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Veda\Veda_models\E4SMA-User2\OMNIA\"/>
    </mc:Choice>
  </mc:AlternateContent>
  <xr:revisionPtr revIDLastSave="0" documentId="13_ncr:1_{986E1874-1F73-46DB-A380-A5ECBD75BEF5}" xr6:coauthVersionLast="47" xr6:coauthVersionMax="47" xr10:uidLastSave="{00000000-0000-0000-0000-000000000000}"/>
  <bookViews>
    <workbookView xWindow="-120" yWindow="-120" windowWidth="29040" windowHeight="15840" tabRatio="838" firstSheet="17" activeTab="25" xr2:uid="{00000000-000D-0000-FFFF-FFFF00000000}"/>
  </bookViews>
  <sheets>
    <sheet name="Legend" sheetId="8" r:id="rId1"/>
    <sheet name="LOG" sheetId="99" r:id="rId2"/>
    <sheet name="Commodities" sheetId="52" r:id="rId3"/>
    <sheet name="FuelTechs" sheetId="53" r:id="rId4"/>
    <sheet name="Reserves - FF" sheetId="54" r:id="rId5"/>
    <sheet name="Potential - Biomass" sheetId="86" r:id="rId6"/>
    <sheet name="Primary production - FF" sheetId="55" r:id="rId7"/>
    <sheet name="Biofuel production" sheetId="87" r:id="rId8"/>
    <sheet name="Transformation" sheetId="58" r:id="rId9"/>
    <sheet name="EnergyServices" sheetId="62" r:id="rId10"/>
    <sheet name="H2Prod" sheetId="63" r:id="rId11"/>
    <sheet name="Pipelines" sheetId="64" r:id="rId12"/>
    <sheet name="CommodityConv" sheetId="59" r:id="rId13"/>
    <sheet name="LNG" sheetId="73" r:id="rId14"/>
    <sheet name="Key inputs_EB_TRF" sheetId="36" r:id="rId15"/>
    <sheet name="Key inputs_EB_OWN" sheetId="41" r:id="rId16"/>
    <sheet name="Key inputs_EB_MIN" sheetId="34" r:id="rId17"/>
    <sheet name="Key inputs_EB_TRA" sheetId="38" r:id="rId18"/>
    <sheet name="Key inputs_EB_NON" sheetId="39" r:id="rId19"/>
    <sheet name="Key inputs_Reserves" sheetId="45" r:id="rId20"/>
    <sheet name="Key inputs_Refineries" sheetId="60" r:id="rId21"/>
    <sheet name="Key inputs_Pipelines" sheetId="66" r:id="rId22"/>
    <sheet name="Key inputs_EB_Trade" sheetId="35" r:id="rId23"/>
    <sheet name="Key inputs_LNG" sheetId="71" r:id="rId24"/>
    <sheet name="Key inputs_TRF" sheetId="81" r:id="rId25"/>
    <sheet name="Key input_Biomass_MAgPIE" sheetId="88" r:id="rId26"/>
    <sheet name="Key input_Biofuel production" sheetId="89" r:id="rId27"/>
    <sheet name="Key inputs_Emissions" sheetId="97" r:id="rId28"/>
    <sheet name="EI(2024)_OilRSV" sheetId="42" r:id="rId29"/>
    <sheet name="EI(2024)_GasRSV" sheetId="43" r:id="rId30"/>
    <sheet name="Welsby(2022)" sheetId="100" r:id="rId31"/>
    <sheet name="EI(2024)_CoalRSV" sheetId="44" r:id="rId32"/>
    <sheet name="NEA(2020)_Uranium" sheetId="49" r:id="rId33"/>
    <sheet name="UN(2023)EnergyStat_OilProd" sheetId="51" r:id="rId34"/>
    <sheet name="UN(2023)EnergyStat_Refineries" sheetId="61" r:id="rId35"/>
    <sheet name="UN(2023)EnergyStat_OtherTran" sheetId="67" r:id="rId36"/>
    <sheet name="IGU(2020)_Liquefaction_plant" sheetId="68" r:id="rId37"/>
    <sheet name="IGU(2020)_ReceivingTerminal" sheetId="69" r:id="rId38"/>
    <sheet name="IGU(2020)_LNG_TRADE" sheetId="70" r:id="rId39"/>
    <sheet name="GEM(2024)_OIL" sheetId="75" r:id="rId40"/>
    <sheet name="GEM(2024)_NGL" sheetId="76" r:id="rId41"/>
    <sheet name="GEM(2023)_GAS" sheetId="74" r:id="rId42"/>
    <sheet name="Aguilera(2014)" sheetId="77" r:id="rId43"/>
    <sheet name="WSJ(2016)Breakout" sheetId="78" r:id="rId44"/>
    <sheet name="IEA(2020)Coal" sheetId="79" r:id="rId45"/>
    <sheet name="Qin(2017)_Coke" sheetId="80" r:id="rId46"/>
    <sheet name="Khwanpruk(2015)_GasSep" sheetId="82" r:id="rId47"/>
    <sheet name="IEA(2023)_H2" sheetId="83" r:id="rId48"/>
    <sheet name="Favennec (2022) Refinning" sheetId="84" r:id="rId49"/>
    <sheet name="Panos(2016)_Boilers" sheetId="85" r:id="rId50"/>
    <sheet name="Gerrior(2022)Ethanol" sheetId="90" r:id="rId51"/>
    <sheet name="Apostolakou(2009)_Biodiesel" sheetId="91" r:id="rId52"/>
    <sheet name="Ahmed(2023)_Biogas" sheetId="92" r:id="rId53"/>
    <sheet name="Barbera(2019)_UPGBiogas" sheetId="93" r:id="rId54"/>
    <sheet name="ETSAP(2013)_Biogas" sheetId="95" r:id="rId55"/>
    <sheet name="IPCC(2006)" sheetId="96" r:id="rId56"/>
    <sheet name="GEM(2024)_Coal" sheetId="98" r:id="rId57"/>
    <sheet name="MAGPIELink" sheetId="101" r:id="rId58"/>
    <sheet name="Biomass_Calibration" sheetId="102" r:id="rId59"/>
    <sheet name="Region Mapping" sheetId="50" r:id="rId60"/>
    <sheet name="Consumer_Price_index" sheetId="72" r:id="rId61"/>
  </sheets>
  <definedNames>
    <definedName name="__123Graph_A" localSheetId="1" hidden="1">#REF!</definedName>
    <definedName name="__123Graph_A" hidden="1">#REF!</definedName>
    <definedName name="__123Graph_B" localSheetId="1" hidden="1">#REF!</definedName>
    <definedName name="__123Graph_B" hidden="1">#REF!</definedName>
    <definedName name="__123Graph_C" localSheetId="1" hidden="1">#REF!</definedName>
    <definedName name="__123Graph_C" hidden="1">#REF!</definedName>
    <definedName name="__123Graph_D" localSheetId="1" hidden="1">#REF!</definedName>
    <definedName name="__123Graph_D" hidden="1">#REF!</definedName>
    <definedName name="__123Graph_E" localSheetId="1" hidden="1">#REF!</definedName>
    <definedName name="__123Graph_E" hidden="1">#REF!</definedName>
    <definedName name="__123Graph_X" localSheetId="1" hidden="1">#REF!</definedName>
    <definedName name="__123Graph_X" hidden="1">#REF!</definedName>
    <definedName name="_1__123Graph_ACHART_4" hidden="1">#REF!</definedName>
    <definedName name="_118__123Graph_CCHART_2" localSheetId="1" hidden="1">#REF!</definedName>
    <definedName name="_118__123Graph_CCHART_2" hidden="1">#REF!</definedName>
    <definedName name="_134__123Graph_XCHART_1" localSheetId="1" hidden="1">#REF!</definedName>
    <definedName name="_134__123Graph_XCHART_1" hidden="1">#REF!</definedName>
    <definedName name="_150__123Graph_XCHART_3" localSheetId="1" hidden="1">#REF!</definedName>
    <definedName name="_150__123Graph_XCHART_3" hidden="1">#REF!</definedName>
    <definedName name="_16__123Graph_ACHART_1" localSheetId="1" hidden="1">#REF!</definedName>
    <definedName name="_16__123Graph_ACHART_1" hidden="1">#REF!</definedName>
    <definedName name="_2__123Graph_XCHART_3" hidden="1">#REF!</definedName>
    <definedName name="_3__123Graph_XCHART_4" hidden="1">#REF!</definedName>
    <definedName name="_32__123Graph_ACHART_3" localSheetId="1" hidden="1">#REF!</definedName>
    <definedName name="_32__123Graph_ACHART_3" hidden="1">#REF!</definedName>
    <definedName name="_48__123Graph_BCHART_1" localSheetId="1" hidden="1">#REF!</definedName>
    <definedName name="_48__123Graph_BCHART_1" hidden="1">#REF!</definedName>
    <definedName name="_77__123Graph_BCHART_2" localSheetId="1" hidden="1">#REF!</definedName>
    <definedName name="_77__123Graph_BCHART_2" hidden="1">#REF!</definedName>
    <definedName name="_78__123Graph_BCHART_4" localSheetId="1" hidden="1">#REF!</definedName>
    <definedName name="_78__123Graph_BCHART_4" hidden="1">#REF!</definedName>
    <definedName name="_93__123Graph_CCHART_1" localSheetId="1" hidden="1">#REF!</definedName>
    <definedName name="_93__123Graph_CCHART_1" hidden="1">#REF!</definedName>
    <definedName name="_AMO_UniqueIdentifier" hidden="1">"'0777fe52-7234-4cf2-bc23-eda151c2f48f'"</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hidden="1">{#N/A,#N/A,FALSE,"Aging Summary";#N/A,#N/A,FALSE,"Ratio Analysis";#N/A,#N/A,FALSE,"Test 120 Day Accts";#N/A,#N/A,FALSE,"Tickmarks"}</definedName>
    <definedName name="_ffd1" hidden="1">{"Valuation_Common",#N/A,FALSE,"Valuation"}</definedName>
    <definedName name="_xlnm._FilterDatabase" localSheetId="44" hidden="1">'IEA(2020)Coal'!$A$3:$D$83</definedName>
    <definedName name="_xlnm._FilterDatabase" localSheetId="36" hidden="1">'IGU(2020)_Liquefaction_plant'!$A$2:$H$143</definedName>
    <definedName name="_xlnm._FilterDatabase" localSheetId="37" hidden="1">'IGU(2020)_ReceivingTerminal'!$A$2:$H$143</definedName>
    <definedName name="_xlnm._FilterDatabase" localSheetId="15" hidden="1">'Key inputs_EB_OWN'!$B$30:$AF$350</definedName>
    <definedName name="_xlnm._FilterDatabase" localSheetId="59" hidden="1">'Region Mapping'!$A$1:$D$230</definedName>
    <definedName name="_Fin1" hidden="1">{"Valuation_Common",#N/A,FALSE,"Valuation"}</definedName>
    <definedName name="_GP2" hidden="1">{"'eb011 a1 GDP per capita in PPS'!$I$55:$K$76","'eb011 a1 GDP per capita in PPS'!$M$3:$W$24"}</definedName>
    <definedName name="_GP3"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hidden="1">{"glc1",#N/A,FALSE,"GLC";"glc2",#N/A,FALSE,"GLC";"glc3",#N/A,FALSE,"GLC";"glc4",#N/A,FALSE,"GLC";"glc5",#N/A,FALSE,"GLC"}</definedName>
    <definedName name="_wrn22" hidden="1">{"glc1",#N/A,FALSE,"GLC";"glc2",#N/A,FALSE,"GLC";"glc3",#N/A,FALSE,"GLC";"glc4",#N/A,FALSE,"GLC";"glc5",#N/A,FALSE,"GLC"}</definedName>
    <definedName name="_wrn222" hidden="1">{"glc1",#N/A,FALSE,"GLC";"glc2",#N/A,FALSE,"GLC";"glc3",#N/A,FALSE,"GLC";"glc4",#N/A,FALSE,"GLC";"glc5",#N/A,FALSE,"GLC"}</definedName>
    <definedName name="_wrn2222" hidden="1">{"glc1",#N/A,FALSE,"GLC";"glc2",#N/A,FALSE,"GLC";"glc3",#N/A,FALSE,"GLC";"glc4",#N/A,FALSE,"GLC";"glc5",#N/A,FALSE,"GLC"}</definedName>
    <definedName name="_wrn23" hidden="1">{"glc1",#N/A,FALSE,"GLC";"glc2",#N/A,FALSE,"GLC";"glc3",#N/A,FALSE,"GLC";"glc4",#N/A,FALSE,"GLC";"glc5",#N/A,FALSE,"GLC"}</definedName>
    <definedName name="aa"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localSheetId="1" hidden="1">#REF!</definedName>
    <definedName name="aaa" hidden="1">#REF!</definedName>
    <definedName name="AS2DocOpenMode" hidden="1">"AS2DocumentEdit"</definedName>
    <definedName name="BLPH1" hidden="1">#REF!</definedName>
    <definedName name="BLPH2" hidden="1">#REF!</definedName>
    <definedName name="ciao" hidden="1">{#N/A,#N/A,FALSE,"Aging Summary";#N/A,#N/A,FALSE,"Ratio Analysis";#N/A,#N/A,FALSE,"Test 120 Day Accts";#N/A,#N/A,FALSE,"Tickmarks"}</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hidden="1">{#N/A,#N/A,FALSE,"Aging Summary";#N/A,#N/A,FALSE,"Ratio Analysis";#N/A,#N/A,FALSE,"Test 120 Day Accts";#N/A,#N/A,FALSE,"Tickmarks"}</definedName>
    <definedName name="complex2" hidden="1">{#N/A,#N/A,FALSE,"Aging Summary";#N/A,#N/A,FALSE,"Ratio Analysis";#N/A,#N/A,FALSE,"Test 120 Day Accts";#N/A,#N/A,FALSE,"Tickmarks"}</definedName>
    <definedName name="complex3" hidden="1">{"assets",#N/A,FALSE,"historicBS";"liab",#N/A,FALSE,"historicBS";"is",#N/A,FALSE,"historicIS";"ratios",#N/A,FALSE,"ratios"}</definedName>
    <definedName name="complex4" hidden="1">{"assets",#N/A,FALSE,"historicBS";"liab",#N/A,FALSE,"historicBS";"is",#N/A,FALSE,"historicIS";"ratios",#N/A,FALSE,"ratios"}</definedName>
    <definedName name="complex5" hidden="1">{"glcbs",#N/A,FALSE,"GLCBS";"glccsbs",#N/A,FALSE,"GLCCSBS";"glcis",#N/A,FALSE,"GLCIS";"glccsis",#N/A,FALSE,"GLCCSIS";"glcrat1",#N/A,FALSE,"GLC-ratios1"}</definedName>
    <definedName name="complex6" hidden="1">{"glc1",#N/A,FALSE,"GLC";"glc2",#N/A,FALSE,"GLC";"glc3",#N/A,FALSE,"GLC";"glc4",#N/A,FALSE,"GLC";"glc5",#N/A,FALSE,"GLC"}</definedName>
    <definedName name="complex8" hidden="1">{"Valuation_Common",#N/A,FALSE,"Valuation"}</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hidden="1">{"Valuation_Common",#N/A,FALSE,"Valuation"}</definedName>
    <definedName name="Discl1" hidden="1">{"Valuation_Common",#N/A,FALSE,"Valuation"}</definedName>
    <definedName name="e" hidden="1">#REF!</definedName>
    <definedName name="ee" hidden="1">#REF!</definedName>
    <definedName name="ele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hidden="1">{"Valuation_Common",#N/A,FALSE,"Valuation"}</definedName>
    <definedName name="Fin" hidden="1">{"Valuation_Common",#N/A,FALSE,"Valuation"}</definedName>
    <definedName name="Finance" hidden="1">{"Valuation_Common",#N/A,FALSE,"Valuation"}</definedName>
    <definedName name="Finance1" hidden="1">{"Valuation_Common",#N/A,FALSE,"Valuation"}</definedName>
    <definedName name="HTML_CodePage" hidden="1">1252</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hidden="1">{"glc1",#N/A,FALSE,"GLC";"glc2",#N/A,FALSE,"GLC";"glc3",#N/A,FALSE,"GLC";"glc4",#N/A,FALSE,"GLC";"glc5",#N/A,FALSE,"GLC"}</definedName>
    <definedName name="wrn.Aging._.and._.Trend._.Analysis."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hidden="1">{"assets",#N/A,FALSE,"historicBS";"liab",#N/A,FALSE,"historicBS";"is",#N/A,FALSE,"historicIS";"ratios",#N/A,FALSE,"ratios"}</definedName>
    <definedName name="wrn.basicfin.2" hidden="1">{"assets",#N/A,FALSE,"historicBS";"liab",#N/A,FALSE,"historicBS";"is",#N/A,FALSE,"historicIS";"ratios",#N/A,FALSE,"ratios"}</definedName>
    <definedName name="wrn.Electricity._.Questionnaire."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hidden="1">{"glcbs",#N/A,FALSE,"GLCBS";"glccsbs",#N/A,FALSE,"GLCCSBS";"glcis",#N/A,FALSE,"GLCIS";"glccsis",#N/A,FALSE,"GLCCSIS";"glcrat1",#N/A,FALSE,"GLC-ratios1"}</definedName>
    <definedName name="wrn.glcpromonte." hidden="1">{"glc1",#N/A,FALSE,"GLC";"glc2",#N/A,FALSE,"GLC";"glc3",#N/A,FALSE,"GLC";"glc4",#N/A,FALSE,"GLC";"glc5",#N/A,FALSE,"GLC"}</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hidden="1">{"Valuation_Common",#N/A,FALSE,"Valuation"}</definedName>
    <definedName name="xxxxx" hidden="1">#REF!</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88" i="88" l="1"/>
  <c r="G188" i="88"/>
  <c r="H188" i="88"/>
  <c r="I188" i="88"/>
  <c r="J188" i="88"/>
  <c r="K188" i="88"/>
  <c r="L188" i="88"/>
  <c r="M188" i="88"/>
  <c r="N188" i="88"/>
  <c r="O188" i="88"/>
  <c r="P188" i="88"/>
  <c r="Q188" i="88"/>
  <c r="R188" i="88"/>
  <c r="S188" i="88"/>
  <c r="T188" i="88"/>
  <c r="U188" i="88"/>
  <c r="V188" i="88"/>
  <c r="W188" i="88"/>
  <c r="X188" i="88"/>
  <c r="Y188" i="88"/>
  <c r="Z188" i="88"/>
  <c r="AA188" i="88"/>
  <c r="AB188" i="88"/>
  <c r="AC188" i="88"/>
  <c r="AD188" i="88"/>
  <c r="AE188" i="88"/>
  <c r="AF188" i="88"/>
  <c r="E188" i="88"/>
  <c r="G122" i="55"/>
  <c r="H122" i="55"/>
  <c r="I122" i="55"/>
  <c r="J122" i="55"/>
  <c r="K122" i="55"/>
  <c r="L122" i="55"/>
  <c r="M122" i="55"/>
  <c r="N122" i="55"/>
  <c r="O122" i="55"/>
  <c r="P122" i="55"/>
  <c r="Q122" i="55"/>
  <c r="R122" i="55"/>
  <c r="S122" i="55"/>
  <c r="T122" i="55"/>
  <c r="U122" i="55"/>
  <c r="V122" i="55"/>
  <c r="W122" i="55"/>
  <c r="X122" i="55"/>
  <c r="Y122" i="55"/>
  <c r="Z122" i="55"/>
  <c r="AA122" i="55"/>
  <c r="AB122" i="55"/>
  <c r="AC122" i="55"/>
  <c r="AD122" i="55"/>
  <c r="AE122" i="55"/>
  <c r="AF122" i="55"/>
  <c r="AG122" i="55"/>
  <c r="F122" i="55"/>
  <c r="C27" i="54"/>
  <c r="G27" i="54"/>
  <c r="H27" i="54"/>
  <c r="I27" i="54"/>
  <c r="J27" i="54"/>
  <c r="K27" i="54"/>
  <c r="L27" i="54"/>
  <c r="M27" i="54"/>
  <c r="O27" i="54"/>
  <c r="P27" i="54"/>
  <c r="Q27" i="54"/>
  <c r="R27" i="54"/>
  <c r="S27" i="54"/>
  <c r="U27" i="54"/>
  <c r="V27" i="54"/>
  <c r="W27" i="54"/>
  <c r="X27" i="54"/>
  <c r="Y27" i="54"/>
  <c r="Z27" i="54"/>
  <c r="AA27" i="54"/>
  <c r="AB27" i="54"/>
  <c r="AC27" i="54"/>
  <c r="AD27" i="54"/>
  <c r="AE27" i="54"/>
  <c r="AF27" i="54"/>
  <c r="AH27" i="54"/>
  <c r="AK27" i="54"/>
  <c r="AL27" i="54"/>
  <c r="C28" i="54"/>
  <c r="G28" i="54"/>
  <c r="H28" i="54"/>
  <c r="I28" i="54"/>
  <c r="J28" i="54"/>
  <c r="K28" i="54"/>
  <c r="L28" i="54"/>
  <c r="M28" i="54"/>
  <c r="N28" i="54"/>
  <c r="O28" i="54"/>
  <c r="P28" i="54"/>
  <c r="Q28" i="54"/>
  <c r="R28" i="54"/>
  <c r="S28" i="54"/>
  <c r="T28" i="54"/>
  <c r="U28" i="54"/>
  <c r="V28" i="54"/>
  <c r="W28" i="54"/>
  <c r="X28" i="54"/>
  <c r="Y28" i="54"/>
  <c r="Z28" i="54"/>
  <c r="AA28" i="54"/>
  <c r="AB28" i="54"/>
  <c r="AC28" i="54"/>
  <c r="AD28" i="54"/>
  <c r="AE28" i="54"/>
  <c r="AF28" i="54"/>
  <c r="AG28" i="54"/>
  <c r="AH28" i="54"/>
  <c r="AK28" i="54"/>
  <c r="AL28" i="54"/>
  <c r="C29" i="54"/>
  <c r="G29" i="54"/>
  <c r="H29" i="54"/>
  <c r="I29" i="54"/>
  <c r="J29" i="54"/>
  <c r="K29" i="54"/>
  <c r="L29" i="54"/>
  <c r="M29" i="54"/>
  <c r="N29" i="54"/>
  <c r="O29" i="54"/>
  <c r="P29" i="54"/>
  <c r="Q29" i="54"/>
  <c r="R29" i="54"/>
  <c r="S29" i="54"/>
  <c r="T29" i="54"/>
  <c r="U29" i="54"/>
  <c r="V29" i="54"/>
  <c r="W29" i="54"/>
  <c r="X29" i="54"/>
  <c r="Y29" i="54"/>
  <c r="Z29" i="54"/>
  <c r="AA29" i="54"/>
  <c r="AB29" i="54"/>
  <c r="AC29" i="54"/>
  <c r="AD29" i="54"/>
  <c r="AE29" i="54"/>
  <c r="AF29" i="54"/>
  <c r="AG29" i="54"/>
  <c r="AH29" i="54"/>
  <c r="AK29" i="54"/>
  <c r="AL29" i="54"/>
  <c r="C30" i="54"/>
  <c r="G30" i="54"/>
  <c r="H30" i="54"/>
  <c r="I30" i="54"/>
  <c r="J30" i="54"/>
  <c r="K30" i="54"/>
  <c r="L30" i="54"/>
  <c r="M30" i="54"/>
  <c r="N30" i="54"/>
  <c r="O30" i="54"/>
  <c r="P30" i="54"/>
  <c r="Q30" i="54"/>
  <c r="R30" i="54"/>
  <c r="S30" i="54"/>
  <c r="T30" i="54"/>
  <c r="U30" i="54"/>
  <c r="V30" i="54"/>
  <c r="W30" i="54"/>
  <c r="X30" i="54"/>
  <c r="Y30" i="54"/>
  <c r="Z30" i="54"/>
  <c r="AA30" i="54"/>
  <c r="AB30" i="54"/>
  <c r="AC30" i="54"/>
  <c r="AD30" i="54"/>
  <c r="AE30" i="54"/>
  <c r="AF30" i="54"/>
  <c r="AG30" i="54"/>
  <c r="AH30" i="54"/>
  <c r="AK30" i="54"/>
  <c r="AL30" i="54"/>
  <c r="A30" i="54" l="1"/>
  <c r="AJ30" i="54" s="1"/>
  <c r="B30" i="54"/>
  <c r="A29" i="54"/>
  <c r="AJ29" i="54" s="1"/>
  <c r="B29" i="54"/>
  <c r="A28" i="54"/>
  <c r="AJ28" i="54" s="1"/>
  <c r="B28" i="54"/>
  <c r="A27" i="54"/>
  <c r="AJ27" i="54" s="1"/>
  <c r="B27" i="54"/>
  <c r="O22" i="54"/>
  <c r="O21" i="54"/>
  <c r="O20" i="54"/>
  <c r="E50" i="45"/>
  <c r="C7" i="102"/>
  <c r="D7" i="102"/>
  <c r="E7" i="102"/>
  <c r="F7" i="102"/>
  <c r="G7" i="102"/>
  <c r="H7" i="102"/>
  <c r="I7" i="102"/>
  <c r="J7" i="102"/>
  <c r="K7" i="102"/>
  <c r="L7" i="102"/>
  <c r="M7" i="102"/>
  <c r="N7" i="102"/>
  <c r="O7" i="102"/>
  <c r="P7" i="102"/>
  <c r="Q7" i="102"/>
  <c r="R7" i="102"/>
  <c r="S7" i="102"/>
  <c r="T7" i="102"/>
  <c r="U7" i="102"/>
  <c r="V7" i="102"/>
  <c r="W7" i="102"/>
  <c r="X7" i="102"/>
  <c r="Y7" i="102"/>
  <c r="Z7" i="102"/>
  <c r="AA7" i="102"/>
  <c r="AB7" i="102"/>
  <c r="AC7" i="102"/>
  <c r="B7" i="102"/>
  <c r="AC23" i="58"/>
  <c r="Y19" i="88"/>
  <c r="K51" i="45" l="1"/>
  <c r="K52" i="45"/>
  <c r="K53" i="45"/>
  <c r="K54" i="45"/>
  <c r="K55" i="45"/>
  <c r="K56" i="45"/>
  <c r="K57" i="45"/>
  <c r="K58" i="45"/>
  <c r="K59" i="45"/>
  <c r="K60" i="45"/>
  <c r="K61" i="45"/>
  <c r="K62" i="45"/>
  <c r="K63" i="45"/>
  <c r="K64" i="45"/>
  <c r="K65" i="45"/>
  <c r="K66" i="45"/>
  <c r="K67" i="45"/>
  <c r="K68" i="45"/>
  <c r="K69" i="45"/>
  <c r="K70" i="45"/>
  <c r="K71" i="45"/>
  <c r="K72" i="45"/>
  <c r="K73" i="45"/>
  <c r="K74" i="45"/>
  <c r="K75" i="45"/>
  <c r="K76" i="45"/>
  <c r="K77" i="45"/>
  <c r="K50" i="45"/>
  <c r="V98" i="55"/>
  <c r="R45" i="54"/>
  <c r="E61" i="45"/>
  <c r="H69" i="45"/>
  <c r="H76" i="45"/>
  <c r="H72" i="45"/>
  <c r="H70" i="45"/>
  <c r="H60" i="45"/>
  <c r="H57" i="45"/>
  <c r="H55" i="45"/>
  <c r="H52" i="45"/>
  <c r="H50" i="45"/>
  <c r="H74" i="45"/>
  <c r="H71" i="45"/>
  <c r="H56" i="45"/>
  <c r="H54" i="45"/>
  <c r="H67" i="45"/>
  <c r="H73" i="45"/>
  <c r="H58" i="45"/>
  <c r="H53" i="45"/>
  <c r="H51" i="45"/>
  <c r="H59" i="45"/>
  <c r="H77" i="45"/>
  <c r="H75" i="45"/>
  <c r="H66" i="45"/>
  <c r="H65" i="45"/>
  <c r="H64" i="45"/>
  <c r="H63" i="45"/>
  <c r="H62" i="45"/>
  <c r="H68" i="45"/>
  <c r="H61" i="45"/>
  <c r="E52" i="45"/>
  <c r="E55" i="45"/>
  <c r="E57" i="45"/>
  <c r="E76" i="45"/>
  <c r="E69" i="45"/>
  <c r="E70" i="45"/>
  <c r="E60" i="45"/>
  <c r="E66" i="45"/>
  <c r="E65" i="45"/>
  <c r="E64" i="45"/>
  <c r="E63" i="45"/>
  <c r="E74" i="45"/>
  <c r="E71" i="45"/>
  <c r="E56" i="45"/>
  <c r="E54" i="45"/>
  <c r="E67" i="45"/>
  <c r="E73" i="45"/>
  <c r="E58" i="45"/>
  <c r="E53" i="45"/>
  <c r="E51" i="45"/>
  <c r="E72" i="45"/>
  <c r="E59" i="45"/>
  <c r="E77" i="45"/>
  <c r="E75" i="45"/>
  <c r="E62" i="45"/>
  <c r="E68" i="45"/>
  <c r="C30" i="59"/>
  <c r="L124" i="88"/>
  <c r="L125" i="88" s="1"/>
  <c r="L126" i="88" s="1"/>
  <c r="L127" i="88" s="1"/>
  <c r="L128" i="88" s="1"/>
  <c r="L129" i="88" s="1"/>
  <c r="L130" i="88" s="1"/>
  <c r="L131" i="88" s="1"/>
  <c r="L132" i="88" s="1"/>
  <c r="L133" i="88" s="1"/>
  <c r="L134" i="88" s="1"/>
  <c r="L135" i="88" s="1"/>
  <c r="T124" i="88"/>
  <c r="T125" i="88" s="1"/>
  <c r="T126" i="88" s="1"/>
  <c r="T127" i="88" s="1"/>
  <c r="T128" i="88" s="1"/>
  <c r="T129" i="88" s="1"/>
  <c r="T130" i="88" s="1"/>
  <c r="T131" i="88" s="1"/>
  <c r="T132" i="88" s="1"/>
  <c r="T133" i="88" s="1"/>
  <c r="T134" i="88" s="1"/>
  <c r="T135" i="88" s="1"/>
  <c r="Z124" i="88"/>
  <c r="Z125" i="88" s="1"/>
  <c r="Z126" i="88" s="1"/>
  <c r="Z127" i="88" s="1"/>
  <c r="Z128" i="88" s="1"/>
  <c r="Z129" i="88" s="1"/>
  <c r="Z130" i="88" s="1"/>
  <c r="Z131" i="88" s="1"/>
  <c r="Z132" i="88" s="1"/>
  <c r="Z133" i="88" s="1"/>
  <c r="Z134" i="88" s="1"/>
  <c r="Z135" i="88" s="1"/>
  <c r="AA124" i="88"/>
  <c r="AA125" i="88" s="1"/>
  <c r="AA126" i="88" s="1"/>
  <c r="AA127" i="88" s="1"/>
  <c r="AA128" i="88" s="1"/>
  <c r="AA129" i="88" s="1"/>
  <c r="AA130" i="88" s="1"/>
  <c r="AA131" i="88" s="1"/>
  <c r="AA132" i="88" s="1"/>
  <c r="AA133" i="88" s="1"/>
  <c r="AA134" i="88" s="1"/>
  <c r="AA135" i="88" s="1"/>
  <c r="AB124" i="88"/>
  <c r="AB125" i="88" s="1"/>
  <c r="AB126" i="88" s="1"/>
  <c r="AB127" i="88" s="1"/>
  <c r="AB128" i="88" s="1"/>
  <c r="AB129" i="88" s="1"/>
  <c r="AB130" i="88" s="1"/>
  <c r="AB131" i="88" s="1"/>
  <c r="AB132" i="88" s="1"/>
  <c r="AB133" i="88" s="1"/>
  <c r="AB134" i="88" s="1"/>
  <c r="AB135" i="88" s="1"/>
  <c r="AC124" i="88"/>
  <c r="AC125" i="88" s="1"/>
  <c r="AC126" i="88" s="1"/>
  <c r="AC127" i="88" s="1"/>
  <c r="AC128" i="88" s="1"/>
  <c r="AC129" i="88" s="1"/>
  <c r="AC130" i="88" s="1"/>
  <c r="AC131" i="88" s="1"/>
  <c r="AC132" i="88" s="1"/>
  <c r="AC133" i="88" s="1"/>
  <c r="AC134" i="88" s="1"/>
  <c r="AC135" i="88" s="1"/>
  <c r="AE124" i="88"/>
  <c r="AE125" i="88" s="1"/>
  <c r="AE126" i="88" s="1"/>
  <c r="AE127" i="88" s="1"/>
  <c r="AE128" i="88" s="1"/>
  <c r="AE129" i="88" s="1"/>
  <c r="AE130" i="88" s="1"/>
  <c r="AE131" i="88" s="1"/>
  <c r="AE132" i="88" s="1"/>
  <c r="AE133" i="88" s="1"/>
  <c r="AE134" i="88" s="1"/>
  <c r="AE135" i="88" s="1"/>
  <c r="AF124" i="88"/>
  <c r="AF125" i="88"/>
  <c r="AF126" i="88" s="1"/>
  <c r="AF127" i="88" s="1"/>
  <c r="AF128" i="88" s="1"/>
  <c r="AF129" i="88" s="1"/>
  <c r="AF130" i="88" s="1"/>
  <c r="AF131" i="88" s="1"/>
  <c r="AF132" i="88" s="1"/>
  <c r="AF133" i="88" s="1"/>
  <c r="AF134" i="88" s="1"/>
  <c r="AF135" i="88" s="1"/>
  <c r="F123" i="88"/>
  <c r="F124" i="88" s="1"/>
  <c r="F125" i="88" s="1"/>
  <c r="F126" i="88" s="1"/>
  <c r="F127" i="88" s="1"/>
  <c r="F128" i="88" s="1"/>
  <c r="F129" i="88" s="1"/>
  <c r="F130" i="88" s="1"/>
  <c r="F131" i="88" s="1"/>
  <c r="F132" i="88" s="1"/>
  <c r="F133" i="88" s="1"/>
  <c r="F134" i="88" s="1"/>
  <c r="F135" i="88" s="1"/>
  <c r="G123" i="88"/>
  <c r="G124" i="88" s="1"/>
  <c r="G125" i="88" s="1"/>
  <c r="G126" i="88" s="1"/>
  <c r="G127" i="88" s="1"/>
  <c r="G128" i="88" s="1"/>
  <c r="G129" i="88" s="1"/>
  <c r="G130" i="88" s="1"/>
  <c r="G131" i="88" s="1"/>
  <c r="G132" i="88" s="1"/>
  <c r="G133" i="88" s="1"/>
  <c r="G134" i="88" s="1"/>
  <c r="G135" i="88" s="1"/>
  <c r="H123" i="88"/>
  <c r="H124" i="88" s="1"/>
  <c r="H125" i="88" s="1"/>
  <c r="H126" i="88" s="1"/>
  <c r="H127" i="88" s="1"/>
  <c r="H128" i="88" s="1"/>
  <c r="H129" i="88" s="1"/>
  <c r="H130" i="88" s="1"/>
  <c r="H131" i="88" s="1"/>
  <c r="H132" i="88" s="1"/>
  <c r="H133" i="88" s="1"/>
  <c r="H134" i="88" s="1"/>
  <c r="H135" i="88" s="1"/>
  <c r="I123" i="88"/>
  <c r="I124" i="88" s="1"/>
  <c r="I125" i="88" s="1"/>
  <c r="I126" i="88" s="1"/>
  <c r="I127" i="88" s="1"/>
  <c r="I128" i="88" s="1"/>
  <c r="I129" i="88" s="1"/>
  <c r="I130" i="88" s="1"/>
  <c r="I131" i="88" s="1"/>
  <c r="I132" i="88" s="1"/>
  <c r="I133" i="88" s="1"/>
  <c r="I134" i="88" s="1"/>
  <c r="I135" i="88" s="1"/>
  <c r="J123" i="88"/>
  <c r="J124" i="88" s="1"/>
  <c r="J125" i="88" s="1"/>
  <c r="J126" i="88" s="1"/>
  <c r="J127" i="88" s="1"/>
  <c r="J128" i="88" s="1"/>
  <c r="J129" i="88" s="1"/>
  <c r="J130" i="88" s="1"/>
  <c r="J131" i="88" s="1"/>
  <c r="J132" i="88" s="1"/>
  <c r="J133" i="88" s="1"/>
  <c r="J134" i="88" s="1"/>
  <c r="J135" i="88" s="1"/>
  <c r="K123" i="88"/>
  <c r="K124" i="88" s="1"/>
  <c r="K125" i="88" s="1"/>
  <c r="K126" i="88" s="1"/>
  <c r="K127" i="88" s="1"/>
  <c r="K128" i="88" s="1"/>
  <c r="K129" i="88" s="1"/>
  <c r="K130" i="88" s="1"/>
  <c r="K131" i="88" s="1"/>
  <c r="K132" i="88" s="1"/>
  <c r="K133" i="88" s="1"/>
  <c r="K134" i="88" s="1"/>
  <c r="K135" i="88" s="1"/>
  <c r="L123" i="88"/>
  <c r="M123" i="88"/>
  <c r="M124" i="88" s="1"/>
  <c r="M125" i="88" s="1"/>
  <c r="M126" i="88" s="1"/>
  <c r="M127" i="88" s="1"/>
  <c r="M128" i="88" s="1"/>
  <c r="M129" i="88" s="1"/>
  <c r="M130" i="88" s="1"/>
  <c r="M131" i="88" s="1"/>
  <c r="M132" i="88" s="1"/>
  <c r="M133" i="88" s="1"/>
  <c r="M134" i="88" s="1"/>
  <c r="M135" i="88" s="1"/>
  <c r="N123" i="88"/>
  <c r="N124" i="88" s="1"/>
  <c r="N125" i="88" s="1"/>
  <c r="N126" i="88" s="1"/>
  <c r="N127" i="88" s="1"/>
  <c r="N128" i="88" s="1"/>
  <c r="N129" i="88" s="1"/>
  <c r="N130" i="88" s="1"/>
  <c r="N131" i="88" s="1"/>
  <c r="N132" i="88" s="1"/>
  <c r="N133" i="88" s="1"/>
  <c r="N134" i="88" s="1"/>
  <c r="N135" i="88" s="1"/>
  <c r="O123" i="88"/>
  <c r="O124" i="88" s="1"/>
  <c r="O125" i="88" s="1"/>
  <c r="O126" i="88" s="1"/>
  <c r="O127" i="88" s="1"/>
  <c r="O128" i="88" s="1"/>
  <c r="O129" i="88" s="1"/>
  <c r="O130" i="88" s="1"/>
  <c r="O131" i="88" s="1"/>
  <c r="O132" i="88" s="1"/>
  <c r="O133" i="88" s="1"/>
  <c r="O134" i="88" s="1"/>
  <c r="O135" i="88" s="1"/>
  <c r="P123" i="88"/>
  <c r="P124" i="88" s="1"/>
  <c r="P125" i="88" s="1"/>
  <c r="P126" i="88" s="1"/>
  <c r="P127" i="88" s="1"/>
  <c r="P128" i="88" s="1"/>
  <c r="P129" i="88" s="1"/>
  <c r="P130" i="88" s="1"/>
  <c r="P131" i="88" s="1"/>
  <c r="P132" i="88" s="1"/>
  <c r="P133" i="88" s="1"/>
  <c r="P134" i="88" s="1"/>
  <c r="P135" i="88" s="1"/>
  <c r="Q123" i="88"/>
  <c r="Q124" i="88" s="1"/>
  <c r="Q125" i="88" s="1"/>
  <c r="Q126" i="88" s="1"/>
  <c r="Q127" i="88" s="1"/>
  <c r="Q128" i="88" s="1"/>
  <c r="Q129" i="88" s="1"/>
  <c r="Q130" i="88" s="1"/>
  <c r="Q131" i="88" s="1"/>
  <c r="Q132" i="88" s="1"/>
  <c r="Q133" i="88" s="1"/>
  <c r="Q134" i="88" s="1"/>
  <c r="Q135" i="88" s="1"/>
  <c r="R123" i="88"/>
  <c r="R124" i="88" s="1"/>
  <c r="R125" i="88" s="1"/>
  <c r="R126" i="88" s="1"/>
  <c r="R127" i="88" s="1"/>
  <c r="R128" i="88" s="1"/>
  <c r="R129" i="88" s="1"/>
  <c r="R130" i="88" s="1"/>
  <c r="R131" i="88" s="1"/>
  <c r="R132" i="88" s="1"/>
  <c r="R133" i="88" s="1"/>
  <c r="R134" i="88" s="1"/>
  <c r="R135" i="88" s="1"/>
  <c r="S123" i="88"/>
  <c r="S124" i="88" s="1"/>
  <c r="S125" i="88" s="1"/>
  <c r="S126" i="88" s="1"/>
  <c r="S127" i="88" s="1"/>
  <c r="S128" i="88" s="1"/>
  <c r="S129" i="88" s="1"/>
  <c r="S130" i="88" s="1"/>
  <c r="S131" i="88" s="1"/>
  <c r="S132" i="88" s="1"/>
  <c r="S133" i="88" s="1"/>
  <c r="S134" i="88" s="1"/>
  <c r="S135" i="88" s="1"/>
  <c r="T123" i="88"/>
  <c r="U123" i="88"/>
  <c r="U124" i="88" s="1"/>
  <c r="U125" i="88" s="1"/>
  <c r="U126" i="88" s="1"/>
  <c r="U127" i="88" s="1"/>
  <c r="U128" i="88" s="1"/>
  <c r="U129" i="88" s="1"/>
  <c r="U130" i="88" s="1"/>
  <c r="U131" i="88" s="1"/>
  <c r="U132" i="88" s="1"/>
  <c r="U133" i="88" s="1"/>
  <c r="U134" i="88" s="1"/>
  <c r="U135" i="88" s="1"/>
  <c r="V123" i="88"/>
  <c r="V124" i="88" s="1"/>
  <c r="V125" i="88" s="1"/>
  <c r="V126" i="88" s="1"/>
  <c r="V127" i="88" s="1"/>
  <c r="V128" i="88" s="1"/>
  <c r="V129" i="88" s="1"/>
  <c r="V130" i="88" s="1"/>
  <c r="V131" i="88" s="1"/>
  <c r="V132" i="88" s="1"/>
  <c r="V133" i="88" s="1"/>
  <c r="V134" i="88" s="1"/>
  <c r="V135" i="88" s="1"/>
  <c r="W123" i="88"/>
  <c r="W124" i="88" s="1"/>
  <c r="W125" i="88" s="1"/>
  <c r="W126" i="88" s="1"/>
  <c r="W127" i="88" s="1"/>
  <c r="W128" i="88" s="1"/>
  <c r="W129" i="88" s="1"/>
  <c r="W130" i="88" s="1"/>
  <c r="W131" i="88" s="1"/>
  <c r="W132" i="88" s="1"/>
  <c r="W133" i="88" s="1"/>
  <c r="W134" i="88" s="1"/>
  <c r="W135" i="88" s="1"/>
  <c r="X123" i="88"/>
  <c r="X124" i="88" s="1"/>
  <c r="X125" i="88" s="1"/>
  <c r="X126" i="88" s="1"/>
  <c r="X127" i="88" s="1"/>
  <c r="X128" i="88" s="1"/>
  <c r="X129" i="88" s="1"/>
  <c r="X130" i="88" s="1"/>
  <c r="X131" i="88" s="1"/>
  <c r="X132" i="88" s="1"/>
  <c r="X133" i="88" s="1"/>
  <c r="X134" i="88" s="1"/>
  <c r="X135" i="88" s="1"/>
  <c r="Y123" i="88"/>
  <c r="Y124" i="88" s="1"/>
  <c r="Y125" i="88" s="1"/>
  <c r="Y126" i="88" s="1"/>
  <c r="Y127" i="88" s="1"/>
  <c r="Y128" i="88" s="1"/>
  <c r="Y129" i="88" s="1"/>
  <c r="Y130" i="88" s="1"/>
  <c r="Y131" i="88" s="1"/>
  <c r="Y132" i="88" s="1"/>
  <c r="Y133" i="88" s="1"/>
  <c r="Y134" i="88" s="1"/>
  <c r="Y135" i="88" s="1"/>
  <c r="Z123" i="88"/>
  <c r="AA123" i="88"/>
  <c r="AB123" i="88"/>
  <c r="AC123" i="88"/>
  <c r="AD123" i="88"/>
  <c r="AD124" i="88" s="1"/>
  <c r="AD125" i="88" s="1"/>
  <c r="AD126" i="88" s="1"/>
  <c r="AD127" i="88" s="1"/>
  <c r="AD128" i="88" s="1"/>
  <c r="AD129" i="88" s="1"/>
  <c r="AD130" i="88" s="1"/>
  <c r="AD131" i="88" s="1"/>
  <c r="AD132" i="88" s="1"/>
  <c r="AD133" i="88" s="1"/>
  <c r="AD134" i="88" s="1"/>
  <c r="AD135" i="88" s="1"/>
  <c r="AE123" i="88"/>
  <c r="AF123" i="88"/>
  <c r="E123" i="88"/>
  <c r="E124" i="88" s="1"/>
  <c r="E125" i="88" s="1"/>
  <c r="E126" i="88" s="1"/>
  <c r="E127" i="88" s="1"/>
  <c r="E128" i="88" s="1"/>
  <c r="E129" i="88" s="1"/>
  <c r="E130" i="88" s="1"/>
  <c r="E131" i="88" s="1"/>
  <c r="E132" i="88" s="1"/>
  <c r="E133" i="88" s="1"/>
  <c r="E134" i="88" s="1"/>
  <c r="E135" i="88" s="1"/>
  <c r="F19" i="88"/>
  <c r="F32" i="88" s="1"/>
  <c r="F33" i="88" s="1"/>
  <c r="F34" i="88" s="1"/>
  <c r="F35" i="88" s="1"/>
  <c r="F36" i="88" s="1"/>
  <c r="F37" i="88" s="1"/>
  <c r="F38" i="88" s="1"/>
  <c r="F39" i="88" s="1"/>
  <c r="F40" i="88" s="1"/>
  <c r="F41" i="88" s="1"/>
  <c r="F42" i="88" s="1"/>
  <c r="F43" i="88" s="1"/>
  <c r="F44" i="88" s="1"/>
  <c r="G19" i="88"/>
  <c r="G32" i="88" s="1"/>
  <c r="H19" i="88"/>
  <c r="H32" i="88" s="1"/>
  <c r="H33" i="88" s="1"/>
  <c r="H34" i="88" s="1"/>
  <c r="H35" i="88" s="1"/>
  <c r="H36" i="88" s="1"/>
  <c r="H37" i="88" s="1"/>
  <c r="H38" i="88" s="1"/>
  <c r="H39" i="88" s="1"/>
  <c r="H40" i="88" s="1"/>
  <c r="H41" i="88" s="1"/>
  <c r="H42" i="88" s="1"/>
  <c r="H43" i="88" s="1"/>
  <c r="H44" i="88" s="1"/>
  <c r="I19" i="88"/>
  <c r="I32" i="88" s="1"/>
  <c r="I33" i="88" s="1"/>
  <c r="I34" i="88" s="1"/>
  <c r="I35" i="88" s="1"/>
  <c r="I36" i="88" s="1"/>
  <c r="I37" i="88" s="1"/>
  <c r="I38" i="88" s="1"/>
  <c r="I39" i="88" s="1"/>
  <c r="I40" i="88" s="1"/>
  <c r="I41" i="88" s="1"/>
  <c r="I42" i="88" s="1"/>
  <c r="I43" i="88" s="1"/>
  <c r="I44" i="88" s="1"/>
  <c r="J19" i="88"/>
  <c r="J32" i="88" s="1"/>
  <c r="K19" i="88"/>
  <c r="K32" i="88" s="1"/>
  <c r="K33" i="88" s="1"/>
  <c r="K34" i="88" s="1"/>
  <c r="K35" i="88" s="1"/>
  <c r="K36" i="88" s="1"/>
  <c r="K37" i="88" s="1"/>
  <c r="K38" i="88" s="1"/>
  <c r="K39" i="88" s="1"/>
  <c r="K40" i="88" s="1"/>
  <c r="K41" i="88" s="1"/>
  <c r="K42" i="88" s="1"/>
  <c r="K43" i="88" s="1"/>
  <c r="K44" i="88" s="1"/>
  <c r="L19" i="88"/>
  <c r="L32" i="88" s="1"/>
  <c r="M19" i="88"/>
  <c r="N19" i="88"/>
  <c r="N20" i="88" s="1"/>
  <c r="N21" i="88" s="1"/>
  <c r="N22" i="88" s="1"/>
  <c r="N23" i="88" s="1"/>
  <c r="N24" i="88" s="1"/>
  <c r="N25" i="88" s="1"/>
  <c r="N26" i="88" s="1"/>
  <c r="N27" i="88" s="1"/>
  <c r="N28" i="88" s="1"/>
  <c r="N29" i="88" s="1"/>
  <c r="N30" i="88" s="1"/>
  <c r="N31" i="88" s="1"/>
  <c r="O19" i="88"/>
  <c r="O20" i="88" s="1"/>
  <c r="O21" i="88" s="1"/>
  <c r="O22" i="88" s="1"/>
  <c r="O23" i="88" s="1"/>
  <c r="O24" i="88" s="1"/>
  <c r="O25" i="88" s="1"/>
  <c r="O26" i="88" s="1"/>
  <c r="O27" i="88" s="1"/>
  <c r="O28" i="88" s="1"/>
  <c r="O29" i="88" s="1"/>
  <c r="O30" i="88" s="1"/>
  <c r="O31" i="88" s="1"/>
  <c r="P19" i="88"/>
  <c r="P20" i="88" s="1"/>
  <c r="P21" i="88" s="1"/>
  <c r="P22" i="88" s="1"/>
  <c r="P23" i="88" s="1"/>
  <c r="P24" i="88" s="1"/>
  <c r="P25" i="88" s="1"/>
  <c r="P26" i="88" s="1"/>
  <c r="P27" i="88" s="1"/>
  <c r="P28" i="88" s="1"/>
  <c r="P29" i="88" s="1"/>
  <c r="P30" i="88" s="1"/>
  <c r="P31" i="88" s="1"/>
  <c r="Q19" i="88"/>
  <c r="Q32" i="88" s="1"/>
  <c r="R19" i="88"/>
  <c r="R32" i="88" s="1"/>
  <c r="S19" i="88"/>
  <c r="S32" i="88" s="1"/>
  <c r="S33" i="88" s="1"/>
  <c r="S34" i="88" s="1"/>
  <c r="S35" i="88" s="1"/>
  <c r="S36" i="88" s="1"/>
  <c r="S37" i="88" s="1"/>
  <c r="S38" i="88" s="1"/>
  <c r="S39" i="88" s="1"/>
  <c r="S40" i="88" s="1"/>
  <c r="S41" i="88" s="1"/>
  <c r="S42" i="88" s="1"/>
  <c r="S43" i="88" s="1"/>
  <c r="S44" i="88" s="1"/>
  <c r="T19" i="88"/>
  <c r="T32" i="88" s="1"/>
  <c r="U19" i="88"/>
  <c r="U32" i="88" s="1"/>
  <c r="V19" i="88"/>
  <c r="V20" i="88" s="1"/>
  <c r="V21" i="88" s="1"/>
  <c r="V22" i="88" s="1"/>
  <c r="V23" i="88" s="1"/>
  <c r="V24" i="88" s="1"/>
  <c r="V25" i="88" s="1"/>
  <c r="V26" i="88" s="1"/>
  <c r="V27" i="88" s="1"/>
  <c r="V28" i="88" s="1"/>
  <c r="V29" i="88" s="1"/>
  <c r="V30" i="88" s="1"/>
  <c r="V31" i="88" s="1"/>
  <c r="W19" i="88"/>
  <c r="W20" i="88" s="1"/>
  <c r="W21" i="88" s="1"/>
  <c r="W22" i="88" s="1"/>
  <c r="W23" i="88" s="1"/>
  <c r="W24" i="88" s="1"/>
  <c r="W25" i="88" s="1"/>
  <c r="W26" i="88" s="1"/>
  <c r="W27" i="88" s="1"/>
  <c r="W28" i="88" s="1"/>
  <c r="W29" i="88" s="1"/>
  <c r="W30" i="88" s="1"/>
  <c r="W31" i="88" s="1"/>
  <c r="X19" i="88"/>
  <c r="X32" i="88" s="1"/>
  <c r="Y32" i="88"/>
  <c r="Y33" i="88" s="1"/>
  <c r="Y34" i="88" s="1"/>
  <c r="Y35" i="88" s="1"/>
  <c r="Y36" i="88" s="1"/>
  <c r="Y37" i="88" s="1"/>
  <c r="Y38" i="88" s="1"/>
  <c r="Y39" i="88" s="1"/>
  <c r="Y40" i="88" s="1"/>
  <c r="Y41" i="88" s="1"/>
  <c r="Y42" i="88" s="1"/>
  <c r="Y43" i="88" s="1"/>
  <c r="Y44" i="88" s="1"/>
  <c r="Z19" i="88"/>
  <c r="Z32" i="88" s="1"/>
  <c r="Z33" i="88" s="1"/>
  <c r="Z34" i="88" s="1"/>
  <c r="Z35" i="88" s="1"/>
  <c r="Z36" i="88" s="1"/>
  <c r="Z37" i="88" s="1"/>
  <c r="Z38" i="88" s="1"/>
  <c r="Z39" i="88" s="1"/>
  <c r="Z40" i="88" s="1"/>
  <c r="Z41" i="88" s="1"/>
  <c r="Z42" i="88" s="1"/>
  <c r="Z43" i="88" s="1"/>
  <c r="Z44" i="88" s="1"/>
  <c r="AA19" i="88"/>
  <c r="AA32" i="88" s="1"/>
  <c r="AA33" i="88" s="1"/>
  <c r="AA34" i="88" s="1"/>
  <c r="AA35" i="88" s="1"/>
  <c r="AA36" i="88" s="1"/>
  <c r="AA37" i="88" s="1"/>
  <c r="AA38" i="88" s="1"/>
  <c r="AA39" i="88" s="1"/>
  <c r="AA40" i="88" s="1"/>
  <c r="AA41" i="88" s="1"/>
  <c r="AA42" i="88" s="1"/>
  <c r="AA43" i="88" s="1"/>
  <c r="AA44" i="88" s="1"/>
  <c r="AB19" i="88"/>
  <c r="AB32" i="88" s="1"/>
  <c r="AB33" i="88" s="1"/>
  <c r="AB34" i="88" s="1"/>
  <c r="AB35" i="88" s="1"/>
  <c r="AB36" i="88" s="1"/>
  <c r="AB37" i="88" s="1"/>
  <c r="AB38" i="88" s="1"/>
  <c r="AB39" i="88" s="1"/>
  <c r="AB40" i="88" s="1"/>
  <c r="AB41" i="88" s="1"/>
  <c r="AB42" i="88" s="1"/>
  <c r="AB43" i="88" s="1"/>
  <c r="AB44" i="88" s="1"/>
  <c r="AC19" i="88"/>
  <c r="AC32" i="88" s="1"/>
  <c r="AC33" i="88" s="1"/>
  <c r="AC34" i="88" s="1"/>
  <c r="AC35" i="88" s="1"/>
  <c r="AC36" i="88" s="1"/>
  <c r="AC37" i="88" s="1"/>
  <c r="AC38" i="88" s="1"/>
  <c r="AC39" i="88" s="1"/>
  <c r="AC40" i="88" s="1"/>
  <c r="AC41" i="88" s="1"/>
  <c r="AC42" i="88" s="1"/>
  <c r="AC43" i="88" s="1"/>
  <c r="AC44" i="88" s="1"/>
  <c r="AD19" i="88"/>
  <c r="AD20" i="88" s="1"/>
  <c r="AD21" i="88" s="1"/>
  <c r="AD22" i="88" s="1"/>
  <c r="AD23" i="88" s="1"/>
  <c r="AD24" i="88" s="1"/>
  <c r="AD25" i="88" s="1"/>
  <c r="AD26" i="88" s="1"/>
  <c r="AD27" i="88" s="1"/>
  <c r="AD28" i="88" s="1"/>
  <c r="AD29" i="88" s="1"/>
  <c r="AD30" i="88" s="1"/>
  <c r="AD31" i="88" s="1"/>
  <c r="AE19" i="88"/>
  <c r="AE20" i="88" s="1"/>
  <c r="AE21" i="88" s="1"/>
  <c r="AE22" i="88" s="1"/>
  <c r="AE23" i="88" s="1"/>
  <c r="AE24" i="88" s="1"/>
  <c r="AE25" i="88" s="1"/>
  <c r="AE26" i="88" s="1"/>
  <c r="AE27" i="88" s="1"/>
  <c r="AE28" i="88" s="1"/>
  <c r="AE29" i="88" s="1"/>
  <c r="AE30" i="88" s="1"/>
  <c r="AE31" i="88" s="1"/>
  <c r="AF19" i="88"/>
  <c r="AF32" i="88" s="1"/>
  <c r="AF33" i="88" s="1"/>
  <c r="AF34" i="88" s="1"/>
  <c r="AF35" i="88" s="1"/>
  <c r="AF36" i="88" s="1"/>
  <c r="AF37" i="88" s="1"/>
  <c r="AF38" i="88" s="1"/>
  <c r="AF39" i="88" s="1"/>
  <c r="AF40" i="88" s="1"/>
  <c r="AF41" i="88" s="1"/>
  <c r="AF42" i="88" s="1"/>
  <c r="AF43" i="88" s="1"/>
  <c r="AF44" i="88" s="1"/>
  <c r="E19" i="88"/>
  <c r="E20" i="88" s="1"/>
  <c r="E21" i="88" s="1"/>
  <c r="E22" i="88" s="1"/>
  <c r="E23" i="88" s="1"/>
  <c r="E24" i="88" s="1"/>
  <c r="E25" i="88" s="1"/>
  <c r="E26" i="88" s="1"/>
  <c r="E27" i="88" s="1"/>
  <c r="E28" i="88" s="1"/>
  <c r="E29" i="88" s="1"/>
  <c r="E30" i="88" s="1"/>
  <c r="E31" i="88" s="1"/>
  <c r="F175" i="88"/>
  <c r="F176" i="88" s="1"/>
  <c r="F177" i="88" s="1"/>
  <c r="F178" i="88" s="1"/>
  <c r="F179" i="88" s="1"/>
  <c r="F180" i="88" s="1"/>
  <c r="F181" i="88" s="1"/>
  <c r="F182" i="88" s="1"/>
  <c r="F183" i="88" s="1"/>
  <c r="F184" i="88" s="1"/>
  <c r="F185" i="88" s="1"/>
  <c r="F186" i="88" s="1"/>
  <c r="F187" i="88" s="1"/>
  <c r="G175" i="88"/>
  <c r="H175" i="88"/>
  <c r="H176" i="88" s="1"/>
  <c r="H177" i="88" s="1"/>
  <c r="H178" i="88" s="1"/>
  <c r="H179" i="88" s="1"/>
  <c r="H180" i="88" s="1"/>
  <c r="H181" i="88" s="1"/>
  <c r="H182" i="88" s="1"/>
  <c r="H183" i="88" s="1"/>
  <c r="H184" i="88" s="1"/>
  <c r="H185" i="88" s="1"/>
  <c r="H186" i="88" s="1"/>
  <c r="H187" i="88" s="1"/>
  <c r="I175" i="88"/>
  <c r="I176" i="88" s="1"/>
  <c r="I177" i="88" s="1"/>
  <c r="I178" i="88" s="1"/>
  <c r="I179" i="88" s="1"/>
  <c r="I180" i="88" s="1"/>
  <c r="I181" i="88" s="1"/>
  <c r="I182" i="88" s="1"/>
  <c r="I183" i="88" s="1"/>
  <c r="I184" i="88" s="1"/>
  <c r="I185" i="88" s="1"/>
  <c r="I186" i="88" s="1"/>
  <c r="I187" i="88" s="1"/>
  <c r="J175" i="88"/>
  <c r="J176" i="88" s="1"/>
  <c r="J177" i="88" s="1"/>
  <c r="J178" i="88" s="1"/>
  <c r="J179" i="88" s="1"/>
  <c r="J180" i="88" s="1"/>
  <c r="J181" i="88" s="1"/>
  <c r="J182" i="88" s="1"/>
  <c r="J183" i="88" s="1"/>
  <c r="J184" i="88" s="1"/>
  <c r="J185" i="88" s="1"/>
  <c r="J186" i="88" s="1"/>
  <c r="J187" i="88" s="1"/>
  <c r="K175" i="88"/>
  <c r="K176" i="88" s="1"/>
  <c r="K177" i="88" s="1"/>
  <c r="K178" i="88" s="1"/>
  <c r="K179" i="88" s="1"/>
  <c r="K180" i="88" s="1"/>
  <c r="K181" i="88" s="1"/>
  <c r="K182" i="88" s="1"/>
  <c r="K183" i="88" s="1"/>
  <c r="K184" i="88" s="1"/>
  <c r="K185" i="88" s="1"/>
  <c r="K186" i="88" s="1"/>
  <c r="K187" i="88" s="1"/>
  <c r="L175" i="88"/>
  <c r="M175" i="88"/>
  <c r="M176" i="88" s="1"/>
  <c r="M177" i="88" s="1"/>
  <c r="M178" i="88" s="1"/>
  <c r="M179" i="88" s="1"/>
  <c r="M180" i="88" s="1"/>
  <c r="M181" i="88" s="1"/>
  <c r="M182" i="88" s="1"/>
  <c r="M183" i="88" s="1"/>
  <c r="M184" i="88" s="1"/>
  <c r="M185" i="88" s="1"/>
  <c r="M186" i="88" s="1"/>
  <c r="M187" i="88" s="1"/>
  <c r="N175" i="88"/>
  <c r="N189" i="88" s="1"/>
  <c r="N190" i="88" s="1"/>
  <c r="N191" i="88" s="1"/>
  <c r="N192" i="88" s="1"/>
  <c r="N193" i="88" s="1"/>
  <c r="N194" i="88" s="1"/>
  <c r="N195" i="88" s="1"/>
  <c r="N196" i="88" s="1"/>
  <c r="N197" i="88" s="1"/>
  <c r="N198" i="88" s="1"/>
  <c r="N199" i="88" s="1"/>
  <c r="N200" i="88" s="1"/>
  <c r="O175" i="88"/>
  <c r="O189" i="88" s="1"/>
  <c r="O190" i="88" s="1"/>
  <c r="O191" i="88" s="1"/>
  <c r="O192" i="88" s="1"/>
  <c r="O193" i="88" s="1"/>
  <c r="O194" i="88" s="1"/>
  <c r="O195" i="88" s="1"/>
  <c r="O196" i="88" s="1"/>
  <c r="O197" i="88" s="1"/>
  <c r="O198" i="88" s="1"/>
  <c r="O199" i="88" s="1"/>
  <c r="O200" i="88" s="1"/>
  <c r="P175" i="88"/>
  <c r="Q175" i="88"/>
  <c r="Q189" i="88" s="1"/>
  <c r="Q190" i="88" s="1"/>
  <c r="Q191" i="88" s="1"/>
  <c r="Q192" i="88" s="1"/>
  <c r="Q193" i="88" s="1"/>
  <c r="Q194" i="88" s="1"/>
  <c r="Q195" i="88" s="1"/>
  <c r="Q196" i="88" s="1"/>
  <c r="Q197" i="88" s="1"/>
  <c r="Q198" i="88" s="1"/>
  <c r="Q199" i="88" s="1"/>
  <c r="Q200" i="88" s="1"/>
  <c r="R175" i="88"/>
  <c r="S175" i="88"/>
  <c r="S176" i="88" s="1"/>
  <c r="S177" i="88" s="1"/>
  <c r="S178" i="88" s="1"/>
  <c r="S179" i="88" s="1"/>
  <c r="S180" i="88" s="1"/>
  <c r="S181" i="88" s="1"/>
  <c r="S182" i="88" s="1"/>
  <c r="S183" i="88" s="1"/>
  <c r="S184" i="88" s="1"/>
  <c r="S185" i="88" s="1"/>
  <c r="S186" i="88" s="1"/>
  <c r="S187" i="88" s="1"/>
  <c r="T175" i="88"/>
  <c r="T176" i="88" s="1"/>
  <c r="T177" i="88" s="1"/>
  <c r="T178" i="88" s="1"/>
  <c r="T179" i="88" s="1"/>
  <c r="T180" i="88" s="1"/>
  <c r="T181" i="88" s="1"/>
  <c r="T182" i="88" s="1"/>
  <c r="T183" i="88" s="1"/>
  <c r="T184" i="88" s="1"/>
  <c r="T185" i="88" s="1"/>
  <c r="T186" i="88" s="1"/>
  <c r="T187" i="88" s="1"/>
  <c r="U175" i="88"/>
  <c r="U176" i="88" s="1"/>
  <c r="U177" i="88" s="1"/>
  <c r="U178" i="88" s="1"/>
  <c r="U179" i="88" s="1"/>
  <c r="U180" i="88" s="1"/>
  <c r="U181" i="88" s="1"/>
  <c r="U182" i="88" s="1"/>
  <c r="U183" i="88" s="1"/>
  <c r="U184" i="88" s="1"/>
  <c r="U185" i="88" s="1"/>
  <c r="U186" i="88" s="1"/>
  <c r="U187" i="88" s="1"/>
  <c r="V175" i="88"/>
  <c r="V176" i="88" s="1"/>
  <c r="V177" i="88" s="1"/>
  <c r="V178" i="88" s="1"/>
  <c r="V179" i="88" s="1"/>
  <c r="V180" i="88" s="1"/>
  <c r="V181" i="88" s="1"/>
  <c r="V182" i="88" s="1"/>
  <c r="V183" i="88" s="1"/>
  <c r="V184" i="88" s="1"/>
  <c r="V185" i="88" s="1"/>
  <c r="V186" i="88" s="1"/>
  <c r="V187" i="88" s="1"/>
  <c r="W175" i="88"/>
  <c r="W176" i="88" s="1"/>
  <c r="W177" i="88" s="1"/>
  <c r="W178" i="88" s="1"/>
  <c r="W179" i="88" s="1"/>
  <c r="W180" i="88" s="1"/>
  <c r="W181" i="88" s="1"/>
  <c r="W182" i="88" s="1"/>
  <c r="W183" i="88" s="1"/>
  <c r="W184" i="88" s="1"/>
  <c r="W185" i="88" s="1"/>
  <c r="W186" i="88" s="1"/>
  <c r="W187" i="88" s="1"/>
  <c r="X175" i="88"/>
  <c r="X176" i="88" s="1"/>
  <c r="X177" i="88" s="1"/>
  <c r="X178" i="88" s="1"/>
  <c r="X179" i="88" s="1"/>
  <c r="X180" i="88" s="1"/>
  <c r="X181" i="88" s="1"/>
  <c r="X182" i="88" s="1"/>
  <c r="X183" i="88" s="1"/>
  <c r="X184" i="88" s="1"/>
  <c r="X185" i="88" s="1"/>
  <c r="X186" i="88" s="1"/>
  <c r="X187" i="88" s="1"/>
  <c r="Y175" i="88"/>
  <c r="Y176" i="88" s="1"/>
  <c r="Y177" i="88" s="1"/>
  <c r="Y178" i="88" s="1"/>
  <c r="Y179" i="88" s="1"/>
  <c r="Y180" i="88" s="1"/>
  <c r="Y181" i="88" s="1"/>
  <c r="Y182" i="88" s="1"/>
  <c r="Y183" i="88" s="1"/>
  <c r="Y184" i="88" s="1"/>
  <c r="Y185" i="88" s="1"/>
  <c r="Y186" i="88" s="1"/>
  <c r="Y187" i="88" s="1"/>
  <c r="Z175" i="88"/>
  <c r="AA175" i="88"/>
  <c r="AA176" i="88" s="1"/>
  <c r="AA177" i="88" s="1"/>
  <c r="AA178" i="88" s="1"/>
  <c r="AA179" i="88" s="1"/>
  <c r="AA180" i="88" s="1"/>
  <c r="AA181" i="88" s="1"/>
  <c r="AA182" i="88" s="1"/>
  <c r="AA183" i="88" s="1"/>
  <c r="AA184" i="88" s="1"/>
  <c r="AA185" i="88" s="1"/>
  <c r="AA186" i="88" s="1"/>
  <c r="AA187" i="88" s="1"/>
  <c r="AB175" i="88"/>
  <c r="AB176" i="88" s="1"/>
  <c r="AB177" i="88" s="1"/>
  <c r="AB178" i="88" s="1"/>
  <c r="AB179" i="88" s="1"/>
  <c r="AB180" i="88" s="1"/>
  <c r="AB181" i="88" s="1"/>
  <c r="AB182" i="88" s="1"/>
  <c r="AB183" i="88" s="1"/>
  <c r="AB184" i="88" s="1"/>
  <c r="AB185" i="88" s="1"/>
  <c r="AB186" i="88" s="1"/>
  <c r="AB187" i="88" s="1"/>
  <c r="AC175" i="88"/>
  <c r="AC189" i="88" s="1"/>
  <c r="AC190" i="88" s="1"/>
  <c r="AC191" i="88" s="1"/>
  <c r="AC192" i="88" s="1"/>
  <c r="AC193" i="88" s="1"/>
  <c r="AC194" i="88" s="1"/>
  <c r="AC195" i="88" s="1"/>
  <c r="AC196" i="88" s="1"/>
  <c r="AC197" i="88" s="1"/>
  <c r="AC198" i="88" s="1"/>
  <c r="AC199" i="88" s="1"/>
  <c r="AC200" i="88" s="1"/>
  <c r="AD175" i="88"/>
  <c r="AD189" i="88" s="1"/>
  <c r="AD190" i="88" s="1"/>
  <c r="AD191" i="88" s="1"/>
  <c r="AD192" i="88" s="1"/>
  <c r="AD193" i="88" s="1"/>
  <c r="AD194" i="88" s="1"/>
  <c r="AD195" i="88" s="1"/>
  <c r="AD196" i="88" s="1"/>
  <c r="AD197" i="88" s="1"/>
  <c r="AD198" i="88" s="1"/>
  <c r="AD199" i="88" s="1"/>
  <c r="AD200" i="88" s="1"/>
  <c r="AE175" i="88"/>
  <c r="AE189" i="88" s="1"/>
  <c r="AE190" i="88" s="1"/>
  <c r="AE191" i="88" s="1"/>
  <c r="AE192" i="88" s="1"/>
  <c r="AE193" i="88" s="1"/>
  <c r="AE194" i="88" s="1"/>
  <c r="AE195" i="88" s="1"/>
  <c r="AE196" i="88" s="1"/>
  <c r="AE197" i="88" s="1"/>
  <c r="AE198" i="88" s="1"/>
  <c r="AE199" i="88" s="1"/>
  <c r="AE200" i="88" s="1"/>
  <c r="AF175" i="88"/>
  <c r="L176" i="88"/>
  <c r="L177" i="88" s="1"/>
  <c r="L178" i="88" s="1"/>
  <c r="L179" i="88" s="1"/>
  <c r="L180" i="88" s="1"/>
  <c r="L181" i="88" s="1"/>
  <c r="L182" i="88" s="1"/>
  <c r="L183" i="88" s="1"/>
  <c r="L184" i="88" s="1"/>
  <c r="L185" i="88" s="1"/>
  <c r="L186" i="88" s="1"/>
  <c r="L187" i="88" s="1"/>
  <c r="P176" i="88"/>
  <c r="P177" i="88" s="1"/>
  <c r="P178" i="88" s="1"/>
  <c r="P179" i="88" s="1"/>
  <c r="P180" i="88" s="1"/>
  <c r="P181" i="88" s="1"/>
  <c r="P182" i="88" s="1"/>
  <c r="P183" i="88" s="1"/>
  <c r="P184" i="88" s="1"/>
  <c r="P185" i="88" s="1"/>
  <c r="P186" i="88" s="1"/>
  <c r="P187" i="88" s="1"/>
  <c r="AF176" i="88"/>
  <c r="AF177" i="88" s="1"/>
  <c r="AF178" i="88" s="1"/>
  <c r="AF179" i="88" s="1"/>
  <c r="AF180" i="88" s="1"/>
  <c r="AF181" i="88" s="1"/>
  <c r="AF182" i="88" s="1"/>
  <c r="AF183" i="88" s="1"/>
  <c r="AF184" i="88" s="1"/>
  <c r="AF185" i="88" s="1"/>
  <c r="AF186" i="88" s="1"/>
  <c r="AF187" i="88" s="1"/>
  <c r="I189" i="88"/>
  <c r="I190" i="88" s="1"/>
  <c r="I191" i="88" s="1"/>
  <c r="I192" i="88" s="1"/>
  <c r="I193" i="88" s="1"/>
  <c r="I194" i="88" s="1"/>
  <c r="I195" i="88" s="1"/>
  <c r="I196" i="88" s="1"/>
  <c r="I197" i="88" s="1"/>
  <c r="I198" i="88" s="1"/>
  <c r="I199" i="88" s="1"/>
  <c r="I200" i="88" s="1"/>
  <c r="J189" i="88"/>
  <c r="J190" i="88" s="1"/>
  <c r="J191" i="88" s="1"/>
  <c r="J192" i="88" s="1"/>
  <c r="J193" i="88" s="1"/>
  <c r="J194" i="88" s="1"/>
  <c r="J195" i="88" s="1"/>
  <c r="J196" i="88" s="1"/>
  <c r="J197" i="88" s="1"/>
  <c r="J198" i="88" s="1"/>
  <c r="J199" i="88" s="1"/>
  <c r="J200" i="88" s="1"/>
  <c r="K189" i="88"/>
  <c r="K190" i="88" s="1"/>
  <c r="K191" i="88" s="1"/>
  <c r="K192" i="88" s="1"/>
  <c r="K193" i="88" s="1"/>
  <c r="K194" i="88" s="1"/>
  <c r="K195" i="88" s="1"/>
  <c r="K196" i="88" s="1"/>
  <c r="K197" i="88" s="1"/>
  <c r="K198" i="88" s="1"/>
  <c r="K199" i="88" s="1"/>
  <c r="K200" i="88" s="1"/>
  <c r="L189" i="88"/>
  <c r="L190" i="88" s="1"/>
  <c r="L191" i="88" s="1"/>
  <c r="L192" i="88" s="1"/>
  <c r="L193" i="88" s="1"/>
  <c r="L194" i="88" s="1"/>
  <c r="L195" i="88" s="1"/>
  <c r="L196" i="88" s="1"/>
  <c r="L197" i="88" s="1"/>
  <c r="L198" i="88" s="1"/>
  <c r="L199" i="88" s="1"/>
  <c r="L200" i="88" s="1"/>
  <c r="E175" i="88"/>
  <c r="E189" i="88" s="1"/>
  <c r="E190" i="88" s="1"/>
  <c r="E191" i="88" s="1"/>
  <c r="E192" i="88" s="1"/>
  <c r="E193" i="88" s="1"/>
  <c r="E194" i="88" s="1"/>
  <c r="E195" i="88" s="1"/>
  <c r="E196" i="88" s="1"/>
  <c r="E197" i="88" s="1"/>
  <c r="E198" i="88" s="1"/>
  <c r="E199" i="88" s="1"/>
  <c r="E200" i="88" s="1"/>
  <c r="E176" i="88"/>
  <c r="E177" i="88" s="1"/>
  <c r="E178" i="88" s="1"/>
  <c r="E179" i="88" s="1"/>
  <c r="E180" i="88" s="1"/>
  <c r="E181" i="88" s="1"/>
  <c r="E182" i="88" s="1"/>
  <c r="E183" i="88" s="1"/>
  <c r="E184" i="88" s="1"/>
  <c r="E185" i="88" s="1"/>
  <c r="E186" i="88" s="1"/>
  <c r="E187" i="88" s="1"/>
  <c r="I20" i="88"/>
  <c r="I21" i="88" s="1"/>
  <c r="I22" i="88" s="1"/>
  <c r="I23" i="88" s="1"/>
  <c r="I24" i="88" s="1"/>
  <c r="I25" i="88" s="1"/>
  <c r="I26" i="88" s="1"/>
  <c r="I27" i="88" s="1"/>
  <c r="I28" i="88" s="1"/>
  <c r="I29" i="88" s="1"/>
  <c r="I30" i="88" s="1"/>
  <c r="I31" i="88" s="1"/>
  <c r="K20" i="88"/>
  <c r="K21" i="88" s="1"/>
  <c r="K22" i="88" s="1"/>
  <c r="K23" i="88" s="1"/>
  <c r="K24" i="88" s="1"/>
  <c r="K25" i="88" s="1"/>
  <c r="K26" i="88" s="1"/>
  <c r="K27" i="88" s="1"/>
  <c r="K28" i="88" s="1"/>
  <c r="K29" i="88" s="1"/>
  <c r="K30" i="88" s="1"/>
  <c r="K31" i="88" s="1"/>
  <c r="R20" i="88"/>
  <c r="R21" i="88" s="1"/>
  <c r="R22" i="88" s="1"/>
  <c r="R23" i="88" s="1"/>
  <c r="R24" i="88" s="1"/>
  <c r="R25" i="88" s="1"/>
  <c r="R26" i="88" s="1"/>
  <c r="R27" i="88" s="1"/>
  <c r="R28" i="88" s="1"/>
  <c r="R29" i="88" s="1"/>
  <c r="R30" i="88" s="1"/>
  <c r="R31" i="88" s="1"/>
  <c r="T20" i="88"/>
  <c r="T21" i="88" s="1"/>
  <c r="T22" i="88" s="1"/>
  <c r="T23" i="88" s="1"/>
  <c r="T24" i="88" s="1"/>
  <c r="T25" i="88" s="1"/>
  <c r="T26" i="88" s="1"/>
  <c r="T27" i="88" s="1"/>
  <c r="T28" i="88" s="1"/>
  <c r="T29" i="88" s="1"/>
  <c r="T30" i="88" s="1"/>
  <c r="T31" i="88" s="1"/>
  <c r="AC20" i="88"/>
  <c r="AC21" i="88" s="1"/>
  <c r="AC22" i="88" s="1"/>
  <c r="AC23" i="88" s="1"/>
  <c r="AC24" i="88" s="1"/>
  <c r="AC25" i="88" s="1"/>
  <c r="AC26" i="88" s="1"/>
  <c r="AC27" i="88" s="1"/>
  <c r="AC28" i="88" s="1"/>
  <c r="AC29" i="88" s="1"/>
  <c r="AC30" i="88" s="1"/>
  <c r="AC31" i="88" s="1"/>
  <c r="F162" i="88"/>
  <c r="G162" i="88"/>
  <c r="H162" i="88"/>
  <c r="I162" i="88"/>
  <c r="J162" i="88"/>
  <c r="K162" i="88"/>
  <c r="L162" i="88"/>
  <c r="M162" i="88"/>
  <c r="N162" i="88"/>
  <c r="O162" i="88"/>
  <c r="P162" i="88"/>
  <c r="Q162" i="88"/>
  <c r="R162" i="88"/>
  <c r="S162" i="88"/>
  <c r="T162" i="88"/>
  <c r="U162" i="88"/>
  <c r="V162" i="88"/>
  <c r="W162" i="88"/>
  <c r="X162" i="88"/>
  <c r="Y162" i="88"/>
  <c r="Z162" i="88"/>
  <c r="AA162" i="88"/>
  <c r="AB162" i="88"/>
  <c r="AC162" i="88"/>
  <c r="AD162" i="88"/>
  <c r="AE162" i="88"/>
  <c r="AF162" i="88"/>
  <c r="F163" i="88"/>
  <c r="G163" i="88"/>
  <c r="H163" i="88"/>
  <c r="I163" i="88"/>
  <c r="J163" i="88"/>
  <c r="K163" i="88"/>
  <c r="L163" i="88"/>
  <c r="M163" i="88"/>
  <c r="N163" i="88"/>
  <c r="O163" i="88"/>
  <c r="P163" i="88"/>
  <c r="Q163" i="88"/>
  <c r="R163" i="88"/>
  <c r="S163" i="88"/>
  <c r="T163" i="88"/>
  <c r="U163" i="88"/>
  <c r="V163" i="88"/>
  <c r="W163" i="88"/>
  <c r="X163" i="88"/>
  <c r="Y163" i="88"/>
  <c r="Z163" i="88"/>
  <c r="AA163" i="88"/>
  <c r="AB163" i="88"/>
  <c r="AC163" i="88"/>
  <c r="AD163" i="88"/>
  <c r="AE163" i="88"/>
  <c r="AF163" i="88"/>
  <c r="F164" i="88"/>
  <c r="G164" i="88"/>
  <c r="H164" i="88"/>
  <c r="I164" i="88"/>
  <c r="J164" i="88"/>
  <c r="K164" i="88"/>
  <c r="L164" i="88"/>
  <c r="M164" i="88"/>
  <c r="N164" i="88"/>
  <c r="O164" i="88"/>
  <c r="P164" i="88"/>
  <c r="Q164" i="88"/>
  <c r="R164" i="88"/>
  <c r="S164" i="88"/>
  <c r="T164" i="88"/>
  <c r="U164" i="88"/>
  <c r="V164" i="88"/>
  <c r="W164" i="88"/>
  <c r="X164" i="88"/>
  <c r="Y164" i="88"/>
  <c r="Z164" i="88"/>
  <c r="AA164" i="88"/>
  <c r="AB164" i="88"/>
  <c r="AC164" i="88"/>
  <c r="AD164" i="88"/>
  <c r="AE164" i="88"/>
  <c r="AF164" i="88"/>
  <c r="F165" i="88"/>
  <c r="G165" i="88"/>
  <c r="H165" i="88"/>
  <c r="I165" i="88"/>
  <c r="J165" i="88"/>
  <c r="K165" i="88"/>
  <c r="L165" i="88"/>
  <c r="M165" i="88"/>
  <c r="N165" i="88"/>
  <c r="O165" i="88"/>
  <c r="P165" i="88"/>
  <c r="Q165" i="88"/>
  <c r="R165" i="88"/>
  <c r="S165" i="88"/>
  <c r="T165" i="88"/>
  <c r="U165" i="88"/>
  <c r="V165" i="88"/>
  <c r="W165" i="88"/>
  <c r="X165" i="88"/>
  <c r="Y165" i="88"/>
  <c r="Z165" i="88"/>
  <c r="AA165" i="88"/>
  <c r="AB165" i="88"/>
  <c r="AC165" i="88"/>
  <c r="AD165" i="88"/>
  <c r="AE165" i="88"/>
  <c r="AF165" i="88"/>
  <c r="F166" i="88"/>
  <c r="G166" i="88"/>
  <c r="H166" i="88"/>
  <c r="I166" i="88"/>
  <c r="J166" i="88"/>
  <c r="K166" i="88"/>
  <c r="L166" i="88"/>
  <c r="M166" i="88"/>
  <c r="N166" i="88"/>
  <c r="O166" i="88"/>
  <c r="P166" i="88"/>
  <c r="Q166" i="88"/>
  <c r="R166" i="88"/>
  <c r="S166" i="88"/>
  <c r="T166" i="88"/>
  <c r="U166" i="88"/>
  <c r="V166" i="88"/>
  <c r="W166" i="88"/>
  <c r="X166" i="88"/>
  <c r="Y166" i="88"/>
  <c r="Z166" i="88"/>
  <c r="AA166" i="88"/>
  <c r="AB166" i="88"/>
  <c r="AC166" i="88"/>
  <c r="AD166" i="88"/>
  <c r="AE166" i="88"/>
  <c r="AF166" i="88"/>
  <c r="F167" i="88"/>
  <c r="G167" i="88"/>
  <c r="H167" i="88"/>
  <c r="I167" i="88"/>
  <c r="J167" i="88"/>
  <c r="K167" i="88"/>
  <c r="L167" i="88"/>
  <c r="M167" i="88"/>
  <c r="N167" i="88"/>
  <c r="O167" i="88"/>
  <c r="P167" i="88"/>
  <c r="Q167" i="88"/>
  <c r="R167" i="88"/>
  <c r="S167" i="88"/>
  <c r="T167" i="88"/>
  <c r="U167" i="88"/>
  <c r="V167" i="88"/>
  <c r="W167" i="88"/>
  <c r="X167" i="88"/>
  <c r="Y167" i="88"/>
  <c r="Z167" i="88"/>
  <c r="AA167" i="88"/>
  <c r="AB167" i="88"/>
  <c r="AC167" i="88"/>
  <c r="AD167" i="88"/>
  <c r="AE167" i="88"/>
  <c r="AF167" i="88"/>
  <c r="F168" i="88"/>
  <c r="G168" i="88"/>
  <c r="H168" i="88"/>
  <c r="I168" i="88"/>
  <c r="J168" i="88"/>
  <c r="K168" i="88"/>
  <c r="L168" i="88"/>
  <c r="M168" i="88"/>
  <c r="N168" i="88"/>
  <c r="O168" i="88"/>
  <c r="P168" i="88"/>
  <c r="Q168" i="88"/>
  <c r="R168" i="88"/>
  <c r="S168" i="88"/>
  <c r="T168" i="88"/>
  <c r="U168" i="88"/>
  <c r="V168" i="88"/>
  <c r="W168" i="88"/>
  <c r="X168" i="88"/>
  <c r="Y168" i="88"/>
  <c r="Z168" i="88"/>
  <c r="AA168" i="88"/>
  <c r="AB168" i="88"/>
  <c r="AC168" i="88"/>
  <c r="AD168" i="88"/>
  <c r="AE168" i="88"/>
  <c r="AF168" i="88"/>
  <c r="F169" i="88"/>
  <c r="G169" i="88"/>
  <c r="H169" i="88"/>
  <c r="I169" i="88"/>
  <c r="J169" i="88"/>
  <c r="K169" i="88"/>
  <c r="L169" i="88"/>
  <c r="M169" i="88"/>
  <c r="N169" i="88"/>
  <c r="O169" i="88"/>
  <c r="P169" i="88"/>
  <c r="Q169" i="88"/>
  <c r="R169" i="88"/>
  <c r="S169" i="88"/>
  <c r="T169" i="88"/>
  <c r="U169" i="88"/>
  <c r="V169" i="88"/>
  <c r="W169" i="88"/>
  <c r="X169" i="88"/>
  <c r="Y169" i="88"/>
  <c r="Z169" i="88"/>
  <c r="AA169" i="88"/>
  <c r="AB169" i="88"/>
  <c r="AC169" i="88"/>
  <c r="AD169" i="88"/>
  <c r="AE169" i="88"/>
  <c r="AF169" i="88"/>
  <c r="F170" i="88"/>
  <c r="G170" i="88"/>
  <c r="H170" i="88"/>
  <c r="I170" i="88"/>
  <c r="J170" i="88"/>
  <c r="K170" i="88"/>
  <c r="L170" i="88"/>
  <c r="M170" i="88"/>
  <c r="N170" i="88"/>
  <c r="O170" i="88"/>
  <c r="P170" i="88"/>
  <c r="Q170" i="88"/>
  <c r="R170" i="88"/>
  <c r="S170" i="88"/>
  <c r="T170" i="88"/>
  <c r="U170" i="88"/>
  <c r="V170" i="88"/>
  <c r="W170" i="88"/>
  <c r="X170" i="88"/>
  <c r="Y170" i="88"/>
  <c r="Z170" i="88"/>
  <c r="AA170" i="88"/>
  <c r="AB170" i="88"/>
  <c r="AC170" i="88"/>
  <c r="AD170" i="88"/>
  <c r="AE170" i="88"/>
  <c r="AF170" i="88"/>
  <c r="F171" i="88"/>
  <c r="G171" i="88"/>
  <c r="H171" i="88"/>
  <c r="I171" i="88"/>
  <c r="J171" i="88"/>
  <c r="K171" i="88"/>
  <c r="L171" i="88"/>
  <c r="M171" i="88"/>
  <c r="N171" i="88"/>
  <c r="O171" i="88"/>
  <c r="P171" i="88"/>
  <c r="Q171" i="88"/>
  <c r="R171" i="88"/>
  <c r="S171" i="88"/>
  <c r="T171" i="88"/>
  <c r="U171" i="88"/>
  <c r="V171" i="88"/>
  <c r="W171" i="88"/>
  <c r="X171" i="88"/>
  <c r="Y171" i="88"/>
  <c r="Z171" i="88"/>
  <c r="AA171" i="88"/>
  <c r="AB171" i="88"/>
  <c r="AC171" i="88"/>
  <c r="AD171" i="88"/>
  <c r="AE171" i="88"/>
  <c r="AF171" i="88"/>
  <c r="F172" i="88"/>
  <c r="G172" i="88"/>
  <c r="H172" i="88"/>
  <c r="I172" i="88"/>
  <c r="J172" i="88"/>
  <c r="K172" i="88"/>
  <c r="L172" i="88"/>
  <c r="M172" i="88"/>
  <c r="N172" i="88"/>
  <c r="O172" i="88"/>
  <c r="P172" i="88"/>
  <c r="Q172" i="88"/>
  <c r="R172" i="88"/>
  <c r="S172" i="88"/>
  <c r="T172" i="88"/>
  <c r="U172" i="88"/>
  <c r="V172" i="88"/>
  <c r="W172" i="88"/>
  <c r="X172" i="88"/>
  <c r="Y172" i="88"/>
  <c r="Z172" i="88"/>
  <c r="AA172" i="88"/>
  <c r="AB172" i="88"/>
  <c r="AC172" i="88"/>
  <c r="AD172" i="88"/>
  <c r="AE172" i="88"/>
  <c r="AF172" i="88"/>
  <c r="F173" i="88"/>
  <c r="G173" i="88"/>
  <c r="H173" i="88"/>
  <c r="I173" i="88"/>
  <c r="J173" i="88"/>
  <c r="K173" i="88"/>
  <c r="L173" i="88"/>
  <c r="M173" i="88"/>
  <c r="N173" i="88"/>
  <c r="O173" i="88"/>
  <c r="P173" i="88"/>
  <c r="Q173" i="88"/>
  <c r="R173" i="88"/>
  <c r="S173" i="88"/>
  <c r="T173" i="88"/>
  <c r="U173" i="88"/>
  <c r="V173" i="88"/>
  <c r="W173" i="88"/>
  <c r="X173" i="88"/>
  <c r="Y173" i="88"/>
  <c r="Z173" i="88"/>
  <c r="AA173" i="88"/>
  <c r="AB173" i="88"/>
  <c r="AC173" i="88"/>
  <c r="AD173" i="88"/>
  <c r="AE173" i="88"/>
  <c r="AF173" i="88"/>
  <c r="F174" i="88"/>
  <c r="G174" i="88"/>
  <c r="H174" i="88"/>
  <c r="I174" i="88"/>
  <c r="J174" i="88"/>
  <c r="K174" i="88"/>
  <c r="L174" i="88"/>
  <c r="M174" i="88"/>
  <c r="N174" i="88"/>
  <c r="O174" i="88"/>
  <c r="P174" i="88"/>
  <c r="Q174" i="88"/>
  <c r="R174" i="88"/>
  <c r="S174" i="88"/>
  <c r="T174" i="88"/>
  <c r="U174" i="88"/>
  <c r="V174" i="88"/>
  <c r="W174" i="88"/>
  <c r="X174" i="88"/>
  <c r="Y174" i="88"/>
  <c r="Z174" i="88"/>
  <c r="AA174" i="88"/>
  <c r="AB174" i="88"/>
  <c r="AC174" i="88"/>
  <c r="AD174" i="88"/>
  <c r="AE174" i="88"/>
  <c r="AF174" i="88"/>
  <c r="E163" i="88"/>
  <c r="E164" i="88"/>
  <c r="E165" i="88"/>
  <c r="E166" i="88"/>
  <c r="E167" i="88"/>
  <c r="E168" i="88"/>
  <c r="E169" i="88"/>
  <c r="E170" i="88"/>
  <c r="E171" i="88"/>
  <c r="E172" i="88"/>
  <c r="E173" i="88"/>
  <c r="E174" i="88"/>
  <c r="E162" i="88"/>
  <c r="F45" i="88"/>
  <c r="G45" i="88"/>
  <c r="H45" i="88"/>
  <c r="I45" i="88"/>
  <c r="J45" i="88"/>
  <c r="K45" i="88"/>
  <c r="L45" i="88"/>
  <c r="M45" i="88"/>
  <c r="N45" i="88"/>
  <c r="O45" i="88"/>
  <c r="P45" i="88"/>
  <c r="Q45" i="88"/>
  <c r="R45" i="88"/>
  <c r="S45" i="88"/>
  <c r="T45" i="88"/>
  <c r="U45" i="88"/>
  <c r="V45" i="88"/>
  <c r="W45" i="88"/>
  <c r="X45" i="88"/>
  <c r="Y45" i="88"/>
  <c r="Z45" i="88"/>
  <c r="AA45" i="88"/>
  <c r="AB45" i="88"/>
  <c r="AC45" i="88"/>
  <c r="AD45" i="88"/>
  <c r="AE45" i="88"/>
  <c r="AF45" i="88"/>
  <c r="F46" i="88"/>
  <c r="G46" i="88"/>
  <c r="H46" i="88"/>
  <c r="I46" i="88"/>
  <c r="J46" i="88"/>
  <c r="K46" i="88"/>
  <c r="L46" i="88"/>
  <c r="M46" i="88"/>
  <c r="N46" i="88"/>
  <c r="O46" i="88"/>
  <c r="P46" i="88"/>
  <c r="Q46" i="88"/>
  <c r="R46" i="88"/>
  <c r="S46" i="88"/>
  <c r="T46" i="88"/>
  <c r="U46" i="88"/>
  <c r="V46" i="88"/>
  <c r="W46" i="88"/>
  <c r="X46" i="88"/>
  <c r="Y46" i="88"/>
  <c r="Z46" i="88"/>
  <c r="AA46" i="88"/>
  <c r="AB46" i="88"/>
  <c r="AC46" i="88"/>
  <c r="AD46" i="88"/>
  <c r="AE46" i="88"/>
  <c r="AF46" i="88"/>
  <c r="F47" i="88"/>
  <c r="G47" i="88"/>
  <c r="H47" i="88"/>
  <c r="I47" i="88"/>
  <c r="J47" i="88"/>
  <c r="K47" i="88"/>
  <c r="L47" i="88"/>
  <c r="M47" i="88"/>
  <c r="N47" i="88"/>
  <c r="O47" i="88"/>
  <c r="P47" i="88"/>
  <c r="Q47" i="88"/>
  <c r="R47" i="88"/>
  <c r="S47" i="88"/>
  <c r="T47" i="88"/>
  <c r="U47" i="88"/>
  <c r="V47" i="88"/>
  <c r="W47" i="88"/>
  <c r="X47" i="88"/>
  <c r="Y47" i="88"/>
  <c r="Z47" i="88"/>
  <c r="AA47" i="88"/>
  <c r="AB47" i="88"/>
  <c r="AC47" i="88"/>
  <c r="AD47" i="88"/>
  <c r="AE47" i="88"/>
  <c r="AF47" i="88"/>
  <c r="F48" i="88"/>
  <c r="G48" i="88"/>
  <c r="H48" i="88"/>
  <c r="I48" i="88"/>
  <c r="J48" i="88"/>
  <c r="K48" i="88"/>
  <c r="L48" i="88"/>
  <c r="M48" i="88"/>
  <c r="N48" i="88"/>
  <c r="O48" i="88"/>
  <c r="P48" i="88"/>
  <c r="Q48" i="88"/>
  <c r="R48" i="88"/>
  <c r="S48" i="88"/>
  <c r="T48" i="88"/>
  <c r="U48" i="88"/>
  <c r="V48" i="88"/>
  <c r="W48" i="88"/>
  <c r="X48" i="88"/>
  <c r="Y48" i="88"/>
  <c r="Z48" i="88"/>
  <c r="AA48" i="88"/>
  <c r="AB48" i="88"/>
  <c r="AC48" i="88"/>
  <c r="AD48" i="88"/>
  <c r="AE48" i="88"/>
  <c r="AF48" i="88"/>
  <c r="F49" i="88"/>
  <c r="G49" i="88"/>
  <c r="H49" i="88"/>
  <c r="I49" i="88"/>
  <c r="J49" i="88"/>
  <c r="K49" i="88"/>
  <c r="L49" i="88"/>
  <c r="M49" i="88"/>
  <c r="N49" i="88"/>
  <c r="O49" i="88"/>
  <c r="P49" i="88"/>
  <c r="Q49" i="88"/>
  <c r="R49" i="88"/>
  <c r="S49" i="88"/>
  <c r="T49" i="88"/>
  <c r="U49" i="88"/>
  <c r="V49" i="88"/>
  <c r="W49" i="88"/>
  <c r="X49" i="88"/>
  <c r="Y49" i="88"/>
  <c r="Z49" i="88"/>
  <c r="AA49" i="88"/>
  <c r="AB49" i="88"/>
  <c r="AC49" i="88"/>
  <c r="AD49" i="88"/>
  <c r="AE49" i="88"/>
  <c r="AF49" i="88"/>
  <c r="F50" i="88"/>
  <c r="G50" i="88"/>
  <c r="H50" i="88"/>
  <c r="I50" i="88"/>
  <c r="J50" i="88"/>
  <c r="K50" i="88"/>
  <c r="L50" i="88"/>
  <c r="M50" i="88"/>
  <c r="N50" i="88"/>
  <c r="O50" i="88"/>
  <c r="P50" i="88"/>
  <c r="Q50" i="88"/>
  <c r="R50" i="88"/>
  <c r="S50" i="88"/>
  <c r="T50" i="88"/>
  <c r="U50" i="88"/>
  <c r="V50" i="88"/>
  <c r="W50" i="88"/>
  <c r="X50" i="88"/>
  <c r="Y50" i="88"/>
  <c r="Z50" i="88"/>
  <c r="AA50" i="88"/>
  <c r="AB50" i="88"/>
  <c r="AC50" i="88"/>
  <c r="AD50" i="88"/>
  <c r="AE50" i="88"/>
  <c r="AF50" i="88"/>
  <c r="F51" i="88"/>
  <c r="G51" i="88"/>
  <c r="H51" i="88"/>
  <c r="I51" i="88"/>
  <c r="J51" i="88"/>
  <c r="K51" i="88"/>
  <c r="L51" i="88"/>
  <c r="M51" i="88"/>
  <c r="N51" i="88"/>
  <c r="O51" i="88"/>
  <c r="P51" i="88"/>
  <c r="Q51" i="88"/>
  <c r="R51" i="88"/>
  <c r="S51" i="88"/>
  <c r="T51" i="88"/>
  <c r="U51" i="88"/>
  <c r="V51" i="88"/>
  <c r="W51" i="88"/>
  <c r="X51" i="88"/>
  <c r="Y51" i="88"/>
  <c r="Z51" i="88"/>
  <c r="AA51" i="88"/>
  <c r="AB51" i="88"/>
  <c r="AC51" i="88"/>
  <c r="AD51" i="88"/>
  <c r="AE51" i="88"/>
  <c r="AF51" i="88"/>
  <c r="F52" i="88"/>
  <c r="G52" i="88"/>
  <c r="H52" i="88"/>
  <c r="I52" i="88"/>
  <c r="J52" i="88"/>
  <c r="K52" i="88"/>
  <c r="L52" i="88"/>
  <c r="M52" i="88"/>
  <c r="N52" i="88"/>
  <c r="O52" i="88"/>
  <c r="P52" i="88"/>
  <c r="Q52" i="88"/>
  <c r="R52" i="88"/>
  <c r="S52" i="88"/>
  <c r="T52" i="88"/>
  <c r="U52" i="88"/>
  <c r="V52" i="88"/>
  <c r="W52" i="88"/>
  <c r="X52" i="88"/>
  <c r="Y52" i="88"/>
  <c r="Z52" i="88"/>
  <c r="AA52" i="88"/>
  <c r="AB52" i="88"/>
  <c r="AC52" i="88"/>
  <c r="AD52" i="88"/>
  <c r="AE52" i="88"/>
  <c r="AF52" i="88"/>
  <c r="F53" i="88"/>
  <c r="G53" i="88"/>
  <c r="H53" i="88"/>
  <c r="I53" i="88"/>
  <c r="J53" i="88"/>
  <c r="K53" i="88"/>
  <c r="L53" i="88"/>
  <c r="M53" i="88"/>
  <c r="N53" i="88"/>
  <c r="O53" i="88"/>
  <c r="P53" i="88"/>
  <c r="Q53" i="88"/>
  <c r="R53" i="88"/>
  <c r="S53" i="88"/>
  <c r="T53" i="88"/>
  <c r="U53" i="88"/>
  <c r="V53" i="88"/>
  <c r="W53" i="88"/>
  <c r="X53" i="88"/>
  <c r="Y53" i="88"/>
  <c r="Z53" i="88"/>
  <c r="AA53" i="88"/>
  <c r="AB53" i="88"/>
  <c r="AC53" i="88"/>
  <c r="AD53" i="88"/>
  <c r="AE53" i="88"/>
  <c r="AF53" i="88"/>
  <c r="F54" i="88"/>
  <c r="G54" i="88"/>
  <c r="H54" i="88"/>
  <c r="I54" i="88"/>
  <c r="J54" i="88"/>
  <c r="K54" i="88"/>
  <c r="L54" i="88"/>
  <c r="M54" i="88"/>
  <c r="N54" i="88"/>
  <c r="O54" i="88"/>
  <c r="P54" i="88"/>
  <c r="Q54" i="88"/>
  <c r="R54" i="88"/>
  <c r="S54" i="88"/>
  <c r="T54" i="88"/>
  <c r="U54" i="88"/>
  <c r="V54" i="88"/>
  <c r="W54" i="88"/>
  <c r="X54" i="88"/>
  <c r="Y54" i="88"/>
  <c r="Z54" i="88"/>
  <c r="AA54" i="88"/>
  <c r="AB54" i="88"/>
  <c r="AC54" i="88"/>
  <c r="AD54" i="88"/>
  <c r="AE54" i="88"/>
  <c r="AF54" i="88"/>
  <c r="F55" i="88"/>
  <c r="G55" i="88"/>
  <c r="H55" i="88"/>
  <c r="I55" i="88"/>
  <c r="J55" i="88"/>
  <c r="K55" i="88"/>
  <c r="L55" i="88"/>
  <c r="M55" i="88"/>
  <c r="N55" i="88"/>
  <c r="O55" i="88"/>
  <c r="P55" i="88"/>
  <c r="Q55" i="88"/>
  <c r="R55" i="88"/>
  <c r="S55" i="88"/>
  <c r="T55" i="88"/>
  <c r="U55" i="88"/>
  <c r="V55" i="88"/>
  <c r="W55" i="88"/>
  <c r="X55" i="88"/>
  <c r="Y55" i="88"/>
  <c r="Z55" i="88"/>
  <c r="AA55" i="88"/>
  <c r="AB55" i="88"/>
  <c r="AC55" i="88"/>
  <c r="AD55" i="88"/>
  <c r="AE55" i="88"/>
  <c r="AF55" i="88"/>
  <c r="F56" i="88"/>
  <c r="G56" i="88"/>
  <c r="H56" i="88"/>
  <c r="I56" i="88"/>
  <c r="J56" i="88"/>
  <c r="K56" i="88"/>
  <c r="L56" i="88"/>
  <c r="M56" i="88"/>
  <c r="N56" i="88"/>
  <c r="O56" i="88"/>
  <c r="P56" i="88"/>
  <c r="Q56" i="88"/>
  <c r="R56" i="88"/>
  <c r="S56" i="88"/>
  <c r="T56" i="88"/>
  <c r="U56" i="88"/>
  <c r="V56" i="88"/>
  <c r="W56" i="88"/>
  <c r="X56" i="88"/>
  <c r="Y56" i="88"/>
  <c r="Z56" i="88"/>
  <c r="AA56" i="88"/>
  <c r="AB56" i="88"/>
  <c r="AC56" i="88"/>
  <c r="AD56" i="88"/>
  <c r="AE56" i="88"/>
  <c r="AF56" i="88"/>
  <c r="F57" i="88"/>
  <c r="G57" i="88"/>
  <c r="H57" i="88"/>
  <c r="I57" i="88"/>
  <c r="J57" i="88"/>
  <c r="K57" i="88"/>
  <c r="L57" i="88"/>
  <c r="M57" i="88"/>
  <c r="N57" i="88"/>
  <c r="O57" i="88"/>
  <c r="P57" i="88"/>
  <c r="Q57" i="88"/>
  <c r="R57" i="88"/>
  <c r="S57" i="88"/>
  <c r="T57" i="88"/>
  <c r="U57" i="88"/>
  <c r="V57" i="88"/>
  <c r="W57" i="88"/>
  <c r="X57" i="88"/>
  <c r="Y57" i="88"/>
  <c r="Z57" i="88"/>
  <c r="AA57" i="88"/>
  <c r="AB57" i="88"/>
  <c r="AC57" i="88"/>
  <c r="AD57" i="88"/>
  <c r="AE57" i="88"/>
  <c r="AF57" i="88"/>
  <c r="F58" i="88"/>
  <c r="G58" i="88"/>
  <c r="H58" i="88"/>
  <c r="I58" i="88"/>
  <c r="J58" i="88"/>
  <c r="K58" i="88"/>
  <c r="L58" i="88"/>
  <c r="M58" i="88"/>
  <c r="N58" i="88"/>
  <c r="O58" i="88"/>
  <c r="P58" i="88"/>
  <c r="Q58" i="88"/>
  <c r="R58" i="88"/>
  <c r="S58" i="88"/>
  <c r="T58" i="88"/>
  <c r="U58" i="88"/>
  <c r="V58" i="88"/>
  <c r="W58" i="88"/>
  <c r="X58" i="88"/>
  <c r="Y58" i="88"/>
  <c r="Z58" i="88"/>
  <c r="AA58" i="88"/>
  <c r="AB58" i="88"/>
  <c r="AC58" i="88"/>
  <c r="AD58" i="88"/>
  <c r="AE58" i="88"/>
  <c r="AF58" i="88"/>
  <c r="F59" i="88"/>
  <c r="G59" i="88"/>
  <c r="H59" i="88"/>
  <c r="I59" i="88"/>
  <c r="J59" i="88"/>
  <c r="K59" i="88"/>
  <c r="L59" i="88"/>
  <c r="M59" i="88"/>
  <c r="N59" i="88"/>
  <c r="O59" i="88"/>
  <c r="P59" i="88"/>
  <c r="Q59" i="88"/>
  <c r="R59" i="88"/>
  <c r="S59" i="88"/>
  <c r="T59" i="88"/>
  <c r="U59" i="88"/>
  <c r="V59" i="88"/>
  <c r="W59" i="88"/>
  <c r="X59" i="88"/>
  <c r="Y59" i="88"/>
  <c r="Z59" i="88"/>
  <c r="AA59" i="88"/>
  <c r="AB59" i="88"/>
  <c r="AC59" i="88"/>
  <c r="AD59" i="88"/>
  <c r="AE59" i="88"/>
  <c r="AF59" i="88"/>
  <c r="F60" i="88"/>
  <c r="G60" i="88"/>
  <c r="H60" i="88"/>
  <c r="I60" i="88"/>
  <c r="J60" i="88"/>
  <c r="K60" i="88"/>
  <c r="L60" i="88"/>
  <c r="M60" i="88"/>
  <c r="N60" i="88"/>
  <c r="O60" i="88"/>
  <c r="P60" i="88"/>
  <c r="Q60" i="88"/>
  <c r="R60" i="88"/>
  <c r="S60" i="88"/>
  <c r="T60" i="88"/>
  <c r="U60" i="88"/>
  <c r="V60" i="88"/>
  <c r="W60" i="88"/>
  <c r="X60" i="88"/>
  <c r="Y60" i="88"/>
  <c r="Z60" i="88"/>
  <c r="AA60" i="88"/>
  <c r="AB60" i="88"/>
  <c r="AC60" i="88"/>
  <c r="AD60" i="88"/>
  <c r="AE60" i="88"/>
  <c r="AF60" i="88"/>
  <c r="F61" i="88"/>
  <c r="G61" i="88"/>
  <c r="H61" i="88"/>
  <c r="I61" i="88"/>
  <c r="J61" i="88"/>
  <c r="K61" i="88"/>
  <c r="L61" i="88"/>
  <c r="M61" i="88"/>
  <c r="N61" i="88"/>
  <c r="O61" i="88"/>
  <c r="P61" i="88"/>
  <c r="Q61" i="88"/>
  <c r="R61" i="88"/>
  <c r="S61" i="88"/>
  <c r="T61" i="88"/>
  <c r="U61" i="88"/>
  <c r="V61" i="88"/>
  <c r="W61" i="88"/>
  <c r="X61" i="88"/>
  <c r="Y61" i="88"/>
  <c r="Z61" i="88"/>
  <c r="AA61" i="88"/>
  <c r="AB61" i="88"/>
  <c r="AC61" i="88"/>
  <c r="AD61" i="88"/>
  <c r="AE61" i="88"/>
  <c r="AF61" i="88"/>
  <c r="F62" i="88"/>
  <c r="G62" i="88"/>
  <c r="H62" i="88"/>
  <c r="I62" i="88"/>
  <c r="J62" i="88"/>
  <c r="K62" i="88"/>
  <c r="L62" i="88"/>
  <c r="M62" i="88"/>
  <c r="N62" i="88"/>
  <c r="O62" i="88"/>
  <c r="P62" i="88"/>
  <c r="Q62" i="88"/>
  <c r="R62" i="88"/>
  <c r="S62" i="88"/>
  <c r="T62" i="88"/>
  <c r="U62" i="88"/>
  <c r="V62" i="88"/>
  <c r="W62" i="88"/>
  <c r="X62" i="88"/>
  <c r="Y62" i="88"/>
  <c r="Z62" i="88"/>
  <c r="AA62" i="88"/>
  <c r="AB62" i="88"/>
  <c r="AC62" i="88"/>
  <c r="AD62" i="88"/>
  <c r="AE62" i="88"/>
  <c r="AF62" i="88"/>
  <c r="F63" i="88"/>
  <c r="G63" i="88"/>
  <c r="H63" i="88"/>
  <c r="I63" i="88"/>
  <c r="J63" i="88"/>
  <c r="K63" i="88"/>
  <c r="L63" i="88"/>
  <c r="M63" i="88"/>
  <c r="N63" i="88"/>
  <c r="O63" i="88"/>
  <c r="P63" i="88"/>
  <c r="Q63" i="88"/>
  <c r="R63" i="88"/>
  <c r="S63" i="88"/>
  <c r="T63" i="88"/>
  <c r="U63" i="88"/>
  <c r="V63" i="88"/>
  <c r="W63" i="88"/>
  <c r="X63" i="88"/>
  <c r="Y63" i="88"/>
  <c r="Z63" i="88"/>
  <c r="AA63" i="88"/>
  <c r="AB63" i="88"/>
  <c r="AC63" i="88"/>
  <c r="AD63" i="88"/>
  <c r="AE63" i="88"/>
  <c r="AF63" i="88"/>
  <c r="F64" i="88"/>
  <c r="G64" i="88"/>
  <c r="H64" i="88"/>
  <c r="I64" i="88"/>
  <c r="J64" i="88"/>
  <c r="K64" i="88"/>
  <c r="L64" i="88"/>
  <c r="M64" i="88"/>
  <c r="N64" i="88"/>
  <c r="O64" i="88"/>
  <c r="P64" i="88"/>
  <c r="Q64" i="88"/>
  <c r="R64" i="88"/>
  <c r="S64" i="88"/>
  <c r="T64" i="88"/>
  <c r="U64" i="88"/>
  <c r="V64" i="88"/>
  <c r="W64" i="88"/>
  <c r="X64" i="88"/>
  <c r="Y64" i="88"/>
  <c r="Z64" i="88"/>
  <c r="AA64" i="88"/>
  <c r="AB64" i="88"/>
  <c r="AC64" i="88"/>
  <c r="AD64" i="88"/>
  <c r="AE64" i="88"/>
  <c r="AF64" i="88"/>
  <c r="F65" i="88"/>
  <c r="G65" i="88"/>
  <c r="H65" i="88"/>
  <c r="I65" i="88"/>
  <c r="J65" i="88"/>
  <c r="K65" i="88"/>
  <c r="L65" i="88"/>
  <c r="M65" i="88"/>
  <c r="N65" i="88"/>
  <c r="O65" i="88"/>
  <c r="P65" i="88"/>
  <c r="Q65" i="88"/>
  <c r="R65" i="88"/>
  <c r="S65" i="88"/>
  <c r="T65" i="88"/>
  <c r="U65" i="88"/>
  <c r="V65" i="88"/>
  <c r="W65" i="88"/>
  <c r="X65" i="88"/>
  <c r="Y65" i="88"/>
  <c r="Z65" i="88"/>
  <c r="AA65" i="88"/>
  <c r="AB65" i="88"/>
  <c r="AC65" i="88"/>
  <c r="AD65" i="88"/>
  <c r="AE65" i="88"/>
  <c r="AF65" i="88"/>
  <c r="F66" i="88"/>
  <c r="G66" i="88"/>
  <c r="H66" i="88"/>
  <c r="I66" i="88"/>
  <c r="J66" i="88"/>
  <c r="K66" i="88"/>
  <c r="L66" i="88"/>
  <c r="M66" i="88"/>
  <c r="N66" i="88"/>
  <c r="O66" i="88"/>
  <c r="P66" i="88"/>
  <c r="Q66" i="88"/>
  <c r="R66" i="88"/>
  <c r="S66" i="88"/>
  <c r="T66" i="88"/>
  <c r="U66" i="88"/>
  <c r="V66" i="88"/>
  <c r="W66" i="88"/>
  <c r="X66" i="88"/>
  <c r="Y66" i="88"/>
  <c r="Z66" i="88"/>
  <c r="AA66" i="88"/>
  <c r="AB66" i="88"/>
  <c r="AC66" i="88"/>
  <c r="AD66" i="88"/>
  <c r="AE66" i="88"/>
  <c r="AF66" i="88"/>
  <c r="F67" i="88"/>
  <c r="G67" i="88"/>
  <c r="H67" i="88"/>
  <c r="I67" i="88"/>
  <c r="J67" i="88"/>
  <c r="K67" i="88"/>
  <c r="L67" i="88"/>
  <c r="M67" i="88"/>
  <c r="N67" i="88"/>
  <c r="O67" i="88"/>
  <c r="P67" i="88"/>
  <c r="Q67" i="88"/>
  <c r="R67" i="88"/>
  <c r="S67" i="88"/>
  <c r="T67" i="88"/>
  <c r="U67" i="88"/>
  <c r="V67" i="88"/>
  <c r="W67" i="88"/>
  <c r="X67" i="88"/>
  <c r="Y67" i="88"/>
  <c r="Z67" i="88"/>
  <c r="AA67" i="88"/>
  <c r="AB67" i="88"/>
  <c r="AC67" i="88"/>
  <c r="AD67" i="88"/>
  <c r="AE67" i="88"/>
  <c r="AF67" i="88"/>
  <c r="F68" i="88"/>
  <c r="G68" i="88"/>
  <c r="H68" i="88"/>
  <c r="I68" i="88"/>
  <c r="J68" i="88"/>
  <c r="K68" i="88"/>
  <c r="L68" i="88"/>
  <c r="M68" i="88"/>
  <c r="N68" i="88"/>
  <c r="O68" i="88"/>
  <c r="P68" i="88"/>
  <c r="Q68" i="88"/>
  <c r="R68" i="88"/>
  <c r="S68" i="88"/>
  <c r="T68" i="88"/>
  <c r="U68" i="88"/>
  <c r="V68" i="88"/>
  <c r="W68" i="88"/>
  <c r="X68" i="88"/>
  <c r="Y68" i="88"/>
  <c r="Z68" i="88"/>
  <c r="AA68" i="88"/>
  <c r="AB68" i="88"/>
  <c r="AC68" i="88"/>
  <c r="AD68" i="88"/>
  <c r="AE68" i="88"/>
  <c r="AF68" i="88"/>
  <c r="F69" i="88"/>
  <c r="G69" i="88"/>
  <c r="H69" i="88"/>
  <c r="I69" i="88"/>
  <c r="J69" i="88"/>
  <c r="K69" i="88"/>
  <c r="L69" i="88"/>
  <c r="M69" i="88"/>
  <c r="N69" i="88"/>
  <c r="O69" i="88"/>
  <c r="P69" i="88"/>
  <c r="Q69" i="88"/>
  <c r="R69" i="88"/>
  <c r="S69" i="88"/>
  <c r="T69" i="88"/>
  <c r="U69" i="88"/>
  <c r="V69" i="88"/>
  <c r="W69" i="88"/>
  <c r="X69" i="88"/>
  <c r="Y69" i="88"/>
  <c r="Z69" i="88"/>
  <c r="AA69" i="88"/>
  <c r="AB69" i="88"/>
  <c r="AC69" i="88"/>
  <c r="AD69" i="88"/>
  <c r="AE69" i="88"/>
  <c r="AF69" i="88"/>
  <c r="F70" i="88"/>
  <c r="G70" i="88"/>
  <c r="H70" i="88"/>
  <c r="I70" i="88"/>
  <c r="J70" i="88"/>
  <c r="K70" i="88"/>
  <c r="L70" i="88"/>
  <c r="M70" i="88"/>
  <c r="N70" i="88"/>
  <c r="O70" i="88"/>
  <c r="P70" i="88"/>
  <c r="Q70" i="88"/>
  <c r="R70" i="88"/>
  <c r="S70" i="88"/>
  <c r="T70" i="88"/>
  <c r="U70" i="88"/>
  <c r="V70" i="88"/>
  <c r="W70" i="88"/>
  <c r="X70" i="88"/>
  <c r="Y70" i="88"/>
  <c r="Z70" i="88"/>
  <c r="AA70" i="88"/>
  <c r="AB70" i="88"/>
  <c r="AC70" i="88"/>
  <c r="AD70" i="88"/>
  <c r="AE70" i="88"/>
  <c r="AF70" i="88"/>
  <c r="F71" i="88"/>
  <c r="G71" i="88"/>
  <c r="H71" i="88"/>
  <c r="I71" i="88"/>
  <c r="J71" i="88"/>
  <c r="K71" i="88"/>
  <c r="L71" i="88"/>
  <c r="M71" i="88"/>
  <c r="N71" i="88"/>
  <c r="O71" i="88"/>
  <c r="P71" i="88"/>
  <c r="Q71" i="88"/>
  <c r="R71" i="88"/>
  <c r="S71" i="88"/>
  <c r="T71" i="88"/>
  <c r="U71" i="88"/>
  <c r="V71" i="88"/>
  <c r="W71" i="88"/>
  <c r="X71" i="88"/>
  <c r="Y71" i="88"/>
  <c r="Z71" i="88"/>
  <c r="AA71" i="88"/>
  <c r="AB71" i="88"/>
  <c r="AC71" i="88"/>
  <c r="AD71" i="88"/>
  <c r="AE71" i="88"/>
  <c r="AF71" i="88"/>
  <c r="F72" i="88"/>
  <c r="G72" i="88"/>
  <c r="H72" i="88"/>
  <c r="I72" i="88"/>
  <c r="J72" i="88"/>
  <c r="K72" i="88"/>
  <c r="L72" i="88"/>
  <c r="M72" i="88"/>
  <c r="N72" i="88"/>
  <c r="O72" i="88"/>
  <c r="P72" i="88"/>
  <c r="Q72" i="88"/>
  <c r="R72" i="88"/>
  <c r="S72" i="88"/>
  <c r="T72" i="88"/>
  <c r="U72" i="88"/>
  <c r="V72" i="88"/>
  <c r="W72" i="88"/>
  <c r="X72" i="88"/>
  <c r="Y72" i="88"/>
  <c r="Z72" i="88"/>
  <c r="AA72" i="88"/>
  <c r="AB72" i="88"/>
  <c r="AC72" i="88"/>
  <c r="AD72" i="88"/>
  <c r="AE72" i="88"/>
  <c r="AF72" i="88"/>
  <c r="F73" i="88"/>
  <c r="G73" i="88"/>
  <c r="H73" i="88"/>
  <c r="I73" i="88"/>
  <c r="J73" i="88"/>
  <c r="K73" i="88"/>
  <c r="L73" i="88"/>
  <c r="M73" i="88"/>
  <c r="N73" i="88"/>
  <c r="O73" i="88"/>
  <c r="P73" i="88"/>
  <c r="Q73" i="88"/>
  <c r="R73" i="88"/>
  <c r="S73" i="88"/>
  <c r="T73" i="88"/>
  <c r="U73" i="88"/>
  <c r="V73" i="88"/>
  <c r="W73" i="88"/>
  <c r="X73" i="88"/>
  <c r="Y73" i="88"/>
  <c r="Z73" i="88"/>
  <c r="AA73" i="88"/>
  <c r="AB73" i="88"/>
  <c r="AC73" i="88"/>
  <c r="AD73" i="88"/>
  <c r="AE73" i="88"/>
  <c r="AF73" i="88"/>
  <c r="F74" i="88"/>
  <c r="G74" i="88"/>
  <c r="H74" i="88"/>
  <c r="I74" i="88"/>
  <c r="J74" i="88"/>
  <c r="K74" i="88"/>
  <c r="L74" i="88"/>
  <c r="M74" i="88"/>
  <c r="N74" i="88"/>
  <c r="O74" i="88"/>
  <c r="P74" i="88"/>
  <c r="Q74" i="88"/>
  <c r="R74" i="88"/>
  <c r="S74" i="88"/>
  <c r="T74" i="88"/>
  <c r="U74" i="88"/>
  <c r="V74" i="88"/>
  <c r="W74" i="88"/>
  <c r="X74" i="88"/>
  <c r="Y74" i="88"/>
  <c r="Z74" i="88"/>
  <c r="AA74" i="88"/>
  <c r="AB74" i="88"/>
  <c r="AC74" i="88"/>
  <c r="AD74" i="88"/>
  <c r="AE74" i="88"/>
  <c r="AF74" i="88"/>
  <c r="F75" i="88"/>
  <c r="G75" i="88"/>
  <c r="H75" i="88"/>
  <c r="I75" i="88"/>
  <c r="J75" i="88"/>
  <c r="K75" i="88"/>
  <c r="L75" i="88"/>
  <c r="M75" i="88"/>
  <c r="N75" i="88"/>
  <c r="O75" i="88"/>
  <c r="P75" i="88"/>
  <c r="Q75" i="88"/>
  <c r="R75" i="88"/>
  <c r="S75" i="88"/>
  <c r="T75" i="88"/>
  <c r="U75" i="88"/>
  <c r="V75" i="88"/>
  <c r="W75" i="88"/>
  <c r="X75" i="88"/>
  <c r="Y75" i="88"/>
  <c r="Z75" i="88"/>
  <c r="AA75" i="88"/>
  <c r="AB75" i="88"/>
  <c r="AC75" i="88"/>
  <c r="AD75" i="88"/>
  <c r="AE75" i="88"/>
  <c r="AF75" i="88"/>
  <c r="F76" i="88"/>
  <c r="G76" i="88"/>
  <c r="H76" i="88"/>
  <c r="I76" i="88"/>
  <c r="J76" i="88"/>
  <c r="K76" i="88"/>
  <c r="L76" i="88"/>
  <c r="M76" i="88"/>
  <c r="N76" i="88"/>
  <c r="O76" i="88"/>
  <c r="P76" i="88"/>
  <c r="Q76" i="88"/>
  <c r="R76" i="88"/>
  <c r="S76" i="88"/>
  <c r="T76" i="88"/>
  <c r="U76" i="88"/>
  <c r="V76" i="88"/>
  <c r="W76" i="88"/>
  <c r="X76" i="88"/>
  <c r="Y76" i="88"/>
  <c r="Z76" i="88"/>
  <c r="AA76" i="88"/>
  <c r="AB76" i="88"/>
  <c r="AC76" i="88"/>
  <c r="AD76" i="88"/>
  <c r="AE76" i="88"/>
  <c r="AF76" i="88"/>
  <c r="F77" i="88"/>
  <c r="G77" i="88"/>
  <c r="H77" i="88"/>
  <c r="I77" i="88"/>
  <c r="J77" i="88"/>
  <c r="K77" i="88"/>
  <c r="L77" i="88"/>
  <c r="M77" i="88"/>
  <c r="N77" i="88"/>
  <c r="O77" i="88"/>
  <c r="P77" i="88"/>
  <c r="Q77" i="88"/>
  <c r="R77" i="88"/>
  <c r="S77" i="88"/>
  <c r="T77" i="88"/>
  <c r="U77" i="88"/>
  <c r="V77" i="88"/>
  <c r="W77" i="88"/>
  <c r="X77" i="88"/>
  <c r="Y77" i="88"/>
  <c r="Z77" i="88"/>
  <c r="AA77" i="88"/>
  <c r="AB77" i="88"/>
  <c r="AC77" i="88"/>
  <c r="AD77" i="88"/>
  <c r="AE77" i="88"/>
  <c r="AF77" i="88"/>
  <c r="F78" i="88"/>
  <c r="G78" i="88"/>
  <c r="H78" i="88"/>
  <c r="I78" i="88"/>
  <c r="J78" i="88"/>
  <c r="K78" i="88"/>
  <c r="L78" i="88"/>
  <c r="M78" i="88"/>
  <c r="N78" i="88"/>
  <c r="O78" i="88"/>
  <c r="P78" i="88"/>
  <c r="Q78" i="88"/>
  <c r="R78" i="88"/>
  <c r="S78" i="88"/>
  <c r="T78" i="88"/>
  <c r="U78" i="88"/>
  <c r="V78" i="88"/>
  <c r="W78" i="88"/>
  <c r="X78" i="88"/>
  <c r="Y78" i="88"/>
  <c r="Z78" i="88"/>
  <c r="AA78" i="88"/>
  <c r="AB78" i="88"/>
  <c r="AC78" i="88"/>
  <c r="AD78" i="88"/>
  <c r="AE78" i="88"/>
  <c r="AF78" i="88"/>
  <c r="F79" i="88"/>
  <c r="G79" i="88"/>
  <c r="H79" i="88"/>
  <c r="I79" i="88"/>
  <c r="J79" i="88"/>
  <c r="K79" i="88"/>
  <c r="L79" i="88"/>
  <c r="M79" i="88"/>
  <c r="N79" i="88"/>
  <c r="O79" i="88"/>
  <c r="P79" i="88"/>
  <c r="Q79" i="88"/>
  <c r="R79" i="88"/>
  <c r="S79" i="88"/>
  <c r="T79" i="88"/>
  <c r="U79" i="88"/>
  <c r="V79" i="88"/>
  <c r="W79" i="88"/>
  <c r="X79" i="88"/>
  <c r="Y79" i="88"/>
  <c r="Z79" i="88"/>
  <c r="AA79" i="88"/>
  <c r="AB79" i="88"/>
  <c r="AC79" i="88"/>
  <c r="AD79" i="88"/>
  <c r="AE79" i="88"/>
  <c r="AF79" i="88"/>
  <c r="F80" i="88"/>
  <c r="G80" i="88"/>
  <c r="H80" i="88"/>
  <c r="I80" i="88"/>
  <c r="J80" i="88"/>
  <c r="K80" i="88"/>
  <c r="L80" i="88"/>
  <c r="M80" i="88"/>
  <c r="N80" i="88"/>
  <c r="O80" i="88"/>
  <c r="P80" i="88"/>
  <c r="Q80" i="88"/>
  <c r="R80" i="88"/>
  <c r="S80" i="88"/>
  <c r="T80" i="88"/>
  <c r="U80" i="88"/>
  <c r="V80" i="88"/>
  <c r="W80" i="88"/>
  <c r="X80" i="88"/>
  <c r="Y80" i="88"/>
  <c r="Z80" i="88"/>
  <c r="AA80" i="88"/>
  <c r="AB80" i="88"/>
  <c r="AC80" i="88"/>
  <c r="AD80" i="88"/>
  <c r="AE80" i="88"/>
  <c r="AF80" i="88"/>
  <c r="F81" i="88"/>
  <c r="G81" i="88"/>
  <c r="H81" i="88"/>
  <c r="I81" i="88"/>
  <c r="J81" i="88"/>
  <c r="K81" i="88"/>
  <c r="L81" i="88"/>
  <c r="M81" i="88"/>
  <c r="N81" i="88"/>
  <c r="O81" i="88"/>
  <c r="P81" i="88"/>
  <c r="Q81" i="88"/>
  <c r="R81" i="88"/>
  <c r="S81" i="88"/>
  <c r="T81" i="88"/>
  <c r="U81" i="88"/>
  <c r="V81" i="88"/>
  <c r="W81" i="88"/>
  <c r="X81" i="88"/>
  <c r="Y81" i="88"/>
  <c r="Z81" i="88"/>
  <c r="AA81" i="88"/>
  <c r="AB81" i="88"/>
  <c r="AC81" i="88"/>
  <c r="AD81" i="88"/>
  <c r="AE81" i="88"/>
  <c r="AF81" i="88"/>
  <c r="F82" i="88"/>
  <c r="G82" i="88"/>
  <c r="H82" i="88"/>
  <c r="I82" i="88"/>
  <c r="J82" i="88"/>
  <c r="K82" i="88"/>
  <c r="L82" i="88"/>
  <c r="M82" i="88"/>
  <c r="N82" i="88"/>
  <c r="O82" i="88"/>
  <c r="P82" i="88"/>
  <c r="Q82" i="88"/>
  <c r="R82" i="88"/>
  <c r="S82" i="88"/>
  <c r="T82" i="88"/>
  <c r="U82" i="88"/>
  <c r="V82" i="88"/>
  <c r="W82" i="88"/>
  <c r="X82" i="88"/>
  <c r="Y82" i="88"/>
  <c r="Z82" i="88"/>
  <c r="AA82" i="88"/>
  <c r="AB82" i="88"/>
  <c r="AC82" i="88"/>
  <c r="AD82" i="88"/>
  <c r="AE82" i="88"/>
  <c r="AF82" i="88"/>
  <c r="F83" i="88"/>
  <c r="G83" i="88"/>
  <c r="H83" i="88"/>
  <c r="I83" i="88"/>
  <c r="J83" i="88"/>
  <c r="K83" i="88"/>
  <c r="L83" i="88"/>
  <c r="M83" i="88"/>
  <c r="N83" i="88"/>
  <c r="O83" i="88"/>
  <c r="P83" i="88"/>
  <c r="Q83" i="88"/>
  <c r="R83" i="88"/>
  <c r="S83" i="88"/>
  <c r="T83" i="88"/>
  <c r="U83" i="88"/>
  <c r="V83" i="88"/>
  <c r="W83" i="88"/>
  <c r="X83" i="88"/>
  <c r="Y83" i="88"/>
  <c r="Z83" i="88"/>
  <c r="AA83" i="88"/>
  <c r="AB83" i="88"/>
  <c r="AC83" i="88"/>
  <c r="AD83" i="88"/>
  <c r="AE83" i="88"/>
  <c r="AF83" i="88"/>
  <c r="F84" i="88"/>
  <c r="G84" i="88"/>
  <c r="H84" i="88"/>
  <c r="I84" i="88"/>
  <c r="J84" i="88"/>
  <c r="K84" i="88"/>
  <c r="L84" i="88"/>
  <c r="M84" i="88"/>
  <c r="N84" i="88"/>
  <c r="O84" i="88"/>
  <c r="P84" i="88"/>
  <c r="Q84" i="88"/>
  <c r="R84" i="88"/>
  <c r="S84" i="88"/>
  <c r="T84" i="88"/>
  <c r="U84" i="88"/>
  <c r="V84" i="88"/>
  <c r="W84" i="88"/>
  <c r="X84" i="88"/>
  <c r="Y84" i="88"/>
  <c r="Z84" i="88"/>
  <c r="AA84" i="88"/>
  <c r="AB84" i="88"/>
  <c r="AC84" i="88"/>
  <c r="AD84" i="88"/>
  <c r="AE84" i="88"/>
  <c r="AF84" i="88"/>
  <c r="F85" i="88"/>
  <c r="G85" i="88"/>
  <c r="H85" i="88"/>
  <c r="I85" i="88"/>
  <c r="J85" i="88"/>
  <c r="K85" i="88"/>
  <c r="L85" i="88"/>
  <c r="M85" i="88"/>
  <c r="N85" i="88"/>
  <c r="O85" i="88"/>
  <c r="P85" i="88"/>
  <c r="Q85" i="88"/>
  <c r="R85" i="88"/>
  <c r="S85" i="88"/>
  <c r="T85" i="88"/>
  <c r="U85" i="88"/>
  <c r="V85" i="88"/>
  <c r="W85" i="88"/>
  <c r="X85" i="88"/>
  <c r="Y85" i="88"/>
  <c r="Z85" i="88"/>
  <c r="AA85" i="88"/>
  <c r="AB85" i="88"/>
  <c r="AC85" i="88"/>
  <c r="AD85" i="88"/>
  <c r="AE85" i="88"/>
  <c r="AF85" i="88"/>
  <c r="F86" i="88"/>
  <c r="G86" i="88"/>
  <c r="H86" i="88"/>
  <c r="I86" i="88"/>
  <c r="J86" i="88"/>
  <c r="K86" i="88"/>
  <c r="L86" i="88"/>
  <c r="M86" i="88"/>
  <c r="N86" i="88"/>
  <c r="O86" i="88"/>
  <c r="P86" i="88"/>
  <c r="Q86" i="88"/>
  <c r="R86" i="88"/>
  <c r="S86" i="88"/>
  <c r="T86" i="88"/>
  <c r="U86" i="88"/>
  <c r="V86" i="88"/>
  <c r="W86" i="88"/>
  <c r="X86" i="88"/>
  <c r="Y86" i="88"/>
  <c r="Z86" i="88"/>
  <c r="AA86" i="88"/>
  <c r="AB86" i="88"/>
  <c r="AC86" i="88"/>
  <c r="AD86" i="88"/>
  <c r="AE86" i="88"/>
  <c r="AF86" i="88"/>
  <c r="F87" i="88"/>
  <c r="G87" i="88"/>
  <c r="H87" i="88"/>
  <c r="I87" i="88"/>
  <c r="J87" i="88"/>
  <c r="K87" i="88"/>
  <c r="L87" i="88"/>
  <c r="M87" i="88"/>
  <c r="N87" i="88"/>
  <c r="O87" i="88"/>
  <c r="P87" i="88"/>
  <c r="Q87" i="88"/>
  <c r="R87" i="88"/>
  <c r="S87" i="88"/>
  <c r="T87" i="88"/>
  <c r="U87" i="88"/>
  <c r="V87" i="88"/>
  <c r="W87" i="88"/>
  <c r="X87" i="88"/>
  <c r="Y87" i="88"/>
  <c r="Z87" i="88"/>
  <c r="AA87" i="88"/>
  <c r="AB87" i="88"/>
  <c r="AC87" i="88"/>
  <c r="AD87" i="88"/>
  <c r="AE87" i="88"/>
  <c r="AF87" i="88"/>
  <c r="F88" i="88"/>
  <c r="G88" i="88"/>
  <c r="H88" i="88"/>
  <c r="I88" i="88"/>
  <c r="J88" i="88"/>
  <c r="K88" i="88"/>
  <c r="L88" i="88"/>
  <c r="M88" i="88"/>
  <c r="N88" i="88"/>
  <c r="O88" i="88"/>
  <c r="P88" i="88"/>
  <c r="Q88" i="88"/>
  <c r="R88" i="88"/>
  <c r="S88" i="88"/>
  <c r="T88" i="88"/>
  <c r="U88" i="88"/>
  <c r="V88" i="88"/>
  <c r="W88" i="88"/>
  <c r="X88" i="88"/>
  <c r="Y88" i="88"/>
  <c r="Z88" i="88"/>
  <c r="AA88" i="88"/>
  <c r="AB88" i="88"/>
  <c r="AC88" i="88"/>
  <c r="AD88" i="88"/>
  <c r="AE88" i="88"/>
  <c r="AF88" i="88"/>
  <c r="F89" i="88"/>
  <c r="G89" i="88"/>
  <c r="H89" i="88"/>
  <c r="I89" i="88"/>
  <c r="J89" i="88"/>
  <c r="K89" i="88"/>
  <c r="L89" i="88"/>
  <c r="M89" i="88"/>
  <c r="N89" i="88"/>
  <c r="O89" i="88"/>
  <c r="P89" i="88"/>
  <c r="Q89" i="88"/>
  <c r="R89" i="88"/>
  <c r="S89" i="88"/>
  <c r="T89" i="88"/>
  <c r="U89" i="88"/>
  <c r="V89" i="88"/>
  <c r="W89" i="88"/>
  <c r="X89" i="88"/>
  <c r="Y89" i="88"/>
  <c r="Z89" i="88"/>
  <c r="AA89" i="88"/>
  <c r="AB89" i="88"/>
  <c r="AC89" i="88"/>
  <c r="AD89" i="88"/>
  <c r="AE89" i="88"/>
  <c r="AF89" i="88"/>
  <c r="F90" i="88"/>
  <c r="G90" i="88"/>
  <c r="H90" i="88"/>
  <c r="I90" i="88"/>
  <c r="J90" i="88"/>
  <c r="K90" i="88"/>
  <c r="L90" i="88"/>
  <c r="M90" i="88"/>
  <c r="N90" i="88"/>
  <c r="O90" i="88"/>
  <c r="P90" i="88"/>
  <c r="Q90" i="88"/>
  <c r="R90" i="88"/>
  <c r="S90" i="88"/>
  <c r="T90" i="88"/>
  <c r="U90" i="88"/>
  <c r="V90" i="88"/>
  <c r="W90" i="88"/>
  <c r="X90" i="88"/>
  <c r="Y90" i="88"/>
  <c r="Z90" i="88"/>
  <c r="AA90" i="88"/>
  <c r="AB90" i="88"/>
  <c r="AC90" i="88"/>
  <c r="AD90" i="88"/>
  <c r="AE90" i="88"/>
  <c r="AF90" i="88"/>
  <c r="F91" i="88"/>
  <c r="G91" i="88"/>
  <c r="H91" i="88"/>
  <c r="I91" i="88"/>
  <c r="J91" i="88"/>
  <c r="K91" i="88"/>
  <c r="L91" i="88"/>
  <c r="M91" i="88"/>
  <c r="N91" i="88"/>
  <c r="O91" i="88"/>
  <c r="P91" i="88"/>
  <c r="Q91" i="88"/>
  <c r="R91" i="88"/>
  <c r="S91" i="88"/>
  <c r="T91" i="88"/>
  <c r="U91" i="88"/>
  <c r="V91" i="88"/>
  <c r="W91" i="88"/>
  <c r="X91" i="88"/>
  <c r="Y91" i="88"/>
  <c r="Z91" i="88"/>
  <c r="AA91" i="88"/>
  <c r="AB91" i="88"/>
  <c r="AC91" i="88"/>
  <c r="AD91" i="88"/>
  <c r="AE91" i="88"/>
  <c r="AF91" i="88"/>
  <c r="F92" i="88"/>
  <c r="G92" i="88"/>
  <c r="H92" i="88"/>
  <c r="I92" i="88"/>
  <c r="J92" i="88"/>
  <c r="K92" i="88"/>
  <c r="L92" i="88"/>
  <c r="M92" i="88"/>
  <c r="N92" i="88"/>
  <c r="O92" i="88"/>
  <c r="P92" i="88"/>
  <c r="Q92" i="88"/>
  <c r="R92" i="88"/>
  <c r="S92" i="88"/>
  <c r="T92" i="88"/>
  <c r="U92" i="88"/>
  <c r="V92" i="88"/>
  <c r="W92" i="88"/>
  <c r="X92" i="88"/>
  <c r="Y92" i="88"/>
  <c r="Z92" i="88"/>
  <c r="AA92" i="88"/>
  <c r="AB92" i="88"/>
  <c r="AC92" i="88"/>
  <c r="AD92" i="88"/>
  <c r="AE92" i="88"/>
  <c r="AF92" i="88"/>
  <c r="F93" i="88"/>
  <c r="G93" i="88"/>
  <c r="H93" i="88"/>
  <c r="I93" i="88"/>
  <c r="J93" i="88"/>
  <c r="K93" i="88"/>
  <c r="L93" i="88"/>
  <c r="M93" i="88"/>
  <c r="N93" i="88"/>
  <c r="O93" i="88"/>
  <c r="P93" i="88"/>
  <c r="Q93" i="88"/>
  <c r="R93" i="88"/>
  <c r="S93" i="88"/>
  <c r="T93" i="88"/>
  <c r="U93" i="88"/>
  <c r="V93" i="88"/>
  <c r="W93" i="88"/>
  <c r="X93" i="88"/>
  <c r="Y93" i="88"/>
  <c r="Z93" i="88"/>
  <c r="AA93" i="88"/>
  <c r="AB93" i="88"/>
  <c r="AC93" i="88"/>
  <c r="AD93" i="88"/>
  <c r="AE93" i="88"/>
  <c r="AF93" i="88"/>
  <c r="F94" i="88"/>
  <c r="G94" i="88"/>
  <c r="H94" i="88"/>
  <c r="I94" i="88"/>
  <c r="J94" i="88"/>
  <c r="K94" i="88"/>
  <c r="L94" i="88"/>
  <c r="M94" i="88"/>
  <c r="N94" i="88"/>
  <c r="O94" i="88"/>
  <c r="P94" i="88"/>
  <c r="Q94" i="88"/>
  <c r="R94" i="88"/>
  <c r="S94" i="88"/>
  <c r="T94" i="88"/>
  <c r="U94" i="88"/>
  <c r="V94" i="88"/>
  <c r="W94" i="88"/>
  <c r="X94" i="88"/>
  <c r="Y94" i="88"/>
  <c r="Z94" i="88"/>
  <c r="AA94" i="88"/>
  <c r="AB94" i="88"/>
  <c r="AC94" i="88"/>
  <c r="AD94" i="88"/>
  <c r="AE94" i="88"/>
  <c r="AF94" i="88"/>
  <c r="F95" i="88"/>
  <c r="G95" i="88"/>
  <c r="H95" i="88"/>
  <c r="I95" i="88"/>
  <c r="J95" i="88"/>
  <c r="K95" i="88"/>
  <c r="L95" i="88"/>
  <c r="M95" i="88"/>
  <c r="N95" i="88"/>
  <c r="O95" i="88"/>
  <c r="P95" i="88"/>
  <c r="Q95" i="88"/>
  <c r="R95" i="88"/>
  <c r="S95" i="88"/>
  <c r="T95" i="88"/>
  <c r="U95" i="88"/>
  <c r="V95" i="88"/>
  <c r="W95" i="88"/>
  <c r="X95" i="88"/>
  <c r="Y95" i="88"/>
  <c r="Z95" i="88"/>
  <c r="AA95" i="88"/>
  <c r="AB95" i="88"/>
  <c r="AC95" i="88"/>
  <c r="AD95" i="88"/>
  <c r="AE95" i="88"/>
  <c r="AF95" i="88"/>
  <c r="F96" i="88"/>
  <c r="G96" i="88"/>
  <c r="H96" i="88"/>
  <c r="I96" i="88"/>
  <c r="J96" i="88"/>
  <c r="K96" i="88"/>
  <c r="L96" i="88"/>
  <c r="M96" i="88"/>
  <c r="N96" i="88"/>
  <c r="O96" i="88"/>
  <c r="P96" i="88"/>
  <c r="Q96" i="88"/>
  <c r="R96" i="88"/>
  <c r="S96" i="88"/>
  <c r="T96" i="88"/>
  <c r="U96" i="88"/>
  <c r="V96" i="88"/>
  <c r="W96" i="88"/>
  <c r="X96" i="88"/>
  <c r="Y96" i="88"/>
  <c r="Z96" i="88"/>
  <c r="AA96" i="88"/>
  <c r="AB96" i="88"/>
  <c r="AC96" i="88"/>
  <c r="AD96" i="88"/>
  <c r="AE96" i="88"/>
  <c r="AF96" i="88"/>
  <c r="F97" i="88"/>
  <c r="G97" i="88"/>
  <c r="H97" i="88"/>
  <c r="I97" i="88"/>
  <c r="J97" i="88"/>
  <c r="K97" i="88"/>
  <c r="L97" i="88"/>
  <c r="M97" i="88"/>
  <c r="N97" i="88"/>
  <c r="O97" i="88"/>
  <c r="P97" i="88"/>
  <c r="Q97" i="88"/>
  <c r="R97" i="88"/>
  <c r="S97" i="88"/>
  <c r="T97" i="88"/>
  <c r="U97" i="88"/>
  <c r="V97" i="88"/>
  <c r="W97" i="88"/>
  <c r="X97" i="88"/>
  <c r="Y97" i="88"/>
  <c r="Z97" i="88"/>
  <c r="AA97" i="88"/>
  <c r="AB97" i="88"/>
  <c r="AC97" i="88"/>
  <c r="AD97" i="88"/>
  <c r="AE97" i="88"/>
  <c r="AF97" i="88"/>
  <c r="F98" i="88"/>
  <c r="G98" i="88"/>
  <c r="H98" i="88"/>
  <c r="I98" i="88"/>
  <c r="J98" i="88"/>
  <c r="K98" i="88"/>
  <c r="L98" i="88"/>
  <c r="M98" i="88"/>
  <c r="N98" i="88"/>
  <c r="O98" i="88"/>
  <c r="P98" i="88"/>
  <c r="Q98" i="88"/>
  <c r="R98" i="88"/>
  <c r="S98" i="88"/>
  <c r="T98" i="88"/>
  <c r="U98" i="88"/>
  <c r="V98" i="88"/>
  <c r="W98" i="88"/>
  <c r="X98" i="88"/>
  <c r="Y98" i="88"/>
  <c r="Z98" i="88"/>
  <c r="AA98" i="88"/>
  <c r="AB98" i="88"/>
  <c r="AC98" i="88"/>
  <c r="AD98" i="88"/>
  <c r="AE98" i="88"/>
  <c r="AF98" i="88"/>
  <c r="F99" i="88"/>
  <c r="G99" i="88"/>
  <c r="H99" i="88"/>
  <c r="I99" i="88"/>
  <c r="J99" i="88"/>
  <c r="K99" i="88"/>
  <c r="L99" i="88"/>
  <c r="M99" i="88"/>
  <c r="N99" i="88"/>
  <c r="O99" i="88"/>
  <c r="P99" i="88"/>
  <c r="Q99" i="88"/>
  <c r="R99" i="88"/>
  <c r="S99" i="88"/>
  <c r="T99" i="88"/>
  <c r="U99" i="88"/>
  <c r="V99" i="88"/>
  <c r="W99" i="88"/>
  <c r="X99" i="88"/>
  <c r="Y99" i="88"/>
  <c r="Z99" i="88"/>
  <c r="AA99" i="88"/>
  <c r="AB99" i="88"/>
  <c r="AC99" i="88"/>
  <c r="AD99" i="88"/>
  <c r="AE99" i="88"/>
  <c r="AF99" i="88"/>
  <c r="F100" i="88"/>
  <c r="G100" i="88"/>
  <c r="H100" i="88"/>
  <c r="I100" i="88"/>
  <c r="J100" i="88"/>
  <c r="K100" i="88"/>
  <c r="L100" i="88"/>
  <c r="M100" i="88"/>
  <c r="N100" i="88"/>
  <c r="O100" i="88"/>
  <c r="P100" i="88"/>
  <c r="Q100" i="88"/>
  <c r="R100" i="88"/>
  <c r="S100" i="88"/>
  <c r="T100" i="88"/>
  <c r="U100" i="88"/>
  <c r="V100" i="88"/>
  <c r="W100" i="88"/>
  <c r="X100" i="88"/>
  <c r="Y100" i="88"/>
  <c r="Z100" i="88"/>
  <c r="AA100" i="88"/>
  <c r="AB100" i="88"/>
  <c r="AC100" i="88"/>
  <c r="AD100" i="88"/>
  <c r="AE100" i="88"/>
  <c r="AF100" i="88"/>
  <c r="F101" i="88"/>
  <c r="G101" i="88"/>
  <c r="H101" i="88"/>
  <c r="I101" i="88"/>
  <c r="J101" i="88"/>
  <c r="K101" i="88"/>
  <c r="L101" i="88"/>
  <c r="M101" i="88"/>
  <c r="N101" i="88"/>
  <c r="O101" i="88"/>
  <c r="P101" i="88"/>
  <c r="Q101" i="88"/>
  <c r="R101" i="88"/>
  <c r="S101" i="88"/>
  <c r="T101" i="88"/>
  <c r="U101" i="88"/>
  <c r="V101" i="88"/>
  <c r="W101" i="88"/>
  <c r="X101" i="88"/>
  <c r="Y101" i="88"/>
  <c r="Z101" i="88"/>
  <c r="AA101" i="88"/>
  <c r="AB101" i="88"/>
  <c r="AC101" i="88"/>
  <c r="AD101" i="88"/>
  <c r="AE101" i="88"/>
  <c r="AF101" i="88"/>
  <c r="F102" i="88"/>
  <c r="G102" i="88"/>
  <c r="H102" i="88"/>
  <c r="I102" i="88"/>
  <c r="J102" i="88"/>
  <c r="K102" i="88"/>
  <c r="L102" i="88"/>
  <c r="M102" i="88"/>
  <c r="N102" i="88"/>
  <c r="O102" i="88"/>
  <c r="P102" i="88"/>
  <c r="Q102" i="88"/>
  <c r="R102" i="88"/>
  <c r="S102" i="88"/>
  <c r="T102" i="88"/>
  <c r="U102" i="88"/>
  <c r="V102" i="88"/>
  <c r="W102" i="88"/>
  <c r="X102" i="88"/>
  <c r="Y102" i="88"/>
  <c r="Z102" i="88"/>
  <c r="AA102" i="88"/>
  <c r="AB102" i="88"/>
  <c r="AC102" i="88"/>
  <c r="AD102" i="88"/>
  <c r="AE102" i="88"/>
  <c r="AF102" i="88"/>
  <c r="F103" i="88"/>
  <c r="G103" i="88"/>
  <c r="H103" i="88"/>
  <c r="I103" i="88"/>
  <c r="J103" i="88"/>
  <c r="K103" i="88"/>
  <c r="L103" i="88"/>
  <c r="M103" i="88"/>
  <c r="N103" i="88"/>
  <c r="O103" i="88"/>
  <c r="P103" i="88"/>
  <c r="Q103" i="88"/>
  <c r="R103" i="88"/>
  <c r="S103" i="88"/>
  <c r="T103" i="88"/>
  <c r="U103" i="88"/>
  <c r="V103" i="88"/>
  <c r="W103" i="88"/>
  <c r="X103" i="88"/>
  <c r="Y103" i="88"/>
  <c r="Z103" i="88"/>
  <c r="AA103" i="88"/>
  <c r="AB103" i="88"/>
  <c r="AC103" i="88"/>
  <c r="AD103" i="88"/>
  <c r="AE103" i="88"/>
  <c r="AF103" i="88"/>
  <c r="F104" i="88"/>
  <c r="G104" i="88"/>
  <c r="H104" i="88"/>
  <c r="I104" i="88"/>
  <c r="J104" i="88"/>
  <c r="K104" i="88"/>
  <c r="L104" i="88"/>
  <c r="M104" i="88"/>
  <c r="N104" i="88"/>
  <c r="O104" i="88"/>
  <c r="P104" i="88"/>
  <c r="Q104" i="88"/>
  <c r="R104" i="88"/>
  <c r="S104" i="88"/>
  <c r="T104" i="88"/>
  <c r="U104" i="88"/>
  <c r="V104" i="88"/>
  <c r="W104" i="88"/>
  <c r="X104" i="88"/>
  <c r="Y104" i="88"/>
  <c r="Z104" i="88"/>
  <c r="AA104" i="88"/>
  <c r="AB104" i="88"/>
  <c r="AC104" i="88"/>
  <c r="AD104" i="88"/>
  <c r="AE104" i="88"/>
  <c r="AF104" i="88"/>
  <c r="F105" i="88"/>
  <c r="G105" i="88"/>
  <c r="H105" i="88"/>
  <c r="I105" i="88"/>
  <c r="J105" i="88"/>
  <c r="K105" i="88"/>
  <c r="L105" i="88"/>
  <c r="M105" i="88"/>
  <c r="N105" i="88"/>
  <c r="O105" i="88"/>
  <c r="P105" i="88"/>
  <c r="Q105" i="88"/>
  <c r="R105" i="88"/>
  <c r="S105" i="88"/>
  <c r="T105" i="88"/>
  <c r="U105" i="88"/>
  <c r="V105" i="88"/>
  <c r="W105" i="88"/>
  <c r="X105" i="88"/>
  <c r="Y105" i="88"/>
  <c r="Z105" i="88"/>
  <c r="AA105" i="88"/>
  <c r="AB105" i="88"/>
  <c r="AC105" i="88"/>
  <c r="AD105" i="88"/>
  <c r="AE105" i="88"/>
  <c r="AF105" i="88"/>
  <c r="F106" i="88"/>
  <c r="G106" i="88"/>
  <c r="H106" i="88"/>
  <c r="I106" i="88"/>
  <c r="J106" i="88"/>
  <c r="K106" i="88"/>
  <c r="L106" i="88"/>
  <c r="M106" i="88"/>
  <c r="N106" i="88"/>
  <c r="O106" i="88"/>
  <c r="P106" i="88"/>
  <c r="Q106" i="88"/>
  <c r="R106" i="88"/>
  <c r="S106" i="88"/>
  <c r="T106" i="88"/>
  <c r="U106" i="88"/>
  <c r="V106" i="88"/>
  <c r="W106" i="88"/>
  <c r="X106" i="88"/>
  <c r="Y106" i="88"/>
  <c r="Z106" i="88"/>
  <c r="AA106" i="88"/>
  <c r="AB106" i="88"/>
  <c r="AC106" i="88"/>
  <c r="AD106" i="88"/>
  <c r="AE106" i="88"/>
  <c r="AF106" i="88"/>
  <c r="F107" i="88"/>
  <c r="G107" i="88"/>
  <c r="H107" i="88"/>
  <c r="I107" i="88"/>
  <c r="J107" i="88"/>
  <c r="K107" i="88"/>
  <c r="L107" i="88"/>
  <c r="M107" i="88"/>
  <c r="N107" i="88"/>
  <c r="O107" i="88"/>
  <c r="P107" i="88"/>
  <c r="Q107" i="88"/>
  <c r="R107" i="88"/>
  <c r="S107" i="88"/>
  <c r="T107" i="88"/>
  <c r="U107" i="88"/>
  <c r="V107" i="88"/>
  <c r="W107" i="88"/>
  <c r="X107" i="88"/>
  <c r="Y107" i="88"/>
  <c r="Z107" i="88"/>
  <c r="AA107" i="88"/>
  <c r="AB107" i="88"/>
  <c r="AC107" i="88"/>
  <c r="AD107" i="88"/>
  <c r="AE107" i="88"/>
  <c r="AF107" i="88"/>
  <c r="F108" i="88"/>
  <c r="G108" i="88"/>
  <c r="H108" i="88"/>
  <c r="I108" i="88"/>
  <c r="J108" i="88"/>
  <c r="K108" i="88"/>
  <c r="L108" i="88"/>
  <c r="M108" i="88"/>
  <c r="N108" i="88"/>
  <c r="O108" i="88"/>
  <c r="P108" i="88"/>
  <c r="Q108" i="88"/>
  <c r="R108" i="88"/>
  <c r="S108" i="88"/>
  <c r="T108" i="88"/>
  <c r="U108" i="88"/>
  <c r="V108" i="88"/>
  <c r="W108" i="88"/>
  <c r="X108" i="88"/>
  <c r="Y108" i="88"/>
  <c r="Z108" i="88"/>
  <c r="AA108" i="88"/>
  <c r="AB108" i="88"/>
  <c r="AC108" i="88"/>
  <c r="AD108" i="88"/>
  <c r="AE108" i="88"/>
  <c r="AF108" i="88"/>
  <c r="F109" i="88"/>
  <c r="G109" i="88"/>
  <c r="H109" i="88"/>
  <c r="I109" i="88"/>
  <c r="J109" i="88"/>
  <c r="K109" i="88"/>
  <c r="L109" i="88"/>
  <c r="M109" i="88"/>
  <c r="N109" i="88"/>
  <c r="O109" i="88"/>
  <c r="P109" i="88"/>
  <c r="Q109" i="88"/>
  <c r="R109" i="88"/>
  <c r="S109" i="88"/>
  <c r="T109" i="88"/>
  <c r="U109" i="88"/>
  <c r="V109" i="88"/>
  <c r="W109" i="88"/>
  <c r="X109" i="88"/>
  <c r="Y109" i="88"/>
  <c r="Z109" i="88"/>
  <c r="AA109" i="88"/>
  <c r="AB109" i="88"/>
  <c r="AC109" i="88"/>
  <c r="AD109" i="88"/>
  <c r="AE109" i="88"/>
  <c r="AF109" i="88"/>
  <c r="F110" i="88"/>
  <c r="G110" i="88"/>
  <c r="H110" i="88"/>
  <c r="I110" i="88"/>
  <c r="J110" i="88"/>
  <c r="K110" i="88"/>
  <c r="L110" i="88"/>
  <c r="M110" i="88"/>
  <c r="N110" i="88"/>
  <c r="O110" i="88"/>
  <c r="P110" i="88"/>
  <c r="Q110" i="88"/>
  <c r="R110" i="88"/>
  <c r="S110" i="88"/>
  <c r="T110" i="88"/>
  <c r="U110" i="88"/>
  <c r="V110" i="88"/>
  <c r="W110" i="88"/>
  <c r="X110" i="88"/>
  <c r="Y110" i="88"/>
  <c r="Z110" i="88"/>
  <c r="AA110" i="88"/>
  <c r="AB110" i="88"/>
  <c r="AC110" i="88"/>
  <c r="AD110" i="88"/>
  <c r="AE110" i="88"/>
  <c r="AF110" i="88"/>
  <c r="F111" i="88"/>
  <c r="G111" i="88"/>
  <c r="H111" i="88"/>
  <c r="I111" i="88"/>
  <c r="J111" i="88"/>
  <c r="K111" i="88"/>
  <c r="L111" i="88"/>
  <c r="M111" i="88"/>
  <c r="N111" i="88"/>
  <c r="O111" i="88"/>
  <c r="P111" i="88"/>
  <c r="Q111" i="88"/>
  <c r="R111" i="88"/>
  <c r="S111" i="88"/>
  <c r="T111" i="88"/>
  <c r="U111" i="88"/>
  <c r="V111" i="88"/>
  <c r="W111" i="88"/>
  <c r="X111" i="88"/>
  <c r="Y111" i="88"/>
  <c r="Z111" i="88"/>
  <c r="AA111" i="88"/>
  <c r="AB111" i="88"/>
  <c r="AC111" i="88"/>
  <c r="AD111" i="88"/>
  <c r="AE111" i="88"/>
  <c r="AF111" i="88"/>
  <c r="F112" i="88"/>
  <c r="G112" i="88"/>
  <c r="H112" i="88"/>
  <c r="I112" i="88"/>
  <c r="J112" i="88"/>
  <c r="K112" i="88"/>
  <c r="L112" i="88"/>
  <c r="M112" i="88"/>
  <c r="N112" i="88"/>
  <c r="O112" i="88"/>
  <c r="P112" i="88"/>
  <c r="Q112" i="88"/>
  <c r="R112" i="88"/>
  <c r="S112" i="88"/>
  <c r="T112" i="88"/>
  <c r="U112" i="88"/>
  <c r="V112" i="88"/>
  <c r="W112" i="88"/>
  <c r="X112" i="88"/>
  <c r="Y112" i="88"/>
  <c r="Z112" i="88"/>
  <c r="AA112" i="88"/>
  <c r="AB112" i="88"/>
  <c r="AC112" i="88"/>
  <c r="AD112" i="88"/>
  <c r="AE112" i="88"/>
  <c r="AF112" i="88"/>
  <c r="F113" i="88"/>
  <c r="G113" i="88"/>
  <c r="H113" i="88"/>
  <c r="I113" i="88"/>
  <c r="J113" i="88"/>
  <c r="K113" i="88"/>
  <c r="L113" i="88"/>
  <c r="M113" i="88"/>
  <c r="N113" i="88"/>
  <c r="O113" i="88"/>
  <c r="P113" i="88"/>
  <c r="Q113" i="88"/>
  <c r="R113" i="88"/>
  <c r="S113" i="88"/>
  <c r="T113" i="88"/>
  <c r="U113" i="88"/>
  <c r="V113" i="88"/>
  <c r="W113" i="88"/>
  <c r="X113" i="88"/>
  <c r="Y113" i="88"/>
  <c r="Z113" i="88"/>
  <c r="AA113" i="88"/>
  <c r="AB113" i="88"/>
  <c r="AC113" i="88"/>
  <c r="AD113" i="88"/>
  <c r="AE113" i="88"/>
  <c r="AF113" i="88"/>
  <c r="F114" i="88"/>
  <c r="G114" i="88"/>
  <c r="H114" i="88"/>
  <c r="I114" i="88"/>
  <c r="J114" i="88"/>
  <c r="K114" i="88"/>
  <c r="L114" i="88"/>
  <c r="M114" i="88"/>
  <c r="N114" i="88"/>
  <c r="O114" i="88"/>
  <c r="P114" i="88"/>
  <c r="Q114" i="88"/>
  <c r="R114" i="88"/>
  <c r="S114" i="88"/>
  <c r="T114" i="88"/>
  <c r="U114" i="88"/>
  <c r="V114" i="88"/>
  <c r="W114" i="88"/>
  <c r="X114" i="88"/>
  <c r="Y114" i="88"/>
  <c r="Z114" i="88"/>
  <c r="AA114" i="88"/>
  <c r="AB114" i="88"/>
  <c r="AC114" i="88"/>
  <c r="AD114" i="88"/>
  <c r="AE114" i="88"/>
  <c r="AF114" i="88"/>
  <c r="F115" i="88"/>
  <c r="G115" i="88"/>
  <c r="H115" i="88"/>
  <c r="I115" i="88"/>
  <c r="J115" i="88"/>
  <c r="K115" i="88"/>
  <c r="L115" i="88"/>
  <c r="M115" i="88"/>
  <c r="N115" i="88"/>
  <c r="O115" i="88"/>
  <c r="P115" i="88"/>
  <c r="Q115" i="88"/>
  <c r="R115" i="88"/>
  <c r="S115" i="88"/>
  <c r="T115" i="88"/>
  <c r="U115" i="88"/>
  <c r="V115" i="88"/>
  <c r="W115" i="88"/>
  <c r="X115" i="88"/>
  <c r="Y115" i="88"/>
  <c r="Z115" i="88"/>
  <c r="AA115" i="88"/>
  <c r="AB115" i="88"/>
  <c r="AC115" i="88"/>
  <c r="AD115" i="88"/>
  <c r="AE115" i="88"/>
  <c r="AF115" i="88"/>
  <c r="F116" i="88"/>
  <c r="G116" i="88"/>
  <c r="H116" i="88"/>
  <c r="I116" i="88"/>
  <c r="J116" i="88"/>
  <c r="K116" i="88"/>
  <c r="L116" i="88"/>
  <c r="M116" i="88"/>
  <c r="N116" i="88"/>
  <c r="O116" i="88"/>
  <c r="P116" i="88"/>
  <c r="Q116" i="88"/>
  <c r="R116" i="88"/>
  <c r="S116" i="88"/>
  <c r="T116" i="88"/>
  <c r="U116" i="88"/>
  <c r="V116" i="88"/>
  <c r="W116" i="88"/>
  <c r="X116" i="88"/>
  <c r="Y116" i="88"/>
  <c r="Z116" i="88"/>
  <c r="AA116" i="88"/>
  <c r="AB116" i="88"/>
  <c r="AC116" i="88"/>
  <c r="AD116" i="88"/>
  <c r="AE116" i="88"/>
  <c r="AF116" i="88"/>
  <c r="F117" i="88"/>
  <c r="G117" i="88"/>
  <c r="H117" i="88"/>
  <c r="I117" i="88"/>
  <c r="J117" i="88"/>
  <c r="K117" i="88"/>
  <c r="L117" i="88"/>
  <c r="M117" i="88"/>
  <c r="N117" i="88"/>
  <c r="O117" i="88"/>
  <c r="P117" i="88"/>
  <c r="Q117" i="88"/>
  <c r="R117" i="88"/>
  <c r="S117" i="88"/>
  <c r="T117" i="88"/>
  <c r="U117" i="88"/>
  <c r="V117" i="88"/>
  <c r="W117" i="88"/>
  <c r="X117" i="88"/>
  <c r="Y117" i="88"/>
  <c r="Z117" i="88"/>
  <c r="AA117" i="88"/>
  <c r="AB117" i="88"/>
  <c r="AC117" i="88"/>
  <c r="AD117" i="88"/>
  <c r="AE117" i="88"/>
  <c r="AF117" i="88"/>
  <c r="F118" i="88"/>
  <c r="G118" i="88"/>
  <c r="H118" i="88"/>
  <c r="I118" i="88"/>
  <c r="J118" i="88"/>
  <c r="K118" i="88"/>
  <c r="L118" i="88"/>
  <c r="M118" i="88"/>
  <c r="N118" i="88"/>
  <c r="O118" i="88"/>
  <c r="P118" i="88"/>
  <c r="Q118" i="88"/>
  <c r="R118" i="88"/>
  <c r="S118" i="88"/>
  <c r="T118" i="88"/>
  <c r="U118" i="88"/>
  <c r="V118" i="88"/>
  <c r="W118" i="88"/>
  <c r="X118" i="88"/>
  <c r="Y118" i="88"/>
  <c r="Z118" i="88"/>
  <c r="AA118" i="88"/>
  <c r="AB118" i="88"/>
  <c r="AC118" i="88"/>
  <c r="AD118" i="88"/>
  <c r="AE118" i="88"/>
  <c r="AF118" i="88"/>
  <c r="F119" i="88"/>
  <c r="G119" i="88"/>
  <c r="H119" i="88"/>
  <c r="I119" i="88"/>
  <c r="J119" i="88"/>
  <c r="K119" i="88"/>
  <c r="L119" i="88"/>
  <c r="M119" i="88"/>
  <c r="N119" i="88"/>
  <c r="O119" i="88"/>
  <c r="P119" i="88"/>
  <c r="Q119" i="88"/>
  <c r="R119" i="88"/>
  <c r="S119" i="88"/>
  <c r="T119" i="88"/>
  <c r="U119" i="88"/>
  <c r="V119" i="88"/>
  <c r="W119" i="88"/>
  <c r="X119" i="88"/>
  <c r="Y119" i="88"/>
  <c r="Z119" i="88"/>
  <c r="AA119" i="88"/>
  <c r="AB119" i="88"/>
  <c r="AC119" i="88"/>
  <c r="AD119" i="88"/>
  <c r="AE119" i="88"/>
  <c r="AF119" i="88"/>
  <c r="F120" i="88"/>
  <c r="G120" i="88"/>
  <c r="H120" i="88"/>
  <c r="I120" i="88"/>
  <c r="J120" i="88"/>
  <c r="K120" i="88"/>
  <c r="L120" i="88"/>
  <c r="M120" i="88"/>
  <c r="N120" i="88"/>
  <c r="O120" i="88"/>
  <c r="P120" i="88"/>
  <c r="Q120" i="88"/>
  <c r="R120" i="88"/>
  <c r="S120" i="88"/>
  <c r="T120" i="88"/>
  <c r="U120" i="88"/>
  <c r="V120" i="88"/>
  <c r="W120" i="88"/>
  <c r="X120" i="88"/>
  <c r="Y120" i="88"/>
  <c r="Z120" i="88"/>
  <c r="AA120" i="88"/>
  <c r="AB120" i="88"/>
  <c r="AC120" i="88"/>
  <c r="AD120" i="88"/>
  <c r="AE120" i="88"/>
  <c r="AF120" i="88"/>
  <c r="F121" i="88"/>
  <c r="G121" i="88"/>
  <c r="H121" i="88"/>
  <c r="I121" i="88"/>
  <c r="J121" i="88"/>
  <c r="K121" i="88"/>
  <c r="L121" i="88"/>
  <c r="M121" i="88"/>
  <c r="N121" i="88"/>
  <c r="O121" i="88"/>
  <c r="P121" i="88"/>
  <c r="Q121" i="88"/>
  <c r="R121" i="88"/>
  <c r="S121" i="88"/>
  <c r="T121" i="88"/>
  <c r="U121" i="88"/>
  <c r="V121" i="88"/>
  <c r="W121" i="88"/>
  <c r="X121" i="88"/>
  <c r="Y121" i="88"/>
  <c r="Z121" i="88"/>
  <c r="AA121" i="88"/>
  <c r="AB121" i="88"/>
  <c r="AC121" i="88"/>
  <c r="AD121" i="88"/>
  <c r="AE121" i="88"/>
  <c r="AF121" i="88"/>
  <c r="F122" i="88"/>
  <c r="G122" i="88"/>
  <c r="H122" i="88"/>
  <c r="I122" i="88"/>
  <c r="J122" i="88"/>
  <c r="K122" i="88"/>
  <c r="L122" i="88"/>
  <c r="M122" i="88"/>
  <c r="N122" i="88"/>
  <c r="O122" i="88"/>
  <c r="P122" i="88"/>
  <c r="Q122" i="88"/>
  <c r="R122" i="88"/>
  <c r="S122" i="88"/>
  <c r="T122" i="88"/>
  <c r="U122" i="88"/>
  <c r="V122" i="88"/>
  <c r="W122" i="88"/>
  <c r="X122" i="88"/>
  <c r="Y122" i="88"/>
  <c r="Z122" i="88"/>
  <c r="AA122" i="88"/>
  <c r="AB122" i="88"/>
  <c r="AC122" i="88"/>
  <c r="AD122" i="88"/>
  <c r="AE122" i="88"/>
  <c r="AF122"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0" i="88"/>
  <c r="E91" i="88"/>
  <c r="E92" i="88"/>
  <c r="E93" i="88"/>
  <c r="E94" i="88"/>
  <c r="E95" i="88"/>
  <c r="E96" i="88"/>
  <c r="E97" i="88"/>
  <c r="E98" i="88"/>
  <c r="E99" i="88"/>
  <c r="E100" i="88"/>
  <c r="E101" i="88"/>
  <c r="E102" i="88"/>
  <c r="E103" i="88"/>
  <c r="E104" i="88"/>
  <c r="E105" i="88"/>
  <c r="E106" i="88"/>
  <c r="E107" i="88"/>
  <c r="E108" i="88"/>
  <c r="E109" i="88"/>
  <c r="E110" i="88"/>
  <c r="E111" i="88"/>
  <c r="E112" i="88"/>
  <c r="E113" i="88"/>
  <c r="E114" i="88"/>
  <c r="E115" i="88"/>
  <c r="E116" i="88"/>
  <c r="E117" i="88"/>
  <c r="E118" i="88"/>
  <c r="E119" i="88"/>
  <c r="E120" i="88"/>
  <c r="E121" i="88"/>
  <c r="E122" i="88"/>
  <c r="E45" i="88"/>
  <c r="F6" i="88"/>
  <c r="G6" i="88"/>
  <c r="H6" i="88"/>
  <c r="I6" i="88"/>
  <c r="J6" i="88"/>
  <c r="K6" i="88"/>
  <c r="L6" i="88"/>
  <c r="M6" i="88"/>
  <c r="N6" i="88"/>
  <c r="O6" i="88"/>
  <c r="P6" i="88"/>
  <c r="Q6" i="88"/>
  <c r="R6" i="88"/>
  <c r="S6" i="88"/>
  <c r="T6" i="88"/>
  <c r="U6" i="88"/>
  <c r="V6" i="88"/>
  <c r="W6" i="88"/>
  <c r="X6" i="88"/>
  <c r="Y6" i="88"/>
  <c r="Z6" i="88"/>
  <c r="AA6" i="88"/>
  <c r="AB6" i="88"/>
  <c r="AC6" i="88"/>
  <c r="AD6" i="88"/>
  <c r="AE6" i="88"/>
  <c r="AF6" i="88"/>
  <c r="F7" i="88"/>
  <c r="G7" i="88"/>
  <c r="H7" i="88"/>
  <c r="I7" i="88"/>
  <c r="J7" i="88"/>
  <c r="K7" i="88"/>
  <c r="L7" i="88"/>
  <c r="M7" i="88"/>
  <c r="N7" i="88"/>
  <c r="O7" i="88"/>
  <c r="P7" i="88"/>
  <c r="Q7" i="88"/>
  <c r="R7" i="88"/>
  <c r="S7" i="88"/>
  <c r="T7" i="88"/>
  <c r="U7" i="88"/>
  <c r="V7" i="88"/>
  <c r="W7" i="88"/>
  <c r="X7" i="88"/>
  <c r="Y7" i="88"/>
  <c r="Z7" i="88"/>
  <c r="AA7" i="88"/>
  <c r="AB7" i="88"/>
  <c r="AC7" i="88"/>
  <c r="AD7" i="88"/>
  <c r="AE7" i="88"/>
  <c r="AF7" i="88"/>
  <c r="F8" i="88"/>
  <c r="G8" i="88"/>
  <c r="H8" i="88"/>
  <c r="I8" i="88"/>
  <c r="J8" i="88"/>
  <c r="K8" i="88"/>
  <c r="L8" i="88"/>
  <c r="M8" i="88"/>
  <c r="N8" i="88"/>
  <c r="O8" i="88"/>
  <c r="P8" i="88"/>
  <c r="Q8" i="88"/>
  <c r="R8" i="88"/>
  <c r="S8" i="88"/>
  <c r="T8" i="88"/>
  <c r="U8" i="88"/>
  <c r="V8" i="88"/>
  <c r="W8" i="88"/>
  <c r="X8" i="88"/>
  <c r="Y8" i="88"/>
  <c r="Z8" i="88"/>
  <c r="AA8" i="88"/>
  <c r="AB8" i="88"/>
  <c r="AC8" i="88"/>
  <c r="AD8" i="88"/>
  <c r="AE8" i="88"/>
  <c r="AF8" i="88"/>
  <c r="F9" i="88"/>
  <c r="G9" i="88"/>
  <c r="H9" i="88"/>
  <c r="I9" i="88"/>
  <c r="J9" i="88"/>
  <c r="K9" i="88"/>
  <c r="L9" i="88"/>
  <c r="M9" i="88"/>
  <c r="N9" i="88"/>
  <c r="O9" i="88"/>
  <c r="P9" i="88"/>
  <c r="Q9" i="88"/>
  <c r="R9" i="88"/>
  <c r="S9" i="88"/>
  <c r="T9" i="88"/>
  <c r="U9" i="88"/>
  <c r="V9" i="88"/>
  <c r="W9" i="88"/>
  <c r="X9" i="88"/>
  <c r="Y9" i="88"/>
  <c r="Z9" i="88"/>
  <c r="AA9" i="88"/>
  <c r="AB9" i="88"/>
  <c r="AC9" i="88"/>
  <c r="AD9" i="88"/>
  <c r="AE9" i="88"/>
  <c r="AF9" i="88"/>
  <c r="F10" i="88"/>
  <c r="G10" i="88"/>
  <c r="H10" i="88"/>
  <c r="I10" i="88"/>
  <c r="J10" i="88"/>
  <c r="K10" i="88"/>
  <c r="L10" i="88"/>
  <c r="M10" i="88"/>
  <c r="N10" i="88"/>
  <c r="O10" i="88"/>
  <c r="P10" i="88"/>
  <c r="Q10" i="88"/>
  <c r="R10" i="88"/>
  <c r="S10" i="88"/>
  <c r="T10" i="88"/>
  <c r="U10" i="88"/>
  <c r="V10" i="88"/>
  <c r="W10" i="88"/>
  <c r="X10" i="88"/>
  <c r="Y10" i="88"/>
  <c r="Z10" i="88"/>
  <c r="AA10" i="88"/>
  <c r="AB10" i="88"/>
  <c r="AC10" i="88"/>
  <c r="AD10" i="88"/>
  <c r="AE10" i="88"/>
  <c r="AF10" i="88"/>
  <c r="F11" i="88"/>
  <c r="G11" i="88"/>
  <c r="H11" i="88"/>
  <c r="I11" i="88"/>
  <c r="J11" i="88"/>
  <c r="K11" i="88"/>
  <c r="L11" i="88"/>
  <c r="M11" i="88"/>
  <c r="N11" i="88"/>
  <c r="O11" i="88"/>
  <c r="P11" i="88"/>
  <c r="Q11" i="88"/>
  <c r="R11" i="88"/>
  <c r="S11" i="88"/>
  <c r="T11" i="88"/>
  <c r="U11" i="88"/>
  <c r="V11" i="88"/>
  <c r="W11" i="88"/>
  <c r="X11" i="88"/>
  <c r="Y11" i="88"/>
  <c r="Z11" i="88"/>
  <c r="AA11" i="88"/>
  <c r="AB11" i="88"/>
  <c r="AC11" i="88"/>
  <c r="AD11" i="88"/>
  <c r="AE11" i="88"/>
  <c r="AF11" i="88"/>
  <c r="F12" i="88"/>
  <c r="G12" i="88"/>
  <c r="H12" i="88"/>
  <c r="I12" i="88"/>
  <c r="J12" i="88"/>
  <c r="K12" i="88"/>
  <c r="L12" i="88"/>
  <c r="M12" i="88"/>
  <c r="N12" i="88"/>
  <c r="O12" i="88"/>
  <c r="P12" i="88"/>
  <c r="Q12" i="88"/>
  <c r="R12" i="88"/>
  <c r="S12" i="88"/>
  <c r="T12" i="88"/>
  <c r="U12" i="88"/>
  <c r="V12" i="88"/>
  <c r="W12" i="88"/>
  <c r="X12" i="88"/>
  <c r="Y12" i="88"/>
  <c r="Z12" i="88"/>
  <c r="AA12" i="88"/>
  <c r="AB12" i="88"/>
  <c r="AC12" i="88"/>
  <c r="AD12" i="88"/>
  <c r="AE12" i="88"/>
  <c r="AF12" i="88"/>
  <c r="F13" i="88"/>
  <c r="G13" i="88"/>
  <c r="H13" i="88"/>
  <c r="I13" i="88"/>
  <c r="J13" i="88"/>
  <c r="K13" i="88"/>
  <c r="L13" i="88"/>
  <c r="M13" i="88"/>
  <c r="N13" i="88"/>
  <c r="O13" i="88"/>
  <c r="P13" i="88"/>
  <c r="Q13" i="88"/>
  <c r="R13" i="88"/>
  <c r="S13" i="88"/>
  <c r="T13" i="88"/>
  <c r="U13" i="88"/>
  <c r="V13" i="88"/>
  <c r="W13" i="88"/>
  <c r="X13" i="88"/>
  <c r="Y13" i="88"/>
  <c r="Z13" i="88"/>
  <c r="AA13" i="88"/>
  <c r="AB13" i="88"/>
  <c r="AC13" i="88"/>
  <c r="AD13" i="88"/>
  <c r="AE13" i="88"/>
  <c r="AF13" i="88"/>
  <c r="F14" i="88"/>
  <c r="G14" i="88"/>
  <c r="H14" i="88"/>
  <c r="I14" i="88"/>
  <c r="J14" i="88"/>
  <c r="K14" i="88"/>
  <c r="L14" i="88"/>
  <c r="M14" i="88"/>
  <c r="N14" i="88"/>
  <c r="O14" i="88"/>
  <c r="P14" i="88"/>
  <c r="Q14" i="88"/>
  <c r="R14" i="88"/>
  <c r="S14" i="88"/>
  <c r="T14" i="88"/>
  <c r="U14" i="88"/>
  <c r="V14" i="88"/>
  <c r="W14" i="88"/>
  <c r="X14" i="88"/>
  <c r="Y14" i="88"/>
  <c r="Z14" i="88"/>
  <c r="AA14" i="88"/>
  <c r="AB14" i="88"/>
  <c r="AC14" i="88"/>
  <c r="AD14" i="88"/>
  <c r="AE14" i="88"/>
  <c r="AF14" i="88"/>
  <c r="F15" i="88"/>
  <c r="G15" i="88"/>
  <c r="H15" i="88"/>
  <c r="I15" i="88"/>
  <c r="J15" i="88"/>
  <c r="K15" i="88"/>
  <c r="L15" i="88"/>
  <c r="M15" i="88"/>
  <c r="N15" i="88"/>
  <c r="O15" i="88"/>
  <c r="P15" i="88"/>
  <c r="Q15" i="88"/>
  <c r="R15" i="88"/>
  <c r="S15" i="88"/>
  <c r="T15" i="88"/>
  <c r="U15" i="88"/>
  <c r="V15" i="88"/>
  <c r="W15" i="88"/>
  <c r="X15" i="88"/>
  <c r="Y15" i="88"/>
  <c r="Z15" i="88"/>
  <c r="AA15" i="88"/>
  <c r="AB15" i="88"/>
  <c r="AC15" i="88"/>
  <c r="AD15" i="88"/>
  <c r="AE15" i="88"/>
  <c r="AF15" i="88"/>
  <c r="F16" i="88"/>
  <c r="G16" i="88"/>
  <c r="H16" i="88"/>
  <c r="I16" i="88"/>
  <c r="J16" i="88"/>
  <c r="K16" i="88"/>
  <c r="L16" i="88"/>
  <c r="M16" i="88"/>
  <c r="N16" i="88"/>
  <c r="O16" i="88"/>
  <c r="P16" i="88"/>
  <c r="Q16" i="88"/>
  <c r="R16" i="88"/>
  <c r="S16" i="88"/>
  <c r="T16" i="88"/>
  <c r="U16" i="88"/>
  <c r="V16" i="88"/>
  <c r="W16" i="88"/>
  <c r="X16" i="88"/>
  <c r="Y16" i="88"/>
  <c r="Z16" i="88"/>
  <c r="AA16" i="88"/>
  <c r="AB16" i="88"/>
  <c r="AC16" i="88"/>
  <c r="AD16" i="88"/>
  <c r="AE16" i="88"/>
  <c r="AF16" i="88"/>
  <c r="F17" i="88"/>
  <c r="G17" i="88"/>
  <c r="H17" i="88"/>
  <c r="I17" i="88"/>
  <c r="J17" i="88"/>
  <c r="K17" i="88"/>
  <c r="L17" i="88"/>
  <c r="M17" i="88"/>
  <c r="N17" i="88"/>
  <c r="O17" i="88"/>
  <c r="P17" i="88"/>
  <c r="Q17" i="88"/>
  <c r="R17" i="88"/>
  <c r="S17" i="88"/>
  <c r="T17" i="88"/>
  <c r="U17" i="88"/>
  <c r="V17" i="88"/>
  <c r="W17" i="88"/>
  <c r="X17" i="88"/>
  <c r="Y17" i="88"/>
  <c r="Z17" i="88"/>
  <c r="AA17" i="88"/>
  <c r="AB17" i="88"/>
  <c r="AC17" i="88"/>
  <c r="AD17" i="88"/>
  <c r="AE17" i="88"/>
  <c r="AF17" i="88"/>
  <c r="F18" i="88"/>
  <c r="G18" i="88"/>
  <c r="H18" i="88"/>
  <c r="I18" i="88"/>
  <c r="J18" i="88"/>
  <c r="K18" i="88"/>
  <c r="L18" i="88"/>
  <c r="M18" i="88"/>
  <c r="N18" i="88"/>
  <c r="O18" i="88"/>
  <c r="P18" i="88"/>
  <c r="Q18" i="88"/>
  <c r="R18" i="88"/>
  <c r="S18" i="88"/>
  <c r="T18" i="88"/>
  <c r="U18" i="88"/>
  <c r="V18" i="88"/>
  <c r="W18" i="88"/>
  <c r="X18" i="88"/>
  <c r="Y18" i="88"/>
  <c r="Z18" i="88"/>
  <c r="AA18" i="88"/>
  <c r="AB18" i="88"/>
  <c r="AC18" i="88"/>
  <c r="AD18" i="88"/>
  <c r="AE18" i="88"/>
  <c r="AF18" i="88"/>
  <c r="E7" i="88"/>
  <c r="E8" i="88"/>
  <c r="E9" i="88"/>
  <c r="E10" i="88"/>
  <c r="E11" i="88"/>
  <c r="E12" i="88"/>
  <c r="E13" i="88"/>
  <c r="E14" i="88"/>
  <c r="E15" i="88"/>
  <c r="E16" i="88"/>
  <c r="E17" i="88"/>
  <c r="E18" i="88"/>
  <c r="E6" i="88"/>
  <c r="B54" i="53"/>
  <c r="Z20" i="88" l="1"/>
  <c r="Z21" i="88" s="1"/>
  <c r="Z22" i="88" s="1"/>
  <c r="Z23" i="88" s="1"/>
  <c r="Z24" i="88" s="1"/>
  <c r="Z25" i="88" s="1"/>
  <c r="Z26" i="88" s="1"/>
  <c r="Z27" i="88" s="1"/>
  <c r="Z28" i="88" s="1"/>
  <c r="Z29" i="88" s="1"/>
  <c r="Z30" i="88" s="1"/>
  <c r="Z31" i="88" s="1"/>
  <c r="AD176" i="88"/>
  <c r="AD177" i="88" s="1"/>
  <c r="AD178" i="88" s="1"/>
  <c r="AD179" i="88" s="1"/>
  <c r="AD180" i="88" s="1"/>
  <c r="AD181" i="88" s="1"/>
  <c r="AD182" i="88" s="1"/>
  <c r="AD183" i="88" s="1"/>
  <c r="AD184" i="88" s="1"/>
  <c r="AD185" i="88" s="1"/>
  <c r="AD186" i="88" s="1"/>
  <c r="AD187" i="88" s="1"/>
  <c r="Y20" i="88"/>
  <c r="Y21" i="88" s="1"/>
  <c r="Y22" i="88" s="1"/>
  <c r="Y23" i="88" s="1"/>
  <c r="Y24" i="88" s="1"/>
  <c r="Y25" i="88" s="1"/>
  <c r="Y26" i="88" s="1"/>
  <c r="Y27" i="88" s="1"/>
  <c r="Y28" i="88" s="1"/>
  <c r="Y29" i="88" s="1"/>
  <c r="Y30" i="88" s="1"/>
  <c r="Y31" i="88" s="1"/>
  <c r="P32" i="88"/>
  <c r="AE176" i="88"/>
  <c r="AE177" i="88" s="1"/>
  <c r="AE178" i="88" s="1"/>
  <c r="AE179" i="88" s="1"/>
  <c r="AE180" i="88" s="1"/>
  <c r="AE181" i="88" s="1"/>
  <c r="AE182" i="88" s="1"/>
  <c r="AE183" i="88" s="1"/>
  <c r="AE184" i="88" s="1"/>
  <c r="AE185" i="88" s="1"/>
  <c r="AE186" i="88" s="1"/>
  <c r="AE187" i="88" s="1"/>
  <c r="S20" i="88"/>
  <c r="S21" i="88" s="1"/>
  <c r="S22" i="88" s="1"/>
  <c r="S23" i="88" s="1"/>
  <c r="S24" i="88" s="1"/>
  <c r="S25" i="88" s="1"/>
  <c r="S26" i="88" s="1"/>
  <c r="S27" i="88" s="1"/>
  <c r="S28" i="88" s="1"/>
  <c r="S29" i="88" s="1"/>
  <c r="S30" i="88" s="1"/>
  <c r="S31" i="88" s="1"/>
  <c r="J20" i="88"/>
  <c r="J21" i="88" s="1"/>
  <c r="J22" i="88" s="1"/>
  <c r="J23" i="88" s="1"/>
  <c r="J24" i="88" s="1"/>
  <c r="J25" i="88" s="1"/>
  <c r="J26" i="88" s="1"/>
  <c r="J27" i="88" s="1"/>
  <c r="J28" i="88" s="1"/>
  <c r="J29" i="88" s="1"/>
  <c r="J30" i="88" s="1"/>
  <c r="J31" i="88" s="1"/>
  <c r="G20" i="88"/>
  <c r="G21" i="88" s="1"/>
  <c r="G22" i="88" s="1"/>
  <c r="G23" i="88" s="1"/>
  <c r="G24" i="88" s="1"/>
  <c r="G25" i="88" s="1"/>
  <c r="G26" i="88" s="1"/>
  <c r="G27" i="88" s="1"/>
  <c r="G28" i="88" s="1"/>
  <c r="G29" i="88" s="1"/>
  <c r="G30" i="88" s="1"/>
  <c r="G31" i="88" s="1"/>
  <c r="R33" i="88"/>
  <c r="R34" i="88" s="1"/>
  <c r="R35" i="88" s="1"/>
  <c r="R36" i="88" s="1"/>
  <c r="R37" i="88" s="1"/>
  <c r="R38" i="88" s="1"/>
  <c r="R39" i="88" s="1"/>
  <c r="R40" i="88" s="1"/>
  <c r="R41" i="88" s="1"/>
  <c r="R42" i="88" s="1"/>
  <c r="R43" i="88" s="1"/>
  <c r="R44" i="88" s="1"/>
  <c r="H189" i="88"/>
  <c r="H190" i="88" s="1"/>
  <c r="H191" i="88" s="1"/>
  <c r="H192" i="88" s="1"/>
  <c r="H193" i="88" s="1"/>
  <c r="H194" i="88" s="1"/>
  <c r="H195" i="88" s="1"/>
  <c r="H196" i="88" s="1"/>
  <c r="H197" i="88" s="1"/>
  <c r="H198" i="88" s="1"/>
  <c r="H199" i="88" s="1"/>
  <c r="H200" i="88" s="1"/>
  <c r="L20" i="88"/>
  <c r="L21" i="88" s="1"/>
  <c r="L22" i="88" s="1"/>
  <c r="L23" i="88" s="1"/>
  <c r="L24" i="88" s="1"/>
  <c r="L25" i="88" s="1"/>
  <c r="L26" i="88" s="1"/>
  <c r="L27" i="88" s="1"/>
  <c r="L28" i="88" s="1"/>
  <c r="L29" i="88" s="1"/>
  <c r="L30" i="88" s="1"/>
  <c r="L31" i="88" s="1"/>
  <c r="H20" i="88"/>
  <c r="H21" i="88" s="1"/>
  <c r="H22" i="88" s="1"/>
  <c r="H23" i="88" s="1"/>
  <c r="H24" i="88" s="1"/>
  <c r="H25" i="88" s="1"/>
  <c r="H26" i="88" s="1"/>
  <c r="H27" i="88" s="1"/>
  <c r="H28" i="88" s="1"/>
  <c r="H29" i="88" s="1"/>
  <c r="H30" i="88" s="1"/>
  <c r="H31" i="88" s="1"/>
  <c r="F20" i="88"/>
  <c r="F21" i="88" s="1"/>
  <c r="F22" i="88" s="1"/>
  <c r="F23" i="88" s="1"/>
  <c r="F24" i="88" s="1"/>
  <c r="F25" i="88" s="1"/>
  <c r="F26" i="88" s="1"/>
  <c r="F27" i="88" s="1"/>
  <c r="F28" i="88" s="1"/>
  <c r="F29" i="88" s="1"/>
  <c r="F30" i="88" s="1"/>
  <c r="F31" i="88" s="1"/>
  <c r="AE32" i="88"/>
  <c r="AE33" i="88" s="1"/>
  <c r="AE34" i="88" s="1"/>
  <c r="AE35" i="88" s="1"/>
  <c r="AE36" i="88" s="1"/>
  <c r="AE37" i="88" s="1"/>
  <c r="AE38" i="88" s="1"/>
  <c r="AE39" i="88" s="1"/>
  <c r="AE40" i="88" s="1"/>
  <c r="AE41" i="88" s="1"/>
  <c r="AE42" i="88" s="1"/>
  <c r="AE43" i="88" s="1"/>
  <c r="AE44" i="88" s="1"/>
  <c r="AD32" i="88"/>
  <c r="AD33" i="88" s="1"/>
  <c r="AD34" i="88" s="1"/>
  <c r="AD35" i="88" s="1"/>
  <c r="AD36" i="88" s="1"/>
  <c r="AD37" i="88" s="1"/>
  <c r="AD38" i="88" s="1"/>
  <c r="AD39" i="88" s="1"/>
  <c r="AD40" i="88" s="1"/>
  <c r="AD41" i="88" s="1"/>
  <c r="AD42" i="88" s="1"/>
  <c r="AD43" i="88" s="1"/>
  <c r="AD44" i="88" s="1"/>
  <c r="AF20" i="88"/>
  <c r="AF21" i="88" s="1"/>
  <c r="AF22" i="88" s="1"/>
  <c r="AF23" i="88" s="1"/>
  <c r="AF24" i="88" s="1"/>
  <c r="AF25" i="88" s="1"/>
  <c r="AF26" i="88" s="1"/>
  <c r="AF27" i="88" s="1"/>
  <c r="AF28" i="88" s="1"/>
  <c r="AF29" i="88" s="1"/>
  <c r="AF30" i="88" s="1"/>
  <c r="AF31" i="88" s="1"/>
  <c r="G176" i="88"/>
  <c r="G177" i="88" s="1"/>
  <c r="G178" i="88" s="1"/>
  <c r="G179" i="88" s="1"/>
  <c r="G180" i="88" s="1"/>
  <c r="G181" i="88" s="1"/>
  <c r="G182" i="88" s="1"/>
  <c r="G183" i="88" s="1"/>
  <c r="G184" i="88" s="1"/>
  <c r="G185" i="88" s="1"/>
  <c r="G186" i="88" s="1"/>
  <c r="G187" i="88" s="1"/>
  <c r="AB189" i="88"/>
  <c r="AB190" i="88" s="1"/>
  <c r="AB191" i="88" s="1"/>
  <c r="AB192" i="88" s="1"/>
  <c r="AB193" i="88" s="1"/>
  <c r="AB194" i="88" s="1"/>
  <c r="AB195" i="88" s="1"/>
  <c r="AB196" i="88" s="1"/>
  <c r="AB197" i="88" s="1"/>
  <c r="AB198" i="88" s="1"/>
  <c r="AB199" i="88" s="1"/>
  <c r="AB200" i="88" s="1"/>
  <c r="AA189" i="88"/>
  <c r="AA190" i="88" s="1"/>
  <c r="AA191" i="88" s="1"/>
  <c r="AA192" i="88" s="1"/>
  <c r="AA193" i="88" s="1"/>
  <c r="AA194" i="88" s="1"/>
  <c r="AA195" i="88" s="1"/>
  <c r="AA196" i="88" s="1"/>
  <c r="AA197" i="88" s="1"/>
  <c r="AA198" i="88" s="1"/>
  <c r="AA199" i="88" s="1"/>
  <c r="AA200" i="88" s="1"/>
  <c r="AB20" i="88"/>
  <c r="AB21" i="88" s="1"/>
  <c r="AB22" i="88" s="1"/>
  <c r="AB23" i="88" s="1"/>
  <c r="AB24" i="88" s="1"/>
  <c r="AB25" i="88" s="1"/>
  <c r="AB26" i="88" s="1"/>
  <c r="AB27" i="88" s="1"/>
  <c r="AB28" i="88" s="1"/>
  <c r="AB29" i="88" s="1"/>
  <c r="AB30" i="88" s="1"/>
  <c r="AB31" i="88" s="1"/>
  <c r="G189" i="88"/>
  <c r="G190" i="88" s="1"/>
  <c r="G191" i="88" s="1"/>
  <c r="G192" i="88" s="1"/>
  <c r="G193" i="88" s="1"/>
  <c r="G194" i="88" s="1"/>
  <c r="G195" i="88" s="1"/>
  <c r="G196" i="88" s="1"/>
  <c r="G197" i="88" s="1"/>
  <c r="G198" i="88" s="1"/>
  <c r="G199" i="88" s="1"/>
  <c r="G200" i="88" s="1"/>
  <c r="L33" i="88"/>
  <c r="L34" i="88" s="1"/>
  <c r="L35" i="88" s="1"/>
  <c r="L36" i="88" s="1"/>
  <c r="L37" i="88" s="1"/>
  <c r="L38" i="88" s="1"/>
  <c r="L39" i="88" s="1"/>
  <c r="L40" i="88" s="1"/>
  <c r="L41" i="88" s="1"/>
  <c r="L42" i="88" s="1"/>
  <c r="L43" i="88" s="1"/>
  <c r="L44" i="88" s="1"/>
  <c r="G33" i="88"/>
  <c r="G34" i="88" s="1"/>
  <c r="G35" i="88" s="1"/>
  <c r="G36" i="88" s="1"/>
  <c r="G37" i="88" s="1"/>
  <c r="G38" i="88" s="1"/>
  <c r="G39" i="88" s="1"/>
  <c r="G40" i="88" s="1"/>
  <c r="G41" i="88" s="1"/>
  <c r="G42" i="88" s="1"/>
  <c r="G43" i="88" s="1"/>
  <c r="G44" i="88" s="1"/>
  <c r="R189" i="88"/>
  <c r="R190" i="88" s="1"/>
  <c r="R191" i="88" s="1"/>
  <c r="R192" i="88" s="1"/>
  <c r="R193" i="88" s="1"/>
  <c r="R194" i="88" s="1"/>
  <c r="R195" i="88" s="1"/>
  <c r="R196" i="88" s="1"/>
  <c r="R197" i="88" s="1"/>
  <c r="R198" i="88" s="1"/>
  <c r="R199" i="88" s="1"/>
  <c r="R200" i="88" s="1"/>
  <c r="M189" i="88"/>
  <c r="M190" i="88" s="1"/>
  <c r="M191" i="88" s="1"/>
  <c r="M192" i="88" s="1"/>
  <c r="M193" i="88" s="1"/>
  <c r="M194" i="88" s="1"/>
  <c r="M195" i="88" s="1"/>
  <c r="M196" i="88" s="1"/>
  <c r="M197" i="88" s="1"/>
  <c r="M198" i="88" s="1"/>
  <c r="M199" i="88" s="1"/>
  <c r="M200" i="88" s="1"/>
  <c r="M20" i="88"/>
  <c r="M21" i="88" s="1"/>
  <c r="M22" i="88" s="1"/>
  <c r="M23" i="88" s="1"/>
  <c r="M24" i="88" s="1"/>
  <c r="M25" i="88" s="1"/>
  <c r="M26" i="88" s="1"/>
  <c r="M27" i="88" s="1"/>
  <c r="M28" i="88" s="1"/>
  <c r="M29" i="88" s="1"/>
  <c r="M30" i="88" s="1"/>
  <c r="M31" i="88" s="1"/>
  <c r="AC176" i="88"/>
  <c r="AC177" i="88" s="1"/>
  <c r="AC178" i="88" s="1"/>
  <c r="AC179" i="88" s="1"/>
  <c r="AC180" i="88" s="1"/>
  <c r="AC181" i="88" s="1"/>
  <c r="AC182" i="88" s="1"/>
  <c r="AC183" i="88" s="1"/>
  <c r="AC184" i="88" s="1"/>
  <c r="AC185" i="88" s="1"/>
  <c r="AC186" i="88" s="1"/>
  <c r="AC187" i="88" s="1"/>
  <c r="W32" i="88"/>
  <c r="V32" i="88"/>
  <c r="Z176" i="88"/>
  <c r="Z177" i="88" s="1"/>
  <c r="Z178" i="88" s="1"/>
  <c r="Z179" i="88" s="1"/>
  <c r="Z180" i="88" s="1"/>
  <c r="Z181" i="88" s="1"/>
  <c r="Z182" i="88" s="1"/>
  <c r="Z183" i="88" s="1"/>
  <c r="Z184" i="88" s="1"/>
  <c r="Z185" i="88" s="1"/>
  <c r="Z186" i="88" s="1"/>
  <c r="Z187" i="88" s="1"/>
  <c r="R176" i="88"/>
  <c r="R177" i="88" s="1"/>
  <c r="R178" i="88" s="1"/>
  <c r="R179" i="88" s="1"/>
  <c r="R180" i="88" s="1"/>
  <c r="R181" i="88" s="1"/>
  <c r="R182" i="88" s="1"/>
  <c r="R183" i="88" s="1"/>
  <c r="R184" i="88" s="1"/>
  <c r="R185" i="88" s="1"/>
  <c r="R186" i="88" s="1"/>
  <c r="R187" i="88" s="1"/>
  <c r="O176" i="88"/>
  <c r="O177" i="88" s="1"/>
  <c r="O178" i="88" s="1"/>
  <c r="O179" i="88" s="1"/>
  <c r="O180" i="88" s="1"/>
  <c r="O181" i="88" s="1"/>
  <c r="O182" i="88" s="1"/>
  <c r="O183" i="88" s="1"/>
  <c r="O184" i="88" s="1"/>
  <c r="O185" i="88" s="1"/>
  <c r="O186" i="88" s="1"/>
  <c r="O187" i="88" s="1"/>
  <c r="N176" i="88"/>
  <c r="N177" i="88" s="1"/>
  <c r="N178" i="88" s="1"/>
  <c r="N179" i="88" s="1"/>
  <c r="N180" i="88" s="1"/>
  <c r="N181" i="88" s="1"/>
  <c r="N182" i="88" s="1"/>
  <c r="N183" i="88" s="1"/>
  <c r="N184" i="88" s="1"/>
  <c r="N185" i="88" s="1"/>
  <c r="N186" i="88" s="1"/>
  <c r="N187" i="88" s="1"/>
  <c r="AA20" i="88"/>
  <c r="AA21" i="88" s="1"/>
  <c r="AA22" i="88" s="1"/>
  <c r="AA23" i="88" s="1"/>
  <c r="AA24" i="88" s="1"/>
  <c r="AA25" i="88" s="1"/>
  <c r="AA26" i="88" s="1"/>
  <c r="AA27" i="88" s="1"/>
  <c r="AA28" i="88" s="1"/>
  <c r="AA29" i="88" s="1"/>
  <c r="AA30" i="88" s="1"/>
  <c r="AA31" i="88" s="1"/>
  <c r="O32" i="88"/>
  <c r="N32" i="88"/>
  <c r="N33" i="88" s="1"/>
  <c r="N34" i="88" s="1"/>
  <c r="N35" i="88" s="1"/>
  <c r="N36" i="88" s="1"/>
  <c r="N37" i="88" s="1"/>
  <c r="N38" i="88" s="1"/>
  <c r="N39" i="88" s="1"/>
  <c r="N40" i="88" s="1"/>
  <c r="N41" i="88" s="1"/>
  <c r="N42" i="88" s="1"/>
  <c r="N43" i="88" s="1"/>
  <c r="N44" i="88" s="1"/>
  <c r="E32" i="88"/>
  <c r="M32" i="88"/>
  <c r="M33" i="88" s="1"/>
  <c r="M34" i="88" s="1"/>
  <c r="M35" i="88" s="1"/>
  <c r="M36" i="88" s="1"/>
  <c r="M37" i="88" s="1"/>
  <c r="M38" i="88" s="1"/>
  <c r="M39" i="88" s="1"/>
  <c r="M40" i="88" s="1"/>
  <c r="M41" i="88" s="1"/>
  <c r="M42" i="88" s="1"/>
  <c r="M43" i="88" s="1"/>
  <c r="M44" i="88" s="1"/>
  <c r="Q20" i="88"/>
  <c r="Q21" i="88" s="1"/>
  <c r="Q22" i="88" s="1"/>
  <c r="Q23" i="88" s="1"/>
  <c r="Q24" i="88" s="1"/>
  <c r="Q25" i="88" s="1"/>
  <c r="Q26" i="88" s="1"/>
  <c r="Q27" i="88" s="1"/>
  <c r="Q28" i="88" s="1"/>
  <c r="Q29" i="88" s="1"/>
  <c r="Q30" i="88" s="1"/>
  <c r="Q31" i="88" s="1"/>
  <c r="Q33" i="88"/>
  <c r="Q34" i="88" s="1"/>
  <c r="Q35" i="88" s="1"/>
  <c r="Q36" i="88" s="1"/>
  <c r="Q37" i="88" s="1"/>
  <c r="Q38" i="88" s="1"/>
  <c r="Q39" i="88" s="1"/>
  <c r="Q40" i="88" s="1"/>
  <c r="Q41" i="88" s="1"/>
  <c r="Q42" i="88" s="1"/>
  <c r="Q43" i="88" s="1"/>
  <c r="Q44" i="88" s="1"/>
  <c r="T33" i="88"/>
  <c r="T34" i="88" s="1"/>
  <c r="T35" i="88" s="1"/>
  <c r="T36" i="88" s="1"/>
  <c r="T37" i="88" s="1"/>
  <c r="T38" i="88" s="1"/>
  <c r="T39" i="88" s="1"/>
  <c r="T40" i="88" s="1"/>
  <c r="T41" i="88" s="1"/>
  <c r="T42" i="88" s="1"/>
  <c r="T43" i="88" s="1"/>
  <c r="T44" i="88" s="1"/>
  <c r="J33" i="88"/>
  <c r="J34" i="88" s="1"/>
  <c r="J35" i="88" s="1"/>
  <c r="J36" i="88" s="1"/>
  <c r="J37" i="88" s="1"/>
  <c r="J38" i="88" s="1"/>
  <c r="J39" i="88" s="1"/>
  <c r="J40" i="88" s="1"/>
  <c r="J41" i="88" s="1"/>
  <c r="J42" i="88" s="1"/>
  <c r="J43" i="88" s="1"/>
  <c r="J44" i="88" s="1"/>
  <c r="X20" i="88"/>
  <c r="X21" i="88" s="1"/>
  <c r="X22" i="88" s="1"/>
  <c r="X23" i="88" s="1"/>
  <c r="X24" i="88" s="1"/>
  <c r="X25" i="88" s="1"/>
  <c r="X26" i="88" s="1"/>
  <c r="X27" i="88" s="1"/>
  <c r="X28" i="88" s="1"/>
  <c r="X29" i="88" s="1"/>
  <c r="X30" i="88" s="1"/>
  <c r="X31" i="88" s="1"/>
  <c r="X33" i="88"/>
  <c r="X34" i="88" s="1"/>
  <c r="X35" i="88" s="1"/>
  <c r="X36" i="88" s="1"/>
  <c r="X37" i="88" s="1"/>
  <c r="X38" i="88" s="1"/>
  <c r="X39" i="88" s="1"/>
  <c r="X40" i="88" s="1"/>
  <c r="X41" i="88" s="1"/>
  <c r="X42" i="88" s="1"/>
  <c r="X43" i="88" s="1"/>
  <c r="X44" i="88" s="1"/>
  <c r="U20" i="88"/>
  <c r="U21" i="88" s="1"/>
  <c r="U22" i="88" s="1"/>
  <c r="U23" i="88" s="1"/>
  <c r="U24" i="88" s="1"/>
  <c r="U25" i="88" s="1"/>
  <c r="U26" i="88" s="1"/>
  <c r="U27" i="88" s="1"/>
  <c r="U28" i="88" s="1"/>
  <c r="U29" i="88" s="1"/>
  <c r="U30" i="88" s="1"/>
  <c r="U31" i="88" s="1"/>
  <c r="U33" i="88"/>
  <c r="U34" i="88" s="1"/>
  <c r="U35" i="88" s="1"/>
  <c r="U36" i="88" s="1"/>
  <c r="U37" i="88" s="1"/>
  <c r="U38" i="88" s="1"/>
  <c r="U39" i="88" s="1"/>
  <c r="U40" i="88" s="1"/>
  <c r="U41" i="88" s="1"/>
  <c r="U42" i="88" s="1"/>
  <c r="U43" i="88" s="1"/>
  <c r="U44" i="88" s="1"/>
  <c r="P189" i="88"/>
  <c r="P190" i="88" s="1"/>
  <c r="P191" i="88" s="1"/>
  <c r="P192" i="88" s="1"/>
  <c r="P193" i="88" s="1"/>
  <c r="P194" i="88" s="1"/>
  <c r="P195" i="88" s="1"/>
  <c r="P196" i="88" s="1"/>
  <c r="P197" i="88" s="1"/>
  <c r="P198" i="88" s="1"/>
  <c r="P199" i="88" s="1"/>
  <c r="P200" i="88" s="1"/>
  <c r="Z189" i="88"/>
  <c r="Z190" i="88" s="1"/>
  <c r="Z191" i="88" s="1"/>
  <c r="Z192" i="88" s="1"/>
  <c r="Z193" i="88" s="1"/>
  <c r="Z194" i="88" s="1"/>
  <c r="Z195" i="88" s="1"/>
  <c r="Z196" i="88" s="1"/>
  <c r="Z197" i="88" s="1"/>
  <c r="Z198" i="88" s="1"/>
  <c r="Z199" i="88" s="1"/>
  <c r="Z200" i="88" s="1"/>
  <c r="F189" i="88"/>
  <c r="F190" i="88" s="1"/>
  <c r="F191" i="88" s="1"/>
  <c r="F192" i="88" s="1"/>
  <c r="F193" i="88" s="1"/>
  <c r="F194" i="88" s="1"/>
  <c r="F195" i="88" s="1"/>
  <c r="F196" i="88" s="1"/>
  <c r="F197" i="88" s="1"/>
  <c r="F198" i="88" s="1"/>
  <c r="F199" i="88" s="1"/>
  <c r="F200" i="88" s="1"/>
  <c r="Q176" i="88"/>
  <c r="Q177" i="88" s="1"/>
  <c r="Q178" i="88" s="1"/>
  <c r="Q179" i="88" s="1"/>
  <c r="Q180" i="88" s="1"/>
  <c r="Q181" i="88" s="1"/>
  <c r="Q182" i="88" s="1"/>
  <c r="Q183" i="88" s="1"/>
  <c r="Q184" i="88" s="1"/>
  <c r="Q185" i="88" s="1"/>
  <c r="Q186" i="88" s="1"/>
  <c r="Q187" i="88" s="1"/>
  <c r="Y189" i="88"/>
  <c r="Y190" i="88" s="1"/>
  <c r="Y191" i="88" s="1"/>
  <c r="Y192" i="88" s="1"/>
  <c r="Y193" i="88" s="1"/>
  <c r="Y194" i="88" s="1"/>
  <c r="Y195" i="88" s="1"/>
  <c r="Y196" i="88" s="1"/>
  <c r="Y197" i="88" s="1"/>
  <c r="Y198" i="88" s="1"/>
  <c r="Y199" i="88" s="1"/>
  <c r="Y200" i="88" s="1"/>
  <c r="U189" i="88"/>
  <c r="U190" i="88" s="1"/>
  <c r="U191" i="88" s="1"/>
  <c r="U192" i="88" s="1"/>
  <c r="U193" i="88" s="1"/>
  <c r="U194" i="88" s="1"/>
  <c r="U195" i="88" s="1"/>
  <c r="U196" i="88" s="1"/>
  <c r="U197" i="88" s="1"/>
  <c r="U198" i="88" s="1"/>
  <c r="U199" i="88" s="1"/>
  <c r="U200" i="88" s="1"/>
  <c r="T189" i="88"/>
  <c r="T190" i="88" s="1"/>
  <c r="T191" i="88" s="1"/>
  <c r="T192" i="88" s="1"/>
  <c r="T193" i="88" s="1"/>
  <c r="T194" i="88" s="1"/>
  <c r="T195" i="88" s="1"/>
  <c r="T196" i="88" s="1"/>
  <c r="T197" i="88" s="1"/>
  <c r="T198" i="88" s="1"/>
  <c r="T199" i="88" s="1"/>
  <c r="T200" i="88" s="1"/>
  <c r="AF189" i="88"/>
  <c r="AF190" i="88" s="1"/>
  <c r="AF191" i="88" s="1"/>
  <c r="AF192" i="88" s="1"/>
  <c r="AF193" i="88" s="1"/>
  <c r="AF194" i="88" s="1"/>
  <c r="AF195" i="88" s="1"/>
  <c r="AF196" i="88" s="1"/>
  <c r="AF197" i="88" s="1"/>
  <c r="AF198" i="88" s="1"/>
  <c r="AF199" i="88" s="1"/>
  <c r="AF200" i="88" s="1"/>
  <c r="B66" i="53"/>
  <c r="C70" i="73"/>
  <c r="C67" i="73"/>
  <c r="D66" i="73"/>
  <c r="C55" i="73"/>
  <c r="P40" i="88" l="1"/>
  <c r="P39" i="88"/>
  <c r="P38" i="88"/>
  <c r="P37" i="88"/>
  <c r="P36" i="88"/>
  <c r="P35" i="88"/>
  <c r="P34" i="88"/>
  <c r="P41" i="88"/>
  <c r="P42" i="88"/>
  <c r="P43" i="88"/>
  <c r="P44" i="88"/>
  <c r="P33" i="88"/>
  <c r="W33" i="88"/>
  <c r="W34" i="88" s="1"/>
  <c r="W35" i="88" s="1"/>
  <c r="W36" i="88" s="1"/>
  <c r="W37" i="88" s="1"/>
  <c r="W38" i="88" s="1"/>
  <c r="W39" i="88" s="1"/>
  <c r="W40" i="88" s="1"/>
  <c r="W41" i="88" s="1"/>
  <c r="W42" i="88" s="1"/>
  <c r="W43" i="88" s="1"/>
  <c r="W44" i="88" s="1"/>
  <c r="V33" i="88"/>
  <c r="V34" i="88" s="1"/>
  <c r="V35" i="88" s="1"/>
  <c r="V36" i="88" s="1"/>
  <c r="V37" i="88" s="1"/>
  <c r="V38" i="88" s="1"/>
  <c r="V39" i="88" s="1"/>
  <c r="V40" i="88" s="1"/>
  <c r="V41" i="88" s="1"/>
  <c r="V42" i="88" s="1"/>
  <c r="V43" i="88" s="1"/>
  <c r="V44" i="88" s="1"/>
  <c r="E33" i="88"/>
  <c r="E34" i="88" s="1"/>
  <c r="E35" i="88" s="1"/>
  <c r="E36" i="88" s="1"/>
  <c r="E37" i="88" s="1"/>
  <c r="E38" i="88" s="1"/>
  <c r="E39" i="88" s="1"/>
  <c r="E40" i="88" s="1"/>
  <c r="E41" i="88" s="1"/>
  <c r="E42" i="88" s="1"/>
  <c r="E43" i="88" s="1"/>
  <c r="E44" i="88" s="1"/>
  <c r="O33" i="88"/>
  <c r="O34" i="88" s="1"/>
  <c r="O35" i="88" s="1"/>
  <c r="O36" i="88" s="1"/>
  <c r="O37" i="88" s="1"/>
  <c r="O38" i="88" s="1"/>
  <c r="O39" i="88" s="1"/>
  <c r="O40" i="88" s="1"/>
  <c r="O41" i="88" s="1"/>
  <c r="O42" i="88" s="1"/>
  <c r="O43" i="88" s="1"/>
  <c r="O44" i="88" s="1"/>
  <c r="X189" i="88"/>
  <c r="X190" i="88" s="1"/>
  <c r="X191" i="88" s="1"/>
  <c r="X192" i="88" s="1"/>
  <c r="X193" i="88" s="1"/>
  <c r="X194" i="88" s="1"/>
  <c r="X195" i="88" s="1"/>
  <c r="X196" i="88" s="1"/>
  <c r="X197" i="88" s="1"/>
  <c r="X198" i="88" s="1"/>
  <c r="X199" i="88" s="1"/>
  <c r="X200" i="88" s="1"/>
  <c r="W189" i="88"/>
  <c r="W190" i="88" s="1"/>
  <c r="W191" i="88" s="1"/>
  <c r="W192" i="88" s="1"/>
  <c r="W193" i="88" s="1"/>
  <c r="W194" i="88" s="1"/>
  <c r="W195" i="88" s="1"/>
  <c r="W196" i="88" s="1"/>
  <c r="W197" i="88" s="1"/>
  <c r="W198" i="88" s="1"/>
  <c r="W199" i="88" s="1"/>
  <c r="W200" i="88" s="1"/>
  <c r="S189" i="88"/>
  <c r="S190" i="88" s="1"/>
  <c r="S191" i="88" s="1"/>
  <c r="S192" i="88" s="1"/>
  <c r="S193" i="88" s="1"/>
  <c r="S194" i="88" s="1"/>
  <c r="S195" i="88" s="1"/>
  <c r="S196" i="88" s="1"/>
  <c r="S197" i="88" s="1"/>
  <c r="S198" i="88" s="1"/>
  <c r="S199" i="88" s="1"/>
  <c r="S200" i="88" s="1"/>
  <c r="V189" i="88"/>
  <c r="V190" i="88" s="1"/>
  <c r="V191" i="88" s="1"/>
  <c r="V192" i="88" s="1"/>
  <c r="V193" i="88" s="1"/>
  <c r="V194" i="88" s="1"/>
  <c r="V195" i="88" s="1"/>
  <c r="V196" i="88" s="1"/>
  <c r="V197" i="88" s="1"/>
  <c r="V198" i="88" s="1"/>
  <c r="V199" i="88" s="1"/>
  <c r="V200" i="88" s="1"/>
  <c r="D23" i="55"/>
  <c r="C141" i="55" s="1"/>
  <c r="D22" i="55"/>
  <c r="C140" i="55" s="1"/>
  <c r="D15" i="55"/>
  <c r="C133" i="55" s="1"/>
  <c r="E123" i="55"/>
  <c r="E124" i="55"/>
  <c r="E122" i="55"/>
  <c r="C123" i="55"/>
  <c r="C124" i="55"/>
  <c r="C122" i="55"/>
  <c r="L23" i="58"/>
  <c r="C19" i="63"/>
  <c r="AM15" i="55"/>
  <c r="N15" i="55"/>
  <c r="O15" i="55"/>
  <c r="P15" i="55"/>
  <c r="Q15" i="55"/>
  <c r="R15" i="55"/>
  <c r="S15" i="55"/>
  <c r="T15" i="55"/>
  <c r="U15" i="55"/>
  <c r="V15" i="55"/>
  <c r="W15" i="55"/>
  <c r="X15" i="55"/>
  <c r="Y15" i="55"/>
  <c r="Z15" i="55"/>
  <c r="AA15" i="55"/>
  <c r="AB15" i="55"/>
  <c r="AC15" i="55"/>
  <c r="AD15" i="55"/>
  <c r="AE15" i="55"/>
  <c r="AF15" i="55"/>
  <c r="AG15" i="55"/>
  <c r="AH15" i="55"/>
  <c r="AI15" i="55"/>
  <c r="I15" i="55"/>
  <c r="J15" i="55"/>
  <c r="K15" i="55"/>
  <c r="L15" i="55"/>
  <c r="M15" i="55"/>
  <c r="H15" i="55"/>
  <c r="AL15" i="55"/>
  <c r="A15" i="55" l="1"/>
  <c r="B15" i="55"/>
  <c r="F40" i="36"/>
  <c r="V16" i="55"/>
  <c r="AG109" i="87"/>
  <c r="Y30" i="58"/>
  <c r="V30" i="58"/>
  <c r="Y12" i="58"/>
  <c r="B122" i="55" l="1"/>
  <c r="B133" i="55"/>
  <c r="A122" i="55"/>
  <c r="A133" i="55"/>
  <c r="X11" i="55"/>
  <c r="N4" i="66"/>
  <c r="O4" i="66"/>
  <c r="P4" i="66"/>
  <c r="Q4" i="66"/>
  <c r="R4" i="66"/>
  <c r="S4" i="66"/>
  <c r="T4" i="66"/>
  <c r="U4" i="66"/>
  <c r="V4" i="66"/>
  <c r="W4" i="66"/>
  <c r="X4" i="66"/>
  <c r="Y4" i="66"/>
  <c r="Z4" i="66"/>
  <c r="AA4" i="66"/>
  <c r="AB4" i="66"/>
  <c r="AC4" i="66"/>
  <c r="AD4" i="66"/>
  <c r="K4" i="66"/>
  <c r="L4" i="66"/>
  <c r="M4" i="66"/>
  <c r="D4" i="66"/>
  <c r="E4" i="66"/>
  <c r="F4" i="66"/>
  <c r="G4" i="66"/>
  <c r="H4" i="66"/>
  <c r="I4" i="66"/>
  <c r="J4" i="66"/>
  <c r="C4" i="66"/>
  <c r="N5" i="66"/>
  <c r="O5" i="66"/>
  <c r="P5" i="66"/>
  <c r="Q5" i="66"/>
  <c r="R5" i="66"/>
  <c r="S5" i="66"/>
  <c r="T5" i="66"/>
  <c r="U5" i="66"/>
  <c r="V5" i="66"/>
  <c r="W5" i="66"/>
  <c r="X5" i="66"/>
  <c r="Y5" i="66"/>
  <c r="Z5" i="66"/>
  <c r="AA5" i="66"/>
  <c r="AB5" i="66"/>
  <c r="AC5" i="66"/>
  <c r="AD5" i="66"/>
  <c r="I5" i="66"/>
  <c r="J5" i="66"/>
  <c r="K5" i="66"/>
  <c r="L5" i="66"/>
  <c r="M5" i="66"/>
  <c r="D5" i="66"/>
  <c r="E5" i="66"/>
  <c r="F5" i="66"/>
  <c r="G5" i="66"/>
  <c r="H5" i="66"/>
  <c r="C5" i="66"/>
  <c r="E476" i="41" l="1"/>
  <c r="D41" i="36"/>
  <c r="L47" i="87" l="1"/>
  <c r="M47" i="87"/>
  <c r="N47" i="87"/>
  <c r="O47" i="87"/>
  <c r="P47" i="87"/>
  <c r="Q47" i="87"/>
  <c r="R47" i="87"/>
  <c r="S47" i="87"/>
  <c r="T47" i="87"/>
  <c r="U47" i="87"/>
  <c r="V47" i="87"/>
  <c r="W47" i="87"/>
  <c r="X47" i="87"/>
  <c r="Y47" i="87"/>
  <c r="Z47" i="87"/>
  <c r="AA47" i="87"/>
  <c r="AB47" i="87"/>
  <c r="AC47" i="87"/>
  <c r="AD47" i="87"/>
  <c r="AE47" i="87"/>
  <c r="AF47" i="87"/>
  <c r="AG47" i="87"/>
  <c r="AH47" i="87"/>
  <c r="AI47" i="87"/>
  <c r="AJ47" i="87"/>
  <c r="AK47" i="87"/>
  <c r="AL47" i="87"/>
  <c r="K47" i="87"/>
  <c r="Q12" i="87"/>
  <c r="R12" i="87"/>
  <c r="S12" i="87"/>
  <c r="T12" i="87"/>
  <c r="U12" i="87"/>
  <c r="V12" i="87"/>
  <c r="W12" i="87"/>
  <c r="X12" i="87"/>
  <c r="Y12" i="87"/>
  <c r="Z12" i="87"/>
  <c r="AA12" i="87"/>
  <c r="AB12" i="87"/>
  <c r="AC12" i="87"/>
  <c r="AD12" i="87"/>
  <c r="AE12" i="87"/>
  <c r="AF12" i="87"/>
  <c r="AG12" i="87"/>
  <c r="AH12" i="87"/>
  <c r="AI12" i="87"/>
  <c r="AJ12" i="87"/>
  <c r="AK12" i="87"/>
  <c r="AL12" i="87"/>
  <c r="L12" i="87"/>
  <c r="M12" i="87"/>
  <c r="N12" i="87"/>
  <c r="O12" i="87"/>
  <c r="P12" i="87"/>
  <c r="K12" i="87"/>
  <c r="L109" i="87"/>
  <c r="M109" i="87"/>
  <c r="N109" i="87"/>
  <c r="O109" i="87"/>
  <c r="P109" i="87"/>
  <c r="Q109" i="87"/>
  <c r="R109" i="87"/>
  <c r="S109" i="87"/>
  <c r="T109" i="87"/>
  <c r="U109" i="87"/>
  <c r="V109" i="87"/>
  <c r="W109" i="87"/>
  <c r="X109" i="87"/>
  <c r="Y109" i="87"/>
  <c r="Z109" i="87"/>
  <c r="AA109" i="87"/>
  <c r="AB109" i="87"/>
  <c r="AC109" i="87"/>
  <c r="AD109" i="87"/>
  <c r="AE109" i="87"/>
  <c r="AF109" i="87"/>
  <c r="AH109" i="87"/>
  <c r="AI109" i="87"/>
  <c r="AJ109" i="87"/>
  <c r="AK109" i="87"/>
  <c r="AL109" i="87"/>
  <c r="K109" i="87"/>
  <c r="AF12" i="55"/>
  <c r="AG12" i="55"/>
  <c r="AH12" i="55"/>
  <c r="AI12" i="55"/>
  <c r="I12" i="55"/>
  <c r="J12" i="55"/>
  <c r="K12" i="55"/>
  <c r="L12" i="55"/>
  <c r="M12" i="55"/>
  <c r="N12" i="55"/>
  <c r="O12" i="55"/>
  <c r="P12" i="55"/>
  <c r="Q12" i="55"/>
  <c r="R12" i="55"/>
  <c r="S12" i="55"/>
  <c r="T12" i="55"/>
  <c r="U12" i="55"/>
  <c r="V12" i="55"/>
  <c r="W12" i="55"/>
  <c r="X12" i="55"/>
  <c r="Y12" i="55"/>
  <c r="Z12" i="55"/>
  <c r="AA12" i="55"/>
  <c r="AB12" i="55"/>
  <c r="AC12" i="55"/>
  <c r="AD12" i="55"/>
  <c r="AE12" i="55"/>
  <c r="H12" i="55"/>
  <c r="AB11" i="55"/>
  <c r="AC11" i="55"/>
  <c r="AD11" i="55"/>
  <c r="AE11" i="55"/>
  <c r="AF11" i="55"/>
  <c r="AG11" i="55"/>
  <c r="AH11" i="55"/>
  <c r="AI11" i="55"/>
  <c r="L11" i="55"/>
  <c r="M11" i="55"/>
  <c r="N11" i="55"/>
  <c r="O11" i="55"/>
  <c r="P11" i="55"/>
  <c r="Q11" i="55"/>
  <c r="R11" i="55"/>
  <c r="S11" i="55"/>
  <c r="T11" i="55"/>
  <c r="U11" i="55"/>
  <c r="V11" i="55"/>
  <c r="W11" i="55"/>
  <c r="Y11" i="55"/>
  <c r="Z11" i="55"/>
  <c r="AA11" i="55"/>
  <c r="I11" i="55"/>
  <c r="J11" i="55"/>
  <c r="K11" i="55"/>
  <c r="H11" i="55"/>
  <c r="AC7" i="60"/>
  <c r="AC18" i="60"/>
  <c r="AC19" i="60"/>
  <c r="AC20" i="60"/>
  <c r="AC21" i="60"/>
  <c r="AC22" i="60"/>
  <c r="AC23" i="60"/>
  <c r="AC24" i="60"/>
  <c r="K18" i="60"/>
  <c r="L18" i="60"/>
  <c r="M18" i="60"/>
  <c r="N18" i="60"/>
  <c r="O18" i="60"/>
  <c r="P18" i="60"/>
  <c r="Q18" i="60"/>
  <c r="R18" i="60"/>
  <c r="S18" i="60"/>
  <c r="T18" i="60"/>
  <c r="U18" i="60"/>
  <c r="V18" i="60"/>
  <c r="W18" i="60"/>
  <c r="X18" i="60"/>
  <c r="Y18" i="60"/>
  <c r="Z18" i="60"/>
  <c r="AA18" i="60"/>
  <c r="AB18" i="60"/>
  <c r="AD18" i="60"/>
  <c r="AE18" i="60"/>
  <c r="AF18" i="60"/>
  <c r="K19" i="60"/>
  <c r="L19" i="60"/>
  <c r="M19" i="60"/>
  <c r="N19" i="60"/>
  <c r="O19" i="60"/>
  <c r="P19" i="60"/>
  <c r="Q19" i="60"/>
  <c r="R19" i="60"/>
  <c r="S19" i="60"/>
  <c r="T19" i="60"/>
  <c r="U19" i="60"/>
  <c r="V19" i="60"/>
  <c r="W19" i="60"/>
  <c r="X19" i="60"/>
  <c r="Y19" i="60"/>
  <c r="Z19" i="60"/>
  <c r="AA19" i="60"/>
  <c r="AB19" i="60"/>
  <c r="AD19" i="60"/>
  <c r="AE19" i="60"/>
  <c r="AF19" i="60"/>
  <c r="K20" i="60"/>
  <c r="L20" i="60"/>
  <c r="M20" i="60"/>
  <c r="N20" i="60"/>
  <c r="O20" i="60"/>
  <c r="P20" i="60"/>
  <c r="Q20" i="60"/>
  <c r="R20" i="60"/>
  <c r="S20" i="60"/>
  <c r="T20" i="60"/>
  <c r="U20" i="60"/>
  <c r="V20" i="60"/>
  <c r="W20" i="60"/>
  <c r="X20" i="60"/>
  <c r="Y20" i="60"/>
  <c r="Z20" i="60"/>
  <c r="AA20" i="60"/>
  <c r="AB20" i="60"/>
  <c r="AD20" i="60"/>
  <c r="AE20" i="60"/>
  <c r="AF20" i="60"/>
  <c r="K21" i="60"/>
  <c r="L21" i="60"/>
  <c r="M21" i="60"/>
  <c r="N21" i="60"/>
  <c r="O21" i="60"/>
  <c r="P21" i="60"/>
  <c r="Q21" i="60"/>
  <c r="R21" i="60"/>
  <c r="S21" i="60"/>
  <c r="T21" i="60"/>
  <c r="U21" i="60"/>
  <c r="V21" i="60"/>
  <c r="W21" i="60"/>
  <c r="X21" i="60"/>
  <c r="Y21" i="60"/>
  <c r="Z21" i="60"/>
  <c r="AA21" i="60"/>
  <c r="AB21" i="60"/>
  <c r="AD21" i="60"/>
  <c r="AE21" i="60"/>
  <c r="AF21" i="60"/>
  <c r="K22" i="60"/>
  <c r="L22" i="60"/>
  <c r="M22" i="60"/>
  <c r="N22" i="60"/>
  <c r="O22" i="60"/>
  <c r="P22" i="60"/>
  <c r="Q22" i="60"/>
  <c r="R22" i="60"/>
  <c r="S22" i="60"/>
  <c r="T22" i="60"/>
  <c r="U22" i="60"/>
  <c r="V22" i="60"/>
  <c r="W22" i="60"/>
  <c r="X22" i="60"/>
  <c r="Y22" i="60"/>
  <c r="Z22" i="60"/>
  <c r="AA22" i="60"/>
  <c r="AB22" i="60"/>
  <c r="AD22" i="60"/>
  <c r="AE22" i="60"/>
  <c r="AF22" i="60"/>
  <c r="K23" i="60"/>
  <c r="L23" i="60"/>
  <c r="M23" i="60"/>
  <c r="N23" i="60"/>
  <c r="O23" i="60"/>
  <c r="P23" i="60"/>
  <c r="Q23" i="60"/>
  <c r="R23" i="60"/>
  <c r="S23" i="60"/>
  <c r="T23" i="60"/>
  <c r="U23" i="60"/>
  <c r="V23" i="60"/>
  <c r="W23" i="60"/>
  <c r="X23" i="60"/>
  <c r="Y23" i="60"/>
  <c r="Z23" i="60"/>
  <c r="AA23" i="60"/>
  <c r="AB23" i="60"/>
  <c r="AD23" i="60"/>
  <c r="AE23" i="60"/>
  <c r="AF23" i="60"/>
  <c r="K24" i="60"/>
  <c r="L24" i="60"/>
  <c r="M24" i="60"/>
  <c r="N24" i="60"/>
  <c r="O24" i="60"/>
  <c r="P24" i="60"/>
  <c r="Q24" i="60"/>
  <c r="R24" i="60"/>
  <c r="S24" i="60"/>
  <c r="T24" i="60"/>
  <c r="U24" i="60"/>
  <c r="V24" i="60"/>
  <c r="W24" i="60"/>
  <c r="X24" i="60"/>
  <c r="Y24" i="60"/>
  <c r="Z24" i="60"/>
  <c r="AA24" i="60"/>
  <c r="AB24" i="60"/>
  <c r="AD24" i="60"/>
  <c r="AE24" i="60"/>
  <c r="AF24" i="60"/>
  <c r="K26" i="60"/>
  <c r="L26" i="60"/>
  <c r="M26" i="60"/>
  <c r="N26" i="60"/>
  <c r="O26" i="60"/>
  <c r="P26" i="60"/>
  <c r="Q26" i="60"/>
  <c r="R26" i="60"/>
  <c r="S26" i="60"/>
  <c r="T26" i="60"/>
  <c r="U26" i="60"/>
  <c r="V26" i="60"/>
  <c r="W26" i="60"/>
  <c r="X26" i="60"/>
  <c r="Y26" i="60"/>
  <c r="Z26" i="60"/>
  <c r="AA26" i="60"/>
  <c r="AB26" i="60"/>
  <c r="AC26" i="60"/>
  <c r="AD26" i="60"/>
  <c r="AE26" i="60"/>
  <c r="AF26" i="60"/>
  <c r="F18" i="60"/>
  <c r="G18" i="60"/>
  <c r="H18" i="60"/>
  <c r="I18" i="60"/>
  <c r="J18" i="60"/>
  <c r="F19" i="60"/>
  <c r="G19" i="60"/>
  <c r="H19" i="60"/>
  <c r="I19" i="60"/>
  <c r="J19" i="60"/>
  <c r="F20" i="60"/>
  <c r="G20" i="60"/>
  <c r="H20" i="60"/>
  <c r="I20" i="60"/>
  <c r="J20" i="60"/>
  <c r="F21" i="60"/>
  <c r="G21" i="60"/>
  <c r="H21" i="60"/>
  <c r="I21" i="60"/>
  <c r="J21" i="60"/>
  <c r="F22" i="60"/>
  <c r="G22" i="60"/>
  <c r="H22" i="60"/>
  <c r="I22" i="60"/>
  <c r="J22" i="60"/>
  <c r="F23" i="60"/>
  <c r="G23" i="60"/>
  <c r="H23" i="60"/>
  <c r="I23" i="60"/>
  <c r="J23" i="60"/>
  <c r="F24" i="60"/>
  <c r="G24" i="60"/>
  <c r="H24" i="60"/>
  <c r="I24" i="60"/>
  <c r="J24" i="60"/>
  <c r="F26" i="60"/>
  <c r="G26" i="60"/>
  <c r="H26" i="60"/>
  <c r="I26" i="60"/>
  <c r="J26" i="60"/>
  <c r="E26" i="60"/>
  <c r="E24" i="60"/>
  <c r="E23" i="60"/>
  <c r="E22" i="60"/>
  <c r="E21" i="60"/>
  <c r="E20" i="60"/>
  <c r="E19" i="60"/>
  <c r="E18" i="60"/>
  <c r="U79" i="58"/>
  <c r="V79" i="58"/>
  <c r="W79" i="58"/>
  <c r="X79" i="58"/>
  <c r="Y79" i="58"/>
  <c r="Z79" i="58"/>
  <c r="AA79" i="58"/>
  <c r="AB79" i="58"/>
  <c r="AC79" i="58"/>
  <c r="AD79" i="58"/>
  <c r="AE79" i="58"/>
  <c r="AF79" i="58"/>
  <c r="AG79" i="58"/>
  <c r="AH79" i="58"/>
  <c r="AI79" i="58"/>
  <c r="AJ79" i="58"/>
  <c r="AK79" i="58"/>
  <c r="AL79" i="58"/>
  <c r="K79" i="58"/>
  <c r="L79" i="58"/>
  <c r="M79" i="58"/>
  <c r="N79" i="58"/>
  <c r="O79" i="58"/>
  <c r="P79" i="58"/>
  <c r="Q79" i="58"/>
  <c r="R79" i="58"/>
  <c r="S79" i="58"/>
  <c r="T79" i="58"/>
  <c r="V14" i="55"/>
  <c r="W14" i="55"/>
  <c r="X14" i="55"/>
  <c r="Y14" i="55"/>
  <c r="Z14" i="55"/>
  <c r="AA14" i="55"/>
  <c r="AB14" i="55"/>
  <c r="AC14" i="55"/>
  <c r="AD14" i="55"/>
  <c r="AE14" i="55"/>
  <c r="AF14" i="55"/>
  <c r="AG14" i="55"/>
  <c r="AH14" i="55"/>
  <c r="AI14" i="55"/>
  <c r="I14" i="55"/>
  <c r="J14" i="55"/>
  <c r="K14" i="55"/>
  <c r="L14" i="55"/>
  <c r="M14" i="55"/>
  <c r="N14" i="55"/>
  <c r="O14" i="55"/>
  <c r="P14" i="55"/>
  <c r="Q14" i="55"/>
  <c r="R14" i="55"/>
  <c r="S14" i="55"/>
  <c r="T14" i="55"/>
  <c r="U14" i="55"/>
  <c r="H14" i="55"/>
  <c r="X66" i="58"/>
  <c r="Y66" i="58"/>
  <c r="Z66" i="58"/>
  <c r="AA66" i="58"/>
  <c r="AB66" i="58"/>
  <c r="AC66" i="58"/>
  <c r="AD66" i="58"/>
  <c r="AE66" i="58"/>
  <c r="AF66" i="58"/>
  <c r="AG66" i="58"/>
  <c r="AH66" i="58"/>
  <c r="AI66" i="58"/>
  <c r="AJ66" i="58"/>
  <c r="AK66" i="58"/>
  <c r="AL66" i="58"/>
  <c r="L66" i="58"/>
  <c r="M66" i="58"/>
  <c r="N66" i="58"/>
  <c r="O66" i="58"/>
  <c r="P66" i="58"/>
  <c r="Q66" i="58"/>
  <c r="R66" i="58"/>
  <c r="S66" i="58"/>
  <c r="T66" i="58"/>
  <c r="U66" i="58"/>
  <c r="V66" i="58"/>
  <c r="W66" i="58"/>
  <c r="K66" i="58"/>
  <c r="C6" i="66"/>
  <c r="D6" i="66"/>
  <c r="E6" i="66"/>
  <c r="F6" i="66"/>
  <c r="G6" i="66"/>
  <c r="H6" i="66"/>
  <c r="I6" i="66"/>
  <c r="J6" i="66"/>
  <c r="K6" i="66"/>
  <c r="L6" i="66"/>
  <c r="M6" i="66"/>
  <c r="N6" i="66"/>
  <c r="O6" i="66"/>
  <c r="P6" i="66"/>
  <c r="Q6" i="66"/>
  <c r="R6" i="66"/>
  <c r="S6" i="66"/>
  <c r="T6" i="66"/>
  <c r="U6" i="66"/>
  <c r="V6" i="66"/>
  <c r="W6" i="66"/>
  <c r="X6" i="66"/>
  <c r="Y6" i="66"/>
  <c r="Z6" i="66"/>
  <c r="AA6" i="66"/>
  <c r="AB6" i="66"/>
  <c r="AC6" i="66"/>
  <c r="AD6" i="66"/>
  <c r="K13" i="55"/>
  <c r="L13" i="55"/>
  <c r="M13" i="55"/>
  <c r="N13" i="55"/>
  <c r="O13" i="55"/>
  <c r="P13" i="55"/>
  <c r="Q13" i="55"/>
  <c r="R13" i="55"/>
  <c r="S13" i="55"/>
  <c r="T13" i="55"/>
  <c r="U13" i="55"/>
  <c r="V13" i="55"/>
  <c r="W13" i="55"/>
  <c r="X13" i="55"/>
  <c r="Y13" i="55"/>
  <c r="Z13" i="55"/>
  <c r="AA13" i="55"/>
  <c r="AB13" i="55"/>
  <c r="AC13" i="55"/>
  <c r="AD13" i="55"/>
  <c r="AE13" i="55"/>
  <c r="AF13" i="55"/>
  <c r="AG13" i="55"/>
  <c r="AH13" i="55"/>
  <c r="AI13" i="55"/>
  <c r="I13" i="55"/>
  <c r="J13" i="55"/>
  <c r="H13" i="55"/>
  <c r="AF93" i="34"/>
  <c r="AE93" i="34"/>
  <c r="AD93" i="34"/>
  <c r="AC93" i="34"/>
  <c r="AB93" i="34"/>
  <c r="AA93" i="34"/>
  <c r="Z93" i="34"/>
  <c r="Y93" i="34"/>
  <c r="X93" i="34"/>
  <c r="W93" i="34"/>
  <c r="V93" i="34"/>
  <c r="U93" i="34"/>
  <c r="T93" i="34"/>
  <c r="S93" i="34"/>
  <c r="R93" i="34"/>
  <c r="Q93" i="34"/>
  <c r="P93" i="34"/>
  <c r="O93" i="34"/>
  <c r="N93" i="34"/>
  <c r="M93" i="34"/>
  <c r="L93" i="34"/>
  <c r="K93" i="34"/>
  <c r="J93" i="34"/>
  <c r="I93" i="34"/>
  <c r="H93" i="34"/>
  <c r="G93" i="34"/>
  <c r="F93" i="34"/>
  <c r="E93" i="34"/>
  <c r="AF89" i="34"/>
  <c r="AE89" i="34"/>
  <c r="AD89" i="34"/>
  <c r="AC89" i="34"/>
  <c r="AB89" i="34"/>
  <c r="AA89" i="34"/>
  <c r="Z89" i="34"/>
  <c r="Y89" i="34"/>
  <c r="X89" i="34"/>
  <c r="W89" i="34"/>
  <c r="V89" i="34"/>
  <c r="U89" i="34"/>
  <c r="T89" i="34"/>
  <c r="S89" i="34"/>
  <c r="R89" i="34"/>
  <c r="Q89" i="34"/>
  <c r="P89" i="34"/>
  <c r="O89" i="34"/>
  <c r="N89" i="34"/>
  <c r="M89" i="34"/>
  <c r="L89" i="34"/>
  <c r="K89" i="34"/>
  <c r="J89" i="34"/>
  <c r="I89" i="34"/>
  <c r="H89" i="34"/>
  <c r="G89" i="34"/>
  <c r="F89" i="34"/>
  <c r="E89" i="34"/>
  <c r="AF88" i="34"/>
  <c r="AE88" i="34"/>
  <c r="AD88" i="34"/>
  <c r="AC88" i="34"/>
  <c r="AB88" i="34"/>
  <c r="AA88" i="34"/>
  <c r="Z88" i="34"/>
  <c r="Y88" i="34"/>
  <c r="X88" i="34"/>
  <c r="W88" i="34"/>
  <c r="V88" i="34"/>
  <c r="U88" i="34"/>
  <c r="T88" i="34"/>
  <c r="S88" i="34"/>
  <c r="R88" i="34"/>
  <c r="Q88" i="34"/>
  <c r="P88" i="34"/>
  <c r="O88" i="34"/>
  <c r="N88" i="34"/>
  <c r="M88" i="34"/>
  <c r="L88" i="34"/>
  <c r="K88" i="34"/>
  <c r="J88" i="34"/>
  <c r="I88" i="34"/>
  <c r="H88" i="34"/>
  <c r="G88" i="34"/>
  <c r="F88" i="34"/>
  <c r="E88" i="34"/>
  <c r="M71" i="34"/>
  <c r="N71" i="34"/>
  <c r="O71" i="34"/>
  <c r="P71" i="34"/>
  <c r="Q71" i="34"/>
  <c r="R71" i="34"/>
  <c r="S71" i="34"/>
  <c r="T71" i="34"/>
  <c r="U71" i="34"/>
  <c r="V71" i="34"/>
  <c r="W71" i="34"/>
  <c r="X71" i="34"/>
  <c r="Y71" i="34"/>
  <c r="Z71" i="34"/>
  <c r="AA71" i="34"/>
  <c r="AB71" i="34"/>
  <c r="AC71" i="34"/>
  <c r="AD71" i="34"/>
  <c r="AE71" i="34"/>
  <c r="AF71" i="34"/>
  <c r="F71" i="34"/>
  <c r="G71" i="34"/>
  <c r="H71" i="34"/>
  <c r="I71" i="34"/>
  <c r="J71" i="34"/>
  <c r="K71" i="34"/>
  <c r="L71" i="34"/>
  <c r="E71" i="34"/>
  <c r="F67" i="34"/>
  <c r="F92" i="34" s="1"/>
  <c r="G67" i="34"/>
  <c r="G92" i="34" s="1"/>
  <c r="H67" i="34"/>
  <c r="H92" i="34" s="1"/>
  <c r="I67" i="34"/>
  <c r="I92" i="34" s="1"/>
  <c r="J67" i="34"/>
  <c r="J92" i="34" s="1"/>
  <c r="K67" i="34"/>
  <c r="K92" i="34" s="1"/>
  <c r="L67" i="34"/>
  <c r="L92" i="34" s="1"/>
  <c r="M67" i="34"/>
  <c r="M92" i="34" s="1"/>
  <c r="N67" i="34"/>
  <c r="N92" i="34" s="1"/>
  <c r="O67" i="34"/>
  <c r="O92" i="34" s="1"/>
  <c r="P67" i="34"/>
  <c r="P92" i="34" s="1"/>
  <c r="Q67" i="34"/>
  <c r="Q92" i="34" s="1"/>
  <c r="R67" i="34"/>
  <c r="R92" i="34" s="1"/>
  <c r="S67" i="34"/>
  <c r="S92" i="34" s="1"/>
  <c r="T67" i="34"/>
  <c r="T92" i="34" s="1"/>
  <c r="U67" i="34"/>
  <c r="U92" i="34" s="1"/>
  <c r="V67" i="34"/>
  <c r="V92" i="34" s="1"/>
  <c r="W67" i="34"/>
  <c r="W92" i="34" s="1"/>
  <c r="X67" i="34"/>
  <c r="X92" i="34" s="1"/>
  <c r="Y67" i="34"/>
  <c r="Y92" i="34" s="1"/>
  <c r="Z67" i="34"/>
  <c r="Z92" i="34" s="1"/>
  <c r="AA67" i="34"/>
  <c r="AA92" i="34" s="1"/>
  <c r="AB67" i="34"/>
  <c r="AB92" i="34" s="1"/>
  <c r="AC67" i="34"/>
  <c r="AC92" i="34" s="1"/>
  <c r="AD67" i="34"/>
  <c r="AD92" i="34" s="1"/>
  <c r="AE67" i="34"/>
  <c r="AE92" i="34" s="1"/>
  <c r="AF67" i="34"/>
  <c r="AF92" i="34" s="1"/>
  <c r="E67" i="34"/>
  <c r="E92" i="34" s="1"/>
  <c r="E66" i="34"/>
  <c r="E91" i="34" s="1"/>
  <c r="F66" i="34"/>
  <c r="F91" i="34" s="1"/>
  <c r="G66" i="34"/>
  <c r="G91" i="34" s="1"/>
  <c r="H66" i="34"/>
  <c r="H91" i="34" s="1"/>
  <c r="I66" i="34"/>
  <c r="I91" i="34" s="1"/>
  <c r="J66" i="34"/>
  <c r="J91" i="34" s="1"/>
  <c r="K66" i="34"/>
  <c r="K91" i="34" s="1"/>
  <c r="L66" i="34"/>
  <c r="L91" i="34" s="1"/>
  <c r="M66" i="34"/>
  <c r="M91" i="34" s="1"/>
  <c r="N66" i="34"/>
  <c r="N91" i="34" s="1"/>
  <c r="O66" i="34"/>
  <c r="O91" i="34" s="1"/>
  <c r="P66" i="34"/>
  <c r="P91" i="34" s="1"/>
  <c r="Q66" i="34"/>
  <c r="Q91" i="34" s="1"/>
  <c r="AC66" i="34"/>
  <c r="AC91" i="34" s="1"/>
  <c r="AD66" i="34"/>
  <c r="AD91" i="34" s="1"/>
  <c r="AE66" i="34"/>
  <c r="AE91" i="34" s="1"/>
  <c r="AF66" i="34"/>
  <c r="AF91" i="34" s="1"/>
  <c r="S66" i="34"/>
  <c r="S91" i="34" s="1"/>
  <c r="T66" i="34"/>
  <c r="T91" i="34" s="1"/>
  <c r="U66" i="34"/>
  <c r="U91" i="34" s="1"/>
  <c r="V66" i="34"/>
  <c r="V91" i="34" s="1"/>
  <c r="W66" i="34"/>
  <c r="W91" i="34" s="1"/>
  <c r="X66" i="34"/>
  <c r="X91" i="34" s="1"/>
  <c r="Y66" i="34"/>
  <c r="Y91" i="34" s="1"/>
  <c r="Z66" i="34"/>
  <c r="Z91" i="34" s="1"/>
  <c r="AA66" i="34"/>
  <c r="AA91" i="34" s="1"/>
  <c r="AB66" i="34"/>
  <c r="AB91" i="34" s="1"/>
  <c r="R66" i="34"/>
  <c r="R91" i="34" s="1"/>
  <c r="V23" i="55"/>
  <c r="M23" i="55"/>
  <c r="D42" i="73" l="1"/>
  <c r="C24" i="73"/>
  <c r="C43" i="73"/>
  <c r="I23" i="55"/>
  <c r="J23" i="55"/>
  <c r="K23" i="55"/>
  <c r="L23" i="55"/>
  <c r="N23" i="55"/>
  <c r="O23" i="55"/>
  <c r="P23" i="55"/>
  <c r="Q23" i="55"/>
  <c r="R23" i="55"/>
  <c r="S23" i="55"/>
  <c r="T23" i="55"/>
  <c r="U23" i="55"/>
  <c r="W23" i="55"/>
  <c r="X23" i="55"/>
  <c r="Y23" i="55"/>
  <c r="Z23" i="55"/>
  <c r="AA23" i="55"/>
  <c r="AB23" i="55"/>
  <c r="AC23" i="55"/>
  <c r="AD23" i="55"/>
  <c r="AE23" i="55"/>
  <c r="AF23" i="55"/>
  <c r="AG23" i="55"/>
  <c r="AH23" i="55"/>
  <c r="AI23" i="55"/>
  <c r="H23" i="55"/>
  <c r="I22" i="55"/>
  <c r="J22" i="55"/>
  <c r="K22" i="55"/>
  <c r="L22" i="55"/>
  <c r="M22" i="55"/>
  <c r="N22" i="55"/>
  <c r="O22" i="55"/>
  <c r="P22" i="55"/>
  <c r="Q22" i="55"/>
  <c r="R22" i="55"/>
  <c r="S22" i="55"/>
  <c r="T22" i="55"/>
  <c r="U22" i="55"/>
  <c r="V22" i="55"/>
  <c r="W22" i="55"/>
  <c r="X22" i="55"/>
  <c r="Y22" i="55"/>
  <c r="Z22" i="55"/>
  <c r="AA22" i="55"/>
  <c r="AB22" i="55"/>
  <c r="AC22" i="55"/>
  <c r="AD22" i="55"/>
  <c r="AE22" i="55"/>
  <c r="AF22" i="55"/>
  <c r="AG22" i="55"/>
  <c r="AH22" i="55"/>
  <c r="AI22" i="55"/>
  <c r="H22" i="55"/>
  <c r="AL22" i="55"/>
  <c r="AL23" i="55"/>
  <c r="AM22" i="55"/>
  <c r="AM23" i="55"/>
  <c r="T16" i="55"/>
  <c r="U16" i="55"/>
  <c r="W16" i="55"/>
  <c r="X16" i="55"/>
  <c r="Y16" i="55"/>
  <c r="Z16" i="55"/>
  <c r="AA16" i="55"/>
  <c r="AB16" i="55"/>
  <c r="AC16" i="55"/>
  <c r="AD16" i="55"/>
  <c r="AE16" i="55"/>
  <c r="AF16" i="55"/>
  <c r="AG16" i="55"/>
  <c r="AH16" i="55"/>
  <c r="AI16" i="55"/>
  <c r="T17" i="55"/>
  <c r="U17" i="55"/>
  <c r="V17" i="55"/>
  <c r="W17" i="55"/>
  <c r="X17" i="55"/>
  <c r="Y17" i="55"/>
  <c r="Z17" i="55"/>
  <c r="AA17" i="55"/>
  <c r="AB17" i="55"/>
  <c r="AC17" i="55"/>
  <c r="AD17" i="55"/>
  <c r="AE17" i="55"/>
  <c r="AF17" i="55"/>
  <c r="AG17" i="55"/>
  <c r="AH17" i="55"/>
  <c r="AI17" i="55"/>
  <c r="T18" i="55"/>
  <c r="U18" i="55"/>
  <c r="V18" i="55"/>
  <c r="W18" i="55"/>
  <c r="X18" i="55"/>
  <c r="Y18" i="55"/>
  <c r="Z18" i="55"/>
  <c r="AA18" i="55"/>
  <c r="AB18" i="55"/>
  <c r="AC18" i="55"/>
  <c r="AD18" i="55"/>
  <c r="AE18" i="55"/>
  <c r="AF18" i="55"/>
  <c r="AG18" i="55"/>
  <c r="AH18" i="55"/>
  <c r="AI18" i="55"/>
  <c r="T19" i="55"/>
  <c r="U19" i="55"/>
  <c r="V19" i="55"/>
  <c r="W19" i="55"/>
  <c r="X19" i="55"/>
  <c r="Y19" i="55"/>
  <c r="Z19" i="55"/>
  <c r="AA19" i="55"/>
  <c r="AB19" i="55"/>
  <c r="AC19" i="55"/>
  <c r="AD19" i="55"/>
  <c r="AE19" i="55"/>
  <c r="AF19" i="55"/>
  <c r="AG19" i="55"/>
  <c r="AH19" i="55"/>
  <c r="AI19" i="55"/>
  <c r="T20" i="55"/>
  <c r="U20" i="55"/>
  <c r="V20" i="55"/>
  <c r="W20" i="55"/>
  <c r="X20" i="55"/>
  <c r="Y20" i="55"/>
  <c r="Z20" i="55"/>
  <c r="AA20" i="55"/>
  <c r="AB20" i="55"/>
  <c r="AC20" i="55"/>
  <c r="AD20" i="55"/>
  <c r="AE20" i="55"/>
  <c r="AF20" i="55"/>
  <c r="AG20" i="55"/>
  <c r="AH20" i="55"/>
  <c r="AI20" i="55"/>
  <c r="T21" i="55"/>
  <c r="U21" i="55"/>
  <c r="V21" i="55"/>
  <c r="W21" i="55"/>
  <c r="X21" i="55"/>
  <c r="Y21" i="55"/>
  <c r="Z21" i="55"/>
  <c r="AA21" i="55"/>
  <c r="AB21" i="55"/>
  <c r="AC21" i="55"/>
  <c r="AD21" i="55"/>
  <c r="AE21" i="55"/>
  <c r="AF21" i="55"/>
  <c r="AG21" i="55"/>
  <c r="AH21" i="55"/>
  <c r="AI21" i="55"/>
  <c r="M16" i="55"/>
  <c r="N16" i="55"/>
  <c r="O16" i="55"/>
  <c r="P16" i="55"/>
  <c r="Q16" i="55"/>
  <c r="R16" i="55"/>
  <c r="S16" i="55"/>
  <c r="M17" i="55"/>
  <c r="N17" i="55"/>
  <c r="O17" i="55"/>
  <c r="P17" i="55"/>
  <c r="Q17" i="55"/>
  <c r="R17" i="55"/>
  <c r="S17" i="55"/>
  <c r="M18" i="55"/>
  <c r="N18" i="55"/>
  <c r="O18" i="55"/>
  <c r="P18" i="55"/>
  <c r="Q18" i="55"/>
  <c r="R18" i="55"/>
  <c r="S18" i="55"/>
  <c r="M19" i="55"/>
  <c r="N19" i="55"/>
  <c r="O19" i="55"/>
  <c r="P19" i="55"/>
  <c r="Q19" i="55"/>
  <c r="R19" i="55"/>
  <c r="S19" i="55"/>
  <c r="M20" i="55"/>
  <c r="N20" i="55"/>
  <c r="O20" i="55"/>
  <c r="P20" i="55"/>
  <c r="Q20" i="55"/>
  <c r="R20" i="55"/>
  <c r="S20" i="55"/>
  <c r="M21" i="55"/>
  <c r="N21" i="55"/>
  <c r="O21" i="55"/>
  <c r="P21" i="55"/>
  <c r="Q21" i="55"/>
  <c r="R21" i="55"/>
  <c r="S21" i="55"/>
  <c r="J16" i="55"/>
  <c r="K16" i="55"/>
  <c r="L16" i="55"/>
  <c r="J17" i="55"/>
  <c r="K17" i="55"/>
  <c r="L17" i="55"/>
  <c r="J18" i="55"/>
  <c r="K18" i="55"/>
  <c r="L18" i="55"/>
  <c r="J19" i="55"/>
  <c r="K19" i="55"/>
  <c r="L19" i="55"/>
  <c r="J20" i="55"/>
  <c r="K20" i="55"/>
  <c r="L20" i="55"/>
  <c r="J21" i="55"/>
  <c r="K21" i="55"/>
  <c r="L21" i="55"/>
  <c r="I16" i="55"/>
  <c r="I17" i="55"/>
  <c r="I18" i="55"/>
  <c r="I19" i="55"/>
  <c r="I20" i="55"/>
  <c r="I21" i="55"/>
  <c r="H21" i="55"/>
  <c r="H20" i="55"/>
  <c r="H19" i="55"/>
  <c r="H18" i="55"/>
  <c r="H17" i="55"/>
  <c r="H16" i="55"/>
  <c r="AM17" i="55"/>
  <c r="AM18" i="55"/>
  <c r="AM19" i="55"/>
  <c r="AM20" i="55"/>
  <c r="AM21" i="55"/>
  <c r="AM16" i="55"/>
  <c r="D17" i="55"/>
  <c r="D18" i="55"/>
  <c r="D19" i="55"/>
  <c r="D20" i="55"/>
  <c r="D21" i="55"/>
  <c r="D16" i="55"/>
  <c r="AN21" i="55"/>
  <c r="AN20" i="55"/>
  <c r="AN19" i="55"/>
  <c r="AN18" i="55"/>
  <c r="AN17" i="55"/>
  <c r="AN16" i="55"/>
  <c r="AL16" i="55" l="1"/>
  <c r="C134" i="55"/>
  <c r="AL21" i="55"/>
  <c r="C139" i="55"/>
  <c r="AL20" i="55"/>
  <c r="C138" i="55"/>
  <c r="AL19" i="55"/>
  <c r="C137" i="55"/>
  <c r="AL18" i="55"/>
  <c r="C136" i="55"/>
  <c r="AL17" i="55"/>
  <c r="C135" i="55"/>
  <c r="B16" i="55"/>
  <c r="B134" i="55" s="1"/>
  <c r="A16" i="55"/>
  <c r="B21" i="55"/>
  <c r="B139" i="55" s="1"/>
  <c r="A21" i="55"/>
  <c r="B20" i="55"/>
  <c r="B138" i="55" s="1"/>
  <c r="A20" i="55"/>
  <c r="B19" i="55"/>
  <c r="B137" i="55" s="1"/>
  <c r="A19" i="55"/>
  <c r="B18" i="55"/>
  <c r="B136" i="55" s="1"/>
  <c r="A18" i="55"/>
  <c r="B17" i="55"/>
  <c r="B135" i="55" s="1"/>
  <c r="A17" i="55"/>
  <c r="D266" i="58"/>
  <c r="D262" i="58"/>
  <c r="C256" i="58"/>
  <c r="C255" i="58"/>
  <c r="C250" i="58"/>
  <c r="D216" i="58"/>
  <c r="D118" i="58"/>
  <c r="D114" i="58"/>
  <c r="C108" i="58"/>
  <c r="C107" i="58"/>
  <c r="C102" i="58"/>
  <c r="D59" i="58"/>
  <c r="B63" i="53"/>
  <c r="B62" i="53"/>
  <c r="B55" i="53"/>
  <c r="D13" i="55"/>
  <c r="E33" i="59"/>
  <c r="E32" i="59"/>
  <c r="E31" i="59"/>
  <c r="E30" i="59"/>
  <c r="E29" i="59"/>
  <c r="AK17" i="55" l="1"/>
  <c r="A135" i="55"/>
  <c r="AK18" i="55"/>
  <c r="A136" i="55"/>
  <c r="AK19" i="55"/>
  <c r="A137" i="55"/>
  <c r="AK20" i="55"/>
  <c r="A138" i="55"/>
  <c r="AK21" i="55"/>
  <c r="A139" i="55"/>
  <c r="AK16" i="55"/>
  <c r="A134" i="55"/>
  <c r="L120" i="58"/>
  <c r="M120" i="58"/>
  <c r="N120" i="58"/>
  <c r="O120" i="58"/>
  <c r="P120" i="58"/>
  <c r="Q120" i="58"/>
  <c r="R120" i="58"/>
  <c r="S120" i="58"/>
  <c r="T120" i="58"/>
  <c r="U120" i="58"/>
  <c r="V120" i="58"/>
  <c r="W120" i="58"/>
  <c r="X120" i="58"/>
  <c r="Y120" i="58"/>
  <c r="Z120" i="58"/>
  <c r="AA120" i="58"/>
  <c r="AB120" i="58"/>
  <c r="AC120" i="58"/>
  <c r="AD120" i="58"/>
  <c r="AE120" i="58"/>
  <c r="AF120" i="58"/>
  <c r="AG120" i="58"/>
  <c r="AH120" i="58"/>
  <c r="AI120" i="58"/>
  <c r="AJ120" i="58"/>
  <c r="AK120" i="58"/>
  <c r="AL120" i="58"/>
  <c r="K120" i="58"/>
  <c r="K84" i="58"/>
  <c r="L96" i="58"/>
  <c r="M96" i="58"/>
  <c r="N96" i="58"/>
  <c r="O96" i="58"/>
  <c r="P96" i="58"/>
  <c r="Q96" i="58"/>
  <c r="R96" i="58"/>
  <c r="S96" i="58"/>
  <c r="T96" i="58"/>
  <c r="U96" i="58"/>
  <c r="V96" i="58"/>
  <c r="W96" i="58"/>
  <c r="X96" i="58"/>
  <c r="Y96" i="58"/>
  <c r="Z96" i="58"/>
  <c r="AA96" i="58"/>
  <c r="AB96" i="58"/>
  <c r="AC96" i="58"/>
  <c r="AD96" i="58"/>
  <c r="AE96" i="58"/>
  <c r="AF96" i="58"/>
  <c r="AG96" i="58"/>
  <c r="AH96" i="58"/>
  <c r="AI96" i="58"/>
  <c r="AJ96" i="58"/>
  <c r="AK96" i="58"/>
  <c r="AL96" i="58"/>
  <c r="K96" i="58"/>
  <c r="Z84" i="58"/>
  <c r="AA84" i="58"/>
  <c r="AB84" i="58"/>
  <c r="AC84" i="58"/>
  <c r="AD84" i="58"/>
  <c r="AE84" i="58"/>
  <c r="AF84" i="58"/>
  <c r="AG84" i="58"/>
  <c r="AH84" i="58"/>
  <c r="AI84" i="58"/>
  <c r="AJ84" i="58"/>
  <c r="AK84" i="58"/>
  <c r="AL84" i="58"/>
  <c r="L84" i="58"/>
  <c r="M84" i="58"/>
  <c r="N84" i="58"/>
  <c r="O84" i="58"/>
  <c r="P84" i="58"/>
  <c r="Q84" i="58"/>
  <c r="R84" i="58"/>
  <c r="S84" i="58"/>
  <c r="T84" i="58"/>
  <c r="U84" i="58"/>
  <c r="V84" i="58"/>
  <c r="W84" i="58"/>
  <c r="X84" i="58"/>
  <c r="Y84" i="58"/>
  <c r="L60" i="58"/>
  <c r="M60" i="58"/>
  <c r="N60" i="58"/>
  <c r="O60" i="58"/>
  <c r="P60" i="58"/>
  <c r="Q60" i="58"/>
  <c r="R60" i="58"/>
  <c r="S60" i="58"/>
  <c r="T60" i="58"/>
  <c r="U60" i="58"/>
  <c r="V60" i="58"/>
  <c r="W60" i="58"/>
  <c r="X60" i="58"/>
  <c r="Y60" i="58"/>
  <c r="Z60" i="58"/>
  <c r="AA60" i="58"/>
  <c r="AB60" i="58"/>
  <c r="AC60" i="58"/>
  <c r="AD60" i="58"/>
  <c r="AE60" i="58"/>
  <c r="AF60" i="58"/>
  <c r="AG60" i="58"/>
  <c r="AH60" i="58"/>
  <c r="AI60" i="58"/>
  <c r="AJ60" i="58"/>
  <c r="AK60" i="58"/>
  <c r="AL60" i="58"/>
  <c r="K60" i="58"/>
  <c r="S56" i="58"/>
  <c r="T56" i="58"/>
  <c r="U56" i="58"/>
  <c r="V56" i="58"/>
  <c r="W56" i="58"/>
  <c r="X56" i="58"/>
  <c r="Y56" i="58"/>
  <c r="Z56" i="58"/>
  <c r="AA56" i="58"/>
  <c r="AB56" i="58"/>
  <c r="AC56" i="58"/>
  <c r="AD56" i="58"/>
  <c r="AE56" i="58"/>
  <c r="AF56" i="58"/>
  <c r="AG56" i="58"/>
  <c r="AH56" i="58"/>
  <c r="AI56" i="58"/>
  <c r="AJ56" i="58"/>
  <c r="AK56" i="58"/>
  <c r="AL56" i="58"/>
  <c r="L56" i="58"/>
  <c r="M56" i="58"/>
  <c r="N56" i="58"/>
  <c r="O56" i="58"/>
  <c r="P56" i="58"/>
  <c r="Q56" i="58"/>
  <c r="R56" i="58"/>
  <c r="K56" i="58"/>
  <c r="P45" i="58"/>
  <c r="Q45" i="58"/>
  <c r="R45" i="58"/>
  <c r="S45" i="58"/>
  <c r="T45" i="58"/>
  <c r="U45" i="58"/>
  <c r="V45" i="58"/>
  <c r="W45" i="58"/>
  <c r="X45" i="58"/>
  <c r="Y45" i="58"/>
  <c r="Z45" i="58"/>
  <c r="AA45" i="58"/>
  <c r="AB45" i="58"/>
  <c r="AC45" i="58"/>
  <c r="AD45" i="58"/>
  <c r="AE45" i="58"/>
  <c r="AF45" i="58"/>
  <c r="AG45" i="58"/>
  <c r="AH45" i="58"/>
  <c r="AI45" i="58"/>
  <c r="AJ45" i="58"/>
  <c r="AK45" i="58"/>
  <c r="AL45" i="58"/>
  <c r="L45" i="58"/>
  <c r="M45" i="58"/>
  <c r="N45" i="58"/>
  <c r="O45" i="58"/>
  <c r="K45" i="58"/>
  <c r="P32" i="58"/>
  <c r="Q32" i="58"/>
  <c r="R32" i="58"/>
  <c r="S32" i="58"/>
  <c r="T32" i="58"/>
  <c r="U32" i="58"/>
  <c r="V32" i="58"/>
  <c r="W32" i="58"/>
  <c r="X32" i="58"/>
  <c r="Y32" i="58"/>
  <c r="Z32" i="58"/>
  <c r="AA32" i="58"/>
  <c r="AB32" i="58"/>
  <c r="AC32" i="58"/>
  <c r="AD32" i="58"/>
  <c r="AE32" i="58"/>
  <c r="AF32" i="58"/>
  <c r="AG32" i="58"/>
  <c r="AH32" i="58"/>
  <c r="AI32" i="58"/>
  <c r="AJ32" i="58"/>
  <c r="AK32" i="58"/>
  <c r="AL32" i="58"/>
  <c r="L32" i="58"/>
  <c r="M32" i="58"/>
  <c r="N32" i="58"/>
  <c r="O32" i="58"/>
  <c r="K32" i="58"/>
  <c r="R23" i="58"/>
  <c r="S23" i="58"/>
  <c r="T23" i="58"/>
  <c r="U23" i="58"/>
  <c r="V23" i="58"/>
  <c r="K184" i="58" s="1"/>
  <c r="W23" i="58"/>
  <c r="X23" i="58"/>
  <c r="Y23" i="58"/>
  <c r="Z23" i="58"/>
  <c r="AA23" i="58"/>
  <c r="AB23" i="58"/>
  <c r="AD23" i="58"/>
  <c r="AE23" i="58"/>
  <c r="AF23" i="58"/>
  <c r="AG23" i="58"/>
  <c r="AH23" i="58"/>
  <c r="AI23" i="58"/>
  <c r="AJ23" i="58"/>
  <c r="AK23" i="58"/>
  <c r="AL23" i="58"/>
  <c r="M23" i="58"/>
  <c r="N23" i="58"/>
  <c r="O23" i="58"/>
  <c r="P23" i="58"/>
  <c r="Q23" i="58"/>
  <c r="K23" i="58"/>
  <c r="T12" i="58"/>
  <c r="U12" i="58"/>
  <c r="W12" i="58"/>
  <c r="X12" i="58"/>
  <c r="Z12" i="58"/>
  <c r="AA12" i="58"/>
  <c r="AB12" i="58"/>
  <c r="AD12" i="58"/>
  <c r="AE12" i="58"/>
  <c r="AF12" i="58"/>
  <c r="AG12" i="58"/>
  <c r="AH12" i="58"/>
  <c r="AI12" i="58"/>
  <c r="AJ12" i="58"/>
  <c r="AK12" i="58"/>
  <c r="AL12" i="58"/>
  <c r="L12" i="58"/>
  <c r="M12" i="58"/>
  <c r="N12" i="58"/>
  <c r="O12" i="58"/>
  <c r="P12" i="58"/>
  <c r="Q12" i="58"/>
  <c r="R12" i="58"/>
  <c r="S12" i="58"/>
  <c r="K12" i="58"/>
  <c r="P78" i="87"/>
  <c r="Q78" i="87"/>
  <c r="R78" i="87"/>
  <c r="S78" i="87"/>
  <c r="T78" i="87"/>
  <c r="U78" i="87"/>
  <c r="V78" i="87"/>
  <c r="W78" i="87"/>
  <c r="X78" i="87"/>
  <c r="Y78" i="87"/>
  <c r="Z78" i="87"/>
  <c r="AA78" i="87"/>
  <c r="AB78" i="87"/>
  <c r="AC78" i="87"/>
  <c r="AD78" i="87"/>
  <c r="AE78" i="87"/>
  <c r="AF78" i="87"/>
  <c r="AG78" i="87"/>
  <c r="AH78" i="87"/>
  <c r="AI78" i="87"/>
  <c r="AJ78" i="87"/>
  <c r="AK78" i="87"/>
  <c r="AL78" i="87"/>
  <c r="L78" i="87"/>
  <c r="M78" i="87"/>
  <c r="N78" i="87"/>
  <c r="O78" i="87"/>
  <c r="K78" i="87"/>
  <c r="C304" i="58"/>
  <c r="C303" i="58"/>
  <c r="C302" i="58"/>
  <c r="D232" i="58"/>
  <c r="D231" i="58"/>
  <c r="C215" i="58"/>
  <c r="C187" i="58"/>
  <c r="C160" i="58"/>
  <c r="C159" i="58"/>
  <c r="C158" i="58"/>
  <c r="D78" i="58"/>
  <c r="D79" i="58"/>
  <c r="C58" i="58"/>
  <c r="C26" i="58"/>
  <c r="C111" i="64"/>
  <c r="D110" i="64"/>
  <c r="C94" i="64"/>
  <c r="D93" i="64"/>
  <c r="C77" i="64"/>
  <c r="D76" i="64"/>
  <c r="D59" i="64"/>
  <c r="C60" i="64"/>
  <c r="D39" i="64"/>
  <c r="C40" i="64"/>
  <c r="D19" i="64"/>
  <c r="C20" i="64"/>
  <c r="C123" i="97" l="1"/>
  <c r="D123" i="97"/>
  <c r="E123" i="97"/>
  <c r="F123" i="97"/>
  <c r="G123" i="97"/>
  <c r="H123" i="97"/>
  <c r="I123" i="97"/>
  <c r="J123" i="97"/>
  <c r="K123" i="97"/>
  <c r="L123" i="97"/>
  <c r="M123" i="97"/>
  <c r="N123" i="97"/>
  <c r="O123" i="97"/>
  <c r="P123" i="97"/>
  <c r="Q123" i="97"/>
  <c r="R123" i="97"/>
  <c r="S123" i="97"/>
  <c r="T123" i="97"/>
  <c r="U123" i="97"/>
  <c r="V123" i="97"/>
  <c r="W123" i="97"/>
  <c r="X123" i="97"/>
  <c r="Y123" i="97"/>
  <c r="Z123" i="97"/>
  <c r="AA123" i="97"/>
  <c r="AB123" i="97"/>
  <c r="AC123" i="97"/>
  <c r="AD123" i="97"/>
  <c r="C124" i="97"/>
  <c r="D124" i="97"/>
  <c r="E124" i="97"/>
  <c r="F124" i="97"/>
  <c r="G124" i="97"/>
  <c r="H124" i="97"/>
  <c r="I124" i="97"/>
  <c r="J124" i="97"/>
  <c r="K124" i="97"/>
  <c r="L124" i="97"/>
  <c r="M124" i="97"/>
  <c r="N124" i="97"/>
  <c r="O124" i="97"/>
  <c r="P124" i="97"/>
  <c r="Q124" i="97"/>
  <c r="R124" i="97"/>
  <c r="S124" i="97"/>
  <c r="T124" i="97"/>
  <c r="U124" i="97"/>
  <c r="V124" i="97"/>
  <c r="W124" i="97"/>
  <c r="X124" i="97"/>
  <c r="Y124" i="97"/>
  <c r="Z124" i="97"/>
  <c r="AA124" i="97"/>
  <c r="AB124" i="97"/>
  <c r="AC124" i="97"/>
  <c r="AD124" i="97"/>
  <c r="C125" i="97"/>
  <c r="D125" i="97"/>
  <c r="E125" i="97"/>
  <c r="F125" i="97"/>
  <c r="G125" i="97"/>
  <c r="H125" i="97"/>
  <c r="I125" i="97"/>
  <c r="J125" i="97"/>
  <c r="K125" i="97"/>
  <c r="L125" i="97"/>
  <c r="M125" i="97"/>
  <c r="N125" i="97"/>
  <c r="O125" i="97"/>
  <c r="P125" i="97"/>
  <c r="Q125" i="97"/>
  <c r="R125" i="97"/>
  <c r="S125" i="97"/>
  <c r="T125" i="97"/>
  <c r="U125" i="97"/>
  <c r="V125" i="97"/>
  <c r="W125" i="97"/>
  <c r="X125" i="97"/>
  <c r="Y125" i="97"/>
  <c r="Z125" i="97"/>
  <c r="AA125" i="97"/>
  <c r="AB125" i="97"/>
  <c r="AC125" i="97"/>
  <c r="AD125" i="97"/>
  <c r="C126" i="97"/>
  <c r="D126" i="97"/>
  <c r="E126" i="97"/>
  <c r="F126" i="97"/>
  <c r="G126" i="97"/>
  <c r="H126" i="97"/>
  <c r="I126" i="97"/>
  <c r="J126" i="97"/>
  <c r="K126" i="97"/>
  <c r="L126" i="97"/>
  <c r="M126" i="97"/>
  <c r="N126" i="97"/>
  <c r="O126" i="97"/>
  <c r="P126" i="97"/>
  <c r="Q126" i="97"/>
  <c r="R126" i="97"/>
  <c r="S126" i="97"/>
  <c r="T126" i="97"/>
  <c r="U126" i="97"/>
  <c r="V126" i="97"/>
  <c r="W126" i="97"/>
  <c r="X126" i="97"/>
  <c r="Y126" i="97"/>
  <c r="Z126" i="97"/>
  <c r="AA126" i="97"/>
  <c r="AB126" i="97"/>
  <c r="AC126" i="97"/>
  <c r="AD126" i="97"/>
  <c r="C127" i="97"/>
  <c r="D127" i="97"/>
  <c r="E127" i="97"/>
  <c r="F127" i="97"/>
  <c r="G127" i="97"/>
  <c r="H127" i="97"/>
  <c r="I127" i="97"/>
  <c r="J127" i="97"/>
  <c r="K127" i="97"/>
  <c r="L127" i="97"/>
  <c r="M127" i="97"/>
  <c r="N127" i="97"/>
  <c r="O127" i="97"/>
  <c r="P127" i="97"/>
  <c r="Q127" i="97"/>
  <c r="R127" i="97"/>
  <c r="S127" i="97"/>
  <c r="T127" i="97"/>
  <c r="U127" i="97"/>
  <c r="V127" i="97"/>
  <c r="W127" i="97"/>
  <c r="X127" i="97"/>
  <c r="Y127" i="97"/>
  <c r="Z127" i="97"/>
  <c r="AA127" i="97"/>
  <c r="AB127" i="97"/>
  <c r="AC127" i="97"/>
  <c r="AD127" i="97"/>
  <c r="C128" i="97"/>
  <c r="D128" i="97"/>
  <c r="E128" i="97"/>
  <c r="F128" i="97"/>
  <c r="G128" i="97"/>
  <c r="H128" i="97"/>
  <c r="I128" i="97"/>
  <c r="J128" i="97"/>
  <c r="K128" i="97"/>
  <c r="L128" i="97"/>
  <c r="M128" i="97"/>
  <c r="N128" i="97"/>
  <c r="O128" i="97"/>
  <c r="P128" i="97"/>
  <c r="Q128" i="97"/>
  <c r="R128" i="97"/>
  <c r="S128" i="97"/>
  <c r="T128" i="97"/>
  <c r="U128" i="97"/>
  <c r="V128" i="97"/>
  <c r="W128" i="97"/>
  <c r="X128" i="97"/>
  <c r="Y128" i="97"/>
  <c r="Z128" i="97"/>
  <c r="AA128" i="97"/>
  <c r="AB128" i="97"/>
  <c r="AC128" i="97"/>
  <c r="AD128" i="97"/>
  <c r="C129" i="97"/>
  <c r="D129" i="97"/>
  <c r="E129" i="97"/>
  <c r="F129" i="97"/>
  <c r="G129" i="97"/>
  <c r="H129" i="97"/>
  <c r="I129" i="97"/>
  <c r="J129" i="97"/>
  <c r="K129" i="97"/>
  <c r="L129" i="97"/>
  <c r="M129" i="97"/>
  <c r="N129" i="97"/>
  <c r="O129" i="97"/>
  <c r="P129" i="97"/>
  <c r="Q129" i="97"/>
  <c r="R129" i="97"/>
  <c r="S129" i="97"/>
  <c r="T129" i="97"/>
  <c r="U129" i="97"/>
  <c r="V129" i="97"/>
  <c r="W129" i="97"/>
  <c r="X129" i="97"/>
  <c r="Y129" i="97"/>
  <c r="Z129" i="97"/>
  <c r="AA129" i="97"/>
  <c r="AB129" i="97"/>
  <c r="AC129" i="97"/>
  <c r="AD129" i="97"/>
  <c r="C130" i="97"/>
  <c r="D130" i="97"/>
  <c r="E130" i="97"/>
  <c r="F130" i="97"/>
  <c r="G130" i="97"/>
  <c r="H130" i="97"/>
  <c r="I130" i="97"/>
  <c r="J130" i="97"/>
  <c r="K130" i="97"/>
  <c r="L130" i="97"/>
  <c r="M130" i="97"/>
  <c r="N130" i="97"/>
  <c r="O130" i="97"/>
  <c r="P130" i="97"/>
  <c r="Q130" i="97"/>
  <c r="R130" i="97"/>
  <c r="S130" i="97"/>
  <c r="T130" i="97"/>
  <c r="U130" i="97"/>
  <c r="V130" i="97"/>
  <c r="W130" i="97"/>
  <c r="X130" i="97"/>
  <c r="Y130" i="97"/>
  <c r="Z130" i="97"/>
  <c r="AA130" i="97"/>
  <c r="AB130" i="97"/>
  <c r="AC130" i="97"/>
  <c r="AD130" i="97"/>
  <c r="C131" i="97"/>
  <c r="D131" i="97"/>
  <c r="E131" i="97"/>
  <c r="F131" i="97"/>
  <c r="G131" i="97"/>
  <c r="H131" i="97"/>
  <c r="I131" i="97"/>
  <c r="J131" i="97"/>
  <c r="K131" i="97"/>
  <c r="L131" i="97"/>
  <c r="M131" i="97"/>
  <c r="N131" i="97"/>
  <c r="O131" i="97"/>
  <c r="P131" i="97"/>
  <c r="Q131" i="97"/>
  <c r="R131" i="97"/>
  <c r="S131" i="97"/>
  <c r="T131" i="97"/>
  <c r="U131" i="97"/>
  <c r="V131" i="97"/>
  <c r="W131" i="97"/>
  <c r="X131" i="97"/>
  <c r="Y131" i="97"/>
  <c r="Z131" i="97"/>
  <c r="AA131" i="97"/>
  <c r="AB131" i="97"/>
  <c r="AC131" i="97"/>
  <c r="AD131" i="97"/>
  <c r="C132" i="97"/>
  <c r="D132" i="97"/>
  <c r="E132" i="97"/>
  <c r="F132" i="97"/>
  <c r="G132" i="97"/>
  <c r="H132" i="97"/>
  <c r="I132" i="97"/>
  <c r="J132" i="97"/>
  <c r="K132" i="97"/>
  <c r="L132" i="97"/>
  <c r="M132" i="97"/>
  <c r="N132" i="97"/>
  <c r="O132" i="97"/>
  <c r="P132" i="97"/>
  <c r="Q132" i="97"/>
  <c r="R132" i="97"/>
  <c r="S132" i="97"/>
  <c r="T132" i="97"/>
  <c r="U132" i="97"/>
  <c r="V132" i="97"/>
  <c r="W132" i="97"/>
  <c r="X132" i="97"/>
  <c r="Y132" i="97"/>
  <c r="Z132" i="97"/>
  <c r="AA132" i="97"/>
  <c r="AB132" i="97"/>
  <c r="AC132" i="97"/>
  <c r="AD132" i="97"/>
  <c r="C133" i="97"/>
  <c r="D133" i="97"/>
  <c r="E133" i="97"/>
  <c r="F133" i="97"/>
  <c r="G133" i="97"/>
  <c r="H133" i="97"/>
  <c r="I133" i="97"/>
  <c r="J133" i="97"/>
  <c r="K133" i="97"/>
  <c r="L133" i="97"/>
  <c r="M133" i="97"/>
  <c r="N133" i="97"/>
  <c r="O133" i="97"/>
  <c r="P133" i="97"/>
  <c r="Q133" i="97"/>
  <c r="R133" i="97"/>
  <c r="S133" i="97"/>
  <c r="T133" i="97"/>
  <c r="U133" i="97"/>
  <c r="V133" i="97"/>
  <c r="W133" i="97"/>
  <c r="X133" i="97"/>
  <c r="Y133" i="97"/>
  <c r="Z133" i="97"/>
  <c r="AA133" i="97"/>
  <c r="AB133" i="97"/>
  <c r="AC133" i="97"/>
  <c r="AD133" i="97"/>
  <c r="C134" i="97"/>
  <c r="D134" i="97"/>
  <c r="E134" i="97"/>
  <c r="F134" i="97"/>
  <c r="G134" i="97"/>
  <c r="H134" i="97"/>
  <c r="I134" i="97"/>
  <c r="J134" i="97"/>
  <c r="K134" i="97"/>
  <c r="L134" i="97"/>
  <c r="M134" i="97"/>
  <c r="N134" i="97"/>
  <c r="O134" i="97"/>
  <c r="P134" i="97"/>
  <c r="Q134" i="97"/>
  <c r="R134" i="97"/>
  <c r="S134" i="97"/>
  <c r="T134" i="97"/>
  <c r="U134" i="97"/>
  <c r="V134" i="97"/>
  <c r="W134" i="97"/>
  <c r="X134" i="97"/>
  <c r="Y134" i="97"/>
  <c r="Z134" i="97"/>
  <c r="AA134" i="97"/>
  <c r="AB134" i="97"/>
  <c r="AC134" i="97"/>
  <c r="AD134" i="97"/>
  <c r="C135" i="97"/>
  <c r="D135" i="97"/>
  <c r="E135" i="97"/>
  <c r="F135" i="97"/>
  <c r="G135" i="97"/>
  <c r="H135" i="97"/>
  <c r="I135" i="97"/>
  <c r="J135" i="97"/>
  <c r="K135" i="97"/>
  <c r="L135" i="97"/>
  <c r="M135" i="97"/>
  <c r="N135" i="97"/>
  <c r="O135" i="97"/>
  <c r="P135" i="97"/>
  <c r="Q135" i="97"/>
  <c r="R135" i="97"/>
  <c r="S135" i="97"/>
  <c r="T135" i="97"/>
  <c r="U135" i="97"/>
  <c r="V135" i="97"/>
  <c r="W135" i="97"/>
  <c r="X135" i="97"/>
  <c r="Y135" i="97"/>
  <c r="Z135" i="97"/>
  <c r="AA135" i="97"/>
  <c r="AB135" i="97"/>
  <c r="AC135" i="97"/>
  <c r="AD135" i="97"/>
  <c r="C136" i="97"/>
  <c r="D136" i="97"/>
  <c r="E136" i="97"/>
  <c r="F136" i="97"/>
  <c r="G136" i="97"/>
  <c r="H136" i="97"/>
  <c r="I136" i="97"/>
  <c r="J136" i="97"/>
  <c r="K136" i="97"/>
  <c r="L136" i="97"/>
  <c r="M136" i="97"/>
  <c r="N136" i="97"/>
  <c r="O136" i="97"/>
  <c r="P136" i="97"/>
  <c r="Q136" i="97"/>
  <c r="R136" i="97"/>
  <c r="S136" i="97"/>
  <c r="T136" i="97"/>
  <c r="U136" i="97"/>
  <c r="V136" i="97"/>
  <c r="W136" i="97"/>
  <c r="X136" i="97"/>
  <c r="Y136" i="97"/>
  <c r="Z136" i="97"/>
  <c r="AA136" i="97"/>
  <c r="AB136" i="97"/>
  <c r="AC136" i="97"/>
  <c r="AD136" i="97"/>
  <c r="C137" i="97"/>
  <c r="D137" i="97"/>
  <c r="E137" i="97"/>
  <c r="F137" i="97"/>
  <c r="G137" i="97"/>
  <c r="H137" i="97"/>
  <c r="I137" i="97"/>
  <c r="J137" i="97"/>
  <c r="K137" i="97"/>
  <c r="L137" i="97"/>
  <c r="M137" i="97"/>
  <c r="N137" i="97"/>
  <c r="O137" i="97"/>
  <c r="P137" i="97"/>
  <c r="Q137" i="97"/>
  <c r="R137" i="97"/>
  <c r="S137" i="97"/>
  <c r="T137" i="97"/>
  <c r="U137" i="97"/>
  <c r="V137" i="97"/>
  <c r="W137" i="97"/>
  <c r="X137" i="97"/>
  <c r="Y137" i="97"/>
  <c r="Z137" i="97"/>
  <c r="AA137" i="97"/>
  <c r="AB137" i="97"/>
  <c r="AC137" i="97"/>
  <c r="AD137" i="97"/>
  <c r="C138" i="97"/>
  <c r="D138" i="97"/>
  <c r="E138" i="97"/>
  <c r="F138" i="97"/>
  <c r="G138" i="97"/>
  <c r="H138" i="97"/>
  <c r="I138" i="97"/>
  <c r="J138" i="97"/>
  <c r="K138" i="97"/>
  <c r="L138" i="97"/>
  <c r="M138" i="97"/>
  <c r="N138" i="97"/>
  <c r="O138" i="97"/>
  <c r="P138" i="97"/>
  <c r="Q138" i="97"/>
  <c r="R138" i="97"/>
  <c r="S138" i="97"/>
  <c r="T138" i="97"/>
  <c r="U138" i="97"/>
  <c r="V138" i="97"/>
  <c r="W138" i="97"/>
  <c r="X138" i="97"/>
  <c r="Y138" i="97"/>
  <c r="Z138" i="97"/>
  <c r="AA138" i="97"/>
  <c r="AB138" i="97"/>
  <c r="AC138" i="97"/>
  <c r="AD138" i="97"/>
  <c r="C139" i="97"/>
  <c r="D139" i="97"/>
  <c r="E139" i="97"/>
  <c r="F139" i="97"/>
  <c r="G139" i="97"/>
  <c r="H139" i="97"/>
  <c r="I139" i="97"/>
  <c r="J139" i="97"/>
  <c r="K139" i="97"/>
  <c r="L139" i="97"/>
  <c r="M139" i="97"/>
  <c r="N139" i="97"/>
  <c r="O139" i="97"/>
  <c r="P139" i="97"/>
  <c r="Q139" i="97"/>
  <c r="R139" i="97"/>
  <c r="S139" i="97"/>
  <c r="T139" i="97"/>
  <c r="U139" i="97"/>
  <c r="V139" i="97"/>
  <c r="W139" i="97"/>
  <c r="X139" i="97"/>
  <c r="Y139" i="97"/>
  <c r="Z139" i="97"/>
  <c r="AA139" i="97"/>
  <c r="AB139" i="97"/>
  <c r="AC139" i="97"/>
  <c r="AD139" i="97"/>
  <c r="C140" i="97"/>
  <c r="D140" i="97"/>
  <c r="E140" i="97"/>
  <c r="F140" i="97"/>
  <c r="G140" i="97"/>
  <c r="H140" i="97"/>
  <c r="I140" i="97"/>
  <c r="J140" i="97"/>
  <c r="K140" i="97"/>
  <c r="L140" i="97"/>
  <c r="M140" i="97"/>
  <c r="N140" i="97"/>
  <c r="O140" i="97"/>
  <c r="P140" i="97"/>
  <c r="Q140" i="97"/>
  <c r="R140" i="97"/>
  <c r="S140" i="97"/>
  <c r="T140" i="97"/>
  <c r="U140" i="97"/>
  <c r="V140" i="97"/>
  <c r="W140" i="97"/>
  <c r="X140" i="97"/>
  <c r="Y140" i="97"/>
  <c r="Z140" i="97"/>
  <c r="AA140" i="97"/>
  <c r="AB140" i="97"/>
  <c r="AC140" i="97"/>
  <c r="AD140" i="97"/>
  <c r="C141" i="97"/>
  <c r="D141" i="97"/>
  <c r="E141" i="97"/>
  <c r="F141" i="97"/>
  <c r="G141" i="97"/>
  <c r="H141" i="97"/>
  <c r="I141" i="97"/>
  <c r="J141" i="97"/>
  <c r="K141" i="97"/>
  <c r="L141" i="97"/>
  <c r="M141" i="97"/>
  <c r="N141" i="97"/>
  <c r="O141" i="97"/>
  <c r="P141" i="97"/>
  <c r="Q141" i="97"/>
  <c r="R141" i="97"/>
  <c r="S141" i="97"/>
  <c r="T141" i="97"/>
  <c r="U141" i="97"/>
  <c r="V141" i="97"/>
  <c r="W141" i="97"/>
  <c r="X141" i="97"/>
  <c r="Y141" i="97"/>
  <c r="Z141" i="97"/>
  <c r="AA141" i="97"/>
  <c r="AB141" i="97"/>
  <c r="AC141" i="97"/>
  <c r="AD141" i="97"/>
  <c r="C142" i="97"/>
  <c r="D142" i="97"/>
  <c r="E142" i="97"/>
  <c r="F142" i="97"/>
  <c r="G142" i="97"/>
  <c r="H142" i="97"/>
  <c r="I142" i="97"/>
  <c r="J142" i="97"/>
  <c r="K142" i="97"/>
  <c r="L142" i="97"/>
  <c r="M142" i="97"/>
  <c r="N142" i="97"/>
  <c r="O142" i="97"/>
  <c r="P142" i="97"/>
  <c r="Q142" i="97"/>
  <c r="R142" i="97"/>
  <c r="S142" i="97"/>
  <c r="T142" i="97"/>
  <c r="U142" i="97"/>
  <c r="V142" i="97"/>
  <c r="W142" i="97"/>
  <c r="X142" i="97"/>
  <c r="Y142" i="97"/>
  <c r="Z142" i="97"/>
  <c r="AA142" i="97"/>
  <c r="AB142" i="97"/>
  <c r="AC142" i="97"/>
  <c r="AD142" i="97"/>
  <c r="C143" i="97"/>
  <c r="D143" i="97"/>
  <c r="E143" i="97"/>
  <c r="F143" i="97"/>
  <c r="G143" i="97"/>
  <c r="H143" i="97"/>
  <c r="I143" i="97"/>
  <c r="J143" i="97"/>
  <c r="K143" i="97"/>
  <c r="L143" i="97"/>
  <c r="M143" i="97"/>
  <c r="N143" i="97"/>
  <c r="O143" i="97"/>
  <c r="P143" i="97"/>
  <c r="Q143" i="97"/>
  <c r="R143" i="97"/>
  <c r="S143" i="97"/>
  <c r="T143" i="97"/>
  <c r="U143" i="97"/>
  <c r="V143" i="97"/>
  <c r="W143" i="97"/>
  <c r="X143" i="97"/>
  <c r="Y143" i="97"/>
  <c r="Z143" i="97"/>
  <c r="AA143" i="97"/>
  <c r="AB143" i="97"/>
  <c r="AC143" i="97"/>
  <c r="AD143" i="97"/>
  <c r="C144" i="97"/>
  <c r="D144" i="97"/>
  <c r="E144" i="97"/>
  <c r="F144" i="97"/>
  <c r="G144" i="97"/>
  <c r="H144" i="97"/>
  <c r="I144" i="97"/>
  <c r="J144" i="97"/>
  <c r="K144" i="97"/>
  <c r="L144" i="97"/>
  <c r="M144" i="97"/>
  <c r="N144" i="97"/>
  <c r="O144" i="97"/>
  <c r="P144" i="97"/>
  <c r="Q144" i="97"/>
  <c r="R144" i="97"/>
  <c r="S144" i="97"/>
  <c r="T144" i="97"/>
  <c r="U144" i="97"/>
  <c r="V144" i="97"/>
  <c r="W144" i="97"/>
  <c r="X144" i="97"/>
  <c r="Y144" i="97"/>
  <c r="Z144" i="97"/>
  <c r="AA144" i="97"/>
  <c r="AB144" i="97"/>
  <c r="AC144" i="97"/>
  <c r="AD144" i="97"/>
  <c r="C145" i="97"/>
  <c r="D145" i="97"/>
  <c r="E145" i="97"/>
  <c r="F145" i="97"/>
  <c r="G145" i="97"/>
  <c r="H145" i="97"/>
  <c r="I145" i="97"/>
  <c r="J145" i="97"/>
  <c r="K145" i="97"/>
  <c r="L145" i="97"/>
  <c r="M145" i="97"/>
  <c r="N145" i="97"/>
  <c r="O145" i="97"/>
  <c r="P145" i="97"/>
  <c r="Q145" i="97"/>
  <c r="R145" i="97"/>
  <c r="S145" i="97"/>
  <c r="T145" i="97"/>
  <c r="U145" i="97"/>
  <c r="V145" i="97"/>
  <c r="W145" i="97"/>
  <c r="X145" i="97"/>
  <c r="Y145" i="97"/>
  <c r="Z145" i="97"/>
  <c r="AA145" i="97"/>
  <c r="AB145" i="97"/>
  <c r="AC145" i="97"/>
  <c r="AD145" i="97"/>
  <c r="C69" i="97"/>
  <c r="D69" i="97"/>
  <c r="E69" i="97"/>
  <c r="F69" i="97"/>
  <c r="G69" i="97"/>
  <c r="H69" i="97"/>
  <c r="I69" i="97"/>
  <c r="J69" i="97"/>
  <c r="K69" i="97"/>
  <c r="L69" i="97"/>
  <c r="M69" i="97"/>
  <c r="N69" i="97"/>
  <c r="O69" i="97"/>
  <c r="P69" i="97"/>
  <c r="Q69" i="97"/>
  <c r="R69" i="97"/>
  <c r="S69" i="97"/>
  <c r="T69" i="97"/>
  <c r="U69" i="97"/>
  <c r="V69" i="97"/>
  <c r="W69" i="97"/>
  <c r="X69" i="97"/>
  <c r="Y69" i="97"/>
  <c r="Z69" i="97"/>
  <c r="AA69" i="97"/>
  <c r="AB69" i="97"/>
  <c r="AC69" i="97"/>
  <c r="AD69" i="97"/>
  <c r="C70" i="97"/>
  <c r="D70" i="97"/>
  <c r="E70" i="97"/>
  <c r="F70" i="97"/>
  <c r="G70" i="97"/>
  <c r="H70" i="97"/>
  <c r="I70" i="97"/>
  <c r="J70" i="97"/>
  <c r="K70" i="97"/>
  <c r="L70" i="97"/>
  <c r="M70" i="97"/>
  <c r="N70" i="97"/>
  <c r="O70" i="97"/>
  <c r="P70" i="97"/>
  <c r="Q70" i="97"/>
  <c r="R70" i="97"/>
  <c r="S70" i="97"/>
  <c r="T70" i="97"/>
  <c r="U70" i="97"/>
  <c r="V70" i="97"/>
  <c r="W70" i="97"/>
  <c r="X70" i="97"/>
  <c r="Y70" i="97"/>
  <c r="Z70" i="97"/>
  <c r="AA70" i="97"/>
  <c r="AB70" i="97"/>
  <c r="AC70" i="97"/>
  <c r="AD70" i="97"/>
  <c r="C71" i="97"/>
  <c r="D71" i="97"/>
  <c r="E71" i="97"/>
  <c r="F71" i="97"/>
  <c r="G71" i="97"/>
  <c r="H71" i="97"/>
  <c r="I71" i="97"/>
  <c r="J71" i="97"/>
  <c r="K71" i="97"/>
  <c r="L71" i="97"/>
  <c r="M71" i="97"/>
  <c r="N71" i="97"/>
  <c r="O71" i="97"/>
  <c r="P71" i="97"/>
  <c r="Q71" i="97"/>
  <c r="R71" i="97"/>
  <c r="S71" i="97"/>
  <c r="T71" i="97"/>
  <c r="U71" i="97"/>
  <c r="V71" i="97"/>
  <c r="W71" i="97"/>
  <c r="X71" i="97"/>
  <c r="Y71" i="97"/>
  <c r="Z71" i="97"/>
  <c r="AA71" i="97"/>
  <c r="AB71" i="97"/>
  <c r="AC71" i="97"/>
  <c r="AD71" i="97"/>
  <c r="C72" i="97"/>
  <c r="D72" i="97"/>
  <c r="E72" i="97"/>
  <c r="F72" i="97"/>
  <c r="G72" i="97"/>
  <c r="H72" i="97"/>
  <c r="I72" i="97"/>
  <c r="J72" i="97"/>
  <c r="K72" i="97"/>
  <c r="L72" i="97"/>
  <c r="M72" i="97"/>
  <c r="N72" i="97"/>
  <c r="O72" i="97"/>
  <c r="P72" i="97"/>
  <c r="Q72" i="97"/>
  <c r="R72" i="97"/>
  <c r="S72" i="97"/>
  <c r="T72" i="97"/>
  <c r="U72" i="97"/>
  <c r="V72" i="97"/>
  <c r="W72" i="97"/>
  <c r="X72" i="97"/>
  <c r="Y72" i="97"/>
  <c r="Z72" i="97"/>
  <c r="AA72" i="97"/>
  <c r="AB72" i="97"/>
  <c r="AC72" i="97"/>
  <c r="AD72" i="97"/>
  <c r="C73" i="97"/>
  <c r="D73" i="97"/>
  <c r="E73" i="97"/>
  <c r="F73" i="97"/>
  <c r="G73" i="97"/>
  <c r="H73" i="97"/>
  <c r="I73" i="97"/>
  <c r="J73" i="97"/>
  <c r="K73" i="97"/>
  <c r="L73" i="97"/>
  <c r="M73" i="97"/>
  <c r="N73" i="97"/>
  <c r="O73" i="97"/>
  <c r="P73" i="97"/>
  <c r="Q73" i="97"/>
  <c r="R73" i="97"/>
  <c r="S73" i="97"/>
  <c r="T73" i="97"/>
  <c r="U73" i="97"/>
  <c r="V73" i="97"/>
  <c r="W73" i="97"/>
  <c r="X73" i="97"/>
  <c r="Y73" i="97"/>
  <c r="Z73" i="97"/>
  <c r="AA73" i="97"/>
  <c r="AB73" i="97"/>
  <c r="AC73" i="97"/>
  <c r="AD73" i="97"/>
  <c r="C74" i="97"/>
  <c r="D74" i="97"/>
  <c r="E74" i="97"/>
  <c r="F74" i="97"/>
  <c r="G74" i="97"/>
  <c r="H74" i="97"/>
  <c r="I74" i="97"/>
  <c r="J74" i="97"/>
  <c r="K74" i="97"/>
  <c r="L74" i="97"/>
  <c r="M74" i="97"/>
  <c r="N74" i="97"/>
  <c r="O74" i="97"/>
  <c r="P74" i="97"/>
  <c r="Q74" i="97"/>
  <c r="R74" i="97"/>
  <c r="S74" i="97"/>
  <c r="T74" i="97"/>
  <c r="U74" i="97"/>
  <c r="V74" i="97"/>
  <c r="W74" i="97"/>
  <c r="X74" i="97"/>
  <c r="Y74" i="97"/>
  <c r="Z74" i="97"/>
  <c r="AA74" i="97"/>
  <c r="AB74" i="97"/>
  <c r="AC74" i="97"/>
  <c r="AD74" i="97"/>
  <c r="C75" i="97"/>
  <c r="D75" i="97"/>
  <c r="E75" i="97"/>
  <c r="F75" i="97"/>
  <c r="G75" i="97"/>
  <c r="H75" i="97"/>
  <c r="I75" i="97"/>
  <c r="J75" i="97"/>
  <c r="K75" i="97"/>
  <c r="L75" i="97"/>
  <c r="M75" i="97"/>
  <c r="N75" i="97"/>
  <c r="O75" i="97"/>
  <c r="P75" i="97"/>
  <c r="Q75" i="97"/>
  <c r="R75" i="97"/>
  <c r="S75" i="97"/>
  <c r="T75" i="97"/>
  <c r="U75" i="97"/>
  <c r="V75" i="97"/>
  <c r="W75" i="97"/>
  <c r="X75" i="97"/>
  <c r="Y75" i="97"/>
  <c r="Z75" i="97"/>
  <c r="AA75" i="97"/>
  <c r="AB75" i="97"/>
  <c r="AC75" i="97"/>
  <c r="AD75" i="97"/>
  <c r="C76" i="97"/>
  <c r="D76" i="97"/>
  <c r="E76" i="97"/>
  <c r="F76" i="97"/>
  <c r="G76" i="97"/>
  <c r="H76" i="97"/>
  <c r="I76" i="97"/>
  <c r="J76" i="97"/>
  <c r="K76" i="97"/>
  <c r="L76" i="97"/>
  <c r="M76" i="97"/>
  <c r="N76" i="97"/>
  <c r="O76" i="97"/>
  <c r="P76" i="97"/>
  <c r="Q76" i="97"/>
  <c r="R76" i="97"/>
  <c r="S76" i="97"/>
  <c r="T76" i="97"/>
  <c r="U76" i="97"/>
  <c r="V76" i="97"/>
  <c r="W76" i="97"/>
  <c r="X76" i="97"/>
  <c r="Y76" i="97"/>
  <c r="Z76" i="97"/>
  <c r="AA76" i="97"/>
  <c r="AB76" i="97"/>
  <c r="AC76" i="97"/>
  <c r="AD76" i="97"/>
  <c r="C77" i="97"/>
  <c r="D77" i="97"/>
  <c r="E77" i="97"/>
  <c r="F77" i="97"/>
  <c r="G77" i="97"/>
  <c r="H77" i="97"/>
  <c r="I77" i="97"/>
  <c r="J77" i="97"/>
  <c r="K77" i="97"/>
  <c r="L77" i="97"/>
  <c r="M77" i="97"/>
  <c r="N77" i="97"/>
  <c r="O77" i="97"/>
  <c r="P77" i="97"/>
  <c r="Q77" i="97"/>
  <c r="R77" i="97"/>
  <c r="S77" i="97"/>
  <c r="T77" i="97"/>
  <c r="U77" i="97"/>
  <c r="V77" i="97"/>
  <c r="W77" i="97"/>
  <c r="X77" i="97"/>
  <c r="Y77" i="97"/>
  <c r="Z77" i="97"/>
  <c r="AA77" i="97"/>
  <c r="AB77" i="97"/>
  <c r="AC77" i="97"/>
  <c r="AD77" i="97"/>
  <c r="C78" i="97"/>
  <c r="D78" i="97"/>
  <c r="E78" i="97"/>
  <c r="F78" i="97"/>
  <c r="G78" i="97"/>
  <c r="H78" i="97"/>
  <c r="I78" i="97"/>
  <c r="J78" i="97"/>
  <c r="K78" i="97"/>
  <c r="L78" i="97"/>
  <c r="M78" i="97"/>
  <c r="N78" i="97"/>
  <c r="O78" i="97"/>
  <c r="P78" i="97"/>
  <c r="Q78" i="97"/>
  <c r="R78" i="97"/>
  <c r="S78" i="97"/>
  <c r="T78" i="97"/>
  <c r="U78" i="97"/>
  <c r="V78" i="97"/>
  <c r="W78" i="97"/>
  <c r="X78" i="97"/>
  <c r="Y78" i="97"/>
  <c r="Z78" i="97"/>
  <c r="AA78" i="97"/>
  <c r="AB78" i="97"/>
  <c r="AC78" i="97"/>
  <c r="AD78" i="97"/>
  <c r="C79" i="97"/>
  <c r="D79" i="97"/>
  <c r="E79" i="97"/>
  <c r="F79" i="97"/>
  <c r="G79" i="97"/>
  <c r="H79" i="97"/>
  <c r="I79" i="97"/>
  <c r="J79" i="97"/>
  <c r="K79" i="97"/>
  <c r="L79" i="97"/>
  <c r="M79" i="97"/>
  <c r="N79" i="97"/>
  <c r="O79" i="97"/>
  <c r="P79" i="97"/>
  <c r="Q79" i="97"/>
  <c r="R79" i="97"/>
  <c r="S79" i="97"/>
  <c r="T79" i="97"/>
  <c r="U79" i="97"/>
  <c r="V79" i="97"/>
  <c r="W79" i="97"/>
  <c r="X79" i="97"/>
  <c r="Y79" i="97"/>
  <c r="Z79" i="97"/>
  <c r="AA79" i="97"/>
  <c r="AB79" i="97"/>
  <c r="AC79" i="97"/>
  <c r="AD79" i="97"/>
  <c r="C80" i="97"/>
  <c r="D80" i="97"/>
  <c r="E80" i="97"/>
  <c r="F80" i="97"/>
  <c r="G80" i="97"/>
  <c r="H80" i="97"/>
  <c r="I80" i="97"/>
  <c r="J80" i="97"/>
  <c r="K80" i="97"/>
  <c r="L80" i="97"/>
  <c r="M80" i="97"/>
  <c r="N80" i="97"/>
  <c r="O80" i="97"/>
  <c r="P80" i="97"/>
  <c r="Q80" i="97"/>
  <c r="R80" i="97"/>
  <c r="S80" i="97"/>
  <c r="T80" i="97"/>
  <c r="U80" i="97"/>
  <c r="V80" i="97"/>
  <c r="W80" i="97"/>
  <c r="X80" i="97"/>
  <c r="Y80" i="97"/>
  <c r="Z80" i="97"/>
  <c r="AA80" i="97"/>
  <c r="AB80" i="97"/>
  <c r="AC80" i="97"/>
  <c r="AD80" i="97"/>
  <c r="C81" i="97"/>
  <c r="D81" i="97"/>
  <c r="E81" i="97"/>
  <c r="F81" i="97"/>
  <c r="G81" i="97"/>
  <c r="H81" i="97"/>
  <c r="I81" i="97"/>
  <c r="J81" i="97"/>
  <c r="K81" i="97"/>
  <c r="L81" i="97"/>
  <c r="M81" i="97"/>
  <c r="N81" i="97"/>
  <c r="O81" i="97"/>
  <c r="P81" i="97"/>
  <c r="Q81" i="97"/>
  <c r="R81" i="97"/>
  <c r="S81" i="97"/>
  <c r="T81" i="97"/>
  <c r="U81" i="97"/>
  <c r="V81" i="97"/>
  <c r="W81" i="97"/>
  <c r="X81" i="97"/>
  <c r="Y81" i="97"/>
  <c r="Z81" i="97"/>
  <c r="AA81" i="97"/>
  <c r="AB81" i="97"/>
  <c r="AC81" i="97"/>
  <c r="AD81" i="97"/>
  <c r="C82" i="97"/>
  <c r="D82" i="97"/>
  <c r="E82" i="97"/>
  <c r="F82" i="97"/>
  <c r="G82" i="97"/>
  <c r="H82" i="97"/>
  <c r="I82" i="97"/>
  <c r="J82" i="97"/>
  <c r="K82" i="97"/>
  <c r="L82" i="97"/>
  <c r="M82" i="97"/>
  <c r="N82" i="97"/>
  <c r="O82" i="97"/>
  <c r="P82" i="97"/>
  <c r="Q82" i="97"/>
  <c r="R82" i="97"/>
  <c r="S82" i="97"/>
  <c r="T82" i="97"/>
  <c r="U82" i="97"/>
  <c r="V82" i="97"/>
  <c r="W82" i="97"/>
  <c r="X82" i="97"/>
  <c r="Y82" i="97"/>
  <c r="Z82" i="97"/>
  <c r="AA82" i="97"/>
  <c r="AB82" i="97"/>
  <c r="AC82" i="97"/>
  <c r="AD82" i="97"/>
  <c r="C83" i="97"/>
  <c r="D83" i="97"/>
  <c r="E83" i="97"/>
  <c r="F83" i="97"/>
  <c r="G83" i="97"/>
  <c r="H83" i="97"/>
  <c r="I83" i="97"/>
  <c r="J83" i="97"/>
  <c r="K83" i="97"/>
  <c r="L83" i="97"/>
  <c r="M83" i="97"/>
  <c r="N83" i="97"/>
  <c r="O83" i="97"/>
  <c r="P83" i="97"/>
  <c r="Q83" i="97"/>
  <c r="R83" i="97"/>
  <c r="S83" i="97"/>
  <c r="T83" i="97"/>
  <c r="U83" i="97"/>
  <c r="V83" i="97"/>
  <c r="W83" i="97"/>
  <c r="X83" i="97"/>
  <c r="Y83" i="97"/>
  <c r="Z83" i="97"/>
  <c r="AA83" i="97"/>
  <c r="AB83" i="97"/>
  <c r="AC83" i="97"/>
  <c r="AD83" i="97"/>
  <c r="C84" i="97"/>
  <c r="D84" i="97"/>
  <c r="E84" i="97"/>
  <c r="F84" i="97"/>
  <c r="G84" i="97"/>
  <c r="H84" i="97"/>
  <c r="I84" i="97"/>
  <c r="J84" i="97"/>
  <c r="K84" i="97"/>
  <c r="L84" i="97"/>
  <c r="M84" i="97"/>
  <c r="N84" i="97"/>
  <c r="O84" i="97"/>
  <c r="P84" i="97"/>
  <c r="Q84" i="97"/>
  <c r="R84" i="97"/>
  <c r="S84" i="97"/>
  <c r="T84" i="97"/>
  <c r="U84" i="97"/>
  <c r="V84" i="97"/>
  <c r="W84" i="97"/>
  <c r="X84" i="97"/>
  <c r="Y84" i="97"/>
  <c r="Z84" i="97"/>
  <c r="AA84" i="97"/>
  <c r="AB84" i="97"/>
  <c r="AC84" i="97"/>
  <c r="AD84" i="97"/>
  <c r="C85" i="97"/>
  <c r="D85" i="97"/>
  <c r="E85" i="97"/>
  <c r="F85" i="97"/>
  <c r="G85" i="97"/>
  <c r="H85" i="97"/>
  <c r="I85" i="97"/>
  <c r="J85" i="97"/>
  <c r="K85" i="97"/>
  <c r="L85" i="97"/>
  <c r="M85" i="97"/>
  <c r="N85" i="97"/>
  <c r="O85" i="97"/>
  <c r="P85" i="97"/>
  <c r="Q85" i="97"/>
  <c r="R85" i="97"/>
  <c r="S85" i="97"/>
  <c r="T85" i="97"/>
  <c r="U85" i="97"/>
  <c r="V85" i="97"/>
  <c r="W85" i="97"/>
  <c r="X85" i="97"/>
  <c r="Y85" i="97"/>
  <c r="Z85" i="97"/>
  <c r="AA85" i="97"/>
  <c r="AB85" i="97"/>
  <c r="AC85" i="97"/>
  <c r="AD85" i="97"/>
  <c r="C86" i="97"/>
  <c r="D86" i="97"/>
  <c r="E86" i="97"/>
  <c r="F86" i="97"/>
  <c r="G86" i="97"/>
  <c r="H86" i="97"/>
  <c r="I86" i="97"/>
  <c r="J86" i="97"/>
  <c r="K86" i="97"/>
  <c r="L86" i="97"/>
  <c r="M86" i="97"/>
  <c r="N86" i="97"/>
  <c r="O86" i="97"/>
  <c r="P86" i="97"/>
  <c r="Q86" i="97"/>
  <c r="R86" i="97"/>
  <c r="S86" i="97"/>
  <c r="T86" i="97"/>
  <c r="U86" i="97"/>
  <c r="V86" i="97"/>
  <c r="W86" i="97"/>
  <c r="X86" i="97"/>
  <c r="Y86" i="97"/>
  <c r="Z86" i="97"/>
  <c r="AA86" i="97"/>
  <c r="AB86" i="97"/>
  <c r="AC86" i="97"/>
  <c r="AD86" i="97"/>
  <c r="C87" i="97"/>
  <c r="D87" i="97"/>
  <c r="E87" i="97"/>
  <c r="F87" i="97"/>
  <c r="G87" i="97"/>
  <c r="H87" i="97"/>
  <c r="I87" i="97"/>
  <c r="J87" i="97"/>
  <c r="K87" i="97"/>
  <c r="L87" i="97"/>
  <c r="M87" i="97"/>
  <c r="N87" i="97"/>
  <c r="O87" i="97"/>
  <c r="P87" i="97"/>
  <c r="Q87" i="97"/>
  <c r="R87" i="97"/>
  <c r="S87" i="97"/>
  <c r="T87" i="97"/>
  <c r="U87" i="97"/>
  <c r="V87" i="97"/>
  <c r="W87" i="97"/>
  <c r="X87" i="97"/>
  <c r="Y87" i="97"/>
  <c r="Z87" i="97"/>
  <c r="AA87" i="97"/>
  <c r="AB87" i="97"/>
  <c r="AC87" i="97"/>
  <c r="AD87" i="97"/>
  <c r="C88" i="97"/>
  <c r="D88" i="97"/>
  <c r="E88" i="97"/>
  <c r="F88" i="97"/>
  <c r="G88" i="97"/>
  <c r="H88" i="97"/>
  <c r="I88" i="97"/>
  <c r="J88" i="97"/>
  <c r="K88" i="97"/>
  <c r="L88" i="97"/>
  <c r="M88" i="97"/>
  <c r="N88" i="97"/>
  <c r="O88" i="97"/>
  <c r="P88" i="97"/>
  <c r="Q88" i="97"/>
  <c r="R88" i="97"/>
  <c r="S88" i="97"/>
  <c r="T88" i="97"/>
  <c r="U88" i="97"/>
  <c r="V88" i="97"/>
  <c r="W88" i="97"/>
  <c r="X88" i="97"/>
  <c r="Y88" i="97"/>
  <c r="Z88" i="97"/>
  <c r="AA88" i="97"/>
  <c r="AB88" i="97"/>
  <c r="AC88" i="97"/>
  <c r="AD88" i="97"/>
  <c r="C89" i="97"/>
  <c r="D89" i="97"/>
  <c r="E89" i="97"/>
  <c r="F89" i="97"/>
  <c r="G89" i="97"/>
  <c r="H89" i="97"/>
  <c r="I89" i="97"/>
  <c r="J89" i="97"/>
  <c r="K89" i="97"/>
  <c r="L89" i="97"/>
  <c r="M89" i="97"/>
  <c r="N89" i="97"/>
  <c r="O89" i="97"/>
  <c r="P89" i="97"/>
  <c r="Q89" i="97"/>
  <c r="R89" i="97"/>
  <c r="S89" i="97"/>
  <c r="T89" i="97"/>
  <c r="U89" i="97"/>
  <c r="V89" i="97"/>
  <c r="W89" i="97"/>
  <c r="X89" i="97"/>
  <c r="Y89" i="97"/>
  <c r="Z89" i="97"/>
  <c r="AA89" i="97"/>
  <c r="AB89" i="97"/>
  <c r="AC89" i="97"/>
  <c r="AD89" i="97"/>
  <c r="C90" i="97"/>
  <c r="D90" i="97"/>
  <c r="E90" i="97"/>
  <c r="F90" i="97"/>
  <c r="G90" i="97"/>
  <c r="H90" i="97"/>
  <c r="I90" i="97"/>
  <c r="J90" i="97"/>
  <c r="K90" i="97"/>
  <c r="L90" i="97"/>
  <c r="M90" i="97"/>
  <c r="N90" i="97"/>
  <c r="O90" i="97"/>
  <c r="P90" i="97"/>
  <c r="Q90" i="97"/>
  <c r="R90" i="97"/>
  <c r="S90" i="97"/>
  <c r="T90" i="97"/>
  <c r="U90" i="97"/>
  <c r="V90" i="97"/>
  <c r="W90" i="97"/>
  <c r="X90" i="97"/>
  <c r="Y90" i="97"/>
  <c r="Z90" i="97"/>
  <c r="AA90" i="97"/>
  <c r="AB90" i="97"/>
  <c r="AC90" i="97"/>
  <c r="AD90" i="97"/>
  <c r="C91" i="97"/>
  <c r="D91" i="97"/>
  <c r="E91" i="97"/>
  <c r="F91" i="97"/>
  <c r="G91" i="97"/>
  <c r="H91" i="97"/>
  <c r="I91" i="97"/>
  <c r="J91" i="97"/>
  <c r="K91" i="97"/>
  <c r="L91" i="97"/>
  <c r="M91" i="97"/>
  <c r="N91" i="97"/>
  <c r="O91" i="97"/>
  <c r="P91" i="97"/>
  <c r="Q91" i="97"/>
  <c r="R91" i="97"/>
  <c r="S91" i="97"/>
  <c r="T91" i="97"/>
  <c r="U91" i="97"/>
  <c r="V91" i="97"/>
  <c r="W91" i="97"/>
  <c r="X91" i="97"/>
  <c r="Y91" i="97"/>
  <c r="Z91" i="97"/>
  <c r="AA91" i="97"/>
  <c r="AB91" i="97"/>
  <c r="AC91" i="97"/>
  <c r="AD91" i="97"/>
  <c r="F26" i="97"/>
  <c r="F10" i="97"/>
  <c r="F9" i="97"/>
  <c r="F7" i="97"/>
  <c r="F6" i="97"/>
  <c r="F5" i="97"/>
  <c r="F27" i="97"/>
  <c r="F25" i="97"/>
  <c r="F24" i="97"/>
  <c r="F23" i="97"/>
  <c r="F22" i="97"/>
  <c r="F21" i="97"/>
  <c r="F20" i="97"/>
  <c r="F19" i="97"/>
  <c r="F18" i="97"/>
  <c r="F17" i="97"/>
  <c r="F16" i="97"/>
  <c r="F15" i="97"/>
  <c r="F14" i="97"/>
  <c r="F13" i="97"/>
  <c r="F12" i="97"/>
  <c r="F11" i="97"/>
  <c r="F8" i="97"/>
  <c r="E88" i="96" l="1"/>
  <c r="D88" i="96"/>
  <c r="C100" i="97"/>
  <c r="AD118" i="97"/>
  <c r="AC118" i="97"/>
  <c r="AB118" i="97"/>
  <c r="AA118" i="97"/>
  <c r="Z118" i="97"/>
  <c r="Y118" i="97"/>
  <c r="X118" i="97"/>
  <c r="W118" i="97"/>
  <c r="V118" i="97"/>
  <c r="U118" i="97"/>
  <c r="T118" i="97"/>
  <c r="S118" i="97"/>
  <c r="R118" i="97"/>
  <c r="Q118" i="97"/>
  <c r="P118" i="97"/>
  <c r="O118" i="97"/>
  <c r="N118" i="97"/>
  <c r="M118" i="97"/>
  <c r="L118" i="97"/>
  <c r="K118" i="97"/>
  <c r="J118" i="97"/>
  <c r="I118" i="97"/>
  <c r="H118" i="97"/>
  <c r="G118" i="97"/>
  <c r="F118" i="97"/>
  <c r="E118" i="97"/>
  <c r="D118" i="97"/>
  <c r="C118" i="97"/>
  <c r="AD117" i="97"/>
  <c r="AC117" i="97"/>
  <c r="AB117" i="97"/>
  <c r="AA117" i="97"/>
  <c r="Z117" i="97"/>
  <c r="Y117" i="97"/>
  <c r="X117" i="97"/>
  <c r="W117" i="97"/>
  <c r="V117" i="97"/>
  <c r="U117" i="97"/>
  <c r="T117" i="97"/>
  <c r="S117" i="97"/>
  <c r="R117" i="97"/>
  <c r="Q117" i="97"/>
  <c r="P117" i="97"/>
  <c r="O117" i="97"/>
  <c r="N117" i="97"/>
  <c r="M117" i="97"/>
  <c r="L117" i="97"/>
  <c r="K117" i="97"/>
  <c r="J117" i="97"/>
  <c r="I117" i="97"/>
  <c r="H117" i="97"/>
  <c r="G117" i="97"/>
  <c r="F117" i="97"/>
  <c r="E117" i="97"/>
  <c r="D117" i="97"/>
  <c r="C117" i="97"/>
  <c r="AD116" i="97"/>
  <c r="AC116" i="97"/>
  <c r="AB116" i="97"/>
  <c r="AA116" i="97"/>
  <c r="Z116" i="97"/>
  <c r="Y116" i="97"/>
  <c r="X116" i="97"/>
  <c r="W116" i="97"/>
  <c r="V116" i="97"/>
  <c r="U116" i="97"/>
  <c r="T116" i="97"/>
  <c r="S116" i="97"/>
  <c r="R116" i="97"/>
  <c r="Q116" i="97"/>
  <c r="P116" i="97"/>
  <c r="O116" i="97"/>
  <c r="N116" i="97"/>
  <c r="M116" i="97"/>
  <c r="L116" i="97"/>
  <c r="K116" i="97"/>
  <c r="J116" i="97"/>
  <c r="I116" i="97"/>
  <c r="H116" i="97"/>
  <c r="G116" i="97"/>
  <c r="F116" i="97"/>
  <c r="E116" i="97"/>
  <c r="D116" i="97"/>
  <c r="C116" i="97"/>
  <c r="AD115" i="97"/>
  <c r="AC115" i="97"/>
  <c r="AB115" i="97"/>
  <c r="AA115" i="97"/>
  <c r="Z115" i="97"/>
  <c r="Y115" i="97"/>
  <c r="X115" i="97"/>
  <c r="W115" i="97"/>
  <c r="V115" i="97"/>
  <c r="U115" i="97"/>
  <c r="T115" i="97"/>
  <c r="S115" i="97"/>
  <c r="R115" i="97"/>
  <c r="Q115" i="97"/>
  <c r="P115" i="97"/>
  <c r="O115" i="97"/>
  <c r="N115" i="97"/>
  <c r="M115" i="97"/>
  <c r="L115" i="97"/>
  <c r="K115" i="97"/>
  <c r="J115" i="97"/>
  <c r="I115" i="97"/>
  <c r="H115" i="97"/>
  <c r="G115" i="97"/>
  <c r="F115" i="97"/>
  <c r="E115" i="97"/>
  <c r="D115" i="97"/>
  <c r="C115" i="97"/>
  <c r="AD114" i="97"/>
  <c r="AC114" i="97"/>
  <c r="AB114" i="97"/>
  <c r="AA114" i="97"/>
  <c r="Z114" i="97"/>
  <c r="Y114" i="97"/>
  <c r="X114" i="97"/>
  <c r="W114" i="97"/>
  <c r="V114" i="97"/>
  <c r="U114" i="97"/>
  <c r="T114" i="97"/>
  <c r="S114" i="97"/>
  <c r="R114" i="97"/>
  <c r="Q114" i="97"/>
  <c r="P114" i="97"/>
  <c r="O114" i="97"/>
  <c r="N114" i="97"/>
  <c r="M114" i="97"/>
  <c r="L114" i="97"/>
  <c r="K114" i="97"/>
  <c r="J114" i="97"/>
  <c r="I114" i="97"/>
  <c r="H114" i="97"/>
  <c r="G114" i="97"/>
  <c r="F114" i="97"/>
  <c r="E114" i="97"/>
  <c r="D114" i="97"/>
  <c r="C114" i="97"/>
  <c r="AD113" i="97"/>
  <c r="AC113" i="97"/>
  <c r="AB113" i="97"/>
  <c r="AA113" i="97"/>
  <c r="Z113" i="97"/>
  <c r="Y113" i="97"/>
  <c r="X113" i="97"/>
  <c r="W113" i="97"/>
  <c r="V113" i="97"/>
  <c r="U113" i="97"/>
  <c r="T113" i="97"/>
  <c r="S113" i="97"/>
  <c r="R113" i="97"/>
  <c r="Q113" i="97"/>
  <c r="P113" i="97"/>
  <c r="O113" i="97"/>
  <c r="N113" i="97"/>
  <c r="M113" i="97"/>
  <c r="L113" i="97"/>
  <c r="K113" i="97"/>
  <c r="J113" i="97"/>
  <c r="I113" i="97"/>
  <c r="H113" i="97"/>
  <c r="G113" i="97"/>
  <c r="F113" i="97"/>
  <c r="E113" i="97"/>
  <c r="D113" i="97"/>
  <c r="C113" i="97"/>
  <c r="AD112" i="97"/>
  <c r="AC112" i="97"/>
  <c r="AB112" i="97"/>
  <c r="AA112" i="97"/>
  <c r="Z112" i="97"/>
  <c r="Y112" i="97"/>
  <c r="X112" i="97"/>
  <c r="W112" i="97"/>
  <c r="V112" i="97"/>
  <c r="U112" i="97"/>
  <c r="T112" i="97"/>
  <c r="S112" i="97"/>
  <c r="R112" i="97"/>
  <c r="Q112" i="97"/>
  <c r="P112" i="97"/>
  <c r="O112" i="97"/>
  <c r="N112" i="97"/>
  <c r="M112" i="97"/>
  <c r="L112" i="97"/>
  <c r="K112" i="97"/>
  <c r="J112" i="97"/>
  <c r="I112" i="97"/>
  <c r="H112" i="97"/>
  <c r="G112" i="97"/>
  <c r="F112" i="97"/>
  <c r="E112" i="97"/>
  <c r="D112" i="97"/>
  <c r="C112" i="97"/>
  <c r="AD111" i="97"/>
  <c r="AC111" i="97"/>
  <c r="AB111" i="97"/>
  <c r="AA111" i="97"/>
  <c r="Z111" i="97"/>
  <c r="Y111" i="97"/>
  <c r="X111" i="97"/>
  <c r="W111" i="97"/>
  <c r="V111" i="97"/>
  <c r="U111" i="97"/>
  <c r="T111" i="97"/>
  <c r="S111" i="97"/>
  <c r="R111" i="97"/>
  <c r="Q111" i="97"/>
  <c r="P111" i="97"/>
  <c r="O111" i="97"/>
  <c r="N111" i="97"/>
  <c r="M111" i="97"/>
  <c r="L111" i="97"/>
  <c r="K111" i="97"/>
  <c r="J111" i="97"/>
  <c r="I111" i="97"/>
  <c r="H111" i="97"/>
  <c r="G111" i="97"/>
  <c r="F111" i="97"/>
  <c r="E111" i="97"/>
  <c r="D111" i="97"/>
  <c r="C111" i="97"/>
  <c r="AD110" i="97"/>
  <c r="AC110" i="97"/>
  <c r="AB110" i="97"/>
  <c r="AA110" i="97"/>
  <c r="Z110" i="97"/>
  <c r="Y110" i="97"/>
  <c r="X110" i="97"/>
  <c r="W110" i="97"/>
  <c r="V110" i="97"/>
  <c r="U110" i="97"/>
  <c r="T110" i="97"/>
  <c r="S110" i="97"/>
  <c r="R110" i="97"/>
  <c r="Q110" i="97"/>
  <c r="P110" i="97"/>
  <c r="O110" i="97"/>
  <c r="N110" i="97"/>
  <c r="M110" i="97"/>
  <c r="L110" i="97"/>
  <c r="K110" i="97"/>
  <c r="J110" i="97"/>
  <c r="I110" i="97"/>
  <c r="H110" i="97"/>
  <c r="G110" i="97"/>
  <c r="F110" i="97"/>
  <c r="E110" i="97"/>
  <c r="D110" i="97"/>
  <c r="C110" i="97"/>
  <c r="AD109" i="97"/>
  <c r="AC109" i="97"/>
  <c r="AB109" i="97"/>
  <c r="AA109" i="97"/>
  <c r="Z109" i="97"/>
  <c r="Y109" i="97"/>
  <c r="X109" i="97"/>
  <c r="W109" i="97"/>
  <c r="V109" i="97"/>
  <c r="U109" i="97"/>
  <c r="T109" i="97"/>
  <c r="S109" i="97"/>
  <c r="R109" i="97"/>
  <c r="Q109" i="97"/>
  <c r="P109" i="97"/>
  <c r="O109" i="97"/>
  <c r="N109" i="97"/>
  <c r="M109" i="97"/>
  <c r="L109" i="97"/>
  <c r="K109" i="97"/>
  <c r="J109" i="97"/>
  <c r="I109" i="97"/>
  <c r="H109" i="97"/>
  <c r="G109" i="97"/>
  <c r="F109" i="97"/>
  <c r="E109" i="97"/>
  <c r="D109" i="97"/>
  <c r="C109" i="97"/>
  <c r="AD108" i="97"/>
  <c r="AC108" i="97"/>
  <c r="AB108" i="97"/>
  <c r="AA108" i="97"/>
  <c r="Z108" i="97"/>
  <c r="Y108" i="97"/>
  <c r="X108" i="97"/>
  <c r="W108" i="97"/>
  <c r="V108" i="97"/>
  <c r="U108" i="97"/>
  <c r="T108" i="97"/>
  <c r="S108" i="97"/>
  <c r="R108" i="97"/>
  <c r="Q108" i="97"/>
  <c r="P108" i="97"/>
  <c r="O108" i="97"/>
  <c r="N108" i="97"/>
  <c r="M108" i="97"/>
  <c r="L108" i="97"/>
  <c r="K108" i="97"/>
  <c r="J108" i="97"/>
  <c r="I108" i="97"/>
  <c r="H108" i="97"/>
  <c r="G108" i="97"/>
  <c r="F108" i="97"/>
  <c r="E108" i="97"/>
  <c r="D108" i="97"/>
  <c r="C108" i="97"/>
  <c r="AD107" i="97"/>
  <c r="AC107" i="97"/>
  <c r="AB107" i="97"/>
  <c r="AA107" i="97"/>
  <c r="Z107" i="97"/>
  <c r="Y107" i="97"/>
  <c r="X107" i="97"/>
  <c r="W107" i="97"/>
  <c r="V107" i="97"/>
  <c r="U107" i="97"/>
  <c r="T107" i="97"/>
  <c r="S107" i="97"/>
  <c r="R107" i="97"/>
  <c r="Q107" i="97"/>
  <c r="P107" i="97"/>
  <c r="O107" i="97"/>
  <c r="N107" i="97"/>
  <c r="M107" i="97"/>
  <c r="L107" i="97"/>
  <c r="K107" i="97"/>
  <c r="J107" i="97"/>
  <c r="I107" i="97"/>
  <c r="H107" i="97"/>
  <c r="G107" i="97"/>
  <c r="F107" i="97"/>
  <c r="E107" i="97"/>
  <c r="D107" i="97"/>
  <c r="C107" i="97"/>
  <c r="D53" i="97"/>
  <c r="E53" i="97"/>
  <c r="F53" i="97"/>
  <c r="G53" i="97"/>
  <c r="H53" i="97"/>
  <c r="I53" i="97"/>
  <c r="J53" i="97"/>
  <c r="K53" i="97"/>
  <c r="L53" i="97"/>
  <c r="M53" i="97"/>
  <c r="N53" i="97"/>
  <c r="O53" i="97"/>
  <c r="P53" i="97"/>
  <c r="Q53" i="97"/>
  <c r="R53" i="97"/>
  <c r="S53" i="97"/>
  <c r="T53" i="97"/>
  <c r="U53" i="97"/>
  <c r="V53" i="97"/>
  <c r="W53" i="97"/>
  <c r="X53" i="97"/>
  <c r="Y53" i="97"/>
  <c r="Z53" i="97"/>
  <c r="AA53" i="97"/>
  <c r="AB53" i="97"/>
  <c r="AC53" i="97"/>
  <c r="AD53" i="97"/>
  <c r="D54" i="97"/>
  <c r="E54" i="97"/>
  <c r="F54" i="97"/>
  <c r="G54" i="97"/>
  <c r="H54" i="97"/>
  <c r="I54" i="97"/>
  <c r="J54" i="97"/>
  <c r="K54" i="97"/>
  <c r="L54" i="97"/>
  <c r="M54" i="97"/>
  <c r="N54" i="97"/>
  <c r="O54" i="97"/>
  <c r="P54" i="97"/>
  <c r="Q54" i="97"/>
  <c r="R54" i="97"/>
  <c r="S54" i="97"/>
  <c r="T54" i="97"/>
  <c r="U54" i="97"/>
  <c r="V54" i="97"/>
  <c r="W54" i="97"/>
  <c r="X54" i="97"/>
  <c r="Y54" i="97"/>
  <c r="Z54" i="97"/>
  <c r="AA54" i="97"/>
  <c r="AB54" i="97"/>
  <c r="AC54" i="97"/>
  <c r="AD54" i="97"/>
  <c r="D55" i="97"/>
  <c r="E55" i="97"/>
  <c r="F55" i="97"/>
  <c r="G55" i="97"/>
  <c r="H55" i="97"/>
  <c r="I55" i="97"/>
  <c r="J55" i="97"/>
  <c r="K55" i="97"/>
  <c r="L55" i="97"/>
  <c r="M55" i="97"/>
  <c r="N55" i="97"/>
  <c r="O55" i="97"/>
  <c r="P55" i="97"/>
  <c r="Q55" i="97"/>
  <c r="R55" i="97"/>
  <c r="S55" i="97"/>
  <c r="T55" i="97"/>
  <c r="U55" i="97"/>
  <c r="V55" i="97"/>
  <c r="W55" i="97"/>
  <c r="X55" i="97"/>
  <c r="Y55" i="97"/>
  <c r="Z55" i="97"/>
  <c r="AA55" i="97"/>
  <c r="AB55" i="97"/>
  <c r="AC55" i="97"/>
  <c r="AD55" i="97"/>
  <c r="D56" i="97"/>
  <c r="E56" i="97"/>
  <c r="F56" i="97"/>
  <c r="G56" i="97"/>
  <c r="H56" i="97"/>
  <c r="I56" i="97"/>
  <c r="J56" i="97"/>
  <c r="K56" i="97"/>
  <c r="L56" i="97"/>
  <c r="M56" i="97"/>
  <c r="N56" i="97"/>
  <c r="O56" i="97"/>
  <c r="P56" i="97"/>
  <c r="Q56" i="97"/>
  <c r="R56" i="97"/>
  <c r="S56" i="97"/>
  <c r="T56" i="97"/>
  <c r="U56" i="97"/>
  <c r="V56" i="97"/>
  <c r="W56" i="97"/>
  <c r="X56" i="97"/>
  <c r="Y56" i="97"/>
  <c r="Z56" i="97"/>
  <c r="AA56" i="97"/>
  <c r="AB56" i="97"/>
  <c r="AC56" i="97"/>
  <c r="AD56" i="97"/>
  <c r="D57" i="97"/>
  <c r="E57" i="97"/>
  <c r="F57" i="97"/>
  <c r="G57" i="97"/>
  <c r="H57" i="97"/>
  <c r="I57" i="97"/>
  <c r="J57" i="97"/>
  <c r="K57" i="97"/>
  <c r="L57" i="97"/>
  <c r="M57" i="97"/>
  <c r="N57" i="97"/>
  <c r="O57" i="97"/>
  <c r="P57" i="97"/>
  <c r="Q57" i="97"/>
  <c r="R57" i="97"/>
  <c r="S57" i="97"/>
  <c r="T57" i="97"/>
  <c r="U57" i="97"/>
  <c r="V57" i="97"/>
  <c r="W57" i="97"/>
  <c r="X57" i="97"/>
  <c r="Y57" i="97"/>
  <c r="Z57" i="97"/>
  <c r="AA57" i="97"/>
  <c r="AB57" i="97"/>
  <c r="AC57" i="97"/>
  <c r="AD57" i="97"/>
  <c r="D58" i="97"/>
  <c r="E58" i="97"/>
  <c r="F58" i="97"/>
  <c r="G58" i="97"/>
  <c r="H58" i="97"/>
  <c r="I58" i="97"/>
  <c r="J58" i="97"/>
  <c r="K58" i="97"/>
  <c r="L58" i="97"/>
  <c r="M58" i="97"/>
  <c r="N58" i="97"/>
  <c r="O58" i="97"/>
  <c r="P58" i="97"/>
  <c r="Q58" i="97"/>
  <c r="R58" i="97"/>
  <c r="S58" i="97"/>
  <c r="T58" i="97"/>
  <c r="U58" i="97"/>
  <c r="V58" i="97"/>
  <c r="W58" i="97"/>
  <c r="X58" i="97"/>
  <c r="Y58" i="97"/>
  <c r="Z58" i="97"/>
  <c r="AA58" i="97"/>
  <c r="AB58" i="97"/>
  <c r="AC58" i="97"/>
  <c r="AD58" i="97"/>
  <c r="D59" i="97"/>
  <c r="E59" i="97"/>
  <c r="F59" i="97"/>
  <c r="G59" i="97"/>
  <c r="H59" i="97"/>
  <c r="I59" i="97"/>
  <c r="J59" i="97"/>
  <c r="K59" i="97"/>
  <c r="L59" i="97"/>
  <c r="M59" i="97"/>
  <c r="N59" i="97"/>
  <c r="O59" i="97"/>
  <c r="P59" i="97"/>
  <c r="Q59" i="97"/>
  <c r="R59" i="97"/>
  <c r="S59" i="97"/>
  <c r="T59" i="97"/>
  <c r="U59" i="97"/>
  <c r="V59" i="97"/>
  <c r="W59" i="97"/>
  <c r="X59" i="97"/>
  <c r="Y59" i="97"/>
  <c r="Z59" i="97"/>
  <c r="AA59" i="97"/>
  <c r="AB59" i="97"/>
  <c r="AC59" i="97"/>
  <c r="AD59" i="97"/>
  <c r="D60" i="97"/>
  <c r="E60" i="97"/>
  <c r="F60" i="97"/>
  <c r="G60" i="97"/>
  <c r="H60" i="97"/>
  <c r="I60" i="97"/>
  <c r="J60" i="97"/>
  <c r="K60" i="97"/>
  <c r="L60" i="97"/>
  <c r="M60" i="97"/>
  <c r="N60" i="97"/>
  <c r="O60" i="97"/>
  <c r="P60" i="97"/>
  <c r="Q60" i="97"/>
  <c r="R60" i="97"/>
  <c r="S60" i="97"/>
  <c r="T60" i="97"/>
  <c r="U60" i="97"/>
  <c r="V60" i="97"/>
  <c r="W60" i="97"/>
  <c r="X60" i="97"/>
  <c r="Y60" i="97"/>
  <c r="Z60" i="97"/>
  <c r="AA60" i="97"/>
  <c r="AB60" i="97"/>
  <c r="AC60" i="97"/>
  <c r="AD60" i="97"/>
  <c r="D61" i="97"/>
  <c r="E61" i="97"/>
  <c r="F61" i="97"/>
  <c r="G61" i="97"/>
  <c r="H61" i="97"/>
  <c r="I61" i="97"/>
  <c r="J61" i="97"/>
  <c r="K61" i="97"/>
  <c r="L61" i="97"/>
  <c r="M61" i="97"/>
  <c r="N61" i="97"/>
  <c r="O61" i="97"/>
  <c r="P61" i="97"/>
  <c r="Q61" i="97"/>
  <c r="R61" i="97"/>
  <c r="S61" i="97"/>
  <c r="T61" i="97"/>
  <c r="U61" i="97"/>
  <c r="V61" i="97"/>
  <c r="W61" i="97"/>
  <c r="X61" i="97"/>
  <c r="Y61" i="97"/>
  <c r="Z61" i="97"/>
  <c r="AA61" i="97"/>
  <c r="AB61" i="97"/>
  <c r="AC61" i="97"/>
  <c r="AD61" i="97"/>
  <c r="D62" i="97"/>
  <c r="E62" i="97"/>
  <c r="F62" i="97"/>
  <c r="G62" i="97"/>
  <c r="H62" i="97"/>
  <c r="I62" i="97"/>
  <c r="J62" i="97"/>
  <c r="K62" i="97"/>
  <c r="L62" i="97"/>
  <c r="M62" i="97"/>
  <c r="N62" i="97"/>
  <c r="O62" i="97"/>
  <c r="P62" i="97"/>
  <c r="Q62" i="97"/>
  <c r="R62" i="97"/>
  <c r="S62" i="97"/>
  <c r="T62" i="97"/>
  <c r="U62" i="97"/>
  <c r="V62" i="97"/>
  <c r="W62" i="97"/>
  <c r="X62" i="97"/>
  <c r="Y62" i="97"/>
  <c r="Z62" i="97"/>
  <c r="AA62" i="97"/>
  <c r="AB62" i="97"/>
  <c r="AC62" i="97"/>
  <c r="AD62" i="97"/>
  <c r="D63" i="97"/>
  <c r="E63" i="97"/>
  <c r="F63" i="97"/>
  <c r="G63" i="97"/>
  <c r="H63" i="97"/>
  <c r="I63" i="97"/>
  <c r="J63" i="97"/>
  <c r="K63" i="97"/>
  <c r="L63" i="97"/>
  <c r="M63" i="97"/>
  <c r="N63" i="97"/>
  <c r="O63" i="97"/>
  <c r="P63" i="97"/>
  <c r="Q63" i="97"/>
  <c r="R63" i="97"/>
  <c r="S63" i="97"/>
  <c r="T63" i="97"/>
  <c r="U63" i="97"/>
  <c r="V63" i="97"/>
  <c r="W63" i="97"/>
  <c r="X63" i="97"/>
  <c r="Y63" i="97"/>
  <c r="Z63" i="97"/>
  <c r="AA63" i="97"/>
  <c r="AB63" i="97"/>
  <c r="AC63" i="97"/>
  <c r="AD63" i="97"/>
  <c r="D64" i="97"/>
  <c r="E64" i="97"/>
  <c r="F64" i="97"/>
  <c r="G64" i="97"/>
  <c r="H64" i="97"/>
  <c r="I64" i="97"/>
  <c r="J64" i="97"/>
  <c r="K64" i="97"/>
  <c r="L64" i="97"/>
  <c r="M64" i="97"/>
  <c r="N64" i="97"/>
  <c r="O64" i="97"/>
  <c r="P64" i="97"/>
  <c r="Q64" i="97"/>
  <c r="R64" i="97"/>
  <c r="S64" i="97"/>
  <c r="T64" i="97"/>
  <c r="U64" i="97"/>
  <c r="V64" i="97"/>
  <c r="W64" i="97"/>
  <c r="X64" i="97"/>
  <c r="Y64" i="97"/>
  <c r="Z64" i="97"/>
  <c r="AA64" i="97"/>
  <c r="AB64" i="97"/>
  <c r="AC64" i="97"/>
  <c r="AD64" i="97"/>
  <c r="C64" i="97"/>
  <c r="C63" i="97"/>
  <c r="C62" i="97"/>
  <c r="C61" i="97"/>
  <c r="C60" i="97"/>
  <c r="C59" i="97"/>
  <c r="C58" i="97"/>
  <c r="C57" i="97"/>
  <c r="C56" i="97"/>
  <c r="C55" i="97" l="1"/>
  <c r="C53" i="97"/>
  <c r="C54" i="97"/>
  <c r="D104" i="97"/>
  <c r="E104" i="97"/>
  <c r="F104" i="97"/>
  <c r="G104" i="97"/>
  <c r="H104" i="97"/>
  <c r="I104" i="97"/>
  <c r="J104" i="97"/>
  <c r="K104" i="97"/>
  <c r="L104" i="97"/>
  <c r="M104" i="97"/>
  <c r="N104" i="97"/>
  <c r="O104" i="97"/>
  <c r="P104" i="97"/>
  <c r="Q104" i="97"/>
  <c r="R104" i="97"/>
  <c r="S104" i="97"/>
  <c r="T104" i="97"/>
  <c r="U104" i="97"/>
  <c r="V104" i="97"/>
  <c r="W104" i="97"/>
  <c r="X104" i="97"/>
  <c r="Y104" i="97"/>
  <c r="Z104" i="97"/>
  <c r="AA104" i="97"/>
  <c r="AB104" i="97"/>
  <c r="AC104" i="97"/>
  <c r="AD104" i="97"/>
  <c r="D105" i="97"/>
  <c r="E105" i="97"/>
  <c r="F105" i="97"/>
  <c r="G105" i="97"/>
  <c r="H105" i="97"/>
  <c r="I105" i="97"/>
  <c r="J105" i="97"/>
  <c r="K105" i="97"/>
  <c r="L105" i="97"/>
  <c r="M105" i="97"/>
  <c r="N105" i="97"/>
  <c r="O105" i="97"/>
  <c r="P105" i="97"/>
  <c r="Q105" i="97"/>
  <c r="R105" i="97"/>
  <c r="S105" i="97"/>
  <c r="T105" i="97"/>
  <c r="U105" i="97"/>
  <c r="V105" i="97"/>
  <c r="W105" i="97"/>
  <c r="X105" i="97"/>
  <c r="Y105" i="97"/>
  <c r="Z105" i="97"/>
  <c r="AA105" i="97"/>
  <c r="AB105" i="97"/>
  <c r="AC105" i="97"/>
  <c r="AD105" i="97"/>
  <c r="D106" i="97"/>
  <c r="E106" i="97"/>
  <c r="F106" i="97"/>
  <c r="G106" i="97"/>
  <c r="H106" i="97"/>
  <c r="I106" i="97"/>
  <c r="J106" i="97"/>
  <c r="K106" i="97"/>
  <c r="L106" i="97"/>
  <c r="M106" i="97"/>
  <c r="N106" i="97"/>
  <c r="O106" i="97"/>
  <c r="P106" i="97"/>
  <c r="Q106" i="97"/>
  <c r="R106" i="97"/>
  <c r="S106" i="97"/>
  <c r="T106" i="97"/>
  <c r="U106" i="97"/>
  <c r="V106" i="97"/>
  <c r="W106" i="97"/>
  <c r="X106" i="97"/>
  <c r="Y106" i="97"/>
  <c r="Z106" i="97"/>
  <c r="AA106" i="97"/>
  <c r="AB106" i="97"/>
  <c r="AC106" i="97"/>
  <c r="AD106" i="97"/>
  <c r="D50" i="97"/>
  <c r="E50" i="97"/>
  <c r="F50" i="97"/>
  <c r="G50" i="97"/>
  <c r="H50" i="97"/>
  <c r="I50" i="97"/>
  <c r="J50" i="97"/>
  <c r="K50" i="97"/>
  <c r="L50" i="97"/>
  <c r="M50" i="97"/>
  <c r="N50" i="97"/>
  <c r="O50" i="97"/>
  <c r="P50" i="97"/>
  <c r="Q50" i="97"/>
  <c r="R50" i="97"/>
  <c r="S50" i="97"/>
  <c r="T50" i="97"/>
  <c r="U50" i="97"/>
  <c r="V50" i="97"/>
  <c r="W50" i="97"/>
  <c r="X50" i="97"/>
  <c r="Y50" i="97"/>
  <c r="Z50" i="97"/>
  <c r="AA50" i="97"/>
  <c r="AB50" i="97"/>
  <c r="AC50" i="97"/>
  <c r="AD50" i="97"/>
  <c r="D51" i="97"/>
  <c r="E51" i="97"/>
  <c r="F51" i="97"/>
  <c r="G51" i="97"/>
  <c r="H51" i="97"/>
  <c r="I51" i="97"/>
  <c r="J51" i="97"/>
  <c r="K51" i="97"/>
  <c r="L51" i="97"/>
  <c r="M51" i="97"/>
  <c r="N51" i="97"/>
  <c r="O51" i="97"/>
  <c r="P51" i="97"/>
  <c r="Q51" i="97"/>
  <c r="R51" i="97"/>
  <c r="S51" i="97"/>
  <c r="T51" i="97"/>
  <c r="U51" i="97"/>
  <c r="V51" i="97"/>
  <c r="W51" i="97"/>
  <c r="X51" i="97"/>
  <c r="Y51" i="97"/>
  <c r="Z51" i="97"/>
  <c r="AA51" i="97"/>
  <c r="AB51" i="97"/>
  <c r="AC51" i="97"/>
  <c r="AD51" i="97"/>
  <c r="D52" i="97"/>
  <c r="E52" i="97"/>
  <c r="F52" i="97"/>
  <c r="G52" i="97"/>
  <c r="H52" i="97"/>
  <c r="I52" i="97"/>
  <c r="J52" i="97"/>
  <c r="K52" i="97"/>
  <c r="L52" i="97"/>
  <c r="M52" i="97"/>
  <c r="N52" i="97"/>
  <c r="O52" i="97"/>
  <c r="P52" i="97"/>
  <c r="Q52" i="97"/>
  <c r="R52" i="97"/>
  <c r="S52" i="97"/>
  <c r="T52" i="97"/>
  <c r="U52" i="97"/>
  <c r="V52" i="97"/>
  <c r="W52" i="97"/>
  <c r="X52" i="97"/>
  <c r="Y52" i="97"/>
  <c r="Z52" i="97"/>
  <c r="AA52" i="97"/>
  <c r="AB52" i="97"/>
  <c r="AC52" i="97"/>
  <c r="AD52" i="97"/>
  <c r="C106" i="97"/>
  <c r="C105" i="97"/>
  <c r="C104" i="97"/>
  <c r="C51" i="97"/>
  <c r="C50" i="97"/>
  <c r="C52" i="97"/>
  <c r="D96" i="97"/>
  <c r="E96" i="97"/>
  <c r="F96" i="97"/>
  <c r="G96" i="97"/>
  <c r="H96" i="97"/>
  <c r="I96" i="97"/>
  <c r="J96" i="97"/>
  <c r="K96" i="97"/>
  <c r="L96" i="97"/>
  <c r="M96" i="97"/>
  <c r="N96" i="97"/>
  <c r="O96" i="97"/>
  <c r="P96" i="97"/>
  <c r="Q96" i="97"/>
  <c r="R96" i="97"/>
  <c r="S96" i="97"/>
  <c r="T96" i="97"/>
  <c r="U96" i="97"/>
  <c r="V96" i="97"/>
  <c r="W96" i="97"/>
  <c r="X96" i="97"/>
  <c r="Y96" i="97"/>
  <c r="Z96" i="97"/>
  <c r="AA96" i="97"/>
  <c r="AB96" i="97"/>
  <c r="AC96" i="97"/>
  <c r="AD96" i="97"/>
  <c r="D97" i="97"/>
  <c r="E97" i="97"/>
  <c r="F97" i="97"/>
  <c r="G97" i="97"/>
  <c r="H97" i="97"/>
  <c r="I97" i="97"/>
  <c r="J97" i="97"/>
  <c r="K97" i="97"/>
  <c r="L97" i="97"/>
  <c r="M97" i="97"/>
  <c r="N97" i="97"/>
  <c r="O97" i="97"/>
  <c r="P97" i="97"/>
  <c r="Q97" i="97"/>
  <c r="R97" i="97"/>
  <c r="S97" i="97"/>
  <c r="T97" i="97"/>
  <c r="U97" i="97"/>
  <c r="V97" i="97"/>
  <c r="W97" i="97"/>
  <c r="X97" i="97"/>
  <c r="Y97" i="97"/>
  <c r="Z97" i="97"/>
  <c r="AA97" i="97"/>
  <c r="AB97" i="97"/>
  <c r="AC97" i="97"/>
  <c r="AD97" i="97"/>
  <c r="D98" i="97"/>
  <c r="E98" i="97"/>
  <c r="F98" i="97"/>
  <c r="G98" i="97"/>
  <c r="H98" i="97"/>
  <c r="I98" i="97"/>
  <c r="J98" i="97"/>
  <c r="K98" i="97"/>
  <c r="L98" i="97"/>
  <c r="M98" i="97"/>
  <c r="N98" i="97"/>
  <c r="O98" i="97"/>
  <c r="P98" i="97"/>
  <c r="Q98" i="97"/>
  <c r="R98" i="97"/>
  <c r="S98" i="97"/>
  <c r="T98" i="97"/>
  <c r="U98" i="97"/>
  <c r="V98" i="97"/>
  <c r="W98" i="97"/>
  <c r="X98" i="97"/>
  <c r="Y98" i="97"/>
  <c r="Z98" i="97"/>
  <c r="AA98" i="97"/>
  <c r="AB98" i="97"/>
  <c r="AC98" i="97"/>
  <c r="AD98" i="97"/>
  <c r="D99" i="97"/>
  <c r="E99" i="97"/>
  <c r="F99" i="97"/>
  <c r="G99" i="97"/>
  <c r="H99" i="97"/>
  <c r="I99" i="97"/>
  <c r="J99" i="97"/>
  <c r="K99" i="97"/>
  <c r="L99" i="97"/>
  <c r="M99" i="97"/>
  <c r="N99" i="97"/>
  <c r="O99" i="97"/>
  <c r="P99" i="97"/>
  <c r="Q99" i="97"/>
  <c r="R99" i="97"/>
  <c r="S99" i="97"/>
  <c r="T99" i="97"/>
  <c r="U99" i="97"/>
  <c r="V99" i="97"/>
  <c r="W99" i="97"/>
  <c r="X99" i="97"/>
  <c r="Y99" i="97"/>
  <c r="Z99" i="97"/>
  <c r="AA99" i="97"/>
  <c r="AB99" i="97"/>
  <c r="AC99" i="97"/>
  <c r="AD99" i="97"/>
  <c r="D100" i="97"/>
  <c r="E100" i="97"/>
  <c r="F100" i="97"/>
  <c r="G100" i="97"/>
  <c r="H100" i="97"/>
  <c r="I100" i="97"/>
  <c r="J100" i="97"/>
  <c r="K100" i="97"/>
  <c r="L100" i="97"/>
  <c r="M100" i="97"/>
  <c r="N100" i="97"/>
  <c r="O100" i="97"/>
  <c r="P100" i="97"/>
  <c r="Q100" i="97"/>
  <c r="R100" i="97"/>
  <c r="S100" i="97"/>
  <c r="T100" i="97"/>
  <c r="U100" i="97"/>
  <c r="V100" i="97"/>
  <c r="W100" i="97"/>
  <c r="X100" i="97"/>
  <c r="Y100" i="97"/>
  <c r="Z100" i="97"/>
  <c r="AA100" i="97"/>
  <c r="AB100" i="97"/>
  <c r="AC100" i="97"/>
  <c r="AD100" i="97"/>
  <c r="D101" i="97"/>
  <c r="E101" i="97"/>
  <c r="F101" i="97"/>
  <c r="G101" i="97"/>
  <c r="H101" i="97"/>
  <c r="I101" i="97"/>
  <c r="J101" i="97"/>
  <c r="K101" i="97"/>
  <c r="L101" i="97"/>
  <c r="M101" i="97"/>
  <c r="N101" i="97"/>
  <c r="O101" i="97"/>
  <c r="P101" i="97"/>
  <c r="Q101" i="97"/>
  <c r="R101" i="97"/>
  <c r="S101" i="97"/>
  <c r="T101" i="97"/>
  <c r="U101" i="97"/>
  <c r="V101" i="97"/>
  <c r="W101" i="97"/>
  <c r="X101" i="97"/>
  <c r="Y101" i="97"/>
  <c r="Z101" i="97"/>
  <c r="AA101" i="97"/>
  <c r="AB101" i="97"/>
  <c r="AC101" i="97"/>
  <c r="AD101" i="97"/>
  <c r="D102" i="97"/>
  <c r="E102" i="97"/>
  <c r="F102" i="97"/>
  <c r="G102" i="97"/>
  <c r="H102" i="97"/>
  <c r="I102" i="97"/>
  <c r="J102" i="97"/>
  <c r="K102" i="97"/>
  <c r="L102" i="97"/>
  <c r="M102" i="97"/>
  <c r="N102" i="97"/>
  <c r="O102" i="97"/>
  <c r="P102" i="97"/>
  <c r="Q102" i="97"/>
  <c r="R102" i="97"/>
  <c r="S102" i="97"/>
  <c r="T102" i="97"/>
  <c r="U102" i="97"/>
  <c r="V102" i="97"/>
  <c r="W102" i="97"/>
  <c r="X102" i="97"/>
  <c r="Y102" i="97"/>
  <c r="Z102" i="97"/>
  <c r="AA102" i="97"/>
  <c r="AB102" i="97"/>
  <c r="AC102" i="97"/>
  <c r="AD102" i="97"/>
  <c r="D103" i="97"/>
  <c r="E103" i="97"/>
  <c r="F103" i="97"/>
  <c r="G103" i="97"/>
  <c r="H103" i="97"/>
  <c r="I103" i="97"/>
  <c r="J103" i="97"/>
  <c r="K103" i="97"/>
  <c r="L103" i="97"/>
  <c r="M103" i="97"/>
  <c r="N103" i="97"/>
  <c r="O103" i="97"/>
  <c r="P103" i="97"/>
  <c r="Q103" i="97"/>
  <c r="R103" i="97"/>
  <c r="S103" i="97"/>
  <c r="T103" i="97"/>
  <c r="U103" i="97"/>
  <c r="V103" i="97"/>
  <c r="W103" i="97"/>
  <c r="X103" i="97"/>
  <c r="Y103" i="97"/>
  <c r="Z103" i="97"/>
  <c r="AA103" i="97"/>
  <c r="AB103" i="97"/>
  <c r="AC103" i="97"/>
  <c r="AD103" i="97"/>
  <c r="D42" i="97"/>
  <c r="E42" i="97"/>
  <c r="F42" i="97"/>
  <c r="G42" i="97"/>
  <c r="H42" i="97"/>
  <c r="I42" i="97"/>
  <c r="J42" i="97"/>
  <c r="K42" i="97"/>
  <c r="L42" i="97"/>
  <c r="M42" i="97"/>
  <c r="N42" i="97"/>
  <c r="O42" i="97"/>
  <c r="P42" i="97"/>
  <c r="Q42" i="97"/>
  <c r="R42" i="97"/>
  <c r="S42" i="97"/>
  <c r="T42" i="97"/>
  <c r="U42" i="97"/>
  <c r="V42" i="97"/>
  <c r="W42" i="97"/>
  <c r="X42" i="97"/>
  <c r="Y42" i="97"/>
  <c r="Z42" i="97"/>
  <c r="AA42" i="97"/>
  <c r="AB42" i="97"/>
  <c r="AC42" i="97"/>
  <c r="AD42" i="97"/>
  <c r="D43" i="97"/>
  <c r="E43" i="97"/>
  <c r="F43" i="97"/>
  <c r="G43" i="97"/>
  <c r="H43" i="97"/>
  <c r="I43" i="97"/>
  <c r="J43" i="97"/>
  <c r="K43" i="97"/>
  <c r="L43" i="97"/>
  <c r="M43" i="97"/>
  <c r="N43" i="97"/>
  <c r="O43" i="97"/>
  <c r="P43" i="97"/>
  <c r="Q43" i="97"/>
  <c r="R43" i="97"/>
  <c r="S43" i="97"/>
  <c r="T43" i="97"/>
  <c r="U43" i="97"/>
  <c r="V43" i="97"/>
  <c r="W43" i="97"/>
  <c r="X43" i="97"/>
  <c r="Y43" i="97"/>
  <c r="Z43" i="97"/>
  <c r="AA43" i="97"/>
  <c r="AB43" i="97"/>
  <c r="AC43" i="97"/>
  <c r="AD43" i="97"/>
  <c r="D44" i="97"/>
  <c r="E44" i="97"/>
  <c r="F44" i="97"/>
  <c r="G44" i="97"/>
  <c r="H44" i="97"/>
  <c r="I44" i="97"/>
  <c r="J44" i="97"/>
  <c r="K44" i="97"/>
  <c r="L44" i="97"/>
  <c r="M44" i="97"/>
  <c r="N44" i="97"/>
  <c r="O44" i="97"/>
  <c r="P44" i="97"/>
  <c r="Q44" i="97"/>
  <c r="R44" i="97"/>
  <c r="S44" i="97"/>
  <c r="T44" i="97"/>
  <c r="U44" i="97"/>
  <c r="V44" i="97"/>
  <c r="W44" i="97"/>
  <c r="X44" i="97"/>
  <c r="Y44" i="97"/>
  <c r="Z44" i="97"/>
  <c r="AA44" i="97"/>
  <c r="AB44" i="97"/>
  <c r="AC44" i="97"/>
  <c r="AD44" i="97"/>
  <c r="D45" i="97"/>
  <c r="E45" i="97"/>
  <c r="F45" i="97"/>
  <c r="G45" i="97"/>
  <c r="H45" i="97"/>
  <c r="I45" i="97"/>
  <c r="J45" i="97"/>
  <c r="K45" i="97"/>
  <c r="L45" i="97"/>
  <c r="M45" i="97"/>
  <c r="N45" i="97"/>
  <c r="O45" i="97"/>
  <c r="P45" i="97"/>
  <c r="Q45" i="97"/>
  <c r="R45" i="97"/>
  <c r="S45" i="97"/>
  <c r="T45" i="97"/>
  <c r="U45" i="97"/>
  <c r="V45" i="97"/>
  <c r="W45" i="97"/>
  <c r="X45" i="97"/>
  <c r="Y45" i="97"/>
  <c r="Z45" i="97"/>
  <c r="AA45" i="97"/>
  <c r="AB45" i="97"/>
  <c r="AC45" i="97"/>
  <c r="AD45" i="97"/>
  <c r="D46" i="97"/>
  <c r="E46" i="97"/>
  <c r="F46" i="97"/>
  <c r="G46" i="97"/>
  <c r="H46" i="97"/>
  <c r="I46" i="97"/>
  <c r="J46" i="97"/>
  <c r="K46" i="97"/>
  <c r="L46" i="97"/>
  <c r="M46" i="97"/>
  <c r="N46" i="97"/>
  <c r="O46" i="97"/>
  <c r="P46" i="97"/>
  <c r="Q46" i="97"/>
  <c r="R46" i="97"/>
  <c r="S46" i="97"/>
  <c r="T46" i="97"/>
  <c r="U46" i="97"/>
  <c r="V46" i="97"/>
  <c r="W46" i="97"/>
  <c r="X46" i="97"/>
  <c r="Y46" i="97"/>
  <c r="Z46" i="97"/>
  <c r="AA46" i="97"/>
  <c r="AB46" i="97"/>
  <c r="AC46" i="97"/>
  <c r="AD46" i="97"/>
  <c r="D47" i="97"/>
  <c r="E47" i="97"/>
  <c r="F47" i="97"/>
  <c r="G47" i="97"/>
  <c r="H47" i="97"/>
  <c r="I47" i="97"/>
  <c r="J47" i="97"/>
  <c r="K47" i="97"/>
  <c r="L47" i="97"/>
  <c r="M47" i="97"/>
  <c r="N47" i="97"/>
  <c r="O47" i="97"/>
  <c r="P47" i="97"/>
  <c r="Q47" i="97"/>
  <c r="R47" i="97"/>
  <c r="S47" i="97"/>
  <c r="T47" i="97"/>
  <c r="U47" i="97"/>
  <c r="V47" i="97"/>
  <c r="W47" i="97"/>
  <c r="X47" i="97"/>
  <c r="Y47" i="97"/>
  <c r="Z47" i="97"/>
  <c r="AA47" i="97"/>
  <c r="AB47" i="97"/>
  <c r="AC47" i="97"/>
  <c r="AD47" i="97"/>
  <c r="D48" i="97"/>
  <c r="E48" i="97"/>
  <c r="F48" i="97"/>
  <c r="G48" i="97"/>
  <c r="H48" i="97"/>
  <c r="I48" i="97"/>
  <c r="J48" i="97"/>
  <c r="K48" i="97"/>
  <c r="L48" i="97"/>
  <c r="M48" i="97"/>
  <c r="N48" i="97"/>
  <c r="O48" i="97"/>
  <c r="P48" i="97"/>
  <c r="Q48" i="97"/>
  <c r="R48" i="97"/>
  <c r="S48" i="97"/>
  <c r="T48" i="97"/>
  <c r="U48" i="97"/>
  <c r="V48" i="97"/>
  <c r="W48" i="97"/>
  <c r="X48" i="97"/>
  <c r="Y48" i="97"/>
  <c r="Z48" i="97"/>
  <c r="AA48" i="97"/>
  <c r="AB48" i="97"/>
  <c r="AC48" i="97"/>
  <c r="AD48" i="97"/>
  <c r="D49" i="97"/>
  <c r="E49" i="97"/>
  <c r="F49" i="97"/>
  <c r="G49" i="97"/>
  <c r="H49" i="97"/>
  <c r="I49" i="97"/>
  <c r="J49" i="97"/>
  <c r="K49" i="97"/>
  <c r="L49" i="97"/>
  <c r="M49" i="97"/>
  <c r="N49" i="97"/>
  <c r="O49" i="97"/>
  <c r="P49" i="97"/>
  <c r="Q49" i="97"/>
  <c r="R49" i="97"/>
  <c r="S49" i="97"/>
  <c r="T49" i="97"/>
  <c r="U49" i="97"/>
  <c r="V49" i="97"/>
  <c r="W49" i="97"/>
  <c r="X49" i="97"/>
  <c r="Y49" i="97"/>
  <c r="Z49" i="97"/>
  <c r="AA49" i="97"/>
  <c r="AB49" i="97"/>
  <c r="AC49" i="97"/>
  <c r="AD49" i="97"/>
  <c r="C103" i="97"/>
  <c r="C49" i="97"/>
  <c r="C101" i="97"/>
  <c r="C47" i="97"/>
  <c r="C102" i="97"/>
  <c r="C48" i="97"/>
  <c r="C99" i="97"/>
  <c r="C98" i="97"/>
  <c r="C46" i="97"/>
  <c r="C45" i="97"/>
  <c r="C44" i="97"/>
  <c r="C97" i="97"/>
  <c r="C43" i="97"/>
  <c r="C96" i="97"/>
  <c r="C42" i="97"/>
  <c r="H11" i="98" l="1"/>
  <c r="H12" i="98"/>
  <c r="H13" i="98"/>
  <c r="H14" i="98"/>
  <c r="H15" i="98"/>
  <c r="H16" i="98"/>
  <c r="H17" i="98"/>
  <c r="H18" i="98"/>
  <c r="H19" i="98"/>
  <c r="H20" i="98"/>
  <c r="H21" i="98"/>
  <c r="H22" i="98"/>
  <c r="H23" i="98"/>
  <c r="H24" i="98"/>
  <c r="H25" i="98"/>
  <c r="H26" i="98"/>
  <c r="H27" i="98"/>
  <c r="H28" i="98"/>
  <c r="H29" i="98"/>
  <c r="H30" i="98"/>
  <c r="H31" i="98"/>
  <c r="H32" i="98"/>
  <c r="H33" i="98"/>
  <c r="H34" i="98"/>
  <c r="H35" i="98"/>
  <c r="H36" i="98"/>
  <c r="H37" i="98"/>
  <c r="H38" i="98"/>
  <c r="H39" i="98"/>
  <c r="H40" i="98"/>
  <c r="H41" i="98"/>
  <c r="H42" i="98"/>
  <c r="H43" i="98"/>
  <c r="H44" i="98"/>
  <c r="H45" i="98"/>
  <c r="H46" i="98"/>
  <c r="H47" i="98"/>
  <c r="H48" i="98"/>
  <c r="H49" i="98"/>
  <c r="H50" i="98"/>
  <c r="H51" i="98"/>
  <c r="H52" i="98"/>
  <c r="H53" i="98"/>
  <c r="H54" i="98"/>
  <c r="H55" i="98"/>
  <c r="H56" i="98"/>
  <c r="H57" i="98"/>
  <c r="H58" i="98"/>
  <c r="H59" i="98"/>
  <c r="H60" i="98"/>
  <c r="H61" i="98"/>
  <c r="H62" i="98"/>
  <c r="H63" i="98"/>
  <c r="H64" i="98"/>
  <c r="H65" i="98"/>
  <c r="H66" i="98"/>
  <c r="H67" i="98"/>
  <c r="H68" i="98"/>
  <c r="H69" i="98"/>
  <c r="H70" i="98"/>
  <c r="H71" i="98"/>
  <c r="H72" i="98"/>
  <c r="H73" i="98"/>
  <c r="H74" i="98"/>
  <c r="H75" i="98"/>
  <c r="H76" i="98"/>
  <c r="H77" i="98"/>
  <c r="H78" i="98"/>
  <c r="H79" i="98"/>
  <c r="H10" i="98"/>
  <c r="D5" i="97"/>
  <c r="E5" i="97"/>
  <c r="D6" i="97"/>
  <c r="E6" i="97"/>
  <c r="D7" i="97"/>
  <c r="E7" i="97"/>
  <c r="D8" i="97"/>
  <c r="E8" i="97"/>
  <c r="D9" i="97"/>
  <c r="E9" i="97"/>
  <c r="D10" i="97"/>
  <c r="E10" i="97"/>
  <c r="D11" i="97"/>
  <c r="E11" i="97"/>
  <c r="D12" i="97"/>
  <c r="E12" i="97"/>
  <c r="D13" i="97"/>
  <c r="E13" i="97"/>
  <c r="D14" i="97"/>
  <c r="E14" i="97"/>
  <c r="D15" i="97"/>
  <c r="E15" i="97"/>
  <c r="D16" i="97"/>
  <c r="E16" i="97"/>
  <c r="D17" i="97"/>
  <c r="E17" i="97"/>
  <c r="D18" i="97"/>
  <c r="E18" i="97"/>
  <c r="D19" i="97"/>
  <c r="E19" i="97"/>
  <c r="D20" i="97"/>
  <c r="E20" i="97"/>
  <c r="D21" i="97"/>
  <c r="E21" i="97"/>
  <c r="D22" i="97"/>
  <c r="E22" i="97"/>
  <c r="D23" i="97"/>
  <c r="E23" i="97"/>
  <c r="D24" i="97"/>
  <c r="E24" i="97"/>
  <c r="D25" i="97"/>
  <c r="E25" i="97"/>
  <c r="D26" i="97"/>
  <c r="E26" i="97"/>
  <c r="D27" i="97"/>
  <c r="E27" i="97"/>
  <c r="C8" i="97"/>
  <c r="C11" i="97"/>
  <c r="C12" i="97"/>
  <c r="C13" i="97"/>
  <c r="C14" i="97"/>
  <c r="C15" i="97"/>
  <c r="C16" i="97"/>
  <c r="C17" i="97"/>
  <c r="C18" i="97"/>
  <c r="C19" i="97"/>
  <c r="C20" i="97"/>
  <c r="C21" i="97"/>
  <c r="C22" i="97"/>
  <c r="C23" i="97"/>
  <c r="C24" i="97"/>
  <c r="C25" i="97"/>
  <c r="C27" i="97"/>
  <c r="I88" i="96"/>
  <c r="I87" i="96"/>
  <c r="H88" i="96"/>
  <c r="H87" i="96"/>
  <c r="G88" i="96"/>
  <c r="G87" i="96"/>
  <c r="E87" i="96"/>
  <c r="D87" i="96"/>
  <c r="C90" i="96"/>
  <c r="C88" i="96"/>
  <c r="C87" i="96"/>
  <c r="J84" i="96"/>
  <c r="J80" i="96"/>
  <c r="I84" i="96"/>
  <c r="I83" i="96"/>
  <c r="I82" i="96"/>
  <c r="I81" i="96"/>
  <c r="I80" i="96"/>
  <c r="I79" i="96"/>
  <c r="H84" i="96"/>
  <c r="H83" i="96"/>
  <c r="H82" i="96"/>
  <c r="H81" i="96"/>
  <c r="H80" i="96"/>
  <c r="H79" i="96"/>
  <c r="G84" i="96"/>
  <c r="G83" i="96"/>
  <c r="G82" i="96"/>
  <c r="G81" i="96"/>
  <c r="G80" i="96"/>
  <c r="G79" i="96"/>
  <c r="F84" i="96"/>
  <c r="F80" i="96"/>
  <c r="E84" i="96"/>
  <c r="E83" i="96"/>
  <c r="E82" i="96"/>
  <c r="E81" i="96"/>
  <c r="E80" i="96"/>
  <c r="E79" i="96"/>
  <c r="D84" i="96"/>
  <c r="D83" i="96"/>
  <c r="D82" i="96"/>
  <c r="D81" i="96"/>
  <c r="D80" i="96"/>
  <c r="D79" i="96"/>
  <c r="C84" i="96"/>
  <c r="C83" i="96"/>
  <c r="C82" i="96"/>
  <c r="C81" i="96"/>
  <c r="C80" i="96"/>
  <c r="C79" i="96"/>
  <c r="J76" i="96"/>
  <c r="I75" i="96"/>
  <c r="H76" i="96"/>
  <c r="H75" i="96"/>
  <c r="G75" i="96"/>
  <c r="F76" i="96"/>
  <c r="E75" i="96"/>
  <c r="D76" i="96"/>
  <c r="D75" i="96"/>
  <c r="C75" i="96"/>
  <c r="I73" i="96"/>
  <c r="H73" i="96"/>
  <c r="G73" i="96"/>
  <c r="E73" i="96"/>
  <c r="D73" i="96"/>
  <c r="C73" i="96"/>
  <c r="I71" i="96"/>
  <c r="H71" i="96"/>
  <c r="G71" i="96"/>
  <c r="E71" i="96"/>
  <c r="D71" i="96"/>
  <c r="C71" i="96"/>
  <c r="I69" i="96"/>
  <c r="H69" i="96"/>
  <c r="G69" i="96"/>
  <c r="E69" i="96"/>
  <c r="D69" i="96"/>
  <c r="C69" i="96"/>
  <c r="I68" i="96"/>
  <c r="H68" i="96"/>
  <c r="G68" i="96"/>
  <c r="E68" i="96"/>
  <c r="D68" i="96"/>
  <c r="C68" i="96"/>
  <c r="D66" i="96"/>
  <c r="H66" i="96"/>
  <c r="J65" i="96"/>
  <c r="I65" i="96"/>
  <c r="I64" i="96"/>
  <c r="H65" i="96"/>
  <c r="H64" i="96"/>
  <c r="G65" i="96"/>
  <c r="G64" i="96"/>
  <c r="E65" i="96"/>
  <c r="E64" i="96"/>
  <c r="D64" i="96"/>
  <c r="C64" i="96"/>
  <c r="I61" i="96"/>
  <c r="J62" i="96"/>
  <c r="I62" i="96"/>
  <c r="H62" i="96"/>
  <c r="H61" i="96"/>
  <c r="G62" i="96"/>
  <c r="G61" i="96"/>
  <c r="E61" i="96"/>
  <c r="C65" i="96"/>
  <c r="F65" i="96"/>
  <c r="D65" i="96"/>
  <c r="F62" i="96"/>
  <c r="E62" i="96"/>
  <c r="D62" i="96"/>
  <c r="D61" i="96"/>
  <c r="C62" i="96"/>
  <c r="C61" i="96"/>
  <c r="V33" i="97" l="1"/>
  <c r="AB34" i="97"/>
  <c r="M34" i="97"/>
  <c r="H34" i="97"/>
  <c r="O33" i="97"/>
  <c r="AA34" i="97"/>
  <c r="G34" i="97"/>
  <c r="N33" i="97"/>
  <c r="B33" i="97"/>
  <c r="X34" i="97"/>
  <c r="D34" i="97"/>
  <c r="K33" i="97"/>
  <c r="K34" i="97"/>
  <c r="F34" i="97"/>
  <c r="M33" i="97"/>
  <c r="E34" i="97"/>
  <c r="W34" i="97"/>
  <c r="C34" i="97"/>
  <c r="J33" i="97"/>
  <c r="T33" i="97"/>
  <c r="P33" i="97"/>
  <c r="Y34" i="97"/>
  <c r="L33" i="97"/>
  <c r="V34" i="97"/>
  <c r="AC33" i="97"/>
  <c r="I33" i="97"/>
  <c r="U34" i="97"/>
  <c r="AB33" i="97"/>
  <c r="H33" i="97"/>
  <c r="R33" i="97"/>
  <c r="T34" i="97"/>
  <c r="AA33" i="97"/>
  <c r="G33" i="97"/>
  <c r="S33" i="97"/>
  <c r="Q33" i="97"/>
  <c r="S34" i="97"/>
  <c r="Z33" i="97"/>
  <c r="F33" i="97"/>
  <c r="U33" i="97"/>
  <c r="AC34" i="97"/>
  <c r="Z34" i="97"/>
  <c r="R34" i="97"/>
  <c r="Y33" i="97"/>
  <c r="E33" i="97"/>
  <c r="L34" i="97"/>
  <c r="B34" i="97"/>
  <c r="Q34" i="97"/>
  <c r="X33" i="97"/>
  <c r="D33" i="97"/>
  <c r="I34" i="97"/>
  <c r="P34" i="97"/>
  <c r="W33" i="97"/>
  <c r="C33" i="97"/>
  <c r="N34" i="97"/>
  <c r="J34" i="97"/>
  <c r="O34" i="97"/>
  <c r="B52" i="96"/>
  <c r="B49" i="96"/>
  <c r="B45" i="96"/>
  <c r="B44" i="96"/>
  <c r="B42" i="96"/>
  <c r="B39" i="96" s="1"/>
  <c r="B37" i="96"/>
  <c r="B34" i="96"/>
  <c r="C10" i="96"/>
  <c r="AD41" i="97" l="1"/>
  <c r="W41" i="97"/>
  <c r="P41" i="97"/>
  <c r="M41" i="97"/>
  <c r="AC41" i="97"/>
  <c r="S41" i="97"/>
  <c r="X41" i="97"/>
  <c r="J41" i="97"/>
  <c r="D41" i="97"/>
  <c r="O41" i="97"/>
  <c r="T41" i="97"/>
  <c r="F41" i="97"/>
  <c r="C41" i="97"/>
  <c r="L41" i="97"/>
  <c r="E41" i="97"/>
  <c r="AA41" i="97"/>
  <c r="G41" i="97"/>
  <c r="K41" i="97"/>
  <c r="Y41" i="97"/>
  <c r="R41" i="97"/>
  <c r="V41" i="97"/>
  <c r="H41" i="97"/>
  <c r="AB41" i="97"/>
  <c r="Q41" i="97"/>
  <c r="I41" i="97"/>
  <c r="N41" i="97"/>
  <c r="U41" i="97"/>
  <c r="Z41" i="97"/>
  <c r="B43" i="96"/>
  <c r="C116" i="87"/>
  <c r="C103" i="87"/>
  <c r="C89" i="87"/>
  <c r="C72" i="87"/>
  <c r="C58" i="87"/>
  <c r="C41" i="87"/>
  <c r="C23" i="87"/>
  <c r="I33" i="59"/>
  <c r="I32" i="59"/>
  <c r="I31" i="59"/>
  <c r="I30" i="59"/>
  <c r="I29" i="59"/>
  <c r="D30" i="59"/>
  <c r="D31" i="59"/>
  <c r="D32" i="59"/>
  <c r="D33" i="59"/>
  <c r="D29" i="59"/>
  <c r="C32" i="59"/>
  <c r="H32" i="59" s="1"/>
  <c r="A32" i="59" s="1"/>
  <c r="C33" i="59"/>
  <c r="H33" i="59" s="1"/>
  <c r="A33" i="59" s="1"/>
  <c r="H30" i="59"/>
  <c r="A30" i="59" s="1"/>
  <c r="C31" i="59"/>
  <c r="H31" i="59" s="1"/>
  <c r="C29" i="59"/>
  <c r="H29" i="59" s="1"/>
  <c r="B46" i="53"/>
  <c r="C16" i="59"/>
  <c r="C15" i="59"/>
  <c r="C14" i="59"/>
  <c r="C13" i="59"/>
  <c r="C12" i="59"/>
  <c r="C11" i="59"/>
  <c r="C10" i="59"/>
  <c r="H10" i="59" s="1"/>
  <c r="D16" i="59"/>
  <c r="D15" i="59"/>
  <c r="D14" i="59"/>
  <c r="D13" i="59"/>
  <c r="D12" i="59"/>
  <c r="D11" i="59"/>
  <c r="D10" i="59"/>
  <c r="I10" i="59"/>
  <c r="C246" i="58"/>
  <c r="C245" i="58"/>
  <c r="C98" i="58"/>
  <c r="C97" i="58"/>
  <c r="K97" i="58"/>
  <c r="B33" i="59" l="1"/>
  <c r="B32" i="59"/>
  <c r="B31" i="59"/>
  <c r="A31" i="59"/>
  <c r="B29" i="59"/>
  <c r="A29" i="59"/>
  <c r="B30" i="59"/>
  <c r="AO10" i="63" l="1"/>
  <c r="AP10" i="63"/>
  <c r="B111" i="8" l="1"/>
  <c r="B112" i="8"/>
  <c r="C44" i="87" l="1"/>
  <c r="B47" i="53"/>
  <c r="L61" i="87"/>
  <c r="M61" i="87"/>
  <c r="N61" i="87"/>
  <c r="O61" i="87"/>
  <c r="P61" i="87"/>
  <c r="Q61" i="87"/>
  <c r="R61" i="87"/>
  <c r="S61" i="87"/>
  <c r="T61" i="87"/>
  <c r="U61" i="87"/>
  <c r="V61" i="87"/>
  <c r="W61" i="87"/>
  <c r="X61" i="87"/>
  <c r="Y61" i="87"/>
  <c r="Z61" i="87"/>
  <c r="AA61" i="87"/>
  <c r="AB61" i="87"/>
  <c r="AC61" i="87"/>
  <c r="AD61" i="87"/>
  <c r="AE61" i="87"/>
  <c r="AF61" i="87"/>
  <c r="AG61" i="87"/>
  <c r="AH61" i="87"/>
  <c r="AI61" i="87"/>
  <c r="AJ61" i="87"/>
  <c r="AK61" i="87"/>
  <c r="AL61" i="87"/>
  <c r="K61" i="87"/>
  <c r="L92" i="87"/>
  <c r="M92" i="87"/>
  <c r="N92" i="87"/>
  <c r="O92" i="87"/>
  <c r="P92" i="87"/>
  <c r="Q92" i="87"/>
  <c r="R92" i="87"/>
  <c r="S92" i="87"/>
  <c r="T92" i="87"/>
  <c r="U92" i="87"/>
  <c r="V92" i="87"/>
  <c r="W92" i="87"/>
  <c r="X92" i="87"/>
  <c r="Y92" i="87"/>
  <c r="Z92" i="87"/>
  <c r="AA92" i="87"/>
  <c r="AB92" i="87"/>
  <c r="AC92" i="87"/>
  <c r="AD92" i="87"/>
  <c r="AE92" i="87"/>
  <c r="AF92" i="87"/>
  <c r="AG92" i="87"/>
  <c r="AH92" i="87"/>
  <c r="AI92" i="87"/>
  <c r="AJ92" i="87"/>
  <c r="AK92" i="87"/>
  <c r="AL92" i="87"/>
  <c r="K92" i="87"/>
  <c r="C106" i="87"/>
  <c r="C105" i="87"/>
  <c r="D103" i="87"/>
  <c r="C75" i="87"/>
  <c r="C74" i="87"/>
  <c r="D72" i="87"/>
  <c r="AP15" i="87"/>
  <c r="B90" i="87" s="1"/>
  <c r="AP13" i="87"/>
  <c r="B59" i="87" s="1"/>
  <c r="AP16" i="87"/>
  <c r="AP14" i="87"/>
  <c r="AP10" i="87"/>
  <c r="AP11" i="87"/>
  <c r="B24" i="87" s="1"/>
  <c r="AP12" i="87"/>
  <c r="C43" i="87"/>
  <c r="D41" i="87"/>
  <c r="D23" i="87"/>
  <c r="AO11" i="87" s="1"/>
  <c r="A24" i="87" s="1"/>
  <c r="B2" i="87"/>
  <c r="D396" i="86"/>
  <c r="D397" i="86" s="1"/>
  <c r="D398" i="86" s="1"/>
  <c r="D399" i="86" s="1"/>
  <c r="D400" i="86" s="1"/>
  <c r="D401" i="86" s="1"/>
  <c r="D402" i="86" s="1"/>
  <c r="D403" i="86" s="1"/>
  <c r="D404" i="86" s="1"/>
  <c r="D405" i="86" s="1"/>
  <c r="D406" i="86" s="1"/>
  <c r="D407" i="86" s="1"/>
  <c r="D383" i="86"/>
  <c r="D384" i="86" s="1"/>
  <c r="D385" i="86" s="1"/>
  <c r="D386" i="86" s="1"/>
  <c r="D387" i="86" s="1"/>
  <c r="D388" i="86" s="1"/>
  <c r="D389" i="86" s="1"/>
  <c r="D390" i="86" s="1"/>
  <c r="D391" i="86" s="1"/>
  <c r="D392" i="86" s="1"/>
  <c r="D393" i="86" s="1"/>
  <c r="D394" i="86" s="1"/>
  <c r="D370" i="86"/>
  <c r="D371" i="86" s="1"/>
  <c r="D372" i="86" s="1"/>
  <c r="D373" i="86" s="1"/>
  <c r="D374" i="86" s="1"/>
  <c r="D375" i="86" s="1"/>
  <c r="D376" i="86" s="1"/>
  <c r="D377" i="86" s="1"/>
  <c r="D378" i="86" s="1"/>
  <c r="D379" i="86" s="1"/>
  <c r="D380" i="86" s="1"/>
  <c r="D381" i="86" s="1"/>
  <c r="D357" i="86"/>
  <c r="D358" i="86" s="1"/>
  <c r="D359" i="86" s="1"/>
  <c r="D360" i="86" s="1"/>
  <c r="D361" i="86" s="1"/>
  <c r="D362" i="86" s="1"/>
  <c r="D363" i="86" s="1"/>
  <c r="D364" i="86" s="1"/>
  <c r="D365" i="86" s="1"/>
  <c r="D366" i="86" s="1"/>
  <c r="D367" i="86" s="1"/>
  <c r="D368" i="86" s="1"/>
  <c r="D344" i="86"/>
  <c r="D345" i="86" s="1"/>
  <c r="D346" i="86" s="1"/>
  <c r="D347" i="86" s="1"/>
  <c r="D348" i="86" s="1"/>
  <c r="D349" i="86" s="1"/>
  <c r="D350" i="86" s="1"/>
  <c r="D351" i="86" s="1"/>
  <c r="D352" i="86" s="1"/>
  <c r="D353" i="86" s="1"/>
  <c r="D354" i="86" s="1"/>
  <c r="D355" i="86" s="1"/>
  <c r="D331" i="86"/>
  <c r="D332" i="86" s="1"/>
  <c r="D333" i="86" s="1"/>
  <c r="D334" i="86" s="1"/>
  <c r="D335" i="86" s="1"/>
  <c r="D336" i="86" s="1"/>
  <c r="D337" i="86" s="1"/>
  <c r="D338" i="86" s="1"/>
  <c r="D339" i="86" s="1"/>
  <c r="D340" i="86" s="1"/>
  <c r="D341" i="86" s="1"/>
  <c r="D342" i="86" s="1"/>
  <c r="D320" i="86"/>
  <c r="D321" i="86" s="1"/>
  <c r="D322" i="86" s="1"/>
  <c r="D323" i="86" s="1"/>
  <c r="D324" i="86" s="1"/>
  <c r="D325" i="86" s="1"/>
  <c r="D326" i="86" s="1"/>
  <c r="D327" i="86" s="1"/>
  <c r="D328" i="86" s="1"/>
  <c r="D329" i="86" s="1"/>
  <c r="D319" i="86"/>
  <c r="D318" i="86"/>
  <c r="D305" i="86"/>
  <c r="D306" i="86" s="1"/>
  <c r="D307" i="86" s="1"/>
  <c r="D308" i="86" s="1"/>
  <c r="D309" i="86" s="1"/>
  <c r="D310" i="86" s="1"/>
  <c r="D311" i="86" s="1"/>
  <c r="D312" i="86" s="1"/>
  <c r="D313" i="86" s="1"/>
  <c r="D314" i="86" s="1"/>
  <c r="D315" i="86" s="1"/>
  <c r="D316" i="86" s="1"/>
  <c r="D292" i="86"/>
  <c r="D293" i="86" s="1"/>
  <c r="D294" i="86" s="1"/>
  <c r="D295" i="86" s="1"/>
  <c r="D296" i="86" s="1"/>
  <c r="D297" i="86" s="1"/>
  <c r="D298" i="86" s="1"/>
  <c r="D299" i="86" s="1"/>
  <c r="D300" i="86" s="1"/>
  <c r="D301" i="86" s="1"/>
  <c r="D302" i="86" s="1"/>
  <c r="D303" i="86" s="1"/>
  <c r="D279" i="86"/>
  <c r="D280" i="86" s="1"/>
  <c r="D281" i="86" s="1"/>
  <c r="D282" i="86" s="1"/>
  <c r="D283" i="86" s="1"/>
  <c r="D284" i="86" s="1"/>
  <c r="D285" i="86" s="1"/>
  <c r="D286" i="86" s="1"/>
  <c r="D287" i="86" s="1"/>
  <c r="D288" i="86" s="1"/>
  <c r="D289" i="86" s="1"/>
  <c r="D290" i="86" s="1"/>
  <c r="D266" i="86"/>
  <c r="D267" i="86" s="1"/>
  <c r="D268" i="86" s="1"/>
  <c r="D269" i="86" s="1"/>
  <c r="D270" i="86" s="1"/>
  <c r="D271" i="86" s="1"/>
  <c r="D272" i="86" s="1"/>
  <c r="D273" i="86" s="1"/>
  <c r="D274" i="86" s="1"/>
  <c r="D275" i="86" s="1"/>
  <c r="D276" i="86" s="1"/>
  <c r="D277" i="86" s="1"/>
  <c r="D253" i="86"/>
  <c r="D254" i="86" s="1"/>
  <c r="D255" i="86" s="1"/>
  <c r="D256" i="86" s="1"/>
  <c r="D257" i="86" s="1"/>
  <c r="D258" i="86" s="1"/>
  <c r="D259" i="86" s="1"/>
  <c r="D260" i="86" s="1"/>
  <c r="D261" i="86" s="1"/>
  <c r="D262" i="86" s="1"/>
  <c r="D263" i="86" s="1"/>
  <c r="D264" i="86" s="1"/>
  <c r="D241" i="86"/>
  <c r="D242" i="86" s="1"/>
  <c r="D243" i="86" s="1"/>
  <c r="D244" i="86" s="1"/>
  <c r="D245" i="86" s="1"/>
  <c r="D246" i="86" s="1"/>
  <c r="D247" i="86" s="1"/>
  <c r="D248" i="86" s="1"/>
  <c r="D249" i="86" s="1"/>
  <c r="D250" i="86" s="1"/>
  <c r="D251" i="86" s="1"/>
  <c r="D240" i="86"/>
  <c r="D227" i="86"/>
  <c r="D228" i="86" s="1"/>
  <c r="D229" i="86" s="1"/>
  <c r="D230" i="86" s="1"/>
  <c r="D231" i="86" s="1"/>
  <c r="D232" i="86" s="1"/>
  <c r="D233" i="86" s="1"/>
  <c r="D234" i="86" s="1"/>
  <c r="D235" i="86" s="1"/>
  <c r="D236" i="86" s="1"/>
  <c r="D237" i="86" s="1"/>
  <c r="D238" i="86" s="1"/>
  <c r="H213" i="86"/>
  <c r="I213" i="86"/>
  <c r="J213" i="86"/>
  <c r="K213" i="86"/>
  <c r="L213" i="86"/>
  <c r="M213" i="86"/>
  <c r="N213" i="86"/>
  <c r="O213" i="86"/>
  <c r="P213" i="86"/>
  <c r="Q213" i="86"/>
  <c r="R213" i="86"/>
  <c r="S213" i="86"/>
  <c r="T213" i="86"/>
  <c r="U213" i="86"/>
  <c r="V213" i="86"/>
  <c r="W213" i="86"/>
  <c r="X213" i="86"/>
  <c r="Y213" i="86"/>
  <c r="Z213" i="86"/>
  <c r="AA213" i="86"/>
  <c r="AB213" i="86"/>
  <c r="AC213" i="86"/>
  <c r="AD213" i="86"/>
  <c r="AE213" i="86"/>
  <c r="AF213" i="86"/>
  <c r="AG213" i="86"/>
  <c r="AH213" i="86"/>
  <c r="H214" i="86"/>
  <c r="I214" i="86"/>
  <c r="J214" i="86"/>
  <c r="K214" i="86"/>
  <c r="L214" i="86"/>
  <c r="M214" i="86"/>
  <c r="N214" i="86"/>
  <c r="O214" i="86"/>
  <c r="P214" i="86"/>
  <c r="Q214" i="86"/>
  <c r="R214" i="86"/>
  <c r="S214" i="86"/>
  <c r="T214" i="86"/>
  <c r="U214" i="86"/>
  <c r="V214" i="86"/>
  <c r="W214" i="86"/>
  <c r="X214" i="86"/>
  <c r="Y214" i="86"/>
  <c r="Z214" i="86"/>
  <c r="AA214" i="86"/>
  <c r="AB214" i="86"/>
  <c r="AC214" i="86"/>
  <c r="AD214" i="86"/>
  <c r="AE214" i="86"/>
  <c r="AF214" i="86"/>
  <c r="AG214" i="86"/>
  <c r="AH214" i="86"/>
  <c r="H215" i="86"/>
  <c r="I215" i="86"/>
  <c r="J215" i="86"/>
  <c r="K215" i="86"/>
  <c r="L215" i="86"/>
  <c r="M215" i="86"/>
  <c r="N215" i="86"/>
  <c r="O215" i="86"/>
  <c r="P215" i="86"/>
  <c r="Q215" i="86"/>
  <c r="R215" i="86"/>
  <c r="S215" i="86"/>
  <c r="T215" i="86"/>
  <c r="U215" i="86"/>
  <c r="V215" i="86"/>
  <c r="W215" i="86"/>
  <c r="X215" i="86"/>
  <c r="Y215" i="86"/>
  <c r="Z215" i="86"/>
  <c r="AA215" i="86"/>
  <c r="AB215" i="86"/>
  <c r="AC215" i="86"/>
  <c r="AD215" i="86"/>
  <c r="AE215" i="86"/>
  <c r="AF215" i="86"/>
  <c r="AG215" i="86"/>
  <c r="AH215" i="86"/>
  <c r="H216" i="86"/>
  <c r="I216" i="86"/>
  <c r="J216" i="86"/>
  <c r="K216" i="86"/>
  <c r="L216" i="86"/>
  <c r="M216" i="86"/>
  <c r="N216" i="86"/>
  <c r="O216" i="86"/>
  <c r="P216" i="86"/>
  <c r="Q216" i="86"/>
  <c r="R216" i="86"/>
  <c r="S216" i="86"/>
  <c r="T216" i="86"/>
  <c r="U216" i="86"/>
  <c r="V216" i="86"/>
  <c r="W216" i="86"/>
  <c r="X216" i="86"/>
  <c r="Y216" i="86"/>
  <c r="Z216" i="86"/>
  <c r="AA216" i="86"/>
  <c r="AB216" i="86"/>
  <c r="AC216" i="86"/>
  <c r="AD216" i="86"/>
  <c r="AE216" i="86"/>
  <c r="AF216" i="86"/>
  <c r="AG216" i="86"/>
  <c r="AH216" i="86"/>
  <c r="H217" i="86"/>
  <c r="I217" i="86"/>
  <c r="J217" i="86"/>
  <c r="K217" i="86"/>
  <c r="L217" i="86"/>
  <c r="M217" i="86"/>
  <c r="N217" i="86"/>
  <c r="O217" i="86"/>
  <c r="P217" i="86"/>
  <c r="Q217" i="86"/>
  <c r="R217" i="86"/>
  <c r="S217" i="86"/>
  <c r="T217" i="86"/>
  <c r="U217" i="86"/>
  <c r="V217" i="86"/>
  <c r="W217" i="86"/>
  <c r="X217" i="86"/>
  <c r="Y217" i="86"/>
  <c r="Z217" i="86"/>
  <c r="AA217" i="86"/>
  <c r="AB217" i="86"/>
  <c r="AC217" i="86"/>
  <c r="AD217" i="86"/>
  <c r="AE217" i="86"/>
  <c r="AF217" i="86"/>
  <c r="AG217" i="86"/>
  <c r="AH217" i="86"/>
  <c r="H218" i="86"/>
  <c r="I218" i="86"/>
  <c r="J218" i="86"/>
  <c r="K218" i="86"/>
  <c r="L218" i="86"/>
  <c r="M218" i="86"/>
  <c r="N218" i="86"/>
  <c r="O218" i="86"/>
  <c r="P218" i="86"/>
  <c r="Q218" i="86"/>
  <c r="R218" i="86"/>
  <c r="S218" i="86"/>
  <c r="T218" i="86"/>
  <c r="U218" i="86"/>
  <c r="V218" i="86"/>
  <c r="W218" i="86"/>
  <c r="X218" i="86"/>
  <c r="Y218" i="86"/>
  <c r="Z218" i="86"/>
  <c r="AA218" i="86"/>
  <c r="AB218" i="86"/>
  <c r="AC218" i="86"/>
  <c r="AD218" i="86"/>
  <c r="AE218" i="86"/>
  <c r="AF218" i="86"/>
  <c r="AG218" i="86"/>
  <c r="AH218" i="86"/>
  <c r="H219" i="86"/>
  <c r="I219" i="86"/>
  <c r="J219" i="86"/>
  <c r="K219" i="86"/>
  <c r="L219" i="86"/>
  <c r="M219" i="86"/>
  <c r="N219" i="86"/>
  <c r="O219" i="86"/>
  <c r="P219" i="86"/>
  <c r="Q219" i="86"/>
  <c r="R219" i="86"/>
  <c r="S219" i="86"/>
  <c r="T219" i="86"/>
  <c r="U219" i="86"/>
  <c r="V219" i="86"/>
  <c r="W219" i="86"/>
  <c r="X219" i="86"/>
  <c r="Y219" i="86"/>
  <c r="Z219" i="86"/>
  <c r="AA219" i="86"/>
  <c r="AB219" i="86"/>
  <c r="AC219" i="86"/>
  <c r="AD219" i="86"/>
  <c r="AE219" i="86"/>
  <c r="AF219" i="86"/>
  <c r="AG219" i="86"/>
  <c r="AH219" i="86"/>
  <c r="H220" i="86"/>
  <c r="I220" i="86"/>
  <c r="J220" i="86"/>
  <c r="K220" i="86"/>
  <c r="L220" i="86"/>
  <c r="M220" i="86"/>
  <c r="N220" i="86"/>
  <c r="O220" i="86"/>
  <c r="P220" i="86"/>
  <c r="Q220" i="86"/>
  <c r="R220" i="86"/>
  <c r="S220" i="86"/>
  <c r="T220" i="86"/>
  <c r="U220" i="86"/>
  <c r="V220" i="86"/>
  <c r="W220" i="86"/>
  <c r="X220" i="86"/>
  <c r="Y220" i="86"/>
  <c r="Z220" i="86"/>
  <c r="AA220" i="86"/>
  <c r="AB220" i="86"/>
  <c r="AC220" i="86"/>
  <c r="AD220" i="86"/>
  <c r="AE220" i="86"/>
  <c r="AF220" i="86"/>
  <c r="AG220" i="86"/>
  <c r="AH220" i="86"/>
  <c r="H221" i="86"/>
  <c r="I221" i="86"/>
  <c r="J221" i="86"/>
  <c r="K221" i="86"/>
  <c r="L221" i="86"/>
  <c r="M221" i="86"/>
  <c r="N221" i="86"/>
  <c r="O221" i="86"/>
  <c r="P221" i="86"/>
  <c r="Q221" i="86"/>
  <c r="R221" i="86"/>
  <c r="S221" i="86"/>
  <c r="T221" i="86"/>
  <c r="U221" i="86"/>
  <c r="V221" i="86"/>
  <c r="W221" i="86"/>
  <c r="X221" i="86"/>
  <c r="Y221" i="86"/>
  <c r="Z221" i="86"/>
  <c r="AA221" i="86"/>
  <c r="AB221" i="86"/>
  <c r="AC221" i="86"/>
  <c r="AD221" i="86"/>
  <c r="AE221" i="86"/>
  <c r="AF221" i="86"/>
  <c r="AG221" i="86"/>
  <c r="AH221" i="86"/>
  <c r="H222" i="86"/>
  <c r="I222" i="86"/>
  <c r="J222" i="86"/>
  <c r="K222" i="86"/>
  <c r="L222" i="86"/>
  <c r="M222" i="86"/>
  <c r="N222" i="86"/>
  <c r="O222" i="86"/>
  <c r="P222" i="86"/>
  <c r="Q222" i="86"/>
  <c r="R222" i="86"/>
  <c r="S222" i="86"/>
  <c r="T222" i="86"/>
  <c r="U222" i="86"/>
  <c r="V222" i="86"/>
  <c r="W222" i="86"/>
  <c r="X222" i="86"/>
  <c r="Y222" i="86"/>
  <c r="Z222" i="86"/>
  <c r="AA222" i="86"/>
  <c r="AB222" i="86"/>
  <c r="AC222" i="86"/>
  <c r="AD222" i="86"/>
  <c r="AE222" i="86"/>
  <c r="AF222" i="86"/>
  <c r="AG222" i="86"/>
  <c r="AH222" i="86"/>
  <c r="H223" i="86"/>
  <c r="I223" i="86"/>
  <c r="J223" i="86"/>
  <c r="K223" i="86"/>
  <c r="L223" i="86"/>
  <c r="M223" i="86"/>
  <c r="N223" i="86"/>
  <c r="O223" i="86"/>
  <c r="P223" i="86"/>
  <c r="Q223" i="86"/>
  <c r="R223" i="86"/>
  <c r="S223" i="86"/>
  <c r="T223" i="86"/>
  <c r="U223" i="86"/>
  <c r="V223" i="86"/>
  <c r="W223" i="86"/>
  <c r="X223" i="86"/>
  <c r="Y223" i="86"/>
  <c r="Z223" i="86"/>
  <c r="AA223" i="86"/>
  <c r="AB223" i="86"/>
  <c r="AC223" i="86"/>
  <c r="AD223" i="86"/>
  <c r="AE223" i="86"/>
  <c r="AF223" i="86"/>
  <c r="AG223" i="86"/>
  <c r="AH223" i="86"/>
  <c r="H224" i="86"/>
  <c r="I224" i="86"/>
  <c r="J224" i="86"/>
  <c r="K224" i="86"/>
  <c r="L224" i="86"/>
  <c r="M224" i="86"/>
  <c r="N224" i="86"/>
  <c r="O224" i="86"/>
  <c r="P224" i="86"/>
  <c r="Q224" i="86"/>
  <c r="R224" i="86"/>
  <c r="S224" i="86"/>
  <c r="T224" i="86"/>
  <c r="U224" i="86"/>
  <c r="V224" i="86"/>
  <c r="W224" i="86"/>
  <c r="X224" i="86"/>
  <c r="Y224" i="86"/>
  <c r="Z224" i="86"/>
  <c r="AA224" i="86"/>
  <c r="AB224" i="86"/>
  <c r="AC224" i="86"/>
  <c r="AD224" i="86"/>
  <c r="AE224" i="86"/>
  <c r="AF224" i="86"/>
  <c r="AG224" i="86"/>
  <c r="AH224" i="86"/>
  <c r="H225" i="86"/>
  <c r="I225" i="86"/>
  <c r="J225" i="86"/>
  <c r="K225" i="86"/>
  <c r="L225" i="86"/>
  <c r="M225" i="86"/>
  <c r="N225" i="86"/>
  <c r="O225" i="86"/>
  <c r="P225" i="86"/>
  <c r="Q225" i="86"/>
  <c r="R225" i="86"/>
  <c r="S225" i="86"/>
  <c r="T225" i="86"/>
  <c r="U225" i="86"/>
  <c r="V225" i="86"/>
  <c r="W225" i="86"/>
  <c r="X225" i="86"/>
  <c r="Y225" i="86"/>
  <c r="Z225" i="86"/>
  <c r="AA225" i="86"/>
  <c r="AB225" i="86"/>
  <c r="AC225" i="86"/>
  <c r="AD225" i="86"/>
  <c r="AE225" i="86"/>
  <c r="AF225" i="86"/>
  <c r="AG225" i="86"/>
  <c r="AH225" i="86"/>
  <c r="H226" i="86"/>
  <c r="I226" i="86"/>
  <c r="J226" i="86"/>
  <c r="K226" i="86"/>
  <c r="L226" i="86"/>
  <c r="M226" i="86"/>
  <c r="N226" i="86"/>
  <c r="O226" i="86"/>
  <c r="P226" i="86"/>
  <c r="Q226" i="86"/>
  <c r="R226" i="86"/>
  <c r="S226" i="86"/>
  <c r="T226" i="86"/>
  <c r="U226" i="86"/>
  <c r="V226" i="86"/>
  <c r="W226" i="86"/>
  <c r="X226" i="86"/>
  <c r="Y226" i="86"/>
  <c r="Z226" i="86"/>
  <c r="AA226" i="86"/>
  <c r="AB226" i="86"/>
  <c r="AC226" i="86"/>
  <c r="AD226" i="86"/>
  <c r="AE226" i="86"/>
  <c r="AF226" i="86"/>
  <c r="AG226" i="86"/>
  <c r="AH226" i="86"/>
  <c r="H227" i="86"/>
  <c r="I227" i="86"/>
  <c r="J227" i="86"/>
  <c r="K227" i="86"/>
  <c r="L227" i="86"/>
  <c r="M227" i="86"/>
  <c r="N227" i="86"/>
  <c r="O227" i="86"/>
  <c r="P227" i="86"/>
  <c r="Q227" i="86"/>
  <c r="R227" i="86"/>
  <c r="S227" i="86"/>
  <c r="T227" i="86"/>
  <c r="U227" i="86"/>
  <c r="V227" i="86"/>
  <c r="W227" i="86"/>
  <c r="X227" i="86"/>
  <c r="Y227" i="86"/>
  <c r="Z227" i="86"/>
  <c r="AA227" i="86"/>
  <c r="AB227" i="86"/>
  <c r="AC227" i="86"/>
  <c r="AD227" i="86"/>
  <c r="AE227" i="86"/>
  <c r="AF227" i="86"/>
  <c r="AG227" i="86"/>
  <c r="AH227" i="86"/>
  <c r="H228" i="86"/>
  <c r="I228" i="86"/>
  <c r="J228" i="86"/>
  <c r="K228" i="86"/>
  <c r="L228" i="86"/>
  <c r="M228" i="86"/>
  <c r="N228" i="86"/>
  <c r="O228" i="86"/>
  <c r="P228" i="86"/>
  <c r="Q228" i="86"/>
  <c r="R228" i="86"/>
  <c r="S228" i="86"/>
  <c r="T228" i="86"/>
  <c r="U228" i="86"/>
  <c r="V228" i="86"/>
  <c r="W228" i="86"/>
  <c r="X228" i="86"/>
  <c r="Y228" i="86"/>
  <c r="Z228" i="86"/>
  <c r="AA228" i="86"/>
  <c r="AB228" i="86"/>
  <c r="AC228" i="86"/>
  <c r="AD228" i="86"/>
  <c r="AE228" i="86"/>
  <c r="AF228" i="86"/>
  <c r="AG228" i="86"/>
  <c r="AH228" i="86"/>
  <c r="H229" i="86"/>
  <c r="I229" i="86"/>
  <c r="J229" i="86"/>
  <c r="K229" i="86"/>
  <c r="L229" i="86"/>
  <c r="M229" i="86"/>
  <c r="N229" i="86"/>
  <c r="O229" i="86"/>
  <c r="P229" i="86"/>
  <c r="Q229" i="86"/>
  <c r="R229" i="86"/>
  <c r="S229" i="86"/>
  <c r="T229" i="86"/>
  <c r="U229" i="86"/>
  <c r="V229" i="86"/>
  <c r="W229" i="86"/>
  <c r="X229" i="86"/>
  <c r="Y229" i="86"/>
  <c r="Z229" i="86"/>
  <c r="AA229" i="86"/>
  <c r="AB229" i="86"/>
  <c r="AC229" i="86"/>
  <c r="AD229" i="86"/>
  <c r="AE229" i="86"/>
  <c r="AF229" i="86"/>
  <c r="AG229" i="86"/>
  <c r="AH229" i="86"/>
  <c r="H230" i="86"/>
  <c r="I230" i="86"/>
  <c r="J230" i="86"/>
  <c r="K230" i="86"/>
  <c r="L230" i="86"/>
  <c r="M230" i="86"/>
  <c r="N230" i="86"/>
  <c r="O230" i="86"/>
  <c r="P230" i="86"/>
  <c r="Q230" i="86"/>
  <c r="R230" i="86"/>
  <c r="S230" i="86"/>
  <c r="T230" i="86"/>
  <c r="U230" i="86"/>
  <c r="V230" i="86"/>
  <c r="W230" i="86"/>
  <c r="X230" i="86"/>
  <c r="Y230" i="86"/>
  <c r="Z230" i="86"/>
  <c r="AA230" i="86"/>
  <c r="AB230" i="86"/>
  <c r="AC230" i="86"/>
  <c r="AD230" i="86"/>
  <c r="AE230" i="86"/>
  <c r="AF230" i="86"/>
  <c r="AG230" i="86"/>
  <c r="AH230" i="86"/>
  <c r="H231" i="86"/>
  <c r="I231" i="86"/>
  <c r="J231" i="86"/>
  <c r="K231" i="86"/>
  <c r="L231" i="86"/>
  <c r="M231" i="86"/>
  <c r="N231" i="86"/>
  <c r="O231" i="86"/>
  <c r="P231" i="86"/>
  <c r="Q231" i="86"/>
  <c r="R231" i="86"/>
  <c r="S231" i="86"/>
  <c r="T231" i="86"/>
  <c r="U231" i="86"/>
  <c r="V231" i="86"/>
  <c r="W231" i="86"/>
  <c r="X231" i="86"/>
  <c r="Y231" i="86"/>
  <c r="Z231" i="86"/>
  <c r="AA231" i="86"/>
  <c r="AB231" i="86"/>
  <c r="AC231" i="86"/>
  <c r="AD231" i="86"/>
  <c r="AE231" i="86"/>
  <c r="AF231" i="86"/>
  <c r="AG231" i="86"/>
  <c r="AH231" i="86"/>
  <c r="H232" i="86"/>
  <c r="I232" i="86"/>
  <c r="J232" i="86"/>
  <c r="K232" i="86"/>
  <c r="L232" i="86"/>
  <c r="M232" i="86"/>
  <c r="N232" i="86"/>
  <c r="O232" i="86"/>
  <c r="P232" i="86"/>
  <c r="Q232" i="86"/>
  <c r="R232" i="86"/>
  <c r="S232" i="86"/>
  <c r="T232" i="86"/>
  <c r="U232" i="86"/>
  <c r="V232" i="86"/>
  <c r="W232" i="86"/>
  <c r="X232" i="86"/>
  <c r="Y232" i="86"/>
  <c r="Z232" i="86"/>
  <c r="AA232" i="86"/>
  <c r="AB232" i="86"/>
  <c r="AC232" i="86"/>
  <c r="AD232" i="86"/>
  <c r="AE232" i="86"/>
  <c r="AF232" i="86"/>
  <c r="AG232" i="86"/>
  <c r="AH232" i="86"/>
  <c r="H233" i="86"/>
  <c r="I233" i="86"/>
  <c r="J233" i="86"/>
  <c r="K233" i="86"/>
  <c r="L233" i="86"/>
  <c r="M233" i="86"/>
  <c r="N233" i="86"/>
  <c r="O233" i="86"/>
  <c r="P233" i="86"/>
  <c r="Q233" i="86"/>
  <c r="R233" i="86"/>
  <c r="S233" i="86"/>
  <c r="T233" i="86"/>
  <c r="U233" i="86"/>
  <c r="V233" i="86"/>
  <c r="W233" i="86"/>
  <c r="X233" i="86"/>
  <c r="Y233" i="86"/>
  <c r="Z233" i="86"/>
  <c r="AA233" i="86"/>
  <c r="AB233" i="86"/>
  <c r="AC233" i="86"/>
  <c r="AD233" i="86"/>
  <c r="AE233" i="86"/>
  <c r="AF233" i="86"/>
  <c r="AG233" i="86"/>
  <c r="AH233" i="86"/>
  <c r="H234" i="86"/>
  <c r="I234" i="86"/>
  <c r="J234" i="86"/>
  <c r="K234" i="86"/>
  <c r="L234" i="86"/>
  <c r="M234" i="86"/>
  <c r="N234" i="86"/>
  <c r="O234" i="86"/>
  <c r="P234" i="86"/>
  <c r="Q234" i="86"/>
  <c r="R234" i="86"/>
  <c r="S234" i="86"/>
  <c r="T234" i="86"/>
  <c r="U234" i="86"/>
  <c r="V234" i="86"/>
  <c r="W234" i="86"/>
  <c r="X234" i="86"/>
  <c r="Y234" i="86"/>
  <c r="Z234" i="86"/>
  <c r="AA234" i="86"/>
  <c r="AB234" i="86"/>
  <c r="AC234" i="86"/>
  <c r="AD234" i="86"/>
  <c r="AE234" i="86"/>
  <c r="AF234" i="86"/>
  <c r="AG234" i="86"/>
  <c r="AH234" i="86"/>
  <c r="H235" i="86"/>
  <c r="I235" i="86"/>
  <c r="J235" i="86"/>
  <c r="K235" i="86"/>
  <c r="L235" i="86"/>
  <c r="M235" i="86"/>
  <c r="N235" i="86"/>
  <c r="O235" i="86"/>
  <c r="P235" i="86"/>
  <c r="Q235" i="86"/>
  <c r="R235" i="86"/>
  <c r="S235" i="86"/>
  <c r="T235" i="86"/>
  <c r="U235" i="86"/>
  <c r="V235" i="86"/>
  <c r="W235" i="86"/>
  <c r="X235" i="86"/>
  <c r="Y235" i="86"/>
  <c r="Z235" i="86"/>
  <c r="AA235" i="86"/>
  <c r="AB235" i="86"/>
  <c r="AC235" i="86"/>
  <c r="AD235" i="86"/>
  <c r="AE235" i="86"/>
  <c r="AF235" i="86"/>
  <c r="AG235" i="86"/>
  <c r="AH235" i="86"/>
  <c r="H236" i="86"/>
  <c r="I236" i="86"/>
  <c r="J236" i="86"/>
  <c r="K236" i="86"/>
  <c r="L236" i="86"/>
  <c r="M236" i="86"/>
  <c r="N236" i="86"/>
  <c r="O236" i="86"/>
  <c r="P236" i="86"/>
  <c r="Q236" i="86"/>
  <c r="R236" i="86"/>
  <c r="S236" i="86"/>
  <c r="T236" i="86"/>
  <c r="U236" i="86"/>
  <c r="V236" i="86"/>
  <c r="W236" i="86"/>
  <c r="X236" i="86"/>
  <c r="Y236" i="86"/>
  <c r="Z236" i="86"/>
  <c r="AA236" i="86"/>
  <c r="AB236" i="86"/>
  <c r="AC236" i="86"/>
  <c r="AD236" i="86"/>
  <c r="AE236" i="86"/>
  <c r="AF236" i="86"/>
  <c r="AG236" i="86"/>
  <c r="AH236" i="86"/>
  <c r="H237" i="86"/>
  <c r="I237" i="86"/>
  <c r="J237" i="86"/>
  <c r="K237" i="86"/>
  <c r="L237" i="86"/>
  <c r="M237" i="86"/>
  <c r="N237" i="86"/>
  <c r="O237" i="86"/>
  <c r="P237" i="86"/>
  <c r="Q237" i="86"/>
  <c r="R237" i="86"/>
  <c r="S237" i="86"/>
  <c r="T237" i="86"/>
  <c r="U237" i="86"/>
  <c r="V237" i="86"/>
  <c r="W237" i="86"/>
  <c r="X237" i="86"/>
  <c r="Y237" i="86"/>
  <c r="Z237" i="86"/>
  <c r="AA237" i="86"/>
  <c r="AB237" i="86"/>
  <c r="AC237" i="86"/>
  <c r="AD237" i="86"/>
  <c r="AE237" i="86"/>
  <c r="AF237" i="86"/>
  <c r="AG237" i="86"/>
  <c r="AH237" i="86"/>
  <c r="H238" i="86"/>
  <c r="I238" i="86"/>
  <c r="J238" i="86"/>
  <c r="K238" i="86"/>
  <c r="L238" i="86"/>
  <c r="M238" i="86"/>
  <c r="N238" i="86"/>
  <c r="O238" i="86"/>
  <c r="P238" i="86"/>
  <c r="Q238" i="86"/>
  <c r="R238" i="86"/>
  <c r="S238" i="86"/>
  <c r="T238" i="86"/>
  <c r="U238" i="86"/>
  <c r="V238" i="86"/>
  <c r="W238" i="86"/>
  <c r="X238" i="86"/>
  <c r="Y238" i="86"/>
  <c r="Z238" i="86"/>
  <c r="AA238" i="86"/>
  <c r="AB238" i="86"/>
  <c r="AC238" i="86"/>
  <c r="AD238" i="86"/>
  <c r="AE238" i="86"/>
  <c r="AF238" i="86"/>
  <c r="AG238" i="86"/>
  <c r="AH238" i="86"/>
  <c r="H239" i="86"/>
  <c r="I239" i="86"/>
  <c r="J239" i="86"/>
  <c r="K239" i="86"/>
  <c r="L239" i="86"/>
  <c r="M239" i="86"/>
  <c r="N239" i="86"/>
  <c r="O239" i="86"/>
  <c r="P239" i="86"/>
  <c r="Q239" i="86"/>
  <c r="R239" i="86"/>
  <c r="S239" i="86"/>
  <c r="T239" i="86"/>
  <c r="U239" i="86"/>
  <c r="V239" i="86"/>
  <c r="W239" i="86"/>
  <c r="X239" i="86"/>
  <c r="Y239" i="86"/>
  <c r="Z239" i="86"/>
  <c r="AA239" i="86"/>
  <c r="AB239" i="86"/>
  <c r="AC239" i="86"/>
  <c r="AD239" i="86"/>
  <c r="AE239" i="86"/>
  <c r="AF239" i="86"/>
  <c r="AG239" i="86"/>
  <c r="AH239" i="86"/>
  <c r="H240" i="86"/>
  <c r="I240" i="86"/>
  <c r="J240" i="86"/>
  <c r="K240" i="86"/>
  <c r="L240" i="86"/>
  <c r="M240" i="86"/>
  <c r="N240" i="86"/>
  <c r="O240" i="86"/>
  <c r="P240" i="86"/>
  <c r="Q240" i="86"/>
  <c r="R240" i="86"/>
  <c r="S240" i="86"/>
  <c r="T240" i="86"/>
  <c r="U240" i="86"/>
  <c r="V240" i="86"/>
  <c r="W240" i="86"/>
  <c r="X240" i="86"/>
  <c r="Y240" i="86"/>
  <c r="Z240" i="86"/>
  <c r="AA240" i="86"/>
  <c r="AB240" i="86"/>
  <c r="AC240" i="86"/>
  <c r="AD240" i="86"/>
  <c r="AE240" i="86"/>
  <c r="AF240" i="86"/>
  <c r="AG240" i="86"/>
  <c r="AH240" i="86"/>
  <c r="H241" i="86"/>
  <c r="I241" i="86"/>
  <c r="J241" i="86"/>
  <c r="K241" i="86"/>
  <c r="L241" i="86"/>
  <c r="M241" i="86"/>
  <c r="N241" i="86"/>
  <c r="O241" i="86"/>
  <c r="P241" i="86"/>
  <c r="Q241" i="86"/>
  <c r="R241" i="86"/>
  <c r="S241" i="86"/>
  <c r="T241" i="86"/>
  <c r="U241" i="86"/>
  <c r="V241" i="86"/>
  <c r="W241" i="86"/>
  <c r="X241" i="86"/>
  <c r="Y241" i="86"/>
  <c r="Z241" i="86"/>
  <c r="AA241" i="86"/>
  <c r="AB241" i="86"/>
  <c r="AC241" i="86"/>
  <c r="AD241" i="86"/>
  <c r="AE241" i="86"/>
  <c r="AF241" i="86"/>
  <c r="AG241" i="86"/>
  <c r="AH241" i="86"/>
  <c r="H242" i="86"/>
  <c r="I242" i="86"/>
  <c r="J242" i="86"/>
  <c r="K242" i="86"/>
  <c r="L242" i="86"/>
  <c r="M242" i="86"/>
  <c r="N242" i="86"/>
  <c r="O242" i="86"/>
  <c r="P242" i="86"/>
  <c r="Q242" i="86"/>
  <c r="R242" i="86"/>
  <c r="S242" i="86"/>
  <c r="T242" i="86"/>
  <c r="U242" i="86"/>
  <c r="V242" i="86"/>
  <c r="W242" i="86"/>
  <c r="X242" i="86"/>
  <c r="Y242" i="86"/>
  <c r="Z242" i="86"/>
  <c r="AA242" i="86"/>
  <c r="AB242" i="86"/>
  <c r="AC242" i="86"/>
  <c r="AD242" i="86"/>
  <c r="AE242" i="86"/>
  <c r="AF242" i="86"/>
  <c r="AG242" i="86"/>
  <c r="AH242" i="86"/>
  <c r="H243" i="86"/>
  <c r="I243" i="86"/>
  <c r="J243" i="86"/>
  <c r="K243" i="86"/>
  <c r="L243" i="86"/>
  <c r="M243" i="86"/>
  <c r="N243" i="86"/>
  <c r="O243" i="86"/>
  <c r="P243" i="86"/>
  <c r="Q243" i="86"/>
  <c r="R243" i="86"/>
  <c r="S243" i="86"/>
  <c r="T243" i="86"/>
  <c r="U243" i="86"/>
  <c r="V243" i="86"/>
  <c r="W243" i="86"/>
  <c r="X243" i="86"/>
  <c r="Y243" i="86"/>
  <c r="Z243" i="86"/>
  <c r="AA243" i="86"/>
  <c r="AB243" i="86"/>
  <c r="AC243" i="86"/>
  <c r="AD243" i="86"/>
  <c r="AE243" i="86"/>
  <c r="AF243" i="86"/>
  <c r="AG243" i="86"/>
  <c r="AH243" i="86"/>
  <c r="H244" i="86"/>
  <c r="I244" i="86"/>
  <c r="J244" i="86"/>
  <c r="K244" i="86"/>
  <c r="L244" i="86"/>
  <c r="M244" i="86"/>
  <c r="N244" i="86"/>
  <c r="O244" i="86"/>
  <c r="P244" i="86"/>
  <c r="Q244" i="86"/>
  <c r="R244" i="86"/>
  <c r="S244" i="86"/>
  <c r="T244" i="86"/>
  <c r="U244" i="86"/>
  <c r="V244" i="86"/>
  <c r="W244" i="86"/>
  <c r="X244" i="86"/>
  <c r="Y244" i="86"/>
  <c r="Z244" i="86"/>
  <c r="AA244" i="86"/>
  <c r="AB244" i="86"/>
  <c r="AC244" i="86"/>
  <c r="AD244" i="86"/>
  <c r="AE244" i="86"/>
  <c r="AF244" i="86"/>
  <c r="AG244" i="86"/>
  <c r="AH244" i="86"/>
  <c r="H245" i="86"/>
  <c r="I245" i="86"/>
  <c r="J245" i="86"/>
  <c r="K245" i="86"/>
  <c r="L245" i="86"/>
  <c r="M245" i="86"/>
  <c r="N245" i="86"/>
  <c r="O245" i="86"/>
  <c r="P245" i="86"/>
  <c r="Q245" i="86"/>
  <c r="R245" i="86"/>
  <c r="S245" i="86"/>
  <c r="T245" i="86"/>
  <c r="U245" i="86"/>
  <c r="V245" i="86"/>
  <c r="W245" i="86"/>
  <c r="X245" i="86"/>
  <c r="Y245" i="86"/>
  <c r="Z245" i="86"/>
  <c r="AA245" i="86"/>
  <c r="AB245" i="86"/>
  <c r="AC245" i="86"/>
  <c r="AD245" i="86"/>
  <c r="AE245" i="86"/>
  <c r="AF245" i="86"/>
  <c r="AG245" i="86"/>
  <c r="AH245" i="86"/>
  <c r="H246" i="86"/>
  <c r="I246" i="86"/>
  <c r="J246" i="86"/>
  <c r="K246" i="86"/>
  <c r="L246" i="86"/>
  <c r="M246" i="86"/>
  <c r="N246" i="86"/>
  <c r="O246" i="86"/>
  <c r="P246" i="86"/>
  <c r="Q246" i="86"/>
  <c r="R246" i="86"/>
  <c r="S246" i="86"/>
  <c r="T246" i="86"/>
  <c r="U246" i="86"/>
  <c r="V246" i="86"/>
  <c r="W246" i="86"/>
  <c r="X246" i="86"/>
  <c r="Y246" i="86"/>
  <c r="Z246" i="86"/>
  <c r="AA246" i="86"/>
  <c r="AB246" i="86"/>
  <c r="AC246" i="86"/>
  <c r="AD246" i="86"/>
  <c r="AE246" i="86"/>
  <c r="AF246" i="86"/>
  <c r="AG246" i="86"/>
  <c r="AH246" i="86"/>
  <c r="H247" i="86"/>
  <c r="I247" i="86"/>
  <c r="J247" i="86"/>
  <c r="K247" i="86"/>
  <c r="L247" i="86"/>
  <c r="M247" i="86"/>
  <c r="N247" i="86"/>
  <c r="O247" i="86"/>
  <c r="P247" i="86"/>
  <c r="Q247" i="86"/>
  <c r="R247" i="86"/>
  <c r="S247" i="86"/>
  <c r="T247" i="86"/>
  <c r="U247" i="86"/>
  <c r="V247" i="86"/>
  <c r="W247" i="86"/>
  <c r="X247" i="86"/>
  <c r="Y247" i="86"/>
  <c r="Z247" i="86"/>
  <c r="AA247" i="86"/>
  <c r="AB247" i="86"/>
  <c r="AC247" i="86"/>
  <c r="AD247" i="86"/>
  <c r="AE247" i="86"/>
  <c r="AF247" i="86"/>
  <c r="AG247" i="86"/>
  <c r="AH247" i="86"/>
  <c r="H248" i="86"/>
  <c r="I248" i="86"/>
  <c r="J248" i="86"/>
  <c r="K248" i="86"/>
  <c r="L248" i="86"/>
  <c r="M248" i="86"/>
  <c r="N248" i="86"/>
  <c r="O248" i="86"/>
  <c r="P248" i="86"/>
  <c r="Q248" i="86"/>
  <c r="R248" i="86"/>
  <c r="S248" i="86"/>
  <c r="T248" i="86"/>
  <c r="U248" i="86"/>
  <c r="V248" i="86"/>
  <c r="W248" i="86"/>
  <c r="X248" i="86"/>
  <c r="Y248" i="86"/>
  <c r="Z248" i="86"/>
  <c r="AA248" i="86"/>
  <c r="AB248" i="86"/>
  <c r="AC248" i="86"/>
  <c r="AD248" i="86"/>
  <c r="AE248" i="86"/>
  <c r="AF248" i="86"/>
  <c r="AG248" i="86"/>
  <c r="AH248" i="86"/>
  <c r="H249" i="86"/>
  <c r="I249" i="86"/>
  <c r="J249" i="86"/>
  <c r="K249" i="86"/>
  <c r="L249" i="86"/>
  <c r="M249" i="86"/>
  <c r="N249" i="86"/>
  <c r="O249" i="86"/>
  <c r="P249" i="86"/>
  <c r="Q249" i="86"/>
  <c r="R249" i="86"/>
  <c r="S249" i="86"/>
  <c r="T249" i="86"/>
  <c r="U249" i="86"/>
  <c r="V249" i="86"/>
  <c r="W249" i="86"/>
  <c r="X249" i="86"/>
  <c r="Y249" i="86"/>
  <c r="Z249" i="86"/>
  <c r="AA249" i="86"/>
  <c r="AB249" i="86"/>
  <c r="AC249" i="86"/>
  <c r="AD249" i="86"/>
  <c r="AE249" i="86"/>
  <c r="AF249" i="86"/>
  <c r="AG249" i="86"/>
  <c r="AH249" i="86"/>
  <c r="H250" i="86"/>
  <c r="I250" i="86"/>
  <c r="J250" i="86"/>
  <c r="K250" i="86"/>
  <c r="L250" i="86"/>
  <c r="M250" i="86"/>
  <c r="N250" i="86"/>
  <c r="O250" i="86"/>
  <c r="P250" i="86"/>
  <c r="Q250" i="86"/>
  <c r="R250" i="86"/>
  <c r="S250" i="86"/>
  <c r="T250" i="86"/>
  <c r="U250" i="86"/>
  <c r="V250" i="86"/>
  <c r="W250" i="86"/>
  <c r="X250" i="86"/>
  <c r="Y250" i="86"/>
  <c r="Z250" i="86"/>
  <c r="AA250" i="86"/>
  <c r="AB250" i="86"/>
  <c r="AC250" i="86"/>
  <c r="AD250" i="86"/>
  <c r="AE250" i="86"/>
  <c r="AF250" i="86"/>
  <c r="AG250" i="86"/>
  <c r="AH250" i="86"/>
  <c r="H251" i="86"/>
  <c r="I251" i="86"/>
  <c r="J251" i="86"/>
  <c r="K251" i="86"/>
  <c r="L251" i="86"/>
  <c r="M251" i="86"/>
  <c r="N251" i="86"/>
  <c r="O251" i="86"/>
  <c r="P251" i="86"/>
  <c r="Q251" i="86"/>
  <c r="R251" i="86"/>
  <c r="S251" i="86"/>
  <c r="T251" i="86"/>
  <c r="U251" i="86"/>
  <c r="V251" i="86"/>
  <c r="W251" i="86"/>
  <c r="X251" i="86"/>
  <c r="Y251" i="86"/>
  <c r="Z251" i="86"/>
  <c r="AA251" i="86"/>
  <c r="AB251" i="86"/>
  <c r="AC251" i="86"/>
  <c r="AD251" i="86"/>
  <c r="AE251" i="86"/>
  <c r="AF251" i="86"/>
  <c r="AG251" i="86"/>
  <c r="AH251" i="86"/>
  <c r="H252" i="86"/>
  <c r="I252" i="86"/>
  <c r="J252" i="86"/>
  <c r="K252" i="86"/>
  <c r="L252" i="86"/>
  <c r="M252" i="86"/>
  <c r="N252" i="86"/>
  <c r="O252" i="86"/>
  <c r="P252" i="86"/>
  <c r="Q252" i="86"/>
  <c r="R252" i="86"/>
  <c r="S252" i="86"/>
  <c r="T252" i="86"/>
  <c r="U252" i="86"/>
  <c r="V252" i="86"/>
  <c r="W252" i="86"/>
  <c r="X252" i="86"/>
  <c r="Y252" i="86"/>
  <c r="Z252" i="86"/>
  <c r="AA252" i="86"/>
  <c r="AB252" i="86"/>
  <c r="AC252" i="86"/>
  <c r="AD252" i="86"/>
  <c r="AE252" i="86"/>
  <c r="AF252" i="86"/>
  <c r="AG252" i="86"/>
  <c r="AH252" i="86"/>
  <c r="H253" i="86"/>
  <c r="I253" i="86"/>
  <c r="J253" i="86"/>
  <c r="K253" i="86"/>
  <c r="L253" i="86"/>
  <c r="M253" i="86"/>
  <c r="N253" i="86"/>
  <c r="O253" i="86"/>
  <c r="P253" i="86"/>
  <c r="Q253" i="86"/>
  <c r="R253" i="86"/>
  <c r="S253" i="86"/>
  <c r="T253" i="86"/>
  <c r="U253" i="86"/>
  <c r="V253" i="86"/>
  <c r="W253" i="86"/>
  <c r="X253" i="86"/>
  <c r="Y253" i="86"/>
  <c r="Z253" i="86"/>
  <c r="AA253" i="86"/>
  <c r="AB253" i="86"/>
  <c r="AC253" i="86"/>
  <c r="AD253" i="86"/>
  <c r="AE253" i="86"/>
  <c r="AF253" i="86"/>
  <c r="AG253" i="86"/>
  <c r="AH253" i="86"/>
  <c r="H254" i="86"/>
  <c r="I254" i="86"/>
  <c r="J254" i="86"/>
  <c r="K254" i="86"/>
  <c r="L254" i="86"/>
  <c r="M254" i="86"/>
  <c r="N254" i="86"/>
  <c r="O254" i="86"/>
  <c r="P254" i="86"/>
  <c r="Q254" i="86"/>
  <c r="R254" i="86"/>
  <c r="S254" i="86"/>
  <c r="T254" i="86"/>
  <c r="U254" i="86"/>
  <c r="V254" i="86"/>
  <c r="W254" i="86"/>
  <c r="X254" i="86"/>
  <c r="Y254" i="86"/>
  <c r="Z254" i="86"/>
  <c r="AA254" i="86"/>
  <c r="AB254" i="86"/>
  <c r="AC254" i="86"/>
  <c r="AD254" i="86"/>
  <c r="AE254" i="86"/>
  <c r="AF254" i="86"/>
  <c r="AG254" i="86"/>
  <c r="AH254" i="86"/>
  <c r="H255" i="86"/>
  <c r="I255" i="86"/>
  <c r="J255" i="86"/>
  <c r="K255" i="86"/>
  <c r="L255" i="86"/>
  <c r="M255" i="86"/>
  <c r="N255" i="86"/>
  <c r="O255" i="86"/>
  <c r="P255" i="86"/>
  <c r="Q255" i="86"/>
  <c r="R255" i="86"/>
  <c r="S255" i="86"/>
  <c r="T255" i="86"/>
  <c r="U255" i="86"/>
  <c r="V255" i="86"/>
  <c r="W255" i="86"/>
  <c r="X255" i="86"/>
  <c r="Y255" i="86"/>
  <c r="Z255" i="86"/>
  <c r="AA255" i="86"/>
  <c r="AB255" i="86"/>
  <c r="AC255" i="86"/>
  <c r="AD255" i="86"/>
  <c r="AE255" i="86"/>
  <c r="AF255" i="86"/>
  <c r="AG255" i="86"/>
  <c r="AH255" i="86"/>
  <c r="H256" i="86"/>
  <c r="I256" i="86"/>
  <c r="J256" i="86"/>
  <c r="K256" i="86"/>
  <c r="L256" i="86"/>
  <c r="M256" i="86"/>
  <c r="N256" i="86"/>
  <c r="O256" i="86"/>
  <c r="P256" i="86"/>
  <c r="Q256" i="86"/>
  <c r="R256" i="86"/>
  <c r="S256" i="86"/>
  <c r="T256" i="86"/>
  <c r="U256" i="86"/>
  <c r="V256" i="86"/>
  <c r="W256" i="86"/>
  <c r="X256" i="86"/>
  <c r="Y256" i="86"/>
  <c r="Z256" i="86"/>
  <c r="AA256" i="86"/>
  <c r="AB256" i="86"/>
  <c r="AC256" i="86"/>
  <c r="AD256" i="86"/>
  <c r="AE256" i="86"/>
  <c r="AF256" i="86"/>
  <c r="AG256" i="86"/>
  <c r="AH256" i="86"/>
  <c r="H257" i="86"/>
  <c r="I257" i="86"/>
  <c r="J257" i="86"/>
  <c r="K257" i="86"/>
  <c r="L257" i="86"/>
  <c r="M257" i="86"/>
  <c r="N257" i="86"/>
  <c r="O257" i="86"/>
  <c r="P257" i="86"/>
  <c r="Q257" i="86"/>
  <c r="R257" i="86"/>
  <c r="S257" i="86"/>
  <c r="T257" i="86"/>
  <c r="U257" i="86"/>
  <c r="V257" i="86"/>
  <c r="W257" i="86"/>
  <c r="X257" i="86"/>
  <c r="Y257" i="86"/>
  <c r="Z257" i="86"/>
  <c r="AA257" i="86"/>
  <c r="AB257" i="86"/>
  <c r="AC257" i="86"/>
  <c r="AD257" i="86"/>
  <c r="AE257" i="86"/>
  <c r="AF257" i="86"/>
  <c r="AG257" i="86"/>
  <c r="AH257" i="86"/>
  <c r="H258" i="86"/>
  <c r="I258" i="86"/>
  <c r="J258" i="86"/>
  <c r="K258" i="86"/>
  <c r="L258" i="86"/>
  <c r="M258" i="86"/>
  <c r="N258" i="86"/>
  <c r="O258" i="86"/>
  <c r="P258" i="86"/>
  <c r="Q258" i="86"/>
  <c r="R258" i="86"/>
  <c r="S258" i="86"/>
  <c r="T258" i="86"/>
  <c r="U258" i="86"/>
  <c r="V258" i="86"/>
  <c r="W258" i="86"/>
  <c r="X258" i="86"/>
  <c r="Y258" i="86"/>
  <c r="Z258" i="86"/>
  <c r="AA258" i="86"/>
  <c r="AB258" i="86"/>
  <c r="AC258" i="86"/>
  <c r="AD258" i="86"/>
  <c r="AE258" i="86"/>
  <c r="AF258" i="86"/>
  <c r="AG258" i="86"/>
  <c r="AH258" i="86"/>
  <c r="H259" i="86"/>
  <c r="I259" i="86"/>
  <c r="J259" i="86"/>
  <c r="K259" i="86"/>
  <c r="L259" i="86"/>
  <c r="M259" i="86"/>
  <c r="N259" i="86"/>
  <c r="O259" i="86"/>
  <c r="P259" i="86"/>
  <c r="Q259" i="86"/>
  <c r="R259" i="86"/>
  <c r="S259" i="86"/>
  <c r="T259" i="86"/>
  <c r="U259" i="86"/>
  <c r="V259" i="86"/>
  <c r="W259" i="86"/>
  <c r="X259" i="86"/>
  <c r="Y259" i="86"/>
  <c r="Z259" i="86"/>
  <c r="AA259" i="86"/>
  <c r="AB259" i="86"/>
  <c r="AC259" i="86"/>
  <c r="AD259" i="86"/>
  <c r="AE259" i="86"/>
  <c r="AF259" i="86"/>
  <c r="AG259" i="86"/>
  <c r="AH259" i="86"/>
  <c r="H260" i="86"/>
  <c r="I260" i="86"/>
  <c r="J260" i="86"/>
  <c r="K260" i="86"/>
  <c r="L260" i="86"/>
  <c r="M260" i="86"/>
  <c r="N260" i="86"/>
  <c r="O260" i="86"/>
  <c r="P260" i="86"/>
  <c r="Q260" i="86"/>
  <c r="R260" i="86"/>
  <c r="S260" i="86"/>
  <c r="T260" i="86"/>
  <c r="U260" i="86"/>
  <c r="V260" i="86"/>
  <c r="W260" i="86"/>
  <c r="X260" i="86"/>
  <c r="Y260" i="86"/>
  <c r="Z260" i="86"/>
  <c r="AA260" i="86"/>
  <c r="AB260" i="86"/>
  <c r="AC260" i="86"/>
  <c r="AD260" i="86"/>
  <c r="AE260" i="86"/>
  <c r="AF260" i="86"/>
  <c r="AG260" i="86"/>
  <c r="AH260" i="86"/>
  <c r="H261" i="86"/>
  <c r="I261" i="86"/>
  <c r="J261" i="86"/>
  <c r="K261" i="86"/>
  <c r="L261" i="86"/>
  <c r="M261" i="86"/>
  <c r="N261" i="86"/>
  <c r="O261" i="86"/>
  <c r="P261" i="86"/>
  <c r="Q261" i="86"/>
  <c r="R261" i="86"/>
  <c r="S261" i="86"/>
  <c r="T261" i="86"/>
  <c r="U261" i="86"/>
  <c r="V261" i="86"/>
  <c r="W261" i="86"/>
  <c r="X261" i="86"/>
  <c r="Y261" i="86"/>
  <c r="Z261" i="86"/>
  <c r="AA261" i="86"/>
  <c r="AB261" i="86"/>
  <c r="AC261" i="86"/>
  <c r="AD261" i="86"/>
  <c r="AE261" i="86"/>
  <c r="AF261" i="86"/>
  <c r="AG261" i="86"/>
  <c r="AH261" i="86"/>
  <c r="H262" i="86"/>
  <c r="I262" i="86"/>
  <c r="J262" i="86"/>
  <c r="K262" i="86"/>
  <c r="L262" i="86"/>
  <c r="M262" i="86"/>
  <c r="N262" i="86"/>
  <c r="O262" i="86"/>
  <c r="P262" i="86"/>
  <c r="Q262" i="86"/>
  <c r="R262" i="86"/>
  <c r="S262" i="86"/>
  <c r="T262" i="86"/>
  <c r="U262" i="86"/>
  <c r="V262" i="86"/>
  <c r="W262" i="86"/>
  <c r="X262" i="86"/>
  <c r="Y262" i="86"/>
  <c r="Z262" i="86"/>
  <c r="AA262" i="86"/>
  <c r="AB262" i="86"/>
  <c r="AC262" i="86"/>
  <c r="AD262" i="86"/>
  <c r="AE262" i="86"/>
  <c r="AF262" i="86"/>
  <c r="AG262" i="86"/>
  <c r="AH262" i="86"/>
  <c r="H263" i="86"/>
  <c r="I263" i="86"/>
  <c r="J263" i="86"/>
  <c r="K263" i="86"/>
  <c r="L263" i="86"/>
  <c r="M263" i="86"/>
  <c r="N263" i="86"/>
  <c r="O263" i="86"/>
  <c r="P263" i="86"/>
  <c r="Q263" i="86"/>
  <c r="R263" i="86"/>
  <c r="S263" i="86"/>
  <c r="T263" i="86"/>
  <c r="U263" i="86"/>
  <c r="V263" i="86"/>
  <c r="W263" i="86"/>
  <c r="X263" i="86"/>
  <c r="Y263" i="86"/>
  <c r="Z263" i="86"/>
  <c r="AA263" i="86"/>
  <c r="AB263" i="86"/>
  <c r="AC263" i="86"/>
  <c r="AD263" i="86"/>
  <c r="AE263" i="86"/>
  <c r="AF263" i="86"/>
  <c r="AG263" i="86"/>
  <c r="AH263" i="86"/>
  <c r="H264" i="86"/>
  <c r="I264" i="86"/>
  <c r="J264" i="86"/>
  <c r="K264" i="86"/>
  <c r="L264" i="86"/>
  <c r="M264" i="86"/>
  <c r="N264" i="86"/>
  <c r="O264" i="86"/>
  <c r="P264" i="86"/>
  <c r="Q264" i="86"/>
  <c r="R264" i="86"/>
  <c r="S264" i="86"/>
  <c r="T264" i="86"/>
  <c r="U264" i="86"/>
  <c r="V264" i="86"/>
  <c r="W264" i="86"/>
  <c r="X264" i="86"/>
  <c r="Y264" i="86"/>
  <c r="Z264" i="86"/>
  <c r="AA264" i="86"/>
  <c r="AB264" i="86"/>
  <c r="AC264" i="86"/>
  <c r="AD264" i="86"/>
  <c r="AE264" i="86"/>
  <c r="AF264" i="86"/>
  <c r="AG264" i="86"/>
  <c r="AH264" i="86"/>
  <c r="H265" i="86"/>
  <c r="I265" i="86"/>
  <c r="J265" i="86"/>
  <c r="K265" i="86"/>
  <c r="L265" i="86"/>
  <c r="M265" i="86"/>
  <c r="N265" i="86"/>
  <c r="O265" i="86"/>
  <c r="P265" i="86"/>
  <c r="Q265" i="86"/>
  <c r="R265" i="86"/>
  <c r="S265" i="86"/>
  <c r="T265" i="86"/>
  <c r="U265" i="86"/>
  <c r="V265" i="86"/>
  <c r="W265" i="86"/>
  <c r="X265" i="86"/>
  <c r="Y265" i="86"/>
  <c r="Z265" i="86"/>
  <c r="AA265" i="86"/>
  <c r="AB265" i="86"/>
  <c r="AC265" i="86"/>
  <c r="AD265" i="86"/>
  <c r="AE265" i="86"/>
  <c r="AF265" i="86"/>
  <c r="AG265" i="86"/>
  <c r="AH265" i="86"/>
  <c r="H266" i="86"/>
  <c r="I266" i="86"/>
  <c r="J266" i="86"/>
  <c r="K266" i="86"/>
  <c r="L266" i="86"/>
  <c r="M266" i="86"/>
  <c r="N266" i="86"/>
  <c r="O266" i="86"/>
  <c r="P266" i="86"/>
  <c r="Q266" i="86"/>
  <c r="R266" i="86"/>
  <c r="S266" i="86"/>
  <c r="T266" i="86"/>
  <c r="U266" i="86"/>
  <c r="V266" i="86"/>
  <c r="W266" i="86"/>
  <c r="X266" i="86"/>
  <c r="Y266" i="86"/>
  <c r="Z266" i="86"/>
  <c r="AA266" i="86"/>
  <c r="AB266" i="86"/>
  <c r="AC266" i="86"/>
  <c r="AD266" i="86"/>
  <c r="AE266" i="86"/>
  <c r="AF266" i="86"/>
  <c r="AG266" i="86"/>
  <c r="AH266" i="86"/>
  <c r="H267" i="86"/>
  <c r="I267" i="86"/>
  <c r="J267" i="86"/>
  <c r="K267" i="86"/>
  <c r="L267" i="86"/>
  <c r="M267" i="86"/>
  <c r="N267" i="86"/>
  <c r="O267" i="86"/>
  <c r="P267" i="86"/>
  <c r="Q267" i="86"/>
  <c r="R267" i="86"/>
  <c r="S267" i="86"/>
  <c r="T267" i="86"/>
  <c r="U267" i="86"/>
  <c r="V267" i="86"/>
  <c r="W267" i="86"/>
  <c r="X267" i="86"/>
  <c r="Y267" i="86"/>
  <c r="Z267" i="86"/>
  <c r="AA267" i="86"/>
  <c r="AB267" i="86"/>
  <c r="AC267" i="86"/>
  <c r="AD267" i="86"/>
  <c r="AE267" i="86"/>
  <c r="AF267" i="86"/>
  <c r="AG267" i="86"/>
  <c r="AH267" i="86"/>
  <c r="H268" i="86"/>
  <c r="I268" i="86"/>
  <c r="J268" i="86"/>
  <c r="K268" i="86"/>
  <c r="L268" i="86"/>
  <c r="M268" i="86"/>
  <c r="N268" i="86"/>
  <c r="O268" i="86"/>
  <c r="P268" i="86"/>
  <c r="Q268" i="86"/>
  <c r="R268" i="86"/>
  <c r="S268" i="86"/>
  <c r="T268" i="86"/>
  <c r="U268" i="86"/>
  <c r="V268" i="86"/>
  <c r="W268" i="86"/>
  <c r="X268" i="86"/>
  <c r="Y268" i="86"/>
  <c r="Z268" i="86"/>
  <c r="AA268" i="86"/>
  <c r="AB268" i="86"/>
  <c r="AC268" i="86"/>
  <c r="AD268" i="86"/>
  <c r="AE268" i="86"/>
  <c r="AF268" i="86"/>
  <c r="AG268" i="86"/>
  <c r="AH268" i="86"/>
  <c r="H269" i="86"/>
  <c r="I269" i="86"/>
  <c r="J269" i="86"/>
  <c r="K269" i="86"/>
  <c r="L269" i="86"/>
  <c r="M269" i="86"/>
  <c r="N269" i="86"/>
  <c r="O269" i="86"/>
  <c r="P269" i="86"/>
  <c r="Q269" i="86"/>
  <c r="R269" i="86"/>
  <c r="S269" i="86"/>
  <c r="T269" i="86"/>
  <c r="U269" i="86"/>
  <c r="V269" i="86"/>
  <c r="W269" i="86"/>
  <c r="X269" i="86"/>
  <c r="Y269" i="86"/>
  <c r="Z269" i="86"/>
  <c r="AA269" i="86"/>
  <c r="AB269" i="86"/>
  <c r="AC269" i="86"/>
  <c r="AD269" i="86"/>
  <c r="AE269" i="86"/>
  <c r="AF269" i="86"/>
  <c r="AG269" i="86"/>
  <c r="AH269" i="86"/>
  <c r="H270" i="86"/>
  <c r="I270" i="86"/>
  <c r="J270" i="86"/>
  <c r="K270" i="86"/>
  <c r="L270" i="86"/>
  <c r="M270" i="86"/>
  <c r="N270" i="86"/>
  <c r="O270" i="86"/>
  <c r="P270" i="86"/>
  <c r="Q270" i="86"/>
  <c r="R270" i="86"/>
  <c r="S270" i="86"/>
  <c r="T270" i="86"/>
  <c r="U270" i="86"/>
  <c r="V270" i="86"/>
  <c r="W270" i="86"/>
  <c r="X270" i="86"/>
  <c r="Y270" i="86"/>
  <c r="Z270" i="86"/>
  <c r="AA270" i="86"/>
  <c r="AB270" i="86"/>
  <c r="AC270" i="86"/>
  <c r="AD270" i="86"/>
  <c r="AE270" i="86"/>
  <c r="AF270" i="86"/>
  <c r="AG270" i="86"/>
  <c r="AH270" i="86"/>
  <c r="H271" i="86"/>
  <c r="I271" i="86"/>
  <c r="J271" i="86"/>
  <c r="K271" i="86"/>
  <c r="L271" i="86"/>
  <c r="M271" i="86"/>
  <c r="N271" i="86"/>
  <c r="O271" i="86"/>
  <c r="P271" i="86"/>
  <c r="Q271" i="86"/>
  <c r="R271" i="86"/>
  <c r="S271" i="86"/>
  <c r="T271" i="86"/>
  <c r="U271" i="86"/>
  <c r="V271" i="86"/>
  <c r="W271" i="86"/>
  <c r="X271" i="86"/>
  <c r="Y271" i="86"/>
  <c r="Z271" i="86"/>
  <c r="AA271" i="86"/>
  <c r="AB271" i="86"/>
  <c r="AC271" i="86"/>
  <c r="AD271" i="86"/>
  <c r="AE271" i="86"/>
  <c r="AF271" i="86"/>
  <c r="AG271" i="86"/>
  <c r="AH271" i="86"/>
  <c r="H272" i="86"/>
  <c r="I272" i="86"/>
  <c r="J272" i="86"/>
  <c r="K272" i="86"/>
  <c r="L272" i="86"/>
  <c r="M272" i="86"/>
  <c r="N272" i="86"/>
  <c r="O272" i="86"/>
  <c r="P272" i="86"/>
  <c r="Q272" i="86"/>
  <c r="R272" i="86"/>
  <c r="S272" i="86"/>
  <c r="T272" i="86"/>
  <c r="U272" i="86"/>
  <c r="V272" i="86"/>
  <c r="W272" i="86"/>
  <c r="X272" i="86"/>
  <c r="Y272" i="86"/>
  <c r="Z272" i="86"/>
  <c r="AA272" i="86"/>
  <c r="AB272" i="86"/>
  <c r="AC272" i="86"/>
  <c r="AD272" i="86"/>
  <c r="AE272" i="86"/>
  <c r="AF272" i="86"/>
  <c r="AG272" i="86"/>
  <c r="AH272" i="86"/>
  <c r="H273" i="86"/>
  <c r="I273" i="86"/>
  <c r="J273" i="86"/>
  <c r="K273" i="86"/>
  <c r="L273" i="86"/>
  <c r="M273" i="86"/>
  <c r="N273" i="86"/>
  <c r="O273" i="86"/>
  <c r="P273" i="86"/>
  <c r="Q273" i="86"/>
  <c r="R273" i="86"/>
  <c r="S273" i="86"/>
  <c r="T273" i="86"/>
  <c r="U273" i="86"/>
  <c r="V273" i="86"/>
  <c r="W273" i="86"/>
  <c r="X273" i="86"/>
  <c r="Y273" i="86"/>
  <c r="Z273" i="86"/>
  <c r="AA273" i="86"/>
  <c r="AB273" i="86"/>
  <c r="AC273" i="86"/>
  <c r="AD273" i="86"/>
  <c r="AE273" i="86"/>
  <c r="AF273" i="86"/>
  <c r="AG273" i="86"/>
  <c r="AH273" i="86"/>
  <c r="H274" i="86"/>
  <c r="I274" i="86"/>
  <c r="J274" i="86"/>
  <c r="K274" i="86"/>
  <c r="L274" i="86"/>
  <c r="M274" i="86"/>
  <c r="N274" i="86"/>
  <c r="O274" i="86"/>
  <c r="P274" i="86"/>
  <c r="Q274" i="86"/>
  <c r="R274" i="86"/>
  <c r="S274" i="86"/>
  <c r="T274" i="86"/>
  <c r="U274" i="86"/>
  <c r="V274" i="86"/>
  <c r="W274" i="86"/>
  <c r="X274" i="86"/>
  <c r="Y274" i="86"/>
  <c r="Z274" i="86"/>
  <c r="AA274" i="86"/>
  <c r="AB274" i="86"/>
  <c r="AC274" i="86"/>
  <c r="AD274" i="86"/>
  <c r="AE274" i="86"/>
  <c r="AF274" i="86"/>
  <c r="AG274" i="86"/>
  <c r="AH274" i="86"/>
  <c r="H275" i="86"/>
  <c r="I275" i="86"/>
  <c r="J275" i="86"/>
  <c r="K275" i="86"/>
  <c r="L275" i="86"/>
  <c r="M275" i="86"/>
  <c r="N275" i="86"/>
  <c r="O275" i="86"/>
  <c r="P275" i="86"/>
  <c r="Q275" i="86"/>
  <c r="R275" i="86"/>
  <c r="S275" i="86"/>
  <c r="T275" i="86"/>
  <c r="U275" i="86"/>
  <c r="V275" i="86"/>
  <c r="W275" i="86"/>
  <c r="X275" i="86"/>
  <c r="Y275" i="86"/>
  <c r="Z275" i="86"/>
  <c r="AA275" i="86"/>
  <c r="AB275" i="86"/>
  <c r="AC275" i="86"/>
  <c r="AD275" i="86"/>
  <c r="AE275" i="86"/>
  <c r="AF275" i="86"/>
  <c r="AG275" i="86"/>
  <c r="AH275" i="86"/>
  <c r="H276" i="86"/>
  <c r="I276" i="86"/>
  <c r="J276" i="86"/>
  <c r="K276" i="86"/>
  <c r="L276" i="86"/>
  <c r="M276" i="86"/>
  <c r="N276" i="86"/>
  <c r="O276" i="86"/>
  <c r="P276" i="86"/>
  <c r="Q276" i="86"/>
  <c r="R276" i="86"/>
  <c r="S276" i="86"/>
  <c r="T276" i="86"/>
  <c r="U276" i="86"/>
  <c r="V276" i="86"/>
  <c r="W276" i="86"/>
  <c r="X276" i="86"/>
  <c r="Y276" i="86"/>
  <c r="Z276" i="86"/>
  <c r="AA276" i="86"/>
  <c r="AB276" i="86"/>
  <c r="AC276" i="86"/>
  <c r="AD276" i="86"/>
  <c r="AE276" i="86"/>
  <c r="AF276" i="86"/>
  <c r="AG276" i="86"/>
  <c r="AH276" i="86"/>
  <c r="H277" i="86"/>
  <c r="I277" i="86"/>
  <c r="J277" i="86"/>
  <c r="K277" i="86"/>
  <c r="L277" i="86"/>
  <c r="M277" i="86"/>
  <c r="N277" i="86"/>
  <c r="O277" i="86"/>
  <c r="P277" i="86"/>
  <c r="Q277" i="86"/>
  <c r="R277" i="86"/>
  <c r="S277" i="86"/>
  <c r="T277" i="86"/>
  <c r="U277" i="86"/>
  <c r="V277" i="86"/>
  <c r="W277" i="86"/>
  <c r="X277" i="86"/>
  <c r="Y277" i="86"/>
  <c r="Z277" i="86"/>
  <c r="AA277" i="86"/>
  <c r="AB277" i="86"/>
  <c r="AC277" i="86"/>
  <c r="AD277" i="86"/>
  <c r="AE277" i="86"/>
  <c r="AF277" i="86"/>
  <c r="AG277" i="86"/>
  <c r="AH277" i="86"/>
  <c r="H278" i="86"/>
  <c r="I278" i="86"/>
  <c r="J278" i="86"/>
  <c r="K278" i="86"/>
  <c r="L278" i="86"/>
  <c r="M278" i="86"/>
  <c r="N278" i="86"/>
  <c r="O278" i="86"/>
  <c r="P278" i="86"/>
  <c r="Q278" i="86"/>
  <c r="R278" i="86"/>
  <c r="S278" i="86"/>
  <c r="T278" i="86"/>
  <c r="U278" i="86"/>
  <c r="V278" i="86"/>
  <c r="W278" i="86"/>
  <c r="X278" i="86"/>
  <c r="Y278" i="86"/>
  <c r="Z278" i="86"/>
  <c r="AA278" i="86"/>
  <c r="AB278" i="86"/>
  <c r="AC278" i="86"/>
  <c r="AD278" i="86"/>
  <c r="AE278" i="86"/>
  <c r="AF278" i="86"/>
  <c r="AG278" i="86"/>
  <c r="AH278" i="86"/>
  <c r="H279" i="86"/>
  <c r="I279" i="86"/>
  <c r="J279" i="86"/>
  <c r="K279" i="86"/>
  <c r="L279" i="86"/>
  <c r="M279" i="86"/>
  <c r="N279" i="86"/>
  <c r="O279" i="86"/>
  <c r="P279" i="86"/>
  <c r="Q279" i="86"/>
  <c r="R279" i="86"/>
  <c r="S279" i="86"/>
  <c r="T279" i="86"/>
  <c r="U279" i="86"/>
  <c r="V279" i="86"/>
  <c r="W279" i="86"/>
  <c r="X279" i="86"/>
  <c r="Y279" i="86"/>
  <c r="Z279" i="86"/>
  <c r="AA279" i="86"/>
  <c r="AB279" i="86"/>
  <c r="AC279" i="86"/>
  <c r="AD279" i="86"/>
  <c r="AE279" i="86"/>
  <c r="AF279" i="86"/>
  <c r="AG279" i="86"/>
  <c r="AH279" i="86"/>
  <c r="H280" i="86"/>
  <c r="I280" i="86"/>
  <c r="J280" i="86"/>
  <c r="K280" i="86"/>
  <c r="L280" i="86"/>
  <c r="M280" i="86"/>
  <c r="N280" i="86"/>
  <c r="O280" i="86"/>
  <c r="P280" i="86"/>
  <c r="Q280" i="86"/>
  <c r="R280" i="86"/>
  <c r="S280" i="86"/>
  <c r="T280" i="86"/>
  <c r="U280" i="86"/>
  <c r="V280" i="86"/>
  <c r="W280" i="86"/>
  <c r="X280" i="86"/>
  <c r="Y280" i="86"/>
  <c r="Z280" i="86"/>
  <c r="AA280" i="86"/>
  <c r="AB280" i="86"/>
  <c r="AC280" i="86"/>
  <c r="AD280" i="86"/>
  <c r="AE280" i="86"/>
  <c r="AF280" i="86"/>
  <c r="AG280" i="86"/>
  <c r="AH280" i="86"/>
  <c r="H281" i="86"/>
  <c r="I281" i="86"/>
  <c r="J281" i="86"/>
  <c r="K281" i="86"/>
  <c r="L281" i="86"/>
  <c r="M281" i="86"/>
  <c r="N281" i="86"/>
  <c r="O281" i="86"/>
  <c r="P281" i="86"/>
  <c r="Q281" i="86"/>
  <c r="R281" i="86"/>
  <c r="S281" i="86"/>
  <c r="T281" i="86"/>
  <c r="U281" i="86"/>
  <c r="V281" i="86"/>
  <c r="W281" i="86"/>
  <c r="X281" i="86"/>
  <c r="Y281" i="86"/>
  <c r="Z281" i="86"/>
  <c r="AA281" i="86"/>
  <c r="AB281" i="86"/>
  <c r="AC281" i="86"/>
  <c r="AD281" i="86"/>
  <c r="AE281" i="86"/>
  <c r="AF281" i="86"/>
  <c r="AG281" i="86"/>
  <c r="AH281" i="86"/>
  <c r="H282" i="86"/>
  <c r="I282" i="86"/>
  <c r="J282" i="86"/>
  <c r="K282" i="86"/>
  <c r="L282" i="86"/>
  <c r="M282" i="86"/>
  <c r="N282" i="86"/>
  <c r="O282" i="86"/>
  <c r="P282" i="86"/>
  <c r="Q282" i="86"/>
  <c r="R282" i="86"/>
  <c r="S282" i="86"/>
  <c r="T282" i="86"/>
  <c r="U282" i="86"/>
  <c r="V282" i="86"/>
  <c r="W282" i="86"/>
  <c r="X282" i="86"/>
  <c r="Y282" i="86"/>
  <c r="Z282" i="86"/>
  <c r="AA282" i="86"/>
  <c r="AB282" i="86"/>
  <c r="AC282" i="86"/>
  <c r="AD282" i="86"/>
  <c r="AE282" i="86"/>
  <c r="AF282" i="86"/>
  <c r="AG282" i="86"/>
  <c r="AH282" i="86"/>
  <c r="H283" i="86"/>
  <c r="I283" i="86"/>
  <c r="J283" i="86"/>
  <c r="K283" i="86"/>
  <c r="L283" i="86"/>
  <c r="M283" i="86"/>
  <c r="N283" i="86"/>
  <c r="O283" i="86"/>
  <c r="P283" i="86"/>
  <c r="Q283" i="86"/>
  <c r="R283" i="86"/>
  <c r="S283" i="86"/>
  <c r="T283" i="86"/>
  <c r="U283" i="86"/>
  <c r="V283" i="86"/>
  <c r="W283" i="86"/>
  <c r="X283" i="86"/>
  <c r="Y283" i="86"/>
  <c r="Z283" i="86"/>
  <c r="AA283" i="86"/>
  <c r="AB283" i="86"/>
  <c r="AC283" i="86"/>
  <c r="AD283" i="86"/>
  <c r="AE283" i="86"/>
  <c r="AF283" i="86"/>
  <c r="AG283" i="86"/>
  <c r="AH283" i="86"/>
  <c r="H284" i="86"/>
  <c r="I284" i="86"/>
  <c r="J284" i="86"/>
  <c r="K284" i="86"/>
  <c r="L284" i="86"/>
  <c r="M284" i="86"/>
  <c r="N284" i="86"/>
  <c r="O284" i="86"/>
  <c r="P284" i="86"/>
  <c r="Q284" i="86"/>
  <c r="R284" i="86"/>
  <c r="S284" i="86"/>
  <c r="T284" i="86"/>
  <c r="U284" i="86"/>
  <c r="V284" i="86"/>
  <c r="W284" i="86"/>
  <c r="X284" i="86"/>
  <c r="Y284" i="86"/>
  <c r="Z284" i="86"/>
  <c r="AA284" i="86"/>
  <c r="AB284" i="86"/>
  <c r="AC284" i="86"/>
  <c r="AD284" i="86"/>
  <c r="AE284" i="86"/>
  <c r="AF284" i="86"/>
  <c r="AG284" i="86"/>
  <c r="AH284" i="86"/>
  <c r="H285" i="86"/>
  <c r="I285" i="86"/>
  <c r="J285" i="86"/>
  <c r="K285" i="86"/>
  <c r="L285" i="86"/>
  <c r="M285" i="86"/>
  <c r="N285" i="86"/>
  <c r="O285" i="86"/>
  <c r="P285" i="86"/>
  <c r="Q285" i="86"/>
  <c r="R285" i="86"/>
  <c r="S285" i="86"/>
  <c r="T285" i="86"/>
  <c r="U285" i="86"/>
  <c r="V285" i="86"/>
  <c r="W285" i="86"/>
  <c r="X285" i="86"/>
  <c r="Y285" i="86"/>
  <c r="Z285" i="86"/>
  <c r="AA285" i="86"/>
  <c r="AB285" i="86"/>
  <c r="AC285" i="86"/>
  <c r="AD285" i="86"/>
  <c r="AE285" i="86"/>
  <c r="AF285" i="86"/>
  <c r="AG285" i="86"/>
  <c r="AH285" i="86"/>
  <c r="H286" i="86"/>
  <c r="I286" i="86"/>
  <c r="J286" i="86"/>
  <c r="K286" i="86"/>
  <c r="L286" i="86"/>
  <c r="M286" i="86"/>
  <c r="N286" i="86"/>
  <c r="O286" i="86"/>
  <c r="P286" i="86"/>
  <c r="Q286" i="86"/>
  <c r="R286" i="86"/>
  <c r="S286" i="86"/>
  <c r="T286" i="86"/>
  <c r="U286" i="86"/>
  <c r="V286" i="86"/>
  <c r="W286" i="86"/>
  <c r="X286" i="86"/>
  <c r="Y286" i="86"/>
  <c r="Z286" i="86"/>
  <c r="AA286" i="86"/>
  <c r="AB286" i="86"/>
  <c r="AC286" i="86"/>
  <c r="AD286" i="86"/>
  <c r="AE286" i="86"/>
  <c r="AF286" i="86"/>
  <c r="AG286" i="86"/>
  <c r="AH286" i="86"/>
  <c r="H287" i="86"/>
  <c r="I287" i="86"/>
  <c r="J287" i="86"/>
  <c r="K287" i="86"/>
  <c r="L287" i="86"/>
  <c r="M287" i="86"/>
  <c r="N287" i="86"/>
  <c r="O287" i="86"/>
  <c r="P287" i="86"/>
  <c r="Q287" i="86"/>
  <c r="R287" i="86"/>
  <c r="S287" i="86"/>
  <c r="T287" i="86"/>
  <c r="U287" i="86"/>
  <c r="V287" i="86"/>
  <c r="W287" i="86"/>
  <c r="X287" i="86"/>
  <c r="Y287" i="86"/>
  <c r="Z287" i="86"/>
  <c r="AA287" i="86"/>
  <c r="AB287" i="86"/>
  <c r="AC287" i="86"/>
  <c r="AD287" i="86"/>
  <c r="AE287" i="86"/>
  <c r="AF287" i="86"/>
  <c r="AG287" i="86"/>
  <c r="AH287" i="86"/>
  <c r="H288" i="86"/>
  <c r="I288" i="86"/>
  <c r="J288" i="86"/>
  <c r="K288" i="86"/>
  <c r="L288" i="86"/>
  <c r="M288" i="86"/>
  <c r="N288" i="86"/>
  <c r="O288" i="86"/>
  <c r="P288" i="86"/>
  <c r="Q288" i="86"/>
  <c r="R288" i="86"/>
  <c r="S288" i="86"/>
  <c r="T288" i="86"/>
  <c r="U288" i="86"/>
  <c r="V288" i="86"/>
  <c r="W288" i="86"/>
  <c r="X288" i="86"/>
  <c r="Y288" i="86"/>
  <c r="Z288" i="86"/>
  <c r="AA288" i="86"/>
  <c r="AB288" i="86"/>
  <c r="AC288" i="86"/>
  <c r="AD288" i="86"/>
  <c r="AE288" i="86"/>
  <c r="AF288" i="86"/>
  <c r="AG288" i="86"/>
  <c r="AH288" i="86"/>
  <c r="H289" i="86"/>
  <c r="I289" i="86"/>
  <c r="J289" i="86"/>
  <c r="K289" i="86"/>
  <c r="L289" i="86"/>
  <c r="M289" i="86"/>
  <c r="N289" i="86"/>
  <c r="O289" i="86"/>
  <c r="P289" i="86"/>
  <c r="Q289" i="86"/>
  <c r="R289" i="86"/>
  <c r="S289" i="86"/>
  <c r="T289" i="86"/>
  <c r="U289" i="86"/>
  <c r="V289" i="86"/>
  <c r="W289" i="86"/>
  <c r="X289" i="86"/>
  <c r="Y289" i="86"/>
  <c r="Z289" i="86"/>
  <c r="AA289" i="86"/>
  <c r="AB289" i="86"/>
  <c r="AC289" i="86"/>
  <c r="AD289" i="86"/>
  <c r="AE289" i="86"/>
  <c r="AF289" i="86"/>
  <c r="AG289" i="86"/>
  <c r="AH289" i="86"/>
  <c r="H290" i="86"/>
  <c r="I290" i="86"/>
  <c r="J290" i="86"/>
  <c r="K290" i="86"/>
  <c r="L290" i="86"/>
  <c r="M290" i="86"/>
  <c r="N290" i="86"/>
  <c r="O290" i="86"/>
  <c r="P290" i="86"/>
  <c r="Q290" i="86"/>
  <c r="R290" i="86"/>
  <c r="S290" i="86"/>
  <c r="T290" i="86"/>
  <c r="U290" i="86"/>
  <c r="V290" i="86"/>
  <c r="W290" i="86"/>
  <c r="X290" i="86"/>
  <c r="Y290" i="86"/>
  <c r="Z290" i="86"/>
  <c r="AA290" i="86"/>
  <c r="AB290" i="86"/>
  <c r="AC290" i="86"/>
  <c r="AD290" i="86"/>
  <c r="AE290" i="86"/>
  <c r="AF290" i="86"/>
  <c r="AG290" i="86"/>
  <c r="AH290" i="86"/>
  <c r="H291" i="86"/>
  <c r="I291" i="86"/>
  <c r="J291" i="86"/>
  <c r="K291" i="86"/>
  <c r="L291" i="86"/>
  <c r="M291" i="86"/>
  <c r="N291" i="86"/>
  <c r="O291" i="86"/>
  <c r="P291" i="86"/>
  <c r="Q291" i="86"/>
  <c r="R291" i="86"/>
  <c r="S291" i="86"/>
  <c r="T291" i="86"/>
  <c r="U291" i="86"/>
  <c r="V291" i="86"/>
  <c r="W291" i="86"/>
  <c r="X291" i="86"/>
  <c r="Y291" i="86"/>
  <c r="Z291" i="86"/>
  <c r="AA291" i="86"/>
  <c r="AB291" i="86"/>
  <c r="AC291" i="86"/>
  <c r="AD291" i="86"/>
  <c r="AE291" i="86"/>
  <c r="AF291" i="86"/>
  <c r="AG291" i="86"/>
  <c r="AH291" i="86"/>
  <c r="H292" i="86"/>
  <c r="I292" i="86"/>
  <c r="J292" i="86"/>
  <c r="K292" i="86"/>
  <c r="L292" i="86"/>
  <c r="M292" i="86"/>
  <c r="N292" i="86"/>
  <c r="O292" i="86"/>
  <c r="P292" i="86"/>
  <c r="Q292" i="86"/>
  <c r="R292" i="86"/>
  <c r="S292" i="86"/>
  <c r="T292" i="86"/>
  <c r="U292" i="86"/>
  <c r="V292" i="86"/>
  <c r="W292" i="86"/>
  <c r="X292" i="86"/>
  <c r="Y292" i="86"/>
  <c r="Z292" i="86"/>
  <c r="AA292" i="86"/>
  <c r="AB292" i="86"/>
  <c r="AC292" i="86"/>
  <c r="AD292" i="86"/>
  <c r="AE292" i="86"/>
  <c r="AF292" i="86"/>
  <c r="AG292" i="86"/>
  <c r="AH292" i="86"/>
  <c r="H293" i="86"/>
  <c r="I293" i="86"/>
  <c r="J293" i="86"/>
  <c r="K293" i="86"/>
  <c r="L293" i="86"/>
  <c r="M293" i="86"/>
  <c r="N293" i="86"/>
  <c r="O293" i="86"/>
  <c r="P293" i="86"/>
  <c r="Q293" i="86"/>
  <c r="R293" i="86"/>
  <c r="S293" i="86"/>
  <c r="T293" i="86"/>
  <c r="U293" i="86"/>
  <c r="V293" i="86"/>
  <c r="W293" i="86"/>
  <c r="X293" i="86"/>
  <c r="Y293" i="86"/>
  <c r="Z293" i="86"/>
  <c r="AA293" i="86"/>
  <c r="AB293" i="86"/>
  <c r="AC293" i="86"/>
  <c r="AD293" i="86"/>
  <c r="AE293" i="86"/>
  <c r="AF293" i="86"/>
  <c r="AG293" i="86"/>
  <c r="AH293" i="86"/>
  <c r="H294" i="86"/>
  <c r="I294" i="86"/>
  <c r="J294" i="86"/>
  <c r="K294" i="86"/>
  <c r="L294" i="86"/>
  <c r="M294" i="86"/>
  <c r="N294" i="86"/>
  <c r="O294" i="86"/>
  <c r="P294" i="86"/>
  <c r="Q294" i="86"/>
  <c r="R294" i="86"/>
  <c r="S294" i="86"/>
  <c r="T294" i="86"/>
  <c r="U294" i="86"/>
  <c r="V294" i="86"/>
  <c r="W294" i="86"/>
  <c r="X294" i="86"/>
  <c r="Y294" i="86"/>
  <c r="Z294" i="86"/>
  <c r="AA294" i="86"/>
  <c r="AB294" i="86"/>
  <c r="AC294" i="86"/>
  <c r="AD294" i="86"/>
  <c r="AE294" i="86"/>
  <c r="AF294" i="86"/>
  <c r="AG294" i="86"/>
  <c r="AH294" i="86"/>
  <c r="H295" i="86"/>
  <c r="I295" i="86"/>
  <c r="J295" i="86"/>
  <c r="K295" i="86"/>
  <c r="L295" i="86"/>
  <c r="M295" i="86"/>
  <c r="N295" i="86"/>
  <c r="O295" i="86"/>
  <c r="P295" i="86"/>
  <c r="Q295" i="86"/>
  <c r="R295" i="86"/>
  <c r="S295" i="86"/>
  <c r="T295" i="86"/>
  <c r="U295" i="86"/>
  <c r="V295" i="86"/>
  <c r="W295" i="86"/>
  <c r="X295" i="86"/>
  <c r="Y295" i="86"/>
  <c r="Z295" i="86"/>
  <c r="AA295" i="86"/>
  <c r="AB295" i="86"/>
  <c r="AC295" i="86"/>
  <c r="AD295" i="86"/>
  <c r="AE295" i="86"/>
  <c r="AF295" i="86"/>
  <c r="AG295" i="86"/>
  <c r="AH295" i="86"/>
  <c r="H296" i="86"/>
  <c r="I296" i="86"/>
  <c r="J296" i="86"/>
  <c r="K296" i="86"/>
  <c r="L296" i="86"/>
  <c r="M296" i="86"/>
  <c r="N296" i="86"/>
  <c r="O296" i="86"/>
  <c r="P296" i="86"/>
  <c r="Q296" i="86"/>
  <c r="R296" i="86"/>
  <c r="S296" i="86"/>
  <c r="T296" i="86"/>
  <c r="U296" i="86"/>
  <c r="V296" i="86"/>
  <c r="W296" i="86"/>
  <c r="X296" i="86"/>
  <c r="Y296" i="86"/>
  <c r="Z296" i="86"/>
  <c r="AA296" i="86"/>
  <c r="AB296" i="86"/>
  <c r="AC296" i="86"/>
  <c r="AD296" i="86"/>
  <c r="AE296" i="86"/>
  <c r="AF296" i="86"/>
  <c r="AG296" i="86"/>
  <c r="AH296" i="86"/>
  <c r="H297" i="86"/>
  <c r="I297" i="86"/>
  <c r="J297" i="86"/>
  <c r="K297" i="86"/>
  <c r="L297" i="86"/>
  <c r="M297" i="86"/>
  <c r="N297" i="86"/>
  <c r="O297" i="86"/>
  <c r="P297" i="86"/>
  <c r="Q297" i="86"/>
  <c r="R297" i="86"/>
  <c r="S297" i="86"/>
  <c r="T297" i="86"/>
  <c r="U297" i="86"/>
  <c r="V297" i="86"/>
  <c r="W297" i="86"/>
  <c r="X297" i="86"/>
  <c r="Y297" i="86"/>
  <c r="Z297" i="86"/>
  <c r="AA297" i="86"/>
  <c r="AB297" i="86"/>
  <c r="AC297" i="86"/>
  <c r="AD297" i="86"/>
  <c r="AE297" i="86"/>
  <c r="AF297" i="86"/>
  <c r="AG297" i="86"/>
  <c r="AH297" i="86"/>
  <c r="H298" i="86"/>
  <c r="I298" i="86"/>
  <c r="J298" i="86"/>
  <c r="K298" i="86"/>
  <c r="L298" i="86"/>
  <c r="M298" i="86"/>
  <c r="N298" i="86"/>
  <c r="O298" i="86"/>
  <c r="P298" i="86"/>
  <c r="Q298" i="86"/>
  <c r="R298" i="86"/>
  <c r="S298" i="86"/>
  <c r="T298" i="86"/>
  <c r="U298" i="86"/>
  <c r="V298" i="86"/>
  <c r="W298" i="86"/>
  <c r="X298" i="86"/>
  <c r="Y298" i="86"/>
  <c r="Z298" i="86"/>
  <c r="AA298" i="86"/>
  <c r="AB298" i="86"/>
  <c r="AC298" i="86"/>
  <c r="AD298" i="86"/>
  <c r="AE298" i="86"/>
  <c r="AF298" i="86"/>
  <c r="AG298" i="86"/>
  <c r="AH298" i="86"/>
  <c r="H299" i="86"/>
  <c r="I299" i="86"/>
  <c r="J299" i="86"/>
  <c r="K299" i="86"/>
  <c r="L299" i="86"/>
  <c r="M299" i="86"/>
  <c r="N299" i="86"/>
  <c r="O299" i="86"/>
  <c r="P299" i="86"/>
  <c r="Q299" i="86"/>
  <c r="R299" i="86"/>
  <c r="S299" i="86"/>
  <c r="T299" i="86"/>
  <c r="U299" i="86"/>
  <c r="V299" i="86"/>
  <c r="W299" i="86"/>
  <c r="X299" i="86"/>
  <c r="Y299" i="86"/>
  <c r="Z299" i="86"/>
  <c r="AA299" i="86"/>
  <c r="AB299" i="86"/>
  <c r="AC299" i="86"/>
  <c r="AD299" i="86"/>
  <c r="AE299" i="86"/>
  <c r="AF299" i="86"/>
  <c r="AG299" i="86"/>
  <c r="AH299" i="86"/>
  <c r="H300" i="86"/>
  <c r="I300" i="86"/>
  <c r="J300" i="86"/>
  <c r="K300" i="86"/>
  <c r="L300" i="86"/>
  <c r="M300" i="86"/>
  <c r="N300" i="86"/>
  <c r="O300" i="86"/>
  <c r="P300" i="86"/>
  <c r="Q300" i="86"/>
  <c r="R300" i="86"/>
  <c r="S300" i="86"/>
  <c r="T300" i="86"/>
  <c r="U300" i="86"/>
  <c r="V300" i="86"/>
  <c r="W300" i="86"/>
  <c r="X300" i="86"/>
  <c r="Y300" i="86"/>
  <c r="Z300" i="86"/>
  <c r="AA300" i="86"/>
  <c r="AB300" i="86"/>
  <c r="AC300" i="86"/>
  <c r="AD300" i="86"/>
  <c r="AE300" i="86"/>
  <c r="AF300" i="86"/>
  <c r="AG300" i="86"/>
  <c r="AH300" i="86"/>
  <c r="H301" i="86"/>
  <c r="I301" i="86"/>
  <c r="J301" i="86"/>
  <c r="K301" i="86"/>
  <c r="L301" i="86"/>
  <c r="M301" i="86"/>
  <c r="N301" i="86"/>
  <c r="O301" i="86"/>
  <c r="P301" i="86"/>
  <c r="Q301" i="86"/>
  <c r="R301" i="86"/>
  <c r="S301" i="86"/>
  <c r="T301" i="86"/>
  <c r="U301" i="86"/>
  <c r="V301" i="86"/>
  <c r="W301" i="86"/>
  <c r="X301" i="86"/>
  <c r="Y301" i="86"/>
  <c r="Z301" i="86"/>
  <c r="AA301" i="86"/>
  <c r="AB301" i="86"/>
  <c r="AC301" i="86"/>
  <c r="AD301" i="86"/>
  <c r="AE301" i="86"/>
  <c r="AF301" i="86"/>
  <c r="AG301" i="86"/>
  <c r="AH301" i="86"/>
  <c r="H302" i="86"/>
  <c r="I302" i="86"/>
  <c r="J302" i="86"/>
  <c r="K302" i="86"/>
  <c r="L302" i="86"/>
  <c r="M302" i="86"/>
  <c r="N302" i="86"/>
  <c r="O302" i="86"/>
  <c r="P302" i="86"/>
  <c r="Q302" i="86"/>
  <c r="R302" i="86"/>
  <c r="S302" i="86"/>
  <c r="T302" i="86"/>
  <c r="U302" i="86"/>
  <c r="V302" i="86"/>
  <c r="W302" i="86"/>
  <c r="X302" i="86"/>
  <c r="Y302" i="86"/>
  <c r="Z302" i="86"/>
  <c r="AA302" i="86"/>
  <c r="AB302" i="86"/>
  <c r="AC302" i="86"/>
  <c r="AD302" i="86"/>
  <c r="AE302" i="86"/>
  <c r="AF302" i="86"/>
  <c r="AG302" i="86"/>
  <c r="AH302" i="86"/>
  <c r="H303" i="86"/>
  <c r="I303" i="86"/>
  <c r="J303" i="86"/>
  <c r="K303" i="86"/>
  <c r="L303" i="86"/>
  <c r="M303" i="86"/>
  <c r="N303" i="86"/>
  <c r="O303" i="86"/>
  <c r="P303" i="86"/>
  <c r="Q303" i="86"/>
  <c r="R303" i="86"/>
  <c r="S303" i="86"/>
  <c r="T303" i="86"/>
  <c r="U303" i="86"/>
  <c r="V303" i="86"/>
  <c r="W303" i="86"/>
  <c r="X303" i="86"/>
  <c r="Y303" i="86"/>
  <c r="Z303" i="86"/>
  <c r="AA303" i="86"/>
  <c r="AB303" i="86"/>
  <c r="AC303" i="86"/>
  <c r="AD303" i="86"/>
  <c r="AE303" i="86"/>
  <c r="AF303" i="86"/>
  <c r="AG303" i="86"/>
  <c r="AH303" i="86"/>
  <c r="H304" i="86"/>
  <c r="I304" i="86"/>
  <c r="J304" i="86"/>
  <c r="K304" i="86"/>
  <c r="L304" i="86"/>
  <c r="M304" i="86"/>
  <c r="N304" i="86"/>
  <c r="O304" i="86"/>
  <c r="P304" i="86"/>
  <c r="Q304" i="86"/>
  <c r="R304" i="86"/>
  <c r="S304" i="86"/>
  <c r="T304" i="86"/>
  <c r="U304" i="86"/>
  <c r="V304" i="86"/>
  <c r="W304" i="86"/>
  <c r="X304" i="86"/>
  <c r="Y304" i="86"/>
  <c r="Z304" i="86"/>
  <c r="AA304" i="86"/>
  <c r="AB304" i="86"/>
  <c r="AC304" i="86"/>
  <c r="AD304" i="86"/>
  <c r="AE304" i="86"/>
  <c r="AF304" i="86"/>
  <c r="AG304" i="86"/>
  <c r="AH304" i="86"/>
  <c r="H305" i="86"/>
  <c r="I305" i="86"/>
  <c r="J305" i="86"/>
  <c r="K305" i="86"/>
  <c r="L305" i="86"/>
  <c r="M305" i="86"/>
  <c r="N305" i="86"/>
  <c r="O305" i="86"/>
  <c r="P305" i="86"/>
  <c r="Q305" i="86"/>
  <c r="R305" i="86"/>
  <c r="S305" i="86"/>
  <c r="T305" i="86"/>
  <c r="U305" i="86"/>
  <c r="V305" i="86"/>
  <c r="W305" i="86"/>
  <c r="X305" i="86"/>
  <c r="Y305" i="86"/>
  <c r="Z305" i="86"/>
  <c r="AA305" i="86"/>
  <c r="AB305" i="86"/>
  <c r="AC305" i="86"/>
  <c r="AD305" i="86"/>
  <c r="AE305" i="86"/>
  <c r="AF305" i="86"/>
  <c r="AG305" i="86"/>
  <c r="AH305" i="86"/>
  <c r="H306" i="86"/>
  <c r="I306" i="86"/>
  <c r="J306" i="86"/>
  <c r="K306" i="86"/>
  <c r="L306" i="86"/>
  <c r="M306" i="86"/>
  <c r="N306" i="86"/>
  <c r="O306" i="86"/>
  <c r="P306" i="86"/>
  <c r="Q306" i="86"/>
  <c r="R306" i="86"/>
  <c r="S306" i="86"/>
  <c r="T306" i="86"/>
  <c r="U306" i="86"/>
  <c r="V306" i="86"/>
  <c r="W306" i="86"/>
  <c r="X306" i="86"/>
  <c r="Y306" i="86"/>
  <c r="Z306" i="86"/>
  <c r="AA306" i="86"/>
  <c r="AB306" i="86"/>
  <c r="AC306" i="86"/>
  <c r="AD306" i="86"/>
  <c r="AE306" i="86"/>
  <c r="AF306" i="86"/>
  <c r="AG306" i="86"/>
  <c r="AH306" i="86"/>
  <c r="H307" i="86"/>
  <c r="I307" i="86"/>
  <c r="J307" i="86"/>
  <c r="K307" i="86"/>
  <c r="L307" i="86"/>
  <c r="M307" i="86"/>
  <c r="N307" i="86"/>
  <c r="O307" i="86"/>
  <c r="P307" i="86"/>
  <c r="Q307" i="86"/>
  <c r="R307" i="86"/>
  <c r="S307" i="86"/>
  <c r="T307" i="86"/>
  <c r="U307" i="86"/>
  <c r="V307" i="86"/>
  <c r="W307" i="86"/>
  <c r="X307" i="86"/>
  <c r="Y307" i="86"/>
  <c r="Z307" i="86"/>
  <c r="AA307" i="86"/>
  <c r="AB307" i="86"/>
  <c r="AC307" i="86"/>
  <c r="AD307" i="86"/>
  <c r="AE307" i="86"/>
  <c r="AF307" i="86"/>
  <c r="AG307" i="86"/>
  <c r="AH307" i="86"/>
  <c r="H308" i="86"/>
  <c r="I308" i="86"/>
  <c r="J308" i="86"/>
  <c r="K308" i="86"/>
  <c r="L308" i="86"/>
  <c r="M308" i="86"/>
  <c r="N308" i="86"/>
  <c r="O308" i="86"/>
  <c r="P308" i="86"/>
  <c r="Q308" i="86"/>
  <c r="R308" i="86"/>
  <c r="S308" i="86"/>
  <c r="T308" i="86"/>
  <c r="U308" i="86"/>
  <c r="V308" i="86"/>
  <c r="W308" i="86"/>
  <c r="X308" i="86"/>
  <c r="Y308" i="86"/>
  <c r="Z308" i="86"/>
  <c r="AA308" i="86"/>
  <c r="AB308" i="86"/>
  <c r="AC308" i="86"/>
  <c r="AD308" i="86"/>
  <c r="AE308" i="86"/>
  <c r="AF308" i="86"/>
  <c r="AG308" i="86"/>
  <c r="AH308" i="86"/>
  <c r="H309" i="86"/>
  <c r="I309" i="86"/>
  <c r="J309" i="86"/>
  <c r="K309" i="86"/>
  <c r="L309" i="86"/>
  <c r="M309" i="86"/>
  <c r="N309" i="86"/>
  <c r="O309" i="86"/>
  <c r="P309" i="86"/>
  <c r="Q309" i="86"/>
  <c r="R309" i="86"/>
  <c r="S309" i="86"/>
  <c r="T309" i="86"/>
  <c r="U309" i="86"/>
  <c r="V309" i="86"/>
  <c r="W309" i="86"/>
  <c r="X309" i="86"/>
  <c r="Y309" i="86"/>
  <c r="Z309" i="86"/>
  <c r="AA309" i="86"/>
  <c r="AB309" i="86"/>
  <c r="AC309" i="86"/>
  <c r="AD309" i="86"/>
  <c r="AE309" i="86"/>
  <c r="AF309" i="86"/>
  <c r="AG309" i="86"/>
  <c r="AH309" i="86"/>
  <c r="H310" i="86"/>
  <c r="I310" i="86"/>
  <c r="J310" i="86"/>
  <c r="K310" i="86"/>
  <c r="L310" i="86"/>
  <c r="M310" i="86"/>
  <c r="N310" i="86"/>
  <c r="O310" i="86"/>
  <c r="P310" i="86"/>
  <c r="Q310" i="86"/>
  <c r="R310" i="86"/>
  <c r="S310" i="86"/>
  <c r="T310" i="86"/>
  <c r="U310" i="86"/>
  <c r="V310" i="86"/>
  <c r="W310" i="86"/>
  <c r="X310" i="86"/>
  <c r="Y310" i="86"/>
  <c r="Z310" i="86"/>
  <c r="AA310" i="86"/>
  <c r="AB310" i="86"/>
  <c r="AC310" i="86"/>
  <c r="AD310" i="86"/>
  <c r="AE310" i="86"/>
  <c r="AF310" i="86"/>
  <c r="AG310" i="86"/>
  <c r="AH310" i="86"/>
  <c r="H311" i="86"/>
  <c r="I311" i="86"/>
  <c r="J311" i="86"/>
  <c r="K311" i="86"/>
  <c r="L311" i="86"/>
  <c r="M311" i="86"/>
  <c r="N311" i="86"/>
  <c r="O311" i="86"/>
  <c r="P311" i="86"/>
  <c r="Q311" i="86"/>
  <c r="R311" i="86"/>
  <c r="S311" i="86"/>
  <c r="T311" i="86"/>
  <c r="U311" i="86"/>
  <c r="V311" i="86"/>
  <c r="W311" i="86"/>
  <c r="X311" i="86"/>
  <c r="Y311" i="86"/>
  <c r="Z311" i="86"/>
  <c r="AA311" i="86"/>
  <c r="AB311" i="86"/>
  <c r="AC311" i="86"/>
  <c r="AD311" i="86"/>
  <c r="AE311" i="86"/>
  <c r="AF311" i="86"/>
  <c r="AG311" i="86"/>
  <c r="AH311" i="86"/>
  <c r="H312" i="86"/>
  <c r="I312" i="86"/>
  <c r="J312" i="86"/>
  <c r="K312" i="86"/>
  <c r="L312" i="86"/>
  <c r="M312" i="86"/>
  <c r="N312" i="86"/>
  <c r="O312" i="86"/>
  <c r="P312" i="86"/>
  <c r="Q312" i="86"/>
  <c r="R312" i="86"/>
  <c r="S312" i="86"/>
  <c r="T312" i="86"/>
  <c r="U312" i="86"/>
  <c r="V312" i="86"/>
  <c r="W312" i="86"/>
  <c r="X312" i="86"/>
  <c r="Y312" i="86"/>
  <c r="Z312" i="86"/>
  <c r="AA312" i="86"/>
  <c r="AB312" i="86"/>
  <c r="AC312" i="86"/>
  <c r="AD312" i="86"/>
  <c r="AE312" i="86"/>
  <c r="AF312" i="86"/>
  <c r="AG312" i="86"/>
  <c r="AH312" i="86"/>
  <c r="H313" i="86"/>
  <c r="I313" i="86"/>
  <c r="J313" i="86"/>
  <c r="K313" i="86"/>
  <c r="L313" i="86"/>
  <c r="M313" i="86"/>
  <c r="N313" i="86"/>
  <c r="O313" i="86"/>
  <c r="P313" i="86"/>
  <c r="Q313" i="86"/>
  <c r="R313" i="86"/>
  <c r="S313" i="86"/>
  <c r="T313" i="86"/>
  <c r="U313" i="86"/>
  <c r="V313" i="86"/>
  <c r="W313" i="86"/>
  <c r="X313" i="86"/>
  <c r="Y313" i="86"/>
  <c r="Z313" i="86"/>
  <c r="AA313" i="86"/>
  <c r="AB313" i="86"/>
  <c r="AC313" i="86"/>
  <c r="AD313" i="86"/>
  <c r="AE313" i="86"/>
  <c r="AF313" i="86"/>
  <c r="AG313" i="86"/>
  <c r="AH313" i="86"/>
  <c r="H314" i="86"/>
  <c r="I314" i="86"/>
  <c r="J314" i="86"/>
  <c r="K314" i="86"/>
  <c r="L314" i="86"/>
  <c r="M314" i="86"/>
  <c r="N314" i="86"/>
  <c r="O314" i="86"/>
  <c r="P314" i="86"/>
  <c r="Q314" i="86"/>
  <c r="R314" i="86"/>
  <c r="S314" i="86"/>
  <c r="T314" i="86"/>
  <c r="U314" i="86"/>
  <c r="V314" i="86"/>
  <c r="W314" i="86"/>
  <c r="X314" i="86"/>
  <c r="Y314" i="86"/>
  <c r="Z314" i="86"/>
  <c r="AA314" i="86"/>
  <c r="AB314" i="86"/>
  <c r="AC314" i="86"/>
  <c r="AD314" i="86"/>
  <c r="AE314" i="86"/>
  <c r="AF314" i="86"/>
  <c r="AG314" i="86"/>
  <c r="AH314" i="86"/>
  <c r="H315" i="86"/>
  <c r="I315" i="86"/>
  <c r="J315" i="86"/>
  <c r="K315" i="86"/>
  <c r="L315" i="86"/>
  <c r="M315" i="86"/>
  <c r="N315" i="86"/>
  <c r="O315" i="86"/>
  <c r="P315" i="86"/>
  <c r="Q315" i="86"/>
  <c r="R315" i="86"/>
  <c r="S315" i="86"/>
  <c r="T315" i="86"/>
  <c r="U315" i="86"/>
  <c r="V315" i="86"/>
  <c r="W315" i="86"/>
  <c r="X315" i="86"/>
  <c r="Y315" i="86"/>
  <c r="Z315" i="86"/>
  <c r="AA315" i="86"/>
  <c r="AB315" i="86"/>
  <c r="AC315" i="86"/>
  <c r="AD315" i="86"/>
  <c r="AE315" i="86"/>
  <c r="AF315" i="86"/>
  <c r="AG315" i="86"/>
  <c r="AH315" i="86"/>
  <c r="H316" i="86"/>
  <c r="I316" i="86"/>
  <c r="J316" i="86"/>
  <c r="K316" i="86"/>
  <c r="L316" i="86"/>
  <c r="M316" i="86"/>
  <c r="N316" i="86"/>
  <c r="O316" i="86"/>
  <c r="P316" i="86"/>
  <c r="Q316" i="86"/>
  <c r="R316" i="86"/>
  <c r="S316" i="86"/>
  <c r="T316" i="86"/>
  <c r="U316" i="86"/>
  <c r="V316" i="86"/>
  <c r="W316" i="86"/>
  <c r="X316" i="86"/>
  <c r="Y316" i="86"/>
  <c r="Z316" i="86"/>
  <c r="AA316" i="86"/>
  <c r="AB316" i="86"/>
  <c r="AC316" i="86"/>
  <c r="AD316" i="86"/>
  <c r="AE316" i="86"/>
  <c r="AF316" i="86"/>
  <c r="AG316" i="86"/>
  <c r="AH316" i="86"/>
  <c r="H317" i="86"/>
  <c r="I317" i="86"/>
  <c r="J317" i="86"/>
  <c r="K317" i="86"/>
  <c r="L317" i="86"/>
  <c r="M317" i="86"/>
  <c r="N317" i="86"/>
  <c r="O317" i="86"/>
  <c r="P317" i="86"/>
  <c r="Q317" i="86"/>
  <c r="R317" i="86"/>
  <c r="S317" i="86"/>
  <c r="T317" i="86"/>
  <c r="U317" i="86"/>
  <c r="V317" i="86"/>
  <c r="W317" i="86"/>
  <c r="X317" i="86"/>
  <c r="Y317" i="86"/>
  <c r="Z317" i="86"/>
  <c r="AA317" i="86"/>
  <c r="AB317" i="86"/>
  <c r="AC317" i="86"/>
  <c r="AD317" i="86"/>
  <c r="AE317" i="86"/>
  <c r="AF317" i="86"/>
  <c r="AG317" i="86"/>
  <c r="AH317" i="86"/>
  <c r="H318" i="86"/>
  <c r="I318" i="86"/>
  <c r="J318" i="86"/>
  <c r="K318" i="86"/>
  <c r="L318" i="86"/>
  <c r="M318" i="86"/>
  <c r="N318" i="86"/>
  <c r="O318" i="86"/>
  <c r="P318" i="86"/>
  <c r="Q318" i="86"/>
  <c r="R318" i="86"/>
  <c r="S318" i="86"/>
  <c r="T318" i="86"/>
  <c r="U318" i="86"/>
  <c r="V318" i="86"/>
  <c r="W318" i="86"/>
  <c r="X318" i="86"/>
  <c r="Y318" i="86"/>
  <c r="Z318" i="86"/>
  <c r="AA318" i="86"/>
  <c r="AB318" i="86"/>
  <c r="AC318" i="86"/>
  <c r="AD318" i="86"/>
  <c r="AE318" i="86"/>
  <c r="AF318" i="86"/>
  <c r="AG318" i="86"/>
  <c r="AH318" i="86"/>
  <c r="H319" i="86"/>
  <c r="I319" i="86"/>
  <c r="J319" i="86"/>
  <c r="K319" i="86"/>
  <c r="L319" i="86"/>
  <c r="M319" i="86"/>
  <c r="N319" i="86"/>
  <c r="O319" i="86"/>
  <c r="P319" i="86"/>
  <c r="Q319" i="86"/>
  <c r="R319" i="86"/>
  <c r="S319" i="86"/>
  <c r="T319" i="86"/>
  <c r="U319" i="86"/>
  <c r="V319" i="86"/>
  <c r="W319" i="86"/>
  <c r="X319" i="86"/>
  <c r="Y319" i="86"/>
  <c r="Z319" i="86"/>
  <c r="AA319" i="86"/>
  <c r="AB319" i="86"/>
  <c r="AC319" i="86"/>
  <c r="AD319" i="86"/>
  <c r="AE319" i="86"/>
  <c r="AF319" i="86"/>
  <c r="AG319" i="86"/>
  <c r="AH319" i="86"/>
  <c r="H320" i="86"/>
  <c r="I320" i="86"/>
  <c r="J320" i="86"/>
  <c r="K320" i="86"/>
  <c r="L320" i="86"/>
  <c r="M320" i="86"/>
  <c r="N320" i="86"/>
  <c r="O320" i="86"/>
  <c r="P320" i="86"/>
  <c r="Q320" i="86"/>
  <c r="R320" i="86"/>
  <c r="S320" i="86"/>
  <c r="T320" i="86"/>
  <c r="U320" i="86"/>
  <c r="V320" i="86"/>
  <c r="W320" i="86"/>
  <c r="X320" i="86"/>
  <c r="Y320" i="86"/>
  <c r="Z320" i="86"/>
  <c r="AA320" i="86"/>
  <c r="AB320" i="86"/>
  <c r="AC320" i="86"/>
  <c r="AD320" i="86"/>
  <c r="AE320" i="86"/>
  <c r="AF320" i="86"/>
  <c r="AG320" i="86"/>
  <c r="AH320" i="86"/>
  <c r="H321" i="86"/>
  <c r="I321" i="86"/>
  <c r="J321" i="86"/>
  <c r="K321" i="86"/>
  <c r="L321" i="86"/>
  <c r="M321" i="86"/>
  <c r="N321" i="86"/>
  <c r="O321" i="86"/>
  <c r="P321" i="86"/>
  <c r="Q321" i="86"/>
  <c r="R321" i="86"/>
  <c r="S321" i="86"/>
  <c r="T321" i="86"/>
  <c r="U321" i="86"/>
  <c r="V321" i="86"/>
  <c r="W321" i="86"/>
  <c r="X321" i="86"/>
  <c r="Y321" i="86"/>
  <c r="Z321" i="86"/>
  <c r="AA321" i="86"/>
  <c r="AB321" i="86"/>
  <c r="AC321" i="86"/>
  <c r="AD321" i="86"/>
  <c r="AE321" i="86"/>
  <c r="AF321" i="86"/>
  <c r="AG321" i="86"/>
  <c r="AH321" i="86"/>
  <c r="H322" i="86"/>
  <c r="I322" i="86"/>
  <c r="J322" i="86"/>
  <c r="K322" i="86"/>
  <c r="L322" i="86"/>
  <c r="M322" i="86"/>
  <c r="N322" i="86"/>
  <c r="O322" i="86"/>
  <c r="P322" i="86"/>
  <c r="Q322" i="86"/>
  <c r="R322" i="86"/>
  <c r="S322" i="86"/>
  <c r="T322" i="86"/>
  <c r="U322" i="86"/>
  <c r="V322" i="86"/>
  <c r="W322" i="86"/>
  <c r="X322" i="86"/>
  <c r="Y322" i="86"/>
  <c r="Z322" i="86"/>
  <c r="AA322" i="86"/>
  <c r="AB322" i="86"/>
  <c r="AC322" i="86"/>
  <c r="AD322" i="86"/>
  <c r="AE322" i="86"/>
  <c r="AF322" i="86"/>
  <c r="AG322" i="86"/>
  <c r="AH322" i="86"/>
  <c r="H323" i="86"/>
  <c r="I323" i="86"/>
  <c r="J323" i="86"/>
  <c r="K323" i="86"/>
  <c r="L323" i="86"/>
  <c r="M323" i="86"/>
  <c r="N323" i="86"/>
  <c r="O323" i="86"/>
  <c r="P323" i="86"/>
  <c r="Q323" i="86"/>
  <c r="R323" i="86"/>
  <c r="S323" i="86"/>
  <c r="T323" i="86"/>
  <c r="U323" i="86"/>
  <c r="V323" i="86"/>
  <c r="W323" i="86"/>
  <c r="X323" i="86"/>
  <c r="Y323" i="86"/>
  <c r="Z323" i="86"/>
  <c r="AA323" i="86"/>
  <c r="AB323" i="86"/>
  <c r="AC323" i="86"/>
  <c r="AD323" i="86"/>
  <c r="AE323" i="86"/>
  <c r="AF323" i="86"/>
  <c r="AG323" i="86"/>
  <c r="AH323" i="86"/>
  <c r="H324" i="86"/>
  <c r="I324" i="86"/>
  <c r="J324" i="86"/>
  <c r="K324" i="86"/>
  <c r="L324" i="86"/>
  <c r="M324" i="86"/>
  <c r="N324" i="86"/>
  <c r="O324" i="86"/>
  <c r="P324" i="86"/>
  <c r="Q324" i="86"/>
  <c r="R324" i="86"/>
  <c r="S324" i="86"/>
  <c r="T324" i="86"/>
  <c r="U324" i="86"/>
  <c r="V324" i="86"/>
  <c r="W324" i="86"/>
  <c r="X324" i="86"/>
  <c r="Y324" i="86"/>
  <c r="Z324" i="86"/>
  <c r="AA324" i="86"/>
  <c r="AB324" i="86"/>
  <c r="AC324" i="86"/>
  <c r="AD324" i="86"/>
  <c r="AE324" i="86"/>
  <c r="AF324" i="86"/>
  <c r="AG324" i="86"/>
  <c r="AH324" i="86"/>
  <c r="H325" i="86"/>
  <c r="I325" i="86"/>
  <c r="J325" i="86"/>
  <c r="K325" i="86"/>
  <c r="L325" i="86"/>
  <c r="M325" i="86"/>
  <c r="N325" i="86"/>
  <c r="O325" i="86"/>
  <c r="P325" i="86"/>
  <c r="Q325" i="86"/>
  <c r="R325" i="86"/>
  <c r="S325" i="86"/>
  <c r="T325" i="86"/>
  <c r="U325" i="86"/>
  <c r="V325" i="86"/>
  <c r="W325" i="86"/>
  <c r="X325" i="86"/>
  <c r="Y325" i="86"/>
  <c r="Z325" i="86"/>
  <c r="AA325" i="86"/>
  <c r="AB325" i="86"/>
  <c r="AC325" i="86"/>
  <c r="AD325" i="86"/>
  <c r="AE325" i="86"/>
  <c r="AF325" i="86"/>
  <c r="AG325" i="86"/>
  <c r="AH325" i="86"/>
  <c r="H326" i="86"/>
  <c r="I326" i="86"/>
  <c r="J326" i="86"/>
  <c r="K326" i="86"/>
  <c r="L326" i="86"/>
  <c r="M326" i="86"/>
  <c r="N326" i="86"/>
  <c r="O326" i="86"/>
  <c r="P326" i="86"/>
  <c r="Q326" i="86"/>
  <c r="R326" i="86"/>
  <c r="S326" i="86"/>
  <c r="T326" i="86"/>
  <c r="U326" i="86"/>
  <c r="V326" i="86"/>
  <c r="W326" i="86"/>
  <c r="X326" i="86"/>
  <c r="Y326" i="86"/>
  <c r="Z326" i="86"/>
  <c r="AA326" i="86"/>
  <c r="AB326" i="86"/>
  <c r="AC326" i="86"/>
  <c r="AD326" i="86"/>
  <c r="AE326" i="86"/>
  <c r="AF326" i="86"/>
  <c r="AG326" i="86"/>
  <c r="AH326" i="86"/>
  <c r="H327" i="86"/>
  <c r="I327" i="86"/>
  <c r="J327" i="86"/>
  <c r="K327" i="86"/>
  <c r="L327" i="86"/>
  <c r="M327" i="86"/>
  <c r="N327" i="86"/>
  <c r="O327" i="86"/>
  <c r="P327" i="86"/>
  <c r="Q327" i="86"/>
  <c r="R327" i="86"/>
  <c r="S327" i="86"/>
  <c r="T327" i="86"/>
  <c r="U327" i="86"/>
  <c r="V327" i="86"/>
  <c r="W327" i="86"/>
  <c r="X327" i="86"/>
  <c r="Y327" i="86"/>
  <c r="Z327" i="86"/>
  <c r="AA327" i="86"/>
  <c r="AB327" i="86"/>
  <c r="AC327" i="86"/>
  <c r="AD327" i="86"/>
  <c r="AE327" i="86"/>
  <c r="AF327" i="86"/>
  <c r="AG327" i="86"/>
  <c r="AH327" i="86"/>
  <c r="H328" i="86"/>
  <c r="I328" i="86"/>
  <c r="J328" i="86"/>
  <c r="K328" i="86"/>
  <c r="L328" i="86"/>
  <c r="M328" i="86"/>
  <c r="N328" i="86"/>
  <c r="O328" i="86"/>
  <c r="P328" i="86"/>
  <c r="Q328" i="86"/>
  <c r="R328" i="86"/>
  <c r="S328" i="86"/>
  <c r="T328" i="86"/>
  <c r="U328" i="86"/>
  <c r="V328" i="86"/>
  <c r="W328" i="86"/>
  <c r="X328" i="86"/>
  <c r="Y328" i="86"/>
  <c r="Z328" i="86"/>
  <c r="AA328" i="86"/>
  <c r="AB328" i="86"/>
  <c r="AC328" i="86"/>
  <c r="AD328" i="86"/>
  <c r="AE328" i="86"/>
  <c r="AF328" i="86"/>
  <c r="AG328" i="86"/>
  <c r="AH328" i="86"/>
  <c r="H329" i="86"/>
  <c r="I329" i="86"/>
  <c r="J329" i="86"/>
  <c r="K329" i="86"/>
  <c r="L329" i="86"/>
  <c r="M329" i="86"/>
  <c r="N329" i="86"/>
  <c r="O329" i="86"/>
  <c r="P329" i="86"/>
  <c r="Q329" i="86"/>
  <c r="R329" i="86"/>
  <c r="S329" i="86"/>
  <c r="T329" i="86"/>
  <c r="U329" i="86"/>
  <c r="V329" i="86"/>
  <c r="W329" i="86"/>
  <c r="X329" i="86"/>
  <c r="Y329" i="86"/>
  <c r="Z329" i="86"/>
  <c r="AA329" i="86"/>
  <c r="AB329" i="86"/>
  <c r="AC329" i="86"/>
  <c r="AD329" i="86"/>
  <c r="AE329" i="86"/>
  <c r="AF329" i="86"/>
  <c r="AG329" i="86"/>
  <c r="AH329" i="86"/>
  <c r="H330" i="86"/>
  <c r="I330" i="86"/>
  <c r="J330" i="86"/>
  <c r="K330" i="86"/>
  <c r="L330" i="86"/>
  <c r="M330" i="86"/>
  <c r="N330" i="86"/>
  <c r="O330" i="86"/>
  <c r="P330" i="86"/>
  <c r="Q330" i="86"/>
  <c r="R330" i="86"/>
  <c r="S330" i="86"/>
  <c r="T330" i="86"/>
  <c r="U330" i="86"/>
  <c r="V330" i="86"/>
  <c r="W330" i="86"/>
  <c r="X330" i="86"/>
  <c r="Y330" i="86"/>
  <c r="Z330" i="86"/>
  <c r="AA330" i="86"/>
  <c r="AB330" i="86"/>
  <c r="AC330" i="86"/>
  <c r="AD330" i="86"/>
  <c r="AE330" i="86"/>
  <c r="AF330" i="86"/>
  <c r="AG330" i="86"/>
  <c r="AH330" i="86"/>
  <c r="H331" i="86"/>
  <c r="I331" i="86"/>
  <c r="J331" i="86"/>
  <c r="K331" i="86"/>
  <c r="L331" i="86"/>
  <c r="M331" i="86"/>
  <c r="N331" i="86"/>
  <c r="O331" i="86"/>
  <c r="P331" i="86"/>
  <c r="Q331" i="86"/>
  <c r="R331" i="86"/>
  <c r="S331" i="86"/>
  <c r="T331" i="86"/>
  <c r="U331" i="86"/>
  <c r="V331" i="86"/>
  <c r="W331" i="86"/>
  <c r="X331" i="86"/>
  <c r="Y331" i="86"/>
  <c r="Z331" i="86"/>
  <c r="AA331" i="86"/>
  <c r="AB331" i="86"/>
  <c r="AC331" i="86"/>
  <c r="AD331" i="86"/>
  <c r="AE331" i="86"/>
  <c r="AF331" i="86"/>
  <c r="AG331" i="86"/>
  <c r="AH331" i="86"/>
  <c r="H332" i="86"/>
  <c r="I332" i="86"/>
  <c r="J332" i="86"/>
  <c r="K332" i="86"/>
  <c r="L332" i="86"/>
  <c r="M332" i="86"/>
  <c r="N332" i="86"/>
  <c r="O332" i="86"/>
  <c r="P332" i="86"/>
  <c r="Q332" i="86"/>
  <c r="R332" i="86"/>
  <c r="S332" i="86"/>
  <c r="T332" i="86"/>
  <c r="U332" i="86"/>
  <c r="V332" i="86"/>
  <c r="W332" i="86"/>
  <c r="X332" i="86"/>
  <c r="Y332" i="86"/>
  <c r="Z332" i="86"/>
  <c r="AA332" i="86"/>
  <c r="AB332" i="86"/>
  <c r="AC332" i="86"/>
  <c r="AD332" i="86"/>
  <c r="AE332" i="86"/>
  <c r="AF332" i="86"/>
  <c r="AG332" i="86"/>
  <c r="AH332" i="86"/>
  <c r="H333" i="86"/>
  <c r="I333" i="86"/>
  <c r="J333" i="86"/>
  <c r="K333" i="86"/>
  <c r="L333" i="86"/>
  <c r="M333" i="86"/>
  <c r="N333" i="86"/>
  <c r="O333" i="86"/>
  <c r="P333" i="86"/>
  <c r="Q333" i="86"/>
  <c r="R333" i="86"/>
  <c r="S333" i="86"/>
  <c r="T333" i="86"/>
  <c r="U333" i="86"/>
  <c r="V333" i="86"/>
  <c r="W333" i="86"/>
  <c r="X333" i="86"/>
  <c r="Y333" i="86"/>
  <c r="Z333" i="86"/>
  <c r="AA333" i="86"/>
  <c r="AB333" i="86"/>
  <c r="AC333" i="86"/>
  <c r="AD333" i="86"/>
  <c r="AE333" i="86"/>
  <c r="AF333" i="86"/>
  <c r="AG333" i="86"/>
  <c r="AH333" i="86"/>
  <c r="H334" i="86"/>
  <c r="I334" i="86"/>
  <c r="J334" i="86"/>
  <c r="K334" i="86"/>
  <c r="L334" i="86"/>
  <c r="M334" i="86"/>
  <c r="N334" i="86"/>
  <c r="O334" i="86"/>
  <c r="P334" i="86"/>
  <c r="Q334" i="86"/>
  <c r="R334" i="86"/>
  <c r="S334" i="86"/>
  <c r="T334" i="86"/>
  <c r="U334" i="86"/>
  <c r="V334" i="86"/>
  <c r="W334" i="86"/>
  <c r="X334" i="86"/>
  <c r="Y334" i="86"/>
  <c r="Z334" i="86"/>
  <c r="AA334" i="86"/>
  <c r="AB334" i="86"/>
  <c r="AC334" i="86"/>
  <c r="AD334" i="86"/>
  <c r="AE334" i="86"/>
  <c r="AF334" i="86"/>
  <c r="AG334" i="86"/>
  <c r="AH334" i="86"/>
  <c r="H335" i="86"/>
  <c r="I335" i="86"/>
  <c r="J335" i="86"/>
  <c r="K335" i="86"/>
  <c r="L335" i="86"/>
  <c r="M335" i="86"/>
  <c r="N335" i="86"/>
  <c r="O335" i="86"/>
  <c r="P335" i="86"/>
  <c r="Q335" i="86"/>
  <c r="R335" i="86"/>
  <c r="S335" i="86"/>
  <c r="T335" i="86"/>
  <c r="U335" i="86"/>
  <c r="V335" i="86"/>
  <c r="W335" i="86"/>
  <c r="X335" i="86"/>
  <c r="Y335" i="86"/>
  <c r="Z335" i="86"/>
  <c r="AA335" i="86"/>
  <c r="AB335" i="86"/>
  <c r="AC335" i="86"/>
  <c r="AD335" i="86"/>
  <c r="AE335" i="86"/>
  <c r="AF335" i="86"/>
  <c r="AG335" i="86"/>
  <c r="AH335" i="86"/>
  <c r="H336" i="86"/>
  <c r="I336" i="86"/>
  <c r="J336" i="86"/>
  <c r="K336" i="86"/>
  <c r="L336" i="86"/>
  <c r="M336" i="86"/>
  <c r="N336" i="86"/>
  <c r="O336" i="86"/>
  <c r="P336" i="86"/>
  <c r="Q336" i="86"/>
  <c r="R336" i="86"/>
  <c r="S336" i="86"/>
  <c r="T336" i="86"/>
  <c r="U336" i="86"/>
  <c r="V336" i="86"/>
  <c r="W336" i="86"/>
  <c r="X336" i="86"/>
  <c r="Y336" i="86"/>
  <c r="Z336" i="86"/>
  <c r="AA336" i="86"/>
  <c r="AB336" i="86"/>
  <c r="AC336" i="86"/>
  <c r="AD336" i="86"/>
  <c r="AE336" i="86"/>
  <c r="AF336" i="86"/>
  <c r="AG336" i="86"/>
  <c r="AH336" i="86"/>
  <c r="H337" i="86"/>
  <c r="I337" i="86"/>
  <c r="J337" i="86"/>
  <c r="K337" i="86"/>
  <c r="L337" i="86"/>
  <c r="M337" i="86"/>
  <c r="N337" i="86"/>
  <c r="O337" i="86"/>
  <c r="P337" i="86"/>
  <c r="Q337" i="86"/>
  <c r="R337" i="86"/>
  <c r="S337" i="86"/>
  <c r="T337" i="86"/>
  <c r="U337" i="86"/>
  <c r="V337" i="86"/>
  <c r="W337" i="86"/>
  <c r="X337" i="86"/>
  <c r="Y337" i="86"/>
  <c r="Z337" i="86"/>
  <c r="AA337" i="86"/>
  <c r="AB337" i="86"/>
  <c r="AC337" i="86"/>
  <c r="AD337" i="86"/>
  <c r="AE337" i="86"/>
  <c r="AF337" i="86"/>
  <c r="AG337" i="86"/>
  <c r="AH337" i="86"/>
  <c r="H338" i="86"/>
  <c r="I338" i="86"/>
  <c r="J338" i="86"/>
  <c r="K338" i="86"/>
  <c r="L338" i="86"/>
  <c r="M338" i="86"/>
  <c r="N338" i="86"/>
  <c r="O338" i="86"/>
  <c r="P338" i="86"/>
  <c r="Q338" i="86"/>
  <c r="R338" i="86"/>
  <c r="S338" i="86"/>
  <c r="T338" i="86"/>
  <c r="U338" i="86"/>
  <c r="V338" i="86"/>
  <c r="W338" i="86"/>
  <c r="X338" i="86"/>
  <c r="Y338" i="86"/>
  <c r="Z338" i="86"/>
  <c r="AA338" i="86"/>
  <c r="AB338" i="86"/>
  <c r="AC338" i="86"/>
  <c r="AD338" i="86"/>
  <c r="AE338" i="86"/>
  <c r="AF338" i="86"/>
  <c r="AG338" i="86"/>
  <c r="AH338" i="86"/>
  <c r="H339" i="86"/>
  <c r="I339" i="86"/>
  <c r="J339" i="86"/>
  <c r="K339" i="86"/>
  <c r="L339" i="86"/>
  <c r="M339" i="86"/>
  <c r="N339" i="86"/>
  <c r="O339" i="86"/>
  <c r="P339" i="86"/>
  <c r="Q339" i="86"/>
  <c r="R339" i="86"/>
  <c r="S339" i="86"/>
  <c r="T339" i="86"/>
  <c r="U339" i="86"/>
  <c r="V339" i="86"/>
  <c r="W339" i="86"/>
  <c r="X339" i="86"/>
  <c r="Y339" i="86"/>
  <c r="Z339" i="86"/>
  <c r="AA339" i="86"/>
  <c r="AB339" i="86"/>
  <c r="AC339" i="86"/>
  <c r="AD339" i="86"/>
  <c r="AE339" i="86"/>
  <c r="AF339" i="86"/>
  <c r="AG339" i="86"/>
  <c r="AH339" i="86"/>
  <c r="H340" i="86"/>
  <c r="I340" i="86"/>
  <c r="J340" i="86"/>
  <c r="K340" i="86"/>
  <c r="L340" i="86"/>
  <c r="M340" i="86"/>
  <c r="N340" i="86"/>
  <c r="O340" i="86"/>
  <c r="P340" i="86"/>
  <c r="Q340" i="86"/>
  <c r="R340" i="86"/>
  <c r="S340" i="86"/>
  <c r="T340" i="86"/>
  <c r="U340" i="86"/>
  <c r="V340" i="86"/>
  <c r="W340" i="86"/>
  <c r="X340" i="86"/>
  <c r="Y340" i="86"/>
  <c r="Z340" i="86"/>
  <c r="AA340" i="86"/>
  <c r="AB340" i="86"/>
  <c r="AC340" i="86"/>
  <c r="AD340" i="86"/>
  <c r="AE340" i="86"/>
  <c r="AF340" i="86"/>
  <c r="AG340" i="86"/>
  <c r="AH340" i="86"/>
  <c r="H341" i="86"/>
  <c r="I341" i="86"/>
  <c r="J341" i="86"/>
  <c r="K341" i="86"/>
  <c r="L341" i="86"/>
  <c r="M341" i="86"/>
  <c r="N341" i="86"/>
  <c r="O341" i="86"/>
  <c r="P341" i="86"/>
  <c r="Q341" i="86"/>
  <c r="R341" i="86"/>
  <c r="S341" i="86"/>
  <c r="T341" i="86"/>
  <c r="U341" i="86"/>
  <c r="V341" i="86"/>
  <c r="W341" i="86"/>
  <c r="X341" i="86"/>
  <c r="Y341" i="86"/>
  <c r="Z341" i="86"/>
  <c r="AA341" i="86"/>
  <c r="AB341" i="86"/>
  <c r="AC341" i="86"/>
  <c r="AD341" i="86"/>
  <c r="AE341" i="86"/>
  <c r="AF341" i="86"/>
  <c r="AG341" i="86"/>
  <c r="AH341" i="86"/>
  <c r="H342" i="86"/>
  <c r="I342" i="86"/>
  <c r="J342" i="86"/>
  <c r="K342" i="86"/>
  <c r="L342" i="86"/>
  <c r="M342" i="86"/>
  <c r="N342" i="86"/>
  <c r="O342" i="86"/>
  <c r="P342" i="86"/>
  <c r="Q342" i="86"/>
  <c r="R342" i="86"/>
  <c r="S342" i="86"/>
  <c r="T342" i="86"/>
  <c r="U342" i="86"/>
  <c r="V342" i="86"/>
  <c r="W342" i="86"/>
  <c r="X342" i="86"/>
  <c r="Y342" i="86"/>
  <c r="Z342" i="86"/>
  <c r="AA342" i="86"/>
  <c r="AB342" i="86"/>
  <c r="AC342" i="86"/>
  <c r="AD342" i="86"/>
  <c r="AE342" i="86"/>
  <c r="AF342" i="86"/>
  <c r="AG342" i="86"/>
  <c r="AH342" i="86"/>
  <c r="H343" i="86"/>
  <c r="I343" i="86"/>
  <c r="J343" i="86"/>
  <c r="K343" i="86"/>
  <c r="L343" i="86"/>
  <c r="M343" i="86"/>
  <c r="N343" i="86"/>
  <c r="O343" i="86"/>
  <c r="P343" i="86"/>
  <c r="Q343" i="86"/>
  <c r="R343" i="86"/>
  <c r="S343" i="86"/>
  <c r="T343" i="86"/>
  <c r="U343" i="86"/>
  <c r="V343" i="86"/>
  <c r="W343" i="86"/>
  <c r="X343" i="86"/>
  <c r="Y343" i="86"/>
  <c r="Z343" i="86"/>
  <c r="AA343" i="86"/>
  <c r="AB343" i="86"/>
  <c r="AC343" i="86"/>
  <c r="AD343" i="86"/>
  <c r="AE343" i="86"/>
  <c r="AF343" i="86"/>
  <c r="AG343" i="86"/>
  <c r="AH343" i="86"/>
  <c r="H344" i="86"/>
  <c r="I344" i="86"/>
  <c r="J344" i="86"/>
  <c r="K344" i="86"/>
  <c r="L344" i="86"/>
  <c r="M344" i="86"/>
  <c r="N344" i="86"/>
  <c r="O344" i="86"/>
  <c r="P344" i="86"/>
  <c r="Q344" i="86"/>
  <c r="R344" i="86"/>
  <c r="S344" i="86"/>
  <c r="T344" i="86"/>
  <c r="U344" i="86"/>
  <c r="V344" i="86"/>
  <c r="W344" i="86"/>
  <c r="X344" i="86"/>
  <c r="Y344" i="86"/>
  <c r="Z344" i="86"/>
  <c r="AA344" i="86"/>
  <c r="AB344" i="86"/>
  <c r="AC344" i="86"/>
  <c r="AD344" i="86"/>
  <c r="AE344" i="86"/>
  <c r="AF344" i="86"/>
  <c r="AG344" i="86"/>
  <c r="AH344" i="86"/>
  <c r="H345" i="86"/>
  <c r="I345" i="86"/>
  <c r="J345" i="86"/>
  <c r="K345" i="86"/>
  <c r="L345" i="86"/>
  <c r="M345" i="86"/>
  <c r="N345" i="86"/>
  <c r="O345" i="86"/>
  <c r="P345" i="86"/>
  <c r="Q345" i="86"/>
  <c r="R345" i="86"/>
  <c r="S345" i="86"/>
  <c r="T345" i="86"/>
  <c r="U345" i="86"/>
  <c r="V345" i="86"/>
  <c r="W345" i="86"/>
  <c r="X345" i="86"/>
  <c r="Y345" i="86"/>
  <c r="Z345" i="86"/>
  <c r="AA345" i="86"/>
  <c r="AB345" i="86"/>
  <c r="AC345" i="86"/>
  <c r="AD345" i="86"/>
  <c r="AE345" i="86"/>
  <c r="AF345" i="86"/>
  <c r="AG345" i="86"/>
  <c r="AH345" i="86"/>
  <c r="H346" i="86"/>
  <c r="I346" i="86"/>
  <c r="J346" i="86"/>
  <c r="K346" i="86"/>
  <c r="L346" i="86"/>
  <c r="M346" i="86"/>
  <c r="N346" i="86"/>
  <c r="O346" i="86"/>
  <c r="P346" i="86"/>
  <c r="Q346" i="86"/>
  <c r="R346" i="86"/>
  <c r="S346" i="86"/>
  <c r="T346" i="86"/>
  <c r="U346" i="86"/>
  <c r="V346" i="86"/>
  <c r="W346" i="86"/>
  <c r="X346" i="86"/>
  <c r="Y346" i="86"/>
  <c r="Z346" i="86"/>
  <c r="AA346" i="86"/>
  <c r="AB346" i="86"/>
  <c r="AC346" i="86"/>
  <c r="AD346" i="86"/>
  <c r="AE346" i="86"/>
  <c r="AF346" i="86"/>
  <c r="AG346" i="86"/>
  <c r="AH346" i="86"/>
  <c r="H347" i="86"/>
  <c r="I347" i="86"/>
  <c r="J347" i="86"/>
  <c r="K347" i="86"/>
  <c r="L347" i="86"/>
  <c r="M347" i="86"/>
  <c r="N347" i="86"/>
  <c r="O347" i="86"/>
  <c r="P347" i="86"/>
  <c r="Q347" i="86"/>
  <c r="R347" i="86"/>
  <c r="S347" i="86"/>
  <c r="T347" i="86"/>
  <c r="U347" i="86"/>
  <c r="V347" i="86"/>
  <c r="W347" i="86"/>
  <c r="X347" i="86"/>
  <c r="Y347" i="86"/>
  <c r="Z347" i="86"/>
  <c r="AA347" i="86"/>
  <c r="AB347" i="86"/>
  <c r="AC347" i="86"/>
  <c r="AD347" i="86"/>
  <c r="AE347" i="86"/>
  <c r="AF347" i="86"/>
  <c r="AG347" i="86"/>
  <c r="AH347" i="86"/>
  <c r="H348" i="86"/>
  <c r="I348" i="86"/>
  <c r="J348" i="86"/>
  <c r="K348" i="86"/>
  <c r="L348" i="86"/>
  <c r="M348" i="86"/>
  <c r="N348" i="86"/>
  <c r="O348" i="86"/>
  <c r="P348" i="86"/>
  <c r="Q348" i="86"/>
  <c r="R348" i="86"/>
  <c r="S348" i="86"/>
  <c r="T348" i="86"/>
  <c r="U348" i="86"/>
  <c r="V348" i="86"/>
  <c r="W348" i="86"/>
  <c r="X348" i="86"/>
  <c r="Y348" i="86"/>
  <c r="Z348" i="86"/>
  <c r="AA348" i="86"/>
  <c r="AB348" i="86"/>
  <c r="AC348" i="86"/>
  <c r="AD348" i="86"/>
  <c r="AE348" i="86"/>
  <c r="AF348" i="86"/>
  <c r="AG348" i="86"/>
  <c r="AH348" i="86"/>
  <c r="H349" i="86"/>
  <c r="I349" i="86"/>
  <c r="J349" i="86"/>
  <c r="K349" i="86"/>
  <c r="L349" i="86"/>
  <c r="M349" i="86"/>
  <c r="N349" i="86"/>
  <c r="O349" i="86"/>
  <c r="P349" i="86"/>
  <c r="Q349" i="86"/>
  <c r="R349" i="86"/>
  <c r="S349" i="86"/>
  <c r="T349" i="86"/>
  <c r="U349" i="86"/>
  <c r="V349" i="86"/>
  <c r="W349" i="86"/>
  <c r="X349" i="86"/>
  <c r="Y349" i="86"/>
  <c r="Z349" i="86"/>
  <c r="AA349" i="86"/>
  <c r="AB349" i="86"/>
  <c r="AC349" i="86"/>
  <c r="AD349" i="86"/>
  <c r="AE349" i="86"/>
  <c r="AF349" i="86"/>
  <c r="AG349" i="86"/>
  <c r="AH349" i="86"/>
  <c r="H350" i="86"/>
  <c r="I350" i="86"/>
  <c r="J350" i="86"/>
  <c r="K350" i="86"/>
  <c r="L350" i="86"/>
  <c r="M350" i="86"/>
  <c r="N350" i="86"/>
  <c r="O350" i="86"/>
  <c r="P350" i="86"/>
  <c r="Q350" i="86"/>
  <c r="R350" i="86"/>
  <c r="S350" i="86"/>
  <c r="T350" i="86"/>
  <c r="U350" i="86"/>
  <c r="V350" i="86"/>
  <c r="W350" i="86"/>
  <c r="X350" i="86"/>
  <c r="Y350" i="86"/>
  <c r="Z350" i="86"/>
  <c r="AA350" i="86"/>
  <c r="AB350" i="86"/>
  <c r="AC350" i="86"/>
  <c r="AD350" i="86"/>
  <c r="AE350" i="86"/>
  <c r="AF350" i="86"/>
  <c r="AG350" i="86"/>
  <c r="AH350" i="86"/>
  <c r="H351" i="86"/>
  <c r="I351" i="86"/>
  <c r="J351" i="86"/>
  <c r="K351" i="86"/>
  <c r="L351" i="86"/>
  <c r="M351" i="86"/>
  <c r="N351" i="86"/>
  <c r="O351" i="86"/>
  <c r="P351" i="86"/>
  <c r="Q351" i="86"/>
  <c r="R351" i="86"/>
  <c r="S351" i="86"/>
  <c r="T351" i="86"/>
  <c r="U351" i="86"/>
  <c r="V351" i="86"/>
  <c r="W351" i="86"/>
  <c r="X351" i="86"/>
  <c r="Y351" i="86"/>
  <c r="Z351" i="86"/>
  <c r="AA351" i="86"/>
  <c r="AB351" i="86"/>
  <c r="AC351" i="86"/>
  <c r="AD351" i="86"/>
  <c r="AE351" i="86"/>
  <c r="AF351" i="86"/>
  <c r="AG351" i="86"/>
  <c r="AH351" i="86"/>
  <c r="H352" i="86"/>
  <c r="I352" i="86"/>
  <c r="J352" i="86"/>
  <c r="K352" i="86"/>
  <c r="L352" i="86"/>
  <c r="M352" i="86"/>
  <c r="N352" i="86"/>
  <c r="O352" i="86"/>
  <c r="P352" i="86"/>
  <c r="Q352" i="86"/>
  <c r="R352" i="86"/>
  <c r="S352" i="86"/>
  <c r="T352" i="86"/>
  <c r="U352" i="86"/>
  <c r="V352" i="86"/>
  <c r="W352" i="86"/>
  <c r="X352" i="86"/>
  <c r="Y352" i="86"/>
  <c r="Z352" i="86"/>
  <c r="AA352" i="86"/>
  <c r="AB352" i="86"/>
  <c r="AC352" i="86"/>
  <c r="AD352" i="86"/>
  <c r="AE352" i="86"/>
  <c r="AF352" i="86"/>
  <c r="AG352" i="86"/>
  <c r="AH352" i="86"/>
  <c r="H353" i="86"/>
  <c r="I353" i="86"/>
  <c r="J353" i="86"/>
  <c r="K353" i="86"/>
  <c r="L353" i="86"/>
  <c r="M353" i="86"/>
  <c r="N353" i="86"/>
  <c r="O353" i="86"/>
  <c r="P353" i="86"/>
  <c r="Q353" i="86"/>
  <c r="R353" i="86"/>
  <c r="S353" i="86"/>
  <c r="T353" i="86"/>
  <c r="U353" i="86"/>
  <c r="V353" i="86"/>
  <c r="W353" i="86"/>
  <c r="X353" i="86"/>
  <c r="Y353" i="86"/>
  <c r="Z353" i="86"/>
  <c r="AA353" i="86"/>
  <c r="AB353" i="86"/>
  <c r="AC353" i="86"/>
  <c r="AD353" i="86"/>
  <c r="AE353" i="86"/>
  <c r="AF353" i="86"/>
  <c r="AG353" i="86"/>
  <c r="AH353" i="86"/>
  <c r="H354" i="86"/>
  <c r="I354" i="86"/>
  <c r="J354" i="86"/>
  <c r="K354" i="86"/>
  <c r="L354" i="86"/>
  <c r="M354" i="86"/>
  <c r="N354" i="86"/>
  <c r="O354" i="86"/>
  <c r="P354" i="86"/>
  <c r="Q354" i="86"/>
  <c r="R354" i="86"/>
  <c r="S354" i="86"/>
  <c r="T354" i="86"/>
  <c r="U354" i="86"/>
  <c r="V354" i="86"/>
  <c r="W354" i="86"/>
  <c r="X354" i="86"/>
  <c r="Y354" i="86"/>
  <c r="Z354" i="86"/>
  <c r="AA354" i="86"/>
  <c r="AB354" i="86"/>
  <c r="AC354" i="86"/>
  <c r="AD354" i="86"/>
  <c r="AE354" i="86"/>
  <c r="AF354" i="86"/>
  <c r="AG354" i="86"/>
  <c r="AH354" i="86"/>
  <c r="H355" i="86"/>
  <c r="I355" i="86"/>
  <c r="J355" i="86"/>
  <c r="K355" i="86"/>
  <c r="L355" i="86"/>
  <c r="M355" i="86"/>
  <c r="N355" i="86"/>
  <c r="O355" i="86"/>
  <c r="P355" i="86"/>
  <c r="Q355" i="86"/>
  <c r="R355" i="86"/>
  <c r="S355" i="86"/>
  <c r="T355" i="86"/>
  <c r="U355" i="86"/>
  <c r="V355" i="86"/>
  <c r="W355" i="86"/>
  <c r="X355" i="86"/>
  <c r="Y355" i="86"/>
  <c r="Z355" i="86"/>
  <c r="AA355" i="86"/>
  <c r="AB355" i="86"/>
  <c r="AC355" i="86"/>
  <c r="AD355" i="86"/>
  <c r="AE355" i="86"/>
  <c r="AF355" i="86"/>
  <c r="AG355" i="86"/>
  <c r="AH355" i="86"/>
  <c r="H356" i="86"/>
  <c r="I356" i="86"/>
  <c r="J356" i="86"/>
  <c r="K356" i="86"/>
  <c r="L356" i="86"/>
  <c r="M356" i="86"/>
  <c r="N356" i="86"/>
  <c r="O356" i="86"/>
  <c r="P356" i="86"/>
  <c r="Q356" i="86"/>
  <c r="R356" i="86"/>
  <c r="S356" i="86"/>
  <c r="T356" i="86"/>
  <c r="U356" i="86"/>
  <c r="V356" i="86"/>
  <c r="W356" i="86"/>
  <c r="X356" i="86"/>
  <c r="Y356" i="86"/>
  <c r="Z356" i="86"/>
  <c r="AA356" i="86"/>
  <c r="AB356" i="86"/>
  <c r="AC356" i="86"/>
  <c r="AD356" i="86"/>
  <c r="AE356" i="86"/>
  <c r="AF356" i="86"/>
  <c r="AG356" i="86"/>
  <c r="AH356" i="86"/>
  <c r="H357" i="86"/>
  <c r="I357" i="86"/>
  <c r="J357" i="86"/>
  <c r="K357" i="86"/>
  <c r="L357" i="86"/>
  <c r="M357" i="86"/>
  <c r="N357" i="86"/>
  <c r="O357" i="86"/>
  <c r="P357" i="86"/>
  <c r="Q357" i="86"/>
  <c r="R357" i="86"/>
  <c r="S357" i="86"/>
  <c r="T357" i="86"/>
  <c r="U357" i="86"/>
  <c r="V357" i="86"/>
  <c r="W357" i="86"/>
  <c r="X357" i="86"/>
  <c r="Y357" i="86"/>
  <c r="Z357" i="86"/>
  <c r="AA357" i="86"/>
  <c r="AB357" i="86"/>
  <c r="AC357" i="86"/>
  <c r="AD357" i="86"/>
  <c r="AE357" i="86"/>
  <c r="AF357" i="86"/>
  <c r="AG357" i="86"/>
  <c r="AH357" i="86"/>
  <c r="H358" i="86"/>
  <c r="I358" i="86"/>
  <c r="J358" i="86"/>
  <c r="K358" i="86"/>
  <c r="L358" i="86"/>
  <c r="M358" i="86"/>
  <c r="N358" i="86"/>
  <c r="O358" i="86"/>
  <c r="P358" i="86"/>
  <c r="Q358" i="86"/>
  <c r="R358" i="86"/>
  <c r="S358" i="86"/>
  <c r="T358" i="86"/>
  <c r="U358" i="86"/>
  <c r="V358" i="86"/>
  <c r="W358" i="86"/>
  <c r="X358" i="86"/>
  <c r="Y358" i="86"/>
  <c r="Z358" i="86"/>
  <c r="AA358" i="86"/>
  <c r="AB358" i="86"/>
  <c r="AC358" i="86"/>
  <c r="AD358" i="86"/>
  <c r="AE358" i="86"/>
  <c r="AF358" i="86"/>
  <c r="AG358" i="86"/>
  <c r="AH358" i="86"/>
  <c r="H359" i="86"/>
  <c r="I359" i="86"/>
  <c r="J359" i="86"/>
  <c r="K359" i="86"/>
  <c r="L359" i="86"/>
  <c r="M359" i="86"/>
  <c r="N359" i="86"/>
  <c r="O359" i="86"/>
  <c r="P359" i="86"/>
  <c r="Q359" i="86"/>
  <c r="R359" i="86"/>
  <c r="S359" i="86"/>
  <c r="T359" i="86"/>
  <c r="U359" i="86"/>
  <c r="V359" i="86"/>
  <c r="W359" i="86"/>
  <c r="X359" i="86"/>
  <c r="Y359" i="86"/>
  <c r="Z359" i="86"/>
  <c r="AA359" i="86"/>
  <c r="AB359" i="86"/>
  <c r="AC359" i="86"/>
  <c r="AD359" i="86"/>
  <c r="AE359" i="86"/>
  <c r="AF359" i="86"/>
  <c r="AG359" i="86"/>
  <c r="AH359" i="86"/>
  <c r="H360" i="86"/>
  <c r="I360" i="86"/>
  <c r="J360" i="86"/>
  <c r="K360" i="86"/>
  <c r="L360" i="86"/>
  <c r="M360" i="86"/>
  <c r="N360" i="86"/>
  <c r="O360" i="86"/>
  <c r="P360" i="86"/>
  <c r="Q360" i="86"/>
  <c r="R360" i="86"/>
  <c r="S360" i="86"/>
  <c r="T360" i="86"/>
  <c r="U360" i="86"/>
  <c r="V360" i="86"/>
  <c r="W360" i="86"/>
  <c r="X360" i="86"/>
  <c r="Y360" i="86"/>
  <c r="Z360" i="86"/>
  <c r="AA360" i="86"/>
  <c r="AB360" i="86"/>
  <c r="AC360" i="86"/>
  <c r="AD360" i="86"/>
  <c r="AE360" i="86"/>
  <c r="AF360" i="86"/>
  <c r="AG360" i="86"/>
  <c r="AH360" i="86"/>
  <c r="H361" i="86"/>
  <c r="I361" i="86"/>
  <c r="J361" i="86"/>
  <c r="K361" i="86"/>
  <c r="L361" i="86"/>
  <c r="M361" i="86"/>
  <c r="N361" i="86"/>
  <c r="O361" i="86"/>
  <c r="P361" i="86"/>
  <c r="Q361" i="86"/>
  <c r="R361" i="86"/>
  <c r="S361" i="86"/>
  <c r="T361" i="86"/>
  <c r="U361" i="86"/>
  <c r="V361" i="86"/>
  <c r="W361" i="86"/>
  <c r="X361" i="86"/>
  <c r="Y361" i="86"/>
  <c r="Z361" i="86"/>
  <c r="AA361" i="86"/>
  <c r="AB361" i="86"/>
  <c r="AC361" i="86"/>
  <c r="AD361" i="86"/>
  <c r="AE361" i="86"/>
  <c r="AF361" i="86"/>
  <c r="AG361" i="86"/>
  <c r="AH361" i="86"/>
  <c r="H362" i="86"/>
  <c r="I362" i="86"/>
  <c r="J362" i="86"/>
  <c r="K362" i="86"/>
  <c r="L362" i="86"/>
  <c r="M362" i="86"/>
  <c r="N362" i="86"/>
  <c r="O362" i="86"/>
  <c r="P362" i="86"/>
  <c r="Q362" i="86"/>
  <c r="R362" i="86"/>
  <c r="S362" i="86"/>
  <c r="T362" i="86"/>
  <c r="U362" i="86"/>
  <c r="V362" i="86"/>
  <c r="W362" i="86"/>
  <c r="X362" i="86"/>
  <c r="Y362" i="86"/>
  <c r="Z362" i="86"/>
  <c r="AA362" i="86"/>
  <c r="AB362" i="86"/>
  <c r="AC362" i="86"/>
  <c r="AD362" i="86"/>
  <c r="AE362" i="86"/>
  <c r="AF362" i="86"/>
  <c r="AG362" i="86"/>
  <c r="AH362" i="86"/>
  <c r="H363" i="86"/>
  <c r="I363" i="86"/>
  <c r="J363" i="86"/>
  <c r="K363" i="86"/>
  <c r="L363" i="86"/>
  <c r="M363" i="86"/>
  <c r="N363" i="86"/>
  <c r="O363" i="86"/>
  <c r="P363" i="86"/>
  <c r="Q363" i="86"/>
  <c r="R363" i="86"/>
  <c r="S363" i="86"/>
  <c r="T363" i="86"/>
  <c r="U363" i="86"/>
  <c r="V363" i="86"/>
  <c r="W363" i="86"/>
  <c r="X363" i="86"/>
  <c r="Y363" i="86"/>
  <c r="Z363" i="86"/>
  <c r="AA363" i="86"/>
  <c r="AB363" i="86"/>
  <c r="AC363" i="86"/>
  <c r="AD363" i="86"/>
  <c r="AE363" i="86"/>
  <c r="AF363" i="86"/>
  <c r="AG363" i="86"/>
  <c r="AH363" i="86"/>
  <c r="H364" i="86"/>
  <c r="I364" i="86"/>
  <c r="J364" i="86"/>
  <c r="K364" i="86"/>
  <c r="L364" i="86"/>
  <c r="M364" i="86"/>
  <c r="N364" i="86"/>
  <c r="O364" i="86"/>
  <c r="P364" i="86"/>
  <c r="Q364" i="86"/>
  <c r="R364" i="86"/>
  <c r="S364" i="86"/>
  <c r="T364" i="86"/>
  <c r="U364" i="86"/>
  <c r="V364" i="86"/>
  <c r="W364" i="86"/>
  <c r="X364" i="86"/>
  <c r="Y364" i="86"/>
  <c r="Z364" i="86"/>
  <c r="AA364" i="86"/>
  <c r="AB364" i="86"/>
  <c r="AC364" i="86"/>
  <c r="AD364" i="86"/>
  <c r="AE364" i="86"/>
  <c r="AF364" i="86"/>
  <c r="AG364" i="86"/>
  <c r="AH364" i="86"/>
  <c r="H365" i="86"/>
  <c r="I365" i="86"/>
  <c r="J365" i="86"/>
  <c r="K365" i="86"/>
  <c r="L365" i="86"/>
  <c r="M365" i="86"/>
  <c r="N365" i="86"/>
  <c r="O365" i="86"/>
  <c r="P365" i="86"/>
  <c r="Q365" i="86"/>
  <c r="R365" i="86"/>
  <c r="S365" i="86"/>
  <c r="T365" i="86"/>
  <c r="U365" i="86"/>
  <c r="V365" i="86"/>
  <c r="W365" i="86"/>
  <c r="X365" i="86"/>
  <c r="Y365" i="86"/>
  <c r="Z365" i="86"/>
  <c r="AA365" i="86"/>
  <c r="AB365" i="86"/>
  <c r="AC365" i="86"/>
  <c r="AD365" i="86"/>
  <c r="AE365" i="86"/>
  <c r="AF365" i="86"/>
  <c r="AG365" i="86"/>
  <c r="AH365" i="86"/>
  <c r="H366" i="86"/>
  <c r="I366" i="86"/>
  <c r="J366" i="86"/>
  <c r="K366" i="86"/>
  <c r="L366" i="86"/>
  <c r="M366" i="86"/>
  <c r="N366" i="86"/>
  <c r="O366" i="86"/>
  <c r="P366" i="86"/>
  <c r="Q366" i="86"/>
  <c r="R366" i="86"/>
  <c r="S366" i="86"/>
  <c r="T366" i="86"/>
  <c r="U366" i="86"/>
  <c r="V366" i="86"/>
  <c r="W366" i="86"/>
  <c r="X366" i="86"/>
  <c r="Y366" i="86"/>
  <c r="Z366" i="86"/>
  <c r="AA366" i="86"/>
  <c r="AB366" i="86"/>
  <c r="AC366" i="86"/>
  <c r="AD366" i="86"/>
  <c r="AE366" i="86"/>
  <c r="AF366" i="86"/>
  <c r="AG366" i="86"/>
  <c r="AH366" i="86"/>
  <c r="H367" i="86"/>
  <c r="I367" i="86"/>
  <c r="J367" i="86"/>
  <c r="K367" i="86"/>
  <c r="L367" i="86"/>
  <c r="M367" i="86"/>
  <c r="N367" i="86"/>
  <c r="O367" i="86"/>
  <c r="P367" i="86"/>
  <c r="Q367" i="86"/>
  <c r="R367" i="86"/>
  <c r="S367" i="86"/>
  <c r="T367" i="86"/>
  <c r="U367" i="86"/>
  <c r="V367" i="86"/>
  <c r="W367" i="86"/>
  <c r="X367" i="86"/>
  <c r="Y367" i="86"/>
  <c r="Z367" i="86"/>
  <c r="AA367" i="86"/>
  <c r="AB367" i="86"/>
  <c r="AC367" i="86"/>
  <c r="AD367" i="86"/>
  <c r="AE367" i="86"/>
  <c r="AF367" i="86"/>
  <c r="AG367" i="86"/>
  <c r="AH367" i="86"/>
  <c r="H368" i="86"/>
  <c r="I368" i="86"/>
  <c r="J368" i="86"/>
  <c r="K368" i="86"/>
  <c r="L368" i="86"/>
  <c r="M368" i="86"/>
  <c r="N368" i="86"/>
  <c r="O368" i="86"/>
  <c r="P368" i="86"/>
  <c r="Q368" i="86"/>
  <c r="R368" i="86"/>
  <c r="S368" i="86"/>
  <c r="T368" i="86"/>
  <c r="U368" i="86"/>
  <c r="V368" i="86"/>
  <c r="W368" i="86"/>
  <c r="X368" i="86"/>
  <c r="Y368" i="86"/>
  <c r="Z368" i="86"/>
  <c r="AA368" i="86"/>
  <c r="AB368" i="86"/>
  <c r="AC368" i="86"/>
  <c r="AD368" i="86"/>
  <c r="AE368" i="86"/>
  <c r="AF368" i="86"/>
  <c r="AG368" i="86"/>
  <c r="AH368" i="86"/>
  <c r="H369" i="86"/>
  <c r="I369" i="86"/>
  <c r="J369" i="86"/>
  <c r="K369" i="86"/>
  <c r="L369" i="86"/>
  <c r="M369" i="86"/>
  <c r="N369" i="86"/>
  <c r="O369" i="86"/>
  <c r="P369" i="86"/>
  <c r="Q369" i="86"/>
  <c r="R369" i="86"/>
  <c r="S369" i="86"/>
  <c r="T369" i="86"/>
  <c r="U369" i="86"/>
  <c r="V369" i="86"/>
  <c r="W369" i="86"/>
  <c r="X369" i="86"/>
  <c r="Y369" i="86"/>
  <c r="Z369" i="86"/>
  <c r="AA369" i="86"/>
  <c r="AB369" i="86"/>
  <c r="AC369" i="86"/>
  <c r="AD369" i="86"/>
  <c r="AE369" i="86"/>
  <c r="AF369" i="86"/>
  <c r="AG369" i="86"/>
  <c r="AH369" i="86"/>
  <c r="H370" i="86"/>
  <c r="I370" i="86"/>
  <c r="J370" i="86"/>
  <c r="K370" i="86"/>
  <c r="L370" i="86"/>
  <c r="M370" i="86"/>
  <c r="N370" i="86"/>
  <c r="O370" i="86"/>
  <c r="P370" i="86"/>
  <c r="Q370" i="86"/>
  <c r="R370" i="86"/>
  <c r="S370" i="86"/>
  <c r="T370" i="86"/>
  <c r="U370" i="86"/>
  <c r="V370" i="86"/>
  <c r="W370" i="86"/>
  <c r="X370" i="86"/>
  <c r="Y370" i="86"/>
  <c r="Z370" i="86"/>
  <c r="AA370" i="86"/>
  <c r="AB370" i="86"/>
  <c r="AC370" i="86"/>
  <c r="AD370" i="86"/>
  <c r="AE370" i="86"/>
  <c r="AF370" i="86"/>
  <c r="AG370" i="86"/>
  <c r="AH370" i="86"/>
  <c r="H371" i="86"/>
  <c r="I371" i="86"/>
  <c r="J371" i="86"/>
  <c r="K371" i="86"/>
  <c r="L371" i="86"/>
  <c r="M371" i="86"/>
  <c r="N371" i="86"/>
  <c r="O371" i="86"/>
  <c r="P371" i="86"/>
  <c r="Q371" i="86"/>
  <c r="R371" i="86"/>
  <c r="S371" i="86"/>
  <c r="T371" i="86"/>
  <c r="U371" i="86"/>
  <c r="V371" i="86"/>
  <c r="W371" i="86"/>
  <c r="X371" i="86"/>
  <c r="Y371" i="86"/>
  <c r="Z371" i="86"/>
  <c r="AA371" i="86"/>
  <c r="AB371" i="86"/>
  <c r="AC371" i="86"/>
  <c r="AD371" i="86"/>
  <c r="AE371" i="86"/>
  <c r="AF371" i="86"/>
  <c r="AG371" i="86"/>
  <c r="AH371" i="86"/>
  <c r="H372" i="86"/>
  <c r="I372" i="86"/>
  <c r="J372" i="86"/>
  <c r="K372" i="86"/>
  <c r="L372" i="86"/>
  <c r="M372" i="86"/>
  <c r="N372" i="86"/>
  <c r="O372" i="86"/>
  <c r="P372" i="86"/>
  <c r="Q372" i="86"/>
  <c r="R372" i="86"/>
  <c r="S372" i="86"/>
  <c r="T372" i="86"/>
  <c r="U372" i="86"/>
  <c r="V372" i="86"/>
  <c r="W372" i="86"/>
  <c r="X372" i="86"/>
  <c r="Y372" i="86"/>
  <c r="Z372" i="86"/>
  <c r="AA372" i="86"/>
  <c r="AB372" i="86"/>
  <c r="AC372" i="86"/>
  <c r="AD372" i="86"/>
  <c r="AE372" i="86"/>
  <c r="AF372" i="86"/>
  <c r="AG372" i="86"/>
  <c r="AH372" i="86"/>
  <c r="H373" i="86"/>
  <c r="I373" i="86"/>
  <c r="J373" i="86"/>
  <c r="K373" i="86"/>
  <c r="L373" i="86"/>
  <c r="M373" i="86"/>
  <c r="N373" i="86"/>
  <c r="O373" i="86"/>
  <c r="P373" i="86"/>
  <c r="Q373" i="86"/>
  <c r="R373" i="86"/>
  <c r="S373" i="86"/>
  <c r="T373" i="86"/>
  <c r="U373" i="86"/>
  <c r="V373" i="86"/>
  <c r="W373" i="86"/>
  <c r="X373" i="86"/>
  <c r="Y373" i="86"/>
  <c r="Z373" i="86"/>
  <c r="AA373" i="86"/>
  <c r="AB373" i="86"/>
  <c r="AC373" i="86"/>
  <c r="AD373" i="86"/>
  <c r="AE373" i="86"/>
  <c r="AF373" i="86"/>
  <c r="AG373" i="86"/>
  <c r="AH373" i="86"/>
  <c r="H374" i="86"/>
  <c r="I374" i="86"/>
  <c r="J374" i="86"/>
  <c r="K374" i="86"/>
  <c r="L374" i="86"/>
  <c r="M374" i="86"/>
  <c r="N374" i="86"/>
  <c r="O374" i="86"/>
  <c r="P374" i="86"/>
  <c r="Q374" i="86"/>
  <c r="R374" i="86"/>
  <c r="S374" i="86"/>
  <c r="T374" i="86"/>
  <c r="U374" i="86"/>
  <c r="V374" i="86"/>
  <c r="W374" i="86"/>
  <c r="X374" i="86"/>
  <c r="Y374" i="86"/>
  <c r="Z374" i="86"/>
  <c r="AA374" i="86"/>
  <c r="AB374" i="86"/>
  <c r="AC374" i="86"/>
  <c r="AD374" i="86"/>
  <c r="AE374" i="86"/>
  <c r="AF374" i="86"/>
  <c r="AG374" i="86"/>
  <c r="AH374" i="86"/>
  <c r="H375" i="86"/>
  <c r="I375" i="86"/>
  <c r="J375" i="86"/>
  <c r="K375" i="86"/>
  <c r="L375" i="86"/>
  <c r="M375" i="86"/>
  <c r="N375" i="86"/>
  <c r="O375" i="86"/>
  <c r="P375" i="86"/>
  <c r="Q375" i="86"/>
  <c r="R375" i="86"/>
  <c r="S375" i="86"/>
  <c r="T375" i="86"/>
  <c r="U375" i="86"/>
  <c r="V375" i="86"/>
  <c r="W375" i="86"/>
  <c r="X375" i="86"/>
  <c r="Y375" i="86"/>
  <c r="Z375" i="86"/>
  <c r="AA375" i="86"/>
  <c r="AB375" i="86"/>
  <c r="AC375" i="86"/>
  <c r="AD375" i="86"/>
  <c r="AE375" i="86"/>
  <c r="AF375" i="86"/>
  <c r="AG375" i="86"/>
  <c r="AH375" i="86"/>
  <c r="H376" i="86"/>
  <c r="I376" i="86"/>
  <c r="J376" i="86"/>
  <c r="K376" i="86"/>
  <c r="L376" i="86"/>
  <c r="M376" i="86"/>
  <c r="N376" i="86"/>
  <c r="O376" i="86"/>
  <c r="P376" i="86"/>
  <c r="Q376" i="86"/>
  <c r="R376" i="86"/>
  <c r="S376" i="86"/>
  <c r="T376" i="86"/>
  <c r="U376" i="86"/>
  <c r="V376" i="86"/>
  <c r="W376" i="86"/>
  <c r="X376" i="86"/>
  <c r="Y376" i="86"/>
  <c r="Z376" i="86"/>
  <c r="AA376" i="86"/>
  <c r="AB376" i="86"/>
  <c r="AC376" i="86"/>
  <c r="AD376" i="86"/>
  <c r="AE376" i="86"/>
  <c r="AF376" i="86"/>
  <c r="AG376" i="86"/>
  <c r="AH376" i="86"/>
  <c r="H377" i="86"/>
  <c r="I377" i="86"/>
  <c r="J377" i="86"/>
  <c r="K377" i="86"/>
  <c r="L377" i="86"/>
  <c r="M377" i="86"/>
  <c r="N377" i="86"/>
  <c r="O377" i="86"/>
  <c r="P377" i="86"/>
  <c r="Q377" i="86"/>
  <c r="R377" i="86"/>
  <c r="S377" i="86"/>
  <c r="T377" i="86"/>
  <c r="U377" i="86"/>
  <c r="V377" i="86"/>
  <c r="W377" i="86"/>
  <c r="X377" i="86"/>
  <c r="Y377" i="86"/>
  <c r="Z377" i="86"/>
  <c r="AA377" i="86"/>
  <c r="AB377" i="86"/>
  <c r="AC377" i="86"/>
  <c r="AD377" i="86"/>
  <c r="AE377" i="86"/>
  <c r="AF377" i="86"/>
  <c r="AG377" i="86"/>
  <c r="AH377" i="86"/>
  <c r="H378" i="86"/>
  <c r="I378" i="86"/>
  <c r="J378" i="86"/>
  <c r="K378" i="86"/>
  <c r="L378" i="86"/>
  <c r="M378" i="86"/>
  <c r="N378" i="86"/>
  <c r="O378" i="86"/>
  <c r="P378" i="86"/>
  <c r="Q378" i="86"/>
  <c r="R378" i="86"/>
  <c r="S378" i="86"/>
  <c r="T378" i="86"/>
  <c r="U378" i="86"/>
  <c r="V378" i="86"/>
  <c r="W378" i="86"/>
  <c r="X378" i="86"/>
  <c r="Y378" i="86"/>
  <c r="Z378" i="86"/>
  <c r="AA378" i="86"/>
  <c r="AB378" i="86"/>
  <c r="AC378" i="86"/>
  <c r="AD378" i="86"/>
  <c r="AE378" i="86"/>
  <c r="AF378" i="86"/>
  <c r="AG378" i="86"/>
  <c r="AH378" i="86"/>
  <c r="H379" i="86"/>
  <c r="I379" i="86"/>
  <c r="J379" i="86"/>
  <c r="K379" i="86"/>
  <c r="L379" i="86"/>
  <c r="M379" i="86"/>
  <c r="N379" i="86"/>
  <c r="O379" i="86"/>
  <c r="P379" i="86"/>
  <c r="Q379" i="86"/>
  <c r="R379" i="86"/>
  <c r="S379" i="86"/>
  <c r="T379" i="86"/>
  <c r="U379" i="86"/>
  <c r="V379" i="86"/>
  <c r="W379" i="86"/>
  <c r="X379" i="86"/>
  <c r="Y379" i="86"/>
  <c r="Z379" i="86"/>
  <c r="AA379" i="86"/>
  <c r="AB379" i="86"/>
  <c r="AC379" i="86"/>
  <c r="AD379" i="86"/>
  <c r="AE379" i="86"/>
  <c r="AF379" i="86"/>
  <c r="AG379" i="86"/>
  <c r="AH379" i="86"/>
  <c r="H380" i="86"/>
  <c r="I380" i="86"/>
  <c r="J380" i="86"/>
  <c r="K380" i="86"/>
  <c r="L380" i="86"/>
  <c r="M380" i="86"/>
  <c r="N380" i="86"/>
  <c r="O380" i="86"/>
  <c r="P380" i="86"/>
  <c r="Q380" i="86"/>
  <c r="R380" i="86"/>
  <c r="S380" i="86"/>
  <c r="T380" i="86"/>
  <c r="U380" i="86"/>
  <c r="V380" i="86"/>
  <c r="W380" i="86"/>
  <c r="X380" i="86"/>
  <c r="Y380" i="86"/>
  <c r="Z380" i="86"/>
  <c r="AA380" i="86"/>
  <c r="AB380" i="86"/>
  <c r="AC380" i="86"/>
  <c r="AD380" i="86"/>
  <c r="AE380" i="86"/>
  <c r="AF380" i="86"/>
  <c r="AG380" i="86"/>
  <c r="AH380" i="86"/>
  <c r="H381" i="86"/>
  <c r="I381" i="86"/>
  <c r="J381" i="86"/>
  <c r="K381" i="86"/>
  <c r="L381" i="86"/>
  <c r="M381" i="86"/>
  <c r="N381" i="86"/>
  <c r="O381" i="86"/>
  <c r="P381" i="86"/>
  <c r="Q381" i="86"/>
  <c r="R381" i="86"/>
  <c r="S381" i="86"/>
  <c r="T381" i="86"/>
  <c r="U381" i="86"/>
  <c r="V381" i="86"/>
  <c r="W381" i="86"/>
  <c r="X381" i="86"/>
  <c r="Y381" i="86"/>
  <c r="Z381" i="86"/>
  <c r="AA381" i="86"/>
  <c r="AB381" i="86"/>
  <c r="AC381" i="86"/>
  <c r="AD381" i="86"/>
  <c r="AE381" i="86"/>
  <c r="AF381" i="86"/>
  <c r="AG381" i="86"/>
  <c r="AH381" i="86"/>
  <c r="H382" i="86"/>
  <c r="I382" i="86"/>
  <c r="J382" i="86"/>
  <c r="K382" i="86"/>
  <c r="L382" i="86"/>
  <c r="M382" i="86"/>
  <c r="N382" i="86"/>
  <c r="O382" i="86"/>
  <c r="P382" i="86"/>
  <c r="Q382" i="86"/>
  <c r="R382" i="86"/>
  <c r="S382" i="86"/>
  <c r="T382" i="86"/>
  <c r="U382" i="86"/>
  <c r="V382" i="86"/>
  <c r="W382" i="86"/>
  <c r="X382" i="86"/>
  <c r="Y382" i="86"/>
  <c r="Z382" i="86"/>
  <c r="AA382" i="86"/>
  <c r="AB382" i="86"/>
  <c r="AC382" i="86"/>
  <c r="AD382" i="86"/>
  <c r="AE382" i="86"/>
  <c r="AF382" i="86"/>
  <c r="AG382" i="86"/>
  <c r="AH382" i="86"/>
  <c r="H383" i="86"/>
  <c r="I383" i="86"/>
  <c r="J383" i="86"/>
  <c r="K383" i="86"/>
  <c r="L383" i="86"/>
  <c r="M383" i="86"/>
  <c r="N383" i="86"/>
  <c r="O383" i="86"/>
  <c r="P383" i="86"/>
  <c r="Q383" i="86"/>
  <c r="R383" i="86"/>
  <c r="S383" i="86"/>
  <c r="T383" i="86"/>
  <c r="U383" i="86"/>
  <c r="V383" i="86"/>
  <c r="W383" i="86"/>
  <c r="X383" i="86"/>
  <c r="Y383" i="86"/>
  <c r="Z383" i="86"/>
  <c r="AA383" i="86"/>
  <c r="AB383" i="86"/>
  <c r="AC383" i="86"/>
  <c r="AD383" i="86"/>
  <c r="AE383" i="86"/>
  <c r="AF383" i="86"/>
  <c r="AG383" i="86"/>
  <c r="AH383" i="86"/>
  <c r="H384" i="86"/>
  <c r="I384" i="86"/>
  <c r="J384" i="86"/>
  <c r="K384" i="86"/>
  <c r="L384" i="86"/>
  <c r="M384" i="86"/>
  <c r="N384" i="86"/>
  <c r="O384" i="86"/>
  <c r="P384" i="86"/>
  <c r="Q384" i="86"/>
  <c r="R384" i="86"/>
  <c r="S384" i="86"/>
  <c r="T384" i="86"/>
  <c r="U384" i="86"/>
  <c r="V384" i="86"/>
  <c r="W384" i="86"/>
  <c r="X384" i="86"/>
  <c r="Y384" i="86"/>
  <c r="Z384" i="86"/>
  <c r="AA384" i="86"/>
  <c r="AB384" i="86"/>
  <c r="AC384" i="86"/>
  <c r="AD384" i="86"/>
  <c r="AE384" i="86"/>
  <c r="AF384" i="86"/>
  <c r="AG384" i="86"/>
  <c r="AH384" i="86"/>
  <c r="H385" i="86"/>
  <c r="I385" i="86"/>
  <c r="J385" i="86"/>
  <c r="K385" i="86"/>
  <c r="L385" i="86"/>
  <c r="M385" i="86"/>
  <c r="N385" i="86"/>
  <c r="O385" i="86"/>
  <c r="P385" i="86"/>
  <c r="Q385" i="86"/>
  <c r="R385" i="86"/>
  <c r="S385" i="86"/>
  <c r="T385" i="86"/>
  <c r="U385" i="86"/>
  <c r="V385" i="86"/>
  <c r="W385" i="86"/>
  <c r="X385" i="86"/>
  <c r="Y385" i="86"/>
  <c r="Z385" i="86"/>
  <c r="AA385" i="86"/>
  <c r="AB385" i="86"/>
  <c r="AC385" i="86"/>
  <c r="AD385" i="86"/>
  <c r="AE385" i="86"/>
  <c r="AF385" i="86"/>
  <c r="AG385" i="86"/>
  <c r="AH385" i="86"/>
  <c r="H386" i="86"/>
  <c r="I386" i="86"/>
  <c r="J386" i="86"/>
  <c r="K386" i="86"/>
  <c r="L386" i="86"/>
  <c r="M386" i="86"/>
  <c r="N386" i="86"/>
  <c r="O386" i="86"/>
  <c r="P386" i="86"/>
  <c r="Q386" i="86"/>
  <c r="R386" i="86"/>
  <c r="S386" i="86"/>
  <c r="T386" i="86"/>
  <c r="U386" i="86"/>
  <c r="V386" i="86"/>
  <c r="W386" i="86"/>
  <c r="X386" i="86"/>
  <c r="Y386" i="86"/>
  <c r="Z386" i="86"/>
  <c r="AA386" i="86"/>
  <c r="AB386" i="86"/>
  <c r="AC386" i="86"/>
  <c r="AD386" i="86"/>
  <c r="AE386" i="86"/>
  <c r="AF386" i="86"/>
  <c r="AG386" i="86"/>
  <c r="AH386" i="86"/>
  <c r="H387" i="86"/>
  <c r="I387" i="86"/>
  <c r="J387" i="86"/>
  <c r="K387" i="86"/>
  <c r="L387" i="86"/>
  <c r="M387" i="86"/>
  <c r="N387" i="86"/>
  <c r="O387" i="86"/>
  <c r="P387" i="86"/>
  <c r="Q387" i="86"/>
  <c r="R387" i="86"/>
  <c r="S387" i="86"/>
  <c r="T387" i="86"/>
  <c r="U387" i="86"/>
  <c r="V387" i="86"/>
  <c r="W387" i="86"/>
  <c r="X387" i="86"/>
  <c r="Y387" i="86"/>
  <c r="Z387" i="86"/>
  <c r="AA387" i="86"/>
  <c r="AB387" i="86"/>
  <c r="AC387" i="86"/>
  <c r="AD387" i="86"/>
  <c r="AE387" i="86"/>
  <c r="AF387" i="86"/>
  <c r="AG387" i="86"/>
  <c r="AH387" i="86"/>
  <c r="H388" i="86"/>
  <c r="I388" i="86"/>
  <c r="J388" i="86"/>
  <c r="K388" i="86"/>
  <c r="L388" i="86"/>
  <c r="M388" i="86"/>
  <c r="N388" i="86"/>
  <c r="O388" i="86"/>
  <c r="P388" i="86"/>
  <c r="Q388" i="86"/>
  <c r="R388" i="86"/>
  <c r="S388" i="86"/>
  <c r="T388" i="86"/>
  <c r="U388" i="86"/>
  <c r="V388" i="86"/>
  <c r="W388" i="86"/>
  <c r="X388" i="86"/>
  <c r="Y388" i="86"/>
  <c r="Z388" i="86"/>
  <c r="AA388" i="86"/>
  <c r="AB388" i="86"/>
  <c r="AC388" i="86"/>
  <c r="AD388" i="86"/>
  <c r="AE388" i="86"/>
  <c r="AF388" i="86"/>
  <c r="AG388" i="86"/>
  <c r="AH388" i="86"/>
  <c r="H389" i="86"/>
  <c r="I389" i="86"/>
  <c r="J389" i="86"/>
  <c r="K389" i="86"/>
  <c r="L389" i="86"/>
  <c r="M389" i="86"/>
  <c r="N389" i="86"/>
  <c r="O389" i="86"/>
  <c r="P389" i="86"/>
  <c r="Q389" i="86"/>
  <c r="R389" i="86"/>
  <c r="S389" i="86"/>
  <c r="T389" i="86"/>
  <c r="U389" i="86"/>
  <c r="V389" i="86"/>
  <c r="W389" i="86"/>
  <c r="X389" i="86"/>
  <c r="Y389" i="86"/>
  <c r="Z389" i="86"/>
  <c r="AA389" i="86"/>
  <c r="AB389" i="86"/>
  <c r="AC389" i="86"/>
  <c r="AD389" i="86"/>
  <c r="AE389" i="86"/>
  <c r="AF389" i="86"/>
  <c r="AG389" i="86"/>
  <c r="AH389" i="86"/>
  <c r="H390" i="86"/>
  <c r="I390" i="86"/>
  <c r="J390" i="86"/>
  <c r="K390" i="86"/>
  <c r="L390" i="86"/>
  <c r="M390" i="86"/>
  <c r="N390" i="86"/>
  <c r="O390" i="86"/>
  <c r="P390" i="86"/>
  <c r="Q390" i="86"/>
  <c r="R390" i="86"/>
  <c r="S390" i="86"/>
  <c r="T390" i="86"/>
  <c r="U390" i="86"/>
  <c r="V390" i="86"/>
  <c r="W390" i="86"/>
  <c r="X390" i="86"/>
  <c r="Y390" i="86"/>
  <c r="Z390" i="86"/>
  <c r="AA390" i="86"/>
  <c r="AB390" i="86"/>
  <c r="AC390" i="86"/>
  <c r="AD390" i="86"/>
  <c r="AE390" i="86"/>
  <c r="AF390" i="86"/>
  <c r="AG390" i="86"/>
  <c r="AH390" i="86"/>
  <c r="H391" i="86"/>
  <c r="I391" i="86"/>
  <c r="J391" i="86"/>
  <c r="K391" i="86"/>
  <c r="L391" i="86"/>
  <c r="M391" i="86"/>
  <c r="N391" i="86"/>
  <c r="O391" i="86"/>
  <c r="P391" i="86"/>
  <c r="Q391" i="86"/>
  <c r="R391" i="86"/>
  <c r="S391" i="86"/>
  <c r="T391" i="86"/>
  <c r="U391" i="86"/>
  <c r="V391" i="86"/>
  <c r="W391" i="86"/>
  <c r="X391" i="86"/>
  <c r="Y391" i="86"/>
  <c r="Z391" i="86"/>
  <c r="AA391" i="86"/>
  <c r="AB391" i="86"/>
  <c r="AC391" i="86"/>
  <c r="AD391" i="86"/>
  <c r="AE391" i="86"/>
  <c r="AF391" i="86"/>
  <c r="AG391" i="86"/>
  <c r="AH391" i="86"/>
  <c r="H392" i="86"/>
  <c r="I392" i="86"/>
  <c r="J392" i="86"/>
  <c r="K392" i="86"/>
  <c r="L392" i="86"/>
  <c r="M392" i="86"/>
  <c r="N392" i="86"/>
  <c r="O392" i="86"/>
  <c r="P392" i="86"/>
  <c r="Q392" i="86"/>
  <c r="R392" i="86"/>
  <c r="S392" i="86"/>
  <c r="T392" i="86"/>
  <c r="U392" i="86"/>
  <c r="V392" i="86"/>
  <c r="W392" i="86"/>
  <c r="X392" i="86"/>
  <c r="Y392" i="86"/>
  <c r="Z392" i="86"/>
  <c r="AA392" i="86"/>
  <c r="AB392" i="86"/>
  <c r="AC392" i="86"/>
  <c r="AD392" i="86"/>
  <c r="AE392" i="86"/>
  <c r="AF392" i="86"/>
  <c r="AG392" i="86"/>
  <c r="AH392" i="86"/>
  <c r="H393" i="86"/>
  <c r="I393" i="86"/>
  <c r="J393" i="86"/>
  <c r="K393" i="86"/>
  <c r="L393" i="86"/>
  <c r="M393" i="86"/>
  <c r="N393" i="86"/>
  <c r="O393" i="86"/>
  <c r="P393" i="86"/>
  <c r="Q393" i="86"/>
  <c r="R393" i="86"/>
  <c r="S393" i="86"/>
  <c r="T393" i="86"/>
  <c r="U393" i="86"/>
  <c r="V393" i="86"/>
  <c r="W393" i="86"/>
  <c r="X393" i="86"/>
  <c r="Y393" i="86"/>
  <c r="Z393" i="86"/>
  <c r="AA393" i="86"/>
  <c r="AB393" i="86"/>
  <c r="AC393" i="86"/>
  <c r="AD393" i="86"/>
  <c r="AE393" i="86"/>
  <c r="AF393" i="86"/>
  <c r="AG393" i="86"/>
  <c r="AH393" i="86"/>
  <c r="H394" i="86"/>
  <c r="I394" i="86"/>
  <c r="J394" i="86"/>
  <c r="K394" i="86"/>
  <c r="L394" i="86"/>
  <c r="M394" i="86"/>
  <c r="N394" i="86"/>
  <c r="O394" i="86"/>
  <c r="P394" i="86"/>
  <c r="Q394" i="86"/>
  <c r="R394" i="86"/>
  <c r="S394" i="86"/>
  <c r="T394" i="86"/>
  <c r="U394" i="86"/>
  <c r="V394" i="86"/>
  <c r="W394" i="86"/>
  <c r="X394" i="86"/>
  <c r="Y394" i="86"/>
  <c r="Z394" i="86"/>
  <c r="AA394" i="86"/>
  <c r="AB394" i="86"/>
  <c r="AC394" i="86"/>
  <c r="AD394" i="86"/>
  <c r="AE394" i="86"/>
  <c r="AF394" i="86"/>
  <c r="AG394" i="86"/>
  <c r="AH394" i="86"/>
  <c r="H395" i="86"/>
  <c r="I395" i="86"/>
  <c r="J395" i="86"/>
  <c r="K395" i="86"/>
  <c r="L395" i="86"/>
  <c r="M395" i="86"/>
  <c r="N395" i="86"/>
  <c r="O395" i="86"/>
  <c r="P395" i="86"/>
  <c r="Q395" i="86"/>
  <c r="R395" i="86"/>
  <c r="S395" i="86"/>
  <c r="T395" i="86"/>
  <c r="U395" i="86"/>
  <c r="V395" i="86"/>
  <c r="W395" i="86"/>
  <c r="X395" i="86"/>
  <c r="Y395" i="86"/>
  <c r="Z395" i="86"/>
  <c r="AA395" i="86"/>
  <c r="AB395" i="86"/>
  <c r="AC395" i="86"/>
  <c r="AD395" i="86"/>
  <c r="AE395" i="86"/>
  <c r="AF395" i="86"/>
  <c r="AG395" i="86"/>
  <c r="AH395" i="86"/>
  <c r="H396" i="86"/>
  <c r="I396" i="86"/>
  <c r="J396" i="86"/>
  <c r="K396" i="86"/>
  <c r="L396" i="86"/>
  <c r="M396" i="86"/>
  <c r="N396" i="86"/>
  <c r="O396" i="86"/>
  <c r="P396" i="86"/>
  <c r="Q396" i="86"/>
  <c r="R396" i="86"/>
  <c r="S396" i="86"/>
  <c r="T396" i="86"/>
  <c r="U396" i="86"/>
  <c r="V396" i="86"/>
  <c r="W396" i="86"/>
  <c r="X396" i="86"/>
  <c r="Y396" i="86"/>
  <c r="Z396" i="86"/>
  <c r="AA396" i="86"/>
  <c r="AB396" i="86"/>
  <c r="AC396" i="86"/>
  <c r="AD396" i="86"/>
  <c r="AE396" i="86"/>
  <c r="AF396" i="86"/>
  <c r="AG396" i="86"/>
  <c r="AH396" i="86"/>
  <c r="H397" i="86"/>
  <c r="I397" i="86"/>
  <c r="J397" i="86"/>
  <c r="K397" i="86"/>
  <c r="L397" i="86"/>
  <c r="M397" i="86"/>
  <c r="N397" i="86"/>
  <c r="O397" i="86"/>
  <c r="P397" i="86"/>
  <c r="Q397" i="86"/>
  <c r="R397" i="86"/>
  <c r="S397" i="86"/>
  <c r="T397" i="86"/>
  <c r="U397" i="86"/>
  <c r="V397" i="86"/>
  <c r="W397" i="86"/>
  <c r="X397" i="86"/>
  <c r="Y397" i="86"/>
  <c r="Z397" i="86"/>
  <c r="AA397" i="86"/>
  <c r="AB397" i="86"/>
  <c r="AC397" i="86"/>
  <c r="AD397" i="86"/>
  <c r="AE397" i="86"/>
  <c r="AF397" i="86"/>
  <c r="AG397" i="86"/>
  <c r="AH397" i="86"/>
  <c r="H398" i="86"/>
  <c r="I398" i="86"/>
  <c r="J398" i="86"/>
  <c r="K398" i="86"/>
  <c r="L398" i="86"/>
  <c r="M398" i="86"/>
  <c r="N398" i="86"/>
  <c r="O398" i="86"/>
  <c r="P398" i="86"/>
  <c r="Q398" i="86"/>
  <c r="R398" i="86"/>
  <c r="S398" i="86"/>
  <c r="T398" i="86"/>
  <c r="U398" i="86"/>
  <c r="V398" i="86"/>
  <c r="W398" i="86"/>
  <c r="X398" i="86"/>
  <c r="Y398" i="86"/>
  <c r="Z398" i="86"/>
  <c r="AA398" i="86"/>
  <c r="AB398" i="86"/>
  <c r="AC398" i="86"/>
  <c r="AD398" i="86"/>
  <c r="AE398" i="86"/>
  <c r="AF398" i="86"/>
  <c r="AG398" i="86"/>
  <c r="AH398" i="86"/>
  <c r="H399" i="86"/>
  <c r="I399" i="86"/>
  <c r="J399" i="86"/>
  <c r="K399" i="86"/>
  <c r="L399" i="86"/>
  <c r="M399" i="86"/>
  <c r="N399" i="86"/>
  <c r="O399" i="86"/>
  <c r="P399" i="86"/>
  <c r="Q399" i="86"/>
  <c r="R399" i="86"/>
  <c r="S399" i="86"/>
  <c r="T399" i="86"/>
  <c r="U399" i="86"/>
  <c r="V399" i="86"/>
  <c r="W399" i="86"/>
  <c r="X399" i="86"/>
  <c r="Y399" i="86"/>
  <c r="Z399" i="86"/>
  <c r="AA399" i="86"/>
  <c r="AB399" i="86"/>
  <c r="AC399" i="86"/>
  <c r="AD399" i="86"/>
  <c r="AE399" i="86"/>
  <c r="AF399" i="86"/>
  <c r="AG399" i="86"/>
  <c r="AH399" i="86"/>
  <c r="H400" i="86"/>
  <c r="I400" i="86"/>
  <c r="J400" i="86"/>
  <c r="K400" i="86"/>
  <c r="L400" i="86"/>
  <c r="M400" i="86"/>
  <c r="N400" i="86"/>
  <c r="O400" i="86"/>
  <c r="P400" i="86"/>
  <c r="Q400" i="86"/>
  <c r="R400" i="86"/>
  <c r="S400" i="86"/>
  <c r="T400" i="86"/>
  <c r="U400" i="86"/>
  <c r="V400" i="86"/>
  <c r="W400" i="86"/>
  <c r="X400" i="86"/>
  <c r="Y400" i="86"/>
  <c r="Z400" i="86"/>
  <c r="AA400" i="86"/>
  <c r="AB400" i="86"/>
  <c r="AC400" i="86"/>
  <c r="AD400" i="86"/>
  <c r="AE400" i="86"/>
  <c r="AF400" i="86"/>
  <c r="AG400" i="86"/>
  <c r="AH400" i="86"/>
  <c r="H401" i="86"/>
  <c r="I401" i="86"/>
  <c r="J401" i="86"/>
  <c r="K401" i="86"/>
  <c r="L401" i="86"/>
  <c r="M401" i="86"/>
  <c r="N401" i="86"/>
  <c r="O401" i="86"/>
  <c r="P401" i="86"/>
  <c r="Q401" i="86"/>
  <c r="R401" i="86"/>
  <c r="S401" i="86"/>
  <c r="T401" i="86"/>
  <c r="U401" i="86"/>
  <c r="V401" i="86"/>
  <c r="W401" i="86"/>
  <c r="X401" i="86"/>
  <c r="Y401" i="86"/>
  <c r="Z401" i="86"/>
  <c r="AA401" i="86"/>
  <c r="AB401" i="86"/>
  <c r="AC401" i="86"/>
  <c r="AD401" i="86"/>
  <c r="AE401" i="86"/>
  <c r="AF401" i="86"/>
  <c r="AG401" i="86"/>
  <c r="AH401" i="86"/>
  <c r="H402" i="86"/>
  <c r="I402" i="86"/>
  <c r="J402" i="86"/>
  <c r="K402" i="86"/>
  <c r="L402" i="86"/>
  <c r="M402" i="86"/>
  <c r="N402" i="86"/>
  <c r="O402" i="86"/>
  <c r="P402" i="86"/>
  <c r="Q402" i="86"/>
  <c r="R402" i="86"/>
  <c r="S402" i="86"/>
  <c r="T402" i="86"/>
  <c r="U402" i="86"/>
  <c r="V402" i="86"/>
  <c r="W402" i="86"/>
  <c r="X402" i="86"/>
  <c r="Y402" i="86"/>
  <c r="Z402" i="86"/>
  <c r="AA402" i="86"/>
  <c r="AB402" i="86"/>
  <c r="AC402" i="86"/>
  <c r="AD402" i="86"/>
  <c r="AE402" i="86"/>
  <c r="AF402" i="86"/>
  <c r="AG402" i="86"/>
  <c r="AH402" i="86"/>
  <c r="H403" i="86"/>
  <c r="I403" i="86"/>
  <c r="J403" i="86"/>
  <c r="K403" i="86"/>
  <c r="L403" i="86"/>
  <c r="M403" i="86"/>
  <c r="N403" i="86"/>
  <c r="O403" i="86"/>
  <c r="P403" i="86"/>
  <c r="Q403" i="86"/>
  <c r="R403" i="86"/>
  <c r="S403" i="86"/>
  <c r="T403" i="86"/>
  <c r="U403" i="86"/>
  <c r="V403" i="86"/>
  <c r="W403" i="86"/>
  <c r="X403" i="86"/>
  <c r="Y403" i="86"/>
  <c r="Z403" i="86"/>
  <c r="AA403" i="86"/>
  <c r="AB403" i="86"/>
  <c r="AC403" i="86"/>
  <c r="AD403" i="86"/>
  <c r="AE403" i="86"/>
  <c r="AF403" i="86"/>
  <c r="AG403" i="86"/>
  <c r="AH403" i="86"/>
  <c r="H404" i="86"/>
  <c r="I404" i="86"/>
  <c r="J404" i="86"/>
  <c r="K404" i="86"/>
  <c r="L404" i="86"/>
  <c r="M404" i="86"/>
  <c r="N404" i="86"/>
  <c r="O404" i="86"/>
  <c r="P404" i="86"/>
  <c r="Q404" i="86"/>
  <c r="R404" i="86"/>
  <c r="S404" i="86"/>
  <c r="T404" i="86"/>
  <c r="U404" i="86"/>
  <c r="V404" i="86"/>
  <c r="W404" i="86"/>
  <c r="X404" i="86"/>
  <c r="Y404" i="86"/>
  <c r="Z404" i="86"/>
  <c r="AA404" i="86"/>
  <c r="AB404" i="86"/>
  <c r="AC404" i="86"/>
  <c r="AD404" i="86"/>
  <c r="AE404" i="86"/>
  <c r="AF404" i="86"/>
  <c r="AG404" i="86"/>
  <c r="AH404" i="86"/>
  <c r="H405" i="86"/>
  <c r="I405" i="86"/>
  <c r="J405" i="86"/>
  <c r="K405" i="86"/>
  <c r="L405" i="86"/>
  <c r="M405" i="86"/>
  <c r="N405" i="86"/>
  <c r="O405" i="86"/>
  <c r="P405" i="86"/>
  <c r="Q405" i="86"/>
  <c r="R405" i="86"/>
  <c r="S405" i="86"/>
  <c r="T405" i="86"/>
  <c r="U405" i="86"/>
  <c r="V405" i="86"/>
  <c r="W405" i="86"/>
  <c r="X405" i="86"/>
  <c r="Y405" i="86"/>
  <c r="Z405" i="86"/>
  <c r="AA405" i="86"/>
  <c r="AB405" i="86"/>
  <c r="AC405" i="86"/>
  <c r="AD405" i="86"/>
  <c r="AE405" i="86"/>
  <c r="AF405" i="86"/>
  <c r="AG405" i="86"/>
  <c r="AH405" i="86"/>
  <c r="H406" i="86"/>
  <c r="I406" i="86"/>
  <c r="J406" i="86"/>
  <c r="K406" i="86"/>
  <c r="L406" i="86"/>
  <c r="M406" i="86"/>
  <c r="N406" i="86"/>
  <c r="O406" i="86"/>
  <c r="P406" i="86"/>
  <c r="Q406" i="86"/>
  <c r="R406" i="86"/>
  <c r="S406" i="86"/>
  <c r="T406" i="86"/>
  <c r="U406" i="86"/>
  <c r="V406" i="86"/>
  <c r="W406" i="86"/>
  <c r="X406" i="86"/>
  <c r="Y406" i="86"/>
  <c r="Z406" i="86"/>
  <c r="AA406" i="86"/>
  <c r="AB406" i="86"/>
  <c r="AC406" i="86"/>
  <c r="AD406" i="86"/>
  <c r="AE406" i="86"/>
  <c r="AF406" i="86"/>
  <c r="AG406" i="86"/>
  <c r="AH406" i="86"/>
  <c r="H407" i="86"/>
  <c r="I407" i="86"/>
  <c r="J407" i="86"/>
  <c r="K407" i="86"/>
  <c r="L407" i="86"/>
  <c r="M407" i="86"/>
  <c r="N407" i="86"/>
  <c r="O407" i="86"/>
  <c r="P407" i="86"/>
  <c r="Q407" i="86"/>
  <c r="R407" i="86"/>
  <c r="S407" i="86"/>
  <c r="T407" i="86"/>
  <c r="U407" i="86"/>
  <c r="V407" i="86"/>
  <c r="W407" i="86"/>
  <c r="X407" i="86"/>
  <c r="Y407" i="86"/>
  <c r="Z407" i="86"/>
  <c r="AA407" i="86"/>
  <c r="AB407" i="86"/>
  <c r="AC407" i="86"/>
  <c r="AD407" i="86"/>
  <c r="AE407" i="86"/>
  <c r="AF407" i="86"/>
  <c r="AG407" i="86"/>
  <c r="AH407" i="86"/>
  <c r="G214" i="86"/>
  <c r="G215" i="86"/>
  <c r="G216" i="86"/>
  <c r="G217" i="86"/>
  <c r="G218" i="86"/>
  <c r="G219" i="86"/>
  <c r="G220" i="86"/>
  <c r="G221" i="86"/>
  <c r="G222" i="86"/>
  <c r="G223" i="86"/>
  <c r="G224" i="86"/>
  <c r="G225" i="86"/>
  <c r="G226" i="86"/>
  <c r="G227" i="86"/>
  <c r="G228" i="86"/>
  <c r="G229" i="86"/>
  <c r="G230" i="86"/>
  <c r="G231" i="86"/>
  <c r="G232" i="86"/>
  <c r="G233" i="86"/>
  <c r="G234" i="86"/>
  <c r="G235" i="86"/>
  <c r="G236" i="86"/>
  <c r="G237" i="86"/>
  <c r="G238" i="86"/>
  <c r="G239" i="86"/>
  <c r="G240" i="86"/>
  <c r="G241" i="86"/>
  <c r="G242" i="86"/>
  <c r="G243" i="86"/>
  <c r="G244" i="86"/>
  <c r="G245" i="86"/>
  <c r="G246" i="86"/>
  <c r="G247" i="86"/>
  <c r="G248" i="86"/>
  <c r="G249" i="86"/>
  <c r="G250" i="86"/>
  <c r="G251" i="86"/>
  <c r="G252" i="86"/>
  <c r="G253" i="86"/>
  <c r="G254" i="86"/>
  <c r="G255" i="86"/>
  <c r="G256" i="86"/>
  <c r="G257" i="86"/>
  <c r="G258" i="86"/>
  <c r="G259" i="86"/>
  <c r="G260" i="86"/>
  <c r="G261" i="86"/>
  <c r="G262" i="86"/>
  <c r="G263" i="86"/>
  <c r="G264" i="86"/>
  <c r="G265" i="86"/>
  <c r="G266" i="86"/>
  <c r="G267" i="86"/>
  <c r="G268" i="86"/>
  <c r="G269" i="86"/>
  <c r="G270" i="86"/>
  <c r="G271" i="86"/>
  <c r="G272" i="86"/>
  <c r="G273" i="86"/>
  <c r="G274" i="86"/>
  <c r="G275" i="86"/>
  <c r="G276" i="86"/>
  <c r="G277" i="86"/>
  <c r="G278" i="86"/>
  <c r="G279" i="86"/>
  <c r="G280" i="86"/>
  <c r="G281" i="86"/>
  <c r="G282" i="86"/>
  <c r="G283" i="86"/>
  <c r="G284" i="86"/>
  <c r="G285" i="86"/>
  <c r="G286" i="86"/>
  <c r="G287" i="86"/>
  <c r="G288" i="86"/>
  <c r="G289" i="86"/>
  <c r="G290" i="86"/>
  <c r="G291" i="86"/>
  <c r="G292" i="86"/>
  <c r="G293" i="86"/>
  <c r="G294" i="86"/>
  <c r="G295" i="86"/>
  <c r="G296" i="86"/>
  <c r="G297" i="86"/>
  <c r="G298" i="86"/>
  <c r="G299" i="86"/>
  <c r="G300" i="86"/>
  <c r="G301" i="86"/>
  <c r="G302" i="86"/>
  <c r="G303" i="86"/>
  <c r="G304" i="86"/>
  <c r="G305" i="86"/>
  <c r="G306" i="86"/>
  <c r="G307" i="86"/>
  <c r="G308" i="86"/>
  <c r="G309" i="86"/>
  <c r="G310" i="86"/>
  <c r="G311" i="86"/>
  <c r="G312" i="86"/>
  <c r="G313" i="86"/>
  <c r="G314" i="86"/>
  <c r="G315" i="86"/>
  <c r="G316" i="86"/>
  <c r="G317" i="86"/>
  <c r="G318" i="86"/>
  <c r="G319" i="86"/>
  <c r="G320" i="86"/>
  <c r="G321" i="86"/>
  <c r="G322" i="86"/>
  <c r="G323" i="86"/>
  <c r="G324" i="86"/>
  <c r="G325" i="86"/>
  <c r="G326" i="86"/>
  <c r="G327" i="86"/>
  <c r="G328" i="86"/>
  <c r="G329" i="86"/>
  <c r="G330" i="86"/>
  <c r="G331" i="86"/>
  <c r="G332" i="86"/>
  <c r="G333" i="86"/>
  <c r="G334" i="86"/>
  <c r="G335" i="86"/>
  <c r="G336" i="86"/>
  <c r="G337" i="86"/>
  <c r="G338" i="86"/>
  <c r="G339" i="86"/>
  <c r="G340" i="86"/>
  <c r="G341" i="86"/>
  <c r="G342" i="86"/>
  <c r="G343" i="86"/>
  <c r="G344" i="86"/>
  <c r="G345" i="86"/>
  <c r="G346" i="86"/>
  <c r="G347" i="86"/>
  <c r="G348" i="86"/>
  <c r="G349" i="86"/>
  <c r="G350" i="86"/>
  <c r="G351" i="86"/>
  <c r="G352" i="86"/>
  <c r="G353" i="86"/>
  <c r="G354" i="86"/>
  <c r="G355" i="86"/>
  <c r="G356" i="86"/>
  <c r="G357" i="86"/>
  <c r="G358" i="86"/>
  <c r="G359" i="86"/>
  <c r="G360" i="86"/>
  <c r="G361" i="86"/>
  <c r="G362" i="86"/>
  <c r="G363" i="86"/>
  <c r="G364" i="86"/>
  <c r="G365" i="86"/>
  <c r="G366" i="86"/>
  <c r="G367" i="86"/>
  <c r="G368" i="86"/>
  <c r="G369" i="86"/>
  <c r="G370" i="86"/>
  <c r="G371" i="86"/>
  <c r="G372" i="86"/>
  <c r="G373" i="86"/>
  <c r="G374" i="86"/>
  <c r="G375" i="86"/>
  <c r="G376" i="86"/>
  <c r="G377" i="86"/>
  <c r="G378" i="86"/>
  <c r="G379" i="86"/>
  <c r="G380" i="86"/>
  <c r="G381" i="86"/>
  <c r="G382" i="86"/>
  <c r="G383" i="86"/>
  <c r="G384" i="86"/>
  <c r="G385" i="86"/>
  <c r="G386" i="86"/>
  <c r="G387" i="86"/>
  <c r="G388" i="86"/>
  <c r="G389" i="86"/>
  <c r="G390" i="86"/>
  <c r="G391" i="86"/>
  <c r="G392" i="86"/>
  <c r="G393" i="86"/>
  <c r="G394" i="86"/>
  <c r="G395" i="86"/>
  <c r="G396" i="86"/>
  <c r="G397" i="86"/>
  <c r="G398" i="86"/>
  <c r="G399" i="86"/>
  <c r="G400" i="86"/>
  <c r="G401" i="86"/>
  <c r="G402" i="86"/>
  <c r="G403" i="86"/>
  <c r="G404" i="86"/>
  <c r="G405" i="86"/>
  <c r="G406" i="86"/>
  <c r="G407" i="86"/>
  <c r="D214" i="86"/>
  <c r="D215" i="86" s="1"/>
  <c r="D216" i="86" s="1"/>
  <c r="D217" i="86" s="1"/>
  <c r="D218" i="86" s="1"/>
  <c r="D219" i="86" s="1"/>
  <c r="D220" i="86" s="1"/>
  <c r="D221" i="86" s="1"/>
  <c r="D222" i="86" s="1"/>
  <c r="D223" i="86" s="1"/>
  <c r="D224" i="86" s="1"/>
  <c r="D225" i="86" s="1"/>
  <c r="AH205" i="86"/>
  <c r="AG205" i="86"/>
  <c r="AF205" i="86"/>
  <c r="AE205" i="86"/>
  <c r="AD205" i="86"/>
  <c r="AC205" i="86"/>
  <c r="AB205" i="86"/>
  <c r="AA205" i="86"/>
  <c r="Z205" i="86"/>
  <c r="Y205" i="86"/>
  <c r="X205" i="86"/>
  <c r="W205" i="86"/>
  <c r="V205" i="86"/>
  <c r="U205" i="86"/>
  <c r="T205" i="86"/>
  <c r="S205" i="86"/>
  <c r="R205" i="86"/>
  <c r="Q205" i="86"/>
  <c r="P205" i="86"/>
  <c r="O205" i="86"/>
  <c r="N205" i="86"/>
  <c r="M205" i="86"/>
  <c r="L205" i="86"/>
  <c r="K205" i="86"/>
  <c r="J205" i="86"/>
  <c r="I205" i="86"/>
  <c r="H205" i="86"/>
  <c r="G205" i="86"/>
  <c r="AH204" i="86"/>
  <c r="AG204" i="86"/>
  <c r="AF204" i="86"/>
  <c r="AE204" i="86"/>
  <c r="AD204" i="86"/>
  <c r="AC204" i="86"/>
  <c r="AB204" i="86"/>
  <c r="AA204" i="86"/>
  <c r="Z204" i="86"/>
  <c r="Y204" i="86"/>
  <c r="X204" i="86"/>
  <c r="W204" i="86"/>
  <c r="V204" i="86"/>
  <c r="U204" i="86"/>
  <c r="T204" i="86"/>
  <c r="S204" i="86"/>
  <c r="R204" i="86"/>
  <c r="Q204" i="86"/>
  <c r="P204" i="86"/>
  <c r="O204" i="86"/>
  <c r="N204" i="86"/>
  <c r="M204" i="86"/>
  <c r="L204" i="86"/>
  <c r="K204" i="86"/>
  <c r="J204" i="86"/>
  <c r="I204" i="86"/>
  <c r="H204" i="86"/>
  <c r="G204" i="86"/>
  <c r="AH203" i="86"/>
  <c r="AG203" i="86"/>
  <c r="AF203" i="86"/>
  <c r="AE203" i="86"/>
  <c r="AD203" i="86"/>
  <c r="AC203" i="86"/>
  <c r="AB203" i="86"/>
  <c r="AA203" i="86"/>
  <c r="Z203" i="86"/>
  <c r="Y203" i="86"/>
  <c r="X203" i="86"/>
  <c r="W203" i="86"/>
  <c r="V203" i="86"/>
  <c r="U203" i="86"/>
  <c r="T203" i="86"/>
  <c r="S203" i="86"/>
  <c r="R203" i="86"/>
  <c r="Q203" i="86"/>
  <c r="P203" i="86"/>
  <c r="O203" i="86"/>
  <c r="N203" i="86"/>
  <c r="M203" i="86"/>
  <c r="L203" i="86"/>
  <c r="K203" i="86"/>
  <c r="J203" i="86"/>
  <c r="I203" i="86"/>
  <c r="H203" i="86"/>
  <c r="G203" i="86"/>
  <c r="AH202" i="86"/>
  <c r="AG202" i="86"/>
  <c r="AF202" i="86"/>
  <c r="AE202" i="86"/>
  <c r="AD202" i="86"/>
  <c r="AC202" i="86"/>
  <c r="AB202" i="86"/>
  <c r="AA202" i="86"/>
  <c r="Z202" i="86"/>
  <c r="Y202" i="86"/>
  <c r="X202" i="86"/>
  <c r="W202" i="86"/>
  <c r="V202" i="86"/>
  <c r="U202" i="86"/>
  <c r="T202" i="86"/>
  <c r="S202" i="86"/>
  <c r="R202" i="86"/>
  <c r="Q202" i="86"/>
  <c r="P202" i="86"/>
  <c r="O202" i="86"/>
  <c r="N202" i="86"/>
  <c r="M202" i="86"/>
  <c r="L202" i="86"/>
  <c r="K202" i="86"/>
  <c r="J202" i="86"/>
  <c r="I202" i="86"/>
  <c r="H202" i="86"/>
  <c r="G202" i="86"/>
  <c r="AH201" i="86"/>
  <c r="AG201" i="86"/>
  <c r="AF201" i="86"/>
  <c r="AE201" i="86"/>
  <c r="AD201" i="86"/>
  <c r="AC201" i="86"/>
  <c r="AB201" i="86"/>
  <c r="AA201" i="86"/>
  <c r="Z201" i="86"/>
  <c r="Y201" i="86"/>
  <c r="X201" i="86"/>
  <c r="W201" i="86"/>
  <c r="V201" i="86"/>
  <c r="U201" i="86"/>
  <c r="T201" i="86"/>
  <c r="S201" i="86"/>
  <c r="R201" i="86"/>
  <c r="Q201" i="86"/>
  <c r="P201" i="86"/>
  <c r="O201" i="86"/>
  <c r="N201" i="86"/>
  <c r="M201" i="86"/>
  <c r="L201" i="86"/>
  <c r="K201" i="86"/>
  <c r="J201" i="86"/>
  <c r="I201" i="86"/>
  <c r="H201" i="86"/>
  <c r="G201" i="86"/>
  <c r="AH200" i="86"/>
  <c r="AG200" i="86"/>
  <c r="AF200" i="86"/>
  <c r="AE200" i="86"/>
  <c r="AD200" i="86"/>
  <c r="AC200" i="86"/>
  <c r="AB200" i="86"/>
  <c r="AA200" i="86"/>
  <c r="Z200" i="86"/>
  <c r="Y200" i="86"/>
  <c r="X200" i="86"/>
  <c r="W200" i="86"/>
  <c r="V200" i="86"/>
  <c r="U200" i="86"/>
  <c r="T200" i="86"/>
  <c r="S200" i="86"/>
  <c r="R200" i="86"/>
  <c r="Q200" i="86"/>
  <c r="P200" i="86"/>
  <c r="O200" i="86"/>
  <c r="N200" i="86"/>
  <c r="M200" i="86"/>
  <c r="L200" i="86"/>
  <c r="K200" i="86"/>
  <c r="J200" i="86"/>
  <c r="I200" i="86"/>
  <c r="H200" i="86"/>
  <c r="G200" i="86"/>
  <c r="AH199" i="86"/>
  <c r="AG199" i="86"/>
  <c r="AF199" i="86"/>
  <c r="AE199" i="86"/>
  <c r="AD199" i="86"/>
  <c r="AC199" i="86"/>
  <c r="AB199" i="86"/>
  <c r="AA199" i="86"/>
  <c r="Z199" i="86"/>
  <c r="Y199" i="86"/>
  <c r="X199" i="86"/>
  <c r="W199" i="86"/>
  <c r="V199" i="86"/>
  <c r="U199" i="86"/>
  <c r="T199" i="86"/>
  <c r="S199" i="86"/>
  <c r="R199" i="86"/>
  <c r="Q199" i="86"/>
  <c r="P199" i="86"/>
  <c r="O199" i="86"/>
  <c r="N199" i="86"/>
  <c r="M199" i="86"/>
  <c r="L199" i="86"/>
  <c r="K199" i="86"/>
  <c r="J199" i="86"/>
  <c r="I199" i="86"/>
  <c r="H199" i="86"/>
  <c r="G199" i="86"/>
  <c r="AH198" i="86"/>
  <c r="AG198" i="86"/>
  <c r="AF198" i="86"/>
  <c r="AE198" i="86"/>
  <c r="AD198" i="86"/>
  <c r="AC198" i="86"/>
  <c r="AB198" i="86"/>
  <c r="AA198" i="86"/>
  <c r="Z198" i="86"/>
  <c r="Y198" i="86"/>
  <c r="X198" i="86"/>
  <c r="W198" i="86"/>
  <c r="V198" i="86"/>
  <c r="U198" i="86"/>
  <c r="T198" i="86"/>
  <c r="S198" i="86"/>
  <c r="R198" i="86"/>
  <c r="Q198" i="86"/>
  <c r="P198" i="86"/>
  <c r="O198" i="86"/>
  <c r="N198" i="86"/>
  <c r="M198" i="86"/>
  <c r="L198" i="86"/>
  <c r="K198" i="86"/>
  <c r="J198" i="86"/>
  <c r="I198" i="86"/>
  <c r="H198" i="86"/>
  <c r="G198" i="86"/>
  <c r="AH197" i="86"/>
  <c r="AG197" i="86"/>
  <c r="AF197" i="86"/>
  <c r="AE197" i="86"/>
  <c r="AD197" i="86"/>
  <c r="AC197" i="86"/>
  <c r="AB197" i="86"/>
  <c r="AA197" i="86"/>
  <c r="Z197" i="86"/>
  <c r="Y197" i="86"/>
  <c r="X197" i="86"/>
  <c r="W197" i="86"/>
  <c r="V197" i="86"/>
  <c r="U197" i="86"/>
  <c r="T197" i="86"/>
  <c r="S197" i="86"/>
  <c r="R197" i="86"/>
  <c r="Q197" i="86"/>
  <c r="P197" i="86"/>
  <c r="O197" i="86"/>
  <c r="N197" i="86"/>
  <c r="M197" i="86"/>
  <c r="L197" i="86"/>
  <c r="K197" i="86"/>
  <c r="J197" i="86"/>
  <c r="I197" i="86"/>
  <c r="H197" i="86"/>
  <c r="G197" i="86"/>
  <c r="AH196" i="86"/>
  <c r="AG196" i="86"/>
  <c r="AF196" i="86"/>
  <c r="AE196" i="86"/>
  <c r="AD196" i="86"/>
  <c r="AC196" i="86"/>
  <c r="AB196" i="86"/>
  <c r="AA196" i="86"/>
  <c r="Z196" i="86"/>
  <c r="Y196" i="86"/>
  <c r="X196" i="86"/>
  <c r="W196" i="86"/>
  <c r="V196" i="86"/>
  <c r="U196" i="86"/>
  <c r="T196" i="86"/>
  <c r="S196" i="86"/>
  <c r="R196" i="86"/>
  <c r="Q196" i="86"/>
  <c r="P196" i="86"/>
  <c r="O196" i="86"/>
  <c r="N196" i="86"/>
  <c r="M196" i="86"/>
  <c r="L196" i="86"/>
  <c r="K196" i="86"/>
  <c r="J196" i="86"/>
  <c r="I196" i="86"/>
  <c r="H196" i="86"/>
  <c r="G196" i="86"/>
  <c r="AH195" i="86"/>
  <c r="AG195" i="86"/>
  <c r="AF195" i="86"/>
  <c r="AE195" i="86"/>
  <c r="AD195" i="86"/>
  <c r="AC195" i="86"/>
  <c r="AB195" i="86"/>
  <c r="AA195" i="86"/>
  <c r="Z195" i="86"/>
  <c r="Y195" i="86"/>
  <c r="X195" i="86"/>
  <c r="W195" i="86"/>
  <c r="V195" i="86"/>
  <c r="U195" i="86"/>
  <c r="T195" i="86"/>
  <c r="S195" i="86"/>
  <c r="R195" i="86"/>
  <c r="Q195" i="86"/>
  <c r="P195" i="86"/>
  <c r="O195" i="86"/>
  <c r="N195" i="86"/>
  <c r="M195" i="86"/>
  <c r="L195" i="86"/>
  <c r="K195" i="86"/>
  <c r="J195" i="86"/>
  <c r="I195" i="86"/>
  <c r="H195" i="86"/>
  <c r="G195" i="86"/>
  <c r="AH194" i="86"/>
  <c r="AG194" i="86"/>
  <c r="AF194" i="86"/>
  <c r="AE194" i="86"/>
  <c r="AD194" i="86"/>
  <c r="AC194" i="86"/>
  <c r="AB194" i="86"/>
  <c r="AA194" i="86"/>
  <c r="Z194" i="86"/>
  <c r="Y194" i="86"/>
  <c r="X194" i="86"/>
  <c r="W194" i="86"/>
  <c r="V194" i="86"/>
  <c r="U194" i="86"/>
  <c r="T194" i="86"/>
  <c r="S194" i="86"/>
  <c r="R194" i="86"/>
  <c r="Q194" i="86"/>
  <c r="P194" i="86"/>
  <c r="O194" i="86"/>
  <c r="N194" i="86"/>
  <c r="M194" i="86"/>
  <c r="L194" i="86"/>
  <c r="K194" i="86"/>
  <c r="J194" i="86"/>
  <c r="I194" i="86"/>
  <c r="H194" i="86"/>
  <c r="G194" i="86"/>
  <c r="AH193" i="86"/>
  <c r="AG193" i="86"/>
  <c r="AF193" i="86"/>
  <c r="AE193" i="86"/>
  <c r="AD193" i="86"/>
  <c r="AC193" i="86"/>
  <c r="AB193" i="86"/>
  <c r="AA193" i="86"/>
  <c r="Z193" i="86"/>
  <c r="Y193" i="86"/>
  <c r="X193" i="86"/>
  <c r="W193" i="86"/>
  <c r="V193" i="86"/>
  <c r="U193" i="86"/>
  <c r="T193" i="86"/>
  <c r="S193" i="86"/>
  <c r="R193" i="86"/>
  <c r="Q193" i="86"/>
  <c r="P193" i="86"/>
  <c r="O193" i="86"/>
  <c r="N193" i="86"/>
  <c r="M193" i="86"/>
  <c r="L193" i="86"/>
  <c r="K193" i="86"/>
  <c r="J193" i="86"/>
  <c r="I193" i="86"/>
  <c r="H193" i="86"/>
  <c r="G193" i="86"/>
  <c r="AH192" i="86"/>
  <c r="AG192" i="86"/>
  <c r="AF192" i="86"/>
  <c r="AE192" i="86"/>
  <c r="AD192" i="86"/>
  <c r="AC192" i="86"/>
  <c r="AB192" i="86"/>
  <c r="AA192" i="86"/>
  <c r="Z192" i="86"/>
  <c r="Y192" i="86"/>
  <c r="X192" i="86"/>
  <c r="W192" i="86"/>
  <c r="V192" i="86"/>
  <c r="U192" i="86"/>
  <c r="T192" i="86"/>
  <c r="S192" i="86"/>
  <c r="R192" i="86"/>
  <c r="Q192" i="86"/>
  <c r="P192" i="86"/>
  <c r="O192" i="86"/>
  <c r="N192" i="86"/>
  <c r="M192" i="86"/>
  <c r="L192" i="86"/>
  <c r="K192" i="86"/>
  <c r="J192" i="86"/>
  <c r="I192" i="86"/>
  <c r="H192" i="86"/>
  <c r="G192" i="86"/>
  <c r="AH191" i="86"/>
  <c r="AG191" i="86"/>
  <c r="AF191" i="86"/>
  <c r="AE191" i="86"/>
  <c r="AD191" i="86"/>
  <c r="AC191" i="86"/>
  <c r="AB191" i="86"/>
  <c r="AA191" i="86"/>
  <c r="Z191" i="86"/>
  <c r="Y191" i="86"/>
  <c r="X191" i="86"/>
  <c r="W191" i="86"/>
  <c r="V191" i="86"/>
  <c r="U191" i="86"/>
  <c r="T191" i="86"/>
  <c r="S191" i="86"/>
  <c r="R191" i="86"/>
  <c r="Q191" i="86"/>
  <c r="P191" i="86"/>
  <c r="O191" i="86"/>
  <c r="N191" i="86"/>
  <c r="M191" i="86"/>
  <c r="L191" i="86"/>
  <c r="K191" i="86"/>
  <c r="J191" i="86"/>
  <c r="I191" i="86"/>
  <c r="H191" i="86"/>
  <c r="G191" i="86"/>
  <c r="AH190" i="86"/>
  <c r="AG190" i="86"/>
  <c r="AF190" i="86"/>
  <c r="AE190" i="86"/>
  <c r="AD190" i="86"/>
  <c r="AC190" i="86"/>
  <c r="AB190" i="86"/>
  <c r="AA190" i="86"/>
  <c r="Z190" i="86"/>
  <c r="Y190" i="86"/>
  <c r="X190" i="86"/>
  <c r="W190" i="86"/>
  <c r="V190" i="86"/>
  <c r="U190" i="86"/>
  <c r="T190" i="86"/>
  <c r="S190" i="86"/>
  <c r="R190" i="86"/>
  <c r="Q190" i="86"/>
  <c r="P190" i="86"/>
  <c r="O190" i="86"/>
  <c r="N190" i="86"/>
  <c r="M190" i="86"/>
  <c r="L190" i="86"/>
  <c r="K190" i="86"/>
  <c r="J190" i="86"/>
  <c r="I190" i="86"/>
  <c r="H190" i="86"/>
  <c r="G190" i="86"/>
  <c r="AH189" i="86"/>
  <c r="AG189" i="86"/>
  <c r="AF189" i="86"/>
  <c r="AE189" i="86"/>
  <c r="AD189" i="86"/>
  <c r="AC189" i="86"/>
  <c r="AB189" i="86"/>
  <c r="AA189" i="86"/>
  <c r="Z189" i="86"/>
  <c r="Y189" i="86"/>
  <c r="X189" i="86"/>
  <c r="W189" i="86"/>
  <c r="V189" i="86"/>
  <c r="U189" i="86"/>
  <c r="T189" i="86"/>
  <c r="S189" i="86"/>
  <c r="R189" i="86"/>
  <c r="Q189" i="86"/>
  <c r="P189" i="86"/>
  <c r="O189" i="86"/>
  <c r="N189" i="86"/>
  <c r="M189" i="86"/>
  <c r="L189" i="86"/>
  <c r="K189" i="86"/>
  <c r="J189" i="86"/>
  <c r="I189" i="86"/>
  <c r="H189" i="86"/>
  <c r="G189" i="86"/>
  <c r="AH188" i="86"/>
  <c r="AG188" i="86"/>
  <c r="AF188" i="86"/>
  <c r="AE188" i="86"/>
  <c r="AD188" i="86"/>
  <c r="AC188" i="86"/>
  <c r="AB188" i="86"/>
  <c r="AA188" i="86"/>
  <c r="Z188" i="86"/>
  <c r="Y188" i="86"/>
  <c r="X188" i="86"/>
  <c r="W188" i="86"/>
  <c r="V188" i="86"/>
  <c r="U188" i="86"/>
  <c r="T188" i="86"/>
  <c r="S188" i="86"/>
  <c r="R188" i="86"/>
  <c r="Q188" i="86"/>
  <c r="P188" i="86"/>
  <c r="O188" i="86"/>
  <c r="N188" i="86"/>
  <c r="M188" i="86"/>
  <c r="L188" i="86"/>
  <c r="K188" i="86"/>
  <c r="J188" i="86"/>
  <c r="I188" i="86"/>
  <c r="H188" i="86"/>
  <c r="G188" i="86"/>
  <c r="AH187" i="86"/>
  <c r="AG187" i="86"/>
  <c r="AF187" i="86"/>
  <c r="AE187" i="86"/>
  <c r="AD187" i="86"/>
  <c r="AC187" i="86"/>
  <c r="AB187" i="86"/>
  <c r="AA187" i="86"/>
  <c r="Z187" i="86"/>
  <c r="Y187" i="86"/>
  <c r="X187" i="86"/>
  <c r="W187" i="86"/>
  <c r="V187" i="86"/>
  <c r="U187" i="86"/>
  <c r="T187" i="86"/>
  <c r="S187" i="86"/>
  <c r="R187" i="86"/>
  <c r="Q187" i="86"/>
  <c r="P187" i="86"/>
  <c r="O187" i="86"/>
  <c r="N187" i="86"/>
  <c r="M187" i="86"/>
  <c r="L187" i="86"/>
  <c r="K187" i="86"/>
  <c r="J187" i="86"/>
  <c r="I187" i="86"/>
  <c r="H187" i="86"/>
  <c r="G187" i="86"/>
  <c r="AH186" i="86"/>
  <c r="AG186" i="86"/>
  <c r="AF186" i="86"/>
  <c r="AE186" i="86"/>
  <c r="AD186" i="86"/>
  <c r="AC186" i="86"/>
  <c r="AB186" i="86"/>
  <c r="AA186" i="86"/>
  <c r="Z186" i="86"/>
  <c r="Y186" i="86"/>
  <c r="X186" i="86"/>
  <c r="W186" i="86"/>
  <c r="V186" i="86"/>
  <c r="U186" i="86"/>
  <c r="T186" i="86"/>
  <c r="S186" i="86"/>
  <c r="R186" i="86"/>
  <c r="Q186" i="86"/>
  <c r="P186" i="86"/>
  <c r="O186" i="86"/>
  <c r="N186" i="86"/>
  <c r="M186" i="86"/>
  <c r="L186" i="86"/>
  <c r="K186" i="86"/>
  <c r="J186" i="86"/>
  <c r="I186" i="86"/>
  <c r="H186" i="86"/>
  <c r="G186" i="86"/>
  <c r="AH185" i="86"/>
  <c r="AG185" i="86"/>
  <c r="AF185" i="86"/>
  <c r="AE185" i="86"/>
  <c r="AD185" i="86"/>
  <c r="AC185" i="86"/>
  <c r="AB185" i="86"/>
  <c r="AA185" i="86"/>
  <c r="Z185" i="86"/>
  <c r="Y185" i="86"/>
  <c r="X185" i="86"/>
  <c r="W185" i="86"/>
  <c r="V185" i="86"/>
  <c r="U185" i="86"/>
  <c r="T185" i="86"/>
  <c r="S185" i="86"/>
  <c r="R185" i="86"/>
  <c r="Q185" i="86"/>
  <c r="P185" i="86"/>
  <c r="O185" i="86"/>
  <c r="N185" i="86"/>
  <c r="M185" i="86"/>
  <c r="L185" i="86"/>
  <c r="K185" i="86"/>
  <c r="J185" i="86"/>
  <c r="I185" i="86"/>
  <c r="H185" i="86"/>
  <c r="G185" i="86"/>
  <c r="AH184" i="86"/>
  <c r="AG184" i="86"/>
  <c r="AF184" i="86"/>
  <c r="AE184" i="86"/>
  <c r="AD184" i="86"/>
  <c r="AC184" i="86"/>
  <c r="AB184" i="86"/>
  <c r="AA184" i="86"/>
  <c r="Z184" i="86"/>
  <c r="Y184" i="86"/>
  <c r="X184" i="86"/>
  <c r="W184" i="86"/>
  <c r="V184" i="86"/>
  <c r="U184" i="86"/>
  <c r="T184" i="86"/>
  <c r="S184" i="86"/>
  <c r="R184" i="86"/>
  <c r="Q184" i="86"/>
  <c r="P184" i="86"/>
  <c r="O184" i="86"/>
  <c r="N184" i="86"/>
  <c r="M184" i="86"/>
  <c r="L184" i="86"/>
  <c r="K184" i="86"/>
  <c r="J184" i="86"/>
  <c r="I184" i="86"/>
  <c r="H184" i="86"/>
  <c r="G184" i="86"/>
  <c r="AH183" i="86"/>
  <c r="AG183" i="86"/>
  <c r="AF183" i="86"/>
  <c r="AE183" i="86"/>
  <c r="AD183" i="86"/>
  <c r="AC183" i="86"/>
  <c r="AB183" i="86"/>
  <c r="AA183" i="86"/>
  <c r="Z183" i="86"/>
  <c r="Y183" i="86"/>
  <c r="X183" i="86"/>
  <c r="W183" i="86"/>
  <c r="V183" i="86"/>
  <c r="U183" i="86"/>
  <c r="T183" i="86"/>
  <c r="S183" i="86"/>
  <c r="R183" i="86"/>
  <c r="Q183" i="86"/>
  <c r="P183" i="86"/>
  <c r="O183" i="86"/>
  <c r="N183" i="86"/>
  <c r="M183" i="86"/>
  <c r="L183" i="86"/>
  <c r="K183" i="86"/>
  <c r="J183" i="86"/>
  <c r="I183" i="86"/>
  <c r="H183" i="86"/>
  <c r="G183" i="86"/>
  <c r="AH182" i="86"/>
  <c r="AG182" i="86"/>
  <c r="AF182" i="86"/>
  <c r="AE182" i="86"/>
  <c r="AD182" i="86"/>
  <c r="AC182" i="86"/>
  <c r="AB182" i="86"/>
  <c r="AA182" i="86"/>
  <c r="Z182" i="86"/>
  <c r="Y182" i="86"/>
  <c r="X182" i="86"/>
  <c r="W182" i="86"/>
  <c r="V182" i="86"/>
  <c r="U182" i="86"/>
  <c r="T182" i="86"/>
  <c r="S182" i="86"/>
  <c r="R182" i="86"/>
  <c r="Q182" i="86"/>
  <c r="P182" i="86"/>
  <c r="O182" i="86"/>
  <c r="N182" i="86"/>
  <c r="M182" i="86"/>
  <c r="L182" i="86"/>
  <c r="K182" i="86"/>
  <c r="J182" i="86"/>
  <c r="I182" i="86"/>
  <c r="H182" i="86"/>
  <c r="G182" i="86"/>
  <c r="AH181" i="86"/>
  <c r="AG181" i="86"/>
  <c r="AF181" i="86"/>
  <c r="AE181" i="86"/>
  <c r="AD181" i="86"/>
  <c r="AC181" i="86"/>
  <c r="AB181" i="86"/>
  <c r="AA181" i="86"/>
  <c r="Z181" i="86"/>
  <c r="Y181" i="86"/>
  <c r="X181" i="86"/>
  <c r="W181" i="86"/>
  <c r="V181" i="86"/>
  <c r="U181" i="86"/>
  <c r="T181" i="86"/>
  <c r="S181" i="86"/>
  <c r="R181" i="86"/>
  <c r="Q181" i="86"/>
  <c r="P181" i="86"/>
  <c r="O181" i="86"/>
  <c r="N181" i="86"/>
  <c r="M181" i="86"/>
  <c r="L181" i="86"/>
  <c r="K181" i="86"/>
  <c r="J181" i="86"/>
  <c r="I181" i="86"/>
  <c r="H181" i="86"/>
  <c r="G181" i="86"/>
  <c r="AH180" i="86"/>
  <c r="AG180" i="86"/>
  <c r="AF180" i="86"/>
  <c r="AE180" i="86"/>
  <c r="AD180" i="86"/>
  <c r="AC180" i="86"/>
  <c r="AB180" i="86"/>
  <c r="AA180" i="86"/>
  <c r="Z180" i="86"/>
  <c r="Y180" i="86"/>
  <c r="X180" i="86"/>
  <c r="W180" i="86"/>
  <c r="V180" i="86"/>
  <c r="U180" i="86"/>
  <c r="T180" i="86"/>
  <c r="S180" i="86"/>
  <c r="R180" i="86"/>
  <c r="Q180" i="86"/>
  <c r="P180" i="86"/>
  <c r="O180" i="86"/>
  <c r="N180" i="86"/>
  <c r="M180" i="86"/>
  <c r="L180" i="86"/>
  <c r="K180" i="86"/>
  <c r="J180" i="86"/>
  <c r="I180" i="86"/>
  <c r="H180" i="86"/>
  <c r="G180" i="86"/>
  <c r="AH179" i="86"/>
  <c r="AG179" i="86"/>
  <c r="AF179" i="86"/>
  <c r="AE179" i="86"/>
  <c r="AD179" i="86"/>
  <c r="AC179" i="86"/>
  <c r="AB179" i="86"/>
  <c r="AA179" i="86"/>
  <c r="Z179" i="86"/>
  <c r="Y179" i="86"/>
  <c r="X179" i="86"/>
  <c r="W179" i="86"/>
  <c r="V179" i="86"/>
  <c r="U179" i="86"/>
  <c r="T179" i="86"/>
  <c r="S179" i="86"/>
  <c r="R179" i="86"/>
  <c r="Q179" i="86"/>
  <c r="P179" i="86"/>
  <c r="O179" i="86"/>
  <c r="N179" i="86"/>
  <c r="M179" i="86"/>
  <c r="L179" i="86"/>
  <c r="K179" i="86"/>
  <c r="J179" i="86"/>
  <c r="I179" i="86"/>
  <c r="H179" i="86"/>
  <c r="G179" i="86"/>
  <c r="AH178" i="86"/>
  <c r="AG178" i="86"/>
  <c r="AF178" i="86"/>
  <c r="AE178" i="86"/>
  <c r="AD178" i="86"/>
  <c r="AC178" i="86"/>
  <c r="AB178" i="86"/>
  <c r="AA178" i="86"/>
  <c r="Z178" i="86"/>
  <c r="Y178" i="86"/>
  <c r="X178" i="86"/>
  <c r="W178" i="86"/>
  <c r="V178" i="86"/>
  <c r="U178" i="86"/>
  <c r="T178" i="86"/>
  <c r="S178" i="86"/>
  <c r="R178" i="86"/>
  <c r="Q178" i="86"/>
  <c r="P178" i="86"/>
  <c r="O178" i="86"/>
  <c r="N178" i="86"/>
  <c r="M178" i="86"/>
  <c r="L178" i="86"/>
  <c r="K178" i="86"/>
  <c r="J178" i="86"/>
  <c r="I178" i="86"/>
  <c r="H178" i="86"/>
  <c r="G178" i="86"/>
  <c r="AH177" i="86"/>
  <c r="AG177" i="86"/>
  <c r="AF177" i="86"/>
  <c r="AE177" i="86"/>
  <c r="AD177" i="86"/>
  <c r="AC177" i="86"/>
  <c r="AB177" i="86"/>
  <c r="AA177" i="86"/>
  <c r="Z177" i="86"/>
  <c r="Y177" i="86"/>
  <c r="X177" i="86"/>
  <c r="W177" i="86"/>
  <c r="V177" i="86"/>
  <c r="U177" i="86"/>
  <c r="T177" i="86"/>
  <c r="S177" i="86"/>
  <c r="R177" i="86"/>
  <c r="Q177" i="86"/>
  <c r="P177" i="86"/>
  <c r="O177" i="86"/>
  <c r="N177" i="86"/>
  <c r="M177" i="86"/>
  <c r="L177" i="86"/>
  <c r="K177" i="86"/>
  <c r="J177" i="86"/>
  <c r="I177" i="86"/>
  <c r="H177" i="86"/>
  <c r="G177" i="86"/>
  <c r="AH176" i="86"/>
  <c r="AG176" i="86"/>
  <c r="AF176" i="86"/>
  <c r="AE176" i="86"/>
  <c r="AD176" i="86"/>
  <c r="AC176" i="86"/>
  <c r="AB176" i="86"/>
  <c r="AA176" i="86"/>
  <c r="Z176" i="86"/>
  <c r="Y176" i="86"/>
  <c r="X176" i="86"/>
  <c r="W176" i="86"/>
  <c r="V176" i="86"/>
  <c r="U176" i="86"/>
  <c r="T176" i="86"/>
  <c r="S176" i="86"/>
  <c r="R176" i="86"/>
  <c r="Q176" i="86"/>
  <c r="P176" i="86"/>
  <c r="O176" i="86"/>
  <c r="N176" i="86"/>
  <c r="M176" i="86"/>
  <c r="L176" i="86"/>
  <c r="K176" i="86"/>
  <c r="J176" i="86"/>
  <c r="I176" i="86"/>
  <c r="H176" i="86"/>
  <c r="G176" i="86"/>
  <c r="AH175" i="86"/>
  <c r="AG175" i="86"/>
  <c r="AF175" i="86"/>
  <c r="AE175" i="86"/>
  <c r="AD175" i="86"/>
  <c r="AC175" i="86"/>
  <c r="AB175" i="86"/>
  <c r="AA175" i="86"/>
  <c r="Z175" i="86"/>
  <c r="Y175" i="86"/>
  <c r="X175" i="86"/>
  <c r="W175" i="86"/>
  <c r="V175" i="86"/>
  <c r="U175" i="86"/>
  <c r="T175" i="86"/>
  <c r="S175" i="86"/>
  <c r="R175" i="86"/>
  <c r="Q175" i="86"/>
  <c r="P175" i="86"/>
  <c r="O175" i="86"/>
  <c r="N175" i="86"/>
  <c r="M175" i="86"/>
  <c r="L175" i="86"/>
  <c r="K175" i="86"/>
  <c r="J175" i="86"/>
  <c r="I175" i="86"/>
  <c r="H175" i="86"/>
  <c r="G175" i="86"/>
  <c r="AH174" i="86"/>
  <c r="AG174" i="86"/>
  <c r="AF174" i="86"/>
  <c r="AE174" i="86"/>
  <c r="AD174" i="86"/>
  <c r="AC174" i="86"/>
  <c r="AB174" i="86"/>
  <c r="AA174" i="86"/>
  <c r="Z174" i="86"/>
  <c r="Y174" i="86"/>
  <c r="X174" i="86"/>
  <c r="W174" i="86"/>
  <c r="V174" i="86"/>
  <c r="U174" i="86"/>
  <c r="T174" i="86"/>
  <c r="S174" i="86"/>
  <c r="R174" i="86"/>
  <c r="Q174" i="86"/>
  <c r="P174" i="86"/>
  <c r="O174" i="86"/>
  <c r="N174" i="86"/>
  <c r="M174" i="86"/>
  <c r="L174" i="86"/>
  <c r="K174" i="86"/>
  <c r="J174" i="86"/>
  <c r="I174" i="86"/>
  <c r="H174" i="86"/>
  <c r="G174" i="86"/>
  <c r="AH173" i="86"/>
  <c r="AG173" i="86"/>
  <c r="AF173" i="86"/>
  <c r="AE173" i="86"/>
  <c r="AD173" i="86"/>
  <c r="AC173" i="86"/>
  <c r="AB173" i="86"/>
  <c r="AA173" i="86"/>
  <c r="Z173" i="86"/>
  <c r="Y173" i="86"/>
  <c r="X173" i="86"/>
  <c r="W173" i="86"/>
  <c r="V173" i="86"/>
  <c r="U173" i="86"/>
  <c r="T173" i="86"/>
  <c r="S173" i="86"/>
  <c r="R173" i="86"/>
  <c r="Q173" i="86"/>
  <c r="P173" i="86"/>
  <c r="O173" i="86"/>
  <c r="N173" i="86"/>
  <c r="M173" i="86"/>
  <c r="L173" i="86"/>
  <c r="K173" i="86"/>
  <c r="J173" i="86"/>
  <c r="I173" i="86"/>
  <c r="H173" i="86"/>
  <c r="G173" i="86"/>
  <c r="AH172" i="86"/>
  <c r="AG172" i="86"/>
  <c r="AF172" i="86"/>
  <c r="AE172" i="86"/>
  <c r="AD172" i="86"/>
  <c r="AC172" i="86"/>
  <c r="AB172" i="86"/>
  <c r="AA172" i="86"/>
  <c r="Z172" i="86"/>
  <c r="Y172" i="86"/>
  <c r="X172" i="86"/>
  <c r="W172" i="86"/>
  <c r="V172" i="86"/>
  <c r="U172" i="86"/>
  <c r="T172" i="86"/>
  <c r="S172" i="86"/>
  <c r="R172" i="86"/>
  <c r="Q172" i="86"/>
  <c r="P172" i="86"/>
  <c r="O172" i="86"/>
  <c r="N172" i="86"/>
  <c r="M172" i="86"/>
  <c r="L172" i="86"/>
  <c r="K172" i="86"/>
  <c r="J172" i="86"/>
  <c r="I172" i="86"/>
  <c r="H172" i="86"/>
  <c r="G172" i="86"/>
  <c r="AH171" i="86"/>
  <c r="AG171" i="86"/>
  <c r="AF171" i="86"/>
  <c r="AE171" i="86"/>
  <c r="AD171" i="86"/>
  <c r="AC171" i="86"/>
  <c r="AB171" i="86"/>
  <c r="AA171" i="86"/>
  <c r="Z171" i="86"/>
  <c r="Y171" i="86"/>
  <c r="X171" i="86"/>
  <c r="W171" i="86"/>
  <c r="V171" i="86"/>
  <c r="U171" i="86"/>
  <c r="T171" i="86"/>
  <c r="S171" i="86"/>
  <c r="R171" i="86"/>
  <c r="Q171" i="86"/>
  <c r="P171" i="86"/>
  <c r="O171" i="86"/>
  <c r="N171" i="86"/>
  <c r="M171" i="86"/>
  <c r="L171" i="86"/>
  <c r="K171" i="86"/>
  <c r="J171" i="86"/>
  <c r="I171" i="86"/>
  <c r="H171" i="86"/>
  <c r="G171" i="86"/>
  <c r="AH170" i="86"/>
  <c r="AG170" i="86"/>
  <c r="AF170" i="86"/>
  <c r="AE170" i="86"/>
  <c r="AD170" i="86"/>
  <c r="AC170" i="86"/>
  <c r="AB170" i="86"/>
  <c r="AA170" i="86"/>
  <c r="Z170" i="86"/>
  <c r="Y170" i="86"/>
  <c r="X170" i="86"/>
  <c r="W170" i="86"/>
  <c r="V170" i="86"/>
  <c r="U170" i="86"/>
  <c r="T170" i="86"/>
  <c r="S170" i="86"/>
  <c r="R170" i="86"/>
  <c r="Q170" i="86"/>
  <c r="P170" i="86"/>
  <c r="O170" i="86"/>
  <c r="N170" i="86"/>
  <c r="M170" i="86"/>
  <c r="L170" i="86"/>
  <c r="K170" i="86"/>
  <c r="J170" i="86"/>
  <c r="I170" i="86"/>
  <c r="H170" i="86"/>
  <c r="G170" i="86"/>
  <c r="AH169" i="86"/>
  <c r="AG169" i="86"/>
  <c r="AF169" i="86"/>
  <c r="AE169" i="86"/>
  <c r="AD169" i="86"/>
  <c r="AC169" i="86"/>
  <c r="AB169" i="86"/>
  <c r="AA169" i="86"/>
  <c r="Z169" i="86"/>
  <c r="Y169" i="86"/>
  <c r="X169" i="86"/>
  <c r="W169" i="86"/>
  <c r="V169" i="86"/>
  <c r="U169" i="86"/>
  <c r="T169" i="86"/>
  <c r="S169" i="86"/>
  <c r="R169" i="86"/>
  <c r="Q169" i="86"/>
  <c r="P169" i="86"/>
  <c r="O169" i="86"/>
  <c r="N169" i="86"/>
  <c r="M169" i="86"/>
  <c r="L169" i="86"/>
  <c r="K169" i="86"/>
  <c r="J169" i="86"/>
  <c r="I169" i="86"/>
  <c r="H169" i="86"/>
  <c r="G169" i="86"/>
  <c r="AH168" i="86"/>
  <c r="AG168" i="86"/>
  <c r="AF168" i="86"/>
  <c r="AE168" i="86"/>
  <c r="AD168" i="86"/>
  <c r="AC168" i="86"/>
  <c r="AB168" i="86"/>
  <c r="AA168" i="86"/>
  <c r="Z168" i="86"/>
  <c r="Y168" i="86"/>
  <c r="X168" i="86"/>
  <c r="W168" i="86"/>
  <c r="V168" i="86"/>
  <c r="U168" i="86"/>
  <c r="T168" i="86"/>
  <c r="S168" i="86"/>
  <c r="R168" i="86"/>
  <c r="Q168" i="86"/>
  <c r="P168" i="86"/>
  <c r="O168" i="86"/>
  <c r="N168" i="86"/>
  <c r="M168" i="86"/>
  <c r="L168" i="86"/>
  <c r="K168" i="86"/>
  <c r="J168" i="86"/>
  <c r="I168" i="86"/>
  <c r="H168" i="86"/>
  <c r="G168" i="86"/>
  <c r="AH167" i="86"/>
  <c r="AG167" i="86"/>
  <c r="AF167" i="86"/>
  <c r="AE167" i="86"/>
  <c r="AD167" i="86"/>
  <c r="AC167" i="86"/>
  <c r="AB167" i="86"/>
  <c r="AA167" i="86"/>
  <c r="Z167" i="86"/>
  <c r="Y167" i="86"/>
  <c r="X167" i="86"/>
  <c r="W167" i="86"/>
  <c r="V167" i="86"/>
  <c r="U167" i="86"/>
  <c r="T167" i="86"/>
  <c r="S167" i="86"/>
  <c r="R167" i="86"/>
  <c r="Q167" i="86"/>
  <c r="P167" i="86"/>
  <c r="O167" i="86"/>
  <c r="N167" i="86"/>
  <c r="M167" i="86"/>
  <c r="L167" i="86"/>
  <c r="K167" i="86"/>
  <c r="J167" i="86"/>
  <c r="I167" i="86"/>
  <c r="H167" i="86"/>
  <c r="G167" i="86"/>
  <c r="AH166" i="86"/>
  <c r="AG166" i="86"/>
  <c r="AF166" i="86"/>
  <c r="AE166" i="86"/>
  <c r="AD166" i="86"/>
  <c r="AC166" i="86"/>
  <c r="AB166" i="86"/>
  <c r="AA166" i="86"/>
  <c r="Z166" i="86"/>
  <c r="Y166" i="86"/>
  <c r="X166" i="86"/>
  <c r="W166" i="86"/>
  <c r="V166" i="86"/>
  <c r="U166" i="86"/>
  <c r="T166" i="86"/>
  <c r="S166" i="86"/>
  <c r="R166" i="86"/>
  <c r="Q166" i="86"/>
  <c r="P166" i="86"/>
  <c r="O166" i="86"/>
  <c r="N166" i="86"/>
  <c r="M166" i="86"/>
  <c r="L166" i="86"/>
  <c r="K166" i="86"/>
  <c r="J166" i="86"/>
  <c r="I166" i="86"/>
  <c r="H166" i="86"/>
  <c r="G166" i="86"/>
  <c r="AH165" i="86"/>
  <c r="AG165" i="86"/>
  <c r="AF165" i="86"/>
  <c r="AE165" i="86"/>
  <c r="AD165" i="86"/>
  <c r="AC165" i="86"/>
  <c r="AB165" i="86"/>
  <c r="AA165" i="86"/>
  <c r="Z165" i="86"/>
  <c r="Y165" i="86"/>
  <c r="X165" i="86"/>
  <c r="W165" i="86"/>
  <c r="V165" i="86"/>
  <c r="U165" i="86"/>
  <c r="T165" i="86"/>
  <c r="S165" i="86"/>
  <c r="R165" i="86"/>
  <c r="Q165" i="86"/>
  <c r="P165" i="86"/>
  <c r="O165" i="86"/>
  <c r="N165" i="86"/>
  <c r="M165" i="86"/>
  <c r="L165" i="86"/>
  <c r="K165" i="86"/>
  <c r="J165" i="86"/>
  <c r="I165" i="86"/>
  <c r="H165" i="86"/>
  <c r="G165" i="86"/>
  <c r="AH164" i="86"/>
  <c r="AG164" i="86"/>
  <c r="AF164" i="86"/>
  <c r="AE164" i="86"/>
  <c r="AD164" i="86"/>
  <c r="AC164" i="86"/>
  <c r="AB164" i="86"/>
  <c r="AA164" i="86"/>
  <c r="Z164" i="86"/>
  <c r="Y164" i="86"/>
  <c r="X164" i="86"/>
  <c r="W164" i="86"/>
  <c r="V164" i="86"/>
  <c r="U164" i="86"/>
  <c r="T164" i="86"/>
  <c r="S164" i="86"/>
  <c r="R164" i="86"/>
  <c r="Q164" i="86"/>
  <c r="P164" i="86"/>
  <c r="O164" i="86"/>
  <c r="N164" i="86"/>
  <c r="M164" i="86"/>
  <c r="L164" i="86"/>
  <c r="K164" i="86"/>
  <c r="J164" i="86"/>
  <c r="I164" i="86"/>
  <c r="H164" i="86"/>
  <c r="G164" i="86"/>
  <c r="AH163" i="86"/>
  <c r="AG163" i="86"/>
  <c r="AF163" i="86"/>
  <c r="AE163" i="86"/>
  <c r="AD163" i="86"/>
  <c r="AC163" i="86"/>
  <c r="AB163" i="86"/>
  <c r="AA163" i="86"/>
  <c r="Z163" i="86"/>
  <c r="Y163" i="86"/>
  <c r="X163" i="86"/>
  <c r="W163" i="86"/>
  <c r="V163" i="86"/>
  <c r="U163" i="86"/>
  <c r="T163" i="86"/>
  <c r="S163" i="86"/>
  <c r="R163" i="86"/>
  <c r="Q163" i="86"/>
  <c r="P163" i="86"/>
  <c r="O163" i="86"/>
  <c r="N163" i="86"/>
  <c r="M163" i="86"/>
  <c r="L163" i="86"/>
  <c r="K163" i="86"/>
  <c r="J163" i="86"/>
  <c r="I163" i="86"/>
  <c r="H163" i="86"/>
  <c r="G163" i="86"/>
  <c r="AH162" i="86"/>
  <c r="AG162" i="86"/>
  <c r="AF162" i="86"/>
  <c r="AE162" i="86"/>
  <c r="AD162" i="86"/>
  <c r="AC162" i="86"/>
  <c r="AB162" i="86"/>
  <c r="AA162" i="86"/>
  <c r="Z162" i="86"/>
  <c r="Y162" i="86"/>
  <c r="X162" i="86"/>
  <c r="W162" i="86"/>
  <c r="V162" i="86"/>
  <c r="U162" i="86"/>
  <c r="T162" i="86"/>
  <c r="S162" i="86"/>
  <c r="R162" i="86"/>
  <c r="Q162" i="86"/>
  <c r="P162" i="86"/>
  <c r="O162" i="86"/>
  <c r="N162" i="86"/>
  <c r="M162" i="86"/>
  <c r="L162" i="86"/>
  <c r="K162" i="86"/>
  <c r="J162" i="86"/>
  <c r="I162" i="86"/>
  <c r="H162" i="86"/>
  <c r="G162" i="86"/>
  <c r="AH161" i="86"/>
  <c r="AG161" i="86"/>
  <c r="AF161" i="86"/>
  <c r="AE161" i="86"/>
  <c r="AD161" i="86"/>
  <c r="AC161" i="86"/>
  <c r="AB161" i="86"/>
  <c r="AA161" i="86"/>
  <c r="Z161" i="86"/>
  <c r="Y161" i="86"/>
  <c r="X161" i="86"/>
  <c r="W161" i="86"/>
  <c r="V161" i="86"/>
  <c r="U161" i="86"/>
  <c r="T161" i="86"/>
  <c r="S161" i="86"/>
  <c r="R161" i="86"/>
  <c r="Q161" i="86"/>
  <c r="P161" i="86"/>
  <c r="O161" i="86"/>
  <c r="N161" i="86"/>
  <c r="M161" i="86"/>
  <c r="L161" i="86"/>
  <c r="K161" i="86"/>
  <c r="J161" i="86"/>
  <c r="I161" i="86"/>
  <c r="H161" i="86"/>
  <c r="G161" i="86"/>
  <c r="AH160" i="86"/>
  <c r="AG160" i="86"/>
  <c r="AF160" i="86"/>
  <c r="AE160" i="86"/>
  <c r="AD160" i="86"/>
  <c r="AC160" i="86"/>
  <c r="AB160" i="86"/>
  <c r="AA160" i="86"/>
  <c r="Z160" i="86"/>
  <c r="Y160" i="86"/>
  <c r="X160" i="86"/>
  <c r="W160" i="86"/>
  <c r="V160" i="86"/>
  <c r="U160" i="86"/>
  <c r="T160" i="86"/>
  <c r="S160" i="86"/>
  <c r="R160" i="86"/>
  <c r="Q160" i="86"/>
  <c r="P160" i="86"/>
  <c r="O160" i="86"/>
  <c r="N160" i="86"/>
  <c r="M160" i="86"/>
  <c r="L160" i="86"/>
  <c r="K160" i="86"/>
  <c r="J160" i="86"/>
  <c r="I160" i="86"/>
  <c r="H160" i="86"/>
  <c r="G160" i="86"/>
  <c r="AH159" i="86"/>
  <c r="AG159" i="86"/>
  <c r="AF159" i="86"/>
  <c r="AE159" i="86"/>
  <c r="AD159" i="86"/>
  <c r="AC159" i="86"/>
  <c r="AB159" i="86"/>
  <c r="AA159" i="86"/>
  <c r="Z159" i="86"/>
  <c r="Y159" i="86"/>
  <c r="X159" i="86"/>
  <c r="W159" i="86"/>
  <c r="V159" i="86"/>
  <c r="U159" i="86"/>
  <c r="T159" i="86"/>
  <c r="S159" i="86"/>
  <c r="R159" i="86"/>
  <c r="Q159" i="86"/>
  <c r="P159" i="86"/>
  <c r="O159" i="86"/>
  <c r="N159" i="86"/>
  <c r="M159" i="86"/>
  <c r="L159" i="86"/>
  <c r="K159" i="86"/>
  <c r="J159" i="86"/>
  <c r="I159" i="86"/>
  <c r="H159" i="86"/>
  <c r="G159" i="86"/>
  <c r="AH158" i="86"/>
  <c r="AG158" i="86"/>
  <c r="AF158" i="86"/>
  <c r="AE158" i="86"/>
  <c r="AD158" i="86"/>
  <c r="AC158" i="86"/>
  <c r="AB158" i="86"/>
  <c r="AA158" i="86"/>
  <c r="Z158" i="86"/>
  <c r="Y158" i="86"/>
  <c r="X158" i="86"/>
  <c r="W158" i="86"/>
  <c r="V158" i="86"/>
  <c r="U158" i="86"/>
  <c r="T158" i="86"/>
  <c r="S158" i="86"/>
  <c r="R158" i="86"/>
  <c r="Q158" i="86"/>
  <c r="P158" i="86"/>
  <c r="O158" i="86"/>
  <c r="N158" i="86"/>
  <c r="M158" i="86"/>
  <c r="L158" i="86"/>
  <c r="K158" i="86"/>
  <c r="J158" i="86"/>
  <c r="I158" i="86"/>
  <c r="H158" i="86"/>
  <c r="G158" i="86"/>
  <c r="AH157" i="86"/>
  <c r="AG157" i="86"/>
  <c r="AF157" i="86"/>
  <c r="AE157" i="86"/>
  <c r="AD157" i="86"/>
  <c r="AC157" i="86"/>
  <c r="AB157" i="86"/>
  <c r="AA157" i="86"/>
  <c r="Z157" i="86"/>
  <c r="Y157" i="86"/>
  <c r="X157" i="86"/>
  <c r="W157" i="86"/>
  <c r="V157" i="86"/>
  <c r="U157" i="86"/>
  <c r="T157" i="86"/>
  <c r="S157" i="86"/>
  <c r="R157" i="86"/>
  <c r="Q157" i="86"/>
  <c r="P157" i="86"/>
  <c r="O157" i="86"/>
  <c r="N157" i="86"/>
  <c r="M157" i="86"/>
  <c r="L157" i="86"/>
  <c r="K157" i="86"/>
  <c r="J157" i="86"/>
  <c r="I157" i="86"/>
  <c r="H157" i="86"/>
  <c r="G157" i="86"/>
  <c r="AH156" i="86"/>
  <c r="AG156" i="86"/>
  <c r="AF156" i="86"/>
  <c r="AE156" i="86"/>
  <c r="AD156" i="86"/>
  <c r="AC156" i="86"/>
  <c r="AB156" i="86"/>
  <c r="AA156" i="86"/>
  <c r="Z156" i="86"/>
  <c r="Y156" i="86"/>
  <c r="X156" i="86"/>
  <c r="W156" i="86"/>
  <c r="V156" i="86"/>
  <c r="U156" i="86"/>
  <c r="T156" i="86"/>
  <c r="S156" i="86"/>
  <c r="R156" i="86"/>
  <c r="Q156" i="86"/>
  <c r="P156" i="86"/>
  <c r="O156" i="86"/>
  <c r="N156" i="86"/>
  <c r="M156" i="86"/>
  <c r="L156" i="86"/>
  <c r="K156" i="86"/>
  <c r="J156" i="86"/>
  <c r="I156" i="86"/>
  <c r="H156" i="86"/>
  <c r="G156" i="86"/>
  <c r="AH155" i="86"/>
  <c r="AG155" i="86"/>
  <c r="AF155" i="86"/>
  <c r="AE155" i="86"/>
  <c r="AD155" i="86"/>
  <c r="AC155" i="86"/>
  <c r="AB155" i="86"/>
  <c r="AA155" i="86"/>
  <c r="Z155" i="86"/>
  <c r="Y155" i="86"/>
  <c r="X155" i="86"/>
  <c r="W155" i="86"/>
  <c r="V155" i="86"/>
  <c r="U155" i="86"/>
  <c r="T155" i="86"/>
  <c r="S155" i="86"/>
  <c r="R155" i="86"/>
  <c r="Q155" i="86"/>
  <c r="P155" i="86"/>
  <c r="O155" i="86"/>
  <c r="N155" i="86"/>
  <c r="M155" i="86"/>
  <c r="L155" i="86"/>
  <c r="K155" i="86"/>
  <c r="J155" i="86"/>
  <c r="I155" i="86"/>
  <c r="H155" i="86"/>
  <c r="G155" i="86"/>
  <c r="AH154" i="86"/>
  <c r="AG154" i="86"/>
  <c r="AF154" i="86"/>
  <c r="AE154" i="86"/>
  <c r="AD154" i="86"/>
  <c r="AC154" i="86"/>
  <c r="AB154" i="86"/>
  <c r="AA154" i="86"/>
  <c r="Z154" i="86"/>
  <c r="Y154" i="86"/>
  <c r="X154" i="86"/>
  <c r="W154" i="86"/>
  <c r="V154" i="86"/>
  <c r="U154" i="86"/>
  <c r="T154" i="86"/>
  <c r="S154" i="86"/>
  <c r="R154" i="86"/>
  <c r="Q154" i="86"/>
  <c r="P154" i="86"/>
  <c r="O154" i="86"/>
  <c r="N154" i="86"/>
  <c r="M154" i="86"/>
  <c r="L154" i="86"/>
  <c r="K154" i="86"/>
  <c r="J154" i="86"/>
  <c r="I154" i="86"/>
  <c r="H154" i="86"/>
  <c r="G154" i="86"/>
  <c r="AH153" i="86"/>
  <c r="AG153" i="86"/>
  <c r="AF153" i="86"/>
  <c r="AE153" i="86"/>
  <c r="AD153" i="86"/>
  <c r="AC153" i="86"/>
  <c r="AB153" i="86"/>
  <c r="AA153" i="86"/>
  <c r="Z153" i="86"/>
  <c r="Y153" i="86"/>
  <c r="X153" i="86"/>
  <c r="W153" i="86"/>
  <c r="V153" i="86"/>
  <c r="U153" i="86"/>
  <c r="T153" i="86"/>
  <c r="S153" i="86"/>
  <c r="R153" i="86"/>
  <c r="Q153" i="86"/>
  <c r="P153" i="86"/>
  <c r="O153" i="86"/>
  <c r="N153" i="86"/>
  <c r="M153" i="86"/>
  <c r="L153" i="86"/>
  <c r="K153" i="86"/>
  <c r="J153" i="86"/>
  <c r="I153" i="86"/>
  <c r="H153" i="86"/>
  <c r="G153" i="86"/>
  <c r="AH152" i="86"/>
  <c r="AG152" i="86"/>
  <c r="AF152" i="86"/>
  <c r="AE152" i="86"/>
  <c r="AD152" i="86"/>
  <c r="AC152" i="86"/>
  <c r="AB152" i="86"/>
  <c r="AA152" i="86"/>
  <c r="Z152" i="86"/>
  <c r="Y152" i="86"/>
  <c r="X152" i="86"/>
  <c r="W152" i="86"/>
  <c r="V152" i="86"/>
  <c r="U152" i="86"/>
  <c r="T152" i="86"/>
  <c r="S152" i="86"/>
  <c r="R152" i="86"/>
  <c r="Q152" i="86"/>
  <c r="P152" i="86"/>
  <c r="O152" i="86"/>
  <c r="N152" i="86"/>
  <c r="M152" i="86"/>
  <c r="L152" i="86"/>
  <c r="K152" i="86"/>
  <c r="J152" i="86"/>
  <c r="I152" i="86"/>
  <c r="H152" i="86"/>
  <c r="G152" i="86"/>
  <c r="AH151" i="86"/>
  <c r="AG151" i="86"/>
  <c r="AF151" i="86"/>
  <c r="AE151" i="86"/>
  <c r="AD151" i="86"/>
  <c r="AC151" i="86"/>
  <c r="AB151" i="86"/>
  <c r="AA151" i="86"/>
  <c r="Z151" i="86"/>
  <c r="Y151" i="86"/>
  <c r="X151" i="86"/>
  <c r="W151" i="86"/>
  <c r="V151" i="86"/>
  <c r="U151" i="86"/>
  <c r="T151" i="86"/>
  <c r="S151" i="86"/>
  <c r="R151" i="86"/>
  <c r="Q151" i="86"/>
  <c r="P151" i="86"/>
  <c r="O151" i="86"/>
  <c r="N151" i="86"/>
  <c r="M151" i="86"/>
  <c r="L151" i="86"/>
  <c r="K151" i="86"/>
  <c r="J151" i="86"/>
  <c r="I151" i="86"/>
  <c r="H151" i="86"/>
  <c r="G151" i="86"/>
  <c r="AH150" i="86"/>
  <c r="AG150" i="86"/>
  <c r="AF150" i="86"/>
  <c r="AE150" i="86"/>
  <c r="AD150" i="86"/>
  <c r="AC150" i="86"/>
  <c r="AB150" i="86"/>
  <c r="AA150" i="86"/>
  <c r="Z150" i="86"/>
  <c r="Y150" i="86"/>
  <c r="X150" i="86"/>
  <c r="W150" i="86"/>
  <c r="V150" i="86"/>
  <c r="U150" i="86"/>
  <c r="T150" i="86"/>
  <c r="S150" i="86"/>
  <c r="R150" i="86"/>
  <c r="Q150" i="86"/>
  <c r="P150" i="86"/>
  <c r="O150" i="86"/>
  <c r="N150" i="86"/>
  <c r="M150" i="86"/>
  <c r="L150" i="86"/>
  <c r="K150" i="86"/>
  <c r="J150" i="86"/>
  <c r="I150" i="86"/>
  <c r="H150" i="86"/>
  <c r="G150" i="86"/>
  <c r="AH149" i="86"/>
  <c r="AG149" i="86"/>
  <c r="AF149" i="86"/>
  <c r="AE149" i="86"/>
  <c r="AD149" i="86"/>
  <c r="AC149" i="86"/>
  <c r="AB149" i="86"/>
  <c r="AA149" i="86"/>
  <c r="Z149" i="86"/>
  <c r="Y149" i="86"/>
  <c r="X149" i="86"/>
  <c r="W149" i="86"/>
  <c r="V149" i="86"/>
  <c r="U149" i="86"/>
  <c r="T149" i="86"/>
  <c r="S149" i="86"/>
  <c r="R149" i="86"/>
  <c r="Q149" i="86"/>
  <c r="P149" i="86"/>
  <c r="O149" i="86"/>
  <c r="N149" i="86"/>
  <c r="M149" i="86"/>
  <c r="L149" i="86"/>
  <c r="K149" i="86"/>
  <c r="J149" i="86"/>
  <c r="I149" i="86"/>
  <c r="H149" i="86"/>
  <c r="G149" i="86"/>
  <c r="AH148" i="86"/>
  <c r="AG148" i="86"/>
  <c r="AF148" i="86"/>
  <c r="AE148" i="86"/>
  <c r="AD148" i="86"/>
  <c r="AC148" i="86"/>
  <c r="AB148" i="86"/>
  <c r="AA148" i="86"/>
  <c r="Z148" i="86"/>
  <c r="Y148" i="86"/>
  <c r="X148" i="86"/>
  <c r="W148" i="86"/>
  <c r="V148" i="86"/>
  <c r="U148" i="86"/>
  <c r="T148" i="86"/>
  <c r="S148" i="86"/>
  <c r="R148" i="86"/>
  <c r="Q148" i="86"/>
  <c r="P148" i="86"/>
  <c r="O148" i="86"/>
  <c r="N148" i="86"/>
  <c r="M148" i="86"/>
  <c r="L148" i="86"/>
  <c r="K148" i="86"/>
  <c r="J148" i="86"/>
  <c r="I148" i="86"/>
  <c r="H148" i="86"/>
  <c r="G148" i="86"/>
  <c r="AH147" i="86"/>
  <c r="AG147" i="86"/>
  <c r="AF147" i="86"/>
  <c r="AE147" i="86"/>
  <c r="AD147" i="86"/>
  <c r="AC147" i="86"/>
  <c r="AB147" i="86"/>
  <c r="AA147" i="86"/>
  <c r="Z147" i="86"/>
  <c r="Y147" i="86"/>
  <c r="X147" i="86"/>
  <c r="W147" i="86"/>
  <c r="V147" i="86"/>
  <c r="U147" i="86"/>
  <c r="T147" i="86"/>
  <c r="S147" i="86"/>
  <c r="R147" i="86"/>
  <c r="Q147" i="86"/>
  <c r="P147" i="86"/>
  <c r="O147" i="86"/>
  <c r="N147" i="86"/>
  <c r="M147" i="86"/>
  <c r="L147" i="86"/>
  <c r="K147" i="86"/>
  <c r="J147" i="86"/>
  <c r="I147" i="86"/>
  <c r="H147" i="86"/>
  <c r="G147" i="86"/>
  <c r="AH146" i="86"/>
  <c r="AG146" i="86"/>
  <c r="AF146" i="86"/>
  <c r="AE146" i="86"/>
  <c r="AD146" i="86"/>
  <c r="AC146" i="86"/>
  <c r="AB146" i="86"/>
  <c r="AA146" i="86"/>
  <c r="Z146" i="86"/>
  <c r="Y146" i="86"/>
  <c r="X146" i="86"/>
  <c r="W146" i="86"/>
  <c r="V146" i="86"/>
  <c r="U146" i="86"/>
  <c r="T146" i="86"/>
  <c r="S146" i="86"/>
  <c r="R146" i="86"/>
  <c r="Q146" i="86"/>
  <c r="P146" i="86"/>
  <c r="O146" i="86"/>
  <c r="N146" i="86"/>
  <c r="M146" i="86"/>
  <c r="L146" i="86"/>
  <c r="K146" i="86"/>
  <c r="J146" i="86"/>
  <c r="I146" i="86"/>
  <c r="H146" i="86"/>
  <c r="G146" i="86"/>
  <c r="AH145" i="86"/>
  <c r="AG145" i="86"/>
  <c r="AF145" i="86"/>
  <c r="AE145" i="86"/>
  <c r="AD145" i="86"/>
  <c r="AC145" i="86"/>
  <c r="AB145" i="86"/>
  <c r="AA145" i="86"/>
  <c r="Z145" i="86"/>
  <c r="Y145" i="86"/>
  <c r="X145" i="86"/>
  <c r="W145" i="86"/>
  <c r="V145" i="86"/>
  <c r="U145" i="86"/>
  <c r="T145" i="86"/>
  <c r="S145" i="86"/>
  <c r="R145" i="86"/>
  <c r="Q145" i="86"/>
  <c r="P145" i="86"/>
  <c r="O145" i="86"/>
  <c r="N145" i="86"/>
  <c r="M145" i="86"/>
  <c r="L145" i="86"/>
  <c r="K145" i="86"/>
  <c r="J145" i="86"/>
  <c r="I145" i="86"/>
  <c r="H145" i="86"/>
  <c r="G145" i="86"/>
  <c r="AH144" i="86"/>
  <c r="AG144" i="86"/>
  <c r="AF144" i="86"/>
  <c r="AE144" i="86"/>
  <c r="AD144" i="86"/>
  <c r="AC144" i="86"/>
  <c r="AB144" i="86"/>
  <c r="AA144" i="86"/>
  <c r="Z144" i="86"/>
  <c r="Y144" i="86"/>
  <c r="X144" i="86"/>
  <c r="W144" i="86"/>
  <c r="V144" i="86"/>
  <c r="U144" i="86"/>
  <c r="T144" i="86"/>
  <c r="S144" i="86"/>
  <c r="R144" i="86"/>
  <c r="Q144" i="86"/>
  <c r="P144" i="86"/>
  <c r="O144" i="86"/>
  <c r="N144" i="86"/>
  <c r="M144" i="86"/>
  <c r="L144" i="86"/>
  <c r="K144" i="86"/>
  <c r="J144" i="86"/>
  <c r="I144" i="86"/>
  <c r="H144" i="86"/>
  <c r="G144" i="86"/>
  <c r="AH143" i="86"/>
  <c r="AG143" i="86"/>
  <c r="AF143" i="86"/>
  <c r="AE143" i="86"/>
  <c r="AD143" i="86"/>
  <c r="AC143" i="86"/>
  <c r="AB143" i="86"/>
  <c r="AA143" i="86"/>
  <c r="Z143" i="86"/>
  <c r="Y143" i="86"/>
  <c r="X143" i="86"/>
  <c r="W143" i="86"/>
  <c r="V143" i="86"/>
  <c r="U143" i="86"/>
  <c r="T143" i="86"/>
  <c r="S143" i="86"/>
  <c r="R143" i="86"/>
  <c r="Q143" i="86"/>
  <c r="P143" i="86"/>
  <c r="O143" i="86"/>
  <c r="N143" i="86"/>
  <c r="M143" i="86"/>
  <c r="L143" i="86"/>
  <c r="K143" i="86"/>
  <c r="J143" i="86"/>
  <c r="I143" i="86"/>
  <c r="H143" i="86"/>
  <c r="G143" i="86"/>
  <c r="AH142" i="86"/>
  <c r="AG142" i="86"/>
  <c r="AF142" i="86"/>
  <c r="AE142" i="86"/>
  <c r="AD142" i="86"/>
  <c r="AC142" i="86"/>
  <c r="AB142" i="86"/>
  <c r="AA142" i="86"/>
  <c r="Z142" i="86"/>
  <c r="Y142" i="86"/>
  <c r="X142" i="86"/>
  <c r="W142" i="86"/>
  <c r="V142" i="86"/>
  <c r="U142" i="86"/>
  <c r="T142" i="86"/>
  <c r="S142" i="86"/>
  <c r="R142" i="86"/>
  <c r="Q142" i="86"/>
  <c r="P142" i="86"/>
  <c r="O142" i="86"/>
  <c r="N142" i="86"/>
  <c r="M142" i="86"/>
  <c r="L142" i="86"/>
  <c r="K142" i="86"/>
  <c r="J142" i="86"/>
  <c r="I142" i="86"/>
  <c r="H142" i="86"/>
  <c r="G142" i="86"/>
  <c r="AH141" i="86"/>
  <c r="AG141" i="86"/>
  <c r="AF141" i="86"/>
  <c r="AE141" i="86"/>
  <c r="AD141" i="86"/>
  <c r="AC141" i="86"/>
  <c r="AB141" i="86"/>
  <c r="AA141" i="86"/>
  <c r="Z141" i="86"/>
  <c r="Y141" i="86"/>
  <c r="X141" i="86"/>
  <c r="W141" i="86"/>
  <c r="V141" i="86"/>
  <c r="U141" i="86"/>
  <c r="T141" i="86"/>
  <c r="S141" i="86"/>
  <c r="R141" i="86"/>
  <c r="Q141" i="86"/>
  <c r="P141" i="86"/>
  <c r="O141" i="86"/>
  <c r="N141" i="86"/>
  <c r="M141" i="86"/>
  <c r="L141" i="86"/>
  <c r="K141" i="86"/>
  <c r="J141" i="86"/>
  <c r="I141" i="86"/>
  <c r="H141" i="86"/>
  <c r="G141" i="86"/>
  <c r="AH140" i="86"/>
  <c r="AG140" i="86"/>
  <c r="AF140" i="86"/>
  <c r="AE140" i="86"/>
  <c r="AD140" i="86"/>
  <c r="AC140" i="86"/>
  <c r="AB140" i="86"/>
  <c r="AA140" i="86"/>
  <c r="Z140" i="86"/>
  <c r="Y140" i="86"/>
  <c r="X140" i="86"/>
  <c r="W140" i="86"/>
  <c r="V140" i="86"/>
  <c r="U140" i="86"/>
  <c r="T140" i="86"/>
  <c r="S140" i="86"/>
  <c r="R140" i="86"/>
  <c r="Q140" i="86"/>
  <c r="P140" i="86"/>
  <c r="O140" i="86"/>
  <c r="N140" i="86"/>
  <c r="M140" i="86"/>
  <c r="L140" i="86"/>
  <c r="K140" i="86"/>
  <c r="J140" i="86"/>
  <c r="I140" i="86"/>
  <c r="H140" i="86"/>
  <c r="G140" i="86"/>
  <c r="AH139" i="86"/>
  <c r="AG139" i="86"/>
  <c r="AF139" i="86"/>
  <c r="AE139" i="86"/>
  <c r="AD139" i="86"/>
  <c r="AC139" i="86"/>
  <c r="AB139" i="86"/>
  <c r="AA139" i="86"/>
  <c r="Z139" i="86"/>
  <c r="Y139" i="86"/>
  <c r="X139" i="86"/>
  <c r="W139" i="86"/>
  <c r="V139" i="86"/>
  <c r="U139" i="86"/>
  <c r="T139" i="86"/>
  <c r="S139" i="86"/>
  <c r="R139" i="86"/>
  <c r="Q139" i="86"/>
  <c r="P139" i="86"/>
  <c r="O139" i="86"/>
  <c r="N139" i="86"/>
  <c r="M139" i="86"/>
  <c r="L139" i="86"/>
  <c r="K139" i="86"/>
  <c r="J139" i="86"/>
  <c r="I139" i="86"/>
  <c r="H139" i="86"/>
  <c r="G139" i="86"/>
  <c r="AH138" i="86"/>
  <c r="AG138" i="86"/>
  <c r="AF138" i="86"/>
  <c r="AE138" i="86"/>
  <c r="AD138" i="86"/>
  <c r="AC138" i="86"/>
  <c r="AB138" i="86"/>
  <c r="AA138" i="86"/>
  <c r="Z138" i="86"/>
  <c r="Y138" i="86"/>
  <c r="X138" i="86"/>
  <c r="W138" i="86"/>
  <c r="V138" i="86"/>
  <c r="U138" i="86"/>
  <c r="T138" i="86"/>
  <c r="S138" i="86"/>
  <c r="R138" i="86"/>
  <c r="Q138" i="86"/>
  <c r="P138" i="86"/>
  <c r="O138" i="86"/>
  <c r="N138" i="86"/>
  <c r="M138" i="86"/>
  <c r="L138" i="86"/>
  <c r="K138" i="86"/>
  <c r="J138" i="86"/>
  <c r="I138" i="86"/>
  <c r="H138" i="86"/>
  <c r="G138" i="86"/>
  <c r="AH137" i="86"/>
  <c r="AG137" i="86"/>
  <c r="AF137" i="86"/>
  <c r="AE137" i="86"/>
  <c r="AD137" i="86"/>
  <c r="AC137" i="86"/>
  <c r="AB137" i="86"/>
  <c r="AA137" i="86"/>
  <c r="Z137" i="86"/>
  <c r="Y137" i="86"/>
  <c r="X137" i="86"/>
  <c r="W137" i="86"/>
  <c r="V137" i="86"/>
  <c r="U137" i="86"/>
  <c r="T137" i="86"/>
  <c r="S137" i="86"/>
  <c r="R137" i="86"/>
  <c r="Q137" i="86"/>
  <c r="P137" i="86"/>
  <c r="O137" i="86"/>
  <c r="N137" i="86"/>
  <c r="M137" i="86"/>
  <c r="L137" i="86"/>
  <c r="K137" i="86"/>
  <c r="J137" i="86"/>
  <c r="I137" i="86"/>
  <c r="H137" i="86"/>
  <c r="G137" i="86"/>
  <c r="AH136" i="86"/>
  <c r="AG136" i="86"/>
  <c r="AF136" i="86"/>
  <c r="AE136" i="86"/>
  <c r="AD136" i="86"/>
  <c r="AC136" i="86"/>
  <c r="AB136" i="86"/>
  <c r="AA136" i="86"/>
  <c r="Z136" i="86"/>
  <c r="Y136" i="86"/>
  <c r="X136" i="86"/>
  <c r="W136" i="86"/>
  <c r="V136" i="86"/>
  <c r="U136" i="86"/>
  <c r="T136" i="86"/>
  <c r="S136" i="86"/>
  <c r="R136" i="86"/>
  <c r="Q136" i="86"/>
  <c r="P136" i="86"/>
  <c r="O136" i="86"/>
  <c r="N136" i="86"/>
  <c r="M136" i="86"/>
  <c r="L136" i="86"/>
  <c r="K136" i="86"/>
  <c r="J136" i="86"/>
  <c r="I136" i="86"/>
  <c r="H136" i="86"/>
  <c r="G136" i="86"/>
  <c r="AH135" i="86"/>
  <c r="AG135" i="86"/>
  <c r="AF135" i="86"/>
  <c r="AE135" i="86"/>
  <c r="AD135" i="86"/>
  <c r="AC135" i="86"/>
  <c r="AB135" i="86"/>
  <c r="AA135" i="86"/>
  <c r="Z135" i="86"/>
  <c r="Y135" i="86"/>
  <c r="X135" i="86"/>
  <c r="W135" i="86"/>
  <c r="V135" i="86"/>
  <c r="U135" i="86"/>
  <c r="T135" i="86"/>
  <c r="S135" i="86"/>
  <c r="R135" i="86"/>
  <c r="Q135" i="86"/>
  <c r="P135" i="86"/>
  <c r="O135" i="86"/>
  <c r="N135" i="86"/>
  <c r="M135" i="86"/>
  <c r="L135" i="86"/>
  <c r="K135" i="86"/>
  <c r="J135" i="86"/>
  <c r="I135" i="86"/>
  <c r="H135" i="86"/>
  <c r="G135" i="86"/>
  <c r="AH134" i="86"/>
  <c r="AG134" i="86"/>
  <c r="AF134" i="86"/>
  <c r="AE134" i="86"/>
  <c r="AD134" i="86"/>
  <c r="AC134" i="86"/>
  <c r="AB134" i="86"/>
  <c r="AA134" i="86"/>
  <c r="Z134" i="86"/>
  <c r="Y134" i="86"/>
  <c r="X134" i="86"/>
  <c r="W134" i="86"/>
  <c r="V134" i="86"/>
  <c r="U134" i="86"/>
  <c r="T134" i="86"/>
  <c r="S134" i="86"/>
  <c r="R134" i="86"/>
  <c r="Q134" i="86"/>
  <c r="P134" i="86"/>
  <c r="O134" i="86"/>
  <c r="N134" i="86"/>
  <c r="M134" i="86"/>
  <c r="L134" i="86"/>
  <c r="K134" i="86"/>
  <c r="J134" i="86"/>
  <c r="I134" i="86"/>
  <c r="H134" i="86"/>
  <c r="G134" i="86"/>
  <c r="AH133" i="86"/>
  <c r="AG133" i="86"/>
  <c r="AF133" i="86"/>
  <c r="AE133" i="86"/>
  <c r="AD133" i="86"/>
  <c r="AC133" i="86"/>
  <c r="AB133" i="86"/>
  <c r="AA133" i="86"/>
  <c r="Z133" i="86"/>
  <c r="Y133" i="86"/>
  <c r="X133" i="86"/>
  <c r="W133" i="86"/>
  <c r="V133" i="86"/>
  <c r="U133" i="86"/>
  <c r="T133" i="86"/>
  <c r="S133" i="86"/>
  <c r="R133" i="86"/>
  <c r="Q133" i="86"/>
  <c r="P133" i="86"/>
  <c r="O133" i="86"/>
  <c r="N133" i="86"/>
  <c r="M133" i="86"/>
  <c r="L133" i="86"/>
  <c r="K133" i="86"/>
  <c r="J133" i="86"/>
  <c r="I133" i="86"/>
  <c r="H133" i="86"/>
  <c r="G133" i="86"/>
  <c r="AH132" i="86"/>
  <c r="AG132" i="86"/>
  <c r="AF132" i="86"/>
  <c r="AE132" i="86"/>
  <c r="AD132" i="86"/>
  <c r="AC132" i="86"/>
  <c r="AB132" i="86"/>
  <c r="AA132" i="86"/>
  <c r="Z132" i="86"/>
  <c r="Y132" i="86"/>
  <c r="X132" i="86"/>
  <c r="W132" i="86"/>
  <c r="V132" i="86"/>
  <c r="U132" i="86"/>
  <c r="T132" i="86"/>
  <c r="S132" i="86"/>
  <c r="R132" i="86"/>
  <c r="Q132" i="86"/>
  <c r="P132" i="86"/>
  <c r="O132" i="86"/>
  <c r="N132" i="86"/>
  <c r="M132" i="86"/>
  <c r="L132" i="86"/>
  <c r="K132" i="86"/>
  <c r="J132" i="86"/>
  <c r="I132" i="86"/>
  <c r="H132" i="86"/>
  <c r="G132" i="86"/>
  <c r="AH131" i="86"/>
  <c r="AG131" i="86"/>
  <c r="AF131" i="86"/>
  <c r="AE131" i="86"/>
  <c r="AD131" i="86"/>
  <c r="AC131" i="86"/>
  <c r="AB131" i="86"/>
  <c r="AA131" i="86"/>
  <c r="Z131" i="86"/>
  <c r="Y131" i="86"/>
  <c r="X131" i="86"/>
  <c r="W131" i="86"/>
  <c r="V131" i="86"/>
  <c r="U131" i="86"/>
  <c r="T131" i="86"/>
  <c r="S131" i="86"/>
  <c r="R131" i="86"/>
  <c r="Q131" i="86"/>
  <c r="P131" i="86"/>
  <c r="O131" i="86"/>
  <c r="N131" i="86"/>
  <c r="M131" i="86"/>
  <c r="L131" i="86"/>
  <c r="K131" i="86"/>
  <c r="J131" i="86"/>
  <c r="I131" i="86"/>
  <c r="H131" i="86"/>
  <c r="G131" i="86"/>
  <c r="AH130" i="86"/>
  <c r="AG130" i="86"/>
  <c r="AF130" i="86"/>
  <c r="AE130" i="86"/>
  <c r="AD130" i="86"/>
  <c r="AC130" i="86"/>
  <c r="AB130" i="86"/>
  <c r="AA130" i="86"/>
  <c r="Z130" i="86"/>
  <c r="Y130" i="86"/>
  <c r="X130" i="86"/>
  <c r="W130" i="86"/>
  <c r="V130" i="86"/>
  <c r="U130" i="86"/>
  <c r="T130" i="86"/>
  <c r="S130" i="86"/>
  <c r="R130" i="86"/>
  <c r="Q130" i="86"/>
  <c r="P130" i="86"/>
  <c r="O130" i="86"/>
  <c r="N130" i="86"/>
  <c r="M130" i="86"/>
  <c r="L130" i="86"/>
  <c r="K130" i="86"/>
  <c r="J130" i="86"/>
  <c r="I130" i="86"/>
  <c r="H130" i="86"/>
  <c r="G130" i="86"/>
  <c r="AH129" i="86"/>
  <c r="AG129" i="86"/>
  <c r="AF129" i="86"/>
  <c r="AE129" i="86"/>
  <c r="AD129" i="86"/>
  <c r="AC129" i="86"/>
  <c r="AB129" i="86"/>
  <c r="AA129" i="86"/>
  <c r="Z129" i="86"/>
  <c r="Y129" i="86"/>
  <c r="X129" i="86"/>
  <c r="W129" i="86"/>
  <c r="V129" i="86"/>
  <c r="U129" i="86"/>
  <c r="T129" i="86"/>
  <c r="S129" i="86"/>
  <c r="R129" i="86"/>
  <c r="Q129" i="86"/>
  <c r="P129" i="86"/>
  <c r="O129" i="86"/>
  <c r="N129" i="86"/>
  <c r="M129" i="86"/>
  <c r="L129" i="86"/>
  <c r="K129" i="86"/>
  <c r="J129" i="86"/>
  <c r="I129" i="86"/>
  <c r="H129" i="86"/>
  <c r="G129" i="86"/>
  <c r="AH128" i="86"/>
  <c r="AG128" i="86"/>
  <c r="AF128" i="86"/>
  <c r="AE128" i="86"/>
  <c r="AD128" i="86"/>
  <c r="AC128" i="86"/>
  <c r="AB128" i="86"/>
  <c r="AA128" i="86"/>
  <c r="Z128" i="86"/>
  <c r="Y128" i="86"/>
  <c r="X128" i="86"/>
  <c r="W128" i="86"/>
  <c r="V128" i="86"/>
  <c r="U128" i="86"/>
  <c r="T128" i="86"/>
  <c r="S128" i="86"/>
  <c r="R128" i="86"/>
  <c r="Q128" i="86"/>
  <c r="P128" i="86"/>
  <c r="O128" i="86"/>
  <c r="N128" i="86"/>
  <c r="M128" i="86"/>
  <c r="L128" i="86"/>
  <c r="K128" i="86"/>
  <c r="J128" i="86"/>
  <c r="I128" i="86"/>
  <c r="H128" i="86"/>
  <c r="G128" i="86"/>
  <c r="AH127" i="86"/>
  <c r="AG127" i="86"/>
  <c r="AF127" i="86"/>
  <c r="AE127" i="86"/>
  <c r="AD127" i="86"/>
  <c r="AC127" i="86"/>
  <c r="AB127" i="86"/>
  <c r="AA127" i="86"/>
  <c r="Z127" i="86"/>
  <c r="Y127" i="86"/>
  <c r="X127" i="86"/>
  <c r="W127" i="86"/>
  <c r="V127" i="86"/>
  <c r="U127" i="86"/>
  <c r="T127" i="86"/>
  <c r="S127" i="86"/>
  <c r="R127" i="86"/>
  <c r="Q127" i="86"/>
  <c r="P127" i="86"/>
  <c r="O127" i="86"/>
  <c r="N127" i="86"/>
  <c r="M127" i="86"/>
  <c r="L127" i="86"/>
  <c r="K127" i="86"/>
  <c r="J127" i="86"/>
  <c r="I127" i="86"/>
  <c r="H127" i="86"/>
  <c r="G127" i="86"/>
  <c r="AH126" i="86"/>
  <c r="AG126" i="86"/>
  <c r="AF126" i="86"/>
  <c r="AE126" i="86"/>
  <c r="AD126" i="86"/>
  <c r="AC126" i="86"/>
  <c r="AB126" i="86"/>
  <c r="AA126" i="86"/>
  <c r="Z126" i="86"/>
  <c r="Y126" i="86"/>
  <c r="X126" i="86"/>
  <c r="W126" i="86"/>
  <c r="V126" i="86"/>
  <c r="U126" i="86"/>
  <c r="T126" i="86"/>
  <c r="S126" i="86"/>
  <c r="R126" i="86"/>
  <c r="Q126" i="86"/>
  <c r="P126" i="86"/>
  <c r="O126" i="86"/>
  <c r="N126" i="86"/>
  <c r="M126" i="86"/>
  <c r="L126" i="86"/>
  <c r="K126" i="86"/>
  <c r="J126" i="86"/>
  <c r="I126" i="86"/>
  <c r="H126" i="86"/>
  <c r="G126" i="86"/>
  <c r="AH125" i="86"/>
  <c r="AG125" i="86"/>
  <c r="AF125" i="86"/>
  <c r="AE125" i="86"/>
  <c r="AD125" i="86"/>
  <c r="AC125" i="86"/>
  <c r="AB125" i="86"/>
  <c r="AA125" i="86"/>
  <c r="Z125" i="86"/>
  <c r="Y125" i="86"/>
  <c r="X125" i="86"/>
  <c r="W125" i="86"/>
  <c r="V125" i="86"/>
  <c r="U125" i="86"/>
  <c r="T125" i="86"/>
  <c r="S125" i="86"/>
  <c r="R125" i="86"/>
  <c r="Q125" i="86"/>
  <c r="P125" i="86"/>
  <c r="O125" i="86"/>
  <c r="N125" i="86"/>
  <c r="M125" i="86"/>
  <c r="L125" i="86"/>
  <c r="K125" i="86"/>
  <c r="J125" i="86"/>
  <c r="I125" i="86"/>
  <c r="H125" i="86"/>
  <c r="G125" i="86"/>
  <c r="AH124" i="86"/>
  <c r="AG124" i="86"/>
  <c r="AF124" i="86"/>
  <c r="AE124" i="86"/>
  <c r="AD124" i="86"/>
  <c r="AC124" i="86"/>
  <c r="AB124" i="86"/>
  <c r="AA124" i="86"/>
  <c r="Z124" i="86"/>
  <c r="Y124" i="86"/>
  <c r="X124" i="86"/>
  <c r="W124" i="86"/>
  <c r="V124" i="86"/>
  <c r="U124" i="86"/>
  <c r="T124" i="86"/>
  <c r="S124" i="86"/>
  <c r="R124" i="86"/>
  <c r="Q124" i="86"/>
  <c r="P124" i="86"/>
  <c r="O124" i="86"/>
  <c r="N124" i="86"/>
  <c r="M124" i="86"/>
  <c r="L124" i="86"/>
  <c r="K124" i="86"/>
  <c r="J124" i="86"/>
  <c r="I124" i="86"/>
  <c r="H124" i="86"/>
  <c r="G124" i="86"/>
  <c r="AH123" i="86"/>
  <c r="AG123" i="86"/>
  <c r="AF123" i="86"/>
  <c r="AE123" i="86"/>
  <c r="AD123" i="86"/>
  <c r="AC123" i="86"/>
  <c r="AB123" i="86"/>
  <c r="AA123" i="86"/>
  <c r="Z123" i="86"/>
  <c r="Y123" i="86"/>
  <c r="X123" i="86"/>
  <c r="W123" i="86"/>
  <c r="V123" i="86"/>
  <c r="U123" i="86"/>
  <c r="T123" i="86"/>
  <c r="S123" i="86"/>
  <c r="R123" i="86"/>
  <c r="Q123" i="86"/>
  <c r="P123" i="86"/>
  <c r="O123" i="86"/>
  <c r="N123" i="86"/>
  <c r="M123" i="86"/>
  <c r="L123" i="86"/>
  <c r="K123" i="86"/>
  <c r="J123" i="86"/>
  <c r="I123" i="86"/>
  <c r="H123" i="86"/>
  <c r="G123" i="86"/>
  <c r="AH122" i="86"/>
  <c r="AG122" i="86"/>
  <c r="AF122" i="86"/>
  <c r="AE122" i="86"/>
  <c r="AD122" i="86"/>
  <c r="AC122" i="86"/>
  <c r="AB122" i="86"/>
  <c r="AA122" i="86"/>
  <c r="Z122" i="86"/>
  <c r="Y122" i="86"/>
  <c r="X122" i="86"/>
  <c r="W122" i="86"/>
  <c r="V122" i="86"/>
  <c r="U122" i="86"/>
  <c r="T122" i="86"/>
  <c r="S122" i="86"/>
  <c r="R122" i="86"/>
  <c r="Q122" i="86"/>
  <c r="P122" i="86"/>
  <c r="O122" i="86"/>
  <c r="N122" i="86"/>
  <c r="M122" i="86"/>
  <c r="L122" i="86"/>
  <c r="K122" i="86"/>
  <c r="J122" i="86"/>
  <c r="I122" i="86"/>
  <c r="H122" i="86"/>
  <c r="G122" i="86"/>
  <c r="AH121" i="86"/>
  <c r="AG121" i="86"/>
  <c r="AF121" i="86"/>
  <c r="AE121" i="86"/>
  <c r="AD121" i="86"/>
  <c r="AC121" i="86"/>
  <c r="AB121" i="86"/>
  <c r="AA121" i="86"/>
  <c r="Z121" i="86"/>
  <c r="Y121" i="86"/>
  <c r="X121" i="86"/>
  <c r="W121" i="86"/>
  <c r="V121" i="86"/>
  <c r="U121" i="86"/>
  <c r="T121" i="86"/>
  <c r="S121" i="86"/>
  <c r="R121" i="86"/>
  <c r="Q121" i="86"/>
  <c r="P121" i="86"/>
  <c r="O121" i="86"/>
  <c r="N121" i="86"/>
  <c r="M121" i="86"/>
  <c r="L121" i="86"/>
  <c r="K121" i="86"/>
  <c r="J121" i="86"/>
  <c r="I121" i="86"/>
  <c r="H121" i="86"/>
  <c r="G121" i="86"/>
  <c r="AH120" i="86"/>
  <c r="AG120" i="86"/>
  <c r="AF120" i="86"/>
  <c r="AE120" i="86"/>
  <c r="AD120" i="86"/>
  <c r="AC120" i="86"/>
  <c r="AB120" i="86"/>
  <c r="AA120" i="86"/>
  <c r="Z120" i="86"/>
  <c r="Y120" i="86"/>
  <c r="X120" i="86"/>
  <c r="W120" i="86"/>
  <c r="V120" i="86"/>
  <c r="U120" i="86"/>
  <c r="T120" i="86"/>
  <c r="S120" i="86"/>
  <c r="R120" i="86"/>
  <c r="Q120" i="86"/>
  <c r="P120" i="86"/>
  <c r="O120" i="86"/>
  <c r="N120" i="86"/>
  <c r="M120" i="86"/>
  <c r="L120" i="86"/>
  <c r="K120" i="86"/>
  <c r="J120" i="86"/>
  <c r="I120" i="86"/>
  <c r="H120" i="86"/>
  <c r="G120" i="86"/>
  <c r="AH119" i="86"/>
  <c r="AG119" i="86"/>
  <c r="AF119" i="86"/>
  <c r="AE119" i="86"/>
  <c r="AD119" i="86"/>
  <c r="AC119" i="86"/>
  <c r="AB119" i="86"/>
  <c r="AA119" i="86"/>
  <c r="Z119" i="86"/>
  <c r="Y119" i="86"/>
  <c r="X119" i="86"/>
  <c r="W119" i="86"/>
  <c r="V119" i="86"/>
  <c r="U119" i="86"/>
  <c r="T119" i="86"/>
  <c r="S119" i="86"/>
  <c r="R119" i="86"/>
  <c r="Q119" i="86"/>
  <c r="P119" i="86"/>
  <c r="O119" i="86"/>
  <c r="N119" i="86"/>
  <c r="M119" i="86"/>
  <c r="L119" i="86"/>
  <c r="K119" i="86"/>
  <c r="J119" i="86"/>
  <c r="I119" i="86"/>
  <c r="H119" i="86"/>
  <c r="G119" i="86"/>
  <c r="AH118" i="86"/>
  <c r="AG118" i="86"/>
  <c r="AF118" i="86"/>
  <c r="AE118" i="86"/>
  <c r="AD118" i="86"/>
  <c r="AC118" i="86"/>
  <c r="AB118" i="86"/>
  <c r="AA118" i="86"/>
  <c r="Z118" i="86"/>
  <c r="Y118" i="86"/>
  <c r="X118" i="86"/>
  <c r="W118" i="86"/>
  <c r="V118" i="86"/>
  <c r="U118" i="86"/>
  <c r="T118" i="86"/>
  <c r="S118" i="86"/>
  <c r="R118" i="86"/>
  <c r="Q118" i="86"/>
  <c r="P118" i="86"/>
  <c r="O118" i="86"/>
  <c r="N118" i="86"/>
  <c r="M118" i="86"/>
  <c r="L118" i="86"/>
  <c r="K118" i="86"/>
  <c r="J118" i="86"/>
  <c r="I118" i="86"/>
  <c r="H118" i="86"/>
  <c r="G118" i="86"/>
  <c r="AH117" i="86"/>
  <c r="AG117" i="86"/>
  <c r="AF117" i="86"/>
  <c r="AE117" i="86"/>
  <c r="AD117" i="86"/>
  <c r="AC117" i="86"/>
  <c r="AB117" i="86"/>
  <c r="AA117" i="86"/>
  <c r="Z117" i="86"/>
  <c r="Y117" i="86"/>
  <c r="X117" i="86"/>
  <c r="W117" i="86"/>
  <c r="V117" i="86"/>
  <c r="U117" i="86"/>
  <c r="T117" i="86"/>
  <c r="S117" i="86"/>
  <c r="R117" i="86"/>
  <c r="Q117" i="86"/>
  <c r="P117" i="86"/>
  <c r="O117" i="86"/>
  <c r="N117" i="86"/>
  <c r="M117" i="86"/>
  <c r="L117" i="86"/>
  <c r="K117" i="86"/>
  <c r="J117" i="86"/>
  <c r="I117" i="86"/>
  <c r="H117" i="86"/>
  <c r="G117" i="86"/>
  <c r="AH116" i="86"/>
  <c r="AG116" i="86"/>
  <c r="AF116" i="86"/>
  <c r="AE116" i="86"/>
  <c r="AD116" i="86"/>
  <c r="AC116" i="86"/>
  <c r="AB116" i="86"/>
  <c r="AA116" i="86"/>
  <c r="Z116" i="86"/>
  <c r="Y116" i="86"/>
  <c r="X116" i="86"/>
  <c r="W116" i="86"/>
  <c r="V116" i="86"/>
  <c r="U116" i="86"/>
  <c r="T116" i="86"/>
  <c r="S116" i="86"/>
  <c r="R116" i="86"/>
  <c r="Q116" i="86"/>
  <c r="P116" i="86"/>
  <c r="O116" i="86"/>
  <c r="N116" i="86"/>
  <c r="M116" i="86"/>
  <c r="L116" i="86"/>
  <c r="K116" i="86"/>
  <c r="J116" i="86"/>
  <c r="I116" i="86"/>
  <c r="H116" i="86"/>
  <c r="G116" i="86"/>
  <c r="AH115" i="86"/>
  <c r="AG115" i="86"/>
  <c r="AF115" i="86"/>
  <c r="AE115" i="86"/>
  <c r="AD115" i="86"/>
  <c r="AC115" i="86"/>
  <c r="AB115" i="86"/>
  <c r="AA115" i="86"/>
  <c r="Z115" i="86"/>
  <c r="Y115" i="86"/>
  <c r="X115" i="86"/>
  <c r="W115" i="86"/>
  <c r="V115" i="86"/>
  <c r="U115" i="86"/>
  <c r="T115" i="86"/>
  <c r="S115" i="86"/>
  <c r="R115" i="86"/>
  <c r="Q115" i="86"/>
  <c r="P115" i="86"/>
  <c r="O115" i="86"/>
  <c r="N115" i="86"/>
  <c r="M115" i="86"/>
  <c r="L115" i="86"/>
  <c r="K115" i="86"/>
  <c r="J115" i="86"/>
  <c r="I115" i="86"/>
  <c r="H115" i="86"/>
  <c r="G115" i="86"/>
  <c r="AH114" i="86"/>
  <c r="AG114" i="86"/>
  <c r="AF114" i="86"/>
  <c r="AE114" i="86"/>
  <c r="AD114" i="86"/>
  <c r="AC114" i="86"/>
  <c r="AB114" i="86"/>
  <c r="AA114" i="86"/>
  <c r="Z114" i="86"/>
  <c r="Y114" i="86"/>
  <c r="X114" i="86"/>
  <c r="W114" i="86"/>
  <c r="V114" i="86"/>
  <c r="U114" i="86"/>
  <c r="T114" i="86"/>
  <c r="S114" i="86"/>
  <c r="R114" i="86"/>
  <c r="Q114" i="86"/>
  <c r="P114" i="86"/>
  <c r="O114" i="86"/>
  <c r="N114" i="86"/>
  <c r="M114" i="86"/>
  <c r="L114" i="86"/>
  <c r="K114" i="86"/>
  <c r="J114" i="86"/>
  <c r="I114" i="86"/>
  <c r="H114" i="86"/>
  <c r="G114" i="86"/>
  <c r="AH113" i="86"/>
  <c r="AG113" i="86"/>
  <c r="AF113" i="86"/>
  <c r="AE113" i="86"/>
  <c r="AD113" i="86"/>
  <c r="AC113" i="86"/>
  <c r="AB113" i="86"/>
  <c r="AA113" i="86"/>
  <c r="Z113" i="86"/>
  <c r="Y113" i="86"/>
  <c r="X113" i="86"/>
  <c r="W113" i="86"/>
  <c r="V113" i="86"/>
  <c r="U113" i="86"/>
  <c r="T113" i="86"/>
  <c r="S113" i="86"/>
  <c r="R113" i="86"/>
  <c r="Q113" i="86"/>
  <c r="P113" i="86"/>
  <c r="O113" i="86"/>
  <c r="N113" i="86"/>
  <c r="M113" i="86"/>
  <c r="L113" i="86"/>
  <c r="K113" i="86"/>
  <c r="J113" i="86"/>
  <c r="I113" i="86"/>
  <c r="H113" i="86"/>
  <c r="G113" i="86"/>
  <c r="AH112" i="86"/>
  <c r="AG112" i="86"/>
  <c r="AF112" i="86"/>
  <c r="AE112" i="86"/>
  <c r="AD112" i="86"/>
  <c r="AC112" i="86"/>
  <c r="AB112" i="86"/>
  <c r="AA112" i="86"/>
  <c r="Z112" i="86"/>
  <c r="Y112" i="86"/>
  <c r="X112" i="86"/>
  <c r="W112" i="86"/>
  <c r="V112" i="86"/>
  <c r="U112" i="86"/>
  <c r="T112" i="86"/>
  <c r="S112" i="86"/>
  <c r="R112" i="86"/>
  <c r="Q112" i="86"/>
  <c r="P112" i="86"/>
  <c r="O112" i="86"/>
  <c r="N112" i="86"/>
  <c r="M112" i="86"/>
  <c r="L112" i="86"/>
  <c r="K112" i="86"/>
  <c r="J112" i="86"/>
  <c r="I112" i="86"/>
  <c r="H112" i="86"/>
  <c r="G112" i="86"/>
  <c r="AH111" i="86"/>
  <c r="AG111" i="86"/>
  <c r="AF111" i="86"/>
  <c r="AE111" i="86"/>
  <c r="AD111" i="86"/>
  <c r="AC111" i="86"/>
  <c r="AB111" i="86"/>
  <c r="AA111" i="86"/>
  <c r="Z111" i="86"/>
  <c r="Y111" i="86"/>
  <c r="X111" i="86"/>
  <c r="W111" i="86"/>
  <c r="V111" i="86"/>
  <c r="U111" i="86"/>
  <c r="T111" i="86"/>
  <c r="S111" i="86"/>
  <c r="R111" i="86"/>
  <c r="Q111" i="86"/>
  <c r="P111" i="86"/>
  <c r="O111" i="86"/>
  <c r="N111" i="86"/>
  <c r="M111" i="86"/>
  <c r="L111" i="86"/>
  <c r="K111" i="86"/>
  <c r="J111" i="86"/>
  <c r="I111" i="86"/>
  <c r="H111" i="86"/>
  <c r="G111" i="86"/>
  <c r="AH110" i="86"/>
  <c r="AG110" i="86"/>
  <c r="AF110" i="86"/>
  <c r="AE110" i="86"/>
  <c r="AD110" i="86"/>
  <c r="AC110" i="86"/>
  <c r="AB110" i="86"/>
  <c r="AA110" i="86"/>
  <c r="Z110" i="86"/>
  <c r="Y110" i="86"/>
  <c r="X110" i="86"/>
  <c r="W110" i="86"/>
  <c r="V110" i="86"/>
  <c r="U110" i="86"/>
  <c r="T110" i="86"/>
  <c r="S110" i="86"/>
  <c r="R110" i="86"/>
  <c r="Q110" i="86"/>
  <c r="P110" i="86"/>
  <c r="O110" i="86"/>
  <c r="N110" i="86"/>
  <c r="M110" i="86"/>
  <c r="L110" i="86"/>
  <c r="K110" i="86"/>
  <c r="J110" i="86"/>
  <c r="I110" i="86"/>
  <c r="H110" i="86"/>
  <c r="G110" i="86"/>
  <c r="AH109" i="86"/>
  <c r="AG109" i="86"/>
  <c r="AF109" i="86"/>
  <c r="AE109" i="86"/>
  <c r="AD109" i="86"/>
  <c r="AC109" i="86"/>
  <c r="AB109" i="86"/>
  <c r="AA109" i="86"/>
  <c r="Z109" i="86"/>
  <c r="Y109" i="86"/>
  <c r="X109" i="86"/>
  <c r="W109" i="86"/>
  <c r="V109" i="86"/>
  <c r="U109" i="86"/>
  <c r="T109" i="86"/>
  <c r="S109" i="86"/>
  <c r="R109" i="86"/>
  <c r="Q109" i="86"/>
  <c r="P109" i="86"/>
  <c r="O109" i="86"/>
  <c r="N109" i="86"/>
  <c r="M109" i="86"/>
  <c r="L109" i="86"/>
  <c r="K109" i="86"/>
  <c r="J109" i="86"/>
  <c r="I109" i="86"/>
  <c r="H109" i="86"/>
  <c r="G109" i="86"/>
  <c r="AH108" i="86"/>
  <c r="AG108" i="86"/>
  <c r="AF108" i="86"/>
  <c r="AE108" i="86"/>
  <c r="AD108" i="86"/>
  <c r="AC108" i="86"/>
  <c r="AB108" i="86"/>
  <c r="AA108" i="86"/>
  <c r="Z108" i="86"/>
  <c r="Y108" i="86"/>
  <c r="X108" i="86"/>
  <c r="W108" i="86"/>
  <c r="V108" i="86"/>
  <c r="U108" i="86"/>
  <c r="T108" i="86"/>
  <c r="S108" i="86"/>
  <c r="R108" i="86"/>
  <c r="Q108" i="86"/>
  <c r="P108" i="86"/>
  <c r="O108" i="86"/>
  <c r="N108" i="86"/>
  <c r="M108" i="86"/>
  <c r="L108" i="86"/>
  <c r="K108" i="86"/>
  <c r="J108" i="86"/>
  <c r="I108" i="86"/>
  <c r="H108" i="86"/>
  <c r="G108" i="86"/>
  <c r="AH107" i="86"/>
  <c r="AG107" i="86"/>
  <c r="AF107" i="86"/>
  <c r="AE107" i="86"/>
  <c r="AD107" i="86"/>
  <c r="AC107" i="86"/>
  <c r="AB107" i="86"/>
  <c r="AA107" i="86"/>
  <c r="Z107" i="86"/>
  <c r="Y107" i="86"/>
  <c r="X107" i="86"/>
  <c r="W107" i="86"/>
  <c r="V107" i="86"/>
  <c r="U107" i="86"/>
  <c r="T107" i="86"/>
  <c r="S107" i="86"/>
  <c r="R107" i="86"/>
  <c r="Q107" i="86"/>
  <c r="P107" i="86"/>
  <c r="O107" i="86"/>
  <c r="N107" i="86"/>
  <c r="M107" i="86"/>
  <c r="L107" i="86"/>
  <c r="K107" i="86"/>
  <c r="J107" i="86"/>
  <c r="I107" i="86"/>
  <c r="H107" i="86"/>
  <c r="G107" i="86"/>
  <c r="AH106" i="86"/>
  <c r="AG106" i="86"/>
  <c r="AF106" i="86"/>
  <c r="AE106" i="86"/>
  <c r="AD106" i="86"/>
  <c r="AC106" i="86"/>
  <c r="AB106" i="86"/>
  <c r="AA106" i="86"/>
  <c r="Z106" i="86"/>
  <c r="Y106" i="86"/>
  <c r="X106" i="86"/>
  <c r="W106" i="86"/>
  <c r="V106" i="86"/>
  <c r="U106" i="86"/>
  <c r="T106" i="86"/>
  <c r="S106" i="86"/>
  <c r="R106" i="86"/>
  <c r="Q106" i="86"/>
  <c r="P106" i="86"/>
  <c r="O106" i="86"/>
  <c r="N106" i="86"/>
  <c r="M106" i="86"/>
  <c r="L106" i="86"/>
  <c r="K106" i="86"/>
  <c r="J106" i="86"/>
  <c r="I106" i="86"/>
  <c r="H106" i="86"/>
  <c r="G106" i="86"/>
  <c r="AH105" i="86"/>
  <c r="AG105" i="86"/>
  <c r="AF105" i="86"/>
  <c r="AE105" i="86"/>
  <c r="AD105" i="86"/>
  <c r="AC105" i="86"/>
  <c r="AB105" i="86"/>
  <c r="AA105" i="86"/>
  <c r="Z105" i="86"/>
  <c r="Y105" i="86"/>
  <c r="X105" i="86"/>
  <c r="W105" i="86"/>
  <c r="V105" i="86"/>
  <c r="U105" i="86"/>
  <c r="T105" i="86"/>
  <c r="S105" i="86"/>
  <c r="R105" i="86"/>
  <c r="Q105" i="86"/>
  <c r="P105" i="86"/>
  <c r="O105" i="86"/>
  <c r="N105" i="86"/>
  <c r="M105" i="86"/>
  <c r="L105" i="86"/>
  <c r="K105" i="86"/>
  <c r="J105" i="86"/>
  <c r="I105" i="86"/>
  <c r="H105" i="86"/>
  <c r="G105" i="86"/>
  <c r="AH104" i="86"/>
  <c r="AG104" i="86"/>
  <c r="AF104" i="86"/>
  <c r="AE104" i="86"/>
  <c r="AD104" i="86"/>
  <c r="AC104" i="86"/>
  <c r="AB104" i="86"/>
  <c r="AA104" i="86"/>
  <c r="Z104" i="86"/>
  <c r="Y104" i="86"/>
  <c r="X104" i="86"/>
  <c r="W104" i="86"/>
  <c r="V104" i="86"/>
  <c r="U104" i="86"/>
  <c r="T104" i="86"/>
  <c r="S104" i="86"/>
  <c r="R104" i="86"/>
  <c r="Q104" i="86"/>
  <c r="P104" i="86"/>
  <c r="O104" i="86"/>
  <c r="N104" i="86"/>
  <c r="M104" i="86"/>
  <c r="L104" i="86"/>
  <c r="K104" i="86"/>
  <c r="J104" i="86"/>
  <c r="I104" i="86"/>
  <c r="H104" i="86"/>
  <c r="G104" i="86"/>
  <c r="AH103" i="86"/>
  <c r="AG103" i="86"/>
  <c r="AF103" i="86"/>
  <c r="AE103" i="86"/>
  <c r="AD103" i="86"/>
  <c r="AC103" i="86"/>
  <c r="AB103" i="86"/>
  <c r="AA103" i="86"/>
  <c r="Z103" i="86"/>
  <c r="Y103" i="86"/>
  <c r="X103" i="86"/>
  <c r="W103" i="86"/>
  <c r="V103" i="86"/>
  <c r="U103" i="86"/>
  <c r="T103" i="86"/>
  <c r="S103" i="86"/>
  <c r="R103" i="86"/>
  <c r="Q103" i="86"/>
  <c r="P103" i="86"/>
  <c r="O103" i="86"/>
  <c r="N103" i="86"/>
  <c r="M103" i="86"/>
  <c r="L103" i="86"/>
  <c r="K103" i="86"/>
  <c r="J103" i="86"/>
  <c r="I103" i="86"/>
  <c r="H103" i="86"/>
  <c r="G103" i="86"/>
  <c r="AH102" i="86"/>
  <c r="AG102" i="86"/>
  <c r="AF102" i="86"/>
  <c r="AE102" i="86"/>
  <c r="AD102" i="86"/>
  <c r="AC102" i="86"/>
  <c r="AB102" i="86"/>
  <c r="AA102" i="86"/>
  <c r="Z102" i="86"/>
  <c r="Y102" i="86"/>
  <c r="X102" i="86"/>
  <c r="W102" i="86"/>
  <c r="V102" i="86"/>
  <c r="U102" i="86"/>
  <c r="T102" i="86"/>
  <c r="S102" i="86"/>
  <c r="R102" i="86"/>
  <c r="Q102" i="86"/>
  <c r="P102" i="86"/>
  <c r="O102" i="86"/>
  <c r="N102" i="86"/>
  <c r="M102" i="86"/>
  <c r="L102" i="86"/>
  <c r="K102" i="86"/>
  <c r="J102" i="86"/>
  <c r="I102" i="86"/>
  <c r="H102" i="86"/>
  <c r="G102" i="86"/>
  <c r="AH101" i="86"/>
  <c r="AG101" i="86"/>
  <c r="AF101" i="86"/>
  <c r="AE101" i="86"/>
  <c r="AD101" i="86"/>
  <c r="AC101" i="86"/>
  <c r="AB101" i="86"/>
  <c r="AA101" i="86"/>
  <c r="Z101" i="86"/>
  <c r="Y101" i="86"/>
  <c r="X101" i="86"/>
  <c r="W101" i="86"/>
  <c r="V101" i="86"/>
  <c r="U101" i="86"/>
  <c r="T101" i="86"/>
  <c r="S101" i="86"/>
  <c r="R101" i="86"/>
  <c r="Q101" i="86"/>
  <c r="P101" i="86"/>
  <c r="O101" i="86"/>
  <c r="N101" i="86"/>
  <c r="M101" i="86"/>
  <c r="L101" i="86"/>
  <c r="K101" i="86"/>
  <c r="J101" i="86"/>
  <c r="I101" i="86"/>
  <c r="H101" i="86"/>
  <c r="G101" i="86"/>
  <c r="AH100" i="86"/>
  <c r="AG100" i="86"/>
  <c r="AF100" i="86"/>
  <c r="AE100" i="86"/>
  <c r="AD100" i="86"/>
  <c r="AC100" i="86"/>
  <c r="AB100" i="86"/>
  <c r="AA100" i="86"/>
  <c r="Z100" i="86"/>
  <c r="Y100" i="86"/>
  <c r="X100" i="86"/>
  <c r="W100" i="86"/>
  <c r="V100" i="86"/>
  <c r="U100" i="86"/>
  <c r="T100" i="86"/>
  <c r="S100" i="86"/>
  <c r="R100" i="86"/>
  <c r="Q100" i="86"/>
  <c r="P100" i="86"/>
  <c r="O100" i="86"/>
  <c r="N100" i="86"/>
  <c r="M100" i="86"/>
  <c r="L100" i="86"/>
  <c r="K100" i="86"/>
  <c r="J100" i="86"/>
  <c r="I100" i="86"/>
  <c r="H100" i="86"/>
  <c r="G100" i="86"/>
  <c r="AH99" i="86"/>
  <c r="AG99" i="86"/>
  <c r="AF99" i="86"/>
  <c r="AE99" i="86"/>
  <c r="AD99" i="86"/>
  <c r="AC99" i="86"/>
  <c r="AB99" i="86"/>
  <c r="AA99" i="86"/>
  <c r="Z99" i="86"/>
  <c r="Y99" i="86"/>
  <c r="X99" i="86"/>
  <c r="W99" i="86"/>
  <c r="V99" i="86"/>
  <c r="U99" i="86"/>
  <c r="T99" i="86"/>
  <c r="S99" i="86"/>
  <c r="R99" i="86"/>
  <c r="Q99" i="86"/>
  <c r="P99" i="86"/>
  <c r="O99" i="86"/>
  <c r="N99" i="86"/>
  <c r="M99" i="86"/>
  <c r="L99" i="86"/>
  <c r="K99" i="86"/>
  <c r="J99" i="86"/>
  <c r="I99" i="86"/>
  <c r="H99" i="86"/>
  <c r="G99" i="86"/>
  <c r="AH98" i="86"/>
  <c r="AG98" i="86"/>
  <c r="AF98" i="86"/>
  <c r="AE98" i="86"/>
  <c r="AD98" i="86"/>
  <c r="AC98" i="86"/>
  <c r="AB98" i="86"/>
  <c r="AA98" i="86"/>
  <c r="Z98" i="86"/>
  <c r="Y98" i="86"/>
  <c r="X98" i="86"/>
  <c r="W98" i="86"/>
  <c r="V98" i="86"/>
  <c r="U98" i="86"/>
  <c r="T98" i="86"/>
  <c r="S98" i="86"/>
  <c r="R98" i="86"/>
  <c r="Q98" i="86"/>
  <c r="P98" i="86"/>
  <c r="O98" i="86"/>
  <c r="N98" i="86"/>
  <c r="M98" i="86"/>
  <c r="L98" i="86"/>
  <c r="K98" i="86"/>
  <c r="J98" i="86"/>
  <c r="I98" i="86"/>
  <c r="H98" i="86"/>
  <c r="G98" i="86"/>
  <c r="AH97" i="86"/>
  <c r="AG97" i="86"/>
  <c r="AF97" i="86"/>
  <c r="AE97" i="86"/>
  <c r="AD97" i="86"/>
  <c r="AC97" i="86"/>
  <c r="AB97" i="86"/>
  <c r="AA97" i="86"/>
  <c r="Z97" i="86"/>
  <c r="Y97" i="86"/>
  <c r="X97" i="86"/>
  <c r="W97" i="86"/>
  <c r="V97" i="86"/>
  <c r="U97" i="86"/>
  <c r="T97" i="86"/>
  <c r="S97" i="86"/>
  <c r="R97" i="86"/>
  <c r="Q97" i="86"/>
  <c r="P97" i="86"/>
  <c r="O97" i="86"/>
  <c r="N97" i="86"/>
  <c r="M97" i="86"/>
  <c r="L97" i="86"/>
  <c r="K97" i="86"/>
  <c r="J97" i="86"/>
  <c r="I97" i="86"/>
  <c r="H97" i="86"/>
  <c r="G97" i="86"/>
  <c r="AH96" i="86"/>
  <c r="AG96" i="86"/>
  <c r="AF96" i="86"/>
  <c r="AE96" i="86"/>
  <c r="AD96" i="86"/>
  <c r="AC96" i="86"/>
  <c r="AB96" i="86"/>
  <c r="AA96" i="86"/>
  <c r="Z96" i="86"/>
  <c r="Y96" i="86"/>
  <c r="X96" i="86"/>
  <c r="W96" i="86"/>
  <c r="V96" i="86"/>
  <c r="U96" i="86"/>
  <c r="T96" i="86"/>
  <c r="S96" i="86"/>
  <c r="R96" i="86"/>
  <c r="Q96" i="86"/>
  <c r="P96" i="86"/>
  <c r="O96" i="86"/>
  <c r="N96" i="86"/>
  <c r="M96" i="86"/>
  <c r="L96" i="86"/>
  <c r="K96" i="86"/>
  <c r="J96" i="86"/>
  <c r="I96" i="86"/>
  <c r="H96" i="86"/>
  <c r="G96" i="86"/>
  <c r="AH95" i="86"/>
  <c r="AG95" i="86"/>
  <c r="AF95" i="86"/>
  <c r="AE95" i="86"/>
  <c r="AD95" i="86"/>
  <c r="AC95" i="86"/>
  <c r="AB95" i="86"/>
  <c r="AA95" i="86"/>
  <c r="Z95" i="86"/>
  <c r="Y95" i="86"/>
  <c r="X95" i="86"/>
  <c r="W95" i="86"/>
  <c r="V95" i="86"/>
  <c r="U95" i="86"/>
  <c r="T95" i="86"/>
  <c r="S95" i="86"/>
  <c r="R95" i="86"/>
  <c r="Q95" i="86"/>
  <c r="P95" i="86"/>
  <c r="O95" i="86"/>
  <c r="N95" i="86"/>
  <c r="M95" i="86"/>
  <c r="L95" i="86"/>
  <c r="K95" i="86"/>
  <c r="J95" i="86"/>
  <c r="I95" i="86"/>
  <c r="H95" i="86"/>
  <c r="G95" i="86"/>
  <c r="AH94" i="86"/>
  <c r="AG94" i="86"/>
  <c r="AF94" i="86"/>
  <c r="AE94" i="86"/>
  <c r="AD94" i="86"/>
  <c r="AC94" i="86"/>
  <c r="AB94" i="86"/>
  <c r="AA94" i="86"/>
  <c r="Z94" i="86"/>
  <c r="Y94" i="86"/>
  <c r="X94" i="86"/>
  <c r="W94" i="86"/>
  <c r="V94" i="86"/>
  <c r="U94" i="86"/>
  <c r="T94" i="86"/>
  <c r="S94" i="86"/>
  <c r="R94" i="86"/>
  <c r="Q94" i="86"/>
  <c r="P94" i="86"/>
  <c r="O94" i="86"/>
  <c r="N94" i="86"/>
  <c r="M94" i="86"/>
  <c r="L94" i="86"/>
  <c r="K94" i="86"/>
  <c r="J94" i="86"/>
  <c r="I94" i="86"/>
  <c r="H94" i="86"/>
  <c r="G94" i="86"/>
  <c r="AH93" i="86"/>
  <c r="AG93" i="86"/>
  <c r="AF93" i="86"/>
  <c r="AE93" i="86"/>
  <c r="AD93" i="86"/>
  <c r="AC93" i="86"/>
  <c r="AB93" i="86"/>
  <c r="AA93" i="86"/>
  <c r="Z93" i="86"/>
  <c r="Y93" i="86"/>
  <c r="X93" i="86"/>
  <c r="W93" i="86"/>
  <c r="V93" i="86"/>
  <c r="U93" i="86"/>
  <c r="T93" i="86"/>
  <c r="S93" i="86"/>
  <c r="R93" i="86"/>
  <c r="Q93" i="86"/>
  <c r="P93" i="86"/>
  <c r="O93" i="86"/>
  <c r="N93" i="86"/>
  <c r="M93" i="86"/>
  <c r="L93" i="86"/>
  <c r="K93" i="86"/>
  <c r="J93" i="86"/>
  <c r="I93" i="86"/>
  <c r="H93" i="86"/>
  <c r="G93" i="86"/>
  <c r="AH92" i="86"/>
  <c r="AG92" i="86"/>
  <c r="AF92" i="86"/>
  <c r="AE92" i="86"/>
  <c r="AD92" i="86"/>
  <c r="AC92" i="86"/>
  <c r="AB92" i="86"/>
  <c r="AA92" i="86"/>
  <c r="Z92" i="86"/>
  <c r="Y92" i="86"/>
  <c r="X92" i="86"/>
  <c r="W92" i="86"/>
  <c r="V92" i="86"/>
  <c r="U92" i="86"/>
  <c r="T92" i="86"/>
  <c r="S92" i="86"/>
  <c r="R92" i="86"/>
  <c r="Q92" i="86"/>
  <c r="P92" i="86"/>
  <c r="O92" i="86"/>
  <c r="N92" i="86"/>
  <c r="M92" i="86"/>
  <c r="L92" i="86"/>
  <c r="K92" i="86"/>
  <c r="J92" i="86"/>
  <c r="I92" i="86"/>
  <c r="H92" i="86"/>
  <c r="G92" i="86"/>
  <c r="AH91" i="86"/>
  <c r="AG91" i="86"/>
  <c r="AF91" i="86"/>
  <c r="AE91" i="86"/>
  <c r="AD91" i="86"/>
  <c r="AC91" i="86"/>
  <c r="AB91" i="86"/>
  <c r="AA91" i="86"/>
  <c r="Z91" i="86"/>
  <c r="Y91" i="86"/>
  <c r="X91" i="86"/>
  <c r="W91" i="86"/>
  <c r="V91" i="86"/>
  <c r="U91" i="86"/>
  <c r="T91" i="86"/>
  <c r="S91" i="86"/>
  <c r="R91" i="86"/>
  <c r="Q91" i="86"/>
  <c r="P91" i="86"/>
  <c r="O91" i="86"/>
  <c r="N91" i="86"/>
  <c r="M91" i="86"/>
  <c r="L91" i="86"/>
  <c r="K91" i="86"/>
  <c r="J91" i="86"/>
  <c r="I91" i="86"/>
  <c r="H91" i="86"/>
  <c r="G91" i="86"/>
  <c r="AH90" i="86"/>
  <c r="AG90" i="86"/>
  <c r="AF90" i="86"/>
  <c r="AE90" i="86"/>
  <c r="AD90" i="86"/>
  <c r="AC90" i="86"/>
  <c r="AB90" i="86"/>
  <c r="AA90" i="86"/>
  <c r="Z90" i="86"/>
  <c r="Y90" i="86"/>
  <c r="X90" i="86"/>
  <c r="W90" i="86"/>
  <c r="V90" i="86"/>
  <c r="U90" i="86"/>
  <c r="T90" i="86"/>
  <c r="S90" i="86"/>
  <c r="R90" i="86"/>
  <c r="Q90" i="86"/>
  <c r="P90" i="86"/>
  <c r="O90" i="86"/>
  <c r="N90" i="86"/>
  <c r="M90" i="86"/>
  <c r="L90" i="86"/>
  <c r="K90" i="86"/>
  <c r="J90" i="86"/>
  <c r="I90" i="86"/>
  <c r="H90" i="86"/>
  <c r="G90" i="86"/>
  <c r="AH89" i="86"/>
  <c r="AG89" i="86"/>
  <c r="AF89" i="86"/>
  <c r="AE89" i="86"/>
  <c r="AD89" i="86"/>
  <c r="AC89" i="86"/>
  <c r="AB89" i="86"/>
  <c r="AA89" i="86"/>
  <c r="Z89" i="86"/>
  <c r="Y89" i="86"/>
  <c r="X89" i="86"/>
  <c r="W89" i="86"/>
  <c r="V89" i="86"/>
  <c r="U89" i="86"/>
  <c r="T89" i="86"/>
  <c r="S89" i="86"/>
  <c r="R89" i="86"/>
  <c r="Q89" i="86"/>
  <c r="P89" i="86"/>
  <c r="O89" i="86"/>
  <c r="N89" i="86"/>
  <c r="M89" i="86"/>
  <c r="L89" i="86"/>
  <c r="K89" i="86"/>
  <c r="J89" i="86"/>
  <c r="I89" i="86"/>
  <c r="H89" i="86"/>
  <c r="G89" i="86"/>
  <c r="AH88" i="86"/>
  <c r="AG88" i="86"/>
  <c r="AF88" i="86"/>
  <c r="AE88" i="86"/>
  <c r="AD88" i="86"/>
  <c r="AC88" i="86"/>
  <c r="AB88" i="86"/>
  <c r="AA88" i="86"/>
  <c r="Z88" i="86"/>
  <c r="Y88" i="86"/>
  <c r="X88" i="86"/>
  <c r="W88" i="86"/>
  <c r="V88" i="86"/>
  <c r="U88" i="86"/>
  <c r="T88" i="86"/>
  <c r="S88" i="86"/>
  <c r="R88" i="86"/>
  <c r="Q88" i="86"/>
  <c r="P88" i="86"/>
  <c r="O88" i="86"/>
  <c r="N88" i="86"/>
  <c r="M88" i="86"/>
  <c r="L88" i="86"/>
  <c r="K88" i="86"/>
  <c r="J88" i="86"/>
  <c r="I88" i="86"/>
  <c r="H88" i="86"/>
  <c r="G88" i="86"/>
  <c r="AH87" i="86"/>
  <c r="AG87" i="86"/>
  <c r="AF87" i="86"/>
  <c r="AE87" i="86"/>
  <c r="AD87" i="86"/>
  <c r="AC87" i="86"/>
  <c r="AB87" i="86"/>
  <c r="AA87" i="86"/>
  <c r="Z87" i="86"/>
  <c r="Y87" i="86"/>
  <c r="X87" i="86"/>
  <c r="W87" i="86"/>
  <c r="V87" i="86"/>
  <c r="U87" i="86"/>
  <c r="T87" i="86"/>
  <c r="S87" i="86"/>
  <c r="R87" i="86"/>
  <c r="Q87" i="86"/>
  <c r="P87" i="86"/>
  <c r="O87" i="86"/>
  <c r="N87" i="86"/>
  <c r="M87" i="86"/>
  <c r="L87" i="86"/>
  <c r="K87" i="86"/>
  <c r="J87" i="86"/>
  <c r="I87" i="86"/>
  <c r="H87" i="86"/>
  <c r="G87" i="86"/>
  <c r="AH86" i="86"/>
  <c r="AG86" i="86"/>
  <c r="AF86" i="86"/>
  <c r="AE86" i="86"/>
  <c r="AD86" i="86"/>
  <c r="AC86" i="86"/>
  <c r="AB86" i="86"/>
  <c r="AA86" i="86"/>
  <c r="Z86" i="86"/>
  <c r="Y86" i="86"/>
  <c r="X86" i="86"/>
  <c r="W86" i="86"/>
  <c r="V86" i="86"/>
  <c r="U86" i="86"/>
  <c r="T86" i="86"/>
  <c r="S86" i="86"/>
  <c r="R86" i="86"/>
  <c r="Q86" i="86"/>
  <c r="P86" i="86"/>
  <c r="O86" i="86"/>
  <c r="N86" i="86"/>
  <c r="M86" i="86"/>
  <c r="L86" i="86"/>
  <c r="K86" i="86"/>
  <c r="J86" i="86"/>
  <c r="I86" i="86"/>
  <c r="H86" i="86"/>
  <c r="G86" i="86"/>
  <c r="AH85" i="86"/>
  <c r="AG85" i="86"/>
  <c r="AF85" i="86"/>
  <c r="AE85" i="86"/>
  <c r="AD85" i="86"/>
  <c r="AC85" i="86"/>
  <c r="AB85" i="86"/>
  <c r="AA85" i="86"/>
  <c r="Z85" i="86"/>
  <c r="Y85" i="86"/>
  <c r="X85" i="86"/>
  <c r="W85" i="86"/>
  <c r="V85" i="86"/>
  <c r="U85" i="86"/>
  <c r="T85" i="86"/>
  <c r="S85" i="86"/>
  <c r="R85" i="86"/>
  <c r="Q85" i="86"/>
  <c r="P85" i="86"/>
  <c r="O85" i="86"/>
  <c r="N85" i="86"/>
  <c r="M85" i="86"/>
  <c r="L85" i="86"/>
  <c r="K85" i="86"/>
  <c r="J85" i="86"/>
  <c r="I85" i="86"/>
  <c r="H85" i="86"/>
  <c r="G85" i="86"/>
  <c r="AH84" i="86"/>
  <c r="AG84" i="86"/>
  <c r="AF84" i="86"/>
  <c r="AE84" i="86"/>
  <c r="AD84" i="86"/>
  <c r="AC84" i="86"/>
  <c r="AB84" i="86"/>
  <c r="AA84" i="86"/>
  <c r="Z84" i="86"/>
  <c r="Y84" i="86"/>
  <c r="X84" i="86"/>
  <c r="W84" i="86"/>
  <c r="V84" i="86"/>
  <c r="U84" i="86"/>
  <c r="T84" i="86"/>
  <c r="S84" i="86"/>
  <c r="R84" i="86"/>
  <c r="Q84" i="86"/>
  <c r="P84" i="86"/>
  <c r="O84" i="86"/>
  <c r="N84" i="86"/>
  <c r="M84" i="86"/>
  <c r="L84" i="86"/>
  <c r="K84" i="86"/>
  <c r="J84" i="86"/>
  <c r="I84" i="86"/>
  <c r="H84" i="86"/>
  <c r="G84" i="86"/>
  <c r="AH83" i="86"/>
  <c r="AG83" i="86"/>
  <c r="AF83" i="86"/>
  <c r="AE83" i="86"/>
  <c r="AD83" i="86"/>
  <c r="AC83" i="86"/>
  <c r="AB83" i="86"/>
  <c r="AA83" i="86"/>
  <c r="Z83" i="86"/>
  <c r="Y83" i="86"/>
  <c r="X83" i="86"/>
  <c r="W83" i="86"/>
  <c r="V83" i="86"/>
  <c r="U83" i="86"/>
  <c r="T83" i="86"/>
  <c r="S83" i="86"/>
  <c r="R83" i="86"/>
  <c r="Q83" i="86"/>
  <c r="P83" i="86"/>
  <c r="O83" i="86"/>
  <c r="N83" i="86"/>
  <c r="M83" i="86"/>
  <c r="L83" i="86"/>
  <c r="K83" i="86"/>
  <c r="J83" i="86"/>
  <c r="I83" i="86"/>
  <c r="H83" i="86"/>
  <c r="G83" i="86"/>
  <c r="AH82" i="86"/>
  <c r="AG82" i="86"/>
  <c r="AF82" i="86"/>
  <c r="AE82" i="86"/>
  <c r="AD82" i="86"/>
  <c r="AC82" i="86"/>
  <c r="AB82" i="86"/>
  <c r="AA82" i="86"/>
  <c r="Z82" i="86"/>
  <c r="Y82" i="86"/>
  <c r="X82" i="86"/>
  <c r="W82" i="86"/>
  <c r="V82" i="86"/>
  <c r="U82" i="86"/>
  <c r="T82" i="86"/>
  <c r="S82" i="86"/>
  <c r="R82" i="86"/>
  <c r="Q82" i="86"/>
  <c r="P82" i="86"/>
  <c r="O82" i="86"/>
  <c r="N82" i="86"/>
  <c r="M82" i="86"/>
  <c r="L82" i="86"/>
  <c r="K82" i="86"/>
  <c r="J82" i="86"/>
  <c r="I82" i="86"/>
  <c r="H82" i="86"/>
  <c r="G82" i="86"/>
  <c r="AH81" i="86"/>
  <c r="AG81" i="86"/>
  <c r="AF81" i="86"/>
  <c r="AE81" i="86"/>
  <c r="AD81" i="86"/>
  <c r="AC81" i="86"/>
  <c r="AB81" i="86"/>
  <c r="AA81" i="86"/>
  <c r="Z81" i="86"/>
  <c r="Y81" i="86"/>
  <c r="X81" i="86"/>
  <c r="W81" i="86"/>
  <c r="V81" i="86"/>
  <c r="U81" i="86"/>
  <c r="T81" i="86"/>
  <c r="S81" i="86"/>
  <c r="R81" i="86"/>
  <c r="Q81" i="86"/>
  <c r="P81" i="86"/>
  <c r="O81" i="86"/>
  <c r="N81" i="86"/>
  <c r="M81" i="86"/>
  <c r="L81" i="86"/>
  <c r="K81" i="86"/>
  <c r="J81" i="86"/>
  <c r="I81" i="86"/>
  <c r="H81" i="86"/>
  <c r="G81" i="86"/>
  <c r="AH80" i="86"/>
  <c r="AG80" i="86"/>
  <c r="AF80" i="86"/>
  <c r="AE80" i="86"/>
  <c r="AD80" i="86"/>
  <c r="AC80" i="86"/>
  <c r="AB80" i="86"/>
  <c r="AA80" i="86"/>
  <c r="Z80" i="86"/>
  <c r="Y80" i="86"/>
  <c r="X80" i="86"/>
  <c r="W80" i="86"/>
  <c r="V80" i="86"/>
  <c r="U80" i="86"/>
  <c r="T80" i="86"/>
  <c r="S80" i="86"/>
  <c r="R80" i="86"/>
  <c r="Q80" i="86"/>
  <c r="P80" i="86"/>
  <c r="O80" i="86"/>
  <c r="N80" i="86"/>
  <c r="M80" i="86"/>
  <c r="L80" i="86"/>
  <c r="K80" i="86"/>
  <c r="J80" i="86"/>
  <c r="I80" i="86"/>
  <c r="H80" i="86"/>
  <c r="G80" i="86"/>
  <c r="AH79" i="86"/>
  <c r="AG79" i="86"/>
  <c r="AF79" i="86"/>
  <c r="AE79" i="86"/>
  <c r="AD79" i="86"/>
  <c r="AC79" i="86"/>
  <c r="AB79" i="86"/>
  <c r="AA79" i="86"/>
  <c r="Z79" i="86"/>
  <c r="Y79" i="86"/>
  <c r="X79" i="86"/>
  <c r="W79" i="86"/>
  <c r="V79" i="86"/>
  <c r="U79" i="86"/>
  <c r="T79" i="86"/>
  <c r="S79" i="86"/>
  <c r="R79" i="86"/>
  <c r="Q79" i="86"/>
  <c r="P79" i="86"/>
  <c r="O79" i="86"/>
  <c r="N79" i="86"/>
  <c r="M79" i="86"/>
  <c r="L79" i="86"/>
  <c r="K79" i="86"/>
  <c r="J79" i="86"/>
  <c r="I79" i="86"/>
  <c r="H79" i="86"/>
  <c r="G79" i="86"/>
  <c r="AH78" i="86"/>
  <c r="AG78" i="86"/>
  <c r="AF78" i="86"/>
  <c r="AE78" i="86"/>
  <c r="AD78" i="86"/>
  <c r="AC78" i="86"/>
  <c r="AB78" i="86"/>
  <c r="AA78" i="86"/>
  <c r="Z78" i="86"/>
  <c r="Y78" i="86"/>
  <c r="X78" i="86"/>
  <c r="W78" i="86"/>
  <c r="V78" i="86"/>
  <c r="U78" i="86"/>
  <c r="T78" i="86"/>
  <c r="S78" i="86"/>
  <c r="R78" i="86"/>
  <c r="Q78" i="86"/>
  <c r="P78" i="86"/>
  <c r="O78" i="86"/>
  <c r="N78" i="86"/>
  <c r="M78" i="86"/>
  <c r="L78" i="86"/>
  <c r="K78" i="86"/>
  <c r="J78" i="86"/>
  <c r="I78" i="86"/>
  <c r="H78" i="86"/>
  <c r="G78" i="86"/>
  <c r="AH77" i="86"/>
  <c r="AG77" i="86"/>
  <c r="AF77" i="86"/>
  <c r="AE77" i="86"/>
  <c r="AD77" i="86"/>
  <c r="AC77" i="86"/>
  <c r="AB77" i="86"/>
  <c r="AA77" i="86"/>
  <c r="Z77" i="86"/>
  <c r="Y77" i="86"/>
  <c r="X77" i="86"/>
  <c r="W77" i="86"/>
  <c r="V77" i="86"/>
  <c r="U77" i="86"/>
  <c r="T77" i="86"/>
  <c r="S77" i="86"/>
  <c r="R77" i="86"/>
  <c r="Q77" i="86"/>
  <c r="P77" i="86"/>
  <c r="O77" i="86"/>
  <c r="N77" i="86"/>
  <c r="M77" i="86"/>
  <c r="L77" i="86"/>
  <c r="K77" i="86"/>
  <c r="J77" i="86"/>
  <c r="I77" i="86"/>
  <c r="H77" i="86"/>
  <c r="G77" i="86"/>
  <c r="AH76" i="86"/>
  <c r="AG76" i="86"/>
  <c r="AF76" i="86"/>
  <c r="AE76" i="86"/>
  <c r="AD76" i="86"/>
  <c r="AC76" i="86"/>
  <c r="AB76" i="86"/>
  <c r="AA76" i="86"/>
  <c r="Z76" i="86"/>
  <c r="Y76" i="86"/>
  <c r="X76" i="86"/>
  <c r="W76" i="86"/>
  <c r="V76" i="86"/>
  <c r="U76" i="86"/>
  <c r="T76" i="86"/>
  <c r="S76" i="86"/>
  <c r="R76" i="86"/>
  <c r="Q76" i="86"/>
  <c r="P76" i="86"/>
  <c r="O76" i="86"/>
  <c r="N76" i="86"/>
  <c r="M76" i="86"/>
  <c r="L76" i="86"/>
  <c r="K76" i="86"/>
  <c r="J76" i="86"/>
  <c r="I76" i="86"/>
  <c r="H76" i="86"/>
  <c r="G76" i="86"/>
  <c r="AH75" i="86"/>
  <c r="AG75" i="86"/>
  <c r="AF75" i="86"/>
  <c r="AE75" i="86"/>
  <c r="AD75" i="86"/>
  <c r="AC75" i="86"/>
  <c r="AB75" i="86"/>
  <c r="AA75" i="86"/>
  <c r="Z75" i="86"/>
  <c r="Y75" i="86"/>
  <c r="X75" i="86"/>
  <c r="W75" i="86"/>
  <c r="V75" i="86"/>
  <c r="U75" i="86"/>
  <c r="T75" i="86"/>
  <c r="S75" i="86"/>
  <c r="R75" i="86"/>
  <c r="Q75" i="86"/>
  <c r="P75" i="86"/>
  <c r="O75" i="86"/>
  <c r="N75" i="86"/>
  <c r="M75" i="86"/>
  <c r="L75" i="86"/>
  <c r="K75" i="86"/>
  <c r="J75" i="86"/>
  <c r="I75" i="86"/>
  <c r="H75" i="86"/>
  <c r="G75" i="86"/>
  <c r="AH74" i="86"/>
  <c r="AG74" i="86"/>
  <c r="AF74" i="86"/>
  <c r="AE74" i="86"/>
  <c r="AD74" i="86"/>
  <c r="AC74" i="86"/>
  <c r="AB74" i="86"/>
  <c r="AA74" i="86"/>
  <c r="Z74" i="86"/>
  <c r="Y74" i="86"/>
  <c r="X74" i="86"/>
  <c r="W74" i="86"/>
  <c r="V74" i="86"/>
  <c r="U74" i="86"/>
  <c r="T74" i="86"/>
  <c r="S74" i="86"/>
  <c r="R74" i="86"/>
  <c r="Q74" i="86"/>
  <c r="P74" i="86"/>
  <c r="O74" i="86"/>
  <c r="N74" i="86"/>
  <c r="M74" i="86"/>
  <c r="L74" i="86"/>
  <c r="K74" i="86"/>
  <c r="J74" i="86"/>
  <c r="I74" i="86"/>
  <c r="H74" i="86"/>
  <c r="G74" i="86"/>
  <c r="AH73" i="86"/>
  <c r="AG73" i="86"/>
  <c r="AF73" i="86"/>
  <c r="AE73" i="86"/>
  <c r="AD73" i="86"/>
  <c r="AC73" i="86"/>
  <c r="AB73" i="86"/>
  <c r="AA73" i="86"/>
  <c r="Z73" i="86"/>
  <c r="Y73" i="86"/>
  <c r="X73" i="86"/>
  <c r="W73" i="86"/>
  <c r="V73" i="86"/>
  <c r="U73" i="86"/>
  <c r="T73" i="86"/>
  <c r="S73" i="86"/>
  <c r="R73" i="86"/>
  <c r="Q73" i="86"/>
  <c r="P73" i="86"/>
  <c r="O73" i="86"/>
  <c r="N73" i="86"/>
  <c r="M73" i="86"/>
  <c r="L73" i="86"/>
  <c r="K73" i="86"/>
  <c r="J73" i="86"/>
  <c r="I73" i="86"/>
  <c r="H73" i="86"/>
  <c r="G73" i="86"/>
  <c r="AH72" i="86"/>
  <c r="AG72" i="86"/>
  <c r="AF72" i="86"/>
  <c r="AE72" i="86"/>
  <c r="AD72" i="86"/>
  <c r="AC72" i="86"/>
  <c r="AB72" i="86"/>
  <c r="AA72" i="86"/>
  <c r="Z72" i="86"/>
  <c r="Y72" i="86"/>
  <c r="X72" i="86"/>
  <c r="W72" i="86"/>
  <c r="V72" i="86"/>
  <c r="U72" i="86"/>
  <c r="T72" i="86"/>
  <c r="S72" i="86"/>
  <c r="R72" i="86"/>
  <c r="Q72" i="86"/>
  <c r="P72" i="86"/>
  <c r="O72" i="86"/>
  <c r="N72" i="86"/>
  <c r="M72" i="86"/>
  <c r="L72" i="86"/>
  <c r="K72" i="86"/>
  <c r="J72" i="86"/>
  <c r="I72" i="86"/>
  <c r="H72" i="86"/>
  <c r="G72" i="86"/>
  <c r="AH71" i="86"/>
  <c r="AG71" i="86"/>
  <c r="AF71" i="86"/>
  <c r="AE71" i="86"/>
  <c r="AD71" i="86"/>
  <c r="AC71" i="86"/>
  <c r="AB71" i="86"/>
  <c r="AA71" i="86"/>
  <c r="Z71" i="86"/>
  <c r="Y71" i="86"/>
  <c r="X71" i="86"/>
  <c r="W71" i="86"/>
  <c r="V71" i="86"/>
  <c r="U71" i="86"/>
  <c r="T71" i="86"/>
  <c r="S71" i="86"/>
  <c r="R71" i="86"/>
  <c r="Q71" i="86"/>
  <c r="P71" i="86"/>
  <c r="O71" i="86"/>
  <c r="N71" i="86"/>
  <c r="M71" i="86"/>
  <c r="L71" i="86"/>
  <c r="K71" i="86"/>
  <c r="J71" i="86"/>
  <c r="I71" i="86"/>
  <c r="H71" i="86"/>
  <c r="G71" i="86"/>
  <c r="AH70" i="86"/>
  <c r="AG70" i="86"/>
  <c r="AF70" i="86"/>
  <c r="AE70" i="86"/>
  <c r="AD70" i="86"/>
  <c r="AC70" i="86"/>
  <c r="AB70" i="86"/>
  <c r="AA70" i="86"/>
  <c r="Z70" i="86"/>
  <c r="Y70" i="86"/>
  <c r="X70" i="86"/>
  <c r="W70" i="86"/>
  <c r="V70" i="86"/>
  <c r="U70" i="86"/>
  <c r="T70" i="86"/>
  <c r="S70" i="86"/>
  <c r="R70" i="86"/>
  <c r="Q70" i="86"/>
  <c r="P70" i="86"/>
  <c r="O70" i="86"/>
  <c r="N70" i="86"/>
  <c r="M70" i="86"/>
  <c r="L70" i="86"/>
  <c r="K70" i="86"/>
  <c r="J70" i="86"/>
  <c r="I70" i="86"/>
  <c r="H70" i="86"/>
  <c r="G70" i="86"/>
  <c r="AH69" i="86"/>
  <c r="AG69" i="86"/>
  <c r="AF69" i="86"/>
  <c r="AE69" i="86"/>
  <c r="AD69" i="86"/>
  <c r="AC69" i="86"/>
  <c r="AB69" i="86"/>
  <c r="AA69" i="86"/>
  <c r="Z69" i="86"/>
  <c r="Y69" i="86"/>
  <c r="X69" i="86"/>
  <c r="W69" i="86"/>
  <c r="V69" i="86"/>
  <c r="U69" i="86"/>
  <c r="T69" i="86"/>
  <c r="S69" i="86"/>
  <c r="R69" i="86"/>
  <c r="Q69" i="86"/>
  <c r="P69" i="86"/>
  <c r="O69" i="86"/>
  <c r="N69" i="86"/>
  <c r="M69" i="86"/>
  <c r="L69" i="86"/>
  <c r="K69" i="86"/>
  <c r="J69" i="86"/>
  <c r="I69" i="86"/>
  <c r="H69" i="86"/>
  <c r="G69" i="86"/>
  <c r="AH68" i="86"/>
  <c r="AG68" i="86"/>
  <c r="AF68" i="86"/>
  <c r="AE68" i="86"/>
  <c r="AD68" i="86"/>
  <c r="AC68" i="86"/>
  <c r="AB68" i="86"/>
  <c r="AA68" i="86"/>
  <c r="Z68" i="86"/>
  <c r="Y68" i="86"/>
  <c r="X68" i="86"/>
  <c r="W68" i="86"/>
  <c r="V68" i="86"/>
  <c r="U68" i="86"/>
  <c r="T68" i="86"/>
  <c r="S68" i="86"/>
  <c r="R68" i="86"/>
  <c r="Q68" i="86"/>
  <c r="P68" i="86"/>
  <c r="O68" i="86"/>
  <c r="N68" i="86"/>
  <c r="M68" i="86"/>
  <c r="L68" i="86"/>
  <c r="K68" i="86"/>
  <c r="J68" i="86"/>
  <c r="I68" i="86"/>
  <c r="H68" i="86"/>
  <c r="G68" i="86"/>
  <c r="AH67" i="86"/>
  <c r="AG67" i="86"/>
  <c r="AF67" i="86"/>
  <c r="AE67" i="86"/>
  <c r="AD67" i="86"/>
  <c r="AC67" i="86"/>
  <c r="AB67" i="86"/>
  <c r="AA67" i="86"/>
  <c r="Z67" i="86"/>
  <c r="Y67" i="86"/>
  <c r="X67" i="86"/>
  <c r="W67" i="86"/>
  <c r="V67" i="86"/>
  <c r="U67" i="86"/>
  <c r="T67" i="86"/>
  <c r="S67" i="86"/>
  <c r="R67" i="86"/>
  <c r="Q67" i="86"/>
  <c r="P67" i="86"/>
  <c r="O67" i="86"/>
  <c r="N67" i="86"/>
  <c r="M67" i="86"/>
  <c r="L67" i="86"/>
  <c r="K67" i="86"/>
  <c r="J67" i="86"/>
  <c r="I67" i="86"/>
  <c r="H67" i="86"/>
  <c r="G67" i="86"/>
  <c r="AH66" i="86"/>
  <c r="AG66" i="86"/>
  <c r="AF66" i="86"/>
  <c r="AE66" i="86"/>
  <c r="AD66" i="86"/>
  <c r="AC66" i="86"/>
  <c r="AB66" i="86"/>
  <c r="AA66" i="86"/>
  <c r="Z66" i="86"/>
  <c r="Y66" i="86"/>
  <c r="X66" i="86"/>
  <c r="W66" i="86"/>
  <c r="V66" i="86"/>
  <c r="U66" i="86"/>
  <c r="T66" i="86"/>
  <c r="S66" i="86"/>
  <c r="R66" i="86"/>
  <c r="Q66" i="86"/>
  <c r="P66" i="86"/>
  <c r="O66" i="86"/>
  <c r="N66" i="86"/>
  <c r="M66" i="86"/>
  <c r="L66" i="86"/>
  <c r="K66" i="86"/>
  <c r="J66" i="86"/>
  <c r="I66" i="86"/>
  <c r="H66" i="86"/>
  <c r="G66" i="86"/>
  <c r="AH65" i="86"/>
  <c r="AG65" i="86"/>
  <c r="AF65" i="86"/>
  <c r="AE65" i="86"/>
  <c r="AD65" i="86"/>
  <c r="AC65" i="86"/>
  <c r="AB65" i="86"/>
  <c r="AA65" i="86"/>
  <c r="Z65" i="86"/>
  <c r="Y65" i="86"/>
  <c r="X65" i="86"/>
  <c r="W65" i="86"/>
  <c r="V65" i="86"/>
  <c r="U65" i="86"/>
  <c r="T65" i="86"/>
  <c r="S65" i="86"/>
  <c r="R65" i="86"/>
  <c r="Q65" i="86"/>
  <c r="P65" i="86"/>
  <c r="O65" i="86"/>
  <c r="N65" i="86"/>
  <c r="M65" i="86"/>
  <c r="L65" i="86"/>
  <c r="K65" i="86"/>
  <c r="J65" i="86"/>
  <c r="I65" i="86"/>
  <c r="H65" i="86"/>
  <c r="G65" i="86"/>
  <c r="AH64" i="86"/>
  <c r="AG64" i="86"/>
  <c r="AF64" i="86"/>
  <c r="AE64" i="86"/>
  <c r="AD64" i="86"/>
  <c r="AC64" i="86"/>
  <c r="AB64" i="86"/>
  <c r="AA64" i="86"/>
  <c r="Z64" i="86"/>
  <c r="Y64" i="86"/>
  <c r="X64" i="86"/>
  <c r="W64" i="86"/>
  <c r="V64" i="86"/>
  <c r="U64" i="86"/>
  <c r="T64" i="86"/>
  <c r="S64" i="86"/>
  <c r="R64" i="86"/>
  <c r="Q64" i="86"/>
  <c r="P64" i="86"/>
  <c r="O64" i="86"/>
  <c r="N64" i="86"/>
  <c r="M64" i="86"/>
  <c r="L64" i="86"/>
  <c r="K64" i="86"/>
  <c r="J64" i="86"/>
  <c r="I64" i="86"/>
  <c r="H64" i="86"/>
  <c r="G64" i="86"/>
  <c r="AH63" i="86"/>
  <c r="AG63" i="86"/>
  <c r="AF63" i="86"/>
  <c r="AE63" i="86"/>
  <c r="AD63" i="86"/>
  <c r="AC63" i="86"/>
  <c r="AB63" i="86"/>
  <c r="AA63" i="86"/>
  <c r="Z63" i="86"/>
  <c r="Y63" i="86"/>
  <c r="X63" i="86"/>
  <c r="W63" i="86"/>
  <c r="V63" i="86"/>
  <c r="U63" i="86"/>
  <c r="T63" i="86"/>
  <c r="S63" i="86"/>
  <c r="R63" i="86"/>
  <c r="Q63" i="86"/>
  <c r="P63" i="86"/>
  <c r="O63" i="86"/>
  <c r="N63" i="86"/>
  <c r="M63" i="86"/>
  <c r="L63" i="86"/>
  <c r="K63" i="86"/>
  <c r="J63" i="86"/>
  <c r="I63" i="86"/>
  <c r="H63" i="86"/>
  <c r="G63" i="86"/>
  <c r="AH62" i="86"/>
  <c r="AG62" i="86"/>
  <c r="AF62" i="86"/>
  <c r="AE62" i="86"/>
  <c r="AD62" i="86"/>
  <c r="AC62" i="86"/>
  <c r="AB62" i="86"/>
  <c r="AA62" i="86"/>
  <c r="Z62" i="86"/>
  <c r="Y62" i="86"/>
  <c r="X62" i="86"/>
  <c r="W62" i="86"/>
  <c r="V62" i="86"/>
  <c r="U62" i="86"/>
  <c r="T62" i="86"/>
  <c r="S62" i="86"/>
  <c r="R62" i="86"/>
  <c r="Q62" i="86"/>
  <c r="P62" i="86"/>
  <c r="O62" i="86"/>
  <c r="N62" i="86"/>
  <c r="M62" i="86"/>
  <c r="L62" i="86"/>
  <c r="K62" i="86"/>
  <c r="J62" i="86"/>
  <c r="I62" i="86"/>
  <c r="H62" i="86"/>
  <c r="G62" i="86"/>
  <c r="AH61" i="86"/>
  <c r="AG61" i="86"/>
  <c r="AF61" i="86"/>
  <c r="AE61" i="86"/>
  <c r="AD61" i="86"/>
  <c r="AC61" i="86"/>
  <c r="AB61" i="86"/>
  <c r="AA61" i="86"/>
  <c r="Z61" i="86"/>
  <c r="Y61" i="86"/>
  <c r="X61" i="86"/>
  <c r="W61" i="86"/>
  <c r="V61" i="86"/>
  <c r="U61" i="86"/>
  <c r="T61" i="86"/>
  <c r="S61" i="86"/>
  <c r="R61" i="86"/>
  <c r="Q61" i="86"/>
  <c r="P61" i="86"/>
  <c r="O61" i="86"/>
  <c r="N61" i="86"/>
  <c r="M61" i="86"/>
  <c r="L61" i="86"/>
  <c r="K61" i="86"/>
  <c r="J61" i="86"/>
  <c r="I61" i="86"/>
  <c r="H61" i="86"/>
  <c r="G61" i="86"/>
  <c r="AH60" i="86"/>
  <c r="AG60" i="86"/>
  <c r="AF60" i="86"/>
  <c r="AE60" i="86"/>
  <c r="AD60" i="86"/>
  <c r="AC60" i="86"/>
  <c r="AB60" i="86"/>
  <c r="AA60" i="86"/>
  <c r="Z60" i="86"/>
  <c r="Y60" i="86"/>
  <c r="X60" i="86"/>
  <c r="W60" i="86"/>
  <c r="V60" i="86"/>
  <c r="U60" i="86"/>
  <c r="T60" i="86"/>
  <c r="S60" i="86"/>
  <c r="R60" i="86"/>
  <c r="Q60" i="86"/>
  <c r="P60" i="86"/>
  <c r="O60" i="86"/>
  <c r="N60" i="86"/>
  <c r="M60" i="86"/>
  <c r="L60" i="86"/>
  <c r="K60" i="86"/>
  <c r="J60" i="86"/>
  <c r="I60" i="86"/>
  <c r="H60" i="86"/>
  <c r="G60" i="86"/>
  <c r="AH59" i="86"/>
  <c r="AG59" i="86"/>
  <c r="AF59" i="86"/>
  <c r="AE59" i="86"/>
  <c r="AD59" i="86"/>
  <c r="AC59" i="86"/>
  <c r="AB59" i="86"/>
  <c r="AA59" i="86"/>
  <c r="Z59" i="86"/>
  <c r="Y59" i="86"/>
  <c r="X59" i="86"/>
  <c r="W59" i="86"/>
  <c r="V59" i="86"/>
  <c r="U59" i="86"/>
  <c r="T59" i="86"/>
  <c r="S59" i="86"/>
  <c r="R59" i="86"/>
  <c r="Q59" i="86"/>
  <c r="P59" i="86"/>
  <c r="O59" i="86"/>
  <c r="N59" i="86"/>
  <c r="M59" i="86"/>
  <c r="L59" i="86"/>
  <c r="K59" i="86"/>
  <c r="J59" i="86"/>
  <c r="I59" i="86"/>
  <c r="H59" i="86"/>
  <c r="G59" i="86"/>
  <c r="AH58" i="86"/>
  <c r="AG58" i="86"/>
  <c r="AF58" i="86"/>
  <c r="AE58" i="86"/>
  <c r="AD58" i="86"/>
  <c r="AC58" i="86"/>
  <c r="AB58" i="86"/>
  <c r="AA58" i="86"/>
  <c r="Z58" i="86"/>
  <c r="Y58" i="86"/>
  <c r="X58" i="86"/>
  <c r="W58" i="86"/>
  <c r="V58" i="86"/>
  <c r="U58" i="86"/>
  <c r="T58" i="86"/>
  <c r="S58" i="86"/>
  <c r="R58" i="86"/>
  <c r="Q58" i="86"/>
  <c r="P58" i="86"/>
  <c r="O58" i="86"/>
  <c r="N58" i="86"/>
  <c r="M58" i="86"/>
  <c r="L58" i="86"/>
  <c r="K58" i="86"/>
  <c r="J58" i="86"/>
  <c r="I58" i="86"/>
  <c r="H58" i="86"/>
  <c r="G58" i="86"/>
  <c r="AH57" i="86"/>
  <c r="AG57" i="86"/>
  <c r="AF57" i="86"/>
  <c r="AE57" i="86"/>
  <c r="AD57" i="86"/>
  <c r="AC57" i="86"/>
  <c r="AB57" i="86"/>
  <c r="AA57" i="86"/>
  <c r="Z57" i="86"/>
  <c r="Y57" i="86"/>
  <c r="X57" i="86"/>
  <c r="W57" i="86"/>
  <c r="V57" i="86"/>
  <c r="U57" i="86"/>
  <c r="T57" i="86"/>
  <c r="S57" i="86"/>
  <c r="R57" i="86"/>
  <c r="Q57" i="86"/>
  <c r="P57" i="86"/>
  <c r="O57" i="86"/>
  <c r="N57" i="86"/>
  <c r="M57" i="86"/>
  <c r="L57" i="86"/>
  <c r="K57" i="86"/>
  <c r="J57" i="86"/>
  <c r="I57" i="86"/>
  <c r="H57" i="86"/>
  <c r="G57" i="86"/>
  <c r="AH56" i="86"/>
  <c r="AG56" i="86"/>
  <c r="AF56" i="86"/>
  <c r="AE56" i="86"/>
  <c r="AD56" i="86"/>
  <c r="AC56" i="86"/>
  <c r="AB56" i="86"/>
  <c r="AA56" i="86"/>
  <c r="Z56" i="86"/>
  <c r="Y56" i="86"/>
  <c r="X56" i="86"/>
  <c r="W56" i="86"/>
  <c r="V56" i="86"/>
  <c r="U56" i="86"/>
  <c r="T56" i="86"/>
  <c r="S56" i="86"/>
  <c r="R56" i="86"/>
  <c r="Q56" i="86"/>
  <c r="P56" i="86"/>
  <c r="O56" i="86"/>
  <c r="N56" i="86"/>
  <c r="M56" i="86"/>
  <c r="L56" i="86"/>
  <c r="K56" i="86"/>
  <c r="J56" i="86"/>
  <c r="I56" i="86"/>
  <c r="H56" i="86"/>
  <c r="G56" i="86"/>
  <c r="AH55" i="86"/>
  <c r="AG55" i="86"/>
  <c r="AF55" i="86"/>
  <c r="AE55" i="86"/>
  <c r="AD55" i="86"/>
  <c r="AC55" i="86"/>
  <c r="AB55" i="86"/>
  <c r="AA55" i="86"/>
  <c r="Z55" i="86"/>
  <c r="Y55" i="86"/>
  <c r="X55" i="86"/>
  <c r="W55" i="86"/>
  <c r="V55" i="86"/>
  <c r="U55" i="86"/>
  <c r="T55" i="86"/>
  <c r="S55" i="86"/>
  <c r="R55" i="86"/>
  <c r="Q55" i="86"/>
  <c r="P55" i="86"/>
  <c r="O55" i="86"/>
  <c r="N55" i="86"/>
  <c r="M55" i="86"/>
  <c r="L55" i="86"/>
  <c r="K55" i="86"/>
  <c r="J55" i="86"/>
  <c r="I55" i="86"/>
  <c r="H55" i="86"/>
  <c r="G55" i="86"/>
  <c r="AH54" i="86"/>
  <c r="AG54" i="86"/>
  <c r="AF54" i="86"/>
  <c r="AE54" i="86"/>
  <c r="AD54" i="86"/>
  <c r="AC54" i="86"/>
  <c r="AB54" i="86"/>
  <c r="AA54" i="86"/>
  <c r="Z54" i="86"/>
  <c r="Y54" i="86"/>
  <c r="X54" i="86"/>
  <c r="W54" i="86"/>
  <c r="V54" i="86"/>
  <c r="U54" i="86"/>
  <c r="T54" i="86"/>
  <c r="S54" i="86"/>
  <c r="R54" i="86"/>
  <c r="Q54" i="86"/>
  <c r="P54" i="86"/>
  <c r="O54" i="86"/>
  <c r="N54" i="86"/>
  <c r="M54" i="86"/>
  <c r="L54" i="86"/>
  <c r="K54" i="86"/>
  <c r="J54" i="86"/>
  <c r="I54" i="86"/>
  <c r="H54" i="86"/>
  <c r="G54" i="86"/>
  <c r="AH53" i="86"/>
  <c r="AG53" i="86"/>
  <c r="AF53" i="86"/>
  <c r="AE53" i="86"/>
  <c r="AD53" i="86"/>
  <c r="AC53" i="86"/>
  <c r="AB53" i="86"/>
  <c r="AA53" i="86"/>
  <c r="Z53" i="86"/>
  <c r="Y53" i="86"/>
  <c r="X53" i="86"/>
  <c r="W53" i="86"/>
  <c r="V53" i="86"/>
  <c r="U53" i="86"/>
  <c r="T53" i="86"/>
  <c r="S53" i="86"/>
  <c r="R53" i="86"/>
  <c r="Q53" i="86"/>
  <c r="P53" i="86"/>
  <c r="O53" i="86"/>
  <c r="N53" i="86"/>
  <c r="M53" i="86"/>
  <c r="L53" i="86"/>
  <c r="K53" i="86"/>
  <c r="J53" i="86"/>
  <c r="I53" i="86"/>
  <c r="H53" i="86"/>
  <c r="G53" i="86"/>
  <c r="AH52" i="86"/>
  <c r="AG52" i="86"/>
  <c r="AF52" i="86"/>
  <c r="AE52" i="86"/>
  <c r="AD52" i="86"/>
  <c r="AC52" i="86"/>
  <c r="AB52" i="86"/>
  <c r="AA52" i="86"/>
  <c r="Z52" i="86"/>
  <c r="Y52" i="86"/>
  <c r="X52" i="86"/>
  <c r="W52" i="86"/>
  <c r="V52" i="86"/>
  <c r="U52" i="86"/>
  <c r="T52" i="86"/>
  <c r="S52" i="86"/>
  <c r="R52" i="86"/>
  <c r="Q52" i="86"/>
  <c r="P52" i="86"/>
  <c r="O52" i="86"/>
  <c r="N52" i="86"/>
  <c r="M52" i="86"/>
  <c r="L52" i="86"/>
  <c r="K52" i="86"/>
  <c r="J52" i="86"/>
  <c r="I52" i="86"/>
  <c r="H52" i="86"/>
  <c r="G52" i="86"/>
  <c r="AH51" i="86"/>
  <c r="AG51" i="86"/>
  <c r="AF51" i="86"/>
  <c r="AE51" i="86"/>
  <c r="AD51" i="86"/>
  <c r="AC51" i="86"/>
  <c r="AB51" i="86"/>
  <c r="AA51" i="86"/>
  <c r="Z51" i="86"/>
  <c r="Y51" i="86"/>
  <c r="X51" i="86"/>
  <c r="W51" i="86"/>
  <c r="V51" i="86"/>
  <c r="U51" i="86"/>
  <c r="T51" i="86"/>
  <c r="S51" i="86"/>
  <c r="R51" i="86"/>
  <c r="Q51" i="86"/>
  <c r="P51" i="86"/>
  <c r="O51" i="86"/>
  <c r="N51" i="86"/>
  <c r="M51" i="86"/>
  <c r="L51" i="86"/>
  <c r="K51" i="86"/>
  <c r="J51" i="86"/>
  <c r="I51" i="86"/>
  <c r="H51" i="86"/>
  <c r="G51" i="86"/>
  <c r="AH50" i="86"/>
  <c r="AG50" i="86"/>
  <c r="AF50" i="86"/>
  <c r="AE50" i="86"/>
  <c r="AD50" i="86"/>
  <c r="AC50" i="86"/>
  <c r="AB50" i="86"/>
  <c r="AA50" i="86"/>
  <c r="Z50" i="86"/>
  <c r="Y50" i="86"/>
  <c r="X50" i="86"/>
  <c r="W50" i="86"/>
  <c r="V50" i="86"/>
  <c r="U50" i="86"/>
  <c r="T50" i="86"/>
  <c r="S50" i="86"/>
  <c r="R50" i="86"/>
  <c r="Q50" i="86"/>
  <c r="P50" i="86"/>
  <c r="O50" i="86"/>
  <c r="N50" i="86"/>
  <c r="M50" i="86"/>
  <c r="L50" i="86"/>
  <c r="K50" i="86"/>
  <c r="J50" i="86"/>
  <c r="I50" i="86"/>
  <c r="H50" i="86"/>
  <c r="G50" i="86"/>
  <c r="AH49" i="86"/>
  <c r="AG49" i="86"/>
  <c r="AF49" i="86"/>
  <c r="AE49" i="86"/>
  <c r="AD49" i="86"/>
  <c r="AC49" i="86"/>
  <c r="AB49" i="86"/>
  <c r="AA49" i="86"/>
  <c r="Z49" i="86"/>
  <c r="Y49" i="86"/>
  <c r="X49" i="86"/>
  <c r="W49" i="86"/>
  <c r="V49" i="86"/>
  <c r="U49" i="86"/>
  <c r="T49" i="86"/>
  <c r="S49" i="86"/>
  <c r="R49" i="86"/>
  <c r="Q49" i="86"/>
  <c r="P49" i="86"/>
  <c r="O49" i="86"/>
  <c r="N49" i="86"/>
  <c r="M49" i="86"/>
  <c r="L49" i="86"/>
  <c r="K49" i="86"/>
  <c r="J49" i="86"/>
  <c r="I49" i="86"/>
  <c r="H49" i="86"/>
  <c r="G49" i="86"/>
  <c r="AH48" i="86"/>
  <c r="AG48" i="86"/>
  <c r="AF48" i="86"/>
  <c r="AE48" i="86"/>
  <c r="AD48" i="86"/>
  <c r="AC48" i="86"/>
  <c r="AB48" i="86"/>
  <c r="AA48" i="86"/>
  <c r="Z48" i="86"/>
  <c r="Y48" i="86"/>
  <c r="X48" i="86"/>
  <c r="W48" i="86"/>
  <c r="V48" i="86"/>
  <c r="U48" i="86"/>
  <c r="T48" i="86"/>
  <c r="S48" i="86"/>
  <c r="R48" i="86"/>
  <c r="Q48" i="86"/>
  <c r="P48" i="86"/>
  <c r="O48" i="86"/>
  <c r="N48" i="86"/>
  <c r="M48" i="86"/>
  <c r="L48" i="86"/>
  <c r="K48" i="86"/>
  <c r="J48" i="86"/>
  <c r="I48" i="86"/>
  <c r="H48" i="86"/>
  <c r="G48" i="86"/>
  <c r="AH47" i="86"/>
  <c r="AG47" i="86"/>
  <c r="AF47" i="86"/>
  <c r="AE47" i="86"/>
  <c r="AD47" i="86"/>
  <c r="AC47" i="86"/>
  <c r="AB47" i="86"/>
  <c r="AA47" i="86"/>
  <c r="Z47" i="86"/>
  <c r="Y47" i="86"/>
  <c r="X47" i="86"/>
  <c r="W47" i="86"/>
  <c r="V47" i="86"/>
  <c r="U47" i="86"/>
  <c r="T47" i="86"/>
  <c r="S47" i="86"/>
  <c r="R47" i="86"/>
  <c r="Q47" i="86"/>
  <c r="P47" i="86"/>
  <c r="O47" i="86"/>
  <c r="N47" i="86"/>
  <c r="M47" i="86"/>
  <c r="L47" i="86"/>
  <c r="K47" i="86"/>
  <c r="J47" i="86"/>
  <c r="I47" i="86"/>
  <c r="H47" i="86"/>
  <c r="G47" i="86"/>
  <c r="AH46" i="86"/>
  <c r="AG46" i="86"/>
  <c r="AF46" i="86"/>
  <c r="AE46" i="86"/>
  <c r="AD46" i="86"/>
  <c r="AC46" i="86"/>
  <c r="AB46" i="86"/>
  <c r="AA46" i="86"/>
  <c r="Z46" i="86"/>
  <c r="Y46" i="86"/>
  <c r="X46" i="86"/>
  <c r="W46" i="86"/>
  <c r="V46" i="86"/>
  <c r="U46" i="86"/>
  <c r="T46" i="86"/>
  <c r="S46" i="86"/>
  <c r="R46" i="86"/>
  <c r="Q46" i="86"/>
  <c r="P46" i="86"/>
  <c r="O46" i="86"/>
  <c r="N46" i="86"/>
  <c r="M46" i="86"/>
  <c r="L46" i="86"/>
  <c r="K46" i="86"/>
  <c r="J46" i="86"/>
  <c r="I46" i="86"/>
  <c r="H46" i="86"/>
  <c r="G46" i="86"/>
  <c r="AH45" i="86"/>
  <c r="AG45" i="86"/>
  <c r="AF45" i="86"/>
  <c r="AE45" i="86"/>
  <c r="AD45" i="86"/>
  <c r="AC45" i="86"/>
  <c r="AB45" i="86"/>
  <c r="AA45" i="86"/>
  <c r="Z45" i="86"/>
  <c r="Y45" i="86"/>
  <c r="X45" i="86"/>
  <c r="W45" i="86"/>
  <c r="V45" i="86"/>
  <c r="U45" i="86"/>
  <c r="T45" i="86"/>
  <c r="S45" i="86"/>
  <c r="R45" i="86"/>
  <c r="Q45" i="86"/>
  <c r="P45" i="86"/>
  <c r="O45" i="86"/>
  <c r="N45" i="86"/>
  <c r="M45" i="86"/>
  <c r="L45" i="86"/>
  <c r="K45" i="86"/>
  <c r="J45" i="86"/>
  <c r="I45" i="86"/>
  <c r="H45" i="86"/>
  <c r="G45" i="86"/>
  <c r="AH44" i="86"/>
  <c r="AG44" i="86"/>
  <c r="AF44" i="86"/>
  <c r="AE44" i="86"/>
  <c r="AD44" i="86"/>
  <c r="AC44" i="86"/>
  <c r="AB44" i="86"/>
  <c r="AA44" i="86"/>
  <c r="Z44" i="86"/>
  <c r="Y44" i="86"/>
  <c r="X44" i="86"/>
  <c r="W44" i="86"/>
  <c r="V44" i="86"/>
  <c r="U44" i="86"/>
  <c r="T44" i="86"/>
  <c r="S44" i="86"/>
  <c r="R44" i="86"/>
  <c r="Q44" i="86"/>
  <c r="P44" i="86"/>
  <c r="O44" i="86"/>
  <c r="N44" i="86"/>
  <c r="M44" i="86"/>
  <c r="L44" i="86"/>
  <c r="K44" i="86"/>
  <c r="J44" i="86"/>
  <c r="I44" i="86"/>
  <c r="H44" i="86"/>
  <c r="G44" i="86"/>
  <c r="AH43" i="86"/>
  <c r="AG43" i="86"/>
  <c r="AF43" i="86"/>
  <c r="AE43" i="86"/>
  <c r="AD43" i="86"/>
  <c r="AC43" i="86"/>
  <c r="AB43" i="86"/>
  <c r="AA43" i="86"/>
  <c r="Z43" i="86"/>
  <c r="Y43" i="86"/>
  <c r="X43" i="86"/>
  <c r="W43" i="86"/>
  <c r="V43" i="86"/>
  <c r="U43" i="86"/>
  <c r="T43" i="86"/>
  <c r="S43" i="86"/>
  <c r="R43" i="86"/>
  <c r="Q43" i="86"/>
  <c r="P43" i="86"/>
  <c r="O43" i="86"/>
  <c r="N43" i="86"/>
  <c r="M43" i="86"/>
  <c r="L43" i="86"/>
  <c r="K43" i="86"/>
  <c r="J43" i="86"/>
  <c r="I43" i="86"/>
  <c r="H43" i="86"/>
  <c r="G43" i="86"/>
  <c r="AH42" i="86"/>
  <c r="AG42" i="86"/>
  <c r="AF42" i="86"/>
  <c r="AE42" i="86"/>
  <c r="AD42" i="86"/>
  <c r="AC42" i="86"/>
  <c r="AB42" i="86"/>
  <c r="AA42" i="86"/>
  <c r="Z42" i="86"/>
  <c r="Y42" i="86"/>
  <c r="X42" i="86"/>
  <c r="W42" i="86"/>
  <c r="V42" i="86"/>
  <c r="U42" i="86"/>
  <c r="T42" i="86"/>
  <c r="S42" i="86"/>
  <c r="R42" i="86"/>
  <c r="Q42" i="86"/>
  <c r="P42" i="86"/>
  <c r="O42" i="86"/>
  <c r="N42" i="86"/>
  <c r="M42" i="86"/>
  <c r="L42" i="86"/>
  <c r="K42" i="86"/>
  <c r="J42" i="86"/>
  <c r="I42" i="86"/>
  <c r="H42" i="86"/>
  <c r="G42" i="86"/>
  <c r="AH41" i="86"/>
  <c r="AG41" i="86"/>
  <c r="AF41" i="86"/>
  <c r="AE41" i="86"/>
  <c r="AD41" i="86"/>
  <c r="AC41" i="86"/>
  <c r="AB41" i="86"/>
  <c r="AA41" i="86"/>
  <c r="Z41" i="86"/>
  <c r="Y41" i="86"/>
  <c r="X41" i="86"/>
  <c r="W41" i="86"/>
  <c r="V41" i="86"/>
  <c r="U41" i="86"/>
  <c r="T41" i="86"/>
  <c r="S41" i="86"/>
  <c r="R41" i="86"/>
  <c r="Q41" i="86"/>
  <c r="P41" i="86"/>
  <c r="O41" i="86"/>
  <c r="N41" i="86"/>
  <c r="M41" i="86"/>
  <c r="L41" i="86"/>
  <c r="K41" i="86"/>
  <c r="J41" i="86"/>
  <c r="I41" i="86"/>
  <c r="H41" i="86"/>
  <c r="G41" i="86"/>
  <c r="AH40" i="86"/>
  <c r="AG40" i="86"/>
  <c r="AF40" i="86"/>
  <c r="AE40" i="86"/>
  <c r="AD40" i="86"/>
  <c r="AC40" i="86"/>
  <c r="AB40" i="86"/>
  <c r="AA40" i="86"/>
  <c r="Z40" i="86"/>
  <c r="Y40" i="86"/>
  <c r="X40" i="86"/>
  <c r="W40" i="86"/>
  <c r="V40" i="86"/>
  <c r="U40" i="86"/>
  <c r="T40" i="86"/>
  <c r="S40" i="86"/>
  <c r="R40" i="86"/>
  <c r="Q40" i="86"/>
  <c r="P40" i="86"/>
  <c r="O40" i="86"/>
  <c r="N40" i="86"/>
  <c r="M40" i="86"/>
  <c r="L40" i="86"/>
  <c r="K40" i="86"/>
  <c r="J40" i="86"/>
  <c r="I40" i="86"/>
  <c r="H40" i="86"/>
  <c r="G40" i="86"/>
  <c r="AH39" i="86"/>
  <c r="AG39" i="86"/>
  <c r="AF39" i="86"/>
  <c r="AE39" i="86"/>
  <c r="AD39" i="86"/>
  <c r="AC39" i="86"/>
  <c r="AB39" i="86"/>
  <c r="AA39" i="86"/>
  <c r="Z39" i="86"/>
  <c r="Y39" i="86"/>
  <c r="X39" i="86"/>
  <c r="W39" i="86"/>
  <c r="V39" i="86"/>
  <c r="U39" i="86"/>
  <c r="T39" i="86"/>
  <c r="S39" i="86"/>
  <c r="R39" i="86"/>
  <c r="Q39" i="86"/>
  <c r="P39" i="86"/>
  <c r="O39" i="86"/>
  <c r="N39" i="86"/>
  <c r="M39" i="86"/>
  <c r="L39" i="86"/>
  <c r="K39" i="86"/>
  <c r="J39" i="86"/>
  <c r="I39" i="86"/>
  <c r="H39" i="86"/>
  <c r="G39" i="86"/>
  <c r="AH38" i="86"/>
  <c r="AG38" i="86"/>
  <c r="AF38" i="86"/>
  <c r="AE38" i="86"/>
  <c r="AD38" i="86"/>
  <c r="AC38" i="86"/>
  <c r="AB38" i="86"/>
  <c r="AA38" i="86"/>
  <c r="Z38" i="86"/>
  <c r="Y38" i="86"/>
  <c r="X38" i="86"/>
  <c r="W38" i="86"/>
  <c r="V38" i="86"/>
  <c r="U38" i="86"/>
  <c r="T38" i="86"/>
  <c r="S38" i="86"/>
  <c r="R38" i="86"/>
  <c r="Q38" i="86"/>
  <c r="P38" i="86"/>
  <c r="O38" i="86"/>
  <c r="N38" i="86"/>
  <c r="M38" i="86"/>
  <c r="L38" i="86"/>
  <c r="K38" i="86"/>
  <c r="J38" i="86"/>
  <c r="I38" i="86"/>
  <c r="H38" i="86"/>
  <c r="G38" i="86"/>
  <c r="AH37" i="86"/>
  <c r="AG37" i="86"/>
  <c r="AF37" i="86"/>
  <c r="AE37" i="86"/>
  <c r="AD37" i="86"/>
  <c r="AC37" i="86"/>
  <c r="AB37" i="86"/>
  <c r="AA37" i="86"/>
  <c r="Z37" i="86"/>
  <c r="Y37" i="86"/>
  <c r="X37" i="86"/>
  <c r="W37" i="86"/>
  <c r="V37" i="86"/>
  <c r="U37" i="86"/>
  <c r="T37" i="86"/>
  <c r="S37" i="86"/>
  <c r="R37" i="86"/>
  <c r="Q37" i="86"/>
  <c r="P37" i="86"/>
  <c r="O37" i="86"/>
  <c r="N37" i="86"/>
  <c r="M37" i="86"/>
  <c r="L37" i="86"/>
  <c r="K37" i="86"/>
  <c r="J37" i="86"/>
  <c r="I37" i="86"/>
  <c r="H37" i="86"/>
  <c r="G37" i="86"/>
  <c r="AH36" i="86"/>
  <c r="AG36" i="86"/>
  <c r="AF36" i="86"/>
  <c r="AE36" i="86"/>
  <c r="AD36" i="86"/>
  <c r="AC36" i="86"/>
  <c r="AB36" i="86"/>
  <c r="AA36" i="86"/>
  <c r="Z36" i="86"/>
  <c r="Y36" i="86"/>
  <c r="X36" i="86"/>
  <c r="W36" i="86"/>
  <c r="V36" i="86"/>
  <c r="U36" i="86"/>
  <c r="T36" i="86"/>
  <c r="S36" i="86"/>
  <c r="R36" i="86"/>
  <c r="Q36" i="86"/>
  <c r="P36" i="86"/>
  <c r="O36" i="86"/>
  <c r="N36" i="86"/>
  <c r="M36" i="86"/>
  <c r="L36" i="86"/>
  <c r="K36" i="86"/>
  <c r="J36" i="86"/>
  <c r="I36" i="86"/>
  <c r="H36" i="86"/>
  <c r="G36" i="86"/>
  <c r="AH35" i="86"/>
  <c r="AG35" i="86"/>
  <c r="AF35" i="86"/>
  <c r="AE35" i="86"/>
  <c r="AD35" i="86"/>
  <c r="AC35" i="86"/>
  <c r="AB35" i="86"/>
  <c r="AA35" i="86"/>
  <c r="Z35" i="86"/>
  <c r="Y35" i="86"/>
  <c r="X35" i="86"/>
  <c r="W35" i="86"/>
  <c r="V35" i="86"/>
  <c r="U35" i="86"/>
  <c r="T35" i="86"/>
  <c r="S35" i="86"/>
  <c r="R35" i="86"/>
  <c r="Q35" i="86"/>
  <c r="P35" i="86"/>
  <c r="O35" i="86"/>
  <c r="N35" i="86"/>
  <c r="M35" i="86"/>
  <c r="L35" i="86"/>
  <c r="K35" i="86"/>
  <c r="J35" i="86"/>
  <c r="I35" i="86"/>
  <c r="H35" i="86"/>
  <c r="G35" i="86"/>
  <c r="AH34" i="86"/>
  <c r="AG34" i="86"/>
  <c r="AF34" i="86"/>
  <c r="AE34" i="86"/>
  <c r="AD34" i="86"/>
  <c r="AC34" i="86"/>
  <c r="AB34" i="86"/>
  <c r="AA34" i="86"/>
  <c r="Z34" i="86"/>
  <c r="Y34" i="86"/>
  <c r="X34" i="86"/>
  <c r="W34" i="86"/>
  <c r="V34" i="86"/>
  <c r="U34" i="86"/>
  <c r="T34" i="86"/>
  <c r="S34" i="86"/>
  <c r="R34" i="86"/>
  <c r="Q34" i="86"/>
  <c r="P34" i="86"/>
  <c r="O34" i="86"/>
  <c r="N34" i="86"/>
  <c r="M34" i="86"/>
  <c r="L34" i="86"/>
  <c r="K34" i="86"/>
  <c r="J34" i="86"/>
  <c r="I34" i="86"/>
  <c r="H34" i="86"/>
  <c r="G34" i="86"/>
  <c r="AH33" i="86"/>
  <c r="AG33" i="86"/>
  <c r="AF33" i="86"/>
  <c r="AE33" i="86"/>
  <c r="AD33" i="86"/>
  <c r="AC33" i="86"/>
  <c r="AB33" i="86"/>
  <c r="AA33" i="86"/>
  <c r="Z33" i="86"/>
  <c r="Y33" i="86"/>
  <c r="X33" i="86"/>
  <c r="W33" i="86"/>
  <c r="V33" i="86"/>
  <c r="U33" i="86"/>
  <c r="T33" i="86"/>
  <c r="S33" i="86"/>
  <c r="R33" i="86"/>
  <c r="Q33" i="86"/>
  <c r="P33" i="86"/>
  <c r="O33" i="86"/>
  <c r="N33" i="86"/>
  <c r="M33" i="86"/>
  <c r="L33" i="86"/>
  <c r="K33" i="86"/>
  <c r="J33" i="86"/>
  <c r="I33" i="86"/>
  <c r="H33" i="86"/>
  <c r="G33" i="86"/>
  <c r="AH32" i="86"/>
  <c r="AG32" i="86"/>
  <c r="AF32" i="86"/>
  <c r="AE32" i="86"/>
  <c r="AD32" i="86"/>
  <c r="AC32" i="86"/>
  <c r="AB32" i="86"/>
  <c r="AA32" i="86"/>
  <c r="Z32" i="86"/>
  <c r="Y32" i="86"/>
  <c r="X32" i="86"/>
  <c r="W32" i="86"/>
  <c r="V32" i="86"/>
  <c r="U32" i="86"/>
  <c r="T32" i="86"/>
  <c r="S32" i="86"/>
  <c r="R32" i="86"/>
  <c r="Q32" i="86"/>
  <c r="P32" i="86"/>
  <c r="O32" i="86"/>
  <c r="N32" i="86"/>
  <c r="M32" i="86"/>
  <c r="L32" i="86"/>
  <c r="K32" i="86"/>
  <c r="J32" i="86"/>
  <c r="I32" i="86"/>
  <c r="H32" i="86"/>
  <c r="G32" i="86"/>
  <c r="AH31" i="86"/>
  <c r="AG31" i="86"/>
  <c r="AF31" i="86"/>
  <c r="AE31" i="86"/>
  <c r="AD31" i="86"/>
  <c r="AC31" i="86"/>
  <c r="AB31" i="86"/>
  <c r="AA31" i="86"/>
  <c r="Z31" i="86"/>
  <c r="Y31" i="86"/>
  <c r="X31" i="86"/>
  <c r="W31" i="86"/>
  <c r="V31" i="86"/>
  <c r="U31" i="86"/>
  <c r="T31" i="86"/>
  <c r="S31" i="86"/>
  <c r="R31" i="86"/>
  <c r="Q31" i="86"/>
  <c r="P31" i="86"/>
  <c r="O31" i="86"/>
  <c r="N31" i="86"/>
  <c r="M31" i="86"/>
  <c r="L31" i="86"/>
  <c r="K31" i="86"/>
  <c r="J31" i="86"/>
  <c r="I31" i="86"/>
  <c r="H31" i="86"/>
  <c r="G31" i="86"/>
  <c r="AH30" i="86"/>
  <c r="AG30" i="86"/>
  <c r="AF30" i="86"/>
  <c r="AE30" i="86"/>
  <c r="AD30" i="86"/>
  <c r="AC30" i="86"/>
  <c r="AB30" i="86"/>
  <c r="AA30" i="86"/>
  <c r="Z30" i="86"/>
  <c r="Y30" i="86"/>
  <c r="X30" i="86"/>
  <c r="W30" i="86"/>
  <c r="V30" i="86"/>
  <c r="U30" i="86"/>
  <c r="T30" i="86"/>
  <c r="S30" i="86"/>
  <c r="R30" i="86"/>
  <c r="Q30" i="86"/>
  <c r="P30" i="86"/>
  <c r="O30" i="86"/>
  <c r="N30" i="86"/>
  <c r="M30" i="86"/>
  <c r="L30" i="86"/>
  <c r="K30" i="86"/>
  <c r="J30" i="86"/>
  <c r="I30" i="86"/>
  <c r="H30" i="86"/>
  <c r="G30" i="86"/>
  <c r="AH29" i="86"/>
  <c r="AG29" i="86"/>
  <c r="AF29" i="86"/>
  <c r="AE29" i="86"/>
  <c r="AD29" i="86"/>
  <c r="AC29" i="86"/>
  <c r="AB29" i="86"/>
  <c r="AA29" i="86"/>
  <c r="Z29" i="86"/>
  <c r="Y29" i="86"/>
  <c r="X29" i="86"/>
  <c r="W29" i="86"/>
  <c r="V29" i="86"/>
  <c r="U29" i="86"/>
  <c r="T29" i="86"/>
  <c r="S29" i="86"/>
  <c r="R29" i="86"/>
  <c r="Q29" i="86"/>
  <c r="P29" i="86"/>
  <c r="O29" i="86"/>
  <c r="N29" i="86"/>
  <c r="M29" i="86"/>
  <c r="L29" i="86"/>
  <c r="K29" i="86"/>
  <c r="J29" i="86"/>
  <c r="I29" i="86"/>
  <c r="H29" i="86"/>
  <c r="G29" i="86"/>
  <c r="AH28" i="86"/>
  <c r="AG28" i="86"/>
  <c r="AF28" i="86"/>
  <c r="AE28" i="86"/>
  <c r="AD28" i="86"/>
  <c r="AC28" i="86"/>
  <c r="AB28" i="86"/>
  <c r="AA28" i="86"/>
  <c r="Z28" i="86"/>
  <c r="Y28" i="86"/>
  <c r="X28" i="86"/>
  <c r="W28" i="86"/>
  <c r="V28" i="86"/>
  <c r="U28" i="86"/>
  <c r="T28" i="86"/>
  <c r="S28" i="86"/>
  <c r="R28" i="86"/>
  <c r="Q28" i="86"/>
  <c r="P28" i="86"/>
  <c r="O28" i="86"/>
  <c r="N28" i="86"/>
  <c r="M28" i="86"/>
  <c r="L28" i="86"/>
  <c r="K28" i="86"/>
  <c r="J28" i="86"/>
  <c r="I28" i="86"/>
  <c r="H28" i="86"/>
  <c r="G28" i="86"/>
  <c r="AH27" i="86"/>
  <c r="AG27" i="86"/>
  <c r="AF27" i="86"/>
  <c r="AE27" i="86"/>
  <c r="AD27" i="86"/>
  <c r="AC27" i="86"/>
  <c r="AB27" i="86"/>
  <c r="AA27" i="86"/>
  <c r="Z27" i="86"/>
  <c r="Y27" i="86"/>
  <c r="X27" i="86"/>
  <c r="W27" i="86"/>
  <c r="V27" i="86"/>
  <c r="U27" i="86"/>
  <c r="T27" i="86"/>
  <c r="S27" i="86"/>
  <c r="R27" i="86"/>
  <c r="Q27" i="86"/>
  <c r="P27" i="86"/>
  <c r="O27" i="86"/>
  <c r="N27" i="86"/>
  <c r="M27" i="86"/>
  <c r="L27" i="86"/>
  <c r="K27" i="86"/>
  <c r="J27" i="86"/>
  <c r="I27" i="86"/>
  <c r="H27" i="86"/>
  <c r="G27" i="86"/>
  <c r="AH26" i="86"/>
  <c r="AG26" i="86"/>
  <c r="AF26" i="86"/>
  <c r="AE26" i="86"/>
  <c r="AD26" i="86"/>
  <c r="AC26" i="86"/>
  <c r="AB26" i="86"/>
  <c r="AA26" i="86"/>
  <c r="Z26" i="86"/>
  <c r="Y26" i="86"/>
  <c r="X26" i="86"/>
  <c r="W26" i="86"/>
  <c r="V26" i="86"/>
  <c r="U26" i="86"/>
  <c r="T26" i="86"/>
  <c r="S26" i="86"/>
  <c r="R26" i="86"/>
  <c r="Q26" i="86"/>
  <c r="P26" i="86"/>
  <c r="O26" i="86"/>
  <c r="N26" i="86"/>
  <c r="M26" i="86"/>
  <c r="L26" i="86"/>
  <c r="K26" i="86"/>
  <c r="J26" i="86"/>
  <c r="I26" i="86"/>
  <c r="H26" i="86"/>
  <c r="G26" i="86"/>
  <c r="AH25" i="86"/>
  <c r="AG25" i="86"/>
  <c r="AF25" i="86"/>
  <c r="AE25" i="86"/>
  <c r="AD25" i="86"/>
  <c r="AC25" i="86"/>
  <c r="AB25" i="86"/>
  <c r="AA25" i="86"/>
  <c r="Z25" i="86"/>
  <c r="Y25" i="86"/>
  <c r="X25" i="86"/>
  <c r="W25" i="86"/>
  <c r="V25" i="86"/>
  <c r="U25" i="86"/>
  <c r="T25" i="86"/>
  <c r="S25" i="86"/>
  <c r="R25" i="86"/>
  <c r="Q25" i="86"/>
  <c r="P25" i="86"/>
  <c r="O25" i="86"/>
  <c r="N25" i="86"/>
  <c r="M25" i="86"/>
  <c r="L25" i="86"/>
  <c r="K25" i="86"/>
  <c r="J25" i="86"/>
  <c r="I25" i="86"/>
  <c r="H25" i="86"/>
  <c r="G25" i="86"/>
  <c r="AH24" i="86"/>
  <c r="AG24" i="86"/>
  <c r="AF24" i="86"/>
  <c r="AE24" i="86"/>
  <c r="AD24" i="86"/>
  <c r="AC24" i="86"/>
  <c r="AB24" i="86"/>
  <c r="AA24" i="86"/>
  <c r="Z24" i="86"/>
  <c r="Y24" i="86"/>
  <c r="X24" i="86"/>
  <c r="W24" i="86"/>
  <c r="V24" i="86"/>
  <c r="U24" i="86"/>
  <c r="T24" i="86"/>
  <c r="S24" i="86"/>
  <c r="R24" i="86"/>
  <c r="Q24" i="86"/>
  <c r="P24" i="86"/>
  <c r="O24" i="86"/>
  <c r="N24" i="86"/>
  <c r="M24" i="86"/>
  <c r="L24" i="86"/>
  <c r="K24" i="86"/>
  <c r="J24" i="86"/>
  <c r="I24" i="86"/>
  <c r="H24" i="86"/>
  <c r="G24" i="86"/>
  <c r="E194" i="86"/>
  <c r="E195" i="86" s="1"/>
  <c r="E196" i="86" s="1"/>
  <c r="E197" i="86" s="1"/>
  <c r="E198" i="86" s="1"/>
  <c r="E199" i="86" s="1"/>
  <c r="E200" i="86" s="1"/>
  <c r="E201" i="86" s="1"/>
  <c r="E202" i="86" s="1"/>
  <c r="E203" i="86" s="1"/>
  <c r="E204" i="86" s="1"/>
  <c r="E205" i="86" s="1"/>
  <c r="D194" i="86"/>
  <c r="D195" i="86" s="1"/>
  <c r="D196" i="86" s="1"/>
  <c r="D197" i="86" s="1"/>
  <c r="D198" i="86" s="1"/>
  <c r="D199" i="86" s="1"/>
  <c r="D200" i="86" s="1"/>
  <c r="D201" i="86" s="1"/>
  <c r="D202" i="86" s="1"/>
  <c r="D203" i="86" s="1"/>
  <c r="D204" i="86" s="1"/>
  <c r="D205" i="86" s="1"/>
  <c r="E181" i="86"/>
  <c r="E182" i="86" s="1"/>
  <c r="E183" i="86" s="1"/>
  <c r="E184" i="86" s="1"/>
  <c r="E185" i="86" s="1"/>
  <c r="E186" i="86" s="1"/>
  <c r="E187" i="86" s="1"/>
  <c r="E188" i="86" s="1"/>
  <c r="E189" i="86" s="1"/>
  <c r="E190" i="86" s="1"/>
  <c r="E191" i="86" s="1"/>
  <c r="E192" i="86" s="1"/>
  <c r="D181" i="86"/>
  <c r="D182" i="86" s="1"/>
  <c r="D183" i="86" s="1"/>
  <c r="D184" i="86" s="1"/>
  <c r="D185" i="86" s="1"/>
  <c r="D186" i="86" s="1"/>
  <c r="D187" i="86" s="1"/>
  <c r="D188" i="86" s="1"/>
  <c r="D189" i="86" s="1"/>
  <c r="D190" i="86" s="1"/>
  <c r="D191" i="86" s="1"/>
  <c r="D192" i="86" s="1"/>
  <c r="E168" i="86"/>
  <c r="E169" i="86" s="1"/>
  <c r="E170" i="86" s="1"/>
  <c r="E171" i="86" s="1"/>
  <c r="E172" i="86" s="1"/>
  <c r="E173" i="86" s="1"/>
  <c r="E174" i="86" s="1"/>
  <c r="E175" i="86" s="1"/>
  <c r="E176" i="86" s="1"/>
  <c r="E177" i="86" s="1"/>
  <c r="E178" i="86" s="1"/>
  <c r="E179" i="86" s="1"/>
  <c r="D168" i="86"/>
  <c r="D169" i="86" s="1"/>
  <c r="D170" i="86" s="1"/>
  <c r="D171" i="86" s="1"/>
  <c r="D172" i="86" s="1"/>
  <c r="D173" i="86" s="1"/>
  <c r="D174" i="86" s="1"/>
  <c r="D175" i="86" s="1"/>
  <c r="D176" i="86" s="1"/>
  <c r="D177" i="86" s="1"/>
  <c r="D178" i="86" s="1"/>
  <c r="D179" i="86" s="1"/>
  <c r="E155" i="86"/>
  <c r="E156" i="86" s="1"/>
  <c r="E157" i="86" s="1"/>
  <c r="E158" i="86" s="1"/>
  <c r="E159" i="86" s="1"/>
  <c r="E160" i="86" s="1"/>
  <c r="E161" i="86" s="1"/>
  <c r="E162" i="86" s="1"/>
  <c r="E163" i="86" s="1"/>
  <c r="E164" i="86" s="1"/>
  <c r="E165" i="86" s="1"/>
  <c r="E166" i="86" s="1"/>
  <c r="D155" i="86"/>
  <c r="D156" i="86" s="1"/>
  <c r="D157" i="86" s="1"/>
  <c r="D158" i="86" s="1"/>
  <c r="D159" i="86" s="1"/>
  <c r="D160" i="86" s="1"/>
  <c r="D161" i="86" s="1"/>
  <c r="D162" i="86" s="1"/>
  <c r="D163" i="86" s="1"/>
  <c r="D164" i="86" s="1"/>
  <c r="D165" i="86" s="1"/>
  <c r="D166" i="86" s="1"/>
  <c r="E142" i="86"/>
  <c r="E143" i="86" s="1"/>
  <c r="E144" i="86" s="1"/>
  <c r="E145" i="86" s="1"/>
  <c r="E146" i="86" s="1"/>
  <c r="E147" i="86" s="1"/>
  <c r="E148" i="86" s="1"/>
  <c r="E149" i="86" s="1"/>
  <c r="E150" i="86" s="1"/>
  <c r="E151" i="86" s="1"/>
  <c r="E152" i="86" s="1"/>
  <c r="E153" i="86" s="1"/>
  <c r="D142" i="86"/>
  <c r="D143" i="86" s="1"/>
  <c r="D144" i="86" s="1"/>
  <c r="D145" i="86" s="1"/>
  <c r="D146" i="86" s="1"/>
  <c r="D147" i="86" s="1"/>
  <c r="D148" i="86" s="1"/>
  <c r="D149" i="86" s="1"/>
  <c r="D150" i="86" s="1"/>
  <c r="D151" i="86" s="1"/>
  <c r="D152" i="86" s="1"/>
  <c r="D153" i="86" s="1"/>
  <c r="E129" i="86"/>
  <c r="E130" i="86" s="1"/>
  <c r="E131" i="86" s="1"/>
  <c r="E132" i="86" s="1"/>
  <c r="E133" i="86" s="1"/>
  <c r="E134" i="86" s="1"/>
  <c r="E135" i="86" s="1"/>
  <c r="E136" i="86" s="1"/>
  <c r="E137" i="86" s="1"/>
  <c r="E138" i="86" s="1"/>
  <c r="E139" i="86" s="1"/>
  <c r="E140" i="86" s="1"/>
  <c r="D129" i="86"/>
  <c r="D130" i="86" s="1"/>
  <c r="D131" i="86" s="1"/>
  <c r="D132" i="86" s="1"/>
  <c r="D133" i="86" s="1"/>
  <c r="D134" i="86" s="1"/>
  <c r="D135" i="86" s="1"/>
  <c r="D136" i="86" s="1"/>
  <c r="D137" i="86" s="1"/>
  <c r="D138" i="86" s="1"/>
  <c r="D139" i="86" s="1"/>
  <c r="D140" i="86" s="1"/>
  <c r="E116" i="86"/>
  <c r="E117" i="86" s="1"/>
  <c r="E118" i="86" s="1"/>
  <c r="E119" i="86" s="1"/>
  <c r="E120" i="86" s="1"/>
  <c r="E121" i="86" s="1"/>
  <c r="E122" i="86" s="1"/>
  <c r="E123" i="86" s="1"/>
  <c r="E124" i="86" s="1"/>
  <c r="E125" i="86" s="1"/>
  <c r="E126" i="86" s="1"/>
  <c r="E127" i="86" s="1"/>
  <c r="D116" i="86"/>
  <c r="D117" i="86" s="1"/>
  <c r="D118" i="86" s="1"/>
  <c r="D119" i="86" s="1"/>
  <c r="D120" i="86" s="1"/>
  <c r="D121" i="86" s="1"/>
  <c r="D122" i="86" s="1"/>
  <c r="D123" i="86" s="1"/>
  <c r="D124" i="86" s="1"/>
  <c r="D125" i="86" s="1"/>
  <c r="D126" i="86" s="1"/>
  <c r="D127" i="86" s="1"/>
  <c r="E103" i="86"/>
  <c r="E104" i="86" s="1"/>
  <c r="E105" i="86" s="1"/>
  <c r="E106" i="86" s="1"/>
  <c r="E107" i="86" s="1"/>
  <c r="E108" i="86" s="1"/>
  <c r="E109" i="86" s="1"/>
  <c r="E110" i="86" s="1"/>
  <c r="E111" i="86" s="1"/>
  <c r="E112" i="86" s="1"/>
  <c r="E113" i="86" s="1"/>
  <c r="E114" i="86" s="1"/>
  <c r="D103" i="86"/>
  <c r="D104" i="86" s="1"/>
  <c r="D105" i="86" s="1"/>
  <c r="D106" i="86" s="1"/>
  <c r="D107" i="86" s="1"/>
  <c r="D108" i="86" s="1"/>
  <c r="D109" i="86" s="1"/>
  <c r="D110" i="86" s="1"/>
  <c r="D111" i="86" s="1"/>
  <c r="D112" i="86" s="1"/>
  <c r="D113" i="86" s="1"/>
  <c r="D114" i="86" s="1"/>
  <c r="E90" i="86"/>
  <c r="E91" i="86" s="1"/>
  <c r="E92" i="86" s="1"/>
  <c r="E93" i="86" s="1"/>
  <c r="E94" i="86" s="1"/>
  <c r="E95" i="86" s="1"/>
  <c r="E96" i="86" s="1"/>
  <c r="E97" i="86" s="1"/>
  <c r="E98" i="86" s="1"/>
  <c r="E99" i="86" s="1"/>
  <c r="E100" i="86" s="1"/>
  <c r="E101" i="86" s="1"/>
  <c r="D90" i="86"/>
  <c r="D91" i="86" s="1"/>
  <c r="D92" i="86" s="1"/>
  <c r="D93" i="86" s="1"/>
  <c r="D94" i="86" s="1"/>
  <c r="D95" i="86" s="1"/>
  <c r="D96" i="86" s="1"/>
  <c r="D97" i="86" s="1"/>
  <c r="D98" i="86" s="1"/>
  <c r="D99" i="86" s="1"/>
  <c r="D100" i="86" s="1"/>
  <c r="D101" i="86" s="1"/>
  <c r="E77" i="86"/>
  <c r="E78" i="86" s="1"/>
  <c r="E79" i="86" s="1"/>
  <c r="E80" i="86" s="1"/>
  <c r="E81" i="86" s="1"/>
  <c r="E82" i="86" s="1"/>
  <c r="E83" i="86" s="1"/>
  <c r="E84" i="86" s="1"/>
  <c r="E85" i="86" s="1"/>
  <c r="E86" i="86" s="1"/>
  <c r="E87" i="86" s="1"/>
  <c r="E88" i="86" s="1"/>
  <c r="D77" i="86"/>
  <c r="D78" i="86" s="1"/>
  <c r="D79" i="86" s="1"/>
  <c r="D80" i="86" s="1"/>
  <c r="D81" i="86" s="1"/>
  <c r="D82" i="86" s="1"/>
  <c r="D83" i="86" s="1"/>
  <c r="D84" i="86" s="1"/>
  <c r="D85" i="86" s="1"/>
  <c r="D86" i="86" s="1"/>
  <c r="D87" i="86" s="1"/>
  <c r="D88" i="86" s="1"/>
  <c r="E64" i="86"/>
  <c r="E65" i="86" s="1"/>
  <c r="E66" i="86" s="1"/>
  <c r="E67" i="86" s="1"/>
  <c r="E68" i="86" s="1"/>
  <c r="E69" i="86" s="1"/>
  <c r="E70" i="86" s="1"/>
  <c r="E71" i="86" s="1"/>
  <c r="E72" i="86" s="1"/>
  <c r="E73" i="86" s="1"/>
  <c r="E74" i="86" s="1"/>
  <c r="E75" i="86" s="1"/>
  <c r="D64" i="86"/>
  <c r="D65" i="86" s="1"/>
  <c r="D66" i="86" s="1"/>
  <c r="D67" i="86" s="1"/>
  <c r="D68" i="86" s="1"/>
  <c r="D69" i="86" s="1"/>
  <c r="D70" i="86" s="1"/>
  <c r="D71" i="86" s="1"/>
  <c r="D72" i="86" s="1"/>
  <c r="D73" i="86" s="1"/>
  <c r="D74" i="86" s="1"/>
  <c r="D75" i="86" s="1"/>
  <c r="E51" i="86"/>
  <c r="E52" i="86" s="1"/>
  <c r="E53" i="86" s="1"/>
  <c r="E54" i="86" s="1"/>
  <c r="E55" i="86" s="1"/>
  <c r="E56" i="86" s="1"/>
  <c r="E57" i="86" s="1"/>
  <c r="E58" i="86" s="1"/>
  <c r="E59" i="86" s="1"/>
  <c r="E60" i="86" s="1"/>
  <c r="E61" i="86" s="1"/>
  <c r="E62" i="86" s="1"/>
  <c r="D51" i="86"/>
  <c r="D52" i="86" s="1"/>
  <c r="D53" i="86" s="1"/>
  <c r="D54" i="86" s="1"/>
  <c r="D55" i="86" s="1"/>
  <c r="D56" i="86" s="1"/>
  <c r="D57" i="86" s="1"/>
  <c r="D58" i="86" s="1"/>
  <c r="D59" i="86" s="1"/>
  <c r="D60" i="86" s="1"/>
  <c r="D61" i="86" s="1"/>
  <c r="D62" i="86" s="1"/>
  <c r="E38" i="86"/>
  <c r="E39" i="86" s="1"/>
  <c r="E40" i="86" s="1"/>
  <c r="E41" i="86" s="1"/>
  <c r="E42" i="86" s="1"/>
  <c r="E43" i="86" s="1"/>
  <c r="E44" i="86" s="1"/>
  <c r="E45" i="86" s="1"/>
  <c r="E46" i="86" s="1"/>
  <c r="E47" i="86" s="1"/>
  <c r="E48" i="86" s="1"/>
  <c r="E49" i="86" s="1"/>
  <c r="D38" i="86"/>
  <c r="D39" i="86" s="1"/>
  <c r="D40" i="86" s="1"/>
  <c r="D41" i="86" s="1"/>
  <c r="D42" i="86" s="1"/>
  <c r="D43" i="86" s="1"/>
  <c r="D44" i="86" s="1"/>
  <c r="D45" i="86" s="1"/>
  <c r="D46" i="86" s="1"/>
  <c r="D47" i="86" s="1"/>
  <c r="D48" i="86" s="1"/>
  <c r="D49" i="86" s="1"/>
  <c r="E25" i="86"/>
  <c r="E26" i="86" s="1"/>
  <c r="E27" i="86" s="1"/>
  <c r="E28" i="86" s="1"/>
  <c r="E29" i="86" s="1"/>
  <c r="E30" i="86" s="1"/>
  <c r="E31" i="86" s="1"/>
  <c r="E32" i="86" s="1"/>
  <c r="E33" i="86" s="1"/>
  <c r="E34" i="86" s="1"/>
  <c r="E35" i="86" s="1"/>
  <c r="E36" i="86" s="1"/>
  <c r="D25" i="86"/>
  <c r="D26" i="86" s="1"/>
  <c r="D27" i="86" s="1"/>
  <c r="D28" i="86" s="1"/>
  <c r="D29" i="86" s="1"/>
  <c r="D30" i="86" s="1"/>
  <c r="D31" i="86" s="1"/>
  <c r="D32" i="86" s="1"/>
  <c r="D33" i="86" s="1"/>
  <c r="D34" i="86" s="1"/>
  <c r="D35" i="86" s="1"/>
  <c r="D36" i="86" s="1"/>
  <c r="H12" i="86"/>
  <c r="I12" i="86"/>
  <c r="J12" i="86"/>
  <c r="K12" i="86"/>
  <c r="L12" i="86"/>
  <c r="M12" i="86"/>
  <c r="N12" i="86"/>
  <c r="O12" i="86"/>
  <c r="P12" i="86"/>
  <c r="Q12" i="86"/>
  <c r="R12" i="86"/>
  <c r="S12" i="86"/>
  <c r="T12" i="86"/>
  <c r="U12" i="86"/>
  <c r="V12" i="86"/>
  <c r="W12" i="86"/>
  <c r="X12" i="86"/>
  <c r="Y12" i="86"/>
  <c r="Z12" i="86"/>
  <c r="AA12" i="86"/>
  <c r="AB12" i="86"/>
  <c r="AC12" i="86"/>
  <c r="AD12" i="86"/>
  <c r="AE12" i="86"/>
  <c r="AF12" i="86"/>
  <c r="AG12" i="86"/>
  <c r="AH12" i="86"/>
  <c r="H13" i="86"/>
  <c r="I13" i="86"/>
  <c r="J13" i="86"/>
  <c r="K13" i="86"/>
  <c r="L13" i="86"/>
  <c r="M13" i="86"/>
  <c r="N13" i="86"/>
  <c r="O13" i="86"/>
  <c r="P13" i="86"/>
  <c r="Q13" i="86"/>
  <c r="R13" i="86"/>
  <c r="S13" i="86"/>
  <c r="T13" i="86"/>
  <c r="U13" i="86"/>
  <c r="V13" i="86"/>
  <c r="W13" i="86"/>
  <c r="X13" i="86"/>
  <c r="Y13" i="86"/>
  <c r="Z13" i="86"/>
  <c r="AA13" i="86"/>
  <c r="AB13" i="86"/>
  <c r="AC13" i="86"/>
  <c r="AD13" i="86"/>
  <c r="AE13" i="86"/>
  <c r="AF13" i="86"/>
  <c r="AG13" i="86"/>
  <c r="AH13" i="86"/>
  <c r="H14" i="86"/>
  <c r="I14" i="86"/>
  <c r="J14" i="86"/>
  <c r="K14" i="86"/>
  <c r="L14" i="86"/>
  <c r="M14" i="86"/>
  <c r="N14" i="86"/>
  <c r="O14" i="86"/>
  <c r="P14" i="86"/>
  <c r="Q14" i="86"/>
  <c r="R14" i="86"/>
  <c r="S14" i="86"/>
  <c r="T14" i="86"/>
  <c r="U14" i="86"/>
  <c r="V14" i="86"/>
  <c r="W14" i="86"/>
  <c r="X14" i="86"/>
  <c r="Y14" i="86"/>
  <c r="Z14" i="86"/>
  <c r="AA14" i="86"/>
  <c r="AB14" i="86"/>
  <c r="AC14" i="86"/>
  <c r="AD14" i="86"/>
  <c r="AE14" i="86"/>
  <c r="AF14" i="86"/>
  <c r="AG14" i="86"/>
  <c r="AH14" i="86"/>
  <c r="H15" i="86"/>
  <c r="I15" i="86"/>
  <c r="J15" i="86"/>
  <c r="K15" i="86"/>
  <c r="L15" i="86"/>
  <c r="M15" i="86"/>
  <c r="N15" i="86"/>
  <c r="O15" i="86"/>
  <c r="P15" i="86"/>
  <c r="Q15" i="86"/>
  <c r="R15" i="86"/>
  <c r="S15" i="86"/>
  <c r="T15" i="86"/>
  <c r="U15" i="86"/>
  <c r="V15" i="86"/>
  <c r="W15" i="86"/>
  <c r="X15" i="86"/>
  <c r="Y15" i="86"/>
  <c r="Z15" i="86"/>
  <c r="AA15" i="86"/>
  <c r="AB15" i="86"/>
  <c r="AC15" i="86"/>
  <c r="AD15" i="86"/>
  <c r="AE15" i="86"/>
  <c r="AF15" i="86"/>
  <c r="AG15" i="86"/>
  <c r="AH15" i="86"/>
  <c r="H16" i="86"/>
  <c r="I16" i="86"/>
  <c r="J16" i="86"/>
  <c r="K16" i="86"/>
  <c r="L16" i="86"/>
  <c r="M16" i="86"/>
  <c r="N16" i="86"/>
  <c r="O16" i="86"/>
  <c r="P16" i="86"/>
  <c r="Q16" i="86"/>
  <c r="R16" i="86"/>
  <c r="S16" i="86"/>
  <c r="T16" i="86"/>
  <c r="U16" i="86"/>
  <c r="V16" i="86"/>
  <c r="W16" i="86"/>
  <c r="X16" i="86"/>
  <c r="Y16" i="86"/>
  <c r="Z16" i="86"/>
  <c r="AA16" i="86"/>
  <c r="AB16" i="86"/>
  <c r="AC16" i="86"/>
  <c r="AD16" i="86"/>
  <c r="AE16" i="86"/>
  <c r="AF16" i="86"/>
  <c r="AG16" i="86"/>
  <c r="AH16" i="86"/>
  <c r="H17" i="86"/>
  <c r="I17" i="86"/>
  <c r="J17" i="86"/>
  <c r="K17" i="86"/>
  <c r="L17" i="86"/>
  <c r="M17" i="86"/>
  <c r="N17" i="86"/>
  <c r="O17" i="86"/>
  <c r="P17" i="86"/>
  <c r="Q17" i="86"/>
  <c r="R17" i="86"/>
  <c r="S17" i="86"/>
  <c r="T17" i="86"/>
  <c r="U17" i="86"/>
  <c r="V17" i="86"/>
  <c r="W17" i="86"/>
  <c r="X17" i="86"/>
  <c r="Y17" i="86"/>
  <c r="Z17" i="86"/>
  <c r="AA17" i="86"/>
  <c r="AB17" i="86"/>
  <c r="AC17" i="86"/>
  <c r="AD17" i="86"/>
  <c r="AE17" i="86"/>
  <c r="AF17" i="86"/>
  <c r="AG17" i="86"/>
  <c r="AH17" i="86"/>
  <c r="H18" i="86"/>
  <c r="I18" i="86"/>
  <c r="J18" i="86"/>
  <c r="K18" i="86"/>
  <c r="L18" i="86"/>
  <c r="M18" i="86"/>
  <c r="N18" i="86"/>
  <c r="O18" i="86"/>
  <c r="P18" i="86"/>
  <c r="Q18" i="86"/>
  <c r="R18" i="86"/>
  <c r="S18" i="86"/>
  <c r="T18" i="86"/>
  <c r="U18" i="86"/>
  <c r="V18" i="86"/>
  <c r="W18" i="86"/>
  <c r="X18" i="86"/>
  <c r="Y18" i="86"/>
  <c r="Z18" i="86"/>
  <c r="AA18" i="86"/>
  <c r="AB18" i="86"/>
  <c r="AC18" i="86"/>
  <c r="AD18" i="86"/>
  <c r="AE18" i="86"/>
  <c r="AF18" i="86"/>
  <c r="AG18" i="86"/>
  <c r="AH18" i="86"/>
  <c r="H19" i="86"/>
  <c r="I19" i="86"/>
  <c r="J19" i="86"/>
  <c r="K19" i="86"/>
  <c r="L19" i="86"/>
  <c r="M19" i="86"/>
  <c r="N19" i="86"/>
  <c r="O19" i="86"/>
  <c r="P19" i="86"/>
  <c r="Q19" i="86"/>
  <c r="R19" i="86"/>
  <c r="S19" i="86"/>
  <c r="T19" i="86"/>
  <c r="U19" i="86"/>
  <c r="V19" i="86"/>
  <c r="W19" i="86"/>
  <c r="X19" i="86"/>
  <c r="Y19" i="86"/>
  <c r="Z19" i="86"/>
  <c r="AA19" i="86"/>
  <c r="AB19" i="86"/>
  <c r="AC19" i="86"/>
  <c r="AD19" i="86"/>
  <c r="AE19" i="86"/>
  <c r="AF19" i="86"/>
  <c r="AG19" i="86"/>
  <c r="AH19" i="86"/>
  <c r="H20" i="86"/>
  <c r="I20" i="86"/>
  <c r="J20" i="86"/>
  <c r="K20" i="86"/>
  <c r="L20" i="86"/>
  <c r="M20" i="86"/>
  <c r="N20" i="86"/>
  <c r="O20" i="86"/>
  <c r="P20" i="86"/>
  <c r="Q20" i="86"/>
  <c r="R20" i="86"/>
  <c r="S20" i="86"/>
  <c r="T20" i="86"/>
  <c r="U20" i="86"/>
  <c r="V20" i="86"/>
  <c r="W20" i="86"/>
  <c r="X20" i="86"/>
  <c r="Y20" i="86"/>
  <c r="Z20" i="86"/>
  <c r="AA20" i="86"/>
  <c r="AB20" i="86"/>
  <c r="AC20" i="86"/>
  <c r="AD20" i="86"/>
  <c r="AE20" i="86"/>
  <c r="AF20" i="86"/>
  <c r="AG20" i="86"/>
  <c r="AH20" i="86"/>
  <c r="H21" i="86"/>
  <c r="I21" i="86"/>
  <c r="J21" i="86"/>
  <c r="K21" i="86"/>
  <c r="L21" i="86"/>
  <c r="M21" i="86"/>
  <c r="N21" i="86"/>
  <c r="O21" i="86"/>
  <c r="P21" i="86"/>
  <c r="Q21" i="86"/>
  <c r="R21" i="86"/>
  <c r="S21" i="86"/>
  <c r="T21" i="86"/>
  <c r="U21" i="86"/>
  <c r="V21" i="86"/>
  <c r="W21" i="86"/>
  <c r="X21" i="86"/>
  <c r="Y21" i="86"/>
  <c r="Z21" i="86"/>
  <c r="AA21" i="86"/>
  <c r="AB21" i="86"/>
  <c r="AC21" i="86"/>
  <c r="AD21" i="86"/>
  <c r="AE21" i="86"/>
  <c r="AF21" i="86"/>
  <c r="AG21" i="86"/>
  <c r="AH21" i="86"/>
  <c r="H22" i="86"/>
  <c r="I22" i="86"/>
  <c r="J22" i="86"/>
  <c r="K22" i="86"/>
  <c r="L22" i="86"/>
  <c r="M22" i="86"/>
  <c r="N22" i="86"/>
  <c r="O22" i="86"/>
  <c r="P22" i="86"/>
  <c r="Q22" i="86"/>
  <c r="R22" i="86"/>
  <c r="S22" i="86"/>
  <c r="T22" i="86"/>
  <c r="U22" i="86"/>
  <c r="V22" i="86"/>
  <c r="W22" i="86"/>
  <c r="X22" i="86"/>
  <c r="Y22" i="86"/>
  <c r="Z22" i="86"/>
  <c r="AA22" i="86"/>
  <c r="AB22" i="86"/>
  <c r="AC22" i="86"/>
  <c r="AD22" i="86"/>
  <c r="AE22" i="86"/>
  <c r="AF22" i="86"/>
  <c r="AG22" i="86"/>
  <c r="AH22" i="86"/>
  <c r="H23" i="86"/>
  <c r="I23" i="86"/>
  <c r="J23" i="86"/>
  <c r="K23" i="86"/>
  <c r="L23" i="86"/>
  <c r="M23" i="86"/>
  <c r="N23" i="86"/>
  <c r="O23" i="86"/>
  <c r="P23" i="86"/>
  <c r="Q23" i="86"/>
  <c r="R23" i="86"/>
  <c r="S23" i="86"/>
  <c r="T23" i="86"/>
  <c r="U23" i="86"/>
  <c r="V23" i="86"/>
  <c r="W23" i="86"/>
  <c r="X23" i="86"/>
  <c r="Y23" i="86"/>
  <c r="Z23" i="86"/>
  <c r="AA23" i="86"/>
  <c r="AB23" i="86"/>
  <c r="AC23" i="86"/>
  <c r="AD23" i="86"/>
  <c r="AE23" i="86"/>
  <c r="AF23" i="86"/>
  <c r="AG23" i="86"/>
  <c r="AH23" i="86"/>
  <c r="D12" i="86"/>
  <c r="D13" i="86" s="1"/>
  <c r="D14" i="86" s="1"/>
  <c r="D15" i="86" s="1"/>
  <c r="D16" i="86" s="1"/>
  <c r="D17" i="86" s="1"/>
  <c r="D18" i="86" s="1"/>
  <c r="D19" i="86" s="1"/>
  <c r="D20" i="86" s="1"/>
  <c r="D21" i="86" s="1"/>
  <c r="D22" i="86" s="1"/>
  <c r="D23" i="86" s="1"/>
  <c r="E12" i="86"/>
  <c r="E13" i="86" s="1"/>
  <c r="E14" i="86" s="1"/>
  <c r="E15" i="86" s="1"/>
  <c r="E16" i="86" s="1"/>
  <c r="E17" i="86" s="1"/>
  <c r="E18" i="86" s="1"/>
  <c r="E19" i="86" s="1"/>
  <c r="E20" i="86" s="1"/>
  <c r="E21" i="86" s="1"/>
  <c r="E22" i="86" s="1"/>
  <c r="E23" i="86" s="1"/>
  <c r="G12" i="86"/>
  <c r="G13" i="86"/>
  <c r="G14" i="86"/>
  <c r="G15" i="86"/>
  <c r="G16" i="86"/>
  <c r="G17" i="86"/>
  <c r="G18" i="86"/>
  <c r="G19" i="86"/>
  <c r="G20" i="86"/>
  <c r="G21" i="86"/>
  <c r="G22" i="86"/>
  <c r="G23" i="86"/>
  <c r="G11" i="86"/>
  <c r="C49" i="89" l="1"/>
  <c r="C28" i="89"/>
  <c r="C8" i="89"/>
  <c r="E4" i="95"/>
  <c r="C3" i="95"/>
  <c r="E3" i="95"/>
  <c r="B3" i="95"/>
  <c r="B119" i="8"/>
  <c r="B116" i="8"/>
  <c r="B107" i="8"/>
  <c r="E9" i="93"/>
  <c r="C46" i="89" s="1"/>
  <c r="C38" i="89"/>
  <c r="C39" i="89" s="1"/>
  <c r="C37" i="89"/>
  <c r="D10" i="93"/>
  <c r="D11" i="93"/>
  <c r="D9" i="93"/>
  <c r="C4" i="92"/>
  <c r="S60" i="87" l="1"/>
  <c r="AK60" i="87"/>
  <c r="Q60" i="87"/>
  <c r="AL60" i="87"/>
  <c r="R60" i="87"/>
  <c r="AJ60" i="87"/>
  <c r="P60" i="87"/>
  <c r="AI60" i="87"/>
  <c r="O60" i="87"/>
  <c r="AH60" i="87"/>
  <c r="N60" i="87"/>
  <c r="AG60" i="87"/>
  <c r="M60" i="87"/>
  <c r="AF60" i="87"/>
  <c r="L60" i="87"/>
  <c r="AE60" i="87"/>
  <c r="K60" i="87"/>
  <c r="AD60" i="87"/>
  <c r="AC60" i="87"/>
  <c r="AB60" i="87"/>
  <c r="AA60" i="87"/>
  <c r="Z60" i="87"/>
  <c r="Y60" i="87"/>
  <c r="T60" i="87"/>
  <c r="X60" i="87"/>
  <c r="W60" i="87"/>
  <c r="U60" i="87"/>
  <c r="V60" i="87"/>
  <c r="AL25" i="87"/>
  <c r="R25" i="87"/>
  <c r="AJ25" i="87"/>
  <c r="P25" i="87"/>
  <c r="AK25" i="87"/>
  <c r="Q25" i="87"/>
  <c r="AI25" i="87"/>
  <c r="O25" i="87"/>
  <c r="AH25" i="87"/>
  <c r="N25" i="87"/>
  <c r="AG25" i="87"/>
  <c r="M25" i="87"/>
  <c r="AF25" i="87"/>
  <c r="L25" i="87"/>
  <c r="AE25" i="87"/>
  <c r="K25" i="87"/>
  <c r="AD25" i="87"/>
  <c r="AC25" i="87"/>
  <c r="AB25" i="87"/>
  <c r="AA25" i="87"/>
  <c r="Z25" i="87"/>
  <c r="Y25" i="87"/>
  <c r="X25" i="87"/>
  <c r="T25" i="87"/>
  <c r="W25" i="87"/>
  <c r="S25" i="87"/>
  <c r="V25" i="87"/>
  <c r="U25" i="87"/>
  <c r="AE91" i="87"/>
  <c r="K91" i="87"/>
  <c r="AC91" i="87"/>
  <c r="AD91" i="87"/>
  <c r="AB91" i="87"/>
  <c r="AA91" i="87"/>
  <c r="Z91" i="87"/>
  <c r="Y91" i="87"/>
  <c r="X91" i="87"/>
  <c r="W91" i="87"/>
  <c r="V91" i="87"/>
  <c r="U91" i="87"/>
  <c r="T91" i="87"/>
  <c r="S91" i="87"/>
  <c r="AL91" i="87"/>
  <c r="R91" i="87"/>
  <c r="AK91" i="87"/>
  <c r="Q91" i="87"/>
  <c r="M91" i="87"/>
  <c r="L91" i="87"/>
  <c r="AJ91" i="87"/>
  <c r="P91" i="87"/>
  <c r="AI91" i="87"/>
  <c r="O91" i="87"/>
  <c r="AG91" i="87"/>
  <c r="AF91" i="87"/>
  <c r="AH91" i="87"/>
  <c r="N91" i="87"/>
  <c r="C43" i="89"/>
  <c r="C40" i="89"/>
  <c r="C45" i="89" s="1"/>
  <c r="C44" i="89"/>
  <c r="AA100" i="87" l="1"/>
  <c r="AD100" i="87"/>
  <c r="AB100" i="87"/>
  <c r="AC100" i="87"/>
  <c r="AE100" i="87"/>
  <c r="AH100" i="87"/>
  <c r="O100" i="87"/>
  <c r="L100" i="87"/>
  <c r="AF100" i="87"/>
  <c r="AJ100" i="87"/>
  <c r="M100" i="87"/>
  <c r="AG100" i="87"/>
  <c r="AI100" i="87"/>
  <c r="N100" i="87"/>
  <c r="Q100" i="87"/>
  <c r="AK100" i="87"/>
  <c r="R100" i="87"/>
  <c r="AL100" i="87"/>
  <c r="P100" i="87"/>
  <c r="S100" i="87"/>
  <c r="K100" i="87"/>
  <c r="T100" i="87"/>
  <c r="U100" i="87"/>
  <c r="V100" i="87"/>
  <c r="W100" i="87"/>
  <c r="X100" i="87"/>
  <c r="Y100" i="87"/>
  <c r="Z100" i="87"/>
  <c r="X105" i="87"/>
  <c r="X106" i="87" s="1"/>
  <c r="V105" i="87"/>
  <c r="V106" i="87" s="1"/>
  <c r="W105" i="87"/>
  <c r="W106" i="87" s="1"/>
  <c r="U105" i="87"/>
  <c r="U106" i="87" s="1"/>
  <c r="T105" i="87"/>
  <c r="T106" i="87" s="1"/>
  <c r="S105" i="87"/>
  <c r="S106" i="87" s="1"/>
  <c r="AL105" i="87"/>
  <c r="AL106" i="87" s="1"/>
  <c r="R105" i="87"/>
  <c r="R106" i="87" s="1"/>
  <c r="AK105" i="87"/>
  <c r="AK106" i="87" s="1"/>
  <c r="Q105" i="87"/>
  <c r="Q106" i="87" s="1"/>
  <c r="AJ105" i="87"/>
  <c r="AJ106" i="87" s="1"/>
  <c r="P105" i="87"/>
  <c r="P106" i="87" s="1"/>
  <c r="AI105" i="87"/>
  <c r="AI106" i="87" s="1"/>
  <c r="O105" i="87"/>
  <c r="O106" i="87" s="1"/>
  <c r="AH105" i="87"/>
  <c r="AH106" i="87" s="1"/>
  <c r="N105" i="87"/>
  <c r="N106" i="87" s="1"/>
  <c r="AG105" i="87"/>
  <c r="AG106" i="87" s="1"/>
  <c r="M105" i="87"/>
  <c r="M106" i="87" s="1"/>
  <c r="AF105" i="87"/>
  <c r="AF106" i="87" s="1"/>
  <c r="L105" i="87"/>
  <c r="L106" i="87" s="1"/>
  <c r="AE105" i="87"/>
  <c r="AE106" i="87" s="1"/>
  <c r="K105" i="87"/>
  <c r="K106" i="87" s="1"/>
  <c r="AD105" i="87"/>
  <c r="AD106" i="87" s="1"/>
  <c r="AC105" i="87"/>
  <c r="AC106" i="87" s="1"/>
  <c r="Z105" i="87"/>
  <c r="Z106" i="87" s="1"/>
  <c r="Y105" i="87"/>
  <c r="Y106" i="87" s="1"/>
  <c r="AB105" i="87"/>
  <c r="AB106" i="87" s="1"/>
  <c r="AA105" i="87"/>
  <c r="AA106" i="87" s="1"/>
  <c r="C42" i="89"/>
  <c r="C41" i="89"/>
  <c r="AA103" i="87" l="1"/>
  <c r="Q89" i="87"/>
  <c r="AK89" i="87"/>
  <c r="AL103" i="87"/>
  <c r="S103" i="87"/>
  <c r="T103" i="87"/>
  <c r="K89" i="87"/>
  <c r="AD89" i="87"/>
  <c r="AE89" i="87"/>
  <c r="AF89" i="87"/>
  <c r="AB103" i="87"/>
  <c r="R89" i="87"/>
  <c r="AL89" i="87"/>
  <c r="T89" i="87"/>
  <c r="X89" i="87"/>
  <c r="O103" i="87"/>
  <c r="Y89" i="87"/>
  <c r="P103" i="87"/>
  <c r="K103" i="87"/>
  <c r="O89" i="87"/>
  <c r="Z103" i="87"/>
  <c r="P89" i="87"/>
  <c r="AJ89" i="87"/>
  <c r="AC103" i="87"/>
  <c r="S89" i="87"/>
  <c r="U89" i="87"/>
  <c r="AA89" i="87"/>
  <c r="R103" i="87"/>
  <c r="AB89" i="87"/>
  <c r="U103" i="87"/>
  <c r="X103" i="87"/>
  <c r="AH89" i="87"/>
  <c r="Y103" i="87"/>
  <c r="AD103" i="87"/>
  <c r="AE103" i="87"/>
  <c r="L103" i="87"/>
  <c r="AF103" i="87"/>
  <c r="V89" i="87"/>
  <c r="N103" i="87"/>
  <c r="AH103" i="87"/>
  <c r="AI103" i="87"/>
  <c r="AC89" i="87"/>
  <c r="AI89" i="87"/>
  <c r="M103" i="87"/>
  <c r="AG103" i="87"/>
  <c r="W89" i="87"/>
  <c r="AJ103" i="87"/>
  <c r="Q103" i="87"/>
  <c r="AK103" i="87"/>
  <c r="V103" i="87"/>
  <c r="M89" i="87"/>
  <c r="AG89" i="87"/>
  <c r="Z89" i="87"/>
  <c r="L89" i="87"/>
  <c r="W103" i="87"/>
  <c r="N89" i="87"/>
  <c r="W104" i="87"/>
  <c r="Y104" i="87"/>
  <c r="X104" i="87"/>
  <c r="Z104" i="87"/>
  <c r="AA104" i="87"/>
  <c r="AB104" i="87"/>
  <c r="AC104" i="87"/>
  <c r="AD104" i="87"/>
  <c r="AE104" i="87"/>
  <c r="L104" i="87"/>
  <c r="AF104" i="87"/>
  <c r="M104" i="87"/>
  <c r="AG104" i="87"/>
  <c r="N104" i="87"/>
  <c r="AH104" i="87"/>
  <c r="O104" i="87"/>
  <c r="AI104" i="87"/>
  <c r="U104" i="87"/>
  <c r="P104" i="87"/>
  <c r="AJ104" i="87"/>
  <c r="Q104" i="87"/>
  <c r="AK104" i="87"/>
  <c r="V104" i="87"/>
  <c r="R104" i="87"/>
  <c r="AL104" i="87"/>
  <c r="S104" i="87"/>
  <c r="K104" i="87"/>
  <c r="T104" i="87"/>
  <c r="C25" i="89"/>
  <c r="C24" i="89"/>
  <c r="C22" i="89"/>
  <c r="C21" i="89"/>
  <c r="B113" i="8"/>
  <c r="C12" i="91"/>
  <c r="C11" i="91"/>
  <c r="C27" i="89" l="1"/>
  <c r="AI43" i="87"/>
  <c r="AI44" i="87" s="1"/>
  <c r="O43" i="87"/>
  <c r="O44" i="87" s="1"/>
  <c r="AG43" i="87"/>
  <c r="AG44" i="87" s="1"/>
  <c r="M43" i="87"/>
  <c r="M44" i="87" s="1"/>
  <c r="AH43" i="87"/>
  <c r="AH44" i="87" s="1"/>
  <c r="N43" i="87"/>
  <c r="N44" i="87" s="1"/>
  <c r="AF43" i="87"/>
  <c r="AF44" i="87" s="1"/>
  <c r="L43" i="87"/>
  <c r="L44" i="87" s="1"/>
  <c r="AE43" i="87"/>
  <c r="AE44" i="87" s="1"/>
  <c r="K43" i="87"/>
  <c r="K44" i="87" s="1"/>
  <c r="AD43" i="87"/>
  <c r="AD44" i="87" s="1"/>
  <c r="AC43" i="87"/>
  <c r="AC44" i="87" s="1"/>
  <c r="AB43" i="87"/>
  <c r="AB44" i="87" s="1"/>
  <c r="AA43" i="87"/>
  <c r="AA44" i="87" s="1"/>
  <c r="Z43" i="87"/>
  <c r="Z44" i="87" s="1"/>
  <c r="Y43" i="87"/>
  <c r="Y44" i="87" s="1"/>
  <c r="X43" i="87"/>
  <c r="X44" i="87" s="1"/>
  <c r="W43" i="87"/>
  <c r="W44" i="87" s="1"/>
  <c r="V43" i="87"/>
  <c r="V44" i="87" s="1"/>
  <c r="Q43" i="87"/>
  <c r="Q44" i="87" s="1"/>
  <c r="AJ43" i="87"/>
  <c r="AJ44" i="87" s="1"/>
  <c r="U43" i="87"/>
  <c r="U44" i="87" s="1"/>
  <c r="AK43" i="87"/>
  <c r="AK44" i="87" s="1"/>
  <c r="T43" i="87"/>
  <c r="T44" i="87" s="1"/>
  <c r="P43" i="87"/>
  <c r="P44" i="87" s="1"/>
  <c r="S43" i="87"/>
  <c r="S44" i="87" s="1"/>
  <c r="AL43" i="87"/>
  <c r="AL44" i="87" s="1"/>
  <c r="R43" i="87"/>
  <c r="R44" i="87" s="1"/>
  <c r="C26" i="89"/>
  <c r="C31" i="89"/>
  <c r="C23" i="89"/>
  <c r="C29" i="89"/>
  <c r="C30" i="89"/>
  <c r="C13" i="89"/>
  <c r="C12" i="89"/>
  <c r="C5" i="89"/>
  <c r="C6" i="90"/>
  <c r="C7" i="89" s="1"/>
  <c r="O38" i="87" l="1"/>
  <c r="AI38" i="87"/>
  <c r="K38" i="87"/>
  <c r="Q38" i="87"/>
  <c r="P38" i="87"/>
  <c r="AJ38" i="87"/>
  <c r="AK38" i="87"/>
  <c r="S38" i="87"/>
  <c r="T38" i="87"/>
  <c r="V38" i="87"/>
  <c r="X38" i="87"/>
  <c r="U38" i="87"/>
  <c r="Y38" i="87"/>
  <c r="Z38" i="87"/>
  <c r="AB38" i="87"/>
  <c r="AA38" i="87"/>
  <c r="AC38" i="87"/>
  <c r="W38" i="87"/>
  <c r="AD38" i="87"/>
  <c r="AE38" i="87"/>
  <c r="L38" i="87"/>
  <c r="AF38" i="87"/>
  <c r="M38" i="87"/>
  <c r="AG38" i="87"/>
  <c r="N38" i="87"/>
  <c r="AH38" i="87"/>
  <c r="R38" i="87"/>
  <c r="AL38" i="87"/>
  <c r="AB39" i="87"/>
  <c r="AD39" i="87"/>
  <c r="P39" i="87"/>
  <c r="AC39" i="87"/>
  <c r="L39" i="87"/>
  <c r="AF39" i="87"/>
  <c r="O39" i="87"/>
  <c r="M39" i="87"/>
  <c r="AG39" i="87"/>
  <c r="AH39" i="87"/>
  <c r="AI39" i="87"/>
  <c r="Q39" i="87"/>
  <c r="N39" i="87"/>
  <c r="R39" i="87"/>
  <c r="AL39" i="87"/>
  <c r="S39" i="87"/>
  <c r="T39" i="87"/>
  <c r="AJ39" i="87"/>
  <c r="U39" i="87"/>
  <c r="V39" i="87"/>
  <c r="X39" i="87"/>
  <c r="W39" i="87"/>
  <c r="Y39" i="87"/>
  <c r="Z39" i="87"/>
  <c r="AA39" i="87"/>
  <c r="K39" i="87"/>
  <c r="AE39" i="87"/>
  <c r="AK39" i="87"/>
  <c r="U40" i="87"/>
  <c r="AE22" i="87"/>
  <c r="M22" i="87"/>
  <c r="N22" i="87"/>
  <c r="V40" i="87"/>
  <c r="L22" i="87"/>
  <c r="AF22" i="87"/>
  <c r="W40" i="87"/>
  <c r="AG22" i="87"/>
  <c r="Y40" i="87"/>
  <c r="O22" i="87"/>
  <c r="AI22" i="87"/>
  <c r="AA40" i="87"/>
  <c r="AK22" i="87"/>
  <c r="AB40" i="87"/>
  <c r="AL22" i="87"/>
  <c r="Z40" i="87"/>
  <c r="P22" i="87"/>
  <c r="AJ22" i="87"/>
  <c r="AD40" i="87"/>
  <c r="T22" i="87"/>
  <c r="Q22" i="87"/>
  <c r="R22" i="87"/>
  <c r="AE40" i="87"/>
  <c r="U22" i="87"/>
  <c r="AG40" i="87"/>
  <c r="AH40" i="87"/>
  <c r="L40" i="87"/>
  <c r="AF40" i="87"/>
  <c r="V22" i="87"/>
  <c r="W22" i="87"/>
  <c r="X22" i="87"/>
  <c r="S22" i="87"/>
  <c r="M40" i="87"/>
  <c r="N40" i="87"/>
  <c r="AI40" i="87"/>
  <c r="O40" i="87"/>
  <c r="Y22" i="87"/>
  <c r="AA22" i="87"/>
  <c r="P40" i="87"/>
  <c r="AJ40" i="87"/>
  <c r="Z22" i="87"/>
  <c r="Q40" i="87"/>
  <c r="AK40" i="87"/>
  <c r="AC40" i="87"/>
  <c r="K22" i="87"/>
  <c r="R40" i="87"/>
  <c r="AL40" i="87"/>
  <c r="AB22" i="87"/>
  <c r="S40" i="87"/>
  <c r="K40" i="87"/>
  <c r="AC22" i="87"/>
  <c r="T40" i="87"/>
  <c r="AD22" i="87"/>
  <c r="X40" i="87"/>
  <c r="AH22" i="87"/>
  <c r="X42" i="87"/>
  <c r="V42" i="87"/>
  <c r="W42" i="87"/>
  <c r="U42" i="87"/>
  <c r="T42" i="87"/>
  <c r="S42" i="87"/>
  <c r="AL42" i="87"/>
  <c r="R42" i="87"/>
  <c r="AK42" i="87"/>
  <c r="Q42" i="87"/>
  <c r="AJ42" i="87"/>
  <c r="P42" i="87"/>
  <c r="AI42" i="87"/>
  <c r="O42" i="87"/>
  <c r="AH42" i="87"/>
  <c r="N42" i="87"/>
  <c r="AG42" i="87"/>
  <c r="M42" i="87"/>
  <c r="AF42" i="87"/>
  <c r="L42" i="87"/>
  <c r="AE42" i="87"/>
  <c r="K42" i="87"/>
  <c r="AD42" i="87"/>
  <c r="AC42" i="87"/>
  <c r="AB42" i="87"/>
  <c r="Z42" i="87"/>
  <c r="Y42" i="87"/>
  <c r="AA42" i="87"/>
  <c r="T74" i="87"/>
  <c r="T75" i="87" s="1"/>
  <c r="AL74" i="87"/>
  <c r="AL75" i="87" s="1"/>
  <c r="R74" i="87"/>
  <c r="R75" i="87" s="1"/>
  <c r="S74" i="87"/>
  <c r="S75" i="87" s="1"/>
  <c r="AK74" i="87"/>
  <c r="AK75" i="87" s="1"/>
  <c r="Q74" i="87"/>
  <c r="Q75" i="87" s="1"/>
  <c r="AJ74" i="87"/>
  <c r="AJ75" i="87" s="1"/>
  <c r="P74" i="87"/>
  <c r="P75" i="87" s="1"/>
  <c r="AI74" i="87"/>
  <c r="AI75" i="87" s="1"/>
  <c r="O74" i="87"/>
  <c r="O75" i="87" s="1"/>
  <c r="AH74" i="87"/>
  <c r="AH75" i="87" s="1"/>
  <c r="N74" i="87"/>
  <c r="N75" i="87" s="1"/>
  <c r="AG74" i="87"/>
  <c r="AG75" i="87" s="1"/>
  <c r="M74" i="87"/>
  <c r="M75" i="87" s="1"/>
  <c r="AF74" i="87"/>
  <c r="AF75" i="87" s="1"/>
  <c r="L74" i="87"/>
  <c r="L75" i="87" s="1"/>
  <c r="AE74" i="87"/>
  <c r="AE75" i="87" s="1"/>
  <c r="K74" i="87"/>
  <c r="K75" i="87" s="1"/>
  <c r="AD74" i="87"/>
  <c r="AD75" i="87" s="1"/>
  <c r="AC74" i="87"/>
  <c r="AC75" i="87" s="1"/>
  <c r="AB74" i="87"/>
  <c r="AB75" i="87" s="1"/>
  <c r="AA74" i="87"/>
  <c r="AA75" i="87" s="1"/>
  <c r="Z74" i="87"/>
  <c r="Z75" i="87" s="1"/>
  <c r="Y74" i="87"/>
  <c r="Y75" i="87" s="1"/>
  <c r="V74" i="87"/>
  <c r="V75" i="87" s="1"/>
  <c r="U74" i="87"/>
  <c r="U75" i="87" s="1"/>
  <c r="X74" i="87"/>
  <c r="X75" i="87" s="1"/>
  <c r="W74" i="87"/>
  <c r="W75" i="87" s="1"/>
  <c r="C11" i="89"/>
  <c r="C9" i="89"/>
  <c r="C6" i="89"/>
  <c r="L26" i="87"/>
  <c r="M26" i="87"/>
  <c r="N26" i="87"/>
  <c r="O26" i="87"/>
  <c r="P26" i="87"/>
  <c r="Q26" i="87"/>
  <c r="R26" i="87"/>
  <c r="S26" i="87"/>
  <c r="T26" i="87"/>
  <c r="U26" i="87"/>
  <c r="V26" i="87"/>
  <c r="W26" i="87"/>
  <c r="X26" i="87"/>
  <c r="Y26" i="87"/>
  <c r="Z26" i="87"/>
  <c r="AA26" i="87"/>
  <c r="AB26" i="87"/>
  <c r="AC26" i="87"/>
  <c r="AD26" i="87"/>
  <c r="AE26" i="87"/>
  <c r="AF26" i="87"/>
  <c r="AG26" i="87"/>
  <c r="AH26" i="87"/>
  <c r="AI26" i="87"/>
  <c r="AJ26" i="87"/>
  <c r="AK26" i="87"/>
  <c r="AL26" i="87"/>
  <c r="K26" i="87"/>
  <c r="B107" i="87"/>
  <c r="D116" i="87"/>
  <c r="AO16" i="87" s="1"/>
  <c r="B76" i="87"/>
  <c r="D89" i="87"/>
  <c r="B45" i="87"/>
  <c r="D58" i="87"/>
  <c r="AO10" i="87"/>
  <c r="A10" i="87" s="1"/>
  <c r="B42" i="53"/>
  <c r="B41" i="53"/>
  <c r="B40" i="53"/>
  <c r="B39" i="53"/>
  <c r="B37" i="53"/>
  <c r="B38" i="53"/>
  <c r="B43" i="53"/>
  <c r="B45" i="53"/>
  <c r="B2" i="86"/>
  <c r="AE69" i="87" l="1"/>
  <c r="M69" i="87"/>
  <c r="AG69" i="87"/>
  <c r="L69" i="87"/>
  <c r="AF69" i="87"/>
  <c r="N69" i="87"/>
  <c r="O69" i="87"/>
  <c r="AI69" i="87"/>
  <c r="P69" i="87"/>
  <c r="AJ69" i="87"/>
  <c r="AL69" i="87"/>
  <c r="T69" i="87"/>
  <c r="Q69" i="87"/>
  <c r="AK69" i="87"/>
  <c r="R69" i="87"/>
  <c r="U69" i="87"/>
  <c r="X69" i="87"/>
  <c r="V69" i="87"/>
  <c r="S69" i="87"/>
  <c r="W69" i="87"/>
  <c r="Y69" i="87"/>
  <c r="K69" i="87"/>
  <c r="Z69" i="87"/>
  <c r="AA69" i="87"/>
  <c r="AB69" i="87"/>
  <c r="AC69" i="87"/>
  <c r="AH69" i="87"/>
  <c r="AD69" i="87"/>
  <c r="C10" i="89"/>
  <c r="O73" i="87"/>
  <c r="AI73" i="87"/>
  <c r="Q73" i="87"/>
  <c r="AK73" i="87"/>
  <c r="P73" i="87"/>
  <c r="AJ73" i="87"/>
  <c r="R73" i="87"/>
  <c r="AL73" i="87"/>
  <c r="S73" i="87"/>
  <c r="K73" i="87"/>
  <c r="T73" i="87"/>
  <c r="U73" i="87"/>
  <c r="V73" i="87"/>
  <c r="W73" i="87"/>
  <c r="X73" i="87"/>
  <c r="Y73" i="87"/>
  <c r="Z73" i="87"/>
  <c r="AA73" i="87"/>
  <c r="AB73" i="87"/>
  <c r="N73" i="87"/>
  <c r="AC73" i="87"/>
  <c r="AG73" i="87"/>
  <c r="AD73" i="87"/>
  <c r="AE73" i="87"/>
  <c r="M73" i="87"/>
  <c r="AH73" i="87"/>
  <c r="L73" i="87"/>
  <c r="AF73" i="87"/>
  <c r="AO12" i="87"/>
  <c r="A45" i="87" s="1"/>
  <c r="AO13" i="87"/>
  <c r="A59" i="87" s="1"/>
  <c r="AO14" i="87"/>
  <c r="A76" i="87" s="1"/>
  <c r="AO15" i="87"/>
  <c r="A90" i="87" s="1"/>
  <c r="A107" i="87"/>
  <c r="B10" i="87"/>
  <c r="G213" i="86"/>
  <c r="H11" i="86"/>
  <c r="I11" i="86"/>
  <c r="J11" i="86"/>
  <c r="K11" i="86"/>
  <c r="L11" i="86"/>
  <c r="M11" i="86"/>
  <c r="N11" i="86"/>
  <c r="O11" i="86"/>
  <c r="P11" i="86"/>
  <c r="Q11" i="86"/>
  <c r="R11" i="86"/>
  <c r="S11" i="86"/>
  <c r="T11" i="86"/>
  <c r="U11" i="86"/>
  <c r="V11" i="86"/>
  <c r="W11" i="86"/>
  <c r="X11" i="86"/>
  <c r="Y11" i="86"/>
  <c r="Z11" i="86"/>
  <c r="AA11" i="86"/>
  <c r="AB11" i="86"/>
  <c r="AC11" i="86"/>
  <c r="AD11" i="86"/>
  <c r="AE11" i="86"/>
  <c r="AF11" i="86"/>
  <c r="AG11" i="86"/>
  <c r="AH11" i="86"/>
  <c r="C395" i="86"/>
  <c r="C396" i="86" s="1"/>
  <c r="C397" i="86" s="1"/>
  <c r="C398" i="86" s="1"/>
  <c r="C399" i="86" s="1"/>
  <c r="C400" i="86" s="1"/>
  <c r="C401" i="86" s="1"/>
  <c r="C402" i="86" s="1"/>
  <c r="C403" i="86" s="1"/>
  <c r="C404" i="86" s="1"/>
  <c r="C405" i="86" s="1"/>
  <c r="C406" i="86" s="1"/>
  <c r="C407" i="86" s="1"/>
  <c r="C382" i="86"/>
  <c r="C383" i="86" s="1"/>
  <c r="C384" i="86" s="1"/>
  <c r="C385" i="86" s="1"/>
  <c r="C386" i="86" s="1"/>
  <c r="C387" i="86" s="1"/>
  <c r="C388" i="86" s="1"/>
  <c r="C389" i="86" s="1"/>
  <c r="C390" i="86" s="1"/>
  <c r="C391" i="86" s="1"/>
  <c r="C392" i="86" s="1"/>
  <c r="C393" i="86" s="1"/>
  <c r="C394" i="86" s="1"/>
  <c r="C369" i="86"/>
  <c r="C370" i="86" s="1"/>
  <c r="C371" i="86" s="1"/>
  <c r="C372" i="86" s="1"/>
  <c r="C373" i="86" s="1"/>
  <c r="C374" i="86" s="1"/>
  <c r="C375" i="86" s="1"/>
  <c r="C376" i="86" s="1"/>
  <c r="C377" i="86" s="1"/>
  <c r="C378" i="86" s="1"/>
  <c r="C379" i="86" s="1"/>
  <c r="C380" i="86" s="1"/>
  <c r="C381" i="86" s="1"/>
  <c r="C356" i="86"/>
  <c r="C357" i="86" s="1"/>
  <c r="C358" i="86" s="1"/>
  <c r="C359" i="86" s="1"/>
  <c r="C360" i="86" s="1"/>
  <c r="C361" i="86" s="1"/>
  <c r="C362" i="86" s="1"/>
  <c r="C363" i="86" s="1"/>
  <c r="C364" i="86" s="1"/>
  <c r="C365" i="86" s="1"/>
  <c r="C366" i="86" s="1"/>
  <c r="C367" i="86" s="1"/>
  <c r="C368" i="86" s="1"/>
  <c r="C343" i="86"/>
  <c r="C344" i="86" s="1"/>
  <c r="C345" i="86" s="1"/>
  <c r="C346" i="86" s="1"/>
  <c r="C347" i="86" s="1"/>
  <c r="C348" i="86" s="1"/>
  <c r="C349" i="86" s="1"/>
  <c r="C350" i="86" s="1"/>
  <c r="C351" i="86" s="1"/>
  <c r="C352" i="86" s="1"/>
  <c r="C353" i="86" s="1"/>
  <c r="C354" i="86" s="1"/>
  <c r="C355" i="86" s="1"/>
  <c r="C330" i="86"/>
  <c r="C331" i="86" s="1"/>
  <c r="C332" i="86" s="1"/>
  <c r="C333" i="86" s="1"/>
  <c r="C334" i="86" s="1"/>
  <c r="C335" i="86" s="1"/>
  <c r="C336" i="86" s="1"/>
  <c r="C337" i="86" s="1"/>
  <c r="C338" i="86" s="1"/>
  <c r="C339" i="86" s="1"/>
  <c r="C340" i="86" s="1"/>
  <c r="C341" i="86" s="1"/>
  <c r="C342" i="86" s="1"/>
  <c r="C317" i="86"/>
  <c r="C318" i="86" s="1"/>
  <c r="C319" i="86" s="1"/>
  <c r="C320" i="86" s="1"/>
  <c r="C321" i="86" s="1"/>
  <c r="C322" i="86" s="1"/>
  <c r="C323" i="86" s="1"/>
  <c r="C324" i="86" s="1"/>
  <c r="C325" i="86" s="1"/>
  <c r="C326" i="86" s="1"/>
  <c r="C327" i="86" s="1"/>
  <c r="C328" i="86" s="1"/>
  <c r="C329" i="86" s="1"/>
  <c r="C304" i="86"/>
  <c r="C305" i="86" s="1"/>
  <c r="C306" i="86" s="1"/>
  <c r="C307" i="86" s="1"/>
  <c r="C308" i="86" s="1"/>
  <c r="C309" i="86" s="1"/>
  <c r="C310" i="86" s="1"/>
  <c r="C311" i="86" s="1"/>
  <c r="C312" i="86" s="1"/>
  <c r="C313" i="86" s="1"/>
  <c r="C314" i="86" s="1"/>
  <c r="C315" i="86" s="1"/>
  <c r="C316" i="86" s="1"/>
  <c r="C291" i="86"/>
  <c r="C292" i="86" s="1"/>
  <c r="C293" i="86" s="1"/>
  <c r="C294" i="86" s="1"/>
  <c r="C295" i="86" s="1"/>
  <c r="C296" i="86" s="1"/>
  <c r="C297" i="86" s="1"/>
  <c r="C298" i="86" s="1"/>
  <c r="C299" i="86" s="1"/>
  <c r="C300" i="86" s="1"/>
  <c r="C301" i="86" s="1"/>
  <c r="C302" i="86" s="1"/>
  <c r="C303" i="86" s="1"/>
  <c r="C278" i="86"/>
  <c r="C279" i="86" s="1"/>
  <c r="C280" i="86" s="1"/>
  <c r="C281" i="86" s="1"/>
  <c r="C282" i="86" s="1"/>
  <c r="C283" i="86" s="1"/>
  <c r="C284" i="86" s="1"/>
  <c r="C285" i="86" s="1"/>
  <c r="C286" i="86" s="1"/>
  <c r="C287" i="86" s="1"/>
  <c r="C288" i="86" s="1"/>
  <c r="C289" i="86" s="1"/>
  <c r="C290" i="86" s="1"/>
  <c r="C265" i="86"/>
  <c r="C266" i="86" s="1"/>
  <c r="C267" i="86" s="1"/>
  <c r="C268" i="86" s="1"/>
  <c r="C269" i="86" s="1"/>
  <c r="C270" i="86" s="1"/>
  <c r="C271" i="86" s="1"/>
  <c r="C272" i="86" s="1"/>
  <c r="C273" i="86" s="1"/>
  <c r="C274" i="86" s="1"/>
  <c r="C275" i="86" s="1"/>
  <c r="C276" i="86" s="1"/>
  <c r="C277" i="86" s="1"/>
  <c r="C252" i="86"/>
  <c r="C253" i="86" s="1"/>
  <c r="C254" i="86" s="1"/>
  <c r="C255" i="86" s="1"/>
  <c r="C256" i="86" s="1"/>
  <c r="C257" i="86" s="1"/>
  <c r="C258" i="86" s="1"/>
  <c r="C259" i="86" s="1"/>
  <c r="C260" i="86" s="1"/>
  <c r="C261" i="86" s="1"/>
  <c r="C262" i="86" s="1"/>
  <c r="C263" i="86" s="1"/>
  <c r="C264" i="86" s="1"/>
  <c r="C239" i="86"/>
  <c r="C240" i="86" s="1"/>
  <c r="C241" i="86" s="1"/>
  <c r="C242" i="86" s="1"/>
  <c r="C243" i="86" s="1"/>
  <c r="C244" i="86" s="1"/>
  <c r="C245" i="86" s="1"/>
  <c r="C246" i="86" s="1"/>
  <c r="C247" i="86" s="1"/>
  <c r="C248" i="86" s="1"/>
  <c r="C249" i="86" s="1"/>
  <c r="C250" i="86" s="1"/>
  <c r="C251" i="86" s="1"/>
  <c r="C226" i="86"/>
  <c r="C227" i="86" s="1"/>
  <c r="C228" i="86" s="1"/>
  <c r="C229" i="86" s="1"/>
  <c r="C230" i="86" s="1"/>
  <c r="C231" i="86" s="1"/>
  <c r="C232" i="86" s="1"/>
  <c r="C233" i="86" s="1"/>
  <c r="C234" i="86" s="1"/>
  <c r="C235" i="86" s="1"/>
  <c r="C236" i="86" s="1"/>
  <c r="C237" i="86" s="1"/>
  <c r="C238" i="86" s="1"/>
  <c r="C213" i="86"/>
  <c r="C214" i="86" s="1"/>
  <c r="C215" i="86" s="1"/>
  <c r="C216" i="86" s="1"/>
  <c r="C217" i="86" s="1"/>
  <c r="C218" i="86" s="1"/>
  <c r="C219" i="86" s="1"/>
  <c r="C220" i="86" s="1"/>
  <c r="C221" i="86" s="1"/>
  <c r="C222" i="86" s="1"/>
  <c r="C223" i="86" s="1"/>
  <c r="C224" i="86" s="1"/>
  <c r="C225" i="86" s="1"/>
  <c r="AJ10" i="86"/>
  <c r="A10" i="86" s="1"/>
  <c r="AL25" i="86"/>
  <c r="B395" i="86" s="1"/>
  <c r="B396" i="86" s="1"/>
  <c r="B397" i="86" s="1"/>
  <c r="B398" i="86" s="1"/>
  <c r="B399" i="86" s="1"/>
  <c r="B400" i="86" s="1"/>
  <c r="B401" i="86" s="1"/>
  <c r="B402" i="86" s="1"/>
  <c r="B403" i="86" s="1"/>
  <c r="B404" i="86" s="1"/>
  <c r="B405" i="86" s="1"/>
  <c r="B406" i="86" s="1"/>
  <c r="B407" i="86" s="1"/>
  <c r="C193" i="86"/>
  <c r="AL24" i="86"/>
  <c r="B382" i="86" s="1"/>
  <c r="B383" i="86" s="1"/>
  <c r="B384" i="86" s="1"/>
  <c r="B385" i="86" s="1"/>
  <c r="B386" i="86" s="1"/>
  <c r="B387" i="86" s="1"/>
  <c r="B388" i="86" s="1"/>
  <c r="B389" i="86" s="1"/>
  <c r="B390" i="86" s="1"/>
  <c r="B391" i="86" s="1"/>
  <c r="B392" i="86" s="1"/>
  <c r="B393" i="86" s="1"/>
  <c r="B394" i="86" s="1"/>
  <c r="C180" i="86"/>
  <c r="AL23" i="86"/>
  <c r="B369" i="86" s="1"/>
  <c r="B370" i="86" s="1"/>
  <c r="B371" i="86" s="1"/>
  <c r="B372" i="86" s="1"/>
  <c r="B373" i="86" s="1"/>
  <c r="B374" i="86" s="1"/>
  <c r="B375" i="86" s="1"/>
  <c r="B376" i="86" s="1"/>
  <c r="B377" i="86" s="1"/>
  <c r="B378" i="86" s="1"/>
  <c r="B379" i="86" s="1"/>
  <c r="B380" i="86" s="1"/>
  <c r="B381" i="86" s="1"/>
  <c r="C167" i="86"/>
  <c r="AL22" i="86"/>
  <c r="B356" i="86" s="1"/>
  <c r="B357" i="86" s="1"/>
  <c r="B358" i="86" s="1"/>
  <c r="B359" i="86" s="1"/>
  <c r="B360" i="86" s="1"/>
  <c r="B361" i="86" s="1"/>
  <c r="B362" i="86" s="1"/>
  <c r="B363" i="86" s="1"/>
  <c r="B364" i="86" s="1"/>
  <c r="B365" i="86" s="1"/>
  <c r="B366" i="86" s="1"/>
  <c r="B367" i="86" s="1"/>
  <c r="B368" i="86" s="1"/>
  <c r="C154" i="86"/>
  <c r="AL21" i="86"/>
  <c r="B343" i="86" s="1"/>
  <c r="B344" i="86" s="1"/>
  <c r="B345" i="86" s="1"/>
  <c r="B346" i="86" s="1"/>
  <c r="B347" i="86" s="1"/>
  <c r="B348" i="86" s="1"/>
  <c r="B349" i="86" s="1"/>
  <c r="B350" i="86" s="1"/>
  <c r="B351" i="86" s="1"/>
  <c r="B352" i="86" s="1"/>
  <c r="B353" i="86" s="1"/>
  <c r="B354" i="86" s="1"/>
  <c r="B355" i="86" s="1"/>
  <c r="C141" i="86"/>
  <c r="AL20" i="86"/>
  <c r="B330" i="86" s="1"/>
  <c r="B331" i="86" s="1"/>
  <c r="B332" i="86" s="1"/>
  <c r="B333" i="86" s="1"/>
  <c r="B334" i="86" s="1"/>
  <c r="B335" i="86" s="1"/>
  <c r="B336" i="86" s="1"/>
  <c r="B337" i="86" s="1"/>
  <c r="B338" i="86" s="1"/>
  <c r="B339" i="86" s="1"/>
  <c r="B340" i="86" s="1"/>
  <c r="B341" i="86" s="1"/>
  <c r="B342" i="86" s="1"/>
  <c r="C128" i="86"/>
  <c r="AL19" i="86"/>
  <c r="B317" i="86" s="1"/>
  <c r="B318" i="86" s="1"/>
  <c r="B319" i="86" s="1"/>
  <c r="B320" i="86" s="1"/>
  <c r="B321" i="86" s="1"/>
  <c r="B322" i="86" s="1"/>
  <c r="B323" i="86" s="1"/>
  <c r="B324" i="86" s="1"/>
  <c r="B325" i="86" s="1"/>
  <c r="B326" i="86" s="1"/>
  <c r="B327" i="86" s="1"/>
  <c r="B328" i="86" s="1"/>
  <c r="B329" i="86" s="1"/>
  <c r="C115" i="86"/>
  <c r="AL18" i="86"/>
  <c r="B304" i="86" s="1"/>
  <c r="B305" i="86" s="1"/>
  <c r="B306" i="86" s="1"/>
  <c r="B307" i="86" s="1"/>
  <c r="B308" i="86" s="1"/>
  <c r="B309" i="86" s="1"/>
  <c r="B310" i="86" s="1"/>
  <c r="B311" i="86" s="1"/>
  <c r="B312" i="86" s="1"/>
  <c r="B313" i="86" s="1"/>
  <c r="B314" i="86" s="1"/>
  <c r="B315" i="86" s="1"/>
  <c r="B316" i="86" s="1"/>
  <c r="C102" i="86"/>
  <c r="AL17" i="86"/>
  <c r="B291" i="86" s="1"/>
  <c r="B292" i="86" s="1"/>
  <c r="B293" i="86" s="1"/>
  <c r="B294" i="86" s="1"/>
  <c r="B295" i="86" s="1"/>
  <c r="B296" i="86" s="1"/>
  <c r="B297" i="86" s="1"/>
  <c r="B298" i="86" s="1"/>
  <c r="B299" i="86" s="1"/>
  <c r="B300" i="86" s="1"/>
  <c r="B301" i="86" s="1"/>
  <c r="B302" i="86" s="1"/>
  <c r="B303" i="86" s="1"/>
  <c r="C89" i="86"/>
  <c r="AL16" i="86"/>
  <c r="B278" i="86" s="1"/>
  <c r="B279" i="86" s="1"/>
  <c r="B280" i="86" s="1"/>
  <c r="B281" i="86" s="1"/>
  <c r="B282" i="86" s="1"/>
  <c r="B283" i="86" s="1"/>
  <c r="B284" i="86" s="1"/>
  <c r="B285" i="86" s="1"/>
  <c r="B286" i="86" s="1"/>
  <c r="B287" i="86" s="1"/>
  <c r="B288" i="86" s="1"/>
  <c r="B289" i="86" s="1"/>
  <c r="B290" i="86" s="1"/>
  <c r="C76" i="86"/>
  <c r="AL15" i="86"/>
  <c r="B265" i="86" s="1"/>
  <c r="B266" i="86" s="1"/>
  <c r="B267" i="86" s="1"/>
  <c r="B268" i="86" s="1"/>
  <c r="B269" i="86" s="1"/>
  <c r="B270" i="86" s="1"/>
  <c r="B271" i="86" s="1"/>
  <c r="B272" i="86" s="1"/>
  <c r="B273" i="86" s="1"/>
  <c r="B274" i="86" s="1"/>
  <c r="B275" i="86" s="1"/>
  <c r="B276" i="86" s="1"/>
  <c r="B277" i="86" s="1"/>
  <c r="C63" i="86"/>
  <c r="AL14" i="86"/>
  <c r="B252" i="86" s="1"/>
  <c r="B253" i="86" s="1"/>
  <c r="B254" i="86" s="1"/>
  <c r="B255" i="86" s="1"/>
  <c r="B256" i="86" s="1"/>
  <c r="B257" i="86" s="1"/>
  <c r="B258" i="86" s="1"/>
  <c r="B259" i="86" s="1"/>
  <c r="B260" i="86" s="1"/>
  <c r="B261" i="86" s="1"/>
  <c r="B262" i="86" s="1"/>
  <c r="B263" i="86" s="1"/>
  <c r="B264" i="86" s="1"/>
  <c r="C50" i="86"/>
  <c r="AL13" i="86"/>
  <c r="B239" i="86" s="1"/>
  <c r="B240" i="86" s="1"/>
  <c r="B241" i="86" s="1"/>
  <c r="B242" i="86" s="1"/>
  <c r="B243" i="86" s="1"/>
  <c r="B244" i="86" s="1"/>
  <c r="B245" i="86" s="1"/>
  <c r="B246" i="86" s="1"/>
  <c r="B247" i="86" s="1"/>
  <c r="B248" i="86" s="1"/>
  <c r="B249" i="86" s="1"/>
  <c r="B250" i="86" s="1"/>
  <c r="B251" i="86" s="1"/>
  <c r="AL12" i="86"/>
  <c r="B226" i="86" s="1"/>
  <c r="B227" i="86" s="1"/>
  <c r="B228" i="86" s="1"/>
  <c r="B229" i="86" s="1"/>
  <c r="B230" i="86" s="1"/>
  <c r="B231" i="86" s="1"/>
  <c r="B232" i="86" s="1"/>
  <c r="B233" i="86" s="1"/>
  <c r="B234" i="86" s="1"/>
  <c r="B235" i="86" s="1"/>
  <c r="B236" i="86" s="1"/>
  <c r="B237" i="86" s="1"/>
  <c r="B238" i="86" s="1"/>
  <c r="AL11" i="86"/>
  <c r="B213" i="86" s="1"/>
  <c r="B214" i="86" s="1"/>
  <c r="B215" i="86" s="1"/>
  <c r="B216" i="86" s="1"/>
  <c r="B217" i="86" s="1"/>
  <c r="B218" i="86" s="1"/>
  <c r="B219" i="86" s="1"/>
  <c r="B220" i="86" s="1"/>
  <c r="B221" i="86" s="1"/>
  <c r="B222" i="86" s="1"/>
  <c r="B223" i="86" s="1"/>
  <c r="B224" i="86" s="1"/>
  <c r="B225" i="86" s="1"/>
  <c r="C24" i="86"/>
  <c r="C25" i="86" s="1"/>
  <c r="C26" i="86" s="1"/>
  <c r="C27" i="86" s="1"/>
  <c r="C28" i="86" s="1"/>
  <c r="C29" i="86" s="1"/>
  <c r="C30" i="86" s="1"/>
  <c r="C31" i="86" s="1"/>
  <c r="C32" i="86" s="1"/>
  <c r="C33" i="86" s="1"/>
  <c r="C34" i="86" s="1"/>
  <c r="C35" i="86" s="1"/>
  <c r="C36" i="86" s="1"/>
  <c r="C37" i="86"/>
  <c r="C38" i="86" s="1"/>
  <c r="C39" i="86" s="1"/>
  <c r="C40" i="86" s="1"/>
  <c r="C41" i="86" s="1"/>
  <c r="C42" i="86" s="1"/>
  <c r="C43" i="86" s="1"/>
  <c r="C44" i="86" s="1"/>
  <c r="C45" i="86" s="1"/>
  <c r="C46" i="86" s="1"/>
  <c r="C47" i="86" s="1"/>
  <c r="C48" i="86" s="1"/>
  <c r="C49" i="86" s="1"/>
  <c r="C11" i="86"/>
  <c r="C12" i="86" s="1"/>
  <c r="C13" i="86" s="1"/>
  <c r="C14" i="86" s="1"/>
  <c r="C15" i="86" s="1"/>
  <c r="C16" i="86" s="1"/>
  <c r="C17" i="86" s="1"/>
  <c r="C18" i="86" s="1"/>
  <c r="C19" i="86" s="1"/>
  <c r="C20" i="86" s="1"/>
  <c r="C21" i="86" s="1"/>
  <c r="C22" i="86" s="1"/>
  <c r="C23" i="86" s="1"/>
  <c r="X70" i="87" l="1"/>
  <c r="Y70" i="87"/>
  <c r="Z70" i="87"/>
  <c r="AA70" i="87"/>
  <c r="AB70" i="87"/>
  <c r="AE70" i="87"/>
  <c r="AC70" i="87"/>
  <c r="AF70" i="87"/>
  <c r="M70" i="87"/>
  <c r="AD70" i="87"/>
  <c r="N70" i="87"/>
  <c r="AH70" i="87"/>
  <c r="O70" i="87"/>
  <c r="AI70" i="87"/>
  <c r="R70" i="87"/>
  <c r="P70" i="87"/>
  <c r="AJ70" i="87"/>
  <c r="AK70" i="87"/>
  <c r="AG70" i="87"/>
  <c r="Q70" i="87"/>
  <c r="AL70" i="87"/>
  <c r="S70" i="87"/>
  <c r="K70" i="87"/>
  <c r="T70" i="87"/>
  <c r="U70" i="87"/>
  <c r="V70" i="87"/>
  <c r="L70" i="87"/>
  <c r="W70" i="87"/>
  <c r="AK16" i="86"/>
  <c r="A278" i="86" s="1"/>
  <c r="A279" i="86" s="1"/>
  <c r="A280" i="86" s="1"/>
  <c r="A281" i="86" s="1"/>
  <c r="A282" i="86" s="1"/>
  <c r="A283" i="86" s="1"/>
  <c r="A284" i="86" s="1"/>
  <c r="A285" i="86" s="1"/>
  <c r="A286" i="86" s="1"/>
  <c r="A287" i="86" s="1"/>
  <c r="A288" i="86" s="1"/>
  <c r="A289" i="86" s="1"/>
  <c r="A290" i="86" s="1"/>
  <c r="C77" i="86"/>
  <c r="C78" i="86" s="1"/>
  <c r="C79" i="86" s="1"/>
  <c r="C80" i="86" s="1"/>
  <c r="C81" i="86" s="1"/>
  <c r="C82" i="86" s="1"/>
  <c r="C83" i="86" s="1"/>
  <c r="C84" i="86" s="1"/>
  <c r="C85" i="86" s="1"/>
  <c r="C86" i="86" s="1"/>
  <c r="C87" i="86" s="1"/>
  <c r="C88" i="86" s="1"/>
  <c r="AK18" i="86"/>
  <c r="A304" i="86" s="1"/>
  <c r="A305" i="86" s="1"/>
  <c r="A306" i="86" s="1"/>
  <c r="A307" i="86" s="1"/>
  <c r="A308" i="86" s="1"/>
  <c r="A309" i="86" s="1"/>
  <c r="A310" i="86" s="1"/>
  <c r="A311" i="86" s="1"/>
  <c r="A312" i="86" s="1"/>
  <c r="A313" i="86" s="1"/>
  <c r="A314" i="86" s="1"/>
  <c r="A315" i="86" s="1"/>
  <c r="A316" i="86" s="1"/>
  <c r="C103" i="86"/>
  <c r="C104" i="86" s="1"/>
  <c r="C105" i="86" s="1"/>
  <c r="C106" i="86" s="1"/>
  <c r="C107" i="86" s="1"/>
  <c r="C108" i="86" s="1"/>
  <c r="C109" i="86" s="1"/>
  <c r="C110" i="86" s="1"/>
  <c r="C111" i="86" s="1"/>
  <c r="C112" i="86" s="1"/>
  <c r="C113" i="86" s="1"/>
  <c r="C114" i="86" s="1"/>
  <c r="AK17" i="86"/>
  <c r="B89" i="86" s="1"/>
  <c r="B90" i="86" s="1"/>
  <c r="B91" i="86" s="1"/>
  <c r="B92" i="86" s="1"/>
  <c r="B93" i="86" s="1"/>
  <c r="B94" i="86" s="1"/>
  <c r="B95" i="86" s="1"/>
  <c r="B96" i="86" s="1"/>
  <c r="B97" i="86" s="1"/>
  <c r="B98" i="86" s="1"/>
  <c r="B99" i="86" s="1"/>
  <c r="B100" i="86" s="1"/>
  <c r="B101" i="86" s="1"/>
  <c r="C90" i="86"/>
  <c r="C91" i="86" s="1"/>
  <c r="C92" i="86" s="1"/>
  <c r="C93" i="86" s="1"/>
  <c r="C94" i="86" s="1"/>
  <c r="C95" i="86" s="1"/>
  <c r="C96" i="86" s="1"/>
  <c r="C97" i="86" s="1"/>
  <c r="C98" i="86" s="1"/>
  <c r="C99" i="86" s="1"/>
  <c r="C100" i="86" s="1"/>
  <c r="C101" i="86" s="1"/>
  <c r="AK19" i="86"/>
  <c r="A317" i="86" s="1"/>
  <c r="A318" i="86" s="1"/>
  <c r="A319" i="86" s="1"/>
  <c r="A320" i="86" s="1"/>
  <c r="A321" i="86" s="1"/>
  <c r="A322" i="86" s="1"/>
  <c r="A323" i="86" s="1"/>
  <c r="A324" i="86" s="1"/>
  <c r="A325" i="86" s="1"/>
  <c r="A326" i="86" s="1"/>
  <c r="A327" i="86" s="1"/>
  <c r="A328" i="86" s="1"/>
  <c r="A329" i="86" s="1"/>
  <c r="C116" i="86"/>
  <c r="C117" i="86" s="1"/>
  <c r="C118" i="86" s="1"/>
  <c r="C119" i="86" s="1"/>
  <c r="C120" i="86" s="1"/>
  <c r="C121" i="86" s="1"/>
  <c r="C122" i="86" s="1"/>
  <c r="C123" i="86" s="1"/>
  <c r="C124" i="86" s="1"/>
  <c r="C125" i="86" s="1"/>
  <c r="C126" i="86" s="1"/>
  <c r="C127" i="86" s="1"/>
  <c r="AK20" i="86"/>
  <c r="A330" i="86" s="1"/>
  <c r="A331" i="86" s="1"/>
  <c r="A332" i="86" s="1"/>
  <c r="A333" i="86" s="1"/>
  <c r="A334" i="86" s="1"/>
  <c r="A335" i="86" s="1"/>
  <c r="A336" i="86" s="1"/>
  <c r="A337" i="86" s="1"/>
  <c r="A338" i="86" s="1"/>
  <c r="A339" i="86" s="1"/>
  <c r="A340" i="86" s="1"/>
  <c r="A341" i="86" s="1"/>
  <c r="A342" i="86" s="1"/>
  <c r="C129" i="86"/>
  <c r="C130" i="86" s="1"/>
  <c r="C131" i="86" s="1"/>
  <c r="C132" i="86" s="1"/>
  <c r="C133" i="86" s="1"/>
  <c r="C134" i="86" s="1"/>
  <c r="C135" i="86" s="1"/>
  <c r="C136" i="86" s="1"/>
  <c r="C137" i="86" s="1"/>
  <c r="C138" i="86" s="1"/>
  <c r="C139" i="86" s="1"/>
  <c r="C140" i="86" s="1"/>
  <c r="AK21" i="86"/>
  <c r="A343" i="86" s="1"/>
  <c r="A344" i="86" s="1"/>
  <c r="A345" i="86" s="1"/>
  <c r="A346" i="86" s="1"/>
  <c r="A347" i="86" s="1"/>
  <c r="A348" i="86" s="1"/>
  <c r="A349" i="86" s="1"/>
  <c r="A350" i="86" s="1"/>
  <c r="A351" i="86" s="1"/>
  <c r="A352" i="86" s="1"/>
  <c r="A353" i="86" s="1"/>
  <c r="A354" i="86" s="1"/>
  <c r="A355" i="86" s="1"/>
  <c r="C142" i="86"/>
  <c r="C143" i="86" s="1"/>
  <c r="C144" i="86" s="1"/>
  <c r="C145" i="86" s="1"/>
  <c r="C146" i="86" s="1"/>
  <c r="C147" i="86" s="1"/>
  <c r="C148" i="86" s="1"/>
  <c r="C149" i="86" s="1"/>
  <c r="C150" i="86" s="1"/>
  <c r="C151" i="86" s="1"/>
  <c r="C152" i="86" s="1"/>
  <c r="C153" i="86" s="1"/>
  <c r="AK22" i="86"/>
  <c r="A356" i="86" s="1"/>
  <c r="A357" i="86" s="1"/>
  <c r="A358" i="86" s="1"/>
  <c r="A359" i="86" s="1"/>
  <c r="A360" i="86" s="1"/>
  <c r="A361" i="86" s="1"/>
  <c r="A362" i="86" s="1"/>
  <c r="A363" i="86" s="1"/>
  <c r="A364" i="86" s="1"/>
  <c r="A365" i="86" s="1"/>
  <c r="A366" i="86" s="1"/>
  <c r="A367" i="86" s="1"/>
  <c r="A368" i="86" s="1"/>
  <c r="C155" i="86"/>
  <c r="C156" i="86" s="1"/>
  <c r="C157" i="86" s="1"/>
  <c r="C158" i="86" s="1"/>
  <c r="C159" i="86" s="1"/>
  <c r="C160" i="86" s="1"/>
  <c r="C161" i="86" s="1"/>
  <c r="C162" i="86" s="1"/>
  <c r="C163" i="86" s="1"/>
  <c r="C164" i="86" s="1"/>
  <c r="C165" i="86" s="1"/>
  <c r="C166" i="86" s="1"/>
  <c r="AK23" i="86"/>
  <c r="A369" i="86" s="1"/>
  <c r="A370" i="86" s="1"/>
  <c r="A371" i="86" s="1"/>
  <c r="A372" i="86" s="1"/>
  <c r="A373" i="86" s="1"/>
  <c r="A374" i="86" s="1"/>
  <c r="A375" i="86" s="1"/>
  <c r="A376" i="86" s="1"/>
  <c r="A377" i="86" s="1"/>
  <c r="A378" i="86" s="1"/>
  <c r="A379" i="86" s="1"/>
  <c r="A380" i="86" s="1"/>
  <c r="A381" i="86" s="1"/>
  <c r="C168" i="86"/>
  <c r="C169" i="86" s="1"/>
  <c r="C170" i="86" s="1"/>
  <c r="C171" i="86" s="1"/>
  <c r="C172" i="86" s="1"/>
  <c r="C173" i="86" s="1"/>
  <c r="C174" i="86" s="1"/>
  <c r="C175" i="86" s="1"/>
  <c r="C176" i="86" s="1"/>
  <c r="C177" i="86" s="1"/>
  <c r="C178" i="86" s="1"/>
  <c r="C179" i="86" s="1"/>
  <c r="AK14" i="86"/>
  <c r="A252" i="86" s="1"/>
  <c r="A253" i="86" s="1"/>
  <c r="A254" i="86" s="1"/>
  <c r="A255" i="86" s="1"/>
  <c r="A256" i="86" s="1"/>
  <c r="A257" i="86" s="1"/>
  <c r="A258" i="86" s="1"/>
  <c r="A259" i="86" s="1"/>
  <c r="A260" i="86" s="1"/>
  <c r="A261" i="86" s="1"/>
  <c r="A262" i="86" s="1"/>
  <c r="A263" i="86" s="1"/>
  <c r="A264" i="86" s="1"/>
  <c r="C51" i="86"/>
  <c r="C52" i="86" s="1"/>
  <c r="C53" i="86" s="1"/>
  <c r="C54" i="86" s="1"/>
  <c r="C55" i="86" s="1"/>
  <c r="C56" i="86" s="1"/>
  <c r="C57" i="86" s="1"/>
  <c r="C58" i="86" s="1"/>
  <c r="C59" i="86" s="1"/>
  <c r="C60" i="86" s="1"/>
  <c r="C61" i="86" s="1"/>
  <c r="C62" i="86" s="1"/>
  <c r="AK24" i="86"/>
  <c r="A382" i="86" s="1"/>
  <c r="A383" i="86" s="1"/>
  <c r="A384" i="86" s="1"/>
  <c r="A385" i="86" s="1"/>
  <c r="A386" i="86" s="1"/>
  <c r="A387" i="86" s="1"/>
  <c r="A388" i="86" s="1"/>
  <c r="A389" i="86" s="1"/>
  <c r="A390" i="86" s="1"/>
  <c r="A391" i="86" s="1"/>
  <c r="A392" i="86" s="1"/>
  <c r="A393" i="86" s="1"/>
  <c r="A394" i="86" s="1"/>
  <c r="C181" i="86"/>
  <c r="C182" i="86" s="1"/>
  <c r="C183" i="86" s="1"/>
  <c r="C184" i="86" s="1"/>
  <c r="C185" i="86" s="1"/>
  <c r="C186" i="86" s="1"/>
  <c r="C187" i="86" s="1"/>
  <c r="C188" i="86" s="1"/>
  <c r="C189" i="86" s="1"/>
  <c r="C190" i="86" s="1"/>
  <c r="C191" i="86" s="1"/>
  <c r="C192" i="86" s="1"/>
  <c r="AK15" i="86"/>
  <c r="A265" i="86" s="1"/>
  <c r="A266" i="86" s="1"/>
  <c r="A267" i="86" s="1"/>
  <c r="A268" i="86" s="1"/>
  <c r="A269" i="86" s="1"/>
  <c r="A270" i="86" s="1"/>
  <c r="A271" i="86" s="1"/>
  <c r="A272" i="86" s="1"/>
  <c r="A273" i="86" s="1"/>
  <c r="A274" i="86" s="1"/>
  <c r="A275" i="86" s="1"/>
  <c r="A276" i="86" s="1"/>
  <c r="A277" i="86" s="1"/>
  <c r="C64" i="86"/>
  <c r="C65" i="86" s="1"/>
  <c r="C66" i="86" s="1"/>
  <c r="C67" i="86" s="1"/>
  <c r="C68" i="86" s="1"/>
  <c r="C69" i="86" s="1"/>
  <c r="C70" i="86" s="1"/>
  <c r="C71" i="86" s="1"/>
  <c r="C72" i="86" s="1"/>
  <c r="C73" i="86" s="1"/>
  <c r="C74" i="86" s="1"/>
  <c r="C75" i="86" s="1"/>
  <c r="AK25" i="86"/>
  <c r="A395" i="86" s="1"/>
  <c r="A396" i="86" s="1"/>
  <c r="A397" i="86" s="1"/>
  <c r="A398" i="86" s="1"/>
  <c r="A399" i="86" s="1"/>
  <c r="A400" i="86" s="1"/>
  <c r="A401" i="86" s="1"/>
  <c r="A402" i="86" s="1"/>
  <c r="A403" i="86" s="1"/>
  <c r="A404" i="86" s="1"/>
  <c r="A405" i="86" s="1"/>
  <c r="A406" i="86" s="1"/>
  <c r="A407" i="86" s="1"/>
  <c r="C194" i="86"/>
  <c r="C195" i="86" s="1"/>
  <c r="C196" i="86" s="1"/>
  <c r="C197" i="86" s="1"/>
  <c r="C198" i="86" s="1"/>
  <c r="C199" i="86" s="1"/>
  <c r="C200" i="86" s="1"/>
  <c r="C201" i="86" s="1"/>
  <c r="C202" i="86" s="1"/>
  <c r="C203" i="86" s="1"/>
  <c r="C204" i="86" s="1"/>
  <c r="C205" i="86" s="1"/>
  <c r="A212" i="86"/>
  <c r="B76" i="86" l="1"/>
  <c r="B77" i="86" s="1"/>
  <c r="B78" i="86" s="1"/>
  <c r="B79" i="86" s="1"/>
  <c r="B80" i="86" s="1"/>
  <c r="B81" i="86" s="1"/>
  <c r="B82" i="86" s="1"/>
  <c r="B83" i="86" s="1"/>
  <c r="B84" i="86" s="1"/>
  <c r="B85" i="86" s="1"/>
  <c r="B86" i="86" s="1"/>
  <c r="B87" i="86" s="1"/>
  <c r="B88" i="86" s="1"/>
  <c r="B128" i="86"/>
  <c r="B129" i="86" s="1"/>
  <c r="B130" i="86" s="1"/>
  <c r="B131" i="86" s="1"/>
  <c r="B132" i="86" s="1"/>
  <c r="B133" i="86" s="1"/>
  <c r="B134" i="86" s="1"/>
  <c r="B135" i="86" s="1"/>
  <c r="B136" i="86" s="1"/>
  <c r="B137" i="86" s="1"/>
  <c r="B138" i="86" s="1"/>
  <c r="B139" i="86" s="1"/>
  <c r="B140" i="86" s="1"/>
  <c r="B141" i="86"/>
  <c r="B142" i="86" s="1"/>
  <c r="B143" i="86" s="1"/>
  <c r="B144" i="86" s="1"/>
  <c r="B145" i="86" s="1"/>
  <c r="B146" i="86" s="1"/>
  <c r="B147" i="86" s="1"/>
  <c r="B148" i="86" s="1"/>
  <c r="B149" i="86" s="1"/>
  <c r="B150" i="86" s="1"/>
  <c r="B151" i="86" s="1"/>
  <c r="B152" i="86" s="1"/>
  <c r="B153" i="86" s="1"/>
  <c r="A128" i="86"/>
  <c r="AJ20" i="86" s="1"/>
  <c r="A154" i="86"/>
  <c r="AJ22" i="86" s="1"/>
  <c r="A180" i="86"/>
  <c r="A181" i="86" s="1"/>
  <c r="A182" i="86" s="1"/>
  <c r="A183" i="86" s="1"/>
  <c r="A184" i="86" s="1"/>
  <c r="A185" i="86" s="1"/>
  <c r="A186" i="86" s="1"/>
  <c r="A187" i="86" s="1"/>
  <c r="A188" i="86" s="1"/>
  <c r="A189" i="86" s="1"/>
  <c r="A190" i="86" s="1"/>
  <c r="A191" i="86" s="1"/>
  <c r="A192" i="86" s="1"/>
  <c r="A193" i="86"/>
  <c r="AJ25" i="86" s="1"/>
  <c r="B193" i="86"/>
  <c r="B194" i="86" s="1"/>
  <c r="B195" i="86" s="1"/>
  <c r="B196" i="86" s="1"/>
  <c r="B197" i="86" s="1"/>
  <c r="B198" i="86" s="1"/>
  <c r="B199" i="86" s="1"/>
  <c r="B200" i="86" s="1"/>
  <c r="B201" i="86" s="1"/>
  <c r="B202" i="86" s="1"/>
  <c r="B203" i="86" s="1"/>
  <c r="B204" i="86" s="1"/>
  <c r="B205" i="86" s="1"/>
  <c r="A167" i="86"/>
  <c r="AJ23" i="86" s="1"/>
  <c r="B180" i="86"/>
  <c r="B181" i="86" s="1"/>
  <c r="B182" i="86" s="1"/>
  <c r="B183" i="86" s="1"/>
  <c r="B184" i="86" s="1"/>
  <c r="B185" i="86" s="1"/>
  <c r="B186" i="86" s="1"/>
  <c r="B187" i="86" s="1"/>
  <c r="B188" i="86" s="1"/>
  <c r="B189" i="86" s="1"/>
  <c r="B190" i="86" s="1"/>
  <c r="B191" i="86" s="1"/>
  <c r="B192" i="86" s="1"/>
  <c r="B167" i="86"/>
  <c r="B168" i="86" s="1"/>
  <c r="B169" i="86" s="1"/>
  <c r="B170" i="86" s="1"/>
  <c r="B171" i="86" s="1"/>
  <c r="B172" i="86" s="1"/>
  <c r="B173" i="86" s="1"/>
  <c r="B174" i="86" s="1"/>
  <c r="B175" i="86" s="1"/>
  <c r="B176" i="86" s="1"/>
  <c r="B177" i="86" s="1"/>
  <c r="B178" i="86" s="1"/>
  <c r="B179" i="86" s="1"/>
  <c r="A141" i="86"/>
  <c r="AJ21" i="86" s="1"/>
  <c r="B154" i="86"/>
  <c r="B155" i="86" s="1"/>
  <c r="B156" i="86" s="1"/>
  <c r="B157" i="86" s="1"/>
  <c r="B158" i="86" s="1"/>
  <c r="B159" i="86" s="1"/>
  <c r="B160" i="86" s="1"/>
  <c r="B161" i="86" s="1"/>
  <c r="B162" i="86" s="1"/>
  <c r="B163" i="86" s="1"/>
  <c r="B164" i="86" s="1"/>
  <c r="B165" i="86" s="1"/>
  <c r="B166" i="86" s="1"/>
  <c r="A89" i="86"/>
  <c r="AJ17" i="86" s="1"/>
  <c r="A291" i="86"/>
  <c r="A292" i="86" s="1"/>
  <c r="A293" i="86" s="1"/>
  <c r="A294" i="86" s="1"/>
  <c r="A295" i="86" s="1"/>
  <c r="A296" i="86" s="1"/>
  <c r="A297" i="86" s="1"/>
  <c r="A298" i="86" s="1"/>
  <c r="A299" i="86" s="1"/>
  <c r="A300" i="86" s="1"/>
  <c r="A301" i="86" s="1"/>
  <c r="A302" i="86" s="1"/>
  <c r="A303" i="86" s="1"/>
  <c r="B115" i="86"/>
  <c r="B116" i="86" s="1"/>
  <c r="B117" i="86" s="1"/>
  <c r="B118" i="86" s="1"/>
  <c r="B119" i="86" s="1"/>
  <c r="B120" i="86" s="1"/>
  <c r="B121" i="86" s="1"/>
  <c r="B122" i="86" s="1"/>
  <c r="B123" i="86" s="1"/>
  <c r="B124" i="86" s="1"/>
  <c r="B125" i="86" s="1"/>
  <c r="B126" i="86" s="1"/>
  <c r="B127" i="86" s="1"/>
  <c r="A102" i="86"/>
  <c r="A103" i="86" s="1"/>
  <c r="A104" i="86" s="1"/>
  <c r="A105" i="86" s="1"/>
  <c r="A106" i="86" s="1"/>
  <c r="A107" i="86" s="1"/>
  <c r="A108" i="86" s="1"/>
  <c r="A109" i="86" s="1"/>
  <c r="A110" i="86" s="1"/>
  <c r="A111" i="86" s="1"/>
  <c r="A112" i="86" s="1"/>
  <c r="A113" i="86" s="1"/>
  <c r="A114" i="86" s="1"/>
  <c r="B102" i="86"/>
  <c r="B103" i="86" s="1"/>
  <c r="B104" i="86" s="1"/>
  <c r="B105" i="86" s="1"/>
  <c r="B106" i="86" s="1"/>
  <c r="B107" i="86" s="1"/>
  <c r="B108" i="86" s="1"/>
  <c r="B109" i="86" s="1"/>
  <c r="B110" i="86" s="1"/>
  <c r="B111" i="86" s="1"/>
  <c r="B112" i="86" s="1"/>
  <c r="B113" i="86" s="1"/>
  <c r="B114" i="86" s="1"/>
  <c r="A76" i="86"/>
  <c r="A77" i="86" s="1"/>
  <c r="A78" i="86" s="1"/>
  <c r="A79" i="86" s="1"/>
  <c r="A80" i="86" s="1"/>
  <c r="A81" i="86" s="1"/>
  <c r="A82" i="86" s="1"/>
  <c r="A83" i="86" s="1"/>
  <c r="A84" i="86" s="1"/>
  <c r="A85" i="86" s="1"/>
  <c r="A86" i="86" s="1"/>
  <c r="A87" i="86" s="1"/>
  <c r="A88" i="86" s="1"/>
  <c r="B50" i="86"/>
  <c r="B51" i="86" s="1"/>
  <c r="B52" i="86" s="1"/>
  <c r="B53" i="86" s="1"/>
  <c r="B54" i="86" s="1"/>
  <c r="B55" i="86" s="1"/>
  <c r="B56" i="86" s="1"/>
  <c r="B57" i="86" s="1"/>
  <c r="B58" i="86" s="1"/>
  <c r="B59" i="86" s="1"/>
  <c r="B60" i="86" s="1"/>
  <c r="B61" i="86" s="1"/>
  <c r="B62" i="86" s="1"/>
  <c r="A63" i="86"/>
  <c r="AJ15" i="86" s="1"/>
  <c r="B63" i="86"/>
  <c r="B64" i="86" s="1"/>
  <c r="B65" i="86" s="1"/>
  <c r="B66" i="86" s="1"/>
  <c r="B67" i="86" s="1"/>
  <c r="B68" i="86" s="1"/>
  <c r="B69" i="86" s="1"/>
  <c r="B70" i="86" s="1"/>
  <c r="B71" i="86" s="1"/>
  <c r="B72" i="86" s="1"/>
  <c r="B73" i="86" s="1"/>
  <c r="B74" i="86" s="1"/>
  <c r="B75" i="86" s="1"/>
  <c r="A50" i="86"/>
  <c r="A115" i="86"/>
  <c r="AK13" i="86"/>
  <c r="A239" i="86" s="1"/>
  <c r="A240" i="86" s="1"/>
  <c r="A241" i="86" s="1"/>
  <c r="A242" i="86" s="1"/>
  <c r="A243" i="86" s="1"/>
  <c r="A244" i="86" s="1"/>
  <c r="A245" i="86" s="1"/>
  <c r="A246" i="86" s="1"/>
  <c r="A247" i="86" s="1"/>
  <c r="A248" i="86" s="1"/>
  <c r="A249" i="86" s="1"/>
  <c r="A250" i="86" s="1"/>
  <c r="A251" i="86" s="1"/>
  <c r="AK12" i="86"/>
  <c r="A226" i="86" s="1"/>
  <c r="A227" i="86" s="1"/>
  <c r="A228" i="86" s="1"/>
  <c r="A229" i="86" s="1"/>
  <c r="A230" i="86" s="1"/>
  <c r="A231" i="86" s="1"/>
  <c r="A232" i="86" s="1"/>
  <c r="A233" i="86" s="1"/>
  <c r="A234" i="86" s="1"/>
  <c r="A235" i="86" s="1"/>
  <c r="A236" i="86" s="1"/>
  <c r="A237" i="86" s="1"/>
  <c r="A238" i="86" s="1"/>
  <c r="AK11" i="86"/>
  <c r="A48" i="8" a="1"/>
  <c r="A48" i="8" s="1"/>
  <c r="A47" i="8" a="1"/>
  <c r="A47" i="8" s="1"/>
  <c r="A46" i="8" a="1"/>
  <c r="A46" i="8" s="1"/>
  <c r="A45" i="8" a="1"/>
  <c r="A45" i="8" s="1"/>
  <c r="A44" i="8" a="1"/>
  <c r="A44" i="8" s="1"/>
  <c r="A43" i="8" a="1"/>
  <c r="A43" i="8" s="1"/>
  <c r="A42" i="8" a="1"/>
  <c r="A42" i="8" s="1"/>
  <c r="A41" i="8" a="1"/>
  <c r="A41" i="8" s="1"/>
  <c r="A40" i="8" a="1"/>
  <c r="A40" i="8" s="1"/>
  <c r="A39" i="8" a="1"/>
  <c r="A39" i="8" s="1"/>
  <c r="A38" i="8" a="1"/>
  <c r="A38" i="8" s="1"/>
  <c r="A49" i="8" a="1"/>
  <c r="A49" i="8" s="1"/>
  <c r="A28" i="8" a="1"/>
  <c r="A28" i="8" s="1"/>
  <c r="A26" i="8" a="1"/>
  <c r="A26" i="8" s="1"/>
  <c r="A34" i="8" a="1"/>
  <c r="A34" i="8" s="1"/>
  <c r="A33" i="8" a="1"/>
  <c r="A33" i="8" s="1"/>
  <c r="A32" i="8" a="1"/>
  <c r="A32" i="8" s="1"/>
  <c r="A31" i="8" a="1"/>
  <c r="A31" i="8" s="1"/>
  <c r="A30" i="8" a="1"/>
  <c r="A30" i="8" s="1"/>
  <c r="A29" i="8" a="1"/>
  <c r="A29" i="8" s="1"/>
  <c r="A27" i="8" a="1"/>
  <c r="A27" i="8" s="1"/>
  <c r="A25" i="8" a="1"/>
  <c r="A25" i="8" s="1"/>
  <c r="A24" i="8" a="1"/>
  <c r="A24" i="8" s="1"/>
  <c r="A23" i="8" a="1"/>
  <c r="A23" i="8" s="1"/>
  <c r="AL25" i="54"/>
  <c r="AL24" i="54"/>
  <c r="AL23" i="54"/>
  <c r="C25" i="54"/>
  <c r="AK25" i="54" s="1"/>
  <c r="C24" i="54"/>
  <c r="AK24" i="54" s="1"/>
  <c r="C23" i="54"/>
  <c r="AK23" i="54" s="1"/>
  <c r="D24" i="66"/>
  <c r="E24" i="66"/>
  <c r="F24" i="66"/>
  <c r="G24" i="66"/>
  <c r="H24" i="66"/>
  <c r="I24" i="66"/>
  <c r="J24" i="66"/>
  <c r="K24" i="66"/>
  <c r="L24" i="66"/>
  <c r="M24" i="66"/>
  <c r="N24" i="66"/>
  <c r="O24" i="66"/>
  <c r="P24" i="66"/>
  <c r="Q24" i="66"/>
  <c r="R24" i="66"/>
  <c r="S24" i="66"/>
  <c r="T24" i="66"/>
  <c r="U24" i="66"/>
  <c r="V24" i="66"/>
  <c r="W24" i="66"/>
  <c r="X24" i="66"/>
  <c r="Y24" i="66"/>
  <c r="Z24" i="66"/>
  <c r="AA24" i="66"/>
  <c r="AB24" i="66"/>
  <c r="AC24" i="66"/>
  <c r="AD24" i="66"/>
  <c r="C24" i="66"/>
  <c r="D18" i="66"/>
  <c r="E18" i="66"/>
  <c r="F18" i="66"/>
  <c r="G18" i="66"/>
  <c r="H18" i="66"/>
  <c r="I18" i="66"/>
  <c r="J18" i="66"/>
  <c r="K18" i="66"/>
  <c r="L18" i="66"/>
  <c r="M18" i="66"/>
  <c r="N18" i="66"/>
  <c r="O18" i="66"/>
  <c r="P18" i="66"/>
  <c r="Q18" i="66"/>
  <c r="R18" i="66"/>
  <c r="S18" i="66"/>
  <c r="T18" i="66"/>
  <c r="U18" i="66"/>
  <c r="V18" i="66"/>
  <c r="W18" i="66"/>
  <c r="X18" i="66"/>
  <c r="Y18" i="66"/>
  <c r="Z18" i="66"/>
  <c r="AA18" i="66"/>
  <c r="AB18" i="66"/>
  <c r="AC18" i="66"/>
  <c r="AD18" i="66"/>
  <c r="C18" i="66"/>
  <c r="D12" i="66"/>
  <c r="E12" i="66"/>
  <c r="F12" i="66"/>
  <c r="G12" i="66"/>
  <c r="H12" i="66"/>
  <c r="I12" i="66"/>
  <c r="J12" i="66"/>
  <c r="K12" i="66"/>
  <c r="L12" i="66"/>
  <c r="M12" i="66"/>
  <c r="N12" i="66"/>
  <c r="O12" i="66"/>
  <c r="P12" i="66"/>
  <c r="Q12" i="66"/>
  <c r="R12" i="66"/>
  <c r="S12" i="66"/>
  <c r="T12" i="66"/>
  <c r="U12" i="66"/>
  <c r="V12" i="66"/>
  <c r="W12" i="66"/>
  <c r="X12" i="66"/>
  <c r="Y12" i="66"/>
  <c r="Z12" i="66"/>
  <c r="AA12" i="66"/>
  <c r="AB12" i="66"/>
  <c r="AC12" i="66"/>
  <c r="AD12" i="66"/>
  <c r="C12" i="66"/>
  <c r="R73" i="64" l="1"/>
  <c r="R16" i="64"/>
  <c r="Y90" i="64"/>
  <c r="Y36" i="64"/>
  <c r="AG107" i="64"/>
  <c r="AG56" i="64"/>
  <c r="M107" i="64"/>
  <c r="M56" i="64"/>
  <c r="AJ16" i="64"/>
  <c r="AJ73" i="64"/>
  <c r="X36" i="64"/>
  <c r="X90" i="64"/>
  <c r="AF107" i="64"/>
  <c r="AF56" i="64"/>
  <c r="L107" i="64"/>
  <c r="L56" i="64"/>
  <c r="Z90" i="64"/>
  <c r="Z36" i="64"/>
  <c r="Q73" i="64"/>
  <c r="Q16" i="64"/>
  <c r="P73" i="64"/>
  <c r="P16" i="64"/>
  <c r="AI73" i="64"/>
  <c r="AI16" i="64"/>
  <c r="O73" i="64"/>
  <c r="O16" i="64"/>
  <c r="W90" i="64"/>
  <c r="W36" i="64"/>
  <c r="AE107" i="64"/>
  <c r="AE56" i="64"/>
  <c r="AL73" i="64"/>
  <c r="AL16" i="64"/>
  <c r="AH73" i="64"/>
  <c r="AH16" i="64"/>
  <c r="AD107" i="64"/>
  <c r="AD56" i="64"/>
  <c r="AG90" i="64"/>
  <c r="AG36" i="64"/>
  <c r="AK73" i="64"/>
  <c r="AK16" i="64"/>
  <c r="U90" i="64"/>
  <c r="U36" i="64"/>
  <c r="AC107" i="64"/>
  <c r="AC56" i="64"/>
  <c r="AH107" i="64"/>
  <c r="AH56" i="64"/>
  <c r="N73" i="64"/>
  <c r="N16" i="64"/>
  <c r="V90" i="64"/>
  <c r="V36" i="64"/>
  <c r="AG73" i="64"/>
  <c r="AG16" i="64"/>
  <c r="M73" i="64"/>
  <c r="M16" i="64"/>
  <c r="AF73" i="64"/>
  <c r="AF16" i="64"/>
  <c r="L73" i="64"/>
  <c r="L16" i="64"/>
  <c r="T90" i="64"/>
  <c r="T36" i="64"/>
  <c r="AB107" i="64"/>
  <c r="AB56" i="64"/>
  <c r="N107" i="64"/>
  <c r="N56" i="64"/>
  <c r="AE73" i="64"/>
  <c r="AE16" i="64"/>
  <c r="K90" i="64"/>
  <c r="K36" i="64"/>
  <c r="S90" i="64"/>
  <c r="S36" i="64"/>
  <c r="AA107" i="64"/>
  <c r="AA56" i="64"/>
  <c r="W73" i="64"/>
  <c r="W16" i="64"/>
  <c r="AL90" i="64"/>
  <c r="AL36" i="64"/>
  <c r="R90" i="64"/>
  <c r="R36" i="64"/>
  <c r="Z107" i="64"/>
  <c r="Z56" i="64"/>
  <c r="AD73" i="64"/>
  <c r="AD16" i="64"/>
  <c r="AC73" i="64"/>
  <c r="AC16" i="64"/>
  <c r="AK36" i="64"/>
  <c r="AK90" i="64"/>
  <c r="Q36" i="64"/>
  <c r="Q90" i="64"/>
  <c r="Y56" i="64"/>
  <c r="Y107" i="64"/>
  <c r="AB16" i="64"/>
  <c r="AB73" i="64"/>
  <c r="AJ36" i="64"/>
  <c r="AJ90" i="64"/>
  <c r="P36" i="64"/>
  <c r="P90" i="64"/>
  <c r="X56" i="64"/>
  <c r="X107" i="64"/>
  <c r="AA73" i="64"/>
  <c r="AA16" i="64"/>
  <c r="AI90" i="64"/>
  <c r="AI36" i="64"/>
  <c r="O90" i="64"/>
  <c r="O36" i="64"/>
  <c r="W107" i="64"/>
  <c r="W56" i="64"/>
  <c r="AH90" i="64"/>
  <c r="AH36" i="64"/>
  <c r="N90" i="64"/>
  <c r="N36" i="64"/>
  <c r="V107" i="64"/>
  <c r="V56" i="64"/>
  <c r="M90" i="64"/>
  <c r="M36" i="64"/>
  <c r="U107" i="64"/>
  <c r="U56" i="64"/>
  <c r="Z73" i="64"/>
  <c r="Z16" i="64"/>
  <c r="X73" i="64"/>
  <c r="X16" i="64"/>
  <c r="AF90" i="64"/>
  <c r="AF36" i="64"/>
  <c r="L90" i="64"/>
  <c r="L36" i="64"/>
  <c r="T107" i="64"/>
  <c r="T56" i="64"/>
  <c r="Y73" i="64"/>
  <c r="Y16" i="64"/>
  <c r="S107" i="64"/>
  <c r="S56" i="64"/>
  <c r="R56" i="64"/>
  <c r="R107" i="64"/>
  <c r="AD36" i="64"/>
  <c r="AD90" i="64"/>
  <c r="AL56" i="64"/>
  <c r="AL107" i="64"/>
  <c r="AC36" i="64"/>
  <c r="AC90" i="64"/>
  <c r="AK56" i="64"/>
  <c r="AK107" i="64"/>
  <c r="Q56" i="64"/>
  <c r="Q107" i="64"/>
  <c r="AE90" i="64"/>
  <c r="AE36" i="64"/>
  <c r="V16" i="64"/>
  <c r="V73" i="64"/>
  <c r="U16" i="64"/>
  <c r="U73" i="64"/>
  <c r="T16" i="64"/>
  <c r="T73" i="64"/>
  <c r="AB36" i="64"/>
  <c r="AB90" i="64"/>
  <c r="AJ56" i="64"/>
  <c r="AJ107" i="64"/>
  <c r="P56" i="64"/>
  <c r="P107" i="64"/>
  <c r="K107" i="64"/>
  <c r="K56" i="64"/>
  <c r="K16" i="64"/>
  <c r="K73" i="64"/>
  <c r="S16" i="64"/>
  <c r="S73" i="64"/>
  <c r="AA36" i="64"/>
  <c r="AA90" i="64"/>
  <c r="AI56" i="64"/>
  <c r="AI107" i="64"/>
  <c r="O56" i="64"/>
  <c r="O107" i="64"/>
  <c r="A155" i="86"/>
  <c r="A156" i="86" s="1"/>
  <c r="A157" i="86" s="1"/>
  <c r="A158" i="86" s="1"/>
  <c r="A159" i="86" s="1"/>
  <c r="A160" i="86" s="1"/>
  <c r="A161" i="86" s="1"/>
  <c r="A162" i="86" s="1"/>
  <c r="A163" i="86" s="1"/>
  <c r="A164" i="86" s="1"/>
  <c r="A165" i="86" s="1"/>
  <c r="A166" i="86" s="1"/>
  <c r="A129" i="86"/>
  <c r="A130" i="86" s="1"/>
  <c r="A131" i="86" s="1"/>
  <c r="A132" i="86" s="1"/>
  <c r="A133" i="86" s="1"/>
  <c r="A134" i="86" s="1"/>
  <c r="A135" i="86" s="1"/>
  <c r="A136" i="86" s="1"/>
  <c r="A137" i="86" s="1"/>
  <c r="A138" i="86" s="1"/>
  <c r="A139" i="86" s="1"/>
  <c r="A140" i="86" s="1"/>
  <c r="AJ18" i="86"/>
  <c r="AJ24" i="86"/>
  <c r="A168" i="86"/>
  <c r="A169" i="86" s="1"/>
  <c r="A170" i="86" s="1"/>
  <c r="A171" i="86" s="1"/>
  <c r="A172" i="86" s="1"/>
  <c r="A173" i="86" s="1"/>
  <c r="A174" i="86" s="1"/>
  <c r="A175" i="86" s="1"/>
  <c r="A176" i="86" s="1"/>
  <c r="A177" i="86" s="1"/>
  <c r="A178" i="86" s="1"/>
  <c r="A179" i="86" s="1"/>
  <c r="AJ16" i="86"/>
  <c r="A90" i="86"/>
  <c r="A91" i="86" s="1"/>
  <c r="A92" i="86" s="1"/>
  <c r="A93" i="86" s="1"/>
  <c r="A94" i="86" s="1"/>
  <c r="A95" i="86" s="1"/>
  <c r="A96" i="86" s="1"/>
  <c r="A97" i="86" s="1"/>
  <c r="A98" i="86" s="1"/>
  <c r="A99" i="86" s="1"/>
  <c r="A100" i="86" s="1"/>
  <c r="A101" i="86" s="1"/>
  <c r="A194" i="86"/>
  <c r="A195" i="86" s="1"/>
  <c r="A196" i="86" s="1"/>
  <c r="A197" i="86" s="1"/>
  <c r="A198" i="86" s="1"/>
  <c r="A199" i="86" s="1"/>
  <c r="A200" i="86" s="1"/>
  <c r="A201" i="86" s="1"/>
  <c r="A202" i="86" s="1"/>
  <c r="A203" i="86" s="1"/>
  <c r="A204" i="86" s="1"/>
  <c r="A205" i="86" s="1"/>
  <c r="A64" i="86"/>
  <c r="A65" i="86" s="1"/>
  <c r="A66" i="86" s="1"/>
  <c r="A67" i="86" s="1"/>
  <c r="A68" i="86" s="1"/>
  <c r="A69" i="86" s="1"/>
  <c r="A70" i="86" s="1"/>
  <c r="A71" i="86" s="1"/>
  <c r="A72" i="86" s="1"/>
  <c r="A73" i="86" s="1"/>
  <c r="A74" i="86" s="1"/>
  <c r="A75" i="86" s="1"/>
  <c r="A142" i="86"/>
  <c r="A143" i="86" s="1"/>
  <c r="A144" i="86" s="1"/>
  <c r="A145" i="86" s="1"/>
  <c r="A146" i="86" s="1"/>
  <c r="A147" i="86" s="1"/>
  <c r="A148" i="86" s="1"/>
  <c r="A149" i="86" s="1"/>
  <c r="A150" i="86" s="1"/>
  <c r="A151" i="86" s="1"/>
  <c r="A152" i="86" s="1"/>
  <c r="A153" i="86" s="1"/>
  <c r="AJ19" i="86"/>
  <c r="A116" i="86"/>
  <c r="A117" i="86" s="1"/>
  <c r="A118" i="86" s="1"/>
  <c r="A119" i="86" s="1"/>
  <c r="A120" i="86" s="1"/>
  <c r="A121" i="86" s="1"/>
  <c r="A122" i="86" s="1"/>
  <c r="A123" i="86" s="1"/>
  <c r="A124" i="86" s="1"/>
  <c r="A125" i="86" s="1"/>
  <c r="A126" i="86" s="1"/>
  <c r="A127" i="86" s="1"/>
  <c r="AJ14" i="86"/>
  <c r="A51" i="86"/>
  <c r="A52" i="86" s="1"/>
  <c r="A53" i="86" s="1"/>
  <c r="A54" i="86" s="1"/>
  <c r="A55" i="86" s="1"/>
  <c r="A56" i="86" s="1"/>
  <c r="A57" i="86" s="1"/>
  <c r="A58" i="86" s="1"/>
  <c r="A59" i="86" s="1"/>
  <c r="A60" i="86" s="1"/>
  <c r="A61" i="86" s="1"/>
  <c r="A62" i="86" s="1"/>
  <c r="A11" i="86"/>
  <c r="A213" i="86"/>
  <c r="A214" i="86" s="1"/>
  <c r="A215" i="86" s="1"/>
  <c r="A216" i="86" s="1"/>
  <c r="A217" i="86" s="1"/>
  <c r="A218" i="86" s="1"/>
  <c r="A219" i="86" s="1"/>
  <c r="A220" i="86" s="1"/>
  <c r="A221" i="86" s="1"/>
  <c r="A222" i="86" s="1"/>
  <c r="A223" i="86" s="1"/>
  <c r="A224" i="86" s="1"/>
  <c r="A225" i="86" s="1"/>
  <c r="B11" i="86"/>
  <c r="B12" i="86" s="1"/>
  <c r="B13" i="86" s="1"/>
  <c r="B14" i="86" s="1"/>
  <c r="B15" i="86" s="1"/>
  <c r="B16" i="86" s="1"/>
  <c r="B17" i="86" s="1"/>
  <c r="B18" i="86" s="1"/>
  <c r="B19" i="86" s="1"/>
  <c r="B20" i="86" s="1"/>
  <c r="B21" i="86" s="1"/>
  <c r="B22" i="86" s="1"/>
  <c r="B23" i="86" s="1"/>
  <c r="A37" i="86"/>
  <c r="B37" i="86"/>
  <c r="B38" i="86" s="1"/>
  <c r="B39" i="86" s="1"/>
  <c r="B40" i="86" s="1"/>
  <c r="B41" i="86" s="1"/>
  <c r="B42" i="86" s="1"/>
  <c r="B43" i="86" s="1"/>
  <c r="B44" i="86" s="1"/>
  <c r="B45" i="86" s="1"/>
  <c r="B46" i="86" s="1"/>
  <c r="B47" i="86" s="1"/>
  <c r="B48" i="86" s="1"/>
  <c r="B49" i="86" s="1"/>
  <c r="B24" i="86"/>
  <c r="B25" i="86" s="1"/>
  <c r="B26" i="86" s="1"/>
  <c r="B27" i="86" s="1"/>
  <c r="B28" i="86" s="1"/>
  <c r="B29" i="86" s="1"/>
  <c r="B30" i="86" s="1"/>
  <c r="B31" i="86" s="1"/>
  <c r="B32" i="86" s="1"/>
  <c r="B33" i="86" s="1"/>
  <c r="B34" i="86" s="1"/>
  <c r="B35" i="86" s="1"/>
  <c r="B36" i="86" s="1"/>
  <c r="A24" i="86"/>
  <c r="B23" i="54"/>
  <c r="B51" i="54" s="1"/>
  <c r="A23" i="54"/>
  <c r="A24" i="54"/>
  <c r="B24" i="54"/>
  <c r="B52" i="54" s="1"/>
  <c r="B25" i="54"/>
  <c r="B53" i="54" s="1"/>
  <c r="A25" i="54"/>
  <c r="C430" i="62"/>
  <c r="C429" i="62"/>
  <c r="C428" i="62"/>
  <c r="C427" i="62"/>
  <c r="C426" i="62"/>
  <c r="C425" i="62"/>
  <c r="C424" i="62"/>
  <c r="C423" i="62"/>
  <c r="C422" i="62"/>
  <c r="D806" i="62"/>
  <c r="C805" i="62"/>
  <c r="B795" i="62"/>
  <c r="D794" i="62"/>
  <c r="C793" i="62"/>
  <c r="D782" i="62"/>
  <c r="C781" i="62"/>
  <c r="D770" i="62"/>
  <c r="C769" i="62"/>
  <c r="C768" i="62"/>
  <c r="C767" i="62"/>
  <c r="C766" i="62"/>
  <c r="C765" i="62"/>
  <c r="C764" i="62"/>
  <c r="B754" i="62"/>
  <c r="A754" i="62"/>
  <c r="D753" i="62"/>
  <c r="C748" i="62"/>
  <c r="C747" i="62"/>
  <c r="C746" i="62"/>
  <c r="C745" i="62"/>
  <c r="C744" i="62"/>
  <c r="C743" i="62"/>
  <c r="C742" i="62"/>
  <c r="C740" i="62"/>
  <c r="C739" i="62"/>
  <c r="D728" i="62"/>
  <c r="C727" i="62"/>
  <c r="C726" i="62"/>
  <c r="C725" i="62"/>
  <c r="C724" i="62"/>
  <c r="C723" i="62"/>
  <c r="C722" i="62"/>
  <c r="C721" i="62"/>
  <c r="C720" i="62"/>
  <c r="C719" i="62"/>
  <c r="D707" i="62"/>
  <c r="C706" i="62"/>
  <c r="B696" i="62"/>
  <c r="D695" i="62"/>
  <c r="C694" i="62"/>
  <c r="D683" i="62"/>
  <c r="C682" i="62"/>
  <c r="D671" i="62"/>
  <c r="C670" i="62"/>
  <c r="C669" i="62"/>
  <c r="C668" i="62"/>
  <c r="C667" i="62"/>
  <c r="C666" i="62"/>
  <c r="C665" i="62"/>
  <c r="D654" i="62"/>
  <c r="C649" i="62"/>
  <c r="C648" i="62"/>
  <c r="C647" i="62"/>
  <c r="C646" i="62"/>
  <c r="C645" i="62"/>
  <c r="C644" i="62"/>
  <c r="C643" i="62"/>
  <c r="C642" i="62"/>
  <c r="C641" i="62"/>
  <c r="C640" i="62"/>
  <c r="A630" i="62"/>
  <c r="D629" i="62"/>
  <c r="C628" i="62"/>
  <c r="C627" i="62"/>
  <c r="C626" i="62"/>
  <c r="C625" i="62"/>
  <c r="C624" i="62"/>
  <c r="C623" i="62"/>
  <c r="C622" i="62"/>
  <c r="C621" i="62"/>
  <c r="C620" i="62"/>
  <c r="D608" i="62"/>
  <c r="C607" i="62"/>
  <c r="A597" i="62"/>
  <c r="D596" i="62"/>
  <c r="C595" i="62"/>
  <c r="A585" i="62"/>
  <c r="D584" i="62"/>
  <c r="C583" i="62"/>
  <c r="B573" i="62"/>
  <c r="A573" i="62"/>
  <c r="D572" i="62"/>
  <c r="C571" i="62"/>
  <c r="C570" i="62"/>
  <c r="C569" i="62"/>
  <c r="C568" i="62"/>
  <c r="C567" i="62"/>
  <c r="C566" i="62"/>
  <c r="D555" i="62"/>
  <c r="C550" i="62"/>
  <c r="C549" i="62"/>
  <c r="C548" i="62"/>
  <c r="C547" i="62"/>
  <c r="C546" i="62"/>
  <c r="C545" i="62"/>
  <c r="C544" i="62"/>
  <c r="C543" i="62"/>
  <c r="C542" i="62"/>
  <c r="C541" i="62"/>
  <c r="D530" i="62"/>
  <c r="C529" i="62"/>
  <c r="C528" i="62"/>
  <c r="C527" i="62"/>
  <c r="C526" i="62"/>
  <c r="C525" i="62"/>
  <c r="C524" i="62"/>
  <c r="C523" i="62"/>
  <c r="C522" i="62"/>
  <c r="C521" i="62"/>
  <c r="C367" i="62"/>
  <c r="C366" i="62"/>
  <c r="C365" i="62"/>
  <c r="C364" i="62"/>
  <c r="C325" i="62"/>
  <c r="C324" i="62"/>
  <c r="C323" i="62"/>
  <c r="C322" i="62"/>
  <c r="C321" i="62"/>
  <c r="C320" i="62"/>
  <c r="C319" i="62"/>
  <c r="C268" i="62"/>
  <c r="C267" i="62"/>
  <c r="C266" i="62"/>
  <c r="C265" i="62"/>
  <c r="C240" i="62"/>
  <c r="C226" i="62"/>
  <c r="C225" i="62"/>
  <c r="C224" i="62"/>
  <c r="C223" i="62"/>
  <c r="C222" i="62"/>
  <c r="C221" i="62"/>
  <c r="C220" i="62"/>
  <c r="C169" i="62"/>
  <c r="C168" i="62"/>
  <c r="C167" i="62"/>
  <c r="C166" i="62"/>
  <c r="C141" i="62"/>
  <c r="C127" i="62"/>
  <c r="C126" i="62"/>
  <c r="C125" i="62"/>
  <c r="C124" i="62"/>
  <c r="C123" i="62"/>
  <c r="C122" i="62"/>
  <c r="C121" i="62"/>
  <c r="G183" i="60"/>
  <c r="G189" i="60" s="1"/>
  <c r="G195" i="60" s="1"/>
  <c r="H183" i="60"/>
  <c r="H189" i="60"/>
  <c r="AL105" i="62"/>
  <c r="AK105" i="62"/>
  <c r="AJ105" i="62"/>
  <c r="AI105" i="62"/>
  <c r="AH105" i="62"/>
  <c r="AG105" i="62"/>
  <c r="AF105" i="62"/>
  <c r="AE105" i="62"/>
  <c r="AD105" i="62"/>
  <c r="AC105" i="62"/>
  <c r="AB105" i="62"/>
  <c r="AA105" i="62"/>
  <c r="Z105" i="62"/>
  <c r="Y105" i="62"/>
  <c r="X105" i="62"/>
  <c r="W105" i="62"/>
  <c r="V105" i="62"/>
  <c r="U105" i="62"/>
  <c r="T105" i="62"/>
  <c r="S105" i="62"/>
  <c r="R105" i="62"/>
  <c r="Q105" i="62"/>
  <c r="P105" i="62"/>
  <c r="O105" i="62"/>
  <c r="N105" i="62"/>
  <c r="M105" i="62"/>
  <c r="L105" i="62"/>
  <c r="K105" i="62"/>
  <c r="L507" i="62"/>
  <c r="M507" i="62"/>
  <c r="N507" i="62"/>
  <c r="O507" i="62"/>
  <c r="P507" i="62"/>
  <c r="Q507" i="62"/>
  <c r="R507" i="62"/>
  <c r="S507" i="62"/>
  <c r="T507" i="62"/>
  <c r="U507" i="62"/>
  <c r="V507" i="62"/>
  <c r="W507" i="62"/>
  <c r="X507" i="62"/>
  <c r="Y507" i="62"/>
  <c r="Z507" i="62"/>
  <c r="AA507" i="62"/>
  <c r="AB507" i="62"/>
  <c r="AC507" i="62"/>
  <c r="AD507" i="62"/>
  <c r="AE507" i="62"/>
  <c r="AF507" i="62"/>
  <c r="AG507" i="62"/>
  <c r="AH507" i="62"/>
  <c r="AI507" i="62"/>
  <c r="AJ507" i="62"/>
  <c r="AK507" i="62"/>
  <c r="AL507" i="62"/>
  <c r="K507" i="62"/>
  <c r="C472" i="62"/>
  <c r="C471" i="62"/>
  <c r="C470" i="62"/>
  <c r="C469" i="62"/>
  <c r="C70" i="62"/>
  <c r="C69" i="62"/>
  <c r="C68" i="62"/>
  <c r="C67" i="62"/>
  <c r="C53" i="62"/>
  <c r="C52" i="62"/>
  <c r="C51" i="62"/>
  <c r="C50" i="62"/>
  <c r="C42" i="62"/>
  <c r="C444" i="62"/>
  <c r="C28" i="62"/>
  <c r="C27" i="62"/>
  <c r="C26" i="62"/>
  <c r="C25" i="62"/>
  <c r="C24" i="62"/>
  <c r="C23" i="62"/>
  <c r="C22" i="62"/>
  <c r="H176" i="60"/>
  <c r="H175" i="60"/>
  <c r="H174" i="60"/>
  <c r="H173" i="60"/>
  <c r="H172" i="60"/>
  <c r="G176" i="60"/>
  <c r="G182" i="60" s="1"/>
  <c r="G188" i="60" s="1"/>
  <c r="G194" i="60" s="1"/>
  <c r="G175" i="60"/>
  <c r="G181" i="60" s="1"/>
  <c r="G187" i="60" s="1"/>
  <c r="G193" i="60" s="1"/>
  <c r="G174" i="60"/>
  <c r="G180" i="60" s="1"/>
  <c r="G186" i="60" s="1"/>
  <c r="G192" i="60" s="1"/>
  <c r="G173" i="60"/>
  <c r="G179" i="60" s="1"/>
  <c r="G185" i="60" s="1"/>
  <c r="G191" i="60" s="1"/>
  <c r="G172" i="60"/>
  <c r="G178" i="60" s="1"/>
  <c r="G184" i="60" s="1"/>
  <c r="G190" i="60" s="1"/>
  <c r="F176" i="60"/>
  <c r="F175" i="60"/>
  <c r="F174" i="60"/>
  <c r="F173" i="60"/>
  <c r="F172" i="60"/>
  <c r="F178" i="60" s="1"/>
  <c r="AL11" i="62"/>
  <c r="AK11" i="62"/>
  <c r="AJ11" i="62"/>
  <c r="AI11" i="62"/>
  <c r="AH11" i="62"/>
  <c r="AG11" i="62"/>
  <c r="AF11" i="62"/>
  <c r="AE11" i="62"/>
  <c r="AD11" i="62"/>
  <c r="AC11" i="62"/>
  <c r="AB11" i="62"/>
  <c r="AA11" i="62"/>
  <c r="Z11" i="62"/>
  <c r="Y11" i="62"/>
  <c r="X11" i="62"/>
  <c r="W11" i="62"/>
  <c r="V11" i="62"/>
  <c r="U11" i="62"/>
  <c r="T11" i="62"/>
  <c r="S11" i="62"/>
  <c r="R11" i="62"/>
  <c r="Q11" i="62"/>
  <c r="P11" i="62"/>
  <c r="O11" i="62"/>
  <c r="N11" i="62"/>
  <c r="M11" i="62"/>
  <c r="L11" i="62"/>
  <c r="K11" i="62"/>
  <c r="AL413" i="62"/>
  <c r="AK413" i="62"/>
  <c r="AJ413" i="62"/>
  <c r="AI413" i="62"/>
  <c r="AH413" i="62"/>
  <c r="AG413" i="62"/>
  <c r="AF413" i="62"/>
  <c r="AE413" i="62"/>
  <c r="AD413" i="62"/>
  <c r="AC413" i="62"/>
  <c r="AB413" i="62"/>
  <c r="AA413" i="62"/>
  <c r="Z413" i="62"/>
  <c r="Y413" i="62"/>
  <c r="X413" i="62"/>
  <c r="W413" i="62"/>
  <c r="V413" i="62"/>
  <c r="U413" i="62"/>
  <c r="T413" i="62"/>
  <c r="S413" i="62"/>
  <c r="R413" i="62"/>
  <c r="Q413" i="62"/>
  <c r="P413" i="62"/>
  <c r="O413" i="62"/>
  <c r="N413" i="62"/>
  <c r="M413" i="62"/>
  <c r="L413" i="62"/>
  <c r="K413" i="62"/>
  <c r="AP435" i="62"/>
  <c r="AP434" i="62"/>
  <c r="B783" i="62" s="1"/>
  <c r="AP433" i="62"/>
  <c r="B771" i="62" s="1"/>
  <c r="AP432" i="62"/>
  <c r="AP431" i="62"/>
  <c r="B729" i="62" s="1"/>
  <c r="AP430" i="62"/>
  <c r="B709" i="62" s="1"/>
  <c r="AP429" i="62"/>
  <c r="AP428" i="62"/>
  <c r="B684" i="62" s="1"/>
  <c r="AP427" i="62"/>
  <c r="B672" i="62" s="1"/>
  <c r="AP426" i="62"/>
  <c r="B655" i="62" s="1"/>
  <c r="AP425" i="62"/>
  <c r="B630" i="62" s="1"/>
  <c r="AP424" i="62"/>
  <c r="B610" i="62" s="1"/>
  <c r="AP423" i="62"/>
  <c r="B597" i="62" s="1"/>
  <c r="AP422" i="62"/>
  <c r="B585" i="62" s="1"/>
  <c r="AP421" i="62"/>
  <c r="AP420" i="62"/>
  <c r="B556" i="62" s="1"/>
  <c r="AP419" i="62"/>
  <c r="B531" i="62" s="1"/>
  <c r="AP418" i="62"/>
  <c r="B511" i="62" s="1"/>
  <c r="AP417" i="62"/>
  <c r="B498" i="62" s="1"/>
  <c r="AP416" i="62"/>
  <c r="B486" i="62" s="1"/>
  <c r="AP415" i="62"/>
  <c r="B474" i="62" s="1"/>
  <c r="AP414" i="62"/>
  <c r="B457" i="62" s="1"/>
  <c r="AP413" i="62"/>
  <c r="B432" i="62" s="1"/>
  <c r="AP412" i="62"/>
  <c r="B412" i="62" s="1"/>
  <c r="AO435" i="62"/>
  <c r="A795" i="62" s="1"/>
  <c r="AO434" i="62"/>
  <c r="A783" i="62" s="1"/>
  <c r="AO433" i="62"/>
  <c r="A771" i="62" s="1"/>
  <c r="AO432" i="62"/>
  <c r="AO431" i="62"/>
  <c r="A729" i="62" s="1"/>
  <c r="AO430" i="62"/>
  <c r="A709" i="62" s="1"/>
  <c r="AO429" i="62"/>
  <c r="A696" i="62" s="1"/>
  <c r="AO428" i="62"/>
  <c r="A684" i="62" s="1"/>
  <c r="AO427" i="62"/>
  <c r="A672" i="62" s="1"/>
  <c r="AO426" i="62"/>
  <c r="A655" i="62" s="1"/>
  <c r="AO425" i="62"/>
  <c r="AO424" i="62"/>
  <c r="A610" i="62" s="1"/>
  <c r="AO423" i="62"/>
  <c r="AO422" i="62"/>
  <c r="AO421" i="62"/>
  <c r="AO420" i="62"/>
  <c r="A556" i="62" s="1"/>
  <c r="AO419" i="62"/>
  <c r="A531" i="62" s="1"/>
  <c r="AO418" i="62"/>
  <c r="A511" i="62" s="1"/>
  <c r="AO417" i="62"/>
  <c r="A498" i="62" s="1"/>
  <c r="AO416" i="62"/>
  <c r="A486" i="62" s="1"/>
  <c r="AO415" i="62"/>
  <c r="A474" i="62" s="1"/>
  <c r="AO414" i="62"/>
  <c r="A457" i="62" s="1"/>
  <c r="AO413" i="62"/>
  <c r="A432" i="62" s="1"/>
  <c r="AO412" i="62"/>
  <c r="A412" i="62" s="1"/>
  <c r="D509" i="62"/>
  <c r="C508" i="62"/>
  <c r="D497" i="62"/>
  <c r="C496" i="62"/>
  <c r="D485" i="62"/>
  <c r="C484" i="62"/>
  <c r="D473" i="62"/>
  <c r="C468" i="62"/>
  <c r="C467" i="62"/>
  <c r="D456" i="62"/>
  <c r="C451" i="62"/>
  <c r="C450" i="62"/>
  <c r="C449" i="62"/>
  <c r="C448" i="62"/>
  <c r="C447" i="62"/>
  <c r="C446" i="62"/>
  <c r="C445" i="62"/>
  <c r="C443" i="62"/>
  <c r="C442" i="62"/>
  <c r="D431" i="62"/>
  <c r="AP28" i="62"/>
  <c r="AP22" i="62"/>
  <c r="AP16" i="62"/>
  <c r="B105" i="8"/>
  <c r="C175" i="60" s="1"/>
  <c r="B114" i="8"/>
  <c r="L480" i="62" l="1"/>
  <c r="M480" i="62"/>
  <c r="N480" i="62"/>
  <c r="O480" i="62"/>
  <c r="P480" i="62"/>
  <c r="Q480" i="62"/>
  <c r="R480" i="62"/>
  <c r="S480" i="62"/>
  <c r="T480" i="62"/>
  <c r="U480" i="62"/>
  <c r="V480" i="62"/>
  <c r="W480" i="62"/>
  <c r="X480" i="62"/>
  <c r="Y480" i="62"/>
  <c r="Z480" i="62"/>
  <c r="AA480" i="62"/>
  <c r="AB480" i="62"/>
  <c r="AC480" i="62"/>
  <c r="AD480" i="62"/>
  <c r="AE480" i="62"/>
  <c r="AF480" i="62"/>
  <c r="AG480" i="62"/>
  <c r="AH480" i="62"/>
  <c r="AI480" i="62"/>
  <c r="AJ480" i="62"/>
  <c r="AK480" i="62"/>
  <c r="AL480" i="62"/>
  <c r="K480" i="62"/>
  <c r="L78" i="62"/>
  <c r="M78" i="62"/>
  <c r="N78" i="62"/>
  <c r="O78" i="62"/>
  <c r="P78" i="62"/>
  <c r="Q78" i="62"/>
  <c r="R78" i="62"/>
  <c r="S78" i="62"/>
  <c r="T78" i="62"/>
  <c r="U78" i="62"/>
  <c r="V78" i="62"/>
  <c r="W78" i="62"/>
  <c r="X78" i="62"/>
  <c r="Y78" i="62"/>
  <c r="Z78" i="62"/>
  <c r="AA78" i="62"/>
  <c r="AB78" i="62"/>
  <c r="AC78" i="62"/>
  <c r="AD78" i="62"/>
  <c r="AE78" i="62"/>
  <c r="AF78" i="62"/>
  <c r="AG78" i="62"/>
  <c r="AH78" i="62"/>
  <c r="AI78" i="62"/>
  <c r="AJ78" i="62"/>
  <c r="AK78" i="62"/>
  <c r="AL78" i="62"/>
  <c r="K78" i="62"/>
  <c r="AL110" i="62"/>
  <c r="AK110" i="62"/>
  <c r="AJ110" i="62"/>
  <c r="AI110" i="62"/>
  <c r="AH110" i="62"/>
  <c r="AG110" i="62"/>
  <c r="AF110" i="62"/>
  <c r="AE110" i="62"/>
  <c r="AD110" i="62"/>
  <c r="AC110" i="62"/>
  <c r="AB110" i="62"/>
  <c r="AA110" i="62"/>
  <c r="Z110" i="62"/>
  <c r="Y110" i="62"/>
  <c r="X110" i="62"/>
  <c r="W110" i="62"/>
  <c r="V110" i="62"/>
  <c r="U110" i="62"/>
  <c r="T110" i="62"/>
  <c r="S110" i="62"/>
  <c r="R110" i="62"/>
  <c r="Q110" i="62"/>
  <c r="P110" i="62"/>
  <c r="O110" i="62"/>
  <c r="N110" i="62"/>
  <c r="M110" i="62"/>
  <c r="L110" i="62"/>
  <c r="K110" i="62"/>
  <c r="L512" i="62"/>
  <c r="M512" i="62"/>
  <c r="N512" i="62"/>
  <c r="O512" i="62"/>
  <c r="P512" i="62"/>
  <c r="Q512" i="62"/>
  <c r="R512" i="62"/>
  <c r="S512" i="62"/>
  <c r="T512" i="62"/>
  <c r="U512" i="62"/>
  <c r="V512" i="62"/>
  <c r="W512" i="62"/>
  <c r="X512" i="62"/>
  <c r="Y512" i="62"/>
  <c r="Z512" i="62"/>
  <c r="AA512" i="62"/>
  <c r="AB512" i="62"/>
  <c r="AC512" i="62"/>
  <c r="AD512" i="62"/>
  <c r="AE512" i="62"/>
  <c r="AF512" i="62"/>
  <c r="AG512" i="62"/>
  <c r="AH512" i="62"/>
  <c r="AI512" i="62"/>
  <c r="AJ512" i="62"/>
  <c r="AK512" i="62"/>
  <c r="AL512" i="62"/>
  <c r="K512" i="62"/>
  <c r="F184" i="60"/>
  <c r="F179" i="60"/>
  <c r="AL31" i="62"/>
  <c r="AK31" i="62"/>
  <c r="AJ31" i="62"/>
  <c r="AI31" i="62"/>
  <c r="AH31" i="62"/>
  <c r="AG31" i="62"/>
  <c r="AF31" i="62"/>
  <c r="AE31" i="62"/>
  <c r="AD31" i="62"/>
  <c r="AC31" i="62"/>
  <c r="AB31" i="62"/>
  <c r="AA31" i="62"/>
  <c r="Z31" i="62"/>
  <c r="Y31" i="62"/>
  <c r="X31" i="62"/>
  <c r="W31" i="62"/>
  <c r="V31" i="62"/>
  <c r="U31" i="62"/>
  <c r="T31" i="62"/>
  <c r="S31" i="62"/>
  <c r="R31" i="62"/>
  <c r="Q31" i="62"/>
  <c r="P31" i="62"/>
  <c r="O31" i="62"/>
  <c r="N31" i="62"/>
  <c r="M31" i="62"/>
  <c r="L31" i="62"/>
  <c r="K31" i="62"/>
  <c r="AL433" i="62"/>
  <c r="AK433" i="62"/>
  <c r="AJ433" i="62"/>
  <c r="AI433" i="62"/>
  <c r="AH433" i="62"/>
  <c r="AG433" i="62"/>
  <c r="AF433" i="62"/>
  <c r="AE433" i="62"/>
  <c r="AD433" i="62"/>
  <c r="AC433" i="62"/>
  <c r="AB433" i="62"/>
  <c r="AA433" i="62"/>
  <c r="Z433" i="62"/>
  <c r="Y433" i="62"/>
  <c r="X433" i="62"/>
  <c r="W433" i="62"/>
  <c r="V433" i="62"/>
  <c r="U433" i="62"/>
  <c r="T433" i="62"/>
  <c r="S433" i="62"/>
  <c r="R433" i="62"/>
  <c r="Q433" i="62"/>
  <c r="P433" i="62"/>
  <c r="O433" i="62"/>
  <c r="N433" i="62"/>
  <c r="M433" i="62"/>
  <c r="L433" i="62"/>
  <c r="K433" i="62"/>
  <c r="F180" i="60"/>
  <c r="AL56" i="62"/>
  <c r="AK56" i="62"/>
  <c r="AJ56" i="62"/>
  <c r="AI56" i="62"/>
  <c r="AH56" i="62"/>
  <c r="AG56" i="62"/>
  <c r="AF56" i="62"/>
  <c r="AE56" i="62"/>
  <c r="AD56" i="62"/>
  <c r="AC56" i="62"/>
  <c r="AB56" i="62"/>
  <c r="AA56" i="62"/>
  <c r="Z56" i="62"/>
  <c r="Y56" i="62"/>
  <c r="X56" i="62"/>
  <c r="W56" i="62"/>
  <c r="V56" i="62"/>
  <c r="U56" i="62"/>
  <c r="T56" i="62"/>
  <c r="S56" i="62"/>
  <c r="R56" i="62"/>
  <c r="Q56" i="62"/>
  <c r="P56" i="62"/>
  <c r="O56" i="62"/>
  <c r="N56" i="62"/>
  <c r="M56" i="62"/>
  <c r="L56" i="62"/>
  <c r="K56" i="62"/>
  <c r="L458" i="62"/>
  <c r="M458" i="62"/>
  <c r="N458" i="62"/>
  <c r="O458" i="62"/>
  <c r="P458" i="62"/>
  <c r="Q458" i="62"/>
  <c r="R458" i="62"/>
  <c r="S458" i="62"/>
  <c r="T458" i="62"/>
  <c r="U458" i="62"/>
  <c r="V458" i="62"/>
  <c r="W458" i="62"/>
  <c r="X458" i="62"/>
  <c r="Y458" i="62"/>
  <c r="Z458" i="62"/>
  <c r="AA458" i="62"/>
  <c r="AB458" i="62"/>
  <c r="AC458" i="62"/>
  <c r="AD458" i="62"/>
  <c r="AE458" i="62"/>
  <c r="AF458" i="62"/>
  <c r="AG458" i="62"/>
  <c r="AH458" i="62"/>
  <c r="AI458" i="62"/>
  <c r="AJ458" i="62"/>
  <c r="AK458" i="62"/>
  <c r="AL458" i="62"/>
  <c r="K458" i="62"/>
  <c r="F181" i="60"/>
  <c r="AL73" i="62"/>
  <c r="AK73" i="62"/>
  <c r="AJ73" i="62"/>
  <c r="AI73" i="62"/>
  <c r="AH73" i="62"/>
  <c r="AG73" i="62"/>
  <c r="AF73" i="62"/>
  <c r="AE73" i="62"/>
  <c r="AD73" i="62"/>
  <c r="AC73" i="62"/>
  <c r="AB73" i="62"/>
  <c r="AA73" i="62"/>
  <c r="Z73" i="62"/>
  <c r="Y73" i="62"/>
  <c r="X73" i="62"/>
  <c r="W73" i="62"/>
  <c r="V73" i="62"/>
  <c r="U73" i="62"/>
  <c r="T73" i="62"/>
  <c r="S73" i="62"/>
  <c r="R73" i="62"/>
  <c r="Q73" i="62"/>
  <c r="P73" i="62"/>
  <c r="O73" i="62"/>
  <c r="N73" i="62"/>
  <c r="M73" i="62"/>
  <c r="L73" i="62"/>
  <c r="K73" i="62"/>
  <c r="L475" i="62"/>
  <c r="M475" i="62"/>
  <c r="N475" i="62"/>
  <c r="O475" i="62"/>
  <c r="P475" i="62"/>
  <c r="Q475" i="62"/>
  <c r="R475" i="62"/>
  <c r="S475" i="62"/>
  <c r="T475" i="62"/>
  <c r="U475" i="62"/>
  <c r="V475" i="62"/>
  <c r="W475" i="62"/>
  <c r="X475" i="62"/>
  <c r="Y475" i="62"/>
  <c r="Z475" i="62"/>
  <c r="AA475" i="62"/>
  <c r="AB475" i="62"/>
  <c r="AC475" i="62"/>
  <c r="AD475" i="62"/>
  <c r="AE475" i="62"/>
  <c r="AF475" i="62"/>
  <c r="AG475" i="62"/>
  <c r="AH475" i="62"/>
  <c r="AI475" i="62"/>
  <c r="AJ475" i="62"/>
  <c r="AK475" i="62"/>
  <c r="AL475" i="62"/>
  <c r="K475" i="62"/>
  <c r="F182" i="60"/>
  <c r="AL85" i="62"/>
  <c r="AK85" i="62"/>
  <c r="AJ85" i="62"/>
  <c r="AI85" i="62"/>
  <c r="AH85" i="62"/>
  <c r="AG85" i="62"/>
  <c r="AF85" i="62"/>
  <c r="AE85" i="62"/>
  <c r="AD85" i="62"/>
  <c r="AC85" i="62"/>
  <c r="AB85" i="62"/>
  <c r="AA85" i="62"/>
  <c r="Z85" i="62"/>
  <c r="Y85" i="62"/>
  <c r="X85" i="62"/>
  <c r="W85" i="62"/>
  <c r="V85" i="62"/>
  <c r="U85" i="62"/>
  <c r="T85" i="62"/>
  <c r="S85" i="62"/>
  <c r="R85" i="62"/>
  <c r="Q85" i="62"/>
  <c r="P85" i="62"/>
  <c r="O85" i="62"/>
  <c r="N85" i="62"/>
  <c r="M85" i="62"/>
  <c r="L85" i="62"/>
  <c r="K85" i="62"/>
  <c r="L487" i="62"/>
  <c r="M487" i="62"/>
  <c r="N487" i="62"/>
  <c r="O487" i="62"/>
  <c r="P487" i="62"/>
  <c r="Q487" i="62"/>
  <c r="R487" i="62"/>
  <c r="S487" i="62"/>
  <c r="T487" i="62"/>
  <c r="U487" i="62"/>
  <c r="V487" i="62"/>
  <c r="W487" i="62"/>
  <c r="X487" i="62"/>
  <c r="Y487" i="62"/>
  <c r="Z487" i="62"/>
  <c r="AA487" i="62"/>
  <c r="AB487" i="62"/>
  <c r="AC487" i="62"/>
  <c r="AD487" i="62"/>
  <c r="AE487" i="62"/>
  <c r="AF487" i="62"/>
  <c r="AG487" i="62"/>
  <c r="AH487" i="62"/>
  <c r="AI487" i="62"/>
  <c r="AJ487" i="62"/>
  <c r="AK487" i="62"/>
  <c r="AL487" i="62"/>
  <c r="K487" i="62"/>
  <c r="F177" i="60"/>
  <c r="H178" i="60"/>
  <c r="AL421" i="62"/>
  <c r="AK421" i="62"/>
  <c r="AJ421" i="62"/>
  <c r="AI421" i="62"/>
  <c r="AH421" i="62"/>
  <c r="AG421" i="62"/>
  <c r="AF421" i="62"/>
  <c r="AE421" i="62"/>
  <c r="AD421" i="62"/>
  <c r="AC421" i="62"/>
  <c r="AB421" i="62"/>
  <c r="AA421" i="62"/>
  <c r="Z421" i="62"/>
  <c r="Y421" i="62"/>
  <c r="X421" i="62"/>
  <c r="W421" i="62"/>
  <c r="V421" i="62"/>
  <c r="U421" i="62"/>
  <c r="T421" i="62"/>
  <c r="S421" i="62"/>
  <c r="R421" i="62"/>
  <c r="Q421" i="62"/>
  <c r="P421" i="62"/>
  <c r="O421" i="62"/>
  <c r="N421" i="62"/>
  <c r="M421" i="62"/>
  <c r="L421" i="62"/>
  <c r="K421" i="62"/>
  <c r="AL19" i="62"/>
  <c r="AK19" i="62"/>
  <c r="AJ19" i="62"/>
  <c r="AI19" i="62"/>
  <c r="AH19" i="62"/>
  <c r="AG19" i="62"/>
  <c r="AF19" i="62"/>
  <c r="AE19" i="62"/>
  <c r="AD19" i="62"/>
  <c r="AC19" i="62"/>
  <c r="AB19" i="62"/>
  <c r="AA19" i="62"/>
  <c r="Z19" i="62"/>
  <c r="Y19" i="62"/>
  <c r="X19" i="62"/>
  <c r="W19" i="62"/>
  <c r="V19" i="62"/>
  <c r="U19" i="62"/>
  <c r="T19" i="62"/>
  <c r="S19" i="62"/>
  <c r="R19" i="62"/>
  <c r="Q19" i="62"/>
  <c r="P19" i="62"/>
  <c r="O19" i="62"/>
  <c r="N19" i="62"/>
  <c r="M19" i="62"/>
  <c r="L19" i="62"/>
  <c r="K19" i="62"/>
  <c r="H179" i="60"/>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L39" i="62"/>
  <c r="K39" i="62"/>
  <c r="AL441" i="62"/>
  <c r="AK441" i="62"/>
  <c r="AJ441" i="62"/>
  <c r="AI441" i="62"/>
  <c r="AH441" i="62"/>
  <c r="AG441" i="62"/>
  <c r="AF441" i="62"/>
  <c r="AE441" i="62"/>
  <c r="AD441" i="62"/>
  <c r="AC441" i="62"/>
  <c r="AB441" i="62"/>
  <c r="AA441" i="62"/>
  <c r="Z441" i="62"/>
  <c r="Y441" i="62"/>
  <c r="X441" i="62"/>
  <c r="W441" i="62"/>
  <c r="V441" i="62"/>
  <c r="U441" i="62"/>
  <c r="T441" i="62"/>
  <c r="S441" i="62"/>
  <c r="R441" i="62"/>
  <c r="Q441" i="62"/>
  <c r="P441" i="62"/>
  <c r="O441" i="62"/>
  <c r="N441" i="62"/>
  <c r="M441" i="62"/>
  <c r="L441" i="62"/>
  <c r="K441" i="62"/>
  <c r="H180" i="60"/>
  <c r="AL64" i="62"/>
  <c r="AK64" i="62"/>
  <c r="AJ64" i="62"/>
  <c r="AI64" i="62"/>
  <c r="AH64" i="62"/>
  <c r="AG64" i="62"/>
  <c r="AF64" i="62"/>
  <c r="AE64" i="62"/>
  <c r="AD64" i="62"/>
  <c r="AC64" i="62"/>
  <c r="AB64" i="62"/>
  <c r="AA64" i="62"/>
  <c r="Z64" i="62"/>
  <c r="Y64" i="62"/>
  <c r="X64" i="62"/>
  <c r="W64" i="62"/>
  <c r="V64" i="62"/>
  <c r="U64" i="62"/>
  <c r="T64" i="62"/>
  <c r="S64" i="62"/>
  <c r="R64" i="62"/>
  <c r="Q64" i="62"/>
  <c r="P64" i="62"/>
  <c r="O64" i="62"/>
  <c r="N64" i="62"/>
  <c r="M64" i="62"/>
  <c r="L64" i="62"/>
  <c r="K64" i="62"/>
  <c r="L466" i="62"/>
  <c r="M466" i="62"/>
  <c r="N466" i="62"/>
  <c r="O466" i="62"/>
  <c r="P466" i="62"/>
  <c r="Q466" i="62"/>
  <c r="R466" i="62"/>
  <c r="S466" i="62"/>
  <c r="T466" i="62"/>
  <c r="U466" i="62"/>
  <c r="V466" i="62"/>
  <c r="W466" i="62"/>
  <c r="X466" i="62"/>
  <c r="Y466" i="62"/>
  <c r="Z466" i="62"/>
  <c r="AA466" i="62"/>
  <c r="AB466" i="62"/>
  <c r="AC466" i="62"/>
  <c r="AD466" i="62"/>
  <c r="AE466" i="62"/>
  <c r="AF466" i="62"/>
  <c r="AG466" i="62"/>
  <c r="AH466" i="62"/>
  <c r="AI466" i="62"/>
  <c r="AJ466" i="62"/>
  <c r="AK466" i="62"/>
  <c r="AL466" i="62"/>
  <c r="K466" i="62"/>
  <c r="H181" i="60"/>
  <c r="AL81" i="62"/>
  <c r="AK81" i="62"/>
  <c r="AJ81" i="62"/>
  <c r="AI81" i="62"/>
  <c r="AH81" i="62"/>
  <c r="AG81" i="62"/>
  <c r="AF81" i="62"/>
  <c r="AE81" i="62"/>
  <c r="AD81" i="62"/>
  <c r="AC81" i="62"/>
  <c r="AB81" i="62"/>
  <c r="AA81" i="62"/>
  <c r="Z81" i="62"/>
  <c r="Y81" i="62"/>
  <c r="X81" i="62"/>
  <c r="W81" i="62"/>
  <c r="V81" i="62"/>
  <c r="U81" i="62"/>
  <c r="T81" i="62"/>
  <c r="S81" i="62"/>
  <c r="R81" i="62"/>
  <c r="Q81" i="62"/>
  <c r="P81" i="62"/>
  <c r="O81" i="62"/>
  <c r="N81" i="62"/>
  <c r="M81" i="62"/>
  <c r="L81" i="62"/>
  <c r="K81" i="62"/>
  <c r="L483" i="62"/>
  <c r="M483" i="62"/>
  <c r="N483" i="62"/>
  <c r="O483" i="62"/>
  <c r="P483" i="62"/>
  <c r="Q483" i="62"/>
  <c r="R483" i="62"/>
  <c r="S483" i="62"/>
  <c r="T483" i="62"/>
  <c r="U483" i="62"/>
  <c r="V483" i="62"/>
  <c r="W483" i="62"/>
  <c r="X483" i="62"/>
  <c r="Y483" i="62"/>
  <c r="Z483" i="62"/>
  <c r="AA483" i="62"/>
  <c r="AB483" i="62"/>
  <c r="AC483" i="62"/>
  <c r="AD483" i="62"/>
  <c r="AE483" i="62"/>
  <c r="AF483" i="62"/>
  <c r="AG483" i="62"/>
  <c r="AH483" i="62"/>
  <c r="AI483" i="62"/>
  <c r="AJ483" i="62"/>
  <c r="AK483" i="62"/>
  <c r="AL483" i="62"/>
  <c r="K483" i="62"/>
  <c r="H182" i="60"/>
  <c r="AL93" i="62"/>
  <c r="AK93" i="62"/>
  <c r="AJ93" i="62"/>
  <c r="AI93" i="62"/>
  <c r="AH93" i="62"/>
  <c r="AG93" i="62"/>
  <c r="AF93" i="62"/>
  <c r="AE93" i="62"/>
  <c r="AD93" i="62"/>
  <c r="AC93" i="62"/>
  <c r="AB93" i="62"/>
  <c r="AA93" i="62"/>
  <c r="Z93" i="62"/>
  <c r="Y93" i="62"/>
  <c r="X93" i="62"/>
  <c r="W93" i="62"/>
  <c r="V93" i="62"/>
  <c r="U93" i="62"/>
  <c r="T93" i="62"/>
  <c r="S93" i="62"/>
  <c r="R93" i="62"/>
  <c r="Q93" i="62"/>
  <c r="P93" i="62"/>
  <c r="O93" i="62"/>
  <c r="N93" i="62"/>
  <c r="M93" i="62"/>
  <c r="L93" i="62"/>
  <c r="K93" i="62"/>
  <c r="L495" i="62"/>
  <c r="M495" i="62"/>
  <c r="N495" i="62"/>
  <c r="O495" i="62"/>
  <c r="P495" i="62"/>
  <c r="Q495" i="62"/>
  <c r="R495" i="62"/>
  <c r="S495" i="62"/>
  <c r="T495" i="62"/>
  <c r="U495" i="62"/>
  <c r="V495" i="62"/>
  <c r="W495" i="62"/>
  <c r="X495" i="62"/>
  <c r="Y495" i="62"/>
  <c r="Z495" i="62"/>
  <c r="AA495" i="62"/>
  <c r="AB495" i="62"/>
  <c r="AC495" i="62"/>
  <c r="AD495" i="62"/>
  <c r="AE495" i="62"/>
  <c r="AF495" i="62"/>
  <c r="AG495" i="62"/>
  <c r="AH495" i="62"/>
  <c r="AI495" i="62"/>
  <c r="AJ495" i="62"/>
  <c r="AK495" i="62"/>
  <c r="AL495" i="62"/>
  <c r="K495" i="62"/>
  <c r="H195" i="60"/>
  <c r="AL303" i="62"/>
  <c r="AK303" i="62"/>
  <c r="AJ303" i="62"/>
  <c r="AI303" i="62"/>
  <c r="AH303" i="62"/>
  <c r="AG303" i="62"/>
  <c r="AF303" i="62"/>
  <c r="AE303" i="62"/>
  <c r="AD303" i="62"/>
  <c r="AC303" i="62"/>
  <c r="AB303" i="62"/>
  <c r="AA303" i="62"/>
  <c r="Z303" i="62"/>
  <c r="Y303" i="62"/>
  <c r="X303" i="62"/>
  <c r="W303" i="62"/>
  <c r="V303" i="62"/>
  <c r="U303" i="62"/>
  <c r="T303" i="62"/>
  <c r="S303" i="62"/>
  <c r="R303" i="62"/>
  <c r="Q303" i="62"/>
  <c r="P303" i="62"/>
  <c r="O303" i="62"/>
  <c r="N303" i="62"/>
  <c r="M303" i="62"/>
  <c r="L303" i="62"/>
  <c r="K303" i="62"/>
  <c r="AL705" i="62"/>
  <c r="AK705" i="62"/>
  <c r="AJ705" i="62"/>
  <c r="AI705" i="62"/>
  <c r="AH705" i="62"/>
  <c r="AG705" i="62"/>
  <c r="AF705" i="62"/>
  <c r="AE705" i="62"/>
  <c r="AD705" i="62"/>
  <c r="AC705" i="62"/>
  <c r="AB705" i="62"/>
  <c r="AA705" i="62"/>
  <c r="Z705" i="62"/>
  <c r="Y705" i="62"/>
  <c r="X705" i="62"/>
  <c r="W705" i="62"/>
  <c r="V705" i="62"/>
  <c r="U705" i="62"/>
  <c r="T705" i="62"/>
  <c r="S705" i="62"/>
  <c r="R705" i="62"/>
  <c r="Q705" i="62"/>
  <c r="P705" i="62"/>
  <c r="O705" i="62"/>
  <c r="N705" i="62"/>
  <c r="M705" i="62"/>
  <c r="L705" i="62"/>
  <c r="K705" i="62"/>
  <c r="AL204" i="62"/>
  <c r="AK204" i="62"/>
  <c r="AJ204" i="62"/>
  <c r="AI204" i="62"/>
  <c r="AH204" i="62"/>
  <c r="AG204" i="62"/>
  <c r="AF204" i="62"/>
  <c r="AE204" i="62"/>
  <c r="AD204" i="62"/>
  <c r="AC204" i="62"/>
  <c r="AB204" i="62"/>
  <c r="AA204" i="62"/>
  <c r="Z204" i="62"/>
  <c r="Y204" i="62"/>
  <c r="X204" i="62"/>
  <c r="W204" i="62"/>
  <c r="V204" i="62"/>
  <c r="U204" i="62"/>
  <c r="T204" i="62"/>
  <c r="S204" i="62"/>
  <c r="R204" i="62"/>
  <c r="Q204" i="62"/>
  <c r="P204" i="62"/>
  <c r="O204" i="62"/>
  <c r="N204" i="62"/>
  <c r="M204" i="62"/>
  <c r="L204" i="62"/>
  <c r="K204" i="62"/>
  <c r="AL606" i="62"/>
  <c r="AK606" i="62"/>
  <c r="AJ606" i="62"/>
  <c r="AI606" i="62"/>
  <c r="AH606" i="62"/>
  <c r="AG606" i="62"/>
  <c r="AF606" i="62"/>
  <c r="AE606" i="62"/>
  <c r="AD606" i="62"/>
  <c r="AC606" i="62"/>
  <c r="AB606" i="62"/>
  <c r="AA606" i="62"/>
  <c r="Z606" i="62"/>
  <c r="Y606" i="62"/>
  <c r="X606" i="62"/>
  <c r="W606" i="62"/>
  <c r="V606" i="62"/>
  <c r="U606" i="62"/>
  <c r="T606" i="62"/>
  <c r="S606" i="62"/>
  <c r="R606" i="62"/>
  <c r="Q606" i="62"/>
  <c r="P606" i="62"/>
  <c r="O606" i="62"/>
  <c r="N606" i="62"/>
  <c r="M606" i="62"/>
  <c r="L606" i="62"/>
  <c r="K606" i="62"/>
  <c r="AJ12" i="86"/>
  <c r="A25" i="86"/>
  <c r="A26" i="86" s="1"/>
  <c r="A27" i="86" s="1"/>
  <c r="A28" i="86" s="1"/>
  <c r="A29" i="86" s="1"/>
  <c r="A30" i="86" s="1"/>
  <c r="A31" i="86" s="1"/>
  <c r="A32" i="86" s="1"/>
  <c r="A33" i="86" s="1"/>
  <c r="A34" i="86" s="1"/>
  <c r="A35" i="86" s="1"/>
  <c r="A36" i="86" s="1"/>
  <c r="AJ13" i="86"/>
  <c r="A38" i="86"/>
  <c r="A39" i="86" s="1"/>
  <c r="A40" i="86" s="1"/>
  <c r="A41" i="86" s="1"/>
  <c r="A42" i="86" s="1"/>
  <c r="A43" i="86" s="1"/>
  <c r="A44" i="86" s="1"/>
  <c r="A45" i="86" s="1"/>
  <c r="A46" i="86" s="1"/>
  <c r="A47" i="86" s="1"/>
  <c r="A48" i="86" s="1"/>
  <c r="A49" i="86" s="1"/>
  <c r="AJ11" i="86"/>
  <c r="A12" i="86"/>
  <c r="A13" i="86" s="1"/>
  <c r="A14" i="86" s="1"/>
  <c r="A15" i="86" s="1"/>
  <c r="A16" i="86" s="1"/>
  <c r="A17" i="86" s="1"/>
  <c r="A18" i="86" s="1"/>
  <c r="A19" i="86" s="1"/>
  <c r="A20" i="86" s="1"/>
  <c r="A21" i="86" s="1"/>
  <c r="A22" i="86" s="1"/>
  <c r="A23" i="86" s="1"/>
  <c r="D175" i="60"/>
  <c r="C176" i="60"/>
  <c r="D172" i="60"/>
  <c r="D173" i="60"/>
  <c r="D174" i="60"/>
  <c r="D176" i="60"/>
  <c r="C172" i="60"/>
  <c r="C173" i="60"/>
  <c r="C174" i="60"/>
  <c r="C187" i="60"/>
  <c r="C181" i="60"/>
  <c r="C193" i="60"/>
  <c r="AJ25" i="54"/>
  <c r="A53" i="54"/>
  <c r="AJ24" i="54"/>
  <c r="A52" i="54"/>
  <c r="AJ23" i="54"/>
  <c r="A51" i="54"/>
  <c r="L777" i="62" l="1"/>
  <c r="M777" i="62"/>
  <c r="N777" i="62"/>
  <c r="O777" i="62"/>
  <c r="P777" i="62"/>
  <c r="Q777" i="62"/>
  <c r="R777" i="62"/>
  <c r="S777" i="62"/>
  <c r="T777" i="62"/>
  <c r="U777" i="62"/>
  <c r="V777" i="62"/>
  <c r="W777" i="62"/>
  <c r="X777" i="62"/>
  <c r="Y777" i="62"/>
  <c r="Z777" i="62"/>
  <c r="AA777" i="62"/>
  <c r="AB777" i="62"/>
  <c r="AC777" i="62"/>
  <c r="AD777" i="62"/>
  <c r="AE777" i="62"/>
  <c r="AF777" i="62"/>
  <c r="AG777" i="62"/>
  <c r="AH777" i="62"/>
  <c r="AI777" i="62"/>
  <c r="AJ777" i="62"/>
  <c r="AK777" i="62"/>
  <c r="AL777" i="62"/>
  <c r="K777" i="62"/>
  <c r="L375" i="62"/>
  <c r="M375" i="62"/>
  <c r="N375" i="62"/>
  <c r="O375" i="62"/>
  <c r="P375" i="62"/>
  <c r="Q375" i="62"/>
  <c r="R375" i="62"/>
  <c r="S375" i="62"/>
  <c r="T375" i="62"/>
  <c r="U375" i="62"/>
  <c r="V375" i="62"/>
  <c r="W375" i="62"/>
  <c r="X375" i="62"/>
  <c r="Y375" i="62"/>
  <c r="Z375" i="62"/>
  <c r="AA375" i="62"/>
  <c r="AB375" i="62"/>
  <c r="AC375" i="62"/>
  <c r="AD375" i="62"/>
  <c r="AE375" i="62"/>
  <c r="AF375" i="62"/>
  <c r="AG375" i="62"/>
  <c r="AH375" i="62"/>
  <c r="AI375" i="62"/>
  <c r="AJ375" i="62"/>
  <c r="AK375" i="62"/>
  <c r="AL375" i="62"/>
  <c r="K375" i="62"/>
  <c r="L579" i="62"/>
  <c r="M579" i="62"/>
  <c r="N579" i="62"/>
  <c r="O579" i="62"/>
  <c r="P579" i="62"/>
  <c r="Q579" i="62"/>
  <c r="R579" i="62"/>
  <c r="S579" i="62"/>
  <c r="T579" i="62"/>
  <c r="U579" i="62"/>
  <c r="V579" i="62"/>
  <c r="W579" i="62"/>
  <c r="X579" i="62"/>
  <c r="Y579" i="62"/>
  <c r="Z579" i="62"/>
  <c r="AA579" i="62"/>
  <c r="AB579" i="62"/>
  <c r="AC579" i="62"/>
  <c r="AD579" i="62"/>
  <c r="AE579" i="62"/>
  <c r="AF579" i="62"/>
  <c r="AG579" i="62"/>
  <c r="AH579" i="62"/>
  <c r="AI579" i="62"/>
  <c r="AJ579" i="62"/>
  <c r="AK579" i="62"/>
  <c r="AL579" i="62"/>
  <c r="K579" i="62"/>
  <c r="L177" i="62"/>
  <c r="M177" i="62"/>
  <c r="N177" i="62"/>
  <c r="O177" i="62"/>
  <c r="P177" i="62"/>
  <c r="Q177" i="62"/>
  <c r="R177" i="62"/>
  <c r="S177" i="62"/>
  <c r="T177" i="62"/>
  <c r="U177" i="62"/>
  <c r="V177" i="62"/>
  <c r="W177" i="62"/>
  <c r="X177" i="62"/>
  <c r="Y177" i="62"/>
  <c r="Z177" i="62"/>
  <c r="AA177" i="62"/>
  <c r="AB177" i="62"/>
  <c r="AC177" i="62"/>
  <c r="AD177" i="62"/>
  <c r="AE177" i="62"/>
  <c r="AF177" i="62"/>
  <c r="AG177" i="62"/>
  <c r="AH177" i="62"/>
  <c r="AI177" i="62"/>
  <c r="AJ177" i="62"/>
  <c r="AK177" i="62"/>
  <c r="AL177" i="62"/>
  <c r="K177" i="62"/>
  <c r="L678" i="62"/>
  <c r="M678" i="62"/>
  <c r="N678" i="62"/>
  <c r="O678" i="62"/>
  <c r="P678" i="62"/>
  <c r="Q678" i="62"/>
  <c r="R678" i="62"/>
  <c r="S678" i="62"/>
  <c r="T678" i="62"/>
  <c r="U678" i="62"/>
  <c r="V678" i="62"/>
  <c r="W678" i="62"/>
  <c r="X678" i="62"/>
  <c r="Y678" i="62"/>
  <c r="Z678" i="62"/>
  <c r="AA678" i="62"/>
  <c r="AB678" i="62"/>
  <c r="AC678" i="62"/>
  <c r="AD678" i="62"/>
  <c r="AE678" i="62"/>
  <c r="AF678" i="62"/>
  <c r="AG678" i="62"/>
  <c r="AH678" i="62"/>
  <c r="AI678" i="62"/>
  <c r="AJ678" i="62"/>
  <c r="AK678" i="62"/>
  <c r="AL678" i="62"/>
  <c r="K678" i="62"/>
  <c r="L276" i="62"/>
  <c r="M276" i="62"/>
  <c r="N276" i="62"/>
  <c r="O276" i="62"/>
  <c r="P276" i="62"/>
  <c r="Q276" i="62"/>
  <c r="R276" i="62"/>
  <c r="S276" i="62"/>
  <c r="T276" i="62"/>
  <c r="U276" i="62"/>
  <c r="V276" i="62"/>
  <c r="W276" i="62"/>
  <c r="X276" i="62"/>
  <c r="Y276" i="62"/>
  <c r="Z276" i="62"/>
  <c r="AA276" i="62"/>
  <c r="AB276" i="62"/>
  <c r="AC276" i="62"/>
  <c r="AD276" i="62"/>
  <c r="AE276" i="62"/>
  <c r="AF276" i="62"/>
  <c r="AG276" i="62"/>
  <c r="AH276" i="62"/>
  <c r="AI276" i="62"/>
  <c r="AJ276" i="62"/>
  <c r="AK276" i="62"/>
  <c r="AL276" i="62"/>
  <c r="K276" i="62"/>
  <c r="L463" i="62"/>
  <c r="M463" i="62"/>
  <c r="N463" i="62"/>
  <c r="O463" i="62"/>
  <c r="P463" i="62"/>
  <c r="Q463" i="62"/>
  <c r="R463" i="62"/>
  <c r="S463" i="62"/>
  <c r="T463" i="62"/>
  <c r="U463" i="62"/>
  <c r="V463" i="62"/>
  <c r="W463" i="62"/>
  <c r="X463" i="62"/>
  <c r="Y463" i="62"/>
  <c r="Z463" i="62"/>
  <c r="AA463" i="62"/>
  <c r="AB463" i="62"/>
  <c r="AC463" i="62"/>
  <c r="AD463" i="62"/>
  <c r="AE463" i="62"/>
  <c r="AF463" i="62"/>
  <c r="AG463" i="62"/>
  <c r="AH463" i="62"/>
  <c r="AI463" i="62"/>
  <c r="AJ463" i="62"/>
  <c r="AK463" i="62"/>
  <c r="AL463" i="62"/>
  <c r="K463" i="62"/>
  <c r="L61" i="62"/>
  <c r="M61" i="62"/>
  <c r="N61" i="62"/>
  <c r="O61" i="62"/>
  <c r="P61" i="62"/>
  <c r="Q61" i="62"/>
  <c r="R61" i="62"/>
  <c r="S61" i="62"/>
  <c r="T61" i="62"/>
  <c r="U61" i="62"/>
  <c r="V61" i="62"/>
  <c r="W61" i="62"/>
  <c r="X61" i="62"/>
  <c r="Y61" i="62"/>
  <c r="Z61" i="62"/>
  <c r="AA61" i="62"/>
  <c r="AB61" i="62"/>
  <c r="AC61" i="62"/>
  <c r="AD61" i="62"/>
  <c r="AE61" i="62"/>
  <c r="AF61" i="62"/>
  <c r="AG61" i="62"/>
  <c r="AH61" i="62"/>
  <c r="AI61" i="62"/>
  <c r="AJ61" i="62"/>
  <c r="AK61" i="62"/>
  <c r="AL61" i="62"/>
  <c r="K61" i="62"/>
  <c r="L438" i="62"/>
  <c r="M438" i="62"/>
  <c r="N438" i="62"/>
  <c r="O438" i="62"/>
  <c r="P438" i="62"/>
  <c r="Q438" i="62"/>
  <c r="R438" i="62"/>
  <c r="S438" i="62"/>
  <c r="T438" i="62"/>
  <c r="U438" i="62"/>
  <c r="V438" i="62"/>
  <c r="W438" i="62"/>
  <c r="X438" i="62"/>
  <c r="Y438" i="62"/>
  <c r="Z438" i="62"/>
  <c r="AA438" i="62"/>
  <c r="AB438" i="62"/>
  <c r="AC438" i="62"/>
  <c r="AD438" i="62"/>
  <c r="AE438" i="62"/>
  <c r="AF438" i="62"/>
  <c r="AG438" i="62"/>
  <c r="AH438" i="62"/>
  <c r="AI438" i="62"/>
  <c r="AJ438" i="62"/>
  <c r="AK438" i="62"/>
  <c r="AL438" i="62"/>
  <c r="K438"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K36" i="62"/>
  <c r="L418" i="62"/>
  <c r="M418" i="62"/>
  <c r="N418" i="62"/>
  <c r="O418" i="62"/>
  <c r="P418" i="62"/>
  <c r="Q418" i="62"/>
  <c r="R418" i="62"/>
  <c r="S418" i="62"/>
  <c r="T418" i="62"/>
  <c r="U418" i="62"/>
  <c r="V418" i="62"/>
  <c r="W418" i="62"/>
  <c r="X418" i="62"/>
  <c r="Y418" i="62"/>
  <c r="Z418" i="62"/>
  <c r="AA418" i="62"/>
  <c r="AB418" i="62"/>
  <c r="AC418" i="62"/>
  <c r="AD418" i="62"/>
  <c r="AE418" i="62"/>
  <c r="AF418" i="62"/>
  <c r="AG418" i="62"/>
  <c r="AH418" i="62"/>
  <c r="AI418" i="62"/>
  <c r="AJ418" i="62"/>
  <c r="AK418" i="62"/>
  <c r="AL418" i="62"/>
  <c r="K418" i="62"/>
  <c r="L16" i="62"/>
  <c r="M16" i="62"/>
  <c r="N16" i="62"/>
  <c r="O16" i="62"/>
  <c r="P16" i="62"/>
  <c r="Q16" i="62"/>
  <c r="R16" i="62"/>
  <c r="S16" i="62"/>
  <c r="T16" i="62"/>
  <c r="U16" i="62"/>
  <c r="V16" i="62"/>
  <c r="W16" i="62"/>
  <c r="X16" i="62"/>
  <c r="Y16" i="62"/>
  <c r="Z16" i="62"/>
  <c r="AA16" i="62"/>
  <c r="AB16" i="62"/>
  <c r="AC16" i="62"/>
  <c r="AD16" i="62"/>
  <c r="AE16" i="62"/>
  <c r="AF16" i="62"/>
  <c r="AG16" i="62"/>
  <c r="AH16" i="62"/>
  <c r="AI16" i="62"/>
  <c r="AJ16" i="62"/>
  <c r="AK16" i="62"/>
  <c r="AL16" i="62"/>
  <c r="K16" i="62"/>
  <c r="L493" i="62"/>
  <c r="M493" i="62"/>
  <c r="N493" i="62"/>
  <c r="O493" i="62"/>
  <c r="P493" i="62"/>
  <c r="Q493" i="62"/>
  <c r="R493" i="62"/>
  <c r="S493" i="62"/>
  <c r="T493" i="62"/>
  <c r="U493" i="62"/>
  <c r="V493" i="62"/>
  <c r="W493" i="62"/>
  <c r="X493" i="62"/>
  <c r="Y493" i="62"/>
  <c r="Z493" i="62"/>
  <c r="AA493" i="62"/>
  <c r="AB493" i="62"/>
  <c r="AC493" i="62"/>
  <c r="AD493" i="62"/>
  <c r="AE493" i="62"/>
  <c r="AF493" i="62"/>
  <c r="AG493" i="62"/>
  <c r="AH493" i="62"/>
  <c r="AI493" i="62"/>
  <c r="AJ493" i="62"/>
  <c r="AK493" i="62"/>
  <c r="AL493" i="62"/>
  <c r="K493" i="62"/>
  <c r="L91" i="62"/>
  <c r="M91" i="62"/>
  <c r="N91" i="62"/>
  <c r="O91" i="62"/>
  <c r="P91" i="62"/>
  <c r="Q91" i="62"/>
  <c r="R91" i="62"/>
  <c r="S91" i="62"/>
  <c r="T91" i="62"/>
  <c r="U91" i="62"/>
  <c r="V91" i="62"/>
  <c r="W91" i="62"/>
  <c r="X91" i="62"/>
  <c r="Y91" i="62"/>
  <c r="Z91" i="62"/>
  <c r="AA91" i="62"/>
  <c r="AB91" i="62"/>
  <c r="AC91" i="62"/>
  <c r="AD91" i="62"/>
  <c r="AE91" i="62"/>
  <c r="AF91" i="62"/>
  <c r="AG91" i="62"/>
  <c r="AH91" i="62"/>
  <c r="AI91" i="62"/>
  <c r="AJ91" i="62"/>
  <c r="AK91" i="62"/>
  <c r="AL91" i="62"/>
  <c r="K91" i="62"/>
  <c r="L464" i="62"/>
  <c r="M464" i="62"/>
  <c r="N464" i="62"/>
  <c r="O464" i="62"/>
  <c r="P464" i="62"/>
  <c r="Q464" i="62"/>
  <c r="R464" i="62"/>
  <c r="S464" i="62"/>
  <c r="T464" i="62"/>
  <c r="U464" i="62"/>
  <c r="V464" i="62"/>
  <c r="W464" i="62"/>
  <c r="X464" i="62"/>
  <c r="Y464" i="62"/>
  <c r="Z464" i="62"/>
  <c r="AA464" i="62"/>
  <c r="AB464" i="62"/>
  <c r="AC464" i="62"/>
  <c r="AD464" i="62"/>
  <c r="AE464" i="62"/>
  <c r="AF464" i="62"/>
  <c r="AG464" i="62"/>
  <c r="AH464" i="62"/>
  <c r="AI464" i="62"/>
  <c r="AJ464" i="62"/>
  <c r="AK464" i="62"/>
  <c r="AL464" i="62"/>
  <c r="K464" i="62"/>
  <c r="L62" i="62"/>
  <c r="M62" i="62"/>
  <c r="N62" i="62"/>
  <c r="O62" i="62"/>
  <c r="P62" i="62"/>
  <c r="Q62" i="62"/>
  <c r="R62" i="62"/>
  <c r="S62" i="62"/>
  <c r="T62" i="62"/>
  <c r="U62" i="62"/>
  <c r="V62" i="62"/>
  <c r="W62" i="62"/>
  <c r="X62" i="62"/>
  <c r="Y62" i="62"/>
  <c r="Z62" i="62"/>
  <c r="AA62" i="62"/>
  <c r="AB62" i="62"/>
  <c r="AC62" i="62"/>
  <c r="AD62" i="62"/>
  <c r="AE62" i="62"/>
  <c r="AF62" i="62"/>
  <c r="AG62" i="62"/>
  <c r="AH62" i="62"/>
  <c r="AI62" i="62"/>
  <c r="AJ62" i="62"/>
  <c r="AK62" i="62"/>
  <c r="AL62" i="62"/>
  <c r="K62" i="62"/>
  <c r="L439" i="62"/>
  <c r="M439" i="62"/>
  <c r="N439" i="62"/>
  <c r="O439" i="62"/>
  <c r="P439" i="62"/>
  <c r="Q439" i="62"/>
  <c r="R439" i="62"/>
  <c r="S439" i="62"/>
  <c r="T439" i="62"/>
  <c r="U439" i="62"/>
  <c r="V439" i="62"/>
  <c r="W439" i="62"/>
  <c r="X439" i="62"/>
  <c r="Y439" i="62"/>
  <c r="Z439" i="62"/>
  <c r="AA439" i="62"/>
  <c r="AB439" i="62"/>
  <c r="AC439" i="62"/>
  <c r="AD439" i="62"/>
  <c r="AE439" i="62"/>
  <c r="AF439" i="62"/>
  <c r="AG439" i="62"/>
  <c r="AH439" i="62"/>
  <c r="AI439" i="62"/>
  <c r="AJ439" i="62"/>
  <c r="AK439" i="62"/>
  <c r="AL439" i="62"/>
  <c r="K439" i="62"/>
  <c r="L37" i="62"/>
  <c r="M37" i="62"/>
  <c r="N37" i="62"/>
  <c r="O37" i="62"/>
  <c r="P37" i="62"/>
  <c r="Q37" i="62"/>
  <c r="R37" i="62"/>
  <c r="S37" i="62"/>
  <c r="T37" i="62"/>
  <c r="U37" i="62"/>
  <c r="V37" i="62"/>
  <c r="W37" i="62"/>
  <c r="X37" i="62"/>
  <c r="Y37" i="62"/>
  <c r="Z37" i="62"/>
  <c r="AA37" i="62"/>
  <c r="AB37" i="62"/>
  <c r="AC37" i="62"/>
  <c r="AD37" i="62"/>
  <c r="AE37" i="62"/>
  <c r="AF37" i="62"/>
  <c r="AG37" i="62"/>
  <c r="AH37" i="62"/>
  <c r="AI37" i="62"/>
  <c r="AJ37" i="62"/>
  <c r="AK37" i="62"/>
  <c r="AL37" i="62"/>
  <c r="K37" i="62"/>
  <c r="L419" i="62"/>
  <c r="M419" i="62"/>
  <c r="N419" i="62"/>
  <c r="O419" i="62"/>
  <c r="P419" i="62"/>
  <c r="Q419" i="62"/>
  <c r="R419" i="62"/>
  <c r="S419" i="62"/>
  <c r="T419" i="62"/>
  <c r="U419" i="62"/>
  <c r="V419" i="62"/>
  <c r="W419" i="62"/>
  <c r="X419" i="62"/>
  <c r="Y419" i="62"/>
  <c r="Z419" i="62"/>
  <c r="AA419" i="62"/>
  <c r="AB419" i="62"/>
  <c r="AC419" i="62"/>
  <c r="AD419" i="62"/>
  <c r="AE419" i="62"/>
  <c r="AF419" i="62"/>
  <c r="AG419" i="62"/>
  <c r="AH419" i="62"/>
  <c r="AI419" i="62"/>
  <c r="AJ419" i="62"/>
  <c r="AK419" i="62"/>
  <c r="AL419" i="62"/>
  <c r="K419"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K17" i="62"/>
  <c r="L492" i="62"/>
  <c r="M492" i="62"/>
  <c r="N492" i="62"/>
  <c r="O492" i="62"/>
  <c r="P492" i="62"/>
  <c r="Q492" i="62"/>
  <c r="R492" i="62"/>
  <c r="S492" i="62"/>
  <c r="T492" i="62"/>
  <c r="U492" i="62"/>
  <c r="V492" i="62"/>
  <c r="W492" i="62"/>
  <c r="X492" i="62"/>
  <c r="Y492" i="62"/>
  <c r="Z492" i="62"/>
  <c r="AA492" i="62"/>
  <c r="AB492" i="62"/>
  <c r="AC492" i="62"/>
  <c r="AD492" i="62"/>
  <c r="AE492" i="62"/>
  <c r="AF492" i="62"/>
  <c r="AG492" i="62"/>
  <c r="AH492" i="62"/>
  <c r="AI492" i="62"/>
  <c r="AJ492" i="62"/>
  <c r="AK492" i="62"/>
  <c r="AL492" i="62"/>
  <c r="K492" i="62"/>
  <c r="L90" i="62"/>
  <c r="M90" i="62"/>
  <c r="N90" i="62"/>
  <c r="O90" i="62"/>
  <c r="P90" i="62"/>
  <c r="Q90" i="62"/>
  <c r="R90" i="62"/>
  <c r="S90" i="62"/>
  <c r="T90" i="62"/>
  <c r="U90" i="62"/>
  <c r="V90" i="62"/>
  <c r="W90" i="62"/>
  <c r="X90" i="62"/>
  <c r="Y90" i="62"/>
  <c r="Z90" i="62"/>
  <c r="AA90" i="62"/>
  <c r="AB90" i="62"/>
  <c r="AC90" i="62"/>
  <c r="AD90" i="62"/>
  <c r="AE90" i="62"/>
  <c r="AF90" i="62"/>
  <c r="AG90" i="62"/>
  <c r="AH90" i="62"/>
  <c r="AI90" i="62"/>
  <c r="AJ90" i="62"/>
  <c r="AK90" i="62"/>
  <c r="AL90" i="62"/>
  <c r="K90" i="62"/>
  <c r="L481" i="62"/>
  <c r="M481" i="62"/>
  <c r="N481" i="62"/>
  <c r="O481" i="62"/>
  <c r="P481" i="62"/>
  <c r="Q481" i="62"/>
  <c r="R481" i="62"/>
  <c r="S481" i="62"/>
  <c r="T481" i="62"/>
  <c r="U481" i="62"/>
  <c r="V481" i="62"/>
  <c r="W481" i="62"/>
  <c r="X481" i="62"/>
  <c r="Y481" i="62"/>
  <c r="Z481" i="62"/>
  <c r="AA481" i="62"/>
  <c r="AB481" i="62"/>
  <c r="AC481" i="62"/>
  <c r="AD481" i="62"/>
  <c r="AE481" i="62"/>
  <c r="AF481" i="62"/>
  <c r="AG481" i="62"/>
  <c r="AH481" i="62"/>
  <c r="AI481" i="62"/>
  <c r="AJ481" i="62"/>
  <c r="AK481" i="62"/>
  <c r="AL481" i="62"/>
  <c r="K481" i="62"/>
  <c r="L79" i="62"/>
  <c r="M79" i="62"/>
  <c r="N79" i="62"/>
  <c r="O79" i="62"/>
  <c r="P79" i="62"/>
  <c r="Q79" i="62"/>
  <c r="R79" i="62"/>
  <c r="S79" i="62"/>
  <c r="T79" i="62"/>
  <c r="U79" i="62"/>
  <c r="V79" i="62"/>
  <c r="W79" i="62"/>
  <c r="X79" i="62"/>
  <c r="Y79" i="62"/>
  <c r="Z79" i="62"/>
  <c r="AA79" i="62"/>
  <c r="AB79" i="62"/>
  <c r="AC79" i="62"/>
  <c r="AD79" i="62"/>
  <c r="AE79" i="62"/>
  <c r="AF79" i="62"/>
  <c r="AG79" i="62"/>
  <c r="AH79" i="62"/>
  <c r="AI79" i="62"/>
  <c r="AJ79" i="62"/>
  <c r="AK79" i="62"/>
  <c r="AL79" i="62"/>
  <c r="K79" i="62"/>
  <c r="AL402" i="62"/>
  <c r="AK402" i="62"/>
  <c r="AJ402" i="62"/>
  <c r="AI402" i="62"/>
  <c r="AH402" i="62"/>
  <c r="AG402" i="62"/>
  <c r="AF402" i="62"/>
  <c r="AE402" i="62"/>
  <c r="AD402" i="62"/>
  <c r="AC402" i="62"/>
  <c r="AB402" i="62"/>
  <c r="AA402" i="62"/>
  <c r="Z402" i="62"/>
  <c r="Y402" i="62"/>
  <c r="X402" i="62"/>
  <c r="W402" i="62"/>
  <c r="V402" i="62"/>
  <c r="U402" i="62"/>
  <c r="T402" i="62"/>
  <c r="S402" i="62"/>
  <c r="R402" i="62"/>
  <c r="Q402" i="62"/>
  <c r="P402" i="62"/>
  <c r="O402" i="62"/>
  <c r="N402" i="62"/>
  <c r="M402" i="62"/>
  <c r="L402" i="62"/>
  <c r="K402" i="62"/>
  <c r="AL804" i="62"/>
  <c r="AK804" i="62"/>
  <c r="AJ804" i="62"/>
  <c r="AI804" i="62"/>
  <c r="AH804" i="62"/>
  <c r="AG804" i="62"/>
  <c r="AF804" i="62"/>
  <c r="AE804" i="62"/>
  <c r="AD804" i="62"/>
  <c r="AC804" i="62"/>
  <c r="AB804" i="62"/>
  <c r="AA804" i="62"/>
  <c r="Z804" i="62"/>
  <c r="Y804" i="62"/>
  <c r="X804" i="62"/>
  <c r="W804" i="62"/>
  <c r="V804" i="62"/>
  <c r="U804" i="62"/>
  <c r="T804" i="62"/>
  <c r="S804" i="62"/>
  <c r="R804" i="62"/>
  <c r="Q804" i="62"/>
  <c r="P804" i="62"/>
  <c r="O804" i="62"/>
  <c r="N804" i="62"/>
  <c r="M804" i="62"/>
  <c r="L804" i="62"/>
  <c r="K804" i="62"/>
  <c r="H188" i="60"/>
  <c r="AL192" i="62"/>
  <c r="AK192" i="62"/>
  <c r="AJ192" i="62"/>
  <c r="AI192" i="62"/>
  <c r="AH192" i="62"/>
  <c r="AG192" i="62"/>
  <c r="AF192" i="62"/>
  <c r="AE192" i="62"/>
  <c r="AD192" i="62"/>
  <c r="AC192" i="62"/>
  <c r="AB192" i="62"/>
  <c r="AA192" i="62"/>
  <c r="Z192" i="62"/>
  <c r="Y192" i="62"/>
  <c r="X192" i="62"/>
  <c r="W192" i="62"/>
  <c r="V192" i="62"/>
  <c r="U192" i="62"/>
  <c r="T192" i="62"/>
  <c r="S192" i="62"/>
  <c r="R192" i="62"/>
  <c r="Q192" i="62"/>
  <c r="P192" i="62"/>
  <c r="O192" i="62"/>
  <c r="N192" i="62"/>
  <c r="M192" i="62"/>
  <c r="L192" i="62"/>
  <c r="K192" i="62"/>
  <c r="AL594" i="62"/>
  <c r="AK594" i="62"/>
  <c r="AJ594" i="62"/>
  <c r="AI594" i="62"/>
  <c r="AH594" i="62"/>
  <c r="AG594" i="62"/>
  <c r="AF594" i="62"/>
  <c r="AE594" i="62"/>
  <c r="AD594" i="62"/>
  <c r="AC594" i="62"/>
  <c r="AB594" i="62"/>
  <c r="AA594" i="62"/>
  <c r="Z594" i="62"/>
  <c r="Y594" i="62"/>
  <c r="X594" i="62"/>
  <c r="W594" i="62"/>
  <c r="V594" i="62"/>
  <c r="U594" i="62"/>
  <c r="T594" i="62"/>
  <c r="S594" i="62"/>
  <c r="R594" i="62"/>
  <c r="Q594" i="62"/>
  <c r="P594" i="62"/>
  <c r="O594" i="62"/>
  <c r="N594" i="62"/>
  <c r="M594" i="62"/>
  <c r="L594" i="62"/>
  <c r="K594" i="62"/>
  <c r="H187" i="60"/>
  <c r="AL180" i="62"/>
  <c r="AK180" i="62"/>
  <c r="AJ180" i="62"/>
  <c r="AI180" i="62"/>
  <c r="AH180" i="62"/>
  <c r="AG180" i="62"/>
  <c r="AF180" i="62"/>
  <c r="AE180" i="62"/>
  <c r="AD180" i="62"/>
  <c r="AC180" i="62"/>
  <c r="AB180" i="62"/>
  <c r="AA180" i="62"/>
  <c r="Z180" i="62"/>
  <c r="Y180" i="62"/>
  <c r="X180" i="62"/>
  <c r="W180" i="62"/>
  <c r="V180" i="62"/>
  <c r="U180" i="62"/>
  <c r="T180" i="62"/>
  <c r="S180" i="62"/>
  <c r="R180" i="62"/>
  <c r="Q180" i="62"/>
  <c r="P180" i="62"/>
  <c r="O180" i="62"/>
  <c r="N180" i="62"/>
  <c r="M180" i="62"/>
  <c r="L180" i="62"/>
  <c r="K180" i="62"/>
  <c r="AL582" i="62"/>
  <c r="AK582" i="62"/>
  <c r="AJ582" i="62"/>
  <c r="AI582" i="62"/>
  <c r="AH582" i="62"/>
  <c r="AG582" i="62"/>
  <c r="AF582" i="62"/>
  <c r="AE582" i="62"/>
  <c r="AD582" i="62"/>
  <c r="AC582" i="62"/>
  <c r="AB582" i="62"/>
  <c r="AA582" i="62"/>
  <c r="Z582" i="62"/>
  <c r="Y582" i="62"/>
  <c r="X582" i="62"/>
  <c r="W582" i="62"/>
  <c r="V582" i="62"/>
  <c r="U582" i="62"/>
  <c r="T582" i="62"/>
  <c r="S582" i="62"/>
  <c r="R582" i="62"/>
  <c r="Q582" i="62"/>
  <c r="P582" i="62"/>
  <c r="O582" i="62"/>
  <c r="N582" i="62"/>
  <c r="M582" i="62"/>
  <c r="L582" i="62"/>
  <c r="K582" i="62"/>
  <c r="H186" i="60"/>
  <c r="AL163" i="62"/>
  <c r="AK163" i="62"/>
  <c r="AJ163" i="62"/>
  <c r="AI163" i="62"/>
  <c r="AH163" i="62"/>
  <c r="AG163" i="62"/>
  <c r="AF163" i="62"/>
  <c r="AE163" i="62"/>
  <c r="AD163" i="62"/>
  <c r="AC163" i="62"/>
  <c r="AB163" i="62"/>
  <c r="AA163" i="62"/>
  <c r="Z163" i="62"/>
  <c r="Y163" i="62"/>
  <c r="X163" i="62"/>
  <c r="W163" i="62"/>
  <c r="V163" i="62"/>
  <c r="U163" i="62"/>
  <c r="T163" i="62"/>
  <c r="S163" i="62"/>
  <c r="R163" i="62"/>
  <c r="Q163" i="62"/>
  <c r="P163" i="62"/>
  <c r="O163" i="62"/>
  <c r="N163" i="62"/>
  <c r="M163" i="62"/>
  <c r="L163" i="62"/>
  <c r="K163" i="62"/>
  <c r="AL565" i="62"/>
  <c r="AK565" i="62"/>
  <c r="AJ565" i="62"/>
  <c r="AI565" i="62"/>
  <c r="AH565" i="62"/>
  <c r="AG565" i="62"/>
  <c r="AF565" i="62"/>
  <c r="AE565" i="62"/>
  <c r="AD565" i="62"/>
  <c r="AC565" i="62"/>
  <c r="AB565" i="62"/>
  <c r="AA565" i="62"/>
  <c r="Z565" i="62"/>
  <c r="Y565" i="62"/>
  <c r="X565" i="62"/>
  <c r="W565" i="62"/>
  <c r="V565" i="62"/>
  <c r="U565" i="62"/>
  <c r="T565" i="62"/>
  <c r="S565" i="62"/>
  <c r="R565" i="62"/>
  <c r="Q565" i="62"/>
  <c r="P565" i="62"/>
  <c r="O565" i="62"/>
  <c r="N565" i="62"/>
  <c r="M565" i="62"/>
  <c r="L565" i="62"/>
  <c r="K565" i="62"/>
  <c r="H185" i="60"/>
  <c r="AL138" i="62"/>
  <c r="AK138" i="62"/>
  <c r="AJ138" i="62"/>
  <c r="AI138" i="62"/>
  <c r="AH138" i="62"/>
  <c r="AG138" i="62"/>
  <c r="AF138" i="62"/>
  <c r="AE138" i="62"/>
  <c r="AD138" i="62"/>
  <c r="AC138" i="62"/>
  <c r="AB138" i="62"/>
  <c r="AA138" i="62"/>
  <c r="Z138" i="62"/>
  <c r="Y138" i="62"/>
  <c r="X138" i="62"/>
  <c r="W138" i="62"/>
  <c r="V138" i="62"/>
  <c r="U138" i="62"/>
  <c r="T138" i="62"/>
  <c r="S138" i="62"/>
  <c r="R138" i="62"/>
  <c r="Q138" i="62"/>
  <c r="P138" i="62"/>
  <c r="O138" i="62"/>
  <c r="N138" i="62"/>
  <c r="M138" i="62"/>
  <c r="L138" i="62"/>
  <c r="K138" i="62"/>
  <c r="AL540" i="62"/>
  <c r="AK540" i="62"/>
  <c r="AJ540" i="62"/>
  <c r="AI540" i="62"/>
  <c r="AH540" i="62"/>
  <c r="AG540" i="62"/>
  <c r="AF540" i="62"/>
  <c r="AE540" i="62"/>
  <c r="AD540" i="62"/>
  <c r="AC540" i="62"/>
  <c r="AB540" i="62"/>
  <c r="AA540" i="62"/>
  <c r="Z540" i="62"/>
  <c r="Y540" i="62"/>
  <c r="X540" i="62"/>
  <c r="W540" i="62"/>
  <c r="V540" i="62"/>
  <c r="U540" i="62"/>
  <c r="T540" i="62"/>
  <c r="S540" i="62"/>
  <c r="R540" i="62"/>
  <c r="Q540" i="62"/>
  <c r="P540" i="62"/>
  <c r="O540" i="62"/>
  <c r="N540" i="62"/>
  <c r="M540" i="62"/>
  <c r="L540" i="62"/>
  <c r="K540" i="62"/>
  <c r="AL118" i="62"/>
  <c r="AK118" i="62"/>
  <c r="AJ118" i="62"/>
  <c r="AI118" i="62"/>
  <c r="AH118" i="62"/>
  <c r="AG118" i="62"/>
  <c r="AF118" i="62"/>
  <c r="AE118" i="62"/>
  <c r="AD118" i="62"/>
  <c r="AC118" i="62"/>
  <c r="AB118" i="62"/>
  <c r="AA118" i="62"/>
  <c r="Z118" i="62"/>
  <c r="Y118" i="62"/>
  <c r="X118" i="62"/>
  <c r="W118" i="62"/>
  <c r="V118" i="62"/>
  <c r="U118" i="62"/>
  <c r="T118" i="62"/>
  <c r="S118" i="62"/>
  <c r="R118" i="62"/>
  <c r="Q118" i="62"/>
  <c r="P118" i="62"/>
  <c r="O118" i="62"/>
  <c r="N118" i="62"/>
  <c r="M118" i="62"/>
  <c r="L118" i="62"/>
  <c r="K118" i="62"/>
  <c r="L520" i="62"/>
  <c r="M520" i="62"/>
  <c r="N520" i="62"/>
  <c r="O520" i="62"/>
  <c r="P520" i="62"/>
  <c r="Q520" i="62"/>
  <c r="R520" i="62"/>
  <c r="S520" i="62"/>
  <c r="T520" i="62"/>
  <c r="U520" i="62"/>
  <c r="V520" i="62"/>
  <c r="W520" i="62"/>
  <c r="X520" i="62"/>
  <c r="Y520" i="62"/>
  <c r="Z520" i="62"/>
  <c r="AA520" i="62"/>
  <c r="AB520" i="62"/>
  <c r="AC520" i="62"/>
  <c r="AD520" i="62"/>
  <c r="AE520" i="62"/>
  <c r="AF520" i="62"/>
  <c r="AG520" i="62"/>
  <c r="AH520" i="62"/>
  <c r="AI520" i="62"/>
  <c r="AJ520" i="62"/>
  <c r="AK520" i="62"/>
  <c r="AL520" i="62"/>
  <c r="K520" i="62"/>
  <c r="H184" i="60"/>
  <c r="F183" i="60"/>
  <c r="AL97" i="62"/>
  <c r="AK97" i="62"/>
  <c r="AJ97" i="62"/>
  <c r="AI97" i="62"/>
  <c r="AH97" i="62"/>
  <c r="AG97" i="62"/>
  <c r="AF97" i="62"/>
  <c r="AE97" i="62"/>
  <c r="AD97" i="62"/>
  <c r="AC97" i="62"/>
  <c r="AB97" i="62"/>
  <c r="AA97" i="62"/>
  <c r="Z97" i="62"/>
  <c r="Y97" i="62"/>
  <c r="X97" i="62"/>
  <c r="W97" i="62"/>
  <c r="V97" i="62"/>
  <c r="U97" i="62"/>
  <c r="T97" i="62"/>
  <c r="S97" i="62"/>
  <c r="R97" i="62"/>
  <c r="Q97" i="62"/>
  <c r="P97" i="62"/>
  <c r="O97" i="62"/>
  <c r="N97" i="62"/>
  <c r="M97" i="62"/>
  <c r="L97" i="62"/>
  <c r="K97" i="62"/>
  <c r="L499" i="62"/>
  <c r="M499" i="62"/>
  <c r="N499" i="62"/>
  <c r="O499" i="62"/>
  <c r="P499" i="62"/>
  <c r="Q499" i="62"/>
  <c r="R499" i="62"/>
  <c r="S499" i="62"/>
  <c r="T499" i="62"/>
  <c r="U499" i="62"/>
  <c r="V499" i="62"/>
  <c r="W499" i="62"/>
  <c r="X499" i="62"/>
  <c r="Y499" i="62"/>
  <c r="Z499" i="62"/>
  <c r="AA499" i="62"/>
  <c r="AB499" i="62"/>
  <c r="AC499" i="62"/>
  <c r="AD499" i="62"/>
  <c r="AE499" i="62"/>
  <c r="AF499" i="62"/>
  <c r="AG499" i="62"/>
  <c r="AH499" i="62"/>
  <c r="AI499" i="62"/>
  <c r="AJ499" i="62"/>
  <c r="AK499" i="62"/>
  <c r="AL499" i="62"/>
  <c r="K499" i="62"/>
  <c r="F188" i="60"/>
  <c r="AL184" i="62"/>
  <c r="AK184" i="62"/>
  <c r="AJ184" i="62"/>
  <c r="AI184" i="62"/>
  <c r="AH184" i="62"/>
  <c r="AG184" i="62"/>
  <c r="AF184" i="62"/>
  <c r="AE184" i="62"/>
  <c r="AD184" i="62"/>
  <c r="AC184" i="62"/>
  <c r="AB184" i="62"/>
  <c r="AA184" i="62"/>
  <c r="Z184" i="62"/>
  <c r="Y184" i="62"/>
  <c r="X184" i="62"/>
  <c r="W184" i="62"/>
  <c r="V184" i="62"/>
  <c r="U184" i="62"/>
  <c r="T184" i="62"/>
  <c r="S184" i="62"/>
  <c r="R184" i="62"/>
  <c r="Q184" i="62"/>
  <c r="P184" i="62"/>
  <c r="O184" i="62"/>
  <c r="N184" i="62"/>
  <c r="M184" i="62"/>
  <c r="L184" i="62"/>
  <c r="K184" i="62"/>
  <c r="AL586" i="62"/>
  <c r="AK586" i="62"/>
  <c r="AJ586" i="62"/>
  <c r="AI586" i="62"/>
  <c r="AH586" i="62"/>
  <c r="AG586" i="62"/>
  <c r="AF586" i="62"/>
  <c r="AE586" i="62"/>
  <c r="AD586" i="62"/>
  <c r="AC586" i="62"/>
  <c r="AB586" i="62"/>
  <c r="AA586" i="62"/>
  <c r="Z586" i="62"/>
  <c r="Y586" i="62"/>
  <c r="X586" i="62"/>
  <c r="W586" i="62"/>
  <c r="V586" i="62"/>
  <c r="U586" i="62"/>
  <c r="T586" i="62"/>
  <c r="S586" i="62"/>
  <c r="R586" i="62"/>
  <c r="Q586" i="62"/>
  <c r="P586" i="62"/>
  <c r="O586" i="62"/>
  <c r="N586" i="62"/>
  <c r="M586" i="62"/>
  <c r="L586" i="62"/>
  <c r="K586" i="62"/>
  <c r="AL172" i="62"/>
  <c r="AK172" i="62"/>
  <c r="AJ172" i="62"/>
  <c r="AI172" i="62"/>
  <c r="AH172" i="62"/>
  <c r="AG172" i="62"/>
  <c r="AF172" i="62"/>
  <c r="AE172" i="62"/>
  <c r="AD172" i="62"/>
  <c r="AC172" i="62"/>
  <c r="AB172" i="62"/>
  <c r="AA172" i="62"/>
  <c r="Z172" i="62"/>
  <c r="Y172" i="62"/>
  <c r="X172" i="62"/>
  <c r="W172" i="62"/>
  <c r="V172" i="62"/>
  <c r="U172" i="62"/>
  <c r="T172" i="62"/>
  <c r="S172" i="62"/>
  <c r="R172" i="62"/>
  <c r="Q172" i="62"/>
  <c r="P172" i="62"/>
  <c r="O172" i="62"/>
  <c r="N172" i="62"/>
  <c r="M172" i="62"/>
  <c r="L172" i="62"/>
  <c r="K172" i="62"/>
  <c r="AL574" i="62"/>
  <c r="AK574" i="62"/>
  <c r="AJ574" i="62"/>
  <c r="AI574" i="62"/>
  <c r="AH574" i="62"/>
  <c r="AG574" i="62"/>
  <c r="AF574" i="62"/>
  <c r="AE574" i="62"/>
  <c r="AD574" i="62"/>
  <c r="AC574" i="62"/>
  <c r="AB574" i="62"/>
  <c r="AA574" i="62"/>
  <c r="Z574" i="62"/>
  <c r="Y574" i="62"/>
  <c r="X574" i="62"/>
  <c r="W574" i="62"/>
  <c r="V574" i="62"/>
  <c r="U574" i="62"/>
  <c r="T574" i="62"/>
  <c r="S574" i="62"/>
  <c r="R574" i="62"/>
  <c r="Q574" i="62"/>
  <c r="P574" i="62"/>
  <c r="O574" i="62"/>
  <c r="N574" i="62"/>
  <c r="M574" i="62"/>
  <c r="L574" i="62"/>
  <c r="K574" i="62"/>
  <c r="F187" i="60"/>
  <c r="AL155" i="62"/>
  <c r="AK155" i="62"/>
  <c r="AJ155" i="62"/>
  <c r="AI155" i="62"/>
  <c r="AH155" i="62"/>
  <c r="AG155" i="62"/>
  <c r="AF155" i="62"/>
  <c r="AE155" i="62"/>
  <c r="AD155" i="62"/>
  <c r="AC155" i="62"/>
  <c r="AB155" i="62"/>
  <c r="AA155" i="62"/>
  <c r="Z155" i="62"/>
  <c r="Y155" i="62"/>
  <c r="X155" i="62"/>
  <c r="W155" i="62"/>
  <c r="V155" i="62"/>
  <c r="U155" i="62"/>
  <c r="T155" i="62"/>
  <c r="S155" i="62"/>
  <c r="R155" i="62"/>
  <c r="Q155" i="62"/>
  <c r="P155" i="62"/>
  <c r="O155" i="62"/>
  <c r="N155" i="62"/>
  <c r="M155" i="62"/>
  <c r="L155" i="62"/>
  <c r="K155" i="62"/>
  <c r="AL557" i="62"/>
  <c r="AK557" i="62"/>
  <c r="AJ557" i="62"/>
  <c r="AI557" i="62"/>
  <c r="AH557" i="62"/>
  <c r="AG557" i="62"/>
  <c r="AF557" i="62"/>
  <c r="AE557" i="62"/>
  <c r="AD557" i="62"/>
  <c r="AC557" i="62"/>
  <c r="AB557" i="62"/>
  <c r="AA557" i="62"/>
  <c r="Z557" i="62"/>
  <c r="Y557" i="62"/>
  <c r="X557" i="62"/>
  <c r="W557" i="62"/>
  <c r="V557" i="62"/>
  <c r="U557" i="62"/>
  <c r="T557" i="62"/>
  <c r="S557" i="62"/>
  <c r="R557" i="62"/>
  <c r="Q557" i="62"/>
  <c r="P557" i="62"/>
  <c r="O557" i="62"/>
  <c r="N557" i="62"/>
  <c r="M557" i="62"/>
  <c r="L557" i="62"/>
  <c r="K557" i="62"/>
  <c r="F186" i="60"/>
  <c r="AL130" i="62"/>
  <c r="AK130" i="62"/>
  <c r="AJ130" i="62"/>
  <c r="AI130" i="62"/>
  <c r="AH130" i="62"/>
  <c r="AG130" i="62"/>
  <c r="AF130" i="62"/>
  <c r="AE130" i="62"/>
  <c r="AD130" i="62"/>
  <c r="AC130" i="62"/>
  <c r="AB130" i="62"/>
  <c r="AA130" i="62"/>
  <c r="Z130" i="62"/>
  <c r="Y130" i="62"/>
  <c r="X130" i="62"/>
  <c r="W130" i="62"/>
  <c r="V130" i="62"/>
  <c r="U130" i="62"/>
  <c r="T130" i="62"/>
  <c r="S130" i="62"/>
  <c r="R130" i="62"/>
  <c r="Q130" i="62"/>
  <c r="P130" i="62"/>
  <c r="O130" i="62"/>
  <c r="N130" i="62"/>
  <c r="M130" i="62"/>
  <c r="L130" i="62"/>
  <c r="K130" i="62"/>
  <c r="AL532" i="62"/>
  <c r="AK532" i="62"/>
  <c r="AJ532" i="62"/>
  <c r="AI532" i="62"/>
  <c r="AH532" i="62"/>
  <c r="AG532" i="62"/>
  <c r="AF532" i="62"/>
  <c r="AE532" i="62"/>
  <c r="AD532" i="62"/>
  <c r="AC532" i="62"/>
  <c r="AB532" i="62"/>
  <c r="AA532" i="62"/>
  <c r="Z532" i="62"/>
  <c r="Y532" i="62"/>
  <c r="X532" i="62"/>
  <c r="W532" i="62"/>
  <c r="V532" i="62"/>
  <c r="U532" i="62"/>
  <c r="T532" i="62"/>
  <c r="S532" i="62"/>
  <c r="R532" i="62"/>
  <c r="Q532" i="62"/>
  <c r="P532" i="62"/>
  <c r="O532" i="62"/>
  <c r="N532" i="62"/>
  <c r="M532" i="62"/>
  <c r="L532" i="62"/>
  <c r="K532" i="62"/>
  <c r="F185" i="60"/>
  <c r="F190" i="60"/>
  <c r="AL209" i="62"/>
  <c r="AK209" i="62"/>
  <c r="AJ209" i="62"/>
  <c r="AI209" i="62"/>
  <c r="AH209" i="62"/>
  <c r="AG209" i="62"/>
  <c r="AF209" i="62"/>
  <c r="AE209" i="62"/>
  <c r="AD209" i="62"/>
  <c r="AC209" i="62"/>
  <c r="AB209" i="62"/>
  <c r="AA209" i="62"/>
  <c r="Z209" i="62"/>
  <c r="Y209" i="62"/>
  <c r="X209" i="62"/>
  <c r="W209" i="62"/>
  <c r="V209" i="62"/>
  <c r="U209" i="62"/>
  <c r="T209" i="62"/>
  <c r="S209" i="62"/>
  <c r="R209" i="62"/>
  <c r="Q209" i="62"/>
  <c r="P209" i="62"/>
  <c r="O209" i="62"/>
  <c r="N209" i="62"/>
  <c r="M209" i="62"/>
  <c r="L209" i="62"/>
  <c r="K209" i="62"/>
  <c r="AL611" i="62"/>
  <c r="AK611" i="62"/>
  <c r="AJ611" i="62"/>
  <c r="AI611" i="62"/>
  <c r="AH611" i="62"/>
  <c r="AG611" i="62"/>
  <c r="AF611" i="62"/>
  <c r="AE611" i="62"/>
  <c r="AD611" i="62"/>
  <c r="AC611" i="62"/>
  <c r="AB611" i="62"/>
  <c r="AA611" i="62"/>
  <c r="Z611" i="62"/>
  <c r="Y611" i="62"/>
  <c r="X611" i="62"/>
  <c r="W611" i="62"/>
  <c r="V611" i="62"/>
  <c r="U611" i="62"/>
  <c r="T611" i="62"/>
  <c r="S611" i="62"/>
  <c r="R611" i="62"/>
  <c r="Q611" i="62"/>
  <c r="P611" i="62"/>
  <c r="O611" i="62"/>
  <c r="N611" i="62"/>
  <c r="M611" i="62"/>
  <c r="L611" i="62"/>
  <c r="K611" i="62"/>
  <c r="D185" i="60"/>
  <c r="D179" i="60"/>
  <c r="D193" i="60"/>
  <c r="D184" i="60"/>
  <c r="D177" i="60"/>
  <c r="D186" i="60"/>
  <c r="C177" i="60"/>
  <c r="D194" i="60"/>
  <c r="C178" i="60"/>
  <c r="D178" i="60"/>
  <c r="D187" i="60"/>
  <c r="D190" i="60"/>
  <c r="C188" i="60"/>
  <c r="D188" i="60"/>
  <c r="C185" i="60"/>
  <c r="C184" i="60"/>
  <c r="C192" i="60"/>
  <c r="C190" i="60"/>
  <c r="D182" i="60"/>
  <c r="C186" i="60"/>
  <c r="C194" i="60"/>
  <c r="D180" i="60"/>
  <c r="D191" i="60"/>
  <c r="D181" i="60"/>
  <c r="C182" i="60"/>
  <c r="C179" i="60"/>
  <c r="C180" i="60"/>
  <c r="C191" i="60"/>
  <c r="D192" i="60"/>
  <c r="E171" i="60"/>
  <c r="C171" i="60"/>
  <c r="L299" i="58" l="1"/>
  <c r="M299" i="58"/>
  <c r="N299" i="58"/>
  <c r="O299" i="58"/>
  <c r="P299" i="58"/>
  <c r="Q299" i="58"/>
  <c r="R299" i="58"/>
  <c r="S299" i="58"/>
  <c r="T299" i="58"/>
  <c r="U299" i="58"/>
  <c r="V299" i="58"/>
  <c r="W299" i="58"/>
  <c r="X299" i="58"/>
  <c r="Y299" i="58"/>
  <c r="Z299" i="58"/>
  <c r="AA299" i="58"/>
  <c r="AB299" i="58"/>
  <c r="AC299" i="58"/>
  <c r="AD299" i="58"/>
  <c r="AE299" i="58"/>
  <c r="AF299" i="58"/>
  <c r="AG299" i="58"/>
  <c r="AH299" i="58"/>
  <c r="AI299" i="58"/>
  <c r="AJ299" i="58"/>
  <c r="AK299" i="58"/>
  <c r="AL299" i="58"/>
  <c r="K299" i="58"/>
  <c r="L155" i="58"/>
  <c r="M155" i="58"/>
  <c r="N155" i="58"/>
  <c r="O155" i="58"/>
  <c r="P155" i="58"/>
  <c r="Q155" i="58"/>
  <c r="R155" i="58"/>
  <c r="S155" i="58"/>
  <c r="T155" i="58"/>
  <c r="U155" i="58"/>
  <c r="V155" i="58"/>
  <c r="W155" i="58"/>
  <c r="X155" i="58"/>
  <c r="Y155" i="58"/>
  <c r="Z155" i="58"/>
  <c r="AA155" i="58"/>
  <c r="AB155" i="58"/>
  <c r="AC155" i="58"/>
  <c r="AD155" i="58"/>
  <c r="AE155" i="58"/>
  <c r="AF155" i="58"/>
  <c r="AG155" i="58"/>
  <c r="AH155" i="58"/>
  <c r="AI155" i="58"/>
  <c r="AJ155" i="58"/>
  <c r="AK155" i="58"/>
  <c r="AL155" i="58"/>
  <c r="K155" i="58"/>
  <c r="L301" i="58"/>
  <c r="M301" i="58"/>
  <c r="N301" i="58"/>
  <c r="O301" i="58"/>
  <c r="P301" i="58"/>
  <c r="Q301" i="58"/>
  <c r="R301" i="58"/>
  <c r="S301" i="58"/>
  <c r="T301" i="58"/>
  <c r="U301" i="58"/>
  <c r="V301" i="58"/>
  <c r="W301" i="58"/>
  <c r="X301" i="58"/>
  <c r="Y301" i="58"/>
  <c r="Z301" i="58"/>
  <c r="AA301" i="58"/>
  <c r="AB301" i="58"/>
  <c r="AC301" i="58"/>
  <c r="AD301" i="58"/>
  <c r="AE301" i="58"/>
  <c r="AF301" i="58"/>
  <c r="AG301" i="58"/>
  <c r="AH301" i="58"/>
  <c r="AI301" i="58"/>
  <c r="AJ301" i="58"/>
  <c r="AK301" i="58"/>
  <c r="AL301" i="58"/>
  <c r="K301" i="58"/>
  <c r="L157" i="58"/>
  <c r="M157" i="58"/>
  <c r="N157" i="58"/>
  <c r="O157" i="58"/>
  <c r="P157" i="58"/>
  <c r="Q157" i="58"/>
  <c r="R157" i="58"/>
  <c r="S157" i="58"/>
  <c r="T157" i="58"/>
  <c r="U157" i="58"/>
  <c r="V157" i="58"/>
  <c r="W157" i="58"/>
  <c r="X157" i="58"/>
  <c r="Y157" i="58"/>
  <c r="Z157" i="58"/>
  <c r="AA157" i="58"/>
  <c r="AB157" i="58"/>
  <c r="AC157" i="58"/>
  <c r="AD157" i="58"/>
  <c r="AE157" i="58"/>
  <c r="AF157" i="58"/>
  <c r="AG157" i="58"/>
  <c r="AH157" i="58"/>
  <c r="AI157" i="58"/>
  <c r="AJ157" i="58"/>
  <c r="AK157" i="58"/>
  <c r="AL157" i="58"/>
  <c r="K157" i="58"/>
  <c r="L761" i="62"/>
  <c r="M761" i="62"/>
  <c r="N761" i="62"/>
  <c r="O761" i="62"/>
  <c r="P761" i="62"/>
  <c r="Q761" i="62"/>
  <c r="R761" i="62"/>
  <c r="S761" i="62"/>
  <c r="T761" i="62"/>
  <c r="U761" i="62"/>
  <c r="V761" i="62"/>
  <c r="W761" i="62"/>
  <c r="X761" i="62"/>
  <c r="Y761" i="62"/>
  <c r="Z761" i="62"/>
  <c r="AA761" i="62"/>
  <c r="AB761" i="62"/>
  <c r="AC761" i="62"/>
  <c r="AD761" i="62"/>
  <c r="AE761" i="62"/>
  <c r="AF761" i="62"/>
  <c r="AG761" i="62"/>
  <c r="AH761" i="62"/>
  <c r="AI761" i="62"/>
  <c r="AJ761" i="62"/>
  <c r="AK761" i="62"/>
  <c r="AL761" i="62"/>
  <c r="K761" i="62"/>
  <c r="L359" i="62"/>
  <c r="M359" i="62"/>
  <c r="N359" i="62"/>
  <c r="O359" i="62"/>
  <c r="P359" i="62"/>
  <c r="Q359" i="62"/>
  <c r="R359" i="62"/>
  <c r="S359" i="62"/>
  <c r="T359" i="62"/>
  <c r="U359" i="62"/>
  <c r="V359" i="62"/>
  <c r="W359" i="62"/>
  <c r="X359" i="62"/>
  <c r="Y359" i="62"/>
  <c r="Z359" i="62"/>
  <c r="AA359" i="62"/>
  <c r="AB359" i="62"/>
  <c r="AC359" i="62"/>
  <c r="AD359" i="62"/>
  <c r="AE359" i="62"/>
  <c r="AF359" i="62"/>
  <c r="AG359" i="62"/>
  <c r="AH359" i="62"/>
  <c r="AI359" i="62"/>
  <c r="AJ359" i="62"/>
  <c r="AK359" i="62"/>
  <c r="AL359" i="62"/>
  <c r="K359" i="62"/>
  <c r="L735" i="62"/>
  <c r="M735" i="62"/>
  <c r="N735" i="62"/>
  <c r="O735" i="62"/>
  <c r="P735" i="62"/>
  <c r="Q735" i="62"/>
  <c r="R735" i="62"/>
  <c r="S735" i="62"/>
  <c r="T735" i="62"/>
  <c r="U735" i="62"/>
  <c r="V735" i="62"/>
  <c r="W735" i="62"/>
  <c r="X735" i="62"/>
  <c r="Y735" i="62"/>
  <c r="Z735" i="62"/>
  <c r="AA735" i="62"/>
  <c r="AB735" i="62"/>
  <c r="AC735" i="62"/>
  <c r="AD735" i="62"/>
  <c r="AE735" i="62"/>
  <c r="AF735" i="62"/>
  <c r="AG735" i="62"/>
  <c r="AH735" i="62"/>
  <c r="AI735" i="62"/>
  <c r="AJ735" i="62"/>
  <c r="AK735" i="62"/>
  <c r="AL735" i="62"/>
  <c r="K735" i="62"/>
  <c r="L333" i="62"/>
  <c r="M333" i="62"/>
  <c r="N333" i="62"/>
  <c r="O333" i="62"/>
  <c r="P333" i="62"/>
  <c r="Q333" i="62"/>
  <c r="R333" i="62"/>
  <c r="S333" i="62"/>
  <c r="T333" i="62"/>
  <c r="U333" i="62"/>
  <c r="V333" i="62"/>
  <c r="W333" i="62"/>
  <c r="X333" i="62"/>
  <c r="Y333" i="62"/>
  <c r="Z333" i="62"/>
  <c r="AA333" i="62"/>
  <c r="AB333" i="62"/>
  <c r="AC333" i="62"/>
  <c r="AD333" i="62"/>
  <c r="AE333" i="62"/>
  <c r="AF333" i="62"/>
  <c r="AG333" i="62"/>
  <c r="AH333" i="62"/>
  <c r="AI333" i="62"/>
  <c r="AJ333" i="62"/>
  <c r="AK333" i="62"/>
  <c r="AL333" i="62"/>
  <c r="K333" i="62"/>
  <c r="L562" i="62"/>
  <c r="M562" i="62"/>
  <c r="N562" i="62"/>
  <c r="O562" i="62"/>
  <c r="P562" i="62"/>
  <c r="Q562" i="62"/>
  <c r="R562" i="62"/>
  <c r="S562" i="62"/>
  <c r="T562" i="62"/>
  <c r="U562" i="62"/>
  <c r="V562" i="62"/>
  <c r="W562" i="62"/>
  <c r="X562" i="62"/>
  <c r="Y562" i="62"/>
  <c r="Z562" i="62"/>
  <c r="AA562" i="62"/>
  <c r="AB562" i="62"/>
  <c r="AC562" i="62"/>
  <c r="AD562" i="62"/>
  <c r="AE562" i="62"/>
  <c r="AF562" i="62"/>
  <c r="AG562" i="62"/>
  <c r="AH562" i="62"/>
  <c r="AI562" i="62"/>
  <c r="AJ562" i="62"/>
  <c r="AK562" i="62"/>
  <c r="AL562" i="62"/>
  <c r="K562" i="62"/>
  <c r="L160" i="62"/>
  <c r="M160" i="62"/>
  <c r="N160" i="62"/>
  <c r="O160" i="62"/>
  <c r="P160" i="62"/>
  <c r="Q160" i="62"/>
  <c r="R160" i="62"/>
  <c r="S160" i="62"/>
  <c r="T160" i="62"/>
  <c r="U160" i="62"/>
  <c r="V160" i="62"/>
  <c r="W160" i="62"/>
  <c r="X160" i="62"/>
  <c r="Y160" i="62"/>
  <c r="Z160" i="62"/>
  <c r="AA160" i="62"/>
  <c r="AB160" i="62"/>
  <c r="AC160" i="62"/>
  <c r="AD160" i="62"/>
  <c r="AE160" i="62"/>
  <c r="AF160" i="62"/>
  <c r="AG160" i="62"/>
  <c r="AH160" i="62"/>
  <c r="AI160" i="62"/>
  <c r="AJ160" i="62"/>
  <c r="AK160" i="62"/>
  <c r="AL160" i="62"/>
  <c r="K160" i="62"/>
  <c r="L537" i="62"/>
  <c r="M537" i="62"/>
  <c r="N537" i="62"/>
  <c r="O537" i="62"/>
  <c r="P537" i="62"/>
  <c r="Q537" i="62"/>
  <c r="R537" i="62"/>
  <c r="S537" i="62"/>
  <c r="T537" i="62"/>
  <c r="U537" i="62"/>
  <c r="V537" i="62"/>
  <c r="W537" i="62"/>
  <c r="X537" i="62"/>
  <c r="Y537" i="62"/>
  <c r="Z537" i="62"/>
  <c r="AA537" i="62"/>
  <c r="AB537" i="62"/>
  <c r="AC537" i="62"/>
  <c r="AD537" i="62"/>
  <c r="AE537" i="62"/>
  <c r="AF537" i="62"/>
  <c r="AG537" i="62"/>
  <c r="AH537" i="62"/>
  <c r="AI537" i="62"/>
  <c r="AJ537" i="62"/>
  <c r="AK537" i="62"/>
  <c r="AL537" i="62"/>
  <c r="K537" i="62"/>
  <c r="L135" i="62"/>
  <c r="M135" i="62"/>
  <c r="N135" i="62"/>
  <c r="O135" i="62"/>
  <c r="P135" i="62"/>
  <c r="Q135" i="62"/>
  <c r="R135" i="62"/>
  <c r="S135" i="62"/>
  <c r="T135" i="62"/>
  <c r="U135" i="62"/>
  <c r="V135" i="62"/>
  <c r="W135" i="62"/>
  <c r="X135" i="62"/>
  <c r="Y135" i="62"/>
  <c r="Z135" i="62"/>
  <c r="AA135" i="62"/>
  <c r="AB135" i="62"/>
  <c r="AC135" i="62"/>
  <c r="AD135" i="62"/>
  <c r="AE135" i="62"/>
  <c r="AF135" i="62"/>
  <c r="AG135" i="62"/>
  <c r="AH135" i="62"/>
  <c r="AI135" i="62"/>
  <c r="AJ135" i="62"/>
  <c r="AK135" i="62"/>
  <c r="AL135" i="62"/>
  <c r="K135" i="62"/>
  <c r="L591" i="62"/>
  <c r="M591" i="62"/>
  <c r="N591" i="62"/>
  <c r="O591" i="62"/>
  <c r="P591" i="62"/>
  <c r="Q591" i="62"/>
  <c r="R591" i="62"/>
  <c r="S591" i="62"/>
  <c r="T591" i="62"/>
  <c r="U591" i="62"/>
  <c r="V591" i="62"/>
  <c r="W591" i="62"/>
  <c r="X591" i="62"/>
  <c r="Y591" i="62"/>
  <c r="Z591" i="62"/>
  <c r="AA591" i="62"/>
  <c r="AB591" i="62"/>
  <c r="AC591" i="62"/>
  <c r="AD591" i="62"/>
  <c r="AE591" i="62"/>
  <c r="AF591" i="62"/>
  <c r="AG591" i="62"/>
  <c r="AH591" i="62"/>
  <c r="AI591" i="62"/>
  <c r="AJ591" i="62"/>
  <c r="AK591" i="62"/>
  <c r="AL591" i="62"/>
  <c r="K591" i="62"/>
  <c r="L189" i="62"/>
  <c r="M189" i="62"/>
  <c r="N189" i="62"/>
  <c r="O189" i="62"/>
  <c r="P189" i="62"/>
  <c r="Q189" i="62"/>
  <c r="R189" i="62"/>
  <c r="S189" i="62"/>
  <c r="T189" i="62"/>
  <c r="U189" i="62"/>
  <c r="V189" i="62"/>
  <c r="W189" i="62"/>
  <c r="X189" i="62"/>
  <c r="Y189" i="62"/>
  <c r="Z189" i="62"/>
  <c r="AA189" i="62"/>
  <c r="AB189" i="62"/>
  <c r="AC189" i="62"/>
  <c r="AD189" i="62"/>
  <c r="AE189" i="62"/>
  <c r="AF189" i="62"/>
  <c r="AG189" i="62"/>
  <c r="AH189" i="62"/>
  <c r="AI189" i="62"/>
  <c r="AJ189" i="62"/>
  <c r="AK189" i="62"/>
  <c r="AL189" i="62"/>
  <c r="K189" i="62"/>
  <c r="L580" i="62"/>
  <c r="M580" i="62"/>
  <c r="N580" i="62"/>
  <c r="O580" i="62"/>
  <c r="P580" i="62"/>
  <c r="Q580" i="62"/>
  <c r="R580" i="62"/>
  <c r="S580" i="62"/>
  <c r="T580" i="62"/>
  <c r="U580" i="62"/>
  <c r="V580" i="62"/>
  <c r="W580" i="62"/>
  <c r="X580" i="62"/>
  <c r="Y580" i="62"/>
  <c r="Z580" i="62"/>
  <c r="AA580" i="62"/>
  <c r="AB580" i="62"/>
  <c r="AC580" i="62"/>
  <c r="AD580" i="62"/>
  <c r="AE580" i="62"/>
  <c r="AF580" i="62"/>
  <c r="AG580" i="62"/>
  <c r="AH580" i="62"/>
  <c r="AI580" i="62"/>
  <c r="AJ580" i="62"/>
  <c r="AK580" i="62"/>
  <c r="AL580" i="62"/>
  <c r="K580" i="62"/>
  <c r="L178" i="62"/>
  <c r="M178" i="62"/>
  <c r="N178" i="62"/>
  <c r="O178" i="62"/>
  <c r="P178" i="62"/>
  <c r="Q178" i="62"/>
  <c r="R178" i="62"/>
  <c r="S178" i="62"/>
  <c r="T178" i="62"/>
  <c r="U178" i="62"/>
  <c r="V178" i="62"/>
  <c r="W178" i="62"/>
  <c r="X178" i="62"/>
  <c r="Y178" i="62"/>
  <c r="Z178" i="62"/>
  <c r="AA178" i="62"/>
  <c r="AB178" i="62"/>
  <c r="AC178" i="62"/>
  <c r="AD178" i="62"/>
  <c r="AE178" i="62"/>
  <c r="AF178" i="62"/>
  <c r="AG178" i="62"/>
  <c r="AH178" i="62"/>
  <c r="AI178" i="62"/>
  <c r="AJ178" i="62"/>
  <c r="AK178" i="62"/>
  <c r="AL178" i="62"/>
  <c r="K178" i="62"/>
  <c r="L736" i="62"/>
  <c r="M736" i="62"/>
  <c r="N736" i="62"/>
  <c r="O736" i="62"/>
  <c r="P736" i="62"/>
  <c r="Q736" i="62"/>
  <c r="R736" i="62"/>
  <c r="S736" i="62"/>
  <c r="T736" i="62"/>
  <c r="U736" i="62"/>
  <c r="V736" i="62"/>
  <c r="W736" i="62"/>
  <c r="X736" i="62"/>
  <c r="Y736" i="62"/>
  <c r="Z736" i="62"/>
  <c r="AA736" i="62"/>
  <c r="AB736" i="62"/>
  <c r="AC736" i="62"/>
  <c r="AD736" i="62"/>
  <c r="AE736" i="62"/>
  <c r="AF736" i="62"/>
  <c r="AG736" i="62"/>
  <c r="AH736" i="62"/>
  <c r="AI736" i="62"/>
  <c r="AJ736" i="62"/>
  <c r="AK736" i="62"/>
  <c r="AL736" i="62"/>
  <c r="K736" i="62"/>
  <c r="L334" i="62"/>
  <c r="M334" i="62"/>
  <c r="N334" i="62"/>
  <c r="O334" i="62"/>
  <c r="P334" i="62"/>
  <c r="Q334" i="62"/>
  <c r="R334" i="62"/>
  <c r="S334" i="62"/>
  <c r="T334" i="62"/>
  <c r="U334" i="62"/>
  <c r="V334" i="62"/>
  <c r="W334" i="62"/>
  <c r="X334" i="62"/>
  <c r="Y334" i="62"/>
  <c r="Z334" i="62"/>
  <c r="AA334" i="62"/>
  <c r="AB334" i="62"/>
  <c r="AC334" i="62"/>
  <c r="AD334" i="62"/>
  <c r="AE334" i="62"/>
  <c r="AF334" i="62"/>
  <c r="AG334" i="62"/>
  <c r="AH334" i="62"/>
  <c r="AI334" i="62"/>
  <c r="AJ334" i="62"/>
  <c r="AK334" i="62"/>
  <c r="AL334" i="62"/>
  <c r="K334" i="62"/>
  <c r="L563" i="62"/>
  <c r="M563" i="62"/>
  <c r="N563" i="62"/>
  <c r="O563" i="62"/>
  <c r="P563" i="62"/>
  <c r="Q563" i="62"/>
  <c r="R563" i="62"/>
  <c r="S563" i="62"/>
  <c r="T563" i="62"/>
  <c r="U563" i="62"/>
  <c r="V563" i="62"/>
  <c r="W563" i="62"/>
  <c r="X563" i="62"/>
  <c r="Y563" i="62"/>
  <c r="Z563" i="62"/>
  <c r="AA563" i="62"/>
  <c r="AB563" i="62"/>
  <c r="AC563" i="62"/>
  <c r="AD563" i="62"/>
  <c r="AE563" i="62"/>
  <c r="AF563" i="62"/>
  <c r="AG563" i="62"/>
  <c r="AH563" i="62"/>
  <c r="AI563" i="62"/>
  <c r="AJ563" i="62"/>
  <c r="AK563" i="62"/>
  <c r="AL563" i="62"/>
  <c r="K563" i="62"/>
  <c r="L161" i="62"/>
  <c r="M161" i="62"/>
  <c r="N161" i="62"/>
  <c r="O161" i="62"/>
  <c r="P161" i="62"/>
  <c r="Q161" i="62"/>
  <c r="R161" i="62"/>
  <c r="S161" i="62"/>
  <c r="T161" i="62"/>
  <c r="U161" i="62"/>
  <c r="V161" i="62"/>
  <c r="W161" i="62"/>
  <c r="X161" i="62"/>
  <c r="Y161" i="62"/>
  <c r="Z161" i="62"/>
  <c r="AA161" i="62"/>
  <c r="AB161" i="62"/>
  <c r="AC161" i="62"/>
  <c r="AD161" i="62"/>
  <c r="AE161" i="62"/>
  <c r="AF161" i="62"/>
  <c r="AG161" i="62"/>
  <c r="AH161" i="62"/>
  <c r="AI161" i="62"/>
  <c r="AJ161" i="62"/>
  <c r="AK161" i="62"/>
  <c r="AL161" i="62"/>
  <c r="K161" i="62"/>
  <c r="L789" i="62"/>
  <c r="M789" i="62"/>
  <c r="N789" i="62"/>
  <c r="O789" i="62"/>
  <c r="P789" i="62"/>
  <c r="Q789" i="62"/>
  <c r="R789" i="62"/>
  <c r="S789" i="62"/>
  <c r="T789" i="62"/>
  <c r="U789" i="62"/>
  <c r="V789" i="62"/>
  <c r="W789" i="62"/>
  <c r="X789" i="62"/>
  <c r="Y789" i="62"/>
  <c r="Z789" i="62"/>
  <c r="AA789" i="62"/>
  <c r="AB789" i="62"/>
  <c r="AC789" i="62"/>
  <c r="AD789" i="62"/>
  <c r="AE789" i="62"/>
  <c r="AF789" i="62"/>
  <c r="AG789" i="62"/>
  <c r="AH789" i="62"/>
  <c r="AI789" i="62"/>
  <c r="AJ789" i="62"/>
  <c r="AK789" i="62"/>
  <c r="AL789" i="62"/>
  <c r="K789" i="62"/>
  <c r="L387" i="62"/>
  <c r="M387" i="62"/>
  <c r="N387" i="62"/>
  <c r="O387" i="62"/>
  <c r="P387" i="62"/>
  <c r="Q387" i="62"/>
  <c r="R387" i="62"/>
  <c r="S387" i="62"/>
  <c r="T387" i="62"/>
  <c r="U387" i="62"/>
  <c r="V387" i="62"/>
  <c r="W387" i="62"/>
  <c r="X387" i="62"/>
  <c r="Y387" i="62"/>
  <c r="Z387" i="62"/>
  <c r="AA387" i="62"/>
  <c r="AB387" i="62"/>
  <c r="AC387" i="62"/>
  <c r="AD387" i="62"/>
  <c r="AE387" i="62"/>
  <c r="AF387" i="62"/>
  <c r="AG387" i="62"/>
  <c r="AH387" i="62"/>
  <c r="AI387" i="62"/>
  <c r="AJ387" i="62"/>
  <c r="AK387" i="62"/>
  <c r="AL387" i="62"/>
  <c r="K387" i="62"/>
  <c r="L661" i="62"/>
  <c r="M661" i="62"/>
  <c r="N661" i="62"/>
  <c r="O661" i="62"/>
  <c r="P661" i="62"/>
  <c r="Q661" i="62"/>
  <c r="R661" i="62"/>
  <c r="S661" i="62"/>
  <c r="T661" i="62"/>
  <c r="U661" i="62"/>
  <c r="V661" i="62"/>
  <c r="W661" i="62"/>
  <c r="X661" i="62"/>
  <c r="Y661" i="62"/>
  <c r="Z661" i="62"/>
  <c r="AA661" i="62"/>
  <c r="AB661" i="62"/>
  <c r="AC661" i="62"/>
  <c r="AD661" i="62"/>
  <c r="AE661" i="62"/>
  <c r="AF661" i="62"/>
  <c r="AG661" i="62"/>
  <c r="AH661" i="62"/>
  <c r="AI661" i="62"/>
  <c r="AJ661" i="62"/>
  <c r="AK661" i="62"/>
  <c r="AL661" i="62"/>
  <c r="K661" i="62"/>
  <c r="L259" i="62"/>
  <c r="M259" i="62"/>
  <c r="N259" i="62"/>
  <c r="O259" i="62"/>
  <c r="P259" i="62"/>
  <c r="Q259" i="62"/>
  <c r="R259" i="62"/>
  <c r="S259" i="62"/>
  <c r="T259" i="62"/>
  <c r="U259" i="62"/>
  <c r="V259" i="62"/>
  <c r="W259" i="62"/>
  <c r="X259" i="62"/>
  <c r="Y259" i="62"/>
  <c r="Z259" i="62"/>
  <c r="AA259" i="62"/>
  <c r="AB259" i="62"/>
  <c r="AC259" i="62"/>
  <c r="AD259" i="62"/>
  <c r="AE259" i="62"/>
  <c r="AF259" i="62"/>
  <c r="AG259" i="62"/>
  <c r="AH259" i="62"/>
  <c r="AI259" i="62"/>
  <c r="AJ259" i="62"/>
  <c r="AK259" i="62"/>
  <c r="AL259" i="62"/>
  <c r="K259" i="62"/>
  <c r="L592" i="62"/>
  <c r="M592" i="62"/>
  <c r="N592" i="62"/>
  <c r="O592" i="62"/>
  <c r="P592" i="62"/>
  <c r="Q592" i="62"/>
  <c r="R592" i="62"/>
  <c r="S592" i="62"/>
  <c r="T592" i="62"/>
  <c r="U592" i="62"/>
  <c r="V592" i="62"/>
  <c r="W592" i="62"/>
  <c r="X592" i="62"/>
  <c r="Y592" i="62"/>
  <c r="Z592" i="62"/>
  <c r="AA592" i="62"/>
  <c r="AB592" i="62"/>
  <c r="AC592" i="62"/>
  <c r="AD592" i="62"/>
  <c r="AE592" i="62"/>
  <c r="AF592" i="62"/>
  <c r="AG592" i="62"/>
  <c r="AH592" i="62"/>
  <c r="AI592" i="62"/>
  <c r="AJ592" i="62"/>
  <c r="AK592" i="62"/>
  <c r="AL592" i="62"/>
  <c r="K592" i="62"/>
  <c r="L190" i="62"/>
  <c r="M190" i="62"/>
  <c r="N190" i="62"/>
  <c r="O190" i="62"/>
  <c r="P190" i="62"/>
  <c r="Q190" i="62"/>
  <c r="R190" i="62"/>
  <c r="S190" i="62"/>
  <c r="T190" i="62"/>
  <c r="U190" i="62"/>
  <c r="V190" i="62"/>
  <c r="W190" i="62"/>
  <c r="X190" i="62"/>
  <c r="Y190" i="62"/>
  <c r="Z190" i="62"/>
  <c r="AA190" i="62"/>
  <c r="AB190" i="62"/>
  <c r="AC190" i="62"/>
  <c r="AD190" i="62"/>
  <c r="AE190" i="62"/>
  <c r="AF190" i="62"/>
  <c r="AG190" i="62"/>
  <c r="AH190" i="62"/>
  <c r="AI190" i="62"/>
  <c r="AJ190" i="62"/>
  <c r="AK190" i="62"/>
  <c r="AL190" i="62"/>
  <c r="K190" i="62"/>
  <c r="L715" i="62"/>
  <c r="M715" i="62"/>
  <c r="N715" i="62"/>
  <c r="O715" i="62"/>
  <c r="P715" i="62"/>
  <c r="Q715" i="62"/>
  <c r="R715" i="62"/>
  <c r="S715" i="62"/>
  <c r="T715" i="62"/>
  <c r="U715" i="62"/>
  <c r="V715" i="62"/>
  <c r="W715" i="62"/>
  <c r="X715" i="62"/>
  <c r="Y715" i="62"/>
  <c r="Z715" i="62"/>
  <c r="AA715" i="62"/>
  <c r="AB715" i="62"/>
  <c r="AC715" i="62"/>
  <c r="AD715" i="62"/>
  <c r="AE715" i="62"/>
  <c r="AF715" i="62"/>
  <c r="AG715" i="62"/>
  <c r="AH715" i="62"/>
  <c r="AI715" i="62"/>
  <c r="AJ715" i="62"/>
  <c r="AK715" i="62"/>
  <c r="AL715" i="62"/>
  <c r="K715" i="62"/>
  <c r="L313" i="62"/>
  <c r="M313" i="62"/>
  <c r="N313" i="62"/>
  <c r="O313" i="62"/>
  <c r="P313" i="62"/>
  <c r="Q313" i="62"/>
  <c r="R313" i="62"/>
  <c r="S313" i="62"/>
  <c r="T313" i="62"/>
  <c r="U313" i="62"/>
  <c r="V313" i="62"/>
  <c r="W313" i="62"/>
  <c r="X313" i="62"/>
  <c r="Y313" i="62"/>
  <c r="Z313" i="62"/>
  <c r="AA313" i="62"/>
  <c r="AB313" i="62"/>
  <c r="AC313" i="62"/>
  <c r="AD313" i="62"/>
  <c r="AE313" i="62"/>
  <c r="AF313" i="62"/>
  <c r="AG313" i="62"/>
  <c r="AH313" i="62"/>
  <c r="AI313" i="62"/>
  <c r="AJ313" i="62"/>
  <c r="AK313" i="62"/>
  <c r="AL313" i="62"/>
  <c r="K313" i="62"/>
  <c r="L760" i="62"/>
  <c r="M760" i="62"/>
  <c r="N760" i="62"/>
  <c r="O760" i="62"/>
  <c r="P760" i="62"/>
  <c r="Q760" i="62"/>
  <c r="R760" i="62"/>
  <c r="S760" i="62"/>
  <c r="T760" i="62"/>
  <c r="U760" i="62"/>
  <c r="V760" i="62"/>
  <c r="W760" i="62"/>
  <c r="X760" i="62"/>
  <c r="Y760" i="62"/>
  <c r="Z760" i="62"/>
  <c r="AA760" i="62"/>
  <c r="AB760" i="62"/>
  <c r="AC760" i="62"/>
  <c r="AD760" i="62"/>
  <c r="AE760" i="62"/>
  <c r="AF760" i="62"/>
  <c r="AG760" i="62"/>
  <c r="AH760" i="62"/>
  <c r="AI760" i="62"/>
  <c r="AJ760" i="62"/>
  <c r="AK760" i="62"/>
  <c r="AL760" i="62"/>
  <c r="K760" i="62"/>
  <c r="L358" i="62"/>
  <c r="M358" i="62"/>
  <c r="N358" i="62"/>
  <c r="O358" i="62"/>
  <c r="P358" i="62"/>
  <c r="Q358" i="62"/>
  <c r="R358" i="62"/>
  <c r="S358" i="62"/>
  <c r="T358" i="62"/>
  <c r="U358" i="62"/>
  <c r="V358" i="62"/>
  <c r="W358" i="62"/>
  <c r="X358" i="62"/>
  <c r="Y358" i="62"/>
  <c r="Z358" i="62"/>
  <c r="AA358" i="62"/>
  <c r="AB358" i="62"/>
  <c r="AC358" i="62"/>
  <c r="AD358" i="62"/>
  <c r="AE358" i="62"/>
  <c r="AF358" i="62"/>
  <c r="AG358" i="62"/>
  <c r="AH358" i="62"/>
  <c r="AI358" i="62"/>
  <c r="AJ358" i="62"/>
  <c r="AK358" i="62"/>
  <c r="AL358" i="62"/>
  <c r="K358" i="62"/>
  <c r="L616" i="62"/>
  <c r="M616" i="62"/>
  <c r="N616" i="62"/>
  <c r="O616" i="62"/>
  <c r="P616" i="62"/>
  <c r="Q616" i="62"/>
  <c r="R616" i="62"/>
  <c r="S616" i="62"/>
  <c r="T616" i="62"/>
  <c r="U616" i="62"/>
  <c r="V616" i="62"/>
  <c r="W616" i="62"/>
  <c r="X616" i="62"/>
  <c r="Y616" i="62"/>
  <c r="Z616" i="62"/>
  <c r="AA616" i="62"/>
  <c r="AB616" i="62"/>
  <c r="AC616" i="62"/>
  <c r="AD616" i="62"/>
  <c r="AE616" i="62"/>
  <c r="AF616" i="62"/>
  <c r="AG616" i="62"/>
  <c r="AH616" i="62"/>
  <c r="AI616" i="62"/>
  <c r="AJ616" i="62"/>
  <c r="AK616" i="62"/>
  <c r="AL616" i="62"/>
  <c r="K616" i="62"/>
  <c r="L214" i="62"/>
  <c r="M214" i="62"/>
  <c r="N214" i="62"/>
  <c r="O214" i="62"/>
  <c r="P214" i="62"/>
  <c r="Q214" i="62"/>
  <c r="R214" i="62"/>
  <c r="S214" i="62"/>
  <c r="T214" i="62"/>
  <c r="U214" i="62"/>
  <c r="V214" i="62"/>
  <c r="W214" i="62"/>
  <c r="X214" i="62"/>
  <c r="Y214" i="62"/>
  <c r="Z214" i="62"/>
  <c r="AA214" i="62"/>
  <c r="AB214" i="62"/>
  <c r="AC214" i="62"/>
  <c r="AD214" i="62"/>
  <c r="AE214" i="62"/>
  <c r="AF214" i="62"/>
  <c r="AG214" i="62"/>
  <c r="AH214" i="62"/>
  <c r="AI214" i="62"/>
  <c r="AJ214" i="62"/>
  <c r="AK214" i="62"/>
  <c r="AL214" i="62"/>
  <c r="K214" i="62"/>
  <c r="L636" i="62"/>
  <c r="M636" i="62"/>
  <c r="N636" i="62"/>
  <c r="O636" i="62"/>
  <c r="P636" i="62"/>
  <c r="Q636" i="62"/>
  <c r="R636" i="62"/>
  <c r="S636" i="62"/>
  <c r="T636" i="62"/>
  <c r="U636" i="62"/>
  <c r="V636" i="62"/>
  <c r="W636" i="62"/>
  <c r="X636" i="62"/>
  <c r="Y636" i="62"/>
  <c r="Z636" i="62"/>
  <c r="AA636" i="62"/>
  <c r="AB636" i="62"/>
  <c r="AC636" i="62"/>
  <c r="AD636" i="62"/>
  <c r="AE636" i="62"/>
  <c r="AF636" i="62"/>
  <c r="AG636" i="62"/>
  <c r="AH636" i="62"/>
  <c r="AI636" i="62"/>
  <c r="AJ636" i="62"/>
  <c r="AK636" i="62"/>
  <c r="AL636" i="62"/>
  <c r="K636" i="62"/>
  <c r="L234" i="62"/>
  <c r="M234" i="62"/>
  <c r="N234" i="62"/>
  <c r="O234" i="62"/>
  <c r="P234" i="62"/>
  <c r="Q234" i="62"/>
  <c r="R234" i="62"/>
  <c r="S234" i="62"/>
  <c r="T234" i="62"/>
  <c r="U234" i="62"/>
  <c r="V234" i="62"/>
  <c r="W234" i="62"/>
  <c r="X234" i="62"/>
  <c r="Y234" i="62"/>
  <c r="Z234" i="62"/>
  <c r="AA234" i="62"/>
  <c r="AB234" i="62"/>
  <c r="AC234" i="62"/>
  <c r="AD234" i="62"/>
  <c r="AE234" i="62"/>
  <c r="AF234" i="62"/>
  <c r="AG234" i="62"/>
  <c r="AH234" i="62"/>
  <c r="AI234" i="62"/>
  <c r="AJ234" i="62"/>
  <c r="AK234" i="62"/>
  <c r="AL234" i="62"/>
  <c r="K234" i="62"/>
  <c r="L691" i="62"/>
  <c r="M691" i="62"/>
  <c r="N691" i="62"/>
  <c r="O691" i="62"/>
  <c r="P691" i="62"/>
  <c r="Q691" i="62"/>
  <c r="R691" i="62"/>
  <c r="S691" i="62"/>
  <c r="T691" i="62"/>
  <c r="U691" i="62"/>
  <c r="V691" i="62"/>
  <c r="W691" i="62"/>
  <c r="X691" i="62"/>
  <c r="Y691" i="62"/>
  <c r="Z691" i="62"/>
  <c r="AA691" i="62"/>
  <c r="AB691" i="62"/>
  <c r="AC691" i="62"/>
  <c r="AD691" i="62"/>
  <c r="AE691" i="62"/>
  <c r="AF691" i="62"/>
  <c r="AG691" i="62"/>
  <c r="AH691" i="62"/>
  <c r="AI691" i="62"/>
  <c r="AJ691" i="62"/>
  <c r="AK691" i="62"/>
  <c r="AL691" i="62"/>
  <c r="K691" i="62"/>
  <c r="AL289" i="62"/>
  <c r="L289" i="62"/>
  <c r="M289" i="62"/>
  <c r="N289" i="62"/>
  <c r="O289" i="62"/>
  <c r="P289" i="62"/>
  <c r="Q289" i="62"/>
  <c r="R289" i="62"/>
  <c r="S289" i="62"/>
  <c r="T289" i="62"/>
  <c r="U289" i="62"/>
  <c r="V289" i="62"/>
  <c r="W289" i="62"/>
  <c r="X289" i="62"/>
  <c r="Y289" i="62"/>
  <c r="Z289" i="62"/>
  <c r="AA289" i="62"/>
  <c r="AB289" i="62"/>
  <c r="AC289" i="62"/>
  <c r="AD289" i="62"/>
  <c r="AE289" i="62"/>
  <c r="AF289" i="62"/>
  <c r="AG289" i="62"/>
  <c r="AH289" i="62"/>
  <c r="AI289" i="62"/>
  <c r="AJ289" i="62"/>
  <c r="AK289" i="62"/>
  <c r="K289" i="62"/>
  <c r="L690" i="62"/>
  <c r="M690" i="62"/>
  <c r="N690" i="62"/>
  <c r="O690" i="62"/>
  <c r="P690" i="62"/>
  <c r="Q690" i="62"/>
  <c r="R690" i="62"/>
  <c r="S690" i="62"/>
  <c r="T690" i="62"/>
  <c r="U690" i="62"/>
  <c r="V690" i="62"/>
  <c r="W690" i="62"/>
  <c r="X690" i="62"/>
  <c r="Y690" i="62"/>
  <c r="Z690" i="62"/>
  <c r="AA690" i="62"/>
  <c r="AB690" i="62"/>
  <c r="AC690" i="62"/>
  <c r="AD690" i="62"/>
  <c r="AE690" i="62"/>
  <c r="AF690" i="62"/>
  <c r="AG690" i="62"/>
  <c r="AH690" i="62"/>
  <c r="AI690" i="62"/>
  <c r="AJ690" i="62"/>
  <c r="AK690" i="62"/>
  <c r="AL690" i="62"/>
  <c r="K690" i="62"/>
  <c r="AL288" i="62"/>
  <c r="L288" i="62"/>
  <c r="M288" i="62"/>
  <c r="N288" i="62"/>
  <c r="O288" i="62"/>
  <c r="P288" i="62"/>
  <c r="Q288" i="62"/>
  <c r="R288" i="62"/>
  <c r="S288" i="62"/>
  <c r="T288" i="62"/>
  <c r="U288" i="62"/>
  <c r="V288" i="62"/>
  <c r="W288" i="62"/>
  <c r="X288" i="62"/>
  <c r="Y288" i="62"/>
  <c r="Z288" i="62"/>
  <c r="AA288" i="62"/>
  <c r="AB288" i="62"/>
  <c r="AC288" i="62"/>
  <c r="AD288" i="62"/>
  <c r="AE288" i="62"/>
  <c r="AF288" i="62"/>
  <c r="AG288" i="62"/>
  <c r="AH288" i="62"/>
  <c r="AI288" i="62"/>
  <c r="AJ288" i="62"/>
  <c r="AK288" i="62"/>
  <c r="K288" i="62"/>
  <c r="L716" i="62"/>
  <c r="M716" i="62"/>
  <c r="N716" i="62"/>
  <c r="O716" i="62"/>
  <c r="P716" i="62"/>
  <c r="Q716" i="62"/>
  <c r="R716" i="62"/>
  <c r="S716" i="62"/>
  <c r="T716" i="62"/>
  <c r="U716" i="62"/>
  <c r="V716" i="62"/>
  <c r="W716" i="62"/>
  <c r="X716" i="62"/>
  <c r="Y716" i="62"/>
  <c r="Z716" i="62"/>
  <c r="AA716" i="62"/>
  <c r="AB716" i="62"/>
  <c r="AC716" i="62"/>
  <c r="AD716" i="62"/>
  <c r="AE716" i="62"/>
  <c r="AF716" i="62"/>
  <c r="AG716" i="62"/>
  <c r="AH716" i="62"/>
  <c r="AI716" i="62"/>
  <c r="AJ716" i="62"/>
  <c r="AK716" i="62"/>
  <c r="AL716" i="62"/>
  <c r="K716" i="62"/>
  <c r="L314" i="62"/>
  <c r="M314" i="62"/>
  <c r="N314" i="62"/>
  <c r="O314" i="62"/>
  <c r="P314" i="62"/>
  <c r="Q314" i="62"/>
  <c r="R314" i="62"/>
  <c r="S314" i="62"/>
  <c r="T314" i="62"/>
  <c r="U314" i="62"/>
  <c r="V314" i="62"/>
  <c r="W314" i="62"/>
  <c r="X314" i="62"/>
  <c r="Y314" i="62"/>
  <c r="Z314" i="62"/>
  <c r="AA314" i="62"/>
  <c r="AB314" i="62"/>
  <c r="AC314" i="62"/>
  <c r="AD314" i="62"/>
  <c r="AE314" i="62"/>
  <c r="AF314" i="62"/>
  <c r="AG314" i="62"/>
  <c r="AH314" i="62"/>
  <c r="AI314" i="62"/>
  <c r="AJ314" i="62"/>
  <c r="AK314" i="62"/>
  <c r="AL314" i="62"/>
  <c r="K314" i="62"/>
  <c r="L679" i="62"/>
  <c r="M679" i="62"/>
  <c r="N679" i="62"/>
  <c r="O679" i="62"/>
  <c r="P679" i="62"/>
  <c r="Q679" i="62"/>
  <c r="R679" i="62"/>
  <c r="S679" i="62"/>
  <c r="T679" i="62"/>
  <c r="U679" i="62"/>
  <c r="V679" i="62"/>
  <c r="W679" i="62"/>
  <c r="X679" i="62"/>
  <c r="Y679" i="62"/>
  <c r="Z679" i="62"/>
  <c r="AA679" i="62"/>
  <c r="AB679" i="62"/>
  <c r="AC679" i="62"/>
  <c r="AD679" i="62"/>
  <c r="AE679" i="62"/>
  <c r="AF679" i="62"/>
  <c r="AG679" i="62"/>
  <c r="AH679" i="62"/>
  <c r="AI679" i="62"/>
  <c r="AJ679" i="62"/>
  <c r="AK679" i="62"/>
  <c r="AL679" i="62"/>
  <c r="K679" i="62"/>
  <c r="L277" i="62"/>
  <c r="M277" i="62"/>
  <c r="N277" i="62"/>
  <c r="O277" i="62"/>
  <c r="P277" i="62"/>
  <c r="Q277" i="62"/>
  <c r="R277" i="62"/>
  <c r="S277" i="62"/>
  <c r="T277" i="62"/>
  <c r="U277" i="62"/>
  <c r="V277" i="62"/>
  <c r="W277" i="62"/>
  <c r="X277" i="62"/>
  <c r="Y277" i="62"/>
  <c r="Z277" i="62"/>
  <c r="AA277" i="62"/>
  <c r="AB277" i="62"/>
  <c r="AC277" i="62"/>
  <c r="AD277" i="62"/>
  <c r="AE277" i="62"/>
  <c r="AF277" i="62"/>
  <c r="AG277" i="62"/>
  <c r="AH277" i="62"/>
  <c r="AI277" i="62"/>
  <c r="AJ277" i="62"/>
  <c r="AK277" i="62"/>
  <c r="AL277" i="62"/>
  <c r="K277" i="62"/>
  <c r="L518" i="62"/>
  <c r="M518" i="62"/>
  <c r="N518" i="62"/>
  <c r="O518" i="62"/>
  <c r="P518" i="62"/>
  <c r="Q518" i="62"/>
  <c r="R518" i="62"/>
  <c r="S518" i="62"/>
  <c r="T518" i="62"/>
  <c r="U518" i="62"/>
  <c r="V518" i="62"/>
  <c r="W518" i="62"/>
  <c r="X518" i="62"/>
  <c r="Y518" i="62"/>
  <c r="Z518" i="62"/>
  <c r="AA518" i="62"/>
  <c r="AB518" i="62"/>
  <c r="AC518" i="62"/>
  <c r="AD518" i="62"/>
  <c r="AE518" i="62"/>
  <c r="AF518" i="62"/>
  <c r="AG518" i="62"/>
  <c r="AH518" i="62"/>
  <c r="AI518" i="62"/>
  <c r="AJ518" i="62"/>
  <c r="AK518" i="62"/>
  <c r="AL518" i="62"/>
  <c r="K518" i="62"/>
  <c r="L116" i="62"/>
  <c r="M116" i="62"/>
  <c r="N116" i="62"/>
  <c r="O116" i="62"/>
  <c r="P116" i="62"/>
  <c r="Q116" i="62"/>
  <c r="R116" i="62"/>
  <c r="S116" i="62"/>
  <c r="T116" i="62"/>
  <c r="U116" i="62"/>
  <c r="V116" i="62"/>
  <c r="W116" i="62"/>
  <c r="X116" i="62"/>
  <c r="Y116" i="62"/>
  <c r="Z116" i="62"/>
  <c r="AA116" i="62"/>
  <c r="AB116" i="62"/>
  <c r="AC116" i="62"/>
  <c r="AD116" i="62"/>
  <c r="AE116" i="62"/>
  <c r="AF116" i="62"/>
  <c r="AG116" i="62"/>
  <c r="AH116" i="62"/>
  <c r="AI116" i="62"/>
  <c r="AJ116" i="62"/>
  <c r="AK116" i="62"/>
  <c r="AL116" i="62"/>
  <c r="K116" i="62"/>
  <c r="L517" i="62"/>
  <c r="M517" i="62"/>
  <c r="N517" i="62"/>
  <c r="O517" i="62"/>
  <c r="P517" i="62"/>
  <c r="Q517" i="62"/>
  <c r="R517" i="62"/>
  <c r="S517" i="62"/>
  <c r="T517" i="62"/>
  <c r="U517" i="62"/>
  <c r="V517" i="62"/>
  <c r="W517" i="62"/>
  <c r="X517" i="62"/>
  <c r="Y517" i="62"/>
  <c r="Z517" i="62"/>
  <c r="AA517" i="62"/>
  <c r="AB517" i="62"/>
  <c r="AC517" i="62"/>
  <c r="AD517" i="62"/>
  <c r="AE517" i="62"/>
  <c r="AF517" i="62"/>
  <c r="AG517" i="62"/>
  <c r="AH517" i="62"/>
  <c r="AI517" i="62"/>
  <c r="AJ517" i="62"/>
  <c r="AK517" i="62"/>
  <c r="AL517" i="62"/>
  <c r="K517" i="62"/>
  <c r="L115" i="62"/>
  <c r="M115" i="62"/>
  <c r="N115" i="62"/>
  <c r="O115" i="62"/>
  <c r="P115" i="62"/>
  <c r="Q115" i="62"/>
  <c r="R115" i="62"/>
  <c r="S115" i="62"/>
  <c r="T115" i="62"/>
  <c r="U115" i="62"/>
  <c r="V115" i="62"/>
  <c r="W115" i="62"/>
  <c r="X115" i="62"/>
  <c r="Y115" i="62"/>
  <c r="Z115" i="62"/>
  <c r="AA115" i="62"/>
  <c r="AB115" i="62"/>
  <c r="AC115" i="62"/>
  <c r="AD115" i="62"/>
  <c r="AE115" i="62"/>
  <c r="AF115" i="62"/>
  <c r="AG115" i="62"/>
  <c r="AH115" i="62"/>
  <c r="AI115" i="62"/>
  <c r="AJ115" i="62"/>
  <c r="AK115" i="62"/>
  <c r="AL115" i="62"/>
  <c r="K115" i="62"/>
  <c r="L790" i="62"/>
  <c r="M790" i="62"/>
  <c r="N790" i="62"/>
  <c r="O790" i="62"/>
  <c r="P790" i="62"/>
  <c r="Q790" i="62"/>
  <c r="R790" i="62"/>
  <c r="S790" i="62"/>
  <c r="T790" i="62"/>
  <c r="U790" i="62"/>
  <c r="V790" i="62"/>
  <c r="W790" i="62"/>
  <c r="X790" i="62"/>
  <c r="Y790" i="62"/>
  <c r="Z790" i="62"/>
  <c r="AA790" i="62"/>
  <c r="AB790" i="62"/>
  <c r="AC790" i="62"/>
  <c r="AD790" i="62"/>
  <c r="AE790" i="62"/>
  <c r="AF790" i="62"/>
  <c r="AG790" i="62"/>
  <c r="AH790" i="62"/>
  <c r="AI790" i="62"/>
  <c r="AJ790" i="62"/>
  <c r="AK790" i="62"/>
  <c r="AL790" i="62"/>
  <c r="K790" i="62"/>
  <c r="L388" i="62"/>
  <c r="M388" i="62"/>
  <c r="N388" i="62"/>
  <c r="O388" i="62"/>
  <c r="P388" i="62"/>
  <c r="Q388" i="62"/>
  <c r="R388" i="62"/>
  <c r="S388" i="62"/>
  <c r="T388" i="62"/>
  <c r="U388" i="62"/>
  <c r="V388" i="62"/>
  <c r="W388" i="62"/>
  <c r="X388" i="62"/>
  <c r="Y388" i="62"/>
  <c r="Z388" i="62"/>
  <c r="AA388" i="62"/>
  <c r="AB388" i="62"/>
  <c r="AC388" i="62"/>
  <c r="AD388" i="62"/>
  <c r="AE388" i="62"/>
  <c r="AF388" i="62"/>
  <c r="AG388" i="62"/>
  <c r="AH388" i="62"/>
  <c r="AI388" i="62"/>
  <c r="AJ388" i="62"/>
  <c r="AK388" i="62"/>
  <c r="AL388" i="62"/>
  <c r="K388" i="62"/>
  <c r="L504" i="62"/>
  <c r="M504" i="62"/>
  <c r="N504" i="62"/>
  <c r="O504" i="62"/>
  <c r="P504" i="62"/>
  <c r="Q504" i="62"/>
  <c r="R504" i="62"/>
  <c r="S504" i="62"/>
  <c r="T504" i="62"/>
  <c r="U504" i="62"/>
  <c r="V504" i="62"/>
  <c r="W504" i="62"/>
  <c r="X504" i="62"/>
  <c r="Y504" i="62"/>
  <c r="Z504" i="62"/>
  <c r="AA504" i="62"/>
  <c r="AB504" i="62"/>
  <c r="AC504" i="62"/>
  <c r="AD504" i="62"/>
  <c r="AE504" i="62"/>
  <c r="AF504" i="62"/>
  <c r="AG504" i="62"/>
  <c r="AH504" i="62"/>
  <c r="AI504" i="62"/>
  <c r="AJ504" i="62"/>
  <c r="AK504" i="62"/>
  <c r="AL504" i="62"/>
  <c r="K504" i="62"/>
  <c r="L102" i="62"/>
  <c r="M102" i="62"/>
  <c r="N102" i="62"/>
  <c r="O102" i="62"/>
  <c r="P102" i="62"/>
  <c r="Q102" i="62"/>
  <c r="R102" i="62"/>
  <c r="S102" i="62"/>
  <c r="T102" i="62"/>
  <c r="U102" i="62"/>
  <c r="V102" i="62"/>
  <c r="W102" i="62"/>
  <c r="X102" i="62"/>
  <c r="Y102" i="62"/>
  <c r="Z102" i="62"/>
  <c r="AA102" i="62"/>
  <c r="AB102" i="62"/>
  <c r="AC102" i="62"/>
  <c r="AD102" i="62"/>
  <c r="AE102" i="62"/>
  <c r="AF102" i="62"/>
  <c r="AG102" i="62"/>
  <c r="AH102" i="62"/>
  <c r="AI102" i="62"/>
  <c r="AJ102" i="62"/>
  <c r="AK102" i="62"/>
  <c r="AL102" i="62"/>
  <c r="K102" i="62"/>
  <c r="L662" i="62"/>
  <c r="M662" i="62"/>
  <c r="N662" i="62"/>
  <c r="O662" i="62"/>
  <c r="P662" i="62"/>
  <c r="Q662" i="62"/>
  <c r="R662" i="62"/>
  <c r="S662" i="62"/>
  <c r="T662" i="62"/>
  <c r="U662" i="62"/>
  <c r="V662" i="62"/>
  <c r="W662" i="62"/>
  <c r="X662" i="62"/>
  <c r="Y662" i="62"/>
  <c r="Z662" i="62"/>
  <c r="AA662" i="62"/>
  <c r="AB662" i="62"/>
  <c r="AC662" i="62"/>
  <c r="AD662" i="62"/>
  <c r="AE662" i="62"/>
  <c r="AF662" i="62"/>
  <c r="AG662" i="62"/>
  <c r="AH662" i="62"/>
  <c r="AI662" i="62"/>
  <c r="AJ662" i="62"/>
  <c r="AK662" i="62"/>
  <c r="AL662" i="62"/>
  <c r="K662" i="62"/>
  <c r="L260" i="62"/>
  <c r="M260" i="62"/>
  <c r="N260" i="62"/>
  <c r="O260" i="62"/>
  <c r="P260" i="62"/>
  <c r="Q260" i="62"/>
  <c r="R260" i="62"/>
  <c r="S260" i="62"/>
  <c r="T260" i="62"/>
  <c r="U260" i="62"/>
  <c r="V260" i="62"/>
  <c r="W260" i="62"/>
  <c r="X260" i="62"/>
  <c r="Y260" i="62"/>
  <c r="Z260" i="62"/>
  <c r="AA260" i="62"/>
  <c r="AB260" i="62"/>
  <c r="AC260" i="62"/>
  <c r="AD260" i="62"/>
  <c r="AE260" i="62"/>
  <c r="AF260" i="62"/>
  <c r="AG260" i="62"/>
  <c r="AH260" i="62"/>
  <c r="AI260" i="62"/>
  <c r="AJ260" i="62"/>
  <c r="AK260" i="62"/>
  <c r="AL260" i="62"/>
  <c r="K260" i="62"/>
  <c r="L505" i="62"/>
  <c r="M505" i="62"/>
  <c r="N505" i="62"/>
  <c r="O505" i="62"/>
  <c r="P505" i="62"/>
  <c r="Q505" i="62"/>
  <c r="R505" i="62"/>
  <c r="S505" i="62"/>
  <c r="T505" i="62"/>
  <c r="U505" i="62"/>
  <c r="V505" i="62"/>
  <c r="W505" i="62"/>
  <c r="X505" i="62"/>
  <c r="Y505" i="62"/>
  <c r="Z505" i="62"/>
  <c r="AA505" i="62"/>
  <c r="AB505" i="62"/>
  <c r="AC505" i="62"/>
  <c r="AD505" i="62"/>
  <c r="AE505" i="62"/>
  <c r="AF505" i="62"/>
  <c r="AG505" i="62"/>
  <c r="AH505" i="62"/>
  <c r="AI505" i="62"/>
  <c r="AJ505" i="62"/>
  <c r="AK505" i="62"/>
  <c r="AL505" i="62"/>
  <c r="K505" i="62"/>
  <c r="L103" i="62"/>
  <c r="M103" i="62"/>
  <c r="N103" i="62"/>
  <c r="O103" i="62"/>
  <c r="P103" i="62"/>
  <c r="Q103" i="62"/>
  <c r="R103" i="62"/>
  <c r="S103" i="62"/>
  <c r="T103" i="62"/>
  <c r="U103" i="62"/>
  <c r="V103" i="62"/>
  <c r="W103" i="62"/>
  <c r="X103" i="62"/>
  <c r="Y103" i="62"/>
  <c r="Z103" i="62"/>
  <c r="AA103" i="62"/>
  <c r="AB103" i="62"/>
  <c r="AC103" i="62"/>
  <c r="AD103" i="62"/>
  <c r="AE103" i="62"/>
  <c r="AF103" i="62"/>
  <c r="AG103" i="62"/>
  <c r="AH103" i="62"/>
  <c r="AI103" i="62"/>
  <c r="AJ103" i="62"/>
  <c r="AK103" i="62"/>
  <c r="AL103" i="62"/>
  <c r="K103" i="62"/>
  <c r="L617" i="62"/>
  <c r="M617" i="62"/>
  <c r="N617" i="62"/>
  <c r="O617" i="62"/>
  <c r="P617" i="62"/>
  <c r="Q617" i="62"/>
  <c r="R617" i="62"/>
  <c r="S617" i="62"/>
  <c r="T617" i="62"/>
  <c r="U617" i="62"/>
  <c r="V617" i="62"/>
  <c r="W617" i="62"/>
  <c r="X617" i="62"/>
  <c r="Y617" i="62"/>
  <c r="Z617" i="62"/>
  <c r="AA617" i="62"/>
  <c r="AB617" i="62"/>
  <c r="AC617" i="62"/>
  <c r="AD617" i="62"/>
  <c r="AE617" i="62"/>
  <c r="AF617" i="62"/>
  <c r="AG617" i="62"/>
  <c r="AH617" i="62"/>
  <c r="AI617" i="62"/>
  <c r="AJ617" i="62"/>
  <c r="AK617" i="62"/>
  <c r="AL617" i="62"/>
  <c r="K617" i="62"/>
  <c r="L215" i="62"/>
  <c r="M215" i="62"/>
  <c r="N215" i="62"/>
  <c r="O215" i="62"/>
  <c r="P215" i="62"/>
  <c r="Q215" i="62"/>
  <c r="R215" i="62"/>
  <c r="S215" i="62"/>
  <c r="T215" i="62"/>
  <c r="U215" i="62"/>
  <c r="V215" i="62"/>
  <c r="W215" i="62"/>
  <c r="X215" i="62"/>
  <c r="Y215" i="62"/>
  <c r="Z215" i="62"/>
  <c r="AA215" i="62"/>
  <c r="AB215" i="62"/>
  <c r="AC215" i="62"/>
  <c r="AD215" i="62"/>
  <c r="AE215" i="62"/>
  <c r="AF215" i="62"/>
  <c r="AG215" i="62"/>
  <c r="AH215" i="62"/>
  <c r="AI215" i="62"/>
  <c r="AJ215" i="62"/>
  <c r="AK215" i="62"/>
  <c r="AL215" i="62"/>
  <c r="K215" i="62"/>
  <c r="L778" i="62"/>
  <c r="M778" i="62"/>
  <c r="N778" i="62"/>
  <c r="O778" i="62"/>
  <c r="P778" i="62"/>
  <c r="Q778" i="62"/>
  <c r="R778" i="62"/>
  <c r="S778" i="62"/>
  <c r="T778" i="62"/>
  <c r="U778" i="62"/>
  <c r="V778" i="62"/>
  <c r="W778" i="62"/>
  <c r="X778" i="62"/>
  <c r="Y778" i="62"/>
  <c r="Z778" i="62"/>
  <c r="AA778" i="62"/>
  <c r="AB778" i="62"/>
  <c r="AC778" i="62"/>
  <c r="AD778" i="62"/>
  <c r="AE778" i="62"/>
  <c r="AF778" i="62"/>
  <c r="AG778" i="62"/>
  <c r="AH778" i="62"/>
  <c r="AI778" i="62"/>
  <c r="AJ778" i="62"/>
  <c r="AK778" i="62"/>
  <c r="AL778" i="62"/>
  <c r="K778" i="62"/>
  <c r="L376" i="62"/>
  <c r="M376" i="62"/>
  <c r="N376" i="62"/>
  <c r="O376" i="62"/>
  <c r="P376" i="62"/>
  <c r="Q376" i="62"/>
  <c r="R376" i="62"/>
  <c r="S376" i="62"/>
  <c r="T376" i="62"/>
  <c r="U376" i="62"/>
  <c r="V376" i="62"/>
  <c r="W376" i="62"/>
  <c r="X376" i="62"/>
  <c r="Y376" i="62"/>
  <c r="Z376" i="62"/>
  <c r="AA376" i="62"/>
  <c r="AB376" i="62"/>
  <c r="AC376" i="62"/>
  <c r="AD376" i="62"/>
  <c r="AE376" i="62"/>
  <c r="AF376" i="62"/>
  <c r="AG376" i="62"/>
  <c r="AH376" i="62"/>
  <c r="AI376" i="62"/>
  <c r="AJ376" i="62"/>
  <c r="AK376" i="62"/>
  <c r="AL376" i="62"/>
  <c r="K376" i="62"/>
  <c r="L538" i="62"/>
  <c r="M538" i="62"/>
  <c r="N538" i="62"/>
  <c r="O538" i="62"/>
  <c r="P538" i="62"/>
  <c r="Q538" i="62"/>
  <c r="R538" i="62"/>
  <c r="S538" i="62"/>
  <c r="T538" i="62"/>
  <c r="U538" i="62"/>
  <c r="V538" i="62"/>
  <c r="W538" i="62"/>
  <c r="X538" i="62"/>
  <c r="Y538" i="62"/>
  <c r="Z538" i="62"/>
  <c r="AA538" i="62"/>
  <c r="AB538" i="62"/>
  <c r="AC538" i="62"/>
  <c r="AD538" i="62"/>
  <c r="AE538" i="62"/>
  <c r="AF538" i="62"/>
  <c r="AG538" i="62"/>
  <c r="AH538" i="62"/>
  <c r="AI538" i="62"/>
  <c r="AJ538" i="62"/>
  <c r="AK538" i="62"/>
  <c r="AL538" i="62"/>
  <c r="K538" i="62"/>
  <c r="L136" i="62"/>
  <c r="M136" i="62"/>
  <c r="N136" i="62"/>
  <c r="O136" i="62"/>
  <c r="P136" i="62"/>
  <c r="Q136" i="62"/>
  <c r="R136" i="62"/>
  <c r="S136" i="62"/>
  <c r="T136" i="62"/>
  <c r="U136" i="62"/>
  <c r="V136" i="62"/>
  <c r="W136" i="62"/>
  <c r="X136" i="62"/>
  <c r="Y136" i="62"/>
  <c r="Z136" i="62"/>
  <c r="AA136" i="62"/>
  <c r="AB136" i="62"/>
  <c r="AC136" i="62"/>
  <c r="AD136" i="62"/>
  <c r="AE136" i="62"/>
  <c r="AF136" i="62"/>
  <c r="AG136" i="62"/>
  <c r="AH136" i="62"/>
  <c r="AI136" i="62"/>
  <c r="AJ136" i="62"/>
  <c r="AK136" i="62"/>
  <c r="AL136" i="62"/>
  <c r="K136" i="62"/>
  <c r="L637" i="62"/>
  <c r="M637" i="62"/>
  <c r="N637" i="62"/>
  <c r="O637" i="62"/>
  <c r="P637" i="62"/>
  <c r="Q637" i="62"/>
  <c r="R637" i="62"/>
  <c r="S637" i="62"/>
  <c r="T637" i="62"/>
  <c r="U637" i="62"/>
  <c r="V637" i="62"/>
  <c r="W637" i="62"/>
  <c r="X637" i="62"/>
  <c r="Y637" i="62"/>
  <c r="Z637" i="62"/>
  <c r="AA637" i="62"/>
  <c r="AB637" i="62"/>
  <c r="AC637" i="62"/>
  <c r="AD637" i="62"/>
  <c r="AE637" i="62"/>
  <c r="AF637" i="62"/>
  <c r="AG637" i="62"/>
  <c r="AH637" i="62"/>
  <c r="AI637" i="62"/>
  <c r="AJ637" i="62"/>
  <c r="AK637" i="62"/>
  <c r="AL637" i="62"/>
  <c r="K637" i="62"/>
  <c r="L235" i="62"/>
  <c r="M235" i="62"/>
  <c r="N235" i="62"/>
  <c r="O235" i="62"/>
  <c r="P235" i="62"/>
  <c r="Q235" i="62"/>
  <c r="R235" i="62"/>
  <c r="S235" i="62"/>
  <c r="T235" i="62"/>
  <c r="U235" i="62"/>
  <c r="V235" i="62"/>
  <c r="W235" i="62"/>
  <c r="X235" i="62"/>
  <c r="Y235" i="62"/>
  <c r="Z235" i="62"/>
  <c r="AA235" i="62"/>
  <c r="AB235" i="62"/>
  <c r="AC235" i="62"/>
  <c r="AD235" i="62"/>
  <c r="AE235" i="62"/>
  <c r="AF235" i="62"/>
  <c r="AG235" i="62"/>
  <c r="AH235" i="62"/>
  <c r="AI235" i="62"/>
  <c r="AJ235" i="62"/>
  <c r="AK235" i="62"/>
  <c r="AL235" i="62"/>
  <c r="K235" i="62"/>
  <c r="AL308" i="62"/>
  <c r="AK308" i="62"/>
  <c r="AJ308" i="62"/>
  <c r="AI308" i="62"/>
  <c r="AH308" i="62"/>
  <c r="AG308" i="62"/>
  <c r="AF308" i="62"/>
  <c r="AE308" i="62"/>
  <c r="AD308" i="62"/>
  <c r="AC308" i="62"/>
  <c r="AB308" i="62"/>
  <c r="AA308" i="62"/>
  <c r="Z308" i="62"/>
  <c r="Y308" i="62"/>
  <c r="X308" i="62"/>
  <c r="W308" i="62"/>
  <c r="V308" i="62"/>
  <c r="U308" i="62"/>
  <c r="T308" i="62"/>
  <c r="S308" i="62"/>
  <c r="R308" i="62"/>
  <c r="Q308" i="62"/>
  <c r="P308" i="62"/>
  <c r="O308" i="62"/>
  <c r="N308" i="62"/>
  <c r="M308" i="62"/>
  <c r="L308" i="62"/>
  <c r="K308" i="62"/>
  <c r="AL710" i="62"/>
  <c r="AK710" i="62"/>
  <c r="AJ710" i="62"/>
  <c r="AI710" i="62"/>
  <c r="AH710" i="62"/>
  <c r="AG710" i="62"/>
  <c r="AF710" i="62"/>
  <c r="AE710" i="62"/>
  <c r="AD710" i="62"/>
  <c r="AC710" i="62"/>
  <c r="AB710" i="62"/>
  <c r="AA710" i="62"/>
  <c r="Z710" i="62"/>
  <c r="Y710" i="62"/>
  <c r="X710" i="62"/>
  <c r="W710" i="62"/>
  <c r="V710" i="62"/>
  <c r="U710" i="62"/>
  <c r="T710" i="62"/>
  <c r="S710" i="62"/>
  <c r="R710" i="62"/>
  <c r="Q710" i="62"/>
  <c r="P710" i="62"/>
  <c r="O710" i="62"/>
  <c r="N710" i="62"/>
  <c r="M710" i="62"/>
  <c r="L710" i="62"/>
  <c r="K710" i="62"/>
  <c r="F191" i="60"/>
  <c r="AL229" i="62"/>
  <c r="AK229" i="62"/>
  <c r="AJ229" i="62"/>
  <c r="AI229" i="62"/>
  <c r="AH229" i="62"/>
  <c r="AG229" i="62"/>
  <c r="AF229" i="62"/>
  <c r="AE229" i="62"/>
  <c r="AD229" i="62"/>
  <c r="AC229" i="62"/>
  <c r="AB229" i="62"/>
  <c r="AA229" i="62"/>
  <c r="Z229" i="62"/>
  <c r="Y229" i="62"/>
  <c r="X229" i="62"/>
  <c r="W229" i="62"/>
  <c r="V229" i="62"/>
  <c r="U229" i="62"/>
  <c r="T229" i="62"/>
  <c r="S229" i="62"/>
  <c r="R229" i="62"/>
  <c r="Q229" i="62"/>
  <c r="P229" i="62"/>
  <c r="O229" i="62"/>
  <c r="N229" i="62"/>
  <c r="M229" i="62"/>
  <c r="L229" i="62"/>
  <c r="K229" i="62"/>
  <c r="AL631" i="62"/>
  <c r="AK631" i="62"/>
  <c r="AJ631" i="62"/>
  <c r="AI631" i="62"/>
  <c r="AH631" i="62"/>
  <c r="AG631" i="62"/>
  <c r="AF631" i="62"/>
  <c r="AE631" i="62"/>
  <c r="AD631" i="62"/>
  <c r="AC631" i="62"/>
  <c r="AB631" i="62"/>
  <c r="AA631" i="62"/>
  <c r="Z631" i="62"/>
  <c r="Y631" i="62"/>
  <c r="X631" i="62"/>
  <c r="W631" i="62"/>
  <c r="V631" i="62"/>
  <c r="U631" i="62"/>
  <c r="T631" i="62"/>
  <c r="S631" i="62"/>
  <c r="R631" i="62"/>
  <c r="Q631" i="62"/>
  <c r="P631" i="62"/>
  <c r="O631" i="62"/>
  <c r="N631" i="62"/>
  <c r="M631" i="62"/>
  <c r="L631" i="62"/>
  <c r="K631" i="62"/>
  <c r="F192" i="60"/>
  <c r="AL254" i="62"/>
  <c r="AK254" i="62"/>
  <c r="AJ254" i="62"/>
  <c r="AI254" i="62"/>
  <c r="AH254" i="62"/>
  <c r="AG254" i="62"/>
  <c r="AF254" i="62"/>
  <c r="AE254" i="62"/>
  <c r="AD254" i="62"/>
  <c r="AC254" i="62"/>
  <c r="AB254" i="62"/>
  <c r="AA254" i="62"/>
  <c r="Z254" i="62"/>
  <c r="Y254" i="62"/>
  <c r="X254" i="62"/>
  <c r="W254" i="62"/>
  <c r="V254" i="62"/>
  <c r="U254" i="62"/>
  <c r="T254" i="62"/>
  <c r="S254" i="62"/>
  <c r="R254" i="62"/>
  <c r="Q254" i="62"/>
  <c r="P254" i="62"/>
  <c r="O254" i="62"/>
  <c r="N254" i="62"/>
  <c r="M254" i="62"/>
  <c r="L254" i="62"/>
  <c r="K254" i="62"/>
  <c r="AL656" i="62"/>
  <c r="AK656" i="62"/>
  <c r="AJ656" i="62"/>
  <c r="AI656" i="62"/>
  <c r="AH656" i="62"/>
  <c r="AG656" i="62"/>
  <c r="AF656" i="62"/>
  <c r="AE656" i="62"/>
  <c r="AD656" i="62"/>
  <c r="AC656" i="62"/>
  <c r="AB656" i="62"/>
  <c r="AA656" i="62"/>
  <c r="Z656" i="62"/>
  <c r="Y656" i="62"/>
  <c r="X656" i="62"/>
  <c r="W656" i="62"/>
  <c r="V656" i="62"/>
  <c r="U656" i="62"/>
  <c r="T656" i="62"/>
  <c r="S656" i="62"/>
  <c r="R656" i="62"/>
  <c r="Q656" i="62"/>
  <c r="P656" i="62"/>
  <c r="O656" i="62"/>
  <c r="N656" i="62"/>
  <c r="M656" i="62"/>
  <c r="L656" i="62"/>
  <c r="K656" i="62"/>
  <c r="F193" i="60"/>
  <c r="AL271" i="62"/>
  <c r="AK271" i="62"/>
  <c r="AJ271" i="62"/>
  <c r="AI271" i="62"/>
  <c r="AH271" i="62"/>
  <c r="AG271" i="62"/>
  <c r="AF271" i="62"/>
  <c r="AE271" i="62"/>
  <c r="AD271" i="62"/>
  <c r="AC271" i="62"/>
  <c r="AB271" i="62"/>
  <c r="AA271" i="62"/>
  <c r="Z271" i="62"/>
  <c r="Y271" i="62"/>
  <c r="X271" i="62"/>
  <c r="W271" i="62"/>
  <c r="V271" i="62"/>
  <c r="U271" i="62"/>
  <c r="T271" i="62"/>
  <c r="S271" i="62"/>
  <c r="R271" i="62"/>
  <c r="Q271" i="62"/>
  <c r="P271" i="62"/>
  <c r="O271" i="62"/>
  <c r="N271" i="62"/>
  <c r="M271" i="62"/>
  <c r="L271" i="62"/>
  <c r="K271" i="62"/>
  <c r="AL673" i="62"/>
  <c r="AK673" i="62"/>
  <c r="AJ673" i="62"/>
  <c r="AI673" i="62"/>
  <c r="AH673" i="62"/>
  <c r="AG673" i="62"/>
  <c r="AF673" i="62"/>
  <c r="AE673" i="62"/>
  <c r="AD673" i="62"/>
  <c r="AC673" i="62"/>
  <c r="AB673" i="62"/>
  <c r="AA673" i="62"/>
  <c r="Z673" i="62"/>
  <c r="Y673" i="62"/>
  <c r="X673" i="62"/>
  <c r="W673" i="62"/>
  <c r="V673" i="62"/>
  <c r="U673" i="62"/>
  <c r="T673" i="62"/>
  <c r="S673" i="62"/>
  <c r="R673" i="62"/>
  <c r="Q673" i="62"/>
  <c r="P673" i="62"/>
  <c r="O673" i="62"/>
  <c r="N673" i="62"/>
  <c r="M673" i="62"/>
  <c r="L673" i="62"/>
  <c r="K673" i="62"/>
  <c r="F194" i="60"/>
  <c r="AL283" i="62"/>
  <c r="AK283" i="62"/>
  <c r="AJ283" i="62"/>
  <c r="AI283" i="62"/>
  <c r="AH283" i="62"/>
  <c r="AG283" i="62"/>
  <c r="AF283" i="62"/>
  <c r="AE283" i="62"/>
  <c r="AD283" i="62"/>
  <c r="AC283" i="62"/>
  <c r="AB283" i="62"/>
  <c r="AA283" i="62"/>
  <c r="Z283" i="62"/>
  <c r="Y283" i="62"/>
  <c r="X283" i="62"/>
  <c r="W283" i="62"/>
  <c r="V283" i="62"/>
  <c r="U283" i="62"/>
  <c r="T283" i="62"/>
  <c r="S283" i="62"/>
  <c r="R283" i="62"/>
  <c r="Q283" i="62"/>
  <c r="P283" i="62"/>
  <c r="O283" i="62"/>
  <c r="N283" i="62"/>
  <c r="M283" i="62"/>
  <c r="L283" i="62"/>
  <c r="K283" i="62"/>
  <c r="AL685" i="62"/>
  <c r="AK685" i="62"/>
  <c r="AJ685" i="62"/>
  <c r="AI685" i="62"/>
  <c r="AH685" i="62"/>
  <c r="AG685" i="62"/>
  <c r="AF685" i="62"/>
  <c r="AE685" i="62"/>
  <c r="AD685" i="62"/>
  <c r="AC685" i="62"/>
  <c r="AB685" i="62"/>
  <c r="AA685" i="62"/>
  <c r="Z685" i="62"/>
  <c r="Y685" i="62"/>
  <c r="X685" i="62"/>
  <c r="W685" i="62"/>
  <c r="V685" i="62"/>
  <c r="U685" i="62"/>
  <c r="T685" i="62"/>
  <c r="S685" i="62"/>
  <c r="R685" i="62"/>
  <c r="Q685" i="62"/>
  <c r="P685" i="62"/>
  <c r="O685" i="62"/>
  <c r="N685" i="62"/>
  <c r="M685" i="62"/>
  <c r="L685" i="62"/>
  <c r="K685" i="62"/>
  <c r="F189" i="60"/>
  <c r="AL196" i="62"/>
  <c r="AK196" i="62"/>
  <c r="AJ196" i="62"/>
  <c r="AI196" i="62"/>
  <c r="AH196" i="62"/>
  <c r="AG196" i="62"/>
  <c r="AF196" i="62"/>
  <c r="AE196" i="62"/>
  <c r="AD196" i="62"/>
  <c r="AC196" i="62"/>
  <c r="AB196" i="62"/>
  <c r="AA196" i="62"/>
  <c r="Z196" i="62"/>
  <c r="Y196" i="62"/>
  <c r="X196" i="62"/>
  <c r="W196" i="62"/>
  <c r="V196" i="62"/>
  <c r="U196" i="62"/>
  <c r="T196" i="62"/>
  <c r="S196" i="62"/>
  <c r="R196" i="62"/>
  <c r="Q196" i="62"/>
  <c r="P196" i="62"/>
  <c r="O196" i="62"/>
  <c r="N196" i="62"/>
  <c r="M196" i="62"/>
  <c r="L196" i="62"/>
  <c r="K196" i="62"/>
  <c r="AL598" i="62"/>
  <c r="AK598" i="62"/>
  <c r="AJ598" i="62"/>
  <c r="AI598" i="62"/>
  <c r="AH598" i="62"/>
  <c r="AG598" i="62"/>
  <c r="AF598" i="62"/>
  <c r="AE598" i="62"/>
  <c r="AD598" i="62"/>
  <c r="AC598" i="62"/>
  <c r="AB598" i="62"/>
  <c r="AA598" i="62"/>
  <c r="Z598" i="62"/>
  <c r="Y598" i="62"/>
  <c r="X598" i="62"/>
  <c r="W598" i="62"/>
  <c r="V598" i="62"/>
  <c r="U598" i="62"/>
  <c r="T598" i="62"/>
  <c r="S598" i="62"/>
  <c r="R598" i="62"/>
  <c r="Q598" i="62"/>
  <c r="P598" i="62"/>
  <c r="O598" i="62"/>
  <c r="N598" i="62"/>
  <c r="M598" i="62"/>
  <c r="L598" i="62"/>
  <c r="K598" i="62"/>
  <c r="AL217" i="62"/>
  <c r="AK217" i="62"/>
  <c r="AJ217" i="62"/>
  <c r="AI217" i="62"/>
  <c r="AH217" i="62"/>
  <c r="AG217" i="62"/>
  <c r="AF217" i="62"/>
  <c r="AE217" i="62"/>
  <c r="AD217" i="62"/>
  <c r="AC217" i="62"/>
  <c r="AB217" i="62"/>
  <c r="AA217" i="62"/>
  <c r="Z217" i="62"/>
  <c r="Y217" i="62"/>
  <c r="X217" i="62"/>
  <c r="W217" i="62"/>
  <c r="V217" i="62"/>
  <c r="U217" i="62"/>
  <c r="T217" i="62"/>
  <c r="S217" i="62"/>
  <c r="R217" i="62"/>
  <c r="Q217" i="62"/>
  <c r="P217" i="62"/>
  <c r="O217" i="62"/>
  <c r="N217" i="62"/>
  <c r="M217" i="62"/>
  <c r="L217" i="62"/>
  <c r="K217" i="62"/>
  <c r="AL619" i="62"/>
  <c r="AK619" i="62"/>
  <c r="AJ619" i="62"/>
  <c r="AI619" i="62"/>
  <c r="AH619" i="62"/>
  <c r="AG619" i="62"/>
  <c r="AF619" i="62"/>
  <c r="AE619" i="62"/>
  <c r="AD619" i="62"/>
  <c r="AC619" i="62"/>
  <c r="AB619" i="62"/>
  <c r="AA619" i="62"/>
  <c r="Z619" i="62"/>
  <c r="Y619" i="62"/>
  <c r="X619" i="62"/>
  <c r="W619" i="62"/>
  <c r="V619" i="62"/>
  <c r="U619" i="62"/>
  <c r="T619" i="62"/>
  <c r="S619" i="62"/>
  <c r="R619" i="62"/>
  <c r="Q619" i="62"/>
  <c r="P619" i="62"/>
  <c r="O619" i="62"/>
  <c r="N619" i="62"/>
  <c r="M619" i="62"/>
  <c r="L619" i="62"/>
  <c r="K619" i="62"/>
  <c r="H190" i="60"/>
  <c r="H191" i="60"/>
  <c r="AL237" i="62"/>
  <c r="AK237" i="62"/>
  <c r="AJ237" i="62"/>
  <c r="AI237" i="62"/>
  <c r="AH237" i="62"/>
  <c r="AG237" i="62"/>
  <c r="AF237" i="62"/>
  <c r="AE237" i="62"/>
  <c r="AD237" i="62"/>
  <c r="AC237" i="62"/>
  <c r="AB237" i="62"/>
  <c r="AA237" i="62"/>
  <c r="Z237" i="62"/>
  <c r="Y237" i="62"/>
  <c r="X237" i="62"/>
  <c r="W237" i="62"/>
  <c r="V237" i="62"/>
  <c r="U237" i="62"/>
  <c r="T237" i="62"/>
  <c r="S237" i="62"/>
  <c r="R237" i="62"/>
  <c r="Q237" i="62"/>
  <c r="P237" i="62"/>
  <c r="O237" i="62"/>
  <c r="N237" i="62"/>
  <c r="M237" i="62"/>
  <c r="L237" i="62"/>
  <c r="K237" i="62"/>
  <c r="AL639" i="62"/>
  <c r="AK639" i="62"/>
  <c r="AJ639" i="62"/>
  <c r="AI639" i="62"/>
  <c r="AH639" i="62"/>
  <c r="AG639" i="62"/>
  <c r="AF639" i="62"/>
  <c r="AE639" i="62"/>
  <c r="AD639" i="62"/>
  <c r="AC639" i="62"/>
  <c r="AB639" i="62"/>
  <c r="AA639" i="62"/>
  <c r="Z639" i="62"/>
  <c r="Y639" i="62"/>
  <c r="X639" i="62"/>
  <c r="W639" i="62"/>
  <c r="V639" i="62"/>
  <c r="U639" i="62"/>
  <c r="T639" i="62"/>
  <c r="S639" i="62"/>
  <c r="R639" i="62"/>
  <c r="Q639" i="62"/>
  <c r="P639" i="62"/>
  <c r="O639" i="62"/>
  <c r="N639" i="62"/>
  <c r="M639" i="62"/>
  <c r="L639" i="62"/>
  <c r="K639" i="62"/>
  <c r="H192" i="60"/>
  <c r="AL262" i="62"/>
  <c r="AK262" i="62"/>
  <c r="AJ262" i="62"/>
  <c r="AI262" i="62"/>
  <c r="AH262" i="62"/>
  <c r="AG262" i="62"/>
  <c r="AF262" i="62"/>
  <c r="AE262" i="62"/>
  <c r="AD262" i="62"/>
  <c r="AC262" i="62"/>
  <c r="AB262" i="62"/>
  <c r="AA262" i="62"/>
  <c r="Z262" i="62"/>
  <c r="Y262" i="62"/>
  <c r="X262" i="62"/>
  <c r="W262" i="62"/>
  <c r="V262" i="62"/>
  <c r="U262" i="62"/>
  <c r="T262" i="62"/>
  <c r="S262" i="62"/>
  <c r="R262" i="62"/>
  <c r="Q262" i="62"/>
  <c r="P262" i="62"/>
  <c r="O262" i="62"/>
  <c r="N262" i="62"/>
  <c r="M262" i="62"/>
  <c r="L262" i="62"/>
  <c r="K262" i="62"/>
  <c r="AL664" i="62"/>
  <c r="AK664" i="62"/>
  <c r="AJ664" i="62"/>
  <c r="AI664" i="62"/>
  <c r="AH664" i="62"/>
  <c r="AG664" i="62"/>
  <c r="AF664" i="62"/>
  <c r="AE664" i="62"/>
  <c r="AD664" i="62"/>
  <c r="AC664" i="62"/>
  <c r="AB664" i="62"/>
  <c r="AA664" i="62"/>
  <c r="Z664" i="62"/>
  <c r="Y664" i="62"/>
  <c r="X664" i="62"/>
  <c r="W664" i="62"/>
  <c r="V664" i="62"/>
  <c r="U664" i="62"/>
  <c r="T664" i="62"/>
  <c r="S664" i="62"/>
  <c r="R664" i="62"/>
  <c r="Q664" i="62"/>
  <c r="P664" i="62"/>
  <c r="O664" i="62"/>
  <c r="N664" i="62"/>
  <c r="M664" i="62"/>
  <c r="L664" i="62"/>
  <c r="K664" i="62"/>
  <c r="H193" i="60"/>
  <c r="AL279" i="62"/>
  <c r="AK279" i="62"/>
  <c r="AJ279" i="62"/>
  <c r="AI279" i="62"/>
  <c r="AH279" i="62"/>
  <c r="AG279" i="62"/>
  <c r="AF279" i="62"/>
  <c r="AE279" i="62"/>
  <c r="AD279" i="62"/>
  <c r="AC279" i="62"/>
  <c r="AB279" i="62"/>
  <c r="AA279" i="62"/>
  <c r="Z279" i="62"/>
  <c r="Y279" i="62"/>
  <c r="X279" i="62"/>
  <c r="W279" i="62"/>
  <c r="V279" i="62"/>
  <c r="U279" i="62"/>
  <c r="T279" i="62"/>
  <c r="S279" i="62"/>
  <c r="R279" i="62"/>
  <c r="Q279" i="62"/>
  <c r="P279" i="62"/>
  <c r="O279" i="62"/>
  <c r="N279" i="62"/>
  <c r="M279" i="62"/>
  <c r="L279" i="62"/>
  <c r="K279" i="62"/>
  <c r="AL681" i="62"/>
  <c r="AK681" i="62"/>
  <c r="AJ681" i="62"/>
  <c r="AI681" i="62"/>
  <c r="AH681" i="62"/>
  <c r="AG681" i="62"/>
  <c r="AF681" i="62"/>
  <c r="AE681" i="62"/>
  <c r="AD681" i="62"/>
  <c r="AC681" i="62"/>
  <c r="AB681" i="62"/>
  <c r="AA681" i="62"/>
  <c r="Z681" i="62"/>
  <c r="Y681" i="62"/>
  <c r="X681" i="62"/>
  <c r="W681" i="62"/>
  <c r="V681" i="62"/>
  <c r="U681" i="62"/>
  <c r="T681" i="62"/>
  <c r="S681" i="62"/>
  <c r="R681" i="62"/>
  <c r="Q681" i="62"/>
  <c r="P681" i="62"/>
  <c r="O681" i="62"/>
  <c r="N681" i="62"/>
  <c r="M681" i="62"/>
  <c r="L681" i="62"/>
  <c r="K681" i="62"/>
  <c r="H194" i="60"/>
  <c r="AL291" i="62"/>
  <c r="AK291" i="62"/>
  <c r="AJ291" i="62"/>
  <c r="AI291" i="62"/>
  <c r="AH291" i="62"/>
  <c r="AG291" i="62"/>
  <c r="AF291" i="62"/>
  <c r="AE291" i="62"/>
  <c r="AD291" i="62"/>
  <c r="AC291" i="62"/>
  <c r="AB291" i="62"/>
  <c r="AA291" i="62"/>
  <c r="Z291" i="62"/>
  <c r="Y291" i="62"/>
  <c r="X291" i="62"/>
  <c r="W291" i="62"/>
  <c r="V291" i="62"/>
  <c r="U291" i="62"/>
  <c r="T291" i="62"/>
  <c r="S291" i="62"/>
  <c r="R291" i="62"/>
  <c r="Q291" i="62"/>
  <c r="P291" i="62"/>
  <c r="O291" i="62"/>
  <c r="N291" i="62"/>
  <c r="M291" i="62"/>
  <c r="L291" i="62"/>
  <c r="K291" i="62"/>
  <c r="AL693" i="62"/>
  <c r="AK693" i="62"/>
  <c r="AJ693" i="62"/>
  <c r="AI693" i="62"/>
  <c r="AH693" i="62"/>
  <c r="AG693" i="62"/>
  <c r="AF693" i="62"/>
  <c r="AE693" i="62"/>
  <c r="AD693" i="62"/>
  <c r="AC693" i="62"/>
  <c r="AB693" i="62"/>
  <c r="AA693" i="62"/>
  <c r="Z693" i="62"/>
  <c r="Y693" i="62"/>
  <c r="X693" i="62"/>
  <c r="W693" i="62"/>
  <c r="V693" i="62"/>
  <c r="U693" i="62"/>
  <c r="T693" i="62"/>
  <c r="S693" i="62"/>
  <c r="R693" i="62"/>
  <c r="Q693" i="62"/>
  <c r="P693" i="62"/>
  <c r="O693" i="62"/>
  <c r="N693" i="62"/>
  <c r="M693" i="62"/>
  <c r="L693" i="62"/>
  <c r="K693" i="62"/>
  <c r="C189" i="60"/>
  <c r="D195" i="60"/>
  <c r="D189" i="60"/>
  <c r="D183" i="60"/>
  <c r="C183" i="60"/>
  <c r="C195" i="60"/>
  <c r="D171" i="60"/>
  <c r="D6" i="84"/>
  <c r="D5" i="84"/>
  <c r="D4" i="84"/>
  <c r="D169" i="58"/>
  <c r="B67" i="53"/>
  <c r="D313" i="58"/>
  <c r="AE59" i="60"/>
  <c r="AF59" i="60"/>
  <c r="AD59" i="60"/>
  <c r="AA59" i="60"/>
  <c r="Z59" i="60"/>
  <c r="Y59" i="60"/>
  <c r="X59" i="60"/>
  <c r="W59" i="60"/>
  <c r="V59" i="60"/>
  <c r="U59" i="60"/>
  <c r="R59" i="60"/>
  <c r="Q59" i="60"/>
  <c r="P59" i="60"/>
  <c r="N59" i="60"/>
  <c r="L59" i="60"/>
  <c r="K59" i="60"/>
  <c r="J59" i="60"/>
  <c r="I59" i="60"/>
  <c r="G59" i="60"/>
  <c r="F59" i="60"/>
  <c r="H59" i="60"/>
  <c r="E59" i="60"/>
  <c r="N21" i="83"/>
  <c r="P54" i="60" s="1"/>
  <c r="U21" i="83"/>
  <c r="Y21" i="83"/>
  <c r="N22" i="83"/>
  <c r="P55" i="60" s="1"/>
  <c r="U22" i="83"/>
  <c r="W55" i="60" s="1"/>
  <c r="Y22" i="83"/>
  <c r="AA55" i="60" s="1"/>
  <c r="N23" i="83"/>
  <c r="U23" i="83"/>
  <c r="Y23" i="83"/>
  <c r="N18" i="83"/>
  <c r="U18" i="83"/>
  <c r="Y18" i="83"/>
  <c r="N19" i="83"/>
  <c r="U19" i="83"/>
  <c r="Y19" i="83"/>
  <c r="N20" i="83"/>
  <c r="U20" i="83"/>
  <c r="Y20" i="83"/>
  <c r="Y17" i="83"/>
  <c r="H7" i="83"/>
  <c r="H6" i="83"/>
  <c r="H5" i="83"/>
  <c r="D7" i="83"/>
  <c r="D8" i="83"/>
  <c r="D9" i="83"/>
  <c r="U17" i="83" s="1"/>
  <c r="D10" i="83"/>
  <c r="D11" i="83"/>
  <c r="D6" i="83"/>
  <c r="N17" i="83" s="1"/>
  <c r="D5" i="83"/>
  <c r="C29" i="81"/>
  <c r="C31" i="81"/>
  <c r="B115" i="8"/>
  <c r="B27" i="81"/>
  <c r="B28" i="81"/>
  <c r="B29" i="81"/>
  <c r="B30" i="81"/>
  <c r="B31" i="81"/>
  <c r="B26" i="81"/>
  <c r="L300" i="58" l="1"/>
  <c r="M300" i="58"/>
  <c r="N300" i="58"/>
  <c r="O300" i="58"/>
  <c r="P300" i="58"/>
  <c r="Q300" i="58"/>
  <c r="R300" i="58"/>
  <c r="S300" i="58"/>
  <c r="T300" i="58"/>
  <c r="U300" i="58"/>
  <c r="V300" i="58"/>
  <c r="W300" i="58"/>
  <c r="X300" i="58"/>
  <c r="Y300" i="58"/>
  <c r="Z300" i="58"/>
  <c r="AA300" i="58"/>
  <c r="AB300" i="58"/>
  <c r="AC300" i="58"/>
  <c r="AD300" i="58"/>
  <c r="AE300" i="58"/>
  <c r="AF300" i="58"/>
  <c r="AG300" i="58"/>
  <c r="AH300" i="58"/>
  <c r="AI300" i="58"/>
  <c r="AJ300" i="58"/>
  <c r="AK300" i="58"/>
  <c r="AL300" i="58"/>
  <c r="K300" i="58"/>
  <c r="L156" i="58"/>
  <c r="M156" i="58"/>
  <c r="N156" i="58"/>
  <c r="O156" i="58"/>
  <c r="P156" i="58"/>
  <c r="Q156" i="58"/>
  <c r="R156" i="58"/>
  <c r="S156" i="58"/>
  <c r="T156" i="58"/>
  <c r="U156" i="58"/>
  <c r="V156" i="58"/>
  <c r="W156" i="58"/>
  <c r="X156" i="58"/>
  <c r="Y156" i="58"/>
  <c r="Z156" i="58"/>
  <c r="AA156" i="58"/>
  <c r="AB156" i="58"/>
  <c r="AC156" i="58"/>
  <c r="AD156" i="58"/>
  <c r="AE156" i="58"/>
  <c r="AF156" i="58"/>
  <c r="AG156" i="58"/>
  <c r="AH156" i="58"/>
  <c r="AI156" i="58"/>
  <c r="AJ156" i="58"/>
  <c r="AK156" i="58"/>
  <c r="AL156" i="58"/>
  <c r="K156" i="58"/>
  <c r="L801" i="62"/>
  <c r="M801" i="62"/>
  <c r="N801" i="62"/>
  <c r="O801" i="62"/>
  <c r="P801" i="62"/>
  <c r="Q801" i="62"/>
  <c r="R801" i="62"/>
  <c r="S801" i="62"/>
  <c r="T801" i="62"/>
  <c r="U801" i="62"/>
  <c r="V801" i="62"/>
  <c r="W801" i="62"/>
  <c r="X801" i="62"/>
  <c r="Y801" i="62"/>
  <c r="Z801" i="62"/>
  <c r="AA801" i="62"/>
  <c r="AB801" i="62"/>
  <c r="AC801" i="62"/>
  <c r="AD801" i="62"/>
  <c r="AE801" i="62"/>
  <c r="AF801" i="62"/>
  <c r="AG801" i="62"/>
  <c r="AH801" i="62"/>
  <c r="AI801" i="62"/>
  <c r="AJ801" i="62"/>
  <c r="AK801" i="62"/>
  <c r="AL801" i="62"/>
  <c r="K801" i="62"/>
  <c r="L399" i="62"/>
  <c r="M399" i="62"/>
  <c r="N399" i="62"/>
  <c r="O399" i="62"/>
  <c r="P399" i="62"/>
  <c r="Q399" i="62"/>
  <c r="R399" i="62"/>
  <c r="S399" i="62"/>
  <c r="T399" i="62"/>
  <c r="U399" i="62"/>
  <c r="V399" i="62"/>
  <c r="W399" i="62"/>
  <c r="X399" i="62"/>
  <c r="Y399" i="62"/>
  <c r="Z399" i="62"/>
  <c r="AA399" i="62"/>
  <c r="AB399" i="62"/>
  <c r="AC399" i="62"/>
  <c r="AD399" i="62"/>
  <c r="AE399" i="62"/>
  <c r="AF399" i="62"/>
  <c r="AG399" i="62"/>
  <c r="AH399" i="62"/>
  <c r="AI399" i="62"/>
  <c r="AJ399" i="62"/>
  <c r="AK399" i="62"/>
  <c r="AL399" i="62"/>
  <c r="K399" i="62"/>
  <c r="L603" i="62"/>
  <c r="M603" i="62"/>
  <c r="N603" i="62"/>
  <c r="O603" i="62"/>
  <c r="P603" i="62"/>
  <c r="Q603" i="62"/>
  <c r="R603" i="62"/>
  <c r="S603" i="62"/>
  <c r="T603" i="62"/>
  <c r="U603" i="62"/>
  <c r="V603" i="62"/>
  <c r="W603" i="62"/>
  <c r="X603" i="62"/>
  <c r="Y603" i="62"/>
  <c r="Z603" i="62"/>
  <c r="AA603" i="62"/>
  <c r="AB603" i="62"/>
  <c r="AC603" i="62"/>
  <c r="AD603" i="62"/>
  <c r="AE603" i="62"/>
  <c r="AF603" i="62"/>
  <c r="AG603" i="62"/>
  <c r="AH603" i="62"/>
  <c r="AI603" i="62"/>
  <c r="AJ603" i="62"/>
  <c r="AK603" i="62"/>
  <c r="AL603" i="62"/>
  <c r="K603" i="62"/>
  <c r="L201" i="62"/>
  <c r="M201" i="62"/>
  <c r="N201" i="62"/>
  <c r="O201" i="62"/>
  <c r="P201" i="62"/>
  <c r="Q201" i="62"/>
  <c r="R201" i="62"/>
  <c r="S201" i="62"/>
  <c r="T201" i="62"/>
  <c r="U201" i="62"/>
  <c r="V201" i="62"/>
  <c r="W201" i="62"/>
  <c r="X201" i="62"/>
  <c r="Y201" i="62"/>
  <c r="Z201" i="62"/>
  <c r="AA201" i="62"/>
  <c r="AB201" i="62"/>
  <c r="AC201" i="62"/>
  <c r="AD201" i="62"/>
  <c r="AE201" i="62"/>
  <c r="AF201" i="62"/>
  <c r="AG201" i="62"/>
  <c r="AH201" i="62"/>
  <c r="AI201" i="62"/>
  <c r="AJ201" i="62"/>
  <c r="AK201" i="62"/>
  <c r="AL201" i="62"/>
  <c r="K201" i="62"/>
  <c r="L604" i="62"/>
  <c r="M604" i="62"/>
  <c r="N604" i="62"/>
  <c r="O604" i="62"/>
  <c r="P604" i="62"/>
  <c r="Q604" i="62"/>
  <c r="R604" i="62"/>
  <c r="S604" i="62"/>
  <c r="T604" i="62"/>
  <c r="U604" i="62"/>
  <c r="V604" i="62"/>
  <c r="W604" i="62"/>
  <c r="X604" i="62"/>
  <c r="Y604" i="62"/>
  <c r="Z604" i="62"/>
  <c r="AA604" i="62"/>
  <c r="AB604" i="62"/>
  <c r="AC604" i="62"/>
  <c r="AD604" i="62"/>
  <c r="AE604" i="62"/>
  <c r="AF604" i="62"/>
  <c r="AG604" i="62"/>
  <c r="AH604" i="62"/>
  <c r="AI604" i="62"/>
  <c r="AJ604" i="62"/>
  <c r="AK604" i="62"/>
  <c r="AL604" i="62"/>
  <c r="K604" i="62"/>
  <c r="L202" i="62"/>
  <c r="M202" i="62"/>
  <c r="N202" i="62"/>
  <c r="O202" i="62"/>
  <c r="P202" i="62"/>
  <c r="Q202" i="62"/>
  <c r="R202" i="62"/>
  <c r="S202" i="62"/>
  <c r="T202" i="62"/>
  <c r="U202" i="62"/>
  <c r="V202" i="62"/>
  <c r="W202" i="62"/>
  <c r="X202" i="62"/>
  <c r="Y202" i="62"/>
  <c r="Z202" i="62"/>
  <c r="AA202" i="62"/>
  <c r="AB202" i="62"/>
  <c r="AC202" i="62"/>
  <c r="AD202" i="62"/>
  <c r="AE202" i="62"/>
  <c r="AF202" i="62"/>
  <c r="AG202" i="62"/>
  <c r="AH202" i="62"/>
  <c r="AI202" i="62"/>
  <c r="AJ202" i="62"/>
  <c r="AK202" i="62"/>
  <c r="AL202" i="62"/>
  <c r="K202" i="62"/>
  <c r="L703" i="62"/>
  <c r="M703" i="62"/>
  <c r="N703" i="62"/>
  <c r="O703" i="62"/>
  <c r="P703" i="62"/>
  <c r="Q703" i="62"/>
  <c r="R703" i="62"/>
  <c r="S703" i="62"/>
  <c r="T703" i="62"/>
  <c r="U703" i="62"/>
  <c r="V703" i="62"/>
  <c r="W703" i="62"/>
  <c r="X703" i="62"/>
  <c r="Y703" i="62"/>
  <c r="Z703" i="62"/>
  <c r="AA703" i="62"/>
  <c r="AB703" i="62"/>
  <c r="AC703" i="62"/>
  <c r="AD703" i="62"/>
  <c r="AE703" i="62"/>
  <c r="AF703" i="62"/>
  <c r="AG703" i="62"/>
  <c r="AH703" i="62"/>
  <c r="AI703" i="62"/>
  <c r="AJ703" i="62"/>
  <c r="AK703" i="62"/>
  <c r="AL703" i="62"/>
  <c r="K703" i="62"/>
  <c r="L301" i="62"/>
  <c r="M301" i="62"/>
  <c r="N301" i="62"/>
  <c r="O301" i="62"/>
  <c r="P301" i="62"/>
  <c r="Q301" i="62"/>
  <c r="R301" i="62"/>
  <c r="S301" i="62"/>
  <c r="T301" i="62"/>
  <c r="U301" i="62"/>
  <c r="V301" i="62"/>
  <c r="W301" i="62"/>
  <c r="X301" i="62"/>
  <c r="Y301" i="62"/>
  <c r="Z301" i="62"/>
  <c r="AA301" i="62"/>
  <c r="AB301" i="62"/>
  <c r="AC301" i="62"/>
  <c r="AD301" i="62"/>
  <c r="AE301" i="62"/>
  <c r="AF301" i="62"/>
  <c r="AG301" i="62"/>
  <c r="AH301" i="62"/>
  <c r="AI301" i="62"/>
  <c r="AJ301" i="62"/>
  <c r="AK301" i="62"/>
  <c r="AL301" i="62"/>
  <c r="K301" i="62"/>
  <c r="L802" i="62"/>
  <c r="M802" i="62"/>
  <c r="N802" i="62"/>
  <c r="O802" i="62"/>
  <c r="P802" i="62"/>
  <c r="Q802" i="62"/>
  <c r="R802" i="62"/>
  <c r="S802" i="62"/>
  <c r="T802" i="62"/>
  <c r="U802" i="62"/>
  <c r="V802" i="62"/>
  <c r="W802" i="62"/>
  <c r="X802" i="62"/>
  <c r="Y802" i="62"/>
  <c r="Z802" i="62"/>
  <c r="AA802" i="62"/>
  <c r="AB802" i="62"/>
  <c r="AC802" i="62"/>
  <c r="AD802" i="62"/>
  <c r="AE802" i="62"/>
  <c r="AF802" i="62"/>
  <c r="AG802" i="62"/>
  <c r="AH802" i="62"/>
  <c r="AI802" i="62"/>
  <c r="AJ802" i="62"/>
  <c r="AK802" i="62"/>
  <c r="AL802" i="62"/>
  <c r="K802" i="62"/>
  <c r="L400" i="62"/>
  <c r="M400" i="62"/>
  <c r="N400" i="62"/>
  <c r="O400" i="62"/>
  <c r="P400" i="62"/>
  <c r="Q400" i="62"/>
  <c r="R400" i="62"/>
  <c r="S400" i="62"/>
  <c r="T400" i="62"/>
  <c r="U400" i="62"/>
  <c r="V400" i="62"/>
  <c r="W400" i="62"/>
  <c r="X400" i="62"/>
  <c r="Y400" i="62"/>
  <c r="Z400" i="62"/>
  <c r="AA400" i="62"/>
  <c r="AB400" i="62"/>
  <c r="AC400" i="62"/>
  <c r="AD400" i="62"/>
  <c r="AE400" i="62"/>
  <c r="AF400" i="62"/>
  <c r="AG400" i="62"/>
  <c r="AH400" i="62"/>
  <c r="AI400" i="62"/>
  <c r="AJ400" i="62"/>
  <c r="AK400" i="62"/>
  <c r="AL400" i="62"/>
  <c r="K400" i="62"/>
  <c r="L702" i="62"/>
  <c r="M702" i="62"/>
  <c r="N702" i="62"/>
  <c r="O702" i="62"/>
  <c r="P702" i="62"/>
  <c r="Q702" i="62"/>
  <c r="R702" i="62"/>
  <c r="S702" i="62"/>
  <c r="T702" i="62"/>
  <c r="U702" i="62"/>
  <c r="V702" i="62"/>
  <c r="W702" i="62"/>
  <c r="X702" i="62"/>
  <c r="Y702" i="62"/>
  <c r="Z702" i="62"/>
  <c r="AA702" i="62"/>
  <c r="AB702" i="62"/>
  <c r="AC702" i="62"/>
  <c r="AD702" i="62"/>
  <c r="AE702" i="62"/>
  <c r="AF702" i="62"/>
  <c r="AG702" i="62"/>
  <c r="AH702" i="62"/>
  <c r="AI702" i="62"/>
  <c r="AJ702" i="62"/>
  <c r="AK702" i="62"/>
  <c r="AL702" i="62"/>
  <c r="K702" i="62"/>
  <c r="L300" i="62"/>
  <c r="M300" i="62"/>
  <c r="N300" i="62"/>
  <c r="O300" i="62"/>
  <c r="P300" i="62"/>
  <c r="Q300" i="62"/>
  <c r="R300" i="62"/>
  <c r="S300" i="62"/>
  <c r="T300" i="62"/>
  <c r="U300" i="62"/>
  <c r="V300" i="62"/>
  <c r="W300" i="62"/>
  <c r="X300" i="62"/>
  <c r="Y300" i="62"/>
  <c r="Z300" i="62"/>
  <c r="AA300" i="62"/>
  <c r="AB300" i="62"/>
  <c r="AC300" i="62"/>
  <c r="AD300" i="62"/>
  <c r="AE300" i="62"/>
  <c r="AF300" i="62"/>
  <c r="AG300" i="62"/>
  <c r="AH300" i="62"/>
  <c r="AI300" i="62"/>
  <c r="AJ300" i="62"/>
  <c r="AK300" i="62"/>
  <c r="AL300" i="62"/>
  <c r="K300" i="62"/>
  <c r="AL390" i="62"/>
  <c r="AK390" i="62"/>
  <c r="AJ390" i="62"/>
  <c r="AI390" i="62"/>
  <c r="AH390" i="62"/>
  <c r="AG390" i="62"/>
  <c r="AF390" i="62"/>
  <c r="AE390" i="62"/>
  <c r="AD390" i="62"/>
  <c r="AC390" i="62"/>
  <c r="AB390" i="62"/>
  <c r="AA390" i="62"/>
  <c r="Z390" i="62"/>
  <c r="Y390" i="62"/>
  <c r="X390" i="62"/>
  <c r="W390" i="62"/>
  <c r="V390" i="62"/>
  <c r="U390" i="62"/>
  <c r="T390" i="62"/>
  <c r="S390" i="62"/>
  <c r="R390" i="62"/>
  <c r="Q390" i="62"/>
  <c r="P390" i="62"/>
  <c r="O390" i="62"/>
  <c r="N390" i="62"/>
  <c r="M390" i="62"/>
  <c r="L390" i="62"/>
  <c r="K390" i="62"/>
  <c r="AL792" i="62"/>
  <c r="AK792" i="62"/>
  <c r="AJ792" i="62"/>
  <c r="AI792" i="62"/>
  <c r="AH792" i="62"/>
  <c r="AG792" i="62"/>
  <c r="AF792" i="62"/>
  <c r="AE792" i="62"/>
  <c r="AD792" i="62"/>
  <c r="AC792" i="62"/>
  <c r="AB792" i="62"/>
  <c r="AA792" i="62"/>
  <c r="Z792" i="62"/>
  <c r="Y792" i="62"/>
  <c r="X792" i="62"/>
  <c r="W792" i="62"/>
  <c r="V792" i="62"/>
  <c r="U792" i="62"/>
  <c r="T792" i="62"/>
  <c r="S792" i="62"/>
  <c r="R792" i="62"/>
  <c r="Q792" i="62"/>
  <c r="P792" i="62"/>
  <c r="O792" i="62"/>
  <c r="N792" i="62"/>
  <c r="M792" i="62"/>
  <c r="L792" i="62"/>
  <c r="K792" i="62"/>
  <c r="AL378" i="62"/>
  <c r="AK378" i="62"/>
  <c r="AJ378" i="62"/>
  <c r="AI378" i="62"/>
  <c r="AH378" i="62"/>
  <c r="AG378" i="62"/>
  <c r="AF378" i="62"/>
  <c r="AE378" i="62"/>
  <c r="AD378" i="62"/>
  <c r="AC378" i="62"/>
  <c r="AB378" i="62"/>
  <c r="AA378" i="62"/>
  <c r="Z378" i="62"/>
  <c r="Y378" i="62"/>
  <c r="X378" i="62"/>
  <c r="W378" i="62"/>
  <c r="V378" i="62"/>
  <c r="U378" i="62"/>
  <c r="T378" i="62"/>
  <c r="S378" i="62"/>
  <c r="R378" i="62"/>
  <c r="Q378" i="62"/>
  <c r="P378" i="62"/>
  <c r="O378" i="62"/>
  <c r="N378" i="62"/>
  <c r="M378" i="62"/>
  <c r="L378" i="62"/>
  <c r="K378" i="62"/>
  <c r="AL780" i="62"/>
  <c r="AK780" i="62"/>
  <c r="AJ780" i="62"/>
  <c r="AI780" i="62"/>
  <c r="AH780" i="62"/>
  <c r="AG780" i="62"/>
  <c r="AF780" i="62"/>
  <c r="AE780" i="62"/>
  <c r="AD780" i="62"/>
  <c r="AC780" i="62"/>
  <c r="AB780" i="62"/>
  <c r="AA780" i="62"/>
  <c r="Z780" i="62"/>
  <c r="Y780" i="62"/>
  <c r="X780" i="62"/>
  <c r="W780" i="62"/>
  <c r="V780" i="62"/>
  <c r="U780" i="62"/>
  <c r="T780" i="62"/>
  <c r="S780" i="62"/>
  <c r="R780" i="62"/>
  <c r="Q780" i="62"/>
  <c r="P780" i="62"/>
  <c r="O780" i="62"/>
  <c r="N780" i="62"/>
  <c r="M780" i="62"/>
  <c r="L780" i="62"/>
  <c r="K780" i="62"/>
  <c r="AL361" i="62"/>
  <c r="AK361" i="62"/>
  <c r="AJ361" i="62"/>
  <c r="AI361" i="62"/>
  <c r="AH361" i="62"/>
  <c r="AG361" i="62"/>
  <c r="AF361" i="62"/>
  <c r="AE361" i="62"/>
  <c r="AD361" i="62"/>
  <c r="AC361" i="62"/>
  <c r="AB361" i="62"/>
  <c r="AA361" i="62"/>
  <c r="Z361" i="62"/>
  <c r="Y361" i="62"/>
  <c r="X361" i="62"/>
  <c r="W361" i="62"/>
  <c r="V361" i="62"/>
  <c r="U361" i="62"/>
  <c r="T361" i="62"/>
  <c r="S361" i="62"/>
  <c r="R361" i="62"/>
  <c r="Q361" i="62"/>
  <c r="P361" i="62"/>
  <c r="O361" i="62"/>
  <c r="N361" i="62"/>
  <c r="M361" i="62"/>
  <c r="L361" i="62"/>
  <c r="K361" i="62"/>
  <c r="AL763" i="62"/>
  <c r="AK763" i="62"/>
  <c r="AJ763" i="62"/>
  <c r="AI763" i="62"/>
  <c r="AH763" i="62"/>
  <c r="AG763" i="62"/>
  <c r="AF763" i="62"/>
  <c r="AE763" i="62"/>
  <c r="AD763" i="62"/>
  <c r="AC763" i="62"/>
  <c r="AB763" i="62"/>
  <c r="AA763" i="62"/>
  <c r="Z763" i="62"/>
  <c r="Y763" i="62"/>
  <c r="X763" i="62"/>
  <c r="W763" i="62"/>
  <c r="V763" i="62"/>
  <c r="U763" i="62"/>
  <c r="T763" i="62"/>
  <c r="S763" i="62"/>
  <c r="R763" i="62"/>
  <c r="Q763" i="62"/>
  <c r="P763" i="62"/>
  <c r="O763" i="62"/>
  <c r="N763" i="62"/>
  <c r="M763" i="62"/>
  <c r="L763" i="62"/>
  <c r="K763" i="62"/>
  <c r="AL336" i="62"/>
  <c r="AK336" i="62"/>
  <c r="AJ336" i="62"/>
  <c r="AI336" i="62"/>
  <c r="AH336" i="62"/>
  <c r="AG336" i="62"/>
  <c r="AF336" i="62"/>
  <c r="AE336" i="62"/>
  <c r="AD336" i="62"/>
  <c r="AC336" i="62"/>
  <c r="AB336" i="62"/>
  <c r="AA336" i="62"/>
  <c r="Z336" i="62"/>
  <c r="Y336" i="62"/>
  <c r="X336" i="62"/>
  <c r="W336" i="62"/>
  <c r="V336" i="62"/>
  <c r="U336" i="62"/>
  <c r="T336" i="62"/>
  <c r="S336" i="62"/>
  <c r="R336" i="62"/>
  <c r="Q336" i="62"/>
  <c r="P336" i="62"/>
  <c r="O336" i="62"/>
  <c r="N336" i="62"/>
  <c r="M336" i="62"/>
  <c r="L336" i="62"/>
  <c r="K336" i="62"/>
  <c r="AL738" i="62"/>
  <c r="AK738" i="62"/>
  <c r="AJ738" i="62"/>
  <c r="AI738" i="62"/>
  <c r="AH738" i="62"/>
  <c r="AG738" i="62"/>
  <c r="AF738" i="62"/>
  <c r="AE738" i="62"/>
  <c r="AD738" i="62"/>
  <c r="AC738" i="62"/>
  <c r="AB738" i="62"/>
  <c r="AA738" i="62"/>
  <c r="Z738" i="62"/>
  <c r="Y738" i="62"/>
  <c r="X738" i="62"/>
  <c r="W738" i="62"/>
  <c r="V738" i="62"/>
  <c r="U738" i="62"/>
  <c r="T738" i="62"/>
  <c r="S738" i="62"/>
  <c r="R738" i="62"/>
  <c r="Q738" i="62"/>
  <c r="P738" i="62"/>
  <c r="O738" i="62"/>
  <c r="N738" i="62"/>
  <c r="M738" i="62"/>
  <c r="L738" i="62"/>
  <c r="K738" i="62"/>
  <c r="AL316" i="62"/>
  <c r="AK316" i="62"/>
  <c r="AJ316" i="62"/>
  <c r="AI316" i="62"/>
  <c r="AH316" i="62"/>
  <c r="AG316" i="62"/>
  <c r="AF316" i="62"/>
  <c r="AE316" i="62"/>
  <c r="AD316" i="62"/>
  <c r="AC316" i="62"/>
  <c r="AB316" i="62"/>
  <c r="AA316" i="62"/>
  <c r="Z316" i="62"/>
  <c r="Y316" i="62"/>
  <c r="X316" i="62"/>
  <c r="W316" i="62"/>
  <c r="V316" i="62"/>
  <c r="U316" i="62"/>
  <c r="T316" i="62"/>
  <c r="S316" i="62"/>
  <c r="R316" i="62"/>
  <c r="Q316" i="62"/>
  <c r="P316" i="62"/>
  <c r="O316" i="62"/>
  <c r="N316" i="62"/>
  <c r="M316" i="62"/>
  <c r="L316" i="62"/>
  <c r="K316" i="62"/>
  <c r="AL718" i="62"/>
  <c r="AK718" i="62"/>
  <c r="AJ718" i="62"/>
  <c r="AI718" i="62"/>
  <c r="AH718" i="62"/>
  <c r="AG718" i="62"/>
  <c r="AF718" i="62"/>
  <c r="AE718" i="62"/>
  <c r="AD718" i="62"/>
  <c r="AC718" i="62"/>
  <c r="AB718" i="62"/>
  <c r="AA718" i="62"/>
  <c r="Z718" i="62"/>
  <c r="Y718" i="62"/>
  <c r="X718" i="62"/>
  <c r="W718" i="62"/>
  <c r="V718" i="62"/>
  <c r="U718" i="62"/>
  <c r="T718" i="62"/>
  <c r="S718" i="62"/>
  <c r="R718" i="62"/>
  <c r="Q718" i="62"/>
  <c r="P718" i="62"/>
  <c r="O718" i="62"/>
  <c r="N718" i="62"/>
  <c r="M718" i="62"/>
  <c r="L718" i="62"/>
  <c r="K718" i="62"/>
  <c r="F195" i="60"/>
  <c r="AL295" i="62"/>
  <c r="AK295" i="62"/>
  <c r="AJ295" i="62"/>
  <c r="AI295" i="62"/>
  <c r="AH295" i="62"/>
  <c r="AG295" i="62"/>
  <c r="AF295" i="62"/>
  <c r="AE295" i="62"/>
  <c r="AD295" i="62"/>
  <c r="AC295" i="62"/>
  <c r="AB295" i="62"/>
  <c r="AA295" i="62"/>
  <c r="Z295" i="62"/>
  <c r="Y295" i="62"/>
  <c r="X295" i="62"/>
  <c r="W295" i="62"/>
  <c r="V295" i="62"/>
  <c r="U295" i="62"/>
  <c r="T295" i="62"/>
  <c r="S295" i="62"/>
  <c r="R295" i="62"/>
  <c r="Q295" i="62"/>
  <c r="P295" i="62"/>
  <c r="O295" i="62"/>
  <c r="N295" i="62"/>
  <c r="M295" i="62"/>
  <c r="L295" i="62"/>
  <c r="K295" i="62"/>
  <c r="AL697" i="62"/>
  <c r="AK697" i="62"/>
  <c r="AJ697" i="62"/>
  <c r="AI697" i="62"/>
  <c r="AH697" i="62"/>
  <c r="AG697" i="62"/>
  <c r="AF697" i="62"/>
  <c r="AE697" i="62"/>
  <c r="AD697" i="62"/>
  <c r="AC697" i="62"/>
  <c r="AB697" i="62"/>
  <c r="AA697" i="62"/>
  <c r="Z697" i="62"/>
  <c r="Y697" i="62"/>
  <c r="X697" i="62"/>
  <c r="W697" i="62"/>
  <c r="V697" i="62"/>
  <c r="U697" i="62"/>
  <c r="T697" i="62"/>
  <c r="S697" i="62"/>
  <c r="R697" i="62"/>
  <c r="Q697" i="62"/>
  <c r="P697" i="62"/>
  <c r="O697" i="62"/>
  <c r="N697" i="62"/>
  <c r="M697" i="62"/>
  <c r="L697" i="62"/>
  <c r="K697" i="62"/>
  <c r="AL382" i="62"/>
  <c r="AK382" i="62"/>
  <c r="AJ382" i="62"/>
  <c r="AI382" i="62"/>
  <c r="AH382" i="62"/>
  <c r="AG382" i="62"/>
  <c r="AF382" i="62"/>
  <c r="AE382" i="62"/>
  <c r="AD382" i="62"/>
  <c r="AC382" i="62"/>
  <c r="AB382" i="62"/>
  <c r="AA382" i="62"/>
  <c r="Z382" i="62"/>
  <c r="Y382" i="62"/>
  <c r="X382" i="62"/>
  <c r="W382" i="62"/>
  <c r="V382" i="62"/>
  <c r="U382" i="62"/>
  <c r="T382" i="62"/>
  <c r="S382" i="62"/>
  <c r="R382" i="62"/>
  <c r="Q382" i="62"/>
  <c r="P382" i="62"/>
  <c r="O382" i="62"/>
  <c r="N382" i="62"/>
  <c r="M382" i="62"/>
  <c r="L382" i="62"/>
  <c r="K382" i="62"/>
  <c r="AL784" i="62"/>
  <c r="AK784" i="62"/>
  <c r="AJ784" i="62"/>
  <c r="AI784" i="62"/>
  <c r="AH784" i="62"/>
  <c r="AG784" i="62"/>
  <c r="AF784" i="62"/>
  <c r="AE784" i="62"/>
  <c r="AD784" i="62"/>
  <c r="AC784" i="62"/>
  <c r="AB784" i="62"/>
  <c r="AA784" i="62"/>
  <c r="Z784" i="62"/>
  <c r="Y784" i="62"/>
  <c r="X784" i="62"/>
  <c r="W784" i="62"/>
  <c r="V784" i="62"/>
  <c r="U784" i="62"/>
  <c r="T784" i="62"/>
  <c r="S784" i="62"/>
  <c r="R784" i="62"/>
  <c r="Q784" i="62"/>
  <c r="P784" i="62"/>
  <c r="O784" i="62"/>
  <c r="N784" i="62"/>
  <c r="M784" i="62"/>
  <c r="L784" i="62"/>
  <c r="K784" i="62"/>
  <c r="AL370" i="62"/>
  <c r="AK370" i="62"/>
  <c r="AJ370" i="62"/>
  <c r="AI370" i="62"/>
  <c r="AH370" i="62"/>
  <c r="AG370" i="62"/>
  <c r="AF370" i="62"/>
  <c r="AE370" i="62"/>
  <c r="AD370" i="62"/>
  <c r="AC370" i="62"/>
  <c r="AB370" i="62"/>
  <c r="AA370" i="62"/>
  <c r="Z370" i="62"/>
  <c r="Y370" i="62"/>
  <c r="X370" i="62"/>
  <c r="W370" i="62"/>
  <c r="V370" i="62"/>
  <c r="U370" i="62"/>
  <c r="T370" i="62"/>
  <c r="S370" i="62"/>
  <c r="R370" i="62"/>
  <c r="Q370" i="62"/>
  <c r="P370" i="62"/>
  <c r="O370" i="62"/>
  <c r="N370" i="62"/>
  <c r="M370" i="62"/>
  <c r="L370" i="62"/>
  <c r="K370" i="62"/>
  <c r="AL772" i="62"/>
  <c r="AK772" i="62"/>
  <c r="AJ772" i="62"/>
  <c r="AI772" i="62"/>
  <c r="AH772" i="62"/>
  <c r="AG772" i="62"/>
  <c r="AF772" i="62"/>
  <c r="AE772" i="62"/>
  <c r="AD772" i="62"/>
  <c r="AC772" i="62"/>
  <c r="AB772" i="62"/>
  <c r="AA772" i="62"/>
  <c r="Z772" i="62"/>
  <c r="Y772" i="62"/>
  <c r="X772" i="62"/>
  <c r="W772" i="62"/>
  <c r="V772" i="62"/>
  <c r="U772" i="62"/>
  <c r="T772" i="62"/>
  <c r="S772" i="62"/>
  <c r="R772" i="62"/>
  <c r="Q772" i="62"/>
  <c r="P772" i="62"/>
  <c r="O772" i="62"/>
  <c r="N772" i="62"/>
  <c r="M772" i="62"/>
  <c r="L772" i="62"/>
  <c r="K772" i="62"/>
  <c r="AL353" i="62"/>
  <c r="AK353" i="62"/>
  <c r="AJ353" i="62"/>
  <c r="AI353" i="62"/>
  <c r="AH353" i="62"/>
  <c r="AG353" i="62"/>
  <c r="AF353" i="62"/>
  <c r="AE353" i="62"/>
  <c r="AD353" i="62"/>
  <c r="AC353" i="62"/>
  <c r="AB353" i="62"/>
  <c r="AA353" i="62"/>
  <c r="Z353" i="62"/>
  <c r="Y353" i="62"/>
  <c r="X353" i="62"/>
  <c r="W353" i="62"/>
  <c r="V353" i="62"/>
  <c r="U353" i="62"/>
  <c r="T353" i="62"/>
  <c r="S353" i="62"/>
  <c r="R353" i="62"/>
  <c r="Q353" i="62"/>
  <c r="P353" i="62"/>
  <c r="O353" i="62"/>
  <c r="N353" i="62"/>
  <c r="M353" i="62"/>
  <c r="L353" i="62"/>
  <c r="K353" i="62"/>
  <c r="AL755" i="62"/>
  <c r="AK755" i="62"/>
  <c r="AJ755" i="62"/>
  <c r="AI755" i="62"/>
  <c r="AH755" i="62"/>
  <c r="AG755" i="62"/>
  <c r="AF755" i="62"/>
  <c r="AE755" i="62"/>
  <c r="AD755" i="62"/>
  <c r="AC755" i="62"/>
  <c r="AB755" i="62"/>
  <c r="AA755" i="62"/>
  <c r="Z755" i="62"/>
  <c r="Y755" i="62"/>
  <c r="X755" i="62"/>
  <c r="W755" i="62"/>
  <c r="V755" i="62"/>
  <c r="U755" i="62"/>
  <c r="T755" i="62"/>
  <c r="S755" i="62"/>
  <c r="R755" i="62"/>
  <c r="Q755" i="62"/>
  <c r="P755" i="62"/>
  <c r="O755" i="62"/>
  <c r="N755" i="62"/>
  <c r="M755" i="62"/>
  <c r="L755" i="62"/>
  <c r="K755" i="62"/>
  <c r="AL328" i="62"/>
  <c r="AK328" i="62"/>
  <c r="AJ328" i="62"/>
  <c r="AI328" i="62"/>
  <c r="AH328" i="62"/>
  <c r="AG328" i="62"/>
  <c r="AF328" i="62"/>
  <c r="AE328" i="62"/>
  <c r="AD328" i="62"/>
  <c r="AC328" i="62"/>
  <c r="AB328" i="62"/>
  <c r="AA328" i="62"/>
  <c r="Z328" i="62"/>
  <c r="Y328" i="62"/>
  <c r="X328" i="62"/>
  <c r="W328" i="62"/>
  <c r="V328" i="62"/>
  <c r="U328" i="62"/>
  <c r="T328" i="62"/>
  <c r="S328" i="62"/>
  <c r="R328" i="62"/>
  <c r="Q328" i="62"/>
  <c r="P328" i="62"/>
  <c r="O328" i="62"/>
  <c r="N328" i="62"/>
  <c r="M328" i="62"/>
  <c r="L328" i="62"/>
  <c r="K328" i="62"/>
  <c r="AL730" i="62"/>
  <c r="AK730" i="62"/>
  <c r="AJ730" i="62"/>
  <c r="AI730" i="62"/>
  <c r="AH730" i="62"/>
  <c r="AG730" i="62"/>
  <c r="AF730" i="62"/>
  <c r="AE730" i="62"/>
  <c r="AD730" i="62"/>
  <c r="AC730" i="62"/>
  <c r="AB730" i="62"/>
  <c r="AA730" i="62"/>
  <c r="Z730" i="62"/>
  <c r="Y730" i="62"/>
  <c r="X730" i="62"/>
  <c r="W730" i="62"/>
  <c r="V730" i="62"/>
  <c r="U730" i="62"/>
  <c r="T730" i="62"/>
  <c r="S730" i="62"/>
  <c r="R730" i="62"/>
  <c r="Q730" i="62"/>
  <c r="P730" i="62"/>
  <c r="O730" i="62"/>
  <c r="N730" i="62"/>
  <c r="M730" i="62"/>
  <c r="L730" i="62"/>
  <c r="K730" i="62"/>
  <c r="C28" i="81"/>
  <c r="C27" i="81"/>
  <c r="W53" i="60"/>
  <c r="AA53" i="60"/>
  <c r="C30" i="81"/>
  <c r="C26" i="81"/>
  <c r="P53" i="60"/>
  <c r="AA54" i="60"/>
  <c r="W54" i="60"/>
  <c r="B56" i="45" a="1"/>
  <c r="B56" i="45" s="1"/>
  <c r="B72" i="45" a="1"/>
  <c r="B72" i="45" s="1"/>
  <c r="P227" i="58" l="1"/>
  <c r="AJ227" i="58"/>
  <c r="X74" i="58"/>
  <c r="S227" i="58"/>
  <c r="K227" i="58"/>
  <c r="AA74" i="58"/>
  <c r="Q227" i="58"/>
  <c r="AK227" i="58"/>
  <c r="Y74" i="58"/>
  <c r="R227" i="58"/>
  <c r="AL227" i="58"/>
  <c r="Z74" i="58"/>
  <c r="T227" i="58"/>
  <c r="AB74" i="58"/>
  <c r="U227" i="58"/>
  <c r="AC74" i="58"/>
  <c r="AF74" i="58"/>
  <c r="V227" i="58"/>
  <c r="AD74" i="58"/>
  <c r="X227" i="58"/>
  <c r="L74" i="58"/>
  <c r="W227" i="58"/>
  <c r="AE74" i="58"/>
  <c r="Z227" i="58"/>
  <c r="N74" i="58"/>
  <c r="AH74" i="58"/>
  <c r="AA227" i="58"/>
  <c r="O74" i="58"/>
  <c r="AI74" i="58"/>
  <c r="AG74" i="58"/>
  <c r="AB227" i="58"/>
  <c r="P74" i="58"/>
  <c r="AJ74" i="58"/>
  <c r="R74" i="58"/>
  <c r="M74" i="58"/>
  <c r="AC227" i="58"/>
  <c r="Q74" i="58"/>
  <c r="AK74" i="58"/>
  <c r="AD227" i="58"/>
  <c r="AL74" i="58"/>
  <c r="AE227" i="58"/>
  <c r="S74" i="58"/>
  <c r="K74" i="58"/>
  <c r="L227" i="58"/>
  <c r="AF227" i="58"/>
  <c r="T74" i="58"/>
  <c r="Y227" i="58"/>
  <c r="M227" i="58"/>
  <c r="AG227" i="58"/>
  <c r="U74" i="58"/>
  <c r="N227" i="58"/>
  <c r="AH227" i="58"/>
  <c r="V74" i="58"/>
  <c r="O227" i="58"/>
  <c r="AI227" i="58"/>
  <c r="W74" i="58"/>
  <c r="AL394" i="62"/>
  <c r="AK394" i="62"/>
  <c r="AJ394" i="62"/>
  <c r="AI394" i="62"/>
  <c r="AH394" i="62"/>
  <c r="AG394" i="62"/>
  <c r="AF394" i="62"/>
  <c r="AE394" i="62"/>
  <c r="AD394" i="62"/>
  <c r="AC394" i="62"/>
  <c r="AB394" i="62"/>
  <c r="AA394" i="62"/>
  <c r="Z394" i="62"/>
  <c r="Y394" i="62"/>
  <c r="X394" i="62"/>
  <c r="W394" i="62"/>
  <c r="V394" i="62"/>
  <c r="U394" i="62"/>
  <c r="T394" i="62"/>
  <c r="S394" i="62"/>
  <c r="R394" i="62"/>
  <c r="Q394" i="62"/>
  <c r="P394" i="62"/>
  <c r="O394" i="62"/>
  <c r="N394" i="62"/>
  <c r="M394" i="62"/>
  <c r="L394" i="62"/>
  <c r="K394" i="62"/>
  <c r="AL796" i="62"/>
  <c r="AK796" i="62"/>
  <c r="AJ796" i="62"/>
  <c r="AI796" i="62"/>
  <c r="AH796" i="62"/>
  <c r="AG796" i="62"/>
  <c r="AF796" i="62"/>
  <c r="AE796" i="62"/>
  <c r="AD796" i="62"/>
  <c r="AC796" i="62"/>
  <c r="AB796" i="62"/>
  <c r="AA796" i="62"/>
  <c r="Z796" i="62"/>
  <c r="Y796" i="62"/>
  <c r="X796" i="62"/>
  <c r="W796" i="62"/>
  <c r="V796" i="62"/>
  <c r="U796" i="62"/>
  <c r="T796" i="62"/>
  <c r="S796" i="62"/>
  <c r="R796" i="62"/>
  <c r="Q796" i="62"/>
  <c r="P796" i="62"/>
  <c r="O796" i="62"/>
  <c r="N796" i="62"/>
  <c r="M796" i="62"/>
  <c r="L796" i="62"/>
  <c r="K796" i="62"/>
  <c r="B61" i="45" a="1"/>
  <c r="B61" i="45" s="1"/>
  <c r="B68" i="45" a="1"/>
  <c r="B68" i="45" s="1"/>
  <c r="B63" i="45" a="1"/>
  <c r="B63" i="45" s="1"/>
  <c r="B62" i="45" a="1"/>
  <c r="B62" i="45" s="1"/>
  <c r="B70" i="45" a="1"/>
  <c r="B70" i="45" s="1"/>
  <c r="B53" i="45" a="1"/>
  <c r="B53" i="45" s="1"/>
  <c r="B54" i="45" a="1"/>
  <c r="B54" i="45" s="1"/>
  <c r="B69" i="45" a="1"/>
  <c r="B69" i="45" s="1"/>
  <c r="B52" i="45" a="1"/>
  <c r="B52" i="45" s="1"/>
  <c r="B51" i="45" a="1"/>
  <c r="B51" i="45" s="1"/>
  <c r="B55" i="45" a="1"/>
  <c r="B55" i="45" s="1"/>
  <c r="B50" i="45" a="1"/>
  <c r="B50" i="45" s="1"/>
  <c r="C50" i="45" s="1"/>
  <c r="B67" i="45" a="1"/>
  <c r="B67" i="45" s="1"/>
  <c r="B71" i="45" a="1"/>
  <c r="B71" i="45" s="1"/>
  <c r="B66" i="45" a="1"/>
  <c r="B66" i="45" s="1"/>
  <c r="B65" i="45" a="1"/>
  <c r="B65" i="45" s="1"/>
  <c r="B64" i="45" a="1"/>
  <c r="B64" i="45" s="1"/>
  <c r="B59" i="45" a="1"/>
  <c r="B59" i="45" s="1"/>
  <c r="C18" i="81"/>
  <c r="B76" i="45" a="1"/>
  <c r="B76" i="45" s="1"/>
  <c r="B58" i="45" a="1"/>
  <c r="B58" i="45" s="1"/>
  <c r="C19" i="81"/>
  <c r="B60" i="45" a="1"/>
  <c r="B60" i="45" s="1"/>
  <c r="B75" i="45" a="1"/>
  <c r="B75" i="45" s="1"/>
  <c r="B74" i="45" a="1"/>
  <c r="B74" i="45" s="1"/>
  <c r="B77" i="45" a="1"/>
  <c r="B77" i="45" s="1"/>
  <c r="B73" i="45" a="1"/>
  <c r="B73" i="45" s="1"/>
  <c r="B57" i="45" a="1"/>
  <c r="B57" i="45" s="1"/>
  <c r="C318" i="58"/>
  <c r="C317" i="58"/>
  <c r="C316" i="58"/>
  <c r="C315" i="58"/>
  <c r="C314" i="58"/>
  <c r="D312" i="58"/>
  <c r="D311" i="58"/>
  <c r="D310" i="58"/>
  <c r="D309" i="58"/>
  <c r="D308" i="58"/>
  <c r="D307" i="58"/>
  <c r="D306" i="58"/>
  <c r="C288" i="58"/>
  <c r="C287" i="58"/>
  <c r="C286" i="58"/>
  <c r="C285" i="58"/>
  <c r="C284" i="58"/>
  <c r="C283" i="58"/>
  <c r="C282" i="58"/>
  <c r="C281" i="58"/>
  <c r="C280" i="58"/>
  <c r="C279" i="58"/>
  <c r="C278" i="58"/>
  <c r="C277" i="58"/>
  <c r="C276" i="58"/>
  <c r="C275" i="58"/>
  <c r="C274" i="58"/>
  <c r="C273" i="58"/>
  <c r="C272" i="58"/>
  <c r="C271" i="58"/>
  <c r="C270" i="58"/>
  <c r="C269" i="58"/>
  <c r="D267" i="58"/>
  <c r="D265" i="58"/>
  <c r="D264" i="58"/>
  <c r="D263" i="58"/>
  <c r="D261" i="58"/>
  <c r="D260" i="58"/>
  <c r="D259" i="58"/>
  <c r="C258" i="58"/>
  <c r="C257" i="58"/>
  <c r="C254" i="58"/>
  <c r="C253" i="58"/>
  <c r="C252" i="58"/>
  <c r="C251" i="58"/>
  <c r="C249" i="58"/>
  <c r="C248" i="58"/>
  <c r="C247" i="58"/>
  <c r="C234" i="58"/>
  <c r="C230" i="58"/>
  <c r="C220" i="58"/>
  <c r="C219" i="58"/>
  <c r="C218" i="58"/>
  <c r="C214" i="58"/>
  <c r="AP19" i="58"/>
  <c r="B289" i="58" s="1"/>
  <c r="AP18" i="58"/>
  <c r="B235" i="58" s="1"/>
  <c r="AP17" i="58"/>
  <c r="B221" i="58" s="1"/>
  <c r="AP16" i="58"/>
  <c r="B204" i="58" s="1"/>
  <c r="AO19" i="58"/>
  <c r="A289" i="58" s="1"/>
  <c r="AO18" i="58"/>
  <c r="A235" i="58" s="1"/>
  <c r="AO17" i="58"/>
  <c r="A221" i="58" s="1"/>
  <c r="AO16" i="58"/>
  <c r="A204" i="58" s="1"/>
  <c r="K57" i="73"/>
  <c r="C203" i="58"/>
  <c r="C202" i="58"/>
  <c r="C201" i="58"/>
  <c r="C200" i="58"/>
  <c r="C199" i="58"/>
  <c r="C198" i="58"/>
  <c r="C197" i="58"/>
  <c r="C196" i="58"/>
  <c r="C195" i="58"/>
  <c r="C194" i="58"/>
  <c r="D192" i="58"/>
  <c r="D191" i="58"/>
  <c r="C190" i="58"/>
  <c r="C189" i="58"/>
  <c r="C188" i="58"/>
  <c r="C186" i="58"/>
  <c r="C185" i="58"/>
  <c r="AP15" i="58"/>
  <c r="B175" i="58" s="1"/>
  <c r="AO15" i="58"/>
  <c r="A175" i="58" s="1"/>
  <c r="B109" i="8"/>
  <c r="C9" i="81" s="1"/>
  <c r="E23" i="80"/>
  <c r="D23" i="80"/>
  <c r="C23" i="80"/>
  <c r="G51" i="54" l="1"/>
  <c r="G52" i="54" s="1"/>
  <c r="G53" i="54" s="1"/>
  <c r="G48" i="54"/>
  <c r="C8" i="81"/>
  <c r="C20" i="81"/>
  <c r="D11" i="81"/>
  <c r="E10" i="81"/>
  <c r="D10" i="81"/>
  <c r="E9" i="81"/>
  <c r="D9" i="81"/>
  <c r="E8" i="81"/>
  <c r="C7" i="81"/>
  <c r="D8" i="81"/>
  <c r="E7" i="81"/>
  <c r="D7" i="81"/>
  <c r="E6" i="81"/>
  <c r="D6" i="81"/>
  <c r="C12" i="81"/>
  <c r="E12" i="81"/>
  <c r="D12" i="81"/>
  <c r="C11" i="81"/>
  <c r="E11" i="81"/>
  <c r="C6" i="81"/>
  <c r="C10" i="81"/>
  <c r="D17" i="80"/>
  <c r="E17" i="80"/>
  <c r="C17" i="80"/>
  <c r="L8" i="79"/>
  <c r="L9" i="79"/>
  <c r="L11" i="79"/>
  <c r="L12" i="79"/>
  <c r="L13" i="79"/>
  <c r="L14" i="79"/>
  <c r="L15" i="79"/>
  <c r="L16" i="79"/>
  <c r="L17" i="79"/>
  <c r="L18" i="79"/>
  <c r="L19" i="79"/>
  <c r="L20" i="79"/>
  <c r="L21" i="79"/>
  <c r="L22" i="79"/>
  <c r="L23" i="79"/>
  <c r="L24" i="79"/>
  <c r="L25" i="79"/>
  <c r="L26" i="79"/>
  <c r="L27" i="79"/>
  <c r="L28" i="79"/>
  <c r="L29" i="79"/>
  <c r="L30" i="79"/>
  <c r="L32" i="79"/>
  <c r="L33" i="79"/>
  <c r="L34" i="79"/>
  <c r="L35" i="79"/>
  <c r="L36" i="79"/>
  <c r="L37" i="79"/>
  <c r="L38" i="79"/>
  <c r="L39" i="79"/>
  <c r="L40" i="79"/>
  <c r="L41" i="79"/>
  <c r="L42" i="79"/>
  <c r="L43" i="79"/>
  <c r="L44" i="79"/>
  <c r="L45" i="79"/>
  <c r="L46" i="79"/>
  <c r="L47" i="79"/>
  <c r="L48" i="79"/>
  <c r="L49" i="79"/>
  <c r="L50" i="79"/>
  <c r="L51" i="79"/>
  <c r="L52" i="79"/>
  <c r="L53" i="79"/>
  <c r="L54" i="79"/>
  <c r="L55" i="79"/>
  <c r="L56" i="79"/>
  <c r="L57" i="79"/>
  <c r="L58" i="79"/>
  <c r="L59" i="79"/>
  <c r="L60" i="79"/>
  <c r="L61" i="79"/>
  <c r="L62" i="79"/>
  <c r="L63" i="79"/>
  <c r="L65" i="79"/>
  <c r="L64" i="79"/>
  <c r="L66" i="79"/>
  <c r="L67" i="79"/>
  <c r="L68" i="79"/>
  <c r="L69" i="79"/>
  <c r="L70" i="79"/>
  <c r="L71" i="79"/>
  <c r="L72" i="79"/>
  <c r="L73" i="79"/>
  <c r="L74" i="79"/>
  <c r="L75" i="79"/>
  <c r="L76" i="79"/>
  <c r="L78" i="79"/>
  <c r="L77" i="79"/>
  <c r="L79" i="79"/>
  <c r="L80" i="79"/>
  <c r="L81" i="79"/>
  <c r="L82" i="79"/>
  <c r="L83" i="79"/>
  <c r="L84" i="79"/>
  <c r="L85" i="79"/>
  <c r="L86" i="79"/>
  <c r="L87" i="79"/>
  <c r="L88" i="79"/>
  <c r="L89" i="79"/>
  <c r="L90" i="79"/>
  <c r="L91" i="79"/>
  <c r="L92" i="79"/>
  <c r="L93" i="79"/>
  <c r="L94" i="79"/>
  <c r="L95" i="79"/>
  <c r="L96" i="79"/>
  <c r="L97" i="79"/>
  <c r="L98" i="79"/>
  <c r="L99" i="79"/>
  <c r="L100" i="79"/>
  <c r="L101" i="79"/>
  <c r="L102" i="79"/>
  <c r="L103" i="79"/>
  <c r="L104" i="79"/>
  <c r="L105" i="79"/>
  <c r="L106" i="79"/>
  <c r="L107" i="79"/>
  <c r="L108" i="79"/>
  <c r="L109" i="79"/>
  <c r="L110" i="79"/>
  <c r="L111" i="79"/>
  <c r="L113" i="79"/>
  <c r="L112" i="79"/>
  <c r="L114" i="79"/>
  <c r="L116" i="79"/>
  <c r="L115" i="79"/>
  <c r="L117" i="79"/>
  <c r="L118" i="79"/>
  <c r="L119" i="79"/>
  <c r="L120" i="79"/>
  <c r="L121" i="79"/>
  <c r="L122" i="79"/>
  <c r="L123" i="79"/>
  <c r="L124" i="79"/>
  <c r="L125" i="79"/>
  <c r="L5" i="79"/>
  <c r="L4" i="79"/>
  <c r="L31" i="79"/>
  <c r="L10" i="79"/>
  <c r="L6" i="79"/>
  <c r="L7" i="79"/>
  <c r="G21" i="79"/>
  <c r="G4" i="79"/>
  <c r="G5" i="79"/>
  <c r="G6" i="79"/>
  <c r="G7" i="79"/>
  <c r="G8" i="79"/>
  <c r="G9" i="79"/>
  <c r="G11" i="79"/>
  <c r="G12" i="79"/>
  <c r="G13" i="79"/>
  <c r="G14" i="79"/>
  <c r="G15" i="79"/>
  <c r="G16" i="79"/>
  <c r="G17" i="79"/>
  <c r="G19" i="79"/>
  <c r="G20" i="79"/>
  <c r="G22" i="79"/>
  <c r="G23" i="79"/>
  <c r="G24" i="79"/>
  <c r="G25" i="79"/>
  <c r="G27" i="79"/>
  <c r="G28" i="79"/>
  <c r="G10" i="79"/>
  <c r="G26" i="79"/>
  <c r="G18" i="79"/>
  <c r="B5" i="79"/>
  <c r="B6" i="79"/>
  <c r="B7" i="79"/>
  <c r="B8" i="79"/>
  <c r="B9" i="79"/>
  <c r="B10" i="79"/>
  <c r="B11" i="79"/>
  <c r="B12" i="79"/>
  <c r="B13" i="79"/>
  <c r="B14" i="79"/>
  <c r="B15" i="79"/>
  <c r="B16" i="79"/>
  <c r="B17" i="79"/>
  <c r="B18" i="79"/>
  <c r="B19" i="79"/>
  <c r="B20" i="79"/>
  <c r="B21" i="79"/>
  <c r="B22" i="79"/>
  <c r="B23" i="79"/>
  <c r="B24" i="79"/>
  <c r="B25" i="79"/>
  <c r="B26" i="79"/>
  <c r="B27" i="79"/>
  <c r="B28" i="79"/>
  <c r="B29" i="79"/>
  <c r="B30" i="79"/>
  <c r="B31" i="79"/>
  <c r="B32" i="79"/>
  <c r="B33" i="79"/>
  <c r="B34" i="79"/>
  <c r="B35" i="79"/>
  <c r="B36" i="79"/>
  <c r="B37" i="79"/>
  <c r="B38" i="79"/>
  <c r="B39" i="79"/>
  <c r="B40" i="79"/>
  <c r="B41" i="79"/>
  <c r="B42" i="79"/>
  <c r="B43" i="79"/>
  <c r="B44" i="79"/>
  <c r="B45" i="79"/>
  <c r="B46" i="79"/>
  <c r="B47" i="79"/>
  <c r="B48" i="79"/>
  <c r="B49" i="79"/>
  <c r="B50" i="79"/>
  <c r="B51" i="79"/>
  <c r="B52" i="79"/>
  <c r="B53" i="79"/>
  <c r="B54" i="79"/>
  <c r="B55" i="79"/>
  <c r="B56" i="79"/>
  <c r="B57" i="79"/>
  <c r="B58" i="79"/>
  <c r="B59" i="79"/>
  <c r="B60" i="79"/>
  <c r="B61" i="79"/>
  <c r="B62" i="79"/>
  <c r="B63" i="79"/>
  <c r="B64" i="79"/>
  <c r="B65" i="79"/>
  <c r="B66" i="79"/>
  <c r="B67" i="79"/>
  <c r="B68" i="79"/>
  <c r="B69" i="79"/>
  <c r="B70" i="79"/>
  <c r="B71" i="79"/>
  <c r="B72" i="79"/>
  <c r="B73" i="79"/>
  <c r="B74" i="79"/>
  <c r="B75" i="79"/>
  <c r="B76" i="79"/>
  <c r="B77" i="79"/>
  <c r="B78" i="79"/>
  <c r="B79" i="79"/>
  <c r="B80" i="79"/>
  <c r="B81" i="79"/>
  <c r="B82" i="79"/>
  <c r="B83" i="79"/>
  <c r="B4" i="79"/>
  <c r="F51" i="45"/>
  <c r="H45" i="54" s="1"/>
  <c r="H46" i="54" s="1"/>
  <c r="H47" i="54" s="1"/>
  <c r="F52" i="45"/>
  <c r="I45" i="54" s="1"/>
  <c r="I46" i="54" s="1"/>
  <c r="I47" i="54" s="1"/>
  <c r="F55" i="45"/>
  <c r="L45" i="54" s="1"/>
  <c r="L46" i="54" s="1"/>
  <c r="L47" i="54" s="1"/>
  <c r="F56" i="45"/>
  <c r="M45" i="54" s="1"/>
  <c r="M46" i="54" s="1"/>
  <c r="M47" i="54" s="1"/>
  <c r="F63" i="45"/>
  <c r="T45" i="54" s="1"/>
  <c r="T46" i="54" s="1"/>
  <c r="T47" i="54" s="1"/>
  <c r="F65" i="45"/>
  <c r="V45" i="54" s="1"/>
  <c r="V46" i="54" s="1"/>
  <c r="V47" i="54" s="1"/>
  <c r="F66" i="45"/>
  <c r="W45" i="54" s="1"/>
  <c r="W46" i="54" s="1"/>
  <c r="W47" i="54" s="1"/>
  <c r="F67" i="45"/>
  <c r="X45" i="54" s="1"/>
  <c r="X46" i="54" s="1"/>
  <c r="X47" i="54" s="1"/>
  <c r="F68" i="45"/>
  <c r="Y45" i="54" s="1"/>
  <c r="Y46" i="54" s="1"/>
  <c r="Y47" i="54" s="1"/>
  <c r="F69" i="45"/>
  <c r="Z45" i="54" s="1"/>
  <c r="Z46" i="54" s="1"/>
  <c r="Z47" i="54" s="1"/>
  <c r="F70" i="45"/>
  <c r="AA45" i="54" s="1"/>
  <c r="AA46" i="54" s="1"/>
  <c r="AA47" i="54" s="1"/>
  <c r="F75" i="45"/>
  <c r="AF45" i="54" s="1"/>
  <c r="AF46" i="54" s="1"/>
  <c r="AF47" i="54" s="1"/>
  <c r="F76" i="45"/>
  <c r="AG45" i="54" s="1"/>
  <c r="AG46" i="54" s="1"/>
  <c r="AG47" i="54" s="1"/>
  <c r="F50" i="45"/>
  <c r="C58" i="45"/>
  <c r="F77" i="45"/>
  <c r="AH45" i="54" s="1"/>
  <c r="AH46" i="54" s="1"/>
  <c r="AH47" i="54" s="1"/>
  <c r="F73" i="45"/>
  <c r="AD45" i="54" s="1"/>
  <c r="AD46" i="54" s="1"/>
  <c r="AD47" i="54" s="1"/>
  <c r="F72" i="45"/>
  <c r="AC45" i="54" s="1"/>
  <c r="AC46" i="54" s="1"/>
  <c r="AC47" i="54" s="1"/>
  <c r="F71" i="45"/>
  <c r="AB45" i="54" s="1"/>
  <c r="AB46" i="54" s="1"/>
  <c r="AB47" i="54" s="1"/>
  <c r="F64" i="45"/>
  <c r="U45" i="54" s="1"/>
  <c r="U46" i="54" s="1"/>
  <c r="U47" i="54" s="1"/>
  <c r="F62" i="45"/>
  <c r="S45" i="54" s="1"/>
  <c r="S46" i="54" s="1"/>
  <c r="S47" i="54" s="1"/>
  <c r="F61" i="45"/>
  <c r="F60" i="45"/>
  <c r="Q45" i="54" s="1"/>
  <c r="Q46" i="54" s="1"/>
  <c r="Q47" i="54" s="1"/>
  <c r="F59" i="45"/>
  <c r="P45" i="54" s="1"/>
  <c r="P46" i="54" s="1"/>
  <c r="P47" i="54" s="1"/>
  <c r="F58" i="45"/>
  <c r="O45" i="54" s="1"/>
  <c r="O46" i="54" s="1"/>
  <c r="O47" i="54" s="1"/>
  <c r="F57" i="45"/>
  <c r="N45" i="54" s="1"/>
  <c r="N46" i="54" s="1"/>
  <c r="N47" i="54" s="1"/>
  <c r="F53" i="45"/>
  <c r="J45" i="54" s="1"/>
  <c r="J46" i="54" s="1"/>
  <c r="J47" i="54" s="1"/>
  <c r="O15" i="78"/>
  <c r="O13" i="78"/>
  <c r="O14" i="78"/>
  <c r="O12" i="78"/>
  <c r="C12" i="78"/>
  <c r="D12" i="78"/>
  <c r="E12" i="78"/>
  <c r="F12" i="78"/>
  <c r="G12" i="78"/>
  <c r="H12" i="78"/>
  <c r="I12" i="78"/>
  <c r="J12" i="78"/>
  <c r="K12" i="78"/>
  <c r="L12" i="78"/>
  <c r="M12" i="78"/>
  <c r="N12" i="78"/>
  <c r="C13" i="78"/>
  <c r="D13" i="78"/>
  <c r="E13" i="78"/>
  <c r="F13" i="78"/>
  <c r="G13" i="78"/>
  <c r="H13" i="78"/>
  <c r="I13" i="78"/>
  <c r="J13" i="78"/>
  <c r="K13" i="78"/>
  <c r="L13" i="78"/>
  <c r="M13" i="78"/>
  <c r="N13" i="78"/>
  <c r="C14" i="78"/>
  <c r="D14" i="78"/>
  <c r="E14" i="78"/>
  <c r="F14" i="78"/>
  <c r="G14" i="78"/>
  <c r="H14" i="78"/>
  <c r="I14" i="78"/>
  <c r="J14" i="78"/>
  <c r="K14" i="78"/>
  <c r="L14" i="78"/>
  <c r="M14" i="78"/>
  <c r="N14" i="78"/>
  <c r="C15" i="78"/>
  <c r="D15" i="78"/>
  <c r="E15" i="78"/>
  <c r="F15" i="78"/>
  <c r="G15" i="78"/>
  <c r="H15" i="78"/>
  <c r="I15" i="78"/>
  <c r="J15" i="78"/>
  <c r="K15" i="78"/>
  <c r="L15" i="78"/>
  <c r="M15" i="78"/>
  <c r="N15" i="78"/>
  <c r="B13" i="78"/>
  <c r="B14" i="78"/>
  <c r="B15" i="78"/>
  <c r="B12" i="78"/>
  <c r="M182" i="58" l="1"/>
  <c r="AG182" i="58"/>
  <c r="V21" i="58"/>
  <c r="P182" i="58"/>
  <c r="AJ182" i="58"/>
  <c r="N182" i="58"/>
  <c r="AH182" i="58"/>
  <c r="W21" i="58"/>
  <c r="O182" i="58"/>
  <c r="AI182" i="58"/>
  <c r="X21" i="58"/>
  <c r="Q182" i="58"/>
  <c r="AK182" i="58"/>
  <c r="Z21" i="58"/>
  <c r="AD21" i="58"/>
  <c r="R182" i="58"/>
  <c r="AL182" i="58"/>
  <c r="AA21" i="58"/>
  <c r="S182" i="58"/>
  <c r="K182" i="58"/>
  <c r="AB21" i="58"/>
  <c r="U182" i="58"/>
  <c r="V182" i="58"/>
  <c r="T182" i="58"/>
  <c r="AC21" i="58"/>
  <c r="W182" i="58"/>
  <c r="L21" i="58"/>
  <c r="AF21" i="58"/>
  <c r="X182" i="58"/>
  <c r="M21" i="58"/>
  <c r="AG21" i="58"/>
  <c r="Y182" i="58"/>
  <c r="N21" i="58"/>
  <c r="AH21" i="58"/>
  <c r="P21" i="58"/>
  <c r="AE21" i="58"/>
  <c r="Z182" i="58"/>
  <c r="O21" i="58"/>
  <c r="AI21" i="58"/>
  <c r="AA182" i="58"/>
  <c r="AJ21" i="58"/>
  <c r="AB182" i="58"/>
  <c r="Q21" i="58"/>
  <c r="AK21" i="58"/>
  <c r="AC182" i="58"/>
  <c r="R21" i="58"/>
  <c r="AL21" i="58"/>
  <c r="AD182" i="58"/>
  <c r="S21" i="58"/>
  <c r="K21" i="58"/>
  <c r="U21" i="58"/>
  <c r="Y21" i="58"/>
  <c r="AE182" i="58"/>
  <c r="T21" i="58"/>
  <c r="L182" i="58"/>
  <c r="AF182" i="58"/>
  <c r="AB210" i="58"/>
  <c r="T53" i="58"/>
  <c r="AE210" i="58"/>
  <c r="W53" i="58"/>
  <c r="AC210" i="58"/>
  <c r="U53" i="58"/>
  <c r="AD210" i="58"/>
  <c r="V53" i="58"/>
  <c r="L210" i="58"/>
  <c r="AF210" i="58"/>
  <c r="X53" i="58"/>
  <c r="M210" i="58"/>
  <c r="AG210" i="58"/>
  <c r="Y53" i="58"/>
  <c r="AJ210" i="58"/>
  <c r="AB53" i="58"/>
  <c r="N210" i="58"/>
  <c r="AH210" i="58"/>
  <c r="Z53" i="58"/>
  <c r="P210" i="58"/>
  <c r="O210" i="58"/>
  <c r="AI210" i="58"/>
  <c r="AA53" i="58"/>
  <c r="R210" i="58"/>
  <c r="AL210" i="58"/>
  <c r="AD53" i="58"/>
  <c r="S210" i="58"/>
  <c r="K210" i="58"/>
  <c r="AE53" i="58"/>
  <c r="Q210" i="58"/>
  <c r="T210" i="58"/>
  <c r="L53" i="58"/>
  <c r="AF53" i="58"/>
  <c r="V210" i="58"/>
  <c r="N53" i="58"/>
  <c r="AC53" i="58"/>
  <c r="U210" i="58"/>
  <c r="M53" i="58"/>
  <c r="AG53" i="58"/>
  <c r="AH53" i="58"/>
  <c r="W210" i="58"/>
  <c r="O53" i="58"/>
  <c r="AI53" i="58"/>
  <c r="X210" i="58"/>
  <c r="P53" i="58"/>
  <c r="AJ53" i="58"/>
  <c r="Y210" i="58"/>
  <c r="Q53" i="58"/>
  <c r="AK53" i="58"/>
  <c r="Z210" i="58"/>
  <c r="R53" i="58"/>
  <c r="AL53" i="58"/>
  <c r="AK210" i="58"/>
  <c r="AA210" i="58"/>
  <c r="S53" i="58"/>
  <c r="K53" i="58"/>
  <c r="T181" i="58"/>
  <c r="AC20" i="58"/>
  <c r="W181" i="58"/>
  <c r="AF20" i="58"/>
  <c r="U181" i="58"/>
  <c r="AD20" i="58"/>
  <c r="AC181" i="58"/>
  <c r="V181" i="58"/>
  <c r="AE20" i="58"/>
  <c r="X181" i="58"/>
  <c r="M20" i="58"/>
  <c r="AG20" i="58"/>
  <c r="AB181" i="58"/>
  <c r="Q20" i="58"/>
  <c r="Y181" i="58"/>
  <c r="N20" i="58"/>
  <c r="AH20" i="58"/>
  <c r="AK20" i="58"/>
  <c r="Z181" i="58"/>
  <c r="O20" i="58"/>
  <c r="AI20" i="58"/>
  <c r="AA181" i="58"/>
  <c r="K181" i="58"/>
  <c r="P20" i="58"/>
  <c r="AJ20" i="58"/>
  <c r="AD181" i="58"/>
  <c r="S20" i="58"/>
  <c r="AE181" i="58"/>
  <c r="T20" i="58"/>
  <c r="R20" i="58"/>
  <c r="L181" i="58"/>
  <c r="AF181" i="58"/>
  <c r="U20" i="58"/>
  <c r="N181" i="58"/>
  <c r="AH181" i="58"/>
  <c r="M181" i="58"/>
  <c r="AG181" i="58"/>
  <c r="V20" i="58"/>
  <c r="W20" i="58"/>
  <c r="O181" i="58"/>
  <c r="AI181" i="58"/>
  <c r="X20" i="58"/>
  <c r="P181" i="58"/>
  <c r="AJ181" i="58"/>
  <c r="Y20" i="58"/>
  <c r="Q181" i="58"/>
  <c r="AK181" i="58"/>
  <c r="Z20" i="58"/>
  <c r="AL20" i="58"/>
  <c r="R181" i="58"/>
  <c r="AL181" i="58"/>
  <c r="AA20" i="58"/>
  <c r="K20" i="58"/>
  <c r="S181" i="58"/>
  <c r="AB20" i="58"/>
  <c r="L20" i="58"/>
  <c r="G75" i="45"/>
  <c r="AJ98" i="55" s="1"/>
  <c r="G50" i="45"/>
  <c r="K98" i="55" s="1"/>
  <c r="G45" i="54"/>
  <c r="G46" i="54" s="1"/>
  <c r="G47" i="54" s="1"/>
  <c r="G70" i="45"/>
  <c r="AE98" i="55" s="1"/>
  <c r="G69" i="45"/>
  <c r="AD98" i="55" s="1"/>
  <c r="G68" i="45"/>
  <c r="AC98" i="55" s="1"/>
  <c r="G67" i="45"/>
  <c r="AB98" i="55" s="1"/>
  <c r="G77" i="45"/>
  <c r="AL98" i="55" s="1"/>
  <c r="G66" i="45"/>
  <c r="AA98" i="55" s="1"/>
  <c r="O51" i="54"/>
  <c r="O48" i="54"/>
  <c r="G57" i="45"/>
  <c r="R98" i="55" s="1"/>
  <c r="G65" i="45"/>
  <c r="Z98" i="55" s="1"/>
  <c r="G63" i="45"/>
  <c r="X98" i="55" s="1"/>
  <c r="G76" i="45"/>
  <c r="AK98" i="55" s="1"/>
  <c r="G56" i="45"/>
  <c r="Q98" i="55" s="1"/>
  <c r="G55" i="45"/>
  <c r="P98" i="55" s="1"/>
  <c r="G58" i="45"/>
  <c r="S98" i="55" s="1"/>
  <c r="G61" i="45"/>
  <c r="G52" i="45"/>
  <c r="M98" i="55" s="1"/>
  <c r="G59" i="45"/>
  <c r="T98" i="55" s="1"/>
  <c r="G62" i="45"/>
  <c r="W98" i="55" s="1"/>
  <c r="G51" i="45"/>
  <c r="L98" i="55" s="1"/>
  <c r="G53" i="45"/>
  <c r="N98" i="55" s="1"/>
  <c r="G60" i="45"/>
  <c r="U98" i="55" s="1"/>
  <c r="G71" i="45"/>
  <c r="AF98" i="55" s="1"/>
  <c r="G72" i="45"/>
  <c r="AG98" i="55" s="1"/>
  <c r="G73" i="45"/>
  <c r="AH98" i="55" s="1"/>
  <c r="L58" i="45"/>
  <c r="I66" i="45"/>
  <c r="N67" i="45" a="1"/>
  <c r="N67" i="45" s="1"/>
  <c r="I75" i="45"/>
  <c r="I55" i="45"/>
  <c r="L62" i="45"/>
  <c r="N71" i="45" a="1"/>
  <c r="N71" i="45" s="1"/>
  <c r="O71" i="45" s="1"/>
  <c r="P71" i="45" s="1"/>
  <c r="I70" i="45"/>
  <c r="AA39" i="54" s="1"/>
  <c r="L77" i="45"/>
  <c r="L57" i="45"/>
  <c r="N66" i="45" a="1"/>
  <c r="N66" i="45" s="1"/>
  <c r="O66" i="45" s="1"/>
  <c r="P66" i="45" s="1"/>
  <c r="I69" i="45"/>
  <c r="L76" i="45"/>
  <c r="L56" i="45"/>
  <c r="N65" i="45" a="1"/>
  <c r="N65" i="45" s="1"/>
  <c r="I68" i="45"/>
  <c r="Y39" i="54" s="1"/>
  <c r="L75" i="45"/>
  <c r="L55" i="45"/>
  <c r="N64" i="45" a="1"/>
  <c r="N64" i="45" s="1"/>
  <c r="O64" i="45" s="1"/>
  <c r="P64" i="45" s="1"/>
  <c r="I67" i="45"/>
  <c r="L74" i="45"/>
  <c r="N63" i="45" a="1"/>
  <c r="N63" i="45" s="1"/>
  <c r="O63" i="45" s="1"/>
  <c r="P63" i="45" s="1"/>
  <c r="L73" i="45"/>
  <c r="L53" i="45"/>
  <c r="N62" i="45" a="1"/>
  <c r="N62" i="45" s="1"/>
  <c r="O62" i="45" s="1"/>
  <c r="P62" i="45" s="1"/>
  <c r="I50" i="45"/>
  <c r="G39" i="54" s="1"/>
  <c r="G40" i="54" s="1"/>
  <c r="G41" i="54" s="1"/>
  <c r="I65" i="45"/>
  <c r="L72" i="45"/>
  <c r="L52" i="45"/>
  <c r="N61" i="45" a="1"/>
  <c r="N61" i="45" s="1"/>
  <c r="O61" i="45" s="1"/>
  <c r="P61" i="45" s="1"/>
  <c r="I64" i="45"/>
  <c r="L71" i="45"/>
  <c r="AB42" i="54" s="1"/>
  <c r="L51" i="45"/>
  <c r="H42" i="54" s="1"/>
  <c r="N60" i="45" a="1"/>
  <c r="N60" i="45" s="1"/>
  <c r="O60" i="45" s="1"/>
  <c r="P60" i="45" s="1"/>
  <c r="I63" i="45"/>
  <c r="L70" i="45"/>
  <c r="AA42" i="54" s="1"/>
  <c r="L50" i="45"/>
  <c r="N59" i="45" a="1"/>
  <c r="N59" i="45" s="1"/>
  <c r="O59" i="45" s="1"/>
  <c r="P59" i="45" s="1"/>
  <c r="I62" i="45"/>
  <c r="L69" i="45"/>
  <c r="N50" i="45" a="1"/>
  <c r="N50" i="45" s="1"/>
  <c r="O50" i="45" s="1"/>
  <c r="P50" i="45" s="1"/>
  <c r="N58" i="45" a="1"/>
  <c r="N58" i="45" s="1"/>
  <c r="O58" i="45" s="1"/>
  <c r="P58" i="45" s="1"/>
  <c r="N57" i="45" a="1"/>
  <c r="N57" i="45" s="1"/>
  <c r="O57" i="45" s="1"/>
  <c r="P57" i="45" s="1"/>
  <c r="I61" i="45"/>
  <c r="L68" i="45"/>
  <c r="N77" i="45" a="1"/>
  <c r="N77" i="45" s="1"/>
  <c r="O77" i="45" s="1"/>
  <c r="P77" i="45" s="1"/>
  <c r="I60" i="45"/>
  <c r="Q39" i="54" s="1"/>
  <c r="N76" i="45" a="1"/>
  <c r="N76" i="45" s="1"/>
  <c r="O76" i="45" s="1"/>
  <c r="P76" i="45" s="1"/>
  <c r="N56" i="45" a="1"/>
  <c r="N56" i="45" s="1"/>
  <c r="O56" i="45" s="1"/>
  <c r="P56" i="45" s="1"/>
  <c r="L67" i="45"/>
  <c r="N55" i="45" a="1"/>
  <c r="N55" i="45" s="1"/>
  <c r="O55" i="45" s="1"/>
  <c r="P55" i="45" s="1"/>
  <c r="I59" i="45"/>
  <c r="P39" i="54" s="1"/>
  <c r="L66" i="45"/>
  <c r="N75" i="45" a="1"/>
  <c r="N75" i="45" s="1"/>
  <c r="I58" i="45"/>
  <c r="O39" i="54" s="1"/>
  <c r="L65" i="45"/>
  <c r="N74" i="45" a="1"/>
  <c r="N74" i="45" s="1"/>
  <c r="O74" i="45" s="1"/>
  <c r="P74" i="45" s="1"/>
  <c r="N54" i="45" a="1"/>
  <c r="N54" i="45" s="1"/>
  <c r="O54" i="45" s="1"/>
  <c r="P54" i="45" s="1"/>
  <c r="I77" i="45"/>
  <c r="I57" i="45"/>
  <c r="L64" i="45"/>
  <c r="N73" i="45" a="1"/>
  <c r="N73" i="45" s="1"/>
  <c r="O73" i="45" s="1"/>
  <c r="P73" i="45" s="1"/>
  <c r="N53" i="45" a="1"/>
  <c r="N53" i="45" s="1"/>
  <c r="O53" i="45" s="1"/>
  <c r="P53" i="45" s="1"/>
  <c r="I76" i="45"/>
  <c r="I56" i="45"/>
  <c r="L63" i="45"/>
  <c r="T42" i="54" s="1"/>
  <c r="N72" i="45" a="1"/>
  <c r="N72" i="45" s="1"/>
  <c r="O72" i="45" s="1"/>
  <c r="P72" i="45" s="1"/>
  <c r="N52" i="45" a="1"/>
  <c r="N52" i="45" s="1"/>
  <c r="O52" i="45" s="1"/>
  <c r="P52" i="45" s="1"/>
  <c r="N51" i="45" a="1"/>
  <c r="N51" i="45" s="1"/>
  <c r="O51" i="45" s="1"/>
  <c r="P51" i="45" s="1"/>
  <c r="I74" i="45"/>
  <c r="I54" i="45"/>
  <c r="L61" i="45"/>
  <c r="R42" i="54" s="1"/>
  <c r="N70" i="45" a="1"/>
  <c r="N70" i="45" s="1"/>
  <c r="O70" i="45" s="1"/>
  <c r="P70" i="45" s="1"/>
  <c r="I73" i="45"/>
  <c r="I53" i="45"/>
  <c r="L60" i="45"/>
  <c r="N69" i="45" a="1"/>
  <c r="N69" i="45" s="1"/>
  <c r="O69" i="45" s="1"/>
  <c r="P69" i="45" s="1"/>
  <c r="I72" i="45"/>
  <c r="I52" i="45"/>
  <c r="L59" i="45"/>
  <c r="N68" i="45" a="1"/>
  <c r="N68" i="45" s="1"/>
  <c r="O68" i="45" s="1"/>
  <c r="P68" i="45" s="1"/>
  <c r="I71" i="45"/>
  <c r="I51" i="45"/>
  <c r="C36" i="81"/>
  <c r="O49" i="54"/>
  <c r="O50" i="54" s="1"/>
  <c r="O52" i="54"/>
  <c r="O53" i="54" s="1"/>
  <c r="G64" i="45"/>
  <c r="Y98" i="55" s="1"/>
  <c r="M70" i="45"/>
  <c r="AE60" i="55" s="1"/>
  <c r="AA43" i="54"/>
  <c r="AA44" i="54" s="1"/>
  <c r="O67" i="45"/>
  <c r="P67" i="45" s="1"/>
  <c r="O65" i="45"/>
  <c r="P65" i="45" s="1"/>
  <c r="O75" i="45"/>
  <c r="P75" i="45" s="1"/>
  <c r="L54" i="45"/>
  <c r="K42" i="54" s="1"/>
  <c r="F54" i="45"/>
  <c r="F74" i="45"/>
  <c r="AE45" i="54" s="1"/>
  <c r="AE46" i="54" s="1"/>
  <c r="AE47" i="54" s="1"/>
  <c r="C60" i="45"/>
  <c r="C65" i="45"/>
  <c r="C63" i="45"/>
  <c r="C61" i="45"/>
  <c r="C77" i="45"/>
  <c r="C76" i="45"/>
  <c r="C67" i="45"/>
  <c r="C62" i="45"/>
  <c r="C56" i="45"/>
  <c r="C66" i="45"/>
  <c r="C64" i="45"/>
  <c r="C59" i="45"/>
  <c r="C57" i="45"/>
  <c r="C73" i="45"/>
  <c r="C55" i="45"/>
  <c r="C75" i="45"/>
  <c r="C74" i="45"/>
  <c r="C72" i="45"/>
  <c r="C54" i="45"/>
  <c r="C71" i="45"/>
  <c r="C53" i="45"/>
  <c r="C52" i="45"/>
  <c r="C70" i="45"/>
  <c r="C69" i="45"/>
  <c r="C51" i="45"/>
  <c r="C68" i="45"/>
  <c r="D58" i="45"/>
  <c r="S81" i="55" s="1"/>
  <c r="K45" i="54" l="1"/>
  <c r="K46" i="54" s="1"/>
  <c r="K47" i="54" s="1"/>
  <c r="L241" i="58"/>
  <c r="AF241" i="58"/>
  <c r="AA93" i="58"/>
  <c r="K93" i="58"/>
  <c r="AI241" i="58"/>
  <c r="AD93" i="58"/>
  <c r="M241" i="58"/>
  <c r="AG241" i="58"/>
  <c r="AB93" i="58"/>
  <c r="O241" i="58"/>
  <c r="N241" i="58"/>
  <c r="AH241" i="58"/>
  <c r="AC93" i="58"/>
  <c r="P241" i="58"/>
  <c r="AJ241" i="58"/>
  <c r="AE93" i="58"/>
  <c r="T241" i="58"/>
  <c r="P93" i="58"/>
  <c r="Q241" i="58"/>
  <c r="AK241" i="58"/>
  <c r="L93" i="58"/>
  <c r="AF93" i="58"/>
  <c r="O93" i="58"/>
  <c r="R241" i="58"/>
  <c r="AL241" i="58"/>
  <c r="M93" i="58"/>
  <c r="AG93" i="58"/>
  <c r="AI93" i="58"/>
  <c r="S241" i="58"/>
  <c r="N93" i="58"/>
  <c r="AH93" i="58"/>
  <c r="V241" i="58"/>
  <c r="Q93" i="58"/>
  <c r="AK93" i="58"/>
  <c r="W241" i="58"/>
  <c r="R93" i="58"/>
  <c r="AL93" i="58"/>
  <c r="Z241" i="58"/>
  <c r="X241" i="58"/>
  <c r="S93" i="58"/>
  <c r="U93" i="58"/>
  <c r="U241" i="58"/>
  <c r="AJ93" i="58"/>
  <c r="Y241" i="58"/>
  <c r="T93" i="58"/>
  <c r="AA241" i="58"/>
  <c r="K241" i="58"/>
  <c r="V93" i="58"/>
  <c r="AB241" i="58"/>
  <c r="W93" i="58"/>
  <c r="AC241" i="58"/>
  <c r="X93" i="58"/>
  <c r="AD241" i="58"/>
  <c r="Y93" i="58"/>
  <c r="AE241" i="58"/>
  <c r="Z93" i="58"/>
  <c r="S51" i="54"/>
  <c r="S52" i="54" s="1"/>
  <c r="S53" i="54" s="1"/>
  <c r="S48" i="54"/>
  <c r="S49" i="54" s="1"/>
  <c r="S50" i="54" s="1"/>
  <c r="M68" i="45"/>
  <c r="AC60" i="55" s="1"/>
  <c r="Y42" i="54"/>
  <c r="Y43" i="54" s="1"/>
  <c r="Y44" i="54" s="1"/>
  <c r="M62" i="45"/>
  <c r="W60" i="55" s="1"/>
  <c r="S42" i="54"/>
  <c r="S43" i="54" s="1"/>
  <c r="S44" i="54" s="1"/>
  <c r="J56" i="45"/>
  <c r="Q39" i="55" s="1"/>
  <c r="M39" i="54"/>
  <c r="M40" i="54" s="1"/>
  <c r="M41" i="54" s="1"/>
  <c r="X48" i="54"/>
  <c r="X49" i="54" s="1"/>
  <c r="X50" i="54" s="1"/>
  <c r="X51" i="54"/>
  <c r="X52" i="54" s="1"/>
  <c r="X53" i="54" s="1"/>
  <c r="J76" i="45"/>
  <c r="AK39" i="55" s="1"/>
  <c r="AG39" i="54"/>
  <c r="AG40" i="54" s="1"/>
  <c r="AG41" i="54" s="1"/>
  <c r="J61" i="45"/>
  <c r="V39" i="55" s="1"/>
  <c r="R39" i="54"/>
  <c r="R40" i="54" s="1"/>
  <c r="R41" i="54" s="1"/>
  <c r="M53" i="45"/>
  <c r="N60" i="55" s="1"/>
  <c r="J42" i="54"/>
  <c r="J43" i="54" s="1"/>
  <c r="J44" i="54" s="1"/>
  <c r="J55" i="45"/>
  <c r="P39" i="55" s="1"/>
  <c r="L39" i="54"/>
  <c r="L40" i="54" s="1"/>
  <c r="L41" i="54" s="1"/>
  <c r="J51" i="45"/>
  <c r="L39" i="55" s="1"/>
  <c r="H39" i="54"/>
  <c r="H40" i="54" s="1"/>
  <c r="H41" i="54" s="1"/>
  <c r="AD42" i="54"/>
  <c r="AD43" i="54" s="1"/>
  <c r="AD44" i="54" s="1"/>
  <c r="J75" i="45"/>
  <c r="AJ39" i="55" s="1"/>
  <c r="AF39" i="54"/>
  <c r="AF40" i="54" s="1"/>
  <c r="AF41" i="54" s="1"/>
  <c r="W48" i="54"/>
  <c r="W49" i="54" s="1"/>
  <c r="W50" i="54" s="1"/>
  <c r="W51" i="54"/>
  <c r="W52" i="54" s="1"/>
  <c r="W53" i="54" s="1"/>
  <c r="U42" i="54"/>
  <c r="U43" i="54" s="1"/>
  <c r="U44" i="54" s="1"/>
  <c r="J66" i="45"/>
  <c r="AA39" i="55" s="1"/>
  <c r="W39" i="54"/>
  <c r="W40" i="54" s="1"/>
  <c r="W41" i="54" s="1"/>
  <c r="AA51" i="54"/>
  <c r="AA52" i="54" s="1"/>
  <c r="AA53" i="54" s="1"/>
  <c r="AA48" i="54"/>
  <c r="AA49" i="54" s="1"/>
  <c r="AA50" i="54" s="1"/>
  <c r="T48" i="54"/>
  <c r="T49" i="54" s="1"/>
  <c r="T50" i="54" s="1"/>
  <c r="T51" i="54"/>
  <c r="T52" i="54" s="1"/>
  <c r="T53" i="54" s="1"/>
  <c r="J57" i="45"/>
  <c r="R39" i="55" s="1"/>
  <c r="N39" i="54"/>
  <c r="N40" i="54" s="1"/>
  <c r="N41" i="54" s="1"/>
  <c r="AE42" i="54"/>
  <c r="AE43" i="54" s="1"/>
  <c r="AE44" i="54" s="1"/>
  <c r="M58" i="45"/>
  <c r="S60" i="55" s="1"/>
  <c r="O42" i="54"/>
  <c r="O43" i="54" s="1"/>
  <c r="O44" i="54" s="1"/>
  <c r="M51" i="54"/>
  <c r="M52" i="54" s="1"/>
  <c r="M53" i="54" s="1"/>
  <c r="M48" i="54"/>
  <c r="Y51" i="54"/>
  <c r="Y52" i="54" s="1"/>
  <c r="Y53" i="54" s="1"/>
  <c r="Y48" i="54"/>
  <c r="Y49" i="54" s="1"/>
  <c r="Y50" i="54" s="1"/>
  <c r="AG48" i="54"/>
  <c r="AG49" i="54" s="1"/>
  <c r="AG50" i="54" s="1"/>
  <c r="AG51" i="54"/>
  <c r="AG52" i="54" s="1"/>
  <c r="AG53" i="54" s="1"/>
  <c r="H51" i="54"/>
  <c r="H52" i="54" s="1"/>
  <c r="H53" i="54" s="1"/>
  <c r="H48" i="54"/>
  <c r="H49" i="54" s="1"/>
  <c r="H50" i="54" s="1"/>
  <c r="AH48" i="54"/>
  <c r="AH49" i="54" s="1"/>
  <c r="AH50" i="54" s="1"/>
  <c r="AH51" i="54"/>
  <c r="AH52" i="54" s="1"/>
  <c r="AH53" i="54" s="1"/>
  <c r="M69" i="45"/>
  <c r="AD60" i="55" s="1"/>
  <c r="Z42" i="54"/>
  <c r="Z43" i="54" s="1"/>
  <c r="Z44" i="54" s="1"/>
  <c r="I48" i="54"/>
  <c r="I49" i="54" s="1"/>
  <c r="I50" i="54" s="1"/>
  <c r="I51" i="54"/>
  <c r="I52" i="54" s="1"/>
  <c r="I53" i="54" s="1"/>
  <c r="V48" i="54"/>
  <c r="V51" i="54"/>
  <c r="V52" i="54" s="1"/>
  <c r="V53" i="54" s="1"/>
  <c r="J52" i="45"/>
  <c r="M39" i="55" s="1"/>
  <c r="I39" i="54"/>
  <c r="J77" i="45"/>
  <c r="AL39" i="55" s="1"/>
  <c r="AH39" i="54"/>
  <c r="AH40" i="54" s="1"/>
  <c r="AH41" i="54" s="1"/>
  <c r="J62" i="45"/>
  <c r="W39" i="55" s="1"/>
  <c r="S39" i="54"/>
  <c r="S40" i="54" s="1"/>
  <c r="S41" i="54" s="1"/>
  <c r="J67" i="45"/>
  <c r="AB39" i="55" s="1"/>
  <c r="X39" i="54"/>
  <c r="X40" i="54" s="1"/>
  <c r="X41" i="54" s="1"/>
  <c r="M59" i="45"/>
  <c r="T60" i="55" s="1"/>
  <c r="P42" i="54"/>
  <c r="P43" i="54" s="1"/>
  <c r="P44" i="54" s="1"/>
  <c r="J51" i="54"/>
  <c r="J52" i="54" s="1"/>
  <c r="J53" i="54" s="1"/>
  <c r="J48" i="54"/>
  <c r="Q51" i="54"/>
  <c r="Q52" i="54" s="1"/>
  <c r="Q53" i="54" s="1"/>
  <c r="Q48" i="54"/>
  <c r="J72" i="45"/>
  <c r="AG39" i="55" s="1"/>
  <c r="AC39" i="54"/>
  <c r="AC40" i="54" s="1"/>
  <c r="AC41" i="54" s="1"/>
  <c r="M50" i="45"/>
  <c r="K60" i="55" s="1"/>
  <c r="G42" i="54"/>
  <c r="G43" i="54" s="1"/>
  <c r="G44" i="54" s="1"/>
  <c r="M55" i="45"/>
  <c r="P60" i="55" s="1"/>
  <c r="L42" i="54"/>
  <c r="L43" i="54" s="1"/>
  <c r="L44" i="54" s="1"/>
  <c r="K51" i="54"/>
  <c r="K52" i="54" s="1"/>
  <c r="K53" i="54" s="1"/>
  <c r="K48" i="54"/>
  <c r="M60" i="45"/>
  <c r="U60" i="55" s="1"/>
  <c r="Q42" i="54"/>
  <c r="Q43" i="54" s="1"/>
  <c r="Q44" i="54" s="1"/>
  <c r="M65" i="45"/>
  <c r="Z60" i="55" s="1"/>
  <c r="V42" i="54"/>
  <c r="V43" i="54" s="1"/>
  <c r="V44" i="54" s="1"/>
  <c r="M75" i="45"/>
  <c r="AJ60" i="55" s="1"/>
  <c r="AF42" i="54"/>
  <c r="AF43" i="54" s="1"/>
  <c r="AF44" i="54" s="1"/>
  <c r="J71" i="45"/>
  <c r="AF39" i="55" s="1"/>
  <c r="AB39" i="54"/>
  <c r="AB40" i="54" s="1"/>
  <c r="AB41" i="54" s="1"/>
  <c r="Z51" i="54"/>
  <c r="Z52" i="54" s="1"/>
  <c r="Z53" i="54" s="1"/>
  <c r="Z48" i="54"/>
  <c r="R51" i="54"/>
  <c r="R52" i="54" s="1"/>
  <c r="R53" i="54" s="1"/>
  <c r="R48" i="54"/>
  <c r="R49" i="54" s="1"/>
  <c r="R50" i="54" s="1"/>
  <c r="AB51" i="54"/>
  <c r="AB52" i="54" s="1"/>
  <c r="AB53" i="54" s="1"/>
  <c r="AB48" i="54"/>
  <c r="AB49" i="54" s="1"/>
  <c r="AB50" i="54" s="1"/>
  <c r="AC51" i="54"/>
  <c r="AC52" i="54" s="1"/>
  <c r="AC53" i="54" s="1"/>
  <c r="AC48" i="54"/>
  <c r="AC49" i="54" s="1"/>
  <c r="AC50" i="54" s="1"/>
  <c r="K43" i="54"/>
  <c r="K44" i="54" s="1"/>
  <c r="J53" i="45"/>
  <c r="N39" i="55" s="1"/>
  <c r="J39" i="54"/>
  <c r="J63" i="45"/>
  <c r="X39" i="55" s="1"/>
  <c r="T39" i="54"/>
  <c r="T40" i="54" s="1"/>
  <c r="T41" i="54" s="1"/>
  <c r="J73" i="45"/>
  <c r="AH39" i="55" s="1"/>
  <c r="AD39" i="54"/>
  <c r="AD40" i="54" s="1"/>
  <c r="AD41" i="54" s="1"/>
  <c r="M66" i="45"/>
  <c r="AA60" i="55" s="1"/>
  <c r="W42" i="54"/>
  <c r="W43" i="54" s="1"/>
  <c r="W44" i="54" s="1"/>
  <c r="M56" i="45"/>
  <c r="Q60" i="55" s="1"/>
  <c r="M42" i="54"/>
  <c r="M43" i="54" s="1"/>
  <c r="M44" i="54" s="1"/>
  <c r="M76" i="45"/>
  <c r="AK60" i="55" s="1"/>
  <c r="AG42" i="54"/>
  <c r="AG43" i="54" s="1"/>
  <c r="AG44" i="54" s="1"/>
  <c r="L48" i="54"/>
  <c r="L49" i="54" s="1"/>
  <c r="L50" i="54" s="1"/>
  <c r="L51" i="54"/>
  <c r="L52" i="54" s="1"/>
  <c r="L53" i="54" s="1"/>
  <c r="AD51" i="54"/>
  <c r="AD52" i="54" s="1"/>
  <c r="AD53" i="54" s="1"/>
  <c r="AD48" i="54"/>
  <c r="J54" i="45"/>
  <c r="O39" i="55" s="1"/>
  <c r="K39" i="54"/>
  <c r="K40" i="54" s="1"/>
  <c r="K41" i="54" s="1"/>
  <c r="J64" i="45"/>
  <c r="Y39" i="55" s="1"/>
  <c r="U39" i="54"/>
  <c r="J69" i="45"/>
  <c r="AD39" i="55" s="1"/>
  <c r="Z39" i="54"/>
  <c r="Z40" i="54" s="1"/>
  <c r="Z41" i="54" s="1"/>
  <c r="J74" i="45"/>
  <c r="AI39" i="55" s="1"/>
  <c r="AE39" i="54"/>
  <c r="AE40" i="54" s="1"/>
  <c r="AE41" i="54" s="1"/>
  <c r="M67" i="45"/>
  <c r="AB60" i="55" s="1"/>
  <c r="X42" i="54"/>
  <c r="X43" i="54" s="1"/>
  <c r="X44" i="54" s="1"/>
  <c r="M52" i="45"/>
  <c r="M60" i="55" s="1"/>
  <c r="I42" i="54"/>
  <c r="M57" i="45"/>
  <c r="R60" i="55" s="1"/>
  <c r="N42" i="54"/>
  <c r="N43" i="54" s="1"/>
  <c r="N44" i="54" s="1"/>
  <c r="M72" i="45"/>
  <c r="AG60" i="55" s="1"/>
  <c r="AC42" i="54"/>
  <c r="AC43" i="54" s="1"/>
  <c r="AC44" i="54" s="1"/>
  <c r="M77" i="45"/>
  <c r="AL60" i="55" s="1"/>
  <c r="AH42" i="54"/>
  <c r="AH43" i="54" s="1"/>
  <c r="AH44" i="54" s="1"/>
  <c r="AE48" i="54"/>
  <c r="AE49" i="54" s="1"/>
  <c r="AE50" i="54" s="1"/>
  <c r="AE51" i="54"/>
  <c r="AF51" i="54"/>
  <c r="AF52" i="54" s="1"/>
  <c r="AF53" i="54" s="1"/>
  <c r="AF48" i="54"/>
  <c r="N48" i="54"/>
  <c r="N51" i="54"/>
  <c r="N52" i="54" s="1"/>
  <c r="N53" i="54" s="1"/>
  <c r="P51" i="54"/>
  <c r="P52" i="54" s="1"/>
  <c r="P53" i="54" s="1"/>
  <c r="P48" i="54"/>
  <c r="P49" i="54" s="1"/>
  <c r="P50" i="54" s="1"/>
  <c r="U48" i="54"/>
  <c r="U49" i="54" s="1"/>
  <c r="U50" i="54" s="1"/>
  <c r="U51" i="54"/>
  <c r="U52" i="54" s="1"/>
  <c r="U53" i="54" s="1"/>
  <c r="J65" i="45"/>
  <c r="Z39" i="55" s="1"/>
  <c r="V39" i="54"/>
  <c r="V40" i="54" s="1"/>
  <c r="V41" i="54" s="1"/>
  <c r="I43" i="54"/>
  <c r="I44" i="54" s="1"/>
  <c r="U40" i="54"/>
  <c r="U41" i="54" s="1"/>
  <c r="J40" i="54"/>
  <c r="J41" i="54" s="1"/>
  <c r="I40" i="54"/>
  <c r="I41" i="54" s="1"/>
  <c r="C37" i="81"/>
  <c r="AE52" i="54"/>
  <c r="AE53" i="54" s="1"/>
  <c r="J49" i="54"/>
  <c r="J50" i="54" s="1"/>
  <c r="AF49" i="54"/>
  <c r="AF50" i="54" s="1"/>
  <c r="M64" i="45"/>
  <c r="Y60" i="55" s="1"/>
  <c r="D74" i="45"/>
  <c r="AI81" i="55" s="1"/>
  <c r="G74" i="45"/>
  <c r="AI98" i="55" s="1"/>
  <c r="G54" i="45"/>
  <c r="O98" i="55" s="1"/>
  <c r="D55" i="45"/>
  <c r="P81" i="55" s="1"/>
  <c r="D52" i="45"/>
  <c r="M81" i="55" s="1"/>
  <c r="D53" i="45"/>
  <c r="N81" i="55" s="1"/>
  <c r="D75" i="45"/>
  <c r="AJ81" i="55" s="1"/>
  <c r="D73" i="45"/>
  <c r="AH81" i="55" s="1"/>
  <c r="AD49" i="54"/>
  <c r="AD50" i="54" s="1"/>
  <c r="D57" i="45"/>
  <c r="R81" i="55" s="1"/>
  <c r="N49" i="54"/>
  <c r="N50" i="54" s="1"/>
  <c r="D68" i="45"/>
  <c r="AC81" i="55" s="1"/>
  <c r="D59" i="45"/>
  <c r="T81" i="55" s="1"/>
  <c r="D64" i="45"/>
  <c r="Y81" i="55" s="1"/>
  <c r="D66" i="45"/>
  <c r="AA81" i="55" s="1"/>
  <c r="D56" i="45"/>
  <c r="Q81" i="55" s="1"/>
  <c r="M49" i="54"/>
  <c r="M50" i="54" s="1"/>
  <c r="D62" i="45"/>
  <c r="W81" i="55" s="1"/>
  <c r="D67" i="45"/>
  <c r="AB81" i="55" s="1"/>
  <c r="D76" i="45"/>
  <c r="AK81" i="55" s="1"/>
  <c r="D77" i="45"/>
  <c r="AL81" i="55" s="1"/>
  <c r="D71" i="45"/>
  <c r="AF81" i="55" s="1"/>
  <c r="D54" i="45"/>
  <c r="O81" i="55" s="1"/>
  <c r="K49" i="54"/>
  <c r="K50" i="54" s="1"/>
  <c r="D61" i="45"/>
  <c r="V81" i="55" s="1"/>
  <c r="D72" i="45"/>
  <c r="AG81" i="55" s="1"/>
  <c r="D63" i="45"/>
  <c r="X81" i="55" s="1"/>
  <c r="D70" i="45"/>
  <c r="AE81" i="55" s="1"/>
  <c r="D65" i="45"/>
  <c r="Z81" i="55" s="1"/>
  <c r="V49" i="54"/>
  <c r="V50" i="54" s="1"/>
  <c r="D69" i="45"/>
  <c r="AD81" i="55" s="1"/>
  <c r="Z49" i="54"/>
  <c r="Z50" i="54" s="1"/>
  <c r="D60" i="45"/>
  <c r="U81" i="55" s="1"/>
  <c r="Q49" i="54"/>
  <c r="Q50" i="54" s="1"/>
  <c r="D51" i="45"/>
  <c r="L81" i="55" s="1"/>
  <c r="D50" i="45"/>
  <c r="K81" i="55" s="1"/>
  <c r="G49" i="54"/>
  <c r="G50" i="54" s="1"/>
  <c r="M54" i="45"/>
  <c r="O60" i="55" s="1"/>
  <c r="M73" i="45"/>
  <c r="AH60" i="55" s="1"/>
  <c r="M61" i="45"/>
  <c r="V60" i="55" s="1"/>
  <c r="M63" i="45"/>
  <c r="X60" i="55" s="1"/>
  <c r="T43" i="54"/>
  <c r="T44" i="54" s="1"/>
  <c r="J50" i="45"/>
  <c r="K39" i="55" s="1"/>
  <c r="J58" i="45"/>
  <c r="S39" i="55" s="1"/>
  <c r="O40" i="54"/>
  <c r="O41" i="54" s="1"/>
  <c r="J60" i="45"/>
  <c r="U39" i="55" s="1"/>
  <c r="Q40" i="54"/>
  <c r="Q41" i="54" s="1"/>
  <c r="J68" i="45"/>
  <c r="AC39" i="55" s="1"/>
  <c r="Y40" i="54"/>
  <c r="Y41" i="54" s="1"/>
  <c r="M74" i="45"/>
  <c r="AI60" i="55" s="1"/>
  <c r="J70" i="45"/>
  <c r="AE39" i="55" s="1"/>
  <c r="AA40" i="54"/>
  <c r="AA41" i="54" s="1"/>
  <c r="J59" i="45"/>
  <c r="T39" i="55" s="1"/>
  <c r="P40" i="54"/>
  <c r="P41" i="54" s="1"/>
  <c r="M71" i="45"/>
  <c r="AF60" i="55" s="1"/>
  <c r="AB43" i="54"/>
  <c r="AB44" i="54" s="1"/>
  <c r="M51" i="45"/>
  <c r="L60" i="55" s="1"/>
  <c r="H43" i="54"/>
  <c r="H44" i="54" s="1"/>
  <c r="C103" i="64"/>
  <c r="C102" i="64"/>
  <c r="C101" i="64"/>
  <c r="C100" i="64"/>
  <c r="C99" i="64"/>
  <c r="C98" i="64"/>
  <c r="C97" i="64"/>
  <c r="C96" i="64"/>
  <c r="C120" i="64"/>
  <c r="C119" i="64"/>
  <c r="C118" i="64"/>
  <c r="C117" i="64"/>
  <c r="C116" i="64"/>
  <c r="C115" i="64"/>
  <c r="C114" i="64"/>
  <c r="C113" i="64"/>
  <c r="D23" i="66"/>
  <c r="E23" i="66"/>
  <c r="F23" i="66"/>
  <c r="G23" i="66"/>
  <c r="H23" i="66"/>
  <c r="I23" i="66"/>
  <c r="J23" i="66"/>
  <c r="K23" i="66"/>
  <c r="L23" i="66"/>
  <c r="M23" i="66"/>
  <c r="N23" i="66"/>
  <c r="O23" i="66"/>
  <c r="P23" i="66"/>
  <c r="Q23" i="66"/>
  <c r="R23" i="66"/>
  <c r="S23" i="66"/>
  <c r="T23" i="66"/>
  <c r="U23" i="66"/>
  <c r="V23" i="66"/>
  <c r="W23" i="66"/>
  <c r="X23" i="66"/>
  <c r="Y23" i="66"/>
  <c r="Z23" i="66"/>
  <c r="AA23" i="66"/>
  <c r="AB23" i="66"/>
  <c r="AC23" i="66"/>
  <c r="AD23" i="66"/>
  <c r="C23" i="66"/>
  <c r="D17" i="66"/>
  <c r="E17" i="66"/>
  <c r="F17" i="66"/>
  <c r="G17" i="66"/>
  <c r="H17" i="66"/>
  <c r="I17" i="66"/>
  <c r="J17" i="66"/>
  <c r="K17" i="66"/>
  <c r="L17" i="66"/>
  <c r="M17" i="66"/>
  <c r="N17" i="66"/>
  <c r="O17" i="66"/>
  <c r="P17" i="66"/>
  <c r="Q17" i="66"/>
  <c r="R17" i="66"/>
  <c r="S17" i="66"/>
  <c r="T17" i="66"/>
  <c r="U17" i="66"/>
  <c r="V17" i="66"/>
  <c r="W17" i="66"/>
  <c r="X17" i="66"/>
  <c r="Y17" i="66"/>
  <c r="Z17" i="66"/>
  <c r="AA17" i="66"/>
  <c r="AB17" i="66"/>
  <c r="AC17" i="66"/>
  <c r="AD17" i="66"/>
  <c r="C17" i="66"/>
  <c r="AP15" i="64"/>
  <c r="B104" i="64" s="1"/>
  <c r="AP14" i="64"/>
  <c r="B87" i="64" s="1"/>
  <c r="AP13" i="64"/>
  <c r="B70" i="64" s="1"/>
  <c r="AO15" i="64"/>
  <c r="A104" i="64" s="1"/>
  <c r="AO14" i="64"/>
  <c r="A87" i="64" s="1"/>
  <c r="AO13" i="64"/>
  <c r="A70" i="64" s="1"/>
  <c r="C86" i="64"/>
  <c r="C85" i="64"/>
  <c r="C84" i="64"/>
  <c r="C83" i="64"/>
  <c r="C82" i="64"/>
  <c r="C81" i="64"/>
  <c r="C80" i="64"/>
  <c r="C79" i="64"/>
  <c r="D11" i="66"/>
  <c r="E11" i="66"/>
  <c r="F11" i="66"/>
  <c r="G11" i="66"/>
  <c r="H11" i="66"/>
  <c r="I11" i="66"/>
  <c r="J11" i="66"/>
  <c r="K11" i="66"/>
  <c r="L11" i="66"/>
  <c r="M11" i="66"/>
  <c r="N11" i="66"/>
  <c r="O11" i="66"/>
  <c r="P11" i="66"/>
  <c r="Q11" i="66"/>
  <c r="R11" i="66"/>
  <c r="S11" i="66"/>
  <c r="T11" i="66"/>
  <c r="U11" i="66"/>
  <c r="V11" i="66"/>
  <c r="W11" i="66"/>
  <c r="X11" i="66"/>
  <c r="Y11" i="66"/>
  <c r="Z11" i="66"/>
  <c r="AA11" i="66"/>
  <c r="AB11" i="66"/>
  <c r="AC11" i="66"/>
  <c r="AD11" i="66"/>
  <c r="C11" i="66"/>
  <c r="R43" i="54" l="1"/>
  <c r="R44" i="54" s="1"/>
  <c r="R46" i="54"/>
  <c r="R47" i="54" s="1"/>
  <c r="Y242" i="58"/>
  <c r="T94" i="58"/>
  <c r="W94" i="58"/>
  <c r="AH242" i="58"/>
  <c r="Z242" i="58"/>
  <c r="U94" i="58"/>
  <c r="AA242" i="58"/>
  <c r="V94" i="58"/>
  <c r="AB242" i="58"/>
  <c r="AC94" i="58"/>
  <c r="AC242" i="58"/>
  <c r="X94" i="58"/>
  <c r="AB94" i="58"/>
  <c r="AD242" i="58"/>
  <c r="Y94" i="58"/>
  <c r="M242" i="58"/>
  <c r="AE242" i="58"/>
  <c r="Z94" i="58"/>
  <c r="AG242" i="58"/>
  <c r="L242" i="58"/>
  <c r="AF242" i="58"/>
  <c r="AA94" i="58"/>
  <c r="O242" i="58"/>
  <c r="AI242" i="58"/>
  <c r="AD94" i="58"/>
  <c r="S242" i="58"/>
  <c r="P242" i="58"/>
  <c r="AJ242" i="58"/>
  <c r="AE94" i="58"/>
  <c r="Q242" i="58"/>
  <c r="AK242" i="58"/>
  <c r="L94" i="58"/>
  <c r="AF94" i="58"/>
  <c r="K242" i="58"/>
  <c r="AH94" i="58"/>
  <c r="R242" i="58"/>
  <c r="AL242" i="58"/>
  <c r="M94" i="58"/>
  <c r="AG94" i="58"/>
  <c r="N94" i="58"/>
  <c r="N242" i="58"/>
  <c r="T242" i="58"/>
  <c r="O94" i="58"/>
  <c r="AI94" i="58"/>
  <c r="U242" i="58"/>
  <c r="P94" i="58"/>
  <c r="AJ94" i="58"/>
  <c r="V242" i="58"/>
  <c r="Q94" i="58"/>
  <c r="AK94" i="58"/>
  <c r="W242" i="58"/>
  <c r="R94" i="58"/>
  <c r="AL94" i="58"/>
  <c r="X242" i="58"/>
  <c r="S94" i="58"/>
  <c r="K94" i="58"/>
  <c r="L69" i="73"/>
  <c r="M69" i="73"/>
  <c r="N69" i="73"/>
  <c r="O69" i="73"/>
  <c r="P69" i="73"/>
  <c r="Q69" i="73"/>
  <c r="R69" i="73"/>
  <c r="S69" i="73"/>
  <c r="T69" i="73"/>
  <c r="U69" i="73"/>
  <c r="V69" i="73"/>
  <c r="W69" i="73"/>
  <c r="X69" i="73"/>
  <c r="Y69" i="73"/>
  <c r="Z69" i="73"/>
  <c r="AA69" i="73"/>
  <c r="AB69" i="73"/>
  <c r="AC69" i="73"/>
  <c r="AD69" i="73"/>
  <c r="AE69" i="73"/>
  <c r="AF69" i="73"/>
  <c r="AG69" i="73"/>
  <c r="AH69" i="73"/>
  <c r="AI69" i="73"/>
  <c r="AJ69" i="73"/>
  <c r="AK69" i="73"/>
  <c r="AL69" i="73"/>
  <c r="K69" i="73"/>
  <c r="AL61" i="73"/>
  <c r="AK61" i="73"/>
  <c r="AJ61" i="73"/>
  <c r="AI61" i="73"/>
  <c r="AH61" i="73"/>
  <c r="AG61" i="73"/>
  <c r="AF61" i="73"/>
  <c r="AE61" i="73"/>
  <c r="AD61" i="73"/>
  <c r="AC61" i="73"/>
  <c r="AB61" i="73"/>
  <c r="AA61" i="73"/>
  <c r="Z61" i="73"/>
  <c r="Y61" i="73"/>
  <c r="X61" i="73"/>
  <c r="W61" i="73"/>
  <c r="V61" i="73"/>
  <c r="U61" i="73"/>
  <c r="T61" i="73"/>
  <c r="S61" i="73"/>
  <c r="R61" i="73"/>
  <c r="Q61" i="73"/>
  <c r="P61" i="73"/>
  <c r="O61" i="73"/>
  <c r="N61" i="73"/>
  <c r="M61" i="73"/>
  <c r="L61" i="73"/>
  <c r="K61" i="73"/>
  <c r="B60" i="73"/>
  <c r="L57" i="73"/>
  <c r="M57" i="73"/>
  <c r="N57" i="73"/>
  <c r="O57" i="73"/>
  <c r="P57" i="73"/>
  <c r="Q57" i="73"/>
  <c r="R57" i="73"/>
  <c r="S57" i="73"/>
  <c r="T57" i="73"/>
  <c r="U57" i="73"/>
  <c r="V57" i="73"/>
  <c r="W57" i="73"/>
  <c r="X57" i="73"/>
  <c r="Y57" i="73"/>
  <c r="Z57" i="73"/>
  <c r="AA57" i="73"/>
  <c r="AB57" i="73"/>
  <c r="AC57" i="73"/>
  <c r="AD57" i="73"/>
  <c r="AE57" i="73"/>
  <c r="AF57" i="73"/>
  <c r="AG57" i="73"/>
  <c r="AH57" i="73"/>
  <c r="AI57" i="73"/>
  <c r="AJ57" i="73"/>
  <c r="AK57" i="73"/>
  <c r="AL57" i="73"/>
  <c r="C59" i="73"/>
  <c r="C58" i="73"/>
  <c r="D54" i="73"/>
  <c r="AL49" i="73"/>
  <c r="AK49" i="73"/>
  <c r="AJ49" i="73"/>
  <c r="AI49" i="73"/>
  <c r="AH49" i="73"/>
  <c r="AG49" i="73"/>
  <c r="AF49" i="73"/>
  <c r="AE49" i="73"/>
  <c r="AD49" i="73"/>
  <c r="AC49" i="73"/>
  <c r="AB49" i="73"/>
  <c r="AA49" i="73"/>
  <c r="Z49" i="73"/>
  <c r="Y49" i="73"/>
  <c r="X49" i="73"/>
  <c r="W49" i="73"/>
  <c r="V49" i="73"/>
  <c r="U49" i="73"/>
  <c r="T49" i="73"/>
  <c r="S49" i="73"/>
  <c r="R49" i="73"/>
  <c r="Q49" i="73"/>
  <c r="P49" i="73"/>
  <c r="O49" i="73"/>
  <c r="N49" i="73"/>
  <c r="M49" i="73"/>
  <c r="L49" i="73"/>
  <c r="K49" i="73"/>
  <c r="B48" i="73"/>
  <c r="AO13" i="73"/>
  <c r="A60" i="73" s="1"/>
  <c r="AO12" i="73"/>
  <c r="A48" i="73" s="1"/>
  <c r="AO11" i="73"/>
  <c r="AO10" i="73"/>
  <c r="D23" i="73" l="1"/>
  <c r="C28" i="73"/>
  <c r="AL30" i="73"/>
  <c r="AK30" i="73"/>
  <c r="AJ30" i="73"/>
  <c r="AI30" i="73"/>
  <c r="AH30" i="73"/>
  <c r="AG30" i="73"/>
  <c r="AF30" i="73"/>
  <c r="AE30" i="73"/>
  <c r="AD30" i="73"/>
  <c r="AC30" i="73"/>
  <c r="AB30" i="73"/>
  <c r="AA30" i="73"/>
  <c r="Z30" i="73"/>
  <c r="Y30" i="73"/>
  <c r="X30" i="73"/>
  <c r="W30" i="73"/>
  <c r="V30" i="73"/>
  <c r="U30" i="73"/>
  <c r="T30" i="73"/>
  <c r="S30" i="73"/>
  <c r="R30" i="73"/>
  <c r="Q30" i="73"/>
  <c r="P30" i="73"/>
  <c r="O30" i="73"/>
  <c r="N30" i="73"/>
  <c r="M30" i="73"/>
  <c r="L30" i="73"/>
  <c r="K30" i="73"/>
  <c r="AL11" i="73"/>
  <c r="AK11" i="73"/>
  <c r="AJ11" i="73"/>
  <c r="AI11" i="73"/>
  <c r="AH11" i="73"/>
  <c r="AG11" i="73"/>
  <c r="AF11" i="73"/>
  <c r="AE11" i="73"/>
  <c r="AD11" i="73"/>
  <c r="AC11" i="73"/>
  <c r="AB11" i="73"/>
  <c r="AA11" i="73"/>
  <c r="Z11" i="73"/>
  <c r="Y11" i="73"/>
  <c r="X11" i="73"/>
  <c r="W11" i="73"/>
  <c r="V11" i="73"/>
  <c r="U11" i="73"/>
  <c r="T11" i="73"/>
  <c r="S11" i="73"/>
  <c r="R11" i="73"/>
  <c r="Q11" i="73"/>
  <c r="P11" i="73"/>
  <c r="O11" i="73"/>
  <c r="N11" i="73"/>
  <c r="M11" i="73"/>
  <c r="L11" i="73"/>
  <c r="K11" i="73"/>
  <c r="C46" i="73" l="1"/>
  <c r="B29" i="73"/>
  <c r="A29" i="73"/>
  <c r="A10" i="73"/>
  <c r="B10" i="73"/>
  <c r="B2" i="73"/>
  <c r="C27" i="73"/>
  <c r="E213" i="71"/>
  <c r="D213" i="71"/>
  <c r="H3" i="68"/>
  <c r="H108" i="68"/>
  <c r="H107" i="68"/>
  <c r="H106" i="68"/>
  <c r="H105" i="68"/>
  <c r="H104" i="68"/>
  <c r="H103" i="68"/>
  <c r="H102" i="68"/>
  <c r="H101" i="68"/>
  <c r="H100" i="68"/>
  <c r="H99" i="68"/>
  <c r="H98" i="68"/>
  <c r="H97" i="68"/>
  <c r="H96" i="68"/>
  <c r="H95" i="68"/>
  <c r="H94" i="68"/>
  <c r="H93" i="68"/>
  <c r="H92" i="68"/>
  <c r="H91" i="68"/>
  <c r="H90" i="68"/>
  <c r="H89" i="68"/>
  <c r="H88" i="68"/>
  <c r="H87" i="68"/>
  <c r="H86" i="68"/>
  <c r="H85" i="68"/>
  <c r="H84" i="68"/>
  <c r="H83" i="68"/>
  <c r="H82" i="68"/>
  <c r="H81" i="68"/>
  <c r="H80" i="68"/>
  <c r="H79" i="68"/>
  <c r="H78" i="68"/>
  <c r="H77" i="68"/>
  <c r="H76" i="68"/>
  <c r="H75" i="68"/>
  <c r="H74" i="68"/>
  <c r="H73" i="68"/>
  <c r="H72" i="68"/>
  <c r="H71" i="68"/>
  <c r="H70" i="68"/>
  <c r="H69" i="68"/>
  <c r="H68" i="68"/>
  <c r="H67" i="68"/>
  <c r="H66" i="68"/>
  <c r="H65" i="68"/>
  <c r="H64" i="68"/>
  <c r="H63" i="68"/>
  <c r="H62" i="68"/>
  <c r="H61" i="68"/>
  <c r="H60" i="68"/>
  <c r="H59" i="68"/>
  <c r="H58" i="68"/>
  <c r="H57" i="68"/>
  <c r="H56" i="68"/>
  <c r="H55" i="68"/>
  <c r="H54" i="68"/>
  <c r="H53" i="68"/>
  <c r="H52" i="68"/>
  <c r="H51" i="68"/>
  <c r="H50" i="68"/>
  <c r="H49" i="68"/>
  <c r="H48" i="68"/>
  <c r="H47" i="68"/>
  <c r="H46" i="68"/>
  <c r="H45" i="68"/>
  <c r="H44" i="68"/>
  <c r="H43" i="68"/>
  <c r="H42" i="68"/>
  <c r="H41" i="68"/>
  <c r="H40" i="68"/>
  <c r="H39" i="68"/>
  <c r="H38" i="68"/>
  <c r="H37" i="68"/>
  <c r="H36" i="68"/>
  <c r="H35" i="68"/>
  <c r="H34" i="68"/>
  <c r="H33" i="68"/>
  <c r="H32" i="68"/>
  <c r="H31" i="68"/>
  <c r="H30" i="68"/>
  <c r="H29" i="68"/>
  <c r="H28" i="68"/>
  <c r="H27" i="68"/>
  <c r="H26" i="68"/>
  <c r="H25" i="68"/>
  <c r="H24" i="68"/>
  <c r="H23" i="68"/>
  <c r="H22" i="68"/>
  <c r="H21" i="68"/>
  <c r="H20" i="68"/>
  <c r="H19" i="68"/>
  <c r="H18" i="68"/>
  <c r="H17" i="68"/>
  <c r="H16" i="68"/>
  <c r="H15" i="68"/>
  <c r="H14" i="68"/>
  <c r="H13" i="68"/>
  <c r="H12" i="68"/>
  <c r="H11" i="68"/>
  <c r="H10" i="68"/>
  <c r="H9" i="68"/>
  <c r="H8" i="68"/>
  <c r="H7" i="68"/>
  <c r="H6" i="68"/>
  <c r="H5" i="68"/>
  <c r="H4" i="68"/>
  <c r="H4" i="69"/>
  <c r="H5" i="69"/>
  <c r="H6" i="69"/>
  <c r="H7" i="69"/>
  <c r="H8" i="69"/>
  <c r="H9" i="69"/>
  <c r="H10" i="69"/>
  <c r="H11" i="69"/>
  <c r="H12" i="69"/>
  <c r="H13" i="69"/>
  <c r="H14" i="69"/>
  <c r="H15" i="69"/>
  <c r="H16" i="69"/>
  <c r="H17" i="69"/>
  <c r="H18" i="69"/>
  <c r="H19" i="69"/>
  <c r="H20" i="69"/>
  <c r="H21" i="69"/>
  <c r="H22" i="69"/>
  <c r="H23" i="69"/>
  <c r="H24" i="69"/>
  <c r="H25" i="69"/>
  <c r="H26" i="69"/>
  <c r="H27" i="69"/>
  <c r="H28" i="69"/>
  <c r="H29" i="69"/>
  <c r="H30" i="69"/>
  <c r="H31" i="69"/>
  <c r="H32" i="69"/>
  <c r="H33" i="69"/>
  <c r="H34" i="69"/>
  <c r="H35" i="69"/>
  <c r="H36" i="69"/>
  <c r="H37" i="69"/>
  <c r="H38" i="69"/>
  <c r="H39" i="69"/>
  <c r="H40" i="69"/>
  <c r="H41" i="69"/>
  <c r="H42" i="69"/>
  <c r="H43" i="69"/>
  <c r="H44" i="69"/>
  <c r="H45" i="69"/>
  <c r="H46" i="69"/>
  <c r="H47" i="69"/>
  <c r="H48" i="69"/>
  <c r="H49" i="69"/>
  <c r="H50" i="69"/>
  <c r="H51" i="69"/>
  <c r="H52" i="69"/>
  <c r="H53" i="69"/>
  <c r="H54" i="69"/>
  <c r="H55" i="69"/>
  <c r="H56" i="69"/>
  <c r="H57" i="69"/>
  <c r="H58" i="69"/>
  <c r="H59" i="69"/>
  <c r="H60" i="69"/>
  <c r="H61" i="69"/>
  <c r="H62" i="69"/>
  <c r="H63" i="69"/>
  <c r="H64" i="69"/>
  <c r="H65" i="69"/>
  <c r="H66" i="69"/>
  <c r="H67" i="69"/>
  <c r="H68" i="69"/>
  <c r="H69" i="69"/>
  <c r="H70" i="69"/>
  <c r="H71" i="69"/>
  <c r="H72" i="69"/>
  <c r="H73" i="69"/>
  <c r="H74" i="69"/>
  <c r="H75" i="69"/>
  <c r="H76" i="69"/>
  <c r="H77" i="69"/>
  <c r="H78" i="69"/>
  <c r="H79" i="69"/>
  <c r="H80" i="69"/>
  <c r="H81" i="69"/>
  <c r="H82" i="69"/>
  <c r="H83" i="69"/>
  <c r="H84" i="69"/>
  <c r="H85" i="69"/>
  <c r="H86" i="69"/>
  <c r="H87" i="69"/>
  <c r="H88" i="69"/>
  <c r="H89" i="69"/>
  <c r="H90" i="69"/>
  <c r="H91" i="69"/>
  <c r="H92" i="69"/>
  <c r="H93" i="69"/>
  <c r="H94" i="69"/>
  <c r="H95" i="69"/>
  <c r="H96" i="69"/>
  <c r="H97" i="69"/>
  <c r="H98" i="69"/>
  <c r="H99" i="69"/>
  <c r="H100" i="69"/>
  <c r="H101" i="69"/>
  <c r="H102" i="69"/>
  <c r="H103" i="69"/>
  <c r="H104" i="69"/>
  <c r="H105" i="69"/>
  <c r="H106" i="69"/>
  <c r="H107" i="69"/>
  <c r="H108" i="69"/>
  <c r="H109" i="69"/>
  <c r="H110" i="69"/>
  <c r="H111" i="69"/>
  <c r="H112" i="69"/>
  <c r="H113" i="69"/>
  <c r="H114" i="69"/>
  <c r="H115" i="69"/>
  <c r="H116" i="69"/>
  <c r="H117" i="69"/>
  <c r="H118" i="69"/>
  <c r="H119" i="69"/>
  <c r="H120" i="69"/>
  <c r="H121" i="69"/>
  <c r="H122" i="69"/>
  <c r="H123" i="69"/>
  <c r="H124" i="69"/>
  <c r="H125" i="69"/>
  <c r="H126" i="69"/>
  <c r="H127" i="69"/>
  <c r="H128" i="69"/>
  <c r="H129" i="69"/>
  <c r="H130" i="69"/>
  <c r="H131" i="69"/>
  <c r="H132" i="69"/>
  <c r="H133" i="69"/>
  <c r="H134" i="69"/>
  <c r="H135" i="69"/>
  <c r="H136" i="69"/>
  <c r="H137" i="69"/>
  <c r="H138" i="69"/>
  <c r="H139" i="69"/>
  <c r="H140" i="69"/>
  <c r="H141" i="69"/>
  <c r="H142" i="69"/>
  <c r="H143" i="69"/>
  <c r="H3" i="69"/>
  <c r="D3" i="70"/>
  <c r="E3" i="70"/>
  <c r="F3" i="70"/>
  <c r="G3" i="70"/>
  <c r="H3" i="70"/>
  <c r="I3" i="70"/>
  <c r="J3" i="70"/>
  <c r="K3" i="70"/>
  <c r="L3" i="70"/>
  <c r="M3" i="70"/>
  <c r="N3" i="70"/>
  <c r="O3" i="70"/>
  <c r="P3" i="70"/>
  <c r="Q3" i="70"/>
  <c r="R3" i="70"/>
  <c r="S3" i="70"/>
  <c r="T3" i="70"/>
  <c r="U3" i="70"/>
  <c r="V3" i="70"/>
  <c r="C3" i="70"/>
  <c r="A5" i="70"/>
  <c r="A6" i="70"/>
  <c r="A7" i="70"/>
  <c r="A8" i="70"/>
  <c r="A9" i="70"/>
  <c r="A10" i="70"/>
  <c r="A11" i="70"/>
  <c r="A12" i="70"/>
  <c r="A13" i="70"/>
  <c r="A14" i="70"/>
  <c r="A15" i="70"/>
  <c r="A16" i="70"/>
  <c r="A17" i="70"/>
  <c r="A18" i="70"/>
  <c r="A19" i="70"/>
  <c r="A20" i="70"/>
  <c r="A21" i="70"/>
  <c r="A22" i="70"/>
  <c r="A23" i="70"/>
  <c r="A24" i="70"/>
  <c r="A25" i="70"/>
  <c r="A26" i="70"/>
  <c r="A27" i="70"/>
  <c r="A28" i="70"/>
  <c r="A29" i="70"/>
  <c r="A30" i="70"/>
  <c r="A31" i="70"/>
  <c r="A32" i="70"/>
  <c r="A33" i="70"/>
  <c r="A34" i="70"/>
  <c r="A35" i="70"/>
  <c r="A36" i="70"/>
  <c r="A37" i="70"/>
  <c r="A38" i="70"/>
  <c r="A39" i="70"/>
  <c r="A40" i="70"/>
  <c r="A41" i="70"/>
  <c r="A42" i="70"/>
  <c r="A43" i="70"/>
  <c r="A44" i="70"/>
  <c r="A45" i="70"/>
  <c r="A46" i="70"/>
  <c r="P52" i="36"/>
  <c r="D19" i="63"/>
  <c r="AO12" i="58"/>
  <c r="AP12" i="58"/>
  <c r="B65" i="53"/>
  <c r="S63" i="73" l="1"/>
  <c r="K63" i="73"/>
  <c r="O39" i="73"/>
  <c r="AI39" i="73"/>
  <c r="T63" i="73"/>
  <c r="P39" i="73"/>
  <c r="AJ39" i="73"/>
  <c r="U63" i="73"/>
  <c r="Q39" i="73"/>
  <c r="AK39" i="73"/>
  <c r="V63" i="73"/>
  <c r="R39" i="73"/>
  <c r="AL39" i="73"/>
  <c r="W63" i="73"/>
  <c r="S39" i="73"/>
  <c r="K39" i="73"/>
  <c r="X63" i="73"/>
  <c r="T39" i="73"/>
  <c r="Y63" i="73"/>
  <c r="U39" i="73"/>
  <c r="X39" i="73"/>
  <c r="Z63" i="73"/>
  <c r="V39" i="73"/>
  <c r="AC63" i="73"/>
  <c r="AA63" i="73"/>
  <c r="W39" i="73"/>
  <c r="AB63" i="73"/>
  <c r="Y39" i="73"/>
  <c r="AD63" i="73"/>
  <c r="Z39" i="73"/>
  <c r="AE63" i="73"/>
  <c r="AA39" i="73"/>
  <c r="AE39" i="73"/>
  <c r="L63" i="73"/>
  <c r="AF63" i="73"/>
  <c r="AB39" i="73"/>
  <c r="AJ63" i="73"/>
  <c r="M63" i="73"/>
  <c r="AG63" i="73"/>
  <c r="AC39" i="73"/>
  <c r="O63" i="73"/>
  <c r="P63" i="73"/>
  <c r="N63" i="73"/>
  <c r="AH63" i="73"/>
  <c r="AD39" i="73"/>
  <c r="AI63" i="73"/>
  <c r="L39" i="73"/>
  <c r="AF39" i="73"/>
  <c r="Q63" i="73"/>
  <c r="AK63" i="73"/>
  <c r="M39" i="73"/>
  <c r="AG39" i="73"/>
  <c r="R63" i="73"/>
  <c r="AL63" i="73"/>
  <c r="N39" i="73"/>
  <c r="AH39" i="73"/>
  <c r="AE51" i="73"/>
  <c r="W20" i="73"/>
  <c r="AH51" i="73"/>
  <c r="L51" i="73"/>
  <c r="AF51" i="73"/>
  <c r="X20" i="73"/>
  <c r="N51" i="73"/>
  <c r="M51" i="73"/>
  <c r="AG51" i="73"/>
  <c r="Y20" i="73"/>
  <c r="Z20" i="73"/>
  <c r="O51" i="73"/>
  <c r="AI51" i="73"/>
  <c r="AA20" i="73"/>
  <c r="T51" i="73"/>
  <c r="L20" i="73"/>
  <c r="M20" i="73"/>
  <c r="P51" i="73"/>
  <c r="AJ51" i="73"/>
  <c r="AB20" i="73"/>
  <c r="Q51" i="73"/>
  <c r="AK51" i="73"/>
  <c r="AC20" i="73"/>
  <c r="U51" i="73"/>
  <c r="AG20" i="73"/>
  <c r="R51" i="73"/>
  <c r="AL51" i="73"/>
  <c r="AD20" i="73"/>
  <c r="AF20" i="73"/>
  <c r="S51" i="73"/>
  <c r="K51" i="73"/>
  <c r="AE20" i="73"/>
  <c r="V51" i="73"/>
  <c r="N20" i="73"/>
  <c r="AH20" i="73"/>
  <c r="S20" i="73"/>
  <c r="V20" i="73"/>
  <c r="W51" i="73"/>
  <c r="O20" i="73"/>
  <c r="AI20" i="73"/>
  <c r="AA51" i="73"/>
  <c r="X51" i="73"/>
  <c r="P20" i="73"/>
  <c r="AJ20" i="73"/>
  <c r="K20" i="73"/>
  <c r="Y51" i="73"/>
  <c r="Q20" i="73"/>
  <c r="AK20" i="73"/>
  <c r="Z51" i="73"/>
  <c r="R20" i="73"/>
  <c r="AL20" i="73"/>
  <c r="AB51" i="73"/>
  <c r="T20" i="73"/>
  <c r="AC51" i="73"/>
  <c r="U20" i="73"/>
  <c r="AD51" i="73"/>
  <c r="H145" i="71"/>
  <c r="B75" i="71"/>
  <c r="G7" i="71" a="1"/>
  <c r="G7" i="71" s="1"/>
  <c r="B83" i="71"/>
  <c r="D101" i="71"/>
  <c r="E98" i="71"/>
  <c r="F95" i="71"/>
  <c r="G92" i="71"/>
  <c r="H89" i="71"/>
  <c r="I86" i="71"/>
  <c r="C84" i="71"/>
  <c r="D81" i="71"/>
  <c r="E78" i="71"/>
  <c r="F75" i="71"/>
  <c r="H169" i="71"/>
  <c r="D167" i="71"/>
  <c r="H164" i="71"/>
  <c r="D162" i="71"/>
  <c r="H159" i="71"/>
  <c r="D157" i="71"/>
  <c r="H154" i="71"/>
  <c r="D152" i="71"/>
  <c r="H149" i="71"/>
  <c r="D147" i="71"/>
  <c r="H144" i="71"/>
  <c r="B30" i="71" a="1"/>
  <c r="B30" i="71" s="1"/>
  <c r="B9" i="71" a="1"/>
  <c r="B9" i="71" s="1"/>
  <c r="K34" i="71" a="1"/>
  <c r="K34" i="71" s="1"/>
  <c r="R33" i="71" a="1"/>
  <c r="R33" i="71" s="1"/>
  <c r="Y32" i="71" a="1"/>
  <c r="Y32" i="71" s="1"/>
  <c r="E32" i="71" a="1"/>
  <c r="E32" i="71" s="1"/>
  <c r="L31" i="71" a="1"/>
  <c r="L31" i="71" s="1"/>
  <c r="S30" i="71" a="1"/>
  <c r="S30" i="71" s="1"/>
  <c r="Z29" i="71" a="1"/>
  <c r="Z29" i="71" s="1"/>
  <c r="F29" i="71" a="1"/>
  <c r="F29" i="71" s="1"/>
  <c r="M28" i="71" a="1"/>
  <c r="M28" i="71" s="1"/>
  <c r="T27" i="71" a="1"/>
  <c r="T27" i="71" s="1"/>
  <c r="AA26" i="71" a="1"/>
  <c r="AA26" i="71" s="1"/>
  <c r="G26" i="71" a="1"/>
  <c r="G26" i="71" s="1"/>
  <c r="N25" i="71" a="1"/>
  <c r="N25" i="71" s="1"/>
  <c r="U24" i="71" a="1"/>
  <c r="U24" i="71" s="1"/>
  <c r="AB23" i="71" a="1"/>
  <c r="AB23" i="71" s="1"/>
  <c r="H23" i="71" a="1"/>
  <c r="H23" i="71" s="1"/>
  <c r="O22" i="71" a="1"/>
  <c r="O22" i="71" s="1"/>
  <c r="V21" i="71" a="1"/>
  <c r="V21" i="71" s="1"/>
  <c r="AC20" i="71" a="1"/>
  <c r="AC20" i="71" s="1"/>
  <c r="I20" i="71" a="1"/>
  <c r="I20" i="71" s="1"/>
  <c r="P19" i="71" a="1"/>
  <c r="P19" i="71" s="1"/>
  <c r="W18" i="71" a="1"/>
  <c r="W18" i="71" s="1"/>
  <c r="C18" i="71" a="1"/>
  <c r="C18" i="71" s="1"/>
  <c r="J17" i="71" a="1"/>
  <c r="J17" i="71" s="1"/>
  <c r="Q16" i="71" a="1"/>
  <c r="Q16" i="71" s="1"/>
  <c r="X15" i="71" a="1"/>
  <c r="X15" i="71" s="1"/>
  <c r="D15" i="71" a="1"/>
  <c r="D15" i="71" s="1"/>
  <c r="K14" i="71" a="1"/>
  <c r="K14" i="71" s="1"/>
  <c r="R13" i="71" a="1"/>
  <c r="R13" i="71" s="1"/>
  <c r="Y12" i="71" a="1"/>
  <c r="Y12" i="71" s="1"/>
  <c r="E12" i="71" a="1"/>
  <c r="E12" i="71" s="1"/>
  <c r="L11" i="71" a="1"/>
  <c r="L11" i="71" s="1"/>
  <c r="T10" i="71" a="1"/>
  <c r="T10" i="71" s="1"/>
  <c r="AA9" i="71" a="1"/>
  <c r="AA9" i="71" s="1"/>
  <c r="G9" i="71" a="1"/>
  <c r="G9" i="71" s="1"/>
  <c r="N8" i="71" a="1"/>
  <c r="N8" i="71" s="1"/>
  <c r="S7" i="71" a="1"/>
  <c r="S7" i="71" s="1"/>
  <c r="B102" i="71"/>
  <c r="B82" i="71"/>
  <c r="C101" i="71"/>
  <c r="D98" i="71"/>
  <c r="E95" i="71"/>
  <c r="F92" i="71"/>
  <c r="G89" i="71"/>
  <c r="H86" i="71"/>
  <c r="I83" i="71"/>
  <c r="C81" i="71"/>
  <c r="D78" i="71"/>
  <c r="E75" i="71"/>
  <c r="G169" i="71"/>
  <c r="C167" i="71"/>
  <c r="G164" i="71"/>
  <c r="C162" i="71"/>
  <c r="G159" i="71"/>
  <c r="C157" i="71"/>
  <c r="G154" i="71"/>
  <c r="C152" i="71"/>
  <c r="G149" i="71"/>
  <c r="C147" i="71"/>
  <c r="G144" i="71"/>
  <c r="B29" i="71" a="1"/>
  <c r="B29" i="71" s="1"/>
  <c r="B8" i="71" a="1"/>
  <c r="B8" i="71" s="1"/>
  <c r="J34" i="71" a="1"/>
  <c r="J34" i="71" s="1"/>
  <c r="Q33" i="71" a="1"/>
  <c r="Q33" i="71" s="1"/>
  <c r="X32" i="71" a="1"/>
  <c r="X32" i="71" s="1"/>
  <c r="D32" i="71" a="1"/>
  <c r="D32" i="71" s="1"/>
  <c r="K31" i="71" a="1"/>
  <c r="K31" i="71" s="1"/>
  <c r="R30" i="71" a="1"/>
  <c r="R30" i="71" s="1"/>
  <c r="Y29" i="71" a="1"/>
  <c r="Y29" i="71" s="1"/>
  <c r="E29" i="71" a="1"/>
  <c r="E29" i="71" s="1"/>
  <c r="L28" i="71" a="1"/>
  <c r="L28" i="71" s="1"/>
  <c r="S27" i="71" a="1"/>
  <c r="S27" i="71" s="1"/>
  <c r="Z26" i="71" a="1"/>
  <c r="Z26" i="71" s="1"/>
  <c r="F26" i="71" a="1"/>
  <c r="F26" i="71" s="1"/>
  <c r="M25" i="71" a="1"/>
  <c r="M25" i="71" s="1"/>
  <c r="T24" i="71" a="1"/>
  <c r="T24" i="71" s="1"/>
  <c r="AA23" i="71" a="1"/>
  <c r="AA23" i="71" s="1"/>
  <c r="G23" i="71" a="1"/>
  <c r="G23" i="71" s="1"/>
  <c r="N22" i="71" a="1"/>
  <c r="N22" i="71" s="1"/>
  <c r="U21" i="71" a="1"/>
  <c r="U21" i="71" s="1"/>
  <c r="AB20" i="71" a="1"/>
  <c r="AB20" i="71" s="1"/>
  <c r="H20" i="71" a="1"/>
  <c r="H20" i="71" s="1"/>
  <c r="O19" i="71" a="1"/>
  <c r="O19" i="71" s="1"/>
  <c r="V18" i="71" a="1"/>
  <c r="V18" i="71" s="1"/>
  <c r="AC17" i="71" a="1"/>
  <c r="AC17" i="71" s="1"/>
  <c r="I17" i="71" a="1"/>
  <c r="I17" i="71" s="1"/>
  <c r="P16" i="71" a="1"/>
  <c r="P16" i="71" s="1"/>
  <c r="W15" i="71" a="1"/>
  <c r="W15" i="71" s="1"/>
  <c r="C15" i="71" a="1"/>
  <c r="C15" i="71" s="1"/>
  <c r="J14" i="71" a="1"/>
  <c r="J14" i="71" s="1"/>
  <c r="Q13" i="71" a="1"/>
  <c r="Q13" i="71" s="1"/>
  <c r="X12" i="71" a="1"/>
  <c r="X12" i="71" s="1"/>
  <c r="D12" i="71" a="1"/>
  <c r="D12" i="71" s="1"/>
  <c r="K11" i="71" a="1"/>
  <c r="K11" i="71" s="1"/>
  <c r="S10" i="71" a="1"/>
  <c r="S10" i="71" s="1"/>
  <c r="Z9" i="71" a="1"/>
  <c r="Z9" i="71" s="1"/>
  <c r="F9" i="71" a="1"/>
  <c r="F9" i="71" s="1"/>
  <c r="M8" i="71" a="1"/>
  <c r="M8" i="71" s="1"/>
  <c r="R7" i="71" a="1"/>
  <c r="R7" i="71" s="1"/>
  <c r="B101" i="71"/>
  <c r="B81" i="71"/>
  <c r="I100" i="71"/>
  <c r="C98" i="71"/>
  <c r="D95" i="71"/>
  <c r="E92" i="71"/>
  <c r="F89" i="71"/>
  <c r="G86" i="71"/>
  <c r="H83" i="71"/>
  <c r="I80" i="71"/>
  <c r="C78" i="71"/>
  <c r="D75" i="71"/>
  <c r="F169" i="71"/>
  <c r="B167" i="71"/>
  <c r="F164" i="71"/>
  <c r="B162" i="71"/>
  <c r="F159" i="71"/>
  <c r="B157" i="71"/>
  <c r="F154" i="71"/>
  <c r="B152" i="71"/>
  <c r="F149" i="71"/>
  <c r="B147" i="71"/>
  <c r="F144" i="71"/>
  <c r="B28" i="71" a="1"/>
  <c r="B28" i="71" s="1"/>
  <c r="AC34" i="71" a="1"/>
  <c r="AC34" i="71" s="1"/>
  <c r="I34" i="71" a="1"/>
  <c r="I34" i="71" s="1"/>
  <c r="P33" i="71" a="1"/>
  <c r="P33" i="71" s="1"/>
  <c r="W32" i="71" a="1"/>
  <c r="W32" i="71" s="1"/>
  <c r="C32" i="71" a="1"/>
  <c r="C32" i="71" s="1"/>
  <c r="J31" i="71" a="1"/>
  <c r="J31" i="71" s="1"/>
  <c r="Q30" i="71" a="1"/>
  <c r="Q30" i="71" s="1"/>
  <c r="X29" i="71" a="1"/>
  <c r="X29" i="71" s="1"/>
  <c r="D29" i="71" a="1"/>
  <c r="D29" i="71" s="1"/>
  <c r="K28" i="71" a="1"/>
  <c r="K28" i="71" s="1"/>
  <c r="R27" i="71" a="1"/>
  <c r="R27" i="71" s="1"/>
  <c r="Y26" i="71" a="1"/>
  <c r="Y26" i="71" s="1"/>
  <c r="E26" i="71" a="1"/>
  <c r="E26" i="71" s="1"/>
  <c r="L25" i="71" a="1"/>
  <c r="L25" i="71" s="1"/>
  <c r="S24" i="71" a="1"/>
  <c r="S24" i="71" s="1"/>
  <c r="Z23" i="71" a="1"/>
  <c r="Z23" i="71" s="1"/>
  <c r="F23" i="71" a="1"/>
  <c r="F23" i="71" s="1"/>
  <c r="M22" i="71" a="1"/>
  <c r="M22" i="71" s="1"/>
  <c r="T21" i="71" a="1"/>
  <c r="T21" i="71" s="1"/>
  <c r="AA20" i="71" a="1"/>
  <c r="AA20" i="71" s="1"/>
  <c r="G20" i="71" a="1"/>
  <c r="G20" i="71" s="1"/>
  <c r="N19" i="71" a="1"/>
  <c r="N19" i="71" s="1"/>
  <c r="U18" i="71" a="1"/>
  <c r="U18" i="71" s="1"/>
  <c r="AB17" i="71" a="1"/>
  <c r="AB17" i="71" s="1"/>
  <c r="H17" i="71" a="1"/>
  <c r="H17" i="71" s="1"/>
  <c r="O16" i="71" a="1"/>
  <c r="O16" i="71" s="1"/>
  <c r="V15" i="71" a="1"/>
  <c r="V15" i="71" s="1"/>
  <c r="AC14" i="71" a="1"/>
  <c r="AC14" i="71" s="1"/>
  <c r="I14" i="71" a="1"/>
  <c r="I14" i="71" s="1"/>
  <c r="P13" i="71" a="1"/>
  <c r="P13" i="71" s="1"/>
  <c r="W12" i="71" a="1"/>
  <c r="W12" i="71" s="1"/>
  <c r="C12" i="71" a="1"/>
  <c r="C12" i="71" s="1"/>
  <c r="J11" i="71" a="1"/>
  <c r="J11" i="71" s="1"/>
  <c r="R10" i="71" a="1"/>
  <c r="R10" i="71" s="1"/>
  <c r="Y9" i="71" a="1"/>
  <c r="Y9" i="71" s="1"/>
  <c r="E9" i="71" a="1"/>
  <c r="E9" i="71" s="1"/>
  <c r="L8" i="71" a="1"/>
  <c r="L8" i="71" s="1"/>
  <c r="Q7" i="71" a="1"/>
  <c r="Q7" i="71" s="1"/>
  <c r="B100" i="71"/>
  <c r="B80" i="71"/>
  <c r="H100" i="71"/>
  <c r="I97" i="71"/>
  <c r="C95" i="71"/>
  <c r="D92" i="71"/>
  <c r="E89" i="71"/>
  <c r="F86" i="71"/>
  <c r="G83" i="71"/>
  <c r="H80" i="71"/>
  <c r="I77" i="71"/>
  <c r="C75" i="71"/>
  <c r="E169" i="71"/>
  <c r="I166" i="71"/>
  <c r="E164" i="71"/>
  <c r="I161" i="71"/>
  <c r="E159" i="71"/>
  <c r="I156" i="71"/>
  <c r="E154" i="71"/>
  <c r="I151" i="71"/>
  <c r="E149" i="71"/>
  <c r="I146" i="71"/>
  <c r="E144" i="71"/>
  <c r="B27" i="71" a="1"/>
  <c r="B27" i="71" s="1"/>
  <c r="AB34" i="71" a="1"/>
  <c r="AB34" i="71" s="1"/>
  <c r="H34" i="71" a="1"/>
  <c r="H34" i="71" s="1"/>
  <c r="O33" i="71" a="1"/>
  <c r="O33" i="71" s="1"/>
  <c r="V32" i="71" a="1"/>
  <c r="V32" i="71" s="1"/>
  <c r="AC31" i="71" a="1"/>
  <c r="AC31" i="71" s="1"/>
  <c r="I31" i="71" a="1"/>
  <c r="I31" i="71" s="1"/>
  <c r="P30" i="71" a="1"/>
  <c r="P30" i="71" s="1"/>
  <c r="W29" i="71" a="1"/>
  <c r="W29" i="71" s="1"/>
  <c r="C29" i="71" a="1"/>
  <c r="C29" i="71" s="1"/>
  <c r="J28" i="71" a="1"/>
  <c r="J28" i="71" s="1"/>
  <c r="Q27" i="71" a="1"/>
  <c r="Q27" i="71" s="1"/>
  <c r="X26" i="71" a="1"/>
  <c r="X26" i="71" s="1"/>
  <c r="D26" i="71" a="1"/>
  <c r="D26" i="71" s="1"/>
  <c r="K25" i="71" a="1"/>
  <c r="K25" i="71" s="1"/>
  <c r="R24" i="71" a="1"/>
  <c r="R24" i="71" s="1"/>
  <c r="Y23" i="71" a="1"/>
  <c r="Y23" i="71" s="1"/>
  <c r="E23" i="71" a="1"/>
  <c r="E23" i="71" s="1"/>
  <c r="L22" i="71" a="1"/>
  <c r="L22" i="71" s="1"/>
  <c r="S21" i="71" a="1"/>
  <c r="S21" i="71" s="1"/>
  <c r="Z20" i="71" a="1"/>
  <c r="Z20" i="71" s="1"/>
  <c r="F20" i="71" a="1"/>
  <c r="F20" i="71" s="1"/>
  <c r="M19" i="71" a="1"/>
  <c r="M19" i="71" s="1"/>
  <c r="T18" i="71" a="1"/>
  <c r="T18" i="71" s="1"/>
  <c r="AA17" i="71" a="1"/>
  <c r="AA17" i="71" s="1"/>
  <c r="G17" i="71" a="1"/>
  <c r="G17" i="71" s="1"/>
  <c r="N16" i="71" a="1"/>
  <c r="N16" i="71" s="1"/>
  <c r="U15" i="71" a="1"/>
  <c r="U15" i="71" s="1"/>
  <c r="AB14" i="71" a="1"/>
  <c r="AB14" i="71" s="1"/>
  <c r="H14" i="71" a="1"/>
  <c r="H14" i="71" s="1"/>
  <c r="O13" i="71" a="1"/>
  <c r="O13" i="71" s="1"/>
  <c r="V12" i="71" a="1"/>
  <c r="V12" i="71" s="1"/>
  <c r="AC11" i="71" a="1"/>
  <c r="AC11" i="71" s="1"/>
  <c r="I11" i="71" a="1"/>
  <c r="I11" i="71" s="1"/>
  <c r="Q10" i="71" a="1"/>
  <c r="Q10" i="71" s="1"/>
  <c r="X9" i="71" a="1"/>
  <c r="X9" i="71" s="1"/>
  <c r="D9" i="71" a="1"/>
  <c r="D9" i="71" s="1"/>
  <c r="K8" i="71" a="1"/>
  <c r="K8" i="71" s="1"/>
  <c r="P7" i="71" a="1"/>
  <c r="P7" i="71" s="1"/>
  <c r="B99" i="71"/>
  <c r="B79" i="71"/>
  <c r="G100" i="71"/>
  <c r="H97" i="71"/>
  <c r="I94" i="71"/>
  <c r="C92" i="71"/>
  <c r="D89" i="71"/>
  <c r="E86" i="71"/>
  <c r="F83" i="71"/>
  <c r="G80" i="71"/>
  <c r="H77" i="71"/>
  <c r="I143" i="71"/>
  <c r="D169" i="71"/>
  <c r="H166" i="71"/>
  <c r="D164" i="71"/>
  <c r="H161" i="71"/>
  <c r="D159" i="71"/>
  <c r="H156" i="71"/>
  <c r="D154" i="71"/>
  <c r="H151" i="71"/>
  <c r="D149" i="71"/>
  <c r="H146" i="71"/>
  <c r="D144" i="71"/>
  <c r="B26" i="71" a="1"/>
  <c r="B26" i="71" s="1"/>
  <c r="AA34" i="71" a="1"/>
  <c r="AA34" i="71" s="1"/>
  <c r="G34" i="71" a="1"/>
  <c r="G34" i="71" s="1"/>
  <c r="N33" i="71" a="1"/>
  <c r="N33" i="71" s="1"/>
  <c r="U32" i="71" a="1"/>
  <c r="U32" i="71" s="1"/>
  <c r="AB31" i="71" a="1"/>
  <c r="AB31" i="71" s="1"/>
  <c r="H31" i="71" a="1"/>
  <c r="H31" i="71" s="1"/>
  <c r="O30" i="71" a="1"/>
  <c r="O30" i="71" s="1"/>
  <c r="V29" i="71" a="1"/>
  <c r="V29" i="71" s="1"/>
  <c r="AC28" i="71" a="1"/>
  <c r="AC28" i="71" s="1"/>
  <c r="I28" i="71" a="1"/>
  <c r="I28" i="71" s="1"/>
  <c r="P27" i="71" a="1"/>
  <c r="P27" i="71" s="1"/>
  <c r="W26" i="71" a="1"/>
  <c r="W26" i="71" s="1"/>
  <c r="C26" i="71" a="1"/>
  <c r="C26" i="71" s="1"/>
  <c r="J25" i="71" a="1"/>
  <c r="J25" i="71" s="1"/>
  <c r="Q24" i="71" a="1"/>
  <c r="Q24" i="71" s="1"/>
  <c r="X23" i="71" a="1"/>
  <c r="X23" i="71" s="1"/>
  <c r="D23" i="71" a="1"/>
  <c r="D23" i="71" s="1"/>
  <c r="K22" i="71" a="1"/>
  <c r="K22" i="71" s="1"/>
  <c r="R21" i="71" a="1"/>
  <c r="R21" i="71" s="1"/>
  <c r="Y20" i="71" a="1"/>
  <c r="Y20" i="71" s="1"/>
  <c r="E20" i="71" a="1"/>
  <c r="E20" i="71" s="1"/>
  <c r="L19" i="71" a="1"/>
  <c r="L19" i="71" s="1"/>
  <c r="S18" i="71" a="1"/>
  <c r="S18" i="71" s="1"/>
  <c r="Z17" i="71" a="1"/>
  <c r="Z17" i="71" s="1"/>
  <c r="F17" i="71" a="1"/>
  <c r="F17" i="71" s="1"/>
  <c r="M16" i="71" a="1"/>
  <c r="M16" i="71" s="1"/>
  <c r="T15" i="71" a="1"/>
  <c r="T15" i="71" s="1"/>
  <c r="AA14" i="71" a="1"/>
  <c r="AA14" i="71" s="1"/>
  <c r="G14" i="71" a="1"/>
  <c r="G14" i="71" s="1"/>
  <c r="N13" i="71" a="1"/>
  <c r="N13" i="71" s="1"/>
  <c r="U12" i="71" a="1"/>
  <c r="U12" i="71" s="1"/>
  <c r="AB11" i="71" a="1"/>
  <c r="AB11" i="71" s="1"/>
  <c r="H11" i="71" a="1"/>
  <c r="H11" i="71" s="1"/>
  <c r="P10" i="71" a="1"/>
  <c r="P10" i="71" s="1"/>
  <c r="W9" i="71" a="1"/>
  <c r="W9" i="71" s="1"/>
  <c r="C9" i="71" a="1"/>
  <c r="C9" i="71" s="1"/>
  <c r="J8" i="71" a="1"/>
  <c r="J8" i="71" s="1"/>
  <c r="O7" i="71" a="1"/>
  <c r="O7" i="71" s="1"/>
  <c r="B98" i="71"/>
  <c r="B78" i="71"/>
  <c r="F100" i="71"/>
  <c r="G97" i="71"/>
  <c r="H94" i="71"/>
  <c r="I91" i="71"/>
  <c r="C89" i="71"/>
  <c r="D86" i="71"/>
  <c r="E83" i="71"/>
  <c r="F80" i="71"/>
  <c r="G77" i="71"/>
  <c r="H143" i="71"/>
  <c r="C169" i="71"/>
  <c r="G166" i="71"/>
  <c r="C164" i="71"/>
  <c r="G161" i="71"/>
  <c r="C159" i="71"/>
  <c r="G156" i="71"/>
  <c r="C154" i="71"/>
  <c r="G151" i="71"/>
  <c r="C149" i="71"/>
  <c r="G146" i="71"/>
  <c r="C144" i="71"/>
  <c r="B25" i="71" a="1"/>
  <c r="B25" i="71" s="1"/>
  <c r="Z34" i="71" a="1"/>
  <c r="Z34" i="71" s="1"/>
  <c r="F34" i="71" a="1"/>
  <c r="F34" i="71" s="1"/>
  <c r="M33" i="71" a="1"/>
  <c r="M33" i="71" s="1"/>
  <c r="T32" i="71" a="1"/>
  <c r="T32" i="71" s="1"/>
  <c r="AA31" i="71" a="1"/>
  <c r="AA31" i="71" s="1"/>
  <c r="G31" i="71" a="1"/>
  <c r="G31" i="71" s="1"/>
  <c r="N30" i="71" a="1"/>
  <c r="N30" i="71" s="1"/>
  <c r="U29" i="71" a="1"/>
  <c r="U29" i="71" s="1"/>
  <c r="AB28" i="71" a="1"/>
  <c r="AB28" i="71" s="1"/>
  <c r="H28" i="71" a="1"/>
  <c r="H28" i="71" s="1"/>
  <c r="O27" i="71" a="1"/>
  <c r="O27" i="71" s="1"/>
  <c r="V26" i="71" a="1"/>
  <c r="V26" i="71" s="1"/>
  <c r="AC25" i="71" a="1"/>
  <c r="AC25" i="71" s="1"/>
  <c r="I25" i="71" a="1"/>
  <c r="I25" i="71" s="1"/>
  <c r="P24" i="71" a="1"/>
  <c r="P24" i="71" s="1"/>
  <c r="W23" i="71" a="1"/>
  <c r="W23" i="71" s="1"/>
  <c r="C23" i="71" a="1"/>
  <c r="C23" i="71" s="1"/>
  <c r="J22" i="71" a="1"/>
  <c r="J22" i="71" s="1"/>
  <c r="Q21" i="71" a="1"/>
  <c r="Q21" i="71" s="1"/>
  <c r="X20" i="71" a="1"/>
  <c r="X20" i="71" s="1"/>
  <c r="D20" i="71" a="1"/>
  <c r="D20" i="71" s="1"/>
  <c r="K19" i="71" a="1"/>
  <c r="K19" i="71" s="1"/>
  <c r="R18" i="71" a="1"/>
  <c r="R18" i="71" s="1"/>
  <c r="Y17" i="71" a="1"/>
  <c r="Y17" i="71" s="1"/>
  <c r="E17" i="71" a="1"/>
  <c r="E17" i="71" s="1"/>
  <c r="L16" i="71" a="1"/>
  <c r="L16" i="71" s="1"/>
  <c r="S15" i="71" a="1"/>
  <c r="S15" i="71" s="1"/>
  <c r="Z14" i="71" a="1"/>
  <c r="Z14" i="71" s="1"/>
  <c r="F14" i="71" a="1"/>
  <c r="F14" i="71" s="1"/>
  <c r="M13" i="71" a="1"/>
  <c r="M13" i="71" s="1"/>
  <c r="T12" i="71" a="1"/>
  <c r="T12" i="71" s="1"/>
  <c r="AA11" i="71" a="1"/>
  <c r="AA11" i="71" s="1"/>
  <c r="G11" i="71" a="1"/>
  <c r="G11" i="71" s="1"/>
  <c r="O10" i="71" a="1"/>
  <c r="O10" i="71" s="1"/>
  <c r="V9" i="71" a="1"/>
  <c r="V9" i="71" s="1"/>
  <c r="AC8" i="71" a="1"/>
  <c r="AC8" i="71" s="1"/>
  <c r="I8" i="71" a="1"/>
  <c r="I8" i="71" s="1"/>
  <c r="N7" i="71" a="1"/>
  <c r="N7" i="71" s="1"/>
  <c r="B97" i="71"/>
  <c r="B77" i="71"/>
  <c r="E100" i="71"/>
  <c r="F97" i="71"/>
  <c r="G94" i="71"/>
  <c r="H91" i="71"/>
  <c r="I88" i="71"/>
  <c r="C86" i="71"/>
  <c r="D83" i="71"/>
  <c r="E80" i="71"/>
  <c r="F77" i="71"/>
  <c r="G143" i="71"/>
  <c r="B169" i="71"/>
  <c r="F166" i="71"/>
  <c r="B164" i="71"/>
  <c r="F161" i="71"/>
  <c r="B159" i="71"/>
  <c r="F156" i="71"/>
  <c r="B154" i="71"/>
  <c r="F151" i="71"/>
  <c r="B149" i="71"/>
  <c r="F146" i="71"/>
  <c r="B143" i="71"/>
  <c r="B24" i="71" a="1"/>
  <c r="B24" i="71" s="1"/>
  <c r="Y34" i="71" a="1"/>
  <c r="Y34" i="71" s="1"/>
  <c r="E34" i="71" a="1"/>
  <c r="E34" i="71" s="1"/>
  <c r="L33" i="71" a="1"/>
  <c r="L33" i="71" s="1"/>
  <c r="S32" i="71" a="1"/>
  <c r="S32" i="71" s="1"/>
  <c r="Z31" i="71" a="1"/>
  <c r="Z31" i="71" s="1"/>
  <c r="F31" i="71" a="1"/>
  <c r="F31" i="71" s="1"/>
  <c r="M30" i="71" a="1"/>
  <c r="M30" i="71" s="1"/>
  <c r="T29" i="71" a="1"/>
  <c r="T29" i="71" s="1"/>
  <c r="AA28" i="71" a="1"/>
  <c r="AA28" i="71" s="1"/>
  <c r="G28" i="71" a="1"/>
  <c r="G28" i="71" s="1"/>
  <c r="N27" i="71" a="1"/>
  <c r="N27" i="71" s="1"/>
  <c r="U26" i="71" a="1"/>
  <c r="U26" i="71" s="1"/>
  <c r="AB25" i="71" a="1"/>
  <c r="AB25" i="71" s="1"/>
  <c r="H25" i="71" a="1"/>
  <c r="H25" i="71" s="1"/>
  <c r="O24" i="71" a="1"/>
  <c r="O24" i="71" s="1"/>
  <c r="V23" i="71" a="1"/>
  <c r="V23" i="71" s="1"/>
  <c r="AC22" i="71" a="1"/>
  <c r="AC22" i="71" s="1"/>
  <c r="I22" i="71" a="1"/>
  <c r="I22" i="71" s="1"/>
  <c r="P21" i="71" a="1"/>
  <c r="P21" i="71" s="1"/>
  <c r="W20" i="71" a="1"/>
  <c r="W20" i="71" s="1"/>
  <c r="C20" i="71" a="1"/>
  <c r="C20" i="71" s="1"/>
  <c r="J19" i="71" a="1"/>
  <c r="J19" i="71" s="1"/>
  <c r="Q18" i="71" a="1"/>
  <c r="Q18" i="71" s="1"/>
  <c r="X17" i="71" a="1"/>
  <c r="X17" i="71" s="1"/>
  <c r="D17" i="71" a="1"/>
  <c r="D17" i="71" s="1"/>
  <c r="K16" i="71" a="1"/>
  <c r="K16" i="71" s="1"/>
  <c r="R15" i="71" a="1"/>
  <c r="R15" i="71" s="1"/>
  <c r="Y14" i="71" a="1"/>
  <c r="Y14" i="71" s="1"/>
  <c r="E14" i="71" a="1"/>
  <c r="E14" i="71" s="1"/>
  <c r="L13" i="71" a="1"/>
  <c r="L13" i="71" s="1"/>
  <c r="S12" i="71" a="1"/>
  <c r="S12" i="71" s="1"/>
  <c r="Z11" i="71" a="1"/>
  <c r="Z11" i="71" s="1"/>
  <c r="F11" i="71" a="1"/>
  <c r="F11" i="71" s="1"/>
  <c r="N10" i="71" a="1"/>
  <c r="N10" i="71" s="1"/>
  <c r="U9" i="71" a="1"/>
  <c r="U9" i="71" s="1"/>
  <c r="AB8" i="71" a="1"/>
  <c r="AB8" i="71" s="1"/>
  <c r="G8" i="71" a="1"/>
  <c r="G8" i="71" s="1"/>
  <c r="M7" i="71" a="1"/>
  <c r="M7" i="71" s="1"/>
  <c r="B96" i="71"/>
  <c r="B76" i="71"/>
  <c r="D100" i="71"/>
  <c r="E97" i="71"/>
  <c r="F94" i="71"/>
  <c r="G91" i="71"/>
  <c r="H88" i="71"/>
  <c r="I85" i="71"/>
  <c r="C83" i="71"/>
  <c r="D80" i="71"/>
  <c r="E77" i="71"/>
  <c r="F143" i="71"/>
  <c r="I168" i="71"/>
  <c r="E166" i="71"/>
  <c r="I163" i="71"/>
  <c r="E161" i="71"/>
  <c r="I158" i="71"/>
  <c r="E156" i="71"/>
  <c r="I153" i="71"/>
  <c r="E151" i="71"/>
  <c r="I148" i="71"/>
  <c r="E146" i="71"/>
  <c r="B23" i="71" a="1"/>
  <c r="B23" i="71" s="1"/>
  <c r="X34" i="71" a="1"/>
  <c r="X34" i="71" s="1"/>
  <c r="D34" i="71" a="1"/>
  <c r="D34" i="71" s="1"/>
  <c r="K33" i="71" a="1"/>
  <c r="K33" i="71" s="1"/>
  <c r="R32" i="71" a="1"/>
  <c r="R32" i="71" s="1"/>
  <c r="Y31" i="71" a="1"/>
  <c r="Y31" i="71" s="1"/>
  <c r="E31" i="71" a="1"/>
  <c r="E31" i="71" s="1"/>
  <c r="L30" i="71" a="1"/>
  <c r="L30" i="71" s="1"/>
  <c r="S29" i="71" a="1"/>
  <c r="S29" i="71" s="1"/>
  <c r="Z28" i="71" a="1"/>
  <c r="Z28" i="71" s="1"/>
  <c r="F28" i="71" a="1"/>
  <c r="F28" i="71" s="1"/>
  <c r="M27" i="71" a="1"/>
  <c r="M27" i="71" s="1"/>
  <c r="T26" i="71" a="1"/>
  <c r="T26" i="71" s="1"/>
  <c r="AA25" i="71" a="1"/>
  <c r="AA25" i="71" s="1"/>
  <c r="G25" i="71" a="1"/>
  <c r="G25" i="71" s="1"/>
  <c r="N24" i="71" a="1"/>
  <c r="N24" i="71" s="1"/>
  <c r="U23" i="71" a="1"/>
  <c r="U23" i="71" s="1"/>
  <c r="AB22" i="71" a="1"/>
  <c r="AB22" i="71" s="1"/>
  <c r="H22" i="71" a="1"/>
  <c r="H22" i="71" s="1"/>
  <c r="O21" i="71" a="1"/>
  <c r="O21" i="71" s="1"/>
  <c r="V20" i="71" a="1"/>
  <c r="V20" i="71" s="1"/>
  <c r="AC19" i="71" a="1"/>
  <c r="AC19" i="71" s="1"/>
  <c r="I19" i="71" a="1"/>
  <c r="I19" i="71" s="1"/>
  <c r="P18" i="71" a="1"/>
  <c r="P18" i="71" s="1"/>
  <c r="W17" i="71" a="1"/>
  <c r="W17" i="71" s="1"/>
  <c r="C17" i="71" a="1"/>
  <c r="C17" i="71" s="1"/>
  <c r="J16" i="71" a="1"/>
  <c r="J16" i="71" s="1"/>
  <c r="Q15" i="71" a="1"/>
  <c r="Q15" i="71" s="1"/>
  <c r="X14" i="71" a="1"/>
  <c r="X14" i="71" s="1"/>
  <c r="D14" i="71" a="1"/>
  <c r="D14" i="71" s="1"/>
  <c r="K13" i="71" a="1"/>
  <c r="K13" i="71" s="1"/>
  <c r="R12" i="71" a="1"/>
  <c r="R12" i="71" s="1"/>
  <c r="Y11" i="71" a="1"/>
  <c r="Y11" i="71" s="1"/>
  <c r="E11" i="71" a="1"/>
  <c r="E11" i="71" s="1"/>
  <c r="M10" i="71" a="1"/>
  <c r="M10" i="71" s="1"/>
  <c r="T9" i="71" a="1"/>
  <c r="T9" i="71" s="1"/>
  <c r="AA8" i="71" a="1"/>
  <c r="AA8" i="71" s="1"/>
  <c r="F8" i="71" a="1"/>
  <c r="F8" i="71" s="1"/>
  <c r="L7" i="71" a="1"/>
  <c r="L7" i="71" s="1"/>
  <c r="B95" i="71"/>
  <c r="I102" i="71"/>
  <c r="C100" i="71"/>
  <c r="D97" i="71"/>
  <c r="E94" i="71"/>
  <c r="F91" i="71"/>
  <c r="G88" i="71"/>
  <c r="H85" i="71"/>
  <c r="I82" i="71"/>
  <c r="C80" i="71"/>
  <c r="D77" i="71"/>
  <c r="E143" i="71"/>
  <c r="H168" i="71"/>
  <c r="D166" i="71"/>
  <c r="H163" i="71"/>
  <c r="D161" i="71"/>
  <c r="H158" i="71"/>
  <c r="D156" i="71"/>
  <c r="H153" i="71"/>
  <c r="D151" i="71"/>
  <c r="H148" i="71"/>
  <c r="D146" i="71"/>
  <c r="B22" i="71" a="1"/>
  <c r="B22" i="71" s="1"/>
  <c r="W34" i="71" a="1"/>
  <c r="W34" i="71" s="1"/>
  <c r="C34" i="71" a="1"/>
  <c r="C34" i="71" s="1"/>
  <c r="J33" i="71" a="1"/>
  <c r="J33" i="71" s="1"/>
  <c r="Q32" i="71" a="1"/>
  <c r="Q32" i="71" s="1"/>
  <c r="X31" i="71" a="1"/>
  <c r="X31" i="71" s="1"/>
  <c r="D31" i="71" a="1"/>
  <c r="D31" i="71" s="1"/>
  <c r="K30" i="71" a="1"/>
  <c r="K30" i="71" s="1"/>
  <c r="R29" i="71" a="1"/>
  <c r="R29" i="71" s="1"/>
  <c r="Y28" i="71" a="1"/>
  <c r="Y28" i="71" s="1"/>
  <c r="E28" i="71" a="1"/>
  <c r="E28" i="71" s="1"/>
  <c r="L27" i="71" a="1"/>
  <c r="L27" i="71" s="1"/>
  <c r="S26" i="71" a="1"/>
  <c r="S26" i="71" s="1"/>
  <c r="Z25" i="71" a="1"/>
  <c r="Z25" i="71" s="1"/>
  <c r="F25" i="71" a="1"/>
  <c r="F25" i="71" s="1"/>
  <c r="M24" i="71" a="1"/>
  <c r="M24" i="71" s="1"/>
  <c r="T23" i="71" a="1"/>
  <c r="T23" i="71" s="1"/>
  <c r="AA22" i="71" a="1"/>
  <c r="AA22" i="71" s="1"/>
  <c r="G22" i="71" a="1"/>
  <c r="G22" i="71" s="1"/>
  <c r="N21" i="71" a="1"/>
  <c r="N21" i="71" s="1"/>
  <c r="U20" i="71" a="1"/>
  <c r="U20" i="71" s="1"/>
  <c r="AB19" i="71" a="1"/>
  <c r="AB19" i="71" s="1"/>
  <c r="H19" i="71" a="1"/>
  <c r="H19" i="71" s="1"/>
  <c r="O18" i="71" a="1"/>
  <c r="O18" i="71" s="1"/>
  <c r="V17" i="71" a="1"/>
  <c r="V17" i="71" s="1"/>
  <c r="AC16" i="71" a="1"/>
  <c r="AC16" i="71" s="1"/>
  <c r="I16" i="71" a="1"/>
  <c r="I16" i="71" s="1"/>
  <c r="P15" i="71" a="1"/>
  <c r="P15" i="71" s="1"/>
  <c r="W14" i="71" a="1"/>
  <c r="W14" i="71" s="1"/>
  <c r="C14" i="71" a="1"/>
  <c r="C14" i="71" s="1"/>
  <c r="J13" i="71" a="1"/>
  <c r="J13" i="71" s="1"/>
  <c r="Q12" i="71" a="1"/>
  <c r="Q12" i="71" s="1"/>
  <c r="X11" i="71" a="1"/>
  <c r="X11" i="71" s="1"/>
  <c r="D11" i="71" a="1"/>
  <c r="D11" i="71" s="1"/>
  <c r="L10" i="71" a="1"/>
  <c r="L10" i="71" s="1"/>
  <c r="S9" i="71" a="1"/>
  <c r="S9" i="71" s="1"/>
  <c r="Z8" i="71" a="1"/>
  <c r="Z8" i="71" s="1"/>
  <c r="E8" i="71" a="1"/>
  <c r="E8" i="71" s="1"/>
  <c r="K7" i="71" a="1"/>
  <c r="K7" i="71" s="1"/>
  <c r="B94" i="71"/>
  <c r="H102" i="71"/>
  <c r="I99" i="71"/>
  <c r="C97" i="71"/>
  <c r="D94" i="71"/>
  <c r="E91" i="71"/>
  <c r="F88" i="71"/>
  <c r="G85" i="71"/>
  <c r="H82" i="71"/>
  <c r="I79" i="71"/>
  <c r="C77" i="71"/>
  <c r="D143" i="71"/>
  <c r="G168" i="71"/>
  <c r="C166" i="71"/>
  <c r="G163" i="71"/>
  <c r="C161" i="71"/>
  <c r="G158" i="71"/>
  <c r="C156" i="71"/>
  <c r="G153" i="71"/>
  <c r="C151" i="71"/>
  <c r="G148" i="71"/>
  <c r="C146" i="71"/>
  <c r="B21" i="71" a="1"/>
  <c r="B21" i="71" s="1"/>
  <c r="V34" i="71" a="1"/>
  <c r="V34" i="71" s="1"/>
  <c r="AC33" i="71" a="1"/>
  <c r="AC33" i="71" s="1"/>
  <c r="I33" i="71" a="1"/>
  <c r="I33" i="71" s="1"/>
  <c r="P32" i="71" a="1"/>
  <c r="P32" i="71" s="1"/>
  <c r="W31" i="71" a="1"/>
  <c r="W31" i="71" s="1"/>
  <c r="C31" i="71" a="1"/>
  <c r="C31" i="71" s="1"/>
  <c r="J30" i="71" a="1"/>
  <c r="J30" i="71" s="1"/>
  <c r="Q29" i="71" a="1"/>
  <c r="Q29" i="71" s="1"/>
  <c r="X28" i="71" a="1"/>
  <c r="X28" i="71" s="1"/>
  <c r="D28" i="71" a="1"/>
  <c r="D28" i="71" s="1"/>
  <c r="K27" i="71" a="1"/>
  <c r="K27" i="71" s="1"/>
  <c r="R26" i="71" a="1"/>
  <c r="R26" i="71" s="1"/>
  <c r="Y25" i="71" a="1"/>
  <c r="Y25" i="71" s="1"/>
  <c r="E25" i="71" a="1"/>
  <c r="E25" i="71" s="1"/>
  <c r="L24" i="71" a="1"/>
  <c r="L24" i="71" s="1"/>
  <c r="S23" i="71" a="1"/>
  <c r="S23" i="71" s="1"/>
  <c r="Z22" i="71" a="1"/>
  <c r="Z22" i="71" s="1"/>
  <c r="F22" i="71" a="1"/>
  <c r="F22" i="71" s="1"/>
  <c r="M21" i="71" a="1"/>
  <c r="M21" i="71" s="1"/>
  <c r="T20" i="71" a="1"/>
  <c r="T20" i="71" s="1"/>
  <c r="AA19" i="71" a="1"/>
  <c r="AA19" i="71" s="1"/>
  <c r="G19" i="71" a="1"/>
  <c r="G19" i="71" s="1"/>
  <c r="N18" i="71" a="1"/>
  <c r="N18" i="71" s="1"/>
  <c r="U17" i="71" a="1"/>
  <c r="U17" i="71" s="1"/>
  <c r="AB16" i="71" a="1"/>
  <c r="AB16" i="71" s="1"/>
  <c r="H16" i="71" a="1"/>
  <c r="H16" i="71" s="1"/>
  <c r="O15" i="71" a="1"/>
  <c r="O15" i="71" s="1"/>
  <c r="V14" i="71" a="1"/>
  <c r="V14" i="71" s="1"/>
  <c r="AC13" i="71" a="1"/>
  <c r="AC13" i="71" s="1"/>
  <c r="I13" i="71" a="1"/>
  <c r="I13" i="71" s="1"/>
  <c r="P12" i="71" a="1"/>
  <c r="P12" i="71" s="1"/>
  <c r="W11" i="71" a="1"/>
  <c r="W11" i="71" s="1"/>
  <c r="C11" i="71" a="1"/>
  <c r="C11" i="71" s="1"/>
  <c r="K10" i="71" a="1"/>
  <c r="K10" i="71" s="1"/>
  <c r="R9" i="71" a="1"/>
  <c r="R9" i="71" s="1"/>
  <c r="Y8" i="71" a="1"/>
  <c r="Y8" i="71" s="1"/>
  <c r="D8" i="71" a="1"/>
  <c r="D8" i="71" s="1"/>
  <c r="J7" i="71" a="1"/>
  <c r="J7" i="71" s="1"/>
  <c r="B93" i="71"/>
  <c r="G102" i="71"/>
  <c r="H99" i="71"/>
  <c r="I96" i="71"/>
  <c r="C94" i="71"/>
  <c r="D91" i="71"/>
  <c r="E88" i="71"/>
  <c r="F85" i="71"/>
  <c r="G82" i="71"/>
  <c r="H79" i="71"/>
  <c r="I76" i="71"/>
  <c r="C143" i="71"/>
  <c r="F168" i="71"/>
  <c r="B166" i="71"/>
  <c r="F163" i="71"/>
  <c r="B161" i="71"/>
  <c r="F158" i="71"/>
  <c r="B156" i="71"/>
  <c r="F153" i="71"/>
  <c r="B151" i="71"/>
  <c r="F148" i="71"/>
  <c r="B146" i="71"/>
  <c r="B20" i="71" a="1"/>
  <c r="B20" i="71" s="1"/>
  <c r="U34" i="71" a="1"/>
  <c r="U34" i="71" s="1"/>
  <c r="AB33" i="71" a="1"/>
  <c r="AB33" i="71" s="1"/>
  <c r="H33" i="71" a="1"/>
  <c r="H33" i="71" s="1"/>
  <c r="O32" i="71" a="1"/>
  <c r="O32" i="71" s="1"/>
  <c r="V31" i="71" a="1"/>
  <c r="V31" i="71" s="1"/>
  <c r="AC30" i="71" a="1"/>
  <c r="AC30" i="71" s="1"/>
  <c r="I30" i="71" a="1"/>
  <c r="I30" i="71" s="1"/>
  <c r="P29" i="71" a="1"/>
  <c r="P29" i="71" s="1"/>
  <c r="W28" i="71" a="1"/>
  <c r="W28" i="71" s="1"/>
  <c r="C28" i="71" a="1"/>
  <c r="C28" i="71" s="1"/>
  <c r="J27" i="71" a="1"/>
  <c r="J27" i="71" s="1"/>
  <c r="Q26" i="71" a="1"/>
  <c r="Q26" i="71" s="1"/>
  <c r="X25" i="71" a="1"/>
  <c r="X25" i="71" s="1"/>
  <c r="D25" i="71" a="1"/>
  <c r="D25" i="71" s="1"/>
  <c r="K24" i="71" a="1"/>
  <c r="K24" i="71" s="1"/>
  <c r="R23" i="71" a="1"/>
  <c r="R23" i="71" s="1"/>
  <c r="Y22" i="71" a="1"/>
  <c r="Y22" i="71" s="1"/>
  <c r="E22" i="71" a="1"/>
  <c r="E22" i="71" s="1"/>
  <c r="L21" i="71" a="1"/>
  <c r="L21" i="71" s="1"/>
  <c r="S20" i="71" a="1"/>
  <c r="S20" i="71" s="1"/>
  <c r="Z19" i="71" a="1"/>
  <c r="Z19" i="71" s="1"/>
  <c r="F19" i="71" a="1"/>
  <c r="F19" i="71" s="1"/>
  <c r="M18" i="71" a="1"/>
  <c r="M18" i="71" s="1"/>
  <c r="T17" i="71" a="1"/>
  <c r="T17" i="71" s="1"/>
  <c r="AA16" i="71" a="1"/>
  <c r="AA16" i="71" s="1"/>
  <c r="G16" i="71" a="1"/>
  <c r="G16" i="71" s="1"/>
  <c r="N15" i="71" a="1"/>
  <c r="N15" i="71" s="1"/>
  <c r="U14" i="71" a="1"/>
  <c r="U14" i="71" s="1"/>
  <c r="AB13" i="71" a="1"/>
  <c r="AB13" i="71" s="1"/>
  <c r="H13" i="71" a="1"/>
  <c r="H13" i="71" s="1"/>
  <c r="O12" i="71" a="1"/>
  <c r="O12" i="71" s="1"/>
  <c r="V11" i="71" a="1"/>
  <c r="V11" i="71" s="1"/>
  <c r="AC10" i="71" a="1"/>
  <c r="AC10" i="71" s="1"/>
  <c r="J10" i="71" a="1"/>
  <c r="J10" i="71" s="1"/>
  <c r="Q9" i="71" a="1"/>
  <c r="Q9" i="71" s="1"/>
  <c r="X8" i="71" a="1"/>
  <c r="X8" i="71" s="1"/>
  <c r="AC7" i="71" a="1"/>
  <c r="AC7" i="71" s="1"/>
  <c r="I7" i="71" a="1"/>
  <c r="I7" i="71" s="1"/>
  <c r="B92" i="71"/>
  <c r="F102" i="71"/>
  <c r="G99" i="71"/>
  <c r="H96" i="71"/>
  <c r="I93" i="71"/>
  <c r="C91" i="71"/>
  <c r="D88" i="71"/>
  <c r="E85" i="71"/>
  <c r="F82" i="71"/>
  <c r="G79" i="71"/>
  <c r="H76" i="71"/>
  <c r="I170" i="71"/>
  <c r="E168" i="71"/>
  <c r="I165" i="71"/>
  <c r="E163" i="71"/>
  <c r="I160" i="71"/>
  <c r="E158" i="71"/>
  <c r="I155" i="71"/>
  <c r="E153" i="71"/>
  <c r="I150" i="71"/>
  <c r="E148" i="71"/>
  <c r="I145" i="71"/>
  <c r="B19" i="71" a="1"/>
  <c r="B19" i="71" s="1"/>
  <c r="T34" i="71" a="1"/>
  <c r="T34" i="71" s="1"/>
  <c r="AA33" i="71" a="1"/>
  <c r="AA33" i="71" s="1"/>
  <c r="G33" i="71" a="1"/>
  <c r="G33" i="71" s="1"/>
  <c r="N32" i="71" a="1"/>
  <c r="N32" i="71" s="1"/>
  <c r="U31" i="71" a="1"/>
  <c r="U31" i="71" s="1"/>
  <c r="AB30" i="71" a="1"/>
  <c r="AB30" i="71" s="1"/>
  <c r="H30" i="71" a="1"/>
  <c r="H30" i="71" s="1"/>
  <c r="O29" i="71" a="1"/>
  <c r="O29" i="71" s="1"/>
  <c r="V28" i="71" a="1"/>
  <c r="V28" i="71" s="1"/>
  <c r="AC27" i="71" a="1"/>
  <c r="AC27" i="71" s="1"/>
  <c r="I27" i="71" a="1"/>
  <c r="I27" i="71" s="1"/>
  <c r="P26" i="71" a="1"/>
  <c r="P26" i="71" s="1"/>
  <c r="W25" i="71" a="1"/>
  <c r="W25" i="71" s="1"/>
  <c r="C25" i="71" a="1"/>
  <c r="C25" i="71" s="1"/>
  <c r="J24" i="71" a="1"/>
  <c r="J24" i="71" s="1"/>
  <c r="Q23" i="71" a="1"/>
  <c r="Q23" i="71" s="1"/>
  <c r="X22" i="71" a="1"/>
  <c r="X22" i="71" s="1"/>
  <c r="D22" i="71" a="1"/>
  <c r="D22" i="71" s="1"/>
  <c r="K21" i="71" a="1"/>
  <c r="K21" i="71" s="1"/>
  <c r="R20" i="71" a="1"/>
  <c r="R20" i="71" s="1"/>
  <c r="Y19" i="71" a="1"/>
  <c r="Y19" i="71" s="1"/>
  <c r="E19" i="71" a="1"/>
  <c r="E19" i="71" s="1"/>
  <c r="L18" i="71" a="1"/>
  <c r="L18" i="71" s="1"/>
  <c r="S17" i="71" a="1"/>
  <c r="S17" i="71" s="1"/>
  <c r="Z16" i="71" a="1"/>
  <c r="Z16" i="71" s="1"/>
  <c r="F16" i="71" a="1"/>
  <c r="F16" i="71" s="1"/>
  <c r="M15" i="71" a="1"/>
  <c r="M15" i="71" s="1"/>
  <c r="T14" i="71" a="1"/>
  <c r="T14" i="71" s="1"/>
  <c r="AA13" i="71" a="1"/>
  <c r="AA13" i="71" s="1"/>
  <c r="G13" i="71" a="1"/>
  <c r="G13" i="71" s="1"/>
  <c r="N12" i="71" a="1"/>
  <c r="N12" i="71" s="1"/>
  <c r="U11" i="71" a="1"/>
  <c r="U11" i="71" s="1"/>
  <c r="AB10" i="71" a="1"/>
  <c r="AB10" i="71" s="1"/>
  <c r="I10" i="71" a="1"/>
  <c r="I10" i="71" s="1"/>
  <c r="P9" i="71" a="1"/>
  <c r="P9" i="71" s="1"/>
  <c r="W8" i="71" a="1"/>
  <c r="W8" i="71" s="1"/>
  <c r="AB7" i="71" a="1"/>
  <c r="AB7" i="71" s="1"/>
  <c r="H7" i="71" a="1"/>
  <c r="H7" i="71" s="1"/>
  <c r="B91" i="71"/>
  <c r="E102" i="71"/>
  <c r="F99" i="71"/>
  <c r="G96" i="71"/>
  <c r="H93" i="71"/>
  <c r="I90" i="71"/>
  <c r="C88" i="71"/>
  <c r="D85" i="71"/>
  <c r="E82" i="71"/>
  <c r="F79" i="71"/>
  <c r="G76" i="71"/>
  <c r="H170" i="71"/>
  <c r="D168" i="71"/>
  <c r="H165" i="71"/>
  <c r="D163" i="71"/>
  <c r="H160" i="71"/>
  <c r="D158" i="71"/>
  <c r="H155" i="71"/>
  <c r="D153" i="71"/>
  <c r="H150" i="71"/>
  <c r="D148" i="71"/>
  <c r="B18" i="71" a="1"/>
  <c r="B18" i="71" s="1"/>
  <c r="S34" i="71" a="1"/>
  <c r="S34" i="71" s="1"/>
  <c r="Z33" i="71" a="1"/>
  <c r="Z33" i="71" s="1"/>
  <c r="F33" i="71" a="1"/>
  <c r="F33" i="71" s="1"/>
  <c r="M32" i="71" a="1"/>
  <c r="M32" i="71" s="1"/>
  <c r="T31" i="71" a="1"/>
  <c r="T31" i="71" s="1"/>
  <c r="AA30" i="71" a="1"/>
  <c r="AA30" i="71" s="1"/>
  <c r="G30" i="71" a="1"/>
  <c r="G30" i="71" s="1"/>
  <c r="N29" i="71" a="1"/>
  <c r="N29" i="71" s="1"/>
  <c r="U28" i="71" a="1"/>
  <c r="U28" i="71" s="1"/>
  <c r="AB27" i="71" a="1"/>
  <c r="AB27" i="71" s="1"/>
  <c r="H27" i="71" a="1"/>
  <c r="H27" i="71" s="1"/>
  <c r="O26" i="71" a="1"/>
  <c r="O26" i="71" s="1"/>
  <c r="V25" i="71" a="1"/>
  <c r="V25" i="71" s="1"/>
  <c r="AC24" i="71" a="1"/>
  <c r="AC24" i="71" s="1"/>
  <c r="I24" i="71" a="1"/>
  <c r="I24" i="71" s="1"/>
  <c r="P23" i="71" a="1"/>
  <c r="P23" i="71" s="1"/>
  <c r="W22" i="71" a="1"/>
  <c r="W22" i="71" s="1"/>
  <c r="C22" i="71" a="1"/>
  <c r="C22" i="71" s="1"/>
  <c r="J21" i="71" a="1"/>
  <c r="J21" i="71" s="1"/>
  <c r="Q20" i="71" a="1"/>
  <c r="Q20" i="71" s="1"/>
  <c r="X19" i="71" a="1"/>
  <c r="X19" i="71" s="1"/>
  <c r="D19" i="71" a="1"/>
  <c r="D19" i="71" s="1"/>
  <c r="K18" i="71" a="1"/>
  <c r="K18" i="71" s="1"/>
  <c r="R17" i="71" a="1"/>
  <c r="R17" i="71" s="1"/>
  <c r="Y16" i="71" a="1"/>
  <c r="Y16" i="71" s="1"/>
  <c r="E16" i="71" a="1"/>
  <c r="E16" i="71" s="1"/>
  <c r="L15" i="71" a="1"/>
  <c r="L15" i="71" s="1"/>
  <c r="S14" i="71" a="1"/>
  <c r="S14" i="71" s="1"/>
  <c r="Z13" i="71" a="1"/>
  <c r="Z13" i="71" s="1"/>
  <c r="F13" i="71" a="1"/>
  <c r="F13" i="71" s="1"/>
  <c r="M12" i="71" a="1"/>
  <c r="M12" i="71" s="1"/>
  <c r="T11" i="71" a="1"/>
  <c r="T11" i="71" s="1"/>
  <c r="AA10" i="71" a="1"/>
  <c r="AA10" i="71" s="1"/>
  <c r="H10" i="71" a="1"/>
  <c r="H10" i="71" s="1"/>
  <c r="O9" i="71" a="1"/>
  <c r="O9" i="71" s="1"/>
  <c r="V8" i="71" a="1"/>
  <c r="V8" i="71" s="1"/>
  <c r="AA7" i="71" a="1"/>
  <c r="AA7" i="71" s="1"/>
  <c r="R68" i="71" a="1"/>
  <c r="R68" i="71" s="1"/>
  <c r="Z67" i="71" a="1"/>
  <c r="Z67" i="71" s="1"/>
  <c r="I67" i="71" a="1"/>
  <c r="I67" i="71" s="1"/>
  <c r="R66" i="71" a="1"/>
  <c r="R66" i="71" s="1"/>
  <c r="AA65" i="71" a="1"/>
  <c r="AA65" i="71" s="1"/>
  <c r="H65" i="71" a="1"/>
  <c r="H65" i="71" s="1"/>
  <c r="Q64" i="71" a="1"/>
  <c r="Q64" i="71" s="1"/>
  <c r="Y63" i="71" a="1"/>
  <c r="Y63" i="71" s="1"/>
  <c r="F63" i="71" a="1"/>
  <c r="F63" i="71" s="1"/>
  <c r="O62" i="71" a="1"/>
  <c r="O62" i="71" s="1"/>
  <c r="X61" i="71" a="1"/>
  <c r="X61" i="71" s="1"/>
  <c r="E61" i="71" a="1"/>
  <c r="E61" i="71" s="1"/>
  <c r="M60" i="71" a="1"/>
  <c r="M60" i="71" s="1"/>
  <c r="V59" i="71" a="1"/>
  <c r="V59" i="71" s="1"/>
  <c r="C59" i="71" a="1"/>
  <c r="C59" i="71" s="1"/>
  <c r="L58" i="71" a="1"/>
  <c r="L58" i="71" s="1"/>
  <c r="T57" i="71" a="1"/>
  <c r="T57" i="71" s="1"/>
  <c r="AC56" i="71" a="1"/>
  <c r="AC56" i="71" s="1"/>
  <c r="J56" i="71" a="1"/>
  <c r="J56" i="71" s="1"/>
  <c r="H54" i="71" a="1"/>
  <c r="H54" i="71" s="1"/>
  <c r="V48" i="71" a="1"/>
  <c r="V48" i="71" s="1"/>
  <c r="E63" i="71" a="1"/>
  <c r="E63" i="71" s="1"/>
  <c r="Y52" i="71" a="1"/>
  <c r="Y52" i="71" s="1"/>
  <c r="H42" i="71" a="1"/>
  <c r="H42" i="71" s="1"/>
  <c r="H8" i="71" a="1"/>
  <c r="H8" i="71" s="1"/>
  <c r="C8" i="71" a="1"/>
  <c r="C8" i="71" s="1"/>
  <c r="L68" i="71" a="1"/>
  <c r="L68" i="71" s="1"/>
  <c r="D67" i="71" a="1"/>
  <c r="D67" i="71" s="1"/>
  <c r="L66" i="71" a="1"/>
  <c r="L66" i="71" s="1"/>
  <c r="V65" i="71" a="1"/>
  <c r="V65" i="71" s="1"/>
  <c r="B65" i="71" a="1"/>
  <c r="B65" i="71" s="1"/>
  <c r="K64" i="71" a="1"/>
  <c r="K64" i="71" s="1"/>
  <c r="T63" i="71" a="1"/>
  <c r="T63" i="71" s="1"/>
  <c r="AB62" i="71" a="1"/>
  <c r="AB62" i="71" s="1"/>
  <c r="I62" i="71" a="1"/>
  <c r="I62" i="71" s="1"/>
  <c r="R61" i="71" a="1"/>
  <c r="R61" i="71" s="1"/>
  <c r="AA60" i="71" a="1"/>
  <c r="AA60" i="71" s="1"/>
  <c r="G60" i="71" a="1"/>
  <c r="G60" i="71" s="1"/>
  <c r="P59" i="71" a="1"/>
  <c r="P59" i="71" s="1"/>
  <c r="Y58" i="71" a="1"/>
  <c r="Y58" i="71" s="1"/>
  <c r="F58" i="71" a="1"/>
  <c r="F58" i="71" s="1"/>
  <c r="O57" i="71" a="1"/>
  <c r="O57" i="71" s="1"/>
  <c r="W56" i="71" a="1"/>
  <c r="W56" i="71" s="1"/>
  <c r="D56" i="71" a="1"/>
  <c r="D56" i="71" s="1"/>
  <c r="M55" i="71" a="1"/>
  <c r="M55" i="71" s="1"/>
  <c r="V54" i="71" a="1"/>
  <c r="V54" i="71" s="1"/>
  <c r="C54" i="71" a="1"/>
  <c r="C54" i="71" s="1"/>
  <c r="K53" i="71" a="1"/>
  <c r="K53" i="71" s="1"/>
  <c r="T52" i="71" a="1"/>
  <c r="T52" i="71" s="1"/>
  <c r="AC51" i="71" a="1"/>
  <c r="AC51" i="71" s="1"/>
  <c r="J51" i="71" a="1"/>
  <c r="J51" i="71" s="1"/>
  <c r="R50" i="71" a="1"/>
  <c r="R50" i="71" s="1"/>
  <c r="AA49" i="71" a="1"/>
  <c r="AA49" i="71" s="1"/>
  <c r="H49" i="71" a="1"/>
  <c r="H49" i="71" s="1"/>
  <c r="P48" i="71" a="1"/>
  <c r="P48" i="71" s="1"/>
  <c r="Z47" i="71" a="1"/>
  <c r="Z47" i="71" s="1"/>
  <c r="F47" i="71" a="1"/>
  <c r="F47" i="71" s="1"/>
  <c r="O46" i="71" a="1"/>
  <c r="O46" i="71" s="1"/>
  <c r="X45" i="71" a="1"/>
  <c r="X45" i="71" s="1"/>
  <c r="D45" i="71" a="1"/>
  <c r="D45" i="71" s="1"/>
  <c r="M44" i="71" a="1"/>
  <c r="M44" i="71" s="1"/>
  <c r="V43" i="71" a="1"/>
  <c r="V43" i="71" s="1"/>
  <c r="C43" i="71" a="1"/>
  <c r="C43" i="71" s="1"/>
  <c r="K42" i="71" a="1"/>
  <c r="K42" i="71" s="1"/>
  <c r="R41" i="71" a="1"/>
  <c r="R41" i="71" s="1"/>
  <c r="B67" i="71" a="1"/>
  <c r="B67" i="71" s="1"/>
  <c r="J66" i="71" a="1"/>
  <c r="J66" i="71" s="1"/>
  <c r="AB64" i="71" a="1"/>
  <c r="AB64" i="71" s="1"/>
  <c r="I64" i="71" a="1"/>
  <c r="I64" i="71" s="1"/>
  <c r="Z62" i="71" a="1"/>
  <c r="Z62" i="71" s="1"/>
  <c r="P61" i="71" a="1"/>
  <c r="P61" i="71" s="1"/>
  <c r="F60" i="71" a="1"/>
  <c r="F60" i="71" s="1"/>
  <c r="W58" i="71" a="1"/>
  <c r="W58" i="71" s="1"/>
  <c r="U56" i="71" a="1"/>
  <c r="U56" i="71" s="1"/>
  <c r="K55" i="71" a="1"/>
  <c r="K55" i="71" s="1"/>
  <c r="I53" i="71" a="1"/>
  <c r="I53" i="71" s="1"/>
  <c r="AA51" i="71" a="1"/>
  <c r="AA51" i="71" s="1"/>
  <c r="P50" i="71" a="1"/>
  <c r="P50" i="71" s="1"/>
  <c r="N48" i="71" a="1"/>
  <c r="N48" i="71" s="1"/>
  <c r="D47" i="71" a="1"/>
  <c r="D47" i="71" s="1"/>
  <c r="V45" i="71" a="1"/>
  <c r="V45" i="71" s="1"/>
  <c r="L44" i="71" a="1"/>
  <c r="L44" i="71" s="1"/>
  <c r="AC42" i="71" a="1"/>
  <c r="AC42" i="71" s="1"/>
  <c r="P41" i="71" a="1"/>
  <c r="P41" i="71" s="1"/>
  <c r="R67" i="71" a="1"/>
  <c r="R67" i="71" s="1"/>
  <c r="AC66" i="71" a="1"/>
  <c r="AC66" i="71" s="1"/>
  <c r="AA64" i="71" a="1"/>
  <c r="AA64" i="71" s="1"/>
  <c r="Q63" i="71" a="1"/>
  <c r="Q63" i="71" s="1"/>
  <c r="G62" i="71" a="1"/>
  <c r="G62" i="71" s="1"/>
  <c r="X60" i="71" a="1"/>
  <c r="X60" i="71" s="1"/>
  <c r="M59" i="71" a="1"/>
  <c r="M59" i="71" s="1"/>
  <c r="C58" i="71" a="1"/>
  <c r="C58" i="71" s="1"/>
  <c r="AC55" i="71" a="1"/>
  <c r="AC55" i="71" s="1"/>
  <c r="S54" i="71" a="1"/>
  <c r="S54" i="71" s="1"/>
  <c r="H53" i="71" a="1"/>
  <c r="H53" i="71" s="1"/>
  <c r="Z51" i="71" a="1"/>
  <c r="Z51" i="71" s="1"/>
  <c r="X49" i="71" a="1"/>
  <c r="X49" i="71" s="1"/>
  <c r="W47" i="71" a="1"/>
  <c r="W47" i="71" s="1"/>
  <c r="L46" i="71" a="1"/>
  <c r="L46" i="71" s="1"/>
  <c r="AC44" i="71" a="1"/>
  <c r="AC44" i="71" s="1"/>
  <c r="S43" i="71" a="1"/>
  <c r="S43" i="71" s="1"/>
  <c r="I42" i="71" a="1"/>
  <c r="I42" i="71" s="1"/>
  <c r="D61" i="71" a="1"/>
  <c r="D61" i="71" s="1"/>
  <c r="U48" i="71" a="1"/>
  <c r="U48" i="71" s="1"/>
  <c r="C42" i="71" a="1"/>
  <c r="C42" i="71" s="1"/>
  <c r="K68" i="71" a="1"/>
  <c r="K68" i="71" s="1"/>
  <c r="T67" i="71" a="1"/>
  <c r="T67" i="71" s="1"/>
  <c r="C67" i="71" a="1"/>
  <c r="C67" i="71" s="1"/>
  <c r="K66" i="71" a="1"/>
  <c r="K66" i="71" s="1"/>
  <c r="U65" i="71" a="1"/>
  <c r="U65" i="71" s="1"/>
  <c r="AC64" i="71" a="1"/>
  <c r="AC64" i="71" s="1"/>
  <c r="J64" i="71" a="1"/>
  <c r="J64" i="71" s="1"/>
  <c r="S63" i="71" a="1"/>
  <c r="S63" i="71" s="1"/>
  <c r="AA62" i="71" a="1"/>
  <c r="AA62" i="71" s="1"/>
  <c r="Q61" i="71" a="1"/>
  <c r="Q61" i="71" s="1"/>
  <c r="Z60" i="71" a="1"/>
  <c r="Z60" i="71" s="1"/>
  <c r="O59" i="71" a="1"/>
  <c r="O59" i="71" s="1"/>
  <c r="X58" i="71" a="1"/>
  <c r="X58" i="71" s="1"/>
  <c r="E58" i="71" a="1"/>
  <c r="E58" i="71" s="1"/>
  <c r="N57" i="71" a="1"/>
  <c r="N57" i="71" s="1"/>
  <c r="V56" i="71" a="1"/>
  <c r="V56" i="71" s="1"/>
  <c r="C56" i="71" a="1"/>
  <c r="C56" i="71" s="1"/>
  <c r="L55" i="71" a="1"/>
  <c r="L55" i="71" s="1"/>
  <c r="U54" i="71" a="1"/>
  <c r="U54" i="71" s="1"/>
  <c r="B54" i="71" a="1"/>
  <c r="B54" i="71" s="1"/>
  <c r="J53" i="71" a="1"/>
  <c r="J53" i="71" s="1"/>
  <c r="S52" i="71" a="1"/>
  <c r="S52" i="71" s="1"/>
  <c r="AB51" i="71" a="1"/>
  <c r="AB51" i="71" s="1"/>
  <c r="I51" i="71" a="1"/>
  <c r="I51" i="71" s="1"/>
  <c r="Q50" i="71" a="1"/>
  <c r="Q50" i="71" s="1"/>
  <c r="Z49" i="71" a="1"/>
  <c r="Z49" i="71" s="1"/>
  <c r="G49" i="71" a="1"/>
  <c r="G49" i="71" s="1"/>
  <c r="O48" i="71" a="1"/>
  <c r="O48" i="71" s="1"/>
  <c r="Y47" i="71" a="1"/>
  <c r="Y47" i="71" s="1"/>
  <c r="E47" i="71" a="1"/>
  <c r="E47" i="71" s="1"/>
  <c r="N46" i="71" a="1"/>
  <c r="N46" i="71" s="1"/>
  <c r="W45" i="71" a="1"/>
  <c r="W45" i="71" s="1"/>
  <c r="C45" i="71" a="1"/>
  <c r="C45" i="71" s="1"/>
  <c r="U43" i="71" a="1"/>
  <c r="U43" i="71" s="1"/>
  <c r="B43" i="71" a="1"/>
  <c r="B43" i="71" s="1"/>
  <c r="Q41" i="71" a="1"/>
  <c r="Q41" i="71" s="1"/>
  <c r="S67" i="71" a="1"/>
  <c r="S67" i="71" s="1"/>
  <c r="T65" i="71" a="1"/>
  <c r="T65" i="71" s="1"/>
  <c r="R63" i="71" a="1"/>
  <c r="R63" i="71" s="1"/>
  <c r="H62" i="71" a="1"/>
  <c r="H62" i="71" s="1"/>
  <c r="Y60" i="71" a="1"/>
  <c r="Y60" i="71" s="1"/>
  <c r="N59" i="71" a="1"/>
  <c r="N59" i="71" s="1"/>
  <c r="D58" i="71" a="1"/>
  <c r="D58" i="71" s="1"/>
  <c r="M57" i="71" a="1"/>
  <c r="M57" i="71" s="1"/>
  <c r="B56" i="71" a="1"/>
  <c r="B56" i="71" s="1"/>
  <c r="T54" i="71" a="1"/>
  <c r="T54" i="71" s="1"/>
  <c r="AC53" i="71" a="1"/>
  <c r="AC53" i="71" s="1"/>
  <c r="R52" i="71" a="1"/>
  <c r="R52" i="71" s="1"/>
  <c r="H51" i="71" a="1"/>
  <c r="H51" i="71" s="1"/>
  <c r="Y49" i="71" a="1"/>
  <c r="Y49" i="71" s="1"/>
  <c r="F49" i="71" a="1"/>
  <c r="F49" i="71" s="1"/>
  <c r="X47" i="71" a="1"/>
  <c r="X47" i="71" s="1"/>
  <c r="M46" i="71" a="1"/>
  <c r="M46" i="71" s="1"/>
  <c r="B45" i="71" a="1"/>
  <c r="B45" i="71" s="1"/>
  <c r="T43" i="71" a="1"/>
  <c r="T43" i="71" s="1"/>
  <c r="J42" i="71" a="1"/>
  <c r="J42" i="71" s="1"/>
  <c r="I68" i="71" a="1"/>
  <c r="I68" i="71" s="1"/>
  <c r="S65" i="71" a="1"/>
  <c r="S65" i="71" s="1"/>
  <c r="H64" i="71" a="1"/>
  <c r="H64" i="71" s="1"/>
  <c r="Y62" i="71" a="1"/>
  <c r="Y62" i="71" s="1"/>
  <c r="O61" i="71" a="1"/>
  <c r="O61" i="71" s="1"/>
  <c r="E60" i="71" a="1"/>
  <c r="E60" i="71" s="1"/>
  <c r="V58" i="71" a="1"/>
  <c r="V58" i="71" s="1"/>
  <c r="L57" i="71" a="1"/>
  <c r="L57" i="71" s="1"/>
  <c r="T56" i="71" a="1"/>
  <c r="T56" i="71" s="1"/>
  <c r="J55" i="71" a="1"/>
  <c r="J55" i="71" s="1"/>
  <c r="AB53" i="71" a="1"/>
  <c r="AB53" i="71" s="1"/>
  <c r="Q52" i="71" a="1"/>
  <c r="Q52" i="71" s="1"/>
  <c r="G51" i="71" a="1"/>
  <c r="G51" i="71" s="1"/>
  <c r="E49" i="71" a="1"/>
  <c r="E49" i="71" s="1"/>
  <c r="C47" i="71" a="1"/>
  <c r="C47" i="71" s="1"/>
  <c r="U45" i="71" a="1"/>
  <c r="U45" i="71" s="1"/>
  <c r="K44" i="71" a="1"/>
  <c r="K44" i="71" s="1"/>
  <c r="AB42" i="71" a="1"/>
  <c r="AB42" i="71" s="1"/>
  <c r="O41" i="71" a="1"/>
  <c r="O41" i="71" s="1"/>
  <c r="W61" i="71" a="1"/>
  <c r="W61" i="71" s="1"/>
  <c r="D50" i="71" a="1"/>
  <c r="D50" i="71" s="1"/>
  <c r="J68" i="71" a="1"/>
  <c r="J68" i="71" s="1"/>
  <c r="AC68" i="71" a="1"/>
  <c r="AC68" i="71" s="1"/>
  <c r="AB68" i="71" a="1"/>
  <c r="AB68" i="71" s="1"/>
  <c r="H68" i="71" a="1"/>
  <c r="H68" i="71" s="1"/>
  <c r="Q67" i="71" a="1"/>
  <c r="Q67" i="71" s="1"/>
  <c r="AB66" i="71" a="1"/>
  <c r="AB66" i="71" s="1"/>
  <c r="I66" i="71" a="1"/>
  <c r="I66" i="71" s="1"/>
  <c r="R65" i="71" a="1"/>
  <c r="R65" i="71" s="1"/>
  <c r="Z64" i="71" a="1"/>
  <c r="Z64" i="71" s="1"/>
  <c r="G64" i="71" a="1"/>
  <c r="G64" i="71" s="1"/>
  <c r="P63" i="71" a="1"/>
  <c r="P63" i="71" s="1"/>
  <c r="X62" i="71" a="1"/>
  <c r="X62" i="71" s="1"/>
  <c r="F62" i="71" a="1"/>
  <c r="F62" i="71" s="1"/>
  <c r="N61" i="71" a="1"/>
  <c r="N61" i="71" s="1"/>
  <c r="W60" i="71" a="1"/>
  <c r="W60" i="71" s="1"/>
  <c r="D60" i="71" a="1"/>
  <c r="D60" i="71" s="1"/>
  <c r="L59" i="71" a="1"/>
  <c r="L59" i="71" s="1"/>
  <c r="U58" i="71" a="1"/>
  <c r="U58" i="71" s="1"/>
  <c r="B58" i="71" a="1"/>
  <c r="B58" i="71" s="1"/>
  <c r="K57" i="71" a="1"/>
  <c r="K57" i="71" s="1"/>
  <c r="S56" i="71" a="1"/>
  <c r="S56" i="71" s="1"/>
  <c r="AB55" i="71" a="1"/>
  <c r="AB55" i="71" s="1"/>
  <c r="I55" i="71" a="1"/>
  <c r="I55" i="71" s="1"/>
  <c r="R54" i="71" a="1"/>
  <c r="R54" i="71" s="1"/>
  <c r="AA53" i="71" a="1"/>
  <c r="AA53" i="71" s="1"/>
  <c r="G53" i="71" a="1"/>
  <c r="G53" i="71" s="1"/>
  <c r="P52" i="71" a="1"/>
  <c r="P52" i="71" s="1"/>
  <c r="Y51" i="71" a="1"/>
  <c r="Y51" i="71" s="1"/>
  <c r="F51" i="71" a="1"/>
  <c r="F51" i="71" s="1"/>
  <c r="O50" i="71" a="1"/>
  <c r="O50" i="71" s="1"/>
  <c r="W49" i="71" a="1"/>
  <c r="W49" i="71" s="1"/>
  <c r="D49" i="71" a="1"/>
  <c r="D49" i="71" s="1"/>
  <c r="M48" i="71" a="1"/>
  <c r="M48" i="71" s="1"/>
  <c r="V47" i="71" a="1"/>
  <c r="V47" i="71" s="1"/>
  <c r="B47" i="71" a="1"/>
  <c r="B47" i="71" s="1"/>
  <c r="K46" i="71" a="1"/>
  <c r="K46" i="71" s="1"/>
  <c r="T45" i="71" a="1"/>
  <c r="T45" i="71" s="1"/>
  <c r="AB44" i="71" a="1"/>
  <c r="AB44" i="71" s="1"/>
  <c r="J44" i="71" a="1"/>
  <c r="J44" i="71" s="1"/>
  <c r="R43" i="71" a="1"/>
  <c r="R43" i="71" s="1"/>
  <c r="AA42" i="71" a="1"/>
  <c r="AA42" i="71" s="1"/>
  <c r="G42" i="71" a="1"/>
  <c r="G42" i="71" s="1"/>
  <c r="N41" i="71" a="1"/>
  <c r="N41" i="71" s="1"/>
  <c r="I46" i="71" a="1"/>
  <c r="I46" i="71" s="1"/>
  <c r="Z44" i="71" a="1"/>
  <c r="Z44" i="71" s="1"/>
  <c r="Y42" i="71" a="1"/>
  <c r="Y42" i="71" s="1"/>
  <c r="L41" i="71" a="1"/>
  <c r="L41" i="71" s="1"/>
  <c r="AC54" i="71" a="1"/>
  <c r="AC54" i="71" s="1"/>
  <c r="K45" i="71" a="1"/>
  <c r="K45" i="71" s="1"/>
  <c r="F41" i="71" a="1"/>
  <c r="F41" i="71" s="1"/>
  <c r="Z52" i="71" a="1"/>
  <c r="Z52" i="71" s="1"/>
  <c r="C48" i="71" a="1"/>
  <c r="C48" i="71" s="1"/>
  <c r="Q42" i="71" a="1"/>
  <c r="Q42" i="71" s="1"/>
  <c r="Q68" i="71" a="1"/>
  <c r="Q68" i="71" s="1"/>
  <c r="B59" i="71" a="1"/>
  <c r="B59" i="71" s="1"/>
  <c r="W50" i="71" a="1"/>
  <c r="W50" i="71" s="1"/>
  <c r="K47" i="71" a="1"/>
  <c r="K47" i="71" s="1"/>
  <c r="AA68" i="71" a="1"/>
  <c r="AA68" i="71" s="1"/>
  <c r="G68" i="71" a="1"/>
  <c r="G68" i="71" s="1"/>
  <c r="P67" i="71" a="1"/>
  <c r="P67" i="71" s="1"/>
  <c r="AA66" i="71" a="1"/>
  <c r="AA66" i="71" s="1"/>
  <c r="H66" i="71" a="1"/>
  <c r="H66" i="71" s="1"/>
  <c r="Q65" i="71" a="1"/>
  <c r="Q65" i="71" s="1"/>
  <c r="Y64" i="71" a="1"/>
  <c r="Y64" i="71" s="1"/>
  <c r="F64" i="71" a="1"/>
  <c r="F64" i="71" s="1"/>
  <c r="O63" i="71" a="1"/>
  <c r="O63" i="71" s="1"/>
  <c r="W62" i="71" a="1"/>
  <c r="W62" i="71" s="1"/>
  <c r="E62" i="71" a="1"/>
  <c r="E62" i="71" s="1"/>
  <c r="M61" i="71" a="1"/>
  <c r="M61" i="71" s="1"/>
  <c r="V60" i="71" a="1"/>
  <c r="V60" i="71" s="1"/>
  <c r="C60" i="71" a="1"/>
  <c r="C60" i="71" s="1"/>
  <c r="K59" i="71" a="1"/>
  <c r="K59" i="71" s="1"/>
  <c r="AC57" i="71" a="1"/>
  <c r="AC57" i="71" s="1"/>
  <c r="J57" i="71" a="1"/>
  <c r="J57" i="71" s="1"/>
  <c r="AA55" i="71" a="1"/>
  <c r="AA55" i="71" s="1"/>
  <c r="H55" i="71" a="1"/>
  <c r="H55" i="71" s="1"/>
  <c r="Q54" i="71" a="1"/>
  <c r="Q54" i="71" s="1"/>
  <c r="Z53" i="71" a="1"/>
  <c r="Z53" i="71" s="1"/>
  <c r="F53" i="71" a="1"/>
  <c r="F53" i="71" s="1"/>
  <c r="O52" i="71" a="1"/>
  <c r="O52" i="71" s="1"/>
  <c r="X51" i="71" a="1"/>
  <c r="X51" i="71" s="1"/>
  <c r="E51" i="71" a="1"/>
  <c r="E51" i="71" s="1"/>
  <c r="N50" i="71" a="1"/>
  <c r="N50" i="71" s="1"/>
  <c r="V49" i="71" a="1"/>
  <c r="V49" i="71" s="1"/>
  <c r="C49" i="71" a="1"/>
  <c r="C49" i="71" s="1"/>
  <c r="L48" i="71" a="1"/>
  <c r="L48" i="71" s="1"/>
  <c r="U47" i="71" a="1"/>
  <c r="U47" i="71" s="1"/>
  <c r="AC46" i="71" a="1"/>
  <c r="AC46" i="71" s="1"/>
  <c r="J46" i="71" a="1"/>
  <c r="J46" i="71" s="1"/>
  <c r="S45" i="71" a="1"/>
  <c r="S45" i="71" s="1"/>
  <c r="AA44" i="71" a="1"/>
  <c r="AA44" i="71" s="1"/>
  <c r="I44" i="71" a="1"/>
  <c r="I44" i="71" s="1"/>
  <c r="Q43" i="71" a="1"/>
  <c r="Q43" i="71" s="1"/>
  <c r="Z42" i="71" a="1"/>
  <c r="Z42" i="71" s="1"/>
  <c r="F42" i="71" a="1"/>
  <c r="F42" i="71" s="1"/>
  <c r="M41" i="71" a="1"/>
  <c r="M41" i="71" s="1"/>
  <c r="F68" i="71" a="1"/>
  <c r="F68" i="71" s="1"/>
  <c r="O67" i="71" a="1"/>
  <c r="O67" i="71" s="1"/>
  <c r="Z66" i="71" a="1"/>
  <c r="Z66" i="71" s="1"/>
  <c r="G66" i="71" a="1"/>
  <c r="G66" i="71" s="1"/>
  <c r="P65" i="71" a="1"/>
  <c r="P65" i="71" s="1"/>
  <c r="X64" i="71" a="1"/>
  <c r="X64" i="71" s="1"/>
  <c r="E64" i="71" a="1"/>
  <c r="E64" i="71" s="1"/>
  <c r="N63" i="71" a="1"/>
  <c r="N63" i="71" s="1"/>
  <c r="V62" i="71" a="1"/>
  <c r="V62" i="71" s="1"/>
  <c r="D62" i="71" a="1"/>
  <c r="D62" i="71" s="1"/>
  <c r="L61" i="71" a="1"/>
  <c r="L61" i="71" s="1"/>
  <c r="U60" i="71" a="1"/>
  <c r="U60" i="71" s="1"/>
  <c r="B60" i="71" a="1"/>
  <c r="B60" i="71" s="1"/>
  <c r="J59" i="71" a="1"/>
  <c r="J59" i="71" s="1"/>
  <c r="T58" i="71" a="1"/>
  <c r="T58" i="71" s="1"/>
  <c r="AB57" i="71" a="1"/>
  <c r="AB57" i="71" s="1"/>
  <c r="I57" i="71" a="1"/>
  <c r="I57" i="71" s="1"/>
  <c r="R56" i="71" a="1"/>
  <c r="R56" i="71" s="1"/>
  <c r="Z55" i="71" a="1"/>
  <c r="Z55" i="71" s="1"/>
  <c r="G55" i="71" a="1"/>
  <c r="G55" i="71" s="1"/>
  <c r="P54" i="71" a="1"/>
  <c r="P54" i="71" s="1"/>
  <c r="Y53" i="71" a="1"/>
  <c r="Y53" i="71" s="1"/>
  <c r="E53" i="71" a="1"/>
  <c r="E53" i="71" s="1"/>
  <c r="N52" i="71" a="1"/>
  <c r="N52" i="71" s="1"/>
  <c r="W51" i="71" a="1"/>
  <c r="W51" i="71" s="1"/>
  <c r="D51" i="71" a="1"/>
  <c r="D51" i="71" s="1"/>
  <c r="M50" i="71" a="1"/>
  <c r="M50" i="71" s="1"/>
  <c r="U49" i="71" a="1"/>
  <c r="U49" i="71" s="1"/>
  <c r="B49" i="71" a="1"/>
  <c r="B49" i="71" s="1"/>
  <c r="K48" i="71" a="1"/>
  <c r="K48" i="71" s="1"/>
  <c r="T47" i="71" a="1"/>
  <c r="T47" i="71" s="1"/>
  <c r="AB46" i="71" a="1"/>
  <c r="AB46" i="71" s="1"/>
  <c r="R45" i="71" a="1"/>
  <c r="R45" i="71" s="1"/>
  <c r="H44" i="71" a="1"/>
  <c r="H44" i="71" s="1"/>
  <c r="P43" i="71" a="1"/>
  <c r="P43" i="71" s="1"/>
  <c r="E42" i="71" a="1"/>
  <c r="E42" i="71" s="1"/>
  <c r="K41" i="71" a="1"/>
  <c r="K41" i="71" s="1"/>
  <c r="R53" i="71" a="1"/>
  <c r="R53" i="71" s="1"/>
  <c r="R42" i="71" a="1"/>
  <c r="R42" i="71" s="1"/>
  <c r="R55" i="71" a="1"/>
  <c r="R55" i="71" s="1"/>
  <c r="L47" i="71" a="1"/>
  <c r="L47" i="71" s="1"/>
  <c r="E41" i="71" a="1"/>
  <c r="E41" i="71" s="1"/>
  <c r="Z65" i="71" a="1"/>
  <c r="Z65" i="71" s="1"/>
  <c r="P53" i="71" a="1"/>
  <c r="P53" i="71" s="1"/>
  <c r="Z68" i="71" a="1"/>
  <c r="Z68" i="71" s="1"/>
  <c r="Y68" i="71" a="1"/>
  <c r="Y68" i="71" s="1"/>
  <c r="E68" i="71" a="1"/>
  <c r="E68" i="71" s="1"/>
  <c r="N67" i="71" a="1"/>
  <c r="N67" i="71" s="1"/>
  <c r="Y66" i="71" a="1"/>
  <c r="Y66" i="71" s="1"/>
  <c r="F66" i="71" a="1"/>
  <c r="F66" i="71" s="1"/>
  <c r="O65" i="71" a="1"/>
  <c r="O65" i="71" s="1"/>
  <c r="D64" i="71" a="1"/>
  <c r="D64" i="71" s="1"/>
  <c r="M63" i="71" a="1"/>
  <c r="M63" i="71" s="1"/>
  <c r="C62" i="71" a="1"/>
  <c r="C62" i="71" s="1"/>
  <c r="K61" i="71" a="1"/>
  <c r="K61" i="71" s="1"/>
  <c r="T60" i="71" a="1"/>
  <c r="T60" i="71" s="1"/>
  <c r="AC59" i="71" a="1"/>
  <c r="AC59" i="71" s="1"/>
  <c r="I59" i="71" a="1"/>
  <c r="I59" i="71" s="1"/>
  <c r="S58" i="71" a="1"/>
  <c r="S58" i="71" s="1"/>
  <c r="AA57" i="71" a="1"/>
  <c r="AA57" i="71" s="1"/>
  <c r="H57" i="71" a="1"/>
  <c r="H57" i="71" s="1"/>
  <c r="Q56" i="71" a="1"/>
  <c r="Q56" i="71" s="1"/>
  <c r="Y55" i="71" a="1"/>
  <c r="Y55" i="71" s="1"/>
  <c r="F55" i="71" a="1"/>
  <c r="F55" i="71" s="1"/>
  <c r="O54" i="71" a="1"/>
  <c r="O54" i="71" s="1"/>
  <c r="X53" i="71" a="1"/>
  <c r="X53" i="71" s="1"/>
  <c r="D53" i="71" a="1"/>
  <c r="D53" i="71" s="1"/>
  <c r="M52" i="71" a="1"/>
  <c r="M52" i="71" s="1"/>
  <c r="V51" i="71" a="1"/>
  <c r="V51" i="71" s="1"/>
  <c r="C51" i="71" a="1"/>
  <c r="C51" i="71" s="1"/>
  <c r="L50" i="71" a="1"/>
  <c r="L50" i="71" s="1"/>
  <c r="T49" i="71" a="1"/>
  <c r="T49" i="71" s="1"/>
  <c r="AC48" i="71" a="1"/>
  <c r="AC48" i="71" s="1"/>
  <c r="J48" i="71" a="1"/>
  <c r="J48" i="71" s="1"/>
  <c r="S47" i="71" a="1"/>
  <c r="S47" i="71" s="1"/>
  <c r="H46" i="71" a="1"/>
  <c r="H46" i="71" s="1"/>
  <c r="Q45" i="71" a="1"/>
  <c r="Q45" i="71" s="1"/>
  <c r="G44" i="71" a="1"/>
  <c r="G44" i="71" s="1"/>
  <c r="O43" i="71" a="1"/>
  <c r="O43" i="71" s="1"/>
  <c r="X42" i="71" a="1"/>
  <c r="X42" i="71" s="1"/>
  <c r="D42" i="71" a="1"/>
  <c r="D42" i="71" s="1"/>
  <c r="Y50" i="71" a="1"/>
  <c r="Y50" i="71" s="1"/>
  <c r="B46" i="71" a="1"/>
  <c r="B46" i="71" s="1"/>
  <c r="Y41" i="71" a="1"/>
  <c r="Y41" i="71" s="1"/>
  <c r="X50" i="71" a="1"/>
  <c r="X50" i="71" s="1"/>
  <c r="S44" i="71" a="1"/>
  <c r="S44" i="71" s="1"/>
  <c r="Q66" i="71" a="1"/>
  <c r="Q66" i="71" s="1"/>
  <c r="AB56" i="71" a="1"/>
  <c r="AB56" i="71" s="1"/>
  <c r="X68" i="71" a="1"/>
  <c r="X68" i="71" s="1"/>
  <c r="D68" i="71" a="1"/>
  <c r="D68" i="71" s="1"/>
  <c r="M67" i="71" a="1"/>
  <c r="M67" i="71" s="1"/>
  <c r="X66" i="71" a="1"/>
  <c r="X66" i="71" s="1"/>
  <c r="E66" i="71" a="1"/>
  <c r="E66" i="71" s="1"/>
  <c r="N65" i="71" a="1"/>
  <c r="N65" i="71" s="1"/>
  <c r="W64" i="71" a="1"/>
  <c r="W64" i="71" s="1"/>
  <c r="C64" i="71" a="1"/>
  <c r="C64" i="71" s="1"/>
  <c r="L63" i="71" a="1"/>
  <c r="L63" i="71" s="1"/>
  <c r="U62" i="71" a="1"/>
  <c r="U62" i="71" s="1"/>
  <c r="B62" i="71" a="1"/>
  <c r="B62" i="71" s="1"/>
  <c r="J61" i="71" a="1"/>
  <c r="J61" i="71" s="1"/>
  <c r="S60" i="71" a="1"/>
  <c r="S60" i="71" s="1"/>
  <c r="AB59" i="71" a="1"/>
  <c r="AB59" i="71" s="1"/>
  <c r="H59" i="71" a="1"/>
  <c r="H59" i="71" s="1"/>
  <c r="R58" i="71" a="1"/>
  <c r="R58" i="71" s="1"/>
  <c r="Z57" i="71" a="1"/>
  <c r="Z57" i="71" s="1"/>
  <c r="G57" i="71" a="1"/>
  <c r="G57" i="71" s="1"/>
  <c r="P56" i="71" a="1"/>
  <c r="P56" i="71" s="1"/>
  <c r="X55" i="71" a="1"/>
  <c r="X55" i="71" s="1"/>
  <c r="E55" i="71" a="1"/>
  <c r="E55" i="71" s="1"/>
  <c r="N54" i="71" a="1"/>
  <c r="N54" i="71" s="1"/>
  <c r="W53" i="71" a="1"/>
  <c r="W53" i="71" s="1"/>
  <c r="C53" i="71" a="1"/>
  <c r="C53" i="71" s="1"/>
  <c r="L52" i="71" a="1"/>
  <c r="L52" i="71" s="1"/>
  <c r="U51" i="71" a="1"/>
  <c r="U51" i="71" s="1"/>
  <c r="B51" i="71" a="1"/>
  <c r="B51" i="71" s="1"/>
  <c r="K50" i="71" a="1"/>
  <c r="K50" i="71" s="1"/>
  <c r="S49" i="71" a="1"/>
  <c r="S49" i="71" s="1"/>
  <c r="AB48" i="71" a="1"/>
  <c r="AB48" i="71" s="1"/>
  <c r="I48" i="71" a="1"/>
  <c r="I48" i="71" s="1"/>
  <c r="R47" i="71" a="1"/>
  <c r="R47" i="71" s="1"/>
  <c r="AA46" i="71" a="1"/>
  <c r="AA46" i="71" s="1"/>
  <c r="G46" i="71" a="1"/>
  <c r="G46" i="71" s="1"/>
  <c r="P45" i="71" a="1"/>
  <c r="P45" i="71" s="1"/>
  <c r="Y44" i="71" a="1"/>
  <c r="Y44" i="71" s="1"/>
  <c r="F44" i="71" a="1"/>
  <c r="F44" i="71" s="1"/>
  <c r="N43" i="71" a="1"/>
  <c r="N43" i="71" s="1"/>
  <c r="W42" i="71" a="1"/>
  <c r="W42" i="71" s="1"/>
  <c r="B42" i="71" a="1"/>
  <c r="B42" i="71" s="1"/>
  <c r="J41" i="71" a="1"/>
  <c r="J41" i="71" s="1"/>
  <c r="B53" i="71" a="1"/>
  <c r="B53" i="71" s="1"/>
  <c r="I50" i="71" a="1"/>
  <c r="I50" i="71" s="1"/>
  <c r="G48" i="71" a="1"/>
  <c r="G48" i="71" s="1"/>
  <c r="E46" i="71" a="1"/>
  <c r="E46" i="71" s="1"/>
  <c r="D44" i="71" a="1"/>
  <c r="D44" i="71" s="1"/>
  <c r="AB41" i="71" a="1"/>
  <c r="AB41" i="71" s="1"/>
  <c r="W57" i="71" a="1"/>
  <c r="W57" i="71" s="1"/>
  <c r="K54" i="71" a="1"/>
  <c r="K54" i="71" s="1"/>
  <c r="R51" i="71" a="1"/>
  <c r="R51" i="71" s="1"/>
  <c r="Y48" i="71" a="1"/>
  <c r="Y48" i="71" s="1"/>
  <c r="D46" i="71" a="1"/>
  <c r="D46" i="71" s="1"/>
  <c r="AA41" i="71" a="1"/>
  <c r="AA41" i="71" s="1"/>
  <c r="W48" i="71" a="1"/>
  <c r="W48" i="71" s="1"/>
  <c r="AC43" i="71" a="1"/>
  <c r="AC43" i="71" s="1"/>
  <c r="AB54" i="71" a="1"/>
  <c r="AB54" i="71" s="1"/>
  <c r="AC45" i="71" a="1"/>
  <c r="AC45" i="71" s="1"/>
  <c r="G65" i="71" a="1"/>
  <c r="G65" i="71" s="1"/>
  <c r="K58" i="71" a="1"/>
  <c r="K58" i="71" s="1"/>
  <c r="W68" i="71" a="1"/>
  <c r="W68" i="71" s="1"/>
  <c r="C68" i="71" a="1"/>
  <c r="C68" i="71" s="1"/>
  <c r="L67" i="71" a="1"/>
  <c r="L67" i="71" s="1"/>
  <c r="W66" i="71" a="1"/>
  <c r="W66" i="71" s="1"/>
  <c r="D66" i="71" a="1"/>
  <c r="D66" i="71" s="1"/>
  <c r="M65" i="71" a="1"/>
  <c r="M65" i="71" s="1"/>
  <c r="V64" i="71" a="1"/>
  <c r="V64" i="71" s="1"/>
  <c r="B64" i="71" a="1"/>
  <c r="B64" i="71" s="1"/>
  <c r="K63" i="71" a="1"/>
  <c r="K63" i="71" s="1"/>
  <c r="T62" i="71" a="1"/>
  <c r="T62" i="71" s="1"/>
  <c r="AC61" i="71" a="1"/>
  <c r="AC61" i="71" s="1"/>
  <c r="I61" i="71" a="1"/>
  <c r="I61" i="71" s="1"/>
  <c r="R60" i="71" a="1"/>
  <c r="R60" i="71" s="1"/>
  <c r="AA59" i="71" a="1"/>
  <c r="AA59" i="71" s="1"/>
  <c r="G59" i="71" a="1"/>
  <c r="G59" i="71" s="1"/>
  <c r="Q58" i="71" a="1"/>
  <c r="Q58" i="71" s="1"/>
  <c r="Y57" i="71" a="1"/>
  <c r="Y57" i="71" s="1"/>
  <c r="F57" i="71" a="1"/>
  <c r="F57" i="71" s="1"/>
  <c r="O56" i="71" a="1"/>
  <c r="O56" i="71" s="1"/>
  <c r="W55" i="71" a="1"/>
  <c r="W55" i="71" s="1"/>
  <c r="M54" i="71" a="1"/>
  <c r="M54" i="71" s="1"/>
  <c r="V53" i="71" a="1"/>
  <c r="V53" i="71" s="1"/>
  <c r="K52" i="71" a="1"/>
  <c r="K52" i="71" s="1"/>
  <c r="T51" i="71" a="1"/>
  <c r="T51" i="71" s="1"/>
  <c r="AC50" i="71" a="1"/>
  <c r="AC50" i="71" s="1"/>
  <c r="J50" i="71" a="1"/>
  <c r="J50" i="71" s="1"/>
  <c r="R49" i="71" a="1"/>
  <c r="R49" i="71" s="1"/>
  <c r="AA48" i="71" a="1"/>
  <c r="AA48" i="71" s="1"/>
  <c r="H48" i="71" a="1"/>
  <c r="H48" i="71" s="1"/>
  <c r="Q47" i="71" a="1"/>
  <c r="Q47" i="71" s="1"/>
  <c r="Z46" i="71" a="1"/>
  <c r="Z46" i="71" s="1"/>
  <c r="F46" i="71" a="1"/>
  <c r="F46" i="71" s="1"/>
  <c r="O45" i="71" a="1"/>
  <c r="O45" i="71" s="1"/>
  <c r="X44" i="71" a="1"/>
  <c r="X44" i="71" s="1"/>
  <c r="E44" i="71" a="1"/>
  <c r="E44" i="71" s="1"/>
  <c r="M43" i="71" a="1"/>
  <c r="M43" i="71" s="1"/>
  <c r="V42" i="71" a="1"/>
  <c r="V42" i="71" s="1"/>
  <c r="AC41" i="71" a="1"/>
  <c r="AC41" i="71" s="1"/>
  <c r="D55" i="71" a="1"/>
  <c r="D55" i="71" s="1"/>
  <c r="J52" i="71" a="1"/>
  <c r="J52" i="71" s="1"/>
  <c r="AB50" i="71" a="1"/>
  <c r="AB50" i="71" s="1"/>
  <c r="Z48" i="71" a="1"/>
  <c r="Z48" i="71" s="1"/>
  <c r="Y46" i="71" a="1"/>
  <c r="Y46" i="71" s="1"/>
  <c r="W44" i="71" a="1"/>
  <c r="W44" i="71" s="1"/>
  <c r="L43" i="71" a="1"/>
  <c r="L43" i="71" s="1"/>
  <c r="I41" i="71" a="1"/>
  <c r="I41" i="71" s="1"/>
  <c r="D57" i="71" a="1"/>
  <c r="D57" i="71" s="1"/>
  <c r="T53" i="71" a="1"/>
  <c r="T53" i="71" s="1"/>
  <c r="AA50" i="71" a="1"/>
  <c r="AA50" i="71" s="1"/>
  <c r="F48" i="71" a="1"/>
  <c r="F48" i="71" s="1"/>
  <c r="M45" i="71" a="1"/>
  <c r="M45" i="71" s="1"/>
  <c r="T42" i="71" a="1"/>
  <c r="T42" i="71" s="1"/>
  <c r="G52" i="71" a="1"/>
  <c r="G52" i="71" s="1"/>
  <c r="M47" i="71" a="1"/>
  <c r="M47" i="71" s="1"/>
  <c r="F52" i="71" a="1"/>
  <c r="F52" i="71" s="1"/>
  <c r="U46" i="71" a="1"/>
  <c r="U46" i="71" s="1"/>
  <c r="L60" i="71" a="1"/>
  <c r="L60" i="71" s="1"/>
  <c r="G54" i="71" a="1"/>
  <c r="G54" i="71" s="1"/>
  <c r="V68" i="71" a="1"/>
  <c r="V68" i="71" s="1"/>
  <c r="B68" i="71" a="1"/>
  <c r="B68" i="71" s="1"/>
  <c r="K67" i="71" a="1"/>
  <c r="K67" i="71" s="1"/>
  <c r="V66" i="71" a="1"/>
  <c r="V66" i="71" s="1"/>
  <c r="C66" i="71" a="1"/>
  <c r="C66" i="71" s="1"/>
  <c r="L65" i="71" a="1"/>
  <c r="L65" i="71" s="1"/>
  <c r="U64" i="71" a="1"/>
  <c r="U64" i="71" s="1"/>
  <c r="AC63" i="71" a="1"/>
  <c r="AC63" i="71" s="1"/>
  <c r="J63" i="71" a="1"/>
  <c r="J63" i="71" s="1"/>
  <c r="S62" i="71" a="1"/>
  <c r="S62" i="71" s="1"/>
  <c r="AB61" i="71" a="1"/>
  <c r="AB61" i="71" s="1"/>
  <c r="H61" i="71" a="1"/>
  <c r="H61" i="71" s="1"/>
  <c r="Q60" i="71" a="1"/>
  <c r="Q60" i="71" s="1"/>
  <c r="Z59" i="71" a="1"/>
  <c r="Z59" i="71" s="1"/>
  <c r="F59" i="71" a="1"/>
  <c r="F59" i="71" s="1"/>
  <c r="P58" i="71" a="1"/>
  <c r="P58" i="71" s="1"/>
  <c r="X57" i="71" a="1"/>
  <c r="X57" i="71" s="1"/>
  <c r="E57" i="71" a="1"/>
  <c r="E57" i="71" s="1"/>
  <c r="N56" i="71" a="1"/>
  <c r="N56" i="71" s="1"/>
  <c r="V55" i="71" a="1"/>
  <c r="V55" i="71" s="1"/>
  <c r="L54" i="71" a="1"/>
  <c r="L54" i="71" s="1"/>
  <c r="U53" i="71" a="1"/>
  <c r="U53" i="71" s="1"/>
  <c r="S51" i="71" a="1"/>
  <c r="S51" i="71" s="1"/>
  <c r="Q49" i="71" a="1"/>
  <c r="Q49" i="71" s="1"/>
  <c r="P47" i="71" a="1"/>
  <c r="P47" i="71" s="1"/>
  <c r="N45" i="71" a="1"/>
  <c r="N45" i="71" s="1"/>
  <c r="U42" i="71" a="1"/>
  <c r="U42" i="71" s="1"/>
  <c r="U55" i="71" a="1"/>
  <c r="U55" i="71" s="1"/>
  <c r="I52" i="71" a="1"/>
  <c r="I52" i="71" s="1"/>
  <c r="P49" i="71" a="1"/>
  <c r="P49" i="71" s="1"/>
  <c r="X46" i="71" a="1"/>
  <c r="X46" i="71" s="1"/>
  <c r="C44" i="71" a="1"/>
  <c r="C44" i="71" s="1"/>
  <c r="I54" i="71" a="1"/>
  <c r="I54" i="71" s="1"/>
  <c r="T44" i="71" a="1"/>
  <c r="T44" i="71" s="1"/>
  <c r="P51" i="71" a="1"/>
  <c r="P51" i="71" s="1"/>
  <c r="AB43" i="71" a="1"/>
  <c r="AB43" i="71" s="1"/>
  <c r="X63" i="71" a="1"/>
  <c r="X63" i="71" s="1"/>
  <c r="E52" i="71" a="1"/>
  <c r="E52" i="71" s="1"/>
  <c r="U68" i="71" a="1"/>
  <c r="U68" i="71" s="1"/>
  <c r="AC67" i="71" a="1"/>
  <c r="AC67" i="71" s="1"/>
  <c r="U66" i="71" a="1"/>
  <c r="U66" i="71" s="1"/>
  <c r="B66" i="71" a="1"/>
  <c r="B66" i="71" s="1"/>
  <c r="K65" i="71" a="1"/>
  <c r="K65" i="71" s="1"/>
  <c r="T64" i="71" a="1"/>
  <c r="T64" i="71" s="1"/>
  <c r="AB63" i="71" a="1"/>
  <c r="AB63" i="71" s="1"/>
  <c r="I63" i="71" a="1"/>
  <c r="I63" i="71" s="1"/>
  <c r="R62" i="71" a="1"/>
  <c r="R62" i="71" s="1"/>
  <c r="AA61" i="71" a="1"/>
  <c r="AA61" i="71" s="1"/>
  <c r="P60" i="71" a="1"/>
  <c r="P60" i="71" s="1"/>
  <c r="Y59" i="71" a="1"/>
  <c r="Y59" i="71" s="1"/>
  <c r="O58" i="71" a="1"/>
  <c r="O58" i="71" s="1"/>
  <c r="M56" i="71" a="1"/>
  <c r="M56" i="71" s="1"/>
  <c r="C55" i="71" a="1"/>
  <c r="C55" i="71" s="1"/>
  <c r="AC52" i="71" a="1"/>
  <c r="AC52" i="71" s="1"/>
  <c r="H50" i="71" a="1"/>
  <c r="H50" i="71" s="1"/>
  <c r="O47" i="71" a="1"/>
  <c r="O47" i="71" s="1"/>
  <c r="V44" i="71" a="1"/>
  <c r="V44" i="71" s="1"/>
  <c r="H41" i="71" a="1"/>
  <c r="H41" i="71" s="1"/>
  <c r="F50" i="71" a="1"/>
  <c r="F50" i="71" s="1"/>
  <c r="J43" i="71" a="1"/>
  <c r="J43" i="71" s="1"/>
  <c r="Q53" i="71" a="1"/>
  <c r="Q53" i="71" s="1"/>
  <c r="I43" i="71" a="1"/>
  <c r="I43" i="71" s="1"/>
  <c r="N62" i="71" a="1"/>
  <c r="N62" i="71" s="1"/>
  <c r="AA54" i="71" a="1"/>
  <c r="AA54" i="71" s="1"/>
  <c r="T68" i="71" a="1"/>
  <c r="T68" i="71" s="1"/>
  <c r="AB67" i="71" a="1"/>
  <c r="AB67" i="71" s="1"/>
  <c r="J67" i="71" a="1"/>
  <c r="J67" i="71" s="1"/>
  <c r="T66" i="71" a="1"/>
  <c r="T66" i="71" s="1"/>
  <c r="AC65" i="71" a="1"/>
  <c r="AC65" i="71" s="1"/>
  <c r="J65" i="71" a="1"/>
  <c r="J65" i="71" s="1"/>
  <c r="S64" i="71" a="1"/>
  <c r="S64" i="71" s="1"/>
  <c r="AA63" i="71" a="1"/>
  <c r="AA63" i="71" s="1"/>
  <c r="H63" i="71" a="1"/>
  <c r="H63" i="71" s="1"/>
  <c r="Q62" i="71" a="1"/>
  <c r="Q62" i="71" s="1"/>
  <c r="Z61" i="71" a="1"/>
  <c r="Z61" i="71" s="1"/>
  <c r="G61" i="71" a="1"/>
  <c r="G61" i="71" s="1"/>
  <c r="O60" i="71" a="1"/>
  <c r="O60" i="71" s="1"/>
  <c r="X59" i="71" a="1"/>
  <c r="X59" i="71" s="1"/>
  <c r="E59" i="71" a="1"/>
  <c r="E59" i="71" s="1"/>
  <c r="N58" i="71" a="1"/>
  <c r="N58" i="71" s="1"/>
  <c r="V57" i="71" a="1"/>
  <c r="V57" i="71" s="1"/>
  <c r="C57" i="71" a="1"/>
  <c r="C57" i="71" s="1"/>
  <c r="L56" i="71" a="1"/>
  <c r="L56" i="71" s="1"/>
  <c r="T55" i="71" a="1"/>
  <c r="T55" i="71" s="1"/>
  <c r="B55" i="71" a="1"/>
  <c r="B55" i="71" s="1"/>
  <c r="J54" i="71" a="1"/>
  <c r="J54" i="71" s="1"/>
  <c r="S53" i="71" a="1"/>
  <c r="S53" i="71" s="1"/>
  <c r="AB52" i="71" a="1"/>
  <c r="AB52" i="71" s="1"/>
  <c r="H52" i="71" a="1"/>
  <c r="H52" i="71" s="1"/>
  <c r="Q51" i="71" a="1"/>
  <c r="Q51" i="71" s="1"/>
  <c r="Z50" i="71" a="1"/>
  <c r="Z50" i="71" s="1"/>
  <c r="G50" i="71" a="1"/>
  <c r="G50" i="71" s="1"/>
  <c r="O49" i="71" a="1"/>
  <c r="O49" i="71" s="1"/>
  <c r="X48" i="71" a="1"/>
  <c r="X48" i="71" s="1"/>
  <c r="E48" i="71" a="1"/>
  <c r="E48" i="71" s="1"/>
  <c r="N47" i="71" a="1"/>
  <c r="N47" i="71" s="1"/>
  <c r="W46" i="71" a="1"/>
  <c r="W46" i="71" s="1"/>
  <c r="C46" i="71" a="1"/>
  <c r="C46" i="71" s="1"/>
  <c r="L45" i="71" a="1"/>
  <c r="L45" i="71" s="1"/>
  <c r="U44" i="71" a="1"/>
  <c r="U44" i="71" s="1"/>
  <c r="B44" i="71" a="1"/>
  <c r="B44" i="71" s="1"/>
  <c r="K43" i="71" a="1"/>
  <c r="K43" i="71" s="1"/>
  <c r="S42" i="71" a="1"/>
  <c r="S42" i="71" s="1"/>
  <c r="Z41" i="71" a="1"/>
  <c r="Z41" i="71" s="1"/>
  <c r="G41" i="71" a="1"/>
  <c r="G41" i="71" s="1"/>
  <c r="B57" i="71" a="1"/>
  <c r="B57" i="71" s="1"/>
  <c r="V46" i="71" a="1"/>
  <c r="V46" i="71" s="1"/>
  <c r="E50" i="71" a="1"/>
  <c r="E50" i="71" s="1"/>
  <c r="X41" i="71" a="1"/>
  <c r="X41" i="71" s="1"/>
  <c r="P64" i="71" a="1"/>
  <c r="P64" i="71" s="1"/>
  <c r="O51" i="71" a="1"/>
  <c r="O51" i="71" s="1"/>
  <c r="S68" i="71" a="1"/>
  <c r="S68" i="71" s="1"/>
  <c r="AA67" i="71" a="1"/>
  <c r="AA67" i="71" s="1"/>
  <c r="S66" i="71" a="1"/>
  <c r="S66" i="71" s="1"/>
  <c r="AB65" i="71" a="1"/>
  <c r="AB65" i="71" s="1"/>
  <c r="I65" i="71" a="1"/>
  <c r="I65" i="71" s="1"/>
  <c r="R64" i="71" a="1"/>
  <c r="R64" i="71" s="1"/>
  <c r="Z63" i="71" a="1"/>
  <c r="Z63" i="71" s="1"/>
  <c r="G63" i="71" a="1"/>
  <c r="G63" i="71" s="1"/>
  <c r="P62" i="71" a="1"/>
  <c r="P62" i="71" s="1"/>
  <c r="Y61" i="71" a="1"/>
  <c r="Y61" i="71" s="1"/>
  <c r="F61" i="71" a="1"/>
  <c r="F61" i="71" s="1"/>
  <c r="N60" i="71" a="1"/>
  <c r="N60" i="71" s="1"/>
  <c r="W59" i="71" a="1"/>
  <c r="W59" i="71" s="1"/>
  <c r="D59" i="71" a="1"/>
  <c r="D59" i="71" s="1"/>
  <c r="M58" i="71" a="1"/>
  <c r="M58" i="71" s="1"/>
  <c r="U57" i="71" a="1"/>
  <c r="U57" i="71" s="1"/>
  <c r="K56" i="71" a="1"/>
  <c r="K56" i="71" s="1"/>
  <c r="S55" i="71" a="1"/>
  <c r="S55" i="71" s="1"/>
  <c r="AA52" i="71" a="1"/>
  <c r="AA52" i="71" s="1"/>
  <c r="D48" i="71" a="1"/>
  <c r="D48" i="71" s="1"/>
  <c r="N49" i="71" a="1"/>
  <c r="N49" i="71" s="1"/>
  <c r="J45" i="71" a="1"/>
  <c r="J45" i="71" s="1"/>
  <c r="Y67" i="71" a="1"/>
  <c r="Y67" i="71" s="1"/>
  <c r="U59" i="71" a="1"/>
  <c r="U59" i="71" s="1"/>
  <c r="I56" i="71" a="1"/>
  <c r="I56" i="71" s="1"/>
  <c r="M49" i="71" a="1"/>
  <c r="M49" i="71" s="1"/>
  <c r="P68" i="71" a="1"/>
  <c r="P68" i="71" s="1"/>
  <c r="F65" i="71" a="1"/>
  <c r="F65" i="71" s="1"/>
  <c r="V61" i="71" a="1"/>
  <c r="V61" i="71" s="1"/>
  <c r="J58" i="71" a="1"/>
  <c r="J58" i="71" s="1"/>
  <c r="Z54" i="71" a="1"/>
  <c r="Z54" i="71" s="1"/>
  <c r="N51" i="71" a="1"/>
  <c r="N51" i="71" s="1"/>
  <c r="B48" i="71" a="1"/>
  <c r="B48" i="71" s="1"/>
  <c r="H45" i="71" a="1"/>
  <c r="H45" i="71" s="1"/>
  <c r="O42" i="71" a="1"/>
  <c r="O42" i="71" s="1"/>
  <c r="O68" i="71" a="1"/>
  <c r="O68" i="71" s="1"/>
  <c r="E65" i="71" a="1"/>
  <c r="E65" i="71" s="1"/>
  <c r="U61" i="71" a="1"/>
  <c r="U61" i="71" s="1"/>
  <c r="I58" i="71" a="1"/>
  <c r="I58" i="71" s="1"/>
  <c r="Y54" i="71" a="1"/>
  <c r="Y54" i="71" s="1"/>
  <c r="M51" i="71" a="1"/>
  <c r="M51" i="71" s="1"/>
  <c r="AC47" i="71" a="1"/>
  <c r="AC47" i="71" s="1"/>
  <c r="G45" i="71" a="1"/>
  <c r="G45" i="71" s="1"/>
  <c r="N42" i="71" a="1"/>
  <c r="N42" i="71" s="1"/>
  <c r="N68" i="71" a="1"/>
  <c r="N68" i="71" s="1"/>
  <c r="D65" i="71" a="1"/>
  <c r="D65" i="71" s="1"/>
  <c r="T61" i="71" a="1"/>
  <c r="T61" i="71" s="1"/>
  <c r="H58" i="71" a="1"/>
  <c r="H58" i="71" s="1"/>
  <c r="X54" i="71" a="1"/>
  <c r="X54" i="71" s="1"/>
  <c r="L51" i="71" a="1"/>
  <c r="L51" i="71" s="1"/>
  <c r="F45" i="71" a="1"/>
  <c r="F45" i="71" s="1"/>
  <c r="M42" i="71" a="1"/>
  <c r="M42" i="71" s="1"/>
  <c r="E67" i="71" a="1"/>
  <c r="E67" i="71" s="1"/>
  <c r="R46" i="71" a="1"/>
  <c r="R46" i="71" s="1"/>
  <c r="B41" i="71" a="1"/>
  <c r="B41" i="71" s="1"/>
  <c r="M66" i="71" a="1"/>
  <c r="M66" i="71" s="1"/>
  <c r="Q55" i="71" a="1"/>
  <c r="Q55" i="71" s="1"/>
  <c r="L62" i="71" a="1"/>
  <c r="L62" i="71" s="1"/>
  <c r="AA58" i="71" a="1"/>
  <c r="AA58" i="71" s="1"/>
  <c r="R48" i="71" a="1"/>
  <c r="R48" i="71" s="1"/>
  <c r="Q48" i="71" a="1"/>
  <c r="Q48" i="71" s="1"/>
  <c r="U52" i="71" a="1"/>
  <c r="U52" i="71" s="1"/>
  <c r="O55" i="71" a="1"/>
  <c r="O55" i="71" s="1"/>
  <c r="N55" i="71" a="1"/>
  <c r="N55" i="71" s="1"/>
  <c r="Q59" i="71" a="1"/>
  <c r="Q59" i="71" s="1"/>
  <c r="M68" i="71" a="1"/>
  <c r="M68" i="71" s="1"/>
  <c r="C65" i="71" a="1"/>
  <c r="C65" i="71" s="1"/>
  <c r="S61" i="71" a="1"/>
  <c r="S61" i="71" s="1"/>
  <c r="G58" i="71" a="1"/>
  <c r="G58" i="71" s="1"/>
  <c r="W54" i="71" a="1"/>
  <c r="W54" i="71" s="1"/>
  <c r="K51" i="71" a="1"/>
  <c r="K51" i="71" s="1"/>
  <c r="AB47" i="71" a="1"/>
  <c r="AB47" i="71" s="1"/>
  <c r="E45" i="71" a="1"/>
  <c r="E45" i="71" s="1"/>
  <c r="L42" i="71" a="1"/>
  <c r="L42" i="71" s="1"/>
  <c r="L64" i="71" a="1"/>
  <c r="L64" i="71" s="1"/>
  <c r="O44" i="71" a="1"/>
  <c r="O44" i="71" s="1"/>
  <c r="B50" i="71" a="1"/>
  <c r="B50" i="71" s="1"/>
  <c r="F67" i="71" a="1"/>
  <c r="F67" i="71" s="1"/>
  <c r="S46" i="71" a="1"/>
  <c r="S46" i="71" s="1"/>
  <c r="L53" i="71" a="1"/>
  <c r="L53" i="71" s="1"/>
  <c r="I49" i="71" a="1"/>
  <c r="I49" i="71" s="1"/>
  <c r="P55" i="71" a="1"/>
  <c r="P55" i="71" s="1"/>
  <c r="D43" i="71" a="1"/>
  <c r="D43" i="71" s="1"/>
  <c r="X67" i="71" a="1"/>
  <c r="X67" i="71" s="1"/>
  <c r="O64" i="71" a="1"/>
  <c r="O64" i="71" s="1"/>
  <c r="C61" i="71" a="1"/>
  <c r="C61" i="71" s="1"/>
  <c r="S57" i="71" a="1"/>
  <c r="S57" i="71" s="1"/>
  <c r="F54" i="71" a="1"/>
  <c r="F54" i="71" s="1"/>
  <c r="V50" i="71" a="1"/>
  <c r="V50" i="71" s="1"/>
  <c r="AA47" i="71" a="1"/>
  <c r="AA47" i="71" s="1"/>
  <c r="R44" i="71" a="1"/>
  <c r="R44" i="71" s="1"/>
  <c r="W41" i="71" a="1"/>
  <c r="W41" i="71" s="1"/>
  <c r="U67" i="71" a="1"/>
  <c r="U67" i="71" s="1"/>
  <c r="T41" i="71" a="1"/>
  <c r="T41" i="71" s="1"/>
  <c r="AA43" i="71" a="1"/>
  <c r="AA43" i="71" s="1"/>
  <c r="V63" i="71" a="1"/>
  <c r="V63" i="71" s="1"/>
  <c r="C41" i="71" a="1"/>
  <c r="C41" i="71" s="1"/>
  <c r="X56" i="71" a="1"/>
  <c r="X56" i="71" s="1"/>
  <c r="E56" i="71" a="1"/>
  <c r="E56" i="71" s="1"/>
  <c r="T48" i="71" a="1"/>
  <c r="T48" i="71" s="1"/>
  <c r="Z45" i="71" a="1"/>
  <c r="Z45" i="71" s="1"/>
  <c r="Y45" i="71" a="1"/>
  <c r="Y45" i="71" s="1"/>
  <c r="W67" i="71" a="1"/>
  <c r="W67" i="71" s="1"/>
  <c r="N64" i="71" a="1"/>
  <c r="N64" i="71" s="1"/>
  <c r="B61" i="71" a="1"/>
  <c r="B61" i="71" s="1"/>
  <c r="R57" i="71" a="1"/>
  <c r="R57" i="71" s="1"/>
  <c r="E54" i="71" a="1"/>
  <c r="E54" i="71" s="1"/>
  <c r="U50" i="71" a="1"/>
  <c r="U50" i="71" s="1"/>
  <c r="J47" i="71" a="1"/>
  <c r="J47" i="71" s="1"/>
  <c r="Q44" i="71" a="1"/>
  <c r="Q44" i="71" s="1"/>
  <c r="V41" i="71" a="1"/>
  <c r="V41" i="71" s="1"/>
  <c r="P57" i="71" a="1"/>
  <c r="P57" i="71" s="1"/>
  <c r="H47" i="71" a="1"/>
  <c r="H47" i="71" s="1"/>
  <c r="Z56" i="71" a="1"/>
  <c r="Z56" i="71" s="1"/>
  <c r="I60" i="71" a="1"/>
  <c r="I60" i="71" s="1"/>
  <c r="Z43" i="71" a="1"/>
  <c r="Z43" i="71" s="1"/>
  <c r="AB49" i="71" a="1"/>
  <c r="AB49" i="71" s="1"/>
  <c r="G43" i="71" a="1"/>
  <c r="G43" i="71" s="1"/>
  <c r="D52" i="71" a="1"/>
  <c r="D52" i="71" s="1"/>
  <c r="C52" i="71" a="1"/>
  <c r="C52" i="71" s="1"/>
  <c r="W65" i="71" a="1"/>
  <c r="W65" i="71" s="1"/>
  <c r="V67" i="71" a="1"/>
  <c r="V67" i="71" s="1"/>
  <c r="M64" i="71" a="1"/>
  <c r="M64" i="71" s="1"/>
  <c r="AC60" i="71" a="1"/>
  <c r="AC60" i="71" s="1"/>
  <c r="Q57" i="71" a="1"/>
  <c r="Q57" i="71" s="1"/>
  <c r="D54" i="71" a="1"/>
  <c r="D54" i="71" s="1"/>
  <c r="T50" i="71" a="1"/>
  <c r="T50" i="71" s="1"/>
  <c r="I47" i="71" a="1"/>
  <c r="I47" i="71" s="1"/>
  <c r="P44" i="71" a="1"/>
  <c r="P44" i="71" s="1"/>
  <c r="U41" i="71" a="1"/>
  <c r="U41" i="71" s="1"/>
  <c r="AB60" i="71" a="1"/>
  <c r="AB60" i="71" s="1"/>
  <c r="S50" i="71" a="1"/>
  <c r="S50" i="71" s="1"/>
  <c r="N53" i="71" a="1"/>
  <c r="N53" i="71" s="1"/>
  <c r="D41" i="71" a="1"/>
  <c r="D41" i="71" s="1"/>
  <c r="M53" i="71" a="1"/>
  <c r="M53" i="71" s="1"/>
  <c r="U63" i="71" a="1"/>
  <c r="U63" i="71" s="1"/>
  <c r="Y43" i="71" a="1"/>
  <c r="Y43" i="71" s="1"/>
  <c r="Y65" i="71" a="1"/>
  <c r="Y65" i="71" s="1"/>
  <c r="E43" i="71" a="1"/>
  <c r="E43" i="71" s="1"/>
  <c r="Z58" i="71" a="1"/>
  <c r="Z58" i="71" s="1"/>
  <c r="H67" i="71" a="1"/>
  <c r="H67" i="71" s="1"/>
  <c r="W63" i="71" a="1"/>
  <c r="W63" i="71" s="1"/>
  <c r="K60" i="71" a="1"/>
  <c r="K60" i="71" s="1"/>
  <c r="AA56" i="71" a="1"/>
  <c r="AA56" i="71" s="1"/>
  <c r="O53" i="71" a="1"/>
  <c r="O53" i="71" s="1"/>
  <c r="C50" i="71" a="1"/>
  <c r="C50" i="71" s="1"/>
  <c r="G47" i="71" a="1"/>
  <c r="G47" i="71" s="1"/>
  <c r="N44" i="71" a="1"/>
  <c r="N44" i="71" s="1"/>
  <c r="S41" i="71" a="1"/>
  <c r="S41" i="71" s="1"/>
  <c r="G67" i="71" a="1"/>
  <c r="G67" i="71" s="1"/>
  <c r="J60" i="71" a="1"/>
  <c r="J60" i="71" s="1"/>
  <c r="T46" i="71" a="1"/>
  <c r="T46" i="71" s="1"/>
  <c r="Y56" i="71" a="1"/>
  <c r="Y56" i="71" s="1"/>
  <c r="AC49" i="71" a="1"/>
  <c r="AC49" i="71" s="1"/>
  <c r="H60" i="71" a="1"/>
  <c r="H60" i="71" s="1"/>
  <c r="AC62" i="71" a="1"/>
  <c r="AC62" i="71" s="1"/>
  <c r="F43" i="71" a="1"/>
  <c r="F43" i="71" s="1"/>
  <c r="S48" i="71" a="1"/>
  <c r="S48" i="71" s="1"/>
  <c r="J62" i="71" a="1"/>
  <c r="J62" i="71" s="1"/>
  <c r="P66" i="71" a="1"/>
  <c r="P66" i="71" s="1"/>
  <c r="D63" i="71" a="1"/>
  <c r="D63" i="71" s="1"/>
  <c r="T59" i="71" a="1"/>
  <c r="T59" i="71" s="1"/>
  <c r="H56" i="71" a="1"/>
  <c r="H56" i="71" s="1"/>
  <c r="X52" i="71" a="1"/>
  <c r="X52" i="71" s="1"/>
  <c r="L49" i="71" a="1"/>
  <c r="L49" i="71" s="1"/>
  <c r="Q46" i="71" a="1"/>
  <c r="Q46" i="71" s="1"/>
  <c r="X43" i="71" a="1"/>
  <c r="X43" i="71" s="1"/>
  <c r="B11" i="71" a="1"/>
  <c r="B11" i="71" s="1"/>
  <c r="O66" i="71" a="1"/>
  <c r="O66" i="71" s="1"/>
  <c r="C63" i="71" a="1"/>
  <c r="C63" i="71" s="1"/>
  <c r="S59" i="71" a="1"/>
  <c r="S59" i="71" s="1"/>
  <c r="G56" i="71" a="1"/>
  <c r="G56" i="71" s="1"/>
  <c r="W52" i="71" a="1"/>
  <c r="W52" i="71" s="1"/>
  <c r="K49" i="71" a="1"/>
  <c r="K49" i="71" s="1"/>
  <c r="P46" i="71" a="1"/>
  <c r="P46" i="71" s="1"/>
  <c r="W43" i="71" a="1"/>
  <c r="W43" i="71" s="1"/>
  <c r="N66" i="71" a="1"/>
  <c r="N66" i="71" s="1"/>
  <c r="B63" i="71" a="1"/>
  <c r="B63" i="71" s="1"/>
  <c r="R59" i="71" a="1"/>
  <c r="R59" i="71" s="1"/>
  <c r="V52" i="71" a="1"/>
  <c r="V52" i="71" s="1"/>
  <c r="J49" i="71" a="1"/>
  <c r="J49" i="71" s="1"/>
  <c r="AB45" i="71" a="1"/>
  <c r="AB45" i="71" s="1"/>
  <c r="H43" i="71" a="1"/>
  <c r="H43" i="71" s="1"/>
  <c r="AA45" i="71" a="1"/>
  <c r="AA45" i="71" s="1"/>
  <c r="AC58" i="71" a="1"/>
  <c r="AC58" i="71" s="1"/>
  <c r="AB58" i="71" a="1"/>
  <c r="AB58" i="71" s="1"/>
  <c r="K62" i="71" a="1"/>
  <c r="K62" i="71" s="1"/>
  <c r="B52" i="71" a="1"/>
  <c r="B52" i="71" s="1"/>
  <c r="P42" i="71" a="1"/>
  <c r="P42" i="71" s="1"/>
  <c r="F56" i="71" a="1"/>
  <c r="F56" i="71" s="1"/>
  <c r="M62" i="71" a="1"/>
  <c r="M62" i="71" s="1"/>
  <c r="X65" i="71" a="1"/>
  <c r="X65" i="71" s="1"/>
  <c r="I45" i="71" a="1"/>
  <c r="I45" i="71" s="1"/>
  <c r="B144" i="71"/>
  <c r="B90" i="71"/>
  <c r="D102" i="71"/>
  <c r="E99" i="71"/>
  <c r="F96" i="71"/>
  <c r="G93" i="71"/>
  <c r="H90" i="71"/>
  <c r="I87" i="71"/>
  <c r="C85" i="71"/>
  <c r="D82" i="71"/>
  <c r="E79" i="71"/>
  <c r="F76" i="71"/>
  <c r="G170" i="71"/>
  <c r="C168" i="71"/>
  <c r="G165" i="71"/>
  <c r="C163" i="71"/>
  <c r="G160" i="71"/>
  <c r="C158" i="71"/>
  <c r="G155" i="71"/>
  <c r="C153" i="71"/>
  <c r="G150" i="71"/>
  <c r="C148" i="71"/>
  <c r="G145" i="71"/>
  <c r="B17" i="71" a="1"/>
  <c r="B17" i="71" s="1"/>
  <c r="R34" i="71" a="1"/>
  <c r="R34" i="71" s="1"/>
  <c r="Y33" i="71" a="1"/>
  <c r="Y33" i="71" s="1"/>
  <c r="E33" i="71" a="1"/>
  <c r="E33" i="71" s="1"/>
  <c r="L32" i="71" a="1"/>
  <c r="L32" i="71" s="1"/>
  <c r="S31" i="71" a="1"/>
  <c r="S31" i="71" s="1"/>
  <c r="Z30" i="71" a="1"/>
  <c r="Z30" i="71" s="1"/>
  <c r="F30" i="71" a="1"/>
  <c r="F30" i="71" s="1"/>
  <c r="M29" i="71" a="1"/>
  <c r="M29" i="71" s="1"/>
  <c r="T28" i="71" a="1"/>
  <c r="T28" i="71" s="1"/>
  <c r="AA27" i="71" a="1"/>
  <c r="AA27" i="71" s="1"/>
  <c r="G27" i="71" a="1"/>
  <c r="G27" i="71" s="1"/>
  <c r="N26" i="71" a="1"/>
  <c r="N26" i="71" s="1"/>
  <c r="U25" i="71" a="1"/>
  <c r="U25" i="71" s="1"/>
  <c r="AB24" i="71" a="1"/>
  <c r="AB24" i="71" s="1"/>
  <c r="H24" i="71" a="1"/>
  <c r="H24" i="71" s="1"/>
  <c r="O23" i="71" a="1"/>
  <c r="O23" i="71" s="1"/>
  <c r="V22" i="71" a="1"/>
  <c r="V22" i="71" s="1"/>
  <c r="AC21" i="71" a="1"/>
  <c r="AC21" i="71" s="1"/>
  <c r="I21" i="71" a="1"/>
  <c r="I21" i="71" s="1"/>
  <c r="P20" i="71" a="1"/>
  <c r="P20" i="71" s="1"/>
  <c r="W19" i="71" a="1"/>
  <c r="W19" i="71" s="1"/>
  <c r="C19" i="71" a="1"/>
  <c r="C19" i="71" s="1"/>
  <c r="J18" i="71" a="1"/>
  <c r="J18" i="71" s="1"/>
  <c r="Q17" i="71" a="1"/>
  <c r="Q17" i="71" s="1"/>
  <c r="X16" i="71" a="1"/>
  <c r="X16" i="71" s="1"/>
  <c r="D16" i="71" a="1"/>
  <c r="D16" i="71" s="1"/>
  <c r="K15" i="71" a="1"/>
  <c r="K15" i="71" s="1"/>
  <c r="R14" i="71" a="1"/>
  <c r="R14" i="71" s="1"/>
  <c r="Y13" i="71" a="1"/>
  <c r="Y13" i="71" s="1"/>
  <c r="E13" i="71" a="1"/>
  <c r="E13" i="71" s="1"/>
  <c r="L12" i="71" a="1"/>
  <c r="L12" i="71" s="1"/>
  <c r="S11" i="71" a="1"/>
  <c r="S11" i="71" s="1"/>
  <c r="Z10" i="71" a="1"/>
  <c r="Z10" i="71" s="1"/>
  <c r="G10" i="71" a="1"/>
  <c r="G10" i="71" s="1"/>
  <c r="N9" i="71" a="1"/>
  <c r="N9" i="71" s="1"/>
  <c r="U8" i="71" a="1"/>
  <c r="U8" i="71" s="1"/>
  <c r="Z7" i="71" a="1"/>
  <c r="Z7" i="71" s="1"/>
  <c r="F7" i="71" a="1"/>
  <c r="F7" i="71" s="1"/>
  <c r="B89" i="71"/>
  <c r="C102" i="71"/>
  <c r="D99" i="71"/>
  <c r="E96" i="71"/>
  <c r="F93" i="71"/>
  <c r="G90" i="71"/>
  <c r="H87" i="71"/>
  <c r="I84" i="71"/>
  <c r="C82" i="71"/>
  <c r="D79" i="71"/>
  <c r="E76" i="71"/>
  <c r="F170" i="71"/>
  <c r="B168" i="71"/>
  <c r="F165" i="71"/>
  <c r="B163" i="71"/>
  <c r="F160" i="71"/>
  <c r="B158" i="71"/>
  <c r="F155" i="71"/>
  <c r="B153" i="71"/>
  <c r="F150" i="71"/>
  <c r="B148" i="71"/>
  <c r="F145" i="71"/>
  <c r="B16" i="71" a="1"/>
  <c r="B16" i="71" s="1"/>
  <c r="Q34" i="71" a="1"/>
  <c r="Q34" i="71" s="1"/>
  <c r="X33" i="71" a="1"/>
  <c r="X33" i="71" s="1"/>
  <c r="D33" i="71" a="1"/>
  <c r="D33" i="71" s="1"/>
  <c r="K32" i="71" a="1"/>
  <c r="K32" i="71" s="1"/>
  <c r="R31" i="71" a="1"/>
  <c r="R31" i="71" s="1"/>
  <c r="Y30" i="71" a="1"/>
  <c r="Y30" i="71" s="1"/>
  <c r="E30" i="71" a="1"/>
  <c r="E30" i="71" s="1"/>
  <c r="L29" i="71" a="1"/>
  <c r="L29" i="71" s="1"/>
  <c r="S28" i="71" a="1"/>
  <c r="S28" i="71" s="1"/>
  <c r="Z27" i="71" a="1"/>
  <c r="Z27" i="71" s="1"/>
  <c r="F27" i="71" a="1"/>
  <c r="F27" i="71" s="1"/>
  <c r="M26" i="71" a="1"/>
  <c r="M26" i="71" s="1"/>
  <c r="T25" i="71" a="1"/>
  <c r="T25" i="71" s="1"/>
  <c r="AA24" i="71" a="1"/>
  <c r="AA24" i="71" s="1"/>
  <c r="G24" i="71" a="1"/>
  <c r="G24" i="71" s="1"/>
  <c r="N23" i="71" a="1"/>
  <c r="N23" i="71" s="1"/>
  <c r="U22" i="71" a="1"/>
  <c r="U22" i="71" s="1"/>
  <c r="AB21" i="71" a="1"/>
  <c r="AB21" i="71" s="1"/>
  <c r="H21" i="71" a="1"/>
  <c r="H21" i="71" s="1"/>
  <c r="O20" i="71" a="1"/>
  <c r="O20" i="71" s="1"/>
  <c r="V19" i="71" a="1"/>
  <c r="V19" i="71" s="1"/>
  <c r="AC18" i="71" a="1"/>
  <c r="AC18" i="71" s="1"/>
  <c r="I18" i="71" a="1"/>
  <c r="I18" i="71" s="1"/>
  <c r="P17" i="71" a="1"/>
  <c r="P17" i="71" s="1"/>
  <c r="W16" i="71" a="1"/>
  <c r="W16" i="71" s="1"/>
  <c r="C16" i="71" a="1"/>
  <c r="C16" i="71" s="1"/>
  <c r="J15" i="71" a="1"/>
  <c r="J15" i="71" s="1"/>
  <c r="Q14" i="71" a="1"/>
  <c r="Q14" i="71" s="1"/>
  <c r="X13" i="71" a="1"/>
  <c r="X13" i="71" s="1"/>
  <c r="D13" i="71" a="1"/>
  <c r="D13" i="71" s="1"/>
  <c r="K12" i="71" a="1"/>
  <c r="K12" i="71" s="1"/>
  <c r="R11" i="71" a="1"/>
  <c r="R11" i="71" s="1"/>
  <c r="Y10" i="71" a="1"/>
  <c r="Y10" i="71" s="1"/>
  <c r="F10" i="71" a="1"/>
  <c r="F10" i="71" s="1"/>
  <c r="M9" i="71" a="1"/>
  <c r="M9" i="71" s="1"/>
  <c r="T8" i="71" a="1"/>
  <c r="T8" i="71" s="1"/>
  <c r="Y7" i="71" a="1"/>
  <c r="Y7" i="71" s="1"/>
  <c r="E7" i="71" a="1"/>
  <c r="E7" i="71" s="1"/>
  <c r="B88" i="71"/>
  <c r="I101" i="71"/>
  <c r="C99" i="71"/>
  <c r="D96" i="71"/>
  <c r="E93" i="71"/>
  <c r="F90" i="71"/>
  <c r="G87" i="71"/>
  <c r="H84" i="71"/>
  <c r="I81" i="71"/>
  <c r="C79" i="71"/>
  <c r="D76" i="71"/>
  <c r="E170" i="71"/>
  <c r="I167" i="71"/>
  <c r="E165" i="71"/>
  <c r="I162" i="71"/>
  <c r="E160" i="71"/>
  <c r="I157" i="71"/>
  <c r="E155" i="71"/>
  <c r="I152" i="71"/>
  <c r="E150" i="71"/>
  <c r="I147" i="71"/>
  <c r="E145" i="71"/>
  <c r="B7" i="71" a="1"/>
  <c r="B7" i="71" s="1"/>
  <c r="B15" i="71" a="1"/>
  <c r="B15" i="71" s="1"/>
  <c r="P34" i="71" a="1"/>
  <c r="P34" i="71" s="1"/>
  <c r="W33" i="71" a="1"/>
  <c r="W33" i="71" s="1"/>
  <c r="C33" i="71" a="1"/>
  <c r="C33" i="71" s="1"/>
  <c r="J32" i="71" a="1"/>
  <c r="J32" i="71" s="1"/>
  <c r="Q31" i="71" a="1"/>
  <c r="Q31" i="71" s="1"/>
  <c r="X30" i="71" a="1"/>
  <c r="X30" i="71" s="1"/>
  <c r="D30" i="71" a="1"/>
  <c r="D30" i="71" s="1"/>
  <c r="K29" i="71" a="1"/>
  <c r="K29" i="71" s="1"/>
  <c r="R28" i="71" a="1"/>
  <c r="R28" i="71" s="1"/>
  <c r="Y27" i="71" a="1"/>
  <c r="Y27" i="71" s="1"/>
  <c r="E27" i="71" a="1"/>
  <c r="E27" i="71" s="1"/>
  <c r="L26" i="71" a="1"/>
  <c r="L26" i="71" s="1"/>
  <c r="S25" i="71" a="1"/>
  <c r="S25" i="71" s="1"/>
  <c r="Z24" i="71" a="1"/>
  <c r="Z24" i="71" s="1"/>
  <c r="F24" i="71" a="1"/>
  <c r="F24" i="71" s="1"/>
  <c r="M23" i="71" a="1"/>
  <c r="M23" i="71" s="1"/>
  <c r="T22" i="71" a="1"/>
  <c r="T22" i="71" s="1"/>
  <c r="AA21" i="71" a="1"/>
  <c r="AA21" i="71" s="1"/>
  <c r="G21" i="71" a="1"/>
  <c r="G21" i="71" s="1"/>
  <c r="N20" i="71" a="1"/>
  <c r="N20" i="71" s="1"/>
  <c r="U19" i="71" a="1"/>
  <c r="U19" i="71" s="1"/>
  <c r="AB18" i="71" a="1"/>
  <c r="AB18" i="71" s="1"/>
  <c r="H18" i="71" a="1"/>
  <c r="H18" i="71" s="1"/>
  <c r="O17" i="71" a="1"/>
  <c r="O17" i="71" s="1"/>
  <c r="V16" i="71" a="1"/>
  <c r="V16" i="71" s="1"/>
  <c r="AC15" i="71" a="1"/>
  <c r="AC15" i="71" s="1"/>
  <c r="I15" i="71" a="1"/>
  <c r="I15" i="71" s="1"/>
  <c r="P14" i="71" a="1"/>
  <c r="P14" i="71" s="1"/>
  <c r="W13" i="71" a="1"/>
  <c r="W13" i="71" s="1"/>
  <c r="C13" i="71" a="1"/>
  <c r="C13" i="71" s="1"/>
  <c r="J12" i="71" a="1"/>
  <c r="J12" i="71" s="1"/>
  <c r="Q11" i="71" a="1"/>
  <c r="Q11" i="71" s="1"/>
  <c r="X10" i="71" a="1"/>
  <c r="X10" i="71" s="1"/>
  <c r="E10" i="71" a="1"/>
  <c r="E10" i="71" s="1"/>
  <c r="L9" i="71" a="1"/>
  <c r="L9" i="71" s="1"/>
  <c r="S8" i="71" a="1"/>
  <c r="S8" i="71" s="1"/>
  <c r="X7" i="71" a="1"/>
  <c r="X7" i="71" s="1"/>
  <c r="D7" i="71" a="1"/>
  <c r="D7" i="71" s="1"/>
  <c r="B87" i="71"/>
  <c r="H101" i="71"/>
  <c r="I98" i="71"/>
  <c r="C96" i="71"/>
  <c r="D93" i="71"/>
  <c r="E90" i="71"/>
  <c r="F87" i="71"/>
  <c r="G84" i="71"/>
  <c r="H81" i="71"/>
  <c r="I78" i="71"/>
  <c r="C76" i="71"/>
  <c r="D170" i="71"/>
  <c r="H167" i="71"/>
  <c r="D165" i="71"/>
  <c r="H162" i="71"/>
  <c r="D160" i="71"/>
  <c r="H157" i="71"/>
  <c r="D155" i="71"/>
  <c r="H152" i="71"/>
  <c r="D150" i="71"/>
  <c r="H147" i="71"/>
  <c r="D145" i="71"/>
  <c r="B34" i="71" a="1"/>
  <c r="B34" i="71" s="1"/>
  <c r="B14" i="71" a="1"/>
  <c r="B14" i="71" s="1"/>
  <c r="O34" i="71" a="1"/>
  <c r="O34" i="71" s="1"/>
  <c r="V33" i="71" a="1"/>
  <c r="V33" i="71" s="1"/>
  <c r="AC32" i="71" a="1"/>
  <c r="AC32" i="71" s="1"/>
  <c r="I32" i="71" a="1"/>
  <c r="I32" i="71" s="1"/>
  <c r="P31" i="71" a="1"/>
  <c r="P31" i="71" s="1"/>
  <c r="W30" i="71" a="1"/>
  <c r="W30" i="71" s="1"/>
  <c r="C30" i="71" a="1"/>
  <c r="C30" i="71" s="1"/>
  <c r="J29" i="71" a="1"/>
  <c r="J29" i="71" s="1"/>
  <c r="Q28" i="71" a="1"/>
  <c r="Q28" i="71" s="1"/>
  <c r="X27" i="71" a="1"/>
  <c r="X27" i="71" s="1"/>
  <c r="D27" i="71" a="1"/>
  <c r="D27" i="71" s="1"/>
  <c r="K26" i="71" a="1"/>
  <c r="K26" i="71" s="1"/>
  <c r="R25" i="71" a="1"/>
  <c r="R25" i="71" s="1"/>
  <c r="Y24" i="71" a="1"/>
  <c r="Y24" i="71" s="1"/>
  <c r="E24" i="71" a="1"/>
  <c r="E24" i="71" s="1"/>
  <c r="L23" i="71" a="1"/>
  <c r="L23" i="71" s="1"/>
  <c r="S22" i="71" a="1"/>
  <c r="S22" i="71" s="1"/>
  <c r="Z21" i="71" a="1"/>
  <c r="Z21" i="71" s="1"/>
  <c r="F21" i="71" a="1"/>
  <c r="F21" i="71" s="1"/>
  <c r="M20" i="71" a="1"/>
  <c r="M20" i="71" s="1"/>
  <c r="T19" i="71" a="1"/>
  <c r="T19" i="71" s="1"/>
  <c r="AA18" i="71" a="1"/>
  <c r="AA18" i="71" s="1"/>
  <c r="G18" i="71" a="1"/>
  <c r="G18" i="71" s="1"/>
  <c r="N17" i="71" a="1"/>
  <c r="N17" i="71" s="1"/>
  <c r="U16" i="71" a="1"/>
  <c r="U16" i="71" s="1"/>
  <c r="AB15" i="71" a="1"/>
  <c r="AB15" i="71" s="1"/>
  <c r="H15" i="71" a="1"/>
  <c r="H15" i="71" s="1"/>
  <c r="O14" i="71" a="1"/>
  <c r="O14" i="71" s="1"/>
  <c r="V13" i="71" a="1"/>
  <c r="V13" i="71" s="1"/>
  <c r="AC12" i="71" a="1"/>
  <c r="AC12" i="71" s="1"/>
  <c r="I12" i="71" a="1"/>
  <c r="I12" i="71" s="1"/>
  <c r="P11" i="71" a="1"/>
  <c r="P11" i="71" s="1"/>
  <c r="W10" i="71" a="1"/>
  <c r="W10" i="71" s="1"/>
  <c r="D10" i="71" a="1"/>
  <c r="D10" i="71" s="1"/>
  <c r="K9" i="71" a="1"/>
  <c r="K9" i="71" s="1"/>
  <c r="R8" i="71" a="1"/>
  <c r="R8" i="71" s="1"/>
  <c r="W7" i="71" a="1"/>
  <c r="W7" i="71" s="1"/>
  <c r="C7" i="71" a="1"/>
  <c r="C7" i="71" s="1"/>
  <c r="B86" i="71"/>
  <c r="G101" i="71"/>
  <c r="H98" i="71"/>
  <c r="I95" i="71"/>
  <c r="C93" i="71"/>
  <c r="D90" i="71"/>
  <c r="E87" i="71"/>
  <c r="F84" i="71"/>
  <c r="G81" i="71"/>
  <c r="H78" i="71"/>
  <c r="I75" i="71"/>
  <c r="C170" i="71"/>
  <c r="G167" i="71"/>
  <c r="C165" i="71"/>
  <c r="G162" i="71"/>
  <c r="C160" i="71"/>
  <c r="G157" i="71"/>
  <c r="C155" i="71"/>
  <c r="G152" i="71"/>
  <c r="C150" i="71"/>
  <c r="G147" i="71"/>
  <c r="C145" i="71"/>
  <c r="B33" i="71" a="1"/>
  <c r="B33" i="71" s="1"/>
  <c r="B13" i="71" a="1"/>
  <c r="B13" i="71" s="1"/>
  <c r="N34" i="71" a="1"/>
  <c r="N34" i="71" s="1"/>
  <c r="U33" i="71" a="1"/>
  <c r="U33" i="71" s="1"/>
  <c r="AB32" i="71" a="1"/>
  <c r="AB32" i="71" s="1"/>
  <c r="H32" i="71" a="1"/>
  <c r="H32" i="71" s="1"/>
  <c r="O31" i="71" a="1"/>
  <c r="O31" i="71" s="1"/>
  <c r="V30" i="71" a="1"/>
  <c r="V30" i="71" s="1"/>
  <c r="AC29" i="71" a="1"/>
  <c r="AC29" i="71" s="1"/>
  <c r="I29" i="71" a="1"/>
  <c r="I29" i="71" s="1"/>
  <c r="P28" i="71" a="1"/>
  <c r="P28" i="71" s="1"/>
  <c r="W27" i="71" a="1"/>
  <c r="W27" i="71" s="1"/>
  <c r="C27" i="71" a="1"/>
  <c r="C27" i="71" s="1"/>
  <c r="J26" i="71" a="1"/>
  <c r="J26" i="71" s="1"/>
  <c r="Q25" i="71" a="1"/>
  <c r="Q25" i="71" s="1"/>
  <c r="X24" i="71" a="1"/>
  <c r="X24" i="71" s="1"/>
  <c r="D24" i="71" a="1"/>
  <c r="D24" i="71" s="1"/>
  <c r="K23" i="71" a="1"/>
  <c r="K23" i="71" s="1"/>
  <c r="R22" i="71" a="1"/>
  <c r="R22" i="71" s="1"/>
  <c r="Y21" i="71" a="1"/>
  <c r="Y21" i="71" s="1"/>
  <c r="E21" i="71" a="1"/>
  <c r="E21" i="71" s="1"/>
  <c r="L20" i="71" a="1"/>
  <c r="L20" i="71" s="1"/>
  <c r="S19" i="71" a="1"/>
  <c r="S19" i="71" s="1"/>
  <c r="Z18" i="71" a="1"/>
  <c r="Z18" i="71" s="1"/>
  <c r="F18" i="71" a="1"/>
  <c r="F18" i="71" s="1"/>
  <c r="M17" i="71" a="1"/>
  <c r="M17" i="71" s="1"/>
  <c r="T16" i="71" a="1"/>
  <c r="T16" i="71" s="1"/>
  <c r="AA15" i="71" a="1"/>
  <c r="AA15" i="71" s="1"/>
  <c r="G15" i="71" a="1"/>
  <c r="G15" i="71" s="1"/>
  <c r="N14" i="71" a="1"/>
  <c r="N14" i="71" s="1"/>
  <c r="U13" i="71" a="1"/>
  <c r="U13" i="71" s="1"/>
  <c r="AB12" i="71" a="1"/>
  <c r="AB12" i="71" s="1"/>
  <c r="H12" i="71" a="1"/>
  <c r="H12" i="71" s="1"/>
  <c r="O11" i="71" a="1"/>
  <c r="O11" i="71" s="1"/>
  <c r="V10" i="71" a="1"/>
  <c r="V10" i="71" s="1"/>
  <c r="C10" i="71" a="1"/>
  <c r="C10" i="71" s="1"/>
  <c r="J9" i="71" a="1"/>
  <c r="J9" i="71" s="1"/>
  <c r="Q8" i="71" a="1"/>
  <c r="Q8" i="71" s="1"/>
  <c r="V7" i="71" a="1"/>
  <c r="V7" i="71" s="1"/>
  <c r="B85" i="71"/>
  <c r="F101" i="71"/>
  <c r="G98" i="71"/>
  <c r="H95" i="71"/>
  <c r="I92" i="71"/>
  <c r="C90" i="71"/>
  <c r="D87" i="71"/>
  <c r="E84" i="71"/>
  <c r="F81" i="71"/>
  <c r="G78" i="71"/>
  <c r="H75" i="71"/>
  <c r="B170" i="71"/>
  <c r="F167" i="71"/>
  <c r="B165" i="71"/>
  <c r="F162" i="71"/>
  <c r="B160" i="71"/>
  <c r="F157" i="71"/>
  <c r="B155" i="71"/>
  <c r="F152" i="71"/>
  <c r="B150" i="71"/>
  <c r="F147" i="71"/>
  <c r="B145" i="71"/>
  <c r="B32" i="71" a="1"/>
  <c r="B32" i="71" s="1"/>
  <c r="B12" i="71" a="1"/>
  <c r="B12" i="71" s="1"/>
  <c r="M34" i="71" a="1"/>
  <c r="M34" i="71" s="1"/>
  <c r="T33" i="71" a="1"/>
  <c r="T33" i="71" s="1"/>
  <c r="AA32" i="71" a="1"/>
  <c r="AA32" i="71" s="1"/>
  <c r="G32" i="71" a="1"/>
  <c r="G32" i="71" s="1"/>
  <c r="N31" i="71" a="1"/>
  <c r="N31" i="71" s="1"/>
  <c r="U30" i="71" a="1"/>
  <c r="U30" i="71" s="1"/>
  <c r="AB29" i="71" a="1"/>
  <c r="AB29" i="71" s="1"/>
  <c r="H29" i="71" a="1"/>
  <c r="H29" i="71" s="1"/>
  <c r="O28" i="71" a="1"/>
  <c r="O28" i="71" s="1"/>
  <c r="V27" i="71" a="1"/>
  <c r="V27" i="71" s="1"/>
  <c r="AC26" i="71" a="1"/>
  <c r="AC26" i="71" s="1"/>
  <c r="I26" i="71" a="1"/>
  <c r="I26" i="71" s="1"/>
  <c r="P25" i="71" a="1"/>
  <c r="P25" i="71" s="1"/>
  <c r="W24" i="71" a="1"/>
  <c r="W24" i="71" s="1"/>
  <c r="C24" i="71" a="1"/>
  <c r="C24" i="71" s="1"/>
  <c r="J23" i="71" a="1"/>
  <c r="J23" i="71" s="1"/>
  <c r="Q22" i="71" a="1"/>
  <c r="Q22" i="71" s="1"/>
  <c r="X21" i="71" a="1"/>
  <c r="X21" i="71" s="1"/>
  <c r="D21" i="71" a="1"/>
  <c r="D21" i="71" s="1"/>
  <c r="K20" i="71" a="1"/>
  <c r="K20" i="71" s="1"/>
  <c r="R19" i="71" a="1"/>
  <c r="R19" i="71" s="1"/>
  <c r="Y18" i="71" a="1"/>
  <c r="Y18" i="71" s="1"/>
  <c r="E18" i="71" a="1"/>
  <c r="E18" i="71" s="1"/>
  <c r="L17" i="71" a="1"/>
  <c r="L17" i="71" s="1"/>
  <c r="S16" i="71" a="1"/>
  <c r="S16" i="71" s="1"/>
  <c r="Z15" i="71" a="1"/>
  <c r="Z15" i="71" s="1"/>
  <c r="F15" i="71" a="1"/>
  <c r="F15" i="71" s="1"/>
  <c r="M14" i="71" a="1"/>
  <c r="M14" i="71" s="1"/>
  <c r="T13" i="71" a="1"/>
  <c r="T13" i="71" s="1"/>
  <c r="AA12" i="71" a="1"/>
  <c r="AA12" i="71" s="1"/>
  <c r="G12" i="71" a="1"/>
  <c r="G12" i="71" s="1"/>
  <c r="N11" i="71" a="1"/>
  <c r="N11" i="71" s="1"/>
  <c r="U10" i="71" a="1"/>
  <c r="U10" i="71" s="1"/>
  <c r="AC9" i="71" a="1"/>
  <c r="AC9" i="71" s="1"/>
  <c r="I9" i="71" a="1"/>
  <c r="I9" i="71" s="1"/>
  <c r="P8" i="71" a="1"/>
  <c r="P8" i="71" s="1"/>
  <c r="U7" i="71" a="1"/>
  <c r="U7" i="71" s="1"/>
  <c r="B84" i="71"/>
  <c r="E101" i="71"/>
  <c r="F98" i="71"/>
  <c r="G95" i="71"/>
  <c r="H92" i="71"/>
  <c r="I89" i="71"/>
  <c r="C87" i="71"/>
  <c r="D84" i="71"/>
  <c r="E81" i="71"/>
  <c r="F78" i="71"/>
  <c r="G75" i="71"/>
  <c r="I169" i="71"/>
  <c r="E167" i="71"/>
  <c r="I164" i="71"/>
  <c r="E162" i="71"/>
  <c r="I159" i="71"/>
  <c r="E157" i="71"/>
  <c r="I154" i="71"/>
  <c r="E152" i="71"/>
  <c r="I149" i="71"/>
  <c r="E147" i="71"/>
  <c r="I144" i="71"/>
  <c r="B31" i="71" a="1"/>
  <c r="B31" i="71" s="1"/>
  <c r="B10" i="71" a="1"/>
  <c r="B10" i="71" s="1"/>
  <c r="L34" i="71" a="1"/>
  <c r="L34" i="71" s="1"/>
  <c r="S33" i="71" a="1"/>
  <c r="S33" i="71" s="1"/>
  <c r="Z32" i="71" a="1"/>
  <c r="Z32" i="71" s="1"/>
  <c r="F32" i="71" a="1"/>
  <c r="F32" i="71" s="1"/>
  <c r="M31" i="71" a="1"/>
  <c r="M31" i="71" s="1"/>
  <c r="T30" i="71" a="1"/>
  <c r="T30" i="71" s="1"/>
  <c r="AA29" i="71" a="1"/>
  <c r="AA29" i="71" s="1"/>
  <c r="G29" i="71" a="1"/>
  <c r="G29" i="71" s="1"/>
  <c r="N28" i="71" a="1"/>
  <c r="N28" i="71" s="1"/>
  <c r="U27" i="71" a="1"/>
  <c r="U27" i="71" s="1"/>
  <c r="AB26" i="71" a="1"/>
  <c r="AB26" i="71" s="1"/>
  <c r="H26" i="71" a="1"/>
  <c r="H26" i="71" s="1"/>
  <c r="O25" i="71" a="1"/>
  <c r="O25" i="71" s="1"/>
  <c r="V24" i="71" a="1"/>
  <c r="V24" i="71" s="1"/>
  <c r="AC23" i="71" a="1"/>
  <c r="AC23" i="71" s="1"/>
  <c r="I23" i="71" a="1"/>
  <c r="I23" i="71" s="1"/>
  <c r="P22" i="71" a="1"/>
  <c r="P22" i="71" s="1"/>
  <c r="W21" i="71" a="1"/>
  <c r="W21" i="71" s="1"/>
  <c r="C21" i="71" a="1"/>
  <c r="C21" i="71" s="1"/>
  <c r="J20" i="71" a="1"/>
  <c r="J20" i="71" s="1"/>
  <c r="Q19" i="71" a="1"/>
  <c r="Q19" i="71" s="1"/>
  <c r="X18" i="71" a="1"/>
  <c r="X18" i="71" s="1"/>
  <c r="D18" i="71" a="1"/>
  <c r="D18" i="71" s="1"/>
  <c r="K17" i="71" a="1"/>
  <c r="K17" i="71" s="1"/>
  <c r="R16" i="71" a="1"/>
  <c r="R16" i="71" s="1"/>
  <c r="Y15" i="71" a="1"/>
  <c r="Y15" i="71" s="1"/>
  <c r="E15" i="71" a="1"/>
  <c r="E15" i="71" s="1"/>
  <c r="L14" i="71" a="1"/>
  <c r="L14" i="71" s="1"/>
  <c r="S13" i="71" a="1"/>
  <c r="S13" i="71" s="1"/>
  <c r="Z12" i="71" a="1"/>
  <c r="Z12" i="71" s="1"/>
  <c r="F12" i="71" a="1"/>
  <c r="F12" i="71" s="1"/>
  <c r="M11" i="71" a="1"/>
  <c r="M11" i="71" s="1"/>
  <c r="AB9" i="71" a="1"/>
  <c r="AB9" i="71" s="1"/>
  <c r="H9" i="71" a="1"/>
  <c r="H9" i="71" s="1"/>
  <c r="O8" i="71" a="1"/>
  <c r="O8" i="71" s="1"/>
  <c r="T7" i="71" a="1"/>
  <c r="T7" i="71" s="1"/>
  <c r="E50" i="36"/>
  <c r="F50" i="36"/>
  <c r="G50" i="36"/>
  <c r="N97" i="58" s="1"/>
  <c r="H50" i="36"/>
  <c r="O105" i="58" s="1"/>
  <c r="I50" i="36"/>
  <c r="P110" i="58" s="1"/>
  <c r="J50" i="36"/>
  <c r="Q99" i="58" s="1"/>
  <c r="K50" i="36"/>
  <c r="R98" i="58" s="1"/>
  <c r="L50" i="36"/>
  <c r="L54" i="36" s="1"/>
  <c r="M50" i="36"/>
  <c r="T102" i="58" s="1"/>
  <c r="N50" i="36"/>
  <c r="U103" i="58" s="1"/>
  <c r="O50" i="36"/>
  <c r="V99" i="58" s="1"/>
  <c r="P50" i="36"/>
  <c r="W98" i="58" s="1"/>
  <c r="Q50" i="36"/>
  <c r="R50" i="36"/>
  <c r="S50" i="36"/>
  <c r="Z103" i="58" s="1"/>
  <c r="T50" i="36"/>
  <c r="U50" i="36"/>
  <c r="AB109" i="58" s="1"/>
  <c r="V50" i="36"/>
  <c r="AC106" i="58" s="1"/>
  <c r="W50" i="36"/>
  <c r="AD107" i="58" s="1"/>
  <c r="X50" i="36"/>
  <c r="AE97" i="58" s="1"/>
  <c r="Y50" i="36"/>
  <c r="Z50" i="36"/>
  <c r="AA50" i="36"/>
  <c r="AB50" i="36"/>
  <c r="AI105" i="58" s="1"/>
  <c r="AC50" i="36"/>
  <c r="AJ109" i="58" s="1"/>
  <c r="AD50" i="36"/>
  <c r="AK100" i="58" s="1"/>
  <c r="AE50" i="36"/>
  <c r="AL107" i="58" s="1"/>
  <c r="E51" i="36"/>
  <c r="L101" i="58" s="1"/>
  <c r="F51" i="36"/>
  <c r="M97" i="58" s="1"/>
  <c r="G51" i="36"/>
  <c r="H51" i="36"/>
  <c r="I51" i="36"/>
  <c r="J51" i="36"/>
  <c r="K51" i="36"/>
  <c r="L51" i="36"/>
  <c r="M51" i="36"/>
  <c r="N51" i="36"/>
  <c r="O51" i="36"/>
  <c r="P51" i="36"/>
  <c r="Q51" i="36"/>
  <c r="X98" i="58" s="1"/>
  <c r="R51" i="36"/>
  <c r="S51" i="36"/>
  <c r="T51" i="36"/>
  <c r="AA109" i="58" s="1"/>
  <c r="U51" i="36"/>
  <c r="V51" i="36"/>
  <c r="AC108" i="58" s="1"/>
  <c r="W51" i="36"/>
  <c r="AD104" i="58" s="1"/>
  <c r="X51" i="36"/>
  <c r="AE108" i="58" s="1"/>
  <c r="Y51" i="36"/>
  <c r="AF109" i="58" s="1"/>
  <c r="Z51" i="36"/>
  <c r="AG102" i="58" s="1"/>
  <c r="AA51" i="36"/>
  <c r="AH97" i="58" s="1"/>
  <c r="AB51" i="36"/>
  <c r="AC51" i="36"/>
  <c r="AJ108" i="58" s="1"/>
  <c r="AD51" i="36"/>
  <c r="AE51" i="36"/>
  <c r="AJ105" i="58"/>
  <c r="AL105" i="58"/>
  <c r="M109" i="58"/>
  <c r="N108" i="58"/>
  <c r="P108" i="58"/>
  <c r="Y98" i="58"/>
  <c r="W97" i="58"/>
  <c r="AA105" i="58"/>
  <c r="AG109" i="58"/>
  <c r="AK99" i="58"/>
  <c r="AL98" i="58"/>
  <c r="Z110" i="58"/>
  <c r="D51" i="36"/>
  <c r="D50" i="36"/>
  <c r="P56" i="60"/>
  <c r="P57" i="60" s="1"/>
  <c r="W56" i="60"/>
  <c r="W57" i="60" s="1"/>
  <c r="AA56" i="60"/>
  <c r="AA57" i="60" s="1"/>
  <c r="C16" i="83"/>
  <c r="Z98" i="58"/>
  <c r="AA98" i="58"/>
  <c r="AC98" i="58"/>
  <c r="AE98" i="58"/>
  <c r="R99" i="58"/>
  <c r="T99" i="58"/>
  <c r="M100" i="58"/>
  <c r="Y100" i="58"/>
  <c r="Z100" i="58"/>
  <c r="X101" i="58"/>
  <c r="Z101" i="58"/>
  <c r="AD101" i="58"/>
  <c r="R102" i="58"/>
  <c r="Y102" i="58"/>
  <c r="Y103" i="58"/>
  <c r="AE103" i="58"/>
  <c r="AG103" i="58"/>
  <c r="AJ103" i="58"/>
  <c r="AL103" i="58"/>
  <c r="R104" i="58"/>
  <c r="Z104" i="58"/>
  <c r="T105" i="58"/>
  <c r="Y105" i="58"/>
  <c r="AK105" i="58"/>
  <c r="R106" i="58"/>
  <c r="X106" i="58"/>
  <c r="Y106" i="58"/>
  <c r="AD106" i="58"/>
  <c r="AE106" i="58"/>
  <c r="W108" i="58"/>
  <c r="X108" i="58"/>
  <c r="Y108" i="58"/>
  <c r="AD108" i="58"/>
  <c r="X109" i="58"/>
  <c r="AE110" i="58"/>
  <c r="K98" i="58"/>
  <c r="K99" i="58"/>
  <c r="K100" i="58"/>
  <c r="K101" i="58"/>
  <c r="K102" i="58"/>
  <c r="K103" i="58"/>
  <c r="K104" i="58"/>
  <c r="K105" i="58"/>
  <c r="K106" i="58"/>
  <c r="K107" i="58"/>
  <c r="K108" i="58"/>
  <c r="K109" i="58"/>
  <c r="K110" i="58"/>
  <c r="P54" i="36"/>
  <c r="Q54" i="36"/>
  <c r="R54" i="36"/>
  <c r="S54" i="36"/>
  <c r="T54" i="36"/>
  <c r="W54" i="36"/>
  <c r="D54" i="36"/>
  <c r="E52" i="36"/>
  <c r="F52" i="36"/>
  <c r="G52" i="36"/>
  <c r="H52" i="36"/>
  <c r="I52" i="36"/>
  <c r="J52" i="36"/>
  <c r="K52" i="36"/>
  <c r="L52" i="36"/>
  <c r="M52" i="36"/>
  <c r="N52" i="36"/>
  <c r="O52" i="36"/>
  <c r="Q52" i="36"/>
  <c r="R52" i="36"/>
  <c r="S52" i="36"/>
  <c r="T52" i="36"/>
  <c r="U52" i="36"/>
  <c r="V52" i="36"/>
  <c r="W52" i="36"/>
  <c r="X52" i="36"/>
  <c r="Y52" i="36"/>
  <c r="Z52" i="36"/>
  <c r="AA52" i="36"/>
  <c r="AB52" i="36"/>
  <c r="AC52" i="36"/>
  <c r="AD52" i="36"/>
  <c r="AE52" i="36"/>
  <c r="E53" i="36"/>
  <c r="F53" i="36"/>
  <c r="G53" i="36"/>
  <c r="H53" i="36"/>
  <c r="I53" i="36"/>
  <c r="J53" i="36"/>
  <c r="K53" i="36"/>
  <c r="L53" i="36"/>
  <c r="M53" i="36"/>
  <c r="N53" i="36"/>
  <c r="O53" i="36"/>
  <c r="P53" i="36"/>
  <c r="Q53" i="36"/>
  <c r="R53" i="36"/>
  <c r="S53" i="36"/>
  <c r="T53" i="36"/>
  <c r="U53" i="36"/>
  <c r="V53" i="36"/>
  <c r="W53" i="36"/>
  <c r="X53" i="36"/>
  <c r="Y53" i="36"/>
  <c r="Z53" i="36"/>
  <c r="AA53" i="36"/>
  <c r="AB53" i="36"/>
  <c r="AC53" i="36"/>
  <c r="AD53" i="36"/>
  <c r="AE53" i="36"/>
  <c r="D53" i="36"/>
  <c r="D52" i="36"/>
  <c r="E40" i="36"/>
  <c r="G40" i="36"/>
  <c r="H40" i="36"/>
  <c r="I40" i="36"/>
  <c r="J40" i="36"/>
  <c r="K40" i="36"/>
  <c r="L40" i="36"/>
  <c r="M40" i="36"/>
  <c r="N40" i="36"/>
  <c r="O40" i="36"/>
  <c r="P40" i="36"/>
  <c r="Q40" i="36"/>
  <c r="R40" i="36"/>
  <c r="S40" i="36"/>
  <c r="T40" i="36"/>
  <c r="U40" i="36"/>
  <c r="V40" i="36"/>
  <c r="W40" i="36"/>
  <c r="X40" i="36"/>
  <c r="Y40" i="36"/>
  <c r="Z40" i="36"/>
  <c r="AA40" i="36"/>
  <c r="AB40" i="36"/>
  <c r="AC40" i="36"/>
  <c r="AD40" i="36"/>
  <c r="AE40" i="36"/>
  <c r="E41" i="36"/>
  <c r="F41" i="36"/>
  <c r="G41" i="36"/>
  <c r="H41" i="36"/>
  <c r="I41" i="36"/>
  <c r="J41" i="36"/>
  <c r="K41" i="36"/>
  <c r="L41" i="36"/>
  <c r="M41" i="36"/>
  <c r="N41" i="36"/>
  <c r="O41" i="36"/>
  <c r="P41" i="36"/>
  <c r="Q41" i="36"/>
  <c r="R41" i="36"/>
  <c r="S41" i="36"/>
  <c r="T41" i="36"/>
  <c r="U41" i="36"/>
  <c r="V41" i="36"/>
  <c r="W41" i="36"/>
  <c r="X41" i="36"/>
  <c r="Y41" i="36"/>
  <c r="Z41" i="36"/>
  <c r="AA41" i="36"/>
  <c r="AB41" i="36"/>
  <c r="AC41" i="36"/>
  <c r="AD41" i="36"/>
  <c r="AE41" i="36"/>
  <c r="E42" i="36"/>
  <c r="F42" i="36"/>
  <c r="G42" i="36"/>
  <c r="H42" i="36"/>
  <c r="I42" i="36"/>
  <c r="J42" i="36"/>
  <c r="K42" i="36"/>
  <c r="L42" i="36"/>
  <c r="M42" i="36"/>
  <c r="N42" i="36"/>
  <c r="O42" i="36"/>
  <c r="P42" i="36"/>
  <c r="Q42" i="36"/>
  <c r="R42" i="36"/>
  <c r="S42" i="36"/>
  <c r="T42" i="36"/>
  <c r="U42" i="36"/>
  <c r="V42" i="36"/>
  <c r="W42" i="36"/>
  <c r="X42" i="36"/>
  <c r="Y42" i="36"/>
  <c r="Z42" i="36"/>
  <c r="AA42" i="36"/>
  <c r="AB42" i="36"/>
  <c r="AC42" i="36"/>
  <c r="AD42" i="36"/>
  <c r="AE42" i="36"/>
  <c r="E43" i="36"/>
  <c r="F43" i="36"/>
  <c r="G43" i="36"/>
  <c r="H43" i="36"/>
  <c r="I43" i="36"/>
  <c r="J43" i="36"/>
  <c r="K43" i="36"/>
  <c r="L43" i="36"/>
  <c r="M43" i="36"/>
  <c r="N43" i="36"/>
  <c r="O43" i="36"/>
  <c r="P43" i="36"/>
  <c r="Q43" i="36"/>
  <c r="R43" i="36"/>
  <c r="S43" i="36"/>
  <c r="T43" i="36"/>
  <c r="U43" i="36"/>
  <c r="V43" i="36"/>
  <c r="W43" i="36"/>
  <c r="X43" i="36"/>
  <c r="Y43" i="36"/>
  <c r="Z43" i="36"/>
  <c r="AA43" i="36"/>
  <c r="AB43" i="36"/>
  <c r="AC43" i="36"/>
  <c r="AD43" i="36"/>
  <c r="AE43" i="36"/>
  <c r="E44" i="36"/>
  <c r="F44" i="36"/>
  <c r="G44" i="36"/>
  <c r="H44" i="36"/>
  <c r="I44" i="36"/>
  <c r="J44" i="36"/>
  <c r="K44" i="36"/>
  <c r="L44" i="36"/>
  <c r="M44" i="36"/>
  <c r="N44" i="36"/>
  <c r="O44" i="36"/>
  <c r="P44" i="36"/>
  <c r="Q44" i="36"/>
  <c r="R44" i="36"/>
  <c r="S44" i="36"/>
  <c r="T44" i="36"/>
  <c r="U44" i="36"/>
  <c r="V44" i="36"/>
  <c r="W44" i="36"/>
  <c r="X44" i="36"/>
  <c r="Y44" i="36"/>
  <c r="Z44" i="36"/>
  <c r="AA44" i="36"/>
  <c r="AB44" i="36"/>
  <c r="AC44" i="36"/>
  <c r="AD44" i="36"/>
  <c r="AE44" i="36"/>
  <c r="E45" i="36"/>
  <c r="F45" i="36"/>
  <c r="G45" i="36"/>
  <c r="H45" i="36"/>
  <c r="I45" i="36"/>
  <c r="J45" i="36"/>
  <c r="K45" i="36"/>
  <c r="L45" i="36"/>
  <c r="M45" i="36"/>
  <c r="N45" i="36"/>
  <c r="O45" i="36"/>
  <c r="P45" i="36"/>
  <c r="Q45" i="36"/>
  <c r="R45" i="36"/>
  <c r="S45" i="36"/>
  <c r="T45" i="36"/>
  <c r="U45" i="36"/>
  <c r="V45" i="36"/>
  <c r="W45" i="36"/>
  <c r="X45" i="36"/>
  <c r="Y45" i="36"/>
  <c r="Z45" i="36"/>
  <c r="AA45" i="36"/>
  <c r="AB45" i="36"/>
  <c r="AC45" i="36"/>
  <c r="AD45" i="36"/>
  <c r="AE45" i="36"/>
  <c r="E46" i="36"/>
  <c r="F46" i="36"/>
  <c r="G46" i="36"/>
  <c r="H46" i="36"/>
  <c r="I46" i="36"/>
  <c r="J46" i="36"/>
  <c r="K46" i="36"/>
  <c r="L46" i="36"/>
  <c r="M46" i="36"/>
  <c r="N46" i="36"/>
  <c r="O46" i="36"/>
  <c r="P46" i="36"/>
  <c r="Q46" i="36"/>
  <c r="R46" i="36"/>
  <c r="S46" i="36"/>
  <c r="T46" i="36"/>
  <c r="U46" i="36"/>
  <c r="V46" i="36"/>
  <c r="W46" i="36"/>
  <c r="X46" i="36"/>
  <c r="Y46" i="36"/>
  <c r="Z46" i="36"/>
  <c r="AA46" i="36"/>
  <c r="AB46" i="36"/>
  <c r="AC46" i="36"/>
  <c r="AD46" i="36"/>
  <c r="AE46" i="36"/>
  <c r="E47" i="36"/>
  <c r="F47" i="36"/>
  <c r="G47" i="36"/>
  <c r="H47" i="36"/>
  <c r="I47" i="36"/>
  <c r="J47" i="36"/>
  <c r="K47" i="36"/>
  <c r="L47" i="36"/>
  <c r="M47" i="36"/>
  <c r="N47" i="36"/>
  <c r="O47" i="36"/>
  <c r="P47" i="36"/>
  <c r="Q47" i="36"/>
  <c r="R47" i="36"/>
  <c r="S47" i="36"/>
  <c r="T47" i="36"/>
  <c r="U47" i="36"/>
  <c r="V47" i="36"/>
  <c r="W47" i="36"/>
  <c r="X47" i="36"/>
  <c r="Y47" i="36"/>
  <c r="Z47" i="36"/>
  <c r="AA47" i="36"/>
  <c r="AB47" i="36"/>
  <c r="AC47" i="36"/>
  <c r="AD47" i="36"/>
  <c r="AE47" i="36"/>
  <c r="E48" i="36"/>
  <c r="F48" i="36"/>
  <c r="G48" i="36"/>
  <c r="H48" i="36"/>
  <c r="I48" i="36"/>
  <c r="J48" i="36"/>
  <c r="K48" i="36"/>
  <c r="L48" i="36"/>
  <c r="M48" i="36"/>
  <c r="N48" i="36"/>
  <c r="O48" i="36"/>
  <c r="P48" i="36"/>
  <c r="Q48" i="36"/>
  <c r="R48" i="36"/>
  <c r="S48" i="36"/>
  <c r="T48" i="36"/>
  <c r="U48" i="36"/>
  <c r="V48" i="36"/>
  <c r="W48" i="36"/>
  <c r="X48" i="36"/>
  <c r="Y48" i="36"/>
  <c r="Z48" i="36"/>
  <c r="AA48" i="36"/>
  <c r="AB48" i="36"/>
  <c r="AC48" i="36"/>
  <c r="AD48" i="36"/>
  <c r="AE48" i="36"/>
  <c r="E49" i="36"/>
  <c r="F49" i="36"/>
  <c r="G49" i="36"/>
  <c r="H49" i="36"/>
  <c r="I49" i="36"/>
  <c r="J49" i="36"/>
  <c r="K49" i="36"/>
  <c r="L49" i="36"/>
  <c r="M49" i="36"/>
  <c r="N49" i="36"/>
  <c r="O49" i="36"/>
  <c r="P49" i="36"/>
  <c r="Q49" i="36"/>
  <c r="R49" i="36"/>
  <c r="S49" i="36"/>
  <c r="T49" i="36"/>
  <c r="U49" i="36"/>
  <c r="V49" i="36"/>
  <c r="W49" i="36"/>
  <c r="X49" i="36"/>
  <c r="Y49" i="36"/>
  <c r="Z49" i="36"/>
  <c r="AA49" i="36"/>
  <c r="AB49" i="36"/>
  <c r="AC49" i="36"/>
  <c r="AD49" i="36"/>
  <c r="AE49" i="36"/>
  <c r="D42" i="36"/>
  <c r="D43" i="36"/>
  <c r="D44" i="36"/>
  <c r="D45" i="36"/>
  <c r="D46" i="36"/>
  <c r="D47" i="36"/>
  <c r="D48" i="36"/>
  <c r="D49" i="36"/>
  <c r="D40" i="36"/>
  <c r="AB31" i="73" l="1"/>
  <c r="O31" i="73"/>
  <c r="AA12" i="73"/>
  <c r="K12" i="73"/>
  <c r="R31" i="73"/>
  <c r="T12" i="73"/>
  <c r="AG12" i="73"/>
  <c r="V12" i="73"/>
  <c r="N12" i="73"/>
  <c r="AH31" i="73"/>
  <c r="AG12" i="63"/>
  <c r="AC12" i="63"/>
  <c r="V12" i="63"/>
  <c r="AA60" i="60"/>
  <c r="AA61" i="60"/>
  <c r="W60" i="60"/>
  <c r="W61" i="60"/>
  <c r="P60" i="60"/>
  <c r="P61" i="60"/>
  <c r="I16" i="83"/>
  <c r="AC16" i="83"/>
  <c r="K16" i="83"/>
  <c r="J16" i="83"/>
  <c r="AB16" i="83"/>
  <c r="AA16" i="83"/>
  <c r="G16" i="83"/>
  <c r="Z16" i="83"/>
  <c r="F16" i="83"/>
  <c r="Y16" i="83"/>
  <c r="E16" i="83"/>
  <c r="X16" i="83"/>
  <c r="D16" i="83"/>
  <c r="L16" i="83"/>
  <c r="AD16" i="83"/>
  <c r="H16" i="83"/>
  <c r="W16" i="83"/>
  <c r="V16" i="83"/>
  <c r="Q16" i="83"/>
  <c r="U16" i="83"/>
  <c r="T16" i="83"/>
  <c r="S16" i="83"/>
  <c r="R16" i="83"/>
  <c r="P16" i="83"/>
  <c r="N16" i="83"/>
  <c r="O16" i="83"/>
  <c r="M16" i="83"/>
  <c r="B204" i="71" a="1"/>
  <c r="B204" i="71" s="1"/>
  <c r="AL31" i="73" s="1"/>
  <c r="B201" i="71" a="1"/>
  <c r="B201" i="71" s="1"/>
  <c r="AI31" i="73" s="1"/>
  <c r="B185" i="71" a="1"/>
  <c r="B185" i="71" s="1"/>
  <c r="S31" i="73" s="1"/>
  <c r="B195" i="71" a="1"/>
  <c r="B195" i="71" s="1"/>
  <c r="AC31" i="73" s="1"/>
  <c r="B115" i="71" a="1"/>
  <c r="B115" i="71" s="1"/>
  <c r="Q12" i="73" s="1"/>
  <c r="B135" i="71" a="1"/>
  <c r="B135" i="71" s="1"/>
  <c r="AK12" i="73" s="1"/>
  <c r="B129" i="71" a="1"/>
  <c r="B129" i="71" s="1"/>
  <c r="AE12" i="73" s="1"/>
  <c r="B187" i="71" a="1"/>
  <c r="B187" i="71" s="1"/>
  <c r="U31" i="73" s="1"/>
  <c r="B124" i="71" a="1"/>
  <c r="B124" i="71" s="1"/>
  <c r="Z12" i="73" s="1"/>
  <c r="B197" i="71" a="1"/>
  <c r="B197" i="71" s="1"/>
  <c r="AE31" i="73" s="1"/>
  <c r="B136" i="71" a="1"/>
  <c r="B136" i="71" s="1"/>
  <c r="AL12" i="73" s="1"/>
  <c r="B127" i="71" a="1"/>
  <c r="B127" i="71" s="1"/>
  <c r="AC12" i="73" s="1"/>
  <c r="B202" i="71" a="1"/>
  <c r="B202" i="71" s="1"/>
  <c r="AJ31" i="73" s="1"/>
  <c r="B203" i="71" a="1"/>
  <c r="B203" i="71" s="1"/>
  <c r="AK31" i="73" s="1"/>
  <c r="B118" i="71" a="1"/>
  <c r="B118" i="71" s="1"/>
  <c r="B180" i="71" a="1"/>
  <c r="B180" i="71" s="1"/>
  <c r="N31" i="73" s="1"/>
  <c r="B183" i="71" a="1"/>
  <c r="B183" i="71" s="1"/>
  <c r="Q31" i="73" s="1"/>
  <c r="B120" i="71" a="1"/>
  <c r="B120" i="71" s="1"/>
  <c r="B192" i="71" a="1"/>
  <c r="B192" i="71" s="1"/>
  <c r="Z31" i="73" s="1"/>
  <c r="B130" i="71" a="1"/>
  <c r="B130" i="71" s="1"/>
  <c r="AF12" i="73" s="1"/>
  <c r="B188" i="71" a="1"/>
  <c r="B188" i="71" s="1"/>
  <c r="V31" i="73" s="1"/>
  <c r="B122" i="71" a="1"/>
  <c r="B122" i="71" s="1"/>
  <c r="X12" i="73" s="1"/>
  <c r="B116" i="71" a="1"/>
  <c r="B116" i="71" s="1"/>
  <c r="R12" i="73" s="1"/>
  <c r="B125" i="71" a="1"/>
  <c r="B125" i="71" s="1"/>
  <c r="B113" i="71" a="1"/>
  <c r="B113" i="71" s="1"/>
  <c r="O12" i="73" s="1"/>
  <c r="B193" i="71" a="1"/>
  <c r="B193" i="71" s="1"/>
  <c r="AA31" i="73" s="1"/>
  <c r="B184" i="71" a="1"/>
  <c r="B184" i="71" s="1"/>
  <c r="B109" i="71" a="1"/>
  <c r="B109" i="71" s="1"/>
  <c r="B110" i="71" a="1"/>
  <c r="B110" i="71" s="1"/>
  <c r="L12" i="73" s="1"/>
  <c r="B117" i="71" a="1"/>
  <c r="B117" i="71" s="1"/>
  <c r="S12" i="73" s="1"/>
  <c r="B121" i="71" a="1"/>
  <c r="B121" i="71" s="1"/>
  <c r="W12" i="73" s="1"/>
  <c r="B111" i="71" a="1"/>
  <c r="B111" i="71" s="1"/>
  <c r="M12" i="73" s="1"/>
  <c r="B131" i="71" a="1"/>
  <c r="B131" i="71" s="1"/>
  <c r="B189" i="71" a="1"/>
  <c r="B189" i="71" s="1"/>
  <c r="W31" i="73" s="1"/>
  <c r="B179" i="71" a="1"/>
  <c r="B179" i="71" s="1"/>
  <c r="M31" i="73" s="1"/>
  <c r="B198" i="71" a="1"/>
  <c r="B198" i="71" s="1"/>
  <c r="AF31" i="73" s="1"/>
  <c r="B194" i="71" a="1"/>
  <c r="B194" i="71" s="1"/>
  <c r="B132" i="71" a="1"/>
  <c r="B132" i="71" s="1"/>
  <c r="AH12" i="73" s="1"/>
  <c r="B190" i="71" a="1"/>
  <c r="B190" i="71" s="1"/>
  <c r="X31" i="73" s="1"/>
  <c r="B112" i="71" a="1"/>
  <c r="B112" i="71" s="1"/>
  <c r="B199" i="71" a="1"/>
  <c r="B199" i="71" s="1"/>
  <c r="AG31" i="73" s="1"/>
  <c r="B177" i="71" a="1"/>
  <c r="B177" i="71" s="1"/>
  <c r="K31" i="73" s="1"/>
  <c r="B126" i="71" a="1"/>
  <c r="B126" i="71" s="1"/>
  <c r="AB12" i="73" s="1"/>
  <c r="B133" i="71" a="1"/>
  <c r="B133" i="71" s="1"/>
  <c r="AI12" i="73" s="1"/>
  <c r="B200" i="71" a="1"/>
  <c r="B200" i="71" s="1"/>
  <c r="B191" i="71" a="1"/>
  <c r="B191" i="71" s="1"/>
  <c r="Y31" i="73" s="1"/>
  <c r="B186" i="71" a="1"/>
  <c r="B186" i="71" s="1"/>
  <c r="T31" i="73" s="1"/>
  <c r="B134" i="71" a="1"/>
  <c r="B134" i="71" s="1"/>
  <c r="AJ12" i="73" s="1"/>
  <c r="B182" i="71" a="1"/>
  <c r="B182" i="71" s="1"/>
  <c r="P31" i="73" s="1"/>
  <c r="B178" i="71" a="1"/>
  <c r="B178" i="71" s="1"/>
  <c r="L31" i="73" s="1"/>
  <c r="B114" i="71" a="1"/>
  <c r="B114" i="71" s="1"/>
  <c r="P12" i="73" s="1"/>
  <c r="B123" i="71" a="1"/>
  <c r="B123" i="71" s="1"/>
  <c r="Y12" i="73" s="1"/>
  <c r="B181" i="71" a="1"/>
  <c r="B181" i="71" s="1"/>
  <c r="B128" i="71" a="1"/>
  <c r="B128" i="71" s="1"/>
  <c r="AD12" i="73" s="1"/>
  <c r="B196" i="71" a="1"/>
  <c r="B196" i="71" s="1"/>
  <c r="AD31" i="73" s="1"/>
  <c r="B119" i="71" a="1"/>
  <c r="B119" i="71" s="1"/>
  <c r="U12" i="73" s="1"/>
  <c r="R108" i="58"/>
  <c r="V100" i="58"/>
  <c r="R101" i="58"/>
  <c r="AK102" i="58"/>
  <c r="L98" i="58"/>
  <c r="W100" i="58"/>
  <c r="K54" i="36"/>
  <c r="AE105" i="58"/>
  <c r="AE109" i="58"/>
  <c r="V107" i="58"/>
  <c r="AG100" i="58"/>
  <c r="AD109" i="58"/>
  <c r="R107" i="58"/>
  <c r="S105" i="58"/>
  <c r="AF102" i="58"/>
  <c r="AF100" i="58"/>
  <c r="AL97" i="58"/>
  <c r="AF104" i="58"/>
  <c r="AH108" i="58"/>
  <c r="T110" i="58"/>
  <c r="U99" i="58"/>
  <c r="O54" i="36"/>
  <c r="S110" i="58"/>
  <c r="S101" i="58"/>
  <c r="AD103" i="58"/>
  <c r="R105" i="58"/>
  <c r="AE102" i="58"/>
  <c r="AE100" i="58"/>
  <c r="V108" i="58"/>
  <c r="AF110" i="58"/>
  <c r="V110" i="58"/>
  <c r="AF103" i="58"/>
  <c r="Q109" i="58"/>
  <c r="AK106" i="58"/>
  <c r="AE104" i="58"/>
  <c r="X102" i="58"/>
  <c r="R97" i="58"/>
  <c r="AB106" i="58"/>
  <c r="Q106" i="58"/>
  <c r="AF98" i="58"/>
  <c r="U110" i="58"/>
  <c r="Q107" i="58"/>
  <c r="AD100" i="58"/>
  <c r="R103" i="58"/>
  <c r="AL106" i="58"/>
  <c r="S97" i="58"/>
  <c r="AL108" i="58"/>
  <c r="AJ106" i="58"/>
  <c r="W102" i="58"/>
  <c r="S100" i="58"/>
  <c r="P97" i="58"/>
  <c r="L102" i="58"/>
  <c r="W109" i="58"/>
  <c r="Q105" i="58"/>
  <c r="AE54" i="36"/>
  <c r="AK108" i="58"/>
  <c r="AG106" i="58"/>
  <c r="U102" i="58"/>
  <c r="R100" i="58"/>
  <c r="X97" i="58"/>
  <c r="Q102" i="58"/>
  <c r="U108" i="58"/>
  <c r="S108" i="58"/>
  <c r="N54" i="36"/>
  <c r="AF105" i="58"/>
  <c r="Q108" i="58"/>
  <c r="AC54" i="36"/>
  <c r="AF106" i="58"/>
  <c r="W104" i="58"/>
  <c r="Q100" i="58"/>
  <c r="U107" i="58"/>
  <c r="S104" i="58"/>
  <c r="S102" i="58"/>
  <c r="L97" i="58"/>
  <c r="L104" i="58"/>
  <c r="U98" i="58"/>
  <c r="AK110" i="58"/>
  <c r="AK103" i="58"/>
  <c r="AL101" i="58"/>
  <c r="S99" i="58"/>
  <c r="Q110" i="58"/>
  <c r="AL109" i="58"/>
  <c r="AK107" i="58"/>
  <c r="X105" i="58"/>
  <c r="X103" i="58"/>
  <c r="AL100" i="58"/>
  <c r="W105" i="58"/>
  <c r="Q103" i="58"/>
  <c r="L105" i="58"/>
  <c r="P105" i="58"/>
  <c r="V104" i="58"/>
  <c r="AF101" i="58"/>
  <c r="R109" i="58"/>
  <c r="AE107" i="58"/>
  <c r="W106" i="58"/>
  <c r="AL104" i="58"/>
  <c r="AE101" i="58"/>
  <c r="M102" i="58"/>
  <c r="AJ110" i="58"/>
  <c r="AC107" i="58"/>
  <c r="M54" i="36"/>
  <c r="AC110" i="58"/>
  <c r="L109" i="58"/>
  <c r="Z107" i="58"/>
  <c r="P106" i="58"/>
  <c r="AC104" i="58"/>
  <c r="M103" i="58"/>
  <c r="Y101" i="58"/>
  <c r="AL99" i="58"/>
  <c r="AJ97" i="58"/>
  <c r="Y110" i="58"/>
  <c r="Y107" i="58"/>
  <c r="M106" i="58"/>
  <c r="L103" i="58"/>
  <c r="Y99" i="58"/>
  <c r="I54" i="36"/>
  <c r="X110" i="58"/>
  <c r="X107" i="58"/>
  <c r="L106" i="58"/>
  <c r="Y104" i="58"/>
  <c r="AL102" i="58"/>
  <c r="W101" i="58"/>
  <c r="X99" i="58"/>
  <c r="AG97" i="58"/>
  <c r="P102" i="58"/>
  <c r="P109" i="58"/>
  <c r="P103" i="58"/>
  <c r="L100" i="58"/>
  <c r="AJ102" i="58"/>
  <c r="W110" i="58"/>
  <c r="W107" i="58"/>
  <c r="X104" i="58"/>
  <c r="T101" i="58"/>
  <c r="W99" i="58"/>
  <c r="AF97" i="58"/>
  <c r="AC103" i="58"/>
  <c r="Y97" i="58"/>
  <c r="AC109" i="58"/>
  <c r="Z109" i="58"/>
  <c r="AG108" i="58"/>
  <c r="M108" i="58"/>
  <c r="T107" i="58"/>
  <c r="AA106" i="58"/>
  <c r="AH105" i="58"/>
  <c r="N105" i="58"/>
  <c r="U104" i="58"/>
  <c r="AB103" i="58"/>
  <c r="AI102" i="58"/>
  <c r="O102" i="58"/>
  <c r="V101" i="58"/>
  <c r="AC100" i="58"/>
  <c r="AJ99" i="58"/>
  <c r="P99" i="58"/>
  <c r="AD97" i="58"/>
  <c r="AD54" i="36"/>
  <c r="J54" i="36"/>
  <c r="AL110" i="58"/>
  <c r="R110" i="58"/>
  <c r="Y109" i="58"/>
  <c r="AF108" i="58"/>
  <c r="L108" i="58"/>
  <c r="S107" i="58"/>
  <c r="Z106" i="58"/>
  <c r="AG105" i="58"/>
  <c r="M105" i="58"/>
  <c r="T104" i="58"/>
  <c r="AA103" i="58"/>
  <c r="AH102" i="58"/>
  <c r="N102" i="58"/>
  <c r="U101" i="58"/>
  <c r="AB100" i="58"/>
  <c r="AI99" i="58"/>
  <c r="O99" i="58"/>
  <c r="V98" i="58"/>
  <c r="AC97" i="58"/>
  <c r="AH99" i="58"/>
  <c r="AB54" i="36"/>
  <c r="AA97" i="58"/>
  <c r="G54" i="36"/>
  <c r="V109" i="58"/>
  <c r="P107" i="58"/>
  <c r="AK104" i="58"/>
  <c r="Q104" i="58"/>
  <c r="AF99" i="58"/>
  <c r="L99" i="58"/>
  <c r="S98" i="58"/>
  <c r="Z97" i="58"/>
  <c r="Z54" i="36"/>
  <c r="F54" i="36"/>
  <c r="AH110" i="58"/>
  <c r="N110" i="58"/>
  <c r="U109" i="58"/>
  <c r="AB108" i="58"/>
  <c r="AI107" i="58"/>
  <c r="O107" i="58"/>
  <c r="V106" i="58"/>
  <c r="AC105" i="58"/>
  <c r="AJ104" i="58"/>
  <c r="P104" i="58"/>
  <c r="W103" i="58"/>
  <c r="AD102" i="58"/>
  <c r="AK101" i="58"/>
  <c r="Q101" i="58"/>
  <c r="X100" i="58"/>
  <c r="AE99" i="58"/>
  <c r="AG99" i="58"/>
  <c r="T98" i="58"/>
  <c r="AA54" i="36"/>
  <c r="O110" i="58"/>
  <c r="AJ107" i="58"/>
  <c r="AD105" i="58"/>
  <c r="Y54" i="36"/>
  <c r="M110" i="58"/>
  <c r="AA108" i="58"/>
  <c r="U106" i="58"/>
  <c r="AK98" i="58"/>
  <c r="H54" i="36"/>
  <c r="M99" i="58"/>
  <c r="AI110" i="58"/>
  <c r="E54" i="36"/>
  <c r="AG110" i="58"/>
  <c r="T109" i="58"/>
  <c r="AH107" i="58"/>
  <c r="N107" i="58"/>
  <c r="AB105" i="58"/>
  <c r="AI104" i="58"/>
  <c r="O104" i="58"/>
  <c r="V103" i="58"/>
  <c r="AC102" i="58"/>
  <c r="AJ101" i="58"/>
  <c r="P101" i="58"/>
  <c r="AD99" i="58"/>
  <c r="Q98" i="58"/>
  <c r="X54" i="36"/>
  <c r="L110" i="58"/>
  <c r="S109" i="58"/>
  <c r="Z108" i="58"/>
  <c r="AG107" i="58"/>
  <c r="M107" i="58"/>
  <c r="T106" i="58"/>
  <c r="AH104" i="58"/>
  <c r="N104" i="58"/>
  <c r="AB102" i="58"/>
  <c r="AI101" i="58"/>
  <c r="O101" i="58"/>
  <c r="AC99" i="58"/>
  <c r="AJ98" i="58"/>
  <c r="P98" i="58"/>
  <c r="N99" i="58"/>
  <c r="AF107" i="58"/>
  <c r="L107" i="58"/>
  <c r="S106" i="58"/>
  <c r="Z105" i="58"/>
  <c r="AG104" i="58"/>
  <c r="M104" i="58"/>
  <c r="T103" i="58"/>
  <c r="AA102" i="58"/>
  <c r="AH101" i="58"/>
  <c r="N101" i="58"/>
  <c r="U100" i="58"/>
  <c r="AB99" i="58"/>
  <c r="AI98" i="58"/>
  <c r="O98" i="58"/>
  <c r="V97" i="58"/>
  <c r="AA100" i="58"/>
  <c r="AB97" i="58"/>
  <c r="V54" i="36"/>
  <c r="AD110" i="58"/>
  <c r="AK109" i="58"/>
  <c r="S103" i="58"/>
  <c r="Z102" i="58"/>
  <c r="AG101" i="58"/>
  <c r="M101" i="58"/>
  <c r="T100" i="58"/>
  <c r="AA99" i="58"/>
  <c r="AH98" i="58"/>
  <c r="N98" i="58"/>
  <c r="U97" i="58"/>
  <c r="U54" i="36"/>
  <c r="Z99" i="58"/>
  <c r="AG98" i="58"/>
  <c r="M98" i="58"/>
  <c r="T97" i="58"/>
  <c r="AB110" i="58"/>
  <c r="AI109" i="58"/>
  <c r="O109" i="58"/>
  <c r="AB107" i="58"/>
  <c r="O106" i="58"/>
  <c r="AA110" i="58"/>
  <c r="AH109" i="58"/>
  <c r="N109" i="58"/>
  <c r="AI106" i="58"/>
  <c r="V105" i="58"/>
  <c r="T108" i="58"/>
  <c r="AA107" i="58"/>
  <c r="AH106" i="58"/>
  <c r="N106" i="58"/>
  <c r="U105" i="58"/>
  <c r="AB104" i="58"/>
  <c r="AI103" i="58"/>
  <c r="O103" i="58"/>
  <c r="V102" i="58"/>
  <c r="AC101" i="58"/>
  <c r="AJ100" i="58"/>
  <c r="P100" i="58"/>
  <c r="AD98" i="58"/>
  <c r="AK97" i="58"/>
  <c r="Q97" i="58"/>
  <c r="AA104" i="58"/>
  <c r="AH103" i="58"/>
  <c r="N103" i="58"/>
  <c r="AB101" i="58"/>
  <c r="AI100" i="58"/>
  <c r="O100" i="58"/>
  <c r="AA101" i="58"/>
  <c r="AH100" i="58"/>
  <c r="N100" i="58"/>
  <c r="AB98" i="58"/>
  <c r="AI97" i="58"/>
  <c r="O97" i="58"/>
  <c r="AI108" i="58"/>
  <c r="O108" i="58"/>
  <c r="AF16" i="73" l="1"/>
  <c r="AE35" i="73"/>
  <c r="M16" i="73"/>
  <c r="P35" i="73"/>
  <c r="L16" i="73"/>
  <c r="Z16" i="73"/>
  <c r="Y16" i="73"/>
  <c r="AJ16" i="73"/>
  <c r="U35" i="73"/>
  <c r="S16" i="73"/>
  <c r="T35" i="73"/>
  <c r="AE16" i="73"/>
  <c r="AD16" i="73"/>
  <c r="P16" i="73"/>
  <c r="Y35" i="73"/>
  <c r="AA35" i="73"/>
  <c r="AK16" i="73"/>
  <c r="L35" i="73"/>
  <c r="O16" i="73"/>
  <c r="Q16" i="73"/>
  <c r="AJ35" i="73"/>
  <c r="AI16" i="73"/>
  <c r="AC35" i="73"/>
  <c r="W35" i="73"/>
  <c r="AL16" i="73"/>
  <c r="AB16" i="73"/>
  <c r="R16" i="73"/>
  <c r="S35" i="73"/>
  <c r="AC16" i="73"/>
  <c r="K35" i="73"/>
  <c r="X16" i="73"/>
  <c r="AI35" i="73"/>
  <c r="AK35" i="73"/>
  <c r="W16" i="73"/>
  <c r="AG35" i="73"/>
  <c r="V35" i="73"/>
  <c r="AL35" i="73"/>
  <c r="X35" i="73"/>
  <c r="Z35" i="73"/>
  <c r="Q35" i="73"/>
  <c r="U16" i="73"/>
  <c r="AF35" i="73"/>
  <c r="N35" i="73"/>
  <c r="AH16" i="73"/>
  <c r="AD35" i="73"/>
  <c r="M35" i="73"/>
  <c r="T16" i="73"/>
  <c r="N16" i="73"/>
  <c r="AH35" i="73"/>
  <c r="AG16" i="73"/>
  <c r="K16" i="73"/>
  <c r="AA16" i="73"/>
  <c r="R35" i="73"/>
  <c r="O35" i="73"/>
  <c r="V16" i="73"/>
  <c r="AB35" i="73"/>
  <c r="Q17" i="83"/>
  <c r="Q20" i="83" s="1"/>
  <c r="Q23" i="83" s="1"/>
  <c r="Z17" i="83"/>
  <c r="Z20" i="83" s="1"/>
  <c r="Z23" i="83" s="1"/>
  <c r="F17" i="83"/>
  <c r="F18" i="83" s="1"/>
  <c r="F21" i="83" s="1"/>
  <c r="V17" i="83"/>
  <c r="V18" i="83" s="1"/>
  <c r="V21" i="83" s="1"/>
  <c r="M17" i="83"/>
  <c r="W17" i="83"/>
  <c r="G17" i="83"/>
  <c r="O17" i="83"/>
  <c r="H17" i="83"/>
  <c r="AA17" i="83"/>
  <c r="AD17" i="83"/>
  <c r="AB17" i="83"/>
  <c r="P17" i="83"/>
  <c r="L17" i="83"/>
  <c r="J17" i="83"/>
  <c r="R17" i="83"/>
  <c r="D17" i="83"/>
  <c r="K17" i="83"/>
  <c r="S17" i="83"/>
  <c r="X17" i="83"/>
  <c r="AC17" i="83"/>
  <c r="C17" i="83"/>
  <c r="T17" i="83"/>
  <c r="I17" i="83"/>
  <c r="E17" i="83"/>
  <c r="C69" i="64"/>
  <c r="C68" i="64"/>
  <c r="C67" i="64"/>
  <c r="C66" i="64"/>
  <c r="C65" i="64"/>
  <c r="C64" i="64"/>
  <c r="C63" i="64"/>
  <c r="C62" i="64"/>
  <c r="C49" i="64"/>
  <c r="C48" i="64"/>
  <c r="C47" i="64"/>
  <c r="C46" i="64"/>
  <c r="C45" i="64"/>
  <c r="C44" i="64"/>
  <c r="C43" i="64"/>
  <c r="C42" i="64"/>
  <c r="C29" i="64"/>
  <c r="C28" i="64"/>
  <c r="C27" i="64"/>
  <c r="C26" i="64"/>
  <c r="C25" i="64"/>
  <c r="C24" i="64"/>
  <c r="C23" i="64"/>
  <c r="C22" i="64"/>
  <c r="AO12" i="64"/>
  <c r="A50" i="64" s="1"/>
  <c r="AP12" i="64"/>
  <c r="B50" i="64" s="1"/>
  <c r="AP11" i="64"/>
  <c r="B30" i="64" s="1"/>
  <c r="AO11" i="64"/>
  <c r="A30" i="64" s="1"/>
  <c r="AP10" i="64"/>
  <c r="B10" i="64" s="1"/>
  <c r="AO10" i="64"/>
  <c r="A10" i="64" s="1"/>
  <c r="F20" i="83" l="1"/>
  <c r="F23" i="83" s="1"/>
  <c r="Z18" i="83"/>
  <c r="Z21" i="83" s="1"/>
  <c r="AB54" i="60" s="1"/>
  <c r="Z19" i="83"/>
  <c r="Z22" i="83" s="1"/>
  <c r="AB55" i="60" s="1"/>
  <c r="V20" i="83"/>
  <c r="V23" i="83" s="1"/>
  <c r="V19" i="83"/>
  <c r="V22" i="83" s="1"/>
  <c r="X55" i="60" s="1"/>
  <c r="Q19" i="83"/>
  <c r="Q22" i="83" s="1"/>
  <c r="S55" i="60" s="1"/>
  <c r="Q18" i="83"/>
  <c r="Q21" i="83" s="1"/>
  <c r="S54" i="60" s="1"/>
  <c r="F19" i="83"/>
  <c r="F22" i="83" s="1"/>
  <c r="H55" i="60" s="1"/>
  <c r="H54" i="60"/>
  <c r="X54" i="60"/>
  <c r="H18" i="83"/>
  <c r="H21" i="83" s="1"/>
  <c r="J54" i="60" s="1"/>
  <c r="H20" i="83"/>
  <c r="H23" i="83" s="1"/>
  <c r="H19" i="83"/>
  <c r="H22" i="83" s="1"/>
  <c r="J55" i="60" s="1"/>
  <c r="E19" i="83"/>
  <c r="E22" i="83" s="1"/>
  <c r="G55" i="60" s="1"/>
  <c r="E20" i="83"/>
  <c r="E23" i="83" s="1"/>
  <c r="E18" i="83"/>
  <c r="E21" i="83" s="1"/>
  <c r="G54" i="60" s="1"/>
  <c r="O18" i="83"/>
  <c r="O21" i="83" s="1"/>
  <c r="O20" i="83"/>
  <c r="O23" i="83" s="1"/>
  <c r="O19" i="83"/>
  <c r="O22" i="83" s="1"/>
  <c r="Q55" i="60" s="1"/>
  <c r="I20" i="83"/>
  <c r="I23" i="83" s="1"/>
  <c r="I19" i="83"/>
  <c r="I22" i="83" s="1"/>
  <c r="K55" i="60" s="1"/>
  <c r="I18" i="83"/>
  <c r="I21" i="83" s="1"/>
  <c r="G20" i="83"/>
  <c r="G23" i="83" s="1"/>
  <c r="G19" i="83"/>
  <c r="G22" i="83" s="1"/>
  <c r="I55" i="60" s="1"/>
  <c r="G18" i="83"/>
  <c r="G21" i="83" s="1"/>
  <c r="I54" i="60" s="1"/>
  <c r="T18" i="83"/>
  <c r="T21" i="83" s="1"/>
  <c r="V54" i="60" s="1"/>
  <c r="T20" i="83"/>
  <c r="T23" i="83" s="1"/>
  <c r="T19" i="83"/>
  <c r="T22" i="83" s="1"/>
  <c r="V55" i="60" s="1"/>
  <c r="W20" i="83"/>
  <c r="W23" i="83" s="1"/>
  <c r="W18" i="83"/>
  <c r="W21" i="83" s="1"/>
  <c r="W19" i="83"/>
  <c r="W22" i="83" s="1"/>
  <c r="Y55" i="60" s="1"/>
  <c r="C19" i="83"/>
  <c r="C22" i="83" s="1"/>
  <c r="E55" i="60" s="1"/>
  <c r="C20" i="83"/>
  <c r="C23" i="83" s="1"/>
  <c r="C18" i="83"/>
  <c r="C21" i="83" s="1"/>
  <c r="E54" i="60" s="1"/>
  <c r="M19" i="83"/>
  <c r="M22" i="83" s="1"/>
  <c r="O55" i="60" s="1"/>
  <c r="M18" i="83"/>
  <c r="M21" i="83" s="1"/>
  <c r="O54" i="60" s="1"/>
  <c r="M20" i="83"/>
  <c r="M23" i="83" s="1"/>
  <c r="AB19" i="83"/>
  <c r="AB22" i="83" s="1"/>
  <c r="AD55" i="60" s="1"/>
  <c r="AB20" i="83"/>
  <c r="AB23" i="83" s="1"/>
  <c r="AB18" i="83"/>
  <c r="AB21" i="83" s="1"/>
  <c r="AC18" i="83"/>
  <c r="AC21" i="83" s="1"/>
  <c r="AE54" i="60" s="1"/>
  <c r="AC20" i="83"/>
  <c r="AC23" i="83" s="1"/>
  <c r="AC19" i="83"/>
  <c r="AC22" i="83" s="1"/>
  <c r="AE55" i="60" s="1"/>
  <c r="AA19" i="83"/>
  <c r="AA22" i="83" s="1"/>
  <c r="AC55" i="60" s="1"/>
  <c r="AA20" i="83"/>
  <c r="AA23" i="83" s="1"/>
  <c r="AA18" i="83"/>
  <c r="AA21" i="83" s="1"/>
  <c r="X19" i="83"/>
  <c r="X22" i="83" s="1"/>
  <c r="Z55" i="60" s="1"/>
  <c r="X20" i="83"/>
  <c r="X23" i="83" s="1"/>
  <c r="X18" i="83"/>
  <c r="X21" i="83" s="1"/>
  <c r="S18" i="83"/>
  <c r="S21" i="83" s="1"/>
  <c r="S19" i="83"/>
  <c r="S22" i="83" s="1"/>
  <c r="U55" i="60" s="1"/>
  <c r="S20" i="83"/>
  <c r="S23" i="83" s="1"/>
  <c r="K18" i="83"/>
  <c r="K21" i="83" s="1"/>
  <c r="M54" i="60" s="1"/>
  <c r="K19" i="83"/>
  <c r="K22" i="83" s="1"/>
  <c r="M55" i="60" s="1"/>
  <c r="K20" i="83"/>
  <c r="K23" i="83" s="1"/>
  <c r="D19" i="83"/>
  <c r="D22" i="83" s="1"/>
  <c r="F55" i="60" s="1"/>
  <c r="D20" i="83"/>
  <c r="D23" i="83" s="1"/>
  <c r="D18" i="83"/>
  <c r="D21" i="83" s="1"/>
  <c r="F54" i="60" s="1"/>
  <c r="R18" i="83"/>
  <c r="R21" i="83" s="1"/>
  <c r="T54" i="60" s="1"/>
  <c r="R19" i="83"/>
  <c r="R22" i="83" s="1"/>
  <c r="T55" i="60" s="1"/>
  <c r="R20" i="83"/>
  <c r="R23" i="83" s="1"/>
  <c r="AD19" i="83"/>
  <c r="AD22" i="83" s="1"/>
  <c r="AF55" i="60" s="1"/>
  <c r="AD20" i="83"/>
  <c r="AD23" i="83" s="1"/>
  <c r="AD18" i="83"/>
  <c r="AD21" i="83" s="1"/>
  <c r="AF54" i="60" s="1"/>
  <c r="J19" i="83"/>
  <c r="J22" i="83" s="1"/>
  <c r="L55" i="60" s="1"/>
  <c r="J18" i="83"/>
  <c r="J21" i="83" s="1"/>
  <c r="L54" i="60" s="1"/>
  <c r="J20" i="83"/>
  <c r="J23" i="83" s="1"/>
  <c r="L19" i="83"/>
  <c r="L22" i="83" s="1"/>
  <c r="N55" i="60" s="1"/>
  <c r="L18" i="83"/>
  <c r="L21" i="83" s="1"/>
  <c r="N54" i="60" s="1"/>
  <c r="L20" i="83"/>
  <c r="L23" i="83" s="1"/>
  <c r="P20" i="83"/>
  <c r="P23" i="83" s="1"/>
  <c r="P18" i="83"/>
  <c r="P21" i="83" s="1"/>
  <c r="R54" i="60" s="1"/>
  <c r="P19" i="83"/>
  <c r="P22" i="83" s="1"/>
  <c r="R55" i="60" s="1"/>
  <c r="B2" i="64"/>
  <c r="D404" i="62"/>
  <c r="D392" i="62"/>
  <c r="D380" i="62"/>
  <c r="D368" i="62"/>
  <c r="D351" i="62"/>
  <c r="D326" i="62"/>
  <c r="D305" i="62"/>
  <c r="D293" i="62"/>
  <c r="D281" i="62"/>
  <c r="D269" i="62"/>
  <c r="D252" i="62"/>
  <c r="D227" i="62"/>
  <c r="D206" i="62"/>
  <c r="D194" i="62"/>
  <c r="D182" i="62"/>
  <c r="D170" i="62"/>
  <c r="D153" i="62"/>
  <c r="D128" i="62"/>
  <c r="C174" i="58"/>
  <c r="C173" i="58"/>
  <c r="C172" i="58"/>
  <c r="C171" i="58"/>
  <c r="C170" i="58"/>
  <c r="C403" i="62"/>
  <c r="C391" i="62"/>
  <c r="C379" i="62"/>
  <c r="C363" i="62"/>
  <c r="C362" i="62"/>
  <c r="C346" i="62"/>
  <c r="C345" i="62"/>
  <c r="C344" i="62"/>
  <c r="C343" i="62"/>
  <c r="C342" i="62"/>
  <c r="C341" i="62"/>
  <c r="C340" i="62"/>
  <c r="C338" i="62"/>
  <c r="C337" i="62"/>
  <c r="C318" i="62"/>
  <c r="C317" i="62"/>
  <c r="C304" i="62"/>
  <c r="C292" i="62"/>
  <c r="C280" i="62"/>
  <c r="C264" i="62"/>
  <c r="C263" i="62"/>
  <c r="C247" i="62"/>
  <c r="C246" i="62"/>
  <c r="C245" i="62"/>
  <c r="C244" i="62"/>
  <c r="C243" i="62"/>
  <c r="C242" i="62"/>
  <c r="C241" i="62"/>
  <c r="C239" i="62"/>
  <c r="C238" i="62"/>
  <c r="C219" i="62"/>
  <c r="C218" i="62"/>
  <c r="AO33" i="62"/>
  <c r="A393" i="62" s="1"/>
  <c r="AO32" i="62"/>
  <c r="A381" i="62" s="1"/>
  <c r="AO31" i="62"/>
  <c r="A369" i="62" s="1"/>
  <c r="AO30" i="62"/>
  <c r="A352" i="62" s="1"/>
  <c r="AO29" i="62"/>
  <c r="A327" i="62" s="1"/>
  <c r="AO28" i="62"/>
  <c r="A307" i="62" s="1"/>
  <c r="AP33" i="62"/>
  <c r="B393" i="62" s="1"/>
  <c r="AP32" i="62"/>
  <c r="B381" i="62" s="1"/>
  <c r="AP31" i="62"/>
  <c r="B369" i="62" s="1"/>
  <c r="AP30" i="62"/>
  <c r="B352" i="62" s="1"/>
  <c r="AP29" i="62"/>
  <c r="B327" i="62" s="1"/>
  <c r="B307" i="62"/>
  <c r="AP27" i="62"/>
  <c r="B294" i="62" s="1"/>
  <c r="AP26" i="62"/>
  <c r="B282" i="62" s="1"/>
  <c r="AP25" i="62"/>
  <c r="B270" i="62" s="1"/>
  <c r="AP24" i="62"/>
  <c r="B253" i="62" s="1"/>
  <c r="AP23" i="62"/>
  <c r="B228" i="62" s="1"/>
  <c r="B208" i="62"/>
  <c r="AO27" i="62"/>
  <c r="A294" i="62" s="1"/>
  <c r="AO26" i="62"/>
  <c r="A282" i="62" s="1"/>
  <c r="AO25" i="62"/>
  <c r="A270" i="62" s="1"/>
  <c r="AO24" i="62"/>
  <c r="A253" i="62" s="1"/>
  <c r="AO23" i="62"/>
  <c r="A228" i="62" s="1"/>
  <c r="AO22" i="62"/>
  <c r="A208" i="62" s="1"/>
  <c r="AP21" i="62"/>
  <c r="B195" i="62" s="1"/>
  <c r="AP20" i="62"/>
  <c r="B183" i="62" s="1"/>
  <c r="AP19" i="62"/>
  <c r="B171" i="62" s="1"/>
  <c r="AP18" i="62"/>
  <c r="B154" i="62" s="1"/>
  <c r="AP17" i="62"/>
  <c r="B129" i="62" s="1"/>
  <c r="AO21" i="62"/>
  <c r="A195" i="62" s="1"/>
  <c r="AO20" i="62"/>
  <c r="A183" i="62" s="1"/>
  <c r="AO19" i="62"/>
  <c r="A171" i="62" s="1"/>
  <c r="AO18" i="62"/>
  <c r="A154" i="62" s="1"/>
  <c r="AO17" i="62"/>
  <c r="A129" i="62" s="1"/>
  <c r="AO16" i="62"/>
  <c r="A109" i="62" s="1"/>
  <c r="C205" i="62"/>
  <c r="C193" i="62"/>
  <c r="C181" i="62"/>
  <c r="C165" i="62"/>
  <c r="C164" i="62"/>
  <c r="C148" i="62"/>
  <c r="C147" i="62"/>
  <c r="C146" i="62"/>
  <c r="C145" i="62"/>
  <c r="C144" i="62"/>
  <c r="C143" i="62"/>
  <c r="C142" i="62"/>
  <c r="C140" i="62"/>
  <c r="C139" i="62"/>
  <c r="C120" i="62"/>
  <c r="C119" i="62"/>
  <c r="C94" i="62"/>
  <c r="C106" i="62"/>
  <c r="D107" i="62"/>
  <c r="C82" i="62"/>
  <c r="D95" i="62"/>
  <c r="D83" i="62"/>
  <c r="AB53" i="60" l="1"/>
  <c r="AB56" i="60" s="1"/>
  <c r="AB57" i="60" s="1"/>
  <c r="S53" i="60"/>
  <c r="S56" i="60" s="1"/>
  <c r="S57" i="60" s="1"/>
  <c r="H53" i="60"/>
  <c r="H56" i="60" s="1"/>
  <c r="H57" i="60" s="1"/>
  <c r="S58" i="60"/>
  <c r="AB58" i="60"/>
  <c r="X53" i="60"/>
  <c r="X56" i="60" s="1"/>
  <c r="X57" i="60" s="1"/>
  <c r="M59" i="60"/>
  <c r="O58" i="60"/>
  <c r="S59" i="60"/>
  <c r="AB59" i="60"/>
  <c r="T59" i="60"/>
  <c r="M58" i="60"/>
  <c r="T58" i="60"/>
  <c r="O59" i="60"/>
  <c r="K53" i="60"/>
  <c r="K56" i="60" s="1"/>
  <c r="K57" i="60" s="1"/>
  <c r="K54" i="60"/>
  <c r="Z53" i="60"/>
  <c r="Z56" i="60" s="1"/>
  <c r="Z57" i="60" s="1"/>
  <c r="Z54" i="60"/>
  <c r="AD53" i="60"/>
  <c r="AD56" i="60" s="1"/>
  <c r="AD57" i="60" s="1"/>
  <c r="AD54" i="60"/>
  <c r="Q53" i="60"/>
  <c r="Q56" i="60" s="1"/>
  <c r="Q57" i="60" s="1"/>
  <c r="Q54" i="60"/>
  <c r="E53" i="60"/>
  <c r="E56" i="60" s="1"/>
  <c r="E57" i="60" s="1"/>
  <c r="U53" i="60"/>
  <c r="U56" i="60" s="1"/>
  <c r="U57" i="60" s="1"/>
  <c r="U54" i="60"/>
  <c r="Y53" i="60"/>
  <c r="Y56" i="60" s="1"/>
  <c r="Y57" i="60" s="1"/>
  <c r="Y54" i="60"/>
  <c r="AC53" i="60"/>
  <c r="AC56" i="60" s="1"/>
  <c r="AC57" i="60" s="1"/>
  <c r="AC54" i="60"/>
  <c r="AC58" i="60" s="1"/>
  <c r="I53" i="60"/>
  <c r="I56" i="60" s="1"/>
  <c r="I57" i="60" s="1"/>
  <c r="N53" i="60"/>
  <c r="N56" i="60" s="1"/>
  <c r="N57" i="60" s="1"/>
  <c r="AF53" i="60"/>
  <c r="AF56" i="60" s="1"/>
  <c r="AF57" i="60" s="1"/>
  <c r="AE53" i="60"/>
  <c r="AE56" i="60" s="1"/>
  <c r="AE57" i="60" s="1"/>
  <c r="T53" i="60"/>
  <c r="T56" i="60" s="1"/>
  <c r="T57" i="60" s="1"/>
  <c r="V53" i="60"/>
  <c r="V56" i="60" s="1"/>
  <c r="V57" i="60" s="1"/>
  <c r="F53" i="60"/>
  <c r="F56" i="60" s="1"/>
  <c r="F57" i="60" s="1"/>
  <c r="O53" i="60"/>
  <c r="O56" i="60" s="1"/>
  <c r="O57" i="60" s="1"/>
  <c r="G53" i="60"/>
  <c r="G56" i="60" s="1"/>
  <c r="G57" i="60" s="1"/>
  <c r="M53" i="60"/>
  <c r="M56" i="60" s="1"/>
  <c r="M57" i="60" s="1"/>
  <c r="R53" i="60"/>
  <c r="R56" i="60" s="1"/>
  <c r="R57" i="60" s="1"/>
  <c r="L53" i="60"/>
  <c r="L56" i="60" s="1"/>
  <c r="L57" i="60" s="1"/>
  <c r="J53" i="60"/>
  <c r="J56" i="60" s="1"/>
  <c r="J57" i="60" s="1"/>
  <c r="P12" i="63" l="1"/>
  <c r="R12" i="63"/>
  <c r="X12" i="63"/>
  <c r="S12" i="63"/>
  <c r="M12" i="63"/>
  <c r="U12" i="63"/>
  <c r="L12" i="63"/>
  <c r="AB12" i="63"/>
  <c r="Z12" i="63"/>
  <c r="AK12" i="63"/>
  <c r="AL12" i="63"/>
  <c r="T12" i="63"/>
  <c r="O12" i="63"/>
  <c r="AI12" i="63"/>
  <c r="AE12" i="63"/>
  <c r="AA12" i="63"/>
  <c r="K12" i="63"/>
  <c r="W12" i="63"/>
  <c r="AJ12" i="63"/>
  <c r="AF12" i="63"/>
  <c r="Q12" i="63"/>
  <c r="X60" i="60"/>
  <c r="AD12" i="63"/>
  <c r="H60" i="60"/>
  <c r="N12" i="63"/>
  <c r="Y12" i="63"/>
  <c r="AH12" i="63"/>
  <c r="AB61" i="60"/>
  <c r="S61" i="60"/>
  <c r="AB60" i="60"/>
  <c r="S60" i="60"/>
  <c r="H61" i="60"/>
  <c r="X61" i="60"/>
  <c r="R60" i="60"/>
  <c r="R61" i="60"/>
  <c r="M61" i="60"/>
  <c r="M60" i="60"/>
  <c r="AD60" i="60"/>
  <c r="AD61" i="60"/>
  <c r="G60" i="60"/>
  <c r="G61" i="60"/>
  <c r="F60" i="60"/>
  <c r="F61" i="60"/>
  <c r="F65" i="60" s="1"/>
  <c r="V60" i="60"/>
  <c r="V61" i="60"/>
  <c r="K60" i="60"/>
  <c r="K61" i="60"/>
  <c r="T60" i="60"/>
  <c r="T61" i="60"/>
  <c r="AE60" i="60"/>
  <c r="AE61" i="60"/>
  <c r="AE65" i="60" s="1"/>
  <c r="O61" i="60"/>
  <c r="O60" i="60"/>
  <c r="AF60" i="60"/>
  <c r="AF61" i="60"/>
  <c r="N60" i="60"/>
  <c r="N61" i="60"/>
  <c r="AC59" i="60"/>
  <c r="AC61" i="60" s="1"/>
  <c r="I60" i="60"/>
  <c r="I61" i="60"/>
  <c r="AC60" i="60"/>
  <c r="Z60" i="60"/>
  <c r="Z61" i="60"/>
  <c r="Q60" i="60"/>
  <c r="Q61" i="60"/>
  <c r="Y60" i="60"/>
  <c r="Y61" i="60"/>
  <c r="L60" i="60"/>
  <c r="L61" i="60"/>
  <c r="U60" i="60"/>
  <c r="U61" i="60"/>
  <c r="E60" i="60"/>
  <c r="E61" i="60"/>
  <c r="E65" i="60" s="1"/>
  <c r="J61" i="60"/>
  <c r="J60" i="60"/>
  <c r="C66" i="62"/>
  <c r="C65" i="62"/>
  <c r="D71" i="62"/>
  <c r="C49" i="62"/>
  <c r="C48" i="62"/>
  <c r="C47" i="62"/>
  <c r="C46" i="62"/>
  <c r="C45" i="62"/>
  <c r="C44" i="62"/>
  <c r="C43" i="62"/>
  <c r="C41" i="62"/>
  <c r="C40" i="62"/>
  <c r="D54" i="62"/>
  <c r="D29" i="62"/>
  <c r="K28" i="53"/>
  <c r="B28" i="53" s="1"/>
  <c r="J28" i="53"/>
  <c r="A28" i="53" s="1"/>
  <c r="A65" i="53" s="1"/>
  <c r="C65" i="53"/>
  <c r="C21" i="62"/>
  <c r="C20" i="62"/>
  <c r="AP15" i="62"/>
  <c r="B96" i="62" s="1"/>
  <c r="AP14" i="62"/>
  <c r="B84" i="62" s="1"/>
  <c r="AO15" i="62"/>
  <c r="A96" i="62" s="1"/>
  <c r="AO14" i="62"/>
  <c r="A84" i="62" s="1"/>
  <c r="AP13" i="62"/>
  <c r="B72" i="62" s="1"/>
  <c r="AO13" i="62"/>
  <c r="A72" i="62" s="1"/>
  <c r="AP12" i="62"/>
  <c r="B55" i="62" s="1"/>
  <c r="AO12" i="62"/>
  <c r="A55" i="62" s="1"/>
  <c r="AP11" i="62"/>
  <c r="B30" i="62" s="1"/>
  <c r="AO11" i="62"/>
  <c r="A30" i="62" s="1"/>
  <c r="AP10" i="62"/>
  <c r="B10" i="62" s="1"/>
  <c r="AO10" i="62"/>
  <c r="A10" i="62" s="1"/>
  <c r="L19" i="63"/>
  <c r="M19" i="63"/>
  <c r="N19" i="63"/>
  <c r="O19" i="63"/>
  <c r="P19" i="63"/>
  <c r="Q19" i="63"/>
  <c r="R19" i="63"/>
  <c r="S19" i="63"/>
  <c r="T19" i="63"/>
  <c r="U19" i="63"/>
  <c r="V19" i="63"/>
  <c r="W19" i="63"/>
  <c r="X19" i="63"/>
  <c r="Y19" i="63"/>
  <c r="Z19" i="63"/>
  <c r="AA19" i="63"/>
  <c r="AB19" i="63"/>
  <c r="AC19" i="63"/>
  <c r="AD19" i="63"/>
  <c r="AE19" i="63"/>
  <c r="AF19" i="63"/>
  <c r="AG19" i="63"/>
  <c r="AH19" i="63"/>
  <c r="AI19" i="63"/>
  <c r="AJ19" i="63"/>
  <c r="AK19" i="63"/>
  <c r="AL19" i="63"/>
  <c r="K19" i="63"/>
  <c r="B68" i="53"/>
  <c r="B64" i="53"/>
  <c r="B61" i="53"/>
  <c r="B60" i="53"/>
  <c r="B59" i="53"/>
  <c r="B58" i="53"/>
  <c r="B57" i="53"/>
  <c r="B56" i="53"/>
  <c r="B53" i="53"/>
  <c r="B52" i="53"/>
  <c r="B51" i="53"/>
  <c r="B50" i="53"/>
  <c r="B49" i="53"/>
  <c r="B48" i="53"/>
  <c r="B44" i="53"/>
  <c r="D168" i="58"/>
  <c r="D167" i="58"/>
  <c r="D166" i="58"/>
  <c r="D165" i="58"/>
  <c r="D164" i="58"/>
  <c r="D163" i="58"/>
  <c r="D162" i="58"/>
  <c r="C140" i="58"/>
  <c r="C139" i="58"/>
  <c r="C138" i="58"/>
  <c r="C137" i="58"/>
  <c r="C136" i="58"/>
  <c r="C135" i="58"/>
  <c r="C134" i="58"/>
  <c r="C133" i="58"/>
  <c r="C132" i="58"/>
  <c r="C131" i="58"/>
  <c r="C130" i="58"/>
  <c r="C129" i="58"/>
  <c r="C128" i="58"/>
  <c r="C127" i="58"/>
  <c r="C126" i="58"/>
  <c r="C125" i="58"/>
  <c r="C124" i="58"/>
  <c r="C123" i="58"/>
  <c r="C122" i="58"/>
  <c r="C121" i="58"/>
  <c r="D119" i="58"/>
  <c r="D117" i="58"/>
  <c r="D116" i="58"/>
  <c r="D115" i="58"/>
  <c r="D113" i="58"/>
  <c r="D112" i="58"/>
  <c r="D111" i="58"/>
  <c r="C110" i="58"/>
  <c r="C109" i="58"/>
  <c r="C106" i="58"/>
  <c r="C105" i="58"/>
  <c r="C104" i="58"/>
  <c r="C103" i="58"/>
  <c r="C101" i="58"/>
  <c r="C100" i="58"/>
  <c r="C99" i="58"/>
  <c r="C81" i="58"/>
  <c r="C112" i="55"/>
  <c r="C111" i="55"/>
  <c r="C110" i="55"/>
  <c r="C109" i="55"/>
  <c r="C108" i="55"/>
  <c r="C107" i="55"/>
  <c r="C106" i="55"/>
  <c r="C105" i="55"/>
  <c r="C104" i="55"/>
  <c r="C103" i="55"/>
  <c r="C102" i="55"/>
  <c r="C101" i="55"/>
  <c r="C94" i="55"/>
  <c r="C93" i="55"/>
  <c r="C95" i="55"/>
  <c r="C92" i="55"/>
  <c r="C91" i="55"/>
  <c r="C90" i="55"/>
  <c r="C89" i="55"/>
  <c r="C88" i="55"/>
  <c r="C87" i="55"/>
  <c r="C86" i="55"/>
  <c r="C85" i="55"/>
  <c r="C84" i="55"/>
  <c r="D11" i="55"/>
  <c r="A10" i="63"/>
  <c r="B2" i="63"/>
  <c r="B109" i="62"/>
  <c r="AP14" i="58"/>
  <c r="AO14" i="58"/>
  <c r="B2" i="62"/>
  <c r="B10" i="63" l="1"/>
  <c r="B80" i="60" l="1"/>
  <c r="B75" i="60"/>
  <c r="AL119" i="58" l="1"/>
  <c r="AK119" i="58"/>
  <c r="AJ119" i="58"/>
  <c r="AI119" i="58"/>
  <c r="AH119" i="58"/>
  <c r="AG119" i="58"/>
  <c r="AF119" i="58"/>
  <c r="AE119" i="58"/>
  <c r="AD119" i="58"/>
  <c r="AC119" i="58"/>
  <c r="AB119" i="58"/>
  <c r="AA119" i="58"/>
  <c r="Z119" i="58"/>
  <c r="Y119" i="58"/>
  <c r="X119" i="58"/>
  <c r="W119" i="58"/>
  <c r="V119" i="58"/>
  <c r="U119" i="58"/>
  <c r="T119" i="58"/>
  <c r="S119" i="58"/>
  <c r="R119" i="58"/>
  <c r="Q119" i="58"/>
  <c r="P119" i="58"/>
  <c r="O119" i="58"/>
  <c r="N119" i="58"/>
  <c r="M119" i="58"/>
  <c r="L119" i="58"/>
  <c r="K119" i="58"/>
  <c r="AL118" i="58"/>
  <c r="AK118" i="58"/>
  <c r="AJ118" i="58"/>
  <c r="AI118" i="58"/>
  <c r="AH118" i="58"/>
  <c r="AG118" i="58"/>
  <c r="AF118" i="58"/>
  <c r="AE118" i="58"/>
  <c r="AD118" i="58"/>
  <c r="AC118" i="58"/>
  <c r="AB118" i="58"/>
  <c r="AA118" i="58"/>
  <c r="Z118" i="58"/>
  <c r="Y118" i="58"/>
  <c r="X118" i="58"/>
  <c r="W118" i="58"/>
  <c r="V118" i="58"/>
  <c r="U118" i="58"/>
  <c r="T118" i="58"/>
  <c r="S118" i="58"/>
  <c r="R118" i="58"/>
  <c r="Q118" i="58"/>
  <c r="P118" i="58"/>
  <c r="O118" i="58"/>
  <c r="N118" i="58"/>
  <c r="M118" i="58"/>
  <c r="L118" i="58"/>
  <c r="K118" i="58"/>
  <c r="AL117" i="58"/>
  <c r="AK117" i="58"/>
  <c r="AJ117" i="58"/>
  <c r="AI117" i="58"/>
  <c r="AH117" i="58"/>
  <c r="AG117" i="58"/>
  <c r="AF117" i="58"/>
  <c r="AE117" i="58"/>
  <c r="AD117" i="58"/>
  <c r="AC117" i="58"/>
  <c r="AB117" i="58"/>
  <c r="AA117" i="58"/>
  <c r="Z117" i="58"/>
  <c r="Y117" i="58"/>
  <c r="X117" i="58"/>
  <c r="W117" i="58"/>
  <c r="V117" i="58"/>
  <c r="U117" i="58"/>
  <c r="T117" i="58"/>
  <c r="S117" i="58"/>
  <c r="R117" i="58"/>
  <c r="Q117" i="58"/>
  <c r="P117" i="58"/>
  <c r="O117" i="58"/>
  <c r="N117" i="58"/>
  <c r="M117" i="58"/>
  <c r="L117" i="58"/>
  <c r="K117" i="58"/>
  <c r="AL116" i="58"/>
  <c r="AK116" i="58"/>
  <c r="AJ116" i="58"/>
  <c r="AI116" i="58"/>
  <c r="AH116" i="58"/>
  <c r="AG116" i="58"/>
  <c r="AF116" i="58"/>
  <c r="AE116" i="58"/>
  <c r="AD116" i="58"/>
  <c r="AC116" i="58"/>
  <c r="AB116" i="58"/>
  <c r="AA116" i="58"/>
  <c r="Z116" i="58"/>
  <c r="Y116" i="58"/>
  <c r="X116" i="58"/>
  <c r="W116" i="58"/>
  <c r="V116" i="58"/>
  <c r="U116" i="58"/>
  <c r="T116" i="58"/>
  <c r="S116" i="58"/>
  <c r="R116" i="58"/>
  <c r="Q116" i="58"/>
  <c r="P116" i="58"/>
  <c r="O116" i="58"/>
  <c r="N116" i="58"/>
  <c r="M116" i="58"/>
  <c r="L116" i="58"/>
  <c r="K116" i="58"/>
  <c r="AL115" i="58"/>
  <c r="AK115" i="58"/>
  <c r="AJ115" i="58"/>
  <c r="AI115" i="58"/>
  <c r="AH115" i="58"/>
  <c r="AG115" i="58"/>
  <c r="AF115" i="58"/>
  <c r="AE115" i="58"/>
  <c r="AD115" i="58"/>
  <c r="AC115" i="58"/>
  <c r="AB115" i="58"/>
  <c r="AA115" i="58"/>
  <c r="Z115" i="58"/>
  <c r="Y115" i="58"/>
  <c r="X115" i="58"/>
  <c r="W115" i="58"/>
  <c r="V115" i="58"/>
  <c r="U115" i="58"/>
  <c r="T115" i="58"/>
  <c r="S115" i="58"/>
  <c r="R115" i="58"/>
  <c r="Q115" i="58"/>
  <c r="P115" i="58"/>
  <c r="O115" i="58"/>
  <c r="N115" i="58"/>
  <c r="M115" i="58"/>
  <c r="L115" i="58"/>
  <c r="K115" i="58"/>
  <c r="AL114" i="58"/>
  <c r="AK114" i="58"/>
  <c r="AJ114" i="58"/>
  <c r="AI114" i="58"/>
  <c r="AH114" i="58"/>
  <c r="AG114" i="58"/>
  <c r="AF114" i="58"/>
  <c r="AE114" i="58"/>
  <c r="AD114" i="58"/>
  <c r="AC114" i="58"/>
  <c r="AB114" i="58"/>
  <c r="AA114" i="58"/>
  <c r="Z114" i="58"/>
  <c r="Y114" i="58"/>
  <c r="X114" i="58"/>
  <c r="W114" i="58"/>
  <c r="V114" i="58"/>
  <c r="U114" i="58"/>
  <c r="T114" i="58"/>
  <c r="S114" i="58"/>
  <c r="R114" i="58"/>
  <c r="Q114" i="58"/>
  <c r="P114" i="58"/>
  <c r="O114" i="58"/>
  <c r="N114" i="58"/>
  <c r="M114" i="58"/>
  <c r="L114" i="58"/>
  <c r="K114" i="58"/>
  <c r="AL113" i="58"/>
  <c r="AK113" i="58"/>
  <c r="AJ113" i="58"/>
  <c r="AI113" i="58"/>
  <c r="AH113" i="58"/>
  <c r="AG113" i="58"/>
  <c r="AF113" i="58"/>
  <c r="AE113" i="58"/>
  <c r="AD113" i="58"/>
  <c r="AC113" i="58"/>
  <c r="AB113" i="58"/>
  <c r="AA113" i="58"/>
  <c r="Z113" i="58"/>
  <c r="Y113" i="58"/>
  <c r="X113" i="58"/>
  <c r="W113" i="58"/>
  <c r="V113" i="58"/>
  <c r="U113" i="58"/>
  <c r="T113" i="58"/>
  <c r="S113" i="58"/>
  <c r="R113" i="58"/>
  <c r="Q113" i="58"/>
  <c r="P113" i="58"/>
  <c r="O113" i="58"/>
  <c r="N113" i="58"/>
  <c r="M113" i="58"/>
  <c r="L113" i="58"/>
  <c r="K113" i="58"/>
  <c r="AL112" i="58"/>
  <c r="AK112" i="58"/>
  <c r="AJ112" i="58"/>
  <c r="AI112" i="58"/>
  <c r="AH112" i="58"/>
  <c r="AG112" i="58"/>
  <c r="AF112" i="58"/>
  <c r="AE112" i="58"/>
  <c r="AD112" i="58"/>
  <c r="AC112" i="58"/>
  <c r="AB112" i="58"/>
  <c r="AA112" i="58"/>
  <c r="Z112" i="58"/>
  <c r="Y112" i="58"/>
  <c r="X112" i="58"/>
  <c r="W112" i="58"/>
  <c r="V112" i="58"/>
  <c r="U112" i="58"/>
  <c r="T112" i="58"/>
  <c r="S112" i="58"/>
  <c r="R112" i="58"/>
  <c r="Q112" i="58"/>
  <c r="P112" i="58"/>
  <c r="O112" i="58"/>
  <c r="N112" i="58"/>
  <c r="M112" i="58"/>
  <c r="L112" i="58"/>
  <c r="K112" i="58"/>
  <c r="AL111" i="58"/>
  <c r="AK111" i="58"/>
  <c r="AJ111" i="58"/>
  <c r="AI111" i="58"/>
  <c r="AH111" i="58"/>
  <c r="AG111" i="58"/>
  <c r="AF111" i="58"/>
  <c r="AE111" i="58"/>
  <c r="AD111" i="58"/>
  <c r="AC111" i="58"/>
  <c r="AB111" i="58"/>
  <c r="AA111" i="58"/>
  <c r="Z111" i="58"/>
  <c r="Y111" i="58"/>
  <c r="X111" i="58"/>
  <c r="W111" i="58"/>
  <c r="V111" i="58"/>
  <c r="U111" i="58"/>
  <c r="T111" i="58"/>
  <c r="S111" i="58"/>
  <c r="R111" i="58"/>
  <c r="Q111" i="58"/>
  <c r="P111" i="58"/>
  <c r="O111" i="58"/>
  <c r="N111" i="58"/>
  <c r="M111" i="58"/>
  <c r="L111" i="58"/>
  <c r="K111" i="58"/>
  <c r="AL58" i="58"/>
  <c r="AK58" i="58"/>
  <c r="AJ58" i="58"/>
  <c r="AI58" i="58"/>
  <c r="AH58" i="58"/>
  <c r="AG58" i="58"/>
  <c r="AF58" i="58"/>
  <c r="AE58" i="58"/>
  <c r="AD58" i="58"/>
  <c r="AC58" i="58"/>
  <c r="AB58" i="58"/>
  <c r="AA58" i="58"/>
  <c r="Z58" i="58"/>
  <c r="Y58" i="58"/>
  <c r="X58" i="58"/>
  <c r="W58" i="58"/>
  <c r="V58" i="58"/>
  <c r="U58" i="58"/>
  <c r="T58" i="58"/>
  <c r="S58" i="58"/>
  <c r="R58" i="58"/>
  <c r="Q58" i="58"/>
  <c r="P58" i="58"/>
  <c r="O58" i="58"/>
  <c r="N58" i="58"/>
  <c r="M58" i="58"/>
  <c r="L58" i="58"/>
  <c r="K58" i="58"/>
  <c r="AL57" i="58"/>
  <c r="AK57" i="58"/>
  <c r="AJ57" i="58"/>
  <c r="AI57" i="58"/>
  <c r="AH57" i="58"/>
  <c r="AG57" i="58"/>
  <c r="AF57" i="58"/>
  <c r="AE57" i="58"/>
  <c r="AD57" i="58"/>
  <c r="AC57" i="58"/>
  <c r="AB57" i="58"/>
  <c r="AA57" i="58"/>
  <c r="Z57" i="58"/>
  <c r="Y57" i="58"/>
  <c r="X57" i="58"/>
  <c r="W57" i="58"/>
  <c r="V57" i="58"/>
  <c r="U57" i="58"/>
  <c r="T57" i="58"/>
  <c r="S57" i="58"/>
  <c r="R57" i="58"/>
  <c r="Q57" i="58"/>
  <c r="P57" i="58"/>
  <c r="O57" i="58"/>
  <c r="N57" i="58"/>
  <c r="M57" i="58"/>
  <c r="L57" i="58"/>
  <c r="K57" i="58"/>
  <c r="AL30" i="58"/>
  <c r="AK30" i="58"/>
  <c r="AJ30" i="58"/>
  <c r="AI30" i="58"/>
  <c r="AH30" i="58"/>
  <c r="AG30" i="58"/>
  <c r="AF30" i="58"/>
  <c r="AE30" i="58"/>
  <c r="AD30" i="58"/>
  <c r="AC30" i="58"/>
  <c r="AB30" i="58"/>
  <c r="AA30" i="58"/>
  <c r="Z30" i="58"/>
  <c r="X30" i="58"/>
  <c r="W30" i="58"/>
  <c r="U30" i="58"/>
  <c r="T30" i="58"/>
  <c r="S30" i="58"/>
  <c r="R30" i="58"/>
  <c r="Q30" i="58"/>
  <c r="P30" i="58"/>
  <c r="O30" i="58"/>
  <c r="N30" i="58"/>
  <c r="M30" i="58"/>
  <c r="L30" i="58"/>
  <c r="K30" i="58"/>
  <c r="AL29" i="58"/>
  <c r="AK29" i="58"/>
  <c r="AJ29" i="58"/>
  <c r="AI29" i="58"/>
  <c r="AH29" i="58"/>
  <c r="AG29" i="58"/>
  <c r="AF29" i="58"/>
  <c r="AE29" i="58"/>
  <c r="AD29" i="58"/>
  <c r="AC29" i="58"/>
  <c r="AB29" i="58"/>
  <c r="AA29" i="58"/>
  <c r="Z29" i="58"/>
  <c r="Y29" i="58"/>
  <c r="X29" i="58"/>
  <c r="W29" i="58"/>
  <c r="V29" i="58"/>
  <c r="U29" i="58"/>
  <c r="T29" i="58"/>
  <c r="S29" i="58"/>
  <c r="R29" i="58"/>
  <c r="Q29" i="58"/>
  <c r="P29" i="58"/>
  <c r="O29" i="58"/>
  <c r="N29" i="58"/>
  <c r="M29" i="58"/>
  <c r="L29" i="58"/>
  <c r="K29" i="58"/>
  <c r="AL28" i="58"/>
  <c r="AK28" i="58"/>
  <c r="AJ28" i="58"/>
  <c r="AI28" i="58"/>
  <c r="AH28" i="58"/>
  <c r="AG28" i="58"/>
  <c r="AF28" i="58"/>
  <c r="AE28" i="58"/>
  <c r="AD28" i="58"/>
  <c r="AC28" i="58"/>
  <c r="AB28" i="58"/>
  <c r="AA28" i="58"/>
  <c r="Z28" i="58"/>
  <c r="Y28" i="58"/>
  <c r="X28" i="58"/>
  <c r="W28" i="58"/>
  <c r="V28" i="58"/>
  <c r="U28" i="58"/>
  <c r="T28" i="58"/>
  <c r="S28" i="58"/>
  <c r="R28" i="58"/>
  <c r="Q28" i="58"/>
  <c r="P28" i="58"/>
  <c r="O28" i="58"/>
  <c r="N28" i="58"/>
  <c r="M28" i="58"/>
  <c r="L28" i="58"/>
  <c r="K28" i="58"/>
  <c r="AL27" i="58"/>
  <c r="AK27" i="58"/>
  <c r="AJ27" i="58"/>
  <c r="AI27" i="58"/>
  <c r="AH27" i="58"/>
  <c r="AG27" i="58"/>
  <c r="AF27" i="58"/>
  <c r="AE27" i="58"/>
  <c r="AD27" i="58"/>
  <c r="AC27" i="58"/>
  <c r="AB27" i="58"/>
  <c r="AA27" i="58"/>
  <c r="Z27" i="58"/>
  <c r="Y27" i="58"/>
  <c r="X27" i="58"/>
  <c r="W27" i="58"/>
  <c r="V27" i="58"/>
  <c r="U27" i="58"/>
  <c r="T27" i="58"/>
  <c r="S27" i="58"/>
  <c r="R27" i="58"/>
  <c r="Q27" i="58"/>
  <c r="P27" i="58"/>
  <c r="O27" i="58"/>
  <c r="N27" i="58"/>
  <c r="M27" i="58"/>
  <c r="L27" i="58"/>
  <c r="K27" i="58"/>
  <c r="AL26" i="58"/>
  <c r="AK26" i="58"/>
  <c r="AJ26" i="58"/>
  <c r="AI26" i="58"/>
  <c r="AH26" i="58"/>
  <c r="AG26" i="58"/>
  <c r="AF26" i="58"/>
  <c r="AE26" i="58"/>
  <c r="AD26" i="58"/>
  <c r="AC26" i="58"/>
  <c r="AB26" i="58"/>
  <c r="AA26" i="58"/>
  <c r="Z26" i="58"/>
  <c r="Y26" i="58"/>
  <c r="X26" i="58"/>
  <c r="W26" i="58"/>
  <c r="V26" i="58"/>
  <c r="U26" i="58"/>
  <c r="T26" i="58"/>
  <c r="S26" i="58"/>
  <c r="R26" i="58"/>
  <c r="Q26" i="58"/>
  <c r="P26" i="58"/>
  <c r="O26" i="58"/>
  <c r="N26" i="58"/>
  <c r="M26" i="58"/>
  <c r="L26" i="58"/>
  <c r="K26" i="58"/>
  <c r="AL25" i="58"/>
  <c r="AK25" i="58"/>
  <c r="AJ25" i="58"/>
  <c r="AI25" i="58"/>
  <c r="AH25" i="58"/>
  <c r="AG25" i="58"/>
  <c r="AF25" i="58"/>
  <c r="AE25" i="58"/>
  <c r="AD25" i="58"/>
  <c r="AC25" i="58"/>
  <c r="AB25" i="58"/>
  <c r="AA25" i="58"/>
  <c r="Z25" i="58"/>
  <c r="Y25" i="58"/>
  <c r="X25" i="58"/>
  <c r="W25" i="58"/>
  <c r="V25" i="58"/>
  <c r="U25" i="58"/>
  <c r="T25" i="58"/>
  <c r="S25" i="58"/>
  <c r="R25" i="58"/>
  <c r="Q25" i="58"/>
  <c r="P25" i="58"/>
  <c r="O25" i="58"/>
  <c r="N25" i="58"/>
  <c r="M25" i="58"/>
  <c r="L25" i="58"/>
  <c r="K25" i="58"/>
  <c r="AL24" i="58"/>
  <c r="AK24" i="58"/>
  <c r="AJ24" i="58"/>
  <c r="AI24" i="58"/>
  <c r="AH24" i="58"/>
  <c r="AG24" i="58"/>
  <c r="AF24" i="58"/>
  <c r="AE24" i="58"/>
  <c r="AD24" i="58"/>
  <c r="AC24" i="58"/>
  <c r="AB24" i="58"/>
  <c r="AA24" i="58"/>
  <c r="Z24" i="58"/>
  <c r="Y24" i="58"/>
  <c r="X24" i="58"/>
  <c r="W24" i="58"/>
  <c r="V24" i="58"/>
  <c r="U24" i="58"/>
  <c r="T24" i="58"/>
  <c r="S24" i="58"/>
  <c r="R24" i="58"/>
  <c r="Q24" i="58"/>
  <c r="P24" i="58"/>
  <c r="O24" i="58"/>
  <c r="N24" i="58"/>
  <c r="M24" i="58"/>
  <c r="L24" i="58"/>
  <c r="K24" i="58"/>
  <c r="K31" i="58" l="1"/>
  <c r="F7" i="60"/>
  <c r="G7" i="60"/>
  <c r="H7" i="60"/>
  <c r="I7" i="60"/>
  <c r="O151" i="58" s="1"/>
  <c r="J7" i="60"/>
  <c r="P151" i="58" s="1"/>
  <c r="K7" i="60"/>
  <c r="Q151" i="58" s="1"/>
  <c r="L7" i="60"/>
  <c r="M7" i="60"/>
  <c r="N7" i="60"/>
  <c r="O7" i="60"/>
  <c r="P7" i="60"/>
  <c r="Q7" i="60"/>
  <c r="R7" i="60"/>
  <c r="S7" i="60"/>
  <c r="T7" i="60"/>
  <c r="U7" i="60"/>
  <c r="V7" i="60"/>
  <c r="W7" i="60"/>
  <c r="X7" i="60"/>
  <c r="Y7" i="60"/>
  <c r="Z7" i="60"/>
  <c r="AA7" i="60"/>
  <c r="AB7" i="60"/>
  <c r="AD7" i="60"/>
  <c r="AE7" i="60"/>
  <c r="AF7" i="60"/>
  <c r="E7" i="60"/>
  <c r="F11" i="60"/>
  <c r="G11" i="60"/>
  <c r="H11" i="60"/>
  <c r="I11" i="60"/>
  <c r="O143" i="58" s="1"/>
  <c r="J11" i="60"/>
  <c r="P143" i="58" s="1"/>
  <c r="K11" i="60"/>
  <c r="Q143" i="58" s="1"/>
  <c r="L11" i="60"/>
  <c r="M11" i="60"/>
  <c r="N11" i="60"/>
  <c r="O11" i="60"/>
  <c r="P11" i="60"/>
  <c r="Q11" i="60"/>
  <c r="R11" i="60"/>
  <c r="S11" i="60"/>
  <c r="T11" i="60"/>
  <c r="U11" i="60"/>
  <c r="V11" i="60"/>
  <c r="W11" i="60"/>
  <c r="X11" i="60"/>
  <c r="Y11" i="60"/>
  <c r="Z11" i="60"/>
  <c r="AA11" i="60"/>
  <c r="AB11" i="60"/>
  <c r="AC11" i="60"/>
  <c r="AD11" i="60"/>
  <c r="AE11" i="60"/>
  <c r="AF11" i="60"/>
  <c r="E11" i="60"/>
  <c r="K161" i="58" l="1"/>
  <c r="X169" i="58"/>
  <c r="X313" i="58" s="1"/>
  <c r="K151" i="58"/>
  <c r="AL151" i="58"/>
  <c r="AK151" i="58"/>
  <c r="AJ151" i="58"/>
  <c r="AI151" i="58"/>
  <c r="AH151" i="58"/>
  <c r="AG151" i="58"/>
  <c r="AF151" i="58"/>
  <c r="AE151" i="58"/>
  <c r="AD151" i="58"/>
  <c r="AC151" i="58"/>
  <c r="AB151" i="58"/>
  <c r="AA151" i="58"/>
  <c r="Z151" i="58"/>
  <c r="Y151" i="58"/>
  <c r="X151" i="58"/>
  <c r="W151" i="58"/>
  <c r="V151" i="58"/>
  <c r="U151" i="58"/>
  <c r="T151" i="58"/>
  <c r="S151" i="58"/>
  <c r="R151" i="58"/>
  <c r="Q174" i="58"/>
  <c r="Q296" i="58"/>
  <c r="P174" i="58"/>
  <c r="P296" i="58"/>
  <c r="O174" i="58"/>
  <c r="O296" i="58"/>
  <c r="N151" i="58"/>
  <c r="M151" i="58"/>
  <c r="L151" i="58"/>
  <c r="P298" i="58"/>
  <c r="P297" i="58"/>
  <c r="O298" i="58"/>
  <c r="O297" i="58"/>
  <c r="Q298" i="58"/>
  <c r="Q297" i="58"/>
  <c r="AE293" i="58"/>
  <c r="AE292" i="58"/>
  <c r="AE294" i="58"/>
  <c r="AD293" i="58"/>
  <c r="AD292" i="58"/>
  <c r="AD294" i="58"/>
  <c r="P292" i="58"/>
  <c r="P293" i="58"/>
  <c r="P294" i="58"/>
  <c r="AC293" i="58"/>
  <c r="AC292" i="58"/>
  <c r="AC294" i="58"/>
  <c r="O293" i="58"/>
  <c r="O292" i="58"/>
  <c r="O294" i="58"/>
  <c r="Q292" i="58"/>
  <c r="Q294" i="58"/>
  <c r="Q293" i="58"/>
  <c r="AB294" i="58"/>
  <c r="AB293" i="58"/>
  <c r="AB292" i="58"/>
  <c r="AA294" i="58"/>
  <c r="AA292" i="58"/>
  <c r="AA293" i="58"/>
  <c r="Z294" i="58"/>
  <c r="Z293" i="58"/>
  <c r="Z292" i="58"/>
  <c r="Y294" i="58"/>
  <c r="Y293" i="58"/>
  <c r="Y292" i="58"/>
  <c r="X294" i="58"/>
  <c r="X292" i="58"/>
  <c r="X293" i="58"/>
  <c r="W292" i="58"/>
  <c r="W294" i="58"/>
  <c r="W293" i="58"/>
  <c r="L293" i="58"/>
  <c r="L294" i="58"/>
  <c r="L292" i="58"/>
  <c r="V292" i="58"/>
  <c r="V294" i="58"/>
  <c r="V293" i="58"/>
  <c r="U292" i="58"/>
  <c r="U294" i="58"/>
  <c r="U293" i="58"/>
  <c r="T292" i="58"/>
  <c r="T293" i="58"/>
  <c r="T294" i="58"/>
  <c r="S292" i="58"/>
  <c r="S294" i="58"/>
  <c r="S293" i="58"/>
  <c r="AL292" i="58"/>
  <c r="AL294" i="58"/>
  <c r="AL293" i="58"/>
  <c r="R293" i="58"/>
  <c r="R292" i="58"/>
  <c r="R294" i="58"/>
  <c r="K293" i="58"/>
  <c r="K292" i="58"/>
  <c r="K294" i="58"/>
  <c r="AK292" i="58"/>
  <c r="AK293" i="58"/>
  <c r="AK294" i="58"/>
  <c r="AF293" i="58"/>
  <c r="AF292" i="58"/>
  <c r="AF294" i="58"/>
  <c r="AJ292" i="58"/>
  <c r="AJ294" i="58"/>
  <c r="AJ293" i="58"/>
  <c r="AI293" i="58"/>
  <c r="AI292" i="58"/>
  <c r="AI294" i="58"/>
  <c r="AH293" i="58"/>
  <c r="AH292" i="58"/>
  <c r="AH294" i="58"/>
  <c r="N293" i="58"/>
  <c r="N292" i="58"/>
  <c r="N294" i="58"/>
  <c r="AG293" i="58"/>
  <c r="AG292" i="58"/>
  <c r="AG294" i="58"/>
  <c r="M293" i="58"/>
  <c r="M292" i="58"/>
  <c r="M294" i="58"/>
  <c r="AB161" i="58"/>
  <c r="AB305" i="58" s="1"/>
  <c r="Z161" i="58"/>
  <c r="Z305" i="58" s="1"/>
  <c r="Y161" i="58"/>
  <c r="Y305" i="58" s="1"/>
  <c r="AK169" i="58"/>
  <c r="AK313" i="58" s="1"/>
  <c r="U169" i="58"/>
  <c r="U313" i="58" s="1"/>
  <c r="X161" i="58"/>
  <c r="X305" i="58" s="1"/>
  <c r="K166" i="58"/>
  <c r="K310" i="58" s="1"/>
  <c r="AE161" i="58"/>
  <c r="AE305" i="58" s="1"/>
  <c r="AA169" i="58"/>
  <c r="AA313" i="58" s="1"/>
  <c r="W169" i="58"/>
  <c r="W313" i="58" s="1"/>
  <c r="V169" i="58"/>
  <c r="V313" i="58" s="1"/>
  <c r="W161" i="58"/>
  <c r="W305" i="58" s="1"/>
  <c r="S169" i="58"/>
  <c r="S313" i="58" s="1"/>
  <c r="V161" i="58"/>
  <c r="V305" i="58" s="1"/>
  <c r="AL169" i="58"/>
  <c r="AL313" i="58" s="1"/>
  <c r="R169" i="58"/>
  <c r="R313" i="58" s="1"/>
  <c r="Q169" i="58"/>
  <c r="Q313" i="58" s="1"/>
  <c r="K305" i="58"/>
  <c r="AJ169" i="58"/>
  <c r="AJ313" i="58" s="1"/>
  <c r="P169" i="58"/>
  <c r="P313" i="58" s="1"/>
  <c r="U161" i="58"/>
  <c r="U305" i="58" s="1"/>
  <c r="T161" i="58"/>
  <c r="T305" i="58" s="1"/>
  <c r="S161" i="58"/>
  <c r="S305" i="58" s="1"/>
  <c r="AI169" i="58"/>
  <c r="AI313" i="58" s="1"/>
  <c r="O169" i="58"/>
  <c r="O313" i="58" s="1"/>
  <c r="T169" i="58"/>
  <c r="T313" i="58" s="1"/>
  <c r="AL161" i="58"/>
  <c r="AL305" i="58" s="1"/>
  <c r="R161" i="58"/>
  <c r="R305" i="58" s="1"/>
  <c r="AH169" i="58"/>
  <c r="AH313" i="58" s="1"/>
  <c r="N169" i="58"/>
  <c r="N313" i="58" s="1"/>
  <c r="AK161" i="58"/>
  <c r="AK305" i="58" s="1"/>
  <c r="Q161" i="58"/>
  <c r="Q305" i="58" s="1"/>
  <c r="AG169" i="58"/>
  <c r="AG313" i="58" s="1"/>
  <c r="M169" i="58"/>
  <c r="M313" i="58" s="1"/>
  <c r="AA161" i="58"/>
  <c r="AA305" i="58" s="1"/>
  <c r="AF169" i="58"/>
  <c r="AF313" i="58" s="1"/>
  <c r="O161" i="58"/>
  <c r="O305" i="58" s="1"/>
  <c r="AE169" i="58"/>
  <c r="AE313" i="58" s="1"/>
  <c r="K163" i="58"/>
  <c r="K307" i="58" s="1"/>
  <c r="N161" i="58"/>
  <c r="N305" i="58" s="1"/>
  <c r="AD169" i="58"/>
  <c r="AD313" i="58" s="1"/>
  <c r="L169" i="58"/>
  <c r="L313" i="58" s="1"/>
  <c r="AG161" i="58"/>
  <c r="AG305" i="58" s="1"/>
  <c r="M161" i="58"/>
  <c r="M305" i="58" s="1"/>
  <c r="AC169" i="58"/>
  <c r="AC313" i="58" s="1"/>
  <c r="P161" i="58"/>
  <c r="P305" i="58" s="1"/>
  <c r="AB169" i="58"/>
  <c r="AB313" i="58" s="1"/>
  <c r="AD161" i="58"/>
  <c r="AD305" i="58" s="1"/>
  <c r="K168" i="58"/>
  <c r="K312" i="58" s="1"/>
  <c r="Z169" i="58"/>
  <c r="Z313" i="58" s="1"/>
  <c r="K165" i="58"/>
  <c r="K309" i="58" s="1"/>
  <c r="K164" i="58"/>
  <c r="K308" i="58" s="1"/>
  <c r="AJ161" i="58"/>
  <c r="AJ305" i="58" s="1"/>
  <c r="AI161" i="58"/>
  <c r="AI305" i="58" s="1"/>
  <c r="AH161" i="58"/>
  <c r="AH305" i="58" s="1"/>
  <c r="AF161" i="58"/>
  <c r="AF305" i="58" s="1"/>
  <c r="L161" i="58"/>
  <c r="L305" i="58" s="1"/>
  <c r="K162" i="58"/>
  <c r="K306" i="58" s="1"/>
  <c r="K169" i="58"/>
  <c r="K313" i="58" s="1"/>
  <c r="AC161" i="58"/>
  <c r="AC305" i="58" s="1"/>
  <c r="K167" i="58"/>
  <c r="K311" i="58" s="1"/>
  <c r="Y169" i="58"/>
  <c r="Y313" i="58" s="1"/>
  <c r="AK160" i="58"/>
  <c r="AK304" i="58" s="1"/>
  <c r="AJ160" i="58"/>
  <c r="AJ304" i="58" s="1"/>
  <c r="P160" i="58"/>
  <c r="P304" i="58" s="1"/>
  <c r="Q160" i="58"/>
  <c r="Q304" i="58" s="1"/>
  <c r="P168" i="58"/>
  <c r="P312" i="58" s="1"/>
  <c r="AL168" i="58"/>
  <c r="AL312" i="58" s="1"/>
  <c r="R168" i="58"/>
  <c r="R312" i="58" s="1"/>
  <c r="AA160" i="58"/>
  <c r="AA304" i="58" s="1"/>
  <c r="Z160" i="58"/>
  <c r="Z304" i="58" s="1"/>
  <c r="AF158" i="58"/>
  <c r="AF302" i="58" s="1"/>
  <c r="L158" i="58"/>
  <c r="L302" i="58" s="1"/>
  <c r="AD158" i="58"/>
  <c r="AD302" i="58" s="1"/>
  <c r="AI158" i="58"/>
  <c r="AI302" i="58" s="1"/>
  <c r="O158" i="58"/>
  <c r="O302" i="58" s="1"/>
  <c r="AH158" i="58"/>
  <c r="AH302" i="58" s="1"/>
  <c r="N158" i="58"/>
  <c r="N302" i="58" s="1"/>
  <c r="AB168" i="58"/>
  <c r="AB312" i="58" s="1"/>
  <c r="AI167" i="58"/>
  <c r="AI311" i="58" s="1"/>
  <c r="O167" i="58"/>
  <c r="O311" i="58" s="1"/>
  <c r="AG158" i="58"/>
  <c r="AG302" i="58" s="1"/>
  <c r="AH164" i="58"/>
  <c r="AH308" i="58" s="1"/>
  <c r="W160" i="58"/>
  <c r="W304" i="58" s="1"/>
  <c r="AC158" i="58"/>
  <c r="AC302" i="58" s="1"/>
  <c r="V160" i="58"/>
  <c r="V304" i="58" s="1"/>
  <c r="U160" i="58"/>
  <c r="U304" i="58" s="1"/>
  <c r="V168" i="58"/>
  <c r="V312" i="58" s="1"/>
  <c r="X160" i="58"/>
  <c r="X304" i="58" s="1"/>
  <c r="X168" i="58"/>
  <c r="X312" i="58" s="1"/>
  <c r="AE167" i="58"/>
  <c r="AE311" i="58" s="1"/>
  <c r="W165" i="58"/>
  <c r="W309" i="58" s="1"/>
  <c r="AB158" i="58"/>
  <c r="AB302" i="58" s="1"/>
  <c r="Z158" i="58"/>
  <c r="Z302" i="58" s="1"/>
  <c r="AC167" i="58"/>
  <c r="AC311" i="58" s="1"/>
  <c r="P166" i="58"/>
  <c r="P310" i="58" s="1"/>
  <c r="T160" i="58"/>
  <c r="T304" i="58" s="1"/>
  <c r="K160" i="58"/>
  <c r="K304" i="58" s="1"/>
  <c r="S160" i="58"/>
  <c r="S304" i="58" s="1"/>
  <c r="AL160" i="58"/>
  <c r="AL304" i="58" s="1"/>
  <c r="R160" i="58"/>
  <c r="R304" i="58" s="1"/>
  <c r="Y158" i="58"/>
  <c r="Y302" i="58" s="1"/>
  <c r="S168" i="58"/>
  <c r="S312" i="58" s="1"/>
  <c r="Z167" i="58"/>
  <c r="Z311" i="58" s="1"/>
  <c r="AG166" i="58"/>
  <c r="AG310" i="58" s="1"/>
  <c r="M166" i="58"/>
  <c r="M310" i="58" s="1"/>
  <c r="T165" i="58"/>
  <c r="T309" i="58" s="1"/>
  <c r="AA164" i="58"/>
  <c r="AA308" i="58" s="1"/>
  <c r="AH163" i="58"/>
  <c r="AH307" i="58" s="1"/>
  <c r="N163" i="58"/>
  <c r="N307" i="58" s="1"/>
  <c r="U162" i="58"/>
  <c r="U306" i="58" s="1"/>
  <c r="AC159" i="58"/>
  <c r="AC303" i="58" s="1"/>
  <c r="AF166" i="58"/>
  <c r="AF310" i="58" s="1"/>
  <c r="L166" i="58"/>
  <c r="L310" i="58" s="1"/>
  <c r="M163" i="58"/>
  <c r="M307" i="58" s="1"/>
  <c r="AK168" i="58"/>
  <c r="AK312" i="58" s="1"/>
  <c r="Q168" i="58"/>
  <c r="Q312" i="58" s="1"/>
  <c r="W167" i="58"/>
  <c r="W311" i="58" s="1"/>
  <c r="AJ168" i="58"/>
  <c r="AJ312" i="58" s="1"/>
  <c r="AD163" i="58"/>
  <c r="AD307" i="58" s="1"/>
  <c r="M158" i="58"/>
  <c r="M302" i="58" s="1"/>
  <c r="AE158" i="58"/>
  <c r="AE302" i="58" s="1"/>
  <c r="Y168" i="58"/>
  <c r="Y312" i="58" s="1"/>
  <c r="AF167" i="58"/>
  <c r="AF311" i="58" s="1"/>
  <c r="AC166" i="58"/>
  <c r="AC310" i="58" s="1"/>
  <c r="W164" i="58"/>
  <c r="W308" i="58" s="1"/>
  <c r="N168" i="58"/>
  <c r="N312" i="58" s="1"/>
  <c r="V164" i="58"/>
  <c r="V308" i="58" s="1"/>
  <c r="L160" i="58"/>
  <c r="L304" i="58" s="1"/>
  <c r="AG168" i="58"/>
  <c r="AG312" i="58" s="1"/>
  <c r="M168" i="58"/>
  <c r="M312" i="58" s="1"/>
  <c r="T167" i="58"/>
  <c r="T311" i="58" s="1"/>
  <c r="AA166" i="58"/>
  <c r="AA310" i="58" s="1"/>
  <c r="N165" i="58"/>
  <c r="N309" i="58" s="1"/>
  <c r="AB163" i="58"/>
  <c r="AB307" i="58" s="1"/>
  <c r="O162" i="58"/>
  <c r="O306" i="58" s="1"/>
  <c r="R158" i="58"/>
  <c r="R302" i="58" s="1"/>
  <c r="L168" i="58"/>
  <c r="L312" i="58" s="1"/>
  <c r="AG165" i="58"/>
  <c r="AG309" i="58" s="1"/>
  <c r="AA163" i="58"/>
  <c r="AA307" i="58" s="1"/>
  <c r="V159" i="58"/>
  <c r="V303" i="58" s="1"/>
  <c r="Z164" i="58"/>
  <c r="Z308" i="58" s="1"/>
  <c r="X167" i="58"/>
  <c r="X311" i="58" s="1"/>
  <c r="V158" i="58"/>
  <c r="V302" i="58" s="1"/>
  <c r="O168" i="58"/>
  <c r="O312" i="58" s="1"/>
  <c r="P165" i="58"/>
  <c r="P309" i="58" s="1"/>
  <c r="AI165" i="58"/>
  <c r="AI309" i="58" s="1"/>
  <c r="P162" i="58"/>
  <c r="P306" i="58" s="1"/>
  <c r="AL158" i="58"/>
  <c r="AL302" i="58" s="1"/>
  <c r="AF168" i="58"/>
  <c r="AF312" i="58" s="1"/>
  <c r="S167" i="58"/>
  <c r="S311" i="58" s="1"/>
  <c r="Z166" i="58"/>
  <c r="Z310" i="58" s="1"/>
  <c r="M165" i="58"/>
  <c r="M309" i="58" s="1"/>
  <c r="T164" i="58"/>
  <c r="T308" i="58" s="1"/>
  <c r="AH162" i="58"/>
  <c r="AH306" i="58" s="1"/>
  <c r="N162" i="58"/>
  <c r="N306" i="58" s="1"/>
  <c r="AK158" i="58"/>
  <c r="AK302" i="58" s="1"/>
  <c r="AL167" i="58"/>
  <c r="AL311" i="58" s="1"/>
  <c r="L165" i="58"/>
  <c r="L309" i="58" s="1"/>
  <c r="U159" i="58"/>
  <c r="U303" i="58" s="1"/>
  <c r="U158" i="58"/>
  <c r="U302" i="58" s="1"/>
  <c r="V167" i="58"/>
  <c r="V311" i="58" s="1"/>
  <c r="AG160" i="58"/>
  <c r="AG304" i="58" s="1"/>
  <c r="U167" i="58"/>
  <c r="U311" i="58" s="1"/>
  <c r="AB166" i="58"/>
  <c r="AB310" i="58" s="1"/>
  <c r="AF160" i="58"/>
  <c r="AF304" i="58" s="1"/>
  <c r="AH165" i="58"/>
  <c r="AH309" i="58" s="1"/>
  <c r="U164" i="58"/>
  <c r="U308" i="58" s="1"/>
  <c r="AI162" i="58"/>
  <c r="AI306" i="58" s="1"/>
  <c r="AE160" i="58"/>
  <c r="AE304" i="58" s="1"/>
  <c r="AD160" i="58"/>
  <c r="AD304" i="58" s="1"/>
  <c r="Q158" i="58"/>
  <c r="Q302" i="58" s="1"/>
  <c r="AE168" i="58"/>
  <c r="AE312" i="58" s="1"/>
  <c r="R167" i="58"/>
  <c r="R311" i="58" s="1"/>
  <c r="Y166" i="58"/>
  <c r="Y310" i="58" s="1"/>
  <c r="AF165" i="58"/>
  <c r="AF309" i="58" s="1"/>
  <c r="S164" i="58"/>
  <c r="S308" i="58" s="1"/>
  <c r="Z163" i="58"/>
  <c r="Z307" i="58" s="1"/>
  <c r="AG162" i="58"/>
  <c r="AG306" i="58" s="1"/>
  <c r="M162" i="58"/>
  <c r="M306" i="58" s="1"/>
  <c r="AC160" i="58"/>
  <c r="AC304" i="58" s="1"/>
  <c r="AJ158" i="58"/>
  <c r="AJ302" i="58" s="1"/>
  <c r="P158" i="58"/>
  <c r="P302" i="58" s="1"/>
  <c r="AD168" i="58"/>
  <c r="AD312" i="58" s="1"/>
  <c r="AK167" i="58"/>
  <c r="AK311" i="58" s="1"/>
  <c r="Q167" i="58"/>
  <c r="Q311" i="58" s="1"/>
  <c r="X166" i="58"/>
  <c r="X310" i="58" s="1"/>
  <c r="AE165" i="58"/>
  <c r="AE309" i="58" s="1"/>
  <c r="AL164" i="58"/>
  <c r="AL308" i="58" s="1"/>
  <c r="R164" i="58"/>
  <c r="R308" i="58" s="1"/>
  <c r="Y163" i="58"/>
  <c r="Y307" i="58" s="1"/>
  <c r="AF162" i="58"/>
  <c r="AF306" i="58" s="1"/>
  <c r="L162" i="58"/>
  <c r="L306" i="58" s="1"/>
  <c r="T159" i="58"/>
  <c r="T303" i="58" s="1"/>
  <c r="AB160" i="58"/>
  <c r="AB304" i="58" s="1"/>
  <c r="AC168" i="58"/>
  <c r="AC312" i="58" s="1"/>
  <c r="AJ167" i="58"/>
  <c r="AJ311" i="58" s="1"/>
  <c r="P167" i="58"/>
  <c r="P311" i="58" s="1"/>
  <c r="W166" i="58"/>
  <c r="W310" i="58" s="1"/>
  <c r="AD165" i="58"/>
  <c r="AD309" i="58" s="1"/>
  <c r="AK164" i="58"/>
  <c r="AK308" i="58" s="1"/>
  <c r="Q164" i="58"/>
  <c r="Q308" i="58" s="1"/>
  <c r="X163" i="58"/>
  <c r="X307" i="58" s="1"/>
  <c r="AE162" i="58"/>
  <c r="AE306" i="58" s="1"/>
  <c r="K159" i="58"/>
  <c r="K303" i="58" s="1"/>
  <c r="S159" i="58"/>
  <c r="S303" i="58" s="1"/>
  <c r="V166" i="58"/>
  <c r="V310" i="58" s="1"/>
  <c r="AC165" i="58"/>
  <c r="AC309" i="58" s="1"/>
  <c r="AJ164" i="58"/>
  <c r="AJ308" i="58" s="1"/>
  <c r="P164" i="58"/>
  <c r="P308" i="58" s="1"/>
  <c r="W163" i="58"/>
  <c r="W307" i="58" s="1"/>
  <c r="AD162" i="58"/>
  <c r="AD306" i="58" s="1"/>
  <c r="AL159" i="58"/>
  <c r="AL303" i="58" s="1"/>
  <c r="R159" i="58"/>
  <c r="R303" i="58" s="1"/>
  <c r="AA168" i="58"/>
  <c r="AA312" i="58" s="1"/>
  <c r="AH167" i="58"/>
  <c r="AH311" i="58" s="1"/>
  <c r="N167" i="58"/>
  <c r="N311" i="58" s="1"/>
  <c r="U166" i="58"/>
  <c r="U310" i="58" s="1"/>
  <c r="AB165" i="58"/>
  <c r="AB309" i="58" s="1"/>
  <c r="AI164" i="58"/>
  <c r="AI308" i="58" s="1"/>
  <c r="O164" i="58"/>
  <c r="O308" i="58" s="1"/>
  <c r="V163" i="58"/>
  <c r="V307" i="58" s="1"/>
  <c r="AC162" i="58"/>
  <c r="AC306" i="58" s="1"/>
  <c r="AK159" i="58"/>
  <c r="AK303" i="58" s="1"/>
  <c r="Q159" i="58"/>
  <c r="Q303" i="58" s="1"/>
  <c r="N164" i="58"/>
  <c r="N308" i="58" s="1"/>
  <c r="U163" i="58"/>
  <c r="U307" i="58" s="1"/>
  <c r="AB162" i="58"/>
  <c r="AB306" i="58" s="1"/>
  <c r="AJ159" i="58"/>
  <c r="AJ303" i="58" s="1"/>
  <c r="P159" i="58"/>
  <c r="P303" i="58" s="1"/>
  <c r="Y160" i="58"/>
  <c r="Y304" i="58" s="1"/>
  <c r="Z168" i="58"/>
  <c r="Z312" i="58" s="1"/>
  <c r="M167" i="58"/>
  <c r="M311" i="58" s="1"/>
  <c r="T166" i="58"/>
  <c r="T310" i="58" s="1"/>
  <c r="AA165" i="58"/>
  <c r="AA309" i="58" s="1"/>
  <c r="L167" i="58"/>
  <c r="L311" i="58" s="1"/>
  <c r="S166" i="58"/>
  <c r="S310" i="58" s="1"/>
  <c r="Z165" i="58"/>
  <c r="Z309" i="58" s="1"/>
  <c r="AG164" i="58"/>
  <c r="AG308" i="58" s="1"/>
  <c r="M164" i="58"/>
  <c r="M308" i="58" s="1"/>
  <c r="T163" i="58"/>
  <c r="T307" i="58" s="1"/>
  <c r="AA162" i="58"/>
  <c r="AA306" i="58" s="1"/>
  <c r="AI159" i="58"/>
  <c r="AI303" i="58" s="1"/>
  <c r="O159" i="58"/>
  <c r="O303" i="58" s="1"/>
  <c r="AG167" i="58"/>
  <c r="AG311" i="58" s="1"/>
  <c r="Y165" i="58"/>
  <c r="Y309" i="58" s="1"/>
  <c r="AF164" i="58"/>
  <c r="AF308" i="58" s="1"/>
  <c r="L164" i="58"/>
  <c r="L308" i="58" s="1"/>
  <c r="S163" i="58"/>
  <c r="S307" i="58" s="1"/>
  <c r="Z162" i="58"/>
  <c r="Z306" i="58" s="1"/>
  <c r="AH159" i="58"/>
  <c r="AH303" i="58" s="1"/>
  <c r="N159" i="58"/>
  <c r="N303" i="58" s="1"/>
  <c r="AL166" i="58"/>
  <c r="AL310" i="58" s="1"/>
  <c r="R166" i="58"/>
  <c r="R310" i="58" s="1"/>
  <c r="W168" i="58"/>
  <c r="W312" i="58" s="1"/>
  <c r="AD167" i="58"/>
  <c r="AD311" i="58" s="1"/>
  <c r="AK166" i="58"/>
  <c r="AK310" i="58" s="1"/>
  <c r="Q166" i="58"/>
  <c r="Q310" i="58" s="1"/>
  <c r="X165" i="58"/>
  <c r="X309" i="58" s="1"/>
  <c r="AE164" i="58"/>
  <c r="AE308" i="58" s="1"/>
  <c r="AL163" i="58"/>
  <c r="AL307" i="58" s="1"/>
  <c r="R163" i="58"/>
  <c r="R307" i="58" s="1"/>
  <c r="Y162" i="58"/>
  <c r="Y306" i="58" s="1"/>
  <c r="AG159" i="58"/>
  <c r="AG303" i="58" s="1"/>
  <c r="M159" i="58"/>
  <c r="M303" i="58" s="1"/>
  <c r="AJ166" i="58"/>
  <c r="AJ310" i="58" s="1"/>
  <c r="AD164" i="58"/>
  <c r="AD308" i="58" s="1"/>
  <c r="AK163" i="58"/>
  <c r="AK307" i="58" s="1"/>
  <c r="Q163" i="58"/>
  <c r="Q307" i="58" s="1"/>
  <c r="X162" i="58"/>
  <c r="X306" i="58" s="1"/>
  <c r="AF159" i="58"/>
  <c r="AF303" i="58" s="1"/>
  <c r="L159" i="58"/>
  <c r="L303" i="58" s="1"/>
  <c r="K158" i="58"/>
  <c r="K302" i="58" s="1"/>
  <c r="AA158" i="58"/>
  <c r="AA302" i="58" s="1"/>
  <c r="U168" i="58"/>
  <c r="U312" i="58" s="1"/>
  <c r="AB167" i="58"/>
  <c r="AB311" i="58" s="1"/>
  <c r="AI166" i="58"/>
  <c r="AI310" i="58" s="1"/>
  <c r="O166" i="58"/>
  <c r="O310" i="58" s="1"/>
  <c r="V165" i="58"/>
  <c r="V309" i="58" s="1"/>
  <c r="AC164" i="58"/>
  <c r="AC308" i="58" s="1"/>
  <c r="AJ163" i="58"/>
  <c r="AJ307" i="58" s="1"/>
  <c r="P163" i="58"/>
  <c r="P307" i="58" s="1"/>
  <c r="W162" i="58"/>
  <c r="W306" i="58" s="1"/>
  <c r="AE159" i="58"/>
  <c r="AE303" i="58" s="1"/>
  <c r="T168" i="58"/>
  <c r="T312" i="58" s="1"/>
  <c r="AA167" i="58"/>
  <c r="AA311" i="58" s="1"/>
  <c r="AH166" i="58"/>
  <c r="AH310" i="58" s="1"/>
  <c r="N166" i="58"/>
  <c r="N310" i="58" s="1"/>
  <c r="U165" i="58"/>
  <c r="U309" i="58" s="1"/>
  <c r="AB164" i="58"/>
  <c r="AB308" i="58" s="1"/>
  <c r="AI163" i="58"/>
  <c r="AI307" i="58" s="1"/>
  <c r="O163" i="58"/>
  <c r="O307" i="58" s="1"/>
  <c r="V162" i="58"/>
  <c r="V306" i="58" s="1"/>
  <c r="AD159" i="58"/>
  <c r="AD303" i="58" s="1"/>
  <c r="T162" i="58"/>
  <c r="T306" i="58" s="1"/>
  <c r="AB159" i="58"/>
  <c r="AB303" i="58" s="1"/>
  <c r="AE166" i="58"/>
  <c r="AE310" i="58" s="1"/>
  <c r="AL165" i="58"/>
  <c r="AL309" i="58" s="1"/>
  <c r="R165" i="58"/>
  <c r="R309" i="58" s="1"/>
  <c r="Y164" i="58"/>
  <c r="Y308" i="58" s="1"/>
  <c r="AF163" i="58"/>
  <c r="AF307" i="58" s="1"/>
  <c r="L163" i="58"/>
  <c r="L307" i="58" s="1"/>
  <c r="S162" i="58"/>
  <c r="S306" i="58" s="1"/>
  <c r="AA159" i="58"/>
  <c r="AA303" i="58" s="1"/>
  <c r="S165" i="58"/>
  <c r="S309" i="58" s="1"/>
  <c r="AG163" i="58"/>
  <c r="AG307" i="58" s="1"/>
  <c r="AD166" i="58"/>
  <c r="AD310" i="58" s="1"/>
  <c r="AK165" i="58"/>
  <c r="AK309" i="58" s="1"/>
  <c r="Q165" i="58"/>
  <c r="Q309" i="58" s="1"/>
  <c r="X164" i="58"/>
  <c r="X308" i="58" s="1"/>
  <c r="AE163" i="58"/>
  <c r="AE307" i="58" s="1"/>
  <c r="AL162" i="58"/>
  <c r="AL306" i="58" s="1"/>
  <c r="R162" i="58"/>
  <c r="R306" i="58" s="1"/>
  <c r="Z159" i="58"/>
  <c r="Z303" i="58" s="1"/>
  <c r="X158" i="58"/>
  <c r="X302" i="58" s="1"/>
  <c r="AK162" i="58"/>
  <c r="AK306" i="58" s="1"/>
  <c r="Q162" i="58"/>
  <c r="Q306" i="58" s="1"/>
  <c r="Y159" i="58"/>
  <c r="Y303" i="58" s="1"/>
  <c r="Y167" i="58"/>
  <c r="Y311" i="58" s="1"/>
  <c r="N160" i="58"/>
  <c r="N304" i="58" s="1"/>
  <c r="M160" i="58"/>
  <c r="M304" i="58" s="1"/>
  <c r="AH168" i="58"/>
  <c r="AH312" i="58" s="1"/>
  <c r="O165" i="58"/>
  <c r="O309" i="58" s="1"/>
  <c r="AJ162" i="58"/>
  <c r="AJ306" i="58" s="1"/>
  <c r="X159" i="58"/>
  <c r="X303" i="58" s="1"/>
  <c r="W158" i="58"/>
  <c r="W302" i="58" s="1"/>
  <c r="AI160" i="58"/>
  <c r="AI304" i="58" s="1"/>
  <c r="O160" i="58"/>
  <c r="O304" i="58" s="1"/>
  <c r="AH160" i="58"/>
  <c r="AH304" i="58" s="1"/>
  <c r="AI168" i="58"/>
  <c r="AI312" i="58" s="1"/>
  <c r="AJ165" i="58"/>
  <c r="AJ309" i="58" s="1"/>
  <c r="T158" i="58"/>
  <c r="T302" i="58" s="1"/>
  <c r="AC163" i="58"/>
  <c r="AC307" i="58" s="1"/>
  <c r="S158" i="58"/>
  <c r="S302" i="58" s="1"/>
  <c r="W159" i="58"/>
  <c r="W303" i="58" s="1"/>
  <c r="F8" i="51"/>
  <c r="E9" i="45"/>
  <c r="I16" i="59"/>
  <c r="I15" i="59"/>
  <c r="I14" i="59"/>
  <c r="I13" i="59"/>
  <c r="I12" i="59"/>
  <c r="I11" i="59"/>
  <c r="H11" i="59"/>
  <c r="A11" i="59" s="1"/>
  <c r="H12" i="59"/>
  <c r="A12" i="59" s="1"/>
  <c r="H13" i="59"/>
  <c r="A13" i="59" s="1"/>
  <c r="H14" i="59"/>
  <c r="A14" i="59" s="1"/>
  <c r="H15" i="59"/>
  <c r="A15" i="59" s="1"/>
  <c r="H16" i="59"/>
  <c r="A16" i="59" s="1"/>
  <c r="L143" i="58" l="1"/>
  <c r="L174" i="58" s="1"/>
  <c r="L296" i="58"/>
  <c r="M143" i="58"/>
  <c r="M174" i="58" s="1"/>
  <c r="M296" i="58"/>
  <c r="N143" i="58"/>
  <c r="N174" i="58" s="1"/>
  <c r="N296" i="58"/>
  <c r="R143" i="58"/>
  <c r="R174" i="58" s="1"/>
  <c r="R296" i="58"/>
  <c r="S143" i="58"/>
  <c r="S174" i="58" s="1"/>
  <c r="S296" i="58"/>
  <c r="T143" i="58"/>
  <c r="T174" i="58" s="1"/>
  <c r="T296" i="58"/>
  <c r="U143" i="58"/>
  <c r="U174" i="58" s="1"/>
  <c r="U296" i="58"/>
  <c r="V143" i="58"/>
  <c r="V174" i="58" s="1"/>
  <c r="V296" i="58"/>
  <c r="W143" i="58"/>
  <c r="W174" i="58" s="1"/>
  <c r="W318" i="58" s="1"/>
  <c r="W296" i="58"/>
  <c r="X143" i="58"/>
  <c r="X174" i="58" s="1"/>
  <c r="X296" i="58"/>
  <c r="Y143" i="58"/>
  <c r="Y174" i="58" s="1"/>
  <c r="Y296" i="58"/>
  <c r="Z143" i="58"/>
  <c r="Z174" i="58" s="1"/>
  <c r="Z296" i="58"/>
  <c r="AA143" i="58"/>
  <c r="AA174" i="58" s="1"/>
  <c r="AA296" i="58"/>
  <c r="AB143" i="58"/>
  <c r="AB174" i="58" s="1"/>
  <c r="AB296" i="58"/>
  <c r="AC143" i="58"/>
  <c r="AC174" i="58" s="1"/>
  <c r="AC296" i="58"/>
  <c r="AD143" i="58"/>
  <c r="AD174" i="58" s="1"/>
  <c r="AD296" i="58"/>
  <c r="AE143" i="58"/>
  <c r="AE174" i="58" s="1"/>
  <c r="AE296" i="58"/>
  <c r="AF143" i="58"/>
  <c r="AF174" i="58" s="1"/>
  <c r="AF296" i="58"/>
  <c r="AG143" i="58"/>
  <c r="AG174" i="58" s="1"/>
  <c r="AG318" i="58" s="1"/>
  <c r="AG296" i="58"/>
  <c r="AH143" i="58"/>
  <c r="AH174" i="58" s="1"/>
  <c r="AH318" i="58" s="1"/>
  <c r="AH296" i="58"/>
  <c r="AI143" i="58"/>
  <c r="AI174" i="58" s="1"/>
  <c r="AI296" i="58"/>
  <c r="AJ143" i="58"/>
  <c r="AJ174" i="58" s="1"/>
  <c r="AJ296" i="58"/>
  <c r="AK143" i="58"/>
  <c r="AK174" i="58" s="1"/>
  <c r="AK296" i="58"/>
  <c r="AL143" i="58"/>
  <c r="AL174" i="58" s="1"/>
  <c r="AL296" i="58"/>
  <c r="K143" i="58"/>
  <c r="K174" i="58" s="1"/>
  <c r="K296" i="58"/>
  <c r="X291" i="58"/>
  <c r="X147" i="58"/>
  <c r="AD291" i="58"/>
  <c r="AD147" i="58"/>
  <c r="P291" i="58"/>
  <c r="P147" i="58"/>
  <c r="AE291" i="58"/>
  <c r="AE147" i="58"/>
  <c r="AG291" i="58"/>
  <c r="AG147" i="58"/>
  <c r="AI291" i="58"/>
  <c r="AI147" i="58"/>
  <c r="AJ291" i="58"/>
  <c r="AJ147" i="58"/>
  <c r="Q291" i="58"/>
  <c r="Q147" i="58"/>
  <c r="AK291" i="58"/>
  <c r="AK147" i="58"/>
  <c r="R291" i="58"/>
  <c r="R147" i="58"/>
  <c r="AL291" i="58"/>
  <c r="AL147" i="58"/>
  <c r="W291" i="58"/>
  <c r="W147" i="58"/>
  <c r="Y291" i="58"/>
  <c r="Y147" i="58"/>
  <c r="Z291" i="58"/>
  <c r="Z147" i="58"/>
  <c r="AB291" i="58"/>
  <c r="AB147" i="58"/>
  <c r="AC291" i="58"/>
  <c r="AC147" i="58"/>
  <c r="AF291" i="58"/>
  <c r="AF147" i="58"/>
  <c r="AH291" i="58"/>
  <c r="AH147" i="58"/>
  <c r="S291" i="58"/>
  <c r="S147" i="58"/>
  <c r="T291" i="58"/>
  <c r="T147" i="58"/>
  <c r="U291" i="58"/>
  <c r="U147" i="58"/>
  <c r="V291" i="58"/>
  <c r="V147" i="58"/>
  <c r="AA291" i="58"/>
  <c r="AA147" i="58"/>
  <c r="O291" i="58"/>
  <c r="O147" i="58"/>
  <c r="M291" i="58"/>
  <c r="M147" i="58"/>
  <c r="L291" i="58"/>
  <c r="L147" i="58"/>
  <c r="N291" i="58"/>
  <c r="N147" i="58"/>
  <c r="K291" i="58"/>
  <c r="K147" i="58"/>
  <c r="B16" i="59"/>
  <c r="B14" i="59"/>
  <c r="B12" i="59"/>
  <c r="B13" i="59"/>
  <c r="B15" i="59"/>
  <c r="B11" i="59"/>
  <c r="T238" i="58"/>
  <c r="T247" i="58"/>
  <c r="T252" i="58"/>
  <c r="T260" i="58"/>
  <c r="T265" i="58"/>
  <c r="T245" i="58"/>
  <c r="T250" i="58"/>
  <c r="T255" i="58"/>
  <c r="T246" i="58"/>
  <c r="T251" i="58"/>
  <c r="T256" i="58"/>
  <c r="T261" i="58"/>
  <c r="T266" i="58"/>
  <c r="T259" i="58"/>
  <c r="T264" i="58"/>
  <c r="T258" i="58"/>
  <c r="T253" i="58"/>
  <c r="T263" i="58"/>
  <c r="T248" i="58"/>
  <c r="T257" i="58"/>
  <c r="T254" i="58"/>
  <c r="T262" i="58"/>
  <c r="T249" i="58"/>
  <c r="T267" i="58"/>
  <c r="P238" i="58"/>
  <c r="P245" i="58"/>
  <c r="P250" i="58"/>
  <c r="P255" i="58"/>
  <c r="P258" i="58"/>
  <c r="P263" i="58"/>
  <c r="P248" i="58"/>
  <c r="P253" i="58"/>
  <c r="P254" i="58"/>
  <c r="P259" i="58"/>
  <c r="P264" i="58"/>
  <c r="P249" i="58"/>
  <c r="P257" i="58"/>
  <c r="P262" i="58"/>
  <c r="P267" i="58"/>
  <c r="P251" i="58"/>
  <c r="P260" i="58"/>
  <c r="P266" i="58"/>
  <c r="P246" i="58"/>
  <c r="P252" i="58"/>
  <c r="P265" i="58"/>
  <c r="P247" i="58"/>
  <c r="P256" i="58"/>
  <c r="P261" i="58"/>
  <c r="U238" i="58"/>
  <c r="U240" i="58" s="1"/>
  <c r="U257" i="58"/>
  <c r="U262" i="58"/>
  <c r="U267" i="58"/>
  <c r="U247" i="58"/>
  <c r="U252" i="58"/>
  <c r="U260" i="58"/>
  <c r="U265" i="58"/>
  <c r="U248" i="58"/>
  <c r="U253" i="58"/>
  <c r="U246" i="58"/>
  <c r="U251" i="58"/>
  <c r="U261" i="58"/>
  <c r="U258" i="58"/>
  <c r="U266" i="58"/>
  <c r="U255" i="58"/>
  <c r="U263" i="58"/>
  <c r="U250" i="58"/>
  <c r="U254" i="58"/>
  <c r="U259" i="58"/>
  <c r="U256" i="58"/>
  <c r="U264" i="58"/>
  <c r="U245" i="58"/>
  <c r="U249" i="58"/>
  <c r="K256" i="58"/>
  <c r="K261" i="58"/>
  <c r="K266" i="58"/>
  <c r="K246" i="58"/>
  <c r="K251" i="58"/>
  <c r="K259" i="58"/>
  <c r="K264" i="58"/>
  <c r="K257" i="58"/>
  <c r="K262" i="58"/>
  <c r="K267" i="58"/>
  <c r="K247" i="58"/>
  <c r="K252" i="58"/>
  <c r="K260" i="58"/>
  <c r="K265" i="58"/>
  <c r="K245" i="58"/>
  <c r="K250" i="58"/>
  <c r="K255" i="58"/>
  <c r="K258" i="58"/>
  <c r="K253" i="58"/>
  <c r="K263" i="58"/>
  <c r="K248" i="58"/>
  <c r="K254" i="58"/>
  <c r="K249" i="58"/>
  <c r="M238" i="58"/>
  <c r="M239" i="58" s="1"/>
  <c r="M258" i="58"/>
  <c r="M263" i="58"/>
  <c r="M248" i="58"/>
  <c r="M253" i="58"/>
  <c r="M256" i="58"/>
  <c r="M261" i="58"/>
  <c r="M266" i="58"/>
  <c r="M249" i="58"/>
  <c r="M254" i="58"/>
  <c r="M265" i="58"/>
  <c r="M255" i="58"/>
  <c r="M260" i="58"/>
  <c r="M246" i="58"/>
  <c r="M250" i="58"/>
  <c r="M257" i="58"/>
  <c r="M252" i="58"/>
  <c r="M262" i="58"/>
  <c r="M267" i="58"/>
  <c r="M259" i="58"/>
  <c r="M247" i="58"/>
  <c r="M245" i="58"/>
  <c r="M264" i="58"/>
  <c r="M251" i="58"/>
  <c r="AE238" i="58"/>
  <c r="AE239" i="58" s="1"/>
  <c r="AE256" i="58"/>
  <c r="AE261" i="58"/>
  <c r="AE266" i="58"/>
  <c r="AE246" i="58"/>
  <c r="AE251" i="58"/>
  <c r="AE259" i="58"/>
  <c r="AE264" i="58"/>
  <c r="AE257" i="58"/>
  <c r="AE262" i="58"/>
  <c r="AE267" i="58"/>
  <c r="AE247" i="58"/>
  <c r="AE252" i="58"/>
  <c r="AE260" i="58"/>
  <c r="AE265" i="58"/>
  <c r="AE245" i="58"/>
  <c r="AE250" i="58"/>
  <c r="AE255" i="58"/>
  <c r="AE249" i="58"/>
  <c r="AE253" i="58"/>
  <c r="AE258" i="58"/>
  <c r="AE263" i="58"/>
  <c r="AE248" i="58"/>
  <c r="AE254" i="58"/>
  <c r="AD238" i="58"/>
  <c r="AD239" i="58" s="1"/>
  <c r="AD256" i="58"/>
  <c r="AD261" i="58"/>
  <c r="AD266" i="58"/>
  <c r="AD246" i="58"/>
  <c r="AD251" i="58"/>
  <c r="AD249" i="58"/>
  <c r="AD254" i="58"/>
  <c r="AD257" i="58"/>
  <c r="AD262" i="58"/>
  <c r="AD267" i="58"/>
  <c r="AD247" i="58"/>
  <c r="AD252" i="58"/>
  <c r="AD245" i="58"/>
  <c r="AD250" i="58"/>
  <c r="AD255" i="58"/>
  <c r="AD259" i="58"/>
  <c r="AD253" i="58"/>
  <c r="AD258" i="58"/>
  <c r="AD264" i="58"/>
  <c r="AD248" i="58"/>
  <c r="AD260" i="58"/>
  <c r="AD263" i="58"/>
  <c r="AD265" i="58"/>
  <c r="AK238" i="58"/>
  <c r="AK240" i="58" s="1"/>
  <c r="AK260" i="58"/>
  <c r="AK265" i="58"/>
  <c r="AK245" i="58"/>
  <c r="AK250" i="58"/>
  <c r="AK255" i="58"/>
  <c r="AK258" i="58"/>
  <c r="AK263" i="58"/>
  <c r="AK246" i="58"/>
  <c r="AK251" i="58"/>
  <c r="AK254" i="58"/>
  <c r="AK262" i="58"/>
  <c r="AK259" i="58"/>
  <c r="AK249" i="58"/>
  <c r="AK247" i="58"/>
  <c r="AK267" i="58"/>
  <c r="AK256" i="58"/>
  <c r="AK264" i="58"/>
  <c r="AK261" i="58"/>
  <c r="AK253" i="58"/>
  <c r="AK266" i="58"/>
  <c r="AK248" i="58"/>
  <c r="AK257" i="58"/>
  <c r="AK252" i="58"/>
  <c r="O258" i="58"/>
  <c r="O263" i="58"/>
  <c r="O248" i="58"/>
  <c r="O253" i="58"/>
  <c r="O256" i="58"/>
  <c r="O261" i="58"/>
  <c r="O266" i="58"/>
  <c r="O246" i="58"/>
  <c r="O259" i="58"/>
  <c r="O264" i="58"/>
  <c r="O249" i="58"/>
  <c r="O254" i="58"/>
  <c r="O257" i="58"/>
  <c r="O262" i="58"/>
  <c r="O267" i="58"/>
  <c r="O247" i="58"/>
  <c r="O252" i="58"/>
  <c r="O255" i="58"/>
  <c r="O260" i="58"/>
  <c r="O250" i="58"/>
  <c r="O265" i="58"/>
  <c r="O245" i="58"/>
  <c r="O251" i="58"/>
  <c r="AG238" i="58"/>
  <c r="AG239" i="58" s="1"/>
  <c r="AG258" i="58"/>
  <c r="AG263" i="58"/>
  <c r="AG248" i="58"/>
  <c r="AG253" i="58"/>
  <c r="AG256" i="58"/>
  <c r="AG261" i="58"/>
  <c r="AG266" i="58"/>
  <c r="AG249" i="58"/>
  <c r="AG254" i="58"/>
  <c r="AG247" i="58"/>
  <c r="AG259" i="58"/>
  <c r="AG267" i="58"/>
  <c r="AG245" i="58"/>
  <c r="AG264" i="58"/>
  <c r="AG251" i="58"/>
  <c r="AG255" i="58"/>
  <c r="AG246" i="58"/>
  <c r="AG260" i="58"/>
  <c r="AG250" i="58"/>
  <c r="AG257" i="58"/>
  <c r="AG252" i="58"/>
  <c r="AG265" i="58"/>
  <c r="AG262" i="58"/>
  <c r="AC238" i="58"/>
  <c r="AC239" i="58" s="1"/>
  <c r="AC256" i="58"/>
  <c r="AC261" i="58"/>
  <c r="AC266" i="58"/>
  <c r="AC246" i="58"/>
  <c r="AC251" i="58"/>
  <c r="AC259" i="58"/>
  <c r="AC264" i="58"/>
  <c r="AC247" i="58"/>
  <c r="AC252" i="58"/>
  <c r="AC245" i="58"/>
  <c r="AC267" i="58"/>
  <c r="AC249" i="58"/>
  <c r="AC253" i="58"/>
  <c r="AC258" i="58"/>
  <c r="AC260" i="58"/>
  <c r="AC255" i="58"/>
  <c r="AC263" i="58"/>
  <c r="AC248" i="58"/>
  <c r="AC250" i="58"/>
  <c r="AC257" i="58"/>
  <c r="AC265" i="58"/>
  <c r="AC254" i="58"/>
  <c r="AC262" i="58"/>
  <c r="V238" i="58"/>
  <c r="V240" i="58" s="1"/>
  <c r="V257" i="58"/>
  <c r="V262" i="58"/>
  <c r="V267" i="58"/>
  <c r="V247" i="58"/>
  <c r="V252" i="58"/>
  <c r="V245" i="58"/>
  <c r="V250" i="58"/>
  <c r="V255" i="58"/>
  <c r="V258" i="58"/>
  <c r="V263" i="58"/>
  <c r="V248" i="58"/>
  <c r="V253" i="58"/>
  <c r="V246" i="58"/>
  <c r="V251" i="58"/>
  <c r="V249" i="58"/>
  <c r="V264" i="58"/>
  <c r="V261" i="58"/>
  <c r="V266" i="58"/>
  <c r="V260" i="58"/>
  <c r="V265" i="58"/>
  <c r="V254" i="58"/>
  <c r="V259" i="58"/>
  <c r="V256" i="58"/>
  <c r="AI238" i="58"/>
  <c r="AI239" i="58" s="1"/>
  <c r="AI258" i="58"/>
  <c r="AI263" i="58"/>
  <c r="AI248" i="58"/>
  <c r="AI253" i="58"/>
  <c r="AI256" i="58"/>
  <c r="AI261" i="58"/>
  <c r="AI266" i="58"/>
  <c r="AI246" i="58"/>
  <c r="AI259" i="58"/>
  <c r="AI264" i="58"/>
  <c r="AI249" i="58"/>
  <c r="AI254" i="58"/>
  <c r="AI257" i="58"/>
  <c r="AI262" i="58"/>
  <c r="AI267" i="58"/>
  <c r="AI247" i="58"/>
  <c r="AI252" i="58"/>
  <c r="AI245" i="58"/>
  <c r="AI251" i="58"/>
  <c r="AI255" i="58"/>
  <c r="AI260" i="58"/>
  <c r="AI250" i="58"/>
  <c r="AI265" i="58"/>
  <c r="L238" i="58"/>
  <c r="L240" i="58" s="1"/>
  <c r="L248" i="58"/>
  <c r="L253" i="58"/>
  <c r="L256" i="58"/>
  <c r="L261" i="58"/>
  <c r="L266" i="58"/>
  <c r="L246" i="58"/>
  <c r="L251" i="58"/>
  <c r="L252" i="58"/>
  <c r="L257" i="58"/>
  <c r="L262" i="58"/>
  <c r="L267" i="58"/>
  <c r="L247" i="58"/>
  <c r="L260" i="58"/>
  <c r="L265" i="58"/>
  <c r="L258" i="58"/>
  <c r="L255" i="58"/>
  <c r="L263" i="58"/>
  <c r="L250" i="58"/>
  <c r="L254" i="58"/>
  <c r="L259" i="58"/>
  <c r="L245" i="58"/>
  <c r="L264" i="58"/>
  <c r="L249" i="58"/>
  <c r="AB238" i="58"/>
  <c r="AB240" i="58" s="1"/>
  <c r="AB246" i="58"/>
  <c r="AB251" i="58"/>
  <c r="AB259" i="58"/>
  <c r="AB264" i="58"/>
  <c r="AB249" i="58"/>
  <c r="AB254" i="58"/>
  <c r="AB245" i="58"/>
  <c r="AB260" i="58"/>
  <c r="AB265" i="58"/>
  <c r="AB250" i="58"/>
  <c r="AB258" i="58"/>
  <c r="AB263" i="58"/>
  <c r="AB267" i="58"/>
  <c r="AB247" i="58"/>
  <c r="AB256" i="58"/>
  <c r="AB253" i="58"/>
  <c r="AB261" i="58"/>
  <c r="AB255" i="58"/>
  <c r="AB266" i="58"/>
  <c r="AB248" i="58"/>
  <c r="AB257" i="58"/>
  <c r="AB252" i="58"/>
  <c r="AB262" i="58"/>
  <c r="AJ238" i="58"/>
  <c r="AJ239" i="58" s="1"/>
  <c r="AJ245" i="58"/>
  <c r="AJ250" i="58"/>
  <c r="AJ255" i="58"/>
  <c r="AJ258" i="58"/>
  <c r="AJ263" i="58"/>
  <c r="AJ248" i="58"/>
  <c r="AJ253" i="58"/>
  <c r="AJ249" i="58"/>
  <c r="AJ259" i="58"/>
  <c r="AJ264" i="58"/>
  <c r="AJ254" i="58"/>
  <c r="AJ257" i="58"/>
  <c r="AJ262" i="58"/>
  <c r="AJ267" i="58"/>
  <c r="AJ265" i="58"/>
  <c r="AJ261" i="58"/>
  <c r="AJ251" i="58"/>
  <c r="AJ247" i="58"/>
  <c r="AJ256" i="58"/>
  <c r="AJ266" i="58"/>
  <c r="AJ246" i="58"/>
  <c r="AJ260" i="58"/>
  <c r="AJ252" i="58"/>
  <c r="AA238" i="58"/>
  <c r="AA259" i="58"/>
  <c r="AA264" i="58"/>
  <c r="AA249" i="58"/>
  <c r="AA254" i="58"/>
  <c r="AA257" i="58"/>
  <c r="AA262" i="58"/>
  <c r="AA267" i="58"/>
  <c r="AA247" i="58"/>
  <c r="AA260" i="58"/>
  <c r="AA265" i="58"/>
  <c r="AA245" i="58"/>
  <c r="AA250" i="58"/>
  <c r="AA255" i="58"/>
  <c r="AA258" i="58"/>
  <c r="AA263" i="58"/>
  <c r="AA248" i="58"/>
  <c r="AA253" i="58"/>
  <c r="AA266" i="58"/>
  <c r="AA256" i="58"/>
  <c r="AA251" i="58"/>
  <c r="AA261" i="58"/>
  <c r="AA246" i="58"/>
  <c r="AA252" i="58"/>
  <c r="AH258" i="58"/>
  <c r="AH263" i="58"/>
  <c r="AH248" i="58"/>
  <c r="AH253" i="58"/>
  <c r="AH246" i="58"/>
  <c r="AH251" i="58"/>
  <c r="AH259" i="58"/>
  <c r="AH264" i="58"/>
  <c r="AH249" i="58"/>
  <c r="AH254" i="58"/>
  <c r="AH247" i="58"/>
  <c r="AH252" i="58"/>
  <c r="AH262" i="58"/>
  <c r="AH267" i="58"/>
  <c r="AH245" i="58"/>
  <c r="AH256" i="58"/>
  <c r="AH261" i="58"/>
  <c r="AH266" i="58"/>
  <c r="AH255" i="58"/>
  <c r="AH260" i="58"/>
  <c r="AH250" i="58"/>
  <c r="AH257" i="58"/>
  <c r="AH265" i="58"/>
  <c r="Q238" i="58"/>
  <c r="Q239" i="58" s="1"/>
  <c r="Q260" i="58"/>
  <c r="Q265" i="58"/>
  <c r="Q245" i="58"/>
  <c r="Q250" i="58"/>
  <c r="Q255" i="58"/>
  <c r="Q258" i="58"/>
  <c r="Q263" i="58"/>
  <c r="Q246" i="58"/>
  <c r="Q251" i="58"/>
  <c r="Q261" i="58"/>
  <c r="Q253" i="58"/>
  <c r="Q266" i="58"/>
  <c r="Q248" i="58"/>
  <c r="Q257" i="58"/>
  <c r="Q262" i="58"/>
  <c r="Q252" i="58"/>
  <c r="Q254" i="58"/>
  <c r="Q259" i="58"/>
  <c r="Q267" i="58"/>
  <c r="Q247" i="58"/>
  <c r="Q249" i="58"/>
  <c r="Q256" i="58"/>
  <c r="Q264" i="58"/>
  <c r="N238" i="58"/>
  <c r="N239" i="58" s="1"/>
  <c r="N258" i="58"/>
  <c r="N263" i="58"/>
  <c r="N248" i="58"/>
  <c r="N253" i="58"/>
  <c r="N246" i="58"/>
  <c r="N251" i="58"/>
  <c r="N259" i="58"/>
  <c r="N264" i="58"/>
  <c r="N249" i="58"/>
  <c r="N254" i="58"/>
  <c r="N247" i="58"/>
  <c r="N252" i="58"/>
  <c r="N266" i="58"/>
  <c r="N250" i="58"/>
  <c r="N255" i="58"/>
  <c r="N257" i="58"/>
  <c r="N260" i="58"/>
  <c r="N265" i="58"/>
  <c r="N262" i="58"/>
  <c r="N267" i="58"/>
  <c r="N256" i="58"/>
  <c r="N245" i="58"/>
  <c r="N261" i="58"/>
  <c r="S238" i="58"/>
  <c r="S239" i="58" s="1"/>
  <c r="S260" i="58"/>
  <c r="S265" i="58"/>
  <c r="S245" i="58"/>
  <c r="S250" i="58"/>
  <c r="S255" i="58"/>
  <c r="S258" i="58"/>
  <c r="S263" i="58"/>
  <c r="S248" i="58"/>
  <c r="S256" i="58"/>
  <c r="S261" i="58"/>
  <c r="S266" i="58"/>
  <c r="S246" i="58"/>
  <c r="S251" i="58"/>
  <c r="S259" i="58"/>
  <c r="S264" i="58"/>
  <c r="S249" i="58"/>
  <c r="S254" i="58"/>
  <c r="S253" i="58"/>
  <c r="S252" i="58"/>
  <c r="S257" i="58"/>
  <c r="S262" i="58"/>
  <c r="S267" i="58"/>
  <c r="S247" i="58"/>
  <c r="R238" i="58"/>
  <c r="R240" i="58" s="1"/>
  <c r="R260" i="58"/>
  <c r="R265" i="58"/>
  <c r="R245" i="58"/>
  <c r="R250" i="58"/>
  <c r="R255" i="58"/>
  <c r="R248" i="58"/>
  <c r="R253" i="58"/>
  <c r="R256" i="58"/>
  <c r="R261" i="58"/>
  <c r="R266" i="58"/>
  <c r="R246" i="58"/>
  <c r="R251" i="58"/>
  <c r="R249" i="58"/>
  <c r="R254" i="58"/>
  <c r="R258" i="58"/>
  <c r="R263" i="58"/>
  <c r="R257" i="58"/>
  <c r="R252" i="58"/>
  <c r="R262" i="58"/>
  <c r="R259" i="58"/>
  <c r="R267" i="58"/>
  <c r="R247" i="58"/>
  <c r="R264" i="58"/>
  <c r="Y238" i="58"/>
  <c r="Y239" i="58" s="1"/>
  <c r="Y259" i="58"/>
  <c r="Y264" i="58"/>
  <c r="Y249" i="58"/>
  <c r="Y254" i="58"/>
  <c r="Y257" i="58"/>
  <c r="Y262" i="58"/>
  <c r="Y267" i="58"/>
  <c r="Y245" i="58"/>
  <c r="Y250" i="58"/>
  <c r="Y255" i="58"/>
  <c r="Y247" i="58"/>
  <c r="Y256" i="58"/>
  <c r="Y251" i="58"/>
  <c r="Y261" i="58"/>
  <c r="Y253" i="58"/>
  <c r="Y258" i="58"/>
  <c r="Y263" i="58"/>
  <c r="Y266" i="58"/>
  <c r="Y248" i="58"/>
  <c r="Y246" i="58"/>
  <c r="Y260" i="58"/>
  <c r="Y252" i="58"/>
  <c r="Y265" i="58"/>
  <c r="X238" i="58"/>
  <c r="X239" i="58" s="1"/>
  <c r="X249" i="58"/>
  <c r="X254" i="58"/>
  <c r="X257" i="58"/>
  <c r="X262" i="58"/>
  <c r="X267" i="58"/>
  <c r="X247" i="58"/>
  <c r="X252" i="58"/>
  <c r="X248" i="58"/>
  <c r="X253" i="58"/>
  <c r="X258" i="58"/>
  <c r="X263" i="58"/>
  <c r="X256" i="58"/>
  <c r="X261" i="58"/>
  <c r="X266" i="58"/>
  <c r="X245" i="58"/>
  <c r="X255" i="58"/>
  <c r="X251" i="58"/>
  <c r="X264" i="58"/>
  <c r="X246" i="58"/>
  <c r="X250" i="58"/>
  <c r="X265" i="58"/>
  <c r="X260" i="58"/>
  <c r="X259" i="58"/>
  <c r="AL238" i="58"/>
  <c r="AL240" i="58" s="1"/>
  <c r="AL260" i="58"/>
  <c r="AL265" i="58"/>
  <c r="AL245" i="58"/>
  <c r="AL250" i="58"/>
  <c r="AL255" i="58"/>
  <c r="AL248" i="58"/>
  <c r="AL253" i="58"/>
  <c r="AL256" i="58"/>
  <c r="AL261" i="58"/>
  <c r="AL266" i="58"/>
  <c r="AL246" i="58"/>
  <c r="AL251" i="58"/>
  <c r="AL249" i="58"/>
  <c r="AL254" i="58"/>
  <c r="AL252" i="58"/>
  <c r="AL262" i="58"/>
  <c r="AL259" i="58"/>
  <c r="AL247" i="58"/>
  <c r="AL267" i="58"/>
  <c r="AL264" i="58"/>
  <c r="AL258" i="58"/>
  <c r="AL263" i="58"/>
  <c r="AL257" i="58"/>
  <c r="AF238" i="58"/>
  <c r="AF239" i="58" s="1"/>
  <c r="AF248" i="58"/>
  <c r="AF253" i="58"/>
  <c r="AF256" i="58"/>
  <c r="AF261" i="58"/>
  <c r="AF266" i="58"/>
  <c r="AF246" i="58"/>
  <c r="AF251" i="58"/>
  <c r="AF247" i="58"/>
  <c r="AF257" i="58"/>
  <c r="AF262" i="58"/>
  <c r="AF267" i="58"/>
  <c r="AF252" i="58"/>
  <c r="AF260" i="58"/>
  <c r="AF265" i="58"/>
  <c r="AF254" i="58"/>
  <c r="AF259" i="58"/>
  <c r="AF245" i="58"/>
  <c r="AF249" i="58"/>
  <c r="AF264" i="58"/>
  <c r="AF263" i="58"/>
  <c r="AF258" i="58"/>
  <c r="AF255" i="58"/>
  <c r="AF250" i="58"/>
  <c r="Z238" i="58"/>
  <c r="Z239" i="58" s="1"/>
  <c r="Z259" i="58"/>
  <c r="Z264" i="58"/>
  <c r="Z249" i="58"/>
  <c r="Z254" i="58"/>
  <c r="Z247" i="58"/>
  <c r="Z252" i="58"/>
  <c r="Z260" i="58"/>
  <c r="Z265" i="58"/>
  <c r="Z245" i="58"/>
  <c r="Z250" i="58"/>
  <c r="Z255" i="58"/>
  <c r="Z248" i="58"/>
  <c r="Z253" i="58"/>
  <c r="Z256" i="58"/>
  <c r="Z251" i="58"/>
  <c r="Z261" i="58"/>
  <c r="Z258" i="58"/>
  <c r="Z266" i="58"/>
  <c r="Z263" i="58"/>
  <c r="Z257" i="58"/>
  <c r="Z246" i="58"/>
  <c r="Z262" i="58"/>
  <c r="Z267" i="58"/>
  <c r="W238" i="58"/>
  <c r="W239" i="58" s="1"/>
  <c r="W257" i="58"/>
  <c r="W262" i="58"/>
  <c r="W267" i="58"/>
  <c r="W247" i="58"/>
  <c r="W252" i="58"/>
  <c r="W260" i="58"/>
  <c r="W265" i="58"/>
  <c r="W245" i="58"/>
  <c r="W258" i="58"/>
  <c r="W263" i="58"/>
  <c r="W248" i="58"/>
  <c r="W253" i="58"/>
  <c r="W256" i="58"/>
  <c r="W261" i="58"/>
  <c r="W266" i="58"/>
  <c r="W246" i="58"/>
  <c r="W251" i="58"/>
  <c r="W249" i="58"/>
  <c r="W264" i="58"/>
  <c r="W255" i="58"/>
  <c r="W250" i="58"/>
  <c r="W254" i="58"/>
  <c r="W259" i="58"/>
  <c r="AA240" i="58"/>
  <c r="AA239" i="58"/>
  <c r="AH244" i="58"/>
  <c r="AH238" i="58"/>
  <c r="Y240" i="58"/>
  <c r="V239" i="58"/>
  <c r="K244" i="58"/>
  <c r="K238" i="58"/>
  <c r="T240" i="58"/>
  <c r="T239" i="58"/>
  <c r="P240" i="58"/>
  <c r="P239" i="58"/>
  <c r="AJ240" i="58"/>
  <c r="O244" i="58"/>
  <c r="O238" i="58"/>
  <c r="S318" i="58"/>
  <c r="Q318" i="58"/>
  <c r="X318" i="58"/>
  <c r="N318" i="58"/>
  <c r="AL318" i="58"/>
  <c r="AA318" i="58"/>
  <c r="K318" i="58"/>
  <c r="P318" i="58"/>
  <c r="U318" i="58"/>
  <c r="AD318" i="58"/>
  <c r="AJ318" i="58"/>
  <c r="L318" i="58"/>
  <c r="AB318" i="58"/>
  <c r="AK318" i="58"/>
  <c r="O318" i="58"/>
  <c r="M318" i="58"/>
  <c r="V318" i="58"/>
  <c r="Y318" i="58"/>
  <c r="R318" i="58"/>
  <c r="T318" i="58"/>
  <c r="AE318" i="58"/>
  <c r="AI318" i="58"/>
  <c r="AF318" i="58"/>
  <c r="AC318" i="58"/>
  <c r="Z318" i="58"/>
  <c r="B10" i="59"/>
  <c r="A10" i="59"/>
  <c r="K297" i="58" l="1"/>
  <c r="K298" i="58"/>
  <c r="AL298" i="58"/>
  <c r="AL297" i="58"/>
  <c r="AK298" i="58"/>
  <c r="AK297" i="58"/>
  <c r="AJ298" i="58"/>
  <c r="AJ297" i="58"/>
  <c r="AI297" i="58"/>
  <c r="AI298" i="58"/>
  <c r="AH298" i="58"/>
  <c r="AH297" i="58"/>
  <c r="AG298" i="58"/>
  <c r="AG297" i="58"/>
  <c r="AF297" i="58"/>
  <c r="AF298" i="58"/>
  <c r="AE298" i="58"/>
  <c r="AE297" i="58"/>
  <c r="AD297" i="58"/>
  <c r="AD298" i="58"/>
  <c r="AC297" i="58"/>
  <c r="AC298" i="58"/>
  <c r="AB298" i="58"/>
  <c r="AB297" i="58"/>
  <c r="AA297" i="58"/>
  <c r="AA298" i="58"/>
  <c r="Z297" i="58"/>
  <c r="Z298" i="58"/>
  <c r="Y297" i="58"/>
  <c r="Y298" i="58"/>
  <c r="X297" i="58"/>
  <c r="X298" i="58"/>
  <c r="W297" i="58"/>
  <c r="W298" i="58"/>
  <c r="V298" i="58"/>
  <c r="V297" i="58"/>
  <c r="U298" i="58"/>
  <c r="U297" i="58"/>
  <c r="T298" i="58"/>
  <c r="T297" i="58"/>
  <c r="S298" i="58"/>
  <c r="S297" i="58"/>
  <c r="R298" i="58"/>
  <c r="R297" i="58"/>
  <c r="N298" i="58"/>
  <c r="N297" i="58"/>
  <c r="M298" i="58"/>
  <c r="M297" i="58"/>
  <c r="L298" i="58"/>
  <c r="L297" i="58"/>
  <c r="R239" i="58"/>
  <c r="AI240" i="58"/>
  <c r="U239" i="58"/>
  <c r="Q240" i="58"/>
  <c r="L239" i="58"/>
  <c r="AK239" i="58"/>
  <c r="AL239" i="58"/>
  <c r="N240" i="58"/>
  <c r="AF240" i="58"/>
  <c r="M240" i="58"/>
  <c r="S240" i="58"/>
  <c r="AE240" i="58"/>
  <c r="AG240" i="58"/>
  <c r="AB239" i="58"/>
  <c r="AC240" i="58"/>
  <c r="Z240" i="58"/>
  <c r="W240" i="58"/>
  <c r="X240" i="58"/>
  <c r="AD240" i="58"/>
  <c r="U65" i="60"/>
  <c r="AC65" i="60"/>
  <c r="G65" i="60"/>
  <c r="W65" i="60"/>
  <c r="AA65" i="60"/>
  <c r="J65" i="60"/>
  <c r="K65" i="60"/>
  <c r="M65" i="60"/>
  <c r="AB65" i="60"/>
  <c r="N65" i="60"/>
  <c r="I65" i="60"/>
  <c r="L65" i="60"/>
  <c r="Z65" i="60"/>
  <c r="AF65" i="60"/>
  <c r="T65" i="60"/>
  <c r="P65" i="60"/>
  <c r="S65" i="60"/>
  <c r="Y65" i="60"/>
  <c r="AD65" i="60"/>
  <c r="O65" i="60"/>
  <c r="X65" i="60"/>
  <c r="V65" i="60"/>
  <c r="R65" i="60"/>
  <c r="H65" i="60"/>
  <c r="Q65" i="60"/>
  <c r="K239" i="58"/>
  <c r="K240" i="58"/>
  <c r="O240" i="58"/>
  <c r="O239" i="58"/>
  <c r="AH240" i="58"/>
  <c r="AH239" i="58"/>
  <c r="Q244" i="58"/>
  <c r="L244" i="58"/>
  <c r="M244" i="58"/>
  <c r="N244" i="58"/>
  <c r="P244" i="58"/>
  <c r="R244" i="58"/>
  <c r="Z244" i="58"/>
  <c r="AA244" i="58"/>
  <c r="AB244" i="58"/>
  <c r="AC244" i="58"/>
  <c r="AD244" i="58"/>
  <c r="AE244" i="58"/>
  <c r="AF244" i="58"/>
  <c r="AG244" i="58"/>
  <c r="AJ244" i="58"/>
  <c r="AL244" i="58"/>
  <c r="AP13" i="58"/>
  <c r="B82" i="58" s="1"/>
  <c r="B141" i="58"/>
  <c r="A141" i="58"/>
  <c r="AO13" i="58"/>
  <c r="A82" i="58" s="1"/>
  <c r="AK244" i="58" l="1"/>
  <c r="AI244" i="58"/>
  <c r="X244" i="58"/>
  <c r="U244" i="58"/>
  <c r="S244" i="58"/>
  <c r="Y244" i="58"/>
  <c r="W244" i="58"/>
  <c r="V244" i="58"/>
  <c r="T244" i="58"/>
  <c r="C77" i="58"/>
  <c r="B64" i="58"/>
  <c r="A64" i="58"/>
  <c r="X65" i="36"/>
  <c r="C63" i="58" l="1"/>
  <c r="C62" i="58"/>
  <c r="C61" i="58"/>
  <c r="C57" i="58"/>
  <c r="C37" i="58"/>
  <c r="C38" i="58"/>
  <c r="C39" i="58"/>
  <c r="C42" i="58"/>
  <c r="C41" i="58"/>
  <c r="C40" i="58"/>
  <c r="C36" i="58"/>
  <c r="C35" i="58"/>
  <c r="C34" i="58"/>
  <c r="C33" i="58"/>
  <c r="D31" i="58"/>
  <c r="D30" i="58"/>
  <c r="C29" i="58"/>
  <c r="C28" i="58"/>
  <c r="C27" i="58"/>
  <c r="C25" i="58"/>
  <c r="C24" i="58"/>
  <c r="AP11" i="58"/>
  <c r="B43" i="58" s="1"/>
  <c r="AO11" i="58"/>
  <c r="A43" i="58" s="1"/>
  <c r="L31" i="58"/>
  <c r="M31" i="58"/>
  <c r="N31" i="58"/>
  <c r="O31" i="58"/>
  <c r="P31" i="58"/>
  <c r="Q31" i="58"/>
  <c r="R31" i="58"/>
  <c r="S31" i="58"/>
  <c r="T31" i="58"/>
  <c r="U31" i="58"/>
  <c r="V31" i="58"/>
  <c r="W31" i="58"/>
  <c r="X31" i="58"/>
  <c r="Y31" i="58"/>
  <c r="Z31" i="58"/>
  <c r="AA31" i="58"/>
  <c r="AB31" i="58"/>
  <c r="AC31" i="58"/>
  <c r="AD31" i="58"/>
  <c r="AE31" i="58"/>
  <c r="AF31" i="58"/>
  <c r="AG31" i="58"/>
  <c r="AH31" i="58"/>
  <c r="AI31" i="58"/>
  <c r="AJ31" i="58"/>
  <c r="AK31" i="58"/>
  <c r="AL31" i="58"/>
  <c r="AP10" i="58"/>
  <c r="AO10" i="58"/>
  <c r="B2" i="58"/>
  <c r="AK214" i="58" l="1"/>
  <c r="AK215" i="58"/>
  <c r="N214" i="58"/>
  <c r="N215" i="58"/>
  <c r="L215" i="58"/>
  <c r="L214" i="58"/>
  <c r="AD215" i="58"/>
  <c r="AD214" i="58"/>
  <c r="AI215" i="58"/>
  <c r="AI214" i="58"/>
  <c r="AA214" i="58"/>
  <c r="AA215" i="58"/>
  <c r="Z214" i="58"/>
  <c r="Z215" i="58"/>
  <c r="AH215" i="58"/>
  <c r="AH214" i="58"/>
  <c r="AF215" i="58"/>
  <c r="AF214" i="58"/>
  <c r="Y215" i="58"/>
  <c r="Y214" i="58"/>
  <c r="X215" i="58"/>
  <c r="X214" i="58"/>
  <c r="AG215" i="58"/>
  <c r="AG214" i="58"/>
  <c r="AB214" i="58"/>
  <c r="AB215" i="58"/>
  <c r="W214" i="58"/>
  <c r="W215" i="58"/>
  <c r="Q214" i="58"/>
  <c r="Q215" i="58"/>
  <c r="O215" i="58"/>
  <c r="O214" i="58"/>
  <c r="M215" i="58"/>
  <c r="M214" i="58"/>
  <c r="AE215" i="58"/>
  <c r="AE214" i="58"/>
  <c r="V215" i="58"/>
  <c r="V214" i="58"/>
  <c r="U214" i="58"/>
  <c r="U215" i="58"/>
  <c r="P215" i="58"/>
  <c r="P214" i="58"/>
  <c r="AC215" i="58"/>
  <c r="AC214" i="58"/>
  <c r="T214" i="58"/>
  <c r="T215" i="58"/>
  <c r="K215" i="58"/>
  <c r="K214" i="58"/>
  <c r="S214" i="58"/>
  <c r="S215" i="58"/>
  <c r="AJ215" i="58"/>
  <c r="AJ214" i="58"/>
  <c r="AL214" i="58"/>
  <c r="AL215" i="58"/>
  <c r="R214" i="58"/>
  <c r="R215" i="58"/>
  <c r="X187" i="58"/>
  <c r="X185" i="58"/>
  <c r="X188" i="58"/>
  <c r="X191" i="58"/>
  <c r="X186" i="58"/>
  <c r="X192" i="58"/>
  <c r="X189" i="58"/>
  <c r="X190" i="58"/>
  <c r="X178" i="58"/>
  <c r="W178" i="58"/>
  <c r="W187" i="58"/>
  <c r="W190" i="58"/>
  <c r="W185" i="58"/>
  <c r="W188" i="58"/>
  <c r="W191" i="58"/>
  <c r="W186" i="58"/>
  <c r="W189" i="58"/>
  <c r="W192" i="58"/>
  <c r="AI207" i="58"/>
  <c r="O207" i="58"/>
  <c r="AH207" i="58"/>
  <c r="N207" i="58"/>
  <c r="T184" i="58"/>
  <c r="T185" i="58"/>
  <c r="T188" i="58"/>
  <c r="T191" i="58"/>
  <c r="T186" i="58"/>
  <c r="T189" i="58"/>
  <c r="T192" i="58"/>
  <c r="T178" i="58"/>
  <c r="T190" i="58"/>
  <c r="T187" i="58"/>
  <c r="AF207" i="58"/>
  <c r="L207" i="58"/>
  <c r="K178" i="58"/>
  <c r="K185" i="58"/>
  <c r="K186" i="58"/>
  <c r="K187" i="58"/>
  <c r="K190" i="58"/>
  <c r="K188" i="58"/>
  <c r="K189" i="58"/>
  <c r="K191" i="58"/>
  <c r="K192" i="58"/>
  <c r="S184" i="58"/>
  <c r="S188" i="58"/>
  <c r="S191" i="58"/>
  <c r="S186" i="58"/>
  <c r="S189" i="58"/>
  <c r="S192" i="58"/>
  <c r="S187" i="58"/>
  <c r="S178" i="58"/>
  <c r="S190" i="58"/>
  <c r="S185" i="58"/>
  <c r="AE207" i="58"/>
  <c r="Y184" i="58"/>
  <c r="Y178" i="58"/>
  <c r="Y190" i="58"/>
  <c r="Y185" i="58"/>
  <c r="Y188" i="58"/>
  <c r="Y191" i="58"/>
  <c r="Y189" i="58"/>
  <c r="Y186" i="58"/>
  <c r="Y187" i="58"/>
  <c r="Y192" i="58"/>
  <c r="AG207" i="58"/>
  <c r="AL184" i="58"/>
  <c r="AL185" i="58"/>
  <c r="AL191" i="58"/>
  <c r="AL186" i="58"/>
  <c r="AL189" i="58"/>
  <c r="AL192" i="58"/>
  <c r="AL178" i="58"/>
  <c r="AL190" i="58"/>
  <c r="AL187" i="58"/>
  <c r="AL188" i="58"/>
  <c r="R185" i="58"/>
  <c r="R191" i="58"/>
  <c r="R186" i="58"/>
  <c r="R189" i="58"/>
  <c r="R192" i="58"/>
  <c r="R178" i="58"/>
  <c r="R190" i="58"/>
  <c r="R187" i="58"/>
  <c r="R188" i="58"/>
  <c r="AD207" i="58"/>
  <c r="AK185" i="58"/>
  <c r="AK188" i="58"/>
  <c r="AK186" i="58"/>
  <c r="AK189" i="58"/>
  <c r="AK178" i="58"/>
  <c r="AK192" i="58"/>
  <c r="AK187" i="58"/>
  <c r="AK190" i="58"/>
  <c r="AK191" i="58"/>
  <c r="Q185" i="58"/>
  <c r="Q188" i="58"/>
  <c r="Q186" i="58"/>
  <c r="Q189" i="58"/>
  <c r="Q192" i="58"/>
  <c r="Q178" i="58"/>
  <c r="Q187" i="58"/>
  <c r="Q190" i="58"/>
  <c r="Q191" i="58"/>
  <c r="AC207" i="58"/>
  <c r="V184" i="58"/>
  <c r="V187" i="58"/>
  <c r="V185" i="58"/>
  <c r="V191" i="58"/>
  <c r="V188" i="58"/>
  <c r="V186" i="58"/>
  <c r="V189" i="58"/>
  <c r="V192" i="58"/>
  <c r="V178" i="58"/>
  <c r="V190" i="58"/>
  <c r="AB207" i="58"/>
  <c r="U184" i="58"/>
  <c r="U190" i="58"/>
  <c r="U185" i="58"/>
  <c r="U188" i="58"/>
  <c r="U191" i="58"/>
  <c r="U186" i="58"/>
  <c r="U189" i="58"/>
  <c r="U192" i="58"/>
  <c r="U178" i="58"/>
  <c r="U187" i="58"/>
  <c r="P185" i="58"/>
  <c r="P188" i="58"/>
  <c r="P191" i="58"/>
  <c r="P186" i="58"/>
  <c r="P189" i="58"/>
  <c r="P192" i="58"/>
  <c r="P178" i="58"/>
  <c r="P187" i="58"/>
  <c r="P190" i="58"/>
  <c r="AI188" i="58"/>
  <c r="AI186" i="58"/>
  <c r="AI189" i="58"/>
  <c r="AI192" i="58"/>
  <c r="AI178" i="58"/>
  <c r="AI190" i="58"/>
  <c r="AI187" i="58"/>
  <c r="AI185" i="58"/>
  <c r="AI191" i="58"/>
  <c r="O188" i="58"/>
  <c r="O186" i="58"/>
  <c r="O189" i="58"/>
  <c r="O192" i="58"/>
  <c r="O178" i="58"/>
  <c r="O187" i="58"/>
  <c r="O190" i="58"/>
  <c r="O185" i="58"/>
  <c r="O191" i="58"/>
  <c r="AA207" i="58"/>
  <c r="AK207" i="58"/>
  <c r="M207" i="58"/>
  <c r="N191" i="58"/>
  <c r="N186" i="58"/>
  <c r="N189" i="58"/>
  <c r="N192" i="58"/>
  <c r="N185" i="58"/>
  <c r="N178" i="58"/>
  <c r="N187" i="58"/>
  <c r="N190" i="58"/>
  <c r="N188" i="58"/>
  <c r="Z207" i="58"/>
  <c r="P207" i="58"/>
  <c r="AG184" i="58"/>
  <c r="AG186" i="58"/>
  <c r="AG189" i="58"/>
  <c r="AG192" i="58"/>
  <c r="AG178" i="58"/>
  <c r="AG187" i="58"/>
  <c r="AG190" i="58"/>
  <c r="AG185" i="58"/>
  <c r="AG188" i="58"/>
  <c r="AG191" i="58"/>
  <c r="M186" i="58"/>
  <c r="M189" i="58"/>
  <c r="M192" i="58"/>
  <c r="M178" i="58"/>
  <c r="M187" i="58"/>
  <c r="M190" i="58"/>
  <c r="M185" i="58"/>
  <c r="M191" i="58"/>
  <c r="M188" i="58"/>
  <c r="Y207" i="58"/>
  <c r="X207" i="58"/>
  <c r="L189" i="58"/>
  <c r="L192" i="58"/>
  <c r="L178" i="58"/>
  <c r="L187" i="58"/>
  <c r="L190" i="58"/>
  <c r="L188" i="58"/>
  <c r="L185" i="58"/>
  <c r="L186" i="58"/>
  <c r="L191" i="58"/>
  <c r="AE184" i="58"/>
  <c r="AE186" i="58"/>
  <c r="AE192" i="58"/>
  <c r="AE178" i="58"/>
  <c r="AE187" i="58"/>
  <c r="AE190" i="58"/>
  <c r="AE185" i="58"/>
  <c r="AE191" i="58"/>
  <c r="AE188" i="58"/>
  <c r="AE189" i="58"/>
  <c r="W207" i="58"/>
  <c r="V207" i="58"/>
  <c r="AJ207" i="58"/>
  <c r="AC186" i="58"/>
  <c r="AC192" i="58"/>
  <c r="AC178" i="58"/>
  <c r="AC187" i="58"/>
  <c r="AC190" i="58"/>
  <c r="AC188" i="58"/>
  <c r="AC185" i="58"/>
  <c r="AC191" i="58"/>
  <c r="AC189" i="58"/>
  <c r="U207" i="58"/>
  <c r="AF184" i="58"/>
  <c r="AF189" i="58"/>
  <c r="AF192" i="58"/>
  <c r="AF178" i="58"/>
  <c r="AF187" i="58"/>
  <c r="AF190" i="58"/>
  <c r="AF188" i="58"/>
  <c r="AF185" i="58"/>
  <c r="AF186" i="58"/>
  <c r="AF191" i="58"/>
  <c r="T207" i="58"/>
  <c r="Q207" i="58"/>
  <c r="AB189" i="58"/>
  <c r="AB178" i="58"/>
  <c r="AB187" i="58"/>
  <c r="AB190" i="58"/>
  <c r="AB191" i="58"/>
  <c r="AB185" i="58"/>
  <c r="AB188" i="58"/>
  <c r="AB186" i="58"/>
  <c r="AB192" i="58"/>
  <c r="AA192" i="58"/>
  <c r="AA178" i="58"/>
  <c r="AA187" i="58"/>
  <c r="AA190" i="58"/>
  <c r="AA185" i="58"/>
  <c r="AA188" i="58"/>
  <c r="AA191" i="58"/>
  <c r="AA189" i="58"/>
  <c r="AA186" i="58"/>
  <c r="K207" i="58"/>
  <c r="S207" i="58"/>
  <c r="AJ185" i="58"/>
  <c r="AJ188" i="58"/>
  <c r="AJ191" i="58"/>
  <c r="AJ186" i="58"/>
  <c r="AJ189" i="58"/>
  <c r="AJ192" i="58"/>
  <c r="AJ178" i="58"/>
  <c r="AJ187" i="58"/>
  <c r="AJ190" i="58"/>
  <c r="AH191" i="58"/>
  <c r="AH186" i="58"/>
  <c r="AH189" i="58"/>
  <c r="AH192" i="58"/>
  <c r="AH178" i="58"/>
  <c r="AH187" i="58"/>
  <c r="AH190" i="58"/>
  <c r="AH185" i="58"/>
  <c r="AH188" i="58"/>
  <c r="AD184" i="58"/>
  <c r="AD186" i="58"/>
  <c r="AD189" i="58"/>
  <c r="AD178" i="58"/>
  <c r="AD187" i="58"/>
  <c r="AD190" i="58"/>
  <c r="AD185" i="58"/>
  <c r="AD188" i="58"/>
  <c r="AD191" i="58"/>
  <c r="AD192" i="58"/>
  <c r="Z187" i="58"/>
  <c r="Z190" i="58"/>
  <c r="Z185" i="58"/>
  <c r="Z188" i="58"/>
  <c r="Z191" i="58"/>
  <c r="Z186" i="58"/>
  <c r="Z189" i="58"/>
  <c r="Z178" i="58"/>
  <c r="Z192" i="58"/>
  <c r="AL207" i="58"/>
  <c r="R207" i="58"/>
  <c r="AE213" i="58"/>
  <c r="AG213" i="58"/>
  <c r="AF213" i="58"/>
  <c r="Y213" i="58"/>
  <c r="V213" i="58"/>
  <c r="T213" i="58"/>
  <c r="AL213" i="58"/>
  <c r="Q213" i="58"/>
  <c r="AJ213" i="58"/>
  <c r="P213" i="58"/>
  <c r="AI213" i="58"/>
  <c r="AH213" i="58"/>
  <c r="N213" i="58"/>
  <c r="AA213" i="58"/>
  <c r="W184" i="58"/>
  <c r="L184" i="58"/>
  <c r="AA184" i="58"/>
  <c r="X184" i="58"/>
  <c r="O184" i="58"/>
  <c r="N184" i="58"/>
  <c r="Z184" i="58"/>
  <c r="P184" i="58"/>
  <c r="AK184" i="58"/>
  <c r="AH184" i="58"/>
  <c r="AJ184" i="58"/>
  <c r="AB184" i="58"/>
  <c r="AC184" i="58"/>
  <c r="B10" i="58"/>
  <c r="A10" i="58"/>
  <c r="AD213" i="58" l="1"/>
  <c r="U213" i="58"/>
  <c r="R213" i="58"/>
  <c r="X213" i="58"/>
  <c r="M184" i="58"/>
  <c r="M213" i="58"/>
  <c r="S213" i="58"/>
  <c r="AC213" i="58"/>
  <c r="O213" i="58"/>
  <c r="AB213" i="58"/>
  <c r="L213" i="58"/>
  <c r="Z213" i="58"/>
  <c r="AK213" i="58"/>
  <c r="W213" i="58"/>
  <c r="K213" i="58"/>
  <c r="AD208" i="58"/>
  <c r="AD209" i="58"/>
  <c r="Z179" i="58"/>
  <c r="Z180" i="58"/>
  <c r="Y208" i="58"/>
  <c r="Y209" i="58"/>
  <c r="N179" i="58"/>
  <c r="N180" i="58"/>
  <c r="AA208" i="58"/>
  <c r="AA209" i="58"/>
  <c r="Q179" i="58"/>
  <c r="Q180" i="58"/>
  <c r="AF208" i="58"/>
  <c r="AF209" i="58"/>
  <c r="Q184" i="58"/>
  <c r="S208" i="58"/>
  <c r="S209" i="58"/>
  <c r="AJ209" i="58"/>
  <c r="AJ208" i="58"/>
  <c r="U208" i="58"/>
  <c r="U209" i="58"/>
  <c r="AE180" i="58"/>
  <c r="AE179" i="58"/>
  <c r="Y179" i="58"/>
  <c r="Y180" i="58"/>
  <c r="T180" i="58"/>
  <c r="T179" i="58"/>
  <c r="N208" i="58"/>
  <c r="N209" i="58"/>
  <c r="AC179" i="58"/>
  <c r="AC180" i="58"/>
  <c r="K208" i="58"/>
  <c r="K209" i="58"/>
  <c r="AA180" i="58"/>
  <c r="AA179" i="58"/>
  <c r="AB180" i="58"/>
  <c r="AB179" i="58"/>
  <c r="V209" i="58"/>
  <c r="V208" i="58"/>
  <c r="L180" i="58"/>
  <c r="L179" i="58"/>
  <c r="P208" i="58"/>
  <c r="P209" i="58"/>
  <c r="U180" i="58"/>
  <c r="U179" i="58"/>
  <c r="R180" i="58"/>
  <c r="R179" i="58"/>
  <c r="AG209" i="58"/>
  <c r="AG208" i="58"/>
  <c r="L208" i="58"/>
  <c r="L209" i="58"/>
  <c r="AB208" i="58"/>
  <c r="AB209" i="58"/>
  <c r="AK179" i="58"/>
  <c r="AK180" i="58"/>
  <c r="R184" i="58"/>
  <c r="AL179" i="58"/>
  <c r="AL180" i="58"/>
  <c r="AH208" i="58"/>
  <c r="AH209" i="58"/>
  <c r="AJ180" i="58"/>
  <c r="AJ179" i="58"/>
  <c r="AF180" i="58"/>
  <c r="AF179" i="58"/>
  <c r="W208" i="58"/>
  <c r="W209" i="58"/>
  <c r="AH179" i="58"/>
  <c r="AH180" i="58"/>
  <c r="Z208" i="58"/>
  <c r="Z209" i="58"/>
  <c r="O179" i="58"/>
  <c r="O180" i="58"/>
  <c r="P180" i="58"/>
  <c r="P179" i="58"/>
  <c r="AE208" i="58"/>
  <c r="AE209" i="58"/>
  <c r="O208" i="58"/>
  <c r="O209" i="58"/>
  <c r="Q209" i="58"/>
  <c r="Q208" i="58"/>
  <c r="AI184" i="58"/>
  <c r="V179" i="58"/>
  <c r="V180" i="58"/>
  <c r="M180" i="58"/>
  <c r="M179" i="58"/>
  <c r="AC208" i="58"/>
  <c r="AC209" i="58"/>
  <c r="R208" i="58"/>
  <c r="R209" i="58"/>
  <c r="AI179" i="58"/>
  <c r="AI180" i="58"/>
  <c r="K180" i="58"/>
  <c r="K179" i="58"/>
  <c r="AI209" i="58"/>
  <c r="AI208" i="58"/>
  <c r="T208" i="58"/>
  <c r="T209" i="58"/>
  <c r="AG180" i="58"/>
  <c r="AG179" i="58"/>
  <c r="M208" i="58"/>
  <c r="M209" i="58"/>
  <c r="W180" i="58"/>
  <c r="W179" i="58"/>
  <c r="X208" i="58"/>
  <c r="X209" i="58"/>
  <c r="AD180" i="58"/>
  <c r="AD179" i="58"/>
  <c r="AL209" i="58"/>
  <c r="AL208" i="58"/>
  <c r="AK209" i="58"/>
  <c r="AK208" i="58"/>
  <c r="S179" i="58"/>
  <c r="S180" i="58"/>
  <c r="X179" i="58"/>
  <c r="X180" i="58"/>
  <c r="C37" i="53"/>
  <c r="C56" i="53"/>
  <c r="C57" i="53"/>
  <c r="C58" i="53"/>
  <c r="C59" i="53"/>
  <c r="C60" i="53"/>
  <c r="C61" i="53"/>
  <c r="C62" i="53"/>
  <c r="C64" i="53"/>
  <c r="C68" i="53"/>
  <c r="C40" i="53"/>
  <c r="C43" i="53"/>
  <c r="C44" i="53"/>
  <c r="C45" i="53"/>
  <c r="C46" i="53"/>
  <c r="C49" i="53"/>
  <c r="C50" i="53"/>
  <c r="C51" i="53"/>
  <c r="C52" i="53"/>
  <c r="C53" i="53"/>
  <c r="C54" i="53"/>
  <c r="C55" i="53"/>
  <c r="J7" i="53"/>
  <c r="A7" i="53" s="1"/>
  <c r="A37" i="53" s="1"/>
  <c r="J8" i="53"/>
  <c r="A8" i="53" s="1"/>
  <c r="A40" i="53" s="1"/>
  <c r="K8" i="53"/>
  <c r="B8" i="53" s="1"/>
  <c r="J9" i="53"/>
  <c r="A9" i="53" s="1"/>
  <c r="A43" i="53" s="1"/>
  <c r="K9" i="53"/>
  <c r="B9" i="53" s="1"/>
  <c r="J10" i="53"/>
  <c r="A10" i="53" s="1"/>
  <c r="A44" i="53" s="1"/>
  <c r="K10" i="53"/>
  <c r="B10" i="53" s="1"/>
  <c r="J11" i="53"/>
  <c r="A11" i="53" s="1"/>
  <c r="A45" i="53" s="1"/>
  <c r="K11" i="53"/>
  <c r="B11" i="53" s="1"/>
  <c r="J12" i="53"/>
  <c r="A12" i="53" s="1"/>
  <c r="A46" i="53" s="1"/>
  <c r="K12" i="53"/>
  <c r="B12" i="53" s="1"/>
  <c r="J13" i="53"/>
  <c r="A13" i="53" s="1"/>
  <c r="A49" i="53" s="1"/>
  <c r="K13" i="53"/>
  <c r="B13" i="53" s="1"/>
  <c r="J14" i="53"/>
  <c r="A14" i="53" s="1"/>
  <c r="A50" i="53" s="1"/>
  <c r="K14" i="53"/>
  <c r="B14" i="53" s="1"/>
  <c r="J15" i="53"/>
  <c r="A15" i="53" s="1"/>
  <c r="A51" i="53" s="1"/>
  <c r="K15" i="53"/>
  <c r="B15" i="53" s="1"/>
  <c r="J16" i="53"/>
  <c r="A16" i="53" s="1"/>
  <c r="A52" i="53" s="1"/>
  <c r="K16" i="53"/>
  <c r="B16" i="53" s="1"/>
  <c r="J17" i="53"/>
  <c r="A17" i="53" s="1"/>
  <c r="A53" i="53" s="1"/>
  <c r="K17" i="53"/>
  <c r="B17" i="53" s="1"/>
  <c r="J18" i="53"/>
  <c r="A18" i="53" s="1"/>
  <c r="A54" i="53" s="1"/>
  <c r="K18" i="53"/>
  <c r="B18" i="53" s="1"/>
  <c r="J19" i="53"/>
  <c r="A19" i="53" s="1"/>
  <c r="A55" i="53" s="1"/>
  <c r="K19" i="53"/>
  <c r="B19" i="53" s="1"/>
  <c r="J20" i="53"/>
  <c r="A20" i="53" s="1"/>
  <c r="A56" i="53" s="1"/>
  <c r="K20" i="53"/>
  <c r="B20" i="53" s="1"/>
  <c r="J21" i="53"/>
  <c r="A21" i="53" s="1"/>
  <c r="A57" i="53" s="1"/>
  <c r="K21" i="53"/>
  <c r="B21" i="53" s="1"/>
  <c r="J22" i="53"/>
  <c r="A22" i="53" s="1"/>
  <c r="A58" i="53" s="1"/>
  <c r="K22" i="53"/>
  <c r="B22" i="53" s="1"/>
  <c r="J23" i="53"/>
  <c r="A23" i="53" s="1"/>
  <c r="A59" i="53" s="1"/>
  <c r="K23" i="53"/>
  <c r="B23" i="53" s="1"/>
  <c r="J24" i="53"/>
  <c r="A24" i="53" s="1"/>
  <c r="A60" i="53" s="1"/>
  <c r="K24" i="53"/>
  <c r="B24" i="53" s="1"/>
  <c r="J25" i="53"/>
  <c r="A25" i="53" s="1"/>
  <c r="A61" i="53" s="1"/>
  <c r="K25" i="53"/>
  <c r="B25" i="53" s="1"/>
  <c r="J26" i="53"/>
  <c r="A26" i="53" s="1"/>
  <c r="A62" i="53" s="1"/>
  <c r="K26" i="53"/>
  <c r="B26" i="53" s="1"/>
  <c r="J27" i="53"/>
  <c r="A27" i="53" s="1"/>
  <c r="A64" i="53" s="1"/>
  <c r="K27" i="53"/>
  <c r="B27" i="53" s="1"/>
  <c r="J29" i="53"/>
  <c r="A29" i="53" s="1"/>
  <c r="A68" i="53" s="1"/>
  <c r="K29" i="53"/>
  <c r="B29" i="53" s="1"/>
  <c r="K7" i="53"/>
  <c r="B7" i="53" s="1"/>
  <c r="C99" i="55" l="1"/>
  <c r="C82" i="55"/>
  <c r="AM14" i="55"/>
  <c r="D14" i="55"/>
  <c r="AL14" i="55" s="1"/>
  <c r="C14" i="55"/>
  <c r="AL13" i="55"/>
  <c r="AM13" i="55"/>
  <c r="C61" i="55"/>
  <c r="C78" i="55"/>
  <c r="C77" i="55"/>
  <c r="C76" i="55"/>
  <c r="C75" i="55"/>
  <c r="C74" i="55"/>
  <c r="C73" i="55"/>
  <c r="C72" i="55"/>
  <c r="C71" i="55"/>
  <c r="C70" i="55"/>
  <c r="C69" i="55"/>
  <c r="C68" i="55"/>
  <c r="C67" i="55"/>
  <c r="C66" i="55"/>
  <c r="C65" i="55"/>
  <c r="C64" i="55"/>
  <c r="C63" i="55"/>
  <c r="C57" i="55"/>
  <c r="C56" i="55"/>
  <c r="C55" i="55"/>
  <c r="C54" i="55"/>
  <c r="C53" i="55"/>
  <c r="C52" i="55"/>
  <c r="C51" i="55"/>
  <c r="C50" i="55"/>
  <c r="C49" i="55"/>
  <c r="C48" i="55"/>
  <c r="C47" i="55"/>
  <c r="C46" i="55"/>
  <c r="C45" i="55"/>
  <c r="C44" i="55"/>
  <c r="C43" i="55"/>
  <c r="C42" i="55"/>
  <c r="C40" i="55"/>
  <c r="C13" i="55"/>
  <c r="E32" i="45"/>
  <c r="E29" i="45"/>
  <c r="E28" i="45"/>
  <c r="E27" i="45"/>
  <c r="E26" i="45"/>
  <c r="E25" i="45"/>
  <c r="E24" i="45"/>
  <c r="E23" i="45"/>
  <c r="E22" i="45"/>
  <c r="E21" i="45"/>
  <c r="E20" i="45"/>
  <c r="E19" i="45"/>
  <c r="E18" i="45"/>
  <c r="E17" i="45"/>
  <c r="E16" i="45"/>
  <c r="E15" i="45"/>
  <c r="E14" i="45"/>
  <c r="E13" i="45"/>
  <c r="E12" i="45"/>
  <c r="E11" i="45"/>
  <c r="E10" i="45"/>
  <c r="K12" i="64" l="1"/>
  <c r="AL12" i="64"/>
  <c r="AK12" i="64"/>
  <c r="AJ12" i="64"/>
  <c r="AI12" i="64"/>
  <c r="AH12" i="64"/>
  <c r="AG12" i="64"/>
  <c r="AF12" i="64"/>
  <c r="AE12" i="64"/>
  <c r="AD12" i="64"/>
  <c r="AC12" i="64"/>
  <c r="AB12" i="64"/>
  <c r="AA12" i="64"/>
  <c r="Z12" i="64"/>
  <c r="Y12" i="64"/>
  <c r="X12" i="64"/>
  <c r="W12" i="64"/>
  <c r="V12" i="64"/>
  <c r="U12" i="64"/>
  <c r="T12" i="64"/>
  <c r="S12" i="64"/>
  <c r="R12" i="64"/>
  <c r="Q12" i="64"/>
  <c r="P12" i="64"/>
  <c r="O12" i="64"/>
  <c r="N12" i="64"/>
  <c r="M12" i="64"/>
  <c r="L12" i="64"/>
  <c r="B13" i="55"/>
  <c r="B14" i="55"/>
  <c r="A14" i="55"/>
  <c r="A13" i="55"/>
  <c r="A79" i="55" l="1"/>
  <c r="B96" i="55"/>
  <c r="A96" i="55"/>
  <c r="B79" i="55"/>
  <c r="A10" i="55" l="1"/>
  <c r="AM12" i="55"/>
  <c r="AM11" i="55"/>
  <c r="D12" i="55"/>
  <c r="AL12" i="55" s="1"/>
  <c r="C12" i="55"/>
  <c r="AL11" i="55"/>
  <c r="A11" i="55" s="1"/>
  <c r="C11" i="55"/>
  <c r="B11" i="55" l="1"/>
  <c r="B2" i="55" l="1"/>
  <c r="B12" i="55"/>
  <c r="A36" i="55"/>
  <c r="B336" i="41"/>
  <c r="B337" i="41" s="1"/>
  <c r="B338" i="41" s="1"/>
  <c r="B339" i="41" s="1"/>
  <c r="B340" i="41" s="1"/>
  <c r="B341" i="41" s="1"/>
  <c r="B342" i="41" s="1"/>
  <c r="B343" i="41" s="1"/>
  <c r="B344" i="41" s="1"/>
  <c r="B345" i="41" s="1"/>
  <c r="B346" i="41" s="1"/>
  <c r="B347" i="41" s="1"/>
  <c r="B348" i="41" s="1"/>
  <c r="B349" i="41" s="1"/>
  <c r="B350" i="41" s="1"/>
  <c r="B320" i="41"/>
  <c r="B321" i="41" s="1"/>
  <c r="B322" i="41" s="1"/>
  <c r="B323" i="41" s="1"/>
  <c r="B324" i="41" s="1"/>
  <c r="B325" i="41" s="1"/>
  <c r="B326" i="41" s="1"/>
  <c r="B327" i="41" s="1"/>
  <c r="B328" i="41" s="1"/>
  <c r="B329" i="41" s="1"/>
  <c r="B330" i="41" s="1"/>
  <c r="B331" i="41" s="1"/>
  <c r="B332" i="41" s="1"/>
  <c r="B333" i="41" s="1"/>
  <c r="B334" i="41" s="1"/>
  <c r="B304" i="41"/>
  <c r="B305" i="41" s="1"/>
  <c r="B306" i="41" s="1"/>
  <c r="B307" i="41" s="1"/>
  <c r="B308" i="41" s="1"/>
  <c r="B309" i="41" s="1"/>
  <c r="B310" i="41" s="1"/>
  <c r="B311" i="41" s="1"/>
  <c r="B312" i="41" s="1"/>
  <c r="B313" i="41" s="1"/>
  <c r="B314" i="41" s="1"/>
  <c r="B315" i="41" s="1"/>
  <c r="B316" i="41" s="1"/>
  <c r="B317" i="41" s="1"/>
  <c r="B318" i="41" s="1"/>
  <c r="B288" i="41"/>
  <c r="B289" i="41" s="1"/>
  <c r="B290" i="41" s="1"/>
  <c r="B291" i="41" s="1"/>
  <c r="B292" i="41" s="1"/>
  <c r="B293" i="41" s="1"/>
  <c r="B294" i="41" s="1"/>
  <c r="B295" i="41" s="1"/>
  <c r="B296" i="41" s="1"/>
  <c r="B297" i="41" s="1"/>
  <c r="B298" i="41" s="1"/>
  <c r="B299" i="41" s="1"/>
  <c r="B300" i="41" s="1"/>
  <c r="B301" i="41" s="1"/>
  <c r="B302" i="41" s="1"/>
  <c r="B272" i="41"/>
  <c r="B273" i="41" s="1"/>
  <c r="B274" i="41" s="1"/>
  <c r="B275" i="41" s="1"/>
  <c r="B276" i="41" s="1"/>
  <c r="B277" i="41" s="1"/>
  <c r="B278" i="41" s="1"/>
  <c r="B279" i="41" s="1"/>
  <c r="B280" i="41" s="1"/>
  <c r="B281" i="41" s="1"/>
  <c r="B282" i="41" s="1"/>
  <c r="B283" i="41" s="1"/>
  <c r="B284" i="41" s="1"/>
  <c r="B285" i="41" s="1"/>
  <c r="B286" i="41" s="1"/>
  <c r="B256" i="41"/>
  <c r="B257" i="41" s="1"/>
  <c r="B258" i="41" s="1"/>
  <c r="B259" i="41" s="1"/>
  <c r="B260" i="41" s="1"/>
  <c r="B261" i="41" s="1"/>
  <c r="B262" i="41" s="1"/>
  <c r="B263" i="41" s="1"/>
  <c r="B264" i="41" s="1"/>
  <c r="B265" i="41" s="1"/>
  <c r="B266" i="41" s="1"/>
  <c r="B267" i="41" s="1"/>
  <c r="B268" i="41" s="1"/>
  <c r="B269" i="41" s="1"/>
  <c r="B270" i="41" s="1"/>
  <c r="B240" i="41"/>
  <c r="B241" i="41" s="1"/>
  <c r="B242" i="41" s="1"/>
  <c r="B243" i="41" s="1"/>
  <c r="B244" i="41" s="1"/>
  <c r="B245" i="41" s="1"/>
  <c r="B246" i="41" s="1"/>
  <c r="B247" i="41" s="1"/>
  <c r="B248" i="41" s="1"/>
  <c r="B249" i="41" s="1"/>
  <c r="B250" i="41" s="1"/>
  <c r="B251" i="41" s="1"/>
  <c r="B252" i="41" s="1"/>
  <c r="B253" i="41" s="1"/>
  <c r="B254" i="41" s="1"/>
  <c r="B224" i="41"/>
  <c r="B225" i="41" s="1"/>
  <c r="B226" i="41" s="1"/>
  <c r="B227" i="41" s="1"/>
  <c r="B228" i="41" s="1"/>
  <c r="B229" i="41" s="1"/>
  <c r="B230" i="41" s="1"/>
  <c r="B231" i="41" s="1"/>
  <c r="B232" i="41" s="1"/>
  <c r="B233" i="41" s="1"/>
  <c r="B234" i="41" s="1"/>
  <c r="B235" i="41" s="1"/>
  <c r="B236" i="41" s="1"/>
  <c r="B237" i="41" s="1"/>
  <c r="B238" i="41" s="1"/>
  <c r="B208" i="41"/>
  <c r="B209" i="41" s="1"/>
  <c r="B210" i="41" s="1"/>
  <c r="B211" i="41" s="1"/>
  <c r="B212" i="41" s="1"/>
  <c r="B213" i="41" s="1"/>
  <c r="B214" i="41" s="1"/>
  <c r="B215" i="41" s="1"/>
  <c r="B216" i="41" s="1"/>
  <c r="B217" i="41" s="1"/>
  <c r="B218" i="41" s="1"/>
  <c r="B219" i="41" s="1"/>
  <c r="B220" i="41" s="1"/>
  <c r="B221" i="41" s="1"/>
  <c r="B222" i="41" s="1"/>
  <c r="B192" i="41"/>
  <c r="B193" i="41" s="1"/>
  <c r="B194" i="41" s="1"/>
  <c r="B195" i="41" s="1"/>
  <c r="B196" i="41" s="1"/>
  <c r="B197" i="41" s="1"/>
  <c r="B198" i="41" s="1"/>
  <c r="B199" i="41" s="1"/>
  <c r="B200" i="41" s="1"/>
  <c r="B201" i="41" s="1"/>
  <c r="B202" i="41" s="1"/>
  <c r="B203" i="41" s="1"/>
  <c r="B204" i="41" s="1"/>
  <c r="B205" i="41" s="1"/>
  <c r="B206" i="41" s="1"/>
  <c r="B176" i="41"/>
  <c r="B177" i="41" s="1"/>
  <c r="B178" i="41" s="1"/>
  <c r="B179" i="41" s="1"/>
  <c r="B180" i="41" s="1"/>
  <c r="B181" i="41" s="1"/>
  <c r="B182" i="41" s="1"/>
  <c r="B183" i="41" s="1"/>
  <c r="B184" i="41" s="1"/>
  <c r="B185" i="41" s="1"/>
  <c r="B186" i="41" s="1"/>
  <c r="B187" i="41" s="1"/>
  <c r="B188" i="41" s="1"/>
  <c r="B189" i="41" s="1"/>
  <c r="B190" i="41" s="1"/>
  <c r="B160" i="41"/>
  <c r="B161" i="41" s="1"/>
  <c r="B162" i="41" s="1"/>
  <c r="B163" i="41" s="1"/>
  <c r="B164" i="41" s="1"/>
  <c r="B165" i="41" s="1"/>
  <c r="B166" i="41" s="1"/>
  <c r="B167" i="41" s="1"/>
  <c r="B168" i="41" s="1"/>
  <c r="B169" i="41" s="1"/>
  <c r="B170" i="41" s="1"/>
  <c r="B171" i="41" s="1"/>
  <c r="B172" i="41" s="1"/>
  <c r="B173" i="41" s="1"/>
  <c r="B174" i="41" s="1"/>
  <c r="B144" i="41"/>
  <c r="B145" i="41" s="1"/>
  <c r="B146" i="41" s="1"/>
  <c r="B147" i="41" s="1"/>
  <c r="B148" i="41" s="1"/>
  <c r="B149" i="41" s="1"/>
  <c r="B150" i="41" s="1"/>
  <c r="B151" i="41" s="1"/>
  <c r="B152" i="41" s="1"/>
  <c r="B153" i="41" s="1"/>
  <c r="B154" i="41" s="1"/>
  <c r="B155" i="41" s="1"/>
  <c r="B156" i="41" s="1"/>
  <c r="B157" i="41" s="1"/>
  <c r="B158" i="41" s="1"/>
  <c r="B128" i="41"/>
  <c r="B129" i="41" s="1"/>
  <c r="B130" i="41" s="1"/>
  <c r="B131" i="41" s="1"/>
  <c r="B132" i="41" s="1"/>
  <c r="B133" i="41" s="1"/>
  <c r="B134" i="41" s="1"/>
  <c r="B135" i="41" s="1"/>
  <c r="B136" i="41" s="1"/>
  <c r="B137" i="41" s="1"/>
  <c r="B138" i="41" s="1"/>
  <c r="B139" i="41" s="1"/>
  <c r="B140" i="41" s="1"/>
  <c r="B141" i="41" s="1"/>
  <c r="B142" i="41" s="1"/>
  <c r="B112" i="41"/>
  <c r="B113" i="41" s="1"/>
  <c r="B114" i="41" s="1"/>
  <c r="B115" i="41" s="1"/>
  <c r="B116" i="41" s="1"/>
  <c r="B117" i="41" s="1"/>
  <c r="B118" i="41" s="1"/>
  <c r="B119" i="41" s="1"/>
  <c r="B120" i="41" s="1"/>
  <c r="B121" i="41" s="1"/>
  <c r="B122" i="41" s="1"/>
  <c r="B123" i="41" s="1"/>
  <c r="B124" i="41" s="1"/>
  <c r="B125" i="41" s="1"/>
  <c r="B126" i="41" s="1"/>
  <c r="B96" i="41"/>
  <c r="B97" i="41" s="1"/>
  <c r="B98" i="41" s="1"/>
  <c r="B99" i="41" s="1"/>
  <c r="B100" i="41" s="1"/>
  <c r="B101" i="41" s="1"/>
  <c r="B102" i="41" s="1"/>
  <c r="B103" i="41" s="1"/>
  <c r="B104" i="41" s="1"/>
  <c r="B105" i="41" s="1"/>
  <c r="B106" i="41" s="1"/>
  <c r="B107" i="41" s="1"/>
  <c r="B108" i="41" s="1"/>
  <c r="B109" i="41" s="1"/>
  <c r="B110" i="41" s="1"/>
  <c r="B80" i="41"/>
  <c r="B81" i="41" s="1"/>
  <c r="B82" i="41" s="1"/>
  <c r="B83" i="41" s="1"/>
  <c r="B84" i="41" s="1"/>
  <c r="B85" i="41" s="1"/>
  <c r="B86" i="41" s="1"/>
  <c r="B87" i="41" s="1"/>
  <c r="B88" i="41" s="1"/>
  <c r="B89" i="41" s="1"/>
  <c r="B90" i="41" s="1"/>
  <c r="B91" i="41" s="1"/>
  <c r="B92" i="41" s="1"/>
  <c r="B93" i="41" s="1"/>
  <c r="B94" i="41" s="1"/>
  <c r="B64" i="41"/>
  <c r="B65" i="41" s="1"/>
  <c r="B66" i="41" s="1"/>
  <c r="B67" i="41" s="1"/>
  <c r="B68" i="41" s="1"/>
  <c r="B69" i="41" s="1"/>
  <c r="B70" i="41" s="1"/>
  <c r="B71" i="41" s="1"/>
  <c r="B72" i="41" s="1"/>
  <c r="B73" i="41" s="1"/>
  <c r="B74" i="41" s="1"/>
  <c r="B75" i="41" s="1"/>
  <c r="B76" i="41" s="1"/>
  <c r="B77" i="41" s="1"/>
  <c r="B78" i="41" s="1"/>
  <c r="B48" i="41"/>
  <c r="B49" i="41" s="1"/>
  <c r="B50" i="41" s="1"/>
  <c r="B51" i="41" s="1"/>
  <c r="B52" i="41" s="1"/>
  <c r="B53" i="41" s="1"/>
  <c r="B54" i="41" s="1"/>
  <c r="B55" i="41" s="1"/>
  <c r="B56" i="41" s="1"/>
  <c r="B57" i="41" s="1"/>
  <c r="B58" i="41" s="1"/>
  <c r="B59" i="41" s="1"/>
  <c r="B60" i="41" s="1"/>
  <c r="B61" i="41" s="1"/>
  <c r="B62" i="41" s="1"/>
  <c r="B32" i="41"/>
  <c r="B58" i="55" l="1"/>
  <c r="AA438" i="41"/>
  <c r="G438" i="41"/>
  <c r="O437" i="41"/>
  <c r="W436" i="41"/>
  <c r="AE435" i="41"/>
  <c r="K435" i="41"/>
  <c r="S434" i="41"/>
  <c r="AA433" i="41"/>
  <c r="G433" i="41"/>
  <c r="O432" i="41"/>
  <c r="W431" i="41"/>
  <c r="AE430" i="41"/>
  <c r="K430" i="41"/>
  <c r="S429" i="41"/>
  <c r="AA428" i="41"/>
  <c r="G428" i="41"/>
  <c r="O427" i="41"/>
  <c r="W426" i="41"/>
  <c r="AE425" i="41"/>
  <c r="K425" i="41"/>
  <c r="S424" i="41"/>
  <c r="AA423" i="41"/>
  <c r="G423" i="41"/>
  <c r="O422" i="41"/>
  <c r="W421" i="41"/>
  <c r="AE420" i="41"/>
  <c r="K420" i="41"/>
  <c r="S419" i="41"/>
  <c r="AD435" i="41"/>
  <c r="R434" i="41"/>
  <c r="F433" i="41"/>
  <c r="V431" i="41"/>
  <c r="J430" i="41"/>
  <c r="Z428" i="41"/>
  <c r="N427" i="41"/>
  <c r="AD425" i="41"/>
  <c r="R424" i="41"/>
  <c r="F423" i="41"/>
  <c r="V421" i="41"/>
  <c r="J420" i="41"/>
  <c r="O429" i="41"/>
  <c r="AA425" i="41"/>
  <c r="K422" i="41"/>
  <c r="G420" i="41"/>
  <c r="P426" i="41"/>
  <c r="X420" i="41"/>
  <c r="O421" i="41"/>
  <c r="U425" i="41"/>
  <c r="T434" i="41"/>
  <c r="AB428" i="41"/>
  <c r="T419" i="41"/>
  <c r="Z438" i="41"/>
  <c r="F438" i="41"/>
  <c r="N437" i="41"/>
  <c r="V436" i="41"/>
  <c r="J435" i="41"/>
  <c r="Z433" i="41"/>
  <c r="N432" i="41"/>
  <c r="AD430" i="41"/>
  <c r="R429" i="41"/>
  <c r="F428" i="41"/>
  <c r="V426" i="41"/>
  <c r="J425" i="41"/>
  <c r="Z423" i="41"/>
  <c r="N422" i="41"/>
  <c r="AD420" i="41"/>
  <c r="R419" i="41"/>
  <c r="K427" i="41"/>
  <c r="W423" i="41"/>
  <c r="X430" i="41"/>
  <c r="AB422" i="41"/>
  <c r="Y437" i="41"/>
  <c r="I434" i="41"/>
  <c r="E432" i="41"/>
  <c r="AC429" i="41"/>
  <c r="Q428" i="41"/>
  <c r="AC424" i="41"/>
  <c r="L425" i="41"/>
  <c r="Y438" i="41"/>
  <c r="E438" i="41"/>
  <c r="M437" i="41"/>
  <c r="U436" i="41"/>
  <c r="AC435" i="41"/>
  <c r="I435" i="41"/>
  <c r="Q434" i="41"/>
  <c r="Y433" i="41"/>
  <c r="E433" i="41"/>
  <c r="M432" i="41"/>
  <c r="U431" i="41"/>
  <c r="AC430" i="41"/>
  <c r="I430" i="41"/>
  <c r="Q429" i="41"/>
  <c r="Y428" i="41"/>
  <c r="E428" i="41"/>
  <c r="M427" i="41"/>
  <c r="U426" i="41"/>
  <c r="AC425" i="41"/>
  <c r="I425" i="41"/>
  <c r="Q424" i="41"/>
  <c r="Y423" i="41"/>
  <c r="E423" i="41"/>
  <c r="M422" i="41"/>
  <c r="U421" i="41"/>
  <c r="AC420" i="41"/>
  <c r="I420" i="41"/>
  <c r="Q419" i="41"/>
  <c r="AF437" i="41"/>
  <c r="T436" i="41"/>
  <c r="AB435" i="41"/>
  <c r="P434" i="41"/>
  <c r="AF432" i="41"/>
  <c r="T431" i="41"/>
  <c r="H430" i="41"/>
  <c r="P429" i="41"/>
  <c r="X428" i="41"/>
  <c r="L427" i="41"/>
  <c r="AB425" i="41"/>
  <c r="P424" i="41"/>
  <c r="AF422" i="41"/>
  <c r="T421" i="41"/>
  <c r="H420" i="41"/>
  <c r="W428" i="41"/>
  <c r="G425" i="41"/>
  <c r="S421" i="41"/>
  <c r="O419" i="41"/>
  <c r="H427" i="41"/>
  <c r="P421" i="41"/>
  <c r="AE419" i="41"/>
  <c r="Q438" i="41"/>
  <c r="M436" i="41"/>
  <c r="U435" i="41"/>
  <c r="Q433" i="41"/>
  <c r="M431" i="41"/>
  <c r="I429" i="41"/>
  <c r="M426" i="41"/>
  <c r="AC419" i="41"/>
  <c r="P432" i="41"/>
  <c r="T424" i="41"/>
  <c r="X438" i="41"/>
  <c r="L437" i="41"/>
  <c r="H435" i="41"/>
  <c r="X433" i="41"/>
  <c r="L432" i="41"/>
  <c r="AB430" i="41"/>
  <c r="AF427" i="41"/>
  <c r="T426" i="41"/>
  <c r="H425" i="41"/>
  <c r="X423" i="41"/>
  <c r="L422" i="41"/>
  <c r="AB420" i="41"/>
  <c r="P419" i="41"/>
  <c r="S426" i="41"/>
  <c r="AE422" i="41"/>
  <c r="AB427" i="41"/>
  <c r="H422" i="41"/>
  <c r="AA437" i="41"/>
  <c r="G432" i="41"/>
  <c r="AA427" i="41"/>
  <c r="S423" i="41"/>
  <c r="I424" i="41"/>
  <c r="L420" i="41"/>
  <c r="W438" i="41"/>
  <c r="AE437" i="41"/>
  <c r="K437" i="41"/>
  <c r="S436" i="41"/>
  <c r="AA435" i="41"/>
  <c r="G435" i="41"/>
  <c r="O434" i="41"/>
  <c r="W433" i="41"/>
  <c r="AE432" i="41"/>
  <c r="K432" i="41"/>
  <c r="S431" i="41"/>
  <c r="AA430" i="41"/>
  <c r="G430" i="41"/>
  <c r="AE427" i="41"/>
  <c r="O424" i="41"/>
  <c r="AA420" i="41"/>
  <c r="X425" i="41"/>
  <c r="AF419" i="41"/>
  <c r="O436" i="41"/>
  <c r="K434" i="41"/>
  <c r="K429" i="41"/>
  <c r="AE424" i="41"/>
  <c r="K419" i="41"/>
  <c r="U420" i="41"/>
  <c r="V438" i="41"/>
  <c r="AD437" i="41"/>
  <c r="J437" i="41"/>
  <c r="R436" i="41"/>
  <c r="Z435" i="41"/>
  <c r="F435" i="41"/>
  <c r="N434" i="41"/>
  <c r="V433" i="41"/>
  <c r="AD432" i="41"/>
  <c r="J432" i="41"/>
  <c r="R431" i="41"/>
  <c r="Z430" i="41"/>
  <c r="F430" i="41"/>
  <c r="N429" i="41"/>
  <c r="V428" i="41"/>
  <c r="AD427" i="41"/>
  <c r="J427" i="41"/>
  <c r="R426" i="41"/>
  <c r="Z425" i="41"/>
  <c r="F425" i="41"/>
  <c r="N424" i="41"/>
  <c r="V423" i="41"/>
  <c r="AD422" i="41"/>
  <c r="J422" i="41"/>
  <c r="R421" i="41"/>
  <c r="Z420" i="41"/>
  <c r="F420" i="41"/>
  <c r="N419" i="41"/>
  <c r="M434" i="41"/>
  <c r="AC432" i="41"/>
  <c r="Q431" i="41"/>
  <c r="E430" i="41"/>
  <c r="U428" i="41"/>
  <c r="I427" i="41"/>
  <c r="Y425" i="41"/>
  <c r="M424" i="41"/>
  <c r="AC422" i="41"/>
  <c r="Q421" i="41"/>
  <c r="E420" i="41"/>
  <c r="H437" i="41"/>
  <c r="T433" i="41"/>
  <c r="P431" i="41"/>
  <c r="L429" i="41"/>
  <c r="L424" i="41"/>
  <c r="G437" i="41"/>
  <c r="AA432" i="41"/>
  <c r="S428" i="41"/>
  <c r="K424" i="41"/>
  <c r="Q423" i="41"/>
  <c r="U438" i="41"/>
  <c r="AC437" i="41"/>
  <c r="I437" i="41"/>
  <c r="Q436" i="41"/>
  <c r="Y435" i="41"/>
  <c r="E435" i="41"/>
  <c r="U433" i="41"/>
  <c r="I432" i="41"/>
  <c r="Y430" i="41"/>
  <c r="M429" i="41"/>
  <c r="AC427" i="41"/>
  <c r="Q426" i="41"/>
  <c r="E425" i="41"/>
  <c r="U423" i="41"/>
  <c r="I422" i="41"/>
  <c r="Y420" i="41"/>
  <c r="M419" i="41"/>
  <c r="P436" i="41"/>
  <c r="L434" i="41"/>
  <c r="H432" i="41"/>
  <c r="T428" i="41"/>
  <c r="T423" i="41"/>
  <c r="S438" i="41"/>
  <c r="AE434" i="41"/>
  <c r="W430" i="41"/>
  <c r="G427" i="41"/>
  <c r="AA422" i="41"/>
  <c r="E422" i="41"/>
  <c r="T438" i="41"/>
  <c r="AB437" i="41"/>
  <c r="X435" i="41"/>
  <c r="AF434" i="41"/>
  <c r="AB432" i="41"/>
  <c r="AF429" i="41"/>
  <c r="AF424" i="41"/>
  <c r="L419" i="41"/>
  <c r="W435" i="41"/>
  <c r="S433" i="41"/>
  <c r="AE429" i="41"/>
  <c r="O426" i="41"/>
  <c r="G422" i="41"/>
  <c r="M421" i="41"/>
  <c r="P422" i="41"/>
  <c r="O431" i="41"/>
  <c r="W425" i="41"/>
  <c r="W420" i="41"/>
  <c r="E427" i="41"/>
  <c r="I419" i="41"/>
  <c r="L430" i="41"/>
  <c r="AF420" i="41"/>
  <c r="R438" i="41"/>
  <c r="Z437" i="41"/>
  <c r="F437" i="41"/>
  <c r="N436" i="41"/>
  <c r="V435" i="41"/>
  <c r="AD434" i="41"/>
  <c r="J434" i="41"/>
  <c r="R433" i="41"/>
  <c r="Z432" i="41"/>
  <c r="F432" i="41"/>
  <c r="N431" i="41"/>
  <c r="V430" i="41"/>
  <c r="AD429" i="41"/>
  <c r="J429" i="41"/>
  <c r="R428" i="41"/>
  <c r="Z427" i="41"/>
  <c r="F427" i="41"/>
  <c r="N426" i="41"/>
  <c r="V425" i="41"/>
  <c r="AD424" i="41"/>
  <c r="J424" i="41"/>
  <c r="R423" i="41"/>
  <c r="Z422" i="41"/>
  <c r="F422" i="41"/>
  <c r="N421" i="41"/>
  <c r="V420" i="41"/>
  <c r="AD419" i="41"/>
  <c r="J419" i="41"/>
  <c r="E437" i="41"/>
  <c r="AC434" i="41"/>
  <c r="Y432" i="41"/>
  <c r="U430" i="41"/>
  <c r="Y427" i="41"/>
  <c r="Y422" i="41"/>
  <c r="P438" i="41"/>
  <c r="X437" i="41"/>
  <c r="AF436" i="41"/>
  <c r="L436" i="41"/>
  <c r="T435" i="41"/>
  <c r="AB434" i="41"/>
  <c r="H434" i="41"/>
  <c r="P433" i="41"/>
  <c r="X432" i="41"/>
  <c r="AF431" i="41"/>
  <c r="L431" i="41"/>
  <c r="T430" i="41"/>
  <c r="AB429" i="41"/>
  <c r="H429" i="41"/>
  <c r="P428" i="41"/>
  <c r="X427" i="41"/>
  <c r="AF426" i="41"/>
  <c r="L426" i="41"/>
  <c r="T425" i="41"/>
  <c r="AB424" i="41"/>
  <c r="H424" i="41"/>
  <c r="P423" i="41"/>
  <c r="X422" i="41"/>
  <c r="AF421" i="41"/>
  <c r="L421" i="41"/>
  <c r="T420" i="41"/>
  <c r="AB419" i="41"/>
  <c r="H419" i="41"/>
  <c r="AC438" i="41"/>
  <c r="I438" i="41"/>
  <c r="Q437" i="41"/>
  <c r="E436" i="41"/>
  <c r="AC433" i="41"/>
  <c r="U429" i="41"/>
  <c r="U424" i="41"/>
  <c r="U419" i="41"/>
  <c r="X436" i="41"/>
  <c r="AF430" i="41"/>
  <c r="AB423" i="41"/>
  <c r="O438" i="41"/>
  <c r="W437" i="41"/>
  <c r="AE436" i="41"/>
  <c r="K436" i="41"/>
  <c r="S435" i="41"/>
  <c r="AA434" i="41"/>
  <c r="G434" i="41"/>
  <c r="O433" i="41"/>
  <c r="W432" i="41"/>
  <c r="AE431" i="41"/>
  <c r="K431" i="41"/>
  <c r="S430" i="41"/>
  <c r="AA429" i="41"/>
  <c r="G429" i="41"/>
  <c r="O428" i="41"/>
  <c r="W427" i="41"/>
  <c r="AE426" i="41"/>
  <c r="K426" i="41"/>
  <c r="S425" i="41"/>
  <c r="AA424" i="41"/>
  <c r="G424" i="41"/>
  <c r="O423" i="41"/>
  <c r="W422" i="41"/>
  <c r="AE421" i="41"/>
  <c r="K421" i="41"/>
  <c r="S420" i="41"/>
  <c r="AA419" i="41"/>
  <c r="G419" i="41"/>
  <c r="V427" i="41"/>
  <c r="J426" i="41"/>
  <c r="Z424" i="41"/>
  <c r="N423" i="41"/>
  <c r="AD421" i="41"/>
  <c r="J421" i="41"/>
  <c r="Z419" i="41"/>
  <c r="M438" i="41"/>
  <c r="I436" i="41"/>
  <c r="E434" i="41"/>
  <c r="U432" i="41"/>
  <c r="Q430" i="41"/>
  <c r="M428" i="41"/>
  <c r="I426" i="41"/>
  <c r="Y424" i="41"/>
  <c r="U422" i="41"/>
  <c r="I421" i="41"/>
  <c r="L438" i="41"/>
  <c r="AB436" i="41"/>
  <c r="AF433" i="41"/>
  <c r="AB431" i="41"/>
  <c r="X429" i="41"/>
  <c r="T427" i="41"/>
  <c r="X424" i="41"/>
  <c r="T422" i="41"/>
  <c r="P420" i="41"/>
  <c r="K438" i="41"/>
  <c r="O435" i="41"/>
  <c r="S432" i="41"/>
  <c r="W429" i="41"/>
  <c r="AA426" i="41"/>
  <c r="K423" i="41"/>
  <c r="G421" i="41"/>
  <c r="R422" i="41"/>
  <c r="Y436" i="41"/>
  <c r="I433" i="41"/>
  <c r="AC428" i="41"/>
  <c r="E426" i="41"/>
  <c r="E421" i="41"/>
  <c r="H428" i="41"/>
  <c r="N438" i="41"/>
  <c r="V437" i="41"/>
  <c r="AD436" i="41"/>
  <c r="J436" i="41"/>
  <c r="R435" i="41"/>
  <c r="Z434" i="41"/>
  <c r="F434" i="41"/>
  <c r="N433" i="41"/>
  <c r="V432" i="41"/>
  <c r="AD431" i="41"/>
  <c r="J431" i="41"/>
  <c r="R430" i="41"/>
  <c r="Z429" i="41"/>
  <c r="F429" i="41"/>
  <c r="N428" i="41"/>
  <c r="AD426" i="41"/>
  <c r="R425" i="41"/>
  <c r="F424" i="41"/>
  <c r="V422" i="41"/>
  <c r="R420" i="41"/>
  <c r="F419" i="41"/>
  <c r="AC436" i="41"/>
  <c r="Y434" i="41"/>
  <c r="AC431" i="41"/>
  <c r="Y429" i="41"/>
  <c r="U427" i="41"/>
  <c r="Q425" i="41"/>
  <c r="M423" i="41"/>
  <c r="Q420" i="41"/>
  <c r="AF438" i="41"/>
  <c r="H436" i="41"/>
  <c r="L433" i="41"/>
  <c r="H431" i="41"/>
  <c r="L428" i="41"/>
  <c r="P425" i="41"/>
  <c r="AB421" i="41"/>
  <c r="AE438" i="41"/>
  <c r="G436" i="41"/>
  <c r="K433" i="41"/>
  <c r="O430" i="41"/>
  <c r="S427" i="41"/>
  <c r="AE423" i="41"/>
  <c r="AA421" i="41"/>
  <c r="Z421" i="41"/>
  <c r="Q432" i="41"/>
  <c r="I428" i="41"/>
  <c r="I423" i="41"/>
  <c r="AB438" i="41"/>
  <c r="P437" i="41"/>
  <c r="AB433" i="41"/>
  <c r="AF425" i="41"/>
  <c r="E419" i="41"/>
  <c r="U437" i="41"/>
  <c r="Q435" i="41"/>
  <c r="M433" i="41"/>
  <c r="I431" i="41"/>
  <c r="E429" i="41"/>
  <c r="AC426" i="41"/>
  <c r="E424" i="41"/>
  <c r="AC421" i="41"/>
  <c r="Y419" i="41"/>
  <c r="T437" i="41"/>
  <c r="P435" i="41"/>
  <c r="T432" i="41"/>
  <c r="AF428" i="41"/>
  <c r="AB426" i="41"/>
  <c r="AF423" i="41"/>
  <c r="X419" i="41"/>
  <c r="AA436" i="41"/>
  <c r="W434" i="41"/>
  <c r="AA431" i="41"/>
  <c r="AE428" i="41"/>
  <c r="W424" i="41"/>
  <c r="O420" i="41"/>
  <c r="N420" i="41"/>
  <c r="E431" i="41"/>
  <c r="M425" i="41"/>
  <c r="M420" i="41"/>
  <c r="L435" i="41"/>
  <c r="T429" i="41"/>
  <c r="X421" i="41"/>
  <c r="X434" i="41"/>
  <c r="P430" i="41"/>
  <c r="H426" i="41"/>
  <c r="L423" i="41"/>
  <c r="H421" i="41"/>
  <c r="S437" i="41"/>
  <c r="AE433" i="41"/>
  <c r="G431" i="41"/>
  <c r="K428" i="41"/>
  <c r="O425" i="41"/>
  <c r="S422" i="41"/>
  <c r="F421" i="41"/>
  <c r="M435" i="41"/>
  <c r="Y431" i="41"/>
  <c r="Y426" i="41"/>
  <c r="Q422" i="41"/>
  <c r="AF435" i="41"/>
  <c r="P427" i="41"/>
  <c r="G426" i="41"/>
  <c r="W419" i="41"/>
  <c r="V419" i="41"/>
  <c r="Q427" i="41"/>
  <c r="Y421" i="41"/>
  <c r="X431" i="41"/>
  <c r="H423" i="41"/>
  <c r="AD438" i="41"/>
  <c r="J438" i="41"/>
  <c r="R437" i="41"/>
  <c r="Z436" i="41"/>
  <c r="F436" i="41"/>
  <c r="N435" i="41"/>
  <c r="V434" i="41"/>
  <c r="AD433" i="41"/>
  <c r="J433" i="41"/>
  <c r="R432" i="41"/>
  <c r="Z431" i="41"/>
  <c r="F431" i="41"/>
  <c r="N430" i="41"/>
  <c r="V429" i="41"/>
  <c r="AD428" i="41"/>
  <c r="J428" i="41"/>
  <c r="R427" i="41"/>
  <c r="Z426" i="41"/>
  <c r="F426" i="41"/>
  <c r="N425" i="41"/>
  <c r="V424" i="41"/>
  <c r="AD423" i="41"/>
  <c r="J423" i="41"/>
  <c r="U434" i="41"/>
  <c r="M430" i="41"/>
  <c r="AC423" i="41"/>
  <c r="H438" i="41"/>
  <c r="H433" i="41"/>
  <c r="X426" i="41"/>
  <c r="B33" i="41"/>
  <c r="B37" i="55"/>
  <c r="A12" i="55"/>
  <c r="C9" i="45"/>
  <c r="AL22" i="54"/>
  <c r="AL21" i="54"/>
  <c r="AL20" i="54"/>
  <c r="AL19" i="54"/>
  <c r="AL18" i="54"/>
  <c r="AL17" i="54"/>
  <c r="AL16" i="54"/>
  <c r="AL15" i="54"/>
  <c r="AL14" i="54"/>
  <c r="AL13" i="54"/>
  <c r="AL12" i="54"/>
  <c r="AL11" i="54"/>
  <c r="C22" i="54"/>
  <c r="AK22" i="54" s="1"/>
  <c r="A22" i="54" s="1"/>
  <c r="AJ22" i="54" s="1"/>
  <c r="C21" i="54"/>
  <c r="AK21" i="54" s="1"/>
  <c r="A21" i="54" s="1"/>
  <c r="C20" i="54"/>
  <c r="AK20" i="54" s="1"/>
  <c r="A20" i="54" s="1"/>
  <c r="A48" i="54" s="1"/>
  <c r="C19" i="54"/>
  <c r="AK19" i="54" s="1"/>
  <c r="A19" i="54" s="1"/>
  <c r="AJ19" i="54" s="1"/>
  <c r="C18" i="54"/>
  <c r="AK18" i="54" s="1"/>
  <c r="A18" i="54" s="1"/>
  <c r="AJ18" i="54" s="1"/>
  <c r="C17" i="54"/>
  <c r="AK17" i="54" s="1"/>
  <c r="A17" i="54" s="1"/>
  <c r="A45" i="54" s="1"/>
  <c r="C16" i="54"/>
  <c r="AK16" i="54" s="1"/>
  <c r="A16" i="54" s="1"/>
  <c r="AJ16" i="54" s="1"/>
  <c r="C15" i="54"/>
  <c r="AK15" i="54" s="1"/>
  <c r="A15" i="54" s="1"/>
  <c r="A43" i="54" s="1"/>
  <c r="C14" i="54"/>
  <c r="AK14" i="54" s="1"/>
  <c r="A14" i="54" s="1"/>
  <c r="C13" i="54"/>
  <c r="AK13" i="54" s="1"/>
  <c r="A13" i="54" s="1"/>
  <c r="A41" i="54" s="1"/>
  <c r="C12" i="54"/>
  <c r="AK12" i="54" s="1"/>
  <c r="A12" i="54" s="1"/>
  <c r="A40" i="54" s="1"/>
  <c r="C11" i="54"/>
  <c r="AK11" i="54" s="1"/>
  <c r="G13" i="54" l="1"/>
  <c r="G12" i="54"/>
  <c r="G11" i="54"/>
  <c r="A58" i="55"/>
  <c r="S31" i="60"/>
  <c r="L32" i="60"/>
  <c r="AF32" i="60"/>
  <c r="Y33" i="60"/>
  <c r="R34" i="60"/>
  <c r="K35" i="60"/>
  <c r="AE35" i="60"/>
  <c r="X36" i="60"/>
  <c r="Q37" i="60"/>
  <c r="J38" i="60"/>
  <c r="AD38" i="60"/>
  <c r="W39" i="60"/>
  <c r="P40" i="60"/>
  <c r="I41" i="60"/>
  <c r="I67" i="60" s="1"/>
  <c r="AC41" i="60"/>
  <c r="AC67" i="60" s="1"/>
  <c r="V42" i="60"/>
  <c r="O43" i="60"/>
  <c r="H44" i="60"/>
  <c r="AB44" i="60"/>
  <c r="U45" i="60"/>
  <c r="N46" i="60"/>
  <c r="G47" i="60"/>
  <c r="AA47" i="60"/>
  <c r="T48" i="60"/>
  <c r="M49" i="60"/>
  <c r="F50" i="60"/>
  <c r="Z50" i="60"/>
  <c r="E45" i="60"/>
  <c r="AB38" i="60"/>
  <c r="K49" i="60"/>
  <c r="H41" i="60"/>
  <c r="H67" i="60" s="1"/>
  <c r="T31" i="60"/>
  <c r="M32" i="60"/>
  <c r="F33" i="60"/>
  <c r="Z33" i="60"/>
  <c r="S34" i="60"/>
  <c r="L35" i="60"/>
  <c r="AF35" i="60"/>
  <c r="Y36" i="60"/>
  <c r="R37" i="60"/>
  <c r="K38" i="60"/>
  <c r="AE38" i="60"/>
  <c r="X39" i="60"/>
  <c r="Q40" i="60"/>
  <c r="J41" i="60"/>
  <c r="J67" i="60" s="1"/>
  <c r="AD41" i="60"/>
  <c r="AD67" i="60" s="1"/>
  <c r="W42" i="60"/>
  <c r="P43" i="60"/>
  <c r="I44" i="60"/>
  <c r="AC44" i="60"/>
  <c r="V45" i="60"/>
  <c r="O46" i="60"/>
  <c r="H47" i="60"/>
  <c r="AB47" i="60"/>
  <c r="U48" i="60"/>
  <c r="N49" i="60"/>
  <c r="G50" i="60"/>
  <c r="AA50" i="60"/>
  <c r="E46" i="60"/>
  <c r="U31" i="60"/>
  <c r="N32" i="60"/>
  <c r="G33" i="60"/>
  <c r="AA33" i="60"/>
  <c r="T34" i="60"/>
  <c r="M35" i="60"/>
  <c r="F36" i="60"/>
  <c r="Z36" i="60"/>
  <c r="S37" i="60"/>
  <c r="L38" i="60"/>
  <c r="AF38" i="60"/>
  <c r="Y39" i="60"/>
  <c r="R40" i="60"/>
  <c r="K41" i="60"/>
  <c r="K67" i="60" s="1"/>
  <c r="AE41" i="60"/>
  <c r="AE67" i="60" s="1"/>
  <c r="X42" i="60"/>
  <c r="Q43" i="60"/>
  <c r="J44" i="60"/>
  <c r="AD44" i="60"/>
  <c r="W45" i="60"/>
  <c r="P46" i="60"/>
  <c r="I47" i="60"/>
  <c r="AC47" i="60"/>
  <c r="V48" i="60"/>
  <c r="O49" i="60"/>
  <c r="H50" i="60"/>
  <c r="AB50" i="60"/>
  <c r="E47" i="60"/>
  <c r="J32" i="60"/>
  <c r="E43" i="60"/>
  <c r="AB41" i="60"/>
  <c r="AB67" i="60" s="1"/>
  <c r="V31" i="60"/>
  <c r="O32" i="60"/>
  <c r="H33" i="60"/>
  <c r="AB33" i="60"/>
  <c r="U34" i="60"/>
  <c r="N35" i="60"/>
  <c r="G36" i="60"/>
  <c r="AA36" i="60"/>
  <c r="T37" i="60"/>
  <c r="M38" i="60"/>
  <c r="F39" i="60"/>
  <c r="Z39" i="60"/>
  <c r="S40" i="60"/>
  <c r="L41" i="60"/>
  <c r="L67" i="60" s="1"/>
  <c r="AF41" i="60"/>
  <c r="AF67" i="60" s="1"/>
  <c r="Y42" i="60"/>
  <c r="R43" i="60"/>
  <c r="K44" i="60"/>
  <c r="AE44" i="60"/>
  <c r="X45" i="60"/>
  <c r="Q46" i="60"/>
  <c r="J47" i="60"/>
  <c r="AD47" i="60"/>
  <c r="W48" i="60"/>
  <c r="P49" i="60"/>
  <c r="I50" i="60"/>
  <c r="AC50" i="60"/>
  <c r="E48" i="60"/>
  <c r="AE46" i="60"/>
  <c r="U39" i="60"/>
  <c r="AC38" i="60"/>
  <c r="AF49" i="60"/>
  <c r="W31" i="60"/>
  <c r="P32" i="60"/>
  <c r="I33" i="60"/>
  <c r="AC33" i="60"/>
  <c r="V34" i="60"/>
  <c r="O35" i="60"/>
  <c r="H36" i="60"/>
  <c r="AB36" i="60"/>
  <c r="U37" i="60"/>
  <c r="N38" i="60"/>
  <c r="G39" i="60"/>
  <c r="AA39" i="60"/>
  <c r="T40" i="60"/>
  <c r="M41" i="60"/>
  <c r="M67" i="60" s="1"/>
  <c r="F42" i="60"/>
  <c r="Z42" i="60"/>
  <c r="S43" i="60"/>
  <c r="L44" i="60"/>
  <c r="AF44" i="60"/>
  <c r="Y45" i="60"/>
  <c r="R46" i="60"/>
  <c r="K47" i="60"/>
  <c r="AE47" i="60"/>
  <c r="X48" i="60"/>
  <c r="Q49" i="60"/>
  <c r="J50" i="60"/>
  <c r="AD50" i="60"/>
  <c r="E49" i="60"/>
  <c r="E31" i="60"/>
  <c r="W33" i="60"/>
  <c r="AE32" i="60"/>
  <c r="Y50" i="60"/>
  <c r="X31" i="60"/>
  <c r="Q32" i="60"/>
  <c r="J33" i="60"/>
  <c r="AD33" i="60"/>
  <c r="W34" i="60"/>
  <c r="P35" i="60"/>
  <c r="I36" i="60"/>
  <c r="AC36" i="60"/>
  <c r="V37" i="60"/>
  <c r="O38" i="60"/>
  <c r="H39" i="60"/>
  <c r="AB39" i="60"/>
  <c r="U40" i="60"/>
  <c r="N41" i="60"/>
  <c r="N67" i="60" s="1"/>
  <c r="G42" i="60"/>
  <c r="AA42" i="60"/>
  <c r="T43" i="60"/>
  <c r="M44" i="60"/>
  <c r="F45" i="60"/>
  <c r="Z45" i="60"/>
  <c r="S46" i="60"/>
  <c r="L47" i="60"/>
  <c r="AF47" i="60"/>
  <c r="Y48" i="60"/>
  <c r="R49" i="60"/>
  <c r="K50" i="60"/>
  <c r="AE50" i="60"/>
  <c r="E50" i="60"/>
  <c r="R45" i="60"/>
  <c r="AA41" i="60"/>
  <c r="AA67" i="60" s="1"/>
  <c r="X50" i="60"/>
  <c r="O40" i="60"/>
  <c r="Y31" i="60"/>
  <c r="R32" i="60"/>
  <c r="K33" i="60"/>
  <c r="AE33" i="60"/>
  <c r="X34" i="60"/>
  <c r="Q35" i="60"/>
  <c r="J36" i="60"/>
  <c r="AD36" i="60"/>
  <c r="W37" i="60"/>
  <c r="P38" i="60"/>
  <c r="I39" i="60"/>
  <c r="AC39" i="60"/>
  <c r="V40" i="60"/>
  <c r="O41" i="60"/>
  <c r="O67" i="60" s="1"/>
  <c r="H42" i="60"/>
  <c r="AB42" i="60"/>
  <c r="U43" i="60"/>
  <c r="N44" i="60"/>
  <c r="G45" i="60"/>
  <c r="AA45" i="60"/>
  <c r="T46" i="60"/>
  <c r="M47" i="60"/>
  <c r="F48" i="60"/>
  <c r="Z48" i="60"/>
  <c r="S49" i="60"/>
  <c r="L50" i="60"/>
  <c r="AF50" i="60"/>
  <c r="Q48" i="60"/>
  <c r="T42" i="60"/>
  <c r="V39" i="60"/>
  <c r="E44" i="60"/>
  <c r="F31" i="60"/>
  <c r="Z31" i="60"/>
  <c r="S32" i="60"/>
  <c r="L33" i="60"/>
  <c r="AF33" i="60"/>
  <c r="Y34" i="60"/>
  <c r="R35" i="60"/>
  <c r="K36" i="60"/>
  <c r="AE36" i="60"/>
  <c r="X37" i="60"/>
  <c r="Q38" i="60"/>
  <c r="J39" i="60"/>
  <c r="AD39" i="60"/>
  <c r="W40" i="60"/>
  <c r="P41" i="60"/>
  <c r="P67" i="60" s="1"/>
  <c r="I42" i="60"/>
  <c r="AC42" i="60"/>
  <c r="V43" i="60"/>
  <c r="O44" i="60"/>
  <c r="H45" i="60"/>
  <c r="AB45" i="60"/>
  <c r="U46" i="60"/>
  <c r="N47" i="60"/>
  <c r="G48" i="60"/>
  <c r="AA48" i="60"/>
  <c r="T49" i="60"/>
  <c r="M50" i="60"/>
  <c r="E32" i="60"/>
  <c r="E38" i="60"/>
  <c r="AB35" i="60"/>
  <c r="S42" i="60"/>
  <c r="AD49" i="60"/>
  <c r="G41" i="60"/>
  <c r="G67" i="60" s="1"/>
  <c r="Y47" i="60"/>
  <c r="J35" i="60"/>
  <c r="M46" i="60"/>
  <c r="G31" i="60"/>
  <c r="AA31" i="60"/>
  <c r="T32" i="60"/>
  <c r="M33" i="60"/>
  <c r="F34" i="60"/>
  <c r="Z34" i="60"/>
  <c r="S35" i="60"/>
  <c r="L36" i="60"/>
  <c r="AF36" i="60"/>
  <c r="Y37" i="60"/>
  <c r="R38" i="60"/>
  <c r="K39" i="60"/>
  <c r="AE39" i="60"/>
  <c r="X40" i="60"/>
  <c r="Q41" i="60"/>
  <c r="Q67" i="60" s="1"/>
  <c r="J42" i="60"/>
  <c r="AD42" i="60"/>
  <c r="W43" i="60"/>
  <c r="P44" i="60"/>
  <c r="I45" i="60"/>
  <c r="AC45" i="60"/>
  <c r="V46" i="60"/>
  <c r="O47" i="60"/>
  <c r="H48" i="60"/>
  <c r="AB48" i="60"/>
  <c r="U49" i="60"/>
  <c r="N50" i="60"/>
  <c r="E33" i="60"/>
  <c r="U50" i="60"/>
  <c r="P31" i="60"/>
  <c r="AA38" i="60"/>
  <c r="J49" i="60"/>
  <c r="N40" i="60"/>
  <c r="R48" i="60"/>
  <c r="I38" i="60"/>
  <c r="L49" i="60"/>
  <c r="H31" i="60"/>
  <c r="AB31" i="60"/>
  <c r="U32" i="60"/>
  <c r="N33" i="60"/>
  <c r="G34" i="60"/>
  <c r="AA34" i="60"/>
  <c r="T35" i="60"/>
  <c r="M36" i="60"/>
  <c r="F37" i="60"/>
  <c r="Z37" i="60"/>
  <c r="S38" i="60"/>
  <c r="L39" i="60"/>
  <c r="AF39" i="60"/>
  <c r="Y40" i="60"/>
  <c r="R41" i="60"/>
  <c r="R67" i="60" s="1"/>
  <c r="K42" i="60"/>
  <c r="AE42" i="60"/>
  <c r="X43" i="60"/>
  <c r="Q44" i="60"/>
  <c r="J45" i="60"/>
  <c r="AD45" i="60"/>
  <c r="W46" i="60"/>
  <c r="P47" i="60"/>
  <c r="I48" i="60"/>
  <c r="AC48" i="60"/>
  <c r="V49" i="60"/>
  <c r="O50" i="60"/>
  <c r="E34" i="60"/>
  <c r="E40" i="60"/>
  <c r="M40" i="60"/>
  <c r="AD32" i="60"/>
  <c r="F44" i="60"/>
  <c r="W36" i="60"/>
  <c r="AA44" i="60"/>
  <c r="I31" i="60"/>
  <c r="AC31" i="60"/>
  <c r="V32" i="60"/>
  <c r="O33" i="60"/>
  <c r="H34" i="60"/>
  <c r="AB34" i="60"/>
  <c r="U35" i="60"/>
  <c r="N36" i="60"/>
  <c r="G37" i="60"/>
  <c r="AA37" i="60"/>
  <c r="T38" i="60"/>
  <c r="M39" i="60"/>
  <c r="F40" i="60"/>
  <c r="Z40" i="60"/>
  <c r="S41" i="60"/>
  <c r="S67" i="60" s="1"/>
  <c r="L42" i="60"/>
  <c r="AF42" i="60"/>
  <c r="Y43" i="60"/>
  <c r="R44" i="60"/>
  <c r="K45" i="60"/>
  <c r="AE45" i="60"/>
  <c r="X46" i="60"/>
  <c r="Q47" i="60"/>
  <c r="J48" i="60"/>
  <c r="AD48" i="60"/>
  <c r="W49" i="60"/>
  <c r="P50" i="60"/>
  <c r="E35" i="60"/>
  <c r="E36" i="60"/>
  <c r="H35" i="60"/>
  <c r="G38" i="60"/>
  <c r="K46" i="60"/>
  <c r="P34" i="60"/>
  <c r="S45" i="60"/>
  <c r="K32" i="60"/>
  <c r="U42" i="60"/>
  <c r="J31" i="60"/>
  <c r="AD31" i="60"/>
  <c r="W32" i="60"/>
  <c r="P33" i="60"/>
  <c r="I34" i="60"/>
  <c r="AC34" i="60"/>
  <c r="V35" i="60"/>
  <c r="O36" i="60"/>
  <c r="H37" i="60"/>
  <c r="AB37" i="60"/>
  <c r="U38" i="60"/>
  <c r="N39" i="60"/>
  <c r="G40" i="60"/>
  <c r="AA40" i="60"/>
  <c r="T41" i="60"/>
  <c r="T67" i="60" s="1"/>
  <c r="M42" i="60"/>
  <c r="F43" i="60"/>
  <c r="F157" i="60" s="1"/>
  <c r="L395" i="62" s="1"/>
  <c r="Z43" i="60"/>
  <c r="S44" i="60"/>
  <c r="L45" i="60"/>
  <c r="AF45" i="60"/>
  <c r="Y46" i="60"/>
  <c r="R47" i="60"/>
  <c r="K48" i="60"/>
  <c r="AE48" i="60"/>
  <c r="X49" i="60"/>
  <c r="Q50" i="60"/>
  <c r="S50" i="60"/>
  <c r="V33" i="60"/>
  <c r="T39" i="60"/>
  <c r="X47" i="60"/>
  <c r="AC35" i="60"/>
  <c r="L46" i="60"/>
  <c r="X33" i="60"/>
  <c r="F47" i="60"/>
  <c r="K31" i="60"/>
  <c r="AE31" i="60"/>
  <c r="X32" i="60"/>
  <c r="Q33" i="60"/>
  <c r="J34" i="60"/>
  <c r="AD34" i="60"/>
  <c r="W35" i="60"/>
  <c r="P36" i="60"/>
  <c r="I37" i="60"/>
  <c r="AC37" i="60"/>
  <c r="V38" i="60"/>
  <c r="O39" i="60"/>
  <c r="H40" i="60"/>
  <c r="AB40" i="60"/>
  <c r="U41" i="60"/>
  <c r="U67" i="60" s="1"/>
  <c r="N42" i="60"/>
  <c r="G43" i="60"/>
  <c r="AA43" i="60"/>
  <c r="T44" i="60"/>
  <c r="M45" i="60"/>
  <c r="F46" i="60"/>
  <c r="Z46" i="60"/>
  <c r="S47" i="60"/>
  <c r="L48" i="60"/>
  <c r="AF48" i="60"/>
  <c r="Y49" i="60"/>
  <c r="R50" i="60"/>
  <c r="E37" i="60"/>
  <c r="E41" i="60"/>
  <c r="E67" i="60" s="1"/>
  <c r="N37" i="60"/>
  <c r="AF43" i="60"/>
  <c r="AF97" i="60" s="1"/>
  <c r="AL98" i="62" s="1"/>
  <c r="I35" i="60"/>
  <c r="Z44" i="60"/>
  <c r="R31" i="60"/>
  <c r="G44" i="60"/>
  <c r="L31" i="60"/>
  <c r="AF31" i="60"/>
  <c r="Y32" i="60"/>
  <c r="R33" i="60"/>
  <c r="K34" i="60"/>
  <c r="AE34" i="60"/>
  <c r="X35" i="60"/>
  <c r="Q36" i="60"/>
  <c r="J37" i="60"/>
  <c r="AD37" i="60"/>
  <c r="W38" i="60"/>
  <c r="P39" i="60"/>
  <c r="I40" i="60"/>
  <c r="AC40" i="60"/>
  <c r="V41" i="60"/>
  <c r="V67" i="60" s="1"/>
  <c r="O42" i="60"/>
  <c r="H43" i="60"/>
  <c r="AB43" i="60"/>
  <c r="U44" i="60"/>
  <c r="N45" i="60"/>
  <c r="G46" i="60"/>
  <c r="AA46" i="60"/>
  <c r="T47" i="60"/>
  <c r="M48" i="60"/>
  <c r="F49" i="60"/>
  <c r="Z49" i="60"/>
  <c r="O34" i="60"/>
  <c r="L43" i="60"/>
  <c r="Q31" i="60"/>
  <c r="M43" i="60"/>
  <c r="P37" i="60"/>
  <c r="S48" i="60"/>
  <c r="M31" i="60"/>
  <c r="F32" i="60"/>
  <c r="Z32" i="60"/>
  <c r="S33" i="60"/>
  <c r="L34" i="60"/>
  <c r="AF34" i="60"/>
  <c r="Y35" i="60"/>
  <c r="R36" i="60"/>
  <c r="K37" i="60"/>
  <c r="AE37" i="60"/>
  <c r="X38" i="60"/>
  <c r="Q39" i="60"/>
  <c r="J40" i="60"/>
  <c r="AD40" i="60"/>
  <c r="W41" i="60"/>
  <c r="W67" i="60" s="1"/>
  <c r="P42" i="60"/>
  <c r="I43" i="60"/>
  <c r="AC43" i="60"/>
  <c r="V44" i="60"/>
  <c r="O45" i="60"/>
  <c r="H46" i="60"/>
  <c r="AB46" i="60"/>
  <c r="U47" i="60"/>
  <c r="N48" i="60"/>
  <c r="G49" i="60"/>
  <c r="AA49" i="60"/>
  <c r="T50" i="60"/>
  <c r="E39" i="60"/>
  <c r="AB49" i="60"/>
  <c r="AC32" i="60"/>
  <c r="F41" i="60"/>
  <c r="W50" i="60"/>
  <c r="O37" i="60"/>
  <c r="AD35" i="60"/>
  <c r="T45" i="60"/>
  <c r="N31" i="60"/>
  <c r="G32" i="60"/>
  <c r="AA32" i="60"/>
  <c r="T33" i="60"/>
  <c r="M34" i="60"/>
  <c r="F35" i="60"/>
  <c r="Z35" i="60"/>
  <c r="S36" i="60"/>
  <c r="L37" i="60"/>
  <c r="AF37" i="60"/>
  <c r="Y38" i="60"/>
  <c r="R39" i="60"/>
  <c r="K40" i="60"/>
  <c r="AE40" i="60"/>
  <c r="X41" i="60"/>
  <c r="X67" i="60" s="1"/>
  <c r="Q42" i="60"/>
  <c r="J43" i="60"/>
  <c r="AD43" i="60"/>
  <c r="W44" i="60"/>
  <c r="P45" i="60"/>
  <c r="I46" i="60"/>
  <c r="AC46" i="60"/>
  <c r="V47" i="60"/>
  <c r="O48" i="60"/>
  <c r="H49" i="60"/>
  <c r="U36" i="60"/>
  <c r="Y44" i="60"/>
  <c r="H38" i="60"/>
  <c r="AE49" i="60"/>
  <c r="N43" i="60"/>
  <c r="O31" i="60"/>
  <c r="H32" i="60"/>
  <c r="AB32" i="60"/>
  <c r="U33" i="60"/>
  <c r="N34" i="60"/>
  <c r="G35" i="60"/>
  <c r="AA35" i="60"/>
  <c r="T36" i="60"/>
  <c r="M37" i="60"/>
  <c r="F38" i="60"/>
  <c r="Z38" i="60"/>
  <c r="S39" i="60"/>
  <c r="L40" i="60"/>
  <c r="AF40" i="60"/>
  <c r="Y41" i="60"/>
  <c r="Y67" i="60" s="1"/>
  <c r="R42" i="60"/>
  <c r="K43" i="60"/>
  <c r="AE43" i="60"/>
  <c r="X44" i="60"/>
  <c r="Q45" i="60"/>
  <c r="J46" i="60"/>
  <c r="AD46" i="60"/>
  <c r="W47" i="60"/>
  <c r="P48" i="60"/>
  <c r="I49" i="60"/>
  <c r="AC49" i="60"/>
  <c r="V50" i="60"/>
  <c r="I32" i="60"/>
  <c r="Z41" i="60"/>
  <c r="Z67" i="60" s="1"/>
  <c r="E42" i="60"/>
  <c r="V36" i="60"/>
  <c r="AF46" i="60"/>
  <c r="Q34" i="60"/>
  <c r="Z47" i="60"/>
  <c r="B34" i="41"/>
  <c r="A37" i="55"/>
  <c r="A44" i="54"/>
  <c r="AJ21" i="54"/>
  <c r="A49" i="54"/>
  <c r="A50" i="54"/>
  <c r="A47" i="54"/>
  <c r="B21" i="54"/>
  <c r="B49" i="54" s="1"/>
  <c r="A46" i="54"/>
  <c r="B20" i="54"/>
  <c r="B48" i="54" s="1"/>
  <c r="AJ15" i="54"/>
  <c r="B19" i="54"/>
  <c r="B47" i="54" s="1"/>
  <c r="B18" i="54"/>
  <c r="B46" i="54" s="1"/>
  <c r="B17" i="54"/>
  <c r="B45" i="54" s="1"/>
  <c r="B16" i="54"/>
  <c r="B44" i="54" s="1"/>
  <c r="B15" i="54"/>
  <c r="B43" i="54" s="1"/>
  <c r="B14" i="54"/>
  <c r="B13" i="54"/>
  <c r="B41" i="54" s="1"/>
  <c r="B22" i="54"/>
  <c r="B50" i="54" s="1"/>
  <c r="B12" i="54"/>
  <c r="B40" i="54" s="1"/>
  <c r="AJ13" i="54"/>
  <c r="AJ12" i="54"/>
  <c r="F67" i="60" l="1"/>
  <c r="F95" i="60" s="1"/>
  <c r="AD108" i="60"/>
  <c r="AD88" i="60"/>
  <c r="AD128" i="60"/>
  <c r="AD148" i="60"/>
  <c r="AF116" i="60"/>
  <c r="AF156" i="60"/>
  <c r="AF136" i="60"/>
  <c r="AF96" i="60"/>
  <c r="AD151" i="60"/>
  <c r="AD131" i="60"/>
  <c r="AD111" i="60"/>
  <c r="AD91" i="60"/>
  <c r="AF162" i="60"/>
  <c r="AF142" i="60"/>
  <c r="AF102" i="60"/>
  <c r="AF122" i="60"/>
  <c r="J148" i="60"/>
  <c r="J128" i="60"/>
  <c r="J108" i="60"/>
  <c r="J88" i="60"/>
  <c r="L159" i="60"/>
  <c r="L139" i="60"/>
  <c r="L119" i="60"/>
  <c r="L99" i="60"/>
  <c r="U156" i="60"/>
  <c r="U136" i="60"/>
  <c r="U116" i="60"/>
  <c r="U96" i="60"/>
  <c r="L96" i="60"/>
  <c r="L156" i="60"/>
  <c r="L136" i="60"/>
  <c r="L116" i="60"/>
  <c r="M114" i="60"/>
  <c r="S185" i="62" s="1"/>
  <c r="M94" i="60"/>
  <c r="S86" i="62" s="1"/>
  <c r="M154" i="60"/>
  <c r="S383" i="62" s="1"/>
  <c r="M134" i="60"/>
  <c r="S284" i="62" s="1"/>
  <c r="Z151" i="60"/>
  <c r="Z131" i="60"/>
  <c r="Z111" i="60"/>
  <c r="Z91" i="60"/>
  <c r="U163" i="60"/>
  <c r="U143" i="60"/>
  <c r="U123" i="60"/>
  <c r="U103" i="60"/>
  <c r="Z148" i="60"/>
  <c r="Z128" i="60"/>
  <c r="Z108" i="60"/>
  <c r="Z88" i="60"/>
  <c r="U160" i="60"/>
  <c r="U140" i="60"/>
  <c r="U120" i="60"/>
  <c r="U100" i="60"/>
  <c r="Z145" i="60"/>
  <c r="Z125" i="60"/>
  <c r="Z105" i="60"/>
  <c r="Z85" i="60"/>
  <c r="V114" i="60"/>
  <c r="AB185" i="62" s="1"/>
  <c r="V94" i="60"/>
  <c r="AB86" i="62" s="1"/>
  <c r="V154" i="60"/>
  <c r="AB383" i="62" s="1"/>
  <c r="V134" i="60"/>
  <c r="AB284" i="62" s="1"/>
  <c r="R163" i="60"/>
  <c r="R143" i="60"/>
  <c r="R123" i="60"/>
  <c r="R103" i="60"/>
  <c r="W148" i="60"/>
  <c r="W128" i="60"/>
  <c r="W108" i="60"/>
  <c r="W88" i="60"/>
  <c r="S117" i="60"/>
  <c r="Y197" i="62" s="1"/>
  <c r="S157" i="60"/>
  <c r="Y395" i="62" s="1"/>
  <c r="S137" i="60"/>
  <c r="Y296" i="62" s="1"/>
  <c r="S97" i="60"/>
  <c r="Y98" i="62" s="1"/>
  <c r="AE120" i="60"/>
  <c r="AE100" i="60"/>
  <c r="AE160" i="60"/>
  <c r="AE140" i="60"/>
  <c r="T151" i="60"/>
  <c r="T131" i="60"/>
  <c r="T111" i="60"/>
  <c r="T91" i="60"/>
  <c r="W99" i="60"/>
  <c r="W159" i="60"/>
  <c r="W139" i="60"/>
  <c r="W119" i="60"/>
  <c r="E160" i="60"/>
  <c r="E100" i="60"/>
  <c r="E140" i="60"/>
  <c r="E120" i="60"/>
  <c r="Y150" i="60"/>
  <c r="Y130" i="60"/>
  <c r="Y110" i="60"/>
  <c r="Y90" i="60"/>
  <c r="AB158" i="60"/>
  <c r="AB138" i="60"/>
  <c r="AB118" i="60"/>
  <c r="AB98" i="60"/>
  <c r="O102" i="60"/>
  <c r="O162" i="60"/>
  <c r="O142" i="60"/>
  <c r="O122" i="60"/>
  <c r="AD146" i="60"/>
  <c r="AD126" i="60"/>
  <c r="AD106" i="60"/>
  <c r="AD86" i="60"/>
  <c r="AA86" i="60"/>
  <c r="AA126" i="60"/>
  <c r="AA146" i="60"/>
  <c r="AA106" i="60"/>
  <c r="AF160" i="60"/>
  <c r="AF140" i="60"/>
  <c r="AF120" i="60"/>
  <c r="AF100" i="60"/>
  <c r="S93" i="60"/>
  <c r="S153" i="60"/>
  <c r="S133" i="60"/>
  <c r="S113" i="60"/>
  <c r="AC100" i="60"/>
  <c r="AC160" i="60"/>
  <c r="AC140" i="60"/>
  <c r="AC120" i="60"/>
  <c r="G86" i="60"/>
  <c r="G146" i="60"/>
  <c r="G126" i="60"/>
  <c r="G106" i="60"/>
  <c r="I157" i="60"/>
  <c r="O395" i="62" s="1"/>
  <c r="I117" i="60"/>
  <c r="O197" i="62" s="1"/>
  <c r="I97" i="60"/>
  <c r="O98" i="62" s="1"/>
  <c r="I137" i="60"/>
  <c r="O296" i="62" s="1"/>
  <c r="Q145" i="60"/>
  <c r="Q125" i="60"/>
  <c r="Q105" i="60"/>
  <c r="Q85" i="60"/>
  <c r="J151" i="60"/>
  <c r="J131" i="60"/>
  <c r="J111" i="60"/>
  <c r="J91" i="60"/>
  <c r="L162" i="60"/>
  <c r="L142" i="60"/>
  <c r="L122" i="60"/>
  <c r="L102" i="60"/>
  <c r="Q147" i="60"/>
  <c r="Q127" i="60"/>
  <c r="Q107" i="60"/>
  <c r="Q87" i="60"/>
  <c r="S118" i="60"/>
  <c r="S138" i="60"/>
  <c r="S98" i="60"/>
  <c r="S158" i="60"/>
  <c r="K146" i="60"/>
  <c r="K126" i="60"/>
  <c r="K106" i="60"/>
  <c r="K86" i="60"/>
  <c r="S115" i="60"/>
  <c r="S95" i="60"/>
  <c r="S155" i="60"/>
  <c r="S135" i="60"/>
  <c r="E154" i="60"/>
  <c r="K383" i="62" s="1"/>
  <c r="E134" i="60"/>
  <c r="K284" i="62" s="1"/>
  <c r="E114" i="60"/>
  <c r="K185" i="62" s="1"/>
  <c r="E94" i="60"/>
  <c r="K86" i="62" s="1"/>
  <c r="F151" i="60"/>
  <c r="F131" i="60"/>
  <c r="F111" i="60"/>
  <c r="F91" i="60"/>
  <c r="AB162" i="60"/>
  <c r="AB142" i="60"/>
  <c r="AB122" i="60"/>
  <c r="AB102" i="60"/>
  <c r="F148" i="60"/>
  <c r="F128" i="60"/>
  <c r="F108" i="60"/>
  <c r="F88" i="60"/>
  <c r="AB159" i="60"/>
  <c r="AB139" i="60"/>
  <c r="AB119" i="60"/>
  <c r="AB99" i="60"/>
  <c r="F145" i="60"/>
  <c r="F125" i="60"/>
  <c r="F105" i="60"/>
  <c r="F85" i="60"/>
  <c r="AC133" i="60"/>
  <c r="AC113" i="60"/>
  <c r="AC93" i="60"/>
  <c r="AC153" i="60"/>
  <c r="Y162" i="60"/>
  <c r="Y142" i="60"/>
  <c r="Y102" i="60"/>
  <c r="Y122" i="60"/>
  <c r="AD147" i="60"/>
  <c r="AD127" i="60"/>
  <c r="AD87" i="60"/>
  <c r="AD107" i="60"/>
  <c r="Z116" i="60"/>
  <c r="Z96" i="60"/>
  <c r="Z156" i="60"/>
  <c r="Z136" i="60"/>
  <c r="E102" i="60"/>
  <c r="E122" i="60"/>
  <c r="E162" i="60"/>
  <c r="E142" i="60"/>
  <c r="AA90" i="60"/>
  <c r="AA150" i="60"/>
  <c r="AA130" i="60"/>
  <c r="AA110" i="60"/>
  <c r="AD118" i="60"/>
  <c r="AD98" i="60"/>
  <c r="AD138" i="60"/>
  <c r="AD158" i="60"/>
  <c r="AA164" i="60"/>
  <c r="AA144" i="60"/>
  <c r="AA124" i="60"/>
  <c r="AA104" i="60"/>
  <c r="AF149" i="60"/>
  <c r="AL371" i="62" s="1"/>
  <c r="AF129" i="60"/>
  <c r="AL272" i="62" s="1"/>
  <c r="AF89" i="60"/>
  <c r="AL74" i="62" s="1"/>
  <c r="AF109" i="60"/>
  <c r="AL173" i="62" s="1"/>
  <c r="H158" i="60"/>
  <c r="H138" i="60"/>
  <c r="H98" i="60"/>
  <c r="H118" i="60"/>
  <c r="Y163" i="60"/>
  <c r="Y143" i="60"/>
  <c r="Y123" i="60"/>
  <c r="Y103" i="60"/>
  <c r="L98" i="60"/>
  <c r="L158" i="60"/>
  <c r="L138" i="60"/>
  <c r="L118" i="60"/>
  <c r="M157" i="60"/>
  <c r="S395" i="62" s="1"/>
  <c r="M137" i="60"/>
  <c r="S296" i="62" s="1"/>
  <c r="M117" i="60"/>
  <c r="S197" i="62" s="1"/>
  <c r="M97" i="60"/>
  <c r="S98" i="62" s="1"/>
  <c r="V150" i="60"/>
  <c r="V130" i="60"/>
  <c r="V110" i="60"/>
  <c r="V90" i="60"/>
  <c r="Z92" i="60"/>
  <c r="Z152" i="60"/>
  <c r="Z132" i="60"/>
  <c r="Z112" i="60"/>
  <c r="I160" i="60"/>
  <c r="I140" i="60"/>
  <c r="I120" i="60"/>
  <c r="I100" i="60"/>
  <c r="N145" i="60"/>
  <c r="N125" i="60"/>
  <c r="N85" i="60"/>
  <c r="N105" i="60"/>
  <c r="P156" i="60"/>
  <c r="P136" i="60"/>
  <c r="P116" i="60"/>
  <c r="P96" i="60"/>
  <c r="L117" i="60"/>
  <c r="R197" i="62" s="1"/>
  <c r="L97" i="60"/>
  <c r="R98" i="62" s="1"/>
  <c r="L157" i="60"/>
  <c r="R395" i="62" s="1"/>
  <c r="L137" i="60"/>
  <c r="R296" i="62" s="1"/>
  <c r="Q150" i="60"/>
  <c r="Q130" i="60"/>
  <c r="Q110" i="60"/>
  <c r="Q90" i="60"/>
  <c r="S101" i="60"/>
  <c r="S161" i="60"/>
  <c r="S141" i="60"/>
  <c r="S121" i="60"/>
  <c r="X146" i="60"/>
  <c r="X126" i="60"/>
  <c r="X106" i="60"/>
  <c r="X86" i="60"/>
  <c r="Z137" i="60"/>
  <c r="AF296" i="62" s="1"/>
  <c r="Z117" i="60"/>
  <c r="AF197" i="62" s="1"/>
  <c r="Z97" i="60"/>
  <c r="AF98" i="62" s="1"/>
  <c r="Z157" i="60"/>
  <c r="AF395" i="62" s="1"/>
  <c r="S159" i="60"/>
  <c r="S139" i="60"/>
  <c r="S119" i="60"/>
  <c r="S99" i="60"/>
  <c r="Z154" i="60"/>
  <c r="AF383" i="62" s="1"/>
  <c r="Z134" i="60"/>
  <c r="AF284" i="62" s="1"/>
  <c r="Z94" i="60"/>
  <c r="AF86" i="62" s="1"/>
  <c r="Z114" i="60"/>
  <c r="AF185" i="62" s="1"/>
  <c r="E128" i="60"/>
  <c r="E108" i="60"/>
  <c r="E148" i="60"/>
  <c r="E88" i="60"/>
  <c r="M150" i="60"/>
  <c r="M130" i="60"/>
  <c r="M110" i="60"/>
  <c r="M90" i="60"/>
  <c r="H162" i="60"/>
  <c r="H142" i="60"/>
  <c r="H122" i="60"/>
  <c r="H102" i="60"/>
  <c r="M127" i="60"/>
  <c r="M107" i="60"/>
  <c r="M87" i="60"/>
  <c r="M147" i="60"/>
  <c r="H159" i="60"/>
  <c r="H139" i="60"/>
  <c r="H119" i="60"/>
  <c r="H99" i="60"/>
  <c r="E158" i="60"/>
  <c r="E138" i="60"/>
  <c r="E98" i="60"/>
  <c r="E118" i="60"/>
  <c r="I113" i="60"/>
  <c r="I153" i="60"/>
  <c r="I133" i="60"/>
  <c r="I93" i="60"/>
  <c r="AF161" i="60"/>
  <c r="AF141" i="60"/>
  <c r="AF101" i="60"/>
  <c r="AF121" i="60"/>
  <c r="J147" i="60"/>
  <c r="J127" i="60"/>
  <c r="J107" i="60"/>
  <c r="J87" i="60"/>
  <c r="F116" i="60"/>
  <c r="F156" i="60"/>
  <c r="F136" i="60"/>
  <c r="F96" i="60"/>
  <c r="AC144" i="60"/>
  <c r="AC104" i="60"/>
  <c r="AC124" i="60"/>
  <c r="AC164" i="60"/>
  <c r="G150" i="60"/>
  <c r="G130" i="60"/>
  <c r="G110" i="60"/>
  <c r="G90" i="60"/>
  <c r="J118" i="60"/>
  <c r="J138" i="60"/>
  <c r="J98" i="60"/>
  <c r="J158" i="60"/>
  <c r="G124" i="60"/>
  <c r="G164" i="60"/>
  <c r="G144" i="60"/>
  <c r="G104" i="60"/>
  <c r="L129" i="60"/>
  <c r="R272" i="62" s="1"/>
  <c r="L89" i="60"/>
  <c r="R74" i="62" s="1"/>
  <c r="L109" i="60"/>
  <c r="R173" i="62" s="1"/>
  <c r="L149" i="60"/>
  <c r="R371" i="62" s="1"/>
  <c r="O157" i="60"/>
  <c r="U395" i="62" s="1"/>
  <c r="O137" i="60"/>
  <c r="U296" i="62" s="1"/>
  <c r="O117" i="60"/>
  <c r="U197" i="62" s="1"/>
  <c r="O97" i="60"/>
  <c r="U98" i="62" s="1"/>
  <c r="R151" i="60"/>
  <c r="R131" i="60"/>
  <c r="R91" i="60"/>
  <c r="R111" i="60"/>
  <c r="Q148" i="60"/>
  <c r="Q128" i="60"/>
  <c r="Q108" i="60"/>
  <c r="Q88" i="60"/>
  <c r="E136" i="60"/>
  <c r="E96" i="60"/>
  <c r="E116" i="60"/>
  <c r="E156" i="60"/>
  <c r="F132" i="60"/>
  <c r="F112" i="60"/>
  <c r="F92" i="60"/>
  <c r="F152" i="60"/>
  <c r="P99" i="60"/>
  <c r="P159" i="60"/>
  <c r="P139" i="60"/>
  <c r="P119" i="60"/>
  <c r="T159" i="60"/>
  <c r="T139" i="60"/>
  <c r="T119" i="60"/>
  <c r="T99" i="60"/>
  <c r="W135" i="60"/>
  <c r="W115" i="60"/>
  <c r="W155" i="60"/>
  <c r="W95" i="60"/>
  <c r="O108" i="60"/>
  <c r="O88" i="60"/>
  <c r="O148" i="60"/>
  <c r="O128" i="60"/>
  <c r="X149" i="60"/>
  <c r="AD371" i="62" s="1"/>
  <c r="X129" i="60"/>
  <c r="AD272" i="62" s="1"/>
  <c r="X109" i="60"/>
  <c r="AD173" i="62" s="1"/>
  <c r="X89" i="60"/>
  <c r="AD74" i="62" s="1"/>
  <c r="Z100" i="60"/>
  <c r="Z120" i="60"/>
  <c r="Z160" i="60"/>
  <c r="Z140" i="60"/>
  <c r="AE145" i="60"/>
  <c r="AE85" i="60"/>
  <c r="AE125" i="60"/>
  <c r="AE105" i="60"/>
  <c r="F137" i="60"/>
  <c r="L296" i="62" s="1"/>
  <c r="F117" i="60"/>
  <c r="L197" i="62" s="1"/>
  <c r="F97" i="60"/>
  <c r="L98" i="62" s="1"/>
  <c r="P148" i="60"/>
  <c r="P128" i="60"/>
  <c r="P108" i="60"/>
  <c r="P88" i="60"/>
  <c r="F114" i="60"/>
  <c r="L185" i="62" s="1"/>
  <c r="F154" i="60"/>
  <c r="L383" i="62" s="1"/>
  <c r="F134" i="60"/>
  <c r="L284" i="62" s="1"/>
  <c r="F94" i="60"/>
  <c r="L86" i="62" s="1"/>
  <c r="O164" i="60"/>
  <c r="O104" i="60"/>
  <c r="O144" i="60"/>
  <c r="O124" i="60"/>
  <c r="T149" i="60"/>
  <c r="Z371" i="62" s="1"/>
  <c r="T129" i="60"/>
  <c r="Z272" i="62" s="1"/>
  <c r="T109" i="60"/>
  <c r="Z173" i="62" s="1"/>
  <c r="T89" i="60"/>
  <c r="Z74" i="62" s="1"/>
  <c r="O161" i="60"/>
  <c r="O141" i="60"/>
  <c r="O121" i="60"/>
  <c r="O101" i="60"/>
  <c r="T146" i="60"/>
  <c r="T126" i="60"/>
  <c r="T106" i="60"/>
  <c r="T86" i="60"/>
  <c r="O158" i="60"/>
  <c r="O138" i="60"/>
  <c r="O118" i="60"/>
  <c r="O98" i="60"/>
  <c r="V153" i="60"/>
  <c r="V133" i="60"/>
  <c r="V113" i="60"/>
  <c r="V93" i="60"/>
  <c r="P112" i="60"/>
  <c r="P92" i="60"/>
  <c r="P132" i="60"/>
  <c r="P152" i="60"/>
  <c r="L141" i="60"/>
  <c r="L121" i="60"/>
  <c r="L101" i="60"/>
  <c r="L161" i="60"/>
  <c r="Q146" i="60"/>
  <c r="Q126" i="60"/>
  <c r="Q86" i="60"/>
  <c r="Q106" i="60"/>
  <c r="M115" i="60"/>
  <c r="M155" i="60"/>
  <c r="M95" i="60"/>
  <c r="M135" i="60"/>
  <c r="I124" i="60"/>
  <c r="I104" i="60"/>
  <c r="I164" i="60"/>
  <c r="I144" i="60"/>
  <c r="N89" i="60"/>
  <c r="T74" i="62" s="1"/>
  <c r="N149" i="60"/>
  <c r="T371" i="62" s="1"/>
  <c r="N129" i="60"/>
  <c r="T272" i="62" s="1"/>
  <c r="N109" i="60"/>
  <c r="T173" i="62" s="1"/>
  <c r="Q117" i="60"/>
  <c r="W197" i="62" s="1"/>
  <c r="Q97" i="60"/>
  <c r="W98" i="62" s="1"/>
  <c r="Q157" i="60"/>
  <c r="W395" i="62" s="1"/>
  <c r="Q137" i="60"/>
  <c r="W296" i="62" s="1"/>
  <c r="N163" i="60"/>
  <c r="N143" i="60"/>
  <c r="N123" i="60"/>
  <c r="N103" i="60"/>
  <c r="S148" i="60"/>
  <c r="S128" i="60"/>
  <c r="S108" i="60"/>
  <c r="S88" i="60"/>
  <c r="V156" i="60"/>
  <c r="V136" i="60"/>
  <c r="V96" i="60"/>
  <c r="V116" i="60"/>
  <c r="S152" i="60"/>
  <c r="S132" i="60"/>
  <c r="S112" i="60"/>
  <c r="S92" i="60"/>
  <c r="AC137" i="60"/>
  <c r="AI296" i="62" s="1"/>
  <c r="AC97" i="60"/>
  <c r="AI98" i="62" s="1"/>
  <c r="AC117" i="60"/>
  <c r="AI197" i="62" s="1"/>
  <c r="AC157" i="60"/>
  <c r="AI395" i="62" s="1"/>
  <c r="Z135" i="60"/>
  <c r="Z115" i="60"/>
  <c r="Z155" i="60"/>
  <c r="Z95" i="60"/>
  <c r="M111" i="60"/>
  <c r="M151" i="60"/>
  <c r="M131" i="60"/>
  <c r="M91" i="60"/>
  <c r="W98" i="60"/>
  <c r="W138" i="60"/>
  <c r="W158" i="60"/>
  <c r="W118" i="60"/>
  <c r="AD149" i="60"/>
  <c r="AJ371" i="62" s="1"/>
  <c r="AD129" i="60"/>
  <c r="AJ272" i="62" s="1"/>
  <c r="AD89" i="60"/>
  <c r="AJ74" i="62" s="1"/>
  <c r="AD109" i="60"/>
  <c r="AJ173" i="62" s="1"/>
  <c r="AD154" i="60"/>
  <c r="AJ383" i="62" s="1"/>
  <c r="AD134" i="60"/>
  <c r="AJ284" i="62" s="1"/>
  <c r="AD114" i="60"/>
  <c r="AJ185" i="62" s="1"/>
  <c r="AD94" i="60"/>
  <c r="AJ86" i="62" s="1"/>
  <c r="Z163" i="60"/>
  <c r="Z143" i="60"/>
  <c r="Z123" i="60"/>
  <c r="Z103" i="60"/>
  <c r="AE128" i="60"/>
  <c r="AE108" i="60"/>
  <c r="AE88" i="60"/>
  <c r="AE148" i="60"/>
  <c r="F160" i="60"/>
  <c r="F140" i="60"/>
  <c r="F120" i="60"/>
  <c r="F100" i="60"/>
  <c r="K105" i="60"/>
  <c r="K85" i="60"/>
  <c r="K145" i="60"/>
  <c r="K125" i="60"/>
  <c r="M156" i="60"/>
  <c r="M136" i="60"/>
  <c r="M116" i="60"/>
  <c r="M96" i="60"/>
  <c r="K100" i="60"/>
  <c r="K160" i="60"/>
  <c r="K140" i="60"/>
  <c r="K120" i="60"/>
  <c r="M113" i="60"/>
  <c r="M153" i="60"/>
  <c r="M133" i="60"/>
  <c r="M93" i="60"/>
  <c r="V163" i="60"/>
  <c r="V143" i="60"/>
  <c r="V123" i="60"/>
  <c r="V103" i="60"/>
  <c r="AA148" i="60"/>
  <c r="AA128" i="60"/>
  <c r="AA108" i="60"/>
  <c r="AA88" i="60"/>
  <c r="V160" i="60"/>
  <c r="V140" i="60"/>
  <c r="V120" i="60"/>
  <c r="V100" i="60"/>
  <c r="AA145" i="60"/>
  <c r="AA125" i="60"/>
  <c r="AA105" i="60"/>
  <c r="AA85" i="60"/>
  <c r="V157" i="60"/>
  <c r="AB395" i="62" s="1"/>
  <c r="V137" i="60"/>
  <c r="AB296" i="62" s="1"/>
  <c r="V117" i="60"/>
  <c r="AB197" i="62" s="1"/>
  <c r="V97" i="60"/>
  <c r="AB98" i="62" s="1"/>
  <c r="T136" i="60"/>
  <c r="T116" i="60"/>
  <c r="T96" i="60"/>
  <c r="T156" i="60"/>
  <c r="W111" i="60"/>
  <c r="W151" i="60"/>
  <c r="W131" i="60"/>
  <c r="W91" i="60"/>
  <c r="S160" i="60"/>
  <c r="S140" i="60"/>
  <c r="S100" i="60"/>
  <c r="S120" i="60"/>
  <c r="X125" i="60"/>
  <c r="X85" i="60"/>
  <c r="X105" i="60"/>
  <c r="X145" i="60"/>
  <c r="T114" i="60"/>
  <c r="Z185" i="62" s="1"/>
  <c r="T154" i="60"/>
  <c r="Z383" i="62" s="1"/>
  <c r="T134" i="60"/>
  <c r="Z284" i="62" s="1"/>
  <c r="T94" i="60"/>
  <c r="Z86" i="62" s="1"/>
  <c r="P163" i="60"/>
  <c r="P143" i="60"/>
  <c r="P123" i="60"/>
  <c r="P103" i="60"/>
  <c r="U128" i="60"/>
  <c r="U108" i="60"/>
  <c r="U88" i="60"/>
  <c r="U148" i="60"/>
  <c r="X96" i="60"/>
  <c r="X156" i="60"/>
  <c r="X116" i="60"/>
  <c r="X136" i="60"/>
  <c r="U122" i="60"/>
  <c r="U162" i="60"/>
  <c r="U142" i="60"/>
  <c r="U102" i="60"/>
  <c r="Z147" i="60"/>
  <c r="Z127" i="60"/>
  <c r="Z107" i="60"/>
  <c r="Z87" i="60"/>
  <c r="AC135" i="60"/>
  <c r="AC155" i="60"/>
  <c r="AC95" i="60"/>
  <c r="AC115" i="60"/>
  <c r="T87" i="60"/>
  <c r="T147" i="60"/>
  <c r="T127" i="60"/>
  <c r="T107" i="60"/>
  <c r="U99" i="60"/>
  <c r="U119" i="60"/>
  <c r="U159" i="60"/>
  <c r="U139" i="60"/>
  <c r="L94" i="60"/>
  <c r="R86" i="62" s="1"/>
  <c r="L154" i="60"/>
  <c r="R383" i="62" s="1"/>
  <c r="L134" i="60"/>
  <c r="R284" i="62" s="1"/>
  <c r="L114" i="60"/>
  <c r="R185" i="62" s="1"/>
  <c r="I126" i="60"/>
  <c r="I86" i="60"/>
  <c r="I146" i="60"/>
  <c r="I106" i="60"/>
  <c r="T150" i="60"/>
  <c r="T110" i="60"/>
  <c r="T90" i="60"/>
  <c r="T130" i="60"/>
  <c r="AD97" i="60"/>
  <c r="AJ98" i="62" s="1"/>
  <c r="AD157" i="60"/>
  <c r="AJ395" i="62" s="1"/>
  <c r="AD137" i="60"/>
  <c r="AJ296" i="62" s="1"/>
  <c r="AD117" i="60"/>
  <c r="AJ197" i="62" s="1"/>
  <c r="O131" i="60"/>
  <c r="O151" i="60"/>
  <c r="O111" i="60"/>
  <c r="O91" i="60"/>
  <c r="J94" i="60"/>
  <c r="P86" i="62" s="1"/>
  <c r="J154" i="60"/>
  <c r="P383" i="62" s="1"/>
  <c r="J134" i="60"/>
  <c r="P284" i="62" s="1"/>
  <c r="J114" i="60"/>
  <c r="P185" i="62" s="1"/>
  <c r="F143" i="60"/>
  <c r="F163" i="60"/>
  <c r="F103" i="60"/>
  <c r="F123" i="60"/>
  <c r="K148" i="60"/>
  <c r="K128" i="60"/>
  <c r="K108" i="60"/>
  <c r="K88" i="60"/>
  <c r="M159" i="60"/>
  <c r="M139" i="60"/>
  <c r="M119" i="60"/>
  <c r="M99" i="60"/>
  <c r="F161" i="60"/>
  <c r="F141" i="60"/>
  <c r="F121" i="60"/>
  <c r="F101" i="60"/>
  <c r="T115" i="60"/>
  <c r="T155" i="60"/>
  <c r="T95" i="60"/>
  <c r="T135" i="60"/>
  <c r="G112" i="60"/>
  <c r="G92" i="60"/>
  <c r="G152" i="60"/>
  <c r="G132" i="60"/>
  <c r="T112" i="60"/>
  <c r="T152" i="60"/>
  <c r="T132" i="60"/>
  <c r="T92" i="60"/>
  <c r="AC162" i="60"/>
  <c r="AC142" i="60"/>
  <c r="AC102" i="60"/>
  <c r="AC122" i="60"/>
  <c r="G148" i="60"/>
  <c r="G128" i="60"/>
  <c r="G108" i="60"/>
  <c r="G88" i="60"/>
  <c r="AC159" i="60"/>
  <c r="AC139" i="60"/>
  <c r="AC99" i="60"/>
  <c r="AC119" i="60"/>
  <c r="G145" i="60"/>
  <c r="G125" i="60"/>
  <c r="G105" i="60"/>
  <c r="G85" i="60"/>
  <c r="AC156" i="60"/>
  <c r="AC136" i="60"/>
  <c r="AC116" i="60"/>
  <c r="AC96" i="60"/>
  <c r="Q122" i="60"/>
  <c r="Q102" i="60"/>
  <c r="Q162" i="60"/>
  <c r="Q142" i="60"/>
  <c r="AD110" i="60"/>
  <c r="AD90" i="60"/>
  <c r="AD150" i="60"/>
  <c r="AD130" i="60"/>
  <c r="Z159" i="60"/>
  <c r="Z139" i="60"/>
  <c r="Z119" i="60"/>
  <c r="Z99" i="60"/>
  <c r="Y164" i="60"/>
  <c r="Y144" i="60"/>
  <c r="Y124" i="60"/>
  <c r="Y104" i="60"/>
  <c r="AA93" i="60"/>
  <c r="AA133" i="60"/>
  <c r="AA153" i="60"/>
  <c r="AA113" i="60"/>
  <c r="W102" i="60"/>
  <c r="W122" i="60"/>
  <c r="W162" i="60"/>
  <c r="W142" i="60"/>
  <c r="AB87" i="60"/>
  <c r="AB147" i="60"/>
  <c r="AB127" i="60"/>
  <c r="AB107" i="60"/>
  <c r="AE95" i="60"/>
  <c r="AE115" i="60"/>
  <c r="AE155" i="60"/>
  <c r="AE135" i="60"/>
  <c r="AB141" i="60"/>
  <c r="AB121" i="60"/>
  <c r="AB101" i="60"/>
  <c r="AB161" i="60"/>
  <c r="F147" i="60"/>
  <c r="F127" i="60"/>
  <c r="F107" i="60"/>
  <c r="F87" i="60"/>
  <c r="I155" i="60"/>
  <c r="I135" i="60"/>
  <c r="I115" i="60"/>
  <c r="I95" i="60"/>
  <c r="P151" i="60"/>
  <c r="P131" i="60"/>
  <c r="P111" i="60"/>
  <c r="P91" i="60"/>
  <c r="N161" i="60"/>
  <c r="N141" i="60"/>
  <c r="N121" i="60"/>
  <c r="N101" i="60"/>
  <c r="V141" i="60"/>
  <c r="V121" i="60"/>
  <c r="V161" i="60"/>
  <c r="V101" i="60"/>
  <c r="V104" i="60"/>
  <c r="V164" i="60"/>
  <c r="V144" i="60"/>
  <c r="V124" i="60"/>
  <c r="AA89" i="60"/>
  <c r="AG74" i="62" s="1"/>
  <c r="AA149" i="60"/>
  <c r="AG371" i="62" s="1"/>
  <c r="AA129" i="60"/>
  <c r="AG272" i="62" s="1"/>
  <c r="AA109" i="60"/>
  <c r="AG173" i="62" s="1"/>
  <c r="J97" i="60"/>
  <c r="P98" i="62" s="1"/>
  <c r="J157" i="60"/>
  <c r="P395" i="62" s="1"/>
  <c r="J137" i="60"/>
  <c r="P296" i="62" s="1"/>
  <c r="J117" i="60"/>
  <c r="P197" i="62" s="1"/>
  <c r="W124" i="60"/>
  <c r="W104" i="60"/>
  <c r="W164" i="60"/>
  <c r="W144" i="60"/>
  <c r="Q133" i="60"/>
  <c r="Q153" i="60"/>
  <c r="Q113" i="60"/>
  <c r="Q93" i="60"/>
  <c r="M162" i="60"/>
  <c r="M142" i="60"/>
  <c r="M122" i="60"/>
  <c r="M102" i="60"/>
  <c r="R147" i="60"/>
  <c r="R127" i="60"/>
  <c r="R107" i="60"/>
  <c r="R87" i="60"/>
  <c r="T158" i="60"/>
  <c r="T138" i="60"/>
  <c r="T118" i="60"/>
  <c r="T98" i="60"/>
  <c r="X147" i="60"/>
  <c r="X127" i="60"/>
  <c r="X107" i="60"/>
  <c r="X87" i="60"/>
  <c r="AA154" i="60"/>
  <c r="AG383" i="62" s="1"/>
  <c r="AA134" i="60"/>
  <c r="AG284" i="62" s="1"/>
  <c r="AA114" i="60"/>
  <c r="AG185" i="62" s="1"/>
  <c r="AA94" i="60"/>
  <c r="AG86" i="62" s="1"/>
  <c r="H109" i="60"/>
  <c r="N173" i="62" s="1"/>
  <c r="H89" i="60"/>
  <c r="N74" i="62" s="1"/>
  <c r="H149" i="60"/>
  <c r="N371" i="62" s="1"/>
  <c r="H129" i="60"/>
  <c r="N272" i="62" s="1"/>
  <c r="AA91" i="60"/>
  <c r="AA151" i="60"/>
  <c r="AA111" i="60"/>
  <c r="AA131" i="60"/>
  <c r="I162" i="60"/>
  <c r="I142" i="60"/>
  <c r="I122" i="60"/>
  <c r="I102" i="60"/>
  <c r="N147" i="60"/>
  <c r="N127" i="60"/>
  <c r="N107" i="60"/>
  <c r="N87" i="60"/>
  <c r="I139" i="60"/>
  <c r="I119" i="60"/>
  <c r="I99" i="60"/>
  <c r="I159" i="60"/>
  <c r="M160" i="60"/>
  <c r="M140" i="60"/>
  <c r="M120" i="60"/>
  <c r="M100" i="60"/>
  <c r="I156" i="60"/>
  <c r="I136" i="60"/>
  <c r="I116" i="60"/>
  <c r="I96" i="60"/>
  <c r="AF104" i="60"/>
  <c r="AF164" i="60"/>
  <c r="AF144" i="60"/>
  <c r="AF124" i="60"/>
  <c r="J90" i="60"/>
  <c r="J110" i="60"/>
  <c r="J150" i="60"/>
  <c r="J130" i="60"/>
  <c r="F159" i="60"/>
  <c r="F139" i="60"/>
  <c r="F119" i="60"/>
  <c r="F99" i="60"/>
  <c r="AE146" i="60"/>
  <c r="AE86" i="60"/>
  <c r="AE126" i="60"/>
  <c r="AE106" i="60"/>
  <c r="G113" i="60"/>
  <c r="G153" i="60"/>
  <c r="G133" i="60"/>
  <c r="G93" i="60"/>
  <c r="AD161" i="60"/>
  <c r="AD141" i="60"/>
  <c r="AD101" i="60"/>
  <c r="AD121" i="60"/>
  <c r="H147" i="60"/>
  <c r="H127" i="60"/>
  <c r="H107" i="60"/>
  <c r="H87" i="60"/>
  <c r="K155" i="60"/>
  <c r="K95" i="60"/>
  <c r="K135" i="60"/>
  <c r="K115" i="60"/>
  <c r="H121" i="60"/>
  <c r="H161" i="60"/>
  <c r="H141" i="60"/>
  <c r="H101" i="60"/>
  <c r="M146" i="60"/>
  <c r="M126" i="60"/>
  <c r="M86" i="60"/>
  <c r="M106" i="60"/>
  <c r="P114" i="60"/>
  <c r="V185" i="62" s="1"/>
  <c r="P94" i="60"/>
  <c r="V86" i="62" s="1"/>
  <c r="P154" i="60"/>
  <c r="V383" i="62" s="1"/>
  <c r="P134" i="60"/>
  <c r="V284" i="62" s="1"/>
  <c r="P129" i="60"/>
  <c r="V272" i="62" s="1"/>
  <c r="P89" i="60"/>
  <c r="V74" i="62" s="1"/>
  <c r="P109" i="60"/>
  <c r="V173" i="62" s="1"/>
  <c r="P149" i="60"/>
  <c r="V371" i="62" s="1"/>
  <c r="AC103" i="60"/>
  <c r="AC163" i="60"/>
  <c r="AC143" i="60"/>
  <c r="AC123" i="60"/>
  <c r="G89" i="60"/>
  <c r="M74" i="62" s="1"/>
  <c r="G149" i="60"/>
  <c r="M371" i="62" s="1"/>
  <c r="G129" i="60"/>
  <c r="M272" i="62" s="1"/>
  <c r="G109" i="60"/>
  <c r="M173" i="62" s="1"/>
  <c r="Q156" i="60"/>
  <c r="Q136" i="60"/>
  <c r="Q116" i="60"/>
  <c r="Q96" i="60"/>
  <c r="F115" i="60"/>
  <c r="F135" i="60"/>
  <c r="F155" i="60"/>
  <c r="X152" i="60"/>
  <c r="X112" i="60"/>
  <c r="X132" i="60"/>
  <c r="X92" i="60"/>
  <c r="T161" i="60"/>
  <c r="T141" i="60"/>
  <c r="T121" i="60"/>
  <c r="T101" i="60"/>
  <c r="Y146" i="60"/>
  <c r="Y126" i="60"/>
  <c r="Y106" i="60"/>
  <c r="Y86" i="60"/>
  <c r="AA97" i="60"/>
  <c r="AG98" i="62" s="1"/>
  <c r="AA157" i="60"/>
  <c r="AG395" i="62" s="1"/>
  <c r="AA137" i="60"/>
  <c r="AG296" i="62" s="1"/>
  <c r="AA117" i="60"/>
  <c r="AG197" i="62" s="1"/>
  <c r="L160" i="60"/>
  <c r="L140" i="60"/>
  <c r="L120" i="60"/>
  <c r="L100" i="60"/>
  <c r="G114" i="60"/>
  <c r="M185" i="62" s="1"/>
  <c r="G94" i="60"/>
  <c r="M86" i="62" s="1"/>
  <c r="G154" i="60"/>
  <c r="M383" i="62" s="1"/>
  <c r="G134" i="60"/>
  <c r="M284" i="62" s="1"/>
  <c r="E130" i="60"/>
  <c r="E110" i="60"/>
  <c r="E90" i="60"/>
  <c r="E150" i="60"/>
  <c r="G151" i="60"/>
  <c r="G111" i="60"/>
  <c r="G131" i="60"/>
  <c r="G91" i="60"/>
  <c r="P161" i="60"/>
  <c r="P141" i="60"/>
  <c r="P121" i="60"/>
  <c r="P101" i="60"/>
  <c r="U146" i="60"/>
  <c r="U126" i="60"/>
  <c r="U106" i="60"/>
  <c r="U86" i="60"/>
  <c r="P158" i="60"/>
  <c r="P138" i="60"/>
  <c r="P118" i="60"/>
  <c r="P98" i="60"/>
  <c r="J149" i="60"/>
  <c r="P371" i="62" s="1"/>
  <c r="J129" i="60"/>
  <c r="P272" i="62" s="1"/>
  <c r="J109" i="60"/>
  <c r="P173" i="62" s="1"/>
  <c r="J89" i="60"/>
  <c r="P74" i="62" s="1"/>
  <c r="P115" i="60"/>
  <c r="P155" i="60"/>
  <c r="P95" i="60"/>
  <c r="P135" i="60"/>
  <c r="L124" i="60"/>
  <c r="L104" i="60"/>
  <c r="L144" i="60"/>
  <c r="L164" i="60"/>
  <c r="Q109" i="60"/>
  <c r="W173" i="62" s="1"/>
  <c r="Q89" i="60"/>
  <c r="W74" i="62" s="1"/>
  <c r="Q149" i="60"/>
  <c r="W371" i="62" s="1"/>
  <c r="Q129" i="60"/>
  <c r="W272" i="62" s="1"/>
  <c r="M158" i="60"/>
  <c r="M138" i="60"/>
  <c r="M98" i="60"/>
  <c r="M118" i="60"/>
  <c r="W127" i="60"/>
  <c r="W147" i="60"/>
  <c r="W107" i="60"/>
  <c r="W87" i="60"/>
  <c r="N112" i="60"/>
  <c r="N92" i="60"/>
  <c r="N152" i="60"/>
  <c r="N132" i="60"/>
  <c r="J101" i="60"/>
  <c r="J161" i="60"/>
  <c r="J141" i="60"/>
  <c r="J121" i="60"/>
  <c r="O86" i="60"/>
  <c r="O146" i="60"/>
  <c r="O126" i="60"/>
  <c r="O106" i="60"/>
  <c r="R114" i="60"/>
  <c r="X185" i="62" s="1"/>
  <c r="R94" i="60"/>
  <c r="X86" i="62" s="1"/>
  <c r="R154" i="60"/>
  <c r="X383" i="62" s="1"/>
  <c r="R134" i="60"/>
  <c r="X284" i="62" s="1"/>
  <c r="O160" i="60"/>
  <c r="O140" i="60"/>
  <c r="O120" i="60"/>
  <c r="O100" i="60"/>
  <c r="T125" i="60"/>
  <c r="T85" i="60"/>
  <c r="T105" i="60"/>
  <c r="T145" i="60"/>
  <c r="W153" i="60"/>
  <c r="W133" i="60"/>
  <c r="W93" i="60"/>
  <c r="W113" i="60"/>
  <c r="W92" i="60"/>
  <c r="W132" i="60"/>
  <c r="W112" i="60"/>
  <c r="W152" i="60"/>
  <c r="N144" i="60"/>
  <c r="N124" i="60"/>
  <c r="N104" i="60"/>
  <c r="N164" i="60"/>
  <c r="I103" i="60"/>
  <c r="I163" i="60"/>
  <c r="I143" i="60"/>
  <c r="I123" i="60"/>
  <c r="N128" i="60"/>
  <c r="N108" i="60"/>
  <c r="N148" i="60"/>
  <c r="N88" i="60"/>
  <c r="X135" i="60"/>
  <c r="X115" i="60"/>
  <c r="X155" i="60"/>
  <c r="X95" i="60"/>
  <c r="AC106" i="60"/>
  <c r="AC86" i="60"/>
  <c r="AC146" i="60"/>
  <c r="AC126" i="60"/>
  <c r="AE91" i="60"/>
  <c r="AE111" i="60"/>
  <c r="AE131" i="60"/>
  <c r="AE151" i="60"/>
  <c r="AA140" i="60"/>
  <c r="AA100" i="60"/>
  <c r="AA120" i="60"/>
  <c r="AA160" i="60"/>
  <c r="AF145" i="60"/>
  <c r="AF125" i="60"/>
  <c r="AF105" i="60"/>
  <c r="AF85" i="60"/>
  <c r="G117" i="60"/>
  <c r="M197" i="62" s="1"/>
  <c r="G97" i="60"/>
  <c r="M98" i="62" s="1"/>
  <c r="G157" i="60"/>
  <c r="M395" i="62" s="1"/>
  <c r="G137" i="60"/>
  <c r="M296" i="62" s="1"/>
  <c r="AC89" i="60"/>
  <c r="AI74" i="62" s="1"/>
  <c r="AC129" i="60"/>
  <c r="AI272" i="62" s="1"/>
  <c r="AC149" i="60"/>
  <c r="AI371" i="62" s="1"/>
  <c r="AC109" i="60"/>
  <c r="AI173" i="62" s="1"/>
  <c r="N133" i="60"/>
  <c r="N113" i="60"/>
  <c r="N93" i="60"/>
  <c r="N153" i="60"/>
  <c r="E149" i="60"/>
  <c r="K371" i="62" s="1"/>
  <c r="E129" i="60"/>
  <c r="K272" i="62" s="1"/>
  <c r="E109" i="60"/>
  <c r="K173" i="62" s="1"/>
  <c r="E89" i="60"/>
  <c r="K74" i="62" s="1"/>
  <c r="N110" i="60"/>
  <c r="N150" i="60"/>
  <c r="N130" i="60"/>
  <c r="N90" i="60"/>
  <c r="W160" i="60"/>
  <c r="W100" i="60"/>
  <c r="W120" i="60"/>
  <c r="W140" i="60"/>
  <c r="AB145" i="60"/>
  <c r="AB125" i="60"/>
  <c r="AB105" i="60"/>
  <c r="AB85" i="60"/>
  <c r="W157" i="60"/>
  <c r="AC395" i="62" s="1"/>
  <c r="W137" i="60"/>
  <c r="AC296" i="62" s="1"/>
  <c r="W117" i="60"/>
  <c r="AC197" i="62" s="1"/>
  <c r="W97" i="60"/>
  <c r="AC98" i="62" s="1"/>
  <c r="Y161" i="60"/>
  <c r="Y141" i="60"/>
  <c r="Y121" i="60"/>
  <c r="Y101" i="60"/>
  <c r="W154" i="60"/>
  <c r="AC383" i="62" s="1"/>
  <c r="W134" i="60"/>
  <c r="AC284" i="62" s="1"/>
  <c r="W114" i="60"/>
  <c r="AC185" i="62" s="1"/>
  <c r="W94" i="60"/>
  <c r="AC86" i="62" s="1"/>
  <c r="S163" i="60"/>
  <c r="S143" i="60"/>
  <c r="S123" i="60"/>
  <c r="S103" i="60"/>
  <c r="X108" i="60"/>
  <c r="X148" i="60"/>
  <c r="X128" i="60"/>
  <c r="X88" i="60"/>
  <c r="T137" i="60"/>
  <c r="Z296" i="62" s="1"/>
  <c r="T117" i="60"/>
  <c r="Z197" i="62" s="1"/>
  <c r="T97" i="60"/>
  <c r="Z98" i="62" s="1"/>
  <c r="T157" i="60"/>
  <c r="Z395" i="62" s="1"/>
  <c r="E145" i="60"/>
  <c r="E105" i="60"/>
  <c r="E125" i="60"/>
  <c r="E85" i="60"/>
  <c r="U111" i="60"/>
  <c r="U151" i="60"/>
  <c r="U131" i="60"/>
  <c r="U91" i="60"/>
  <c r="Q160" i="60"/>
  <c r="Q140" i="60"/>
  <c r="Q100" i="60"/>
  <c r="Q120" i="60"/>
  <c r="V145" i="60"/>
  <c r="V125" i="60"/>
  <c r="V105" i="60"/>
  <c r="V85" i="60"/>
  <c r="Y93" i="60"/>
  <c r="Y153" i="60"/>
  <c r="Y113" i="60"/>
  <c r="Y133" i="60"/>
  <c r="V159" i="60"/>
  <c r="V139" i="60"/>
  <c r="V119" i="60"/>
  <c r="V99" i="60"/>
  <c r="H155" i="60"/>
  <c r="H135" i="60"/>
  <c r="H115" i="60"/>
  <c r="H95" i="60"/>
  <c r="AD152" i="60"/>
  <c r="AD132" i="60"/>
  <c r="AD112" i="60"/>
  <c r="AD92" i="60"/>
  <c r="AF94" i="60"/>
  <c r="AL86" i="62" s="1"/>
  <c r="AF154" i="60"/>
  <c r="AL383" i="62" s="1"/>
  <c r="AF134" i="60"/>
  <c r="AL284" i="62" s="1"/>
  <c r="AF114" i="60"/>
  <c r="AL185" i="62" s="1"/>
  <c r="U153" i="60"/>
  <c r="U133" i="60"/>
  <c r="U113" i="60"/>
  <c r="U93" i="60"/>
  <c r="P102" i="60"/>
  <c r="P122" i="60"/>
  <c r="P142" i="60"/>
  <c r="P162" i="60"/>
  <c r="U147" i="60"/>
  <c r="U87" i="60"/>
  <c r="U127" i="60"/>
  <c r="U107" i="60"/>
  <c r="AE94" i="60"/>
  <c r="AK86" i="62" s="1"/>
  <c r="AE154" i="60"/>
  <c r="AK383" i="62" s="1"/>
  <c r="AE134" i="60"/>
  <c r="AK284" i="62" s="1"/>
  <c r="AE114" i="60"/>
  <c r="AK185" i="62" s="1"/>
  <c r="AB163" i="60"/>
  <c r="AB143" i="60"/>
  <c r="AB123" i="60"/>
  <c r="AB103" i="60"/>
  <c r="K151" i="60"/>
  <c r="K131" i="60"/>
  <c r="K111" i="60"/>
  <c r="K91" i="60"/>
  <c r="G160" i="60"/>
  <c r="G140" i="60"/>
  <c r="G120" i="60"/>
  <c r="G100" i="60"/>
  <c r="L125" i="60"/>
  <c r="L85" i="60"/>
  <c r="L105" i="60"/>
  <c r="L145" i="60"/>
  <c r="N156" i="60"/>
  <c r="N136" i="60"/>
  <c r="N116" i="60"/>
  <c r="N96" i="60"/>
  <c r="X121" i="60"/>
  <c r="X101" i="60"/>
  <c r="X161" i="60"/>
  <c r="X141" i="60"/>
  <c r="U152" i="60"/>
  <c r="U132" i="60"/>
  <c r="U112" i="60"/>
  <c r="U92" i="60"/>
  <c r="P164" i="60"/>
  <c r="P144" i="60"/>
  <c r="P104" i="60"/>
  <c r="P124" i="60"/>
  <c r="U109" i="60"/>
  <c r="AA173" i="62" s="1"/>
  <c r="U149" i="60"/>
  <c r="AA371" i="62" s="1"/>
  <c r="U129" i="60"/>
  <c r="AA272" i="62" s="1"/>
  <c r="U89" i="60"/>
  <c r="AA74" i="62" s="1"/>
  <c r="AD159" i="60"/>
  <c r="AD139" i="60"/>
  <c r="AD119" i="60"/>
  <c r="AD99" i="60"/>
  <c r="H145" i="60"/>
  <c r="H125" i="60"/>
  <c r="H105" i="60"/>
  <c r="H85" i="60"/>
  <c r="AD156" i="60"/>
  <c r="AD136" i="60"/>
  <c r="AD116" i="60"/>
  <c r="AD96" i="60"/>
  <c r="G95" i="60"/>
  <c r="G155" i="60"/>
  <c r="G135" i="60"/>
  <c r="G115" i="60"/>
  <c r="AD153" i="60"/>
  <c r="AD133" i="60"/>
  <c r="AD113" i="60"/>
  <c r="AD93" i="60"/>
  <c r="Z102" i="60"/>
  <c r="Z122" i="60"/>
  <c r="Z162" i="60"/>
  <c r="Z142" i="60"/>
  <c r="AE107" i="60"/>
  <c r="AE87" i="60"/>
  <c r="AE147" i="60"/>
  <c r="AE127" i="60"/>
  <c r="AA156" i="60"/>
  <c r="AA136" i="60"/>
  <c r="AA96" i="60"/>
  <c r="AA116" i="60"/>
  <c r="E103" i="60"/>
  <c r="E123" i="60"/>
  <c r="E163" i="60"/>
  <c r="E143" i="60"/>
  <c r="AB110" i="60"/>
  <c r="AB90" i="60"/>
  <c r="AB150" i="60"/>
  <c r="AB130" i="60"/>
  <c r="X99" i="60"/>
  <c r="X159" i="60"/>
  <c r="X139" i="60"/>
  <c r="X119" i="60"/>
  <c r="AB135" i="60"/>
  <c r="AB115" i="60"/>
  <c r="AB155" i="60"/>
  <c r="AB95" i="60"/>
  <c r="AF152" i="60"/>
  <c r="AF132" i="60"/>
  <c r="AF112" i="60"/>
  <c r="AF92" i="60"/>
  <c r="AC158" i="60"/>
  <c r="AC138" i="60"/>
  <c r="AC118" i="60"/>
  <c r="AC98" i="60"/>
  <c r="K163" i="60"/>
  <c r="K143" i="60"/>
  <c r="K103" i="60"/>
  <c r="K123" i="60"/>
  <c r="J152" i="60"/>
  <c r="J132" i="60"/>
  <c r="J92" i="60"/>
  <c r="J112" i="60"/>
  <c r="S149" i="60"/>
  <c r="Y371" i="62" s="1"/>
  <c r="S129" i="60"/>
  <c r="Y272" i="62" s="1"/>
  <c r="S109" i="60"/>
  <c r="Y173" i="62" s="1"/>
  <c r="S89" i="60"/>
  <c r="Y74" i="62" s="1"/>
  <c r="W101" i="60"/>
  <c r="W161" i="60"/>
  <c r="W141" i="60"/>
  <c r="W121" i="60"/>
  <c r="AB126" i="60"/>
  <c r="AB106" i="60"/>
  <c r="AB146" i="60"/>
  <c r="AB86" i="60"/>
  <c r="K94" i="60"/>
  <c r="Q86" i="62" s="1"/>
  <c r="K134" i="60"/>
  <c r="Q284" i="62" s="1"/>
  <c r="K154" i="60"/>
  <c r="Q383" i="62" s="1"/>
  <c r="K114" i="60"/>
  <c r="Q185" i="62" s="1"/>
  <c r="E93" i="60"/>
  <c r="E113" i="60"/>
  <c r="E153" i="60"/>
  <c r="E133" i="60"/>
  <c r="R90" i="60"/>
  <c r="R150" i="60"/>
  <c r="R130" i="60"/>
  <c r="R110" i="60"/>
  <c r="N159" i="60"/>
  <c r="N139" i="60"/>
  <c r="N119" i="60"/>
  <c r="N99" i="60"/>
  <c r="G158" i="60"/>
  <c r="G138" i="60"/>
  <c r="G118" i="60"/>
  <c r="G98" i="60"/>
  <c r="U135" i="60"/>
  <c r="U95" i="60"/>
  <c r="U155" i="60"/>
  <c r="U115" i="60"/>
  <c r="T133" i="60"/>
  <c r="T113" i="60"/>
  <c r="T93" i="60"/>
  <c r="T153" i="60"/>
  <c r="AB151" i="60"/>
  <c r="AB131" i="60"/>
  <c r="AB111" i="60"/>
  <c r="AB91" i="60"/>
  <c r="W103" i="60"/>
  <c r="W123" i="60"/>
  <c r="W143" i="60"/>
  <c r="W163" i="60"/>
  <c r="AB108" i="60"/>
  <c r="AB148" i="60"/>
  <c r="AB128" i="60"/>
  <c r="AB88" i="60"/>
  <c r="J159" i="60"/>
  <c r="J139" i="60"/>
  <c r="J119" i="60"/>
  <c r="J99" i="60"/>
  <c r="L163" i="60"/>
  <c r="L143" i="60"/>
  <c r="L123" i="60"/>
  <c r="L103" i="60"/>
  <c r="J156" i="60"/>
  <c r="J136" i="60"/>
  <c r="J116" i="60"/>
  <c r="J96" i="60"/>
  <c r="AD103" i="60"/>
  <c r="AD123" i="60"/>
  <c r="AD163" i="60"/>
  <c r="AD143" i="60"/>
  <c r="J153" i="60"/>
  <c r="J133" i="60"/>
  <c r="J113" i="60"/>
  <c r="J93" i="60"/>
  <c r="F142" i="60"/>
  <c r="F162" i="60"/>
  <c r="F102" i="60"/>
  <c r="F122" i="60"/>
  <c r="K107" i="60"/>
  <c r="K147" i="60"/>
  <c r="K127" i="60"/>
  <c r="K87" i="60"/>
  <c r="G156" i="60"/>
  <c r="G136" i="60"/>
  <c r="G116" i="60"/>
  <c r="G96" i="60"/>
  <c r="AD124" i="60"/>
  <c r="AD104" i="60"/>
  <c r="AD164" i="60"/>
  <c r="AD144" i="60"/>
  <c r="H150" i="60"/>
  <c r="H130" i="60"/>
  <c r="H90" i="60"/>
  <c r="H110" i="60"/>
  <c r="AE158" i="60"/>
  <c r="AE138" i="60"/>
  <c r="AE98" i="60"/>
  <c r="AE118" i="60"/>
  <c r="E157" i="60"/>
  <c r="K395" i="62" s="1"/>
  <c r="E117" i="60"/>
  <c r="K197" i="62" s="1"/>
  <c r="E137" i="60"/>
  <c r="K296" i="62" s="1"/>
  <c r="E97" i="60"/>
  <c r="K98" i="62" s="1"/>
  <c r="L92" i="60"/>
  <c r="L152" i="60"/>
  <c r="L112" i="60"/>
  <c r="L132" i="60"/>
  <c r="I138" i="60"/>
  <c r="I98" i="60"/>
  <c r="I118" i="60"/>
  <c r="I158" i="60"/>
  <c r="AB152" i="60"/>
  <c r="AB132" i="60"/>
  <c r="AB112" i="60"/>
  <c r="AB92" i="60"/>
  <c r="Q151" i="60"/>
  <c r="Q131" i="60"/>
  <c r="Q111" i="60"/>
  <c r="Q91" i="60"/>
  <c r="P100" i="60"/>
  <c r="P120" i="60"/>
  <c r="P140" i="60"/>
  <c r="P160" i="60"/>
  <c r="AD120" i="60"/>
  <c r="AD100" i="60"/>
  <c r="AD160" i="60"/>
  <c r="AD140" i="60"/>
  <c r="H86" i="60"/>
  <c r="H146" i="60"/>
  <c r="H126" i="60"/>
  <c r="H106" i="60"/>
  <c r="R93" i="60"/>
  <c r="R153" i="60"/>
  <c r="R133" i="60"/>
  <c r="R113" i="60"/>
  <c r="T164" i="60"/>
  <c r="T124" i="60"/>
  <c r="T144" i="60"/>
  <c r="T104" i="60"/>
  <c r="Y129" i="60"/>
  <c r="AE272" i="62" s="1"/>
  <c r="Y149" i="60"/>
  <c r="AE371" i="62" s="1"/>
  <c r="Y109" i="60"/>
  <c r="AE173" i="62" s="1"/>
  <c r="Y89" i="60"/>
  <c r="AE74" i="62" s="1"/>
  <c r="U158" i="60"/>
  <c r="U138" i="60"/>
  <c r="U118" i="60"/>
  <c r="U98" i="60"/>
  <c r="R145" i="60"/>
  <c r="R125" i="60"/>
  <c r="R85" i="60"/>
  <c r="R105" i="60"/>
  <c r="AB154" i="60"/>
  <c r="AH383" i="62" s="1"/>
  <c r="AB134" i="60"/>
  <c r="AH284" i="62" s="1"/>
  <c r="AB114" i="60"/>
  <c r="AH185" i="62" s="1"/>
  <c r="AB94" i="60"/>
  <c r="AH86" i="62" s="1"/>
  <c r="V87" i="60"/>
  <c r="V107" i="60"/>
  <c r="V147" i="60"/>
  <c r="V127" i="60"/>
  <c r="H151" i="60"/>
  <c r="H131" i="60"/>
  <c r="H111" i="60"/>
  <c r="H91" i="60"/>
  <c r="AD142" i="60"/>
  <c r="AD102" i="60"/>
  <c r="AD122" i="60"/>
  <c r="AD162" i="60"/>
  <c r="H88" i="60"/>
  <c r="H108" i="60"/>
  <c r="H148" i="60"/>
  <c r="H128" i="60"/>
  <c r="Q158" i="60"/>
  <c r="Q138" i="60"/>
  <c r="Q118" i="60"/>
  <c r="Q98" i="60"/>
  <c r="I152" i="60"/>
  <c r="I132" i="60"/>
  <c r="I112" i="60"/>
  <c r="I92" i="60"/>
  <c r="Q115" i="60"/>
  <c r="Q155" i="60"/>
  <c r="Q95" i="60"/>
  <c r="Q135" i="60"/>
  <c r="S96" i="60"/>
  <c r="S116" i="60"/>
  <c r="S156" i="60"/>
  <c r="S136" i="60"/>
  <c r="Q152" i="60"/>
  <c r="Q132" i="60"/>
  <c r="Q112" i="60"/>
  <c r="Q92" i="60"/>
  <c r="M101" i="60"/>
  <c r="M121" i="60"/>
  <c r="M161" i="60"/>
  <c r="M141" i="60"/>
  <c r="R126" i="60"/>
  <c r="R106" i="60"/>
  <c r="R86" i="60"/>
  <c r="R146" i="60"/>
  <c r="N115" i="60"/>
  <c r="N95" i="60"/>
  <c r="N135" i="60"/>
  <c r="N155" i="60"/>
  <c r="J124" i="60"/>
  <c r="J104" i="60"/>
  <c r="J144" i="60"/>
  <c r="J164" i="60"/>
  <c r="O109" i="60"/>
  <c r="U173" i="62" s="1"/>
  <c r="O89" i="60"/>
  <c r="U74" i="62" s="1"/>
  <c r="O149" i="60"/>
  <c r="U371" i="62" s="1"/>
  <c r="O129" i="60"/>
  <c r="U272" i="62" s="1"/>
  <c r="K98" i="60"/>
  <c r="K158" i="60"/>
  <c r="K138" i="60"/>
  <c r="K118" i="60"/>
  <c r="J146" i="60"/>
  <c r="J126" i="60"/>
  <c r="J106" i="60"/>
  <c r="J86" i="60"/>
  <c r="S111" i="60"/>
  <c r="S91" i="60"/>
  <c r="S131" i="60"/>
  <c r="S151" i="60"/>
  <c r="P157" i="60"/>
  <c r="V395" i="62" s="1"/>
  <c r="P137" i="60"/>
  <c r="V296" i="62" s="1"/>
  <c r="P97" i="60"/>
  <c r="V98" i="62" s="1"/>
  <c r="P117" i="60"/>
  <c r="V197" i="62" s="1"/>
  <c r="E159" i="60"/>
  <c r="E119" i="60"/>
  <c r="E99" i="60"/>
  <c r="E139" i="60"/>
  <c r="X90" i="60"/>
  <c r="X110" i="60"/>
  <c r="X150" i="60"/>
  <c r="X130" i="60"/>
  <c r="O155" i="60"/>
  <c r="O115" i="60"/>
  <c r="O95" i="60"/>
  <c r="O135" i="60"/>
  <c r="J100" i="60"/>
  <c r="J160" i="60"/>
  <c r="J140" i="60"/>
  <c r="J120" i="60"/>
  <c r="O145" i="60"/>
  <c r="O125" i="60"/>
  <c r="O85" i="60"/>
  <c r="O105" i="60"/>
  <c r="Y92" i="60"/>
  <c r="Y152" i="60"/>
  <c r="Y132" i="60"/>
  <c r="Y112" i="60"/>
  <c r="AA163" i="60"/>
  <c r="AA143" i="60"/>
  <c r="AA123" i="60"/>
  <c r="AA103" i="60"/>
  <c r="AF148" i="60"/>
  <c r="AF108" i="60"/>
  <c r="AF128" i="60"/>
  <c r="AF88" i="60"/>
  <c r="AB157" i="60"/>
  <c r="AH395" i="62" s="1"/>
  <c r="AB137" i="60"/>
  <c r="AH296" i="62" s="1"/>
  <c r="AB117" i="60"/>
  <c r="AH197" i="62" s="1"/>
  <c r="AB97" i="60"/>
  <c r="AH98" i="62" s="1"/>
  <c r="Z98" i="60"/>
  <c r="Z118" i="60"/>
  <c r="Z158" i="60"/>
  <c r="Z138" i="60"/>
  <c r="H154" i="60"/>
  <c r="N383" i="62" s="1"/>
  <c r="H134" i="60"/>
  <c r="N284" i="62" s="1"/>
  <c r="H114" i="60"/>
  <c r="N185" i="62" s="1"/>
  <c r="H94" i="60"/>
  <c r="N86" i="62" s="1"/>
  <c r="S104" i="60"/>
  <c r="S164" i="60"/>
  <c r="S124" i="60"/>
  <c r="S144" i="60"/>
  <c r="O110" i="60"/>
  <c r="O130" i="60"/>
  <c r="O90" i="60"/>
  <c r="O150" i="60"/>
  <c r="J122" i="60"/>
  <c r="J102" i="60"/>
  <c r="J162" i="60"/>
  <c r="J142" i="60"/>
  <c r="O147" i="60"/>
  <c r="O127" i="60"/>
  <c r="O87" i="60"/>
  <c r="O107" i="60"/>
  <c r="X157" i="60"/>
  <c r="AD395" i="62" s="1"/>
  <c r="X137" i="60"/>
  <c r="AD296" i="62" s="1"/>
  <c r="X117" i="60"/>
  <c r="AD197" i="62" s="1"/>
  <c r="X97" i="60"/>
  <c r="AD98" i="62" s="1"/>
  <c r="R142" i="60"/>
  <c r="R122" i="60"/>
  <c r="R162" i="60"/>
  <c r="R102" i="60"/>
  <c r="X134" i="60"/>
  <c r="AD284" i="62" s="1"/>
  <c r="X114" i="60"/>
  <c r="AD185" i="62" s="1"/>
  <c r="X94" i="60"/>
  <c r="AD86" i="62" s="1"/>
  <c r="X154" i="60"/>
  <c r="AD383" i="62" s="1"/>
  <c r="AB109" i="60"/>
  <c r="AH173" i="62" s="1"/>
  <c r="AB89" i="60"/>
  <c r="AH74" i="62" s="1"/>
  <c r="AB149" i="60"/>
  <c r="AH371" i="62" s="1"/>
  <c r="AB129" i="60"/>
  <c r="AH272" i="62" s="1"/>
  <c r="X151" i="60"/>
  <c r="X91" i="60"/>
  <c r="X131" i="60"/>
  <c r="X111" i="60"/>
  <c r="T120" i="60"/>
  <c r="T160" i="60"/>
  <c r="T140" i="60"/>
  <c r="T100" i="60"/>
  <c r="Y105" i="60"/>
  <c r="Y145" i="60"/>
  <c r="Y125" i="60"/>
  <c r="Y85" i="60"/>
  <c r="U154" i="60"/>
  <c r="AA383" i="62" s="1"/>
  <c r="U134" i="60"/>
  <c r="AA284" i="62" s="1"/>
  <c r="U114" i="60"/>
  <c r="AA185" i="62" s="1"/>
  <c r="U94" i="60"/>
  <c r="AA86" i="62" s="1"/>
  <c r="Q123" i="60"/>
  <c r="Q163" i="60"/>
  <c r="Q143" i="60"/>
  <c r="Q103" i="60"/>
  <c r="V108" i="60"/>
  <c r="V148" i="60"/>
  <c r="V128" i="60"/>
  <c r="V88" i="60"/>
  <c r="R137" i="60"/>
  <c r="X296" i="62" s="1"/>
  <c r="R117" i="60"/>
  <c r="X197" i="62" s="1"/>
  <c r="R97" i="60"/>
  <c r="X98" i="62" s="1"/>
  <c r="R157" i="60"/>
  <c r="X395" i="62" s="1"/>
  <c r="E161" i="60"/>
  <c r="E141" i="60"/>
  <c r="E101" i="60"/>
  <c r="E121" i="60"/>
  <c r="Z90" i="60"/>
  <c r="Z150" i="60"/>
  <c r="Z130" i="60"/>
  <c r="Z110" i="60"/>
  <c r="W156" i="60"/>
  <c r="W136" i="60"/>
  <c r="W96" i="60"/>
  <c r="W116" i="60"/>
  <c r="Z164" i="60"/>
  <c r="Z144" i="60"/>
  <c r="Z104" i="60"/>
  <c r="Z124" i="60"/>
  <c r="AE149" i="60"/>
  <c r="AK371" i="62" s="1"/>
  <c r="AE129" i="60"/>
  <c r="AK272" i="62" s="1"/>
  <c r="AE109" i="60"/>
  <c r="AK173" i="62" s="1"/>
  <c r="AE89" i="60"/>
  <c r="AK74" i="62" s="1"/>
  <c r="Z161" i="60"/>
  <c r="Z141" i="60"/>
  <c r="Z121" i="60"/>
  <c r="Z101" i="60"/>
  <c r="J145" i="60"/>
  <c r="J125" i="60"/>
  <c r="J105" i="60"/>
  <c r="J85" i="60"/>
  <c r="Q99" i="60"/>
  <c r="Q159" i="60"/>
  <c r="Q139" i="60"/>
  <c r="Q119" i="60"/>
  <c r="N157" i="60"/>
  <c r="T395" i="62" s="1"/>
  <c r="N137" i="60"/>
  <c r="T296" i="62" s="1"/>
  <c r="N117" i="60"/>
  <c r="T197" i="62" s="1"/>
  <c r="N97" i="60"/>
  <c r="T98" i="62" s="1"/>
  <c r="AF151" i="60"/>
  <c r="AF131" i="60"/>
  <c r="AF111" i="60"/>
  <c r="AF91" i="60"/>
  <c r="G103" i="60"/>
  <c r="G143" i="60"/>
  <c r="G123" i="60"/>
  <c r="G163" i="60"/>
  <c r="L148" i="60"/>
  <c r="L128" i="60"/>
  <c r="L108" i="60"/>
  <c r="L88" i="60"/>
  <c r="H137" i="60"/>
  <c r="N296" i="62" s="1"/>
  <c r="H117" i="60"/>
  <c r="N197" i="62" s="1"/>
  <c r="H97" i="60"/>
  <c r="N98" i="62" s="1"/>
  <c r="H157" i="60"/>
  <c r="N395" i="62" s="1"/>
  <c r="I149" i="60"/>
  <c r="O371" i="62" s="1"/>
  <c r="I129" i="60"/>
  <c r="O272" i="62" s="1"/>
  <c r="I109" i="60"/>
  <c r="O173" i="62" s="1"/>
  <c r="I89" i="60"/>
  <c r="O74" i="62" s="1"/>
  <c r="O93" i="60"/>
  <c r="O153" i="60"/>
  <c r="O133" i="60"/>
  <c r="O113" i="60"/>
  <c r="Q164" i="60"/>
  <c r="Q144" i="60"/>
  <c r="Q124" i="60"/>
  <c r="Q104" i="60"/>
  <c r="V129" i="60"/>
  <c r="AB272" i="62" s="1"/>
  <c r="V109" i="60"/>
  <c r="AB173" i="62" s="1"/>
  <c r="V89" i="60"/>
  <c r="AB74" i="62" s="1"/>
  <c r="V149" i="60"/>
  <c r="AB371" i="62" s="1"/>
  <c r="Q161" i="60"/>
  <c r="Q141" i="60"/>
  <c r="Q121" i="60"/>
  <c r="Q101" i="60"/>
  <c r="V106" i="60"/>
  <c r="V146" i="60"/>
  <c r="V126" i="60"/>
  <c r="V86" i="60"/>
  <c r="AE156" i="60"/>
  <c r="AE136" i="60"/>
  <c r="AE116" i="60"/>
  <c r="AE96" i="60"/>
  <c r="N154" i="60"/>
  <c r="T383" i="62" s="1"/>
  <c r="N134" i="60"/>
  <c r="T284" i="62" s="1"/>
  <c r="N114" i="60"/>
  <c r="T185" i="62" s="1"/>
  <c r="N94" i="60"/>
  <c r="T86" i="62" s="1"/>
  <c r="AE153" i="60"/>
  <c r="AE133" i="60"/>
  <c r="AE113" i="60"/>
  <c r="AE93" i="60"/>
  <c r="E112" i="60"/>
  <c r="E152" i="60"/>
  <c r="E132" i="60"/>
  <c r="E92" i="60"/>
  <c r="AE150" i="60"/>
  <c r="AE130" i="60"/>
  <c r="AE110" i="60"/>
  <c r="AE90" i="60"/>
  <c r="AA119" i="60"/>
  <c r="AA99" i="60"/>
  <c r="AA139" i="60"/>
  <c r="AA159" i="60"/>
  <c r="O154" i="60"/>
  <c r="U383" i="62" s="1"/>
  <c r="O134" i="60"/>
  <c r="U284" i="62" s="1"/>
  <c r="O114" i="60"/>
  <c r="U185" i="62" s="1"/>
  <c r="O94" i="60"/>
  <c r="U86" i="62" s="1"/>
  <c r="AB153" i="60"/>
  <c r="AB133" i="60"/>
  <c r="AB93" i="60"/>
  <c r="AB113" i="60"/>
  <c r="X122" i="60"/>
  <c r="X102" i="60"/>
  <c r="X162" i="60"/>
  <c r="X142" i="60"/>
  <c r="AC107" i="60"/>
  <c r="AC87" i="60"/>
  <c r="AC147" i="60"/>
  <c r="AC127" i="60"/>
  <c r="Y96" i="60"/>
  <c r="Y156" i="60"/>
  <c r="Y136" i="60"/>
  <c r="Y116" i="60"/>
  <c r="AB104" i="60"/>
  <c r="AB164" i="60"/>
  <c r="AB144" i="60"/>
  <c r="AB124" i="60"/>
  <c r="F110" i="60"/>
  <c r="F90" i="60"/>
  <c r="F130" i="60"/>
  <c r="F150" i="60"/>
  <c r="AD95" i="60"/>
  <c r="AD135" i="60"/>
  <c r="AD155" i="60"/>
  <c r="AD115" i="60"/>
  <c r="F164" i="60"/>
  <c r="F144" i="60"/>
  <c r="F104" i="60"/>
  <c r="F124" i="60"/>
  <c r="K149" i="60"/>
  <c r="Q371" i="62" s="1"/>
  <c r="K129" i="60"/>
  <c r="Q272" i="62" s="1"/>
  <c r="K89" i="60"/>
  <c r="Q74" i="62" s="1"/>
  <c r="K109" i="60"/>
  <c r="Q173" i="62" s="1"/>
  <c r="U145" i="60"/>
  <c r="U125" i="60"/>
  <c r="U105" i="60"/>
  <c r="U85" i="60"/>
  <c r="X98" i="60"/>
  <c r="X158" i="60"/>
  <c r="X138" i="60"/>
  <c r="X118" i="60"/>
  <c r="AE163" i="60"/>
  <c r="AE143" i="60"/>
  <c r="AE103" i="60"/>
  <c r="AE123" i="60"/>
  <c r="L91" i="60"/>
  <c r="L151" i="60"/>
  <c r="L131" i="60"/>
  <c r="L111" i="60"/>
  <c r="N142" i="60"/>
  <c r="N122" i="60"/>
  <c r="N102" i="60"/>
  <c r="N162" i="60"/>
  <c r="S87" i="60"/>
  <c r="S107" i="60"/>
  <c r="S127" i="60"/>
  <c r="S147" i="60"/>
  <c r="O156" i="60"/>
  <c r="O136" i="60"/>
  <c r="O116" i="60"/>
  <c r="O96" i="60"/>
  <c r="AF117" i="60"/>
  <c r="AL197" i="62" s="1"/>
  <c r="AF157" i="60"/>
  <c r="AL395" i="62" s="1"/>
  <c r="AF137" i="60"/>
  <c r="AL296" i="62" s="1"/>
  <c r="V112" i="60"/>
  <c r="V92" i="60"/>
  <c r="V132" i="60"/>
  <c r="V152" i="60"/>
  <c r="X163" i="60"/>
  <c r="X143" i="60"/>
  <c r="X123" i="60"/>
  <c r="X103" i="60"/>
  <c r="AC148" i="60"/>
  <c r="AC128" i="60"/>
  <c r="AC108" i="60"/>
  <c r="AC88" i="60"/>
  <c r="X160" i="60"/>
  <c r="X140" i="60"/>
  <c r="X120" i="60"/>
  <c r="X100" i="60"/>
  <c r="AC105" i="60"/>
  <c r="AC145" i="60"/>
  <c r="AC125" i="60"/>
  <c r="AC85" i="60"/>
  <c r="K156" i="60"/>
  <c r="K136" i="60"/>
  <c r="K116" i="60"/>
  <c r="K96" i="60"/>
  <c r="J123" i="60"/>
  <c r="J103" i="60"/>
  <c r="J163" i="60"/>
  <c r="J143" i="60"/>
  <c r="K153" i="60"/>
  <c r="K133" i="60"/>
  <c r="K113" i="60"/>
  <c r="K93" i="60"/>
  <c r="E146" i="60"/>
  <c r="E106" i="60"/>
  <c r="E126" i="60"/>
  <c r="E86" i="60"/>
  <c r="K150" i="60"/>
  <c r="K130" i="60"/>
  <c r="K110" i="60"/>
  <c r="K90" i="60"/>
  <c r="G119" i="60"/>
  <c r="G159" i="60"/>
  <c r="G139" i="60"/>
  <c r="G99" i="60"/>
  <c r="X164" i="60"/>
  <c r="X144" i="60"/>
  <c r="X104" i="60"/>
  <c r="X124" i="60"/>
  <c r="H133" i="60"/>
  <c r="H113" i="60"/>
  <c r="H93" i="60"/>
  <c r="H153" i="60"/>
  <c r="AE161" i="60"/>
  <c r="AE141" i="60"/>
  <c r="AE101" i="60"/>
  <c r="AE121" i="60"/>
  <c r="I107" i="60"/>
  <c r="I147" i="60"/>
  <c r="I127" i="60"/>
  <c r="I87" i="60"/>
  <c r="AF155" i="60"/>
  <c r="AF135" i="60"/>
  <c r="AF115" i="60"/>
  <c r="AF95" i="60"/>
  <c r="H124" i="60"/>
  <c r="H104" i="60"/>
  <c r="H164" i="60"/>
  <c r="H144" i="60"/>
  <c r="M129" i="60"/>
  <c r="S272" i="62" s="1"/>
  <c r="M149" i="60"/>
  <c r="S371" i="62" s="1"/>
  <c r="M89" i="60"/>
  <c r="S74" i="62" s="1"/>
  <c r="M109" i="60"/>
  <c r="S173" i="62" s="1"/>
  <c r="J115" i="60"/>
  <c r="J155" i="60"/>
  <c r="J95" i="60"/>
  <c r="J135" i="60"/>
  <c r="M103" i="60"/>
  <c r="M123" i="60"/>
  <c r="M163" i="60"/>
  <c r="M143" i="60"/>
  <c r="R148" i="60"/>
  <c r="R128" i="60"/>
  <c r="R108" i="60"/>
  <c r="R88" i="60"/>
  <c r="K164" i="60"/>
  <c r="K144" i="60"/>
  <c r="K124" i="60"/>
  <c r="K104" i="60"/>
  <c r="AE157" i="60"/>
  <c r="AK395" i="62" s="1"/>
  <c r="AE137" i="60"/>
  <c r="AK296" i="62" s="1"/>
  <c r="AE117" i="60"/>
  <c r="AK197" i="62" s="1"/>
  <c r="AE97" i="60"/>
  <c r="AK98" i="62" s="1"/>
  <c r="H152" i="60"/>
  <c r="H132" i="60"/>
  <c r="H112" i="60"/>
  <c r="H92" i="60"/>
  <c r="S90" i="60"/>
  <c r="S130" i="60"/>
  <c r="S150" i="60"/>
  <c r="S110" i="60"/>
  <c r="U141" i="60"/>
  <c r="U161" i="60"/>
  <c r="U121" i="60"/>
  <c r="U101" i="60"/>
  <c r="Z86" i="60"/>
  <c r="Z146" i="60"/>
  <c r="Z126" i="60"/>
  <c r="Z106" i="60"/>
  <c r="V115" i="60"/>
  <c r="V155" i="60"/>
  <c r="V95" i="60"/>
  <c r="V135" i="60"/>
  <c r="N91" i="60"/>
  <c r="N131" i="60"/>
  <c r="N151" i="60"/>
  <c r="N111" i="60"/>
  <c r="AC151" i="60"/>
  <c r="AC131" i="60"/>
  <c r="AC111" i="60"/>
  <c r="AC91" i="60"/>
  <c r="AE162" i="60"/>
  <c r="AE142" i="60"/>
  <c r="AE122" i="60"/>
  <c r="AE102" i="60"/>
  <c r="I148" i="60"/>
  <c r="I128" i="60"/>
  <c r="I108" i="60"/>
  <c r="I88" i="60"/>
  <c r="AE159" i="60"/>
  <c r="AE139" i="60"/>
  <c r="AE99" i="60"/>
  <c r="AE119" i="60"/>
  <c r="I105" i="60"/>
  <c r="I145" i="60"/>
  <c r="I125" i="60"/>
  <c r="I85" i="60"/>
  <c r="R135" i="60"/>
  <c r="R95" i="60"/>
  <c r="R155" i="60"/>
  <c r="R115" i="60"/>
  <c r="AA112" i="60"/>
  <c r="AA92" i="60"/>
  <c r="AA152" i="60"/>
  <c r="AA132" i="60"/>
  <c r="R152" i="60"/>
  <c r="R132" i="60"/>
  <c r="R112" i="60"/>
  <c r="R92" i="60"/>
  <c r="M164" i="60"/>
  <c r="M144" i="60"/>
  <c r="M124" i="60"/>
  <c r="M104" i="60"/>
  <c r="R149" i="60"/>
  <c r="X371" i="62" s="1"/>
  <c r="R129" i="60"/>
  <c r="X272" i="62" s="1"/>
  <c r="R109" i="60"/>
  <c r="X173" i="62" s="1"/>
  <c r="R89" i="60"/>
  <c r="X74" i="62" s="1"/>
  <c r="N138" i="60"/>
  <c r="N118" i="60"/>
  <c r="N98" i="60"/>
  <c r="N158" i="60"/>
  <c r="AA135" i="60"/>
  <c r="AA115" i="60"/>
  <c r="AA95" i="60"/>
  <c r="AA155" i="60"/>
  <c r="O152" i="60"/>
  <c r="O132" i="60"/>
  <c r="O92" i="60"/>
  <c r="O112" i="60"/>
  <c r="K121" i="60"/>
  <c r="K101" i="60"/>
  <c r="K161" i="60"/>
  <c r="K141" i="60"/>
  <c r="P86" i="60"/>
  <c r="P146" i="60"/>
  <c r="P126" i="60"/>
  <c r="P106" i="60"/>
  <c r="L155" i="60"/>
  <c r="L95" i="60"/>
  <c r="L135" i="60"/>
  <c r="L115" i="60"/>
  <c r="O103" i="60"/>
  <c r="O163" i="60"/>
  <c r="O143" i="60"/>
  <c r="O123" i="60"/>
  <c r="T108" i="60"/>
  <c r="T88" i="60"/>
  <c r="T148" i="60"/>
  <c r="T128" i="60"/>
  <c r="Q154" i="60"/>
  <c r="W383" i="62" s="1"/>
  <c r="Q134" i="60"/>
  <c r="W284" i="62" s="1"/>
  <c r="Q114" i="60"/>
  <c r="W185" i="62" s="1"/>
  <c r="Q94" i="60"/>
  <c r="W86" i="62" s="1"/>
  <c r="T162" i="60"/>
  <c r="T142" i="60"/>
  <c r="T102" i="60"/>
  <c r="T122" i="60"/>
  <c r="Y147" i="60"/>
  <c r="Y127" i="60"/>
  <c r="Y87" i="60"/>
  <c r="Y107" i="60"/>
  <c r="S146" i="60"/>
  <c r="S126" i="60"/>
  <c r="S106" i="60"/>
  <c r="S86" i="60"/>
  <c r="K97" i="60"/>
  <c r="Q98" i="62" s="1"/>
  <c r="K157" i="60"/>
  <c r="Q395" i="62" s="1"/>
  <c r="K137" i="60"/>
  <c r="Q296" i="62" s="1"/>
  <c r="K117" i="60"/>
  <c r="Q197" i="62" s="1"/>
  <c r="Y118" i="60"/>
  <c r="Y98" i="60"/>
  <c r="Y158" i="60"/>
  <c r="Y138" i="60"/>
  <c r="Z89" i="60"/>
  <c r="AF74" i="62" s="1"/>
  <c r="Z149" i="60"/>
  <c r="AF371" i="62" s="1"/>
  <c r="Z129" i="60"/>
  <c r="AF272" i="62" s="1"/>
  <c r="Z109" i="60"/>
  <c r="AF173" i="62" s="1"/>
  <c r="AB160" i="60"/>
  <c r="AB100" i="60"/>
  <c r="AB140" i="60"/>
  <c r="AB120" i="60"/>
  <c r="F126" i="60"/>
  <c r="F146" i="60"/>
  <c r="F106" i="60"/>
  <c r="F86" i="60"/>
  <c r="AC154" i="60"/>
  <c r="AI383" i="62" s="1"/>
  <c r="AC134" i="60"/>
  <c r="AI284" i="62" s="1"/>
  <c r="AC114" i="60"/>
  <c r="AI185" i="62" s="1"/>
  <c r="AC94" i="60"/>
  <c r="AI86" i="62" s="1"/>
  <c r="E95" i="60"/>
  <c r="E115" i="60"/>
  <c r="E155" i="60"/>
  <c r="E135" i="60"/>
  <c r="I151" i="60"/>
  <c r="I131" i="60"/>
  <c r="I111" i="60"/>
  <c r="I91" i="60"/>
  <c r="K122" i="60"/>
  <c r="K102" i="60"/>
  <c r="K142" i="60"/>
  <c r="K162" i="60"/>
  <c r="P147" i="60"/>
  <c r="P127" i="60"/>
  <c r="P107" i="60"/>
  <c r="P87" i="60"/>
  <c r="K159" i="60"/>
  <c r="K139" i="60"/>
  <c r="K99" i="60"/>
  <c r="K119" i="60"/>
  <c r="AA158" i="60"/>
  <c r="AA138" i="60"/>
  <c r="AA98" i="60"/>
  <c r="AA118" i="60"/>
  <c r="Y154" i="60"/>
  <c r="AE383" i="62" s="1"/>
  <c r="Y134" i="60"/>
  <c r="AE284" i="62" s="1"/>
  <c r="Y114" i="60"/>
  <c r="AE185" i="62" s="1"/>
  <c r="Y94" i="60"/>
  <c r="AE86" i="62" s="1"/>
  <c r="P105" i="60"/>
  <c r="P145" i="60"/>
  <c r="P125" i="60"/>
  <c r="P85" i="60"/>
  <c r="Y151" i="60"/>
  <c r="Y131" i="60"/>
  <c r="Y111" i="60"/>
  <c r="Y91" i="60"/>
  <c r="T163" i="60"/>
  <c r="T143" i="60"/>
  <c r="T123" i="60"/>
  <c r="T103" i="60"/>
  <c r="Y148" i="60"/>
  <c r="Y128" i="60"/>
  <c r="Y108" i="60"/>
  <c r="Y88" i="60"/>
  <c r="U117" i="60"/>
  <c r="AA197" i="62" s="1"/>
  <c r="U157" i="60"/>
  <c r="AA395" i="62" s="1"/>
  <c r="U137" i="60"/>
  <c r="AA296" i="62" s="1"/>
  <c r="U97" i="60"/>
  <c r="AA98" i="62" s="1"/>
  <c r="R99" i="60"/>
  <c r="R159" i="60"/>
  <c r="R139" i="60"/>
  <c r="R119" i="60"/>
  <c r="V151" i="60"/>
  <c r="V131" i="60"/>
  <c r="V111" i="60"/>
  <c r="V91" i="60"/>
  <c r="R120" i="60"/>
  <c r="R160" i="60"/>
  <c r="R140" i="60"/>
  <c r="R100" i="60"/>
  <c r="W105" i="60"/>
  <c r="AC131" i="62" s="1" a="1"/>
  <c r="AC131" i="62" s="1"/>
  <c r="W145" i="60"/>
  <c r="AC329" i="62" s="1" a="1"/>
  <c r="AC329" i="62" s="1"/>
  <c r="W125" i="60"/>
  <c r="AC230" i="62" s="1" a="1"/>
  <c r="AC230" i="62" s="1"/>
  <c r="W85" i="60"/>
  <c r="AC32" i="62" s="1" a="1"/>
  <c r="AC32" i="62" s="1"/>
  <c r="S154" i="60"/>
  <c r="Y383" i="62" s="1"/>
  <c r="S134" i="60"/>
  <c r="Y284" i="62" s="1"/>
  <c r="S114" i="60"/>
  <c r="Y185" i="62" s="1"/>
  <c r="S94" i="60"/>
  <c r="Y86" i="62" s="1"/>
  <c r="V102" i="60"/>
  <c r="V162" i="60"/>
  <c r="V122" i="60"/>
  <c r="V142" i="60"/>
  <c r="AA87" i="60"/>
  <c r="AA147" i="60"/>
  <c r="AA107" i="60"/>
  <c r="AA127" i="60"/>
  <c r="X153" i="60"/>
  <c r="X133" i="60"/>
  <c r="X113" i="60"/>
  <c r="X93" i="60"/>
  <c r="AA161" i="60"/>
  <c r="AA141" i="60"/>
  <c r="AA101" i="60"/>
  <c r="AA121" i="60"/>
  <c r="AF106" i="60"/>
  <c r="AF86" i="60"/>
  <c r="AF146" i="60"/>
  <c r="AF126" i="60"/>
  <c r="AF159" i="60"/>
  <c r="AF139" i="60"/>
  <c r="AF119" i="60"/>
  <c r="AF99" i="60"/>
  <c r="B35" i="41"/>
  <c r="R96" i="60"/>
  <c r="R156" i="60"/>
  <c r="R136" i="60"/>
  <c r="R116" i="60"/>
  <c r="U110" i="60"/>
  <c r="U90" i="60"/>
  <c r="U150" i="60"/>
  <c r="U130" i="60"/>
  <c r="F129" i="60"/>
  <c r="L272" i="62" s="1"/>
  <c r="F109" i="60"/>
  <c r="L173" i="62" s="1"/>
  <c r="F89" i="60"/>
  <c r="L74" i="62" s="1"/>
  <c r="F149" i="60"/>
  <c r="L371" i="62" s="1"/>
  <c r="H160" i="60"/>
  <c r="H140" i="60"/>
  <c r="H120" i="60"/>
  <c r="H100" i="60"/>
  <c r="M145" i="60"/>
  <c r="S329" i="62" s="1" a="1"/>
  <c r="S329" i="62" s="1"/>
  <c r="M85" i="60"/>
  <c r="S32" i="62" s="1" a="1"/>
  <c r="S32" i="62" s="1"/>
  <c r="M125" i="60"/>
  <c r="S230" i="62" s="1" a="1"/>
  <c r="S230" i="62" s="1"/>
  <c r="M105" i="60"/>
  <c r="S131" i="62" s="1" a="1"/>
  <c r="S131" i="62" s="1"/>
  <c r="I154" i="60"/>
  <c r="O383" i="62" s="1"/>
  <c r="I134" i="60"/>
  <c r="O284" i="62" s="1"/>
  <c r="I114" i="60"/>
  <c r="O185" i="62" s="1"/>
  <c r="I94" i="60"/>
  <c r="O86" i="62" s="1"/>
  <c r="E91" i="60"/>
  <c r="E151" i="60"/>
  <c r="E111" i="60"/>
  <c r="E131" i="60"/>
  <c r="P150" i="60"/>
  <c r="P130" i="60"/>
  <c r="P110" i="60"/>
  <c r="P90" i="60"/>
  <c r="R141" i="60"/>
  <c r="R121" i="60"/>
  <c r="R101" i="60"/>
  <c r="R161" i="60"/>
  <c r="W106" i="60"/>
  <c r="W86" i="60"/>
  <c r="W146" i="60"/>
  <c r="W126" i="60"/>
  <c r="R118" i="60"/>
  <c r="R158" i="60"/>
  <c r="R138" i="60"/>
  <c r="R98" i="60"/>
  <c r="W150" i="60"/>
  <c r="W130" i="60"/>
  <c r="W110" i="60"/>
  <c r="W90" i="60"/>
  <c r="AF153" i="60"/>
  <c r="AF133" i="60"/>
  <c r="AF113" i="60"/>
  <c r="AF93" i="60"/>
  <c r="U104" i="60"/>
  <c r="U164" i="60"/>
  <c r="U144" i="60"/>
  <c r="U124" i="60"/>
  <c r="AF130" i="60"/>
  <c r="AF110" i="60"/>
  <c r="AF90" i="60"/>
  <c r="AF150" i="60"/>
  <c r="AA162" i="60"/>
  <c r="AA142" i="60"/>
  <c r="AA122" i="60"/>
  <c r="AA102" i="60"/>
  <c r="AF147" i="60"/>
  <c r="AF87" i="60"/>
  <c r="AF107" i="60"/>
  <c r="AF127" i="60"/>
  <c r="AB116" i="60"/>
  <c r="AB96" i="60"/>
  <c r="AB156" i="60"/>
  <c r="AB136" i="60"/>
  <c r="E164" i="60"/>
  <c r="E124" i="60"/>
  <c r="E104" i="60"/>
  <c r="E144" i="60"/>
  <c r="AC150" i="60"/>
  <c r="AC130" i="60"/>
  <c r="AC90" i="60"/>
  <c r="AC110" i="60"/>
  <c r="Y119" i="60"/>
  <c r="Y99" i="60"/>
  <c r="Y159" i="60"/>
  <c r="Y139" i="60"/>
  <c r="AF163" i="60"/>
  <c r="AF143" i="60"/>
  <c r="AF123" i="60"/>
  <c r="AF103" i="60"/>
  <c r="Z93" i="60"/>
  <c r="Z153" i="60"/>
  <c r="Z133" i="60"/>
  <c r="Z113" i="60"/>
  <c r="AC141" i="60"/>
  <c r="AC161" i="60"/>
  <c r="AC101" i="60"/>
  <c r="AC121" i="60"/>
  <c r="G107" i="60"/>
  <c r="G87" i="60"/>
  <c r="G127" i="60"/>
  <c r="G147" i="60"/>
  <c r="AE132" i="60"/>
  <c r="AE92" i="60"/>
  <c r="AE112" i="60"/>
  <c r="AE152" i="60"/>
  <c r="G161" i="60"/>
  <c r="G141" i="60"/>
  <c r="G121" i="60"/>
  <c r="G101" i="60"/>
  <c r="L146" i="60"/>
  <c r="L126" i="60"/>
  <c r="L86" i="60"/>
  <c r="L106" i="60"/>
  <c r="V98" i="60"/>
  <c r="V158" i="60"/>
  <c r="V138" i="60"/>
  <c r="V118" i="60"/>
  <c r="M152" i="60"/>
  <c r="M132" i="60"/>
  <c r="M112" i="60"/>
  <c r="M92" i="60"/>
  <c r="Y135" i="60"/>
  <c r="Y115" i="60"/>
  <c r="Y95" i="60"/>
  <c r="AE20" i="62" s="1" a="1"/>
  <c r="AE20" i="62" s="1"/>
  <c r="Y155" i="60"/>
  <c r="H103" i="60"/>
  <c r="H123" i="60"/>
  <c r="H163" i="60"/>
  <c r="H143" i="60"/>
  <c r="M148" i="60"/>
  <c r="M128" i="60"/>
  <c r="M108" i="60"/>
  <c r="M88" i="60"/>
  <c r="O159" i="60"/>
  <c r="O139" i="60"/>
  <c r="O119" i="60"/>
  <c r="O99" i="60"/>
  <c r="S162" i="60"/>
  <c r="S142" i="60"/>
  <c r="S102" i="60"/>
  <c r="S122" i="60"/>
  <c r="P153" i="60"/>
  <c r="P133" i="60"/>
  <c r="P113" i="60"/>
  <c r="P93" i="60"/>
  <c r="R124" i="60"/>
  <c r="R104" i="60"/>
  <c r="R164" i="60"/>
  <c r="R144" i="60"/>
  <c r="W149" i="60"/>
  <c r="AC371" i="62" s="1"/>
  <c r="W129" i="60"/>
  <c r="AC272" i="62" s="1"/>
  <c r="W89" i="60"/>
  <c r="AC74" i="62" s="1"/>
  <c r="W109" i="60"/>
  <c r="AC173" i="62" s="1"/>
  <c r="Y160" i="60"/>
  <c r="Y140" i="60"/>
  <c r="Y120" i="60"/>
  <c r="Y100" i="60"/>
  <c r="AD125" i="60"/>
  <c r="AJ230" i="62" s="1" a="1"/>
  <c r="AJ230" i="62" s="1"/>
  <c r="AD105" i="60"/>
  <c r="AJ131" i="62" s="1" a="1"/>
  <c r="AJ131" i="62" s="1"/>
  <c r="AD85" i="60"/>
  <c r="AJ32" i="62" s="1" a="1"/>
  <c r="AJ32" i="62" s="1"/>
  <c r="AD145" i="60"/>
  <c r="AJ329" i="62" s="1" a="1"/>
  <c r="AJ329" i="62" s="1"/>
  <c r="Y117" i="60"/>
  <c r="AE197" i="62" s="1"/>
  <c r="Y157" i="60"/>
  <c r="AE395" i="62" s="1"/>
  <c r="Y137" i="60"/>
  <c r="AE296" i="62" s="1"/>
  <c r="Y97" i="60"/>
  <c r="AE98" i="62" s="1"/>
  <c r="F158" i="60"/>
  <c r="F138" i="60"/>
  <c r="F118" i="60"/>
  <c r="F98" i="60"/>
  <c r="L153" i="60"/>
  <c r="L133" i="60"/>
  <c r="L113" i="60"/>
  <c r="L93" i="60"/>
  <c r="E147" i="60"/>
  <c r="E107" i="60"/>
  <c r="E127" i="60"/>
  <c r="E87" i="60"/>
  <c r="L150" i="60"/>
  <c r="L130" i="60"/>
  <c r="L110" i="60"/>
  <c r="L90" i="60"/>
  <c r="G162" i="60"/>
  <c r="G142" i="60"/>
  <c r="G122" i="60"/>
  <c r="G102" i="60"/>
  <c r="L147" i="60"/>
  <c r="L127" i="60"/>
  <c r="L107" i="60"/>
  <c r="L87" i="60"/>
  <c r="H116" i="60"/>
  <c r="H156" i="60"/>
  <c r="H136" i="60"/>
  <c r="H96" i="60"/>
  <c r="AE144" i="60"/>
  <c r="AE104" i="60"/>
  <c r="AE124" i="60"/>
  <c r="AE164" i="60"/>
  <c r="I150" i="60"/>
  <c r="I130" i="60"/>
  <c r="I110" i="60"/>
  <c r="I90" i="60"/>
  <c r="AF118" i="60"/>
  <c r="AF158" i="60"/>
  <c r="AF138" i="60"/>
  <c r="AF98" i="60"/>
  <c r="AC152" i="60"/>
  <c r="AC132" i="60"/>
  <c r="AC112" i="60"/>
  <c r="AC92" i="60"/>
  <c r="F153" i="60"/>
  <c r="F133" i="60"/>
  <c r="F113" i="60"/>
  <c r="F93" i="60"/>
  <c r="I121" i="60"/>
  <c r="I101" i="60"/>
  <c r="I161" i="60"/>
  <c r="I141" i="60"/>
  <c r="N86" i="60"/>
  <c r="N146" i="60"/>
  <c r="N126" i="60"/>
  <c r="N106" i="60"/>
  <c r="K152" i="60"/>
  <c r="K132" i="60"/>
  <c r="K92" i="60"/>
  <c r="K112" i="60"/>
  <c r="N160" i="60"/>
  <c r="N140" i="60"/>
  <c r="N100" i="60"/>
  <c r="N120" i="60"/>
  <c r="S145" i="60"/>
  <c r="Y329" i="62" s="1" a="1"/>
  <c r="Y329" i="62" s="1"/>
  <c r="S125" i="60"/>
  <c r="Y230" i="62" s="1" a="1"/>
  <c r="Y230" i="62" s="1"/>
  <c r="S85" i="60"/>
  <c r="Y32" i="62" s="1" a="1"/>
  <c r="Y32" i="62" s="1"/>
  <c r="S105" i="60"/>
  <c r="Y131" i="62" s="1" a="1"/>
  <c r="Y131" i="62" s="1"/>
  <c r="AF593" i="41"/>
  <c r="L593" i="41"/>
  <c r="T592" i="41"/>
  <c r="AB591" i="41"/>
  <c r="H591" i="41"/>
  <c r="P590" i="41"/>
  <c r="X589" i="41"/>
  <c r="AF588" i="41"/>
  <c r="L588" i="41"/>
  <c r="T587" i="41"/>
  <c r="AB586" i="41"/>
  <c r="H586" i="41"/>
  <c r="P585" i="41"/>
  <c r="X584" i="41"/>
  <c r="AF583" i="41"/>
  <c r="L583" i="41"/>
  <c r="T582" i="41"/>
  <c r="AB581" i="41"/>
  <c r="H581" i="41"/>
  <c r="P580" i="41"/>
  <c r="X579" i="41"/>
  <c r="AF578" i="41"/>
  <c r="L578" i="41"/>
  <c r="T577" i="41"/>
  <c r="AB576" i="41"/>
  <c r="H576" i="41"/>
  <c r="P575" i="41"/>
  <c r="X574" i="41"/>
  <c r="Z584" i="41"/>
  <c r="Y584" i="41"/>
  <c r="AE593" i="41"/>
  <c r="K593" i="41"/>
  <c r="S592" i="41"/>
  <c r="AA591" i="41"/>
  <c r="G591" i="41"/>
  <c r="O590" i="41"/>
  <c r="W589" i="41"/>
  <c r="AE588" i="41"/>
  <c r="K588" i="41"/>
  <c r="S587" i="41"/>
  <c r="AA586" i="41"/>
  <c r="G586" i="41"/>
  <c r="O585" i="41"/>
  <c r="W584" i="41"/>
  <c r="AE583" i="41"/>
  <c r="K583" i="41"/>
  <c r="S582" i="41"/>
  <c r="AA581" i="41"/>
  <c r="G581" i="41"/>
  <c r="O580" i="41"/>
  <c r="W579" i="41"/>
  <c r="AE578" i="41"/>
  <c r="K578" i="41"/>
  <c r="S577" i="41"/>
  <c r="AA576" i="41"/>
  <c r="G576" i="41"/>
  <c r="O575" i="41"/>
  <c r="W574" i="41"/>
  <c r="V582" i="41"/>
  <c r="I581" i="41"/>
  <c r="AD593" i="41"/>
  <c r="J593" i="41"/>
  <c r="R592" i="41"/>
  <c r="Z591" i="41"/>
  <c r="F591" i="41"/>
  <c r="N590" i="41"/>
  <c r="V589" i="41"/>
  <c r="AD588" i="41"/>
  <c r="J588" i="41"/>
  <c r="R587" i="41"/>
  <c r="Z586" i="41"/>
  <c r="F586" i="41"/>
  <c r="N585" i="41"/>
  <c r="V584" i="41"/>
  <c r="AD583" i="41"/>
  <c r="J583" i="41"/>
  <c r="R582" i="41"/>
  <c r="Z581" i="41"/>
  <c r="F581" i="41"/>
  <c r="N580" i="41"/>
  <c r="V579" i="41"/>
  <c r="AD578" i="41"/>
  <c r="J578" i="41"/>
  <c r="R577" i="41"/>
  <c r="Z576" i="41"/>
  <c r="F576" i="41"/>
  <c r="N575" i="41"/>
  <c r="V574" i="41"/>
  <c r="N583" i="41"/>
  <c r="U582" i="41"/>
  <c r="AC593" i="41"/>
  <c r="I593" i="41"/>
  <c r="Q592" i="41"/>
  <c r="Y591" i="41"/>
  <c r="E591" i="41"/>
  <c r="M590" i="41"/>
  <c r="U589" i="41"/>
  <c r="AC588" i="41"/>
  <c r="I588" i="41"/>
  <c r="Q587" i="41"/>
  <c r="Y586" i="41"/>
  <c r="E586" i="41"/>
  <c r="M585" i="41"/>
  <c r="U584" i="41"/>
  <c r="AC583" i="41"/>
  <c r="I583" i="41"/>
  <c r="Q582" i="41"/>
  <c r="Y581" i="41"/>
  <c r="E581" i="41"/>
  <c r="M580" i="41"/>
  <c r="U579" i="41"/>
  <c r="AC578" i="41"/>
  <c r="I578" i="41"/>
  <c r="Q577" i="41"/>
  <c r="Y576" i="41"/>
  <c r="E576" i="41"/>
  <c r="M575" i="41"/>
  <c r="U574" i="41"/>
  <c r="J586" i="41"/>
  <c r="E584" i="41"/>
  <c r="AB593" i="41"/>
  <c r="H593" i="41"/>
  <c r="P592" i="41"/>
  <c r="X591" i="41"/>
  <c r="AF590" i="41"/>
  <c r="L590" i="41"/>
  <c r="T589" i="41"/>
  <c r="AB588" i="41"/>
  <c r="H588" i="41"/>
  <c r="P587" i="41"/>
  <c r="X586" i="41"/>
  <c r="AF585" i="41"/>
  <c r="L585" i="41"/>
  <c r="T584" i="41"/>
  <c r="AB583" i="41"/>
  <c r="H583" i="41"/>
  <c r="P582" i="41"/>
  <c r="X581" i="41"/>
  <c r="AF580" i="41"/>
  <c r="L580" i="41"/>
  <c r="T579" i="41"/>
  <c r="AB578" i="41"/>
  <c r="H578" i="41"/>
  <c r="P577" i="41"/>
  <c r="X576" i="41"/>
  <c r="AF575" i="41"/>
  <c r="L575" i="41"/>
  <c r="T574" i="41"/>
  <c r="R585" i="41"/>
  <c r="Q585" i="41"/>
  <c r="AA593" i="41"/>
  <c r="G593" i="41"/>
  <c r="O592" i="41"/>
  <c r="W591" i="41"/>
  <c r="AE590" i="41"/>
  <c r="K590" i="41"/>
  <c r="S589" i="41"/>
  <c r="AA588" i="41"/>
  <c r="G588" i="41"/>
  <c r="O587" i="41"/>
  <c r="W586" i="41"/>
  <c r="AE585" i="41"/>
  <c r="K585" i="41"/>
  <c r="S584" i="41"/>
  <c r="AA583" i="41"/>
  <c r="G583" i="41"/>
  <c r="O582" i="41"/>
  <c r="W581" i="41"/>
  <c r="AE580" i="41"/>
  <c r="K580" i="41"/>
  <c r="S579" i="41"/>
  <c r="AA578" i="41"/>
  <c r="G578" i="41"/>
  <c r="O577" i="41"/>
  <c r="W576" i="41"/>
  <c r="AE575" i="41"/>
  <c r="K575" i="41"/>
  <c r="S574" i="41"/>
  <c r="AD581" i="41"/>
  <c r="AC581" i="41"/>
  <c r="Z593" i="41"/>
  <c r="F593" i="41"/>
  <c r="N592" i="41"/>
  <c r="V591" i="41"/>
  <c r="AD590" i="41"/>
  <c r="J590" i="41"/>
  <c r="R589" i="41"/>
  <c r="Z588" i="41"/>
  <c r="F588" i="41"/>
  <c r="N587" i="41"/>
  <c r="V586" i="41"/>
  <c r="AD585" i="41"/>
  <c r="J585" i="41"/>
  <c r="R584" i="41"/>
  <c r="Z583" i="41"/>
  <c r="F583" i="41"/>
  <c r="N582" i="41"/>
  <c r="V581" i="41"/>
  <c r="AD580" i="41"/>
  <c r="J580" i="41"/>
  <c r="R579" i="41"/>
  <c r="Z578" i="41"/>
  <c r="F578" i="41"/>
  <c r="N577" i="41"/>
  <c r="V576" i="41"/>
  <c r="AD575" i="41"/>
  <c r="J575" i="41"/>
  <c r="R574" i="41"/>
  <c r="F584" i="41"/>
  <c r="M583" i="41"/>
  <c r="Y593" i="41"/>
  <c r="E593" i="41"/>
  <c r="M592" i="41"/>
  <c r="U591" i="41"/>
  <c r="AC590" i="41"/>
  <c r="I590" i="41"/>
  <c r="Q589" i="41"/>
  <c r="Y588" i="41"/>
  <c r="E588" i="41"/>
  <c r="M587" i="41"/>
  <c r="U586" i="41"/>
  <c r="AC585" i="41"/>
  <c r="I585" i="41"/>
  <c r="Q584" i="41"/>
  <c r="Y583" i="41"/>
  <c r="E583" i="41"/>
  <c r="M582" i="41"/>
  <c r="U581" i="41"/>
  <c r="AC580" i="41"/>
  <c r="I580" i="41"/>
  <c r="Q579" i="41"/>
  <c r="Y578" i="41"/>
  <c r="E578" i="41"/>
  <c r="M577" i="41"/>
  <c r="U576" i="41"/>
  <c r="AC575" i="41"/>
  <c r="I575" i="41"/>
  <c r="Q574" i="41"/>
  <c r="AD591" i="41"/>
  <c r="AD576" i="41"/>
  <c r="AC586" i="41"/>
  <c r="AC576" i="41"/>
  <c r="X593" i="41"/>
  <c r="AF592" i="41"/>
  <c r="L592" i="41"/>
  <c r="T591" i="41"/>
  <c r="AB590" i="41"/>
  <c r="H590" i="41"/>
  <c r="P589" i="41"/>
  <c r="X588" i="41"/>
  <c r="AF587" i="41"/>
  <c r="L587" i="41"/>
  <c r="T586" i="41"/>
  <c r="AB585" i="41"/>
  <c r="H585" i="41"/>
  <c r="P584" i="41"/>
  <c r="X583" i="41"/>
  <c r="AF582" i="41"/>
  <c r="L582" i="41"/>
  <c r="T581" i="41"/>
  <c r="AB580" i="41"/>
  <c r="H580" i="41"/>
  <c r="P579" i="41"/>
  <c r="X578" i="41"/>
  <c r="AF577" i="41"/>
  <c r="L577" i="41"/>
  <c r="T576" i="41"/>
  <c r="AB575" i="41"/>
  <c r="H575" i="41"/>
  <c r="P574" i="41"/>
  <c r="J591" i="41"/>
  <c r="Z579" i="41"/>
  <c r="Z574" i="41"/>
  <c r="U592" i="41"/>
  <c r="U577" i="41"/>
  <c r="W593" i="41"/>
  <c r="AE592" i="41"/>
  <c r="K592" i="41"/>
  <c r="S591" i="41"/>
  <c r="AA590" i="41"/>
  <c r="G590" i="41"/>
  <c r="O589" i="41"/>
  <c r="W588" i="41"/>
  <c r="AE587" i="41"/>
  <c r="K587" i="41"/>
  <c r="S586" i="41"/>
  <c r="AA585" i="41"/>
  <c r="G585" i="41"/>
  <c r="O584" i="41"/>
  <c r="W583" i="41"/>
  <c r="AE582" i="41"/>
  <c r="K582" i="41"/>
  <c r="S581" i="41"/>
  <c r="AA580" i="41"/>
  <c r="G580" i="41"/>
  <c r="O579" i="41"/>
  <c r="W578" i="41"/>
  <c r="AE577" i="41"/>
  <c r="K577" i="41"/>
  <c r="S576" i="41"/>
  <c r="AA575" i="41"/>
  <c r="G575" i="41"/>
  <c r="O574" i="41"/>
  <c r="V592" i="41"/>
  <c r="F579" i="41"/>
  <c r="R575" i="41"/>
  <c r="M588" i="41"/>
  <c r="Y574" i="41"/>
  <c r="V593" i="41"/>
  <c r="AD592" i="41"/>
  <c r="J592" i="41"/>
  <c r="R591" i="41"/>
  <c r="Z590" i="41"/>
  <c r="F590" i="41"/>
  <c r="N589" i="41"/>
  <c r="V588" i="41"/>
  <c r="AD587" i="41"/>
  <c r="J587" i="41"/>
  <c r="R586" i="41"/>
  <c r="Z585" i="41"/>
  <c r="F585" i="41"/>
  <c r="N584" i="41"/>
  <c r="V583" i="41"/>
  <c r="AD582" i="41"/>
  <c r="J582" i="41"/>
  <c r="R581" i="41"/>
  <c r="Z580" i="41"/>
  <c r="F580" i="41"/>
  <c r="N579" i="41"/>
  <c r="V578" i="41"/>
  <c r="AD577" i="41"/>
  <c r="J577" i="41"/>
  <c r="R576" i="41"/>
  <c r="Z575" i="41"/>
  <c r="F575" i="41"/>
  <c r="N574" i="41"/>
  <c r="Z589" i="41"/>
  <c r="V577" i="41"/>
  <c r="F574" i="41"/>
  <c r="E589" i="41"/>
  <c r="Q575" i="41"/>
  <c r="U593" i="41"/>
  <c r="AC592" i="41"/>
  <c r="I592" i="41"/>
  <c r="Q591" i="41"/>
  <c r="Y590" i="41"/>
  <c r="E590" i="41"/>
  <c r="M589" i="41"/>
  <c r="U588" i="41"/>
  <c r="AC587" i="41"/>
  <c r="I587" i="41"/>
  <c r="Q586" i="41"/>
  <c r="Y585" i="41"/>
  <c r="E585" i="41"/>
  <c r="M584" i="41"/>
  <c r="U583" i="41"/>
  <c r="AC582" i="41"/>
  <c r="I582" i="41"/>
  <c r="Q581" i="41"/>
  <c r="Y580" i="41"/>
  <c r="E580" i="41"/>
  <c r="M579" i="41"/>
  <c r="U578" i="41"/>
  <c r="AC577" i="41"/>
  <c r="I577" i="41"/>
  <c r="Q576" i="41"/>
  <c r="Y575" i="41"/>
  <c r="E575" i="41"/>
  <c r="M574" i="41"/>
  <c r="J581" i="41"/>
  <c r="I586" i="41"/>
  <c r="T593" i="41"/>
  <c r="AB592" i="41"/>
  <c r="H592" i="41"/>
  <c r="P591" i="41"/>
  <c r="X590" i="41"/>
  <c r="AF589" i="41"/>
  <c r="L589" i="41"/>
  <c r="T588" i="41"/>
  <c r="AB587" i="41"/>
  <c r="H587" i="41"/>
  <c r="P586" i="41"/>
  <c r="X585" i="41"/>
  <c r="AF584" i="41"/>
  <c r="L584" i="41"/>
  <c r="T583" i="41"/>
  <c r="AB582" i="41"/>
  <c r="H582" i="41"/>
  <c r="P581" i="41"/>
  <c r="X580" i="41"/>
  <c r="AF579" i="41"/>
  <c r="L579" i="41"/>
  <c r="T578" i="41"/>
  <c r="AB577" i="41"/>
  <c r="H577" i="41"/>
  <c r="P576" i="41"/>
  <c r="X575" i="41"/>
  <c r="AF574" i="41"/>
  <c r="L574" i="41"/>
  <c r="V587" i="41"/>
  <c r="I591" i="41"/>
  <c r="Y579" i="41"/>
  <c r="S593" i="41"/>
  <c r="AA592" i="41"/>
  <c r="G592" i="41"/>
  <c r="O591" i="41"/>
  <c r="W590" i="41"/>
  <c r="AE589" i="41"/>
  <c r="K589" i="41"/>
  <c r="S588" i="41"/>
  <c r="AA587" i="41"/>
  <c r="G587" i="41"/>
  <c r="O586" i="41"/>
  <c r="W585" i="41"/>
  <c r="AE584" i="41"/>
  <c r="K584" i="41"/>
  <c r="S583" i="41"/>
  <c r="AA582" i="41"/>
  <c r="G582" i="41"/>
  <c r="O581" i="41"/>
  <c r="W580" i="41"/>
  <c r="AE579" i="41"/>
  <c r="K579" i="41"/>
  <c r="S578" i="41"/>
  <c r="AA577" i="41"/>
  <c r="G577" i="41"/>
  <c r="O576" i="41"/>
  <c r="W575" i="41"/>
  <c r="AE574" i="41"/>
  <c r="K574" i="41"/>
  <c r="N588" i="41"/>
  <c r="M593" i="41"/>
  <c r="Q580" i="41"/>
  <c r="R593" i="41"/>
  <c r="Z592" i="41"/>
  <c r="F592" i="41"/>
  <c r="N591" i="41"/>
  <c r="V590" i="41"/>
  <c r="AD589" i="41"/>
  <c r="J589" i="41"/>
  <c r="R588" i="41"/>
  <c r="Z587" i="41"/>
  <c r="F587" i="41"/>
  <c r="N586" i="41"/>
  <c r="V585" i="41"/>
  <c r="AD584" i="41"/>
  <c r="J584" i="41"/>
  <c r="R583" i="41"/>
  <c r="Z582" i="41"/>
  <c r="F582" i="41"/>
  <c r="N581" i="41"/>
  <c r="V580" i="41"/>
  <c r="AD579" i="41"/>
  <c r="J579" i="41"/>
  <c r="R578" i="41"/>
  <c r="Z577" i="41"/>
  <c r="F577" i="41"/>
  <c r="N576" i="41"/>
  <c r="V575" i="41"/>
  <c r="AD574" i="41"/>
  <c r="J574" i="41"/>
  <c r="AD586" i="41"/>
  <c r="AC591" i="41"/>
  <c r="M578" i="41"/>
  <c r="Q593" i="41"/>
  <c r="Y592" i="41"/>
  <c r="E592" i="41"/>
  <c r="M591" i="41"/>
  <c r="U590" i="41"/>
  <c r="AC589" i="41"/>
  <c r="I589" i="41"/>
  <c r="Q588" i="41"/>
  <c r="Y587" i="41"/>
  <c r="E587" i="41"/>
  <c r="M586" i="41"/>
  <c r="U585" i="41"/>
  <c r="AC584" i="41"/>
  <c r="I584" i="41"/>
  <c r="Q583" i="41"/>
  <c r="Y582" i="41"/>
  <c r="E582" i="41"/>
  <c r="M581" i="41"/>
  <c r="U580" i="41"/>
  <c r="AC579" i="41"/>
  <c r="I579" i="41"/>
  <c r="Q578" i="41"/>
  <c r="Y577" i="41"/>
  <c r="E577" i="41"/>
  <c r="M576" i="41"/>
  <c r="U575" i="41"/>
  <c r="AC574" i="41"/>
  <c r="I574" i="41"/>
  <c r="F589" i="41"/>
  <c r="Q590" i="41"/>
  <c r="E579" i="41"/>
  <c r="P593" i="41"/>
  <c r="X592" i="41"/>
  <c r="AF591" i="41"/>
  <c r="L591" i="41"/>
  <c r="T590" i="41"/>
  <c r="AB589" i="41"/>
  <c r="H589" i="41"/>
  <c r="P588" i="41"/>
  <c r="X587" i="41"/>
  <c r="AF586" i="41"/>
  <c r="L586" i="41"/>
  <c r="T585" i="41"/>
  <c r="AB584" i="41"/>
  <c r="H584" i="41"/>
  <c r="P583" i="41"/>
  <c r="X582" i="41"/>
  <c r="AF581" i="41"/>
  <c r="L581" i="41"/>
  <c r="T580" i="41"/>
  <c r="AB579" i="41"/>
  <c r="H579" i="41"/>
  <c r="P578" i="41"/>
  <c r="X577" i="41"/>
  <c r="AF576" i="41"/>
  <c r="L576" i="41"/>
  <c r="T575" i="41"/>
  <c r="AB574" i="41"/>
  <c r="H574" i="41"/>
  <c r="N593" i="41"/>
  <c r="R580" i="41"/>
  <c r="J576" i="41"/>
  <c r="U587" i="41"/>
  <c r="E574" i="41"/>
  <c r="O593" i="41"/>
  <c r="W592" i="41"/>
  <c r="AE591" i="41"/>
  <c r="K591" i="41"/>
  <c r="S590" i="41"/>
  <c r="AA589" i="41"/>
  <c r="G589" i="41"/>
  <c r="O588" i="41"/>
  <c r="W587" i="41"/>
  <c r="AE586" i="41"/>
  <c r="K586" i="41"/>
  <c r="S585" i="41"/>
  <c r="AA584" i="41"/>
  <c r="G584" i="41"/>
  <c r="O583" i="41"/>
  <c r="W582" i="41"/>
  <c r="AE581" i="41"/>
  <c r="K581" i="41"/>
  <c r="S580" i="41"/>
  <c r="AA579" i="41"/>
  <c r="G579" i="41"/>
  <c r="O578" i="41"/>
  <c r="W577" i="41"/>
  <c r="AE576" i="41"/>
  <c r="K576" i="41"/>
  <c r="S575" i="41"/>
  <c r="AA574" i="41"/>
  <c r="G574" i="41"/>
  <c r="R590" i="41"/>
  <c r="N578" i="41"/>
  <c r="Y589" i="41"/>
  <c r="I576" i="41"/>
  <c r="V32" i="62" l="1" a="1"/>
  <c r="V32" i="62" s="1"/>
  <c r="V230" i="62" a="1"/>
  <c r="V230" i="62" s="1"/>
  <c r="V329" i="62" a="1"/>
  <c r="V329" i="62" s="1"/>
  <c r="V131" i="62" a="1"/>
  <c r="V131" i="62" s="1"/>
  <c r="O32" i="62" a="1"/>
  <c r="O32" i="62" s="1"/>
  <c r="O230" i="62" a="1"/>
  <c r="O230" i="62" s="1"/>
  <c r="O329" i="62" a="1"/>
  <c r="O329" i="62" s="1"/>
  <c r="O131" i="62" a="1"/>
  <c r="O131" i="62" s="1"/>
  <c r="AI32" i="62" a="1"/>
  <c r="AI32" i="62" s="1"/>
  <c r="AI230" i="62" a="1"/>
  <c r="AI230" i="62" s="1"/>
  <c r="AI329" i="62" a="1"/>
  <c r="AI329" i="62" s="1"/>
  <c r="AI131" i="62" a="1"/>
  <c r="AI131" i="62" s="1"/>
  <c r="AA32" i="62" a="1"/>
  <c r="AA32" i="62" s="1"/>
  <c r="AA131" i="62" a="1"/>
  <c r="AA131" i="62" s="1"/>
  <c r="AA230" i="62" a="1"/>
  <c r="AA230" i="62" s="1"/>
  <c r="AA329" i="62" a="1"/>
  <c r="AA329" i="62" s="1"/>
  <c r="P32" i="62" a="1"/>
  <c r="P32" i="62" s="1"/>
  <c r="P131" i="62" a="1"/>
  <c r="P131" i="62" s="1"/>
  <c r="P230" i="62" a="1"/>
  <c r="P230" i="62" s="1"/>
  <c r="P329" i="62" a="1"/>
  <c r="P329" i="62" s="1"/>
  <c r="AE32" i="62" a="1"/>
  <c r="AE32" i="62" s="1"/>
  <c r="AE230" i="62" a="1"/>
  <c r="AE230" i="62" s="1"/>
  <c r="AE329" i="62" a="1"/>
  <c r="AE329" i="62" s="1"/>
  <c r="AE131" i="62" a="1"/>
  <c r="AE131" i="62" s="1"/>
  <c r="U131" i="62" a="1"/>
  <c r="U131" i="62" s="1"/>
  <c r="U32" i="62" a="1"/>
  <c r="U32" i="62" s="1"/>
  <c r="U230" i="62" a="1"/>
  <c r="U230" i="62" s="1"/>
  <c r="U329" i="62" a="1"/>
  <c r="U329" i="62" s="1"/>
  <c r="X131" i="62" a="1"/>
  <c r="X131" i="62" s="1"/>
  <c r="X32" i="62" a="1"/>
  <c r="X32" i="62" s="1"/>
  <c r="X230" i="62" a="1"/>
  <c r="X230" i="62" s="1"/>
  <c r="X329" i="62" a="1"/>
  <c r="X329" i="62" s="1"/>
  <c r="N32" i="62" a="1"/>
  <c r="N32" i="62" s="1"/>
  <c r="N131" i="62" a="1"/>
  <c r="N131" i="62" s="1"/>
  <c r="N230" i="62" a="1"/>
  <c r="N230" i="62" s="1"/>
  <c r="N329" i="62" a="1"/>
  <c r="N329" i="62" s="1"/>
  <c r="R329" i="62" a="1"/>
  <c r="R329" i="62" s="1"/>
  <c r="R131" i="62" a="1"/>
  <c r="R131" i="62" s="1"/>
  <c r="R32" i="62" a="1"/>
  <c r="R32" i="62" s="1"/>
  <c r="R230" i="62" a="1"/>
  <c r="R230" i="62" s="1"/>
  <c r="AB32" i="62" a="1"/>
  <c r="AB32" i="62" s="1"/>
  <c r="AB131" i="62" a="1"/>
  <c r="AB131" i="62" s="1"/>
  <c r="AB230" i="62" a="1"/>
  <c r="AB230" i="62" s="1"/>
  <c r="AB329" i="62" a="1"/>
  <c r="AB329" i="62" s="1"/>
  <c r="K32" i="62" a="1"/>
  <c r="K32" i="62" s="1"/>
  <c r="K230" i="62" a="1"/>
  <c r="K230" i="62" s="1"/>
  <c r="K131" i="62" a="1"/>
  <c r="K131" i="62" s="1"/>
  <c r="K329" i="62" a="1"/>
  <c r="K329" i="62" s="1"/>
  <c r="AH32" i="62" a="1"/>
  <c r="AH32" i="62" s="1"/>
  <c r="AH131" i="62" a="1"/>
  <c r="AH131" i="62" s="1"/>
  <c r="AH230" i="62" a="1"/>
  <c r="AH230" i="62" s="1"/>
  <c r="AH329" i="62" a="1"/>
  <c r="AH329" i="62" s="1"/>
  <c r="AL32" i="62" a="1"/>
  <c r="AL32" i="62" s="1"/>
  <c r="AL131" i="62" a="1"/>
  <c r="AL131" i="62" s="1"/>
  <c r="AL230" i="62" a="1"/>
  <c r="AL230" i="62" s="1"/>
  <c r="AL329" i="62" a="1"/>
  <c r="AL329" i="62" s="1"/>
  <c r="Z329" i="62" a="1"/>
  <c r="Z329" i="62" s="1"/>
  <c r="Z131" i="62" a="1"/>
  <c r="Z131" i="62" s="1"/>
  <c r="Z32" i="62" a="1"/>
  <c r="Z32" i="62" s="1"/>
  <c r="Z230" i="62" a="1"/>
  <c r="Z230" i="62" s="1"/>
  <c r="M32" i="62" a="1"/>
  <c r="M32" i="62" s="1"/>
  <c r="M131" i="62" a="1"/>
  <c r="M131" i="62" s="1"/>
  <c r="M230" i="62" a="1"/>
  <c r="M230" i="62" s="1"/>
  <c r="M329" i="62" a="1"/>
  <c r="M329" i="62" s="1"/>
  <c r="AD329" i="62" a="1"/>
  <c r="AD329" i="62" s="1"/>
  <c r="AD131" i="62" a="1"/>
  <c r="AD131" i="62" s="1"/>
  <c r="AD32" i="62" a="1"/>
  <c r="AD32" i="62" s="1"/>
  <c r="AD230" i="62" a="1"/>
  <c r="AD230" i="62" s="1"/>
  <c r="AG32" i="62" a="1"/>
  <c r="AG32" i="62" s="1"/>
  <c r="AG131" i="62" a="1"/>
  <c r="AG131" i="62" s="1"/>
  <c r="AG230" i="62" a="1"/>
  <c r="AG230" i="62" s="1"/>
  <c r="AG329" i="62" a="1"/>
  <c r="AG329" i="62" s="1"/>
  <c r="Q230" i="62" a="1"/>
  <c r="Q230" i="62" s="1"/>
  <c r="Q329" i="62" a="1"/>
  <c r="Q329" i="62" s="1"/>
  <c r="Q32" i="62" a="1"/>
  <c r="Q32" i="62" s="1"/>
  <c r="Q131" i="62" a="1"/>
  <c r="Q131" i="62" s="1"/>
  <c r="AK131" i="62" a="1"/>
  <c r="AK131" i="62" s="1"/>
  <c r="AK230" i="62" a="1"/>
  <c r="AK230" i="62" s="1"/>
  <c r="AK32" i="62" a="1"/>
  <c r="AK32" i="62" s="1"/>
  <c r="AK329" i="62" a="1"/>
  <c r="AK329" i="62" s="1"/>
  <c r="T131" i="62" a="1"/>
  <c r="T131" i="62" s="1"/>
  <c r="T32" i="62" a="1"/>
  <c r="T32" i="62" s="1"/>
  <c r="T230" i="62" a="1"/>
  <c r="T230" i="62" s="1"/>
  <c r="T329" i="62" a="1"/>
  <c r="T329" i="62" s="1"/>
  <c r="L32" i="62" a="1"/>
  <c r="L32" i="62" s="1"/>
  <c r="L131" i="62" a="1"/>
  <c r="L131" i="62" s="1"/>
  <c r="L230" i="62" a="1"/>
  <c r="L230" i="62" s="1"/>
  <c r="L329" i="62" a="1"/>
  <c r="L329" i="62" s="1"/>
  <c r="W32" i="62" a="1"/>
  <c r="W32" i="62" s="1"/>
  <c r="W131" i="62" a="1"/>
  <c r="W131" i="62" s="1"/>
  <c r="W230" i="62" a="1"/>
  <c r="W230" i="62" s="1"/>
  <c r="W329" i="62" a="1"/>
  <c r="W329" i="62" s="1"/>
  <c r="AF32" i="62" a="1"/>
  <c r="AF32" i="62" s="1"/>
  <c r="AF131" i="62" a="1"/>
  <c r="AF131" i="62" s="1"/>
  <c r="AF230" i="62" a="1"/>
  <c r="AF230" i="62" s="1"/>
  <c r="AF329" i="62" a="1"/>
  <c r="AF329" i="62" s="1"/>
  <c r="K20" i="62" a="1"/>
  <c r="K20" i="62" s="1"/>
  <c r="K21" i="62" s="1"/>
  <c r="Q446" i="62" a="1"/>
  <c r="Q446" i="62" s="1"/>
  <c r="Q644" i="62" a="1"/>
  <c r="Q644" i="62" s="1"/>
  <c r="Q545" i="62" a="1"/>
  <c r="Q545" i="62" s="1"/>
  <c r="Q743" i="62" a="1"/>
  <c r="Q743" i="62" s="1"/>
  <c r="S449" i="62" a="1"/>
  <c r="S449" i="62" s="1"/>
  <c r="S548" i="62" a="1"/>
  <c r="S548" i="62" s="1"/>
  <c r="S647" i="62" a="1"/>
  <c r="S647" i="62" s="1"/>
  <c r="S746" i="62" a="1"/>
  <c r="S746" i="62" s="1"/>
  <c r="X443" i="62" a="1"/>
  <c r="X443" i="62" s="1"/>
  <c r="X452" i="62" s="1"/>
  <c r="X454" i="62" s="1"/>
  <c r="X542" i="62" a="1"/>
  <c r="X542" i="62" s="1"/>
  <c r="X551" i="62" s="1"/>
  <c r="X553" i="62" s="1"/>
  <c r="X740" i="62" a="1"/>
  <c r="X740" i="62" s="1"/>
  <c r="X749" i="62" s="1"/>
  <c r="X751" i="62" s="1"/>
  <c r="X641" i="62" a="1"/>
  <c r="X641" i="62" s="1"/>
  <c r="X650" i="62" s="1"/>
  <c r="X652" i="62" s="1"/>
  <c r="K748" i="62" a="1"/>
  <c r="K748" i="62" s="1"/>
  <c r="K451" i="62" a="1"/>
  <c r="K451" i="62" s="1"/>
  <c r="K550" i="62" a="1"/>
  <c r="K550" i="62" s="1"/>
  <c r="K649" i="62" a="1"/>
  <c r="K649" i="62" s="1"/>
  <c r="O649" i="62" a="1"/>
  <c r="O649" i="62" s="1"/>
  <c r="O550" i="62" a="1"/>
  <c r="O550" i="62" s="1"/>
  <c r="O451" i="62" a="1"/>
  <c r="O451" i="62" s="1"/>
  <c r="O748" i="62" a="1"/>
  <c r="O748" i="62" s="1"/>
  <c r="AF447" i="62" a="1"/>
  <c r="AF447" i="62" s="1"/>
  <c r="AF645" i="62" a="1"/>
  <c r="AF645" i="62" s="1"/>
  <c r="AF744" i="62" a="1"/>
  <c r="AF744" i="62" s="1"/>
  <c r="AF546" i="62" a="1"/>
  <c r="AF546" i="62" s="1"/>
  <c r="T547" i="62" a="1"/>
  <c r="T547" i="62" s="1"/>
  <c r="T745" i="62" a="1"/>
  <c r="T745" i="62" s="1"/>
  <c r="T646" i="62" a="1"/>
  <c r="T646" i="62" s="1"/>
  <c r="T448" i="62" a="1"/>
  <c r="T448" i="62" s="1"/>
  <c r="AD542" i="62" a="1"/>
  <c r="AD542" i="62" s="1"/>
  <c r="AD551" i="62" s="1"/>
  <c r="AD553" i="62" s="1"/>
  <c r="AD641" i="62" a="1"/>
  <c r="AD641" i="62" s="1"/>
  <c r="AD650" i="62" s="1"/>
  <c r="AD652" i="62" s="1"/>
  <c r="AD740" i="62" a="1"/>
  <c r="AD740" i="62" s="1"/>
  <c r="AD749" i="62" s="1"/>
  <c r="AD751" i="62" s="1"/>
  <c r="AD443" i="62" a="1"/>
  <c r="AD443" i="62" s="1"/>
  <c r="AD452" i="62" s="1"/>
  <c r="AD454" i="62" s="1"/>
  <c r="X547" i="62" a="1"/>
  <c r="X547" i="62" s="1"/>
  <c r="X646" i="62" a="1"/>
  <c r="X646" i="62" s="1"/>
  <c r="X448" i="62" a="1"/>
  <c r="X448" i="62" s="1"/>
  <c r="X745" i="62" a="1"/>
  <c r="X745" i="62" s="1"/>
  <c r="Z649" i="62" a="1"/>
  <c r="Z649" i="62" s="1"/>
  <c r="Z748" i="62" a="1"/>
  <c r="Z748" i="62" s="1"/>
  <c r="Z550" i="62" a="1"/>
  <c r="Z550" i="62" s="1"/>
  <c r="Z451" i="62" a="1"/>
  <c r="Z451" i="62" s="1"/>
  <c r="AD649" i="62" a="1"/>
  <c r="AD649" i="62" s="1"/>
  <c r="AD451" i="62" a="1"/>
  <c r="AD451" i="62" s="1"/>
  <c r="AD748" i="62" a="1"/>
  <c r="AD748" i="62" s="1"/>
  <c r="AD550" i="62" a="1"/>
  <c r="AD550" i="62" s="1"/>
  <c r="AK544" i="62" a="1"/>
  <c r="AK544" i="62" s="1"/>
  <c r="AK552" i="62" s="1"/>
  <c r="AK554" i="62" s="1"/>
  <c r="AK643" i="62" a="1"/>
  <c r="AK643" i="62" s="1"/>
  <c r="AK651" i="62" s="1"/>
  <c r="AK653" i="62" s="1"/>
  <c r="AK445" i="62" a="1"/>
  <c r="AK445" i="62" s="1"/>
  <c r="AK453" i="62" s="1"/>
  <c r="AK455" i="62" s="1"/>
  <c r="AK742" i="62" a="1"/>
  <c r="AK742" i="62" s="1"/>
  <c r="AK750" i="62" s="1"/>
  <c r="AK752" i="62" s="1"/>
  <c r="Z646" i="62" a="1"/>
  <c r="Z646" i="62" s="1"/>
  <c r="Z547" i="62" a="1"/>
  <c r="Z547" i="62" s="1"/>
  <c r="Z448" i="62" a="1"/>
  <c r="Z448" i="62" s="1"/>
  <c r="Z745" i="62" a="1"/>
  <c r="Z745" i="62" s="1"/>
  <c r="T546" i="62" a="1"/>
  <c r="T546" i="62" s="1"/>
  <c r="T744" i="62" a="1"/>
  <c r="T744" i="62" s="1"/>
  <c r="T645" i="62" a="1"/>
  <c r="T645" i="62" s="1"/>
  <c r="T447" i="62" a="1"/>
  <c r="T447" i="62" s="1"/>
  <c r="AJ742" i="62" a="1"/>
  <c r="AJ742" i="62" s="1"/>
  <c r="AJ750" i="62" s="1"/>
  <c r="AJ752" i="62" s="1"/>
  <c r="AJ544" i="62" a="1"/>
  <c r="AJ544" i="62" s="1"/>
  <c r="AJ552" i="62" s="1"/>
  <c r="AJ554" i="62" s="1"/>
  <c r="AJ445" i="62" a="1"/>
  <c r="AJ445" i="62" s="1"/>
  <c r="AJ453" i="62" s="1"/>
  <c r="AJ455" i="62" s="1"/>
  <c r="AJ643" i="62" a="1"/>
  <c r="AJ643" i="62" s="1"/>
  <c r="AJ651" i="62" s="1"/>
  <c r="AJ653" i="62" s="1"/>
  <c r="AA641" i="62" a="1"/>
  <c r="AA641" i="62" s="1"/>
  <c r="AA650" i="62" s="1"/>
  <c r="AA652" i="62" s="1"/>
  <c r="AA740" i="62" a="1"/>
  <c r="AA740" i="62" s="1"/>
  <c r="AA749" i="62" s="1"/>
  <c r="AA751" i="62" s="1"/>
  <c r="AA542" i="62" a="1"/>
  <c r="AA542" i="62" s="1"/>
  <c r="AA551" i="62" s="1"/>
  <c r="AA553" i="62" s="1"/>
  <c r="AA443" i="62" a="1"/>
  <c r="AA443" i="62" s="1"/>
  <c r="AA452" i="62" s="1"/>
  <c r="AA454" i="62" s="1"/>
  <c r="V545" i="62" a="1"/>
  <c r="V545" i="62" s="1"/>
  <c r="V446" i="62" a="1"/>
  <c r="V446" i="62" s="1"/>
  <c r="V644" i="62" a="1"/>
  <c r="V644" i="62" s="1"/>
  <c r="V743" i="62" a="1"/>
  <c r="V743" i="62" s="1"/>
  <c r="AI447" i="62" a="1"/>
  <c r="AI447" i="62" s="1"/>
  <c r="AI744" i="62" a="1"/>
  <c r="AI744" i="62" s="1"/>
  <c r="AI645" i="62" a="1"/>
  <c r="AI645" i="62" s="1"/>
  <c r="AI546" i="62" a="1"/>
  <c r="AI546" i="62" s="1"/>
  <c r="AL747" i="62" a="1"/>
  <c r="AL747" i="62" s="1"/>
  <c r="AL450" i="62" a="1"/>
  <c r="AL450" i="62" s="1"/>
  <c r="AL648" i="62" a="1"/>
  <c r="AL648" i="62" s="1"/>
  <c r="AL549" i="62" a="1"/>
  <c r="AL549" i="62" s="1"/>
  <c r="L545" i="62" a="1"/>
  <c r="L545" i="62" s="1"/>
  <c r="L644" i="62" a="1"/>
  <c r="L644" i="62" s="1"/>
  <c r="L743" i="62" a="1"/>
  <c r="L743" i="62" s="1"/>
  <c r="L446" i="62" a="1"/>
  <c r="L446" i="62" s="1"/>
  <c r="M647" i="62" a="1"/>
  <c r="M647" i="62" s="1"/>
  <c r="M746" i="62" a="1"/>
  <c r="M746" i="62" s="1"/>
  <c r="M449" i="62" a="1"/>
  <c r="M449" i="62" s="1"/>
  <c r="M548" i="62" a="1"/>
  <c r="M548" i="62" s="1"/>
  <c r="M649" i="62" a="1"/>
  <c r="M649" i="62" s="1"/>
  <c r="M748" i="62" a="1"/>
  <c r="M748" i="62" s="1"/>
  <c r="M451" i="62" a="1"/>
  <c r="M451" i="62" s="1"/>
  <c r="M550" i="62" a="1"/>
  <c r="M550" i="62" s="1"/>
  <c r="Q645" i="62" a="1"/>
  <c r="Q645" i="62" s="1"/>
  <c r="Q744" i="62" a="1"/>
  <c r="Q744" i="62" s="1"/>
  <c r="Q546" i="62" a="1"/>
  <c r="Q546" i="62" s="1"/>
  <c r="Q447" i="62" a="1"/>
  <c r="Q447" i="62" s="1"/>
  <c r="T450" i="62" a="1"/>
  <c r="T450" i="62" s="1"/>
  <c r="T549" i="62" a="1"/>
  <c r="T549" i="62" s="1"/>
  <c r="T747" i="62" a="1"/>
  <c r="T747" i="62" s="1"/>
  <c r="T648" i="62" a="1"/>
  <c r="T648" i="62" s="1"/>
  <c r="K546" i="62" a="1"/>
  <c r="K546" i="62" s="1"/>
  <c r="K645" i="62" a="1"/>
  <c r="K645" i="62" s="1"/>
  <c r="K447" i="62" a="1"/>
  <c r="K447" i="62" s="1"/>
  <c r="K744" i="62" a="1"/>
  <c r="K744" i="62" s="1"/>
  <c r="X541" i="62" a="1"/>
  <c r="X541" i="62" s="1"/>
  <c r="X739" i="62" a="1"/>
  <c r="X739" i="62" s="1"/>
  <c r="X442" i="62" a="1"/>
  <c r="X442" i="62" s="1"/>
  <c r="X640" i="62" a="1"/>
  <c r="X640" i="62" s="1"/>
  <c r="AG445" i="62" a="1"/>
  <c r="AG445" i="62" s="1"/>
  <c r="AG453" i="62" s="1"/>
  <c r="AG455" i="62" s="1"/>
  <c r="AG643" i="62" a="1"/>
  <c r="AG643" i="62" s="1"/>
  <c r="AG651" i="62" s="1"/>
  <c r="AG653" i="62" s="1"/>
  <c r="AG742" i="62" a="1"/>
  <c r="AG742" i="62" s="1"/>
  <c r="AG750" i="62" s="1"/>
  <c r="AG752" i="62" s="1"/>
  <c r="AG544" i="62" a="1"/>
  <c r="AG544" i="62" s="1"/>
  <c r="AG552" i="62" s="1"/>
  <c r="AG554" i="62" s="1"/>
  <c r="T443" i="62" a="1"/>
  <c r="T443" i="62" s="1"/>
  <c r="T452" i="62" s="1"/>
  <c r="T454" i="62" s="1"/>
  <c r="T542" i="62" a="1"/>
  <c r="T542" i="62" s="1"/>
  <c r="T551" i="62" s="1"/>
  <c r="T553" i="62" s="1"/>
  <c r="T641" i="62" a="1"/>
  <c r="T641" i="62" s="1"/>
  <c r="T650" i="62" s="1"/>
  <c r="T652" i="62" s="1"/>
  <c r="T740" i="62" a="1"/>
  <c r="T740" i="62" s="1"/>
  <c r="T749" i="62" s="1"/>
  <c r="T751" i="62" s="1"/>
  <c r="S545" i="62" a="1"/>
  <c r="S545" i="62" s="1"/>
  <c r="S446" i="62" a="1"/>
  <c r="S446" i="62" s="1"/>
  <c r="S743" i="62" a="1"/>
  <c r="S743" i="62" s="1"/>
  <c r="S644" i="62" a="1"/>
  <c r="S644" i="62" s="1"/>
  <c r="AD739" i="62" a="1"/>
  <c r="AD739" i="62" s="1"/>
  <c r="AD640" i="62" a="1"/>
  <c r="AD640" i="62" s="1"/>
  <c r="AD541" i="62" a="1"/>
  <c r="AD541" i="62" s="1"/>
  <c r="AD442" i="62" a="1"/>
  <c r="AD442" i="62" s="1"/>
  <c r="K742" i="62" a="1"/>
  <c r="K742" i="62" s="1"/>
  <c r="K750" i="62" s="1"/>
  <c r="K752" i="62" s="1"/>
  <c r="K643" i="62" a="1"/>
  <c r="K643" i="62" s="1"/>
  <c r="K651" i="62" s="1"/>
  <c r="K653" i="62" s="1"/>
  <c r="K544" i="62" a="1"/>
  <c r="K544" i="62" s="1"/>
  <c r="K552" i="62" s="1"/>
  <c r="K554" i="62" s="1"/>
  <c r="K445" i="62" a="1"/>
  <c r="K445" i="62" s="1"/>
  <c r="K453" i="62" s="1"/>
  <c r="K455" i="62" s="1"/>
  <c r="AF643" i="62" a="1"/>
  <c r="AF643" i="62" s="1"/>
  <c r="AF651" i="62" s="1"/>
  <c r="AF653" i="62" s="1"/>
  <c r="AF742" i="62" a="1"/>
  <c r="AF742" i="62" s="1"/>
  <c r="AF750" i="62" s="1"/>
  <c r="AF752" i="62" s="1"/>
  <c r="AF445" i="62" a="1"/>
  <c r="AF445" i="62" s="1"/>
  <c r="AF453" i="62" s="1"/>
  <c r="AF455" i="62" s="1"/>
  <c r="AF544" i="62" a="1"/>
  <c r="AF544" i="62" s="1"/>
  <c r="AF552" i="62" s="1"/>
  <c r="AF554" i="62" s="1"/>
  <c r="AK646" i="62" a="1"/>
  <c r="AK646" i="62" s="1"/>
  <c r="AK745" i="62" a="1"/>
  <c r="AK745" i="62" s="1"/>
  <c r="AK547" i="62" a="1"/>
  <c r="AK547" i="62" s="1"/>
  <c r="AK448" i="62" a="1"/>
  <c r="AK448" i="62" s="1"/>
  <c r="AG545" i="62" a="1"/>
  <c r="AG545" i="62" s="1"/>
  <c r="AG446" i="62" a="1"/>
  <c r="AG446" i="62" s="1"/>
  <c r="AG644" i="62" a="1"/>
  <c r="AG644" i="62" s="1"/>
  <c r="AG743" i="62" a="1"/>
  <c r="AG743" i="62" s="1"/>
  <c r="AI451" i="62" a="1"/>
  <c r="AI451" i="62" s="1"/>
  <c r="AI649" i="62" a="1"/>
  <c r="AI649" i="62" s="1"/>
  <c r="AI748" i="62" a="1"/>
  <c r="AI748" i="62" s="1"/>
  <c r="AI550" i="62" a="1"/>
  <c r="AI550" i="62" s="1"/>
  <c r="AL748" i="62" a="1"/>
  <c r="AL748" i="62" s="1"/>
  <c r="AL550" i="62" a="1"/>
  <c r="AL550" i="62" s="1"/>
  <c r="AL451" i="62" a="1"/>
  <c r="AL451" i="62" s="1"/>
  <c r="AL649" i="62" a="1"/>
  <c r="AL649" i="62" s="1"/>
  <c r="T647" i="62" a="1"/>
  <c r="T647" i="62" s="1"/>
  <c r="T548" i="62" a="1"/>
  <c r="T548" i="62" s="1"/>
  <c r="T746" i="62" a="1"/>
  <c r="T746" i="62" s="1"/>
  <c r="T449" i="62" a="1"/>
  <c r="T449" i="62" s="1"/>
  <c r="AA549" i="62" a="1"/>
  <c r="AA549" i="62" s="1"/>
  <c r="AA648" i="62" a="1"/>
  <c r="AA648" i="62" s="1"/>
  <c r="AA747" i="62" a="1"/>
  <c r="AA747" i="62" s="1"/>
  <c r="AA450" i="62" a="1"/>
  <c r="AA450" i="62" s="1"/>
  <c r="N550" i="62" a="1"/>
  <c r="N550" i="62" s="1"/>
  <c r="N748" i="62" a="1"/>
  <c r="N748" i="62" s="1"/>
  <c r="N451" i="62" a="1"/>
  <c r="N451" i="62" s="1"/>
  <c r="N649" i="62" a="1"/>
  <c r="N649" i="62" s="1"/>
  <c r="P748" i="62" a="1"/>
  <c r="P748" i="62" s="1"/>
  <c r="P649" i="62" a="1"/>
  <c r="P649" i="62" s="1"/>
  <c r="P451" i="62" a="1"/>
  <c r="P451" i="62" s="1"/>
  <c r="P550" i="62" a="1"/>
  <c r="P550" i="62" s="1"/>
  <c r="AG744" i="62" a="1"/>
  <c r="AG744" i="62" s="1"/>
  <c r="AG546" i="62" a="1"/>
  <c r="AG546" i="62" s="1"/>
  <c r="AG447" i="62" a="1"/>
  <c r="AG447" i="62" s="1"/>
  <c r="AG645" i="62" a="1"/>
  <c r="AG645" i="62" s="1"/>
  <c r="O743" i="62" a="1"/>
  <c r="O743" i="62" s="1"/>
  <c r="O545" i="62" a="1"/>
  <c r="O545" i="62" s="1"/>
  <c r="O446" i="62" a="1"/>
  <c r="O446" i="62" s="1"/>
  <c r="O644" i="62" a="1"/>
  <c r="O644" i="62" s="1"/>
  <c r="Q745" i="62" a="1"/>
  <c r="Q745" i="62" s="1"/>
  <c r="Q547" i="62" a="1"/>
  <c r="Q547" i="62" s="1"/>
  <c r="Q646" i="62" a="1"/>
  <c r="Q646" i="62" s="1"/>
  <c r="Q448" i="62" a="1"/>
  <c r="Q448" i="62" s="1"/>
  <c r="Y641" i="62" a="1"/>
  <c r="Y641" i="62" s="1"/>
  <c r="Y650" i="62" s="1"/>
  <c r="Y652" i="62" s="1"/>
  <c r="Y542" i="62" a="1"/>
  <c r="Y542" i="62" s="1"/>
  <c r="Y551" i="62" s="1"/>
  <c r="Y553" i="62" s="1"/>
  <c r="Y740" i="62" a="1"/>
  <c r="Y740" i="62" s="1"/>
  <c r="Y749" i="62" s="1"/>
  <c r="Y751" i="62" s="1"/>
  <c r="Y443" i="62" a="1"/>
  <c r="Y443" i="62" s="1"/>
  <c r="Y452" i="62" s="1"/>
  <c r="Y454" i="62" s="1"/>
  <c r="AG449" i="62" a="1"/>
  <c r="AG449" i="62" s="1"/>
  <c r="AG548" i="62" a="1"/>
  <c r="AG548" i="62" s="1"/>
  <c r="AG746" i="62" a="1"/>
  <c r="AG746" i="62" s="1"/>
  <c r="AG647" i="62" a="1"/>
  <c r="AG647" i="62" s="1"/>
  <c r="V747" i="62" a="1"/>
  <c r="V747" i="62" s="1"/>
  <c r="V648" i="62" a="1"/>
  <c r="V648" i="62" s="1"/>
  <c r="V549" i="62" a="1"/>
  <c r="V549" i="62" s="1"/>
  <c r="V450" i="62" a="1"/>
  <c r="V450" i="62" s="1"/>
  <c r="AG541" i="62" a="1"/>
  <c r="AG541" i="62" s="1"/>
  <c r="AG442" i="62" a="1"/>
  <c r="AG442" i="62" s="1"/>
  <c r="AG739" i="62" a="1"/>
  <c r="AG739" i="62" s="1"/>
  <c r="AG640" i="62" a="1"/>
  <c r="AG640" i="62" s="1"/>
  <c r="AF649" i="62" a="1"/>
  <c r="AF649" i="62" s="1"/>
  <c r="AF451" i="62" a="1"/>
  <c r="AF451" i="62" s="1"/>
  <c r="AF550" i="62" a="1"/>
  <c r="AF550" i="62" s="1"/>
  <c r="AF748" i="62" a="1"/>
  <c r="AF748" i="62" s="1"/>
  <c r="T451" i="62" a="1"/>
  <c r="T451" i="62" s="1"/>
  <c r="T550" i="62" a="1"/>
  <c r="T550" i="62" s="1"/>
  <c r="T748" i="62" a="1"/>
  <c r="T748" i="62" s="1"/>
  <c r="T649" i="62" a="1"/>
  <c r="T649" i="62" s="1"/>
  <c r="Y447" i="62" a="1"/>
  <c r="Y447" i="62" s="1"/>
  <c r="Y546" i="62" a="1"/>
  <c r="Y546" i="62" s="1"/>
  <c r="Y645" i="62" a="1"/>
  <c r="Y645" i="62" s="1"/>
  <c r="Y744" i="62" a="1"/>
  <c r="Y744" i="62" s="1"/>
  <c r="AH546" i="62" a="1"/>
  <c r="AH546" i="62" s="1"/>
  <c r="AH447" i="62" a="1"/>
  <c r="AH447" i="62" s="1"/>
  <c r="AH744" i="62" a="1"/>
  <c r="AH744" i="62" s="1"/>
  <c r="AH645" i="62" a="1"/>
  <c r="AH645" i="62" s="1"/>
  <c r="AH743" i="62" a="1"/>
  <c r="AH743" i="62" s="1"/>
  <c r="AH644" i="62" a="1"/>
  <c r="AH644" i="62" s="1"/>
  <c r="AH545" i="62" a="1"/>
  <c r="AH545" i="62" s="1"/>
  <c r="AH446" i="62" a="1"/>
  <c r="AH446" i="62" s="1"/>
  <c r="AF541" i="62" a="1"/>
  <c r="AF541" i="62" s="1"/>
  <c r="AF739" i="62" a="1"/>
  <c r="AF739" i="62" s="1"/>
  <c r="AF640" i="62" a="1"/>
  <c r="AF640" i="62" s="1"/>
  <c r="AF442" i="62" a="1"/>
  <c r="AF442" i="62" s="1"/>
  <c r="AL743" i="62" a="1"/>
  <c r="AL743" i="62" s="1"/>
  <c r="AL446" i="62" a="1"/>
  <c r="AL446" i="62" s="1"/>
  <c r="AL545" i="62" a="1"/>
  <c r="AL545" i="62" s="1"/>
  <c r="AL644" i="62" a="1"/>
  <c r="AL644" i="62" s="1"/>
  <c r="M747" i="62" a="1"/>
  <c r="M747" i="62" s="1"/>
  <c r="M450" i="62" a="1"/>
  <c r="M450" i="62" s="1"/>
  <c r="M648" i="62" a="1"/>
  <c r="M648" i="62" s="1"/>
  <c r="M549" i="62" a="1"/>
  <c r="M549" i="62" s="1"/>
  <c r="V641" i="62" a="1"/>
  <c r="V641" i="62" s="1"/>
  <c r="V650" i="62" s="1"/>
  <c r="V652" i="62" s="1"/>
  <c r="V542" i="62" a="1"/>
  <c r="V542" i="62" s="1"/>
  <c r="V551" i="62" s="1"/>
  <c r="V553" i="62" s="1"/>
  <c r="V443" i="62" a="1"/>
  <c r="V443" i="62" s="1"/>
  <c r="V452" i="62" s="1"/>
  <c r="V454" i="62" s="1"/>
  <c r="V740" i="62" a="1"/>
  <c r="V740" i="62" s="1"/>
  <c r="V749" i="62" s="1"/>
  <c r="V751" i="62" s="1"/>
  <c r="AG648" i="62" a="1"/>
  <c r="AG648" i="62" s="1"/>
  <c r="AG747" i="62" a="1"/>
  <c r="AG747" i="62" s="1"/>
  <c r="AG549" i="62" a="1"/>
  <c r="AG549" i="62" s="1"/>
  <c r="AG450" i="62" a="1"/>
  <c r="AG450" i="62" s="1"/>
  <c r="X644" i="62" a="1"/>
  <c r="X644" i="62" s="1"/>
  <c r="X743" i="62" a="1"/>
  <c r="X743" i="62" s="1"/>
  <c r="X446" i="62" a="1"/>
  <c r="X446" i="62" s="1"/>
  <c r="X545" i="62" a="1"/>
  <c r="X545" i="62" s="1"/>
  <c r="AE742" i="62" a="1"/>
  <c r="AE742" i="62" s="1"/>
  <c r="AE750" i="62" s="1"/>
  <c r="AE752" i="62" s="1"/>
  <c r="AE643" i="62" a="1"/>
  <c r="AE643" i="62" s="1"/>
  <c r="AE651" i="62" s="1"/>
  <c r="AE653" i="62" s="1"/>
  <c r="AE544" i="62" a="1"/>
  <c r="AE544" i="62" s="1"/>
  <c r="AE552" i="62" s="1"/>
  <c r="AE554" i="62" s="1"/>
  <c r="AE445" i="62" a="1"/>
  <c r="AE445" i="62" s="1"/>
  <c r="AE453" i="62" s="1"/>
  <c r="AE455" i="62" s="1"/>
  <c r="U443" i="62" a="1"/>
  <c r="U443" i="62" s="1"/>
  <c r="U452" i="62" s="1"/>
  <c r="U454" i="62" s="1"/>
  <c r="U641" i="62" a="1"/>
  <c r="U641" i="62" s="1"/>
  <c r="U650" i="62" s="1"/>
  <c r="U652" i="62" s="1"/>
  <c r="U542" i="62" a="1"/>
  <c r="U542" i="62" s="1"/>
  <c r="U551" i="62" s="1"/>
  <c r="U553" i="62" s="1"/>
  <c r="U740" i="62" a="1"/>
  <c r="U740" i="62" s="1"/>
  <c r="U749" i="62" s="1"/>
  <c r="U751" i="62" s="1"/>
  <c r="AJ451" i="62" a="1"/>
  <c r="AJ451" i="62" s="1"/>
  <c r="AJ550" i="62" a="1"/>
  <c r="AJ550" i="62" s="1"/>
  <c r="AJ649" i="62" a="1"/>
  <c r="AJ649" i="62" s="1"/>
  <c r="AJ748" i="62" a="1"/>
  <c r="AJ748" i="62" s="1"/>
  <c r="AC451" i="62" a="1"/>
  <c r="AC451" i="62" s="1"/>
  <c r="AC748" i="62" a="1"/>
  <c r="AC748" i="62" s="1"/>
  <c r="AC649" i="62" a="1"/>
  <c r="AC649" i="62" s="1"/>
  <c r="AC550" i="62" a="1"/>
  <c r="AC550" i="62" s="1"/>
  <c r="AC449" i="62" a="1"/>
  <c r="AC449" i="62" s="1"/>
  <c r="AC548" i="62" a="1"/>
  <c r="AC548" i="62" s="1"/>
  <c r="AC647" i="62" a="1"/>
  <c r="AC647" i="62" s="1"/>
  <c r="AC746" i="62" a="1"/>
  <c r="AC746" i="62" s="1"/>
  <c r="AE740" i="62" a="1"/>
  <c r="AE740" i="62" s="1"/>
  <c r="AE749" i="62" s="1"/>
  <c r="AE751" i="62" s="1"/>
  <c r="AE443" i="62" a="1"/>
  <c r="AE443" i="62" s="1"/>
  <c r="AE452" i="62" s="1"/>
  <c r="AE454" i="62" s="1"/>
  <c r="AE641" i="62" a="1"/>
  <c r="AE641" i="62" s="1"/>
  <c r="AE650" i="62" s="1"/>
  <c r="AE652" i="62" s="1"/>
  <c r="AE542" i="62" a="1"/>
  <c r="AE542" i="62" s="1"/>
  <c r="AE551" i="62" s="1"/>
  <c r="AE553" i="62" s="1"/>
  <c r="O747" i="62" a="1"/>
  <c r="O747" i="62" s="1"/>
  <c r="O648" i="62" a="1"/>
  <c r="O648" i="62" s="1"/>
  <c r="O549" i="62" a="1"/>
  <c r="O549" i="62" s="1"/>
  <c r="O450" i="62" a="1"/>
  <c r="O450" i="62" s="1"/>
  <c r="Z644" i="62" a="1"/>
  <c r="Z644" i="62" s="1"/>
  <c r="Z545" i="62" a="1"/>
  <c r="Z545" i="62" s="1"/>
  <c r="Z743" i="62" a="1"/>
  <c r="Z743" i="62" s="1"/>
  <c r="Z446" i="62" a="1"/>
  <c r="Z446" i="62" s="1"/>
  <c r="L548" i="62" a="1"/>
  <c r="L548" i="62" s="1"/>
  <c r="L449" i="62" a="1"/>
  <c r="L449" i="62" s="1"/>
  <c r="L746" i="62" a="1"/>
  <c r="L746" i="62" s="1"/>
  <c r="L647" i="62" a="1"/>
  <c r="L647" i="62" s="1"/>
  <c r="AB646" i="62" a="1"/>
  <c r="AB646" i="62" s="1"/>
  <c r="AB448" i="62" a="1"/>
  <c r="AB448" i="62" s="1"/>
  <c r="AB745" i="62" a="1"/>
  <c r="AB745" i="62" s="1"/>
  <c r="AB547" i="62" a="1"/>
  <c r="AB547" i="62" s="1"/>
  <c r="S643" i="62" a="1"/>
  <c r="S643" i="62" s="1"/>
  <c r="S651" i="62" s="1"/>
  <c r="S653" i="62" s="1"/>
  <c r="S445" i="62" a="1"/>
  <c r="S445" i="62" s="1"/>
  <c r="S453" i="62" s="1"/>
  <c r="S455" i="62" s="1"/>
  <c r="S544" i="62" a="1"/>
  <c r="S544" i="62" s="1"/>
  <c r="S552" i="62" s="1"/>
  <c r="S554" i="62" s="1"/>
  <c r="S742" i="62" a="1"/>
  <c r="S742" i="62" s="1"/>
  <c r="S750" i="62" s="1"/>
  <c r="S752" i="62" s="1"/>
  <c r="U548" i="62" a="1"/>
  <c r="U548" i="62" s="1"/>
  <c r="U746" i="62" a="1"/>
  <c r="U746" i="62" s="1"/>
  <c r="U449" i="62" a="1"/>
  <c r="U449" i="62" s="1"/>
  <c r="U647" i="62" a="1"/>
  <c r="U647" i="62" s="1"/>
  <c r="N648" i="62" a="1"/>
  <c r="N648" i="62" s="1"/>
  <c r="N450" i="62" a="1"/>
  <c r="N450" i="62" s="1"/>
  <c r="N549" i="62" a="1"/>
  <c r="N549" i="62" s="1"/>
  <c r="N747" i="62" a="1"/>
  <c r="N747" i="62" s="1"/>
  <c r="V742" i="62" a="1"/>
  <c r="V742" i="62" s="1"/>
  <c r="V750" i="62" s="1"/>
  <c r="V752" i="62" s="1"/>
  <c r="V445" i="62" a="1"/>
  <c r="V445" i="62" s="1"/>
  <c r="V453" i="62" s="1"/>
  <c r="V455" i="62" s="1"/>
  <c r="V544" i="62" a="1"/>
  <c r="V544" i="62" s="1"/>
  <c r="V552" i="62" s="1"/>
  <c r="V554" i="62" s="1"/>
  <c r="V643" i="62" a="1"/>
  <c r="V643" i="62" s="1"/>
  <c r="V651" i="62" s="1"/>
  <c r="V653" i="62" s="1"/>
  <c r="W640" i="62" a="1"/>
  <c r="W640" i="62" s="1"/>
  <c r="W739" i="62" a="1"/>
  <c r="W739" i="62" s="1"/>
  <c r="W442" i="62" a="1"/>
  <c r="W442" i="62" s="1"/>
  <c r="W541" i="62" a="1"/>
  <c r="W541" i="62" s="1"/>
  <c r="AL745" i="62" a="1"/>
  <c r="AL745" i="62" s="1"/>
  <c r="AL448" i="62" a="1"/>
  <c r="AL448" i="62" s="1"/>
  <c r="AL646" i="62" a="1"/>
  <c r="AL646" i="62" s="1"/>
  <c r="AL547" i="62" a="1"/>
  <c r="AL547" i="62" s="1"/>
  <c r="AA547" i="62" a="1"/>
  <c r="AA547" i="62" s="1"/>
  <c r="AA745" i="62" a="1"/>
  <c r="AA745" i="62" s="1"/>
  <c r="AA646" i="62" a="1"/>
  <c r="AA646" i="62" s="1"/>
  <c r="AA448" i="62" a="1"/>
  <c r="AA448" i="62" s="1"/>
  <c r="AK648" i="62" a="1"/>
  <c r="AK648" i="62" s="1"/>
  <c r="AK747" i="62" a="1"/>
  <c r="AK747" i="62" s="1"/>
  <c r="AK450" i="62" a="1"/>
  <c r="AK450" i="62" s="1"/>
  <c r="AK549" i="62" a="1"/>
  <c r="AK549" i="62" s="1"/>
  <c r="AA647" i="62" a="1"/>
  <c r="AA647" i="62" s="1"/>
  <c r="AA746" i="62" a="1"/>
  <c r="AA746" i="62" s="1"/>
  <c r="AA548" i="62" a="1"/>
  <c r="AA548" i="62" s="1"/>
  <c r="AA449" i="62" a="1"/>
  <c r="AA449" i="62" s="1"/>
  <c r="M447" i="62" a="1"/>
  <c r="M447" i="62" s="1"/>
  <c r="M546" i="62" a="1"/>
  <c r="M546" i="62" s="1"/>
  <c r="M645" i="62" a="1"/>
  <c r="M645" i="62" s="1"/>
  <c r="M744" i="62" a="1"/>
  <c r="M744" i="62" s="1"/>
  <c r="Q742" i="62" a="1"/>
  <c r="Q742" i="62" s="1"/>
  <c r="Q750" i="62" s="1"/>
  <c r="Q752" i="62" s="1"/>
  <c r="Q643" i="62" a="1"/>
  <c r="Q643" i="62" s="1"/>
  <c r="Q651" i="62" s="1"/>
  <c r="Q653" i="62" s="1"/>
  <c r="Q445" i="62" a="1"/>
  <c r="Q445" i="62" s="1"/>
  <c r="Q453" i="62" s="1"/>
  <c r="Q455" i="62" s="1"/>
  <c r="Q544" i="62" a="1"/>
  <c r="Q544" i="62" s="1"/>
  <c r="Q552" i="62" s="1"/>
  <c r="Q554" i="62" s="1"/>
  <c r="AA446" i="62" a="1"/>
  <c r="AA446" i="62" s="1"/>
  <c r="AA743" i="62" a="1"/>
  <c r="AA743" i="62" s="1"/>
  <c r="AA644" i="62" a="1"/>
  <c r="AA644" i="62" s="1"/>
  <c r="AA545" i="62" a="1"/>
  <c r="AA545" i="62" s="1"/>
  <c r="M742" i="62" a="1"/>
  <c r="M742" i="62" s="1"/>
  <c r="M750" i="62" s="1"/>
  <c r="M752" i="62" s="1"/>
  <c r="M643" i="62" a="1"/>
  <c r="M643" i="62" s="1"/>
  <c r="M651" i="62" s="1"/>
  <c r="M653" i="62" s="1"/>
  <c r="M544" i="62" a="1"/>
  <c r="M544" i="62" s="1"/>
  <c r="M552" i="62" s="1"/>
  <c r="M554" i="62" s="1"/>
  <c r="M445" i="62" a="1"/>
  <c r="M445" i="62" s="1"/>
  <c r="M453" i="62" s="1"/>
  <c r="M455" i="62" s="1"/>
  <c r="P445" i="62" a="1"/>
  <c r="P445" i="62" s="1"/>
  <c r="P453" i="62" s="1"/>
  <c r="P455" i="62" s="1"/>
  <c r="P544" i="62" a="1"/>
  <c r="P544" i="62" s="1"/>
  <c r="P552" i="62" s="1"/>
  <c r="P554" i="62" s="1"/>
  <c r="P742" i="62" a="1"/>
  <c r="P742" i="62" s="1"/>
  <c r="P750" i="62" s="1"/>
  <c r="P752" i="62" s="1"/>
  <c r="P643" i="62" a="1"/>
  <c r="P643" i="62" s="1"/>
  <c r="P651" i="62" s="1"/>
  <c r="P653" i="62" s="1"/>
  <c r="N640" i="62" a="1"/>
  <c r="N640" i="62" s="1"/>
  <c r="N739" i="62" a="1"/>
  <c r="N739" i="62" s="1"/>
  <c r="N442" i="62" a="1"/>
  <c r="N442" i="62" s="1"/>
  <c r="N541" i="62" a="1"/>
  <c r="N541" i="62" s="1"/>
  <c r="AH550" i="62" a="1"/>
  <c r="AH550" i="62" s="1"/>
  <c r="AH649" i="62" a="1"/>
  <c r="AH649" i="62" s="1"/>
  <c r="AH451" i="62" a="1"/>
  <c r="AH451" i="62" s="1"/>
  <c r="AH748" i="62" a="1"/>
  <c r="AH748" i="62" s="1"/>
  <c r="AB640" i="62" a="1"/>
  <c r="AB640" i="62" s="1"/>
  <c r="AB739" i="62" a="1"/>
  <c r="AB739" i="62" s="1"/>
  <c r="AB442" i="62" a="1"/>
  <c r="AB442" i="62" s="1"/>
  <c r="AB541" i="62" a="1"/>
  <c r="AB541" i="62" s="1"/>
  <c r="AH640" i="62" a="1"/>
  <c r="AH640" i="62" s="1"/>
  <c r="AH541" i="62" a="1"/>
  <c r="AH541" i="62" s="1"/>
  <c r="AH739" i="62" a="1"/>
  <c r="AH739" i="62" s="1"/>
  <c r="AH442" i="62" a="1"/>
  <c r="AH442" i="62" s="1"/>
  <c r="R547" i="62" a="1"/>
  <c r="R547" i="62" s="1"/>
  <c r="R646" i="62" a="1"/>
  <c r="R646" i="62" s="1"/>
  <c r="R448" i="62" a="1"/>
  <c r="R448" i="62" s="1"/>
  <c r="R745" i="62" a="1"/>
  <c r="R745" i="62" s="1"/>
  <c r="AJ647" i="62" a="1"/>
  <c r="AJ647" i="62" s="1"/>
  <c r="AJ746" i="62" a="1"/>
  <c r="AJ746" i="62" s="1"/>
  <c r="AJ548" i="62" a="1"/>
  <c r="AJ548" i="62" s="1"/>
  <c r="AJ449" i="62" a="1"/>
  <c r="AJ449" i="62" s="1"/>
  <c r="Y448" i="62" a="1"/>
  <c r="Y448" i="62" s="1"/>
  <c r="Y646" i="62" a="1"/>
  <c r="Y646" i="62" s="1"/>
  <c r="Y547" i="62" a="1"/>
  <c r="Y547" i="62" s="1"/>
  <c r="Y745" i="62" a="1"/>
  <c r="Y745" i="62" s="1"/>
  <c r="R746" i="62" a="1"/>
  <c r="R746" i="62" s="1"/>
  <c r="R647" i="62" a="1"/>
  <c r="R647" i="62" s="1"/>
  <c r="R449" i="62" a="1"/>
  <c r="R449" i="62" s="1"/>
  <c r="R548" i="62" a="1"/>
  <c r="R548" i="62" s="1"/>
  <c r="P644" i="62" a="1"/>
  <c r="P644" i="62" s="1"/>
  <c r="P545" i="62" a="1"/>
  <c r="P545" i="62" s="1"/>
  <c r="P446" i="62" a="1"/>
  <c r="P446" i="62" s="1"/>
  <c r="P743" i="62" a="1"/>
  <c r="P743" i="62" s="1"/>
  <c r="AL746" i="62" a="1"/>
  <c r="AL746" i="62" s="1"/>
  <c r="AL548" i="62" a="1"/>
  <c r="AL548" i="62" s="1"/>
  <c r="AL449" i="62" a="1"/>
  <c r="AL449" i="62" s="1"/>
  <c r="AL647" i="62" a="1"/>
  <c r="AL647" i="62" s="1"/>
  <c r="AE645" i="62" a="1"/>
  <c r="AE645" i="62" s="1"/>
  <c r="AE546" i="62" a="1"/>
  <c r="AE546" i="62" s="1"/>
  <c r="AE447" i="62" a="1"/>
  <c r="AE447" i="62" s="1"/>
  <c r="AE744" i="62" a="1"/>
  <c r="AE744" i="62" s="1"/>
  <c r="U541" i="62" a="1"/>
  <c r="U541" i="62" s="1"/>
  <c r="U640" i="62" a="1"/>
  <c r="U640" i="62" s="1"/>
  <c r="U739" i="62" a="1"/>
  <c r="U739" i="62" s="1"/>
  <c r="U442" i="62" a="1"/>
  <c r="U442" i="62" s="1"/>
  <c r="AJ739" i="62" a="1"/>
  <c r="AJ739" i="62" s="1"/>
  <c r="AJ640" i="62" a="1"/>
  <c r="AJ640" i="62" s="1"/>
  <c r="AJ442" i="62" a="1"/>
  <c r="AJ442" i="62" s="1"/>
  <c r="AJ541" i="62" a="1"/>
  <c r="AJ541" i="62" s="1"/>
  <c r="Y450" i="62" a="1"/>
  <c r="Y450" i="62" s="1"/>
  <c r="Y747" i="62" a="1"/>
  <c r="Y747" i="62" s="1"/>
  <c r="Y648" i="62" a="1"/>
  <c r="Y648" i="62" s="1"/>
  <c r="Y549" i="62" a="1"/>
  <c r="Y549" i="62" s="1"/>
  <c r="AL447" i="62" a="1"/>
  <c r="AL447" i="62" s="1"/>
  <c r="AL744" i="62" a="1"/>
  <c r="AL744" i="62" s="1"/>
  <c r="AL645" i="62" a="1"/>
  <c r="AL645" i="62" s="1"/>
  <c r="AL546" i="62" a="1"/>
  <c r="AL546" i="62" s="1"/>
  <c r="V541" i="62" a="1"/>
  <c r="V541" i="62" s="1"/>
  <c r="V739" i="62" a="1"/>
  <c r="V739" i="62" s="1"/>
  <c r="V442" i="62" a="1"/>
  <c r="V442" i="62" s="1"/>
  <c r="V640" i="62" a="1"/>
  <c r="V640" i="62" s="1"/>
  <c r="AI442" i="62" a="1"/>
  <c r="AI442" i="62" s="1"/>
  <c r="AI640" i="62" a="1"/>
  <c r="AI640" i="62" s="1"/>
  <c r="AI541" i="62" a="1"/>
  <c r="AI541" i="62" s="1"/>
  <c r="AI739" i="62" a="1"/>
  <c r="AI739" i="62" s="1"/>
  <c r="W647" i="62" a="1"/>
  <c r="W647" i="62" s="1"/>
  <c r="W746" i="62" a="1"/>
  <c r="W746" i="62" s="1"/>
  <c r="W449" i="62" a="1"/>
  <c r="W449" i="62" s="1"/>
  <c r="W548" i="62" a="1"/>
  <c r="W548" i="62" s="1"/>
  <c r="W748" i="62" a="1"/>
  <c r="W748" i="62" s="1"/>
  <c r="W550" i="62" a="1"/>
  <c r="W550" i="62" s="1"/>
  <c r="W649" i="62" a="1"/>
  <c r="W649" i="62" s="1"/>
  <c r="W451" i="62" a="1"/>
  <c r="W451" i="62" s="1"/>
  <c r="R451" i="62" a="1"/>
  <c r="R451" i="62" s="1"/>
  <c r="R748" i="62" a="1"/>
  <c r="R748" i="62" s="1"/>
  <c r="R550" i="62" a="1"/>
  <c r="R550" i="62" s="1"/>
  <c r="R649" i="62" a="1"/>
  <c r="R649" i="62" s="1"/>
  <c r="AJ744" i="62" a="1"/>
  <c r="AJ744" i="62" s="1"/>
  <c r="AJ546" i="62" a="1"/>
  <c r="AJ546" i="62" s="1"/>
  <c r="AJ645" i="62" a="1"/>
  <c r="AJ645" i="62" s="1"/>
  <c r="AJ447" i="62" a="1"/>
  <c r="AJ447" i="62" s="1"/>
  <c r="T544" i="62" a="1"/>
  <c r="T544" i="62" s="1"/>
  <c r="T552" i="62" s="1"/>
  <c r="T554" i="62" s="1"/>
  <c r="T742" i="62" a="1"/>
  <c r="T742" i="62" s="1"/>
  <c r="T750" i="62" s="1"/>
  <c r="T752" i="62" s="1"/>
  <c r="T445" i="62" a="1"/>
  <c r="T445" i="62" s="1"/>
  <c r="T453" i="62" s="1"/>
  <c r="T455" i="62" s="1"/>
  <c r="T643" i="62" a="1"/>
  <c r="T643" i="62" s="1"/>
  <c r="T651" i="62" s="1"/>
  <c r="T653" i="62" s="1"/>
  <c r="Y451" i="62" a="1"/>
  <c r="Y451" i="62" s="1"/>
  <c r="Y649" i="62" a="1"/>
  <c r="Y649" i="62" s="1"/>
  <c r="Y550" i="62" a="1"/>
  <c r="Y550" i="62" s="1"/>
  <c r="Y748" i="62" a="1"/>
  <c r="Y748" i="62" s="1"/>
  <c r="V746" i="62" a="1"/>
  <c r="V746" i="62" s="1"/>
  <c r="V548" i="62" a="1"/>
  <c r="V548" i="62" s="1"/>
  <c r="V647" i="62" a="1"/>
  <c r="V647" i="62" s="1"/>
  <c r="V449" i="62" a="1"/>
  <c r="V449" i="62" s="1"/>
  <c r="AI549" i="62" a="1"/>
  <c r="AI549" i="62" s="1"/>
  <c r="AI648" i="62" a="1"/>
  <c r="AI648" i="62" s="1"/>
  <c r="AI747" i="62" a="1"/>
  <c r="AI747" i="62" s="1"/>
  <c r="AI450" i="62" a="1"/>
  <c r="AI450" i="62" s="1"/>
  <c r="T640" i="62" a="1"/>
  <c r="T640" i="62" s="1"/>
  <c r="T442" i="62" a="1"/>
  <c r="T442" i="62" s="1"/>
  <c r="T541" i="62" a="1"/>
  <c r="T541" i="62" s="1"/>
  <c r="T739" i="62" a="1"/>
  <c r="T739" i="62" s="1"/>
  <c r="AE549" i="62" a="1"/>
  <c r="AE549" i="62" s="1"/>
  <c r="AE648" i="62" a="1"/>
  <c r="AE648" i="62" s="1"/>
  <c r="AE450" i="62" a="1"/>
  <c r="AE450" i="62" s="1"/>
  <c r="AE747" i="62" a="1"/>
  <c r="AE747" i="62" s="1"/>
  <c r="Y743" i="62" a="1"/>
  <c r="Y743" i="62" s="1"/>
  <c r="Y644" i="62" a="1"/>
  <c r="Y644" i="62" s="1"/>
  <c r="Y545" i="62" a="1"/>
  <c r="Y545" i="62" s="1"/>
  <c r="Y446" i="62" a="1"/>
  <c r="Y446" i="62" s="1"/>
  <c r="AH742" i="62" a="1"/>
  <c r="AH742" i="62" s="1"/>
  <c r="AH750" i="62" s="1"/>
  <c r="AH752" i="62" s="1"/>
  <c r="AH445" i="62" a="1"/>
  <c r="AH445" i="62" s="1"/>
  <c r="AH453" i="62" s="1"/>
  <c r="AH455" i="62" s="1"/>
  <c r="AH643" i="62" a="1"/>
  <c r="AH643" i="62" s="1"/>
  <c r="AH651" i="62" s="1"/>
  <c r="AH653" i="62" s="1"/>
  <c r="AH544" i="62" a="1"/>
  <c r="AH544" i="62" s="1"/>
  <c r="AH552" i="62" s="1"/>
  <c r="AH554" i="62" s="1"/>
  <c r="N740" i="62" a="1"/>
  <c r="N740" i="62" s="1"/>
  <c r="N749" i="62" s="1"/>
  <c r="N751" i="62" s="1"/>
  <c r="N443" i="62" a="1"/>
  <c r="N443" i="62" s="1"/>
  <c r="N452" i="62" s="1"/>
  <c r="N454" i="62" s="1"/>
  <c r="N542" i="62" a="1"/>
  <c r="N542" i="62" s="1"/>
  <c r="N551" i="62" s="1"/>
  <c r="N553" i="62" s="1"/>
  <c r="N641" i="62" a="1"/>
  <c r="N641" i="62" s="1"/>
  <c r="N650" i="62" s="1"/>
  <c r="N652" i="62" s="1"/>
  <c r="K647" i="62" a="1"/>
  <c r="K647" i="62" s="1"/>
  <c r="K449" i="62" a="1"/>
  <c r="K449" i="62" s="1"/>
  <c r="K548" i="62" a="1"/>
  <c r="K548" i="62" s="1"/>
  <c r="K746" i="62" a="1"/>
  <c r="K746" i="62" s="1"/>
  <c r="AF443" i="62" a="1"/>
  <c r="AF443" i="62" s="1"/>
  <c r="AF452" i="62" s="1"/>
  <c r="AF454" i="62" s="1"/>
  <c r="AF542" i="62" a="1"/>
  <c r="AF542" i="62" s="1"/>
  <c r="AF551" i="62" s="1"/>
  <c r="AF553" i="62" s="1"/>
  <c r="AF740" i="62" a="1"/>
  <c r="AF740" i="62" s="1"/>
  <c r="AF749" i="62" s="1"/>
  <c r="AF751" i="62" s="1"/>
  <c r="AF641" i="62" a="1"/>
  <c r="AF641" i="62" s="1"/>
  <c r="AF650" i="62" s="1"/>
  <c r="AF652" i="62" s="1"/>
  <c r="K747" i="62" a="1"/>
  <c r="K747" i="62" s="1"/>
  <c r="K648" i="62" a="1"/>
  <c r="K648" i="62" s="1"/>
  <c r="K450" i="62" a="1"/>
  <c r="K450" i="62" s="1"/>
  <c r="K549" i="62" a="1"/>
  <c r="K549" i="62" s="1"/>
  <c r="AD449" i="62" a="1"/>
  <c r="AD449" i="62" s="1"/>
  <c r="AD548" i="62" a="1"/>
  <c r="AD548" i="62" s="1"/>
  <c r="AD647" i="62" a="1"/>
  <c r="AD647" i="62" s="1"/>
  <c r="AD746" i="62" a="1"/>
  <c r="AD746" i="62" s="1"/>
  <c r="AD742" i="62" a="1"/>
  <c r="AD742" i="62" s="1"/>
  <c r="AD750" i="62" s="1"/>
  <c r="AD752" i="62" s="1"/>
  <c r="AD643" i="62" a="1"/>
  <c r="AD643" i="62" s="1"/>
  <c r="AD651" i="62" s="1"/>
  <c r="AD653" i="62" s="1"/>
  <c r="AD445" i="62" a="1"/>
  <c r="AD445" i="62" s="1"/>
  <c r="AD453" i="62" s="1"/>
  <c r="AD455" i="62" s="1"/>
  <c r="AD544" i="62" a="1"/>
  <c r="AD544" i="62" s="1"/>
  <c r="AD552" i="62" s="1"/>
  <c r="AD554" i="62" s="1"/>
  <c r="U550" i="62" a="1"/>
  <c r="U550" i="62" s="1"/>
  <c r="U748" i="62" a="1"/>
  <c r="U748" i="62" s="1"/>
  <c r="U649" i="62" a="1"/>
  <c r="U649" i="62" s="1"/>
  <c r="U451" i="62" a="1"/>
  <c r="U451" i="62" s="1"/>
  <c r="Y544" i="62" a="1"/>
  <c r="Y544" i="62" s="1"/>
  <c r="Y552" i="62" s="1"/>
  <c r="Y554" i="62" s="1"/>
  <c r="Y445" i="62" a="1"/>
  <c r="Y445" i="62" s="1"/>
  <c r="Y453" i="62" s="1"/>
  <c r="Y455" i="62" s="1"/>
  <c r="Y643" i="62" a="1"/>
  <c r="Y643" i="62" s="1"/>
  <c r="Y651" i="62" s="1"/>
  <c r="Y653" i="62" s="1"/>
  <c r="Y742" i="62" a="1"/>
  <c r="Y742" i="62" s="1"/>
  <c r="Y750" i="62" s="1"/>
  <c r="Y752" i="62" s="1"/>
  <c r="S645" i="62" a="1"/>
  <c r="S645" i="62" s="1"/>
  <c r="S447" i="62" a="1"/>
  <c r="S447" i="62" s="1"/>
  <c r="S546" i="62" a="1"/>
  <c r="S546" i="62" s="1"/>
  <c r="S744" i="62" a="1"/>
  <c r="S744" i="62" s="1"/>
  <c r="Z447" i="62" a="1"/>
  <c r="Z447" i="62" s="1"/>
  <c r="Z645" i="62" a="1"/>
  <c r="Z645" i="62" s="1"/>
  <c r="Z546" i="62" a="1"/>
  <c r="Z546" i="62" s="1"/>
  <c r="Z744" i="62" a="1"/>
  <c r="Z744" i="62" s="1"/>
  <c r="O443" i="62" a="1"/>
  <c r="O443" i="62" s="1"/>
  <c r="O452" i="62" s="1"/>
  <c r="O454" i="62" s="1"/>
  <c r="O542" i="62" a="1"/>
  <c r="O542" i="62" s="1"/>
  <c r="O551" i="62" s="1"/>
  <c r="O553" i="62" s="1"/>
  <c r="O641" i="62" a="1"/>
  <c r="O641" i="62" s="1"/>
  <c r="O650" i="62" s="1"/>
  <c r="O652" i="62" s="1"/>
  <c r="O740" i="62" a="1"/>
  <c r="O740" i="62" s="1"/>
  <c r="O749" i="62" s="1"/>
  <c r="O751" i="62" s="1"/>
  <c r="AH648" i="62" a="1"/>
  <c r="AH648" i="62" s="1"/>
  <c r="AH549" i="62" a="1"/>
  <c r="AH549" i="62" s="1"/>
  <c r="AH747" i="62" a="1"/>
  <c r="AH747" i="62" s="1"/>
  <c r="AH450" i="62" a="1"/>
  <c r="AH450" i="62" s="1"/>
  <c r="AA742" i="62" a="1"/>
  <c r="AA742" i="62" s="1"/>
  <c r="AA750" i="62" s="1"/>
  <c r="AA752" i="62" s="1"/>
  <c r="AA643" i="62" a="1"/>
  <c r="AA643" i="62" s="1"/>
  <c r="AA651" i="62" s="1"/>
  <c r="AA653" i="62" s="1"/>
  <c r="AA445" i="62" a="1"/>
  <c r="AA445" i="62" s="1"/>
  <c r="AA453" i="62" s="1"/>
  <c r="AA455" i="62" s="1"/>
  <c r="AA544" i="62" a="1"/>
  <c r="AA544" i="62" s="1"/>
  <c r="AA552" i="62" s="1"/>
  <c r="AA554" i="62" s="1"/>
  <c r="S739" i="62" a="1"/>
  <c r="S739" i="62" s="1"/>
  <c r="S541" i="62" a="1"/>
  <c r="S541" i="62" s="1"/>
  <c r="S640" i="62" a="1"/>
  <c r="S640" i="62" s="1"/>
  <c r="S442" i="62" a="1"/>
  <c r="S442" i="62" s="1"/>
  <c r="T743" i="62" a="1"/>
  <c r="T743" i="62" s="1"/>
  <c r="T644" i="62" a="1"/>
  <c r="T644" i="62" s="1"/>
  <c r="T446" i="62" a="1"/>
  <c r="T446" i="62" s="1"/>
  <c r="T545" i="62" a="1"/>
  <c r="T545" i="62" s="1"/>
  <c r="AK649" i="62" a="1"/>
  <c r="AK649" i="62" s="1"/>
  <c r="AK748" i="62" a="1"/>
  <c r="AK748" i="62" s="1"/>
  <c r="AK550" i="62" a="1"/>
  <c r="AK550" i="62" s="1"/>
  <c r="AK451" i="62" a="1"/>
  <c r="AK451" i="62" s="1"/>
  <c r="AC445" i="62" a="1"/>
  <c r="AC445" i="62" s="1"/>
  <c r="AC453" i="62" s="1"/>
  <c r="AC455" i="62" s="1"/>
  <c r="AC742" i="62" a="1"/>
  <c r="AC742" i="62" s="1"/>
  <c r="AC750" i="62" s="1"/>
  <c r="AC752" i="62" s="1"/>
  <c r="AC643" i="62" a="1"/>
  <c r="AC643" i="62" s="1"/>
  <c r="AC651" i="62" s="1"/>
  <c r="AC653" i="62" s="1"/>
  <c r="AC544" i="62" a="1"/>
  <c r="AC544" i="62" s="1"/>
  <c r="AC552" i="62" s="1"/>
  <c r="AC554" i="62" s="1"/>
  <c r="Z740" i="62" a="1"/>
  <c r="Z740" i="62" s="1"/>
  <c r="Z749" i="62" s="1"/>
  <c r="Z751" i="62" s="1"/>
  <c r="Z443" i="62" a="1"/>
  <c r="Z443" i="62" s="1"/>
  <c r="Z452" i="62" s="1"/>
  <c r="Z454" i="62" s="1"/>
  <c r="Z641" i="62" a="1"/>
  <c r="Z641" i="62" s="1"/>
  <c r="Z650" i="62" s="1"/>
  <c r="Z652" i="62" s="1"/>
  <c r="Z542" i="62" a="1"/>
  <c r="Z542" i="62" s="1"/>
  <c r="Z551" i="62" s="1"/>
  <c r="Z553" i="62" s="1"/>
  <c r="W745" i="62" a="1"/>
  <c r="W745" i="62" s="1"/>
  <c r="W547" i="62" a="1"/>
  <c r="W547" i="62" s="1"/>
  <c r="W448" i="62" a="1"/>
  <c r="W448" i="62" s="1"/>
  <c r="W646" i="62" a="1"/>
  <c r="W646" i="62" s="1"/>
  <c r="AC542" i="62" a="1"/>
  <c r="AC542" i="62" s="1"/>
  <c r="AC551" i="62" s="1"/>
  <c r="AC553" i="62" s="1"/>
  <c r="AC641" i="62" a="1"/>
  <c r="AC641" i="62" s="1"/>
  <c r="AC650" i="62" s="1"/>
  <c r="AC652" i="62" s="1"/>
  <c r="AC443" i="62" a="1"/>
  <c r="AC443" i="62" s="1"/>
  <c r="AC452" i="62" s="1"/>
  <c r="AC454" i="62" s="1"/>
  <c r="AC740" i="62" a="1"/>
  <c r="AC740" i="62" s="1"/>
  <c r="AC749" i="62" s="1"/>
  <c r="AC751" i="62" s="1"/>
  <c r="W549" i="62" a="1"/>
  <c r="W549" i="62" s="1"/>
  <c r="W747" i="62" a="1"/>
  <c r="W747" i="62" s="1"/>
  <c r="W450" i="62" a="1"/>
  <c r="W450" i="62" s="1"/>
  <c r="W648" i="62" a="1"/>
  <c r="W648" i="62" s="1"/>
  <c r="Q442" i="62" a="1"/>
  <c r="Q442" i="62" s="1"/>
  <c r="Q640" i="62" a="1"/>
  <c r="Q640" i="62" s="1"/>
  <c r="Q541" i="62" a="1"/>
  <c r="Q541" i="62" s="1"/>
  <c r="Q739" i="62" a="1"/>
  <c r="Q739" i="62" s="1"/>
  <c r="AK640" i="62" a="1"/>
  <c r="AK640" i="62" s="1"/>
  <c r="AK442" i="62" a="1"/>
  <c r="AK442" i="62" s="1"/>
  <c r="AK739" i="62" a="1"/>
  <c r="AK739" i="62" s="1"/>
  <c r="AK541" i="62" a="1"/>
  <c r="AK541" i="62" s="1"/>
  <c r="AJ644" i="62" a="1"/>
  <c r="AJ644" i="62" s="1"/>
  <c r="AJ545" i="62" a="1"/>
  <c r="AJ545" i="62" s="1"/>
  <c r="AJ743" i="62" a="1"/>
  <c r="AJ743" i="62" s="1"/>
  <c r="AJ446" i="62" a="1"/>
  <c r="AJ446" i="62" s="1"/>
  <c r="K745" i="62" a="1"/>
  <c r="K745" i="62" s="1"/>
  <c r="K547" i="62" a="1"/>
  <c r="K547" i="62" s="1"/>
  <c r="K646" i="62" a="1"/>
  <c r="K646" i="62" s="1"/>
  <c r="K448" i="62" a="1"/>
  <c r="K448" i="62" s="1"/>
  <c r="AI646" i="62" a="1"/>
  <c r="AI646" i="62" s="1"/>
  <c r="AI448" i="62" a="1"/>
  <c r="AI448" i="62" s="1"/>
  <c r="AI745" i="62" a="1"/>
  <c r="AI745" i="62" s="1"/>
  <c r="AI547" i="62" a="1"/>
  <c r="AI547" i="62" s="1"/>
  <c r="AJ745" i="62" a="1"/>
  <c r="AJ745" i="62" s="1"/>
  <c r="AJ448" i="62" a="1"/>
  <c r="AJ448" i="62" s="1"/>
  <c r="AJ547" i="62" a="1"/>
  <c r="AJ547" i="62" s="1"/>
  <c r="AJ646" i="62" a="1"/>
  <c r="AJ646" i="62" s="1"/>
  <c r="Q648" i="62" a="1"/>
  <c r="Q648" i="62" s="1"/>
  <c r="Q549" i="62" a="1"/>
  <c r="Q549" i="62" s="1"/>
  <c r="Q450" i="62" a="1"/>
  <c r="Q450" i="62" s="1"/>
  <c r="Q747" i="62" a="1"/>
  <c r="Q747" i="62" s="1"/>
  <c r="AH547" i="62" a="1"/>
  <c r="AH547" i="62" s="1"/>
  <c r="AH448" i="62" a="1"/>
  <c r="AH448" i="62" s="1"/>
  <c r="AH646" i="62" a="1"/>
  <c r="AH646" i="62" s="1"/>
  <c r="AH745" i="62" a="1"/>
  <c r="AH745" i="62" s="1"/>
  <c r="AD747" i="62" a="1"/>
  <c r="AD747" i="62" s="1"/>
  <c r="AD648" i="62" a="1"/>
  <c r="AD648" i="62" s="1"/>
  <c r="AD450" i="62" a="1"/>
  <c r="AD450" i="62" s="1"/>
  <c r="AD549" i="62" a="1"/>
  <c r="AD549" i="62" s="1"/>
  <c r="P549" i="62" a="1"/>
  <c r="P549" i="62" s="1"/>
  <c r="P648" i="62" a="1"/>
  <c r="P648" i="62" s="1"/>
  <c r="P450" i="62" a="1"/>
  <c r="P450" i="62" s="1"/>
  <c r="P747" i="62" a="1"/>
  <c r="P747" i="62" s="1"/>
  <c r="AC547" i="62" a="1"/>
  <c r="AC547" i="62" s="1"/>
  <c r="AC646" i="62" a="1"/>
  <c r="AC646" i="62" s="1"/>
  <c r="AC745" i="62" a="1"/>
  <c r="AC745" i="62" s="1"/>
  <c r="AC448" i="62" a="1"/>
  <c r="AC448" i="62" s="1"/>
  <c r="AC549" i="62" a="1"/>
  <c r="AC549" i="62" s="1"/>
  <c r="AC648" i="62" a="1"/>
  <c r="AC648" i="62" s="1"/>
  <c r="AC450" i="62" a="1"/>
  <c r="AC450" i="62" s="1"/>
  <c r="AC747" i="62" a="1"/>
  <c r="AC747" i="62" s="1"/>
  <c r="R743" i="62" a="1"/>
  <c r="R743" i="62" s="1"/>
  <c r="R545" i="62" a="1"/>
  <c r="R545" i="62" s="1"/>
  <c r="R446" i="62" a="1"/>
  <c r="R446" i="62" s="1"/>
  <c r="R644" i="62" a="1"/>
  <c r="R644" i="62" s="1"/>
  <c r="AE545" i="62" a="1"/>
  <c r="AE545" i="62" s="1"/>
  <c r="AE644" i="62" a="1"/>
  <c r="AE644" i="62" s="1"/>
  <c r="AE446" i="62" a="1"/>
  <c r="AE446" i="62" s="1"/>
  <c r="AE743" i="62" a="1"/>
  <c r="AE743" i="62" s="1"/>
  <c r="Q449" i="62" a="1"/>
  <c r="Q449" i="62" s="1"/>
  <c r="Q746" i="62" a="1"/>
  <c r="Q746" i="62" s="1"/>
  <c r="Q548" i="62" a="1"/>
  <c r="Q548" i="62" s="1"/>
  <c r="Q647" i="62" a="1"/>
  <c r="Q647" i="62" s="1"/>
  <c r="X445" i="62" a="1"/>
  <c r="X445" i="62" s="1"/>
  <c r="X453" i="62" s="1"/>
  <c r="X455" i="62" s="1"/>
  <c r="X643" i="62" a="1"/>
  <c r="X643" i="62" s="1"/>
  <c r="X651" i="62" s="1"/>
  <c r="X653" i="62" s="1"/>
  <c r="X742" i="62" a="1"/>
  <c r="X742" i="62" s="1"/>
  <c r="X750" i="62" s="1"/>
  <c r="X752" i="62" s="1"/>
  <c r="X544" i="62" a="1"/>
  <c r="X544" i="62" s="1"/>
  <c r="X552" i="62" s="1"/>
  <c r="X554" i="62" s="1"/>
  <c r="B36" i="41"/>
  <c r="U597" i="41"/>
  <c r="N598" i="41"/>
  <c r="G599" i="41"/>
  <c r="AA599" i="41"/>
  <c r="T600" i="41"/>
  <c r="M601" i="41"/>
  <c r="F602" i="41"/>
  <c r="Z602" i="41"/>
  <c r="S603" i="41"/>
  <c r="L604" i="41"/>
  <c r="AF604" i="41"/>
  <c r="Y605" i="41"/>
  <c r="R606" i="41"/>
  <c r="R223" i="71" s="1"/>
  <c r="K607" i="41"/>
  <c r="K224" i="71" s="1"/>
  <c r="AE607" i="41"/>
  <c r="AE224" i="71" s="1"/>
  <c r="X608" i="41"/>
  <c r="Q609" i="41"/>
  <c r="Q225" i="71" s="1"/>
  <c r="J610" i="41"/>
  <c r="AD610" i="41"/>
  <c r="W611" i="41"/>
  <c r="P612" i="41"/>
  <c r="I613" i="41"/>
  <c r="AC613" i="41"/>
  <c r="V614" i="41"/>
  <c r="O615" i="41"/>
  <c r="H616" i="41"/>
  <c r="AB616" i="41"/>
  <c r="E613" i="41"/>
  <c r="V597" i="41"/>
  <c r="O598" i="41"/>
  <c r="H599" i="41"/>
  <c r="AB599" i="41"/>
  <c r="U600" i="41"/>
  <c r="N601" i="41"/>
  <c r="G602" i="41"/>
  <c r="AA602" i="41"/>
  <c r="T603" i="41"/>
  <c r="M604" i="41"/>
  <c r="F605" i="41"/>
  <c r="Z605" i="41"/>
  <c r="S606" i="41"/>
  <c r="S223" i="71" s="1"/>
  <c r="L607" i="41"/>
  <c r="L224" i="71" s="1"/>
  <c r="AF607" i="41"/>
  <c r="AF224" i="71" s="1"/>
  <c r="Y608" i="41"/>
  <c r="R609" i="41"/>
  <c r="R225" i="71" s="1"/>
  <c r="K610" i="41"/>
  <c r="AE610" i="41"/>
  <c r="X611" i="41"/>
  <c r="Q612" i="41"/>
  <c r="J613" i="41"/>
  <c r="AD613" i="41"/>
  <c r="W614" i="41"/>
  <c r="P615" i="41"/>
  <c r="I616" i="41"/>
  <c r="AC616" i="41"/>
  <c r="E614" i="41"/>
  <c r="W597" i="41"/>
  <c r="P598" i="41"/>
  <c r="I599" i="41"/>
  <c r="AC599" i="41"/>
  <c r="V600" i="41"/>
  <c r="O601" i="41"/>
  <c r="H602" i="41"/>
  <c r="AB602" i="41"/>
  <c r="U603" i="41"/>
  <c r="N604" i="41"/>
  <c r="G605" i="41"/>
  <c r="AA605" i="41"/>
  <c r="T606" i="41"/>
  <c r="T223" i="71" s="1"/>
  <c r="M607" i="41"/>
  <c r="M224" i="71" s="1"/>
  <c r="F608" i="41"/>
  <c r="Z608" i="41"/>
  <c r="S609" i="41"/>
  <c r="S225" i="71" s="1"/>
  <c r="L610" i="41"/>
  <c r="AF610" i="41"/>
  <c r="Y611" i="41"/>
  <c r="R612" i="41"/>
  <c r="K613" i="41"/>
  <c r="AE613" i="41"/>
  <c r="X614" i="41"/>
  <c r="Q615" i="41"/>
  <c r="J616" i="41"/>
  <c r="AD616" i="41"/>
  <c r="E615" i="41"/>
  <c r="X597" i="41"/>
  <c r="Q598" i="41"/>
  <c r="J599" i="41"/>
  <c r="AD599" i="41"/>
  <c r="W600" i="41"/>
  <c r="P601" i="41"/>
  <c r="I602" i="41"/>
  <c r="AC602" i="41"/>
  <c r="V603" i="41"/>
  <c r="O604" i="41"/>
  <c r="H605" i="41"/>
  <c r="AB605" i="41"/>
  <c r="U606" i="41"/>
  <c r="U223" i="71" s="1"/>
  <c r="N607" i="41"/>
  <c r="N224" i="71" s="1"/>
  <c r="G608" i="41"/>
  <c r="AA608" i="41"/>
  <c r="T609" i="41"/>
  <c r="T225" i="71" s="1"/>
  <c r="M610" i="41"/>
  <c r="F611" i="41"/>
  <c r="Z611" i="41"/>
  <c r="S612" i="41"/>
  <c r="L613" i="41"/>
  <c r="AF613" i="41"/>
  <c r="Y614" i="41"/>
  <c r="R615" i="41"/>
  <c r="K616" i="41"/>
  <c r="AE616" i="41"/>
  <c r="E616" i="41"/>
  <c r="Y597" i="41"/>
  <c r="R598" i="41"/>
  <c r="K599" i="41"/>
  <c r="AE599" i="41"/>
  <c r="X600" i="41"/>
  <c r="Q601" i="41"/>
  <c r="J602" i="41"/>
  <c r="AD602" i="41"/>
  <c r="W603" i="41"/>
  <c r="P604" i="41"/>
  <c r="I605" i="41"/>
  <c r="AC605" i="41"/>
  <c r="V606" i="41"/>
  <c r="V223" i="71" s="1"/>
  <c r="O607" i="41"/>
  <c r="O224" i="71" s="1"/>
  <c r="H608" i="41"/>
  <c r="AB608" i="41"/>
  <c r="U609" i="41"/>
  <c r="U225" i="71" s="1"/>
  <c r="N610" i="41"/>
  <c r="G611" i="41"/>
  <c r="AA611" i="41"/>
  <c r="T612" i="41"/>
  <c r="M613" i="41"/>
  <c r="F614" i="41"/>
  <c r="Z614" i="41"/>
  <c r="S615" i="41"/>
  <c r="L616" i="41"/>
  <c r="AF616" i="41"/>
  <c r="E597" i="41"/>
  <c r="F597" i="41"/>
  <c r="Z597" i="41"/>
  <c r="S598" i="41"/>
  <c r="L599" i="41"/>
  <c r="AF599" i="41"/>
  <c r="Y600" i="41"/>
  <c r="R601" i="41"/>
  <c r="K602" i="41"/>
  <c r="AE602" i="41"/>
  <c r="X603" i="41"/>
  <c r="Q604" i="41"/>
  <c r="J605" i="41"/>
  <c r="AD605" i="41"/>
  <c r="W606" i="41"/>
  <c r="W223" i="71" s="1"/>
  <c r="P607" i="41"/>
  <c r="P224" i="71" s="1"/>
  <c r="I608" i="41"/>
  <c r="AC608" i="41"/>
  <c r="V609" i="41"/>
  <c r="V225" i="71" s="1"/>
  <c r="O610" i="41"/>
  <c r="H611" i="41"/>
  <c r="AB611" i="41"/>
  <c r="U612" i="41"/>
  <c r="N613" i="41"/>
  <c r="G614" i="41"/>
  <c r="AA614" i="41"/>
  <c r="T615" i="41"/>
  <c r="M616" i="41"/>
  <c r="E598" i="41"/>
  <c r="G597" i="41"/>
  <c r="AA597" i="41"/>
  <c r="T598" i="41"/>
  <c r="M599" i="41"/>
  <c r="F600" i="41"/>
  <c r="Z600" i="41"/>
  <c r="S601" i="41"/>
  <c r="L602" i="41"/>
  <c r="AF602" i="41"/>
  <c r="Y603" i="41"/>
  <c r="R604" i="41"/>
  <c r="K605" i="41"/>
  <c r="AE605" i="41"/>
  <c r="X606" i="41"/>
  <c r="X223" i="71" s="1"/>
  <c r="Q607" i="41"/>
  <c r="Q224" i="71" s="1"/>
  <c r="J608" i="41"/>
  <c r="AD608" i="41"/>
  <c r="W609" i="41"/>
  <c r="W225" i="71" s="1"/>
  <c r="P610" i="41"/>
  <c r="I611" i="41"/>
  <c r="AC611" i="41"/>
  <c r="V612" i="41"/>
  <c r="O613" i="41"/>
  <c r="H614" i="41"/>
  <c r="AB614" i="41"/>
  <c r="U615" i="41"/>
  <c r="N616" i="41"/>
  <c r="E599" i="41"/>
  <c r="H597" i="41"/>
  <c r="AB597" i="41"/>
  <c r="U598" i="41"/>
  <c r="N599" i="41"/>
  <c r="G600" i="41"/>
  <c r="AA600" i="41"/>
  <c r="T601" i="41"/>
  <c r="M602" i="41"/>
  <c r="F603" i="41"/>
  <c r="Z603" i="41"/>
  <c r="S604" i="41"/>
  <c r="L605" i="41"/>
  <c r="AF605" i="41"/>
  <c r="Y606" i="41"/>
  <c r="Y223" i="71" s="1"/>
  <c r="R607" i="41"/>
  <c r="R224" i="71" s="1"/>
  <c r="K608" i="41"/>
  <c r="AE608" i="41"/>
  <c r="X609" i="41"/>
  <c r="X225" i="71" s="1"/>
  <c r="Q610" i="41"/>
  <c r="J611" i="41"/>
  <c r="AD611" i="41"/>
  <c r="W612" i="41"/>
  <c r="P613" i="41"/>
  <c r="I614" i="41"/>
  <c r="AC614" i="41"/>
  <c r="V615" i="41"/>
  <c r="O616" i="41"/>
  <c r="E600" i="41"/>
  <c r="I597" i="41"/>
  <c r="AC597" i="41"/>
  <c r="V598" i="41"/>
  <c r="O599" i="41"/>
  <c r="H600" i="41"/>
  <c r="AB600" i="41"/>
  <c r="U601" i="41"/>
  <c r="N602" i="41"/>
  <c r="G603" i="41"/>
  <c r="AA603" i="41"/>
  <c r="T604" i="41"/>
  <c r="M605" i="41"/>
  <c r="F606" i="41"/>
  <c r="F223" i="71" s="1"/>
  <c r="Z606" i="41"/>
  <c r="Z223" i="71" s="1"/>
  <c r="S607" i="41"/>
  <c r="S224" i="71" s="1"/>
  <c r="L608" i="41"/>
  <c r="AF608" i="41"/>
  <c r="Y609" i="41"/>
  <c r="Y225" i="71" s="1"/>
  <c r="R610" i="41"/>
  <c r="K611" i="41"/>
  <c r="AE611" i="41"/>
  <c r="X612" i="41"/>
  <c r="Q613" i="41"/>
  <c r="J614" i="41"/>
  <c r="AD614" i="41"/>
  <c r="W615" i="41"/>
  <c r="P616" i="41"/>
  <c r="E601" i="41"/>
  <c r="J597" i="41"/>
  <c r="AD597" i="41"/>
  <c r="W598" i="41"/>
  <c r="P599" i="41"/>
  <c r="I600" i="41"/>
  <c r="AC600" i="41"/>
  <c r="V601" i="41"/>
  <c r="O602" i="41"/>
  <c r="H603" i="41"/>
  <c r="AB603" i="41"/>
  <c r="U604" i="41"/>
  <c r="N605" i="41"/>
  <c r="G606" i="41"/>
  <c r="G223" i="71" s="1"/>
  <c r="AA606" i="41"/>
  <c r="AA223" i="71" s="1"/>
  <c r="T607" i="41"/>
  <c r="T224" i="71" s="1"/>
  <c r="M608" i="41"/>
  <c r="F609" i="41"/>
  <c r="F225" i="71" s="1"/>
  <c r="Z609" i="41"/>
  <c r="Z225" i="71" s="1"/>
  <c r="S610" i="41"/>
  <c r="L611" i="41"/>
  <c r="AF611" i="41"/>
  <c r="Y612" i="41"/>
  <c r="R613" i="41"/>
  <c r="K614" i="41"/>
  <c r="AE614" i="41"/>
  <c r="X615" i="41"/>
  <c r="Q616" i="41"/>
  <c r="E602" i="41"/>
  <c r="K597" i="41"/>
  <c r="AE597" i="41"/>
  <c r="X598" i="41"/>
  <c r="Q599" i="41"/>
  <c r="J600" i="41"/>
  <c r="AD600" i="41"/>
  <c r="W601" i="41"/>
  <c r="P602" i="41"/>
  <c r="I603" i="41"/>
  <c r="AC603" i="41"/>
  <c r="V604" i="41"/>
  <c r="O605" i="41"/>
  <c r="H606" i="41"/>
  <c r="H223" i="71" s="1"/>
  <c r="AB606" i="41"/>
  <c r="AB223" i="71" s="1"/>
  <c r="U607" i="41"/>
  <c r="U224" i="71" s="1"/>
  <c r="N608" i="41"/>
  <c r="G609" i="41"/>
  <c r="G225" i="71" s="1"/>
  <c r="AA609" i="41"/>
  <c r="AA225" i="71" s="1"/>
  <c r="T610" i="41"/>
  <c r="M611" i="41"/>
  <c r="F612" i="41"/>
  <c r="Z612" i="41"/>
  <c r="S613" i="41"/>
  <c r="L614" i="41"/>
  <c r="AF614" i="41"/>
  <c r="Y615" i="41"/>
  <c r="R616" i="41"/>
  <c r="E603" i="41"/>
  <c r="L597" i="41"/>
  <c r="AF597" i="41"/>
  <c r="Y598" i="41"/>
  <c r="R599" i="41"/>
  <c r="N597" i="41"/>
  <c r="G598" i="41"/>
  <c r="AA598" i="41"/>
  <c r="T599" i="41"/>
  <c r="M600" i="41"/>
  <c r="F601" i="41"/>
  <c r="Z601" i="41"/>
  <c r="S602" i="41"/>
  <c r="L603" i="41"/>
  <c r="AF603" i="41"/>
  <c r="Y604" i="41"/>
  <c r="R605" i="41"/>
  <c r="K606" i="41"/>
  <c r="K223" i="71" s="1"/>
  <c r="AE606" i="41"/>
  <c r="AE223" i="71" s="1"/>
  <c r="X607" i="41"/>
  <c r="X224" i="71" s="1"/>
  <c r="Q608" i="41"/>
  <c r="J609" i="41"/>
  <c r="J225" i="71" s="1"/>
  <c r="AD609" i="41"/>
  <c r="AD225" i="71" s="1"/>
  <c r="W610" i="41"/>
  <c r="P611" i="41"/>
  <c r="I612" i="41"/>
  <c r="AC612" i="41"/>
  <c r="V613" i="41"/>
  <c r="O614" i="41"/>
  <c r="H615" i="41"/>
  <c r="AB615" i="41"/>
  <c r="U616" i="41"/>
  <c r="E606" i="41"/>
  <c r="E223" i="71" s="1"/>
  <c r="O597" i="41"/>
  <c r="H598" i="41"/>
  <c r="AB598" i="41"/>
  <c r="U599" i="41"/>
  <c r="N600" i="41"/>
  <c r="G601" i="41"/>
  <c r="AA601" i="41"/>
  <c r="T602" i="41"/>
  <c r="M603" i="41"/>
  <c r="F604" i="41"/>
  <c r="Z604" i="41"/>
  <c r="S605" i="41"/>
  <c r="L606" i="41"/>
  <c r="L223" i="71" s="1"/>
  <c r="AF606" i="41"/>
  <c r="AF223" i="71" s="1"/>
  <c r="Y607" i="41"/>
  <c r="Y224" i="71" s="1"/>
  <c r="R608" i="41"/>
  <c r="K609" i="41"/>
  <c r="K225" i="71" s="1"/>
  <c r="AE609" i="41"/>
  <c r="AE225" i="71" s="1"/>
  <c r="X610" i="41"/>
  <c r="Q611" i="41"/>
  <c r="J612" i="41"/>
  <c r="AD612" i="41"/>
  <c r="W613" i="41"/>
  <c r="P614" i="41"/>
  <c r="I615" i="41"/>
  <c r="AC615" i="41"/>
  <c r="V616" i="41"/>
  <c r="E607" i="41"/>
  <c r="E224" i="71" s="1"/>
  <c r="P597" i="41"/>
  <c r="I598" i="41"/>
  <c r="AC598" i="41"/>
  <c r="V599" i="41"/>
  <c r="O600" i="41"/>
  <c r="H601" i="41"/>
  <c r="AB601" i="41"/>
  <c r="U602" i="41"/>
  <c r="N603" i="41"/>
  <c r="G604" i="41"/>
  <c r="AA604" i="41"/>
  <c r="T605" i="41"/>
  <c r="M606" i="41"/>
  <c r="M223" i="71" s="1"/>
  <c r="F607" i="41"/>
  <c r="F224" i="71" s="1"/>
  <c r="Z607" i="41"/>
  <c r="Z224" i="71" s="1"/>
  <c r="S608" i="41"/>
  <c r="L609" i="41"/>
  <c r="L225" i="71" s="1"/>
  <c r="AF609" i="41"/>
  <c r="AF225" i="71" s="1"/>
  <c r="Y610" i="41"/>
  <c r="R611" i="41"/>
  <c r="K612" i="41"/>
  <c r="AE612" i="41"/>
  <c r="X613" i="41"/>
  <c r="Q614" i="41"/>
  <c r="J615" i="41"/>
  <c r="AD615" i="41"/>
  <c r="W616" i="41"/>
  <c r="E608" i="41"/>
  <c r="Z599" i="41"/>
  <c r="R602" i="41"/>
  <c r="AC604" i="41"/>
  <c r="J607" i="41"/>
  <c r="J224" i="71" s="1"/>
  <c r="AC609" i="41"/>
  <c r="AC225" i="71" s="1"/>
  <c r="M612" i="41"/>
  <c r="U614" i="41"/>
  <c r="E605" i="41"/>
  <c r="U613" i="41"/>
  <c r="V608" i="41"/>
  <c r="AE603" i="41"/>
  <c r="M597" i="41"/>
  <c r="K600" i="41"/>
  <c r="V602" i="41"/>
  <c r="AD604" i="41"/>
  <c r="V607" i="41"/>
  <c r="V224" i="71" s="1"/>
  <c r="F610" i="41"/>
  <c r="N612" i="41"/>
  <c r="F615" i="41"/>
  <c r="E609" i="41"/>
  <c r="E225" i="71" s="1"/>
  <c r="AC610" i="41"/>
  <c r="F616" i="41"/>
  <c r="Z613" i="41"/>
  <c r="L612" i="41"/>
  <c r="Q597" i="41"/>
  <c r="L600" i="41"/>
  <c r="W602" i="41"/>
  <c r="AE604" i="41"/>
  <c r="W607" i="41"/>
  <c r="W224" i="71" s="1"/>
  <c r="G610" i="41"/>
  <c r="O612" i="41"/>
  <c r="G615" i="41"/>
  <c r="E610" i="41"/>
  <c r="U608" i="41"/>
  <c r="Y613" i="41"/>
  <c r="G616" i="41"/>
  <c r="R597" i="41"/>
  <c r="P600" i="41"/>
  <c r="X602" i="41"/>
  <c r="P605" i="41"/>
  <c r="AA607" i="41"/>
  <c r="AA224" i="71" s="1"/>
  <c r="H610" i="41"/>
  <c r="AA612" i="41"/>
  <c r="K615" i="41"/>
  <c r="E611" i="41"/>
  <c r="J601" i="41"/>
  <c r="Z598" i="41"/>
  <c r="O606" i="41"/>
  <c r="O223" i="71" s="1"/>
  <c r="E604" i="41"/>
  <c r="S597" i="41"/>
  <c r="Q600" i="41"/>
  <c r="Y602" i="41"/>
  <c r="Q605" i="41"/>
  <c r="AB607" i="41"/>
  <c r="AB224" i="71" s="1"/>
  <c r="I610" i="41"/>
  <c r="AB612" i="41"/>
  <c r="L615" i="41"/>
  <c r="E612" i="41"/>
  <c r="K601" i="41"/>
  <c r="W608" i="41"/>
  <c r="Y599" i="41"/>
  <c r="T597" i="41"/>
  <c r="R600" i="41"/>
  <c r="J603" i="41"/>
  <c r="U605" i="41"/>
  <c r="AC607" i="41"/>
  <c r="AC224" i="71" s="1"/>
  <c r="U610" i="41"/>
  <c r="AF612" i="41"/>
  <c r="M615" i="41"/>
  <c r="M598" i="41"/>
  <c r="AD603" i="41"/>
  <c r="AD598" i="41"/>
  <c r="AB604" i="41"/>
  <c r="F598" i="41"/>
  <c r="S600" i="41"/>
  <c r="K603" i="41"/>
  <c r="V605" i="41"/>
  <c r="AD607" i="41"/>
  <c r="AD224" i="71" s="1"/>
  <c r="V610" i="41"/>
  <c r="F613" i="41"/>
  <c r="N615" i="41"/>
  <c r="AF615" i="41"/>
  <c r="N611" i="41"/>
  <c r="O611" i="41"/>
  <c r="AB609" i="41"/>
  <c r="AB225" i="71" s="1"/>
  <c r="J598" i="41"/>
  <c r="AE600" i="41"/>
  <c r="O603" i="41"/>
  <c r="W605" i="41"/>
  <c r="O608" i="41"/>
  <c r="Z610" i="41"/>
  <c r="G613" i="41"/>
  <c r="Z615" i="41"/>
  <c r="J606" i="41"/>
  <c r="J223" i="71" s="1"/>
  <c r="I607" i="41"/>
  <c r="I224" i="71" s="1"/>
  <c r="K598" i="41"/>
  <c r="AF600" i="41"/>
  <c r="P603" i="41"/>
  <c r="X605" i="41"/>
  <c r="P608" i="41"/>
  <c r="AA610" i="41"/>
  <c r="H613" i="41"/>
  <c r="AA615" i="41"/>
  <c r="R603" i="41"/>
  <c r="N606" i="41"/>
  <c r="N223" i="71" s="1"/>
  <c r="L601" i="41"/>
  <c r="L598" i="41"/>
  <c r="I601" i="41"/>
  <c r="Q603" i="41"/>
  <c r="I606" i="41"/>
  <c r="I223" i="71" s="1"/>
  <c r="T608" i="41"/>
  <c r="AB610" i="41"/>
  <c r="T613" i="41"/>
  <c r="AE615" i="41"/>
  <c r="AE598" i="41"/>
  <c r="X601" i="41"/>
  <c r="H604" i="41"/>
  <c r="P606" i="41"/>
  <c r="P223" i="71" s="1"/>
  <c r="H609" i="41"/>
  <c r="H225" i="71" s="1"/>
  <c r="S611" i="41"/>
  <c r="AA613" i="41"/>
  <c r="S616" i="41"/>
  <c r="G607" i="41"/>
  <c r="G224" i="71" s="1"/>
  <c r="G612" i="41"/>
  <c r="H607" i="41"/>
  <c r="H224" i="71" s="1"/>
  <c r="S614" i="41"/>
  <c r="Q602" i="41"/>
  <c r="AF598" i="41"/>
  <c r="Y601" i="41"/>
  <c r="I604" i="41"/>
  <c r="Q606" i="41"/>
  <c r="Q223" i="71" s="1"/>
  <c r="I609" i="41"/>
  <c r="I225" i="71" s="1"/>
  <c r="T611" i="41"/>
  <c r="AB613" i="41"/>
  <c r="T616" i="41"/>
  <c r="AE601" i="41"/>
  <c r="O609" i="41"/>
  <c r="O225" i="71" s="1"/>
  <c r="R614" i="41"/>
  <c r="X604" i="41"/>
  <c r="H612" i="41"/>
  <c r="T614" i="41"/>
  <c r="F599" i="41"/>
  <c r="AC601" i="41"/>
  <c r="J604" i="41"/>
  <c r="AC606" i="41"/>
  <c r="AC223" i="71" s="1"/>
  <c r="M609" i="41"/>
  <c r="M225" i="71" s="1"/>
  <c r="U611" i="41"/>
  <c r="M614" i="41"/>
  <c r="X616" i="41"/>
  <c r="W599" i="41"/>
  <c r="X599" i="41"/>
  <c r="S599" i="41"/>
  <c r="AD601" i="41"/>
  <c r="K604" i="41"/>
  <c r="AD606" i="41"/>
  <c r="AD223" i="71" s="1"/>
  <c r="N609" i="41"/>
  <c r="N225" i="71" s="1"/>
  <c r="V611" i="41"/>
  <c r="N614" i="41"/>
  <c r="Y616" i="41"/>
  <c r="W604" i="41"/>
  <c r="Z616" i="41"/>
  <c r="AF601" i="41"/>
  <c r="P609" i="41"/>
  <c r="P225" i="71" s="1"/>
  <c r="AA616" i="41"/>
  <c r="AE646" i="62" a="1"/>
  <c r="AE646" i="62" s="1"/>
  <c r="AE745" i="62" a="1"/>
  <c r="AE745" i="62" s="1"/>
  <c r="AE448" i="62" a="1"/>
  <c r="AE448" i="62" s="1"/>
  <c r="AE547" i="62" a="1"/>
  <c r="AE547" i="62" s="1"/>
  <c r="U645" i="62" a="1"/>
  <c r="U645" i="62" s="1"/>
  <c r="U447" i="62" a="1"/>
  <c r="U447" i="62" s="1"/>
  <c r="U546" i="62" a="1"/>
  <c r="U546" i="62" s="1"/>
  <c r="U744" i="62" a="1"/>
  <c r="U744" i="62" s="1"/>
  <c r="N745" i="62" a="1"/>
  <c r="N745" i="62" s="1"/>
  <c r="N448" i="62" a="1"/>
  <c r="N448" i="62" s="1"/>
  <c r="N646" i="62" a="1"/>
  <c r="N646" i="62" s="1"/>
  <c r="N547" i="62" a="1"/>
  <c r="N547" i="62" s="1"/>
  <c r="AB549" i="62" a="1"/>
  <c r="AB549" i="62" s="1"/>
  <c r="AB450" i="62" a="1"/>
  <c r="AB450" i="62" s="1"/>
  <c r="AB747" i="62" a="1"/>
  <c r="AB747" i="62" s="1"/>
  <c r="AB648" i="62" a="1"/>
  <c r="AB648" i="62" s="1"/>
  <c r="X645" i="62" a="1"/>
  <c r="X645" i="62" s="1"/>
  <c r="X447" i="62" a="1"/>
  <c r="X447" i="62" s="1"/>
  <c r="X546" i="62" a="1"/>
  <c r="X546" i="62" s="1"/>
  <c r="X744" i="62" a="1"/>
  <c r="X744" i="62" s="1"/>
  <c r="S748" i="62" a="1"/>
  <c r="S748" i="62" s="1"/>
  <c r="S649" i="62" a="1"/>
  <c r="S649" i="62" s="1"/>
  <c r="S451" i="62" a="1"/>
  <c r="S451" i="62" s="1"/>
  <c r="S550" i="62" a="1"/>
  <c r="S550" i="62" s="1"/>
  <c r="W546" i="62" a="1"/>
  <c r="W546" i="62" s="1"/>
  <c r="W744" i="62" a="1"/>
  <c r="W744" i="62" s="1"/>
  <c r="W447" i="62" a="1"/>
  <c r="W447" i="62" s="1"/>
  <c r="W645" i="62" a="1"/>
  <c r="W645" i="62" s="1"/>
  <c r="P448" i="62" a="1"/>
  <c r="P448" i="62" s="1"/>
  <c r="P646" i="62" a="1"/>
  <c r="P646" i="62" s="1"/>
  <c r="P745" i="62" a="1"/>
  <c r="P745" i="62" s="1"/>
  <c r="P547" i="62" a="1"/>
  <c r="P547" i="62" s="1"/>
  <c r="V646" i="62" a="1"/>
  <c r="V646" i="62" s="1"/>
  <c r="V547" i="62" a="1"/>
  <c r="V547" i="62" s="1"/>
  <c r="V448" i="62" a="1"/>
  <c r="V448" i="62" s="1"/>
  <c r="V745" i="62" a="1"/>
  <c r="V745" i="62" s="1"/>
  <c r="K542" i="62" a="1"/>
  <c r="K542" i="62" s="1"/>
  <c r="K551" i="62" s="1"/>
  <c r="K553" i="62" s="1"/>
  <c r="K740" i="62" a="1"/>
  <c r="K740" i="62" s="1"/>
  <c r="K749" i="62" s="1"/>
  <c r="K751" i="62" s="1"/>
  <c r="K443" i="62" a="1"/>
  <c r="K443" i="62" s="1"/>
  <c r="K452" i="62" s="1"/>
  <c r="K454" i="62" s="1"/>
  <c r="K641" i="62" a="1"/>
  <c r="K641" i="62" s="1"/>
  <c r="K650" i="62" s="1"/>
  <c r="K652" i="62" s="1"/>
  <c r="AD645" i="62" a="1"/>
  <c r="AD645" i="62" s="1"/>
  <c r="AD447" i="62" a="1"/>
  <c r="AD447" i="62" s="1"/>
  <c r="AD546" i="62" a="1"/>
  <c r="AD546" i="62" s="1"/>
  <c r="AD744" i="62" a="1"/>
  <c r="AD744" i="62" s="1"/>
  <c r="AF747" i="62" a="1"/>
  <c r="AF747" i="62" s="1"/>
  <c r="AF450" i="62" a="1"/>
  <c r="AF450" i="62" s="1"/>
  <c r="AF549" i="62" a="1"/>
  <c r="AF549" i="62" s="1"/>
  <c r="AF648" i="62" a="1"/>
  <c r="AF648" i="62" s="1"/>
  <c r="P548" i="62" a="1"/>
  <c r="P548" i="62" s="1"/>
  <c r="P746" i="62" a="1"/>
  <c r="P746" i="62" s="1"/>
  <c r="P449" i="62" a="1"/>
  <c r="P449" i="62" s="1"/>
  <c r="P647" i="62" a="1"/>
  <c r="P647" i="62" s="1"/>
  <c r="N449" i="62" a="1"/>
  <c r="N449" i="62" s="1"/>
  <c r="N647" i="62" a="1"/>
  <c r="N647" i="62" s="1"/>
  <c r="N746" i="62" a="1"/>
  <c r="N746" i="62" s="1"/>
  <c r="N548" i="62" a="1"/>
  <c r="N548" i="62" s="1"/>
  <c r="S646" i="62" a="1"/>
  <c r="S646" i="62" s="1"/>
  <c r="S547" i="62" a="1"/>
  <c r="S547" i="62" s="1"/>
  <c r="S745" i="62" a="1"/>
  <c r="S745" i="62" s="1"/>
  <c r="S448" i="62" a="1"/>
  <c r="S448" i="62" s="1"/>
  <c r="S648" i="62" a="1"/>
  <c r="S648" i="62" s="1"/>
  <c r="S747" i="62" a="1"/>
  <c r="S747" i="62" s="1"/>
  <c r="S549" i="62" a="1"/>
  <c r="S549" i="62" s="1"/>
  <c r="S450" i="62" a="1"/>
  <c r="S450" i="62" s="1"/>
  <c r="AI544" i="62" a="1"/>
  <c r="AI544" i="62" s="1"/>
  <c r="AI552" i="62" s="1"/>
  <c r="AI554" i="62" s="1"/>
  <c r="AI643" i="62" a="1"/>
  <c r="AI643" i="62" s="1"/>
  <c r="AI651" i="62" s="1"/>
  <c r="AI653" i="62" s="1"/>
  <c r="AI445" i="62" a="1"/>
  <c r="AI445" i="62" s="1"/>
  <c r="AI453" i="62" s="1"/>
  <c r="AI455" i="62" s="1"/>
  <c r="AI742" i="62" a="1"/>
  <c r="AI742" i="62" s="1"/>
  <c r="AI750" i="62" s="1"/>
  <c r="AI752" i="62" s="1"/>
  <c r="V550" i="62" a="1"/>
  <c r="V550" i="62" s="1"/>
  <c r="V649" i="62" a="1"/>
  <c r="V649" i="62" s="1"/>
  <c r="V748" i="62" a="1"/>
  <c r="V748" i="62" s="1"/>
  <c r="V451" i="62" a="1"/>
  <c r="V451" i="62" s="1"/>
  <c r="AB451" i="62" a="1"/>
  <c r="AB451" i="62" s="1"/>
  <c r="AB748" i="62" a="1"/>
  <c r="AB748" i="62" s="1"/>
  <c r="AB649" i="62" a="1"/>
  <c r="AB649" i="62" s="1"/>
  <c r="AB550" i="62" a="1"/>
  <c r="AB550" i="62" s="1"/>
  <c r="L547" i="62" a="1"/>
  <c r="L547" i="62" s="1"/>
  <c r="L448" i="62" a="1"/>
  <c r="L448" i="62" s="1"/>
  <c r="L646" i="62" a="1"/>
  <c r="L646" i="62" s="1"/>
  <c r="L745" i="62" a="1"/>
  <c r="L745" i="62" s="1"/>
  <c r="AB443" i="62" a="1"/>
  <c r="AB443" i="62" s="1"/>
  <c r="AB452" i="62" s="1"/>
  <c r="AB454" i="62" s="1"/>
  <c r="AB542" i="62" a="1"/>
  <c r="AB542" i="62" s="1"/>
  <c r="AB551" i="62" s="1"/>
  <c r="AB553" i="62" s="1"/>
  <c r="AB740" i="62" a="1"/>
  <c r="AB740" i="62" s="1"/>
  <c r="AB749" i="62" s="1"/>
  <c r="AB751" i="62" s="1"/>
  <c r="AB641" i="62" a="1"/>
  <c r="AB641" i="62" s="1"/>
  <c r="AB650" i="62" s="1"/>
  <c r="AB652" i="62" s="1"/>
  <c r="O547" i="62" a="1"/>
  <c r="O547" i="62" s="1"/>
  <c r="O646" i="62" a="1"/>
  <c r="O646" i="62" s="1"/>
  <c r="O448" i="62" a="1"/>
  <c r="O448" i="62" s="1"/>
  <c r="O745" i="62" a="1"/>
  <c r="O745" i="62" s="1"/>
  <c r="AE550" i="62" a="1"/>
  <c r="AE550" i="62" s="1"/>
  <c r="AE748" i="62" a="1"/>
  <c r="AE748" i="62" s="1"/>
  <c r="AE451" i="62" a="1"/>
  <c r="AE451" i="62" s="1"/>
  <c r="AE649" i="62" a="1"/>
  <c r="AE649" i="62" s="1"/>
  <c r="X748" i="62" a="1"/>
  <c r="X748" i="62" s="1"/>
  <c r="X550" i="62" a="1"/>
  <c r="X550" i="62" s="1"/>
  <c r="X649" i="62" a="1"/>
  <c r="X649" i="62" s="1"/>
  <c r="X451" i="62" a="1"/>
  <c r="X451" i="62" s="1"/>
  <c r="AA451" i="62" a="1"/>
  <c r="AA451" i="62" s="1"/>
  <c r="AA649" i="62" a="1"/>
  <c r="AA649" i="62" s="1"/>
  <c r="AA748" i="62" a="1"/>
  <c r="AA748" i="62" s="1"/>
  <c r="AA550" i="62" a="1"/>
  <c r="AA550" i="62" s="1"/>
  <c r="R645" i="62" a="1"/>
  <c r="R645" i="62" s="1"/>
  <c r="R546" i="62" a="1"/>
  <c r="R546" i="62" s="1"/>
  <c r="R744" i="62" a="1"/>
  <c r="R744" i="62" s="1"/>
  <c r="R447" i="62" a="1"/>
  <c r="R447" i="62" s="1"/>
  <c r="AK744" i="62" a="1"/>
  <c r="AK744" i="62" s="1"/>
  <c r="AK546" i="62" a="1"/>
  <c r="AK546" i="62" s="1"/>
  <c r="AK645" i="62" a="1"/>
  <c r="AK645" i="62" s="1"/>
  <c r="AK447" i="62" a="1"/>
  <c r="AK447" i="62" s="1"/>
  <c r="AJ648" i="62" a="1"/>
  <c r="AJ648" i="62" s="1"/>
  <c r="AJ747" i="62" a="1"/>
  <c r="AJ747" i="62" s="1"/>
  <c r="AJ450" i="62" a="1"/>
  <c r="AJ450" i="62" s="1"/>
  <c r="AJ549" i="62" a="1"/>
  <c r="AJ549" i="62" s="1"/>
  <c r="AA447" i="62" a="1"/>
  <c r="AA447" i="62" s="1"/>
  <c r="AA546" i="62" a="1"/>
  <c r="AA546" i="62" s="1"/>
  <c r="AA645" i="62" a="1"/>
  <c r="AA645" i="62" s="1"/>
  <c r="AA744" i="62" a="1"/>
  <c r="AA744" i="62" s="1"/>
  <c r="R544" i="62" a="1"/>
  <c r="R544" i="62" s="1"/>
  <c r="R552" i="62" s="1"/>
  <c r="R554" i="62" s="1"/>
  <c r="R643" i="62" a="1"/>
  <c r="R643" i="62" s="1"/>
  <c r="R651" i="62" s="1"/>
  <c r="R653" i="62" s="1"/>
  <c r="R445" i="62" a="1"/>
  <c r="R445" i="62" s="1"/>
  <c r="R453" i="62" s="1"/>
  <c r="R455" i="62" s="1"/>
  <c r="R742" i="62" a="1"/>
  <c r="R742" i="62" s="1"/>
  <c r="R750" i="62" s="1"/>
  <c r="R752" i="62" s="1"/>
  <c r="AF446" i="62" a="1"/>
  <c r="AF446" i="62" s="1"/>
  <c r="AF545" i="62" a="1"/>
  <c r="AF545" i="62" s="1"/>
  <c r="AF743" i="62" a="1"/>
  <c r="AF743" i="62" s="1"/>
  <c r="AF644" i="62" a="1"/>
  <c r="AF644" i="62" s="1"/>
  <c r="O643" i="62" a="1"/>
  <c r="O643" i="62" s="1"/>
  <c r="O651" i="62" s="1"/>
  <c r="O653" i="62" s="1"/>
  <c r="O445" i="62" a="1"/>
  <c r="O445" i="62" s="1"/>
  <c r="O453" i="62" s="1"/>
  <c r="O455" i="62" s="1"/>
  <c r="O544" i="62" a="1"/>
  <c r="O544" i="62" s="1"/>
  <c r="O552" i="62" s="1"/>
  <c r="O554" i="62" s="1"/>
  <c r="O742" i="62" a="1"/>
  <c r="O742" i="62" s="1"/>
  <c r="O750" i="62" s="1"/>
  <c r="O752" i="62" s="1"/>
  <c r="AL544" i="62" a="1"/>
  <c r="AL544" i="62" s="1"/>
  <c r="AL552" i="62" s="1"/>
  <c r="AL554" i="62" s="1"/>
  <c r="AL643" i="62" a="1"/>
  <c r="AL643" i="62" s="1"/>
  <c r="AL651" i="62" s="1"/>
  <c r="AL653" i="62" s="1"/>
  <c r="AL742" i="62" a="1"/>
  <c r="AL742" i="62" s="1"/>
  <c r="AL750" i="62" s="1"/>
  <c r="AL752" i="62" s="1"/>
  <c r="AL445" i="62" a="1"/>
  <c r="AL445" i="62" s="1"/>
  <c r="AL453" i="62" s="1"/>
  <c r="AL455" i="62" s="1"/>
  <c r="AI548" i="62" a="1"/>
  <c r="AI548" i="62" s="1"/>
  <c r="AI449" i="62" a="1"/>
  <c r="AI449" i="62" s="1"/>
  <c r="AI647" i="62" a="1"/>
  <c r="AI647" i="62" s="1"/>
  <c r="AI746" i="62" a="1"/>
  <c r="AI746" i="62" s="1"/>
  <c r="X449" i="62" a="1"/>
  <c r="X449" i="62" s="1"/>
  <c r="X746" i="62" a="1"/>
  <c r="X746" i="62" s="1"/>
  <c r="X647" i="62" a="1"/>
  <c r="X647" i="62" s="1"/>
  <c r="X548" i="62" a="1"/>
  <c r="X548" i="62" s="1"/>
  <c r="O442" i="62" a="1"/>
  <c r="O442" i="62" s="1"/>
  <c r="O640" i="62" a="1"/>
  <c r="O640" i="62" s="1"/>
  <c r="O541" i="62" a="1"/>
  <c r="O541" i="62" s="1"/>
  <c r="O739" i="62" a="1"/>
  <c r="O739" i="62" s="1"/>
  <c r="AD547" i="62" a="1"/>
  <c r="AD547" i="62" s="1"/>
  <c r="AD646" i="62" a="1"/>
  <c r="AD646" i="62" s="1"/>
  <c r="AD745" i="62" a="1"/>
  <c r="AD745" i="62" s="1"/>
  <c r="AD448" i="62" a="1"/>
  <c r="AD448" i="62" s="1"/>
  <c r="U742" i="62" a="1"/>
  <c r="U742" i="62" s="1"/>
  <c r="U750" i="62" s="1"/>
  <c r="U752" i="62" s="1"/>
  <c r="U643" i="62" a="1"/>
  <c r="U643" i="62" s="1"/>
  <c r="U651" i="62" s="1"/>
  <c r="U653" i="62" s="1"/>
  <c r="U544" i="62" a="1"/>
  <c r="U544" i="62" s="1"/>
  <c r="U552" i="62" s="1"/>
  <c r="U554" i="62" s="1"/>
  <c r="U445" i="62" a="1"/>
  <c r="U445" i="62" s="1"/>
  <c r="U453" i="62" s="1"/>
  <c r="U455" i="62" s="1"/>
  <c r="AK542" i="62" a="1"/>
  <c r="AK542" i="62" s="1"/>
  <c r="AK551" i="62" s="1"/>
  <c r="AK553" i="62" s="1"/>
  <c r="AK740" i="62" a="1"/>
  <c r="AK740" i="62" s="1"/>
  <c r="AK749" i="62" s="1"/>
  <c r="AK751" i="62" s="1"/>
  <c r="AK443" i="62" a="1"/>
  <c r="AK443" i="62" s="1"/>
  <c r="AK452" i="62" s="1"/>
  <c r="AK454" i="62" s="1"/>
  <c r="AK641" i="62" a="1"/>
  <c r="AK641" i="62" s="1"/>
  <c r="AK650" i="62" s="1"/>
  <c r="AK652" i="62" s="1"/>
  <c r="P442" i="62" a="1"/>
  <c r="P442" i="62" s="1"/>
  <c r="P640" i="62" a="1"/>
  <c r="P640" i="62" s="1"/>
  <c r="P739" i="62" a="1"/>
  <c r="P739" i="62" s="1"/>
  <c r="P541" i="62" a="1"/>
  <c r="P541" i="62" s="1"/>
  <c r="P744" i="62" a="1"/>
  <c r="P744" i="62" s="1"/>
  <c r="P645" i="62" a="1"/>
  <c r="P645" i="62" s="1"/>
  <c r="P546" i="62" a="1"/>
  <c r="P546" i="62" s="1"/>
  <c r="P447" i="62" a="1"/>
  <c r="P447" i="62" s="1"/>
  <c r="AJ641" i="62" a="1"/>
  <c r="AJ641" i="62" s="1"/>
  <c r="AJ650" i="62" s="1"/>
  <c r="AJ652" i="62" s="1"/>
  <c r="AJ443" i="62" a="1"/>
  <c r="AJ443" i="62" s="1"/>
  <c r="AJ452" i="62" s="1"/>
  <c r="AJ454" i="62" s="1"/>
  <c r="AJ542" i="62" a="1"/>
  <c r="AJ542" i="62" s="1"/>
  <c r="AJ551" i="62" s="1"/>
  <c r="AJ553" i="62" s="1"/>
  <c r="AJ740" i="62" a="1"/>
  <c r="AJ740" i="62" s="1"/>
  <c r="AJ749" i="62" s="1"/>
  <c r="AJ751" i="62" s="1"/>
  <c r="AL442" i="62" a="1"/>
  <c r="AL442" i="62" s="1"/>
  <c r="AL739" i="62" a="1"/>
  <c r="AL739" i="62" s="1"/>
  <c r="AL640" i="62" a="1"/>
  <c r="AL640" i="62" s="1"/>
  <c r="AL541" i="62" a="1"/>
  <c r="AL541" i="62" s="1"/>
  <c r="Z742" i="62" a="1"/>
  <c r="Z742" i="62" s="1"/>
  <c r="Z750" i="62" s="1"/>
  <c r="Z752" i="62" s="1"/>
  <c r="Z544" i="62" a="1"/>
  <c r="Z544" i="62" s="1"/>
  <c r="Z552" i="62" s="1"/>
  <c r="Z554" i="62" s="1"/>
  <c r="Z643" i="62" a="1"/>
  <c r="Z643" i="62" s="1"/>
  <c r="Z651" i="62" s="1"/>
  <c r="Z653" i="62" s="1"/>
  <c r="Z445" i="62" a="1"/>
  <c r="Z445" i="62" s="1"/>
  <c r="Z453" i="62" s="1"/>
  <c r="Z455" i="62" s="1"/>
  <c r="AB445" i="62" a="1"/>
  <c r="AB445" i="62" s="1"/>
  <c r="AB453" i="62" s="1"/>
  <c r="AB455" i="62" s="1"/>
  <c r="AB742" i="62" a="1"/>
  <c r="AB742" i="62" s="1"/>
  <c r="AB750" i="62" s="1"/>
  <c r="AB752" i="62" s="1"/>
  <c r="AB643" i="62" a="1"/>
  <c r="AB643" i="62" s="1"/>
  <c r="AB651" i="62" s="1"/>
  <c r="AB653" i="62" s="1"/>
  <c r="AB544" i="62" a="1"/>
  <c r="AB544" i="62" s="1"/>
  <c r="AB552" i="62" s="1"/>
  <c r="AB554" i="62" s="1"/>
  <c r="K644" i="62" a="1"/>
  <c r="K644" i="62" s="1"/>
  <c r="K743" i="62" a="1"/>
  <c r="K743" i="62" s="1"/>
  <c r="K545" i="62" a="1"/>
  <c r="K545" i="62" s="1"/>
  <c r="K446" i="62" a="1"/>
  <c r="K446" i="62" s="1"/>
  <c r="AI641" i="62" a="1"/>
  <c r="AI641" i="62" s="1"/>
  <c r="AI650" i="62" s="1"/>
  <c r="AI652" i="62" s="1"/>
  <c r="AI542" i="62" a="1"/>
  <c r="AI542" i="62" s="1"/>
  <c r="AI551" i="62" s="1"/>
  <c r="AI553" i="62" s="1"/>
  <c r="AI740" i="62" a="1"/>
  <c r="AI740" i="62" s="1"/>
  <c r="AI749" i="62" s="1"/>
  <c r="AI751" i="62" s="1"/>
  <c r="AI443" i="62" a="1"/>
  <c r="AI443" i="62" s="1"/>
  <c r="AI452" i="62" s="1"/>
  <c r="AI454" i="62" s="1"/>
  <c r="Y541" i="62" a="1"/>
  <c r="Y541" i="62" s="1"/>
  <c r="Y442" i="62" a="1"/>
  <c r="Y442" i="62" s="1"/>
  <c r="Y640" i="62" a="1"/>
  <c r="Y640" i="62" s="1"/>
  <c r="Y739" i="62" a="1"/>
  <c r="Y739" i="62" s="1"/>
  <c r="W643" i="62" a="1"/>
  <c r="W643" i="62" s="1"/>
  <c r="W651" i="62" s="1"/>
  <c r="W653" i="62" s="1"/>
  <c r="W742" i="62" a="1"/>
  <c r="W742" i="62" s="1"/>
  <c r="W750" i="62" s="1"/>
  <c r="W752" i="62" s="1"/>
  <c r="W445" i="62" a="1"/>
  <c r="W445" i="62" s="1"/>
  <c r="W453" i="62" s="1"/>
  <c r="W455" i="62" s="1"/>
  <c r="W544" i="62" a="1"/>
  <c r="W544" i="62" s="1"/>
  <c r="W552" i="62" s="1"/>
  <c r="W554" i="62" s="1"/>
  <c r="O548" i="62" a="1"/>
  <c r="O548" i="62" s="1"/>
  <c r="O449" i="62" a="1"/>
  <c r="O449" i="62" s="1"/>
  <c r="O746" i="62" a="1"/>
  <c r="O746" i="62" s="1"/>
  <c r="O647" i="62" a="1"/>
  <c r="O647" i="62" s="1"/>
  <c r="Z549" i="62" a="1"/>
  <c r="Z549" i="62" s="1"/>
  <c r="Z747" i="62" a="1"/>
  <c r="Z747" i="62" s="1"/>
  <c r="Z450" i="62" a="1"/>
  <c r="Z450" i="62" s="1"/>
  <c r="Z648" i="62" a="1"/>
  <c r="Z648" i="62" s="1"/>
  <c r="AK647" i="62" a="1"/>
  <c r="AK647" i="62" s="1"/>
  <c r="AK548" i="62" a="1"/>
  <c r="AK548" i="62" s="1"/>
  <c r="AK449" i="62" a="1"/>
  <c r="AK449" i="62" s="1"/>
  <c r="AK746" i="62" a="1"/>
  <c r="AK746" i="62" s="1"/>
  <c r="AH740" i="62" a="1"/>
  <c r="AH740" i="62" s="1"/>
  <c r="AH749" i="62" s="1"/>
  <c r="AH751" i="62" s="1"/>
  <c r="AH542" i="62" a="1"/>
  <c r="AH542" i="62" s="1"/>
  <c r="AH551" i="62" s="1"/>
  <c r="AH553" i="62" s="1"/>
  <c r="AH641" i="62" a="1"/>
  <c r="AH641" i="62" s="1"/>
  <c r="AH650" i="62" s="1"/>
  <c r="AH652" i="62" s="1"/>
  <c r="AH443" i="62" a="1"/>
  <c r="AH443" i="62" s="1"/>
  <c r="AH452" i="62" s="1"/>
  <c r="AH454" i="62" s="1"/>
  <c r="AK446" i="62" a="1"/>
  <c r="AK446" i="62" s="1"/>
  <c r="AK743" i="62" a="1"/>
  <c r="AK743" i="62" s="1"/>
  <c r="AK644" i="62" a="1"/>
  <c r="AK644" i="62" s="1"/>
  <c r="AK545" i="62" a="1"/>
  <c r="AK545" i="62" s="1"/>
  <c r="L648" i="62" a="1"/>
  <c r="L648" i="62" s="1"/>
  <c r="L450" i="62" a="1"/>
  <c r="L450" i="62" s="1"/>
  <c r="L549" i="62" a="1"/>
  <c r="L549" i="62" s="1"/>
  <c r="L747" i="62" a="1"/>
  <c r="L747" i="62" s="1"/>
  <c r="Q748" i="62" a="1"/>
  <c r="Q748" i="62" s="1"/>
  <c r="Q649" i="62" a="1"/>
  <c r="Q649" i="62" s="1"/>
  <c r="Q451" i="62" a="1"/>
  <c r="Q451" i="62" s="1"/>
  <c r="Q550" i="62" a="1"/>
  <c r="Q550" i="62" s="1"/>
  <c r="U648" i="62" a="1"/>
  <c r="U648" i="62" s="1"/>
  <c r="U747" i="62" a="1"/>
  <c r="U747" i="62" s="1"/>
  <c r="U549" i="62" a="1"/>
  <c r="U549" i="62" s="1"/>
  <c r="U450" i="62" a="1"/>
  <c r="U450" i="62" s="1"/>
  <c r="AB446" i="62" a="1"/>
  <c r="AB446" i="62" s="1"/>
  <c r="AB644" i="62" a="1"/>
  <c r="AB644" i="62" s="1"/>
  <c r="AB743" i="62" a="1"/>
  <c r="AB743" i="62" s="1"/>
  <c r="AB545" i="62" a="1"/>
  <c r="AB545" i="62" s="1"/>
  <c r="R541" i="62" a="1"/>
  <c r="R541" i="62" s="1"/>
  <c r="R442" i="62" a="1"/>
  <c r="R442" i="62" s="1"/>
  <c r="R739" i="62" a="1"/>
  <c r="R739" i="62" s="1"/>
  <c r="R640" i="62" a="1"/>
  <c r="R640" i="62" s="1"/>
  <c r="Z442" i="62" a="1"/>
  <c r="Z442" i="62" s="1"/>
  <c r="Z640" i="62" a="1"/>
  <c r="Z640" i="62" s="1"/>
  <c r="Z739" i="62" a="1"/>
  <c r="Z739" i="62" s="1"/>
  <c r="Z541" i="62" a="1"/>
  <c r="Z541" i="62" s="1"/>
  <c r="AG443" i="62" a="1"/>
  <c r="AG443" i="62" s="1"/>
  <c r="AG452" i="62" s="1"/>
  <c r="AG454" i="62" s="1"/>
  <c r="AG641" i="62" a="1"/>
  <c r="AG641" i="62" s="1"/>
  <c r="AG650" i="62" s="1"/>
  <c r="AG652" i="62" s="1"/>
  <c r="AG542" i="62" a="1"/>
  <c r="AG542" i="62" s="1"/>
  <c r="AG551" i="62" s="1"/>
  <c r="AG553" i="62" s="1"/>
  <c r="AG740" i="62" a="1"/>
  <c r="AG740" i="62" s="1"/>
  <c r="AG749" i="62" s="1"/>
  <c r="AG751" i="62" s="1"/>
  <c r="AC644" i="62" a="1"/>
  <c r="AC644" i="62" s="1"/>
  <c r="AC446" i="62" a="1"/>
  <c r="AC446" i="62" s="1"/>
  <c r="AC545" i="62" a="1"/>
  <c r="AC545" i="62" s="1"/>
  <c r="AC743" i="62" a="1"/>
  <c r="AC743" i="62" s="1"/>
  <c r="AF547" i="62" a="1"/>
  <c r="AF547" i="62" s="1"/>
  <c r="AF448" i="62" a="1"/>
  <c r="AF448" i="62" s="1"/>
  <c r="AF745" i="62" a="1"/>
  <c r="AF745" i="62" s="1"/>
  <c r="AF646" i="62" a="1"/>
  <c r="AF646" i="62" s="1"/>
  <c r="V447" i="62" a="1"/>
  <c r="V447" i="62" s="1"/>
  <c r="V744" i="62" a="1"/>
  <c r="V744" i="62" s="1"/>
  <c r="V645" i="62" a="1"/>
  <c r="V645" i="62" s="1"/>
  <c r="V546" i="62" a="1"/>
  <c r="V546" i="62" s="1"/>
  <c r="Y647" i="62" a="1"/>
  <c r="Y647" i="62" s="1"/>
  <c r="Y548" i="62" a="1"/>
  <c r="Y548" i="62" s="1"/>
  <c r="Y746" i="62" a="1"/>
  <c r="Y746" i="62" s="1"/>
  <c r="Y449" i="62" a="1"/>
  <c r="Y449" i="62" s="1"/>
  <c r="AC546" i="62" a="1"/>
  <c r="AC546" i="62" s="1"/>
  <c r="AC645" i="62" a="1"/>
  <c r="AC645" i="62" s="1"/>
  <c r="AC447" i="62" a="1"/>
  <c r="AC447" i="62" s="1"/>
  <c r="AC744" i="62" a="1"/>
  <c r="AC744" i="62" s="1"/>
  <c r="AG547" i="62" a="1"/>
  <c r="AG547" i="62" s="1"/>
  <c r="AG646" i="62" a="1"/>
  <c r="AG646" i="62" s="1"/>
  <c r="AG745" i="62" a="1"/>
  <c r="AG745" i="62" s="1"/>
  <c r="AG448" i="62" a="1"/>
  <c r="AG448" i="62" s="1"/>
  <c r="M443" i="62" a="1"/>
  <c r="M443" i="62" s="1"/>
  <c r="M452" i="62" s="1"/>
  <c r="M454" i="62" s="1"/>
  <c r="M641" i="62" a="1"/>
  <c r="M641" i="62" s="1"/>
  <c r="M650" i="62" s="1"/>
  <c r="M652" i="62" s="1"/>
  <c r="M740" i="62" a="1"/>
  <c r="M740" i="62" s="1"/>
  <c r="M749" i="62" s="1"/>
  <c r="M751" i="62" s="1"/>
  <c r="M542" i="62" a="1"/>
  <c r="M542" i="62" s="1"/>
  <c r="M551" i="62" s="1"/>
  <c r="M553" i="62" s="1"/>
  <c r="L542" i="62" a="1"/>
  <c r="L542" i="62" s="1"/>
  <c r="L551" i="62" s="1"/>
  <c r="L553" i="62" s="1"/>
  <c r="L443" i="62" a="1"/>
  <c r="L443" i="62" s="1"/>
  <c r="L452" i="62" s="1"/>
  <c r="L454" i="62" s="1"/>
  <c r="L641" i="62" a="1"/>
  <c r="L641" i="62" s="1"/>
  <c r="L650" i="62" s="1"/>
  <c r="L652" i="62" s="1"/>
  <c r="L740" i="62" a="1"/>
  <c r="L740" i="62" s="1"/>
  <c r="L749" i="62" s="1"/>
  <c r="L751" i="62" s="1"/>
  <c r="N544" i="62" a="1"/>
  <c r="N544" i="62" s="1"/>
  <c r="N552" i="62" s="1"/>
  <c r="N554" i="62" s="1"/>
  <c r="N445" i="62" a="1"/>
  <c r="N445" i="62" s="1"/>
  <c r="N453" i="62" s="1"/>
  <c r="N455" i="62" s="1"/>
  <c r="N742" i="62" a="1"/>
  <c r="N742" i="62" s="1"/>
  <c r="N750" i="62" s="1"/>
  <c r="N752" i="62" s="1"/>
  <c r="N643" i="62" a="1"/>
  <c r="N643" i="62" s="1"/>
  <c r="N651" i="62" s="1"/>
  <c r="N653" i="62" s="1"/>
  <c r="R443" i="62" a="1"/>
  <c r="R443" i="62" s="1"/>
  <c r="R452" i="62" s="1"/>
  <c r="R454" i="62" s="1"/>
  <c r="R641" i="62" a="1"/>
  <c r="R641" i="62" s="1"/>
  <c r="R650" i="62" s="1"/>
  <c r="R652" i="62" s="1"/>
  <c r="R740" i="62" a="1"/>
  <c r="R740" i="62" s="1"/>
  <c r="R749" i="62" s="1"/>
  <c r="R751" i="62" s="1"/>
  <c r="R542" i="62" a="1"/>
  <c r="R542" i="62" s="1"/>
  <c r="R551" i="62" s="1"/>
  <c r="R553" i="62" s="1"/>
  <c r="AL641" i="62" a="1"/>
  <c r="AL641" i="62" s="1"/>
  <c r="AL650" i="62" s="1"/>
  <c r="AL652" i="62" s="1"/>
  <c r="AL443" i="62" a="1"/>
  <c r="AL443" i="62" s="1"/>
  <c r="AL452" i="62" s="1"/>
  <c r="AL454" i="62" s="1"/>
  <c r="AL740" i="62" a="1"/>
  <c r="AL740" i="62" s="1"/>
  <c r="AL749" i="62" s="1"/>
  <c r="AL751" i="62" s="1"/>
  <c r="AL542" i="62" a="1"/>
  <c r="AL542" i="62" s="1"/>
  <c r="AL551" i="62" s="1"/>
  <c r="AL553" i="62" s="1"/>
  <c r="AD545" i="62" a="1"/>
  <c r="AD545" i="62" s="1"/>
  <c r="AD446" i="62" a="1"/>
  <c r="AD446" i="62" s="1"/>
  <c r="AD743" i="62" a="1"/>
  <c r="AD743" i="62" s="1"/>
  <c r="AD644" i="62" a="1"/>
  <c r="AD644" i="62" s="1"/>
  <c r="L645" i="62" a="1"/>
  <c r="L645" i="62" s="1"/>
  <c r="L744" i="62" a="1"/>
  <c r="L744" i="62" s="1"/>
  <c r="L546" i="62" a="1"/>
  <c r="L546" i="62" s="1"/>
  <c r="L447" i="62" a="1"/>
  <c r="L447" i="62" s="1"/>
  <c r="W740" i="62" a="1"/>
  <c r="W740" i="62" s="1"/>
  <c r="W749" i="62" s="1"/>
  <c r="W751" i="62" s="1"/>
  <c r="W542" i="62" a="1"/>
  <c r="W542" i="62" s="1"/>
  <c r="W551" i="62" s="1"/>
  <c r="W553" i="62" s="1"/>
  <c r="W443" i="62" a="1"/>
  <c r="W443" i="62" s="1"/>
  <c r="W452" i="62" s="1"/>
  <c r="W454" i="62" s="1"/>
  <c r="W641" i="62" a="1"/>
  <c r="W641" i="62" s="1"/>
  <c r="W650" i="62" s="1"/>
  <c r="W652" i="62" s="1"/>
  <c r="AB548" i="62" a="1"/>
  <c r="AB548" i="62" s="1"/>
  <c r="AB746" i="62" a="1"/>
  <c r="AB746" i="62" s="1"/>
  <c r="AB449" i="62" a="1"/>
  <c r="AB449" i="62" s="1"/>
  <c r="AB647" i="62" a="1"/>
  <c r="AB647" i="62" s="1"/>
  <c r="M541" i="62" a="1"/>
  <c r="M541" i="62" s="1"/>
  <c r="M640" i="62" a="1"/>
  <c r="M640" i="62" s="1"/>
  <c r="M739" i="62" a="1"/>
  <c r="M739" i="62" s="1"/>
  <c r="M442" i="62" a="1"/>
  <c r="M442" i="62" s="1"/>
  <c r="S542" i="62" a="1"/>
  <c r="S542" i="62" s="1"/>
  <c r="S551" i="62" s="1"/>
  <c r="S553" i="62" s="1"/>
  <c r="S443" i="62" a="1"/>
  <c r="S443" i="62" s="1"/>
  <c r="S452" i="62" s="1"/>
  <c r="S454" i="62" s="1"/>
  <c r="S740" i="62" a="1"/>
  <c r="S740" i="62" s="1"/>
  <c r="S749" i="62" s="1"/>
  <c r="S751" i="62" s="1"/>
  <c r="S641" i="62" a="1"/>
  <c r="S641" i="62" s="1"/>
  <c r="S650" i="62" s="1"/>
  <c r="S652" i="62" s="1"/>
  <c r="U743" i="62" a="1"/>
  <c r="U743" i="62" s="1"/>
  <c r="U545" i="62" a="1"/>
  <c r="U545" i="62" s="1"/>
  <c r="U644" i="62" a="1"/>
  <c r="U644" i="62" s="1"/>
  <c r="U446" i="62" a="1"/>
  <c r="U446" i="62" s="1"/>
  <c r="L643" i="62" a="1"/>
  <c r="L643" i="62" s="1"/>
  <c r="L651" i="62" s="1"/>
  <c r="L653" i="62" s="1"/>
  <c r="L742" i="62" a="1"/>
  <c r="L742" i="62" s="1"/>
  <c r="L750" i="62" s="1"/>
  <c r="L752" i="62" s="1"/>
  <c r="L445" i="62" a="1"/>
  <c r="L445" i="62" s="1"/>
  <c r="L453" i="62" s="1"/>
  <c r="L455" i="62" s="1"/>
  <c r="L544" i="62" a="1"/>
  <c r="L544" i="62" s="1"/>
  <c r="L552" i="62" s="1"/>
  <c r="L554" i="62" s="1"/>
  <c r="N744" i="62" a="1"/>
  <c r="N744" i="62" s="1"/>
  <c r="N645" i="62" a="1"/>
  <c r="N645" i="62" s="1"/>
  <c r="N447" i="62" a="1"/>
  <c r="N447" i="62" s="1"/>
  <c r="N546" i="62" a="1"/>
  <c r="N546" i="62" s="1"/>
  <c r="L541" i="62" a="1"/>
  <c r="L541" i="62" s="1"/>
  <c r="L640" i="62" a="1"/>
  <c r="L640" i="62" s="1"/>
  <c r="L739" i="62" a="1"/>
  <c r="L739" i="62" s="1"/>
  <c r="L442" i="62" a="1"/>
  <c r="L442" i="62" s="1"/>
  <c r="R549" i="62" a="1"/>
  <c r="R549" i="62" s="1"/>
  <c r="R747" i="62" a="1"/>
  <c r="R747" i="62" s="1"/>
  <c r="R450" i="62" a="1"/>
  <c r="R450" i="62" s="1"/>
  <c r="R648" i="62" a="1"/>
  <c r="R648" i="62" s="1"/>
  <c r="AC739" i="62" a="1"/>
  <c r="AC739" i="62" s="1"/>
  <c r="AC541" i="62" a="1"/>
  <c r="AC541" i="62" s="1"/>
  <c r="AC640" i="62" a="1"/>
  <c r="AC640" i="62" s="1"/>
  <c r="AC442" i="62" a="1"/>
  <c r="AC442" i="62" s="1"/>
  <c r="Q641" i="62" a="1"/>
  <c r="Q641" i="62" s="1"/>
  <c r="Q650" i="62" s="1"/>
  <c r="Q652" i="62" s="1"/>
  <c r="Q542" i="62" a="1"/>
  <c r="Q542" i="62" s="1"/>
  <c r="Q551" i="62" s="1"/>
  <c r="Q553" i="62" s="1"/>
  <c r="Q443" i="62" a="1"/>
  <c r="Q443" i="62" s="1"/>
  <c r="Q452" i="62" s="1"/>
  <c r="Q454" i="62" s="1"/>
  <c r="Q740" i="62" a="1"/>
  <c r="Q740" i="62" s="1"/>
  <c r="Q749" i="62" s="1"/>
  <c r="Q751" i="62" s="1"/>
  <c r="AA640" i="62" a="1"/>
  <c r="AA640" i="62" s="1"/>
  <c r="AA442" i="62" a="1"/>
  <c r="AA442" i="62" s="1"/>
  <c r="AA739" i="62" a="1"/>
  <c r="AA739" i="62" s="1"/>
  <c r="AA541" i="62" a="1"/>
  <c r="AA541" i="62" s="1"/>
  <c r="AF449" i="62" a="1"/>
  <c r="AF449" i="62" s="1"/>
  <c r="AF647" i="62" a="1"/>
  <c r="AF647" i="62" s="1"/>
  <c r="AF548" i="62" a="1"/>
  <c r="AF548" i="62" s="1"/>
  <c r="AF746" i="62" a="1"/>
  <c r="AF746" i="62" s="1"/>
  <c r="AE541" i="62" a="1"/>
  <c r="AE541" i="62" s="1"/>
  <c r="AE640" i="62" a="1"/>
  <c r="AE640" i="62" s="1"/>
  <c r="AE739" i="62" a="1"/>
  <c r="AE739" i="62" s="1"/>
  <c r="AE442" i="62" a="1"/>
  <c r="AE442" i="62" s="1"/>
  <c r="X648" i="62" a="1"/>
  <c r="X648" i="62" s="1"/>
  <c r="X450" i="62" a="1"/>
  <c r="X450" i="62" s="1"/>
  <c r="X747" i="62" a="1"/>
  <c r="X747" i="62" s="1"/>
  <c r="X549" i="62" a="1"/>
  <c r="X549" i="62" s="1"/>
  <c r="AG649" i="62" a="1"/>
  <c r="AG649" i="62" s="1"/>
  <c r="AG451" i="62" a="1"/>
  <c r="AG451" i="62" s="1"/>
  <c r="AG748" i="62" a="1"/>
  <c r="AG748" i="62" s="1"/>
  <c r="AG550" i="62" a="1"/>
  <c r="AG550" i="62" s="1"/>
  <c r="W644" i="62" a="1"/>
  <c r="W644" i="62" s="1"/>
  <c r="W545" i="62" a="1"/>
  <c r="W545" i="62" s="1"/>
  <c r="W446" i="62" a="1"/>
  <c r="W446" i="62" s="1"/>
  <c r="W743" i="62" a="1"/>
  <c r="W743" i="62" s="1"/>
  <c r="P740" i="62" a="1"/>
  <c r="P740" i="62" s="1"/>
  <c r="P749" i="62" s="1"/>
  <c r="P751" i="62" s="1"/>
  <c r="P542" i="62" a="1"/>
  <c r="P542" i="62" s="1"/>
  <c r="P551" i="62" s="1"/>
  <c r="P553" i="62" s="1"/>
  <c r="P641" i="62" a="1"/>
  <c r="P641" i="62" s="1"/>
  <c r="P650" i="62" s="1"/>
  <c r="P652" i="62" s="1"/>
  <c r="P443" i="62" a="1"/>
  <c r="P443" i="62" s="1"/>
  <c r="P452" i="62" s="1"/>
  <c r="P454" i="62" s="1"/>
  <c r="M545" i="62" a="1"/>
  <c r="M545" i="62" s="1"/>
  <c r="M743" i="62" a="1"/>
  <c r="M743" i="62" s="1"/>
  <c r="M446" i="62" a="1"/>
  <c r="M446" i="62" s="1"/>
  <c r="M644" i="62" a="1"/>
  <c r="M644" i="62" s="1"/>
  <c r="AI743" i="62" a="1"/>
  <c r="AI743" i="62" s="1"/>
  <c r="AI545" i="62" a="1"/>
  <c r="AI545" i="62" s="1"/>
  <c r="AI446" i="62" a="1"/>
  <c r="AI446" i="62" s="1"/>
  <c r="AI644" i="62" a="1"/>
  <c r="AI644" i="62" s="1"/>
  <c r="M448" i="62" a="1"/>
  <c r="M448" i="62" s="1"/>
  <c r="M745" i="62" a="1"/>
  <c r="M745" i="62" s="1"/>
  <c r="M646" i="62" a="1"/>
  <c r="M646" i="62" s="1"/>
  <c r="M547" i="62" a="1"/>
  <c r="M547" i="62" s="1"/>
  <c r="AB546" i="62" a="1"/>
  <c r="AB546" i="62" s="1"/>
  <c r="AB645" i="62" a="1"/>
  <c r="AB645" i="62" s="1"/>
  <c r="AB744" i="62" a="1"/>
  <c r="AB744" i="62" s="1"/>
  <c r="AB447" i="62" a="1"/>
  <c r="AB447" i="62" s="1"/>
  <c r="K739" i="62" a="1"/>
  <c r="K739" i="62" s="1"/>
  <c r="K541" i="62" a="1"/>
  <c r="K541" i="62" s="1"/>
  <c r="K640" i="62" a="1"/>
  <c r="K640" i="62" s="1"/>
  <c r="K442" i="62" a="1"/>
  <c r="K442" i="62" s="1"/>
  <c r="AE746" i="62" a="1"/>
  <c r="AE746" i="62" s="1"/>
  <c r="AE548" i="62" a="1"/>
  <c r="AE548" i="62" s="1"/>
  <c r="AE449" i="62" a="1"/>
  <c r="AE449" i="62" s="1"/>
  <c r="AE647" i="62" a="1"/>
  <c r="AE647" i="62" s="1"/>
  <c r="U448" i="62" a="1"/>
  <c r="U448" i="62" s="1"/>
  <c r="U745" i="62" a="1"/>
  <c r="U745" i="62" s="1"/>
  <c r="U547" i="62" a="1"/>
  <c r="U547" i="62" s="1"/>
  <c r="U646" i="62" a="1"/>
  <c r="U646" i="62" s="1"/>
  <c r="Z548" i="62" a="1"/>
  <c r="Z548" i="62" s="1"/>
  <c r="Z647" i="62" a="1"/>
  <c r="Z647" i="62" s="1"/>
  <c r="Z449" i="62" a="1"/>
  <c r="Z449" i="62" s="1"/>
  <c r="Z746" i="62" a="1"/>
  <c r="Z746" i="62" s="1"/>
  <c r="O546" i="62" a="1"/>
  <c r="O546" i="62" s="1"/>
  <c r="O645" i="62" a="1"/>
  <c r="O645" i="62" s="1"/>
  <c r="O744" i="62" a="1"/>
  <c r="O744" i="62" s="1"/>
  <c r="O447" i="62" a="1"/>
  <c r="O447" i="62" s="1"/>
  <c r="AH746" i="62" a="1"/>
  <c r="AH746" i="62" s="1"/>
  <c r="AH647" i="62" a="1"/>
  <c r="AH647" i="62" s="1"/>
  <c r="AH548" i="62" a="1"/>
  <c r="AH548" i="62" s="1"/>
  <c r="AH449" i="62" a="1"/>
  <c r="AH449" i="62" s="1"/>
  <c r="L550" i="62" a="1"/>
  <c r="L550" i="62" s="1"/>
  <c r="L649" i="62" a="1"/>
  <c r="L649" i="62" s="1"/>
  <c r="L748" i="62" a="1"/>
  <c r="L748" i="62" s="1"/>
  <c r="L451" i="62" a="1"/>
  <c r="L451" i="62" s="1"/>
  <c r="N644" i="62" a="1"/>
  <c r="N644" i="62" s="1"/>
  <c r="N545" i="62" a="1"/>
  <c r="N545" i="62" s="1"/>
  <c r="N743" i="62" a="1"/>
  <c r="N743" i="62" s="1"/>
  <c r="N446" i="62" a="1"/>
  <c r="N446" i="62" s="1"/>
  <c r="AB20" i="62" a="1"/>
  <c r="AB20" i="62" s="1"/>
  <c r="AB21" i="62" s="1"/>
  <c r="AG20" i="62" a="1"/>
  <c r="AG20" i="62" s="1"/>
  <c r="AG21" i="62" s="1"/>
  <c r="M20" i="62" a="1"/>
  <c r="M20" i="62" s="1"/>
  <c r="X20" i="62" a="1"/>
  <c r="X20" i="62" s="1"/>
  <c r="X21" i="62" s="1"/>
  <c r="Q20" i="62" a="1"/>
  <c r="Q20" i="62" s="1"/>
  <c r="Q21" i="62" s="1"/>
  <c r="Y20" i="62" a="1"/>
  <c r="Y20" i="62" s="1"/>
  <c r="Y21" i="62" s="1"/>
  <c r="AC20" i="62" a="1"/>
  <c r="AC20" i="62" s="1"/>
  <c r="AC21" i="62" s="1"/>
  <c r="AH20" i="62" a="1"/>
  <c r="AH20" i="62" s="1"/>
  <c r="AH21" i="62" s="1"/>
  <c r="T20" i="62" a="1"/>
  <c r="T20" i="62" s="1"/>
  <c r="T21" i="62" s="1"/>
  <c r="AK20" i="62" a="1"/>
  <c r="AK20" i="62" s="1"/>
  <c r="AK21" i="62" s="1"/>
  <c r="L20" i="62" a="1"/>
  <c r="L20" i="62" s="1"/>
  <c r="AA20" i="62" a="1"/>
  <c r="AA20" i="62" s="1"/>
  <c r="AA21" i="62" s="1"/>
  <c r="S20" i="62" a="1"/>
  <c r="S20" i="62" s="1"/>
  <c r="S21" i="62" s="1"/>
  <c r="R20" i="62" a="1"/>
  <c r="R20" i="62" s="1"/>
  <c r="R21" i="62" s="1"/>
  <c r="AF20" i="62" a="1"/>
  <c r="AF20" i="62" s="1"/>
  <c r="AF21" i="62" s="1"/>
  <c r="Z20" i="62" a="1"/>
  <c r="Z20" i="62" s="1"/>
  <c r="Z21" i="62" s="1"/>
  <c r="AD247" i="62" a="1"/>
  <c r="AD247" i="62" s="1"/>
  <c r="AD148" i="62" a="1"/>
  <c r="AD148" i="62" s="1"/>
  <c r="AD346" i="62" a="1"/>
  <c r="AD346" i="62" s="1"/>
  <c r="AD49" i="62" a="1"/>
  <c r="AD49" i="62" s="1"/>
  <c r="Z244" i="62" a="1"/>
  <c r="Z244" i="62" s="1"/>
  <c r="Z145" i="62" a="1"/>
  <c r="Z145" i="62" s="1"/>
  <c r="Z343" i="62" a="1"/>
  <c r="Z343" i="62" s="1"/>
  <c r="Z46" i="62" a="1"/>
  <c r="Z46" i="62" s="1"/>
  <c r="V143" i="62" a="1"/>
  <c r="V143" i="62" s="1"/>
  <c r="V341" i="62" a="1"/>
  <c r="V341" i="62" s="1"/>
  <c r="V242" i="62" a="1"/>
  <c r="V242" i="62" s="1"/>
  <c r="V44" i="62" a="1"/>
  <c r="V44" i="62" s="1"/>
  <c r="T346" i="62" a="1"/>
  <c r="T346" i="62" s="1"/>
  <c r="T148" i="62" a="1"/>
  <c r="T148" i="62" s="1"/>
  <c r="T247" i="62" a="1"/>
  <c r="T247" i="62" s="1"/>
  <c r="T49" i="62" a="1"/>
  <c r="T49" i="62" s="1"/>
  <c r="AC247" i="62" a="1"/>
  <c r="AC247" i="62" s="1"/>
  <c r="AC148" i="62" a="1"/>
  <c r="AC148" i="62" s="1"/>
  <c r="AC346" i="62" a="1"/>
  <c r="AC346" i="62" s="1"/>
  <c r="AC49" i="62" a="1"/>
  <c r="AC49" i="62" s="1"/>
  <c r="AE239" i="62" a="1"/>
  <c r="AE239" i="62" s="1"/>
  <c r="AE248" i="62" s="1"/>
  <c r="AE250" i="62" s="1"/>
  <c r="AE338" i="62" a="1"/>
  <c r="AE338" i="62" s="1"/>
  <c r="AE347" i="62" s="1"/>
  <c r="AE349" i="62" s="1"/>
  <c r="AE140" i="62" a="1"/>
  <c r="AE140" i="62" s="1"/>
  <c r="AE149" i="62" s="1"/>
  <c r="AE151" i="62" s="1"/>
  <c r="AE41" i="62" a="1"/>
  <c r="AE41" i="62" s="1"/>
  <c r="AE50" i="62" s="1"/>
  <c r="AE52" i="62" s="1"/>
  <c r="AA341" i="62" a="1"/>
  <c r="AA341" i="62" s="1"/>
  <c r="AA242" i="62" a="1"/>
  <c r="AA242" i="62" s="1"/>
  <c r="AA143" i="62" a="1"/>
  <c r="AA143" i="62" s="1"/>
  <c r="AA44" i="62" a="1"/>
  <c r="AA44" i="62" s="1"/>
  <c r="M241" i="62" a="1"/>
  <c r="M241" i="62" s="1"/>
  <c r="M249" i="62" s="1"/>
  <c r="M251" i="62" s="1"/>
  <c r="M340" i="62" a="1"/>
  <c r="M340" i="62" s="1"/>
  <c r="M348" i="62" s="1"/>
  <c r="M350" i="62" s="1"/>
  <c r="M142" i="62" a="1"/>
  <c r="M142" i="62" s="1"/>
  <c r="M150" i="62" s="1"/>
  <c r="M152" i="62" s="1"/>
  <c r="M43" i="62" a="1"/>
  <c r="M43" i="62" s="1"/>
  <c r="M51" i="62" s="1"/>
  <c r="M53" i="62" s="1"/>
  <c r="P340" i="62" a="1"/>
  <c r="P340" i="62" s="1"/>
  <c r="P348" i="62" s="1"/>
  <c r="P350" i="62" s="1"/>
  <c r="P241" i="62" a="1"/>
  <c r="P241" i="62" s="1"/>
  <c r="P249" i="62" s="1"/>
  <c r="P251" i="62" s="1"/>
  <c r="P142" i="62" a="1"/>
  <c r="P142" i="62" s="1"/>
  <c r="P150" i="62" s="1"/>
  <c r="P152" i="62" s="1"/>
  <c r="P43" i="62" a="1"/>
  <c r="P43" i="62" s="1"/>
  <c r="P51" i="62" s="1"/>
  <c r="P53" i="62" s="1"/>
  <c r="R343" i="62" a="1"/>
  <c r="R343" i="62" s="1"/>
  <c r="R244" i="62" a="1"/>
  <c r="R244" i="62" s="1"/>
  <c r="R145" i="62" a="1"/>
  <c r="R145" i="62" s="1"/>
  <c r="R46" i="62" a="1"/>
  <c r="R46" i="62" s="1"/>
  <c r="AB343" i="62" a="1"/>
  <c r="AB343" i="62" s="1"/>
  <c r="AB145" i="62" a="1"/>
  <c r="AB145" i="62" s="1"/>
  <c r="AB244" i="62" a="1"/>
  <c r="AB244" i="62" s="1"/>
  <c r="AB46" i="62" a="1"/>
  <c r="AB46" i="62" s="1"/>
  <c r="S241" i="62" a="1"/>
  <c r="S241" i="62" s="1"/>
  <c r="S249" i="62" s="1"/>
  <c r="S251" i="62" s="1"/>
  <c r="S142" i="62" a="1"/>
  <c r="S142" i="62" s="1"/>
  <c r="S150" i="62" s="1"/>
  <c r="S152" i="62" s="1"/>
  <c r="S340" i="62" a="1"/>
  <c r="S340" i="62" s="1"/>
  <c r="S348" i="62" s="1"/>
  <c r="S350" i="62" s="1"/>
  <c r="S43" i="62" a="1"/>
  <c r="S43" i="62" s="1"/>
  <c r="S51" i="62" s="1"/>
  <c r="S53" i="62" s="1"/>
  <c r="X340" i="62" a="1"/>
  <c r="X340" i="62" s="1"/>
  <c r="X348" i="62" s="1"/>
  <c r="X350" i="62" s="1"/>
  <c r="X241" i="62" a="1"/>
  <c r="X241" i="62" s="1"/>
  <c r="X249" i="62" s="1"/>
  <c r="X251" i="62" s="1"/>
  <c r="X142" i="62" a="1"/>
  <c r="X142" i="62" s="1"/>
  <c r="X150" i="62" s="1"/>
  <c r="X152" i="62" s="1"/>
  <c r="X43" i="62" a="1"/>
  <c r="X43" i="62" s="1"/>
  <c r="X51" i="62" s="1"/>
  <c r="X53" i="62" s="1"/>
  <c r="AJ345" i="62" a="1"/>
  <c r="AJ345" i="62" s="1"/>
  <c r="AJ147" i="62" a="1"/>
  <c r="AJ147" i="62" s="1"/>
  <c r="AJ246" i="62" a="1"/>
  <c r="AJ246" i="62" s="1"/>
  <c r="AJ48" i="62" a="1"/>
  <c r="AJ48" i="62" s="1"/>
  <c r="AJ244" i="62" a="1"/>
  <c r="AJ244" i="62" s="1"/>
  <c r="AJ145" i="62" a="1"/>
  <c r="AJ145" i="62" s="1"/>
  <c r="AJ343" i="62" a="1"/>
  <c r="AJ343" i="62" s="1"/>
  <c r="AJ46" i="62" a="1"/>
  <c r="AJ46" i="62" s="1"/>
  <c r="AD146" i="62" a="1"/>
  <c r="AD146" i="62" s="1"/>
  <c r="AD245" i="62" a="1"/>
  <c r="AD245" i="62" s="1"/>
  <c r="AD344" i="62" a="1"/>
  <c r="AD344" i="62" s="1"/>
  <c r="AD47" i="62" a="1"/>
  <c r="AD47" i="62" s="1"/>
  <c r="AH344" i="62" a="1"/>
  <c r="AH344" i="62" s="1"/>
  <c r="AH245" i="62" a="1"/>
  <c r="AH245" i="62" s="1"/>
  <c r="AH146" i="62" a="1"/>
  <c r="AH146" i="62" s="1"/>
  <c r="AH47" i="62" a="1"/>
  <c r="AH47" i="62" s="1"/>
  <c r="L346" i="62" a="1"/>
  <c r="L346" i="62" s="1"/>
  <c r="L247" i="62" a="1"/>
  <c r="L247" i="62" s="1"/>
  <c r="L148" i="62" a="1"/>
  <c r="L148" i="62" s="1"/>
  <c r="L49" i="62" a="1"/>
  <c r="L49" i="62" s="1"/>
  <c r="AG145" i="62" a="1"/>
  <c r="AG145" i="62" s="1"/>
  <c r="AG343" i="62" a="1"/>
  <c r="AG343" i="62" s="1"/>
  <c r="AG244" i="62" a="1"/>
  <c r="AG244" i="62" s="1"/>
  <c r="AG46" i="62" a="1"/>
  <c r="AG46" i="62" s="1"/>
  <c r="AI145" i="62" a="1"/>
  <c r="AI145" i="62" s="1"/>
  <c r="AI244" i="62" a="1"/>
  <c r="AI244" i="62" s="1"/>
  <c r="AI343" i="62" a="1"/>
  <c r="AI343" i="62" s="1"/>
  <c r="AI46" i="62" a="1"/>
  <c r="AI46" i="62" s="1"/>
  <c r="T243" i="62" a="1"/>
  <c r="T243" i="62" s="1"/>
  <c r="T342" i="62" a="1"/>
  <c r="T342" i="62" s="1"/>
  <c r="T144" i="62" a="1"/>
  <c r="T144" i="62" s="1"/>
  <c r="T45" i="62" a="1"/>
  <c r="T45" i="62" s="1"/>
  <c r="AJ142" i="62" a="1"/>
  <c r="AJ142" i="62" s="1"/>
  <c r="AJ150" i="62" s="1"/>
  <c r="AJ152" i="62" s="1"/>
  <c r="AJ340" i="62" a="1"/>
  <c r="AJ340" i="62" s="1"/>
  <c r="AJ348" i="62" s="1"/>
  <c r="AJ350" i="62" s="1"/>
  <c r="AJ241" i="62" a="1"/>
  <c r="AJ241" i="62" s="1"/>
  <c r="AJ249" i="62" s="1"/>
  <c r="AJ251" i="62" s="1"/>
  <c r="AJ43" i="62" a="1"/>
  <c r="AJ43" i="62" s="1"/>
  <c r="AJ51" i="62" s="1"/>
  <c r="AJ53" i="62" s="1"/>
  <c r="T344" i="62" a="1"/>
  <c r="T344" i="62" s="1"/>
  <c r="T146" i="62" a="1"/>
  <c r="T146" i="62" s="1"/>
  <c r="T245" i="62" a="1"/>
  <c r="T245" i="62" s="1"/>
  <c r="T47" i="62" a="1"/>
  <c r="T47" i="62" s="1"/>
  <c r="AF144" i="62" a="1"/>
  <c r="AF144" i="62" s="1"/>
  <c r="AF243" i="62" a="1"/>
  <c r="AF243" i="62" s="1"/>
  <c r="AF342" i="62" a="1"/>
  <c r="AF342" i="62" s="1"/>
  <c r="AF45" i="62" a="1"/>
  <c r="AF45" i="62" s="1"/>
  <c r="AG238" i="62" a="1"/>
  <c r="AG238" i="62" s="1"/>
  <c r="AG139" i="62" a="1"/>
  <c r="AG139" i="62" s="1"/>
  <c r="AG337" i="62" a="1"/>
  <c r="AG337" i="62" s="1"/>
  <c r="AG40" i="62" a="1"/>
  <c r="AG40" i="62" s="1"/>
  <c r="Y243" i="62" a="1"/>
  <c r="Y243" i="62" s="1"/>
  <c r="Y144" i="62" a="1"/>
  <c r="Y144" i="62" s="1"/>
  <c r="Y342" i="62" a="1"/>
  <c r="Y342" i="62" s="1"/>
  <c r="Y45" i="62" a="1"/>
  <c r="Y45" i="62" s="1"/>
  <c r="K342" i="62" a="1"/>
  <c r="K342" i="62" s="1"/>
  <c r="K144" i="62" a="1"/>
  <c r="K144" i="62" s="1"/>
  <c r="K243" i="62" a="1"/>
  <c r="K243" i="62" s="1"/>
  <c r="K45" i="62" a="1"/>
  <c r="K45" i="62" s="1"/>
  <c r="X337" i="62" a="1"/>
  <c r="X337" i="62" s="1"/>
  <c r="X139" i="62" a="1"/>
  <c r="X139" i="62" s="1"/>
  <c r="X238" i="62" a="1"/>
  <c r="X238" i="62" s="1"/>
  <c r="X40" i="62" a="1"/>
  <c r="X40" i="62" s="1"/>
  <c r="AG142" i="62" a="1"/>
  <c r="AG142" i="62" s="1"/>
  <c r="AG150" i="62" s="1"/>
  <c r="AG152" i="62" s="1"/>
  <c r="AG241" i="62" a="1"/>
  <c r="AG241" i="62" s="1"/>
  <c r="AG249" i="62" s="1"/>
  <c r="AG251" i="62" s="1"/>
  <c r="AG340" i="62" a="1"/>
  <c r="AG340" i="62" s="1"/>
  <c r="AG348" i="62" s="1"/>
  <c r="AG350" i="62" s="1"/>
  <c r="AG43" i="62" a="1"/>
  <c r="AG43" i="62" s="1"/>
  <c r="AG51" i="62" s="1"/>
  <c r="AG53" i="62" s="1"/>
  <c r="T239" i="62" a="1"/>
  <c r="T239" i="62" s="1"/>
  <c r="T248" i="62" s="1"/>
  <c r="T250" i="62" s="1"/>
  <c r="T140" i="62" a="1"/>
  <c r="T140" i="62" s="1"/>
  <c r="T149" i="62" s="1"/>
  <c r="T151" i="62" s="1"/>
  <c r="T338" i="62" a="1"/>
  <c r="T338" i="62" s="1"/>
  <c r="T347" i="62" s="1"/>
  <c r="T349" i="62" s="1"/>
  <c r="T41" i="62" a="1"/>
  <c r="T41" i="62" s="1"/>
  <c r="T50" i="62" s="1"/>
  <c r="T52" i="62" s="1"/>
  <c r="S341" i="62" a="1"/>
  <c r="S341" i="62" s="1"/>
  <c r="S143" i="62" a="1"/>
  <c r="S143" i="62" s="1"/>
  <c r="S242" i="62" a="1"/>
  <c r="S242" i="62" s="1"/>
  <c r="S44" i="62" a="1"/>
  <c r="S44" i="62" s="1"/>
  <c r="AD337" i="62" a="1"/>
  <c r="AD337" i="62" s="1"/>
  <c r="AD238" i="62" a="1"/>
  <c r="AD238" i="62" s="1"/>
  <c r="AD139" i="62" a="1"/>
  <c r="AD139" i="62" s="1"/>
  <c r="AD40" i="62" a="1"/>
  <c r="AD40" i="62" s="1"/>
  <c r="K241" i="62" a="1"/>
  <c r="K241" i="62" s="1"/>
  <c r="K249" i="62" s="1"/>
  <c r="K251" i="62" s="1"/>
  <c r="K142" i="62" a="1"/>
  <c r="K142" i="62" s="1"/>
  <c r="K150" i="62" s="1"/>
  <c r="K152" i="62" s="1"/>
  <c r="K340" i="62" a="1"/>
  <c r="K340" i="62" s="1"/>
  <c r="K348" i="62" s="1"/>
  <c r="K350" i="62" s="1"/>
  <c r="K43" i="62" a="1"/>
  <c r="K43" i="62" s="1"/>
  <c r="K51" i="62" s="1"/>
  <c r="K53" i="62" s="1"/>
  <c r="Q343" i="62" a="1"/>
  <c r="Q343" i="62" s="1"/>
  <c r="Q244" i="62" a="1"/>
  <c r="Q244" i="62" s="1"/>
  <c r="Q145" i="62" a="1"/>
  <c r="Q145" i="62" s="1"/>
  <c r="Q46" i="62" a="1"/>
  <c r="Q46" i="62" s="1"/>
  <c r="AH148" i="62" a="1"/>
  <c r="AH148" i="62" s="1"/>
  <c r="AH346" i="62" a="1"/>
  <c r="AH346" i="62" s="1"/>
  <c r="AH247" i="62" a="1"/>
  <c r="AH247" i="62" s="1"/>
  <c r="AH49" i="62" a="1"/>
  <c r="AH49" i="62" s="1"/>
  <c r="AH139" i="62" a="1"/>
  <c r="AH139" i="62" s="1"/>
  <c r="AH238" i="62" a="1"/>
  <c r="AH238" i="62" s="1"/>
  <c r="AH337" i="62" a="1"/>
  <c r="AH337" i="62" s="1"/>
  <c r="AH40" i="62" a="1"/>
  <c r="AH40" i="62" s="1"/>
  <c r="N147" i="62" a="1"/>
  <c r="N147" i="62" s="1"/>
  <c r="N246" i="62" a="1"/>
  <c r="N246" i="62" s="1"/>
  <c r="N345" i="62" a="1"/>
  <c r="N345" i="62" s="1"/>
  <c r="N48" i="62" a="1"/>
  <c r="N48" i="62" s="1"/>
  <c r="AE144" i="62" a="1"/>
  <c r="AE144" i="62" s="1"/>
  <c r="AE243" i="62" a="1"/>
  <c r="AE243" i="62" s="1"/>
  <c r="AE342" i="62" a="1"/>
  <c r="AE342" i="62" s="1"/>
  <c r="AE45" i="62" a="1"/>
  <c r="AE45" i="62" s="1"/>
  <c r="AJ344" i="62" a="1"/>
  <c r="AJ344" i="62" s="1"/>
  <c r="AJ245" i="62" a="1"/>
  <c r="AJ245" i="62" s="1"/>
  <c r="AJ146" i="62" a="1"/>
  <c r="AJ146" i="62" s="1"/>
  <c r="AJ47" i="62" a="1"/>
  <c r="AJ47" i="62" s="1"/>
  <c r="R344" i="62" a="1"/>
  <c r="R344" i="62" s="1"/>
  <c r="R146" i="62" a="1"/>
  <c r="R146" i="62" s="1"/>
  <c r="R245" i="62" a="1"/>
  <c r="R245" i="62" s="1"/>
  <c r="R47" i="62" a="1"/>
  <c r="R47" i="62" s="1"/>
  <c r="AA243" i="62" a="1"/>
  <c r="AA243" i="62" s="1"/>
  <c r="AA144" i="62" a="1"/>
  <c r="AA144" i="62" s="1"/>
  <c r="AA342" i="62" a="1"/>
  <c r="AA342" i="62" s="1"/>
  <c r="AA45" i="62" a="1"/>
  <c r="AA45" i="62" s="1"/>
  <c r="AD241" i="62" a="1"/>
  <c r="AD241" i="62" s="1"/>
  <c r="AD249" i="62" s="1"/>
  <c r="AD251" i="62" s="1"/>
  <c r="AD142" i="62" a="1"/>
  <c r="AD142" i="62" s="1"/>
  <c r="AD150" i="62" s="1"/>
  <c r="AD152" i="62" s="1"/>
  <c r="AD340" i="62" a="1"/>
  <c r="AD340" i="62" s="1"/>
  <c r="AD348" i="62" s="1"/>
  <c r="AD350" i="62" s="1"/>
  <c r="AD43" i="62" a="1"/>
  <c r="AD43" i="62" s="1"/>
  <c r="AD51" i="62" s="1"/>
  <c r="AD53" i="62" s="1"/>
  <c r="AJ238" i="62" a="1"/>
  <c r="AJ238" i="62" s="1"/>
  <c r="AJ139" i="62" a="1"/>
  <c r="AJ139" i="62" s="1"/>
  <c r="AJ337" i="62" a="1"/>
  <c r="AJ337" i="62" s="1"/>
  <c r="AJ40" i="62" a="1"/>
  <c r="AJ40" i="62" s="1"/>
  <c r="Y147" i="62" a="1"/>
  <c r="Y147" i="62" s="1"/>
  <c r="Y345" i="62" a="1"/>
  <c r="Y345" i="62" s="1"/>
  <c r="Y246" i="62" a="1"/>
  <c r="Y246" i="62" s="1"/>
  <c r="Y48" i="62" a="1"/>
  <c r="Y48" i="62" s="1"/>
  <c r="AL144" i="62" a="1"/>
  <c r="AL144" i="62" s="1"/>
  <c r="AL243" i="62" a="1"/>
  <c r="AL243" i="62" s="1"/>
  <c r="AL342" i="62" a="1"/>
  <c r="AL342" i="62" s="1"/>
  <c r="AL45" i="62" a="1"/>
  <c r="AL45" i="62" s="1"/>
  <c r="V238" i="62" a="1"/>
  <c r="V238" i="62" s="1"/>
  <c r="V139" i="62" a="1"/>
  <c r="V139" i="62" s="1"/>
  <c r="V337" i="62" a="1"/>
  <c r="V337" i="62" s="1"/>
  <c r="V40" i="62" a="1"/>
  <c r="V40" i="62" s="1"/>
  <c r="AI139" i="62" a="1"/>
  <c r="AI139" i="62" s="1"/>
  <c r="AI238" i="62" a="1"/>
  <c r="AI238" i="62" s="1"/>
  <c r="AI337" i="62" a="1"/>
  <c r="AI337" i="62" s="1"/>
  <c r="AI40" i="62" a="1"/>
  <c r="AI40" i="62" s="1"/>
  <c r="W146" i="62" a="1"/>
  <c r="W146" i="62" s="1"/>
  <c r="W344" i="62" a="1"/>
  <c r="W344" i="62" s="1"/>
  <c r="W245" i="62" a="1"/>
  <c r="W245" i="62" s="1"/>
  <c r="W47" i="62" a="1"/>
  <c r="W47" i="62" s="1"/>
  <c r="W247" i="62" a="1"/>
  <c r="W247" i="62" s="1"/>
  <c r="W148" i="62" a="1"/>
  <c r="W148" i="62" s="1"/>
  <c r="W346" i="62" a="1"/>
  <c r="W346" i="62" s="1"/>
  <c r="W49" i="62" a="1"/>
  <c r="W49" i="62" s="1"/>
  <c r="R346" i="62" a="1"/>
  <c r="R346" i="62" s="1"/>
  <c r="R148" i="62" a="1"/>
  <c r="R148" i="62" s="1"/>
  <c r="R247" i="62" a="1"/>
  <c r="R247" i="62" s="1"/>
  <c r="R49" i="62" a="1"/>
  <c r="R49" i="62" s="1"/>
  <c r="AJ342" i="62" a="1"/>
  <c r="AJ342" i="62" s="1"/>
  <c r="AJ243" i="62" a="1"/>
  <c r="AJ243" i="62" s="1"/>
  <c r="AJ144" i="62" a="1"/>
  <c r="AJ144" i="62" s="1"/>
  <c r="AJ45" i="62" a="1"/>
  <c r="AJ45" i="62" s="1"/>
  <c r="T241" i="62" a="1"/>
  <c r="T241" i="62" s="1"/>
  <c r="T249" i="62" s="1"/>
  <c r="T251" i="62" s="1"/>
  <c r="T142" i="62" a="1"/>
  <c r="T142" i="62" s="1"/>
  <c r="T150" i="62" s="1"/>
  <c r="T152" i="62" s="1"/>
  <c r="T340" i="62" a="1"/>
  <c r="T340" i="62" s="1"/>
  <c r="T348" i="62" s="1"/>
  <c r="T350" i="62" s="1"/>
  <c r="T43" i="62" a="1"/>
  <c r="T43" i="62" s="1"/>
  <c r="T51" i="62" s="1"/>
  <c r="T53" i="62" s="1"/>
  <c r="Y346" i="62" a="1"/>
  <c r="Y346" i="62" s="1"/>
  <c r="Y247" i="62" a="1"/>
  <c r="Y247" i="62" s="1"/>
  <c r="Y148" i="62" a="1"/>
  <c r="Y148" i="62" s="1"/>
  <c r="Y49" i="62" a="1"/>
  <c r="Y49" i="62" s="1"/>
  <c r="AD20" i="62" a="1"/>
  <c r="AD20" i="62" s="1"/>
  <c r="AD21" i="62" s="1"/>
  <c r="V344" i="62" a="1"/>
  <c r="V344" i="62" s="1"/>
  <c r="V146" i="62" a="1"/>
  <c r="V146" i="62" s="1"/>
  <c r="V245" i="62" a="1"/>
  <c r="V245" i="62" s="1"/>
  <c r="V47" i="62" a="1"/>
  <c r="V47" i="62" s="1"/>
  <c r="W142" i="62" a="1"/>
  <c r="W142" i="62" s="1"/>
  <c r="W150" i="62" s="1"/>
  <c r="W152" i="62" s="1"/>
  <c r="W241" i="62" a="1"/>
  <c r="W241" i="62" s="1"/>
  <c r="W249" i="62" s="1"/>
  <c r="W251" i="62" s="1"/>
  <c r="W340" i="62" a="1"/>
  <c r="W340" i="62" s="1"/>
  <c r="W348" i="62" s="1"/>
  <c r="W350" i="62" s="1"/>
  <c r="W43" i="62" a="1"/>
  <c r="W43" i="62" s="1"/>
  <c r="W51" i="62" s="1"/>
  <c r="W53" i="62" s="1"/>
  <c r="M140" i="62" a="1"/>
  <c r="M140" i="62" s="1"/>
  <c r="M149" i="62" s="1"/>
  <c r="M151" i="62" s="1"/>
  <c r="M239" i="62" a="1"/>
  <c r="M239" i="62" s="1"/>
  <c r="M248" i="62" s="1"/>
  <c r="M250" i="62" s="1"/>
  <c r="M338" i="62" a="1"/>
  <c r="M338" i="62" s="1"/>
  <c r="M347" i="62" s="1"/>
  <c r="M349" i="62" s="1"/>
  <c r="M41" i="62" a="1"/>
  <c r="M41" i="62" s="1"/>
  <c r="M50" i="62" s="1"/>
  <c r="M52" i="62" s="1"/>
  <c r="O340" i="62" a="1"/>
  <c r="O340" i="62" s="1"/>
  <c r="O348" i="62" s="1"/>
  <c r="O350" i="62" s="1"/>
  <c r="O241" i="62" a="1"/>
  <c r="O241" i="62" s="1"/>
  <c r="O249" i="62" s="1"/>
  <c r="O251" i="62" s="1"/>
  <c r="O142" i="62" a="1"/>
  <c r="O142" i="62" s="1"/>
  <c r="O150" i="62" s="1"/>
  <c r="O152" i="62" s="1"/>
  <c r="O43" i="62" a="1"/>
  <c r="O43" i="62" s="1"/>
  <c r="O51" i="62" s="1"/>
  <c r="O53" i="62" s="1"/>
  <c r="O20" i="62" a="1"/>
  <c r="O20" i="62" s="1"/>
  <c r="O21" i="62" s="1"/>
  <c r="S342" i="62" a="1"/>
  <c r="S342" i="62" s="1"/>
  <c r="S243" i="62" a="1"/>
  <c r="S243" i="62" s="1"/>
  <c r="S144" i="62" a="1"/>
  <c r="S144" i="62" s="1"/>
  <c r="S45" i="62" a="1"/>
  <c r="S45" i="62" s="1"/>
  <c r="Z342" i="62" a="1"/>
  <c r="Z342" i="62" s="1"/>
  <c r="Z144" i="62" a="1"/>
  <c r="Z144" i="62" s="1"/>
  <c r="Z243" i="62" a="1"/>
  <c r="Z243" i="62" s="1"/>
  <c r="Z45" i="62" a="1"/>
  <c r="Z45" i="62" s="1"/>
  <c r="O140" i="62" a="1"/>
  <c r="O140" i="62" s="1"/>
  <c r="O149" i="62" s="1"/>
  <c r="O151" i="62" s="1"/>
  <c r="O338" i="62" a="1"/>
  <c r="O338" i="62" s="1"/>
  <c r="O347" i="62" s="1"/>
  <c r="O349" i="62" s="1"/>
  <c r="O239" i="62" a="1"/>
  <c r="O239" i="62" s="1"/>
  <c r="O248" i="62" s="1"/>
  <c r="O250" i="62" s="1"/>
  <c r="O41" i="62" a="1"/>
  <c r="O41" i="62" s="1"/>
  <c r="O50" i="62" s="1"/>
  <c r="O52" i="62" s="1"/>
  <c r="AH246" i="62" a="1"/>
  <c r="AH246" i="62" s="1"/>
  <c r="AH345" i="62" a="1"/>
  <c r="AH345" i="62" s="1"/>
  <c r="AH147" i="62" a="1"/>
  <c r="AH147" i="62" s="1"/>
  <c r="AH48" i="62" a="1"/>
  <c r="AH48" i="62" s="1"/>
  <c r="AA241" i="62" a="1"/>
  <c r="AA241" i="62" s="1"/>
  <c r="AA249" i="62" s="1"/>
  <c r="AA251" i="62" s="1"/>
  <c r="AA340" i="62" a="1"/>
  <c r="AA340" i="62" s="1"/>
  <c r="AA348" i="62" s="1"/>
  <c r="AA350" i="62" s="1"/>
  <c r="AA142" i="62" a="1"/>
  <c r="AA142" i="62" s="1"/>
  <c r="AA150" i="62" s="1"/>
  <c r="AA152" i="62" s="1"/>
  <c r="AA43" i="62" a="1"/>
  <c r="AA43" i="62" s="1"/>
  <c r="AA51" i="62" s="1"/>
  <c r="AA53" i="62" s="1"/>
  <c r="AL142" i="62" a="1"/>
  <c r="AL142" i="62" s="1"/>
  <c r="AL150" i="62" s="1"/>
  <c r="AL152" i="62" s="1"/>
  <c r="AL241" i="62" a="1"/>
  <c r="AL241" i="62" s="1"/>
  <c r="AL249" i="62" s="1"/>
  <c r="AL251" i="62" s="1"/>
  <c r="AL340" i="62" a="1"/>
  <c r="AL340" i="62" s="1"/>
  <c r="AL348" i="62" s="1"/>
  <c r="AL350" i="62" s="1"/>
  <c r="AL43" i="62" a="1"/>
  <c r="AL43" i="62" s="1"/>
  <c r="AL51" i="62" s="1"/>
  <c r="AL53" i="62" s="1"/>
  <c r="AG242" i="62" a="1"/>
  <c r="AG242" i="62" s="1"/>
  <c r="AG341" i="62" a="1"/>
  <c r="AG341" i="62" s="1"/>
  <c r="AG143" i="62" a="1"/>
  <c r="AG143" i="62" s="1"/>
  <c r="AG44" i="62" a="1"/>
  <c r="AG44" i="62" s="1"/>
  <c r="N140" i="62" a="1"/>
  <c r="N140" i="62" s="1"/>
  <c r="N149" i="62" s="1"/>
  <c r="N151" i="62" s="1"/>
  <c r="N338" i="62" a="1"/>
  <c r="N338" i="62" s="1"/>
  <c r="N347" i="62" s="1"/>
  <c r="N349" i="62" s="1"/>
  <c r="N239" i="62" a="1"/>
  <c r="N239" i="62" s="1"/>
  <c r="N248" i="62" s="1"/>
  <c r="N250" i="62" s="1"/>
  <c r="N41" i="62" a="1"/>
  <c r="N41" i="62" s="1"/>
  <c r="N50" i="62" s="1"/>
  <c r="N52" i="62" s="1"/>
  <c r="O342" i="62" a="1"/>
  <c r="O342" i="62" s="1"/>
  <c r="O243" i="62" a="1"/>
  <c r="O243" i="62" s="1"/>
  <c r="O144" i="62" a="1"/>
  <c r="O144" i="62" s="1"/>
  <c r="O45" i="62" a="1"/>
  <c r="O45" i="62" s="1"/>
  <c r="N242" i="62" a="1"/>
  <c r="N242" i="62" s="1"/>
  <c r="N143" i="62" a="1"/>
  <c r="N143" i="62" s="1"/>
  <c r="N341" i="62" a="1"/>
  <c r="N341" i="62" s="1"/>
  <c r="N44" i="62" a="1"/>
  <c r="N44" i="62" s="1"/>
  <c r="U147" i="62" a="1"/>
  <c r="U147" i="62" s="1"/>
  <c r="U246" i="62" a="1"/>
  <c r="U246" i="62" s="1"/>
  <c r="U345" i="62" a="1"/>
  <c r="U345" i="62" s="1"/>
  <c r="U48" i="62" a="1"/>
  <c r="U48" i="62" s="1"/>
  <c r="T343" i="62" a="1"/>
  <c r="T343" i="62" s="1"/>
  <c r="T145" i="62" a="1"/>
  <c r="T145" i="62" s="1"/>
  <c r="T244" i="62" a="1"/>
  <c r="T244" i="62" s="1"/>
  <c r="T46" i="62" a="1"/>
  <c r="T46" i="62" s="1"/>
  <c r="Z247" i="62" a="1"/>
  <c r="Z247" i="62" s="1"/>
  <c r="Z346" i="62" a="1"/>
  <c r="Z346" i="62" s="1"/>
  <c r="Z148" i="62" a="1"/>
  <c r="Z148" i="62" s="1"/>
  <c r="Z49" i="62" a="1"/>
  <c r="Z49" i="62" s="1"/>
  <c r="AK142" i="62" a="1"/>
  <c r="AK142" i="62" s="1"/>
  <c r="AK150" i="62" s="1"/>
  <c r="AK152" i="62" s="1"/>
  <c r="AK241" i="62" a="1"/>
  <c r="AK241" i="62" s="1"/>
  <c r="AK249" i="62" s="1"/>
  <c r="AK251" i="62" s="1"/>
  <c r="AK340" i="62" a="1"/>
  <c r="AK340" i="62" s="1"/>
  <c r="AK348" i="62" s="1"/>
  <c r="AK350" i="62" s="1"/>
  <c r="AK43" i="62" a="1"/>
  <c r="AK43" i="62" s="1"/>
  <c r="AK51" i="62" s="1"/>
  <c r="AK53" i="62" s="1"/>
  <c r="AA345" i="62" a="1"/>
  <c r="AA345" i="62" s="1"/>
  <c r="AA147" i="62" a="1"/>
  <c r="AA147" i="62" s="1"/>
  <c r="AA246" i="62" a="1"/>
  <c r="AA246" i="62" s="1"/>
  <c r="AA48" i="62" a="1"/>
  <c r="AA48" i="62" s="1"/>
  <c r="AF247" i="62" a="1"/>
  <c r="AF247" i="62" s="1"/>
  <c r="AF346" i="62" a="1"/>
  <c r="AF346" i="62" s="1"/>
  <c r="AF148" i="62" a="1"/>
  <c r="AF148" i="62" s="1"/>
  <c r="AF49" i="62" a="1"/>
  <c r="AF49" i="62" s="1"/>
  <c r="AH242" i="62" a="1"/>
  <c r="AH242" i="62" s="1"/>
  <c r="AH143" i="62" a="1"/>
  <c r="AH143" i="62" s="1"/>
  <c r="AH341" i="62" a="1"/>
  <c r="AH341" i="62" s="1"/>
  <c r="AH44" i="62" a="1"/>
  <c r="AH44" i="62" s="1"/>
  <c r="AI342" i="62" a="1"/>
  <c r="AI342" i="62" s="1"/>
  <c r="AI144" i="62" a="1"/>
  <c r="AI144" i="62" s="1"/>
  <c r="AI243" i="62" a="1"/>
  <c r="AI243" i="62" s="1"/>
  <c r="AI45" i="62" a="1"/>
  <c r="AI45" i="62" s="1"/>
  <c r="AL341" i="62" a="1"/>
  <c r="AL341" i="62" s="1"/>
  <c r="AL143" i="62" a="1"/>
  <c r="AL143" i="62" s="1"/>
  <c r="AL242" i="62" a="1"/>
  <c r="AL242" i="62" s="1"/>
  <c r="AL44" i="62" a="1"/>
  <c r="AL44" i="62" s="1"/>
  <c r="O147" i="62" a="1"/>
  <c r="O147" i="62" s="1"/>
  <c r="O246" i="62" a="1"/>
  <c r="O246" i="62" s="1"/>
  <c r="O345" i="62" a="1"/>
  <c r="O345" i="62" s="1"/>
  <c r="O48" i="62" a="1"/>
  <c r="O48" i="62" s="1"/>
  <c r="Z143" i="62" a="1"/>
  <c r="Z143" i="62" s="1"/>
  <c r="Z242" i="62" a="1"/>
  <c r="Z242" i="62" s="1"/>
  <c r="Z341" i="62" a="1"/>
  <c r="Z341" i="62" s="1"/>
  <c r="Z44" i="62" a="1"/>
  <c r="Z44" i="62" s="1"/>
  <c r="L344" i="62" a="1"/>
  <c r="L344" i="62" s="1"/>
  <c r="L146" i="62" a="1"/>
  <c r="L146" i="62" s="1"/>
  <c r="L245" i="62" a="1"/>
  <c r="L245" i="62" s="1"/>
  <c r="L47" i="62" a="1"/>
  <c r="L47" i="62" s="1"/>
  <c r="U245" i="62" a="1"/>
  <c r="U245" i="62" s="1"/>
  <c r="U344" i="62" a="1"/>
  <c r="U344" i="62" s="1"/>
  <c r="U146" i="62" a="1"/>
  <c r="U146" i="62" s="1"/>
  <c r="U47" i="62" a="1"/>
  <c r="U47" i="62" s="1"/>
  <c r="V142" i="62" a="1"/>
  <c r="V142" i="62" s="1"/>
  <c r="V150" i="62" s="1"/>
  <c r="V152" i="62" s="1"/>
  <c r="V241" i="62" a="1"/>
  <c r="V241" i="62" s="1"/>
  <c r="V249" i="62" s="1"/>
  <c r="V251" i="62" s="1"/>
  <c r="V340" i="62" a="1"/>
  <c r="V340" i="62" s="1"/>
  <c r="V348" i="62" s="1"/>
  <c r="V350" i="62" s="1"/>
  <c r="V43" i="62" a="1"/>
  <c r="V43" i="62" s="1"/>
  <c r="V51" i="62" s="1"/>
  <c r="V53" i="62" s="1"/>
  <c r="W337" i="62" a="1"/>
  <c r="W337" i="62" s="1"/>
  <c r="W238" i="62" a="1"/>
  <c r="W238" i="62" s="1"/>
  <c r="W139" i="62" a="1"/>
  <c r="W139" i="62" s="1"/>
  <c r="W40" i="62" a="1"/>
  <c r="W40" i="62" s="1"/>
  <c r="AL244" i="62" a="1"/>
  <c r="AL244" i="62" s="1"/>
  <c r="AL343" i="62" a="1"/>
  <c r="AL343" i="62" s="1"/>
  <c r="AL145" i="62" a="1"/>
  <c r="AL145" i="62" s="1"/>
  <c r="AL46" i="62" a="1"/>
  <c r="AL46" i="62" s="1"/>
  <c r="AA244" i="62" a="1"/>
  <c r="AA244" i="62" s="1"/>
  <c r="AA145" i="62" a="1"/>
  <c r="AA145" i="62" s="1"/>
  <c r="AA343" i="62" a="1"/>
  <c r="AA343" i="62" s="1"/>
  <c r="AA46" i="62" a="1"/>
  <c r="AA46" i="62" s="1"/>
  <c r="U337" i="62" a="1"/>
  <c r="U337" i="62" s="1"/>
  <c r="U238" i="62" a="1"/>
  <c r="U238" i="62" s="1"/>
  <c r="U139" i="62" a="1"/>
  <c r="U139" i="62" s="1"/>
  <c r="U40" i="62" a="1"/>
  <c r="U40" i="62" s="1"/>
  <c r="Y244" i="62" a="1"/>
  <c r="Y244" i="62" s="1"/>
  <c r="Y145" i="62" a="1"/>
  <c r="Y145" i="62" s="1"/>
  <c r="Y343" i="62" a="1"/>
  <c r="Y343" i="62" s="1"/>
  <c r="Y46" i="62" a="1"/>
  <c r="Y46" i="62" s="1"/>
  <c r="P143" i="62" a="1"/>
  <c r="P143" i="62" s="1"/>
  <c r="P242" i="62" a="1"/>
  <c r="P242" i="62" s="1"/>
  <c r="P341" i="62" a="1"/>
  <c r="P341" i="62" s="1"/>
  <c r="P44" i="62" a="1"/>
  <c r="P44" i="62" s="1"/>
  <c r="AL344" i="62" a="1"/>
  <c r="AL344" i="62" s="1"/>
  <c r="AL146" i="62" a="1"/>
  <c r="AL146" i="62" s="1"/>
  <c r="AL245" i="62" a="1"/>
  <c r="AL245" i="62" s="1"/>
  <c r="AL47" i="62" a="1"/>
  <c r="AL47" i="62" s="1"/>
  <c r="U247" i="62" a="1"/>
  <c r="U247" i="62" s="1"/>
  <c r="U148" i="62" a="1"/>
  <c r="U148" i="62" s="1"/>
  <c r="U346" i="62" a="1"/>
  <c r="U346" i="62" s="1"/>
  <c r="U49" i="62" a="1"/>
  <c r="U49" i="62" s="1"/>
  <c r="AF341" i="62" a="1"/>
  <c r="AF341" i="62" s="1"/>
  <c r="AF242" i="62" a="1"/>
  <c r="AF242" i="62" s="1"/>
  <c r="AF143" i="62" a="1"/>
  <c r="AF143" i="62" s="1"/>
  <c r="AF44" i="62" a="1"/>
  <c r="AF44" i="62" s="1"/>
  <c r="Y241" i="62" a="1"/>
  <c r="Y241" i="62" s="1"/>
  <c r="Y249" i="62" s="1"/>
  <c r="Y251" i="62" s="1"/>
  <c r="Y142" i="62" a="1"/>
  <c r="Y142" i="62" s="1"/>
  <c r="Y150" i="62" s="1"/>
  <c r="Y152" i="62" s="1"/>
  <c r="Y340" i="62" a="1"/>
  <c r="Y340" i="62" s="1"/>
  <c r="Y348" i="62" s="1"/>
  <c r="Y350" i="62" s="1"/>
  <c r="Y43" i="62" a="1"/>
  <c r="Y43" i="62" s="1"/>
  <c r="Y51" i="62" s="1"/>
  <c r="Y53" i="62" s="1"/>
  <c r="R241" i="62" a="1"/>
  <c r="R241" i="62" s="1"/>
  <c r="R249" i="62" s="1"/>
  <c r="R251" i="62" s="1"/>
  <c r="R142" i="62" a="1"/>
  <c r="R142" i="62" s="1"/>
  <c r="R150" i="62" s="1"/>
  <c r="R152" i="62" s="1"/>
  <c r="R340" i="62" a="1"/>
  <c r="R340" i="62" s="1"/>
  <c r="R348" i="62" s="1"/>
  <c r="R350" i="62" s="1"/>
  <c r="R43" i="62" a="1"/>
  <c r="R43" i="62" s="1"/>
  <c r="R51" i="62" s="1"/>
  <c r="R53" i="62" s="1"/>
  <c r="S337" i="62" a="1"/>
  <c r="S337" i="62" s="1"/>
  <c r="S238" i="62" a="1"/>
  <c r="S238" i="62" s="1"/>
  <c r="S139" i="62" a="1"/>
  <c r="S139" i="62" s="1"/>
  <c r="S40" i="62" a="1"/>
  <c r="S40" i="62" s="1"/>
  <c r="T341" i="62" a="1"/>
  <c r="T341" i="62" s="1"/>
  <c r="T143" i="62" a="1"/>
  <c r="T143" i="62" s="1"/>
  <c r="T242" i="62" a="1"/>
  <c r="T242" i="62" s="1"/>
  <c r="T44" i="62" a="1"/>
  <c r="T44" i="62" s="1"/>
  <c r="AK346" i="62" a="1"/>
  <c r="AK346" i="62" s="1"/>
  <c r="AK247" i="62" a="1"/>
  <c r="AK247" i="62" s="1"/>
  <c r="AK148" i="62" a="1"/>
  <c r="AK148" i="62" s="1"/>
  <c r="AK49" i="62" a="1"/>
  <c r="AK49" i="62" s="1"/>
  <c r="AC241" i="62" a="1"/>
  <c r="AC241" i="62" s="1"/>
  <c r="AC249" i="62" s="1"/>
  <c r="AC251" i="62" s="1"/>
  <c r="AC340" i="62" a="1"/>
  <c r="AC340" i="62" s="1"/>
  <c r="AC348" i="62" s="1"/>
  <c r="AC350" i="62" s="1"/>
  <c r="AC142" i="62" a="1"/>
  <c r="AC142" i="62" s="1"/>
  <c r="AC150" i="62" s="1"/>
  <c r="AC152" i="62" s="1"/>
  <c r="AC43" i="62" a="1"/>
  <c r="AC43" i="62" s="1"/>
  <c r="AC51" i="62" s="1"/>
  <c r="AC53" i="62" s="1"/>
  <c r="W20" i="62" a="1"/>
  <c r="W20" i="62" s="1"/>
  <c r="W21" i="62" s="1"/>
  <c r="Z239" i="62" a="1"/>
  <c r="Z239" i="62" s="1"/>
  <c r="Z248" i="62" s="1"/>
  <c r="Z250" i="62" s="1"/>
  <c r="Z140" i="62" a="1"/>
  <c r="Z140" i="62" s="1"/>
  <c r="Z149" i="62" s="1"/>
  <c r="Z151" i="62" s="1"/>
  <c r="Z338" i="62" a="1"/>
  <c r="Z338" i="62" s="1"/>
  <c r="Z347" i="62" s="1"/>
  <c r="Z349" i="62" s="1"/>
  <c r="Z41" i="62" a="1"/>
  <c r="Z41" i="62" s="1"/>
  <c r="Z50" i="62" s="1"/>
  <c r="Z52" i="62" s="1"/>
  <c r="W244" i="62" a="1"/>
  <c r="W244" i="62" s="1"/>
  <c r="W145" i="62" a="1"/>
  <c r="W145" i="62" s="1"/>
  <c r="W343" i="62" a="1"/>
  <c r="W343" i="62" s="1"/>
  <c r="W46" i="62" a="1"/>
  <c r="W46" i="62" s="1"/>
  <c r="AC140" i="62" a="1"/>
  <c r="AC140" i="62" s="1"/>
  <c r="AC149" i="62" s="1"/>
  <c r="AC151" i="62" s="1"/>
  <c r="AC239" i="62" a="1"/>
  <c r="AC239" i="62" s="1"/>
  <c r="AC248" i="62" s="1"/>
  <c r="AC250" i="62" s="1"/>
  <c r="AC338" i="62" a="1"/>
  <c r="AC338" i="62" s="1"/>
  <c r="AC347" i="62" s="1"/>
  <c r="AC349" i="62" s="1"/>
  <c r="AC41" i="62" a="1"/>
  <c r="AC41" i="62" s="1"/>
  <c r="AC50" i="62" s="1"/>
  <c r="AC52" i="62" s="1"/>
  <c r="AI345" i="62" a="1"/>
  <c r="AI345" i="62" s="1"/>
  <c r="AI147" i="62" a="1"/>
  <c r="AI147" i="62" s="1"/>
  <c r="AI246" i="62" a="1"/>
  <c r="AI246" i="62" s="1"/>
  <c r="AI48" i="62" a="1"/>
  <c r="AI48" i="62" s="1"/>
  <c r="T139" i="62" a="1"/>
  <c r="T139" i="62" s="1"/>
  <c r="T238" i="62" a="1"/>
  <c r="T238" i="62" s="1"/>
  <c r="T337" i="62" a="1"/>
  <c r="T337" i="62" s="1"/>
  <c r="T40" i="62" a="1"/>
  <c r="T40" i="62" s="1"/>
  <c r="AE147" i="62" a="1"/>
  <c r="AE147" i="62" s="1"/>
  <c r="AE246" i="62" a="1"/>
  <c r="AE246" i="62" s="1"/>
  <c r="AE345" i="62" a="1"/>
  <c r="AE345" i="62" s="1"/>
  <c r="AE48" i="62" a="1"/>
  <c r="AE48" i="62" s="1"/>
  <c r="Y143" i="62" a="1"/>
  <c r="Y143" i="62" s="1"/>
  <c r="Y341" i="62" a="1"/>
  <c r="Y341" i="62" s="1"/>
  <c r="Y242" i="62" a="1"/>
  <c r="Y242" i="62" s="1"/>
  <c r="Y44" i="62" a="1"/>
  <c r="Y44" i="62" s="1"/>
  <c r="AH142" i="62" a="1"/>
  <c r="AH142" i="62" s="1"/>
  <c r="AH150" i="62" s="1"/>
  <c r="AH152" i="62" s="1"/>
  <c r="AH340" i="62" a="1"/>
  <c r="AH340" i="62" s="1"/>
  <c r="AH348" i="62" s="1"/>
  <c r="AH350" i="62" s="1"/>
  <c r="AH241" i="62" a="1"/>
  <c r="AH241" i="62" s="1"/>
  <c r="AH249" i="62" s="1"/>
  <c r="AH251" i="62" s="1"/>
  <c r="AH43" i="62" a="1"/>
  <c r="AH43" i="62" s="1"/>
  <c r="AH51" i="62" s="1"/>
  <c r="AH53" i="62" s="1"/>
  <c r="M346" i="62" a="1"/>
  <c r="M346" i="62" s="1"/>
  <c r="M148" i="62" a="1"/>
  <c r="M148" i="62" s="1"/>
  <c r="M247" i="62" a="1"/>
  <c r="M247" i="62" s="1"/>
  <c r="M49" i="62" a="1"/>
  <c r="M49" i="62" s="1"/>
  <c r="X239" i="62" a="1"/>
  <c r="X239" i="62" s="1"/>
  <c r="X248" i="62" s="1"/>
  <c r="X250" i="62" s="1"/>
  <c r="X338" i="62" a="1"/>
  <c r="X338" i="62" s="1"/>
  <c r="X347" i="62" s="1"/>
  <c r="X349" i="62" s="1"/>
  <c r="X140" i="62" a="1"/>
  <c r="X140" i="62" s="1"/>
  <c r="X149" i="62" s="1"/>
  <c r="X151" i="62" s="1"/>
  <c r="X41" i="62" a="1"/>
  <c r="X41" i="62" s="1"/>
  <c r="X50" i="62" s="1"/>
  <c r="X52" i="62" s="1"/>
  <c r="V147" i="62" a="1"/>
  <c r="V147" i="62" s="1"/>
  <c r="V246" i="62" a="1"/>
  <c r="V246" i="62" s="1"/>
  <c r="V345" i="62" a="1"/>
  <c r="V345" i="62" s="1"/>
  <c r="V48" i="62" a="1"/>
  <c r="V48" i="62" s="1"/>
  <c r="O346" i="62" a="1"/>
  <c r="O346" i="62" s="1"/>
  <c r="O148" i="62" a="1"/>
  <c r="O148" i="62" s="1"/>
  <c r="O247" i="62" a="1"/>
  <c r="O247" i="62" s="1"/>
  <c r="O49" i="62" a="1"/>
  <c r="O49" i="62" s="1"/>
  <c r="AF238" i="62" a="1"/>
  <c r="AF238" i="62" s="1"/>
  <c r="AF139" i="62" a="1"/>
  <c r="AF139" i="62" s="1"/>
  <c r="AF337" i="62" a="1"/>
  <c r="AF337" i="62" s="1"/>
  <c r="AF40" i="62" a="1"/>
  <c r="AF40" i="62" s="1"/>
  <c r="AG144" i="62" a="1"/>
  <c r="AG144" i="62" s="1"/>
  <c r="AG243" i="62" a="1"/>
  <c r="AG243" i="62" s="1"/>
  <c r="AG342" i="62" a="1"/>
  <c r="AG342" i="62" s="1"/>
  <c r="AG45" i="62" a="1"/>
  <c r="AG45" i="62" s="1"/>
  <c r="Q337" i="62" a="1"/>
  <c r="Q337" i="62" s="1"/>
  <c r="Q139" i="62" a="1"/>
  <c r="Q139" i="62" s="1"/>
  <c r="Q238" i="62" a="1"/>
  <c r="Q238" i="62" s="1"/>
  <c r="Q40" i="62" a="1"/>
  <c r="Q40" i="62" s="1"/>
  <c r="AE343" i="62" a="1"/>
  <c r="AE343" i="62" s="1"/>
  <c r="AE244" i="62" a="1"/>
  <c r="AE244" i="62" s="1"/>
  <c r="AE145" i="62" a="1"/>
  <c r="AE145" i="62" s="1"/>
  <c r="AE46" i="62" a="1"/>
  <c r="AE46" i="62" s="1"/>
  <c r="U144" i="62" a="1"/>
  <c r="U144" i="62" s="1"/>
  <c r="U243" i="62" a="1"/>
  <c r="U243" i="62" s="1"/>
  <c r="U342" i="62" a="1"/>
  <c r="U342" i="62" s="1"/>
  <c r="U45" i="62" a="1"/>
  <c r="U45" i="62" s="1"/>
  <c r="N145" i="62" a="1"/>
  <c r="N145" i="62" s="1"/>
  <c r="N244" i="62" a="1"/>
  <c r="N244" i="62" s="1"/>
  <c r="N343" i="62" a="1"/>
  <c r="N343" i="62" s="1"/>
  <c r="N46" i="62" a="1"/>
  <c r="N46" i="62" s="1"/>
  <c r="AB345" i="62" a="1"/>
  <c r="AB345" i="62" s="1"/>
  <c r="AB147" i="62" a="1"/>
  <c r="AB147" i="62" s="1"/>
  <c r="AB246" i="62" a="1"/>
  <c r="AB246" i="62" s="1"/>
  <c r="AB48" i="62" a="1"/>
  <c r="AB48" i="62" s="1"/>
  <c r="X342" i="62" a="1"/>
  <c r="X342" i="62" s="1"/>
  <c r="X243" i="62" a="1"/>
  <c r="X243" i="62" s="1"/>
  <c r="X144" i="62" a="1"/>
  <c r="X144" i="62" s="1"/>
  <c r="X45" i="62" a="1"/>
  <c r="X45" i="62" s="1"/>
  <c r="S346" i="62" a="1"/>
  <c r="S346" i="62" s="1"/>
  <c r="S148" i="62" a="1"/>
  <c r="S148" i="62" s="1"/>
  <c r="S247" i="62" a="1"/>
  <c r="S247" i="62" s="1"/>
  <c r="S49" i="62" a="1"/>
  <c r="S49" i="62" s="1"/>
  <c r="AJ20" i="62" a="1"/>
  <c r="AJ20" i="62" s="1"/>
  <c r="AJ21" i="62" s="1"/>
  <c r="W144" i="62" a="1"/>
  <c r="W144" i="62" s="1"/>
  <c r="W342" i="62" a="1"/>
  <c r="W342" i="62" s="1"/>
  <c r="W243" i="62" a="1"/>
  <c r="W243" i="62" s="1"/>
  <c r="W45" i="62" a="1"/>
  <c r="W45" i="62" s="1"/>
  <c r="P145" i="62" a="1"/>
  <c r="P145" i="62" s="1"/>
  <c r="P343" i="62" a="1"/>
  <c r="P343" i="62" s="1"/>
  <c r="P244" i="62" a="1"/>
  <c r="P244" i="62" s="1"/>
  <c r="P46" i="62" a="1"/>
  <c r="P46" i="62" s="1"/>
  <c r="V145" i="62" a="1"/>
  <c r="V145" i="62" s="1"/>
  <c r="V343" i="62" a="1"/>
  <c r="V343" i="62" s="1"/>
  <c r="V244" i="62" a="1"/>
  <c r="V244" i="62" s="1"/>
  <c r="V46" i="62" a="1"/>
  <c r="V46" i="62" s="1"/>
  <c r="K239" i="62" a="1"/>
  <c r="K239" i="62" s="1"/>
  <c r="K248" i="62" s="1"/>
  <c r="K250" i="62" s="1"/>
  <c r="K338" i="62" a="1"/>
  <c r="K338" i="62" s="1"/>
  <c r="K347" i="62" s="1"/>
  <c r="K349" i="62" s="1"/>
  <c r="K140" i="62" a="1"/>
  <c r="K140" i="62" s="1"/>
  <c r="K149" i="62" s="1"/>
  <c r="K151" i="62" s="1"/>
  <c r="K41" i="62" a="1"/>
  <c r="K41" i="62" s="1"/>
  <c r="K50" i="62" s="1"/>
  <c r="K52" i="62" s="1"/>
  <c r="AD243" i="62" a="1"/>
  <c r="AD243" i="62" s="1"/>
  <c r="AD144" i="62" a="1"/>
  <c r="AD144" i="62" s="1"/>
  <c r="AD342" i="62" a="1"/>
  <c r="AD342" i="62" s="1"/>
  <c r="AD45" i="62" a="1"/>
  <c r="AD45" i="62" s="1"/>
  <c r="AF147" i="62" a="1"/>
  <c r="AF147" i="62" s="1"/>
  <c r="AF246" i="62" a="1"/>
  <c r="AF246" i="62" s="1"/>
  <c r="AF345" i="62" a="1"/>
  <c r="AF345" i="62" s="1"/>
  <c r="AF48" i="62" a="1"/>
  <c r="AF48" i="62" s="1"/>
  <c r="P146" i="62" a="1"/>
  <c r="P146" i="62" s="1"/>
  <c r="P245" i="62" a="1"/>
  <c r="P245" i="62" s="1"/>
  <c r="P344" i="62" a="1"/>
  <c r="P344" i="62" s="1"/>
  <c r="P47" i="62" a="1"/>
  <c r="P47" i="62" s="1"/>
  <c r="AC345" i="62" a="1"/>
  <c r="AC345" i="62" s="1"/>
  <c r="AC147" i="62" a="1"/>
  <c r="AC147" i="62" s="1"/>
  <c r="AC246" i="62" a="1"/>
  <c r="AC246" i="62" s="1"/>
  <c r="AC48" i="62" a="1"/>
  <c r="AC48" i="62" s="1"/>
  <c r="R242" i="62" a="1"/>
  <c r="R242" i="62" s="1"/>
  <c r="R341" i="62" a="1"/>
  <c r="R341" i="62" s="1"/>
  <c r="R143" i="62" a="1"/>
  <c r="R143" i="62" s="1"/>
  <c r="R44" i="62" a="1"/>
  <c r="R44" i="62" s="1"/>
  <c r="K245" i="62" a="1"/>
  <c r="K245" i="62" s="1"/>
  <c r="K146" i="62" a="1"/>
  <c r="K146" i="62" s="1"/>
  <c r="K344" i="62" a="1"/>
  <c r="K344" i="62" s="1"/>
  <c r="K47" i="62" a="1"/>
  <c r="K47" i="62" s="1"/>
  <c r="AI346" i="62" a="1"/>
  <c r="AI346" i="62" s="1"/>
  <c r="AI148" i="62" a="1"/>
  <c r="AI148" i="62" s="1"/>
  <c r="AI247" i="62" a="1"/>
  <c r="AI247" i="62" s="1"/>
  <c r="AI49" i="62" a="1"/>
  <c r="AI49" i="62" s="1"/>
  <c r="AA239" i="62" a="1"/>
  <c r="AA239" i="62" s="1"/>
  <c r="AA248" i="62" s="1"/>
  <c r="AA250" i="62" s="1"/>
  <c r="AA338" i="62" a="1"/>
  <c r="AA338" i="62" s="1"/>
  <c r="AA347" i="62" s="1"/>
  <c r="AA349" i="62" s="1"/>
  <c r="AA140" i="62" a="1"/>
  <c r="AA140" i="62" s="1"/>
  <c r="AA149" i="62" s="1"/>
  <c r="AA151" i="62" s="1"/>
  <c r="AA41" i="62" a="1"/>
  <c r="AA41" i="62" s="1"/>
  <c r="AA50" i="62" s="1"/>
  <c r="AA52" i="62" s="1"/>
  <c r="AH144" i="62" a="1"/>
  <c r="AH144" i="62" s="1"/>
  <c r="AH243" i="62" a="1"/>
  <c r="AH243" i="62" s="1"/>
  <c r="AH342" i="62" a="1"/>
  <c r="AH342" i="62" s="1"/>
  <c r="AH45" i="62" a="1"/>
  <c r="AH45" i="62" s="1"/>
  <c r="Q243" i="62" a="1"/>
  <c r="Q243" i="62" s="1"/>
  <c r="Q144" i="62" a="1"/>
  <c r="Q144" i="62" s="1"/>
  <c r="Q342" i="62" a="1"/>
  <c r="Q342" i="62" s="1"/>
  <c r="Q45" i="62" a="1"/>
  <c r="Q45" i="62" s="1"/>
  <c r="T147" i="62" a="1"/>
  <c r="T147" i="62" s="1"/>
  <c r="T246" i="62" a="1"/>
  <c r="T246" i="62" s="1"/>
  <c r="T345" i="62" a="1"/>
  <c r="T345" i="62" s="1"/>
  <c r="T48" i="62" a="1"/>
  <c r="T48" i="62" s="1"/>
  <c r="N247" i="62" a="1"/>
  <c r="N247" i="62" s="1"/>
  <c r="N346" i="62" a="1"/>
  <c r="N346" i="62" s="1"/>
  <c r="N148" i="62" a="1"/>
  <c r="N148" i="62" s="1"/>
  <c r="N49" i="62" a="1"/>
  <c r="N49" i="62" s="1"/>
  <c r="P148" i="62" a="1"/>
  <c r="P148" i="62" s="1"/>
  <c r="P247" i="62" a="1"/>
  <c r="P247" i="62" s="1"/>
  <c r="P346" i="62" a="1"/>
  <c r="P346" i="62" s="1"/>
  <c r="P49" i="62" a="1"/>
  <c r="P49" i="62" s="1"/>
  <c r="O242" i="62" a="1"/>
  <c r="O242" i="62" s="1"/>
  <c r="O341" i="62" a="1"/>
  <c r="O341" i="62" s="1"/>
  <c r="O143" i="62" a="1"/>
  <c r="O143" i="62" s="1"/>
  <c r="O44" i="62" a="1"/>
  <c r="O44" i="62" s="1"/>
  <c r="AG246" i="62" a="1"/>
  <c r="AG246" i="62" s="1"/>
  <c r="AG147" i="62" a="1"/>
  <c r="AG147" i="62" s="1"/>
  <c r="AG345" i="62" a="1"/>
  <c r="AG345" i="62" s="1"/>
  <c r="AG48" i="62" a="1"/>
  <c r="AG48" i="62" s="1"/>
  <c r="AC245" i="62" a="1"/>
  <c r="AC245" i="62" s="1"/>
  <c r="AC146" i="62" a="1"/>
  <c r="AC146" i="62" s="1"/>
  <c r="AC344" i="62" a="1"/>
  <c r="AC344" i="62" s="1"/>
  <c r="AC47" i="62" a="1"/>
  <c r="AC47" i="62" s="1"/>
  <c r="AL20" i="62" a="1"/>
  <c r="AL20" i="62" s="1"/>
  <c r="AL21" i="62" s="1"/>
  <c r="Q246" i="62" a="1"/>
  <c r="Q246" i="62" s="1"/>
  <c r="Q345" i="62" a="1"/>
  <c r="Q345" i="62" s="1"/>
  <c r="Q147" i="62" a="1"/>
  <c r="Q147" i="62" s="1"/>
  <c r="Q48" i="62" a="1"/>
  <c r="Q48" i="62" s="1"/>
  <c r="AC343" i="62" a="1"/>
  <c r="AC343" i="62" s="1"/>
  <c r="AC244" i="62" a="1"/>
  <c r="AC244" i="62" s="1"/>
  <c r="AC145" i="62" a="1"/>
  <c r="AC145" i="62" s="1"/>
  <c r="AC46" i="62" a="1"/>
  <c r="AC46" i="62" s="1"/>
  <c r="AI245" i="62" a="1"/>
  <c r="AI245" i="62" s="1"/>
  <c r="AI344" i="62" a="1"/>
  <c r="AI344" i="62" s="1"/>
  <c r="AI146" i="62" a="1"/>
  <c r="AI146" i="62" s="1"/>
  <c r="AI47" i="62" a="1"/>
  <c r="AI47" i="62" s="1"/>
  <c r="X146" i="62" a="1"/>
  <c r="X146" i="62" s="1"/>
  <c r="X344" i="62" a="1"/>
  <c r="X344" i="62" s="1"/>
  <c r="X245" i="62" a="1"/>
  <c r="X245" i="62" s="1"/>
  <c r="X47" i="62" a="1"/>
  <c r="X47" i="62" s="1"/>
  <c r="O139" i="62" a="1"/>
  <c r="O139" i="62" s="1"/>
  <c r="O337" i="62" a="1"/>
  <c r="O337" i="62" s="1"/>
  <c r="O238" i="62" a="1"/>
  <c r="O238" i="62" s="1"/>
  <c r="O40" i="62" a="1"/>
  <c r="O40" i="62" s="1"/>
  <c r="AD145" i="62" a="1"/>
  <c r="AD145" i="62" s="1"/>
  <c r="AD343" i="62" a="1"/>
  <c r="AD343" i="62" s="1"/>
  <c r="AD244" i="62" a="1"/>
  <c r="AD244" i="62" s="1"/>
  <c r="AD46" i="62" a="1"/>
  <c r="AD46" i="62" s="1"/>
  <c r="U142" i="62" a="1"/>
  <c r="U142" i="62" s="1"/>
  <c r="U150" i="62" s="1"/>
  <c r="U152" i="62" s="1"/>
  <c r="U241" i="62" a="1"/>
  <c r="U241" i="62" s="1"/>
  <c r="U249" i="62" s="1"/>
  <c r="U251" i="62" s="1"/>
  <c r="U340" i="62" a="1"/>
  <c r="U340" i="62" s="1"/>
  <c r="U348" i="62" s="1"/>
  <c r="U350" i="62" s="1"/>
  <c r="U43" i="62" a="1"/>
  <c r="U43" i="62" s="1"/>
  <c r="U51" i="62" s="1"/>
  <c r="U53" i="62" s="1"/>
  <c r="AK140" i="62" a="1"/>
  <c r="AK140" i="62" s="1"/>
  <c r="AK149" i="62" s="1"/>
  <c r="AK151" i="62" s="1"/>
  <c r="AK239" i="62" a="1"/>
  <c r="AK239" i="62" s="1"/>
  <c r="AK248" i="62" s="1"/>
  <c r="AK250" i="62" s="1"/>
  <c r="AK338" i="62" a="1"/>
  <c r="AK338" i="62" s="1"/>
  <c r="AK347" i="62" s="1"/>
  <c r="AK349" i="62" s="1"/>
  <c r="AK41" i="62" a="1"/>
  <c r="AK41" i="62" s="1"/>
  <c r="AK50" i="62" s="1"/>
  <c r="AK52" i="62" s="1"/>
  <c r="P139" i="62" a="1"/>
  <c r="P139" i="62" s="1"/>
  <c r="P337" i="62" a="1"/>
  <c r="P337" i="62" s="1"/>
  <c r="P238" i="62" a="1"/>
  <c r="P238" i="62" s="1"/>
  <c r="P40" i="62" a="1"/>
  <c r="P40" i="62" s="1"/>
  <c r="P243" i="62" a="1"/>
  <c r="P243" i="62" s="1"/>
  <c r="P144" i="62" a="1"/>
  <c r="P144" i="62" s="1"/>
  <c r="P342" i="62" a="1"/>
  <c r="P342" i="62" s="1"/>
  <c r="P45" i="62" a="1"/>
  <c r="P45" i="62" s="1"/>
  <c r="AJ140" i="62" a="1"/>
  <c r="AJ140" i="62" s="1"/>
  <c r="AJ149" i="62" s="1"/>
  <c r="AJ151" i="62" s="1"/>
  <c r="AJ338" i="62" a="1"/>
  <c r="AJ338" i="62" s="1"/>
  <c r="AJ347" i="62" s="1"/>
  <c r="AJ349" i="62" s="1"/>
  <c r="AJ239" i="62" a="1"/>
  <c r="AJ239" i="62" s="1"/>
  <c r="AJ248" i="62" s="1"/>
  <c r="AJ250" i="62" s="1"/>
  <c r="AJ41" i="62" a="1"/>
  <c r="AJ41" i="62" s="1"/>
  <c r="AJ50" i="62" s="1"/>
  <c r="AJ52" i="62" s="1"/>
  <c r="N20" i="62" a="1"/>
  <c r="N20" i="62" s="1"/>
  <c r="N21" i="62" s="1"/>
  <c r="AL337" i="62" a="1"/>
  <c r="AL337" i="62" s="1"/>
  <c r="AL139" i="62" a="1"/>
  <c r="AL139" i="62" s="1"/>
  <c r="AL238" i="62" a="1"/>
  <c r="AL238" i="62" s="1"/>
  <c r="AL40" i="62" a="1"/>
  <c r="AL40" i="62" s="1"/>
  <c r="N245" i="62" a="1"/>
  <c r="N245" i="62" s="1"/>
  <c r="N344" i="62" a="1"/>
  <c r="N344" i="62" s="1"/>
  <c r="N146" i="62" a="1"/>
  <c r="N146" i="62" s="1"/>
  <c r="N47" i="62" a="1"/>
  <c r="N47" i="62" s="1"/>
  <c r="S343" i="62" a="1"/>
  <c r="S343" i="62" s="1"/>
  <c r="S244" i="62" a="1"/>
  <c r="S244" i="62" s="1"/>
  <c r="S145" i="62" a="1"/>
  <c r="S145" i="62" s="1"/>
  <c r="S46" i="62" a="1"/>
  <c r="S46" i="62" s="1"/>
  <c r="S147" i="62" a="1"/>
  <c r="S147" i="62" s="1"/>
  <c r="S246" i="62" a="1"/>
  <c r="S246" i="62" s="1"/>
  <c r="S345" i="62" a="1"/>
  <c r="S345" i="62" s="1"/>
  <c r="S48" i="62" a="1"/>
  <c r="S48" i="62" s="1"/>
  <c r="AI142" i="62" a="1"/>
  <c r="AI142" i="62" s="1"/>
  <c r="AI150" i="62" s="1"/>
  <c r="AI152" i="62" s="1"/>
  <c r="AI340" i="62" a="1"/>
  <c r="AI340" i="62" s="1"/>
  <c r="AI348" i="62" s="1"/>
  <c r="AI350" i="62" s="1"/>
  <c r="AI241" i="62" a="1"/>
  <c r="AI241" i="62" s="1"/>
  <c r="AI249" i="62" s="1"/>
  <c r="AI251" i="62" s="1"/>
  <c r="AI43" i="62" a="1"/>
  <c r="AI43" i="62" s="1"/>
  <c r="AI51" i="62" s="1"/>
  <c r="AI53" i="62" s="1"/>
  <c r="V247" i="62" a="1"/>
  <c r="V247" i="62" s="1"/>
  <c r="V346" i="62" a="1"/>
  <c r="V346" i="62" s="1"/>
  <c r="V148" i="62" a="1"/>
  <c r="V148" i="62" s="1"/>
  <c r="V49" i="62" a="1"/>
  <c r="V49" i="62" s="1"/>
  <c r="AB247" i="62" a="1"/>
  <c r="AB247" i="62" s="1"/>
  <c r="AB346" i="62" a="1"/>
  <c r="AB346" i="62" s="1"/>
  <c r="AB148" i="62" a="1"/>
  <c r="AB148" i="62" s="1"/>
  <c r="AB49" i="62" a="1"/>
  <c r="AB49" i="62" s="1"/>
  <c r="L244" i="62" a="1"/>
  <c r="L244" i="62" s="1"/>
  <c r="L343" i="62" a="1"/>
  <c r="L343" i="62" s="1"/>
  <c r="L145" i="62" a="1"/>
  <c r="L145" i="62" s="1"/>
  <c r="L46" i="62" a="1"/>
  <c r="L46" i="62" s="1"/>
  <c r="AB140" i="62" a="1"/>
  <c r="AB140" i="62" s="1"/>
  <c r="AB149" i="62" s="1"/>
  <c r="AB151" i="62" s="1"/>
  <c r="AB239" i="62" a="1"/>
  <c r="AB239" i="62" s="1"/>
  <c r="AB248" i="62" s="1"/>
  <c r="AB250" i="62" s="1"/>
  <c r="AB338" i="62" a="1"/>
  <c r="AB338" i="62" s="1"/>
  <c r="AB347" i="62" s="1"/>
  <c r="AB349" i="62" s="1"/>
  <c r="AB41" i="62" a="1"/>
  <c r="AB41" i="62" s="1"/>
  <c r="AB50" i="62" s="1"/>
  <c r="AB52" i="62" s="1"/>
  <c r="O145" i="62" a="1"/>
  <c r="O145" i="62" s="1"/>
  <c r="O343" i="62" a="1"/>
  <c r="O343" i="62" s="1"/>
  <c r="O244" i="62" a="1"/>
  <c r="O244" i="62" s="1"/>
  <c r="O46" i="62" a="1"/>
  <c r="O46" i="62" s="1"/>
  <c r="AE148" i="62" a="1"/>
  <c r="AE148" i="62" s="1"/>
  <c r="AE346" i="62" a="1"/>
  <c r="AE346" i="62" s="1"/>
  <c r="AE247" i="62" a="1"/>
  <c r="AE247" i="62" s="1"/>
  <c r="AE49" i="62" a="1"/>
  <c r="AE49" i="62" s="1"/>
  <c r="X148" i="62" a="1"/>
  <c r="X148" i="62" s="1"/>
  <c r="X247" i="62" a="1"/>
  <c r="X247" i="62" s="1"/>
  <c r="X346" i="62" a="1"/>
  <c r="X346" i="62" s="1"/>
  <c r="X49" i="62" a="1"/>
  <c r="X49" i="62" s="1"/>
  <c r="AA247" i="62" a="1"/>
  <c r="AA247" i="62" s="1"/>
  <c r="AA148" i="62" a="1"/>
  <c r="AA148" i="62" s="1"/>
  <c r="AA346" i="62" a="1"/>
  <c r="AA346" i="62" s="1"/>
  <c r="AA49" i="62" a="1"/>
  <c r="AA49" i="62" s="1"/>
  <c r="R342" i="62" a="1"/>
  <c r="R342" i="62" s="1"/>
  <c r="R243" i="62" a="1"/>
  <c r="R243" i="62" s="1"/>
  <c r="R144" i="62" a="1"/>
  <c r="R144" i="62" s="1"/>
  <c r="R45" i="62" a="1"/>
  <c r="R45" i="62" s="1"/>
  <c r="Q245" i="62" a="1"/>
  <c r="Q245" i="62" s="1"/>
  <c r="Q146" i="62" a="1"/>
  <c r="Q146" i="62" s="1"/>
  <c r="Q344" i="62" a="1"/>
  <c r="Q344" i="62" s="1"/>
  <c r="Q47" i="62" a="1"/>
  <c r="Q47" i="62" s="1"/>
  <c r="S146" i="62" a="1"/>
  <c r="S146" i="62" s="1"/>
  <c r="S344" i="62" a="1"/>
  <c r="S344" i="62" s="1"/>
  <c r="S245" i="62" a="1"/>
  <c r="S245" i="62" s="1"/>
  <c r="S47" i="62" a="1"/>
  <c r="S47" i="62" s="1"/>
  <c r="AD239" i="62" a="1"/>
  <c r="AD239" i="62" s="1"/>
  <c r="AD248" i="62" s="1"/>
  <c r="AD250" i="62" s="1"/>
  <c r="AD338" i="62" a="1"/>
  <c r="AD338" i="62" s="1"/>
  <c r="AD347" i="62" s="1"/>
  <c r="AD349" i="62" s="1"/>
  <c r="AD140" i="62" a="1"/>
  <c r="AD140" i="62" s="1"/>
  <c r="AD149" i="62" s="1"/>
  <c r="AD151" i="62" s="1"/>
  <c r="AD41" i="62" a="1"/>
  <c r="AD41" i="62" s="1"/>
  <c r="AD50" i="62" s="1"/>
  <c r="AD52" i="62" s="1"/>
  <c r="AE241" i="62" a="1"/>
  <c r="AE241" i="62" s="1"/>
  <c r="AE249" i="62" s="1"/>
  <c r="AE251" i="62" s="1"/>
  <c r="AE142" i="62" a="1"/>
  <c r="AE142" i="62" s="1"/>
  <c r="AE150" i="62" s="1"/>
  <c r="AE152" i="62" s="1"/>
  <c r="AE340" i="62" a="1"/>
  <c r="AE340" i="62" s="1"/>
  <c r="AE348" i="62" s="1"/>
  <c r="AE350" i="62" s="1"/>
  <c r="AE43" i="62" a="1"/>
  <c r="AE43" i="62" s="1"/>
  <c r="AE51" i="62" s="1"/>
  <c r="AE53" i="62" s="1"/>
  <c r="U140" i="62" a="1"/>
  <c r="U140" i="62" s="1"/>
  <c r="U149" i="62" s="1"/>
  <c r="U151" i="62" s="1"/>
  <c r="U239" i="62" a="1"/>
  <c r="U239" i="62" s="1"/>
  <c r="U248" i="62" s="1"/>
  <c r="U250" i="62" s="1"/>
  <c r="U338" i="62" a="1"/>
  <c r="U338" i="62" s="1"/>
  <c r="U347" i="62" s="1"/>
  <c r="U349" i="62" s="1"/>
  <c r="U41" i="62" a="1"/>
  <c r="U41" i="62" s="1"/>
  <c r="U50" i="62" s="1"/>
  <c r="U52" i="62" s="1"/>
  <c r="Y239" i="62" a="1"/>
  <c r="Y239" i="62" s="1"/>
  <c r="Y248" i="62" s="1"/>
  <c r="Y250" i="62" s="1"/>
  <c r="Y338" i="62" a="1"/>
  <c r="Y338" i="62" s="1"/>
  <c r="Y347" i="62" s="1"/>
  <c r="Y349" i="62" s="1"/>
  <c r="Y140" i="62" a="1"/>
  <c r="Y140" i="62" s="1"/>
  <c r="Y149" i="62" s="1"/>
  <c r="Y151" i="62" s="1"/>
  <c r="Y41" i="62" a="1"/>
  <c r="Y41" i="62" s="1"/>
  <c r="Y50" i="62" s="1"/>
  <c r="Y52" i="62" s="1"/>
  <c r="AA146" i="62" a="1"/>
  <c r="AA146" i="62" s="1"/>
  <c r="AA344" i="62" a="1"/>
  <c r="AA344" i="62" s="1"/>
  <c r="AA245" i="62" a="1"/>
  <c r="AA245" i="62" s="1"/>
  <c r="AA47" i="62" a="1"/>
  <c r="AA47" i="62" s="1"/>
  <c r="M144" i="62" a="1"/>
  <c r="M144" i="62" s="1"/>
  <c r="M342" i="62" a="1"/>
  <c r="M342" i="62" s="1"/>
  <c r="M243" i="62" a="1"/>
  <c r="M243" i="62" s="1"/>
  <c r="M45" i="62" a="1"/>
  <c r="M45" i="62" s="1"/>
  <c r="AB337" i="62" a="1"/>
  <c r="AB337" i="62" s="1"/>
  <c r="AB238" i="62" a="1"/>
  <c r="AB238" i="62" s="1"/>
  <c r="AB139" i="62" a="1"/>
  <c r="AB139" i="62" s="1"/>
  <c r="AB40" i="62" a="1"/>
  <c r="AB40" i="62" s="1"/>
  <c r="W147" i="62" a="1"/>
  <c r="W147" i="62" s="1"/>
  <c r="W345" i="62" a="1"/>
  <c r="W345" i="62" s="1"/>
  <c r="W246" i="62" a="1"/>
  <c r="W246" i="62" s="1"/>
  <c r="W48" i="62" a="1"/>
  <c r="W48" i="62" s="1"/>
  <c r="AK139" i="62" a="1"/>
  <c r="AK139" i="62" s="1"/>
  <c r="AK238" i="62" a="1"/>
  <c r="AK238" i="62" s="1"/>
  <c r="AK337" i="62" a="1"/>
  <c r="AK337" i="62" s="1"/>
  <c r="AK40" i="62" a="1"/>
  <c r="AK40" i="62" s="1"/>
  <c r="AJ341" i="62" a="1"/>
  <c r="AJ341" i="62" s="1"/>
  <c r="AJ242" i="62" a="1"/>
  <c r="AJ242" i="62" s="1"/>
  <c r="AJ143" i="62" a="1"/>
  <c r="AJ143" i="62" s="1"/>
  <c r="AJ44" i="62" a="1"/>
  <c r="AJ44" i="62" s="1"/>
  <c r="O146" i="62" a="1"/>
  <c r="O146" i="62" s="1"/>
  <c r="O245" i="62" a="1"/>
  <c r="O245" i="62" s="1"/>
  <c r="O344" i="62" a="1"/>
  <c r="O344" i="62" s="1"/>
  <c r="O47" i="62" a="1"/>
  <c r="O47" i="62" s="1"/>
  <c r="Z147" i="62" a="1"/>
  <c r="Z147" i="62" s="1"/>
  <c r="Z246" i="62" a="1"/>
  <c r="Z246" i="62" s="1"/>
  <c r="Z345" i="62" a="1"/>
  <c r="Z345" i="62" s="1"/>
  <c r="Z48" i="62" a="1"/>
  <c r="Z48" i="62" s="1"/>
  <c r="P20" i="62" a="1"/>
  <c r="P20" i="62" s="1"/>
  <c r="P21" i="62" s="1"/>
  <c r="AK245" i="62" a="1"/>
  <c r="AK245" i="62" s="1"/>
  <c r="AK344" i="62" a="1"/>
  <c r="AK344" i="62" s="1"/>
  <c r="AK146" i="62" a="1"/>
  <c r="AK146" i="62" s="1"/>
  <c r="AK47" i="62" a="1"/>
  <c r="AK47" i="62" s="1"/>
  <c r="AH338" i="62" a="1"/>
  <c r="AH338" i="62" s="1"/>
  <c r="AH347" i="62" s="1"/>
  <c r="AH349" i="62" s="1"/>
  <c r="AH239" i="62" a="1"/>
  <c r="AH239" i="62" s="1"/>
  <c r="AH248" i="62" s="1"/>
  <c r="AH250" i="62" s="1"/>
  <c r="AH140" i="62" a="1"/>
  <c r="AH140" i="62" s="1"/>
  <c r="AH149" i="62" s="1"/>
  <c r="AH151" i="62" s="1"/>
  <c r="AH41" i="62" a="1"/>
  <c r="AH41" i="62" s="1"/>
  <c r="AH50" i="62" s="1"/>
  <c r="AH52" i="62" s="1"/>
  <c r="U20" i="62" a="1"/>
  <c r="U20" i="62" s="1"/>
  <c r="U21" i="62" s="1"/>
  <c r="AK143" i="62" a="1"/>
  <c r="AK143" i="62" s="1"/>
  <c r="AK242" i="62" a="1"/>
  <c r="AK242" i="62" s="1"/>
  <c r="AK341" i="62" a="1"/>
  <c r="AK341" i="62" s="1"/>
  <c r="AK44" i="62" a="1"/>
  <c r="AK44" i="62" s="1"/>
  <c r="L147" i="62" a="1"/>
  <c r="L147" i="62" s="1"/>
  <c r="L345" i="62" a="1"/>
  <c r="L345" i="62" s="1"/>
  <c r="L246" i="62" a="1"/>
  <c r="L246" i="62" s="1"/>
  <c r="L48" i="62" a="1"/>
  <c r="L48" i="62" s="1"/>
  <c r="Q346" i="62" a="1"/>
  <c r="Q346" i="62" s="1"/>
  <c r="Q148" i="62" a="1"/>
  <c r="Q148" i="62" s="1"/>
  <c r="Q247" i="62" a="1"/>
  <c r="Q247" i="62" s="1"/>
  <c r="Q49" i="62" a="1"/>
  <c r="Q49" i="62" s="1"/>
  <c r="V20" i="62" a="1"/>
  <c r="V20" i="62" s="1"/>
  <c r="V21" i="62" s="1"/>
  <c r="AI20" i="62" a="1"/>
  <c r="AI20" i="62" s="1"/>
  <c r="AI21" i="62" s="1"/>
  <c r="Z142" i="62" a="1"/>
  <c r="Z142" i="62" s="1"/>
  <c r="Z150" i="62" s="1"/>
  <c r="Z152" i="62" s="1"/>
  <c r="Z241" i="62" a="1"/>
  <c r="Z241" i="62" s="1"/>
  <c r="Z249" i="62" s="1"/>
  <c r="Z251" i="62" s="1"/>
  <c r="Z340" i="62" a="1"/>
  <c r="Z340" i="62" s="1"/>
  <c r="Z348" i="62" s="1"/>
  <c r="Z350" i="62" s="1"/>
  <c r="Z43" i="62" a="1"/>
  <c r="Z43" i="62" s="1"/>
  <c r="Z51" i="62" s="1"/>
  <c r="Z53" i="62" s="1"/>
  <c r="AB241" i="62" a="1"/>
  <c r="AB241" i="62" s="1"/>
  <c r="AB249" i="62" s="1"/>
  <c r="AB251" i="62" s="1"/>
  <c r="AB142" i="62" a="1"/>
  <c r="AB142" i="62" s="1"/>
  <c r="AB150" i="62" s="1"/>
  <c r="AB152" i="62" s="1"/>
  <c r="AB340" i="62" a="1"/>
  <c r="AB340" i="62" s="1"/>
  <c r="AB348" i="62" s="1"/>
  <c r="AB350" i="62" s="1"/>
  <c r="AB43" i="62" a="1"/>
  <c r="AB43" i="62" s="1"/>
  <c r="AB51" i="62" s="1"/>
  <c r="AB53" i="62" s="1"/>
  <c r="K242" i="62" a="1"/>
  <c r="K242" i="62" s="1"/>
  <c r="K341" i="62" a="1"/>
  <c r="K341" i="62" s="1"/>
  <c r="K143" i="62" a="1"/>
  <c r="K143" i="62" s="1"/>
  <c r="K44" i="62" a="1"/>
  <c r="K44" i="62" s="1"/>
  <c r="AI338" i="62" a="1"/>
  <c r="AI338" i="62" s="1"/>
  <c r="AI347" i="62" s="1"/>
  <c r="AI349" i="62" s="1"/>
  <c r="AI239" i="62" a="1"/>
  <c r="AI239" i="62" s="1"/>
  <c r="AI248" i="62" s="1"/>
  <c r="AI250" i="62" s="1"/>
  <c r="AI140" i="62" a="1"/>
  <c r="AI140" i="62" s="1"/>
  <c r="AI149" i="62" s="1"/>
  <c r="AI151" i="62" s="1"/>
  <c r="AI41" i="62" a="1"/>
  <c r="AI41" i="62" s="1"/>
  <c r="AI50" i="62" s="1"/>
  <c r="AI52" i="62" s="1"/>
  <c r="AL247" i="62" a="1"/>
  <c r="AL247" i="62" s="1"/>
  <c r="AL148" i="62" a="1"/>
  <c r="AL148" i="62" s="1"/>
  <c r="AL346" i="62" a="1"/>
  <c r="AL346" i="62" s="1"/>
  <c r="AL49" i="62" a="1"/>
  <c r="AL49" i="62" s="1"/>
  <c r="Q341" i="62" a="1"/>
  <c r="Q341" i="62" s="1"/>
  <c r="Q143" i="62" a="1"/>
  <c r="Q143" i="62" s="1"/>
  <c r="Q242" i="62" a="1"/>
  <c r="Q242" i="62" s="1"/>
  <c r="Q44" i="62" a="1"/>
  <c r="Q44" i="62" s="1"/>
  <c r="K247" i="62" a="1"/>
  <c r="K247" i="62" s="1"/>
  <c r="K346" i="62" a="1"/>
  <c r="K346" i="62" s="1"/>
  <c r="K148" i="62" a="1"/>
  <c r="K148" i="62" s="1"/>
  <c r="K49" i="62" a="1"/>
  <c r="K49" i="62" s="1"/>
  <c r="AK244" i="62" a="1"/>
  <c r="AK244" i="62" s="1"/>
  <c r="AK145" i="62" a="1"/>
  <c r="AK145" i="62" s="1"/>
  <c r="AK343" i="62" a="1"/>
  <c r="AK343" i="62" s="1"/>
  <c r="AK46" i="62" a="1"/>
  <c r="AK46" i="62" s="1"/>
  <c r="M345" i="62" a="1"/>
  <c r="M345" i="62" s="1"/>
  <c r="M147" i="62" a="1"/>
  <c r="M147" i="62" s="1"/>
  <c r="M246" i="62" a="1"/>
  <c r="M246" i="62" s="1"/>
  <c r="M48" i="62" a="1"/>
  <c r="M48" i="62" s="1"/>
  <c r="V239" i="62" a="1"/>
  <c r="V239" i="62" s="1"/>
  <c r="V248" i="62" s="1"/>
  <c r="V250" i="62" s="1"/>
  <c r="V140" i="62" a="1"/>
  <c r="V140" i="62" s="1"/>
  <c r="V149" i="62" s="1"/>
  <c r="V151" i="62" s="1"/>
  <c r="V338" i="62" a="1"/>
  <c r="V338" i="62" s="1"/>
  <c r="V347" i="62" s="1"/>
  <c r="V349" i="62" s="1"/>
  <c r="V41" i="62" a="1"/>
  <c r="V41" i="62" s="1"/>
  <c r="V50" i="62" s="1"/>
  <c r="V52" i="62" s="1"/>
  <c r="X143" i="62" a="1"/>
  <c r="X143" i="62" s="1"/>
  <c r="X341" i="62" a="1"/>
  <c r="X341" i="62" s="1"/>
  <c r="X242" i="62" a="1"/>
  <c r="X242" i="62" s="1"/>
  <c r="X44" i="62" a="1"/>
  <c r="X44" i="62" s="1"/>
  <c r="AJ148" i="62" a="1"/>
  <c r="AJ148" i="62" s="1"/>
  <c r="AJ346" i="62" a="1"/>
  <c r="AJ346" i="62" s="1"/>
  <c r="AJ247" i="62" a="1"/>
  <c r="AJ247" i="62" s="1"/>
  <c r="AJ49" i="62" a="1"/>
  <c r="AJ49" i="62" s="1"/>
  <c r="Q340" i="62" a="1"/>
  <c r="Q340" i="62" s="1"/>
  <c r="Q348" i="62" s="1"/>
  <c r="Q350" i="62" s="1"/>
  <c r="Q241" i="62" a="1"/>
  <c r="Q241" i="62" s="1"/>
  <c r="Q249" i="62" s="1"/>
  <c r="Q251" i="62" s="1"/>
  <c r="Q142" i="62" a="1"/>
  <c r="Q142" i="62" s="1"/>
  <c r="Q150" i="62" s="1"/>
  <c r="Q152" i="62" s="1"/>
  <c r="Q43" i="62" a="1"/>
  <c r="Q43" i="62" s="1"/>
  <c r="Q51" i="62" s="1"/>
  <c r="Q53" i="62" s="1"/>
  <c r="N238" i="62" a="1"/>
  <c r="N238" i="62" s="1"/>
  <c r="N139" i="62" a="1"/>
  <c r="N139" i="62" s="1"/>
  <c r="N337" i="62" a="1"/>
  <c r="N337" i="62" s="1"/>
  <c r="N40" i="62" a="1"/>
  <c r="N40" i="62" s="1"/>
  <c r="AH244" i="62" a="1"/>
  <c r="AH244" i="62" s="1"/>
  <c r="AH145" i="62" a="1"/>
  <c r="AH145" i="62" s="1"/>
  <c r="AH343" i="62" a="1"/>
  <c r="AH343" i="62" s="1"/>
  <c r="AH46" i="62" a="1"/>
  <c r="AH46" i="62" s="1"/>
  <c r="K343" i="62" a="1"/>
  <c r="K343" i="62" s="1"/>
  <c r="K244" i="62" a="1"/>
  <c r="K244" i="62" s="1"/>
  <c r="K145" i="62" a="1"/>
  <c r="K145" i="62" s="1"/>
  <c r="K46" i="62" a="1"/>
  <c r="K46" i="62" s="1"/>
  <c r="AB341" i="62" a="1"/>
  <c r="AB341" i="62" s="1"/>
  <c r="AB143" i="62" a="1"/>
  <c r="AB143" i="62" s="1"/>
  <c r="AB242" i="62" a="1"/>
  <c r="AB242" i="62" s="1"/>
  <c r="AB44" i="62" a="1"/>
  <c r="AB44" i="62" s="1"/>
  <c r="R337" i="62" a="1"/>
  <c r="R337" i="62" s="1"/>
  <c r="R238" i="62" a="1"/>
  <c r="R238" i="62" s="1"/>
  <c r="R139" i="62" a="1"/>
  <c r="R139" i="62" s="1"/>
  <c r="R40" i="62" a="1"/>
  <c r="R40" i="62" s="1"/>
  <c r="Z238" i="62" a="1"/>
  <c r="Z238" i="62" s="1"/>
  <c r="Z337" i="62" a="1"/>
  <c r="Z337" i="62" s="1"/>
  <c r="Z139" i="62" a="1"/>
  <c r="Z139" i="62" s="1"/>
  <c r="Z40" i="62" a="1"/>
  <c r="Z40" i="62" s="1"/>
  <c r="AK243" i="62" a="1"/>
  <c r="AK243" i="62" s="1"/>
  <c r="AK342" i="62" a="1"/>
  <c r="AK342" i="62" s="1"/>
  <c r="AK144" i="62" a="1"/>
  <c r="AK144" i="62" s="1"/>
  <c r="AK45" i="62" a="1"/>
  <c r="AK45" i="62" s="1"/>
  <c r="AL345" i="62" a="1"/>
  <c r="AL345" i="62" s="1"/>
  <c r="AL147" i="62" a="1"/>
  <c r="AL147" i="62" s="1"/>
  <c r="AL246" i="62" a="1"/>
  <c r="AL246" i="62" s="1"/>
  <c r="AL48" i="62" a="1"/>
  <c r="AL48" i="62" s="1"/>
  <c r="AF142" i="62" a="1"/>
  <c r="AF142" i="62" s="1"/>
  <c r="AF150" i="62" s="1"/>
  <c r="AF152" i="62" s="1"/>
  <c r="AF340" i="62" a="1"/>
  <c r="AF340" i="62" s="1"/>
  <c r="AF348" i="62" s="1"/>
  <c r="AF350" i="62" s="1"/>
  <c r="AF241" i="62" a="1"/>
  <c r="AF241" i="62" s="1"/>
  <c r="AF249" i="62" s="1"/>
  <c r="AF251" i="62" s="1"/>
  <c r="AF43" i="62" a="1"/>
  <c r="AF43" i="62" s="1"/>
  <c r="AF51" i="62" s="1"/>
  <c r="AF53" i="62" s="1"/>
  <c r="AD147" i="62" a="1"/>
  <c r="AD147" i="62" s="1"/>
  <c r="AD345" i="62" a="1"/>
  <c r="AD345" i="62" s="1"/>
  <c r="AD246" i="62" a="1"/>
  <c r="AD246" i="62" s="1"/>
  <c r="AD48" i="62" a="1"/>
  <c r="AD48" i="62" s="1"/>
  <c r="L338" i="62" a="1"/>
  <c r="L338" i="62" s="1"/>
  <c r="L347" i="62" s="1"/>
  <c r="L349" i="62" s="1"/>
  <c r="L239" i="62" a="1"/>
  <c r="L239" i="62" s="1"/>
  <c r="L248" i="62" s="1"/>
  <c r="L250" i="62" s="1"/>
  <c r="L140" i="62" a="1"/>
  <c r="L140" i="62" s="1"/>
  <c r="L149" i="62" s="1"/>
  <c r="L151" i="62" s="1"/>
  <c r="L41" i="62" a="1"/>
  <c r="L41" i="62" s="1"/>
  <c r="L50" i="62" s="1"/>
  <c r="L52" i="62" s="1"/>
  <c r="N340" i="62" a="1"/>
  <c r="N340" i="62" s="1"/>
  <c r="N348" i="62" s="1"/>
  <c r="N350" i="62" s="1"/>
  <c r="N241" i="62" a="1"/>
  <c r="N241" i="62" s="1"/>
  <c r="N249" i="62" s="1"/>
  <c r="N251" i="62" s="1"/>
  <c r="N142" i="62" a="1"/>
  <c r="N142" i="62" s="1"/>
  <c r="N150" i="62" s="1"/>
  <c r="N152" i="62" s="1"/>
  <c r="N43" i="62" a="1"/>
  <c r="N43" i="62" s="1"/>
  <c r="N51" i="62" s="1"/>
  <c r="N53" i="62" s="1"/>
  <c r="R338" i="62" a="1"/>
  <c r="R338" i="62" s="1"/>
  <c r="R347" i="62" s="1"/>
  <c r="R349" i="62" s="1"/>
  <c r="R239" i="62" a="1"/>
  <c r="R239" i="62" s="1"/>
  <c r="R248" i="62" s="1"/>
  <c r="R250" i="62" s="1"/>
  <c r="R140" i="62" a="1"/>
  <c r="R140" i="62" s="1"/>
  <c r="R149" i="62" s="1"/>
  <c r="R151" i="62" s="1"/>
  <c r="R41" i="62" a="1"/>
  <c r="R41" i="62" s="1"/>
  <c r="R50" i="62" s="1"/>
  <c r="R52" i="62" s="1"/>
  <c r="AL239" i="62" a="1"/>
  <c r="AL239" i="62" s="1"/>
  <c r="AL248" i="62" s="1"/>
  <c r="AL250" i="62" s="1"/>
  <c r="AL140" i="62" a="1"/>
  <c r="AL140" i="62" s="1"/>
  <c r="AL149" i="62" s="1"/>
  <c r="AL151" i="62" s="1"/>
  <c r="AL338" i="62" a="1"/>
  <c r="AL338" i="62" s="1"/>
  <c r="AL347" i="62" s="1"/>
  <c r="AL349" i="62" s="1"/>
  <c r="AL41" i="62" a="1"/>
  <c r="AL41" i="62" s="1"/>
  <c r="AL50" i="62" s="1"/>
  <c r="AL52" i="62" s="1"/>
  <c r="AD242" i="62" a="1"/>
  <c r="AD242" i="62" s="1"/>
  <c r="AD341" i="62" a="1"/>
  <c r="AD341" i="62" s="1"/>
  <c r="AD143" i="62" a="1"/>
  <c r="AD143" i="62" s="1"/>
  <c r="AD44" i="62" a="1"/>
  <c r="AD44" i="62" s="1"/>
  <c r="AG338" i="62" a="1"/>
  <c r="AG338" i="62" s="1"/>
  <c r="AG347" i="62" s="1"/>
  <c r="AG349" i="62" s="1"/>
  <c r="AG239" i="62" a="1"/>
  <c r="AG239" i="62" s="1"/>
  <c r="AG248" i="62" s="1"/>
  <c r="AG250" i="62" s="1"/>
  <c r="AG140" i="62" a="1"/>
  <c r="AG140" i="62" s="1"/>
  <c r="AG149" i="62" s="1"/>
  <c r="AG151" i="62" s="1"/>
  <c r="AG41" i="62" a="1"/>
  <c r="AG41" i="62" s="1"/>
  <c r="AG50" i="62" s="1"/>
  <c r="AG52" i="62" s="1"/>
  <c r="AC341" i="62" a="1"/>
  <c r="AC341" i="62" s="1"/>
  <c r="AC143" i="62" a="1"/>
  <c r="AC143" i="62" s="1"/>
  <c r="AC242" i="62" a="1"/>
  <c r="AC242" i="62" s="1"/>
  <c r="AC44" i="62" a="1"/>
  <c r="AC44" i="62" s="1"/>
  <c r="AF145" i="62" a="1"/>
  <c r="AF145" i="62" s="1"/>
  <c r="AF244" i="62" a="1"/>
  <c r="AF244" i="62" s="1"/>
  <c r="AF343" i="62" a="1"/>
  <c r="AF343" i="62" s="1"/>
  <c r="AF46" i="62" a="1"/>
  <c r="AF46" i="62" s="1"/>
  <c r="V144" i="62" a="1"/>
  <c r="V144" i="62" s="1"/>
  <c r="V243" i="62" a="1"/>
  <c r="V243" i="62" s="1"/>
  <c r="V342" i="62" a="1"/>
  <c r="V342" i="62" s="1"/>
  <c r="V45" i="62" a="1"/>
  <c r="V45" i="62" s="1"/>
  <c r="Y146" i="62" a="1"/>
  <c r="Y146" i="62" s="1"/>
  <c r="Y245" i="62" a="1"/>
  <c r="Y245" i="62" s="1"/>
  <c r="Y344" i="62" a="1"/>
  <c r="Y344" i="62" s="1"/>
  <c r="Y47" i="62" a="1"/>
  <c r="Y47" i="62" s="1"/>
  <c r="AC243" i="62" a="1"/>
  <c r="AC243" i="62" s="1"/>
  <c r="AC144" i="62" a="1"/>
  <c r="AC144" i="62" s="1"/>
  <c r="AC342" i="62" a="1"/>
  <c r="AC342" i="62" s="1"/>
  <c r="AC45" i="62" a="1"/>
  <c r="AC45" i="62" s="1"/>
  <c r="AG344" i="62" a="1"/>
  <c r="AG344" i="62" s="1"/>
  <c r="AG245" i="62" a="1"/>
  <c r="AG245" i="62" s="1"/>
  <c r="AG146" i="62" a="1"/>
  <c r="AG146" i="62" s="1"/>
  <c r="AG47" i="62" a="1"/>
  <c r="AG47" i="62" s="1"/>
  <c r="AF338" i="62" a="1"/>
  <c r="AF338" i="62" s="1"/>
  <c r="AF347" i="62" s="1"/>
  <c r="AF349" i="62" s="1"/>
  <c r="AF140" i="62" a="1"/>
  <c r="AF140" i="62" s="1"/>
  <c r="AF149" i="62" s="1"/>
  <c r="AF151" i="62" s="1"/>
  <c r="AF239" i="62" a="1"/>
  <c r="AF239" i="62" s="1"/>
  <c r="AF248" i="62" s="1"/>
  <c r="AF250" i="62" s="1"/>
  <c r="AF41" i="62" a="1"/>
  <c r="AF41" i="62" s="1"/>
  <c r="AF50" i="62" s="1"/>
  <c r="AF52" i="62" s="1"/>
  <c r="AE242" i="62" a="1"/>
  <c r="AE242" i="62" s="1"/>
  <c r="AE341" i="62" a="1"/>
  <c r="AE341" i="62" s="1"/>
  <c r="AE143" i="62" a="1"/>
  <c r="AE143" i="62" s="1"/>
  <c r="AE44" i="62" a="1"/>
  <c r="AE44" i="62" s="1"/>
  <c r="L341" i="62" a="1"/>
  <c r="L341" i="62" s="1"/>
  <c r="L242" i="62" a="1"/>
  <c r="L242" i="62" s="1"/>
  <c r="L143" i="62" a="1"/>
  <c r="L143" i="62" s="1"/>
  <c r="L44" i="62" a="1"/>
  <c r="L44" i="62" s="1"/>
  <c r="M245" i="62" a="1"/>
  <c r="M245" i="62" s="1"/>
  <c r="M146" i="62" a="1"/>
  <c r="M146" i="62" s="1"/>
  <c r="M344" i="62" a="1"/>
  <c r="M344" i="62" s="1"/>
  <c r="M47" i="62" a="1"/>
  <c r="M47" i="62" s="1"/>
  <c r="K246" i="62" a="1"/>
  <c r="K246" i="62" s="1"/>
  <c r="K147" i="62" a="1"/>
  <c r="K147" i="62" s="1"/>
  <c r="K345" i="62" a="1"/>
  <c r="K345" i="62" s="1"/>
  <c r="K48" i="62" a="1"/>
  <c r="K48" i="62" s="1"/>
  <c r="X343" i="62" a="1"/>
  <c r="X343" i="62" s="1"/>
  <c r="X145" i="62" a="1"/>
  <c r="X145" i="62" s="1"/>
  <c r="X244" i="62" a="1"/>
  <c r="X244" i="62" s="1"/>
  <c r="X46" i="62" a="1"/>
  <c r="X46" i="62" s="1"/>
  <c r="AK147" i="62" a="1"/>
  <c r="AK147" i="62" s="1"/>
  <c r="AK246" i="62" a="1"/>
  <c r="AK246" i="62" s="1"/>
  <c r="AK345" i="62" a="1"/>
  <c r="AK345" i="62" s="1"/>
  <c r="AK48" i="62" a="1"/>
  <c r="AK48" i="62" s="1"/>
  <c r="P147" i="62" a="1"/>
  <c r="P147" i="62" s="1"/>
  <c r="P345" i="62" a="1"/>
  <c r="P345" i="62" s="1"/>
  <c r="P246" i="62" a="1"/>
  <c r="P246" i="62" s="1"/>
  <c r="P48" i="62" a="1"/>
  <c r="P48" i="62" s="1"/>
  <c r="Y337" i="62" a="1"/>
  <c r="Y337" i="62" s="1"/>
  <c r="Y238" i="62" a="1"/>
  <c r="Y238" i="62" s="1"/>
  <c r="Y139" i="62" a="1"/>
  <c r="Y139" i="62" s="1"/>
  <c r="Y40" i="62" a="1"/>
  <c r="Y40" i="62" s="1"/>
  <c r="AC337" i="62" a="1"/>
  <c r="AC337" i="62" s="1"/>
  <c r="AC139" i="62" a="1"/>
  <c r="AC139" i="62" s="1"/>
  <c r="AC238" i="62" a="1"/>
  <c r="AC238" i="62" s="1"/>
  <c r="AC40" i="62" a="1"/>
  <c r="AC40" i="62" s="1"/>
  <c r="Q338" i="62" a="1"/>
  <c r="Q338" i="62" s="1"/>
  <c r="Q347" i="62" s="1"/>
  <c r="Q349" i="62" s="1"/>
  <c r="Q140" i="62" a="1"/>
  <c r="Q140" i="62" s="1"/>
  <c r="Q149" i="62" s="1"/>
  <c r="Q151" i="62" s="1"/>
  <c r="Q239" i="62" a="1"/>
  <c r="Q239" i="62" s="1"/>
  <c r="Q248" i="62" s="1"/>
  <c r="Q250" i="62" s="1"/>
  <c r="Q41" i="62" a="1"/>
  <c r="Q41" i="62" s="1"/>
  <c r="Q50" i="62" s="1"/>
  <c r="Q52" i="62" s="1"/>
  <c r="AA238" i="62" a="1"/>
  <c r="AA238" i="62" s="1"/>
  <c r="AA139" i="62" a="1"/>
  <c r="AA139" i="62" s="1"/>
  <c r="AA337" i="62" a="1"/>
  <c r="AA337" i="62" s="1"/>
  <c r="AA40" i="62" a="1"/>
  <c r="AA40" i="62" s="1"/>
  <c r="AF146" i="62" a="1"/>
  <c r="AF146" i="62" s="1"/>
  <c r="AF344" i="62" a="1"/>
  <c r="AF344" i="62" s="1"/>
  <c r="AF245" i="62" a="1"/>
  <c r="AF245" i="62" s="1"/>
  <c r="AF47" i="62" a="1"/>
  <c r="AF47" i="62" s="1"/>
  <c r="AE139" i="62" a="1"/>
  <c r="AE139" i="62" s="1"/>
  <c r="AE337" i="62" a="1"/>
  <c r="AE337" i="62" s="1"/>
  <c r="AE238" i="62" a="1"/>
  <c r="AE238" i="62" s="1"/>
  <c r="AE40" i="62" a="1"/>
  <c r="AE40" i="62" s="1"/>
  <c r="X246" i="62" a="1"/>
  <c r="X246" i="62" s="1"/>
  <c r="X345" i="62" a="1"/>
  <c r="X345" i="62" s="1"/>
  <c r="X147" i="62" a="1"/>
  <c r="X147" i="62" s="1"/>
  <c r="X48" i="62" a="1"/>
  <c r="X48" i="62" s="1"/>
  <c r="AG247" i="62" a="1"/>
  <c r="AG247" i="62" s="1"/>
  <c r="AG346" i="62" a="1"/>
  <c r="AG346" i="62" s="1"/>
  <c r="AG148" i="62" a="1"/>
  <c r="AG148" i="62" s="1"/>
  <c r="AG49" i="62" a="1"/>
  <c r="AG49" i="62" s="1"/>
  <c r="W143" i="62" a="1"/>
  <c r="W143" i="62" s="1"/>
  <c r="W242" i="62" a="1"/>
  <c r="W242" i="62" s="1"/>
  <c r="W341" i="62" a="1"/>
  <c r="W341" i="62" s="1"/>
  <c r="W44" i="62" a="1"/>
  <c r="W44" i="62" s="1"/>
  <c r="P338" i="62" a="1"/>
  <c r="P338" i="62" s="1"/>
  <c r="P347" i="62" s="1"/>
  <c r="P349" i="62" s="1"/>
  <c r="P140" i="62" a="1"/>
  <c r="P140" i="62" s="1"/>
  <c r="P149" i="62" s="1"/>
  <c r="P151" i="62" s="1"/>
  <c r="P239" i="62" a="1"/>
  <c r="P239" i="62" s="1"/>
  <c r="P248" i="62" s="1"/>
  <c r="P250" i="62" s="1"/>
  <c r="P41" i="62" a="1"/>
  <c r="P41" i="62" s="1"/>
  <c r="P50" i="62" s="1"/>
  <c r="P52" i="62" s="1"/>
  <c r="M341" i="62" a="1"/>
  <c r="M341" i="62" s="1"/>
  <c r="M242" i="62" a="1"/>
  <c r="M242" i="62" s="1"/>
  <c r="M143" i="62" a="1"/>
  <c r="M143" i="62" s="1"/>
  <c r="M44" i="62" a="1"/>
  <c r="M44" i="62" s="1"/>
  <c r="AI242" i="62" a="1"/>
  <c r="AI242" i="62" s="1"/>
  <c r="AI143" i="62" a="1"/>
  <c r="AI143" i="62" s="1"/>
  <c r="AI341" i="62" a="1"/>
  <c r="AI341" i="62" s="1"/>
  <c r="AI44" i="62" a="1"/>
  <c r="AI44" i="62" s="1"/>
  <c r="M244" i="62" a="1"/>
  <c r="M244" i="62" s="1"/>
  <c r="M343" i="62" a="1"/>
  <c r="M343" i="62" s="1"/>
  <c r="M145" i="62" a="1"/>
  <c r="M145" i="62" s="1"/>
  <c r="M46" i="62" a="1"/>
  <c r="M46" i="62" s="1"/>
  <c r="AB144" i="62" a="1"/>
  <c r="AB144" i="62" s="1"/>
  <c r="AB342" i="62" a="1"/>
  <c r="AB342" i="62" s="1"/>
  <c r="AB243" i="62" a="1"/>
  <c r="AB243" i="62" s="1"/>
  <c r="AB45" i="62" a="1"/>
  <c r="AB45" i="62" s="1"/>
  <c r="K139" i="62" a="1"/>
  <c r="K139" i="62" s="1"/>
  <c r="K238" i="62" a="1"/>
  <c r="K238" i="62" s="1"/>
  <c r="K337" i="62" a="1"/>
  <c r="K337" i="62" s="1"/>
  <c r="K40" i="62" a="1"/>
  <c r="K40" i="62" s="1"/>
  <c r="AE146" i="62" a="1"/>
  <c r="AE146" i="62" s="1"/>
  <c r="AE344" i="62" a="1"/>
  <c r="AE344" i="62" s="1"/>
  <c r="AE245" i="62" a="1"/>
  <c r="AE245" i="62" s="1"/>
  <c r="AE47" i="62" a="1"/>
  <c r="AE47" i="62" s="1"/>
  <c r="U343" i="62" a="1"/>
  <c r="U343" i="62" s="1"/>
  <c r="U244" i="62" a="1"/>
  <c r="U244" i="62" s="1"/>
  <c r="U145" i="62" a="1"/>
  <c r="U145" i="62" s="1"/>
  <c r="U46" i="62" a="1"/>
  <c r="U46" i="62" s="1"/>
  <c r="Z146" i="62" a="1"/>
  <c r="Z146" i="62" s="1"/>
  <c r="Z344" i="62" a="1"/>
  <c r="Z344" i="62" s="1"/>
  <c r="Z245" i="62" a="1"/>
  <c r="Z245" i="62" s="1"/>
  <c r="Z47" i="62" a="1"/>
  <c r="Z47" i="62" s="1"/>
  <c r="L144" i="62" a="1"/>
  <c r="L144" i="62" s="1"/>
  <c r="L342" i="62" a="1"/>
  <c r="L342" i="62" s="1"/>
  <c r="L243" i="62" a="1"/>
  <c r="L243" i="62" s="1"/>
  <c r="L45" i="62" a="1"/>
  <c r="L45" i="62" s="1"/>
  <c r="W239" i="62" a="1"/>
  <c r="W239" i="62" s="1"/>
  <c r="W248" i="62" s="1"/>
  <c r="W250" i="62" s="1"/>
  <c r="W338" i="62" a="1"/>
  <c r="W338" i="62" s="1"/>
  <c r="W347" i="62" s="1"/>
  <c r="W349" i="62" s="1"/>
  <c r="W140" i="62" a="1"/>
  <c r="W140" i="62" s="1"/>
  <c r="W149" i="62" s="1"/>
  <c r="W151" i="62" s="1"/>
  <c r="W41" i="62" a="1"/>
  <c r="W41" i="62" s="1"/>
  <c r="W50" i="62" s="1"/>
  <c r="W52" i="62" s="1"/>
  <c r="AB344" i="62" a="1"/>
  <c r="AB344" i="62" s="1"/>
  <c r="AB146" i="62" a="1"/>
  <c r="AB146" i="62" s="1"/>
  <c r="AB245" i="62" a="1"/>
  <c r="AB245" i="62" s="1"/>
  <c r="AB47" i="62" a="1"/>
  <c r="AB47" i="62" s="1"/>
  <c r="M238" i="62" a="1"/>
  <c r="M238" i="62" s="1"/>
  <c r="M337" i="62" a="1"/>
  <c r="M337" i="62" s="1"/>
  <c r="M139" i="62" a="1"/>
  <c r="M139" i="62" s="1"/>
  <c r="M40" i="62" a="1"/>
  <c r="M40" i="62" s="1"/>
  <c r="S239" i="62" a="1"/>
  <c r="S239" i="62" s="1"/>
  <c r="S248" i="62" s="1"/>
  <c r="S250" i="62" s="1"/>
  <c r="S140" i="62" a="1"/>
  <c r="S140" i="62" s="1"/>
  <c r="S149" i="62" s="1"/>
  <c r="S151" i="62" s="1"/>
  <c r="S338" i="62" a="1"/>
  <c r="S338" i="62" s="1"/>
  <c r="S347" i="62" s="1"/>
  <c r="S349" i="62" s="1"/>
  <c r="S41" i="62" a="1"/>
  <c r="S41" i="62" s="1"/>
  <c r="S50" i="62" s="1"/>
  <c r="S52" i="62" s="1"/>
  <c r="U341" i="62" a="1"/>
  <c r="U341" i="62" s="1"/>
  <c r="U143" i="62" a="1"/>
  <c r="U143" i="62" s="1"/>
  <c r="U242" i="62" a="1"/>
  <c r="U242" i="62" s="1"/>
  <c r="U44" i="62" a="1"/>
  <c r="U44" i="62" s="1"/>
  <c r="L142" i="62" a="1"/>
  <c r="L142" i="62" s="1"/>
  <c r="L150" i="62" s="1"/>
  <c r="L152" i="62" s="1"/>
  <c r="L340" i="62" a="1"/>
  <c r="L340" i="62" s="1"/>
  <c r="L348" i="62" s="1"/>
  <c r="L350" i="62" s="1"/>
  <c r="L241" i="62" a="1"/>
  <c r="L241" i="62" s="1"/>
  <c r="L249" i="62" s="1"/>
  <c r="L251" i="62" s="1"/>
  <c r="L43" i="62" a="1"/>
  <c r="L43" i="62" s="1"/>
  <c r="L51" i="62" s="1"/>
  <c r="L53" i="62" s="1"/>
  <c r="N144" i="62" a="1"/>
  <c r="N144" i="62" s="1"/>
  <c r="N243" i="62" a="1"/>
  <c r="N243" i="62" s="1"/>
  <c r="N342" i="62" a="1"/>
  <c r="N342" i="62" s="1"/>
  <c r="N45" i="62" a="1"/>
  <c r="N45" i="62" s="1"/>
  <c r="L238" i="62" a="1"/>
  <c r="L238" i="62" s="1"/>
  <c r="L139" i="62" a="1"/>
  <c r="L139" i="62" s="1"/>
  <c r="L337" i="62" a="1"/>
  <c r="L337" i="62" s="1"/>
  <c r="L40" i="62" a="1"/>
  <c r="L40" i="62" s="1"/>
  <c r="R147" i="62" a="1"/>
  <c r="R147" i="62" s="1"/>
  <c r="R246" i="62" a="1"/>
  <c r="R246" i="62" s="1"/>
  <c r="R345" i="62" a="1"/>
  <c r="R345" i="62" s="1"/>
  <c r="R48" i="62" a="1"/>
  <c r="R48" i="62" s="1"/>
  <c r="S164" i="62" a="1"/>
  <c r="S164" i="62" s="1"/>
  <c r="S165" i="62" s="1"/>
  <c r="AK119" i="62" a="1"/>
  <c r="AK119" i="62" s="1"/>
  <c r="AK120" i="62" s="1"/>
  <c r="Z317" i="62" a="1"/>
  <c r="Z317" i="62" s="1"/>
  <c r="Z318" i="62" s="1"/>
  <c r="AF119" i="62" a="1"/>
  <c r="AF119" i="62" s="1"/>
  <c r="AF120" i="62" s="1"/>
  <c r="V263" i="62" a="1"/>
  <c r="V263" i="62" s="1"/>
  <c r="V264" i="62" s="1"/>
  <c r="U65" i="62" a="1"/>
  <c r="U65" i="62" s="1"/>
  <c r="U66" i="62" s="1"/>
  <c r="S362" i="62" a="1"/>
  <c r="S362" i="62" s="1"/>
  <c r="S363" i="62" s="1"/>
  <c r="Z65" i="62" a="1"/>
  <c r="Z65" i="62" s="1"/>
  <c r="Z66" i="62" s="1"/>
  <c r="O263" i="62" a="1"/>
  <c r="O263" i="62" s="1"/>
  <c r="O264" i="62" s="1"/>
  <c r="N164" i="62" a="1"/>
  <c r="N164" i="62" s="1"/>
  <c r="N165" i="62" s="1"/>
  <c r="AE65" i="62" a="1"/>
  <c r="AE65" i="62" s="1"/>
  <c r="AE66" i="62" s="1"/>
  <c r="K218" i="62" a="1"/>
  <c r="K218" i="62" s="1"/>
  <c r="K219" i="62" s="1"/>
  <c r="AB218" i="62" a="1"/>
  <c r="AB218" i="62" s="1"/>
  <c r="AB219" i="62" s="1"/>
  <c r="AI65" i="62" a="1"/>
  <c r="AI65" i="62" s="1"/>
  <c r="AI66" i="62" s="1"/>
  <c r="AH65" i="62" a="1"/>
  <c r="AH65" i="62" s="1"/>
  <c r="AH66" i="62" s="1"/>
  <c r="M119" i="62" a="1"/>
  <c r="M119" i="62" s="1"/>
  <c r="M120" i="62" s="1"/>
  <c r="Q119" i="62" a="1"/>
  <c r="Q119" i="62" s="1"/>
  <c r="Q120" i="62" s="1"/>
  <c r="AK362" i="62" a="1"/>
  <c r="AK362" i="62" s="1"/>
  <c r="AK363" i="62" s="1"/>
  <c r="Y65" i="62" a="1"/>
  <c r="Y65" i="62" s="1"/>
  <c r="Y66" i="62" s="1"/>
  <c r="S218" i="62" a="1"/>
  <c r="S218" i="62" s="1"/>
  <c r="S219" i="62" s="1"/>
  <c r="P65" i="62" a="1"/>
  <c r="P65" i="62" s="1"/>
  <c r="P66" i="62" s="1"/>
  <c r="S263" i="62" a="1"/>
  <c r="S263" i="62" s="1"/>
  <c r="S264" i="62" s="1"/>
  <c r="AE164" i="62" a="1"/>
  <c r="AE164" i="62" s="1"/>
  <c r="AE165" i="62" s="1"/>
  <c r="K317" i="62" a="1"/>
  <c r="K317" i="62" s="1"/>
  <c r="K318" i="62" s="1"/>
  <c r="AI164" i="62" a="1"/>
  <c r="AI164" i="62" s="1"/>
  <c r="AI165" i="62" s="1"/>
  <c r="AH263" i="62" a="1"/>
  <c r="AH263" i="62" s="1"/>
  <c r="AH264" i="62" s="1"/>
  <c r="M218" i="62" a="1"/>
  <c r="M218" i="62" s="1"/>
  <c r="M219" i="62" s="1"/>
  <c r="Q218" i="62" a="1"/>
  <c r="Q218" i="62" s="1"/>
  <c r="Q219" i="62" s="1"/>
  <c r="AK65" i="62" a="1"/>
  <c r="AK65" i="62" s="1"/>
  <c r="AK66" i="62" s="1"/>
  <c r="Y164" i="62" a="1"/>
  <c r="Y164" i="62" s="1"/>
  <c r="Y165" i="62" s="1"/>
  <c r="P164" i="62" a="1"/>
  <c r="P164" i="62" s="1"/>
  <c r="P165" i="62" s="1"/>
  <c r="AE263" i="62" a="1"/>
  <c r="AE263" i="62" s="1"/>
  <c r="AE264" i="62" s="1"/>
  <c r="K119" i="62" a="1"/>
  <c r="K119" i="62" s="1"/>
  <c r="K120" i="62" s="1"/>
  <c r="AB317" i="62" a="1"/>
  <c r="AB317" i="62" s="1"/>
  <c r="AB318" i="62" s="1"/>
  <c r="AI263" i="62" a="1"/>
  <c r="AI263" i="62" s="1"/>
  <c r="AI264" i="62" s="1"/>
  <c r="AH362" i="62" a="1"/>
  <c r="AH362" i="62" s="1"/>
  <c r="AH363" i="62" s="1"/>
  <c r="M317" i="62" a="1"/>
  <c r="M317" i="62" s="1"/>
  <c r="M318" i="62" s="1"/>
  <c r="AK164" i="62" a="1"/>
  <c r="AK164" i="62" s="1"/>
  <c r="AK165" i="62" s="1"/>
  <c r="Y263" i="62" a="1"/>
  <c r="Y263" i="62" s="1"/>
  <c r="Y264" i="62" s="1"/>
  <c r="S317" i="62" a="1"/>
  <c r="S317" i="62" s="1"/>
  <c r="S318" i="62" s="1"/>
  <c r="P263" i="62" a="1"/>
  <c r="P263" i="62" s="1"/>
  <c r="P264" i="62" s="1"/>
  <c r="AE362" i="62" a="1"/>
  <c r="AE362" i="62" s="1"/>
  <c r="AE363" i="62" s="1"/>
  <c r="AB119" i="62" a="1"/>
  <c r="AB119" i="62" s="1"/>
  <c r="AB120" i="62" s="1"/>
  <c r="AI362" i="62" a="1"/>
  <c r="AI362" i="62" s="1"/>
  <c r="AI363" i="62" s="1"/>
  <c r="AH164" i="62" a="1"/>
  <c r="AH164" i="62" s="1"/>
  <c r="AH165" i="62" s="1"/>
  <c r="M21" i="62"/>
  <c r="Q317" i="62" a="1"/>
  <c r="Q317" i="62" s="1"/>
  <c r="Q318" i="62" s="1"/>
  <c r="AK263" i="62" a="1"/>
  <c r="AK263" i="62" s="1"/>
  <c r="AK264" i="62" s="1"/>
  <c r="Y362" i="62" a="1"/>
  <c r="Y362" i="62" s="1"/>
  <c r="Y363" i="62" s="1"/>
  <c r="S119" i="62" a="1"/>
  <c r="S119" i="62" s="1"/>
  <c r="S120" i="62" s="1"/>
  <c r="P362" i="62" a="1"/>
  <c r="P362" i="62" s="1"/>
  <c r="P363" i="62" s="1"/>
  <c r="Z263" i="62" a="1"/>
  <c r="Z263" i="62" s="1"/>
  <c r="Z264" i="62" s="1"/>
  <c r="O65" i="62" a="1"/>
  <c r="O65" i="62" s="1"/>
  <c r="O66" i="62" s="1"/>
  <c r="N263" i="62" a="1"/>
  <c r="N263" i="62" s="1"/>
  <c r="N264" i="62" s="1"/>
  <c r="AK218" i="62" a="1"/>
  <c r="AK218" i="62" s="1"/>
  <c r="AK219" i="62" s="1"/>
  <c r="Z218" i="62" a="1"/>
  <c r="Z218" i="62" s="1"/>
  <c r="Z219" i="62" s="1"/>
  <c r="V65" i="62" a="1"/>
  <c r="V65" i="62" s="1"/>
  <c r="V66" i="62" s="1"/>
  <c r="U263" i="62" a="1"/>
  <c r="U263" i="62" s="1"/>
  <c r="U264" i="62" s="1"/>
  <c r="Y218" i="62" a="1"/>
  <c r="Y218" i="62" s="1"/>
  <c r="Y219" i="62" s="1"/>
  <c r="Z362" i="62" a="1"/>
  <c r="Z362" i="62" s="1"/>
  <c r="Z363" i="62" s="1"/>
  <c r="O164" i="62" a="1"/>
  <c r="O164" i="62" s="1"/>
  <c r="O165" i="62" s="1"/>
  <c r="N362" i="62" a="1"/>
  <c r="N362" i="62" s="1"/>
  <c r="N363" i="62" s="1"/>
  <c r="AK317" i="62" a="1"/>
  <c r="AK317" i="62" s="1"/>
  <c r="AK318" i="62" s="1"/>
  <c r="AF317" i="62" a="1"/>
  <c r="AF317" i="62" s="1"/>
  <c r="AF318" i="62" s="1"/>
  <c r="V164" i="62" a="1"/>
  <c r="V164" i="62" s="1"/>
  <c r="V165" i="62" s="1"/>
  <c r="U362" i="62" a="1"/>
  <c r="U362" i="62" s="1"/>
  <c r="U363" i="62" s="1"/>
  <c r="Y317" i="62" a="1"/>
  <c r="Y317" i="62" s="1"/>
  <c r="Y318" i="62" s="1"/>
  <c r="AE317" i="62" a="1"/>
  <c r="AE317" i="62" s="1"/>
  <c r="AE318" i="62" s="1"/>
  <c r="Z164" i="62" a="1"/>
  <c r="Z164" i="62" s="1"/>
  <c r="Z165" i="62" s="1"/>
  <c r="O362" i="62" a="1"/>
  <c r="O362" i="62" s="1"/>
  <c r="O363" i="62" s="1"/>
  <c r="N65" i="62" a="1"/>
  <c r="N65" i="62" s="1"/>
  <c r="N66" i="62" s="1"/>
  <c r="Z119" i="62" a="1"/>
  <c r="Z119" i="62" s="1"/>
  <c r="Z120" i="62" s="1"/>
  <c r="AF218" i="62" a="1"/>
  <c r="AF218" i="62" s="1"/>
  <c r="AF219" i="62" s="1"/>
  <c r="V362" i="62" a="1"/>
  <c r="V362" i="62" s="1"/>
  <c r="V363" i="62" s="1"/>
  <c r="U164" i="62" a="1"/>
  <c r="U164" i="62" s="1"/>
  <c r="U165" i="62" s="1"/>
  <c r="Y119" i="62" a="1"/>
  <c r="Y119" i="62" s="1"/>
  <c r="Y120" i="62" s="1"/>
  <c r="AE21" i="62"/>
  <c r="AG317" i="62" a="1"/>
  <c r="AG317" i="62" s="1"/>
  <c r="AG318" i="62" s="1"/>
  <c r="X65" i="62" a="1"/>
  <c r="X65" i="62" s="1"/>
  <c r="X66" i="62" s="1"/>
  <c r="AB65" i="62" a="1"/>
  <c r="AB65" i="62" s="1"/>
  <c r="AB66" i="62" s="1"/>
  <c r="AD65" i="62" a="1"/>
  <c r="AD65" i="62" s="1"/>
  <c r="AD66" i="62" s="1"/>
  <c r="L317" i="62" a="1"/>
  <c r="L317" i="62" s="1"/>
  <c r="L318" i="62" s="1"/>
  <c r="M65" i="62" a="1"/>
  <c r="M65" i="62" s="1"/>
  <c r="M66" i="62" s="1"/>
  <c r="W65" i="62" a="1"/>
  <c r="W65" i="62" s="1"/>
  <c r="W66" i="62" s="1"/>
  <c r="L65" i="62" a="1"/>
  <c r="L65" i="62" s="1"/>
  <c r="L66" i="62" s="1"/>
  <c r="AE119" i="62" a="1"/>
  <c r="AE119" i="62" s="1"/>
  <c r="AE120" i="62" s="1"/>
  <c r="X164" i="62" a="1"/>
  <c r="X164" i="62" s="1"/>
  <c r="X165" i="62" s="1"/>
  <c r="AL119" i="62" a="1"/>
  <c r="AL119" i="62" s="1"/>
  <c r="AL120" i="62" s="1"/>
  <c r="AB263" i="62" a="1"/>
  <c r="AB263" i="62" s="1"/>
  <c r="AB264" i="62" s="1"/>
  <c r="AH317" i="62" a="1"/>
  <c r="AH317" i="62" s="1"/>
  <c r="AH318" i="62" s="1"/>
  <c r="AD263" i="62" a="1"/>
  <c r="AD263" i="62" s="1"/>
  <c r="AD264" i="62" s="1"/>
  <c r="L218" i="62" a="1"/>
  <c r="L218" i="62" s="1"/>
  <c r="L219" i="62" s="1"/>
  <c r="M164" i="62" a="1"/>
  <c r="M164" i="62" s="1"/>
  <c r="M165" i="62" s="1"/>
  <c r="AC317" i="62" a="1"/>
  <c r="AC317" i="62" s="1"/>
  <c r="AC318" i="62" s="1"/>
  <c r="W164" i="62" a="1"/>
  <c r="W164" i="62" s="1"/>
  <c r="W165" i="62" s="1"/>
  <c r="L164" i="62" a="1"/>
  <c r="L164" i="62" s="1"/>
  <c r="L165" i="62" s="1"/>
  <c r="AE218" i="62" a="1"/>
  <c r="AE218" i="62" s="1"/>
  <c r="AE219" i="62" s="1"/>
  <c r="AG119" i="62" a="1"/>
  <c r="AG119" i="62" s="1"/>
  <c r="AG120" i="62" s="1"/>
  <c r="X263" i="62" a="1"/>
  <c r="X263" i="62" s="1"/>
  <c r="X264" i="62" s="1"/>
  <c r="AL218" i="62" a="1"/>
  <c r="AL218" i="62" s="1"/>
  <c r="AL219" i="62" s="1"/>
  <c r="AB362" i="62" a="1"/>
  <c r="AB362" i="62" s="1"/>
  <c r="AB363" i="62" s="1"/>
  <c r="AH119" i="62" a="1"/>
  <c r="AH119" i="62" s="1"/>
  <c r="AH120" i="62" s="1"/>
  <c r="AD362" i="62" a="1"/>
  <c r="AD362" i="62" s="1"/>
  <c r="AD363" i="62" s="1"/>
  <c r="L119" i="62" a="1"/>
  <c r="L119" i="62" s="1"/>
  <c r="L120" i="62" s="1"/>
  <c r="M263" i="62" a="1"/>
  <c r="M263" i="62" s="1"/>
  <c r="M264" i="62" s="1"/>
  <c r="AC119" i="62" a="1"/>
  <c r="AC119" i="62" s="1"/>
  <c r="AC120" i="62" s="1"/>
  <c r="W263" i="62" a="1"/>
  <c r="W263" i="62" s="1"/>
  <c r="W264" i="62" s="1"/>
  <c r="L263" i="62" a="1"/>
  <c r="L263" i="62" s="1"/>
  <c r="L264" i="62" s="1"/>
  <c r="M512" i="41"/>
  <c r="AE516" i="41"/>
  <c r="L512" i="41"/>
  <c r="W518" i="41"/>
  <c r="X505" i="41"/>
  <c r="V518" i="41"/>
  <c r="P506" i="41"/>
  <c r="AC517" i="41"/>
  <c r="AD509" i="41"/>
  <c r="T518" i="41"/>
  <c r="AB519" i="41"/>
  <c r="AE514" i="41"/>
  <c r="H519" i="41"/>
  <c r="AD514" i="41"/>
  <c r="Q518" i="41"/>
  <c r="G509" i="41"/>
  <c r="R520" i="41"/>
  <c r="Y514" i="41"/>
  <c r="M505" i="41"/>
  <c r="AF513" i="41"/>
  <c r="AD513" i="41"/>
  <c r="O520" i="41"/>
  <c r="G506" i="41"/>
  <c r="F516" i="41"/>
  <c r="I518" i="41"/>
  <c r="G513" i="41"/>
  <c r="V506" i="41"/>
  <c r="N522" i="41"/>
  <c r="S513" i="41"/>
  <c r="V507" i="41"/>
  <c r="M513" i="41"/>
  <c r="AD508" i="41"/>
  <c r="N510" i="41"/>
  <c r="Z518" i="41"/>
  <c r="AD518" i="41"/>
  <c r="AD505" i="41"/>
  <c r="W521" i="41"/>
  <c r="AE520" i="41"/>
  <c r="S519" i="41"/>
  <c r="J515" i="41"/>
  <c r="AA521" i="41"/>
  <c r="O519" i="41"/>
  <c r="X514" i="41"/>
  <c r="U511" i="41"/>
  <c r="W507" i="41"/>
  <c r="AB510" i="41"/>
  <c r="AE517" i="41"/>
  <c r="N506" i="41"/>
  <c r="AD517" i="41"/>
  <c r="F507" i="41"/>
  <c r="I517" i="41"/>
  <c r="Q523" i="41"/>
  <c r="AB517" i="41"/>
  <c r="AF511" i="41"/>
  <c r="K514" i="41"/>
  <c r="L511" i="41"/>
  <c r="J514" i="41"/>
  <c r="Q513" i="41"/>
  <c r="J516" i="41"/>
  <c r="Z519" i="41"/>
  <c r="E514" i="41"/>
  <c r="T514" i="41"/>
  <c r="L513" i="41"/>
  <c r="F511" i="41"/>
  <c r="W519" i="41"/>
  <c r="J523" i="41"/>
  <c r="R512" i="41"/>
  <c r="U514" i="41"/>
  <c r="S524" i="41"/>
  <c r="J505" i="41"/>
  <c r="V511" i="41"/>
  <c r="G519" i="41"/>
  <c r="R513" i="41"/>
  <c r="F519" i="41"/>
  <c r="T512" i="41"/>
  <c r="Z521" i="41"/>
  <c r="AA523" i="41"/>
  <c r="K518" i="41"/>
  <c r="G523" i="41"/>
  <c r="P517" i="41"/>
  <c r="G516" i="41"/>
  <c r="F505" i="41"/>
  <c r="U519" i="41"/>
  <c r="B37" i="41"/>
  <c r="B38" i="41" s="1"/>
  <c r="AC510" i="41"/>
  <c r="J511" i="41"/>
  <c r="P509" i="41"/>
  <c r="K517" i="41"/>
  <c r="M521" i="41"/>
  <c r="J517" i="41"/>
  <c r="AC519" i="41"/>
  <c r="Q516" i="41"/>
  <c r="Y517" i="41"/>
  <c r="H517" i="41"/>
  <c r="AA519" i="41"/>
  <c r="Q508" i="41"/>
  <c r="L510" i="41"/>
  <c r="AE518" i="41"/>
  <c r="E511" i="41"/>
  <c r="J510" i="41"/>
  <c r="R507" i="41"/>
  <c r="O522" i="41"/>
  <c r="H508" i="41"/>
  <c r="N505" i="41"/>
  <c r="AC514" i="41"/>
  <c r="N519" i="41"/>
  <c r="Q524" i="41"/>
  <c r="I510" i="41"/>
  <c r="W506" i="41"/>
  <c r="AF507" i="41"/>
  <c r="S516" i="41"/>
  <c r="M516" i="41"/>
  <c r="R516" i="41"/>
  <c r="I514" i="41"/>
  <c r="Y515" i="41"/>
  <c r="Y512" i="41"/>
  <c r="P516" i="41"/>
  <c r="AA509" i="41"/>
  <c r="AA512" i="41"/>
  <c r="S510" i="41"/>
  <c r="Z512" i="41"/>
  <c r="X517" i="41"/>
  <c r="AA524" i="41"/>
  <c r="V517" i="41"/>
  <c r="U512" i="41"/>
  <c r="AF505" i="41"/>
  <c r="AB511" i="41"/>
  <c r="F506" i="41"/>
  <c r="Q507" i="41"/>
  <c r="Z508" i="41"/>
  <c r="M510" i="41"/>
  <c r="AF515" i="41"/>
  <c r="F520" i="41"/>
  <c r="U518" i="41"/>
  <c r="Y523" i="41"/>
  <c r="Q509" i="41"/>
  <c r="P524" i="41"/>
  <c r="T506" i="41"/>
  <c r="AA515" i="41"/>
  <c r="M511" i="41"/>
  <c r="Z515" i="41"/>
  <c r="I509" i="41"/>
  <c r="E515" i="41"/>
  <c r="E507" i="41"/>
  <c r="X515" i="41"/>
  <c r="F514" i="41"/>
  <c r="G512" i="41"/>
  <c r="N513" i="41"/>
  <c r="F512" i="41"/>
  <c r="X512" i="41"/>
  <c r="G524" i="41"/>
  <c r="Z509" i="41"/>
  <c r="AC511" i="41"/>
  <c r="S509" i="41"/>
  <c r="H511" i="41"/>
  <c r="AC518" i="41"/>
  <c r="S517" i="41"/>
  <c r="Z516" i="41"/>
  <c r="Q517" i="41"/>
  <c r="R519" i="41"/>
  <c r="K520" i="41"/>
  <c r="AB523" i="41"/>
  <c r="I516" i="41"/>
  <c r="AB509" i="41"/>
  <c r="G521" i="41"/>
  <c r="E523" i="41"/>
  <c r="Y508" i="41"/>
  <c r="X523" i="41"/>
  <c r="H505" i="41"/>
  <c r="G515" i="41"/>
  <c r="U505" i="41"/>
  <c r="F515" i="41"/>
  <c r="P518" i="41"/>
  <c r="M514" i="41"/>
  <c r="T515" i="41"/>
  <c r="AF514" i="41"/>
  <c r="J506" i="41"/>
  <c r="O511" i="41"/>
  <c r="R505" i="41"/>
  <c r="V510" i="41"/>
  <c r="T505" i="41"/>
  <c r="O523" i="41"/>
  <c r="G508" i="41"/>
  <c r="I511" i="41"/>
  <c r="X524" i="41"/>
  <c r="P510" i="41"/>
  <c r="M515" i="41"/>
  <c r="AA516" i="41"/>
  <c r="V514" i="41"/>
  <c r="AC513" i="41"/>
  <c r="P512" i="41"/>
  <c r="F518" i="41"/>
  <c r="T524" i="41"/>
  <c r="Z505" i="41"/>
  <c r="R524" i="41"/>
  <c r="Q515" i="41"/>
  <c r="M522" i="41"/>
  <c r="E508" i="41"/>
  <c r="AF522" i="41"/>
  <c r="AF516" i="41"/>
  <c r="O514" i="41"/>
  <c r="H514" i="41"/>
  <c r="N514" i="41"/>
  <c r="T510" i="41"/>
  <c r="U513" i="41"/>
  <c r="P508" i="41"/>
  <c r="L514" i="41"/>
  <c r="AE524" i="41"/>
  <c r="W510" i="41"/>
  <c r="AD524" i="41"/>
  <c r="R508" i="41"/>
  <c r="O513" i="41"/>
  <c r="W522" i="41"/>
  <c r="Y524" i="41"/>
  <c r="Q510" i="41"/>
  <c r="AF523" i="41"/>
  <c r="X509" i="41"/>
  <c r="Q512" i="41"/>
  <c r="Z511" i="41"/>
  <c r="AF510" i="41"/>
  <c r="O516" i="41"/>
  <c r="AF512" i="41"/>
  <c r="J518" i="41"/>
  <c r="U521" i="41"/>
  <c r="M507" i="41"/>
  <c r="L522" i="41"/>
  <c r="H509" i="41"/>
  <c r="W513" i="41"/>
  <c r="L506" i="41"/>
  <c r="V513" i="41"/>
  <c r="O518" i="41"/>
  <c r="AC512" i="41"/>
  <c r="K516" i="41"/>
  <c r="T513" i="41"/>
  <c r="K524" i="41"/>
  <c r="AE509" i="41"/>
  <c r="J524" i="41"/>
  <c r="E522" i="41"/>
  <c r="K511" i="41"/>
  <c r="AE521" i="41"/>
  <c r="E524" i="41"/>
  <c r="Y509" i="41"/>
  <c r="L523" i="41"/>
  <c r="AF508" i="41"/>
  <c r="AC508" i="41"/>
  <c r="O515" i="41"/>
  <c r="J508" i="41"/>
  <c r="Y506" i="41"/>
  <c r="AA513" i="41"/>
  <c r="V516" i="41"/>
  <c r="AA518" i="41"/>
  <c r="AD521" i="41"/>
  <c r="AC520" i="41"/>
  <c r="U506" i="41"/>
  <c r="T521" i="41"/>
  <c r="W517" i="41"/>
  <c r="AE512" i="41"/>
  <c r="G514" i="41"/>
  <c r="AD512" i="41"/>
  <c r="AE511" i="41"/>
  <c r="I512" i="41"/>
  <c r="O508" i="41"/>
  <c r="AB512" i="41"/>
  <c r="S523" i="41"/>
  <c r="K509" i="41"/>
  <c r="R523" i="41"/>
  <c r="E517" i="41"/>
  <c r="AD516" i="41"/>
  <c r="K521" i="41"/>
  <c r="M523" i="41"/>
  <c r="E509" i="41"/>
  <c r="T522" i="41"/>
  <c r="L508" i="41"/>
  <c r="E506" i="41"/>
  <c r="W514" i="41"/>
  <c r="AD515" i="41"/>
  <c r="E505" i="41"/>
  <c r="U510" i="41"/>
  <c r="I520" i="41"/>
  <c r="AC505" i="41"/>
  <c r="AB520" i="41"/>
  <c r="AE506" i="41"/>
  <c r="K512" i="41"/>
  <c r="K506" i="41"/>
  <c r="J512" i="41"/>
  <c r="Z514" i="41"/>
  <c r="Q511" i="41"/>
  <c r="R515" i="41"/>
  <c r="H512" i="41"/>
  <c r="AA522" i="41"/>
  <c r="S508" i="41"/>
  <c r="Z522" i="41"/>
  <c r="E512" i="41"/>
  <c r="N508" i="41"/>
  <c r="S520" i="41"/>
  <c r="U522" i="41"/>
  <c r="M508" i="41"/>
  <c r="AB521" i="41"/>
  <c r="T507" i="41"/>
  <c r="X516" i="41"/>
  <c r="AE513" i="41"/>
  <c r="E516" i="41"/>
  <c r="I524" i="41"/>
  <c r="W515" i="41"/>
  <c r="Q519" i="41"/>
  <c r="I505" i="41"/>
  <c r="H520" i="41"/>
  <c r="R510" i="41"/>
  <c r="S511" i="41"/>
  <c r="AD511" i="41"/>
  <c r="R511" i="41"/>
  <c r="AA508" i="41"/>
  <c r="Y510" i="41"/>
  <c r="AD506" i="41"/>
  <c r="P511" i="41"/>
  <c r="G522" i="41"/>
  <c r="AA507" i="41"/>
  <c r="F522" i="41"/>
  <c r="M506" i="41"/>
  <c r="AB524" i="41"/>
  <c r="W512" i="41"/>
  <c r="AC521" i="41"/>
  <c r="U507" i="41"/>
  <c r="H521" i="41"/>
  <c r="AB506" i="41"/>
  <c r="H513" i="41"/>
  <c r="K513" i="41"/>
  <c r="Y511" i="41"/>
  <c r="X506" i="41"/>
  <c r="H523" i="41"/>
  <c r="G518" i="41"/>
  <c r="F523" i="41"/>
  <c r="AF519" i="41"/>
  <c r="N520" i="41"/>
  <c r="V515" i="41"/>
  <c r="Y518" i="41"/>
  <c r="X513" i="41"/>
  <c r="P519" i="41"/>
  <c r="O507" i="41"/>
  <c r="AA510" i="41"/>
  <c r="AE510" i="41"/>
  <c r="Z510" i="41"/>
  <c r="M524" i="41"/>
  <c r="E510" i="41"/>
  <c r="AF524" i="41"/>
  <c r="X510" i="41"/>
  <c r="O521" i="41"/>
  <c r="G507" i="41"/>
  <c r="N521" i="41"/>
  <c r="AB514" i="41"/>
  <c r="H524" i="41"/>
  <c r="N518" i="41"/>
  <c r="I521" i="41"/>
  <c r="AC506" i="41"/>
  <c r="P520" i="41"/>
  <c r="H506" i="41"/>
  <c r="AB508" i="41"/>
  <c r="S512" i="41"/>
  <c r="I508" i="41"/>
  <c r="W511" i="41"/>
  <c r="P522" i="41"/>
  <c r="O517" i="41"/>
  <c r="R514" i="41"/>
  <c r="L516" i="41"/>
  <c r="I513" i="41"/>
  <c r="L519" i="41"/>
  <c r="AD520" i="41"/>
  <c r="E518" i="41"/>
  <c r="T511" i="41"/>
  <c r="X518" i="41"/>
  <c r="O524" i="41"/>
  <c r="G510" i="41"/>
  <c r="N524" i="41"/>
  <c r="F510" i="41"/>
  <c r="U523" i="41"/>
  <c r="M509" i="41"/>
  <c r="L524" i="41"/>
  <c r="AF509" i="41"/>
  <c r="W520" i="41"/>
  <c r="O506" i="41"/>
  <c r="V520" i="41"/>
  <c r="AF506" i="41"/>
  <c r="P523" i="41"/>
  <c r="F509" i="41"/>
  <c r="Q520" i="41"/>
  <c r="I506" i="41"/>
  <c r="X519" i="41"/>
  <c r="P505" i="41"/>
  <c r="L505" i="41"/>
  <c r="AA511" i="41"/>
  <c r="H518" i="41"/>
  <c r="U524" i="41"/>
  <c r="X521" i="41"/>
  <c r="W516" i="41"/>
  <c r="F513" i="41"/>
  <c r="AA505" i="41"/>
  <c r="S507" i="41"/>
  <c r="J521" i="41"/>
  <c r="M517" i="41"/>
  <c r="H510" i="41"/>
  <c r="AF517" i="41"/>
  <c r="W523" i="41"/>
  <c r="O509" i="41"/>
  <c r="V523" i="41"/>
  <c r="N509" i="41"/>
  <c r="AC522" i="41"/>
  <c r="U508" i="41"/>
  <c r="T523" i="41"/>
  <c r="L509" i="41"/>
  <c r="AE519" i="41"/>
  <c r="W505" i="41"/>
  <c r="AD519" i="41"/>
  <c r="AA514" i="41"/>
  <c r="X522" i="41"/>
  <c r="AE505" i="41"/>
  <c r="Y519" i="41"/>
  <c r="Q505" i="41"/>
  <c r="AF518" i="41"/>
  <c r="O505" i="41"/>
  <c r="O512" i="41"/>
  <c r="G511" i="41"/>
  <c r="AB513" i="41"/>
  <c r="AC523" i="41"/>
  <c r="AF520" i="41"/>
  <c r="AE515" i="41"/>
  <c r="Z523" i="41"/>
  <c r="X507" i="41"/>
  <c r="N515" i="41"/>
  <c r="U516" i="41"/>
  <c r="X508" i="41"/>
  <c r="L517" i="41"/>
  <c r="AE522" i="41"/>
  <c r="W508" i="41"/>
  <c r="AD522" i="41"/>
  <c r="V508" i="41"/>
  <c r="I522" i="41"/>
  <c r="AC507" i="41"/>
  <c r="AB522" i="41"/>
  <c r="T508" i="41"/>
  <c r="K519" i="41"/>
  <c r="N511" i="41"/>
  <c r="J519" i="41"/>
  <c r="S505" i="41"/>
  <c r="AF521" i="41"/>
  <c r="Z524" i="41"/>
  <c r="E519" i="41"/>
  <c r="J513" i="41"/>
  <c r="L518" i="41"/>
  <c r="V524" i="41"/>
  <c r="W524" i="41"/>
  <c r="O510" i="41"/>
  <c r="T509" i="41"/>
  <c r="I523" i="41"/>
  <c r="L520" i="41"/>
  <c r="S514" i="41"/>
  <c r="Z513" i="41"/>
  <c r="Y513" i="41"/>
  <c r="U515" i="41"/>
  <c r="X511" i="41"/>
  <c r="G505" i="41"/>
  <c r="AA506" i="41"/>
  <c r="AC515" i="41"/>
  <c r="L507" i="41"/>
  <c r="T516" i="41"/>
  <c r="K522" i="41"/>
  <c r="AE507" i="41"/>
  <c r="J522" i="41"/>
  <c r="AD507" i="41"/>
  <c r="Q521" i="41"/>
  <c r="I507" i="41"/>
  <c r="H522" i="41"/>
  <c r="H507" i="41"/>
  <c r="S518" i="41"/>
  <c r="J509" i="41"/>
  <c r="R518" i="41"/>
  <c r="V512" i="41"/>
  <c r="L521" i="41"/>
  <c r="F524" i="41"/>
  <c r="M518" i="41"/>
  <c r="V509" i="41"/>
  <c r="T517" i="41"/>
  <c r="R522" i="41"/>
  <c r="AE523" i="41"/>
  <c r="W509" i="41"/>
  <c r="K515" i="41"/>
  <c r="Q522" i="41"/>
  <c r="T519" i="41"/>
  <c r="V521" i="41"/>
  <c r="F508" i="41"/>
  <c r="P514" i="41"/>
  <c r="P515" i="41"/>
  <c r="E513" i="41"/>
  <c r="S515" i="41"/>
  <c r="I515" i="41"/>
  <c r="AB505" i="41"/>
  <c r="AB515" i="41"/>
  <c r="S521" i="41"/>
  <c r="K507" i="41"/>
  <c r="R521" i="41"/>
  <c r="J507" i="41"/>
  <c r="Y520" i="41"/>
  <c r="Q506" i="41"/>
  <c r="P521" i="41"/>
  <c r="Z507" i="41"/>
  <c r="AA517" i="41"/>
  <c r="V505" i="41"/>
  <c r="Z517" i="41"/>
  <c r="K510" i="41"/>
  <c r="T520" i="41"/>
  <c r="N523" i="41"/>
  <c r="U517" i="41"/>
  <c r="Z506" i="41"/>
  <c r="AB516" i="41"/>
  <c r="F521" i="41"/>
  <c r="K523" i="41"/>
  <c r="AE508" i="41"/>
  <c r="K505" i="41"/>
  <c r="Y521" i="41"/>
  <c r="AB518" i="41"/>
  <c r="N507" i="41"/>
  <c r="N512" i="41"/>
  <c r="G520" i="41"/>
  <c r="R517" i="41"/>
  <c r="AC509" i="41"/>
  <c r="P507" i="41"/>
  <c r="Q514" i="41"/>
  <c r="Y507" i="41"/>
  <c r="H515" i="41"/>
  <c r="AA520" i="41"/>
  <c r="S506" i="41"/>
  <c r="Z520" i="41"/>
  <c r="R506" i="41"/>
  <c r="E520" i="41"/>
  <c r="Y505" i="41"/>
  <c r="X520" i="41"/>
  <c r="U520" i="41"/>
  <c r="G517" i="41"/>
  <c r="I519" i="41"/>
  <c r="F517" i="41"/>
  <c r="AC524" i="41"/>
  <c r="P513" i="41"/>
  <c r="V522" i="41"/>
  <c r="AC516" i="41"/>
  <c r="Y516" i="41"/>
  <c r="H516" i="41"/>
  <c r="V519" i="41"/>
  <c r="S522" i="41"/>
  <c r="K508" i="41"/>
  <c r="AD523" i="41"/>
  <c r="E521" i="41"/>
  <c r="L515" i="41"/>
  <c r="J520" i="41"/>
  <c r="AD510" i="41"/>
  <c r="N516" i="41"/>
  <c r="N517" i="41"/>
  <c r="U509" i="41"/>
  <c r="M519" i="41"/>
  <c r="M520" i="41"/>
  <c r="AB507" i="41"/>
  <c r="R509" i="41"/>
  <c r="Y522" i="41"/>
  <c r="AG218" i="62" a="1"/>
  <c r="AG218" i="62" s="1"/>
  <c r="AG219" i="62" s="1"/>
  <c r="X362" i="62" a="1"/>
  <c r="X362" i="62" s="1"/>
  <c r="X363" i="62" s="1"/>
  <c r="AL317" i="62" a="1"/>
  <c r="AL317" i="62" s="1"/>
  <c r="AL318" i="62" s="1"/>
  <c r="AB164" i="62" a="1"/>
  <c r="AB164" i="62" s="1"/>
  <c r="AB165" i="62" s="1"/>
  <c r="AH218" i="62" a="1"/>
  <c r="AH218" i="62" s="1"/>
  <c r="AH219" i="62" s="1"/>
  <c r="AD164" i="62" a="1"/>
  <c r="AD164" i="62" s="1"/>
  <c r="AD165" i="62" s="1"/>
  <c r="L21" i="62"/>
  <c r="M362" i="62" a="1"/>
  <c r="M362" i="62" s="1"/>
  <c r="M363" i="62" s="1"/>
  <c r="AC218" i="62" a="1"/>
  <c r="AC218" i="62" s="1"/>
  <c r="AC219" i="62" s="1"/>
  <c r="W362" i="62" a="1"/>
  <c r="W362" i="62" s="1"/>
  <c r="W363" i="62" s="1"/>
  <c r="L362" i="62" a="1"/>
  <c r="L362" i="62" s="1"/>
  <c r="L363" i="62" s="1"/>
  <c r="R119" i="62" a="1"/>
  <c r="R119" i="62" s="1"/>
  <c r="R120" i="62" s="1"/>
  <c r="X119" i="62" a="1"/>
  <c r="X119" i="62" s="1"/>
  <c r="X120" i="62" s="1"/>
  <c r="AJ119" i="62" a="1"/>
  <c r="AJ119" i="62" s="1"/>
  <c r="AJ120" i="62" s="1"/>
  <c r="T317" i="62" a="1"/>
  <c r="T317" i="62" s="1"/>
  <c r="T318" i="62" s="1"/>
  <c r="W218" i="62" a="1"/>
  <c r="W218" i="62" s="1"/>
  <c r="W219" i="62" s="1"/>
  <c r="AA362" i="62" a="1"/>
  <c r="AA362" i="62" s="1"/>
  <c r="AA363" i="62" s="1"/>
  <c r="AG65" i="62" a="1"/>
  <c r="AG65" i="62" s="1"/>
  <c r="AG66" i="62" s="1"/>
  <c r="AC65" i="62" a="1"/>
  <c r="AC65" i="62" s="1"/>
  <c r="AC66" i="62" s="1"/>
  <c r="AF65" i="62" a="1"/>
  <c r="AF65" i="62" s="1"/>
  <c r="AF66" i="62" s="1"/>
  <c r="R218" i="62" a="1"/>
  <c r="R218" i="62" s="1"/>
  <c r="R219" i="62" s="1"/>
  <c r="X317" i="62" a="1"/>
  <c r="X317" i="62" s="1"/>
  <c r="X318" i="62" s="1"/>
  <c r="AJ317" i="62" a="1"/>
  <c r="AJ317" i="62" s="1"/>
  <c r="AJ318" i="62" s="1"/>
  <c r="T218" i="62" a="1"/>
  <c r="T218" i="62" s="1"/>
  <c r="T219" i="62" s="1"/>
  <c r="AD317" i="62" a="1"/>
  <c r="AD317" i="62" s="1"/>
  <c r="AD318" i="62" s="1"/>
  <c r="O119" i="62" a="1"/>
  <c r="O119" i="62" s="1"/>
  <c r="O120" i="62" s="1"/>
  <c r="AA65" i="62" a="1"/>
  <c r="AA65" i="62" s="1"/>
  <c r="AA66" i="62" s="1"/>
  <c r="AG164" i="62" a="1"/>
  <c r="AG164" i="62" s="1"/>
  <c r="AG165" i="62" s="1"/>
  <c r="AC164" i="62" a="1"/>
  <c r="AC164" i="62" s="1"/>
  <c r="AC165" i="62" s="1"/>
  <c r="AF164" i="62" a="1"/>
  <c r="AF164" i="62" s="1"/>
  <c r="AF165" i="62" s="1"/>
  <c r="AJ218" i="62" a="1"/>
  <c r="AJ218" i="62" s="1"/>
  <c r="AJ219" i="62" s="1"/>
  <c r="W317" i="62" a="1"/>
  <c r="W317" i="62" s="1"/>
  <c r="W318" i="62" s="1"/>
  <c r="AD119" i="62" a="1"/>
  <c r="AD119" i="62" s="1"/>
  <c r="AD120" i="62" s="1"/>
  <c r="O218" i="62" a="1"/>
  <c r="O218" i="62" s="1"/>
  <c r="O219" i="62" s="1"/>
  <c r="AA164" i="62" a="1"/>
  <c r="AA164" i="62" s="1"/>
  <c r="AA165" i="62" s="1"/>
  <c r="AG263" i="62" a="1"/>
  <c r="AG263" i="62" s="1"/>
  <c r="AG264" i="62" s="1"/>
  <c r="AC263" i="62" a="1"/>
  <c r="AC263" i="62" s="1"/>
  <c r="AC264" i="62" s="1"/>
  <c r="AF263" i="62" a="1"/>
  <c r="AF263" i="62" s="1"/>
  <c r="AF264" i="62" s="1"/>
  <c r="R317" i="62" a="1"/>
  <c r="R317" i="62" s="1"/>
  <c r="R318" i="62" s="1"/>
  <c r="X218" i="62" a="1"/>
  <c r="X218" i="62" s="1"/>
  <c r="X219" i="62" s="1"/>
  <c r="T119" i="62" a="1"/>
  <c r="T119" i="62" s="1"/>
  <c r="T120" i="62" s="1"/>
  <c r="W119" i="62" a="1"/>
  <c r="W119" i="62" s="1"/>
  <c r="W120" i="62" s="1"/>
  <c r="AD218" i="62" a="1"/>
  <c r="AD218" i="62" s="1"/>
  <c r="AD219" i="62" s="1"/>
  <c r="O317" i="62" a="1"/>
  <c r="O317" i="62" s="1"/>
  <c r="O318" i="62" s="1"/>
  <c r="AA263" i="62" a="1"/>
  <c r="AA263" i="62" s="1"/>
  <c r="AA264" i="62" s="1"/>
  <c r="AG362" i="62" a="1"/>
  <c r="AG362" i="62" s="1"/>
  <c r="AG363" i="62" s="1"/>
  <c r="AC362" i="62" a="1"/>
  <c r="AC362" i="62" s="1"/>
  <c r="AC363" i="62" s="1"/>
  <c r="AF362" i="62" a="1"/>
  <c r="AF362" i="62" s="1"/>
  <c r="AF363" i="62" s="1"/>
  <c r="P218" i="62" a="1"/>
  <c r="P218" i="62" s="1"/>
  <c r="P219" i="62" s="1"/>
  <c r="R65" i="62" a="1"/>
  <c r="R65" i="62" s="1"/>
  <c r="R66" i="62" s="1"/>
  <c r="AL65" i="62" a="1"/>
  <c r="AL65" i="62" s="1"/>
  <c r="AL66" i="62" s="1"/>
  <c r="U218" i="62" a="1"/>
  <c r="U218" i="62" s="1"/>
  <c r="U219" i="62" s="1"/>
  <c r="AA119" i="62" a="1"/>
  <c r="AA119" i="62" s="1"/>
  <c r="AA120" i="62" s="1"/>
  <c r="T65" i="62" a="1"/>
  <c r="T65" i="62" s="1"/>
  <c r="T66" i="62" s="1"/>
  <c r="V218" i="62" a="1"/>
  <c r="V218" i="62" s="1"/>
  <c r="V219" i="62" s="1"/>
  <c r="Q65" i="62" a="1"/>
  <c r="Q65" i="62" s="1"/>
  <c r="Q66" i="62" s="1"/>
  <c r="AI119" i="62" a="1"/>
  <c r="AI119" i="62" s="1"/>
  <c r="AI120" i="62" s="1"/>
  <c r="K65" i="62" a="1"/>
  <c r="K65" i="62" s="1"/>
  <c r="K66" i="62" s="1"/>
  <c r="AJ362" i="62" a="1"/>
  <c r="AJ362" i="62" s="1"/>
  <c r="AJ363" i="62" s="1"/>
  <c r="R164" i="62" a="1"/>
  <c r="R164" i="62" s="1"/>
  <c r="R165" i="62" s="1"/>
  <c r="AL263" i="62" a="1"/>
  <c r="AL263" i="62" s="1"/>
  <c r="AL264" i="62" s="1"/>
  <c r="AA317" i="62" a="1"/>
  <c r="AA317" i="62" s="1"/>
  <c r="AA318" i="62" s="1"/>
  <c r="N119" i="62" a="1"/>
  <c r="N119" i="62" s="1"/>
  <c r="N120" i="62" s="1"/>
  <c r="T362" i="62" a="1"/>
  <c r="T362" i="62" s="1"/>
  <c r="T363" i="62" s="1"/>
  <c r="Q164" i="62" a="1"/>
  <c r="Q164" i="62" s="1"/>
  <c r="Q165" i="62" s="1"/>
  <c r="K362" i="62" a="1"/>
  <c r="K362" i="62" s="1"/>
  <c r="K363" i="62" s="1"/>
  <c r="AJ263" i="62" a="1"/>
  <c r="AJ263" i="62" s="1"/>
  <c r="AJ264" i="62" s="1"/>
  <c r="P317" i="62" a="1"/>
  <c r="P317" i="62" s="1"/>
  <c r="P318" i="62" s="1"/>
  <c r="R263" i="62" a="1"/>
  <c r="R263" i="62" s="1"/>
  <c r="R264" i="62" s="1"/>
  <c r="AL164" i="62" a="1"/>
  <c r="AL164" i="62" s="1"/>
  <c r="AL165" i="62" s="1"/>
  <c r="U119" i="62" a="1"/>
  <c r="U119" i="62" s="1"/>
  <c r="U120" i="62" s="1"/>
  <c r="N218" i="62" a="1"/>
  <c r="N218" i="62" s="1"/>
  <c r="N219" i="62" s="1"/>
  <c r="T164" i="62" a="1"/>
  <c r="T164" i="62" s="1"/>
  <c r="T165" i="62" s="1"/>
  <c r="V317" i="62" a="1"/>
  <c r="V317" i="62" s="1"/>
  <c r="V318" i="62" s="1"/>
  <c r="Q263" i="62" a="1"/>
  <c r="Q263" i="62" s="1"/>
  <c r="Q264" i="62" s="1"/>
  <c r="AI317" i="62" a="1"/>
  <c r="AI317" i="62" s="1"/>
  <c r="AI318" i="62" s="1"/>
  <c r="K164" i="62" a="1"/>
  <c r="K164" i="62" s="1"/>
  <c r="K165" i="62" s="1"/>
  <c r="AJ65" i="62" a="1"/>
  <c r="AJ65" i="62" s="1"/>
  <c r="AJ66" i="62" s="1"/>
  <c r="S65" i="62" a="1"/>
  <c r="S65" i="62" s="1"/>
  <c r="S66" i="62" s="1"/>
  <c r="P119" i="62" a="1"/>
  <c r="P119" i="62" s="1"/>
  <c r="P120" i="62" s="1"/>
  <c r="R362" i="62" a="1"/>
  <c r="R362" i="62" s="1"/>
  <c r="R363" i="62" s="1"/>
  <c r="AL362" i="62" a="1"/>
  <c r="AL362" i="62" s="1"/>
  <c r="AL363" i="62" s="1"/>
  <c r="U317" i="62" a="1"/>
  <c r="U317" i="62" s="1"/>
  <c r="U318" i="62" s="1"/>
  <c r="AA218" i="62" a="1"/>
  <c r="AA218" i="62" s="1"/>
  <c r="AA219" i="62" s="1"/>
  <c r="N317" i="62" a="1"/>
  <c r="N317" i="62" s="1"/>
  <c r="N318" i="62" s="1"/>
  <c r="T263" i="62" a="1"/>
  <c r="T263" i="62" s="1"/>
  <c r="T264" i="62" s="1"/>
  <c r="V119" i="62" a="1"/>
  <c r="V119" i="62" s="1"/>
  <c r="V120" i="62" s="1"/>
  <c r="Q362" i="62" a="1"/>
  <c r="Q362" i="62" s="1"/>
  <c r="Q363" i="62" s="1"/>
  <c r="AI218" i="62" a="1"/>
  <c r="AI218" i="62" s="1"/>
  <c r="AI219" i="62" s="1"/>
  <c r="K263" i="62" a="1"/>
  <c r="K263" i="62" s="1"/>
  <c r="K264" i="62" s="1"/>
  <c r="AJ164" i="62" a="1"/>
  <c r="AJ164" i="62" s="1"/>
  <c r="AJ165" i="62" s="1"/>
  <c r="B2" i="54"/>
  <c r="A10" i="54"/>
  <c r="A38" i="54" s="1"/>
  <c r="I233" i="71" l="1"/>
  <c r="O26" i="73" s="1"/>
  <c r="I239" i="71"/>
  <c r="O45" i="73" s="1"/>
  <c r="AE233" i="71"/>
  <c r="AK26" i="73" s="1"/>
  <c r="AE239" i="71"/>
  <c r="AK45" i="73" s="1"/>
  <c r="AA233" i="71"/>
  <c r="AG26" i="73" s="1"/>
  <c r="AA239" i="71"/>
  <c r="AG45" i="73" s="1"/>
  <c r="K239" i="71"/>
  <c r="Q45" i="73" s="1"/>
  <c r="K233" i="71"/>
  <c r="Q26" i="73" s="1"/>
  <c r="G233" i="71"/>
  <c r="M26" i="73" s="1"/>
  <c r="G239" i="71"/>
  <c r="M45" i="73" s="1"/>
  <c r="V233" i="71"/>
  <c r="AB26" i="73" s="1"/>
  <c r="V239" i="71"/>
  <c r="AB45" i="73" s="1"/>
  <c r="O233" i="71"/>
  <c r="U26" i="73" s="1"/>
  <c r="O239" i="71"/>
  <c r="U45" i="73" s="1"/>
  <c r="X239" i="71"/>
  <c r="AD45" i="73" s="1"/>
  <c r="X233" i="71"/>
  <c r="AD26" i="73" s="1"/>
  <c r="AC239" i="71"/>
  <c r="AI45" i="73" s="1"/>
  <c r="AC233" i="71"/>
  <c r="AI26" i="73" s="1"/>
  <c r="N239" i="71"/>
  <c r="T45" i="73" s="1"/>
  <c r="N233" i="71"/>
  <c r="T26" i="73" s="1"/>
  <c r="M233" i="71"/>
  <c r="S26" i="73" s="1"/>
  <c r="M239" i="71"/>
  <c r="S45" i="73" s="1"/>
  <c r="S233" i="71"/>
  <c r="Y26" i="73" s="1"/>
  <c r="S239" i="71"/>
  <c r="Y45" i="73" s="1"/>
  <c r="E233" i="71"/>
  <c r="K26" i="73" s="1"/>
  <c r="E239" i="71"/>
  <c r="K45" i="73" s="1"/>
  <c r="Z233" i="71"/>
  <c r="AF26" i="73" s="1"/>
  <c r="Z239" i="71"/>
  <c r="AF45" i="73" s="1"/>
  <c r="F239" i="71"/>
  <c r="L45" i="73" s="1"/>
  <c r="F233" i="71"/>
  <c r="L26" i="73" s="1"/>
  <c r="U233" i="71"/>
  <c r="AA26" i="73" s="1"/>
  <c r="U239" i="71"/>
  <c r="AA45" i="73" s="1"/>
  <c r="P239" i="71"/>
  <c r="V45" i="73" s="1"/>
  <c r="P233" i="71"/>
  <c r="V26" i="73" s="1"/>
  <c r="AF233" i="71"/>
  <c r="AL26" i="73" s="1"/>
  <c r="AF239" i="71"/>
  <c r="AL45" i="73" s="1"/>
  <c r="AB239" i="71"/>
  <c r="AH45" i="73" s="1"/>
  <c r="AB233" i="71"/>
  <c r="AH26" i="73" s="1"/>
  <c r="W239" i="71"/>
  <c r="AC45" i="73" s="1"/>
  <c r="W233" i="71"/>
  <c r="AC26" i="73" s="1"/>
  <c r="L239" i="71"/>
  <c r="R45" i="73" s="1"/>
  <c r="L233" i="71"/>
  <c r="R26" i="73" s="1"/>
  <c r="H233" i="71"/>
  <c r="N26" i="73" s="1"/>
  <c r="H239" i="71"/>
  <c r="N45" i="73" s="1"/>
  <c r="R239" i="71"/>
  <c r="X45" i="73" s="1"/>
  <c r="R233" i="71"/>
  <c r="X26" i="73" s="1"/>
  <c r="AD233" i="71"/>
  <c r="AJ26" i="73" s="1"/>
  <c r="AD239" i="71"/>
  <c r="AJ45" i="73" s="1"/>
  <c r="J233" i="71"/>
  <c r="P26" i="73" s="1"/>
  <c r="J239" i="71"/>
  <c r="P45" i="73" s="1"/>
  <c r="Y239" i="71"/>
  <c r="AE45" i="73" s="1"/>
  <c r="Y233" i="71"/>
  <c r="AE26" i="73" s="1"/>
  <c r="T239" i="71"/>
  <c r="Z45" i="73" s="1"/>
  <c r="T233" i="71"/>
  <c r="Z26" i="73" s="1"/>
  <c r="Q233" i="71"/>
  <c r="W26" i="73" s="1"/>
  <c r="Q239" i="71"/>
  <c r="W45" i="73" s="1"/>
  <c r="V37" i="58"/>
  <c r="V198" i="58" s="1"/>
  <c r="R39" i="58"/>
  <c r="AA40" i="58"/>
  <c r="AA201" i="58" s="1"/>
  <c r="N39" i="58"/>
  <c r="N200" i="58" s="1"/>
  <c r="W38" i="58"/>
  <c r="W199" i="58" s="1"/>
  <c r="AI34" i="58"/>
  <c r="T36" i="58"/>
  <c r="T197" i="58" s="1"/>
  <c r="Z40" i="58"/>
  <c r="Z201" i="58" s="1"/>
  <c r="AG33" i="58"/>
  <c r="AG194" i="58" s="1"/>
  <c r="M35" i="58"/>
  <c r="AL40" i="58"/>
  <c r="AL201" i="58" s="1"/>
  <c r="AB42" i="58"/>
  <c r="AB203" i="58" s="1"/>
  <c r="AC36" i="58"/>
  <c r="AC197" i="58" s="1"/>
  <c r="AH42" i="58"/>
  <c r="AH203" i="58" s="1"/>
  <c r="O36" i="58"/>
  <c r="O197" i="58" s="1"/>
  <c r="Q42" i="58"/>
  <c r="AF39" i="58"/>
  <c r="AF200" i="58" s="1"/>
  <c r="AJ37" i="58"/>
  <c r="AJ198" i="58" s="1"/>
  <c r="S36" i="58"/>
  <c r="S197" i="58" s="1"/>
  <c r="L40" i="58"/>
  <c r="L201" i="58" s="1"/>
  <c r="AD35" i="58"/>
  <c r="AD196" i="58" s="1"/>
  <c r="AK37" i="58"/>
  <c r="AK198" i="58" s="1"/>
  <c r="T35" i="58"/>
  <c r="T196" i="58" s="1"/>
  <c r="AE42" i="58"/>
  <c r="AE203" i="58" s="1"/>
  <c r="Z193" i="58"/>
  <c r="K38" i="58"/>
  <c r="U38" i="58"/>
  <c r="U199" i="58" s="1"/>
  <c r="AF36" i="58"/>
  <c r="AF197" i="58" s="1"/>
  <c r="X34" i="58"/>
  <c r="X195" i="58" s="1"/>
  <c r="AB34" i="58"/>
  <c r="AB195" i="58" s="1"/>
  <c r="Q41" i="58"/>
  <c r="U36" i="58"/>
  <c r="U197" i="58" s="1"/>
  <c r="U33" i="58"/>
  <c r="U194" i="58" s="1"/>
  <c r="AC35" i="58"/>
  <c r="AC196" i="58" s="1"/>
  <c r="AK35" i="58"/>
  <c r="AK196" i="58" s="1"/>
  <c r="X41" i="58"/>
  <c r="X202" i="58" s="1"/>
  <c r="S35" i="58"/>
  <c r="S196" i="58" s="1"/>
  <c r="V40" i="58"/>
  <c r="V201" i="58" s="1"/>
  <c r="AF41" i="58"/>
  <c r="AF202" i="58" s="1"/>
  <c r="P39" i="58"/>
  <c r="P200" i="58" s="1"/>
  <c r="AL37" i="58"/>
  <c r="AL198" i="58" s="1"/>
  <c r="X193" i="58"/>
  <c r="W40" i="58"/>
  <c r="W201" i="58" s="1"/>
  <c r="AG39" i="58"/>
  <c r="AG200" i="58" s="1"/>
  <c r="AG36" i="58"/>
  <c r="AG197" i="58" s="1"/>
  <c r="K35" i="58"/>
  <c r="Y41" i="58"/>
  <c r="Y202" i="58" s="1"/>
  <c r="S193" i="58"/>
  <c r="S42" i="58"/>
  <c r="S203" i="58" s="1"/>
  <c r="O41" i="58"/>
  <c r="O202" i="58" s="1"/>
  <c r="AA39" i="58"/>
  <c r="AA200" i="58" s="1"/>
  <c r="AL34" i="58"/>
  <c r="AL195" i="58" s="1"/>
  <c r="Y36" i="58"/>
  <c r="Y197" i="58" s="1"/>
  <c r="V41" i="58"/>
  <c r="V202" i="58" s="1"/>
  <c r="M38" i="58"/>
  <c r="W36" i="58"/>
  <c r="W197" i="58" s="1"/>
  <c r="U35" i="58"/>
  <c r="U196" i="58" s="1"/>
  <c r="Z33" i="58"/>
  <c r="Z194" i="58" s="1"/>
  <c r="AG34" i="58"/>
  <c r="AG195" i="58" s="1"/>
  <c r="W37" i="58"/>
  <c r="W198" i="58" s="1"/>
  <c r="AK42" i="58"/>
  <c r="AK203" i="58" s="1"/>
  <c r="AE38" i="58"/>
  <c r="AE199" i="58" s="1"/>
  <c r="S40" i="58"/>
  <c r="S201" i="58" s="1"/>
  <c r="S33" i="58"/>
  <c r="S194" i="58" s="1"/>
  <c r="S41" i="58"/>
  <c r="S202" i="58" s="1"/>
  <c r="M40" i="58"/>
  <c r="AE37" i="58"/>
  <c r="AE198" i="58" s="1"/>
  <c r="W193" i="58"/>
  <c r="AD37" i="58"/>
  <c r="AD198" i="58" s="1"/>
  <c r="AK36" i="58"/>
  <c r="AK197" i="58" s="1"/>
  <c r="AD34" i="58"/>
  <c r="AD195" i="58" s="1"/>
  <c r="P33" i="58"/>
  <c r="P194" i="58" s="1"/>
  <c r="Y40" i="58"/>
  <c r="Y201" i="58" s="1"/>
  <c r="P38" i="58"/>
  <c r="P199" i="58" s="1"/>
  <c r="X42" i="58"/>
  <c r="X203" i="58" s="1"/>
  <c r="AC42" i="58"/>
  <c r="AC203" i="58" s="1"/>
  <c r="Q35" i="58"/>
  <c r="AA34" i="58"/>
  <c r="AA195" i="58" s="1"/>
  <c r="AA42" i="58"/>
  <c r="AA203" i="58" s="1"/>
  <c r="AH39" i="58"/>
  <c r="AH200" i="58" s="1"/>
  <c r="AB36" i="58"/>
  <c r="AB197" i="58" s="1"/>
  <c r="AF37" i="58"/>
  <c r="AF198" i="58" s="1"/>
  <c r="AE41" i="58"/>
  <c r="AE202" i="58" s="1"/>
  <c r="AG193" i="58"/>
  <c r="S34" i="58"/>
  <c r="S195" i="58" s="1"/>
  <c r="N33" i="58"/>
  <c r="N194" i="58" s="1"/>
  <c r="AJ39" i="58"/>
  <c r="AJ200" i="58" s="1"/>
  <c r="AC40" i="58"/>
  <c r="AC201" i="58" s="1"/>
  <c r="AK34" i="58"/>
  <c r="AK195" i="58" s="1"/>
  <c r="W39" i="58"/>
  <c r="W200" i="58" s="1"/>
  <c r="AL38" i="58"/>
  <c r="AL199" i="58" s="1"/>
  <c r="W34" i="58"/>
  <c r="W195" i="58" s="1"/>
  <c r="AE36" i="58"/>
  <c r="AE197" i="58" s="1"/>
  <c r="R35" i="58"/>
  <c r="AJ193" i="58"/>
  <c r="M34" i="58"/>
  <c r="U193" i="58"/>
  <c r="AJ36" i="58"/>
  <c r="AJ197" i="58" s="1"/>
  <c r="T40" i="58"/>
  <c r="T201" i="58" s="1"/>
  <c r="AD42" i="58"/>
  <c r="AD203" i="58" s="1"/>
  <c r="AH193" i="58"/>
  <c r="Y38" i="58"/>
  <c r="Y199" i="58" s="1"/>
  <c r="AK193" i="58"/>
  <c r="L37" i="58"/>
  <c r="L198" i="58" s="1"/>
  <c r="V42" i="58"/>
  <c r="V203" i="58" s="1"/>
  <c r="AB39" i="58"/>
  <c r="AB200" i="58" s="1"/>
  <c r="V35" i="58"/>
  <c r="V196" i="58" s="1"/>
  <c r="Y42" i="58"/>
  <c r="Y203" i="58" s="1"/>
  <c r="AC38" i="58"/>
  <c r="AC199" i="58" s="1"/>
  <c r="Z39" i="58"/>
  <c r="Z200" i="58" s="1"/>
  <c r="N35" i="58"/>
  <c r="N196" i="58" s="1"/>
  <c r="AE39" i="58"/>
  <c r="AE200" i="58" s="1"/>
  <c r="AG41" i="58"/>
  <c r="AG202" i="58" s="1"/>
  <c r="Z36" i="58"/>
  <c r="Z197" i="58" s="1"/>
  <c r="Q38" i="58"/>
  <c r="AF35" i="58"/>
  <c r="AF196" i="58" s="1"/>
  <c r="AE193" i="58"/>
  <c r="O39" i="58"/>
  <c r="O200" i="58" s="1"/>
  <c r="P34" i="58"/>
  <c r="P195" i="58" s="1"/>
  <c r="R42" i="58"/>
  <c r="AI33" i="58"/>
  <c r="T42" i="58"/>
  <c r="T203" i="58" s="1"/>
  <c r="AJ33" i="58"/>
  <c r="AJ194" i="58" s="1"/>
  <c r="K33" i="58"/>
  <c r="AA33" i="58"/>
  <c r="AA194" i="58" s="1"/>
  <c r="Z37" i="58"/>
  <c r="Z198" i="58" s="1"/>
  <c r="AF193" i="58"/>
  <c r="S38" i="58"/>
  <c r="S199" i="58" s="1"/>
  <c r="Y34" i="58"/>
  <c r="Y195" i="58" s="1"/>
  <c r="O38" i="58"/>
  <c r="O199" i="58" s="1"/>
  <c r="N40" i="58"/>
  <c r="N201" i="58" s="1"/>
  <c r="L41" i="58"/>
  <c r="L202" i="58" s="1"/>
  <c r="AL35" i="58"/>
  <c r="AL196" i="58" s="1"/>
  <c r="AJ38" i="58"/>
  <c r="AJ199" i="58" s="1"/>
  <c r="K42" i="58"/>
  <c r="Y39" i="58"/>
  <c r="Y200" i="58" s="1"/>
  <c r="AG38" i="58"/>
  <c r="AG199" i="58" s="1"/>
  <c r="AL41" i="58"/>
  <c r="AL202" i="58" s="1"/>
  <c r="K36" i="58"/>
  <c r="AI42" i="58"/>
  <c r="AI35" i="58"/>
  <c r="L42" i="58"/>
  <c r="L203" i="58" s="1"/>
  <c r="AE40" i="58"/>
  <c r="AE201" i="58" s="1"/>
  <c r="X37" i="58"/>
  <c r="X198" i="58" s="1"/>
  <c r="AH40" i="58"/>
  <c r="AH201" i="58" s="1"/>
  <c r="N41" i="58"/>
  <c r="N202" i="58" s="1"/>
  <c r="O42" i="58"/>
  <c r="O203" i="58" s="1"/>
  <c r="P42" i="58"/>
  <c r="P203" i="58" s="1"/>
  <c r="X33" i="58"/>
  <c r="X194" i="58" s="1"/>
  <c r="AF33" i="58"/>
  <c r="AF194" i="58" s="1"/>
  <c r="K37" i="58"/>
  <c r="Z34" i="58"/>
  <c r="Z195" i="58" s="1"/>
  <c r="AJ41" i="58"/>
  <c r="AJ202" i="58" s="1"/>
  <c r="AI36" i="58"/>
  <c r="U37" i="58"/>
  <c r="U198" i="58" s="1"/>
  <c r="L39" i="58"/>
  <c r="L200" i="58" s="1"/>
  <c r="AF34" i="58"/>
  <c r="AF195" i="58" s="1"/>
  <c r="AL39" i="58"/>
  <c r="AL200" i="58" s="1"/>
  <c r="M41" i="58"/>
  <c r="AK38" i="58"/>
  <c r="AK199" i="58" s="1"/>
  <c r="AF42" i="58"/>
  <c r="AF203" i="58" s="1"/>
  <c r="V39" i="58"/>
  <c r="V200" i="58" s="1"/>
  <c r="R40" i="58"/>
  <c r="AC193" i="58"/>
  <c r="X35" i="58"/>
  <c r="X196" i="58" s="1"/>
  <c r="K34" i="58"/>
  <c r="V36" i="58"/>
  <c r="V197" i="58" s="1"/>
  <c r="AA193" i="58"/>
  <c r="AI41" i="58"/>
  <c r="AB35" i="58"/>
  <c r="AB196" i="58" s="1"/>
  <c r="O40" i="58"/>
  <c r="O201" i="58" s="1"/>
  <c r="S37" i="58"/>
  <c r="S198" i="58" s="1"/>
  <c r="AH41" i="58"/>
  <c r="AH202" i="58" s="1"/>
  <c r="Y33" i="58"/>
  <c r="Y194" i="58" s="1"/>
  <c r="V38" i="58"/>
  <c r="V199" i="58" s="1"/>
  <c r="AK41" i="58"/>
  <c r="AK202" i="58" s="1"/>
  <c r="AG35" i="58"/>
  <c r="AG196" i="58" s="1"/>
  <c r="AH38" i="58"/>
  <c r="AH199" i="58" s="1"/>
  <c r="AJ35" i="58"/>
  <c r="AJ196" i="58" s="1"/>
  <c r="AB37" i="58"/>
  <c r="AB198" i="58" s="1"/>
  <c r="AI37" i="58"/>
  <c r="M39" i="58"/>
  <c r="AD36" i="58"/>
  <c r="AD197" i="58" s="1"/>
  <c r="P40" i="58"/>
  <c r="P201" i="58" s="1"/>
  <c r="P193" i="58"/>
  <c r="AG42" i="58"/>
  <c r="AG203" i="58" s="1"/>
  <c r="Z42" i="58"/>
  <c r="Z203" i="58" s="1"/>
  <c r="R34" i="58"/>
  <c r="Z35" i="58"/>
  <c r="Z196" i="58" s="1"/>
  <c r="AD33" i="58"/>
  <c r="AD194" i="58" s="1"/>
  <c r="Y35" i="58"/>
  <c r="Y196" i="58" s="1"/>
  <c r="N36" i="58"/>
  <c r="N197" i="58" s="1"/>
  <c r="AG37" i="58"/>
  <c r="AG198" i="58" s="1"/>
  <c r="R33" i="58"/>
  <c r="AB38" i="58"/>
  <c r="AB199" i="58" s="1"/>
  <c r="N193" i="58"/>
  <c r="L36" i="58"/>
  <c r="L197" i="58" s="1"/>
  <c r="AC33" i="58"/>
  <c r="AC194" i="58" s="1"/>
  <c r="AJ40" i="58"/>
  <c r="AJ201" i="58" s="1"/>
  <c r="Y37" i="58"/>
  <c r="Y198" i="58" s="1"/>
  <c r="AJ34" i="58"/>
  <c r="AJ195" i="58" s="1"/>
  <c r="T39" i="58"/>
  <c r="T200" i="58" s="1"/>
  <c r="V193" i="58"/>
  <c r="AE35" i="58"/>
  <c r="AE196" i="58" s="1"/>
  <c r="X39" i="58"/>
  <c r="X200" i="58" s="1"/>
  <c r="AE33" i="58"/>
  <c r="AE194" i="58" s="1"/>
  <c r="AC37" i="58"/>
  <c r="AC198" i="58" s="1"/>
  <c r="T37" i="58"/>
  <c r="T198" i="58" s="1"/>
  <c r="L33" i="58"/>
  <c r="L194" i="58" s="1"/>
  <c r="Q40" i="58"/>
  <c r="AA38" i="58"/>
  <c r="AA199" i="58" s="1"/>
  <c r="T33" i="58"/>
  <c r="T194" i="58" s="1"/>
  <c r="AI40" i="58"/>
  <c r="AF40" i="58"/>
  <c r="AF201" i="58" s="1"/>
  <c r="Z41" i="58"/>
  <c r="Z202" i="58" s="1"/>
  <c r="P37" i="58"/>
  <c r="P198" i="58" s="1"/>
  <c r="AD41" i="58"/>
  <c r="AD202" i="58" s="1"/>
  <c r="AJ42" i="58"/>
  <c r="AJ203" i="58" s="1"/>
  <c r="Q37" i="58"/>
  <c r="N42" i="58"/>
  <c r="N203" i="58" s="1"/>
  <c r="W35" i="58"/>
  <c r="W196" i="58" s="1"/>
  <c r="K40" i="58"/>
  <c r="N34" i="58"/>
  <c r="N195" i="58" s="1"/>
  <c r="R38" i="58"/>
  <c r="S39" i="58"/>
  <c r="S200" i="58" s="1"/>
  <c r="M36" i="58"/>
  <c r="AH35" i="58"/>
  <c r="AH196" i="58" s="1"/>
  <c r="V34" i="58"/>
  <c r="V195" i="58" s="1"/>
  <c r="X36" i="58"/>
  <c r="X197" i="58" s="1"/>
  <c r="AK40" i="58"/>
  <c r="AK201" i="58" s="1"/>
  <c r="AB33" i="58"/>
  <c r="AB194" i="58" s="1"/>
  <c r="V33" i="58"/>
  <c r="V194" i="58" s="1"/>
  <c r="AB41" i="58"/>
  <c r="AB202" i="58" s="1"/>
  <c r="AB193" i="58"/>
  <c r="K41" i="58"/>
  <c r="O33" i="58"/>
  <c r="O194" i="58" s="1"/>
  <c r="R41" i="58"/>
  <c r="N37" i="58"/>
  <c r="N198" i="58" s="1"/>
  <c r="O193" i="58"/>
  <c r="AF38" i="58"/>
  <c r="AF199" i="58" s="1"/>
  <c r="U39" i="58"/>
  <c r="U200" i="58" s="1"/>
  <c r="L38" i="58"/>
  <c r="L199" i="58" s="1"/>
  <c r="AL193" i="58"/>
  <c r="T41" i="58"/>
  <c r="T202" i="58" s="1"/>
  <c r="P35" i="58"/>
  <c r="P196" i="58" s="1"/>
  <c r="M37" i="58"/>
  <c r="AG40" i="58"/>
  <c r="AG201" i="58" s="1"/>
  <c r="Q39" i="58"/>
  <c r="AK39" i="58"/>
  <c r="AK200" i="58" s="1"/>
  <c r="T34" i="58"/>
  <c r="T195" i="58" s="1"/>
  <c r="W42" i="58"/>
  <c r="W203" i="58" s="1"/>
  <c r="O37" i="58"/>
  <c r="O198" i="58" s="1"/>
  <c r="AH33" i="58"/>
  <c r="AH194" i="58" s="1"/>
  <c r="W41" i="58"/>
  <c r="W202" i="58" s="1"/>
  <c r="P36" i="58"/>
  <c r="P197" i="58" s="1"/>
  <c r="Q34" i="58"/>
  <c r="AA37" i="58"/>
  <c r="AA198" i="58" s="1"/>
  <c r="AD39" i="58"/>
  <c r="AD200" i="58" s="1"/>
  <c r="AA36" i="58"/>
  <c r="AA197" i="58" s="1"/>
  <c r="AI38" i="58"/>
  <c r="AC41" i="58"/>
  <c r="AC202" i="58" s="1"/>
  <c r="AD193" i="58"/>
  <c r="AC34" i="58"/>
  <c r="AC195" i="58" s="1"/>
  <c r="AL42" i="58"/>
  <c r="AL203" i="58" s="1"/>
  <c r="L34" i="58"/>
  <c r="L195" i="58" s="1"/>
  <c r="AC39" i="58"/>
  <c r="AC200" i="58" s="1"/>
  <c r="Q33" i="58"/>
  <c r="O35" i="58"/>
  <c r="O196" i="58" s="1"/>
  <c r="AH34" i="58"/>
  <c r="AH195" i="58" s="1"/>
  <c r="AB40" i="58"/>
  <c r="AB201" i="58" s="1"/>
  <c r="T193" i="58"/>
  <c r="B39" i="41"/>
  <c r="I570" i="41"/>
  <c r="AC555" i="41"/>
  <c r="AB570" i="41"/>
  <c r="T556" i="41"/>
  <c r="Z563" i="41"/>
  <c r="K557" i="41"/>
  <c r="F570" i="41"/>
  <c r="Z555" i="41"/>
  <c r="Y570" i="41"/>
  <c r="Q556" i="41"/>
  <c r="X570" i="41"/>
  <c r="P556" i="41"/>
  <c r="AE569" i="41"/>
  <c r="W555" i="41"/>
  <c r="F562" i="41"/>
  <c r="I559" i="41"/>
  <c r="AF561" i="41"/>
  <c r="AE561" i="41"/>
  <c r="Y558" i="41"/>
  <c r="AE555" i="41"/>
  <c r="AF557" i="41"/>
  <c r="O552" i="41"/>
  <c r="S556" i="41"/>
  <c r="V568" i="41"/>
  <c r="V553" i="41"/>
  <c r="AC567" i="41"/>
  <c r="AC552" i="41"/>
  <c r="P566" i="41"/>
  <c r="P551" i="41"/>
  <c r="K564" i="41"/>
  <c r="R558" i="41"/>
  <c r="P552" i="41"/>
  <c r="P568" i="41"/>
  <c r="W567" i="41"/>
  <c r="AD566" i="41"/>
  <c r="V552" i="41"/>
  <c r="E569" i="41"/>
  <c r="Y554" i="41"/>
  <c r="X569" i="41"/>
  <c r="P555" i="41"/>
  <c r="AE560" i="41"/>
  <c r="S559" i="41"/>
  <c r="N552" i="41"/>
  <c r="AE570" i="41"/>
  <c r="T559" i="41"/>
  <c r="K562" i="41"/>
  <c r="E556" i="41"/>
  <c r="T564" i="41"/>
  <c r="N569" i="41"/>
  <c r="V567" i="41"/>
  <c r="E558" i="41"/>
  <c r="AD565" i="41"/>
  <c r="L557" i="41"/>
  <c r="AA570" i="41"/>
  <c r="AA555" i="41"/>
  <c r="AD567" i="41"/>
  <c r="AD552" i="41"/>
  <c r="I567" i="41"/>
  <c r="I552" i="41"/>
  <c r="X565" i="41"/>
  <c r="AD569" i="41"/>
  <c r="S563" i="41"/>
  <c r="R553" i="41"/>
  <c r="AA553" i="41"/>
  <c r="X567" i="41"/>
  <c r="AE566" i="41"/>
  <c r="J566" i="41"/>
  <c r="AD551" i="41"/>
  <c r="M568" i="41"/>
  <c r="E554" i="41"/>
  <c r="AF568" i="41"/>
  <c r="X554" i="41"/>
  <c r="S554" i="41"/>
  <c r="N567" i="41"/>
  <c r="M570" i="41"/>
  <c r="O557" i="41"/>
  <c r="AB558" i="41"/>
  <c r="K554" i="41"/>
  <c r="AE557" i="41"/>
  <c r="N553" i="41"/>
  <c r="M557" i="41"/>
  <c r="V551" i="41"/>
  <c r="AB555" i="41"/>
  <c r="G570" i="41"/>
  <c r="G555" i="41"/>
  <c r="J567" i="41"/>
  <c r="J552" i="41"/>
  <c r="Q566" i="41"/>
  <c r="Q551" i="41"/>
  <c r="AF564" i="41"/>
  <c r="V565" i="41"/>
  <c r="AA562" i="41"/>
  <c r="Y562" i="41"/>
  <c r="N562" i="41"/>
  <c r="AF566" i="41"/>
  <c r="K566" i="41"/>
  <c r="R565" i="41"/>
  <c r="J551" i="41"/>
  <c r="U567" i="41"/>
  <c r="M553" i="41"/>
  <c r="L568" i="41"/>
  <c r="AF553" i="41"/>
  <c r="R564" i="41"/>
  <c r="F558" i="41"/>
  <c r="U569" i="41"/>
  <c r="F568" i="41"/>
  <c r="S569" i="41"/>
  <c r="R566" i="41"/>
  <c r="Y565" i="41"/>
  <c r="L564" i="41"/>
  <c r="G562" i="41"/>
  <c r="U570" i="41"/>
  <c r="S565" i="41"/>
  <c r="S567" i="41"/>
  <c r="U552" i="41"/>
  <c r="L553" i="41"/>
  <c r="N570" i="41"/>
  <c r="Z553" i="41"/>
  <c r="AB566" i="41"/>
  <c r="V569" i="41"/>
  <c r="J565" i="41"/>
  <c r="K567" i="41"/>
  <c r="U555" i="41"/>
  <c r="Q568" i="41"/>
  <c r="Y564" i="41"/>
  <c r="AE568" i="41"/>
  <c r="E568" i="41"/>
  <c r="S566" i="41"/>
  <c r="M551" i="41"/>
  <c r="Y567" i="41"/>
  <c r="G561" i="41"/>
  <c r="AB568" i="41"/>
  <c r="M567" i="41"/>
  <c r="T551" i="41"/>
  <c r="M561" i="41"/>
  <c r="X560" i="41"/>
  <c r="V561" i="41"/>
  <c r="O555" i="41"/>
  <c r="W564" i="41"/>
  <c r="K563" i="41"/>
  <c r="F567" i="41"/>
  <c r="X557" i="41"/>
  <c r="G557" i="41"/>
  <c r="G551" i="41"/>
  <c r="AE558" i="41"/>
  <c r="I561" i="41"/>
  <c r="N559" i="41"/>
  <c r="Y559" i="41"/>
  <c r="H567" i="41"/>
  <c r="L560" i="41"/>
  <c r="U556" i="41"/>
  <c r="H570" i="41"/>
  <c r="H555" i="41"/>
  <c r="O569" i="41"/>
  <c r="O554" i="41"/>
  <c r="R551" i="41"/>
  <c r="J564" i="41"/>
  <c r="V560" i="41"/>
  <c r="Q558" i="41"/>
  <c r="L566" i="41"/>
  <c r="Z564" i="41"/>
  <c r="AC566" i="41"/>
  <c r="T567" i="41"/>
  <c r="J555" i="41"/>
  <c r="AC568" i="41"/>
  <c r="W556" i="41"/>
  <c r="T552" i="41"/>
  <c r="I568" i="41"/>
  <c r="Y553" i="41"/>
  <c r="N564" i="41"/>
  <c r="AC554" i="41"/>
  <c r="O563" i="41"/>
  <c r="P565" i="41"/>
  <c r="T569" i="41"/>
  <c r="S551" i="41"/>
  <c r="K559" i="41"/>
  <c r="W562" i="41"/>
  <c r="K568" i="41"/>
  <c r="J561" i="41"/>
  <c r="H568" i="41"/>
  <c r="AB565" i="41"/>
  <c r="M556" i="41"/>
  <c r="K556" i="41"/>
  <c r="AF556" i="41"/>
  <c r="L563" i="41"/>
  <c r="P564" i="41"/>
  <c r="Y557" i="41"/>
  <c r="P557" i="41"/>
  <c r="L556" i="41"/>
  <c r="N560" i="41"/>
  <c r="H557" i="41"/>
  <c r="V554" i="41"/>
  <c r="U553" i="41"/>
  <c r="X551" i="41"/>
  <c r="AC570" i="41"/>
  <c r="I555" i="41"/>
  <c r="P569" i="41"/>
  <c r="P554" i="41"/>
  <c r="W568" i="41"/>
  <c r="W553" i="41"/>
  <c r="Z565" i="41"/>
  <c r="Z567" i="41"/>
  <c r="E565" i="41"/>
  <c r="V555" i="41"/>
  <c r="T563" i="41"/>
  <c r="AD554" i="41"/>
  <c r="O561" i="41"/>
  <c r="P558" i="41"/>
  <c r="AC569" i="41"/>
  <c r="T565" i="41"/>
  <c r="AA564" i="41"/>
  <c r="F564" i="41"/>
  <c r="AE563" i="41"/>
  <c r="I566" i="41"/>
  <c r="AC551" i="41"/>
  <c r="O570" i="41"/>
  <c r="AF570" i="41"/>
  <c r="Y568" i="41"/>
  <c r="K552" i="41"/>
  <c r="H562" i="41"/>
  <c r="H564" i="41"/>
  <c r="G566" i="41"/>
  <c r="Y566" i="41"/>
  <c r="L567" i="41"/>
  <c r="N551" i="41"/>
  <c r="K560" i="41"/>
  <c r="E564" i="41"/>
  <c r="E566" i="41"/>
  <c r="T566" i="41"/>
  <c r="AA565" i="41"/>
  <c r="AD562" i="41"/>
  <c r="X552" i="41"/>
  <c r="K561" i="41"/>
  <c r="O565" i="41"/>
  <c r="AE553" i="41"/>
  <c r="N561" i="41"/>
  <c r="Z560" i="41"/>
  <c r="T558" i="41"/>
  <c r="S555" i="41"/>
  <c r="R562" i="41"/>
  <c r="AD570" i="41"/>
  <c r="U568" i="41"/>
  <c r="P570" i="41"/>
  <c r="Q569" i="41"/>
  <c r="Q554" i="41"/>
  <c r="X568" i="41"/>
  <c r="X553" i="41"/>
  <c r="AE567" i="41"/>
  <c r="AE552" i="41"/>
  <c r="F565" i="41"/>
  <c r="Z562" i="41"/>
  <c r="M564" i="41"/>
  <c r="Q563" i="41"/>
  <c r="AB562" i="41"/>
  <c r="I564" i="41"/>
  <c r="W560" i="41"/>
  <c r="AA554" i="41"/>
  <c r="I569" i="41"/>
  <c r="AB564" i="41"/>
  <c r="G564" i="41"/>
  <c r="N563" i="41"/>
  <c r="S562" i="41"/>
  <c r="Q565" i="41"/>
  <c r="I551" i="41"/>
  <c r="H566" i="41"/>
  <c r="AB551" i="41"/>
  <c r="W569" i="41"/>
  <c r="AD568" i="41"/>
  <c r="Q567" i="41"/>
  <c r="L570" i="41"/>
  <c r="R554" i="41"/>
  <c r="AF552" i="41"/>
  <c r="U563" i="41"/>
  <c r="AE559" i="41"/>
  <c r="V562" i="41"/>
  <c r="H551" i="41"/>
  <c r="P561" i="41"/>
  <c r="K558" i="41"/>
  <c r="AA566" i="41"/>
  <c r="M563" i="41"/>
  <c r="U551" i="41"/>
  <c r="J562" i="41"/>
  <c r="AF559" i="41"/>
  <c r="U560" i="41"/>
  <c r="U562" i="41"/>
  <c r="U564" i="41"/>
  <c r="O564" i="41"/>
  <c r="Y560" i="41"/>
  <c r="N566" i="41"/>
  <c r="AC561" i="41"/>
  <c r="N565" i="41"/>
  <c r="S557" i="41"/>
  <c r="M566" i="41"/>
  <c r="Q555" i="41"/>
  <c r="AF567" i="41"/>
  <c r="F557" i="41"/>
  <c r="AB553" i="41"/>
  <c r="O560" i="41"/>
  <c r="J568" i="41"/>
  <c r="E553" i="41"/>
  <c r="V563" i="41"/>
  <c r="H559" i="41"/>
  <c r="P563" i="41"/>
  <c r="X564" i="41"/>
  <c r="M552" i="41"/>
  <c r="AD559" i="41"/>
  <c r="I562" i="41"/>
  <c r="E567" i="41"/>
  <c r="AA556" i="41"/>
  <c r="Z566" i="41"/>
  <c r="U566" i="41"/>
  <c r="G565" i="41"/>
  <c r="S560" i="41"/>
  <c r="V570" i="41"/>
  <c r="K553" i="41"/>
  <c r="F566" i="41"/>
  <c r="AD564" i="41"/>
  <c r="W552" i="41"/>
  <c r="Y552" i="41"/>
  <c r="AD563" i="41"/>
  <c r="AC563" i="41"/>
  <c r="G556" i="41"/>
  <c r="L552" i="41"/>
  <c r="AC562" i="41"/>
  <c r="AD561" i="41"/>
  <c r="R567" i="41"/>
  <c r="Z561" i="41"/>
  <c r="T555" i="41"/>
  <c r="S558" i="41"/>
  <c r="X562" i="41"/>
  <c r="AF563" i="41"/>
  <c r="M565" i="41"/>
  <c r="R560" i="41"/>
  <c r="P567" i="41"/>
  <c r="H565" i="41"/>
  <c r="R561" i="41"/>
  <c r="AA568" i="41"/>
  <c r="T554" i="41"/>
  <c r="T562" i="41"/>
  <c r="O556" i="41"/>
  <c r="I563" i="41"/>
  <c r="U565" i="41"/>
  <c r="G553" i="41"/>
  <c r="V557" i="41"/>
  <c r="Y561" i="41"/>
  <c r="X558" i="41"/>
  <c r="AE551" i="41"/>
  <c r="G568" i="41"/>
  <c r="R568" i="41"/>
  <c r="Z552" i="41"/>
  <c r="Q561" i="41"/>
  <c r="AA557" i="41"/>
  <c r="AE556" i="41"/>
  <c r="AA561" i="41"/>
  <c r="AC565" i="41"/>
  <c r="AC564" i="41"/>
  <c r="L559" i="41"/>
  <c r="L551" i="41"/>
  <c r="W559" i="41"/>
  <c r="F559" i="41"/>
  <c r="AF565" i="41"/>
  <c r="X556" i="41"/>
  <c r="Q552" i="41"/>
  <c r="P560" i="41"/>
  <c r="N554" i="41"/>
  <c r="Y569" i="41"/>
  <c r="Z559" i="41"/>
  <c r="X566" i="41"/>
  <c r="I565" i="41"/>
  <c r="J559" i="41"/>
  <c r="AA559" i="41"/>
  <c r="F563" i="41"/>
  <c r="G563" i="41"/>
  <c r="AB561" i="41"/>
  <c r="O568" i="41"/>
  <c r="W563" i="41"/>
  <c r="E560" i="41"/>
  <c r="Z557" i="41"/>
  <c r="J563" i="41"/>
  <c r="E562" i="41"/>
  <c r="AB554" i="41"/>
  <c r="K569" i="41"/>
  <c r="J558" i="41"/>
  <c r="W566" i="41"/>
  <c r="AE564" i="41"/>
  <c r="H556" i="41"/>
  <c r="Q564" i="41"/>
  <c r="N556" i="41"/>
  <c r="X563" i="41"/>
  <c r="J554" i="41"/>
  <c r="AE562" i="41"/>
  <c r="E552" i="41"/>
  <c r="F560" i="41"/>
  <c r="K551" i="41"/>
  <c r="M559" i="41"/>
  <c r="K570" i="41"/>
  <c r="AB557" i="41"/>
  <c r="W570" i="41"/>
  <c r="AE554" i="41"/>
  <c r="F552" i="41"/>
  <c r="G554" i="41"/>
  <c r="AC553" i="41"/>
  <c r="K555" i="41"/>
  <c r="N558" i="41"/>
  <c r="J553" i="41"/>
  <c r="Q560" i="41"/>
  <c r="R557" i="41"/>
  <c r="H561" i="41"/>
  <c r="W554" i="41"/>
  <c r="S552" i="41"/>
  <c r="V559" i="41"/>
  <c r="Q562" i="41"/>
  <c r="L565" i="41"/>
  <c r="H552" i="41"/>
  <c r="R569" i="41"/>
  <c r="Y563" i="41"/>
  <c r="AF562" i="41"/>
  <c r="U558" i="41"/>
  <c r="S564" i="41"/>
  <c r="AA551" i="41"/>
  <c r="O562" i="41"/>
  <c r="H569" i="41"/>
  <c r="E563" i="41"/>
  <c r="I554" i="41"/>
  <c r="L562" i="41"/>
  <c r="E557" i="41"/>
  <c r="S561" i="41"/>
  <c r="W557" i="41"/>
  <c r="V558" i="41"/>
  <c r="AA563" i="41"/>
  <c r="AC557" i="41"/>
  <c r="R559" i="41"/>
  <c r="X555" i="41"/>
  <c r="S568" i="41"/>
  <c r="S553" i="41"/>
  <c r="AC559" i="41"/>
  <c r="K565" i="41"/>
  <c r="V566" i="41"/>
  <c r="V556" i="41"/>
  <c r="AD556" i="41"/>
  <c r="AF555" i="41"/>
  <c r="E559" i="41"/>
  <c r="F551" i="41"/>
  <c r="X559" i="41"/>
  <c r="V564" i="41"/>
  <c r="AD558" i="41"/>
  <c r="N555" i="41"/>
  <c r="E561" i="41"/>
  <c r="AB563" i="41"/>
  <c r="Y551" i="41"/>
  <c r="I557" i="41"/>
  <c r="AF554" i="41"/>
  <c r="AA552" i="41"/>
  <c r="Z568" i="41"/>
  <c r="R570" i="41"/>
  <c r="O567" i="41"/>
  <c r="M555" i="41"/>
  <c r="F561" i="41"/>
  <c r="Z551" i="41"/>
  <c r="H563" i="41"/>
  <c r="F554" i="41"/>
  <c r="AB556" i="41"/>
  <c r="U554" i="41"/>
  <c r="M562" i="41"/>
  <c r="AB559" i="41"/>
  <c r="T561" i="41"/>
  <c r="L561" i="41"/>
  <c r="AA560" i="41"/>
  <c r="AD557" i="41"/>
  <c r="W551" i="41"/>
  <c r="AF569" i="41"/>
  <c r="AA567" i="41"/>
  <c r="Q553" i="41"/>
  <c r="AD555" i="41"/>
  <c r="J556" i="41"/>
  <c r="M558" i="41"/>
  <c r="AF558" i="41"/>
  <c r="Z556" i="41"/>
  <c r="M560" i="41"/>
  <c r="N568" i="41"/>
  <c r="F553" i="41"/>
  <c r="W561" i="41"/>
  <c r="U561" i="41"/>
  <c r="AF551" i="41"/>
  <c r="AB560" i="41"/>
  <c r="H554" i="41"/>
  <c r="G560" i="41"/>
  <c r="G558" i="41"/>
  <c r="J557" i="41"/>
  <c r="J560" i="41"/>
  <c r="Y555" i="41"/>
  <c r="L569" i="41"/>
  <c r="L554" i="41"/>
  <c r="G567" i="41"/>
  <c r="G552" i="41"/>
  <c r="T560" i="41"/>
  <c r="N557" i="41"/>
  <c r="S570" i="41"/>
  <c r="Z569" i="41"/>
  <c r="R555" i="41"/>
  <c r="AA558" i="41"/>
  <c r="U557" i="41"/>
  <c r="AE565" i="41"/>
  <c r="L558" i="41"/>
  <c r="F556" i="41"/>
  <c r="AD553" i="41"/>
  <c r="I558" i="41"/>
  <c r="U559" i="41"/>
  <c r="P562" i="41"/>
  <c r="F569" i="41"/>
  <c r="Z558" i="41"/>
  <c r="J570" i="41"/>
  <c r="R552" i="41"/>
  <c r="E551" i="41"/>
  <c r="X561" i="41"/>
  <c r="I560" i="41"/>
  <c r="I553" i="41"/>
  <c r="P559" i="41"/>
  <c r="H558" i="41"/>
  <c r="Z570" i="41"/>
  <c r="F555" i="41"/>
  <c r="M554" i="41"/>
  <c r="AB552" i="41"/>
  <c r="J569" i="41"/>
  <c r="AB569" i="41"/>
  <c r="Q570" i="41"/>
  <c r="Q557" i="41"/>
  <c r="AF560" i="41"/>
  <c r="AC560" i="41"/>
  <c r="O553" i="41"/>
  <c r="H560" i="41"/>
  <c r="O558" i="41"/>
  <c r="O559" i="41"/>
  <c r="AD560" i="41"/>
  <c r="R556" i="41"/>
  <c r="E570" i="41"/>
  <c r="E555" i="41"/>
  <c r="T568" i="41"/>
  <c r="T553" i="41"/>
  <c r="O566" i="41"/>
  <c r="O551" i="41"/>
  <c r="P553" i="41"/>
  <c r="T570" i="41"/>
  <c r="AA569" i="41"/>
  <c r="Z554" i="41"/>
  <c r="AC556" i="41"/>
  <c r="T557" i="41"/>
  <c r="Y556" i="41"/>
  <c r="AC558" i="41"/>
  <c r="W558" i="41"/>
  <c r="M569" i="41"/>
  <c r="AB567" i="41"/>
  <c r="W565" i="41"/>
  <c r="G559" i="41"/>
  <c r="G569" i="41"/>
  <c r="I556" i="41"/>
  <c r="L555" i="41"/>
  <c r="Q559" i="41"/>
  <c r="R563" i="41"/>
  <c r="H553" i="41"/>
  <c r="L35" i="58"/>
  <c r="L196" i="58" s="1"/>
  <c r="AA35" i="58"/>
  <c r="AA196" i="58" s="1"/>
  <c r="X40" i="58"/>
  <c r="X201" i="58" s="1"/>
  <c r="Y193" i="58"/>
  <c r="U34" i="58"/>
  <c r="U195" i="58" s="1"/>
  <c r="X38" i="58"/>
  <c r="X199" i="58" s="1"/>
  <c r="Q36" i="58"/>
  <c r="AH36" i="58"/>
  <c r="AH197" i="58" s="1"/>
  <c r="T38" i="58"/>
  <c r="T199" i="58" s="1"/>
  <c r="K39" i="58"/>
  <c r="AA41" i="58"/>
  <c r="AA202" i="58" s="1"/>
  <c r="R37" i="58"/>
  <c r="AD38" i="58"/>
  <c r="AD199" i="58" s="1"/>
  <c r="M33" i="58"/>
  <c r="R36" i="58"/>
  <c r="M42" i="58"/>
  <c r="W33" i="58"/>
  <c r="W194" i="58" s="1"/>
  <c r="AI39" i="58"/>
  <c r="P41" i="58"/>
  <c r="P202" i="58" s="1"/>
  <c r="AH37" i="58"/>
  <c r="AH198" i="58" s="1"/>
  <c r="AL33" i="58"/>
  <c r="AL194" i="58" s="1"/>
  <c r="U40" i="58"/>
  <c r="U201" i="58" s="1"/>
  <c r="AK33" i="58"/>
  <c r="AK194" i="58" s="1"/>
  <c r="AE34" i="58"/>
  <c r="AE195" i="58" s="1"/>
  <c r="AL36" i="58"/>
  <c r="AL197" i="58" s="1"/>
  <c r="N38" i="58"/>
  <c r="N199" i="58" s="1"/>
  <c r="O34" i="58"/>
  <c r="O195" i="58" s="1"/>
  <c r="AD40" i="58"/>
  <c r="AD201" i="58" s="1"/>
  <c r="L193" i="58"/>
  <c r="Z38" i="58"/>
  <c r="Z199" i="58" s="1"/>
  <c r="U41" i="58"/>
  <c r="U202" i="58" s="1"/>
  <c r="U42" i="58"/>
  <c r="U203" i="58" s="1"/>
  <c r="A42" i="54"/>
  <c r="AJ14" i="54"/>
  <c r="B42" i="54"/>
  <c r="B11" i="54"/>
  <c r="B39" i="54" s="1"/>
  <c r="A11" i="54"/>
  <c r="AJ17" i="54"/>
  <c r="AJ20" i="54"/>
  <c r="AB238" i="71" l="1"/>
  <c r="AH47" i="73" s="1"/>
  <c r="AB237" i="71"/>
  <c r="AH46" i="73" s="1"/>
  <c r="AC238" i="71"/>
  <c r="AI47" i="73" s="1"/>
  <c r="AC237" i="71"/>
  <c r="AI46" i="73" s="1"/>
  <c r="Q238" i="71"/>
  <c r="W47" i="73" s="1"/>
  <c r="Q237" i="71"/>
  <c r="W46" i="73" s="1"/>
  <c r="AF237" i="71"/>
  <c r="AL46" i="73" s="1"/>
  <c r="AF238" i="71"/>
  <c r="AL47" i="73" s="1"/>
  <c r="X231" i="71"/>
  <c r="AD27" i="73" s="1"/>
  <c r="X232" i="71"/>
  <c r="AD28" i="73" s="1"/>
  <c r="X241" i="71"/>
  <c r="Q232" i="71"/>
  <c r="W28" i="73" s="1"/>
  <c r="Q241" i="71"/>
  <c r="Q231" i="71"/>
  <c r="W27" i="73" s="1"/>
  <c r="AF232" i="71"/>
  <c r="AL28" i="73" s="1"/>
  <c r="AF231" i="71"/>
  <c r="AL27" i="73" s="1"/>
  <c r="AF241" i="71"/>
  <c r="X238" i="71"/>
  <c r="AD47" i="73" s="1"/>
  <c r="X237" i="71"/>
  <c r="AD46" i="73" s="1"/>
  <c r="AD70" i="73" s="1"/>
  <c r="AD71" i="73" s="1"/>
  <c r="T232" i="71"/>
  <c r="Z28" i="73" s="1"/>
  <c r="T241" i="71"/>
  <c r="T231" i="71"/>
  <c r="Z27" i="73" s="1"/>
  <c r="P231" i="71"/>
  <c r="V27" i="73" s="1"/>
  <c r="P232" i="71"/>
  <c r="V28" i="73" s="1"/>
  <c r="P241" i="71"/>
  <c r="O237" i="71"/>
  <c r="U46" i="73" s="1"/>
  <c r="U70" i="73" s="1"/>
  <c r="U71" i="73" s="1"/>
  <c r="O238" i="71"/>
  <c r="U47" i="73" s="1"/>
  <c r="T237" i="71"/>
  <c r="Z46" i="73" s="1"/>
  <c r="Z70" i="73" s="1"/>
  <c r="Z71" i="73" s="1"/>
  <c r="T238" i="71"/>
  <c r="Z47" i="73" s="1"/>
  <c r="P237" i="71"/>
  <c r="V46" i="73" s="1"/>
  <c r="P238" i="71"/>
  <c r="V47" i="73" s="1"/>
  <c r="O231" i="71"/>
  <c r="U27" i="73" s="1"/>
  <c r="O241" i="71"/>
  <c r="O232" i="71"/>
  <c r="U28" i="73" s="1"/>
  <c r="N232" i="71"/>
  <c r="T28" i="73" s="1"/>
  <c r="N241" i="71"/>
  <c r="N231" i="71"/>
  <c r="T27" i="73" s="1"/>
  <c r="W238" i="71"/>
  <c r="AC47" i="73" s="1"/>
  <c r="W237" i="71"/>
  <c r="AC46" i="73" s="1"/>
  <c r="Y241" i="71"/>
  <c r="Y232" i="71"/>
  <c r="AE28" i="73" s="1"/>
  <c r="Y231" i="71"/>
  <c r="AE27" i="73" s="1"/>
  <c r="AE58" i="73" s="1"/>
  <c r="AE59" i="73" s="1"/>
  <c r="U238" i="71"/>
  <c r="AA47" i="73" s="1"/>
  <c r="U237" i="71"/>
  <c r="AA46" i="73" s="1"/>
  <c r="AA70" i="73" s="1"/>
  <c r="AA71" i="73" s="1"/>
  <c r="V238" i="71"/>
  <c r="AB47" i="73" s="1"/>
  <c r="V237" i="71"/>
  <c r="AB46" i="73" s="1"/>
  <c r="AC232" i="71"/>
  <c r="AI28" i="73" s="1"/>
  <c r="AC231" i="71"/>
  <c r="AI27" i="73" s="1"/>
  <c r="AI58" i="73" s="1"/>
  <c r="AI59" i="73" s="1"/>
  <c r="AC241" i="71"/>
  <c r="Y238" i="71"/>
  <c r="AE47" i="73" s="1"/>
  <c r="Y237" i="71"/>
  <c r="AE46" i="73" s="1"/>
  <c r="AE70" i="73" s="1"/>
  <c r="AE71" i="73" s="1"/>
  <c r="U231" i="71"/>
  <c r="AA27" i="73" s="1"/>
  <c r="U241" i="71"/>
  <c r="U232" i="71"/>
  <c r="AA28" i="73" s="1"/>
  <c r="V231" i="71"/>
  <c r="AB27" i="73" s="1"/>
  <c r="V241" i="71"/>
  <c r="V232" i="71"/>
  <c r="AB28" i="73" s="1"/>
  <c r="N238" i="71"/>
  <c r="T47" i="73" s="1"/>
  <c r="N237" i="71"/>
  <c r="T46" i="73" s="1"/>
  <c r="J237" i="71"/>
  <c r="P46" i="73" s="1"/>
  <c r="J238" i="71"/>
  <c r="P47" i="73" s="1"/>
  <c r="F241" i="71"/>
  <c r="F232" i="71"/>
  <c r="L28" i="73" s="1"/>
  <c r="F231" i="71"/>
  <c r="L27" i="73" s="1"/>
  <c r="L58" i="73" s="1"/>
  <c r="L59" i="73" s="1"/>
  <c r="G238" i="71"/>
  <c r="M47" i="73" s="1"/>
  <c r="G237" i="71"/>
  <c r="M46" i="73" s="1"/>
  <c r="J232" i="71"/>
  <c r="P28" i="73" s="1"/>
  <c r="J241" i="71"/>
  <c r="J231" i="71"/>
  <c r="P27" i="73" s="1"/>
  <c r="F237" i="71"/>
  <c r="L46" i="73" s="1"/>
  <c r="L70" i="73" s="1"/>
  <c r="L71" i="73" s="1"/>
  <c r="F238" i="71"/>
  <c r="L47" i="73" s="1"/>
  <c r="G231" i="71"/>
  <c r="M27" i="73" s="1"/>
  <c r="M58" i="73" s="1"/>
  <c r="M59" i="73" s="1"/>
  <c r="G241" i="71"/>
  <c r="G232" i="71"/>
  <c r="M28" i="73" s="1"/>
  <c r="AD237" i="71"/>
  <c r="AJ46" i="73" s="1"/>
  <c r="AD238" i="71"/>
  <c r="AJ47" i="73" s="1"/>
  <c r="Z237" i="71"/>
  <c r="AF46" i="73" s="1"/>
  <c r="Z238" i="71"/>
  <c r="AF47" i="73" s="1"/>
  <c r="K232" i="71"/>
  <c r="Q28" i="73" s="1"/>
  <c r="K231" i="71"/>
  <c r="Q27" i="73" s="1"/>
  <c r="Q58" i="73" s="1"/>
  <c r="Q59" i="73" s="1"/>
  <c r="K241" i="71"/>
  <c r="AD232" i="71"/>
  <c r="AJ28" i="73" s="1"/>
  <c r="AD231" i="71"/>
  <c r="AJ27" i="73" s="1"/>
  <c r="AJ58" i="73" s="1"/>
  <c r="AJ59" i="73" s="1"/>
  <c r="AD241" i="71"/>
  <c r="Z232" i="71"/>
  <c r="AF28" i="73" s="1"/>
  <c r="Z231" i="71"/>
  <c r="AF27" i="73" s="1"/>
  <c r="Z241" i="71"/>
  <c r="K238" i="71"/>
  <c r="Q47" i="73" s="1"/>
  <c r="K237" i="71"/>
  <c r="Q46" i="73" s="1"/>
  <c r="Q70" i="73" s="1"/>
  <c r="Q71" i="73" s="1"/>
  <c r="R231" i="71"/>
  <c r="X27" i="73" s="1"/>
  <c r="X58" i="73" s="1"/>
  <c r="X59" i="73" s="1"/>
  <c r="R241" i="71"/>
  <c r="R232" i="71"/>
  <c r="X28" i="73" s="1"/>
  <c r="E238" i="71"/>
  <c r="K47" i="73" s="1"/>
  <c r="E237" i="71"/>
  <c r="K46" i="73" s="1"/>
  <c r="AA237" i="71"/>
  <c r="AG46" i="73" s="1"/>
  <c r="AG70" i="73" s="1"/>
  <c r="AG71" i="73" s="1"/>
  <c r="AA238" i="71"/>
  <c r="AG47" i="73" s="1"/>
  <c r="AB231" i="71"/>
  <c r="AH27" i="73" s="1"/>
  <c r="AB232" i="71"/>
  <c r="AH28" i="73" s="1"/>
  <c r="AB241" i="71"/>
  <c r="R238" i="71"/>
  <c r="X47" i="73" s="1"/>
  <c r="R237" i="71"/>
  <c r="X46" i="73" s="1"/>
  <c r="X70" i="73" s="1"/>
  <c r="X71" i="73" s="1"/>
  <c r="E231" i="71"/>
  <c r="K27" i="73" s="1"/>
  <c r="E232" i="71"/>
  <c r="K28" i="73" s="1"/>
  <c r="E241" i="71"/>
  <c r="AA231" i="71"/>
  <c r="AG27" i="73" s="1"/>
  <c r="AG58" i="73" s="1"/>
  <c r="AG59" i="73" s="1"/>
  <c r="AA241" i="71"/>
  <c r="AA232" i="71"/>
  <c r="AG28" i="73" s="1"/>
  <c r="H237" i="71"/>
  <c r="N46" i="73" s="1"/>
  <c r="H238" i="71"/>
  <c r="N47" i="73" s="1"/>
  <c r="S237" i="71"/>
  <c r="Y46" i="73" s="1"/>
  <c r="Y70" i="73" s="1"/>
  <c r="Y71" i="73" s="1"/>
  <c r="S238" i="71"/>
  <c r="Y47" i="73" s="1"/>
  <c r="AE238" i="71"/>
  <c r="AK47" i="73" s="1"/>
  <c r="AE237" i="71"/>
  <c r="AK46" i="73" s="1"/>
  <c r="AK70" i="73" s="1"/>
  <c r="AK71" i="73" s="1"/>
  <c r="H232" i="71"/>
  <c r="N28" i="73" s="1"/>
  <c r="H241" i="71"/>
  <c r="H231" i="71"/>
  <c r="N27" i="73" s="1"/>
  <c r="N58" i="73" s="1"/>
  <c r="N59" i="73" s="1"/>
  <c r="S232" i="71"/>
  <c r="Y28" i="73" s="1"/>
  <c r="S231" i="71"/>
  <c r="Y27" i="73" s="1"/>
  <c r="S241" i="71"/>
  <c r="AE231" i="71"/>
  <c r="AK27" i="73" s="1"/>
  <c r="AE232" i="71"/>
  <c r="AK28" i="73" s="1"/>
  <c r="AE241" i="71"/>
  <c r="L232" i="71"/>
  <c r="R28" i="73" s="1"/>
  <c r="L231" i="71"/>
  <c r="R27" i="73" s="1"/>
  <c r="L241" i="71"/>
  <c r="M237" i="71"/>
  <c r="S46" i="73" s="1"/>
  <c r="M238" i="71"/>
  <c r="S47" i="73" s="1"/>
  <c r="I238" i="71"/>
  <c r="O47" i="73" s="1"/>
  <c r="I237" i="71"/>
  <c r="O46" i="73" s="1"/>
  <c r="W231" i="71"/>
  <c r="AC27" i="73" s="1"/>
  <c r="W232" i="71"/>
  <c r="AC28" i="73" s="1"/>
  <c r="W241" i="71"/>
  <c r="L237" i="71"/>
  <c r="R46" i="73" s="1"/>
  <c r="L238" i="71"/>
  <c r="R47" i="73" s="1"/>
  <c r="M231" i="71"/>
  <c r="S27" i="73" s="1"/>
  <c r="M241" i="71"/>
  <c r="M232" i="71"/>
  <c r="S28" i="73" s="1"/>
  <c r="I231" i="71"/>
  <c r="O27" i="73" s="1"/>
  <c r="O58" i="73" s="1"/>
  <c r="O59" i="73" s="1"/>
  <c r="I232" i="71"/>
  <c r="O28" i="73" s="1"/>
  <c r="I241" i="71"/>
  <c r="K196" i="58"/>
  <c r="Q196" i="58"/>
  <c r="M196" i="58"/>
  <c r="AI196" i="58"/>
  <c r="R196" i="58"/>
  <c r="Q202" i="58"/>
  <c r="K202" i="58"/>
  <c r="M202" i="58"/>
  <c r="AI202" i="58"/>
  <c r="R202" i="58"/>
  <c r="M201" i="58"/>
  <c r="AI201" i="58"/>
  <c r="K201" i="58"/>
  <c r="R201" i="58"/>
  <c r="Q201" i="58"/>
  <c r="R200" i="58"/>
  <c r="K200" i="58"/>
  <c r="Q200" i="58"/>
  <c r="AI200" i="58"/>
  <c r="M200" i="58"/>
  <c r="R197" i="58"/>
  <c r="K197" i="58"/>
  <c r="Q197" i="58"/>
  <c r="AI197" i="58"/>
  <c r="M197" i="58"/>
  <c r="Q199" i="58"/>
  <c r="K199" i="58"/>
  <c r="AI199" i="58"/>
  <c r="M199" i="58"/>
  <c r="R199" i="58"/>
  <c r="Q194" i="58"/>
  <c r="R194" i="58"/>
  <c r="K194" i="58"/>
  <c r="AI194" i="58"/>
  <c r="M194" i="58"/>
  <c r="R203" i="58"/>
  <c r="Q203" i="58"/>
  <c r="K203" i="58"/>
  <c r="M203" i="58"/>
  <c r="AI203" i="58"/>
  <c r="Q193" i="58"/>
  <c r="AI193" i="58"/>
  <c r="M193" i="58"/>
  <c r="R193" i="58"/>
  <c r="K193" i="58"/>
  <c r="M198" i="58"/>
  <c r="AI198" i="58"/>
  <c r="K198" i="58"/>
  <c r="R198" i="58"/>
  <c r="Q198" i="58"/>
  <c r="K195" i="58"/>
  <c r="M195" i="58"/>
  <c r="AI195" i="58"/>
  <c r="R195" i="58"/>
  <c r="Q195" i="58"/>
  <c r="AE81" i="58"/>
  <c r="AJ81" i="58"/>
  <c r="AC81" i="58"/>
  <c r="AA81" i="58"/>
  <c r="B40" i="41"/>
  <c r="P81" i="58"/>
  <c r="L81" i="58"/>
  <c r="AK81" i="58"/>
  <c r="V81" i="58"/>
  <c r="AB81" i="58"/>
  <c r="AL81" i="58"/>
  <c r="X81" i="58"/>
  <c r="T81" i="58"/>
  <c r="AD81" i="58"/>
  <c r="S81" i="58"/>
  <c r="AH81" i="58"/>
  <c r="AG81" i="58"/>
  <c r="Q81" i="58"/>
  <c r="W81" i="58"/>
  <c r="M81" i="58"/>
  <c r="AI81" i="58"/>
  <c r="K81" i="58"/>
  <c r="N81" i="58"/>
  <c r="R81" i="58"/>
  <c r="Y81" i="58"/>
  <c r="AF81" i="58"/>
  <c r="U81" i="58"/>
  <c r="Z81" i="58"/>
  <c r="O81" i="58"/>
  <c r="AJ11" i="54"/>
  <c r="A39" i="54"/>
  <c r="O70" i="73" l="1"/>
  <c r="O71" i="73" s="1"/>
  <c r="W58" i="73"/>
  <c r="W59" i="73" s="1"/>
  <c r="AH58" i="73"/>
  <c r="AH59" i="73" s="1"/>
  <c r="P58" i="73"/>
  <c r="P59" i="73" s="1"/>
  <c r="AA58" i="73"/>
  <c r="AA59" i="73" s="1"/>
  <c r="AC70" i="73"/>
  <c r="AC71" i="73" s="1"/>
  <c r="R58" i="73"/>
  <c r="R59" i="73" s="1"/>
  <c r="AD58" i="73"/>
  <c r="AD59" i="73" s="1"/>
  <c r="M70" i="73"/>
  <c r="M71" i="73" s="1"/>
  <c r="V58" i="73"/>
  <c r="V59" i="73" s="1"/>
  <c r="T58" i="73"/>
  <c r="T59" i="73" s="1"/>
  <c r="Z58" i="73"/>
  <c r="Z59" i="73" s="1"/>
  <c r="AB58" i="73"/>
  <c r="AB59" i="73" s="1"/>
  <c r="S70" i="73"/>
  <c r="S71" i="73" s="1"/>
  <c r="AL70" i="73"/>
  <c r="AL71" i="73" s="1"/>
  <c r="S58" i="73"/>
  <c r="S59" i="73" s="1"/>
  <c r="W70" i="73"/>
  <c r="W71" i="73" s="1"/>
  <c r="AI70" i="73"/>
  <c r="AI71" i="73" s="1"/>
  <c r="K70" i="73"/>
  <c r="K71" i="73" s="1"/>
  <c r="U58" i="73"/>
  <c r="U59" i="73" s="1"/>
  <c r="AF70" i="73"/>
  <c r="AF71" i="73" s="1"/>
  <c r="AJ70" i="73"/>
  <c r="AJ71" i="73" s="1"/>
  <c r="P70" i="73"/>
  <c r="P71" i="73" s="1"/>
  <c r="AB70" i="73"/>
  <c r="AB71" i="73" s="1"/>
  <c r="N70" i="73"/>
  <c r="N71" i="73" s="1"/>
  <c r="AK58" i="73"/>
  <c r="AK59" i="73" s="1"/>
  <c r="K58" i="73"/>
  <c r="K59" i="73" s="1"/>
  <c r="R70" i="73"/>
  <c r="R71" i="73" s="1"/>
  <c r="T70" i="73"/>
  <c r="T71" i="73" s="1"/>
  <c r="V70" i="73"/>
  <c r="V71" i="73" s="1"/>
  <c r="AL58" i="73"/>
  <c r="AL59" i="73" s="1"/>
  <c r="AH70" i="73"/>
  <c r="AH71" i="73" s="1"/>
  <c r="Y58" i="73"/>
  <c r="Y59" i="73" s="1"/>
  <c r="AC58" i="73"/>
  <c r="AC59" i="73" s="1"/>
  <c r="AF58" i="73"/>
  <c r="AF59" i="73" s="1"/>
  <c r="I375" i="41"/>
  <c r="AD372" i="41"/>
  <c r="P374" i="41"/>
  <c r="E371" i="41"/>
  <c r="U369" i="41"/>
  <c r="AC356" i="41"/>
  <c r="AE364" i="41"/>
  <c r="J363" i="41"/>
  <c r="AA356" i="41"/>
  <c r="T366" i="41"/>
  <c r="G374" i="41"/>
  <c r="X369" i="41"/>
  <c r="E373" i="41"/>
  <c r="AF365" i="41"/>
  <c r="R357" i="41"/>
  <c r="Q366" i="41"/>
  <c r="O363" i="41"/>
  <c r="Y366" i="41"/>
  <c r="AC365" i="41"/>
  <c r="R359" i="41"/>
  <c r="Z358" i="41"/>
  <c r="F358" i="41"/>
  <c r="M356" i="41"/>
  <c r="F356" i="41"/>
  <c r="AD366" i="41"/>
  <c r="S374" i="41"/>
  <c r="X371" i="41"/>
  <c r="AE365" i="41"/>
  <c r="AB373" i="41"/>
  <c r="X364" i="41"/>
  <c r="S370" i="41"/>
  <c r="R368" i="41"/>
  <c r="N359" i="41"/>
  <c r="S366" i="41"/>
  <c r="AB364" i="41"/>
  <c r="R371" i="41"/>
  <c r="Q364" i="41"/>
  <c r="J367" i="41"/>
  <c r="P360" i="41"/>
  <c r="W366" i="41"/>
  <c r="AA360" i="41"/>
  <c r="Y369" i="41"/>
  <c r="M360" i="41"/>
  <c r="M369" i="41"/>
  <c r="M363" i="41"/>
  <c r="AD365" i="41"/>
  <c r="T375" i="41"/>
  <c r="Z374" i="41"/>
  <c r="AF357" i="41"/>
  <c r="K372" i="41"/>
  <c r="AD375" i="41"/>
  <c r="L358" i="41"/>
  <c r="V373" i="41"/>
  <c r="I367" i="41"/>
  <c r="Z370" i="41"/>
  <c r="M375" i="41"/>
  <c r="R365" i="41"/>
  <c r="K362" i="41"/>
  <c r="G370" i="41"/>
  <c r="T372" i="41"/>
  <c r="K360" i="41"/>
  <c r="AF359" i="41"/>
  <c r="O356" i="41"/>
  <c r="I365" i="41"/>
  <c r="Y363" i="41"/>
  <c r="W367" i="41"/>
  <c r="U373" i="41"/>
  <c r="R369" i="41"/>
  <c r="L374" i="41"/>
  <c r="S373" i="41"/>
  <c r="E375" i="41"/>
  <c r="M364" i="41"/>
  <c r="AD364" i="41"/>
  <c r="F374" i="41"/>
  <c r="O358" i="41"/>
  <c r="G367" i="41"/>
  <c r="N364" i="41"/>
  <c r="AB370" i="41"/>
  <c r="AB360" i="41"/>
  <c r="G373" i="41"/>
  <c r="U365" i="41"/>
  <c r="F359" i="41"/>
  <c r="Z369" i="41"/>
  <c r="X363" i="41"/>
  <c r="N368" i="41"/>
  <c r="N372" i="41"/>
  <c r="Q367" i="41"/>
  <c r="K374" i="41"/>
  <c r="K359" i="41"/>
  <c r="O371" i="41"/>
  <c r="S364" i="41"/>
  <c r="G363" i="41"/>
  <c r="Q375" i="41"/>
  <c r="V375" i="41"/>
  <c r="H368" i="41"/>
  <c r="K356" i="41"/>
  <c r="S368" i="41"/>
  <c r="Q365" i="41"/>
  <c r="Y375" i="41"/>
  <c r="I359" i="41"/>
  <c r="M372" i="41"/>
  <c r="AB358" i="41"/>
  <c r="I361" i="41"/>
  <c r="S375" i="41"/>
  <c r="AD360" i="41"/>
  <c r="H370" i="41"/>
  <c r="F370" i="41"/>
  <c r="N369" i="41"/>
  <c r="V368" i="41"/>
  <c r="T358" i="41"/>
  <c r="H371" i="41"/>
  <c r="J366" i="41"/>
  <c r="V367" i="41"/>
  <c r="K357" i="41"/>
  <c r="P369" i="41"/>
  <c r="AF367" i="41"/>
  <c r="N361" i="41"/>
  <c r="AA370" i="41"/>
  <c r="AB369" i="41"/>
  <c r="J359" i="41"/>
  <c r="N371" i="41"/>
  <c r="W369" i="41"/>
  <c r="F363" i="41"/>
  <c r="Q357" i="41"/>
  <c r="AC374" i="41"/>
  <c r="O357" i="41"/>
  <c r="R372" i="41"/>
  <c r="U358" i="41"/>
  <c r="U370" i="41"/>
  <c r="R373" i="41"/>
  <c r="G357" i="41"/>
  <c r="O359" i="41"/>
  <c r="M359" i="41"/>
  <c r="S367" i="41"/>
  <c r="M361" i="41"/>
  <c r="W371" i="41"/>
  <c r="E364" i="41"/>
  <c r="V356" i="41"/>
  <c r="P375" i="41"/>
  <c r="T362" i="41"/>
  <c r="AF358" i="41"/>
  <c r="AE362" i="41"/>
  <c r="Q371" i="41"/>
  <c r="H364" i="41"/>
  <c r="U363" i="41"/>
  <c r="U366" i="41"/>
  <c r="AE356" i="41"/>
  <c r="L369" i="41"/>
  <c r="AB367" i="41"/>
  <c r="H367" i="41"/>
  <c r="L364" i="41"/>
  <c r="N363" i="41"/>
  <c r="M357" i="41"/>
  <c r="I357" i="41"/>
  <c r="AA361" i="41"/>
  <c r="AE373" i="41"/>
  <c r="Y367" i="41"/>
  <c r="V369" i="41"/>
  <c r="M362" i="41"/>
  <c r="AC358" i="41"/>
  <c r="AB374" i="41"/>
  <c r="N357" i="41"/>
  <c r="AD370" i="41"/>
  <c r="H369" i="41"/>
  <c r="T369" i="41"/>
  <c r="T359" i="41"/>
  <c r="AD369" i="41"/>
  <c r="W365" i="41"/>
  <c r="Y371" i="41"/>
  <c r="G371" i="41"/>
  <c r="V357" i="41"/>
  <c r="P371" i="41"/>
  <c r="J360" i="41"/>
  <c r="Y372" i="41"/>
  <c r="E372" i="41"/>
  <c r="I369" i="41"/>
  <c r="Z375" i="41"/>
  <c r="W373" i="41"/>
  <c r="E365" i="41"/>
  <c r="H356" i="41"/>
  <c r="AE369" i="41"/>
  <c r="U356" i="41"/>
  <c r="H362" i="41"/>
  <c r="W359" i="41"/>
  <c r="AD361" i="41"/>
  <c r="M365" i="41"/>
  <c r="AC375" i="41"/>
  <c r="I368" i="41"/>
  <c r="AF363" i="41"/>
  <c r="AC370" i="41"/>
  <c r="I370" i="41"/>
  <c r="AB366" i="41"/>
  <c r="O362" i="41"/>
  <c r="Y360" i="41"/>
  <c r="AB362" i="41"/>
  <c r="Z372" i="41"/>
  <c r="L365" i="41"/>
  <c r="F366" i="41"/>
  <c r="J364" i="41"/>
  <c r="G362" i="41"/>
  <c r="X368" i="41"/>
  <c r="P370" i="41"/>
  <c r="P365" i="41"/>
  <c r="H361" i="41"/>
  <c r="AF364" i="41"/>
  <c r="AA372" i="41"/>
  <c r="O372" i="41"/>
  <c r="AA364" i="41"/>
  <c r="X359" i="41"/>
  <c r="G359" i="41"/>
  <c r="Z361" i="41"/>
  <c r="AD373" i="41"/>
  <c r="AF366" i="41"/>
  <c r="M370" i="41"/>
  <c r="O369" i="41"/>
  <c r="P372" i="41"/>
  <c r="R356" i="41"/>
  <c r="R360" i="41"/>
  <c r="AD374" i="41"/>
  <c r="T357" i="41"/>
  <c r="AC368" i="41"/>
  <c r="J369" i="41"/>
  <c r="L361" i="41"/>
  <c r="H359" i="41"/>
  <c r="F362" i="41"/>
  <c r="T367" i="41"/>
  <c r="E362" i="41"/>
  <c r="F364" i="41"/>
  <c r="J362" i="41"/>
  <c r="N367" i="41"/>
  <c r="O361" i="41"/>
  <c r="S359" i="41"/>
  <c r="O367" i="41"/>
  <c r="V372" i="41"/>
  <c r="AB359" i="41"/>
  <c r="G364" i="41"/>
  <c r="K375" i="41"/>
  <c r="Z357" i="41"/>
  <c r="Y365" i="41"/>
  <c r="V359" i="41"/>
  <c r="N358" i="41"/>
  <c r="U374" i="41"/>
  <c r="N374" i="41"/>
  <c r="AF375" i="41"/>
  <c r="M368" i="41"/>
  <c r="G360" i="41"/>
  <c r="AC367" i="41"/>
  <c r="Z359" i="41"/>
  <c r="Y373" i="41"/>
  <c r="Y359" i="41"/>
  <c r="M358" i="41"/>
  <c r="Q358" i="41"/>
  <c r="J365" i="41"/>
  <c r="P362" i="41"/>
  <c r="R358" i="41"/>
  <c r="J374" i="41"/>
  <c r="AE367" i="41"/>
  <c r="AE371" i="41"/>
  <c r="K371" i="41"/>
  <c r="AA369" i="41"/>
  <c r="R363" i="41"/>
  <c r="H374" i="41"/>
  <c r="L362" i="41"/>
  <c r="X361" i="41"/>
  <c r="Q363" i="41"/>
  <c r="L371" i="41"/>
  <c r="W375" i="41"/>
  <c r="AD367" i="41"/>
  <c r="K358" i="41"/>
  <c r="J356" i="41"/>
  <c r="F375" i="41"/>
  <c r="N356" i="41"/>
  <c r="W370" i="41"/>
  <c r="W364" i="41"/>
  <c r="Z362" i="41"/>
  <c r="B41" i="41"/>
  <c r="L360" i="41"/>
  <c r="V374" i="41"/>
  <c r="AE366" i="41"/>
  <c r="F365" i="41"/>
  <c r="AF369" i="41"/>
  <c r="W361" i="41"/>
  <c r="AF373" i="41"/>
  <c r="O374" i="41"/>
  <c r="AE359" i="41"/>
  <c r="Y364" i="41"/>
  <c r="T361" i="41"/>
  <c r="X362" i="41"/>
  <c r="AA373" i="41"/>
  <c r="L366" i="41"/>
  <c r="U371" i="41"/>
  <c r="AA358" i="41"/>
  <c r="G375" i="41"/>
  <c r="W357" i="41"/>
  <c r="Y356" i="41"/>
  <c r="AD371" i="41"/>
  <c r="J371" i="41"/>
  <c r="R370" i="41"/>
  <c r="E367" i="41"/>
  <c r="K366" i="41"/>
  <c r="I360" i="41"/>
  <c r="AF360" i="41"/>
  <c r="AF371" i="41"/>
  <c r="AB371" i="41"/>
  <c r="X366" i="41"/>
  <c r="K373" i="41"/>
  <c r="O366" i="41"/>
  <c r="AA366" i="41"/>
  <c r="AD359" i="41"/>
  <c r="O364" i="41"/>
  <c r="Q368" i="41"/>
  <c r="T356" i="41"/>
  <c r="X370" i="41"/>
  <c r="AC371" i="41"/>
  <c r="M373" i="41"/>
  <c r="AD362" i="41"/>
  <c r="H375" i="41"/>
  <c r="V362" i="41"/>
  <c r="I362" i="41"/>
  <c r="K370" i="41"/>
  <c r="T364" i="41"/>
  <c r="AE358" i="41"/>
  <c r="I356" i="41"/>
  <c r="V361" i="41"/>
  <c r="AF374" i="41"/>
  <c r="X365" i="41"/>
  <c r="W356" i="41"/>
  <c r="O373" i="41"/>
  <c r="AD356" i="41"/>
  <c r="AE372" i="41"/>
  <c r="X373" i="41"/>
  <c r="J373" i="41"/>
  <c r="N366" i="41"/>
  <c r="Z366" i="41"/>
  <c r="W374" i="41"/>
  <c r="X374" i="41"/>
  <c r="T373" i="41"/>
  <c r="N373" i="41"/>
  <c r="J357" i="41"/>
  <c r="Z373" i="41"/>
  <c r="AD358" i="41"/>
  <c r="N375" i="41"/>
  <c r="N365" i="41"/>
  <c r="G361" i="41"/>
  <c r="S365" i="41"/>
  <c r="S362" i="41"/>
  <c r="S361" i="41"/>
  <c r="AA363" i="41"/>
  <c r="AE375" i="41"/>
  <c r="U368" i="41"/>
  <c r="X358" i="41"/>
  <c r="AA365" i="41"/>
  <c r="Z365" i="41"/>
  <c r="R364" i="41"/>
  <c r="P363" i="41"/>
  <c r="E374" i="41"/>
  <c r="U372" i="41"/>
  <c r="E369" i="41"/>
  <c r="AA368" i="41"/>
  <c r="Y374" i="41"/>
  <c r="H373" i="41"/>
  <c r="X357" i="41"/>
  <c r="AA359" i="41"/>
  <c r="R362" i="41"/>
  <c r="G368" i="41"/>
  <c r="Z363" i="41"/>
  <c r="J375" i="41"/>
  <c r="W360" i="41"/>
  <c r="AA367" i="41"/>
  <c r="H358" i="41"/>
  <c r="AD357" i="41"/>
  <c r="AF368" i="41"/>
  <c r="P366" i="41"/>
  <c r="X375" i="41"/>
  <c r="V358" i="41"/>
  <c r="Z371" i="41"/>
  <c r="R375" i="41"/>
  <c r="S356" i="41"/>
  <c r="F360" i="41"/>
  <c r="AB363" i="41"/>
  <c r="Z356" i="41"/>
  <c r="P358" i="41"/>
  <c r="Y368" i="41"/>
  <c r="U357" i="41"/>
  <c r="I374" i="41"/>
  <c r="Z364" i="41"/>
  <c r="AE374" i="41"/>
  <c r="AA375" i="41"/>
  <c r="F373" i="41"/>
  <c r="X367" i="41"/>
  <c r="AB361" i="41"/>
  <c r="E363" i="41"/>
  <c r="AC366" i="41"/>
  <c r="O368" i="41"/>
  <c r="J361" i="41"/>
  <c r="AC360" i="41"/>
  <c r="H357" i="41"/>
  <c r="G369" i="41"/>
  <c r="F369" i="41"/>
  <c r="R366" i="41"/>
  <c r="J370" i="41"/>
  <c r="AB365" i="41"/>
  <c r="AC362" i="41"/>
  <c r="H366" i="41"/>
  <c r="K364" i="41"/>
  <c r="O360" i="41"/>
  <c r="I366" i="41"/>
  <c r="I358" i="41"/>
  <c r="Q374" i="41"/>
  <c r="F368" i="41"/>
  <c r="O370" i="41"/>
  <c r="AE368" i="41"/>
  <c r="Y362" i="41"/>
  <c r="T371" i="41"/>
  <c r="AE363" i="41"/>
  <c r="V360" i="41"/>
  <c r="L370" i="41"/>
  <c r="AC361" i="41"/>
  <c r="L368" i="41"/>
  <c r="I373" i="41"/>
  <c r="AB356" i="41"/>
  <c r="G358" i="41"/>
  <c r="F372" i="41"/>
  <c r="AB372" i="41"/>
  <c r="G365" i="41"/>
  <c r="E359" i="41"/>
  <c r="F361" i="41"/>
  <c r="N360" i="41"/>
  <c r="J358" i="41"/>
  <c r="X372" i="41"/>
  <c r="I371" i="41"/>
  <c r="I372" i="41"/>
  <c r="U375" i="41"/>
  <c r="Y358" i="41"/>
  <c r="AB357" i="41"/>
  <c r="P356" i="41"/>
  <c r="L372" i="41"/>
  <c r="M367" i="41"/>
  <c r="N370" i="41"/>
  <c r="AD368" i="41"/>
  <c r="AF361" i="41"/>
  <c r="AC372" i="41"/>
  <c r="K363" i="41"/>
  <c r="E357" i="41"/>
  <c r="Z368" i="41"/>
  <c r="N362" i="41"/>
  <c r="P368" i="41"/>
  <c r="AE360" i="41"/>
  <c r="F371" i="41"/>
  <c r="AA374" i="41"/>
  <c r="Y357" i="41"/>
  <c r="V370" i="41"/>
  <c r="G366" i="41"/>
  <c r="E366" i="41"/>
  <c r="T363" i="41"/>
  <c r="L375" i="41"/>
  <c r="T374" i="41"/>
  <c r="W362" i="41"/>
  <c r="S360" i="41"/>
  <c r="AC364" i="41"/>
  <c r="U359" i="41"/>
  <c r="W363" i="41"/>
  <c r="X360" i="41"/>
  <c r="H365" i="41"/>
  <c r="P367" i="41"/>
  <c r="V363" i="41"/>
  <c r="Q362" i="41"/>
  <c r="Q370" i="41"/>
  <c r="K365" i="41"/>
  <c r="H360" i="41"/>
  <c r="E356" i="41"/>
  <c r="P364" i="41"/>
  <c r="T365" i="41"/>
  <c r="H363" i="41"/>
  <c r="S363" i="41"/>
  <c r="F357" i="41"/>
  <c r="AF356" i="41"/>
  <c r="U360" i="41"/>
  <c r="Z360" i="41"/>
  <c r="F367" i="41"/>
  <c r="P359" i="41"/>
  <c r="K368" i="41"/>
  <c r="AC363" i="41"/>
  <c r="AA362" i="41"/>
  <c r="L359" i="41"/>
  <c r="L357" i="41"/>
  <c r="W368" i="41"/>
  <c r="AC357" i="41"/>
  <c r="L363" i="41"/>
  <c r="I364" i="41"/>
  <c r="E358" i="41"/>
  <c r="O375" i="41"/>
  <c r="E360" i="41"/>
  <c r="U362" i="41"/>
  <c r="S357" i="41"/>
  <c r="AF370" i="41"/>
  <c r="AB368" i="41"/>
  <c r="E370" i="41"/>
  <c r="O365" i="41"/>
  <c r="Y361" i="41"/>
  <c r="AC373" i="41"/>
  <c r="Q360" i="41"/>
  <c r="X356" i="41"/>
  <c r="S371" i="41"/>
  <c r="Z367" i="41"/>
  <c r="U367" i="41"/>
  <c r="I363" i="41"/>
  <c r="AC359" i="41"/>
  <c r="K361" i="41"/>
  <c r="V365" i="41"/>
  <c r="Y370" i="41"/>
  <c r="J368" i="41"/>
  <c r="V364" i="41"/>
  <c r="AC369" i="41"/>
  <c r="R374" i="41"/>
  <c r="U361" i="41"/>
  <c r="E368" i="41"/>
  <c r="Q373" i="41"/>
  <c r="P361" i="41"/>
  <c r="AF372" i="41"/>
  <c r="AE357" i="41"/>
  <c r="L373" i="41"/>
  <c r="R367" i="41"/>
  <c r="V366" i="41"/>
  <c r="J372" i="41"/>
  <c r="AB375" i="41"/>
  <c r="K369" i="41"/>
  <c r="T368" i="41"/>
  <c r="S372" i="41"/>
  <c r="L367" i="41"/>
  <c r="M366" i="41"/>
  <c r="AE370" i="41"/>
  <c r="T360" i="41"/>
  <c r="Q372" i="41"/>
  <c r="AD363" i="41"/>
  <c r="W358" i="41"/>
  <c r="M374" i="41"/>
  <c r="K367" i="41"/>
  <c r="Q359" i="41"/>
  <c r="S369" i="41"/>
  <c r="R361" i="41"/>
  <c r="U364" i="41"/>
  <c r="M371" i="41"/>
  <c r="L356" i="41"/>
  <c r="E361" i="41"/>
  <c r="P357" i="41"/>
  <c r="Q356" i="41"/>
  <c r="G356" i="41"/>
  <c r="H372" i="41"/>
  <c r="G372" i="41"/>
  <c r="Q361" i="41"/>
  <c r="AA371" i="41"/>
  <c r="T370" i="41"/>
  <c r="AA357" i="41"/>
  <c r="S358" i="41"/>
  <c r="Q369" i="41"/>
  <c r="V371" i="41"/>
  <c r="W372" i="41"/>
  <c r="AF362" i="41"/>
  <c r="AE361" i="41"/>
  <c r="P373" i="41"/>
  <c r="F24" i="51"/>
  <c r="L25" i="51" s="1"/>
  <c r="F4" i="51"/>
  <c r="F5" i="51"/>
  <c r="F6" i="51"/>
  <c r="F7" i="51"/>
  <c r="F9" i="51"/>
  <c r="F10" i="51"/>
  <c r="F11" i="51"/>
  <c r="F12" i="51"/>
  <c r="F13" i="51"/>
  <c r="F14" i="51"/>
  <c r="F15" i="51"/>
  <c r="F16" i="51"/>
  <c r="F17" i="51"/>
  <c r="F18" i="51"/>
  <c r="F19" i="51"/>
  <c r="F20" i="51"/>
  <c r="F21" i="51"/>
  <c r="F22" i="51"/>
  <c r="F23"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3" i="51"/>
  <c r="K5" i="51" l="1"/>
  <c r="L9" i="51"/>
  <c r="K4" i="51"/>
  <c r="AB383" i="41"/>
  <c r="AB403" i="41"/>
  <c r="G393" i="41"/>
  <c r="G413" i="41"/>
  <c r="E407" i="41"/>
  <c r="E387" i="41"/>
  <c r="W412" i="41"/>
  <c r="W392" i="41"/>
  <c r="AE391" i="41"/>
  <c r="AE411" i="41"/>
  <c r="AA390" i="41"/>
  <c r="AA410" i="41"/>
  <c r="K402" i="41"/>
  <c r="K382" i="41"/>
  <c r="J407" i="41"/>
  <c r="J387" i="41"/>
  <c r="Y386" i="41"/>
  <c r="Y406" i="41"/>
  <c r="V411" i="41"/>
  <c r="V391" i="41"/>
  <c r="M414" i="41"/>
  <c r="M394" i="41"/>
  <c r="E408" i="41"/>
  <c r="E388" i="41"/>
  <c r="AB388" i="41"/>
  <c r="AB408" i="41"/>
  <c r="AF376" i="41"/>
  <c r="AF396" i="41"/>
  <c r="T414" i="41"/>
  <c r="T394" i="41"/>
  <c r="L392" i="41"/>
  <c r="L412" i="41"/>
  <c r="L390" i="41"/>
  <c r="L410" i="41"/>
  <c r="H397" i="41"/>
  <c r="H377" i="41"/>
  <c r="R415" i="41"/>
  <c r="R395" i="41"/>
  <c r="U392" i="41"/>
  <c r="U412" i="41"/>
  <c r="T393" i="41"/>
  <c r="T413" i="41"/>
  <c r="H395" i="41"/>
  <c r="H415" i="41"/>
  <c r="J411" i="41"/>
  <c r="J391" i="41"/>
  <c r="L380" i="41"/>
  <c r="L400" i="41"/>
  <c r="AE407" i="41"/>
  <c r="AE387" i="41"/>
  <c r="K415" i="41"/>
  <c r="K395" i="41"/>
  <c r="R396" i="41"/>
  <c r="R376" i="41"/>
  <c r="L385" i="41"/>
  <c r="L405" i="41"/>
  <c r="Z395" i="41"/>
  <c r="Z415" i="41"/>
  <c r="Y407" i="41"/>
  <c r="Y387" i="41"/>
  <c r="E384" i="41"/>
  <c r="E404" i="41"/>
  <c r="N381" i="41"/>
  <c r="N401" i="41"/>
  <c r="S388" i="41"/>
  <c r="S408" i="41"/>
  <c r="N384" i="41"/>
  <c r="N404" i="41"/>
  <c r="R385" i="41"/>
  <c r="R405" i="41"/>
  <c r="Q384" i="41"/>
  <c r="Q404" i="41"/>
  <c r="O403" i="41"/>
  <c r="O383" i="41"/>
  <c r="AD408" i="41"/>
  <c r="AD388" i="41"/>
  <c r="I379" i="41"/>
  <c r="I399" i="41"/>
  <c r="J377" i="41"/>
  <c r="J397" i="41"/>
  <c r="G390" i="41"/>
  <c r="G410" i="41"/>
  <c r="V382" i="41"/>
  <c r="V402" i="41"/>
  <c r="V409" i="41"/>
  <c r="V389" i="41"/>
  <c r="U381" i="41"/>
  <c r="U401" i="41"/>
  <c r="AC400" i="41"/>
  <c r="AC380" i="41"/>
  <c r="X394" i="41"/>
  <c r="X414" i="41"/>
  <c r="AD402" i="41"/>
  <c r="AD382" i="41"/>
  <c r="AD391" i="41"/>
  <c r="AD411" i="41"/>
  <c r="B42" i="41"/>
  <c r="B43" i="41" s="1"/>
  <c r="J414" i="41"/>
  <c r="J394" i="41"/>
  <c r="G384" i="41"/>
  <c r="G404" i="41"/>
  <c r="P392" i="41"/>
  <c r="P412" i="41"/>
  <c r="Z392" i="41"/>
  <c r="Z412" i="41"/>
  <c r="I389" i="41"/>
  <c r="I409" i="41"/>
  <c r="AE413" i="41"/>
  <c r="AE393" i="41"/>
  <c r="W411" i="41"/>
  <c r="W391" i="41"/>
  <c r="AF387" i="41"/>
  <c r="AF407" i="41"/>
  <c r="K376" i="41"/>
  <c r="K396" i="41"/>
  <c r="G387" i="41"/>
  <c r="G407" i="41"/>
  <c r="M395" i="41"/>
  <c r="M415" i="41"/>
  <c r="R411" i="41"/>
  <c r="R391" i="41"/>
  <c r="Q406" i="41"/>
  <c r="Q386" i="41"/>
  <c r="Y394" i="41"/>
  <c r="Y414" i="41"/>
  <c r="W386" i="41"/>
  <c r="W406" i="41"/>
  <c r="AD394" i="41"/>
  <c r="AD414" i="41"/>
  <c r="U400" i="41"/>
  <c r="U380" i="41"/>
  <c r="R380" i="41"/>
  <c r="R400" i="41"/>
  <c r="AB410" i="41"/>
  <c r="AB390" i="41"/>
  <c r="P396" i="41"/>
  <c r="P376" i="41"/>
  <c r="AD383" i="41"/>
  <c r="AD403" i="41"/>
  <c r="AB397" i="41"/>
  <c r="AB377" i="41"/>
  <c r="AE403" i="41"/>
  <c r="AE383" i="41"/>
  <c r="J401" i="41"/>
  <c r="J381" i="41"/>
  <c r="V378" i="41"/>
  <c r="V398" i="41"/>
  <c r="P403" i="41"/>
  <c r="P383" i="41"/>
  <c r="W414" i="41"/>
  <c r="W394" i="41"/>
  <c r="M413" i="41"/>
  <c r="M393" i="41"/>
  <c r="Y396" i="41"/>
  <c r="Y376" i="41"/>
  <c r="Z382" i="41"/>
  <c r="Z402" i="41"/>
  <c r="R378" i="41"/>
  <c r="R398" i="41"/>
  <c r="AB379" i="41"/>
  <c r="AB399" i="41"/>
  <c r="O409" i="41"/>
  <c r="O389" i="41"/>
  <c r="AB402" i="41"/>
  <c r="AB382" i="41"/>
  <c r="E392" i="41"/>
  <c r="E412" i="41"/>
  <c r="AA381" i="41"/>
  <c r="AA401" i="41"/>
  <c r="M381" i="41"/>
  <c r="M401" i="41"/>
  <c r="P389" i="41"/>
  <c r="P409" i="41"/>
  <c r="H388" i="41"/>
  <c r="H408" i="41"/>
  <c r="O398" i="41"/>
  <c r="O378" i="41"/>
  <c r="Z390" i="41"/>
  <c r="Z410" i="41"/>
  <c r="AB404" i="41"/>
  <c r="AB384" i="41"/>
  <c r="R397" i="41"/>
  <c r="R377" i="41"/>
  <c r="V379" i="41"/>
  <c r="V399" i="41"/>
  <c r="Q379" i="41"/>
  <c r="Q399" i="41"/>
  <c r="K411" i="41"/>
  <c r="K391" i="41"/>
  <c r="K387" i="41"/>
  <c r="K407" i="41"/>
  <c r="Z377" i="41"/>
  <c r="Z397" i="41"/>
  <c r="Q405" i="41"/>
  <c r="Q385" i="41"/>
  <c r="F397" i="41"/>
  <c r="F377" i="41"/>
  <c r="E394" i="41"/>
  <c r="E414" i="41"/>
  <c r="S383" i="41"/>
  <c r="S403" i="41"/>
  <c r="Q412" i="41"/>
  <c r="Q392" i="41"/>
  <c r="H383" i="41"/>
  <c r="H403" i="41"/>
  <c r="Y398" i="41"/>
  <c r="Y378" i="41"/>
  <c r="T391" i="41"/>
  <c r="T411" i="41"/>
  <c r="O408" i="41"/>
  <c r="O388" i="41"/>
  <c r="X395" i="41"/>
  <c r="X415" i="41"/>
  <c r="R384" i="41"/>
  <c r="R404" i="41"/>
  <c r="Z386" i="41"/>
  <c r="Z406" i="41"/>
  <c r="AC411" i="41"/>
  <c r="AC391" i="41"/>
  <c r="W377" i="41"/>
  <c r="W397" i="41"/>
  <c r="W384" i="41"/>
  <c r="W404" i="41"/>
  <c r="P382" i="41"/>
  <c r="P402" i="41"/>
  <c r="V392" i="41"/>
  <c r="V412" i="41"/>
  <c r="M410" i="41"/>
  <c r="M390" i="41"/>
  <c r="Y380" i="41"/>
  <c r="Y400" i="41"/>
  <c r="Y392" i="41"/>
  <c r="Y412" i="41"/>
  <c r="I377" i="41"/>
  <c r="I397" i="41"/>
  <c r="S407" i="41"/>
  <c r="S387" i="41"/>
  <c r="K377" i="41"/>
  <c r="K397" i="41"/>
  <c r="V395" i="41"/>
  <c r="V415" i="41"/>
  <c r="F394" i="41"/>
  <c r="F414" i="41"/>
  <c r="I387" i="41"/>
  <c r="I407" i="41"/>
  <c r="S386" i="41"/>
  <c r="S406" i="41"/>
  <c r="AF405" i="41"/>
  <c r="AF385" i="41"/>
  <c r="R386" i="41"/>
  <c r="R406" i="41"/>
  <c r="T392" i="41"/>
  <c r="T412" i="41"/>
  <c r="AE406" i="41"/>
  <c r="AE386" i="41"/>
  <c r="E410" i="41"/>
  <c r="E390" i="41"/>
  <c r="F406" i="41"/>
  <c r="F386" i="41"/>
  <c r="Q409" i="41"/>
  <c r="Q389" i="41"/>
  <c r="V400" i="41"/>
  <c r="V380" i="41"/>
  <c r="R414" i="41"/>
  <c r="R394" i="41"/>
  <c r="AA397" i="41"/>
  <c r="AA377" i="41"/>
  <c r="U382" i="41"/>
  <c r="U402" i="41"/>
  <c r="T410" i="41"/>
  <c r="T390" i="41"/>
  <c r="T400" i="41"/>
  <c r="T380" i="41"/>
  <c r="V404" i="41"/>
  <c r="V384" i="41"/>
  <c r="E380" i="41"/>
  <c r="E400" i="41"/>
  <c r="T405" i="41"/>
  <c r="T385" i="41"/>
  <c r="G386" i="41"/>
  <c r="G406" i="41"/>
  <c r="U395" i="41"/>
  <c r="U415" i="41"/>
  <c r="Y382" i="41"/>
  <c r="Y402" i="41"/>
  <c r="AC386" i="41"/>
  <c r="AC406" i="41"/>
  <c r="P386" i="41"/>
  <c r="P406" i="41"/>
  <c r="Z385" i="41"/>
  <c r="Z405" i="41"/>
  <c r="N406" i="41"/>
  <c r="N386" i="41"/>
  <c r="X390" i="41"/>
  <c r="X410" i="41"/>
  <c r="G415" i="41"/>
  <c r="G395" i="41"/>
  <c r="W390" i="41"/>
  <c r="W410" i="41"/>
  <c r="J405" i="41"/>
  <c r="J385" i="41"/>
  <c r="O387" i="41"/>
  <c r="O407" i="41"/>
  <c r="AF386" i="41"/>
  <c r="AF406" i="41"/>
  <c r="O402" i="41"/>
  <c r="O382" i="41"/>
  <c r="J380" i="41"/>
  <c r="J400" i="41"/>
  <c r="M397" i="41"/>
  <c r="M377" i="41"/>
  <c r="M399" i="41"/>
  <c r="M379" i="41"/>
  <c r="V387" i="41"/>
  <c r="V407" i="41"/>
  <c r="Q395" i="41"/>
  <c r="Q415" i="41"/>
  <c r="AD404" i="41"/>
  <c r="AD384" i="41"/>
  <c r="V393" i="41"/>
  <c r="V413" i="41"/>
  <c r="N379" i="41"/>
  <c r="N399" i="41"/>
  <c r="E413" i="41"/>
  <c r="E393" i="41"/>
  <c r="AF412" i="41"/>
  <c r="AF392" i="41"/>
  <c r="H376" i="41"/>
  <c r="H396" i="41"/>
  <c r="L388" i="41"/>
  <c r="L408" i="41"/>
  <c r="AB400" i="41"/>
  <c r="AB380" i="41"/>
  <c r="N413" i="41"/>
  <c r="N393" i="41"/>
  <c r="W413" i="41"/>
  <c r="W393" i="41"/>
  <c r="W378" i="41"/>
  <c r="W398" i="41"/>
  <c r="L395" i="41"/>
  <c r="L415" i="41"/>
  <c r="S378" i="41"/>
  <c r="S398" i="41"/>
  <c r="T403" i="41"/>
  <c r="T383" i="41"/>
  <c r="AC409" i="41"/>
  <c r="AC389" i="41"/>
  <c r="E386" i="41"/>
  <c r="E406" i="41"/>
  <c r="AA411" i="41"/>
  <c r="AA391" i="41"/>
  <c r="AE390" i="41"/>
  <c r="AE410" i="41"/>
  <c r="J408" i="41"/>
  <c r="J388" i="41"/>
  <c r="O395" i="41"/>
  <c r="O415" i="41"/>
  <c r="P404" i="41"/>
  <c r="P384" i="41"/>
  <c r="V390" i="41"/>
  <c r="V410" i="41"/>
  <c r="I412" i="41"/>
  <c r="I392" i="41"/>
  <c r="AE408" i="41"/>
  <c r="AE388" i="41"/>
  <c r="E383" i="41"/>
  <c r="E403" i="41"/>
  <c r="AF388" i="41"/>
  <c r="AF408" i="41"/>
  <c r="AA405" i="41"/>
  <c r="AA385" i="41"/>
  <c r="J393" i="41"/>
  <c r="J413" i="41"/>
  <c r="T376" i="41"/>
  <c r="T396" i="41"/>
  <c r="AA398" i="41"/>
  <c r="AA378" i="41"/>
  <c r="N396" i="41"/>
  <c r="N376" i="41"/>
  <c r="Q378" i="41"/>
  <c r="Q398" i="41"/>
  <c r="S379" i="41"/>
  <c r="S399" i="41"/>
  <c r="AD413" i="41"/>
  <c r="AD393" i="41"/>
  <c r="AB406" i="41"/>
  <c r="AB386" i="41"/>
  <c r="P411" i="41"/>
  <c r="P391" i="41"/>
  <c r="N383" i="41"/>
  <c r="N403" i="41"/>
  <c r="O379" i="41"/>
  <c r="O399" i="41"/>
  <c r="J386" i="41"/>
  <c r="J406" i="41"/>
  <c r="G403" i="41"/>
  <c r="G383" i="41"/>
  <c r="M404" i="41"/>
  <c r="M384" i="41"/>
  <c r="L398" i="41"/>
  <c r="L378" i="41"/>
  <c r="R388" i="41"/>
  <c r="R408" i="41"/>
  <c r="X389" i="41"/>
  <c r="X409" i="41"/>
  <c r="F407" i="41"/>
  <c r="F387" i="41"/>
  <c r="T382" i="41"/>
  <c r="T402" i="41"/>
  <c r="AA408" i="41"/>
  <c r="AA388" i="41"/>
  <c r="AC405" i="41"/>
  <c r="AC385" i="41"/>
  <c r="R390" i="41"/>
  <c r="R410" i="41"/>
  <c r="V396" i="41"/>
  <c r="V376" i="41"/>
  <c r="AF390" i="41"/>
  <c r="AF410" i="41"/>
  <c r="Z391" i="41"/>
  <c r="Z411" i="41"/>
  <c r="S377" i="41"/>
  <c r="S397" i="41"/>
  <c r="Q401" i="41"/>
  <c r="Q381" i="41"/>
  <c r="M386" i="41"/>
  <c r="M406" i="41"/>
  <c r="Y390" i="41"/>
  <c r="Y410" i="41"/>
  <c r="E398" i="41"/>
  <c r="E378" i="41"/>
  <c r="E376" i="41"/>
  <c r="E396" i="41"/>
  <c r="Y397" i="41"/>
  <c r="Y377" i="41"/>
  <c r="I391" i="41"/>
  <c r="I411" i="41"/>
  <c r="O390" i="41"/>
  <c r="O410" i="41"/>
  <c r="AB381" i="41"/>
  <c r="AB401" i="41"/>
  <c r="AD377" i="41"/>
  <c r="AD397" i="41"/>
  <c r="X378" i="41"/>
  <c r="X398" i="41"/>
  <c r="X413" i="41"/>
  <c r="X393" i="41"/>
  <c r="Q408" i="41"/>
  <c r="Q388" i="41"/>
  <c r="U391" i="41"/>
  <c r="U411" i="41"/>
  <c r="F415" i="41"/>
  <c r="F395" i="41"/>
  <c r="M378" i="41"/>
  <c r="M398" i="41"/>
  <c r="O401" i="41"/>
  <c r="O381" i="41"/>
  <c r="Z381" i="41"/>
  <c r="Z401" i="41"/>
  <c r="I410" i="41"/>
  <c r="I390" i="41"/>
  <c r="V377" i="41"/>
  <c r="V397" i="41"/>
  <c r="L404" i="41"/>
  <c r="L384" i="41"/>
  <c r="G397" i="41"/>
  <c r="G377" i="41"/>
  <c r="H391" i="41"/>
  <c r="H411" i="41"/>
  <c r="S404" i="41"/>
  <c r="S384" i="41"/>
  <c r="E395" i="41"/>
  <c r="E415" i="41"/>
  <c r="AD415" i="41"/>
  <c r="AD395" i="41"/>
  <c r="S390" i="41"/>
  <c r="S410" i="41"/>
  <c r="G394" i="41"/>
  <c r="G414" i="41"/>
  <c r="AE381" i="41"/>
  <c r="AE401" i="41"/>
  <c r="T397" i="41"/>
  <c r="T377" i="41"/>
  <c r="N410" i="41"/>
  <c r="N390" i="41"/>
  <c r="E385" i="41"/>
  <c r="E405" i="41"/>
  <c r="W382" i="41"/>
  <c r="W402" i="41"/>
  <c r="L387" i="41"/>
  <c r="L407" i="41"/>
  <c r="X407" i="41"/>
  <c r="X387" i="41"/>
  <c r="U388" i="41"/>
  <c r="U408" i="41"/>
  <c r="AE412" i="41"/>
  <c r="AE392" i="41"/>
  <c r="O404" i="41"/>
  <c r="O384" i="41"/>
  <c r="L386" i="41"/>
  <c r="L406" i="41"/>
  <c r="J376" i="41"/>
  <c r="J396" i="41"/>
  <c r="Y379" i="41"/>
  <c r="Y399" i="41"/>
  <c r="N407" i="41"/>
  <c r="N387" i="41"/>
  <c r="G399" i="41"/>
  <c r="G379" i="41"/>
  <c r="AC390" i="41"/>
  <c r="AC410" i="41"/>
  <c r="G411" i="41"/>
  <c r="G391" i="41"/>
  <c r="H407" i="41"/>
  <c r="H387" i="41"/>
  <c r="R413" i="41"/>
  <c r="R393" i="41"/>
  <c r="T398" i="41"/>
  <c r="T378" i="41"/>
  <c r="O411" i="41"/>
  <c r="O391" i="41"/>
  <c r="S413" i="41"/>
  <c r="S393" i="41"/>
  <c r="K412" i="41"/>
  <c r="K392" i="41"/>
  <c r="X404" i="41"/>
  <c r="X384" i="41"/>
  <c r="T386" i="41"/>
  <c r="T406" i="41"/>
  <c r="AC384" i="41"/>
  <c r="AC404" i="41"/>
  <c r="J379" i="41"/>
  <c r="J399" i="41"/>
  <c r="I402" i="41"/>
  <c r="I382" i="41"/>
  <c r="P380" i="41"/>
  <c r="P400" i="41"/>
  <c r="V414" i="41"/>
  <c r="V394" i="41"/>
  <c r="F388" i="41"/>
  <c r="F408" i="41"/>
  <c r="F411" i="41"/>
  <c r="F391" i="41"/>
  <c r="J378" i="41"/>
  <c r="J398" i="41"/>
  <c r="Q414" i="41"/>
  <c r="Q394" i="41"/>
  <c r="F413" i="41"/>
  <c r="F393" i="41"/>
  <c r="AA407" i="41"/>
  <c r="AA387" i="41"/>
  <c r="AE395" i="41"/>
  <c r="AE415" i="41"/>
  <c r="AD396" i="41"/>
  <c r="AD376" i="41"/>
  <c r="AD399" i="41"/>
  <c r="AD379" i="41"/>
  <c r="AA413" i="41"/>
  <c r="AA393" i="41"/>
  <c r="K378" i="41"/>
  <c r="K398" i="41"/>
  <c r="Y393" i="41"/>
  <c r="Y413" i="41"/>
  <c r="J402" i="41"/>
  <c r="J382" i="41"/>
  <c r="X399" i="41"/>
  <c r="X379" i="41"/>
  <c r="AF383" i="41"/>
  <c r="AF403" i="41"/>
  <c r="Y391" i="41"/>
  <c r="Y411" i="41"/>
  <c r="AB387" i="41"/>
  <c r="AB407" i="41"/>
  <c r="U410" i="41"/>
  <c r="U390" i="41"/>
  <c r="V388" i="41"/>
  <c r="V408" i="41"/>
  <c r="K379" i="41"/>
  <c r="K399" i="41"/>
  <c r="L394" i="41"/>
  <c r="L414" i="41"/>
  <c r="AF397" i="41"/>
  <c r="AF377" i="41"/>
  <c r="AB413" i="41"/>
  <c r="AB393" i="41"/>
  <c r="AA396" i="41"/>
  <c r="AA376" i="41"/>
  <c r="Z393" i="41"/>
  <c r="Z413" i="41"/>
  <c r="AF402" i="41"/>
  <c r="AF382" i="41"/>
  <c r="J384" i="41"/>
  <c r="J404" i="41"/>
  <c r="M387" i="41"/>
  <c r="M407" i="41"/>
  <c r="V385" i="41"/>
  <c r="V405" i="41"/>
  <c r="H412" i="41"/>
  <c r="H392" i="41"/>
  <c r="G376" i="41"/>
  <c r="G396" i="41"/>
  <c r="T388" i="41"/>
  <c r="T408" i="41"/>
  <c r="AC379" i="41"/>
  <c r="AC399" i="41"/>
  <c r="AC377" i="41"/>
  <c r="AC397" i="41"/>
  <c r="Q390" i="41"/>
  <c r="Q410" i="41"/>
  <c r="AE400" i="41"/>
  <c r="AE380" i="41"/>
  <c r="N400" i="41"/>
  <c r="N380" i="41"/>
  <c r="I378" i="41"/>
  <c r="I398" i="41"/>
  <c r="AA415" i="41"/>
  <c r="AA395" i="41"/>
  <c r="W380" i="41"/>
  <c r="W400" i="41"/>
  <c r="AA403" i="41"/>
  <c r="AA383" i="41"/>
  <c r="O413" i="41"/>
  <c r="O393" i="41"/>
  <c r="AA406" i="41"/>
  <c r="AA386" i="41"/>
  <c r="X402" i="41"/>
  <c r="X382" i="41"/>
  <c r="AD387" i="41"/>
  <c r="AD407" i="41"/>
  <c r="Z379" i="41"/>
  <c r="Z399" i="41"/>
  <c r="F404" i="41"/>
  <c r="F384" i="41"/>
  <c r="AA384" i="41"/>
  <c r="AA404" i="41"/>
  <c r="I388" i="41"/>
  <c r="I408" i="41"/>
  <c r="W385" i="41"/>
  <c r="W405" i="41"/>
  <c r="L389" i="41"/>
  <c r="L409" i="41"/>
  <c r="U398" i="41"/>
  <c r="U378" i="41"/>
  <c r="N409" i="41"/>
  <c r="N389" i="41"/>
  <c r="K414" i="41"/>
  <c r="K394" i="41"/>
  <c r="R409" i="41"/>
  <c r="R389" i="41"/>
  <c r="Z394" i="41"/>
  <c r="Z414" i="41"/>
  <c r="AE405" i="41"/>
  <c r="AE385" i="41"/>
  <c r="J403" i="41"/>
  <c r="J383" i="41"/>
  <c r="K410" i="41"/>
  <c r="K390" i="41"/>
  <c r="P401" i="41"/>
  <c r="P381" i="41"/>
  <c r="Y395" i="41"/>
  <c r="Y415" i="41"/>
  <c r="AC401" i="41"/>
  <c r="AC381" i="41"/>
  <c r="AA414" i="41"/>
  <c r="AA394" i="41"/>
  <c r="L403" i="41"/>
  <c r="L383" i="41"/>
  <c r="Q396" i="41"/>
  <c r="Q376" i="41"/>
  <c r="K389" i="41"/>
  <c r="K409" i="41"/>
  <c r="I383" i="41"/>
  <c r="I403" i="41"/>
  <c r="W388" i="41"/>
  <c r="W408" i="41"/>
  <c r="Q402" i="41"/>
  <c r="Q382" i="41"/>
  <c r="P388" i="41"/>
  <c r="P408" i="41"/>
  <c r="F381" i="41"/>
  <c r="F401" i="41"/>
  <c r="I386" i="41"/>
  <c r="I406" i="41"/>
  <c r="AE414" i="41"/>
  <c r="AE394" i="41"/>
  <c r="J415" i="41"/>
  <c r="J395" i="41"/>
  <c r="S381" i="41"/>
  <c r="S401" i="41"/>
  <c r="W376" i="41"/>
  <c r="W396" i="41"/>
  <c r="O406" i="41"/>
  <c r="O386" i="41"/>
  <c r="T401" i="41"/>
  <c r="T381" i="41"/>
  <c r="W415" i="41"/>
  <c r="W395" i="41"/>
  <c r="AC407" i="41"/>
  <c r="AC387" i="41"/>
  <c r="E402" i="41"/>
  <c r="E382" i="41"/>
  <c r="O392" i="41"/>
  <c r="O412" i="41"/>
  <c r="AC395" i="41"/>
  <c r="AC415" i="41"/>
  <c r="AD389" i="41"/>
  <c r="AD409" i="41"/>
  <c r="AE396" i="41"/>
  <c r="AE376" i="41"/>
  <c r="R412" i="41"/>
  <c r="R392" i="41"/>
  <c r="F410" i="41"/>
  <c r="F390" i="41"/>
  <c r="Q407" i="41"/>
  <c r="Q387" i="41"/>
  <c r="U393" i="41"/>
  <c r="U413" i="41"/>
  <c r="T395" i="41"/>
  <c r="T415" i="41"/>
  <c r="X391" i="41"/>
  <c r="X411" i="41"/>
  <c r="AE404" i="41"/>
  <c r="AE384" i="41"/>
  <c r="AA389" i="41"/>
  <c r="AA409" i="41"/>
  <c r="Z380" i="41"/>
  <c r="Z400" i="41"/>
  <c r="P395" i="41"/>
  <c r="P415" i="41"/>
  <c r="E389" i="41"/>
  <c r="E409" i="41"/>
  <c r="I384" i="41"/>
  <c r="I404" i="41"/>
  <c r="K405" i="41"/>
  <c r="K385" i="41"/>
  <c r="P397" i="41"/>
  <c r="P377" i="41"/>
  <c r="AB395" i="41"/>
  <c r="AB415" i="41"/>
  <c r="U407" i="41"/>
  <c r="U387" i="41"/>
  <c r="L377" i="41"/>
  <c r="L397" i="41"/>
  <c r="V383" i="41"/>
  <c r="V403" i="41"/>
  <c r="N382" i="41"/>
  <c r="N402" i="41"/>
  <c r="E379" i="41"/>
  <c r="E399" i="41"/>
  <c r="O380" i="41"/>
  <c r="O400" i="41"/>
  <c r="Z404" i="41"/>
  <c r="Z384" i="41"/>
  <c r="Z383" i="41"/>
  <c r="Z403" i="41"/>
  <c r="S382" i="41"/>
  <c r="S402" i="41"/>
  <c r="X405" i="41"/>
  <c r="X385" i="41"/>
  <c r="K413" i="41"/>
  <c r="K393" i="41"/>
  <c r="Y384" i="41"/>
  <c r="Y404" i="41"/>
  <c r="L411" i="41"/>
  <c r="L391" i="41"/>
  <c r="G400" i="41"/>
  <c r="G380" i="41"/>
  <c r="T407" i="41"/>
  <c r="T387" i="41"/>
  <c r="AA392" i="41"/>
  <c r="AA412" i="41"/>
  <c r="M405" i="41"/>
  <c r="M385" i="41"/>
  <c r="T379" i="41"/>
  <c r="T399" i="41"/>
  <c r="U406" i="41"/>
  <c r="U386" i="41"/>
  <c r="O377" i="41"/>
  <c r="O397" i="41"/>
  <c r="H410" i="41"/>
  <c r="H390" i="41"/>
  <c r="N392" i="41"/>
  <c r="N412" i="41"/>
  <c r="W387" i="41"/>
  <c r="W407" i="41"/>
  <c r="AD405" i="41"/>
  <c r="AD385" i="41"/>
  <c r="S394" i="41"/>
  <c r="S414" i="41"/>
  <c r="AC396" i="41"/>
  <c r="AC376" i="41"/>
  <c r="I393" i="41"/>
  <c r="I413" i="41"/>
  <c r="R379" i="41"/>
  <c r="R399" i="41"/>
  <c r="Y385" i="41"/>
  <c r="Y405" i="41"/>
  <c r="Q393" i="41"/>
  <c r="Q413" i="41"/>
  <c r="G392" i="41"/>
  <c r="G412" i="41"/>
  <c r="H378" i="41"/>
  <c r="H398" i="41"/>
  <c r="E381" i="41"/>
  <c r="E401" i="41"/>
  <c r="J412" i="41"/>
  <c r="J392" i="41"/>
  <c r="Z407" i="41"/>
  <c r="Z387" i="41"/>
  <c r="L379" i="41"/>
  <c r="L399" i="41"/>
  <c r="P387" i="41"/>
  <c r="P407" i="41"/>
  <c r="Z388" i="41"/>
  <c r="Z408" i="41"/>
  <c r="G405" i="41"/>
  <c r="G385" i="41"/>
  <c r="K384" i="41"/>
  <c r="K404" i="41"/>
  <c r="I394" i="41"/>
  <c r="I414" i="41"/>
  <c r="G388" i="41"/>
  <c r="G408" i="41"/>
  <c r="S405" i="41"/>
  <c r="S385" i="41"/>
  <c r="AF394" i="41"/>
  <c r="AF414" i="41"/>
  <c r="X386" i="41"/>
  <c r="X406" i="41"/>
  <c r="AE399" i="41"/>
  <c r="AE379" i="41"/>
  <c r="Q403" i="41"/>
  <c r="Q383" i="41"/>
  <c r="M408" i="41"/>
  <c r="M388" i="41"/>
  <c r="F402" i="41"/>
  <c r="F382" i="41"/>
  <c r="AF404" i="41"/>
  <c r="AF384" i="41"/>
  <c r="AD381" i="41"/>
  <c r="AD401" i="41"/>
  <c r="T409" i="41"/>
  <c r="T389" i="41"/>
  <c r="U403" i="41"/>
  <c r="U383" i="41"/>
  <c r="AC394" i="41"/>
  <c r="AC414" i="41"/>
  <c r="AD400" i="41"/>
  <c r="AD380" i="41"/>
  <c r="N388" i="41"/>
  <c r="N408" i="41"/>
  <c r="Y403" i="41"/>
  <c r="Y383" i="41"/>
  <c r="M383" i="41"/>
  <c r="M403" i="41"/>
  <c r="AD406" i="41"/>
  <c r="AD386" i="41"/>
  <c r="U389" i="41"/>
  <c r="U409" i="41"/>
  <c r="F405" i="41"/>
  <c r="F385" i="41"/>
  <c r="O385" i="41"/>
  <c r="O405" i="41"/>
  <c r="AB409" i="41"/>
  <c r="AB389" i="41"/>
  <c r="G389" i="41"/>
  <c r="G409" i="41"/>
  <c r="X392" i="41"/>
  <c r="X412" i="41"/>
  <c r="S392" i="41"/>
  <c r="S412" i="41"/>
  <c r="L376" i="41"/>
  <c r="L396" i="41"/>
  <c r="V406" i="41"/>
  <c r="V386" i="41"/>
  <c r="S391" i="41"/>
  <c r="S411" i="41"/>
  <c r="AA382" i="41"/>
  <c r="AA402" i="41"/>
  <c r="H405" i="41"/>
  <c r="H385" i="41"/>
  <c r="E377" i="41"/>
  <c r="E397" i="41"/>
  <c r="AB412" i="41"/>
  <c r="AB392" i="41"/>
  <c r="H386" i="41"/>
  <c r="H406" i="41"/>
  <c r="U397" i="41"/>
  <c r="U377" i="41"/>
  <c r="R382" i="41"/>
  <c r="R402" i="41"/>
  <c r="G401" i="41"/>
  <c r="G381" i="41"/>
  <c r="V401" i="41"/>
  <c r="V381" i="41"/>
  <c r="AB411" i="41"/>
  <c r="AB391" i="41"/>
  <c r="O414" i="41"/>
  <c r="O394" i="41"/>
  <c r="X401" i="41"/>
  <c r="X381" i="41"/>
  <c r="AF395" i="41"/>
  <c r="AF415" i="41"/>
  <c r="H379" i="41"/>
  <c r="H399" i="41"/>
  <c r="H401" i="41"/>
  <c r="H381" i="41"/>
  <c r="W379" i="41"/>
  <c r="W399" i="41"/>
  <c r="H409" i="41"/>
  <c r="H389" i="41"/>
  <c r="H384" i="41"/>
  <c r="H404" i="41"/>
  <c r="Q377" i="41"/>
  <c r="Q397" i="41"/>
  <c r="S395" i="41"/>
  <c r="S415" i="41"/>
  <c r="X383" i="41"/>
  <c r="X403" i="41"/>
  <c r="I385" i="41"/>
  <c r="I405" i="41"/>
  <c r="M389" i="41"/>
  <c r="M409" i="41"/>
  <c r="F396" i="41"/>
  <c r="F376" i="41"/>
  <c r="E411" i="41"/>
  <c r="E391" i="41"/>
  <c r="K406" i="41"/>
  <c r="K386" i="41"/>
  <c r="S380" i="41"/>
  <c r="S400" i="41"/>
  <c r="M382" i="41"/>
  <c r="M402" i="41"/>
  <c r="S396" i="41"/>
  <c r="S376" i="41"/>
  <c r="H380" i="41"/>
  <c r="H400" i="41"/>
  <c r="K381" i="41"/>
  <c r="K401" i="41"/>
  <c r="M391" i="41"/>
  <c r="M411" i="41"/>
  <c r="R387" i="41"/>
  <c r="R407" i="41"/>
  <c r="X376" i="41"/>
  <c r="X396" i="41"/>
  <c r="AC383" i="41"/>
  <c r="AC403" i="41"/>
  <c r="X380" i="41"/>
  <c r="X400" i="41"/>
  <c r="K403" i="41"/>
  <c r="K383" i="41"/>
  <c r="F412" i="41"/>
  <c r="F392" i="41"/>
  <c r="AC382" i="41"/>
  <c r="AC402" i="41"/>
  <c r="Y388" i="41"/>
  <c r="Y408" i="41"/>
  <c r="AA379" i="41"/>
  <c r="AA399" i="41"/>
  <c r="N405" i="41"/>
  <c r="N385" i="41"/>
  <c r="I396" i="41"/>
  <c r="I376" i="41"/>
  <c r="AF391" i="41"/>
  <c r="AF411" i="41"/>
  <c r="AF393" i="41"/>
  <c r="AF413" i="41"/>
  <c r="L382" i="41"/>
  <c r="L402" i="41"/>
  <c r="N414" i="41"/>
  <c r="N394" i="41"/>
  <c r="L381" i="41"/>
  <c r="L401" i="41"/>
  <c r="P385" i="41"/>
  <c r="P405" i="41"/>
  <c r="H382" i="41"/>
  <c r="H402" i="41"/>
  <c r="AD410" i="41"/>
  <c r="AD390" i="41"/>
  <c r="Q411" i="41"/>
  <c r="Q391" i="41"/>
  <c r="F383" i="41"/>
  <c r="F403" i="41"/>
  <c r="I401" i="41"/>
  <c r="I381" i="41"/>
  <c r="Z389" i="41"/>
  <c r="Z409" i="41"/>
  <c r="O396" i="41"/>
  <c r="U62" i="55" s="1"/>
  <c r="O376" i="41"/>
  <c r="U41" i="55" s="1"/>
  <c r="M380" i="41"/>
  <c r="M400" i="41"/>
  <c r="M376" i="41"/>
  <c r="M396" i="41"/>
  <c r="P394" i="41"/>
  <c r="P414" i="41"/>
  <c r="S409" i="41"/>
  <c r="S389" i="41"/>
  <c r="G382" i="41"/>
  <c r="G402" i="41"/>
  <c r="F409" i="41"/>
  <c r="F389" i="41"/>
  <c r="U404" i="41"/>
  <c r="U384" i="41"/>
  <c r="Q400" i="41"/>
  <c r="Q380" i="41"/>
  <c r="W383" i="41"/>
  <c r="W403" i="41"/>
  <c r="AC392" i="41"/>
  <c r="AC412" i="41"/>
  <c r="G378" i="41"/>
  <c r="G398" i="41"/>
  <c r="AB385" i="41"/>
  <c r="AB405" i="41"/>
  <c r="P378" i="41"/>
  <c r="P398" i="41"/>
  <c r="X397" i="41"/>
  <c r="X377" i="41"/>
  <c r="N415" i="41"/>
  <c r="N395" i="41"/>
  <c r="AE398" i="41"/>
  <c r="AE378" i="41"/>
  <c r="AF400" i="41"/>
  <c r="AF380" i="41"/>
  <c r="W381" i="41"/>
  <c r="W401" i="41"/>
  <c r="H394" i="41"/>
  <c r="H414" i="41"/>
  <c r="U394" i="41"/>
  <c r="U414" i="41"/>
  <c r="J389" i="41"/>
  <c r="J409" i="41"/>
  <c r="P390" i="41"/>
  <c r="P410" i="41"/>
  <c r="U396" i="41"/>
  <c r="U376" i="41"/>
  <c r="N397" i="41"/>
  <c r="N377" i="41"/>
  <c r="AE402" i="41"/>
  <c r="AE382" i="41"/>
  <c r="W409" i="41"/>
  <c r="W389" i="41"/>
  <c r="AB378" i="41"/>
  <c r="AB398" i="41"/>
  <c r="F379" i="41"/>
  <c r="F399" i="41"/>
  <c r="AF399" i="41"/>
  <c r="AF379" i="41"/>
  <c r="Y409" i="41"/>
  <c r="Y389" i="41"/>
  <c r="F398" i="41"/>
  <c r="F378" i="41"/>
  <c r="AD392" i="41"/>
  <c r="AD412" i="41"/>
  <c r="Y381" i="41"/>
  <c r="Y401" i="41"/>
  <c r="AC378" i="41"/>
  <c r="AC398" i="41"/>
  <c r="F380" i="41"/>
  <c r="F400" i="41"/>
  <c r="L413" i="41"/>
  <c r="L393" i="41"/>
  <c r="K388" i="41"/>
  <c r="K408" i="41"/>
  <c r="P413" i="41"/>
  <c r="P393" i="41"/>
  <c r="R381" i="41"/>
  <c r="R401" i="41"/>
  <c r="AE377" i="41"/>
  <c r="AE397" i="41"/>
  <c r="AC413" i="41"/>
  <c r="AC393" i="41"/>
  <c r="P399" i="41"/>
  <c r="P379" i="41"/>
  <c r="U379" i="41"/>
  <c r="U399" i="41"/>
  <c r="AF401" i="41"/>
  <c r="AF381" i="41"/>
  <c r="AB376" i="41"/>
  <c r="AB396" i="41"/>
  <c r="J410" i="41"/>
  <c r="J390" i="41"/>
  <c r="Z376" i="41"/>
  <c r="Z396" i="41"/>
  <c r="H393" i="41"/>
  <c r="H413" i="41"/>
  <c r="AD398" i="41"/>
  <c r="AD378" i="41"/>
  <c r="T384" i="41"/>
  <c r="T404" i="41"/>
  <c r="I380" i="41"/>
  <c r="I400" i="41"/>
  <c r="AF409" i="41"/>
  <c r="AF389" i="41"/>
  <c r="R383" i="41"/>
  <c r="R403" i="41"/>
  <c r="N378" i="41"/>
  <c r="N398" i="41"/>
  <c r="AC388" i="41"/>
  <c r="AC408" i="41"/>
  <c r="X408" i="41"/>
  <c r="X388" i="41"/>
  <c r="AE409" i="41"/>
  <c r="AE389" i="41"/>
  <c r="AB394" i="41"/>
  <c r="AB414" i="41"/>
  <c r="AF398" i="41"/>
  <c r="AF378" i="41"/>
  <c r="N411" i="41"/>
  <c r="N391" i="41"/>
  <c r="M392" i="41"/>
  <c r="M412" i="41"/>
  <c r="U405" i="41"/>
  <c r="U385" i="41"/>
  <c r="K400" i="41"/>
  <c r="K380" i="41"/>
  <c r="AA400" i="41"/>
  <c r="AA380" i="41"/>
  <c r="Z398" i="41"/>
  <c r="Z378" i="41"/>
  <c r="I415" i="41"/>
  <c r="I395" i="41"/>
  <c r="K20" i="51"/>
  <c r="L8" i="51"/>
  <c r="K19" i="51"/>
  <c r="L27" i="51"/>
  <c r="L7" i="51"/>
  <c r="L28" i="51"/>
  <c r="K18" i="51"/>
  <c r="L26" i="51"/>
  <c r="L6" i="51"/>
  <c r="L24" i="51"/>
  <c r="K15" i="51"/>
  <c r="L23" i="51"/>
  <c r="K16" i="51"/>
  <c r="K14" i="51"/>
  <c r="L22" i="51"/>
  <c r="K13" i="51"/>
  <c r="L21" i="51"/>
  <c r="K12" i="51"/>
  <c r="L20" i="51"/>
  <c r="K31" i="51"/>
  <c r="K11" i="51"/>
  <c r="L19" i="51"/>
  <c r="K30" i="51"/>
  <c r="K10" i="51"/>
  <c r="L18" i="51"/>
  <c r="K29" i="51"/>
  <c r="K9" i="51"/>
  <c r="L17" i="51"/>
  <c r="K17" i="51"/>
  <c r="K28" i="51"/>
  <c r="K8" i="51"/>
  <c r="L16" i="51"/>
  <c r="L5" i="51"/>
  <c r="K27" i="51"/>
  <c r="K7" i="51"/>
  <c r="L15" i="51"/>
  <c r="K26" i="51"/>
  <c r="K6" i="51"/>
  <c r="L14" i="51"/>
  <c r="L13" i="51"/>
  <c r="K24" i="51"/>
  <c r="L4" i="51"/>
  <c r="L12" i="51"/>
  <c r="K23" i="51"/>
  <c r="L31" i="51"/>
  <c r="L11" i="51"/>
  <c r="K25" i="51"/>
  <c r="M25" i="51" s="1"/>
  <c r="K22" i="51"/>
  <c r="L30" i="51"/>
  <c r="L10" i="51"/>
  <c r="K21" i="51"/>
  <c r="L29" i="51"/>
  <c r="N5" i="49"/>
  <c r="N6" i="49"/>
  <c r="N7" i="49"/>
  <c r="N8" i="49"/>
  <c r="N9" i="49"/>
  <c r="N10" i="49"/>
  <c r="N11" i="49"/>
  <c r="N12" i="49"/>
  <c r="N13" i="49"/>
  <c r="N14" i="49"/>
  <c r="N15" i="49"/>
  <c r="N16" i="49"/>
  <c r="N17" i="49"/>
  <c r="N18" i="49"/>
  <c r="N19" i="49"/>
  <c r="N20" i="49"/>
  <c r="N21" i="49"/>
  <c r="N22" i="49"/>
  <c r="N23" i="49"/>
  <c r="N24" i="49"/>
  <c r="N25" i="49"/>
  <c r="N26" i="49"/>
  <c r="N27" i="49"/>
  <c r="N28" i="49"/>
  <c r="N29" i="49"/>
  <c r="N30" i="49"/>
  <c r="N31" i="49"/>
  <c r="N32" i="49"/>
  <c r="N33" i="49"/>
  <c r="N34" i="49"/>
  <c r="N35" i="49"/>
  <c r="N36" i="49"/>
  <c r="N37" i="49"/>
  <c r="N38" i="49"/>
  <c r="N39" i="49"/>
  <c r="N40" i="49"/>
  <c r="N41" i="49"/>
  <c r="N42" i="49"/>
  <c r="N43" i="49"/>
  <c r="N44" i="49"/>
  <c r="N45" i="49"/>
  <c r="N46" i="49"/>
  <c r="N47" i="49"/>
  <c r="N48" i="49"/>
  <c r="N49" i="49"/>
  <c r="N50" i="49"/>
  <c r="N51" i="49"/>
  <c r="N52" i="49"/>
  <c r="N53" i="49"/>
  <c r="N54" i="49"/>
  <c r="N55" i="49"/>
  <c r="N56" i="49"/>
  <c r="N4" i="49"/>
  <c r="H28" i="45"/>
  <c r="H33" i="45"/>
  <c r="H29" i="45"/>
  <c r="H26" i="45"/>
  <c r="D35" i="45"/>
  <c r="D36" i="45"/>
  <c r="D22" i="45"/>
  <c r="C13" i="45"/>
  <c r="D13" i="45"/>
  <c r="C10" i="45"/>
  <c r="C11" i="45"/>
  <c r="D12" i="45"/>
  <c r="C12" i="45"/>
  <c r="D11" i="45"/>
  <c r="D10" i="45"/>
  <c r="D9" i="45"/>
  <c r="D15" i="45"/>
  <c r="D14" i="45"/>
  <c r="D34" i="45"/>
  <c r="D33" i="45"/>
  <c r="D31" i="45"/>
  <c r="D32" i="45"/>
  <c r="D30" i="45"/>
  <c r="D26" i="45"/>
  <c r="D29" i="45"/>
  <c r="D27" i="45"/>
  <c r="D28" i="45"/>
  <c r="D24" i="45"/>
  <c r="D25" i="45"/>
  <c r="J28" i="45" l="1"/>
  <c r="AD19" i="54" s="1"/>
  <c r="I28" i="45"/>
  <c r="AD18" i="54" s="1"/>
  <c r="I26" i="45"/>
  <c r="AA18" i="54" s="1"/>
  <c r="J26" i="45"/>
  <c r="AA19" i="54" s="1"/>
  <c r="I29" i="45"/>
  <c r="Q18" i="54" s="1"/>
  <c r="J29" i="45"/>
  <c r="Q19" i="54" s="1"/>
  <c r="I33" i="45"/>
  <c r="W18" i="54" s="1"/>
  <c r="J33" i="45"/>
  <c r="W19" i="54" s="1"/>
  <c r="P15" i="54"/>
  <c r="P16" i="54"/>
  <c r="P14" i="54"/>
  <c r="AH15" i="54"/>
  <c r="AH16" i="54"/>
  <c r="AH14" i="54"/>
  <c r="AD14" i="54"/>
  <c r="AD15" i="54"/>
  <c r="AD16" i="54"/>
  <c r="O14" i="54"/>
  <c r="O15" i="54"/>
  <c r="O16" i="54"/>
  <c r="Q14" i="54"/>
  <c r="Q15" i="54"/>
  <c r="Q16" i="54"/>
  <c r="AA14" i="54"/>
  <c r="AA15" i="54"/>
  <c r="AA16" i="54"/>
  <c r="S14" i="54"/>
  <c r="S15" i="54"/>
  <c r="S16" i="54"/>
  <c r="U14" i="54"/>
  <c r="U15" i="54"/>
  <c r="U16" i="54"/>
  <c r="T14" i="54"/>
  <c r="T15" i="54"/>
  <c r="T16" i="54"/>
  <c r="W14" i="54"/>
  <c r="W15" i="54"/>
  <c r="W16" i="54"/>
  <c r="V14" i="54"/>
  <c r="V15" i="54"/>
  <c r="V16" i="54"/>
  <c r="AF14" i="54"/>
  <c r="AF15" i="54"/>
  <c r="AF16" i="54"/>
  <c r="L14" i="54"/>
  <c r="L15" i="54"/>
  <c r="L16" i="54"/>
  <c r="G16" i="54"/>
  <c r="G15" i="54"/>
  <c r="G14" i="54"/>
  <c r="H14" i="54"/>
  <c r="H15" i="54"/>
  <c r="H16" i="54"/>
  <c r="I14" i="54"/>
  <c r="I15" i="54"/>
  <c r="I16" i="54"/>
  <c r="J11" i="54"/>
  <c r="J12" i="54"/>
  <c r="J13" i="54"/>
  <c r="J14" i="54"/>
  <c r="J15" i="54"/>
  <c r="J16" i="54"/>
  <c r="I11" i="54"/>
  <c r="I12" i="54"/>
  <c r="I13" i="54"/>
  <c r="H11" i="54"/>
  <c r="H12" i="54"/>
  <c r="H13" i="54"/>
  <c r="AE14" i="54"/>
  <c r="AE15" i="54"/>
  <c r="AE16" i="54"/>
  <c r="AE11" i="54"/>
  <c r="AE12" i="54"/>
  <c r="AE13" i="54"/>
  <c r="AG14" i="54"/>
  <c r="AG15" i="54"/>
  <c r="AG16" i="54"/>
  <c r="AB14" i="54"/>
  <c r="AB15" i="54"/>
  <c r="AB16" i="54"/>
  <c r="AC14" i="54"/>
  <c r="AC15" i="54"/>
  <c r="AC16" i="54"/>
  <c r="W52" i="64"/>
  <c r="AF62" i="55"/>
  <c r="AF41" i="55"/>
  <c r="AH62" i="55"/>
  <c r="AH41" i="55"/>
  <c r="AA41" i="55"/>
  <c r="AA62" i="55"/>
  <c r="S62" i="55"/>
  <c r="S41" i="55"/>
  <c r="O41" i="55"/>
  <c r="O62" i="55"/>
  <c r="AD62" i="55"/>
  <c r="AD41" i="55"/>
  <c r="Y41" i="55"/>
  <c r="Y62" i="55"/>
  <c r="L41" i="55"/>
  <c r="L62" i="55"/>
  <c r="R62" i="55"/>
  <c r="R41" i="55"/>
  <c r="AI41" i="55"/>
  <c r="AI62" i="55"/>
  <c r="AK41" i="55"/>
  <c r="AK62" i="55"/>
  <c r="AC62" i="55"/>
  <c r="AC41" i="55"/>
  <c r="W41" i="55"/>
  <c r="W62" i="55"/>
  <c r="M62" i="55"/>
  <c r="M41" i="55"/>
  <c r="AG41" i="55"/>
  <c r="AG62" i="55"/>
  <c r="AJ41" i="55"/>
  <c r="AJ62" i="55"/>
  <c r="P62" i="55"/>
  <c r="P41" i="55"/>
  <c r="K62" i="55"/>
  <c r="K41" i="55"/>
  <c r="AB41" i="55"/>
  <c r="AB62" i="55"/>
  <c r="T41" i="55"/>
  <c r="T62" i="55"/>
  <c r="Z62" i="55"/>
  <c r="Z41" i="55"/>
  <c r="N62" i="55"/>
  <c r="N41" i="55"/>
  <c r="AE41" i="55"/>
  <c r="AE62" i="55"/>
  <c r="V41" i="55"/>
  <c r="V62" i="55"/>
  <c r="Q62" i="55"/>
  <c r="Q41" i="55"/>
  <c r="X41" i="55"/>
  <c r="X62" i="55"/>
  <c r="AL62" i="55"/>
  <c r="AL41" i="55"/>
  <c r="S66" i="55"/>
  <c r="T57" i="55"/>
  <c r="N54" i="55"/>
  <c r="AB56" i="55"/>
  <c r="N5" i="51"/>
  <c r="M9" i="51"/>
  <c r="M23" i="51"/>
  <c r="M24" i="51"/>
  <c r="M4" i="51"/>
  <c r="M7" i="51"/>
  <c r="M27" i="51"/>
  <c r="M13" i="51"/>
  <c r="N15" i="51"/>
  <c r="M14" i="51"/>
  <c r="N30" i="51"/>
  <c r="M17" i="51"/>
  <c r="N19" i="51"/>
  <c r="M26" i="51"/>
  <c r="N16" i="51"/>
  <c r="N10" i="51"/>
  <c r="M28" i="51"/>
  <c r="M20" i="51"/>
  <c r="P76" i="34"/>
  <c r="AD76" i="34"/>
  <c r="N76" i="34"/>
  <c r="Q76" i="34"/>
  <c r="AC76" i="34"/>
  <c r="E76" i="34"/>
  <c r="O76" i="34"/>
  <c r="R76" i="34"/>
  <c r="S76" i="34"/>
  <c r="T76" i="34"/>
  <c r="M76" i="34"/>
  <c r="U76" i="34"/>
  <c r="V76" i="34"/>
  <c r="W76" i="34"/>
  <c r="X76" i="34"/>
  <c r="AF76" i="34"/>
  <c r="Y76" i="34"/>
  <c r="F76" i="34"/>
  <c r="Z76" i="34"/>
  <c r="AA76" i="34"/>
  <c r="AB76" i="34"/>
  <c r="AE76" i="34"/>
  <c r="K9" i="45"/>
  <c r="G76" i="34"/>
  <c r="H76" i="34"/>
  <c r="I76" i="34"/>
  <c r="J76" i="34"/>
  <c r="K76" i="34"/>
  <c r="L76" i="34"/>
  <c r="M12" i="51"/>
  <c r="M6" i="51"/>
  <c r="AB71" i="55"/>
  <c r="O66" i="55"/>
  <c r="Q48" i="55"/>
  <c r="T78" i="55"/>
  <c r="N75" i="55"/>
  <c r="X47" i="55"/>
  <c r="AK65" i="55"/>
  <c r="R44" i="55"/>
  <c r="AF44" i="55"/>
  <c r="AL68" i="55"/>
  <c r="U66" i="55"/>
  <c r="P54" i="55"/>
  <c r="AA43" i="55"/>
  <c r="AJ45" i="55"/>
  <c r="Y78" i="55"/>
  <c r="Z52" i="55"/>
  <c r="K65" i="55"/>
  <c r="AJ73" i="55"/>
  <c r="W76" i="55"/>
  <c r="AL69" i="55"/>
  <c r="Z72" i="55"/>
  <c r="X68" i="55"/>
  <c r="R68" i="55"/>
  <c r="AD45" i="55"/>
  <c r="AF73" i="55"/>
  <c r="AL48" i="55"/>
  <c r="S45" i="55"/>
  <c r="Z70" i="55"/>
  <c r="Z49" i="55"/>
  <c r="AL78" i="55"/>
  <c r="O45" i="55"/>
  <c r="AA78" i="55"/>
  <c r="AJ54" i="55"/>
  <c r="P75" i="55"/>
  <c r="Q69" i="55"/>
  <c r="AC65" i="55"/>
  <c r="AD66" i="55"/>
  <c r="AH57" i="55"/>
  <c r="AE54" i="55"/>
  <c r="AE75" i="55"/>
  <c r="AK44" i="55"/>
  <c r="K43" i="55"/>
  <c r="P64" i="55"/>
  <c r="AE52" i="55"/>
  <c r="T74" i="55"/>
  <c r="R65" i="55"/>
  <c r="AI42" i="55"/>
  <c r="K75" i="55"/>
  <c r="AC63" i="55"/>
  <c r="Q75" i="55"/>
  <c r="AF78" i="55"/>
  <c r="AF65" i="55"/>
  <c r="AK45" i="55"/>
  <c r="AL47" i="55"/>
  <c r="AE77" i="55"/>
  <c r="AG52" i="55"/>
  <c r="AI70" i="55"/>
  <c r="AI76" i="55"/>
  <c r="R73" i="55"/>
  <c r="Y49" i="55"/>
  <c r="AA77" i="55"/>
  <c r="AG53" i="55"/>
  <c r="T69" i="55"/>
  <c r="AG50" i="55"/>
  <c r="AG56" i="55"/>
  <c r="R74" i="55"/>
  <c r="S43" i="55"/>
  <c r="AF71" i="55"/>
  <c r="Z55" i="55"/>
  <c r="X72" i="55"/>
  <c r="AE66" i="55"/>
  <c r="U53" i="55"/>
  <c r="U45" i="55"/>
  <c r="AK66" i="55"/>
  <c r="AE56" i="55"/>
  <c r="AG73" i="55"/>
  <c r="AI49" i="55"/>
  <c r="AI55" i="55"/>
  <c r="R52" i="55"/>
  <c r="Y70" i="55"/>
  <c r="AA56" i="55"/>
  <c r="AG74" i="55"/>
  <c r="T48" i="55"/>
  <c r="AG71" i="55"/>
  <c r="AG77" i="55"/>
  <c r="R53" i="55"/>
  <c r="S64" i="55"/>
  <c r="AF50" i="55"/>
  <c r="M44" i="55"/>
  <c r="AC68" i="55"/>
  <c r="N77" i="55"/>
  <c r="W53" i="55"/>
  <c r="AE76" i="55"/>
  <c r="Z68" i="55"/>
  <c r="V56" i="55"/>
  <c r="AL74" i="55"/>
  <c r="K72" i="55"/>
  <c r="N63" i="55"/>
  <c r="P66" i="55"/>
  <c r="AA64" i="55"/>
  <c r="M65" i="55"/>
  <c r="AC47" i="55"/>
  <c r="N56" i="55"/>
  <c r="W74" i="55"/>
  <c r="AE55" i="55"/>
  <c r="Z47" i="55"/>
  <c r="V77" i="55"/>
  <c r="AL53" i="55"/>
  <c r="AF57" i="55"/>
  <c r="Q51" i="55"/>
  <c r="K44" i="55"/>
  <c r="AK63" i="55"/>
  <c r="AJ52" i="55"/>
  <c r="AI64" i="55"/>
  <c r="AG42" i="55"/>
  <c r="AD44" i="55"/>
  <c r="W57" i="55"/>
  <c r="AD49" i="55"/>
  <c r="T52" i="55"/>
  <c r="Y45" i="55"/>
  <c r="R69" i="55"/>
  <c r="AD68" i="55"/>
  <c r="AI43" i="55"/>
  <c r="AG63" i="55"/>
  <c r="AD65" i="55"/>
  <c r="W78" i="55"/>
  <c r="AD70" i="55"/>
  <c r="T73" i="55"/>
  <c r="K50" i="55"/>
  <c r="M64" i="55"/>
  <c r="S51" i="55"/>
  <c r="L73" i="55"/>
  <c r="AK64" i="55"/>
  <c r="AD72" i="55"/>
  <c r="Y57" i="55"/>
  <c r="AI78" i="55"/>
  <c r="R48" i="55"/>
  <c r="Q57" i="55"/>
  <c r="AD47" i="55"/>
  <c r="X46" i="55"/>
  <c r="AL65" i="55"/>
  <c r="N57" i="55"/>
  <c r="AC48" i="55"/>
  <c r="AF54" i="55"/>
  <c r="AI48" i="55"/>
  <c r="K77" i="55"/>
  <c r="N67" i="55"/>
  <c r="N51" i="55"/>
  <c r="M54" i="55"/>
  <c r="AI57" i="55"/>
  <c r="AL57" i="55"/>
  <c r="AJ71" i="55"/>
  <c r="M66" i="55"/>
  <c r="T47" i="55"/>
  <c r="AF45" i="55"/>
  <c r="Q78" i="55"/>
  <c r="AH78" i="55"/>
  <c r="L65" i="55"/>
  <c r="AC67" i="55"/>
  <c r="W45" i="55"/>
  <c r="O46" i="55"/>
  <c r="AL77" i="55"/>
  <c r="AD63" i="55"/>
  <c r="L42" i="55"/>
  <c r="N65" i="55"/>
  <c r="AH54" i="55"/>
  <c r="AA48" i="55"/>
  <c r="Y50" i="55"/>
  <c r="K67" i="55"/>
  <c r="AC73" i="55"/>
  <c r="R56" i="55"/>
  <c r="AB69" i="55"/>
  <c r="AG75" i="55"/>
  <c r="AK57" i="55"/>
  <c r="AG57" i="55"/>
  <c r="T54" i="55"/>
  <c r="AG51" i="55"/>
  <c r="AI65" i="55"/>
  <c r="P47" i="55"/>
  <c r="AE65" i="55"/>
  <c r="T55" i="55"/>
  <c r="AK42" i="55"/>
  <c r="W42" i="55"/>
  <c r="U63" i="55"/>
  <c r="X75" i="55"/>
  <c r="X67" i="55"/>
  <c r="AF66" i="55"/>
  <c r="L44" i="55"/>
  <c r="O67" i="55"/>
  <c r="AB48" i="55"/>
  <c r="AG54" i="55"/>
  <c r="AK78" i="55"/>
  <c r="AD54" i="55"/>
  <c r="AK74" i="55"/>
  <c r="Z69" i="55"/>
  <c r="AL51" i="55"/>
  <c r="AE47" i="55"/>
  <c r="X78" i="55"/>
  <c r="O52" i="55"/>
  <c r="V47" i="55"/>
  <c r="N48" i="55"/>
  <c r="AB44" i="55"/>
  <c r="AK43" i="55"/>
  <c r="AD51" i="55"/>
  <c r="W55" i="55"/>
  <c r="S75" i="55"/>
  <c r="Z54" i="55"/>
  <c r="M74" i="55"/>
  <c r="AE70" i="55"/>
  <c r="R64" i="55"/>
  <c r="AK49" i="55"/>
  <c r="O72" i="55"/>
  <c r="AI46" i="55"/>
  <c r="Z74" i="55"/>
  <c r="AL43" i="55"/>
  <c r="L56" i="55"/>
  <c r="P63" i="55"/>
  <c r="Z43" i="55"/>
  <c r="AB64" i="55"/>
  <c r="AJ64" i="55"/>
  <c r="Y64" i="55"/>
  <c r="X74" i="55"/>
  <c r="Y65" i="55"/>
  <c r="K54" i="55"/>
  <c r="X54" i="55"/>
  <c r="Q72" i="55"/>
  <c r="U50" i="55"/>
  <c r="AE49" i="55"/>
  <c r="O51" i="55"/>
  <c r="AI67" i="55"/>
  <c r="Z53" i="55"/>
  <c r="AL64" i="55"/>
  <c r="L77" i="55"/>
  <c r="P42" i="55"/>
  <c r="Z64" i="55"/>
  <c r="Y67" i="55"/>
  <c r="T77" i="55"/>
  <c r="AA57" i="55"/>
  <c r="AC69" i="55"/>
  <c r="N72" i="55"/>
  <c r="M45" i="55"/>
  <c r="W66" i="55"/>
  <c r="L63" i="55"/>
  <c r="Y71" i="55"/>
  <c r="K46" i="55"/>
  <c r="R77" i="55"/>
  <c r="AG78" i="55"/>
  <c r="T75" i="55"/>
  <c r="AI44" i="55"/>
  <c r="P68" i="55"/>
  <c r="T76" i="55"/>
  <c r="Q74" i="55"/>
  <c r="AL45" i="55"/>
  <c r="L69" i="55"/>
  <c r="O42" i="55"/>
  <c r="Q53" i="55"/>
  <c r="S54" i="55"/>
  <c r="R43" i="55"/>
  <c r="AJ67" i="55"/>
  <c r="N55" i="55"/>
  <c r="AD77" i="55"/>
  <c r="U56" i="55"/>
  <c r="R72" i="55"/>
  <c r="AK67" i="55"/>
  <c r="O55" i="55"/>
  <c r="AH67" i="55"/>
  <c r="AF77" i="55"/>
  <c r="Q54" i="55"/>
  <c r="AF52" i="55"/>
  <c r="K64" i="55"/>
  <c r="AA70" i="55"/>
  <c r="X52" i="55"/>
  <c r="AD53" i="55"/>
  <c r="AC54" i="55"/>
  <c r="S77" i="55"/>
  <c r="AD46" i="55"/>
  <c r="N50" i="55"/>
  <c r="L50" i="55"/>
  <c r="O78" i="55"/>
  <c r="AA52" i="55"/>
  <c r="K47" i="55"/>
  <c r="L67" i="55"/>
  <c r="R75" i="55"/>
  <c r="AG48" i="55"/>
  <c r="M63" i="55"/>
  <c r="R78" i="55"/>
  <c r="L74" i="55"/>
  <c r="AD74" i="55"/>
  <c r="P76" i="55"/>
  <c r="AC75" i="55"/>
  <c r="W77" i="55"/>
  <c r="O50" i="55"/>
  <c r="AD67" i="55"/>
  <c r="L71" i="55"/>
  <c r="AA73" i="55"/>
  <c r="R57" i="55"/>
  <c r="U77" i="55"/>
  <c r="O76" i="55"/>
  <c r="AH46" i="55"/>
  <c r="AF56" i="55"/>
  <c r="AB55" i="55"/>
  <c r="P71" i="55"/>
  <c r="M51" i="55"/>
  <c r="W75" i="55"/>
  <c r="AC43" i="55"/>
  <c r="Y48" i="55"/>
  <c r="AH70" i="55"/>
  <c r="AH44" i="55"/>
  <c r="AH64" i="55"/>
  <c r="X77" i="55"/>
  <c r="M49" i="55"/>
  <c r="M53" i="55"/>
  <c r="P55" i="55"/>
  <c r="L54" i="55"/>
  <c r="T50" i="55"/>
  <c r="O71" i="55"/>
  <c r="L75" i="55"/>
  <c r="T71" i="55"/>
  <c r="S56" i="55"/>
  <c r="N71" i="55"/>
  <c r="AJ46" i="55"/>
  <c r="N76" i="55"/>
  <c r="L46" i="55"/>
  <c r="R54" i="55"/>
  <c r="L53" i="55"/>
  <c r="AK46" i="55"/>
  <c r="AH63" i="55"/>
  <c r="L66" i="55"/>
  <c r="AJ55" i="55"/>
  <c r="AG65" i="55"/>
  <c r="AD69" i="55"/>
  <c r="U57" i="55"/>
  <c r="AG68" i="55"/>
  <c r="AL49" i="55"/>
  <c r="Q70" i="55"/>
  <c r="AI52" i="55"/>
  <c r="T53" i="55"/>
  <c r="Z51" i="55"/>
  <c r="AL44" i="55"/>
  <c r="N46" i="55"/>
  <c r="AL56" i="55"/>
  <c r="AA69" i="55"/>
  <c r="AC52" i="55"/>
  <c r="AG72" i="55"/>
  <c r="AE44" i="55"/>
  <c r="R70" i="55"/>
  <c r="W67" i="55"/>
  <c r="AK54" i="55"/>
  <c r="AF63" i="55"/>
  <c r="AA49" i="55"/>
  <c r="X73" i="55"/>
  <c r="U71" i="55"/>
  <c r="AK75" i="55"/>
  <c r="AF42" i="55"/>
  <c r="AL66" i="55"/>
  <c r="L48" i="55"/>
  <c r="O63" i="55"/>
  <c r="Z75" i="55"/>
  <c r="AK70" i="55"/>
  <c r="W56" i="55"/>
  <c r="O57" i="55"/>
  <c r="AD56" i="55"/>
  <c r="K68" i="55"/>
  <c r="AG69" i="55"/>
  <c r="M42" i="55"/>
  <c r="R51" i="55"/>
  <c r="AI74" i="55"/>
  <c r="AK47" i="55"/>
  <c r="M68" i="55"/>
  <c r="Q67" i="55"/>
  <c r="AA75" i="55"/>
  <c r="AI63" i="55"/>
  <c r="AC44" i="55"/>
  <c r="AJ66" i="55"/>
  <c r="Z73" i="55"/>
  <c r="AI69" i="55"/>
  <c r="AJ50" i="55"/>
  <c r="AD43" i="55"/>
  <c r="AE74" i="55"/>
  <c r="Y77" i="55"/>
  <c r="M50" i="55"/>
  <c r="Q55" i="55"/>
  <c r="AB74" i="55"/>
  <c r="AJ44" i="55"/>
  <c r="V66" i="55"/>
  <c r="Y76" i="55"/>
  <c r="U46" i="55"/>
  <c r="O77" i="55"/>
  <c r="AB42" i="55"/>
  <c r="M48" i="55"/>
  <c r="K66" i="55"/>
  <c r="K55" i="55"/>
  <c r="Y52" i="55"/>
  <c r="AF72" i="55"/>
  <c r="W63" i="55"/>
  <c r="AH56" i="55"/>
  <c r="AE71" i="55"/>
  <c r="W47" i="55"/>
  <c r="O74" i="55"/>
  <c r="AL67" i="55"/>
  <c r="T64" i="55"/>
  <c r="Y75" i="55"/>
  <c r="N47" i="55"/>
  <c r="AJ72" i="55"/>
  <c r="AA72" i="55"/>
  <c r="W68" i="55"/>
  <c r="Q76" i="55"/>
  <c r="O53" i="55"/>
  <c r="AB50" i="55"/>
  <c r="AB53" i="55"/>
  <c r="AJ65" i="55"/>
  <c r="V45" i="55"/>
  <c r="Y55" i="55"/>
  <c r="U67" i="55"/>
  <c r="O56" i="55"/>
  <c r="AB63" i="55"/>
  <c r="M69" i="55"/>
  <c r="K45" i="55"/>
  <c r="K76" i="55"/>
  <c r="Y73" i="55"/>
  <c r="Y66" i="55"/>
  <c r="U42" i="55"/>
  <c r="AF75" i="55"/>
  <c r="M75" i="55"/>
  <c r="AJ75" i="55"/>
  <c r="AC46" i="55"/>
  <c r="AD42" i="55"/>
  <c r="AH75" i="55"/>
  <c r="AG45" i="55"/>
  <c r="AL46" i="55"/>
  <c r="T43" i="55"/>
  <c r="Y54" i="55"/>
  <c r="N66" i="55"/>
  <c r="AJ51" i="55"/>
  <c r="Y68" i="55"/>
  <c r="X69" i="55"/>
  <c r="AA65" i="55"/>
  <c r="V71" i="55"/>
  <c r="AC42" i="55"/>
  <c r="T56" i="55"/>
  <c r="R47" i="55"/>
  <c r="Y46" i="55"/>
  <c r="N78" i="55"/>
  <c r="K56" i="55"/>
  <c r="AE53" i="55"/>
  <c r="AH77" i="55"/>
  <c r="M71" i="55"/>
  <c r="Y47" i="55"/>
  <c r="V64" i="55"/>
  <c r="AE67" i="55"/>
  <c r="AA42" i="55"/>
  <c r="V78" i="55"/>
  <c r="AI68" i="55"/>
  <c r="T68" i="55"/>
  <c r="N44" i="55"/>
  <c r="N68" i="55"/>
  <c r="L47" i="55"/>
  <c r="AA51" i="55"/>
  <c r="V43" i="55"/>
  <c r="AG66" i="55"/>
  <c r="AD64" i="55"/>
  <c r="N45" i="55"/>
  <c r="Y56" i="55"/>
  <c r="L68" i="55"/>
  <c r="AE50" i="55"/>
  <c r="Q45" i="55"/>
  <c r="U64" i="55"/>
  <c r="AD50" i="55"/>
  <c r="V74" i="55"/>
  <c r="AC66" i="55"/>
  <c r="Q65" i="55"/>
  <c r="AB57" i="55"/>
  <c r="U49" i="55"/>
  <c r="AF67" i="55"/>
  <c r="AL76" i="55"/>
  <c r="V49" i="55"/>
  <c r="AJ49" i="55"/>
  <c r="P43" i="55"/>
  <c r="AE73" i="55"/>
  <c r="AB77" i="55"/>
  <c r="V46" i="55"/>
  <c r="AC71" i="55"/>
  <c r="M78" i="55"/>
  <c r="U76" i="55"/>
  <c r="S49" i="55"/>
  <c r="T42" i="55"/>
  <c r="AC76" i="55"/>
  <c r="Z50" i="55"/>
  <c r="L51" i="55"/>
  <c r="Q64" i="55"/>
  <c r="AI56" i="55"/>
  <c r="K78" i="55"/>
  <c r="AF76" i="55"/>
  <c r="AJ69" i="55"/>
  <c r="P57" i="55"/>
  <c r="AI53" i="55"/>
  <c r="AH42" i="55"/>
  <c r="L45" i="55"/>
  <c r="AK68" i="55"/>
  <c r="M47" i="55"/>
  <c r="AJ76" i="55"/>
  <c r="AG44" i="55"/>
  <c r="Q46" i="55"/>
  <c r="AD48" i="55"/>
  <c r="U78" i="55"/>
  <c r="AG47" i="55"/>
  <c r="AA54" i="55"/>
  <c r="AL70" i="55"/>
  <c r="Q49" i="55"/>
  <c r="U43" i="55"/>
  <c r="AD71" i="55"/>
  <c r="AI73" i="55"/>
  <c r="V53" i="55"/>
  <c r="V67" i="55"/>
  <c r="AC50" i="55"/>
  <c r="AC45" i="55"/>
  <c r="Q44" i="55"/>
  <c r="AB78" i="55"/>
  <c r="U70" i="55"/>
  <c r="M57" i="55"/>
  <c r="AF46" i="55"/>
  <c r="U55" i="55"/>
  <c r="AL55" i="55"/>
  <c r="S70" i="55"/>
  <c r="T63" i="55"/>
  <c r="V70" i="55"/>
  <c r="AJ70" i="55"/>
  <c r="AC55" i="55"/>
  <c r="Z71" i="55"/>
  <c r="L72" i="55"/>
  <c r="Q43" i="55"/>
  <c r="AI77" i="55"/>
  <c r="K57" i="55"/>
  <c r="AF55" i="55"/>
  <c r="AJ48" i="55"/>
  <c r="P78" i="55"/>
  <c r="O65" i="55"/>
  <c r="AE72" i="55"/>
  <c r="L43" i="55"/>
  <c r="AF68" i="55"/>
  <c r="V42" i="55"/>
  <c r="M73" i="55"/>
  <c r="B44" i="41"/>
  <c r="O44" i="55"/>
  <c r="AE51" i="55"/>
  <c r="AF51" i="55"/>
  <c r="L64" i="55"/>
  <c r="AF47" i="55"/>
  <c r="V63" i="55"/>
  <c r="M52" i="55"/>
  <c r="AJ77" i="55"/>
  <c r="AJ53" i="55"/>
  <c r="R71" i="55"/>
  <c r="N43" i="55"/>
  <c r="P52" i="55"/>
  <c r="Y42" i="55"/>
  <c r="W64" i="55"/>
  <c r="AB51" i="55"/>
  <c r="S69" i="55"/>
  <c r="S53" i="55"/>
  <c r="AF74" i="55"/>
  <c r="X65" i="55"/>
  <c r="Z65" i="55"/>
  <c r="Z46" i="55"/>
  <c r="N52" i="55"/>
  <c r="AA74" i="55"/>
  <c r="AD76" i="55"/>
  <c r="O64" i="55"/>
  <c r="W50" i="55"/>
  <c r="N74" i="55"/>
  <c r="AE42" i="55"/>
  <c r="AH55" i="55"/>
  <c r="Q63" i="55"/>
  <c r="AJ56" i="55"/>
  <c r="AJ74" i="55"/>
  <c r="R50" i="55"/>
  <c r="N64" i="55"/>
  <c r="P73" i="55"/>
  <c r="AG70" i="55"/>
  <c r="S73" i="55"/>
  <c r="AJ42" i="55"/>
  <c r="AE43" i="55"/>
  <c r="P53" i="55"/>
  <c r="AB49" i="55"/>
  <c r="AA44" i="55"/>
  <c r="V57" i="55"/>
  <c r="W43" i="55"/>
  <c r="S74" i="55"/>
  <c r="Z44" i="55"/>
  <c r="W73" i="55"/>
  <c r="AC53" i="55"/>
  <c r="AG49" i="55"/>
  <c r="AA76" i="55"/>
  <c r="AJ63" i="55"/>
  <c r="O68" i="55"/>
  <c r="AA53" i="55"/>
  <c r="AE64" i="55"/>
  <c r="X55" i="55"/>
  <c r="P51" i="55"/>
  <c r="Z42" i="55"/>
  <c r="P74" i="55"/>
  <c r="AB52" i="55"/>
  <c r="AD55" i="55"/>
  <c r="AB70" i="55"/>
  <c r="AK72" i="55"/>
  <c r="O43" i="55"/>
  <c r="X49" i="55"/>
  <c r="W71" i="55"/>
  <c r="N53" i="55"/>
  <c r="AE63" i="55"/>
  <c r="AH76" i="55"/>
  <c r="Q42" i="55"/>
  <c r="AJ47" i="55"/>
  <c r="U48" i="55"/>
  <c r="X42" i="55"/>
  <c r="R76" i="55"/>
  <c r="Q47" i="55"/>
  <c r="AB46" i="55"/>
  <c r="AF69" i="55"/>
  <c r="Q50" i="55"/>
  <c r="P48" i="55"/>
  <c r="X70" i="55"/>
  <c r="X48" i="55"/>
  <c r="AA63" i="55"/>
  <c r="AI47" i="55"/>
  <c r="AB67" i="55"/>
  <c r="S48" i="55"/>
  <c r="AF53" i="55"/>
  <c r="AF48" i="55"/>
  <c r="Z67" i="55"/>
  <c r="P69" i="55"/>
  <c r="N73" i="55"/>
  <c r="AA50" i="55"/>
  <c r="AL54" i="55"/>
  <c r="V44" i="55"/>
  <c r="V76" i="55"/>
  <c r="AH71" i="55"/>
  <c r="S63" i="55"/>
  <c r="R67" i="55"/>
  <c r="S68" i="55"/>
  <c r="N70" i="55"/>
  <c r="M46" i="55"/>
  <c r="R63" i="55"/>
  <c r="AE48" i="55"/>
  <c r="W48" i="55"/>
  <c r="V73" i="55"/>
  <c r="S50" i="55"/>
  <c r="AF49" i="55"/>
  <c r="O70" i="55"/>
  <c r="L55" i="55"/>
  <c r="U51" i="55"/>
  <c r="O69" i="55"/>
  <c r="AK50" i="55"/>
  <c r="L49" i="55"/>
  <c r="T45" i="55"/>
  <c r="P70" i="55"/>
  <c r="AH73" i="55"/>
  <c r="P65" i="55"/>
  <c r="M56" i="55"/>
  <c r="AD52" i="55"/>
  <c r="K63" i="55"/>
  <c r="AI50" i="55"/>
  <c r="U65" i="55"/>
  <c r="AK76" i="55"/>
  <c r="AH45" i="55"/>
  <c r="S44" i="55"/>
  <c r="T51" i="55"/>
  <c r="Z45" i="55"/>
  <c r="AF64" i="55"/>
  <c r="V75" i="55"/>
  <c r="X66" i="55"/>
  <c r="AL73" i="55"/>
  <c r="AJ68" i="55"/>
  <c r="U69" i="55"/>
  <c r="X63" i="55"/>
  <c r="R55" i="55"/>
  <c r="Q68" i="55"/>
  <c r="W52" i="55"/>
  <c r="AC74" i="55"/>
  <c r="AA55" i="55"/>
  <c r="O47" i="55"/>
  <c r="X76" i="55"/>
  <c r="P72" i="55"/>
  <c r="Z63" i="55"/>
  <c r="AB73" i="55"/>
  <c r="AK51" i="55"/>
  <c r="Q66" i="55"/>
  <c r="AE46" i="55"/>
  <c r="V50" i="55"/>
  <c r="Y63" i="55"/>
  <c r="AB72" i="55"/>
  <c r="X44" i="55"/>
  <c r="Q71" i="55"/>
  <c r="S52" i="55"/>
  <c r="AA71" i="55"/>
  <c r="AL75" i="55"/>
  <c r="V65" i="55"/>
  <c r="V55" i="55"/>
  <c r="AH50" i="55"/>
  <c r="S42" i="55"/>
  <c r="R46" i="55"/>
  <c r="S47" i="55"/>
  <c r="N49" i="55"/>
  <c r="M67" i="55"/>
  <c r="R42" i="55"/>
  <c r="AE69" i="55"/>
  <c r="W69" i="55"/>
  <c r="V52" i="55"/>
  <c r="S71" i="55"/>
  <c r="AF70" i="55"/>
  <c r="O49" i="55"/>
  <c r="L76" i="55"/>
  <c r="U72" i="55"/>
  <c r="O48" i="55"/>
  <c r="AK71" i="55"/>
  <c r="L70" i="55"/>
  <c r="T66" i="55"/>
  <c r="P49" i="55"/>
  <c r="AH52" i="55"/>
  <c r="P44" i="55"/>
  <c r="M77" i="55"/>
  <c r="AD73" i="55"/>
  <c r="K42" i="55"/>
  <c r="AI71" i="55"/>
  <c r="U44" i="55"/>
  <c r="AK55" i="55"/>
  <c r="AH66" i="55"/>
  <c r="S65" i="55"/>
  <c r="T72" i="55"/>
  <c r="Z66" i="55"/>
  <c r="AF43" i="55"/>
  <c r="V54" i="55"/>
  <c r="X45" i="55"/>
  <c r="AL52" i="55"/>
  <c r="AD78" i="55"/>
  <c r="W70" i="55"/>
  <c r="AG76" i="55"/>
  <c r="Q73" i="55"/>
  <c r="S67" i="55"/>
  <c r="AC57" i="55"/>
  <c r="AA45" i="55"/>
  <c r="AC56" i="55"/>
  <c r="AD57" i="55"/>
  <c r="W49" i="55"/>
  <c r="AG55" i="55"/>
  <c r="Z76" i="55"/>
  <c r="X51" i="55"/>
  <c r="AE45" i="55"/>
  <c r="U74" i="55"/>
  <c r="Q52" i="55"/>
  <c r="S46" i="55"/>
  <c r="AC78" i="55"/>
  <c r="AA66" i="55"/>
  <c r="AC77" i="55"/>
  <c r="AI45" i="55"/>
  <c r="X71" i="55"/>
  <c r="AK52" i="55"/>
  <c r="Z57" i="55"/>
  <c r="AK77" i="55"/>
  <c r="V72" i="55"/>
  <c r="AA68" i="55"/>
  <c r="AL50" i="55"/>
  <c r="S55" i="55"/>
  <c r="Z77" i="55"/>
  <c r="Q56" i="55"/>
  <c r="AG67" i="55"/>
  <c r="V48" i="55"/>
  <c r="AJ78" i="55"/>
  <c r="AI66" i="55"/>
  <c r="X50" i="55"/>
  <c r="AK73" i="55"/>
  <c r="Z78" i="55"/>
  <c r="AK56" i="55"/>
  <c r="K51" i="55"/>
  <c r="N42" i="55"/>
  <c r="P45" i="55"/>
  <c r="V51" i="55"/>
  <c r="AA47" i="55"/>
  <c r="AL71" i="55"/>
  <c r="S76" i="55"/>
  <c r="Z56" i="55"/>
  <c r="Q77" i="55"/>
  <c r="AG46" i="55"/>
  <c r="V69" i="55"/>
  <c r="AJ57" i="55"/>
  <c r="AA67" i="55"/>
  <c r="T70" i="55"/>
  <c r="R66" i="55"/>
  <c r="AL63" i="55"/>
  <c r="K71" i="55"/>
  <c r="M43" i="55"/>
  <c r="S72" i="55"/>
  <c r="L52" i="55"/>
  <c r="AH51" i="55"/>
  <c r="K69" i="55"/>
  <c r="AI54" i="55"/>
  <c r="U47" i="55"/>
  <c r="AI72" i="55"/>
  <c r="AG43" i="55"/>
  <c r="Y72" i="55"/>
  <c r="W65" i="55"/>
  <c r="AC72" i="55"/>
  <c r="O75" i="55"/>
  <c r="AA46" i="55"/>
  <c r="T49" i="55"/>
  <c r="R45" i="55"/>
  <c r="AL42" i="55"/>
  <c r="AH72" i="55"/>
  <c r="K48" i="55"/>
  <c r="AI75" i="55"/>
  <c r="U68" i="55"/>
  <c r="AI51" i="55"/>
  <c r="AG64" i="55"/>
  <c r="Y51" i="55"/>
  <c r="W44" i="55"/>
  <c r="AC51" i="55"/>
  <c r="O54" i="55"/>
  <c r="AB54" i="55"/>
  <c r="Y74" i="55"/>
  <c r="P56" i="55"/>
  <c r="AH74" i="55"/>
  <c r="K52" i="55"/>
  <c r="R49" i="55"/>
  <c r="W46" i="55"/>
  <c r="AD75" i="55"/>
  <c r="AK53" i="55"/>
  <c r="Z48" i="55"/>
  <c r="AL72" i="55"/>
  <c r="AE68" i="55"/>
  <c r="X57" i="55"/>
  <c r="O73" i="55"/>
  <c r="V68" i="55"/>
  <c r="N69" i="55"/>
  <c r="AB65" i="55"/>
  <c r="AH47" i="55"/>
  <c r="P46" i="55"/>
  <c r="AE78" i="55"/>
  <c r="AB75" i="55"/>
  <c r="Y53" i="55"/>
  <c r="P77" i="55"/>
  <c r="AH53" i="55"/>
  <c r="K73" i="55"/>
  <c r="AH68" i="55"/>
  <c r="P67" i="55"/>
  <c r="AE57" i="55"/>
  <c r="AB68" i="55"/>
  <c r="T67" i="55"/>
  <c r="K53" i="55"/>
  <c r="T65" i="55"/>
  <c r="U73" i="55"/>
  <c r="AB45" i="55"/>
  <c r="L78" i="55"/>
  <c r="AC70" i="55"/>
  <c r="X43" i="55"/>
  <c r="U54" i="55"/>
  <c r="AK48" i="55"/>
  <c r="W51" i="55"/>
  <c r="AB47" i="55"/>
  <c r="T46" i="55"/>
  <c r="K74" i="55"/>
  <c r="AB43" i="55"/>
  <c r="AJ43" i="55"/>
  <c r="Y43" i="55"/>
  <c r="X53" i="55"/>
  <c r="Y44" i="55"/>
  <c r="T44" i="55"/>
  <c r="U52" i="55"/>
  <c r="AB66" i="55"/>
  <c r="L57" i="55"/>
  <c r="AC49" i="55"/>
  <c r="X64" i="55"/>
  <c r="U75" i="55"/>
  <c r="AK69" i="55"/>
  <c r="W72" i="55"/>
  <c r="M76" i="55"/>
  <c r="K70" i="55"/>
  <c r="S57" i="55"/>
  <c r="AH69" i="55"/>
  <c r="AB76" i="55"/>
  <c r="P50" i="55"/>
  <c r="M72" i="55"/>
  <c r="W54" i="55"/>
  <c r="AC64" i="55"/>
  <c r="Y69" i="55"/>
  <c r="AH49" i="55"/>
  <c r="AH65" i="55"/>
  <c r="AH43" i="55"/>
  <c r="X56" i="55"/>
  <c r="M70" i="55"/>
  <c r="M55" i="55"/>
  <c r="K49" i="55"/>
  <c r="S78" i="55"/>
  <c r="AH48" i="55"/>
  <c r="N29" i="51"/>
  <c r="M22" i="51"/>
  <c r="N18" i="51"/>
  <c r="N21" i="51"/>
  <c r="M11" i="51"/>
  <c r="N8" i="51"/>
  <c r="N4" i="51"/>
  <c r="M31" i="51"/>
  <c r="N9" i="51"/>
  <c r="N22" i="51"/>
  <c r="M16" i="51"/>
  <c r="M21" i="51"/>
  <c r="M8" i="51"/>
  <c r="N23" i="51"/>
  <c r="M15" i="51"/>
  <c r="N17" i="51"/>
  <c r="N6" i="51"/>
  <c r="N26" i="51"/>
  <c r="N11" i="51"/>
  <c r="M29" i="51"/>
  <c r="M18" i="51"/>
  <c r="N24" i="51"/>
  <c r="N31" i="51"/>
  <c r="N28" i="51"/>
  <c r="N13" i="51"/>
  <c r="M10" i="51"/>
  <c r="N7" i="51"/>
  <c r="N12" i="51"/>
  <c r="M30" i="51"/>
  <c r="N27" i="51"/>
  <c r="M19" i="51"/>
  <c r="N14" i="51"/>
  <c r="N20" i="51"/>
  <c r="N25" i="51"/>
  <c r="M5" i="51"/>
  <c r="K11" i="45"/>
  <c r="O13" i="45"/>
  <c r="K16" i="45"/>
  <c r="O18" i="45"/>
  <c r="K21" i="45"/>
  <c r="O23" i="45"/>
  <c r="K26" i="45"/>
  <c r="O28" i="45"/>
  <c r="K31" i="45"/>
  <c r="O33" i="45"/>
  <c r="L36" i="45"/>
  <c r="N28" i="45"/>
  <c r="L11" i="45"/>
  <c r="P13" i="45"/>
  <c r="L16" i="45"/>
  <c r="P18" i="45"/>
  <c r="L21" i="45"/>
  <c r="P23" i="45"/>
  <c r="L26" i="45"/>
  <c r="P28" i="45"/>
  <c r="L31" i="45"/>
  <c r="P33" i="45"/>
  <c r="M36" i="45"/>
  <c r="K14" i="45"/>
  <c r="O21" i="45"/>
  <c r="K29" i="45"/>
  <c r="P36" i="45"/>
  <c r="P16" i="45"/>
  <c r="L24" i="45"/>
  <c r="P31" i="45"/>
  <c r="M14" i="45"/>
  <c r="M24" i="45"/>
  <c r="M29" i="45"/>
  <c r="R36" i="45"/>
  <c r="N19" i="45"/>
  <c r="R26" i="45"/>
  <c r="N34" i="45"/>
  <c r="R35" i="45"/>
  <c r="M11" i="45"/>
  <c r="Q13" i="45"/>
  <c r="M16" i="45"/>
  <c r="Q18" i="45"/>
  <c r="M21" i="45"/>
  <c r="Q23" i="45"/>
  <c r="M26" i="45"/>
  <c r="Q28" i="45"/>
  <c r="M31" i="45"/>
  <c r="Q33" i="45"/>
  <c r="N36" i="45"/>
  <c r="O36" i="45"/>
  <c r="O16" i="45"/>
  <c r="K24" i="45"/>
  <c r="O31" i="45"/>
  <c r="L14" i="45"/>
  <c r="P21" i="45"/>
  <c r="L29" i="45"/>
  <c r="Q36" i="45"/>
  <c r="Q21" i="45"/>
  <c r="Q26" i="45"/>
  <c r="M34" i="45"/>
  <c r="R16" i="45"/>
  <c r="N24" i="45"/>
  <c r="R31" i="45"/>
  <c r="R30" i="45"/>
  <c r="N11" i="45"/>
  <c r="R13" i="45"/>
  <c r="N16" i="45"/>
  <c r="R18" i="45"/>
  <c r="N21" i="45"/>
  <c r="R23" i="45"/>
  <c r="N26" i="45"/>
  <c r="R28" i="45"/>
  <c r="N31" i="45"/>
  <c r="R33" i="45"/>
  <c r="K19" i="45"/>
  <c r="O26" i="45"/>
  <c r="K34" i="45"/>
  <c r="L19" i="45"/>
  <c r="P26" i="45"/>
  <c r="L34" i="45"/>
  <c r="Q16" i="45"/>
  <c r="M19" i="45"/>
  <c r="Q31" i="45"/>
  <c r="N14" i="45"/>
  <c r="R21" i="45"/>
  <c r="N29" i="45"/>
  <c r="R9" i="45"/>
  <c r="P32" i="45"/>
  <c r="O11" i="45"/>
  <c r="P22" i="45"/>
  <c r="P11" i="45"/>
  <c r="L35" i="45"/>
  <c r="Q11" i="45"/>
  <c r="P27" i="45"/>
  <c r="R15" i="45"/>
  <c r="R11" i="45"/>
  <c r="L25" i="45"/>
  <c r="R20" i="45"/>
  <c r="K12" i="45"/>
  <c r="O14" i="45"/>
  <c r="K17" i="45"/>
  <c r="O19" i="45"/>
  <c r="K22" i="45"/>
  <c r="O24" i="45"/>
  <c r="K27" i="45"/>
  <c r="O29" i="45"/>
  <c r="K32" i="45"/>
  <c r="O34" i="45"/>
  <c r="Q9" i="45"/>
  <c r="O17" i="45"/>
  <c r="O22" i="45"/>
  <c r="K35" i="45"/>
  <c r="L10" i="45"/>
  <c r="L9" i="45"/>
  <c r="M18" i="45"/>
  <c r="Q35" i="45"/>
  <c r="L12" i="45"/>
  <c r="P14" i="45"/>
  <c r="L17" i="45"/>
  <c r="P19" i="45"/>
  <c r="L22" i="45"/>
  <c r="P24" i="45"/>
  <c r="L27" i="45"/>
  <c r="P29" i="45"/>
  <c r="L32" i="45"/>
  <c r="P34" i="45"/>
  <c r="P9" i="45"/>
  <c r="O12" i="45"/>
  <c r="K25" i="45"/>
  <c r="O32" i="45"/>
  <c r="L15" i="45"/>
  <c r="M13" i="45"/>
  <c r="M28" i="45"/>
  <c r="M12" i="45"/>
  <c r="Q14" i="45"/>
  <c r="M17" i="45"/>
  <c r="Q19" i="45"/>
  <c r="M22" i="45"/>
  <c r="Q24" i="45"/>
  <c r="M27" i="45"/>
  <c r="Q29" i="45"/>
  <c r="M32" i="45"/>
  <c r="Q34" i="45"/>
  <c r="O9" i="45"/>
  <c r="K20" i="45"/>
  <c r="K30" i="45"/>
  <c r="P17" i="45"/>
  <c r="L33" i="45"/>
  <c r="Q15" i="45"/>
  <c r="Q25" i="45"/>
  <c r="K36" i="45"/>
  <c r="N12" i="45"/>
  <c r="R14" i="45"/>
  <c r="N17" i="45"/>
  <c r="R19" i="45"/>
  <c r="N22" i="45"/>
  <c r="R24" i="45"/>
  <c r="N27" i="45"/>
  <c r="R29" i="45"/>
  <c r="N32" i="45"/>
  <c r="R34" i="45"/>
  <c r="N9" i="45"/>
  <c r="K15" i="45"/>
  <c r="O27" i="45"/>
  <c r="M9" i="45"/>
  <c r="P12" i="45"/>
  <c r="L30" i="45"/>
  <c r="M23" i="45"/>
  <c r="N18" i="45"/>
  <c r="K10" i="45"/>
  <c r="L20" i="45"/>
  <c r="Q20" i="45"/>
  <c r="R25" i="45"/>
  <c r="M10" i="45"/>
  <c r="Q12" i="45"/>
  <c r="M15" i="45"/>
  <c r="Q17" i="45"/>
  <c r="M20" i="45"/>
  <c r="Q22" i="45"/>
  <c r="M25" i="45"/>
  <c r="Q27" i="45"/>
  <c r="M30" i="45"/>
  <c r="Q32" i="45"/>
  <c r="M35" i="45"/>
  <c r="P10" i="45"/>
  <c r="L23" i="45"/>
  <c r="P30" i="45"/>
  <c r="N10" i="45"/>
  <c r="R12" i="45"/>
  <c r="N15" i="45"/>
  <c r="R17" i="45"/>
  <c r="N20" i="45"/>
  <c r="R22" i="45"/>
  <c r="N25" i="45"/>
  <c r="R27" i="45"/>
  <c r="N30" i="45"/>
  <c r="R32" i="45"/>
  <c r="N35" i="45"/>
  <c r="L18" i="45"/>
  <c r="L28" i="45"/>
  <c r="Q10" i="45"/>
  <c r="M33" i="45"/>
  <c r="O10" i="45"/>
  <c r="K13" i="45"/>
  <c r="O15" i="45"/>
  <c r="K18" i="45"/>
  <c r="O20" i="45"/>
  <c r="K23" i="45"/>
  <c r="O25" i="45"/>
  <c r="K28" i="45"/>
  <c r="O30" i="45"/>
  <c r="K33" i="45"/>
  <c r="O35" i="45"/>
  <c r="L13" i="45"/>
  <c r="P20" i="45"/>
  <c r="P25" i="45"/>
  <c r="P35" i="45"/>
  <c r="N13" i="45"/>
  <c r="N33" i="45"/>
  <c r="P15" i="45"/>
  <c r="Q30" i="45"/>
  <c r="R10" i="45"/>
  <c r="N23" i="45"/>
  <c r="D16" i="45"/>
  <c r="D20" i="45"/>
  <c r="C20" i="45"/>
  <c r="C16" i="45"/>
  <c r="C15" i="45"/>
  <c r="D23" i="45"/>
  <c r="D21" i="45"/>
  <c r="D17" i="45"/>
  <c r="D18" i="45"/>
  <c r="D19" i="45"/>
  <c r="C21" i="45"/>
  <c r="C23" i="45"/>
  <c r="C36" i="45"/>
  <c r="C35" i="45"/>
  <c r="C34" i="45"/>
  <c r="C33" i="45"/>
  <c r="C32" i="45"/>
  <c r="C31" i="45"/>
  <c r="C30" i="45"/>
  <c r="C29" i="45"/>
  <c r="C28" i="45"/>
  <c r="C27" i="45"/>
  <c r="C26" i="45"/>
  <c r="C25" i="45"/>
  <c r="C24" i="45"/>
  <c r="C22" i="45"/>
  <c r="C19" i="45"/>
  <c r="C18" i="45"/>
  <c r="C17" i="45"/>
  <c r="C14" i="45"/>
  <c r="H10" i="45"/>
  <c r="H9" i="45"/>
  <c r="H15" i="45"/>
  <c r="H32" i="45"/>
  <c r="H30" i="45"/>
  <c r="H36" i="45"/>
  <c r="H35" i="45"/>
  <c r="H34" i="45"/>
  <c r="H31" i="45"/>
  <c r="H27" i="45"/>
  <c r="H25" i="45"/>
  <c r="H24" i="45"/>
  <c r="H23" i="45"/>
  <c r="H22" i="45"/>
  <c r="H21" i="45"/>
  <c r="H20" i="45"/>
  <c r="H19" i="45"/>
  <c r="H18" i="45"/>
  <c r="H17" i="45"/>
  <c r="H16" i="45"/>
  <c r="H14" i="45"/>
  <c r="H13" i="45"/>
  <c r="H12" i="45"/>
  <c r="H11" i="45"/>
  <c r="E33" i="45"/>
  <c r="E34" i="45"/>
  <c r="E30" i="45"/>
  <c r="E36" i="45"/>
  <c r="E35" i="45"/>
  <c r="E31" i="45"/>
  <c r="I12" i="45" l="1"/>
  <c r="J18" i="54" s="1"/>
  <c r="J12" i="45"/>
  <c r="J19" i="54" s="1"/>
  <c r="I14" i="45"/>
  <c r="AF18" i="54" s="1"/>
  <c r="J14" i="45"/>
  <c r="AF19" i="54" s="1"/>
  <c r="I13" i="45"/>
  <c r="AE18" i="54" s="1"/>
  <c r="J13" i="45"/>
  <c r="AE19" i="54" s="1"/>
  <c r="I16" i="45"/>
  <c r="M18" i="54" s="1"/>
  <c r="J16" i="45"/>
  <c r="M19" i="54" s="1"/>
  <c r="J17" i="45"/>
  <c r="R19" i="54" s="1"/>
  <c r="I17" i="45"/>
  <c r="R18" i="54" s="1"/>
  <c r="J18" i="45"/>
  <c r="X19" i="54" s="1"/>
  <c r="I18" i="45"/>
  <c r="X18" i="54" s="1"/>
  <c r="I15" i="45"/>
  <c r="L18" i="54" s="1"/>
  <c r="J15" i="45"/>
  <c r="L19" i="54" s="1"/>
  <c r="I10" i="45"/>
  <c r="H18" i="54" s="1"/>
  <c r="J10" i="45"/>
  <c r="H19" i="54" s="1"/>
  <c r="I19" i="45"/>
  <c r="Y18" i="54" s="1"/>
  <c r="J19" i="45"/>
  <c r="Y19" i="54" s="1"/>
  <c r="J9" i="45"/>
  <c r="G19" i="54" s="1"/>
  <c r="I9" i="45"/>
  <c r="G18" i="54" s="1"/>
  <c r="I20" i="45"/>
  <c r="N18" i="54" s="1"/>
  <c r="J20" i="45"/>
  <c r="N19" i="54" s="1"/>
  <c r="I11" i="45"/>
  <c r="I18" i="54" s="1"/>
  <c r="J11" i="45"/>
  <c r="I19" i="54" s="1"/>
  <c r="I32" i="45"/>
  <c r="U18" i="54" s="1"/>
  <c r="J32" i="45"/>
  <c r="U19" i="54" s="1"/>
  <c r="I24" i="45"/>
  <c r="AH18" i="54" s="1"/>
  <c r="J24" i="45"/>
  <c r="AH19" i="54" s="1"/>
  <c r="I22" i="45"/>
  <c r="AG18" i="54" s="1"/>
  <c r="J22" i="45"/>
  <c r="AG19" i="54" s="1"/>
  <c r="I21" i="45"/>
  <c r="Z18" i="54" s="1"/>
  <c r="J21" i="45"/>
  <c r="Z19" i="54" s="1"/>
  <c r="K17" i="54"/>
  <c r="J23" i="45"/>
  <c r="K19" i="54" s="1"/>
  <c r="I23" i="45"/>
  <c r="K18" i="54" s="1"/>
  <c r="I34" i="45"/>
  <c r="V18" i="54" s="1"/>
  <c r="J34" i="45"/>
  <c r="V19" i="54" s="1"/>
  <c r="I25" i="45"/>
  <c r="P18" i="54" s="1"/>
  <c r="J25" i="45"/>
  <c r="P19" i="54" s="1"/>
  <c r="I27" i="45"/>
  <c r="O18" i="54" s="1"/>
  <c r="J27" i="45"/>
  <c r="O19" i="54" s="1"/>
  <c r="I35" i="45"/>
  <c r="AC18" i="54" s="1"/>
  <c r="J35" i="45"/>
  <c r="AC19" i="54" s="1"/>
  <c r="J31" i="45"/>
  <c r="T19" i="54" s="1"/>
  <c r="I31" i="45"/>
  <c r="T18" i="54" s="1"/>
  <c r="J36" i="45"/>
  <c r="AB19" i="54" s="1"/>
  <c r="I36" i="45"/>
  <c r="AB18" i="54" s="1"/>
  <c r="I30" i="45"/>
  <c r="S18" i="54" s="1"/>
  <c r="J30" i="45"/>
  <c r="S19" i="54" s="1"/>
  <c r="K14" i="54"/>
  <c r="K15" i="54"/>
  <c r="K16" i="54"/>
  <c r="AH13" i="54"/>
  <c r="AH12" i="54"/>
  <c r="AH11" i="54"/>
  <c r="P11" i="54"/>
  <c r="P12" i="54"/>
  <c r="P13" i="54"/>
  <c r="K11" i="54"/>
  <c r="K12" i="54"/>
  <c r="K13" i="54"/>
  <c r="Y15" i="54"/>
  <c r="Y16" i="54"/>
  <c r="Y14" i="54"/>
  <c r="R11" i="54"/>
  <c r="R12" i="54"/>
  <c r="R13" i="54"/>
  <c r="X15" i="54"/>
  <c r="X16" i="54"/>
  <c r="X14" i="54"/>
  <c r="X11" i="54"/>
  <c r="X12" i="54"/>
  <c r="X13" i="54"/>
  <c r="R15" i="54"/>
  <c r="R14" i="54"/>
  <c r="R16" i="54"/>
  <c r="Y13" i="54"/>
  <c r="Y12" i="54"/>
  <c r="Y11" i="54"/>
  <c r="AF11" i="54"/>
  <c r="AF12" i="54"/>
  <c r="AF13" i="54"/>
  <c r="AG11" i="54"/>
  <c r="AG12" i="54"/>
  <c r="AG13" i="54"/>
  <c r="AA11" i="54"/>
  <c r="AA12" i="54"/>
  <c r="AA13" i="54"/>
  <c r="O11" i="54"/>
  <c r="O12" i="54"/>
  <c r="O13" i="54"/>
  <c r="AD11" i="54"/>
  <c r="AD12" i="54"/>
  <c r="AD13" i="54"/>
  <c r="Q11" i="54"/>
  <c r="Q12" i="54"/>
  <c r="Q13" i="54"/>
  <c r="S11" i="54"/>
  <c r="S12" i="54"/>
  <c r="S13" i="54"/>
  <c r="T11" i="54"/>
  <c r="T12" i="54"/>
  <c r="T13" i="54"/>
  <c r="U11" i="54"/>
  <c r="U12" i="54"/>
  <c r="U13" i="54"/>
  <c r="W11" i="54"/>
  <c r="W12" i="54"/>
  <c r="W13" i="54"/>
  <c r="V11" i="54"/>
  <c r="V12" i="54"/>
  <c r="V13" i="54"/>
  <c r="AC11" i="54"/>
  <c r="AC12" i="54"/>
  <c r="AC13" i="54"/>
  <c r="AB11" i="54"/>
  <c r="AB12" i="54"/>
  <c r="AB13" i="54"/>
  <c r="Z11" i="54"/>
  <c r="Z12" i="54"/>
  <c r="Z13" i="54"/>
  <c r="Z14" i="54"/>
  <c r="Z15" i="54"/>
  <c r="Z16" i="54"/>
  <c r="L11" i="54"/>
  <c r="L12" i="54"/>
  <c r="L13" i="54"/>
  <c r="M11" i="54"/>
  <c r="M12" i="54"/>
  <c r="M13" i="54"/>
  <c r="N11" i="54"/>
  <c r="N12" i="54"/>
  <c r="N13" i="54"/>
  <c r="N14" i="54"/>
  <c r="N15" i="54"/>
  <c r="N16" i="54"/>
  <c r="M14" i="54"/>
  <c r="M15" i="54"/>
  <c r="M16" i="54"/>
  <c r="Q471" i="41"/>
  <c r="W80" i="58"/>
  <c r="T80" i="58"/>
  <c r="AC80" i="58"/>
  <c r="Y80" i="58"/>
  <c r="V80" i="58"/>
  <c r="N80" i="58"/>
  <c r="AB80" i="58"/>
  <c r="AA80" i="58"/>
  <c r="AF80" i="58"/>
  <c r="U80" i="58"/>
  <c r="O52" i="64"/>
  <c r="Z52" i="64"/>
  <c r="Q80" i="58"/>
  <c r="X80" i="58"/>
  <c r="M80" i="58"/>
  <c r="AK80" i="58"/>
  <c r="AH80" i="58"/>
  <c r="AI52" i="64"/>
  <c r="AE52" i="64"/>
  <c r="S80" i="58"/>
  <c r="AJ80" i="58"/>
  <c r="AF52" i="64"/>
  <c r="K80" i="58"/>
  <c r="AI80" i="58"/>
  <c r="Q52" i="64"/>
  <c r="AE80" i="58"/>
  <c r="O80" i="58"/>
  <c r="S52" i="64"/>
  <c r="Z80" i="58"/>
  <c r="M52" i="64"/>
  <c r="V52" i="64"/>
  <c r="T52" i="64"/>
  <c r="AA52" i="64"/>
  <c r="P80" i="58"/>
  <c r="AD80" i="58"/>
  <c r="X52" i="64"/>
  <c r="AL32" i="64"/>
  <c r="AL80" i="58"/>
  <c r="AK52" i="64"/>
  <c r="AG32" i="64"/>
  <c r="AG80" i="58"/>
  <c r="AC52" i="64"/>
  <c r="R32" i="64"/>
  <c r="R80" i="58"/>
  <c r="AB52" i="64"/>
  <c r="Y52" i="64"/>
  <c r="N52" i="64"/>
  <c r="U52" i="64"/>
  <c r="AH52" i="64"/>
  <c r="AJ52" i="64"/>
  <c r="L80" i="58"/>
  <c r="AD230" i="58"/>
  <c r="AD234" i="58"/>
  <c r="L230" i="58"/>
  <c r="L234" i="58"/>
  <c r="AD233" i="58"/>
  <c r="AD224" i="58"/>
  <c r="L233" i="58"/>
  <c r="L224" i="58"/>
  <c r="F439" i="41"/>
  <c r="AB478" i="41"/>
  <c r="L32" i="64"/>
  <c r="L78" i="58"/>
  <c r="L231" i="58" s="1"/>
  <c r="AD465" i="41"/>
  <c r="V465" i="41"/>
  <c r="S473" i="41"/>
  <c r="P475" i="41"/>
  <c r="O471" i="41"/>
  <c r="G468" i="41"/>
  <c r="H472" i="41"/>
  <c r="AE476" i="41"/>
  <c r="L451" i="41"/>
  <c r="W467" i="41"/>
  <c r="R78" i="58"/>
  <c r="P32" i="64"/>
  <c r="J441" i="41"/>
  <c r="AD78" i="58"/>
  <c r="AD231" i="58" s="1"/>
  <c r="P460" i="41"/>
  <c r="AD462" i="41"/>
  <c r="X458" i="41"/>
  <c r="AG78" i="58"/>
  <c r="AA452" i="41"/>
  <c r="V469" i="41"/>
  <c r="AF447" i="41"/>
  <c r="P78" i="58"/>
  <c r="AD32" i="64"/>
  <c r="N469" i="41"/>
  <c r="V467" i="41"/>
  <c r="N465" i="41"/>
  <c r="AL78" i="58"/>
  <c r="H476" i="41"/>
  <c r="P469" i="41"/>
  <c r="AE477" i="41"/>
  <c r="H469" i="41"/>
  <c r="L458" i="41"/>
  <c r="H467" i="41"/>
  <c r="N470" i="41"/>
  <c r="V461" i="41"/>
  <c r="N459" i="41"/>
  <c r="N467" i="41"/>
  <c r="G473" i="41"/>
  <c r="V473" i="41"/>
  <c r="AE459" i="41"/>
  <c r="AE465" i="41"/>
  <c r="AE475" i="41"/>
  <c r="G474" i="41"/>
  <c r="AE474" i="41"/>
  <c r="AB542" i="41"/>
  <c r="T528" i="41"/>
  <c r="AE534" i="41"/>
  <c r="N541" i="41"/>
  <c r="E547" i="41"/>
  <c r="Y532" i="41"/>
  <c r="H539" i="41"/>
  <c r="AA544" i="41"/>
  <c r="S530" i="41"/>
  <c r="J536" i="41"/>
  <c r="AC541" i="41"/>
  <c r="T547" i="41"/>
  <c r="L533" i="41"/>
  <c r="W539" i="41"/>
  <c r="F546" i="41"/>
  <c r="Z531" i="41"/>
  <c r="AC538" i="41"/>
  <c r="AF545" i="41"/>
  <c r="H542" i="41"/>
  <c r="P541" i="41"/>
  <c r="AA547" i="41"/>
  <c r="S533" i="41"/>
  <c r="AD539" i="41"/>
  <c r="U545" i="41"/>
  <c r="M531" i="41"/>
  <c r="X537" i="41"/>
  <c r="O543" i="41"/>
  <c r="G529" i="41"/>
  <c r="Z534" i="41"/>
  <c r="Q540" i="41"/>
  <c r="H546" i="41"/>
  <c r="AB531" i="41"/>
  <c r="K538" i="41"/>
  <c r="V544" i="41"/>
  <c r="N530" i="41"/>
  <c r="X540" i="41"/>
  <c r="G547" i="41"/>
  <c r="AF539" i="41"/>
  <c r="O546" i="41"/>
  <c r="G532" i="41"/>
  <c r="R538" i="41"/>
  <c r="I544" i="41"/>
  <c r="AC529" i="41"/>
  <c r="L536" i="41"/>
  <c r="AE541" i="41"/>
  <c r="V547" i="41"/>
  <c r="N533" i="41"/>
  <c r="E539" i="41"/>
  <c r="X544" i="41"/>
  <c r="P530" i="41"/>
  <c r="AA536" i="41"/>
  <c r="J543" i="41"/>
  <c r="AD528" i="41"/>
  <c r="E536" i="41"/>
  <c r="H543" i="41"/>
  <c r="AB528" i="41"/>
  <c r="K535" i="41"/>
  <c r="V541" i="41"/>
  <c r="Y540" i="41"/>
  <c r="Y533" i="41"/>
  <c r="T541" i="41"/>
  <c r="AC532" i="41"/>
  <c r="O534" i="41"/>
  <c r="R541" i="41"/>
  <c r="I532" i="41"/>
  <c r="T538" i="41"/>
  <c r="AB537" i="41"/>
  <c r="K544" i="41"/>
  <c r="AE529" i="41"/>
  <c r="H537" i="41"/>
  <c r="P536" i="41"/>
  <c r="AA542" i="41"/>
  <c r="S528" i="41"/>
  <c r="AD534" i="41"/>
  <c r="U540" i="41"/>
  <c r="AF546" i="41"/>
  <c r="X532" i="41"/>
  <c r="O538" i="41"/>
  <c r="F544" i="41"/>
  <c r="Z529" i="41"/>
  <c r="Q535" i="41"/>
  <c r="H541" i="41"/>
  <c r="S547" i="41"/>
  <c r="K533" i="41"/>
  <c r="V539" i="41"/>
  <c r="Y546" i="41"/>
  <c r="Q532" i="41"/>
  <c r="T539" i="41"/>
  <c r="AE545" i="41"/>
  <c r="W531" i="41"/>
  <c r="F538" i="41"/>
  <c r="Q544" i="41"/>
  <c r="I530" i="41"/>
  <c r="AF537" i="41"/>
  <c r="G545" i="41"/>
  <c r="AA530" i="41"/>
  <c r="AD537" i="41"/>
  <c r="Y530" i="41"/>
  <c r="AF534" i="41"/>
  <c r="B45" i="41"/>
  <c r="L534" i="41"/>
  <c r="W540" i="41"/>
  <c r="F547" i="41"/>
  <c r="Z532" i="41"/>
  <c r="Q538" i="41"/>
  <c r="AB544" i="41"/>
  <c r="T530" i="41"/>
  <c r="K536" i="41"/>
  <c r="AD541" i="41"/>
  <c r="U547" i="41"/>
  <c r="M533" i="41"/>
  <c r="AF538" i="41"/>
  <c r="O545" i="41"/>
  <c r="G531" i="41"/>
  <c r="R537" i="41"/>
  <c r="U544" i="41"/>
  <c r="M530" i="41"/>
  <c r="P537" i="41"/>
  <c r="AA543" i="41"/>
  <c r="S529" i="41"/>
  <c r="AB547" i="41"/>
  <c r="T533" i="41"/>
  <c r="AE539" i="41"/>
  <c r="N546" i="41"/>
  <c r="F532" i="41"/>
  <c r="Y537" i="41"/>
  <c r="H544" i="41"/>
  <c r="AB529" i="41"/>
  <c r="S535" i="41"/>
  <c r="J541" i="41"/>
  <c r="AC546" i="41"/>
  <c r="U532" i="41"/>
  <c r="L538" i="41"/>
  <c r="W544" i="41"/>
  <c r="O530" i="41"/>
  <c r="Z536" i="41"/>
  <c r="AC543" i="41"/>
  <c r="U529" i="41"/>
  <c r="X536" i="41"/>
  <c r="G543" i="41"/>
  <c r="AA528" i="41"/>
  <c r="J535" i="41"/>
  <c r="U541" i="41"/>
  <c r="E545" i="41"/>
  <c r="H535" i="41"/>
  <c r="K542" i="41"/>
  <c r="E540" i="41"/>
  <c r="F535" i="41"/>
  <c r="H547" i="41"/>
  <c r="AB532" i="41"/>
  <c r="K539" i="41"/>
  <c r="V545" i="41"/>
  <c r="N531" i="41"/>
  <c r="E537" i="41"/>
  <c r="P543" i="41"/>
  <c r="H529" i="41"/>
  <c r="AA534" i="41"/>
  <c r="R540" i="41"/>
  <c r="I546" i="41"/>
  <c r="AC531" i="41"/>
  <c r="T537" i="41"/>
  <c r="AE543" i="41"/>
  <c r="W529" i="41"/>
  <c r="F536" i="41"/>
  <c r="I543" i="41"/>
  <c r="AC528" i="41"/>
  <c r="AF535" i="41"/>
  <c r="O542" i="41"/>
  <c r="G528" i="41"/>
  <c r="R534" i="41"/>
  <c r="AC540" i="41"/>
  <c r="U533" i="41"/>
  <c r="P534" i="41"/>
  <c r="S541" i="41"/>
  <c r="M534" i="41"/>
  <c r="N534" i="41"/>
  <c r="I537" i="41"/>
  <c r="P546" i="41"/>
  <c r="H532" i="41"/>
  <c r="S538" i="41"/>
  <c r="AD544" i="41"/>
  <c r="V530" i="41"/>
  <c r="M536" i="41"/>
  <c r="X542" i="41"/>
  <c r="P528" i="41"/>
  <c r="G534" i="41"/>
  <c r="Z539" i="41"/>
  <c r="Q545" i="41"/>
  <c r="I531" i="41"/>
  <c r="AB536" i="41"/>
  <c r="K543" i="41"/>
  <c r="AE528" i="41"/>
  <c r="N535" i="41"/>
  <c r="Q542" i="41"/>
  <c r="I528" i="41"/>
  <c r="L535" i="41"/>
  <c r="W541" i="41"/>
  <c r="Z533" i="41"/>
  <c r="L539" i="41"/>
  <c r="K529" i="41"/>
  <c r="AC544" i="41"/>
  <c r="L541" i="41"/>
  <c r="G539" i="41"/>
  <c r="F534" i="41"/>
  <c r="Y529" i="41"/>
  <c r="Q536" i="41"/>
  <c r="AD543" i="41"/>
  <c r="E541" i="41"/>
  <c r="X541" i="41"/>
  <c r="K540" i="41"/>
  <c r="N542" i="41"/>
  <c r="Y543" i="41"/>
  <c r="L547" i="41"/>
  <c r="H530" i="41"/>
  <c r="W533" i="41"/>
  <c r="J537" i="41"/>
  <c r="Z535" i="41"/>
  <c r="V540" i="41"/>
  <c r="V534" i="41"/>
  <c r="AA545" i="41"/>
  <c r="AA533" i="41"/>
  <c r="K530" i="41"/>
  <c r="AC547" i="41"/>
  <c r="H531" i="41"/>
  <c r="M547" i="41"/>
  <c r="L532" i="41"/>
  <c r="E528" i="41"/>
  <c r="X535" i="41"/>
  <c r="I542" i="41"/>
  <c r="Q543" i="41"/>
  <c r="T540" i="41"/>
  <c r="W537" i="41"/>
  <c r="V532" i="41"/>
  <c r="E529" i="41"/>
  <c r="AA546" i="41"/>
  <c r="R542" i="41"/>
  <c r="M540" i="41"/>
  <c r="AF540" i="41"/>
  <c r="S539" i="41"/>
  <c r="AD540" i="41"/>
  <c r="E543" i="41"/>
  <c r="T546" i="41"/>
  <c r="P529" i="41"/>
  <c r="AE532" i="41"/>
  <c r="R536" i="41"/>
  <c r="V533" i="41"/>
  <c r="AE538" i="41"/>
  <c r="L542" i="41"/>
  <c r="E544" i="41"/>
  <c r="U536" i="41"/>
  <c r="T529" i="41"/>
  <c r="O539" i="41"/>
  <c r="J529" i="41"/>
  <c r="L545" i="41"/>
  <c r="U546" i="41"/>
  <c r="M546" i="41"/>
  <c r="P531" i="41"/>
  <c r="Z547" i="41"/>
  <c r="Y542" i="41"/>
  <c r="AB539" i="41"/>
  <c r="AE536" i="41"/>
  <c r="AD531" i="41"/>
  <c r="M528" i="41"/>
  <c r="G546" i="41"/>
  <c r="Z541" i="41"/>
  <c r="U539" i="41"/>
  <c r="L540" i="41"/>
  <c r="AA538" i="41"/>
  <c r="J540" i="41"/>
  <c r="M542" i="41"/>
  <c r="AB545" i="41"/>
  <c r="X528" i="41"/>
  <c r="K532" i="41"/>
  <c r="H534" i="41"/>
  <c r="H533" i="41"/>
  <c r="AB541" i="41"/>
  <c r="O544" i="41"/>
  <c r="V535" i="41"/>
  <c r="I536" i="41"/>
  <c r="K541" i="41"/>
  <c r="E534" i="41"/>
  <c r="AF541" i="41"/>
  <c r="X530" i="41"/>
  <c r="J544" i="41"/>
  <c r="E542" i="41"/>
  <c r="P538" i="41"/>
  <c r="O533" i="41"/>
  <c r="J531" i="41"/>
  <c r="AB546" i="41"/>
  <c r="S542" i="41"/>
  <c r="F541" i="41"/>
  <c r="I538" i="41"/>
  <c r="AB538" i="41"/>
  <c r="G538" i="41"/>
  <c r="R539" i="41"/>
  <c r="I540" i="41"/>
  <c r="H545" i="41"/>
  <c r="M539" i="41"/>
  <c r="S531" i="41"/>
  <c r="AA529" i="41"/>
  <c r="AD535" i="41"/>
  <c r="S537" i="41"/>
  <c r="F533" i="41"/>
  <c r="AA537" i="41"/>
  <c r="X547" i="41"/>
  <c r="U543" i="41"/>
  <c r="K545" i="41"/>
  <c r="M545" i="41"/>
  <c r="AF529" i="41"/>
  <c r="R543" i="41"/>
  <c r="M541" i="41"/>
  <c r="AF536" i="41"/>
  <c r="W532" i="41"/>
  <c r="R530" i="41"/>
  <c r="P545" i="41"/>
  <c r="AA541" i="41"/>
  <c r="N540" i="41"/>
  <c r="Q537" i="41"/>
  <c r="H538" i="41"/>
  <c r="O537" i="41"/>
  <c r="Z538" i="41"/>
  <c r="Q539" i="41"/>
  <c r="P544" i="41"/>
  <c r="AE547" i="41"/>
  <c r="G530" i="41"/>
  <c r="AD532" i="41"/>
  <c r="U535" i="41"/>
  <c r="U534" i="41"/>
  <c r="Z530" i="41"/>
  <c r="P532" i="41"/>
  <c r="AE533" i="41"/>
  <c r="W542" i="41"/>
  <c r="L546" i="41"/>
  <c r="AF528" i="41"/>
  <c r="Q530" i="41"/>
  <c r="L529" i="41"/>
  <c r="Z542" i="41"/>
  <c r="AC539" i="41"/>
  <c r="T535" i="41"/>
  <c r="AE531" i="41"/>
  <c r="F529" i="41"/>
  <c r="AF543" i="41"/>
  <c r="G541" i="41"/>
  <c r="AD538" i="41"/>
  <c r="Y536" i="41"/>
  <c r="T534" i="41"/>
  <c r="W536" i="41"/>
  <c r="N537" i="41"/>
  <c r="Y538" i="41"/>
  <c r="X543" i="41"/>
  <c r="K547" i="41"/>
  <c r="O529" i="41"/>
  <c r="J532" i="41"/>
  <c r="Y544" i="41"/>
  <c r="M537" i="41"/>
  <c r="O528" i="41"/>
  <c r="AB540" i="41"/>
  <c r="I547" i="41"/>
  <c r="V543" i="41"/>
  <c r="N538" i="41"/>
  <c r="W546" i="41"/>
  <c r="R544" i="41"/>
  <c r="O531" i="41"/>
  <c r="AC545" i="41"/>
  <c r="L528" i="41"/>
  <c r="AC542" i="41"/>
  <c r="F542" i="41"/>
  <c r="I539" i="41"/>
  <c r="AB534" i="41"/>
  <c r="K531" i="41"/>
  <c r="N528" i="41"/>
  <c r="L543" i="41"/>
  <c r="O540" i="41"/>
  <c r="J538" i="41"/>
  <c r="M535" i="41"/>
  <c r="AB533" i="41"/>
  <c r="AE535" i="41"/>
  <c r="V536" i="41"/>
  <c r="E538" i="41"/>
  <c r="AF542" i="41"/>
  <c r="S546" i="41"/>
  <c r="W528" i="41"/>
  <c r="R531" i="41"/>
  <c r="W545" i="41"/>
  <c r="T542" i="41"/>
  <c r="S534" i="41"/>
  <c r="AD547" i="41"/>
  <c r="AD533" i="41"/>
  <c r="J547" i="41"/>
  <c r="U530" i="41"/>
  <c r="J530" i="41"/>
  <c r="Q531" i="41"/>
  <c r="R528" i="41"/>
  <c r="Y547" i="41"/>
  <c r="Z543" i="41"/>
  <c r="G540" i="41"/>
  <c r="K537" i="41"/>
  <c r="T544" i="41"/>
  <c r="AB543" i="41"/>
  <c r="AB530" i="41"/>
  <c r="AE544" i="41"/>
  <c r="J539" i="41"/>
  <c r="AC534" i="41"/>
  <c r="P533" i="41"/>
  <c r="AC533" i="41"/>
  <c r="F530" i="41"/>
  <c r="V529" i="41"/>
  <c r="K534" i="41"/>
  <c r="AC537" i="41"/>
  <c r="Q529" i="41"/>
  <c r="Y534" i="41"/>
  <c r="M529" i="41"/>
  <c r="AD536" i="41"/>
  <c r="W530" i="41"/>
  <c r="Y541" i="41"/>
  <c r="G535" i="41"/>
  <c r="S543" i="41"/>
  <c r="Z537" i="41"/>
  <c r="I534" i="41"/>
  <c r="AF531" i="41"/>
  <c r="AD546" i="41"/>
  <c r="M543" i="41"/>
  <c r="P540" i="41"/>
  <c r="G536" i="41"/>
  <c r="J533" i="41"/>
  <c r="I533" i="41"/>
  <c r="X531" i="41"/>
  <c r="G533" i="41"/>
  <c r="N532" i="41"/>
  <c r="AC535" i="41"/>
  <c r="H540" i="41"/>
  <c r="W543" i="41"/>
  <c r="R546" i="41"/>
  <c r="N529" i="41"/>
  <c r="N536" i="41"/>
  <c r="R545" i="41"/>
  <c r="W534" i="41"/>
  <c r="L530" i="41"/>
  <c r="AE546" i="41"/>
  <c r="L537" i="41"/>
  <c r="T536" i="41"/>
  <c r="J545" i="41"/>
  <c r="V537" i="41"/>
  <c r="S536" i="41"/>
  <c r="U528" i="41"/>
  <c r="I545" i="41"/>
  <c r="G542" i="41"/>
  <c r="F537" i="41"/>
  <c r="Q533" i="41"/>
  <c r="L531" i="41"/>
  <c r="J546" i="41"/>
  <c r="U542" i="41"/>
  <c r="X539" i="41"/>
  <c r="O535" i="41"/>
  <c r="R532" i="41"/>
  <c r="Y531" i="41"/>
  <c r="AF530" i="41"/>
  <c r="O532" i="41"/>
  <c r="V531" i="41"/>
  <c r="I535" i="41"/>
  <c r="P539" i="41"/>
  <c r="AE542" i="41"/>
  <c r="Z545" i="41"/>
  <c r="V528" i="41"/>
  <c r="E532" i="41"/>
  <c r="W547" i="41"/>
  <c r="I541" i="41"/>
  <c r="H536" i="41"/>
  <c r="E531" i="41"/>
  <c r="AD530" i="41"/>
  <c r="Q534" i="41"/>
  <c r="AA540" i="41"/>
  <c r="U538" i="41"/>
  <c r="Y539" i="41"/>
  <c r="E533" i="41"/>
  <c r="M532" i="41"/>
  <c r="E546" i="41"/>
  <c r="T545" i="41"/>
  <c r="T531" i="41"/>
  <c r="AE540" i="41"/>
  <c r="O541" i="41"/>
  <c r="F531" i="41"/>
  <c r="AE530" i="41"/>
  <c r="X538" i="41"/>
  <c r="F545" i="41"/>
  <c r="P535" i="41"/>
  <c r="N544" i="41"/>
  <c r="R529" i="41"/>
  <c r="AA532" i="41"/>
  <c r="Y528" i="41"/>
  <c r="Z544" i="41"/>
  <c r="Z540" i="41"/>
  <c r="AF544" i="41"/>
  <c r="F540" i="41"/>
  <c r="S544" i="41"/>
  <c r="R535" i="41"/>
  <c r="G537" i="41"/>
  <c r="J534" i="41"/>
  <c r="I529" i="41"/>
  <c r="K546" i="41"/>
  <c r="N543" i="41"/>
  <c r="M538" i="41"/>
  <c r="X534" i="41"/>
  <c r="S532" i="41"/>
  <c r="J528" i="41"/>
  <c r="E535" i="41"/>
  <c r="H528" i="41"/>
  <c r="N547" i="41"/>
  <c r="X545" i="41"/>
  <c r="Q547" i="41"/>
  <c r="AF532" i="41"/>
  <c r="X529" i="41"/>
  <c r="L544" i="41"/>
  <c r="Z546" i="41"/>
  <c r="O536" i="41"/>
  <c r="R533" i="41"/>
  <c r="Q528" i="41"/>
  <c r="S545" i="41"/>
  <c r="V542" i="41"/>
  <c r="U537" i="41"/>
  <c r="AF533" i="41"/>
  <c r="AA531" i="41"/>
  <c r="Y545" i="41"/>
  <c r="P547" i="41"/>
  <c r="Q546" i="41"/>
  <c r="V546" i="41"/>
  <c r="Z528" i="41"/>
  <c r="U531" i="41"/>
  <c r="AB535" i="41"/>
  <c r="W538" i="41"/>
  <c r="AD542" i="41"/>
  <c r="E530" i="41"/>
  <c r="AD529" i="41"/>
  <c r="F539" i="41"/>
  <c r="T532" i="41"/>
  <c r="Y535" i="41"/>
  <c r="O547" i="41"/>
  <c r="AD545" i="41"/>
  <c r="AC530" i="41"/>
  <c r="AE537" i="41"/>
  <c r="M544" i="41"/>
  <c r="N539" i="41"/>
  <c r="W535" i="41"/>
  <c r="Q541" i="41"/>
  <c r="G544" i="41"/>
  <c r="AC536" i="41"/>
  <c r="K528" i="41"/>
  <c r="X546" i="41"/>
  <c r="F528" i="41"/>
  <c r="X533" i="41"/>
  <c r="J542" i="41"/>
  <c r="AA535" i="41"/>
  <c r="V538" i="41"/>
  <c r="R547" i="41"/>
  <c r="S540" i="41"/>
  <c r="T543" i="41"/>
  <c r="AA539" i="41"/>
  <c r="AF547" i="41"/>
  <c r="N545" i="41"/>
  <c r="P542" i="41"/>
  <c r="F543" i="41"/>
  <c r="AB473" i="41"/>
  <c r="S462" i="41"/>
  <c r="N466" i="41"/>
  <c r="AB474" i="41"/>
  <c r="Q32" i="64"/>
  <c r="Q78" i="58"/>
  <c r="N472" i="41"/>
  <c r="AB467" i="41"/>
  <c r="S470" i="41"/>
  <c r="S476" i="41"/>
  <c r="R464" i="41"/>
  <c r="X32" i="64"/>
  <c r="X78" i="58"/>
  <c r="N474" i="41"/>
  <c r="AB468" i="41"/>
  <c r="AD475" i="41"/>
  <c r="M32" i="64"/>
  <c r="M78" i="58"/>
  <c r="N475" i="41"/>
  <c r="AB476" i="41"/>
  <c r="AD474" i="41"/>
  <c r="S474" i="41"/>
  <c r="AE467" i="41"/>
  <c r="AK32" i="64"/>
  <c r="AK78" i="58"/>
  <c r="AB464" i="41"/>
  <c r="AD468" i="41"/>
  <c r="AE478" i="41"/>
  <c r="Z32" i="64"/>
  <c r="Z78" i="58"/>
  <c r="N461" i="41"/>
  <c r="T32" i="64"/>
  <c r="T78" i="58"/>
  <c r="N477" i="41"/>
  <c r="AB471" i="41"/>
  <c r="AE466" i="41"/>
  <c r="V464" i="41"/>
  <c r="P472" i="41"/>
  <c r="Q462" i="41"/>
  <c r="AE463" i="41"/>
  <c r="AB459" i="41"/>
  <c r="AH32" i="64"/>
  <c r="AH78" i="58"/>
  <c r="AB463" i="41"/>
  <c r="W472" i="41"/>
  <c r="AC32" i="64"/>
  <c r="AC78" i="58"/>
  <c r="O32" i="64"/>
  <c r="O78" i="58"/>
  <c r="S472" i="41"/>
  <c r="Y32" i="64"/>
  <c r="Y78" i="58"/>
  <c r="R459" i="41"/>
  <c r="Q468" i="41"/>
  <c r="W32" i="64"/>
  <c r="W78" i="58"/>
  <c r="S32" i="64"/>
  <c r="S78" i="58"/>
  <c r="R474" i="41"/>
  <c r="H468" i="41"/>
  <c r="Q459" i="41"/>
  <c r="W468" i="41"/>
  <c r="K32" i="64"/>
  <c r="K78" i="58"/>
  <c r="Q464" i="41"/>
  <c r="R462" i="41"/>
  <c r="H462" i="41"/>
  <c r="Q460" i="41"/>
  <c r="W474" i="41"/>
  <c r="R471" i="41"/>
  <c r="AE32" i="64"/>
  <c r="AE78" i="58"/>
  <c r="H475" i="41"/>
  <c r="AD473" i="41"/>
  <c r="AJ32" i="64"/>
  <c r="AJ78" i="58"/>
  <c r="AB477" i="41"/>
  <c r="AI32" i="64"/>
  <c r="AI78" i="58"/>
  <c r="P464" i="41"/>
  <c r="V32" i="64"/>
  <c r="V78" i="58"/>
  <c r="U464" i="41"/>
  <c r="AA32" i="64"/>
  <c r="AA78" i="58"/>
  <c r="R460" i="41"/>
  <c r="J448" i="41"/>
  <c r="H465" i="41"/>
  <c r="L442" i="41"/>
  <c r="F441" i="41"/>
  <c r="AF32" i="64"/>
  <c r="AF78" i="58"/>
  <c r="R470" i="41"/>
  <c r="G461" i="41"/>
  <c r="L447" i="41"/>
  <c r="Q476" i="41"/>
  <c r="Q463" i="41"/>
  <c r="H471" i="41"/>
  <c r="N32" i="64"/>
  <c r="N78" i="58"/>
  <c r="V478" i="41"/>
  <c r="AB32" i="64"/>
  <c r="AB78" i="58"/>
  <c r="O476" i="41"/>
  <c r="U32" i="64"/>
  <c r="U78" i="58"/>
  <c r="H464" i="41"/>
  <c r="G465" i="41"/>
  <c r="AA444" i="41"/>
  <c r="AA451" i="41"/>
  <c r="AA457" i="41"/>
  <c r="F440" i="41"/>
  <c r="L52" i="64"/>
  <c r="L456" i="41"/>
  <c r="R52" i="64"/>
  <c r="L457" i="41"/>
  <c r="AF440" i="41"/>
  <c r="J444" i="41"/>
  <c r="P52" i="64"/>
  <c r="X450" i="41"/>
  <c r="F449" i="41"/>
  <c r="AF441" i="41"/>
  <c r="AL52" i="64"/>
  <c r="X452" i="41"/>
  <c r="AF455" i="41"/>
  <c r="X455" i="41"/>
  <c r="F457" i="41"/>
  <c r="AF453" i="41"/>
  <c r="X441" i="41"/>
  <c r="F443" i="41"/>
  <c r="F447" i="41"/>
  <c r="X440" i="41"/>
  <c r="AD52" i="64"/>
  <c r="AA449" i="41"/>
  <c r="AG52" i="64"/>
  <c r="AF450" i="41"/>
  <c r="AF446" i="41"/>
  <c r="AA440" i="41"/>
  <c r="W476" i="41"/>
  <c r="R472" i="41"/>
  <c r="AF454" i="41"/>
  <c r="AD476" i="41"/>
  <c r="U461" i="41"/>
  <c r="X451" i="41"/>
  <c r="V459" i="41"/>
  <c r="W463" i="41"/>
  <c r="F451" i="41"/>
  <c r="S461" i="41"/>
  <c r="P468" i="41"/>
  <c r="G440" i="41"/>
  <c r="G443" i="41"/>
  <c r="G458" i="41"/>
  <c r="G449" i="41"/>
  <c r="G455" i="41"/>
  <c r="G439" i="41"/>
  <c r="G448" i="41"/>
  <c r="G452" i="41"/>
  <c r="G454" i="41"/>
  <c r="G447" i="41"/>
  <c r="G450" i="41"/>
  <c r="G453" i="41"/>
  <c r="G445" i="41"/>
  <c r="G441" i="41"/>
  <c r="G457" i="41"/>
  <c r="G446" i="41"/>
  <c r="G444" i="41"/>
  <c r="G451" i="41"/>
  <c r="G456" i="41"/>
  <c r="G442" i="41"/>
  <c r="O466" i="41"/>
  <c r="N473" i="41"/>
  <c r="AF445" i="41"/>
  <c r="J442" i="41"/>
  <c r="AB465" i="41"/>
  <c r="H459" i="41"/>
  <c r="AD469" i="41"/>
  <c r="Q474" i="41"/>
  <c r="G469" i="41"/>
  <c r="AA442" i="41"/>
  <c r="L448" i="41"/>
  <c r="X457" i="41"/>
  <c r="V460" i="41"/>
  <c r="W478" i="41"/>
  <c r="S465" i="41"/>
  <c r="P465" i="41"/>
  <c r="U446" i="41"/>
  <c r="U441" i="41"/>
  <c r="U442" i="41"/>
  <c r="U458" i="41"/>
  <c r="U443" i="41"/>
  <c r="U445" i="41"/>
  <c r="U451" i="41"/>
  <c r="U455" i="41"/>
  <c r="U447" i="41"/>
  <c r="U457" i="41"/>
  <c r="U452" i="41"/>
  <c r="U449" i="41"/>
  <c r="U444" i="41"/>
  <c r="U448" i="41"/>
  <c r="U439" i="41"/>
  <c r="U440" i="41"/>
  <c r="U456" i="41"/>
  <c r="U453" i="41"/>
  <c r="U450" i="41"/>
  <c r="U454" i="41"/>
  <c r="O470" i="41"/>
  <c r="R454" i="41"/>
  <c r="R439" i="41"/>
  <c r="R458" i="41"/>
  <c r="R446" i="41"/>
  <c r="R443" i="41"/>
  <c r="R452" i="41"/>
  <c r="R450" i="41"/>
  <c r="R440" i="41"/>
  <c r="R448" i="41"/>
  <c r="R444" i="41"/>
  <c r="R455" i="41"/>
  <c r="R457" i="41"/>
  <c r="R441" i="41"/>
  <c r="R451" i="41"/>
  <c r="R456" i="41"/>
  <c r="R442" i="41"/>
  <c r="R453" i="41"/>
  <c r="R449" i="41"/>
  <c r="R445" i="41"/>
  <c r="R447" i="41"/>
  <c r="O477" i="41"/>
  <c r="J443" i="41"/>
  <c r="G477" i="41"/>
  <c r="AA450" i="41"/>
  <c r="L455" i="41"/>
  <c r="F472" i="41"/>
  <c r="F470" i="41"/>
  <c r="F478" i="41"/>
  <c r="F475" i="41"/>
  <c r="F476" i="41"/>
  <c r="F474" i="41"/>
  <c r="F466" i="41"/>
  <c r="F460" i="41"/>
  <c r="F471" i="41"/>
  <c r="F467" i="41"/>
  <c r="F468" i="41"/>
  <c r="F459" i="41"/>
  <c r="F465" i="41"/>
  <c r="F463" i="41"/>
  <c r="F477" i="41"/>
  <c r="F469" i="41"/>
  <c r="F462" i="41"/>
  <c r="F461" i="41"/>
  <c r="F473" i="41"/>
  <c r="F464" i="41"/>
  <c r="AE456" i="41"/>
  <c r="AE452" i="41"/>
  <c r="AE441" i="41"/>
  <c r="AE445" i="41"/>
  <c r="AE448" i="41"/>
  <c r="AE450" i="41"/>
  <c r="AE451" i="41"/>
  <c r="AE444" i="41"/>
  <c r="AE447" i="41"/>
  <c r="AE457" i="41"/>
  <c r="AE439" i="41"/>
  <c r="AE458" i="41"/>
  <c r="AE454" i="41"/>
  <c r="AE446" i="41"/>
  <c r="AE442" i="41"/>
  <c r="AE455" i="41"/>
  <c r="AE443" i="41"/>
  <c r="AE440" i="41"/>
  <c r="AE453" i="41"/>
  <c r="AE449" i="41"/>
  <c r="O459" i="41"/>
  <c r="R468" i="41"/>
  <c r="N478" i="41"/>
  <c r="AF457" i="41"/>
  <c r="J454" i="41"/>
  <c r="H466" i="41"/>
  <c r="AD477" i="41"/>
  <c r="Q461" i="41"/>
  <c r="G475" i="41"/>
  <c r="AE464" i="41"/>
  <c r="AA454" i="41"/>
  <c r="U476" i="41"/>
  <c r="L450" i="41"/>
  <c r="X445" i="41"/>
  <c r="V472" i="41"/>
  <c r="W469" i="41"/>
  <c r="F455" i="41"/>
  <c r="S477" i="41"/>
  <c r="P463" i="41"/>
  <c r="K448" i="41"/>
  <c r="K445" i="41"/>
  <c r="K449" i="41"/>
  <c r="K454" i="41"/>
  <c r="K444" i="41"/>
  <c r="K458" i="41"/>
  <c r="K452" i="41"/>
  <c r="K441" i="41"/>
  <c r="K450" i="41"/>
  <c r="K456" i="41"/>
  <c r="K439" i="41"/>
  <c r="K451" i="41"/>
  <c r="K457" i="41"/>
  <c r="K443" i="41"/>
  <c r="K446" i="41"/>
  <c r="K440" i="41"/>
  <c r="K453" i="41"/>
  <c r="K442" i="41"/>
  <c r="K447" i="41"/>
  <c r="K455" i="41"/>
  <c r="O462" i="41"/>
  <c r="J456" i="41"/>
  <c r="I454" i="41"/>
  <c r="I447" i="41"/>
  <c r="I440" i="41"/>
  <c r="I441" i="41"/>
  <c r="I444" i="41"/>
  <c r="I445" i="41"/>
  <c r="I457" i="41"/>
  <c r="I442" i="41"/>
  <c r="I456" i="41"/>
  <c r="I450" i="41"/>
  <c r="I458" i="41"/>
  <c r="I448" i="41"/>
  <c r="I451" i="41"/>
  <c r="I439" i="41"/>
  <c r="I449" i="41"/>
  <c r="I446" i="41"/>
  <c r="I453" i="41"/>
  <c r="I455" i="41"/>
  <c r="I452" i="41"/>
  <c r="I443" i="41"/>
  <c r="H478" i="41"/>
  <c r="AD467" i="41"/>
  <c r="G463" i="41"/>
  <c r="AE461" i="41"/>
  <c r="AA439" i="41"/>
  <c r="U460" i="41"/>
  <c r="X449" i="41"/>
  <c r="V475" i="41"/>
  <c r="W459" i="41"/>
  <c r="F458" i="41"/>
  <c r="S467" i="41"/>
  <c r="P466" i="41"/>
  <c r="U470" i="41"/>
  <c r="L471" i="41"/>
  <c r="L475" i="41"/>
  <c r="L474" i="41"/>
  <c r="L460" i="41"/>
  <c r="L469" i="41"/>
  <c r="L478" i="41"/>
  <c r="L463" i="41"/>
  <c r="L465" i="41"/>
  <c r="L473" i="41"/>
  <c r="L466" i="41"/>
  <c r="L477" i="41"/>
  <c r="L476" i="41"/>
  <c r="L459" i="41"/>
  <c r="L464" i="41"/>
  <c r="L461" i="41"/>
  <c r="L472" i="41"/>
  <c r="L468" i="41"/>
  <c r="L470" i="41"/>
  <c r="L467" i="41"/>
  <c r="L462" i="41"/>
  <c r="AF452" i="41"/>
  <c r="Q447" i="41"/>
  <c r="Q441" i="41"/>
  <c r="Q448" i="41"/>
  <c r="Q440" i="41"/>
  <c r="Q454" i="41"/>
  <c r="Q443" i="41"/>
  <c r="Q439" i="41"/>
  <c r="Q444" i="41"/>
  <c r="Q451" i="41"/>
  <c r="Q452" i="41"/>
  <c r="Q455" i="41"/>
  <c r="Q442" i="41"/>
  <c r="Q456" i="41"/>
  <c r="Q450" i="41"/>
  <c r="Q453" i="41"/>
  <c r="Q446" i="41"/>
  <c r="Q449" i="41"/>
  <c r="Q457" i="41"/>
  <c r="Q445" i="41"/>
  <c r="Q458" i="41"/>
  <c r="AB444" i="41"/>
  <c r="AB455" i="41"/>
  <c r="AB452" i="41"/>
  <c r="AB453" i="41"/>
  <c r="AB440" i="41"/>
  <c r="AB456" i="41"/>
  <c r="AB454" i="41"/>
  <c r="AB449" i="41"/>
  <c r="AB442" i="41"/>
  <c r="AB446" i="41"/>
  <c r="AB448" i="41"/>
  <c r="AB450" i="41"/>
  <c r="AB447" i="41"/>
  <c r="AB443" i="41"/>
  <c r="AB441" i="41"/>
  <c r="AB451" i="41"/>
  <c r="AB445" i="41"/>
  <c r="AB458" i="41"/>
  <c r="AB457" i="41"/>
  <c r="AB439" i="41"/>
  <c r="Z478" i="41"/>
  <c r="Z460" i="41"/>
  <c r="Z467" i="41"/>
  <c r="Z473" i="41"/>
  <c r="Z476" i="41"/>
  <c r="Z468" i="41"/>
  <c r="Z459" i="41"/>
  <c r="Z461" i="41"/>
  <c r="Z465" i="41"/>
  <c r="Z464" i="41"/>
  <c r="Z471" i="41"/>
  <c r="Z477" i="41"/>
  <c r="Z462" i="41"/>
  <c r="Z469" i="41"/>
  <c r="Z470" i="41"/>
  <c r="Z475" i="41"/>
  <c r="Z472" i="41"/>
  <c r="Z474" i="41"/>
  <c r="Z466" i="41"/>
  <c r="Z463" i="41"/>
  <c r="O478" i="41"/>
  <c r="R478" i="41"/>
  <c r="AF456" i="41"/>
  <c r="J439" i="41"/>
  <c r="AB472" i="41"/>
  <c r="H474" i="41"/>
  <c r="Q478" i="41"/>
  <c r="G460" i="41"/>
  <c r="AE471" i="41"/>
  <c r="AA453" i="41"/>
  <c r="U468" i="41"/>
  <c r="L452" i="41"/>
  <c r="X439" i="41"/>
  <c r="V474" i="41"/>
  <c r="W477" i="41"/>
  <c r="F446" i="41"/>
  <c r="S466" i="41"/>
  <c r="P461" i="41"/>
  <c r="AD447" i="41"/>
  <c r="AD449" i="41"/>
  <c r="AD457" i="41"/>
  <c r="AD456" i="41"/>
  <c r="AD448" i="41"/>
  <c r="AD445" i="41"/>
  <c r="AD442" i="41"/>
  <c r="AD454" i="41"/>
  <c r="AD452" i="41"/>
  <c r="AD455" i="41"/>
  <c r="AD440" i="41"/>
  <c r="AD451" i="41"/>
  <c r="AD439" i="41"/>
  <c r="AD444" i="41"/>
  <c r="AD450" i="41"/>
  <c r="AD458" i="41"/>
  <c r="AD443" i="41"/>
  <c r="AD441" i="41"/>
  <c r="AD446" i="41"/>
  <c r="AD453" i="41"/>
  <c r="O460" i="41"/>
  <c r="R463" i="41"/>
  <c r="N451" i="41"/>
  <c r="N448" i="41"/>
  <c r="N441" i="41"/>
  <c r="N447" i="41"/>
  <c r="N453" i="41"/>
  <c r="N450" i="41"/>
  <c r="N457" i="41"/>
  <c r="N455" i="41"/>
  <c r="N454" i="41"/>
  <c r="N442" i="41"/>
  <c r="N439" i="41"/>
  <c r="N445" i="41"/>
  <c r="N452" i="41"/>
  <c r="N440" i="41"/>
  <c r="N446" i="41"/>
  <c r="N444" i="41"/>
  <c r="N458" i="41"/>
  <c r="N443" i="41"/>
  <c r="N449" i="41"/>
  <c r="N456" i="41"/>
  <c r="AC462" i="41"/>
  <c r="AC465" i="41"/>
  <c r="AC463" i="41"/>
  <c r="AC461" i="41"/>
  <c r="AC464" i="41"/>
  <c r="AC472" i="41"/>
  <c r="AC473" i="41"/>
  <c r="AC477" i="41"/>
  <c r="AC478" i="41"/>
  <c r="AC470" i="41"/>
  <c r="AC471" i="41"/>
  <c r="AC467" i="41"/>
  <c r="AC476" i="41"/>
  <c r="AC459" i="41"/>
  <c r="AC460" i="41"/>
  <c r="AC475" i="41"/>
  <c r="AC469" i="41"/>
  <c r="AC466" i="41"/>
  <c r="AC468" i="41"/>
  <c r="AC474" i="41"/>
  <c r="R466" i="41"/>
  <c r="N468" i="41"/>
  <c r="J457" i="41"/>
  <c r="AB462" i="41"/>
  <c r="H473" i="41"/>
  <c r="AD464" i="41"/>
  <c r="Q465" i="41"/>
  <c r="G478" i="41"/>
  <c r="AE470" i="41"/>
  <c r="AA448" i="41"/>
  <c r="U472" i="41"/>
  <c r="L441" i="41"/>
  <c r="X448" i="41"/>
  <c r="V462" i="41"/>
  <c r="W464" i="41"/>
  <c r="F454" i="41"/>
  <c r="S471" i="41"/>
  <c r="P478" i="41"/>
  <c r="O443" i="41"/>
  <c r="O456" i="41"/>
  <c r="O446" i="41"/>
  <c r="O442" i="41"/>
  <c r="O457" i="41"/>
  <c r="O445" i="41"/>
  <c r="O455" i="41"/>
  <c r="O450" i="41"/>
  <c r="O451" i="41"/>
  <c r="O448" i="41"/>
  <c r="O452" i="41"/>
  <c r="O447" i="41"/>
  <c r="O454" i="41"/>
  <c r="O441" i="41"/>
  <c r="O444" i="41"/>
  <c r="O439" i="41"/>
  <c r="O440" i="41"/>
  <c r="O449" i="41"/>
  <c r="O453" i="41"/>
  <c r="O458" i="41"/>
  <c r="U474" i="41"/>
  <c r="J451" i="41"/>
  <c r="AD466" i="41"/>
  <c r="Q477" i="41"/>
  <c r="G472" i="41"/>
  <c r="AE468" i="41"/>
  <c r="AA446" i="41"/>
  <c r="U469" i="41"/>
  <c r="L444" i="41"/>
  <c r="T449" i="41"/>
  <c r="T444" i="41"/>
  <c r="T446" i="41"/>
  <c r="T443" i="41"/>
  <c r="T450" i="41"/>
  <c r="T452" i="41"/>
  <c r="T447" i="41"/>
  <c r="T454" i="41"/>
  <c r="T439" i="41"/>
  <c r="T456" i="41"/>
  <c r="T455" i="41"/>
  <c r="T457" i="41"/>
  <c r="T440" i="41"/>
  <c r="T441" i="41"/>
  <c r="T451" i="41"/>
  <c r="T453" i="41"/>
  <c r="T445" i="41"/>
  <c r="T448" i="41"/>
  <c r="T458" i="41"/>
  <c r="T442" i="41"/>
  <c r="V471" i="41"/>
  <c r="W473" i="41"/>
  <c r="F456" i="41"/>
  <c r="S469" i="41"/>
  <c r="P474" i="41"/>
  <c r="AF469" i="41"/>
  <c r="AF478" i="41"/>
  <c r="AF462" i="41"/>
  <c r="AF464" i="41"/>
  <c r="AF476" i="41"/>
  <c r="AF468" i="41"/>
  <c r="AF461" i="41"/>
  <c r="AF474" i="41"/>
  <c r="AF463" i="41"/>
  <c r="AF472" i="41"/>
  <c r="AF477" i="41"/>
  <c r="AF466" i="41"/>
  <c r="AF473" i="41"/>
  <c r="AF475" i="41"/>
  <c r="AF471" i="41"/>
  <c r="AF465" i="41"/>
  <c r="AF470" i="41"/>
  <c r="AF467" i="41"/>
  <c r="AF459" i="41"/>
  <c r="AF460" i="41"/>
  <c r="X469" i="41"/>
  <c r="X468" i="41"/>
  <c r="X478" i="41"/>
  <c r="X471" i="41"/>
  <c r="X461" i="41"/>
  <c r="X475" i="41"/>
  <c r="X462" i="41"/>
  <c r="X473" i="41"/>
  <c r="X472" i="41"/>
  <c r="X476" i="41"/>
  <c r="X470" i="41"/>
  <c r="X474" i="41"/>
  <c r="X464" i="41"/>
  <c r="X463" i="41"/>
  <c r="X460" i="41"/>
  <c r="X466" i="41"/>
  <c r="X459" i="41"/>
  <c r="X467" i="41"/>
  <c r="X465" i="41"/>
  <c r="X477" i="41"/>
  <c r="O469" i="41"/>
  <c r="R477" i="41"/>
  <c r="N471" i="41"/>
  <c r="AF444" i="41"/>
  <c r="J440" i="41"/>
  <c r="AB466" i="41"/>
  <c r="H470" i="41"/>
  <c r="AD461" i="41"/>
  <c r="Q467" i="41"/>
  <c r="M459" i="41"/>
  <c r="M461" i="41"/>
  <c r="M463" i="41"/>
  <c r="M469" i="41"/>
  <c r="M476" i="41"/>
  <c r="M475" i="41"/>
  <c r="M473" i="41"/>
  <c r="M474" i="41"/>
  <c r="M478" i="41"/>
  <c r="M468" i="41"/>
  <c r="M470" i="41"/>
  <c r="M467" i="41"/>
  <c r="M471" i="41"/>
  <c r="M466" i="41"/>
  <c r="M465" i="41"/>
  <c r="M462" i="41"/>
  <c r="M460" i="41"/>
  <c r="M477" i="41"/>
  <c r="M472" i="41"/>
  <c r="M464" i="41"/>
  <c r="G466" i="41"/>
  <c r="AE473" i="41"/>
  <c r="AA458" i="41"/>
  <c r="U459" i="41"/>
  <c r="L439" i="41"/>
  <c r="X443" i="41"/>
  <c r="V463" i="41"/>
  <c r="W466" i="41"/>
  <c r="F442" i="41"/>
  <c r="P459" i="41"/>
  <c r="Y447" i="41"/>
  <c r="Y441" i="41"/>
  <c r="Y445" i="41"/>
  <c r="Y454" i="41"/>
  <c r="Y442" i="41"/>
  <c r="Y451" i="41"/>
  <c r="Y439" i="41"/>
  <c r="Y453" i="41"/>
  <c r="Y446" i="41"/>
  <c r="Y456" i="41"/>
  <c r="Y458" i="41"/>
  <c r="Y444" i="41"/>
  <c r="Y449" i="41"/>
  <c r="Y440" i="41"/>
  <c r="Y455" i="41"/>
  <c r="Y452" i="41"/>
  <c r="Y450" i="41"/>
  <c r="Y457" i="41"/>
  <c r="Y443" i="41"/>
  <c r="Y448" i="41"/>
  <c r="O475" i="41"/>
  <c r="Y470" i="41"/>
  <c r="Y465" i="41"/>
  <c r="Y474" i="41"/>
  <c r="Y462" i="41"/>
  <c r="Y476" i="41"/>
  <c r="Y471" i="41"/>
  <c r="Y459" i="41"/>
  <c r="Y473" i="41"/>
  <c r="Y466" i="41"/>
  <c r="Y464" i="41"/>
  <c r="Y478" i="41"/>
  <c r="Y475" i="41"/>
  <c r="Y469" i="41"/>
  <c r="Y460" i="41"/>
  <c r="Y472" i="41"/>
  <c r="Y467" i="41"/>
  <c r="Y477" i="41"/>
  <c r="Y463" i="41"/>
  <c r="Y461" i="41"/>
  <c r="Y468" i="41"/>
  <c r="O461" i="41"/>
  <c r="AF448" i="41"/>
  <c r="S442" i="41"/>
  <c r="S454" i="41"/>
  <c r="S448" i="41"/>
  <c r="S443" i="41"/>
  <c r="S441" i="41"/>
  <c r="S439" i="41"/>
  <c r="S458" i="41"/>
  <c r="S440" i="41"/>
  <c r="S455" i="41"/>
  <c r="S452" i="41"/>
  <c r="S449" i="41"/>
  <c r="S451" i="41"/>
  <c r="S450" i="41"/>
  <c r="S447" i="41"/>
  <c r="S456" i="41"/>
  <c r="S446" i="41"/>
  <c r="S445" i="41"/>
  <c r="S457" i="41"/>
  <c r="S453" i="41"/>
  <c r="S444" i="41"/>
  <c r="M449" i="41"/>
  <c r="M441" i="41"/>
  <c r="M443" i="41"/>
  <c r="M456" i="41"/>
  <c r="M455" i="41"/>
  <c r="M453" i="41"/>
  <c r="M448" i="41"/>
  <c r="M454" i="41"/>
  <c r="M458" i="41"/>
  <c r="M447" i="41"/>
  <c r="M450" i="41"/>
  <c r="M440" i="41"/>
  <c r="M446" i="41"/>
  <c r="M445" i="41"/>
  <c r="M442" i="41"/>
  <c r="M457" i="41"/>
  <c r="M451" i="41"/>
  <c r="M444" i="41"/>
  <c r="M452" i="41"/>
  <c r="M439" i="41"/>
  <c r="O472" i="41"/>
  <c r="R465" i="41"/>
  <c r="N464" i="41"/>
  <c r="AF442" i="41"/>
  <c r="J452" i="41"/>
  <c r="AB470" i="41"/>
  <c r="H477" i="41"/>
  <c r="AD478" i="41"/>
  <c r="Q469" i="41"/>
  <c r="G476" i="41"/>
  <c r="AE469" i="41"/>
  <c r="U475" i="41"/>
  <c r="L453" i="41"/>
  <c r="X444" i="41"/>
  <c r="V477" i="41"/>
  <c r="W471" i="41"/>
  <c r="F444" i="41"/>
  <c r="S478" i="41"/>
  <c r="P467" i="41"/>
  <c r="T468" i="41"/>
  <c r="T464" i="41"/>
  <c r="T466" i="41"/>
  <c r="T469" i="41"/>
  <c r="T463" i="41"/>
  <c r="T470" i="41"/>
  <c r="T472" i="41"/>
  <c r="T467" i="41"/>
  <c r="T474" i="41"/>
  <c r="T473" i="41"/>
  <c r="T477" i="41"/>
  <c r="T460" i="41"/>
  <c r="T475" i="41"/>
  <c r="T461" i="41"/>
  <c r="T471" i="41"/>
  <c r="T462" i="41"/>
  <c r="T478" i="41"/>
  <c r="T476" i="41"/>
  <c r="T465" i="41"/>
  <c r="T459" i="41"/>
  <c r="O465" i="41"/>
  <c r="J445" i="41"/>
  <c r="J458" i="41"/>
  <c r="AA476" i="41"/>
  <c r="AA461" i="41"/>
  <c r="AA475" i="41"/>
  <c r="AA463" i="41"/>
  <c r="AA462" i="41"/>
  <c r="AA478" i="41"/>
  <c r="AA468" i="41"/>
  <c r="AA473" i="41"/>
  <c r="AA464" i="41"/>
  <c r="AA459" i="41"/>
  <c r="AA474" i="41"/>
  <c r="AA470" i="41"/>
  <c r="AA471" i="41"/>
  <c r="AA460" i="41"/>
  <c r="AA466" i="41"/>
  <c r="AA477" i="41"/>
  <c r="AA467" i="41"/>
  <c r="AA469" i="41"/>
  <c r="AA472" i="41"/>
  <c r="AA465" i="41"/>
  <c r="O463" i="41"/>
  <c r="R469" i="41"/>
  <c r="AF458" i="41"/>
  <c r="AD470" i="41"/>
  <c r="Q466" i="41"/>
  <c r="G471" i="41"/>
  <c r="AA447" i="41"/>
  <c r="U477" i="41"/>
  <c r="L445" i="41"/>
  <c r="X446" i="41"/>
  <c r="V466" i="41"/>
  <c r="F452" i="41"/>
  <c r="S475" i="41"/>
  <c r="P462" i="41"/>
  <c r="U467" i="41"/>
  <c r="W451" i="41"/>
  <c r="W452" i="41"/>
  <c r="W457" i="41"/>
  <c r="W444" i="41"/>
  <c r="W439" i="41"/>
  <c r="W443" i="41"/>
  <c r="W456" i="41"/>
  <c r="W449" i="41"/>
  <c r="W458" i="41"/>
  <c r="W454" i="41"/>
  <c r="W445" i="41"/>
  <c r="W447" i="41"/>
  <c r="W441" i="41"/>
  <c r="W448" i="41"/>
  <c r="W442" i="41"/>
  <c r="W440" i="41"/>
  <c r="W450" i="41"/>
  <c r="W446" i="41"/>
  <c r="W455" i="41"/>
  <c r="W453" i="41"/>
  <c r="R467" i="41"/>
  <c r="K467" i="41"/>
  <c r="K473" i="41"/>
  <c r="K462" i="41"/>
  <c r="K465" i="41"/>
  <c r="K474" i="41"/>
  <c r="K464" i="41"/>
  <c r="K478" i="41"/>
  <c r="K472" i="41"/>
  <c r="K461" i="41"/>
  <c r="K469" i="41"/>
  <c r="K476" i="41"/>
  <c r="K470" i="41"/>
  <c r="K459" i="41"/>
  <c r="K463" i="41"/>
  <c r="K471" i="41"/>
  <c r="K477" i="41"/>
  <c r="K475" i="41"/>
  <c r="K466" i="41"/>
  <c r="K460" i="41"/>
  <c r="K468" i="41"/>
  <c r="AF439" i="41"/>
  <c r="J450" i="41"/>
  <c r="AB469" i="41"/>
  <c r="AD463" i="41"/>
  <c r="Q473" i="41"/>
  <c r="G464" i="41"/>
  <c r="AA443" i="41"/>
  <c r="U471" i="41"/>
  <c r="L443" i="41"/>
  <c r="X447" i="41"/>
  <c r="V470" i="41"/>
  <c r="W462" i="41"/>
  <c r="F453" i="41"/>
  <c r="S460" i="41"/>
  <c r="U473" i="41"/>
  <c r="AC448" i="41"/>
  <c r="AC446" i="41"/>
  <c r="AC445" i="41"/>
  <c r="AC444" i="41"/>
  <c r="AC452" i="41"/>
  <c r="AC443" i="41"/>
  <c r="AC441" i="41"/>
  <c r="AC457" i="41"/>
  <c r="AC458" i="41"/>
  <c r="AC453" i="41"/>
  <c r="AC439" i="41"/>
  <c r="AC450" i="41"/>
  <c r="AC451" i="41"/>
  <c r="AC447" i="41"/>
  <c r="AC455" i="41"/>
  <c r="AC449" i="41"/>
  <c r="AC442" i="41"/>
  <c r="AC456" i="41"/>
  <c r="AC440" i="41"/>
  <c r="AC454" i="41"/>
  <c r="J449" i="41"/>
  <c r="P440" i="41"/>
  <c r="P448" i="41"/>
  <c r="P457" i="41"/>
  <c r="P444" i="41"/>
  <c r="P442" i="41"/>
  <c r="P453" i="41"/>
  <c r="P458" i="41"/>
  <c r="P439" i="41"/>
  <c r="P454" i="41"/>
  <c r="P446" i="41"/>
  <c r="P441" i="41"/>
  <c r="P443" i="41"/>
  <c r="P445" i="41"/>
  <c r="P447" i="41"/>
  <c r="P449" i="41"/>
  <c r="P455" i="41"/>
  <c r="P452" i="41"/>
  <c r="P456" i="41"/>
  <c r="P451" i="41"/>
  <c r="P450" i="41"/>
  <c r="O464" i="41"/>
  <c r="R473" i="41"/>
  <c r="N476" i="41"/>
  <c r="H454" i="41"/>
  <c r="H458" i="41"/>
  <c r="H446" i="41"/>
  <c r="H439" i="41"/>
  <c r="H444" i="41"/>
  <c r="H452" i="41"/>
  <c r="H456" i="41"/>
  <c r="H447" i="41"/>
  <c r="H445" i="41"/>
  <c r="H455" i="41"/>
  <c r="H440" i="41"/>
  <c r="H443" i="41"/>
  <c r="H451" i="41"/>
  <c r="H448" i="41"/>
  <c r="H457" i="41"/>
  <c r="H442" i="41"/>
  <c r="H441" i="41"/>
  <c r="H449" i="41"/>
  <c r="H453" i="41"/>
  <c r="H450" i="41"/>
  <c r="O467" i="41"/>
  <c r="R461" i="41"/>
  <c r="N463" i="41"/>
  <c r="AF443" i="41"/>
  <c r="J455" i="41"/>
  <c r="AB461" i="41"/>
  <c r="H461" i="41"/>
  <c r="AD460" i="41"/>
  <c r="Q470" i="41"/>
  <c r="G462" i="41"/>
  <c r="AE472" i="41"/>
  <c r="AA445" i="41"/>
  <c r="U465" i="41"/>
  <c r="L440" i="41"/>
  <c r="X454" i="41"/>
  <c r="W475" i="41"/>
  <c r="F448" i="41"/>
  <c r="S459" i="41"/>
  <c r="P473" i="41"/>
  <c r="I468" i="41"/>
  <c r="I460" i="41"/>
  <c r="I461" i="41"/>
  <c r="I464" i="41"/>
  <c r="I465" i="41"/>
  <c r="I477" i="41"/>
  <c r="I462" i="41"/>
  <c r="I476" i="41"/>
  <c r="I470" i="41"/>
  <c r="I478" i="41"/>
  <c r="I471" i="41"/>
  <c r="I459" i="41"/>
  <c r="I467" i="41"/>
  <c r="I473" i="41"/>
  <c r="I466" i="41"/>
  <c r="I474" i="41"/>
  <c r="I469" i="41"/>
  <c r="I472" i="41"/>
  <c r="I475" i="41"/>
  <c r="I463" i="41"/>
  <c r="J453" i="41"/>
  <c r="U463" i="41"/>
  <c r="S468" i="41"/>
  <c r="P477" i="41"/>
  <c r="J464" i="41"/>
  <c r="J461" i="41"/>
  <c r="J466" i="41"/>
  <c r="J468" i="41"/>
  <c r="J467" i="41"/>
  <c r="J475" i="41"/>
  <c r="J470" i="41"/>
  <c r="J472" i="41"/>
  <c r="J469" i="41"/>
  <c r="J463" i="41"/>
  <c r="J460" i="41"/>
  <c r="J471" i="41"/>
  <c r="J477" i="41"/>
  <c r="J476" i="41"/>
  <c r="J474" i="41"/>
  <c r="J462" i="41"/>
  <c r="J459" i="41"/>
  <c r="J478" i="41"/>
  <c r="J465" i="41"/>
  <c r="J473" i="41"/>
  <c r="O474" i="41"/>
  <c r="W460" i="41"/>
  <c r="V450" i="41"/>
  <c r="V456" i="41"/>
  <c r="V443" i="41"/>
  <c r="V451" i="41"/>
  <c r="V442" i="41"/>
  <c r="V455" i="41"/>
  <c r="V454" i="41"/>
  <c r="V452" i="41"/>
  <c r="V440" i="41"/>
  <c r="V453" i="41"/>
  <c r="V439" i="41"/>
  <c r="V449" i="41"/>
  <c r="V444" i="41"/>
  <c r="V446" i="41"/>
  <c r="V441" i="41"/>
  <c r="V448" i="41"/>
  <c r="V445" i="41"/>
  <c r="V447" i="41"/>
  <c r="V458" i="41"/>
  <c r="V457" i="41"/>
  <c r="O468" i="41"/>
  <c r="R476" i="41"/>
  <c r="N460" i="41"/>
  <c r="AF449" i="41"/>
  <c r="J447" i="41"/>
  <c r="AB475" i="41"/>
  <c r="H460" i="41"/>
  <c r="AD472" i="41"/>
  <c r="Q472" i="41"/>
  <c r="G459" i="41"/>
  <c r="AE460" i="41"/>
  <c r="AA456" i="41"/>
  <c r="U478" i="41"/>
  <c r="L449" i="41"/>
  <c r="X456" i="41"/>
  <c r="V476" i="41"/>
  <c r="W470" i="41"/>
  <c r="F450" i="41"/>
  <c r="S463" i="41"/>
  <c r="P470" i="41"/>
  <c r="P476" i="41"/>
  <c r="AD459" i="41"/>
  <c r="G470" i="41"/>
  <c r="AA455" i="41"/>
  <c r="U462" i="41"/>
  <c r="L454" i="41"/>
  <c r="X453" i="41"/>
  <c r="W465" i="41"/>
  <c r="Z443" i="41"/>
  <c r="Z447" i="41"/>
  <c r="Z448" i="41"/>
  <c r="Z439" i="41"/>
  <c r="Z441" i="41"/>
  <c r="Z445" i="41"/>
  <c r="Z453" i="41"/>
  <c r="Z456" i="41"/>
  <c r="Z457" i="41"/>
  <c r="Z444" i="41"/>
  <c r="Z451" i="41"/>
  <c r="Z442" i="41"/>
  <c r="Z449" i="41"/>
  <c r="Z450" i="41"/>
  <c r="Z455" i="41"/>
  <c r="Z458" i="41"/>
  <c r="Z454" i="41"/>
  <c r="Z446" i="41"/>
  <c r="Z452" i="41"/>
  <c r="Z440" i="41"/>
  <c r="O473" i="41"/>
  <c r="R475" i="41"/>
  <c r="N462" i="41"/>
  <c r="AF451" i="41"/>
  <c r="J446" i="41"/>
  <c r="AB460" i="41"/>
  <c r="H463" i="41"/>
  <c r="AD471" i="41"/>
  <c r="Q475" i="41"/>
  <c r="G467" i="41"/>
  <c r="AE462" i="41"/>
  <c r="AA441" i="41"/>
  <c r="U466" i="41"/>
  <c r="L446" i="41"/>
  <c r="X442" i="41"/>
  <c r="V468" i="41"/>
  <c r="W461" i="41"/>
  <c r="F445" i="41"/>
  <c r="S464" i="41"/>
  <c r="P471" i="41"/>
  <c r="G26" i="45"/>
  <c r="AA17" i="54" s="1"/>
  <c r="F29" i="45"/>
  <c r="G29" i="45"/>
  <c r="Q17" i="54" s="1"/>
  <c r="F24" i="45"/>
  <c r="G24" i="45"/>
  <c r="AH17" i="54" s="1"/>
  <c r="F25" i="45"/>
  <c r="G25" i="45"/>
  <c r="P17" i="54" s="1"/>
  <c r="G31" i="45"/>
  <c r="T17" i="54" s="1"/>
  <c r="F31" i="45"/>
  <c r="G9" i="45"/>
  <c r="G17" i="54" s="1"/>
  <c r="F9" i="45"/>
  <c r="F35" i="45"/>
  <c r="G35" i="45"/>
  <c r="AC17" i="54" s="1"/>
  <c r="F28" i="45"/>
  <c r="G28" i="45"/>
  <c r="AD17" i="54" s="1"/>
  <c r="G10" i="45"/>
  <c r="H17" i="54" s="1"/>
  <c r="F10" i="45"/>
  <c r="F11" i="45"/>
  <c r="G11" i="45"/>
  <c r="I17" i="54" s="1"/>
  <c r="F15" i="45"/>
  <c r="G15" i="45"/>
  <c r="L17" i="54" s="1"/>
  <c r="F36" i="45"/>
  <c r="G36" i="45"/>
  <c r="AB17" i="54" s="1"/>
  <c r="G12" i="45"/>
  <c r="J17" i="54" s="1"/>
  <c r="F12" i="45"/>
  <c r="F30" i="45"/>
  <c r="G30" i="45"/>
  <c r="S17" i="54" s="1"/>
  <c r="F13" i="45"/>
  <c r="G13" i="45"/>
  <c r="AE17" i="54" s="1"/>
  <c r="G32" i="45"/>
  <c r="U17" i="54" s="1"/>
  <c r="F32" i="45"/>
  <c r="F16" i="45"/>
  <c r="G16" i="45"/>
  <c r="M17" i="54" s="1"/>
  <c r="F14" i="45"/>
  <c r="G14" i="45"/>
  <c r="AF17" i="54" s="1"/>
  <c r="F33" i="45"/>
  <c r="G33" i="45"/>
  <c r="W17" i="54" s="1"/>
  <c r="F34" i="45"/>
  <c r="G34" i="45"/>
  <c r="V17" i="54" s="1"/>
  <c r="F18" i="45"/>
  <c r="G18" i="45"/>
  <c r="X17" i="54" s="1"/>
  <c r="F19" i="45"/>
  <c r="G19" i="45"/>
  <c r="Y17" i="54" s="1"/>
  <c r="F17" i="45"/>
  <c r="G17" i="45"/>
  <c r="R17" i="54" s="1"/>
  <c r="G20" i="45"/>
  <c r="N17" i="54" s="1"/>
  <c r="F20" i="45"/>
  <c r="F27" i="45"/>
  <c r="G27" i="45"/>
  <c r="O17" i="54" s="1"/>
  <c r="G22" i="45"/>
  <c r="AG17" i="54" s="1"/>
  <c r="F22" i="45"/>
  <c r="G21" i="45"/>
  <c r="Z17" i="54" s="1"/>
  <c r="F21" i="45"/>
  <c r="F23" i="45"/>
  <c r="G23" i="45"/>
  <c r="B120" i="8"/>
  <c r="M23" i="54" l="1"/>
  <c r="M20" i="54"/>
  <c r="M24" i="54"/>
  <c r="M25" i="54"/>
  <c r="M21" i="54"/>
  <c r="M22" i="54"/>
  <c r="G20" i="54"/>
  <c r="G24" i="54"/>
  <c r="G22" i="54"/>
  <c r="G21" i="54"/>
  <c r="G25" i="54"/>
  <c r="G23" i="54"/>
  <c r="AE21" i="54"/>
  <c r="AE24" i="54"/>
  <c r="AE22" i="54"/>
  <c r="AE25" i="54"/>
  <c r="AE23" i="54"/>
  <c r="AE20" i="54"/>
  <c r="P24" i="54"/>
  <c r="P20" i="54"/>
  <c r="P23" i="54"/>
  <c r="P21" i="54"/>
  <c r="P25" i="54"/>
  <c r="P22" i="54"/>
  <c r="AH21" i="54"/>
  <c r="AH23" i="54"/>
  <c r="AH24" i="54"/>
  <c r="AH22" i="54"/>
  <c r="AH25" i="54"/>
  <c r="AH20" i="54"/>
  <c r="K20" i="54"/>
  <c r="K22" i="54"/>
  <c r="K25" i="54"/>
  <c r="K21" i="54"/>
  <c r="K23" i="54"/>
  <c r="K24" i="54"/>
  <c r="L20" i="54"/>
  <c r="L23" i="54"/>
  <c r="L22" i="54"/>
  <c r="L24" i="54"/>
  <c r="L25" i="54"/>
  <c r="L21" i="54"/>
  <c r="AF23" i="54"/>
  <c r="AF25" i="54"/>
  <c r="AF24" i="54"/>
  <c r="AF22" i="54"/>
  <c r="AF20" i="54"/>
  <c r="AF21" i="54"/>
  <c r="I23" i="54"/>
  <c r="I20" i="54"/>
  <c r="I24" i="54"/>
  <c r="I25" i="54"/>
  <c r="I21" i="54"/>
  <c r="I22" i="54"/>
  <c r="J21" i="54"/>
  <c r="J20" i="54"/>
  <c r="J22" i="54"/>
  <c r="J24" i="54"/>
  <c r="J25" i="54"/>
  <c r="J23" i="54"/>
  <c r="Y24" i="54"/>
  <c r="Y22" i="54"/>
  <c r="Y23" i="54"/>
  <c r="Y21" i="54"/>
  <c r="Y25" i="54"/>
  <c r="Y20" i="54"/>
  <c r="X21" i="54"/>
  <c r="X22" i="54"/>
  <c r="X20" i="54"/>
  <c r="X23" i="54"/>
  <c r="X24" i="54"/>
  <c r="X25" i="54"/>
  <c r="H25" i="54"/>
  <c r="H23" i="54"/>
  <c r="H24" i="54"/>
  <c r="H20" i="54"/>
  <c r="H21" i="54"/>
  <c r="H22" i="54"/>
  <c r="R21" i="54"/>
  <c r="R24" i="54"/>
  <c r="R22" i="54"/>
  <c r="R20" i="54"/>
  <c r="R25" i="54"/>
  <c r="R23" i="54"/>
  <c r="Z23" i="54"/>
  <c r="Z24" i="54"/>
  <c r="Z25" i="54"/>
  <c r="Z20" i="54"/>
  <c r="Z21" i="54"/>
  <c r="Z22" i="54"/>
  <c r="AG23" i="54"/>
  <c r="AG24" i="54"/>
  <c r="AG25" i="54"/>
  <c r="AG20" i="54"/>
  <c r="AG21" i="54"/>
  <c r="AG22" i="54"/>
  <c r="O23" i="54"/>
  <c r="O24" i="54"/>
  <c r="O25" i="54"/>
  <c r="N23" i="54"/>
  <c r="N24" i="54"/>
  <c r="N25" i="54"/>
  <c r="N20" i="54"/>
  <c r="N21" i="54"/>
  <c r="N22" i="54"/>
  <c r="V23" i="54"/>
  <c r="V24" i="54"/>
  <c r="V25" i="54"/>
  <c r="V20" i="54"/>
  <c r="V21" i="54"/>
  <c r="V22" i="54"/>
  <c r="W23" i="54"/>
  <c r="W24" i="54"/>
  <c r="W25" i="54"/>
  <c r="W20" i="54"/>
  <c r="W21" i="54"/>
  <c r="W22" i="54"/>
  <c r="U23" i="54"/>
  <c r="U24" i="54"/>
  <c r="U25" i="54"/>
  <c r="U20" i="54"/>
  <c r="U21" i="54"/>
  <c r="U22" i="54"/>
  <c r="S23" i="54"/>
  <c r="S24" i="54"/>
  <c r="S25" i="54"/>
  <c r="S20" i="54"/>
  <c r="S21" i="54"/>
  <c r="S22" i="54"/>
  <c r="AB23" i="54"/>
  <c r="AB24" i="54"/>
  <c r="AB25" i="54"/>
  <c r="AB20" i="54"/>
  <c r="AB21" i="54"/>
  <c r="AB22" i="54"/>
  <c r="AD23" i="54"/>
  <c r="AD24" i="54"/>
  <c r="AD25" i="54"/>
  <c r="AD20" i="54"/>
  <c r="AD21" i="54"/>
  <c r="AD22" i="54"/>
  <c r="AC23" i="54"/>
  <c r="AC24" i="54"/>
  <c r="AC25" i="54"/>
  <c r="AC20" i="54"/>
  <c r="AC21" i="54"/>
  <c r="AC22" i="54"/>
  <c r="T23" i="54"/>
  <c r="T24" i="54"/>
  <c r="T25" i="54"/>
  <c r="T20" i="54"/>
  <c r="T21" i="54"/>
  <c r="T22" i="54"/>
  <c r="Q23" i="54"/>
  <c r="Q24" i="54"/>
  <c r="Q25" i="54"/>
  <c r="Q20" i="54"/>
  <c r="Q21" i="54"/>
  <c r="Q22" i="54"/>
  <c r="P83" i="55"/>
  <c r="AG83" i="55"/>
  <c r="AD83" i="55"/>
  <c r="AL83" i="55"/>
  <c r="R83" i="55"/>
  <c r="L83" i="55"/>
  <c r="W83" i="55"/>
  <c r="E459" i="41"/>
  <c r="L100" i="55"/>
  <c r="AJ83" i="55"/>
  <c r="AH83" i="55"/>
  <c r="U83" i="55"/>
  <c r="N83" i="55"/>
  <c r="Y83" i="55"/>
  <c r="AB83" i="55"/>
  <c r="R100" i="55"/>
  <c r="AC83" i="55"/>
  <c r="AG100" i="55"/>
  <c r="AK83" i="55"/>
  <c r="AL100" i="55"/>
  <c r="X83" i="55"/>
  <c r="AD100" i="55"/>
  <c r="P100" i="55"/>
  <c r="AA83" i="55"/>
  <c r="T83" i="55"/>
  <c r="V83" i="55"/>
  <c r="M83" i="55"/>
  <c r="Z100" i="55"/>
  <c r="S83" i="55"/>
  <c r="O100" i="55"/>
  <c r="AE100" i="55"/>
  <c r="Q83" i="55"/>
  <c r="AI100" i="55"/>
  <c r="AF83" i="55"/>
  <c r="AJ100" i="55"/>
  <c r="S100" i="55"/>
  <c r="AE83" i="55"/>
  <c r="AI83" i="55"/>
  <c r="AH100" i="55"/>
  <c r="AK100" i="55"/>
  <c r="M100" i="55"/>
  <c r="X100" i="55"/>
  <c r="Q100" i="55"/>
  <c r="Z83" i="55"/>
  <c r="O83" i="55"/>
  <c r="U100" i="55"/>
  <c r="AF100" i="55"/>
  <c r="AA100" i="55"/>
  <c r="AB100" i="55"/>
  <c r="N100" i="55"/>
  <c r="V100" i="55"/>
  <c r="Y100" i="55"/>
  <c r="AC100" i="55"/>
  <c r="T100" i="55"/>
  <c r="W100" i="55"/>
  <c r="AG234" i="58"/>
  <c r="AG232" i="58"/>
  <c r="AG230" i="58"/>
  <c r="AG231" i="58"/>
  <c r="U231" i="58"/>
  <c r="U230" i="58"/>
  <c r="U234" i="58"/>
  <c r="U232" i="58"/>
  <c r="AE232" i="58"/>
  <c r="AE231" i="58"/>
  <c r="AE230" i="58"/>
  <c r="AE234" i="58"/>
  <c r="N234" i="58"/>
  <c r="N231" i="58"/>
  <c r="N230" i="58"/>
  <c r="N232" i="58"/>
  <c r="T231" i="58"/>
  <c r="T232" i="58"/>
  <c r="T230" i="58"/>
  <c r="T234" i="58"/>
  <c r="AA230" i="58"/>
  <c r="AA231" i="58"/>
  <c r="AA234" i="58"/>
  <c r="AA232" i="58"/>
  <c r="X234" i="58"/>
  <c r="X232" i="58"/>
  <c r="X231" i="58"/>
  <c r="X230" i="58"/>
  <c r="AF232" i="58"/>
  <c r="AF230" i="58"/>
  <c r="AF231" i="58"/>
  <c r="AF234" i="58"/>
  <c r="R231" i="58"/>
  <c r="R232" i="58"/>
  <c r="R234" i="58"/>
  <c r="R230" i="58"/>
  <c r="M234" i="58"/>
  <c r="M232" i="58"/>
  <c r="M231" i="58"/>
  <c r="M230" i="58"/>
  <c r="P234" i="58"/>
  <c r="P230" i="58"/>
  <c r="P231" i="58"/>
  <c r="P232" i="58"/>
  <c r="AJ234" i="58"/>
  <c r="AJ230" i="58"/>
  <c r="AJ232" i="58"/>
  <c r="AJ231" i="58"/>
  <c r="O234" i="58"/>
  <c r="O232" i="58"/>
  <c r="O230" i="58"/>
  <c r="O231" i="58"/>
  <c r="V234" i="58"/>
  <c r="V232" i="58"/>
  <c r="V231" i="58"/>
  <c r="V230" i="58"/>
  <c r="K232" i="58"/>
  <c r="K231" i="58"/>
  <c r="K230" i="58"/>
  <c r="K234" i="58"/>
  <c r="AH234" i="58"/>
  <c r="AH230" i="58"/>
  <c r="AH232" i="58"/>
  <c r="AH231" i="58"/>
  <c r="AC232" i="58"/>
  <c r="AC230" i="58"/>
  <c r="AC234" i="58"/>
  <c r="AC231" i="58"/>
  <c r="Z230" i="58"/>
  <c r="Z231" i="58"/>
  <c r="Z234" i="58"/>
  <c r="Z232" i="58"/>
  <c r="W231" i="58"/>
  <c r="W234" i="58"/>
  <c r="W232" i="58"/>
  <c r="W230" i="58"/>
  <c r="L232" i="58"/>
  <c r="AI234" i="58"/>
  <c r="AI232" i="58"/>
  <c r="AI230" i="58"/>
  <c r="AI231" i="58"/>
  <c r="Q231" i="58"/>
  <c r="Q234" i="58"/>
  <c r="Q230" i="58"/>
  <c r="Q232" i="58"/>
  <c r="AK231" i="58"/>
  <c r="AK234" i="58"/>
  <c r="AK230" i="58"/>
  <c r="AK232" i="58"/>
  <c r="S231" i="58"/>
  <c r="S234" i="58"/>
  <c r="S232" i="58"/>
  <c r="S230" i="58"/>
  <c r="AL231" i="58"/>
  <c r="AL232" i="58"/>
  <c r="AL230" i="58"/>
  <c r="AL234" i="58"/>
  <c r="AB230" i="58"/>
  <c r="AB231" i="58"/>
  <c r="AB234" i="58"/>
  <c r="AB232" i="58"/>
  <c r="Y230" i="58"/>
  <c r="Y232" i="58"/>
  <c r="Y234" i="58"/>
  <c r="Y231" i="58"/>
  <c r="AD232" i="58"/>
  <c r="AC233" i="58"/>
  <c r="AC224" i="58"/>
  <c r="Z233" i="58"/>
  <c r="Z224" i="58"/>
  <c r="W233" i="58"/>
  <c r="W224" i="58"/>
  <c r="AK233" i="58"/>
  <c r="AK224" i="58"/>
  <c r="AL233" i="58"/>
  <c r="AL224" i="58"/>
  <c r="AH233" i="58"/>
  <c r="AH224" i="58"/>
  <c r="AI233" i="58"/>
  <c r="AI224" i="58"/>
  <c r="AB233" i="58"/>
  <c r="AB224" i="58"/>
  <c r="Y233" i="58"/>
  <c r="Y224" i="58"/>
  <c r="AG233" i="58"/>
  <c r="AG224" i="58"/>
  <c r="V233" i="58"/>
  <c r="V224" i="58"/>
  <c r="S233" i="58"/>
  <c r="S224" i="58"/>
  <c r="X233" i="58"/>
  <c r="X224" i="58"/>
  <c r="AE233" i="58"/>
  <c r="AE224" i="58"/>
  <c r="M233" i="58"/>
  <c r="M224" i="58"/>
  <c r="U233" i="58"/>
  <c r="U224" i="58"/>
  <c r="N233" i="58"/>
  <c r="N224" i="58"/>
  <c r="T233" i="58"/>
  <c r="T224" i="58"/>
  <c r="AA233" i="58"/>
  <c r="AA224" i="58"/>
  <c r="L226" i="58"/>
  <c r="L225" i="58"/>
  <c r="R233" i="58"/>
  <c r="R224" i="58"/>
  <c r="AD226" i="58"/>
  <c r="AD225" i="58"/>
  <c r="K233" i="58"/>
  <c r="K224" i="58"/>
  <c r="Q233" i="58"/>
  <c r="Q224" i="58"/>
  <c r="AF233" i="58"/>
  <c r="AF224" i="58"/>
  <c r="P233" i="58"/>
  <c r="P224" i="58"/>
  <c r="AJ233" i="58"/>
  <c r="AJ224" i="58"/>
  <c r="O233" i="58"/>
  <c r="O224" i="58"/>
  <c r="Z19" i="38"/>
  <c r="Z16" i="38"/>
  <c r="Z17" i="38"/>
  <c r="AK62" i="58"/>
  <c r="AA62" i="58"/>
  <c r="AA219" i="58" s="1"/>
  <c r="R62" i="58"/>
  <c r="U62" i="58"/>
  <c r="AJ63" i="58"/>
  <c r="AJ220" i="58" s="1"/>
  <c r="AC16" i="38"/>
  <c r="Y31" i="38"/>
  <c r="Z36" i="38"/>
  <c r="Z28" i="38"/>
  <c r="T33" i="38"/>
  <c r="I30" i="38"/>
  <c r="M23" i="38"/>
  <c r="Z25" i="38"/>
  <c r="AC38" i="38"/>
  <c r="AC29" i="38"/>
  <c r="AC26" i="38"/>
  <c r="E442" i="41"/>
  <c r="E445" i="41"/>
  <c r="E452" i="41"/>
  <c r="E446" i="41"/>
  <c r="I20" i="38"/>
  <c r="I18" i="38"/>
  <c r="E465" i="41"/>
  <c r="T37" i="38"/>
  <c r="M28" i="38"/>
  <c r="T23" i="38"/>
  <c r="M36" i="38"/>
  <c r="T34" i="38"/>
  <c r="Y19" i="38"/>
  <c r="Y16" i="38"/>
  <c r="Y29" i="38"/>
  <c r="Y38" i="38"/>
  <c r="Y20" i="38"/>
  <c r="K26" i="38"/>
  <c r="Y18" i="38"/>
  <c r="Y21" i="38"/>
  <c r="T19" i="38"/>
  <c r="T21" i="38"/>
  <c r="T38" i="38"/>
  <c r="T29" i="38"/>
  <c r="K31" i="38"/>
  <c r="T20" i="38"/>
  <c r="K28" i="38"/>
  <c r="T27" i="38"/>
  <c r="T36" i="38"/>
  <c r="T30" i="38"/>
  <c r="T26" i="38"/>
  <c r="T24" i="38"/>
  <c r="T32" i="38"/>
  <c r="I25" i="38"/>
  <c r="T16" i="38"/>
  <c r="E461" i="41"/>
  <c r="T15" i="38"/>
  <c r="E460" i="41"/>
  <c r="T18" i="38"/>
  <c r="E441" i="41"/>
  <c r="T17" i="38"/>
  <c r="Z26" i="38"/>
  <c r="Y24" i="38"/>
  <c r="E456" i="41"/>
  <c r="T28" i="38"/>
  <c r="Z37" i="38"/>
  <c r="Y35" i="38"/>
  <c r="M25" i="38"/>
  <c r="T31" i="38"/>
  <c r="Z31" i="38"/>
  <c r="Y32" i="38"/>
  <c r="T25" i="38"/>
  <c r="Z32" i="38"/>
  <c r="Y27" i="38"/>
  <c r="Z35" i="38"/>
  <c r="Y37" i="38"/>
  <c r="Z30" i="38"/>
  <c r="Z20" i="38"/>
  <c r="Z21" i="38"/>
  <c r="Z38" i="38"/>
  <c r="E478" i="41"/>
  <c r="Z29" i="38"/>
  <c r="Y15" i="38"/>
  <c r="Z33" i="38"/>
  <c r="E466" i="41"/>
  <c r="T35" i="38"/>
  <c r="Z22" i="38"/>
  <c r="Y28" i="38"/>
  <c r="Y25" i="38"/>
  <c r="Z24" i="38"/>
  <c r="Y26" i="38"/>
  <c r="Z27" i="38"/>
  <c r="Z23" i="38"/>
  <c r="AF41" i="64" s="1"/>
  <c r="Y23" i="38"/>
  <c r="Z34" i="38"/>
  <c r="Y34" i="38"/>
  <c r="T22" i="38"/>
  <c r="Z15" i="38"/>
  <c r="Y17" i="38"/>
  <c r="E444" i="41"/>
  <c r="E472" i="41"/>
  <c r="I22" i="38"/>
  <c r="K27" i="38"/>
  <c r="AC36" i="38"/>
  <c r="AC32" i="38"/>
  <c r="E448" i="41"/>
  <c r="E462" i="41"/>
  <c r="I19" i="38"/>
  <c r="K29" i="38"/>
  <c r="AC21" i="38"/>
  <c r="AC23" i="38"/>
  <c r="Y22" i="38"/>
  <c r="E447" i="41"/>
  <c r="E468" i="41"/>
  <c r="I34" i="38"/>
  <c r="K24" i="38"/>
  <c r="AC35" i="38"/>
  <c r="AC25" i="38"/>
  <c r="I15" i="38"/>
  <c r="E449" i="41"/>
  <c r="E477" i="41"/>
  <c r="I24" i="38"/>
  <c r="I21" i="38"/>
  <c r="K25" i="38"/>
  <c r="AC31" i="38"/>
  <c r="AC37" i="38"/>
  <c r="M38" i="38"/>
  <c r="K20" i="38"/>
  <c r="AC34" i="38"/>
  <c r="E443" i="41"/>
  <c r="E464" i="41"/>
  <c r="I28" i="38"/>
  <c r="I32" i="38"/>
  <c r="K34" i="38"/>
  <c r="AC20" i="38"/>
  <c r="M21" i="38"/>
  <c r="E469" i="41"/>
  <c r="I17" i="38"/>
  <c r="I31" i="38"/>
  <c r="K19" i="38"/>
  <c r="AC15" i="38"/>
  <c r="K36" i="38"/>
  <c r="E451" i="41"/>
  <c r="E453" i="41"/>
  <c r="E467" i="41"/>
  <c r="I27" i="38"/>
  <c r="I35" i="38"/>
  <c r="K37" i="38"/>
  <c r="AC18" i="38"/>
  <c r="M29" i="38"/>
  <c r="E450" i="41"/>
  <c r="E473" i="41"/>
  <c r="I33" i="38"/>
  <c r="K16" i="38"/>
  <c r="AC27" i="38"/>
  <c r="M33" i="38"/>
  <c r="E475" i="41"/>
  <c r="I38" i="38"/>
  <c r="K35" i="38"/>
  <c r="AC17" i="38"/>
  <c r="M18" i="38"/>
  <c r="E455" i="41"/>
  <c r="I26" i="38"/>
  <c r="K22" i="38"/>
  <c r="K23" i="38"/>
  <c r="AC19" i="38"/>
  <c r="M17" i="38"/>
  <c r="E454" i="41"/>
  <c r="E457" i="41"/>
  <c r="E471" i="41"/>
  <c r="I37" i="38"/>
  <c r="K38" i="38"/>
  <c r="K32" i="38"/>
  <c r="AC30" i="38"/>
  <c r="Y36" i="38"/>
  <c r="M34" i="38"/>
  <c r="AC33" i="38"/>
  <c r="E463" i="41"/>
  <c r="E439" i="41"/>
  <c r="E470" i="41"/>
  <c r="I29" i="38"/>
  <c r="K21" i="38"/>
  <c r="AC24" i="38"/>
  <c r="Y33" i="38"/>
  <c r="M24" i="38"/>
  <c r="I36" i="38"/>
  <c r="E474" i="41"/>
  <c r="I23" i="38"/>
  <c r="O41" i="64" s="1"/>
  <c r="K15" i="38"/>
  <c r="K17" i="38"/>
  <c r="AC22" i="38"/>
  <c r="Y30" i="38"/>
  <c r="M37" i="38"/>
  <c r="K30" i="38"/>
  <c r="E440" i="41"/>
  <c r="E458" i="41"/>
  <c r="I16" i="38"/>
  <c r="K18" i="38"/>
  <c r="K33" i="38"/>
  <c r="AC28" i="38"/>
  <c r="M15" i="38"/>
  <c r="N63" i="58"/>
  <c r="N220" i="58" s="1"/>
  <c r="AB62" i="58"/>
  <c r="AK63" i="58"/>
  <c r="T493" i="41"/>
  <c r="Y499" i="41"/>
  <c r="AA492" i="41"/>
  <c r="U497" i="41"/>
  <c r="Z492" i="41"/>
  <c r="AC496" i="41"/>
  <c r="Q493" i="41"/>
  <c r="Q495" i="41"/>
  <c r="X492" i="41"/>
  <c r="U492" i="41"/>
  <c r="W492" i="41"/>
  <c r="M488" i="41"/>
  <c r="U486" i="41"/>
  <c r="P495" i="41"/>
  <c r="AE493" i="41"/>
  <c r="AD493" i="41"/>
  <c r="AA488" i="41"/>
  <c r="E496" i="41"/>
  <c r="O497" i="41"/>
  <c r="P497" i="41"/>
  <c r="H483" i="41"/>
  <c r="W496" i="41"/>
  <c r="M487" i="41"/>
  <c r="Q489" i="41"/>
  <c r="P489" i="41"/>
  <c r="G490" i="41"/>
  <c r="I497" i="41"/>
  <c r="J487" i="41"/>
  <c r="K493" i="41"/>
  <c r="AE485" i="41"/>
  <c r="K495" i="41"/>
  <c r="P482" i="41"/>
  <c r="X483" i="41"/>
  <c r="X488" i="41"/>
  <c r="O489" i="41"/>
  <c r="Z485" i="41"/>
  <c r="AB492" i="41"/>
  <c r="Y494" i="41"/>
  <c r="G492" i="41"/>
  <c r="AC491" i="41"/>
  <c r="F492" i="41"/>
  <c r="I491" i="41"/>
  <c r="Y492" i="41"/>
  <c r="Y489" i="41"/>
  <c r="AF491" i="41"/>
  <c r="U487" i="41"/>
  <c r="AE491" i="41"/>
  <c r="U482" i="41"/>
  <c r="Y495" i="41"/>
  <c r="X494" i="41"/>
  <c r="J493" i="41"/>
  <c r="M495" i="41"/>
  <c r="X496" i="41"/>
  <c r="AE495" i="41"/>
  <c r="Y483" i="41"/>
  <c r="M484" i="41"/>
  <c r="H492" i="41"/>
  <c r="E489" i="41"/>
  <c r="O491" i="41"/>
  <c r="I486" i="41"/>
  <c r="N491" i="41"/>
  <c r="AC486" i="41"/>
  <c r="E492" i="41"/>
  <c r="E484" i="41"/>
  <c r="L491" i="41"/>
  <c r="H491" i="41"/>
  <c r="K491" i="41"/>
  <c r="AB486" i="41"/>
  <c r="AC482" i="41"/>
  <c r="AF493" i="41"/>
  <c r="S492" i="41"/>
  <c r="R492" i="41"/>
  <c r="G483" i="41"/>
  <c r="U494" i="41"/>
  <c r="O492" i="41"/>
  <c r="AF495" i="41"/>
  <c r="AA498" i="41"/>
  <c r="G493" i="41"/>
  <c r="M489" i="41"/>
  <c r="U493" i="41"/>
  <c r="L482" i="41"/>
  <c r="W488" i="41"/>
  <c r="R501" i="41"/>
  <c r="N484" i="41"/>
  <c r="F491" i="41"/>
  <c r="T494" i="41"/>
  <c r="AC500" i="41"/>
  <c r="K487" i="41"/>
  <c r="R482" i="41"/>
  <c r="I494" i="41"/>
  <c r="S499" i="41"/>
  <c r="P491" i="41"/>
  <c r="M483" i="41"/>
  <c r="W490" i="41"/>
  <c r="X489" i="41"/>
  <c r="V490" i="41"/>
  <c r="AB491" i="41"/>
  <c r="M491" i="41"/>
  <c r="L488" i="41"/>
  <c r="T490" i="41"/>
  <c r="P485" i="41"/>
  <c r="S490" i="41"/>
  <c r="AE488" i="41"/>
  <c r="AC501" i="41"/>
  <c r="L493" i="41"/>
  <c r="AA491" i="41"/>
  <c r="Z491" i="41"/>
  <c r="J500" i="41"/>
  <c r="AC493" i="41"/>
  <c r="G488" i="41"/>
  <c r="L495" i="41"/>
  <c r="AA493" i="41"/>
  <c r="K490" i="41"/>
  <c r="U501" i="41"/>
  <c r="T501" i="41"/>
  <c r="I487" i="41"/>
  <c r="AE487" i="41"/>
  <c r="Z500" i="41"/>
  <c r="AD482" i="41"/>
  <c r="I485" i="41"/>
  <c r="T492" i="41"/>
  <c r="R494" i="41"/>
  <c r="K485" i="41"/>
  <c r="O487" i="41"/>
  <c r="S501" i="41"/>
  <c r="F500" i="41"/>
  <c r="T488" i="41"/>
  <c r="Q486" i="41"/>
  <c r="E485" i="41"/>
  <c r="AF501" i="41"/>
  <c r="AE501" i="41"/>
  <c r="J501" i="41"/>
  <c r="T482" i="41"/>
  <c r="AF482" i="41"/>
  <c r="J495" i="41"/>
  <c r="AA483" i="41"/>
  <c r="O499" i="41"/>
  <c r="L498" i="41"/>
  <c r="V482" i="41"/>
  <c r="V494" i="41"/>
  <c r="X490" i="41"/>
  <c r="T487" i="41"/>
  <c r="AE489" i="41"/>
  <c r="X484" i="41"/>
  <c r="AD489" i="41"/>
  <c r="AF483" i="41"/>
  <c r="U490" i="41"/>
  <c r="O490" i="41"/>
  <c r="AB489" i="41"/>
  <c r="G486" i="41"/>
  <c r="AA489" i="41"/>
  <c r="M493" i="41"/>
  <c r="G491" i="41"/>
  <c r="I493" i="41"/>
  <c r="W491" i="41"/>
  <c r="AB500" i="41"/>
  <c r="Q501" i="41"/>
  <c r="Q491" i="41"/>
  <c r="AA487" i="41"/>
  <c r="Z487" i="41"/>
  <c r="Q488" i="41"/>
  <c r="X487" i="41"/>
  <c r="W487" i="41"/>
  <c r="T486" i="41"/>
  <c r="AD488" i="41"/>
  <c r="P492" i="41"/>
  <c r="Y498" i="41"/>
  <c r="AD497" i="41"/>
  <c r="M492" i="41"/>
  <c r="AB483" i="41"/>
  <c r="AF489" i="41"/>
  <c r="K488" i="41"/>
  <c r="K489" i="41"/>
  <c r="AA486" i="41"/>
  <c r="J489" i="41"/>
  <c r="W484" i="41"/>
  <c r="AC489" i="41"/>
  <c r="S482" i="41"/>
  <c r="H489" i="41"/>
  <c r="AF487" i="41"/>
  <c r="G489" i="41"/>
  <c r="I492" i="41"/>
  <c r="Q485" i="41"/>
  <c r="L483" i="41"/>
  <c r="W489" i="41"/>
  <c r="N490" i="41"/>
  <c r="V491" i="41"/>
  <c r="Q492" i="41"/>
  <c r="O482" i="41"/>
  <c r="AB493" i="41"/>
  <c r="S489" i="41"/>
  <c r="S484" i="41"/>
  <c r="I500" i="41"/>
  <c r="H500" i="41"/>
  <c r="AA500" i="41"/>
  <c r="S486" i="41"/>
  <c r="N499" i="41"/>
  <c r="E500" i="41"/>
  <c r="AD485" i="41"/>
  <c r="N497" i="41"/>
  <c r="G485" i="41"/>
  <c r="Y484" i="41"/>
  <c r="V483" i="41"/>
  <c r="I501" i="41"/>
  <c r="Z483" i="41"/>
  <c r="L489" i="41"/>
  <c r="Q484" i="41"/>
  <c r="S488" i="41"/>
  <c r="AB485" i="41"/>
  <c r="R488" i="41"/>
  <c r="L487" i="41"/>
  <c r="I489" i="41"/>
  <c r="AC497" i="41"/>
  <c r="P488" i="41"/>
  <c r="Y485" i="41"/>
  <c r="O488" i="41"/>
  <c r="AD501" i="41"/>
  <c r="AF488" i="41"/>
  <c r="AE483" i="41"/>
  <c r="K483" i="41"/>
  <c r="V489" i="41"/>
  <c r="Z488" i="41"/>
  <c r="Y491" i="41"/>
  <c r="Z498" i="41"/>
  <c r="H493" i="41"/>
  <c r="W486" i="41"/>
  <c r="AD500" i="41"/>
  <c r="Q499" i="41"/>
  <c r="P499" i="41"/>
  <c r="G500" i="41"/>
  <c r="AA485" i="41"/>
  <c r="V498" i="41"/>
  <c r="U498" i="41"/>
  <c r="E491" i="41"/>
  <c r="X498" i="41"/>
  <c r="Q496" i="41"/>
  <c r="AC498" i="41"/>
  <c r="R493" i="41"/>
  <c r="Q482" i="41"/>
  <c r="B46" i="41"/>
  <c r="E629" i="41" s="1" a="1"/>
  <c r="E629" i="41" s="1"/>
  <c r="AB487" i="41"/>
  <c r="O501" i="41"/>
  <c r="G487" i="41"/>
  <c r="N501" i="41"/>
  <c r="F487" i="41"/>
  <c r="E482" i="41"/>
  <c r="Y487" i="41"/>
  <c r="L501" i="41"/>
  <c r="AF486" i="41"/>
  <c r="K501" i="41"/>
  <c r="AE486" i="41"/>
  <c r="R500" i="41"/>
  <c r="O485" i="41"/>
  <c r="E490" i="41"/>
  <c r="AC487" i="41"/>
  <c r="J488" i="41"/>
  <c r="N482" i="41"/>
  <c r="M490" i="41"/>
  <c r="N492" i="41"/>
  <c r="X491" i="41"/>
  <c r="R499" i="41"/>
  <c r="Z493" i="41"/>
  <c r="E498" i="41"/>
  <c r="AF497" i="41"/>
  <c r="W498" i="41"/>
  <c r="O484" i="41"/>
  <c r="J497" i="41"/>
  <c r="U483" i="41"/>
  <c r="R484" i="41"/>
  <c r="F490" i="41"/>
  <c r="O496" i="41"/>
  <c r="Y482" i="41"/>
  <c r="Q490" i="41"/>
  <c r="U499" i="41"/>
  <c r="F498" i="41"/>
  <c r="J492" i="41"/>
  <c r="N493" i="41"/>
  <c r="W501" i="41"/>
  <c r="P501" i="41"/>
  <c r="H487" i="41"/>
  <c r="W500" i="41"/>
  <c r="O486" i="41"/>
  <c r="V500" i="41"/>
  <c r="N486" i="41"/>
  <c r="M501" i="41"/>
  <c r="E487" i="41"/>
  <c r="T500" i="41"/>
  <c r="L486" i="41"/>
  <c r="S500" i="41"/>
  <c r="K486" i="41"/>
  <c r="Z499" i="41"/>
  <c r="H485" i="41"/>
  <c r="AA501" i="41"/>
  <c r="Z501" i="41"/>
  <c r="R487" i="41"/>
  <c r="E483" i="41"/>
  <c r="U489" i="41"/>
  <c r="J490" i="41"/>
  <c r="AF490" i="41"/>
  <c r="V496" i="41"/>
  <c r="R489" i="41"/>
  <c r="M497" i="41"/>
  <c r="L497" i="41"/>
  <c r="AE497" i="41"/>
  <c r="W483" i="41"/>
  <c r="R496" i="41"/>
  <c r="T496" i="41"/>
  <c r="AE482" i="41"/>
  <c r="N500" i="41"/>
  <c r="F483" i="41"/>
  <c r="Y488" i="41"/>
  <c r="S496" i="41"/>
  <c r="AB488" i="41"/>
  <c r="AA495" i="41"/>
  <c r="AB482" i="41"/>
  <c r="E497" i="41"/>
  <c r="R495" i="41"/>
  <c r="J483" i="41"/>
  <c r="AC492" i="41"/>
  <c r="F485" i="41"/>
  <c r="AA496" i="41"/>
  <c r="L492" i="41"/>
  <c r="N483" i="41"/>
  <c r="O493" i="41"/>
  <c r="H498" i="41"/>
  <c r="X500" i="41"/>
  <c r="P486" i="41"/>
  <c r="AE499" i="41"/>
  <c r="W485" i="41"/>
  <c r="AD499" i="41"/>
  <c r="V485" i="41"/>
  <c r="U500" i="41"/>
  <c r="M486" i="41"/>
  <c r="AB499" i="41"/>
  <c r="T485" i="41"/>
  <c r="AA499" i="41"/>
  <c r="S485" i="41"/>
  <c r="J496" i="41"/>
  <c r="Y490" i="41"/>
  <c r="G501" i="41"/>
  <c r="F501" i="41"/>
  <c r="Z486" i="41"/>
  <c r="M494" i="41"/>
  <c r="AC488" i="41"/>
  <c r="V486" i="41"/>
  <c r="L490" i="41"/>
  <c r="F493" i="41"/>
  <c r="J485" i="41"/>
  <c r="U496" i="41"/>
  <c r="K497" i="41"/>
  <c r="Z495" i="41"/>
  <c r="F486" i="41"/>
  <c r="I488" i="41"/>
  <c r="F488" i="41"/>
  <c r="AB495" i="41"/>
  <c r="F495" i="41"/>
  <c r="H495" i="41"/>
  <c r="H497" i="41"/>
  <c r="F482" i="41"/>
  <c r="K496" i="41"/>
  <c r="R497" i="41"/>
  <c r="AF500" i="41"/>
  <c r="W493" i="41"/>
  <c r="S495" i="41"/>
  <c r="AF485" i="41"/>
  <c r="R491" i="41"/>
  <c r="Z484" i="41"/>
  <c r="P493" i="41"/>
  <c r="AE490" i="41"/>
  <c r="V488" i="41"/>
  <c r="AF499" i="41"/>
  <c r="X485" i="41"/>
  <c r="K499" i="41"/>
  <c r="AE484" i="41"/>
  <c r="J499" i="41"/>
  <c r="AD484" i="41"/>
  <c r="AC499" i="41"/>
  <c r="U485" i="41"/>
  <c r="H499" i="41"/>
  <c r="AB484" i="41"/>
  <c r="G499" i="41"/>
  <c r="AA484" i="41"/>
  <c r="F494" i="41"/>
  <c r="AB501" i="41"/>
  <c r="O500" i="41"/>
  <c r="I482" i="41"/>
  <c r="T489" i="41"/>
  <c r="AC495" i="41"/>
  <c r="K482" i="41"/>
  <c r="I495" i="41"/>
  <c r="N496" i="41"/>
  <c r="V497" i="41"/>
  <c r="S497" i="41"/>
  <c r="X486" i="41"/>
  <c r="AF492" i="41"/>
  <c r="U484" i="41"/>
  <c r="L499" i="41"/>
  <c r="AF484" i="41"/>
  <c r="S498" i="41"/>
  <c r="K484" i="41"/>
  <c r="R498" i="41"/>
  <c r="J484" i="41"/>
  <c r="I499" i="41"/>
  <c r="AC484" i="41"/>
  <c r="P498" i="41"/>
  <c r="H484" i="41"/>
  <c r="O498" i="41"/>
  <c r="G484" i="41"/>
  <c r="F489" i="41"/>
  <c r="H501" i="41"/>
  <c r="W499" i="41"/>
  <c r="V499" i="41"/>
  <c r="N485" i="41"/>
  <c r="Y501" i="41"/>
  <c r="Q487" i="41"/>
  <c r="AC485" i="41"/>
  <c r="P484" i="41"/>
  <c r="N494" i="41"/>
  <c r="G482" i="41"/>
  <c r="L496" i="41"/>
  <c r="AF498" i="41"/>
  <c r="M485" i="41"/>
  <c r="E493" i="41"/>
  <c r="M496" i="41"/>
  <c r="R490" i="41"/>
  <c r="L500" i="41"/>
  <c r="AE492" i="41"/>
  <c r="S493" i="41"/>
  <c r="H496" i="41"/>
  <c r="H490" i="41"/>
  <c r="T498" i="41"/>
  <c r="L484" i="41"/>
  <c r="AA497" i="41"/>
  <c r="S483" i="41"/>
  <c r="Z497" i="41"/>
  <c r="R483" i="41"/>
  <c r="Q498" i="41"/>
  <c r="I484" i="41"/>
  <c r="X497" i="41"/>
  <c r="P483" i="41"/>
  <c r="W497" i="41"/>
  <c r="O483" i="41"/>
  <c r="E499" i="41"/>
  <c r="P500" i="41"/>
  <c r="AE498" i="41"/>
  <c r="AD498" i="41"/>
  <c r="V484" i="41"/>
  <c r="E501" i="41"/>
  <c r="Y486" i="41"/>
  <c r="E495" i="41"/>
  <c r="H488" i="41"/>
  <c r="E488" i="41"/>
  <c r="U488" i="41"/>
  <c r="Q494" i="41"/>
  <c r="P494" i="41"/>
  <c r="G495" i="41"/>
  <c r="AD487" i="41"/>
  <c r="V493" i="41"/>
  <c r="P496" i="41"/>
  <c r="H482" i="41"/>
  <c r="W495" i="41"/>
  <c r="AD496" i="41"/>
  <c r="V495" i="41"/>
  <c r="N498" i="41"/>
  <c r="F499" i="41"/>
  <c r="T495" i="41"/>
  <c r="Z496" i="41"/>
  <c r="AD495" i="41"/>
  <c r="E494" i="41"/>
  <c r="I490" i="41"/>
  <c r="AB497" i="41"/>
  <c r="T483" i="41"/>
  <c r="G497" i="41"/>
  <c r="AA482" i="41"/>
  <c r="F497" i="41"/>
  <c r="Z482" i="41"/>
  <c r="Y497" i="41"/>
  <c r="Q483" i="41"/>
  <c r="AF496" i="41"/>
  <c r="X482" i="41"/>
  <c r="AE496" i="41"/>
  <c r="W482" i="41"/>
  <c r="I496" i="41"/>
  <c r="X499" i="41"/>
  <c r="K498" i="41"/>
  <c r="J498" i="41"/>
  <c r="AD483" i="41"/>
  <c r="M500" i="41"/>
  <c r="E486" i="41"/>
  <c r="X501" i="41"/>
  <c r="P487" i="41"/>
  <c r="M482" i="41"/>
  <c r="V501" i="41"/>
  <c r="Y493" i="41"/>
  <c r="X493" i="41"/>
  <c r="O494" i="41"/>
  <c r="R486" i="41"/>
  <c r="AD492" i="41"/>
  <c r="L494" i="41"/>
  <c r="M498" i="41"/>
  <c r="Y496" i="41"/>
  <c r="M499" i="41"/>
  <c r="X495" i="41"/>
  <c r="Z494" i="41"/>
  <c r="AE494" i="41"/>
  <c r="AD491" i="41"/>
  <c r="AD494" i="41"/>
  <c r="V492" i="41"/>
  <c r="U495" i="41"/>
  <c r="J491" i="41"/>
  <c r="AB494" i="41"/>
  <c r="N488" i="41"/>
  <c r="AA494" i="41"/>
  <c r="R485" i="41"/>
  <c r="P490" i="41"/>
  <c r="T497" i="41"/>
  <c r="G496" i="41"/>
  <c r="F496" i="41"/>
  <c r="G498" i="41"/>
  <c r="I498" i="41"/>
  <c r="AC483" i="41"/>
  <c r="T499" i="41"/>
  <c r="L485" i="41"/>
  <c r="AE500" i="41"/>
  <c r="AD490" i="41"/>
  <c r="U491" i="41"/>
  <c r="T491" i="41"/>
  <c r="K492" i="41"/>
  <c r="J482" i="41"/>
  <c r="Z490" i="41"/>
  <c r="K500" i="41"/>
  <c r="AB490" i="41"/>
  <c r="Y500" i="41"/>
  <c r="S487" i="41"/>
  <c r="AA490" i="41"/>
  <c r="AF494" i="41"/>
  <c r="Z489" i="41"/>
  <c r="K494" i="41"/>
  <c r="AD486" i="41"/>
  <c r="J494" i="41"/>
  <c r="V487" i="41"/>
  <c r="AC494" i="41"/>
  <c r="J486" i="41"/>
  <c r="H494" i="41"/>
  <c r="F484" i="41"/>
  <c r="G494" i="41"/>
  <c r="Q500" i="41"/>
  <c r="H486" i="41"/>
  <c r="AB496" i="41"/>
  <c r="O495" i="41"/>
  <c r="N495" i="41"/>
  <c r="S494" i="41"/>
  <c r="Q497" i="41"/>
  <c r="I483" i="41"/>
  <c r="AB498" i="41"/>
  <c r="T484" i="41"/>
  <c r="N487" i="41"/>
  <c r="AC490" i="41"/>
  <c r="S491" i="41"/>
  <c r="N489" i="41"/>
  <c r="W494" i="41"/>
  <c r="M61" i="58"/>
  <c r="N61" i="58"/>
  <c r="N218" i="58" s="1"/>
  <c r="AE63" i="58"/>
  <c r="AE220" i="58" s="1"/>
  <c r="U61" i="58"/>
  <c r="AF62" i="58"/>
  <c r="AF219" i="58" s="1"/>
  <c r="W62" i="58"/>
  <c r="AL63" i="58"/>
  <c r="AL220" i="58" s="1"/>
  <c r="AB63" i="58"/>
  <c r="X63" i="58"/>
  <c r="V62" i="58"/>
  <c r="V219" i="58" s="1"/>
  <c r="M62" i="58"/>
  <c r="Q62" i="58"/>
  <c r="Q219" i="58" s="1"/>
  <c r="AH63" i="58"/>
  <c r="AH220" i="58" s="1"/>
  <c r="T63" i="58"/>
  <c r="T220" i="58" s="1"/>
  <c r="S63" i="58"/>
  <c r="O62" i="58"/>
  <c r="AJ62" i="58"/>
  <c r="AJ219" i="58" s="1"/>
  <c r="AD61" i="58"/>
  <c r="S61" i="58"/>
  <c r="M63" i="58"/>
  <c r="O63" i="58"/>
  <c r="P62" i="58"/>
  <c r="P219" i="58" s="1"/>
  <c r="AH217" i="58"/>
  <c r="AD63" i="58"/>
  <c r="Z61" i="58"/>
  <c r="X61" i="58"/>
  <c r="S62" i="58"/>
  <c r="X62" i="58"/>
  <c r="AA63" i="58"/>
  <c r="AA220" i="58" s="1"/>
  <c r="AI95" i="55"/>
  <c r="T109" i="55"/>
  <c r="AJ101" i="55"/>
  <c r="AF88" i="55"/>
  <c r="AH106" i="55"/>
  <c r="W112" i="55"/>
  <c r="Q102" i="55"/>
  <c r="L63" i="58"/>
  <c r="AL217" i="58"/>
  <c r="K62" i="58"/>
  <c r="AL62" i="58"/>
  <c r="AL219" i="58" s="1"/>
  <c r="Y63" i="58"/>
  <c r="Y220" i="58" s="1"/>
  <c r="AF107" i="55"/>
  <c r="AK95" i="55"/>
  <c r="P108" i="55"/>
  <c r="O86" i="55"/>
  <c r="U85" i="55"/>
  <c r="N109" i="55"/>
  <c r="U63" i="58"/>
  <c r="P61" i="58"/>
  <c r="P218" i="58" s="1"/>
  <c r="AC61" i="58"/>
  <c r="Q61" i="58"/>
  <c r="Q218" i="58" s="1"/>
  <c r="AB61" i="58"/>
  <c r="Y217" i="58"/>
  <c r="AJ217" i="58"/>
  <c r="AF63" i="58"/>
  <c r="AF220" i="58" s="1"/>
  <c r="AG63" i="58"/>
  <c r="AG220" i="58" s="1"/>
  <c r="AC62" i="58"/>
  <c r="AA61" i="58"/>
  <c r="AA218" i="58" s="1"/>
  <c r="AL61" i="58"/>
  <c r="AL218" i="58" s="1"/>
  <c r="T217" i="58"/>
  <c r="Z63" i="58"/>
  <c r="AI63" i="58"/>
  <c r="AI220" i="58" s="1"/>
  <c r="V61" i="58"/>
  <c r="V218" i="58" s="1"/>
  <c r="Q63" i="58"/>
  <c r="Q220" i="58" s="1"/>
  <c r="AH61" i="58"/>
  <c r="AH218" i="58" s="1"/>
  <c r="N62" i="58"/>
  <c r="N219" i="58" s="1"/>
  <c r="W63" i="58"/>
  <c r="AG61" i="58"/>
  <c r="AG218" i="58" s="1"/>
  <c r="T61" i="58"/>
  <c r="T218" i="58" s="1"/>
  <c r="AI62" i="58"/>
  <c r="AI219" i="58" s="1"/>
  <c r="P63" i="58"/>
  <c r="P220" i="58" s="1"/>
  <c r="AH87" i="55"/>
  <c r="L62" i="58"/>
  <c r="T62" i="58"/>
  <c r="T219" i="58" s="1"/>
  <c r="Q217" i="58"/>
  <c r="AF217" i="58"/>
  <c r="N217" i="58"/>
  <c r="R63" i="58"/>
  <c r="K63" i="58"/>
  <c r="W61" i="58"/>
  <c r="AH62" i="58"/>
  <c r="AH219" i="58" s="1"/>
  <c r="AE217" i="58"/>
  <c r="AJ61" i="58"/>
  <c r="AJ218" i="58" s="1"/>
  <c r="R61" i="58"/>
  <c r="AI217" i="58"/>
  <c r="AE62" i="58"/>
  <c r="AE219" i="58" s="1"/>
  <c r="AD62" i="58"/>
  <c r="AE61" i="58"/>
  <c r="AE218" i="58" s="1"/>
  <c r="P217" i="58"/>
  <c r="K61" i="58"/>
  <c r="AA217" i="58"/>
  <c r="V217" i="58"/>
  <c r="L61" i="58"/>
  <c r="O61" i="58"/>
  <c r="Y61" i="58"/>
  <c r="Y218" i="58" s="1"/>
  <c r="AG62" i="58"/>
  <c r="AG219" i="58" s="1"/>
  <c r="AK61" i="58"/>
  <c r="AF61" i="58"/>
  <c r="AF218" i="58" s="1"/>
  <c r="V63" i="58"/>
  <c r="V220" i="58" s="1"/>
  <c r="Y62" i="58"/>
  <c r="Y219" i="58" s="1"/>
  <c r="AC63" i="58"/>
  <c r="AI61" i="58"/>
  <c r="AI218" i="58" s="1"/>
  <c r="Z62" i="58"/>
  <c r="AG217" i="58"/>
  <c r="AE106" i="55"/>
  <c r="AL90" i="55"/>
  <c r="U103" i="55"/>
  <c r="AB85" i="55"/>
  <c r="AB38" i="38"/>
  <c r="AB34" i="38"/>
  <c r="AB15" i="38"/>
  <c r="AB20" i="38"/>
  <c r="AB17" i="38"/>
  <c r="AB28" i="38"/>
  <c r="AB22" i="38"/>
  <c r="AB16" i="38"/>
  <c r="AB33" i="38"/>
  <c r="AB31" i="38"/>
  <c r="AB23" i="38"/>
  <c r="AB25" i="38"/>
  <c r="AB18" i="38"/>
  <c r="AB26" i="38"/>
  <c r="AB21" i="38"/>
  <c r="AB29" i="38"/>
  <c r="AB19" i="38"/>
  <c r="AB24" i="38"/>
  <c r="AB27" i="38"/>
  <c r="AB36" i="38"/>
  <c r="AB30" i="38"/>
  <c r="AB37" i="38"/>
  <c r="AB32" i="38"/>
  <c r="AB35" i="38"/>
  <c r="AF92" i="55"/>
  <c r="W102" i="55"/>
  <c r="O110" i="55"/>
  <c r="L92" i="55"/>
  <c r="X112" i="55"/>
  <c r="AA101" i="55"/>
  <c r="M27" i="38"/>
  <c r="M20" i="38"/>
  <c r="V16" i="38"/>
  <c r="V18" i="38"/>
  <c r="V26" i="38"/>
  <c r="V30" i="38"/>
  <c r="V37" i="38"/>
  <c r="V29" i="38"/>
  <c r="V20" i="38"/>
  <c r="V25" i="38"/>
  <c r="V38" i="38"/>
  <c r="V34" i="38"/>
  <c r="V36" i="38"/>
  <c r="V35" i="38"/>
  <c r="V15" i="38"/>
  <c r="V27" i="38"/>
  <c r="V22" i="38"/>
  <c r="V24" i="38"/>
  <c r="V23" i="38"/>
  <c r="V28" i="38"/>
  <c r="V19" i="38"/>
  <c r="V32" i="38"/>
  <c r="V31" i="38"/>
  <c r="V33" i="38"/>
  <c r="V17" i="38"/>
  <c r="V21" i="38"/>
  <c r="X84" i="55"/>
  <c r="Q23" i="38"/>
  <c r="Q21" i="38"/>
  <c r="Q36" i="38"/>
  <c r="Q24" i="38"/>
  <c r="Q25" i="38"/>
  <c r="Q31" i="38"/>
  <c r="Q20" i="38"/>
  <c r="Q33" i="38"/>
  <c r="Q34" i="38"/>
  <c r="Q38" i="38"/>
  <c r="Q37" i="38"/>
  <c r="Q17" i="38"/>
  <c r="Q28" i="38"/>
  <c r="Q16" i="38"/>
  <c r="Q32" i="38"/>
  <c r="Q26" i="38"/>
  <c r="Q18" i="38"/>
  <c r="Q15" i="38"/>
  <c r="Q30" i="38"/>
  <c r="Q27" i="38"/>
  <c r="Q29" i="38"/>
  <c r="Q35" i="38"/>
  <c r="Q22" i="38"/>
  <c r="Q19" i="38"/>
  <c r="R17" i="38"/>
  <c r="R38" i="38"/>
  <c r="R29" i="38"/>
  <c r="R32" i="38"/>
  <c r="R20" i="38"/>
  <c r="R28" i="38"/>
  <c r="R15" i="38"/>
  <c r="R23" i="38"/>
  <c r="R21" i="38"/>
  <c r="R27" i="38"/>
  <c r="R35" i="38"/>
  <c r="R25" i="38"/>
  <c r="R34" i="38"/>
  <c r="R26" i="38"/>
  <c r="R31" i="38"/>
  <c r="R18" i="38"/>
  <c r="R36" i="38"/>
  <c r="R24" i="38"/>
  <c r="R16" i="38"/>
  <c r="R30" i="38"/>
  <c r="R19" i="38"/>
  <c r="R22" i="38"/>
  <c r="R37" i="38"/>
  <c r="R33" i="38"/>
  <c r="M16" i="38"/>
  <c r="U36" i="38"/>
  <c r="U35" i="38"/>
  <c r="U15" i="38"/>
  <c r="U21" i="38"/>
  <c r="U27" i="38"/>
  <c r="U25" i="38"/>
  <c r="U37" i="38"/>
  <c r="U33" i="38"/>
  <c r="U38" i="38"/>
  <c r="U16" i="38"/>
  <c r="U28" i="38"/>
  <c r="U22" i="38"/>
  <c r="U26" i="38"/>
  <c r="U29" i="38"/>
  <c r="U20" i="38"/>
  <c r="U32" i="38"/>
  <c r="U17" i="38"/>
  <c r="U30" i="38"/>
  <c r="U24" i="38"/>
  <c r="U19" i="38"/>
  <c r="U34" i="38"/>
  <c r="U23" i="38"/>
  <c r="AA41" i="64" s="1"/>
  <c r="U31" i="38"/>
  <c r="AA61" i="64" s="1"/>
  <c r="U18" i="38"/>
  <c r="H31" i="38"/>
  <c r="H24" i="38"/>
  <c r="H16" i="38"/>
  <c r="H19" i="38"/>
  <c r="H37" i="38"/>
  <c r="H25" i="38"/>
  <c r="H22" i="38"/>
  <c r="H32" i="38"/>
  <c r="H17" i="38"/>
  <c r="H35" i="38"/>
  <c r="H27" i="38"/>
  <c r="H20" i="38"/>
  <c r="H28" i="38"/>
  <c r="H38" i="38"/>
  <c r="H23" i="38"/>
  <c r="H15" i="38"/>
  <c r="H26" i="38"/>
  <c r="H30" i="38"/>
  <c r="H18" i="38"/>
  <c r="H29" i="38"/>
  <c r="H33" i="38"/>
  <c r="H34" i="38"/>
  <c r="H36" i="38"/>
  <c r="H21" i="38"/>
  <c r="W90" i="55"/>
  <c r="AG93" i="55"/>
  <c r="Z90" i="55"/>
  <c r="M19" i="38"/>
  <c r="S89" i="55"/>
  <c r="AJ90" i="55"/>
  <c r="AB107" i="55"/>
  <c r="Y84" i="55"/>
  <c r="T94" i="55"/>
  <c r="V112" i="55"/>
  <c r="AC101" i="55"/>
  <c r="X91" i="55"/>
  <c r="S102" i="55"/>
  <c r="Y106" i="55"/>
  <c r="V90" i="55"/>
  <c r="N93" i="55"/>
  <c r="M22" i="38"/>
  <c r="S29" i="38"/>
  <c r="S16" i="38"/>
  <c r="S24" i="38"/>
  <c r="S22" i="38"/>
  <c r="S30" i="38"/>
  <c r="S27" i="38"/>
  <c r="S19" i="38"/>
  <c r="S25" i="38"/>
  <c r="S32" i="38"/>
  <c r="S21" i="38"/>
  <c r="S34" i="38"/>
  <c r="S15" i="38"/>
  <c r="S38" i="38"/>
  <c r="S37" i="38"/>
  <c r="S35" i="38"/>
  <c r="S28" i="38"/>
  <c r="S17" i="38"/>
  <c r="S20" i="38"/>
  <c r="S23" i="38"/>
  <c r="S31" i="38"/>
  <c r="S26" i="38"/>
  <c r="S36" i="38"/>
  <c r="S33" i="38"/>
  <c r="S18" i="38"/>
  <c r="P32" i="38"/>
  <c r="P19" i="38"/>
  <c r="P30" i="38"/>
  <c r="P15" i="38"/>
  <c r="P26" i="38"/>
  <c r="P33" i="38"/>
  <c r="P22" i="38"/>
  <c r="P17" i="38"/>
  <c r="P37" i="38"/>
  <c r="P34" i="38"/>
  <c r="P27" i="38"/>
  <c r="P24" i="38"/>
  <c r="P29" i="38"/>
  <c r="P31" i="38"/>
  <c r="P25" i="38"/>
  <c r="P18" i="38"/>
  <c r="P20" i="38"/>
  <c r="P38" i="38"/>
  <c r="P21" i="38"/>
  <c r="P28" i="38"/>
  <c r="P36" i="38"/>
  <c r="P35" i="38"/>
  <c r="P16" i="38"/>
  <c r="P23" i="38"/>
  <c r="V41" i="64" s="1"/>
  <c r="O93" i="55"/>
  <c r="AG110" i="55"/>
  <c r="AE34" i="38"/>
  <c r="AE29" i="38"/>
  <c r="AE19" i="38"/>
  <c r="AE18" i="38"/>
  <c r="AE17" i="38"/>
  <c r="AE21" i="38"/>
  <c r="AE27" i="38"/>
  <c r="AE20" i="38"/>
  <c r="AE30" i="38"/>
  <c r="AE36" i="38"/>
  <c r="AE22" i="38"/>
  <c r="AE37" i="38"/>
  <c r="AE28" i="38"/>
  <c r="AE33" i="38"/>
  <c r="AE15" i="38"/>
  <c r="AE23" i="38"/>
  <c r="AE26" i="38"/>
  <c r="AE31" i="38"/>
  <c r="AE38" i="38"/>
  <c r="AE35" i="38"/>
  <c r="AE25" i="38"/>
  <c r="AE24" i="38"/>
  <c r="AE32" i="38"/>
  <c r="AE16" i="38"/>
  <c r="M31" i="38"/>
  <c r="Q86" i="55"/>
  <c r="T87" i="55"/>
  <c r="AD108" i="55"/>
  <c r="AC93" i="55"/>
  <c r="AJ84" i="55"/>
  <c r="M35" i="38"/>
  <c r="R106" i="55"/>
  <c r="AB86" i="55"/>
  <c r="L101" i="55"/>
  <c r="W30" i="38"/>
  <c r="W23" i="38"/>
  <c r="W34" i="38"/>
  <c r="W29" i="38"/>
  <c r="W31" i="38"/>
  <c r="W33" i="38"/>
  <c r="W36" i="38"/>
  <c r="W26" i="38"/>
  <c r="W27" i="38"/>
  <c r="W38" i="38"/>
  <c r="W15" i="38"/>
  <c r="W32" i="38"/>
  <c r="W19" i="38"/>
  <c r="W37" i="38"/>
  <c r="W17" i="38"/>
  <c r="W35" i="38"/>
  <c r="W18" i="38"/>
  <c r="W22" i="38"/>
  <c r="W20" i="38"/>
  <c r="W21" i="38"/>
  <c r="W24" i="38"/>
  <c r="W28" i="38"/>
  <c r="W25" i="38"/>
  <c r="W16" i="38"/>
  <c r="AE103" i="55"/>
  <c r="W89" i="55"/>
  <c r="M30" i="38"/>
  <c r="N34" i="38"/>
  <c r="N22" i="38"/>
  <c r="N15" i="38"/>
  <c r="N36" i="38"/>
  <c r="N37" i="38"/>
  <c r="N19" i="38"/>
  <c r="N33" i="38"/>
  <c r="N32" i="38"/>
  <c r="N25" i="38"/>
  <c r="N26" i="38"/>
  <c r="N21" i="38"/>
  <c r="N24" i="38"/>
  <c r="N28" i="38"/>
  <c r="N16" i="38"/>
  <c r="N38" i="38"/>
  <c r="N29" i="38"/>
  <c r="N18" i="38"/>
  <c r="N27" i="38"/>
  <c r="N31" i="38"/>
  <c r="N30" i="38"/>
  <c r="N23" i="38"/>
  <c r="T41" i="64" s="1"/>
  <c r="N35" i="38"/>
  <c r="N20" i="38"/>
  <c r="N17" i="38"/>
  <c r="V91" i="55"/>
  <c r="R109" i="55"/>
  <c r="AH95" i="55"/>
  <c r="M32" i="38"/>
  <c r="AD37" i="38"/>
  <c r="AD17" i="38"/>
  <c r="AD31" i="38"/>
  <c r="AD25" i="38"/>
  <c r="AD36" i="38"/>
  <c r="AD24" i="38"/>
  <c r="AD34" i="38"/>
  <c r="AD38" i="38"/>
  <c r="AD20" i="38"/>
  <c r="AD32" i="38"/>
  <c r="AD35" i="38"/>
  <c r="AD15" i="38"/>
  <c r="AD33" i="38"/>
  <c r="AD29" i="38"/>
  <c r="AD18" i="38"/>
  <c r="AD19" i="38"/>
  <c r="AD21" i="38"/>
  <c r="AD28" i="38"/>
  <c r="AD16" i="38"/>
  <c r="AD30" i="38"/>
  <c r="AD27" i="38"/>
  <c r="AD26" i="38"/>
  <c r="AD22" i="38"/>
  <c r="AD23" i="38"/>
  <c r="AJ41" i="64" s="1"/>
  <c r="Z18" i="38"/>
  <c r="M26" i="38"/>
  <c r="O28" i="38"/>
  <c r="O36" i="38"/>
  <c r="O25" i="38"/>
  <c r="O31" i="38"/>
  <c r="O20" i="38"/>
  <c r="O29" i="38"/>
  <c r="O23" i="38"/>
  <c r="O32" i="38"/>
  <c r="O27" i="38"/>
  <c r="O18" i="38"/>
  <c r="O21" i="38"/>
  <c r="O34" i="38"/>
  <c r="O22" i="38"/>
  <c r="O19" i="38"/>
  <c r="O33" i="38"/>
  <c r="O30" i="38"/>
  <c r="O24" i="38"/>
  <c r="O17" i="38"/>
  <c r="O15" i="38"/>
  <c r="O35" i="38"/>
  <c r="O26" i="38"/>
  <c r="O38" i="38"/>
  <c r="O37" i="38"/>
  <c r="O16" i="38"/>
  <c r="G27" i="38"/>
  <c r="G37" i="38"/>
  <c r="G17" i="38"/>
  <c r="G30" i="38"/>
  <c r="G36" i="38"/>
  <c r="G16" i="38"/>
  <c r="G32" i="38"/>
  <c r="G34" i="38"/>
  <c r="G21" i="38"/>
  <c r="G29" i="38"/>
  <c r="G31" i="38"/>
  <c r="G15" i="38"/>
  <c r="G35" i="38"/>
  <c r="G38" i="38"/>
  <c r="G28" i="38"/>
  <c r="G20" i="38"/>
  <c r="G26" i="38"/>
  <c r="G33" i="38"/>
  <c r="G18" i="38"/>
  <c r="G23" i="38"/>
  <c r="G22" i="38"/>
  <c r="G25" i="38"/>
  <c r="G24" i="38"/>
  <c r="G19" i="38"/>
  <c r="P95" i="55"/>
  <c r="P105" i="55"/>
  <c r="AF103" i="55"/>
  <c r="P110" i="55"/>
  <c r="AC102" i="55"/>
  <c r="AF102" i="55"/>
  <c r="R104" i="55"/>
  <c r="AI105" i="55"/>
  <c r="AD91" i="55"/>
  <c r="AK88" i="55"/>
  <c r="AI89" i="55"/>
  <c r="AH112" i="55"/>
  <c r="P111" i="55"/>
  <c r="AD106" i="55"/>
  <c r="AH85" i="55"/>
  <c r="L102" i="55"/>
  <c r="X88" i="55"/>
  <c r="AH94" i="55"/>
  <c r="V93" i="55"/>
  <c r="T84" i="55"/>
  <c r="P89" i="55"/>
  <c r="Q91" i="55"/>
  <c r="AD111" i="55"/>
  <c r="P91" i="55"/>
  <c r="AD102" i="55"/>
  <c r="S90" i="55"/>
  <c r="AD90" i="55"/>
  <c r="AA87" i="55"/>
  <c r="X93" i="55"/>
  <c r="N101" i="55"/>
  <c r="AA95" i="55"/>
  <c r="Z93" i="55"/>
  <c r="S106" i="55"/>
  <c r="AE92" i="55"/>
  <c r="S95" i="55"/>
  <c r="Z108" i="55"/>
  <c r="V89" i="55"/>
  <c r="Y86" i="55"/>
  <c r="AI101" i="55"/>
  <c r="AA89" i="55"/>
  <c r="AG102" i="55"/>
  <c r="R108" i="55"/>
  <c r="AL103" i="55"/>
  <c r="AE109" i="55"/>
  <c r="AL92" i="55"/>
  <c r="Z106" i="55"/>
  <c r="AK86" i="55"/>
  <c r="U105" i="55"/>
  <c r="AI88" i="55"/>
  <c r="T101" i="55"/>
  <c r="AJ105" i="55"/>
  <c r="AF90" i="55"/>
  <c r="R92" i="55"/>
  <c r="O108" i="55"/>
  <c r="Q103" i="55"/>
  <c r="L94" i="55"/>
  <c r="X110" i="55"/>
  <c r="AA103" i="55"/>
  <c r="AD112" i="55"/>
  <c r="M108" i="55"/>
  <c r="N87" i="55"/>
  <c r="L112" i="55"/>
  <c r="R102" i="55"/>
  <c r="AK94" i="55"/>
  <c r="L35" i="38"/>
  <c r="L23" i="38"/>
  <c r="L30" i="38"/>
  <c r="L15" i="38"/>
  <c r="L28" i="38"/>
  <c r="L36" i="38"/>
  <c r="L18" i="38"/>
  <c r="L38" i="38"/>
  <c r="L22" i="38"/>
  <c r="L27" i="38"/>
  <c r="L24" i="38"/>
  <c r="L16" i="38"/>
  <c r="L31" i="38"/>
  <c r="L21" i="38"/>
  <c r="L33" i="38"/>
  <c r="L34" i="38"/>
  <c r="L19" i="38"/>
  <c r="L26" i="38"/>
  <c r="L20" i="38"/>
  <c r="L37" i="38"/>
  <c r="L29" i="38"/>
  <c r="L32" i="38"/>
  <c r="L17" i="38"/>
  <c r="L25" i="38"/>
  <c r="T95" i="55"/>
  <c r="AI106" i="55"/>
  <c r="Q87" i="55"/>
  <c r="AG84" i="55"/>
  <c r="AB95" i="55"/>
  <c r="W85" i="55"/>
  <c r="V95" i="55"/>
  <c r="V109" i="55"/>
  <c r="Y108" i="55"/>
  <c r="U106" i="55"/>
  <c r="AL112" i="55"/>
  <c r="U91" i="55"/>
  <c r="V101" i="55"/>
  <c r="Q90" i="55"/>
  <c r="AC109" i="55"/>
  <c r="AG91" i="55"/>
  <c r="S112" i="55"/>
  <c r="Y112" i="55"/>
  <c r="N88" i="55"/>
  <c r="AG111" i="55"/>
  <c r="AB104" i="55"/>
  <c r="P84" i="55"/>
  <c r="AI108" i="55"/>
  <c r="AG86" i="55"/>
  <c r="Z95" i="55"/>
  <c r="AA93" i="55"/>
  <c r="AE88" i="55"/>
  <c r="AD93" i="55"/>
  <c r="M90" i="55"/>
  <c r="U110" i="55"/>
  <c r="AC95" i="55"/>
  <c r="AF93" i="55"/>
  <c r="R93" i="55"/>
  <c r="Q110" i="55"/>
  <c r="X86" i="55"/>
  <c r="AK107" i="55"/>
  <c r="L93" i="55"/>
  <c r="R103" i="55"/>
  <c r="M105" i="55"/>
  <c r="AJ94" i="55"/>
  <c r="AL105" i="55"/>
  <c r="AD110" i="55"/>
  <c r="AD107" i="55"/>
  <c r="T88" i="55"/>
  <c r="T85" i="55"/>
  <c r="R111" i="55"/>
  <c r="U84" i="55"/>
  <c r="AK111" i="55"/>
  <c r="X103" i="55"/>
  <c r="AA104" i="55"/>
  <c r="M102" i="55"/>
  <c r="AL109" i="55"/>
  <c r="X89" i="55"/>
  <c r="AK92" i="55"/>
  <c r="X92" i="55"/>
  <c r="V108" i="55"/>
  <c r="AC104" i="55"/>
  <c r="M89" i="55"/>
  <c r="Z91" i="55"/>
  <c r="AK87" i="55"/>
  <c r="AE86" i="55"/>
  <c r="AL86" i="55"/>
  <c r="AB92" i="55"/>
  <c r="AL107" i="55"/>
  <c r="R89" i="55"/>
  <c r="O104" i="55"/>
  <c r="M84" i="55"/>
  <c r="AB108" i="55"/>
  <c r="P92" i="55"/>
  <c r="N105" i="55"/>
  <c r="AI112" i="55"/>
  <c r="W91" i="55"/>
  <c r="Q92" i="55"/>
  <c r="AC111" i="55"/>
  <c r="Z92" i="55"/>
  <c r="Y111" i="55"/>
  <c r="U93" i="55"/>
  <c r="AE102" i="55"/>
  <c r="AD89" i="55"/>
  <c r="AL94" i="55"/>
  <c r="Z112" i="55"/>
  <c r="W95" i="55"/>
  <c r="U112" i="55"/>
  <c r="AI91" i="55"/>
  <c r="T110" i="55"/>
  <c r="AJ106" i="55"/>
  <c r="AD101" i="55"/>
  <c r="AF87" i="55"/>
  <c r="W104" i="55"/>
  <c r="O101" i="55"/>
  <c r="AK104" i="55"/>
  <c r="L88" i="55"/>
  <c r="AA107" i="55"/>
  <c r="M87" i="55"/>
  <c r="M109" i="55"/>
  <c r="X90" i="55"/>
  <c r="AH91" i="55"/>
  <c r="M86" i="55"/>
  <c r="AL110" i="55"/>
  <c r="AF28" i="38"/>
  <c r="AF30" i="38"/>
  <c r="AF24" i="38"/>
  <c r="AF22" i="38"/>
  <c r="AF36" i="38"/>
  <c r="AF15" i="38"/>
  <c r="AF31" i="38"/>
  <c r="AF16" i="38"/>
  <c r="AF34" i="38"/>
  <c r="AF18" i="38"/>
  <c r="AF27" i="38"/>
  <c r="AF37" i="38"/>
  <c r="AF21" i="38"/>
  <c r="AF20" i="38"/>
  <c r="AF32" i="38"/>
  <c r="AF19" i="38"/>
  <c r="AF35" i="38"/>
  <c r="AF29" i="38"/>
  <c r="AF17" i="38"/>
  <c r="AF38" i="38"/>
  <c r="AF33" i="38"/>
  <c r="AF26" i="38"/>
  <c r="AF25" i="38"/>
  <c r="AF23" i="38"/>
  <c r="AL41" i="64" s="1"/>
  <c r="T92" i="55"/>
  <c r="P94" i="55"/>
  <c r="N108" i="55"/>
  <c r="AJ88" i="55"/>
  <c r="Z85" i="55"/>
  <c r="M94" i="55"/>
  <c r="Y102" i="55"/>
  <c r="T89" i="55"/>
  <c r="Z110" i="55"/>
  <c r="N91" i="55"/>
  <c r="AI90" i="55"/>
  <c r="T112" i="55"/>
  <c r="R107" i="55"/>
  <c r="R85" i="55"/>
  <c r="AA88" i="55"/>
  <c r="O106" i="55"/>
  <c r="Q108" i="55"/>
  <c r="Y95" i="55"/>
  <c r="AK108" i="55"/>
  <c r="L90" i="55"/>
  <c r="X105" i="55"/>
  <c r="AA112" i="55"/>
  <c r="W92" i="55"/>
  <c r="M107" i="55"/>
  <c r="AC94" i="55"/>
  <c r="AH86" i="55"/>
  <c r="AH84" i="55"/>
  <c r="L104" i="55"/>
  <c r="W87" i="55"/>
  <c r="S105" i="55"/>
  <c r="Y105" i="55"/>
  <c r="AE95" i="55"/>
  <c r="S85" i="55"/>
  <c r="X95" i="55"/>
  <c r="AD86" i="55"/>
  <c r="Z111" i="55"/>
  <c r="P106" i="55"/>
  <c r="T105" i="55"/>
  <c r="AJ110" i="55"/>
  <c r="AA86" i="55"/>
  <c r="AF95" i="55"/>
  <c r="AH102" i="55"/>
  <c r="W108" i="55"/>
  <c r="R88" i="55"/>
  <c r="O103" i="55"/>
  <c r="L110" i="55"/>
  <c r="X107" i="55"/>
  <c r="AA102" i="55"/>
  <c r="AJ87" i="55"/>
  <c r="M103" i="55"/>
  <c r="AB87" i="55"/>
  <c r="AD105" i="55"/>
  <c r="AE85" i="55"/>
  <c r="AE112" i="55"/>
  <c r="V84" i="55"/>
  <c r="S88" i="55"/>
  <c r="U87" i="55"/>
  <c r="AD87" i="55"/>
  <c r="Z101" i="55"/>
  <c r="U111" i="55"/>
  <c r="P112" i="55"/>
  <c r="T108" i="55"/>
  <c r="AJ107" i="55"/>
  <c r="AG108" i="55"/>
  <c r="AF89" i="55"/>
  <c r="AH105" i="55"/>
  <c r="W105" i="55"/>
  <c r="R86" i="55"/>
  <c r="Y85" i="55"/>
  <c r="AC87" i="55"/>
  <c r="L91" i="55"/>
  <c r="R110" i="55"/>
  <c r="AA110" i="55"/>
  <c r="N84" i="55"/>
  <c r="M101" i="55"/>
  <c r="AH89" i="55"/>
  <c r="AK93" i="55"/>
  <c r="O90" i="55"/>
  <c r="O87" i="55"/>
  <c r="AL101" i="55"/>
  <c r="Y104" i="55"/>
  <c r="AE90" i="55"/>
  <c r="AE105" i="55"/>
  <c r="S86" i="55"/>
  <c r="AD95" i="55"/>
  <c r="AL87" i="55"/>
  <c r="Z109" i="55"/>
  <c r="AA92" i="55"/>
  <c r="T86" i="55"/>
  <c r="T102" i="55"/>
  <c r="AJ109" i="55"/>
  <c r="AK89" i="55"/>
  <c r="AH103" i="55"/>
  <c r="W111" i="55"/>
  <c r="R90" i="55"/>
  <c r="O105" i="55"/>
  <c r="AB90" i="55"/>
  <c r="AK110" i="55"/>
  <c r="AG105" i="55"/>
  <c r="AA106" i="55"/>
  <c r="M110" i="55"/>
  <c r="W94" i="55"/>
  <c r="AK85" i="55"/>
  <c r="AC107" i="55"/>
  <c r="Z87" i="55"/>
  <c r="AH88" i="55"/>
  <c r="S109" i="55"/>
  <c r="Y107" i="55"/>
  <c r="AE107" i="55"/>
  <c r="Z102" i="55"/>
  <c r="AC84" i="55"/>
  <c r="O111" i="55"/>
  <c r="Q112" i="55"/>
  <c r="M95" i="55"/>
  <c r="M104" i="55"/>
  <c r="AC90" i="55"/>
  <c r="F38" i="38"/>
  <c r="F37" i="38"/>
  <c r="F16" i="38"/>
  <c r="F25" i="38"/>
  <c r="F28" i="38"/>
  <c r="F35" i="38"/>
  <c r="F32" i="38"/>
  <c r="F20" i="38"/>
  <c r="F31" i="38"/>
  <c r="F18" i="38"/>
  <c r="F19" i="38"/>
  <c r="F23" i="38"/>
  <c r="F29" i="38"/>
  <c r="F17" i="38"/>
  <c r="F21" i="38"/>
  <c r="F15" i="38"/>
  <c r="F24" i="38"/>
  <c r="F30" i="38"/>
  <c r="F26" i="38"/>
  <c r="F27" i="38"/>
  <c r="F36" i="38"/>
  <c r="F22" i="38"/>
  <c r="F34" i="38"/>
  <c r="F33" i="38"/>
  <c r="Y92" i="55"/>
  <c r="M88" i="55"/>
  <c r="AL104" i="55"/>
  <c r="AB106" i="55"/>
  <c r="P87" i="55"/>
  <c r="O91" i="55"/>
  <c r="N103" i="55"/>
  <c r="V106" i="55"/>
  <c r="X85" i="55"/>
  <c r="AC106" i="55"/>
  <c r="AG90" i="55"/>
  <c r="P107" i="55"/>
  <c r="S103" i="55"/>
  <c r="Y110" i="55"/>
  <c r="AE87" i="55"/>
  <c r="AE110" i="55"/>
  <c r="S92" i="55"/>
  <c r="AD85" i="55"/>
  <c r="AL84" i="55"/>
  <c r="Z107" i="55"/>
  <c r="U108" i="55"/>
  <c r="T103" i="55"/>
  <c r="W110" i="55"/>
  <c r="AB93" i="55"/>
  <c r="Q106" i="55"/>
  <c r="R105" i="55"/>
  <c r="L87" i="55"/>
  <c r="X101" i="55"/>
  <c r="AC92" i="55"/>
  <c r="AJ91" i="55"/>
  <c r="J33" i="38"/>
  <c r="J28" i="38"/>
  <c r="J38" i="38"/>
  <c r="J16" i="38"/>
  <c r="J27" i="38"/>
  <c r="J22" i="38"/>
  <c r="J19" i="38"/>
  <c r="J32" i="38"/>
  <c r="J23" i="38"/>
  <c r="J37" i="38"/>
  <c r="J31" i="38"/>
  <c r="J36" i="38"/>
  <c r="J24" i="38"/>
  <c r="J15" i="38"/>
  <c r="J35" i="38"/>
  <c r="J21" i="38"/>
  <c r="J34" i="38"/>
  <c r="J20" i="38"/>
  <c r="J29" i="38"/>
  <c r="J17" i="38"/>
  <c r="J25" i="38"/>
  <c r="J18" i="38"/>
  <c r="J26" i="38"/>
  <c r="J30" i="38"/>
  <c r="AF109" i="55"/>
  <c r="P90" i="55"/>
  <c r="O85" i="55"/>
  <c r="N106" i="55"/>
  <c r="V111" i="55"/>
  <c r="P104" i="55"/>
  <c r="AI103" i="55"/>
  <c r="AC108" i="55"/>
  <c r="AG87" i="55"/>
  <c r="S108" i="55"/>
  <c r="AE93" i="55"/>
  <c r="S91" i="55"/>
  <c r="AD84" i="55"/>
  <c r="AL85" i="55"/>
  <c r="V92" i="55"/>
  <c r="Z105" i="55"/>
  <c r="U104" i="55"/>
  <c r="AI92" i="55"/>
  <c r="T106" i="55"/>
  <c r="AJ103" i="55"/>
  <c r="AF84" i="55"/>
  <c r="AH104" i="55"/>
  <c r="W107" i="55"/>
  <c r="R84" i="55"/>
  <c r="AD104" i="55"/>
  <c r="O112" i="55"/>
  <c r="Q101" i="55"/>
  <c r="AA94" i="55"/>
  <c r="AK109" i="55"/>
  <c r="L95" i="55"/>
  <c r="U95" i="55"/>
  <c r="X109" i="55"/>
  <c r="T91" i="55"/>
  <c r="AA22" i="38"/>
  <c r="AA23" i="38"/>
  <c r="AA17" i="38"/>
  <c r="AA28" i="38"/>
  <c r="AA21" i="38"/>
  <c r="AA31" i="38"/>
  <c r="AA29" i="38"/>
  <c r="AA37" i="38"/>
  <c r="AA20" i="38"/>
  <c r="AA15" i="38"/>
  <c r="AA32" i="38"/>
  <c r="AA25" i="38"/>
  <c r="AA35" i="38"/>
  <c r="AA26" i="38"/>
  <c r="AA36" i="38"/>
  <c r="AA18" i="38"/>
  <c r="AA38" i="38"/>
  <c r="AA16" i="38"/>
  <c r="AA24" i="38"/>
  <c r="AA33" i="38"/>
  <c r="AA30" i="38"/>
  <c r="AA27" i="38"/>
  <c r="AA19" i="38"/>
  <c r="AA34" i="38"/>
  <c r="W84" i="55"/>
  <c r="V87" i="55"/>
  <c r="AJ93" i="55"/>
  <c r="V94" i="55"/>
  <c r="O84" i="55"/>
  <c r="V107" i="55"/>
  <c r="AI109" i="55"/>
  <c r="AC110" i="55"/>
  <c r="S110" i="55"/>
  <c r="AE104" i="55"/>
  <c r="S93" i="55"/>
  <c r="AL88" i="55"/>
  <c r="Y87" i="55"/>
  <c r="Y89" i="55"/>
  <c r="AI86" i="55"/>
  <c r="T111" i="55"/>
  <c r="AJ111" i="55"/>
  <c r="N92" i="55"/>
  <c r="AF86" i="55"/>
  <c r="AH109" i="55"/>
  <c r="W106" i="55"/>
  <c r="R94" i="55"/>
  <c r="Q111" i="55"/>
  <c r="AG109" i="55"/>
  <c r="X102" i="55"/>
  <c r="AG104" i="55"/>
  <c r="N86" i="55"/>
  <c r="AC86" i="55"/>
  <c r="Y94" i="55"/>
  <c r="AF110" i="55"/>
  <c r="AB110" i="55"/>
  <c r="Q85" i="55"/>
  <c r="P102" i="55"/>
  <c r="N112" i="55"/>
  <c r="AF106" i="55"/>
  <c r="M85" i="55"/>
  <c r="W93" i="55"/>
  <c r="AF112" i="55"/>
  <c r="U86" i="55"/>
  <c r="AB105" i="55"/>
  <c r="P93" i="55"/>
  <c r="O89" i="55"/>
  <c r="AK90" i="55"/>
  <c r="V110" i="55"/>
  <c r="Q95" i="55"/>
  <c r="Z84" i="55"/>
  <c r="S111" i="55"/>
  <c r="Y101" i="55"/>
  <c r="R101" i="55"/>
  <c r="S94" i="55"/>
  <c r="L111" i="55"/>
  <c r="U101" i="55"/>
  <c r="L109" i="55"/>
  <c r="T104" i="55"/>
  <c r="AJ112" i="55"/>
  <c r="AH90" i="55"/>
  <c r="AF94" i="55"/>
  <c r="AH111" i="55"/>
  <c r="R95" i="55"/>
  <c r="AG101" i="55"/>
  <c r="Q105" i="55"/>
  <c r="AK101" i="55"/>
  <c r="R112" i="55"/>
  <c r="AG112" i="55"/>
  <c r="AB109" i="55"/>
  <c r="L103" i="55"/>
  <c r="O92" i="55"/>
  <c r="N95" i="55"/>
  <c r="AF104" i="55"/>
  <c r="V105" i="55"/>
  <c r="X94" i="55"/>
  <c r="AB111" i="55"/>
  <c r="P88" i="55"/>
  <c r="Q93" i="55"/>
  <c r="AG85" i="55"/>
  <c r="Z86" i="55"/>
  <c r="AA85" i="55"/>
  <c r="AG95" i="55"/>
  <c r="AJ89" i="55"/>
  <c r="AF111" i="55"/>
  <c r="V88" i="55"/>
  <c r="AB112" i="55"/>
  <c r="P85" i="55"/>
  <c r="N110" i="55"/>
  <c r="V104" i="55"/>
  <c r="AI111" i="55"/>
  <c r="AA91" i="55"/>
  <c r="Q89" i="55"/>
  <c r="AC105" i="55"/>
  <c r="V85" i="55"/>
  <c r="AA84" i="55"/>
  <c r="S87" i="55"/>
  <c r="AL89" i="55"/>
  <c r="AC91" i="55"/>
  <c r="AI87" i="55"/>
  <c r="AJ104" i="55"/>
  <c r="P101" i="55"/>
  <c r="AF91" i="55"/>
  <c r="W101" i="55"/>
  <c r="M93" i="55"/>
  <c r="AK112" i="55"/>
  <c r="L84" i="55"/>
  <c r="X104" i="55"/>
  <c r="U88" i="55"/>
  <c r="M111" i="55"/>
  <c r="U94" i="55"/>
  <c r="AJ86" i="55"/>
  <c r="T93" i="55"/>
  <c r="Y88" i="55"/>
  <c r="AB101" i="55"/>
  <c r="P86" i="55"/>
  <c r="O88" i="55"/>
  <c r="W88" i="55"/>
  <c r="V102" i="55"/>
  <c r="Y93" i="55"/>
  <c r="Z94" i="55"/>
  <c r="AE91" i="55"/>
  <c r="AE111" i="55"/>
  <c r="AL93" i="55"/>
  <c r="AB89" i="55"/>
  <c r="Z104" i="55"/>
  <c r="AI93" i="55"/>
  <c r="AJ102" i="55"/>
  <c r="AL111" i="55"/>
  <c r="AF85" i="55"/>
  <c r="AH108" i="55"/>
  <c r="R91" i="55"/>
  <c r="Q107" i="55"/>
  <c r="AK102" i="55"/>
  <c r="L86" i="55"/>
  <c r="X108" i="55"/>
  <c r="AA109" i="55"/>
  <c r="M106" i="55"/>
  <c r="V86" i="55"/>
  <c r="AK84" i="55"/>
  <c r="U89" i="55"/>
  <c r="AG106" i="55"/>
  <c r="AI107" i="55"/>
  <c r="AI104" i="55"/>
  <c r="L108" i="55"/>
  <c r="Q84" i="55"/>
  <c r="L107" i="55"/>
  <c r="AG89" i="55"/>
  <c r="Y103" i="55"/>
  <c r="AE84" i="55"/>
  <c r="AK91" i="55"/>
  <c r="AD92" i="55"/>
  <c r="AL91" i="55"/>
  <c r="U109" i="55"/>
  <c r="AD103" i="55"/>
  <c r="AJ108" i="55"/>
  <c r="AH107" i="55"/>
  <c r="W109" i="55"/>
  <c r="AJ85" i="55"/>
  <c r="O102" i="55"/>
  <c r="AJ95" i="55"/>
  <c r="L85" i="55"/>
  <c r="AA105" i="55"/>
  <c r="Y90" i="55"/>
  <c r="Y91" i="55"/>
  <c r="P103" i="55"/>
  <c r="N90" i="55"/>
  <c r="T90" i="55"/>
  <c r="V103" i="55"/>
  <c r="X87" i="55"/>
  <c r="AF105" i="55"/>
  <c r="AH93" i="55"/>
  <c r="AG94" i="55"/>
  <c r="U90" i="55"/>
  <c r="S104" i="55"/>
  <c r="AC88" i="55"/>
  <c r="N111" i="55"/>
  <c r="AI110" i="55"/>
  <c r="Q88" i="55"/>
  <c r="AC103" i="55"/>
  <c r="AG88" i="55"/>
  <c r="S101" i="55"/>
  <c r="Y109" i="55"/>
  <c r="AE89" i="55"/>
  <c r="AE108" i="55"/>
  <c r="S84" i="55"/>
  <c r="AD88" i="55"/>
  <c r="U102" i="55"/>
  <c r="AI84" i="55"/>
  <c r="AH110" i="55"/>
  <c r="O109" i="55"/>
  <c r="AK106" i="55"/>
  <c r="L89" i="55"/>
  <c r="X111" i="55"/>
  <c r="AA108" i="55"/>
  <c r="L106" i="55"/>
  <c r="AJ92" i="55"/>
  <c r="M92" i="55"/>
  <c r="AB91" i="55"/>
  <c r="W86" i="55"/>
  <c r="N104" i="55"/>
  <c r="Z88" i="55"/>
  <c r="AC112" i="55"/>
  <c r="AD109" i="55"/>
  <c r="AF108" i="55"/>
  <c r="L105" i="55"/>
  <c r="AB102" i="55"/>
  <c r="O94" i="55"/>
  <c r="N102" i="55"/>
  <c r="AL106" i="55"/>
  <c r="AF101" i="55"/>
  <c r="AB94" i="55"/>
  <c r="AB103" i="55"/>
  <c r="U92" i="55"/>
  <c r="O95" i="55"/>
  <c r="N107" i="55"/>
  <c r="AI102" i="55"/>
  <c r="AB88" i="55"/>
  <c r="Q94" i="55"/>
  <c r="AG92" i="55"/>
  <c r="Z89" i="55"/>
  <c r="AC89" i="55"/>
  <c r="S107" i="55"/>
  <c r="AE94" i="55"/>
  <c r="AE101" i="55"/>
  <c r="AD94" i="55"/>
  <c r="AL95" i="55"/>
  <c r="Z103" i="55"/>
  <c r="U107" i="55"/>
  <c r="AA90" i="55"/>
  <c r="AI94" i="55"/>
  <c r="W103" i="55"/>
  <c r="Q109" i="55"/>
  <c r="AK105" i="55"/>
  <c r="X106" i="55"/>
  <c r="AA111" i="55"/>
  <c r="M112" i="55"/>
  <c r="X16" i="38"/>
  <c r="X17" i="38"/>
  <c r="X22" i="38"/>
  <c r="X38" i="38"/>
  <c r="X24" i="38"/>
  <c r="X37" i="38"/>
  <c r="X30" i="38"/>
  <c r="X27" i="38"/>
  <c r="X32" i="38"/>
  <c r="X23" i="38"/>
  <c r="X19" i="38"/>
  <c r="X20" i="38"/>
  <c r="X25" i="38"/>
  <c r="X21" i="38"/>
  <c r="X26" i="38"/>
  <c r="X18" i="38"/>
  <c r="X29" i="38"/>
  <c r="X15" i="38"/>
  <c r="AD21" i="64" s="1"/>
  <c r="X35" i="38"/>
  <c r="X31" i="38"/>
  <c r="X28" i="38"/>
  <c r="X34" i="38"/>
  <c r="X33" i="38"/>
  <c r="X36" i="38"/>
  <c r="N89" i="55"/>
  <c r="N94" i="55"/>
  <c r="M91" i="55"/>
  <c r="AG107" i="55"/>
  <c r="AG103" i="55"/>
  <c r="AI85" i="55"/>
  <c r="T107" i="55"/>
  <c r="AH101" i="55"/>
  <c r="R87" i="55"/>
  <c r="O107" i="55"/>
  <c r="Q104" i="55"/>
  <c r="P109" i="55"/>
  <c r="AK103" i="55"/>
  <c r="AB84" i="55"/>
  <c r="AL108" i="55"/>
  <c r="AC85" i="55"/>
  <c r="AH92" i="55"/>
  <c r="N85" i="55"/>
  <c r="AL102" i="55"/>
  <c r="F26" i="45"/>
  <c r="C4" i="8"/>
  <c r="B7" i="8"/>
  <c r="B81" i="8"/>
  <c r="B124" i="8"/>
  <c r="AA23" i="54" l="1"/>
  <c r="AA24" i="54"/>
  <c r="AA25" i="54"/>
  <c r="AA20" i="54"/>
  <c r="AA21" i="54"/>
  <c r="AA22" i="54"/>
  <c r="AD61" i="64"/>
  <c r="AD41" i="64"/>
  <c r="AG21" i="64"/>
  <c r="AG61" i="64"/>
  <c r="AG41" i="64"/>
  <c r="P21" i="64"/>
  <c r="P61" i="64"/>
  <c r="P41" i="64"/>
  <c r="L21" i="64"/>
  <c r="L41" i="64"/>
  <c r="L61" i="64"/>
  <c r="AL61" i="64"/>
  <c r="AL21" i="64"/>
  <c r="R61" i="64"/>
  <c r="R21" i="64"/>
  <c r="R41" i="64"/>
  <c r="M41" i="64"/>
  <c r="M21" i="64"/>
  <c r="M61" i="64"/>
  <c r="U21" i="64"/>
  <c r="U41" i="64"/>
  <c r="U61" i="64"/>
  <c r="AJ21" i="64"/>
  <c r="AJ61" i="64"/>
  <c r="T61" i="64"/>
  <c r="T21" i="64"/>
  <c r="AC21" i="64"/>
  <c r="AC61" i="64"/>
  <c r="AC41" i="64"/>
  <c r="S61" i="64"/>
  <c r="AK61" i="64"/>
  <c r="AK41" i="64"/>
  <c r="AK21" i="64"/>
  <c r="V61" i="64"/>
  <c r="V21" i="64"/>
  <c r="Y61" i="64"/>
  <c r="Y41" i="64"/>
  <c r="Y21" i="64"/>
  <c r="N21" i="64"/>
  <c r="N41" i="64"/>
  <c r="N61" i="64"/>
  <c r="AA21" i="64"/>
  <c r="X61" i="64"/>
  <c r="X41" i="64"/>
  <c r="X21" i="64"/>
  <c r="W21" i="64"/>
  <c r="W61" i="64"/>
  <c r="W41" i="64"/>
  <c r="AB61" i="64"/>
  <c r="AB41" i="64"/>
  <c r="AB21" i="64"/>
  <c r="AH41" i="64"/>
  <c r="AH61" i="64"/>
  <c r="AH21" i="64"/>
  <c r="S21" i="64"/>
  <c r="Q21" i="64"/>
  <c r="K101" i="55"/>
  <c r="K100" i="55"/>
  <c r="Q41" i="64"/>
  <c r="AI21" i="64"/>
  <c r="O61" i="64"/>
  <c r="AI61" i="64"/>
  <c r="O21" i="64"/>
  <c r="E15" i="38"/>
  <c r="K52" i="64"/>
  <c r="AI41" i="64"/>
  <c r="AF21" i="64"/>
  <c r="AE41" i="64"/>
  <c r="AE21" i="64"/>
  <c r="AF61" i="64"/>
  <c r="Z61" i="64"/>
  <c r="Z21" i="64"/>
  <c r="Q61" i="64"/>
  <c r="Z41" i="64"/>
  <c r="S41" i="64"/>
  <c r="AE61" i="64"/>
  <c r="K83" i="55"/>
  <c r="E623" i="41" a="1"/>
  <c r="E623" i="41" s="1"/>
  <c r="F623" i="41" a="1"/>
  <c r="F623" i="41" s="1"/>
  <c r="H631" i="41" a="1"/>
  <c r="H631" i="41" s="1"/>
  <c r="T626" i="41" a="1"/>
  <c r="T626" i="41" s="1"/>
  <c r="AD637" i="41" a="1"/>
  <c r="AD637" i="41" s="1"/>
  <c r="AF632" i="41" a="1"/>
  <c r="AF632" i="41" s="1"/>
  <c r="Y638" i="41" a="1"/>
  <c r="Y638" i="41" s="1"/>
  <c r="M621" i="41" a="1"/>
  <c r="M621" i="41" s="1"/>
  <c r="W623" i="41" a="1"/>
  <c r="W623" i="41" s="1"/>
  <c r="AD622" i="41" a="1"/>
  <c r="AD622" i="41" s="1"/>
  <c r="F622" i="41" a="1"/>
  <c r="F622" i="41" s="1"/>
  <c r="T630" i="41" a="1"/>
  <c r="T630" i="41" s="1"/>
  <c r="Q637" i="41" a="1"/>
  <c r="Q637" i="41" s="1"/>
  <c r="H623" i="41" a="1"/>
  <c r="H623" i="41" s="1"/>
  <c r="K624" i="41" a="1"/>
  <c r="K624" i="41" s="1"/>
  <c r="AE632" i="41" a="1"/>
  <c r="AE632" i="41" s="1"/>
  <c r="AC634" i="41" a="1"/>
  <c r="AC634" i="41" s="1"/>
  <c r="M631" i="41" a="1"/>
  <c r="M631" i="41" s="1"/>
  <c r="V637" i="41" a="1"/>
  <c r="V637" i="41" s="1"/>
  <c r="S623" i="41" a="1"/>
  <c r="S623" i="41" s="1"/>
  <c r="O630" i="41" a="1"/>
  <c r="O630" i="41" s="1"/>
  <c r="AE630" i="41" a="1"/>
  <c r="AE630" i="41" s="1"/>
  <c r="Z626" i="41" a="1"/>
  <c r="Z626" i="41" s="1"/>
  <c r="E620" i="41" a="1"/>
  <c r="E620" i="41" s="1"/>
  <c r="E641" i="41" s="1"/>
  <c r="Q630" i="41" a="1"/>
  <c r="Q630" i="41" s="1"/>
  <c r="G620" i="41" a="1"/>
  <c r="G620" i="41" s="1"/>
  <c r="G641" i="41" s="1"/>
  <c r="L638" i="41" a="1"/>
  <c r="L638" i="41" s="1"/>
  <c r="U623" i="41" a="1"/>
  <c r="U623" i="41" s="1"/>
  <c r="P620" i="41" a="1"/>
  <c r="P620" i="41" s="1"/>
  <c r="P641" i="41" s="1"/>
  <c r="Q624" i="41" a="1"/>
  <c r="Q624" i="41" s="1"/>
  <c r="I627" i="41" a="1"/>
  <c r="I627" i="41" s="1"/>
  <c r="M638" i="41" a="1"/>
  <c r="M638" i="41" s="1"/>
  <c r="U638" i="41" a="1"/>
  <c r="U638" i="41" s="1"/>
  <c r="V630" i="41" a="1"/>
  <c r="V630" i="41" s="1"/>
  <c r="P632" i="41" a="1"/>
  <c r="P632" i="41" s="1"/>
  <c r="M626" i="41" a="1"/>
  <c r="M626" i="41" s="1"/>
  <c r="S624" i="41" a="1"/>
  <c r="S624" i="41" s="1"/>
  <c r="G634" i="41" a="1"/>
  <c r="G634" i="41" s="1"/>
  <c r="AA638" i="41" a="1"/>
  <c r="AA638" i="41" s="1"/>
  <c r="I624" i="41" a="1"/>
  <c r="I624" i="41" s="1"/>
  <c r="W620" i="41" a="1"/>
  <c r="W620" i="41" s="1"/>
  <c r="W641" i="41" s="1"/>
  <c r="Q635" i="41" a="1"/>
  <c r="Q635" i="41" s="1"/>
  <c r="J621" i="41" a="1"/>
  <c r="J621" i="41" s="1"/>
  <c r="R621" i="41" a="1"/>
  <c r="R621" i="41" s="1"/>
  <c r="AF627" i="41" a="1"/>
  <c r="AF627" i="41" s="1"/>
  <c r="K627" i="41" a="1"/>
  <c r="K627" i="41" s="1"/>
  <c r="Y625" i="41" a="1"/>
  <c r="Y625" i="41" s="1"/>
  <c r="J629" i="41" a="1"/>
  <c r="J629" i="41" s="1"/>
  <c r="J638" i="41" a="1"/>
  <c r="J638" i="41" s="1"/>
  <c r="T620" i="41" a="1"/>
  <c r="T620" i="41" s="1"/>
  <c r="T641" i="41" s="1"/>
  <c r="N624" i="41" a="1"/>
  <c r="N624" i="41" s="1"/>
  <c r="W630" i="41" a="1"/>
  <c r="W630" i="41" s="1"/>
  <c r="Z621" i="41" a="1"/>
  <c r="Z621" i="41" s="1"/>
  <c r="G638" i="41" a="1"/>
  <c r="G638" i="41" s="1"/>
  <c r="N631" i="41" a="1"/>
  <c r="N631" i="41" s="1"/>
  <c r="J633" i="41" a="1"/>
  <c r="J633" i="41" s="1"/>
  <c r="L635" i="41" a="1"/>
  <c r="L635" i="41" s="1"/>
  <c r="W626" i="41" a="1"/>
  <c r="W626" i="41" s="1"/>
  <c r="E628" i="41" a="1"/>
  <c r="E628" i="41" s="1"/>
  <c r="R624" i="41" a="1"/>
  <c r="R624" i="41" s="1"/>
  <c r="R634" i="41" a="1"/>
  <c r="R634" i="41" s="1"/>
  <c r="O639" i="41" a="1"/>
  <c r="O639" i="41" s="1"/>
  <c r="Q639" i="41" a="1"/>
  <c r="Q639" i="41" s="1"/>
  <c r="AF624" i="41" a="1"/>
  <c r="AF624" i="41" s="1"/>
  <c r="L631" i="41" a="1"/>
  <c r="L631" i="41" s="1"/>
  <c r="AC638" i="41" a="1"/>
  <c r="AC638" i="41" s="1"/>
  <c r="E626" i="41" a="1"/>
  <c r="E626" i="41" s="1"/>
  <c r="I630" i="41" a="1"/>
  <c r="I630" i="41" s="1"/>
  <c r="AC631" i="41" a="1"/>
  <c r="AC631" i="41" s="1"/>
  <c r="AB624" i="41" a="1"/>
  <c r="AB624" i="41" s="1"/>
  <c r="L621" i="41" a="1"/>
  <c r="L621" i="41" s="1"/>
  <c r="AE627" i="41" a="1"/>
  <c r="AE627" i="41" s="1"/>
  <c r="V632" i="41" a="1"/>
  <c r="V632" i="41" s="1"/>
  <c r="V631" i="41" a="1"/>
  <c r="V631" i="41" s="1"/>
  <c r="AA623" i="41" a="1"/>
  <c r="AA623" i="41" s="1"/>
  <c r="AB632" i="41" a="1"/>
  <c r="AB632" i="41" s="1"/>
  <c r="AD626" i="41" a="1"/>
  <c r="AD626" i="41" s="1"/>
  <c r="AA621" i="41" a="1"/>
  <c r="AA621" i="41" s="1"/>
  <c r="I636" i="41" a="1"/>
  <c r="I636" i="41" s="1"/>
  <c r="T639" i="41" a="1"/>
  <c r="T639" i="41" s="1"/>
  <c r="V626" i="41" a="1"/>
  <c r="V626" i="41" s="1"/>
  <c r="Y633" i="41" a="1"/>
  <c r="Y633" i="41" s="1"/>
  <c r="E634" i="41" a="1"/>
  <c r="E634" i="41" s="1"/>
  <c r="X621" i="41" a="1"/>
  <c r="X621" i="41" s="1"/>
  <c r="F636" i="41" a="1"/>
  <c r="F636" i="41" s="1"/>
  <c r="S637" i="41" a="1"/>
  <c r="S637" i="41" s="1"/>
  <c r="Z632" i="41" a="1"/>
  <c r="Z632" i="41" s="1"/>
  <c r="M629" i="41" a="1"/>
  <c r="M629" i="41" s="1"/>
  <c r="R631" i="41" a="1"/>
  <c r="R631" i="41" s="1"/>
  <c r="J625" i="41" a="1"/>
  <c r="J625" i="41" s="1"/>
  <c r="G631" i="41" a="1"/>
  <c r="G631" i="41" s="1"/>
  <c r="T624" i="41" a="1"/>
  <c r="T624" i="41" s="1"/>
  <c r="L632" i="41" a="1"/>
  <c r="L632" i="41" s="1"/>
  <c r="Z625" i="41" a="1"/>
  <c r="Z625" i="41" s="1"/>
  <c r="AF630" i="41" a="1"/>
  <c r="AF630" i="41" s="1"/>
  <c r="R626" i="41" a="1"/>
  <c r="R626" i="41" s="1"/>
  <c r="I639" i="41" a="1"/>
  <c r="I639" i="41" s="1"/>
  <c r="AB635" i="41" a="1"/>
  <c r="AB635" i="41" s="1"/>
  <c r="AF628" i="41" a="1"/>
  <c r="AF628" i="41" s="1"/>
  <c r="AE637" i="41" a="1"/>
  <c r="AE637" i="41" s="1"/>
  <c r="K626" i="41" a="1"/>
  <c r="K626" i="41" s="1"/>
  <c r="E633" i="41" a="1"/>
  <c r="E633" i="41" s="1"/>
  <c r="AF621" i="41" a="1"/>
  <c r="AF621" i="41" s="1"/>
  <c r="AF636" i="41" a="1"/>
  <c r="AF636" i="41" s="1"/>
  <c r="AB620" i="41" a="1"/>
  <c r="AB620" i="41" s="1"/>
  <c r="AB641" i="41" s="1"/>
  <c r="L624" i="41" a="1"/>
  <c r="L624" i="41" s="1"/>
  <c r="F637" i="41" a="1"/>
  <c r="F637" i="41" s="1"/>
  <c r="H626" i="41" a="1"/>
  <c r="H626" i="41" s="1"/>
  <c r="K628" i="41" a="1"/>
  <c r="K628" i="41" s="1"/>
  <c r="S620" i="41" a="1"/>
  <c r="S620" i="41" s="1"/>
  <c r="S641" i="41" s="1"/>
  <c r="W636" i="41" a="1"/>
  <c r="W636" i="41" s="1"/>
  <c r="J634" i="41" a="1"/>
  <c r="J634" i="41" s="1"/>
  <c r="AD621" i="41" a="1"/>
  <c r="AD621" i="41" s="1"/>
  <c r="N639" i="41" a="1"/>
  <c r="N639" i="41" s="1"/>
  <c r="H639" i="41" a="1"/>
  <c r="H639" i="41" s="1"/>
  <c r="AE622" i="41" a="1"/>
  <c r="AE622" i="41" s="1"/>
  <c r="H624" i="41" a="1"/>
  <c r="H624" i="41" s="1"/>
  <c r="AF629" i="41" a="1"/>
  <c r="AF629" i="41" s="1"/>
  <c r="L628" i="41" a="1"/>
  <c r="L628" i="41" s="1"/>
  <c r="M625" i="41" a="1"/>
  <c r="M625" i="41" s="1"/>
  <c r="AF625" i="41" a="1"/>
  <c r="AF625" i="41" s="1"/>
  <c r="AC639" i="41" a="1"/>
  <c r="AC639" i="41" s="1"/>
  <c r="AB622" i="41" a="1"/>
  <c r="AB622" i="41" s="1"/>
  <c r="Q633" i="41" a="1"/>
  <c r="Q633" i="41" s="1"/>
  <c r="X630" i="41" a="1"/>
  <c r="X630" i="41" s="1"/>
  <c r="U622" i="41" a="1"/>
  <c r="U622" i="41" s="1"/>
  <c r="M639" i="41" a="1"/>
  <c r="M639" i="41" s="1"/>
  <c r="AC632" i="41" a="1"/>
  <c r="AC632" i="41" s="1"/>
  <c r="K623" i="41" a="1"/>
  <c r="K623" i="41" s="1"/>
  <c r="F621" i="41" a="1"/>
  <c r="F621" i="41" s="1"/>
  <c r="F627" i="41" a="1"/>
  <c r="F627" i="41" s="1"/>
  <c r="R628" i="41" a="1"/>
  <c r="R628" i="41" s="1"/>
  <c r="X628" i="41" a="1"/>
  <c r="X628" i="41" s="1"/>
  <c r="Z622" i="41" a="1"/>
  <c r="Z622" i="41" s="1"/>
  <c r="AA620" i="41" a="1"/>
  <c r="AA620" i="41" s="1"/>
  <c r="AA641" i="41" s="1"/>
  <c r="O628" i="41" a="1"/>
  <c r="O628" i="41" s="1"/>
  <c r="W629" i="41" a="1"/>
  <c r="W629" i="41" s="1"/>
  <c r="AC620" i="41" a="1"/>
  <c r="AC620" i="41" s="1"/>
  <c r="AC641" i="41" s="1"/>
  <c r="O623" i="41" a="1"/>
  <c r="O623" i="41" s="1"/>
  <c r="J626" i="41" a="1"/>
  <c r="J626" i="41" s="1"/>
  <c r="S634" i="41" a="1"/>
  <c r="S634" i="41" s="1"/>
  <c r="AC633" i="41" a="1"/>
  <c r="AC633" i="41" s="1"/>
  <c r="AB638" i="41" a="1"/>
  <c r="AB638" i="41" s="1"/>
  <c r="AC622" i="41" a="1"/>
  <c r="AC622" i="41" s="1"/>
  <c r="H620" i="41" a="1"/>
  <c r="H620" i="41" s="1"/>
  <c r="H641" i="41" s="1"/>
  <c r="E632" i="41" a="1"/>
  <c r="E632" i="41" s="1"/>
  <c r="W621" i="41" a="1"/>
  <c r="W621" i="41" s="1"/>
  <c r="P623" i="41" a="1"/>
  <c r="P623" i="41" s="1"/>
  <c r="E627" i="41" a="1"/>
  <c r="E627" i="41" s="1"/>
  <c r="X638" i="41" a="1"/>
  <c r="X638" i="41" s="1"/>
  <c r="Q629" i="41" a="1"/>
  <c r="Q629" i="41" s="1"/>
  <c r="E622" i="41" a="1"/>
  <c r="E622" i="41" s="1"/>
  <c r="AB621" i="41" a="1"/>
  <c r="AB621" i="41" s="1"/>
  <c r="K638" i="41" a="1"/>
  <c r="K638" i="41" s="1"/>
  <c r="AB630" i="41" a="1"/>
  <c r="AB630" i="41" s="1"/>
  <c r="Z623" i="41" a="1"/>
  <c r="Z623" i="41" s="1"/>
  <c r="J636" i="41" a="1"/>
  <c r="J636" i="41" s="1"/>
  <c r="Q628" i="41" a="1"/>
  <c r="Q628" i="41" s="1"/>
  <c r="R637" i="41" a="1"/>
  <c r="R637" i="41" s="1"/>
  <c r="W634" i="41" a="1"/>
  <c r="W634" i="41" s="1"/>
  <c r="M632" i="41" a="1"/>
  <c r="M632" i="41" s="1"/>
  <c r="N637" i="41" a="1"/>
  <c r="N637" i="41" s="1"/>
  <c r="J620" i="41" a="1"/>
  <c r="J620" i="41" s="1"/>
  <c r="J641" i="41" s="1"/>
  <c r="AC628" i="41" a="1"/>
  <c r="AC628" i="41" s="1"/>
  <c r="AE633" i="41" a="1"/>
  <c r="AE633" i="41" s="1"/>
  <c r="I633" i="41" a="1"/>
  <c r="I633" i="41" s="1"/>
  <c r="M633" i="41" a="1"/>
  <c r="M633" i="41" s="1"/>
  <c r="L634" i="41" a="1"/>
  <c r="L634" i="41" s="1"/>
  <c r="O637" i="41" a="1"/>
  <c r="O637" i="41" s="1"/>
  <c r="AD635" i="41" a="1"/>
  <c r="AD635" i="41" s="1"/>
  <c r="Z633" i="41" a="1"/>
  <c r="Z633" i="41" s="1"/>
  <c r="AA633" i="41" a="1"/>
  <c r="AA633" i="41" s="1"/>
  <c r="AB637" i="41" a="1"/>
  <c r="AB637" i="41" s="1"/>
  <c r="E639" i="41" a="1"/>
  <c r="E639" i="41" s="1"/>
  <c r="P627" i="41" a="1"/>
  <c r="P627" i="41" s="1"/>
  <c r="G637" i="41" a="1"/>
  <c r="G637" i="41" s="1"/>
  <c r="S628" i="41" a="1"/>
  <c r="S628" i="41" s="1"/>
  <c r="Q636" i="41" a="1"/>
  <c r="Q636" i="41" s="1"/>
  <c r="J627" i="41" a="1"/>
  <c r="J627" i="41" s="1"/>
  <c r="N628" i="41" a="1"/>
  <c r="N628" i="41" s="1"/>
  <c r="I629" i="41" a="1"/>
  <c r="I629" i="41" s="1"/>
  <c r="R630" i="41" a="1"/>
  <c r="R630" i="41" s="1"/>
  <c r="J623" i="41" a="1"/>
  <c r="J623" i="41" s="1"/>
  <c r="H637" i="41" a="1"/>
  <c r="H637" i="41" s="1"/>
  <c r="N621" i="41" a="1"/>
  <c r="N621" i="41" s="1"/>
  <c r="G625" i="41" a="1"/>
  <c r="G625" i="41" s="1"/>
  <c r="O626" i="41" a="1"/>
  <c r="O626" i="41" s="1"/>
  <c r="S636" i="41" a="1"/>
  <c r="S636" i="41" s="1"/>
  <c r="P624" i="41" a="1"/>
  <c r="P624" i="41" s="1"/>
  <c r="N630" i="41" a="1"/>
  <c r="N630" i="41" s="1"/>
  <c r="AE621" i="41" a="1"/>
  <c r="AE621" i="41" s="1"/>
  <c r="AC630" i="41" a="1"/>
  <c r="AC630" i="41" s="1"/>
  <c r="U625" i="41" a="1"/>
  <c r="U625" i="41" s="1"/>
  <c r="Q631" i="41" a="1"/>
  <c r="Q631" i="41" s="1"/>
  <c r="V629" i="41" a="1"/>
  <c r="V629" i="41" s="1"/>
  <c r="AA624" i="41" a="1"/>
  <c r="AA624" i="41" s="1"/>
  <c r="T631" i="41" a="1"/>
  <c r="T631" i="41" s="1"/>
  <c r="N638" i="41" a="1"/>
  <c r="N638" i="41" s="1"/>
  <c r="Y634" i="41" a="1"/>
  <c r="Y634" i="41" s="1"/>
  <c r="K636" i="41" a="1"/>
  <c r="K636" i="41" s="1"/>
  <c r="H633" i="41" a="1"/>
  <c r="H633" i="41" s="1"/>
  <c r="Y636" i="41" a="1"/>
  <c r="Y636" i="41" s="1"/>
  <c r="X626" i="41" a="1"/>
  <c r="X626" i="41" s="1"/>
  <c r="AC635" i="41" a="1"/>
  <c r="AC635" i="41" s="1"/>
  <c r="F625" i="41" a="1"/>
  <c r="F625" i="41" s="1"/>
  <c r="T625" i="41" a="1"/>
  <c r="T625" i="41" s="1"/>
  <c r="AB639" i="41" a="1"/>
  <c r="AB639" i="41" s="1"/>
  <c r="V638" i="41" a="1"/>
  <c r="V638" i="41" s="1"/>
  <c r="AD639" i="41" a="1"/>
  <c r="AD639" i="41" s="1"/>
  <c r="P621" i="41" a="1"/>
  <c r="P621" i="41" s="1"/>
  <c r="K621" i="41" a="1"/>
  <c r="K621" i="41" s="1"/>
  <c r="T628" i="41" a="1"/>
  <c r="T628" i="41" s="1"/>
  <c r="U632" i="41" a="1"/>
  <c r="U632" i="41" s="1"/>
  <c r="Z624" i="41" a="1"/>
  <c r="Z624" i="41" s="1"/>
  <c r="H636" i="41" a="1"/>
  <c r="H636" i="41" s="1"/>
  <c r="X637" i="41" a="1"/>
  <c r="X637" i="41" s="1"/>
  <c r="AB626" i="41" a="1"/>
  <c r="AB626" i="41" s="1"/>
  <c r="O633" i="41" a="1"/>
  <c r="O633" i="41" s="1"/>
  <c r="E631" i="41" a="1"/>
  <c r="E631" i="41" s="1"/>
  <c r="J622" i="41" a="1"/>
  <c r="J622" i="41" s="1"/>
  <c r="O620" i="41" a="1"/>
  <c r="O620" i="41" s="1"/>
  <c r="O641" i="41" s="1"/>
  <c r="F630" i="41" a="1"/>
  <c r="F630" i="41" s="1"/>
  <c r="O621" i="41" a="1"/>
  <c r="O621" i="41" s="1"/>
  <c r="X633" i="41" a="1"/>
  <c r="X633" i="41" s="1"/>
  <c r="F633" i="41" a="1"/>
  <c r="F633" i="41" s="1"/>
  <c r="AB631" i="41" a="1"/>
  <c r="AB631" i="41" s="1"/>
  <c r="AD636" i="41" a="1"/>
  <c r="AD636" i="41" s="1"/>
  <c r="M623" i="41" a="1"/>
  <c r="M623" i="41" s="1"/>
  <c r="N626" i="41" a="1"/>
  <c r="N626" i="41" s="1"/>
  <c r="H627" i="41" a="1"/>
  <c r="H627" i="41" s="1"/>
  <c r="U629" i="41" a="1"/>
  <c r="U629" i="41" s="1"/>
  <c r="X629" i="41" a="1"/>
  <c r="X629" i="41" s="1"/>
  <c r="H638" i="41" a="1"/>
  <c r="H638" i="41" s="1"/>
  <c r="Q623" i="41" a="1"/>
  <c r="Q623" i="41" s="1"/>
  <c r="T621" i="41" a="1"/>
  <c r="T621" i="41" s="1"/>
  <c r="W631" i="41" a="1"/>
  <c r="W631" i="41" s="1"/>
  <c r="H625" i="41" a="1"/>
  <c r="H625" i="41" s="1"/>
  <c r="X620" i="41" a="1"/>
  <c r="X620" i="41" s="1"/>
  <c r="X641" i="41" s="1"/>
  <c r="F638" i="41" a="1"/>
  <c r="F638" i="41" s="1"/>
  <c r="AB628" i="41" a="1"/>
  <c r="AB628" i="41" s="1"/>
  <c r="J632" i="41" a="1"/>
  <c r="J632" i="41" s="1"/>
  <c r="Q634" i="41" a="1"/>
  <c r="Q634" i="41" s="1"/>
  <c r="X634" i="41" a="1"/>
  <c r="X634" i="41" s="1"/>
  <c r="I635" i="41" a="1"/>
  <c r="I635" i="41" s="1"/>
  <c r="AD625" i="41" a="1"/>
  <c r="AD625" i="41" s="1"/>
  <c r="I638" i="41" a="1"/>
  <c r="I638" i="41" s="1"/>
  <c r="Z638" i="41" a="1"/>
  <c r="Z638" i="41" s="1"/>
  <c r="U621" i="41" a="1"/>
  <c r="U621" i="41" s="1"/>
  <c r="AD634" i="41" a="1"/>
  <c r="AD634" i="41" s="1"/>
  <c r="P622" i="41" a="1"/>
  <c r="P622" i="41" s="1"/>
  <c r="K625" i="41" a="1"/>
  <c r="K625" i="41" s="1"/>
  <c r="AC625" i="41" a="1"/>
  <c r="AC625" i="41" s="1"/>
  <c r="U631" i="41" a="1"/>
  <c r="U631" i="41" s="1"/>
  <c r="V627" i="41" a="1"/>
  <c r="V627" i="41" s="1"/>
  <c r="G635" i="41" a="1"/>
  <c r="G635" i="41" s="1"/>
  <c r="H634" i="41" a="1"/>
  <c r="H634" i="41" s="1"/>
  <c r="I628" i="41" a="1"/>
  <c r="I628" i="41" s="1"/>
  <c r="U624" i="41" a="1"/>
  <c r="U624" i="41" s="1"/>
  <c r="AB627" i="41" a="1"/>
  <c r="AB627" i="41" s="1"/>
  <c r="V639" i="41" a="1"/>
  <c r="V639" i="41" s="1"/>
  <c r="G633" i="41" a="1"/>
  <c r="G633" i="41" s="1"/>
  <c r="AB633" i="41" a="1"/>
  <c r="AB633" i="41" s="1"/>
  <c r="M627" i="41" a="1"/>
  <c r="M627" i="41" s="1"/>
  <c r="AF623" i="41" a="1"/>
  <c r="AF623" i="41" s="1"/>
  <c r="AE636" i="41" a="1"/>
  <c r="AE636" i="41" s="1"/>
  <c r="Y624" i="41" a="1"/>
  <c r="Y624" i="41" s="1"/>
  <c r="I626" i="41" a="1"/>
  <c r="I626" i="41" s="1"/>
  <c r="W638" i="41" a="1"/>
  <c r="W638" i="41" s="1"/>
  <c r="J628" i="41" a="1"/>
  <c r="J628" i="41" s="1"/>
  <c r="AD623" i="41" a="1"/>
  <c r="AD623" i="41" s="1"/>
  <c r="T632" i="41" a="1"/>
  <c r="T632" i="41" s="1"/>
  <c r="AD630" i="41" a="1"/>
  <c r="AD630" i="41" s="1"/>
  <c r="AE626" i="41" a="1"/>
  <c r="AE626" i="41" s="1"/>
  <c r="AE628" i="41" a="1"/>
  <c r="AE628" i="41" s="1"/>
  <c r="Z620" i="41" a="1"/>
  <c r="Z620" i="41" s="1"/>
  <c r="Z641" i="41" s="1"/>
  <c r="F634" i="41" a="1"/>
  <c r="F634" i="41" s="1"/>
  <c r="W625" i="41" a="1"/>
  <c r="W625" i="41" s="1"/>
  <c r="P636" i="41" a="1"/>
  <c r="P636" i="41" s="1"/>
  <c r="I620" i="41" a="1"/>
  <c r="I620" i="41" s="1"/>
  <c r="I641" i="41" s="1"/>
  <c r="P637" i="41" a="1"/>
  <c r="P637" i="41" s="1"/>
  <c r="J637" i="41" a="1"/>
  <c r="J637" i="41" s="1"/>
  <c r="H621" i="41" a="1"/>
  <c r="H621" i="41" s="1"/>
  <c r="V634" i="41" a="1"/>
  <c r="V634" i="41" s="1"/>
  <c r="M636" i="41" a="1"/>
  <c r="M636" i="41" s="1"/>
  <c r="AE620" i="41" a="1"/>
  <c r="AE620" i="41" s="1"/>
  <c r="AE641" i="41" s="1"/>
  <c r="M634" i="41" a="1"/>
  <c r="M634" i="41" s="1"/>
  <c r="N629" i="41" a="1"/>
  <c r="N629" i="41" s="1"/>
  <c r="X624" i="41" a="1"/>
  <c r="X624" i="41" s="1"/>
  <c r="AA637" i="41" a="1"/>
  <c r="AA637" i="41" s="1"/>
  <c r="S626" i="41" a="1"/>
  <c r="S626" i="41" s="1"/>
  <c r="AD624" i="41" a="1"/>
  <c r="AD624" i="41" s="1"/>
  <c r="O627" i="41" a="1"/>
  <c r="O627" i="41" s="1"/>
  <c r="O632" i="41" a="1"/>
  <c r="O632" i="41" s="1"/>
  <c r="N635" i="41" a="1"/>
  <c r="N635" i="41" s="1"/>
  <c r="Y635" i="41" a="1"/>
  <c r="Y635" i="41" s="1"/>
  <c r="I637" i="41" a="1"/>
  <c r="I637" i="41" s="1"/>
  <c r="AD632" i="41" a="1"/>
  <c r="AD632" i="41" s="1"/>
  <c r="N620" i="41" a="1"/>
  <c r="N620" i="41" s="1"/>
  <c r="N641" i="41" s="1"/>
  <c r="K639" i="41" a="1"/>
  <c r="K639" i="41" s="1"/>
  <c r="S621" i="41" a="1"/>
  <c r="S621" i="41" s="1"/>
  <c r="R632" i="41" a="1"/>
  <c r="R632" i="41" s="1"/>
  <c r="AE634" i="41" a="1"/>
  <c r="AE634" i="41" s="1"/>
  <c r="AF626" i="41" a="1"/>
  <c r="AF626" i="41" s="1"/>
  <c r="Q626" i="41" a="1"/>
  <c r="Q626" i="41" s="1"/>
  <c r="U636" i="41" a="1"/>
  <c r="U636" i="41" s="1"/>
  <c r="V621" i="41" a="1"/>
  <c r="V621" i="41" s="1"/>
  <c r="Z639" i="41" a="1"/>
  <c r="Z639" i="41" s="1"/>
  <c r="Y623" i="41" a="1"/>
  <c r="Y623" i="41" s="1"/>
  <c r="K635" i="41" a="1"/>
  <c r="K635" i="41" s="1"/>
  <c r="AF622" i="41" a="1"/>
  <c r="AF622" i="41" s="1"/>
  <c r="Q632" i="41" a="1"/>
  <c r="Q632" i="41" s="1"/>
  <c r="E638" i="41" a="1"/>
  <c r="E638" i="41" s="1"/>
  <c r="AB625" i="41" a="1"/>
  <c r="AB625" i="41" s="1"/>
  <c r="G639" i="41" a="1"/>
  <c r="G639" i="41" s="1"/>
  <c r="F635" i="41" a="1"/>
  <c r="F635" i="41" s="1"/>
  <c r="J630" i="41" a="1"/>
  <c r="J630" i="41" s="1"/>
  <c r="AF631" i="41" a="1"/>
  <c r="AF631" i="41" s="1"/>
  <c r="AF637" i="41" a="1"/>
  <c r="AF637" i="41" s="1"/>
  <c r="H629" i="41" a="1"/>
  <c r="H629" i="41" s="1"/>
  <c r="R629" i="41" a="1"/>
  <c r="R629" i="41" s="1"/>
  <c r="N623" i="41" a="1"/>
  <c r="N623" i="41" s="1"/>
  <c r="K630" i="41" a="1"/>
  <c r="K630" i="41" s="1"/>
  <c r="AE635" i="41" a="1"/>
  <c r="AE635" i="41" s="1"/>
  <c r="E630" i="41" a="1"/>
  <c r="E630" i="41" s="1"/>
  <c r="AA639" i="41" a="1"/>
  <c r="AA639" i="41" s="1"/>
  <c r="Z634" i="41" a="1"/>
  <c r="Z634" i="41" s="1"/>
  <c r="L626" i="41" a="1"/>
  <c r="L626" i="41" s="1"/>
  <c r="AD638" i="41" a="1"/>
  <c r="AD638" i="41" s="1"/>
  <c r="AE631" i="41" a="1"/>
  <c r="AE631" i="41" s="1"/>
  <c r="S639" i="41" a="1"/>
  <c r="S639" i="41" s="1"/>
  <c r="N636" i="41" a="1"/>
  <c r="N636" i="41" s="1"/>
  <c r="S622" i="41" a="1"/>
  <c r="S622" i="41" s="1"/>
  <c r="F639" i="41" a="1"/>
  <c r="F639" i="41" s="1"/>
  <c r="T637" i="41" a="1"/>
  <c r="T637" i="41" s="1"/>
  <c r="L633" i="41" a="1"/>
  <c r="L633" i="41" s="1"/>
  <c r="N625" i="41" a="1"/>
  <c r="N625" i="41" s="1"/>
  <c r="O624" i="41" a="1"/>
  <c r="O624" i="41" s="1"/>
  <c r="AE639" i="41" a="1"/>
  <c r="AE639" i="41" s="1"/>
  <c r="AE638" i="41" a="1"/>
  <c r="AE638" i="41" s="1"/>
  <c r="U634" i="41" a="1"/>
  <c r="U634" i="41" s="1"/>
  <c r="Y622" i="41" a="1"/>
  <c r="Y622" i="41" s="1"/>
  <c r="K631" i="41" a="1"/>
  <c r="K631" i="41" s="1"/>
  <c r="I632" i="41" a="1"/>
  <c r="I632" i="41" s="1"/>
  <c r="AF638" i="41" a="1"/>
  <c r="AF638" i="41" s="1"/>
  <c r="Z627" i="41" a="1"/>
  <c r="Z627" i="41" s="1"/>
  <c r="O635" i="41" a="1"/>
  <c r="O635" i="41" s="1"/>
  <c r="M624" i="41" a="1"/>
  <c r="M624" i="41" s="1"/>
  <c r="AD631" i="41" a="1"/>
  <c r="AD631" i="41" s="1"/>
  <c r="M637" i="41" a="1"/>
  <c r="M637" i="41" s="1"/>
  <c r="X625" i="41" a="1"/>
  <c r="X625" i="41" s="1"/>
  <c r="P635" i="41" a="1"/>
  <c r="P635" i="41" s="1"/>
  <c r="F628" i="41" a="1"/>
  <c r="F628" i="41" s="1"/>
  <c r="U637" i="41" a="1"/>
  <c r="U637" i="41" s="1"/>
  <c r="O636" i="41" a="1"/>
  <c r="O636" i="41" s="1"/>
  <c r="Z631" i="41" a="1"/>
  <c r="Z631" i="41" s="1"/>
  <c r="X636" i="41" a="1"/>
  <c r="X636" i="41" s="1"/>
  <c r="G630" i="41" a="1"/>
  <c r="G630" i="41" s="1"/>
  <c r="V620" i="41" a="1"/>
  <c r="V620" i="41" s="1"/>
  <c r="V641" i="41" s="1"/>
  <c r="Y629" i="41" a="1"/>
  <c r="Y629" i="41" s="1"/>
  <c r="U628" i="41" a="1"/>
  <c r="U628" i="41" s="1"/>
  <c r="V625" i="41" a="1"/>
  <c r="V625" i="41" s="1"/>
  <c r="R622" i="41" a="1"/>
  <c r="R622" i="41" s="1"/>
  <c r="Y630" i="41" a="1"/>
  <c r="Y630" i="41" s="1"/>
  <c r="H630" i="41" a="1"/>
  <c r="H630" i="41" s="1"/>
  <c r="N632" i="41" a="1"/>
  <c r="N632" i="41" s="1"/>
  <c r="L622" i="41" a="1"/>
  <c r="L622" i="41" s="1"/>
  <c r="P625" i="41" a="1"/>
  <c r="P625" i="41" s="1"/>
  <c r="K622" i="41" a="1"/>
  <c r="K622" i="41" s="1"/>
  <c r="AF635" i="41" a="1"/>
  <c r="AF635" i="41" s="1"/>
  <c r="P631" i="41" a="1"/>
  <c r="P631" i="41" s="1"/>
  <c r="Q620" i="41" a="1"/>
  <c r="Q620" i="41" s="1"/>
  <c r="Q641" i="41" s="1"/>
  <c r="R625" i="41" a="1"/>
  <c r="R625" i="41" s="1"/>
  <c r="E625" i="41" a="1"/>
  <c r="E625" i="41" s="1"/>
  <c r="AA634" i="41" a="1"/>
  <c r="AA634" i="41" s="1"/>
  <c r="Y632" i="41" a="1"/>
  <c r="Y632" i="41" s="1"/>
  <c r="AF633" i="41" a="1"/>
  <c r="AF633" i="41" s="1"/>
  <c r="L620" i="41" a="1"/>
  <c r="L620" i="41" s="1"/>
  <c r="L641" i="41" s="1"/>
  <c r="S629" i="41" a="1"/>
  <c r="S629" i="41" s="1"/>
  <c r="AA626" i="41" a="1"/>
  <c r="AA626" i="41" s="1"/>
  <c r="AD629" i="41" a="1"/>
  <c r="AD629" i="41" s="1"/>
  <c r="AE629" i="41" a="1"/>
  <c r="AE629" i="41" s="1"/>
  <c r="Y639" i="41" a="1"/>
  <c r="Y639" i="41" s="1"/>
  <c r="AE624" i="41" a="1"/>
  <c r="AE624" i="41" s="1"/>
  <c r="I623" i="41" a="1"/>
  <c r="I623" i="41" s="1"/>
  <c r="Z635" i="41" a="1"/>
  <c r="Z635" i="41" s="1"/>
  <c r="AC636" i="41" a="1"/>
  <c r="AC636" i="41" s="1"/>
  <c r="E636" i="41" a="1"/>
  <c r="E636" i="41" s="1"/>
  <c r="U635" i="41" a="1"/>
  <c r="U635" i="41" s="1"/>
  <c r="U639" i="41" a="1"/>
  <c r="U639" i="41" s="1"/>
  <c r="Z636" i="41" a="1"/>
  <c r="Z636" i="41" s="1"/>
  <c r="G629" i="41" a="1"/>
  <c r="G629" i="41" s="1"/>
  <c r="L637" i="41" a="1"/>
  <c r="L637" i="41" s="1"/>
  <c r="M635" i="41" a="1"/>
  <c r="M635" i="41" s="1"/>
  <c r="AC627" i="41" a="1"/>
  <c r="AC627" i="41" s="1"/>
  <c r="AA635" i="41" a="1"/>
  <c r="AA635" i="41" s="1"/>
  <c r="Y620" i="41" a="1"/>
  <c r="Y620" i="41" s="1"/>
  <c r="Y641" i="41" s="1"/>
  <c r="U626" i="41" a="1"/>
  <c r="U626" i="41" s="1"/>
  <c r="H635" i="41" a="1"/>
  <c r="H635" i="41" s="1"/>
  <c r="F620" i="41" a="1"/>
  <c r="F620" i="41" s="1"/>
  <c r="F641" i="41" s="1"/>
  <c r="I622" i="41" a="1"/>
  <c r="I622" i="41" s="1"/>
  <c r="AA632" i="41" a="1"/>
  <c r="AA632" i="41" s="1"/>
  <c r="Y627" i="41" a="1"/>
  <c r="Y627" i="41" s="1"/>
  <c r="L636" i="41" a="1"/>
  <c r="L636" i="41" s="1"/>
  <c r="I631" i="41" a="1"/>
  <c r="I631" i="41" s="1"/>
  <c r="L639" i="41" a="1"/>
  <c r="L639" i="41" s="1"/>
  <c r="K620" i="41" a="1"/>
  <c r="K620" i="41" s="1"/>
  <c r="K641" i="41" s="1"/>
  <c r="V622" i="41" a="1"/>
  <c r="V622" i="41" s="1"/>
  <c r="E621" i="41" a="1"/>
  <c r="E621" i="41" s="1"/>
  <c r="S631" i="41" a="1"/>
  <c r="S631" i="41" s="1"/>
  <c r="R635" i="41" a="1"/>
  <c r="R635" i="41" s="1"/>
  <c r="T627" i="41" a="1"/>
  <c r="T627" i="41" s="1"/>
  <c r="H632" i="41" a="1"/>
  <c r="H632" i="41" s="1"/>
  <c r="AF639" i="41" a="1"/>
  <c r="AF639" i="41" s="1"/>
  <c r="Q638" i="41" a="1"/>
  <c r="Q638" i="41" s="1"/>
  <c r="L630" i="41" a="1"/>
  <c r="L630" i="41" s="1"/>
  <c r="P628" i="41" a="1"/>
  <c r="P628" i="41" s="1"/>
  <c r="X632" i="41" a="1"/>
  <c r="X632" i="41" s="1"/>
  <c r="R638" i="41" a="1"/>
  <c r="R638" i="41" s="1"/>
  <c r="M630" i="41" a="1"/>
  <c r="M630" i="41" s="1"/>
  <c r="M620" i="41" a="1"/>
  <c r="M620" i="41" s="1"/>
  <c r="M641" i="41" s="1"/>
  <c r="T636" i="41" a="1"/>
  <c r="T636" i="41" s="1"/>
  <c r="R636" i="41" a="1"/>
  <c r="R636" i="41" s="1"/>
  <c r="P639" i="41" a="1"/>
  <c r="P639" i="41" s="1"/>
  <c r="L625" i="41" a="1"/>
  <c r="L625" i="41" s="1"/>
  <c r="Y626" i="41" a="1"/>
  <c r="Y626" i="41" s="1"/>
  <c r="N633" i="41" a="1"/>
  <c r="N633" i="41" s="1"/>
  <c r="K634" i="41" a="1"/>
  <c r="K634" i="41" s="1"/>
  <c r="L627" i="41" a="1"/>
  <c r="L627" i="41" s="1"/>
  <c r="AE623" i="41" a="1"/>
  <c r="AE623" i="41" s="1"/>
  <c r="S630" i="41" a="1"/>
  <c r="S630" i="41" s="1"/>
  <c r="O625" i="41" a="1"/>
  <c r="O625" i="41" s="1"/>
  <c r="O631" i="41" a="1"/>
  <c r="O631" i="41" s="1"/>
  <c r="V636" i="41" a="1"/>
  <c r="V636" i="41" s="1"/>
  <c r="W637" i="41" a="1"/>
  <c r="W637" i="41" s="1"/>
  <c r="G622" i="41" a="1"/>
  <c r="G622" i="41" s="1"/>
  <c r="Z630" i="41" a="1"/>
  <c r="Z630" i="41" s="1"/>
  <c r="E624" i="41" a="1"/>
  <c r="E624" i="41" s="1"/>
  <c r="E635" i="41" a="1"/>
  <c r="E635" i="41" s="1"/>
  <c r="Y628" i="41" a="1"/>
  <c r="Y628" i="41" s="1"/>
  <c r="AA636" i="41" a="1"/>
  <c r="AA636" i="41" s="1"/>
  <c r="AD628" i="41" a="1"/>
  <c r="AD628" i="41" s="1"/>
  <c r="T634" i="41" a="1"/>
  <c r="T634" i="41" s="1"/>
  <c r="Z629" i="41" a="1"/>
  <c r="Z629" i="41" s="1"/>
  <c r="S633" i="41" a="1"/>
  <c r="S633" i="41" s="1"/>
  <c r="AB629" i="41" a="1"/>
  <c r="AB629" i="41" s="1"/>
  <c r="X631" i="41" a="1"/>
  <c r="X631" i="41" s="1"/>
  <c r="AB623" i="41" a="1"/>
  <c r="AB623" i="41" s="1"/>
  <c r="G626" i="41" a="1"/>
  <c r="G626" i="41" s="1"/>
  <c r="F624" i="41" a="1"/>
  <c r="F624" i="41" s="1"/>
  <c r="T629" i="41" a="1"/>
  <c r="T629" i="41" s="1"/>
  <c r="T638" i="41" a="1"/>
  <c r="T638" i="41" s="1"/>
  <c r="J639" i="41" a="1"/>
  <c r="J639" i="41" s="1"/>
  <c r="R620" i="41" a="1"/>
  <c r="R620" i="41" s="1"/>
  <c r="R641" i="41" s="1"/>
  <c r="AD633" i="41" a="1"/>
  <c r="AD633" i="41" s="1"/>
  <c r="R639" i="41" a="1"/>
  <c r="R639" i="41" s="1"/>
  <c r="H628" i="41" a="1"/>
  <c r="H628" i="41" s="1"/>
  <c r="W628" i="41" a="1"/>
  <c r="W628" i="41" s="1"/>
  <c r="H622" i="41" a="1"/>
  <c r="H622" i="41" s="1"/>
  <c r="K632" i="41" a="1"/>
  <c r="K632" i="41" s="1"/>
  <c r="O634" i="41" a="1"/>
  <c r="O634" i="41" s="1"/>
  <c r="AC623" i="41" a="1"/>
  <c r="AC623" i="41" s="1"/>
  <c r="AA631" i="41" a="1"/>
  <c r="AA631" i="41" s="1"/>
  <c r="AC624" i="41" a="1"/>
  <c r="AC624" i="41" s="1"/>
  <c r="X635" i="41" a="1"/>
  <c r="X635" i="41" s="1"/>
  <c r="K637" i="41" a="1"/>
  <c r="K637" i="41" s="1"/>
  <c r="M628" i="41" a="1"/>
  <c r="M628" i="41" s="1"/>
  <c r="V624" i="41" a="1"/>
  <c r="V624" i="41" s="1"/>
  <c r="G623" i="41" a="1"/>
  <c r="G623" i="41" s="1"/>
  <c r="W624" i="41" a="1"/>
  <c r="W624" i="41" s="1"/>
  <c r="W633" i="41" a="1"/>
  <c r="W633" i="41" s="1"/>
  <c r="J635" i="41" a="1"/>
  <c r="J635" i="41" s="1"/>
  <c r="AC637" i="41" a="1"/>
  <c r="AC637" i="41" s="1"/>
  <c r="N627" i="41" a="1"/>
  <c r="N627" i="41" s="1"/>
  <c r="J624" i="41" a="1"/>
  <c r="J624" i="41" s="1"/>
  <c r="Z637" i="41" a="1"/>
  <c r="Z637" i="41" s="1"/>
  <c r="N634" i="41" a="1"/>
  <c r="N634" i="41" s="1"/>
  <c r="P629" i="41" a="1"/>
  <c r="P629" i="41" s="1"/>
  <c r="P634" i="41" a="1"/>
  <c r="P634" i="41" s="1"/>
  <c r="L623" i="41" a="1"/>
  <c r="L623" i="41" s="1"/>
  <c r="P626" i="41" a="1"/>
  <c r="P626" i="41" s="1"/>
  <c r="AC621" i="41" a="1"/>
  <c r="AC621" i="41" s="1"/>
  <c r="AA629" i="41" a="1"/>
  <c r="AA629" i="41" s="1"/>
  <c r="O629" i="41" a="1"/>
  <c r="O629" i="41" s="1"/>
  <c r="G636" i="41" a="1"/>
  <c r="G636" i="41" s="1"/>
  <c r="V628" i="41" a="1"/>
  <c r="V628" i="41" s="1"/>
  <c r="Q625" i="41" a="1"/>
  <c r="Q625" i="41" s="1"/>
  <c r="O622" i="41" a="1"/>
  <c r="O622" i="41" s="1"/>
  <c r="AA630" i="41" a="1"/>
  <c r="AA630" i="41" s="1"/>
  <c r="T633" i="41" a="1"/>
  <c r="T633" i="41" s="1"/>
  <c r="AA628" i="41" a="1"/>
  <c r="AA628" i="41" s="1"/>
  <c r="L629" i="41" a="1"/>
  <c r="L629" i="41" s="1"/>
  <c r="J631" i="41" a="1"/>
  <c r="J631" i="41" s="1"/>
  <c r="U627" i="41" a="1"/>
  <c r="U627" i="41" s="1"/>
  <c r="Q621" i="41" a="1"/>
  <c r="Q621" i="41" s="1"/>
  <c r="Y631" i="41" a="1"/>
  <c r="Y631" i="41" s="1"/>
  <c r="S627" i="41" a="1"/>
  <c r="S627" i="41" s="1"/>
  <c r="G632" i="41" a="1"/>
  <c r="G632" i="41" s="1"/>
  <c r="V623" i="41" a="1"/>
  <c r="V623" i="41" s="1"/>
  <c r="I634" i="41" a="1"/>
  <c r="I634" i="41" s="1"/>
  <c r="V633" i="41" a="1"/>
  <c r="V633" i="41" s="1"/>
  <c r="AA622" i="41" a="1"/>
  <c r="AA622" i="41" s="1"/>
  <c r="W635" i="41" a="1"/>
  <c r="W635" i="41" s="1"/>
  <c r="AB634" i="41" a="1"/>
  <c r="AB634" i="41" s="1"/>
  <c r="U630" i="41" a="1"/>
  <c r="U630" i="41" s="1"/>
  <c r="V635" i="41" a="1"/>
  <c r="V635" i="41" s="1"/>
  <c r="AF634" i="41" a="1"/>
  <c r="AF634" i="41" s="1"/>
  <c r="T635" i="41" a="1"/>
  <c r="T635" i="41" s="1"/>
  <c r="W622" i="41" a="1"/>
  <c r="W622" i="41" s="1"/>
  <c r="AB636" i="41" a="1"/>
  <c r="AB636" i="41" s="1"/>
  <c r="Z628" i="41" a="1"/>
  <c r="Z628" i="41" s="1"/>
  <c r="K633" i="41" a="1"/>
  <c r="K633" i="41" s="1"/>
  <c r="F631" i="41" a="1"/>
  <c r="F631" i="41" s="1"/>
  <c r="S635" i="41" a="1"/>
  <c r="S635" i="41" s="1"/>
  <c r="G628" i="41" a="1"/>
  <c r="G628" i="41" s="1"/>
  <c r="P638" i="41" a="1"/>
  <c r="P638" i="41" s="1"/>
  <c r="AE625" i="41" a="1"/>
  <c r="AE625" i="41" s="1"/>
  <c r="F632" i="41" a="1"/>
  <c r="F632" i="41" s="1"/>
  <c r="T623" i="41" a="1"/>
  <c r="T623" i="41" s="1"/>
  <c r="AF620" i="41" a="1"/>
  <c r="AF620" i="41" s="1"/>
  <c r="AF641" i="41" s="1"/>
  <c r="T622" i="41" a="1"/>
  <c r="T622" i="41" s="1"/>
  <c r="S625" i="41" a="1"/>
  <c r="S625" i="41" s="1"/>
  <c r="N622" i="41" a="1"/>
  <c r="N622" i="41" s="1"/>
  <c r="I625" i="41" a="1"/>
  <c r="I625" i="41" s="1"/>
  <c r="AC626" i="41" a="1"/>
  <c r="AC626" i="41" s="1"/>
  <c r="R633" i="41" a="1"/>
  <c r="R633" i="41" s="1"/>
  <c r="P633" i="41" a="1"/>
  <c r="P633" i="41" s="1"/>
  <c r="AD627" i="41" a="1"/>
  <c r="AD627" i="41" s="1"/>
  <c r="M622" i="41" a="1"/>
  <c r="M622" i="41" s="1"/>
  <c r="X622" i="41" a="1"/>
  <c r="X622" i="41" s="1"/>
  <c r="U620" i="41" a="1"/>
  <c r="U620" i="41" s="1"/>
  <c r="U641" i="41" s="1"/>
  <c r="F626" i="41" a="1"/>
  <c r="F626" i="41" s="1"/>
  <c r="G621" i="41" a="1"/>
  <c r="G621" i="41" s="1"/>
  <c r="AA627" i="41" a="1"/>
  <c r="AA627" i="41" s="1"/>
  <c r="O638" i="41" a="1"/>
  <c r="O638" i="41" s="1"/>
  <c r="I621" i="41" a="1"/>
  <c r="I621" i="41" s="1"/>
  <c r="W639" i="41" a="1"/>
  <c r="W639" i="41" s="1"/>
  <c r="AA625" i="41" a="1"/>
  <c r="AA625" i="41" s="1"/>
  <c r="F629" i="41" a="1"/>
  <c r="F629" i="41" s="1"/>
  <c r="W632" i="41" a="1"/>
  <c r="W632" i="41" s="1"/>
  <c r="X639" i="41" a="1"/>
  <c r="X639" i="41" s="1"/>
  <c r="Q622" i="41" a="1"/>
  <c r="Q622" i="41" s="1"/>
  <c r="E637" i="41" a="1"/>
  <c r="E637" i="41" s="1"/>
  <c r="AD620" i="41" a="1"/>
  <c r="AD620" i="41" s="1"/>
  <c r="AD641" i="41" s="1"/>
  <c r="U633" i="41" a="1"/>
  <c r="U633" i="41" s="1"/>
  <c r="G627" i="41" a="1"/>
  <c r="G627" i="41" s="1"/>
  <c r="W627" i="41" a="1"/>
  <c r="W627" i="41" s="1"/>
  <c r="Q627" i="41" a="1"/>
  <c r="Q627" i="41" s="1"/>
  <c r="Y621" i="41" a="1"/>
  <c r="Y621" i="41" s="1"/>
  <c r="S632" i="41" a="1"/>
  <c r="S632" i="41" s="1"/>
  <c r="Y637" i="41" a="1"/>
  <c r="Y637" i="41" s="1"/>
  <c r="X623" i="41" a="1"/>
  <c r="X623" i="41" s="1"/>
  <c r="P630" i="41" a="1"/>
  <c r="P630" i="41" s="1"/>
  <c r="R623" i="41" a="1"/>
  <c r="R623" i="41" s="1"/>
  <c r="X627" i="41" a="1"/>
  <c r="X627" i="41" s="1"/>
  <c r="R627" i="41" a="1"/>
  <c r="R627" i="41" s="1"/>
  <c r="G624" i="41" a="1"/>
  <c r="G624" i="41" s="1"/>
  <c r="AC629" i="41" a="1"/>
  <c r="AC629" i="41" s="1"/>
  <c r="K629" i="41" a="1"/>
  <c r="K629" i="41" s="1"/>
  <c r="S638" i="41" a="1"/>
  <c r="S638" i="41" s="1"/>
  <c r="U218" i="58"/>
  <c r="W218" i="58"/>
  <c r="AK218" i="58"/>
  <c r="AD218" i="58"/>
  <c r="O218" i="58"/>
  <c r="Z218" i="58"/>
  <c r="AB218" i="58"/>
  <c r="K218" i="58"/>
  <c r="R218" i="58"/>
  <c r="AC218" i="58"/>
  <c r="S218" i="58"/>
  <c r="X218" i="58"/>
  <c r="M218" i="58"/>
  <c r="L218" i="58"/>
  <c r="AK220" i="58"/>
  <c r="U220" i="58"/>
  <c r="Z220" i="58"/>
  <c r="AD220" i="58"/>
  <c r="AB220" i="58"/>
  <c r="K220" i="58"/>
  <c r="W220" i="58"/>
  <c r="AC220" i="58"/>
  <c r="S220" i="58"/>
  <c r="R220" i="58"/>
  <c r="O220" i="58"/>
  <c r="X220" i="58"/>
  <c r="M220" i="58"/>
  <c r="L220" i="58"/>
  <c r="AK217" i="58"/>
  <c r="AD217" i="58"/>
  <c r="K217" i="58"/>
  <c r="S217" i="58"/>
  <c r="R217" i="58"/>
  <c r="M217" i="58"/>
  <c r="Z217" i="58"/>
  <c r="O217" i="58"/>
  <c r="L217" i="58"/>
  <c r="X217" i="58"/>
  <c r="AB217" i="58"/>
  <c r="U217" i="58"/>
  <c r="W217" i="58"/>
  <c r="AC217" i="58"/>
  <c r="L219" i="58"/>
  <c r="Z219" i="58"/>
  <c r="K219" i="58"/>
  <c r="AK219" i="58"/>
  <c r="AD219" i="58"/>
  <c r="X219" i="58"/>
  <c r="AB219" i="58"/>
  <c r="O219" i="58"/>
  <c r="R219" i="58"/>
  <c r="AC219" i="58"/>
  <c r="S219" i="58"/>
  <c r="M219" i="58"/>
  <c r="U219" i="58"/>
  <c r="W219" i="58"/>
  <c r="S225" i="58"/>
  <c r="S226" i="58"/>
  <c r="AA226" i="58"/>
  <c r="AA225" i="58"/>
  <c r="AH226" i="58"/>
  <c r="AH225" i="58"/>
  <c r="P226" i="58"/>
  <c r="P225" i="58"/>
  <c r="AL226" i="58"/>
  <c r="AL225" i="58"/>
  <c r="T225" i="58"/>
  <c r="T226" i="58"/>
  <c r="AI226" i="58"/>
  <c r="AI225" i="58"/>
  <c r="V225" i="58"/>
  <c r="V226" i="58"/>
  <c r="AF226" i="58"/>
  <c r="AF225" i="58"/>
  <c r="AK226" i="58"/>
  <c r="AK225" i="58"/>
  <c r="N226" i="58"/>
  <c r="N225" i="58"/>
  <c r="Q226" i="58"/>
  <c r="Q225" i="58"/>
  <c r="AG225" i="58"/>
  <c r="AG226" i="58"/>
  <c r="W225" i="58"/>
  <c r="W226" i="58"/>
  <c r="U226" i="58"/>
  <c r="U225" i="58"/>
  <c r="K226" i="58"/>
  <c r="K225" i="58"/>
  <c r="Y225" i="58"/>
  <c r="Y226" i="58"/>
  <c r="Z225" i="58"/>
  <c r="Z226" i="58"/>
  <c r="M225" i="58"/>
  <c r="M226" i="58"/>
  <c r="AB226" i="58"/>
  <c r="AB225" i="58"/>
  <c r="AC226" i="58"/>
  <c r="AC225" i="58"/>
  <c r="AJ226" i="58"/>
  <c r="AJ225" i="58"/>
  <c r="R226" i="58"/>
  <c r="R225" i="58"/>
  <c r="AE226" i="58"/>
  <c r="AE225" i="58"/>
  <c r="X225" i="58"/>
  <c r="X226" i="58"/>
  <c r="O226" i="58"/>
  <c r="O225" i="58"/>
  <c r="E27" i="38"/>
  <c r="E18" i="38"/>
  <c r="O78" i="64"/>
  <c r="E30" i="38"/>
  <c r="E25" i="38"/>
  <c r="AF28" i="64"/>
  <c r="AF85" i="64" s="1"/>
  <c r="O28" i="64"/>
  <c r="O85" i="64" s="1"/>
  <c r="E38" i="38"/>
  <c r="O22" i="64"/>
  <c r="O79" i="64" s="1"/>
  <c r="E26" i="38"/>
  <c r="O26" i="64"/>
  <c r="O83" i="64" s="1"/>
  <c r="E17" i="38"/>
  <c r="E19" i="38"/>
  <c r="E37" i="38"/>
  <c r="E32" i="38"/>
  <c r="AF69" i="64"/>
  <c r="AF120" i="64" s="1"/>
  <c r="Z62" i="64"/>
  <c r="Z113" i="64" s="1"/>
  <c r="AE22" i="64"/>
  <c r="AE79" i="64" s="1"/>
  <c r="K107" i="55"/>
  <c r="Z44" i="64"/>
  <c r="Z42" i="64"/>
  <c r="Z45" i="64"/>
  <c r="Z43" i="64"/>
  <c r="Z47" i="64"/>
  <c r="Z46" i="64"/>
  <c r="K102" i="55"/>
  <c r="Z69" i="64"/>
  <c r="Z120" i="64" s="1"/>
  <c r="Z48" i="64"/>
  <c r="Z49" i="64"/>
  <c r="AF48" i="64"/>
  <c r="AF102" i="64" s="1"/>
  <c r="AE28" i="64"/>
  <c r="AE85" i="64" s="1"/>
  <c r="AF67" i="64"/>
  <c r="AF118" i="64" s="1"/>
  <c r="AF45" i="64"/>
  <c r="AF99" i="64" s="1"/>
  <c r="AE27" i="64"/>
  <c r="AE84" i="64" s="1"/>
  <c r="AF42" i="64"/>
  <c r="AF96" i="64" s="1"/>
  <c r="AE23" i="64"/>
  <c r="AE80" i="64" s="1"/>
  <c r="AF43" i="64"/>
  <c r="AF97" i="64" s="1"/>
  <c r="AF46" i="64"/>
  <c r="AF100" i="64" s="1"/>
  <c r="AE29" i="64"/>
  <c r="AE86" i="64" s="1"/>
  <c r="Z64" i="64"/>
  <c r="Z115" i="64" s="1"/>
  <c r="O23" i="64"/>
  <c r="O80" i="64" s="1"/>
  <c r="AE26" i="64"/>
  <c r="AE83" i="64" s="1"/>
  <c r="AE78" i="64"/>
  <c r="K94" i="55"/>
  <c r="O66" i="64"/>
  <c r="O117" i="64" s="1"/>
  <c r="AF95" i="64"/>
  <c r="O24" i="64"/>
  <c r="O81" i="64" s="1"/>
  <c r="O25" i="64"/>
  <c r="O82" i="64" s="1"/>
  <c r="K106" i="55"/>
  <c r="AF49" i="64"/>
  <c r="AF103" i="64" s="1"/>
  <c r="AE24" i="64"/>
  <c r="AE81" i="64" s="1"/>
  <c r="Z24" i="64"/>
  <c r="Z81" i="64" s="1"/>
  <c r="AI46" i="64"/>
  <c r="AI27" i="64"/>
  <c r="AI63" i="64"/>
  <c r="Z23" i="64"/>
  <c r="Z80" i="64" s="1"/>
  <c r="AI49" i="64"/>
  <c r="Q26" i="64"/>
  <c r="Q65" i="64"/>
  <c r="Q49" i="64"/>
  <c r="AF27" i="64"/>
  <c r="AF84" i="64" s="1"/>
  <c r="Q63" i="64"/>
  <c r="AE45" i="64"/>
  <c r="AE99" i="64" s="1"/>
  <c r="K95" i="55"/>
  <c r="AF65" i="64"/>
  <c r="AF116" i="64" s="1"/>
  <c r="O68" i="64"/>
  <c r="O119" i="64" s="1"/>
  <c r="K105" i="55"/>
  <c r="AF66" i="64"/>
  <c r="AF117" i="64" s="1"/>
  <c r="O46" i="64"/>
  <c r="O100" i="64" s="1"/>
  <c r="V27" i="64"/>
  <c r="V84" i="64" s="1"/>
  <c r="AI67" i="64"/>
  <c r="Z65" i="64"/>
  <c r="Z116" i="64" s="1"/>
  <c r="O48" i="64"/>
  <c r="O102" i="64" s="1"/>
  <c r="S67" i="64"/>
  <c r="S23" i="64"/>
  <c r="E21" i="38"/>
  <c r="Q23" i="64"/>
  <c r="E33" i="38"/>
  <c r="AE25" i="64"/>
  <c r="AE82" i="64" s="1"/>
  <c r="Y28" i="64"/>
  <c r="Y85" i="64" s="1"/>
  <c r="AB66" i="64"/>
  <c r="AH45" i="64"/>
  <c r="AI29" i="64"/>
  <c r="O64" i="64"/>
  <c r="O115" i="64" s="1"/>
  <c r="O62" i="64"/>
  <c r="O113" i="64" s="1"/>
  <c r="O65" i="64"/>
  <c r="O116" i="64" s="1"/>
  <c r="AI69" i="64"/>
  <c r="I40" i="38"/>
  <c r="AI45" i="64"/>
  <c r="O45" i="64"/>
  <c r="O99" i="64" s="1"/>
  <c r="T40" i="38"/>
  <c r="Z67" i="64"/>
  <c r="Z118" i="64" s="1"/>
  <c r="S66" i="64"/>
  <c r="E31" i="38"/>
  <c r="K91" i="55"/>
  <c r="Z22" i="64"/>
  <c r="Z79" i="64" s="1"/>
  <c r="K40" i="38"/>
  <c r="K85" i="55"/>
  <c r="S47" i="64"/>
  <c r="AF112" i="64"/>
  <c r="AF68" i="64"/>
  <c r="AF119" i="64" s="1"/>
  <c r="E24" i="38"/>
  <c r="E35" i="38"/>
  <c r="K104" i="55"/>
  <c r="AI26" i="64"/>
  <c r="AI43" i="64"/>
  <c r="O43" i="64"/>
  <c r="O97" i="64" s="1"/>
  <c r="S24" i="64"/>
  <c r="K89" i="55"/>
  <c r="K112" i="55"/>
  <c r="O27" i="64"/>
  <c r="O84" i="64" s="1"/>
  <c r="O42" i="64"/>
  <c r="O96" i="64" s="1"/>
  <c r="AF47" i="64"/>
  <c r="AF101" i="64" s="1"/>
  <c r="E16" i="38"/>
  <c r="E23" i="38"/>
  <c r="AF64" i="64"/>
  <c r="AF115" i="64" s="1"/>
  <c r="S43" i="64"/>
  <c r="E28" i="38"/>
  <c r="AE112" i="64"/>
  <c r="K92" i="55"/>
  <c r="Z28" i="64"/>
  <c r="Z85" i="64" s="1"/>
  <c r="AF63" i="64"/>
  <c r="AF114" i="64" s="1"/>
  <c r="S42" i="64"/>
  <c r="O29" i="64"/>
  <c r="O86" i="64" s="1"/>
  <c r="AF62" i="64"/>
  <c r="AF113" i="64" s="1"/>
  <c r="AF44" i="64"/>
  <c r="AF98" i="64" s="1"/>
  <c r="Z27" i="64"/>
  <c r="Z84" i="64" s="1"/>
  <c r="Z112" i="64"/>
  <c r="Q45" i="64"/>
  <c r="Z26" i="64"/>
  <c r="Z83" i="64" s="1"/>
  <c r="E22" i="38"/>
  <c r="Z25" i="64"/>
  <c r="Z82" i="64" s="1"/>
  <c r="Z66" i="64"/>
  <c r="Z117" i="64" s="1"/>
  <c r="Z68" i="64"/>
  <c r="Z119" i="64" s="1"/>
  <c r="Z78" i="64"/>
  <c r="O67" i="64"/>
  <c r="O118" i="64" s="1"/>
  <c r="Z63" i="64"/>
  <c r="Z114" i="64" s="1"/>
  <c r="Q42" i="64"/>
  <c r="Z29" i="64"/>
  <c r="Z86" i="64" s="1"/>
  <c r="AF22" i="64"/>
  <c r="AF79" i="64" s="1"/>
  <c r="Q69" i="64"/>
  <c r="Q29" i="64"/>
  <c r="K110" i="55"/>
  <c r="Q24" i="64"/>
  <c r="AF23" i="64"/>
  <c r="AF80" i="64" s="1"/>
  <c r="S68" i="64"/>
  <c r="AE68" i="64"/>
  <c r="AE119" i="64" s="1"/>
  <c r="S64" i="64"/>
  <c r="S22" i="64"/>
  <c r="AI48" i="64"/>
  <c r="AI47" i="64"/>
  <c r="AI23" i="64"/>
  <c r="Y46" i="64"/>
  <c r="Y100" i="64" s="1"/>
  <c r="Q43" i="64"/>
  <c r="AI44" i="64"/>
  <c r="S25" i="64"/>
  <c r="O95" i="64"/>
  <c r="Q66" i="64"/>
  <c r="K108" i="55"/>
  <c r="AC43" i="64"/>
  <c r="AC97" i="64" s="1"/>
  <c r="AK44" i="64"/>
  <c r="AK65" i="64"/>
  <c r="AK116" i="64" s="1"/>
  <c r="O63" i="64"/>
  <c r="O114" i="64" s="1"/>
  <c r="S65" i="64"/>
  <c r="K111" i="55"/>
  <c r="AI66" i="64"/>
  <c r="K109" i="55"/>
  <c r="O69" i="64"/>
  <c r="O120" i="64" s="1"/>
  <c r="T68" i="64"/>
  <c r="T119" i="64" s="1"/>
  <c r="AE49" i="64"/>
  <c r="AE103" i="64" s="1"/>
  <c r="K84" i="55"/>
  <c r="AC29" i="64"/>
  <c r="AC86" i="64" s="1"/>
  <c r="S29" i="64"/>
  <c r="Q68" i="64"/>
  <c r="M40" i="38"/>
  <c r="K86" i="55"/>
  <c r="K90" i="55"/>
  <c r="AE69" i="64"/>
  <c r="AE120" i="64" s="1"/>
  <c r="O44" i="64"/>
  <c r="O98" i="64" s="1"/>
  <c r="AI65" i="64"/>
  <c r="Q28" i="64"/>
  <c r="AL46" i="64"/>
  <c r="AL100" i="64" s="1"/>
  <c r="R29" i="64"/>
  <c r="Q46" i="64"/>
  <c r="W69" i="64"/>
  <c r="W120" i="64" s="1"/>
  <c r="AB28" i="64"/>
  <c r="AB49" i="64"/>
  <c r="O47" i="64"/>
  <c r="O101" i="64" s="1"/>
  <c r="AE63" i="64"/>
  <c r="AE114" i="64" s="1"/>
  <c r="U43" i="64"/>
  <c r="AA24" i="64"/>
  <c r="AA81" i="64" s="1"/>
  <c r="X64" i="64"/>
  <c r="X115" i="64" s="1"/>
  <c r="K93" i="55"/>
  <c r="AE47" i="64"/>
  <c r="AE101" i="64" s="1"/>
  <c r="AI64" i="64"/>
  <c r="AC40" i="38"/>
  <c r="AI62" i="64"/>
  <c r="Q64" i="64"/>
  <c r="AI28" i="64"/>
  <c r="AH66" i="64"/>
  <c r="AI24" i="64"/>
  <c r="N48" i="64"/>
  <c r="N102" i="64" s="1"/>
  <c r="Q48" i="64"/>
  <c r="AB65" i="64"/>
  <c r="O112" i="64"/>
  <c r="AE64" i="64"/>
  <c r="AE115" i="64" s="1"/>
  <c r="Y64" i="64"/>
  <c r="Y115" i="64" s="1"/>
  <c r="AI68" i="64"/>
  <c r="AI42" i="64"/>
  <c r="AE46" i="64"/>
  <c r="AE100" i="64" s="1"/>
  <c r="AI22" i="64"/>
  <c r="S28" i="64"/>
  <c r="V48" i="64"/>
  <c r="O49" i="64"/>
  <c r="O103" i="64" s="1"/>
  <c r="Q44" i="64"/>
  <c r="S63" i="64"/>
  <c r="AI25" i="64"/>
  <c r="Q27" i="64"/>
  <c r="Q22" i="64"/>
  <c r="AC26" i="64"/>
  <c r="AC83" i="64" s="1"/>
  <c r="Q47" i="64"/>
  <c r="AA48" i="64"/>
  <c r="AA102" i="64" s="1"/>
  <c r="AH68" i="64"/>
  <c r="S69" i="64"/>
  <c r="AE43" i="64"/>
  <c r="AE97" i="64" s="1"/>
  <c r="T25" i="64"/>
  <c r="T82" i="64" s="1"/>
  <c r="N63" i="64"/>
  <c r="N114" i="64" s="1"/>
  <c r="X49" i="64"/>
  <c r="X103" i="64" s="1"/>
  <c r="Q25" i="64"/>
  <c r="AF24" i="64"/>
  <c r="AF81" i="64" s="1"/>
  <c r="AE44" i="64"/>
  <c r="AE98" i="64" s="1"/>
  <c r="Y40" i="38"/>
  <c r="K87" i="55"/>
  <c r="AJ49" i="64"/>
  <c r="AJ103" i="64" s="1"/>
  <c r="AE66" i="64"/>
  <c r="AE117" i="64" s="1"/>
  <c r="AE62" i="64"/>
  <c r="AE113" i="64" s="1"/>
  <c r="K103" i="55"/>
  <c r="S26" i="64"/>
  <c r="AE65" i="64"/>
  <c r="AE116" i="64" s="1"/>
  <c r="L112" i="64"/>
  <c r="T44" i="64"/>
  <c r="T98" i="64" s="1"/>
  <c r="M47" i="64"/>
  <c r="M101" i="64" s="1"/>
  <c r="X46" i="64"/>
  <c r="X100" i="64" s="1"/>
  <c r="V65" i="64"/>
  <c r="V116" i="64" s="1"/>
  <c r="S62" i="64"/>
  <c r="AF29" i="64"/>
  <c r="AF86" i="64" s="1"/>
  <c r="AE48" i="64"/>
  <c r="AE102" i="64" s="1"/>
  <c r="AF78" i="64"/>
  <c r="AE95" i="64"/>
  <c r="AE67" i="64"/>
  <c r="AE118" i="64" s="1"/>
  <c r="AK24" i="64"/>
  <c r="AK81" i="64" s="1"/>
  <c r="U66" i="64"/>
  <c r="U117" i="64" s="1"/>
  <c r="Q67" i="64"/>
  <c r="Q62" i="64"/>
  <c r="AE42" i="64"/>
  <c r="AE96" i="64" s="1"/>
  <c r="N28" i="64"/>
  <c r="N85" i="64" s="1"/>
  <c r="AA69" i="64"/>
  <c r="AA120" i="64" s="1"/>
  <c r="X25" i="64"/>
  <c r="X82" i="64" s="1"/>
  <c r="U23" i="64"/>
  <c r="U80" i="64" s="1"/>
  <c r="W45" i="64"/>
  <c r="W99" i="64" s="1"/>
  <c r="AJ69" i="64"/>
  <c r="AJ120" i="64" s="1"/>
  <c r="AH23" i="64"/>
  <c r="AG23" i="64"/>
  <c r="AG80" i="64" s="1"/>
  <c r="P49" i="64"/>
  <c r="P103" i="64" s="1"/>
  <c r="K88" i="55"/>
  <c r="M25" i="64"/>
  <c r="M82" i="64" s="1"/>
  <c r="AH48" i="64"/>
  <c r="E20" i="38"/>
  <c r="E34" i="38"/>
  <c r="E36" i="38"/>
  <c r="E29" i="38"/>
  <c r="AG28" i="64"/>
  <c r="AG85" i="64" s="1"/>
  <c r="M43" i="64"/>
  <c r="M97" i="64" s="1"/>
  <c r="M24" i="64"/>
  <c r="M81" i="64" s="1"/>
  <c r="U65" i="64"/>
  <c r="U116" i="64" s="1"/>
  <c r="AJ95" i="64"/>
  <c r="AK47" i="64"/>
  <c r="V45" i="64"/>
  <c r="Y27" i="64"/>
  <c r="Y84" i="64" s="1"/>
  <c r="N27" i="64"/>
  <c r="N84" i="64" s="1"/>
  <c r="X63" i="64"/>
  <c r="X114" i="64" s="1"/>
  <c r="M68" i="64"/>
  <c r="M119" i="64" s="1"/>
  <c r="U28" i="64"/>
  <c r="U85" i="64" s="1"/>
  <c r="AC63" i="64"/>
  <c r="AC114" i="64" s="1"/>
  <c r="AK68" i="64"/>
  <c r="AK119" i="64" s="1"/>
  <c r="V42" i="64"/>
  <c r="V78" i="64"/>
  <c r="P40" i="38"/>
  <c r="V22" i="64"/>
  <c r="V79" i="64" s="1"/>
  <c r="Y24" i="64"/>
  <c r="Y81" i="64" s="1"/>
  <c r="N46" i="64"/>
  <c r="N100" i="64" s="1"/>
  <c r="AA63" i="64"/>
  <c r="AA114" i="64" s="1"/>
  <c r="X68" i="64"/>
  <c r="X119" i="64" s="1"/>
  <c r="X48" i="64"/>
  <c r="X102" i="64" s="1"/>
  <c r="W65" i="64"/>
  <c r="W116" i="64" s="1"/>
  <c r="AB24" i="64"/>
  <c r="AB45" i="64"/>
  <c r="AH29" i="64"/>
  <c r="M44" i="64"/>
  <c r="M98" i="64" s="1"/>
  <c r="AJ23" i="64"/>
  <c r="AJ80" i="64" s="1"/>
  <c r="T48" i="64"/>
  <c r="T102" i="64" s="1"/>
  <c r="M29" i="64"/>
  <c r="M86" i="64" s="1"/>
  <c r="M46" i="64"/>
  <c r="M100" i="64" s="1"/>
  <c r="U25" i="64"/>
  <c r="U82" i="64" s="1"/>
  <c r="AJ47" i="64"/>
  <c r="AJ101" i="64" s="1"/>
  <c r="T69" i="64"/>
  <c r="T120" i="64" s="1"/>
  <c r="AC22" i="64"/>
  <c r="AC79" i="64" s="1"/>
  <c r="AC78" i="64"/>
  <c r="W40" i="38"/>
  <c r="AK29" i="64"/>
  <c r="AK86" i="64" s="1"/>
  <c r="V23" i="64"/>
  <c r="V80" i="64" s="1"/>
  <c r="V49" i="64"/>
  <c r="Y47" i="64"/>
  <c r="Y101" i="64" s="1"/>
  <c r="N66" i="64"/>
  <c r="N117" i="64" s="1"/>
  <c r="AA27" i="64"/>
  <c r="AA84" i="64" s="1"/>
  <c r="X29" i="64"/>
  <c r="X86" i="64" s="1"/>
  <c r="X69" i="64"/>
  <c r="X120" i="64" s="1"/>
  <c r="W64" i="64"/>
  <c r="W115" i="64" s="1"/>
  <c r="AB64" i="64"/>
  <c r="AB25" i="64"/>
  <c r="AH47" i="64"/>
  <c r="AD67" i="64"/>
  <c r="AG49" i="64"/>
  <c r="AG103" i="64" s="1"/>
  <c r="AG95" i="64"/>
  <c r="P63" i="64"/>
  <c r="P114" i="64" s="1"/>
  <c r="AL27" i="64"/>
  <c r="AL84" i="64" s="1"/>
  <c r="M42" i="64"/>
  <c r="M96" i="64" s="1"/>
  <c r="M95" i="64"/>
  <c r="U46" i="64"/>
  <c r="AJ28" i="64"/>
  <c r="AJ85" i="64" s="1"/>
  <c r="T23" i="64"/>
  <c r="T80" i="64" s="1"/>
  <c r="AC69" i="64"/>
  <c r="AC120" i="64" s="1"/>
  <c r="AK67" i="64"/>
  <c r="AK118" i="64" s="1"/>
  <c r="V66" i="64"/>
  <c r="V117" i="64" s="1"/>
  <c r="V26" i="64"/>
  <c r="V83" i="64" s="1"/>
  <c r="Y66" i="64"/>
  <c r="Y117" i="64" s="1"/>
  <c r="N24" i="64"/>
  <c r="N81" i="64" s="1"/>
  <c r="X26" i="64"/>
  <c r="X83" i="64" s="1"/>
  <c r="X24" i="64"/>
  <c r="X81" i="64" s="1"/>
  <c r="W27" i="64"/>
  <c r="W84" i="64" s="1"/>
  <c r="AB62" i="64"/>
  <c r="AB23" i="64"/>
  <c r="AH24" i="64"/>
  <c r="R26" i="64"/>
  <c r="U63" i="64"/>
  <c r="U114" i="64" s="1"/>
  <c r="AJ26" i="64"/>
  <c r="AJ83" i="64" s="1"/>
  <c r="T47" i="64"/>
  <c r="T101" i="64" s="1"/>
  <c r="AC46" i="64"/>
  <c r="AC100" i="64" s="1"/>
  <c r="AK49" i="64"/>
  <c r="V67" i="64"/>
  <c r="V118" i="64" s="1"/>
  <c r="V63" i="64"/>
  <c r="V114" i="64" s="1"/>
  <c r="Y68" i="64"/>
  <c r="Y119" i="64" s="1"/>
  <c r="AA45" i="64"/>
  <c r="AA99" i="64" s="1"/>
  <c r="X95" i="64"/>
  <c r="W112" i="64"/>
  <c r="W62" i="64"/>
  <c r="W113" i="64" s="1"/>
  <c r="AB63" i="64"/>
  <c r="AH27" i="64"/>
  <c r="M64" i="64"/>
  <c r="M115" i="64" s="1"/>
  <c r="U42" i="64"/>
  <c r="AJ25" i="64"/>
  <c r="AJ82" i="64" s="1"/>
  <c r="AF26" i="64"/>
  <c r="AF83" i="64" s="1"/>
  <c r="T43" i="64"/>
  <c r="T97" i="64" s="1"/>
  <c r="AC45" i="64"/>
  <c r="AC99" i="64" s="1"/>
  <c r="AK27" i="64"/>
  <c r="AK84" i="64" s="1"/>
  <c r="V47" i="64"/>
  <c r="Y69" i="64"/>
  <c r="Y120" i="64" s="1"/>
  <c r="N29" i="64"/>
  <c r="N86" i="64" s="1"/>
  <c r="AA29" i="64"/>
  <c r="AA86" i="64" s="1"/>
  <c r="X23" i="64"/>
  <c r="X80" i="64" s="1"/>
  <c r="W44" i="64"/>
  <c r="W98" i="64" s="1"/>
  <c r="AB26" i="64"/>
  <c r="AH63" i="64"/>
  <c r="AH22" i="64"/>
  <c r="AB40" i="38"/>
  <c r="M45" i="64"/>
  <c r="M99" i="64" s="1"/>
  <c r="U48" i="64"/>
  <c r="AJ48" i="64"/>
  <c r="AJ102" i="64" s="1"/>
  <c r="T28" i="64"/>
  <c r="T85" i="64" s="1"/>
  <c r="AC67" i="64"/>
  <c r="AC118" i="64" s="1"/>
  <c r="AK46" i="64"/>
  <c r="V28" i="64"/>
  <c r="V85" i="64" s="1"/>
  <c r="S40" i="38"/>
  <c r="Y22" i="64"/>
  <c r="Y79" i="64" s="1"/>
  <c r="Y78" i="64"/>
  <c r="N44" i="64"/>
  <c r="N98" i="64" s="1"/>
  <c r="AA47" i="64"/>
  <c r="AA101" i="64" s="1"/>
  <c r="X43" i="64"/>
  <c r="X97" i="64" s="1"/>
  <c r="W26" i="64"/>
  <c r="W83" i="64" s="1"/>
  <c r="W43" i="64"/>
  <c r="W97" i="64" s="1"/>
  <c r="AB47" i="64"/>
  <c r="AH65" i="64"/>
  <c r="R64" i="64"/>
  <c r="M27" i="64"/>
  <c r="M84" i="64" s="1"/>
  <c r="U27" i="64"/>
  <c r="U84" i="64" s="1"/>
  <c r="AJ64" i="64"/>
  <c r="AJ115" i="64" s="1"/>
  <c r="T45" i="64"/>
  <c r="T99" i="64" s="1"/>
  <c r="AC64" i="64"/>
  <c r="AC115" i="64" s="1"/>
  <c r="AK28" i="64"/>
  <c r="AK85" i="64" s="1"/>
  <c r="V69" i="64"/>
  <c r="V120" i="64" s="1"/>
  <c r="Y65" i="64"/>
  <c r="Y116" i="64" s="1"/>
  <c r="N68" i="64"/>
  <c r="N119" i="64" s="1"/>
  <c r="AA23" i="64"/>
  <c r="AA80" i="64" s="1"/>
  <c r="X67" i="64"/>
  <c r="X118" i="64" s="1"/>
  <c r="W29" i="64"/>
  <c r="W86" i="64" s="1"/>
  <c r="W67" i="64"/>
  <c r="W118" i="64" s="1"/>
  <c r="AB42" i="64"/>
  <c r="AH49" i="64"/>
  <c r="AH69" i="64"/>
  <c r="N26" i="64"/>
  <c r="N83" i="64" s="1"/>
  <c r="W66" i="64"/>
  <c r="W117" i="64" s="1"/>
  <c r="W28" i="64"/>
  <c r="W85" i="64" s="1"/>
  <c r="AB43" i="64"/>
  <c r="AH67" i="64"/>
  <c r="AJ22" i="64"/>
  <c r="AJ79" i="64" s="1"/>
  <c r="AD40" i="38"/>
  <c r="AJ78" i="64"/>
  <c r="AC62" i="64"/>
  <c r="AC113" i="64" s="1"/>
  <c r="AC112" i="64"/>
  <c r="P44" i="64"/>
  <c r="P98" i="64" s="1"/>
  <c r="M69" i="64"/>
  <c r="M120" i="64" s="1"/>
  <c r="U68" i="64"/>
  <c r="U119" i="64" s="1"/>
  <c r="U44" i="64"/>
  <c r="AJ66" i="64"/>
  <c r="AJ117" i="64" s="1"/>
  <c r="T63" i="64"/>
  <c r="T114" i="64" s="1"/>
  <c r="AC23" i="64"/>
  <c r="AC80" i="64" s="1"/>
  <c r="AC48" i="64"/>
  <c r="AC102" i="64" s="1"/>
  <c r="AK23" i="64"/>
  <c r="AK80" i="64" s="1"/>
  <c r="AK25" i="64"/>
  <c r="AK82" i="64" s="1"/>
  <c r="V25" i="64"/>
  <c r="V82" i="64" s="1"/>
  <c r="Y63" i="64"/>
  <c r="Y114" i="64" s="1"/>
  <c r="N67" i="64"/>
  <c r="N118" i="64" s="1"/>
  <c r="N23" i="64"/>
  <c r="N80" i="64" s="1"/>
  <c r="AA64" i="64"/>
  <c r="AA115" i="64" s="1"/>
  <c r="X112" i="64"/>
  <c r="X62" i="64"/>
  <c r="X113" i="64" s="1"/>
  <c r="W48" i="64"/>
  <c r="W102" i="64" s="1"/>
  <c r="W42" i="64"/>
  <c r="W96" i="64" s="1"/>
  <c r="AB29" i="64"/>
  <c r="AH46" i="64"/>
  <c r="P24" i="64"/>
  <c r="P81" i="64" s="1"/>
  <c r="L65" i="64"/>
  <c r="L116" i="64" s="1"/>
  <c r="L44" i="64"/>
  <c r="L98" i="64" s="1"/>
  <c r="AL62" i="64"/>
  <c r="AL113" i="64" s="1"/>
  <c r="S48" i="64"/>
  <c r="R43" i="64"/>
  <c r="M66" i="64"/>
  <c r="M117" i="64" s="1"/>
  <c r="U69" i="64"/>
  <c r="U120" i="64" s="1"/>
  <c r="U67" i="64"/>
  <c r="U118" i="64" s="1"/>
  <c r="AJ63" i="64"/>
  <c r="AJ114" i="64" s="1"/>
  <c r="T64" i="64"/>
  <c r="T115" i="64" s="1"/>
  <c r="AC44" i="64"/>
  <c r="AC98" i="64" s="1"/>
  <c r="AC65" i="64"/>
  <c r="AC116" i="64" s="1"/>
  <c r="AK63" i="64"/>
  <c r="AK114" i="64" s="1"/>
  <c r="AK26" i="64"/>
  <c r="AK83" i="64" s="1"/>
  <c r="V44" i="64"/>
  <c r="Y44" i="64"/>
  <c r="Y98" i="64" s="1"/>
  <c r="N65" i="64"/>
  <c r="N116" i="64" s="1"/>
  <c r="N43" i="64"/>
  <c r="N97" i="64" s="1"/>
  <c r="AA68" i="64"/>
  <c r="AA119" i="64" s="1"/>
  <c r="X45" i="64"/>
  <c r="X99" i="64" s="1"/>
  <c r="W46" i="64"/>
  <c r="W100" i="64" s="1"/>
  <c r="W95" i="64"/>
  <c r="AB46" i="64"/>
  <c r="S27" i="64"/>
  <c r="AH43" i="64"/>
  <c r="U112" i="64"/>
  <c r="U62" i="64"/>
  <c r="U113" i="64" s="1"/>
  <c r="P48" i="64"/>
  <c r="P102" i="64" s="1"/>
  <c r="S44" i="64"/>
  <c r="R46" i="64"/>
  <c r="M22" i="64"/>
  <c r="M79" i="64" s="1"/>
  <c r="G40" i="38"/>
  <c r="M78" i="64"/>
  <c r="U45" i="64"/>
  <c r="U47" i="64"/>
  <c r="AJ27" i="64"/>
  <c r="AJ84" i="64" s="1"/>
  <c r="T26" i="64"/>
  <c r="T83" i="64" s="1"/>
  <c r="AC47" i="64"/>
  <c r="AC101" i="64" s="1"/>
  <c r="AC42" i="64"/>
  <c r="AC96" i="64" s="1"/>
  <c r="AK43" i="64"/>
  <c r="AK48" i="64"/>
  <c r="V62" i="64"/>
  <c r="V113" i="64" s="1"/>
  <c r="V112" i="64"/>
  <c r="Y26" i="64"/>
  <c r="Y83" i="64" s="1"/>
  <c r="N64" i="64"/>
  <c r="N115" i="64" s="1"/>
  <c r="N62" i="64"/>
  <c r="N113" i="64" s="1"/>
  <c r="N112" i="64"/>
  <c r="AA44" i="64"/>
  <c r="AA98" i="64" s="1"/>
  <c r="X65" i="64"/>
  <c r="X116" i="64" s="1"/>
  <c r="W49" i="64"/>
  <c r="W103" i="64" s="1"/>
  <c r="V40" i="38"/>
  <c r="AB22" i="64"/>
  <c r="S46" i="64"/>
  <c r="AH26" i="64"/>
  <c r="M112" i="64"/>
  <c r="M62" i="64"/>
  <c r="M113" i="64" s="1"/>
  <c r="AC49" i="64"/>
  <c r="AC103" i="64" s="1"/>
  <c r="N95" i="64"/>
  <c r="AA46" i="64"/>
  <c r="AA100" i="64" s="1"/>
  <c r="X44" i="64"/>
  <c r="X98" i="64" s="1"/>
  <c r="W78" i="64"/>
  <c r="W22" i="64"/>
  <c r="W79" i="64" s="1"/>
  <c r="Q40" i="38"/>
  <c r="AD28" i="64"/>
  <c r="S45" i="64"/>
  <c r="S49" i="64"/>
  <c r="M48" i="64"/>
  <c r="M102" i="64" s="1"/>
  <c r="U22" i="64"/>
  <c r="U79" i="64" s="1"/>
  <c r="U78" i="64"/>
  <c r="O40" i="38"/>
  <c r="AJ65" i="64"/>
  <c r="AJ116" i="64" s="1"/>
  <c r="T24" i="64"/>
  <c r="T81" i="64" s="1"/>
  <c r="T67" i="64"/>
  <c r="T118" i="64" s="1"/>
  <c r="AC28" i="64"/>
  <c r="AC85" i="64" s="1"/>
  <c r="AC95" i="64"/>
  <c r="AK66" i="64"/>
  <c r="AK117" i="64" s="1"/>
  <c r="V43" i="64"/>
  <c r="Y49" i="64"/>
  <c r="Y103" i="64" s="1"/>
  <c r="N25" i="64"/>
  <c r="N82" i="64" s="1"/>
  <c r="AA25" i="64"/>
  <c r="AA82" i="64" s="1"/>
  <c r="AA28" i="64"/>
  <c r="AA85" i="64" s="1"/>
  <c r="X66" i="64"/>
  <c r="X117" i="64" s="1"/>
  <c r="W25" i="64"/>
  <c r="W82" i="64" s="1"/>
  <c r="AB67" i="64"/>
  <c r="AH28" i="64"/>
  <c r="M28" i="64"/>
  <c r="M85" i="64" s="1"/>
  <c r="U24" i="64"/>
  <c r="U81" i="64" s="1"/>
  <c r="AJ43" i="64"/>
  <c r="AJ97" i="64" s="1"/>
  <c r="T27" i="64"/>
  <c r="T84" i="64" s="1"/>
  <c r="T78" i="64"/>
  <c r="T22" i="64"/>
  <c r="T79" i="64" s="1"/>
  <c r="N40" i="38"/>
  <c r="AC27" i="64"/>
  <c r="AC84" i="64" s="1"/>
  <c r="AK69" i="64"/>
  <c r="AK120" i="64" s="1"/>
  <c r="V46" i="64"/>
  <c r="Y25" i="64"/>
  <c r="Y82" i="64" s="1"/>
  <c r="Y29" i="64"/>
  <c r="Y86" i="64" s="1"/>
  <c r="N49" i="64"/>
  <c r="N103" i="64" s="1"/>
  <c r="AA112" i="64"/>
  <c r="AA62" i="64"/>
  <c r="AA113" i="64" s="1"/>
  <c r="U40" i="38"/>
  <c r="AA78" i="64"/>
  <c r="AA22" i="64"/>
  <c r="AA79" i="64" s="1"/>
  <c r="M65" i="64"/>
  <c r="M116" i="64" s="1"/>
  <c r="AJ67" i="64"/>
  <c r="AJ118" i="64" s="1"/>
  <c r="T66" i="64"/>
  <c r="T117" i="64" s="1"/>
  <c r="T29" i="64"/>
  <c r="T86" i="64" s="1"/>
  <c r="AK62" i="64"/>
  <c r="AK113" i="64" s="1"/>
  <c r="AK112" i="64"/>
  <c r="Y43" i="64"/>
  <c r="Y97" i="64" s="1"/>
  <c r="N45" i="64"/>
  <c r="N99" i="64" s="1"/>
  <c r="AA42" i="64"/>
  <c r="AA96" i="64" s="1"/>
  <c r="AA66" i="64"/>
  <c r="AA117" i="64" s="1"/>
  <c r="X28" i="64"/>
  <c r="X85" i="64" s="1"/>
  <c r="W63" i="64"/>
  <c r="W114" i="64" s="1"/>
  <c r="AB69" i="64"/>
  <c r="AH25" i="64"/>
  <c r="Z40" i="38"/>
  <c r="M63" i="64"/>
  <c r="M114" i="64" s="1"/>
  <c r="U49" i="64"/>
  <c r="AJ42" i="64"/>
  <c r="AJ96" i="64" s="1"/>
  <c r="AJ44" i="64"/>
  <c r="AJ98" i="64" s="1"/>
  <c r="T42" i="64"/>
  <c r="T96" i="64" s="1"/>
  <c r="T65" i="64"/>
  <c r="T116" i="64" s="1"/>
  <c r="AC25" i="64"/>
  <c r="AC82" i="64" s="1"/>
  <c r="AK45" i="64"/>
  <c r="V68" i="64"/>
  <c r="V119" i="64" s="1"/>
  <c r="Y67" i="64"/>
  <c r="Y118" i="64" s="1"/>
  <c r="Y23" i="64"/>
  <c r="Y80" i="64" s="1"/>
  <c r="N22" i="64"/>
  <c r="N79" i="64" s="1"/>
  <c r="H40" i="38"/>
  <c r="N78" i="64"/>
  <c r="AA65" i="64"/>
  <c r="AA116" i="64" s="1"/>
  <c r="AA67" i="64"/>
  <c r="AA118" i="64" s="1"/>
  <c r="X42" i="64"/>
  <c r="X96" i="64" s="1"/>
  <c r="W23" i="64"/>
  <c r="W80" i="64" s="1"/>
  <c r="AB44" i="64"/>
  <c r="AH44" i="64"/>
  <c r="P112" i="64"/>
  <c r="AF25" i="64"/>
  <c r="AF82" i="64" s="1"/>
  <c r="AL69" i="64"/>
  <c r="AL120" i="64" s="1"/>
  <c r="R44" i="64"/>
  <c r="M23" i="64"/>
  <c r="M80" i="64" s="1"/>
  <c r="U64" i="64"/>
  <c r="U115" i="64" s="1"/>
  <c r="AJ29" i="64"/>
  <c r="AJ86" i="64" s="1"/>
  <c r="AJ112" i="64"/>
  <c r="AJ62" i="64"/>
  <c r="AJ113" i="64" s="1"/>
  <c r="T49" i="64"/>
  <c r="T103" i="64" s="1"/>
  <c r="T95" i="64"/>
  <c r="AC66" i="64"/>
  <c r="AC117" i="64" s="1"/>
  <c r="AK42" i="64"/>
  <c r="V24" i="64"/>
  <c r="V81" i="64" s="1"/>
  <c r="Y45" i="64"/>
  <c r="Y99" i="64" s="1"/>
  <c r="Y48" i="64"/>
  <c r="Y102" i="64" s="1"/>
  <c r="N42" i="64"/>
  <c r="N96" i="64" s="1"/>
  <c r="AA26" i="64"/>
  <c r="AA83" i="64" s="1"/>
  <c r="AA95" i="64"/>
  <c r="X78" i="64"/>
  <c r="X22" i="64"/>
  <c r="X79" i="64" s="1"/>
  <c r="R40" i="38"/>
  <c r="W47" i="64"/>
  <c r="W101" i="64" s="1"/>
  <c r="AB27" i="64"/>
  <c r="AH42" i="64"/>
  <c r="AD63" i="64"/>
  <c r="P43" i="64"/>
  <c r="P97" i="64" s="1"/>
  <c r="M67" i="64"/>
  <c r="M118" i="64" s="1"/>
  <c r="U26" i="64"/>
  <c r="U83" i="64" s="1"/>
  <c r="AJ45" i="64"/>
  <c r="AJ99" i="64" s="1"/>
  <c r="AJ24" i="64"/>
  <c r="AJ81" i="64" s="1"/>
  <c r="T62" i="64"/>
  <c r="T113" i="64" s="1"/>
  <c r="T112" i="64"/>
  <c r="AC24" i="64"/>
  <c r="AC81" i="64" s="1"/>
  <c r="AK78" i="64"/>
  <c r="AK22" i="64"/>
  <c r="AK79" i="64" s="1"/>
  <c r="AE40" i="38"/>
  <c r="V29" i="64"/>
  <c r="V86" i="64" s="1"/>
  <c r="Y112" i="64"/>
  <c r="Y62" i="64"/>
  <c r="Y113" i="64" s="1"/>
  <c r="Y95" i="64"/>
  <c r="N69" i="64"/>
  <c r="N120" i="64" s="1"/>
  <c r="AA43" i="64"/>
  <c r="AA97" i="64" s="1"/>
  <c r="X47" i="64"/>
  <c r="X101" i="64" s="1"/>
  <c r="W24" i="64"/>
  <c r="W81" i="64" s="1"/>
  <c r="AB48" i="64"/>
  <c r="AH62" i="64"/>
  <c r="M26" i="64"/>
  <c r="M83" i="64" s="1"/>
  <c r="M49" i="64"/>
  <c r="M103" i="64" s="1"/>
  <c r="U29" i="64"/>
  <c r="U86" i="64" s="1"/>
  <c r="AJ46" i="64"/>
  <c r="AJ100" i="64" s="1"/>
  <c r="AJ68" i="64"/>
  <c r="AJ119" i="64" s="1"/>
  <c r="T46" i="64"/>
  <c r="T100" i="64" s="1"/>
  <c r="AC68" i="64"/>
  <c r="AC119" i="64" s="1"/>
  <c r="AK64" i="64"/>
  <c r="AK115" i="64" s="1"/>
  <c r="V64" i="64"/>
  <c r="V115" i="64" s="1"/>
  <c r="Y42" i="64"/>
  <c r="Y96" i="64" s="1"/>
  <c r="N47" i="64"/>
  <c r="N101" i="64" s="1"/>
  <c r="AA49" i="64"/>
  <c r="AA103" i="64" s="1"/>
  <c r="X27" i="64"/>
  <c r="X84" i="64" s="1"/>
  <c r="W68" i="64"/>
  <c r="W119" i="64" s="1"/>
  <c r="AB68" i="64"/>
  <c r="AH64" i="64"/>
  <c r="AD46" i="64"/>
  <c r="AG68" i="64"/>
  <c r="AG119" i="64" s="1"/>
  <c r="AG62" i="64"/>
  <c r="AG113" i="64" s="1"/>
  <c r="P67" i="64"/>
  <c r="P118" i="64" s="1"/>
  <c r="L24" i="64"/>
  <c r="L81" i="64" s="1"/>
  <c r="AL48" i="64"/>
  <c r="AL102" i="64" s="1"/>
  <c r="R63" i="64"/>
  <c r="R49" i="64"/>
  <c r="AG65" i="64"/>
  <c r="AG116" i="64" s="1"/>
  <c r="P64" i="64"/>
  <c r="P115" i="64" s="1"/>
  <c r="P62" i="64"/>
  <c r="P113" i="64" s="1"/>
  <c r="L48" i="64"/>
  <c r="L102" i="64" s="1"/>
  <c r="AL66" i="64"/>
  <c r="AL117" i="64" s="1"/>
  <c r="R48" i="64"/>
  <c r="R42" i="64"/>
  <c r="AG26" i="64"/>
  <c r="AG83" i="64" s="1"/>
  <c r="AG47" i="64"/>
  <c r="AG101" i="64" s="1"/>
  <c r="P68" i="64"/>
  <c r="P119" i="64" s="1"/>
  <c r="L95" i="64"/>
  <c r="L42" i="64"/>
  <c r="L96" i="64" s="1"/>
  <c r="AL26" i="64"/>
  <c r="AL83" i="64" s="1"/>
  <c r="R68" i="64"/>
  <c r="R66" i="64"/>
  <c r="AD49" i="64"/>
  <c r="AD68" i="64"/>
  <c r="AG46" i="64"/>
  <c r="AG100" i="64" s="1"/>
  <c r="P46" i="64"/>
  <c r="P100" i="64" s="1"/>
  <c r="P42" i="64"/>
  <c r="P96" i="64" s="1"/>
  <c r="P95" i="64"/>
  <c r="L26" i="64"/>
  <c r="L83" i="64" s="1"/>
  <c r="AL63" i="64"/>
  <c r="AL114" i="64" s="1"/>
  <c r="R27" i="64"/>
  <c r="L25" i="64"/>
  <c r="L82" i="64" s="1"/>
  <c r="R45" i="64"/>
  <c r="AD42" i="64"/>
  <c r="AD69" i="64"/>
  <c r="AG64" i="64"/>
  <c r="AG115" i="64" s="1"/>
  <c r="AG29" i="64"/>
  <c r="AG86" i="64" s="1"/>
  <c r="P26" i="64"/>
  <c r="P83" i="64" s="1"/>
  <c r="L62" i="64"/>
  <c r="L113" i="64" s="1"/>
  <c r="AL28" i="64"/>
  <c r="AL85" i="64" s="1"/>
  <c r="AD43" i="64"/>
  <c r="AD64" i="64"/>
  <c r="AD65" i="64"/>
  <c r="AD29" i="64"/>
  <c r="AG43" i="64"/>
  <c r="AG97" i="64" s="1"/>
  <c r="P29" i="64"/>
  <c r="P86" i="64" s="1"/>
  <c r="L27" i="64"/>
  <c r="L84" i="64" s="1"/>
  <c r="AL68" i="64"/>
  <c r="AL119" i="64" s="1"/>
  <c r="R65" i="64"/>
  <c r="AD24" i="64"/>
  <c r="L63" i="64"/>
  <c r="L114" i="64" s="1"/>
  <c r="AD47" i="64"/>
  <c r="AD62" i="64"/>
  <c r="AD23" i="64"/>
  <c r="AG69" i="64"/>
  <c r="AG120" i="64" s="1"/>
  <c r="P45" i="64"/>
  <c r="P99" i="64" s="1"/>
  <c r="L66" i="64"/>
  <c r="L117" i="64" s="1"/>
  <c r="AL25" i="64"/>
  <c r="AL82" i="64" s="1"/>
  <c r="R28" i="64"/>
  <c r="AD66" i="64"/>
  <c r="AG25" i="64"/>
  <c r="AG82" i="64" s="1"/>
  <c r="P25" i="64"/>
  <c r="P82" i="64" s="1"/>
  <c r="P69" i="64"/>
  <c r="P120" i="64" s="1"/>
  <c r="L47" i="64"/>
  <c r="L101" i="64" s="1"/>
  <c r="AL65" i="64"/>
  <c r="AL116" i="64" s="1"/>
  <c r="R62" i="64"/>
  <c r="AD22" i="64"/>
  <c r="X40" i="38"/>
  <c r="AG67" i="64"/>
  <c r="AG118" i="64" s="1"/>
  <c r="P47" i="64"/>
  <c r="P101" i="64" s="1"/>
  <c r="L64" i="64"/>
  <c r="L115" i="64" s="1"/>
  <c r="AL23" i="64"/>
  <c r="AL80" i="64" s="1"/>
  <c r="R23" i="64"/>
  <c r="AG112" i="64"/>
  <c r="AD48" i="64"/>
  <c r="AD25" i="64"/>
  <c r="AG45" i="64"/>
  <c r="AG99" i="64" s="1"/>
  <c r="L29" i="64"/>
  <c r="L86" i="64" s="1"/>
  <c r="L23" i="64"/>
  <c r="L80" i="64" s="1"/>
  <c r="AF40" i="38"/>
  <c r="AL78" i="64"/>
  <c r="AL22" i="64"/>
  <c r="AL79" i="64" s="1"/>
  <c r="AD45" i="64"/>
  <c r="AG66" i="64"/>
  <c r="AG117" i="64" s="1"/>
  <c r="P27" i="64"/>
  <c r="P84" i="64" s="1"/>
  <c r="L67" i="64"/>
  <c r="L118" i="64" s="1"/>
  <c r="L68" i="64"/>
  <c r="L119" i="64" s="1"/>
  <c r="AL67" i="64"/>
  <c r="AL118" i="64" s="1"/>
  <c r="AG42" i="64"/>
  <c r="AG96" i="64" s="1"/>
  <c r="AG44" i="64"/>
  <c r="AG98" i="64" s="1"/>
  <c r="P65" i="64"/>
  <c r="P116" i="64" s="1"/>
  <c r="L46" i="64"/>
  <c r="L100" i="64" s="1"/>
  <c r="L69" i="64"/>
  <c r="L120" i="64" s="1"/>
  <c r="AL42" i="64"/>
  <c r="AL96" i="64" s="1"/>
  <c r="AL95" i="64"/>
  <c r="AL112" i="64"/>
  <c r="R69" i="64"/>
  <c r="AD44" i="64"/>
  <c r="AG63" i="64"/>
  <c r="AG114" i="64" s="1"/>
  <c r="P28" i="64"/>
  <c r="P85" i="64" s="1"/>
  <c r="L45" i="64"/>
  <c r="L99" i="64" s="1"/>
  <c r="AL44" i="64"/>
  <c r="AL98" i="64" s="1"/>
  <c r="AL29" i="64"/>
  <c r="AL86" i="64" s="1"/>
  <c r="R25" i="64"/>
  <c r="AD27" i="64"/>
  <c r="AG24" i="64"/>
  <c r="AG81" i="64" s="1"/>
  <c r="AG78" i="64"/>
  <c r="AG22" i="64"/>
  <c r="AG79" i="64" s="1"/>
  <c r="AA40" i="38"/>
  <c r="P66" i="64"/>
  <c r="P117" i="64" s="1"/>
  <c r="L49" i="64"/>
  <c r="L103" i="64" s="1"/>
  <c r="AL45" i="64"/>
  <c r="AL99" i="64" s="1"/>
  <c r="AL43" i="64"/>
  <c r="AL97" i="64" s="1"/>
  <c r="AD26" i="64"/>
  <c r="AG27" i="64"/>
  <c r="AG84" i="64" s="1"/>
  <c r="P23" i="64"/>
  <c r="P80" i="64" s="1"/>
  <c r="P22" i="64"/>
  <c r="P79" i="64" s="1"/>
  <c r="P78" i="64"/>
  <c r="J40" i="38"/>
  <c r="L43" i="64"/>
  <c r="L97" i="64" s="1"/>
  <c r="AL64" i="64"/>
  <c r="AL115" i="64" s="1"/>
  <c r="AL49" i="64"/>
  <c r="AL103" i="64" s="1"/>
  <c r="R67" i="64"/>
  <c r="L78" i="64"/>
  <c r="L22" i="64"/>
  <c r="L79" i="64" s="1"/>
  <c r="F40" i="38"/>
  <c r="AL47" i="64"/>
  <c r="AL101" i="64" s="1"/>
  <c r="R47" i="64"/>
  <c r="AG48" i="64"/>
  <c r="AG102" i="64" s="1"/>
  <c r="L28" i="64"/>
  <c r="L85" i="64" s="1"/>
  <c r="AL24" i="64"/>
  <c r="AL81" i="64" s="1"/>
  <c r="R24" i="64"/>
  <c r="R22" i="64"/>
  <c r="L40" i="38"/>
  <c r="K41" i="64" l="1"/>
  <c r="U95" i="64" s="1"/>
  <c r="K61" i="64"/>
  <c r="K21" i="64"/>
  <c r="AJ136" i="58"/>
  <c r="AJ284" i="58" s="1"/>
  <c r="AG133" i="58"/>
  <c r="AG281" i="58" s="1"/>
  <c r="M125" i="58"/>
  <c r="M273" i="58" s="1"/>
  <c r="T136" i="58"/>
  <c r="T284" i="58" s="1"/>
  <c r="P137" i="58"/>
  <c r="P285" i="58" s="1"/>
  <c r="AA135" i="58"/>
  <c r="AA283" i="58" s="1"/>
  <c r="AH137" i="58"/>
  <c r="AH285" i="58" s="1"/>
  <c r="AL123" i="58"/>
  <c r="AL271" i="58" s="1"/>
  <c r="AC131" i="58"/>
  <c r="AC279" i="58" s="1"/>
  <c r="K64" i="64"/>
  <c r="K115" i="64" s="1"/>
  <c r="K95" i="64"/>
  <c r="K48" i="64"/>
  <c r="K45" i="64"/>
  <c r="K69" i="64"/>
  <c r="K120" i="64" s="1"/>
  <c r="K62" i="64"/>
  <c r="K113" i="64" s="1"/>
  <c r="K42" i="64"/>
  <c r="K27" i="64"/>
  <c r="K84" i="64" s="1"/>
  <c r="K43" i="64"/>
  <c r="K67" i="64"/>
  <c r="K118" i="64" s="1"/>
  <c r="K28" i="64"/>
  <c r="K85" i="64" s="1"/>
  <c r="E40" i="38"/>
  <c r="K66" i="64"/>
  <c r="K117" i="64" s="1"/>
  <c r="K68" i="64"/>
  <c r="K119" i="64" s="1"/>
  <c r="K63" i="64"/>
  <c r="K114" i="64" s="1"/>
  <c r="K65" i="64"/>
  <c r="K116" i="64" s="1"/>
  <c r="K23" i="64"/>
  <c r="K80" i="64" s="1"/>
  <c r="K25" i="64"/>
  <c r="K82" i="64" s="1"/>
  <c r="K112" i="64"/>
  <c r="K22" i="64"/>
  <c r="K79" i="64" s="1"/>
  <c r="K29" i="64"/>
  <c r="K86" i="64" s="1"/>
  <c r="K47" i="64"/>
  <c r="K44" i="64"/>
  <c r="K49" i="64"/>
  <c r="K46" i="64"/>
  <c r="K26" i="64"/>
  <c r="K83" i="64" s="1"/>
  <c r="K24" i="64"/>
  <c r="K81" i="64" s="1"/>
  <c r="K78" i="64"/>
  <c r="V124" i="58"/>
  <c r="V272" i="58" s="1"/>
  <c r="L139" i="58"/>
  <c r="L287" i="58" s="1"/>
  <c r="U130" i="58"/>
  <c r="U278" i="58" s="1"/>
  <c r="N132" i="58"/>
  <c r="N280" i="58" s="1"/>
  <c r="AD139" i="58"/>
  <c r="AD287" i="58" s="1"/>
  <c r="AI139" i="58"/>
  <c r="AI287" i="58" s="1"/>
  <c r="AF131" i="58"/>
  <c r="AF279" i="58" s="1"/>
  <c r="K135" i="58"/>
  <c r="K283" i="58" s="1"/>
  <c r="Y129" i="58"/>
  <c r="Y277" i="58" s="1"/>
  <c r="AE131" i="58"/>
  <c r="AE279" i="58" s="1"/>
  <c r="AK135" i="58"/>
  <c r="AK283" i="58" s="1"/>
  <c r="S126" i="58"/>
  <c r="S274" i="58" s="1"/>
  <c r="Q126" i="58"/>
  <c r="Q274" i="58" s="1"/>
  <c r="R137" i="58"/>
  <c r="R285" i="58" s="1"/>
  <c r="Z127" i="58"/>
  <c r="Z275" i="58" s="1"/>
  <c r="W132" i="58"/>
  <c r="W280" i="58" s="1"/>
  <c r="O128" i="58"/>
  <c r="O276" i="58" s="1"/>
  <c r="X130" i="58"/>
  <c r="X278" i="58" s="1"/>
  <c r="AB139" i="58"/>
  <c r="AB287" i="58" s="1"/>
  <c r="AB130" i="58"/>
  <c r="AB278" i="58" s="1"/>
  <c r="AL135" i="58"/>
  <c r="AL283" i="58" s="1"/>
  <c r="K131" i="58"/>
  <c r="K279" i="58" s="1"/>
  <c r="Q138" i="58"/>
  <c r="Q286" i="58" s="1"/>
  <c r="N136" i="58"/>
  <c r="N284" i="58" s="1"/>
  <c r="AD133" i="58"/>
  <c r="AD281" i="58" s="1"/>
  <c r="T122" i="58"/>
  <c r="T270" i="58" s="1"/>
  <c r="AF126" i="58"/>
  <c r="AF274" i="58" s="1"/>
  <c r="O123" i="58"/>
  <c r="O271" i="58" s="1"/>
  <c r="AG131" i="58"/>
  <c r="AG279" i="58" s="1"/>
  <c r="V136" i="58"/>
  <c r="V284" i="58" s="1"/>
  <c r="AI128" i="58"/>
  <c r="AI276" i="58" s="1"/>
  <c r="X138" i="58"/>
  <c r="X286" i="58" s="1"/>
  <c r="T126" i="58"/>
  <c r="T274" i="58" s="1"/>
  <c r="AL136" i="58"/>
  <c r="AL284" i="58" s="1"/>
  <c r="AF123" i="58"/>
  <c r="AF271" i="58" s="1"/>
  <c r="Z138" i="58"/>
  <c r="Z286" i="58" s="1"/>
  <c r="K134" i="58"/>
  <c r="K282" i="58" s="1"/>
  <c r="Z133" i="58"/>
  <c r="Z281" i="58" s="1"/>
  <c r="Y140" i="58"/>
  <c r="Y288" i="58" s="1"/>
  <c r="O135" i="58"/>
  <c r="O283" i="58" s="1"/>
  <c r="AD127" i="58"/>
  <c r="AD275" i="58" s="1"/>
  <c r="AD124" i="58"/>
  <c r="AD272" i="58" s="1"/>
  <c r="AE133" i="58"/>
  <c r="AE281" i="58" s="1"/>
  <c r="AK129" i="58"/>
  <c r="AK277" i="58" s="1"/>
  <c r="W123" i="58"/>
  <c r="W271" i="58" s="1"/>
  <c r="Z131" i="58"/>
  <c r="Z279" i="58" s="1"/>
  <c r="L125" i="58"/>
  <c r="L273" i="58" s="1"/>
  <c r="T123" i="58"/>
  <c r="T271" i="58" s="1"/>
  <c r="AE122" i="58"/>
  <c r="AE270" i="58" s="1"/>
  <c r="X125" i="58"/>
  <c r="X273" i="58" s="1"/>
  <c r="AF129" i="58"/>
  <c r="AF277" i="58" s="1"/>
  <c r="AB140" i="58"/>
  <c r="AB288" i="58" s="1"/>
  <c r="Y128" i="58"/>
  <c r="Y276" i="58" s="1"/>
  <c r="AD125" i="58"/>
  <c r="AD273" i="58" s="1"/>
  <c r="P126" i="58"/>
  <c r="P274" i="58" s="1"/>
  <c r="AL133" i="58"/>
  <c r="AL281" i="58" s="1"/>
  <c r="V140" i="58"/>
  <c r="V288" i="58" s="1"/>
  <c r="AC133" i="58"/>
  <c r="AC281" i="58" s="1"/>
  <c r="AE126" i="58"/>
  <c r="AE274" i="58" s="1"/>
  <c r="P138" i="58"/>
  <c r="P286" i="58" s="1"/>
  <c r="X134" i="58"/>
  <c r="X282" i="58" s="1"/>
  <c r="Z122" i="58"/>
  <c r="Z270" i="58" s="1"/>
  <c r="AJ132" i="58"/>
  <c r="AJ280" i="58" s="1"/>
  <c r="Z121" i="58"/>
  <c r="Z269" i="58" s="1"/>
  <c r="Z268" i="58"/>
  <c r="V130" i="58"/>
  <c r="V278" i="58" s="1"/>
  <c r="V126" i="58"/>
  <c r="V274" i="58" s="1"/>
  <c r="AG130" i="58"/>
  <c r="AG278" i="58" s="1"/>
  <c r="N124" i="58"/>
  <c r="N272" i="58" s="1"/>
  <c r="R133" i="58"/>
  <c r="R281" i="58" s="1"/>
  <c r="P136" i="58"/>
  <c r="P284" i="58" s="1"/>
  <c r="W122" i="58"/>
  <c r="W270" i="58" s="1"/>
  <c r="AA130" i="58"/>
  <c r="AA278" i="58" s="1"/>
  <c r="AD137" i="58"/>
  <c r="AD285" i="58" s="1"/>
  <c r="AJ130" i="58"/>
  <c r="AJ278" i="58" s="1"/>
  <c r="AJ124" i="58"/>
  <c r="AJ272" i="58" s="1"/>
  <c r="P121" i="58"/>
  <c r="P269" i="58" s="1"/>
  <c r="P268" i="58"/>
  <c r="AA132" i="58"/>
  <c r="AA280" i="58" s="1"/>
  <c r="AF124" i="58"/>
  <c r="AF272" i="58" s="1"/>
  <c r="AJ131" i="58"/>
  <c r="AJ279" i="58" s="1"/>
  <c r="M121" i="58"/>
  <c r="M269" i="58" s="1"/>
  <c r="M268" i="58"/>
  <c r="AB126" i="58"/>
  <c r="AB274" i="58" s="1"/>
  <c r="Y125" i="58"/>
  <c r="Y273" i="58" s="1"/>
  <c r="M136" i="58"/>
  <c r="M284" i="58" s="1"/>
  <c r="M128" i="58"/>
  <c r="M276" i="58" s="1"/>
  <c r="AC130" i="58"/>
  <c r="AC278" i="58" s="1"/>
  <c r="W140" i="58"/>
  <c r="W288" i="58" s="1"/>
  <c r="S121" i="58"/>
  <c r="S269" i="58" s="1"/>
  <c r="S268" i="58"/>
  <c r="V121" i="58"/>
  <c r="V269" i="58" s="1"/>
  <c r="V268" i="58"/>
  <c r="AH126" i="58"/>
  <c r="AH274" i="58" s="1"/>
  <c r="Z130" i="58"/>
  <c r="Z278" i="58" s="1"/>
  <c r="Q135" i="58"/>
  <c r="Q283" i="58" s="1"/>
  <c r="P139" i="58"/>
  <c r="P287" i="58" s="1"/>
  <c r="AA128" i="58"/>
  <c r="AA276" i="58" s="1"/>
  <c r="M135" i="58"/>
  <c r="M283" i="58" s="1"/>
  <c r="AK132" i="58"/>
  <c r="AK280" i="58" s="1"/>
  <c r="AI125" i="58"/>
  <c r="AI273" i="58" s="1"/>
  <c r="N123" i="58"/>
  <c r="N271" i="58" s="1"/>
  <c r="N121" i="58"/>
  <c r="N269" i="58" s="1"/>
  <c r="N268" i="58"/>
  <c r="AJ122" i="58"/>
  <c r="AJ270" i="58" s="1"/>
  <c r="X140" i="58"/>
  <c r="X288" i="58" s="1"/>
  <c r="R127" i="58"/>
  <c r="R275" i="58" s="1"/>
  <c r="R132" i="58"/>
  <c r="R280" i="58" s="1"/>
  <c r="S123" i="58"/>
  <c r="S271" i="58" s="1"/>
  <c r="U133" i="58"/>
  <c r="U281" i="58" s="1"/>
  <c r="AK126" i="58"/>
  <c r="AK274" i="58" s="1"/>
  <c r="N131" i="58"/>
  <c r="N279" i="58" s="1"/>
  <c r="N128" i="58"/>
  <c r="N276" i="58" s="1"/>
  <c r="O136" i="58"/>
  <c r="O284" i="58" s="1"/>
  <c r="AH125" i="58"/>
  <c r="AH273" i="58" s="1"/>
  <c r="P140" i="58"/>
  <c r="P288" i="58" s="1"/>
  <c r="X128" i="58"/>
  <c r="X276" i="58" s="1"/>
  <c r="AI132" i="58"/>
  <c r="AI280" i="58" s="1"/>
  <c r="T125" i="58"/>
  <c r="T273" i="58" s="1"/>
  <c r="AL122" i="58"/>
  <c r="AL270" i="58" s="1"/>
  <c r="AA125" i="58"/>
  <c r="AA273" i="58" s="1"/>
  <c r="R131" i="58"/>
  <c r="R279" i="58" s="1"/>
  <c r="U121" i="58"/>
  <c r="U269" i="58" s="1"/>
  <c r="U268" i="58"/>
  <c r="V132" i="58"/>
  <c r="V280" i="58" s="1"/>
  <c r="AE128" i="58"/>
  <c r="AE276" i="58" s="1"/>
  <c r="AB125" i="58"/>
  <c r="AB273" i="58" s="1"/>
  <c r="P132" i="58"/>
  <c r="P280" i="58" s="1"/>
  <c r="AA131" i="58"/>
  <c r="AA279" i="58" s="1"/>
  <c r="AC121" i="58"/>
  <c r="AC269" i="58" s="1"/>
  <c r="AC268" i="58"/>
  <c r="U138" i="58"/>
  <c r="U286" i="58" s="1"/>
  <c r="AE125" i="58"/>
  <c r="AE273" i="58" s="1"/>
  <c r="X129" i="58"/>
  <c r="X277" i="58" s="1"/>
  <c r="Y123" i="58"/>
  <c r="Y271" i="58" s="1"/>
  <c r="AC136" i="58"/>
  <c r="AC284" i="58" s="1"/>
  <c r="AC140" i="58"/>
  <c r="AC288" i="58" s="1"/>
  <c r="Y137" i="58"/>
  <c r="Y285" i="58" s="1"/>
  <c r="AG128" i="58"/>
  <c r="AG276" i="58" s="1"/>
  <c r="AF140" i="58"/>
  <c r="AF288" i="58" s="1"/>
  <c r="Z136" i="58"/>
  <c r="Z284" i="58" s="1"/>
  <c r="AJ139" i="58"/>
  <c r="AJ287" i="58" s="1"/>
  <c r="O130" i="58"/>
  <c r="O278" i="58" s="1"/>
  <c r="AD138" i="58"/>
  <c r="AD286" i="58" s="1"/>
  <c r="Z124" i="58"/>
  <c r="Z272" i="58" s="1"/>
  <c r="X123" i="58"/>
  <c r="X271" i="58" s="1"/>
  <c r="T134" i="58"/>
  <c r="T282" i="58" s="1"/>
  <c r="K133" i="58"/>
  <c r="K281" i="58" s="1"/>
  <c r="U126" i="58"/>
  <c r="U274" i="58" s="1"/>
  <c r="AK139" i="58"/>
  <c r="AK287" i="58" s="1"/>
  <c r="AI134" i="58"/>
  <c r="AI282" i="58" s="1"/>
  <c r="X126" i="58"/>
  <c r="X274" i="58" s="1"/>
  <c r="U135" i="58"/>
  <c r="U283" i="58" s="1"/>
  <c r="AA137" i="58"/>
  <c r="AA285" i="58" s="1"/>
  <c r="AG127" i="58"/>
  <c r="AG275" i="58" s="1"/>
  <c r="AB133" i="58"/>
  <c r="AB281" i="58" s="1"/>
  <c r="N140" i="58"/>
  <c r="N288" i="58" s="1"/>
  <c r="L136" i="58"/>
  <c r="L284" i="58" s="1"/>
  <c r="AJ128" i="58"/>
  <c r="AJ276" i="58" s="1"/>
  <c r="V139" i="58"/>
  <c r="V287" i="58" s="1"/>
  <c r="L137" i="58"/>
  <c r="L285" i="58" s="1"/>
  <c r="S138" i="58"/>
  <c r="S286" i="58" s="1"/>
  <c r="O140" i="58"/>
  <c r="O288" i="58" s="1"/>
  <c r="X137" i="58"/>
  <c r="X285" i="58" s="1"/>
  <c r="X133" i="58"/>
  <c r="X281" i="58" s="1"/>
  <c r="S129" i="58"/>
  <c r="S277" i="58" s="1"/>
  <c r="L123" i="58"/>
  <c r="L271" i="58" s="1"/>
  <c r="AD128" i="58"/>
  <c r="AD276" i="58" s="1"/>
  <c r="AI124" i="58"/>
  <c r="AI272" i="58" s="1"/>
  <c r="N126" i="58"/>
  <c r="N274" i="58" s="1"/>
  <c r="AE132" i="58"/>
  <c r="AE280" i="58" s="1"/>
  <c r="L131" i="58"/>
  <c r="L279" i="58" s="1"/>
  <c r="AB136" i="58"/>
  <c r="AB284" i="58" s="1"/>
  <c r="L135" i="58"/>
  <c r="L283" i="58" s="1"/>
  <c r="AJ127" i="58"/>
  <c r="AJ275" i="58" s="1"/>
  <c r="Y138" i="58"/>
  <c r="Y286" i="58" s="1"/>
  <c r="AI136" i="58"/>
  <c r="AI284" i="58" s="1"/>
  <c r="AJ126" i="58"/>
  <c r="AJ274" i="58" s="1"/>
  <c r="K132" i="58"/>
  <c r="K280" i="58" s="1"/>
  <c r="S130" i="58"/>
  <c r="S278" i="58" s="1"/>
  <c r="AE140" i="58"/>
  <c r="AE288" i="58" s="1"/>
  <c r="AF121" i="58"/>
  <c r="AF269" i="58" s="1"/>
  <c r="AF268" i="58"/>
  <c r="L121" i="58"/>
  <c r="L269" i="58" s="1"/>
  <c r="L268" i="58"/>
  <c r="P127" i="58"/>
  <c r="P275" i="58" s="1"/>
  <c r="N138" i="58"/>
  <c r="N286" i="58" s="1"/>
  <c r="Z132" i="58"/>
  <c r="Z280" i="58" s="1"/>
  <c r="R130" i="58"/>
  <c r="R278" i="58" s="1"/>
  <c r="AH121" i="58"/>
  <c r="AH269" i="58" s="1"/>
  <c r="AH268" i="58"/>
  <c r="O138" i="58"/>
  <c r="O286" i="58" s="1"/>
  <c r="AH124" i="58"/>
  <c r="AH272" i="58" s="1"/>
  <c r="R123" i="58"/>
  <c r="R271" i="58" s="1"/>
  <c r="T131" i="58"/>
  <c r="T279" i="58" s="1"/>
  <c r="AJ129" i="58"/>
  <c r="AJ277" i="58" s="1"/>
  <c r="O126" i="58"/>
  <c r="O274" i="58" s="1"/>
  <c r="Q128" i="58"/>
  <c r="Q276" i="58" s="1"/>
  <c r="AA121" i="58"/>
  <c r="AA269" i="58" s="1"/>
  <c r="AA268" i="58"/>
  <c r="AL130" i="58"/>
  <c r="AL278" i="58" s="1"/>
  <c r="K138" i="58"/>
  <c r="K286" i="58" s="1"/>
  <c r="Q134" i="58"/>
  <c r="Q282" i="58" s="1"/>
  <c r="R139" i="58"/>
  <c r="R287" i="58" s="1"/>
  <c r="P123" i="58"/>
  <c r="P271" i="58" s="1"/>
  <c r="AI135" i="58"/>
  <c r="AI283" i="58" s="1"/>
  <c r="AG135" i="58"/>
  <c r="AG283" i="58" s="1"/>
  <c r="M137" i="58"/>
  <c r="M285" i="58" s="1"/>
  <c r="K140" i="58"/>
  <c r="K288" i="58" s="1"/>
  <c r="AK136" i="58"/>
  <c r="AK284" i="58" s="1"/>
  <c r="Z128" i="58"/>
  <c r="Z276" i="58" s="1"/>
  <c r="AA129" i="58"/>
  <c r="AA277" i="58" s="1"/>
  <c r="AH129" i="58"/>
  <c r="AH277" i="58" s="1"/>
  <c r="V138" i="58"/>
  <c r="V286" i="58" s="1"/>
  <c r="S135" i="58"/>
  <c r="S283" i="58" s="1"/>
  <c r="U134" i="58"/>
  <c r="U282" i="58" s="1"/>
  <c r="AF133" i="58"/>
  <c r="AF281" i="58" s="1"/>
  <c r="X122" i="58"/>
  <c r="X270" i="58" s="1"/>
  <c r="AC125" i="58"/>
  <c r="AC273" i="58" s="1"/>
  <c r="AF132" i="58"/>
  <c r="AF280" i="58" s="1"/>
  <c r="V137" i="58"/>
  <c r="V285" i="58" s="1"/>
  <c r="Q140" i="58"/>
  <c r="Q288" i="58" s="1"/>
  <c r="AH140" i="58"/>
  <c r="AH288" i="58" s="1"/>
  <c r="AL132" i="58"/>
  <c r="AL280" i="58" s="1"/>
  <c r="W134" i="58"/>
  <c r="W282" i="58" s="1"/>
  <c r="W129" i="58"/>
  <c r="W277" i="58" s="1"/>
  <c r="S140" i="58"/>
  <c r="S288" i="58" s="1"/>
  <c r="M131" i="58"/>
  <c r="M279" i="58" s="1"/>
  <c r="T121" i="58"/>
  <c r="T269" i="58" s="1"/>
  <c r="T268" i="58"/>
  <c r="N127" i="58"/>
  <c r="N275" i="58" s="1"/>
  <c r="AI122" i="58"/>
  <c r="AI270" i="58" s="1"/>
  <c r="T124" i="58"/>
  <c r="T272" i="58" s="1"/>
  <c r="W136" i="58"/>
  <c r="W284" i="58" s="1"/>
  <c r="AK134" i="58"/>
  <c r="AK282" i="58" s="1"/>
  <c r="AK127" i="58"/>
  <c r="AK275" i="58" s="1"/>
  <c r="T129" i="58"/>
  <c r="T277" i="58" s="1"/>
  <c r="V131" i="58"/>
  <c r="V279" i="58" s="1"/>
  <c r="O121" i="58"/>
  <c r="O269" i="58" s="1"/>
  <c r="O268" i="58"/>
  <c r="N139" i="58"/>
  <c r="N287" i="58" s="1"/>
  <c r="O139" i="58"/>
  <c r="O287" i="58" s="1"/>
  <c r="P133" i="58"/>
  <c r="P281" i="58" s="1"/>
  <c r="AC134" i="58"/>
  <c r="AC282" i="58" s="1"/>
  <c r="AG125" i="58"/>
  <c r="AG273" i="58" s="1"/>
  <c r="Q122" i="58"/>
  <c r="Q270" i="58" s="1"/>
  <c r="AF138" i="58"/>
  <c r="AF286" i="58" s="1"/>
  <c r="AF125" i="58"/>
  <c r="AF273" i="58" s="1"/>
  <c r="U125" i="58"/>
  <c r="U273" i="58" s="1"/>
  <c r="W127" i="58"/>
  <c r="W275" i="58" s="1"/>
  <c r="AK131" i="58"/>
  <c r="AK279" i="58" s="1"/>
  <c r="AL127" i="58"/>
  <c r="AL275" i="58" s="1"/>
  <c r="P128" i="58"/>
  <c r="P276" i="58" s="1"/>
  <c r="X135" i="58"/>
  <c r="X283" i="58" s="1"/>
  <c r="AB124" i="58"/>
  <c r="AB272" i="58" s="1"/>
  <c r="AA136" i="58"/>
  <c r="AA284" i="58" s="1"/>
  <c r="S133" i="58"/>
  <c r="S281" i="58" s="1"/>
  <c r="AC123" i="58"/>
  <c r="AC271" i="58" s="1"/>
  <c r="AD132" i="58"/>
  <c r="AD280" i="58" s="1"/>
  <c r="R124" i="58"/>
  <c r="R272" i="58" s="1"/>
  <c r="S137" i="58"/>
  <c r="S285" i="58" s="1"/>
  <c r="Q137" i="58"/>
  <c r="Q285" i="58" s="1"/>
  <c r="L133" i="58"/>
  <c r="L281" i="58" s="1"/>
  <c r="Y139" i="58"/>
  <c r="Y287" i="58" s="1"/>
  <c r="U132" i="58"/>
  <c r="U280" i="58" s="1"/>
  <c r="K130" i="58"/>
  <c r="K278" i="58" s="1"/>
  <c r="AB132" i="58"/>
  <c r="AB280" i="58" s="1"/>
  <c r="L129" i="58"/>
  <c r="L277" i="58" s="1"/>
  <c r="AE135" i="58"/>
  <c r="AE283" i="58" s="1"/>
  <c r="R128" i="58"/>
  <c r="R276" i="58" s="1"/>
  <c r="AH135" i="58"/>
  <c r="AH283" i="58" s="1"/>
  <c r="R140" i="58"/>
  <c r="R288" i="58" s="1"/>
  <c r="AK140" i="58"/>
  <c r="AK288" i="58" s="1"/>
  <c r="AC132" i="58"/>
  <c r="AC280" i="58" s="1"/>
  <c r="AE139" i="58"/>
  <c r="AE287" i="58" s="1"/>
  <c r="AG132" i="58"/>
  <c r="AG280" i="58" s="1"/>
  <c r="Z125" i="58"/>
  <c r="Z273" i="58" s="1"/>
  <c r="U136" i="58"/>
  <c r="U284" i="58" s="1"/>
  <c r="AI133" i="58"/>
  <c r="AI281" i="58" s="1"/>
  <c r="M124" i="58"/>
  <c r="M272" i="58" s="1"/>
  <c r="O125" i="58"/>
  <c r="O273" i="58" s="1"/>
  <c r="T137" i="58"/>
  <c r="T285" i="58" s="1"/>
  <c r="AI126" i="58"/>
  <c r="AI274" i="58" s="1"/>
  <c r="AE130" i="58"/>
  <c r="AE278" i="58" s="1"/>
  <c r="L140" i="58"/>
  <c r="L288" i="58" s="1"/>
  <c r="AA126" i="58"/>
  <c r="AA274" i="58" s="1"/>
  <c r="AI131" i="58"/>
  <c r="AI279" i="58" s="1"/>
  <c r="AH130" i="58"/>
  <c r="AH278" i="58" s="1"/>
  <c r="P124" i="58"/>
  <c r="P272" i="58" s="1"/>
  <c r="Q133" i="58"/>
  <c r="Q281" i="58" s="1"/>
  <c r="Z137" i="58"/>
  <c r="Z285" i="58" s="1"/>
  <c r="AI140" i="58"/>
  <c r="AI288" i="58" s="1"/>
  <c r="R129" i="58"/>
  <c r="R277" i="58" s="1"/>
  <c r="O129" i="58"/>
  <c r="O277" i="58" s="1"/>
  <c r="X132" i="58"/>
  <c r="X280" i="58" s="1"/>
  <c r="AD136" i="58"/>
  <c r="AD284" i="58" s="1"/>
  <c r="AB131" i="58"/>
  <c r="AB279" i="58" s="1"/>
  <c r="M140" i="58"/>
  <c r="M288" i="58" s="1"/>
  <c r="AK125" i="58"/>
  <c r="AK273" i="58" s="1"/>
  <c r="Y124" i="58"/>
  <c r="Y272" i="58" s="1"/>
  <c r="P131" i="58"/>
  <c r="P279" i="58" s="1"/>
  <c r="M129" i="58"/>
  <c r="M277" i="58" s="1"/>
  <c r="AA138" i="58"/>
  <c r="AA286" i="58" s="1"/>
  <c r="AC128" i="58"/>
  <c r="AC276" i="58" s="1"/>
  <c r="W125" i="58"/>
  <c r="W273" i="58" s="1"/>
  <c r="AK128" i="58"/>
  <c r="AK276" i="58" s="1"/>
  <c r="AB121" i="58"/>
  <c r="AB269" i="58" s="1"/>
  <c r="AB268" i="58"/>
  <c r="M123" i="58"/>
  <c r="M271" i="58" s="1"/>
  <c r="S122" i="58"/>
  <c r="S270" i="58" s="1"/>
  <c r="AE134" i="58"/>
  <c r="AE282" i="58" s="1"/>
  <c r="AL137" i="58"/>
  <c r="AL285" i="58" s="1"/>
  <c r="AI121" i="58"/>
  <c r="AI269" i="58" s="1"/>
  <c r="AI268" i="58"/>
  <c r="K125" i="58"/>
  <c r="K273" i="58" s="1"/>
  <c r="T128" i="58"/>
  <c r="T276" i="58" s="1"/>
  <c r="AB122" i="58"/>
  <c r="AB270" i="58" s="1"/>
  <c r="Y122" i="58"/>
  <c r="Y270" i="58" s="1"/>
  <c r="AE136" i="58"/>
  <c r="AE284" i="58" s="1"/>
  <c r="AH131" i="58"/>
  <c r="AH279" i="58" s="1"/>
  <c r="AA127" i="58"/>
  <c r="AA275" i="58" s="1"/>
  <c r="AA133" i="58"/>
  <c r="AA281" i="58" s="1"/>
  <c r="M133" i="58"/>
  <c r="M281" i="58" s="1"/>
  <c r="AH127" i="58"/>
  <c r="AH275" i="58" s="1"/>
  <c r="AL124" i="58"/>
  <c r="AL272" i="58" s="1"/>
  <c r="M134" i="58"/>
  <c r="M282" i="58" s="1"/>
  <c r="AA139" i="58"/>
  <c r="AA287" i="58" s="1"/>
  <c r="AG140" i="58"/>
  <c r="AG288" i="58" s="1"/>
  <c r="AE127" i="58"/>
  <c r="AE275" i="58" s="1"/>
  <c r="AH139" i="58"/>
  <c r="AH287" i="58" s="1"/>
  <c r="AJ133" i="58"/>
  <c r="AJ281" i="58" s="1"/>
  <c r="L132" i="58"/>
  <c r="L280" i="58" s="1"/>
  <c r="AC135" i="58"/>
  <c r="AC283" i="58" s="1"/>
  <c r="Q123" i="58"/>
  <c r="Q271" i="58" s="1"/>
  <c r="R126" i="58"/>
  <c r="R274" i="58" s="1"/>
  <c r="AJ138" i="58"/>
  <c r="AJ286" i="58" s="1"/>
  <c r="AB127" i="58"/>
  <c r="AB275" i="58" s="1"/>
  <c r="Y132" i="58"/>
  <c r="Y280" i="58" s="1"/>
  <c r="AD130" i="58"/>
  <c r="AD278" i="58" s="1"/>
  <c r="K122" i="58"/>
  <c r="K270" i="58" s="1"/>
  <c r="AJ121" i="58"/>
  <c r="AJ269" i="58" s="1"/>
  <c r="AJ268" i="58"/>
  <c r="AL131" i="58"/>
  <c r="AL279" i="58" s="1"/>
  <c r="AD122" i="58"/>
  <c r="AD270" i="58" s="1"/>
  <c r="R125" i="58"/>
  <c r="R273" i="58" s="1"/>
  <c r="T140" i="58"/>
  <c r="T288" i="58" s="1"/>
  <c r="AI138" i="58"/>
  <c r="AI286" i="58" s="1"/>
  <c r="O127" i="58"/>
  <c r="O275" i="58" s="1"/>
  <c r="Z126" i="58"/>
  <c r="Z274" i="58" s="1"/>
  <c r="AG138" i="58"/>
  <c r="AG286" i="58" s="1"/>
  <c r="K128" i="58"/>
  <c r="K276" i="58" s="1"/>
  <c r="AI137" i="58"/>
  <c r="AI285" i="58" s="1"/>
  <c r="P130" i="58"/>
  <c r="P278" i="58" s="1"/>
  <c r="AF136" i="58"/>
  <c r="AF284" i="58" s="1"/>
  <c r="AK124" i="58"/>
  <c r="AK272" i="58" s="1"/>
  <c r="AI130" i="58"/>
  <c r="AI278" i="58" s="1"/>
  <c r="U122" i="58"/>
  <c r="U270" i="58" s="1"/>
  <c r="AG122" i="58"/>
  <c r="AG270" i="58" s="1"/>
  <c r="X124" i="58"/>
  <c r="X272" i="58" s="1"/>
  <c r="AB134" i="58"/>
  <c r="AB282" i="58" s="1"/>
  <c r="O132" i="58"/>
  <c r="O280" i="58" s="1"/>
  <c r="AD140" i="58"/>
  <c r="AD288" i="58" s="1"/>
  <c r="N135" i="58"/>
  <c r="N283" i="58" s="1"/>
  <c r="T138" i="58"/>
  <c r="T286" i="58" s="1"/>
  <c r="L128" i="58"/>
  <c r="L276" i="58" s="1"/>
  <c r="AI129" i="58"/>
  <c r="AI277" i="58" s="1"/>
  <c r="Y126" i="58"/>
  <c r="Y274" i="58" s="1"/>
  <c r="AI127" i="58"/>
  <c r="AI275" i="58" s="1"/>
  <c r="AB138" i="58"/>
  <c r="AB286" i="58" s="1"/>
  <c r="AK121" i="58"/>
  <c r="AK269" i="58" s="1"/>
  <c r="AK268" i="58"/>
  <c r="Z123" i="58"/>
  <c r="Z271" i="58" s="1"/>
  <c r="K137" i="58"/>
  <c r="K285" i="58" s="1"/>
  <c r="S134" i="58"/>
  <c r="S282" i="58" s="1"/>
  <c r="Y130" i="58"/>
  <c r="Y278" i="58" s="1"/>
  <c r="AJ134" i="58"/>
  <c r="AJ282" i="58" s="1"/>
  <c r="K124" i="58"/>
  <c r="K272" i="58" s="1"/>
  <c r="X131" i="58"/>
  <c r="X279" i="58" s="1"/>
  <c r="AC137" i="58"/>
  <c r="AC285" i="58" s="1"/>
  <c r="N133" i="58"/>
  <c r="N281" i="58" s="1"/>
  <c r="AA122" i="58"/>
  <c r="AA270" i="58" s="1"/>
  <c r="AH128" i="58"/>
  <c r="AH276" i="58" s="1"/>
  <c r="AE138" i="58"/>
  <c r="AE286" i="58" s="1"/>
  <c r="Q136" i="58"/>
  <c r="Q284" i="58" s="1"/>
  <c r="K136" i="58"/>
  <c r="K284" i="58" s="1"/>
  <c r="AE124" i="58"/>
  <c r="AE272" i="58" s="1"/>
  <c r="O133" i="58"/>
  <c r="O281" i="58" s="1"/>
  <c r="U131" i="58"/>
  <c r="U279" i="58" s="1"/>
  <c r="X139" i="58"/>
  <c r="X287" i="58" s="1"/>
  <c r="U140" i="58"/>
  <c r="U288" i="58" s="1"/>
  <c r="M130" i="58"/>
  <c r="M278" i="58" s="1"/>
  <c r="R134" i="58"/>
  <c r="R282" i="58" s="1"/>
  <c r="P122" i="58"/>
  <c r="P270" i="58" s="1"/>
  <c r="AF128" i="58"/>
  <c r="AF276" i="58" s="1"/>
  <c r="L130" i="58"/>
  <c r="L278" i="58" s="1"/>
  <c r="AB137" i="58"/>
  <c r="AB285" i="58" s="1"/>
  <c r="AK122" i="58"/>
  <c r="AK270" i="58" s="1"/>
  <c r="AK137" i="58"/>
  <c r="AK285" i="58" s="1"/>
  <c r="AD126" i="58"/>
  <c r="AD274" i="58" s="1"/>
  <c r="K121" i="58"/>
  <c r="K269" i="58" s="1"/>
  <c r="K268" i="58"/>
  <c r="AB123" i="58"/>
  <c r="AB271" i="58" s="1"/>
  <c r="Q132" i="58"/>
  <c r="Q280" i="58" s="1"/>
  <c r="O122" i="58"/>
  <c r="O270" i="58" s="1"/>
  <c r="Z135" i="58"/>
  <c r="Z283" i="58" s="1"/>
  <c r="U128" i="58"/>
  <c r="U276" i="58" s="1"/>
  <c r="AH132" i="58"/>
  <c r="AH280" i="58" s="1"/>
  <c r="N125" i="58"/>
  <c r="N273" i="58" s="1"/>
  <c r="AL139" i="58"/>
  <c r="AL287" i="58" s="1"/>
  <c r="AK138" i="58"/>
  <c r="AK286" i="58" s="1"/>
  <c r="AG124" i="58"/>
  <c r="AG272" i="58" s="1"/>
  <c r="AE121" i="58"/>
  <c r="AE269" i="58" s="1"/>
  <c r="AE268" i="58"/>
  <c r="AH123" i="58"/>
  <c r="AH271" i="58" s="1"/>
  <c r="U124" i="58"/>
  <c r="U272" i="58" s="1"/>
  <c r="AC138" i="58"/>
  <c r="AC286" i="58" s="1"/>
  <c r="L122" i="58"/>
  <c r="L270" i="58" s="1"/>
  <c r="V123" i="58"/>
  <c r="V271" i="58" s="1"/>
  <c r="Y121" i="58"/>
  <c r="Y269" i="58" s="1"/>
  <c r="Y268" i="58"/>
  <c r="V135" i="58"/>
  <c r="V283" i="58" s="1"/>
  <c r="W137" i="58"/>
  <c r="W285" i="58" s="1"/>
  <c r="T132" i="58"/>
  <c r="T280" i="58" s="1"/>
  <c r="AF137" i="58"/>
  <c r="AF285" i="58" s="1"/>
  <c r="S127" i="58"/>
  <c r="S275" i="58" s="1"/>
  <c r="M132" i="58"/>
  <c r="M280" i="58" s="1"/>
  <c r="K123" i="58"/>
  <c r="K271" i="58" s="1"/>
  <c r="AL140" i="58"/>
  <c r="AL288" i="58" s="1"/>
  <c r="AH134" i="58"/>
  <c r="AH282" i="58" s="1"/>
  <c r="R121" i="58"/>
  <c r="R269" i="58" s="1"/>
  <c r="R268" i="58"/>
  <c r="AJ140" i="58"/>
  <c r="AJ288" i="58" s="1"/>
  <c r="AJ125" i="58"/>
  <c r="AJ273" i="58" s="1"/>
  <c r="AL134" i="58"/>
  <c r="AL282" i="58" s="1"/>
  <c r="AK130" i="58"/>
  <c r="AK278" i="58" s="1"/>
  <c r="P135" i="58"/>
  <c r="P283" i="58" s="1"/>
  <c r="AF127" i="58"/>
  <c r="AF275" i="58" s="1"/>
  <c r="W124" i="58"/>
  <c r="W272" i="58" s="1"/>
  <c r="AA140" i="58"/>
  <c r="AA288" i="58" s="1"/>
  <c r="X127" i="58"/>
  <c r="X275" i="58" s="1"/>
  <c r="T139" i="58"/>
  <c r="T287" i="58" s="1"/>
  <c r="U129" i="58"/>
  <c r="U277" i="58" s="1"/>
  <c r="V128" i="58"/>
  <c r="V276" i="58" s="1"/>
  <c r="AH138" i="58"/>
  <c r="AH286" i="58" s="1"/>
  <c r="V125" i="58"/>
  <c r="V273" i="58" s="1"/>
  <c r="AL128" i="58"/>
  <c r="AL276" i="58" s="1"/>
  <c r="V133" i="58"/>
  <c r="V281" i="58" s="1"/>
  <c r="AF134" i="58"/>
  <c r="AF282" i="58" s="1"/>
  <c r="AF122" i="58"/>
  <c r="AF270" i="58" s="1"/>
  <c r="Y136" i="58"/>
  <c r="Y284" i="58" s="1"/>
  <c r="AD131" i="58"/>
  <c r="AD279" i="58" s="1"/>
  <c r="AJ137" i="58"/>
  <c r="AJ285" i="58" s="1"/>
  <c r="Z134" i="58"/>
  <c r="Z282" i="58" s="1"/>
  <c r="X121" i="58"/>
  <c r="X269" i="58" s="1"/>
  <c r="X268" i="58"/>
  <c r="N122" i="58"/>
  <c r="N270" i="58" s="1"/>
  <c r="K126" i="58"/>
  <c r="K274" i="58" s="1"/>
  <c r="AD123" i="58"/>
  <c r="AD271" i="58" s="1"/>
  <c r="AE137" i="58"/>
  <c r="AE285" i="58" s="1"/>
  <c r="R135" i="58"/>
  <c r="R283" i="58" s="1"/>
  <c r="AF139" i="58"/>
  <c r="AF287" i="58" s="1"/>
  <c r="AC129" i="58"/>
  <c r="AC277" i="58" s="1"/>
  <c r="AC122" i="58"/>
  <c r="AC270" i="58" s="1"/>
  <c r="Y133" i="58"/>
  <c r="Y281" i="58" s="1"/>
  <c r="AB128" i="58"/>
  <c r="AB276" i="58" s="1"/>
  <c r="N137" i="58"/>
  <c r="N285" i="58" s="1"/>
  <c r="M138" i="58"/>
  <c r="M286" i="58" s="1"/>
  <c r="V127" i="58"/>
  <c r="V275" i="58" s="1"/>
  <c r="Z139" i="58"/>
  <c r="Z287" i="58" s="1"/>
  <c r="W126" i="58"/>
  <c r="W274" i="58" s="1"/>
  <c r="S125" i="58"/>
  <c r="S273" i="58" s="1"/>
  <c r="M122" i="58"/>
  <c r="M270" i="58" s="1"/>
  <c r="U127" i="58"/>
  <c r="U275" i="58" s="1"/>
  <c r="AK133" i="58"/>
  <c r="AK281" i="58" s="1"/>
  <c r="R138" i="58"/>
  <c r="R286" i="58" s="1"/>
  <c r="AE129" i="58"/>
  <c r="AE277" i="58" s="1"/>
  <c r="AG136" i="58"/>
  <c r="AG284" i="58" s="1"/>
  <c r="Q131" i="58"/>
  <c r="Q279" i="58" s="1"/>
  <c r="K129" i="58"/>
  <c r="K277" i="58" s="1"/>
  <c r="AG137" i="58"/>
  <c r="AG285" i="58" s="1"/>
  <c r="AD121" i="58"/>
  <c r="AD269" i="58" s="1"/>
  <c r="AD268" i="58"/>
  <c r="T133" i="58"/>
  <c r="T281" i="58" s="1"/>
  <c r="W138" i="58"/>
  <c r="W286" i="58" s="1"/>
  <c r="W130" i="58"/>
  <c r="W278" i="58" s="1"/>
  <c r="T135" i="58"/>
  <c r="T283" i="58" s="1"/>
  <c r="AA123" i="58"/>
  <c r="AA271" i="58" s="1"/>
  <c r="Q139" i="58"/>
  <c r="Q287" i="58" s="1"/>
  <c r="U123" i="58"/>
  <c r="U271" i="58" s="1"/>
  <c r="W121" i="58"/>
  <c r="W269" i="58" s="1"/>
  <c r="W268" i="58"/>
  <c r="Y135" i="58"/>
  <c r="Y283" i="58" s="1"/>
  <c r="AG129" i="58"/>
  <c r="AG277" i="58" s="1"/>
  <c r="S139" i="58"/>
  <c r="S287" i="58" s="1"/>
  <c r="O134" i="58"/>
  <c r="O282" i="58" s="1"/>
  <c r="L138" i="58"/>
  <c r="L286" i="58" s="1"/>
  <c r="AC124" i="58"/>
  <c r="AC272" i="58" s="1"/>
  <c r="AH136" i="58"/>
  <c r="AH284" i="58" s="1"/>
  <c r="AB129" i="58"/>
  <c r="AB277" i="58" s="1"/>
  <c r="N129" i="58"/>
  <c r="N277" i="58" s="1"/>
  <c r="W128" i="58"/>
  <c r="W276" i="58" s="1"/>
  <c r="W135" i="58"/>
  <c r="W283" i="58" s="1"/>
  <c r="O131" i="58"/>
  <c r="O279" i="58" s="1"/>
  <c r="X136" i="58"/>
  <c r="X284" i="58" s="1"/>
  <c r="Y131" i="58"/>
  <c r="Y279" i="58" s="1"/>
  <c r="L134" i="58"/>
  <c r="L282" i="58" s="1"/>
  <c r="Q124" i="58"/>
  <c r="Q272" i="58" s="1"/>
  <c r="AC126" i="58"/>
  <c r="AC274" i="58" s="1"/>
  <c r="AC139" i="58"/>
  <c r="AC287" i="58" s="1"/>
  <c r="AD134" i="58"/>
  <c r="AD282" i="58" s="1"/>
  <c r="K127" i="58"/>
  <c r="K275" i="58" s="1"/>
  <c r="M127" i="58"/>
  <c r="M275" i="58" s="1"/>
  <c r="AG139" i="58"/>
  <c r="AG287" i="58" s="1"/>
  <c r="S132" i="58"/>
  <c r="S280" i="58" s="1"/>
  <c r="AA124" i="58"/>
  <c r="AA272" i="58" s="1"/>
  <c r="L126" i="58"/>
  <c r="L274" i="58" s="1"/>
  <c r="S131" i="58"/>
  <c r="S279" i="58" s="1"/>
  <c r="Q130" i="58"/>
  <c r="Q278" i="58" s="1"/>
  <c r="AE123" i="58"/>
  <c r="AE271" i="58" s="1"/>
  <c r="AB135" i="58"/>
  <c r="AB283" i="58" s="1"/>
  <c r="M126" i="58"/>
  <c r="M274" i="58" s="1"/>
  <c r="L124" i="58"/>
  <c r="L272" i="58" s="1"/>
  <c r="P134" i="58"/>
  <c r="P282" i="58" s="1"/>
  <c r="V129" i="58"/>
  <c r="V277" i="58" s="1"/>
  <c r="N130" i="58"/>
  <c r="N278" i="58" s="1"/>
  <c r="P125" i="58"/>
  <c r="P273" i="58" s="1"/>
  <c r="AA134" i="58"/>
  <c r="AA282" i="58" s="1"/>
  <c r="N134" i="58"/>
  <c r="N282" i="58" s="1"/>
  <c r="W131" i="58"/>
  <c r="W279" i="58" s="1"/>
  <c r="R122" i="58"/>
  <c r="R270" i="58" s="1"/>
  <c r="AK123" i="58"/>
  <c r="AK271" i="58" s="1"/>
  <c r="R136" i="58"/>
  <c r="R284" i="58" s="1"/>
  <c r="W139" i="58"/>
  <c r="W287" i="58" s="1"/>
  <c r="Q127" i="58"/>
  <c r="Q275" i="58" s="1"/>
  <c r="Y127" i="58"/>
  <c r="Y275" i="58" s="1"/>
  <c r="O137" i="58"/>
  <c r="O285" i="58" s="1"/>
  <c r="U137" i="58"/>
  <c r="U285" i="58" s="1"/>
  <c r="AF135" i="58"/>
  <c r="AF283" i="58" s="1"/>
  <c r="Y134" i="58"/>
  <c r="Y282" i="58" s="1"/>
  <c r="Q125" i="58"/>
  <c r="Q273" i="58" s="1"/>
  <c r="Z140" i="58"/>
  <c r="Z288" i="58" s="1"/>
  <c r="AJ123" i="58"/>
  <c r="AJ271" i="58" s="1"/>
  <c r="AG126" i="58"/>
  <c r="AG274" i="58" s="1"/>
  <c r="AJ135" i="58"/>
  <c r="AJ283" i="58" s="1"/>
  <c r="V122" i="58"/>
  <c r="V270" i="58" s="1"/>
  <c r="AD129" i="58"/>
  <c r="AD277" i="58" s="1"/>
  <c r="S128" i="58"/>
  <c r="S276" i="58" s="1"/>
  <c r="AF130" i="58"/>
  <c r="AF278" i="58" s="1"/>
  <c r="Z129" i="58"/>
  <c r="Z277" i="58" s="1"/>
  <c r="AG121" i="58"/>
  <c r="AG269" i="58" s="1"/>
  <c r="AG268" i="58"/>
  <c r="L127" i="58"/>
  <c r="L275" i="58" s="1"/>
  <c r="V134" i="58"/>
  <c r="V282" i="58" s="1"/>
  <c r="AI123" i="58"/>
  <c r="AI271" i="58" s="1"/>
  <c r="AL125" i="58"/>
  <c r="AL273" i="58" s="1"/>
  <c r="AL121" i="58"/>
  <c r="AL269" i="58" s="1"/>
  <c r="AL268" i="58"/>
  <c r="AL126" i="58"/>
  <c r="AL274" i="58" s="1"/>
  <c r="Q129" i="58"/>
  <c r="Q277" i="58" s="1"/>
  <c r="K139" i="58"/>
  <c r="K287" i="58" s="1"/>
  <c r="S124" i="58"/>
  <c r="S272" i="58" s="1"/>
  <c r="M139" i="58"/>
  <c r="M287" i="58" s="1"/>
  <c r="U139" i="58"/>
  <c r="U287" i="58" s="1"/>
  <c r="T130" i="58"/>
  <c r="T278" i="58" s="1"/>
  <c r="AH133" i="58"/>
  <c r="AH281" i="58" s="1"/>
  <c r="AL138" i="58"/>
  <c r="AL286" i="58" s="1"/>
  <c r="AL129" i="58"/>
  <c r="AL277" i="58" s="1"/>
  <c r="S136" i="58"/>
  <c r="S284" i="58" s="1"/>
  <c r="AD135" i="58"/>
  <c r="AD283" i="58" s="1"/>
  <c r="T127" i="58"/>
  <c r="T275" i="58" s="1"/>
  <c r="Q121" i="58"/>
  <c r="Q269" i="58" s="1"/>
  <c r="Q268" i="58"/>
  <c r="AG123" i="58"/>
  <c r="AG271" i="58" s="1"/>
  <c r="AC127" i="58"/>
  <c r="AC275" i="58" s="1"/>
  <c r="AG134" i="58"/>
  <c r="AG282" i="58" s="1"/>
  <c r="P129" i="58"/>
  <c r="P277" i="58" s="1"/>
  <c r="AH122" i="58"/>
  <c r="AH270" i="58" s="1"/>
  <c r="O124" i="58"/>
  <c r="O272" i="58" s="1"/>
  <c r="W133" i="58"/>
  <c r="W281" i="58" s="1"/>
  <c r="K100" i="64" l="1"/>
  <c r="U100" i="64"/>
  <c r="K103" i="64"/>
  <c r="U103" i="64"/>
  <c r="K98" i="64"/>
  <c r="U98" i="64"/>
  <c r="K101" i="64"/>
  <c r="U101" i="64"/>
  <c r="K97" i="64"/>
  <c r="U97" i="64"/>
  <c r="K96" i="64"/>
  <c r="U96" i="64"/>
  <c r="K99" i="64"/>
  <c r="U99" i="64"/>
  <c r="K102" i="64"/>
  <c r="U102" i="64"/>
  <c r="S116" i="64"/>
  <c r="Q84" i="64"/>
  <c r="AH112" i="64"/>
  <c r="AI118" i="64"/>
  <c r="R79" i="64"/>
  <c r="Q116" i="64"/>
  <c r="AI115" i="64"/>
  <c r="AH97" i="64"/>
  <c r="AI82" i="64"/>
  <c r="AB95" i="64"/>
  <c r="AB118" i="64"/>
  <c r="AD83" i="64"/>
  <c r="Q120" i="64"/>
  <c r="S102" i="64"/>
  <c r="V95" i="64"/>
  <c r="Z99" i="64"/>
  <c r="Q115" i="64"/>
  <c r="AH115" i="64"/>
  <c r="S120" i="64"/>
  <c r="AD98" i="64"/>
  <c r="Q96" i="64"/>
  <c r="R115" i="64"/>
  <c r="AK96" i="64"/>
  <c r="S99" i="64"/>
  <c r="Z100" i="64"/>
  <c r="Z97" i="64"/>
  <c r="AH96" i="64"/>
  <c r="AI120" i="64"/>
  <c r="AB120" i="64"/>
  <c r="S85" i="64"/>
  <c r="AD112" i="64"/>
  <c r="R86" i="64"/>
  <c r="AD103" i="64"/>
  <c r="AI113" i="64"/>
  <c r="AH81" i="64"/>
  <c r="AD96" i="64"/>
  <c r="Q102" i="64"/>
  <c r="AD115" i="64"/>
  <c r="AH99" i="64"/>
  <c r="AH103" i="64"/>
  <c r="AD113" i="64"/>
  <c r="AB81" i="64"/>
  <c r="AD116" i="64"/>
  <c r="AK97" i="64"/>
  <c r="S79" i="64"/>
  <c r="AK103" i="64"/>
  <c r="AI98" i="64"/>
  <c r="R102" i="64"/>
  <c r="S100" i="64"/>
  <c r="AH118" i="64"/>
  <c r="S117" i="64"/>
  <c r="AI100" i="64"/>
  <c r="R101" i="64"/>
  <c r="AB102" i="64"/>
  <c r="R100" i="64"/>
  <c r="AI80" i="64"/>
  <c r="Z96" i="64"/>
  <c r="R99" i="64"/>
  <c r="AD84" i="64"/>
  <c r="R120" i="64"/>
  <c r="AH80" i="64"/>
  <c r="Q103" i="64"/>
  <c r="AH120" i="64"/>
  <c r="AB113" i="64"/>
  <c r="Q95" i="64"/>
  <c r="AH101" i="64"/>
  <c r="AI102" i="64"/>
  <c r="AH83" i="64"/>
  <c r="AI79" i="64"/>
  <c r="AK102" i="64"/>
  <c r="AD79" i="64"/>
  <c r="S81" i="64"/>
  <c r="V98" i="64"/>
  <c r="Z103" i="64"/>
  <c r="AB103" i="64"/>
  <c r="AH102" i="64"/>
  <c r="Q99" i="64"/>
  <c r="Z102" i="64"/>
  <c r="S115" i="64"/>
  <c r="AI103" i="64"/>
  <c r="R98" i="64"/>
  <c r="S82" i="64"/>
  <c r="AI83" i="64"/>
  <c r="V101" i="64"/>
  <c r="Q97" i="64"/>
  <c r="Q81" i="64"/>
  <c r="AH119" i="64"/>
  <c r="AH85" i="64"/>
  <c r="S103" i="64"/>
  <c r="S97" i="64"/>
  <c r="S101" i="64"/>
  <c r="R95" i="64"/>
  <c r="AH116" i="64"/>
  <c r="AD117" i="64"/>
  <c r="Q85" i="64"/>
  <c r="AI97" i="64"/>
  <c r="AI99" i="64"/>
  <c r="AB115" i="64"/>
  <c r="AH82" i="64"/>
  <c r="AD119" i="64"/>
  <c r="R112" i="64"/>
  <c r="V96" i="64"/>
  <c r="S112" i="64"/>
  <c r="AD102" i="64"/>
  <c r="AK99" i="64"/>
  <c r="AI95" i="64"/>
  <c r="Q113" i="64"/>
  <c r="Q79" i="64"/>
  <c r="AB116" i="64"/>
  <c r="R117" i="64"/>
  <c r="AD86" i="64"/>
  <c r="AI96" i="64"/>
  <c r="AD85" i="64"/>
  <c r="AB112" i="64"/>
  <c r="Q78" i="64"/>
  <c r="Z101" i="64"/>
  <c r="R96" i="64"/>
  <c r="AI85" i="64"/>
  <c r="AB97" i="64"/>
  <c r="S98" i="64"/>
  <c r="Q101" i="64"/>
  <c r="AD97" i="64"/>
  <c r="AD99" i="64"/>
  <c r="AB79" i="64"/>
  <c r="S84" i="64"/>
  <c r="AH84" i="64"/>
  <c r="AB80" i="64"/>
  <c r="AB117" i="64"/>
  <c r="R78" i="64"/>
  <c r="S114" i="64"/>
  <c r="V97" i="64"/>
  <c r="AD100" i="64"/>
  <c r="AK101" i="64"/>
  <c r="AH100" i="64"/>
  <c r="S80" i="64"/>
  <c r="S95" i="64"/>
  <c r="AH114" i="64"/>
  <c r="AH79" i="64"/>
  <c r="V102" i="64"/>
  <c r="AI86" i="64"/>
  <c r="Q118" i="64"/>
  <c r="AH113" i="64"/>
  <c r="R119" i="64"/>
  <c r="AB99" i="64"/>
  <c r="S86" i="64"/>
  <c r="AI78" i="64"/>
  <c r="Q112" i="64"/>
  <c r="AB96" i="64"/>
  <c r="R81" i="64"/>
  <c r="R83" i="64"/>
  <c r="Q86" i="64"/>
  <c r="V103" i="64"/>
  <c r="AB119" i="64"/>
  <c r="AB114" i="64"/>
  <c r="AK100" i="64"/>
  <c r="S113" i="64"/>
  <c r="AB98" i="64"/>
  <c r="AI119" i="64"/>
  <c r="AH117" i="64"/>
  <c r="R114" i="64"/>
  <c r="R116" i="64"/>
  <c r="AD82" i="64"/>
  <c r="AH78" i="64"/>
  <c r="AK98" i="64"/>
  <c r="AK95" i="64"/>
  <c r="AD120" i="64"/>
  <c r="R113" i="64"/>
  <c r="AH95" i="64"/>
  <c r="Q80" i="64"/>
  <c r="R82" i="64"/>
  <c r="AD118" i="64"/>
  <c r="S119" i="64"/>
  <c r="S96" i="64"/>
  <c r="AD78" i="64"/>
  <c r="V99" i="64"/>
  <c r="AB101" i="64"/>
  <c r="AI116" i="64"/>
  <c r="AD114" i="64"/>
  <c r="Q119" i="64"/>
  <c r="Q82" i="64"/>
  <c r="V100" i="64"/>
  <c r="AB83" i="64"/>
  <c r="Q83" i="64"/>
  <c r="AB86" i="64"/>
  <c r="AI117" i="64"/>
  <c r="R85" i="64"/>
  <c r="AI84" i="64"/>
  <c r="AB78" i="64"/>
  <c r="R84" i="64"/>
  <c r="Q114" i="64"/>
  <c r="AB100" i="64"/>
  <c r="Q98" i="64"/>
  <c r="AD95" i="64"/>
  <c r="AI112" i="64"/>
  <c r="Q100" i="64"/>
  <c r="Z95" i="64"/>
  <c r="AI101" i="64"/>
  <c r="AH98" i="64"/>
  <c r="R103" i="64"/>
  <c r="AD81" i="64"/>
  <c r="Q117" i="64"/>
  <c r="AD80" i="64"/>
  <c r="AB85" i="64"/>
  <c r="AI114" i="64"/>
  <c r="R118" i="64"/>
  <c r="AD101" i="64"/>
  <c r="S78" i="64"/>
  <c r="AB84" i="64"/>
  <c r="R97" i="64"/>
  <c r="R80" i="64"/>
  <c r="AI81" i="64"/>
  <c r="S83" i="64"/>
  <c r="AH86" i="64"/>
  <c r="AB82" i="64"/>
  <c r="S118" i="64"/>
  <c r="Z98" i="64"/>
  <c r="B22" i="55" l="1"/>
  <c r="A22" i="55"/>
  <c r="A140" i="55" s="1"/>
  <c r="AK22" i="55"/>
  <c r="A23" i="55"/>
  <c r="B23" i="55"/>
  <c r="B124" i="55" l="1"/>
  <c r="B141" i="55"/>
  <c r="A124" i="55"/>
  <c r="A141" i="55"/>
  <c r="B123" i="55"/>
  <c r="B140" i="55"/>
  <c r="AN22" i="55"/>
  <c r="A123" i="55"/>
  <c r="AK23" i="55"/>
  <c r="AN23" i="55"/>
  <c r="L354" i="62" a="1"/>
  <c r="L354" i="62" s="1"/>
  <c r="M354" i="62" a="1"/>
  <c r="M354" i="62" s="1"/>
  <c r="N354" i="62" a="1"/>
  <c r="N354" i="62" s="1"/>
  <c r="O354" i="62" a="1"/>
  <c r="O354" i="62" s="1"/>
  <c r="P354" i="62" a="1"/>
  <c r="P354" i="62"/>
  <c r="Q354" i="62" a="1"/>
  <c r="Q354" i="62" s="1"/>
  <c r="R354" i="62" a="1"/>
  <c r="R354" i="62" s="1"/>
  <c r="R405" i="62" s="1"/>
  <c r="R173" i="58" s="1"/>
  <c r="R317" i="58" s="1"/>
  <c r="S354" i="62" a="1"/>
  <c r="S354" i="62"/>
  <c r="T354" i="62" a="1"/>
  <c r="T354" i="62" s="1"/>
  <c r="U354" i="62" a="1"/>
  <c r="U354" i="62" s="1"/>
  <c r="V354" i="62" a="1"/>
  <c r="V354" i="62" s="1"/>
  <c r="W354" i="62" a="1"/>
  <c r="W354" i="62" s="1"/>
  <c r="X354" i="62" a="1"/>
  <c r="X354" i="62" s="1"/>
  <c r="Y354" i="62" a="1"/>
  <c r="Y354" i="62" s="1"/>
  <c r="Z354" i="62" a="1"/>
  <c r="Z354" i="62"/>
  <c r="AA354" i="62" a="1"/>
  <c r="AA354" i="62" s="1"/>
  <c r="AB354" i="62" a="1"/>
  <c r="AB354" i="62" s="1"/>
  <c r="AC354" i="62" a="1"/>
  <c r="AC354" i="62"/>
  <c r="AD354" i="62" a="1"/>
  <c r="AD354" i="62" s="1"/>
  <c r="AE354" i="62" a="1"/>
  <c r="AE354" i="62" s="1"/>
  <c r="AF354" i="62" a="1"/>
  <c r="AF354" i="62" s="1"/>
  <c r="AG354" i="62" a="1"/>
  <c r="AG354" i="62" s="1"/>
  <c r="AH354" i="62" a="1"/>
  <c r="AH354" i="62" s="1"/>
  <c r="AI354" i="62" a="1"/>
  <c r="AI354" i="62" s="1"/>
  <c r="AJ354" i="62" a="1"/>
  <c r="AJ354" i="62"/>
  <c r="AK354" i="62" a="1"/>
  <c r="AK354" i="62" s="1"/>
  <c r="AL354" i="62" a="1"/>
  <c r="AL354" i="62" s="1"/>
  <c r="K354" i="62" a="1"/>
  <c r="K354" i="62"/>
  <c r="L309" i="62" a="1"/>
  <c r="L309" i="62" s="1"/>
  <c r="L405" i="62" s="1"/>
  <c r="L173" i="58" s="1"/>
  <c r="L317" i="58" s="1"/>
  <c r="M309" i="62" a="1"/>
  <c r="M309" i="62" s="1"/>
  <c r="M405" i="62" s="1"/>
  <c r="M173" i="58" s="1"/>
  <c r="M317" i="58" s="1"/>
  <c r="N309" i="62" a="1"/>
  <c r="N309" i="62" s="1"/>
  <c r="O309" i="62" a="1"/>
  <c r="O309" i="62" s="1"/>
  <c r="O405" i="62" s="1"/>
  <c r="O173" i="58" s="1"/>
  <c r="O317" i="58" s="1"/>
  <c r="P309" i="62" a="1"/>
  <c r="P309" i="62" s="1"/>
  <c r="P405" i="62" s="1"/>
  <c r="P173" i="58" s="1"/>
  <c r="P317" i="58" s="1"/>
  <c r="Q309" i="62" a="1"/>
  <c r="Q309" i="62" s="1"/>
  <c r="R309" i="62" a="1"/>
  <c r="R309" i="62"/>
  <c r="S309" i="62" a="1"/>
  <c r="S309" i="62" s="1"/>
  <c r="S405" i="62" s="1"/>
  <c r="S173" i="58" s="1"/>
  <c r="S317" i="58" s="1"/>
  <c r="T309" i="62" a="1"/>
  <c r="T309" i="62" s="1"/>
  <c r="U309" i="62" a="1"/>
  <c r="U309" i="62"/>
  <c r="V309" i="62" a="1"/>
  <c r="V309" i="62" s="1"/>
  <c r="W309" i="62" a="1"/>
  <c r="W309" i="62" s="1"/>
  <c r="X309" i="62" a="1"/>
  <c r="X309" i="62" s="1"/>
  <c r="Y309" i="62" a="1"/>
  <c r="Y309" i="62" s="1"/>
  <c r="Z309" i="62" a="1"/>
  <c r="Z309" i="62" s="1"/>
  <c r="Z405" i="62" s="1"/>
  <c r="Z173" i="58" s="1"/>
  <c r="Z317" i="58" s="1"/>
  <c r="AA309" i="62" a="1"/>
  <c r="AA309" i="62" s="1"/>
  <c r="AA405" i="62" s="1"/>
  <c r="AA173" i="58" s="1"/>
  <c r="AA317" i="58" s="1"/>
  <c r="AB309" i="62" a="1"/>
  <c r="AB309" i="62"/>
  <c r="AB405" i="62" s="1"/>
  <c r="AB173" i="58" s="1"/>
  <c r="AB317" i="58" s="1"/>
  <c r="AC309" i="62" a="1"/>
  <c r="AC309" i="62" s="1"/>
  <c r="AC405" i="62" s="1"/>
  <c r="AC173" i="58" s="1"/>
  <c r="AC317" i="58" s="1"/>
  <c r="AD309" i="62" a="1"/>
  <c r="AD309" i="62" s="1"/>
  <c r="AD405" i="62" s="1"/>
  <c r="AD173" i="58" s="1"/>
  <c r="AD317" i="58" s="1"/>
  <c r="AE309" i="62" a="1"/>
  <c r="AE309" i="62"/>
  <c r="AE405" i="62" s="1"/>
  <c r="AE173" i="58" s="1"/>
  <c r="AE317" i="58" s="1"/>
  <c r="AF309" i="62" a="1"/>
  <c r="AF309" i="62" s="1"/>
  <c r="AF405" i="62" s="1"/>
  <c r="AF173" i="58" s="1"/>
  <c r="AF317" i="58" s="1"/>
  <c r="AG309" i="62" a="1"/>
  <c r="AG309" i="62" s="1"/>
  <c r="AH309" i="62" a="1"/>
  <c r="AH309" i="62" s="1"/>
  <c r="AI309" i="62" a="1"/>
  <c r="AI309" i="62" s="1"/>
  <c r="AJ309" i="62" a="1"/>
  <c r="AJ309" i="62" s="1"/>
  <c r="AJ405" i="62" s="1"/>
  <c r="AJ173" i="58" s="1"/>
  <c r="AJ317" i="58" s="1"/>
  <c r="AK309" i="62" a="1"/>
  <c r="AK309" i="62" s="1"/>
  <c r="AL309" i="62" a="1"/>
  <c r="AL309" i="62" s="1"/>
  <c r="K309" i="62" a="1"/>
  <c r="K309" i="62" s="1"/>
  <c r="K405" i="62" s="1"/>
  <c r="K173" i="58" s="1"/>
  <c r="K317" i="58" s="1"/>
  <c r="L255" i="62" a="1"/>
  <c r="L255" i="62" s="1"/>
  <c r="M255" i="62" a="1"/>
  <c r="M255" i="62"/>
  <c r="N255" i="62" a="1"/>
  <c r="N255" i="62" s="1"/>
  <c r="O255" i="62" a="1"/>
  <c r="O255" i="62" s="1"/>
  <c r="O306" i="62" s="1"/>
  <c r="O172" i="58" s="1"/>
  <c r="O316" i="58" s="1"/>
  <c r="P255" i="62" a="1"/>
  <c r="P255" i="62" s="1"/>
  <c r="Q255" i="62" a="1"/>
  <c r="Q255" i="62" s="1"/>
  <c r="R255" i="62" a="1"/>
  <c r="R255" i="62" s="1"/>
  <c r="S255" i="62" a="1"/>
  <c r="S255" i="62" s="1"/>
  <c r="T255" i="62" a="1"/>
  <c r="T255" i="62" s="1"/>
  <c r="U255" i="62" a="1"/>
  <c r="U255" i="62" s="1"/>
  <c r="V255" i="62" a="1"/>
  <c r="V255" i="62" s="1"/>
  <c r="W255" i="62" a="1"/>
  <c r="W255" i="62"/>
  <c r="X255" i="62" a="1"/>
  <c r="X255" i="62" s="1"/>
  <c r="Y255" i="62" a="1"/>
  <c r="Y255" i="62" s="1"/>
  <c r="Y306" i="62" s="1"/>
  <c r="Y172" i="58" s="1"/>
  <c r="Y316" i="58" s="1"/>
  <c r="Z255" i="62" a="1"/>
  <c r="Z255" i="62" s="1"/>
  <c r="AA255" i="62" a="1"/>
  <c r="AA255" i="62" s="1"/>
  <c r="AB255" i="62" a="1"/>
  <c r="AB255" i="62" s="1"/>
  <c r="AC255" i="62" a="1"/>
  <c r="AC255" i="62" s="1"/>
  <c r="AD255" i="62" a="1"/>
  <c r="AD255" i="62" s="1"/>
  <c r="AE255" i="62" a="1"/>
  <c r="AE255" i="62" s="1"/>
  <c r="AF255" i="62" a="1"/>
  <c r="AF255" i="62" s="1"/>
  <c r="AG255" i="62" a="1"/>
  <c r="AG255" i="62"/>
  <c r="AH255" i="62" a="1"/>
  <c r="AH255" i="62" s="1"/>
  <c r="AI255" i="62" a="1"/>
  <c r="AI255" i="62" s="1"/>
  <c r="AJ255" i="62" a="1"/>
  <c r="AJ255" i="62" s="1"/>
  <c r="AK255" i="62" a="1"/>
  <c r="AK255" i="62" s="1"/>
  <c r="AL255" i="62" a="1"/>
  <c r="AL255" i="62" s="1"/>
  <c r="K255" i="62" a="1"/>
  <c r="K255" i="62" s="1"/>
  <c r="L210" i="62" a="1"/>
  <c r="L210" i="62" s="1"/>
  <c r="M210" i="62" a="1"/>
  <c r="M210" i="62" s="1"/>
  <c r="M306" i="62" s="1"/>
  <c r="M172" i="58" s="1"/>
  <c r="M316" i="58" s="1"/>
  <c r="N210" i="62" a="1"/>
  <c r="N210" i="62" s="1"/>
  <c r="O210" i="62" a="1"/>
  <c r="O210" i="62"/>
  <c r="P210" i="62" a="1"/>
  <c r="P210" i="62" s="1"/>
  <c r="P306" i="62" s="1"/>
  <c r="P172" i="58" s="1"/>
  <c r="P316" i="58" s="1"/>
  <c r="Q210" i="62" a="1"/>
  <c r="Q210" i="62" s="1"/>
  <c r="R210" i="62" a="1"/>
  <c r="R210" i="62" s="1"/>
  <c r="S210" i="62" a="1"/>
  <c r="S210" i="62" s="1"/>
  <c r="T210" i="62" a="1"/>
  <c r="T210" i="62" s="1"/>
  <c r="U210" i="62" a="1"/>
  <c r="U210" i="62" s="1"/>
  <c r="U306" i="62" s="1"/>
  <c r="U172" i="58" s="1"/>
  <c r="U316" i="58" s="1"/>
  <c r="V210" i="62" a="1"/>
  <c r="V210" i="62" s="1"/>
  <c r="V306" i="62" s="1"/>
  <c r="V172" i="58" s="1"/>
  <c r="V316" i="58" s="1"/>
  <c r="W210" i="62" a="1"/>
  <c r="W210" i="62" s="1"/>
  <c r="W306" i="62" s="1"/>
  <c r="W172" i="58" s="1"/>
  <c r="W316" i="58" s="1"/>
  <c r="X210" i="62" a="1"/>
  <c r="X210" i="62" s="1"/>
  <c r="X306" i="62" s="1"/>
  <c r="X172" i="58" s="1"/>
  <c r="X316" i="58" s="1"/>
  <c r="Y210" i="62" a="1"/>
  <c r="Y210" i="62"/>
  <c r="Z210" i="62" a="1"/>
  <c r="Z210" i="62" s="1"/>
  <c r="Z306" i="62" s="1"/>
  <c r="Z172" i="58" s="1"/>
  <c r="Z316" i="58" s="1"/>
  <c r="AA210" i="62" a="1"/>
  <c r="AA210" i="62" s="1"/>
  <c r="AA306" i="62" s="1"/>
  <c r="AA172" i="58" s="1"/>
  <c r="AA316" i="58" s="1"/>
  <c r="AB210" i="62" a="1"/>
  <c r="AB210" i="62" s="1"/>
  <c r="AB306" i="62" s="1"/>
  <c r="AB172" i="58" s="1"/>
  <c r="AB316" i="58" s="1"/>
  <c r="AC210" i="62" a="1"/>
  <c r="AC210" i="62" s="1"/>
  <c r="AD210" i="62" a="1"/>
  <c r="AD210" i="62" s="1"/>
  <c r="AD306" i="62" s="1"/>
  <c r="AD172" i="58" s="1"/>
  <c r="AD316" i="58" s="1"/>
  <c r="AE210" i="62" a="1"/>
  <c r="AE210" i="62" s="1"/>
  <c r="AE306" i="62" s="1"/>
  <c r="AE172" i="58" s="1"/>
  <c r="AE316" i="58" s="1"/>
  <c r="AF210" i="62" a="1"/>
  <c r="AF210" i="62" s="1"/>
  <c r="AG210" i="62" a="1"/>
  <c r="AG210" i="62" s="1"/>
  <c r="AG306" i="62" s="1"/>
  <c r="AG172" i="58" s="1"/>
  <c r="AG316" i="58" s="1"/>
  <c r="AH210" i="62" a="1"/>
  <c r="AH210" i="62" s="1"/>
  <c r="AI210" i="62" a="1"/>
  <c r="AI210" i="62"/>
  <c r="AJ210" i="62" a="1"/>
  <c r="AJ210" i="62" s="1"/>
  <c r="AK210" i="62" a="1"/>
  <c r="AK210" i="62" s="1"/>
  <c r="AL210" i="62" a="1"/>
  <c r="AL210" i="62" s="1"/>
  <c r="K210" i="62" a="1"/>
  <c r="K210" i="62" s="1"/>
  <c r="K306" i="62" s="1"/>
  <c r="K172" i="58" s="1"/>
  <c r="K316" i="58" s="1"/>
  <c r="L156" i="62" a="1"/>
  <c r="L156" i="62" s="1"/>
  <c r="M156" i="62" a="1"/>
  <c r="M156" i="62" s="1"/>
  <c r="N156" i="62" a="1"/>
  <c r="N156" i="62" s="1"/>
  <c r="O156" i="62" a="1"/>
  <c r="O156" i="62" s="1"/>
  <c r="P156" i="62" a="1"/>
  <c r="P156" i="62" s="1"/>
  <c r="Q156" i="62" a="1"/>
  <c r="Q156" i="62" s="1"/>
  <c r="R156" i="62" a="1"/>
  <c r="R156" i="62" s="1"/>
  <c r="S156" i="62" a="1"/>
  <c r="S156" i="62" s="1"/>
  <c r="T156" i="62" a="1"/>
  <c r="T156" i="62" s="1"/>
  <c r="U156" i="62" a="1"/>
  <c r="U156" i="62" s="1"/>
  <c r="V156" i="62" a="1"/>
  <c r="V156" i="62" s="1"/>
  <c r="W156" i="62" a="1"/>
  <c r="W156" i="62" s="1"/>
  <c r="X156" i="62" a="1"/>
  <c r="X156" i="62" s="1"/>
  <c r="Y156" i="62" a="1"/>
  <c r="Y156" i="62" s="1"/>
  <c r="Z156" i="62" a="1"/>
  <c r="Z156" i="62" s="1"/>
  <c r="AA156" i="62" a="1"/>
  <c r="AA156" i="62" s="1"/>
  <c r="AB156" i="62" a="1"/>
  <c r="AB156" i="62" s="1"/>
  <c r="AC156" i="62" a="1"/>
  <c r="AC156" i="62" s="1"/>
  <c r="AD156" i="62" a="1"/>
  <c r="AD156" i="62" s="1"/>
  <c r="AE156" i="62" a="1"/>
  <c r="AE156" i="62" s="1"/>
  <c r="AF156" i="62" a="1"/>
  <c r="AF156" i="62" s="1"/>
  <c r="AG156" i="62" a="1"/>
  <c r="AG156" i="62" s="1"/>
  <c r="AH156" i="62" a="1"/>
  <c r="AH156" i="62" s="1"/>
  <c r="AI156" i="62" a="1"/>
  <c r="AI156" i="62" s="1"/>
  <c r="AJ156" i="62" a="1"/>
  <c r="AJ156" i="62" s="1"/>
  <c r="AK156" i="62" a="1"/>
  <c r="AK156" i="62" s="1"/>
  <c r="AL156" i="62" a="1"/>
  <c r="AL156" i="62" s="1"/>
  <c r="K156" i="62" a="1"/>
  <c r="K156" i="62" s="1"/>
  <c r="P111" i="62" a="1"/>
  <c r="P111" i="62" s="1"/>
  <c r="Q111" i="62" a="1"/>
  <c r="Q111" i="62" s="1"/>
  <c r="R111" i="62" a="1"/>
  <c r="R111" i="62" s="1"/>
  <c r="S111" i="62" a="1"/>
  <c r="S111" i="62" s="1"/>
  <c r="T111" i="62" a="1"/>
  <c r="T111" i="62" s="1"/>
  <c r="T207" i="62" s="1"/>
  <c r="T171" i="58" s="1"/>
  <c r="T315" i="58" s="1"/>
  <c r="U111" i="62" a="1"/>
  <c r="U111" i="62" s="1"/>
  <c r="V111" i="62" a="1"/>
  <c r="V111" i="62" s="1"/>
  <c r="W111" i="62" a="1"/>
  <c r="W111" i="62" s="1"/>
  <c r="W207" i="62" s="1"/>
  <c r="W171" i="58" s="1"/>
  <c r="W315" i="58" s="1"/>
  <c r="X111" i="62" a="1"/>
  <c r="X111" i="62" s="1"/>
  <c r="Y111" i="62" a="1"/>
  <c r="Y111" i="62" s="1"/>
  <c r="Z111" i="62" a="1"/>
  <c r="Z111" i="62" s="1"/>
  <c r="AA111" i="62" a="1"/>
  <c r="AA111" i="62" s="1"/>
  <c r="AA207" i="62" s="1"/>
  <c r="AA171" i="58" s="1"/>
  <c r="AA315" i="58" s="1"/>
  <c r="AB111" i="62" a="1"/>
  <c r="AB111" i="62" s="1"/>
  <c r="AB207" i="62" s="1"/>
  <c r="AB171" i="58" s="1"/>
  <c r="AB315" i="58" s="1"/>
  <c r="AC111" i="62" a="1"/>
  <c r="AC111" i="62" s="1"/>
  <c r="AC207" i="62" s="1"/>
  <c r="AC171" i="58" s="1"/>
  <c r="AC315" i="58" s="1"/>
  <c r="AD111" i="62" a="1"/>
  <c r="AD111" i="62" s="1"/>
  <c r="AD207" i="62" s="1"/>
  <c r="AD171" i="58" s="1"/>
  <c r="AD315" i="58" s="1"/>
  <c r="AE111" i="62" a="1"/>
  <c r="AE111" i="62" s="1"/>
  <c r="AE207" i="62" s="1"/>
  <c r="AE171" i="58" s="1"/>
  <c r="AE315" i="58" s="1"/>
  <c r="AF111" i="62" a="1"/>
  <c r="AF111" i="62" s="1"/>
  <c r="AF207" i="62" s="1"/>
  <c r="AF171" i="58" s="1"/>
  <c r="AF315" i="58" s="1"/>
  <c r="AG111" i="62" a="1"/>
  <c r="AG111" i="62" s="1"/>
  <c r="AG207" i="62" s="1"/>
  <c r="AG171" i="58" s="1"/>
  <c r="AG315" i="58" s="1"/>
  <c r="AH111" i="62" a="1"/>
  <c r="AH111" i="62" s="1"/>
  <c r="AI111" i="62" a="1"/>
  <c r="AI111" i="62" s="1"/>
  <c r="AI207" i="62" s="1"/>
  <c r="AI171" i="58" s="1"/>
  <c r="AI315" i="58" s="1"/>
  <c r="AJ111" i="62" a="1"/>
  <c r="AJ111" i="62" s="1"/>
  <c r="AK111" i="62" a="1"/>
  <c r="AK111" i="62" s="1"/>
  <c r="AL111" i="62" a="1"/>
  <c r="AL111" i="62" s="1"/>
  <c r="L111" i="62" a="1"/>
  <c r="L111" i="62" s="1"/>
  <c r="M111" i="62" a="1"/>
  <c r="M111" i="62" s="1"/>
  <c r="N111" i="62" a="1"/>
  <c r="N111" i="62" s="1"/>
  <c r="O111" i="62" a="1"/>
  <c r="O111" i="62" s="1"/>
  <c r="K111" i="62" a="1"/>
  <c r="K111" i="62" s="1"/>
  <c r="L57" i="62" a="1"/>
  <c r="L57" i="62" s="1"/>
  <c r="M57" i="62" a="1"/>
  <c r="M57" i="62" s="1"/>
  <c r="N57" i="62" a="1"/>
  <c r="N57" i="62" s="1"/>
  <c r="O57" i="62" a="1"/>
  <c r="O57" i="62" s="1"/>
  <c r="P57" i="62" a="1"/>
  <c r="P57" i="62" s="1"/>
  <c r="Q57" i="62" a="1"/>
  <c r="Q57" i="62" s="1"/>
  <c r="R57" i="62" a="1"/>
  <c r="R57" i="62" s="1"/>
  <c r="S57" i="62" a="1"/>
  <c r="S57" i="62" s="1"/>
  <c r="T57" i="62" a="1"/>
  <c r="T57" i="62" s="1"/>
  <c r="U57" i="62" a="1"/>
  <c r="U57" i="62" s="1"/>
  <c r="V57" i="62" a="1"/>
  <c r="V57" i="62" s="1"/>
  <c r="W57" i="62" a="1"/>
  <c r="W57" i="62" s="1"/>
  <c r="X57" i="62" a="1"/>
  <c r="X57" i="62" s="1"/>
  <c r="Y57" i="62" a="1"/>
  <c r="Y57" i="62" s="1"/>
  <c r="Z57" i="62" a="1"/>
  <c r="Z57" i="62" s="1"/>
  <c r="AA57" i="62" a="1"/>
  <c r="AA57" i="62" s="1"/>
  <c r="AB57" i="62" a="1"/>
  <c r="AB57" i="62" s="1"/>
  <c r="AC57" i="62" a="1"/>
  <c r="AC57" i="62" s="1"/>
  <c r="AD57" i="62" a="1"/>
  <c r="AD57" i="62" s="1"/>
  <c r="AE57" i="62" a="1"/>
  <c r="AE57" i="62" s="1"/>
  <c r="AF57" i="62" a="1"/>
  <c r="AF57" i="62" s="1"/>
  <c r="AG57" i="62" a="1"/>
  <c r="AG57" i="62" s="1"/>
  <c r="AH57" i="62" a="1"/>
  <c r="AH57" i="62" s="1"/>
  <c r="AI57" i="62" a="1"/>
  <c r="AI57" i="62" s="1"/>
  <c r="AJ57" i="62" a="1"/>
  <c r="AJ57" i="62" s="1"/>
  <c r="AK57" i="62" a="1"/>
  <c r="AK57" i="62" s="1"/>
  <c r="AL57" i="62" a="1"/>
  <c r="AL57" i="62" s="1"/>
  <c r="K57" i="62" a="1"/>
  <c r="K57" i="62" s="1"/>
  <c r="N12" i="62" a="1"/>
  <c r="N12" i="62" s="1"/>
  <c r="N108" i="62" s="1"/>
  <c r="N170" i="58" s="1"/>
  <c r="N314" i="58" s="1"/>
  <c r="O12" i="62" a="1"/>
  <c r="O12" i="62" s="1"/>
  <c r="O108" i="62" s="1"/>
  <c r="O170" i="58" s="1"/>
  <c r="O314" i="58" s="1"/>
  <c r="P12" i="62" a="1"/>
  <c r="P12" i="62" s="1"/>
  <c r="P108" i="62" s="1"/>
  <c r="P170" i="58" s="1"/>
  <c r="P314" i="58" s="1"/>
  <c r="Q12" i="62" a="1"/>
  <c r="Q12" i="62" s="1"/>
  <c r="Q108" i="62" s="1"/>
  <c r="Q170" i="58" s="1"/>
  <c r="Q314" i="58" s="1"/>
  <c r="R12" i="62" a="1"/>
  <c r="R12" i="62" s="1"/>
  <c r="S12" i="62" a="1"/>
  <c r="S12" i="62" s="1"/>
  <c r="T12" i="62" a="1"/>
  <c r="T12" i="62" s="1"/>
  <c r="U12" i="62" a="1"/>
  <c r="U12" i="62" s="1"/>
  <c r="V12" i="62" a="1"/>
  <c r="V12" i="62" s="1"/>
  <c r="W12" i="62" a="1"/>
  <c r="W12" i="62" s="1"/>
  <c r="X12" i="62" a="1"/>
  <c r="X12" i="62" s="1"/>
  <c r="X108" i="62" s="1"/>
  <c r="X170" i="58" s="1"/>
  <c r="X314" i="58" s="1"/>
  <c r="Y12" i="62" a="1"/>
  <c r="Y12" i="62" s="1"/>
  <c r="Y108" i="62" s="1"/>
  <c r="Y170" i="58" s="1"/>
  <c r="Y314" i="58" s="1"/>
  <c r="Z12" i="62" a="1"/>
  <c r="Z12" i="62" s="1"/>
  <c r="AA12" i="62" a="1"/>
  <c r="AA12" i="62" s="1"/>
  <c r="AA108" i="62" s="1"/>
  <c r="AA170" i="58" s="1"/>
  <c r="AA314" i="58" s="1"/>
  <c r="AB12" i="62" a="1"/>
  <c r="AB12" i="62" s="1"/>
  <c r="AC12" i="62" a="1"/>
  <c r="AC12" i="62" s="1"/>
  <c r="AD12" i="62" a="1"/>
  <c r="AD12" i="62" s="1"/>
  <c r="AD108" i="62" s="1"/>
  <c r="AD170" i="58" s="1"/>
  <c r="AD314" i="58" s="1"/>
  <c r="AE12" i="62" a="1"/>
  <c r="AE12" i="62" s="1"/>
  <c r="AE108" i="62" s="1"/>
  <c r="AE170" i="58" s="1"/>
  <c r="AE314" i="58" s="1"/>
  <c r="AF12" i="62" a="1"/>
  <c r="AF12" i="62" s="1"/>
  <c r="AF108" i="62" s="1"/>
  <c r="AF170" i="58" s="1"/>
  <c r="AF314" i="58" s="1"/>
  <c r="AG12" i="62" a="1"/>
  <c r="AG12" i="62" s="1"/>
  <c r="AG108" i="62" s="1"/>
  <c r="AG170" i="58" s="1"/>
  <c r="AG314" i="58" s="1"/>
  <c r="AH12" i="62" a="1"/>
  <c r="AH12" i="62" s="1"/>
  <c r="AH108" i="62" s="1"/>
  <c r="AH170" i="58" s="1"/>
  <c r="AH314" i="58" s="1"/>
  <c r="AI12" i="62" a="1"/>
  <c r="AI12" i="62" s="1"/>
  <c r="AI108" i="62" s="1"/>
  <c r="AI170" i="58" s="1"/>
  <c r="AI314" i="58" s="1"/>
  <c r="AJ12" i="62" a="1"/>
  <c r="AJ12" i="62" s="1"/>
  <c r="AJ108" i="62" s="1"/>
  <c r="AJ170" i="58" s="1"/>
  <c r="AJ314" i="58" s="1"/>
  <c r="AK12" i="62" a="1"/>
  <c r="AK12" i="62" s="1"/>
  <c r="AK108" i="62" s="1"/>
  <c r="AK170" i="58" s="1"/>
  <c r="AK314" i="58" s="1"/>
  <c r="AL12" i="62" a="1"/>
  <c r="AL12" i="62" s="1"/>
  <c r="L12" i="62" a="1"/>
  <c r="L12" i="62" s="1"/>
  <c r="L108" i="62" s="1"/>
  <c r="L170" i="58" s="1"/>
  <c r="L314" i="58" s="1"/>
  <c r="M12" i="62" a="1"/>
  <c r="M12" i="62" s="1"/>
  <c r="M108" i="62" s="1"/>
  <c r="M170" i="58" s="1"/>
  <c r="M314" i="58" s="1"/>
  <c r="K12" i="62" a="1"/>
  <c r="K12" i="62" s="1"/>
  <c r="AH207" i="62" l="1"/>
  <c r="AH171" i="58" s="1"/>
  <c r="AH315" i="58" s="1"/>
  <c r="Y405" i="62"/>
  <c r="Y173" i="58" s="1"/>
  <c r="Y317" i="58" s="1"/>
  <c r="X405" i="62"/>
  <c r="X173" i="58" s="1"/>
  <c r="X317" i="58" s="1"/>
  <c r="W405" i="62"/>
  <c r="W173" i="58" s="1"/>
  <c r="W317" i="58" s="1"/>
  <c r="AB108" i="62"/>
  <c r="AB170" i="58" s="1"/>
  <c r="AB314" i="58" s="1"/>
  <c r="Z207" i="62"/>
  <c r="Z171" i="58" s="1"/>
  <c r="Z315" i="58" s="1"/>
  <c r="AL306" i="62"/>
  <c r="AL172" i="58" s="1"/>
  <c r="AL316" i="58" s="1"/>
  <c r="T306" i="62"/>
  <c r="T172" i="58" s="1"/>
  <c r="T316" i="58" s="1"/>
  <c r="V405" i="62"/>
  <c r="V173" i="58" s="1"/>
  <c r="V317" i="58" s="1"/>
  <c r="Y207" i="62"/>
  <c r="Y171" i="58" s="1"/>
  <c r="Y315" i="58" s="1"/>
  <c r="AK306" i="62"/>
  <c r="AK172" i="58" s="1"/>
  <c r="AK316" i="58" s="1"/>
  <c r="S306" i="62"/>
  <c r="S172" i="58" s="1"/>
  <c r="S316" i="58" s="1"/>
  <c r="U405" i="62"/>
  <c r="U173" i="58" s="1"/>
  <c r="U317" i="58" s="1"/>
  <c r="AC108" i="62"/>
  <c r="AC170" i="58" s="1"/>
  <c r="AC314" i="58" s="1"/>
  <c r="Z108" i="62"/>
  <c r="Z170" i="58" s="1"/>
  <c r="Z314" i="58" s="1"/>
  <c r="X207" i="62"/>
  <c r="X171" i="58" s="1"/>
  <c r="X315" i="58" s="1"/>
  <c r="AJ306" i="62"/>
  <c r="AJ172" i="58" s="1"/>
  <c r="AJ316" i="58" s="1"/>
  <c r="R306" i="62"/>
  <c r="R172" i="58" s="1"/>
  <c r="R316" i="58" s="1"/>
  <c r="AL405" i="62"/>
  <c r="AL173" i="58" s="1"/>
  <c r="AL317" i="58" s="1"/>
  <c r="K207" i="62"/>
  <c r="K171" i="58" s="1"/>
  <c r="K315" i="58" s="1"/>
  <c r="AI306" i="62"/>
  <c r="AI172" i="58" s="1"/>
  <c r="AI316" i="58" s="1"/>
  <c r="Q306" i="62"/>
  <c r="Q172" i="58" s="1"/>
  <c r="Q316" i="58" s="1"/>
  <c r="AK405" i="62"/>
  <c r="AK173" i="58" s="1"/>
  <c r="AK317" i="58" s="1"/>
  <c r="T405" i="62"/>
  <c r="T173" i="58" s="1"/>
  <c r="T317" i="58" s="1"/>
  <c r="AH306" i="62"/>
  <c r="AH172" i="58" s="1"/>
  <c r="AH316" i="58" s="1"/>
  <c r="AI405" i="62"/>
  <c r="AI173" i="58" s="1"/>
  <c r="AI317" i="58" s="1"/>
  <c r="AH405" i="62"/>
  <c r="AH173" i="58" s="1"/>
  <c r="AH317" i="58" s="1"/>
  <c r="O207" i="62"/>
  <c r="O171" i="58" s="1"/>
  <c r="O315" i="58" s="1"/>
  <c r="V207" i="62"/>
  <c r="V171" i="58" s="1"/>
  <c r="V315" i="58" s="1"/>
  <c r="W108" i="62"/>
  <c r="W170" i="58" s="1"/>
  <c r="W314" i="58" s="1"/>
  <c r="N207" i="62"/>
  <c r="N171" i="58" s="1"/>
  <c r="N315" i="58" s="1"/>
  <c r="U207" i="62"/>
  <c r="U171" i="58" s="1"/>
  <c r="U315" i="58" s="1"/>
  <c r="V108" i="62"/>
  <c r="V170" i="58" s="1"/>
  <c r="V314" i="58" s="1"/>
  <c r="M207" i="62"/>
  <c r="M171" i="58" s="1"/>
  <c r="M315" i="58" s="1"/>
  <c r="K108" i="62"/>
  <c r="K170" i="58" s="1"/>
  <c r="K314" i="58" s="1"/>
  <c r="U108" i="62"/>
  <c r="U170" i="58" s="1"/>
  <c r="U314" i="58" s="1"/>
  <c r="L207" i="62"/>
  <c r="L171" i="58" s="1"/>
  <c r="L315" i="58" s="1"/>
  <c r="S207" i="62"/>
  <c r="S171" i="58" s="1"/>
  <c r="S315" i="58" s="1"/>
  <c r="AF306" i="62"/>
  <c r="AF172" i="58" s="1"/>
  <c r="AF316" i="58" s="1"/>
  <c r="N306" i="62"/>
  <c r="N172" i="58" s="1"/>
  <c r="N316" i="58" s="1"/>
  <c r="AG405" i="62"/>
  <c r="AG173" i="58" s="1"/>
  <c r="AG317" i="58" s="1"/>
  <c r="Q405" i="62"/>
  <c r="Q173" i="58" s="1"/>
  <c r="Q317" i="58" s="1"/>
  <c r="L306" i="62"/>
  <c r="L172" i="58" s="1"/>
  <c r="L316" i="58" s="1"/>
  <c r="T108" i="62"/>
  <c r="T170" i="58" s="1"/>
  <c r="T314" i="58" s="1"/>
  <c r="AL207" i="62"/>
  <c r="AL171" i="58" s="1"/>
  <c r="AL315" i="58" s="1"/>
  <c r="R207" i="62"/>
  <c r="R171" i="58" s="1"/>
  <c r="R315" i="58" s="1"/>
  <c r="S108" i="62"/>
  <c r="S170" i="58" s="1"/>
  <c r="S314" i="58" s="1"/>
  <c r="AK207" i="62"/>
  <c r="AK171" i="58" s="1"/>
  <c r="AK315" i="58" s="1"/>
  <c r="Q207" i="62"/>
  <c r="Q171" i="58" s="1"/>
  <c r="Q315" i="58" s="1"/>
  <c r="AL108" i="62"/>
  <c r="AL170" i="58" s="1"/>
  <c r="AL314" i="58" s="1"/>
  <c r="R108" i="62"/>
  <c r="R170" i="58" s="1"/>
  <c r="R314" i="58" s="1"/>
  <c r="AJ207" i="62"/>
  <c r="AJ171" i="58" s="1"/>
  <c r="AJ315" i="58" s="1"/>
  <c r="P207" i="62"/>
  <c r="P171" i="58" s="1"/>
  <c r="P315" i="58" s="1"/>
  <c r="AC306" i="62"/>
  <c r="AC172" i="58" s="1"/>
  <c r="AC316" i="58" s="1"/>
  <c r="N405" i="62"/>
  <c r="N173" i="58" s="1"/>
  <c r="N317" i="5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B2" authorId="0" shapeId="0" xr:uid="{57A5EF15-FBEC-44A8-B19A-0EBE114E25B9}">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J8" authorId="0" shapeId="0" xr:uid="{E8B2A736-BF91-4C6B-A720-7A2BC354E41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O8" authorId="0" shapeId="0" xr:uid="{567C452C-A1A6-498E-BCB8-5B8020B7FEC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P8" authorId="0" shapeId="0" xr:uid="{7404A860-FB94-461A-82A4-8E6CE780C29B}">
      <text>
        <r>
          <rPr>
            <sz val="8"/>
            <color indexed="81"/>
            <rFont val="Tahoma"/>
            <family val="2"/>
          </rPr>
          <t xml:space="preserve">
Needed only when one wants to override the VEDA default assignment
</t>
        </r>
      </text>
    </comment>
    <comment ref="AQ8" authorId="0" shapeId="0" xr:uid="{DA0B8EA5-B56B-47F5-A94A-44B1965679D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J8" authorId="0" shapeId="0" xr:uid="{C4CB3CAE-A9E9-4100-AAB8-E793FD128C4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O8" authorId="0" shapeId="0" xr:uid="{A25B3377-FE14-4737-B949-B052350A8D6D}">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P8" authorId="0" shapeId="0" xr:uid="{5A6AE54C-0D84-4D5E-AA0D-733DCE836AC7}">
      <text>
        <r>
          <rPr>
            <sz val="8"/>
            <color indexed="81"/>
            <rFont val="Tahoma"/>
            <family val="2"/>
          </rPr>
          <t xml:space="preserve">
Needed only when one wants to override the VEDA default assignment
</t>
        </r>
      </text>
    </comment>
    <comment ref="AQ8" authorId="0" shapeId="0" xr:uid="{77591EC5-ECA1-45B5-B429-A8033E0FDB0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E4SMA-User2</author>
  </authors>
  <commentList>
    <comment ref="AK8" authorId="0" shapeId="0" xr:uid="{FC55ABC2-D4FD-4AC1-ABE1-0FE8C46740C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P8" authorId="0" shapeId="0" xr:uid="{ADE02E9D-0059-4F87-8DAC-336964DDE1E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Q8" authorId="0" shapeId="0" xr:uid="{39F003E2-8D08-4F62-8425-1DE584F1F422}">
      <text>
        <r>
          <rPr>
            <sz val="8"/>
            <color indexed="81"/>
            <rFont val="Tahoma"/>
            <family val="2"/>
          </rPr>
          <t xml:space="preserve">
Needed only when one wants to override the VEDA default assignment
</t>
        </r>
      </text>
    </comment>
    <comment ref="AR8" authorId="0" shapeId="0" xr:uid="{D3F29233-DFF9-48E3-8E3B-FC23FD74A80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X11" authorId="1" shapeId="0" xr:uid="{25DC3B64-B18C-4EF9-A39F-BD7A7A8079F7}">
      <text>
        <r>
          <rPr>
            <b/>
            <sz val="9"/>
            <color indexed="81"/>
            <rFont val="Tahoma"/>
            <family val="2"/>
          </rPr>
          <t>E4SMA-User2:</t>
        </r>
        <r>
          <rPr>
            <sz val="9"/>
            <color indexed="81"/>
            <rFont val="Tahoma"/>
            <family val="2"/>
          </rPr>
          <t xml:space="preserve">
Production from stock added as import to be consistent with regional potential</t>
        </r>
      </text>
    </comment>
    <comment ref="D134" authorId="1" shapeId="0" xr:uid="{CBC78DB2-62A0-46FA-8461-235A595DF7B4}">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5" authorId="1" shapeId="0" xr:uid="{DBB16558-7D12-47FC-B5EF-89583C45FBA2}">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6" authorId="1" shapeId="0" xr:uid="{3A7D76E8-3149-4A6D-A058-8E70BB43CE72}">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7" authorId="1" shapeId="0" xr:uid="{772BA2AA-98DB-4944-A97D-84C245904262}">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8" authorId="1" shapeId="0" xr:uid="{92D2FBF1-2704-494D-BDB8-EA24F9A1E7EA}">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 ref="D139" authorId="1" shapeId="0" xr:uid="{B796EF42-6B7A-4926-AB76-8A4A3F9E69DF}">
      <text>
        <r>
          <rPr>
            <b/>
            <sz val="9"/>
            <color indexed="81"/>
            <rFont val="Tahoma"/>
            <family val="2"/>
          </rPr>
          <t>E4SMA-User2:</t>
        </r>
        <r>
          <rPr>
            <sz val="9"/>
            <color indexed="81"/>
            <rFont val="Tahoma"/>
            <family val="2"/>
          </rPr>
          <t xml:space="preserve">
Very small value added to avoid free production affecting reporting of Primary Energy Consumption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esmia</author>
    <author>E4SMA-User2</author>
  </authors>
  <commentList>
    <comment ref="AN8" authorId="0" shapeId="0" xr:uid="{3B32F942-EDFB-4B82-B2A7-2B270F34A8F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397606E5-3939-4957-BED8-26D37523CFE3}">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75A0A047-5AAB-40DC-BF33-C6F82BE4CFC8}">
      <text>
        <r>
          <rPr>
            <sz val="8"/>
            <color indexed="81"/>
            <rFont val="Tahoma"/>
            <family val="2"/>
          </rPr>
          <t xml:space="preserve">
Needed only when one wants to override the VEDA default assignment
</t>
        </r>
      </text>
    </comment>
    <comment ref="AU8" authorId="0" shapeId="0" xr:uid="{C25BE044-C3C7-4DA1-B7C7-FF5D6DE72D2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23" authorId="1" shapeId="0" xr:uid="{786CBBAA-4928-46ED-8EED-664C44E97B05}">
      <text>
        <r>
          <rPr>
            <b/>
            <sz val="9"/>
            <color indexed="81"/>
            <rFont val="Tahoma"/>
            <family val="2"/>
          </rPr>
          <t>esmia:</t>
        </r>
        <r>
          <rPr>
            <sz val="9"/>
            <color indexed="81"/>
            <rFont val="Tahoma"/>
            <family val="2"/>
          </rPr>
          <t xml:space="preserve">
Potential is documented in TJ of biodiesel</t>
        </r>
      </text>
    </comment>
    <comment ref="J41" authorId="1" shapeId="0" xr:uid="{E8B41F63-768B-4972-AB65-28B1144C6C4A}">
      <text>
        <r>
          <rPr>
            <b/>
            <sz val="9"/>
            <color indexed="81"/>
            <rFont val="Tahoma"/>
            <family val="2"/>
          </rPr>
          <t>esmia:</t>
        </r>
        <r>
          <rPr>
            <sz val="9"/>
            <color indexed="81"/>
            <rFont val="Tahoma"/>
            <family val="2"/>
          </rPr>
          <t xml:space="preserve">
Potential is documented in TJ of biodiesel</t>
        </r>
      </text>
    </comment>
    <comment ref="J58" authorId="1" shapeId="0" xr:uid="{4CCB368C-EE7E-4D79-AF6E-EDF5C2327765}">
      <text>
        <r>
          <rPr>
            <b/>
            <sz val="9"/>
            <color indexed="81"/>
            <rFont val="Tahoma"/>
            <family val="2"/>
          </rPr>
          <t>esmia:</t>
        </r>
        <r>
          <rPr>
            <sz val="9"/>
            <color indexed="81"/>
            <rFont val="Tahoma"/>
            <family val="2"/>
          </rPr>
          <t xml:space="preserve">
Potential is documented in TJ of biodiesel</t>
        </r>
      </text>
    </comment>
    <comment ref="J72" authorId="1" shapeId="0" xr:uid="{5CF6BF34-AD96-41FC-BB01-20CBB66B026E}">
      <text>
        <r>
          <rPr>
            <b/>
            <sz val="9"/>
            <color indexed="81"/>
            <rFont val="Tahoma"/>
            <family val="2"/>
          </rPr>
          <t>esmia:</t>
        </r>
        <r>
          <rPr>
            <sz val="9"/>
            <color indexed="81"/>
            <rFont val="Tahoma"/>
            <family val="2"/>
          </rPr>
          <t xml:space="preserve">
Potential is documented in TJ of biodiesel</t>
        </r>
      </text>
    </comment>
    <comment ref="J89" authorId="1" shapeId="0" xr:uid="{E595A10D-F998-49B6-A402-33ED848E60AF}">
      <text>
        <r>
          <rPr>
            <b/>
            <sz val="9"/>
            <color indexed="81"/>
            <rFont val="Tahoma"/>
            <family val="2"/>
          </rPr>
          <t>esmia:</t>
        </r>
        <r>
          <rPr>
            <sz val="9"/>
            <color indexed="81"/>
            <rFont val="Tahoma"/>
            <family val="2"/>
          </rPr>
          <t xml:space="preserve">
Potential is documented in TJ of biodiesel</t>
        </r>
      </text>
    </comment>
    <comment ref="J103" authorId="1" shapeId="0" xr:uid="{F10D46A1-C33E-48C2-805C-16209DC8F69C}">
      <text>
        <r>
          <rPr>
            <b/>
            <sz val="9"/>
            <color indexed="81"/>
            <rFont val="Tahoma"/>
            <family val="2"/>
          </rPr>
          <t>esmia:</t>
        </r>
        <r>
          <rPr>
            <sz val="9"/>
            <color indexed="81"/>
            <rFont val="Tahoma"/>
            <family val="2"/>
          </rPr>
          <t xml:space="preserve">
Potential is documented in TJ of biodiesel</t>
        </r>
      </text>
    </comment>
    <comment ref="AG109" authorId="2" shapeId="0" xr:uid="{1167CEE9-A30C-4094-A8E5-A42EBF1A6182}">
      <text>
        <r>
          <rPr>
            <b/>
            <sz val="9"/>
            <color indexed="81"/>
            <rFont val="Tahoma"/>
            <family val="2"/>
          </rPr>
          <t>E4SMA-User2:</t>
        </r>
        <r>
          <rPr>
            <sz val="9"/>
            <color indexed="81"/>
            <rFont val="Tahoma"/>
            <family val="2"/>
          </rPr>
          <t xml:space="preserve">
Manually corrected for energy balance reasons</t>
        </r>
      </text>
    </comment>
    <comment ref="J116" authorId="1" shapeId="0" xr:uid="{054EEE6C-3869-45D0-BA2A-6B5600971F91}">
      <text>
        <r>
          <rPr>
            <b/>
            <sz val="9"/>
            <color indexed="81"/>
            <rFont val="Tahoma"/>
            <family val="2"/>
          </rPr>
          <t>esmia:</t>
        </r>
        <r>
          <rPr>
            <sz val="9"/>
            <color indexed="81"/>
            <rFont val="Tahoma"/>
            <family val="2"/>
          </rPr>
          <t xml:space="preserve">
Potential is documented in TJ of biodiesel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E4SMA-User2</author>
  </authors>
  <commentList>
    <comment ref="AN8" authorId="0" shapeId="0" xr:uid="{6E3066E2-44E4-41FF-A2E9-3C73E764CC8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43B18E5E-D871-4617-86C3-0052B0BA3B9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01A80FA6-C0E0-403B-9A73-E1B6BB7ABF04}">
      <text>
        <r>
          <rPr>
            <sz val="8"/>
            <color indexed="81"/>
            <rFont val="Tahoma"/>
            <family val="2"/>
          </rPr>
          <t xml:space="preserve">
Needed only when one wants to override the VEDA default assignment
</t>
        </r>
      </text>
    </comment>
    <comment ref="AU8" authorId="0" shapeId="0" xr:uid="{99BBE27F-D006-483E-A806-E1575AB75CF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V12" authorId="1" shapeId="0" xr:uid="{3945DC30-48E2-4003-A50A-03E2B3F49090}">
      <text>
        <r>
          <rPr>
            <b/>
            <sz val="9"/>
            <color indexed="81"/>
            <rFont val="Tahoma"/>
            <family val="2"/>
          </rPr>
          <t>E4SMA-User2:</t>
        </r>
        <r>
          <rPr>
            <sz val="9"/>
            <color indexed="81"/>
            <rFont val="Tahoma"/>
            <family val="2"/>
          </rPr>
          <t xml:space="preserve">
Overproduction to export the production from stock of ASE to ASE</t>
        </r>
      </text>
    </comment>
    <comment ref="Y12" authorId="1" shapeId="0" xr:uid="{17875F1F-B7CD-4B4F-9ECA-3F38AFFE17D7}">
      <text>
        <r>
          <rPr>
            <b/>
            <sz val="9"/>
            <color indexed="81"/>
            <rFont val="Tahoma"/>
            <family val="2"/>
          </rPr>
          <t>E4SMA-User2:</t>
        </r>
        <r>
          <rPr>
            <sz val="9"/>
            <color indexed="81"/>
            <rFont val="Tahoma"/>
            <family val="2"/>
          </rPr>
          <t xml:space="preserve">
Overproduction to export the production from stock of ENW to ENW</t>
        </r>
      </text>
    </comment>
    <comment ref="V30" authorId="1" shapeId="0" xr:uid="{2611E197-7A3F-420D-B805-1BE4551ABD8F}">
      <text>
        <r>
          <rPr>
            <b/>
            <sz val="9"/>
            <color indexed="81"/>
            <rFont val="Tahoma"/>
            <family val="2"/>
          </rPr>
          <t>E4SMA-User2:</t>
        </r>
        <r>
          <rPr>
            <sz val="9"/>
            <color indexed="81"/>
            <rFont val="Tahoma"/>
            <family val="2"/>
          </rPr>
          <t xml:space="preserve">
Recalculated including overproduction to account for the export of ASE production by stocks to ASE</t>
        </r>
      </text>
    </comment>
    <comment ref="Y30" authorId="1" shapeId="0" xr:uid="{D5AAE71C-8657-4E30-9CD6-57B81915CFCA}">
      <text>
        <r>
          <rPr>
            <b/>
            <sz val="9"/>
            <color indexed="81"/>
            <rFont val="Tahoma"/>
            <family val="2"/>
          </rPr>
          <t>E4SMA-User2:</t>
        </r>
        <r>
          <rPr>
            <sz val="9"/>
            <color indexed="81"/>
            <rFont val="Tahoma"/>
            <family val="2"/>
          </rPr>
          <t xml:space="preserve">
Recalculated including overproduction to account for the export of ENW production by stocks to ENW</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DCC323D2-242B-488F-8E9C-C0B6A4A3CC5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A558E81D-4CAA-4BFD-AD07-3D8C39204FE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300551B3-1CCC-400D-99AF-A59C887B82B8}">
      <text>
        <r>
          <rPr>
            <sz val="8"/>
            <color indexed="81"/>
            <rFont val="Tahoma"/>
            <family val="2"/>
          </rPr>
          <t xml:space="preserve">
Needed only when one wants to override the VEDA default assignment
</t>
        </r>
      </text>
    </comment>
    <comment ref="AU8" authorId="0" shapeId="0" xr:uid="{46B5C50B-255E-43FD-99D1-5BBCFA78A003}">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N410" authorId="0" shapeId="0" xr:uid="{4CF2F7D5-6C80-438A-B45A-B0DDE4BDCA5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410" authorId="0" shapeId="0" xr:uid="{74CBD3D6-47B6-494A-BD78-99FF42ECE85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410" authorId="0" shapeId="0" xr:uid="{F476CC0D-6F93-4934-A2E4-A27033D7CFCA}">
      <text>
        <r>
          <rPr>
            <sz val="8"/>
            <color indexed="81"/>
            <rFont val="Tahoma"/>
            <family val="2"/>
          </rPr>
          <t xml:space="preserve">
Needed only when one wants to override the VEDA default assignment
</t>
        </r>
      </text>
    </comment>
    <comment ref="AU410" authorId="0" shapeId="0" xr:uid="{56AC0F72-3217-4542-BC63-0B0A9A930E1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B678B067-5BB2-4C8B-87A8-E5514C9D3AF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500356B0-FC32-497F-B2F7-5F88B46D685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E535ED8C-0CB9-4F6F-8ED9-D33DA21EEE02}">
      <text>
        <r>
          <rPr>
            <sz val="8"/>
            <color indexed="81"/>
            <rFont val="Tahoma"/>
            <family val="2"/>
          </rPr>
          <t xml:space="preserve">
Needed only when one wants to override the VEDA default assignment
</t>
        </r>
      </text>
    </comment>
    <comment ref="AU8" authorId="0" shapeId="0" xr:uid="{D717A579-F95B-45FC-B3C2-C5B59A274174}">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84251B54-CB23-4170-B600-BFB2E8959E4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F0063C6C-69DE-4963-BD46-2F6BFCF7280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FDF6E91E-4888-463F-BEC5-0E962BEC84B3}">
      <text>
        <r>
          <rPr>
            <sz val="8"/>
            <color indexed="81"/>
            <rFont val="Tahoma"/>
            <family val="2"/>
          </rPr>
          <t xml:space="preserve">
Needed only when one wants to override the VEDA default assignment
</t>
        </r>
      </text>
    </comment>
    <comment ref="AU8" authorId="0" shapeId="0" xr:uid="{46B3D453-818A-4EAB-9941-BFED3B68ED9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8" authorId="0" shapeId="0" xr:uid="{A0399140-C2E2-4A8C-A561-4741A59D863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8" authorId="0" shapeId="0" xr:uid="{FB31B10E-7AAD-4358-8589-A9607BAF79F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M8" authorId="0" shapeId="0" xr:uid="{14808E1D-97EC-4C0F-BE9A-32B8BB60488C}">
      <text>
        <r>
          <rPr>
            <sz val="8"/>
            <color indexed="81"/>
            <rFont val="Tahoma"/>
            <family val="2"/>
          </rPr>
          <t xml:space="preserve">
Needed only when one wants to override the VEDA default assignment
</t>
        </r>
      </text>
    </comment>
    <comment ref="N8" authorId="0" shapeId="0" xr:uid="{FB279820-D5E4-4B1D-BD8E-DE6E4607DF7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G27" authorId="0" shapeId="0" xr:uid="{8FFAF0E8-C523-4D88-B53E-E89262EE4B62}">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7" authorId="0" shapeId="0" xr:uid="{4206CED3-D627-4513-BE3D-5F7DF747E04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M27" authorId="0" shapeId="0" xr:uid="{F07F2176-3E46-4CF6-B222-F6A4EFAF81CA}">
      <text>
        <r>
          <rPr>
            <sz val="8"/>
            <color indexed="81"/>
            <rFont val="Tahoma"/>
            <family val="2"/>
          </rPr>
          <t xml:space="preserve">
Needed only when one wants to override the VEDA default assignment
</t>
        </r>
      </text>
    </comment>
    <comment ref="N27" authorId="0" shapeId="0" xr:uid="{A46BF9A4-2725-433D-BC5E-6DD0C54E7AC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0B9EB903-B113-4023-9449-509ED7A7E19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76DAEFBE-E63D-4C84-ACC0-D53547F056C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C20D5B91-9B72-4ABD-972E-E4AC417D547A}">
      <text>
        <r>
          <rPr>
            <sz val="8"/>
            <color indexed="81"/>
            <rFont val="Tahoma"/>
            <family val="2"/>
          </rPr>
          <t xml:space="preserve">
Needed only when one wants to override the VEDA default assignment
</t>
        </r>
      </text>
    </comment>
    <comment ref="AU8" authorId="0" shapeId="0" xr:uid="{A32EAE02-2355-458B-B573-06B8331C9B8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E4SMA-User2</author>
  </authors>
  <commentList>
    <comment ref="AC18" authorId="0" shapeId="0" xr:uid="{22CA7FFC-58D6-4DDF-9936-5E9BDAA65A6B}">
      <text>
        <r>
          <rPr>
            <b/>
            <sz val="9"/>
            <color indexed="81"/>
            <rFont val="Tahoma"/>
            <family val="2"/>
          </rPr>
          <t>E4SMA-User2:</t>
        </r>
        <r>
          <rPr>
            <sz val="9"/>
            <color indexed="81"/>
            <rFont val="Tahoma"/>
            <family val="2"/>
          </rPr>
          <t xml:space="preserve">
Manually adjusted for allocating production by stocks to refineries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esmia</author>
  </authors>
  <commentList>
    <comment ref="D35" authorId="0" shapeId="0" xr:uid="{1370674F-8028-49D6-9192-14684A3490AF}">
      <text>
        <r>
          <rPr>
            <b/>
            <sz val="9"/>
            <color indexed="81"/>
            <rFont val="Tahoma"/>
            <family val="2"/>
          </rPr>
          <t>esmia:</t>
        </r>
        <r>
          <rPr>
            <sz val="9"/>
            <color indexed="81"/>
            <rFont val="Tahoma"/>
            <family val="2"/>
          </rPr>
          <t xml:space="preserve">
Added 10PJ because there is a small production in the balance.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esmia</author>
  </authors>
  <commentList>
    <comment ref="C89" authorId="0" shapeId="0" xr:uid="{DBEBF9AF-D1B7-4CAC-B161-F292FABB9107}">
      <text>
        <r>
          <rPr>
            <b/>
            <sz val="9"/>
            <color indexed="81"/>
            <rFont val="Tahoma"/>
            <family val="2"/>
          </rPr>
          <t>esmia:</t>
        </r>
        <r>
          <rPr>
            <sz val="9"/>
            <color indexed="81"/>
            <rFont val="Tahoma"/>
            <family val="2"/>
          </rPr>
          <t xml:space="preserve">
Norvegian data</t>
        </r>
      </text>
    </comment>
    <comment ref="G89" authorId="0" shapeId="0" xr:uid="{510FECE1-6BF4-481F-91F4-532BBD5F570F}">
      <text>
        <r>
          <rPr>
            <b/>
            <sz val="9"/>
            <color indexed="81"/>
            <rFont val="Tahoma"/>
            <family val="2"/>
          </rPr>
          <t>esmia:</t>
        </r>
        <r>
          <rPr>
            <sz val="9"/>
            <color indexed="81"/>
            <rFont val="Tahoma"/>
            <family val="2"/>
          </rPr>
          <t xml:space="preserve">
Norvegian data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<sst xmlns="http://schemas.openxmlformats.org/spreadsheetml/2006/main" count="20506" uniqueCount="2748">
  <si>
    <t>OMNIA Model</t>
  </si>
  <si>
    <t>Document type:</t>
  </si>
  <si>
    <t xml:space="preserve">Base Scenario Template </t>
  </si>
  <si>
    <t>Base-year</t>
  </si>
  <si>
    <t>Sector:</t>
  </si>
  <si>
    <t>Upstream-Transformation</t>
  </si>
  <si>
    <t>Developer:</t>
  </si>
  <si>
    <t>ESMIA</t>
  </si>
  <si>
    <t>Version:</t>
  </si>
  <si>
    <t>Date:</t>
  </si>
  <si>
    <t>Document description:</t>
  </si>
  <si>
    <t>This template holds the structure of the Upstream sector</t>
  </si>
  <si>
    <t>Cell colour legend</t>
  </si>
  <si>
    <t>aaa</t>
  </si>
  <si>
    <t>Model input</t>
  </si>
  <si>
    <t>Model input based on own assumptions</t>
  </si>
  <si>
    <t>Calculated value (not recommended to directly modify)</t>
  </si>
  <si>
    <t>Tab colour legend</t>
  </si>
  <si>
    <t>Energy balance breakdown and other elaborations</t>
  </si>
  <si>
    <t>External datasources such as database or input data pre-processing</t>
  </si>
  <si>
    <t>Veda inputs tables - It is better to have VEDA template in the same Excel file to properly link them though formula to the key inputs sheets</t>
  </si>
  <si>
    <t>Table of contents</t>
  </si>
  <si>
    <t>Sheet</t>
  </si>
  <si>
    <t>Description</t>
  </si>
  <si>
    <t>InSysSettings</t>
  </si>
  <si>
    <t xml:space="preserve">Veda inputs: To add in SysSettings file </t>
  </si>
  <si>
    <t xml:space="preserve">Veda inputs: Definition of sector commodities </t>
  </si>
  <si>
    <t>Veda inputs: Description of the sectoral infrastructure technologies (fuel techs)</t>
  </si>
  <si>
    <t>Veda inputs: Description of the primary fuel reserves technologies for fossil fuels</t>
  </si>
  <si>
    <t>Veda inputs: Description of the biomass potential</t>
  </si>
  <si>
    <t>Veda inputs: Description of the primary fuel production technologies for fossil fuels</t>
  </si>
  <si>
    <t>Veda inputs: Description of the biofuel production</t>
  </si>
  <si>
    <t>Veda inputs: Description of the transformation technologies</t>
  </si>
  <si>
    <t>Veda inputs : Description of the energy services technologies for Refineries</t>
  </si>
  <si>
    <t>Veda inputs : Description of the hydrogen production</t>
  </si>
  <si>
    <t>Veda inputs : Description of the domestic transmission pipelines</t>
  </si>
  <si>
    <t>Veda inputs: Description of the name conversion technologies</t>
  </si>
  <si>
    <t>Veda inputs: Description of the existing LNG terminals and liquifaction plants</t>
  </si>
  <si>
    <t>Emissions</t>
  </si>
  <si>
    <t>Veda inputs: Emissions factors</t>
  </si>
  <si>
    <t>Demand_Temporaire</t>
  </si>
  <si>
    <t>Veda inputs: Temporary demand definition for standalone run of UPS sector</t>
  </si>
  <si>
    <t>MIN_Temporaire</t>
  </si>
  <si>
    <t>Veda inputs: Temporary minning definition for standalone run of UPS sector</t>
  </si>
  <si>
    <t>Energy balance breakdown and elaboration for the Transformation processes</t>
  </si>
  <si>
    <t>Energy balance breakdown and elaboration for the Own fuel uses of Upstream sector</t>
  </si>
  <si>
    <t xml:space="preserve">Energy balance breakdown and elaboration for the primary production of fuels </t>
  </si>
  <si>
    <t>Energy balance breakdown and elaboration for the pipelines own uses</t>
  </si>
  <si>
    <t xml:space="preserve">Energy balance breakdown and elaboration for the non energy fuel uses </t>
  </si>
  <si>
    <t>Consolidation of fossil fuel reserves data and production/extraction economics</t>
  </si>
  <si>
    <t>Consolidation of Refineries data</t>
  </si>
  <si>
    <t xml:space="preserve">Consolidation of domestic transmission pipeline data </t>
  </si>
  <si>
    <t>Energy balance breakdown and elaboration for Trade</t>
  </si>
  <si>
    <t>Consolidation of Liquefaction/Regasification data</t>
  </si>
  <si>
    <t>Consolidation of Transformation process economic parameters</t>
  </si>
  <si>
    <t>MAgPIE link - Biomass supply curve parameters</t>
  </si>
  <si>
    <t>Key input_Biofuel production</t>
  </si>
  <si>
    <t>Consolidation of biofuel production data (existing process)</t>
  </si>
  <si>
    <t>Key input_ Emissions</t>
  </si>
  <si>
    <t>Consolidation of upstream emissions</t>
  </si>
  <si>
    <t>EI(2024)_OilRSV</t>
  </si>
  <si>
    <t>Crude oil reserves data from S2</t>
  </si>
  <si>
    <t>EI(2024)_GasRSV</t>
  </si>
  <si>
    <t>Natural gas reserves from S2</t>
  </si>
  <si>
    <t>EI(2024)_Coal RSV</t>
  </si>
  <si>
    <t>Coal reserves data from S2</t>
  </si>
  <si>
    <t>NEA(2020)_Uranium</t>
  </si>
  <si>
    <t>Uranium reserves from S3</t>
  </si>
  <si>
    <t>UN(2023)EnergyStat_OilProd</t>
  </si>
  <si>
    <t>Crude oil and natural gas liquids production from S4</t>
  </si>
  <si>
    <t>UN(2023)EnergyStat_Refineries</t>
  </si>
  <si>
    <t>Refineries input fuel shares from S4</t>
  </si>
  <si>
    <t>UN(2023)EnergyStat_OtherTran</t>
  </si>
  <si>
    <t>Other transformation input fuel shares from S4</t>
  </si>
  <si>
    <t>IGU(2020)_Liquefaction_plant</t>
  </si>
  <si>
    <t>Liquefaction plant parameters from S9</t>
  </si>
  <si>
    <t>IGU(2020)_ReceivingTerminal</t>
  </si>
  <si>
    <t>Regasification parameters from S9</t>
  </si>
  <si>
    <t>IGU(2020)_LNG_TRADE</t>
  </si>
  <si>
    <t>LNG trade data from S9</t>
  </si>
  <si>
    <t>GEM(2024)_OIL</t>
  </si>
  <si>
    <t>Crude oil pipeline costs from S10</t>
  </si>
  <si>
    <t>GEM(2024)_NGL</t>
  </si>
  <si>
    <t>Natural gas liquids pipeline cost from S10</t>
  </si>
  <si>
    <t>GEM(2023)_GAS</t>
  </si>
  <si>
    <t>Natural gas pipeline cost from S11</t>
  </si>
  <si>
    <t>Aguilera(2014)</t>
  </si>
  <si>
    <t>Natural gas, crude oil production/extraction costs from S12</t>
  </si>
  <si>
    <t>WSJ(2016)Breakout</t>
  </si>
  <si>
    <t>Naturalgas and crude oil production costs from S13</t>
  </si>
  <si>
    <t>IEA(2020)Coal</t>
  </si>
  <si>
    <t>Coal production/extraction costs from S14</t>
  </si>
  <si>
    <t>Qin(2017)_Coke</t>
  </si>
  <si>
    <t>Coke ovens parameters from S15</t>
  </si>
  <si>
    <t>Khwanpruk(2015)_GasSep</t>
  </si>
  <si>
    <t>Gas separationplants economics from S16</t>
  </si>
  <si>
    <t>IEA(2023)_H2</t>
  </si>
  <si>
    <t>Hydrogen refineries consumption from S17</t>
  </si>
  <si>
    <t>Favennec (2022) Refinning</t>
  </si>
  <si>
    <t>Refineries costs from S18</t>
  </si>
  <si>
    <t>Panos(2016)_Boilers</t>
  </si>
  <si>
    <t>Industrial boilers economic parameters from S19</t>
  </si>
  <si>
    <t>IPCC(2006)</t>
  </si>
  <si>
    <t>Emissions factors from S46</t>
  </si>
  <si>
    <t>GEM(2024)_Coal</t>
  </si>
  <si>
    <t>Coal mine types from S47</t>
  </si>
  <si>
    <t>Region Mapping</t>
  </si>
  <si>
    <t>OMNIA region mapping with country name, UN country codes and ISO2 country codes</t>
  </si>
  <si>
    <t>Consumer_Price_index</t>
  </si>
  <si>
    <t>Consumer Price index for different countries from S8</t>
  </si>
  <si>
    <t>Conversion factors</t>
  </si>
  <si>
    <t xml:space="preserve">ktoe </t>
  </si>
  <si>
    <t>PJ</t>
  </si>
  <si>
    <t>barrel of oil equivalent (boe)</t>
  </si>
  <si>
    <t>million Btu</t>
  </si>
  <si>
    <t>1 m3</t>
  </si>
  <si>
    <t>barrel of oil</t>
  </si>
  <si>
    <t>Btu</t>
  </si>
  <si>
    <t>kJ</t>
  </si>
  <si>
    <t>cubic meter</t>
  </si>
  <si>
    <t>cubic feet</t>
  </si>
  <si>
    <t>billion m3 NGA</t>
  </si>
  <si>
    <t>million t hard coals</t>
  </si>
  <si>
    <t>million t lignite/sub coal</t>
  </si>
  <si>
    <t>t hard coal</t>
  </si>
  <si>
    <t>GJ</t>
  </si>
  <si>
    <t xml:space="preserve">t thermal coal </t>
  </si>
  <si>
    <t>t uranium</t>
  </si>
  <si>
    <t>t LNG</t>
  </si>
  <si>
    <t>barrels</t>
  </si>
  <si>
    <t>t coke</t>
  </si>
  <si>
    <t>t H2</t>
  </si>
  <si>
    <t xml:space="preserve">GJ </t>
  </si>
  <si>
    <t>l LPG</t>
  </si>
  <si>
    <t>MJ</t>
  </si>
  <si>
    <t>l condensates</t>
  </si>
  <si>
    <t>m3 gasoline</t>
  </si>
  <si>
    <t>m3 Diesel</t>
  </si>
  <si>
    <t>m3 aviation fuel</t>
  </si>
  <si>
    <t>m3 jet kerosene</t>
  </si>
  <si>
    <t>kg ethanol</t>
  </si>
  <si>
    <t>1 gallon of ethanol</t>
  </si>
  <si>
    <t>btu</t>
  </si>
  <si>
    <t>1 corn bushel</t>
  </si>
  <si>
    <t>kg</t>
  </si>
  <si>
    <t>1 kg biodiesel</t>
  </si>
  <si>
    <t>1 year</t>
  </si>
  <si>
    <t>hours</t>
  </si>
  <si>
    <t>GWh</t>
  </si>
  <si>
    <t>EUR2015</t>
  </si>
  <si>
    <t>USD2021</t>
  </si>
  <si>
    <t>EUR2019</t>
  </si>
  <si>
    <t>USD2019</t>
  </si>
  <si>
    <t>CNY2017</t>
  </si>
  <si>
    <t>USD2017</t>
  </si>
  <si>
    <t>CHF2010</t>
  </si>
  <si>
    <t>USD2010</t>
  </si>
  <si>
    <t>USD2007</t>
  </si>
  <si>
    <t>USD2009</t>
  </si>
  <si>
    <t>USD2014</t>
  </si>
  <si>
    <t>USD2015</t>
  </si>
  <si>
    <t>USD2020</t>
  </si>
  <si>
    <t>USD2023</t>
  </si>
  <si>
    <t>kg H2G</t>
  </si>
  <si>
    <t>Sectors</t>
  </si>
  <si>
    <t>Code</t>
  </si>
  <si>
    <t>UPS</t>
  </si>
  <si>
    <t>Reference currency</t>
  </si>
  <si>
    <t>Million US Dollars (2021)</t>
  </si>
  <si>
    <t>MUSD2021</t>
  </si>
  <si>
    <t>Model regions</t>
  </si>
  <si>
    <t>List of countries</t>
  </si>
  <si>
    <t>AFE</t>
  </si>
  <si>
    <t>Eastern Africa</t>
  </si>
  <si>
    <t>Ethiopia,Kenya,Sudan,Mauritius,Eritrea,South Sudan,Burundi,Comoros,Djibouti,Madagascar,Reunion,Rwanda,Somalia,Uganda,Seychelles,United Republic of Tanzania</t>
  </si>
  <si>
    <t>AFN</t>
  </si>
  <si>
    <t>Northern Africa</t>
  </si>
  <si>
    <t>Egypt,Algeria,Morocco,Libya,Tunisia</t>
  </si>
  <si>
    <t>AFW</t>
  </si>
  <si>
    <t>Western Africa</t>
  </si>
  <si>
    <t>Democratic Republic of the Congo,Côte d’Ivoire,Ghana,Cameroon,Gabon,Benin,Senegal,Togo,Niger,Congo,Burkina Faso,Cabo Verde,Central African Republic,Chad,Equatorial Guinea,Gambia,Guinea,Guinea-Bissau,Liberia,Malawi,Mali,Mauritania,Sao Tome and Principe,Sierra Leone</t>
  </si>
  <si>
    <t>AFZ</t>
  </si>
  <si>
    <t>Southern Africa</t>
  </si>
  <si>
    <t>Angola,Mozambique,Zimbabwe,Zambia,Botswana,Namibia,South Africa,Eswatini,Lesotho</t>
  </si>
  <si>
    <t>ANZ</t>
  </si>
  <si>
    <t>Australia and New Zealand</t>
  </si>
  <si>
    <t>Australia,New Zealand</t>
  </si>
  <si>
    <t>ASC</t>
  </si>
  <si>
    <t>Central Asia</t>
  </si>
  <si>
    <t>Kazakhstan,Uzbekistan,Turkmenistan,Azerbaijan,Mongolia,Georgia,Kyrgyzstan,Armenia,Tajikistan,Afghanistan</t>
  </si>
  <si>
    <t>ASE</t>
  </si>
  <si>
    <t>Southeast Asia</t>
  </si>
  <si>
    <t>Thailand,Malaysia,Singapore,Myanmar,Cambodia,Brunei Darussalam,Lao People's Democratic Republic,Democratic People's Republic of Korea,Cook Islands,Timor-Leste,Fiji,French Polynesia,Kiribati,New Caledonia,Palau,Papua New Guinea,American Samoa,Solomon Islands,Tonga,Vanuatu,Niue,Samoa,Wallis and Futuna Islands,Micronesia (Federated States of),Nauru,Tuvalu,Northern Mariana Islands</t>
  </si>
  <si>
    <t>ASO</t>
  </si>
  <si>
    <t>South Asia</t>
  </si>
  <si>
    <t>Bangladesh,Nepal,Sri Lanka,Pakistan,Bhutan,Maldives</t>
  </si>
  <si>
    <t>BRA</t>
  </si>
  <si>
    <t>Brazil</t>
  </si>
  <si>
    <t>CAN</t>
  </si>
  <si>
    <t>Canada</t>
  </si>
  <si>
    <t>CHL</t>
  </si>
  <si>
    <t>Chile</t>
  </si>
  <si>
    <t>CHN</t>
  </si>
  <si>
    <t>China</t>
  </si>
  <si>
    <t>China,China, Hong Kong Special Administrative Region,China, Macao Special Administrative Region</t>
  </si>
  <si>
    <t>ENE</t>
  </si>
  <si>
    <t>Non-EU Eastern Europe</t>
  </si>
  <si>
    <t>Ukraine,Belarus,Serbia,Bosnia and Herzegovina,Republic of Moldova,Republic of North Macedonia,Kosovo,Albania,Montenegro</t>
  </si>
  <si>
    <t>ENW</t>
  </si>
  <si>
    <t>Non-EU Western Europe</t>
  </si>
  <si>
    <t>Norway-Svalbard and Jan Mayen Islands,Switzerland-Liechtenstein,Iceland,United Kingdom of Great Britain and Northern Ireland,Gibraltar,Saint Helena,Liechtenstein</t>
  </si>
  <si>
    <t>EUE</t>
  </si>
  <si>
    <t>Eastern Europe Union</t>
  </si>
  <si>
    <t>Poland,Czechia,Romania,Hungary,Bulgaria,Slovakia,Croatia,Lithuania,Slovenia,Estonia,Latvia</t>
  </si>
  <si>
    <t>EUM</t>
  </si>
  <si>
    <t>Mediterranean- Europe Union</t>
  </si>
  <si>
    <t>France-Monaco,Italy-San Marino,Spain,Greece,Portugal,Cyprus,Malta</t>
  </si>
  <si>
    <t>EUW</t>
  </si>
  <si>
    <t>Western Europe Union</t>
  </si>
  <si>
    <t>Germany,Netherlands,Belgium,Sweden,Austria,Finland,Denmark,Ireland,Luxembourg,Greenland,Faroe Islands,Andorra</t>
  </si>
  <si>
    <t>IDN</t>
  </si>
  <si>
    <t>Indonesia, Philippines, Vietnam</t>
  </si>
  <si>
    <t>Indonesia,Philippines,Viet Nam</t>
  </si>
  <si>
    <t>IND</t>
  </si>
  <si>
    <t>India</t>
  </si>
  <si>
    <t>JPN</t>
  </si>
  <si>
    <t>Japan</t>
  </si>
  <si>
    <t>LAM</t>
  </si>
  <si>
    <t>Latin America</t>
  </si>
  <si>
    <t>Argentina,Venezuela (Bolivarian Republic of),Colombia,Peru,Trinidad and Tobago,Ecuador,Guatemala,Cuba,Bolivia (Plurinational State of),Dominican Republic,Honduras,Paraguay,Uruguay,Costa Rica,El Salvador,Haiti,Panama,Nicaragua,Jamaica,Curaçao,Suriname,Antigua and Barbuda,Aruba,Bahamas,Barbados,Belize,Bermuda,British Virgin Islands,Cayman Islands,Dominica,Falkland Islands (Malvinas),Guyana,Grenada,Guadeloupe,Cooperative Republic of Guyana,Martinique,Montserrat,Puerto Rico,Saba,Bonaire, Sint Eustatius and Saba,Saint Kitts and Nevis,Saint Lucia,Saint Pierre and Miquelon,Saint Vincent and the Grenadines,Saint Martin,Turks and Caicos Islands,Sint Maarten (Dutch part),Anguilla</t>
  </si>
  <si>
    <t>MDA</t>
  </si>
  <si>
    <t>Mediterranean Asia</t>
  </si>
  <si>
    <t>Turkey,Israel,Syrian Arab Republic,Jordan,Lebanon,State of Palestine</t>
  </si>
  <si>
    <t>MEA</t>
  </si>
  <si>
    <t>Middle East (Gulf States)</t>
  </si>
  <si>
    <t>Iran (Islamic Republic of),Saudi Arabia,United Arab Emirates,Iraq,Qatar,Kuwait,Oman,Bahrain,Yemen</t>
  </si>
  <si>
    <t>MEX</t>
  </si>
  <si>
    <t>Mexico</t>
  </si>
  <si>
    <t>NIG</t>
  </si>
  <si>
    <t>Nigeria</t>
  </si>
  <si>
    <t>RUS</t>
  </si>
  <si>
    <t>Russia Federation</t>
  </si>
  <si>
    <t>Russian Federation</t>
  </si>
  <si>
    <t>SKT</t>
  </si>
  <si>
    <t>South Korea, Taiwan</t>
  </si>
  <si>
    <t>USA</t>
  </si>
  <si>
    <t>United States</t>
  </si>
  <si>
    <t>United States of America</t>
  </si>
  <si>
    <t>Sources</t>
  </si>
  <si>
    <t>Component</t>
  </si>
  <si>
    <t>Source n.</t>
  </si>
  <si>
    <t>Source</t>
  </si>
  <si>
    <t>Access</t>
  </si>
  <si>
    <t>URL</t>
  </si>
  <si>
    <t>Energy balance</t>
  </si>
  <si>
    <t>S1</t>
  </si>
  <si>
    <t>United Nations</t>
  </si>
  <si>
    <t>Public</t>
  </si>
  <si>
    <t>https://data.un.org/</t>
  </si>
  <si>
    <t>Oil and gas production reserves</t>
  </si>
  <si>
    <t>S2</t>
  </si>
  <si>
    <t>Energy Institute (2024) Statistical Review of World Energy</t>
  </si>
  <si>
    <t>https://www.energyinst.org/statistical-review</t>
  </si>
  <si>
    <t>Uranium reserves</t>
  </si>
  <si>
    <t>S3</t>
  </si>
  <si>
    <t>Nuclear Energy Agency (2020) Uranium 2020 Resources, Production and Demand</t>
  </si>
  <si>
    <t>https://www.oecd-nea.org/jcms/pl_52718/uranium-2020-resources-production-and-demand?details=true</t>
  </si>
  <si>
    <t>S4</t>
  </si>
  <si>
    <t>United Nations (2023) 2021 Energy Statistics Yearbook</t>
  </si>
  <si>
    <t>https://unstats.un.org/unsd/energystats/pubs/yearbook/</t>
  </si>
  <si>
    <t xml:space="preserve">LNG techno-economic parameters </t>
  </si>
  <si>
    <t>S5</t>
  </si>
  <si>
    <t xml:space="preserve">Zhang J. Meerman H. Benders R. Faaij A (2020) Comprehensive review of current natural gas liquefaction processes on technical and economic performance. Applied Thermal Engineering. </t>
  </si>
  <si>
    <t>ELSEVIER</t>
  </si>
  <si>
    <t>https://www.sciencedirect.com/science/article/pii/S1359431119358399</t>
  </si>
  <si>
    <t>S6</t>
  </si>
  <si>
    <t>Pospisil J. Charvat P. Arsenyeva O. Klimes L. Spilacek M. Klemes J.J. (2019) Energy demand of liquefaction and regasification of natural gas and the potential of LNG for operative thermal energy storage. Renewable and Suistainable Energy Review.</t>
  </si>
  <si>
    <t>https://www.sciencedirect.com/science/article/pii/S1364032118306828</t>
  </si>
  <si>
    <t>S7</t>
  </si>
  <si>
    <t xml:space="preserve">Agarwal R. Rainey T.J. Steinberg T. Ashrafur Rahman S.M. Perrons R.K. Brown E.J. (2020) LNG regasification – Effects of project stage decisions on capital expenditure and implications for gas pricing. Journal of Natural gas science and engineering. </t>
  </si>
  <si>
    <t>https://www.sciencedirect.com/science/article/pii/S1875510020301451</t>
  </si>
  <si>
    <t>Consumer Price index</t>
  </si>
  <si>
    <t>S8</t>
  </si>
  <si>
    <t>World Bank Group (2024) Consumer price index (2010=100)</t>
  </si>
  <si>
    <t>https://data.worldbank.org/indicator/FP.CPI.TOTL</t>
  </si>
  <si>
    <t xml:space="preserve">LNG data </t>
  </si>
  <si>
    <t>S9</t>
  </si>
  <si>
    <t xml:space="preserve">International gas union (2020) 2020 World LNG Report </t>
  </si>
  <si>
    <t>https://www.igu.org/resources/2020-world-lng-report/</t>
  </si>
  <si>
    <t>Oil/NGL pipelines</t>
  </si>
  <si>
    <t>S10</t>
  </si>
  <si>
    <t xml:space="preserve">Global Energy monitor (2024) Global Oil Infrastructure Tracker - Oil/NGL Pipelines </t>
  </si>
  <si>
    <t>https://globalenergymonitor.org/projects/global-oil-infrastructure-tracker/</t>
  </si>
  <si>
    <t>Natural gas pipelines</t>
  </si>
  <si>
    <t>S11</t>
  </si>
  <si>
    <t>Global Energy monitor (2023) Global Gas Infrastructure Tracker</t>
  </si>
  <si>
    <t>https://globalenergymonitor.org/projects/global-gas-infrastructure-tracker/</t>
  </si>
  <si>
    <t>Crude oil and natural gas production cost</t>
  </si>
  <si>
    <t>S12</t>
  </si>
  <si>
    <t xml:space="preserve">Aguilera R.F. (2014) Production costs of global conventional and unconventional petroleum. Energy Policy. </t>
  </si>
  <si>
    <t>https://www.sciencedirect.com/science/article/pii/S0301421513007763</t>
  </si>
  <si>
    <t>Oil and gas production cost breakdown</t>
  </si>
  <si>
    <t>S13</t>
  </si>
  <si>
    <t>WSJ News Graphics (2016) Barrel Breakdown, The Wall Street Journal. Available at: http://graphics.wsj.com/oil-barrel-breakdown/ (Accessed: 23 September 2021).</t>
  </si>
  <si>
    <t>http://graphics.wsj.com/oil-barrel-breakdown/</t>
  </si>
  <si>
    <t>Coal production cost</t>
  </si>
  <si>
    <t>S14</t>
  </si>
  <si>
    <t xml:space="preserve">International Energy Agency (2020) Coal 2020, Prices and costs. </t>
  </si>
  <si>
    <t>https://www.iea.org/reports/coal-2020/prices-and-costs</t>
  </si>
  <si>
    <t>Coke ovens parameters</t>
  </si>
  <si>
    <t>S15</t>
  </si>
  <si>
    <t>Qin S. Chang S. (2017) Modeling, thermodynamic and techno-economic analysis of coke production process with waste heat recovery.</t>
  </si>
  <si>
    <t>https://www.sciencedirect.com/science/article/pii/S0360544217316250</t>
  </si>
  <si>
    <t>Natural gas processing plants parameters</t>
  </si>
  <si>
    <t>S16</t>
  </si>
  <si>
    <t>Khwanpruk S. Sriudom W. U-Tapao C. (2015) Identification Optimal Strategies for natural gas pipaline netwark management in Thailand.</t>
  </si>
  <si>
    <t xml:space="preserve">https://www.researchgate.net/publication/380001788_Identification_Optimal_Strategies_for_Natural_Gas_Pipeline_Network_Management_in_Thailand </t>
  </si>
  <si>
    <t>Hydrogen production</t>
  </si>
  <si>
    <t>S17</t>
  </si>
  <si>
    <t>IEA (2023) Global Hydrogen Review 2023</t>
  </si>
  <si>
    <t>https://www.iea.org/reports/global-hydrogen-review-2023</t>
  </si>
  <si>
    <t>Refineries economics</t>
  </si>
  <si>
    <t>S18</t>
  </si>
  <si>
    <t xml:space="preserve">Favennec J.P.(2022) The Palgrave Handbool of International Energy Ecocomics. Chapter 3. Economics of Oilrefining. </t>
  </si>
  <si>
    <t>https://link.springer.com/chapter/10.1007/978-3-030-86884-0_3</t>
  </si>
  <si>
    <t>Boilers economics</t>
  </si>
  <si>
    <t>S19</t>
  </si>
  <si>
    <t>Panos E. Kannan R. (2016) The role of domestic biomass in electricity, heat and grid balancing
 markets in Switzerland.</t>
  </si>
  <si>
    <t>https://www.sciencedirect.com/science/article/pii/S0360544216308817?via%3Dihub</t>
  </si>
  <si>
    <t>Biomass supply curve</t>
  </si>
  <si>
    <t>S23</t>
  </si>
  <si>
    <t>Link with MAgPIE</t>
  </si>
  <si>
    <t>https://github.com/magpiemodel/magpie</t>
  </si>
  <si>
    <t>Ethanol production parameters</t>
  </si>
  <si>
    <t>S24</t>
  </si>
  <si>
    <t xml:space="preserve">Gerrior D. Delsoz Bahri K. Kermanshahi-pour A. Eckelman M.J. Kaur Brar S. (2022) Life cycle assessment and techno-economic analysis of a novel closed loop corn ethanol biorefinery. Sustainable Production and Consumption. </t>
  </si>
  <si>
    <t>https://www.sciencedirect.com/science/article/pii/S2352550921003559#sec0030</t>
  </si>
  <si>
    <t>Biodiesel production parameters</t>
  </si>
  <si>
    <t>S25</t>
  </si>
  <si>
    <t>A.A. Apostolakou, I.K. Kookos, C. Marazioti, K.C. Angelopoulos (2009) Techno-economic analysis of a biodiesel production process from vegetable oils</t>
  </si>
  <si>
    <t>https://www.sciencedirect.com/science/article/pii/S037838200900112X</t>
  </si>
  <si>
    <t>Biogas production parameters</t>
  </si>
  <si>
    <t>S26</t>
  </si>
  <si>
    <t>Ahmed L. Sasserson Busaddee N. (2023) Techno-economic analysis of renewable gas production and electricity generation from organic waste. Master Thesis.</t>
  </si>
  <si>
    <t>https://mdh.diva-portal.org/smash/get/diva2:1775460/FULLTEXT01.pdf</t>
  </si>
  <si>
    <t>S27</t>
  </si>
  <si>
    <t xml:space="preserve">Barbera E. Menegon S. Banzato D. D'Alpaos C. Bertucco A. (2019) From biogas to biomethane: A process simulation-based techno-economic comparison of different upgrading technologies in the Italian context. Renewable Energy. </t>
  </si>
  <si>
    <t>https://www.sciencedirect.com/science/article/pii/S0960148118314836?fr=RR-2&amp;ref=pdf_download&amp;rr=8df5dc4898d90db7</t>
  </si>
  <si>
    <t>S28</t>
  </si>
  <si>
    <t>ETSAP (2013) Biogas and Bio-syngas Production .</t>
  </si>
  <si>
    <t>https://iea-etsap.org/E-TechDS/PDF/P11_BiogasProd_ML_Dec2013_GSOK.pdf</t>
  </si>
  <si>
    <t>Emissions factors</t>
  </si>
  <si>
    <t>S46</t>
  </si>
  <si>
    <t>IPCC (2006) 2006 IPCC Guidelines for National Greehouse Gas Inventories. Volume 2. Energy.</t>
  </si>
  <si>
    <t>https://www.ipcc-nggip.iges.or.jp/public/2006gl/vol2.html</t>
  </si>
  <si>
    <t>Coal mines type</t>
  </si>
  <si>
    <t>S47</t>
  </si>
  <si>
    <t xml:space="preserve">Global Energy monitor (2024) Global Coal Mine Tracker. Coal Production by Mine Type.  </t>
  </si>
  <si>
    <t>https://globalenergymonitor.org/projects/global-coal-mine-tracker/summary-tables/</t>
  </si>
  <si>
    <t>UPSNRG</t>
  </si>
  <si>
    <t>NRG</t>
  </si>
  <si>
    <t>COKIN</t>
  </si>
  <si>
    <t>LIQGASCOAIN</t>
  </si>
  <si>
    <t>TRFOTHIN</t>
  </si>
  <si>
    <t>REFIN</t>
  </si>
  <si>
    <t>REFOUT</t>
  </si>
  <si>
    <t>LNGIN</t>
  </si>
  <si>
    <t>GASPIP</t>
  </si>
  <si>
    <t>RGAIN</t>
  </si>
  <si>
    <t>GASLNG</t>
  </si>
  <si>
    <t>Commodities definition</t>
  </si>
  <si>
    <t>~FI_Comm</t>
  </si>
  <si>
    <t>Csets</t>
  </si>
  <si>
    <t>CommName</t>
  </si>
  <si>
    <t>CommDesc</t>
  </si>
  <si>
    <t>Unit</t>
  </si>
  <si>
    <t>LimType</t>
  </si>
  <si>
    <t>CTSLvl</t>
  </si>
  <si>
    <t>PeakTS</t>
  </si>
  <si>
    <t>Ctype</t>
  </si>
  <si>
    <t>* Commodity set</t>
  </si>
  <si>
    <t>Commodity name</t>
  </si>
  <si>
    <t>*Primary fuels reserves</t>
  </si>
  <si>
    <t>*Non-renewables</t>
  </si>
  <si>
    <t/>
  </si>
  <si>
    <t>RSVCOA</t>
  </si>
  <si>
    <t>Coal - Reserve</t>
  </si>
  <si>
    <t>TJ</t>
  </si>
  <si>
    <t>RSVLIG</t>
  </si>
  <si>
    <t>Lignite - Reserve</t>
  </si>
  <si>
    <t>RSVGAS</t>
  </si>
  <si>
    <t>Natural gas - Reserve</t>
  </si>
  <si>
    <t>RSVOIL</t>
  </si>
  <si>
    <t>Crude oil - Reserve</t>
  </si>
  <si>
    <t>RSVOILEOR</t>
  </si>
  <si>
    <t>Crude oil from EOR - Reserve</t>
  </si>
  <si>
    <t>RSVNUC</t>
  </si>
  <si>
    <t>Uranium - Reserve</t>
  </si>
  <si>
    <t>*Biomass</t>
  </si>
  <si>
    <t>RSVBIOWOO</t>
  </si>
  <si>
    <t>Biomass - Forest residues - Reserve</t>
  </si>
  <si>
    <t>kt</t>
  </si>
  <si>
    <t>RSVBIOCRP</t>
  </si>
  <si>
    <t>Biomass - Crops grown for energy - Reserve</t>
  </si>
  <si>
    <t>RSVBIOAGR</t>
  </si>
  <si>
    <t>Biomass - Agricultural residues - Reserve</t>
  </si>
  <si>
    <t>RSVBIOOLC</t>
  </si>
  <si>
    <t>Biomass - Oil crops - Reserve</t>
  </si>
  <si>
    <t>RSVBIOCRL</t>
  </si>
  <si>
    <t>Biomass - Cereals - Reserve</t>
  </si>
  <si>
    <t>*Secondary fuels</t>
  </si>
  <si>
    <t>*Fossil fuels</t>
  </si>
  <si>
    <t>COA</t>
  </si>
  <si>
    <t>Coal</t>
  </si>
  <si>
    <t>Lignite</t>
  </si>
  <si>
    <t>GASWET</t>
  </si>
  <si>
    <t>Wet gas</t>
  </si>
  <si>
    <t>GASNAT</t>
  </si>
  <si>
    <t>Natural gas</t>
  </si>
  <si>
    <t>OILNGL</t>
  </si>
  <si>
    <t>Natural gas liquids</t>
  </si>
  <si>
    <t>OILCRD</t>
  </si>
  <si>
    <t>Crude oil</t>
  </si>
  <si>
    <t>NUC</t>
  </si>
  <si>
    <t>Uranium</t>
  </si>
  <si>
    <t>Coke oven gas</t>
  </si>
  <si>
    <t>COACOK</t>
  </si>
  <si>
    <t>Coke oven coke</t>
  </si>
  <si>
    <t>GASBFG</t>
  </si>
  <si>
    <t>Blast Furnace gas</t>
  </si>
  <si>
    <t>*Pipeline fuels</t>
  </si>
  <si>
    <t>Pipeline natural gas</t>
  </si>
  <si>
    <t>OILPIP</t>
  </si>
  <si>
    <t>Pipeline crude oil</t>
  </si>
  <si>
    <t>NGLPIP</t>
  </si>
  <si>
    <t>Pipeline natural gas liquids</t>
  </si>
  <si>
    <t>* Liquified fuels</t>
  </si>
  <si>
    <t>Liquified natural gas</t>
  </si>
  <si>
    <t>*Dummy</t>
  </si>
  <si>
    <t>BIOMASSb</t>
  </si>
  <si>
    <t>Woody biomass - Dummy</t>
  </si>
  <si>
    <t>COAb</t>
  </si>
  <si>
    <t>Coal - Dummy</t>
  </si>
  <si>
    <t>OILDSLb</t>
  </si>
  <si>
    <t>Diesel - Dummy</t>
  </si>
  <si>
    <t>OILGSLb</t>
  </si>
  <si>
    <t>Gasoline - Dummy</t>
  </si>
  <si>
    <t>OILLPGb</t>
  </si>
  <si>
    <t>Liquified petroleum gas - Dummy</t>
  </si>
  <si>
    <t>OILNAPb</t>
  </si>
  <si>
    <t>Naphtha - Dummy</t>
  </si>
  <si>
    <t>OILOPPb</t>
  </si>
  <si>
    <t>Other petroleum products - Dummy</t>
  </si>
  <si>
    <t>*Refined oil products</t>
  </si>
  <si>
    <t>OILCOK</t>
  </si>
  <si>
    <t>Petroleum coke</t>
  </si>
  <si>
    <t>OILDSL</t>
  </si>
  <si>
    <t>Diesel</t>
  </si>
  <si>
    <t>OILGSL</t>
  </si>
  <si>
    <t>Gasoline</t>
  </si>
  <si>
    <t>OILHFO</t>
  </si>
  <si>
    <t>Heavy fuel oil</t>
  </si>
  <si>
    <t>OILKER</t>
  </si>
  <si>
    <t>Kerosene</t>
  </si>
  <si>
    <t>OILLPG</t>
  </si>
  <si>
    <t>LPG</t>
  </si>
  <si>
    <t>OILNAP</t>
  </si>
  <si>
    <t>Naphtha</t>
  </si>
  <si>
    <t>OILRFG</t>
  </si>
  <si>
    <t>Refinery gas</t>
  </si>
  <si>
    <t>OILOPP</t>
  </si>
  <si>
    <t>Other petroleum products</t>
  </si>
  <si>
    <t>*Hydrogen</t>
  </si>
  <si>
    <t>GASHH2UPS</t>
  </si>
  <si>
    <t>Gaseous hydrogen - Decentralized (UPS)</t>
  </si>
  <si>
    <t>Gaseous hydrogen - Centralized - After transmission</t>
  </si>
  <si>
    <t>GASHH2BYPRD</t>
  </si>
  <si>
    <t>Gaseous hydrogen - By product</t>
  </si>
  <si>
    <t>* Biomass feedstock</t>
  </si>
  <si>
    <t>BIOWOO</t>
  </si>
  <si>
    <t>Biomass - Forest residues</t>
  </si>
  <si>
    <t>BIOCRP</t>
  </si>
  <si>
    <t>Biomass - Crops grown for energy</t>
  </si>
  <si>
    <t>BIOAGR</t>
  </si>
  <si>
    <t>Biomass - Agricultural residues</t>
  </si>
  <si>
    <t>BIOOLC</t>
  </si>
  <si>
    <t>Biomass - Oil crops</t>
  </si>
  <si>
    <t>BIOCRL</t>
  </si>
  <si>
    <t>Biomass - Cereals</t>
  </si>
  <si>
    <t>* Biofuels</t>
  </si>
  <si>
    <t>BIOMASS</t>
  </si>
  <si>
    <t>Traditional woody biomass</t>
  </si>
  <si>
    <t>BIOPEL</t>
  </si>
  <si>
    <t>Woody pellet high quality</t>
  </si>
  <si>
    <t>BIOJET</t>
  </si>
  <si>
    <t>Biojet</t>
  </si>
  <si>
    <t>BIOETHC</t>
  </si>
  <si>
    <t>Cellulosic ethanol - 2nd gen</t>
  </si>
  <si>
    <t>BIOSYN</t>
  </si>
  <si>
    <t>Syngas</t>
  </si>
  <si>
    <t>BIORNG</t>
  </si>
  <si>
    <t>Renewable natural gas</t>
  </si>
  <si>
    <t>BIODIER</t>
  </si>
  <si>
    <t>Renewable diesel - 2nd gen</t>
  </si>
  <si>
    <t>BIOGSLR</t>
  </si>
  <si>
    <t>Renewable gasoline - 2nd gen</t>
  </si>
  <si>
    <t>BIOFTD</t>
  </si>
  <si>
    <t>FT- Diesel - 2nd gen</t>
  </si>
  <si>
    <t>BIOCHAR</t>
  </si>
  <si>
    <t>Biochar</t>
  </si>
  <si>
    <t>BIODSL</t>
  </si>
  <si>
    <t>Biodiesel - 1st gen</t>
  </si>
  <si>
    <t>BIOETH</t>
  </si>
  <si>
    <t>Ethanol - 1st gen</t>
  </si>
  <si>
    <t>*Upstream fuels</t>
  </si>
  <si>
    <t>UPSBDL</t>
  </si>
  <si>
    <t>Biodiesel (UPS)</t>
  </si>
  <si>
    <t>UPSBGL</t>
  </si>
  <si>
    <t xml:space="preserve">Biogasoline (UPS) </t>
  </si>
  <si>
    <t>UPSBLQ</t>
  </si>
  <si>
    <t xml:space="preserve">Liquid biofuel (UPS) </t>
  </si>
  <si>
    <t>UPSBFG</t>
  </si>
  <si>
    <t>Blast furnace gas (UPS)</t>
  </si>
  <si>
    <t>UPSBGS</t>
  </si>
  <si>
    <t>Biogas (UPS)</t>
  </si>
  <si>
    <t>UPSBIO</t>
  </si>
  <si>
    <t>Biomass (UPS)</t>
  </si>
  <si>
    <t>UPSCOA</t>
  </si>
  <si>
    <t>Coal (UPS)</t>
  </si>
  <si>
    <t>UPSCOALIG</t>
  </si>
  <si>
    <t>Lignite (UPS)</t>
  </si>
  <si>
    <t>UPSCOG</t>
  </si>
  <si>
    <t>Coke oven gas (UPS)</t>
  </si>
  <si>
    <t>UPSCOK</t>
  </si>
  <si>
    <t>Coke oven coke (UPS</t>
  </si>
  <si>
    <t>UPSDSL</t>
  </si>
  <si>
    <t>Diesel (UPS)</t>
  </si>
  <si>
    <t>UPSELC</t>
  </si>
  <si>
    <t>Electricty (UPS)</t>
  </si>
  <si>
    <t>DayNite</t>
  </si>
  <si>
    <t>ELC</t>
  </si>
  <si>
    <t>UPSGAS</t>
  </si>
  <si>
    <t>Natural gas (UPS)</t>
  </si>
  <si>
    <t>UPSGSL</t>
  </si>
  <si>
    <t>Gasoline (UPS)</t>
  </si>
  <si>
    <t>UPSHET</t>
  </si>
  <si>
    <t>Heat (UPS)</t>
  </si>
  <si>
    <t>LTHEAT</t>
  </si>
  <si>
    <t>UPSHFO</t>
  </si>
  <si>
    <t xml:space="preserve">Heavy fuel oil (UPS) </t>
  </si>
  <si>
    <t>UPSKER</t>
  </si>
  <si>
    <t xml:space="preserve">Kerosene (UPS) </t>
  </si>
  <si>
    <t>UPSLPG</t>
  </si>
  <si>
    <t xml:space="preserve">Liquified petroleum gas (UPS) </t>
  </si>
  <si>
    <t>UPSNAP</t>
  </si>
  <si>
    <t xml:space="preserve">Naphtas (UPS) </t>
  </si>
  <si>
    <t>UPSOIL</t>
  </si>
  <si>
    <t xml:space="preserve">Oil (UPS) </t>
  </si>
  <si>
    <t>UPSOIL2</t>
  </si>
  <si>
    <t xml:space="preserve">Other petroleum products (UPS) </t>
  </si>
  <si>
    <t>UPSWAS</t>
  </si>
  <si>
    <t xml:space="preserve">Waste (UPS) </t>
  </si>
  <si>
    <t>UPSH2G</t>
  </si>
  <si>
    <t>Hydrogen gaseous (UPS)</t>
  </si>
  <si>
    <t>*Energy services</t>
  </si>
  <si>
    <t>UREFBOI</t>
  </si>
  <si>
    <t>Refinery boiler (UPS)</t>
  </si>
  <si>
    <t>UREFHET</t>
  </si>
  <si>
    <t>Refinery process heat (UPS)</t>
  </si>
  <si>
    <t>UREFOTH</t>
  </si>
  <si>
    <t>Refinery other process (UPS)</t>
  </si>
  <si>
    <t>UREFHVA</t>
  </si>
  <si>
    <t xml:space="preserve">Refinery HVAC (UPS) </t>
  </si>
  <si>
    <t>*Emissions</t>
  </si>
  <si>
    <t>ENV</t>
  </si>
  <si>
    <t>UPSCO2e</t>
  </si>
  <si>
    <t>CO2eq emissions (UPS)</t>
  </si>
  <si>
    <t>UPSCO2</t>
  </si>
  <si>
    <t>CO2 emissions (UPS) - Combustion</t>
  </si>
  <si>
    <t>UPSCO2P</t>
  </si>
  <si>
    <t>CO2 emissions (UPS) - Fugitive</t>
  </si>
  <si>
    <t>UPSCO2F</t>
  </si>
  <si>
    <t>CO2 emissions (UPS) - Flaring</t>
  </si>
  <si>
    <t>UPSCO2V</t>
  </si>
  <si>
    <t>CO2 emissions (UPS) - Venting</t>
  </si>
  <si>
    <t>UPSCH4</t>
  </si>
  <si>
    <t>CH4 emissions (UPS) - Combustion</t>
  </si>
  <si>
    <t>UPSCH4P</t>
  </si>
  <si>
    <t>CH4 emissions (UPS) - Fugitive</t>
  </si>
  <si>
    <t>UPSCH4F</t>
  </si>
  <si>
    <t>CH4 emissions (UPS) - Flaring</t>
  </si>
  <si>
    <t>UPSCH4V</t>
  </si>
  <si>
    <t>CH4 emissions (UPS) - Venting</t>
  </si>
  <si>
    <t>UPSN2O</t>
  </si>
  <si>
    <t>N2O emissions (UPS) - Combustion</t>
  </si>
  <si>
    <t>UPSN2OP</t>
  </si>
  <si>
    <t>N2O emissions (UPS) - Fugitive</t>
  </si>
  <si>
    <t>UPSN2OF</t>
  </si>
  <si>
    <t>N2O emissions (UPS) - Flaring</t>
  </si>
  <si>
    <t>UPSN2OV</t>
  </si>
  <si>
    <t>N2O emissions (UPS) - Venting</t>
  </si>
  <si>
    <t>*Other commodity</t>
  </si>
  <si>
    <t>*Renewable resources</t>
  </si>
  <si>
    <t>GEO</t>
  </si>
  <si>
    <t>Geothermal</t>
  </si>
  <si>
    <t>FX</t>
  </si>
  <si>
    <t>HYD</t>
  </si>
  <si>
    <t>Hydro</t>
  </si>
  <si>
    <t>OCE</t>
  </si>
  <si>
    <t>Ocean</t>
  </si>
  <si>
    <t>SOL</t>
  </si>
  <si>
    <t>Solar</t>
  </si>
  <si>
    <t>WON</t>
  </si>
  <si>
    <t>Wind Onshore</t>
  </si>
  <si>
    <t>WOF</t>
  </si>
  <si>
    <t>Wind Offshore</t>
  </si>
  <si>
    <t>*Biofuels</t>
  </si>
  <si>
    <t>BIOWAS</t>
  </si>
  <si>
    <t>Biomass waste</t>
  </si>
  <si>
    <t>*Other fuels</t>
  </si>
  <si>
    <t>Electricity</t>
  </si>
  <si>
    <t>Heat</t>
  </si>
  <si>
    <t>WASTEN</t>
  </si>
  <si>
    <t>Waste</t>
  </si>
  <si>
    <t>Fuel Techs/Distribution Infrastructure</t>
  </si>
  <si>
    <t>~FI_T</t>
  </si>
  <si>
    <t>~FI_Process</t>
  </si>
  <si>
    <t>TechName</t>
  </si>
  <si>
    <t>*TechDesc</t>
  </si>
  <si>
    <t>*</t>
  </si>
  <si>
    <t>EFF</t>
  </si>
  <si>
    <t>PRC_CAPACT</t>
  </si>
  <si>
    <t>NCAP_AFA</t>
  </si>
  <si>
    <t>Sets</t>
  </si>
  <si>
    <t>TechDesc</t>
  </si>
  <si>
    <t>Tact</t>
  </si>
  <si>
    <t>Tcap</t>
  </si>
  <si>
    <t>Tslvl</t>
  </si>
  <si>
    <t>PrimaryCG</t>
  </si>
  <si>
    <t>*Technology name</t>
  </si>
  <si>
    <t>Efficiency</t>
  </si>
  <si>
    <t>Capacity to Activity Factor</t>
  </si>
  <si>
    <t>Availability factor</t>
  </si>
  <si>
    <t>*Process Set Membership</t>
  </si>
  <si>
    <t>Technology name</t>
  </si>
  <si>
    <t>Activity unit</t>
  </si>
  <si>
    <t>Capacity unit</t>
  </si>
  <si>
    <t>TimeSlice level of Process Activity</t>
  </si>
  <si>
    <t>Primary Commodity Group</t>
  </si>
  <si>
    <t>*Units</t>
  </si>
  <si>
    <t>%</t>
  </si>
  <si>
    <t>PRE</t>
  </si>
  <si>
    <t>Comm-IN</t>
  </si>
  <si>
    <t>Comm-OUT</t>
  </si>
  <si>
    <t>Attribute</t>
  </si>
  <si>
    <t>Year</t>
  </si>
  <si>
    <t>Input commodity</t>
  </si>
  <si>
    <t>Output commodity</t>
  </si>
  <si>
    <t>TIMES attribute</t>
  </si>
  <si>
    <t>Sign on the equation</t>
  </si>
  <si>
    <t>Share-I</t>
  </si>
  <si>
    <t>UP</t>
  </si>
  <si>
    <t>Primary fuels reserves</t>
  </si>
  <si>
    <t>Source:</t>
  </si>
  <si>
    <t>Topology and Cumulative bound</t>
  </si>
  <si>
    <t>Processes definition</t>
  </si>
  <si>
    <t>*Description</t>
  </si>
  <si>
    <t>Vintage</t>
  </si>
  <si>
    <t>Technology Description</t>
  </si>
  <si>
    <t>Cumulative amount of annual activity</t>
  </si>
  <si>
    <t>* Process Set Membership</t>
  </si>
  <si>
    <t>Vintage Tracking</t>
  </si>
  <si>
    <t>ACT_CUM</t>
  </si>
  <si>
    <t>Other variables</t>
  </si>
  <si>
    <t>MUSD2021/TJ</t>
  </si>
  <si>
    <t>ACT_COST</t>
  </si>
  <si>
    <t>Biomass potential</t>
  </si>
  <si>
    <t xml:space="preserve">Bound amount of annual activity </t>
  </si>
  <si>
    <t>ACT_BND</t>
  </si>
  <si>
    <t>kta</t>
  </si>
  <si>
    <t>MUSD2021/kt</t>
  </si>
  <si>
    <t>Primary fuels production</t>
  </si>
  <si>
    <t>Topology and Activity</t>
  </si>
  <si>
    <t>annual activity</t>
  </si>
  <si>
    <t>CommGrp</t>
  </si>
  <si>
    <t>*Unit</t>
  </si>
  <si>
    <t>Auxiliary input commodity</t>
  </si>
  <si>
    <t>NCAP_COST</t>
  </si>
  <si>
    <t>MUSD2021/(TJ/y)</t>
  </si>
  <si>
    <t>NCAP_FOM</t>
  </si>
  <si>
    <t>Input</t>
  </si>
  <si>
    <t>ACT</t>
  </si>
  <si>
    <t>CEFF</t>
  </si>
  <si>
    <t>SHARE</t>
  </si>
  <si>
    <t>Biofuel production</t>
  </si>
  <si>
    <t>PRC_CapAct</t>
  </si>
  <si>
    <t>Tja</t>
  </si>
  <si>
    <t>NCAP_TLIFE</t>
  </si>
  <si>
    <t>years</t>
  </si>
  <si>
    <t>NCAP_PASTI</t>
  </si>
  <si>
    <t>LO</t>
  </si>
  <si>
    <t>NCAP_BND</t>
  </si>
  <si>
    <t>SHARE-I</t>
  </si>
  <si>
    <t>Transformation</t>
  </si>
  <si>
    <t>NRGO</t>
  </si>
  <si>
    <t>SHARE-O</t>
  </si>
  <si>
    <t>AFA</t>
  </si>
  <si>
    <t>NCAP_START</t>
  </si>
  <si>
    <t>Energy services</t>
  </si>
  <si>
    <t>*Total</t>
  </si>
  <si>
    <t>Pipelines</t>
  </si>
  <si>
    <t>Commodity name conversion</t>
  </si>
  <si>
    <t>UPS Transformation: LNG liquefaction - Existing</t>
  </si>
  <si>
    <t>UPS Transformation: LNG regasification - Existing</t>
  </si>
  <si>
    <t>UPS Transformation: LNG liquefaction - New</t>
  </si>
  <si>
    <t>UPS Transformation: LNG regasification - New</t>
  </si>
  <si>
    <t>Transformations inputs</t>
  </si>
  <si>
    <t>Subsector</t>
  </si>
  <si>
    <t>Primary energy commoditiy</t>
  </si>
  <si>
    <t>Blast furnace</t>
  </si>
  <si>
    <t>Coke oven</t>
  </si>
  <si>
    <t>Liquefation</t>
  </si>
  <si>
    <t>Refineries</t>
  </si>
  <si>
    <t>Other</t>
  </si>
  <si>
    <t>Check</t>
  </si>
  <si>
    <t>Transformations outputs</t>
  </si>
  <si>
    <t>Own uses</t>
  </si>
  <si>
    <t>Subsector extended</t>
  </si>
  <si>
    <t>OTH OwnUses</t>
  </si>
  <si>
    <t>Other energy industries own use</t>
  </si>
  <si>
    <t>Breakout shares (source : S4)</t>
  </si>
  <si>
    <t>Commodity</t>
  </si>
  <si>
    <t>Own use by oil and gas extraction</t>
  </si>
  <si>
    <t>% of Other energy industries own use</t>
  </si>
  <si>
    <t>Own use by oil refineries</t>
  </si>
  <si>
    <t>Other energy industry own use</t>
  </si>
  <si>
    <t>Own use by LNG/regasification plants</t>
  </si>
  <si>
    <t>Own use by coke ovens</t>
  </si>
  <si>
    <t>Own use by blast furnaces</t>
  </si>
  <si>
    <t>Own use by natural gas separation plants</t>
  </si>
  <si>
    <t>Own use by pump-storage plants</t>
  </si>
  <si>
    <t>Own use by coal mines</t>
  </si>
  <si>
    <t>Own use by gas works</t>
  </si>
  <si>
    <t>Own use by briquetting plants</t>
  </si>
  <si>
    <t>Own use by biogas production plants</t>
  </si>
  <si>
    <t>Own use by coal liquefaction plants</t>
  </si>
  <si>
    <t>Own use by nuclear fuel extraction and processing</t>
  </si>
  <si>
    <t>Own use by charcoal plants</t>
  </si>
  <si>
    <t>Balance dissagregation</t>
  </si>
  <si>
    <t>Own use by coal mines - All coal</t>
  </si>
  <si>
    <t>Own use by coal mines - Lignite</t>
  </si>
  <si>
    <t>Own use by oil and gas extraction - Gas</t>
  </si>
  <si>
    <t>Own use by oil and gas extraction - Crude oil</t>
  </si>
  <si>
    <t>Own use by other transformation process</t>
  </si>
  <si>
    <t>Check line - Should be 0</t>
  </si>
  <si>
    <t>Primary production, stocks and losses</t>
  </si>
  <si>
    <t>Primary production</t>
  </si>
  <si>
    <t>Biodiesel</t>
  </si>
  <si>
    <t>Biogasoline</t>
  </si>
  <si>
    <t>Biogas</t>
  </si>
  <si>
    <t>Biomass</t>
  </si>
  <si>
    <t>UPSCSP</t>
  </si>
  <si>
    <t xml:space="preserve">Concentrated solar power </t>
  </si>
  <si>
    <t>UPSGEOTH</t>
  </si>
  <si>
    <t>UPSOCE</t>
  </si>
  <si>
    <t>UPSHYD</t>
  </si>
  <si>
    <t>UPSNUC</t>
  </si>
  <si>
    <t>Nuclear</t>
  </si>
  <si>
    <t>UPSSOL</t>
  </si>
  <si>
    <t>UPSWINON</t>
  </si>
  <si>
    <t>Wind on-shore</t>
  </si>
  <si>
    <t>UPSWINOFF</t>
  </si>
  <si>
    <t>Wind off-shore</t>
  </si>
  <si>
    <t>Consumption by stocks</t>
  </si>
  <si>
    <t>Coke</t>
  </si>
  <si>
    <t>Naphtas</t>
  </si>
  <si>
    <t xml:space="preserve">Crude oil </t>
  </si>
  <si>
    <t>Oil 2</t>
  </si>
  <si>
    <t>Production by stocks</t>
  </si>
  <si>
    <t>Losses</t>
  </si>
  <si>
    <t xml:space="preserve">Electricity </t>
  </si>
  <si>
    <t>Crude oil and Natural gas production</t>
  </si>
  <si>
    <t>% crude oil</t>
  </si>
  <si>
    <t>UPSNGL</t>
  </si>
  <si>
    <t>Uranium primary production</t>
  </si>
  <si>
    <t>Transport</t>
  </si>
  <si>
    <t>Pipeline</t>
  </si>
  <si>
    <t>TRADSL</t>
  </si>
  <si>
    <t>TRAELC</t>
  </si>
  <si>
    <t>TRAGAS</t>
  </si>
  <si>
    <t>TRAGSL</t>
  </si>
  <si>
    <t>TRAHFO</t>
  </si>
  <si>
    <t>TRAKER</t>
  </si>
  <si>
    <t>TRALPG</t>
  </si>
  <si>
    <t>TRAOIL</t>
  </si>
  <si>
    <t>Pipeline - Natural gas</t>
  </si>
  <si>
    <t>Pipeline - Natural gas liquids</t>
  </si>
  <si>
    <t>Pipeline - Crude oil</t>
  </si>
  <si>
    <t>Non energy</t>
  </si>
  <si>
    <t>NEU</t>
  </si>
  <si>
    <t>Reserves Fossil fuels</t>
  </si>
  <si>
    <t>Coal reserves</t>
  </si>
  <si>
    <t>Oil reserves</t>
  </si>
  <si>
    <t>Gas reserves</t>
  </si>
  <si>
    <t>Anthracite and bituminous</t>
  </si>
  <si>
    <t>Lignite and sub-bituminous</t>
  </si>
  <si>
    <t xml:space="preserve">Crude oil + Condensates + NGL </t>
  </si>
  <si>
    <t>Crude oil + Condensates</t>
  </si>
  <si>
    <t>NGLs</t>
  </si>
  <si>
    <t>Reasonably assured recoverable</t>
  </si>
  <si>
    <t>Inferred recoverable</t>
  </si>
  <si>
    <t>Region</t>
  </si>
  <si>
    <t>40 USD/kg U</t>
  </si>
  <si>
    <t>80 USD/kg U</t>
  </si>
  <si>
    <t>130 USD/kg U</t>
  </si>
  <si>
    <t>260 USD/kg U</t>
  </si>
  <si>
    <t>% of the field that can be retrieve</t>
  </si>
  <si>
    <t>Crude oil from traditional technique</t>
  </si>
  <si>
    <t>Crude oil from EOR</t>
  </si>
  <si>
    <t>Extraction/Production costs</t>
  </si>
  <si>
    <t>Hard coal</t>
  </si>
  <si>
    <t>High calorific coal</t>
  </si>
  <si>
    <t>Low calorific coal</t>
  </si>
  <si>
    <t>Total</t>
  </si>
  <si>
    <t>Extraction</t>
  </si>
  <si>
    <t>Production</t>
  </si>
  <si>
    <t>M2021USD/TJ</t>
  </si>
  <si>
    <t>USD/TJ</t>
  </si>
  <si>
    <t xml:space="preserve">Refineries Capacity </t>
  </si>
  <si>
    <t>Source : UN(2023)EnergyStat_RefineryCap</t>
  </si>
  <si>
    <t>Refinery capacity</t>
  </si>
  <si>
    <t>Conventional crude oil</t>
  </si>
  <si>
    <t>Refineries Input</t>
  </si>
  <si>
    <t>PIPGAS</t>
  </si>
  <si>
    <t>PIPOIL</t>
  </si>
  <si>
    <t>Refineries Output</t>
  </si>
  <si>
    <t>Refineries Own consumption</t>
  </si>
  <si>
    <t>Hydrogen requirement for upgrading</t>
  </si>
  <si>
    <t>IEA(2023)</t>
  </si>
  <si>
    <t>Hydrogen consumption in Refineries</t>
  </si>
  <si>
    <t>From By-product</t>
  </si>
  <si>
    <t>From Steam methane reforming</t>
  </si>
  <si>
    <t>Hydrogen consumption ratio</t>
  </si>
  <si>
    <t>TJ hydrogen / TJ crude processed</t>
  </si>
  <si>
    <t>UPSHH2</t>
  </si>
  <si>
    <t>% hydrogen consumed</t>
  </si>
  <si>
    <t>Hydrogen production - On-site from NGA</t>
  </si>
  <si>
    <t xml:space="preserve">Steam methane reforming efficiency </t>
  </si>
  <si>
    <t>Natural gas for Hydrogen production</t>
  </si>
  <si>
    <t>Natural gas remaining</t>
  </si>
  <si>
    <t>Energy services shares</t>
  </si>
  <si>
    <t>Boiler</t>
  </si>
  <si>
    <t>Process heat</t>
  </si>
  <si>
    <t>Other processes</t>
  </si>
  <si>
    <t>HVAC</t>
  </si>
  <si>
    <t>Other fuels</t>
  </si>
  <si>
    <t>Oil refineries own uses</t>
  </si>
  <si>
    <t>Refineries Costs</t>
  </si>
  <si>
    <t xml:space="preserve">Capital cost </t>
  </si>
  <si>
    <t>Fixed O&amp;M</t>
  </si>
  <si>
    <t>Variable O&amp;M</t>
  </si>
  <si>
    <t>Lifetime</t>
  </si>
  <si>
    <t>Heat efficiency</t>
  </si>
  <si>
    <t>Main process</t>
  </si>
  <si>
    <t>Petroleum product</t>
  </si>
  <si>
    <t xml:space="preserve">Coal </t>
  </si>
  <si>
    <t>Domestic pipelines</t>
  </si>
  <si>
    <t xml:space="preserve">Activity </t>
  </si>
  <si>
    <t xml:space="preserve">Natural gas </t>
  </si>
  <si>
    <t xml:space="preserve">Natural gas pipeline parameters </t>
  </si>
  <si>
    <t xml:space="preserve">Investment cost </t>
  </si>
  <si>
    <t>USD/bcm/y</t>
  </si>
  <si>
    <t>MUSD/TJ/y</t>
  </si>
  <si>
    <t xml:space="preserve">Natural gas liquids pipeline parameters </t>
  </si>
  <si>
    <t>USD/BOE/d</t>
  </si>
  <si>
    <t xml:space="preserve">Crude oil pipeline parameters </t>
  </si>
  <si>
    <t>Trade</t>
  </si>
  <si>
    <t>Import</t>
  </si>
  <si>
    <t>Export</t>
  </si>
  <si>
    <t>LNG import/export</t>
  </si>
  <si>
    <t>Source : IGU(2020)</t>
  </si>
  <si>
    <t>From/To</t>
  </si>
  <si>
    <t>LNG Liquefaction capacity</t>
  </si>
  <si>
    <t>LNG Liquefaction production</t>
  </si>
  <si>
    <t>Regasification capacity</t>
  </si>
  <si>
    <t>Regasification production</t>
  </si>
  <si>
    <t>Liquefaction/Regasification parameters</t>
  </si>
  <si>
    <t>Liquefaction</t>
  </si>
  <si>
    <t>Regasification</t>
  </si>
  <si>
    <t>% NGA processed</t>
  </si>
  <si>
    <t xml:space="preserve">Energy consumption - Electricity </t>
  </si>
  <si>
    <t>Pospilsil(2019)LNG</t>
  </si>
  <si>
    <t>MUS2018/MTPA</t>
  </si>
  <si>
    <t>MUS2017/MTPA</t>
  </si>
  <si>
    <t>MUS2018/TJ</t>
  </si>
  <si>
    <t>MUS2017/TJ</t>
  </si>
  <si>
    <t>CAPEX</t>
  </si>
  <si>
    <t>Zhang(2020)Liquefaction</t>
  </si>
  <si>
    <t>Agarwal(2020)_Regasification</t>
  </si>
  <si>
    <t xml:space="preserve">Own use </t>
  </si>
  <si>
    <t>Own use by liquefaction</t>
  </si>
  <si>
    <t>Own use by regasification plants</t>
  </si>
  <si>
    <t>CWQ</t>
  </si>
  <si>
    <t>CDQ</t>
  </si>
  <si>
    <t>WHR</t>
  </si>
  <si>
    <t>Coke wet quenching</t>
  </si>
  <si>
    <t>Coke dry quenching</t>
  </si>
  <si>
    <t>Waste heat recovery</t>
  </si>
  <si>
    <t>Total capital investment</t>
  </si>
  <si>
    <t>MUSD2021/(TJ coke / y)</t>
  </si>
  <si>
    <t>Fixed capital investment</t>
  </si>
  <si>
    <t>CQFC</t>
  </si>
  <si>
    <t>Working capital investment</t>
  </si>
  <si>
    <t xml:space="preserve">Operation and maintenance cost </t>
  </si>
  <si>
    <t>Gas to liquids and Coal to liquids parameters</t>
  </si>
  <si>
    <t>Gas to liquids</t>
  </si>
  <si>
    <t>Coal to liquids</t>
  </si>
  <si>
    <t>Average</t>
  </si>
  <si>
    <t>Gas separation plants</t>
  </si>
  <si>
    <t>Capacity</t>
  </si>
  <si>
    <t>TJ /year</t>
  </si>
  <si>
    <t>GSP 1</t>
  </si>
  <si>
    <t>GSP 2</t>
  </si>
  <si>
    <t>GSP 3</t>
  </si>
  <si>
    <t>GSP 4</t>
  </si>
  <si>
    <t>GSP 5</t>
  </si>
  <si>
    <t>GSP 6</t>
  </si>
  <si>
    <t>Other process</t>
  </si>
  <si>
    <t>Investment cost</t>
  </si>
  <si>
    <t>MUSD/ (TJ/y)</t>
  </si>
  <si>
    <t>Fix O&amp;M</t>
  </si>
  <si>
    <t>Biomass supply curve - Link with MAgPIE</t>
  </si>
  <si>
    <t>Potential</t>
  </si>
  <si>
    <t>Energy content</t>
  </si>
  <si>
    <t>Biomass commodity</t>
  </si>
  <si>
    <t>Step of the supply curve</t>
  </si>
  <si>
    <t xml:space="preserve">TJ/ unit of reserve </t>
  </si>
  <si>
    <t>Forest residues</t>
  </si>
  <si>
    <t>Step 1</t>
  </si>
  <si>
    <t>kt/y</t>
  </si>
  <si>
    <t>Step 2</t>
  </si>
  <si>
    <t>Step 3</t>
  </si>
  <si>
    <t>Crops grown for energy</t>
  </si>
  <si>
    <t>Agriculture residues</t>
  </si>
  <si>
    <t>Oil crops - 1st gen crops biodiesel</t>
  </si>
  <si>
    <t>TJ/y</t>
  </si>
  <si>
    <t>Cereals - 1st gen crops ethanol</t>
  </si>
  <si>
    <t xml:space="preserve">Cost </t>
  </si>
  <si>
    <t>Ethanol production</t>
  </si>
  <si>
    <t>Biomass processed</t>
  </si>
  <si>
    <t>Efficiency (input/output)</t>
  </si>
  <si>
    <t>TJ ethanol / kt biomass</t>
  </si>
  <si>
    <t>MUS2021/(TJ/y)</t>
  </si>
  <si>
    <t>Maintenance</t>
  </si>
  <si>
    <t>Energy consumption</t>
  </si>
  <si>
    <t>TJ / TJ ethanol</t>
  </si>
  <si>
    <t>Electricity consumption</t>
  </si>
  <si>
    <t>Natural gas consumption</t>
  </si>
  <si>
    <t>Biodiesel production</t>
  </si>
  <si>
    <t>Biodiesel production plant</t>
  </si>
  <si>
    <t>Transesterification</t>
  </si>
  <si>
    <t>Vegetal Oil process</t>
  </si>
  <si>
    <t xml:space="preserve">Biodiesel production </t>
  </si>
  <si>
    <t xml:space="preserve">TJ biodiesel / kt oil </t>
  </si>
  <si>
    <t>Heat consumption</t>
  </si>
  <si>
    <t>Natural gas consumption for heat production</t>
  </si>
  <si>
    <t>TJ/ TJ biodiesel</t>
  </si>
  <si>
    <t>Variable O&amp;M cost</t>
  </si>
  <si>
    <t>MUS2021/TJ</t>
  </si>
  <si>
    <t>Biogas/ Rneewable natural gas production</t>
  </si>
  <si>
    <t>Biomass proceed</t>
  </si>
  <si>
    <t>Biogas produced</t>
  </si>
  <si>
    <t>m3/y</t>
  </si>
  <si>
    <t>Biomethane produced</t>
  </si>
  <si>
    <t>TJ biomethane / kt input</t>
  </si>
  <si>
    <t>TJ/ TJ biomethane</t>
  </si>
  <si>
    <t>CAPEX - AD</t>
  </si>
  <si>
    <t>CAPEX - UPG</t>
  </si>
  <si>
    <t>O&amp;M - AD</t>
  </si>
  <si>
    <t>O&amp;M - UPG</t>
  </si>
  <si>
    <t>Combustion emissions</t>
  </si>
  <si>
    <t>CO2</t>
  </si>
  <si>
    <t>CH4</t>
  </si>
  <si>
    <t>N2O</t>
  </si>
  <si>
    <t>CO2  - biogenic</t>
  </si>
  <si>
    <t>t/TJ</t>
  </si>
  <si>
    <t>Coal mines types</t>
  </si>
  <si>
    <t>Surface mines</t>
  </si>
  <si>
    <t>Underground mines</t>
  </si>
  <si>
    <t>Fugitives emissions</t>
  </si>
  <si>
    <t xml:space="preserve">CH4 emissions </t>
  </si>
  <si>
    <t>t CH4</t>
  </si>
  <si>
    <t>Coal mines</t>
  </si>
  <si>
    <t>TJ coal</t>
  </si>
  <si>
    <t>Gas production - Fugitives</t>
  </si>
  <si>
    <t>TJ gas production</t>
  </si>
  <si>
    <t>Gas production - Flaring</t>
  </si>
  <si>
    <t>Gas processing - Fugitives</t>
  </si>
  <si>
    <t>TJ gas processed</t>
  </si>
  <si>
    <t>Gas processing - Flaring</t>
  </si>
  <si>
    <t>Gas processing - Raw CO2 venting</t>
  </si>
  <si>
    <t>Gas transmission - Fugitives</t>
  </si>
  <si>
    <t>TJ gas transmitted</t>
  </si>
  <si>
    <t>Gas transmission - Venting</t>
  </si>
  <si>
    <t>Gas distribution - Fugitives</t>
  </si>
  <si>
    <t>TJ gas distributed</t>
  </si>
  <si>
    <t>Natural gas liquids transport - Condensates - Fugitives</t>
  </si>
  <si>
    <t>TJ condensates</t>
  </si>
  <si>
    <t>Natural gas liquids transport - LPG - Fugitives</t>
  </si>
  <si>
    <t>TJ LPG</t>
  </si>
  <si>
    <t>Natural gas liquids transport - LNG - Fugitives</t>
  </si>
  <si>
    <t>TJ LNG</t>
  </si>
  <si>
    <t>Oil production - Fugitives</t>
  </si>
  <si>
    <t>TJ oil production</t>
  </si>
  <si>
    <t>Oil production - Venting</t>
  </si>
  <si>
    <t>Oil production - Flaring</t>
  </si>
  <si>
    <t>Oil upgrading - Fugitives</t>
  </si>
  <si>
    <t xml:space="preserve">TJ oil upgraded </t>
  </si>
  <si>
    <t>Oil transport - Pipeline - fugitives</t>
  </si>
  <si>
    <t>TJ oil transported by pipeline</t>
  </si>
  <si>
    <t>Oil transport - Tankers, trucks and Rail cars - Venting</t>
  </si>
  <si>
    <t>TJ oil transported</t>
  </si>
  <si>
    <t>Oil transport - Loading off-shore Production on tanker ships - Venting</t>
  </si>
  <si>
    <t>Oil refining - Fugitives</t>
  </si>
  <si>
    <t>TJ oil refined</t>
  </si>
  <si>
    <t>Refined product distribution - Gasoline - Fugitives</t>
  </si>
  <si>
    <t>TJ product transported</t>
  </si>
  <si>
    <t>Refined product distribution - Diesel - Fugitives</t>
  </si>
  <si>
    <t>Refined product distribution - Aviation fuel - Fugitives</t>
  </si>
  <si>
    <t>Refined product distribution - Jet kerosene - Fugitives</t>
  </si>
  <si>
    <t>CO2 emissions</t>
  </si>
  <si>
    <t>t CO2</t>
  </si>
  <si>
    <t>NMVOC emissions</t>
  </si>
  <si>
    <t>t NMVOC</t>
  </si>
  <si>
    <t>N2O emissions</t>
  </si>
  <si>
    <t>t N2O</t>
  </si>
  <si>
    <t>The methodology and timing of updating the reserves numbers is currently under review</t>
  </si>
  <si>
    <t>Oil: Proved reserves in thousand million barrels</t>
  </si>
  <si>
    <t>Contents</t>
  </si>
  <si>
    <t>Growth rate per annum</t>
  </si>
  <si>
    <t>Share</t>
  </si>
  <si>
    <t>Thousand million barrels</t>
  </si>
  <si>
    <t>2009-19</t>
  </si>
  <si>
    <t>US</t>
  </si>
  <si>
    <t>Total North America</t>
  </si>
  <si>
    <t>Argentina</t>
  </si>
  <si>
    <t>Colombia</t>
  </si>
  <si>
    <t>Ecuador</t>
  </si>
  <si>
    <t>Peru</t>
  </si>
  <si>
    <t>Trinidad &amp; Tobago</t>
  </si>
  <si>
    <t>Venezuela</t>
  </si>
  <si>
    <t>Other S. &amp; Cent. America</t>
  </si>
  <si>
    <t>Total S. &amp; Cent. America</t>
  </si>
  <si>
    <t>Denmark</t>
  </si>
  <si>
    <t>Italy</t>
  </si>
  <si>
    <t>Norway</t>
  </si>
  <si>
    <t>Romania</t>
  </si>
  <si>
    <t>United Kingdom</t>
  </si>
  <si>
    <t>Other Europe</t>
  </si>
  <si>
    <t>Total Europe</t>
  </si>
  <si>
    <t>Azerbaijan</t>
  </si>
  <si>
    <t>n/a</t>
  </si>
  <si>
    <t>Kazakhstan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</si>
  <si>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</si>
  <si>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</si>
  <si>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</si>
  <si>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</si>
  <si>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</si>
  <si>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</si>
  <si>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</si>
  <si>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</si>
  <si>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</si>
  <si>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</si>
  <si>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</si>
  <si>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</si>
  <si>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</si>
  <si>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</si>
  <si>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</si>
  <si>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</si>
  <si>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</si>
  <si>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</si>
  <si>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</si>
  <si>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Republic of Congo</t>
  </si>
  <si>
    <t>Egypt</t>
  </si>
  <si>
    <t>Equatorial Guinea</t>
  </si>
  <si>
    <t>Gabon</t>
  </si>
  <si>
    <t>Libya</t>
  </si>
  <si>
    <t>South Sudan</t>
  </si>
  <si>
    <t>Sudan</t>
  </si>
  <si>
    <t>Tunisia</t>
  </si>
  <si>
    <t>Other Africa</t>
  </si>
  <si>
    <t>Total Africa</t>
  </si>
  <si>
    <t>Australia</t>
  </si>
  <si>
    <t>Brunei</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</si>
  <si>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</si>
  <si>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</si>
  <si>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</si>
  <si>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</si>
  <si>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</si>
  <si>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</si>
  <si>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</si>
  <si>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</si>
  <si>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</si>
  <si>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</si>
  <si>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</si>
  <si>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t>
  </si>
  <si>
    <t>Canadian Oil Sands: Total</t>
  </si>
  <si>
    <t>of which: Under active development</t>
  </si>
  <si>
    <t>Venezuela: Orinoco Belt</t>
  </si>
  <si>
    <t>Please note that these reserves tables have not been updated this year.</t>
  </si>
  <si>
    <t>Source of data - The estimates in this table have been compiled using a combination of primary official sources, third-party data from the OPEC Secretariat, World Oil, Oil &amp;</t>
  </si>
  <si>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</si>
  <si>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</si>
  <si>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</si>
  <si>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xml:space="preserve"> ^ Less than 0.05.</t>
  </si>
  <si>
    <t>w Less than 0.05%.</t>
  </si>
  <si>
    <t>USSR includes CIS, Georgia, Ukraine and the Baltic States.</t>
  </si>
  <si>
    <t>#Excludes Estonia, Latvia and Lithuania prior to 1985 and Croatia and Slovenia prior to 1990.</t>
  </si>
  <si>
    <t xml:space="preserve">Notes: Total proved reserves of oil - Generally taken to be those quantities that geological and engineering information indicates with reasonable certainty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</si>
  <si>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</si>
  <si>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</si>
  <si>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</si>
  <si>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</si>
  <si>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</si>
  <si>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</si>
  <si>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</si>
  <si>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</si>
  <si>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Natural Gas: Proved reserves</t>
  </si>
  <si>
    <t>Trillion cubic metres</t>
  </si>
  <si>
    <t>Bolivia</t>
  </si>
  <si>
    <t>Germany</t>
  </si>
  <si>
    <t>Netherlands</t>
  </si>
  <si>
    <t>Poland</t>
  </si>
  <si>
    <t>Ukraine</t>
  </si>
  <si>
    <t>Bahrain</t>
  </si>
  <si>
    <t>Israel</t>
  </si>
  <si>
    <t>Bangladesh</t>
  </si>
  <si>
    <t>Myanmar</t>
  </si>
  <si>
    <t>Pakistan</t>
  </si>
  <si>
    <t>Papua New Guinea</t>
  </si>
  <si>
    <t xml:space="preserve">                 of which: OECD</t>
  </si>
  <si>
    <t xml:space="preserve">                 European Union</t>
  </si>
  <si>
    <t>Source of data - The estimates in this table have been compiled using a combination of primary official sources and third-party data from Cedigaz and the OPEC Secretariat.</t>
  </si>
  <si>
    <t xml:space="preserve">Notes: Total proved reserves of natural gas - Generally taken to be those quantities that geological and engineering information indicates with reasonable certainty </t>
  </si>
  <si>
    <t xml:space="preserve">can be recovered in the future from known reservoirs under existing economic and operating conditions. The data series for natural gas does not necessarily </t>
  </si>
  <si>
    <t xml:space="preserve">Reserves-to-production (R/P) ratio - If the reserves remaining at the end of any year are divided by the production in that year, the result is the length of time </t>
  </si>
  <si>
    <t xml:space="preserve"> that those remaining reserves would last if production were to continue at that rate.</t>
  </si>
  <si>
    <t>As far as possible, the data above represents standard cubic metres (measured at 15ºC and 1013 mbar) and has been standardized using a Gross Calorific Value (GCV) of 40 MJ/m3.</t>
  </si>
  <si>
    <t>Annual changes and share of total are calculated using trillion cubic metres.</t>
  </si>
  <si>
    <t>Coal:</t>
  </si>
  <si>
    <t>Total proved reserves at end 2020</t>
  </si>
  <si>
    <t>Anthracite</t>
  </si>
  <si>
    <t>Sub-bituminous</t>
  </si>
  <si>
    <t>Million tonnes</t>
  </si>
  <si>
    <t>and bituminous</t>
  </si>
  <si>
    <t>and lignite</t>
  </si>
  <si>
    <t>Share of Total</t>
  </si>
  <si>
    <t>R/P ratio</t>
  </si>
  <si>
    <t>Bulgaria</t>
  </si>
  <si>
    <t>Czech Republic</t>
  </si>
  <si>
    <t>Greece</t>
  </si>
  <si>
    <t>Hungary</t>
  </si>
  <si>
    <t>Serbia</t>
  </si>
  <si>
    <t>Spain</t>
  </si>
  <si>
    <t>Turkey</t>
  </si>
  <si>
    <t xml:space="preserve">Total Europe </t>
  </si>
  <si>
    <t>South Africa</t>
  </si>
  <si>
    <t>Zimbabwe</t>
  </si>
  <si>
    <t>Middle East</t>
  </si>
  <si>
    <t>Total Middle East &amp; Africa</t>
  </si>
  <si>
    <t>Mongolia</t>
  </si>
  <si>
    <t>New Zealand</t>
  </si>
  <si>
    <t>South Korea</t>
  </si>
  <si>
    <t xml:space="preserve">                 European Union </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</si>
  <si>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</si>
  <si>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</si>
  <si>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Notes: Total proved reserves of coal- Generally taken to be those quantities that geological and engineering information indicates with reasonable certainty </t>
  </si>
  <si>
    <t xml:space="preserve">can be recovered in the future from known reservoirs under existing economic and operating conditions. The data series for total proved coal reserves does not necessarily </t>
  </si>
  <si>
    <t>Reserves-to-production (R/P) ratio - If the reserves remaining at the end of any year are divided by the production in that year, the result is the length of time</t>
  </si>
  <si>
    <t>that those remaining reserves would last if production were to continue at that rate.</t>
  </si>
  <si>
    <t>Reserves-to-production (R/P) ratios are calculated excluding other solid fuels in reserves and production.</t>
  </si>
  <si>
    <t>Shares of total and R/P ratios are calculated using million tonnes figures.</t>
  </si>
  <si>
    <r>
      <rPr>
        <sz val="11"/>
        <rFont val="Calibri"/>
        <family val="2"/>
        <scheme val="minor"/>
      </rPr>
      <t xml:space="preserve">Table 1.3a. </t>
    </r>
    <r>
      <rPr>
        <b/>
        <sz val="11"/>
        <rFont val="Calibri"/>
        <family val="2"/>
        <scheme val="minor"/>
      </rPr>
      <t xml:space="preserve">Reasonably assured recoverable resources
</t>
    </r>
    <r>
      <rPr>
        <sz val="11"/>
        <rFont val="Calibri"/>
        <family val="2"/>
        <scheme val="minor"/>
      </rPr>
      <t>(as of 1 January 2019, tonnes U, rounded to nearest 100 tonnes)</t>
    </r>
  </si>
  <si>
    <r>
      <rPr>
        <sz val="11"/>
        <rFont val="Calibri"/>
        <family val="2"/>
        <scheme val="minor"/>
      </rPr>
      <t xml:space="preserve">Table 1.4a. </t>
    </r>
    <r>
      <rPr>
        <b/>
        <sz val="11"/>
        <rFont val="Calibri"/>
        <family val="2"/>
        <scheme val="minor"/>
      </rPr>
      <t xml:space="preserve">Inferred recoverable resources
</t>
    </r>
    <r>
      <rPr>
        <sz val="11"/>
        <rFont val="Calibri"/>
        <family val="2"/>
        <scheme val="minor"/>
      </rPr>
      <t>(as of 1 January 2019, tonnes U, rounded to nearest 100 tonnes)</t>
    </r>
  </si>
  <si>
    <r>
      <rPr>
        <sz val="9.5"/>
        <rFont val="Cambria"/>
        <family val="1"/>
      </rPr>
      <t xml:space="preserve">Table 1.18. </t>
    </r>
    <r>
      <rPr>
        <b/>
        <sz val="9.5"/>
        <rFont val="Cambria"/>
        <family val="1"/>
      </rPr>
      <t xml:space="preserve">Historical uranium production
</t>
    </r>
    <r>
      <rPr>
        <sz val="9"/>
        <rFont val="Cambria"/>
        <family val="1"/>
      </rPr>
      <t>(tonnes U)</t>
    </r>
  </si>
  <si>
    <r>
      <rPr>
        <sz val="11"/>
        <color rgb="FFFFFFFF"/>
        <rFont val="Calibri"/>
        <family val="2"/>
        <scheme val="minor"/>
      </rPr>
      <t>Country</t>
    </r>
  </si>
  <si>
    <r>
      <rPr>
        <b/>
        <sz val="11"/>
        <color rgb="FFFFFFFF"/>
        <rFont val="Calibri"/>
        <family val="2"/>
        <scheme val="minor"/>
      </rPr>
      <t>Cost ranges</t>
    </r>
  </si>
  <si>
    <r>
      <rPr>
        <b/>
        <sz val="11"/>
        <color rgb="FFFFFFFF"/>
        <rFont val="Calibri"/>
        <family val="2"/>
        <scheme val="minor"/>
      </rPr>
      <t>Country</t>
    </r>
  </si>
  <si>
    <r>
      <rPr>
        <b/>
        <sz val="7.5"/>
        <color rgb="FFFFFFFF"/>
        <rFont val="Tahoma"/>
        <family val="2"/>
      </rPr>
      <t>Country</t>
    </r>
  </si>
  <si>
    <t>&lt;USD 40/kgU</t>
  </si>
  <si>
    <t>&lt;USD 80/kgU</t>
  </si>
  <si>
    <t>&lt;USD 130/kgU</t>
  </si>
  <si>
    <t>&lt;USD 260/kgU</t>
  </si>
  <si>
    <t>Botswana</t>
  </si>
  <si>
    <t>Central African Republic</t>
  </si>
  <si>
    <t>Democratic Republic of the Congo</t>
  </si>
  <si>
    <t>Czechia</t>
  </si>
  <si>
    <t>Finland</t>
  </si>
  <si>
    <t>Greenland</t>
  </si>
  <si>
    <t>Iran (Islamic Republic of)</t>
  </si>
  <si>
    <t>Jordan</t>
  </si>
  <si>
    <t>Malawi</t>
  </si>
  <si>
    <t>Mali</t>
  </si>
  <si>
    <t>Mauritania</t>
  </si>
  <si>
    <t>Namibia</t>
  </si>
  <si>
    <t>Niger</t>
  </si>
  <si>
    <t>Paraguay</t>
  </si>
  <si>
    <t>Portugal</t>
  </si>
  <si>
    <t>Senegal</t>
  </si>
  <si>
    <t>Slovakia</t>
  </si>
  <si>
    <t>Slovenia</t>
  </si>
  <si>
    <t>Somalia</t>
  </si>
  <si>
    <t>Sweden</t>
  </si>
  <si>
    <t>United Republic of Tanzania</t>
  </si>
  <si>
    <t>Viet Nam</t>
  </si>
  <si>
    <t>Zambia</t>
  </si>
  <si>
    <r>
      <rPr>
        <sz val="7.5"/>
        <color rgb="FF1C4263"/>
        <rFont val="Trebuchet MS"/>
        <family val="2"/>
      </rPr>
      <t>Total</t>
    </r>
  </si>
  <si>
    <r>
      <rPr>
        <sz val="7.5"/>
        <color rgb="FF3175A7"/>
        <rFont val="Trebuchet MS"/>
        <family val="2"/>
      </rPr>
      <t>Total OECD-only</t>
    </r>
  </si>
  <si>
    <t>Conventional Crude oil</t>
  </si>
  <si>
    <t>Additives and Oxygenates</t>
  </si>
  <si>
    <t>Other Hydrocarbons</t>
  </si>
  <si>
    <t>Row Labels</t>
  </si>
  <si>
    <t xml:space="preserve">% fuel category </t>
  </si>
  <si>
    <t>Transformation in oil refineries</t>
  </si>
  <si>
    <t>Crude oil and other</t>
  </si>
  <si>
    <t>Other liquids</t>
  </si>
  <si>
    <t>Appendix 1: Table of Global Liquefaction Plants and Appendix 2: Table of Liquefaction Plants Sanctioned or Under Construction</t>
  </si>
  <si>
    <t>Reference Number</t>
  </si>
  <si>
    <t>Market</t>
  </si>
  <si>
    <t>Liquefaction Plant Train</t>
  </si>
  <si>
    <t>Infrastructure Start Year</t>
  </si>
  <si>
    <t>Liquefaction Capacity (MTPA)</t>
  </si>
  <si>
    <t>Owners</t>
  </si>
  <si>
    <t>Liquefaction Technology</t>
  </si>
  <si>
    <t>OMNIA region</t>
  </si>
  <si>
    <t>Marsa El Brega LNG T1-41</t>
  </si>
  <si>
    <t>LNOC</t>
  </si>
  <si>
    <t>AP-SMR</t>
  </si>
  <si>
    <t>Brunei Darussalam</t>
  </si>
  <si>
    <t>Brunei LNG T1-T2</t>
  </si>
  <si>
    <t>Shell*; Brunei Government ; Mitsubishi Corp</t>
  </si>
  <si>
    <t>AP-C3MR</t>
  </si>
  <si>
    <t>Brunei LNG T3-T4</t>
  </si>
  <si>
    <t>Brunei LNG T5</t>
  </si>
  <si>
    <t>ADGAS LNG T1-2</t>
  </si>
  <si>
    <t>ADNOC LNG* (0%); Abu Dhabi NOC ;
Mitsui; BP; Total;</t>
  </si>
  <si>
    <t>Arzew GL1Z T1-T6</t>
  </si>
  <si>
    <t>Sonatrach*</t>
  </si>
  <si>
    <t>Arzew GL2Z T1-T6</t>
  </si>
  <si>
    <t>Bontang LNG TC-TD3</t>
  </si>
  <si>
    <t>Pertamina* ; PT VICO Indonesia; Total</t>
  </si>
  <si>
    <t>MLNG Satu T1-T3</t>
  </si>
  <si>
    <t>Petronas*; Mitsubishi Corp; Sarawak State</t>
  </si>
  <si>
    <t>Bontang LNG TE</t>
  </si>
  <si>
    <t>North West Shelf LNG T1-2</t>
  </si>
  <si>
    <t>Woodside*; BHP; BP ; Chevron; Shell; Mitsubishi Corp; Mitsui</t>
  </si>
  <si>
    <t>North West Shelf LNG T3</t>
  </si>
  <si>
    <t>Bontang LNG TF</t>
  </si>
  <si>
    <t>ADGAS LNG T3</t>
  </si>
  <si>
    <t>ADNOC LNG* (0%); Abu Dhabi NOC ;
Mitsui; BP; Total</t>
  </si>
  <si>
    <t>MLNG Dua T4-T5</t>
  </si>
  <si>
    <t>MLNG Dua T6</t>
  </si>
  <si>
    <t>Qatargas 1 T1</t>
  </si>
  <si>
    <t>Qatargas* (0%); Qatar Petroleum; Exx- onMobil; Total ; Marubeni; Mitsui</t>
  </si>
  <si>
    <t>Bontang LNG TG</t>
  </si>
  <si>
    <t>Qatargas 1 T2</t>
  </si>
  <si>
    <t>Qatargas 1 T3</t>
  </si>
  <si>
    <t>Bontang LNG TH</t>
  </si>
  <si>
    <t>Rasgas 1 T1</t>
  </si>
  <si>
    <t>Qatargas* (0%); Qatar Petroleum; ExxonMobil; ITOCHU; Korea Gas; Sojitz; Sumitomo; Samsung; Hyundai; SK Energy; LG International; Daesung; Hanwha Energy</t>
  </si>
  <si>
    <t>Trinidad and Tobago</t>
  </si>
  <si>
    <t>Atlantic LNG T1</t>
  </si>
  <si>
    <t>Atlantic LNG* (0%); Shell; BP; China Investment Corporation; NGC</t>
  </si>
  <si>
    <t>Cono- coPhillips Optimized Cascade</t>
  </si>
  <si>
    <t>NLNG T1-2</t>
  </si>
  <si>
    <t>NNPC (Nigeria)*; Shell; Total; Eni</t>
  </si>
  <si>
    <t>Rasgas 1 T2</t>
  </si>
  <si>
    <t>Oman LNG T1-2</t>
  </si>
  <si>
    <t>Oman LNG* (0%); Omani Government; Shell; Total; Korea LNG; Mitsubishi Corp; Mitsui; Partex (Gulbenkian Foun- dation); ITOCHU</t>
  </si>
  <si>
    <t>Atlantic LNG T2</t>
  </si>
  <si>
    <t>Atlantic LNG* (0%); Shell; BP</t>
  </si>
  <si>
    <t>NLNG T3</t>
  </si>
  <si>
    <t>MLNG Tiga T7-T8</t>
  </si>
  <si>
    <t>Petronas*; Sarawak State; JX Nippon Oil and Gas; Mitsubishi Corp</t>
  </si>
  <si>
    <t>Atlantic LNG T3</t>
  </si>
  <si>
    <t>Atlantic LNG*; Shell; BP</t>
  </si>
  <si>
    <t>North West Shelf LNG T4</t>
  </si>
  <si>
    <t>Rasgas 2 T3</t>
  </si>
  <si>
    <t>Qatargas* (0%); Qatar Petroleum ; ExxonMobil</t>
  </si>
  <si>
    <t>AP-C3MR/
SplitMR</t>
  </si>
  <si>
    <t>Rasgas 2 T4</t>
  </si>
  <si>
    <t>Atlantic LNG T4</t>
  </si>
  <si>
    <t>Atlantic LNG* (0%); Shell; BP; NGC</t>
  </si>
  <si>
    <t>NLNG T4</t>
  </si>
  <si>
    <t>Damietta LNG T12</t>
  </si>
  <si>
    <t>Union Fenosa*; Eni; EGPC (Egypt)</t>
  </si>
  <si>
    <t>Egyptian LNG (Idku) T1-2</t>
  </si>
  <si>
    <t>Shell*; Petronas; EGPC (Egypt); EGAS; Total</t>
  </si>
  <si>
    <t>NLNG T5</t>
  </si>
  <si>
    <t>Oman LNG T3 (Qalhat)</t>
  </si>
  <si>
    <t>Oman LNG* (0%); Omani Government; Shell; Mitsubishi Corp; Eni; Gas Natural SDG; ITOCHU; Osaka Gas; Total; Korea LNG; Mitsui; Partex (Gulbenkian Foun- dation)</t>
  </si>
  <si>
    <t>Darwin LNG T1</t>
  </si>
  <si>
    <t>Santos*; Inpex; Eni; Tokyo Electric; Tokyo Gas</t>
  </si>
  <si>
    <t>Rasgas 2 T5</t>
  </si>
  <si>
    <t>NLNG T6</t>
  </si>
  <si>
    <t>EG LNG T1</t>
  </si>
  <si>
    <t>Marathon Oil*; Sonagas G.E.; Mitsui; Marubeni</t>
  </si>
  <si>
    <t>Snohvit LNG T1</t>
  </si>
  <si>
    <t>Equinor*; Petoro; Total; Neptune Ener- gy; Wintershall Dea</t>
  </si>
  <si>
    <t>Linde MFC</t>
  </si>
  <si>
    <t>North West Shelf LNG T5</t>
  </si>
  <si>
    <t>Qatargas 2 T4-5</t>
  </si>
  <si>
    <t>Qatargas* (0%); Qatar Petroleum; ExxonMobil; Total</t>
  </si>
  <si>
    <t>AP-X</t>
  </si>
  <si>
    <t>Rasgas 3 T6-7</t>
  </si>
  <si>
    <t>Sakhalin 2 T1-2</t>
  </si>
  <si>
    <t>Sakhalin Energy Investment Company* (0%); Gazprom ; Shell; Mitsui; Mitsubi- shi Corp</t>
  </si>
  <si>
    <t>Shell DMR</t>
  </si>
  <si>
    <t>Tangguh LNG T1</t>
  </si>
  <si>
    <t>BP*; CNOOC; JOGMEC; Mitsubishi Corp; Inpex; JX Nippon Oil and Gas; Sojitz; Sumitomo; Mitsui</t>
  </si>
  <si>
    <t>Yemen LNG T1-23</t>
  </si>
  <si>
    <t>Total*; Yemen Gas Company; Hunt Oil; Korea Gas; SK Energy; Hyundai; Social Security and Pensions (GASSP)</t>
  </si>
  <si>
    <t>Qatargas 3 T6</t>
  </si>
  <si>
    <t>Qatargas* (0%); Qatar Petroleum; ConocoPhillips; Mitsui</t>
  </si>
  <si>
    <t>Tangguh LNG T2</t>
  </si>
  <si>
    <t>Peru LNG T1</t>
  </si>
  <si>
    <t>Hunt Oil* ; Repsol; SK Energy; Marubeni</t>
  </si>
  <si>
    <t>Qatargas 4 T7</t>
  </si>
  <si>
    <t>Qatargas* (0%); Qatar Petroleum ; Shell</t>
  </si>
  <si>
    <t>Pluto LNG T1</t>
  </si>
  <si>
    <t>Woodside*; Kansai Electric; Tokyo Gas</t>
  </si>
  <si>
    <t>Shell Propane Pre- cooled Mixed Refrigerant</t>
  </si>
  <si>
    <t>Skikda GL1K T1 (rebuild)</t>
  </si>
  <si>
    <t>Angola LNG T1</t>
  </si>
  <si>
    <t>Angola LNG* (0%); Chevron; Sonangol; BP; Eni; Total</t>
  </si>
  <si>
    <t>Arzew GL3Z (Gas- si Touil) T1</t>
  </si>
  <si>
    <t>PNG LNG T1-2</t>
  </si>
  <si>
    <t>ExxonMobil*; Oil Search; PNG Gov- ernment; Santos; JX Nippon Oil and Gas; Mineral Resources Development; Marubeni</t>
  </si>
  <si>
    <t>Donggi-Senoro LNG T1</t>
  </si>
  <si>
    <t>Donggi-Senoro LNG (DSLNG)* (0%); Mitsubishi Corp; Pertamina; Korea Gas; MedcoEnergi</t>
  </si>
  <si>
    <t>GLNG T1</t>
  </si>
  <si>
    <t>Santos*; Petronas; Total; Korea Gas</t>
  </si>
  <si>
    <t>Queensland Cur- tis LNG T1-2</t>
  </si>
  <si>
    <t>Shell* ; CNOOC</t>
  </si>
  <si>
    <t>GLNG T2</t>
  </si>
  <si>
    <t>Australia Pacific
LNG T1-2</t>
  </si>
  <si>
    <t>Origin Energy*; ConocoPhillips; Sino- pec Group</t>
  </si>
  <si>
    <t>Gorgon LNG T1-2</t>
  </si>
  <si>
    <t>Chevron*; ExxonMobil; Shell ; Osaka Gas; Tokyo Gas; Chubu Electric</t>
  </si>
  <si>
    <t>Sabine Pass T1-T2</t>
  </si>
  <si>
    <t>Cheniere Energy*</t>
  </si>
  <si>
    <t>Cono- coPhillips Optimized
Cascade</t>
  </si>
  <si>
    <t>MLNG T9</t>
  </si>
  <si>
    <t>Petronas*; JX Nippon Oil and Gas; Sarawak State</t>
  </si>
  <si>
    <t>Gorgon LNG T3</t>
  </si>
  <si>
    <t>Chevron*; ExxonMobil; Shell; Osaka Gas; Tokyo Gas; Chubu Electric</t>
  </si>
  <si>
    <t>Sabine Pass T3-T4</t>
  </si>
  <si>
    <t>Petronas FLNG Satu</t>
  </si>
  <si>
    <t>Petronas*</t>
  </si>
  <si>
    <t>AP-N</t>
  </si>
  <si>
    <t>Wheatstone LNG T1</t>
  </si>
  <si>
    <t>Chevron*; Kuwait Petroleum Corp (KPC); Woodside; JOGMEC; Mitsubishi Corp; Kyushu Electric; Nippon Yusen; Chubu Electric; Tokyo Electric</t>
  </si>
  <si>
    <t>Yamal LNG T1</t>
  </si>
  <si>
    <t>Novatek*; CNPC; Total; Silk Road Fund</t>
  </si>
  <si>
    <t>Wheatstone LNG T2</t>
  </si>
  <si>
    <t>Yamal LNG T2</t>
  </si>
  <si>
    <t>Cameroon</t>
  </si>
  <si>
    <t>Cameroon FLNG</t>
  </si>
  <si>
    <t>Golar*</t>
  </si>
  <si>
    <t>Black and Ve- atch PRICO</t>
  </si>
  <si>
    <t>Cove Point LNG T1</t>
  </si>
  <si>
    <t>Dominion Cove Point LNG LP*</t>
  </si>
  <si>
    <t>Sabine Pass T5</t>
  </si>
  <si>
    <t>Yamal LNG T3</t>
  </si>
  <si>
    <t>Ichthys LNG T1-2</t>
  </si>
  <si>
    <t>Inpex*; Total; CPC (Chinese Taipei); Tokyo Gas; Kansai Electric; Osaka Gas; Chubu Electric; Toho Gas</t>
  </si>
  <si>
    <t>Tango FLNG</t>
  </si>
  <si>
    <t>Exmar*</t>
  </si>
  <si>
    <t>Corpus Christi T1</t>
  </si>
  <si>
    <t>Cameron LNG T1</t>
  </si>
  <si>
    <t>Cameron LNG* (0%); Sempra; Mitsui; Total; Mitsubishi Corp; Nippon Yusen Kabushiki Kaisha</t>
  </si>
  <si>
    <t>Corpus Christi T2</t>
  </si>
  <si>
    <t>Freeport LNG T1</t>
  </si>
  <si>
    <t>Freeport LNG*; Zachry Hastings; Osaka Gas; Dow Chemical Company; Global Infrastructure Partners</t>
  </si>
  <si>
    <t>Prelude FLNG</t>
  </si>
  <si>
    <t>Shell*</t>
  </si>
  <si>
    <t>Vysotsk LNG T1</t>
  </si>
  <si>
    <t>Novatek*, Gazprombank</t>
  </si>
  <si>
    <t>Air Liquide
Smartfin</t>
  </si>
  <si>
    <t>Elba Island T1-T3</t>
  </si>
  <si>
    <t>Southern LNG*; Kinder Morgan; EIG Partners</t>
  </si>
  <si>
    <t>Shell MMLS</t>
  </si>
  <si>
    <t>Elba Island T4-10</t>
  </si>
  <si>
    <t>Sengkang LNG T1</t>
  </si>
  <si>
    <t>Energy World*</t>
  </si>
  <si>
    <t>Chart Industries IPSMR</t>
  </si>
  <si>
    <t>Cameron LNG T2-3</t>
  </si>
  <si>
    <t>Cameron LNG*; Sempra; Mitsui; Total; Mitsubishi Corp; Nippon Yusen Kabushiki Kaisha</t>
  </si>
  <si>
    <t>AP-C3MR/SplitMR</t>
  </si>
  <si>
    <t>Freeport LNG T2-3</t>
  </si>
  <si>
    <t>Petronas FLNG Dua</t>
  </si>
  <si>
    <t>Portovaya LNG T1</t>
  </si>
  <si>
    <t>Gazprom*</t>
  </si>
  <si>
    <t>Linde LIMUM</t>
  </si>
  <si>
    <t>Yamal LNG T4</t>
  </si>
  <si>
    <t>Novatek Arctic Cascade</t>
  </si>
  <si>
    <t>Corpus Christi T3</t>
  </si>
  <si>
    <t>ConocoPhillips Optimized Cascade</t>
  </si>
  <si>
    <t>Tangguh LNG T3</t>
  </si>
  <si>
    <t>BP*; CNOOC; JOGMEC;
Mitsubishi Corp; Inpex; JX Nippon Oil and Gas; Sojitz; Sumitomo; Mitsui</t>
  </si>
  <si>
    <t>Mozambique</t>
  </si>
  <si>
    <t>Coral South FLNG</t>
  </si>
  <si>
    <t>Eni*; ExxonMobil; CNPC; ENH (Mozambique); Galp Energia SA; Korea Gas</t>
  </si>
  <si>
    <t>AP-DMR</t>
  </si>
  <si>
    <t>Tortue/Ahmeyim FLNG T1</t>
  </si>
  <si>
    <t>Golar</t>
  </si>
  <si>
    <t>Black and Veatch PRICO</t>
  </si>
  <si>
    <t>Calcasieu Pass LNG T1-18</t>
  </si>
  <si>
    <t>Venture Global LNG*</t>
  </si>
  <si>
    <t>BHGE SMR</t>
  </si>
  <si>
    <t>Sabine Pass T6</t>
  </si>
  <si>
    <t>Arctic LNG 2 T1</t>
  </si>
  <si>
    <t>Novatek*; CNOOC; CNPC; Total; JOGMEC; Mitsui</t>
  </si>
  <si>
    <t>Golden Pass LNG T1-3</t>
  </si>
  <si>
    <t>Golden Pass Products*; Qatar Petroleum; ExxonMobil</t>
  </si>
  <si>
    <t>LNG Canada T1-2</t>
  </si>
  <si>
    <t>Shell*; Petronas ; Mitsubishi Corp; PetroChina; Korea Gas</t>
  </si>
  <si>
    <t>Mozambique LNG (Area 1) T1-2</t>
  </si>
  <si>
    <t>Total*; Mitsui; ONGC (India); ENH (Mozambique); Bharat Petroleum Corp (BPCL); PTTEP (Thailand); Oil India</t>
  </si>
  <si>
    <t>NLNG T7</t>
  </si>
  <si>
    <t>Arctic LNG 2 T2-3</t>
  </si>
  <si>
    <t>Appendix 5: Table of Global LNG Receiving Terminals and Appendix 6: Table of LNG Receiving Terminals Under Construction</t>
  </si>
  <si>
    <t>Terminal Name or Phase Name</t>
  </si>
  <si>
    <t>Start Year</t>
  </si>
  <si>
    <t>Nameplate Receiving Capacity (MTPA)</t>
  </si>
  <si>
    <t>Concept</t>
  </si>
  <si>
    <t>Barcelona LNG</t>
  </si>
  <si>
    <t>Enagas (100%);</t>
  </si>
  <si>
    <t>Onshore</t>
  </si>
  <si>
    <t>Negishi</t>
  </si>
  <si>
    <t>JERA (50%); Tokyo Gas (50%);</t>
  </si>
  <si>
    <t>Everett</t>
  </si>
  <si>
    <t>Exelon Generation (100%)</t>
  </si>
  <si>
    <t>Panigaglia LNG</t>
  </si>
  <si>
    <t>GNL Italia (100%);</t>
  </si>
  <si>
    <t>France</t>
  </si>
  <si>
    <t>Fos Tonkin</t>
  </si>
  <si>
    <t>ENGIE (100%)</t>
  </si>
  <si>
    <t>Senboku</t>
  </si>
  <si>
    <t>Osaka Gas (100%);</t>
  </si>
  <si>
    <t>Sodegaura</t>
  </si>
  <si>
    <t>Chita LNG Joint Terminal / Kyodo</t>
  </si>
  <si>
    <t>JERA (50%); Toho Gas (50%);</t>
  </si>
  <si>
    <t>Tobata</t>
  </si>
  <si>
    <t>Kitakyushu LNG (100%);</t>
  </si>
  <si>
    <t>Elba Island LNG</t>
  </si>
  <si>
    <t>Kinder Morgan (100%);</t>
  </si>
  <si>
    <t>Himeji</t>
  </si>
  <si>
    <t>Montoir-de- Bretagne</t>
  </si>
  <si>
    <t>ENGIE (100%);</t>
  </si>
  <si>
    <t>Chita LNG</t>
  </si>
  <si>
    <t>Higashi-Ohgishi- ma</t>
  </si>
  <si>
    <t>JERA (100%);</t>
  </si>
  <si>
    <t>Higashi-Niigata</t>
  </si>
  <si>
    <t>Nihonkai LNG (58.1%); Tohuko Electric (41.9%);</t>
  </si>
  <si>
    <t>Futtsu LNG</t>
  </si>
  <si>
    <t>Republic of Korea</t>
  </si>
  <si>
    <t>Pyeongtaek LNG</t>
  </si>
  <si>
    <t>KOGAS (100%);</t>
  </si>
  <si>
    <t>Belgium</t>
  </si>
  <si>
    <t>Zeebrugge</t>
  </si>
  <si>
    <t>Fluxys LNG SA (100%)</t>
  </si>
  <si>
    <t>Yokkaichi LNG Center</t>
  </si>
  <si>
    <t>Huelva</t>
  </si>
  <si>
    <t>Cartagena</t>
  </si>
  <si>
    <t>Oita LNG</t>
  </si>
  <si>
    <t>Kyushu Electric (100%);</t>
  </si>
  <si>
    <t>Taiwan, Province of China</t>
  </si>
  <si>
    <t>Yung-An</t>
  </si>
  <si>
    <t>CPC (100%);</t>
  </si>
  <si>
    <t>Yanai</t>
  </si>
  <si>
    <t>Chugoku Electric (100%);</t>
  </si>
  <si>
    <t>Yokkaichi Works</t>
  </si>
  <si>
    <t>Toho Gas (100%);</t>
  </si>
  <si>
    <t>Marmara Ereglisi</t>
  </si>
  <si>
    <t>Botas (100%);</t>
  </si>
  <si>
    <t>Incheon</t>
  </si>
  <si>
    <t>Hatsukaichi</t>
  </si>
  <si>
    <t>Hiroshima Gas (100%);</t>
  </si>
  <si>
    <t>Sodeshi</t>
  </si>
  <si>
    <t>Shizuoka Gas (65%); TonenGen- eral (35%);</t>
  </si>
  <si>
    <t>Kawagoe</t>
  </si>
  <si>
    <t>Shin-Minato</t>
  </si>
  <si>
    <t>Sendai Gas (0%); Gas Bureau (100%);</t>
  </si>
  <si>
    <t>Ohgishima</t>
  </si>
  <si>
    <t>Tokyo Gas (100%);</t>
  </si>
  <si>
    <t>Revithoussa</t>
  </si>
  <si>
    <t>DEPA (100%)</t>
  </si>
  <si>
    <t>EcoElectrica</t>
  </si>
  <si>
    <t>Naturgy (47.5%); ENGIE (35%);
Mitsui (15%); GE Capital (2.5%)</t>
  </si>
  <si>
    <t>Chita Midoriha- ma Works</t>
  </si>
  <si>
    <t>Tongyeong LNG</t>
  </si>
  <si>
    <t>Cove Point LNG</t>
  </si>
  <si>
    <t>Dominion Cove Point LNG (100%);</t>
  </si>
  <si>
    <t>Dominican Republic</t>
  </si>
  <si>
    <t>AES Andres LNG</t>
  </si>
  <si>
    <t>AES (92%); Estrella-Linda (8%);</t>
  </si>
  <si>
    <t>Bahía de Bizkaia Gas</t>
  </si>
  <si>
    <t>ENAGAS (50%); EVE (50%);</t>
  </si>
  <si>
    <t>Sines LNG Termi- nal</t>
  </si>
  <si>
    <t>REN (100%);</t>
  </si>
  <si>
    <t>Dahej LNG</t>
  </si>
  <si>
    <t>Petronet LNG (100%);</t>
  </si>
  <si>
    <t>Gwangyang</t>
  </si>
  <si>
    <t>POSCO (100%);</t>
  </si>
  <si>
    <t>Hazira LNG</t>
  </si>
  <si>
    <t>Shell (100%)</t>
  </si>
  <si>
    <t>United Kingdom of Great Britain and Northern Ireland</t>
  </si>
  <si>
    <t>Grain LNG</t>
  </si>
  <si>
    <t>National Grid Transco (100%);</t>
  </si>
  <si>
    <t>Sakai LNG</t>
  </si>
  <si>
    <t>Kansai Electric (70%); Cosmo Oil (12.5%); Iwatani (12.5%);
Ube Industries (5%);</t>
  </si>
  <si>
    <t>Mizushima</t>
  </si>
  <si>
    <t>Chugoku Electric (50%); JX Nip- pon Oil &amp; Energy (50%);</t>
  </si>
  <si>
    <t>Sagunto</t>
  </si>
  <si>
    <t>ENAGAS (72.5%); Osaka Gas (20%); Oman Oil (7.5%);</t>
  </si>
  <si>
    <t>Aliaga Izmir LNG</t>
  </si>
  <si>
    <t>EgeGaz (100%);</t>
  </si>
  <si>
    <t>Terminal de LNG Altamira</t>
  </si>
  <si>
    <t>Vopak (60%); ENAGAS (40%);</t>
  </si>
  <si>
    <t>Guangdong Dapeng LNG</t>
  </si>
  <si>
    <t>Local Company (37%); CNOOC (33%); BP (30%)</t>
  </si>
  <si>
    <t>Mugardos LNG</t>
  </si>
  <si>
    <t>Grupo Tojeiro (50.36%); Gobi- erno de Galicia (24.64%); First State Regasificadora (15%);
Sonatrach (10%);</t>
  </si>
  <si>
    <t>Energia Costa Azul</t>
  </si>
  <si>
    <t>Sempra Energy (100%);</t>
  </si>
  <si>
    <t>Freeport LNG</t>
  </si>
  <si>
    <t>Michael S Smith Cos (57.5%); Global Infrastructure Partners (25%); Osaka Gas (10%); Dow
Chemical (7.5%);</t>
  </si>
  <si>
    <t>Wuhaogou LNG</t>
  </si>
  <si>
    <t>Shenergy (100%)</t>
  </si>
  <si>
    <t>Northeast Gate- way</t>
  </si>
  <si>
    <t>Excelerate Energy (100%);</t>
  </si>
  <si>
    <t>Floating</t>
  </si>
  <si>
    <t>Canaport LNG</t>
  </si>
  <si>
    <t>Repsol (75%); Irving Oil (25%);</t>
  </si>
  <si>
    <t>South Hook</t>
  </si>
  <si>
    <t>Qatar Petroleum (67.5%); Exxon Mobil (24.25%); TOTAL (8.35%);</t>
  </si>
  <si>
    <t>Taichung LNG</t>
  </si>
  <si>
    <t>Adriatic LNG</t>
  </si>
  <si>
    <t>Exxon Mobil (46.35%); Qatar Petroleum (46.35%); Edison
(7.3%);</t>
  </si>
  <si>
    <t>Offshore</t>
  </si>
  <si>
    <t>GNL Quintero</t>
  </si>
  <si>
    <t>ENAGAS (60.4%); ENAP (20%);
Oman Oil (19.6%);</t>
  </si>
  <si>
    <t>Dragon LNG</t>
  </si>
  <si>
    <t>Shell (50%); Ancala (50%)</t>
  </si>
  <si>
    <t>Shanghai LNG</t>
  </si>
  <si>
    <t>Shenergy Group (55%); CNOOC (45%);</t>
  </si>
  <si>
    <t>Fujian LNG</t>
  </si>
  <si>
    <t>CNOOC (60%); Fujian Invest- ment and Development Co (40%);</t>
  </si>
  <si>
    <t>Sakaide LNG</t>
  </si>
  <si>
    <t>Shikoku Electric Power Co. (70%); Cosmo Oil Co. Ltd (20%); Shikoku Gas Co. (10%);</t>
  </si>
  <si>
    <t>Fos Cavaou</t>
  </si>
  <si>
    <t>ENGIE (71.5%); TOTAL (28.5%);</t>
  </si>
  <si>
    <t>Jiangsu Rudong LNG</t>
  </si>
  <si>
    <t>CNPC (55%); Pacific Oil and Gas
(35%); Jiangsu Guoxin (10%);</t>
  </si>
  <si>
    <t>GNL Escobar
- Excelerate Exemplar</t>
  </si>
  <si>
    <t>YPF (50%); Enarsa (50%);</t>
  </si>
  <si>
    <t>Dalian LNG</t>
  </si>
  <si>
    <t>CNPC (75%); Dalian Port (20%); Dalian Construction Investment Corporation (5%);</t>
  </si>
  <si>
    <t>Gate LNG</t>
  </si>
  <si>
    <t>Gasuine (50%); Vopak (50%);</t>
  </si>
  <si>
    <t>Map Ta Phut</t>
  </si>
  <si>
    <t>PTT LNG (100%);</t>
  </si>
  <si>
    <t>Terminal KMS</t>
  </si>
  <si>
    <t>Samsung (37.5%); Mitsui
(37.5%); KOGAS (25%);</t>
  </si>
  <si>
    <t>Nusantara Regas Satu - FSRU Jawa Barat</t>
  </si>
  <si>
    <t>Pertamina (60%); PGN (40%);</t>
  </si>
  <si>
    <t>Joetsu</t>
  </si>
  <si>
    <t>Zhejiang Ningbo LNG</t>
  </si>
  <si>
    <t>CNOOC (51%); Zhejiang Energy Company (29%); Ningbo Power (20%)</t>
  </si>
  <si>
    <t>Ishikari LNG</t>
  </si>
  <si>
    <t>Hokkaido Gas (100%);</t>
  </si>
  <si>
    <t>Singapore</t>
  </si>
  <si>
    <t>Jurong</t>
  </si>
  <si>
    <t>EMA (100%)</t>
  </si>
  <si>
    <t>Zhuhai LNG</t>
  </si>
  <si>
    <t>CNOOC (30%); Guangdong Gas (25%); Guangdong Yuedian
(25%); Local companies (20%);</t>
  </si>
  <si>
    <t>Melaka LNG</t>
  </si>
  <si>
    <t>Petronas (100%);</t>
  </si>
  <si>
    <t>Jovo Dongguan</t>
  </si>
  <si>
    <t>Jovo Group (100%);</t>
  </si>
  <si>
    <t>Hadera Deepwa- ter LNG - Excel- erate Expedient</t>
  </si>
  <si>
    <t>INGL (100%);</t>
  </si>
  <si>
    <t>Caofeidian (Tangshan) LNG</t>
  </si>
  <si>
    <t>CNPC (51%); Beijing Enterprises Group Company (29%); Hebei Natural Gas (20%);</t>
  </si>
  <si>
    <t>Naoetsu LNG</t>
  </si>
  <si>
    <t>INPEX (100%);</t>
  </si>
  <si>
    <t>Kochi LNG</t>
  </si>
  <si>
    <t>Dabhol LNG</t>
  </si>
  <si>
    <t>Gail (31.52%); NTPC (31.52%);
Indian Financial Institutions (20.28%); MSEB Holding Co. (16.68%);</t>
  </si>
  <si>
    <t>Toscana - Tos- cana FSRU</t>
  </si>
  <si>
    <t>IREN Group (49.07%); First State Investments (48.24%);
Golar LNG (2.69%)</t>
  </si>
  <si>
    <t>Shandong (Qing- dao) LNG</t>
  </si>
  <si>
    <t>Sinopec (99%); Qingdao Port(1%);</t>
  </si>
  <si>
    <t>Lithuania</t>
  </si>
  <si>
    <t>Klaipeda LNG - Hoegh Indepen- dence</t>
  </si>
  <si>
    <t>Klaipedos Nafta (100%);</t>
  </si>
  <si>
    <t>Bahia LNG - Go-
lar Winter</t>
  </si>
  <si>
    <t>Petrobras (100%);</t>
  </si>
  <si>
    <t>GNL Mejillones 2 (onshore storage)</t>
  </si>
  <si>
    <t>ENGIE (63%); Ameris Capital AGF(37%);</t>
  </si>
  <si>
    <t>Mina Al Ahmadi - Golar Igloo</t>
  </si>
  <si>
    <t>Golar LNG (0%); Kuwait Petro- leum Corporation (100%);</t>
  </si>
  <si>
    <t>Hibiki LNG</t>
  </si>
  <si>
    <t>Saibu Gas (90%); Kyushu Elec- tric (10%);</t>
  </si>
  <si>
    <t>Lampung LNG
- PGN FSRU
Lampung</t>
  </si>
  <si>
    <t>Terminal: PGN (100%), FSRU: Hoegh LNG (100%)</t>
  </si>
  <si>
    <t>Samcheok LNG</t>
  </si>
  <si>
    <t>Hainan LNG</t>
  </si>
  <si>
    <t>CNOOC (65%); Hainan Develop- ing Holding (35%);</t>
  </si>
  <si>
    <t>Shin-Sendai</t>
  </si>
  <si>
    <t>Tohoku Electric (100%);</t>
  </si>
  <si>
    <t>Port Qasim Kara- chi - Excelerate Exquisite</t>
  </si>
  <si>
    <t>Terminal: Elengy Terminal Pakistan Ltd. (100%), FSRU: Excelerate Energy (100%)</t>
  </si>
  <si>
    <t>Jordan LNG - Golar Eskimo</t>
  </si>
  <si>
    <t>Golar LNG (0%); Jordan MEMR (100%);</t>
  </si>
  <si>
    <t>Arun LNG</t>
  </si>
  <si>
    <t>Pertamina (70%); Aceh Regional Government (30%);</t>
  </si>
  <si>
    <t>Hachinohe</t>
  </si>
  <si>
    <t>JX Nippon Oil &amp; Energy (100%);</t>
  </si>
  <si>
    <t>Dubai Jebel Ali
- Execelerate Explorer</t>
  </si>
  <si>
    <t>Terminal: DUSUP (100%), FSRU:
Excelerate Energy (100%)</t>
  </si>
  <si>
    <t>Kushiro LNG</t>
  </si>
  <si>
    <t>Nippon Oil (100%);</t>
  </si>
  <si>
    <t>Swinoujscie</t>
  </si>
  <si>
    <t>Gaz-System (100%);</t>
  </si>
  <si>
    <t>Guangxi LNG</t>
  </si>
  <si>
    <t>Sinopec (100%);</t>
  </si>
  <si>
    <t>Cartagena (Co- lombia) - Hoegh Grace</t>
  </si>
  <si>
    <t>Hoegh LNG (0%); Promigas (51%); Baru LNG (49%);</t>
  </si>
  <si>
    <t>Pecem LNG
- Excelerate Experience</t>
  </si>
  <si>
    <t>Hitachi LNG</t>
  </si>
  <si>
    <t>Qidong LNG</t>
  </si>
  <si>
    <t>Xinjiang Guanghui Petroleum (100%)</t>
  </si>
  <si>
    <t>Boryeong LNG</t>
  </si>
  <si>
    <t>GS Caltex (50%); SK E&amp;S (50%);</t>
  </si>
  <si>
    <t>Dunkirk LNG</t>
  </si>
  <si>
    <t>EDF (65%); Fluxys (25%); TOTAL
(10%);</t>
  </si>
  <si>
    <t>Sumed - BW Singapore</t>
  </si>
  <si>
    <t>Terminal: EGAS (100%), FSRU: BW (100%)</t>
  </si>
  <si>
    <t>Port Qasim GasPort - BW Integrity</t>
  </si>
  <si>
    <t>Terminal: Pakistan LNG Termi- nals Limited (100%), FSRU: BW (100%)</t>
  </si>
  <si>
    <t>Pengerang LNG</t>
  </si>
  <si>
    <t>PETRONAS (65%); Dialog Group (25%); Johor Government (10%);</t>
  </si>
  <si>
    <t>Jieyang LNG (Yuedong)</t>
  </si>
  <si>
    <t>CNOOC (100%);</t>
  </si>
  <si>
    <t>Tianjin (CNOOC)</t>
  </si>
  <si>
    <t>Soma LNG</t>
  </si>
  <si>
    <t>JAPEX (100%);</t>
  </si>
  <si>
    <t>Jafrabad FSRU</t>
  </si>
  <si>
    <t>Exmar (38%); Gujarat Government (26%); Swan Energy (26%); Tata
Group (10%);</t>
  </si>
  <si>
    <t>Kaliningrad FSRU</t>
  </si>
  <si>
    <t>Gazprom (100%);</t>
  </si>
  <si>
    <t>Bahrain LNG</t>
  </si>
  <si>
    <t>Bahrain LNG WLL (0%); NOGA
(30%); Teekay Corporation (30%); Gulf Investment Corporation (20%); Samsung (20%);</t>
  </si>
  <si>
    <t>H-Gas LNG Gateway (Jaigarh) - Hoegh Cape Ann</t>
  </si>
  <si>
    <t>H-Energy Gateway Private limited (100%);</t>
  </si>
  <si>
    <t>Acu Port LNG</t>
  </si>
  <si>
    <t>Prumo Logistica (46.9%); Siemens (33%); BP (20.1%)</t>
  </si>
  <si>
    <t>Ghana</t>
  </si>
  <si>
    <t>Ghana - FRU</t>
  </si>
  <si>
    <t>GNPC (50%); Helios (50%)</t>
  </si>
  <si>
    <t>Chaozhou Huafeng LNG</t>
  </si>
  <si>
    <t>Sinoenergy (55%); Chaozhou
Huafeng Group (45%);</t>
  </si>
  <si>
    <t>San Juan - New Fortress LNG</t>
  </si>
  <si>
    <t>New Fortress Energy (100%)</t>
  </si>
  <si>
    <t>New Fortress LNG</t>
  </si>
  <si>
    <t>New Fortress Energy (100%);</t>
  </si>
  <si>
    <t>Gulf of Saros FSRU</t>
  </si>
  <si>
    <t>Philippines</t>
  </si>
  <si>
    <t>Pagbilao LNG</t>
  </si>
  <si>
    <t>Energy World Corporation (100%);</t>
  </si>
  <si>
    <t>Croatia</t>
  </si>
  <si>
    <t>Krk - Golar FSRU</t>
  </si>
  <si>
    <t>Terminal: HEP (85%); Plinacro (15%),
FSRU: Golar (100%)</t>
  </si>
  <si>
    <t>Kuwait Permanent LNG Import Facility</t>
  </si>
  <si>
    <t>Kuwait Petroleum Corporation (100%);</t>
  </si>
  <si>
    <t>Wenzhou LNG</t>
  </si>
  <si>
    <t>Sinopec (41%); Zhejiang Group
(51%); Local firms (8%);</t>
  </si>
  <si>
    <t>Dhamra LNG</t>
  </si>
  <si>
    <t>Adani Group (50%); Total (50%)</t>
  </si>
  <si>
    <t>El Salvador</t>
  </si>
  <si>
    <t>El Salvador FSRU</t>
  </si>
  <si>
    <t>Energía del Pacífico (100%);</t>
  </si>
  <si>
    <t>Cilamaya - Jawa 1 FSRU</t>
  </si>
  <si>
    <t>Pertamina (26%); Humpuss (25%);
Marubeni (20%); MOL (19%); Sojitz
(10%)</t>
  </si>
  <si>
    <t>Binhai LNG</t>
  </si>
  <si>
    <t>Cyprus</t>
  </si>
  <si>
    <t>Cyprus FSRU</t>
  </si>
  <si>
    <t>DEFA (100%);</t>
  </si>
  <si>
    <t>Nong Fab LNG</t>
  </si>
  <si>
    <t>Niihama LNG</t>
  </si>
  <si>
    <t>Tokyo Gas (50.1%); Shikoku Electric Power (30.1%); Other Japanese Partneers (19.8%);</t>
  </si>
  <si>
    <t>Chhara LNG</t>
  </si>
  <si>
    <t>HPCL (0%); Shapoorji (100%);</t>
  </si>
  <si>
    <t>Thi Vai LNG</t>
  </si>
  <si>
    <t>PetroVietnam Gas (100%);</t>
  </si>
  <si>
    <t>Zhangzhou LNG</t>
  </si>
  <si>
    <t>CNOOC (60%); Fujian Investment and Development Co (40%);</t>
  </si>
  <si>
    <t>Yueyang LNG</t>
  </si>
  <si>
    <t>Guanghui Energy (50%); China Hua- dian (50%);</t>
  </si>
  <si>
    <t>Yangjiang LNG</t>
  </si>
  <si>
    <t>Guangdong Yudean Power (100%);</t>
  </si>
  <si>
    <t xml:space="preserve">Table 2.2: LNG Trade volume between markets, 2019 (in MT) </t>
  </si>
  <si>
    <t>From region</t>
  </si>
  <si>
    <t>To region</t>
  </si>
  <si>
    <t>Reexports Received</t>
  </si>
  <si>
    <t>Reexports Loaded</t>
  </si>
  <si>
    <t>2019 IMPORTS</t>
  </si>
  <si>
    <t>2018 IMPORTS</t>
  </si>
  <si>
    <t>Gibraltar</t>
  </si>
  <si>
    <t>Malta</t>
  </si>
  <si>
    <t>Panama</t>
  </si>
  <si>
    <t>Jamaica</t>
  </si>
  <si>
    <t>2019 EXPORTS</t>
  </si>
  <si>
    <t>2018 EXPORTS</t>
  </si>
  <si>
    <t>Average of CostUSD/km</t>
  </si>
  <si>
    <t>Average of CostUSD/capacityBOE/y</t>
  </si>
  <si>
    <t>Average of LengthMergedKm</t>
  </si>
  <si>
    <t>Average of CapacityBOEd</t>
  </si>
  <si>
    <t>Average of CostUSD/capacitybcm/y</t>
  </si>
  <si>
    <t>Average of CapacityBcm/y</t>
  </si>
  <si>
    <t>Natural gas production cost</t>
  </si>
  <si>
    <t>Quantity cumulative (TCF)</t>
  </si>
  <si>
    <t>Cost (USD/MCF) - Min</t>
  </si>
  <si>
    <t>Cost (USD/MCF) - Max</t>
  </si>
  <si>
    <t>Quantity (TCF)</t>
  </si>
  <si>
    <t>Cost (USD / TJ ) - Min</t>
  </si>
  <si>
    <t>Cost (USD / TJ ) - Max</t>
  </si>
  <si>
    <t>Cost Weight average (USD / TJ ) - Min</t>
  </si>
  <si>
    <t>Cost Weight average (USD / TJ ) - Max</t>
  </si>
  <si>
    <t>Cost Weight average (USD / TJ ) - Average</t>
  </si>
  <si>
    <t>Conventional</t>
  </si>
  <si>
    <t>Tight N.America</t>
  </si>
  <si>
    <t>Coalbed Methane</t>
  </si>
  <si>
    <t>Shale North America</t>
  </si>
  <si>
    <t>Arctic</t>
  </si>
  <si>
    <t>Deep Offshore</t>
  </si>
  <si>
    <t>Tight Other</t>
  </si>
  <si>
    <t>Shale Other</t>
  </si>
  <si>
    <t xml:space="preserve">Crude oil production cost </t>
  </si>
  <si>
    <t>Quantity cumulative (BBOE)</t>
  </si>
  <si>
    <t>Cost (USD/BOE) - Min</t>
  </si>
  <si>
    <t>Cost (USD/BOE) - Max</t>
  </si>
  <si>
    <t>Quantity (BBOE)</t>
  </si>
  <si>
    <t>Cost (USD/TJ) - Min</t>
  </si>
  <si>
    <t>Cost (USD/TJ) - Max</t>
  </si>
  <si>
    <t xml:space="preserve">Average weighted cost (USD/TJ) </t>
  </si>
  <si>
    <t>OPEC - Middle East</t>
  </si>
  <si>
    <t>OPEC Other</t>
  </si>
  <si>
    <t>Non- OPEC</t>
  </si>
  <si>
    <t>Heavy oil</t>
  </si>
  <si>
    <t>Reserve Growth</t>
  </si>
  <si>
    <t>Deep offshore</t>
  </si>
  <si>
    <t>Biofuels (Brazil)</t>
  </si>
  <si>
    <t>Oil sands (SAGD)</t>
  </si>
  <si>
    <t>Oil sands (minning</t>
  </si>
  <si>
    <t>Shale (tight) oil</t>
  </si>
  <si>
    <t>Oil shale</t>
  </si>
  <si>
    <t>Biofuels (US)</t>
  </si>
  <si>
    <t>Transformation cost</t>
  </si>
  <si>
    <t>GTL - Gas to liquid</t>
  </si>
  <si>
    <t>CTL - Coal to liquid</t>
  </si>
  <si>
    <t>UK</t>
  </si>
  <si>
    <t>U.S Shale</t>
  </si>
  <si>
    <t>U.S. Non shale</t>
  </si>
  <si>
    <t>Russsia</t>
  </si>
  <si>
    <t>Saundi Arabia</t>
  </si>
  <si>
    <t>$/bbl</t>
  </si>
  <si>
    <t>Capital spending</t>
  </si>
  <si>
    <t>Production cost</t>
  </si>
  <si>
    <t>Administrative and transportation</t>
  </si>
  <si>
    <t>Taxes</t>
  </si>
  <si>
    <t>Total cost</t>
  </si>
  <si>
    <t xml:space="preserve">% of total cost </t>
  </si>
  <si>
    <t xml:space="preserve">Hard coking coal </t>
  </si>
  <si>
    <t>Quantity</t>
  </si>
  <si>
    <t>Cost</t>
  </si>
  <si>
    <t>Low calorific thermal coal</t>
  </si>
  <si>
    <t>High calorific thermal coal</t>
  </si>
  <si>
    <t>Country</t>
  </si>
  <si>
    <t>OMNIA Region</t>
  </si>
  <si>
    <t>Mt</t>
  </si>
  <si>
    <t>USD/t</t>
  </si>
  <si>
    <t xml:space="preserve">Rest of the world </t>
  </si>
  <si>
    <t>t/h</t>
  </si>
  <si>
    <t>MW</t>
  </si>
  <si>
    <t>Steam</t>
  </si>
  <si>
    <t>m3/h</t>
  </si>
  <si>
    <t>Output</t>
  </si>
  <si>
    <t>Coke production</t>
  </si>
  <si>
    <t>t coke/h</t>
  </si>
  <si>
    <t>Coal tar</t>
  </si>
  <si>
    <t>Crude benzenes</t>
  </si>
  <si>
    <t>LP steam</t>
  </si>
  <si>
    <t>Energy eff</t>
  </si>
  <si>
    <t>% (LHV)</t>
  </si>
  <si>
    <t>Energy conso</t>
  </si>
  <si>
    <t>GJ / coke</t>
  </si>
  <si>
    <t>10^8 CNY</t>
  </si>
  <si>
    <t>CNY/ (tcoke/y)</t>
  </si>
  <si>
    <t xml:space="preserve">Table 3. Gas separation plant (GSP) investment cost </t>
  </si>
  <si>
    <t xml:space="preserve">Investment </t>
  </si>
  <si>
    <t>MMscfd (million stardard cubic feet per day)</t>
  </si>
  <si>
    <t>milion 2015USD</t>
  </si>
  <si>
    <t>GSp 2</t>
  </si>
  <si>
    <t>GSp 6</t>
  </si>
  <si>
    <t>Figure 2.2 - Hydrogen use by region and source of hydrogen for refining, historical and in the Net Zero Emissions by 2050 Scenario, 2019-2030</t>
  </si>
  <si>
    <t>Cumulative consumption</t>
  </si>
  <si>
    <t xml:space="preserve">Hydrogen consumption </t>
  </si>
  <si>
    <t>Mt H2</t>
  </si>
  <si>
    <t>North America</t>
  </si>
  <si>
    <t>Onsite - by-product</t>
  </si>
  <si>
    <t>Onsite - fossil w/o CCS</t>
  </si>
  <si>
    <t>Merchant</t>
  </si>
  <si>
    <t>Europe</t>
  </si>
  <si>
    <t>Other Asia</t>
  </si>
  <si>
    <t>Rest of the world</t>
  </si>
  <si>
    <t>Crude oil processing in Refineries</t>
  </si>
  <si>
    <t>TJ H2</t>
  </si>
  <si>
    <t>b/d</t>
  </si>
  <si>
    <t>million US</t>
  </si>
  <si>
    <t>New Refinery - Large</t>
  </si>
  <si>
    <t>New Refinery - Small - Simple</t>
  </si>
  <si>
    <t>New Refinery - Large - Deep conversion</t>
  </si>
  <si>
    <t xml:space="preserve">Variable Refining cost </t>
  </si>
  <si>
    <t>O&amp;M</t>
  </si>
  <si>
    <t>US $/barrel of oil</t>
  </si>
  <si>
    <t>Chemicals and catalyst cost</t>
  </si>
  <si>
    <t xml:space="preserve">Fixed Refining cost </t>
  </si>
  <si>
    <t>million US $/y</t>
  </si>
  <si>
    <t>Simple refinery</t>
  </si>
  <si>
    <t>Staff cost</t>
  </si>
  <si>
    <t>Deep conversion refinery</t>
  </si>
  <si>
    <t xml:space="preserve">% of investment cost </t>
  </si>
  <si>
    <t>Maintenance cost</t>
  </si>
  <si>
    <t>$US / barrel</t>
  </si>
  <si>
    <t>Miscelanous</t>
  </si>
  <si>
    <t>Table A.5 Technical-economic characterisation of heat supply technologies in end-use sectors (real CHF 2010)</t>
  </si>
  <si>
    <t xml:space="preserve">Investment  cost CHF/kWth </t>
  </si>
  <si>
    <t xml:space="preserve">Fixed O&amp;M cost  CHF/kWth </t>
  </si>
  <si>
    <t>Efﬁciency  for  heat</t>
  </si>
  <si>
    <t xml:space="preserve"> Lifetime (yrs)</t>
  </si>
  <si>
    <t>Industrial  heat  supply  technologies</t>
  </si>
  <si>
    <t>Oil  boilers</t>
  </si>
  <si>
    <t>Gas/biogas/bio-methane  boilers</t>
  </si>
  <si>
    <t>Heat  pumps (reference  values)</t>
  </si>
  <si>
    <t>Electric  boilers</t>
  </si>
  <si>
    <t>Solar  thermal</t>
  </si>
  <si>
    <t>Pellet  boilers</t>
  </si>
  <si>
    <t>Wood boilers</t>
  </si>
  <si>
    <t>Coal  boilers</t>
  </si>
  <si>
    <t>Wastes  boilers</t>
  </si>
  <si>
    <t>Heavy  fuel  oil</t>
  </si>
  <si>
    <t>IGPC</t>
  </si>
  <si>
    <t>bushels/h</t>
  </si>
  <si>
    <t>gallons per bushels</t>
  </si>
  <si>
    <t>gallons per hour</t>
  </si>
  <si>
    <t>2019 Millions US</t>
  </si>
  <si>
    <t>% CAPEX</t>
  </si>
  <si>
    <t>kWh/h</t>
  </si>
  <si>
    <t>GJ/h</t>
  </si>
  <si>
    <t>kWh/t</t>
  </si>
  <si>
    <t xml:space="preserve">GJ/t </t>
  </si>
  <si>
    <t>M$</t>
  </si>
  <si>
    <t>M$/y</t>
  </si>
  <si>
    <t>4.AD-UP</t>
  </si>
  <si>
    <t>t/d</t>
  </si>
  <si>
    <t>MJ/d</t>
  </si>
  <si>
    <t>kWh/d</t>
  </si>
  <si>
    <t xml:space="preserve">Biogas </t>
  </si>
  <si>
    <t>m3/d</t>
  </si>
  <si>
    <t>Biomathane</t>
  </si>
  <si>
    <t>5.AD</t>
  </si>
  <si>
    <t>Biogas input</t>
  </si>
  <si>
    <t>Nm3/h</t>
  </si>
  <si>
    <t>Biogas content - CH4</t>
  </si>
  <si>
    <t>% biogas</t>
  </si>
  <si>
    <t>Biogas content - CO2</t>
  </si>
  <si>
    <t>CH4 Recovery</t>
  </si>
  <si>
    <t>PWS</t>
  </si>
  <si>
    <t>HPC</t>
  </si>
  <si>
    <t>PSA</t>
  </si>
  <si>
    <t>kWh/Nm3 biogas</t>
  </si>
  <si>
    <t>2019Meuros</t>
  </si>
  <si>
    <t>USD/(m3/h)</t>
  </si>
  <si>
    <t>AD</t>
  </si>
  <si>
    <t>UPG</t>
  </si>
  <si>
    <t>Stationary combustion in the energy industries - Table 2.2 - Volume 2 - Chapter 2</t>
  </si>
  <si>
    <t>Publications - IPCC-TFI</t>
  </si>
  <si>
    <t>kg/TJ</t>
  </si>
  <si>
    <t>Fugitive emisions - Volume 2 - Chapter 4</t>
  </si>
  <si>
    <t>Mining</t>
  </si>
  <si>
    <t>Average CH4 emissions factor</t>
  </si>
  <si>
    <t>m3/tonne coal</t>
  </si>
  <si>
    <t>CH4 density</t>
  </si>
  <si>
    <t>Gg/m3</t>
  </si>
  <si>
    <t>Post-mining</t>
  </si>
  <si>
    <t>Drained methane</t>
  </si>
  <si>
    <t>CO2 from flared methane</t>
  </si>
  <si>
    <t>Gg/m3 methane flared</t>
  </si>
  <si>
    <t>Combustion efficiency</t>
  </si>
  <si>
    <t>Stoichiometric Mass Factor</t>
  </si>
  <si>
    <t>Emissions from unburnt methane</t>
  </si>
  <si>
    <t>Surface coal minning</t>
  </si>
  <si>
    <t>Abandoned Underground mines</t>
  </si>
  <si>
    <t>Developed Countries</t>
  </si>
  <si>
    <t>Developping countries and countries with economies in transition</t>
  </si>
  <si>
    <t>NMVOC</t>
  </si>
  <si>
    <t>Gg</t>
  </si>
  <si>
    <t>Gas production</t>
  </si>
  <si>
    <t>Fugitives</t>
  </si>
  <si>
    <t>10^6 m3 gas production</t>
  </si>
  <si>
    <t>Flaring</t>
  </si>
  <si>
    <t>Gas processing</t>
  </si>
  <si>
    <t>Raw CO2 venting</t>
  </si>
  <si>
    <t>Gas transmission</t>
  </si>
  <si>
    <t>10^6 m3 marketable gas</t>
  </si>
  <si>
    <t>Venting</t>
  </si>
  <si>
    <t>Gas storage</t>
  </si>
  <si>
    <t>Gas distribution</t>
  </si>
  <si>
    <t>10^6 m3 of utility sales</t>
  </si>
  <si>
    <t>Natural gas liquids transport</t>
  </si>
  <si>
    <t>Condensate</t>
  </si>
  <si>
    <t>10^3 m3 condensates</t>
  </si>
  <si>
    <t>10^3 m3 of LPG</t>
  </si>
  <si>
    <t>LNG</t>
  </si>
  <si>
    <t>10^6 m3 of marketable gas</t>
  </si>
  <si>
    <t>Oil</t>
  </si>
  <si>
    <t>Well drilling</t>
  </si>
  <si>
    <t>Flaring and venting</t>
  </si>
  <si>
    <t>10^3 m3 oil production</t>
  </si>
  <si>
    <t>Well testing</t>
  </si>
  <si>
    <t>Well servicing</t>
  </si>
  <si>
    <t>Oil production</t>
  </si>
  <si>
    <t>Oil upgrading</t>
  </si>
  <si>
    <t xml:space="preserve">10^3 m3 oil upgraded </t>
  </si>
  <si>
    <t xml:space="preserve">Oil transport </t>
  </si>
  <si>
    <t>10^3 m3 oil transported by pipeline</t>
  </si>
  <si>
    <t>Tankers, trucks and Rail cars</t>
  </si>
  <si>
    <t>10^3 m3 oil transported</t>
  </si>
  <si>
    <t>Loading off-shore Production on tanker ships</t>
  </si>
  <si>
    <t>Oil refining</t>
  </si>
  <si>
    <t>10^3 m3 oil refined</t>
  </si>
  <si>
    <t>Refined product distribution</t>
  </si>
  <si>
    <t>10^3 m3 product transported</t>
  </si>
  <si>
    <t xml:space="preserve">Aviation fuel </t>
  </si>
  <si>
    <t>Jet kerosene</t>
  </si>
  <si>
    <t>10^6 m3 of gas flared</t>
  </si>
  <si>
    <t>Flaring efficiency of 0.98</t>
  </si>
  <si>
    <t>10^6m3 of gas vented</t>
  </si>
  <si>
    <t>Coal Production by Mine Type</t>
  </si>
  <si>
    <t>Operating Mines and Proposed Projects (1 mtpa+)</t>
  </si>
  <si>
    <t xml:space="preserve">Global Coal Mine Tracker, Global Energy Monitor </t>
  </si>
  <si>
    <t>This data is based on Global Coal Mine Tracker, updated April 2024 (Download here)</t>
  </si>
  <si>
    <t>Units of measurement: Million tonnes per annum (Mtpa)</t>
  </si>
  <si>
    <t>Operating Mines</t>
  </si>
  <si>
    <t>Proposed Projects</t>
  </si>
  <si>
    <t>OMNIA_Region</t>
  </si>
  <si>
    <t>Surface Production</t>
  </si>
  <si>
    <t>Underground Production</t>
  </si>
  <si>
    <t>Underground &amp; Surface Mixed Production</t>
  </si>
  <si>
    <t>Surface Capacity</t>
  </si>
  <si>
    <t>Underground Capacity</t>
  </si>
  <si>
    <t>Underground &amp; Surface Mixed Capacity</t>
  </si>
  <si>
    <t>Afghanistan</t>
  </si>
  <si>
    <t>Albania</t>
  </si>
  <si>
    <t>Bhutan</t>
  </si>
  <si>
    <t>Bosnia and Herzegovina</t>
  </si>
  <si>
    <t>Cambodia</t>
  </si>
  <si>
    <t>Eswatini</t>
  </si>
  <si>
    <t>Ethiopia</t>
  </si>
  <si>
    <t>Georgia</t>
  </si>
  <si>
    <t>Kosovo</t>
  </si>
  <si>
    <t>Kyrgyzstan</t>
  </si>
  <si>
    <t>Lao People's Democratic Republic</t>
  </si>
  <si>
    <t>Madagascar</t>
  </si>
  <si>
    <t>Montenegro</t>
  </si>
  <si>
    <t>Nepal</t>
  </si>
  <si>
    <t>Democratic People's Republic of Korea</t>
  </si>
  <si>
    <t>Republic of North Macedonia</t>
  </si>
  <si>
    <t>Tajikistan</t>
  </si>
  <si>
    <t>Venezuela (Bolivarian Republic of)</t>
  </si>
  <si>
    <t>TOTAL</t>
  </si>
  <si>
    <t>*unspecified mine type not included</t>
  </si>
  <si>
    <t>region</t>
  </si>
  <si>
    <t>country_OMNIA</t>
  </si>
  <si>
    <t>ISO2</t>
  </si>
  <si>
    <t>UN_Code</t>
  </si>
  <si>
    <t>Developed countries</t>
  </si>
  <si>
    <t>ET</t>
  </si>
  <si>
    <t>Kenya</t>
  </si>
  <si>
    <t>KE</t>
  </si>
  <si>
    <t>SD</t>
  </si>
  <si>
    <t>Mauritius</t>
  </si>
  <si>
    <t>MU</t>
  </si>
  <si>
    <t>Eritrea</t>
  </si>
  <si>
    <t>ER</t>
  </si>
  <si>
    <t>SS</t>
  </si>
  <si>
    <t>Burundi</t>
  </si>
  <si>
    <t>BI</t>
  </si>
  <si>
    <t>Comoros</t>
  </si>
  <si>
    <t>KM</t>
  </si>
  <si>
    <t>Djibouti</t>
  </si>
  <si>
    <t>DJ</t>
  </si>
  <si>
    <t>MG</t>
  </si>
  <si>
    <t>Reunion</t>
  </si>
  <si>
    <t>RE</t>
  </si>
  <si>
    <t>Rwanda</t>
  </si>
  <si>
    <t>RW</t>
  </si>
  <si>
    <t>SO</t>
  </si>
  <si>
    <t>Uganda</t>
  </si>
  <si>
    <t>UG</t>
  </si>
  <si>
    <t>Seychelles</t>
  </si>
  <si>
    <t>SC</t>
  </si>
  <si>
    <t>TZ</t>
  </si>
  <si>
    <t>EG</t>
  </si>
  <si>
    <t>DZ</t>
  </si>
  <si>
    <t>Morocco</t>
  </si>
  <si>
    <t>MA</t>
  </si>
  <si>
    <t>LY</t>
  </si>
  <si>
    <t>TN</t>
  </si>
  <si>
    <t>CD</t>
  </si>
  <si>
    <t>Cote d'Ivoire</t>
  </si>
  <si>
    <t>CI</t>
  </si>
  <si>
    <t>GH</t>
  </si>
  <si>
    <t>CM</t>
  </si>
  <si>
    <t>GA</t>
  </si>
  <si>
    <t>Benin</t>
  </si>
  <si>
    <t>BJ</t>
  </si>
  <si>
    <t>SN</t>
  </si>
  <si>
    <t>Togo</t>
  </si>
  <si>
    <t>TG</t>
  </si>
  <si>
    <t>NE</t>
  </si>
  <si>
    <t>Congo</t>
  </si>
  <si>
    <t>CG</t>
  </si>
  <si>
    <t>Burkina Faso</t>
  </si>
  <si>
    <t>BF</t>
  </si>
  <si>
    <t>Cabo Verde</t>
  </si>
  <si>
    <t>CV</t>
  </si>
  <si>
    <t>CF</t>
  </si>
  <si>
    <t>TD</t>
  </si>
  <si>
    <t>GQ</t>
  </si>
  <si>
    <t>Gambia</t>
  </si>
  <si>
    <t>GM</t>
  </si>
  <si>
    <t>Guinea</t>
  </si>
  <si>
    <t>GN</t>
  </si>
  <si>
    <t>Guinea-Bissau</t>
  </si>
  <si>
    <t>GW</t>
  </si>
  <si>
    <t>Liberia</t>
  </si>
  <si>
    <t>LR</t>
  </si>
  <si>
    <t>ML</t>
  </si>
  <si>
    <t>MR</t>
  </si>
  <si>
    <t>Sao Tome and Principe</t>
  </si>
  <si>
    <t>ST</t>
  </si>
  <si>
    <t>Sierra Leone</t>
  </si>
  <si>
    <t>SL</t>
  </si>
  <si>
    <t>AO</t>
  </si>
  <si>
    <t>MZ</t>
  </si>
  <si>
    <t>ZW</t>
  </si>
  <si>
    <t>ZM</t>
  </si>
  <si>
    <t>BW</t>
  </si>
  <si>
    <t>NA</t>
  </si>
  <si>
    <t>ZA</t>
  </si>
  <si>
    <t>SZ</t>
  </si>
  <si>
    <t>Lesotho</t>
  </si>
  <si>
    <t>LS</t>
  </si>
  <si>
    <t>NG</t>
  </si>
  <si>
    <t>RU</t>
  </si>
  <si>
    <t>KZ</t>
  </si>
  <si>
    <t>UZ</t>
  </si>
  <si>
    <t>TM</t>
  </si>
  <si>
    <t>AZ</t>
  </si>
  <si>
    <t>MN</t>
  </si>
  <si>
    <t>GE</t>
  </si>
  <si>
    <t>KG</t>
  </si>
  <si>
    <t>Armenia</t>
  </si>
  <si>
    <t>AM</t>
  </si>
  <si>
    <t>AF</t>
  </si>
  <si>
    <t>TH</t>
  </si>
  <si>
    <t>MY</t>
  </si>
  <si>
    <t>SG</t>
  </si>
  <si>
    <t>MM</t>
  </si>
  <si>
    <t>KH</t>
  </si>
  <si>
    <t>BN</t>
  </si>
  <si>
    <t>LA</t>
  </si>
  <si>
    <t>KP</t>
  </si>
  <si>
    <t>Cook Islands</t>
  </si>
  <si>
    <t>CK</t>
  </si>
  <si>
    <t>Timor-Leste</t>
  </si>
  <si>
    <t>TL</t>
  </si>
  <si>
    <t>Fiji</t>
  </si>
  <si>
    <t>FJ</t>
  </si>
  <si>
    <t>French Polynesia</t>
  </si>
  <si>
    <t>PF</t>
  </si>
  <si>
    <t>Kiribati</t>
  </si>
  <si>
    <t>KI</t>
  </si>
  <si>
    <t>New Caledonia</t>
  </si>
  <si>
    <t>NC</t>
  </si>
  <si>
    <t>Palau</t>
  </si>
  <si>
    <t>PW</t>
  </si>
  <si>
    <t>PG</t>
  </si>
  <si>
    <t>American Samoa</t>
  </si>
  <si>
    <t>AS</t>
  </si>
  <si>
    <t>Solomon Islands</t>
  </si>
  <si>
    <t>SB</t>
  </si>
  <si>
    <t>Tonga</t>
  </si>
  <si>
    <t>TO</t>
  </si>
  <si>
    <t>Vanuatu</t>
  </si>
  <si>
    <t>VU</t>
  </si>
  <si>
    <t>Niue</t>
  </si>
  <si>
    <t>NU</t>
  </si>
  <si>
    <t>Samoa</t>
  </si>
  <si>
    <t>WS</t>
  </si>
  <si>
    <t>Wallis and Futuna Islands</t>
  </si>
  <si>
    <t>WF</t>
  </si>
  <si>
    <t>Micronesia (Federated States of)</t>
  </si>
  <si>
    <t>FM</t>
  </si>
  <si>
    <t>Nauru</t>
  </si>
  <si>
    <t>NR</t>
  </si>
  <si>
    <t>Tuvalu</t>
  </si>
  <si>
    <t>TV</t>
  </si>
  <si>
    <t>Northern Mariana Islands</t>
  </si>
  <si>
    <t>MP</t>
  </si>
  <si>
    <t>CN</t>
  </si>
  <si>
    <t>China, Hong Kong Special Administrative Region</t>
  </si>
  <si>
    <t>HK</t>
  </si>
  <si>
    <t>China, Macao Special Administrative Region</t>
  </si>
  <si>
    <t>MO</t>
  </si>
  <si>
    <t>ID</t>
  </si>
  <si>
    <t>PH</t>
  </si>
  <si>
    <t>VN</t>
  </si>
  <si>
    <t>IN</t>
  </si>
  <si>
    <t>BD</t>
  </si>
  <si>
    <t>NP</t>
  </si>
  <si>
    <t>Sri Lanka</t>
  </si>
  <si>
    <t>LK</t>
  </si>
  <si>
    <t>PK</t>
  </si>
  <si>
    <t>BT</t>
  </si>
  <si>
    <t>Maldives</t>
  </si>
  <si>
    <t>MV</t>
  </si>
  <si>
    <t>JP</t>
  </si>
  <si>
    <t>TW</t>
  </si>
  <si>
    <t>KR</t>
  </si>
  <si>
    <t>AU</t>
  </si>
  <si>
    <t>NZ</t>
  </si>
  <si>
    <t>CA</t>
  </si>
  <si>
    <t>AR</t>
  </si>
  <si>
    <t>VE</t>
  </si>
  <si>
    <t>CO</t>
  </si>
  <si>
    <t>PE</t>
  </si>
  <si>
    <t>TT</t>
  </si>
  <si>
    <t>EC</t>
  </si>
  <si>
    <t>Guatemala</t>
  </si>
  <si>
    <t>GT</t>
  </si>
  <si>
    <t>Cuba</t>
  </si>
  <si>
    <t>CU</t>
  </si>
  <si>
    <t>Bolivia (Plurinational State of)</t>
  </si>
  <si>
    <t>BO</t>
  </si>
  <si>
    <t>DO</t>
  </si>
  <si>
    <t>Honduras</t>
  </si>
  <si>
    <t>HN</t>
  </si>
  <si>
    <t>PY</t>
  </si>
  <si>
    <t>Uruguay</t>
  </si>
  <si>
    <t>UY</t>
  </si>
  <si>
    <t>Costa Rica</t>
  </si>
  <si>
    <t>CR</t>
  </si>
  <si>
    <t>SV</t>
  </si>
  <si>
    <t>Haiti</t>
  </si>
  <si>
    <t>HT</t>
  </si>
  <si>
    <t>PA</t>
  </si>
  <si>
    <t>Nicaragua</t>
  </si>
  <si>
    <t>NI</t>
  </si>
  <si>
    <t>JM</t>
  </si>
  <si>
    <t>Curaçao</t>
  </si>
  <si>
    <t>CW</t>
  </si>
  <si>
    <t>Suriname</t>
  </si>
  <si>
    <t>SR</t>
  </si>
  <si>
    <t>Antigua and Barbuda</t>
  </si>
  <si>
    <t>AG</t>
  </si>
  <si>
    <t>Aruba</t>
  </si>
  <si>
    <t>AW</t>
  </si>
  <si>
    <t>Bahamas</t>
  </si>
  <si>
    <t>BS</t>
  </si>
  <si>
    <t>Barbados</t>
  </si>
  <si>
    <t>BB</t>
  </si>
  <si>
    <t>Belize</t>
  </si>
  <si>
    <t>BZ</t>
  </si>
  <si>
    <t>Bermuda</t>
  </si>
  <si>
    <t>BM</t>
  </si>
  <si>
    <t>British Virgin Islands</t>
  </si>
  <si>
    <t>VG</t>
  </si>
  <si>
    <t>Cayman Islands</t>
  </si>
  <si>
    <t>KY</t>
  </si>
  <si>
    <t>Dominica</t>
  </si>
  <si>
    <t>DM</t>
  </si>
  <si>
    <t>Falkland Islands (Malvinas)</t>
  </si>
  <si>
    <t>FK</t>
  </si>
  <si>
    <t>Guyana</t>
  </si>
  <si>
    <t>GY</t>
  </si>
  <si>
    <t>Grenada</t>
  </si>
  <si>
    <t>GD</t>
  </si>
  <si>
    <t>Guadeloupe</t>
  </si>
  <si>
    <t>GP</t>
  </si>
  <si>
    <t>Cooperative Republic of Guyana</t>
  </si>
  <si>
    <t>Martinique</t>
  </si>
  <si>
    <t>MQ</t>
  </si>
  <si>
    <t>Montserrat</t>
  </si>
  <si>
    <t>MS</t>
  </si>
  <si>
    <t>Puerto Rico</t>
  </si>
  <si>
    <t>PR</t>
  </si>
  <si>
    <t>Saba</t>
  </si>
  <si>
    <t>BQ-SA</t>
  </si>
  <si>
    <t>Bonaire, Sint Eustatius and Saba</t>
  </si>
  <si>
    <t>BQ</t>
  </si>
  <si>
    <t>Saint Kitts and Nevis</t>
  </si>
  <si>
    <t>KN</t>
  </si>
  <si>
    <t>Saint Lucia</t>
  </si>
  <si>
    <t>LC</t>
  </si>
  <si>
    <t>Saint Pierre and Miquelon</t>
  </si>
  <si>
    <t>PM</t>
  </si>
  <si>
    <t>Saint Vincent and the Grenadines</t>
  </si>
  <si>
    <t>VC</t>
  </si>
  <si>
    <t>Saint Martin</t>
  </si>
  <si>
    <t>MF</t>
  </si>
  <si>
    <t>Turks and Caicos Islands</t>
  </si>
  <si>
    <t>TC</t>
  </si>
  <si>
    <t>Sint Maarten (Dutch part)</t>
  </si>
  <si>
    <t>SX</t>
  </si>
  <si>
    <t>Anguilla</t>
  </si>
  <si>
    <t>AI</t>
  </si>
  <si>
    <t>BR</t>
  </si>
  <si>
    <t>MX</t>
  </si>
  <si>
    <t>CL</t>
  </si>
  <si>
    <t>UA</t>
  </si>
  <si>
    <t>Belarus</t>
  </si>
  <si>
    <t>BY</t>
  </si>
  <si>
    <t>RS</t>
  </si>
  <si>
    <t>BA</t>
  </si>
  <si>
    <t>Republic of Moldova</t>
  </si>
  <si>
    <t>MD</t>
  </si>
  <si>
    <t>MK</t>
  </si>
  <si>
    <t>XK</t>
  </si>
  <si>
    <t>AL</t>
  </si>
  <si>
    <t>ME</t>
  </si>
  <si>
    <t>NO</t>
  </si>
  <si>
    <t>Svalbard and Jan Mayen Islands</t>
  </si>
  <si>
    <t>SJ</t>
  </si>
  <si>
    <t>Switzerland</t>
  </si>
  <si>
    <t>CH</t>
  </si>
  <si>
    <t>Liechtenstein</t>
  </si>
  <si>
    <t>LI</t>
  </si>
  <si>
    <t>Iceland</t>
  </si>
  <si>
    <t>IS</t>
  </si>
  <si>
    <t>GB</t>
  </si>
  <si>
    <t>GI</t>
  </si>
  <si>
    <t>Saint Helena</t>
  </si>
  <si>
    <t xml:space="preserve">SH </t>
  </si>
  <si>
    <t>PL</t>
  </si>
  <si>
    <t>CZ</t>
  </si>
  <si>
    <t>RO</t>
  </si>
  <si>
    <t>HU</t>
  </si>
  <si>
    <t>BG</t>
  </si>
  <si>
    <t>SK</t>
  </si>
  <si>
    <t>HR</t>
  </si>
  <si>
    <t>LT</t>
  </si>
  <si>
    <t>SI</t>
  </si>
  <si>
    <t>Estonia</t>
  </si>
  <si>
    <t>EE</t>
  </si>
  <si>
    <t>Latvia</t>
  </si>
  <si>
    <t>LV</t>
  </si>
  <si>
    <t>DE</t>
  </si>
  <si>
    <t>NL</t>
  </si>
  <si>
    <t>BE</t>
  </si>
  <si>
    <t>SE</t>
  </si>
  <si>
    <t>Austria</t>
  </si>
  <si>
    <t>AT</t>
  </si>
  <si>
    <t>FI</t>
  </si>
  <si>
    <t>DK</t>
  </si>
  <si>
    <t>Ireland</t>
  </si>
  <si>
    <t>IE</t>
  </si>
  <si>
    <t>Luxembourg</t>
  </si>
  <si>
    <t>LU</t>
  </si>
  <si>
    <t>GL</t>
  </si>
  <si>
    <t>Faroe Islands</t>
  </si>
  <si>
    <t>FO</t>
  </si>
  <si>
    <t>Andorra</t>
  </si>
  <si>
    <t>FR</t>
  </si>
  <si>
    <t>Monaco</t>
  </si>
  <si>
    <t>MC</t>
  </si>
  <si>
    <t>IT</t>
  </si>
  <si>
    <t>San Marino</t>
  </si>
  <si>
    <t>SM</t>
  </si>
  <si>
    <t>ES</t>
  </si>
  <si>
    <t>GR</t>
  </si>
  <si>
    <t>PT</t>
  </si>
  <si>
    <t>CY</t>
  </si>
  <si>
    <t>MT</t>
  </si>
  <si>
    <t>IR</t>
  </si>
  <si>
    <t>SA</t>
  </si>
  <si>
    <t>AE</t>
  </si>
  <si>
    <t>IQ</t>
  </si>
  <si>
    <t>QA</t>
  </si>
  <si>
    <t>KW</t>
  </si>
  <si>
    <t>OM</t>
  </si>
  <si>
    <t>BH</t>
  </si>
  <si>
    <t>YE</t>
  </si>
  <si>
    <t>TR</t>
  </si>
  <si>
    <t>IL</t>
  </si>
  <si>
    <t>Syrian Arab Republic</t>
  </si>
  <si>
    <t>SY</t>
  </si>
  <si>
    <t>JO</t>
  </si>
  <si>
    <t>Lebanon</t>
  </si>
  <si>
    <t>LB</t>
  </si>
  <si>
    <t>State of Palestine</t>
  </si>
  <si>
    <t>PS</t>
  </si>
  <si>
    <t>Data Source</t>
  </si>
  <si>
    <t>World Development Indicators</t>
  </si>
  <si>
    <t>Last Updated Date</t>
  </si>
  <si>
    <t>Country Name</t>
  </si>
  <si>
    <t>Country Code</t>
  </si>
  <si>
    <t>Indicator Name</t>
  </si>
  <si>
    <t>Indicator Code</t>
  </si>
  <si>
    <t>ABW</t>
  </si>
  <si>
    <t>Consumer price index (2010 = 100)</t>
  </si>
  <si>
    <t>FP.CPI.TOTL</t>
  </si>
  <si>
    <t>Africa Eastern and Southern</t>
  </si>
  <si>
    <t>AFG</t>
  </si>
  <si>
    <t>Africa Western and Central</t>
  </si>
  <si>
    <t>AGO</t>
  </si>
  <si>
    <t>ALB</t>
  </si>
  <si>
    <t>AND</t>
  </si>
  <si>
    <t>Arab World</t>
  </si>
  <si>
    <t>ARB</t>
  </si>
  <si>
    <t>ARE</t>
  </si>
  <si>
    <t>ARG</t>
  </si>
  <si>
    <t>ARM</t>
  </si>
  <si>
    <t>ASM</t>
  </si>
  <si>
    <t>ATG</t>
  </si>
  <si>
    <t>AUS</t>
  </si>
  <si>
    <t>AUT</t>
  </si>
  <si>
    <t>AZE</t>
  </si>
  <si>
    <t>BDI</t>
  </si>
  <si>
    <t>BEL</t>
  </si>
  <si>
    <t>BEN</t>
  </si>
  <si>
    <t>BFA</t>
  </si>
  <si>
    <t>BGD</t>
  </si>
  <si>
    <t>BGR</t>
  </si>
  <si>
    <t>BHR</t>
  </si>
  <si>
    <t>Bahamas, The</t>
  </si>
  <si>
    <t>BHS</t>
  </si>
  <si>
    <t>BIH</t>
  </si>
  <si>
    <t>BLR</t>
  </si>
  <si>
    <t>BLZ</t>
  </si>
  <si>
    <t>BMU</t>
  </si>
  <si>
    <t>BOL</t>
  </si>
  <si>
    <t>BRB</t>
  </si>
  <si>
    <t>BRN</t>
  </si>
  <si>
    <t>BTN</t>
  </si>
  <si>
    <t>BWA</t>
  </si>
  <si>
    <t>CAF</t>
  </si>
  <si>
    <t>Central Europe and the Baltics</t>
  </si>
  <si>
    <t>CEB</t>
  </si>
  <si>
    <t>CHE</t>
  </si>
  <si>
    <t>Channel Islands</t>
  </si>
  <si>
    <t>CHI</t>
  </si>
  <si>
    <t>CIV</t>
  </si>
  <si>
    <t>CMR</t>
  </si>
  <si>
    <t>Congo, Dem. Rep.</t>
  </si>
  <si>
    <t>COD</t>
  </si>
  <si>
    <t>Congo, Rep.</t>
  </si>
  <si>
    <t>COG</t>
  </si>
  <si>
    <t>COL</t>
  </si>
  <si>
    <t>COM</t>
  </si>
  <si>
    <t>CPV</t>
  </si>
  <si>
    <t>CRI</t>
  </si>
  <si>
    <t>Caribbean small states</t>
  </si>
  <si>
    <t>CSS</t>
  </si>
  <si>
    <t>CUB</t>
  </si>
  <si>
    <t>Curacao</t>
  </si>
  <si>
    <t>CUW</t>
  </si>
  <si>
    <t>CYM</t>
  </si>
  <si>
    <t>CYP</t>
  </si>
  <si>
    <t>CZE</t>
  </si>
  <si>
    <t>DEU</t>
  </si>
  <si>
    <t>DJI</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</si>
  <si>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</si>
  <si>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</si>
  <si>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</si>
  <si>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</si>
  <si>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</si>
  <si>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</si>
  <si>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</si>
  <si>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</si>
  <si>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</si>
  <si>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</si>
  <si>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</si>
  <si>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</si>
  <si>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</si>
  <si>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</si>
  <si>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</si>
  <si>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</si>
  <si>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</si>
  <si>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</si>
  <si>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</si>
  <si>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</si>
  <si>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</si>
  <si>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</si>
  <si>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ETH</t>
  </si>
  <si>
    <t>European Union</t>
  </si>
  <si>
    <t>EUU</t>
  </si>
  <si>
    <t>Fragile and conflict affected situations</t>
  </si>
  <si>
    <t>FCS</t>
  </si>
  <si>
    <t>FIN</t>
  </si>
  <si>
    <t>FJI</t>
  </si>
  <si>
    <t>FRA</t>
  </si>
  <si>
    <t>FRO</t>
  </si>
  <si>
    <t>Micronesia, Fed. Sts.</t>
  </si>
  <si>
    <t>FSM</t>
  </si>
  <si>
    <t>GAB</t>
  </si>
  <si>
    <t>GBR</t>
  </si>
  <si>
    <t>GHA</t>
  </si>
  <si>
    <t>GIB</t>
  </si>
  <si>
    <t>GIN</t>
  </si>
  <si>
    <t>Gambia, The</t>
  </si>
  <si>
    <t>GMB</t>
  </si>
  <si>
    <t>GNB</t>
  </si>
  <si>
    <t>GNQ</t>
  </si>
  <si>
    <t>GRC</t>
  </si>
  <si>
    <t>GRD</t>
  </si>
  <si>
    <t>GRL</t>
  </si>
  <si>
    <t>GTM</t>
  </si>
  <si>
    <t>Guam</t>
  </si>
  <si>
    <t>GUM</t>
  </si>
  <si>
    <t>GUY</t>
  </si>
  <si>
    <t>High income</t>
  </si>
  <si>
    <t>HIC</t>
  </si>
  <si>
    <t>Hong Kong SAR, China</t>
  </si>
  <si>
    <t>HKG</t>
  </si>
  <si>
    <t>HND</t>
  </si>
  <si>
    <t>Heavily indebted poor countries (HIPC)</t>
  </si>
  <si>
    <t>HRV</t>
  </si>
  <si>
    <t>HTI</t>
  </si>
  <si>
    <t>HUN</t>
  </si>
  <si>
    <t>IBRD only</t>
  </si>
  <si>
    <t>IBD</t>
  </si>
  <si>
    <t>IDA &amp; IBRD total</t>
  </si>
  <si>
    <t>IBT</t>
  </si>
  <si>
    <t>IDA total</t>
  </si>
  <si>
    <t>IDA</t>
  </si>
  <si>
    <t>IDA blend</t>
  </si>
  <si>
    <t>IDB</t>
  </si>
  <si>
    <t>IDA only</t>
  </si>
  <si>
    <t>IDX</t>
  </si>
  <si>
    <t>Isle of Man</t>
  </si>
  <si>
    <t>IMN</t>
  </si>
  <si>
    <t>Not classified</t>
  </si>
  <si>
    <t>INX</t>
  </si>
  <si>
    <t>IRL</t>
  </si>
  <si>
    <t>Iran, Islamic Rep.</t>
  </si>
  <si>
    <t>IRN</t>
  </si>
  <si>
    <t>IRQ</t>
  </si>
  <si>
    <t>ISL</t>
  </si>
  <si>
    <t>ISR</t>
  </si>
  <si>
    <t>ITA</t>
  </si>
  <si>
    <t>JAM</t>
  </si>
  <si>
    <t>JOR</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</si>
  <si>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</si>
  <si>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</si>
  <si>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</si>
  <si>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</si>
  <si>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</si>
  <si>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</si>
  <si>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</si>
  <si>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</si>
  <si>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</si>
  <si>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</si>
  <si>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</si>
  <si>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</si>
  <si>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</si>
  <si>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</si>
  <si>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</si>
  <si>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</si>
  <si>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</si>
  <si>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</si>
  <si>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</si>
  <si>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</si>
  <si>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</si>
  <si>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</si>
  <si>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</si>
  <si>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</si>
  <si>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</si>
  <si>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</si>
  <si>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</si>
  <si>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</si>
  <si>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</si>
  <si>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</si>
  <si>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</si>
  <si>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</si>
  <si>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</si>
  <si>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</si>
  <si>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</si>
  <si>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</si>
  <si>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</si>
  <si>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</si>
  <si>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</si>
  <si>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</si>
  <si>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</si>
  <si>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</si>
  <si>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</si>
  <si>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MCO</t>
  </si>
  <si>
    <t>Moldova</t>
  </si>
  <si>
    <t>MDG</t>
  </si>
  <si>
    <t>MDV</t>
  </si>
  <si>
    <t>Middle East &amp; North Africa</t>
  </si>
  <si>
    <t>Marshall Islands</t>
  </si>
  <si>
    <t>MHL</t>
  </si>
  <si>
    <t>Middle income</t>
  </si>
  <si>
    <t>MIC</t>
  </si>
  <si>
    <t>North Macedonia</t>
  </si>
  <si>
    <t>MKD</t>
  </si>
  <si>
    <t>MLI</t>
  </si>
  <si>
    <t>MLT</t>
  </si>
  <si>
    <t>MMR</t>
  </si>
  <si>
    <t>Middle East &amp; North Africa (excluding high income)</t>
  </si>
  <si>
    <t>MNA</t>
  </si>
  <si>
    <t>MNE</t>
  </si>
  <si>
    <t>MNG</t>
  </si>
  <si>
    <t>MNP</t>
  </si>
  <si>
    <t>MOZ</t>
  </si>
  <si>
    <t>MRT</t>
  </si>
  <si>
    <t>MUS</t>
  </si>
  <si>
    <t>MWI</t>
  </si>
  <si>
    <t>MYS</t>
  </si>
  <si>
    <t>NAC</t>
  </si>
  <si>
    <t>NAM</t>
  </si>
  <si>
    <t>NCL</t>
  </si>
  <si>
    <t>NER</t>
  </si>
  <si>
    <t>NGA</t>
  </si>
  <si>
    <t>NIC</t>
  </si>
  <si>
    <t>NLD</t>
  </si>
  <si>
    <t>NOR</t>
  </si>
  <si>
    <t>NPL</t>
  </si>
  <si>
    <t>NRU</t>
  </si>
  <si>
    <t>NZL</t>
  </si>
  <si>
    <t>OECD members</t>
  </si>
  <si>
    <t>OED</t>
  </si>
  <si>
    <t>OMN</t>
  </si>
  <si>
    <t>Other small states</t>
  </si>
  <si>
    <t>OSS</t>
  </si>
  <si>
    <t>PAK</t>
  </si>
  <si>
    <t>PAN</t>
  </si>
  <si>
    <t>PER</t>
  </si>
  <si>
    <t>PHL</t>
  </si>
  <si>
    <t>PLW</t>
  </si>
  <si>
    <t>PNG</t>
  </si>
  <si>
    <t>POL</t>
  </si>
  <si>
    <t>Pre-demographic dividend</t>
  </si>
  <si>
    <t>PRI</t>
  </si>
  <si>
    <t>Korea, Dem. People's Rep.</t>
  </si>
  <si>
    <t>PRK</t>
  </si>
  <si>
    <t>PRT</t>
  </si>
  <si>
    <t>PRY</t>
  </si>
  <si>
    <t>West Bank and Gaza</t>
  </si>
  <si>
    <t>PSE</t>
  </si>
  <si>
    <t>Pacific island small states</t>
  </si>
  <si>
    <t>PSS</t>
  </si>
  <si>
    <t>Post-demographic dividend</t>
  </si>
  <si>
    <t>PST</t>
  </si>
  <si>
    <t>PYF</t>
  </si>
  <si>
    <t>QAT</t>
  </si>
  <si>
    <t>ROU</t>
  </si>
  <si>
    <t>RWA</t>
  </si>
  <si>
    <t>SAS</t>
  </si>
  <si>
    <t>SAU</t>
  </si>
  <si>
    <t>SDN</t>
  </si>
  <si>
    <t>SEN</t>
  </si>
  <si>
    <t>SGP</t>
  </si>
  <si>
    <t>SLB</t>
  </si>
  <si>
    <t>SLE</t>
  </si>
  <si>
    <t>SLV</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</si>
  <si>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</si>
  <si>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</si>
  <si>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</si>
  <si>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</si>
  <si>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</si>
  <si>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</si>
  <si>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</si>
  <si>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</si>
  <si>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</si>
  <si>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</si>
  <si>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</si>
  <si>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</si>
  <si>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</si>
  <si>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</si>
  <si>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</si>
  <si>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</si>
  <si>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</si>
  <si>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SXM</t>
  </si>
  <si>
    <t>SYC</t>
  </si>
  <si>
    <t>SYR</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</si>
  <si>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</si>
  <si>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</si>
  <si>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</si>
  <si>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</si>
  <si>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</si>
  <si>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</si>
  <si>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</si>
  <si>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</si>
  <si>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</si>
  <si>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</si>
  <si>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</si>
  <si>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</si>
  <si>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</si>
  <si>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</si>
  <si>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</si>
  <si>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</si>
  <si>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</si>
  <si>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</si>
  <si>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</si>
  <si>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</si>
  <si>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</si>
  <si>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</si>
  <si>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Turkiye</t>
  </si>
  <si>
    <t>TUR</t>
  </si>
  <si>
    <t>TUV</t>
  </si>
  <si>
    <t>Tanzania</t>
  </si>
  <si>
    <t>TZA</t>
  </si>
  <si>
    <t>UGA</t>
  </si>
  <si>
    <t>UKR</t>
  </si>
  <si>
    <t>Upper middle income</t>
  </si>
  <si>
    <t>UMC</t>
  </si>
  <si>
    <t>URY</t>
  </si>
  <si>
    <t>UZB</t>
  </si>
  <si>
    <t>St. Vincent and the Grenadines</t>
  </si>
  <si>
    <t>VCT</t>
  </si>
  <si>
    <t>Venezuela, RB</t>
  </si>
  <si>
    <t>VEN</t>
  </si>
  <si>
    <t>VGB</t>
  </si>
  <si>
    <t>Virgin Islands (U.S.)</t>
  </si>
  <si>
    <t>VIR</t>
  </si>
  <si>
    <t>VNM</t>
  </si>
  <si>
    <t>VUT</t>
  </si>
  <si>
    <t>World</t>
  </si>
  <si>
    <t>WLD</t>
  </si>
  <si>
    <t>WSM</t>
  </si>
  <si>
    <t>XKX</t>
  </si>
  <si>
    <t>Yemen, Rep.</t>
  </si>
  <si>
    <t>YEM</t>
  </si>
  <si>
    <t>ZAF</t>
  </si>
  <si>
    <t>ZMB</t>
  </si>
  <si>
    <t>ZWE</t>
  </si>
  <si>
    <t>MUSD2021/PJ</t>
  </si>
  <si>
    <t>MUSD2021/(PJ/y)</t>
  </si>
  <si>
    <t>PJ CommGrp /PJ CommName</t>
  </si>
  <si>
    <t>PJ/PJ</t>
  </si>
  <si>
    <t>PJ output / PJ input</t>
  </si>
  <si>
    <t>PJ CommGrp/PJ CommName</t>
  </si>
  <si>
    <t xml:space="preserve">PJ input / act </t>
  </si>
  <si>
    <t>year</t>
  </si>
  <si>
    <t>PJ-a</t>
  </si>
  <si>
    <t>Pja</t>
  </si>
  <si>
    <t>Pj-a</t>
  </si>
  <si>
    <t>HETD</t>
  </si>
  <si>
    <t>Correction for crude oil primary production</t>
  </si>
  <si>
    <t>COACOG</t>
  </si>
  <si>
    <t>Old data.</t>
  </si>
  <si>
    <t>COACOL</t>
  </si>
  <si>
    <t>UPSCOACOL</t>
  </si>
  <si>
    <t>MIN</t>
  </si>
  <si>
    <t>RSVWSN</t>
  </si>
  <si>
    <t>RSVWSR</t>
  </si>
  <si>
    <t>Biomass waste - reserve</t>
  </si>
  <si>
    <t>Waste - reserve</t>
  </si>
  <si>
    <t>Fuel cost</t>
  </si>
  <si>
    <t>MUSD/PJ</t>
  </si>
  <si>
    <t>(Fake) production costs (avoiding completely free production)</t>
  </si>
  <si>
    <t>COST</t>
  </si>
  <si>
    <t>Production price</t>
  </si>
  <si>
    <t>USD/GJ</t>
  </si>
  <si>
    <t>LOG TABLE</t>
  </si>
  <si>
    <t>Date</t>
  </si>
  <si>
    <t>TAB</t>
  </si>
  <si>
    <t>CELL(s)</t>
  </si>
  <si>
    <t>Description of the change</t>
  </si>
  <si>
    <t>C55</t>
  </si>
  <si>
    <t>C66-F71</t>
  </si>
  <si>
    <t>GASPIP replace by GASNAT</t>
  </si>
  <si>
    <t>Regasification input/output definition (instead of liquefaction)</t>
  </si>
  <si>
    <t>H2G</t>
  </si>
  <si>
    <t>Commodities</t>
  </si>
  <si>
    <t>C58</t>
  </si>
  <si>
    <t xml:space="preserve">Replace PIPHH2 by H2G </t>
  </si>
  <si>
    <t>Table 7.7 : Estimates of global gas reserves and ressources</t>
  </si>
  <si>
    <t>Category</t>
  </si>
  <si>
    <t>Low (P95), tcm</t>
  </si>
  <si>
    <t>Central (P50), tcm</t>
  </si>
  <si>
    <t>High (P5), tcm</t>
  </si>
  <si>
    <t>% difference</t>
  </si>
  <si>
    <t>Proved conventional
(non-associated) reserves</t>
  </si>
  <si>
    <t>Proved conventional
associated reserves</t>
  </si>
  <si>
    <t>Reserve additions (non- associated)</t>
  </si>
  <si>
    <t>Reserve additions (associated)</t>
  </si>
  <si>
    <t>Undiscovered natural gas</t>
  </si>
  <si>
    <t>Shale</t>
  </si>
  <si>
    <t>Tight</t>
  </si>
  <si>
    <t>CBM</t>
  </si>
  <si>
    <t>Proved</t>
  </si>
  <si>
    <t>Reserve additions</t>
  </si>
  <si>
    <t>Undiscovered + Other naturalgas type</t>
  </si>
  <si>
    <t>Reserves - FF</t>
  </si>
  <si>
    <t>Line 17-19</t>
  </si>
  <si>
    <t>Key inputs_Reserves</t>
  </si>
  <si>
    <t>Column I-J</t>
  </si>
  <si>
    <t>Added Natural gas reserves level</t>
  </si>
  <si>
    <t>H2-J2</t>
  </si>
  <si>
    <t>Update production cost</t>
  </si>
  <si>
    <t>ELCD</t>
  </si>
  <si>
    <t>C133</t>
  </si>
  <si>
    <t>Corrected ELCC in ELCD</t>
  </si>
  <si>
    <t>Period</t>
  </si>
  <si>
    <t>Traditional biomass</t>
  </si>
  <si>
    <t xml:space="preserve">From a OMNIA run wihout Biomass limits : </t>
  </si>
  <si>
    <t>Additional biomass data (from OMNIA runs) to calibrate MAGPIE outputs</t>
  </si>
  <si>
    <t>MAGPIE outputs</t>
  </si>
  <si>
    <t>MAGPIELink</t>
  </si>
  <si>
    <t>Biomass_Calibration</t>
  </si>
  <si>
    <t>Key input_Biomass_MAgPIE</t>
  </si>
  <si>
    <t>Add potential data and cost data from MAGPIE Link. Also add two new sheets MAGPIELink and Biomass_Calibration</t>
  </si>
  <si>
    <t>Biomass_calibration</t>
  </si>
  <si>
    <t>row 7</t>
  </si>
  <si>
    <t>Adjusted value for biomass potential calibration</t>
  </si>
  <si>
    <t>Key inputs reserves</t>
  </si>
  <si>
    <t>column E-H-K</t>
  </si>
  <si>
    <t>New assumptions on fossil fuel costs (to be checked)</t>
  </si>
  <si>
    <t>AC12,V12</t>
  </si>
  <si>
    <t>Added some potentials on coke oven transformation to get rid of small inmbalances with the demand</t>
  </si>
  <si>
    <t>Review natural gas reserves number and oil numbers (relaxed when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</si>
</sst>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5">
    <numFmt numFmtId="41" formatCode="_-* #,##0_-;\-* #,##0_-;_-* &quot;-&quot;_-;_-@_-"/>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_-* #,##0.00\ &quot;€&quot;_-;\-* #,##0.00\ &quot;€&quot;_-;_-* &quot;-&quot;??\ &quot;€&quot;_-;_-@_-"/>
    <numFmt numFmtId="168" formatCode="#,##0.0"/>
    <numFmt numFmtId="169" formatCode="0.0%"/>
    <numFmt numFmtId="170" formatCode="General_)"/>
    <numFmt numFmtId="171" formatCode="_-* #,##0.00\ _€_-;\-* #,##0.00\ _€_-;_-* &quot;-&quot;??\ _€_-;_-@_-"/>
    <numFmt numFmtId="172" formatCode="???,???.00"/>
    <numFmt numFmtId="173" formatCode="#,##0.0_i"/>
    <numFmt numFmtId="174" formatCode="#,##0.0000"/>
    <numFmt numFmtId="175" formatCode="&quot;L.&quot;\ #,##0;[Red]\-&quot;L.&quot;\ #,##0"/>
    <numFmt numFmtId="176" formatCode="&quot; &quot;General"/>
    <numFmt numFmtId="177" formatCode="_-&quot;$&quot;* #,##0.00_-;\-&quot;$&quot;* #,##0.00_-;_-&quot;$&quot;* &quot;-&quot;??_-;_-@_-"/>
    <numFmt numFmtId="178" formatCode="_([$€]* #,##0.00_);_([$€]* \(#,##0.00\);_([$€]* &quot;-&quot;??_);_(@_)"/>
    <numFmt numFmtId="179" formatCode="_([$€-2]* #,##0.00_);_([$€-2]* \(#,##0.00\);_([$€-2]* &quot;-&quot;??_)"/>
    <numFmt numFmtId="180" formatCode="_-[$€-2]\ * #,##0.00_-;\-[$€-2]\ * #,##0.00_-;_-[$€-2]\ * &quot;-&quot;??_-"/>
    <numFmt numFmtId="181" formatCode="_-&quot;€&quot;\ * #,##0.00_-;\-&quot;€&quot;\ * #,##0.00_-;_-&quot;€&quot;\ * &quot;-&quot;??_-;_-@_-"/>
    <numFmt numFmtId="182" formatCode="_-[$€]* #,##0.00_-;\-[$€]* #,##0.00_-;_-[$€]* &quot;-&quot;??_-;_-@_-"/>
    <numFmt numFmtId="183" formatCode="\(##\);\(##\)"/>
    <numFmt numFmtId="184" formatCode="#,##0;\-\ #,##0;_-\ &quot;- &quot;"/>
    <numFmt numFmtId="185" formatCode="_ * #,##0.00_ ;_ * \-#,##0.00_ ;_ * &quot;-&quot;??_ ;_ @_ "/>
    <numFmt numFmtId="186" formatCode="_ * #,##0_ ;_ * \-#,##0_ ;_ * &quot;-&quot;_ ;_ @_ "/>
    <numFmt numFmtId="187" formatCode="_ &quot;kr&quot;\ * #,##0_ ;_ &quot;kr&quot;\ * \-#,##0_ ;_ &quot;kr&quot;\ * &quot;-&quot;_ ;_ @_ "/>
    <numFmt numFmtId="188" formatCode="_ &quot;kr&quot;\ * #,##0.00_ ;_ &quot;kr&quot;\ * \-#,##0.00_ ;_ &quot;kr&quot;\ * &quot;-&quot;??_ ;_ @_ "/>
    <numFmt numFmtId="189" formatCode="_-[$€-2]* #,##0.00_-;\-[$€-2]* #,##0.00_-;_-[$€-2]* &quot;-&quot;??_-"/>
    <numFmt numFmtId="190" formatCode="[&gt;0.5]#,##0;[&lt;-0.5]\-#,##0;\-"/>
    <numFmt numFmtId="191" formatCode="_-* #,##0\ _F_-;\-* #,##0\ _F_-;_-* &quot;-&quot;\ _F_-;_-@_-"/>
    <numFmt numFmtId="192" formatCode="_-* #,##0.00\ _F_-;\-* #,##0.00\ _F_-;_-* &quot;-&quot;??\ _F_-;_-@_-"/>
    <numFmt numFmtId="193" formatCode="_-* #,##0\ &quot;F&quot;_-;\-* #,##0\ &quot;F&quot;_-;_-* &quot;-&quot;\ &quot;F&quot;_-;_-@_-"/>
    <numFmt numFmtId="194" formatCode="_-* #,##0.00\ &quot;F&quot;_-;\-* #,##0.00\ &quot;F&quot;_-;_-* &quot;-&quot;??\ &quot;F&quot;_-;_-@_-"/>
    <numFmt numFmtId="195" formatCode="#,##0.0;\-#,##0.0;&quot;-&quot;"/>
    <numFmt numFmtId="196" formatCode="[$-409]mmmm\ d\,\ yyyy;@"/>
    <numFmt numFmtId="197" formatCode="[&lt;-0.0005]\-0.0%;[&gt;0.0005]0.0%;#\♦"/>
    <numFmt numFmtId="198" formatCode="[&gt;0.05]0.0;[=0]\-;\^"/>
    <numFmt numFmtId="199" formatCode="_-* #,##0.0_-;\-* #,##0.0_-;_-* &quot;-&quot;?_-;_-@_-"/>
    <numFmt numFmtId="200" formatCode="[&lt;=500]0;[=0]\-;&quot;*&quot;"/>
    <numFmt numFmtId="201" formatCode="[&gt;=0.05]0;[=0]\-;\^"/>
    <numFmt numFmtId="202" formatCode="[&gt;=0.05]0.0;[=0]\-;\^"/>
    <numFmt numFmtId="203" formatCode="\Te\x\t"/>
    <numFmt numFmtId="204" formatCode="_(* #,##0.00000_);_(* \(#,##0.00000\);_(* &quot;-&quot;??_);_(@_)"/>
    <numFmt numFmtId="205" formatCode="#,##0.000"/>
    <numFmt numFmtId="206" formatCode="0.0"/>
    <numFmt numFmtId="207" formatCode="0.0;;"/>
    <numFmt numFmtId="208" formatCode="_(* #,##0.000_);_(* \(#,##0.000\);_(* &quot;-&quot;??_);_(@_)"/>
    <numFmt numFmtId="209" formatCode="_(* #,##0.0000_);_(* \(#,##0.0000\);_(* &quot;-&quot;??_);_(@_)"/>
    <numFmt numFmtId="210" formatCode="_(* #,##0.000000_);_(* \(#,##0.000000\);_(* &quot;-&quot;??_);_(@_)"/>
    <numFmt numFmtId="211" formatCode="0.000000000"/>
    <numFmt numFmtId="212" formatCode="_(* #,##0.0000000000000000_);_(* \(#,##0.0000000000000000\);_(* &quot;-&quot;??_);_(@_)"/>
    <numFmt numFmtId="213" formatCode="_(* #,##0.000000000_);_(* \(#,##0.000000000\);_(* &quot;-&quot;??_);_(@_)"/>
    <numFmt numFmtId="214" formatCode="_(* #,##0.000000000000000_);_(* \(#,##0.000000000000000\);_(* &quot;-&quot;??_);_(@_)"/>
    <numFmt numFmtId="215" formatCode="\ [$]mm/yyyy"/>
  </numFmts>
  <fonts count="26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8"/>
      <color theme="1"/>
      <name val="Calibri"/>
      <family val="2"/>
      <scheme val="minor"/>
    </font>
    <font>
      <sz val="11"/>
      <name val="Calibri"/>
      <family val="2"/>
      <scheme val="minor"/>
    </font>
    <font>
      <b/>
      <sz val="14"/>
      <color theme="1"/>
      <name val="Calibri"/>
      <family val="2"/>
      <scheme val="minor"/>
    </font>
    <font>
      <sz val="10"/>
      <color theme="1"/>
      <name val="Calibri"/>
      <family val="2"/>
      <scheme val="minor"/>
    </font>
    <font>
      <sz val="10"/>
      <name val="Arial"/>
      <family val="2"/>
    </font>
    <font>
      <b/>
      <sz val="12"/>
      <color theme="0"/>
      <name val="Calibri"/>
      <family val="2"/>
      <scheme val="minor"/>
    </font>
    <font>
      <sz val="12"/>
      <color theme="1"/>
      <name val="Calibri"/>
      <family val="2"/>
      <scheme val="minor"/>
    </font>
    <font>
      <b/>
      <u/>
      <sz val="11"/>
      <name val="Calibri"/>
      <family val="2"/>
      <scheme val="minor"/>
    </font>
    <font>
      <u/>
      <sz val="11"/>
      <color theme="10"/>
      <name val="Calibri"/>
      <family val="2"/>
      <scheme val="minor"/>
    </font>
    <font>
      <b/>
      <sz val="16"/>
      <color theme="1"/>
      <name val="Calibri"/>
      <family val="2"/>
      <scheme val="minor"/>
    </font>
    <font>
      <sz val="11"/>
      <color rgb="FFFF0000"/>
      <name val="Calibri"/>
      <family val="2"/>
      <scheme val="minor"/>
    </font>
    <font>
      <b/>
      <sz val="12"/>
      <color theme="1"/>
      <name val="Calibri"/>
      <family val="2"/>
      <scheme val="minor"/>
    </font>
    <font>
      <sz val="12"/>
      <name val="Calibri"/>
      <family val="2"/>
      <scheme val="minor"/>
    </font>
    <font>
      <b/>
      <sz val="9"/>
      <color indexed="81"/>
      <name val="Tahoma"/>
      <family val="2"/>
    </font>
    <font>
      <sz val="9"/>
      <color indexed="81"/>
      <name val="Tahoma"/>
      <family val="2"/>
    </font>
    <font>
      <b/>
      <sz val="11"/>
      <color theme="1"/>
      <name val="Calibri"/>
      <family val="2"/>
      <scheme val="minor"/>
    </font>
    <font>
      <sz val="11"/>
      <color rgb="FF000000"/>
      <name val="Calibri"/>
      <family val="2"/>
    </font>
    <font>
      <b/>
      <sz val="11"/>
      <color rgb="FFFF0000"/>
      <name val="Calibri"/>
      <family val="2"/>
      <scheme val="minor"/>
    </font>
    <font>
      <sz val="11"/>
      <color theme="1"/>
      <name val="Calibri"/>
      <family val="2"/>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11"/>
      <color theme="1"/>
      <name val="Calibri"/>
      <family val="2"/>
      <charset val="162"/>
      <scheme val="minor"/>
    </font>
    <font>
      <sz val="11"/>
      <color indexed="8"/>
      <name val="Calibri"/>
      <family val="2"/>
    </font>
    <font>
      <sz val="10"/>
      <name val="Arial"/>
      <family val="2"/>
      <charset val="162"/>
    </font>
    <font>
      <sz val="11"/>
      <color theme="1"/>
      <name val="Calibri"/>
      <family val="2"/>
      <charset val="1"/>
      <scheme val="minor"/>
    </font>
    <font>
      <sz val="9"/>
      <name val="Arial"/>
      <family val="2"/>
    </font>
    <font>
      <sz val="10"/>
      <name val="Courier"/>
      <family val="3"/>
    </font>
    <font>
      <b/>
      <sz val="9"/>
      <name val="Arial"/>
      <family val="2"/>
    </font>
    <font>
      <sz val="11"/>
      <color theme="1"/>
      <name val="Arial"/>
      <family val="2"/>
    </font>
    <font>
      <sz val="8"/>
      <name val="Arial"/>
      <family val="2"/>
    </font>
    <font>
      <b/>
      <sz val="12"/>
      <name val="Arial"/>
      <family val="2"/>
    </font>
    <font>
      <sz val="11"/>
      <name val="Arial"/>
      <family val="2"/>
    </font>
    <font>
      <sz val="11"/>
      <color rgb="FF9C6500"/>
      <name val="Calibri"/>
      <family val="2"/>
      <scheme val="minor"/>
    </font>
    <font>
      <sz val="10"/>
      <color indexed="8"/>
      <name val="Arial"/>
      <family val="2"/>
    </font>
    <font>
      <sz val="9"/>
      <name val="Times New Roman"/>
      <family val="1"/>
    </font>
    <font>
      <b/>
      <sz val="9"/>
      <name val="Times New Roman"/>
      <family val="1"/>
    </font>
    <font>
      <b/>
      <sz val="12"/>
      <name val="Times New Roman"/>
      <family val="1"/>
    </font>
    <font>
      <sz val="8"/>
      <name val="Helvetica"/>
      <family val="2"/>
    </font>
    <font>
      <sz val="10"/>
      <name val="MS Sans Serif"/>
      <family val="2"/>
    </font>
    <font>
      <sz val="10"/>
      <color rgb="FF000000"/>
      <name val="Courier"/>
      <family val="3"/>
    </font>
    <font>
      <sz val="10"/>
      <color theme="1"/>
      <name val="OfficinaSansITCPro Book"/>
      <family val="2"/>
    </font>
    <font>
      <sz val="11"/>
      <color indexed="8"/>
      <name val="Calibri"/>
      <family val="2"/>
      <charset val="238"/>
    </font>
    <font>
      <sz val="10"/>
      <name val="Arial Cyr"/>
      <charset val="204"/>
    </font>
    <font>
      <sz val="11"/>
      <color indexed="9"/>
      <name val="Calibri"/>
      <family val="2"/>
    </font>
    <font>
      <sz val="11"/>
      <color indexed="9"/>
      <name val="Calibri"/>
      <family val="2"/>
      <charset val="238"/>
    </font>
    <font>
      <sz val="9"/>
      <color indexed="8"/>
      <name val="Times New Roman"/>
      <family val="1"/>
    </font>
    <font>
      <sz val="12"/>
      <color indexed="8"/>
      <name val="Times New Roman"/>
      <family val="1"/>
    </font>
    <font>
      <b/>
      <i/>
      <sz val="11"/>
      <color rgb="FFFF0000"/>
      <name val="Calibri"/>
      <family val="2"/>
      <scheme val="minor"/>
    </font>
    <font>
      <b/>
      <sz val="11"/>
      <color indexed="63"/>
      <name val="Calibri"/>
      <family val="2"/>
    </font>
    <font>
      <sz val="11"/>
      <color indexed="10"/>
      <name val="Calibri"/>
      <family val="2"/>
    </font>
    <font>
      <sz val="11"/>
      <color indexed="20"/>
      <name val="Calibri"/>
      <family val="2"/>
    </font>
    <font>
      <b/>
      <sz val="11"/>
      <color indexed="52"/>
      <name val="Calibri"/>
      <family val="2"/>
    </font>
    <font>
      <sz val="11"/>
      <color indexed="62"/>
      <name val="Calibri"/>
      <family val="2"/>
      <charset val="238"/>
    </font>
    <font>
      <b/>
      <sz val="11"/>
      <color indexed="10"/>
      <name val="Calibri"/>
      <family val="2"/>
    </font>
    <font>
      <sz val="11"/>
      <color indexed="52"/>
      <name val="Calibri"/>
      <family val="2"/>
    </font>
    <font>
      <b/>
      <sz val="11"/>
      <color indexed="9"/>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0"/>
      <color indexed="56"/>
      <name val="Arial"/>
      <family val="2"/>
    </font>
    <font>
      <sz val="11"/>
      <color indexed="8"/>
      <name val="Arial"/>
      <family val="2"/>
    </font>
    <font>
      <sz val="11"/>
      <color indexed="62"/>
      <name val="Calibri"/>
      <family val="2"/>
    </font>
    <font>
      <b/>
      <sz val="11"/>
      <color indexed="9"/>
      <name val="Calibri"/>
      <family val="2"/>
      <charset val="238"/>
    </font>
    <font>
      <b/>
      <sz val="10"/>
      <name val="Arial"/>
      <family val="2"/>
    </font>
    <font>
      <i/>
      <sz val="8"/>
      <color indexed="38"/>
      <name val="Arial"/>
      <family val="2"/>
    </font>
    <font>
      <b/>
      <sz val="11"/>
      <color indexed="8"/>
      <name val="Calibri"/>
      <family val="2"/>
    </font>
    <font>
      <i/>
      <sz val="11"/>
      <color indexed="23"/>
      <name val="Calibri"/>
      <family val="2"/>
    </font>
    <font>
      <sz val="11"/>
      <color indexed="10"/>
      <name val="Calibri"/>
      <family val="2"/>
      <charset val="238"/>
    </font>
    <font>
      <sz val="11"/>
      <color indexed="17"/>
      <name val="Calibri"/>
      <family val="2"/>
    </font>
    <font>
      <sz val="14"/>
      <color indexed="9"/>
      <name val="Arial"/>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52"/>
      <name val="Calibri"/>
      <family val="2"/>
      <charset val="238"/>
    </font>
    <font>
      <u/>
      <sz val="10"/>
      <color indexed="12"/>
      <name val="Arial"/>
      <family val="2"/>
    </font>
    <font>
      <u/>
      <sz val="9.9"/>
      <color theme="10"/>
      <name val="Calibri"/>
      <family val="2"/>
    </font>
    <font>
      <u/>
      <sz val="11"/>
      <color theme="10"/>
      <name val="Calibri"/>
      <family val="2"/>
    </font>
    <font>
      <b/>
      <sz val="12"/>
      <color indexed="8"/>
      <name val="Times New Roman"/>
      <family val="1"/>
    </font>
    <font>
      <sz val="11"/>
      <color indexed="17"/>
      <name val="Calibri"/>
      <family val="2"/>
      <charset val="238"/>
    </font>
    <font>
      <b/>
      <sz val="11"/>
      <color indexed="63"/>
      <name val="Calibri"/>
      <family val="2"/>
      <charset val="238"/>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color theme="1"/>
      <name val="Calibri"/>
      <family val="2"/>
      <charset val="186"/>
      <scheme val="minor"/>
    </font>
    <font>
      <sz val="10"/>
      <name val="Myriad Pro"/>
      <family val="2"/>
    </font>
    <font>
      <sz val="12"/>
      <name val="Arial"/>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56"/>
      <name val="Cambria"/>
      <family val="2"/>
    </font>
    <font>
      <b/>
      <sz val="18"/>
      <color indexed="62"/>
      <name val="Cambria"/>
      <family val="2"/>
    </font>
    <font>
      <i/>
      <sz val="10"/>
      <name val="Arial"/>
      <family val="2"/>
    </font>
    <font>
      <u/>
      <sz val="10"/>
      <color indexed="12"/>
      <name val="Times New Roman"/>
      <family val="1"/>
    </font>
    <font>
      <u/>
      <sz val="12"/>
      <color indexed="20"/>
      <name val="宋体"/>
      <charset val="134"/>
    </font>
    <font>
      <u/>
      <sz val="12"/>
      <color indexed="20"/>
      <name val="??"/>
      <charset val="134"/>
    </font>
    <font>
      <sz val="10"/>
      <name val="Arial Cyr"/>
    </font>
    <font>
      <b/>
      <sz val="10"/>
      <color rgb="FFFA7D00"/>
      <name val="Calibri"/>
      <family val="2"/>
      <scheme val="minor"/>
    </font>
    <font>
      <b/>
      <i/>
      <sz val="10"/>
      <name val="Arial"/>
      <family val="2"/>
    </font>
    <font>
      <sz val="14"/>
      <name val="Arial"/>
      <family val="2"/>
    </font>
    <font>
      <u/>
      <sz val="10"/>
      <color indexed="12"/>
      <name val="Tahoma"/>
      <family val="2"/>
    </font>
    <font>
      <u/>
      <sz val="7.5"/>
      <color indexed="12"/>
      <name val="Arial"/>
      <family val="2"/>
    </font>
    <font>
      <sz val="10"/>
      <color rgb="FFFA7D00"/>
      <name val="Calibri"/>
      <family val="2"/>
      <scheme val="minor"/>
    </font>
    <font>
      <sz val="11"/>
      <color rgb="FF9C6500"/>
      <name val="Calibri"/>
      <family val="2"/>
      <charset val="161"/>
      <scheme val="minor"/>
    </font>
    <font>
      <sz val="10"/>
      <color theme="1"/>
      <name val="Arial"/>
      <family val="2"/>
    </font>
    <font>
      <i/>
      <sz val="12"/>
      <name val="Times New Roman"/>
      <family val="1"/>
    </font>
    <font>
      <b/>
      <sz val="18"/>
      <color indexed="56"/>
      <name val="Cambria"/>
      <family val="1"/>
    </font>
    <font>
      <sz val="11"/>
      <color rgb="FF3F3F76"/>
      <name val="Calibri"/>
      <family val="2"/>
    </font>
    <font>
      <sz val="11"/>
      <color theme="1"/>
      <name val="Arial Narrow"/>
      <family val="2"/>
    </font>
    <font>
      <b/>
      <sz val="16"/>
      <name val="Arial"/>
      <family val="2"/>
    </font>
    <font>
      <u/>
      <sz val="10"/>
      <color rgb="FF7654A3"/>
      <name val="Arial"/>
      <family val="2"/>
    </font>
    <font>
      <sz val="10"/>
      <name val="Arial"/>
      <family val="2"/>
      <charset val="161"/>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b/>
      <sz val="18"/>
      <color indexed="56"/>
      <name val="Cambria"/>
      <family val="2"/>
      <charset val="186"/>
    </font>
    <font>
      <b/>
      <sz val="11"/>
      <color indexed="8"/>
      <name val="Calibri"/>
      <family val="2"/>
      <charset val="186"/>
    </font>
    <font>
      <sz val="11"/>
      <color indexed="10"/>
      <name val="Calibri"/>
      <family val="2"/>
      <charset val="186"/>
    </font>
    <font>
      <u/>
      <sz val="10"/>
      <color indexed="12"/>
      <name val="Times New Roman"/>
      <family val="1"/>
      <charset val="186"/>
    </font>
    <font>
      <sz val="10"/>
      <name val="Arial"/>
      <family val="2"/>
      <charset val="204"/>
    </font>
    <font>
      <b/>
      <sz val="11"/>
      <color indexed="12"/>
      <name val="Arial"/>
      <family val="2"/>
      <charset val="204"/>
    </font>
    <font>
      <sz val="11"/>
      <color theme="1"/>
      <name val="Calibri"/>
      <family val="2"/>
      <charset val="161"/>
      <scheme val="minor"/>
    </font>
    <font>
      <sz val="11"/>
      <color theme="1"/>
      <name val="Calibri"/>
      <family val="2"/>
      <scheme val="minor"/>
    </font>
    <font>
      <b/>
      <sz val="14"/>
      <color theme="0"/>
      <name val="Calibri"/>
      <family val="2"/>
      <scheme val="minor"/>
    </font>
    <font>
      <b/>
      <sz val="16"/>
      <name val="Calibri"/>
      <family val="2"/>
      <scheme val="minor"/>
    </font>
    <font>
      <b/>
      <sz val="16"/>
      <color rgb="FFC00000"/>
      <name val="Calibri"/>
      <family val="2"/>
      <scheme val="minor"/>
    </font>
    <font>
      <sz val="11"/>
      <color rgb="FF000000"/>
      <name val="Aptos Narrow"/>
      <family val="2"/>
    </font>
    <font>
      <sz val="8"/>
      <color rgb="FFFF0000"/>
      <name val="Arial"/>
      <family val="2"/>
    </font>
    <font>
      <b/>
      <sz val="8"/>
      <name val="Arial"/>
      <family val="2"/>
    </font>
    <font>
      <b/>
      <sz val="10"/>
      <color rgb="FFC40D42"/>
      <name val="Arial"/>
      <family val="2"/>
    </font>
    <font>
      <u/>
      <sz val="8"/>
      <color indexed="12"/>
      <name val="Arial"/>
      <family val="2"/>
    </font>
    <font>
      <u/>
      <sz val="8"/>
      <color rgb="FF0000FF"/>
      <name val="Arial"/>
      <family val="2"/>
    </font>
    <font>
      <b/>
      <sz val="8"/>
      <color indexed="9"/>
      <name val="Arial"/>
      <family val="2"/>
    </font>
    <font>
      <b/>
      <sz val="8"/>
      <color theme="0"/>
      <name val="Arial"/>
      <family val="2"/>
    </font>
    <font>
      <sz val="8"/>
      <name val="Wingdings"/>
      <charset val="2"/>
    </font>
    <font>
      <b/>
      <sz val="10"/>
      <color rgb="FF74489D"/>
      <name val="Arial"/>
      <family val="2"/>
    </font>
    <font>
      <sz val="8"/>
      <color theme="1"/>
      <name val="Arial"/>
      <family val="2"/>
    </font>
    <font>
      <b/>
      <sz val="10"/>
      <color theme="1"/>
      <name val="Arial"/>
      <family val="2"/>
    </font>
    <font>
      <u/>
      <sz val="8"/>
      <color theme="10"/>
      <name val="Arial"/>
      <family val="2"/>
    </font>
    <font>
      <sz val="8"/>
      <name val="Arial"/>
      <family val="2"/>
      <charset val="2"/>
    </font>
    <font>
      <sz val="10"/>
      <color rgb="FF000000"/>
      <name val="Times New Roman"/>
      <family val="1"/>
    </font>
    <font>
      <sz val="11"/>
      <color rgb="FF000000"/>
      <name val="Calibri"/>
      <family val="2"/>
      <scheme val="minor"/>
    </font>
    <font>
      <b/>
      <sz val="11"/>
      <name val="Calibri"/>
      <family val="2"/>
      <scheme val="minor"/>
    </font>
    <font>
      <b/>
      <sz val="11"/>
      <color rgb="FFFFFFFF"/>
      <name val="Calibri"/>
      <family val="2"/>
      <scheme val="minor"/>
    </font>
    <font>
      <sz val="11"/>
      <color rgb="FF1C4263"/>
      <name val="Calibri"/>
      <family val="2"/>
      <scheme val="minor"/>
    </font>
    <font>
      <sz val="11"/>
      <color rgb="FFFFFFFF"/>
      <name val="Calibri"/>
      <family val="2"/>
      <scheme val="minor"/>
    </font>
    <font>
      <sz val="10"/>
      <name val="Calibri"/>
      <family val="2"/>
      <scheme val="minor"/>
    </font>
    <font>
      <b/>
      <sz val="20"/>
      <color theme="1"/>
      <name val="Calibri"/>
      <family val="2"/>
      <scheme val="minor"/>
    </font>
    <font>
      <b/>
      <sz val="11"/>
      <color indexed="12"/>
      <name val="Calibri"/>
      <family val="2"/>
      <scheme val="minor"/>
    </font>
    <font>
      <sz val="12"/>
      <color rgb="FFFF0000"/>
      <name val="Calibri"/>
      <family val="2"/>
      <scheme val="minor"/>
    </font>
    <font>
      <b/>
      <sz val="12"/>
      <color indexed="12"/>
      <name val="Calibri"/>
      <family val="2"/>
      <scheme val="minor"/>
    </font>
    <font>
      <sz val="8"/>
      <color indexed="81"/>
      <name val="Tahoma"/>
      <family val="2"/>
    </font>
    <font>
      <b/>
      <sz val="8"/>
      <color indexed="81"/>
      <name val="Tahoma"/>
      <family val="2"/>
    </font>
    <font>
      <b/>
      <sz val="12"/>
      <color rgb="FFFF0000"/>
      <name val="Calibri"/>
      <family val="2"/>
      <scheme val="minor"/>
    </font>
    <font>
      <sz val="10"/>
      <name val="Arial"/>
      <family val="2"/>
    </font>
    <font>
      <sz val="9.5"/>
      <name val="Cambria"/>
      <family val="1"/>
    </font>
    <font>
      <b/>
      <sz val="9.5"/>
      <name val="Cambria"/>
      <family val="1"/>
    </font>
    <font>
      <sz val="9"/>
      <name val="Cambria"/>
      <family val="1"/>
    </font>
    <font>
      <b/>
      <sz val="7.5"/>
      <name val="Tahoma"/>
      <family val="2"/>
    </font>
    <font>
      <b/>
      <sz val="7.5"/>
      <color rgb="FFFFFFFF"/>
      <name val="Tahoma"/>
      <family val="2"/>
    </font>
    <font>
      <sz val="7.5"/>
      <name val="Trebuchet MS"/>
      <family val="2"/>
    </font>
    <font>
      <sz val="7.5"/>
      <color rgb="FF1C4263"/>
      <name val="Trebuchet MS"/>
      <family val="2"/>
    </font>
    <font>
      <sz val="7.5"/>
      <color rgb="FF3175A7"/>
      <name val="Trebuchet MS"/>
      <family val="2"/>
    </font>
    <font>
      <sz val="11"/>
      <color theme="1"/>
      <name val="Calibri"/>
      <family val="2"/>
      <scheme val="minor"/>
    </font>
    <font>
      <sz val="10"/>
      <name val="Arial"/>
      <family val="2"/>
    </font>
    <font>
      <sz val="10"/>
      <name val="Arial"/>
      <family val="2"/>
    </font>
    <font>
      <sz val="11"/>
      <color rgb="FF9C5700"/>
      <name val="Calibri"/>
      <family val="2"/>
      <scheme val="minor"/>
    </font>
    <font>
      <sz val="10"/>
      <color rgb="FF000000"/>
      <name val="Times New Roman"/>
      <family val="1"/>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8"/>
      <name val="Arial"/>
      <family val="2"/>
    </font>
    <font>
      <sz val="9"/>
      <name val="Geneva"/>
    </font>
    <font>
      <sz val="7"/>
      <name val="Arial"/>
      <family val="2"/>
    </font>
    <font>
      <sz val="10"/>
      <color indexed="17"/>
      <name val="Arial"/>
      <family val="2"/>
    </font>
    <font>
      <sz val="8"/>
      <color indexed="8"/>
      <name val="Arial"/>
      <family val="2"/>
    </font>
    <font>
      <sz val="6"/>
      <name val="Arial"/>
      <family val="2"/>
    </font>
    <font>
      <sz val="7"/>
      <color indexed="8"/>
      <name val="Arial"/>
      <family val="2"/>
    </font>
    <font>
      <b/>
      <sz val="7"/>
      <color indexed="9"/>
      <name val="Arial"/>
      <family val="2"/>
    </font>
    <font>
      <sz val="6.5"/>
      <name val="Arial"/>
      <family val="2"/>
    </font>
    <font>
      <b/>
      <sz val="8.5"/>
      <color indexed="50"/>
      <name val="Arial"/>
      <family val="2"/>
    </font>
    <font>
      <b/>
      <sz val="7"/>
      <name val="Arial"/>
      <family val="2"/>
    </font>
    <font>
      <sz val="14"/>
      <color indexed="50"/>
      <name val="Arial"/>
      <family val="2"/>
    </font>
    <font>
      <i/>
      <sz val="12"/>
      <color theme="1"/>
      <name val="Calibri"/>
      <family val="2"/>
      <scheme val="minor"/>
    </font>
    <font>
      <sz val="8"/>
      <name val="Calibri"/>
      <family val="2"/>
      <scheme val="minor"/>
    </font>
    <font>
      <sz val="6"/>
      <name val="Calibri"/>
      <family val="1"/>
    </font>
    <font>
      <sz val="17"/>
      <color rgb="FF444444"/>
      <name val="Segoe UI"/>
      <family val="2"/>
    </font>
    <font>
      <sz val="10"/>
      <color rgb="FF000000"/>
      <name val="Arial"/>
      <family val="2"/>
    </font>
    <font>
      <sz val="8"/>
      <name val="Times"/>
    </font>
    <font>
      <sz val="11"/>
      <color theme="1"/>
      <name val="Calibri"/>
      <family val="2"/>
      <scheme val="minor"/>
    </font>
  </fonts>
  <fills count="112">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3"/>
        <bgColor indexed="64"/>
      </patternFill>
    </fill>
    <fill>
      <patternFill patternType="solid">
        <fgColor theme="4"/>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theme="3" tint="0.79998168889431442"/>
        <bgColor indexed="64"/>
      </patternFill>
    </fill>
    <fill>
      <patternFill patternType="solid">
        <fgColor indexed="47"/>
        <bgColor indexed="64"/>
      </patternFill>
    </fill>
    <fill>
      <patternFill patternType="solid">
        <fgColor theme="6" tint="0.59999389629810485"/>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7" tint="0.59999389629810485"/>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3"/>
      </patternFill>
    </fill>
    <fill>
      <patternFill patternType="solid">
        <fgColor indexed="11"/>
      </patternFill>
    </fill>
    <fill>
      <patternFill patternType="solid">
        <fgColor indexed="51"/>
      </patternFill>
    </fill>
    <fill>
      <patternFill patternType="solid">
        <fgColor indexed="5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41"/>
        <bgColor indexed="64"/>
      </patternFill>
    </fill>
    <fill>
      <patternFill patternType="solid">
        <fgColor indexed="9"/>
      </patternFill>
    </fill>
    <fill>
      <patternFill patternType="solid">
        <fgColor indexed="55"/>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indexed="55"/>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C2D69A"/>
        <bgColor indexed="64"/>
      </patternFill>
    </fill>
    <fill>
      <patternFill patternType="solid">
        <fgColor indexed="23"/>
        <bgColor indexed="64"/>
      </patternFill>
    </fill>
    <fill>
      <patternFill patternType="solid">
        <fgColor rgb="FF8EA9DB"/>
        <bgColor indexed="64"/>
      </patternFill>
    </fill>
    <fill>
      <patternFill patternType="solid">
        <fgColor theme="5" tint="0.39997558519241921"/>
        <bgColor indexed="64"/>
      </patternFill>
    </fill>
    <fill>
      <patternFill patternType="solid">
        <fgColor rgb="FFC6E0B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rgb="FFFDFDC5"/>
        <bgColor indexed="64"/>
      </patternFill>
    </fill>
    <fill>
      <patternFill patternType="solid">
        <fgColor rgb="FFFDFDC5"/>
        <bgColor rgb="FF000000"/>
      </patternFill>
    </fill>
    <fill>
      <patternFill patternType="solid">
        <fgColor theme="1" tint="0.499984740745262"/>
        <bgColor indexed="64"/>
      </patternFill>
    </fill>
    <fill>
      <patternFill patternType="solid">
        <fgColor rgb="FFC40D42"/>
        <bgColor indexed="64"/>
      </patternFill>
    </fill>
    <fill>
      <patternFill patternType="solid">
        <fgColor rgb="FF74489D"/>
        <bgColor indexed="64"/>
      </patternFill>
    </fill>
    <fill>
      <patternFill patternType="solid">
        <fgColor theme="1"/>
        <bgColor indexed="64"/>
      </patternFill>
    </fill>
    <fill>
      <patternFill patternType="solid">
        <fgColor rgb="FF3175A7"/>
      </patternFill>
    </fill>
    <fill>
      <patternFill patternType="solid">
        <fgColor rgb="FFE1E1E1"/>
      </patternFill>
    </fill>
    <fill>
      <patternFill patternType="solid">
        <fgColor theme="5"/>
      </patternFill>
    </fill>
    <fill>
      <patternFill patternType="solid">
        <fgColor theme="9"/>
        <bgColor indexed="64"/>
      </patternFill>
    </fill>
    <fill>
      <patternFill patternType="solid">
        <fgColor rgb="FFFF0000"/>
        <bgColor indexed="64"/>
      </patternFill>
    </fill>
    <fill>
      <patternFill patternType="solid">
        <fgColor rgb="FFFFFFCC"/>
        <bgColor indexed="64"/>
      </patternFill>
    </fill>
    <fill>
      <patternFill patternType="solid">
        <fgColor theme="7"/>
        <bgColor indexed="64"/>
      </patternFill>
    </fill>
    <fill>
      <patternFill patternType="solid">
        <fgColor theme="5" tint="0.59999389629810485"/>
        <bgColor indexed="64"/>
      </patternFill>
    </fill>
    <fill>
      <patternFill patternType="solid">
        <fgColor rgb="FF7030A0"/>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indexed="9"/>
        <bgColor indexed="64"/>
      </patternFill>
    </fill>
  </fills>
  <borders count="95">
    <border>
      <left/>
      <right/>
      <top/>
      <bottom/>
      <diagonal/>
    </border>
    <border>
      <left/>
      <right/>
      <top style="thin">
        <color theme="0"/>
      </top>
      <bottom style="medium">
        <color theme="0"/>
      </bottom>
      <diagonal/>
    </border>
    <border>
      <left/>
      <right/>
      <top/>
      <bottom style="thin">
        <color indexed="64"/>
      </bottom>
      <diagonal/>
    </border>
    <border>
      <left/>
      <right/>
      <top style="thin">
        <color indexed="64"/>
      </top>
      <bottom style="medium">
        <color indexed="64"/>
      </bottom>
      <diagonal/>
    </border>
    <border>
      <left/>
      <right/>
      <top style="medium">
        <color theme="0"/>
      </top>
      <bottom style="thin">
        <color indexed="64"/>
      </bottom>
      <diagonal/>
    </border>
    <border>
      <left style="thin">
        <color indexed="64"/>
      </left>
      <right style="thin">
        <color indexed="64"/>
      </right>
      <top style="thin">
        <color indexed="64"/>
      </top>
      <bottom style="thin">
        <color indexed="64"/>
      </bottom>
      <diagonal/>
    </border>
    <border>
      <left/>
      <right/>
      <top style="thin">
        <color theme="0"/>
      </top>
      <bottom/>
      <diagonal/>
    </border>
    <border>
      <left/>
      <right/>
      <top style="thin">
        <color indexed="64"/>
      </top>
      <bottom/>
      <diagonal/>
    </border>
    <border>
      <left/>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medium">
        <color theme="0"/>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3175A7"/>
      </left>
      <right/>
      <top/>
      <bottom/>
      <diagonal/>
    </border>
    <border>
      <left/>
      <right style="thin">
        <color rgb="FF3175A7"/>
      </right>
      <top/>
      <bottom/>
      <diagonal/>
    </border>
    <border>
      <left/>
      <right style="thin">
        <color rgb="FF000000"/>
      </right>
      <top/>
      <bottom style="thin">
        <color rgb="FF000000"/>
      </bottom>
      <diagonal/>
    </border>
    <border>
      <left/>
      <right style="thin">
        <color rgb="FF3175A7"/>
      </right>
      <top/>
      <bottom style="thin">
        <color rgb="FFFFFFFF"/>
      </bottom>
      <diagonal/>
    </border>
    <border>
      <left/>
      <right/>
      <top/>
      <bottom style="thin">
        <color rgb="FFFFFFFF"/>
      </bottom>
      <diagonal/>
    </border>
    <border>
      <left/>
      <right/>
      <top style="thin">
        <color rgb="FFFFFFFF"/>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top style="thin">
        <color indexed="64"/>
      </top>
      <bottom/>
      <diagonal/>
    </border>
    <border>
      <left/>
      <right/>
      <top style="thin">
        <color theme="9" tint="0.39997558519241921"/>
      </top>
      <bottom style="thin">
        <color theme="9" tint="0.399975585192419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thin">
        <color indexed="50"/>
      </bottom>
      <diagonal/>
    </border>
    <border>
      <left/>
      <right/>
      <top/>
      <bottom style="double">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style="thin">
        <color auto="1"/>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45962">
    <xf numFmtId="0" fontId="0" fillId="0" borderId="0"/>
    <xf numFmtId="0" fontId="29" fillId="0" borderId="0"/>
    <xf numFmtId="0" fontId="29" fillId="0" borderId="0"/>
    <xf numFmtId="0" fontId="29" fillId="0" borderId="0"/>
    <xf numFmtId="0" fontId="29" fillId="0" borderId="0"/>
    <xf numFmtId="0" fontId="35" fillId="0" borderId="0"/>
    <xf numFmtId="0" fontId="35" fillId="0" borderId="0"/>
    <xf numFmtId="0" fontId="35" fillId="0" borderId="0"/>
    <xf numFmtId="0" fontId="35" fillId="0" borderId="0"/>
    <xf numFmtId="0" fontId="28" fillId="0" borderId="0"/>
    <xf numFmtId="0" fontId="28" fillId="0" borderId="0"/>
    <xf numFmtId="0" fontId="35" fillId="0" borderId="0"/>
    <xf numFmtId="0" fontId="35"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7" fillId="0" borderId="0"/>
    <xf numFmtId="0" fontId="27" fillId="0" borderId="0"/>
    <xf numFmtId="0" fontId="27" fillId="0" borderId="0"/>
    <xf numFmtId="0" fontId="27"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26" fillId="0" borderId="0"/>
    <xf numFmtId="0" fontId="26" fillId="0" borderId="0"/>
    <xf numFmtId="0" fontId="26" fillId="0" borderId="0"/>
    <xf numFmtId="0" fontId="26" fillId="0" borderId="0"/>
    <xf numFmtId="43" fontId="35"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9" fillId="0" borderId="0" applyNumberFormat="0" applyFill="0" applyBorder="0" applyAlignment="0" applyProtection="0"/>
    <xf numFmtId="0" fontId="37" fillId="0" borderId="0"/>
    <xf numFmtId="0" fontId="25" fillId="0" borderId="0"/>
    <xf numFmtId="0" fontId="24" fillId="0" borderId="0"/>
    <xf numFmtId="0" fontId="23" fillId="0" borderId="0"/>
    <xf numFmtId="43" fontId="23" fillId="0" borderId="0" applyFont="0" applyFill="0" applyBorder="0" applyAlignment="0" applyProtection="0"/>
    <xf numFmtId="0" fontId="22" fillId="0" borderId="0"/>
    <xf numFmtId="0" fontId="37" fillId="0" borderId="0"/>
    <xf numFmtId="0" fontId="22" fillId="0" borderId="0"/>
    <xf numFmtId="0" fontId="49" fillId="0" borderId="0"/>
    <xf numFmtId="0" fontId="21" fillId="0" borderId="0"/>
    <xf numFmtId="0" fontId="20" fillId="0" borderId="0"/>
    <xf numFmtId="0" fontId="19" fillId="0" borderId="0"/>
    <xf numFmtId="43" fontId="19" fillId="0" borderId="0" applyFont="0" applyFill="0" applyBorder="0" applyAlignment="0" applyProtection="0"/>
    <xf numFmtId="0" fontId="52" fillId="12" borderId="15" applyNumberFormat="0" applyAlignment="0" applyProtection="0"/>
    <xf numFmtId="0" fontId="53" fillId="13" borderId="16" applyNumberFormat="0" applyAlignment="0" applyProtection="0"/>
    <xf numFmtId="0" fontId="54" fillId="13" borderId="15" applyNumberFormat="0" applyAlignment="0" applyProtection="0"/>
    <xf numFmtId="0" fontId="55" fillId="0" borderId="17" applyNumberFormat="0" applyFill="0" applyAlignment="0" applyProtection="0"/>
    <xf numFmtId="0" fontId="30" fillId="14" borderId="18" applyNumberFormat="0" applyAlignment="0" applyProtection="0"/>
    <xf numFmtId="0" fontId="41" fillId="0" borderId="0" applyNumberFormat="0" applyFill="0" applyBorder="0" applyAlignment="0" applyProtection="0"/>
    <xf numFmtId="0" fontId="18" fillId="0" borderId="0"/>
    <xf numFmtId="0" fontId="58" fillId="0" borderId="0"/>
    <xf numFmtId="9" fontId="18" fillId="0" borderId="0" applyFont="0" applyFill="0" applyBorder="0" applyAlignment="0" applyProtection="0"/>
    <xf numFmtId="9" fontId="58" fillId="0" borderId="0" applyFont="0" applyFill="0" applyBorder="0" applyAlignment="0" applyProtection="0"/>
    <xf numFmtId="0" fontId="18" fillId="0" borderId="0"/>
    <xf numFmtId="0" fontId="18" fillId="0" borderId="0"/>
    <xf numFmtId="0" fontId="18" fillId="0" borderId="0"/>
    <xf numFmtId="0" fontId="59" fillId="0" borderId="0" applyFill="0" applyProtection="0"/>
    <xf numFmtId="0" fontId="35" fillId="0" borderId="0"/>
    <xf numFmtId="0" fontId="60" fillId="0" borderId="0"/>
    <xf numFmtId="0" fontId="58" fillId="0" borderId="0"/>
    <xf numFmtId="0" fontId="60" fillId="0" borderId="0"/>
    <xf numFmtId="171" fontId="61" fillId="0" borderId="0" applyFont="0" applyFill="0" applyBorder="0" applyAlignment="0" applyProtection="0"/>
    <xf numFmtId="172" fontId="62" fillId="0" borderId="0" applyNumberFormat="0" applyProtection="0">
      <alignment horizontal="center" vertical="center"/>
    </xf>
    <xf numFmtId="9" fontId="61" fillId="0" borderId="0" applyFont="0" applyFill="0" applyBorder="0" applyAlignment="0" applyProtection="0"/>
    <xf numFmtId="0" fontId="60" fillId="0" borderId="0"/>
    <xf numFmtId="43" fontId="60" fillId="0" borderId="0" applyFont="0" applyFill="0" applyBorder="0" applyAlignment="0" applyProtection="0"/>
    <xf numFmtId="0" fontId="65" fillId="0" borderId="0"/>
    <xf numFmtId="43" fontId="65" fillId="0" borderId="0" applyFont="0" applyFill="0" applyBorder="0" applyAlignment="0" applyProtection="0"/>
    <xf numFmtId="0" fontId="60" fillId="0" borderId="0"/>
    <xf numFmtId="173" fontId="62" fillId="0" borderId="0" applyFill="0" applyBorder="0" applyProtection="0">
      <alignment horizontal="right"/>
    </xf>
    <xf numFmtId="0" fontId="68" fillId="0" borderId="0"/>
    <xf numFmtId="0" fontId="18" fillId="15" borderId="19" applyNumberFormat="0" applyFont="0" applyAlignment="0" applyProtection="0"/>
    <xf numFmtId="0" fontId="57" fillId="18" borderId="0" applyNumberFormat="0" applyBorder="0" applyAlignment="0" applyProtection="0"/>
    <xf numFmtId="0" fontId="57" fillId="21" borderId="0" applyNumberFormat="0" applyBorder="0" applyAlignment="0" applyProtection="0"/>
    <xf numFmtId="0" fontId="57" fillId="24" borderId="0" applyNumberFormat="0" applyBorder="0" applyAlignment="0" applyProtection="0"/>
    <xf numFmtId="0" fontId="57" fillId="27" borderId="0" applyNumberFormat="0" applyBorder="0" applyAlignment="0" applyProtection="0"/>
    <xf numFmtId="0" fontId="57" fillId="30" borderId="0" applyNumberFormat="0" applyBorder="0" applyAlignment="0" applyProtection="0"/>
    <xf numFmtId="0" fontId="57" fillId="33" borderId="0" applyNumberFormat="0" applyBorder="0" applyAlignment="0" applyProtection="0"/>
    <xf numFmtId="0" fontId="69" fillId="11" borderId="0" applyNumberFormat="0" applyBorder="0" applyAlignment="0" applyProtection="0"/>
    <xf numFmtId="49" fontId="71" fillId="0" borderId="23" applyNumberFormat="0" applyFont="0" applyFill="0" applyBorder="0" applyProtection="0">
      <alignment horizontal="left" vertical="center"/>
    </xf>
    <xf numFmtId="4" fontId="72" fillId="0" borderId="14" applyFill="0" applyBorder="0" applyProtection="0">
      <alignment horizontal="right" vertical="center"/>
    </xf>
    <xf numFmtId="0" fontId="73" fillId="0" borderId="0" applyNumberFormat="0" applyFill="0" applyBorder="0" applyAlignment="0" applyProtection="0"/>
    <xf numFmtId="4" fontId="71" fillId="0" borderId="5" applyFill="0" applyBorder="0" applyProtection="0">
      <alignment horizontal="right" vertical="center"/>
    </xf>
    <xf numFmtId="0" fontId="71" fillId="0" borderId="5" applyNumberFormat="0" applyFill="0" applyAlignment="0" applyProtection="0"/>
    <xf numFmtId="0" fontId="74" fillId="39" borderId="0" applyNumberFormat="0" applyFont="0" applyBorder="0" applyAlignment="0" applyProtection="0"/>
    <xf numFmtId="174" fontId="71" fillId="40" borderId="5" applyNumberFormat="0" applyFont="0" applyBorder="0" applyAlignment="0" applyProtection="0">
      <alignment horizontal="right" vertical="center"/>
    </xf>
    <xf numFmtId="170" fontId="63" fillId="0" borderId="0"/>
    <xf numFmtId="38" fontId="75" fillId="0" borderId="0" applyFont="0" applyFill="0" applyBorder="0" applyAlignment="0" applyProtection="0"/>
    <xf numFmtId="175" fontId="75" fillId="0" borderId="0" applyFont="0" applyFill="0" applyBorder="0" applyAlignment="0" applyProtection="0"/>
    <xf numFmtId="176" fontId="76" fillId="0" borderId="0"/>
    <xf numFmtId="0" fontId="77" fillId="0" borderId="0"/>
    <xf numFmtId="0" fontId="35" fillId="0" borderId="0"/>
    <xf numFmtId="9" fontId="35" fillId="0" borderId="0" applyFont="0" applyFill="0" applyBorder="0" applyAlignment="0" applyProtection="0"/>
    <xf numFmtId="0" fontId="18" fillId="0" borderId="0"/>
    <xf numFmtId="0" fontId="59" fillId="42" borderId="0" applyNumberFormat="0" applyBorder="0" applyAlignment="0" applyProtection="0"/>
    <xf numFmtId="0" fontId="59" fillId="43"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6" borderId="0" applyNumberFormat="0" applyBorder="0" applyAlignment="0" applyProtection="0"/>
    <xf numFmtId="0" fontId="59" fillId="44" borderId="0" applyNumberFormat="0" applyBorder="0" applyAlignment="0" applyProtection="0"/>
    <xf numFmtId="0" fontId="78" fillId="47" borderId="0" applyNumberFormat="0" applyBorder="0" applyAlignment="0" applyProtection="0"/>
    <xf numFmtId="0" fontId="78" fillId="48" borderId="0" applyNumberFormat="0" applyBorder="0" applyAlignment="0" applyProtection="0"/>
    <xf numFmtId="0" fontId="78" fillId="49" borderId="0" applyNumberFormat="0" applyBorder="0" applyAlignment="0" applyProtection="0"/>
    <xf numFmtId="0" fontId="78" fillId="50" borderId="0" applyNumberFormat="0" applyBorder="0" applyAlignment="0" applyProtection="0"/>
    <xf numFmtId="0" fontId="78" fillId="46" borderId="0" applyNumberFormat="0" applyBorder="0" applyAlignment="0" applyProtection="0"/>
    <xf numFmtId="0" fontId="78" fillId="45"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7"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59" fillId="46" borderId="0" applyNumberFormat="0" applyBorder="0" applyAlignment="0" applyProtection="0"/>
    <xf numFmtId="0" fontId="59" fillId="43"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6" borderId="0" applyNumberFormat="0" applyBorder="0" applyAlignment="0" applyProtection="0"/>
    <xf numFmtId="0" fontId="59" fillId="44" borderId="0" applyNumberFormat="0" applyBorder="0" applyAlignment="0" applyProtection="0"/>
    <xf numFmtId="0" fontId="78" fillId="42" borderId="0" applyNumberFormat="0" applyBorder="0" applyAlignment="0" applyProtection="0"/>
    <xf numFmtId="0" fontId="78" fillId="43" borderId="0" applyNumberFormat="0" applyBorder="0" applyAlignment="0" applyProtection="0"/>
    <xf numFmtId="0" fontId="78" fillId="52" borderId="0" applyNumberFormat="0" applyBorder="0" applyAlignment="0" applyProtection="0"/>
    <xf numFmtId="0" fontId="78" fillId="50" borderId="0" applyNumberFormat="0" applyBorder="0" applyAlignment="0" applyProtection="0"/>
    <xf numFmtId="0" fontId="78" fillId="42" borderId="0" applyNumberFormat="0" applyBorder="0" applyAlignment="0" applyProtection="0"/>
    <xf numFmtId="0" fontId="78" fillId="53"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52" borderId="0" applyNumberFormat="0" applyBorder="0" applyAlignment="0" applyProtection="0"/>
    <xf numFmtId="0" fontId="59" fillId="50" borderId="0" applyNumberFormat="0" applyBorder="0" applyAlignment="0" applyProtection="0"/>
    <xf numFmtId="0" fontId="59" fillId="42" borderId="0" applyNumberFormat="0" applyBorder="0" applyAlignment="0" applyProtection="0"/>
    <xf numFmtId="0" fontId="59" fillId="53" borderId="0" applyNumberFormat="0" applyBorder="0" applyAlignment="0" applyProtection="0"/>
    <xf numFmtId="0" fontId="79" fillId="0" borderId="0" applyNumberFormat="0" applyFont="0" applyFill="0" applyBorder="0" applyProtection="0">
      <alignment horizontal="left" vertical="center" indent="5"/>
    </xf>
    <xf numFmtId="0" fontId="80" fillId="46" borderId="0" applyNumberFormat="0" applyBorder="0" applyAlignment="0" applyProtection="0"/>
    <xf numFmtId="0" fontId="80" fillId="54" borderId="0" applyNumberFormat="0" applyBorder="0" applyAlignment="0" applyProtection="0"/>
    <xf numFmtId="0" fontId="80" fillId="53" borderId="0" applyNumberFormat="0" applyBorder="0" applyAlignment="0" applyProtection="0"/>
    <xf numFmtId="0" fontId="80" fillId="48" borderId="0" applyNumberFormat="0" applyBorder="0" applyAlignment="0" applyProtection="0"/>
    <xf numFmtId="0" fontId="80" fillId="46" borderId="0" applyNumberFormat="0" applyBorder="0" applyAlignment="0" applyProtection="0"/>
    <xf numFmtId="0" fontId="80" fillId="43" borderId="0" applyNumberFormat="0" applyBorder="0" applyAlignment="0" applyProtection="0"/>
    <xf numFmtId="0" fontId="81" fillId="55" borderId="0" applyNumberFormat="0" applyBorder="0" applyAlignment="0" applyProtection="0"/>
    <xf numFmtId="0" fontId="81" fillId="4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57" borderId="0" applyNumberFormat="0" applyBorder="0" applyAlignment="0" applyProtection="0"/>
    <xf numFmtId="0" fontId="81" fillId="58"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52" borderId="0" applyNumberFormat="0" applyBorder="0" applyAlignment="0" applyProtection="0"/>
    <xf numFmtId="0" fontId="57" fillId="24"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5" borderId="0" applyNumberFormat="0" applyBorder="0" applyAlignment="0" applyProtection="0"/>
    <xf numFmtId="0" fontId="80" fillId="43" borderId="0" applyNumberFormat="0" applyBorder="0" applyAlignment="0" applyProtection="0"/>
    <xf numFmtId="0" fontId="80" fillId="52"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8" borderId="0" applyNumberFormat="0" applyBorder="0" applyAlignment="0" applyProtection="0"/>
    <xf numFmtId="0" fontId="80" fillId="55" borderId="0" applyNumberFormat="0" applyBorder="0" applyAlignment="0" applyProtection="0"/>
    <xf numFmtId="0" fontId="80" fillId="43" borderId="0" applyNumberFormat="0" applyBorder="0" applyAlignment="0" applyProtection="0"/>
    <xf numFmtId="0" fontId="80" fillId="52"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8"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72" fillId="38" borderId="0" applyBorder="0" applyAlignment="0"/>
    <xf numFmtId="0" fontId="71" fillId="38" borderId="0" applyBorder="0">
      <alignment horizontal="right" vertical="center"/>
    </xf>
    <xf numFmtId="4" fontId="71" fillId="64" borderId="0" applyBorder="0">
      <alignment horizontal="right" vertical="center"/>
    </xf>
    <xf numFmtId="4" fontId="71" fillId="64" borderId="0" applyBorder="0">
      <alignment horizontal="right" vertical="center"/>
    </xf>
    <xf numFmtId="0" fontId="82" fillId="64" borderId="5">
      <alignment horizontal="right" vertical="center"/>
    </xf>
    <xf numFmtId="0" fontId="82" fillId="64" borderId="5">
      <alignment horizontal="right" vertical="center"/>
    </xf>
    <xf numFmtId="0" fontId="82" fillId="64" borderId="5">
      <alignment horizontal="right" vertical="center"/>
    </xf>
    <xf numFmtId="0" fontId="82" fillId="64" borderId="5">
      <alignment horizontal="right" vertical="center"/>
    </xf>
    <xf numFmtId="0" fontId="83" fillId="64" borderId="5">
      <alignment horizontal="right" vertical="center"/>
    </xf>
    <xf numFmtId="0" fontId="83" fillId="64" borderId="5">
      <alignment horizontal="right" vertical="center"/>
    </xf>
    <xf numFmtId="0" fontId="83" fillId="64" borderId="5">
      <alignment horizontal="right" vertical="center"/>
    </xf>
    <xf numFmtId="0" fontId="83" fillId="64"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4" fontId="82" fillId="36" borderId="5">
      <alignment horizontal="right" vertical="center"/>
    </xf>
    <xf numFmtId="0" fontId="82" fillId="36" borderId="24">
      <alignment horizontal="right" vertical="center"/>
    </xf>
    <xf numFmtId="0" fontId="82" fillId="36" borderId="23">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0" fillId="59" borderId="0" applyNumberFormat="0" applyBorder="0" applyAlignment="0" applyProtection="0"/>
    <xf numFmtId="0" fontId="80" fillId="61"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4" borderId="0" applyNumberFormat="0" applyBorder="0" applyAlignment="0" applyProtection="0"/>
    <xf numFmtId="0" fontId="84" fillId="34" borderId="0"/>
    <xf numFmtId="0" fontId="35" fillId="6" borderId="7">
      <alignment horizontal="center" vertical="center" wrapText="1"/>
    </xf>
    <xf numFmtId="0" fontId="35" fillId="6" borderId="7">
      <alignment horizontal="center" vertical="center" wrapText="1"/>
    </xf>
    <xf numFmtId="0" fontId="85" fillId="65" borderId="25" applyNumberFormat="0" applyAlignment="0" applyProtection="0"/>
    <xf numFmtId="0" fontId="86" fillId="0" borderId="0" applyNumberFormat="0" applyFill="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8" fillId="6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59" fillId="36" borderId="5"/>
    <xf numFmtId="0" fontId="59" fillId="36" borderId="5"/>
    <xf numFmtId="0" fontId="59" fillId="66" borderId="5"/>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86" fillId="0" borderId="29" applyNumberFormat="0" applyFill="0" applyAlignment="0" applyProtection="0"/>
    <xf numFmtId="1" fontId="18" fillId="69" borderId="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3" fillId="0" borderId="0" applyNumberFormat="0" applyFill="0" applyBorder="0" applyAlignment="0" applyProtection="0"/>
    <xf numFmtId="0" fontId="94" fillId="0" borderId="30" applyNumberFormat="0" applyFill="0" applyAlignment="0" applyProtection="0"/>
    <xf numFmtId="0" fontId="95" fillId="0" borderId="31"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0" applyNumberFormat="0" applyFill="0" applyBorder="0" applyAlignment="0" applyProtection="0"/>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0" fontId="80" fillId="59" borderId="0" applyNumberFormat="0" applyBorder="0" applyAlignment="0" applyProtection="0"/>
    <xf numFmtId="0" fontId="80" fillId="61"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4" borderId="0" applyNumberFormat="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97" fillId="0" borderId="0" applyFont="0" applyFill="0" applyBorder="0" applyAlignment="0" applyProtection="0"/>
    <xf numFmtId="43" fontId="59" fillId="0" borderId="0" applyFont="0" applyFill="0" applyBorder="0" applyAlignment="0" applyProtection="0"/>
    <xf numFmtId="43" fontId="97" fillId="0" borderId="0" applyFont="0" applyFill="0" applyBorder="0" applyAlignment="0" applyProtection="0"/>
    <xf numFmtId="43" fontId="59" fillId="0" borderId="0" applyFont="0" applyFill="0" applyBorder="0" applyAlignment="0" applyProtection="0"/>
    <xf numFmtId="43" fontId="97" fillId="0" borderId="0" applyFont="0" applyFill="0" applyBorder="0" applyAlignment="0" applyProtection="0"/>
    <xf numFmtId="43" fontId="59"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0" fontId="7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0" fontId="7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82" fillId="0" borderId="0" applyNumberFormat="0">
      <alignment horizontal="right"/>
    </xf>
    <xf numFmtId="177" fontId="35" fillId="0" borderId="0" applyFont="0" applyFill="0" applyBorder="0" applyAlignment="0" applyProtection="0"/>
    <xf numFmtId="0" fontId="71" fillId="36"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0" borderId="35">
      <alignment horizontal="left" vertical="center" wrapText="1" indent="2"/>
    </xf>
    <xf numFmtId="0" fontId="71" fillId="64" borderId="23">
      <alignment horizontal="left" vertical="center"/>
    </xf>
    <xf numFmtId="2" fontId="18" fillId="35" borderId="0"/>
    <xf numFmtId="0" fontId="35" fillId="4" borderId="0"/>
    <xf numFmtId="0" fontId="35" fillId="37" borderId="8">
      <alignment horizontal="center" vertical="center" wrapText="1"/>
    </xf>
    <xf numFmtId="0" fontId="35" fillId="37" borderId="8">
      <alignment horizontal="center" vertical="center" wrapText="1"/>
    </xf>
    <xf numFmtId="0" fontId="82" fillId="0" borderId="36">
      <alignment horizontal="left" vertical="top" wrapText="1"/>
    </xf>
    <xf numFmtId="3" fontId="99" fillId="0" borderId="33">
      <alignment horizontal="right" vertical="top"/>
    </xf>
    <xf numFmtId="0" fontId="100" fillId="70" borderId="37">
      <alignment horizontal="center" vertical="center" wrapText="1"/>
    </xf>
    <xf numFmtId="0" fontId="35" fillId="0" borderId="13"/>
    <xf numFmtId="0" fontId="101" fillId="45" borderId="26"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102" fillId="68" borderId="28" applyNumberFormat="0" applyAlignment="0" applyProtection="0"/>
    <xf numFmtId="0" fontId="79" fillId="0" borderId="9"/>
    <xf numFmtId="0" fontId="103" fillId="71" borderId="5">
      <alignment horizontal="centerContinuous" vertical="top" wrapText="1"/>
    </xf>
    <xf numFmtId="0" fontId="104" fillId="0" borderId="0">
      <alignment vertical="top" wrapText="1"/>
    </xf>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5" fillId="0" borderId="38" applyNumberFormat="0" applyFill="0" applyAlignment="0" applyProtection="0"/>
    <xf numFmtId="0" fontId="106" fillId="0" borderId="0" applyNumberForma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1"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81"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1"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1"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79" fontId="35" fillId="0" borderId="0" applyFont="0" applyFill="0" applyBorder="0" applyAlignment="0" applyProtection="0"/>
    <xf numFmtId="182"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2" fontId="35" fillId="0" borderId="0" applyFont="0" applyFill="0" applyBorder="0" applyAlignment="0" applyProtection="0"/>
    <xf numFmtId="179" fontId="35" fillId="0" borderId="0" applyFont="0" applyFill="0" applyBorder="0" applyAlignment="0" applyProtection="0"/>
    <xf numFmtId="181"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82"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82" fontId="35" fillId="0" borderId="0" applyFont="0" applyFill="0" applyBorder="0" applyAlignment="0" applyProtection="0"/>
    <xf numFmtId="0" fontId="59"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43" fontId="35" fillId="0" borderId="0" applyFont="0" applyFill="0" applyBorder="0" applyAlignment="0" applyProtection="0"/>
    <xf numFmtId="0" fontId="107" fillId="0" borderId="0" applyNumberForma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9" fillId="8" borderId="0">
      <alignment horizontal="left"/>
    </xf>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6" fillId="0" borderId="27" applyNumberFormat="0" applyFill="0" applyAlignment="0" applyProtection="0"/>
    <xf numFmtId="0" fontId="117"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4" fontId="71" fillId="0" borderId="0" applyBorder="0">
      <alignment horizontal="right" vertical="center"/>
    </xf>
    <xf numFmtId="174" fontId="71" fillId="0" borderId="0" applyBorder="0">
      <alignment horizontal="right" vertical="center"/>
    </xf>
    <xf numFmtId="0" fontId="71" fillId="0" borderId="5">
      <alignment horizontal="right" vertical="center"/>
    </xf>
    <xf numFmtId="0" fontId="71" fillId="0" borderId="5">
      <alignment horizontal="right" vertical="center"/>
    </xf>
    <xf numFmtId="0" fontId="71" fillId="0" borderId="5">
      <alignment horizontal="right" vertical="center"/>
    </xf>
    <xf numFmtId="0" fontId="71" fillId="0" borderId="5">
      <alignment horizontal="right" vertical="center"/>
    </xf>
    <xf numFmtId="0" fontId="87" fillId="50" borderId="0" applyNumberFormat="0" applyBorder="0" applyAlignment="0" applyProtection="0"/>
    <xf numFmtId="1" fontId="120" fillId="64" borderId="0" applyBorder="0">
      <alignment horizontal="right" vertical="center"/>
    </xf>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81" fillId="59" borderId="0" applyNumberFormat="0" applyBorder="0" applyAlignment="0" applyProtection="0"/>
    <xf numFmtId="0" fontId="81" fillId="61" borderId="0" applyNumberFormat="0" applyBorder="0" applyAlignment="0" applyProtection="0"/>
    <xf numFmtId="0" fontId="81" fillId="62" borderId="0" applyNumberFormat="0" applyBorder="0" applyAlignment="0" applyProtection="0"/>
    <xf numFmtId="0" fontId="81" fillId="56" borderId="0" applyNumberFormat="0" applyBorder="0" applyAlignment="0" applyProtection="0"/>
    <xf numFmtId="0" fontId="81" fillId="57" borderId="0" applyNumberFormat="0" applyBorder="0" applyAlignment="0" applyProtection="0"/>
    <xf numFmtId="0" fontId="81" fillId="54" borderId="0" applyNumberFormat="0" applyBorder="0" applyAlignment="0" applyProtection="0"/>
    <xf numFmtId="0" fontId="121" fillId="49" borderId="0" applyNumberFormat="0" applyBorder="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73" fillId="0" borderId="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123" fillId="0" borderId="0" applyNumberFormat="0" applyFill="0" applyBorder="0" applyAlignment="0" applyProtection="0"/>
    <xf numFmtId="0" fontId="124" fillId="51" borderId="0" applyNumberFormat="0" applyBorder="0" applyAlignment="0" applyProtection="0"/>
    <xf numFmtId="0" fontId="69" fillId="1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6" fillId="51" borderId="0" applyNumberFormat="0" applyBorder="0" applyAlignment="0" applyProtection="0"/>
    <xf numFmtId="0" fontId="125"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69" fillId="1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27"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164" fontId="128" fillId="0" borderId="0">
      <alignment vertical="center"/>
    </xf>
    <xf numFmtId="0" fontId="18" fillId="0" borderId="0"/>
    <xf numFmtId="0" fontId="18" fillId="0" borderId="0"/>
    <xf numFmtId="0" fontId="18" fillId="0" borderId="0"/>
    <xf numFmtId="0" fontId="18" fillId="0" borderId="0"/>
    <xf numFmtId="164" fontId="128" fillId="0" borderId="0">
      <alignment vertical="center"/>
    </xf>
    <xf numFmtId="164" fontId="128" fillId="0" borderId="0">
      <alignment vertical="center"/>
    </xf>
    <xf numFmtId="164" fontId="128" fillId="0" borderId="0">
      <alignment vertical="center"/>
    </xf>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4" fontId="128" fillId="0" borderId="0">
      <alignment vertical="center"/>
    </xf>
    <xf numFmtId="164" fontId="128" fillId="0" borderId="0">
      <alignment vertical="center"/>
    </xf>
    <xf numFmtId="164" fontId="128" fillId="0" borderId="0">
      <alignment vertical="center"/>
    </xf>
    <xf numFmtId="164" fontId="128" fillId="0" borderId="0">
      <alignment vertic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164" fontId="128" fillId="0" borderId="0">
      <alignment vertical="center"/>
    </xf>
    <xf numFmtId="164" fontId="128" fillId="0" borderId="0">
      <alignment vertical="center"/>
    </xf>
    <xf numFmtId="164" fontId="128" fillId="0" borderId="0">
      <alignment vertical="center"/>
    </xf>
    <xf numFmtId="164" fontId="128"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9" fontId="128" fillId="0" borderId="0">
      <alignment vertical="center"/>
    </xf>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169" fontId="128" fillId="0" borderId="0">
      <alignment vertical="center"/>
    </xf>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29"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62"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30"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31" fillId="0" borderId="0"/>
    <xf numFmtId="0" fontId="35" fillId="0" borderId="0"/>
    <xf numFmtId="0" fontId="132" fillId="0" borderId="0"/>
    <xf numFmtId="0" fontId="35" fillId="0" borderId="0"/>
    <xf numFmtId="0" fontId="131" fillId="0" borderId="0"/>
    <xf numFmtId="0" fontId="35" fillId="0" borderId="0"/>
    <xf numFmtId="0" fontId="133"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6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35" fillId="0" borderId="0"/>
    <xf numFmtId="0" fontId="35" fillId="0" borderId="0"/>
    <xf numFmtId="0" fontId="59"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18" fillId="0" borderId="0"/>
    <xf numFmtId="0" fontId="35" fillId="0" borderId="0"/>
    <xf numFmtId="0" fontId="35" fillId="0" borderId="0"/>
    <xf numFmtId="0" fontId="18" fillId="0" borderId="0"/>
    <xf numFmtId="0" fontId="35" fillId="0" borderId="0"/>
    <xf numFmtId="0" fontId="18" fillId="0" borderId="0"/>
    <xf numFmtId="0" fontId="18" fillId="0" borderId="0"/>
    <xf numFmtId="0" fontId="35" fillId="0" borderId="0"/>
    <xf numFmtId="0" fontId="18" fillId="0" borderId="0"/>
    <xf numFmtId="0" fontId="35" fillId="0" borderId="0"/>
    <xf numFmtId="0" fontId="35" fillId="0" borderId="0" applyNumberFormat="0" applyFont="0" applyFill="0" applyBorder="0" applyAlignment="0" applyProtection="0"/>
    <xf numFmtId="0" fontId="35" fillId="0" borderId="0"/>
    <xf numFmtId="0" fontId="35" fillId="0" borderId="0" applyNumberFormat="0" applyFont="0" applyFill="0" applyBorder="0" applyAlignment="0" applyProtection="0"/>
    <xf numFmtId="0" fontId="35" fillId="0" borderId="0" applyNumberFormat="0" applyFont="0" applyFill="0" applyBorder="0" applyAlignment="0" applyProtection="0"/>
    <xf numFmtId="0" fontId="35" fillId="0" borderId="0" applyNumberFormat="0" applyFont="0" applyFill="0" applyBorder="0" applyAlignment="0" applyProtection="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3" fillId="0" borderId="0"/>
    <xf numFmtId="0" fontId="133" fillId="0" borderId="0"/>
    <xf numFmtId="0" fontId="133" fillId="0" borderId="0"/>
    <xf numFmtId="0" fontId="35" fillId="0" borderId="0"/>
    <xf numFmtId="0" fontId="35" fillId="0" borderId="0"/>
    <xf numFmtId="0" fontId="35" fillId="0" borderId="0"/>
    <xf numFmtId="0" fontId="133" fillId="0" borderId="0"/>
    <xf numFmtId="0" fontId="35" fillId="0" borderId="0"/>
    <xf numFmtId="0" fontId="18" fillId="0" borderId="0"/>
    <xf numFmtId="0" fontId="18" fillId="0" borderId="0"/>
    <xf numFmtId="0" fontId="18" fillId="0" borderId="0"/>
    <xf numFmtId="0" fontId="18" fillId="0" borderId="0"/>
    <xf numFmtId="0" fontId="35" fillId="0" borderId="0"/>
    <xf numFmtId="0" fontId="59" fillId="0" borderId="0"/>
    <xf numFmtId="0" fontId="18" fillId="0" borderId="0"/>
    <xf numFmtId="0" fontId="35" fillId="0" borderId="0"/>
    <xf numFmtId="0" fontId="18" fillId="0" borderId="0"/>
    <xf numFmtId="0" fontId="35" fillId="0" borderId="0"/>
    <xf numFmtId="0" fontId="35" fillId="0" borderId="0"/>
    <xf numFmtId="0" fontId="18"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18" fillId="0" borderId="0"/>
    <xf numFmtId="0" fontId="35" fillId="0" borderId="0"/>
    <xf numFmtId="0" fontId="35" fillId="0" borderId="0"/>
    <xf numFmtId="0" fontId="18" fillId="0" borderId="0"/>
    <xf numFmtId="0" fontId="59" fillId="0" borderId="0"/>
    <xf numFmtId="0" fontId="18" fillId="0" borderId="0"/>
    <xf numFmtId="0" fontId="18" fillId="0" borderId="0"/>
    <xf numFmtId="0" fontId="35" fillId="0" borderId="0"/>
    <xf numFmtId="0" fontId="35" fillId="0" borderId="0"/>
    <xf numFmtId="0" fontId="35" fillId="0" borderId="0"/>
    <xf numFmtId="0" fontId="18" fillId="0" borderId="0"/>
    <xf numFmtId="0" fontId="35" fillId="0" borderId="0"/>
    <xf numFmtId="0" fontId="35"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9"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59"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170" fontId="128" fillId="0" borderId="0">
      <alignment vertical="center"/>
    </xf>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3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35" fillId="0" borderId="0"/>
    <xf numFmtId="0" fontId="59"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6" fillId="0" borderId="0"/>
    <xf numFmtId="0" fontId="59" fillId="0" borderId="0"/>
    <xf numFmtId="0" fontId="66" fillId="0" borderId="0"/>
    <xf numFmtId="0" fontId="35"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59"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59"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9" fillId="0" borderId="0"/>
    <xf numFmtId="0" fontId="35" fillId="0" borderId="0"/>
    <xf numFmtId="0" fontId="59"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applyNumberFormat="0" applyFont="0" applyFill="0" applyBorder="0" applyProtection="0">
      <alignment vertical="center"/>
    </xf>
    <xf numFmtId="0" fontId="18" fillId="0" borderId="0" applyNumberFormat="0" applyFont="0" applyFill="0" applyBorder="0" applyProtection="0">
      <alignment vertical="center"/>
    </xf>
    <xf numFmtId="0" fontId="35" fillId="0" borderId="0"/>
    <xf numFmtId="0" fontId="18" fillId="0" borderId="0" applyNumberFormat="0" applyFont="0" applyFill="0" applyBorder="0" applyProtection="0">
      <alignment vertical="center"/>
    </xf>
    <xf numFmtId="0" fontId="18" fillId="0" borderId="0"/>
    <xf numFmtId="0" fontId="18" fillId="0" borderId="0" applyNumberFormat="0" applyFont="0" applyFill="0" applyBorder="0" applyProtection="0">
      <alignment vertical="center"/>
    </xf>
    <xf numFmtId="0" fontId="18" fillId="0" borderId="0" applyNumberFormat="0" applyFont="0" applyFill="0" applyBorder="0" applyProtection="0">
      <alignment vertical="center"/>
    </xf>
    <xf numFmtId="0" fontId="18" fillId="0" borderId="0" applyNumberFormat="0" applyFont="0" applyFill="0" applyBorder="0" applyProtection="0">
      <alignment vertical="center"/>
    </xf>
    <xf numFmtId="0" fontId="59" fillId="0" borderId="0"/>
    <xf numFmtId="0" fontId="134"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34" fillId="0" borderId="0"/>
    <xf numFmtId="0" fontId="35" fillId="0" borderId="0"/>
    <xf numFmtId="0" fontId="18"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5" fillId="0" borderId="0"/>
    <xf numFmtId="0" fontId="135" fillId="0" borderId="0"/>
    <xf numFmtId="0" fontId="135" fillId="0" borderId="0"/>
    <xf numFmtId="0" fontId="135" fillId="0" borderId="0"/>
    <xf numFmtId="0" fontId="135" fillId="0" borderId="0"/>
    <xf numFmtId="0" fontId="135" fillId="0" borderId="0"/>
    <xf numFmtId="0" fontId="35" fillId="0" borderId="0"/>
    <xf numFmtId="0" fontId="35" fillId="0" borderId="0"/>
    <xf numFmtId="0" fontId="35" fillId="0" borderId="0"/>
    <xf numFmtId="0" fontId="135" fillId="0" borderId="0"/>
    <xf numFmtId="0" fontId="35" fillId="0" borderId="0"/>
    <xf numFmtId="0" fontId="35" fillId="0" borderId="0"/>
    <xf numFmtId="0" fontId="35" fillId="0" borderId="0"/>
    <xf numFmtId="0" fontId="35" fillId="0" borderId="0"/>
    <xf numFmtId="0" fontId="35" fillId="0" borderId="0"/>
    <xf numFmtId="0" fontId="135" fillId="0" borderId="0"/>
    <xf numFmtId="0" fontId="35" fillId="0" borderId="0"/>
    <xf numFmtId="0" fontId="135" fillId="0" borderId="0"/>
    <xf numFmtId="0" fontId="135" fillId="0" borderId="0"/>
    <xf numFmtId="0" fontId="135" fillId="0" borderId="0"/>
    <xf numFmtId="0" fontId="135" fillId="0" borderId="0"/>
    <xf numFmtId="0" fontId="135"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5" fillId="0" borderId="0"/>
    <xf numFmtId="0" fontId="18" fillId="0" borderId="0"/>
    <xf numFmtId="0" fontId="18" fillId="0" borderId="0"/>
    <xf numFmtId="0" fontId="18" fillId="0" borderId="0"/>
    <xf numFmtId="0" fontId="18" fillId="0" borderId="0"/>
    <xf numFmtId="0" fontId="35" fillId="0" borderId="0"/>
    <xf numFmtId="0" fontId="59" fillId="0" borderId="0"/>
    <xf numFmtId="0" fontId="135" fillId="0" borderId="0"/>
    <xf numFmtId="0" fontId="35" fillId="0" borderId="0"/>
    <xf numFmtId="0" fontId="35" fillId="0" borderId="0"/>
    <xf numFmtId="0" fontId="35" fillId="0" borderId="0"/>
    <xf numFmtId="0" fontId="35" fillId="0" borderId="0"/>
    <xf numFmtId="0" fontId="18" fillId="0" borderId="0"/>
    <xf numFmtId="0" fontId="135" fillId="0" borderId="0"/>
    <xf numFmtId="0" fontId="135" fillId="0" borderId="0"/>
    <xf numFmtId="0" fontId="35" fillId="0" borderId="0"/>
    <xf numFmtId="0" fontId="135" fillId="0" borderId="0"/>
    <xf numFmtId="0" fontId="135" fillId="0" borderId="0"/>
    <xf numFmtId="0" fontId="1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5" fillId="0" borderId="0"/>
    <xf numFmtId="0" fontId="135" fillId="0" borderId="0"/>
    <xf numFmtId="0" fontId="135" fillId="0" borderId="0"/>
    <xf numFmtId="0" fontId="135" fillId="0" borderId="0"/>
    <xf numFmtId="0" fontId="135" fillId="0" borderId="0"/>
    <xf numFmtId="0" fontId="135" fillId="0" borderId="0"/>
    <xf numFmtId="0" fontId="35" fillId="0" borderId="0"/>
    <xf numFmtId="0" fontId="35" fillId="0" borderId="0"/>
    <xf numFmtId="0" fontId="135" fillId="0" borderId="0"/>
    <xf numFmtId="0" fontId="135" fillId="0" borderId="0"/>
    <xf numFmtId="0" fontId="18" fillId="0" borderId="0"/>
    <xf numFmtId="0" fontId="135" fillId="0" borderId="0"/>
    <xf numFmtId="0" fontId="135" fillId="0" borderId="0"/>
    <xf numFmtId="0" fontId="35" fillId="0" borderId="0"/>
    <xf numFmtId="0" fontId="18" fillId="0" borderId="0"/>
    <xf numFmtId="0" fontId="18" fillId="0" borderId="0"/>
    <xf numFmtId="0" fontId="135" fillId="0" borderId="0"/>
    <xf numFmtId="0" fontId="135" fillId="0" borderId="0"/>
    <xf numFmtId="0" fontId="18" fillId="0" borderId="0"/>
    <xf numFmtId="0" fontId="135" fillId="0" borderId="0"/>
    <xf numFmtId="0" fontId="135" fillId="0" borderId="0"/>
    <xf numFmtId="0" fontId="135" fillId="0" borderId="0"/>
    <xf numFmtId="0" fontId="35" fillId="0" borderId="0"/>
    <xf numFmtId="0" fontId="135" fillId="0" borderId="0"/>
    <xf numFmtId="0" fontId="18" fillId="0" borderId="0"/>
    <xf numFmtId="0" fontId="18" fillId="0" borderId="0"/>
    <xf numFmtId="0" fontId="18" fillId="0" borderId="0"/>
    <xf numFmtId="0" fontId="18" fillId="0" borderId="0"/>
    <xf numFmtId="0" fontId="59" fillId="0" borderId="0"/>
    <xf numFmtId="0" fontId="35" fillId="0" borderId="0"/>
    <xf numFmtId="0" fontId="59" fillId="0" borderId="0"/>
    <xf numFmtId="0" fontId="18" fillId="0" borderId="0"/>
    <xf numFmtId="0" fontId="18" fillId="0" borderId="0"/>
    <xf numFmtId="0" fontId="35" fillId="0" borderId="0"/>
    <xf numFmtId="0" fontId="18" fillId="0" borderId="0"/>
    <xf numFmtId="0" fontId="35" fillId="0" borderId="0"/>
    <xf numFmtId="0" fontId="18" fillId="0" borderId="0"/>
    <xf numFmtId="0" fontId="135" fillId="0" borderId="0"/>
    <xf numFmtId="0" fontId="35" fillId="0" borderId="0"/>
    <xf numFmtId="0" fontId="135" fillId="0" borderId="0"/>
    <xf numFmtId="0" fontId="135" fillId="0" borderId="0"/>
    <xf numFmtId="0" fontId="135" fillId="0" borderId="0"/>
    <xf numFmtId="0" fontId="135" fillId="0" borderId="0"/>
    <xf numFmtId="0" fontId="135" fillId="0" borderId="0"/>
    <xf numFmtId="0" fontId="35" fillId="0" borderId="0"/>
    <xf numFmtId="0" fontId="35" fillId="0" borderId="0"/>
    <xf numFmtId="0" fontId="35" fillId="0" borderId="0"/>
    <xf numFmtId="0" fontId="35" fillId="0" borderId="0"/>
    <xf numFmtId="0" fontId="35" fillId="0" borderId="0"/>
    <xf numFmtId="0" fontId="59"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59" fillId="0" borderId="0"/>
    <xf numFmtId="0" fontId="35"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59"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9"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applyNumberFormat="0" applyFont="0" applyFill="0" applyBorder="0" applyAlignment="0" applyProtection="0"/>
    <xf numFmtId="0" fontId="18" fillId="0" borderId="0"/>
    <xf numFmtId="0" fontId="18" fillId="0" borderId="0"/>
    <xf numFmtId="0" fontId="18" fillId="0" borderId="0"/>
    <xf numFmtId="0" fontId="35" fillId="0" borderId="0"/>
    <xf numFmtId="0" fontId="59" fillId="0" borderId="0"/>
    <xf numFmtId="0" fontId="35" fillId="0" borderId="0"/>
    <xf numFmtId="0" fontId="18" fillId="0" borderId="0"/>
    <xf numFmtId="0" fontId="59"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applyNumberFormat="0" applyFont="0" applyFill="0" applyBorder="0" applyAlignment="0" applyProtection="0"/>
    <xf numFmtId="0" fontId="35" fillId="0" borderId="0"/>
    <xf numFmtId="0" fontId="35" fillId="0" borderId="0"/>
    <xf numFmtId="0" fontId="59" fillId="0" borderId="0"/>
    <xf numFmtId="0" fontId="35" fillId="0" borderId="0"/>
    <xf numFmtId="0" fontId="18" fillId="0" borderId="0"/>
    <xf numFmtId="0" fontId="35" fillId="0" borderId="0"/>
    <xf numFmtId="0" fontId="18" fillId="0" borderId="0"/>
    <xf numFmtId="0" fontId="18" fillId="0" borderId="0"/>
    <xf numFmtId="0" fontId="18" fillId="0" borderId="0"/>
    <xf numFmtId="0" fontId="35" fillId="0" borderId="0"/>
    <xf numFmtId="0" fontId="18"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59"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0"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0" fontId="72" fillId="0" borderId="0" applyNumberFormat="0" applyFill="0" applyBorder="0" applyProtection="0">
      <alignment horizontal="left" vertical="center"/>
    </xf>
    <xf numFmtId="0" fontId="71" fillId="0" borderId="5" applyNumberFormat="0" applyFill="0" applyAlignment="0" applyProtection="0"/>
    <xf numFmtId="0" fontId="71" fillId="0" borderId="5" applyNumberFormat="0" applyFill="0" applyAlignment="0" applyProtection="0"/>
    <xf numFmtId="0" fontId="71" fillId="0" borderId="5" applyNumberFormat="0" applyFill="0" applyAlignment="0" applyProtection="0"/>
    <xf numFmtId="0" fontId="35" fillId="72" borderId="0" applyNumberFormat="0" applyFont="0" applyBorder="0" applyAlignment="0" applyProtection="0"/>
    <xf numFmtId="0" fontId="35" fillId="72" borderId="0" applyNumberFormat="0" applyFont="0" applyBorder="0" applyAlignment="0" applyProtection="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136" fillId="0" borderId="0"/>
    <xf numFmtId="0" fontId="35" fillId="0" borderId="0"/>
    <xf numFmtId="0" fontId="35" fillId="0" borderId="0"/>
    <xf numFmtId="0" fontId="136" fillId="0" borderId="0"/>
    <xf numFmtId="0" fontId="35" fillId="0" borderId="0"/>
    <xf numFmtId="0" fontId="35" fillId="0" borderId="0"/>
    <xf numFmtId="0" fontId="35" fillId="0" borderId="0"/>
    <xf numFmtId="0" fontId="35" fillId="0" borderId="0"/>
    <xf numFmtId="0" fontId="35" fillId="0" borderId="0"/>
    <xf numFmtId="0" fontId="35" fillId="0" borderId="0"/>
    <xf numFmtId="0" fontId="70" fillId="0" borderId="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183" fontId="137" fillId="0" borderId="0">
      <alignment horizontal="right"/>
    </xf>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9" fontId="35" fillId="0" borderId="0" applyFont="0" applyFill="0" applyBorder="0" applyAlignment="0" applyProtection="0"/>
    <xf numFmtId="9" fontId="59" fillId="0" borderId="0" applyFont="0" applyFill="0" applyBorder="0" applyAlignment="0" applyProtection="0"/>
    <xf numFmtId="0" fontId="35" fillId="0" borderId="0"/>
    <xf numFmtId="0" fontId="18" fillId="0" borderId="0"/>
    <xf numFmtId="0" fontId="18"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0" fontId="35" fillId="0" borderId="0"/>
    <xf numFmtId="9" fontId="59" fillId="0" borderId="0" applyFont="0" applyFill="0" applyBorder="0" applyAlignment="0" applyProtection="0"/>
    <xf numFmtId="9" fontId="59" fillId="0" borderId="0" applyFont="0" applyFill="0" applyBorder="0" applyAlignment="0" applyProtection="0"/>
    <xf numFmtId="0" fontId="35" fillId="0" borderId="0"/>
    <xf numFmtId="0" fontId="18" fillId="0" borderId="0"/>
    <xf numFmtId="9" fontId="35" fillId="0" borderId="0" applyFont="0" applyFill="0" applyBorder="0" applyAlignment="0" applyProtection="0"/>
    <xf numFmtId="0" fontId="35" fillId="0" borderId="0"/>
    <xf numFmtId="0" fontId="18" fillId="0" borderId="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0" fontId="35" fillId="0" borderId="0"/>
    <xf numFmtId="0" fontId="18" fillId="0" borderId="0"/>
    <xf numFmtId="9" fontId="35" fillId="0" borderId="0" applyFont="0" applyFill="0" applyBorder="0" applyAlignment="0" applyProtection="0"/>
    <xf numFmtId="0" fontId="35" fillId="0" borderId="0"/>
    <xf numFmtId="0" fontId="18"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35" fillId="0" borderId="0" applyFont="0" applyFill="0" applyBorder="0" applyAlignment="0" applyProtection="0"/>
    <xf numFmtId="0" fontId="18" fillId="0" borderId="0"/>
    <xf numFmtId="0" fontId="35"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0" fontId="35" fillId="0" borderId="0"/>
    <xf numFmtId="9" fontId="18"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18" fillId="0" borderId="0"/>
    <xf numFmtId="0" fontId="35" fillId="0" borderId="0"/>
    <xf numFmtId="9" fontId="18" fillId="0" borderId="0" applyFont="0" applyFill="0" applyBorder="0" applyAlignment="0" applyProtection="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18" fillId="0" borderId="0" applyFont="0" applyFill="0" applyBorder="0" applyAlignment="0" applyProtection="0"/>
    <xf numFmtId="9" fontId="35" fillId="0" borderId="0" applyFont="0" applyFill="0" applyBorder="0" applyAlignment="0" applyProtection="0"/>
    <xf numFmtId="0" fontId="35" fillId="0" borderId="0"/>
    <xf numFmtId="9" fontId="59" fillId="0" borderId="0" applyFont="0" applyFill="0" applyBorder="0" applyAlignment="0" applyProtection="0"/>
    <xf numFmtId="9" fontId="35" fillId="0" borderId="0" applyFont="0" applyFill="0" applyBorder="0" applyAlignment="0" applyProtection="0"/>
    <xf numFmtId="0" fontId="18" fillId="0" borderId="0"/>
    <xf numFmtId="9" fontId="5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35" fillId="0" borderId="0"/>
    <xf numFmtId="9" fontId="59" fillId="0" borderId="0" applyFont="0" applyFill="0" applyBorder="0" applyAlignment="0" applyProtection="0"/>
    <xf numFmtId="0" fontId="35" fillId="0" borderId="0"/>
    <xf numFmtId="0" fontId="18" fillId="0" borderId="0"/>
    <xf numFmtId="9" fontId="59" fillId="0" borderId="0" applyFont="0" applyFill="0" applyBorder="0" applyAlignment="0" applyProtection="0"/>
    <xf numFmtId="0" fontId="18" fillId="0" borderId="0"/>
    <xf numFmtId="9" fontId="59" fillId="0" borderId="0" applyFont="0" applyFill="0" applyBorder="0" applyAlignment="0" applyProtection="0"/>
    <xf numFmtId="9" fontId="35" fillId="0" borderId="0" applyFont="0" applyFill="0" applyBorder="0" applyAlignment="0" applyProtection="0"/>
    <xf numFmtId="0" fontId="35" fillId="0" borderId="0"/>
    <xf numFmtId="9" fontId="59" fillId="0" borderId="0" applyFont="0" applyFill="0" applyBorder="0" applyAlignment="0" applyProtection="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0" fontId="18" fillId="0" borderId="0"/>
    <xf numFmtId="0" fontId="35" fillId="0" borderId="0"/>
    <xf numFmtId="9" fontId="59" fillId="0" borderId="0" applyFont="0" applyFill="0" applyBorder="0" applyAlignment="0" applyProtection="0"/>
    <xf numFmtId="0" fontId="35" fillId="0" borderId="0"/>
    <xf numFmtId="0" fontId="18" fillId="0" borderId="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59" fillId="0" borderId="0" applyFont="0" applyFill="0" applyBorder="0" applyAlignment="0" applyProtection="0"/>
    <xf numFmtId="0" fontId="18" fillId="0" borderId="0"/>
    <xf numFmtId="0" fontId="35" fillId="0" borderId="0"/>
    <xf numFmtId="9" fontId="59"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59"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0" fontId="18" fillId="0" borderId="0"/>
    <xf numFmtId="9" fontId="35" fillId="0" borderId="0" applyFont="0" applyFill="0" applyBorder="0" applyAlignment="0" applyProtection="0"/>
    <xf numFmtId="0" fontId="35" fillId="0" borderId="0"/>
    <xf numFmtId="0" fontId="18" fillId="0" borderId="0"/>
    <xf numFmtId="0" fontId="18" fillId="0" borderId="0"/>
    <xf numFmtId="9" fontId="134"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35"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9" fontId="134" fillId="0" borderId="0" applyFont="0" applyFill="0" applyBorder="0" applyAlignment="0" applyProtection="0"/>
    <xf numFmtId="9" fontId="35" fillId="0" borderId="0" applyFont="0" applyFill="0" applyBorder="0" applyAlignment="0" applyProtection="0"/>
    <xf numFmtId="0" fontId="35"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0" fontId="35" fillId="0" borderId="0"/>
    <xf numFmtId="9" fontId="59"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35"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18" fillId="0" borderId="0"/>
    <xf numFmtId="0" fontId="35" fillId="0" borderId="0"/>
    <xf numFmtId="9" fontId="18"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18"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0" fontId="35"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185" fontId="139" fillId="0" borderId="0" applyFont="0" applyFill="0" applyBorder="0" applyAlignment="0" applyProtection="0"/>
    <xf numFmtId="186" fontId="139" fillId="0" borderId="0" applyFont="0" applyFill="0" applyBorder="0" applyAlignment="0" applyProtection="0"/>
    <xf numFmtId="187" fontId="139" fillId="0" borderId="0" applyFont="0" applyFill="0" applyBorder="0" applyAlignment="0" applyProtection="0"/>
    <xf numFmtId="0" fontId="140" fillId="48" borderId="0" applyNumberFormat="0" applyBorder="0" applyAlignment="0" applyProtection="0"/>
    <xf numFmtId="0" fontId="108" fillId="46" borderId="0" applyNumberFormat="0" applyBorder="0" applyAlignment="0" applyProtection="0"/>
    <xf numFmtId="0" fontId="87" fillId="48" borderId="0" applyNumberFormat="0" applyBorder="0" applyAlignment="0" applyProtection="0"/>
    <xf numFmtId="0" fontId="141" fillId="51" borderId="0" applyNumberFormat="0" applyBorder="0" applyAlignment="0" applyProtection="0"/>
    <xf numFmtId="0" fontId="71" fillId="72" borderId="5"/>
    <xf numFmtId="0" fontId="71" fillId="72" borderId="5"/>
    <xf numFmtId="0" fontId="71" fillId="72" borderId="5"/>
    <xf numFmtId="0" fontId="71" fillId="72" borderId="5"/>
    <xf numFmtId="0" fontId="142" fillId="73" borderId="42"/>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104" fillId="0" borderId="0">
      <alignment vertical="top" wrapText="1"/>
    </xf>
    <xf numFmtId="0" fontId="136"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35"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8"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8"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8" fillId="0" borderId="0"/>
    <xf numFmtId="0" fontId="103" fillId="74" borderId="5" applyNumberFormat="0" applyProtection="0">
      <alignment horizontal="right"/>
    </xf>
    <xf numFmtId="0" fontId="103" fillId="74" borderId="5" applyNumberFormat="0" applyProtection="0">
      <alignment horizontal="right"/>
    </xf>
    <xf numFmtId="0" fontId="35"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67" fillId="74" borderId="0" applyNumberFormat="0" applyBorder="0" applyProtection="0">
      <alignment horizontal="left"/>
    </xf>
    <xf numFmtId="0" fontId="67" fillId="74" borderId="0" applyNumberFormat="0" applyBorder="0" applyProtection="0">
      <alignment horizontal="left"/>
    </xf>
    <xf numFmtId="0" fontId="35" fillId="0" borderId="0"/>
    <xf numFmtId="0" fontId="18" fillId="0" borderId="0"/>
    <xf numFmtId="0" fontId="67" fillId="74" borderId="0" applyNumberFormat="0" applyBorder="0" applyProtection="0">
      <alignment horizontal="left"/>
    </xf>
    <xf numFmtId="0" fontId="35"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35"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8"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8"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8" fillId="0" borderId="0"/>
    <xf numFmtId="0" fontId="103" fillId="74" borderId="5" applyNumberFormat="0" applyProtection="0">
      <alignment horizontal="left"/>
    </xf>
    <xf numFmtId="0" fontId="103" fillId="74" borderId="5" applyNumberFormat="0" applyProtection="0">
      <alignment horizontal="left"/>
    </xf>
    <xf numFmtId="0" fontId="35"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43" fillId="75" borderId="0" applyNumberFormat="0" applyBorder="0" applyProtection="0">
      <alignment horizontal="left"/>
    </xf>
    <xf numFmtId="0" fontId="143" fillId="75" borderId="0" applyNumberFormat="0" applyBorder="0" applyProtection="0">
      <alignment horizontal="left"/>
    </xf>
    <xf numFmtId="0" fontId="35" fillId="0" borderId="0"/>
    <xf numFmtId="0" fontId="18" fillId="0" borderId="0"/>
    <xf numFmtId="0" fontId="143" fillId="75" borderId="0" applyNumberFormat="0" applyBorder="0" applyProtection="0">
      <alignment horizontal="left"/>
    </xf>
    <xf numFmtId="0" fontId="35" fillId="0" borderId="0"/>
    <xf numFmtId="0" fontId="144" fillId="0" borderId="43"/>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6" fillId="0" borderId="0"/>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0" borderId="0"/>
    <xf numFmtId="0" fontId="106" fillId="0" borderId="0" applyNumberFormat="0" applyFill="0" applyBorder="0" applyAlignment="0" applyProtection="0"/>
    <xf numFmtId="0" fontId="106"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35"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35" fillId="0" borderId="0"/>
    <xf numFmtId="0" fontId="18" fillId="0" borderId="0"/>
    <xf numFmtId="0" fontId="151" fillId="0" borderId="0" applyNumberFormat="0" applyFill="0" applyBorder="0" applyAlignment="0" applyProtection="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50" fillId="0" borderId="0" applyNumberFormat="0" applyFill="0" applyBorder="0" applyAlignment="0" applyProtection="0"/>
    <xf numFmtId="0" fontId="35" fillId="0" borderId="0"/>
    <xf numFmtId="0" fontId="18" fillId="0" borderId="0"/>
    <xf numFmtId="0" fontId="35" fillId="0" borderId="0"/>
    <xf numFmtId="0" fontId="150" fillId="0" borderId="0" applyNumberFormat="0" applyFill="0" applyBorder="0" applyAlignment="0" applyProtection="0"/>
    <xf numFmtId="0" fontId="110" fillId="0" borderId="30" applyNumberFormat="0" applyFill="0" applyAlignment="0" applyProtection="0"/>
    <xf numFmtId="0" fontId="112" fillId="0" borderId="3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0" applyNumberFormat="0" applyFill="0" applyBorder="0" applyAlignment="0" applyProtection="0"/>
    <xf numFmtId="0" fontId="151" fillId="0" borderId="0" applyNumberFormat="0" applyFill="0" applyBorder="0" applyAlignment="0" applyProtection="0"/>
    <xf numFmtId="0" fontId="111" fillId="0" borderId="39" applyNumberFormat="0" applyFill="0" applyAlignment="0" applyProtection="0"/>
    <xf numFmtId="0" fontId="113" fillId="0" borderId="40"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0" applyNumberFormat="0" applyFill="0" applyBorder="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50" fillId="0" borderId="0" applyNumberFormat="0" applyFill="0" applyBorder="0" applyAlignment="0" applyProtection="0"/>
    <xf numFmtId="0" fontId="110" fillId="0" borderId="30" applyNumberFormat="0" applyFill="0" applyAlignment="0" applyProtection="0"/>
    <xf numFmtId="0" fontId="112" fillId="0" borderId="31" applyNumberFormat="0" applyFill="0" applyAlignment="0" applyProtection="0"/>
    <xf numFmtId="0" fontId="114" fillId="0" borderId="32" applyNumberFormat="0" applyFill="0" applyAlignment="0" applyProtection="0"/>
    <xf numFmtId="0" fontId="114" fillId="0" borderId="0" applyNumberFormat="0" applyFill="0" applyBorder="0" applyAlignment="0" applyProtection="0"/>
    <xf numFmtId="0" fontId="152" fillId="41" borderId="3">
      <alignment vertical="center" wrapText="1"/>
    </xf>
    <xf numFmtId="0" fontId="152" fillId="41" borderId="3">
      <alignment vertical="center" wrapText="1"/>
    </xf>
    <xf numFmtId="0" fontId="87" fillId="48" borderId="0" applyNumberFormat="0" applyBorder="0" applyAlignment="0" applyProtection="0"/>
    <xf numFmtId="0" fontId="108" fillId="49" borderId="0" applyNumberFormat="0" applyBorder="0" applyAlignment="0" applyProtection="0"/>
    <xf numFmtId="188" fontId="139" fillId="0" borderId="0" applyFont="0" applyFill="0" applyBorder="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1" fillId="0" borderId="27"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35"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86" fillId="0" borderId="0" applyNumberFormat="0" applyFill="0" applyBorder="0" applyAlignment="0" applyProtection="0"/>
    <xf numFmtId="0" fontId="86" fillId="0" borderId="0" applyNumberFormat="0" applyFill="0" applyBorder="0" applyAlignment="0" applyProtection="0"/>
    <xf numFmtId="0" fontId="35" fillId="0" borderId="0"/>
    <xf numFmtId="0" fontId="18" fillId="0" borderId="0"/>
    <xf numFmtId="0" fontId="35" fillId="0" borderId="0"/>
    <xf numFmtId="0" fontId="92" fillId="68" borderId="28" applyNumberFormat="0" applyAlignment="0" applyProtection="0"/>
    <xf numFmtId="0" fontId="153" fillId="0" borderId="0" applyNumberFormat="0" applyFill="0" applyBorder="0" applyAlignment="0" applyProtection="0"/>
    <xf numFmtId="0" fontId="71" fillId="0" borderId="0"/>
    <xf numFmtId="0" fontId="154" fillId="0" borderId="0" applyNumberFormat="0" applyFill="0" applyBorder="0" applyAlignment="0" applyProtection="0">
      <alignment vertical="center"/>
    </xf>
    <xf numFmtId="0" fontId="155" fillId="0" borderId="0" applyNumberFormat="0" applyFill="0" applyBorder="0" applyAlignment="0" applyProtection="0">
      <alignment vertical="center"/>
    </xf>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18" fillId="16"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2" borderId="0" applyNumberFormat="0" applyBorder="0" applyAlignment="0" applyProtection="0"/>
    <xf numFmtId="0" fontId="59" fillId="47"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18" fillId="19"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3"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18" fillId="22"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44"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18" fillId="25"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45" borderId="0" applyNumberFormat="0" applyBorder="0" applyAlignment="0" applyProtection="0"/>
    <xf numFmtId="0" fontId="59" fillId="50"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0" fontId="59" fillId="44" borderId="0" applyNumberFormat="0" applyBorder="0" applyAlignment="0" applyProtection="0"/>
    <xf numFmtId="0" fontId="59" fillId="45" borderId="0" applyNumberFormat="0" applyBorder="0" applyAlignment="0" applyProtection="0"/>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43"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18" fillId="23"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48" borderId="0" applyNumberFormat="0" applyBorder="0" applyAlignment="0" applyProtection="0"/>
    <xf numFmtId="0" fontId="59" fillId="50"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59" fillId="44" borderId="0" applyNumberFormat="0" applyBorder="0" applyAlignment="0" applyProtection="0"/>
    <xf numFmtId="0" fontId="59" fillId="53" borderId="0" applyNumberFormat="0" applyBorder="0" applyAlignment="0" applyProtection="0"/>
    <xf numFmtId="0" fontId="156" fillId="0" borderId="0" applyNumberFormat="0" applyFont="0" applyFill="0" applyBorder="0" applyProtection="0">
      <alignment horizontal="left" vertical="center" indent="5"/>
    </xf>
    <xf numFmtId="0" fontId="156" fillId="0" borderId="0" applyNumberFormat="0" applyFont="0" applyFill="0" applyBorder="0" applyProtection="0">
      <alignment horizontal="left" vertical="center" indent="5"/>
    </xf>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46"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54"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57" fillId="24" borderId="0" applyNumberFormat="0" applyBorder="0" applyAlignment="0" applyProtection="0"/>
    <xf numFmtId="0" fontId="80" fillId="53"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57" fillId="27" borderId="0" applyNumberFormat="0" applyBorder="0" applyAlignment="0" applyProtection="0"/>
    <xf numFmtId="0" fontId="80" fillId="48"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4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57" fillId="33" borderId="0" applyNumberFormat="0" applyBorder="0" applyAlignment="0" applyProtection="0"/>
    <xf numFmtId="0" fontId="80" fillId="43"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6" borderId="0" applyNumberFormat="0" applyBorder="0" applyAlignment="0" applyProtection="0"/>
    <xf numFmtId="0" fontId="35" fillId="84" borderId="0" applyNumberFormat="0" applyFon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60"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3"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3"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61"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71" fillId="64" borderId="0" applyBorder="0">
      <alignment horizontal="right" vertical="center"/>
    </xf>
    <xf numFmtId="0" fontId="71" fillId="64" borderId="0" applyBorder="0">
      <alignment horizontal="right" vertical="center"/>
    </xf>
    <xf numFmtId="0" fontId="82" fillId="64" borderId="5">
      <alignment horizontal="right" vertical="center"/>
    </xf>
    <xf numFmtId="0" fontId="82" fillId="64" borderId="5">
      <alignment horizontal="right" vertical="center"/>
    </xf>
    <xf numFmtId="0" fontId="82" fillId="64" borderId="5">
      <alignment horizontal="right" vertical="center"/>
    </xf>
    <xf numFmtId="0" fontId="82" fillId="64" borderId="5">
      <alignment horizontal="right" vertical="center"/>
    </xf>
    <xf numFmtId="0" fontId="82" fillId="64" borderId="5">
      <alignment horizontal="right" vertical="center"/>
    </xf>
    <xf numFmtId="0" fontId="82" fillId="64" borderId="5">
      <alignment horizontal="right" vertical="center"/>
    </xf>
    <xf numFmtId="0" fontId="82" fillId="64" borderId="5">
      <alignment horizontal="right" vertical="center"/>
    </xf>
    <xf numFmtId="0" fontId="83" fillId="64" borderId="5">
      <alignment horizontal="right" vertical="center"/>
    </xf>
    <xf numFmtId="0" fontId="83" fillId="64" borderId="5">
      <alignment horizontal="right" vertical="center"/>
    </xf>
    <xf numFmtId="0" fontId="83" fillId="64" borderId="5">
      <alignment horizontal="right" vertical="center"/>
    </xf>
    <xf numFmtId="0" fontId="83" fillId="64" borderId="5">
      <alignment horizontal="right" vertical="center"/>
    </xf>
    <xf numFmtId="0" fontId="83" fillId="64" borderId="5">
      <alignment horizontal="right" vertical="center"/>
    </xf>
    <xf numFmtId="0" fontId="83" fillId="64" borderId="5">
      <alignment horizontal="right" vertical="center"/>
    </xf>
    <xf numFmtId="0" fontId="83" fillId="64"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5">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82" fillId="36" borderId="22">
      <alignment horizontal="right" vertical="center"/>
    </xf>
    <xf numFmtId="0" fontId="103" fillId="0" borderId="0">
      <alignment horizontal="center" vertical="center"/>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35" fillId="6" borderId="7">
      <alignment horizontal="center" vertical="center" wrapText="1"/>
    </xf>
    <xf numFmtId="0" fontId="103" fillId="6" borderId="7">
      <alignment horizontal="center" vertical="center" wrapText="1"/>
    </xf>
    <xf numFmtId="0" fontId="103" fillId="6" borderId="7">
      <alignment horizontal="center" vertical="center" wrapText="1"/>
    </xf>
    <xf numFmtId="0" fontId="103" fillId="6" borderId="7">
      <alignment horizontal="center" vertical="center" wrapText="1"/>
    </xf>
    <xf numFmtId="0" fontId="103" fillId="6" borderId="7">
      <alignment horizontal="center" vertical="center" wrapText="1"/>
    </xf>
    <xf numFmtId="0" fontId="103" fillId="6" borderId="7">
      <alignment horizontal="center" vertical="center" wrapText="1"/>
    </xf>
    <xf numFmtId="0" fontId="103" fillId="6" borderId="7">
      <alignment horizontal="center" vertical="center" wrapText="1"/>
    </xf>
    <xf numFmtId="0" fontId="103" fillId="6" borderId="7">
      <alignment horizontal="center" vertical="center" wrapText="1"/>
    </xf>
    <xf numFmtId="0" fontId="35" fillId="6" borderId="7">
      <alignment horizontal="center" vertical="center" wrapText="1"/>
    </xf>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50"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7" fillId="48" borderId="0" applyNumberFormat="0" applyBorder="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0" fontId="89" fillId="45" borderId="26" applyNumberFormat="0" applyAlignment="0" applyProtection="0"/>
    <xf numFmtId="4" fontId="72" fillId="0" borderId="14" applyFill="0" applyBorder="0" applyProtection="0">
      <alignment horizontal="right" vertical="center"/>
    </xf>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59" fillId="66" borderId="5"/>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55" fillId="13" borderId="15"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157" fillId="13" borderId="15"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2" fillId="68" borderId="28" applyNumberFormat="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0" fontId="96" fillId="0" borderId="32" applyNumberFormat="0" applyFill="0" applyAlignment="0" applyProtection="0"/>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9" fontId="35" fillId="38" borderId="33">
      <alignment vertical="top" wrapText="1"/>
    </xf>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171"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9"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171"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9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171"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36" fillId="0" borderId="0" applyFont="0" applyFill="0" applyBorder="0" applyAlignment="0" applyProtection="0"/>
    <xf numFmtId="43" fontId="136"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36" fillId="0" borderId="0" applyFont="0" applyFill="0" applyBorder="0" applyAlignment="0" applyProtection="0"/>
    <xf numFmtId="43" fontId="136"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0" fontId="7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165" fontId="35" fillId="0" borderId="0" applyFont="0" applyFill="0" applyBorder="0" applyAlignment="0" applyProtection="0"/>
    <xf numFmtId="0" fontId="71" fillId="36" borderId="46">
      <alignment horizontal="left" vertical="center" wrapText="1" indent="2"/>
    </xf>
    <xf numFmtId="0" fontId="71" fillId="36" borderId="46">
      <alignment horizontal="left" vertical="center" wrapText="1" indent="2"/>
    </xf>
    <xf numFmtId="0" fontId="71" fillId="0" borderId="46">
      <alignment horizontal="left" vertical="center" wrapText="1" indent="2"/>
    </xf>
    <xf numFmtId="0" fontId="71" fillId="0" borderId="46">
      <alignment horizontal="left" vertical="center" wrapText="1" indent="2"/>
    </xf>
    <xf numFmtId="2" fontId="18" fillId="35" borderId="0"/>
    <xf numFmtId="0" fontId="35" fillId="4" borderId="0"/>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3">
      <alignment horizontal="center" vertical="center" wrapText="1"/>
    </xf>
    <xf numFmtId="0" fontId="35" fillId="37" borderId="3">
      <alignment horizontal="center" vertical="center" wrapText="1"/>
    </xf>
    <xf numFmtId="0" fontId="35" fillId="37" borderId="3">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35" fillId="37" borderId="8">
      <alignment horizontal="center" vertical="center" wrapText="1"/>
    </xf>
    <xf numFmtId="0" fontId="158" fillId="0" borderId="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70" fillId="0" borderId="0">
      <alignment vertical="top"/>
    </xf>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89" fontId="35" fillId="0" borderId="0" applyFont="0" applyFill="0" applyBorder="0" applyAlignment="0" applyProtection="0"/>
    <xf numFmtId="189"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67"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1" fontId="35" fillId="0" borderId="0" applyFont="0" applyFill="0" applyBorder="0" applyAlignment="0" applyProtection="0"/>
    <xf numFmtId="182"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67" fontId="35" fillId="0" borderId="0" applyFont="0" applyFill="0" applyBorder="0" applyAlignment="0" applyProtection="0"/>
    <xf numFmtId="182"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9"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11" fontId="35" fillId="0" borderId="0" applyFont="0" applyFill="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6"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08" fillId="49" borderId="0" applyNumberFormat="0" applyBorder="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1" fillId="0" borderId="39"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0" fillId="0" borderId="30"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3" fillId="0" borderId="40"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2" fillId="0" borderId="3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03" fillId="0" borderId="2" applyNumberFormat="0">
      <alignment horizontal="center" wrapText="1"/>
    </xf>
    <xf numFmtId="0" fontId="103" fillId="0" borderId="2" applyNumberFormat="0">
      <alignment horizontal="center" wrapText="1"/>
    </xf>
    <xf numFmtId="0" fontId="103" fillId="0" borderId="2" applyNumberFormat="0">
      <alignment horizontal="center" wrapText="1"/>
    </xf>
    <xf numFmtId="0" fontId="103" fillId="0" borderId="2" applyNumberFormat="0">
      <alignment horizontal="center" wrapText="1"/>
    </xf>
    <xf numFmtId="0" fontId="103" fillId="0" borderId="2" applyNumberFormat="0">
      <alignment horizontal="center" wrapText="1"/>
    </xf>
    <xf numFmtId="0" fontId="103" fillId="0" borderId="2" applyNumberFormat="0">
      <alignment horizontal="center" wrapText="1"/>
    </xf>
    <xf numFmtId="0" fontId="109" fillId="8" borderId="0">
      <alignment horizontal="left"/>
    </xf>
    <xf numFmtId="190" fontId="159" fillId="0" borderId="0">
      <alignment horizontal="left" vertical="center"/>
    </xf>
    <xf numFmtId="190" fontId="159" fillId="0" borderId="0">
      <alignment horizontal="left" vertical="center"/>
    </xf>
    <xf numFmtId="0" fontId="160"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60" fillId="0" borderId="0" applyNumberFormat="0" applyFill="0" applyBorder="0" applyAlignment="0" applyProtection="0">
      <alignment vertical="top"/>
      <protection locked="0"/>
    </xf>
    <xf numFmtId="0" fontId="161" fillId="0" borderId="0" applyNumberFormat="0" applyFill="0" applyBorder="0" applyAlignment="0" applyProtection="0">
      <alignment vertical="top"/>
      <protection locked="0"/>
    </xf>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71" fillId="0" borderId="5">
      <alignment horizontal="right" vertical="center"/>
    </xf>
    <xf numFmtId="0" fontId="71" fillId="0" borderId="5">
      <alignment horizontal="right" vertical="center"/>
    </xf>
    <xf numFmtId="0" fontId="71" fillId="0" borderId="5">
      <alignment horizontal="right" vertical="center"/>
    </xf>
    <xf numFmtId="0" fontId="71" fillId="0" borderId="5">
      <alignment horizontal="right" vertical="center"/>
    </xf>
    <xf numFmtId="0" fontId="71" fillId="0" borderId="5">
      <alignment horizontal="right" vertical="center"/>
    </xf>
    <xf numFmtId="0" fontId="71" fillId="0" borderId="5">
      <alignment horizontal="right" vertical="center"/>
    </xf>
    <xf numFmtId="0" fontId="71" fillId="0" borderId="5">
      <alignment horizontal="right" vertical="center"/>
    </xf>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78" fillId="44" borderId="34" applyNumberFormat="0" applyFon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122" fillId="65" borderId="25" applyNumberFormat="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162" fillId="0" borderId="1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86" fillId="0" borderId="29"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0" fontId="91" fillId="0" borderId="27" applyNumberFormat="0" applyFill="0" applyAlignment="0" applyProtection="0"/>
    <xf numFmtId="191" fontId="35" fillId="0" borderId="0" applyFont="0" applyFill="0" applyBorder="0" applyAlignment="0" applyProtection="0"/>
    <xf numFmtId="192" fontId="35" fillId="0" borderId="0" applyFont="0" applyFill="0" applyBorder="0" applyAlignment="0" applyProtection="0"/>
    <xf numFmtId="193" fontId="35" fillId="0" borderId="0" applyFont="0" applyFill="0" applyBorder="0" applyAlignment="0" applyProtection="0"/>
    <xf numFmtId="194" fontId="35" fillId="0" borderId="0" applyFont="0" applyFill="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5" fillId="51" borderId="0" applyNumberFormat="0" applyBorder="0" applyAlignment="0" applyProtection="0"/>
    <xf numFmtId="0" fontId="163" fillId="1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24" fillId="51"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35"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6" fillId="0" borderId="0"/>
    <xf numFmtId="0" fontId="136" fillId="0" borderId="0"/>
    <xf numFmtId="0" fontId="18" fillId="0" borderId="0"/>
    <xf numFmtId="0" fontId="18" fillId="0" borderId="0"/>
    <xf numFmtId="0" fontId="136" fillId="0" borderId="0"/>
    <xf numFmtId="0" fontId="136" fillId="0" borderId="0"/>
    <xf numFmtId="0" fontId="18" fillId="0" borderId="0"/>
    <xf numFmtId="0" fontId="18" fillId="0" borderId="0"/>
    <xf numFmtId="0" fontId="136" fillId="0" borderId="0"/>
    <xf numFmtId="0" fontId="13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98" fillId="0" borderId="0"/>
    <xf numFmtId="0" fontId="9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9" fontId="128"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9" fontId="128"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35" fillId="0" borderId="0"/>
    <xf numFmtId="0" fontId="131" fillId="0" borderId="0"/>
    <xf numFmtId="0" fontId="35" fillId="0" borderId="0" applyNumberFormat="0" applyFont="0" applyFill="0" applyBorder="0" applyAlignment="0" applyProtection="0"/>
    <xf numFmtId="0" fontId="35" fillId="0" borderId="0"/>
    <xf numFmtId="0" fontId="35" fillId="0" borderId="0" applyNumberFormat="0" applyFont="0" applyFill="0" applyBorder="0" applyAlignment="0" applyProtection="0"/>
    <xf numFmtId="0" fontId="13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66"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6" fillId="0" borderId="0"/>
    <xf numFmtId="0" fontId="35" fillId="0" borderId="0"/>
    <xf numFmtId="0" fontId="35" fillId="0" borderId="0"/>
    <xf numFmtId="0" fontId="18" fillId="0" borderId="0"/>
    <xf numFmtId="0" fontId="18" fillId="0" borderId="0"/>
    <xf numFmtId="0" fontId="18" fillId="0" borderId="0"/>
    <xf numFmtId="0" fontId="59" fillId="0" borderId="0"/>
    <xf numFmtId="0" fontId="35" fillId="0" borderId="0"/>
    <xf numFmtId="0" fontId="35" fillId="0" borderId="0"/>
    <xf numFmtId="0" fontId="18" fillId="0" borderId="0"/>
    <xf numFmtId="0" fontId="35" fillId="0" borderId="0"/>
    <xf numFmtId="0" fontId="18" fillId="0" borderId="0"/>
    <xf numFmtId="0" fontId="35" fillId="0" borderId="0">
      <alignment vertical="top"/>
    </xf>
    <xf numFmtId="0" fontId="35" fillId="0" borderId="0"/>
    <xf numFmtId="0" fontId="35" fillId="0" borderId="0"/>
    <xf numFmtId="0" fontId="18" fillId="0" borderId="0"/>
    <xf numFmtId="0" fontId="35" fillId="0" borderId="0"/>
    <xf numFmtId="0" fontId="18"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35" fillId="0" borderId="0"/>
    <xf numFmtId="0" fontId="35" fillId="0" borderId="0"/>
    <xf numFmtId="0" fontId="13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alignment vertical="top"/>
    </xf>
    <xf numFmtId="0" fontId="35" fillId="0" borderId="0" applyNumberFormat="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5"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5" fillId="0" borderId="0"/>
    <xf numFmtId="0" fontId="35" fillId="0" borderId="0"/>
    <xf numFmtId="0" fontId="18" fillId="0" borderId="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9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0" fontId="128"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9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59" fillId="0" borderId="0"/>
    <xf numFmtId="0" fontId="59"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59" fillId="0" borderId="0"/>
    <xf numFmtId="0" fontId="59" fillId="0" borderId="0"/>
    <xf numFmtId="0" fontId="59" fillId="0" borderId="0"/>
    <xf numFmtId="0" fontId="59" fillId="0" borderId="0"/>
    <xf numFmtId="0" fontId="59"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4"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4" fillId="0" borderId="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4"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35"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59" fillId="0" borderId="0"/>
    <xf numFmtId="0" fontId="35" fillId="0" borderId="0"/>
    <xf numFmtId="0" fontId="35" fillId="0" borderId="0"/>
    <xf numFmtId="0" fontId="35" fillId="0" borderId="0"/>
    <xf numFmtId="0" fontId="35" fillId="0" borderId="0"/>
    <xf numFmtId="0" fontId="59" fillId="0" borderId="0"/>
    <xf numFmtId="0" fontId="66"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4"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4" fillId="0" borderId="0"/>
    <xf numFmtId="0" fontId="35"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59" fillId="0" borderId="0"/>
    <xf numFmtId="0" fontId="35" fillId="0" borderId="0"/>
    <xf numFmtId="0" fontId="134" fillId="0" borderId="0"/>
    <xf numFmtId="0" fontId="59" fillId="0" borderId="0"/>
    <xf numFmtId="0" fontId="18" fillId="0" borderId="0"/>
    <xf numFmtId="0" fontId="59" fillId="0" borderId="0"/>
    <xf numFmtId="0" fontId="59" fillId="0" borderId="0"/>
    <xf numFmtId="0" fontId="18" fillId="0" borderId="0"/>
    <xf numFmtId="0" fontId="59"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18" fillId="0" borderId="0"/>
    <xf numFmtId="0" fontId="18" fillId="0" borderId="0"/>
    <xf numFmtId="0" fontId="59"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4"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5" fillId="0" borderId="0"/>
    <xf numFmtId="0" fontId="135" fillId="0" borderId="0"/>
    <xf numFmtId="0" fontId="135" fillId="0" borderId="0"/>
    <xf numFmtId="0" fontId="35" fillId="0" borderId="0"/>
    <xf numFmtId="0" fontId="35" fillId="0" borderId="0"/>
    <xf numFmtId="0" fontId="135" fillId="0" borderId="0"/>
    <xf numFmtId="0" fontId="135" fillId="0" borderId="0"/>
    <xf numFmtId="0" fontId="135"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35" fillId="0" borderId="0"/>
    <xf numFmtId="0" fontId="135" fillId="0" borderId="0"/>
    <xf numFmtId="0" fontId="135" fillId="0" borderId="0"/>
    <xf numFmtId="0" fontId="1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35" fillId="0" borderId="0"/>
    <xf numFmtId="0" fontId="135" fillId="0" borderId="0"/>
    <xf numFmtId="0" fontId="135" fillId="0" borderId="0"/>
    <xf numFmtId="0" fontId="135" fillId="0" borderId="0"/>
    <xf numFmtId="0" fontId="18" fillId="0" borderId="0"/>
    <xf numFmtId="0" fontId="18" fillId="0" borderId="0"/>
    <xf numFmtId="0" fontId="18" fillId="0" borderId="0"/>
    <xf numFmtId="0" fontId="135" fillId="0" borderId="0"/>
    <xf numFmtId="0" fontId="18" fillId="0" borderId="0"/>
    <xf numFmtId="0" fontId="135" fillId="0" borderId="0"/>
    <xf numFmtId="0" fontId="135" fillId="0" borderId="0"/>
    <xf numFmtId="0" fontId="135" fillId="0" borderId="0"/>
    <xf numFmtId="0" fontId="18" fillId="0" borderId="0"/>
    <xf numFmtId="0" fontId="1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59" fillId="0" borderId="0"/>
    <xf numFmtId="0" fontId="135" fillId="0" borderId="0"/>
    <xf numFmtId="0" fontId="135" fillId="0" borderId="0"/>
    <xf numFmtId="0" fontId="1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64" fillId="0" borderId="0"/>
    <xf numFmtId="0" fontId="164"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35" fillId="0" borderId="0"/>
    <xf numFmtId="0" fontId="35" fillId="0" borderId="0"/>
    <xf numFmtId="0" fontId="164"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35"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applyNumberFormat="0" applyFont="0" applyFill="0" applyBorder="0" applyAlignment="0" applyProtection="0"/>
    <xf numFmtId="0" fontId="18" fillId="0" borderId="0"/>
    <xf numFmtId="0" fontId="18" fillId="0" borderId="0"/>
    <xf numFmtId="0" fontId="59"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35" fillId="0" borderId="0"/>
    <xf numFmtId="0" fontId="35" fillId="0" borderId="0"/>
    <xf numFmtId="0" fontId="35" fillId="0" borderId="0"/>
    <xf numFmtId="0" fontId="18"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9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18" fillId="0" borderId="0"/>
    <xf numFmtId="0" fontId="18" fillId="0" borderId="0"/>
    <xf numFmtId="0" fontId="35" fillId="0" borderId="0"/>
    <xf numFmtId="0" fontId="9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5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59" fillId="0" borderId="0"/>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0" applyFill="0" applyBorder="0" applyProtection="0">
      <alignment horizontal="right" vertical="center"/>
    </xf>
    <xf numFmtId="4" fontId="71" fillId="0" borderId="0"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4" fontId="71" fillId="0" borderId="5" applyFill="0" applyBorder="0" applyProtection="0">
      <alignment horizontal="right" vertical="center"/>
    </xf>
    <xf numFmtId="0" fontId="71" fillId="0" borderId="5" applyNumberFormat="0" applyFill="0" applyAlignment="0" applyProtection="0"/>
    <xf numFmtId="0" fontId="71" fillId="0" borderId="5" applyNumberFormat="0" applyFill="0" applyAlignment="0" applyProtection="0"/>
    <xf numFmtId="0" fontId="71" fillId="0" borderId="5" applyNumberFormat="0" applyFill="0" applyAlignment="0" applyProtection="0"/>
    <xf numFmtId="0" fontId="71" fillId="0" borderId="5" applyNumberFormat="0" applyFill="0" applyAlignment="0" applyProtection="0"/>
    <xf numFmtId="0" fontId="71" fillId="0" borderId="5" applyNumberFormat="0" applyFill="0" applyAlignment="0" applyProtection="0"/>
    <xf numFmtId="0" fontId="71" fillId="0" borderId="5" applyNumberFormat="0" applyFill="0" applyAlignment="0" applyProtection="0"/>
    <xf numFmtId="0" fontId="71" fillId="0" borderId="5" applyNumberFormat="0" applyFill="0" applyAlignment="0" applyProtection="0"/>
    <xf numFmtId="0" fontId="156" fillId="72" borderId="0" applyNumberFormat="0" applyFont="0" applyBorder="0" applyAlignment="0" applyProtection="0"/>
    <xf numFmtId="0" fontId="156" fillId="72" borderId="0" applyNumberFormat="0" applyFont="0" applyBorder="0" applyAlignment="0" applyProtection="0"/>
    <xf numFmtId="0" fontId="35" fillId="0" borderId="0"/>
    <xf numFmtId="0" fontId="18" fillId="0" borderId="0"/>
    <xf numFmtId="0" fontId="18" fillId="0" borderId="0"/>
    <xf numFmtId="0" fontId="35" fillId="0" borderId="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59"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0" fontId="35" fillId="44" borderId="34" applyNumberFormat="0" applyFont="0" applyAlignment="0" applyProtection="0"/>
    <xf numFmtId="195" fontId="35" fillId="0" borderId="0" applyFont="0" applyFill="0" applyBorder="0" applyAlignment="0" applyProtection="0"/>
    <xf numFmtId="195"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138" fillId="0" borderId="38" applyNumberFormat="0" applyFill="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85" fillId="65" borderId="25" applyNumberFormat="0" applyAlignment="0" applyProtection="0"/>
    <xf numFmtId="0" fontId="35" fillId="0" borderId="0"/>
    <xf numFmtId="0" fontId="35"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18" fillId="0" borderId="0"/>
    <xf numFmtId="0" fontId="18" fillId="0" borderId="0"/>
    <xf numFmtId="0" fontId="85" fillId="65" borderId="25" applyNumberFormat="0" applyAlignment="0" applyProtection="0"/>
    <xf numFmtId="0" fontId="85" fillId="65" borderId="25" applyNumberFormat="0" applyAlignment="0" applyProtection="0"/>
    <xf numFmtId="0" fontId="35" fillId="0" borderId="0"/>
    <xf numFmtId="0" fontId="85" fillId="65" borderId="25" applyNumberFormat="0" applyAlignment="0" applyProtection="0"/>
    <xf numFmtId="0" fontId="35" fillId="0" borderId="0"/>
    <xf numFmtId="0" fontId="85" fillId="65" borderId="25" applyNumberFormat="0" applyAlignment="0" applyProtection="0"/>
    <xf numFmtId="0" fontId="18" fillId="0" borderId="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174" fontId="71" fillId="40" borderId="5" applyNumberFormat="0" applyFont="0" applyBorder="0" applyAlignment="0" applyProtection="0">
      <alignment horizontal="right" vertical="center"/>
    </xf>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75"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18"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7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9" fontId="59"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5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3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59" fillId="0" borderId="0" applyFont="0" applyFill="0" applyBorder="0" applyAlignment="0" applyProtection="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0" fontId="18" fillId="0" borderId="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59" fillId="0" borderId="0" applyFont="0" applyFill="0" applyBorder="0" applyAlignment="0" applyProtection="0"/>
    <xf numFmtId="0" fontId="18" fillId="0" borderId="0"/>
    <xf numFmtId="0" fontId="18"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9" fontId="5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35" fillId="0" borderId="0" applyFont="0" applyFill="0" applyBorder="0" applyAlignment="0" applyProtection="0"/>
    <xf numFmtId="9" fontId="59"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0" fontId="18" fillId="0" borderId="0"/>
    <xf numFmtId="9" fontId="35" fillId="0" borderId="0" applyFont="0" applyFill="0" applyBorder="0" applyAlignment="0" applyProtection="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9" fillId="0" borderId="0" applyFont="0" applyFill="0" applyBorder="0" applyAlignment="0" applyProtection="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35"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0" fontId="35" fillId="0" borderId="0"/>
    <xf numFmtId="0" fontId="35" fillId="0" borderId="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0" fontId="18" fillId="0" borderId="0"/>
    <xf numFmtId="0" fontId="18" fillId="0" borderId="0"/>
    <xf numFmtId="0" fontId="18" fillId="0" borderId="0"/>
    <xf numFmtId="0" fontId="18" fillId="0" borderId="0"/>
    <xf numFmtId="0" fontId="35" fillId="0" borderId="0"/>
    <xf numFmtId="0" fontId="18" fillId="0" borderId="0"/>
    <xf numFmtId="0" fontId="18"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35" fillId="0" borderId="0"/>
    <xf numFmtId="0" fontId="18" fillId="0" borderId="0"/>
    <xf numFmtId="9" fontId="134"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35"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8" fillId="0" borderId="0"/>
    <xf numFmtId="0" fontId="18" fillId="0" borderId="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35" fillId="0" borderId="0"/>
    <xf numFmtId="0" fontId="35" fillId="0" borderId="0"/>
    <xf numFmtId="0" fontId="18" fillId="0" borderId="0"/>
    <xf numFmtId="0" fontId="35" fillId="0" borderId="0"/>
    <xf numFmtId="0" fontId="18" fillId="0" borderId="0"/>
    <xf numFmtId="0" fontId="18" fillId="0" borderId="0"/>
    <xf numFmtId="0" fontId="18" fillId="0" borderId="0"/>
    <xf numFmtId="0" fontId="35" fillId="0" borderId="0"/>
    <xf numFmtId="0" fontId="35" fillId="0" borderId="0"/>
    <xf numFmtId="0" fontId="18" fillId="0" borderId="0"/>
    <xf numFmtId="0" fontId="35" fillId="0" borderId="0"/>
    <xf numFmtId="0" fontId="35" fillId="0" borderId="0"/>
    <xf numFmtId="0" fontId="18" fillId="0" borderId="0"/>
    <xf numFmtId="0" fontId="18"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9" fontId="18" fillId="0" borderId="0" applyFont="0" applyFill="0" applyBorder="0" applyAlignment="0" applyProtection="0"/>
    <xf numFmtId="9" fontId="18"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18" fillId="0" borderId="0"/>
    <xf numFmtId="0" fontId="18" fillId="0" borderId="0"/>
    <xf numFmtId="0" fontId="18" fillId="0" borderId="0"/>
    <xf numFmtId="190" fontId="98" fillId="0" borderId="0" applyFill="0" applyBorder="0" applyAlignment="0" applyProtection="0"/>
    <xf numFmtId="0" fontId="35" fillId="0" borderId="0"/>
    <xf numFmtId="0" fontId="35" fillId="0" borderId="0"/>
    <xf numFmtId="0" fontId="35" fillId="0" borderId="0"/>
    <xf numFmtId="0" fontId="71" fillId="72" borderId="5"/>
    <xf numFmtId="0" fontId="71" fillId="72" borderId="5"/>
    <xf numFmtId="0" fontId="71" fillId="72" borderId="5"/>
    <xf numFmtId="0" fontId="71" fillId="72" borderId="5"/>
    <xf numFmtId="0" fontId="71" fillId="72" borderId="5"/>
    <xf numFmtId="0" fontId="71" fillId="72" borderId="5"/>
    <xf numFmtId="0" fontId="71" fillId="72" borderId="5"/>
    <xf numFmtId="0" fontId="71" fillId="72" borderId="5"/>
    <xf numFmtId="0" fontId="71" fillId="72" borderId="5"/>
    <xf numFmtId="0" fontId="71" fillId="72" borderId="5"/>
    <xf numFmtId="0" fontId="35" fillId="0" borderId="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16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0" fillId="0" borderId="0">
      <alignment vertical="top"/>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35" fillId="0" borderId="0"/>
    <xf numFmtId="0" fontId="103" fillId="74" borderId="5" applyNumberFormat="0" applyProtection="0">
      <alignment horizontal="right"/>
    </xf>
    <xf numFmtId="0" fontId="103" fillId="74" borderId="5" applyNumberFormat="0" applyProtection="0">
      <alignment horizontal="right"/>
    </xf>
    <xf numFmtId="0" fontId="35"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35"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8" fillId="0" borderId="0"/>
    <xf numFmtId="0" fontId="18"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8"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35" fillId="0" borderId="0"/>
    <xf numFmtId="0" fontId="103" fillId="74" borderId="5" applyNumberFormat="0" applyProtection="0">
      <alignment horizontal="right"/>
    </xf>
    <xf numFmtId="0" fontId="35"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8" fillId="0" borderId="0"/>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103" fillId="74" borderId="5" applyNumberFormat="0" applyProtection="0">
      <alignment horizontal="right"/>
    </xf>
    <xf numFmtId="0" fontId="67" fillId="74" borderId="0" applyNumberFormat="0" applyBorder="0" applyProtection="0">
      <alignment horizontal="left"/>
    </xf>
    <xf numFmtId="0" fontId="18" fillId="0" borderId="0"/>
    <xf numFmtId="0" fontId="18" fillId="0" borderId="0"/>
    <xf numFmtId="0" fontId="18" fillId="0" borderId="0"/>
    <xf numFmtId="0" fontId="35"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35" fillId="0" borderId="0"/>
    <xf numFmtId="0" fontId="103" fillId="74" borderId="5" applyNumberFormat="0" applyProtection="0">
      <alignment horizontal="left"/>
    </xf>
    <xf numFmtId="0" fontId="103" fillId="74" borderId="5" applyNumberFormat="0" applyProtection="0">
      <alignment horizontal="left"/>
    </xf>
    <xf numFmtId="0" fontId="35"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35"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8" fillId="0" borderId="0"/>
    <xf numFmtId="0" fontId="18"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8"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35" fillId="0" borderId="0"/>
    <xf numFmtId="0" fontId="103" fillId="74" borderId="5" applyNumberFormat="0" applyProtection="0">
      <alignment horizontal="left"/>
    </xf>
    <xf numFmtId="0" fontId="35"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8" fillId="0" borderId="0"/>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103" fillId="74" borderId="5" applyNumberFormat="0" applyProtection="0">
      <alignment horizontal="lef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8" fillId="0" borderId="0"/>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35" fillId="0" borderId="5" applyNumberFormat="0" applyFill="0" applyProtection="0">
      <alignment horizontal="right"/>
    </xf>
    <xf numFmtId="0" fontId="143" fillId="75" borderId="0" applyNumberFormat="0" applyBorder="0" applyProtection="0">
      <alignment horizontal="left"/>
    </xf>
    <xf numFmtId="0" fontId="18" fillId="0" borderId="0"/>
    <xf numFmtId="0" fontId="18" fillId="0" borderId="0"/>
    <xf numFmtId="0" fontId="18" fillId="0" borderId="0"/>
    <xf numFmtId="0" fontId="35" fillId="0" borderId="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5" fillId="65" borderId="26" applyNumberFormat="0" applyAlignment="0" applyProtection="0"/>
    <xf numFmtId="0" fontId="146" fillId="0" borderId="0"/>
    <xf numFmtId="168" fontId="147" fillId="76" borderId="44">
      <alignment vertical="center"/>
    </xf>
    <xf numFmtId="0" fontId="35" fillId="0" borderId="0"/>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8" fontId="147" fillId="76" borderId="44">
      <alignment vertical="center"/>
    </xf>
    <xf numFmtId="169" fontId="148" fillId="76" borderId="44">
      <alignment vertical="center"/>
    </xf>
    <xf numFmtId="0" fontId="35" fillId="0" borderId="0"/>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9" fontId="148" fillId="76" borderId="44">
      <alignment vertical="center"/>
    </xf>
    <xf numFmtId="168" fontId="149" fillId="77" borderId="44">
      <alignment vertical="center"/>
    </xf>
    <xf numFmtId="0" fontId="35" fillId="0" borderId="0"/>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168" fontId="149" fillId="77" borderId="44">
      <alignment vertical="center"/>
    </xf>
    <xf numFmtId="0" fontId="35" fillId="78" borderId="11" applyBorder="0">
      <alignment horizontal="left" vertical="center"/>
    </xf>
    <xf numFmtId="0" fontId="35" fillId="78" borderId="11" applyBorder="0">
      <alignment horizontal="left" vertical="center"/>
    </xf>
    <xf numFmtId="0" fontId="35" fillId="0" borderId="0"/>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0" fontId="35" fillId="78" borderId="11" applyBorder="0">
      <alignment horizontal="left" vertical="center"/>
    </xf>
    <xf numFmtId="49" fontId="35" fillId="79" borderId="5">
      <alignment vertical="center" wrapText="1"/>
    </xf>
    <xf numFmtId="49" fontId="35" fillId="79" borderId="5">
      <alignment vertical="center" wrapText="1"/>
    </xf>
    <xf numFmtId="49" fontId="35" fillId="79" borderId="5">
      <alignment vertical="center" wrapText="1"/>
    </xf>
    <xf numFmtId="0" fontId="35" fillId="0" borderId="0"/>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49" fontId="35" fillId="79" borderId="5">
      <alignmen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0" borderId="0"/>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35" fillId="80" borderId="10">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35" fillId="0" borderId="0"/>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64" fillId="81"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0" borderId="0"/>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2"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0" borderId="0"/>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35" fillId="83" borderId="5">
      <alignment horizontal="left" vertical="center" wrapText="1"/>
    </xf>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66"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35" fillId="0" borderId="0"/>
    <xf numFmtId="0" fontId="35" fillId="0" borderId="0"/>
    <xf numFmtId="0" fontId="35" fillId="0" borderId="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50" fillId="0" borderId="0" applyNumberFormat="0" applyFill="0" applyBorder="0" applyAlignment="0" applyProtection="0"/>
    <xf numFmtId="0" fontId="18" fillId="0" borderId="0"/>
    <xf numFmtId="0" fontId="18" fillId="0" borderId="0"/>
    <xf numFmtId="0" fontId="18" fillId="0" borderId="0"/>
    <xf numFmtId="0" fontId="18" fillId="0" borderId="0"/>
    <xf numFmtId="0" fontId="150" fillId="0" borderId="0" applyNumberFormat="0" applyFill="0" applyBorder="0" applyAlignment="0" applyProtection="0"/>
    <xf numFmtId="0" fontId="35" fillId="0" borderId="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4" fillId="0" borderId="32"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15" fillId="0" borderId="41"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105" fillId="0" borderId="45"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45"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35"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8" fillId="0" borderId="0"/>
    <xf numFmtId="0" fontId="18" fillId="0" borderId="0"/>
    <xf numFmtId="0" fontId="105" fillId="0" borderId="38" applyNumberFormat="0" applyFill="0" applyAlignment="0" applyProtection="0"/>
    <xf numFmtId="0" fontId="105" fillId="0" borderId="38" applyNumberFormat="0" applyFill="0" applyAlignment="0" applyProtection="0"/>
    <xf numFmtId="0" fontId="35" fillId="0" borderId="0"/>
    <xf numFmtId="0" fontId="105" fillId="0" borderId="38" applyNumberFormat="0" applyFill="0" applyAlignment="0" applyProtection="0"/>
    <xf numFmtId="0" fontId="35" fillId="0" borderId="0"/>
    <xf numFmtId="0" fontId="105" fillId="0" borderId="38" applyNumberFormat="0" applyFill="0" applyAlignment="0" applyProtection="0"/>
    <xf numFmtId="0" fontId="18" fillId="0" borderId="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105" fillId="0" borderId="38" applyNumberFormat="0" applyFill="0" applyAlignment="0" applyProtection="0"/>
    <xf numFmtId="0" fontId="35" fillId="0" borderId="0"/>
    <xf numFmtId="0" fontId="35" fillId="0" borderId="0"/>
    <xf numFmtId="0" fontId="35" fillId="0" borderId="0"/>
    <xf numFmtId="0" fontId="35" fillId="0" borderId="0"/>
    <xf numFmtId="0" fontId="35" fillId="0" borderId="0"/>
    <xf numFmtId="0" fontId="152" fillId="41" borderId="3">
      <alignment vertical="center" wrapText="1"/>
    </xf>
    <xf numFmtId="0" fontId="35"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35" fillId="0" borderId="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86" fillId="0" borderId="0" applyNumberFormat="0" applyFill="0" applyBorder="0" applyAlignment="0" applyProtection="0"/>
    <xf numFmtId="0" fontId="18" fillId="0" borderId="0"/>
    <xf numFmtId="0" fontId="18" fillId="0" borderId="0"/>
    <xf numFmtId="0" fontId="18" fillId="0" borderId="0"/>
    <xf numFmtId="0" fontId="18" fillId="0" borderId="0"/>
    <xf numFmtId="0" fontId="86" fillId="0" borderId="0" applyNumberFormat="0" applyFill="0" applyBorder="0" applyAlignment="0" applyProtection="0"/>
    <xf numFmtId="0" fontId="35" fillId="0" borderId="0"/>
    <xf numFmtId="0" fontId="35" fillId="0" borderId="0"/>
    <xf numFmtId="0" fontId="35" fillId="0" borderId="0"/>
    <xf numFmtId="0" fontId="35" fillId="0" borderId="0"/>
    <xf numFmtId="0" fontId="35" fillId="0" borderId="0"/>
    <xf numFmtId="196" fontId="35" fillId="0" borderId="0"/>
    <xf numFmtId="196" fontId="50" fillId="9" borderId="0" applyNumberFormat="0" applyBorder="0" applyAlignment="0" applyProtection="0"/>
    <xf numFmtId="196" fontId="35" fillId="0" borderId="0"/>
    <xf numFmtId="196" fontId="18" fillId="0" borderId="0"/>
    <xf numFmtId="196" fontId="56" fillId="0" borderId="0" applyNumberFormat="0" applyFill="0" applyBorder="0" applyAlignment="0" applyProtection="0"/>
    <xf numFmtId="196" fontId="18" fillId="16" borderId="0" applyNumberFormat="0" applyBorder="0" applyAlignment="0" applyProtection="0"/>
    <xf numFmtId="196" fontId="18" fillId="22" borderId="0" applyNumberFormat="0" applyBorder="0" applyAlignment="0" applyProtection="0"/>
    <xf numFmtId="0" fontId="167" fillId="12" borderId="15" applyNumberFormat="0" applyAlignment="0" applyProtection="0"/>
    <xf numFmtId="0" fontId="168" fillId="0" borderId="0"/>
    <xf numFmtId="0" fontId="169" fillId="0" borderId="2" applyProtection="0">
      <alignment horizontal="left" vertical="center"/>
    </xf>
    <xf numFmtId="0" fontId="170" fillId="0" borderId="0" applyNumberFormat="0" applyFill="0" applyBorder="0" applyAlignment="0" applyProtection="0"/>
    <xf numFmtId="43" fontId="35" fillId="0" borderId="0" applyFont="0" applyFill="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4" borderId="0" applyNumberFormat="0" applyBorder="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59" fillId="45" borderId="0" applyNumberFormat="0" applyBorder="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59" fillId="44" borderId="0" applyNumberFormat="0" applyBorder="0" applyAlignment="0" applyProtection="0"/>
    <xf numFmtId="0" fontId="18" fillId="31" borderId="0" applyNumberFormat="0" applyBorder="0" applyAlignment="0" applyProtection="0"/>
    <xf numFmtId="0" fontId="59" fillId="46"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6" borderId="0" applyNumberFormat="0" applyBorder="0" applyAlignment="0" applyProtection="0"/>
    <xf numFmtId="0" fontId="59" fillId="44" borderId="0" applyNumberFormat="0" applyBorder="0" applyAlignment="0" applyProtection="0"/>
    <xf numFmtId="0" fontId="35" fillId="0" borderId="0" applyNumberFormat="0" applyFont="0" applyFill="0" applyBorder="0" applyProtection="0">
      <alignment horizontal="left" vertical="center" indent="5"/>
    </xf>
    <xf numFmtId="0" fontId="80" fillId="46" borderId="0" applyNumberFormat="0" applyBorder="0" applyAlignment="0" applyProtection="0"/>
    <xf numFmtId="0" fontId="80" fillId="54" borderId="0" applyNumberFormat="0" applyBorder="0" applyAlignment="0" applyProtection="0"/>
    <xf numFmtId="0" fontId="80" fillId="52" borderId="0" applyNumberFormat="0" applyBorder="0" applyAlignment="0" applyProtection="0"/>
    <xf numFmtId="0" fontId="80" fillId="53" borderId="0" applyNumberFormat="0" applyBorder="0" applyAlignment="0" applyProtection="0"/>
    <xf numFmtId="0" fontId="80" fillId="48" borderId="0" applyNumberFormat="0" applyBorder="0" applyAlignment="0" applyProtection="0"/>
    <xf numFmtId="0" fontId="80" fillId="46" borderId="0" applyNumberFormat="0" applyBorder="0" applyAlignment="0" applyProtection="0"/>
    <xf numFmtId="0" fontId="80" fillId="43" borderId="0" applyNumberFormat="0" applyBorder="0" applyAlignment="0" applyProtection="0"/>
    <xf numFmtId="0" fontId="80" fillId="60" borderId="0" applyNumberFormat="0" applyBorder="0" applyAlignment="0" applyProtection="0"/>
    <xf numFmtId="0" fontId="80" fillId="54" borderId="0" applyNumberFormat="0" applyBorder="0" applyAlignment="0" applyProtection="0"/>
    <xf numFmtId="0" fontId="80" fillId="53" borderId="0" applyNumberFormat="0" applyBorder="0" applyAlignment="0" applyProtection="0"/>
    <xf numFmtId="0" fontId="80" fillId="63" borderId="0" applyNumberFormat="0" applyBorder="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80" fillId="61" borderId="0" applyNumberFormat="0" applyBorder="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82" fillId="36" borderId="23">
      <alignment horizontal="right" vertical="center"/>
    </xf>
    <xf numFmtId="0" fontId="85" fillId="65" borderId="25" applyNumberFormat="0" applyAlignment="0" applyProtection="0"/>
    <xf numFmtId="0" fontId="87" fillId="5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49" fontId="35" fillId="38" borderId="33">
      <alignment vertical="top" wrapText="1"/>
    </xf>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35" fillId="0" borderId="0" applyFont="0" applyFill="0" applyBorder="0" applyAlignment="0" applyProtection="0"/>
    <xf numFmtId="43" fontId="35" fillId="0" borderId="0" applyFont="0" applyFill="0" applyBorder="0" applyAlignment="0" applyProtection="0"/>
    <xf numFmtId="169" fontId="35" fillId="0" borderId="0" applyFont="0" applyFill="0" applyBorder="0" applyAlignment="0" applyProtection="0"/>
    <xf numFmtId="185" fontId="171"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185" fontId="17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1" fillId="0" borderId="0" applyFont="0" applyFill="0" applyBorder="0" applyAlignment="0" applyProtection="0"/>
    <xf numFmtId="171"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4" fontId="59" fillId="0" borderId="0" applyFont="0" applyFill="0" applyBorder="0" applyAlignment="0" applyProtection="0"/>
    <xf numFmtId="165" fontId="35" fillId="0" borderId="0" applyFont="0" applyFill="0" applyBorder="0" applyAlignment="0" applyProtection="0"/>
    <xf numFmtId="0" fontId="71" fillId="36" borderId="35">
      <alignment horizontal="left" vertical="center" wrapText="1" indent="2"/>
    </xf>
    <xf numFmtId="0" fontId="71" fillId="0" borderId="35">
      <alignment horizontal="left" vertical="center" wrapText="1" indent="2"/>
    </xf>
    <xf numFmtId="0" fontId="71" fillId="64" borderId="23">
      <alignment horizontal="left" vertical="center"/>
    </xf>
    <xf numFmtId="0" fontId="101" fillId="45" borderId="26" applyNumberFormat="0" applyAlignment="0" applyProtection="0"/>
    <xf numFmtId="0" fontId="105" fillId="0" borderId="38" applyNumberFormat="0" applyFill="0" applyAlignment="0" applyProtection="0"/>
    <xf numFmtId="179" fontId="35" fillId="0" borderId="0" applyFont="0" applyFill="0" applyBorder="0" applyAlignment="0" applyProtection="0"/>
    <xf numFmtId="180" fontId="35" fillId="0" borderId="0" applyFont="0" applyFill="0" applyBorder="0" applyAlignment="0" applyProtection="0"/>
    <xf numFmtId="179"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9" fontId="171" fillId="0" borderId="0" applyFont="0" applyFill="0" applyBorder="0" applyAlignment="0" applyProtection="0"/>
    <xf numFmtId="180" fontId="35" fillId="0" borderId="0" applyFont="0" applyFill="0" applyBorder="0" applyAlignment="0" applyProtection="0"/>
    <xf numFmtId="182"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78" fontId="35" fillId="0" borderId="0" applyFont="0" applyFill="0" applyBorder="0" applyAlignment="0" applyProtection="0"/>
    <xf numFmtId="178" fontId="35" fillId="0" borderId="0" applyFont="0" applyFill="0" applyBorder="0" applyAlignment="0" applyProtection="0"/>
    <xf numFmtId="181"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0" fontId="35" fillId="0" borderId="0" applyFont="0" applyFill="0" applyBorder="0" applyAlignment="0" applyProtection="0"/>
    <xf numFmtId="189" fontId="171" fillId="0" borderId="0" applyFont="0" applyFill="0" applyBorder="0" applyAlignment="0" applyProtection="0"/>
    <xf numFmtId="180" fontId="35" fillId="0" borderId="0" applyFont="0" applyFill="0" applyBorder="0" applyAlignment="0" applyProtection="0"/>
    <xf numFmtId="178" fontId="35" fillId="0" borderId="0" applyFont="0" applyFill="0" applyBorder="0" applyAlignment="0" applyProtection="0"/>
    <xf numFmtId="189" fontId="171" fillId="0" borderId="0" applyFont="0" applyFill="0" applyBorder="0" applyAlignment="0" applyProtection="0"/>
    <xf numFmtId="180" fontId="35" fillId="0" borderId="0" applyFont="0" applyFill="0" applyBorder="0" applyAlignment="0" applyProtection="0"/>
    <xf numFmtId="11" fontId="171" fillId="0" borderId="0" applyFont="0" applyFill="0" applyBorder="0" applyAlignment="0" applyProtection="0"/>
    <xf numFmtId="11" fontId="171" fillId="0" borderId="0" applyFont="0" applyFill="0" applyBorder="0" applyAlignment="0" applyProtection="0"/>
    <xf numFmtId="0" fontId="172" fillId="9" borderId="0" applyNumberFormat="0" applyBorder="0" applyAlignment="0" applyProtection="0"/>
    <xf numFmtId="0" fontId="108" fillId="46" borderId="0" applyNumberFormat="0" applyBorder="0" applyAlignment="0" applyProtection="0"/>
    <xf numFmtId="0" fontId="50" fillId="9" borderId="0" applyNumberFormat="0" applyBorder="0" applyAlignment="0" applyProtection="0"/>
    <xf numFmtId="0" fontId="50" fillId="9" borderId="0" applyNumberFormat="0" applyBorder="0" applyAlignment="0" applyProtection="0"/>
    <xf numFmtId="0" fontId="111" fillId="0" borderId="39" applyNumberFormat="0" applyFill="0" applyAlignment="0" applyProtection="0"/>
    <xf numFmtId="0" fontId="105" fillId="0" borderId="38" applyNumberFormat="0" applyFill="0" applyAlignment="0" applyProtection="0"/>
    <xf numFmtId="0" fontId="113" fillId="0" borderId="40" applyNumberFormat="0" applyFill="0" applyAlignment="0" applyProtection="0"/>
    <xf numFmtId="0" fontId="101" fillId="45" borderId="26" applyNumberFormat="0" applyAlignment="0" applyProtection="0"/>
    <xf numFmtId="0" fontId="115" fillId="0" borderId="41" applyNumberFormat="0" applyFill="0" applyAlignment="0" applyProtection="0"/>
    <xf numFmtId="0" fontId="115" fillId="0" borderId="0" applyNumberFormat="0" applyFill="0" applyBorder="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73" fillId="12" borderId="15"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52" fillId="12" borderId="15"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71" fillId="0" borderId="5">
      <alignment horizontal="right" vertical="center"/>
    </xf>
    <xf numFmtId="0" fontId="86" fillId="0" borderId="29" applyNumberFormat="0" applyFill="0" applyAlignment="0" applyProtection="0"/>
    <xf numFmtId="0" fontId="124" fillId="51" borderId="0" applyNumberFormat="0" applyBorder="0" applyAlignment="0" applyProtection="0"/>
    <xf numFmtId="0" fontId="126" fillId="51" borderId="0" applyNumberFormat="0" applyBorder="0" applyAlignment="0" applyProtection="0"/>
    <xf numFmtId="0" fontId="125" fillId="51" borderId="0" applyNumberFormat="0" applyBorder="0" applyAlignment="0" applyProtection="0"/>
    <xf numFmtId="0" fontId="69" fillId="11" borderId="0" applyNumberFormat="0" applyBorder="0" applyAlignment="0" applyProtection="0"/>
    <xf numFmtId="0" fontId="59" fillId="0" borderId="0"/>
    <xf numFmtId="0" fontId="18" fillId="0" borderId="0"/>
    <xf numFmtId="0" fontId="35" fillId="0" borderId="0"/>
    <xf numFmtId="0" fontId="35" fillId="0" borderId="0"/>
    <xf numFmtId="0" fontId="59" fillId="0" borderId="0"/>
    <xf numFmtId="0" fontId="35" fillId="0" borderId="0"/>
    <xf numFmtId="0" fontId="35" fillId="0" borderId="0"/>
    <xf numFmtId="49" fontId="35" fillId="38" borderId="33">
      <alignment vertical="top" wrapText="1"/>
    </xf>
    <xf numFmtId="0" fontId="35" fillId="0" borderId="0"/>
    <xf numFmtId="0" fontId="35" fillId="0" borderId="0"/>
    <xf numFmtId="0" fontId="68" fillId="0" borderId="0"/>
    <xf numFmtId="0" fontId="35" fillId="0" borderId="0"/>
    <xf numFmtId="0" fontId="35" fillId="0" borderId="0">
      <alignment vertical="top"/>
    </xf>
    <xf numFmtId="0" fontId="18" fillId="0" borderId="0"/>
    <xf numFmtId="0" fontId="18" fillId="0" borderId="0"/>
    <xf numFmtId="0" fontId="59" fillId="0" borderId="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35" fillId="0" borderId="0"/>
    <xf numFmtId="0" fontId="35" fillId="0" borderId="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59" fillId="0" borderId="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35" fillId="0" borderId="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59" fillId="0" borderId="0"/>
    <xf numFmtId="0" fontId="18" fillId="0" borderId="0"/>
    <xf numFmtId="0" fontId="88" fillId="65" borderId="26" applyNumberFormat="0" applyAlignment="0" applyProtection="0"/>
    <xf numFmtId="0" fontId="35" fillId="0" borderId="0"/>
    <xf numFmtId="0" fontId="18" fillId="0" borderId="0"/>
    <xf numFmtId="0" fontId="18" fillId="0" borderId="0"/>
    <xf numFmtId="0" fontId="3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5" fillId="0" borderId="0"/>
    <xf numFmtId="0" fontId="18" fillId="0" borderId="0"/>
    <xf numFmtId="0" fontId="85" fillId="65" borderId="25" applyNumberFormat="0" applyAlignment="0" applyProtection="0"/>
    <xf numFmtId="0" fontId="68" fillId="0" borderId="0"/>
    <xf numFmtId="0" fontId="82" fillId="36" borderId="22">
      <alignment horizontal="right" vertical="center"/>
    </xf>
    <xf numFmtId="0" fontId="82" fillId="36" borderId="5">
      <alignment horizontal="right" vertical="center"/>
    </xf>
    <xf numFmtId="0" fontId="82" fillId="36" borderId="5">
      <alignment horizontal="right" vertical="center"/>
    </xf>
    <xf numFmtId="0" fontId="83" fillId="64" borderId="5">
      <alignment horizontal="right" vertical="center"/>
    </xf>
    <xf numFmtId="0" fontId="82" fillId="64" borderId="5">
      <alignment horizontal="right" vertical="center"/>
    </xf>
    <xf numFmtId="0" fontId="68" fillId="0" borderId="0"/>
    <xf numFmtId="0" fontId="68" fillId="0" borderId="0"/>
    <xf numFmtId="0" fontId="35" fillId="0" borderId="0"/>
    <xf numFmtId="0" fontId="18" fillId="0" borderId="0"/>
    <xf numFmtId="0" fontId="59" fillId="0" borderId="0"/>
    <xf numFmtId="0" fontId="35" fillId="0" borderId="0"/>
    <xf numFmtId="0" fontId="35" fillId="0" borderId="0"/>
    <xf numFmtId="0" fontId="35" fillId="0" borderId="0"/>
    <xf numFmtId="0" fontId="35" fillId="0" borderId="0"/>
    <xf numFmtId="0" fontId="35" fillId="0" borderId="0"/>
    <xf numFmtId="0" fontId="18" fillId="0" borderId="0"/>
    <xf numFmtId="0" fontId="59" fillId="0" borderId="0"/>
    <xf numFmtId="0" fontId="35" fillId="0" borderId="0"/>
    <xf numFmtId="0" fontId="59" fillId="0" borderId="0"/>
    <xf numFmtId="0" fontId="35" fillId="0" borderId="0"/>
    <xf numFmtId="0" fontId="18" fillId="0" borderId="0"/>
    <xf numFmtId="0" fontId="35" fillId="0" borderId="0"/>
    <xf numFmtId="0" fontId="35" fillId="0" borderId="0"/>
    <xf numFmtId="0" fontId="174" fillId="0" borderId="0"/>
    <xf numFmtId="0" fontId="35" fillId="0" borderId="0"/>
    <xf numFmtId="0" fontId="68" fillId="0" borderId="0"/>
    <xf numFmtId="0" fontId="68" fillId="0" borderId="0"/>
    <xf numFmtId="0" fontId="68" fillId="0" borderId="0"/>
    <xf numFmtId="0" fontId="35" fillId="0" borderId="0"/>
    <xf numFmtId="0" fontId="68" fillId="0" borderId="0"/>
    <xf numFmtId="0" fontId="35" fillId="0" borderId="0"/>
    <xf numFmtId="0" fontId="18" fillId="0" borderId="0"/>
    <xf numFmtId="0" fontId="59" fillId="0" borderId="0"/>
    <xf numFmtId="0" fontId="18" fillId="0" borderId="0"/>
    <xf numFmtId="0" fontId="135" fillId="0" borderId="0"/>
    <xf numFmtId="0" fontId="35" fillId="0" borderId="0"/>
    <xf numFmtId="0" fontId="59" fillId="0" borderId="0"/>
    <xf numFmtId="0" fontId="35" fillId="0" borderId="0"/>
    <xf numFmtId="0" fontId="35" fillId="0" borderId="0"/>
    <xf numFmtId="0" fontId="18" fillId="0" borderId="0"/>
    <xf numFmtId="0" fontId="35" fillId="0" borderId="0"/>
    <xf numFmtId="0" fontId="35" fillId="0" borderId="0"/>
    <xf numFmtId="0" fontId="18" fillId="0" borderId="0"/>
    <xf numFmtId="0" fontId="18" fillId="0" borderId="0"/>
    <xf numFmtId="0" fontId="18" fillId="0" borderId="0"/>
    <xf numFmtId="0" fontId="35" fillId="0" borderId="0"/>
    <xf numFmtId="0" fontId="18" fillId="0" borderId="0"/>
    <xf numFmtId="0" fontId="59" fillId="0" borderId="0"/>
    <xf numFmtId="0" fontId="35" fillId="0" borderId="0"/>
    <xf numFmtId="0" fontId="68" fillId="0" borderId="0"/>
    <xf numFmtId="0" fontId="35" fillId="0" borderId="0"/>
    <xf numFmtId="0" fontId="59" fillId="0" borderId="0"/>
    <xf numFmtId="0" fontId="59" fillId="0" borderId="0"/>
    <xf numFmtId="0" fontId="18" fillId="0" borderId="0"/>
    <xf numFmtId="0" fontId="35" fillId="0" borderId="0"/>
    <xf numFmtId="0" fontId="18" fillId="0" borderId="0"/>
    <xf numFmtId="0" fontId="35" fillId="0" borderId="0"/>
    <xf numFmtId="0" fontId="18" fillId="0" borderId="0"/>
    <xf numFmtId="0" fontId="35" fillId="0" borderId="0"/>
    <xf numFmtId="0" fontId="35" fillId="0" borderId="0"/>
    <xf numFmtId="0" fontId="35" fillId="0" borderId="0"/>
    <xf numFmtId="0" fontId="35" fillId="0" borderId="0"/>
    <xf numFmtId="0" fontId="59" fillId="0" borderId="0"/>
    <xf numFmtId="0" fontId="35" fillId="0" borderId="0"/>
    <xf numFmtId="0" fontId="35" fillId="0" borderId="0"/>
    <xf numFmtId="0" fontId="59" fillId="0" borderId="0"/>
    <xf numFmtId="0" fontId="18" fillId="0" borderId="0"/>
    <xf numFmtId="0" fontId="35" fillId="0" borderId="0"/>
    <xf numFmtId="0" fontId="59" fillId="0" borderId="0"/>
    <xf numFmtId="0" fontId="35" fillId="0" borderId="0"/>
    <xf numFmtId="0" fontId="18" fillId="0" borderId="0"/>
    <xf numFmtId="0" fontId="35" fillId="0" borderId="0"/>
    <xf numFmtId="0" fontId="35" fillId="0" borderId="0"/>
    <xf numFmtId="0" fontId="18" fillId="0" borderId="0"/>
    <xf numFmtId="0" fontId="18" fillId="0" borderId="0"/>
    <xf numFmtId="0" fontId="18" fillId="0" borderId="0"/>
    <xf numFmtId="4" fontId="71" fillId="0" borderId="5" applyFill="0" applyBorder="0" applyProtection="0">
      <alignment horizontal="right" vertical="center"/>
    </xf>
    <xf numFmtId="0" fontId="71" fillId="0" borderId="5" applyNumberFormat="0" applyFill="0" applyAlignment="0" applyProtection="0"/>
    <xf numFmtId="0" fontId="59" fillId="44" borderId="34" applyNumberFormat="0" applyFont="0" applyAlignment="0" applyProtection="0"/>
    <xf numFmtId="0" fontId="59" fillId="44" borderId="34" applyNumberFormat="0" applyFont="0" applyAlignment="0" applyProtection="0"/>
    <xf numFmtId="0" fontId="59" fillId="44" borderId="34" applyNumberFormat="0" applyFont="0" applyAlignment="0" applyProtection="0"/>
    <xf numFmtId="0" fontId="171" fillId="44" borderId="34" applyNumberFormat="0" applyFont="0" applyAlignment="0" applyProtection="0"/>
    <xf numFmtId="0" fontId="171" fillId="44" borderId="34" applyNumberFormat="0" applyFont="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174" fontId="71" fillId="40" borderId="5" applyNumberFormat="0" applyFont="0" applyBorder="0" applyAlignment="0" applyProtection="0">
      <alignment horizontal="right"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71" fillId="0" borderId="0" applyFont="0" applyFill="0" applyBorder="0" applyAlignment="0" applyProtection="0"/>
    <xf numFmtId="9" fontId="17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9" fontId="71" fillId="0" borderId="5" applyNumberFormat="0" applyFont="0" applyFill="0" applyBorder="0" applyProtection="0">
      <alignment horizontal="left" vertical="center" indent="2"/>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01" fillId="51" borderId="26" applyNumberFormat="0" applyAlignment="0" applyProtection="0"/>
    <xf numFmtId="0" fontId="49" fillId="0" borderId="0"/>
    <xf numFmtId="196" fontId="35" fillId="0" borderId="0"/>
    <xf numFmtId="196" fontId="35" fillId="0" borderId="0"/>
    <xf numFmtId="0" fontId="35" fillId="0" borderId="0"/>
    <xf numFmtId="0" fontId="35" fillId="0" borderId="0"/>
    <xf numFmtId="0" fontId="35" fillId="0" borderId="0"/>
    <xf numFmtId="0" fontId="88" fillId="65" borderId="26" applyNumberFormat="0" applyAlignment="0" applyProtection="0"/>
    <xf numFmtId="0" fontId="49" fillId="0" borderId="0"/>
    <xf numFmtId="196" fontId="35" fillId="0" borderId="0"/>
    <xf numFmtId="196" fontId="35" fillId="0" borderId="0"/>
    <xf numFmtId="0" fontId="49" fillId="0" borderId="0"/>
    <xf numFmtId="196" fontId="35" fillId="0" borderId="0"/>
    <xf numFmtId="196" fontId="35" fillId="0" borderId="0"/>
    <xf numFmtId="196" fontId="35" fillId="0" borderId="0"/>
    <xf numFmtId="196" fontId="35" fillId="0" borderId="0"/>
    <xf numFmtId="0" fontId="49" fillId="0" borderId="0"/>
    <xf numFmtId="43" fontId="18" fillId="0" borderId="0" applyFont="0" applyFill="0" applyBorder="0" applyAlignment="0" applyProtection="0"/>
    <xf numFmtId="43" fontId="35" fillId="0" borderId="0" applyFont="0" applyFill="0" applyBorder="0" applyAlignment="0" applyProtection="0"/>
    <xf numFmtId="0" fontId="85" fillId="65" borderId="25"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90" fillId="67"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0" fontId="88" fillId="65" borderId="26" applyNumberFormat="0" applyAlignment="0" applyProtection="0"/>
    <xf numFmtId="49" fontId="35" fillId="38" borderId="33">
      <alignment vertical="top" wrapText="1"/>
    </xf>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1"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7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4" fontId="59" fillId="0" borderId="0" applyFont="0" applyFill="0" applyBorder="0" applyAlignment="0" applyProtection="0"/>
    <xf numFmtId="0" fontId="101" fillId="45" borderId="26" applyNumberFormat="0" applyAlignment="0" applyProtection="0"/>
    <xf numFmtId="0" fontId="105" fillId="0" borderId="38" applyNumberFormat="0" applyFill="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51"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101" fillId="45" borderId="26"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7"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85" fillId="65" borderId="25" applyNumberFormat="0" applyAlignment="0" applyProtection="0"/>
    <xf numFmtId="0" fontId="35" fillId="0" borderId="0"/>
    <xf numFmtId="43" fontId="18" fillId="0" borderId="0" applyFont="0" applyFill="0" applyBorder="0" applyAlignment="0" applyProtection="0"/>
    <xf numFmtId="0" fontId="49" fillId="0" borderId="0"/>
    <xf numFmtId="196" fontId="35" fillId="0" borderId="0"/>
    <xf numFmtId="196" fontId="35" fillId="0" borderId="0"/>
    <xf numFmtId="0" fontId="101" fillId="45" borderId="26" applyNumberFormat="0" applyAlignment="0" applyProtection="0"/>
    <xf numFmtId="0" fontId="52" fillId="12" borderId="15" applyNumberFormat="0" applyAlignment="0" applyProtection="0"/>
    <xf numFmtId="0" fontId="82" fillId="36" borderId="5">
      <alignment horizontal="right" vertical="center"/>
    </xf>
    <xf numFmtId="0" fontId="82" fillId="36" borderId="48">
      <alignment horizontal="right" vertical="center"/>
    </xf>
    <xf numFmtId="0" fontId="82" fillId="36" borderId="49">
      <alignment horizontal="right" vertical="center"/>
    </xf>
    <xf numFmtId="0" fontId="178" fillId="65" borderId="26" applyNumberFormat="0" applyAlignment="0" applyProtection="0"/>
    <xf numFmtId="0" fontId="71" fillId="64" borderId="21">
      <alignment horizontal="right" vertical="center"/>
    </xf>
    <xf numFmtId="4" fontId="82" fillId="36" borderId="5">
      <alignment horizontal="right" vertical="center"/>
    </xf>
    <xf numFmtId="0" fontId="71" fillId="0" borderId="0" applyBorder="0">
      <alignment horizontal="right" vertical="center"/>
    </xf>
    <xf numFmtId="4" fontId="82" fillId="36" borderId="48">
      <alignment horizontal="right" vertical="center"/>
    </xf>
    <xf numFmtId="0" fontId="82" fillId="36" borderId="49">
      <alignment horizontal="right" vertical="center"/>
    </xf>
    <xf numFmtId="0" fontId="101" fillId="45" borderId="26" applyNumberFormat="0" applyAlignment="0" applyProtection="0"/>
    <xf numFmtId="0" fontId="175" fillId="44" borderId="34" applyNumberFormat="0" applyFont="0" applyAlignment="0" applyProtection="0"/>
    <xf numFmtId="174" fontId="71" fillId="40" borderId="5" applyNumberFormat="0" applyFont="0" applyBorder="0" applyAlignment="0" applyProtection="0">
      <alignment horizontal="right" vertical="center"/>
    </xf>
    <xf numFmtId="0" fontId="71" fillId="36" borderId="46">
      <alignment horizontal="left" vertical="center" wrapText="1" indent="2"/>
    </xf>
    <xf numFmtId="0" fontId="175" fillId="44" borderId="34" applyNumberFormat="0" applyFont="0" applyAlignment="0" applyProtection="0"/>
    <xf numFmtId="4" fontId="71" fillId="72" borderId="5"/>
    <xf numFmtId="0" fontId="83" fillId="64" borderId="5">
      <alignment horizontal="right" vertical="center"/>
    </xf>
    <xf numFmtId="0" fontId="175" fillId="44" borderId="34" applyNumberFormat="0" applyFont="0" applyAlignment="0" applyProtection="0"/>
    <xf numFmtId="0" fontId="71" fillId="72" borderId="5"/>
    <xf numFmtId="4" fontId="82" fillId="36" borderId="5">
      <alignment horizontal="right" vertical="center"/>
    </xf>
    <xf numFmtId="0" fontId="82" fillId="64" borderId="47">
      <alignment horizontal="right" vertical="center"/>
    </xf>
    <xf numFmtId="0" fontId="71" fillId="0" borderId="47">
      <alignment horizontal="right" vertical="center"/>
    </xf>
    <xf numFmtId="4" fontId="82" fillId="36" borderId="5">
      <alignment horizontal="right" vertical="center"/>
    </xf>
    <xf numFmtId="0" fontId="82" fillId="36" borderId="47">
      <alignment horizontal="right" vertical="center"/>
    </xf>
    <xf numFmtId="0" fontId="175" fillId="44" borderId="34" applyNumberFormat="0" applyFont="0" applyAlignment="0" applyProtection="0"/>
    <xf numFmtId="4" fontId="82" fillId="36" borderId="22">
      <alignment horizontal="right" vertical="center"/>
    </xf>
    <xf numFmtId="0" fontId="71" fillId="38" borderId="5">
      <alignment horizontal="right" vertical="center"/>
    </xf>
    <xf numFmtId="0" fontId="190" fillId="65" borderId="25" applyNumberFormat="0" applyAlignment="0" applyProtection="0"/>
    <xf numFmtId="0" fontId="88" fillId="65" borderId="26" applyNumberFormat="0" applyAlignment="0" applyProtection="0"/>
    <xf numFmtId="0" fontId="35" fillId="85" borderId="5"/>
    <xf numFmtId="4" fontId="35" fillId="0" borderId="0"/>
    <xf numFmtId="4" fontId="71" fillId="0" borderId="5" applyFill="0" applyBorder="0" applyProtection="0">
      <alignment horizontal="right" vertical="center"/>
    </xf>
    <xf numFmtId="0" fontId="153" fillId="0" borderId="0" applyNumberFormat="0" applyFill="0" applyBorder="0" applyAlignment="0" applyProtection="0"/>
    <xf numFmtId="0" fontId="71" fillId="0" borderId="0"/>
    <xf numFmtId="4" fontId="35" fillId="0" borderId="0"/>
    <xf numFmtId="4" fontId="35" fillId="0" borderId="0"/>
    <xf numFmtId="0" fontId="18" fillId="0" borderId="0"/>
    <xf numFmtId="0" fontId="82" fillId="64" borderId="5">
      <alignment horizontal="right" vertical="center"/>
    </xf>
    <xf numFmtId="0" fontId="71" fillId="72" borderId="5"/>
    <xf numFmtId="0" fontId="82" fillId="36" borderId="22">
      <alignment horizontal="right" vertical="center"/>
    </xf>
    <xf numFmtId="0" fontId="35" fillId="44" borderId="34" applyNumberFormat="0" applyFont="0" applyAlignment="0" applyProtection="0"/>
    <xf numFmtId="0" fontId="192" fillId="0" borderId="38" applyNumberFormat="0" applyFill="0" applyAlignment="0" applyProtection="0"/>
    <xf numFmtId="4" fontId="82" fillId="36" borderId="5">
      <alignment horizontal="right" vertical="center"/>
    </xf>
    <xf numFmtId="0" fontId="82" fillId="64" borderId="5">
      <alignment horizontal="right" vertical="center"/>
    </xf>
    <xf numFmtId="0" fontId="53" fillId="13" borderId="16" applyNumberFormat="0" applyAlignment="0" applyProtection="0"/>
    <xf numFmtId="0" fontId="54" fillId="13" borderId="15" applyNumberFormat="0" applyAlignment="0" applyProtection="0"/>
    <xf numFmtId="4" fontId="71" fillId="72" borderId="5"/>
    <xf numFmtId="0" fontId="41" fillId="0" borderId="0" applyNumberFormat="0" applyFill="0" applyBorder="0" applyAlignment="0" applyProtection="0"/>
    <xf numFmtId="49" fontId="71" fillId="0" borderId="5" applyNumberFormat="0" applyFont="0" applyFill="0" applyBorder="0" applyProtection="0">
      <alignment horizontal="left" vertical="center" indent="2"/>
    </xf>
    <xf numFmtId="0" fontId="56" fillId="0" borderId="0" applyNumberFormat="0" applyFill="0" applyBorder="0" applyAlignment="0" applyProtection="0"/>
    <xf numFmtId="0" fontId="46" fillId="0" borderId="20" applyNumberFormat="0" applyFill="0" applyAlignment="0" applyProtection="0"/>
    <xf numFmtId="0" fontId="18" fillId="16" borderId="0" applyNumberFormat="0" applyBorder="0" applyAlignment="0" applyProtection="0"/>
    <xf numFmtId="0" fontId="18" fillId="17" borderId="0" applyNumberFormat="0" applyBorder="0" applyAlignment="0" applyProtection="0"/>
    <xf numFmtId="0" fontId="57" fillId="18" borderId="0" applyNumberFormat="0" applyBorder="0" applyAlignment="0" applyProtection="0"/>
    <xf numFmtId="0" fontId="178" fillId="65" borderId="26" applyNumberFormat="0" applyAlignment="0" applyProtection="0"/>
    <xf numFmtId="0" fontId="18" fillId="19" borderId="0" applyNumberFormat="0" applyBorder="0" applyAlignment="0" applyProtection="0"/>
    <xf numFmtId="0" fontId="18" fillId="20" borderId="0" applyNumberFormat="0" applyBorder="0" applyAlignment="0" applyProtection="0"/>
    <xf numFmtId="0" fontId="57" fillId="21" borderId="0" applyNumberFormat="0" applyBorder="0" applyAlignment="0" applyProtection="0"/>
    <xf numFmtId="0" fontId="18" fillId="23"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57" fillId="24" borderId="0" applyNumberFormat="0" applyBorder="0" applyAlignment="0" applyProtection="0"/>
    <xf numFmtId="0" fontId="178" fillId="65" borderId="26" applyNumberFormat="0" applyAlignment="0" applyProtection="0"/>
    <xf numFmtId="0" fontId="18" fillId="25" borderId="0" applyNumberFormat="0" applyBorder="0" applyAlignment="0" applyProtection="0"/>
    <xf numFmtId="0" fontId="18" fillId="26" borderId="0" applyNumberFormat="0" applyBorder="0" applyAlignment="0" applyProtection="0"/>
    <xf numFmtId="0" fontId="57"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57"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57" fillId="33" borderId="0" applyNumberFormat="0" applyBorder="0" applyAlignment="0" applyProtection="0"/>
    <xf numFmtId="0" fontId="71" fillId="0" borderId="5" applyNumberFormat="0" applyFill="0" applyAlignment="0" applyProtection="0"/>
    <xf numFmtId="0" fontId="82" fillId="36" borderId="5">
      <alignment horizontal="right" vertical="center"/>
    </xf>
    <xf numFmtId="0" fontId="82" fillId="36" borderId="5">
      <alignment horizontal="right" vertical="center"/>
    </xf>
    <xf numFmtId="0" fontId="71" fillId="0" borderId="35">
      <alignment horizontal="left" vertical="center" wrapText="1" indent="2"/>
    </xf>
    <xf numFmtId="0" fontId="82" fillId="36" borderId="22">
      <alignment horizontal="right" vertical="center"/>
    </xf>
    <xf numFmtId="0" fontId="71" fillId="0" borderId="5">
      <alignment horizontal="right" vertical="center"/>
    </xf>
    <xf numFmtId="0" fontId="83" fillId="64" borderId="5">
      <alignment horizontal="right" vertical="center"/>
    </xf>
    <xf numFmtId="0" fontId="71" fillId="72" borderId="5"/>
    <xf numFmtId="0" fontId="82" fillId="64" borderId="5">
      <alignment horizontal="right" vertical="center"/>
    </xf>
    <xf numFmtId="0" fontId="82" fillId="36" borderId="23">
      <alignment horizontal="right" vertical="center"/>
    </xf>
    <xf numFmtId="0" fontId="103" fillId="0" borderId="0" applyNumberFormat="0" applyFill="0" applyBorder="0" applyAlignment="0" applyProtection="0"/>
    <xf numFmtId="0" fontId="175" fillId="47" borderId="0" applyNumberFormat="0" applyBorder="0" applyAlignment="0" applyProtection="0"/>
    <xf numFmtId="0" fontId="175" fillId="48" borderId="0" applyNumberFormat="0" applyBorder="0" applyAlignment="0" applyProtection="0"/>
    <xf numFmtId="0" fontId="175" fillId="49" borderId="0" applyNumberFormat="0" applyBorder="0" applyAlignment="0" applyProtection="0"/>
    <xf numFmtId="0" fontId="175" fillId="50" borderId="0" applyNumberFormat="0" applyBorder="0" applyAlignment="0" applyProtection="0"/>
    <xf numFmtId="0" fontId="175" fillId="46" borderId="0" applyNumberFormat="0" applyBorder="0" applyAlignment="0" applyProtection="0"/>
    <xf numFmtId="0" fontId="175" fillId="45" borderId="0" applyNumberFormat="0" applyBorder="0" applyAlignment="0" applyProtection="0"/>
    <xf numFmtId="0" fontId="190" fillId="65" borderId="25" applyNumberFormat="0" applyAlignment="0" applyProtection="0"/>
    <xf numFmtId="0" fontId="35" fillId="0" borderId="0"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0" fontId="175" fillId="42" borderId="0" applyNumberFormat="0" applyBorder="0" applyAlignment="0" applyProtection="0"/>
    <xf numFmtId="0" fontId="175" fillId="43" borderId="0" applyNumberFormat="0" applyBorder="0" applyAlignment="0" applyProtection="0"/>
    <xf numFmtId="0" fontId="175" fillId="52" borderId="0" applyNumberFormat="0" applyBorder="0" applyAlignment="0" applyProtection="0"/>
    <xf numFmtId="0" fontId="175" fillId="50" borderId="0" applyNumberFormat="0" applyBorder="0" applyAlignment="0" applyProtection="0"/>
    <xf numFmtId="0" fontId="175" fillId="42" borderId="0" applyNumberFormat="0" applyBorder="0" applyAlignment="0" applyProtection="0"/>
    <xf numFmtId="0" fontId="175" fillId="53" borderId="0" applyNumberFormat="0" applyBorder="0" applyAlignment="0" applyProtection="0"/>
    <xf numFmtId="0" fontId="35" fillId="0" borderId="0" applyNumberFormat="0" applyFont="0" applyFill="0" applyBorder="0" applyProtection="0">
      <alignment horizontal="left" vertical="center" indent="5"/>
    </xf>
    <xf numFmtId="0" fontId="35" fillId="0" borderId="0" applyNumberFormat="0" applyFont="0" applyFill="0" applyBorder="0" applyProtection="0">
      <alignment horizontal="left" vertical="center" indent="5"/>
    </xf>
    <xf numFmtId="49" fontId="71" fillId="0" borderId="23" applyNumberFormat="0" applyFont="0" applyFill="0" applyBorder="0" applyProtection="0">
      <alignment horizontal="left" vertical="center" indent="5"/>
    </xf>
    <xf numFmtId="0" fontId="176" fillId="55" borderId="0" applyNumberFormat="0" applyBorder="0" applyAlignment="0" applyProtection="0"/>
    <xf numFmtId="0" fontId="176" fillId="43" borderId="0" applyNumberFormat="0" applyBorder="0" applyAlignment="0" applyProtection="0"/>
    <xf numFmtId="0" fontId="176" fillId="52" borderId="0" applyNumberFormat="0" applyBorder="0" applyAlignment="0" applyProtection="0"/>
    <xf numFmtId="0" fontId="176" fillId="56" borderId="0" applyNumberFormat="0" applyBorder="0" applyAlignment="0" applyProtection="0"/>
    <xf numFmtId="0" fontId="176" fillId="57" borderId="0" applyNumberFormat="0" applyBorder="0" applyAlignment="0" applyProtection="0"/>
    <xf numFmtId="0" fontId="176" fillId="58" borderId="0" applyNumberFormat="0" applyBorder="0" applyAlignment="0" applyProtection="0"/>
    <xf numFmtId="0" fontId="176" fillId="59" borderId="0" applyNumberFormat="0" applyBorder="0" applyAlignment="0" applyProtection="0"/>
    <xf numFmtId="0" fontId="176" fillId="61" borderId="0" applyNumberFormat="0" applyBorder="0" applyAlignment="0" applyProtection="0"/>
    <xf numFmtId="0" fontId="176" fillId="62" borderId="0" applyNumberFormat="0" applyBorder="0" applyAlignment="0" applyProtection="0"/>
    <xf numFmtId="0" fontId="176" fillId="56" borderId="0" applyNumberFormat="0" applyBorder="0" applyAlignment="0" applyProtection="0"/>
    <xf numFmtId="0" fontId="176" fillId="57" borderId="0" applyNumberFormat="0" applyBorder="0" applyAlignment="0" applyProtection="0"/>
    <xf numFmtId="0" fontId="176" fillId="54" borderId="0" applyNumberFormat="0" applyBorder="0" applyAlignment="0" applyProtection="0"/>
    <xf numFmtId="0" fontId="105" fillId="0" borderId="38" applyNumberFormat="0" applyFill="0" applyAlignment="0" applyProtection="0"/>
    <xf numFmtId="4" fontId="72" fillId="38" borderId="0" applyBorder="0" applyAlignment="0"/>
    <xf numFmtId="4" fontId="71" fillId="38" borderId="0" applyBorder="0">
      <alignment horizontal="right" vertical="center"/>
    </xf>
    <xf numFmtId="4" fontId="71" fillId="64" borderId="0" applyBorder="0">
      <alignment horizontal="right" vertical="center"/>
    </xf>
    <xf numFmtId="4" fontId="71" fillId="64" borderId="0" applyBorder="0">
      <alignment horizontal="right" vertical="center"/>
    </xf>
    <xf numFmtId="4" fontId="82" fillId="64" borderId="5">
      <alignment horizontal="right" vertical="center"/>
    </xf>
    <xf numFmtId="4" fontId="83" fillId="64" borderId="5">
      <alignment horizontal="right" vertical="center"/>
    </xf>
    <xf numFmtId="4" fontId="82" fillId="36" borderId="5">
      <alignment horizontal="right" vertical="center"/>
    </xf>
    <xf numFmtId="4" fontId="82" fillId="36" borderId="5">
      <alignment horizontal="right" vertical="center"/>
    </xf>
    <xf numFmtId="4" fontId="82" fillId="36" borderId="23">
      <alignment horizontal="right" vertical="center"/>
    </xf>
    <xf numFmtId="4" fontId="82" fillId="36" borderId="22">
      <alignment horizontal="right" vertical="center"/>
    </xf>
    <xf numFmtId="0" fontId="186" fillId="45" borderId="26" applyNumberFormat="0" applyAlignment="0" applyProtection="0"/>
    <xf numFmtId="49" fontId="71" fillId="0" borderId="5" applyNumberFormat="0" applyFont="0" applyFill="0" applyBorder="0" applyProtection="0">
      <alignment horizontal="left" vertical="center" indent="2"/>
    </xf>
    <xf numFmtId="0" fontId="175" fillId="44" borderId="34" applyNumberFormat="0" applyFont="0" applyAlignment="0" applyProtection="0"/>
    <xf numFmtId="4" fontId="82" fillId="36" borderId="49">
      <alignment horizontal="right" vertical="center"/>
    </xf>
    <xf numFmtId="0" fontId="82" fillId="64" borderId="5">
      <alignment horizontal="right" vertical="center"/>
    </xf>
    <xf numFmtId="0" fontId="101" fillId="45" borderId="26" applyNumberFormat="0" applyAlignment="0" applyProtection="0"/>
    <xf numFmtId="0" fontId="177" fillId="48" borderId="0" applyNumberFormat="0" applyBorder="0" applyAlignment="0" applyProtection="0"/>
    <xf numFmtId="0" fontId="192" fillId="0" borderId="38" applyNumberFormat="0" applyFill="0" applyAlignment="0" applyProtection="0"/>
    <xf numFmtId="0" fontId="178" fillId="65" borderId="26" applyNumberFormat="0" applyAlignment="0" applyProtection="0"/>
    <xf numFmtId="0" fontId="179" fillId="68" borderId="28" applyNumberFormat="0" applyAlignment="0" applyProtection="0"/>
    <xf numFmtId="0" fontId="85" fillId="65" borderId="25" applyNumberFormat="0" applyAlignment="0" applyProtection="0"/>
    <xf numFmtId="192" fontId="180" fillId="0" borderId="0" applyFont="0" applyFill="0" applyBorder="0" applyAlignment="0" applyProtection="0"/>
    <xf numFmtId="0" fontId="178" fillId="65" borderId="26" applyNumberFormat="0" applyAlignment="0" applyProtection="0"/>
    <xf numFmtId="0" fontId="101" fillId="45" borderId="26" applyNumberFormat="0" applyAlignment="0" applyProtection="0"/>
    <xf numFmtId="49" fontId="72" fillId="0" borderId="5" applyNumberFormat="0" applyFill="0" applyBorder="0" applyProtection="0">
      <alignment horizontal="left" vertical="center"/>
    </xf>
    <xf numFmtId="0" fontId="181" fillId="0" borderId="0" applyNumberFormat="0" applyFill="0" applyBorder="0" applyAlignment="0" applyProtection="0"/>
    <xf numFmtId="0" fontId="182" fillId="49" borderId="0" applyNumberFormat="0" applyBorder="0" applyAlignment="0" applyProtection="0"/>
    <xf numFmtId="0" fontId="192" fillId="0" borderId="38" applyNumberFormat="0" applyFill="0" applyAlignment="0" applyProtection="0"/>
    <xf numFmtId="0" fontId="183" fillId="0" borderId="30" applyNumberFormat="0" applyFill="0" applyAlignment="0" applyProtection="0"/>
    <xf numFmtId="0" fontId="184" fillId="0" borderId="31" applyNumberFormat="0" applyFill="0" applyAlignment="0" applyProtection="0"/>
    <xf numFmtId="0" fontId="185" fillId="0" borderId="32" applyNumberFormat="0" applyFill="0" applyAlignment="0" applyProtection="0"/>
    <xf numFmtId="0" fontId="185" fillId="0" borderId="0" applyNumberFormat="0" applyFill="0" applyBorder="0" applyAlignment="0" applyProtection="0"/>
    <xf numFmtId="0" fontId="186" fillId="45" borderId="26" applyNumberFormat="0" applyAlignment="0" applyProtection="0"/>
    <xf numFmtId="4" fontId="71" fillId="0" borderId="0" applyBorder="0">
      <alignment horizontal="right" vertical="center"/>
    </xf>
    <xf numFmtId="0" fontId="71" fillId="0" borderId="2">
      <alignment horizontal="right" vertical="center"/>
    </xf>
    <xf numFmtId="4" fontId="71" fillId="0" borderId="5">
      <alignment horizontal="right" vertical="center"/>
    </xf>
    <xf numFmtId="0" fontId="82" fillId="36" borderId="5">
      <alignment horizontal="right" vertical="center"/>
    </xf>
    <xf numFmtId="0" fontId="187" fillId="0" borderId="27" applyNumberFormat="0" applyFill="0" applyAlignment="0" applyProtection="0"/>
    <xf numFmtId="0" fontId="188" fillId="51" borderId="0" applyNumberFormat="0" applyBorder="0" applyAlignment="0" applyProtection="0"/>
    <xf numFmtId="0" fontId="35" fillId="0" borderId="0"/>
    <xf numFmtId="0" fontId="35" fillId="0" borderId="0"/>
    <xf numFmtId="0" fontId="82" fillId="36" borderId="49">
      <alignment horizontal="right" vertical="center"/>
    </xf>
    <xf numFmtId="0" fontId="41" fillId="0" borderId="0" applyNumberFormat="0" applyFill="0" applyBorder="0" applyAlignment="0" applyProtection="0"/>
    <xf numFmtId="0" fontId="180" fillId="0" borderId="0"/>
    <xf numFmtId="4" fontId="189" fillId="0" borderId="0"/>
    <xf numFmtId="4" fontId="82" fillId="36" borderId="5">
      <alignment horizontal="right" vertical="center"/>
    </xf>
    <xf numFmtId="4" fontId="83" fillId="64" borderId="5">
      <alignment horizontal="right" vertical="center"/>
    </xf>
    <xf numFmtId="0" fontId="71" fillId="36" borderId="46">
      <alignment horizontal="left" vertical="center" wrapText="1" indent="2"/>
    </xf>
    <xf numFmtId="0" fontId="35" fillId="44" borderId="34" applyNumberFormat="0" applyFont="0" applyAlignment="0" applyProtection="0"/>
    <xf numFmtId="4" fontId="71" fillId="0" borderId="5" applyFill="0" applyBorder="0" applyProtection="0">
      <alignment horizontal="right" vertical="center"/>
    </xf>
    <xf numFmtId="4" fontId="71" fillId="0" borderId="5" applyFill="0" applyBorder="0" applyProtection="0">
      <alignment horizontal="right" vertical="center"/>
    </xf>
    <xf numFmtId="0" fontId="72" fillId="0" borderId="0" applyNumberFormat="0" applyFill="0" applyBorder="0" applyProtection="0">
      <alignment horizontal="left" vertical="center"/>
    </xf>
    <xf numFmtId="49" fontId="72" fillId="0" borderId="5" applyNumberFormat="0" applyFill="0" applyBorder="0" applyProtection="0">
      <alignment horizontal="left" vertical="center"/>
    </xf>
    <xf numFmtId="4" fontId="35" fillId="72" borderId="0" applyNumberFormat="0" applyFont="0" applyBorder="0" applyAlignment="0" applyProtection="0"/>
    <xf numFmtId="4" fontId="35" fillId="72" borderId="0" applyNumberFormat="0" applyFont="0" applyBorder="0" applyAlignment="0" applyProtection="0"/>
    <xf numFmtId="0" fontId="35" fillId="72" borderId="0" applyNumberFormat="0" applyFont="0" applyBorder="0" applyAlignment="0" applyProtection="0"/>
    <xf numFmtId="0" fontId="180" fillId="39" borderId="0" applyNumberFormat="0" applyFont="0" applyBorder="0" applyAlignment="0" applyProtection="0"/>
    <xf numFmtId="0" fontId="175" fillId="44" borderId="34" applyNumberFormat="0" applyFont="0" applyAlignment="0" applyProtection="0"/>
    <xf numFmtId="0" fontId="35" fillId="44" borderId="34" applyNumberFormat="0" applyFont="0" applyAlignment="0" applyProtection="0"/>
    <xf numFmtId="0" fontId="190" fillId="65" borderId="25" applyNumberFormat="0" applyAlignment="0" applyProtection="0"/>
    <xf numFmtId="9" fontId="180" fillId="0" borderId="0" applyFont="0" applyFill="0" applyBorder="0" applyAlignment="0" applyProtection="0"/>
    <xf numFmtId="0" fontId="82" fillId="64" borderId="5">
      <alignment horizontal="right" vertical="center"/>
    </xf>
    <xf numFmtId="4" fontId="71" fillId="72" borderId="5"/>
    <xf numFmtId="0" fontId="71" fillId="72" borderId="47"/>
    <xf numFmtId="0" fontId="191" fillId="0" borderId="0" applyNumberFormat="0" applyFill="0" applyBorder="0" applyAlignment="0" applyProtection="0"/>
    <xf numFmtId="0" fontId="192" fillId="0" borderId="38" applyNumberFormat="0" applyFill="0" applyAlignment="0" applyProtection="0"/>
    <xf numFmtId="4" fontId="82" fillId="36" borderId="5">
      <alignment horizontal="right" vertical="center"/>
    </xf>
    <xf numFmtId="0" fontId="71" fillId="0" borderId="46">
      <alignment horizontal="left" vertical="center" wrapText="1" indent="2"/>
    </xf>
    <xf numFmtId="0" fontId="82" fillId="36" borderId="5">
      <alignment horizontal="right" vertical="center"/>
    </xf>
    <xf numFmtId="0" fontId="192" fillId="0" borderId="38" applyNumberFormat="0" applyFill="0" applyAlignment="0" applyProtection="0"/>
    <xf numFmtId="0" fontId="193" fillId="0" borderId="0" applyNumberFormat="0" applyFill="0" applyBorder="0" applyAlignment="0" applyProtection="0"/>
    <xf numFmtId="0" fontId="175" fillId="44" borderId="34" applyNumberFormat="0" applyFont="0" applyAlignment="0" applyProtection="0"/>
    <xf numFmtId="4" fontId="82" fillId="36" borderId="5">
      <alignment horizontal="right" vertical="center"/>
    </xf>
    <xf numFmtId="0" fontId="194" fillId="0" borderId="0" applyNumberFormat="0" applyFill="0" applyBorder="0" applyAlignment="0" applyProtection="0"/>
    <xf numFmtId="0" fontId="35" fillId="0" borderId="0" applyNumberFormat="0" applyFont="0" applyFill="0" applyBorder="0" applyProtection="0">
      <alignment horizontal="left" vertical="center"/>
    </xf>
    <xf numFmtId="0" fontId="71" fillId="64" borderId="0" applyBorder="0">
      <alignment horizontal="right" vertical="center"/>
    </xf>
    <xf numFmtId="0" fontId="71" fillId="64" borderId="0" applyBorder="0">
      <alignment horizontal="right" vertical="center"/>
    </xf>
    <xf numFmtId="0" fontId="71" fillId="0" borderId="0" applyBorder="0">
      <alignment horizontal="right" vertical="center"/>
    </xf>
    <xf numFmtId="4" fontId="35" fillId="0" borderId="0"/>
    <xf numFmtId="0" fontId="195" fillId="0" borderId="0"/>
    <xf numFmtId="0" fontId="35" fillId="72" borderId="0" applyNumberFormat="0" applyFont="0" applyBorder="0" applyAlignment="0" applyProtection="0"/>
    <xf numFmtId="0" fontId="153" fillId="0" borderId="0" applyNumberFormat="0" applyFill="0" applyBorder="0" applyAlignment="0" applyProtection="0"/>
    <xf numFmtId="0" fontId="175" fillId="47" borderId="0" applyNumberFormat="0" applyBorder="0" applyAlignment="0" applyProtection="0"/>
    <xf numFmtId="0" fontId="175" fillId="48" borderId="0" applyNumberFormat="0" applyBorder="0" applyAlignment="0" applyProtection="0"/>
    <xf numFmtId="0" fontId="175" fillId="49" borderId="0" applyNumberFormat="0" applyBorder="0" applyAlignment="0" applyProtection="0"/>
    <xf numFmtId="0" fontId="175" fillId="50" borderId="0" applyNumberFormat="0" applyBorder="0" applyAlignment="0" applyProtection="0"/>
    <xf numFmtId="0" fontId="175" fillId="46" borderId="0" applyNumberFormat="0" applyBorder="0" applyAlignment="0" applyProtection="0"/>
    <xf numFmtId="0" fontId="175" fillId="45" borderId="0" applyNumberFormat="0" applyBorder="0" applyAlignment="0" applyProtection="0"/>
    <xf numFmtId="0" fontId="175" fillId="42" borderId="0" applyNumberFormat="0" applyBorder="0" applyAlignment="0" applyProtection="0"/>
    <xf numFmtId="0" fontId="175" fillId="43" borderId="0" applyNumberFormat="0" applyBorder="0" applyAlignment="0" applyProtection="0"/>
    <xf numFmtId="0" fontId="175" fillId="52" borderId="0" applyNumberFormat="0" applyBorder="0" applyAlignment="0" applyProtection="0"/>
    <xf numFmtId="0" fontId="175" fillId="50" borderId="0" applyNumberFormat="0" applyBorder="0" applyAlignment="0" applyProtection="0"/>
    <xf numFmtId="0" fontId="175" fillId="42" borderId="0" applyNumberFormat="0" applyBorder="0" applyAlignment="0" applyProtection="0"/>
    <xf numFmtId="0" fontId="175" fillId="53" borderId="0" applyNumberFormat="0" applyBorder="0" applyAlignment="0" applyProtection="0"/>
    <xf numFmtId="0" fontId="176" fillId="55" borderId="0" applyNumberFormat="0" applyBorder="0" applyAlignment="0" applyProtection="0"/>
    <xf numFmtId="0" fontId="176" fillId="43" borderId="0" applyNumberFormat="0" applyBorder="0" applyAlignment="0" applyProtection="0"/>
    <xf numFmtId="0" fontId="176" fillId="52" borderId="0" applyNumberFormat="0" applyBorder="0" applyAlignment="0" applyProtection="0"/>
    <xf numFmtId="0" fontId="176" fillId="56" borderId="0" applyNumberFormat="0" applyBorder="0" applyAlignment="0" applyProtection="0"/>
    <xf numFmtId="0" fontId="176" fillId="57" borderId="0" applyNumberFormat="0" applyBorder="0" applyAlignment="0" applyProtection="0"/>
    <xf numFmtId="0" fontId="176" fillId="58" borderId="0" applyNumberFormat="0" applyBorder="0" applyAlignment="0" applyProtection="0"/>
    <xf numFmtId="0" fontId="176" fillId="59" borderId="0" applyNumberFormat="0" applyBorder="0" applyAlignment="0" applyProtection="0"/>
    <xf numFmtId="0" fontId="176" fillId="61" borderId="0" applyNumberFormat="0" applyBorder="0" applyAlignment="0" applyProtection="0"/>
    <xf numFmtId="0" fontId="176" fillId="62" borderId="0" applyNumberFormat="0" applyBorder="0" applyAlignment="0" applyProtection="0"/>
    <xf numFmtId="0" fontId="176" fillId="56" borderId="0" applyNumberFormat="0" applyBorder="0" applyAlignment="0" applyProtection="0"/>
    <xf numFmtId="0" fontId="176" fillId="57" borderId="0" applyNumberFormat="0" applyBorder="0" applyAlignment="0" applyProtection="0"/>
    <xf numFmtId="0" fontId="176" fillId="54" borderId="0" applyNumberFormat="0" applyBorder="0" applyAlignment="0" applyProtection="0"/>
    <xf numFmtId="0" fontId="177" fillId="48" borderId="0" applyNumberFormat="0" applyBorder="0" applyAlignment="0" applyProtection="0"/>
    <xf numFmtId="0" fontId="178" fillId="65" borderId="26" applyNumberFormat="0" applyAlignment="0" applyProtection="0"/>
    <xf numFmtId="0" fontId="179" fillId="68" borderId="28" applyNumberFormat="0" applyAlignment="0" applyProtection="0"/>
    <xf numFmtId="0" fontId="181" fillId="0" borderId="0" applyNumberFormat="0" applyFill="0" applyBorder="0" applyAlignment="0" applyProtection="0"/>
    <xf numFmtId="0" fontId="182" fillId="49" borderId="0" applyNumberFormat="0" applyBorder="0" applyAlignment="0" applyProtection="0"/>
    <xf numFmtId="0" fontId="183" fillId="0" borderId="30" applyNumberFormat="0" applyFill="0" applyAlignment="0" applyProtection="0"/>
    <xf numFmtId="0" fontId="184" fillId="0" borderId="31" applyNumberFormat="0" applyFill="0" applyAlignment="0" applyProtection="0"/>
    <xf numFmtId="0" fontId="185" fillId="0" borderId="32" applyNumberFormat="0" applyFill="0" applyAlignment="0" applyProtection="0"/>
    <xf numFmtId="0" fontId="185" fillId="0" borderId="0" applyNumberFormat="0" applyFill="0" applyBorder="0" applyAlignment="0" applyProtection="0"/>
    <xf numFmtId="0" fontId="186" fillId="45" borderId="26" applyNumberFormat="0" applyAlignment="0" applyProtection="0"/>
    <xf numFmtId="0" fontId="187" fillId="0" borderId="27" applyNumberFormat="0" applyFill="0" applyAlignment="0" applyProtection="0"/>
    <xf numFmtId="0" fontId="188" fillId="51" borderId="0" applyNumberFormat="0" applyBorder="0" applyAlignment="0" applyProtection="0"/>
    <xf numFmtId="4" fontId="82" fillId="36" borderId="5">
      <alignment horizontal="right" vertical="center"/>
    </xf>
    <xf numFmtId="0" fontId="175" fillId="44" borderId="34" applyNumberFormat="0" applyFont="0" applyAlignment="0" applyProtection="0"/>
    <xf numFmtId="0" fontId="190" fillId="65" borderId="25" applyNumberFormat="0" applyAlignment="0" applyProtection="0"/>
    <xf numFmtId="0" fontId="191" fillId="0" borderId="0" applyNumberFormat="0" applyFill="0" applyBorder="0" applyAlignment="0" applyProtection="0"/>
    <xf numFmtId="0" fontId="192" fillId="0" borderId="38" applyNumberFormat="0" applyFill="0" applyAlignment="0" applyProtection="0"/>
    <xf numFmtId="0" fontId="193" fillId="0" borderId="0" applyNumberFormat="0" applyFill="0" applyBorder="0" applyAlignment="0" applyProtection="0"/>
    <xf numFmtId="0" fontId="196" fillId="0" borderId="0">
      <alignment horizontal="left" vertical="center" indent="1"/>
    </xf>
    <xf numFmtId="0" fontId="175" fillId="47" borderId="0" applyNumberFormat="0" applyBorder="0" applyAlignment="0" applyProtection="0"/>
    <xf numFmtId="0" fontId="175" fillId="48" borderId="0" applyNumberFormat="0" applyBorder="0" applyAlignment="0" applyProtection="0"/>
    <xf numFmtId="0" fontId="175" fillId="49" borderId="0" applyNumberFormat="0" applyBorder="0" applyAlignment="0" applyProtection="0"/>
    <xf numFmtId="0" fontId="175" fillId="50" borderId="0" applyNumberFormat="0" applyBorder="0" applyAlignment="0" applyProtection="0"/>
    <xf numFmtId="0" fontId="175" fillId="46" borderId="0" applyNumberFormat="0" applyBorder="0" applyAlignment="0" applyProtection="0"/>
    <xf numFmtId="0" fontId="175" fillId="45" borderId="0" applyNumberFormat="0" applyBorder="0" applyAlignment="0" applyProtection="0"/>
    <xf numFmtId="0" fontId="175" fillId="42" borderId="0" applyNumberFormat="0" applyBorder="0" applyAlignment="0" applyProtection="0"/>
    <xf numFmtId="0" fontId="175" fillId="43" borderId="0" applyNumberFormat="0" applyBorder="0" applyAlignment="0" applyProtection="0"/>
    <xf numFmtId="0" fontId="175" fillId="52" borderId="0" applyNumberFormat="0" applyBorder="0" applyAlignment="0" applyProtection="0"/>
    <xf numFmtId="0" fontId="175" fillId="50" borderId="0" applyNumberFormat="0" applyBorder="0" applyAlignment="0" applyProtection="0"/>
    <xf numFmtId="0" fontId="175" fillId="42" borderId="0" applyNumberFormat="0" applyBorder="0" applyAlignment="0" applyProtection="0"/>
    <xf numFmtId="0" fontId="175" fillId="53" borderId="0" applyNumberFormat="0" applyBorder="0" applyAlignment="0" applyProtection="0"/>
    <xf numFmtId="0" fontId="176" fillId="55" borderId="0" applyNumberFormat="0" applyBorder="0" applyAlignment="0" applyProtection="0"/>
    <xf numFmtId="0" fontId="176" fillId="43" borderId="0" applyNumberFormat="0" applyBorder="0" applyAlignment="0" applyProtection="0"/>
    <xf numFmtId="0" fontId="176" fillId="52" borderId="0" applyNumberFormat="0" applyBorder="0" applyAlignment="0" applyProtection="0"/>
    <xf numFmtId="0" fontId="176" fillId="56" borderId="0" applyNumberFormat="0" applyBorder="0" applyAlignment="0" applyProtection="0"/>
    <xf numFmtId="0" fontId="176" fillId="57" borderId="0" applyNumberFormat="0" applyBorder="0" applyAlignment="0" applyProtection="0"/>
    <xf numFmtId="0" fontId="176" fillId="58" borderId="0" applyNumberFormat="0" applyBorder="0" applyAlignment="0" applyProtection="0"/>
    <xf numFmtId="0" fontId="192" fillId="0" borderId="38" applyNumberFormat="0" applyFill="0" applyAlignment="0" applyProtection="0"/>
    <xf numFmtId="4" fontId="82" fillId="64" borderId="5">
      <alignment horizontal="right" vertical="center"/>
    </xf>
    <xf numFmtId="4" fontId="82" fillId="36" borderId="48">
      <alignment horizontal="right" vertical="center"/>
    </xf>
    <xf numFmtId="4" fontId="83" fillId="64" borderId="5">
      <alignment horizontal="right" vertical="center"/>
    </xf>
    <xf numFmtId="0" fontId="71" fillId="72" borderId="5"/>
    <xf numFmtId="4" fontId="82" fillId="36" borderId="5">
      <alignment horizontal="right" vertical="center"/>
    </xf>
    <xf numFmtId="0" fontId="71" fillId="0" borderId="5" applyNumberFormat="0" applyFill="0" applyAlignment="0" applyProtection="0"/>
    <xf numFmtId="4" fontId="82" fillId="36" borderId="5">
      <alignment horizontal="right" vertical="center"/>
    </xf>
    <xf numFmtId="0" fontId="82" fillId="36" borderId="23">
      <alignment horizontal="right" vertical="center"/>
    </xf>
    <xf numFmtId="4" fontId="82" fillId="36" borderId="23">
      <alignment horizontal="right" vertical="center"/>
    </xf>
    <xf numFmtId="0" fontId="82" fillId="36" borderId="22">
      <alignment horizontal="right" vertical="center"/>
    </xf>
    <xf numFmtId="4" fontId="82" fillId="36" borderId="22">
      <alignment horizontal="right" vertical="center"/>
    </xf>
    <xf numFmtId="0" fontId="178" fillId="65" borderId="26" applyNumberFormat="0" applyAlignment="0" applyProtection="0"/>
    <xf numFmtId="0" fontId="71" fillId="36" borderId="35">
      <alignment horizontal="left" vertical="center" wrapText="1" indent="2"/>
    </xf>
    <xf numFmtId="0" fontId="71" fillId="0" borderId="35">
      <alignment horizontal="left" vertical="center" wrapText="1" indent="2"/>
    </xf>
    <xf numFmtId="0" fontId="71" fillId="64" borderId="23">
      <alignment horizontal="left" vertical="center"/>
    </xf>
    <xf numFmtId="0" fontId="181" fillId="0" borderId="0" applyNumberFormat="0" applyFill="0" applyBorder="0" applyAlignment="0" applyProtection="0"/>
    <xf numFmtId="0" fontId="186" fillId="45" borderId="26" applyNumberFormat="0" applyAlignment="0" applyProtection="0"/>
    <xf numFmtId="0" fontId="71" fillId="0" borderId="5">
      <alignment horizontal="right" vertical="center"/>
    </xf>
    <xf numFmtId="4" fontId="71" fillId="0" borderId="5">
      <alignment horizontal="right" vertical="center"/>
    </xf>
    <xf numFmtId="0" fontId="18" fillId="0" borderId="0"/>
    <xf numFmtId="0" fontId="105" fillId="0" borderId="38" applyNumberFormat="0" applyFill="0" applyAlignment="0" applyProtection="0"/>
    <xf numFmtId="0" fontId="190" fillId="65" borderId="25" applyNumberFormat="0" applyAlignment="0" applyProtection="0"/>
    <xf numFmtId="174" fontId="71" fillId="40" borderId="5" applyNumberFormat="0" applyFont="0" applyBorder="0" applyAlignment="0" applyProtection="0">
      <alignment horizontal="right" vertical="center"/>
    </xf>
    <xf numFmtId="0" fontId="71" fillId="72" borderId="5"/>
    <xf numFmtId="4" fontId="71" fillId="72" borderId="5"/>
    <xf numFmtId="0" fontId="192" fillId="0" borderId="38" applyNumberFormat="0" applyFill="0" applyAlignment="0" applyProtection="0"/>
    <xf numFmtId="0" fontId="193" fillId="0" borderId="0" applyNumberFormat="0" applyFill="0" applyBorder="0" applyAlignment="0" applyProtection="0"/>
    <xf numFmtId="0" fontId="18" fillId="0" borderId="0"/>
    <xf numFmtId="4" fontId="82" fillId="36" borderId="49">
      <alignment horizontal="right" vertical="center"/>
    </xf>
    <xf numFmtId="0" fontId="18" fillId="20" borderId="0" applyNumberFormat="0" applyBorder="0" applyAlignment="0" applyProtection="0"/>
    <xf numFmtId="174" fontId="71" fillId="40" borderId="5" applyNumberFormat="0" applyFont="0" applyBorder="0" applyAlignment="0" applyProtection="0">
      <alignment horizontal="right" vertical="center"/>
    </xf>
    <xf numFmtId="0" fontId="18" fillId="29" borderId="0" applyNumberFormat="0" applyBorder="0" applyAlignment="0" applyProtection="0"/>
    <xf numFmtId="0" fontId="71" fillId="36" borderId="46">
      <alignment horizontal="left" vertical="center" wrapText="1" indent="2"/>
    </xf>
    <xf numFmtId="4" fontId="82" fillId="64" borderId="5">
      <alignment horizontal="right" vertical="center"/>
    </xf>
    <xf numFmtId="0" fontId="18" fillId="19" borderId="0" applyNumberFormat="0" applyBorder="0" applyAlignment="0" applyProtection="0"/>
    <xf numFmtId="0" fontId="71" fillId="0" borderId="5">
      <alignment horizontal="right" vertical="center"/>
    </xf>
    <xf numFmtId="0" fontId="18" fillId="25" borderId="0" applyNumberFormat="0" applyBorder="0" applyAlignment="0" applyProtection="0"/>
    <xf numFmtId="0" fontId="57" fillId="33" borderId="0" applyNumberFormat="0" applyBorder="0" applyAlignment="0" applyProtection="0"/>
    <xf numFmtId="0" fontId="71" fillId="0" borderId="5" applyNumberFormat="0" applyFill="0" applyAlignment="0" applyProtection="0"/>
    <xf numFmtId="0" fontId="18" fillId="28" borderId="0" applyNumberFormat="0" applyBorder="0" applyAlignment="0" applyProtection="0"/>
    <xf numFmtId="0" fontId="18" fillId="0" borderId="0"/>
    <xf numFmtId="0" fontId="18" fillId="0" borderId="0"/>
    <xf numFmtId="0" fontId="18" fillId="0" borderId="0"/>
    <xf numFmtId="4" fontId="83" fillId="64" borderId="5">
      <alignment horizontal="right" vertical="center"/>
    </xf>
    <xf numFmtId="0" fontId="186" fillId="45" borderId="26" applyNumberFormat="0" applyAlignment="0" applyProtection="0"/>
    <xf numFmtId="0" fontId="18" fillId="23" borderId="0" applyNumberFormat="0" applyBorder="0" applyAlignment="0" applyProtection="0"/>
    <xf numFmtId="0" fontId="18" fillId="0" borderId="0"/>
    <xf numFmtId="0" fontId="71" fillId="0" borderId="46">
      <alignment horizontal="left" vertical="center" wrapText="1" indent="2"/>
    </xf>
    <xf numFmtId="0" fontId="57" fillId="24" borderId="0" applyNumberFormat="0" applyBorder="0" applyAlignment="0" applyProtection="0"/>
    <xf numFmtId="0" fontId="18" fillId="31" borderId="0" applyNumberFormat="0" applyBorder="0" applyAlignment="0" applyProtection="0"/>
    <xf numFmtId="0" fontId="186" fillId="45" borderId="26" applyNumberFormat="0" applyAlignment="0" applyProtection="0"/>
    <xf numFmtId="0" fontId="18" fillId="0" borderId="0"/>
    <xf numFmtId="0" fontId="18" fillId="32" borderId="0" applyNumberFormat="0" applyBorder="0" applyAlignment="0" applyProtection="0"/>
    <xf numFmtId="0" fontId="57" fillId="27" borderId="0" applyNumberFormat="0" applyBorder="0" applyAlignment="0" applyProtection="0"/>
    <xf numFmtId="0" fontId="18" fillId="0" borderId="0"/>
    <xf numFmtId="0" fontId="192" fillId="0" borderId="38" applyNumberFormat="0" applyFill="0" applyAlignment="0" applyProtection="0"/>
    <xf numFmtId="0" fontId="71" fillId="0" borderId="5" applyNumberFormat="0" applyFill="0" applyAlignment="0" applyProtection="0"/>
    <xf numFmtId="0" fontId="18" fillId="16" borderId="0" applyNumberFormat="0" applyBorder="0" applyAlignment="0" applyProtection="0"/>
    <xf numFmtId="0" fontId="57" fillId="18" borderId="0" applyNumberFormat="0" applyBorder="0" applyAlignment="0" applyProtection="0"/>
    <xf numFmtId="0" fontId="18" fillId="0" borderId="0"/>
    <xf numFmtId="0" fontId="18" fillId="0" borderId="0"/>
    <xf numFmtId="0" fontId="105" fillId="0" borderId="38" applyNumberFormat="0" applyFill="0" applyAlignment="0" applyProtection="0"/>
    <xf numFmtId="0" fontId="18" fillId="0" borderId="0"/>
    <xf numFmtId="0" fontId="71" fillId="64" borderId="48">
      <alignment horizontal="left" vertical="center"/>
    </xf>
    <xf numFmtId="0" fontId="18" fillId="0" borderId="0"/>
    <xf numFmtId="0" fontId="192" fillId="0" borderId="38" applyNumberFormat="0" applyFill="0" applyAlignment="0" applyProtection="0"/>
    <xf numFmtId="0" fontId="175" fillId="44" borderId="34" applyNumberFormat="0" applyFont="0" applyAlignment="0" applyProtection="0"/>
    <xf numFmtId="0" fontId="18" fillId="0" borderId="0"/>
    <xf numFmtId="0" fontId="18" fillId="0" borderId="0"/>
    <xf numFmtId="4" fontId="82" fillId="64" borderId="5">
      <alignment horizontal="right" vertical="center"/>
    </xf>
    <xf numFmtId="0" fontId="18" fillId="0" borderId="0"/>
    <xf numFmtId="0" fontId="18" fillId="0" borderId="0"/>
    <xf numFmtId="49" fontId="71" fillId="0" borderId="5" applyNumberFormat="0" applyFont="0" applyFill="0" applyBorder="0" applyProtection="0">
      <alignment horizontal="left" vertical="center" indent="2"/>
    </xf>
    <xf numFmtId="0" fontId="52" fillId="12" borderId="15" applyNumberFormat="0" applyAlignment="0" applyProtection="0"/>
    <xf numFmtId="0" fontId="71" fillId="64" borderId="0" applyBorder="0">
      <alignment horizontal="right" vertical="center"/>
    </xf>
    <xf numFmtId="0" fontId="71" fillId="64" borderId="0" applyBorder="0">
      <alignment horizontal="right" vertical="center"/>
    </xf>
    <xf numFmtId="0" fontId="71" fillId="0" borderId="0" applyBorder="0">
      <alignment horizontal="right" vertical="center"/>
    </xf>
    <xf numFmtId="0" fontId="186" fillId="45" borderId="26" applyNumberFormat="0" applyAlignment="0" applyProtection="0"/>
    <xf numFmtId="49" fontId="71" fillId="0" borderId="23" applyNumberFormat="0" applyFont="0" applyFill="0" applyBorder="0" applyProtection="0">
      <alignment horizontal="left" vertical="center" indent="5"/>
    </xf>
    <xf numFmtId="0" fontId="71" fillId="0" borderId="46">
      <alignment horizontal="left" vertical="center" wrapText="1" indent="2"/>
    </xf>
    <xf numFmtId="0" fontId="88" fillId="65" borderId="26" applyNumberFormat="0" applyAlignment="0" applyProtection="0"/>
    <xf numFmtId="4" fontId="82" fillId="36" borderId="5">
      <alignment horizontal="right" vertical="center"/>
    </xf>
    <xf numFmtId="0" fontId="18" fillId="26" borderId="0" applyNumberFormat="0" applyBorder="0" applyAlignment="0" applyProtection="0"/>
    <xf numFmtId="0" fontId="57" fillId="21" borderId="0" applyNumberFormat="0" applyBorder="0" applyAlignment="0" applyProtection="0"/>
    <xf numFmtId="4" fontId="71" fillId="72" borderId="5"/>
    <xf numFmtId="4" fontId="35" fillId="0" borderId="0"/>
    <xf numFmtId="0" fontId="18" fillId="22" borderId="0" applyNumberFormat="0" applyBorder="0" applyAlignment="0" applyProtection="0"/>
    <xf numFmtId="0" fontId="83" fillId="64" borderId="5">
      <alignment horizontal="right" vertical="center"/>
    </xf>
    <xf numFmtId="49" fontId="72" fillId="0" borderId="5" applyNumberFormat="0" applyFill="0" applyBorder="0" applyProtection="0">
      <alignment horizontal="left" vertical="center"/>
    </xf>
    <xf numFmtId="0" fontId="35" fillId="72" borderId="0" applyNumberFormat="0" applyFont="0" applyBorder="0" applyAlignment="0" applyProtection="0"/>
    <xf numFmtId="0" fontId="178" fillId="65" borderId="26" applyNumberFormat="0" applyAlignment="0" applyProtection="0"/>
    <xf numFmtId="0" fontId="190" fillId="65" borderId="25" applyNumberFormat="0" applyAlignment="0" applyProtection="0"/>
    <xf numFmtId="0" fontId="192" fillId="0" borderId="38" applyNumberFormat="0" applyFill="0" applyAlignment="0" applyProtection="0"/>
    <xf numFmtId="0" fontId="82" fillId="36" borderId="5">
      <alignment horizontal="right" vertical="center"/>
    </xf>
    <xf numFmtId="0" fontId="192" fillId="0" borderId="38" applyNumberFormat="0" applyFill="0" applyAlignment="0" applyProtection="0"/>
    <xf numFmtId="0" fontId="82" fillId="36" borderId="5">
      <alignment horizontal="right" vertical="center"/>
    </xf>
    <xf numFmtId="4" fontId="71" fillId="0" borderId="5">
      <alignment horizontal="right" vertical="center"/>
    </xf>
    <xf numFmtId="0" fontId="153" fillId="0" borderId="0" applyNumberFormat="0" applyFill="0" applyBorder="0" applyAlignment="0" applyProtection="0"/>
    <xf numFmtId="0" fontId="178" fillId="65" borderId="26" applyNumberFormat="0" applyAlignment="0" applyProtection="0"/>
    <xf numFmtId="0" fontId="52" fillId="12" borderId="15" applyNumberFormat="0" applyAlignment="0" applyProtection="0"/>
    <xf numFmtId="0" fontId="59" fillId="47"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46" borderId="0" applyNumberFormat="0" applyBorder="0" applyAlignment="0" applyProtection="0"/>
    <xf numFmtId="0" fontId="59" fillId="45"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52" borderId="0" applyNumberFormat="0" applyBorder="0" applyAlignment="0" applyProtection="0"/>
    <xf numFmtId="0" fontId="59" fillId="50" borderId="0" applyNumberFormat="0" applyBorder="0" applyAlignment="0" applyProtection="0"/>
    <xf numFmtId="0" fontId="59" fillId="42" borderId="0" applyNumberFormat="0" applyBorder="0" applyAlignment="0" applyProtection="0"/>
    <xf numFmtId="0" fontId="59" fillId="53" borderId="0" applyNumberFormat="0" applyBorder="0" applyAlignment="0" applyProtection="0"/>
    <xf numFmtId="0" fontId="80" fillId="55" borderId="0" applyNumberFormat="0" applyBorder="0" applyAlignment="0" applyProtection="0"/>
    <xf numFmtId="0" fontId="80" fillId="43" borderId="0" applyNumberFormat="0" applyBorder="0" applyAlignment="0" applyProtection="0"/>
    <xf numFmtId="0" fontId="80" fillId="52" borderId="0" applyNumberFormat="0" applyBorder="0" applyAlignment="0" applyProtection="0"/>
    <xf numFmtId="0" fontId="80" fillId="56" borderId="0" applyNumberFormat="0" applyBorder="0" applyAlignment="0" applyProtection="0"/>
    <xf numFmtId="0" fontId="80" fillId="57" borderId="0" applyNumberFormat="0" applyBorder="0" applyAlignment="0" applyProtection="0"/>
    <xf numFmtId="0" fontId="80" fillId="58" borderId="0" applyNumberFormat="0" applyBorder="0" applyAlignment="0" applyProtection="0"/>
    <xf numFmtId="0" fontId="85" fillId="65" borderId="25" applyNumberFormat="0" applyAlignment="0" applyProtection="0"/>
    <xf numFmtId="0" fontId="88" fillId="65" borderId="26" applyNumberFormat="0" applyAlignment="0" applyProtection="0"/>
    <xf numFmtId="0" fontId="105" fillId="0" borderId="38" applyNumberFormat="0" applyFill="0" applyAlignment="0" applyProtection="0"/>
    <xf numFmtId="0" fontId="106" fillId="0" borderId="0" applyNumberFormat="0" applyFill="0" applyBorder="0" applyAlignment="0" applyProtection="0"/>
    <xf numFmtId="0" fontId="71" fillId="72" borderId="5"/>
    <xf numFmtId="0" fontId="86" fillId="0" borderId="0" applyNumberFormat="0" applyFill="0" applyBorder="0" applyAlignment="0" applyProtection="0"/>
    <xf numFmtId="0" fontId="18" fillId="0" borderId="0"/>
    <xf numFmtId="0" fontId="105" fillId="0" borderId="38" applyNumberFormat="0" applyFill="0" applyAlignment="0" applyProtection="0"/>
    <xf numFmtId="49" fontId="71" fillId="0" borderId="5" applyNumberFormat="0" applyFont="0" applyFill="0" applyBorder="0" applyProtection="0">
      <alignment horizontal="left" vertical="center" indent="2"/>
    </xf>
    <xf numFmtId="49" fontId="71" fillId="0" borderId="23" applyNumberFormat="0" applyFont="0" applyFill="0" applyBorder="0" applyProtection="0">
      <alignment horizontal="left" vertical="center" indent="5"/>
    </xf>
    <xf numFmtId="0" fontId="82" fillId="64" borderId="5">
      <alignment horizontal="right" vertical="center"/>
    </xf>
    <xf numFmtId="4" fontId="82" fillId="64" borderId="5">
      <alignment horizontal="right" vertical="center"/>
    </xf>
    <xf numFmtId="0" fontId="83" fillId="64" borderId="5">
      <alignment horizontal="right" vertical="center"/>
    </xf>
    <xf numFmtId="4" fontId="83" fillId="64" borderId="5">
      <alignment horizontal="right" vertical="center"/>
    </xf>
    <xf numFmtId="0" fontId="82" fillId="36" borderId="5">
      <alignment horizontal="right" vertical="center"/>
    </xf>
    <xf numFmtId="4" fontId="82" fillId="36" borderId="5">
      <alignment horizontal="right" vertical="center"/>
    </xf>
    <xf numFmtId="0" fontId="82" fillId="36" borderId="5">
      <alignment horizontal="right" vertical="center"/>
    </xf>
    <xf numFmtId="4" fontId="82" fillId="36" borderId="5">
      <alignment horizontal="right" vertical="center"/>
    </xf>
    <xf numFmtId="0" fontId="82" fillId="36" borderId="23">
      <alignment horizontal="right" vertical="center"/>
    </xf>
    <xf numFmtId="4" fontId="82" fillId="36" borderId="23">
      <alignment horizontal="right" vertical="center"/>
    </xf>
    <xf numFmtId="0" fontId="82" fillId="36" borderId="22">
      <alignment horizontal="right" vertical="center"/>
    </xf>
    <xf numFmtId="4" fontId="82" fillId="36" borderId="22">
      <alignment horizontal="right" vertical="center"/>
    </xf>
    <xf numFmtId="192" fontId="74" fillId="0" borderId="0" applyFont="0" applyFill="0" applyBorder="0" applyAlignment="0" applyProtection="0"/>
    <xf numFmtId="0" fontId="71" fillId="36" borderId="35">
      <alignment horizontal="left" vertical="center" wrapText="1" indent="2"/>
    </xf>
    <xf numFmtId="0" fontId="71" fillId="0" borderId="35">
      <alignment horizontal="left" vertical="center" wrapText="1" indent="2"/>
    </xf>
    <xf numFmtId="0" fontId="178" fillId="65" borderId="26" applyNumberFormat="0" applyAlignment="0" applyProtection="0"/>
    <xf numFmtId="0" fontId="101" fillId="45" borderId="26" applyNumberFormat="0" applyAlignment="0" applyProtection="0"/>
    <xf numFmtId="0" fontId="71" fillId="0" borderId="5">
      <alignment horizontal="right" vertical="center"/>
    </xf>
    <xf numFmtId="4" fontId="71" fillId="0" borderId="5">
      <alignment horizontal="right" vertical="center"/>
    </xf>
    <xf numFmtId="0" fontId="74" fillId="0" borderId="0"/>
    <xf numFmtId="0" fontId="195" fillId="0" borderId="0"/>
    <xf numFmtId="0" fontId="195" fillId="0" borderId="0"/>
    <xf numFmtId="0" fontId="57" fillId="21" borderId="0" applyNumberFormat="0" applyBorder="0" applyAlignment="0" applyProtection="0"/>
    <xf numFmtId="4" fontId="83" fillId="64" borderId="5">
      <alignment horizontal="right" vertical="center"/>
    </xf>
    <xf numFmtId="4" fontId="71" fillId="0" borderId="5">
      <alignment horizontal="right" vertical="center"/>
    </xf>
    <xf numFmtId="0" fontId="195" fillId="0" borderId="0"/>
    <xf numFmtId="4" fontId="71" fillId="0" borderId="5" applyFill="0" applyBorder="0" applyProtection="0">
      <alignment horizontal="right" vertical="center"/>
    </xf>
    <xf numFmtId="4" fontId="71" fillId="0" borderId="5" applyFill="0" applyBorder="0" applyProtection="0">
      <alignment horizontal="right" vertical="center"/>
    </xf>
    <xf numFmtId="49" fontId="72" fillId="0" borderId="5" applyNumberFormat="0" applyFill="0" applyBorder="0" applyProtection="0">
      <alignment horizontal="left" vertical="center"/>
    </xf>
    <xf numFmtId="0" fontId="71" fillId="0" borderId="5" applyNumberFormat="0" applyFill="0" applyAlignment="0" applyProtection="0"/>
    <xf numFmtId="0" fontId="74" fillId="39" borderId="0" applyNumberFormat="0" applyFont="0" applyBorder="0" applyAlignment="0" applyProtection="0"/>
    <xf numFmtId="174" fontId="71" fillId="40" borderId="5" applyNumberFormat="0" applyFont="0" applyBorder="0" applyAlignment="0" applyProtection="0">
      <alignment horizontal="right" vertical="center"/>
    </xf>
    <xf numFmtId="9" fontId="74" fillId="0" borderId="0" applyFont="0" applyFill="0" applyBorder="0" applyAlignment="0" applyProtection="0"/>
    <xf numFmtId="0" fontId="71" fillId="72" borderId="5"/>
    <xf numFmtId="4" fontId="71" fillId="72" borderId="5"/>
    <xf numFmtId="0" fontId="71" fillId="36" borderId="35">
      <alignment horizontal="left" vertical="center" wrapText="1" indent="2"/>
    </xf>
    <xf numFmtId="0" fontId="71" fillId="0" borderId="35">
      <alignment horizontal="left" vertical="center" wrapText="1" indent="2"/>
    </xf>
    <xf numFmtId="4" fontId="83" fillId="64" borderId="5">
      <alignment horizontal="right" vertical="center"/>
    </xf>
    <xf numFmtId="49" fontId="71" fillId="0" borderId="48" applyNumberFormat="0" applyFont="0" applyFill="0" applyBorder="0" applyProtection="0">
      <alignment horizontal="left" vertical="center" indent="5"/>
    </xf>
    <xf numFmtId="0" fontId="18" fillId="0" borderId="0"/>
    <xf numFmtId="0" fontId="57" fillId="30" borderId="0" applyNumberFormat="0" applyBorder="0" applyAlignment="0" applyProtection="0"/>
    <xf numFmtId="0" fontId="18" fillId="0" borderId="0"/>
    <xf numFmtId="0" fontId="18" fillId="0" borderId="0"/>
    <xf numFmtId="0" fontId="192" fillId="0" borderId="38" applyNumberFormat="0" applyFill="0" applyAlignment="0" applyProtection="0"/>
    <xf numFmtId="0" fontId="18" fillId="0" borderId="0"/>
    <xf numFmtId="0" fontId="18" fillId="0" borderId="0"/>
    <xf numFmtId="0" fontId="18" fillId="0" borderId="0"/>
    <xf numFmtId="0" fontId="18" fillId="0" borderId="0"/>
    <xf numFmtId="0" fontId="18" fillId="26" borderId="0" applyNumberFormat="0" applyBorder="0" applyAlignment="0" applyProtection="0"/>
    <xf numFmtId="0" fontId="18" fillId="0" borderId="0"/>
    <xf numFmtId="0" fontId="18" fillId="0" borderId="0"/>
    <xf numFmtId="0" fontId="18" fillId="0" borderId="0"/>
    <xf numFmtId="0" fontId="18" fillId="0" borderId="0"/>
    <xf numFmtId="0" fontId="18" fillId="23" borderId="0" applyNumberFormat="0" applyBorder="0" applyAlignment="0" applyProtection="0"/>
    <xf numFmtId="0" fontId="18" fillId="0" borderId="0"/>
    <xf numFmtId="0" fontId="18" fillId="0" borderId="0"/>
    <xf numFmtId="0" fontId="18" fillId="17" borderId="0" applyNumberFormat="0" applyBorder="0" applyAlignment="0" applyProtection="0"/>
    <xf numFmtId="0" fontId="18" fillId="0" borderId="0"/>
    <xf numFmtId="0" fontId="71" fillId="64" borderId="48">
      <alignment horizontal="left" vertical="center"/>
    </xf>
    <xf numFmtId="0" fontId="18" fillId="0" borderId="0"/>
    <xf numFmtId="0" fontId="18" fillId="0" borderId="0"/>
    <xf numFmtId="0" fontId="18" fillId="0" borderId="0"/>
    <xf numFmtId="0" fontId="18" fillId="0" borderId="0"/>
    <xf numFmtId="0" fontId="85" fillId="65" borderId="25" applyNumberFormat="0" applyAlignment="0" applyProtection="0"/>
    <xf numFmtId="4" fontId="82" fillId="36" borderId="48">
      <alignment horizontal="right" vertical="center"/>
    </xf>
    <xf numFmtId="49" fontId="72" fillId="0" borderId="5" applyNumberFormat="0" applyFill="0" applyBorder="0" applyProtection="0">
      <alignment horizontal="lef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5" fillId="65" borderId="25" applyNumberFormat="0" applyAlignment="0" applyProtection="0"/>
    <xf numFmtId="0" fontId="18" fillId="0" borderId="0"/>
    <xf numFmtId="4" fontId="82" fillId="36" borderId="5">
      <alignment horizontal="right" vertical="center"/>
    </xf>
    <xf numFmtId="0" fontId="18" fillId="0" borderId="0"/>
    <xf numFmtId="0" fontId="18" fillId="0" borderId="0"/>
    <xf numFmtId="0" fontId="18" fillId="0" borderId="0"/>
    <xf numFmtId="0" fontId="82" fillId="64" borderId="5">
      <alignment horizontal="righ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71" fillId="36" borderId="35">
      <alignment horizontal="left" vertical="center" wrapText="1" indent="2"/>
    </xf>
    <xf numFmtId="0" fontId="71" fillId="0" borderId="35">
      <alignment horizontal="left" vertical="center" wrapText="1" indent="2"/>
    </xf>
    <xf numFmtId="4" fontId="71" fillId="0" borderId="5" applyFill="0" applyBorder="0" applyProtection="0">
      <alignment horizontal="right" vertical="center"/>
    </xf>
    <xf numFmtId="4" fontId="82" fillId="36" borderId="5">
      <alignment horizontal="right" vertical="center"/>
    </xf>
    <xf numFmtId="0" fontId="71" fillId="72" borderId="5"/>
    <xf numFmtId="0" fontId="88" fillId="65" borderId="26" applyNumberFormat="0" applyAlignment="0" applyProtection="0"/>
    <xf numFmtId="0" fontId="82" fillId="64" borderId="5">
      <alignment horizontal="right" vertical="center"/>
    </xf>
    <xf numFmtId="0" fontId="71" fillId="0" borderId="5">
      <alignment horizontal="right" vertical="center"/>
    </xf>
    <xf numFmtId="0" fontId="192" fillId="0" borderId="38" applyNumberFormat="0" applyFill="0" applyAlignment="0" applyProtection="0"/>
    <xf numFmtId="0" fontId="71" fillId="64" borderId="23">
      <alignment horizontal="left" vertical="center"/>
    </xf>
    <xf numFmtId="0" fontId="186" fillId="45" borderId="26" applyNumberFormat="0" applyAlignment="0" applyProtection="0"/>
    <xf numFmtId="174" fontId="71" fillId="40" borderId="5" applyNumberFormat="0" applyFont="0" applyBorder="0" applyAlignment="0" applyProtection="0">
      <alignment horizontal="right" vertical="center"/>
    </xf>
    <xf numFmtId="0" fontId="175" fillId="44" borderId="34" applyNumberFormat="0" applyFont="0" applyAlignment="0" applyProtection="0"/>
    <xf numFmtId="0" fontId="71" fillId="0" borderId="35">
      <alignment horizontal="left" vertical="center" wrapText="1" indent="2"/>
    </xf>
    <xf numFmtId="4" fontId="71" fillId="72" borderId="5"/>
    <xf numFmtId="49" fontId="72" fillId="0" borderId="5" applyNumberFormat="0" applyFill="0" applyBorder="0" applyProtection="0">
      <alignment horizontal="left" vertical="center"/>
    </xf>
    <xf numFmtId="0" fontId="71" fillId="0" borderId="5">
      <alignment horizontal="right" vertical="center"/>
    </xf>
    <xf numFmtId="4" fontId="82" fillId="36" borderId="22">
      <alignment horizontal="right" vertical="center"/>
    </xf>
    <xf numFmtId="4" fontId="82" fillId="36" borderId="5">
      <alignment horizontal="right" vertical="center"/>
    </xf>
    <xf numFmtId="4" fontId="82" fillId="36" borderId="5">
      <alignment horizontal="right" vertical="center"/>
    </xf>
    <xf numFmtId="0" fontId="83" fillId="64" borderId="5">
      <alignment horizontal="right" vertical="center"/>
    </xf>
    <xf numFmtId="0" fontId="82" fillId="64" borderId="5">
      <alignment horizontal="right" vertical="center"/>
    </xf>
    <xf numFmtId="0" fontId="186" fillId="45" borderId="26" applyNumberFormat="0" applyAlignment="0" applyProtection="0"/>
    <xf numFmtId="0" fontId="85" fillId="65" borderId="25" applyNumberFormat="0" applyAlignment="0" applyProtection="0"/>
    <xf numFmtId="49" fontId="71" fillId="0" borderId="5" applyNumberFormat="0" applyFont="0" applyFill="0" applyBorder="0" applyProtection="0">
      <alignment horizontal="left" vertical="center" indent="2"/>
    </xf>
    <xf numFmtId="0" fontId="101" fillId="45" borderId="26" applyNumberFormat="0" applyAlignment="0" applyProtection="0"/>
    <xf numFmtId="0" fontId="71" fillId="36" borderId="46">
      <alignment horizontal="left" vertical="center" wrapText="1" indent="2"/>
    </xf>
    <xf numFmtId="0" fontId="178" fillId="65" borderId="26" applyNumberFormat="0" applyAlignment="0" applyProtection="0"/>
    <xf numFmtId="0" fontId="192" fillId="0" borderId="38" applyNumberFormat="0" applyFill="0" applyAlignment="0" applyProtection="0"/>
    <xf numFmtId="0" fontId="190" fillId="65" borderId="25" applyNumberFormat="0" applyAlignment="0" applyProtection="0"/>
    <xf numFmtId="0" fontId="71" fillId="0" borderId="5" applyNumberFormat="0" applyFill="0" applyAlignment="0" applyProtection="0"/>
    <xf numFmtId="4" fontId="71" fillId="0" borderId="5">
      <alignment horizontal="right" vertical="center"/>
    </xf>
    <xf numFmtId="0" fontId="71" fillId="0" borderId="5">
      <alignment horizontal="right" vertical="center"/>
    </xf>
    <xf numFmtId="0" fontId="186" fillId="45" borderId="26" applyNumberFormat="0" applyAlignment="0" applyProtection="0"/>
    <xf numFmtId="0" fontId="85" fillId="65" borderId="25" applyNumberFormat="0" applyAlignment="0" applyProtection="0"/>
    <xf numFmtId="0" fontId="88" fillId="65" borderId="26" applyNumberFormat="0" applyAlignment="0" applyProtection="0"/>
    <xf numFmtId="0" fontId="71" fillId="36" borderId="35">
      <alignment horizontal="left" vertical="center" wrapText="1" indent="2"/>
    </xf>
    <xf numFmtId="0" fontId="178" fillId="65" borderId="26" applyNumberFormat="0" applyAlignment="0" applyProtection="0"/>
    <xf numFmtId="0" fontId="178" fillId="65" borderId="26" applyNumberFormat="0" applyAlignment="0" applyProtection="0"/>
    <xf numFmtId="4" fontId="82" fillId="36" borderId="23">
      <alignment horizontal="right" vertical="center"/>
    </xf>
    <xf numFmtId="0" fontId="82" fillId="36" borderId="23">
      <alignment horizontal="right" vertical="center"/>
    </xf>
    <xf numFmtId="0" fontId="82" fillId="36" borderId="5">
      <alignment horizontal="right" vertical="center"/>
    </xf>
    <xf numFmtId="4" fontId="83" fillId="64" borderId="5">
      <alignment horizontal="right" vertical="center"/>
    </xf>
    <xf numFmtId="0" fontId="101" fillId="45" borderId="26" applyNumberFormat="0" applyAlignment="0" applyProtection="0"/>
    <xf numFmtId="0" fontId="105" fillId="0" borderId="38" applyNumberFormat="0" applyFill="0" applyAlignment="0" applyProtection="0"/>
    <xf numFmtId="0" fontId="192" fillId="0" borderId="38" applyNumberFormat="0" applyFill="0" applyAlignment="0" applyProtection="0"/>
    <xf numFmtId="0" fontId="175" fillId="44" borderId="34" applyNumberFormat="0" applyFont="0" applyAlignment="0" applyProtection="0"/>
    <xf numFmtId="0" fontId="186" fillId="45" borderId="26" applyNumberFormat="0" applyAlignment="0" applyProtection="0"/>
    <xf numFmtId="49" fontId="72" fillId="0" borderId="5" applyNumberFormat="0" applyFill="0" applyBorder="0" applyProtection="0">
      <alignment horizontal="left" vertical="center"/>
    </xf>
    <xf numFmtId="0" fontId="71" fillId="36" borderId="35">
      <alignment horizontal="left" vertical="center" wrapText="1" indent="2"/>
    </xf>
    <xf numFmtId="0" fontId="178" fillId="65" borderId="26" applyNumberFormat="0" applyAlignment="0" applyProtection="0"/>
    <xf numFmtId="0" fontId="71" fillId="0" borderId="35">
      <alignment horizontal="left" vertical="center" wrapText="1" indent="2"/>
    </xf>
    <xf numFmtId="0" fontId="175" fillId="44" borderId="34" applyNumberFormat="0" applyFont="0" applyAlignment="0" applyProtection="0"/>
    <xf numFmtId="0" fontId="178" fillId="65" borderId="26" applyNumberFormat="0" applyAlignment="0" applyProtection="0"/>
    <xf numFmtId="0" fontId="190" fillId="65" borderId="25" applyNumberFormat="0" applyAlignment="0" applyProtection="0"/>
    <xf numFmtId="0" fontId="192" fillId="0" borderId="38" applyNumberFormat="0" applyFill="0" applyAlignment="0" applyProtection="0"/>
    <xf numFmtId="4" fontId="71" fillId="72" borderId="5"/>
    <xf numFmtId="0" fontId="82" fillId="36" borderId="5">
      <alignment horizontal="right" vertical="center"/>
    </xf>
    <xf numFmtId="0" fontId="192" fillId="0" borderId="38" applyNumberFormat="0" applyFill="0" applyAlignment="0" applyProtection="0"/>
    <xf numFmtId="4" fontId="82" fillId="36" borderId="22">
      <alignment horizontal="right" vertical="center"/>
    </xf>
    <xf numFmtId="0" fontId="88" fillId="65" borderId="26" applyNumberFormat="0" applyAlignment="0" applyProtection="0"/>
    <xf numFmtId="0" fontId="82" fillId="36" borderId="23">
      <alignment horizontal="right" vertical="center"/>
    </xf>
    <xf numFmtId="0" fontId="178" fillId="65" borderId="26" applyNumberFormat="0" applyAlignment="0" applyProtection="0"/>
    <xf numFmtId="0" fontId="105" fillId="0" borderId="38" applyNumberFormat="0" applyFill="0" applyAlignment="0" applyProtection="0"/>
    <xf numFmtId="0" fontId="175" fillId="44" borderId="34" applyNumberFormat="0" applyFont="0" applyAlignment="0" applyProtection="0"/>
    <xf numFmtId="4" fontId="82" fillId="36" borderId="23">
      <alignment horizontal="right" vertical="center"/>
    </xf>
    <xf numFmtId="0" fontId="71" fillId="36" borderId="35">
      <alignment horizontal="left" vertical="center" wrapText="1" indent="2"/>
    </xf>
    <xf numFmtId="0" fontId="71" fillId="72" borderId="5"/>
    <xf numFmtId="174" fontId="71" fillId="40" borderId="5" applyNumberFormat="0" applyFont="0" applyBorder="0" applyAlignment="0" applyProtection="0">
      <alignment horizontal="right" vertical="center"/>
    </xf>
    <xf numFmtId="4" fontId="71" fillId="0" borderId="5" applyFill="0" applyBorder="0" applyProtection="0">
      <alignment horizontal="right" vertical="center"/>
    </xf>
    <xf numFmtId="4" fontId="82" fillId="64" borderId="5">
      <alignment horizontal="right" vertical="center"/>
    </xf>
    <xf numFmtId="0" fontId="105" fillId="0" borderId="38" applyNumberFormat="0" applyFill="0" applyAlignment="0" applyProtection="0"/>
    <xf numFmtId="49" fontId="72" fillId="0" borderId="5" applyNumberFormat="0" applyFill="0" applyBorder="0" applyProtection="0">
      <alignment horizontal="left" vertical="center"/>
    </xf>
    <xf numFmtId="49" fontId="71" fillId="0" borderId="23" applyNumberFormat="0" applyFont="0" applyFill="0" applyBorder="0" applyProtection="0">
      <alignment horizontal="left" vertical="center" indent="5"/>
    </xf>
    <xf numFmtId="0" fontId="71" fillId="64" borderId="23">
      <alignment horizontal="left" vertical="center"/>
    </xf>
    <xf numFmtId="0" fontId="178" fillId="65" borderId="26" applyNumberFormat="0" applyAlignment="0" applyProtection="0"/>
    <xf numFmtId="4" fontId="82" fillId="36" borderId="22">
      <alignment horizontal="right" vertical="center"/>
    </xf>
    <xf numFmtId="0" fontId="186" fillId="45" borderId="26" applyNumberFormat="0" applyAlignment="0" applyProtection="0"/>
    <xf numFmtId="0" fontId="186" fillId="45" borderId="26" applyNumberFormat="0" applyAlignment="0" applyProtection="0"/>
    <xf numFmtId="0" fontId="175" fillId="44" borderId="34" applyNumberFormat="0" applyFont="0" applyAlignment="0" applyProtection="0"/>
    <xf numFmtId="0" fontId="190" fillId="65" borderId="25" applyNumberFormat="0" applyAlignment="0" applyProtection="0"/>
    <xf numFmtId="0" fontId="192" fillId="0" borderId="38" applyNumberFormat="0" applyFill="0" applyAlignment="0" applyProtection="0"/>
    <xf numFmtId="0" fontId="82" fillId="36" borderId="5">
      <alignment horizontal="right" vertical="center"/>
    </xf>
    <xf numFmtId="4" fontId="71" fillId="0" borderId="5">
      <alignment horizontal="right" vertical="center"/>
    </xf>
    <xf numFmtId="4" fontId="71" fillId="0" borderId="5">
      <alignment horizontal="right" vertical="center"/>
    </xf>
    <xf numFmtId="0" fontId="192" fillId="0" borderId="38" applyNumberFormat="0" applyFill="0" applyAlignment="0" applyProtection="0"/>
    <xf numFmtId="0" fontId="82" fillId="36" borderId="5">
      <alignment horizontal="right" vertical="center"/>
    </xf>
    <xf numFmtId="0" fontId="82" fillId="36" borderId="5">
      <alignment horizontal="right" vertical="center"/>
    </xf>
    <xf numFmtId="4" fontId="83" fillId="64" borderId="5">
      <alignment horizontal="right" vertical="center"/>
    </xf>
    <xf numFmtId="0" fontId="82" fillId="64" borderId="5">
      <alignment horizontal="right" vertical="center"/>
    </xf>
    <xf numFmtId="4" fontId="82" fillId="64" borderId="5">
      <alignment horizontal="right" vertical="center"/>
    </xf>
    <xf numFmtId="0" fontId="83" fillId="64" borderId="5">
      <alignment horizontal="right" vertical="center"/>
    </xf>
    <xf numFmtId="4" fontId="83" fillId="64" borderId="5">
      <alignment horizontal="right" vertical="center"/>
    </xf>
    <xf numFmtId="0" fontId="82" fillId="36" borderId="5">
      <alignment horizontal="right" vertical="center"/>
    </xf>
    <xf numFmtId="4" fontId="82" fillId="36" borderId="5">
      <alignment horizontal="right" vertical="center"/>
    </xf>
    <xf numFmtId="0" fontId="82" fillId="36" borderId="5">
      <alignment horizontal="right" vertical="center"/>
    </xf>
    <xf numFmtId="4" fontId="82" fillId="36" borderId="5">
      <alignment horizontal="right" vertical="center"/>
    </xf>
    <xf numFmtId="0" fontId="82" fillId="36" borderId="23">
      <alignment horizontal="right" vertical="center"/>
    </xf>
    <xf numFmtId="4" fontId="82" fillId="36" borderId="23">
      <alignment horizontal="right" vertical="center"/>
    </xf>
    <xf numFmtId="0" fontId="82" fillId="36" borderId="22">
      <alignment horizontal="right" vertical="center"/>
    </xf>
    <xf numFmtId="4" fontId="82" fillId="36" borderId="22">
      <alignment horizontal="right" vertical="center"/>
    </xf>
    <xf numFmtId="0" fontId="178" fillId="65" borderId="26" applyNumberFormat="0" applyAlignment="0" applyProtection="0"/>
    <xf numFmtId="0" fontId="71" fillId="36" borderId="35">
      <alignment horizontal="left" vertical="center" wrapText="1" indent="2"/>
    </xf>
    <xf numFmtId="0" fontId="71" fillId="0" borderId="35">
      <alignment horizontal="left" vertical="center" wrapText="1" indent="2"/>
    </xf>
    <xf numFmtId="0" fontId="71" fillId="64" borderId="23">
      <alignment horizontal="left" vertical="center"/>
    </xf>
    <xf numFmtId="0" fontId="186" fillId="45" borderId="26" applyNumberFormat="0" applyAlignment="0" applyProtection="0"/>
    <xf numFmtId="0" fontId="71" fillId="0" borderId="5">
      <alignment horizontal="right" vertical="center"/>
    </xf>
    <xf numFmtId="4" fontId="71" fillId="0" borderId="5">
      <alignment horizontal="right" vertical="center"/>
    </xf>
    <xf numFmtId="0" fontId="190" fillId="65" borderId="25" applyNumberFormat="0" applyAlignment="0" applyProtection="0"/>
    <xf numFmtId="174" fontId="71" fillId="40" borderId="5" applyNumberFormat="0" applyFont="0" applyBorder="0" applyAlignment="0" applyProtection="0">
      <alignment horizontal="right" vertical="center"/>
    </xf>
    <xf numFmtId="0" fontId="71" fillId="72" borderId="5"/>
    <xf numFmtId="4" fontId="71" fillId="72" borderId="5"/>
    <xf numFmtId="0" fontId="192" fillId="0" borderId="38" applyNumberFormat="0" applyFill="0" applyAlignment="0" applyProtection="0"/>
    <xf numFmtId="0" fontId="71" fillId="0" borderId="46">
      <alignment horizontal="left" vertical="center" wrapText="1" indent="2"/>
    </xf>
    <xf numFmtId="0" fontId="175" fillId="44" borderId="34" applyNumberFormat="0" applyFont="0" applyAlignment="0" applyProtection="0"/>
    <xf numFmtId="0" fontId="71" fillId="0" borderId="5" applyNumberFormat="0" applyFill="0" applyAlignment="0" applyProtection="0"/>
    <xf numFmtId="0" fontId="105" fillId="0" borderId="38" applyNumberFormat="0" applyFill="0" applyAlignment="0" applyProtection="0"/>
    <xf numFmtId="0" fontId="192" fillId="0" borderId="38" applyNumberFormat="0" applyFill="0" applyAlignment="0" applyProtection="0"/>
    <xf numFmtId="0" fontId="101" fillId="45" borderId="26" applyNumberFormat="0" applyAlignment="0" applyProtection="0"/>
    <xf numFmtId="0" fontId="178" fillId="65" borderId="26" applyNumberFormat="0" applyAlignment="0" applyProtection="0"/>
    <xf numFmtId="4" fontId="83" fillId="64" borderId="5">
      <alignment horizontal="right" vertical="center"/>
    </xf>
    <xf numFmtId="0" fontId="82" fillId="64" borderId="5">
      <alignment horizontal="right" vertical="center"/>
    </xf>
    <xf numFmtId="174" fontId="71" fillId="40" borderId="5" applyNumberFormat="0" applyFont="0" applyBorder="0" applyAlignment="0" applyProtection="0">
      <alignment horizontal="right" vertical="center"/>
    </xf>
    <xf numFmtId="0" fontId="105" fillId="0" borderId="38" applyNumberFormat="0" applyFill="0" applyAlignment="0" applyProtection="0"/>
    <xf numFmtId="0" fontId="178" fillId="65" borderId="26" applyNumberFormat="0" applyAlignment="0" applyProtection="0"/>
    <xf numFmtId="49" fontId="71" fillId="0" borderId="23" applyNumberFormat="0" applyFont="0" applyFill="0" applyBorder="0" applyProtection="0">
      <alignment horizontal="left" vertical="center" indent="5"/>
    </xf>
    <xf numFmtId="49" fontId="71" fillId="0" borderId="5" applyNumberFormat="0" applyFont="0" applyFill="0" applyBorder="0" applyProtection="0">
      <alignment horizontal="left" vertical="center" indent="2"/>
    </xf>
    <xf numFmtId="4" fontId="71" fillId="0" borderId="5" applyFill="0" applyBorder="0" applyProtection="0">
      <alignment horizontal="right" vertical="center"/>
    </xf>
    <xf numFmtId="49" fontId="72" fillId="0" borderId="5" applyNumberFormat="0" applyFill="0" applyBorder="0" applyProtection="0">
      <alignment horizontal="left" vertical="center"/>
    </xf>
    <xf numFmtId="0" fontId="71" fillId="0" borderId="35">
      <alignment horizontal="left" vertical="center" wrapText="1" indent="2"/>
    </xf>
    <xf numFmtId="0" fontId="190" fillId="65" borderId="25" applyNumberFormat="0" applyAlignment="0" applyProtection="0"/>
    <xf numFmtId="0" fontId="82" fillId="36" borderId="22">
      <alignment horizontal="right" vertical="center"/>
    </xf>
    <xf numFmtId="0" fontId="101" fillId="45" borderId="26" applyNumberFormat="0" applyAlignment="0" applyProtection="0"/>
    <xf numFmtId="0" fontId="82" fillId="36" borderId="22">
      <alignment horizontal="right" vertical="center"/>
    </xf>
    <xf numFmtId="4" fontId="82" fillId="36" borderId="5">
      <alignment horizontal="right" vertical="center"/>
    </xf>
    <xf numFmtId="0" fontId="82" fillId="36" borderId="5">
      <alignment horizontal="right" vertical="center"/>
    </xf>
    <xf numFmtId="0" fontId="85" fillId="65" borderId="25" applyNumberFormat="0" applyAlignment="0" applyProtection="0"/>
    <xf numFmtId="0" fontId="88" fillId="65" borderId="26" applyNumberFormat="0" applyAlignment="0" applyProtection="0"/>
    <xf numFmtId="0" fontId="105" fillId="0" borderId="38" applyNumberFormat="0" applyFill="0" applyAlignment="0" applyProtection="0"/>
    <xf numFmtId="0" fontId="71" fillId="72" borderId="5"/>
    <xf numFmtId="4" fontId="71" fillId="72" borderId="5"/>
    <xf numFmtId="4" fontId="82" fillId="36" borderId="5">
      <alignment horizontal="right" vertical="center"/>
    </xf>
    <xf numFmtId="0" fontId="83" fillId="64" borderId="5">
      <alignment horizontal="right" vertical="center"/>
    </xf>
    <xf numFmtId="0" fontId="101" fillId="45" borderId="26" applyNumberFormat="0" applyAlignment="0" applyProtection="0"/>
    <xf numFmtId="0" fontId="178" fillId="65" borderId="26" applyNumberFormat="0" applyAlignment="0" applyProtection="0"/>
    <xf numFmtId="4" fontId="71" fillId="0" borderId="5">
      <alignment horizontal="right" vertical="center"/>
    </xf>
    <xf numFmtId="0" fontId="71" fillId="36" borderId="35">
      <alignment horizontal="left" vertical="center" wrapText="1" indent="2"/>
    </xf>
    <xf numFmtId="0" fontId="71" fillId="0" borderId="35">
      <alignment horizontal="left" vertical="center" wrapText="1" indent="2"/>
    </xf>
    <xf numFmtId="0" fontId="190" fillId="65" borderId="25" applyNumberFormat="0" applyAlignment="0" applyProtection="0"/>
    <xf numFmtId="0" fontId="186" fillId="45" borderId="26" applyNumberFormat="0" applyAlignment="0" applyProtection="0"/>
    <xf numFmtId="0" fontId="88" fillId="65" borderId="26" applyNumberFormat="0" applyAlignment="0" applyProtection="0"/>
    <xf numFmtId="0" fontId="85" fillId="65" borderId="25" applyNumberFormat="0" applyAlignment="0" applyProtection="0"/>
    <xf numFmtId="0" fontId="82" fillId="36" borderId="22">
      <alignment horizontal="right" vertical="center"/>
    </xf>
    <xf numFmtId="0" fontId="83" fillId="64" borderId="5">
      <alignment horizontal="right" vertical="center"/>
    </xf>
    <xf numFmtId="4" fontId="82" fillId="64" borderId="5">
      <alignment horizontal="right" vertical="center"/>
    </xf>
    <xf numFmtId="4" fontId="82" fillId="36" borderId="5">
      <alignment horizontal="right" vertical="center"/>
    </xf>
    <xf numFmtId="49" fontId="71" fillId="0" borderId="23" applyNumberFormat="0" applyFont="0" applyFill="0" applyBorder="0" applyProtection="0">
      <alignment horizontal="left" vertical="center" indent="5"/>
    </xf>
    <xf numFmtId="4" fontId="82" fillId="64" borderId="5">
      <alignment horizontal="right" vertical="center"/>
    </xf>
    <xf numFmtId="0" fontId="71" fillId="0" borderId="46">
      <alignment horizontal="left" vertical="center" wrapText="1" indent="2"/>
    </xf>
    <xf numFmtId="0" fontId="186" fillId="45" borderId="26" applyNumberFormat="0" applyAlignment="0" applyProtection="0"/>
    <xf numFmtId="0" fontId="101" fillId="45" borderId="26" applyNumberFormat="0" applyAlignment="0" applyProtection="0"/>
    <xf numFmtId="0" fontId="88" fillId="65" borderId="26" applyNumberFormat="0" applyAlignment="0" applyProtection="0"/>
    <xf numFmtId="0" fontId="71" fillId="36" borderId="35">
      <alignment horizontal="left" vertical="center" wrapText="1" indent="2"/>
    </xf>
    <xf numFmtId="0" fontId="71" fillId="0" borderId="35">
      <alignment horizontal="left" vertical="center" wrapText="1" indent="2"/>
    </xf>
    <xf numFmtId="0" fontId="71" fillId="36" borderId="35">
      <alignment horizontal="left" vertical="center" wrapText="1" indent="2"/>
    </xf>
    <xf numFmtId="0" fontId="71" fillId="0" borderId="35">
      <alignment horizontal="left" vertical="center" wrapText="1" indent="2"/>
    </xf>
    <xf numFmtId="0" fontId="85" fillId="65" borderId="25" applyNumberFormat="0" applyAlignment="0" applyProtection="0"/>
    <xf numFmtId="0" fontId="88" fillId="65" borderId="26" applyNumberFormat="0" applyAlignment="0" applyProtection="0"/>
    <xf numFmtId="0" fontId="178" fillId="65" borderId="26" applyNumberFormat="0" applyAlignment="0" applyProtection="0"/>
    <xf numFmtId="0" fontId="101" fillId="45" borderId="26" applyNumberFormat="0" applyAlignment="0" applyProtection="0"/>
    <xf numFmtId="0" fontId="190" fillId="65" borderId="25" applyNumberFormat="0" applyAlignment="0" applyProtection="0"/>
    <xf numFmtId="0" fontId="186" fillId="45" borderId="26" applyNumberFormat="0" applyAlignment="0" applyProtection="0"/>
    <xf numFmtId="0" fontId="175" fillId="44" borderId="34" applyNumberFormat="0" applyFont="0" applyAlignment="0" applyProtection="0"/>
    <xf numFmtId="0" fontId="82" fillId="36" borderId="5">
      <alignment horizontal="right" vertical="center"/>
    </xf>
    <xf numFmtId="0" fontId="190" fillId="65" borderId="25" applyNumberFormat="0" applyAlignment="0" applyProtection="0"/>
    <xf numFmtId="0" fontId="192" fillId="0" borderId="38" applyNumberFormat="0" applyFill="0" applyAlignment="0" applyProtection="0"/>
    <xf numFmtId="0" fontId="178" fillId="65" borderId="26" applyNumberFormat="0" applyAlignment="0" applyProtection="0"/>
    <xf numFmtId="0" fontId="186" fillId="45" borderId="26" applyNumberFormat="0" applyAlignment="0" applyProtection="0"/>
    <xf numFmtId="0" fontId="175" fillId="44" borderId="34" applyNumberFormat="0" applyFont="0" applyAlignment="0" applyProtection="0"/>
    <xf numFmtId="0" fontId="190" fillId="65" borderId="25" applyNumberFormat="0" applyAlignment="0" applyProtection="0"/>
    <xf numFmtId="0" fontId="192" fillId="0" borderId="38" applyNumberFormat="0" applyFill="0" applyAlignment="0" applyProtection="0"/>
    <xf numFmtId="0" fontId="82" fillId="36" borderId="23">
      <alignment horizontal="right" vertical="center"/>
    </xf>
    <xf numFmtId="4" fontId="82" fillId="36" borderId="23">
      <alignment horizontal="right" vertical="center"/>
    </xf>
    <xf numFmtId="0" fontId="82" fillId="36" borderId="22">
      <alignment horizontal="right" vertical="center"/>
    </xf>
    <xf numFmtId="4" fontId="82" fillId="36" borderId="22">
      <alignment horizontal="right" vertical="center"/>
    </xf>
    <xf numFmtId="0" fontId="178" fillId="65" borderId="26" applyNumberFormat="0" applyAlignment="0" applyProtection="0"/>
    <xf numFmtId="0" fontId="71" fillId="36" borderId="35">
      <alignment horizontal="left" vertical="center" wrapText="1" indent="2"/>
    </xf>
    <xf numFmtId="0" fontId="71" fillId="0" borderId="35">
      <alignment horizontal="left" vertical="center" wrapText="1" indent="2"/>
    </xf>
    <xf numFmtId="0" fontId="71" fillId="64" borderId="23">
      <alignment horizontal="left" vertical="center"/>
    </xf>
    <xf numFmtId="0" fontId="186" fillId="45" borderId="26" applyNumberFormat="0" applyAlignment="0" applyProtection="0"/>
    <xf numFmtId="0" fontId="190" fillId="65" borderId="25" applyNumberFormat="0" applyAlignment="0" applyProtection="0"/>
    <xf numFmtId="0" fontId="192" fillId="0" borderId="38" applyNumberFormat="0" applyFill="0" applyAlignment="0" applyProtection="0"/>
    <xf numFmtId="49" fontId="71" fillId="0" borderId="23" applyNumberFormat="0" applyFont="0" applyFill="0" applyBorder="0" applyProtection="0">
      <alignment horizontal="left" vertical="center" indent="5"/>
    </xf>
    <xf numFmtId="0" fontId="85" fillId="65" borderId="25" applyNumberFormat="0" applyAlignment="0" applyProtection="0"/>
    <xf numFmtId="0" fontId="88" fillId="65" borderId="26" applyNumberFormat="0" applyAlignment="0" applyProtection="0"/>
    <xf numFmtId="0" fontId="105" fillId="0" borderId="38" applyNumberFormat="0" applyFill="0" applyAlignment="0" applyProtection="0"/>
    <xf numFmtId="49" fontId="71" fillId="0" borderId="5" applyNumberFormat="0" applyFont="0" applyFill="0" applyBorder="0" applyProtection="0">
      <alignment horizontal="left" vertical="center" indent="2"/>
    </xf>
    <xf numFmtId="0" fontId="82" fillId="64" borderId="5">
      <alignment horizontal="right" vertical="center"/>
    </xf>
    <xf numFmtId="4" fontId="82" fillId="64" borderId="5">
      <alignment horizontal="right" vertical="center"/>
    </xf>
    <xf numFmtId="0" fontId="83" fillId="64" borderId="5">
      <alignment horizontal="right" vertical="center"/>
    </xf>
    <xf numFmtId="4" fontId="83" fillId="64" borderId="5">
      <alignment horizontal="right" vertical="center"/>
    </xf>
    <xf numFmtId="0" fontId="82" fillId="36" borderId="5">
      <alignment horizontal="right" vertical="center"/>
    </xf>
    <xf numFmtId="4" fontId="82" fillId="36" borderId="5">
      <alignment horizontal="right" vertical="center"/>
    </xf>
    <xf numFmtId="0" fontId="82" fillId="36" borderId="5">
      <alignment horizontal="right" vertical="center"/>
    </xf>
    <xf numFmtId="4" fontId="82" fillId="36" borderId="5">
      <alignment horizontal="right" vertical="center"/>
    </xf>
    <xf numFmtId="0" fontId="101" fillId="45" borderId="26" applyNumberFormat="0" applyAlignment="0" applyProtection="0"/>
    <xf numFmtId="0" fontId="71" fillId="0" borderId="5">
      <alignment horizontal="right" vertical="center"/>
    </xf>
    <xf numFmtId="4" fontId="71" fillId="0" borderId="5">
      <alignment horizontal="right" vertical="center"/>
    </xf>
    <xf numFmtId="4" fontId="71" fillId="0" borderId="5" applyFill="0" applyBorder="0" applyProtection="0">
      <alignment horizontal="right" vertical="center"/>
    </xf>
    <xf numFmtId="49" fontId="72" fillId="0" borderId="5" applyNumberFormat="0" applyFill="0" applyBorder="0" applyProtection="0">
      <alignment horizontal="left" vertical="center"/>
    </xf>
    <xf numFmtId="0" fontId="190" fillId="65" borderId="25" applyNumberFormat="0" applyAlignment="0" applyProtection="0"/>
    <xf numFmtId="174" fontId="71" fillId="40" borderId="5" applyNumberFormat="0" applyFont="0" applyBorder="0" applyAlignment="0" applyProtection="0">
      <alignment horizontal="right" vertical="center"/>
    </xf>
    <xf numFmtId="0" fontId="71" fillId="72" borderId="5"/>
    <xf numFmtId="4" fontId="71" fillId="72" borderId="5"/>
    <xf numFmtId="4" fontId="82" fillId="36" borderId="5">
      <alignment horizontal="right" vertical="center"/>
    </xf>
    <xf numFmtId="0" fontId="71" fillId="72" borderId="5"/>
    <xf numFmtId="0" fontId="88" fillId="65" borderId="26" applyNumberFormat="0" applyAlignment="0" applyProtection="0"/>
    <xf numFmtId="0" fontId="82" fillId="64" borderId="5">
      <alignment horizontal="right" vertical="center"/>
    </xf>
    <xf numFmtId="0" fontId="71" fillId="0" borderId="5">
      <alignment horizontal="right" vertical="center"/>
    </xf>
    <xf numFmtId="0" fontId="192" fillId="0" borderId="38" applyNumberFormat="0" applyFill="0" applyAlignment="0" applyProtection="0"/>
    <xf numFmtId="0" fontId="71" fillId="64" borderId="23">
      <alignment horizontal="left" vertical="center"/>
    </xf>
    <xf numFmtId="0" fontId="186" fillId="45" borderId="26" applyNumberFormat="0" applyAlignment="0" applyProtection="0"/>
    <xf numFmtId="174" fontId="71" fillId="40" borderId="5" applyNumberFormat="0" applyFont="0" applyBorder="0" applyAlignment="0" applyProtection="0">
      <alignment horizontal="right" vertical="center"/>
    </xf>
    <xf numFmtId="0" fontId="175" fillId="44" borderId="34" applyNumberFormat="0" applyFont="0" applyAlignment="0" applyProtection="0"/>
    <xf numFmtId="0" fontId="71" fillId="0" borderId="35">
      <alignment horizontal="left" vertical="center" wrapText="1" indent="2"/>
    </xf>
    <xf numFmtId="4" fontId="71" fillId="72" borderId="5"/>
    <xf numFmtId="49" fontId="72" fillId="0" borderId="5" applyNumberFormat="0" applyFill="0" applyBorder="0" applyProtection="0">
      <alignment horizontal="left" vertical="center"/>
    </xf>
    <xf numFmtId="0" fontId="71" fillId="0" borderId="5">
      <alignment horizontal="right" vertical="center"/>
    </xf>
    <xf numFmtId="4" fontId="82" fillId="36" borderId="22">
      <alignment horizontal="right" vertical="center"/>
    </xf>
    <xf numFmtId="4" fontId="82" fillId="36" borderId="5">
      <alignment horizontal="right" vertical="center"/>
    </xf>
    <xf numFmtId="4" fontId="82" fillId="36" borderId="5">
      <alignment horizontal="right" vertical="center"/>
    </xf>
    <xf numFmtId="0" fontId="83" fillId="64" borderId="5">
      <alignment horizontal="right" vertical="center"/>
    </xf>
    <xf numFmtId="0" fontId="82" fillId="64" borderId="5">
      <alignment horizontal="right" vertical="center"/>
    </xf>
    <xf numFmtId="49" fontId="71" fillId="0" borderId="5" applyNumberFormat="0" applyFont="0" applyFill="0" applyBorder="0" applyProtection="0">
      <alignment horizontal="left" vertical="center" indent="2"/>
    </xf>
    <xf numFmtId="0" fontId="186" fillId="45" borderId="26" applyNumberFormat="0" applyAlignment="0" applyProtection="0"/>
    <xf numFmtId="0" fontId="85" fillId="65" borderId="25" applyNumberFormat="0" applyAlignment="0" applyProtection="0"/>
    <xf numFmtId="49" fontId="71" fillId="0" borderId="5" applyNumberFormat="0" applyFont="0" applyFill="0" applyBorder="0" applyProtection="0">
      <alignment horizontal="left" vertical="center" indent="2"/>
    </xf>
    <xf numFmtId="0" fontId="101" fillId="45" borderId="26" applyNumberFormat="0" applyAlignment="0" applyProtection="0"/>
    <xf numFmtId="4" fontId="71" fillId="0" borderId="5" applyFill="0" applyBorder="0" applyProtection="0">
      <alignment horizontal="right" vertical="center"/>
    </xf>
    <xf numFmtId="0" fontId="178" fillId="65" borderId="26" applyNumberFormat="0" applyAlignment="0" applyProtection="0"/>
    <xf numFmtId="0" fontId="192" fillId="0" borderId="38" applyNumberFormat="0" applyFill="0" applyAlignment="0" applyProtection="0"/>
    <xf numFmtId="0" fontId="190" fillId="65" borderId="25" applyNumberFormat="0" applyAlignment="0" applyProtection="0"/>
    <xf numFmtId="0" fontId="71" fillId="0" borderId="5" applyNumberFormat="0" applyFill="0" applyAlignment="0" applyProtection="0"/>
    <xf numFmtId="4" fontId="71" fillId="0" borderId="5">
      <alignment horizontal="right" vertical="center"/>
    </xf>
    <xf numFmtId="0" fontId="71" fillId="0" borderId="5">
      <alignment horizontal="right" vertical="center"/>
    </xf>
    <xf numFmtId="0" fontId="186" fillId="45" borderId="26" applyNumberFormat="0" applyAlignment="0" applyProtection="0"/>
    <xf numFmtId="0" fontId="85" fillId="65" borderId="25" applyNumberFormat="0" applyAlignment="0" applyProtection="0"/>
    <xf numFmtId="0" fontId="88" fillId="65" borderId="26" applyNumberFormat="0" applyAlignment="0" applyProtection="0"/>
    <xf numFmtId="0" fontId="71" fillId="36" borderId="35">
      <alignment horizontal="left" vertical="center" wrapText="1" indent="2"/>
    </xf>
    <xf numFmtId="0" fontId="178" fillId="65" borderId="26" applyNumberFormat="0" applyAlignment="0" applyProtection="0"/>
    <xf numFmtId="0" fontId="178" fillId="65" borderId="26" applyNumberFormat="0" applyAlignment="0" applyProtection="0"/>
    <xf numFmtId="4" fontId="82" fillId="36" borderId="23">
      <alignment horizontal="right" vertical="center"/>
    </xf>
    <xf numFmtId="0" fontId="82" fillId="36" borderId="23">
      <alignment horizontal="right" vertical="center"/>
    </xf>
    <xf numFmtId="0" fontId="82" fillId="36" borderId="5">
      <alignment horizontal="right" vertical="center"/>
    </xf>
    <xf numFmtId="4" fontId="83" fillId="64" borderId="5">
      <alignment horizontal="right" vertical="center"/>
    </xf>
    <xf numFmtId="0" fontId="101" fillId="45" borderId="26" applyNumberFormat="0" applyAlignment="0" applyProtection="0"/>
    <xf numFmtId="0" fontId="105" fillId="0" borderId="38" applyNumberFormat="0" applyFill="0" applyAlignment="0" applyProtection="0"/>
    <xf numFmtId="0" fontId="192" fillId="0" borderId="38" applyNumberFormat="0" applyFill="0" applyAlignment="0" applyProtection="0"/>
    <xf numFmtId="0" fontId="175" fillId="44" borderId="34" applyNumberFormat="0" applyFont="0" applyAlignment="0" applyProtection="0"/>
    <xf numFmtId="0" fontId="186" fillId="45" borderId="26" applyNumberFormat="0" applyAlignment="0" applyProtection="0"/>
    <xf numFmtId="49" fontId="72" fillId="0" borderId="5" applyNumberFormat="0" applyFill="0" applyBorder="0" applyProtection="0">
      <alignment horizontal="left" vertical="center"/>
    </xf>
    <xf numFmtId="0" fontId="71" fillId="36" borderId="35">
      <alignment horizontal="left" vertical="center" wrapText="1" indent="2"/>
    </xf>
    <xf numFmtId="0" fontId="178" fillId="65" borderId="26" applyNumberFormat="0" applyAlignment="0" applyProtection="0"/>
    <xf numFmtId="0" fontId="71" fillId="0" borderId="35">
      <alignment horizontal="left" vertical="center" wrapText="1" indent="2"/>
    </xf>
    <xf numFmtId="0" fontId="175" fillId="44" borderId="34" applyNumberFormat="0" applyFont="0" applyAlignment="0" applyProtection="0"/>
    <xf numFmtId="0" fontId="83" fillId="64" borderId="5">
      <alignment horizontal="right" vertical="center"/>
    </xf>
    <xf numFmtId="0" fontId="190" fillId="65" borderId="25" applyNumberFormat="0" applyAlignment="0" applyProtection="0"/>
    <xf numFmtId="0" fontId="192" fillId="0" borderId="38" applyNumberFormat="0" applyFill="0" applyAlignment="0" applyProtection="0"/>
    <xf numFmtId="4" fontId="71" fillId="72" borderId="5"/>
    <xf numFmtId="0" fontId="82" fillId="36" borderId="5">
      <alignment horizontal="right" vertical="center"/>
    </xf>
    <xf numFmtId="0" fontId="192" fillId="0" borderId="38" applyNumberFormat="0" applyFill="0" applyAlignment="0" applyProtection="0"/>
    <xf numFmtId="4" fontId="82" fillId="36" borderId="22">
      <alignment horizontal="right" vertical="center"/>
    </xf>
    <xf numFmtId="0" fontId="88" fillId="65" borderId="26" applyNumberFormat="0" applyAlignment="0" applyProtection="0"/>
    <xf numFmtId="0" fontId="82" fillId="36" borderId="23">
      <alignment horizontal="right" vertical="center"/>
    </xf>
    <xf numFmtId="0" fontId="178" fillId="65" borderId="26" applyNumberFormat="0" applyAlignment="0" applyProtection="0"/>
    <xf numFmtId="0" fontId="105" fillId="0" borderId="38" applyNumberFormat="0" applyFill="0" applyAlignment="0" applyProtection="0"/>
    <xf numFmtId="0" fontId="175" fillId="44" borderId="34" applyNumberFormat="0" applyFont="0" applyAlignment="0" applyProtection="0"/>
    <xf numFmtId="4" fontId="82" fillId="36" borderId="23">
      <alignment horizontal="right" vertical="center"/>
    </xf>
    <xf numFmtId="0" fontId="71" fillId="36" borderId="35">
      <alignment horizontal="left" vertical="center" wrapText="1" indent="2"/>
    </xf>
    <xf numFmtId="0" fontId="71" fillId="72" borderId="5"/>
    <xf numFmtId="174" fontId="71" fillId="40" borderId="5" applyNumberFormat="0" applyFont="0" applyBorder="0" applyAlignment="0" applyProtection="0">
      <alignment horizontal="right" vertical="center"/>
    </xf>
    <xf numFmtId="0" fontId="71" fillId="0" borderId="5" applyNumberFormat="0" applyFill="0" applyAlignment="0" applyProtection="0"/>
    <xf numFmtId="4" fontId="71" fillId="0" borderId="5" applyFill="0" applyBorder="0" applyProtection="0">
      <alignment horizontal="right" vertical="center"/>
    </xf>
    <xf numFmtId="4" fontId="82" fillId="64" borderId="5">
      <alignment horizontal="right" vertical="center"/>
    </xf>
    <xf numFmtId="0" fontId="105" fillId="0" borderId="38" applyNumberFormat="0" applyFill="0" applyAlignment="0" applyProtection="0"/>
    <xf numFmtId="49" fontId="72" fillId="0" borderId="5" applyNumberFormat="0" applyFill="0" applyBorder="0" applyProtection="0">
      <alignment horizontal="left" vertical="center"/>
    </xf>
    <xf numFmtId="49" fontId="71" fillId="0" borderId="23" applyNumberFormat="0" applyFont="0" applyFill="0" applyBorder="0" applyProtection="0">
      <alignment horizontal="left" vertical="center" indent="5"/>
    </xf>
    <xf numFmtId="0" fontId="71" fillId="64" borderId="23">
      <alignment horizontal="left" vertical="center"/>
    </xf>
    <xf numFmtId="0" fontId="178" fillId="65" borderId="26" applyNumberFormat="0" applyAlignment="0" applyProtection="0"/>
    <xf numFmtId="4" fontId="82" fillId="36" borderId="22">
      <alignment horizontal="right" vertical="center"/>
    </xf>
    <xf numFmtId="0" fontId="186" fillId="45" borderId="26" applyNumberFormat="0" applyAlignment="0" applyProtection="0"/>
    <xf numFmtId="0" fontId="186" fillId="45" borderId="26" applyNumberFormat="0" applyAlignment="0" applyProtection="0"/>
    <xf numFmtId="0" fontId="175" fillId="44" borderId="34" applyNumberFormat="0" applyFont="0" applyAlignment="0" applyProtection="0"/>
    <xf numFmtId="0" fontId="190" fillId="65" borderId="25" applyNumberFormat="0" applyAlignment="0" applyProtection="0"/>
    <xf numFmtId="0" fontId="192" fillId="0" borderId="38" applyNumberFormat="0" applyFill="0" applyAlignment="0" applyProtection="0"/>
    <xf numFmtId="0" fontId="82" fillId="36" borderId="5">
      <alignment horizontal="right" vertical="center"/>
    </xf>
    <xf numFmtId="4" fontId="71" fillId="0" borderId="5">
      <alignment horizontal="right" vertical="center"/>
    </xf>
    <xf numFmtId="0" fontId="192" fillId="0" borderId="38" applyNumberFormat="0" applyFill="0" applyAlignment="0" applyProtection="0"/>
    <xf numFmtId="0" fontId="82" fillId="36" borderId="5">
      <alignment horizontal="right" vertical="center"/>
    </xf>
    <xf numFmtId="0" fontId="82" fillId="36" borderId="5">
      <alignment horizontal="right" vertical="center"/>
    </xf>
    <xf numFmtId="4" fontId="83" fillId="64" borderId="5">
      <alignment horizontal="right" vertical="center"/>
    </xf>
    <xf numFmtId="0" fontId="82" fillId="64" borderId="5">
      <alignment horizontal="right" vertical="center"/>
    </xf>
    <xf numFmtId="4" fontId="82" fillId="64" borderId="5">
      <alignment horizontal="right" vertical="center"/>
    </xf>
    <xf numFmtId="0" fontId="83" fillId="64" borderId="5">
      <alignment horizontal="right" vertical="center"/>
    </xf>
    <xf numFmtId="4" fontId="83" fillId="64" borderId="5">
      <alignment horizontal="right" vertical="center"/>
    </xf>
    <xf numFmtId="0" fontId="82" fillId="36" borderId="5">
      <alignment horizontal="right" vertical="center"/>
    </xf>
    <xf numFmtId="4" fontId="82" fillId="36" borderId="5">
      <alignment horizontal="right" vertical="center"/>
    </xf>
    <xf numFmtId="0" fontId="82" fillId="36" borderId="5">
      <alignment horizontal="right" vertical="center"/>
    </xf>
    <xf numFmtId="4" fontId="82" fillId="36" borderId="5">
      <alignment horizontal="right" vertical="center"/>
    </xf>
    <xf numFmtId="0" fontId="82" fillId="36" borderId="23">
      <alignment horizontal="right" vertical="center"/>
    </xf>
    <xf numFmtId="4" fontId="82" fillId="36" borderId="23">
      <alignment horizontal="right" vertical="center"/>
    </xf>
    <xf numFmtId="0" fontId="82" fillId="36" borderId="22">
      <alignment horizontal="right" vertical="center"/>
    </xf>
    <xf numFmtId="4" fontId="82" fillId="36" borderId="22">
      <alignment horizontal="right" vertical="center"/>
    </xf>
    <xf numFmtId="0" fontId="178" fillId="65" borderId="26" applyNumberFormat="0" applyAlignment="0" applyProtection="0"/>
    <xf numFmtId="0" fontId="71" fillId="36" borderId="35">
      <alignment horizontal="left" vertical="center" wrapText="1" indent="2"/>
    </xf>
    <xf numFmtId="0" fontId="71" fillId="0" borderId="35">
      <alignment horizontal="left" vertical="center" wrapText="1" indent="2"/>
    </xf>
    <xf numFmtId="0" fontId="71" fillId="64" borderId="23">
      <alignment horizontal="left" vertical="center"/>
    </xf>
    <xf numFmtId="0" fontId="186" fillId="45" borderId="26" applyNumberFormat="0" applyAlignment="0" applyProtection="0"/>
    <xf numFmtId="0" fontId="71" fillId="0" borderId="5">
      <alignment horizontal="right" vertical="center"/>
    </xf>
    <xf numFmtId="4" fontId="71" fillId="0" borderId="5">
      <alignment horizontal="right" vertical="center"/>
    </xf>
    <xf numFmtId="0" fontId="71" fillId="0" borderId="5" applyNumberFormat="0" applyFill="0" applyAlignment="0" applyProtection="0"/>
    <xf numFmtId="0" fontId="190" fillId="65" borderId="25" applyNumberFormat="0" applyAlignment="0" applyProtection="0"/>
    <xf numFmtId="174" fontId="71" fillId="40" borderId="5" applyNumberFormat="0" applyFont="0" applyBorder="0" applyAlignment="0" applyProtection="0">
      <alignment horizontal="right" vertical="center"/>
    </xf>
    <xf numFmtId="0" fontId="71" fillId="72" borderId="5"/>
    <xf numFmtId="4" fontId="71" fillId="72" borderId="5"/>
    <xf numFmtId="0" fontId="192" fillId="0" borderId="38" applyNumberFormat="0" applyFill="0" applyAlignment="0" applyProtection="0"/>
    <xf numFmtId="4" fontId="82" fillId="64" borderId="5">
      <alignment horizontal="right" vertical="center"/>
    </xf>
    <xf numFmtId="0" fontId="175" fillId="44" borderId="34" applyNumberFormat="0" applyFont="0" applyAlignment="0" applyProtection="0"/>
    <xf numFmtId="0" fontId="71" fillId="0" borderId="5" applyNumberFormat="0" applyFill="0" applyAlignment="0" applyProtection="0"/>
    <xf numFmtId="0" fontId="105" fillId="0" borderId="38" applyNumberFormat="0" applyFill="0" applyAlignment="0" applyProtection="0"/>
    <xf numFmtId="0" fontId="192" fillId="0" borderId="38" applyNumberFormat="0" applyFill="0" applyAlignment="0" applyProtection="0"/>
    <xf numFmtId="0" fontId="101" fillId="45" borderId="26" applyNumberFormat="0" applyAlignment="0" applyProtection="0"/>
    <xf numFmtId="0" fontId="178" fillId="65" borderId="26" applyNumberFormat="0" applyAlignment="0" applyProtection="0"/>
    <xf numFmtId="4" fontId="83" fillId="64" borderId="5">
      <alignment horizontal="right" vertical="center"/>
    </xf>
    <xf numFmtId="0" fontId="82" fillId="64" borderId="5">
      <alignment horizontal="right" vertical="center"/>
    </xf>
    <xf numFmtId="174" fontId="71" fillId="40" borderId="5" applyNumberFormat="0" applyFont="0" applyBorder="0" applyAlignment="0" applyProtection="0">
      <alignment horizontal="right" vertical="center"/>
    </xf>
    <xf numFmtId="0" fontId="105" fillId="0" borderId="38" applyNumberFormat="0" applyFill="0" applyAlignment="0" applyProtection="0"/>
    <xf numFmtId="49" fontId="71" fillId="0" borderId="5" applyNumberFormat="0" applyFont="0" applyFill="0" applyBorder="0" applyProtection="0">
      <alignment horizontal="left" vertical="center" indent="2"/>
    </xf>
    <xf numFmtId="49" fontId="71" fillId="0" borderId="23" applyNumberFormat="0" applyFont="0" applyFill="0" applyBorder="0" applyProtection="0">
      <alignment horizontal="left" vertical="center" indent="5"/>
    </xf>
    <xf numFmtId="49" fontId="71" fillId="0" borderId="5" applyNumberFormat="0" applyFont="0" applyFill="0" applyBorder="0" applyProtection="0">
      <alignment horizontal="left" vertical="center" indent="2"/>
    </xf>
    <xf numFmtId="4" fontId="71" fillId="0" borderId="5" applyFill="0" applyBorder="0" applyProtection="0">
      <alignment horizontal="right" vertical="center"/>
    </xf>
    <xf numFmtId="49" fontId="72" fillId="0" borderId="5" applyNumberFormat="0" applyFill="0" applyBorder="0" applyProtection="0">
      <alignment horizontal="left" vertical="center"/>
    </xf>
    <xf numFmtId="0" fontId="71" fillId="0" borderId="35">
      <alignment horizontal="left" vertical="center" wrapText="1" indent="2"/>
    </xf>
    <xf numFmtId="0" fontId="190" fillId="65" borderId="25" applyNumberFormat="0" applyAlignment="0" applyProtection="0"/>
    <xf numFmtId="0" fontId="82" fillId="36" borderId="22">
      <alignment horizontal="right" vertical="center"/>
    </xf>
    <xf numFmtId="0" fontId="101" fillId="45" borderId="26" applyNumberFormat="0" applyAlignment="0" applyProtection="0"/>
    <xf numFmtId="0" fontId="82" fillId="36" borderId="22">
      <alignment horizontal="right" vertical="center"/>
    </xf>
    <xf numFmtId="4" fontId="82" fillId="36" borderId="5">
      <alignment horizontal="right" vertical="center"/>
    </xf>
    <xf numFmtId="0" fontId="82" fillId="36" borderId="5">
      <alignment horizontal="right" vertical="center"/>
    </xf>
    <xf numFmtId="0" fontId="85" fillId="65" borderId="25" applyNumberFormat="0" applyAlignment="0" applyProtection="0"/>
    <xf numFmtId="0" fontId="88" fillId="65" borderId="26" applyNumberFormat="0" applyAlignment="0" applyProtection="0"/>
    <xf numFmtId="0" fontId="105" fillId="0" borderId="38" applyNumberFormat="0" applyFill="0" applyAlignment="0" applyProtection="0"/>
    <xf numFmtId="0" fontId="71" fillId="72" borderId="5"/>
    <xf numFmtId="4" fontId="71" fillId="72" borderId="5"/>
    <xf numFmtId="4" fontId="82" fillId="36" borderId="5">
      <alignment horizontal="right" vertical="center"/>
    </xf>
    <xf numFmtId="0" fontId="83" fillId="64" borderId="5">
      <alignment horizontal="right" vertical="center"/>
    </xf>
    <xf numFmtId="0" fontId="101" fillId="45" borderId="26" applyNumberFormat="0" applyAlignment="0" applyProtection="0"/>
    <xf numFmtId="0" fontId="178" fillId="65" borderId="26" applyNumberFormat="0" applyAlignment="0" applyProtection="0"/>
    <xf numFmtId="4" fontId="71" fillId="0" borderId="5">
      <alignment horizontal="right" vertical="center"/>
    </xf>
    <xf numFmtId="0" fontId="71" fillId="36" borderId="35">
      <alignment horizontal="left" vertical="center" wrapText="1" indent="2"/>
    </xf>
    <xf numFmtId="0" fontId="71" fillId="0" borderId="35">
      <alignment horizontal="left" vertical="center" wrapText="1" indent="2"/>
    </xf>
    <xf numFmtId="0" fontId="190" fillId="65" borderId="25" applyNumberFormat="0" applyAlignment="0" applyProtection="0"/>
    <xf numFmtId="0" fontId="186" fillId="45" borderId="26" applyNumberFormat="0" applyAlignment="0" applyProtection="0"/>
    <xf numFmtId="0" fontId="88" fillId="65" borderId="26" applyNumberFormat="0" applyAlignment="0" applyProtection="0"/>
    <xf numFmtId="0" fontId="85" fillId="65" borderId="25" applyNumberFormat="0" applyAlignment="0" applyProtection="0"/>
    <xf numFmtId="0" fontId="82" fillId="36" borderId="22">
      <alignment horizontal="right" vertical="center"/>
    </xf>
    <xf numFmtId="0" fontId="83" fillId="64" borderId="5">
      <alignment horizontal="right" vertical="center"/>
    </xf>
    <xf numFmtId="4" fontId="82" fillId="64" borderId="5">
      <alignment horizontal="right" vertical="center"/>
    </xf>
    <xf numFmtId="4" fontId="82" fillId="36" borderId="5">
      <alignment horizontal="right" vertical="center"/>
    </xf>
    <xf numFmtId="49" fontId="71" fillId="0" borderId="23" applyNumberFormat="0" applyFont="0" applyFill="0" applyBorder="0" applyProtection="0">
      <alignment horizontal="left" vertical="center" indent="5"/>
    </xf>
    <xf numFmtId="4" fontId="71" fillId="0" borderId="5" applyFill="0" applyBorder="0" applyProtection="0">
      <alignment horizontal="right" vertical="center"/>
    </xf>
    <xf numFmtId="4" fontId="82" fillId="64" borderId="5">
      <alignment horizontal="right" vertical="center"/>
    </xf>
    <xf numFmtId="0" fontId="186" fillId="45" borderId="26" applyNumberFormat="0" applyAlignment="0" applyProtection="0"/>
    <xf numFmtId="0" fontId="101" fillId="45" borderId="26" applyNumberFormat="0" applyAlignment="0" applyProtection="0"/>
    <xf numFmtId="0" fontId="88" fillId="65" borderId="26" applyNumberFormat="0" applyAlignment="0" applyProtection="0"/>
    <xf numFmtId="0" fontId="71" fillId="36" borderId="35">
      <alignment horizontal="left" vertical="center" wrapText="1" indent="2"/>
    </xf>
    <xf numFmtId="0" fontId="71" fillId="0" borderId="35">
      <alignment horizontal="left" vertical="center" wrapText="1" indent="2"/>
    </xf>
    <xf numFmtId="0" fontId="71" fillId="36" borderId="35">
      <alignment horizontal="left" vertical="center" wrapText="1" indent="2"/>
    </xf>
    <xf numFmtId="0" fontId="18" fillId="0" borderId="0"/>
    <xf numFmtId="0" fontId="71" fillId="0" borderId="5">
      <alignment horizontal="right" vertical="center"/>
    </xf>
    <xf numFmtId="4" fontId="82" fillId="36" borderId="5">
      <alignment horizontal="right" vertical="center"/>
    </xf>
    <xf numFmtId="0" fontId="192" fillId="0" borderId="38" applyNumberFormat="0" applyFill="0" applyAlignment="0" applyProtection="0"/>
    <xf numFmtId="0" fontId="56" fillId="0" borderId="0" applyNumberFormat="0" applyFill="0" applyBorder="0" applyAlignment="0" applyProtection="0"/>
    <xf numFmtId="0" fontId="175" fillId="44" borderId="34" applyNumberFormat="0" applyFont="0" applyAlignment="0" applyProtection="0"/>
    <xf numFmtId="0" fontId="175" fillId="44" borderId="34" applyNumberFormat="0" applyFont="0" applyAlignment="0" applyProtection="0"/>
    <xf numFmtId="0" fontId="35" fillId="44" borderId="34" applyNumberFormat="0" applyFont="0" applyAlignment="0" applyProtection="0"/>
    <xf numFmtId="4" fontId="82" fillId="36" borderId="5">
      <alignment horizontal="right" vertical="center"/>
    </xf>
    <xf numFmtId="0" fontId="88" fillId="65" borderId="26" applyNumberFormat="0" applyAlignment="0" applyProtection="0"/>
    <xf numFmtId="4" fontId="82" fillId="36" borderId="48">
      <alignment horizontal="right" vertical="center"/>
    </xf>
    <xf numFmtId="0" fontId="18" fillId="32" borderId="0" applyNumberFormat="0" applyBorder="0" applyAlignment="0" applyProtection="0"/>
    <xf numFmtId="0" fontId="18" fillId="23" borderId="0" applyNumberFormat="0" applyBorder="0" applyAlignment="0" applyProtection="0"/>
    <xf numFmtId="0" fontId="56" fillId="0" borderId="0" applyNumberFormat="0" applyFill="0" applyBorder="0" applyAlignment="0" applyProtection="0"/>
    <xf numFmtId="0" fontId="35" fillId="44" borderId="34" applyNumberFormat="0" applyFont="0" applyAlignment="0" applyProtection="0"/>
    <xf numFmtId="0" fontId="54" fillId="13" borderId="15" applyNumberFormat="0" applyAlignment="0" applyProtection="0"/>
    <xf numFmtId="0" fontId="71" fillId="0" borderId="46">
      <alignment horizontal="left" vertical="center" wrapText="1" indent="2"/>
    </xf>
    <xf numFmtId="4" fontId="71" fillId="0" borderId="5">
      <alignment horizontal="right" vertical="center"/>
    </xf>
    <xf numFmtId="0" fontId="71" fillId="0" borderId="46">
      <alignment horizontal="left" vertical="center" wrapText="1" indent="2"/>
    </xf>
    <xf numFmtId="0" fontId="175" fillId="44" borderId="34" applyNumberFormat="0" applyFont="0" applyAlignment="0" applyProtection="0"/>
    <xf numFmtId="0" fontId="71" fillId="36" borderId="46">
      <alignment horizontal="left" vertical="center" wrapText="1" indent="2"/>
    </xf>
    <xf numFmtId="0" fontId="35" fillId="44" borderId="34" applyNumberFormat="0" applyFont="0" applyAlignment="0" applyProtection="0"/>
    <xf numFmtId="4" fontId="82" fillId="64" borderId="5">
      <alignment horizontal="right" vertical="center"/>
    </xf>
    <xf numFmtId="0" fontId="83" fillId="64" borderId="5">
      <alignment horizontal="right" vertical="center"/>
    </xf>
    <xf numFmtId="0" fontId="71" fillId="0" borderId="5">
      <alignment horizontal="right" vertical="center"/>
    </xf>
    <xf numFmtId="0" fontId="35" fillId="44" borderId="34" applyNumberFormat="0" applyFont="0" applyAlignment="0" applyProtection="0"/>
    <xf numFmtId="0" fontId="71" fillId="0" borderId="46">
      <alignment horizontal="left" vertical="center" wrapText="1" indent="2"/>
    </xf>
    <xf numFmtId="4" fontId="82" fillId="36" borderId="5">
      <alignment horizontal="right" vertical="center"/>
    </xf>
    <xf numFmtId="4" fontId="82" fillId="36" borderId="48">
      <alignment horizontal="right" vertical="center"/>
    </xf>
    <xf numFmtId="0" fontId="101" fillId="45" borderId="26" applyNumberFormat="0" applyAlignment="0" applyProtection="0"/>
    <xf numFmtId="0" fontId="190" fillId="65" borderId="25" applyNumberFormat="0" applyAlignment="0" applyProtection="0"/>
    <xf numFmtId="49" fontId="72" fillId="0" borderId="5" applyNumberFormat="0" applyFill="0" applyBorder="0" applyProtection="0">
      <alignment horizontal="left" vertical="center"/>
    </xf>
    <xf numFmtId="49" fontId="71" fillId="0" borderId="5" applyNumberFormat="0" applyFont="0" applyFill="0" applyBorder="0" applyProtection="0">
      <alignment horizontal="left" vertical="center" indent="2"/>
    </xf>
    <xf numFmtId="49" fontId="71" fillId="0" borderId="5" applyNumberFormat="0" applyFont="0" applyFill="0" applyBorder="0" applyProtection="0">
      <alignment horizontal="left" vertical="center" indent="2"/>
    </xf>
    <xf numFmtId="174" fontId="71" fillId="40" borderId="5" applyNumberFormat="0" applyFont="0" applyBorder="0" applyAlignment="0" applyProtection="0">
      <alignment horizontal="right" vertical="center"/>
    </xf>
    <xf numFmtId="4" fontId="82" fillId="36" borderId="5">
      <alignment horizontal="right" vertical="center"/>
    </xf>
    <xf numFmtId="4" fontId="83" fillId="64" borderId="5">
      <alignment horizontal="right" vertical="center"/>
    </xf>
    <xf numFmtId="4" fontId="82" fillId="64" borderId="5">
      <alignment horizontal="right" vertical="center"/>
    </xf>
    <xf numFmtId="4" fontId="83" fillId="64" borderId="5">
      <alignment horizontal="right" vertical="center"/>
    </xf>
    <xf numFmtId="0" fontId="82" fillId="36" borderId="5">
      <alignment horizontal="right" vertical="center"/>
    </xf>
    <xf numFmtId="4" fontId="71" fillId="0" borderId="5">
      <alignment horizontal="right" vertical="center"/>
    </xf>
    <xf numFmtId="0" fontId="82" fillId="36" borderId="5">
      <alignment horizontal="right" vertical="center"/>
    </xf>
    <xf numFmtId="0" fontId="192" fillId="0" borderId="38" applyNumberFormat="0" applyFill="0" applyAlignment="0" applyProtection="0"/>
    <xf numFmtId="0" fontId="35" fillId="44" borderId="34" applyNumberFormat="0" applyFont="0" applyAlignment="0" applyProtection="0"/>
    <xf numFmtId="0" fontId="71" fillId="0" borderId="46">
      <alignment horizontal="left" vertical="center" wrapText="1" indent="2"/>
    </xf>
    <xf numFmtId="0" fontId="71" fillId="36" borderId="46">
      <alignment horizontal="left" vertical="center" wrapText="1" indent="2"/>
    </xf>
    <xf numFmtId="0" fontId="186" fillId="45" borderId="26" applyNumberFormat="0" applyAlignment="0" applyProtection="0"/>
    <xf numFmtId="0" fontId="192" fillId="0" borderId="38" applyNumberFormat="0" applyFill="0" applyAlignment="0" applyProtection="0"/>
    <xf numFmtId="4" fontId="83" fillId="64" borderId="5">
      <alignment horizontal="right" vertical="center"/>
    </xf>
    <xf numFmtId="4" fontId="82" fillId="36" borderId="48">
      <alignment horizontal="right" vertical="center"/>
    </xf>
    <xf numFmtId="0" fontId="71" fillId="36" borderId="46">
      <alignment horizontal="left" vertical="center" wrapText="1" indent="2"/>
    </xf>
    <xf numFmtId="0" fontId="186" fillId="45" borderId="26" applyNumberFormat="0" applyAlignment="0" applyProtection="0"/>
    <xf numFmtId="0" fontId="71" fillId="0" borderId="5" applyNumberFormat="0" applyFill="0" applyAlignment="0" applyProtection="0"/>
    <xf numFmtId="0" fontId="105" fillId="0" borderId="38" applyNumberFormat="0" applyFill="0" applyAlignment="0" applyProtection="0"/>
    <xf numFmtId="0" fontId="186" fillId="45" borderId="26" applyNumberFormat="0" applyAlignment="0" applyProtection="0"/>
    <xf numFmtId="4" fontId="71" fillId="0" borderId="5">
      <alignment horizontal="right" vertical="center"/>
    </xf>
    <xf numFmtId="0" fontId="105" fillId="0" borderId="38" applyNumberFormat="0" applyFill="0" applyAlignment="0" applyProtection="0"/>
    <xf numFmtId="0" fontId="85" fillId="65" borderId="25" applyNumberFormat="0" applyAlignment="0" applyProtection="0"/>
    <xf numFmtId="4" fontId="71" fillId="0" borderId="5" applyFill="0" applyBorder="0" applyProtection="0">
      <alignment horizontal="right" vertical="center"/>
    </xf>
    <xf numFmtId="0" fontId="186" fillId="45" borderId="26" applyNumberFormat="0" applyAlignment="0" applyProtection="0"/>
    <xf numFmtId="0" fontId="18" fillId="32" borderId="0" applyNumberFormat="0" applyBorder="0" applyAlignment="0" applyProtection="0"/>
    <xf numFmtId="4" fontId="71" fillId="0" borderId="5" applyFill="0" applyBorder="0" applyProtection="0">
      <alignment horizontal="right" vertical="center"/>
    </xf>
    <xf numFmtId="0" fontId="18" fillId="22" borderId="0" applyNumberFormat="0" applyBorder="0" applyAlignment="0" applyProtection="0"/>
    <xf numFmtId="0" fontId="178" fillId="65" borderId="26" applyNumberFormat="0" applyAlignment="0" applyProtection="0"/>
    <xf numFmtId="0" fontId="83" fillId="64" borderId="5">
      <alignment horizontal="right" vertical="center"/>
    </xf>
    <xf numFmtId="4" fontId="71" fillId="72" borderId="5"/>
    <xf numFmtId="0" fontId="105" fillId="0" borderId="38" applyNumberFormat="0" applyFill="0" applyAlignment="0" applyProtection="0"/>
    <xf numFmtId="0" fontId="85" fillId="65" borderId="25" applyNumberFormat="0" applyAlignment="0" applyProtection="0"/>
    <xf numFmtId="4" fontId="82" fillId="36" borderId="5">
      <alignment horizontal="right" vertical="center"/>
    </xf>
    <xf numFmtId="0" fontId="71" fillId="0" borderId="5">
      <alignment horizontal="right" vertical="center"/>
    </xf>
    <xf numFmtId="0" fontId="71" fillId="64" borderId="48">
      <alignment horizontal="left" vertical="center"/>
    </xf>
    <xf numFmtId="0" fontId="71" fillId="36" borderId="46">
      <alignment horizontal="left" vertical="center" wrapText="1" indent="2"/>
    </xf>
    <xf numFmtId="4" fontId="82" fillId="36" borderId="49">
      <alignment horizontal="right" vertical="center"/>
    </xf>
    <xf numFmtId="4" fontId="82" fillId="36" borderId="48">
      <alignment horizontal="right" vertical="center"/>
    </xf>
    <xf numFmtId="4" fontId="82" fillId="36" borderId="5">
      <alignment horizontal="right" vertical="center"/>
    </xf>
    <xf numFmtId="0" fontId="71" fillId="0" borderId="5" applyNumberFormat="0" applyFill="0" applyAlignment="0" applyProtection="0"/>
    <xf numFmtId="0" fontId="71" fillId="72" borderId="5"/>
    <xf numFmtId="4" fontId="82" fillId="36" borderId="48">
      <alignment horizontal="right" vertical="center"/>
    </xf>
    <xf numFmtId="0" fontId="105" fillId="0" borderId="38" applyNumberFormat="0" applyFill="0" applyAlignment="0" applyProtection="0"/>
    <xf numFmtId="0" fontId="82" fillId="36" borderId="48">
      <alignment horizontal="right" vertical="center"/>
    </xf>
    <xf numFmtId="4" fontId="82" fillId="36" borderId="49">
      <alignment horizontal="right" vertical="center"/>
    </xf>
    <xf numFmtId="4" fontId="71" fillId="0" borderId="5">
      <alignment horizontal="right" vertical="center"/>
    </xf>
    <xf numFmtId="0" fontId="71" fillId="0" borderId="5">
      <alignment horizontal="right" vertical="center"/>
    </xf>
    <xf numFmtId="0" fontId="192" fillId="0" borderId="38" applyNumberFormat="0" applyFill="0" applyAlignment="0" applyProtection="0"/>
    <xf numFmtId="0" fontId="192" fillId="0" borderId="38" applyNumberFormat="0" applyFill="0" applyAlignment="0" applyProtection="0"/>
    <xf numFmtId="49" fontId="71" fillId="0" borderId="48" applyNumberFormat="0" applyFont="0" applyFill="0" applyBorder="0" applyProtection="0">
      <alignment horizontal="left" vertical="center" indent="5"/>
    </xf>
    <xf numFmtId="0" fontId="85" fillId="65" borderId="25" applyNumberFormat="0" applyAlignment="0" applyProtection="0"/>
    <xf numFmtId="49" fontId="71" fillId="0" borderId="5" applyNumberFormat="0" applyFont="0" applyFill="0" applyBorder="0" applyProtection="0">
      <alignment horizontal="left" vertical="center" indent="2"/>
    </xf>
    <xf numFmtId="0" fontId="82" fillId="36" borderId="5">
      <alignment horizontal="right" vertical="center"/>
    </xf>
    <xf numFmtId="0" fontId="71" fillId="64" borderId="48">
      <alignment horizontal="left" vertical="center"/>
    </xf>
    <xf numFmtId="0" fontId="192" fillId="0" borderId="38" applyNumberFormat="0" applyFill="0" applyAlignment="0" applyProtection="0"/>
    <xf numFmtId="0" fontId="186" fillId="45" borderId="26" applyNumberFormat="0" applyAlignment="0" applyProtection="0"/>
    <xf numFmtId="4" fontId="82" fillId="64" borderId="5">
      <alignment horizontal="right" vertical="center"/>
    </xf>
    <xf numFmtId="0" fontId="186" fillId="45" borderId="26" applyNumberFormat="0" applyAlignment="0" applyProtection="0"/>
    <xf numFmtId="0" fontId="18" fillId="31" borderId="0" applyNumberFormat="0" applyBorder="0" applyAlignment="0" applyProtection="0"/>
    <xf numFmtId="174" fontId="71" fillId="40" borderId="5" applyNumberFormat="0" applyFont="0" applyBorder="0" applyAlignment="0" applyProtection="0">
      <alignment horizontal="right" vertical="center"/>
    </xf>
    <xf numFmtId="0" fontId="101" fillId="45" borderId="26" applyNumberFormat="0" applyAlignment="0" applyProtection="0"/>
    <xf numFmtId="0" fontId="71" fillId="0" borderId="46">
      <alignment horizontal="left" vertical="center" wrapText="1" indent="2"/>
    </xf>
    <xf numFmtId="0" fontId="192" fillId="0" borderId="38" applyNumberFormat="0" applyFill="0" applyAlignment="0" applyProtection="0"/>
    <xf numFmtId="0" fontId="186" fillId="45" borderId="26" applyNumberFormat="0" applyAlignment="0" applyProtection="0"/>
    <xf numFmtId="174" fontId="71" fillId="40" borderId="5" applyNumberFormat="0" applyFont="0" applyBorder="0" applyAlignment="0" applyProtection="0">
      <alignment horizontal="right" vertical="center"/>
    </xf>
    <xf numFmtId="4" fontId="71" fillId="72" borderId="5"/>
    <xf numFmtId="0" fontId="18" fillId="19" borderId="0" applyNumberFormat="0" applyBorder="0" applyAlignment="0" applyProtection="0"/>
    <xf numFmtId="4" fontId="82" fillId="36" borderId="5">
      <alignment horizontal="right" vertical="center"/>
    </xf>
    <xf numFmtId="0" fontId="186" fillId="45" borderId="26" applyNumberFormat="0" applyAlignment="0" applyProtection="0"/>
    <xf numFmtId="4" fontId="82" fillId="36" borderId="49">
      <alignment horizontal="right" vertical="center"/>
    </xf>
    <xf numFmtId="0" fontId="71" fillId="0" borderId="5" applyNumberFormat="0" applyFill="0" applyAlignment="0" applyProtection="0"/>
    <xf numFmtId="4" fontId="83" fillId="64" borderId="5">
      <alignment horizontal="right" vertical="center"/>
    </xf>
    <xf numFmtId="0" fontId="82" fillId="36" borderId="49">
      <alignment horizontal="right" vertical="center"/>
    </xf>
    <xf numFmtId="0" fontId="175" fillId="44" borderId="34" applyNumberFormat="0" applyFont="0" applyAlignment="0" applyProtection="0"/>
    <xf numFmtId="0" fontId="82" fillId="36" borderId="5">
      <alignment horizontal="right" vertical="center"/>
    </xf>
    <xf numFmtId="4" fontId="82" fillId="64" borderId="5">
      <alignment horizontal="right" vertical="center"/>
    </xf>
    <xf numFmtId="0" fontId="82" fillId="36" borderId="5">
      <alignment horizontal="right" vertical="center"/>
    </xf>
    <xf numFmtId="0" fontId="85" fillId="65" borderId="25" applyNumberFormat="0" applyAlignment="0" applyProtection="0"/>
    <xf numFmtId="174" fontId="71" fillId="40" borderId="5" applyNumberFormat="0" applyFont="0" applyBorder="0" applyAlignment="0" applyProtection="0">
      <alignment horizontal="right" vertical="center"/>
    </xf>
    <xf numFmtId="0" fontId="192" fillId="0" borderId="38" applyNumberFormat="0" applyFill="0" applyAlignment="0" applyProtection="0"/>
    <xf numFmtId="4" fontId="71" fillId="0" borderId="5">
      <alignment horizontal="right" vertical="center"/>
    </xf>
    <xf numFmtId="0" fontId="82" fillId="36" borderId="5">
      <alignment horizontal="right" vertical="center"/>
    </xf>
    <xf numFmtId="4" fontId="82" fillId="36" borderId="48">
      <alignment horizontal="right" vertical="center"/>
    </xf>
    <xf numFmtId="0" fontId="83" fillId="64" borderId="5">
      <alignment horizontal="right" vertical="center"/>
    </xf>
    <xf numFmtId="0" fontId="190" fillId="65" borderId="25" applyNumberFormat="0" applyAlignment="0" applyProtection="0"/>
    <xf numFmtId="0" fontId="71" fillId="0" borderId="5" applyNumberFormat="0" applyFill="0" applyAlignment="0" applyProtection="0"/>
    <xf numFmtId="4" fontId="71" fillId="72" borderId="5"/>
    <xf numFmtId="0" fontId="186" fillId="45" borderId="26" applyNumberFormat="0" applyAlignment="0" applyProtection="0"/>
    <xf numFmtId="0" fontId="71" fillId="72" borderId="5"/>
    <xf numFmtId="174" fontId="71" fillId="40" borderId="5" applyNumberFormat="0" applyFont="0" applyBorder="0" applyAlignment="0" applyProtection="0">
      <alignment horizontal="right" vertical="center"/>
    </xf>
    <xf numFmtId="0" fontId="71" fillId="0" borderId="46">
      <alignment horizontal="left" vertical="center" wrapText="1" indent="2"/>
    </xf>
    <xf numFmtId="0" fontId="35" fillId="44" borderId="34" applyNumberFormat="0" applyFont="0" applyAlignment="0" applyProtection="0"/>
    <xf numFmtId="4" fontId="82" fillId="36" borderId="5">
      <alignment horizontal="right" vertical="center"/>
    </xf>
    <xf numFmtId="49" fontId="72" fillId="0" borderId="5" applyNumberFormat="0" applyFill="0" applyBorder="0" applyProtection="0">
      <alignment horizontal="left" vertical="center"/>
    </xf>
    <xf numFmtId="0" fontId="82" fillId="36" borderId="5">
      <alignment horizontal="right" vertical="center"/>
    </xf>
    <xf numFmtId="0" fontId="105" fillId="0" borderId="38" applyNumberFormat="0" applyFill="0" applyAlignment="0" applyProtection="0"/>
    <xf numFmtId="0" fontId="35" fillId="44" borderId="34" applyNumberFormat="0" applyFont="0" applyAlignment="0" applyProtection="0"/>
    <xf numFmtId="0" fontId="186" fillId="45" borderId="26" applyNumberFormat="0" applyAlignment="0" applyProtection="0"/>
    <xf numFmtId="0" fontId="105" fillId="0" borderId="38" applyNumberFormat="0" applyFill="0" applyAlignment="0" applyProtection="0"/>
    <xf numFmtId="0" fontId="82" fillId="36" borderId="5">
      <alignment horizontal="right" vertical="center"/>
    </xf>
    <xf numFmtId="0" fontId="178" fillId="65" borderId="26" applyNumberFormat="0" applyAlignment="0" applyProtection="0"/>
    <xf numFmtId="0" fontId="88" fillId="65" borderId="26" applyNumberFormat="0" applyAlignment="0" applyProtection="0"/>
    <xf numFmtId="0" fontId="71" fillId="0" borderId="5">
      <alignment horizontal="right" vertical="center"/>
    </xf>
    <xf numFmtId="0" fontId="190" fillId="65" borderId="25" applyNumberFormat="0" applyAlignment="0" applyProtection="0"/>
    <xf numFmtId="4" fontId="71" fillId="0" borderId="5">
      <alignment horizontal="right" vertical="center"/>
    </xf>
    <xf numFmtId="0" fontId="88" fillId="65" borderId="26" applyNumberFormat="0" applyAlignment="0" applyProtection="0"/>
    <xf numFmtId="0" fontId="178" fillId="65" borderId="26" applyNumberFormat="0" applyAlignment="0" applyProtection="0"/>
    <xf numFmtId="4" fontId="82" fillId="36" borderId="5">
      <alignment horizontal="right" vertical="center"/>
    </xf>
    <xf numFmtId="49" fontId="71" fillId="0" borderId="5" applyNumberFormat="0" applyFont="0" applyFill="0" applyBorder="0" applyProtection="0">
      <alignment horizontal="left" vertical="center" indent="2"/>
    </xf>
    <xf numFmtId="0" fontId="105" fillId="0" borderId="38" applyNumberFormat="0" applyFill="0" applyAlignment="0" applyProtection="0"/>
    <xf numFmtId="0" fontId="101" fillId="45" borderId="26" applyNumberFormat="0" applyAlignment="0" applyProtection="0"/>
    <xf numFmtId="0" fontId="71" fillId="36" borderId="46">
      <alignment horizontal="left" vertical="center" wrapText="1" indent="2"/>
    </xf>
    <xf numFmtId="0" fontId="82" fillId="36" borderId="5">
      <alignment horizontal="right" vertical="center"/>
    </xf>
    <xf numFmtId="49" fontId="71" fillId="0" borderId="48" applyNumberFormat="0" applyFont="0" applyFill="0" applyBorder="0" applyProtection="0">
      <alignment horizontal="left" vertical="center" indent="5"/>
    </xf>
    <xf numFmtId="0" fontId="57" fillId="30" borderId="0" applyNumberFormat="0" applyBorder="0" applyAlignment="0" applyProtection="0"/>
    <xf numFmtId="4" fontId="71" fillId="0" borderId="5">
      <alignment horizontal="right" vertical="center"/>
    </xf>
    <xf numFmtId="0" fontId="101" fillId="45" borderId="26" applyNumberFormat="0" applyAlignment="0" applyProtection="0"/>
    <xf numFmtId="4" fontId="82" fillId="36" borderId="5">
      <alignment horizontal="right" vertical="center"/>
    </xf>
    <xf numFmtId="0" fontId="71" fillId="72" borderId="5"/>
    <xf numFmtId="0" fontId="88" fillId="65" borderId="26" applyNumberFormat="0" applyAlignment="0" applyProtection="0"/>
    <xf numFmtId="0" fontId="82" fillId="36" borderId="5">
      <alignment horizontal="right" vertical="center"/>
    </xf>
    <xf numFmtId="4" fontId="71" fillId="0" borderId="5">
      <alignment horizontal="right" vertical="center"/>
    </xf>
    <xf numFmtId="0" fontId="186" fillId="45" borderId="26" applyNumberFormat="0" applyAlignment="0" applyProtection="0"/>
    <xf numFmtId="0" fontId="71" fillId="0" borderId="46">
      <alignment horizontal="left" vertical="center" wrapText="1" indent="2"/>
    </xf>
    <xf numFmtId="0" fontId="178" fillId="65" borderId="26" applyNumberFormat="0" applyAlignment="0" applyProtection="0"/>
    <xf numFmtId="0" fontId="82" fillId="36" borderId="49">
      <alignment horizontal="right" vertical="center"/>
    </xf>
    <xf numFmtId="0" fontId="82" fillId="36" borderId="48">
      <alignment horizontal="right" vertical="center"/>
    </xf>
    <xf numFmtId="4" fontId="71" fillId="0" borderId="5" applyFill="0" applyBorder="0" applyProtection="0">
      <alignment horizontal="right" vertical="center"/>
    </xf>
    <xf numFmtId="174" fontId="71" fillId="40" borderId="5" applyNumberFormat="0" applyFont="0" applyBorder="0" applyAlignment="0" applyProtection="0">
      <alignment horizontal="right" vertical="center"/>
    </xf>
    <xf numFmtId="0" fontId="71" fillId="36" borderId="46">
      <alignment horizontal="left" vertical="center" wrapText="1" indent="2"/>
    </xf>
    <xf numFmtId="0" fontId="175" fillId="44" borderId="34" applyNumberFormat="0" applyFont="0" applyAlignment="0" applyProtection="0"/>
    <xf numFmtId="0" fontId="178" fillId="65" borderId="26" applyNumberFormat="0" applyAlignment="0" applyProtection="0"/>
    <xf numFmtId="0" fontId="88" fillId="65" borderId="26" applyNumberFormat="0" applyAlignment="0" applyProtection="0"/>
    <xf numFmtId="0" fontId="178" fillId="65" borderId="26" applyNumberFormat="0" applyAlignment="0" applyProtection="0"/>
    <xf numFmtId="0" fontId="82" fillId="36" borderId="5">
      <alignment horizontal="right" vertical="center"/>
    </xf>
    <xf numFmtId="0" fontId="192" fillId="0" borderId="38" applyNumberFormat="0" applyFill="0" applyAlignment="0" applyProtection="0"/>
    <xf numFmtId="4" fontId="71" fillId="0" borderId="5">
      <alignment horizontal="right" vertical="center"/>
    </xf>
    <xf numFmtId="0" fontId="18" fillId="22" borderId="0" applyNumberFormat="0" applyBorder="0" applyAlignment="0" applyProtection="0"/>
    <xf numFmtId="0" fontId="192" fillId="0" borderId="38" applyNumberFormat="0" applyFill="0" applyAlignment="0" applyProtection="0"/>
    <xf numFmtId="0" fontId="175" fillId="44" borderId="34" applyNumberFormat="0" applyFont="0" applyAlignment="0" applyProtection="0"/>
    <xf numFmtId="174" fontId="71" fillId="40" borderId="5" applyNumberFormat="0" applyFont="0" applyBorder="0" applyAlignment="0" applyProtection="0">
      <alignment horizontal="right" vertical="center"/>
    </xf>
    <xf numFmtId="174" fontId="71" fillId="40" borderId="5" applyNumberFormat="0" applyFont="0" applyBorder="0" applyAlignment="0" applyProtection="0">
      <alignment horizontal="right" vertical="center"/>
    </xf>
    <xf numFmtId="0" fontId="105" fillId="0" borderId="38" applyNumberFormat="0" applyFill="0" applyAlignment="0" applyProtection="0"/>
    <xf numFmtId="0" fontId="186" fillId="45" borderId="26" applyNumberFormat="0" applyAlignment="0" applyProtection="0"/>
    <xf numFmtId="0" fontId="105" fillId="0" borderId="38" applyNumberFormat="0" applyFill="0" applyAlignment="0" applyProtection="0"/>
    <xf numFmtId="49" fontId="72" fillId="0" borderId="5" applyNumberFormat="0" applyFill="0" applyBorder="0" applyProtection="0">
      <alignment horizontal="left" vertical="center"/>
    </xf>
    <xf numFmtId="0" fontId="71" fillId="72" borderId="5"/>
    <xf numFmtId="0" fontId="186" fillId="45" borderId="26" applyNumberFormat="0" applyAlignment="0" applyProtection="0"/>
    <xf numFmtId="0" fontId="35" fillId="44" borderId="34" applyNumberFormat="0" applyFont="0" applyAlignment="0" applyProtection="0"/>
    <xf numFmtId="0" fontId="82" fillId="36" borderId="5">
      <alignment horizontal="right" vertical="center"/>
    </xf>
    <xf numFmtId="0" fontId="82" fillId="36" borderId="5">
      <alignment horizontal="right" vertical="center"/>
    </xf>
    <xf numFmtId="0" fontId="18" fillId="28" borderId="0" applyNumberFormat="0" applyBorder="0" applyAlignment="0" applyProtection="0"/>
    <xf numFmtId="0" fontId="175" fillId="44" borderId="34" applyNumberFormat="0" applyFont="0" applyAlignment="0" applyProtection="0"/>
    <xf numFmtId="0" fontId="57" fillId="27" borderId="0" applyNumberFormat="0" applyBorder="0" applyAlignment="0" applyProtection="0"/>
    <xf numFmtId="0" fontId="101" fillId="45" borderId="26" applyNumberFormat="0" applyAlignment="0" applyProtection="0"/>
    <xf numFmtId="4" fontId="71" fillId="0" borderId="5" applyFill="0" applyBorder="0" applyProtection="0">
      <alignment horizontal="right" vertical="center"/>
    </xf>
    <xf numFmtId="0" fontId="71" fillId="0" borderId="46">
      <alignment horizontal="left" vertical="center" wrapText="1" indent="2"/>
    </xf>
    <xf numFmtId="0" fontId="71" fillId="72" borderId="5"/>
    <xf numFmtId="0" fontId="57" fillId="18" borderId="0" applyNumberFormat="0" applyBorder="0" applyAlignment="0" applyProtection="0"/>
    <xf numFmtId="0" fontId="192" fillId="0" borderId="38" applyNumberFormat="0" applyFill="0" applyAlignment="0" applyProtection="0"/>
    <xf numFmtId="0" fontId="54" fillId="13" borderId="15" applyNumberFormat="0" applyAlignment="0" applyProtection="0"/>
    <xf numFmtId="0" fontId="83" fillId="64" borderId="5">
      <alignment horizontal="right" vertical="center"/>
    </xf>
    <xf numFmtId="0" fontId="18" fillId="22" borderId="0" applyNumberFormat="0" applyBorder="0" applyAlignment="0" applyProtection="0"/>
    <xf numFmtId="0" fontId="105" fillId="0" borderId="38" applyNumberFormat="0" applyFill="0" applyAlignment="0" applyProtection="0"/>
    <xf numFmtId="0" fontId="53" fillId="13" borderId="16" applyNumberFormat="0" applyAlignment="0" applyProtection="0"/>
    <xf numFmtId="0" fontId="190" fillId="65" borderId="25" applyNumberFormat="0" applyAlignment="0" applyProtection="0"/>
    <xf numFmtId="0" fontId="82" fillId="36" borderId="49">
      <alignment horizontal="right" vertical="center"/>
    </xf>
    <xf numFmtId="0" fontId="82" fillId="36" borderId="48">
      <alignment horizontal="right" vertical="center"/>
    </xf>
    <xf numFmtId="0" fontId="178" fillId="65" borderId="26" applyNumberFormat="0" applyAlignment="0" applyProtection="0"/>
    <xf numFmtId="0" fontId="71" fillId="0" borderId="5" applyNumberFormat="0" applyFill="0" applyAlignment="0" applyProtection="0"/>
    <xf numFmtId="0" fontId="71" fillId="72" borderId="5"/>
    <xf numFmtId="4" fontId="71" fillId="72" borderId="5"/>
    <xf numFmtId="0" fontId="190" fillId="65" borderId="25" applyNumberFormat="0" applyAlignment="0" applyProtection="0"/>
    <xf numFmtId="0" fontId="186" fillId="45" borderId="26" applyNumberFormat="0" applyAlignment="0" applyProtection="0"/>
    <xf numFmtId="0" fontId="71" fillId="0" borderId="5">
      <alignment horizontal="right" vertical="center"/>
    </xf>
    <xf numFmtId="0" fontId="71" fillId="64" borderId="48">
      <alignment horizontal="left" vertical="center"/>
    </xf>
    <xf numFmtId="0" fontId="71" fillId="36" borderId="46">
      <alignment horizontal="left" vertical="center" wrapText="1" indent="2"/>
    </xf>
    <xf numFmtId="0" fontId="82" fillId="36" borderId="5">
      <alignment horizontal="right" vertical="center"/>
    </xf>
    <xf numFmtId="4" fontId="82" fillId="36" borderId="5">
      <alignment horizontal="right" vertical="center"/>
    </xf>
    <xf numFmtId="0" fontId="82" fillId="36" borderId="48">
      <alignment horizontal="right" vertical="center"/>
    </xf>
    <xf numFmtId="4" fontId="82" fillId="36" borderId="5">
      <alignment horizontal="right" vertical="center"/>
    </xf>
    <xf numFmtId="0" fontId="82" fillId="64" borderId="5">
      <alignment horizontal="right" vertical="center"/>
    </xf>
    <xf numFmtId="4" fontId="82" fillId="64" borderId="5">
      <alignment horizontal="right" vertical="center"/>
    </xf>
    <xf numFmtId="0" fontId="186" fillId="45" borderId="26" applyNumberFormat="0" applyAlignment="0" applyProtection="0"/>
    <xf numFmtId="0" fontId="82" fillId="36" borderId="5">
      <alignment horizontal="right" vertical="center"/>
    </xf>
    <xf numFmtId="0" fontId="35" fillId="44" borderId="34" applyNumberFormat="0" applyFont="0" applyAlignment="0" applyProtection="0"/>
    <xf numFmtId="4" fontId="82" fillId="64" borderId="5">
      <alignment horizontal="right" vertical="center"/>
    </xf>
    <xf numFmtId="0" fontId="186" fillId="45" borderId="26" applyNumberFormat="0" applyAlignment="0" applyProtection="0"/>
    <xf numFmtId="4" fontId="71" fillId="72" borderId="5"/>
    <xf numFmtId="0" fontId="192" fillId="0" borderId="38" applyNumberFormat="0" applyFill="0" applyAlignment="0" applyProtection="0"/>
    <xf numFmtId="0" fontId="175" fillId="44" borderId="34" applyNumberFormat="0" applyFont="0" applyAlignment="0" applyProtection="0"/>
    <xf numFmtId="174" fontId="71" fillId="40" borderId="5" applyNumberFormat="0" applyFont="0" applyBorder="0" applyAlignment="0" applyProtection="0">
      <alignment horizontal="right" vertical="center"/>
    </xf>
    <xf numFmtId="0" fontId="178" fillId="65" borderId="26" applyNumberFormat="0" applyAlignment="0" applyProtection="0"/>
    <xf numFmtId="0" fontId="178" fillId="65" borderId="26" applyNumberFormat="0" applyAlignment="0" applyProtection="0"/>
    <xf numFmtId="0" fontId="190" fillId="65" borderId="25" applyNumberFormat="0" applyAlignment="0" applyProtection="0"/>
    <xf numFmtId="0" fontId="178" fillId="65" borderId="26" applyNumberFormat="0" applyAlignment="0" applyProtection="0"/>
    <xf numFmtId="0" fontId="101" fillId="45" borderId="26" applyNumberFormat="0" applyAlignment="0" applyProtection="0"/>
    <xf numFmtId="0" fontId="105" fillId="0" borderId="38" applyNumberFormat="0" applyFill="0" applyAlignment="0" applyProtection="0"/>
    <xf numFmtId="0" fontId="105" fillId="0" borderId="38" applyNumberFormat="0" applyFill="0" applyAlignment="0" applyProtection="0"/>
    <xf numFmtId="0" fontId="101" fillId="45" borderId="26" applyNumberFormat="0" applyAlignment="0" applyProtection="0"/>
    <xf numFmtId="0" fontId="88" fillId="65" borderId="26" applyNumberFormat="0" applyAlignment="0" applyProtection="0"/>
    <xf numFmtId="0" fontId="82" fillId="64" borderId="5">
      <alignment horizontal="right" vertical="center"/>
    </xf>
    <xf numFmtId="0" fontId="83" fillId="64" borderId="5">
      <alignment horizontal="right" vertical="center"/>
    </xf>
    <xf numFmtId="0" fontId="190" fillId="65" borderId="25" applyNumberFormat="0" applyAlignment="0" applyProtection="0"/>
    <xf numFmtId="0" fontId="186" fillId="45" borderId="26" applyNumberFormat="0" applyAlignment="0" applyProtection="0"/>
    <xf numFmtId="0" fontId="175" fillId="44" borderId="34" applyNumberFormat="0" applyFont="0" applyAlignment="0" applyProtection="0"/>
    <xf numFmtId="0" fontId="192" fillId="0" borderId="38" applyNumberFormat="0" applyFill="0" applyAlignment="0" applyProtection="0"/>
    <xf numFmtId="49" fontId="71" fillId="0" borderId="48" applyNumberFormat="0" applyFont="0" applyFill="0" applyBorder="0" applyProtection="0">
      <alignment horizontal="left" vertical="center" indent="5"/>
    </xf>
    <xf numFmtId="0" fontId="82" fillId="36" borderId="5">
      <alignment horizontal="right" vertical="center"/>
    </xf>
    <xf numFmtId="0" fontId="18" fillId="25" borderId="0" applyNumberFormat="0" applyBorder="0" applyAlignment="0" applyProtection="0"/>
    <xf numFmtId="0" fontId="190" fillId="65" borderId="25" applyNumberFormat="0" applyAlignment="0" applyProtection="0"/>
    <xf numFmtId="49" fontId="72" fillId="0" borderId="5" applyNumberFormat="0" applyFill="0" applyBorder="0" applyProtection="0">
      <alignment horizontal="left" vertical="center"/>
    </xf>
    <xf numFmtId="0" fontId="71" fillId="0" borderId="46">
      <alignment horizontal="left" vertical="center" wrapText="1" indent="2"/>
    </xf>
    <xf numFmtId="0" fontId="178" fillId="65" borderId="26" applyNumberFormat="0" applyAlignment="0" applyProtection="0"/>
    <xf numFmtId="4" fontId="82" fillId="36" borderId="5">
      <alignment horizontal="right" vertical="center"/>
    </xf>
    <xf numFmtId="0" fontId="192" fillId="0" borderId="38" applyNumberFormat="0" applyFill="0" applyAlignment="0" applyProtection="0"/>
    <xf numFmtId="0" fontId="85" fillId="65" borderId="25" applyNumberFormat="0" applyAlignment="0" applyProtection="0"/>
    <xf numFmtId="0" fontId="18" fillId="17" borderId="0" applyNumberFormat="0" applyBorder="0" applyAlignment="0" applyProtection="0"/>
    <xf numFmtId="0" fontId="71" fillId="0" borderId="46">
      <alignment horizontal="left" vertical="center" wrapText="1" indent="2"/>
    </xf>
    <xf numFmtId="49" fontId="71" fillId="0" borderId="5" applyNumberFormat="0" applyFont="0" applyFill="0" applyBorder="0" applyProtection="0">
      <alignment horizontal="left" vertical="center" indent="2"/>
    </xf>
    <xf numFmtId="0" fontId="83" fillId="64" borderId="5">
      <alignment horizontal="right" vertical="center"/>
    </xf>
    <xf numFmtId="4" fontId="82" fillId="64" borderId="5">
      <alignment horizontal="right" vertical="center"/>
    </xf>
    <xf numFmtId="4" fontId="83" fillId="64" borderId="5">
      <alignment horizontal="right" vertical="center"/>
    </xf>
    <xf numFmtId="0" fontId="88" fillId="65" borderId="26" applyNumberFormat="0" applyAlignment="0" applyProtection="0"/>
    <xf numFmtId="0" fontId="101" fillId="45" borderId="26" applyNumberFormat="0" applyAlignment="0" applyProtection="0"/>
    <xf numFmtId="0" fontId="71" fillId="0" borderId="5" applyNumberFormat="0" applyFill="0" applyAlignment="0" applyProtection="0"/>
    <xf numFmtId="0" fontId="105" fillId="0" borderId="38" applyNumberFormat="0" applyFill="0" applyAlignment="0" applyProtection="0"/>
    <xf numFmtId="49" fontId="72" fillId="0" borderId="5" applyNumberFormat="0" applyFill="0" applyBorder="0" applyProtection="0">
      <alignment horizontal="left" vertical="center"/>
    </xf>
    <xf numFmtId="4" fontId="82" fillId="36" borderId="49">
      <alignment horizontal="right" vertical="center"/>
    </xf>
    <xf numFmtId="0" fontId="190" fillId="65" borderId="25" applyNumberFormat="0" applyAlignment="0" applyProtection="0"/>
    <xf numFmtId="4" fontId="83" fillId="64" borderId="5">
      <alignment horizontal="right" vertical="center"/>
    </xf>
    <xf numFmtId="0" fontId="71" fillId="0" borderId="46">
      <alignment horizontal="left" vertical="center" wrapText="1" indent="2"/>
    </xf>
    <xf numFmtId="0" fontId="35" fillId="44" borderId="34" applyNumberFormat="0" applyFont="0" applyAlignment="0" applyProtection="0"/>
    <xf numFmtId="4" fontId="83" fillId="64" borderId="5">
      <alignment horizontal="right" vertical="center"/>
    </xf>
    <xf numFmtId="0" fontId="178" fillId="65" borderId="26" applyNumberFormat="0" applyAlignment="0" applyProtection="0"/>
    <xf numFmtId="0" fontId="71" fillId="36" borderId="46">
      <alignment horizontal="left" vertical="center" wrapText="1" indent="2"/>
    </xf>
    <xf numFmtId="0" fontId="178" fillId="65" borderId="26" applyNumberFormat="0" applyAlignment="0" applyProtection="0"/>
    <xf numFmtId="0" fontId="101" fillId="45" borderId="26" applyNumberFormat="0" applyAlignment="0" applyProtection="0"/>
    <xf numFmtId="0" fontId="178" fillId="65" borderId="26" applyNumberFormat="0" applyAlignment="0" applyProtection="0"/>
    <xf numFmtId="4" fontId="82" fillId="36" borderId="49">
      <alignment horizontal="right" vertical="center"/>
    </xf>
    <xf numFmtId="0" fontId="71" fillId="0" borderId="5" applyNumberFormat="0" applyFill="0" applyAlignment="0" applyProtection="0"/>
    <xf numFmtId="174" fontId="71" fillId="40" borderId="5" applyNumberFormat="0" applyFont="0" applyBorder="0" applyAlignment="0" applyProtection="0">
      <alignment horizontal="right" vertical="center"/>
    </xf>
    <xf numFmtId="0" fontId="178" fillId="65" borderId="26" applyNumberFormat="0" applyAlignment="0" applyProtection="0"/>
    <xf numFmtId="0" fontId="82" fillId="64" borderId="5">
      <alignment horizontal="right" vertical="center"/>
    </xf>
    <xf numFmtId="0" fontId="71" fillId="0" borderId="5" applyNumberFormat="0" applyFill="0" applyAlignment="0" applyProtection="0"/>
    <xf numFmtId="0" fontId="83" fillId="64" borderId="5">
      <alignment horizontal="right" vertical="center"/>
    </xf>
    <xf numFmtId="0" fontId="53" fillId="13" borderId="16" applyNumberFormat="0" applyAlignment="0" applyProtection="0"/>
    <xf numFmtId="0" fontId="71" fillId="0" borderId="5">
      <alignment horizontal="right" vertical="center"/>
    </xf>
    <xf numFmtId="0" fontId="178" fillId="65" borderId="26" applyNumberFormat="0" applyAlignment="0" applyProtection="0"/>
    <xf numFmtId="0" fontId="83" fillId="64" borderId="5">
      <alignment horizontal="right" vertical="center"/>
    </xf>
    <xf numFmtId="0" fontId="192" fillId="0" borderId="38" applyNumberFormat="0" applyFill="0" applyAlignment="0" applyProtection="0"/>
    <xf numFmtId="0" fontId="186" fillId="45" borderId="26" applyNumberFormat="0" applyAlignment="0" applyProtection="0"/>
    <xf numFmtId="0" fontId="71" fillId="36" borderId="46">
      <alignment horizontal="left" vertical="center" wrapText="1" indent="2"/>
    </xf>
    <xf numFmtId="0" fontId="18" fillId="31" borderId="0" applyNumberFormat="0" applyBorder="0" applyAlignment="0" applyProtection="0"/>
    <xf numFmtId="0" fontId="192" fillId="0" borderId="38" applyNumberFormat="0" applyFill="0" applyAlignment="0" applyProtection="0"/>
    <xf numFmtId="0" fontId="85" fillId="65" borderId="25" applyNumberFormat="0" applyAlignment="0" applyProtection="0"/>
    <xf numFmtId="49" fontId="72" fillId="0" borderId="5" applyNumberFormat="0" applyFill="0" applyBorder="0" applyProtection="0">
      <alignment horizontal="left" vertical="center"/>
    </xf>
    <xf numFmtId="0" fontId="192" fillId="0" borderId="38" applyNumberFormat="0" applyFill="0" applyAlignment="0" applyProtection="0"/>
    <xf numFmtId="0" fontId="71" fillId="36" borderId="46">
      <alignment horizontal="left" vertical="center" wrapText="1" indent="2"/>
    </xf>
    <xf numFmtId="0" fontId="82" fillId="36" borderId="49">
      <alignment horizontal="right" vertical="center"/>
    </xf>
    <xf numFmtId="0" fontId="71" fillId="0" borderId="5">
      <alignment horizontal="right" vertical="center"/>
    </xf>
    <xf numFmtId="0" fontId="85" fillId="65" borderId="25" applyNumberFormat="0" applyAlignment="0" applyProtection="0"/>
    <xf numFmtId="0" fontId="71" fillId="0" borderId="5" applyNumberFormat="0" applyFill="0" applyAlignment="0" applyProtection="0"/>
    <xf numFmtId="4" fontId="82" fillId="36" borderId="5">
      <alignment horizontal="right" vertical="center"/>
    </xf>
    <xf numFmtId="0" fontId="71" fillId="0" borderId="5">
      <alignment horizontal="right" vertical="center"/>
    </xf>
    <xf numFmtId="0" fontId="186" fillId="45" borderId="26" applyNumberFormat="0" applyAlignment="0" applyProtection="0"/>
    <xf numFmtId="0" fontId="71" fillId="72" borderId="5"/>
    <xf numFmtId="0" fontId="186" fillId="45" borderId="26" applyNumberFormat="0" applyAlignment="0" applyProtection="0"/>
    <xf numFmtId="0" fontId="178" fillId="65" borderId="26" applyNumberFormat="0" applyAlignment="0" applyProtection="0"/>
    <xf numFmtId="0" fontId="71" fillId="64" borderId="48">
      <alignment horizontal="left" vertical="center"/>
    </xf>
    <xf numFmtId="0" fontId="82" fillId="36" borderId="5">
      <alignment horizontal="right" vertical="center"/>
    </xf>
    <xf numFmtId="0" fontId="71" fillId="0" borderId="46">
      <alignment horizontal="left" vertical="center" wrapText="1" indent="2"/>
    </xf>
    <xf numFmtId="0" fontId="57" fillId="27" borderId="0" applyNumberFormat="0" applyBorder="0" applyAlignment="0" applyProtection="0"/>
    <xf numFmtId="0" fontId="83" fillId="64" borderId="5">
      <alignment horizontal="right" vertical="center"/>
    </xf>
    <xf numFmtId="0" fontId="82" fillId="36" borderId="49">
      <alignment horizontal="right" vertical="center"/>
    </xf>
    <xf numFmtId="49" fontId="71" fillId="0" borderId="48" applyNumberFormat="0" applyFont="0" applyFill="0" applyBorder="0" applyProtection="0">
      <alignment horizontal="left" vertical="center" indent="5"/>
    </xf>
    <xf numFmtId="0" fontId="178" fillId="65" borderId="26" applyNumberFormat="0" applyAlignment="0" applyProtection="0"/>
    <xf numFmtId="4" fontId="71" fillId="0" borderId="5" applyFill="0" applyBorder="0" applyProtection="0">
      <alignment horizontal="right" vertical="center"/>
    </xf>
    <xf numFmtId="0" fontId="88" fillId="65" borderId="26" applyNumberFormat="0" applyAlignment="0" applyProtection="0"/>
    <xf numFmtId="0" fontId="71" fillId="0" borderId="5">
      <alignment horizontal="right" vertical="center"/>
    </xf>
    <xf numFmtId="0" fontId="82" fillId="64" borderId="5">
      <alignment horizontal="right" vertical="center"/>
    </xf>
    <xf numFmtId="0" fontId="190" fillId="65" borderId="25" applyNumberFormat="0" applyAlignment="0" applyProtection="0"/>
    <xf numFmtId="0" fontId="190" fillId="65" borderId="25" applyNumberFormat="0" applyAlignment="0" applyProtection="0"/>
    <xf numFmtId="4" fontId="82" fillId="36" borderId="5">
      <alignment horizontal="right" vertical="center"/>
    </xf>
    <xf numFmtId="0" fontId="71" fillId="0" borderId="46">
      <alignment horizontal="left" vertical="center" wrapText="1" indent="2"/>
    </xf>
    <xf numFmtId="0" fontId="105" fillId="0" borderId="38" applyNumberFormat="0" applyFill="0" applyAlignment="0" applyProtection="0"/>
    <xf numFmtId="4" fontId="82" fillId="36" borderId="5">
      <alignment horizontal="right" vertical="center"/>
    </xf>
    <xf numFmtId="0" fontId="71" fillId="0" borderId="46">
      <alignment horizontal="left" vertical="center" wrapText="1" indent="2"/>
    </xf>
    <xf numFmtId="4" fontId="71" fillId="72" borderId="5"/>
    <xf numFmtId="0" fontId="186" fillId="45" borderId="26" applyNumberFormat="0" applyAlignment="0" applyProtection="0"/>
    <xf numFmtId="0" fontId="82" fillId="64" borderId="5">
      <alignment horizontal="right" vertical="center"/>
    </xf>
    <xf numFmtId="0" fontId="71" fillId="0" borderId="5">
      <alignment horizontal="right" vertical="center"/>
    </xf>
    <xf numFmtId="0" fontId="18" fillId="19" borderId="0" applyNumberFormat="0" applyBorder="0" applyAlignment="0" applyProtection="0"/>
    <xf numFmtId="0" fontId="71" fillId="36" borderId="46">
      <alignment horizontal="left" vertical="center" wrapText="1" indent="2"/>
    </xf>
    <xf numFmtId="0" fontId="71" fillId="36" borderId="46">
      <alignment horizontal="left" vertical="center" wrapText="1" indent="2"/>
    </xf>
    <xf numFmtId="0" fontId="192" fillId="0" borderId="38" applyNumberFormat="0" applyFill="0" applyAlignment="0" applyProtection="0"/>
    <xf numFmtId="0" fontId="82" fillId="64" borderId="5">
      <alignment horizontal="right" vertical="center"/>
    </xf>
    <xf numFmtId="0" fontId="105" fillId="0" borderId="38" applyNumberFormat="0" applyFill="0" applyAlignment="0" applyProtection="0"/>
    <xf numFmtId="4" fontId="71" fillId="0" borderId="5">
      <alignment horizontal="right" vertical="center"/>
    </xf>
    <xf numFmtId="0" fontId="82" fillId="36" borderId="5">
      <alignment horizontal="right" vertical="center"/>
    </xf>
    <xf numFmtId="0" fontId="18" fillId="17" borderId="0" applyNumberFormat="0" applyBorder="0" applyAlignment="0" applyProtection="0"/>
    <xf numFmtId="49" fontId="72" fillId="0" borderId="5" applyNumberFormat="0" applyFill="0" applyBorder="0" applyProtection="0">
      <alignment horizontal="left" vertical="center"/>
    </xf>
    <xf numFmtId="0" fontId="192" fillId="0" borderId="38" applyNumberFormat="0" applyFill="0" applyAlignment="0" applyProtection="0"/>
    <xf numFmtId="4" fontId="82" fillId="36" borderId="5">
      <alignment horizontal="right" vertical="center"/>
    </xf>
    <xf numFmtId="4" fontId="71" fillId="72" borderId="5"/>
    <xf numFmtId="0" fontId="192" fillId="0" borderId="38" applyNumberFormat="0" applyFill="0" applyAlignment="0" applyProtection="0"/>
    <xf numFmtId="0" fontId="186" fillId="45" borderId="26" applyNumberFormat="0" applyAlignment="0" applyProtection="0"/>
    <xf numFmtId="0" fontId="71" fillId="72" borderId="5"/>
    <xf numFmtId="4" fontId="83" fillId="64" borderId="5">
      <alignment horizontal="right" vertical="center"/>
    </xf>
    <xf numFmtId="0" fontId="192" fillId="0" borderId="38" applyNumberFormat="0" applyFill="0" applyAlignment="0" applyProtection="0"/>
    <xf numFmtId="0" fontId="175" fillId="44" borderId="34" applyNumberFormat="0" applyFont="0" applyAlignment="0" applyProtection="0"/>
    <xf numFmtId="0" fontId="18" fillId="25" borderId="0" applyNumberFormat="0" applyBorder="0" applyAlignment="0" applyProtection="0"/>
    <xf numFmtId="0" fontId="178" fillId="65" borderId="26" applyNumberFormat="0" applyAlignment="0" applyProtection="0"/>
    <xf numFmtId="0" fontId="190" fillId="65" borderId="25" applyNumberFormat="0" applyAlignment="0" applyProtection="0"/>
    <xf numFmtId="0" fontId="105" fillId="0" borderId="38" applyNumberFormat="0" applyFill="0" applyAlignment="0" applyProtection="0"/>
    <xf numFmtId="0" fontId="82" fillId="36" borderId="48">
      <alignment horizontal="right" vertical="center"/>
    </xf>
    <xf numFmtId="0" fontId="82" fillId="36" borderId="48">
      <alignment horizontal="right" vertical="center"/>
    </xf>
    <xf numFmtId="0" fontId="186" fillId="45" borderId="26" applyNumberFormat="0" applyAlignment="0" applyProtection="0"/>
    <xf numFmtId="0" fontId="82" fillId="36" borderId="5">
      <alignment horizontal="right" vertical="center"/>
    </xf>
    <xf numFmtId="49" fontId="71" fillId="0" borderId="5" applyNumberFormat="0" applyFont="0" applyFill="0" applyBorder="0" applyProtection="0">
      <alignment horizontal="left" vertical="center" indent="2"/>
    </xf>
    <xf numFmtId="0" fontId="101" fillId="45" borderId="26" applyNumberFormat="0" applyAlignment="0" applyProtection="0"/>
    <xf numFmtId="0" fontId="186" fillId="45" borderId="26" applyNumberFormat="0" applyAlignment="0" applyProtection="0"/>
    <xf numFmtId="0" fontId="88" fillId="65" borderId="26" applyNumberFormat="0" applyAlignment="0" applyProtection="0"/>
    <xf numFmtId="0" fontId="57" fillId="24" borderId="0" applyNumberFormat="0" applyBorder="0" applyAlignment="0" applyProtection="0"/>
    <xf numFmtId="0" fontId="85" fillId="65" borderId="25" applyNumberFormat="0" applyAlignment="0" applyProtection="0"/>
    <xf numFmtId="0" fontId="57" fillId="30" borderId="0" applyNumberFormat="0" applyBorder="0" applyAlignment="0" applyProtection="0"/>
    <xf numFmtId="0" fontId="190" fillId="65" borderId="25" applyNumberFormat="0" applyAlignment="0" applyProtection="0"/>
    <xf numFmtId="0" fontId="85" fillId="65" borderId="25" applyNumberFormat="0" applyAlignment="0" applyProtection="0"/>
    <xf numFmtId="49" fontId="72" fillId="0" borderId="5" applyNumberFormat="0" applyFill="0" applyBorder="0" applyProtection="0">
      <alignment horizontal="left" vertical="center"/>
    </xf>
    <xf numFmtId="49" fontId="71" fillId="0" borderId="48" applyNumberFormat="0" applyFont="0" applyFill="0" applyBorder="0" applyProtection="0">
      <alignment horizontal="left" vertical="center" indent="5"/>
    </xf>
    <xf numFmtId="0" fontId="192" fillId="0" borderId="38" applyNumberFormat="0" applyFill="0" applyAlignment="0" applyProtection="0"/>
    <xf numFmtId="4" fontId="71" fillId="72" borderId="5"/>
    <xf numFmtId="0" fontId="190" fillId="65" borderId="25" applyNumberFormat="0" applyAlignment="0" applyProtection="0"/>
    <xf numFmtId="49" fontId="71" fillId="0" borderId="48" applyNumberFormat="0" applyFont="0" applyFill="0" applyBorder="0" applyProtection="0">
      <alignment horizontal="left" vertical="center" indent="5"/>
    </xf>
    <xf numFmtId="0" fontId="105" fillId="0" borderId="38" applyNumberFormat="0" applyFill="0" applyAlignment="0" applyProtection="0"/>
    <xf numFmtId="0" fontId="71" fillId="72" borderId="5"/>
    <xf numFmtId="4" fontId="71" fillId="72" borderId="5"/>
    <xf numFmtId="0" fontId="57" fillId="33" borderId="0" applyNumberFormat="0" applyBorder="0" applyAlignment="0" applyProtection="0"/>
    <xf numFmtId="49" fontId="71" fillId="0" borderId="5" applyNumberFormat="0" applyFont="0" applyFill="0" applyBorder="0" applyProtection="0">
      <alignment horizontal="left" vertical="center" indent="2"/>
    </xf>
    <xf numFmtId="0" fontId="18" fillId="32" borderId="0" applyNumberFormat="0" applyBorder="0" applyAlignment="0" applyProtection="0"/>
    <xf numFmtId="0" fontId="82" fillId="36" borderId="48">
      <alignment horizontal="right" vertical="center"/>
    </xf>
    <xf numFmtId="4" fontId="82" fillId="36" borderId="5">
      <alignment horizontal="right" vertical="center"/>
    </xf>
    <xf numFmtId="0" fontId="101" fillId="45" borderId="26" applyNumberFormat="0" applyAlignment="0" applyProtection="0"/>
    <xf numFmtId="0" fontId="175" fillId="44" borderId="34" applyNumberFormat="0" applyFont="0" applyAlignment="0" applyProtection="0"/>
    <xf numFmtId="0" fontId="83" fillId="64" borderId="5">
      <alignment horizontal="right" vertical="center"/>
    </xf>
    <xf numFmtId="174" fontId="71" fillId="40" borderId="5" applyNumberFormat="0" applyFont="0" applyBorder="0" applyAlignment="0" applyProtection="0">
      <alignment horizontal="right" vertical="center"/>
    </xf>
    <xf numFmtId="4" fontId="83" fillId="64" borderId="5">
      <alignment horizontal="right" vertical="center"/>
    </xf>
    <xf numFmtId="0" fontId="57" fillId="33" borderId="0" applyNumberFormat="0" applyBorder="0" applyAlignment="0" applyProtection="0"/>
    <xf numFmtId="0" fontId="18" fillId="28" borderId="0" applyNumberFormat="0" applyBorder="0" applyAlignment="0" applyProtection="0"/>
    <xf numFmtId="4" fontId="82" fillId="36" borderId="5">
      <alignment horizontal="right" vertical="center"/>
    </xf>
    <xf numFmtId="0" fontId="82" fillId="36" borderId="5">
      <alignment horizontal="right" vertical="center"/>
    </xf>
    <xf numFmtId="0" fontId="178" fillId="65" borderId="26" applyNumberFormat="0" applyAlignment="0" applyProtection="0"/>
    <xf numFmtId="0" fontId="57" fillId="24" borderId="0" applyNumberFormat="0" applyBorder="0" applyAlignment="0" applyProtection="0"/>
    <xf numFmtId="0" fontId="82" fillId="36" borderId="48">
      <alignment horizontal="right" vertical="center"/>
    </xf>
    <xf numFmtId="0" fontId="71" fillId="0" borderId="5">
      <alignment horizontal="right" vertical="center"/>
    </xf>
    <xf numFmtId="0" fontId="105" fillId="0" borderId="38" applyNumberFormat="0" applyFill="0" applyAlignment="0" applyProtection="0"/>
    <xf numFmtId="0" fontId="35" fillId="44" borderId="34" applyNumberFormat="0" applyFont="0" applyAlignment="0" applyProtection="0"/>
    <xf numFmtId="4" fontId="71" fillId="0" borderId="5" applyFill="0" applyBorder="0" applyProtection="0">
      <alignment horizontal="right" vertical="center"/>
    </xf>
    <xf numFmtId="0" fontId="82" fillId="36" borderId="5">
      <alignment horizontal="right" vertical="center"/>
    </xf>
    <xf numFmtId="0" fontId="71" fillId="0" borderId="46">
      <alignment horizontal="left" vertical="center" wrapText="1" indent="2"/>
    </xf>
    <xf numFmtId="0" fontId="105" fillId="0" borderId="38" applyNumberFormat="0" applyFill="0" applyAlignment="0" applyProtection="0"/>
    <xf numFmtId="0" fontId="82" fillId="36" borderId="5">
      <alignment horizontal="right" vertical="center"/>
    </xf>
    <xf numFmtId="0" fontId="85" fillId="65" borderId="25" applyNumberFormat="0" applyAlignment="0" applyProtection="0"/>
    <xf numFmtId="0" fontId="186" fillId="45" borderId="26" applyNumberFormat="0" applyAlignment="0" applyProtection="0"/>
    <xf numFmtId="0" fontId="175" fillId="44" borderId="34" applyNumberFormat="0" applyFont="0" applyAlignment="0" applyProtection="0"/>
    <xf numFmtId="4" fontId="71" fillId="0" borderId="5" applyFill="0" applyBorder="0" applyProtection="0">
      <alignment horizontal="right" vertical="center"/>
    </xf>
    <xf numFmtId="0" fontId="192" fillId="0" borderId="38" applyNumberFormat="0" applyFill="0" applyAlignment="0" applyProtection="0"/>
    <xf numFmtId="0" fontId="178" fillId="65" borderId="26" applyNumberFormat="0" applyAlignment="0" applyProtection="0"/>
    <xf numFmtId="4" fontId="71" fillId="0" borderId="5" applyFill="0" applyBorder="0" applyProtection="0">
      <alignment horizontal="right" vertical="center"/>
    </xf>
    <xf numFmtId="0" fontId="88" fillId="65" borderId="26" applyNumberFormat="0" applyAlignment="0" applyProtection="0"/>
    <xf numFmtId="49" fontId="71" fillId="0" borderId="48" applyNumberFormat="0" applyFont="0" applyFill="0" applyBorder="0" applyProtection="0">
      <alignment horizontal="left" vertical="center" indent="5"/>
    </xf>
    <xf numFmtId="0" fontId="85" fillId="65" borderId="25" applyNumberFormat="0" applyAlignment="0" applyProtection="0"/>
    <xf numFmtId="0" fontId="101" fillId="45" borderId="26" applyNumberFormat="0" applyAlignment="0" applyProtection="0"/>
    <xf numFmtId="4" fontId="83" fillId="64" borderId="5">
      <alignment horizontal="right" vertical="center"/>
    </xf>
    <xf numFmtId="0" fontId="18" fillId="20" borderId="0" applyNumberFormat="0" applyBorder="0" applyAlignment="0" applyProtection="0"/>
    <xf numFmtId="49" fontId="71" fillId="0" borderId="5" applyNumberFormat="0" applyFont="0" applyFill="0" applyBorder="0" applyProtection="0">
      <alignment horizontal="left" vertical="center" indent="2"/>
    </xf>
    <xf numFmtId="4" fontId="82" fillId="36" borderId="48">
      <alignment horizontal="right" vertical="center"/>
    </xf>
    <xf numFmtId="0" fontId="18" fillId="19" borderId="0" applyNumberFormat="0" applyBorder="0" applyAlignment="0" applyProtection="0"/>
    <xf numFmtId="0" fontId="18" fillId="20" borderId="0" applyNumberFormat="0" applyBorder="0" applyAlignment="0" applyProtection="0"/>
    <xf numFmtId="0" fontId="71" fillId="36" borderId="46">
      <alignment horizontal="left" vertical="center" wrapText="1" indent="2"/>
    </xf>
    <xf numFmtId="0" fontId="71" fillId="64" borderId="48">
      <alignment horizontal="left" vertical="center"/>
    </xf>
    <xf numFmtId="0" fontId="178" fillId="65" borderId="26" applyNumberFormat="0" applyAlignment="0" applyProtection="0"/>
    <xf numFmtId="0" fontId="82" fillId="36" borderId="5">
      <alignment horizontal="right" vertical="center"/>
    </xf>
    <xf numFmtId="0" fontId="186" fillId="45" borderId="26" applyNumberFormat="0" applyAlignment="0" applyProtection="0"/>
    <xf numFmtId="0" fontId="18" fillId="16" borderId="0" applyNumberFormat="0" applyBorder="0" applyAlignment="0" applyProtection="0"/>
    <xf numFmtId="0" fontId="192" fillId="0" borderId="38" applyNumberFormat="0" applyFill="0" applyAlignment="0" applyProtection="0"/>
    <xf numFmtId="0" fontId="175" fillId="44" borderId="34" applyNumberFormat="0" applyFont="0" applyAlignment="0" applyProtection="0"/>
    <xf numFmtId="0" fontId="105" fillId="0" borderId="38" applyNumberFormat="0" applyFill="0" applyAlignment="0" applyProtection="0"/>
    <xf numFmtId="0" fontId="82" fillId="36" borderId="49">
      <alignment horizontal="right" vertical="center"/>
    </xf>
    <xf numFmtId="0" fontId="83" fillId="64" borderId="5">
      <alignment horizontal="right" vertical="center"/>
    </xf>
    <xf numFmtId="0" fontId="101" fillId="45" borderId="26" applyNumberFormat="0" applyAlignment="0" applyProtection="0"/>
    <xf numFmtId="0" fontId="178" fillId="65" borderId="26" applyNumberFormat="0" applyAlignment="0" applyProtection="0"/>
    <xf numFmtId="49" fontId="72" fillId="0" borderId="5" applyNumberFormat="0" applyFill="0" applyBorder="0" applyProtection="0">
      <alignment horizontal="left" vertical="center"/>
    </xf>
    <xf numFmtId="0" fontId="71" fillId="0" borderId="5" applyNumberFormat="0" applyFill="0" applyAlignment="0" applyProtection="0"/>
    <xf numFmtId="4" fontId="71" fillId="0" borderId="5" applyFill="0" applyBorder="0" applyProtection="0">
      <alignment horizontal="right" vertical="center"/>
    </xf>
    <xf numFmtId="0" fontId="192" fillId="0" borderId="38" applyNumberFormat="0" applyFill="0" applyAlignment="0" applyProtection="0"/>
    <xf numFmtId="0" fontId="71" fillId="0" borderId="5" applyNumberFormat="0" applyFill="0" applyAlignment="0" applyProtection="0"/>
    <xf numFmtId="0" fontId="71" fillId="36" borderId="46">
      <alignment horizontal="left" vertical="center" wrapText="1" indent="2"/>
    </xf>
    <xf numFmtId="0" fontId="175" fillId="44" borderId="34" applyNumberFormat="0" applyFont="0" applyAlignment="0" applyProtection="0"/>
    <xf numFmtId="0" fontId="175" fillId="44" borderId="34" applyNumberFormat="0" applyFont="0" applyAlignment="0" applyProtection="0"/>
    <xf numFmtId="4" fontId="71" fillId="72" borderId="5"/>
    <xf numFmtId="4" fontId="71" fillId="0" borderId="5" applyFill="0" applyBorder="0" applyProtection="0">
      <alignment horizontal="right" vertical="center"/>
    </xf>
    <xf numFmtId="0" fontId="71" fillId="36" borderId="46">
      <alignment horizontal="left" vertical="center" wrapText="1" indent="2"/>
    </xf>
    <xf numFmtId="49" fontId="71" fillId="0" borderId="5" applyNumberFormat="0" applyFont="0" applyFill="0" applyBorder="0" applyProtection="0">
      <alignment horizontal="left" vertical="center" indent="2"/>
    </xf>
    <xf numFmtId="0" fontId="82" fillId="36" borderId="5">
      <alignment horizontal="right" vertical="center"/>
    </xf>
    <xf numFmtId="0" fontId="71" fillId="0" borderId="5">
      <alignment horizontal="right" vertical="center"/>
    </xf>
    <xf numFmtId="0" fontId="190" fillId="65" borderId="25" applyNumberFormat="0" applyAlignment="0" applyProtection="0"/>
    <xf numFmtId="0" fontId="190" fillId="65" borderId="25" applyNumberFormat="0" applyAlignment="0" applyProtection="0"/>
    <xf numFmtId="4" fontId="82" fillId="36" borderId="49">
      <alignment horizontal="right" vertical="center"/>
    </xf>
    <xf numFmtId="4" fontId="83" fillId="64" borderId="5">
      <alignment horizontal="right" vertical="center"/>
    </xf>
    <xf numFmtId="0" fontId="82" fillId="36" borderId="48">
      <alignment horizontal="right" vertical="center"/>
    </xf>
    <xf numFmtId="49" fontId="71" fillId="0" borderId="5" applyNumberFormat="0" applyFont="0" applyFill="0" applyBorder="0" applyProtection="0">
      <alignment horizontal="left" vertical="center" indent="2"/>
    </xf>
    <xf numFmtId="4" fontId="82" fillId="36" borderId="49">
      <alignment horizontal="right" vertical="center"/>
    </xf>
    <xf numFmtId="0" fontId="192" fillId="0" borderId="38" applyNumberFormat="0" applyFill="0" applyAlignment="0" applyProtection="0"/>
    <xf numFmtId="0" fontId="178" fillId="65" borderId="26" applyNumberFormat="0" applyAlignment="0" applyProtection="0"/>
    <xf numFmtId="49" fontId="72" fillId="0" borderId="5" applyNumberFormat="0" applyFill="0" applyBorder="0" applyProtection="0">
      <alignment horizontal="left" vertical="center"/>
    </xf>
    <xf numFmtId="174" fontId="71" fillId="40" borderId="5" applyNumberFormat="0" applyFont="0" applyBorder="0" applyAlignment="0" applyProtection="0">
      <alignment horizontal="right" vertical="center"/>
    </xf>
    <xf numFmtId="0" fontId="88" fillId="65" borderId="26" applyNumberFormat="0" applyAlignment="0" applyProtection="0"/>
    <xf numFmtId="4" fontId="71" fillId="0" borderId="5">
      <alignment horizontal="right" vertical="center"/>
    </xf>
    <xf numFmtId="0" fontId="88" fillId="65" borderId="26" applyNumberFormat="0" applyAlignment="0" applyProtection="0"/>
    <xf numFmtId="4" fontId="82" fillId="36" borderId="48">
      <alignment horizontal="right" vertical="center"/>
    </xf>
    <xf numFmtId="0" fontId="82" fillId="64" borderId="5">
      <alignment horizontal="right" vertical="center"/>
    </xf>
    <xf numFmtId="0" fontId="186" fillId="45" borderId="26" applyNumberFormat="0" applyAlignment="0" applyProtection="0"/>
    <xf numFmtId="4" fontId="71" fillId="0" borderId="5">
      <alignment horizontal="right" vertical="center"/>
    </xf>
    <xf numFmtId="0" fontId="41" fillId="0" borderId="0" applyNumberFormat="0" applyFill="0" applyBorder="0" applyAlignment="0" applyProtection="0"/>
    <xf numFmtId="0" fontId="71" fillId="36" borderId="46">
      <alignment horizontal="left" vertical="center" wrapText="1" indent="2"/>
    </xf>
    <xf numFmtId="0" fontId="57" fillId="21" borderId="0" applyNumberFormat="0" applyBorder="0" applyAlignment="0" applyProtection="0"/>
    <xf numFmtId="4" fontId="71" fillId="72" borderId="5"/>
    <xf numFmtId="49" fontId="71" fillId="0" borderId="5" applyNumberFormat="0" applyFont="0" applyFill="0" applyBorder="0" applyProtection="0">
      <alignment horizontal="left" vertical="center" indent="2"/>
    </xf>
    <xf numFmtId="0" fontId="71" fillId="64" borderId="48">
      <alignment horizontal="left" vertical="center"/>
    </xf>
    <xf numFmtId="0" fontId="71" fillId="0" borderId="5">
      <alignment horizontal="right" vertical="center"/>
    </xf>
    <xf numFmtId="0" fontId="71" fillId="64" borderId="48">
      <alignment horizontal="left" vertical="center"/>
    </xf>
    <xf numFmtId="0" fontId="192" fillId="0" borderId="38" applyNumberFormat="0" applyFill="0" applyAlignment="0" applyProtection="0"/>
    <xf numFmtId="0" fontId="82" fillId="36" borderId="5">
      <alignment horizontal="right" vertical="center"/>
    </xf>
    <xf numFmtId="0" fontId="18" fillId="26" borderId="0" applyNumberFormat="0" applyBorder="0" applyAlignment="0" applyProtection="0"/>
    <xf numFmtId="0" fontId="82" fillId="36" borderId="49">
      <alignment horizontal="right" vertical="center"/>
    </xf>
    <xf numFmtId="49" fontId="71" fillId="0" borderId="5" applyNumberFormat="0" applyFont="0" applyFill="0" applyBorder="0" applyProtection="0">
      <alignment horizontal="left" vertical="center" indent="2"/>
    </xf>
    <xf numFmtId="0" fontId="101" fillId="45" borderId="26" applyNumberFormat="0" applyAlignment="0" applyProtection="0"/>
    <xf numFmtId="49" fontId="71" fillId="0" borderId="5" applyNumberFormat="0" applyFont="0" applyFill="0" applyBorder="0" applyProtection="0">
      <alignment horizontal="left" vertical="center" indent="2"/>
    </xf>
    <xf numFmtId="0" fontId="85" fillId="65" borderId="25" applyNumberFormat="0" applyAlignment="0" applyProtection="0"/>
    <xf numFmtId="0" fontId="101" fillId="45" borderId="26" applyNumberFormat="0" applyAlignment="0" applyProtection="0"/>
    <xf numFmtId="0" fontId="88" fillId="65" borderId="26" applyNumberFormat="0" applyAlignment="0" applyProtection="0"/>
    <xf numFmtId="0" fontId="175" fillId="44" borderId="34" applyNumberFormat="0" applyFont="0" applyAlignment="0" applyProtection="0"/>
    <xf numFmtId="0" fontId="186" fillId="45" borderId="26" applyNumberFormat="0" applyAlignment="0" applyProtection="0"/>
    <xf numFmtId="4" fontId="82" fillId="64" borderId="5">
      <alignment horizontal="right" vertical="center"/>
    </xf>
    <xf numFmtId="0" fontId="71" fillId="36" borderId="46">
      <alignment horizontal="left" vertical="center" wrapText="1" indent="2"/>
    </xf>
    <xf numFmtId="174" fontId="71" fillId="40" borderId="5" applyNumberFormat="0" applyFont="0" applyBorder="0" applyAlignment="0" applyProtection="0">
      <alignment horizontal="right" vertical="center"/>
    </xf>
    <xf numFmtId="0" fontId="82" fillId="36" borderId="49">
      <alignment horizontal="right" vertical="center"/>
    </xf>
    <xf numFmtId="0" fontId="71" fillId="36" borderId="46">
      <alignment horizontal="left" vertical="center" wrapText="1" indent="2"/>
    </xf>
    <xf numFmtId="0" fontId="71" fillId="72" borderId="5"/>
    <xf numFmtId="4" fontId="82" fillId="36" borderId="49">
      <alignment horizontal="right" vertical="center"/>
    </xf>
    <xf numFmtId="4" fontId="83" fillId="64" borderId="5">
      <alignment horizontal="right" vertical="center"/>
    </xf>
    <xf numFmtId="4" fontId="71" fillId="0" borderId="5">
      <alignment horizontal="right" vertical="center"/>
    </xf>
    <xf numFmtId="0" fontId="105" fillId="0" borderId="38" applyNumberFormat="0" applyFill="0" applyAlignment="0" applyProtection="0"/>
    <xf numFmtId="0" fontId="192" fillId="0" borderId="38" applyNumberFormat="0" applyFill="0" applyAlignment="0" applyProtection="0"/>
    <xf numFmtId="0" fontId="83" fillId="64" borderId="5">
      <alignment horizontal="right" vertical="center"/>
    </xf>
    <xf numFmtId="0" fontId="82" fillId="36" borderId="5">
      <alignment horizontal="right" vertical="center"/>
    </xf>
    <xf numFmtId="4" fontId="82" fillId="36" borderId="49">
      <alignment horizontal="right" vertical="center"/>
    </xf>
    <xf numFmtId="0" fontId="190" fillId="65" borderId="25" applyNumberFormat="0" applyAlignment="0" applyProtection="0"/>
    <xf numFmtId="0" fontId="57" fillId="18" borderId="0" applyNumberFormat="0" applyBorder="0" applyAlignment="0" applyProtection="0"/>
    <xf numFmtId="0" fontId="190" fillId="65" borderId="25" applyNumberFormat="0" applyAlignment="0" applyProtection="0"/>
    <xf numFmtId="0" fontId="82" fillId="36" borderId="5">
      <alignment horizontal="right" vertical="center"/>
    </xf>
    <xf numFmtId="0" fontId="18" fillId="16" borderId="0" applyNumberFormat="0" applyBorder="0" applyAlignment="0" applyProtection="0"/>
    <xf numFmtId="4" fontId="71" fillId="72" borderId="5"/>
    <xf numFmtId="0" fontId="178" fillId="65" borderId="26" applyNumberFormat="0" applyAlignment="0" applyProtection="0"/>
    <xf numFmtId="0" fontId="82" fillId="36" borderId="5">
      <alignment horizontal="right" vertical="center"/>
    </xf>
    <xf numFmtId="0" fontId="46" fillId="0" borderId="20" applyNumberFormat="0" applyFill="0" applyAlignment="0" applyProtection="0"/>
    <xf numFmtId="4" fontId="71" fillId="72" borderId="5"/>
    <xf numFmtId="4" fontId="82" fillId="36" borderId="49">
      <alignment horizontal="right" vertical="center"/>
    </xf>
    <xf numFmtId="174" fontId="71" fillId="40" borderId="5" applyNumberFormat="0" applyFont="0" applyBorder="0" applyAlignment="0" applyProtection="0">
      <alignment horizontal="right" vertical="center"/>
    </xf>
    <xf numFmtId="0" fontId="192" fillId="0" borderId="38" applyNumberFormat="0" applyFill="0" applyAlignment="0" applyProtection="0"/>
    <xf numFmtId="4" fontId="82" fillId="64" borderId="5">
      <alignment horizontal="right" vertical="center"/>
    </xf>
    <xf numFmtId="0" fontId="71" fillId="64" borderId="48">
      <alignment horizontal="left" vertical="center"/>
    </xf>
    <xf numFmtId="0" fontId="175" fillId="44" borderId="34" applyNumberFormat="0" applyFont="0" applyAlignment="0" applyProtection="0"/>
    <xf numFmtId="0" fontId="88" fillId="65" borderId="26" applyNumberFormat="0" applyAlignment="0" applyProtection="0"/>
    <xf numFmtId="4" fontId="82" fillId="64" borderId="5">
      <alignment horizontal="right" vertical="center"/>
    </xf>
    <xf numFmtId="0" fontId="88" fillId="65" borderId="26" applyNumberFormat="0" applyAlignment="0" applyProtection="0"/>
    <xf numFmtId="4" fontId="82" fillId="36" borderId="48">
      <alignment horizontal="right" vertical="center"/>
    </xf>
    <xf numFmtId="0" fontId="101" fillId="45" borderId="26" applyNumberFormat="0" applyAlignment="0" applyProtection="0"/>
    <xf numFmtId="0" fontId="82" fillId="36" borderId="49">
      <alignment horizontal="right" vertical="center"/>
    </xf>
    <xf numFmtId="0" fontId="178" fillId="65" borderId="26" applyNumberFormat="0" applyAlignment="0" applyProtection="0"/>
    <xf numFmtId="0" fontId="71" fillId="72" borderId="5"/>
    <xf numFmtId="0" fontId="18" fillId="29" borderId="0" applyNumberFormat="0" applyBorder="0" applyAlignment="0" applyProtection="0"/>
    <xf numFmtId="0" fontId="186" fillId="45" borderId="26" applyNumberFormat="0" applyAlignment="0" applyProtection="0"/>
    <xf numFmtId="0" fontId="82" fillId="64" borderId="5">
      <alignment horizontal="right" vertical="center"/>
    </xf>
    <xf numFmtId="0" fontId="18" fillId="29" borderId="0" applyNumberFormat="0" applyBorder="0" applyAlignment="0" applyProtection="0"/>
    <xf numFmtId="0" fontId="71" fillId="0" borderId="46">
      <alignment horizontal="left" vertical="center" wrapText="1" indent="2"/>
    </xf>
    <xf numFmtId="0" fontId="186" fillId="45" borderId="26" applyNumberFormat="0" applyAlignment="0" applyProtection="0"/>
    <xf numFmtId="0" fontId="186" fillId="45" borderId="26" applyNumberFormat="0" applyAlignment="0" applyProtection="0"/>
    <xf numFmtId="49" fontId="72" fillId="0" borderId="5" applyNumberFormat="0" applyFill="0" applyBorder="0" applyProtection="0">
      <alignment horizontal="left" vertical="center"/>
    </xf>
    <xf numFmtId="0" fontId="190" fillId="65" borderId="25" applyNumberFormat="0" applyAlignment="0" applyProtection="0"/>
    <xf numFmtId="0" fontId="71" fillId="72" borderId="5"/>
    <xf numFmtId="0" fontId="71" fillId="0" borderId="46">
      <alignment horizontal="left" vertical="center" wrapText="1" indent="2"/>
    </xf>
    <xf numFmtId="49" fontId="72" fillId="0" borderId="5" applyNumberFormat="0" applyFill="0" applyBorder="0" applyProtection="0">
      <alignment horizontal="left" vertical="center"/>
    </xf>
    <xf numFmtId="0" fontId="186" fillId="45" borderId="26" applyNumberFormat="0" applyAlignment="0" applyProtection="0"/>
    <xf numFmtId="4" fontId="82" fillId="36" borderId="5">
      <alignment horizontal="right" vertical="center"/>
    </xf>
    <xf numFmtId="4" fontId="83" fillId="64" borderId="5">
      <alignment horizontal="right" vertical="center"/>
    </xf>
    <xf numFmtId="0" fontId="71" fillId="72" borderId="5"/>
    <xf numFmtId="0" fontId="82" fillId="64" borderId="5">
      <alignment horizontal="right" vertical="center"/>
    </xf>
    <xf numFmtId="4" fontId="71" fillId="0" borderId="5">
      <alignment horizontal="right" vertical="center"/>
    </xf>
    <xf numFmtId="0" fontId="35" fillId="44" borderId="34" applyNumberFormat="0" applyFont="0" applyAlignment="0" applyProtection="0"/>
    <xf numFmtId="0" fontId="101" fillId="45" borderId="26" applyNumberFormat="0" applyAlignment="0" applyProtection="0"/>
    <xf numFmtId="0" fontId="190" fillId="65" borderId="25" applyNumberFormat="0" applyAlignment="0" applyProtection="0"/>
    <xf numFmtId="0" fontId="186" fillId="45" borderId="26" applyNumberFormat="0" applyAlignment="0" applyProtection="0"/>
    <xf numFmtId="0" fontId="88" fillId="65" borderId="26" applyNumberFormat="0" applyAlignment="0" applyProtection="0"/>
    <xf numFmtId="0" fontId="85" fillId="65" borderId="25" applyNumberFormat="0" applyAlignment="0" applyProtection="0"/>
    <xf numFmtId="0" fontId="82" fillId="36" borderId="49">
      <alignment horizontal="right" vertical="center"/>
    </xf>
    <xf numFmtId="0" fontId="83" fillId="64" borderId="5">
      <alignment horizontal="right" vertical="center"/>
    </xf>
    <xf numFmtId="4" fontId="82" fillId="64" borderId="5">
      <alignment horizontal="right" vertical="center"/>
    </xf>
    <xf numFmtId="4" fontId="82" fillId="36" borderId="5">
      <alignment horizontal="right" vertical="center"/>
    </xf>
    <xf numFmtId="49" fontId="71" fillId="0" borderId="48" applyNumberFormat="0" applyFont="0" applyFill="0" applyBorder="0" applyProtection="0">
      <alignment horizontal="left" vertical="center" indent="5"/>
    </xf>
    <xf numFmtId="4" fontId="71" fillId="0" borderId="5" applyFill="0" applyBorder="0" applyProtection="0">
      <alignment horizontal="right" vertical="center"/>
    </xf>
    <xf numFmtId="4" fontId="82" fillId="64" borderId="5">
      <alignment horizontal="right" vertical="center"/>
    </xf>
    <xf numFmtId="0" fontId="186" fillId="45" borderId="26" applyNumberFormat="0" applyAlignment="0" applyProtection="0"/>
    <xf numFmtId="0" fontId="101" fillId="45" borderId="26" applyNumberFormat="0" applyAlignment="0" applyProtection="0"/>
    <xf numFmtId="0" fontId="88" fillId="65" borderId="26" applyNumberFormat="0" applyAlignment="0" applyProtection="0"/>
    <xf numFmtId="0" fontId="71" fillId="36" borderId="46">
      <alignment horizontal="left" vertical="center" wrapText="1" indent="2"/>
    </xf>
    <xf numFmtId="0" fontId="71" fillId="0" borderId="46">
      <alignment horizontal="left" vertical="center" wrapText="1" indent="2"/>
    </xf>
    <xf numFmtId="0" fontId="71" fillId="36" borderId="46">
      <alignment horizontal="left" vertical="center" wrapText="1" indent="2"/>
    </xf>
    <xf numFmtId="4" fontId="82" fillId="36" borderId="49">
      <alignment horizontal="right" vertical="center"/>
    </xf>
    <xf numFmtId="0" fontId="82" fillId="36" borderId="5">
      <alignment horizontal="right" vertical="center"/>
    </xf>
    <xf numFmtId="4" fontId="82" fillId="36" borderId="5">
      <alignment horizontal="right" vertical="center"/>
    </xf>
    <xf numFmtId="0" fontId="82" fillId="36" borderId="48">
      <alignment horizontal="right" vertical="center"/>
    </xf>
    <xf numFmtId="4" fontId="82" fillId="36" borderId="5">
      <alignment horizontal="right" vertical="center"/>
    </xf>
    <xf numFmtId="0" fontId="82" fillId="64" borderId="5">
      <alignment horizontal="right" vertical="center"/>
    </xf>
    <xf numFmtId="4" fontId="82" fillId="64" borderId="5">
      <alignment horizontal="right" vertical="center"/>
    </xf>
    <xf numFmtId="0" fontId="192" fillId="0" borderId="38" applyNumberFormat="0" applyFill="0" applyAlignment="0" applyProtection="0"/>
    <xf numFmtId="0" fontId="175" fillId="44" borderId="34" applyNumberFormat="0" applyFont="0" applyAlignment="0" applyProtection="0"/>
    <xf numFmtId="0" fontId="178" fillId="65" borderId="26" applyNumberFormat="0" applyAlignment="0" applyProtection="0"/>
    <xf numFmtId="0" fontId="190" fillId="65" borderId="25" applyNumberFormat="0" applyAlignment="0" applyProtection="0"/>
    <xf numFmtId="0" fontId="175" fillId="44" borderId="34" applyNumberFormat="0" applyFont="0" applyAlignment="0" applyProtection="0"/>
    <xf numFmtId="0" fontId="71" fillId="0" borderId="46">
      <alignment horizontal="left" vertical="center" wrapText="1" indent="2"/>
    </xf>
    <xf numFmtId="0" fontId="178" fillId="65" borderId="26" applyNumberFormat="0" applyAlignment="0" applyProtection="0"/>
    <xf numFmtId="4" fontId="82" fillId="36" borderId="5">
      <alignment horizontal="right" vertical="center"/>
    </xf>
    <xf numFmtId="0" fontId="18" fillId="17" borderId="0" applyNumberFormat="0" applyBorder="0" applyAlignment="0" applyProtection="0"/>
    <xf numFmtId="4" fontId="83" fillId="64" borderId="5">
      <alignment horizontal="right" vertical="center"/>
    </xf>
    <xf numFmtId="0" fontId="88" fillId="65" borderId="26" applyNumberFormat="0" applyAlignment="0" applyProtection="0"/>
    <xf numFmtId="0" fontId="101" fillId="45" borderId="26" applyNumberFormat="0" applyAlignment="0" applyProtection="0"/>
    <xf numFmtId="0" fontId="71" fillId="0" borderId="5" applyNumberFormat="0" applyFill="0" applyAlignment="0" applyProtection="0"/>
    <xf numFmtId="0" fontId="105" fillId="0" borderId="38" applyNumberFormat="0" applyFill="0" applyAlignment="0" applyProtection="0"/>
    <xf numFmtId="49" fontId="72" fillId="0" borderId="5" applyNumberFormat="0" applyFill="0" applyBorder="0" applyProtection="0">
      <alignment horizontal="left" vertical="center"/>
    </xf>
    <xf numFmtId="4" fontId="82" fillId="36" borderId="49">
      <alignment horizontal="right" vertical="center"/>
    </xf>
    <xf numFmtId="0" fontId="190" fillId="65" borderId="25" applyNumberFormat="0" applyAlignment="0" applyProtection="0"/>
    <xf numFmtId="0" fontId="71" fillId="0" borderId="46">
      <alignment horizontal="left" vertical="center" wrapText="1" indent="2"/>
    </xf>
    <xf numFmtId="0" fontId="35" fillId="44" borderId="34" applyNumberFormat="0" applyFont="0" applyAlignment="0" applyProtection="0"/>
    <xf numFmtId="0" fontId="178" fillId="65" borderId="26" applyNumberFormat="0" applyAlignment="0" applyProtection="0"/>
    <xf numFmtId="0" fontId="101" fillId="45" borderId="26" applyNumberFormat="0" applyAlignment="0" applyProtection="0"/>
    <xf numFmtId="4" fontId="82" fillId="36" borderId="49">
      <alignment horizontal="right" vertical="center"/>
    </xf>
    <xf numFmtId="0" fontId="71" fillId="0" borderId="5" applyNumberFormat="0" applyFill="0" applyAlignment="0" applyProtection="0"/>
    <xf numFmtId="174" fontId="71" fillId="40" borderId="5" applyNumberFormat="0" applyFont="0" applyBorder="0" applyAlignment="0" applyProtection="0">
      <alignment horizontal="right" vertical="center"/>
    </xf>
    <xf numFmtId="0" fontId="178" fillId="65" borderId="26" applyNumberFormat="0" applyAlignment="0" applyProtection="0"/>
    <xf numFmtId="0" fontId="82" fillId="64" borderId="5">
      <alignment horizontal="right" vertical="center"/>
    </xf>
    <xf numFmtId="0" fontId="178" fillId="65" borderId="26" applyNumberFormat="0" applyAlignment="0" applyProtection="0"/>
    <xf numFmtId="0" fontId="192" fillId="0" borderId="38" applyNumberFormat="0" applyFill="0" applyAlignment="0" applyProtection="0"/>
    <xf numFmtId="0" fontId="18" fillId="31" borderId="0" applyNumberFormat="0" applyBorder="0" applyAlignment="0" applyProtection="0"/>
    <xf numFmtId="0" fontId="85" fillId="65" borderId="25" applyNumberFormat="0" applyAlignment="0" applyProtection="0"/>
    <xf numFmtId="0" fontId="192" fillId="0" borderId="38" applyNumberFormat="0" applyFill="0" applyAlignment="0" applyProtection="0"/>
    <xf numFmtId="0" fontId="71" fillId="36" borderId="46">
      <alignment horizontal="left" vertical="center" wrapText="1" indent="2"/>
    </xf>
    <xf numFmtId="0" fontId="82" fillId="36" borderId="49">
      <alignment horizontal="right" vertical="center"/>
    </xf>
    <xf numFmtId="0" fontId="71" fillId="0" borderId="5">
      <alignment horizontal="right" vertical="center"/>
    </xf>
    <xf numFmtId="0" fontId="71" fillId="0" borderId="5" applyNumberFormat="0" applyFill="0" applyAlignment="0" applyProtection="0"/>
    <xf numFmtId="0" fontId="186" fillId="45" borderId="26" applyNumberFormat="0" applyAlignment="0" applyProtection="0"/>
    <xf numFmtId="0" fontId="178" fillId="65" borderId="26" applyNumberFormat="0" applyAlignment="0" applyProtection="0"/>
    <xf numFmtId="0" fontId="71" fillId="64" borderId="48">
      <alignment horizontal="left" vertical="center"/>
    </xf>
    <xf numFmtId="0" fontId="82" fillId="36" borderId="5">
      <alignment horizontal="right" vertical="center"/>
    </xf>
    <xf numFmtId="0" fontId="57" fillId="27" borderId="0" applyNumberFormat="0" applyBorder="0" applyAlignment="0" applyProtection="0"/>
    <xf numFmtId="0" fontId="83" fillId="64" borderId="5">
      <alignment horizontal="right" vertical="center"/>
    </xf>
    <xf numFmtId="49" fontId="71" fillId="0" borderId="48" applyNumberFormat="0" applyFont="0" applyFill="0" applyBorder="0" applyProtection="0">
      <alignment horizontal="left" vertical="center" indent="5"/>
    </xf>
    <xf numFmtId="0" fontId="178" fillId="65" borderId="26" applyNumberFormat="0" applyAlignment="0" applyProtection="0"/>
    <xf numFmtId="4" fontId="71" fillId="0" borderId="5" applyFill="0" applyBorder="0" applyProtection="0">
      <alignment horizontal="right" vertical="center"/>
    </xf>
    <xf numFmtId="0" fontId="88" fillId="65" borderId="26" applyNumberFormat="0" applyAlignment="0" applyProtection="0"/>
    <xf numFmtId="0" fontId="71" fillId="0" borderId="5">
      <alignment horizontal="right" vertical="center"/>
    </xf>
    <xf numFmtId="0" fontId="82" fillId="64" borderId="5">
      <alignment horizontal="right" vertical="center"/>
    </xf>
    <xf numFmtId="0" fontId="190" fillId="65" borderId="25" applyNumberFormat="0" applyAlignment="0" applyProtection="0"/>
    <xf numFmtId="0" fontId="190" fillId="65" borderId="25" applyNumberFormat="0" applyAlignment="0" applyProtection="0"/>
    <xf numFmtId="4" fontId="82" fillId="36" borderId="5">
      <alignment horizontal="right" vertical="center"/>
    </xf>
    <xf numFmtId="0" fontId="71" fillId="0" borderId="46">
      <alignment horizontal="left" vertical="center" wrapText="1" indent="2"/>
    </xf>
    <xf numFmtId="0" fontId="105" fillId="0" borderId="38" applyNumberFormat="0" applyFill="0" applyAlignment="0" applyProtection="0"/>
    <xf numFmtId="4" fontId="82" fillId="36" borderId="5">
      <alignment horizontal="right" vertical="center"/>
    </xf>
    <xf numFmtId="0" fontId="71" fillId="0" borderId="46">
      <alignment horizontal="left" vertical="center" wrapText="1" indent="2"/>
    </xf>
    <xf numFmtId="4" fontId="71" fillId="72" borderId="5"/>
    <xf numFmtId="0" fontId="186" fillId="45" borderId="26" applyNumberFormat="0" applyAlignment="0" applyProtection="0"/>
    <xf numFmtId="0" fontId="82" fillId="64" borderId="5">
      <alignment horizontal="right" vertical="center"/>
    </xf>
    <xf numFmtId="0" fontId="71" fillId="0" borderId="5">
      <alignment horizontal="right" vertical="center"/>
    </xf>
    <xf numFmtId="0" fontId="71" fillId="36" borderId="46">
      <alignment horizontal="left" vertical="center" wrapText="1" indent="2"/>
    </xf>
    <xf numFmtId="0" fontId="192" fillId="0" borderId="38" applyNumberFormat="0" applyFill="0" applyAlignment="0" applyProtection="0"/>
    <xf numFmtId="49" fontId="72" fillId="0" borderId="5" applyNumberFormat="0" applyFill="0" applyBorder="0" applyProtection="0">
      <alignment horizontal="left" vertical="center"/>
    </xf>
    <xf numFmtId="4" fontId="82" fillId="36" borderId="5">
      <alignment horizontal="right" vertical="center"/>
    </xf>
    <xf numFmtId="0" fontId="192" fillId="0" borderId="38" applyNumberFormat="0" applyFill="0" applyAlignment="0" applyProtection="0"/>
    <xf numFmtId="0" fontId="186" fillId="45" borderId="26" applyNumberFormat="0" applyAlignment="0" applyProtection="0"/>
    <xf numFmtId="0" fontId="71" fillId="72" borderId="5"/>
    <xf numFmtId="0" fontId="18" fillId="25" borderId="0" applyNumberFormat="0" applyBorder="0" applyAlignment="0" applyProtection="0"/>
    <xf numFmtId="0" fontId="178" fillId="65" borderId="26" applyNumberFormat="0" applyAlignment="0" applyProtection="0"/>
    <xf numFmtId="0" fontId="190" fillId="65" borderId="25" applyNumberFormat="0" applyAlignment="0" applyProtection="0"/>
    <xf numFmtId="0" fontId="105" fillId="0" borderId="38" applyNumberFormat="0" applyFill="0" applyAlignment="0" applyProtection="0"/>
    <xf numFmtId="0" fontId="82" fillId="36" borderId="48">
      <alignment horizontal="right" vertical="center"/>
    </xf>
    <xf numFmtId="0" fontId="82" fillId="36" borderId="48">
      <alignment horizontal="right" vertical="center"/>
    </xf>
    <xf numFmtId="0" fontId="101" fillId="45" borderId="26" applyNumberFormat="0" applyAlignment="0" applyProtection="0"/>
    <xf numFmtId="0" fontId="186" fillId="45" borderId="26" applyNumberFormat="0" applyAlignment="0" applyProtection="0"/>
    <xf numFmtId="0" fontId="88" fillId="65" borderId="26" applyNumberFormat="0" applyAlignment="0" applyProtection="0"/>
    <xf numFmtId="0" fontId="57" fillId="30" borderId="0" applyNumberFormat="0" applyBorder="0" applyAlignment="0" applyProtection="0"/>
    <xf numFmtId="0" fontId="85" fillId="65" borderId="25" applyNumberFormat="0" applyAlignment="0" applyProtection="0"/>
    <xf numFmtId="49" fontId="72" fillId="0" borderId="5" applyNumberFormat="0" applyFill="0" applyBorder="0" applyProtection="0">
      <alignment horizontal="left" vertical="center"/>
    </xf>
    <xf numFmtId="49" fontId="71" fillId="0" borderId="48" applyNumberFormat="0" applyFont="0" applyFill="0" applyBorder="0" applyProtection="0">
      <alignment horizontal="left" vertical="center" indent="5"/>
    </xf>
    <xf numFmtId="0" fontId="192" fillId="0" borderId="38" applyNumberFormat="0" applyFill="0" applyAlignment="0" applyProtection="0"/>
    <xf numFmtId="4" fontId="71" fillId="72" borderId="5"/>
    <xf numFmtId="0" fontId="190" fillId="65" borderId="25" applyNumberFormat="0" applyAlignment="0" applyProtection="0"/>
    <xf numFmtId="49" fontId="71" fillId="0" borderId="48" applyNumberFormat="0" applyFont="0" applyFill="0" applyBorder="0" applyProtection="0">
      <alignment horizontal="left" vertical="center" indent="5"/>
    </xf>
    <xf numFmtId="0" fontId="71" fillId="72" borderId="5"/>
    <xf numFmtId="49" fontId="71" fillId="0" borderId="5" applyNumberFormat="0" applyFont="0" applyFill="0" applyBorder="0" applyProtection="0">
      <alignment horizontal="left" vertical="center" indent="2"/>
    </xf>
    <xf numFmtId="0" fontId="175" fillId="44" borderId="34" applyNumberFormat="0" applyFont="0" applyAlignment="0" applyProtection="0"/>
    <xf numFmtId="0" fontId="83" fillId="64" borderId="5">
      <alignment horizontal="right" vertical="center"/>
    </xf>
    <xf numFmtId="174" fontId="71" fillId="40" borderId="5" applyNumberFormat="0" applyFont="0" applyBorder="0" applyAlignment="0" applyProtection="0">
      <alignment horizontal="right" vertical="center"/>
    </xf>
    <xf numFmtId="0" fontId="57" fillId="33" borderId="0" applyNumberFormat="0" applyBorder="0" applyAlignment="0" applyProtection="0"/>
    <xf numFmtId="0" fontId="18" fillId="28" borderId="0" applyNumberFormat="0" applyBorder="0" applyAlignment="0" applyProtection="0"/>
    <xf numFmtId="4" fontId="82" fillId="36" borderId="5">
      <alignment horizontal="right" vertical="center"/>
    </xf>
    <xf numFmtId="0" fontId="57" fillId="24" borderId="0" applyNumberFormat="0" applyBorder="0" applyAlignment="0" applyProtection="0"/>
    <xf numFmtId="0" fontId="82" fillId="36" borderId="48">
      <alignment horizontal="right" vertical="center"/>
    </xf>
    <xf numFmtId="0" fontId="71" fillId="0" borderId="5">
      <alignment horizontal="right" vertical="center"/>
    </xf>
    <xf numFmtId="0" fontId="105" fillId="0" borderId="38" applyNumberFormat="0" applyFill="0" applyAlignment="0" applyProtection="0"/>
    <xf numFmtId="0" fontId="35" fillId="44" borderId="34" applyNumberFormat="0" applyFont="0" applyAlignment="0" applyProtection="0"/>
    <xf numFmtId="4" fontId="71" fillId="0" borderId="5" applyFill="0" applyBorder="0" applyProtection="0">
      <alignment horizontal="right" vertical="center"/>
    </xf>
    <xf numFmtId="0" fontId="71" fillId="0" borderId="46">
      <alignment horizontal="left" vertical="center" wrapText="1" indent="2"/>
    </xf>
    <xf numFmtId="0" fontId="105" fillId="0" borderId="38" applyNumberFormat="0" applyFill="0" applyAlignment="0" applyProtection="0"/>
    <xf numFmtId="0" fontId="82" fillId="36" borderId="5">
      <alignment horizontal="right" vertical="center"/>
    </xf>
    <xf numFmtId="0" fontId="85" fillId="65" borderId="25" applyNumberFormat="0" applyAlignment="0" applyProtection="0"/>
    <xf numFmtId="0" fontId="175" fillId="44" borderId="34" applyNumberFormat="0" applyFont="0" applyAlignment="0" applyProtection="0"/>
    <xf numFmtId="4" fontId="71" fillId="0" borderId="5" applyFill="0" applyBorder="0" applyProtection="0">
      <alignment horizontal="right" vertical="center"/>
    </xf>
    <xf numFmtId="0" fontId="192" fillId="0" borderId="38" applyNumberFormat="0" applyFill="0" applyAlignment="0" applyProtection="0"/>
    <xf numFmtId="4" fontId="71" fillId="0" borderId="5" applyFill="0" applyBorder="0" applyProtection="0">
      <alignment horizontal="right" vertical="center"/>
    </xf>
    <xf numFmtId="0" fontId="88" fillId="65" borderId="26" applyNumberFormat="0" applyAlignment="0" applyProtection="0"/>
    <xf numFmtId="49" fontId="71" fillId="0" borderId="48" applyNumberFormat="0" applyFont="0" applyFill="0" applyBorder="0" applyProtection="0">
      <alignment horizontal="left" vertical="center" indent="5"/>
    </xf>
    <xf numFmtId="0" fontId="85" fillId="65" borderId="25" applyNumberFormat="0" applyAlignment="0" applyProtection="0"/>
    <xf numFmtId="0" fontId="18" fillId="20" borderId="0" applyNumberFormat="0" applyBorder="0" applyAlignment="0" applyProtection="0"/>
    <xf numFmtId="0" fontId="71" fillId="36" borderId="46">
      <alignment horizontal="left" vertical="center" wrapText="1" indent="2"/>
    </xf>
    <xf numFmtId="0" fontId="178" fillId="65" borderId="26" applyNumberFormat="0" applyAlignment="0" applyProtection="0"/>
    <xf numFmtId="0" fontId="82" fillId="36" borderId="5">
      <alignment horizontal="right" vertical="center"/>
    </xf>
    <xf numFmtId="0" fontId="18" fillId="16" borderId="0" applyNumberFormat="0" applyBorder="0" applyAlignment="0" applyProtection="0"/>
    <xf numFmtId="0" fontId="83" fillId="64" borderId="5">
      <alignment horizontal="right" vertical="center"/>
    </xf>
    <xf numFmtId="0" fontId="101" fillId="45" borderId="26" applyNumberFormat="0" applyAlignment="0" applyProtection="0"/>
    <xf numFmtId="0" fontId="178" fillId="65" borderId="26" applyNumberFormat="0" applyAlignment="0" applyProtection="0"/>
    <xf numFmtId="49" fontId="72" fillId="0" borderId="5" applyNumberFormat="0" applyFill="0" applyBorder="0" applyProtection="0">
      <alignment horizontal="left" vertical="center"/>
    </xf>
    <xf numFmtId="0" fontId="71" fillId="0" borderId="5" applyNumberFormat="0" applyFill="0" applyAlignment="0" applyProtection="0"/>
    <xf numFmtId="4" fontId="71" fillId="0" borderId="5" applyFill="0" applyBorder="0" applyProtection="0">
      <alignment horizontal="right" vertical="center"/>
    </xf>
    <xf numFmtId="0" fontId="192" fillId="0" borderId="38" applyNumberFormat="0" applyFill="0" applyAlignment="0" applyProtection="0"/>
    <xf numFmtId="0" fontId="71" fillId="0" borderId="5" applyNumberFormat="0" applyFill="0" applyAlignment="0" applyProtection="0"/>
    <xf numFmtId="0" fontId="175" fillId="44" borderId="34" applyNumberFormat="0" applyFont="0" applyAlignment="0" applyProtection="0"/>
    <xf numFmtId="0" fontId="175" fillId="44" borderId="34" applyNumberFormat="0" applyFont="0" applyAlignment="0" applyProtection="0"/>
    <xf numFmtId="0" fontId="71" fillId="36" borderId="46">
      <alignment horizontal="left" vertical="center" wrapText="1" indent="2"/>
    </xf>
    <xf numFmtId="49" fontId="71" fillId="0" borderId="5" applyNumberFormat="0" applyFont="0" applyFill="0" applyBorder="0" applyProtection="0">
      <alignment horizontal="left" vertical="center" indent="2"/>
    </xf>
    <xf numFmtId="0" fontId="71" fillId="0" borderId="5">
      <alignment horizontal="right" vertical="center"/>
    </xf>
    <xf numFmtId="0" fontId="190" fillId="65" borderId="25" applyNumberFormat="0" applyAlignment="0" applyProtection="0"/>
    <xf numFmtId="0" fontId="190" fillId="65" borderId="25" applyNumberFormat="0" applyAlignment="0" applyProtection="0"/>
    <xf numFmtId="4" fontId="82" fillId="36" borderId="49">
      <alignment horizontal="right" vertical="center"/>
    </xf>
    <xf numFmtId="4" fontId="83" fillId="64" borderId="5">
      <alignment horizontal="right" vertical="center"/>
    </xf>
    <xf numFmtId="0" fontId="178" fillId="65" borderId="26" applyNumberFormat="0" applyAlignment="0" applyProtection="0"/>
    <xf numFmtId="0" fontId="88" fillId="65" borderId="26" applyNumberFormat="0" applyAlignment="0" applyProtection="0"/>
    <xf numFmtId="4" fontId="71" fillId="0" borderId="5">
      <alignment horizontal="right" vertical="center"/>
    </xf>
    <xf numFmtId="0" fontId="88" fillId="65" borderId="26" applyNumberFormat="0" applyAlignment="0" applyProtection="0"/>
    <xf numFmtId="4" fontId="82" fillId="36" borderId="48">
      <alignment horizontal="right" vertical="center"/>
    </xf>
    <xf numFmtId="0" fontId="82" fillId="64" borderId="5">
      <alignment horizontal="right" vertical="center"/>
    </xf>
    <xf numFmtId="4" fontId="71" fillId="0" borderId="5">
      <alignment horizontal="right" vertical="center"/>
    </xf>
    <xf numFmtId="0" fontId="57" fillId="21" borderId="0" applyNumberFormat="0" applyBorder="0" applyAlignment="0" applyProtection="0"/>
    <xf numFmtId="0" fontId="71" fillId="64" borderId="48">
      <alignment horizontal="left" vertical="center"/>
    </xf>
    <xf numFmtId="0" fontId="71" fillId="64" borderId="48">
      <alignment horizontal="left" vertical="center"/>
    </xf>
    <xf numFmtId="0" fontId="192" fillId="0" borderId="38" applyNumberFormat="0" applyFill="0" applyAlignment="0" applyProtection="0"/>
    <xf numFmtId="0" fontId="82" fillId="36" borderId="5">
      <alignment horizontal="right" vertical="center"/>
    </xf>
    <xf numFmtId="0" fontId="18" fillId="26" borderId="0" applyNumberFormat="0" applyBorder="0" applyAlignment="0" applyProtection="0"/>
    <xf numFmtId="0" fontId="82" fillId="36" borderId="49">
      <alignment horizontal="right" vertical="center"/>
    </xf>
    <xf numFmtId="49" fontId="71" fillId="0" borderId="5" applyNumberFormat="0" applyFont="0" applyFill="0" applyBorder="0" applyProtection="0">
      <alignment horizontal="left" vertical="center" indent="2"/>
    </xf>
    <xf numFmtId="0" fontId="101" fillId="45" borderId="26" applyNumberFormat="0" applyAlignment="0" applyProtection="0"/>
    <xf numFmtId="49" fontId="71" fillId="0" borderId="5" applyNumberFormat="0" applyFont="0" applyFill="0" applyBorder="0" applyProtection="0">
      <alignment horizontal="left" vertical="center" indent="2"/>
    </xf>
    <xf numFmtId="0" fontId="85" fillId="65" borderId="25" applyNumberFormat="0" applyAlignment="0" applyProtection="0"/>
    <xf numFmtId="0" fontId="101" fillId="45" borderId="26" applyNumberFormat="0" applyAlignment="0" applyProtection="0"/>
    <xf numFmtId="0" fontId="88" fillId="65" borderId="26" applyNumberFormat="0" applyAlignment="0" applyProtection="0"/>
    <xf numFmtId="0" fontId="175" fillId="44" borderId="34" applyNumberFormat="0" applyFont="0" applyAlignment="0" applyProtection="0"/>
    <xf numFmtId="0" fontId="186" fillId="45" borderId="26" applyNumberFormat="0" applyAlignment="0" applyProtection="0"/>
    <xf numFmtId="4" fontId="82" fillId="64" borderId="5">
      <alignment horizontal="right" vertical="center"/>
    </xf>
    <xf numFmtId="0" fontId="71" fillId="36" borderId="46">
      <alignment horizontal="left" vertical="center" wrapText="1" indent="2"/>
    </xf>
    <xf numFmtId="174" fontId="71" fillId="40" borderId="5" applyNumberFormat="0" applyFont="0" applyBorder="0" applyAlignment="0" applyProtection="0">
      <alignment horizontal="right" vertical="center"/>
    </xf>
    <xf numFmtId="0" fontId="82" fillId="36" borderId="49">
      <alignment horizontal="right" vertical="center"/>
    </xf>
    <xf numFmtId="0" fontId="71" fillId="36" borderId="46">
      <alignment horizontal="left" vertical="center" wrapText="1" indent="2"/>
    </xf>
    <xf numFmtId="0" fontId="71" fillId="72" borderId="5"/>
    <xf numFmtId="4" fontId="82" fillId="36" borderId="49">
      <alignment horizontal="right" vertical="center"/>
    </xf>
    <xf numFmtId="4" fontId="83" fillId="64" borderId="5">
      <alignment horizontal="right" vertical="center"/>
    </xf>
    <xf numFmtId="4" fontId="71" fillId="0" borderId="5">
      <alignment horizontal="right" vertical="center"/>
    </xf>
    <xf numFmtId="0" fontId="190" fillId="65" borderId="25" applyNumberFormat="0" applyAlignment="0" applyProtection="0"/>
    <xf numFmtId="0" fontId="57" fillId="18" borderId="0" applyNumberFormat="0" applyBorder="0" applyAlignment="0" applyProtection="0"/>
    <xf numFmtId="4" fontId="71" fillId="72" borderId="5"/>
    <xf numFmtId="0" fontId="178" fillId="65" borderId="26" applyNumberFormat="0" applyAlignment="0" applyProtection="0"/>
    <xf numFmtId="0" fontId="82" fillId="36" borderId="5">
      <alignment horizontal="right" vertical="center"/>
    </xf>
    <xf numFmtId="0" fontId="46" fillId="0" borderId="20" applyNumberFormat="0" applyFill="0" applyAlignment="0" applyProtection="0"/>
    <xf numFmtId="4" fontId="71" fillId="72" borderId="5"/>
    <xf numFmtId="4" fontId="82" fillId="36" borderId="49">
      <alignment horizontal="right" vertical="center"/>
    </xf>
    <xf numFmtId="174" fontId="71" fillId="40" borderId="5" applyNumberFormat="0" applyFont="0" applyBorder="0" applyAlignment="0" applyProtection="0">
      <alignment horizontal="right" vertical="center"/>
    </xf>
    <xf numFmtId="0" fontId="71" fillId="64" borderId="48">
      <alignment horizontal="left" vertical="center"/>
    </xf>
    <xf numFmtId="0" fontId="175" fillId="44" borderId="34" applyNumberFormat="0" applyFont="0" applyAlignment="0" applyProtection="0"/>
    <xf numFmtId="0" fontId="88" fillId="65" borderId="26" applyNumberFormat="0" applyAlignment="0" applyProtection="0"/>
    <xf numFmtId="4" fontId="82" fillId="64" borderId="5">
      <alignment horizontal="right" vertical="center"/>
    </xf>
    <xf numFmtId="0" fontId="88" fillId="65" borderId="26" applyNumberFormat="0" applyAlignment="0" applyProtection="0"/>
    <xf numFmtId="4" fontId="82" fillId="36" borderId="48">
      <alignment horizontal="right" vertical="center"/>
    </xf>
    <xf numFmtId="0" fontId="101" fillId="45" borderId="26" applyNumberFormat="0" applyAlignment="0" applyProtection="0"/>
    <xf numFmtId="0" fontId="82" fillId="36" borderId="49">
      <alignment horizontal="right" vertical="center"/>
    </xf>
    <xf numFmtId="0" fontId="178" fillId="65" borderId="26" applyNumberFormat="0" applyAlignment="0" applyProtection="0"/>
    <xf numFmtId="0" fontId="71" fillId="72" borderId="5"/>
    <xf numFmtId="0" fontId="18" fillId="29" borderId="0" applyNumberFormat="0" applyBorder="0" applyAlignment="0" applyProtection="0"/>
    <xf numFmtId="0" fontId="186" fillId="45" borderId="26" applyNumberFormat="0" applyAlignment="0" applyProtection="0"/>
    <xf numFmtId="0" fontId="186" fillId="45" borderId="26" applyNumberFormat="0" applyAlignment="0" applyProtection="0"/>
    <xf numFmtId="49" fontId="72" fillId="0" borderId="5" applyNumberFormat="0" applyFill="0" applyBorder="0" applyProtection="0">
      <alignment horizontal="left" vertical="center"/>
    </xf>
    <xf numFmtId="0" fontId="190" fillId="65" borderId="25" applyNumberFormat="0" applyAlignment="0" applyProtection="0"/>
    <xf numFmtId="0" fontId="71" fillId="72" borderId="5"/>
    <xf numFmtId="0" fontId="71" fillId="0" borderId="46">
      <alignment horizontal="left" vertical="center" wrapText="1" indent="2"/>
    </xf>
    <xf numFmtId="49" fontId="72" fillId="0" borderId="5" applyNumberFormat="0" applyFill="0" applyBorder="0" applyProtection="0">
      <alignment horizontal="left" vertical="center"/>
    </xf>
    <xf numFmtId="0" fontId="186" fillId="45" borderId="26" applyNumberFormat="0" applyAlignment="0" applyProtection="0"/>
    <xf numFmtId="4" fontId="82" fillId="36" borderId="5">
      <alignment horizontal="right" vertical="center"/>
    </xf>
    <xf numFmtId="0" fontId="82" fillId="64" borderId="5">
      <alignment horizontal="right" vertical="center"/>
    </xf>
    <xf numFmtId="0" fontId="190" fillId="65" borderId="25" applyNumberFormat="0" applyAlignment="0" applyProtection="0"/>
    <xf numFmtId="0" fontId="186" fillId="45" borderId="26" applyNumberFormat="0" applyAlignment="0" applyProtection="0"/>
    <xf numFmtId="0" fontId="88" fillId="65" borderId="26" applyNumberFormat="0" applyAlignment="0" applyProtection="0"/>
    <xf numFmtId="0" fontId="85" fillId="65" borderId="25" applyNumberFormat="0" applyAlignment="0" applyProtection="0"/>
    <xf numFmtId="0" fontId="82" fillId="36" borderId="49">
      <alignment horizontal="right" vertical="center"/>
    </xf>
    <xf numFmtId="0" fontId="83" fillId="64" borderId="5">
      <alignment horizontal="right" vertical="center"/>
    </xf>
    <xf numFmtId="4" fontId="82" fillId="64" borderId="5">
      <alignment horizontal="right" vertical="center"/>
    </xf>
    <xf numFmtId="4" fontId="82" fillId="36" borderId="5">
      <alignment horizontal="right" vertical="center"/>
    </xf>
    <xf numFmtId="49" fontId="71" fillId="0" borderId="48" applyNumberFormat="0" applyFont="0" applyFill="0" applyBorder="0" applyProtection="0">
      <alignment horizontal="left" vertical="center" indent="5"/>
    </xf>
    <xf numFmtId="4" fontId="71" fillId="0" borderId="5" applyFill="0" applyBorder="0" applyProtection="0">
      <alignment horizontal="right" vertical="center"/>
    </xf>
    <xf numFmtId="4" fontId="82" fillId="64" borderId="5">
      <alignment horizontal="right" vertical="center"/>
    </xf>
    <xf numFmtId="0" fontId="186" fillId="45" borderId="26" applyNumberFormat="0" applyAlignment="0" applyProtection="0"/>
    <xf numFmtId="0" fontId="101" fillId="45" borderId="26" applyNumberFormat="0" applyAlignment="0" applyProtection="0"/>
    <xf numFmtId="0" fontId="88" fillId="65" borderId="26" applyNumberFormat="0" applyAlignment="0" applyProtection="0"/>
    <xf numFmtId="0" fontId="71" fillId="36" borderId="46">
      <alignment horizontal="left" vertical="center" wrapText="1" indent="2"/>
    </xf>
    <xf numFmtId="0" fontId="71" fillId="0" borderId="46">
      <alignment horizontal="left" vertical="center" wrapText="1" indent="2"/>
    </xf>
    <xf numFmtId="0" fontId="71" fillId="36" borderId="46">
      <alignment horizontal="left" vertical="center" wrapText="1" indent="2"/>
    </xf>
    <xf numFmtId="0" fontId="71" fillId="0" borderId="5" applyNumberFormat="0" applyFill="0" applyAlignment="0" applyProtection="0"/>
    <xf numFmtId="0" fontId="82" fillId="36" borderId="5">
      <alignment horizontal="right" vertical="center"/>
    </xf>
    <xf numFmtId="0" fontId="82" fillId="36" borderId="5">
      <alignment horizontal="right" vertical="center"/>
    </xf>
    <xf numFmtId="0" fontId="71" fillId="0" borderId="46">
      <alignment horizontal="left" vertical="center" wrapText="1" indent="2"/>
    </xf>
    <xf numFmtId="0" fontId="82" fillId="36" borderId="49">
      <alignment horizontal="right" vertical="center"/>
    </xf>
    <xf numFmtId="0" fontId="71" fillId="0" borderId="5">
      <alignment horizontal="right" vertical="center"/>
    </xf>
    <xf numFmtId="0" fontId="83" fillId="64" borderId="5">
      <alignment horizontal="right" vertical="center"/>
    </xf>
    <xf numFmtId="0" fontId="71" fillId="72" borderId="5"/>
    <xf numFmtId="0" fontId="82" fillId="64" borderId="5">
      <alignment horizontal="right" vertical="center"/>
    </xf>
    <xf numFmtId="0" fontId="82" fillId="36" borderId="48">
      <alignment horizontal="right" vertical="center"/>
    </xf>
    <xf numFmtId="4" fontId="71" fillId="0" borderId="5" applyFill="0" applyBorder="0" applyProtection="0">
      <alignment horizontal="right" vertical="center"/>
    </xf>
    <xf numFmtId="0" fontId="18" fillId="16" borderId="0" applyNumberFormat="0" applyBorder="0" applyAlignment="0" applyProtection="0"/>
    <xf numFmtId="0" fontId="18" fillId="17" borderId="0" applyNumberFormat="0" applyBorder="0" applyAlignment="0" applyProtection="0"/>
    <xf numFmtId="0" fontId="57"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57"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57"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57"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57"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57" fillId="33" borderId="0" applyNumberFormat="0" applyBorder="0" applyAlignment="0" applyProtection="0"/>
    <xf numFmtId="0" fontId="71" fillId="0" borderId="5" applyNumberFormat="0" applyFill="0" applyAlignment="0" applyProtection="0"/>
    <xf numFmtId="0" fontId="82" fillId="36" borderId="5">
      <alignment horizontal="right" vertical="center"/>
    </xf>
    <xf numFmtId="0" fontId="82" fillId="36" borderId="5">
      <alignment horizontal="right" vertical="center"/>
    </xf>
    <xf numFmtId="0" fontId="71" fillId="0" borderId="46">
      <alignment horizontal="left" vertical="center" wrapText="1" indent="2"/>
    </xf>
    <xf numFmtId="0" fontId="82" fillId="36" borderId="49">
      <alignment horizontal="right" vertical="center"/>
    </xf>
    <xf numFmtId="0" fontId="71" fillId="0" borderId="5">
      <alignment horizontal="right" vertical="center"/>
    </xf>
    <xf numFmtId="0" fontId="83" fillId="64" borderId="5">
      <alignment horizontal="right" vertical="center"/>
    </xf>
    <xf numFmtId="0" fontId="71" fillId="72" borderId="5"/>
    <xf numFmtId="0" fontId="82" fillId="64" borderId="5">
      <alignment horizontal="right" vertical="center"/>
    </xf>
    <xf numFmtId="0" fontId="82" fillId="36" borderId="48">
      <alignment horizontal="right" vertical="center"/>
    </xf>
    <xf numFmtId="49" fontId="71" fillId="0" borderId="48" applyNumberFormat="0" applyFont="0" applyFill="0" applyBorder="0" applyProtection="0">
      <alignment horizontal="left" vertical="center" indent="5"/>
    </xf>
    <xf numFmtId="4" fontId="82" fillId="36" borderId="48">
      <alignment horizontal="right" vertical="center"/>
    </xf>
    <xf numFmtId="0" fontId="71" fillId="64" borderId="48">
      <alignment horizontal="left" vertical="center"/>
    </xf>
    <xf numFmtId="4" fontId="71" fillId="0" borderId="5" applyFill="0" applyBorder="0" applyProtection="0">
      <alignment horizontal="right" vertical="center"/>
    </xf>
    <xf numFmtId="0" fontId="53" fillId="13" borderId="16" applyNumberFormat="0" applyAlignment="0" applyProtection="0"/>
    <xf numFmtId="0" fontId="18" fillId="23" borderId="0" applyNumberFormat="0" applyBorder="0" applyAlignment="0" applyProtection="0"/>
    <xf numFmtId="0" fontId="82" fillId="36" borderId="48">
      <alignment horizontal="right" vertical="center"/>
    </xf>
    <xf numFmtId="4" fontId="82" fillId="36" borderId="48">
      <alignment horizontal="right" vertical="center"/>
    </xf>
    <xf numFmtId="0" fontId="82" fillId="36" borderId="49">
      <alignment horizontal="right" vertical="center"/>
    </xf>
    <xf numFmtId="4" fontId="82" fillId="36" borderId="49">
      <alignment horizontal="right" vertical="center"/>
    </xf>
    <xf numFmtId="0" fontId="71" fillId="36" borderId="46">
      <alignment horizontal="left" vertical="center" wrapText="1" indent="2"/>
    </xf>
    <xf numFmtId="0" fontId="71" fillId="0" borderId="46">
      <alignment horizontal="left" vertical="center" wrapText="1" indent="2"/>
    </xf>
    <xf numFmtId="0" fontId="71" fillId="64" borderId="48">
      <alignment horizontal="left" vertical="center"/>
    </xf>
    <xf numFmtId="0" fontId="46" fillId="0" borderId="20" applyNumberFormat="0" applyFill="0" applyAlignment="0" applyProtection="0"/>
    <xf numFmtId="49" fontId="71" fillId="0" borderId="48" applyNumberFormat="0" applyFont="0" applyFill="0" applyBorder="0" applyProtection="0">
      <alignment horizontal="left" vertical="center" indent="5"/>
    </xf>
    <xf numFmtId="49" fontId="71" fillId="0" borderId="48" applyNumberFormat="0" applyFont="0" applyFill="0" applyBorder="0" applyProtection="0">
      <alignment horizontal="left" vertical="center" indent="5"/>
    </xf>
    <xf numFmtId="0" fontId="82" fillId="36" borderId="48">
      <alignment horizontal="right" vertical="center"/>
    </xf>
    <xf numFmtId="4" fontId="82" fillId="36" borderId="48">
      <alignment horizontal="right" vertical="center"/>
    </xf>
    <xf numFmtId="0" fontId="71" fillId="64" borderId="48">
      <alignment horizontal="left" vertical="center"/>
    </xf>
    <xf numFmtId="0" fontId="57" fillId="18" borderId="0" applyNumberFormat="0" applyBorder="0" applyAlignment="0" applyProtection="0"/>
    <xf numFmtId="0" fontId="71" fillId="36" borderId="46">
      <alignment horizontal="left" vertical="center" wrapText="1" indent="2"/>
    </xf>
    <xf numFmtId="0" fontId="71" fillId="0" borderId="46">
      <alignment horizontal="left" vertical="center" wrapText="1" indent="2"/>
    </xf>
    <xf numFmtId="0" fontId="71" fillId="64" borderId="48">
      <alignment horizontal="left" vertical="center"/>
    </xf>
    <xf numFmtId="0" fontId="41" fillId="0" borderId="0" applyNumberFormat="0" applyFill="0" applyBorder="0" applyAlignment="0" applyProtection="0"/>
    <xf numFmtId="0" fontId="71" fillId="0" borderId="46">
      <alignment horizontal="left" vertical="center" wrapText="1" indent="2"/>
    </xf>
    <xf numFmtId="4" fontId="82" fillId="36" borderId="49">
      <alignment horizontal="right" vertical="center"/>
    </xf>
    <xf numFmtId="0" fontId="71" fillId="36" borderId="46">
      <alignment horizontal="left" vertical="center" wrapText="1" indent="2"/>
    </xf>
    <xf numFmtId="4" fontId="82" fillId="36" borderId="48">
      <alignment horizontal="right" vertical="center"/>
    </xf>
    <xf numFmtId="0" fontId="82" fillId="36" borderId="48">
      <alignment horizontal="right" vertical="center"/>
    </xf>
    <xf numFmtId="0" fontId="71" fillId="36" borderId="46">
      <alignment horizontal="left" vertical="center" wrapText="1" indent="2"/>
    </xf>
    <xf numFmtId="0" fontId="71" fillId="0" borderId="46">
      <alignment horizontal="left" vertical="center" wrapText="1" indent="2"/>
    </xf>
    <xf numFmtId="0" fontId="57" fillId="33" borderId="0" applyNumberFormat="0" applyBorder="0" applyAlignment="0" applyProtection="0"/>
    <xf numFmtId="0" fontId="57" fillId="27" borderId="0" applyNumberFormat="0" applyBorder="0" applyAlignment="0" applyProtection="0"/>
    <xf numFmtId="4" fontId="82" fillId="36" borderId="49">
      <alignment horizontal="right" vertical="center"/>
    </xf>
    <xf numFmtId="0" fontId="82" fillId="36" borderId="48">
      <alignment horizontal="right" vertical="center"/>
    </xf>
    <xf numFmtId="4" fontId="82" fillId="36" borderId="48">
      <alignment horizontal="right" vertical="center"/>
    </xf>
    <xf numFmtId="0" fontId="71" fillId="36" borderId="46">
      <alignment horizontal="left" vertical="center" wrapText="1" indent="2"/>
    </xf>
    <xf numFmtId="0" fontId="18" fillId="17" borderId="0" applyNumberFormat="0" applyBorder="0" applyAlignment="0" applyProtection="0"/>
    <xf numFmtId="49" fontId="71" fillId="0" borderId="48" applyNumberFormat="0" applyFont="0" applyFill="0" applyBorder="0" applyProtection="0">
      <alignment horizontal="left" vertical="center" indent="5"/>
    </xf>
    <xf numFmtId="0" fontId="71" fillId="64" borderId="48">
      <alignment horizontal="left" vertical="center"/>
    </xf>
    <xf numFmtId="4" fontId="82" fillId="36" borderId="49">
      <alignment horizontal="right" vertical="center"/>
    </xf>
    <xf numFmtId="0" fontId="18" fillId="22" borderId="0" applyNumberFormat="0" applyBorder="0" applyAlignment="0" applyProtection="0"/>
    <xf numFmtId="0" fontId="57" fillId="30" borderId="0" applyNumberFormat="0" applyBorder="0" applyAlignment="0" applyProtection="0"/>
    <xf numFmtId="0" fontId="82" fillId="36" borderId="48">
      <alignment horizontal="right" vertical="center"/>
    </xf>
    <xf numFmtId="4" fontId="82" fillId="36" borderId="48">
      <alignment horizontal="right" vertical="center"/>
    </xf>
    <xf numFmtId="0" fontId="82" fillId="36" borderId="49">
      <alignment horizontal="right" vertical="center"/>
    </xf>
    <xf numFmtId="4" fontId="82" fillId="36" borderId="49">
      <alignment horizontal="right" vertical="center"/>
    </xf>
    <xf numFmtId="0" fontId="71" fillId="36" borderId="46">
      <alignment horizontal="left" vertical="center" wrapText="1" indent="2"/>
    </xf>
    <xf numFmtId="0" fontId="71" fillId="0" borderId="46">
      <alignment horizontal="left" vertical="center" wrapText="1" indent="2"/>
    </xf>
    <xf numFmtId="0" fontId="71" fillId="64" borderId="48">
      <alignment horizontal="left" vertical="center"/>
    </xf>
    <xf numFmtId="0" fontId="56" fillId="0" borderId="0" applyNumberFormat="0" applyFill="0" applyBorder="0" applyAlignment="0" applyProtection="0"/>
    <xf numFmtId="0" fontId="18" fillId="31" borderId="0" applyNumberFormat="0" applyBorder="0" applyAlignment="0" applyProtection="0"/>
    <xf numFmtId="49" fontId="71" fillId="0" borderId="48" applyNumberFormat="0" applyFont="0" applyFill="0" applyBorder="0" applyProtection="0">
      <alignment horizontal="left" vertical="center" indent="5"/>
    </xf>
    <xf numFmtId="0" fontId="71" fillId="0" borderId="46">
      <alignment horizontal="left" vertical="center" wrapText="1" indent="2"/>
    </xf>
    <xf numFmtId="0" fontId="57" fillId="21" borderId="0" applyNumberFormat="0" applyBorder="0" applyAlignment="0" applyProtection="0"/>
    <xf numFmtId="0" fontId="82" fillId="36" borderId="49">
      <alignment horizontal="right" vertical="center"/>
    </xf>
    <xf numFmtId="0" fontId="82" fillId="36" borderId="49">
      <alignment horizontal="right" vertical="center"/>
    </xf>
    <xf numFmtId="0" fontId="71" fillId="36" borderId="46">
      <alignment horizontal="left" vertical="center" wrapText="1" indent="2"/>
    </xf>
    <xf numFmtId="0" fontId="71" fillId="0" borderId="46">
      <alignment horizontal="left" vertical="center" wrapText="1" indent="2"/>
    </xf>
    <xf numFmtId="0" fontId="18" fillId="25" borderId="0" applyNumberFormat="0" applyBorder="0" applyAlignment="0" applyProtection="0"/>
    <xf numFmtId="0" fontId="82" fillId="36" borderId="49">
      <alignment horizontal="right" vertical="center"/>
    </xf>
    <xf numFmtId="49" fontId="71" fillId="0" borderId="48" applyNumberFormat="0" applyFont="0" applyFill="0" applyBorder="0" applyProtection="0">
      <alignment horizontal="left" vertical="center" indent="5"/>
    </xf>
    <xf numFmtId="0" fontId="71" fillId="36" borderId="46">
      <alignment horizontal="left" vertical="center" wrapText="1" indent="2"/>
    </xf>
    <xf numFmtId="0" fontId="71" fillId="0" borderId="46">
      <alignment horizontal="left" vertical="center" wrapText="1" indent="2"/>
    </xf>
    <xf numFmtId="0" fontId="71" fillId="36" borderId="46">
      <alignment horizontal="left" vertical="center" wrapText="1" indent="2"/>
    </xf>
    <xf numFmtId="0" fontId="71" fillId="0" borderId="46">
      <alignment horizontal="left" vertical="center" wrapText="1" indent="2"/>
    </xf>
    <xf numFmtId="0" fontId="18" fillId="28" borderId="0" applyNumberFormat="0" applyBorder="0" applyAlignment="0" applyProtection="0"/>
    <xf numFmtId="0" fontId="57" fillId="24" borderId="0" applyNumberFormat="0" applyBorder="0" applyAlignment="0" applyProtection="0"/>
    <xf numFmtId="0" fontId="18" fillId="19" borderId="0" applyNumberFormat="0" applyBorder="0" applyAlignment="0" applyProtection="0"/>
    <xf numFmtId="0" fontId="82" fillId="36" borderId="48">
      <alignment horizontal="right" vertical="center"/>
    </xf>
    <xf numFmtId="4" fontId="82" fillId="36" borderId="48">
      <alignment horizontal="right" vertical="center"/>
    </xf>
    <xf numFmtId="0" fontId="82" fillId="36" borderId="49">
      <alignment horizontal="right" vertical="center"/>
    </xf>
    <xf numFmtId="4" fontId="82" fillId="36" borderId="49">
      <alignment horizontal="right" vertical="center"/>
    </xf>
    <xf numFmtId="0" fontId="71" fillId="36" borderId="46">
      <alignment horizontal="left" vertical="center" wrapText="1" indent="2"/>
    </xf>
    <xf numFmtId="0" fontId="71" fillId="0" borderId="46">
      <alignment horizontal="left" vertical="center" wrapText="1" indent="2"/>
    </xf>
    <xf numFmtId="0" fontId="71" fillId="64" borderId="48">
      <alignment horizontal="left" vertical="center"/>
    </xf>
    <xf numFmtId="49" fontId="71" fillId="0" borderId="48" applyNumberFormat="0" applyFont="0" applyFill="0" applyBorder="0" applyProtection="0">
      <alignment horizontal="left" vertical="center" indent="5"/>
    </xf>
    <xf numFmtId="0" fontId="71" fillId="64" borderId="48">
      <alignment horizontal="left" vertical="center"/>
    </xf>
    <xf numFmtId="0" fontId="71" fillId="0" borderId="46">
      <alignment horizontal="left" vertical="center" wrapText="1" indent="2"/>
    </xf>
    <xf numFmtId="4" fontId="82" fillId="36" borderId="49">
      <alignment horizontal="right" vertical="center"/>
    </xf>
    <xf numFmtId="0" fontId="71" fillId="36" borderId="46">
      <alignment horizontal="left" vertical="center" wrapText="1" indent="2"/>
    </xf>
    <xf numFmtId="4" fontId="82" fillId="36" borderId="48">
      <alignment horizontal="right" vertical="center"/>
    </xf>
    <xf numFmtId="0" fontId="82" fillId="36" borderId="48">
      <alignment horizontal="right" vertical="center"/>
    </xf>
    <xf numFmtId="0" fontId="71" fillId="36" borderId="46">
      <alignment horizontal="left" vertical="center" wrapText="1" indent="2"/>
    </xf>
    <xf numFmtId="0" fontId="71" fillId="0" borderId="46">
      <alignment horizontal="left" vertical="center" wrapText="1" indent="2"/>
    </xf>
    <xf numFmtId="0" fontId="18" fillId="32" borderId="0" applyNumberFormat="0" applyBorder="0" applyAlignment="0" applyProtection="0"/>
    <xf numFmtId="0" fontId="18" fillId="26" borderId="0" applyNumberFormat="0" applyBorder="0" applyAlignment="0" applyProtection="0"/>
    <xf numFmtId="4" fontId="82" fillId="36" borderId="49">
      <alignment horizontal="right" vertical="center"/>
    </xf>
    <xf numFmtId="0" fontId="82" fillId="36" borderId="48">
      <alignment horizontal="right" vertical="center"/>
    </xf>
    <xf numFmtId="4" fontId="82" fillId="36" borderId="48">
      <alignment horizontal="right" vertical="center"/>
    </xf>
    <xf numFmtId="0" fontId="71" fillId="36" borderId="46">
      <alignment horizontal="left" vertical="center" wrapText="1" indent="2"/>
    </xf>
    <xf numFmtId="0" fontId="18" fillId="16" borderId="0" applyNumberFormat="0" applyBorder="0" applyAlignment="0" applyProtection="0"/>
    <xf numFmtId="49" fontId="71" fillId="0" borderId="48" applyNumberFormat="0" applyFont="0" applyFill="0" applyBorder="0" applyProtection="0">
      <alignment horizontal="left" vertical="center" indent="5"/>
    </xf>
    <xf numFmtId="0" fontId="71" fillId="64" borderId="48">
      <alignment horizontal="left" vertical="center"/>
    </xf>
    <xf numFmtId="4" fontId="82" fillId="36" borderId="49">
      <alignment horizontal="right" vertical="center"/>
    </xf>
    <xf numFmtId="0" fontId="18" fillId="29" borderId="0" applyNumberFormat="0" applyBorder="0" applyAlignment="0" applyProtection="0"/>
    <xf numFmtId="0" fontId="82" fillId="36" borderId="48">
      <alignment horizontal="right" vertical="center"/>
    </xf>
    <xf numFmtId="4" fontId="82" fillId="36" borderId="48">
      <alignment horizontal="right" vertical="center"/>
    </xf>
    <xf numFmtId="0" fontId="82" fillId="36" borderId="49">
      <alignment horizontal="right" vertical="center"/>
    </xf>
    <xf numFmtId="4" fontId="82" fillId="36" borderId="49">
      <alignment horizontal="right" vertical="center"/>
    </xf>
    <xf numFmtId="0" fontId="71" fillId="36" borderId="46">
      <alignment horizontal="left" vertical="center" wrapText="1" indent="2"/>
    </xf>
    <xf numFmtId="0" fontId="71" fillId="0" borderId="46">
      <alignment horizontal="left" vertical="center" wrapText="1" indent="2"/>
    </xf>
    <xf numFmtId="0" fontId="71" fillId="64" borderId="48">
      <alignment horizontal="left" vertical="center"/>
    </xf>
    <xf numFmtId="0" fontId="54" fillId="13" borderId="15" applyNumberFormat="0" applyAlignment="0" applyProtection="0"/>
    <xf numFmtId="49" fontId="71" fillId="0" borderId="48" applyNumberFormat="0" applyFont="0" applyFill="0" applyBorder="0" applyProtection="0">
      <alignment horizontal="left" vertical="center" indent="5"/>
    </xf>
    <xf numFmtId="0" fontId="71" fillId="0" borderId="46">
      <alignment horizontal="left" vertical="center" wrapText="1" indent="2"/>
    </xf>
    <xf numFmtId="0" fontId="18" fillId="20" borderId="0" applyNumberFormat="0" applyBorder="0" applyAlignment="0" applyProtection="0"/>
    <xf numFmtId="0" fontId="82" fillId="36" borderId="49">
      <alignment horizontal="right" vertical="center"/>
    </xf>
    <xf numFmtId="0" fontId="82" fillId="36" borderId="49">
      <alignment horizontal="right" vertical="center"/>
    </xf>
    <xf numFmtId="0" fontId="71" fillId="36" borderId="46">
      <alignment horizontal="left" vertical="center" wrapText="1" indent="2"/>
    </xf>
    <xf numFmtId="0" fontId="71" fillId="0" borderId="46">
      <alignment horizontal="left" vertical="center" wrapText="1" indent="2"/>
    </xf>
    <xf numFmtId="0" fontId="82" fillId="36" borderId="49">
      <alignment horizontal="right" vertical="center"/>
    </xf>
    <xf numFmtId="49" fontId="71" fillId="0" borderId="48" applyNumberFormat="0" applyFont="0" applyFill="0" applyBorder="0" applyProtection="0">
      <alignment horizontal="left" vertical="center" indent="5"/>
    </xf>
    <xf numFmtId="0" fontId="71" fillId="36" borderId="46">
      <alignment horizontal="left" vertical="center" wrapText="1" indent="2"/>
    </xf>
    <xf numFmtId="0" fontId="71" fillId="0" borderId="46">
      <alignment horizontal="left" vertical="center" wrapText="1" indent="2"/>
    </xf>
    <xf numFmtId="0" fontId="71" fillId="36" borderId="46">
      <alignment horizontal="left" vertical="center" wrapText="1" indent="2"/>
    </xf>
    <xf numFmtId="0" fontId="37" fillId="0" borderId="0"/>
    <xf numFmtId="0" fontId="18" fillId="0" borderId="0"/>
    <xf numFmtId="0" fontId="18" fillId="0" borderId="0"/>
    <xf numFmtId="9" fontId="37" fillId="0" borderId="0" applyFont="0" applyFill="0" applyBorder="0" applyAlignment="0" applyProtection="0"/>
    <xf numFmtId="0" fontId="18" fillId="0" borderId="0"/>
    <xf numFmtId="43" fontId="197" fillId="0" borderId="0" applyFont="0" applyFill="0" applyBorder="0" applyAlignment="0" applyProtection="0"/>
    <xf numFmtId="43" fontId="18" fillId="0" borderId="0" applyFont="0" applyFill="0" applyBorder="0" applyAlignment="0" applyProtection="0"/>
    <xf numFmtId="0" fontId="37" fillId="0" borderId="0"/>
    <xf numFmtId="0" fontId="18" fillId="0" borderId="0"/>
    <xf numFmtId="43" fontId="35" fillId="0" borderId="0" applyFont="0" applyFill="0" applyBorder="0" applyAlignment="0" applyProtection="0"/>
    <xf numFmtId="0" fontId="198" fillId="0" borderId="0"/>
    <xf numFmtId="9" fontId="198" fillId="0" borderId="0" applyFont="0" applyFill="0" applyBorder="0" applyAlignment="0" applyProtection="0"/>
    <xf numFmtId="166" fontId="37" fillId="0" borderId="0" applyFont="0" applyFill="0" applyBorder="0" applyAlignment="0" applyProtection="0"/>
    <xf numFmtId="0" fontId="206" fillId="0" borderId="0" applyNumberFormat="0" applyFill="0" applyBorder="0" applyAlignment="0" applyProtection="0">
      <alignment vertical="top"/>
      <protection locked="0"/>
    </xf>
    <xf numFmtId="0" fontId="216" fillId="0" borderId="0"/>
    <xf numFmtId="0" fontId="216" fillId="0" borderId="0"/>
    <xf numFmtId="0" fontId="216" fillId="0" borderId="0"/>
    <xf numFmtId="0" fontId="230" fillId="0" borderId="0"/>
    <xf numFmtId="0" fontId="16" fillId="28" borderId="0" applyNumberFormat="0" applyBorder="0" applyAlignment="0" applyProtection="0"/>
    <xf numFmtId="0" fontId="57" fillId="99" borderId="0" applyNumberFormat="0" applyBorder="0" applyAlignment="0" applyProtection="0"/>
    <xf numFmtId="43" fontId="16" fillId="0" borderId="0" applyFont="0" applyFill="0" applyBorder="0" applyAlignment="0" applyProtection="0"/>
    <xf numFmtId="0" fontId="35" fillId="0" borderId="0"/>
    <xf numFmtId="0" fontId="16" fillId="0" borderId="0"/>
    <xf numFmtId="0" fontId="63" fillId="0" borderId="0"/>
    <xf numFmtId="9" fontId="230" fillId="0" borderId="0" applyFont="0" applyFill="0" applyBorder="0" applyAlignment="0" applyProtection="0"/>
    <xf numFmtId="9" fontId="37" fillId="0" borderId="0" applyFont="0" applyFill="0" applyBorder="0" applyAlignment="0" applyProtection="0"/>
    <xf numFmtId="0" fontId="239" fillId="0" borderId="0"/>
    <xf numFmtId="166" fontId="239" fillId="0" borderId="0" applyFont="0" applyFill="0" applyBorder="0" applyAlignment="0" applyProtection="0"/>
    <xf numFmtId="0" fontId="240" fillId="0" borderId="0"/>
    <xf numFmtId="0" fontId="35" fillId="0" borderId="0"/>
    <xf numFmtId="0" fontId="241" fillId="0" borderId="0"/>
    <xf numFmtId="0" fontId="35" fillId="0" borderId="0"/>
    <xf numFmtId="0" fontId="242" fillId="11" borderId="0" applyNumberFormat="0" applyBorder="0" applyAlignment="0" applyProtection="0"/>
    <xf numFmtId="0" fontId="54" fillId="13" borderId="15" applyNumberFormat="0" applyAlignment="0" applyProtection="0"/>
    <xf numFmtId="0" fontId="55" fillId="0" borderId="17" applyNumberFormat="0" applyFill="0" applyAlignment="0" applyProtection="0"/>
    <xf numFmtId="0" fontId="30" fillId="14" borderId="18" applyNumberFormat="0" applyAlignment="0" applyProtection="0"/>
    <xf numFmtId="0" fontId="41" fillId="0" borderId="0" applyNumberFormat="0" applyFill="0" applyBorder="0" applyAlignment="0" applyProtection="0"/>
    <xf numFmtId="0" fontId="15" fillId="18" borderId="0" applyNumberFormat="0" applyBorder="0" applyAlignment="0" applyProtection="0"/>
    <xf numFmtId="0" fontId="15" fillId="21" borderId="0" applyNumberFormat="0" applyBorder="0" applyAlignment="0" applyProtection="0"/>
    <xf numFmtId="0" fontId="15" fillId="24"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3" borderId="0" applyNumberFormat="0" applyBorder="0" applyAlignment="0" applyProtection="0"/>
    <xf numFmtId="0" fontId="243" fillId="0" borderId="0"/>
    <xf numFmtId="0" fontId="15" fillId="0" borderId="0"/>
    <xf numFmtId="166" fontId="3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166" fontId="15" fillId="0" borderId="0" applyFont="0" applyFill="0" applyBorder="0" applyAlignment="0" applyProtection="0"/>
    <xf numFmtId="0" fontId="248" fillId="0" borderId="0" applyFill="0" applyBorder="0"/>
    <xf numFmtId="49" fontId="251" fillId="111" borderId="0" applyFill="0" applyBorder="0">
      <alignment horizontal="left"/>
    </xf>
    <xf numFmtId="0" fontId="66" fillId="0" borderId="53" applyNumberFormat="0" applyFont="0" applyAlignment="0">
      <alignment vertical="center"/>
    </xf>
    <xf numFmtId="0" fontId="250" fillId="0" borderId="0" applyFill="0" applyBorder="0">
      <alignment vertical="center"/>
    </xf>
    <xf numFmtId="207" fontId="204" fillId="0" borderId="0" applyFill="0" applyBorder="0">
      <alignment horizontal="right" vertical="center"/>
    </xf>
    <xf numFmtId="207" fontId="66" fillId="0" borderId="0" applyFill="0" applyBorder="0">
      <alignment horizontal="right" vertical="center"/>
    </xf>
    <xf numFmtId="169" fontId="66" fillId="0" borderId="0" applyFill="0" applyBorder="0">
      <alignment horizontal="right" vertical="center"/>
    </xf>
    <xf numFmtId="0" fontId="204" fillId="0" borderId="53" applyFill="0" applyBorder="0">
      <alignment vertical="center"/>
    </xf>
    <xf numFmtId="0" fontId="259" fillId="0" borderId="0"/>
    <xf numFmtId="0" fontId="253" fillId="0" borderId="0">
      <alignment horizontal="right"/>
    </xf>
    <xf numFmtId="0" fontId="257" fillId="0" borderId="0"/>
    <xf numFmtId="0" fontId="252" fillId="0" borderId="0"/>
    <xf numFmtId="0" fontId="255" fillId="0" borderId="0"/>
    <xf numFmtId="0" fontId="258" fillId="0" borderId="88" applyNumberFormat="0" applyAlignment="0"/>
    <xf numFmtId="0" fontId="250" fillId="0" borderId="0" applyAlignment="0">
      <alignment horizontal="left"/>
    </xf>
    <xf numFmtId="0" fontId="250" fillId="0" borderId="0">
      <alignment horizontal="right"/>
    </xf>
    <xf numFmtId="169" fontId="250" fillId="0" borderId="0">
      <alignment horizontal="right"/>
    </xf>
    <xf numFmtId="206" fontId="254" fillId="0" borderId="0">
      <alignment horizontal="right"/>
    </xf>
    <xf numFmtId="0" fontId="256" fillId="0" borderId="0"/>
    <xf numFmtId="166" fontId="249" fillId="0" borderId="0" applyFont="0" applyFill="0" applyBorder="0" applyAlignment="0" applyProtection="0"/>
    <xf numFmtId="0" fontId="206" fillId="0" borderId="0" applyNumberFormat="0" applyFill="0" applyBorder="0" applyAlignment="0" applyProtection="0">
      <alignment vertical="top"/>
      <protection locked="0"/>
    </xf>
    <xf numFmtId="169" fontId="249" fillId="0" borderId="0" applyFont="0" applyFill="0" applyBorder="0" applyAlignment="0" applyProtection="0"/>
    <xf numFmtId="0" fontId="243" fillId="0" borderId="0"/>
    <xf numFmtId="166" fontId="15" fillId="0" borderId="0" applyFont="0" applyFill="0" applyBorder="0" applyAlignment="0" applyProtection="0"/>
    <xf numFmtId="0" fontId="66" fillId="0" borderId="0" applyFill="0" applyBorder="0"/>
    <xf numFmtId="169" fontId="249" fillId="0" borderId="0" applyFont="0" applyFill="0" applyBorder="0" applyAlignment="0" applyProtection="0"/>
    <xf numFmtId="0" fontId="66" fillId="0" borderId="0" applyFill="0" applyBorder="0"/>
    <xf numFmtId="169" fontId="249" fillId="0" borderId="0" applyFont="0" applyFill="0" applyBorder="0" applyAlignment="0" applyProtection="0"/>
    <xf numFmtId="0" fontId="66" fillId="0" borderId="0" applyFill="0" applyBorder="0"/>
    <xf numFmtId="169" fontId="249" fillId="0" borderId="0" applyFont="0" applyFill="0" applyBorder="0" applyAlignment="0" applyProtection="0"/>
    <xf numFmtId="0" fontId="66" fillId="0" borderId="0" applyFill="0" applyBorder="0"/>
    <xf numFmtId="0" fontId="103" fillId="0" borderId="0"/>
    <xf numFmtId="0" fontId="66" fillId="0" borderId="0" applyFill="0" applyBorder="0"/>
    <xf numFmtId="0" fontId="66" fillId="0" borderId="0" applyFill="0" applyBorder="0"/>
    <xf numFmtId="0" fontId="15" fillId="0" borderId="0"/>
    <xf numFmtId="0" fontId="15" fillId="0" borderId="0"/>
    <xf numFmtId="0" fontId="39" fillId="0" borderId="0" applyNumberFormat="0" applyFill="0" applyBorder="0" applyAlignment="0" applyProtection="0"/>
    <xf numFmtId="0" fontId="15" fillId="0" borderId="0"/>
    <xf numFmtId="0" fontId="244" fillId="0" borderId="0" applyNumberFormat="0" applyFill="0" applyBorder="0" applyAlignment="0" applyProtection="0"/>
    <xf numFmtId="0" fontId="245" fillId="0" borderId="85" applyNumberFormat="0" applyFill="0" applyAlignment="0" applyProtection="0"/>
    <xf numFmtId="0" fontId="246" fillId="0" borderId="86" applyNumberFormat="0" applyFill="0" applyAlignment="0" applyProtection="0"/>
    <xf numFmtId="0" fontId="247" fillId="0" borderId="87" applyNumberFormat="0" applyFill="0" applyAlignment="0" applyProtection="0"/>
    <xf numFmtId="0" fontId="247" fillId="0" borderId="0" applyNumberFormat="0" applyFill="0" applyBorder="0" applyAlignment="0" applyProtection="0"/>
    <xf numFmtId="0" fontId="15" fillId="15" borderId="19" applyNumberFormat="0" applyFont="0" applyAlignment="0" applyProtection="0"/>
    <xf numFmtId="0" fontId="56" fillId="0" borderId="0" applyNumberFormat="0" applyFill="0" applyBorder="0" applyAlignment="0" applyProtection="0"/>
    <xf numFmtId="0" fontId="46" fillId="0" borderId="20" applyNumberFormat="0" applyFill="0" applyAlignment="0" applyProtection="0"/>
    <xf numFmtId="0" fontId="57" fillId="106"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57" fillId="107"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57" fillId="108"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57" fillId="109" borderId="0" applyNumberFormat="0" applyBorder="0" applyAlignment="0" applyProtection="0"/>
    <xf numFmtId="0" fontId="15" fillId="28" borderId="0" applyNumberFormat="0" applyBorder="0" applyAlignment="0" applyProtection="0"/>
    <xf numFmtId="0" fontId="15" fillId="29" borderId="0" applyNumberFormat="0" applyBorder="0" applyAlignment="0" applyProtection="0"/>
    <xf numFmtId="0" fontId="57" fillId="11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4" fillId="0" borderId="0"/>
    <xf numFmtId="0" fontId="14" fillId="15" borderId="19" applyNumberFormat="0" applyFont="0" applyAlignment="0" applyProtection="0"/>
    <xf numFmtId="0" fontId="14" fillId="16"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21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8" fillId="0" borderId="0"/>
    <xf numFmtId="43" fontId="11" fillId="0" borderId="0" applyFont="0" applyFill="0" applyBorder="0" applyAlignment="0" applyProtection="0"/>
    <xf numFmtId="0" fontId="264" fillId="0" borderId="0"/>
    <xf numFmtId="43" fontId="37" fillId="0" borderId="0" applyFont="0" applyFill="0" applyBorder="0" applyAlignment="0" applyProtection="0"/>
    <xf numFmtId="0" fontId="265" fillId="0" borderId="0"/>
    <xf numFmtId="0" fontId="37" fillId="0" borderId="0"/>
    <xf numFmtId="215" fontId="35" fillId="0" borderId="0"/>
    <xf numFmtId="0" fontId="47" fillId="0" borderId="0"/>
    <xf numFmtId="0" fontId="37" fillId="0" borderId="0"/>
    <xf numFmtId="43" fontId="37" fillId="0" borderId="0" applyFont="0" applyFill="0" applyBorder="0" applyAlignment="0" applyProtection="0"/>
    <xf numFmtId="0" fontId="264" fillId="0" borderId="0"/>
    <xf numFmtId="0" fontId="11" fillId="0" borderId="0"/>
    <xf numFmtId="0" fontId="11" fillId="0" borderId="0"/>
    <xf numFmtId="0" fontId="11" fillId="0" borderId="0"/>
    <xf numFmtId="0" fontId="11" fillId="0" borderId="0"/>
    <xf numFmtId="9" fontId="37" fillId="0" borderId="0" applyFont="0" applyFill="0" applyBorder="0" applyAlignment="0" applyProtection="0"/>
    <xf numFmtId="43" fontId="35" fillId="0" borderId="0" applyFont="0" applyFill="0" applyBorder="0" applyAlignment="0" applyProtection="0"/>
    <xf numFmtId="0" fontId="11" fillId="0" borderId="0"/>
    <xf numFmtId="43" fontId="11"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7" fillId="0" borderId="0" applyFont="0" applyFill="0" applyBorder="0" applyAlignment="0" applyProtection="0"/>
    <xf numFmtId="0" fontId="11" fillId="0" borderId="0"/>
    <xf numFmtId="43" fontId="11" fillId="0" borderId="0" applyFont="0" applyFill="0" applyBorder="0" applyAlignment="0" applyProtection="0"/>
    <xf numFmtId="43" fontId="37"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7" fillId="0" borderId="0" applyFont="0" applyFill="0" applyBorder="0" applyAlignment="0" applyProtection="0"/>
    <xf numFmtId="43" fontId="11" fillId="0" borderId="0" applyFont="0" applyFill="0" applyBorder="0" applyAlignment="0" applyProtection="0"/>
    <xf numFmtId="0" fontId="11" fillId="0" borderId="0"/>
    <xf numFmtId="0" fontId="58" fillId="0" borderId="0"/>
    <xf numFmtId="0" fontId="37" fillId="0" borderId="0"/>
    <xf numFmtId="0" fontId="58" fillId="0" borderId="0"/>
    <xf numFmtId="0" fontId="11" fillId="0" borderId="0"/>
    <xf numFmtId="0" fontId="37" fillId="0" borderId="0"/>
    <xf numFmtId="0" fontId="58" fillId="0" borderId="0"/>
    <xf numFmtId="0" fontId="58" fillId="0" borderId="0"/>
    <xf numFmtId="0" fontId="37" fillId="0" borderId="0"/>
    <xf numFmtId="0" fontId="11" fillId="0" borderId="0"/>
    <xf numFmtId="0" fontId="37" fillId="0" borderId="0"/>
    <xf numFmtId="0" fontId="11" fillId="0" borderId="0"/>
    <xf numFmtId="0" fontId="10" fillId="0" borderId="0"/>
    <xf numFmtId="0" fontId="266" fillId="0" borderId="0"/>
    <xf numFmtId="166" fontId="266" fillId="0" borderId="0" applyFont="0" applyFill="0" applyBorder="0" applyAlignment="0" applyProtection="0"/>
    <xf numFmtId="0" fontId="266" fillId="0" borderId="0"/>
    <xf numFmtId="166" fontId="266" fillId="0" borderId="0" applyFont="0" applyFill="0" applyBorder="0" applyAlignment="0" applyProtection="0"/>
    <xf numFmtId="0" fontId="266" fillId="0" borderId="0"/>
    <xf numFmtId="0" fontId="266" fillId="0" borderId="0"/>
    <xf numFmtId="166" fontId="266" fillId="0" borderId="0" applyFont="0" applyFill="0" applyBorder="0" applyAlignment="0" applyProtection="0"/>
    <xf numFmtId="0" fontId="266" fillId="0" borderId="0"/>
    <xf numFmtId="0" fontId="3" fillId="0" borderId="0"/>
    <xf numFmtId="0" fontId="3" fillId="0" borderId="0"/>
  </cellStyleXfs>
  <cellXfs count="604">
    <xf numFmtId="0" fontId="0" fillId="0" borderId="0" xfId="0"/>
    <xf numFmtId="0" fontId="40" fillId="0" borderId="0" xfId="0" applyFont="1" applyAlignment="1">
      <alignment vertical="center"/>
    </xf>
    <xf numFmtId="0" fontId="0" fillId="0" borderId="0" xfId="0" applyAlignment="1">
      <alignment vertical="center"/>
    </xf>
    <xf numFmtId="0" fontId="0" fillId="0" borderId="2" xfId="0" applyBorder="1" applyAlignment="1">
      <alignment vertical="center"/>
    </xf>
    <xf numFmtId="0" fontId="0" fillId="0" borderId="0" xfId="0" applyAlignment="1">
      <alignment horizontal="left" vertical="center"/>
    </xf>
    <xf numFmtId="0" fontId="38" fillId="2" borderId="0" xfId="3" applyFont="1" applyFill="1" applyAlignment="1">
      <alignment vertical="center"/>
    </xf>
    <xf numFmtId="14" fontId="0" fillId="0" borderId="0" xfId="0" applyNumberFormat="1" applyAlignment="1">
      <alignment horizontal="left" vertical="center"/>
    </xf>
    <xf numFmtId="0" fontId="38" fillId="2" borderId="0" xfId="2" applyFont="1" applyFill="1" applyAlignment="1">
      <alignment vertical="center"/>
    </xf>
    <xf numFmtId="0" fontId="33" fillId="0" borderId="0" xfId="0" applyFont="1" applyAlignment="1">
      <alignment horizontal="left" vertical="center"/>
    </xf>
    <xf numFmtId="0" fontId="36" fillId="7" borderId="6" xfId="1" applyFont="1" applyFill="1" applyBorder="1" applyAlignment="1">
      <alignment horizontal="left" vertical="center"/>
    </xf>
    <xf numFmtId="0" fontId="30" fillId="7" borderId="1" xfId="1" applyFont="1" applyFill="1" applyBorder="1" applyAlignment="1">
      <alignment horizontal="left" vertical="center"/>
    </xf>
    <xf numFmtId="0" fontId="36" fillId="7" borderId="1" xfId="1" applyFont="1" applyFill="1" applyBorder="1" applyAlignment="1">
      <alignment horizontal="left" vertical="center"/>
    </xf>
    <xf numFmtId="0" fontId="43" fillId="2" borderId="0" xfId="50" applyFont="1" applyFill="1" applyBorder="1" applyAlignment="1">
      <alignment vertical="center"/>
    </xf>
    <xf numFmtId="0" fontId="31" fillId="2" borderId="0" xfId="57" applyFont="1" applyFill="1" applyAlignment="1">
      <alignment vertical="center"/>
    </xf>
    <xf numFmtId="0" fontId="0" fillId="2" borderId="0" xfId="0" applyFill="1" applyAlignment="1">
      <alignment horizontal="left" vertical="center"/>
    </xf>
    <xf numFmtId="0" fontId="37" fillId="0" borderId="0" xfId="1" applyFont="1" applyAlignment="1">
      <alignment vertical="center"/>
    </xf>
    <xf numFmtId="0" fontId="29" fillId="0" borderId="0" xfId="1" applyAlignment="1">
      <alignment vertical="center"/>
    </xf>
    <xf numFmtId="0" fontId="32" fillId="2" borderId="0" xfId="50" applyFont="1" applyFill="1" applyBorder="1" applyAlignment="1">
      <alignment vertical="center"/>
    </xf>
    <xf numFmtId="0" fontId="37" fillId="2" borderId="0" xfId="1" applyFont="1" applyFill="1" applyAlignment="1">
      <alignment horizontal="left" vertical="center"/>
    </xf>
    <xf numFmtId="0" fontId="37" fillId="2" borderId="0" xfId="1" applyFont="1" applyFill="1" applyAlignment="1">
      <alignment vertical="center"/>
    </xf>
    <xf numFmtId="14" fontId="0" fillId="2" borderId="0" xfId="0" applyNumberFormat="1" applyFill="1" applyAlignment="1">
      <alignment horizontal="left" vertical="center"/>
    </xf>
    <xf numFmtId="0" fontId="0" fillId="0" borderId="0" xfId="1" applyFont="1" applyAlignment="1">
      <alignment vertical="center"/>
    </xf>
    <xf numFmtId="0" fontId="37" fillId="2" borderId="4" xfId="1" applyFont="1" applyFill="1" applyBorder="1" applyAlignment="1">
      <alignment vertical="center"/>
    </xf>
    <xf numFmtId="0" fontId="40" fillId="0" borderId="0" xfId="61" applyFont="1" applyAlignment="1">
      <alignment vertical="center"/>
    </xf>
    <xf numFmtId="0" fontId="20" fillId="0" borderId="0" xfId="61" applyAlignment="1">
      <alignment vertical="center"/>
    </xf>
    <xf numFmtId="0" fontId="30" fillId="7" borderId="6" xfId="61" applyFont="1" applyFill="1" applyBorder="1" applyAlignment="1">
      <alignment horizontal="left" vertical="center"/>
    </xf>
    <xf numFmtId="0" fontId="20" fillId="0" borderId="51" xfId="61" applyBorder="1" applyAlignment="1">
      <alignment horizontal="left" vertical="center"/>
    </xf>
    <xf numFmtId="0" fontId="20" fillId="0" borderId="51" xfId="61" applyBorder="1" applyAlignment="1">
      <alignment horizontal="left" vertical="center" wrapText="1"/>
    </xf>
    <xf numFmtId="0" fontId="41" fillId="0" borderId="0" xfId="61" quotePrefix="1" applyFont="1" applyAlignment="1">
      <alignment vertical="center"/>
    </xf>
    <xf numFmtId="0" fontId="32" fillId="0" borderId="51" xfId="0" applyFont="1" applyBorder="1" applyAlignment="1">
      <alignment horizontal="left" vertical="center" wrapText="1"/>
    </xf>
    <xf numFmtId="0" fontId="20" fillId="0" borderId="51" xfId="61" applyBorder="1" applyAlignment="1">
      <alignment vertical="center" wrapText="1"/>
    </xf>
    <xf numFmtId="0" fontId="0" fillId="0" borderId="53" xfId="0" applyBorder="1" applyAlignment="1">
      <alignment vertical="center"/>
    </xf>
    <xf numFmtId="0" fontId="0" fillId="0" borderId="50" xfId="0" applyBorder="1" applyAlignment="1">
      <alignment vertical="center"/>
    </xf>
    <xf numFmtId="0" fontId="199" fillId="7" borderId="52" xfId="61" applyFont="1" applyFill="1" applyBorder="1" applyAlignment="1">
      <alignment vertical="center"/>
    </xf>
    <xf numFmtId="0" fontId="20" fillId="5" borderId="55" xfId="61" applyFill="1" applyBorder="1" applyAlignment="1">
      <alignment vertical="center"/>
    </xf>
    <xf numFmtId="0" fontId="48" fillId="5" borderId="55" xfId="61" applyFont="1" applyFill="1" applyBorder="1" applyAlignment="1">
      <alignment vertical="center"/>
    </xf>
    <xf numFmtId="0" fontId="20" fillId="0" borderId="51" xfId="61" applyBorder="1" applyAlignment="1">
      <alignment vertical="center"/>
    </xf>
    <xf numFmtId="0" fontId="27" fillId="86" borderId="14" xfId="23" applyFill="1" applyBorder="1" applyAlignment="1">
      <alignment vertical="center"/>
    </xf>
    <xf numFmtId="0" fontId="32" fillId="87" borderId="51" xfId="61" applyFont="1" applyFill="1" applyBorder="1" applyAlignment="1">
      <alignment vertical="center"/>
    </xf>
    <xf numFmtId="0" fontId="32" fillId="87" borderId="53" xfId="61" applyFont="1" applyFill="1" applyBorder="1" applyAlignment="1">
      <alignment vertical="center"/>
    </xf>
    <xf numFmtId="0" fontId="32" fillId="87" borderId="54" xfId="61" applyFont="1" applyFill="1" applyBorder="1" applyAlignment="1">
      <alignment vertical="center"/>
    </xf>
    <xf numFmtId="0" fontId="32" fillId="88" borderId="51" xfId="61" applyFont="1" applyFill="1" applyBorder="1" applyAlignment="1">
      <alignment vertical="center"/>
    </xf>
    <xf numFmtId="0" fontId="32" fillId="88" borderId="53" xfId="61" applyFont="1" applyFill="1" applyBorder="1" applyAlignment="1">
      <alignment vertical="center"/>
    </xf>
    <xf numFmtId="0" fontId="0" fillId="88" borderId="0" xfId="23" applyFont="1" applyFill="1" applyAlignment="1">
      <alignment horizontal="left" vertical="center"/>
    </xf>
    <xf numFmtId="0" fontId="20" fillId="88" borderId="0" xfId="61" applyFill="1" applyAlignment="1">
      <alignment vertical="center"/>
    </xf>
    <xf numFmtId="0" fontId="27" fillId="0" borderId="0" xfId="23" applyAlignment="1">
      <alignment vertical="center"/>
    </xf>
    <xf numFmtId="0" fontId="0" fillId="0" borderId="0" xfId="23" applyFont="1" applyAlignment="1">
      <alignment horizontal="left" vertical="center"/>
    </xf>
    <xf numFmtId="0" fontId="20" fillId="89" borderId="53" xfId="61" applyFill="1" applyBorder="1" applyAlignment="1">
      <alignment vertical="center"/>
    </xf>
    <xf numFmtId="0" fontId="20" fillId="89" borderId="54" xfId="61" applyFill="1" applyBorder="1" applyAlignment="1">
      <alignment vertical="center"/>
    </xf>
    <xf numFmtId="0" fontId="43" fillId="0" borderId="0" xfId="5" applyFont="1" applyAlignment="1">
      <alignment horizontal="left" vertical="center"/>
    </xf>
    <xf numFmtId="0" fontId="20" fillId="0" borderId="50" xfId="61" applyBorder="1" applyAlignment="1">
      <alignment vertical="center"/>
    </xf>
    <xf numFmtId="2" fontId="20" fillId="5" borderId="50" xfId="61" applyNumberFormat="1" applyFill="1" applyBorder="1" applyAlignment="1">
      <alignment horizontal="left" vertical="center"/>
    </xf>
    <xf numFmtId="0" fontId="20" fillId="0" borderId="50" xfId="61" applyBorder="1" applyAlignment="1">
      <alignment horizontal="left" vertical="center"/>
    </xf>
    <xf numFmtId="2" fontId="20" fillId="5" borderId="0" xfId="61" applyNumberFormat="1" applyFill="1" applyAlignment="1">
      <alignment horizontal="left" vertical="center"/>
    </xf>
    <xf numFmtId="0" fontId="20" fillId="0" borderId="0" xfId="61" applyAlignment="1">
      <alignment horizontal="left" vertical="center"/>
    </xf>
    <xf numFmtId="0" fontId="20" fillId="0" borderId="2" xfId="61" applyBorder="1" applyAlignment="1">
      <alignment vertical="center"/>
    </xf>
    <xf numFmtId="0" fontId="20" fillId="5" borderId="2" xfId="61" applyFill="1" applyBorder="1" applyAlignment="1">
      <alignment horizontal="left" vertical="center"/>
    </xf>
    <xf numFmtId="0" fontId="20" fillId="0" borderId="2" xfId="61" applyBorder="1" applyAlignment="1">
      <alignment horizontal="left" vertical="center"/>
    </xf>
    <xf numFmtId="3" fontId="0" fillId="2" borderId="0" xfId="0" applyNumberFormat="1" applyFill="1"/>
    <xf numFmtId="0" fontId="0" fillId="2" borderId="0" xfId="0" applyFill="1"/>
    <xf numFmtId="0" fontId="46" fillId="2" borderId="0" xfId="0" applyFont="1" applyFill="1"/>
    <xf numFmtId="3" fontId="46" fillId="2" borderId="0" xfId="0" applyNumberFormat="1" applyFont="1" applyFill="1"/>
    <xf numFmtId="0" fontId="46" fillId="2" borderId="56" xfId="0" applyFont="1" applyFill="1" applyBorder="1"/>
    <xf numFmtId="0" fontId="46" fillId="2" borderId="55" xfId="0" applyFont="1" applyFill="1" applyBorder="1"/>
    <xf numFmtId="0" fontId="46" fillId="2" borderId="57" xfId="0" applyFont="1" applyFill="1" applyBorder="1"/>
    <xf numFmtId="0" fontId="46" fillId="2" borderId="50" xfId="0" applyFont="1" applyFill="1" applyBorder="1"/>
    <xf numFmtId="0" fontId="46" fillId="2" borderId="58" xfId="0" applyFont="1" applyFill="1" applyBorder="1"/>
    <xf numFmtId="0" fontId="42" fillId="2" borderId="2" xfId="0" applyFont="1" applyFill="1" applyBorder="1"/>
    <xf numFmtId="0" fontId="42" fillId="2" borderId="14" xfId="0" applyFont="1" applyFill="1" applyBorder="1"/>
    <xf numFmtId="0" fontId="46" fillId="2" borderId="2" xfId="0" applyFont="1" applyFill="1" applyBorder="1"/>
    <xf numFmtId="0" fontId="0" fillId="2" borderId="58" xfId="0" applyFill="1" applyBorder="1"/>
    <xf numFmtId="0" fontId="0" fillId="2" borderId="13" xfId="0" applyFill="1" applyBorder="1"/>
    <xf numFmtId="0" fontId="0" fillId="2" borderId="55" xfId="0" applyFill="1" applyBorder="1" applyAlignment="1">
      <alignment horizontal="left" indent="1"/>
    </xf>
    <xf numFmtId="3" fontId="0" fillId="91" borderId="0" xfId="0" applyNumberFormat="1" applyFill="1"/>
    <xf numFmtId="0" fontId="0" fillId="2" borderId="13" xfId="0" applyFill="1" applyBorder="1" applyAlignment="1">
      <alignment horizontal="left" indent="1"/>
    </xf>
    <xf numFmtId="3" fontId="0" fillId="2" borderId="58" xfId="0" applyNumberFormat="1" applyFill="1" applyBorder="1"/>
    <xf numFmtId="0" fontId="0" fillId="2" borderId="14" xfId="0" applyFill="1" applyBorder="1"/>
    <xf numFmtId="0" fontId="0" fillId="2" borderId="14" xfId="0" applyFill="1" applyBorder="1" applyAlignment="1">
      <alignment horizontal="left" indent="1"/>
    </xf>
    <xf numFmtId="0" fontId="0" fillId="2" borderId="53" xfId="0" applyFill="1" applyBorder="1"/>
    <xf numFmtId="0" fontId="0" fillId="2" borderId="51" xfId="0" applyFill="1" applyBorder="1"/>
    <xf numFmtId="0" fontId="0" fillId="2" borderId="2" xfId="0" applyFill="1" applyBorder="1"/>
    <xf numFmtId="3" fontId="0" fillId="91" borderId="59" xfId="0" applyNumberFormat="1" applyFill="1" applyBorder="1"/>
    <xf numFmtId="3" fontId="0" fillId="91" borderId="2" xfId="0" applyNumberFormat="1" applyFill="1" applyBorder="1"/>
    <xf numFmtId="3" fontId="0" fillId="91" borderId="60" xfId="0" applyNumberFormat="1" applyFill="1" applyBorder="1"/>
    <xf numFmtId="0" fontId="201" fillId="2" borderId="0" xfId="0" applyFont="1" applyFill="1" applyAlignment="1">
      <alignment vertical="center"/>
    </xf>
    <xf numFmtId="0" fontId="201" fillId="2" borderId="0" xfId="0" applyFont="1" applyFill="1" applyAlignment="1">
      <alignment horizontal="left" vertical="center"/>
    </xf>
    <xf numFmtId="0" fontId="46" fillId="2" borderId="61" xfId="0" applyFont="1" applyFill="1" applyBorder="1"/>
    <xf numFmtId="0" fontId="0" fillId="2" borderId="61" xfId="0" applyFill="1" applyBorder="1"/>
    <xf numFmtId="0" fontId="0" fillId="2" borderId="55" xfId="0" applyFill="1" applyBorder="1"/>
    <xf numFmtId="0" fontId="0" fillId="2" borderId="50" xfId="0" applyFill="1" applyBorder="1"/>
    <xf numFmtId="0" fontId="42" fillId="2" borderId="60" xfId="0" applyFont="1" applyFill="1" applyBorder="1"/>
    <xf numFmtId="0" fontId="46" fillId="2" borderId="60" xfId="0" applyFont="1" applyFill="1" applyBorder="1"/>
    <xf numFmtId="3" fontId="0" fillId="91" borderId="61" xfId="0" applyNumberFormat="1" applyFill="1" applyBorder="1"/>
    <xf numFmtId="3" fontId="0" fillId="91" borderId="62" xfId="0" applyNumberFormat="1" applyFill="1" applyBorder="1"/>
    <xf numFmtId="0" fontId="46" fillId="2" borderId="51" xfId="0" applyFont="1" applyFill="1" applyBorder="1"/>
    <xf numFmtId="0" fontId="0" fillId="2" borderId="62" xfId="0" applyFill="1" applyBorder="1"/>
    <xf numFmtId="0" fontId="0" fillId="2" borderId="54" xfId="0" applyFill="1" applyBorder="1"/>
    <xf numFmtId="0" fontId="0" fillId="2" borderId="60" xfId="0" applyFill="1" applyBorder="1"/>
    <xf numFmtId="0" fontId="0" fillId="93" borderId="62" xfId="0" applyFill="1" applyBorder="1"/>
    <xf numFmtId="0" fontId="0" fillId="93" borderId="13" xfId="0" applyFill="1" applyBorder="1"/>
    <xf numFmtId="0" fontId="0" fillId="93" borderId="13" xfId="0" applyFill="1" applyBorder="1" applyAlignment="1">
      <alignment horizontal="left" indent="1"/>
    </xf>
    <xf numFmtId="3" fontId="0" fillId="93" borderId="0" xfId="0" applyNumberFormat="1" applyFill="1"/>
    <xf numFmtId="0" fontId="0" fillId="93" borderId="58" xfId="0" applyFill="1" applyBorder="1"/>
    <xf numFmtId="0" fontId="0" fillId="93" borderId="0" xfId="0" applyFill="1"/>
    <xf numFmtId="3" fontId="0" fillId="93" borderId="62" xfId="0" applyNumberFormat="1" applyFill="1" applyBorder="1"/>
    <xf numFmtId="0" fontId="39" fillId="0" borderId="51" xfId="50" applyBorder="1" applyAlignment="1">
      <alignment vertical="center" wrapText="1"/>
    </xf>
    <xf numFmtId="0" fontId="203" fillId="0" borderId="0" xfId="9" applyFont="1" applyAlignment="1">
      <alignment vertical="center"/>
    </xf>
    <xf numFmtId="0" fontId="28" fillId="0" borderId="0" xfId="9" applyAlignment="1">
      <alignment vertical="center"/>
    </xf>
    <xf numFmtId="0" fontId="204" fillId="0" borderId="0" xfId="9" applyFont="1" applyAlignment="1">
      <alignment vertical="center"/>
    </xf>
    <xf numFmtId="0" fontId="205" fillId="0" borderId="0" xfId="9" applyFont="1" applyAlignment="1">
      <alignment vertical="center"/>
    </xf>
    <xf numFmtId="0" fontId="207" fillId="0" borderId="0" xfId="9564" applyFont="1" applyAlignment="1" applyProtection="1">
      <alignment horizontal="center" vertical="center"/>
    </xf>
    <xf numFmtId="0" fontId="28" fillId="2" borderId="0" xfId="9" applyFill="1" applyAlignment="1">
      <alignment horizontal="right" vertical="center"/>
    </xf>
    <xf numFmtId="0" fontId="206" fillId="0" borderId="0" xfId="45773" applyAlignment="1" applyProtection="1">
      <alignment vertical="center"/>
    </xf>
    <xf numFmtId="0" fontId="28" fillId="0" borderId="0" xfId="9" applyAlignment="1">
      <alignment horizontal="right" vertical="center"/>
    </xf>
    <xf numFmtId="0" fontId="204" fillId="0" borderId="0" xfId="9" applyFont="1" applyAlignment="1">
      <alignment horizontal="right" vertical="center"/>
    </xf>
    <xf numFmtId="197" fontId="28" fillId="0" borderId="0" xfId="9" applyNumberFormat="1" applyAlignment="1">
      <alignment horizontal="right" vertical="center"/>
    </xf>
    <xf numFmtId="198" fontId="28" fillId="0" borderId="0" xfId="9" applyNumberFormat="1" applyAlignment="1">
      <alignment horizontal="right" vertical="center"/>
    </xf>
    <xf numFmtId="198" fontId="204" fillId="0" borderId="0" xfId="9" applyNumberFormat="1" applyFont="1" applyAlignment="1">
      <alignment horizontal="right" vertical="center"/>
    </xf>
    <xf numFmtId="0" fontId="204" fillId="0" borderId="2" xfId="9" applyFont="1" applyBorder="1" applyAlignment="1">
      <alignment vertical="center"/>
    </xf>
    <xf numFmtId="198" fontId="204" fillId="0" borderId="2" xfId="9" applyNumberFormat="1" applyFont="1" applyBorder="1" applyAlignment="1">
      <alignment horizontal="right" vertical="center"/>
    </xf>
    <xf numFmtId="197" fontId="204" fillId="0" borderId="2" xfId="9" applyNumberFormat="1" applyFont="1" applyBorder="1" applyAlignment="1">
      <alignment horizontal="right" vertical="center"/>
    </xf>
    <xf numFmtId="0" fontId="208" fillId="94" borderId="0" xfId="9" applyFont="1" applyFill="1" applyAlignment="1">
      <alignment vertical="center"/>
    </xf>
    <xf numFmtId="198" fontId="209" fillId="94" borderId="0" xfId="9" applyNumberFormat="1" applyFont="1" applyFill="1" applyAlignment="1">
      <alignment horizontal="right" vertical="center"/>
    </xf>
    <xf numFmtId="197" fontId="209" fillId="94" borderId="0" xfId="9" applyNumberFormat="1" applyFont="1" applyFill="1" applyAlignment="1">
      <alignment horizontal="right" vertical="center"/>
    </xf>
    <xf numFmtId="198" fontId="28" fillId="0" borderId="2" xfId="9" applyNumberFormat="1" applyBorder="1" applyAlignment="1">
      <alignment horizontal="right" vertical="center"/>
    </xf>
    <xf numFmtId="197" fontId="28" fillId="0" borderId="2" xfId="9" applyNumberFormat="1" applyBorder="1" applyAlignment="1">
      <alignment horizontal="right" vertical="center"/>
    </xf>
    <xf numFmtId="0" fontId="28" fillId="0" borderId="50" xfId="9" applyBorder="1" applyAlignment="1">
      <alignment vertical="center"/>
    </xf>
    <xf numFmtId="0" fontId="203" fillId="0" borderId="0" xfId="12923" applyFont="1" applyAlignment="1">
      <alignment vertical="center"/>
    </xf>
    <xf numFmtId="0" fontId="210" fillId="0" borderId="0" xfId="9" applyFont="1" applyAlignment="1">
      <alignment vertical="center"/>
    </xf>
    <xf numFmtId="0" fontId="66" fillId="0" borderId="0" xfId="0" applyFont="1" applyAlignment="1">
      <alignment vertical="center"/>
    </xf>
    <xf numFmtId="199" fontId="28" fillId="0" borderId="0" xfId="9" applyNumberFormat="1" applyAlignment="1">
      <alignment vertical="center"/>
    </xf>
    <xf numFmtId="0" fontId="26" fillId="0" borderId="0" xfId="33" applyAlignment="1">
      <alignment vertical="center"/>
    </xf>
    <xf numFmtId="0" fontId="204" fillId="0" borderId="0" xfId="33" applyFont="1" applyAlignment="1">
      <alignment vertical="center"/>
    </xf>
    <xf numFmtId="0" fontId="211" fillId="0" borderId="0" xfId="33" applyFont="1" applyAlignment="1">
      <alignment vertical="center"/>
    </xf>
    <xf numFmtId="0" fontId="207" fillId="0" borderId="0" xfId="45773" applyFont="1" applyAlignment="1" applyProtection="1">
      <alignment horizontal="center" vertical="center"/>
    </xf>
    <xf numFmtId="0" fontId="26" fillId="2" borderId="0" xfId="33" applyFill="1" applyAlignment="1">
      <alignment horizontal="right" vertical="center"/>
    </xf>
    <xf numFmtId="0" fontId="26" fillId="0" borderId="0" xfId="33" applyAlignment="1">
      <alignment horizontal="right" vertical="center"/>
    </xf>
    <xf numFmtId="0" fontId="204" fillId="0" borderId="0" xfId="33" applyFont="1" applyAlignment="1">
      <alignment horizontal="right" vertical="center"/>
    </xf>
    <xf numFmtId="198" fontId="26" fillId="0" borderId="0" xfId="33" applyNumberFormat="1" applyAlignment="1">
      <alignment horizontal="right" vertical="center"/>
    </xf>
    <xf numFmtId="198" fontId="204" fillId="0" borderId="0" xfId="33" applyNumberFormat="1" applyFont="1" applyAlignment="1">
      <alignment horizontal="right" vertical="center"/>
    </xf>
    <xf numFmtId="197" fontId="26" fillId="0" borderId="0" xfId="33" applyNumberFormat="1" applyAlignment="1">
      <alignment horizontal="right" vertical="center"/>
    </xf>
    <xf numFmtId="0" fontId="204" fillId="0" borderId="2" xfId="33" applyFont="1" applyBorder="1" applyAlignment="1">
      <alignment vertical="center"/>
    </xf>
    <xf numFmtId="198" fontId="204" fillId="0" borderId="2" xfId="33" applyNumberFormat="1" applyFont="1" applyBorder="1" applyAlignment="1">
      <alignment horizontal="right" vertical="center"/>
    </xf>
    <xf numFmtId="197" fontId="204" fillId="0" borderId="2" xfId="33" applyNumberFormat="1" applyFont="1" applyBorder="1" applyAlignment="1">
      <alignment horizontal="right" vertical="center"/>
    </xf>
    <xf numFmtId="0" fontId="209" fillId="95" borderId="0" xfId="33" applyFont="1" applyFill="1" applyAlignment="1">
      <alignment vertical="center"/>
    </xf>
    <xf numFmtId="198" fontId="209" fillId="95" borderId="0" xfId="33" applyNumberFormat="1" applyFont="1" applyFill="1" applyAlignment="1">
      <alignment horizontal="right" vertical="center"/>
    </xf>
    <xf numFmtId="197" fontId="209" fillId="95" borderId="0" xfId="33" applyNumberFormat="1" applyFont="1" applyFill="1" applyAlignment="1">
      <alignment horizontal="right" vertical="center"/>
    </xf>
    <xf numFmtId="0" fontId="209" fillId="0" borderId="0" xfId="33" applyFont="1" applyAlignment="1">
      <alignment vertical="center"/>
    </xf>
    <xf numFmtId="0" fontId="26" fillId="0" borderId="2" xfId="33" applyBorder="1" applyAlignment="1">
      <alignment vertical="center"/>
    </xf>
    <xf numFmtId="198" fontId="26" fillId="0" borderId="2" xfId="33" applyNumberFormat="1" applyBorder="1" applyAlignment="1">
      <alignment horizontal="right" vertical="center"/>
    </xf>
    <xf numFmtId="197" fontId="26" fillId="0" borderId="2" xfId="33" applyNumberFormat="1" applyBorder="1" applyAlignment="1">
      <alignment horizontal="right" vertical="center"/>
    </xf>
    <xf numFmtId="199" fontId="26" fillId="0" borderId="0" xfId="33" applyNumberFormat="1" applyAlignment="1">
      <alignment vertical="center"/>
    </xf>
    <xf numFmtId="0" fontId="212" fillId="0" borderId="0" xfId="33" applyFont="1" applyAlignment="1">
      <alignment vertical="center"/>
    </xf>
    <xf numFmtId="169" fontId="66" fillId="0" borderId="0" xfId="14" applyNumberFormat="1" applyFont="1" applyFill="1" applyAlignment="1">
      <alignment horizontal="left" vertical="center"/>
    </xf>
    <xf numFmtId="199" fontId="212" fillId="0" borderId="0" xfId="33" applyNumberFormat="1" applyFont="1" applyAlignment="1">
      <alignment vertical="center"/>
    </xf>
    <xf numFmtId="0" fontId="213" fillId="0" borderId="0" xfId="33" applyFont="1" applyAlignment="1">
      <alignment vertical="center"/>
    </xf>
    <xf numFmtId="0" fontId="214" fillId="0" borderId="0" xfId="50" applyFont="1" applyFill="1"/>
    <xf numFmtId="200" fontId="26" fillId="0" borderId="0" xfId="33" applyNumberFormat="1" applyAlignment="1">
      <alignment vertical="center"/>
    </xf>
    <xf numFmtId="201" fontId="26" fillId="0" borderId="0" xfId="33" applyNumberFormat="1" applyAlignment="1">
      <alignment vertical="center"/>
    </xf>
    <xf numFmtId="201" fontId="204" fillId="0" borderId="0" xfId="33" applyNumberFormat="1" applyFont="1" applyAlignment="1">
      <alignment vertical="center"/>
    </xf>
    <xf numFmtId="197" fontId="26" fillId="0" borderId="0" xfId="33" applyNumberFormat="1" applyAlignment="1">
      <alignment vertical="center"/>
    </xf>
    <xf numFmtId="201" fontId="26" fillId="0" borderId="2" xfId="33" applyNumberFormat="1" applyBorder="1" applyAlignment="1">
      <alignment vertical="center"/>
    </xf>
    <xf numFmtId="201" fontId="204" fillId="0" borderId="2" xfId="33" applyNumberFormat="1" applyFont="1" applyBorder="1" applyAlignment="1">
      <alignment vertical="center"/>
    </xf>
    <xf numFmtId="197" fontId="26" fillId="0" borderId="2" xfId="33" applyNumberFormat="1" applyBorder="1" applyAlignment="1">
      <alignment vertical="center"/>
    </xf>
    <xf numFmtId="200" fontId="26" fillId="0" borderId="2" xfId="33" applyNumberFormat="1" applyBorder="1" applyAlignment="1">
      <alignment vertical="center"/>
    </xf>
    <xf numFmtId="202" fontId="26" fillId="0" borderId="0" xfId="33" applyNumberFormat="1" applyAlignment="1">
      <alignment vertical="center"/>
    </xf>
    <xf numFmtId="202" fontId="204" fillId="0" borderId="0" xfId="33" applyNumberFormat="1" applyFont="1" applyAlignment="1">
      <alignment vertical="center"/>
    </xf>
    <xf numFmtId="0" fontId="209" fillId="96" borderId="0" xfId="33" applyFont="1" applyFill="1" applyAlignment="1">
      <alignment vertical="center"/>
    </xf>
    <xf numFmtId="201" fontId="209" fillId="96" borderId="0" xfId="33" applyNumberFormat="1" applyFont="1" applyFill="1" applyAlignment="1">
      <alignment vertical="center"/>
    </xf>
    <xf numFmtId="197" fontId="209" fillId="96" borderId="0" xfId="33" applyNumberFormat="1" applyFont="1" applyFill="1" applyAlignment="1">
      <alignment vertical="center"/>
    </xf>
    <xf numFmtId="200" fontId="209" fillId="96" borderId="0" xfId="33" applyNumberFormat="1" applyFont="1" applyFill="1" applyAlignment="1">
      <alignment vertical="center"/>
    </xf>
    <xf numFmtId="0" fontId="212" fillId="0" borderId="0" xfId="14412" applyFont="1" applyAlignment="1">
      <alignment vertical="center"/>
    </xf>
    <xf numFmtId="0" fontId="215" fillId="0" borderId="0" xfId="33" applyFont="1" applyAlignment="1">
      <alignment vertical="center"/>
    </xf>
    <xf numFmtId="166" fontId="0" fillId="0" borderId="0" xfId="45772" applyFont="1"/>
    <xf numFmtId="166" fontId="0" fillId="0" borderId="0" xfId="0" applyNumberFormat="1"/>
    <xf numFmtId="0" fontId="42" fillId="0" borderId="0" xfId="0" applyFont="1"/>
    <xf numFmtId="3" fontId="0" fillId="0" borderId="0" xfId="0" applyNumberFormat="1"/>
    <xf numFmtId="0" fontId="217" fillId="0" borderId="0" xfId="45775" applyFont="1" applyAlignment="1">
      <alignment horizontal="left" vertical="top"/>
    </xf>
    <xf numFmtId="0" fontId="217" fillId="0" borderId="0" xfId="45774" applyFont="1" applyAlignment="1">
      <alignment horizontal="left" vertical="top"/>
    </xf>
    <xf numFmtId="0" fontId="17" fillId="0" borderId="0" xfId="0" applyFont="1"/>
    <xf numFmtId="0" fontId="32" fillId="98" borderId="72" xfId="45775" applyFont="1" applyFill="1" applyBorder="1" applyAlignment="1">
      <alignment horizontal="left" vertical="top"/>
    </xf>
    <xf numFmtId="0" fontId="32" fillId="98" borderId="68" xfId="45774" applyFont="1" applyFill="1" applyBorder="1" applyAlignment="1">
      <alignment horizontal="left" vertical="top"/>
    </xf>
    <xf numFmtId="0" fontId="32" fillId="98" borderId="65" xfId="45774" applyFont="1" applyFill="1" applyBorder="1" applyAlignment="1">
      <alignment horizontal="left" vertical="top"/>
    </xf>
    <xf numFmtId="3" fontId="220" fillId="98" borderId="63" xfId="45774" applyNumberFormat="1" applyFont="1" applyFill="1" applyBorder="1" applyAlignment="1">
      <alignment horizontal="left" vertical="top" shrinkToFit="1"/>
    </xf>
    <xf numFmtId="3" fontId="220" fillId="98" borderId="63" xfId="45775" applyNumberFormat="1" applyFont="1" applyFill="1" applyBorder="1" applyAlignment="1">
      <alignment horizontal="left" vertical="top" shrinkToFit="1"/>
    </xf>
    <xf numFmtId="0" fontId="32" fillId="0" borderId="0" xfId="45776" applyFont="1" applyAlignment="1">
      <alignment vertical="top"/>
    </xf>
    <xf numFmtId="0" fontId="217" fillId="0" borderId="0" xfId="45775" applyFont="1" applyAlignment="1">
      <alignment vertical="top"/>
    </xf>
    <xf numFmtId="0" fontId="32" fillId="97" borderId="66" xfId="45775" applyFont="1" applyFill="1" applyBorder="1" applyAlignment="1">
      <alignment vertical="top"/>
    </xf>
    <xf numFmtId="0" fontId="218" fillId="97" borderId="70" xfId="45775" applyFont="1" applyFill="1" applyBorder="1" applyAlignment="1">
      <alignment vertical="top"/>
    </xf>
    <xf numFmtId="0" fontId="218" fillId="97" borderId="69" xfId="45775" applyFont="1" applyFill="1" applyBorder="1" applyAlignment="1">
      <alignment vertical="top"/>
    </xf>
    <xf numFmtId="0" fontId="32" fillId="98" borderId="71" xfId="45775" applyFont="1" applyFill="1" applyBorder="1" applyAlignment="1">
      <alignment vertical="top"/>
    </xf>
    <xf numFmtId="0" fontId="32" fillId="98" borderId="73" xfId="45775" applyFont="1" applyFill="1" applyBorder="1" applyAlignment="1">
      <alignment vertical="top"/>
    </xf>
    <xf numFmtId="0" fontId="217" fillId="0" borderId="0" xfId="45774" applyFont="1" applyAlignment="1">
      <alignment vertical="top"/>
    </xf>
    <xf numFmtId="0" fontId="218" fillId="97" borderId="66" xfId="45774" applyFont="1" applyFill="1" applyBorder="1" applyAlignment="1">
      <alignment vertical="center"/>
    </xf>
    <xf numFmtId="0" fontId="218" fillId="97" borderId="0" xfId="45774" applyFont="1" applyFill="1" applyAlignment="1">
      <alignment vertical="top"/>
    </xf>
    <xf numFmtId="0" fontId="218" fillId="97" borderId="67" xfId="45774" applyFont="1" applyFill="1" applyBorder="1" applyAlignment="1">
      <alignment vertical="top"/>
    </xf>
    <xf numFmtId="3" fontId="220" fillId="98" borderId="64" xfId="45775" applyNumberFormat="1" applyFont="1" applyFill="1" applyBorder="1" applyAlignment="1">
      <alignment vertical="top" shrinkToFit="1"/>
    </xf>
    <xf numFmtId="0" fontId="222" fillId="0" borderId="65" xfId="45775" applyFont="1" applyBorder="1" applyAlignment="1">
      <alignment horizontal="left" vertical="top"/>
    </xf>
    <xf numFmtId="0" fontId="220" fillId="98" borderId="63" xfId="45774" applyFont="1" applyFill="1" applyBorder="1" applyAlignment="1">
      <alignment horizontal="left" vertical="top"/>
    </xf>
    <xf numFmtId="0" fontId="220" fillId="98" borderId="63" xfId="45775" applyFont="1" applyFill="1" applyBorder="1" applyAlignment="1">
      <alignment horizontal="left" vertical="top"/>
    </xf>
    <xf numFmtId="0" fontId="32" fillId="0" borderId="0" xfId="45775" applyFont="1" applyAlignment="1">
      <alignment vertical="top" wrapText="1"/>
    </xf>
    <xf numFmtId="0" fontId="32" fillId="0" borderId="0" xfId="45774" applyFont="1" applyAlignment="1">
      <alignment vertical="top" wrapText="1"/>
    </xf>
    <xf numFmtId="166" fontId="222" fillId="0" borderId="65" xfId="45772" applyFont="1" applyBorder="1" applyAlignment="1">
      <alignment horizontal="left" vertical="top"/>
    </xf>
    <xf numFmtId="0" fontId="17" fillId="6" borderId="0" xfId="0" applyFont="1" applyFill="1"/>
    <xf numFmtId="0" fontId="0" fillId="0" borderId="74" xfId="0" applyBorder="1"/>
    <xf numFmtId="0" fontId="0" fillId="0" borderId="75" xfId="0" applyBorder="1"/>
    <xf numFmtId="0" fontId="0" fillId="0" borderId="76" xfId="0" applyBorder="1"/>
    <xf numFmtId="0" fontId="0" fillId="0" borderId="77" xfId="0" applyBorder="1"/>
    <xf numFmtId="0" fontId="0" fillId="0" borderId="78" xfId="0" applyBorder="1"/>
    <xf numFmtId="166" fontId="0" fillId="0" borderId="0" xfId="45772" applyFont="1" applyBorder="1"/>
    <xf numFmtId="166" fontId="0" fillId="0" borderId="78" xfId="0" applyNumberFormat="1" applyBorder="1"/>
    <xf numFmtId="0" fontId="0" fillId="0" borderId="79" xfId="0" applyBorder="1"/>
    <xf numFmtId="166" fontId="0" fillId="0" borderId="9" xfId="45772" applyFont="1" applyBorder="1"/>
    <xf numFmtId="166" fontId="0" fillId="0" borderId="80" xfId="0" applyNumberFormat="1" applyBorder="1"/>
    <xf numFmtId="0" fontId="0" fillId="0" borderId="81" xfId="0" applyBorder="1"/>
    <xf numFmtId="0" fontId="0" fillId="0" borderId="58" xfId="0" applyBorder="1"/>
    <xf numFmtId="166" fontId="0" fillId="0" borderId="58" xfId="0" applyNumberFormat="1" applyBorder="1"/>
    <xf numFmtId="166" fontId="0" fillId="0" borderId="82" xfId="0" applyNumberFormat="1" applyBorder="1"/>
    <xf numFmtId="0" fontId="0" fillId="0" borderId="62" xfId="0" applyBorder="1"/>
    <xf numFmtId="166" fontId="0" fillId="0" borderId="58" xfId="45772" applyFont="1" applyBorder="1"/>
    <xf numFmtId="166" fontId="0" fillId="0" borderId="62" xfId="45772" applyFont="1" applyBorder="1"/>
    <xf numFmtId="166" fontId="47" fillId="0" borderId="58" xfId="45772" applyFont="1" applyBorder="1" applyAlignment="1">
      <alignment horizontal="left" vertical="center" wrapText="1"/>
    </xf>
    <xf numFmtId="166" fontId="47" fillId="0" borderId="62" xfId="45772" applyFont="1" applyBorder="1" applyAlignment="1">
      <alignment horizontal="left" vertical="center" wrapText="1"/>
    </xf>
    <xf numFmtId="166" fontId="0" fillId="0" borderId="59" xfId="45772" applyFont="1" applyBorder="1"/>
    <xf numFmtId="166" fontId="0" fillId="0" borderId="60" xfId="45772" applyFont="1" applyBorder="1"/>
    <xf numFmtId="166" fontId="0" fillId="0" borderId="58" xfId="45772" quotePrefix="1" applyFont="1" applyBorder="1"/>
    <xf numFmtId="166" fontId="0" fillId="0" borderId="2" xfId="45772" applyFont="1" applyBorder="1"/>
    <xf numFmtId="0" fontId="0" fillId="0" borderId="83" xfId="0" applyBorder="1"/>
    <xf numFmtId="0" fontId="0" fillId="0" borderId="61" xfId="0" applyBorder="1"/>
    <xf numFmtId="0" fontId="0" fillId="0" borderId="59" xfId="0" applyBorder="1"/>
    <xf numFmtId="0" fontId="0" fillId="0" borderId="60" xfId="0" applyBorder="1"/>
    <xf numFmtId="0" fontId="0" fillId="0" borderId="55" xfId="0" applyBorder="1"/>
    <xf numFmtId="0" fontId="0" fillId="0" borderId="13" xfId="0" applyBorder="1"/>
    <xf numFmtId="166" fontId="0" fillId="0" borderId="13" xfId="45772" applyFont="1" applyBorder="1"/>
    <xf numFmtId="166" fontId="0" fillId="0" borderId="14" xfId="45772" applyFont="1" applyBorder="1"/>
    <xf numFmtId="0" fontId="0" fillId="0" borderId="14" xfId="0" applyBorder="1"/>
    <xf numFmtId="0" fontId="0" fillId="0" borderId="2" xfId="0" applyBorder="1"/>
    <xf numFmtId="0" fontId="17" fillId="0" borderId="0" xfId="0" applyFont="1" applyAlignment="1">
      <alignment horizontal="left" vertical="center"/>
    </xf>
    <xf numFmtId="0" fontId="223" fillId="0" borderId="0" xfId="0" applyFont="1" applyAlignment="1">
      <alignment horizontal="left" vertical="center"/>
    </xf>
    <xf numFmtId="0" fontId="224" fillId="0" borderId="0" xfId="5" applyFont="1" applyAlignment="1">
      <alignment horizontal="left" vertical="center" wrapText="1"/>
    </xf>
    <xf numFmtId="0" fontId="30" fillId="7" borderId="1" xfId="0" applyFont="1" applyFill="1" applyBorder="1" applyAlignment="1">
      <alignment horizontal="left" vertical="center"/>
    </xf>
    <xf numFmtId="0" fontId="34" fillId="3" borderId="2" xfId="0" applyFont="1" applyFill="1" applyBorder="1" applyAlignment="1">
      <alignment horizontal="left" vertical="center" wrapText="1"/>
    </xf>
    <xf numFmtId="0" fontId="34" fillId="3" borderId="4" xfId="0" applyFont="1" applyFill="1" applyBorder="1" applyAlignment="1">
      <alignment horizontal="left" vertical="center" wrapText="1"/>
    </xf>
    <xf numFmtId="0" fontId="34" fillId="3" borderId="4" xfId="0" applyFont="1" applyFill="1" applyBorder="1" applyAlignment="1">
      <alignment horizontal="left" vertical="center"/>
    </xf>
    <xf numFmtId="0" fontId="34" fillId="0" borderId="0" xfId="0" applyFont="1" applyAlignment="1">
      <alignment horizontal="left" vertical="center"/>
    </xf>
    <xf numFmtId="0" fontId="218" fillId="3" borderId="53" xfId="0" applyFont="1" applyFill="1" applyBorder="1" applyAlignment="1">
      <alignment horizontal="left" vertical="center"/>
    </xf>
    <xf numFmtId="0" fontId="0" fillId="3" borderId="53" xfId="0" applyFill="1" applyBorder="1"/>
    <xf numFmtId="0" fontId="32" fillId="3" borderId="53" xfId="0" applyFont="1" applyFill="1" applyBorder="1" applyAlignment="1">
      <alignment horizontal="left" vertical="center"/>
    </xf>
    <xf numFmtId="0" fontId="218" fillId="0" borderId="0" xfId="0" applyFont="1" applyAlignment="1">
      <alignment horizontal="left" vertical="center"/>
    </xf>
    <xf numFmtId="0" fontId="32" fillId="0" borderId="0" xfId="0" applyFont="1" applyAlignment="1">
      <alignment horizontal="left" vertical="center"/>
    </xf>
    <xf numFmtId="0" fontId="48" fillId="0" borderId="0" xfId="0" applyFont="1" applyAlignment="1">
      <alignment horizontal="left" vertical="center"/>
    </xf>
    <xf numFmtId="0" fontId="225" fillId="0" borderId="0" xfId="0" applyFont="1"/>
    <xf numFmtId="0" fontId="41" fillId="0" borderId="0" xfId="0" applyFont="1" applyAlignment="1">
      <alignment horizontal="left" vertical="center"/>
    </xf>
    <xf numFmtId="0" fontId="31" fillId="0" borderId="0" xfId="0" applyFont="1" applyAlignment="1">
      <alignment horizontal="left" vertical="center"/>
    </xf>
    <xf numFmtId="4" fontId="0" fillId="0" borderId="0" xfId="0" applyNumberFormat="1" applyAlignment="1">
      <alignment horizontal="left" vertical="center"/>
    </xf>
    <xf numFmtId="0" fontId="226" fillId="0" borderId="0" xfId="5" applyFont="1" applyAlignment="1">
      <alignment horizontal="left" vertical="center" wrapText="1"/>
    </xf>
    <xf numFmtId="0" fontId="224" fillId="0" borderId="0" xfId="5" applyFont="1" applyAlignment="1">
      <alignment horizontal="left" vertical="center"/>
    </xf>
    <xf numFmtId="0" fontId="34" fillId="3" borderId="53" xfId="0" applyFont="1" applyFill="1" applyBorder="1" applyAlignment="1">
      <alignment horizontal="left" vertical="center" wrapText="1"/>
    </xf>
    <xf numFmtId="3" fontId="0" fillId="0" borderId="0" xfId="45772" applyNumberFormat="1" applyFont="1" applyFill="1" applyAlignment="1">
      <alignment horizontal="left" vertical="center"/>
    </xf>
    <xf numFmtId="0" fontId="0" fillId="0" borderId="2" xfId="0" applyBorder="1" applyAlignment="1">
      <alignment horizontal="left" vertical="center"/>
    </xf>
    <xf numFmtId="0" fontId="42" fillId="0" borderId="0" xfId="0" applyFont="1" applyAlignment="1">
      <alignment horizontal="left" vertical="center"/>
    </xf>
    <xf numFmtId="203" fontId="224" fillId="0" borderId="0" xfId="5" applyNumberFormat="1" applyFont="1" applyAlignment="1">
      <alignment horizontal="left" vertical="center"/>
    </xf>
    <xf numFmtId="0" fontId="222" fillId="3" borderId="53" xfId="0" applyFont="1" applyFill="1" applyBorder="1" applyAlignment="1">
      <alignment horizontal="left" vertical="center"/>
    </xf>
    <xf numFmtId="166" fontId="0" fillId="0" borderId="0" xfId="45772" applyFont="1" applyAlignment="1">
      <alignment horizontal="left" vertical="center"/>
    </xf>
    <xf numFmtId="166" fontId="0" fillId="0" borderId="2" xfId="45772" applyFont="1" applyBorder="1" applyAlignment="1">
      <alignment horizontal="left" vertical="center"/>
    </xf>
    <xf numFmtId="0" fontId="42" fillId="2" borderId="0" xfId="0" applyFont="1" applyFill="1"/>
    <xf numFmtId="0" fontId="46" fillId="2" borderId="83" xfId="0" applyFont="1" applyFill="1" applyBorder="1"/>
    <xf numFmtId="0" fontId="42" fillId="2" borderId="50" xfId="0" applyFont="1" applyFill="1" applyBorder="1"/>
    <xf numFmtId="0" fontId="42" fillId="2" borderId="61" xfId="0" applyFont="1" applyFill="1" applyBorder="1"/>
    <xf numFmtId="0" fontId="46" fillId="2" borderId="59" xfId="0" applyFont="1" applyFill="1" applyBorder="1"/>
    <xf numFmtId="0" fontId="42" fillId="2" borderId="83" xfId="0" applyFont="1" applyFill="1" applyBorder="1"/>
    <xf numFmtId="0" fontId="0" fillId="2" borderId="59" xfId="0" applyFill="1" applyBorder="1"/>
    <xf numFmtId="0" fontId="46" fillId="0" borderId="0" xfId="0" applyFont="1"/>
    <xf numFmtId="0" fontId="46" fillId="90" borderId="0" xfId="0" applyFont="1" applyFill="1"/>
    <xf numFmtId="0" fontId="0" fillId="90" borderId="0" xfId="0" applyFill="1"/>
    <xf numFmtId="0" fontId="33" fillId="90" borderId="0" xfId="0" applyFont="1" applyFill="1"/>
    <xf numFmtId="0" fontId="46" fillId="2" borderId="14" xfId="0" applyFont="1" applyFill="1" applyBorder="1"/>
    <xf numFmtId="0" fontId="225" fillId="3" borderId="2" xfId="0" applyFont="1" applyFill="1" applyBorder="1"/>
    <xf numFmtId="0" fontId="41" fillId="3" borderId="2" xfId="0" applyFont="1" applyFill="1" applyBorder="1" applyAlignment="1">
      <alignment horizontal="left" vertical="center"/>
    </xf>
    <xf numFmtId="0" fontId="0" fillId="0" borderId="84" xfId="0" applyBorder="1"/>
    <xf numFmtId="0" fontId="225" fillId="0" borderId="0" xfId="0" applyFont="1" applyAlignment="1">
      <alignment vertical="center"/>
    </xf>
    <xf numFmtId="0" fontId="43" fillId="0" borderId="0" xfId="0" applyFont="1"/>
    <xf numFmtId="0" fontId="43" fillId="0" borderId="84" xfId="0" applyFont="1" applyBorder="1"/>
    <xf numFmtId="0" fontId="43" fillId="5" borderId="0" xfId="0" applyFont="1" applyFill="1" applyAlignment="1">
      <alignment vertical="center"/>
    </xf>
    <xf numFmtId="0" fontId="43" fillId="3" borderId="53" xfId="0" applyFont="1" applyFill="1" applyBorder="1"/>
    <xf numFmtId="0" fontId="0" fillId="100" borderId="13" xfId="0" applyFill="1" applyBorder="1"/>
    <xf numFmtId="3" fontId="0" fillId="0" borderId="61" xfId="0" applyNumberFormat="1" applyBorder="1"/>
    <xf numFmtId="3" fontId="0" fillId="0" borderId="62" xfId="0" applyNumberFormat="1" applyBorder="1"/>
    <xf numFmtId="3" fontId="0" fillId="0" borderId="59" xfId="0" applyNumberFormat="1" applyBorder="1"/>
    <xf numFmtId="3" fontId="0" fillId="0" borderId="2" xfId="0" applyNumberFormat="1" applyBorder="1"/>
    <xf numFmtId="3" fontId="0" fillId="0" borderId="60" xfId="0" applyNumberFormat="1" applyBorder="1"/>
    <xf numFmtId="0" fontId="0" fillId="2" borderId="83" xfId="0" applyFill="1" applyBorder="1"/>
    <xf numFmtId="3" fontId="0" fillId="0" borderId="50" xfId="0" applyNumberFormat="1" applyBorder="1"/>
    <xf numFmtId="166" fontId="0" fillId="0" borderId="50" xfId="45772" applyFont="1" applyFill="1" applyBorder="1"/>
    <xf numFmtId="166" fontId="0" fillId="0" borderId="2" xfId="45772" applyFont="1" applyFill="1" applyBorder="1"/>
    <xf numFmtId="0" fontId="0" fillId="101" borderId="0" xfId="0" applyFill="1"/>
    <xf numFmtId="0" fontId="0" fillId="101" borderId="13" xfId="0" applyFill="1" applyBorder="1"/>
    <xf numFmtId="0" fontId="0" fillId="101" borderId="13" xfId="0" applyFill="1" applyBorder="1" applyAlignment="1">
      <alignment horizontal="left" indent="1"/>
    </xf>
    <xf numFmtId="3" fontId="0" fillId="101" borderId="0" xfId="0" applyNumberFormat="1" applyFill="1"/>
    <xf numFmtId="0" fontId="0" fillId="101" borderId="58" xfId="0" applyFill="1" applyBorder="1"/>
    <xf numFmtId="0" fontId="234" fillId="97" borderId="66" xfId="0" applyFont="1" applyFill="1" applyBorder="1" applyAlignment="1">
      <alignment horizontal="left" vertical="top" wrapText="1"/>
    </xf>
    <xf numFmtId="1" fontId="235" fillId="97" borderId="0" xfId="0" applyNumberFormat="1" applyFont="1" applyFill="1" applyAlignment="1">
      <alignment horizontal="center" vertical="top" shrinkToFit="1"/>
    </xf>
    <xf numFmtId="1" fontId="235" fillId="97" borderId="0" xfId="0" applyNumberFormat="1" applyFont="1" applyFill="1" applyAlignment="1">
      <alignment horizontal="left" vertical="top" indent="2" shrinkToFit="1"/>
    </xf>
    <xf numFmtId="1" fontId="235" fillId="97" borderId="67" xfId="0" applyNumberFormat="1" applyFont="1" applyFill="1" applyBorder="1" applyAlignment="1">
      <alignment horizontal="center" vertical="top" shrinkToFit="1"/>
    </xf>
    <xf numFmtId="0" fontId="0" fillId="0" borderId="0" xfId="0" applyAlignment="1">
      <alignment horizontal="left" vertical="top"/>
    </xf>
    <xf numFmtId="0" fontId="236" fillId="98" borderId="63" xfId="0" applyFont="1" applyFill="1" applyBorder="1" applyAlignment="1">
      <alignment horizontal="left" vertical="top" wrapText="1"/>
    </xf>
    <xf numFmtId="3" fontId="237" fillId="98" borderId="63" xfId="0" applyNumberFormat="1" applyFont="1" applyFill="1" applyBorder="1" applyAlignment="1">
      <alignment horizontal="right" vertical="top" indent="2" shrinkToFit="1"/>
    </xf>
    <xf numFmtId="3" fontId="237" fillId="98" borderId="63" xfId="0" applyNumberFormat="1" applyFont="1" applyFill="1" applyBorder="1" applyAlignment="1">
      <alignment horizontal="left" vertical="top" indent="2" shrinkToFit="1"/>
    </xf>
    <xf numFmtId="3" fontId="238" fillId="98" borderId="63" xfId="0" applyNumberFormat="1" applyFont="1" applyFill="1" applyBorder="1" applyAlignment="1">
      <alignment horizontal="right" vertical="top" indent="2" shrinkToFit="1"/>
    </xf>
    <xf numFmtId="3" fontId="238" fillId="98" borderId="63" xfId="0" applyNumberFormat="1" applyFont="1" applyFill="1" applyBorder="1" applyAlignment="1">
      <alignment horizontal="left" vertical="top" indent="2" shrinkToFit="1"/>
    </xf>
    <xf numFmtId="0" fontId="0" fillId="0" borderId="0" xfId="0" applyAlignment="1">
      <alignment vertical="top" wrapText="1"/>
    </xf>
    <xf numFmtId="0" fontId="234" fillId="97" borderId="0" xfId="0" applyFont="1" applyFill="1" applyAlignment="1">
      <alignment horizontal="left" vertical="top" wrapText="1"/>
    </xf>
    <xf numFmtId="0" fontId="42" fillId="90" borderId="0" xfId="0" applyFont="1" applyFill="1"/>
    <xf numFmtId="0" fontId="40" fillId="0" borderId="0" xfId="53" applyFont="1" applyAlignment="1">
      <alignment horizontal="left" vertical="center"/>
    </xf>
    <xf numFmtId="0" fontId="24" fillId="0" borderId="0" xfId="53" applyAlignment="1">
      <alignment horizontal="left" vertical="center"/>
    </xf>
    <xf numFmtId="203" fontId="24" fillId="0" borderId="0" xfId="53" applyNumberFormat="1" applyAlignment="1">
      <alignment horizontal="left" vertical="center"/>
    </xf>
    <xf numFmtId="0" fontId="36" fillId="7" borderId="1" xfId="53" applyFont="1" applyFill="1" applyBorder="1" applyAlignment="1">
      <alignment horizontal="left" vertical="center"/>
    </xf>
    <xf numFmtId="0" fontId="36" fillId="7" borderId="1" xfId="0" applyFont="1" applyFill="1" applyBorder="1" applyAlignment="1">
      <alignment horizontal="left" vertical="center" wrapText="1"/>
    </xf>
    <xf numFmtId="0" fontId="30" fillId="7" borderId="1" xfId="53" applyFont="1" applyFill="1" applyBorder="1" applyAlignment="1">
      <alignment horizontal="left" vertical="center"/>
    </xf>
    <xf numFmtId="0" fontId="34" fillId="3" borderId="2" xfId="53" applyFont="1" applyFill="1" applyBorder="1" applyAlignment="1">
      <alignment horizontal="left" vertical="center" wrapText="1"/>
    </xf>
    <xf numFmtId="0" fontId="34" fillId="3" borderId="4" xfId="53" applyFont="1" applyFill="1" applyBorder="1" applyAlignment="1">
      <alignment horizontal="left" vertical="center" wrapText="1"/>
    </xf>
    <xf numFmtId="0" fontId="222" fillId="3" borderId="2" xfId="0" applyFont="1" applyFill="1" applyBorder="1" applyAlignment="1">
      <alignment horizontal="left" vertical="center" wrapText="1"/>
    </xf>
    <xf numFmtId="0" fontId="225" fillId="5" borderId="0" xfId="0" applyFont="1" applyFill="1" applyAlignment="1">
      <alignment vertical="center"/>
    </xf>
    <xf numFmtId="0" fontId="24" fillId="0" borderId="2" xfId="53" applyBorder="1" applyAlignment="1">
      <alignment horizontal="left" vertical="center"/>
    </xf>
    <xf numFmtId="203" fontId="24" fillId="0" borderId="2" xfId="53" applyNumberFormat="1" applyBorder="1" applyAlignment="1">
      <alignment horizontal="left" vertical="center"/>
    </xf>
    <xf numFmtId="203" fontId="24" fillId="0" borderId="50" xfId="53" applyNumberFormat="1" applyBorder="1" applyAlignment="1">
      <alignment horizontal="left" vertical="center"/>
    </xf>
    <xf numFmtId="0" fontId="24" fillId="0" borderId="50" xfId="53" applyBorder="1" applyAlignment="1">
      <alignment horizontal="left" vertical="center"/>
    </xf>
    <xf numFmtId="0" fontId="24" fillId="102" borderId="0" xfId="53" applyFill="1" applyAlignment="1">
      <alignment horizontal="left" vertical="center"/>
    </xf>
    <xf numFmtId="9" fontId="24" fillId="102" borderId="0" xfId="53" applyNumberFormat="1" applyFill="1" applyAlignment="1">
      <alignment horizontal="left" vertical="center"/>
    </xf>
    <xf numFmtId="0" fontId="24" fillId="102" borderId="2" xfId="53" applyFill="1" applyBorder="1" applyAlignment="1">
      <alignment horizontal="left" vertical="center"/>
    </xf>
    <xf numFmtId="9" fontId="24" fillId="102" borderId="2" xfId="53" applyNumberFormat="1" applyFill="1" applyBorder="1" applyAlignment="1">
      <alignment horizontal="left" vertical="center"/>
    </xf>
    <xf numFmtId="3" fontId="225" fillId="102" borderId="0" xfId="45772" applyNumberFormat="1" applyFont="1" applyFill="1" applyAlignment="1">
      <alignment horizontal="left" vertical="center"/>
    </xf>
    <xf numFmtId="166" fontId="0" fillId="0" borderId="0" xfId="45772" applyFont="1" applyFill="1" applyAlignment="1">
      <alignment horizontal="left" vertical="center"/>
    </xf>
    <xf numFmtId="3" fontId="0" fillId="102" borderId="0" xfId="45772" applyNumberFormat="1" applyFont="1" applyFill="1" applyAlignment="1">
      <alignment horizontal="left" vertical="center"/>
    </xf>
    <xf numFmtId="3" fontId="225" fillId="91" borderId="0" xfId="0" applyNumberFormat="1" applyFont="1" applyFill="1"/>
    <xf numFmtId="166" fontId="225" fillId="0" borderId="0" xfId="45772" applyFont="1"/>
    <xf numFmtId="166" fontId="0" fillId="2" borderId="0" xfId="45772" applyFont="1" applyFill="1"/>
    <xf numFmtId="166" fontId="0" fillId="2" borderId="0" xfId="0" applyNumberFormat="1" applyFill="1"/>
    <xf numFmtId="0" fontId="225" fillId="102" borderId="0" xfId="0" applyFont="1" applyFill="1"/>
    <xf numFmtId="0" fontId="225" fillId="2" borderId="62" xfId="0" applyFont="1" applyFill="1" applyBorder="1"/>
    <xf numFmtId="0" fontId="225" fillId="2" borderId="13" xfId="0" applyFont="1" applyFill="1" applyBorder="1"/>
    <xf numFmtId="0" fontId="225" fillId="2" borderId="13" xfId="0" applyFont="1" applyFill="1" applyBorder="1" applyAlignment="1">
      <alignment horizontal="left" indent="1"/>
    </xf>
    <xf numFmtId="0" fontId="225" fillId="102" borderId="62" xfId="0" applyFont="1" applyFill="1" applyBorder="1"/>
    <xf numFmtId="0" fontId="225" fillId="2" borderId="0" xfId="0" applyFont="1" applyFill="1"/>
    <xf numFmtId="166" fontId="225" fillId="102" borderId="0" xfId="45772" applyFont="1" applyFill="1" applyBorder="1"/>
    <xf numFmtId="0" fontId="42" fillId="104" borderId="0" xfId="0" applyFont="1" applyFill="1"/>
    <xf numFmtId="0" fontId="43" fillId="0" borderId="0" xfId="0" applyFont="1" applyAlignment="1">
      <alignment horizontal="left" vertical="center"/>
    </xf>
    <xf numFmtId="166" fontId="43" fillId="0" borderId="0" xfId="45772" applyFont="1" applyFill="1" applyAlignment="1">
      <alignment horizontal="left" vertical="center"/>
    </xf>
    <xf numFmtId="204" fontId="0" fillId="0" borderId="0" xfId="45772" applyNumberFormat="1" applyFont="1"/>
    <xf numFmtId="9" fontId="225" fillId="102" borderId="62" xfId="45785" applyFont="1" applyFill="1" applyBorder="1"/>
    <xf numFmtId="9" fontId="225" fillId="102" borderId="60" xfId="45785" applyFont="1" applyFill="1" applyBorder="1"/>
    <xf numFmtId="0" fontId="42" fillId="0" borderId="83" xfId="0" applyFont="1" applyBorder="1"/>
    <xf numFmtId="166" fontId="34" fillId="3" borderId="53" xfId="0" applyNumberFormat="1" applyFont="1" applyFill="1" applyBorder="1" applyAlignment="1">
      <alignment horizontal="left" vertical="center" wrapText="1"/>
    </xf>
    <xf numFmtId="0" fontId="34" fillId="0" borderId="0" xfId="0" applyFont="1" applyAlignment="1">
      <alignment horizontal="left" vertical="center" wrapText="1"/>
    </xf>
    <xf numFmtId="3" fontId="0" fillId="102" borderId="0" xfId="0" applyNumberFormat="1" applyFill="1"/>
    <xf numFmtId="0" fontId="0" fillId="102" borderId="0" xfId="0" applyFill="1"/>
    <xf numFmtId="3" fontId="0" fillId="0" borderId="0" xfId="0" applyNumberFormat="1" applyAlignment="1">
      <alignment horizontal="left" vertical="center"/>
    </xf>
    <xf numFmtId="166" fontId="225" fillId="2" borderId="0" xfId="45772" applyFont="1" applyFill="1"/>
    <xf numFmtId="0" fontId="0" fillId="0" borderId="50" xfId="0" applyBorder="1"/>
    <xf numFmtId="3" fontId="0" fillId="0" borderId="83" xfId="0" applyNumberFormat="1" applyBorder="1"/>
    <xf numFmtId="3" fontId="0" fillId="0" borderId="58" xfId="0" applyNumberFormat="1" applyBorder="1"/>
    <xf numFmtId="0" fontId="0" fillId="2" borderId="58" xfId="0" applyFill="1" applyBorder="1" applyAlignment="1">
      <alignment horizontal="left" indent="1"/>
    </xf>
    <xf numFmtId="0" fontId="0" fillId="2" borderId="83" xfId="0" applyFill="1" applyBorder="1" applyAlignment="1">
      <alignment horizontal="left" indent="1"/>
    </xf>
    <xf numFmtId="0" fontId="0" fillId="2" borderId="59" xfId="0" applyFill="1" applyBorder="1" applyAlignment="1">
      <alignment horizontal="left" indent="1"/>
    </xf>
    <xf numFmtId="0" fontId="229" fillId="2" borderId="0" xfId="0" applyFont="1" applyFill="1"/>
    <xf numFmtId="166" fontId="229" fillId="2" borderId="0" xfId="45772" applyFont="1" applyFill="1"/>
    <xf numFmtId="205" fontId="0" fillId="0" borderId="0" xfId="0" applyNumberFormat="1"/>
    <xf numFmtId="174" fontId="0" fillId="0" borderId="0" xfId="0" applyNumberFormat="1"/>
    <xf numFmtId="0" fontId="41" fillId="0" borderId="0" xfId="53" applyFont="1" applyAlignment="1">
      <alignment horizontal="left" vertical="center"/>
    </xf>
    <xf numFmtId="0" fontId="57" fillId="105" borderId="51" xfId="4" applyFont="1" applyFill="1" applyBorder="1" applyAlignment="1">
      <alignment vertical="center"/>
    </xf>
    <xf numFmtId="0" fontId="57" fillId="105" borderId="52" xfId="4" applyFont="1" applyFill="1" applyBorder="1" applyAlignment="1">
      <alignment vertical="center"/>
    </xf>
    <xf numFmtId="0" fontId="57" fillId="105" borderId="53" xfId="4" applyFont="1" applyFill="1" applyBorder="1" applyAlignment="1">
      <alignment vertical="center"/>
    </xf>
    <xf numFmtId="0" fontId="57" fillId="105" borderId="54" xfId="4" applyFont="1" applyFill="1" applyBorder="1" applyAlignment="1">
      <alignment vertical="center"/>
    </xf>
    <xf numFmtId="0" fontId="0" fillId="2" borderId="0" xfId="0" applyFill="1" applyAlignment="1">
      <alignment horizontal="left" indent="1"/>
    </xf>
    <xf numFmtId="0" fontId="15" fillId="0" borderId="0" xfId="45804"/>
    <xf numFmtId="0" fontId="0" fillId="102" borderId="58" xfId="0" applyFill="1" applyBorder="1"/>
    <xf numFmtId="9" fontId="0" fillId="102" borderId="0" xfId="0" applyNumberFormat="1" applyFill="1"/>
    <xf numFmtId="9" fontId="0" fillId="102" borderId="62" xfId="0" applyNumberFormat="1" applyFill="1" applyBorder="1"/>
    <xf numFmtId="0" fontId="0" fillId="102" borderId="62" xfId="0" applyFill="1" applyBorder="1"/>
    <xf numFmtId="166" fontId="0" fillId="0" borderId="0" xfId="45772" applyFont="1" applyFill="1" applyBorder="1"/>
    <xf numFmtId="208" fontId="0" fillId="102" borderId="62" xfId="45772" applyNumberFormat="1" applyFont="1" applyFill="1" applyBorder="1"/>
    <xf numFmtId="208" fontId="0" fillId="102" borderId="0" xfId="45772" applyNumberFormat="1" applyFont="1" applyFill="1" applyBorder="1"/>
    <xf numFmtId="0" fontId="15" fillId="0" borderId="0" xfId="45849"/>
    <xf numFmtId="14" fontId="15" fillId="0" borderId="0" xfId="45849" applyNumberFormat="1"/>
    <xf numFmtId="11" fontId="15" fillId="0" borderId="0" xfId="45849" applyNumberFormat="1"/>
    <xf numFmtId="3" fontId="43" fillId="102" borderId="0" xfId="45772" applyNumberFormat="1" applyFont="1" applyFill="1" applyAlignment="1">
      <alignment horizontal="left" vertical="center"/>
    </xf>
    <xf numFmtId="166" fontId="0" fillId="0" borderId="0" xfId="45772" applyFont="1" applyFill="1"/>
    <xf numFmtId="166" fontId="0" fillId="0" borderId="83" xfId="0" applyNumberFormat="1" applyBorder="1"/>
    <xf numFmtId="166" fontId="0" fillId="0" borderId="50" xfId="0" applyNumberFormat="1" applyBorder="1"/>
    <xf numFmtId="166" fontId="0" fillId="0" borderId="61" xfId="0" applyNumberFormat="1" applyBorder="1"/>
    <xf numFmtId="166" fontId="0" fillId="0" borderId="62" xfId="0" applyNumberFormat="1" applyBorder="1"/>
    <xf numFmtId="166" fontId="0" fillId="0" borderId="59" xfId="0" applyNumberFormat="1" applyBorder="1"/>
    <xf numFmtId="166" fontId="0" fillId="0" borderId="2" xfId="0" applyNumberFormat="1" applyBorder="1"/>
    <xf numFmtId="166" fontId="0" fillId="0" borderId="60" xfId="0" applyNumberFormat="1" applyBorder="1"/>
    <xf numFmtId="208" fontId="0" fillId="0" borderId="0" xfId="45772" applyNumberFormat="1" applyFont="1" applyAlignment="1">
      <alignment horizontal="left" vertical="center"/>
    </xf>
    <xf numFmtId="208" fontId="225" fillId="102" borderId="0" xfId="45772" applyNumberFormat="1" applyFont="1" applyFill="1" applyAlignment="1">
      <alignment horizontal="left" vertical="center"/>
    </xf>
    <xf numFmtId="209" fontId="0" fillId="0" borderId="0" xfId="45772" applyNumberFormat="1" applyFont="1" applyFill="1"/>
    <xf numFmtId="209" fontId="0" fillId="0" borderId="0" xfId="0" applyNumberFormat="1" applyAlignment="1">
      <alignment horizontal="left" vertical="center"/>
    </xf>
    <xf numFmtId="208" fontId="0" fillId="0" borderId="0" xfId="45772" applyNumberFormat="1" applyFont="1" applyFill="1"/>
    <xf numFmtId="9" fontId="0" fillId="0" borderId="0" xfId="45785" applyFont="1"/>
    <xf numFmtId="0" fontId="260" fillId="0" borderId="0" xfId="0" applyFont="1"/>
    <xf numFmtId="9" fontId="0" fillId="0" borderId="0" xfId="0" applyNumberFormat="1"/>
    <xf numFmtId="10" fontId="0" fillId="0" borderId="0" xfId="0" applyNumberFormat="1"/>
    <xf numFmtId="209" fontId="0" fillId="0" borderId="0" xfId="45772" applyNumberFormat="1" applyFont="1"/>
    <xf numFmtId="209" fontId="0" fillId="0" borderId="0" xfId="45772" applyNumberFormat="1" applyFont="1" applyFill="1" applyAlignment="1">
      <alignment horizontal="left" vertical="center"/>
    </xf>
    <xf numFmtId="0" fontId="0" fillId="0" borderId="89" xfId="0" applyBorder="1"/>
    <xf numFmtId="0" fontId="0" fillId="0" borderId="89" xfId="0" applyBorder="1" applyAlignment="1">
      <alignment horizontal="left" vertical="center"/>
    </xf>
    <xf numFmtId="166" fontId="0" fillId="0" borderId="89" xfId="45772" applyFont="1" applyBorder="1"/>
    <xf numFmtId="204" fontId="0" fillId="0" borderId="0" xfId="0" applyNumberFormat="1"/>
    <xf numFmtId="204" fontId="0" fillId="0" borderId="0" xfId="45772" applyNumberFormat="1" applyFont="1" applyFill="1" applyAlignment="1">
      <alignment horizontal="left" vertical="center"/>
    </xf>
    <xf numFmtId="0" fontId="0" fillId="0" borderId="80" xfId="0" applyBorder="1"/>
    <xf numFmtId="0" fontId="0" fillId="0" borderId="9" xfId="0" applyBorder="1"/>
    <xf numFmtId="0" fontId="14" fillId="0" borderId="0" xfId="45875"/>
    <xf numFmtId="0" fontId="14" fillId="0" borderId="83" xfId="45875" applyBorder="1"/>
    <xf numFmtId="0" fontId="14" fillId="0" borderId="59" xfId="45875" applyBorder="1"/>
    <xf numFmtId="0" fontId="14" fillId="0" borderId="62" xfId="45875" applyBorder="1"/>
    <xf numFmtId="0" fontId="14" fillId="0" borderId="58" xfId="45875" applyBorder="1"/>
    <xf numFmtId="0" fontId="14" fillId="0" borderId="50" xfId="45875" applyBorder="1"/>
    <xf numFmtId="166" fontId="225" fillId="102" borderId="0" xfId="45772" applyFont="1" applyFill="1"/>
    <xf numFmtId="166" fontId="43" fillId="0" borderId="0" xfId="0" applyNumberFormat="1" applyFont="1"/>
    <xf numFmtId="9" fontId="0" fillId="0" borderId="0" xfId="45785" applyFont="1" applyAlignment="1">
      <alignment wrapText="1"/>
    </xf>
    <xf numFmtId="166" fontId="43" fillId="102" borderId="0" xfId="45772" applyFont="1" applyFill="1" applyAlignment="1">
      <alignment horizontal="left" vertical="center"/>
    </xf>
    <xf numFmtId="0" fontId="262" fillId="0" borderId="0" xfId="0" applyFont="1" applyAlignment="1">
      <alignment wrapText="1"/>
    </xf>
    <xf numFmtId="0" fontId="262" fillId="0" borderId="0" xfId="0" applyFont="1"/>
    <xf numFmtId="3" fontId="43" fillId="0" borderId="0" xfId="45772" applyNumberFormat="1" applyFont="1" applyFill="1" applyAlignment="1">
      <alignment horizontal="left" vertical="center"/>
    </xf>
    <xf numFmtId="166" fontId="225" fillId="102" borderId="0" xfId="0" applyNumberFormat="1" applyFont="1" applyFill="1"/>
    <xf numFmtId="166" fontId="0" fillId="102" borderId="0" xfId="45772" applyFont="1" applyFill="1"/>
    <xf numFmtId="0" fontId="225" fillId="102" borderId="2" xfId="0" applyFont="1" applyFill="1" applyBorder="1"/>
    <xf numFmtId="166" fontId="225" fillId="102" borderId="2" xfId="45772" applyFont="1" applyFill="1" applyBorder="1"/>
    <xf numFmtId="166" fontId="225" fillId="102" borderId="2" xfId="0" applyNumberFormat="1" applyFont="1" applyFill="1" applyBorder="1"/>
    <xf numFmtId="210" fontId="225" fillId="102" borderId="0" xfId="0" applyNumberFormat="1" applyFont="1" applyFill="1"/>
    <xf numFmtId="204" fontId="225" fillId="102" borderId="0" xfId="45772" applyNumberFormat="1" applyFont="1" applyFill="1" applyAlignment="1">
      <alignment horizontal="left" vertical="center"/>
    </xf>
    <xf numFmtId="166" fontId="0" fillId="0" borderId="89" xfId="45772" applyFont="1" applyBorder="1" applyAlignment="1">
      <alignment horizontal="left" vertical="center"/>
    </xf>
    <xf numFmtId="9" fontId="225" fillId="102" borderId="0" xfId="45785" applyFont="1" applyFill="1"/>
    <xf numFmtId="0" fontId="42" fillId="2" borderId="59" xfId="0" applyFont="1" applyFill="1" applyBorder="1"/>
    <xf numFmtId="3" fontId="0" fillId="0" borderId="2" xfId="45772" applyNumberFormat="1" applyFont="1" applyFill="1" applyBorder="1" applyAlignment="1">
      <alignment horizontal="left" vertical="center"/>
    </xf>
    <xf numFmtId="0" fontId="0" fillId="102" borderId="13" xfId="0" applyFill="1" applyBorder="1"/>
    <xf numFmtId="0" fontId="0" fillId="102" borderId="14" xfId="0" applyFill="1" applyBorder="1"/>
    <xf numFmtId="211" fontId="0" fillId="0" borderId="0" xfId="0" applyNumberFormat="1"/>
    <xf numFmtId="166" fontId="263" fillId="0" borderId="0" xfId="45772" applyFont="1"/>
    <xf numFmtId="212" fontId="0" fillId="0" borderId="0" xfId="45772" applyNumberFormat="1" applyFont="1"/>
    <xf numFmtId="9" fontId="0" fillId="0" borderId="62" xfId="0" applyNumberFormat="1" applyBorder="1"/>
    <xf numFmtId="209" fontId="0" fillId="0" borderId="62" xfId="45772" applyNumberFormat="1" applyFont="1" applyBorder="1"/>
    <xf numFmtId="209" fontId="0" fillId="0" borderId="60" xfId="45772" applyNumberFormat="1" applyFont="1" applyBorder="1"/>
    <xf numFmtId="0" fontId="0" fillId="4" borderId="58" xfId="0" applyFill="1" applyBorder="1"/>
    <xf numFmtId="0" fontId="0" fillId="4" borderId="0" xfId="0" applyFill="1"/>
    <xf numFmtId="209" fontId="0" fillId="4" borderId="62" xfId="45772" applyNumberFormat="1" applyFont="1" applyFill="1" applyBorder="1"/>
    <xf numFmtId="2" fontId="0" fillId="0" borderId="0" xfId="0" applyNumberFormat="1"/>
    <xf numFmtId="208" fontId="0" fillId="0" borderId="0" xfId="0" applyNumberFormat="1"/>
    <xf numFmtId="0" fontId="0" fillId="0" borderId="82" xfId="0" applyBorder="1"/>
    <xf numFmtId="0" fontId="0" fillId="0" borderId="90" xfId="0" applyBorder="1"/>
    <xf numFmtId="166" fontId="0" fillId="0" borderId="91" xfId="45772" applyFont="1" applyBorder="1"/>
    <xf numFmtId="0" fontId="0" fillId="102" borderId="90" xfId="0" applyFill="1" applyBorder="1"/>
    <xf numFmtId="0" fontId="0" fillId="102" borderId="55" xfId="0" applyFill="1" applyBorder="1"/>
    <xf numFmtId="0" fontId="0" fillId="0" borderId="9" xfId="0" applyBorder="1" applyAlignment="1">
      <alignment horizontal="left" vertical="center"/>
    </xf>
    <xf numFmtId="3" fontId="0" fillId="0" borderId="9" xfId="45772" applyNumberFormat="1" applyFont="1" applyFill="1" applyBorder="1" applyAlignment="1">
      <alignment horizontal="left" vertical="center"/>
    </xf>
    <xf numFmtId="3" fontId="0" fillId="0" borderId="0" xfId="45772" applyNumberFormat="1" applyFont="1" applyFill="1" applyBorder="1" applyAlignment="1">
      <alignment horizontal="left" vertical="center"/>
    </xf>
    <xf numFmtId="204" fontId="0" fillId="0" borderId="2" xfId="45772" applyNumberFormat="1" applyFont="1" applyBorder="1"/>
    <xf numFmtId="166" fontId="225" fillId="102" borderId="0" xfId="45772" applyFont="1" applyFill="1" applyAlignment="1">
      <alignment horizontal="left" vertical="center"/>
    </xf>
    <xf numFmtId="166" fontId="0" fillId="0" borderId="0" xfId="0" applyNumberFormat="1" applyAlignment="1">
      <alignment horizontal="left" vertical="center"/>
    </xf>
    <xf numFmtId="0" fontId="20" fillId="89" borderId="51" xfId="61" applyFill="1" applyBorder="1" applyAlignment="1">
      <alignment vertical="center"/>
    </xf>
    <xf numFmtId="0" fontId="39" fillId="0" borderId="0" xfId="50"/>
    <xf numFmtId="0" fontId="229" fillId="0" borderId="0" xfId="0" applyFont="1"/>
    <xf numFmtId="0" fontId="33" fillId="0" borderId="0" xfId="0" applyFont="1"/>
    <xf numFmtId="213" fontId="0" fillId="0" borderId="0" xfId="0" applyNumberFormat="1"/>
    <xf numFmtId="214" fontId="0" fillId="0" borderId="0" xfId="0" applyNumberFormat="1"/>
    <xf numFmtId="0" fontId="13" fillId="0" borderId="0" xfId="1" applyFont="1" applyAlignment="1">
      <alignment vertical="center"/>
    </xf>
    <xf numFmtId="210" fontId="0" fillId="0" borderId="0" xfId="0" applyNumberFormat="1"/>
    <xf numFmtId="210" fontId="0" fillId="0" borderId="62" xfId="0" applyNumberFormat="1" applyBorder="1"/>
    <xf numFmtId="0" fontId="13" fillId="0" borderId="51" xfId="61" applyFont="1" applyBorder="1" applyAlignment="1">
      <alignment horizontal="left" vertical="center"/>
    </xf>
    <xf numFmtId="0" fontId="13" fillId="0" borderId="51" xfId="61" applyFont="1" applyBorder="1" applyAlignment="1">
      <alignment horizontal="left" vertical="center" wrapText="1"/>
    </xf>
    <xf numFmtId="0" fontId="13" fillId="6" borderId="51" xfId="4" applyFont="1" applyFill="1" applyBorder="1" applyAlignment="1">
      <alignment vertical="center"/>
    </xf>
    <xf numFmtId="0" fontId="13" fillId="6" borderId="52" xfId="4" applyFont="1" applyFill="1" applyBorder="1" applyAlignment="1">
      <alignment vertical="center"/>
    </xf>
    <xf numFmtId="0" fontId="13" fillId="89" borderId="51" xfId="61" applyFont="1" applyFill="1" applyBorder="1" applyAlignment="1">
      <alignment vertical="center"/>
    </xf>
    <xf numFmtId="0" fontId="13" fillId="89" borderId="53" xfId="61" applyFont="1" applyFill="1" applyBorder="1" applyAlignment="1">
      <alignment vertical="center"/>
    </xf>
    <xf numFmtId="166" fontId="0" fillId="0" borderId="13" xfId="0" applyNumberFormat="1" applyBorder="1"/>
    <xf numFmtId="166" fontId="0" fillId="0" borderId="14" xfId="0" applyNumberFormat="1" applyBorder="1"/>
    <xf numFmtId="0" fontId="218" fillId="3" borderId="2" xfId="0" applyFont="1" applyFill="1" applyBorder="1" applyAlignment="1">
      <alignment horizontal="left" vertical="center"/>
    </xf>
    <xf numFmtId="0" fontId="43" fillId="3" borderId="2" xfId="0" applyFont="1" applyFill="1" applyBorder="1"/>
    <xf numFmtId="0" fontId="32" fillId="3" borderId="2" xfId="0" applyFont="1" applyFill="1" applyBorder="1" applyAlignment="1">
      <alignment horizontal="left" vertical="center"/>
    </xf>
    <xf numFmtId="0" fontId="13" fillId="2" borderId="0" xfId="0" applyFont="1" applyFill="1" applyAlignment="1">
      <alignment vertical="center"/>
    </xf>
    <xf numFmtId="0" fontId="13" fillId="6" borderId="53" xfId="4" applyFont="1" applyFill="1" applyBorder="1" applyAlignment="1">
      <alignment vertical="center"/>
    </xf>
    <xf numFmtId="0" fontId="13" fillId="6" borderId="54" xfId="4" applyFont="1" applyFill="1" applyBorder="1" applyAlignment="1">
      <alignment vertical="center"/>
    </xf>
    <xf numFmtId="0" fontId="13" fillId="89" borderId="52" xfId="61" applyFont="1" applyFill="1" applyBorder="1" applyAlignment="1">
      <alignment vertical="center"/>
    </xf>
    <xf numFmtId="0" fontId="13" fillId="0" borderId="51" xfId="7" applyFont="1" applyBorder="1" applyAlignment="1">
      <alignment vertical="center"/>
    </xf>
    <xf numFmtId="0" fontId="13" fillId="0" borderId="52" xfId="7" applyFont="1" applyBorder="1" applyAlignment="1">
      <alignment vertical="center"/>
    </xf>
    <xf numFmtId="0" fontId="13" fillId="0" borderId="53" xfId="7" applyFont="1" applyBorder="1" applyAlignment="1">
      <alignment vertical="center"/>
    </xf>
    <xf numFmtId="0" fontId="13" fillId="0" borderId="54" xfId="7" applyFont="1" applyBorder="1" applyAlignment="1">
      <alignment vertical="center"/>
    </xf>
    <xf numFmtId="0" fontId="13" fillId="0" borderId="0" xfId="7" applyFont="1" applyAlignment="1">
      <alignment vertical="center"/>
    </xf>
    <xf numFmtId="0" fontId="13" fillId="0" borderId="50" xfId="1" applyFont="1" applyBorder="1" applyAlignment="1">
      <alignment vertical="center"/>
    </xf>
    <xf numFmtId="0" fontId="13" fillId="0" borderId="0" xfId="61" applyFont="1" applyAlignment="1">
      <alignment vertical="center"/>
    </xf>
    <xf numFmtId="0" fontId="13" fillId="0" borderId="0" xfId="61" applyFont="1" applyAlignment="1">
      <alignment horizontal="left" vertical="center"/>
    </xf>
    <xf numFmtId="0" fontId="13" fillId="0" borderId="0" xfId="0" applyFont="1" applyAlignment="1">
      <alignment horizontal="left" vertical="center"/>
    </xf>
    <xf numFmtId="203" fontId="13" fillId="0" borderId="0" xfId="0" applyNumberFormat="1" applyFont="1" applyAlignment="1">
      <alignment horizontal="left" vertical="center"/>
    </xf>
    <xf numFmtId="203" fontId="13" fillId="0" borderId="2" xfId="53" applyNumberFormat="1" applyFont="1" applyBorder="1" applyAlignment="1">
      <alignment horizontal="left" vertical="center"/>
    </xf>
    <xf numFmtId="0" fontId="13" fillId="0" borderId="0" xfId="53" applyFont="1" applyAlignment="1">
      <alignment horizontal="left" vertical="center"/>
    </xf>
    <xf numFmtId="9" fontId="13" fillId="102" borderId="0" xfId="45785" applyFont="1" applyFill="1" applyAlignment="1">
      <alignment horizontal="left" vertical="center"/>
    </xf>
    <xf numFmtId="0" fontId="13" fillId="0" borderId="2" xfId="53" applyFont="1" applyBorder="1" applyAlignment="1">
      <alignment horizontal="left" vertical="center"/>
    </xf>
    <xf numFmtId="9" fontId="13" fillId="102" borderId="2" xfId="45785" applyFont="1" applyFill="1" applyBorder="1" applyAlignment="1">
      <alignment horizontal="left" vertical="center"/>
    </xf>
    <xf numFmtId="0" fontId="13" fillId="2" borderId="13" xfId="0" applyFont="1" applyFill="1" applyBorder="1"/>
    <xf numFmtId="0" fontId="13" fillId="2" borderId="0" xfId="0" applyFont="1" applyFill="1"/>
    <xf numFmtId="0" fontId="13" fillId="100" borderId="13" xfId="0" applyFont="1" applyFill="1" applyBorder="1"/>
    <xf numFmtId="0" fontId="13" fillId="103" borderId="13" xfId="0" applyFont="1" applyFill="1" applyBorder="1"/>
    <xf numFmtId="0" fontId="13" fillId="2" borderId="14" xfId="0" applyFont="1" applyFill="1" applyBorder="1"/>
    <xf numFmtId="0" fontId="13" fillId="2" borderId="2" xfId="0" applyFont="1" applyFill="1" applyBorder="1"/>
    <xf numFmtId="166" fontId="13" fillId="0" borderId="58" xfId="45772" applyFont="1" applyBorder="1" applyAlignment="1">
      <alignment horizontal="left" vertical="center" wrapText="1"/>
    </xf>
    <xf numFmtId="166" fontId="13" fillId="0" borderId="62" xfId="45772" applyFont="1" applyBorder="1" applyAlignment="1">
      <alignment horizontal="left" vertical="center" wrapText="1"/>
    </xf>
    <xf numFmtId="0" fontId="13" fillId="0" borderId="2" xfId="9" applyFont="1" applyBorder="1" applyAlignment="1">
      <alignment vertical="center"/>
    </xf>
    <xf numFmtId="0" fontId="13" fillId="0" borderId="0" xfId="0" applyFont="1"/>
    <xf numFmtId="0" fontId="13" fillId="6" borderId="0" xfId="0" applyFont="1" applyFill="1"/>
    <xf numFmtId="166" fontId="13" fillId="0" borderId="0" xfId="45772" applyFont="1" applyBorder="1"/>
    <xf numFmtId="166" fontId="13" fillId="0" borderId="2" xfId="45772" applyFont="1" applyBorder="1"/>
    <xf numFmtId="0" fontId="0" fillId="0" borderId="50" xfId="0" applyBorder="1" applyAlignment="1">
      <alignment horizontal="left" vertical="center"/>
    </xf>
    <xf numFmtId="203" fontId="12" fillId="0" borderId="50" xfId="53" applyNumberFormat="1" applyFont="1" applyBorder="1" applyAlignment="1">
      <alignment horizontal="left" vertical="center"/>
    </xf>
    <xf numFmtId="203" fontId="13" fillId="0" borderId="0" xfId="53" applyNumberFormat="1" applyFont="1" applyAlignment="1">
      <alignment horizontal="left" vertical="center"/>
    </xf>
    <xf numFmtId="0" fontId="32" fillId="0" borderId="2" xfId="0" applyFont="1" applyBorder="1" applyAlignment="1">
      <alignment horizontal="left" vertical="center"/>
    </xf>
    <xf numFmtId="0" fontId="32" fillId="0" borderId="50" xfId="0" applyFont="1" applyBorder="1" applyAlignment="1">
      <alignment horizontal="left" vertical="center"/>
    </xf>
    <xf numFmtId="3" fontId="0" fillId="102" borderId="2" xfId="45772" applyNumberFormat="1" applyFont="1" applyFill="1" applyBorder="1" applyAlignment="1">
      <alignment horizontal="left" vertical="center"/>
    </xf>
    <xf numFmtId="3" fontId="202" fillId="92" borderId="0" xfId="0" applyNumberFormat="1" applyFont="1" applyFill="1"/>
    <xf numFmtId="3" fontId="11" fillId="0" borderId="0" xfId="45896" applyNumberFormat="1"/>
    <xf numFmtId="3" fontId="11" fillId="0" borderId="62" xfId="45896" applyNumberFormat="1" applyBorder="1"/>
    <xf numFmtId="3" fontId="11" fillId="0" borderId="50" xfId="45896" applyNumberFormat="1" applyBorder="1"/>
    <xf numFmtId="3" fontId="11" fillId="0" borderId="83" xfId="45896" applyNumberFormat="1" applyBorder="1"/>
    <xf numFmtId="3" fontId="11" fillId="0" borderId="58" xfId="45896" applyNumberFormat="1" applyBorder="1"/>
    <xf numFmtId="3" fontId="11" fillId="0" borderId="61" xfId="45896" applyNumberFormat="1" applyBorder="1"/>
    <xf numFmtId="3" fontId="11" fillId="91" borderId="0" xfId="45948" applyNumberFormat="1" applyFill="1"/>
    <xf numFmtId="3" fontId="11" fillId="91" borderId="0" xfId="45943" applyNumberFormat="1" applyFill="1"/>
    <xf numFmtId="3" fontId="11" fillId="91" borderId="0" xfId="45950" applyNumberFormat="1" applyFill="1"/>
    <xf numFmtId="3" fontId="225" fillId="0" borderId="0" xfId="45772" applyNumberFormat="1" applyFont="1" applyFill="1" applyAlignment="1">
      <alignment horizontal="left" vertical="center"/>
    </xf>
    <xf numFmtId="206" fontId="0" fillId="0" borderId="0" xfId="0" applyNumberFormat="1" applyAlignment="1">
      <alignment horizontal="left" vertical="center"/>
    </xf>
    <xf numFmtId="0" fontId="225" fillId="5" borderId="0" xfId="0" applyFont="1" applyFill="1" applyAlignment="1">
      <alignment horizontal="left" vertical="center"/>
    </xf>
    <xf numFmtId="205" fontId="225" fillId="5" borderId="0" xfId="45772" applyNumberFormat="1" applyFont="1" applyFill="1" applyAlignment="1">
      <alignment horizontal="left" vertical="center"/>
    </xf>
    <xf numFmtId="0" fontId="33" fillId="0" borderId="0" xfId="45951" applyFont="1"/>
    <xf numFmtId="0" fontId="10" fillId="0" borderId="0" xfId="45951"/>
    <xf numFmtId="0" fontId="46" fillId="0" borderId="92" xfId="45951" applyFont="1" applyBorder="1"/>
    <xf numFmtId="0" fontId="46" fillId="0" borderId="93" xfId="45951" applyFont="1" applyBorder="1"/>
    <xf numFmtId="0" fontId="46" fillId="0" borderId="94" xfId="45951" applyFont="1" applyBorder="1"/>
    <xf numFmtId="14" fontId="10" fillId="0" borderId="58" xfId="45951" applyNumberFormat="1" applyBorder="1" applyAlignment="1">
      <alignment horizontal="center" vertical="center"/>
    </xf>
    <xf numFmtId="0" fontId="9" fillId="0" borderId="0" xfId="45951" applyFont="1" applyAlignment="1">
      <alignment horizontal="center" vertical="center" wrapText="1"/>
    </xf>
    <xf numFmtId="0" fontId="9" fillId="0" borderId="0" xfId="45951" applyFont="1" applyAlignment="1">
      <alignment horizontal="center" vertical="center"/>
    </xf>
    <xf numFmtId="0" fontId="9" fillId="0" borderId="0" xfId="45951" quotePrefix="1" applyFont="1"/>
    <xf numFmtId="0" fontId="9" fillId="0" borderId="62" xfId="45951" applyFont="1" applyBorder="1" applyAlignment="1">
      <alignment horizontal="center" vertical="center"/>
    </xf>
    <xf numFmtId="0" fontId="9" fillId="0" borderId="62" xfId="45951" applyFont="1" applyBorder="1"/>
    <xf numFmtId="14" fontId="10" fillId="0" borderId="58" xfId="45951" applyNumberFormat="1" applyBorder="1"/>
    <xf numFmtId="0" fontId="8" fillId="0" borderId="0" xfId="45951" applyFont="1"/>
    <xf numFmtId="0" fontId="8" fillId="0" borderId="62" xfId="45951" applyFont="1" applyBorder="1"/>
    <xf numFmtId="0" fontId="0" fillId="0" borderId="0" xfId="0" applyAlignment="1">
      <alignment wrapText="1"/>
    </xf>
    <xf numFmtId="0" fontId="7" fillId="0" borderId="0" xfId="45951" applyFont="1"/>
    <xf numFmtId="0" fontId="7" fillId="0" borderId="62" xfId="45951" applyFont="1" applyBorder="1"/>
    <xf numFmtId="0" fontId="6" fillId="0" borderId="0" xfId="45951" applyFont="1"/>
    <xf numFmtId="0" fontId="6" fillId="0" borderId="62" xfId="45951" applyFont="1" applyBorder="1"/>
    <xf numFmtId="0" fontId="5" fillId="0" borderId="0" xfId="45951" applyFont="1"/>
    <xf numFmtId="0" fontId="5" fillId="0" borderId="62" xfId="45951" applyFont="1" applyBorder="1"/>
    <xf numFmtId="166" fontId="225" fillId="0" borderId="0" xfId="45772" applyFont="1" applyBorder="1"/>
    <xf numFmtId="166" fontId="225" fillId="0" borderId="62" xfId="45772" applyFont="1" applyBorder="1"/>
    <xf numFmtId="166" fontId="225" fillId="0" borderId="2" xfId="45772" applyFont="1" applyBorder="1"/>
    <xf numFmtId="166" fontId="225" fillId="0" borderId="60" xfId="45772" applyFont="1" applyBorder="1"/>
    <xf numFmtId="166" fontId="225" fillId="0" borderId="9" xfId="45772" applyFont="1" applyBorder="1"/>
    <xf numFmtId="166" fontId="225" fillId="0" borderId="91" xfId="45772" applyFont="1" applyBorder="1"/>
    <xf numFmtId="0" fontId="266" fillId="0" borderId="0" xfId="45954"/>
    <xf numFmtId="166" fontId="266" fillId="0" borderId="0" xfId="45772" applyFont="1"/>
    <xf numFmtId="166" fontId="225" fillId="0" borderId="59" xfId="45772" applyFont="1" applyBorder="1"/>
    <xf numFmtId="0" fontId="266" fillId="0" borderId="0" xfId="45956"/>
    <xf numFmtId="0" fontId="266" fillId="0" borderId="0" xfId="45959"/>
    <xf numFmtId="43" fontId="0" fillId="0" borderId="0" xfId="0" applyNumberFormat="1" applyAlignment="1">
      <alignment horizontal="left" vertical="center"/>
    </xf>
    <xf numFmtId="209" fontId="225" fillId="0" borderId="83" xfId="0" applyNumberFormat="1" applyFont="1" applyBorder="1"/>
    <xf numFmtId="209" fontId="225" fillId="0" borderId="58" xfId="0" applyNumberFormat="1" applyFont="1" applyBorder="1"/>
    <xf numFmtId="209" fontId="225" fillId="0" borderId="59" xfId="0" applyNumberFormat="1" applyFont="1" applyBorder="1"/>
    <xf numFmtId="166" fontId="225" fillId="0" borderId="50" xfId="0" applyNumberFormat="1" applyFont="1" applyBorder="1"/>
    <xf numFmtId="166" fontId="225" fillId="0" borderId="0" xfId="0" applyNumberFormat="1" applyFont="1"/>
    <xf numFmtId="166" fontId="225" fillId="0" borderId="2" xfId="0" applyNumberFormat="1" applyFont="1" applyBorder="1"/>
    <xf numFmtId="14" fontId="10" fillId="0" borderId="0" xfId="45951" applyNumberFormat="1"/>
    <xf numFmtId="0" fontId="4" fillId="0" borderId="0" xfId="45951" applyFont="1"/>
    <xf numFmtId="0" fontId="2" fillId="0" borderId="0" xfId="45951" applyFont="1"/>
    <xf numFmtId="3" fontId="225" fillId="5" borderId="0" xfId="45772" applyNumberFormat="1" applyFont="1" applyFill="1" applyAlignment="1">
      <alignment horizontal="left" vertical="center"/>
    </xf>
    <xf numFmtId="0" fontId="1" fillId="0" borderId="62" xfId="45951" applyFont="1" applyBorder="1"/>
    <xf numFmtId="3" fontId="43" fillId="2" borderId="0" xfId="45772" applyNumberFormat="1" applyFont="1" applyFill="1" applyAlignment="1">
      <alignment horizontal="left" vertical="center"/>
    </xf>
    <xf numFmtId="0" fontId="0" fillId="86" borderId="52" xfId="23" applyFont="1" applyFill="1" applyBorder="1" applyAlignment="1">
      <alignment vertical="center"/>
    </xf>
    <xf numFmtId="0" fontId="0" fillId="86" borderId="53" xfId="23" applyFont="1" applyFill="1" applyBorder="1" applyAlignment="1">
      <alignment vertical="center"/>
    </xf>
    <xf numFmtId="0" fontId="0" fillId="86" borderId="54" xfId="23" applyFont="1" applyFill="1" applyBorder="1" applyAlignment="1">
      <alignment vertical="center"/>
    </xf>
    <xf numFmtId="0" fontId="199" fillId="7" borderId="53" xfId="61" applyFont="1" applyFill="1" applyBorder="1" applyAlignment="1">
      <alignment vertical="center"/>
    </xf>
    <xf numFmtId="0" fontId="199" fillId="7" borderId="54" xfId="61" applyFont="1" applyFill="1" applyBorder="1" applyAlignment="1">
      <alignment vertical="center"/>
    </xf>
    <xf numFmtId="0" fontId="20" fillId="0" borderId="52" xfId="61" applyBorder="1" applyAlignment="1">
      <alignment vertical="center"/>
    </xf>
    <xf numFmtId="0" fontId="20" fillId="0" borderId="53" xfId="61" applyBorder="1" applyAlignment="1">
      <alignment vertical="center"/>
    </xf>
    <xf numFmtId="0" fontId="20" fillId="0" borderId="54" xfId="61" applyBorder="1" applyAlignment="1">
      <alignment vertical="center"/>
    </xf>
    <xf numFmtId="0" fontId="47" fillId="0" borderId="12" xfId="0" applyFont="1" applyBorder="1" applyAlignment="1">
      <alignment horizontal="center" vertical="center" wrapText="1"/>
    </xf>
    <xf numFmtId="0" fontId="200" fillId="90" borderId="51" xfId="0" applyFont="1" applyFill="1" applyBorder="1" applyAlignment="1">
      <alignment horizontal="left" vertical="center"/>
    </xf>
    <xf numFmtId="166" fontId="0" fillId="0" borderId="50" xfId="0" applyNumberFormat="1" applyBorder="1" applyAlignment="1">
      <alignment horizontal="center"/>
    </xf>
    <xf numFmtId="166" fontId="0" fillId="0" borderId="83" xfId="0" applyNumberFormat="1" applyBorder="1" applyAlignment="1">
      <alignment horizontal="center"/>
    </xf>
    <xf numFmtId="166" fontId="0" fillId="0" borderId="61" xfId="0" applyNumberFormat="1" applyBorder="1" applyAlignment="1">
      <alignment horizontal="center"/>
    </xf>
    <xf numFmtId="0" fontId="0" fillId="0" borderId="58" xfId="0" applyBorder="1" applyAlignment="1">
      <alignment horizontal="center"/>
    </xf>
    <xf numFmtId="0" fontId="0" fillId="0" borderId="62" xfId="0" applyBorder="1" applyAlignment="1">
      <alignment horizontal="center"/>
    </xf>
    <xf numFmtId="0" fontId="0" fillId="0" borderId="59" xfId="0" applyBorder="1" applyAlignment="1">
      <alignment horizontal="center"/>
    </xf>
    <xf numFmtId="0" fontId="0" fillId="0" borderId="60" xfId="0" applyBorder="1" applyAlignment="1">
      <alignment horizontal="center"/>
    </xf>
    <xf numFmtId="0" fontId="0" fillId="0" borderId="83" xfId="0" applyBorder="1" applyAlignment="1">
      <alignment horizontal="center"/>
    </xf>
    <xf numFmtId="0" fontId="0" fillId="0" borderId="61" xfId="0" applyBorder="1" applyAlignment="1">
      <alignment horizontal="center"/>
    </xf>
    <xf numFmtId="0" fontId="0" fillId="0" borderId="0" xfId="0" applyAlignment="1">
      <alignment horizontal="center"/>
    </xf>
    <xf numFmtId="0" fontId="0" fillId="0" borderId="50" xfId="0" applyBorder="1" applyAlignment="1">
      <alignment horizontal="center"/>
    </xf>
    <xf numFmtId="0" fontId="0" fillId="0" borderId="2" xfId="0" applyBorder="1" applyAlignment="1">
      <alignment horizontal="center"/>
    </xf>
    <xf numFmtId="0" fontId="42" fillId="0" borderId="50" xfId="0" applyFont="1" applyBorder="1" applyAlignment="1">
      <alignment horizontal="center"/>
    </xf>
    <xf numFmtId="0" fontId="42" fillId="0" borderId="61" xfId="0" applyFont="1" applyBorder="1" applyAlignment="1">
      <alignment horizontal="center"/>
    </xf>
    <xf numFmtId="0" fontId="28" fillId="2" borderId="0" xfId="9" applyFill="1" applyAlignment="1">
      <alignment horizontal="center" vertical="center"/>
    </xf>
    <xf numFmtId="0" fontId="26" fillId="2" borderId="0" xfId="33" applyFill="1" applyAlignment="1">
      <alignment horizontal="right" vertical="center"/>
    </xf>
    <xf numFmtId="0" fontId="0" fillId="0" borderId="0" xfId="0" applyAlignment="1">
      <alignment horizontal="center" wrapText="1"/>
    </xf>
  </cellXfs>
  <cellStyles count="45962">
    <cellStyle name="???????" xfId="24143" xr:uid="{AB4EBEA1-9598-4896-B9AC-F30E56EA1655}"/>
    <cellStyle name="???????????" xfId="44006" xr:uid="{28ECE5B1-CAEF-492A-AFB0-409D7E9D8A73}"/>
    <cellStyle name="???????_2++" xfId="44007" xr:uid="{9560132E-B43B-4C12-8132-4FAF97B645D5}"/>
    <cellStyle name="01_Page Heading" xfId="45813" xr:uid="{1993668F-5CEE-4C2E-AC34-6679A1B692A0}"/>
    <cellStyle name="02_Rule above and below" xfId="45814" xr:uid="{416A5A4E-01B3-4635-885A-A2C77E36C494}"/>
    <cellStyle name="03_Table Notes" xfId="45815" xr:uid="{EDC198A3-8D9A-464E-986A-B711FAF16FF3}"/>
    <cellStyle name="04_Bold table figs" xfId="45816" xr:uid="{C08CD28D-49A0-49C8-BB91-197B52ABB63B}"/>
    <cellStyle name="05_table figs" xfId="45817" xr:uid="{C832E3A4-FED7-4F4D-96A1-CB151DA869F9}"/>
    <cellStyle name="06_per cent" xfId="45818" xr:uid="{980F17BE-D876-46AA-A348-3F3BDE4E6331}"/>
    <cellStyle name="07_Bold table text" xfId="45819" xr:uid="{6A29053E-10BD-4321-B8FD-D2F7804D321C}"/>
    <cellStyle name="20 % - Akzent1" xfId="45334" hidden="1" xr:uid="{24397663-5D44-4090-BA04-6DF6CDE808FE}"/>
    <cellStyle name="20 % - Akzent1" xfId="45256" hidden="1" xr:uid="{94D76723-3C5D-494A-885C-8B9D4D3E3B1C}"/>
    <cellStyle name="20 % - Akzent1" xfId="44025" hidden="1" xr:uid="{097EC18D-420E-480B-ADA2-C32653753956}"/>
    <cellStyle name="20 % - Akzent1" xfId="44289" hidden="1" xr:uid="{75705407-E1B0-49AC-B85F-FD15347690E6}"/>
    <cellStyle name="20 % - Akzent1" xfId="45735" hidden="1" xr:uid="{A03DD9B1-0944-4BAF-9FE8-30E3077CE1B3}"/>
    <cellStyle name="20 % - Akzent1" xfId="45616" hidden="1" xr:uid="{469BFC23-1B50-4CF5-B213-DFA60B538585}"/>
    <cellStyle name="20 % - Akzent1" xfId="45509" hidden="1" xr:uid="{A1D958CA-E678-4B21-A14A-E6B73343ED94}"/>
    <cellStyle name="20 % - Akzent1 2" xfId="44332" xr:uid="{930DA1ED-17FA-4FED-B96D-75A889BBA4BA}"/>
    <cellStyle name="20 % - Akzent1 3" xfId="44213" xr:uid="{D3568A22-7286-4F11-B79D-4790FE7FC383}"/>
    <cellStyle name="20 % - Akzent2" xfId="44029" hidden="1" xr:uid="{93620ACA-FACD-4900-9F85-A043671642D7}"/>
    <cellStyle name="20 % - Akzent2" xfId="45712" hidden="1" xr:uid="{A2EC7726-C8F3-4400-BCD5-96DFD5B48C2E}"/>
    <cellStyle name="20 % - Akzent2" xfId="45164" hidden="1" xr:uid="{19147760-1D6F-4FE2-9F13-8D545CF73D0B}"/>
    <cellStyle name="20 % - Akzent2" xfId="44938" hidden="1" xr:uid="{F3A2B665-CFD2-4530-A8AE-7E47FEA59DDD}"/>
    <cellStyle name="20 % - Akzent2" xfId="44266" hidden="1" xr:uid="{09559CB6-6FCF-4871-BA04-96DD258140EB}"/>
    <cellStyle name="20 % - Akzent2" xfId="45619" hidden="1" xr:uid="{7E2C4D63-0EA5-435A-91A5-950AA070285F}"/>
    <cellStyle name="20 % - Akzent2" xfId="45249" hidden="1" xr:uid="{1BE32236-3758-4357-A51A-B06930A1106B}"/>
    <cellStyle name="20 % - Akzent2 2" xfId="44333" xr:uid="{01BD4904-7A63-4391-8657-8DF01D53F66A}"/>
    <cellStyle name="20 % - Akzent2 3" xfId="44214" xr:uid="{8E355F55-5624-4CEB-82A2-9FA3FABF250B}"/>
    <cellStyle name="20 % - Akzent3" xfId="44318" hidden="1" xr:uid="{6DFF2D57-84BE-4C88-B8B1-5238AEDE37DE}"/>
    <cellStyle name="20 % - Akzent3" xfId="45034" hidden="1" xr:uid="{763309DD-A94F-45A5-95E2-39DB0DB36541}"/>
    <cellStyle name="20 % - Akzent3" xfId="44033" hidden="1" xr:uid="{BC9DAC2B-AB6C-4B38-BAA3-D635A52635B5}"/>
    <cellStyle name="20 % - Akzent3" xfId="45009" hidden="1" xr:uid="{2E9A2767-18F8-4287-BF47-B3F48110ED2F}"/>
    <cellStyle name="20 % - Akzent3" xfId="45685" hidden="1" xr:uid="{EAD7DF79-8295-4089-9FDC-4D7926BB900B}"/>
    <cellStyle name="20 % - Akzent3" xfId="45622" hidden="1" xr:uid="{B1C2E7D2-FFEE-47EE-8E1E-E173068E73DC}"/>
    <cellStyle name="20 % - Akzent3" xfId="44898" hidden="1" xr:uid="{13FF0730-B731-4129-9AE3-EA8F25A3C798}"/>
    <cellStyle name="20 % - Akzent3 2" xfId="44334" xr:uid="{BA56CC48-B10F-4348-9276-9FC72B5E73CC}"/>
    <cellStyle name="20 % - Akzent3 3" xfId="44215" xr:uid="{3E401EF2-2AB1-412A-B454-1206BE7D2A3C}"/>
    <cellStyle name="20 % - Akzent4" xfId="44268" hidden="1" xr:uid="{FA24985E-1A84-42CC-8428-93BB0D5C319E}"/>
    <cellStyle name="20 % - Akzent4" xfId="44037" hidden="1" xr:uid="{C30D67ED-5ABB-46CD-91D7-F83E1582DBEB}"/>
    <cellStyle name="20 % - Akzent4" xfId="45703" hidden="1" xr:uid="{3B0F664B-21F6-4645-BAF5-4150DE6E1619}"/>
    <cellStyle name="20 % - Akzent4" xfId="45183" hidden="1" xr:uid="{0ECCA813-8A1A-4DBA-881D-D7E31D233757}"/>
    <cellStyle name="20 % - Akzent4" xfId="45081" hidden="1" xr:uid="{752C5E88-1E4E-4AE0-8EA7-6811B836C831}"/>
    <cellStyle name="20 % - Akzent4" xfId="45625" hidden="1" xr:uid="{1F9FA3A2-E7A7-4AF4-8687-3A5A0D477C65}"/>
    <cellStyle name="20 % - Akzent4" xfId="45463" hidden="1" xr:uid="{428127F6-D676-4AD4-A20B-CFC79D636B2E}"/>
    <cellStyle name="20 % - Akzent4 2" xfId="44335" xr:uid="{0E5972DF-C045-4B2F-9299-08F9172E7F7F}"/>
    <cellStyle name="20 % - Akzent4 3" xfId="44216" xr:uid="{B72CE560-80FD-4D51-BA4A-495DC22D938F}"/>
    <cellStyle name="20 % - Akzent5" xfId="44040" hidden="1" xr:uid="{2C35A0EF-542A-4285-BDAB-54E41C354231}"/>
    <cellStyle name="20 % - Akzent5" xfId="45023" hidden="1" xr:uid="{8708397D-6F0D-4041-802F-996646D93A32}"/>
    <cellStyle name="20 % - Akzent5" xfId="45486" hidden="1" xr:uid="{0EE8E5E0-2DFB-4FE1-B489-1390F3406320}"/>
    <cellStyle name="20 % - Akzent5" xfId="44271" hidden="1" xr:uid="{C05E0927-7B2F-4100-B837-6F0BB25D9746}"/>
    <cellStyle name="20 % - Akzent5" xfId="45710" hidden="1" xr:uid="{456984ED-33E6-41C1-9BC5-A0E5BF8B3A28}"/>
    <cellStyle name="20 % - Akzent5" xfId="45220" hidden="1" xr:uid="{52D5D470-A388-4AE7-9DE1-266F9B31BD0F}"/>
    <cellStyle name="20 % - Akzent5" xfId="45628" hidden="1" xr:uid="{68854080-9CD3-411D-96D9-13C313D449C1}"/>
    <cellStyle name="20 % - Akzent5 2" xfId="44336" xr:uid="{C138F5D7-10A4-472F-A8B1-7984A7A192FE}"/>
    <cellStyle name="20 % - Akzent5 3" xfId="44217" xr:uid="{50CE20F8-6536-4667-B50F-BA8C0A97BBBD}"/>
    <cellStyle name="20 % - Akzent6" xfId="45631" hidden="1" xr:uid="{D6F2DF30-FCA6-41C1-8E96-C6DC66060637}"/>
    <cellStyle name="20 % - Akzent6" xfId="44281" hidden="1" xr:uid="{56B0CA3B-C9C9-4E7C-B154-332E140C04D0}"/>
    <cellStyle name="20 % - Akzent6" xfId="45125" hidden="1" xr:uid="{FE3ABB2D-7981-426D-84D6-DE78E29B1505}"/>
    <cellStyle name="20 % - Akzent6" xfId="44043" hidden="1" xr:uid="{F4C10E52-8282-4E13-84EB-A1AF3FE469D6}"/>
    <cellStyle name="20 % - Akzent6" xfId="44930" hidden="1" xr:uid="{034D61E5-BA1D-4140-B894-1F2FB731EC33}"/>
    <cellStyle name="20 % - Akzent6" xfId="45426" hidden="1" xr:uid="{F16D3409-B58E-4AEE-AE85-1CBD95437F85}"/>
    <cellStyle name="20 % - Akzent6" xfId="45695" hidden="1" xr:uid="{663C8C1B-1C0B-40F7-9779-7013A46ED596}"/>
    <cellStyle name="20 % - Akzent6 2" xfId="44337" xr:uid="{5511980C-C911-44CE-8B8E-9DB0D09A6CDB}"/>
    <cellStyle name="20 % - Akzent6 3" xfId="44218" xr:uid="{422B74F5-16DC-471A-9608-7E284FD1384A}"/>
    <cellStyle name="20 % - Accent1" xfId="115" xr:uid="{59AFCE06-1179-4601-86C2-169D631C2268}"/>
    <cellStyle name="20 % - Accent2" xfId="116" xr:uid="{F982C3E2-9F82-446D-8130-3674266D3A4A}"/>
    <cellStyle name="20 % - Accent3" xfId="117" xr:uid="{214ABAA6-6AAA-405B-BD95-A8B962630407}"/>
    <cellStyle name="20 % - Accent4" xfId="118" xr:uid="{44D780C3-E830-45C7-A4DD-0C4B6B07C4F8}"/>
    <cellStyle name="20 % - Accent5" xfId="119" xr:uid="{F9C8E453-0801-4407-B964-F201B2D8DA05}"/>
    <cellStyle name="20 % - Accent6" xfId="120" xr:uid="{A76E9935-9BBF-411B-B5F0-5FBAF5BEC2F2}"/>
    <cellStyle name="20% - 1. jelölőszín" xfId="121" xr:uid="{BDB4A8E6-7C7B-4228-BA47-CD5CE97F63EC}"/>
    <cellStyle name="20% - 2. jelölőszín" xfId="122" xr:uid="{0EC654CB-AE6C-4F3C-ABB3-9A8131656B9B}"/>
    <cellStyle name="20% - 3. jelölőszín" xfId="123" xr:uid="{93C21366-9536-49F4-882C-F771BA90C386}"/>
    <cellStyle name="20% - 4. jelölőszín" xfId="124" xr:uid="{F31403B7-B96A-4EC3-995B-5F81C09EF0F0}"/>
    <cellStyle name="20% - 5. jelölőszín" xfId="125" xr:uid="{ABDF019D-F113-4A7A-B475-C7FD6D7CB1C0}"/>
    <cellStyle name="20% - 6. jelölőszín" xfId="126" xr:uid="{F13F8C8B-EEF3-4B1F-A1BE-A426D107D1BB}"/>
    <cellStyle name="20% - Accent1" xfId="961" builtinId="30" customBuiltin="1"/>
    <cellStyle name="20% - Accent1 10" xfId="127" xr:uid="{FFB3F748-D16E-4E41-AEBD-5902D88A91A3}"/>
    <cellStyle name="20% - Accent1 10 2" xfId="128" xr:uid="{A1FE9E5D-D40D-4798-A6EF-8D526CEA1D70}"/>
    <cellStyle name="20% - Accent1 11" xfId="24144" xr:uid="{A0C18FC8-2C48-4A21-BC17-05D654108B47}"/>
    <cellStyle name="20% - Accent1 11 2" xfId="24145" xr:uid="{74F2EB53-7CFB-473B-AD50-AABC5F41AE7C}"/>
    <cellStyle name="20% - Accent1 12" xfId="24146" xr:uid="{A49F4DB3-D298-4A51-9655-851F590D0D35}"/>
    <cellStyle name="20% - Accent1 13" xfId="24147" xr:uid="{D1450AB3-5824-46D8-B305-CF51C5CF38D3}"/>
    <cellStyle name="20% - Accent1 14" xfId="24148" xr:uid="{C42E9FBB-C8D9-42BA-B7D1-59A7BE07F3D3}"/>
    <cellStyle name="20% - Accent1 15" xfId="24149" xr:uid="{D5B1FCD4-3E94-4140-BCBF-C4CE9F3C9828}"/>
    <cellStyle name="20% - Accent1 16" xfId="24150" xr:uid="{CEFE07F0-1A59-4CBA-815A-AA09DC771651}"/>
    <cellStyle name="20% - Accent1 17" xfId="24151" xr:uid="{EB18F2E1-952E-46EC-BA8F-0646D31743AC}"/>
    <cellStyle name="20% - Accent1 18" xfId="24152" xr:uid="{B87A090C-B5D9-4E69-AFA5-BB40A6C7D107}"/>
    <cellStyle name="20% - Accent1 19" xfId="24153" xr:uid="{CC5894EB-F483-4318-871B-2C593E554C85}"/>
    <cellStyle name="20% - Accent1 2" xfId="129" xr:uid="{894156E1-3A07-4834-B05B-E607217087D2}"/>
    <cellStyle name="20% - Accent1 2 10" xfId="130" xr:uid="{BD3BCB04-DFFC-4F2F-891C-07D52CD56F55}"/>
    <cellStyle name="20% - Accent1 2 10 2" xfId="131" xr:uid="{C5A3A22F-AB00-49C4-A3DD-A4A023CF0882}"/>
    <cellStyle name="20% - Accent1 2 10 3" xfId="132" xr:uid="{D473EA4A-322C-4608-9B43-64A5B0DF39D0}"/>
    <cellStyle name="20% - Accent1 2 11" xfId="133" xr:uid="{8EAE0484-94BC-4E8E-A110-37E589FB74B9}"/>
    <cellStyle name="20% - Accent1 2 11 2" xfId="134" xr:uid="{89948F35-CE1E-4A35-A5F5-6E7CC9ABE553}"/>
    <cellStyle name="20% - Accent1 2 11 3" xfId="135" xr:uid="{8A6C10DC-AEA8-47E3-AB40-59B9DB6EB3C0}"/>
    <cellStyle name="20% - Accent1 2 12" xfId="136" xr:uid="{6E57C0FD-E5C8-4ABE-BC8C-D2DECAA85001}"/>
    <cellStyle name="20% - Accent1 2 12 2" xfId="137" xr:uid="{8EFFCED1-D48F-4AEC-963F-351CA02A1AEA}"/>
    <cellStyle name="20% - Accent1 2 12 3" xfId="138" xr:uid="{498BBAF0-F935-4761-B054-352BAAB88471}"/>
    <cellStyle name="20% - Accent1 2 13" xfId="139" xr:uid="{83961F7E-9B81-403E-ABDD-D1177C80EBC0}"/>
    <cellStyle name="20% - Accent1 2 13 2" xfId="140" xr:uid="{3C13E49A-CDC6-4D64-9E22-4941EA3F84C9}"/>
    <cellStyle name="20% - Accent1 2 14" xfId="141" xr:uid="{33271E7C-F303-4D21-B390-03FA136DF6CF}"/>
    <cellStyle name="20% - Accent1 2 15" xfId="142" xr:uid="{49DFD21E-C71A-4CEA-8016-85A817B8BE98}"/>
    <cellStyle name="20% - Accent1 2 16" xfId="24154" xr:uid="{0637B8C0-65F8-4648-8557-708DF217497B}"/>
    <cellStyle name="20% - Accent1 2 17" xfId="42196" xr:uid="{CCB114FA-0B8E-43E7-9ED1-9AE4C3623112}"/>
    <cellStyle name="20% - Accent1 2 18" xfId="44057" xr:uid="{75A13CB0-8C23-403F-A974-5FC61D8E6310}"/>
    <cellStyle name="20% - Accent1 2 2" xfId="143" xr:uid="{163266A2-3D82-4E8E-B839-DF986F0A5016}"/>
    <cellStyle name="20% - Accent1 2 2 2" xfId="144" xr:uid="{8D19B16E-D05B-48BB-B7A8-2ADC4136549B}"/>
    <cellStyle name="20% - Accent1 2 2 3" xfId="145" xr:uid="{E894B85C-EC34-48EC-B7DF-9A6F3F818CCA}"/>
    <cellStyle name="20% - Accent1 2 3" xfId="146" xr:uid="{9BB5ACEE-6DB5-4B0B-8D48-0C1DD20982C1}"/>
    <cellStyle name="20% - Accent1 2 3 2" xfId="147" xr:uid="{45A66DFF-BA6E-4C96-9A45-6AD3FE9031D5}"/>
    <cellStyle name="20% - Accent1 2 3 3" xfId="148" xr:uid="{86172DC5-A6A6-4D17-AFA5-7BEE7AD683FD}"/>
    <cellStyle name="20% - Accent1 2 4" xfId="149" xr:uid="{85D119F5-BB8B-477D-BB06-F62FCEF8CA9D}"/>
    <cellStyle name="20% - Accent1 2 4 2" xfId="150" xr:uid="{47EAE3D9-2CB1-44D5-AB93-E6C39C50891D}"/>
    <cellStyle name="20% - Accent1 2 4 3" xfId="151" xr:uid="{B95B7026-471A-496A-B057-BBAA7ADA510C}"/>
    <cellStyle name="20% - Accent1 2 5" xfId="152" xr:uid="{8E57037D-213F-4019-91B1-76C8FA98D610}"/>
    <cellStyle name="20% - Accent1 2 5 2" xfId="153" xr:uid="{45FA8A0F-2201-4E52-84A3-BD4EC40E5F6F}"/>
    <cellStyle name="20% - Accent1 2 5 3" xfId="154" xr:uid="{11109BF0-06ED-4F73-8303-334275C9A83E}"/>
    <cellStyle name="20% - Accent1 2 6" xfId="155" xr:uid="{940676E3-0D05-4562-8A09-D9B6522E97F6}"/>
    <cellStyle name="20% - Accent1 2 6 2" xfId="156" xr:uid="{3C2BC3E4-7EEB-4884-9140-2012D6287861}"/>
    <cellStyle name="20% - Accent1 2 6 3" xfId="157" xr:uid="{71B1B069-95FC-42D9-9BF4-BFA3E6FBBAC8}"/>
    <cellStyle name="20% - Accent1 2 7" xfId="158" xr:uid="{B4CCAA0E-0801-4C92-A207-BE360151D1FA}"/>
    <cellStyle name="20% - Accent1 2 7 2" xfId="159" xr:uid="{83209002-A4DC-46CD-A6E7-C8F8C602B182}"/>
    <cellStyle name="20% - Accent1 2 7 3" xfId="160" xr:uid="{C6115A8D-1D35-45FE-8054-B3F6DFF7CF74}"/>
    <cellStyle name="20% - Accent1 2 8" xfId="161" xr:uid="{1E72B1E4-A367-4882-9078-8C166FDC30DF}"/>
    <cellStyle name="20% - Accent1 2 8 2" xfId="162" xr:uid="{EB27D65C-F112-4F03-BA0D-827BC618A3E2}"/>
    <cellStyle name="20% - Accent1 2 8 3" xfId="163" xr:uid="{858D4BE6-BE47-4AD1-B2A3-58B4E166677B}"/>
    <cellStyle name="20% - Accent1 2 9" xfId="164" xr:uid="{78C6EC4E-0E7B-47B5-BEBF-A3B088E858B4}"/>
    <cellStyle name="20% - Accent1 2 9 2" xfId="165" xr:uid="{BB9A0F99-E207-4304-956B-CA2EFBAA2A2A}"/>
    <cellStyle name="20% - Accent1 2 9 3" xfId="166" xr:uid="{58785945-314D-4F08-8044-16665EB6D147}"/>
    <cellStyle name="20% - Accent1 20" xfId="24155" xr:uid="{336317E7-010A-4CD1-BB1F-C134DEC0FC40}"/>
    <cellStyle name="20% - Accent1 21" xfId="24156" xr:uid="{448BC27E-69F2-430C-8B95-D3C568B76477}"/>
    <cellStyle name="20% - Accent1 22" xfId="24157" xr:uid="{36AF19B2-CFAD-4AFD-BC87-03EB619997C3}"/>
    <cellStyle name="20% - Accent1 23" xfId="24158" xr:uid="{A7DE1008-B082-414E-9FDC-521968D1336B}"/>
    <cellStyle name="20% - Accent1 24" xfId="24159" xr:uid="{BDAA3380-AD0D-4C70-8858-49D74A934AC3}"/>
    <cellStyle name="20% - Accent1 25" xfId="24160" xr:uid="{28A17665-FAC6-4FA8-A67A-0117DCBBA3D8}"/>
    <cellStyle name="20% - Accent1 26" xfId="24161" xr:uid="{28A5B585-94BF-4193-B99C-7D8379033D98}"/>
    <cellStyle name="20% - Accent1 27" xfId="24162" xr:uid="{ED51E64B-5DCC-4648-9024-38FA19FBA665}"/>
    <cellStyle name="20% - Accent1 28" xfId="24163" xr:uid="{343C7B7C-08C0-4035-96BE-510409786C85}"/>
    <cellStyle name="20% - Accent1 29" xfId="24164" xr:uid="{9F52798A-A75B-465E-A40A-DBD4E897C1FE}"/>
    <cellStyle name="20% - Accent1 3" xfId="167" xr:uid="{F180C8E8-13F5-47D7-9534-3E664F0E45EF}"/>
    <cellStyle name="20% - Accent1 3 10" xfId="168" xr:uid="{56B37DAE-4557-4467-969B-78C9687334FB}"/>
    <cellStyle name="20% - Accent1 3 10 2" xfId="169" xr:uid="{C1C8115C-9BC1-4597-86AF-9F4A1B543C92}"/>
    <cellStyle name="20% - Accent1 3 11" xfId="170" xr:uid="{DF958433-27D1-4035-A9FD-4E26740B0710}"/>
    <cellStyle name="20% - Accent1 3 11 2" xfId="171" xr:uid="{7A059204-428D-4AF7-A612-3C584CFD276F}"/>
    <cellStyle name="20% - Accent1 3 12" xfId="172" xr:uid="{80F8D3F4-F20B-407E-8521-1D8787F5BBA7}"/>
    <cellStyle name="20% - Accent1 3 13" xfId="173" xr:uid="{70722F0B-08CE-4F33-9946-B38C4D81DAEC}"/>
    <cellStyle name="20% - Accent1 3 14" xfId="24165" xr:uid="{9393AB4C-E437-4228-9696-0A6EB003367C}"/>
    <cellStyle name="20% - Accent1 3 15" xfId="44170" xr:uid="{61B4377C-A056-465C-98ED-E66AB2E30F9E}"/>
    <cellStyle name="20% - Accent1 3 2" xfId="174" xr:uid="{CC0655E3-D8DC-4AA3-9780-8D2C8338FEBA}"/>
    <cellStyle name="20% - Accent1 3 2 2" xfId="175" xr:uid="{2E4AA5A7-10F3-47FB-ACEF-71CB147FD768}"/>
    <cellStyle name="20% - Accent1 3 2 3" xfId="24166" xr:uid="{82E145F7-DFDC-44A1-A556-1DD4B9806C2C}"/>
    <cellStyle name="20% - Accent1 3 3" xfId="176" xr:uid="{8A1BC0EE-DA25-4F89-899A-AF5103055F6E}"/>
    <cellStyle name="20% - Accent1 3 3 2" xfId="177" xr:uid="{D9A3D03B-F4ED-44F6-98D3-CA1617140B05}"/>
    <cellStyle name="20% - Accent1 3 3 3" xfId="42203" xr:uid="{E1EB23A0-D8D4-4D92-9800-3299BADB5E6E}"/>
    <cellStyle name="20% - Accent1 3 4" xfId="178" xr:uid="{20A6265A-F3E2-428B-AAD2-C2575AA1EC0F}"/>
    <cellStyle name="20% - Accent1 3 4 2" xfId="179" xr:uid="{AA9C6D25-3236-4A09-ADC7-0315E79117B6}"/>
    <cellStyle name="20% - Accent1 3 5" xfId="180" xr:uid="{28BAC310-C2D7-4F26-8342-91033E1655A6}"/>
    <cellStyle name="20% - Accent1 3 5 2" xfId="181" xr:uid="{88EFB027-3FB8-435B-BD4E-9011A413A140}"/>
    <cellStyle name="20% - Accent1 3 6" xfId="182" xr:uid="{3819C105-734A-4DDA-8888-9867BEF54D31}"/>
    <cellStyle name="20% - Accent1 3 6 2" xfId="183" xr:uid="{3096810C-692E-49C0-B81A-A6933AA01A49}"/>
    <cellStyle name="20% - Accent1 3 7" xfId="184" xr:uid="{9116574B-6121-43B2-8F6B-652387601C4B}"/>
    <cellStyle name="20% - Accent1 3 7 2" xfId="185" xr:uid="{3BE810B5-E45E-42A8-B15A-2DB7ECA25353}"/>
    <cellStyle name="20% - Accent1 3 8" xfId="186" xr:uid="{2B100DAC-16C4-49C5-82F9-5B2B658FE496}"/>
    <cellStyle name="20% - Accent1 3 8 2" xfId="187" xr:uid="{080286E4-1D83-45D4-88C7-CC0CC8AAE8D0}"/>
    <cellStyle name="20% - Accent1 3 9" xfId="188" xr:uid="{D27E889D-03CE-4B40-AEE8-B69203408DFC}"/>
    <cellStyle name="20% - Accent1 3 9 2" xfId="189" xr:uid="{E030741E-28C0-4BF5-8345-6EDFC68B4EBA}"/>
    <cellStyle name="20% - Accent1 30" xfId="24167" xr:uid="{3A67C2FD-B2D4-4DC8-8126-E15697D9BD6F}"/>
    <cellStyle name="20% - Accent1 31" xfId="24168" xr:uid="{DA682628-0487-4A01-B5E1-866375FB2CFB}"/>
    <cellStyle name="20% - Accent1 32" xfId="24169" xr:uid="{849BA5C1-D435-4305-B5F7-79256794D38E}"/>
    <cellStyle name="20% - Accent1 33" xfId="24170" xr:uid="{F2735E58-0D48-415B-9737-57F9ED3CE401}"/>
    <cellStyle name="20% - Accent1 34" xfId="24171" xr:uid="{5D44D300-5979-4ABC-AAE8-C4B5CEDE281F}"/>
    <cellStyle name="20% - Accent1 35" xfId="24172" xr:uid="{7DBB3351-3EB3-497A-B9A2-979F17EED3BC}"/>
    <cellStyle name="20% - Accent1 36" xfId="24173" xr:uid="{CCD6C350-2E44-47AB-BBF8-34FAA18BEDE2}"/>
    <cellStyle name="20% - Accent1 37" xfId="24174" xr:uid="{4B69E46C-B0D6-4158-8F0C-6BD4D279F331}"/>
    <cellStyle name="20% - Accent1 38" xfId="24175" xr:uid="{80B7A5A1-5D10-4338-9055-E0347DB1209F}"/>
    <cellStyle name="20% - Accent1 39" xfId="24176" xr:uid="{4B7F3A0C-3941-4EF7-9700-AB2500570D48}"/>
    <cellStyle name="20% - Accent1 4" xfId="190" xr:uid="{D8D6CA3D-090D-4B5B-9A2C-2B4065A2D250}"/>
    <cellStyle name="20% - Accent1 4 10" xfId="191" xr:uid="{629E988F-FAAD-4B70-BDA2-5CC4F04C4F74}"/>
    <cellStyle name="20% - Accent1 4 10 2" xfId="192" xr:uid="{F9907D76-EF5F-442C-8A78-9A6E5ADA8705}"/>
    <cellStyle name="20% - Accent1 4 11" xfId="193" xr:uid="{C98B56A2-6765-41AB-BE3C-77CFE3A66EB6}"/>
    <cellStyle name="20% - Accent1 4 11 2" xfId="194" xr:uid="{D1D7E4ED-BD89-479A-8D3F-86513CEE7F72}"/>
    <cellStyle name="20% - Accent1 4 12" xfId="195" xr:uid="{572A1438-229B-4F1F-AE9A-EFFB2B12B7B9}"/>
    <cellStyle name="20% - Accent1 4 13" xfId="196" xr:uid="{FF20C0C0-84EA-4D00-945A-EDEA8CA62A7A}"/>
    <cellStyle name="20% - Accent1 4 2" xfId="197" xr:uid="{4893F709-CA3A-44A8-8446-52926D24878D}"/>
    <cellStyle name="20% - Accent1 4 2 2" xfId="198" xr:uid="{AACBC37D-E179-409E-9162-20C810242343}"/>
    <cellStyle name="20% - Accent1 4 2 3" xfId="24177" xr:uid="{7BF9494C-F1B4-4323-B22C-AF8F83598FAA}"/>
    <cellStyle name="20% - Accent1 4 3" xfId="199" xr:uid="{C0DA8001-F0B3-460F-9F5C-F8E3B4140A59}"/>
    <cellStyle name="20% - Accent1 4 3 2" xfId="200" xr:uid="{E782BD93-2203-4C80-B170-29A97D2D4859}"/>
    <cellStyle name="20% - Accent1 4 4" xfId="201" xr:uid="{A82775F2-D773-4442-8C05-8D34311B4081}"/>
    <cellStyle name="20% - Accent1 4 4 2" xfId="202" xr:uid="{BA2F336F-A7CD-4065-84C7-2E83BE6319A2}"/>
    <cellStyle name="20% - Accent1 4 5" xfId="203" xr:uid="{FE9F5172-C8EA-4DCE-A4E3-58CED2AFDEBD}"/>
    <cellStyle name="20% - Accent1 4 5 2" xfId="204" xr:uid="{BBEE4054-7596-486B-9165-1035004314A5}"/>
    <cellStyle name="20% - Accent1 4 6" xfId="205" xr:uid="{573560D8-AC27-4E55-9E51-5C20D1421F7A}"/>
    <cellStyle name="20% - Accent1 4 6 2" xfId="206" xr:uid="{E354247E-465C-4CF3-9D5A-81BB2D4B4D55}"/>
    <cellStyle name="20% - Accent1 4 7" xfId="207" xr:uid="{BDDE268F-EA57-46B1-81E8-69F26063FB46}"/>
    <cellStyle name="20% - Accent1 4 7 2" xfId="208" xr:uid="{46AA131E-9B0B-426E-ABDA-E3220D5729CC}"/>
    <cellStyle name="20% - Accent1 4 8" xfId="209" xr:uid="{D3984194-6B30-46F1-AD94-EEF065981886}"/>
    <cellStyle name="20% - Accent1 4 8 2" xfId="210" xr:uid="{2AE4D200-54E8-4BB3-98C9-E24BCED2B380}"/>
    <cellStyle name="20% - Accent1 4 9" xfId="211" xr:uid="{B97B0894-DD65-41C0-A09C-7C28CF221238}"/>
    <cellStyle name="20% - Accent1 4 9 2" xfId="212" xr:uid="{20380FA9-D6D1-4354-B700-5C2B302CAC74}"/>
    <cellStyle name="20% - Accent1 40" xfId="24178" xr:uid="{5D7117E9-F7B4-4CF5-8BF3-9F45C539816B}"/>
    <cellStyle name="20% - Accent1 41" xfId="24179" xr:uid="{32C20052-BAB0-466B-9DC3-1854FB04F64E}"/>
    <cellStyle name="20% - Accent1 42" xfId="24180" xr:uid="{47CF7B76-F319-461A-A1F4-735DA5AFC442}"/>
    <cellStyle name="20% - Accent1 43" xfId="24181" xr:uid="{96189D32-E16D-4CD8-A5CE-FD18E541FEEB}"/>
    <cellStyle name="20% - Accent1 44" xfId="45859" xr:uid="{FE8D0651-1FE9-442D-943F-11C72AB6B0CC}"/>
    <cellStyle name="20% - Accent1 45" xfId="45877" xr:uid="{6F4DC278-CA86-42E6-8A5C-1350EC0C0FD1}"/>
    <cellStyle name="20% - Accent1 5" xfId="213" xr:uid="{FD0C7B79-994A-4720-9A32-AC4D52BF1AE5}"/>
    <cellStyle name="20% - Accent1 5 10" xfId="214" xr:uid="{1B696526-CF37-4EA3-9082-43906330CD96}"/>
    <cellStyle name="20% - Accent1 5 10 2" xfId="215" xr:uid="{E25AC08E-EACB-4B71-A412-0B4FB8C23F39}"/>
    <cellStyle name="20% - Accent1 5 11" xfId="216" xr:uid="{C67AE654-A8B1-4F97-B7F6-E35F31A768CE}"/>
    <cellStyle name="20% - Accent1 5 11 2" xfId="217" xr:uid="{8E1E1784-9177-4799-B385-3FAA09BF6306}"/>
    <cellStyle name="20% - Accent1 5 12" xfId="218" xr:uid="{42042D6F-4CBF-439E-BC28-1B2EDE7CA62E}"/>
    <cellStyle name="20% - Accent1 5 13" xfId="219" xr:uid="{60DD5D1D-30DE-4F84-9C9C-988A7C274F02}"/>
    <cellStyle name="20% - Accent1 5 2" xfId="220" xr:uid="{40A83F6A-941E-4800-A8C8-BEBBDA71878A}"/>
    <cellStyle name="20% - Accent1 5 2 2" xfId="221" xr:uid="{19E658C6-0D6A-46E9-9B88-2027D4EA05C8}"/>
    <cellStyle name="20% - Accent1 5 2 3" xfId="24182" xr:uid="{F3690A3A-F137-4F6C-88B5-E71946B338D1}"/>
    <cellStyle name="20% - Accent1 5 3" xfId="222" xr:uid="{A3887E5E-F474-45F2-B0CF-CB20E41C976B}"/>
    <cellStyle name="20% - Accent1 5 3 2" xfId="223" xr:uid="{C2D4C497-3B60-465E-82E0-D4305E376A1B}"/>
    <cellStyle name="20% - Accent1 5 4" xfId="224" xr:uid="{6EE92DB2-CE6D-43A9-A7D0-FB9521747066}"/>
    <cellStyle name="20% - Accent1 5 4 2" xfId="225" xr:uid="{12F2481C-8FD3-4D76-AAAE-C373E2999037}"/>
    <cellStyle name="20% - Accent1 5 5" xfId="226" xr:uid="{B43A24B6-1DC3-4548-9B77-176368CF2F32}"/>
    <cellStyle name="20% - Accent1 5 5 2" xfId="227" xr:uid="{2DB2CD29-6F26-4500-9305-B60030AD4C44}"/>
    <cellStyle name="20% - Accent1 5 6" xfId="228" xr:uid="{40F93075-CBBD-48E4-8438-37EF3BCD80F9}"/>
    <cellStyle name="20% - Accent1 5 6 2" xfId="229" xr:uid="{942614CD-0B19-455A-BBC0-DB9206FC615C}"/>
    <cellStyle name="20% - Accent1 5 7" xfId="230" xr:uid="{4A2CCCB3-25F9-4FBD-94D6-CCB723B8AEF7}"/>
    <cellStyle name="20% - Accent1 5 7 2" xfId="231" xr:uid="{23D400CB-77F5-464A-9422-5E643BEEA8F0}"/>
    <cellStyle name="20% - Accent1 5 8" xfId="232" xr:uid="{70779082-9D8D-492E-A12F-8ECB99AE8718}"/>
    <cellStyle name="20% - Accent1 5 8 2" xfId="233" xr:uid="{C8694A2A-1B42-4031-B49F-B894241B036E}"/>
    <cellStyle name="20% - Accent1 5 9" xfId="234" xr:uid="{446099A7-2096-47CB-9112-323E6013AE92}"/>
    <cellStyle name="20% - Accent1 5 9 2" xfId="235" xr:uid="{CB7DA0AF-9B80-493A-AD4A-08C1FA4ACCC2}"/>
    <cellStyle name="20% - Accent1 6" xfId="236" xr:uid="{0EFF5993-4738-4FD0-A28F-D08A2F009DBA}"/>
    <cellStyle name="20% - Accent1 6 10" xfId="237" xr:uid="{172F8A0C-EEC7-4B09-85CF-EF4EBCACB067}"/>
    <cellStyle name="20% - Accent1 6 10 2" xfId="238" xr:uid="{95DBAF3B-9F08-4E0E-AD8D-B341C007CE45}"/>
    <cellStyle name="20% - Accent1 6 11" xfId="239" xr:uid="{577A2D91-5421-4D7F-9B84-4DDB2F61FFE9}"/>
    <cellStyle name="20% - Accent1 6 11 2" xfId="240" xr:uid="{705DABBB-302C-433F-9464-64596A781B4C}"/>
    <cellStyle name="20% - Accent1 6 12" xfId="241" xr:uid="{12365563-5106-44CC-99D9-8F49F0B559AF}"/>
    <cellStyle name="20% - Accent1 6 13" xfId="242" xr:uid="{7ECEFD81-FBD4-43E9-8EB2-2105FCCB9162}"/>
    <cellStyle name="20% - Accent1 6 2" xfId="243" xr:uid="{281978B2-DF4F-472F-AA96-425B56E87934}"/>
    <cellStyle name="20% - Accent1 6 2 2" xfId="244" xr:uid="{64C0FB1C-14B9-4A1D-8505-9BCAECF2F460}"/>
    <cellStyle name="20% - Accent1 6 2 3" xfId="24183" xr:uid="{1D82D3BB-694B-4532-8664-5108B9A4C2EF}"/>
    <cellStyle name="20% - Accent1 6 3" xfId="245" xr:uid="{D68E143D-8289-4444-B56F-811F18F022D0}"/>
    <cellStyle name="20% - Accent1 6 3 2" xfId="246" xr:uid="{A5BAC832-CCC4-4548-86FB-CD336F7D66A7}"/>
    <cellStyle name="20% - Accent1 6 4" xfId="247" xr:uid="{B154E81A-9678-4D45-9B5E-A879A37B6DDE}"/>
    <cellStyle name="20% - Accent1 6 4 2" xfId="248" xr:uid="{276A16D2-2EEC-4A77-9293-1E51A7F0BE2A}"/>
    <cellStyle name="20% - Accent1 6 5" xfId="249" xr:uid="{938571DA-CB20-4B67-91DC-1B117F43C91C}"/>
    <cellStyle name="20% - Accent1 6 5 2" xfId="250" xr:uid="{124CBE36-06C8-4D26-9903-79C4AD78F189}"/>
    <cellStyle name="20% - Accent1 6 6" xfId="251" xr:uid="{7B5D245E-8F2E-440D-AA4A-97DFCDF50A62}"/>
    <cellStyle name="20% - Accent1 6 6 2" xfId="252" xr:uid="{B8478F1D-D79D-4481-AAD3-58C5536337AB}"/>
    <cellStyle name="20% - Accent1 6 7" xfId="253" xr:uid="{327D5742-DE98-4C56-9BAE-8DF1665856C4}"/>
    <cellStyle name="20% - Accent1 6 7 2" xfId="254" xr:uid="{630B43DD-8668-4AC3-A2BE-B0D54787B20F}"/>
    <cellStyle name="20% - Accent1 6 8" xfId="255" xr:uid="{40618EAD-65D0-4802-9353-80D997FFBB22}"/>
    <cellStyle name="20% - Accent1 6 8 2" xfId="256" xr:uid="{F5E80304-6C64-440E-8007-AD65A78C2106}"/>
    <cellStyle name="20% - Accent1 6 9" xfId="257" xr:uid="{BC4A49CE-9050-4C16-A456-5CA639663312}"/>
    <cellStyle name="20% - Accent1 6 9 2" xfId="258" xr:uid="{5292F1E8-A5B3-465B-AC9C-E8CF4C710400}"/>
    <cellStyle name="20% - Accent1 7" xfId="259" xr:uid="{E3E91393-E7FF-4FD4-B856-AD1984701025}"/>
    <cellStyle name="20% - Accent1 7 2" xfId="260" xr:uid="{42D9AB2E-4A93-4CE3-9BF3-2D8923671DA3}"/>
    <cellStyle name="20% - Accent1 7 2 2" xfId="24184" xr:uid="{ADF3C6A1-6B31-49C0-B6D1-C209AA306894}"/>
    <cellStyle name="20% - Accent1 7 3" xfId="261" xr:uid="{1CD26138-73EA-46B9-ADC9-1862AA92C848}"/>
    <cellStyle name="20% - Accent1 7 3 2" xfId="24185" xr:uid="{498C02CE-4192-45D2-BDAA-547C1AE13CC8}"/>
    <cellStyle name="20% - Accent1 8" xfId="262" xr:uid="{7867E06F-B8DC-45AF-B4EA-61FB3C75ADDB}"/>
    <cellStyle name="20% - Accent1 8 2" xfId="263" xr:uid="{ED1F2079-005D-4652-A7D1-F9D255F2FA86}"/>
    <cellStyle name="20% - Accent1 8 2 2" xfId="24186" xr:uid="{FF74BA93-D13D-45F9-9DDF-4A1A61E1E8C9}"/>
    <cellStyle name="20% - Accent1 8 3" xfId="264" xr:uid="{CCD59EC2-8572-4F81-BB27-CE412D39FA7C}"/>
    <cellStyle name="20% - Accent1 8 3 2" xfId="24187" xr:uid="{66EC5239-1C24-41B1-8CC4-217BF23D8411}"/>
    <cellStyle name="20% - Accent1 9" xfId="265" xr:uid="{1792EB4D-C8BB-40B7-A067-D0F49D6EFB8A}"/>
    <cellStyle name="20% - Accent1 9 2" xfId="266" xr:uid="{F012A9A7-26BE-4245-BE43-B3FB256E224B}"/>
    <cellStyle name="20% - Accent2" xfId="962" builtinId="34" customBuiltin="1"/>
    <cellStyle name="20% - Accent2 10" xfId="267" xr:uid="{A77D9511-1E34-4C2B-A42D-5106BAB3CBA7}"/>
    <cellStyle name="20% - Accent2 10 2" xfId="268" xr:uid="{2762FA96-5BC4-4067-908B-EEC06C3D1F39}"/>
    <cellStyle name="20% - Accent2 11" xfId="24188" xr:uid="{304BF4EC-679F-4B34-8BEF-C56141418BD7}"/>
    <cellStyle name="20% - Accent2 11 2" xfId="24189" xr:uid="{D8CECFE8-7584-442F-A488-AD251F552ACB}"/>
    <cellStyle name="20% - Accent2 12" xfId="24190" xr:uid="{8DE17A37-EBC5-4272-BB9F-0B75AFFA3AE9}"/>
    <cellStyle name="20% - Accent2 13" xfId="24191" xr:uid="{AA70B759-5ACD-497F-BB6D-E05D102D64C9}"/>
    <cellStyle name="20% - Accent2 14" xfId="24192" xr:uid="{E9199A0F-68D0-4874-AAF5-6C260F35A2A1}"/>
    <cellStyle name="20% - Accent2 15" xfId="24193" xr:uid="{6F3A53B5-3337-4A63-80C6-C91F22062557}"/>
    <cellStyle name="20% - Accent2 16" xfId="24194" xr:uid="{1EDE3118-04F7-4F6C-A344-F7959782CA5B}"/>
    <cellStyle name="20% - Accent2 17" xfId="24195" xr:uid="{09A7DFE7-1A37-4FBE-A911-D7347E2D0ACB}"/>
    <cellStyle name="20% - Accent2 18" xfId="24196" xr:uid="{E870BA15-32B4-4A97-8C3B-16248240DA49}"/>
    <cellStyle name="20% - Accent2 19" xfId="24197" xr:uid="{D73F6DCA-206F-4F13-BCE0-75C4C215F30C}"/>
    <cellStyle name="20% - Accent2 2" xfId="269" xr:uid="{29D6ADE3-5126-49B9-B9B3-74CAF999CCAF}"/>
    <cellStyle name="20% - Accent2 2 10" xfId="270" xr:uid="{C7FC312B-CFCF-4558-A55D-D7D91D5E83D2}"/>
    <cellStyle name="20% - Accent2 2 10 2" xfId="271" xr:uid="{D5D74DBB-CC37-4B12-9601-826F7A5ADAEC}"/>
    <cellStyle name="20% - Accent2 2 10 3" xfId="272" xr:uid="{75F097EE-ED24-4EB2-832C-B99E2CA4F5B3}"/>
    <cellStyle name="20% - Accent2 2 11" xfId="273" xr:uid="{2472F3D1-F1EE-4CDA-B760-C32BEA42D4FF}"/>
    <cellStyle name="20% - Accent2 2 11 2" xfId="274" xr:uid="{518330D4-30B7-455D-AC15-F52BE88A5EB7}"/>
    <cellStyle name="20% - Accent2 2 11 3" xfId="275" xr:uid="{90948B60-002B-41CC-A569-32126322112A}"/>
    <cellStyle name="20% - Accent2 2 12" xfId="276" xr:uid="{9CFB690A-ACC1-41BD-B017-7C792800572C}"/>
    <cellStyle name="20% - Accent2 2 12 2" xfId="277" xr:uid="{EEE5BB7A-8511-4781-AFFE-EA0C278C1B8B}"/>
    <cellStyle name="20% - Accent2 2 12 3" xfId="278" xr:uid="{FC972083-E382-4723-A34F-FFE58F4B80A6}"/>
    <cellStyle name="20% - Accent2 2 13" xfId="279" xr:uid="{0264D7F8-E9D7-4BB8-95B8-D669C3B7BE23}"/>
    <cellStyle name="20% - Accent2 2 13 2" xfId="280" xr:uid="{D615868B-CC40-4332-A332-D5D76759243E}"/>
    <cellStyle name="20% - Accent2 2 14" xfId="281" xr:uid="{C549562B-36E5-4BC5-A24B-567C8838A9C6}"/>
    <cellStyle name="20% - Accent2 2 15" xfId="282" xr:uid="{FA91F282-CC72-4867-90C6-560E4BDDD4E6}"/>
    <cellStyle name="20% - Accent2 2 16" xfId="24198" xr:uid="{D6A3B624-EBE2-468F-83D8-69180AA52672}"/>
    <cellStyle name="20% - Accent2 2 17" xfId="44058" xr:uid="{51B948A4-46B1-455A-9C19-246DCB8968A5}"/>
    <cellStyle name="20% - Accent2 2 2" xfId="283" xr:uid="{130A94CA-66F7-4690-91A5-E4CCBDCB80A3}"/>
    <cellStyle name="20% - Accent2 2 2 2" xfId="284" xr:uid="{3A143612-4642-4613-B7C7-1C4D3F6ED1C4}"/>
    <cellStyle name="20% - Accent2 2 2 3" xfId="285" xr:uid="{4F5CDD52-5DE6-41CA-ADA6-903AA10A0AA7}"/>
    <cellStyle name="20% - Accent2 2 3" xfId="286" xr:uid="{B528A179-55D7-4850-B728-084E491015E8}"/>
    <cellStyle name="20% - Accent2 2 3 2" xfId="287" xr:uid="{9D7C26D2-849D-48F1-9847-183768544870}"/>
    <cellStyle name="20% - Accent2 2 3 3" xfId="288" xr:uid="{84A4F66C-7354-4363-91C2-F62FD43BF07F}"/>
    <cellStyle name="20% - Accent2 2 4" xfId="289" xr:uid="{F1173A8B-6DBD-404C-A69D-5E86A3ACD56A}"/>
    <cellStyle name="20% - Accent2 2 4 2" xfId="290" xr:uid="{FEFE41BC-000F-494C-87E9-A71188ECD3E8}"/>
    <cellStyle name="20% - Accent2 2 4 3" xfId="291" xr:uid="{B27CB23D-8CA3-441C-86E6-01FF58BF0919}"/>
    <cellStyle name="20% - Accent2 2 5" xfId="292" xr:uid="{9D15F8EC-B4EF-4F0B-97C8-F6BAACCFFCE0}"/>
    <cellStyle name="20% - Accent2 2 5 2" xfId="293" xr:uid="{1B799FCE-142B-4E06-B9C4-0D8852B7663D}"/>
    <cellStyle name="20% - Accent2 2 5 3" xfId="294" xr:uid="{961AC3F1-987C-4C69-BCF2-9BE49321B1B4}"/>
    <cellStyle name="20% - Accent2 2 6" xfId="295" xr:uid="{59E54853-0B02-46CB-9A23-9961093509CB}"/>
    <cellStyle name="20% - Accent2 2 6 2" xfId="296" xr:uid="{E152FAE1-5F48-4912-AADD-59641A18E466}"/>
    <cellStyle name="20% - Accent2 2 6 3" xfId="297" xr:uid="{FBE8C175-6CF5-4658-BE31-1EAFC57AD8B7}"/>
    <cellStyle name="20% - Accent2 2 7" xfId="298" xr:uid="{10E252A6-00B0-445E-B62B-2B6FF47D9C9C}"/>
    <cellStyle name="20% - Accent2 2 7 2" xfId="299" xr:uid="{214CEF2C-646F-45F9-9219-9F519BDE3EB3}"/>
    <cellStyle name="20% - Accent2 2 7 3" xfId="300" xr:uid="{17FB0A9E-A03D-46BB-B945-40EF44B9128F}"/>
    <cellStyle name="20% - Accent2 2 8" xfId="301" xr:uid="{A2F2812B-B7EC-4261-89C4-125A37C244AF}"/>
    <cellStyle name="20% - Accent2 2 8 2" xfId="302" xr:uid="{921BF69E-8FA2-4A3E-AEA8-EE2F6CA9B349}"/>
    <cellStyle name="20% - Accent2 2 8 3" xfId="303" xr:uid="{3CED19C9-F23C-49A3-9D1D-423910D6704C}"/>
    <cellStyle name="20% - Accent2 2 9" xfId="304" xr:uid="{9C774F48-2507-4EF3-8E1A-A6DAC8F499F0}"/>
    <cellStyle name="20% - Accent2 2 9 2" xfId="305" xr:uid="{161F8BDB-EE93-4BED-8B0B-5B241FDB5E4A}"/>
    <cellStyle name="20% - Accent2 2 9 3" xfId="306" xr:uid="{1AD70320-5C94-4CF4-9E31-445F01232D30}"/>
    <cellStyle name="20% - Accent2 20" xfId="24199" xr:uid="{F1EA0E51-AC3C-45EE-BF66-BCF52F8FE3DA}"/>
    <cellStyle name="20% - Accent2 21" xfId="24200" xr:uid="{7E97EF48-EDCE-4350-83B8-1E141E4AC6F0}"/>
    <cellStyle name="20% - Accent2 22" xfId="24201" xr:uid="{84E971AA-9FF7-4377-A302-3E6721B9CA0F}"/>
    <cellStyle name="20% - Accent2 23" xfId="24202" xr:uid="{6E1F5B98-97E1-4A11-9C99-2C005066380A}"/>
    <cellStyle name="20% - Accent2 24" xfId="24203" xr:uid="{5AEFDE0A-F1FC-464F-ADEA-CFF98F45920A}"/>
    <cellStyle name="20% - Accent2 25" xfId="24204" xr:uid="{F4A0E0AB-718B-45E4-9B02-387FDEF0A687}"/>
    <cellStyle name="20% - Accent2 26" xfId="24205" xr:uid="{1E19B408-C56C-4175-849E-4F68430D7A5F}"/>
    <cellStyle name="20% - Accent2 27" xfId="24206" xr:uid="{FF1F593C-AA2A-4EE0-BDDF-AA70E51F3F0B}"/>
    <cellStyle name="20% - Accent2 28" xfId="24207" xr:uid="{AF21CFF3-8C8A-4717-A5CC-3A78D7C950DE}"/>
    <cellStyle name="20% - Accent2 29" xfId="24208" xr:uid="{F0577B68-37F4-4BDC-9507-6A2EC7A733A2}"/>
    <cellStyle name="20% - Accent2 3" xfId="307" xr:uid="{35D8A013-4FFD-4F2E-92C9-9CFAEC372B78}"/>
    <cellStyle name="20% - Accent2 3 10" xfId="308" xr:uid="{B7017645-1F15-4341-9143-41AFBCFA6CED}"/>
    <cellStyle name="20% - Accent2 3 10 2" xfId="309" xr:uid="{82962ACB-A55B-485A-8115-BBF2881F2281}"/>
    <cellStyle name="20% - Accent2 3 11" xfId="310" xr:uid="{560D93CF-D846-460F-8436-318442D04ACD}"/>
    <cellStyle name="20% - Accent2 3 11 2" xfId="311" xr:uid="{060AA4EA-134F-4E7A-934A-C79394086546}"/>
    <cellStyle name="20% - Accent2 3 12" xfId="312" xr:uid="{BC18189C-B5B7-42AF-851D-E1A726C7A37C}"/>
    <cellStyle name="20% - Accent2 3 13" xfId="313" xr:uid="{3212FA56-8603-49C4-8DAF-FC07942FEDB1}"/>
    <cellStyle name="20% - Accent2 3 14" xfId="24209" xr:uid="{DF6D62C5-D74B-4E9E-AEC1-E763B088E61B}"/>
    <cellStyle name="20% - Accent2 3 15" xfId="44171" xr:uid="{AF636B05-D27B-4580-8710-0217C37F3571}"/>
    <cellStyle name="20% - Accent2 3 2" xfId="314" xr:uid="{C9436DF0-ED43-46E0-87C0-BF51473A54B7}"/>
    <cellStyle name="20% - Accent2 3 2 2" xfId="315" xr:uid="{CCD7F47E-03CE-48C1-8065-06B8096C5F6B}"/>
    <cellStyle name="20% - Accent2 3 2 3" xfId="24210" xr:uid="{2C99ECED-FED9-4995-803E-4EDE26CDA44F}"/>
    <cellStyle name="20% - Accent2 3 3" xfId="316" xr:uid="{AEBF0052-17AA-40BB-B9B9-976D6CE09C80}"/>
    <cellStyle name="20% - Accent2 3 3 2" xfId="317" xr:uid="{650D8EEB-93FD-4EC0-BF2B-920DA8C2BDE4}"/>
    <cellStyle name="20% - Accent2 3 3 3" xfId="42204" xr:uid="{945CB456-70ED-4452-864E-F032E3B0FB77}"/>
    <cellStyle name="20% - Accent2 3 4" xfId="318" xr:uid="{BC8A1B37-E219-42E0-B0A1-E98FE8746750}"/>
    <cellStyle name="20% - Accent2 3 4 2" xfId="319" xr:uid="{5A0837AA-8FDD-43F6-AEBD-7789EB3A5E8A}"/>
    <cellStyle name="20% - Accent2 3 5" xfId="320" xr:uid="{86294A68-82A6-474F-9C9F-E29A58C064BE}"/>
    <cellStyle name="20% - Accent2 3 5 2" xfId="321" xr:uid="{A6D841E0-C9AD-4245-A292-B5FCF6B6842C}"/>
    <cellStyle name="20% - Accent2 3 6" xfId="322" xr:uid="{AE4F8EB8-BEBE-4BB0-962F-FEFE88A6AF93}"/>
    <cellStyle name="20% - Accent2 3 6 2" xfId="323" xr:uid="{B99DFF3B-BAED-4FD0-8379-9CCA1673620A}"/>
    <cellStyle name="20% - Accent2 3 7" xfId="324" xr:uid="{CE2429EE-3869-4235-B36F-3997DF7E4D2B}"/>
    <cellStyle name="20% - Accent2 3 7 2" xfId="325" xr:uid="{0D6CD528-9609-4C04-99AE-B0C7FA2CF0AC}"/>
    <cellStyle name="20% - Accent2 3 8" xfId="326" xr:uid="{E376A3B2-49C4-4EBD-B5B5-BF9827603C29}"/>
    <cellStyle name="20% - Accent2 3 8 2" xfId="327" xr:uid="{ADA9B139-6E55-4244-BFB0-F14D8AED79AC}"/>
    <cellStyle name="20% - Accent2 3 9" xfId="328" xr:uid="{FABA52AD-048D-4CC8-B4F8-664A5A4F0DDA}"/>
    <cellStyle name="20% - Accent2 3 9 2" xfId="329" xr:uid="{DF3ABF49-693A-465D-BC6D-87F65C997847}"/>
    <cellStyle name="20% - Accent2 30" xfId="24211" xr:uid="{F3AEE65E-BCBA-400C-AB87-1201E0CD689B}"/>
    <cellStyle name="20% - Accent2 31" xfId="24212" xr:uid="{D0A3EEE8-0160-4C1D-BA6B-121BF18E99AA}"/>
    <cellStyle name="20% - Accent2 32" xfId="24213" xr:uid="{C2A996B7-89B3-4594-BC72-28DBB4D066A0}"/>
    <cellStyle name="20% - Accent2 33" xfId="24214" xr:uid="{07BEE2D5-13A8-4C45-9DDF-DD354957DB5B}"/>
    <cellStyle name="20% - Accent2 34" xfId="24215" xr:uid="{1D02278C-6113-43B2-B980-70740ADCD435}"/>
    <cellStyle name="20% - Accent2 35" xfId="24216" xr:uid="{03565018-CCA3-4BC9-8AE3-BE26BC677798}"/>
    <cellStyle name="20% - Accent2 36" xfId="24217" xr:uid="{5C6FA89E-AC40-4BDE-A652-8E3BC9AFA379}"/>
    <cellStyle name="20% - Accent2 37" xfId="24218" xr:uid="{7DF9CEE8-E0A6-4374-A5B1-7B8F10893A2C}"/>
    <cellStyle name="20% - Accent2 38" xfId="24219" xr:uid="{3841D4D3-E783-4821-B647-52642C4315AD}"/>
    <cellStyle name="20% - Accent2 39" xfId="24220" xr:uid="{95637D6C-6197-4A9C-A476-1D3267E580D8}"/>
    <cellStyle name="20% - Accent2 4" xfId="330" xr:uid="{A9CEB69F-04F3-4424-9282-57B0F29FF032}"/>
    <cellStyle name="20% - Accent2 4 10" xfId="331" xr:uid="{AE9F155F-6FA3-4D41-BE7D-DE810E9F86A5}"/>
    <cellStyle name="20% - Accent2 4 10 2" xfId="332" xr:uid="{08D6EF29-B60B-47DB-82FD-2B90CF2C0F2B}"/>
    <cellStyle name="20% - Accent2 4 11" xfId="333" xr:uid="{5B280654-DEE9-4BDB-9CC2-824D1863BB82}"/>
    <cellStyle name="20% - Accent2 4 11 2" xfId="334" xr:uid="{B28A4EE3-95C1-4005-A230-9131378E5FD4}"/>
    <cellStyle name="20% - Accent2 4 12" xfId="335" xr:uid="{B6B24F52-5F3E-4D93-9E26-5E26EFC7F77E}"/>
    <cellStyle name="20% - Accent2 4 13" xfId="336" xr:uid="{ACCB70FE-D9BA-4CAE-85C6-0C3D4C27475D}"/>
    <cellStyle name="20% - Accent2 4 2" xfId="337" xr:uid="{E2CFCC60-397F-4DB2-AE21-FB765F58927D}"/>
    <cellStyle name="20% - Accent2 4 2 2" xfId="338" xr:uid="{CB781D98-92D7-4238-B389-66BE6339F1B3}"/>
    <cellStyle name="20% - Accent2 4 2 3" xfId="24221" xr:uid="{9267BC9B-8F8E-491D-BA02-302E6598BEF4}"/>
    <cellStyle name="20% - Accent2 4 3" xfId="339" xr:uid="{AED3E65B-C276-4F4C-96A3-60F7170416FD}"/>
    <cellStyle name="20% - Accent2 4 3 2" xfId="340" xr:uid="{2551147B-C5D4-4B21-BAA2-5BDA669F2239}"/>
    <cellStyle name="20% - Accent2 4 4" xfId="341" xr:uid="{E68E09CA-C193-4603-922F-8C51F8B3D886}"/>
    <cellStyle name="20% - Accent2 4 4 2" xfId="342" xr:uid="{B619825D-ED61-4B69-85B5-142A8AC779E3}"/>
    <cellStyle name="20% - Accent2 4 5" xfId="343" xr:uid="{AF836BE9-6839-4679-864D-671AF7E9CFE9}"/>
    <cellStyle name="20% - Accent2 4 5 2" xfId="344" xr:uid="{897562CF-6C07-470D-9005-72C725E3ED6E}"/>
    <cellStyle name="20% - Accent2 4 6" xfId="345" xr:uid="{56A3743D-4FD9-4820-95F9-EB8B59B68CAE}"/>
    <cellStyle name="20% - Accent2 4 6 2" xfId="346" xr:uid="{9CB6A5B5-29C5-4AE0-ACD4-9CF2A3470F62}"/>
    <cellStyle name="20% - Accent2 4 7" xfId="347" xr:uid="{60B76B4B-3683-456E-9C5B-125D9B3BBDCA}"/>
    <cellStyle name="20% - Accent2 4 7 2" xfId="348" xr:uid="{9EA13B16-69E1-4B38-9D69-4CFC2AACE17C}"/>
    <cellStyle name="20% - Accent2 4 8" xfId="349" xr:uid="{EDF9D205-6CAB-40F6-A6B4-E117B6F4B576}"/>
    <cellStyle name="20% - Accent2 4 8 2" xfId="350" xr:uid="{EAE77719-2437-4A17-8D5C-AFA75CDB11C2}"/>
    <cellStyle name="20% - Accent2 4 9" xfId="351" xr:uid="{DD661A62-4921-4A62-93A1-7BCE89F44003}"/>
    <cellStyle name="20% - Accent2 4 9 2" xfId="352" xr:uid="{0948DC1C-08F9-4386-ACC8-CC3DF74F02ED}"/>
    <cellStyle name="20% - Accent2 40" xfId="24222" xr:uid="{F1CABB37-3CF1-4B6C-A036-5CDA90FF4097}"/>
    <cellStyle name="20% - Accent2 41" xfId="24223" xr:uid="{A0240B67-8F78-43A4-8DAB-F21E612ED09B}"/>
    <cellStyle name="20% - Accent2 42" xfId="24224" xr:uid="{92E7B8AF-C7D4-42FE-BB24-BD8DBCAD6C5A}"/>
    <cellStyle name="20% - Accent2 43" xfId="24225" xr:uid="{3EB52D37-7121-4BAC-AABE-DE0FDD530BF9}"/>
    <cellStyle name="20% - Accent2 44" xfId="45861" xr:uid="{FA160FE3-CC10-4E6F-870E-F4D61084B6BE}"/>
    <cellStyle name="20% - Accent2 45" xfId="45880" xr:uid="{2CC8F5B5-26D5-4488-B31A-9FAF88D7B14C}"/>
    <cellStyle name="20% - Accent2 5" xfId="353" xr:uid="{23347418-8117-4280-8796-3A8FE74AA1F1}"/>
    <cellStyle name="20% - Accent2 5 10" xfId="354" xr:uid="{4D9379D4-D9D2-4CC0-8032-7407EF9DBC66}"/>
    <cellStyle name="20% - Accent2 5 10 2" xfId="355" xr:uid="{AC688BED-789B-4BD2-94BD-98CBAD7AA357}"/>
    <cellStyle name="20% - Accent2 5 11" xfId="356" xr:uid="{0A9D7B76-5F0D-4DC3-9E44-FF60DE62CC14}"/>
    <cellStyle name="20% - Accent2 5 11 2" xfId="357" xr:uid="{49AB3068-6704-4E38-BEB4-8481C07BAFEA}"/>
    <cellStyle name="20% - Accent2 5 12" xfId="358" xr:uid="{76AF8A02-DDE3-493E-833A-5820BEF429AD}"/>
    <cellStyle name="20% - Accent2 5 13" xfId="359" xr:uid="{913782DD-4D8D-4D0A-B45B-B7173C28F700}"/>
    <cellStyle name="20% - Accent2 5 2" xfId="360" xr:uid="{5DE5101E-E5D7-4E90-8899-22DE4D53E271}"/>
    <cellStyle name="20% - Accent2 5 2 2" xfId="361" xr:uid="{DCE0E323-759D-4167-95D5-A4F5243BD75F}"/>
    <cellStyle name="20% - Accent2 5 2 3" xfId="24226" xr:uid="{05D1C1D2-B6A5-4CB8-A451-2F1CDD0CB0BD}"/>
    <cellStyle name="20% - Accent2 5 3" xfId="362" xr:uid="{D393A5A7-772C-4880-B1AF-64B0111E26E3}"/>
    <cellStyle name="20% - Accent2 5 3 2" xfId="363" xr:uid="{CD0D3E22-4D71-4738-85A5-1A1924827C3D}"/>
    <cellStyle name="20% - Accent2 5 4" xfId="364" xr:uid="{58A3C121-38B6-4C91-B7E8-09A349D3A348}"/>
    <cellStyle name="20% - Accent2 5 4 2" xfId="365" xr:uid="{1B0DC866-5FDA-46D7-9B8C-6972D091D543}"/>
    <cellStyle name="20% - Accent2 5 5" xfId="366" xr:uid="{F45955C6-8F46-4A7A-AC0A-8EE7D02D3B32}"/>
    <cellStyle name="20% - Accent2 5 5 2" xfId="367" xr:uid="{F071C36B-5661-420C-8662-3D8695F4B858}"/>
    <cellStyle name="20% - Accent2 5 6" xfId="368" xr:uid="{3A7683E8-00D2-4181-A9B9-460427172C6C}"/>
    <cellStyle name="20% - Accent2 5 6 2" xfId="369" xr:uid="{296C180F-DE21-40A6-99F7-4EA7AF396089}"/>
    <cellStyle name="20% - Accent2 5 7" xfId="370" xr:uid="{2E0E5AC8-FB8A-45E2-A62D-C36F968DB1C6}"/>
    <cellStyle name="20% - Accent2 5 7 2" xfId="371" xr:uid="{C84DEB57-7D17-4369-9795-403A3DA93C42}"/>
    <cellStyle name="20% - Accent2 5 8" xfId="372" xr:uid="{4F2BE719-8F7B-42F4-8B55-4C1FDC9A5FC4}"/>
    <cellStyle name="20% - Accent2 5 8 2" xfId="373" xr:uid="{1AC818DC-214A-4126-946F-779134710ACB}"/>
    <cellStyle name="20% - Accent2 5 9" xfId="374" xr:uid="{4514E34C-5328-45BF-8B76-8CBE78543335}"/>
    <cellStyle name="20% - Accent2 5 9 2" xfId="375" xr:uid="{FD513DA2-652C-49C6-91BA-A529AA0C69CA}"/>
    <cellStyle name="20% - Accent2 6" xfId="376" xr:uid="{443635CF-5FA3-467D-963F-ACF717777D98}"/>
    <cellStyle name="20% - Accent2 6 10" xfId="377" xr:uid="{9856B4B8-3D77-4CC9-A9D7-E459EB06D22D}"/>
    <cellStyle name="20% - Accent2 6 10 2" xfId="378" xr:uid="{F9F98F69-DFE2-4FE8-BD4C-160FDB55D751}"/>
    <cellStyle name="20% - Accent2 6 11" xfId="379" xr:uid="{239719DD-219E-4641-9B0C-854BEE0941DE}"/>
    <cellStyle name="20% - Accent2 6 11 2" xfId="380" xr:uid="{13B60FAF-72A1-47A7-AAD0-0250A1E9FC9F}"/>
    <cellStyle name="20% - Accent2 6 12" xfId="381" xr:uid="{DEC44946-4F2E-4268-8017-515577BF0254}"/>
    <cellStyle name="20% - Accent2 6 13" xfId="382" xr:uid="{A13B0EA8-2CF1-439A-8F54-34880D877366}"/>
    <cellStyle name="20% - Accent2 6 2" xfId="383" xr:uid="{740C3E12-C34B-40A3-9FE2-4C96B61C170E}"/>
    <cellStyle name="20% - Accent2 6 2 2" xfId="384" xr:uid="{37610A89-A234-484D-AF3F-9148B31601C4}"/>
    <cellStyle name="20% - Accent2 6 2 3" xfId="24227" xr:uid="{724D870C-3D28-4845-A4AB-548C313B2C1D}"/>
    <cellStyle name="20% - Accent2 6 3" xfId="385" xr:uid="{CA9441B8-FF6A-434A-8ED9-48A4923A1B4B}"/>
    <cellStyle name="20% - Accent2 6 3 2" xfId="386" xr:uid="{964374B7-524F-47A0-ADA7-A33B513F4C16}"/>
    <cellStyle name="20% - Accent2 6 4" xfId="387" xr:uid="{1DE63596-9F06-4350-94F4-1FEB3EF73DEC}"/>
    <cellStyle name="20% - Accent2 6 4 2" xfId="388" xr:uid="{DA320FE1-678A-4C50-8CC7-248EF2DFB772}"/>
    <cellStyle name="20% - Accent2 6 5" xfId="389" xr:uid="{02FA9B16-6922-4920-8C3B-BEDFFBA6D220}"/>
    <cellStyle name="20% - Accent2 6 5 2" xfId="390" xr:uid="{1863040A-67C1-4396-9162-032BC47312DA}"/>
    <cellStyle name="20% - Accent2 6 6" xfId="391" xr:uid="{163998AD-5522-4B84-AF12-30B0EC95970C}"/>
    <cellStyle name="20% - Accent2 6 6 2" xfId="392" xr:uid="{4DD8B0C4-04AC-4844-8400-895DA7EF8AD7}"/>
    <cellStyle name="20% - Accent2 6 7" xfId="393" xr:uid="{1E091893-4EF0-411D-96BE-56B80C778B46}"/>
    <cellStyle name="20% - Accent2 6 7 2" xfId="394" xr:uid="{419F5675-CCC5-48C5-AC1D-FA68A29ADD6F}"/>
    <cellStyle name="20% - Accent2 6 8" xfId="395" xr:uid="{6758D71C-C84C-4DF3-A209-798ECC8C0A75}"/>
    <cellStyle name="20% - Accent2 6 8 2" xfId="396" xr:uid="{67F7B492-470C-4C45-9B97-E96F6F097F4C}"/>
    <cellStyle name="20% - Accent2 6 9" xfId="397" xr:uid="{098783C6-73E1-4CBB-A400-0BE0AF090E4F}"/>
    <cellStyle name="20% - Accent2 6 9 2" xfId="398" xr:uid="{F23423F6-10BC-4809-BA18-69F9F926094C}"/>
    <cellStyle name="20% - Accent2 7" xfId="399" xr:uid="{59E67738-2E1A-4F06-B469-75F37401C4B8}"/>
    <cellStyle name="20% - Accent2 7 2" xfId="400" xr:uid="{C571FCCE-0EE3-4FB7-9256-7C561F0736E8}"/>
    <cellStyle name="20% - Accent2 7 2 2" xfId="24228" xr:uid="{C00EA813-144F-4754-866C-0C2023EC734E}"/>
    <cellStyle name="20% - Accent2 7 3" xfId="401" xr:uid="{CF8E9A88-C253-48C9-90F9-F66C52951632}"/>
    <cellStyle name="20% - Accent2 7 3 2" xfId="24229" xr:uid="{A8984C3D-B414-48A8-9170-80CDCB5C9300}"/>
    <cellStyle name="20% - Accent2 8" xfId="402" xr:uid="{8D34A152-4FEF-4997-9A48-7CFFBFF26156}"/>
    <cellStyle name="20% - Accent2 8 2" xfId="403" xr:uid="{0F3D7636-B145-4EDA-B11B-C371A5E83CD4}"/>
    <cellStyle name="20% - Accent2 8 2 2" xfId="24230" xr:uid="{5F7125C1-DDAB-48F2-8A29-7F24A92D014A}"/>
    <cellStyle name="20% - Accent2 8 3" xfId="404" xr:uid="{6C8116F4-05DA-437B-81F7-A8D518E74206}"/>
    <cellStyle name="20% - Accent2 8 3 2" xfId="24231" xr:uid="{240CDD7D-BA04-4908-AAD2-0D04034DB928}"/>
    <cellStyle name="20% - Accent2 9" xfId="405" xr:uid="{5F97842B-CAD4-4326-9CB3-AC34368F5324}"/>
    <cellStyle name="20% - Accent2 9 2" xfId="406" xr:uid="{D59CEA91-28B7-400B-81B5-C9259069E3A3}"/>
    <cellStyle name="20% - Accent3" xfId="963" builtinId="38" customBuiltin="1"/>
    <cellStyle name="20% - Accent3 10" xfId="407" xr:uid="{9BAB2833-3420-4F39-8255-BB954B675236}"/>
    <cellStyle name="20% - Accent3 10 2" xfId="408" xr:uid="{8B803AE6-7F52-428F-AB45-134276A4701D}"/>
    <cellStyle name="20% - Accent3 11" xfId="24232" xr:uid="{932ABD54-EE60-4E77-8FBE-AF7A80105A2C}"/>
    <cellStyle name="20% - Accent3 11 2" xfId="24233" xr:uid="{6DF84E81-14F7-40B3-831A-86D0A25D3539}"/>
    <cellStyle name="20% - Accent3 12" xfId="24234" xr:uid="{2C56502F-6A6E-4E14-8BB5-16B7279D98E1}"/>
    <cellStyle name="20% - Accent3 13" xfId="24235" xr:uid="{D32B93E0-E18F-4353-BF10-C876C6E85C46}"/>
    <cellStyle name="20% - Accent3 14" xfId="24236" xr:uid="{4F3001EE-0E5F-416F-B123-D3928096527E}"/>
    <cellStyle name="20% - Accent3 15" xfId="24237" xr:uid="{53145052-D0C5-4F11-A41B-9B3A13004DF3}"/>
    <cellStyle name="20% - Accent3 16" xfId="24238" xr:uid="{DF2D42DF-6A59-4D9B-8D76-5B985808514D}"/>
    <cellStyle name="20% - Accent3 17" xfId="24239" xr:uid="{B12216A7-3C80-4D0A-96B4-2D70937B2B35}"/>
    <cellStyle name="20% - Accent3 18" xfId="24240" xr:uid="{5C234C0A-1CFE-4C36-8E30-D2EC8953FDFE}"/>
    <cellStyle name="20% - Accent3 19" xfId="24241" xr:uid="{51F565AF-7224-422B-85E2-F4DE3E3011B1}"/>
    <cellStyle name="20% - Accent3 2" xfId="409" xr:uid="{BC4B5C66-6E65-45CC-AAEF-1F1CBCBA17F7}"/>
    <cellStyle name="20% - Accent3 2 10" xfId="410" xr:uid="{70A4E2F4-A0AF-4F01-B418-E8E0F0B1DF6D}"/>
    <cellStyle name="20% - Accent3 2 10 2" xfId="411" xr:uid="{E3F29F2C-7A04-45F2-B80D-B1B42B9C3EED}"/>
    <cellStyle name="20% - Accent3 2 10 3" xfId="412" xr:uid="{4DE5D758-AC26-483B-AD80-347C0A8C835F}"/>
    <cellStyle name="20% - Accent3 2 11" xfId="413" xr:uid="{A1A150A6-EA0E-404F-953D-CE02AECB0DA8}"/>
    <cellStyle name="20% - Accent3 2 11 2" xfId="414" xr:uid="{6D10B78B-7CC3-4AFF-A88E-06E759E1A115}"/>
    <cellStyle name="20% - Accent3 2 11 3" xfId="415" xr:uid="{B133F09B-5C7F-45A7-83A4-CEE4116D8217}"/>
    <cellStyle name="20% - Accent3 2 12" xfId="416" xr:uid="{198563F3-730D-43E8-A95F-3658F2FD545B}"/>
    <cellStyle name="20% - Accent3 2 12 2" xfId="417" xr:uid="{633E4C67-3694-40E2-BA8A-FA31BE18B927}"/>
    <cellStyle name="20% - Accent3 2 12 3" xfId="418" xr:uid="{345298DF-276A-40B5-9DE7-DD2495B5FC2F}"/>
    <cellStyle name="20% - Accent3 2 13" xfId="419" xr:uid="{B6BB5DDD-6625-4CBF-867A-D8F4A6D37F96}"/>
    <cellStyle name="20% - Accent3 2 13 2" xfId="420" xr:uid="{E9174021-45DE-44C6-A819-0A5F4A554505}"/>
    <cellStyle name="20% - Accent3 2 14" xfId="421" xr:uid="{E0125BDC-EDD0-4B7A-9A49-62D32814AD98}"/>
    <cellStyle name="20% - Accent3 2 15" xfId="422" xr:uid="{29FF8D06-ECAB-4A3D-8373-31173ED63912}"/>
    <cellStyle name="20% - Accent3 2 16" xfId="24242" xr:uid="{2979C0AE-DCD3-447D-B1C3-5475F6F1E0B7}"/>
    <cellStyle name="20% - Accent3 2 17" xfId="42197" xr:uid="{04E58361-502B-4E15-8AFE-7AD8A2047458}"/>
    <cellStyle name="20% - Accent3 2 18" xfId="44059" xr:uid="{C6716073-B26A-4C06-8E83-72E63E0DE830}"/>
    <cellStyle name="20% - Accent3 2 2" xfId="423" xr:uid="{2C627D15-FDE4-40BB-80D2-73D6BBBFAF2A}"/>
    <cellStyle name="20% - Accent3 2 2 2" xfId="424" xr:uid="{B6DF1CE1-3DB2-41B8-A92B-30D0CF34FF0B}"/>
    <cellStyle name="20% - Accent3 2 2 3" xfId="425" xr:uid="{B24A75AD-E455-47E0-AA3C-F86C0FF02B93}"/>
    <cellStyle name="20% - Accent3 2 3" xfId="426" xr:uid="{599E5F02-EAA5-410F-8A68-4FEAAEA6BD70}"/>
    <cellStyle name="20% - Accent3 2 3 2" xfId="427" xr:uid="{C819EF3C-362C-4143-A76F-648D310C657F}"/>
    <cellStyle name="20% - Accent3 2 3 3" xfId="428" xr:uid="{D5A25054-2262-4607-9D32-B3A155FD6183}"/>
    <cellStyle name="20% - Accent3 2 4" xfId="429" xr:uid="{99F4CE6F-AD78-466D-8F07-9E2A2DAB1A02}"/>
    <cellStyle name="20% - Accent3 2 4 2" xfId="430" xr:uid="{B4CFAC21-C98E-4C37-A8B9-103D0BE4DD55}"/>
    <cellStyle name="20% - Accent3 2 4 3" xfId="431" xr:uid="{9E3AE01B-A8B7-48A4-BC8A-3A1918D61E4E}"/>
    <cellStyle name="20% - Accent3 2 5" xfId="432" xr:uid="{9A5A781C-5948-4A31-9BF9-49F0B6AC6708}"/>
    <cellStyle name="20% - Accent3 2 5 2" xfId="433" xr:uid="{669D149D-EE5D-41C0-B3FD-FFA607EBD20A}"/>
    <cellStyle name="20% - Accent3 2 5 3" xfId="434" xr:uid="{9B531FB0-DA58-4F23-B756-B7654E7E937F}"/>
    <cellStyle name="20% - Accent3 2 6" xfId="435" xr:uid="{628DE904-D691-4C70-B96F-60F419D8ED7F}"/>
    <cellStyle name="20% - Accent3 2 6 2" xfId="436" xr:uid="{5801CE45-5E21-41D1-A394-205E44F0076E}"/>
    <cellStyle name="20% - Accent3 2 6 3" xfId="437" xr:uid="{0E67085C-C547-48EB-8CB4-914473A34E5C}"/>
    <cellStyle name="20% - Accent3 2 7" xfId="438" xr:uid="{45238D38-FF49-4528-8F2B-84F0404F6DF2}"/>
    <cellStyle name="20% - Accent3 2 7 2" xfId="439" xr:uid="{21714A57-8CD7-4908-99F8-BC45AD00F91C}"/>
    <cellStyle name="20% - Accent3 2 7 3" xfId="440" xr:uid="{05618108-45E9-4CD3-B8BD-1651B3621017}"/>
    <cellStyle name="20% - Accent3 2 8" xfId="441" xr:uid="{C495C2AD-3669-4803-B9C6-6735C1BE834D}"/>
    <cellStyle name="20% - Accent3 2 8 2" xfId="442" xr:uid="{AF593952-A472-4AD8-8036-A867CB873FA2}"/>
    <cellStyle name="20% - Accent3 2 8 3" xfId="443" xr:uid="{D6295F01-072A-40C0-A38A-9F1179F6323B}"/>
    <cellStyle name="20% - Accent3 2 9" xfId="444" xr:uid="{CEE4114C-A186-4BA7-81CA-7CC806AA4CC8}"/>
    <cellStyle name="20% - Accent3 2 9 2" xfId="445" xr:uid="{BEC26D56-59FF-40FE-90EA-941241FF3A1B}"/>
    <cellStyle name="20% - Accent3 2 9 3" xfId="446" xr:uid="{79F06EAF-062E-443B-889F-28B28AC7E4E7}"/>
    <cellStyle name="20% - Accent3 20" xfId="24243" xr:uid="{7F560EE7-7C58-47E2-AB6F-B5C2DA312998}"/>
    <cellStyle name="20% - Accent3 21" xfId="24244" xr:uid="{13B7D3FF-E94B-498B-A509-988F43CED9AC}"/>
    <cellStyle name="20% - Accent3 22" xfId="24245" xr:uid="{38D8FCCB-0EE9-412C-8BB2-D7DB15AE0D93}"/>
    <cellStyle name="20% - Accent3 23" xfId="24246" xr:uid="{56F81974-7378-4294-8CEA-EB6331AE19AA}"/>
    <cellStyle name="20% - Accent3 24" xfId="24247" xr:uid="{AF22AB7A-AF9D-49F3-8B39-69FC1B410507}"/>
    <cellStyle name="20% - Accent3 25" xfId="24248" xr:uid="{B2C62101-725A-4BD3-A439-AC94A7689A0B}"/>
    <cellStyle name="20% - Accent3 26" xfId="24249" xr:uid="{A3CF7B3E-8FEF-4B7C-B174-AB1B3EF1FE9C}"/>
    <cellStyle name="20% - Accent3 27" xfId="24250" xr:uid="{003BCC1B-3203-4D06-9C41-2CB9D70D2146}"/>
    <cellStyle name="20% - Accent3 28" xfId="24251" xr:uid="{B9859A8E-EBD7-44D1-8765-1417C31E5388}"/>
    <cellStyle name="20% - Accent3 29" xfId="24252" xr:uid="{3F6B8125-5644-413C-B8EF-5A220C3DA3DF}"/>
    <cellStyle name="20% - Accent3 3" xfId="447" xr:uid="{D3CD07EB-089A-4F8C-98F1-8E91F431C4F5}"/>
    <cellStyle name="20% - Accent3 3 10" xfId="448" xr:uid="{5311D7ED-37C7-4721-AF60-5AFD484C6D7E}"/>
    <cellStyle name="20% - Accent3 3 10 2" xfId="449" xr:uid="{3FB374F6-16C7-4667-B411-225CEA3E4408}"/>
    <cellStyle name="20% - Accent3 3 11" xfId="450" xr:uid="{10B2EC9A-6A8B-44C6-A0F4-D294D3E600E9}"/>
    <cellStyle name="20% - Accent3 3 11 2" xfId="451" xr:uid="{3EA4C179-6DB1-47A0-936E-443D134E0D6C}"/>
    <cellStyle name="20% - Accent3 3 12" xfId="452" xr:uid="{B6301977-CC55-47F4-93AE-BD4F98872052}"/>
    <cellStyle name="20% - Accent3 3 13" xfId="453" xr:uid="{CF424BFE-809F-4BF8-A038-2697D06FD559}"/>
    <cellStyle name="20% - Accent3 3 14" xfId="24253" xr:uid="{4DA1844A-D319-4CF5-B938-CF5ABF373DF0}"/>
    <cellStyle name="20% - Accent3 3 15" xfId="44172" xr:uid="{3CFDA36D-D0F6-461B-8489-0012FFA8BAAA}"/>
    <cellStyle name="20% - Accent3 3 2" xfId="454" xr:uid="{6260CC4D-F349-42C7-B4E8-0FA5BF4875E7}"/>
    <cellStyle name="20% - Accent3 3 2 2" xfId="455" xr:uid="{A79764A3-D8E4-4C6E-A9A1-C97F21C51F96}"/>
    <cellStyle name="20% - Accent3 3 2 3" xfId="24254" xr:uid="{5CEF58D5-FE59-4D7A-8EB5-27CE1D004F1D}"/>
    <cellStyle name="20% - Accent3 3 3" xfId="456" xr:uid="{C4CB687F-9BF9-4050-B393-76ADC1B9BFAE}"/>
    <cellStyle name="20% - Accent3 3 3 2" xfId="457" xr:uid="{D9375B4A-635B-478A-BCFC-B121BE056061}"/>
    <cellStyle name="20% - Accent3 3 3 3" xfId="42205" xr:uid="{A2FBA7B7-0EC0-4FDD-86BB-742958C88630}"/>
    <cellStyle name="20% - Accent3 3 4" xfId="458" xr:uid="{8DA9D749-8355-470D-8132-6701FC6363E6}"/>
    <cellStyle name="20% - Accent3 3 4 2" xfId="459" xr:uid="{F899F6BC-F6A7-426F-9F9E-DC6CE16A8F7B}"/>
    <cellStyle name="20% - Accent3 3 5" xfId="460" xr:uid="{5A71993E-9334-4341-860B-8A97794CF31F}"/>
    <cellStyle name="20% - Accent3 3 5 2" xfId="461" xr:uid="{B9C6EFB3-8D9D-41B5-9692-CF6FCA620C20}"/>
    <cellStyle name="20% - Accent3 3 6" xfId="462" xr:uid="{0C4F9B95-C846-47B0-94C0-83D8E327E582}"/>
    <cellStyle name="20% - Accent3 3 6 2" xfId="463" xr:uid="{8AD33266-F5E7-48E9-891A-EC96679BD426}"/>
    <cellStyle name="20% - Accent3 3 7" xfId="464" xr:uid="{CD8BB366-6080-4A98-8285-364257BA38C7}"/>
    <cellStyle name="20% - Accent3 3 7 2" xfId="465" xr:uid="{7BE6F52C-BF70-42BD-94CE-BD19F04B0757}"/>
    <cellStyle name="20% - Accent3 3 8" xfId="466" xr:uid="{C6BCCCC4-392C-4AE5-ADEA-31DBAE8FFFB1}"/>
    <cellStyle name="20% - Accent3 3 8 2" xfId="467" xr:uid="{227ED4B8-4EF0-498D-9890-5A5A0DD742EE}"/>
    <cellStyle name="20% - Accent3 3 9" xfId="468" xr:uid="{D426F247-93A6-450E-921C-9666BF6B57E5}"/>
    <cellStyle name="20% - Accent3 3 9 2" xfId="469" xr:uid="{1789CB75-24BE-4617-A93E-A98103D93FE0}"/>
    <cellStyle name="20% - Accent3 30" xfId="24255" xr:uid="{80EF197E-1793-4CE7-AC38-10658C9F8536}"/>
    <cellStyle name="20% - Accent3 31" xfId="24256" xr:uid="{FA65EE5C-72F0-4E4D-A542-6B1DFA19ECB6}"/>
    <cellStyle name="20% - Accent3 32" xfId="24257" xr:uid="{2281F8DA-DB5C-4D41-9A79-FD32210F42BA}"/>
    <cellStyle name="20% - Accent3 33" xfId="24258" xr:uid="{0489DADB-F0EF-49A8-8E70-2CCCC7CB7C8A}"/>
    <cellStyle name="20% - Accent3 34" xfId="24259" xr:uid="{B730AF55-C6CA-4250-9CA2-7B52495B0953}"/>
    <cellStyle name="20% - Accent3 35" xfId="24260" xr:uid="{206C4DB6-5AA0-4D8B-B5AC-1E167ABC22CC}"/>
    <cellStyle name="20% - Accent3 36" xfId="24261" xr:uid="{31F8A6C4-888F-43DF-87A9-376C5BDEC0C8}"/>
    <cellStyle name="20% - Accent3 37" xfId="24262" xr:uid="{92802EEE-8931-4AD7-A724-5ACF24F18FDB}"/>
    <cellStyle name="20% - Accent3 38" xfId="24263" xr:uid="{1D89F4ED-BBD7-41F9-849C-ED3BE7415ECD}"/>
    <cellStyle name="20% - Accent3 39" xfId="24264" xr:uid="{62A2A861-508F-4B0F-8FA6-EB2A1E4954C0}"/>
    <cellStyle name="20% - Accent3 4" xfId="470" xr:uid="{2AE2BEF2-0F4F-4E62-AE03-A0C6B1EDA619}"/>
    <cellStyle name="20% - Accent3 4 10" xfId="471" xr:uid="{18A7AE29-4529-40CE-BBC2-C4ADBCE34C0A}"/>
    <cellStyle name="20% - Accent3 4 10 2" xfId="472" xr:uid="{E869AD44-D96E-45F9-8F03-40E780337C0D}"/>
    <cellStyle name="20% - Accent3 4 11" xfId="473" xr:uid="{BEB0451D-C115-4326-9F88-DC7AE6E2E190}"/>
    <cellStyle name="20% - Accent3 4 11 2" xfId="474" xr:uid="{696C8288-4FAA-45D3-8780-0CB340186B84}"/>
    <cellStyle name="20% - Accent3 4 12" xfId="475" xr:uid="{15D0B0BD-8B4E-40DB-AC23-4473C1E44057}"/>
    <cellStyle name="20% - Accent3 4 13" xfId="476" xr:uid="{C6A83237-3799-450B-9B08-4F2FE7FDC1DF}"/>
    <cellStyle name="20% - Accent3 4 2" xfId="477" xr:uid="{1AA71E54-4B4E-4CDC-8C73-90FD593C2DF1}"/>
    <cellStyle name="20% - Accent3 4 2 2" xfId="478" xr:uid="{5A8D8682-7164-47A6-B960-1D05330DCCB9}"/>
    <cellStyle name="20% - Accent3 4 2 3" xfId="24265" xr:uid="{FEFA199A-FB88-4695-AB4F-FD1028F57D8E}"/>
    <cellStyle name="20% - Accent3 4 3" xfId="479" xr:uid="{CCB670C0-8926-477A-A006-A2FD06B51422}"/>
    <cellStyle name="20% - Accent3 4 3 2" xfId="480" xr:uid="{B6F1906A-3FA5-48E1-988A-D0E35A5CEBC4}"/>
    <cellStyle name="20% - Accent3 4 4" xfId="481" xr:uid="{FF7F1B81-260C-42A4-903F-AC4FF82E644F}"/>
    <cellStyle name="20% - Accent3 4 4 2" xfId="482" xr:uid="{7C02DF9D-EE72-4350-8800-C14A775B421A}"/>
    <cellStyle name="20% - Accent3 4 5" xfId="483" xr:uid="{C55EE4C2-1C8C-4FD1-ACEA-9FF5717665F3}"/>
    <cellStyle name="20% - Accent3 4 5 2" xfId="484" xr:uid="{3F231504-CE32-4C64-BBF2-4E986DE4C922}"/>
    <cellStyle name="20% - Accent3 4 6" xfId="485" xr:uid="{DADAB1A3-9049-499E-BEFB-A5044A0E4F9B}"/>
    <cellStyle name="20% - Accent3 4 6 2" xfId="486" xr:uid="{B9A6F9C2-5A03-40B0-B98A-AF09F814F700}"/>
    <cellStyle name="20% - Accent3 4 7" xfId="487" xr:uid="{1F580BA9-AA47-43F5-B6F7-5BD39BDAD6A6}"/>
    <cellStyle name="20% - Accent3 4 7 2" xfId="488" xr:uid="{8FEF9EE1-3C3E-4F2C-9460-B6A9BC0B90CA}"/>
    <cellStyle name="20% - Accent3 4 8" xfId="489" xr:uid="{D5ABFA2E-105A-4471-8218-67AEB976D41B}"/>
    <cellStyle name="20% - Accent3 4 8 2" xfId="490" xr:uid="{F1560445-8160-4074-95E1-9904B7F2934F}"/>
    <cellStyle name="20% - Accent3 4 9" xfId="491" xr:uid="{66261C4A-8F23-47A3-B56B-7A8817523032}"/>
    <cellStyle name="20% - Accent3 4 9 2" xfId="492" xr:uid="{ADF0C716-5F55-4F91-839C-8E1FA34E452C}"/>
    <cellStyle name="20% - Accent3 40" xfId="24266" xr:uid="{97EE3742-47FB-4F77-BE2A-C061F9B5F87E}"/>
    <cellStyle name="20% - Accent3 41" xfId="24267" xr:uid="{8308772D-24EB-4B0B-B97F-79A05847A76C}"/>
    <cellStyle name="20% - Accent3 42" xfId="24268" xr:uid="{D230FBBC-893A-4BC7-8CAC-767695F47F42}"/>
    <cellStyle name="20% - Accent3 43" xfId="24269" xr:uid="{46C77A5D-AEFE-43B6-872C-7AC25225B5E7}"/>
    <cellStyle name="20% - Accent3 44" xfId="45864" xr:uid="{3DB70AD9-2A58-466C-965B-3CA432A8480D}"/>
    <cellStyle name="20% - Accent3 45" xfId="45883" xr:uid="{9B5DAA7C-0B9D-4A4B-8D4D-2B877077176C}"/>
    <cellStyle name="20% - Accent3 5" xfId="493" xr:uid="{A43A63EC-E5C5-44BF-858C-823390CC6434}"/>
    <cellStyle name="20% - Accent3 5 10" xfId="494" xr:uid="{8FCDC1BE-CFCB-449D-BCB4-8A49D294D19D}"/>
    <cellStyle name="20% - Accent3 5 10 2" xfId="495" xr:uid="{135DD7DE-100F-4812-822F-28BD98E1A87E}"/>
    <cellStyle name="20% - Accent3 5 11" xfId="496" xr:uid="{4A222CA2-1AC2-4547-B167-596F019D1A83}"/>
    <cellStyle name="20% - Accent3 5 11 2" xfId="497" xr:uid="{C24A4F61-4A74-40CC-9C15-7B90E64D0104}"/>
    <cellStyle name="20% - Accent3 5 12" xfId="498" xr:uid="{B6EE1694-AD37-47C9-9153-A9BB0776E7F2}"/>
    <cellStyle name="20% - Accent3 5 13" xfId="499" xr:uid="{A92C3B8A-A5B0-48B4-B7C5-57590A3F5F4B}"/>
    <cellStyle name="20% - Accent3 5 2" xfId="500" xr:uid="{11D3D1CD-D299-4340-B1DF-92052573DD07}"/>
    <cellStyle name="20% - Accent3 5 2 2" xfId="501" xr:uid="{1867C009-D8AB-4296-8CB8-D9C59D96129A}"/>
    <cellStyle name="20% - Accent3 5 2 3" xfId="24270" xr:uid="{35358F41-CAA0-43AB-83F3-D0E5DDA8B86F}"/>
    <cellStyle name="20% - Accent3 5 3" xfId="502" xr:uid="{87A228A6-40EA-4417-847B-82748C194B79}"/>
    <cellStyle name="20% - Accent3 5 3 2" xfId="503" xr:uid="{22E3239F-7F5C-4BDE-81F6-7F5C38F03FF3}"/>
    <cellStyle name="20% - Accent3 5 4" xfId="504" xr:uid="{6639B860-5715-45C1-ADC5-C400E9A202D7}"/>
    <cellStyle name="20% - Accent3 5 4 2" xfId="505" xr:uid="{10E9D4B8-5253-4A25-A686-A3F101983C5D}"/>
    <cellStyle name="20% - Accent3 5 5" xfId="506" xr:uid="{02A15560-56BC-425A-BE5E-8062B7A933E1}"/>
    <cellStyle name="20% - Accent3 5 5 2" xfId="507" xr:uid="{C1BAE3F1-6DBB-43BF-B6EE-4BDA0F3ABE1B}"/>
    <cellStyle name="20% - Accent3 5 6" xfId="508" xr:uid="{55C752C1-D4BA-498E-BC5E-A5038E9AFD8F}"/>
    <cellStyle name="20% - Accent3 5 6 2" xfId="509" xr:uid="{FD7015D2-2E79-4DC7-97A7-081AD3B891A6}"/>
    <cellStyle name="20% - Accent3 5 7" xfId="510" xr:uid="{28059140-3353-427B-A454-1B56FD7BCAF0}"/>
    <cellStyle name="20% - Accent3 5 7 2" xfId="511" xr:uid="{E71F7CD8-1A91-41D7-A2BC-FDE7B0823C10}"/>
    <cellStyle name="20% - Accent3 5 8" xfId="512" xr:uid="{AD62ADDD-2A27-4522-B5C1-98809D9D5693}"/>
    <cellStyle name="20% - Accent3 5 8 2" xfId="513" xr:uid="{41C598EC-ED19-409D-B427-C9340991B700}"/>
    <cellStyle name="20% - Accent3 5 9" xfId="514" xr:uid="{B4E8CD4E-A746-430D-BCE8-E5A085C8F96E}"/>
    <cellStyle name="20% - Accent3 5 9 2" xfId="515" xr:uid="{6D274268-F1B0-43D6-8D5C-2E0E444971A2}"/>
    <cellStyle name="20% - Accent3 6" xfId="516" xr:uid="{7C9DD06B-3A0C-48FE-838D-FE66A852DA51}"/>
    <cellStyle name="20% - Accent3 6 10" xfId="517" xr:uid="{CF3CCAB8-D078-46A7-83E0-F128659909E2}"/>
    <cellStyle name="20% - Accent3 6 10 2" xfId="518" xr:uid="{905A9DE1-58E4-40D7-B445-68D2E4ADAFC1}"/>
    <cellStyle name="20% - Accent3 6 11" xfId="519" xr:uid="{B7E3429F-1E89-4E09-8000-158FB55C0D4D}"/>
    <cellStyle name="20% - Accent3 6 11 2" xfId="520" xr:uid="{67854C23-5F1C-4DA4-996F-44E467F0FF53}"/>
    <cellStyle name="20% - Accent3 6 12" xfId="521" xr:uid="{C2A2E0F7-FAFD-4DC7-8A95-BEFCAD2D372A}"/>
    <cellStyle name="20% - Accent3 6 13" xfId="522" xr:uid="{57A7387C-C699-4D2B-B8C6-571C012026DF}"/>
    <cellStyle name="20% - Accent3 6 2" xfId="523" xr:uid="{2CC5C24C-EE17-464C-BA89-E8D858A1A865}"/>
    <cellStyle name="20% - Accent3 6 2 2" xfId="524" xr:uid="{E8837978-F781-4A7C-8568-E41E978A22D3}"/>
    <cellStyle name="20% - Accent3 6 2 3" xfId="24271" xr:uid="{3E79AB14-514A-423C-B2AF-4E3D32DE0AF2}"/>
    <cellStyle name="20% - Accent3 6 3" xfId="525" xr:uid="{42020ADD-1A46-4F8B-BDDA-CC324F11E35D}"/>
    <cellStyle name="20% - Accent3 6 3 2" xfId="526" xr:uid="{84525373-3F8C-40A4-8434-307CA8582CCE}"/>
    <cellStyle name="20% - Accent3 6 4" xfId="527" xr:uid="{CFA57543-C89A-483A-B26A-2BBB38C69E8F}"/>
    <cellStyle name="20% - Accent3 6 4 2" xfId="528" xr:uid="{FE1F5337-9E04-46A4-B050-809F0B13EF11}"/>
    <cellStyle name="20% - Accent3 6 5" xfId="529" xr:uid="{67E1CB1F-30EB-480B-9EDF-BFF9606FB89C}"/>
    <cellStyle name="20% - Accent3 6 5 2" xfId="530" xr:uid="{377C89AB-6A48-4757-928F-2DA3D3FABFDF}"/>
    <cellStyle name="20% - Accent3 6 6" xfId="531" xr:uid="{04FCB855-C6C8-4175-8620-63B20F22074E}"/>
    <cellStyle name="20% - Accent3 6 6 2" xfId="532" xr:uid="{B03CFD88-EFA3-4584-80CE-1D10F53585AB}"/>
    <cellStyle name="20% - Accent3 6 7" xfId="533" xr:uid="{EAD4C62A-E186-4CCB-B6F2-16041D2ED790}"/>
    <cellStyle name="20% - Accent3 6 7 2" xfId="534" xr:uid="{F4521D23-DAEB-42D0-BD4D-D5F11B175706}"/>
    <cellStyle name="20% - Accent3 6 8" xfId="535" xr:uid="{8D18FA9B-B011-4863-9E1C-879A73A1EAC5}"/>
    <cellStyle name="20% - Accent3 6 8 2" xfId="536" xr:uid="{54EE3EBA-7062-447C-9C98-CE9E43DF0BD8}"/>
    <cellStyle name="20% - Accent3 6 9" xfId="537" xr:uid="{E8E7B526-8228-48C8-A17F-3428E75B5051}"/>
    <cellStyle name="20% - Accent3 6 9 2" xfId="538" xr:uid="{6A427CE9-1B90-472B-A4DA-0EC387FDB794}"/>
    <cellStyle name="20% - Accent3 7" xfId="539" xr:uid="{7167972D-3FC9-4FE7-B46F-5DA4B5DACA74}"/>
    <cellStyle name="20% - Accent3 7 2" xfId="540" xr:uid="{62538819-9960-4246-9956-CA9FFA5F9D40}"/>
    <cellStyle name="20% - Accent3 7 2 2" xfId="24272" xr:uid="{82CDD5AF-221B-4BF2-925C-CC5000177ABA}"/>
    <cellStyle name="20% - Accent3 7 3" xfId="541" xr:uid="{37516F61-E3F0-4701-A974-F1B24CF7C01D}"/>
    <cellStyle name="20% - Accent3 7 3 2" xfId="24273" xr:uid="{8AC477AB-E2B4-4FDA-9F49-09141F63D1ED}"/>
    <cellStyle name="20% - Accent3 8" xfId="542" xr:uid="{279D95E2-45E7-4458-B70A-D57FD64FCB6F}"/>
    <cellStyle name="20% - Accent3 8 2" xfId="543" xr:uid="{46DDBDF9-7405-4809-8EA1-BE503FEF3108}"/>
    <cellStyle name="20% - Accent3 8 2 2" xfId="24274" xr:uid="{4D0A3B37-83F0-4685-AEEC-975857010382}"/>
    <cellStyle name="20% - Accent3 8 3" xfId="544" xr:uid="{7431ED16-A215-4AF7-9C0D-F8E80DFDFAA4}"/>
    <cellStyle name="20% - Accent3 8 3 2" xfId="24275" xr:uid="{AEA41F40-9264-4257-9FE4-9E7A01DD1ACA}"/>
    <cellStyle name="20% - Accent3 9" xfId="545" xr:uid="{767915BB-4879-46FC-B641-3C6EFC8A9EE0}"/>
    <cellStyle name="20% - Accent3 9 2" xfId="546" xr:uid="{970DD3CB-DB7C-4C9A-BE98-AC27E7C94D6A}"/>
    <cellStyle name="20% - Accent4" xfId="964" builtinId="42" customBuiltin="1"/>
    <cellStyle name="20% - Accent4 10" xfId="547" xr:uid="{86D4D71A-135C-4E58-8D08-6091033995ED}"/>
    <cellStyle name="20% - Accent4 10 2" xfId="548" xr:uid="{6565DCB2-5AE3-4366-B21C-7C42F779E3E1}"/>
    <cellStyle name="20% - Accent4 11" xfId="24276" xr:uid="{F73AF45F-C4BA-4283-9AC6-A75E5B68E2F7}"/>
    <cellStyle name="20% - Accent4 11 2" xfId="24277" xr:uid="{B01018E1-C44D-42EC-937B-892E10D971B6}"/>
    <cellStyle name="20% - Accent4 12" xfId="24278" xr:uid="{350D3790-3F57-4612-BD1B-50B9E1E7BEA8}"/>
    <cellStyle name="20% - Accent4 13" xfId="24279" xr:uid="{F48671E2-F992-47C0-8B16-4D9E251E41DC}"/>
    <cellStyle name="20% - Accent4 14" xfId="24280" xr:uid="{16A0BD75-BE36-4278-B511-A1563EC37B5B}"/>
    <cellStyle name="20% - Accent4 15" xfId="24281" xr:uid="{4F755F19-45DB-4ED8-A4B3-EA1D6A4263B8}"/>
    <cellStyle name="20% - Accent4 16" xfId="24282" xr:uid="{9EA4FC45-96B6-4677-BF6F-DC234C05FF67}"/>
    <cellStyle name="20% - Accent4 17" xfId="24283" xr:uid="{F269C212-A2F9-4A91-914F-B9885967309C}"/>
    <cellStyle name="20% - Accent4 18" xfId="24284" xr:uid="{4D458556-0D93-4B4E-BF04-48902EC2DBB3}"/>
    <cellStyle name="20% - Accent4 19" xfId="24285" xr:uid="{C7443075-2C84-4DF0-A283-20EC0FC44600}"/>
    <cellStyle name="20% - Accent4 2" xfId="549" xr:uid="{6AFA67CC-9344-403B-9045-C3CFC636266C}"/>
    <cellStyle name="20% - Accent4 2 10" xfId="550" xr:uid="{E6D6E2EA-0BC0-440A-8800-BFDCE0C8E418}"/>
    <cellStyle name="20% - Accent4 2 10 2" xfId="551" xr:uid="{E6C2B994-0C36-4188-B836-49EE832E81CC}"/>
    <cellStyle name="20% - Accent4 2 10 3" xfId="552" xr:uid="{A1982E6E-36A1-46CB-819C-C7B4F72081F0}"/>
    <cellStyle name="20% - Accent4 2 11" xfId="553" xr:uid="{732D1FF9-1C87-4269-9C52-95FF1D51560E}"/>
    <cellStyle name="20% - Accent4 2 11 2" xfId="554" xr:uid="{BBEA64C6-748F-48F2-9023-7995D982559D}"/>
    <cellStyle name="20% - Accent4 2 11 3" xfId="555" xr:uid="{1753F38C-B528-475E-8577-736EB0F4396E}"/>
    <cellStyle name="20% - Accent4 2 12" xfId="556" xr:uid="{DB8D16B1-A932-426B-A53E-64650081EA04}"/>
    <cellStyle name="20% - Accent4 2 12 2" xfId="557" xr:uid="{0ADBD4E4-FA5A-40F5-9B09-C05B814E554E}"/>
    <cellStyle name="20% - Accent4 2 12 3" xfId="558" xr:uid="{939FBB0F-8FF4-4AAA-AE78-CF21A1DC1BE1}"/>
    <cellStyle name="20% - Accent4 2 13" xfId="559" xr:uid="{8FF2176D-6772-4357-9795-27DF1243E279}"/>
    <cellStyle name="20% - Accent4 2 13 2" xfId="560" xr:uid="{82CDD03F-6BDF-478D-854D-67F12B1239E5}"/>
    <cellStyle name="20% - Accent4 2 14" xfId="561" xr:uid="{714178A2-CBC9-4356-907C-801FBCF00459}"/>
    <cellStyle name="20% - Accent4 2 15" xfId="562" xr:uid="{C0587A6B-92FC-4EA6-85E1-72D943D232CF}"/>
    <cellStyle name="20% - Accent4 2 16" xfId="24286" xr:uid="{F6442F65-BC1B-450E-A87B-323D3F211BCE}"/>
    <cellStyle name="20% - Accent4 2 17" xfId="44060" xr:uid="{A01818D5-931D-4FDE-B0D0-B046E8FB7F9B}"/>
    <cellStyle name="20% - Accent4 2 2" xfId="563" xr:uid="{D430A674-FA76-4DAC-A8CF-52059AD9EE0A}"/>
    <cellStyle name="20% - Accent4 2 2 2" xfId="564" xr:uid="{9E204681-8032-41C3-AC2C-17AEC6C35DD8}"/>
    <cellStyle name="20% - Accent4 2 2 3" xfId="565" xr:uid="{4382333E-2E80-4DA7-B4F6-C0F8AD050494}"/>
    <cellStyle name="20% - Accent4 2 3" xfId="566" xr:uid="{6A6547AE-871C-4E0E-B968-B5F3376A7C40}"/>
    <cellStyle name="20% - Accent4 2 3 2" xfId="567" xr:uid="{EA3ED161-BD61-4914-A32D-49E024D51324}"/>
    <cellStyle name="20% - Accent4 2 3 3" xfId="568" xr:uid="{81D73E29-F3E6-46A6-92A0-83D14858676F}"/>
    <cellStyle name="20% - Accent4 2 4" xfId="569" xr:uid="{EA2AEE60-BB19-4499-B826-726CF72FF436}"/>
    <cellStyle name="20% - Accent4 2 4 2" xfId="570" xr:uid="{B9FE93F8-C187-4B96-9C55-C6ECBAB6DA42}"/>
    <cellStyle name="20% - Accent4 2 4 3" xfId="571" xr:uid="{7100CB44-1C56-4A66-883F-B6183A13650C}"/>
    <cellStyle name="20% - Accent4 2 5" xfId="572" xr:uid="{ED5F5798-27EE-47BF-81F3-73AF75B54DBA}"/>
    <cellStyle name="20% - Accent4 2 5 2" xfId="573" xr:uid="{FCB3F40A-90A9-4D35-A759-00ACC45D8DE8}"/>
    <cellStyle name="20% - Accent4 2 5 3" xfId="574" xr:uid="{2125849C-BBD0-4138-8B1C-0E220A80A2BD}"/>
    <cellStyle name="20% - Accent4 2 6" xfId="575" xr:uid="{FED23507-8ABA-4998-B138-A4A79B33110A}"/>
    <cellStyle name="20% - Accent4 2 6 2" xfId="576" xr:uid="{04771539-65DD-4E01-8DC4-349D0666361F}"/>
    <cellStyle name="20% - Accent4 2 6 3" xfId="577" xr:uid="{A8F2777A-D22C-43B1-835F-9BBFA2C8099E}"/>
    <cellStyle name="20% - Accent4 2 7" xfId="578" xr:uid="{D15E1C15-32E7-49B6-8CF5-9251F20FFD11}"/>
    <cellStyle name="20% - Accent4 2 7 2" xfId="579" xr:uid="{27FBA437-8C83-46DE-91B5-9F116D2663B7}"/>
    <cellStyle name="20% - Accent4 2 7 3" xfId="580" xr:uid="{54FA3DCD-55CD-41A9-B4F0-6A97E16A0515}"/>
    <cellStyle name="20% - Accent4 2 8" xfId="581" xr:uid="{BB3819A4-719B-41F1-8437-E5E482A6EB26}"/>
    <cellStyle name="20% - Accent4 2 8 2" xfId="582" xr:uid="{6727C876-0453-4EA6-A8B6-6E3BA6F58632}"/>
    <cellStyle name="20% - Accent4 2 8 3" xfId="583" xr:uid="{84C39DD2-A293-42DF-9C16-DB940D74CA13}"/>
    <cellStyle name="20% - Accent4 2 9" xfId="584" xr:uid="{A11EAD1E-D396-4219-8C63-C297F4F46242}"/>
    <cellStyle name="20% - Accent4 2 9 2" xfId="585" xr:uid="{9947A1AB-5550-4E58-B811-793B68452116}"/>
    <cellStyle name="20% - Accent4 2 9 3" xfId="586" xr:uid="{4FDE93DC-4964-47D2-A27A-244FC403F9D8}"/>
    <cellStyle name="20% - Accent4 20" xfId="24287" xr:uid="{F5E7C24E-46FF-466A-9159-227F11BFB80A}"/>
    <cellStyle name="20% - Accent4 21" xfId="24288" xr:uid="{5E2E1379-BA82-428B-A2E5-082FCA83467C}"/>
    <cellStyle name="20% - Accent4 22" xfId="24289" xr:uid="{44CCE976-6AB1-4D3A-89A8-18E3394ED094}"/>
    <cellStyle name="20% - Accent4 23" xfId="24290" xr:uid="{A0308884-9A10-41E6-89D5-7DA9F0FEF8F3}"/>
    <cellStyle name="20% - Accent4 24" xfId="24291" xr:uid="{96DABAC1-B5F7-4D53-B9C4-0696099A805F}"/>
    <cellStyle name="20% - Accent4 25" xfId="24292" xr:uid="{56FA08C0-753F-4FB6-82D0-EA15D29337B5}"/>
    <cellStyle name="20% - Accent4 26" xfId="24293" xr:uid="{2AFD7B55-0B41-48D1-BF1F-67CC13E3729D}"/>
    <cellStyle name="20% - Accent4 27" xfId="24294" xr:uid="{E4A37848-7692-47EA-A227-8A603768F406}"/>
    <cellStyle name="20% - Accent4 28" xfId="24295" xr:uid="{9552D8B8-F9A1-4C43-B182-B0340130D636}"/>
    <cellStyle name="20% - Accent4 29" xfId="24296" xr:uid="{5C49D8F6-FCD9-4D69-B237-189530B90FE7}"/>
    <cellStyle name="20% - Accent4 3" xfId="587" xr:uid="{EC41ED89-E16B-45E5-ABFA-0809D27696C9}"/>
    <cellStyle name="20% - Accent4 3 10" xfId="588" xr:uid="{F974F888-CCC0-4ECD-8FF4-4F451D6DF6D6}"/>
    <cellStyle name="20% - Accent4 3 10 2" xfId="589" xr:uid="{ACA7E3F5-F910-40D7-9E33-2825FAD073C8}"/>
    <cellStyle name="20% - Accent4 3 11" xfId="590" xr:uid="{F5993F06-022A-4698-AB23-8CB961835EBB}"/>
    <cellStyle name="20% - Accent4 3 11 2" xfId="591" xr:uid="{00A4121E-B06D-4F58-B6D2-7A558D03823F}"/>
    <cellStyle name="20% - Accent4 3 12" xfId="592" xr:uid="{7C6C1BA7-AED6-45C6-85A8-B8C4BAA64D0D}"/>
    <cellStyle name="20% - Accent4 3 13" xfId="593" xr:uid="{6C7D2BD8-3359-4463-938B-420734645D6A}"/>
    <cellStyle name="20% - Accent4 3 14" xfId="24297" xr:uid="{34AA80E3-139F-4317-844D-DC9DF7DB8A7E}"/>
    <cellStyle name="20% - Accent4 3 15" xfId="44173" xr:uid="{7C4ACB25-C9B2-457F-9DB1-C5F872AB7400}"/>
    <cellStyle name="20% - Accent4 3 2" xfId="594" xr:uid="{094F3D72-5819-4984-92D7-9AF0199407A9}"/>
    <cellStyle name="20% - Accent4 3 2 2" xfId="595" xr:uid="{6EB3BB83-2AA3-4534-88BC-A295825704F5}"/>
    <cellStyle name="20% - Accent4 3 2 3" xfId="24298" xr:uid="{246699EB-1ABF-4258-BC05-493BDEC2166B}"/>
    <cellStyle name="20% - Accent4 3 3" xfId="596" xr:uid="{3E28B4D2-170B-4ECD-A4A6-EC226437D83D}"/>
    <cellStyle name="20% - Accent4 3 3 2" xfId="597" xr:uid="{A98F5F51-4E28-4062-A69F-BCFD65D6FF96}"/>
    <cellStyle name="20% - Accent4 3 3 3" xfId="42239" xr:uid="{73FF6BFD-84CA-4B9E-97D7-38200386BE5F}"/>
    <cellStyle name="20% - Accent4 3 4" xfId="598" xr:uid="{F107B153-1DB6-442E-B0D8-321BB65C84F5}"/>
    <cellStyle name="20% - Accent4 3 4 2" xfId="599" xr:uid="{1BD86785-FCF9-46E6-B4CA-C97B797D194C}"/>
    <cellStyle name="20% - Accent4 3 5" xfId="600" xr:uid="{D5BE9932-1B55-42D9-A179-965ADB1132D7}"/>
    <cellStyle name="20% - Accent4 3 5 2" xfId="601" xr:uid="{B0E5FBCF-137D-4689-BC5D-3A126DAB0B4F}"/>
    <cellStyle name="20% - Accent4 3 6" xfId="602" xr:uid="{36ABB170-D944-4A63-AF73-BC91CC7D7080}"/>
    <cellStyle name="20% - Accent4 3 6 2" xfId="603" xr:uid="{3E04BFA7-8101-4548-BA43-408821D7E947}"/>
    <cellStyle name="20% - Accent4 3 7" xfId="604" xr:uid="{BE94AB62-FA2C-4BC8-A3BC-DD383AB0740D}"/>
    <cellStyle name="20% - Accent4 3 7 2" xfId="605" xr:uid="{A2606942-365D-46DB-BB51-05FCBAF9E78E}"/>
    <cellStyle name="20% - Accent4 3 8" xfId="606" xr:uid="{EB17D960-A759-4C5A-9508-C38E42C48B1D}"/>
    <cellStyle name="20% - Accent4 3 8 2" xfId="607" xr:uid="{E7CA69E5-071E-49D2-BED8-77943110E28C}"/>
    <cellStyle name="20% - Accent4 3 9" xfId="608" xr:uid="{F4F575CF-27FD-4BC1-99FD-D6D6BADA2B07}"/>
    <cellStyle name="20% - Accent4 3 9 2" xfId="609" xr:uid="{DF29DF86-1A4E-4228-AF18-D794265B77C2}"/>
    <cellStyle name="20% - Accent4 30" xfId="24299" xr:uid="{8BFCEFC6-90E8-4347-9ED9-98F4B45150C3}"/>
    <cellStyle name="20% - Accent4 31" xfId="24300" xr:uid="{B626FDE1-1E1A-4FA8-B29A-5C7D6660C2AC}"/>
    <cellStyle name="20% - Accent4 32" xfId="24301" xr:uid="{B4415562-1CE7-40B8-A116-9F2597B5744E}"/>
    <cellStyle name="20% - Accent4 33" xfId="24302" xr:uid="{DCB6BB73-E4DB-4AE5-A529-AAF4D366E965}"/>
    <cellStyle name="20% - Accent4 34" xfId="24303" xr:uid="{CC4A619F-B2D0-46C8-8464-0315791E5759}"/>
    <cellStyle name="20% - Accent4 35" xfId="24304" xr:uid="{984D38C0-EAF0-4897-80D2-493ED747F78D}"/>
    <cellStyle name="20% - Accent4 36" xfId="24305" xr:uid="{8F63FA2E-CCF3-45B2-B171-A5DA1D80ED7E}"/>
    <cellStyle name="20% - Accent4 37" xfId="24306" xr:uid="{36597334-8FBC-4DD2-AFA9-20C3BCBE4EFF}"/>
    <cellStyle name="20% - Accent4 38" xfId="24307" xr:uid="{ADBC4A3E-85BC-4B01-86E3-04FA912B66E2}"/>
    <cellStyle name="20% - Accent4 39" xfId="24308" xr:uid="{528467DB-B00E-4DDF-A822-C4BA21959F00}"/>
    <cellStyle name="20% - Accent4 4" xfId="610" xr:uid="{BC9EC0CF-4417-414F-934B-4ABEC86D86EC}"/>
    <cellStyle name="20% - Accent4 4 10" xfId="611" xr:uid="{14DF797C-05AC-481C-B88D-1F7D9B0032BB}"/>
    <cellStyle name="20% - Accent4 4 10 2" xfId="612" xr:uid="{7B972ED2-D0FD-43FB-B2F1-7DA18545A8F0}"/>
    <cellStyle name="20% - Accent4 4 11" xfId="613" xr:uid="{35B56518-0CDC-499B-B904-83CC2828FAD6}"/>
    <cellStyle name="20% - Accent4 4 11 2" xfId="614" xr:uid="{790D8381-5FB6-49E1-830D-386786B14B29}"/>
    <cellStyle name="20% - Accent4 4 12" xfId="615" xr:uid="{9B9DAC12-FEA9-45DF-8DB8-D54AEB167098}"/>
    <cellStyle name="20% - Accent4 4 13" xfId="616" xr:uid="{BD8FA824-C2DC-4F59-9783-6F34FC410D42}"/>
    <cellStyle name="20% - Accent4 4 2" xfId="617" xr:uid="{255D93E0-7CE4-4FF2-B924-E2A9BFB7D249}"/>
    <cellStyle name="20% - Accent4 4 2 2" xfId="618" xr:uid="{44C9BBD7-3D47-474D-B6BB-F63DA186982A}"/>
    <cellStyle name="20% - Accent4 4 2 3" xfId="24309" xr:uid="{0172DEF5-41B1-44AB-8B97-BEE4EFD0B294}"/>
    <cellStyle name="20% - Accent4 4 3" xfId="619" xr:uid="{D0749C18-A640-4711-83AA-7A8EDA2D3FE9}"/>
    <cellStyle name="20% - Accent4 4 3 2" xfId="620" xr:uid="{9DD50B33-9F5A-49A1-A234-B7A88829E49B}"/>
    <cellStyle name="20% - Accent4 4 4" xfId="621" xr:uid="{4B0EC483-E264-44C4-8888-315D1EBC3123}"/>
    <cellStyle name="20% - Accent4 4 4 2" xfId="622" xr:uid="{2C0E17C2-E437-47DC-BF4B-F27697BB3EC2}"/>
    <cellStyle name="20% - Accent4 4 5" xfId="623" xr:uid="{F1409A01-9774-4CF0-B57A-4C00E23987DE}"/>
    <cellStyle name="20% - Accent4 4 5 2" xfId="624" xr:uid="{99D7D699-AB39-4292-B37C-5568F870083E}"/>
    <cellStyle name="20% - Accent4 4 6" xfId="625" xr:uid="{07F3044C-3746-4C97-B322-4D115DA36BC1}"/>
    <cellStyle name="20% - Accent4 4 6 2" xfId="626" xr:uid="{239CE781-7244-4697-AADE-54BA8C7A2A83}"/>
    <cellStyle name="20% - Accent4 4 7" xfId="627" xr:uid="{21F2260A-BBA2-4280-BC82-F774E3673303}"/>
    <cellStyle name="20% - Accent4 4 7 2" xfId="628" xr:uid="{2D40BAFA-82CB-4225-AEA7-4B61A0973E17}"/>
    <cellStyle name="20% - Accent4 4 8" xfId="629" xr:uid="{92BA1A53-FC29-4450-9931-2A4B3A2FA818}"/>
    <cellStyle name="20% - Accent4 4 8 2" xfId="630" xr:uid="{4480A820-EEA1-47EA-8D8A-4E15A2C58814}"/>
    <cellStyle name="20% - Accent4 4 9" xfId="631" xr:uid="{63502087-A2BB-41C6-91CB-AE2E301CF700}"/>
    <cellStyle name="20% - Accent4 4 9 2" xfId="632" xr:uid="{8D9B97C6-FC61-40F4-AEF5-D8E192BE3CCA}"/>
    <cellStyle name="20% - Accent4 40" xfId="24310" xr:uid="{732A19AD-1510-4065-A873-293583B7B357}"/>
    <cellStyle name="20% - Accent4 41" xfId="24311" xr:uid="{7A2F2FAA-6644-41FD-9DAB-DAB4A215A47B}"/>
    <cellStyle name="20% - Accent4 42" xfId="24312" xr:uid="{A0006E2F-A881-438B-8855-B399B844A5A5}"/>
    <cellStyle name="20% - Accent4 43" xfId="24313" xr:uid="{AD4139B7-71A9-4CF4-9AD1-4542BD30C849}"/>
    <cellStyle name="20% - Accent4 44" xfId="45867" xr:uid="{2B51F575-1ACC-4B81-BC95-A82F5EE60835}"/>
    <cellStyle name="20% - Accent4 45" xfId="45886" xr:uid="{51B15DE7-12AC-454C-8A78-6C3DE5FAEF71}"/>
    <cellStyle name="20% - Accent4 5" xfId="633" xr:uid="{E5841E33-3C2B-4941-A1E4-1F4671A6F3E3}"/>
    <cellStyle name="20% - Accent4 5 10" xfId="634" xr:uid="{F6E2D7C8-B43C-43C1-930A-35326022A87D}"/>
    <cellStyle name="20% - Accent4 5 10 2" xfId="635" xr:uid="{97BCDF61-9773-462B-84FB-EF2AB7E26377}"/>
    <cellStyle name="20% - Accent4 5 11" xfId="636" xr:uid="{2B586089-5262-456F-B0F4-D0FE1005484B}"/>
    <cellStyle name="20% - Accent4 5 11 2" xfId="637" xr:uid="{19E00553-4B18-4BFC-86D8-0240BB279DAE}"/>
    <cellStyle name="20% - Accent4 5 12" xfId="638" xr:uid="{6BD995D3-EFFC-4331-A56A-1A79FEC34332}"/>
    <cellStyle name="20% - Accent4 5 13" xfId="639" xr:uid="{467AB75B-C62A-4A84-8C24-25D0F5C04838}"/>
    <cellStyle name="20% - Accent4 5 2" xfId="640" xr:uid="{1EC87F2E-EC19-4B29-AC67-07CBAAC5D023}"/>
    <cellStyle name="20% - Accent4 5 2 2" xfId="641" xr:uid="{2D3FDD07-3ABC-40D1-8F23-01B3D026AC71}"/>
    <cellStyle name="20% - Accent4 5 2 3" xfId="24314" xr:uid="{691D66E5-8D6D-4A4F-A298-8CF2E0275F08}"/>
    <cellStyle name="20% - Accent4 5 3" xfId="642" xr:uid="{F69293C2-29A6-45CA-A981-7D9D41B0D4B3}"/>
    <cellStyle name="20% - Accent4 5 3 2" xfId="643" xr:uid="{801B228A-70C6-4C6A-A5FA-38E24915FAC1}"/>
    <cellStyle name="20% - Accent4 5 4" xfId="644" xr:uid="{C24F1F5C-38DC-4773-BB23-E319405292F2}"/>
    <cellStyle name="20% - Accent4 5 4 2" xfId="645" xr:uid="{CC272C02-B0ED-4C1A-9DAC-720CA7E98860}"/>
    <cellStyle name="20% - Accent4 5 5" xfId="646" xr:uid="{C825C536-C17E-4C1D-9A8F-D4A6C2FC3E48}"/>
    <cellStyle name="20% - Accent4 5 5 2" xfId="647" xr:uid="{792F1C7A-C4BD-4056-A1E7-40F05F071D05}"/>
    <cellStyle name="20% - Accent4 5 6" xfId="648" xr:uid="{8AA4D363-03EC-4BA5-897A-D53D82EF809A}"/>
    <cellStyle name="20% - Accent4 5 6 2" xfId="649" xr:uid="{3024B442-4CA2-4C6A-8B49-BC2A30FA0B73}"/>
    <cellStyle name="20% - Accent4 5 7" xfId="650" xr:uid="{853AA7AB-4C24-4A60-BA15-31D4C6CB5EFA}"/>
    <cellStyle name="20% - Accent4 5 7 2" xfId="651" xr:uid="{235977F6-ED51-4EC3-B5B1-BD1E5E27CD1C}"/>
    <cellStyle name="20% - Accent4 5 8" xfId="652" xr:uid="{CAC6F969-8285-4A10-B508-989C8A7AD4F5}"/>
    <cellStyle name="20% - Accent4 5 8 2" xfId="653" xr:uid="{FD1500D5-5A64-4538-BDBE-57F14FCD083C}"/>
    <cellStyle name="20% - Accent4 5 9" xfId="654" xr:uid="{D99F9A57-DA13-46E7-9A65-0F0703E35DF8}"/>
    <cellStyle name="20% - Accent4 5 9 2" xfId="655" xr:uid="{F1F7165C-B237-4E8E-B79A-5F67ABE82C55}"/>
    <cellStyle name="20% - Accent4 6" xfId="656" xr:uid="{A49413E6-403E-4900-AECC-3036F8894A13}"/>
    <cellStyle name="20% - Accent4 6 10" xfId="657" xr:uid="{0E3CBD5B-9313-40FD-AA6C-B6613C257235}"/>
    <cellStyle name="20% - Accent4 6 10 2" xfId="658" xr:uid="{A06B2FD9-455F-4FB8-BFA7-E8B919A97273}"/>
    <cellStyle name="20% - Accent4 6 11" xfId="659" xr:uid="{6F49F21F-7524-43CC-AA02-6599AC6C0355}"/>
    <cellStyle name="20% - Accent4 6 11 2" xfId="660" xr:uid="{C85808F0-F800-4E73-9E0D-339CB380C2A0}"/>
    <cellStyle name="20% - Accent4 6 12" xfId="661" xr:uid="{F3017857-3F2F-4D24-9BD5-6EA6D67593B0}"/>
    <cellStyle name="20% - Accent4 6 13" xfId="662" xr:uid="{551AC040-BAD0-4503-BCC7-4F155B818824}"/>
    <cellStyle name="20% - Accent4 6 2" xfId="663" xr:uid="{242071F4-5EEF-41D7-A2C2-59BB2EA30455}"/>
    <cellStyle name="20% - Accent4 6 2 2" xfId="664" xr:uid="{B26070A4-0CB4-40CB-B4F1-4573F94B388F}"/>
    <cellStyle name="20% - Accent4 6 2 3" xfId="24315" xr:uid="{7B53C2D7-8D05-4C77-BA1B-C6154DC7663C}"/>
    <cellStyle name="20% - Accent4 6 3" xfId="665" xr:uid="{139AA014-1147-4522-9DDD-FB2E132E349B}"/>
    <cellStyle name="20% - Accent4 6 3 2" xfId="666" xr:uid="{55948981-B891-4E60-9CCF-275DBDB76AEC}"/>
    <cellStyle name="20% - Accent4 6 4" xfId="667" xr:uid="{5D766876-EF75-4016-BE69-6396B09EE7A6}"/>
    <cellStyle name="20% - Accent4 6 4 2" xfId="668" xr:uid="{BB4C183E-ED08-4FE2-BD60-BC9125DDBCFD}"/>
    <cellStyle name="20% - Accent4 6 5" xfId="669" xr:uid="{1BC5D422-6EA9-463C-88EB-6F71F0957DCF}"/>
    <cellStyle name="20% - Accent4 6 5 2" xfId="670" xr:uid="{69D38D7B-0B90-4B74-BECB-DB2B35B19BD6}"/>
    <cellStyle name="20% - Accent4 6 6" xfId="671" xr:uid="{F3FF8C58-7A89-4777-9B03-E32EDA58C87E}"/>
    <cellStyle name="20% - Accent4 6 6 2" xfId="672" xr:uid="{996B01EE-0E5A-4AB7-966A-EDF949A5357B}"/>
    <cellStyle name="20% - Accent4 6 7" xfId="673" xr:uid="{7202F0C7-CA72-43BC-BA4B-C926EA1D7685}"/>
    <cellStyle name="20% - Accent4 6 7 2" xfId="674" xr:uid="{987E042F-269F-4FC0-926A-10787B44D58E}"/>
    <cellStyle name="20% - Accent4 6 8" xfId="675" xr:uid="{28A54764-E762-4AF9-ADE7-3F61C0DEA223}"/>
    <cellStyle name="20% - Accent4 6 8 2" xfId="676" xr:uid="{F4FFCF83-7DBD-4EE3-921A-614032FE9DAA}"/>
    <cellStyle name="20% - Accent4 6 9" xfId="677" xr:uid="{F69A1961-49C2-43B4-9299-C56180F3EBEA}"/>
    <cellStyle name="20% - Accent4 6 9 2" xfId="678" xr:uid="{275881B9-6C79-411F-B5E7-C2F195B07F75}"/>
    <cellStyle name="20% - Accent4 7" xfId="679" xr:uid="{EEDDED38-849A-4400-9DCA-CC1EF1FCD32E}"/>
    <cellStyle name="20% - Accent4 7 2" xfId="680" xr:uid="{39DF42FD-3F5C-450A-815D-A9A44DAC2B3B}"/>
    <cellStyle name="20% - Accent4 7 2 2" xfId="24316" xr:uid="{5ED9F75C-2DF4-4DED-AA76-093FE75D6ADD}"/>
    <cellStyle name="20% - Accent4 7 3" xfId="681" xr:uid="{8D17C1AC-DF7E-43A3-B993-EFDBF30FA9A5}"/>
    <cellStyle name="20% - Accent4 7 3 2" xfId="24317" xr:uid="{A1521BE8-59A2-49FF-8B39-D65C8AB41175}"/>
    <cellStyle name="20% - Accent4 8" xfId="682" xr:uid="{1A417B68-67DF-414B-9CA9-A3E7452C8159}"/>
    <cellStyle name="20% - Accent4 8 2" xfId="683" xr:uid="{0DEC53A6-69E4-443D-93E1-C7B648A6DE68}"/>
    <cellStyle name="20% - Accent4 8 2 2" xfId="24318" xr:uid="{3ABE48C2-AD96-4D15-A0C8-CFC870FDCD19}"/>
    <cellStyle name="20% - Accent4 8 3" xfId="684" xr:uid="{719B9480-4048-487A-9F34-8A4C19EF733E}"/>
    <cellStyle name="20% - Accent4 8 3 2" xfId="24319" xr:uid="{554D12D0-3BF1-44E4-9126-FE20060FFBFC}"/>
    <cellStyle name="20% - Accent4 9" xfId="685" xr:uid="{7908023D-C6D2-4650-8517-922BCFDBD8BA}"/>
    <cellStyle name="20% - Accent4 9 2" xfId="686" xr:uid="{E4B1D29F-AEA5-47B4-8E03-6C8C6D8E8BD1}"/>
    <cellStyle name="20% - Accent5" xfId="965" builtinId="46" customBuiltin="1"/>
    <cellStyle name="20% - Accent5 10" xfId="687" xr:uid="{B589C90A-97CD-43DD-8796-3403B320E274}"/>
    <cellStyle name="20% - Accent5 10 2" xfId="688" xr:uid="{08128CBA-79B3-4E7D-8C4F-4131341681BD}"/>
    <cellStyle name="20% - Accent5 11" xfId="24320" xr:uid="{75CB34C3-FBD3-478C-91C1-21C23DC857A5}"/>
    <cellStyle name="20% - Accent5 11 2" xfId="24321" xr:uid="{FE0B6515-0192-45A3-9BD2-1E3965495A88}"/>
    <cellStyle name="20% - Accent5 12" xfId="24322" xr:uid="{106AFBDE-15DE-4153-8A83-A27960C50625}"/>
    <cellStyle name="20% - Accent5 13" xfId="24323" xr:uid="{65D0E858-A089-4999-B451-16373EE02305}"/>
    <cellStyle name="20% - Accent5 14" xfId="24324" xr:uid="{3330F6FF-943C-43CD-AEE6-DC99DD44C51B}"/>
    <cellStyle name="20% - Accent5 15" xfId="24325" xr:uid="{B0FF6AA3-C703-4038-A033-1378650A8C44}"/>
    <cellStyle name="20% - Accent5 16" xfId="24326" xr:uid="{37F6C11D-743A-4F45-96D2-19F27321A56B}"/>
    <cellStyle name="20% - Accent5 17" xfId="24327" xr:uid="{791CF354-B9BE-4F96-BCF8-C76A52AF3620}"/>
    <cellStyle name="20% - Accent5 18" xfId="24328" xr:uid="{A7AB286B-75CB-4040-822E-9ED8EED05716}"/>
    <cellStyle name="20% - Accent5 19" xfId="24329" xr:uid="{C7A78017-AC4C-4A5F-9B79-C40C4D766530}"/>
    <cellStyle name="20% - Accent5 2" xfId="689" xr:uid="{3CC1B27D-0FE2-41FC-8D99-5BFF58BAD724}"/>
    <cellStyle name="20% - Accent5 2 10" xfId="690" xr:uid="{654EBF84-892A-4DBD-8253-15E75032A8EF}"/>
    <cellStyle name="20% - Accent5 2 10 2" xfId="691" xr:uid="{4307C5D8-8594-45CF-9001-14536E4AF770}"/>
    <cellStyle name="20% - Accent5 2 11" xfId="692" xr:uid="{EEB8D772-D19A-4639-9817-9EC398CEF511}"/>
    <cellStyle name="20% - Accent5 2 11 2" xfId="693" xr:uid="{8D6D05CE-03AF-4CEA-B934-20872728CF2E}"/>
    <cellStyle name="20% - Accent5 2 12" xfId="694" xr:uid="{B17A010B-CB83-49B1-A20A-2555D3D5FBFC}"/>
    <cellStyle name="20% - Accent5 2 12 2" xfId="695" xr:uid="{EAC75AFC-DEE3-4D44-92B5-9EC7DD672155}"/>
    <cellStyle name="20% - Accent5 2 13" xfId="696" xr:uid="{8CA2AF60-9BAF-45E6-AABE-DDAE2C7B8F96}"/>
    <cellStyle name="20% - Accent5 2 14" xfId="697" xr:uid="{769E0716-F71B-43A0-8711-D950C9AAC01E}"/>
    <cellStyle name="20% - Accent5 2 15" xfId="698" xr:uid="{5E0BB07F-9599-4E20-819A-1A76773DB1A4}"/>
    <cellStyle name="20% - Accent5 2 16" xfId="44061" xr:uid="{C3DD0E94-9CD9-4A73-A4FC-A776A3C13055}"/>
    <cellStyle name="20% - Accent5 2 2" xfId="699" xr:uid="{CECE6B34-012F-4C18-B2E5-BA1920ADFEC0}"/>
    <cellStyle name="20% - Accent5 2 2 2" xfId="700" xr:uid="{0068F13F-0DA5-47E8-8091-060BA541A9FC}"/>
    <cellStyle name="20% - Accent5 2 3" xfId="701" xr:uid="{AC5A9BBD-F41E-4214-A9B6-A05BA1844D25}"/>
    <cellStyle name="20% - Accent5 2 3 2" xfId="702" xr:uid="{69AD8416-1D96-417F-8EB0-4237EE238357}"/>
    <cellStyle name="20% - Accent5 2 4" xfId="703" xr:uid="{5A0CFB9E-7EDC-4C62-BBD4-2D9918D041A1}"/>
    <cellStyle name="20% - Accent5 2 4 2" xfId="704" xr:uid="{97A42C36-CBA9-48A9-8683-62BA1C999A70}"/>
    <cellStyle name="20% - Accent5 2 5" xfId="705" xr:uid="{D0282993-933F-4539-AE30-D9E24C3B78E2}"/>
    <cellStyle name="20% - Accent5 2 5 2" xfId="706" xr:uid="{B687598E-971C-450F-92E0-3B7E0D3A795F}"/>
    <cellStyle name="20% - Accent5 2 6" xfId="707" xr:uid="{7EA5045D-3D38-4E1D-AFC4-15C911A83237}"/>
    <cellStyle name="20% - Accent5 2 6 2" xfId="708" xr:uid="{CFD7A954-5730-41A8-892A-E8B1924EE993}"/>
    <cellStyle name="20% - Accent5 2 7" xfId="709" xr:uid="{52F46541-8B9D-403D-864C-74DC8A73B7FE}"/>
    <cellStyle name="20% - Accent5 2 7 2" xfId="710" xr:uid="{65664602-27FD-48BC-8866-C145C25628A5}"/>
    <cellStyle name="20% - Accent5 2 8" xfId="711" xr:uid="{34EBEADD-3305-46BB-8B9B-0542DF43883B}"/>
    <cellStyle name="20% - Accent5 2 8 2" xfId="712" xr:uid="{E7B63AF1-98B4-437E-8EBE-AF49A74B7C0F}"/>
    <cellStyle name="20% - Accent5 2 9" xfId="713" xr:uid="{D52393F4-9BFC-4365-AAC4-ECA1799E7E7A}"/>
    <cellStyle name="20% - Accent5 2 9 2" xfId="714" xr:uid="{4AD8AC30-0526-4228-A89A-C6AEF9BE0A8C}"/>
    <cellStyle name="20% - Accent5 20" xfId="24330" xr:uid="{F82AC7C3-ADCA-4CE7-A902-3D81C0CA6964}"/>
    <cellStyle name="20% - Accent5 21" xfId="24331" xr:uid="{20B260D8-EB55-414C-BEEE-E71F1C48E789}"/>
    <cellStyle name="20% - Accent5 22" xfId="24332" xr:uid="{2A4FBD7A-B6DC-4346-8E51-73057890827D}"/>
    <cellStyle name="20% - Accent5 23" xfId="24333" xr:uid="{508BBA02-29CC-4808-A964-D29FE603A2F1}"/>
    <cellStyle name="20% - Accent5 24" xfId="24334" xr:uid="{9654BB34-D315-4D5C-97E8-2BB384747DE4}"/>
    <cellStyle name="20% - Accent5 25" xfId="24335" xr:uid="{EC02A489-3942-47F3-ABF4-2F2084EB51F1}"/>
    <cellStyle name="20% - Accent5 26" xfId="24336" xr:uid="{4658D782-126C-4114-9750-EE694897D985}"/>
    <cellStyle name="20% - Accent5 27" xfId="24337" xr:uid="{B3F01FAA-A3A0-4C89-BDBE-A569C08252A0}"/>
    <cellStyle name="20% - Accent5 28" xfId="24338" xr:uid="{18C0E366-7BD2-4849-8C27-B732C280E865}"/>
    <cellStyle name="20% - Accent5 29" xfId="24339" xr:uid="{1C4C5951-C97A-4A04-AA70-970F969FF1AF}"/>
    <cellStyle name="20% - Accent5 3" xfId="715" xr:uid="{22D407F1-4B70-4DB0-8E37-8590FFF9F94E}"/>
    <cellStyle name="20% - Accent5 3 10" xfId="716" xr:uid="{19C40FE6-CC8F-4F8F-BC75-A04FEC562E5A}"/>
    <cellStyle name="20% - Accent5 3 10 2" xfId="717" xr:uid="{6ABF668A-6A87-4106-AD58-B032349E1260}"/>
    <cellStyle name="20% - Accent5 3 11" xfId="718" xr:uid="{6A4D417A-3C34-4A05-BCB7-3B2A59B4D450}"/>
    <cellStyle name="20% - Accent5 3 11 2" xfId="719" xr:uid="{40B15BA5-C685-4CAE-A4AE-2AD05AC86C54}"/>
    <cellStyle name="20% - Accent5 3 12" xfId="720" xr:uid="{B4E4D670-92EE-41DA-AAB4-F56F3F3D42E7}"/>
    <cellStyle name="20% - Accent5 3 13" xfId="44174" xr:uid="{01CE2FA8-FFBA-4475-8497-31FCC4FA1AA8}"/>
    <cellStyle name="20% - Accent5 3 2" xfId="721" xr:uid="{7D63B806-02CC-4C5A-9BDA-C8EBDF1D20FB}"/>
    <cellStyle name="20% - Accent5 3 2 2" xfId="722" xr:uid="{3A69D3D1-CB8C-4D9D-99AE-1CADDD427F6D}"/>
    <cellStyle name="20% - Accent5 3 3" xfId="723" xr:uid="{D944BC89-3974-4C19-8637-58C2F63C7F25}"/>
    <cellStyle name="20% - Accent5 3 3 2" xfId="724" xr:uid="{1DB0F320-89CC-4BD7-978E-5A37DDF5DA1B}"/>
    <cellStyle name="20% - Accent5 3 4" xfId="725" xr:uid="{09653A75-A416-4548-8352-834A5508C15D}"/>
    <cellStyle name="20% - Accent5 3 4 2" xfId="726" xr:uid="{69B23DD1-A906-4E79-A3CC-7BDCC6D6263C}"/>
    <cellStyle name="20% - Accent5 3 5" xfId="727" xr:uid="{4A62FF61-0E48-4871-B6DF-CC8A3F71C4D4}"/>
    <cellStyle name="20% - Accent5 3 5 2" xfId="728" xr:uid="{8CB255DA-5E8F-4A4F-9C3B-49D9B25C6865}"/>
    <cellStyle name="20% - Accent5 3 6" xfId="729" xr:uid="{78A19DD6-BB90-42A7-BF97-4B61FF09C429}"/>
    <cellStyle name="20% - Accent5 3 6 2" xfId="730" xr:uid="{43CBDE4D-4232-4EF6-B893-7F796F30C8B2}"/>
    <cellStyle name="20% - Accent5 3 7" xfId="731" xr:uid="{D858C30B-4E03-4C16-896A-53FD128FCD49}"/>
    <cellStyle name="20% - Accent5 3 7 2" xfId="732" xr:uid="{E959CEC4-F468-49EA-A7BC-403A8567D21F}"/>
    <cellStyle name="20% - Accent5 3 8" xfId="733" xr:uid="{921C6418-29DE-4EE7-A5A6-133E7C5378D9}"/>
    <cellStyle name="20% - Accent5 3 8 2" xfId="734" xr:uid="{E5BCF6F8-66EC-43E3-AF8D-7C2FDFCF4152}"/>
    <cellStyle name="20% - Accent5 3 9" xfId="735" xr:uid="{FA525504-F0FF-4C8E-8190-343F0A77C41E}"/>
    <cellStyle name="20% - Accent5 3 9 2" xfId="736" xr:uid="{A7B622F2-3946-4097-B8B1-F5544556DED8}"/>
    <cellStyle name="20% - Accent5 30" xfId="24340" xr:uid="{8B4345F5-9508-45E3-BC1D-2CC82351F561}"/>
    <cellStyle name="20% - Accent5 31" xfId="24341" xr:uid="{5356A273-DEBD-418D-9016-47F4B8A3CCA2}"/>
    <cellStyle name="20% - Accent5 32" xfId="24342" xr:uid="{6ADE0432-5473-4B54-9D4C-84D90C43DAAA}"/>
    <cellStyle name="20% - Accent5 33" xfId="24343" xr:uid="{3FFD0204-2300-46F8-9DD5-A7C36A8F0E08}"/>
    <cellStyle name="20% - Accent5 34" xfId="24344" xr:uid="{FFD6D79E-C092-4089-BE55-88F3028586A9}"/>
    <cellStyle name="20% - Accent5 35" xfId="24345" xr:uid="{29966102-646E-4FF1-94B9-3D09E6B55B30}"/>
    <cellStyle name="20% - Accent5 36" xfId="24346" xr:uid="{85CFEE5E-57C1-447F-B421-320B7D41BFB7}"/>
    <cellStyle name="20% - Accent5 37" xfId="24347" xr:uid="{110BE966-7A12-40EE-B800-A6A4DAA7AEFB}"/>
    <cellStyle name="20% - Accent5 38" xfId="24348" xr:uid="{A716EBAE-24FD-454D-975E-89D1FECDAA47}"/>
    <cellStyle name="20% - Accent5 39" xfId="24349" xr:uid="{7AA94CEB-E096-4862-AEDF-E049F50EB245}"/>
    <cellStyle name="20% - Accent5 4" xfId="737" xr:uid="{E32DACAA-85F0-4BD6-8BFD-60ABA91B5936}"/>
    <cellStyle name="20% - Accent5 4 10" xfId="738" xr:uid="{C41B071C-4D8D-4416-8F45-E4928C45FBC4}"/>
    <cellStyle name="20% - Accent5 4 10 2" xfId="739" xr:uid="{B93306FD-5B50-4DD1-BE47-4DA5D51D9DF8}"/>
    <cellStyle name="20% - Accent5 4 11" xfId="740" xr:uid="{F83962F0-6CAA-4B2D-A387-FA832121C636}"/>
    <cellStyle name="20% - Accent5 4 11 2" xfId="741" xr:uid="{37623874-9036-440F-A077-B2EA5EFF6394}"/>
    <cellStyle name="20% - Accent5 4 12" xfId="742" xr:uid="{ACE07A59-289C-4E36-A9FA-746B1731D271}"/>
    <cellStyle name="20% - Accent5 4 2" xfId="743" xr:uid="{34F29F19-88B5-4087-BFF1-C78B4A5B1B9D}"/>
    <cellStyle name="20% - Accent5 4 2 2" xfId="744" xr:uid="{B8A2E0A4-E41B-46CE-AB56-94024F96F2E0}"/>
    <cellStyle name="20% - Accent5 4 3" xfId="745" xr:uid="{F813A104-F67D-44F4-BE4E-D907F95D564D}"/>
    <cellStyle name="20% - Accent5 4 3 2" xfId="746" xr:uid="{E3CFD261-A6BD-4E04-9BE4-F851FAEE67EE}"/>
    <cellStyle name="20% - Accent5 4 4" xfId="747" xr:uid="{40A1A119-C4AD-422B-B958-28833B60BA86}"/>
    <cellStyle name="20% - Accent5 4 4 2" xfId="748" xr:uid="{6B77469F-881D-410B-A5B4-871035A75156}"/>
    <cellStyle name="20% - Accent5 4 5" xfId="749" xr:uid="{637E496C-C644-4241-8FF6-019CF18AD6F3}"/>
    <cellStyle name="20% - Accent5 4 5 2" xfId="750" xr:uid="{86AF3B1E-E669-49B9-9A17-156ADF947073}"/>
    <cellStyle name="20% - Accent5 4 6" xfId="751" xr:uid="{786E915B-CB0C-4E45-9087-1C1BDEE3F045}"/>
    <cellStyle name="20% - Accent5 4 6 2" xfId="752" xr:uid="{DE6E183A-D1A1-447C-989F-C2CC13D3C87C}"/>
    <cellStyle name="20% - Accent5 4 7" xfId="753" xr:uid="{8D378EE3-D560-4218-80B8-A56D347B7937}"/>
    <cellStyle name="20% - Accent5 4 7 2" xfId="754" xr:uid="{C891D2FE-912B-4F70-AC67-AD20F419C894}"/>
    <cellStyle name="20% - Accent5 4 8" xfId="755" xr:uid="{1B1BA2B4-22E3-406C-AE19-437A49AFA8EC}"/>
    <cellStyle name="20% - Accent5 4 8 2" xfId="756" xr:uid="{6D737F88-F2B7-4B28-9C08-DA240888E079}"/>
    <cellStyle name="20% - Accent5 4 9" xfId="757" xr:uid="{CED67B1C-2CF3-4099-A059-D962CDB36796}"/>
    <cellStyle name="20% - Accent5 4 9 2" xfId="758" xr:uid="{AFDEAC80-9594-4404-BA8A-A0A2C222288C}"/>
    <cellStyle name="20% - Accent5 40" xfId="24350" xr:uid="{E5B7202F-3384-470D-9F90-2C04AC9011FC}"/>
    <cellStyle name="20% - Accent5 41" xfId="24351" xr:uid="{E1A6DFE4-B9B1-4278-A204-0DBE79C0EC17}"/>
    <cellStyle name="20% - Accent5 42" xfId="24352" xr:uid="{87739AF1-2120-4CBB-B7E2-5D583965C37F}"/>
    <cellStyle name="20% - Accent5 43" xfId="24353" xr:uid="{8B38FACC-4D5A-4FDE-9CF7-FAA4F8974BF6}"/>
    <cellStyle name="20% - Accent5 44" xfId="45778" xr:uid="{3DFC2E14-1529-45E2-B64F-A7CFE2AC36C7}"/>
    <cellStyle name="20% - Accent5 45" xfId="45870" xr:uid="{1F37ACDC-FCD4-4BB7-BA08-884F7C8F011F}"/>
    <cellStyle name="20% - Accent5 46" xfId="45889" xr:uid="{F5D96A89-229C-4E84-991F-28495A80C41A}"/>
    <cellStyle name="20% - Accent5 5" xfId="759" xr:uid="{C583F75C-2A3D-4186-A09E-A50D86489481}"/>
    <cellStyle name="20% - Accent5 5 10" xfId="760" xr:uid="{960D8908-A188-4CC9-9254-CE68D8109561}"/>
    <cellStyle name="20% - Accent5 5 10 2" xfId="761" xr:uid="{C091579D-CEFB-4C22-A683-3F4BA5CED31B}"/>
    <cellStyle name="20% - Accent5 5 11" xfId="762" xr:uid="{9D0FCFB2-670A-4352-90F1-FAB4541F1480}"/>
    <cellStyle name="20% - Accent5 5 11 2" xfId="763" xr:uid="{4C6E8272-9610-4B0C-B427-04E4D433378D}"/>
    <cellStyle name="20% - Accent5 5 12" xfId="764" xr:uid="{9E8D7E59-5984-4C36-B8FE-DE2EB1E995E0}"/>
    <cellStyle name="20% - Accent5 5 2" xfId="765" xr:uid="{5758C9D9-DC46-4E06-802F-1E73278B76EA}"/>
    <cellStyle name="20% - Accent5 5 2 2" xfId="766" xr:uid="{4875ACD3-80B4-4654-A280-5265641B7D5D}"/>
    <cellStyle name="20% - Accent5 5 3" xfId="767" xr:uid="{92FB16C5-9AE7-4D7B-901D-E48C0A5DAE51}"/>
    <cellStyle name="20% - Accent5 5 3 2" xfId="768" xr:uid="{B53DE1A7-7593-41B1-BF07-33996243460D}"/>
    <cellStyle name="20% - Accent5 5 4" xfId="769" xr:uid="{C75E0EFF-9337-4DDF-AB77-89151A4F5F02}"/>
    <cellStyle name="20% - Accent5 5 4 2" xfId="770" xr:uid="{F3C219A4-16AB-4DFE-9254-E6BE81FED91B}"/>
    <cellStyle name="20% - Accent5 5 5" xfId="771" xr:uid="{0E241B49-9C8B-463D-92BA-CD46B951BFF8}"/>
    <cellStyle name="20% - Accent5 5 5 2" xfId="772" xr:uid="{08A6B44A-03CC-46F9-938A-459D1D8810D0}"/>
    <cellStyle name="20% - Accent5 5 6" xfId="773" xr:uid="{A04D499B-D735-4DAE-973E-038F0417B1F6}"/>
    <cellStyle name="20% - Accent5 5 6 2" xfId="774" xr:uid="{5F7A1FAB-1224-4C47-A04F-F6008BF67E64}"/>
    <cellStyle name="20% - Accent5 5 7" xfId="775" xr:uid="{B3F51CDD-713D-41BE-86C9-19BC6016F96A}"/>
    <cellStyle name="20% - Accent5 5 7 2" xfId="776" xr:uid="{930961F2-AEA9-43AE-B56E-CC68465968EA}"/>
    <cellStyle name="20% - Accent5 5 8" xfId="777" xr:uid="{815B8842-059C-4B33-B3B9-15CE6D6E3E2D}"/>
    <cellStyle name="20% - Accent5 5 8 2" xfId="778" xr:uid="{E9B044D7-1378-4981-B670-242FE1CF82FA}"/>
    <cellStyle name="20% - Accent5 5 9" xfId="779" xr:uid="{DD1730E5-7782-456B-AD14-DE25F296EAB3}"/>
    <cellStyle name="20% - Accent5 5 9 2" xfId="780" xr:uid="{0C008266-35DF-4C04-BF42-3BCB516A3607}"/>
    <cellStyle name="20% - Accent5 6" xfId="781" xr:uid="{DDD90DA8-AB49-4D66-8FC5-7404EC5F0DAB}"/>
    <cellStyle name="20% - Accent5 6 10" xfId="782" xr:uid="{007FA298-6299-48F3-975B-CAA24CBF87CF}"/>
    <cellStyle name="20% - Accent5 6 10 2" xfId="783" xr:uid="{66E65500-2B4A-493C-85D0-E4DA9A0F0F9C}"/>
    <cellStyle name="20% - Accent5 6 11" xfId="784" xr:uid="{488026B3-8B72-4CE4-870D-71E82D0BE6E0}"/>
    <cellStyle name="20% - Accent5 6 11 2" xfId="785" xr:uid="{A4BD04C1-FBF7-4E6E-9D14-F64E7C8E5FE1}"/>
    <cellStyle name="20% - Accent5 6 12" xfId="786" xr:uid="{3A379C86-6792-4329-A831-1784DAFC782F}"/>
    <cellStyle name="20% - Accent5 6 2" xfId="787" xr:uid="{98FA11B1-5D59-465B-A23F-372248E5518E}"/>
    <cellStyle name="20% - Accent5 6 2 2" xfId="788" xr:uid="{BD1D3970-8D0B-4B2F-8BB0-C218A55720CA}"/>
    <cellStyle name="20% - Accent5 6 3" xfId="789" xr:uid="{059BE284-D787-4410-A325-587F11E287C9}"/>
    <cellStyle name="20% - Accent5 6 3 2" xfId="790" xr:uid="{FBF5A425-7D76-423F-99D3-8ED576785874}"/>
    <cellStyle name="20% - Accent5 6 4" xfId="791" xr:uid="{E85ADA19-5CF8-4D46-B9F7-216190AB2E6E}"/>
    <cellStyle name="20% - Accent5 6 4 2" xfId="792" xr:uid="{444CCA95-C575-4B06-9336-0CF55A2A5B69}"/>
    <cellStyle name="20% - Accent5 6 5" xfId="793" xr:uid="{E2508EE2-A4C5-4B96-ADD6-DC2694F1BF47}"/>
    <cellStyle name="20% - Accent5 6 5 2" xfId="794" xr:uid="{6165A504-7B95-47D3-B3E9-22189F1141EB}"/>
    <cellStyle name="20% - Accent5 6 6" xfId="795" xr:uid="{F27C1C96-F448-4E9A-807A-783E20E80945}"/>
    <cellStyle name="20% - Accent5 6 6 2" xfId="796" xr:uid="{86C8D737-EADA-49FE-B3E7-3805F6736B2E}"/>
    <cellStyle name="20% - Accent5 6 7" xfId="797" xr:uid="{AA1324BD-97FD-421F-95AD-555804C409F7}"/>
    <cellStyle name="20% - Accent5 6 7 2" xfId="798" xr:uid="{7E286793-7408-4F11-86B2-314CB12DF980}"/>
    <cellStyle name="20% - Accent5 6 8" xfId="799" xr:uid="{370386F6-8510-4703-B930-FAE649A6C3A2}"/>
    <cellStyle name="20% - Accent5 6 8 2" xfId="800" xr:uid="{B1E207F0-EC8E-42C9-8372-E8437E9D75FF}"/>
    <cellStyle name="20% - Accent5 6 9" xfId="801" xr:uid="{B3812127-0988-4923-8607-6C926CAEDCFE}"/>
    <cellStyle name="20% - Accent5 6 9 2" xfId="802" xr:uid="{A64879AD-1A0C-41EC-BFE8-B878DCF8619F}"/>
    <cellStyle name="20% - Accent5 7" xfId="803" xr:uid="{692A461B-5130-482F-A56A-FFA2E7A8CF37}"/>
    <cellStyle name="20% - Accent5 7 2" xfId="804" xr:uid="{38B35624-2070-4D5F-AC0B-BB53FF06F173}"/>
    <cellStyle name="20% - Accent5 8" xfId="805" xr:uid="{57C4204F-ABF9-4577-AB7F-77B1F79068EB}"/>
    <cellStyle name="20% - Accent5 8 2" xfId="806" xr:uid="{BCCD1EBF-2472-44F8-8518-BD8A1AA3C5AD}"/>
    <cellStyle name="20% - Accent5 9" xfId="807" xr:uid="{3F71FD38-E649-4775-8063-6989D9DB8CAC}"/>
    <cellStyle name="20% - Accent5 9 2" xfId="808" xr:uid="{1978810B-1F8A-4A8D-B9BC-282A9A9B9277}"/>
    <cellStyle name="20% - Accent6" xfId="966" builtinId="50" customBuiltin="1"/>
    <cellStyle name="20% - Accent6 10" xfId="809" xr:uid="{C822454A-3C1B-426D-A7CB-F2B2E79C92C7}"/>
    <cellStyle name="20% - Accent6 10 2" xfId="810" xr:uid="{85DF4CAC-409B-479A-8797-5884DE5693FB}"/>
    <cellStyle name="20% - Accent6 11" xfId="24354" xr:uid="{1B3B56AD-19DF-4F63-9D56-E25D8A334DCC}"/>
    <cellStyle name="20% - Accent6 11 2" xfId="24355" xr:uid="{66166569-E967-471C-863B-73341996B006}"/>
    <cellStyle name="20% - Accent6 12" xfId="24356" xr:uid="{25825493-8A84-4EDC-940E-74078D395E2B}"/>
    <cellStyle name="20% - Accent6 13" xfId="24357" xr:uid="{188CBE9C-40E4-4859-8534-7522317C89F3}"/>
    <cellStyle name="20% - Accent6 14" xfId="24358" xr:uid="{2DFB10A5-83A7-4279-9585-61D651F2BC79}"/>
    <cellStyle name="20% - Accent6 15" xfId="24359" xr:uid="{853544EB-88A7-4F2D-879E-196D93E0E054}"/>
    <cellStyle name="20% - Accent6 16" xfId="24360" xr:uid="{9C924A42-110C-48A0-9B0A-F0B9C12D30DB}"/>
    <cellStyle name="20% - Accent6 17" xfId="24361" xr:uid="{C3E09F00-BCAA-476A-A6F1-67C3FB247C3A}"/>
    <cellStyle name="20% - Accent6 18" xfId="24362" xr:uid="{169FD68B-BAE3-448A-A7F2-1B856C65B7D0}"/>
    <cellStyle name="20% - Accent6 19" xfId="24363" xr:uid="{9F45A920-4165-4B9C-AF75-44F8F9FE3F8D}"/>
    <cellStyle name="20% - Accent6 2" xfId="811" xr:uid="{2252F319-9376-4249-9C8F-E7986EC90B33}"/>
    <cellStyle name="20% - Accent6 2 10" xfId="812" xr:uid="{1B73A825-6707-4DE5-8A0F-3A33FE47D949}"/>
    <cellStyle name="20% - Accent6 2 10 2" xfId="813" xr:uid="{4BC41A05-6386-4EC0-92EF-A214A7B4CA62}"/>
    <cellStyle name="20% - Accent6 2 10 3" xfId="814" xr:uid="{B63124A7-2274-4E5E-A77C-E028AA55C090}"/>
    <cellStyle name="20% - Accent6 2 11" xfId="815" xr:uid="{B76F56AB-BCF3-433B-976B-81088D728547}"/>
    <cellStyle name="20% - Accent6 2 11 2" xfId="816" xr:uid="{97FE00C6-435A-4C3C-98CC-7276A2B04BAD}"/>
    <cellStyle name="20% - Accent6 2 11 3" xfId="817" xr:uid="{3687ABFA-4BD9-4EF0-A9EB-4143B4C8CC5C}"/>
    <cellStyle name="20% - Accent6 2 12" xfId="818" xr:uid="{50F5FC1D-C169-45A9-950E-534A0EF52B0F}"/>
    <cellStyle name="20% - Accent6 2 12 2" xfId="819" xr:uid="{8D179BA3-605A-47D6-96D5-7F32EFC6F178}"/>
    <cellStyle name="20% - Accent6 2 12 3" xfId="820" xr:uid="{0F90AF72-20CC-4C4E-96F4-D096EDF6EF10}"/>
    <cellStyle name="20% - Accent6 2 13" xfId="821" xr:uid="{8ABD44EC-196D-491D-81C0-A7B3A9163DA7}"/>
    <cellStyle name="20% - Accent6 2 13 2" xfId="822" xr:uid="{D6235D33-9E5A-48E7-9911-E3B63CFB8980}"/>
    <cellStyle name="20% - Accent6 2 14" xfId="823" xr:uid="{BED175FA-1AD7-4421-9DF1-83BC7CCBA5DC}"/>
    <cellStyle name="20% - Accent6 2 15" xfId="824" xr:uid="{A3CBEC20-7436-46CE-8D75-7726E42E7657}"/>
    <cellStyle name="20% - Accent6 2 16" xfId="24364" xr:uid="{FAEF400B-6BDC-45EA-9103-145B61F603A5}"/>
    <cellStyle name="20% - Accent6 2 17" xfId="44062" xr:uid="{E57D96F2-6AF3-4C0B-8703-66F822278DA3}"/>
    <cellStyle name="20% - Accent6 2 2" xfId="825" xr:uid="{A4082ED9-0F19-4337-ACA0-3EFA2971F4D5}"/>
    <cellStyle name="20% - Accent6 2 2 2" xfId="826" xr:uid="{04BC9DC8-67D2-4D66-B69E-A692FC552BD2}"/>
    <cellStyle name="20% - Accent6 2 2 3" xfId="827" xr:uid="{C719A8D9-2C69-4440-B9E1-7EE1393DA441}"/>
    <cellStyle name="20% - Accent6 2 3" xfId="828" xr:uid="{62BEA4D1-E449-4BC7-8681-568AD2CE3F92}"/>
    <cellStyle name="20% - Accent6 2 3 2" xfId="829" xr:uid="{AE9C82F6-2452-4AFB-A8C5-C0E550CD73DC}"/>
    <cellStyle name="20% - Accent6 2 3 3" xfId="830" xr:uid="{609AA85A-2675-479E-B3B2-7E0A773400C5}"/>
    <cellStyle name="20% - Accent6 2 4" xfId="831" xr:uid="{6102E642-B3E5-453F-B86C-2A77C94D9453}"/>
    <cellStyle name="20% - Accent6 2 4 2" xfId="832" xr:uid="{11E0F918-9AA8-4798-9592-74E7295E6950}"/>
    <cellStyle name="20% - Accent6 2 4 3" xfId="833" xr:uid="{7F9918E7-F6C9-4806-9544-EED80D918457}"/>
    <cellStyle name="20% - Accent6 2 5" xfId="834" xr:uid="{7117418C-BD7E-49EF-B204-555833F48B88}"/>
    <cellStyle name="20% - Accent6 2 5 2" xfId="835" xr:uid="{61A0D7BE-4406-4911-9764-C9F60583C60B}"/>
    <cellStyle name="20% - Accent6 2 5 3" xfId="836" xr:uid="{B3119983-1E73-4896-AABF-0E2962BF5AD0}"/>
    <cellStyle name="20% - Accent6 2 6" xfId="837" xr:uid="{570294D0-31F0-4F18-9B49-A99601647B46}"/>
    <cellStyle name="20% - Accent6 2 6 2" xfId="838" xr:uid="{731950B5-32F1-4049-9957-7BA156A42215}"/>
    <cellStyle name="20% - Accent6 2 6 3" xfId="839" xr:uid="{EFAAD256-8278-4F10-8541-0394311DE4EE}"/>
    <cellStyle name="20% - Accent6 2 7" xfId="840" xr:uid="{CA475D8A-ECDF-4246-88E3-0BA420A1B192}"/>
    <cellStyle name="20% - Accent6 2 7 2" xfId="841" xr:uid="{87EF3ED5-8A06-4DAF-A0C4-90E84AAA0349}"/>
    <cellStyle name="20% - Accent6 2 7 3" xfId="842" xr:uid="{DEA14962-AC2C-44C8-B4BE-B33CEF697E65}"/>
    <cellStyle name="20% - Accent6 2 8" xfId="843" xr:uid="{74A3C4B1-4E31-4318-AC0C-572CCD0BFB2A}"/>
    <cellStyle name="20% - Accent6 2 8 2" xfId="844" xr:uid="{E51827FF-B1F0-4D3C-9865-615E28A5C935}"/>
    <cellStyle name="20% - Accent6 2 8 3" xfId="845" xr:uid="{4FCFB0EF-E776-452B-A06C-6C009D874A4B}"/>
    <cellStyle name="20% - Accent6 2 9" xfId="846" xr:uid="{255E1E96-2FA4-4F29-8BAA-E68D3964E912}"/>
    <cellStyle name="20% - Accent6 2 9 2" xfId="847" xr:uid="{0AE61D29-6557-424B-AB63-8F8C17D29996}"/>
    <cellStyle name="20% - Accent6 2 9 3" xfId="848" xr:uid="{A6708049-35B7-4101-AB7B-66AEBA9502F3}"/>
    <cellStyle name="20% - Accent6 20" xfId="24365" xr:uid="{653E6943-86EB-4F70-8F6D-5F33740EA0CF}"/>
    <cellStyle name="20% - Accent6 21" xfId="24366" xr:uid="{7A385BBE-7807-4CED-963B-C6D8F5193315}"/>
    <cellStyle name="20% - Accent6 22" xfId="24367" xr:uid="{EADC6C9A-A81C-4AD0-8E68-5A9E2764BBC1}"/>
    <cellStyle name="20% - Accent6 23" xfId="24368" xr:uid="{DFE18451-4694-4E4D-9C75-6962D05CF7EE}"/>
    <cellStyle name="20% - Accent6 24" xfId="24369" xr:uid="{E3EB0DE4-3D63-403F-B0DE-7E1738F91A18}"/>
    <cellStyle name="20% - Accent6 25" xfId="24370" xr:uid="{AF3E3FDD-C649-40A1-92B6-6234969937EB}"/>
    <cellStyle name="20% - Accent6 26" xfId="24371" xr:uid="{EEF92B0F-C459-4ECA-AF22-76BA53F3A3C7}"/>
    <cellStyle name="20% - Accent6 27" xfId="24372" xr:uid="{6D19D729-5BE7-4947-890F-9A43342DB861}"/>
    <cellStyle name="20% - Accent6 28" xfId="24373" xr:uid="{B07E04B8-DBAF-46E2-BDDB-F11D660461A0}"/>
    <cellStyle name="20% - Accent6 29" xfId="24374" xr:uid="{08A18618-9BDF-4581-AF19-E29950218A01}"/>
    <cellStyle name="20% - Accent6 3" xfId="849" xr:uid="{8303E901-77BC-4E26-8D6D-3C97AC8FE986}"/>
    <cellStyle name="20% - Accent6 3 10" xfId="850" xr:uid="{FB4685A0-5D78-4874-859E-89990E0617A3}"/>
    <cellStyle name="20% - Accent6 3 10 2" xfId="851" xr:uid="{167B8A28-C9E7-4F0A-BD8F-EB38D5608B5A}"/>
    <cellStyle name="20% - Accent6 3 11" xfId="852" xr:uid="{1E0D52FA-612A-4378-97F4-9AD86B18A47B}"/>
    <cellStyle name="20% - Accent6 3 11 2" xfId="853" xr:uid="{5472265D-A588-4592-A8D1-832C900B7F08}"/>
    <cellStyle name="20% - Accent6 3 12" xfId="854" xr:uid="{FC9D8259-5793-444A-8433-50C8899B0E64}"/>
    <cellStyle name="20% - Accent6 3 13" xfId="855" xr:uid="{967A77C6-3666-410D-9050-6B1DB95E5CCA}"/>
    <cellStyle name="20% - Accent6 3 14" xfId="44175" xr:uid="{54E24F04-C026-46BE-B4D8-8A0923170664}"/>
    <cellStyle name="20% - Accent6 3 2" xfId="856" xr:uid="{27D30B88-436A-4ED3-8C42-E78BC0D70190}"/>
    <cellStyle name="20% - Accent6 3 2 2" xfId="857" xr:uid="{EF791E25-66E2-4744-9315-49D07A9E0CA2}"/>
    <cellStyle name="20% - Accent6 3 2 3" xfId="24375" xr:uid="{78E725E4-A0BE-4ABA-95E4-05C364E964B2}"/>
    <cellStyle name="20% - Accent6 3 3" xfId="858" xr:uid="{E6AC0F06-52A6-437C-BF41-255CDF820237}"/>
    <cellStyle name="20% - Accent6 3 3 2" xfId="859" xr:uid="{E0ADA3AD-9D0D-4B95-8A3C-E28C33B3668D}"/>
    <cellStyle name="20% - Accent6 3 3 3" xfId="42260" xr:uid="{2B823299-2F2B-49D9-A0E4-C343D5ABBA79}"/>
    <cellStyle name="20% - Accent6 3 4" xfId="860" xr:uid="{850121D7-F6E3-4B3C-B1FF-56174761275B}"/>
    <cellStyle name="20% - Accent6 3 4 2" xfId="861" xr:uid="{514E7D97-7508-46F7-B839-AC766708F6A8}"/>
    <cellStyle name="20% - Accent6 3 5" xfId="862" xr:uid="{9F342271-D749-41D0-A63A-9FC958EBCBC3}"/>
    <cellStyle name="20% - Accent6 3 5 2" xfId="863" xr:uid="{57A0DF67-0B97-47A8-A115-0064842ACB2E}"/>
    <cellStyle name="20% - Accent6 3 6" xfId="864" xr:uid="{B33E34B3-3B46-4B67-9B2C-D8A37D2BFBEB}"/>
    <cellStyle name="20% - Accent6 3 6 2" xfId="865" xr:uid="{DB754839-AC0D-495F-98E6-9B4C74B4F017}"/>
    <cellStyle name="20% - Accent6 3 7" xfId="866" xr:uid="{22DD9B26-5A00-4AF2-A25E-D5AA4DC7147A}"/>
    <cellStyle name="20% - Accent6 3 7 2" xfId="867" xr:uid="{CCD90266-F2A3-4171-9BD3-0CB848100073}"/>
    <cellStyle name="20% - Accent6 3 8" xfId="868" xr:uid="{CF7F10FB-67AA-4DCD-B8DD-92689179C3A3}"/>
    <cellStyle name="20% - Accent6 3 8 2" xfId="869" xr:uid="{7F8F9764-7B75-4639-8CD7-CB2A708C0CB9}"/>
    <cellStyle name="20% - Accent6 3 9" xfId="870" xr:uid="{4FF5E0B8-C450-435D-967E-CA506FC861EA}"/>
    <cellStyle name="20% - Accent6 3 9 2" xfId="871" xr:uid="{B5591E17-C563-4025-9658-FBD14B25509D}"/>
    <cellStyle name="20% - Accent6 30" xfId="24376" xr:uid="{02A5CC25-1006-4356-9A34-B65E62218B73}"/>
    <cellStyle name="20% - Accent6 31" xfId="24377" xr:uid="{8D26246B-3EB4-4105-8D21-F48105E36372}"/>
    <cellStyle name="20% - Accent6 32" xfId="24378" xr:uid="{B2415399-61C9-4A42-B7BF-9DD37ACE2476}"/>
    <cellStyle name="20% - Accent6 33" xfId="24379" xr:uid="{A9BB8867-DE2B-4E42-A389-D073D3DE0435}"/>
    <cellStyle name="20% - Accent6 34" xfId="24380" xr:uid="{EDD4983E-F226-4A83-938B-85B7122FB3D3}"/>
    <cellStyle name="20% - Accent6 35" xfId="24381" xr:uid="{6EB58FA0-817C-4140-AAF8-5C427130E659}"/>
    <cellStyle name="20% - Accent6 36" xfId="24382" xr:uid="{49010A7C-E7FA-4933-B221-17475F1ECCCB}"/>
    <cellStyle name="20% - Accent6 37" xfId="24383" xr:uid="{69497E60-3A91-4072-A49F-072F45DD9879}"/>
    <cellStyle name="20% - Accent6 38" xfId="24384" xr:uid="{8AE88CAD-712A-4D53-8FA9-3FF9D79C40C1}"/>
    <cellStyle name="20% - Accent6 39" xfId="24385" xr:uid="{6FD5CF33-A7C5-46EB-BB5C-BDCF83A4E08A}"/>
    <cellStyle name="20% - Accent6 4" xfId="872" xr:uid="{64152229-A709-4715-B6ED-1ABE319B1416}"/>
    <cellStyle name="20% - Accent6 4 10" xfId="873" xr:uid="{949F0174-47A9-43EE-9DC8-614E56ED7D2C}"/>
    <cellStyle name="20% - Accent6 4 10 2" xfId="874" xr:uid="{45B33A09-C0A1-4A50-BE49-41089B6BD15B}"/>
    <cellStyle name="20% - Accent6 4 11" xfId="875" xr:uid="{C2895B61-1858-4342-B846-D37066197627}"/>
    <cellStyle name="20% - Accent6 4 11 2" xfId="876" xr:uid="{E99797BA-C1D8-49CF-9653-7DDA9AC8EC0B}"/>
    <cellStyle name="20% - Accent6 4 12" xfId="877" xr:uid="{DA1E216C-AF64-46EC-A31E-6758BB7E3D8B}"/>
    <cellStyle name="20% - Accent6 4 13" xfId="878" xr:uid="{A8AD8878-8751-46FB-A8EE-5559D31C887A}"/>
    <cellStyle name="20% - Accent6 4 2" xfId="879" xr:uid="{4EFA9179-B929-4C4B-8321-19E8621AD92D}"/>
    <cellStyle name="20% - Accent6 4 2 2" xfId="880" xr:uid="{99A94980-4257-4D20-8DA0-37EC23636125}"/>
    <cellStyle name="20% - Accent6 4 2 3" xfId="24386" xr:uid="{AA41DEEB-987F-423B-BBBD-F5BAEE156C91}"/>
    <cellStyle name="20% - Accent6 4 3" xfId="881" xr:uid="{D8C16099-0EB7-42FE-8D39-16823D7345EF}"/>
    <cellStyle name="20% - Accent6 4 3 2" xfId="882" xr:uid="{EF54BBEF-336A-4A39-B05B-5BC0A35706F1}"/>
    <cellStyle name="20% - Accent6 4 4" xfId="883" xr:uid="{5AA87CE4-4B18-4AE9-AD47-57C1FDFFFDF3}"/>
    <cellStyle name="20% - Accent6 4 4 2" xfId="884" xr:uid="{3BDABE2E-A291-4ABE-91CA-AE3379D399DC}"/>
    <cellStyle name="20% - Accent6 4 5" xfId="885" xr:uid="{F436F95B-A74E-4DEC-AFAB-9D6795DBFF9D}"/>
    <cellStyle name="20% - Accent6 4 5 2" xfId="886" xr:uid="{83F21267-B09A-4A76-B8F9-A8DC68234149}"/>
    <cellStyle name="20% - Accent6 4 6" xfId="887" xr:uid="{3F6A5E91-2F99-4DEA-AA24-E448B83A273F}"/>
    <cellStyle name="20% - Accent6 4 6 2" xfId="888" xr:uid="{495EE1DC-9C0E-4E36-A861-BE9076CCEC45}"/>
    <cellStyle name="20% - Accent6 4 7" xfId="889" xr:uid="{9C3CBDB6-FB70-46CD-A706-D3E08BE64681}"/>
    <cellStyle name="20% - Accent6 4 7 2" xfId="890" xr:uid="{5082D186-ABAF-490E-A3E8-3B1735FD2148}"/>
    <cellStyle name="20% - Accent6 4 8" xfId="891" xr:uid="{CB6DEA07-7900-4C34-84EC-33424F4D41C1}"/>
    <cellStyle name="20% - Accent6 4 8 2" xfId="892" xr:uid="{F3C65062-23A3-44DE-ABEA-EBEEAE713706}"/>
    <cellStyle name="20% - Accent6 4 9" xfId="893" xr:uid="{534620E8-C91A-443C-B2A4-48455D8F5CB1}"/>
    <cellStyle name="20% - Accent6 4 9 2" xfId="894" xr:uid="{B222F3B6-4E0B-42F2-8D8E-D02B80067D98}"/>
    <cellStyle name="20% - Accent6 40" xfId="24387" xr:uid="{B647A804-5F14-41A8-B7B3-1521672A0080}"/>
    <cellStyle name="20% - Accent6 41" xfId="24388" xr:uid="{202FC5BD-3620-4F0D-A8CD-0AE441485A96}"/>
    <cellStyle name="20% - Accent6 42" xfId="24389" xr:uid="{AD46110C-09DE-4555-BD7C-966CFC3943D0}"/>
    <cellStyle name="20% - Accent6 43" xfId="24390" xr:uid="{91B40E1C-032C-4EDE-B9E6-7707804DE1BF}"/>
    <cellStyle name="20% - Accent6 44" xfId="42261" xr:uid="{4534F96D-E3F9-4709-9D88-C8C606066DF1}"/>
    <cellStyle name="20% - Accent6 45" xfId="45873" xr:uid="{E21277F7-41EC-4DD2-9D2F-90C06C33F457}"/>
    <cellStyle name="20% - Accent6 46" xfId="45892" xr:uid="{CA02D56C-C5E9-4BE5-AEBA-E796E60E8E65}"/>
    <cellStyle name="20% - Accent6 5" xfId="895" xr:uid="{711F79FA-CA96-4B3A-87D3-9C74E51FBA89}"/>
    <cellStyle name="20% - Accent6 5 10" xfId="896" xr:uid="{6406EE44-4C2F-4D34-AF8D-919449C26020}"/>
    <cellStyle name="20% - Accent6 5 10 2" xfId="897" xr:uid="{82FA2ED6-9B13-416F-B16C-FB00D0EE4DB3}"/>
    <cellStyle name="20% - Accent6 5 11" xfId="898" xr:uid="{50642E95-3DD6-4D03-9258-0A7CB2CD63EF}"/>
    <cellStyle name="20% - Accent6 5 11 2" xfId="899" xr:uid="{9B6CEC5E-9C6A-474A-BB1A-79B32713A316}"/>
    <cellStyle name="20% - Accent6 5 12" xfId="900" xr:uid="{4BE2466C-DF43-4A44-8296-76037A2469F9}"/>
    <cellStyle name="20% - Accent6 5 13" xfId="901" xr:uid="{8A9E11AE-8E2B-42AE-A598-DB6F3CE93012}"/>
    <cellStyle name="20% - Accent6 5 2" xfId="902" xr:uid="{F83A4DA4-43D2-4311-A44D-3EBA6D4F5001}"/>
    <cellStyle name="20% - Accent6 5 2 2" xfId="903" xr:uid="{5AD92E11-3EFD-4B39-A98C-871E036C722C}"/>
    <cellStyle name="20% - Accent6 5 2 3" xfId="24391" xr:uid="{8FB439D9-5610-4116-8BFD-885D9DB4ACE6}"/>
    <cellStyle name="20% - Accent6 5 3" xfId="904" xr:uid="{92E76E4C-EAB2-4686-A56A-E619A2753130}"/>
    <cellStyle name="20% - Accent6 5 3 2" xfId="905" xr:uid="{682E8A26-6E03-430E-B1EB-79B3B175509B}"/>
    <cellStyle name="20% - Accent6 5 4" xfId="906" xr:uid="{C2323915-3CE1-4AFD-94C7-63EF54D542A7}"/>
    <cellStyle name="20% - Accent6 5 4 2" xfId="907" xr:uid="{298333AE-D56B-4558-B30F-4218042FC9C1}"/>
    <cellStyle name="20% - Accent6 5 5" xfId="908" xr:uid="{4CC02001-D350-40F5-9D96-1C6B97418583}"/>
    <cellStyle name="20% - Accent6 5 5 2" xfId="909" xr:uid="{ECC3F995-3E81-4D76-B3A4-37754A37F0B6}"/>
    <cellStyle name="20% - Accent6 5 6" xfId="910" xr:uid="{5BFA6A48-402C-41BB-A7A0-FB5EE0C4C373}"/>
    <cellStyle name="20% - Accent6 5 6 2" xfId="911" xr:uid="{966870D5-FE43-4FB4-A563-7F649724EE97}"/>
    <cellStyle name="20% - Accent6 5 7" xfId="912" xr:uid="{7E50E7B2-9EBC-4258-98E1-91365ABAB4A9}"/>
    <cellStyle name="20% - Accent6 5 7 2" xfId="913" xr:uid="{89BA14FF-B364-424C-ACAC-8189471BA73A}"/>
    <cellStyle name="20% - Accent6 5 8" xfId="914" xr:uid="{D8EB1EBD-5AEB-4D3E-A493-8C63812516BA}"/>
    <cellStyle name="20% - Accent6 5 8 2" xfId="915" xr:uid="{D82B3375-1684-41B7-A081-47314E7B4DA6}"/>
    <cellStyle name="20% - Accent6 5 9" xfId="916" xr:uid="{7A2586AD-B131-4D7C-AE54-67162A3BD15B}"/>
    <cellStyle name="20% - Accent6 5 9 2" xfId="917" xr:uid="{464A30F0-4EA6-4961-820D-D1E2697D198D}"/>
    <cellStyle name="20% - Accent6 6" xfId="918" xr:uid="{AE1FB453-EE8E-46D1-9BCA-5EE49D2E046D}"/>
    <cellStyle name="20% - Accent6 6 10" xfId="919" xr:uid="{AA28B321-208D-4376-98D5-0EC71E28C0A1}"/>
    <cellStyle name="20% - Accent6 6 10 2" xfId="920" xr:uid="{5B5B32D8-9D6B-4947-BE02-A2D092C2D260}"/>
    <cellStyle name="20% - Accent6 6 11" xfId="921" xr:uid="{ADA30B9C-038F-4990-B204-DFF787956CD7}"/>
    <cellStyle name="20% - Accent6 6 11 2" xfId="922" xr:uid="{F53E2DF1-043C-488C-B207-C010C50D1658}"/>
    <cellStyle name="20% - Accent6 6 12" xfId="923" xr:uid="{4FC75032-7AF2-4F47-B8F9-B6EE9B420630}"/>
    <cellStyle name="20% - Accent6 6 13" xfId="924" xr:uid="{009F25D7-1A69-4533-9D62-58BC87ED65F1}"/>
    <cellStyle name="20% - Accent6 6 2" xfId="925" xr:uid="{E36EAB48-8770-4BFB-8FC4-A5231CF2A2FF}"/>
    <cellStyle name="20% - Accent6 6 2 2" xfId="926" xr:uid="{9D0E510C-5F39-4A45-8B5B-9F8874E7FC54}"/>
    <cellStyle name="20% - Accent6 6 2 3" xfId="24392" xr:uid="{36B43976-BFA5-49F6-99E9-4D4E7BCEEC34}"/>
    <cellStyle name="20% - Accent6 6 3" xfId="927" xr:uid="{AC08CD24-58CA-4136-8830-6941D7597838}"/>
    <cellStyle name="20% - Accent6 6 3 2" xfId="928" xr:uid="{5F1DD5F1-1213-451E-878E-C15F28F01AAF}"/>
    <cellStyle name="20% - Accent6 6 4" xfId="929" xr:uid="{482BAEA5-5319-4D82-BBA0-89A494EB7C5F}"/>
    <cellStyle name="20% - Accent6 6 4 2" xfId="930" xr:uid="{89703DCD-565A-4E34-AC65-E301A2D172F4}"/>
    <cellStyle name="20% - Accent6 6 5" xfId="931" xr:uid="{B3A51A6D-1758-4DC9-8280-D55ED3C902EC}"/>
    <cellStyle name="20% - Accent6 6 5 2" xfId="932" xr:uid="{87AC28BA-6E7A-4CE9-B92E-7C40E0E88178}"/>
    <cellStyle name="20% - Accent6 6 6" xfId="933" xr:uid="{201603A4-14A0-4363-B21D-DD0C18C6E666}"/>
    <cellStyle name="20% - Accent6 6 6 2" xfId="934" xr:uid="{9F4D31CE-E3E1-46B4-B8F0-91CCE4E17143}"/>
    <cellStyle name="20% - Accent6 6 7" xfId="935" xr:uid="{A5EA1929-4B28-459D-ADCC-FE1C2D75B1CD}"/>
    <cellStyle name="20% - Accent6 6 7 2" xfId="936" xr:uid="{1D815865-6353-461A-B633-9942F913DD59}"/>
    <cellStyle name="20% - Accent6 6 8" xfId="937" xr:uid="{BA79AC54-8CAB-438D-BAA4-FEE5FFD2E804}"/>
    <cellStyle name="20% - Accent6 6 8 2" xfId="938" xr:uid="{BCBF6135-498B-4F7F-829B-531039E04E9D}"/>
    <cellStyle name="20% - Accent6 6 9" xfId="939" xr:uid="{8EF529D2-391E-4746-9C72-9AB46007FE92}"/>
    <cellStyle name="20% - Accent6 6 9 2" xfId="940" xr:uid="{40FCE93D-D1E1-4713-B11F-E92228FDF3E6}"/>
    <cellStyle name="20% - Accent6 7" xfId="941" xr:uid="{4E762429-50C9-4F86-8ED2-9454914631F5}"/>
    <cellStyle name="20% - Accent6 7 2" xfId="942" xr:uid="{A58E45AF-8887-400F-A539-CE506AD723A0}"/>
    <cellStyle name="20% - Accent6 7 2 2" xfId="24393" xr:uid="{77D2898B-8C25-4F8D-B586-D64D0FC57EB2}"/>
    <cellStyle name="20% - Accent6 7 3" xfId="943" xr:uid="{66888E98-B902-4309-AEE2-E889FEA6F09E}"/>
    <cellStyle name="20% - Accent6 7 3 2" xfId="24394" xr:uid="{242113AB-B24E-43E1-8C21-A72025608E2F}"/>
    <cellStyle name="20% - Accent6 8" xfId="944" xr:uid="{BFECBD9B-CE51-439A-8517-6CF9ECF42E28}"/>
    <cellStyle name="20% - Accent6 8 2" xfId="945" xr:uid="{DB3D8EEF-57DD-40B3-861C-63A49830B6AF}"/>
    <cellStyle name="20% - Accent6 8 2 2" xfId="24395" xr:uid="{C04DCD03-C59C-4F5A-99F1-BC6DD79325E9}"/>
    <cellStyle name="20% - Accent6 8 3" xfId="946" xr:uid="{C37FC975-F0C0-4F3A-AF02-027C76899668}"/>
    <cellStyle name="20% - Accent6 8 3 2" xfId="24396" xr:uid="{C34E0D53-31C7-4EE8-8427-0DD5F7A8CB13}"/>
    <cellStyle name="20% - Accent6 9" xfId="947" xr:uid="{F56CF710-3C4D-40E9-BD62-5EC87F84E510}"/>
    <cellStyle name="20% - Accent6 9 2" xfId="948" xr:uid="{AB85DF1F-BAA7-4EF0-9B67-28D6274DDC64}"/>
    <cellStyle name="20% - Akzent1" xfId="949" xr:uid="{A45B6066-9EEE-4CA5-B4F8-8C24CBFC362C}"/>
    <cellStyle name="20% - Akzent1 2" xfId="950" xr:uid="{20A00FE2-9262-45CA-A007-A340DB752BAC}"/>
    <cellStyle name="20% - Akzent2" xfId="951" xr:uid="{E7AD0D9D-4B10-43D2-8858-28D7E0A97D4D}"/>
    <cellStyle name="20% - Akzent2 2" xfId="952" xr:uid="{65E50B77-8927-41A3-9A9E-7C546C830D9D}"/>
    <cellStyle name="20% - Akzent3" xfId="953" xr:uid="{8E151CC4-03D3-4BDF-A282-97C3481196B9}"/>
    <cellStyle name="20% - Akzent3 2" xfId="954" xr:uid="{6B2848A4-EE61-4196-B6F0-463BFA1897DD}"/>
    <cellStyle name="20% - Akzent4" xfId="955" xr:uid="{E26F32F8-3ABB-4219-95B6-DB0F2D22879D}"/>
    <cellStyle name="20% - Akzent4 2" xfId="956" xr:uid="{F7E6FA7A-0EA8-4E68-AA22-14439273DD64}"/>
    <cellStyle name="20% - Akzent5" xfId="957" xr:uid="{382A7728-8F4D-4E04-8A22-637B94C7073B}"/>
    <cellStyle name="20% - Akzent5 2" xfId="958" xr:uid="{A0614DC0-4932-41B6-9F82-8C504BC3DFB2}"/>
    <cellStyle name="20% - Akzent6" xfId="959" xr:uid="{6F49DA6F-D4A3-4EAF-A83C-977AEEE0EA5E}"/>
    <cellStyle name="20% - Akzent6 2" xfId="960" xr:uid="{D7E35CB2-68A7-4A96-844F-AAF4CA2389DC}"/>
    <cellStyle name="2x indented GHG Textfiels" xfId="967" xr:uid="{F0CDA08C-5693-4DC7-8369-84F0FFE98E78}"/>
    <cellStyle name="2x indented GHG Textfiels 10" xfId="968" xr:uid="{3B0B2C83-1096-4764-A487-CC8E6A6D42C4}"/>
    <cellStyle name="2x indented GHG Textfiels 10 2" xfId="969" xr:uid="{D0F8BB8D-1F77-4A7A-94B3-DB810870FAC7}"/>
    <cellStyle name="2x indented GHG Textfiels 10 3" xfId="24397" xr:uid="{487663E9-7015-4E27-AC1C-0C2C305A4F86}"/>
    <cellStyle name="2x indented GHG Textfiels 10 4" xfId="24398" xr:uid="{8B42A3D4-6009-4A28-98E1-806938E87927}"/>
    <cellStyle name="2x indented GHG Textfiels 11" xfId="970" xr:uid="{299F3B08-F86A-481C-9CCF-8CC477BC83B4}"/>
    <cellStyle name="2x indented GHG Textfiels 11 2" xfId="971" xr:uid="{08B1F6B8-6249-4268-9D74-6ECA2F594C24}"/>
    <cellStyle name="2x indented GHG Textfiels 11 3" xfId="24399" xr:uid="{A85EEB3A-3570-4992-9A99-9319E8A369C8}"/>
    <cellStyle name="2x indented GHG Textfiels 11 4" xfId="24400" xr:uid="{E53E927C-ECE7-4954-9CD8-F89E0A19CB2A}"/>
    <cellStyle name="2x indented GHG Textfiels 12" xfId="972" xr:uid="{C0C5C89A-E67C-48A4-AA2B-96DDD424D61E}"/>
    <cellStyle name="2x indented GHG Textfiels 12 2" xfId="24401" xr:uid="{3ED9B396-8C36-4B2E-AE19-D98298D2BBAA}"/>
    <cellStyle name="2x indented GHG Textfiels 12 3" xfId="24402" xr:uid="{1186E08F-60F0-45EA-87FA-2244ABFEB081}"/>
    <cellStyle name="2x indented GHG Textfiels 13" xfId="973" xr:uid="{08FE34BC-231A-4F16-ADA5-00675DBE3B3A}"/>
    <cellStyle name="2x indented GHG Textfiels 14" xfId="974" xr:uid="{9CD84A5F-B9A8-4267-B8EF-83626602E604}"/>
    <cellStyle name="2x indented GHG Textfiels 15" xfId="24403" xr:uid="{8644DEED-DC0E-4657-B54C-57067C362A85}"/>
    <cellStyle name="2x indented GHG Textfiels 16" xfId="43230" xr:uid="{DF9105B2-C1A8-48E8-BA47-3C555B71645D}"/>
    <cellStyle name="2x indented GHG Textfiels 2" xfId="975" xr:uid="{0D9562F2-12ED-4C50-A216-2AD4C8FCC0D6}"/>
    <cellStyle name="2x indented GHG Textfiels 2 10" xfId="24404" xr:uid="{A703743F-DF05-42BC-9F4A-02319FF46986}"/>
    <cellStyle name="2x indented GHG Textfiels 2 11" xfId="24405" xr:uid="{B4189E03-9AD2-4126-AD4B-655985AA7F38}"/>
    <cellStyle name="2x indented GHG Textfiels 2 12" xfId="24406" xr:uid="{D9C2F01A-BB14-4454-8F5F-DBC92DE3EBA5}"/>
    <cellStyle name="2x indented GHG Textfiels 2 2" xfId="976" xr:uid="{5FC62C4B-4F80-4F06-A728-F0FEAE251C7F}"/>
    <cellStyle name="2x indented GHG Textfiels 2 2 2" xfId="977" xr:uid="{F8C22E39-8E88-472D-8241-4A4BD48F6F9D}"/>
    <cellStyle name="2x indented GHG Textfiels 2 2 3" xfId="978" xr:uid="{84789FBB-DE53-41EE-B645-7952EBA37B1C}"/>
    <cellStyle name="2x indented GHG Textfiels 2 2 4" xfId="24407" xr:uid="{A4C724DD-D817-4E5A-AB01-9D4466162ECE}"/>
    <cellStyle name="2x indented GHG Textfiels 2 2 5" xfId="44064" xr:uid="{63EB3973-303B-428C-A7CB-751B138506CD}"/>
    <cellStyle name="2x indented GHG Textfiels 2 3" xfId="979" xr:uid="{6EAD5EBB-D07B-42AC-94A2-E5385201C9D5}"/>
    <cellStyle name="2x indented GHG Textfiels 2 3 2" xfId="980" xr:uid="{13848751-F89E-4957-8BC1-59A2B50B19FE}"/>
    <cellStyle name="2x indented GHG Textfiels 2 3 3" xfId="24408" xr:uid="{DD6905A4-41FB-47E7-9ACD-6A1311880AB3}"/>
    <cellStyle name="2x indented GHG Textfiels 2 3 4" xfId="24409" xr:uid="{9E64DCFB-1E73-43E0-8ABD-EEEB52CDBF81}"/>
    <cellStyle name="2x indented GHG Textfiels 2 4" xfId="981" xr:uid="{E8FD166B-B146-45AB-A2A8-07725B95C60B}"/>
    <cellStyle name="2x indented GHG Textfiels 2 4 2" xfId="982" xr:uid="{6C41A35E-1390-4812-B09E-5EFD0B11B05D}"/>
    <cellStyle name="2x indented GHG Textfiels 2 4 3" xfId="24410" xr:uid="{9767AF4D-36B0-4194-B71A-27F216C9EF29}"/>
    <cellStyle name="2x indented GHG Textfiels 2 4 4" xfId="24411" xr:uid="{3CA2D0FE-E5A1-4592-AFD9-2063812EC996}"/>
    <cellStyle name="2x indented GHG Textfiels 2 5" xfId="983" xr:uid="{C46E6785-B23D-425D-AF44-95D80B84051B}"/>
    <cellStyle name="2x indented GHG Textfiels 2 5 2" xfId="984" xr:uid="{6D112141-E9B8-45FE-946F-63C0154CC310}"/>
    <cellStyle name="2x indented GHG Textfiels 2 5 3" xfId="24412" xr:uid="{A3269251-DC35-4013-9403-3C040377F457}"/>
    <cellStyle name="2x indented GHG Textfiels 2 5 4" xfId="24413" xr:uid="{E74E3402-966A-474A-8970-53CADB262196}"/>
    <cellStyle name="2x indented GHG Textfiels 2 6" xfId="985" xr:uid="{CFF83ED4-C686-4C06-A7AC-DEC97E9516A2}"/>
    <cellStyle name="2x indented GHG Textfiels 2 6 2" xfId="986" xr:uid="{8B2C5FA8-C6D2-4B7C-91B0-74E32004E3D9}"/>
    <cellStyle name="2x indented GHG Textfiels 2 6 3" xfId="24414" xr:uid="{32116B7C-A409-4595-8EF4-CFECE08C609C}"/>
    <cellStyle name="2x indented GHG Textfiels 2 6 4" xfId="24415" xr:uid="{33B37B53-4A91-45F5-84E3-2FABC1678854}"/>
    <cellStyle name="2x indented GHG Textfiels 2 7" xfId="987" xr:uid="{214AF161-5092-4859-8FF6-B1F2C0D75E7B}"/>
    <cellStyle name="2x indented GHG Textfiels 2 7 2" xfId="988" xr:uid="{35BB5DB7-C2A1-4A2F-BA90-3E0DC9E22D99}"/>
    <cellStyle name="2x indented GHG Textfiels 2 7 3" xfId="24416" xr:uid="{C24AF34D-1AE4-4387-8715-438C4D0192D6}"/>
    <cellStyle name="2x indented GHG Textfiels 2 7 4" xfId="24417" xr:uid="{F969F8E6-2C1C-4BED-B061-A86C35D82498}"/>
    <cellStyle name="2x indented GHG Textfiels 2 8" xfId="989" xr:uid="{44839888-13C9-4EC3-A3F9-71F8F504A326}"/>
    <cellStyle name="2x indented GHG Textfiels 2 8 2" xfId="990" xr:uid="{F6AF25B5-FF0F-4C39-876C-1E36E190DA0D}"/>
    <cellStyle name="2x indented GHG Textfiels 2 8 3" xfId="24418" xr:uid="{CFDC9538-D32E-4752-A039-C5ACAA5D8B45}"/>
    <cellStyle name="2x indented GHG Textfiels 2 8 4" xfId="24419" xr:uid="{30E6A429-50B7-46E9-ACB1-6F88A01B2D75}"/>
    <cellStyle name="2x indented GHG Textfiels 2 9" xfId="991" xr:uid="{69AFF54C-8718-4AED-A145-5D7C7A6AF0D7}"/>
    <cellStyle name="2x indented GHG Textfiels 3" xfId="992" xr:uid="{E0268C82-E7E9-4AE5-A2A6-D96F3E8F4DC9}"/>
    <cellStyle name="2x indented GHG Textfiels 3 10" xfId="993" xr:uid="{3F14845A-6F02-4E4B-A3EF-4C80F7E760A6}"/>
    <cellStyle name="2x indented GHG Textfiels 3 11" xfId="24420" xr:uid="{66F2D376-F477-421C-AA2D-97B1100C20CD}"/>
    <cellStyle name="2x indented GHG Textfiels 3 12" xfId="24421" xr:uid="{102115BF-4DDC-49DA-93DE-92B4F597D678}"/>
    <cellStyle name="2x indented GHG Textfiels 3 13" xfId="44065" xr:uid="{02E34EC6-F12F-4B73-B6ED-8223CB095DEC}"/>
    <cellStyle name="2x indented GHG Textfiels 3 2" xfId="994" xr:uid="{F2475C30-3366-4C2A-81DE-BEF6F58C5281}"/>
    <cellStyle name="2x indented GHG Textfiels 3 2 2" xfId="995" xr:uid="{486C0508-6A85-4F61-9DD8-05B3765A7DCB}"/>
    <cellStyle name="2x indented GHG Textfiels 3 2 2 2" xfId="44691" xr:uid="{1B51EEDD-B2A4-4734-AE72-0B1C35EDF4A6}"/>
    <cellStyle name="2x indented GHG Textfiels 3 2 2 2 2" xfId="44022" xr:uid="{D0D398C6-4ED5-4FEC-88AC-D3368B4F67A3}"/>
    <cellStyle name="2x indented GHG Textfiels 3 2 2 2 3" xfId="45191" xr:uid="{748F00F7-7ADA-4C98-97EC-2889663EDD21}"/>
    <cellStyle name="2x indented GHG Textfiels 3 2 2 3" xfId="45210" xr:uid="{9A61D8FC-5E48-4939-AC19-7D927263DAA9}"/>
    <cellStyle name="2x indented GHG Textfiels 3 2 2 4" xfId="45481" xr:uid="{AA127902-D740-4C2E-AC7C-B925C95BBBFC}"/>
    <cellStyle name="2x indented GHG Textfiels 3 2 3" xfId="24422" xr:uid="{E8B0BBE1-47F0-4B98-A0F2-E35DC4D54553}"/>
    <cellStyle name="2x indented GHG Textfiels 3 2 3 2" xfId="44654" xr:uid="{0001D9AB-AE50-4145-B929-175BBBD049BB}"/>
    <cellStyle name="2x indented GHG Textfiels 3 2 3 3" xfId="44099" xr:uid="{AD308CEE-4A2B-4C84-A329-3E4E05B3A6D8}"/>
    <cellStyle name="2x indented GHG Textfiels 3 2 3 4" xfId="45091" xr:uid="{85F855C5-4898-4D65-B6D8-A3C848CF9256}"/>
    <cellStyle name="2x indented GHG Textfiels 3 2 4" xfId="24423" xr:uid="{25C32274-EB0B-495B-B63C-694AA117E11A}"/>
    <cellStyle name="2x indented GHG Textfiels 3 2 5" xfId="44358" xr:uid="{136CA2EA-DDEE-4FDD-A4CA-8A70C05F2A4E}"/>
    <cellStyle name="2x indented GHG Textfiels 3 3" xfId="996" xr:uid="{B1EB55AE-4581-4D22-9200-CEF5DDDFFA9D}"/>
    <cellStyle name="2x indented GHG Textfiels 3 3 2" xfId="997" xr:uid="{FBF2C849-F0AD-4EAA-A88F-C917F0830629}"/>
    <cellStyle name="2x indented GHG Textfiels 3 3 2 2" xfId="44795" xr:uid="{6E838F09-60C8-4836-A902-262BC24E213D}"/>
    <cellStyle name="2x indented GHG Textfiels 3 3 2 2 2" xfId="44869" xr:uid="{9A06B8A1-C37D-41E9-8919-29CD199520C4}"/>
    <cellStyle name="2x indented GHG Textfiels 3 3 2 2 3" xfId="45247" xr:uid="{DD0524F8-138A-4840-85C1-48D01CDCC2EB}"/>
    <cellStyle name="2x indented GHG Textfiels 3 3 2 3" xfId="44923" xr:uid="{993A32AE-53B8-402D-B07B-C78ABBC1DC2A}"/>
    <cellStyle name="2x indented GHG Textfiels 3 3 2 4" xfId="44980" xr:uid="{EC89040F-0A51-46DA-9596-66ED60970984}"/>
    <cellStyle name="2x indented GHG Textfiels 3 3 3" xfId="24424" xr:uid="{ABED87CD-0016-4BA7-8208-3F471859E71C}"/>
    <cellStyle name="2x indented GHG Textfiels 3 3 3 2" xfId="44797" xr:uid="{FC053310-45FE-481B-AD78-70396D2542CA}"/>
    <cellStyle name="2x indented GHG Textfiels 3 3 3 2 2" xfId="44868" xr:uid="{79A3C254-DFA4-4A2A-8C87-B48A7AB2FBF5}"/>
    <cellStyle name="2x indented GHG Textfiels 3 3 3 2 3" xfId="45300" xr:uid="{35B4F49D-3C96-4524-A673-5E6AAD27FF46}"/>
    <cellStyle name="2x indented GHG Textfiels 3 3 3 3" xfId="44584" xr:uid="{F0CEF4DB-CE09-4823-B946-A55D757F0892}"/>
    <cellStyle name="2x indented GHG Textfiels 3 3 3 4" xfId="45310" xr:uid="{B57976BC-1825-4026-9B25-65DA763FD9B0}"/>
    <cellStyle name="2x indented GHG Textfiels 3 3 3 5" xfId="45543" xr:uid="{9E4DBF6C-4027-4927-AC4B-0CA395FA66D3}"/>
    <cellStyle name="2x indented GHG Textfiels 3 3 4" xfId="24425" xr:uid="{21F6F5BE-9A84-44C9-A2D0-9CF12C41E7E1}"/>
    <cellStyle name="2x indented GHG Textfiels 3 3 4 2" xfId="44694" xr:uid="{A17F5423-797F-4A12-802A-924975E1013D}"/>
    <cellStyle name="2x indented GHG Textfiels 3 3 4 2 2" xfId="44304" xr:uid="{D7BB9073-A96C-4356-8F81-AB2400D5B4AD}"/>
    <cellStyle name="2x indented GHG Textfiels 3 3 4 2 3" xfId="45283" xr:uid="{199A19F5-4853-4B26-B4DB-246F1B61777D}"/>
    <cellStyle name="2x indented GHG Textfiels 3 3 4 3" xfId="44482" xr:uid="{509CD3D2-1506-46D3-A8BF-45438F878D88}"/>
    <cellStyle name="2x indented GHG Textfiels 3 3 4 4" xfId="45275" xr:uid="{2E883DA0-48A7-4A1E-8A5B-505D9C094B03}"/>
    <cellStyle name="2x indented GHG Textfiels 3 3 4 5" xfId="45521" xr:uid="{4DCED22E-3863-4E02-83EF-143891C89C7A}"/>
    <cellStyle name="2x indented GHG Textfiels 3 3 5" xfId="45308" xr:uid="{77AE067F-E202-40F1-AE34-73B1E2DE3445}"/>
    <cellStyle name="2x indented GHG Textfiels 3 3 6" xfId="45541" xr:uid="{1A00B4B0-B622-46BE-A6EA-376A28657C44}"/>
    <cellStyle name="2x indented GHG Textfiels 3 4" xfId="998" xr:uid="{4A7F3110-6FBA-4B75-A30C-DCD8D5837ECE}"/>
    <cellStyle name="2x indented GHG Textfiels 3 4 2" xfId="999" xr:uid="{65372AD4-2C21-4B3B-B0A1-EC858F894690}"/>
    <cellStyle name="2x indented GHG Textfiels 3 4 3" xfId="24426" xr:uid="{7451A169-7036-4D8A-831F-E669E97C2A2C}"/>
    <cellStyle name="2x indented GHG Textfiels 3 4 4" xfId="24427" xr:uid="{75A48E05-44EE-49ED-A899-42F092FBC0C3}"/>
    <cellStyle name="2x indented GHG Textfiels 3 5" xfId="1000" xr:uid="{BDED8994-D30B-42F8-8648-1B3DAFE25410}"/>
    <cellStyle name="2x indented GHG Textfiels 3 5 2" xfId="1001" xr:uid="{D8EA3B4E-3118-4E2C-8C5D-B3AED83C5A5F}"/>
    <cellStyle name="2x indented GHG Textfiels 3 5 3" xfId="24428" xr:uid="{A501E26E-B17A-4320-89E2-F452CB767363}"/>
    <cellStyle name="2x indented GHG Textfiels 3 5 4" xfId="24429" xr:uid="{87A0E5D8-1749-4852-A711-1EEB23F4C9F2}"/>
    <cellStyle name="2x indented GHG Textfiels 3 6" xfId="1002" xr:uid="{AAA4186D-1FE6-41F8-9F19-5C2560D44343}"/>
    <cellStyle name="2x indented GHG Textfiels 3 6 2" xfId="1003" xr:uid="{86B04695-40C9-4691-B091-D63A75BBC8A4}"/>
    <cellStyle name="2x indented GHG Textfiels 3 6 3" xfId="24430" xr:uid="{2C229EEF-2CF8-4528-981D-ABCC77CACB6B}"/>
    <cellStyle name="2x indented GHG Textfiels 3 6 4" xfId="24431" xr:uid="{4AD2528E-3918-4C56-86D8-E663383DCE2F}"/>
    <cellStyle name="2x indented GHG Textfiels 3 7" xfId="1004" xr:uid="{F153DDEE-7CA6-4B8C-9CB1-044CA4A30A43}"/>
    <cellStyle name="2x indented GHG Textfiels 3 7 2" xfId="1005" xr:uid="{6102D658-F3A0-4EE2-A8F4-41C102BD5F00}"/>
    <cellStyle name="2x indented GHG Textfiels 3 7 3" xfId="24432" xr:uid="{258F138D-3991-4BBF-BDE1-4C886A2C127F}"/>
    <cellStyle name="2x indented GHG Textfiels 3 7 4" xfId="24433" xr:uid="{53305C7F-1720-46D7-A488-BA67A201CFB5}"/>
    <cellStyle name="2x indented GHG Textfiels 3 8" xfId="1006" xr:uid="{FC47AB60-E9D2-4F8D-B89E-122C3C738B4C}"/>
    <cellStyle name="2x indented GHG Textfiels 3 8 2" xfId="1007" xr:uid="{C1B78500-EAC1-4D90-A14B-6F038B1F43B0}"/>
    <cellStyle name="2x indented GHG Textfiels 3 8 3" xfId="24434" xr:uid="{C221B924-0F1D-43FF-A27B-B81B754226DC}"/>
    <cellStyle name="2x indented GHG Textfiels 3 8 4" xfId="24435" xr:uid="{667A9C5E-9C0B-4725-A271-9906A52FC723}"/>
    <cellStyle name="2x indented GHG Textfiels 3 9" xfId="1008" xr:uid="{2D2296D3-794E-4DCF-A7E1-5D3964BF0AC5}"/>
    <cellStyle name="2x indented GHG Textfiels 3 9 2" xfId="24436" xr:uid="{151A8B01-F55F-447C-85C4-95B919D2E12C}"/>
    <cellStyle name="2x indented GHG Textfiels 3 9 3" xfId="24437" xr:uid="{835F0575-B4B6-4E6C-83EE-9993E66199E3}"/>
    <cellStyle name="2x indented GHG Textfiels 4" xfId="1009" xr:uid="{584A45A8-29E4-48C6-B819-F4A62333DD13}"/>
    <cellStyle name="2x indented GHG Textfiels 4 2" xfId="1010" xr:uid="{D9AE63F2-4496-4EE2-AA97-526C72A51E40}"/>
    <cellStyle name="2x indented GHG Textfiels 4 2 2" xfId="24438" xr:uid="{5E97E818-C6F8-4F2C-BA03-5A57BC4700AA}"/>
    <cellStyle name="2x indented GHG Textfiels 4 2 2 2" xfId="24439" xr:uid="{72F562AB-78AA-4305-833B-2AC912A9A1DC}"/>
    <cellStyle name="2x indented GHG Textfiels 4 2 3" xfId="24440" xr:uid="{A48C0D0B-BDD7-481A-A015-B8A688181C55}"/>
    <cellStyle name="2x indented GHG Textfiels 4 2 4" xfId="24441" xr:uid="{5C58CD7C-60DE-439D-B656-AE1B9C10ED33}"/>
    <cellStyle name="2x indented GHG Textfiels 4 3" xfId="1011" xr:uid="{52A695C0-1AE1-4B72-87F8-8EBA744B2901}"/>
    <cellStyle name="2x indented GHG Textfiels 4 3 2" xfId="24442" xr:uid="{D3357DA3-A7E9-481C-B9D1-AD1875505373}"/>
    <cellStyle name="2x indented GHG Textfiels 4 4" xfId="1012" xr:uid="{3AC3BDA4-6FAE-45D4-B09E-3C673FED5EE8}"/>
    <cellStyle name="2x indented GHG Textfiels 4 4 2" xfId="24443" xr:uid="{9CFEDF6D-26BD-4720-8654-482C77613C61}"/>
    <cellStyle name="2x indented GHG Textfiels 4 5" xfId="24444" xr:uid="{EEC7DB36-4D53-4306-BAF9-AB66A795D0DF}"/>
    <cellStyle name="2x indented GHG Textfiels 4 5 2" xfId="24445" xr:uid="{D157197A-F726-45F9-B53F-48A8FAE4E076}"/>
    <cellStyle name="2x indented GHG Textfiels 4 6" xfId="24446" xr:uid="{26BDB0AF-F105-4A6A-8AE8-05BDA33CF314}"/>
    <cellStyle name="2x indented GHG Textfiels 5" xfId="1013" xr:uid="{3AE276C8-FC3E-4D64-8B21-88E31E02C965}"/>
    <cellStyle name="2x indented GHG Textfiels 5 2" xfId="1014" xr:uid="{159CA800-D0A8-4704-BB07-29CE55AC3FD9}"/>
    <cellStyle name="2x indented GHG Textfiels 5 2 2" xfId="24447" xr:uid="{2C152557-9DB4-47EB-861E-FA5040D56C2A}"/>
    <cellStyle name="2x indented GHG Textfiels 5 3" xfId="1015" xr:uid="{289F7C82-5235-4E22-A608-8575DE82DF97}"/>
    <cellStyle name="2x indented GHG Textfiels 5 4" xfId="24448" xr:uid="{0A156C2D-4394-4B19-86C5-29AC0621DDA6}"/>
    <cellStyle name="2x indented GHG Textfiels 6" xfId="1016" xr:uid="{188CF7D0-CA3C-44F6-9A56-1755A0F10ED6}"/>
    <cellStyle name="2x indented GHG Textfiels 6 2" xfId="1017" xr:uid="{CA918FA6-9E73-4421-9CD4-E3726AEA2EC8}"/>
    <cellStyle name="2x indented GHG Textfiels 6 3" xfId="24449" xr:uid="{09C4F8C7-EA70-4588-8E52-DD1B34CEE157}"/>
    <cellStyle name="2x indented GHG Textfiels 6 4" xfId="24450" xr:uid="{0855EE52-B31C-40AC-8E9E-B81C827A2CDD}"/>
    <cellStyle name="2x indented GHG Textfiels 7" xfId="1018" xr:uid="{13F7EF93-36BC-4A6B-B38F-C1840F2661F5}"/>
    <cellStyle name="2x indented GHG Textfiels 7 2" xfId="1019" xr:uid="{9E89DA32-02E8-4D74-92F2-EE8BF52AE150}"/>
    <cellStyle name="2x indented GHG Textfiels 7 3" xfId="24451" xr:uid="{A12868A5-5272-48CF-8202-C161549A959F}"/>
    <cellStyle name="2x indented GHG Textfiels 7 4" xfId="24452" xr:uid="{A590021E-A4DD-4CA5-A807-6F042EA49A67}"/>
    <cellStyle name="2x indented GHG Textfiels 8" xfId="1020" xr:uid="{A531D037-18E0-4AA8-A49F-063D8C66E934}"/>
    <cellStyle name="2x indented GHG Textfiels 8 2" xfId="1021" xr:uid="{0FE87118-FE0A-49C2-88E4-8B71FE76F0D8}"/>
    <cellStyle name="2x indented GHG Textfiels 8 3" xfId="24453" xr:uid="{782D8F47-091D-43C4-BE17-9D65D20C8068}"/>
    <cellStyle name="2x indented GHG Textfiels 8 4" xfId="24454" xr:uid="{DE425171-1DF3-4D5B-8BA0-8EE7CFAA3671}"/>
    <cellStyle name="2x indented GHG Textfiels 9" xfId="1022" xr:uid="{9B7349E4-32E6-42D2-A533-EAF1521542BB}"/>
    <cellStyle name="2x indented GHG Textfiels 9 2" xfId="1023" xr:uid="{4EAE600B-C70C-4256-863C-03972112D2F5}"/>
    <cellStyle name="2x indented GHG Textfiels 9 3" xfId="24455" xr:uid="{CA8C9C7F-2198-4B0D-BBAB-8B23C600BD29}"/>
    <cellStyle name="2x indented GHG Textfiels 9 4" xfId="24456" xr:uid="{CF320EED-0D77-4DB7-8195-9C82CE3E304A}"/>
    <cellStyle name="40 % - Akzent1" xfId="44416" hidden="1" xr:uid="{755BE83A-1844-4A13-AE5D-A54A372A884E}"/>
    <cellStyle name="40 % - Akzent1" xfId="44026" hidden="1" xr:uid="{AEBFAB0F-ABEC-48DC-BB44-ADDEEBCC0C74}"/>
    <cellStyle name="40 % - Akzent1" xfId="45089" hidden="1" xr:uid="{991E205C-BB14-46B9-A22E-2246EF4DBD89}"/>
    <cellStyle name="40 % - Akzent1" xfId="45172" hidden="1" xr:uid="{07859589-B90E-4EFB-A4F4-4E90D31EB9DB}"/>
    <cellStyle name="40 % - Akzent1" xfId="45406" hidden="1" xr:uid="{851BEF89-BF90-4CD0-A9D1-92D6A84F3C4E}"/>
    <cellStyle name="40 % - Akzent1" xfId="45681" hidden="1" xr:uid="{BE274CBA-3936-40B7-9B2B-7C125C1FB5F0}"/>
    <cellStyle name="40 % - Akzent1" xfId="45617" hidden="1" xr:uid="{60216421-71C9-4C9D-B080-6F70E595903E}"/>
    <cellStyle name="40 % - Akzent1 2" xfId="44338" xr:uid="{BA8EC459-EE40-40C0-8805-29EB709CA54C}"/>
    <cellStyle name="40 % - Akzent1 3" xfId="44219" xr:uid="{003F1B97-078D-4C4C-90C1-4EB2DA418EAA}"/>
    <cellStyle name="40 % - Akzent2" xfId="44261" hidden="1" xr:uid="{6DDCD744-1BD8-488B-9792-A7248BBF5F1D}"/>
    <cellStyle name="40 % - Akzent2" xfId="44030" hidden="1" xr:uid="{B76E69F5-C7C6-48B9-8DC8-41944A5BE8DD}"/>
    <cellStyle name="40 % - Akzent2" xfId="45250" hidden="1" xr:uid="{264D41B4-D49D-4E49-B909-31B3A8737325}"/>
    <cellStyle name="40 % - Akzent2" xfId="45246" hidden="1" xr:uid="{B40F01A5-F170-49CA-B392-317FEE1679A0}"/>
    <cellStyle name="40 % - Akzent2" xfId="45505" hidden="1" xr:uid="{D5EBCA85-A0D4-4BFF-B028-889B1B7001EA}"/>
    <cellStyle name="40 % - Akzent2" xfId="45750" hidden="1" xr:uid="{FC3E69A6-1873-40A0-AE6D-6BB87DA256F6}"/>
    <cellStyle name="40 % - Akzent2" xfId="45620" hidden="1" xr:uid="{4EFD6443-B689-4A1B-BD30-012ED8718A4F}"/>
    <cellStyle name="40 % - Akzent2 2" xfId="44339" xr:uid="{2297C234-0A1F-4535-AE5C-0382FF03FB75}"/>
    <cellStyle name="40 % - Akzent2 3" xfId="44220" xr:uid="{040DC115-56C5-4759-88B4-468C1520A17A}"/>
    <cellStyle name="40 % - Akzent3" xfId="44413" hidden="1" xr:uid="{2D997905-F432-49C6-AD1F-93B2134F12BD}"/>
    <cellStyle name="40 % - Akzent3" xfId="44034" hidden="1" xr:uid="{26BDBD22-7850-4232-BAAD-F6F9DF94C34B}"/>
    <cellStyle name="40 % - Akzent3" xfId="44848" hidden="1" xr:uid="{80682C18-E210-4F1F-9380-399765FBBAEE}"/>
    <cellStyle name="40 % - Akzent3" xfId="44032" hidden="1" xr:uid="{4DBEB3A0-2908-4FFC-8992-243F17A1B3D1}"/>
    <cellStyle name="40 % - Akzent3" xfId="44277" hidden="1" xr:uid="{94C77BD2-AE78-4665-9669-FCDAE32111E3}"/>
    <cellStyle name="40 % - Akzent3" xfId="45649" hidden="1" xr:uid="{66D98BC8-54B2-4416-919D-8A81FDC658D3}"/>
    <cellStyle name="40 % - Akzent3" xfId="45623" hidden="1" xr:uid="{282FD891-B818-4B7C-BE70-FDE434456898}"/>
    <cellStyle name="40 % - Akzent3 2" xfId="44340" xr:uid="{B3D5C4BE-F657-4581-846B-AD4F46BC0634}"/>
    <cellStyle name="40 % - Akzent3 3" xfId="44221" xr:uid="{09610CA4-6CBF-4F72-B66D-10045B2698F9}"/>
    <cellStyle name="40 % - Akzent4" xfId="44408" hidden="1" xr:uid="{17F955E9-FF1F-4DDE-9605-4E1BFD272F9A}"/>
    <cellStyle name="40 % - Akzent4" xfId="44038" hidden="1" xr:uid="{E21A21C7-1520-4B08-871A-7D850170EF29}"/>
    <cellStyle name="40 % - Akzent4" xfId="45306" hidden="1" xr:uid="{EF599053-C278-424F-9C49-6151EC5B4ABC}"/>
    <cellStyle name="40 % - Akzent4" xfId="44314" hidden="1" xr:uid="{93852516-A9F9-414A-AD92-34617D7C9B4A}"/>
    <cellStyle name="40 % - Akzent4" xfId="45539" hidden="1" xr:uid="{7B67C909-EFBA-4C94-9ADC-C63260E1B831}"/>
    <cellStyle name="40 % - Akzent4" xfId="45730" hidden="1" xr:uid="{7F057AD2-6D56-484B-AC5B-651D0AE6CDED}"/>
    <cellStyle name="40 % - Akzent4" xfId="45626" hidden="1" xr:uid="{AEB44CBB-F993-4304-AFD4-ED3D340CEEA4}"/>
    <cellStyle name="40 % - Akzent4 2" xfId="44341" xr:uid="{2A9CFF4E-B16F-4008-933B-462D21E109F1}"/>
    <cellStyle name="40 % - Akzent4 3" xfId="44222" xr:uid="{68C65580-5CAF-422F-96D3-1E9F21796E5A}"/>
    <cellStyle name="40 % - Akzent5" xfId="44263" hidden="1" xr:uid="{7C848200-15DE-4619-BCE4-0F0C978AF955}"/>
    <cellStyle name="40 % - Akzent5" xfId="44041" hidden="1" xr:uid="{24062CC6-124D-4437-A1FB-1E9E727E5053}"/>
    <cellStyle name="40 % - Akzent5" xfId="45357" hidden="1" xr:uid="{FB07B293-BA26-4E67-9E83-664B454FF098}"/>
    <cellStyle name="40 % - Akzent5" xfId="45354" hidden="1" xr:uid="{995382A3-A436-4634-93C1-E0EA9C384176}"/>
    <cellStyle name="40 % - Akzent5" xfId="45577" hidden="1" xr:uid="{51A5F1F1-776F-4416-9552-C850EB1F5908}"/>
    <cellStyle name="40 % - Akzent5" xfId="45739" hidden="1" xr:uid="{CDD3D47D-1C01-43BC-AE40-476E424F7A5F}"/>
    <cellStyle name="40 % - Akzent5" xfId="45629" hidden="1" xr:uid="{81CD4064-731F-4FC4-9048-56495880579B}"/>
    <cellStyle name="40 % - Akzent5 2" xfId="44342" xr:uid="{5649F93F-0109-4814-9437-0E1045CEC280}"/>
    <cellStyle name="40 % - Akzent5 3" xfId="44223" xr:uid="{31BDD78A-ED01-48CE-95C5-D83CCBB78E72}"/>
    <cellStyle name="40 % - Akzent6" xfId="44284" hidden="1" xr:uid="{4ABF6BD7-EF60-4C50-9B4A-C1ABF5CFB0C0}"/>
    <cellStyle name="40 % - Akzent6" xfId="44044" hidden="1" xr:uid="{01AFC132-CE35-40D3-A42D-9C2B6CDB385B}"/>
    <cellStyle name="40 % - Akzent6" xfId="44847" hidden="1" xr:uid="{C49EE650-A5BC-4126-900B-8617111D37F6}"/>
    <cellStyle name="40 % - Akzent6" xfId="45211" hidden="1" xr:uid="{797EEA2B-0EB2-4D2A-BF43-2A0539660B08}"/>
    <cellStyle name="40 % - Akzent6" xfId="44896" hidden="1" xr:uid="{94BEA0A7-93C6-494F-898D-D2741B35C2FA}"/>
    <cellStyle name="40 % - Akzent6" xfId="45729" hidden="1" xr:uid="{564D3488-DF3B-4899-AB40-391D9A2BD492}"/>
    <cellStyle name="40 % - Akzent6" xfId="45632" hidden="1" xr:uid="{E8457CB4-A75A-463A-A13E-BC1DA6B61E6B}"/>
    <cellStyle name="40 % - Akzent6 2" xfId="44343" xr:uid="{74C793F4-A57A-4DDF-8749-FDA06A42333B}"/>
    <cellStyle name="40 % - Akzent6 3" xfId="44224" xr:uid="{579F0217-FF32-4B3B-8BB3-58FC79324E41}"/>
    <cellStyle name="40 % - Accent1" xfId="1024" xr:uid="{9EE44A9D-E088-4AEC-B1D4-9CCD872500FC}"/>
    <cellStyle name="40 % - Accent2" xfId="1025" xr:uid="{3A5E9E82-2454-4D7E-A056-88BA96C52510}"/>
    <cellStyle name="40 % - Accent3" xfId="1026" xr:uid="{49983BB9-0D20-4678-8C7A-02E58B718CE7}"/>
    <cellStyle name="40 % - Accent4" xfId="1027" xr:uid="{5052EDC3-C41A-4E63-9447-5F2532094AFC}"/>
    <cellStyle name="40 % - Accent5" xfId="1028" xr:uid="{8461E281-1847-4457-91C2-A346F537724D}"/>
    <cellStyle name="40 % - Accent6" xfId="1029" xr:uid="{71AC92D9-F0B8-4E80-AB91-6B6E31641136}"/>
    <cellStyle name="40% - 1. jelölőszín" xfId="1030" xr:uid="{E2449457-963A-4056-A4D8-84E38577D436}"/>
    <cellStyle name="40% - 2. jelölőszín" xfId="1031" xr:uid="{BCBFF500-F8E0-4240-AE86-C238CB302673}"/>
    <cellStyle name="40% - 3. jelölőszín" xfId="1032" xr:uid="{9A39A7C3-B20E-4283-A6D3-3B48E486AFF1}"/>
    <cellStyle name="40% - 4. jelölőszín" xfId="1033" xr:uid="{8876D8B8-9123-44B2-8000-FFCC5FC839DD}"/>
    <cellStyle name="40% - 5. jelölőszín" xfId="1034" xr:uid="{7BD27738-E0F4-451D-B11C-8E347D6BBE70}"/>
    <cellStyle name="40% - 6. jelölőszín" xfId="1035" xr:uid="{B87BD647-EC1C-49A6-877B-F942ED44B46F}"/>
    <cellStyle name="40% - Accent1" xfId="1870" builtinId="31" customBuiltin="1"/>
    <cellStyle name="40% - Accent1 10" xfId="1036" xr:uid="{A6E434F9-6527-4A19-B16F-76C7561925CA}"/>
    <cellStyle name="40% - Accent1 10 2" xfId="1037" xr:uid="{202724FA-831A-4107-9E9B-94289B530B4E}"/>
    <cellStyle name="40% - Accent1 11" xfId="24457" xr:uid="{0C930AD7-26E2-4479-AB01-5810E8A0BC89}"/>
    <cellStyle name="40% - Accent1 11 2" xfId="24458" xr:uid="{9CB71D12-6F89-48FB-9C15-160261AF1DF9}"/>
    <cellStyle name="40% - Accent1 12" xfId="24459" xr:uid="{F95E71EA-C644-462A-8568-784C15A691AE}"/>
    <cellStyle name="40% - Accent1 13" xfId="24460" xr:uid="{65450EF2-81BE-4ED2-A40D-E165A213FFFB}"/>
    <cellStyle name="40% - Accent1 14" xfId="24461" xr:uid="{17C47C34-99AE-448E-830E-A23941AD553D}"/>
    <cellStyle name="40% - Accent1 15" xfId="24462" xr:uid="{C63AF046-96FD-4715-BE40-F228B95D205B}"/>
    <cellStyle name="40% - Accent1 16" xfId="24463" xr:uid="{17AAEE1A-104E-431E-88F2-94DCD1830705}"/>
    <cellStyle name="40% - Accent1 17" xfId="24464" xr:uid="{5417E257-C09F-453A-ABB1-998952054CF7}"/>
    <cellStyle name="40% - Accent1 18" xfId="24465" xr:uid="{697636E7-1295-4E0F-A523-7EC9A94971F9}"/>
    <cellStyle name="40% - Accent1 19" xfId="24466" xr:uid="{028CC97D-DD1A-4C92-BA8A-891A4E0DFF3A}"/>
    <cellStyle name="40% - Accent1 2" xfId="1038" xr:uid="{308A43AA-56D0-495E-B532-FCEEA5C06977}"/>
    <cellStyle name="40% - Accent1 2 10" xfId="1039" xr:uid="{E3E34E8C-D109-46C6-B8F7-3A5362562BC9}"/>
    <cellStyle name="40% - Accent1 2 10 2" xfId="1040" xr:uid="{4058C210-6A9A-4F19-829A-0F5E3B260B69}"/>
    <cellStyle name="40% - Accent1 2 10 3" xfId="1041" xr:uid="{513F0AA2-A79B-4EC0-BAF1-58F5A8F0DD03}"/>
    <cellStyle name="40% - Accent1 2 11" xfId="1042" xr:uid="{A5E7DA48-67A2-4538-BFCC-3664DC1BAB2F}"/>
    <cellStyle name="40% - Accent1 2 11 2" xfId="1043" xr:uid="{844667A0-C106-46A2-BBD7-E81ED4BD53CD}"/>
    <cellStyle name="40% - Accent1 2 11 3" xfId="1044" xr:uid="{D779AE47-6E37-4416-BC08-08CE42BA3F59}"/>
    <cellStyle name="40% - Accent1 2 12" xfId="1045" xr:uid="{3E85E3BE-EA05-4680-AB51-B43306B17BD0}"/>
    <cellStyle name="40% - Accent1 2 12 2" xfId="1046" xr:uid="{FE542293-53B4-4594-ACA5-5F5D025A8AAF}"/>
    <cellStyle name="40% - Accent1 2 12 3" xfId="1047" xr:uid="{2C34309E-8834-4681-A286-087C01B1E1BA}"/>
    <cellStyle name="40% - Accent1 2 13" xfId="1048" xr:uid="{DEACE855-0808-4126-AD23-18178D319C0F}"/>
    <cellStyle name="40% - Accent1 2 13 2" xfId="1049" xr:uid="{F810799C-D49C-4CCB-B6C5-9E6B72B163E2}"/>
    <cellStyle name="40% - Accent1 2 14" xfId="1050" xr:uid="{3DFEA0D4-9DEA-4403-A3EA-D320A225EA4E}"/>
    <cellStyle name="40% - Accent1 2 15" xfId="1051" xr:uid="{E7137301-06DA-4614-B519-E608F8790F4E}"/>
    <cellStyle name="40% - Accent1 2 16" xfId="24467" xr:uid="{87AE1B84-B16B-49C2-94B6-1B67546DBAAB}"/>
    <cellStyle name="40% - Accent1 2 17" xfId="44066" xr:uid="{A3EA8A9D-B3F4-4E1E-B923-5868C3685A6A}"/>
    <cellStyle name="40% - Accent1 2 2" xfId="1052" xr:uid="{13F8AB15-976C-4748-9798-FA3F7F352C28}"/>
    <cellStyle name="40% - Accent1 2 2 2" xfId="1053" xr:uid="{360B3373-41E6-42F1-AC8C-26D5F24E706C}"/>
    <cellStyle name="40% - Accent1 2 2 3" xfId="1054" xr:uid="{B363CB34-CE62-4140-A3B2-FC62839C16A5}"/>
    <cellStyle name="40% - Accent1 2 3" xfId="1055" xr:uid="{F482DA87-490A-4D74-9386-A8FD30E13037}"/>
    <cellStyle name="40% - Accent1 2 3 2" xfId="1056" xr:uid="{2836E42A-AA02-47D7-A2EB-5ACC7B41F45C}"/>
    <cellStyle name="40% - Accent1 2 3 3" xfId="1057" xr:uid="{FA86D9A2-448E-4EC5-A692-CB16A824B7FF}"/>
    <cellStyle name="40% - Accent1 2 4" xfId="1058" xr:uid="{EC91932F-4BC9-42CF-8AE1-9DBCCC128889}"/>
    <cellStyle name="40% - Accent1 2 4 2" xfId="1059" xr:uid="{D6F635F2-9EA4-438D-8909-4F85A771840B}"/>
    <cellStyle name="40% - Accent1 2 4 3" xfId="1060" xr:uid="{BC54957F-EEC7-4F85-82FF-BBF01C87CB3E}"/>
    <cellStyle name="40% - Accent1 2 5" xfId="1061" xr:uid="{55BC80CC-2F43-4250-9E62-7EB784A79125}"/>
    <cellStyle name="40% - Accent1 2 5 2" xfId="1062" xr:uid="{5AAAC9D6-1DF7-44E9-A7DF-EABDC48863F5}"/>
    <cellStyle name="40% - Accent1 2 5 3" xfId="1063" xr:uid="{8B8ECD86-C887-4670-BE0E-774BA6D48DD6}"/>
    <cellStyle name="40% - Accent1 2 6" xfId="1064" xr:uid="{FB3100F6-79E0-4E6A-B9B5-EC14EF2BD059}"/>
    <cellStyle name="40% - Accent1 2 6 2" xfId="1065" xr:uid="{FC5BD3F2-0F46-4A66-B601-0FBC87949D42}"/>
    <cellStyle name="40% - Accent1 2 6 3" xfId="1066" xr:uid="{3479E69C-34E6-4534-9CC5-6367A6D1918B}"/>
    <cellStyle name="40% - Accent1 2 7" xfId="1067" xr:uid="{F2AB4143-E40F-4D70-BD99-6763F08C6B0E}"/>
    <cellStyle name="40% - Accent1 2 7 2" xfId="1068" xr:uid="{F2F845E0-A5D6-4E81-BCFC-539E77D86D1B}"/>
    <cellStyle name="40% - Accent1 2 7 3" xfId="1069" xr:uid="{316CB7FD-7588-4AF0-A2D8-97895E584DB7}"/>
    <cellStyle name="40% - Accent1 2 8" xfId="1070" xr:uid="{90329FAE-6A8E-4B43-A1EC-43065E3FEADD}"/>
    <cellStyle name="40% - Accent1 2 8 2" xfId="1071" xr:uid="{16B1530B-6075-4A39-80BA-EDF553D864B9}"/>
    <cellStyle name="40% - Accent1 2 8 3" xfId="1072" xr:uid="{E9EE12BF-87F7-4C7D-AB4A-D6267AC488BF}"/>
    <cellStyle name="40% - Accent1 2 9" xfId="1073" xr:uid="{2AF42C42-366E-4E0D-8185-FCCE903AB460}"/>
    <cellStyle name="40% - Accent1 2 9 2" xfId="1074" xr:uid="{B8703CA3-6361-412B-8F0E-EB89BD4A03EC}"/>
    <cellStyle name="40% - Accent1 2 9 3" xfId="1075" xr:uid="{9F5BC7A1-904A-44A1-8690-8BFB4D1589BD}"/>
    <cellStyle name="40% - Accent1 20" xfId="24468" xr:uid="{7C1D97ED-B37C-417A-874A-7E6C9481E22A}"/>
    <cellStyle name="40% - Accent1 21" xfId="24469" xr:uid="{E8D888B1-2841-4405-9C36-80BFC19D2176}"/>
    <cellStyle name="40% - Accent1 22" xfId="24470" xr:uid="{C3549B5B-0674-4648-AF45-C527D74BBBEA}"/>
    <cellStyle name="40% - Accent1 23" xfId="24471" xr:uid="{6B7B0BE3-07A6-40F5-B1E9-41950C2109B0}"/>
    <cellStyle name="40% - Accent1 24" xfId="24472" xr:uid="{82ACA226-7503-4EA3-A1D9-EC329A1BB51D}"/>
    <cellStyle name="40% - Accent1 25" xfId="24473" xr:uid="{1AD1F542-4D9B-45F5-AD16-10E3907D7AF2}"/>
    <cellStyle name="40% - Accent1 26" xfId="24474" xr:uid="{01F46751-6D0B-4E00-80DB-97C2BAD7C478}"/>
    <cellStyle name="40% - Accent1 27" xfId="24475" xr:uid="{FB3F1E19-4872-4C98-ADE7-F6579D1F32BD}"/>
    <cellStyle name="40% - Accent1 28" xfId="24476" xr:uid="{82C9CCEF-3F37-4E01-BF2B-1D3864CD3CC0}"/>
    <cellStyle name="40% - Accent1 29" xfId="24477" xr:uid="{6C7D62F4-B736-4947-ABCF-8506E703DA69}"/>
    <cellStyle name="40% - Accent1 3" xfId="1076" xr:uid="{63B4388A-D8BA-45F6-AE54-507ED389934D}"/>
    <cellStyle name="40% - Accent1 3 10" xfId="1077" xr:uid="{257968AB-B83A-48AB-BBC2-E9C67FD448CA}"/>
    <cellStyle name="40% - Accent1 3 10 2" xfId="1078" xr:uid="{BAF21166-9C8C-4483-9426-424BEE492113}"/>
    <cellStyle name="40% - Accent1 3 11" xfId="1079" xr:uid="{AEF38B04-5A61-40B6-A0EB-36100898AF24}"/>
    <cellStyle name="40% - Accent1 3 11 2" xfId="1080" xr:uid="{D472AC0B-E4B4-4907-A558-DB2593BB8A67}"/>
    <cellStyle name="40% - Accent1 3 12" xfId="1081" xr:uid="{D5054E18-AB6B-467F-8902-A84058B6DEDE}"/>
    <cellStyle name="40% - Accent1 3 13" xfId="1082" xr:uid="{75758065-0966-4A16-BAB5-965953BCD821}"/>
    <cellStyle name="40% - Accent1 3 14" xfId="44176" xr:uid="{FFAA0CE6-C72D-4DF1-B251-B4A85096D0EA}"/>
    <cellStyle name="40% - Accent1 3 2" xfId="1083" xr:uid="{CBD0DE92-AE9D-4B7B-8AC7-9049BE2E04CA}"/>
    <cellStyle name="40% - Accent1 3 2 2" xfId="1084" xr:uid="{30190801-B03F-40A5-9558-AAD1F32C9091}"/>
    <cellStyle name="40% - Accent1 3 2 3" xfId="24478" xr:uid="{5826775D-2DC1-45A8-B71F-81D387ECD454}"/>
    <cellStyle name="40% - Accent1 3 3" xfId="1085" xr:uid="{73DD38C2-75F0-4234-921D-596181FAC461}"/>
    <cellStyle name="40% - Accent1 3 3 2" xfId="1086" xr:uid="{B786A667-4ABB-451A-971E-A08E75F5AFE2}"/>
    <cellStyle name="40% - Accent1 3 3 3" xfId="42262" xr:uid="{CD02AAED-0BF2-4B9C-ACB7-31A336E805A2}"/>
    <cellStyle name="40% - Accent1 3 4" xfId="1087" xr:uid="{31BBD00B-0C12-46C1-A713-5C78661BEE4E}"/>
    <cellStyle name="40% - Accent1 3 4 2" xfId="1088" xr:uid="{92B2CBC5-D674-4D9E-B4AA-7C469463E33A}"/>
    <cellStyle name="40% - Accent1 3 5" xfId="1089" xr:uid="{43F674D6-46E7-4714-99FC-CBCC34063647}"/>
    <cellStyle name="40% - Accent1 3 5 2" xfId="1090" xr:uid="{8A54B3D4-AD3B-400B-97C5-0CAE2070AEAA}"/>
    <cellStyle name="40% - Accent1 3 6" xfId="1091" xr:uid="{2C669BC4-76E8-409D-8AFB-8C1C48559F54}"/>
    <cellStyle name="40% - Accent1 3 6 2" xfId="1092" xr:uid="{4492D49E-5140-432A-9366-3BCE5A652166}"/>
    <cellStyle name="40% - Accent1 3 7" xfId="1093" xr:uid="{A0FABFB6-3538-44E5-9E6D-345508C2E4F7}"/>
    <cellStyle name="40% - Accent1 3 7 2" xfId="1094" xr:uid="{D1D5B7A2-3340-4792-BFB8-8BC92BF96B69}"/>
    <cellStyle name="40% - Accent1 3 8" xfId="1095" xr:uid="{08F8F1E6-E964-4C44-B270-B8B8C0F99020}"/>
    <cellStyle name="40% - Accent1 3 8 2" xfId="1096" xr:uid="{74036607-6E31-4E07-ACFB-092447FBEA15}"/>
    <cellStyle name="40% - Accent1 3 9" xfId="1097" xr:uid="{51018086-3D1E-44DD-8B83-FE38ED8EE980}"/>
    <cellStyle name="40% - Accent1 3 9 2" xfId="1098" xr:uid="{1200B858-D470-47FF-87D8-7EEA68E74162}"/>
    <cellStyle name="40% - Accent1 30" xfId="24479" xr:uid="{2041B9CA-576D-43E8-AD7E-6565C0D137AB}"/>
    <cellStyle name="40% - Accent1 31" xfId="24480" xr:uid="{FE160347-AE97-431E-A552-ABC93C4435A6}"/>
    <cellStyle name="40% - Accent1 32" xfId="24481" xr:uid="{BDBF581A-5CA9-4C22-8780-F0FEE1768E1F}"/>
    <cellStyle name="40% - Accent1 33" xfId="24482" xr:uid="{58174652-813C-453B-8218-D9814F092F43}"/>
    <cellStyle name="40% - Accent1 34" xfId="24483" xr:uid="{346BE2E0-A483-42DF-B6F3-FD6A5631F1F7}"/>
    <cellStyle name="40% - Accent1 35" xfId="24484" xr:uid="{705154D1-F20A-4729-A6CD-F372A159040C}"/>
    <cellStyle name="40% - Accent1 36" xfId="24485" xr:uid="{64A57313-BD9A-400C-8462-219A18CF9876}"/>
    <cellStyle name="40% - Accent1 37" xfId="24486" xr:uid="{D4FE2E24-5389-4518-9672-D65077EF9880}"/>
    <cellStyle name="40% - Accent1 38" xfId="24487" xr:uid="{707A2D07-418C-46A0-983E-ECF946CE90A5}"/>
    <cellStyle name="40% - Accent1 39" xfId="24488" xr:uid="{01D8AEA0-1B4C-4C6F-902A-D49301D61BD4}"/>
    <cellStyle name="40% - Accent1 4" xfId="1099" xr:uid="{36195F34-F0E6-425F-9346-34E4755C911A}"/>
    <cellStyle name="40% - Accent1 4 10" xfId="1100" xr:uid="{921E4491-BA55-4313-8F58-20FA3B393786}"/>
    <cellStyle name="40% - Accent1 4 10 2" xfId="1101" xr:uid="{900C6E94-7469-4472-A8B5-D0CBBC04FFCA}"/>
    <cellStyle name="40% - Accent1 4 11" xfId="1102" xr:uid="{573C9BB8-8ADD-4EEC-BCE2-2BE5C3A66DF8}"/>
    <cellStyle name="40% - Accent1 4 11 2" xfId="1103" xr:uid="{C001F9C0-5E46-4B5A-A485-3E25082B1F17}"/>
    <cellStyle name="40% - Accent1 4 12" xfId="1104" xr:uid="{42815EBC-3289-4EDB-AA01-44DAFBA084CB}"/>
    <cellStyle name="40% - Accent1 4 13" xfId="1105" xr:uid="{7D8AB28C-79C8-4545-8D8A-D4BFC831377C}"/>
    <cellStyle name="40% - Accent1 4 2" xfId="1106" xr:uid="{DB589D87-8116-449A-B3EC-767228E3B8D7}"/>
    <cellStyle name="40% - Accent1 4 2 2" xfId="1107" xr:uid="{6936579E-D510-4379-8EBD-B370C603E30B}"/>
    <cellStyle name="40% - Accent1 4 2 3" xfId="24489" xr:uid="{07A9D2D4-0D4D-4F31-93B1-A72C4BD27124}"/>
    <cellStyle name="40% - Accent1 4 3" xfId="1108" xr:uid="{0B04C710-55DA-4E8F-8286-9EF817085347}"/>
    <cellStyle name="40% - Accent1 4 3 2" xfId="1109" xr:uid="{D1B6964E-84B9-45CF-9AAB-B8C666D3D1F6}"/>
    <cellStyle name="40% - Accent1 4 4" xfId="1110" xr:uid="{D0A2FB96-C08E-4D29-A76F-AC6C2C6E2D02}"/>
    <cellStyle name="40% - Accent1 4 4 2" xfId="1111" xr:uid="{EE7B5071-855E-47C8-9905-5870900646C6}"/>
    <cellStyle name="40% - Accent1 4 5" xfId="1112" xr:uid="{9C9E173A-E276-41BE-9D77-DDD7FC356087}"/>
    <cellStyle name="40% - Accent1 4 5 2" xfId="1113" xr:uid="{1E715D39-E4C0-46E4-8F20-BF78158AEA21}"/>
    <cellStyle name="40% - Accent1 4 6" xfId="1114" xr:uid="{857AE648-CA70-4E42-A043-F839C83BAD02}"/>
    <cellStyle name="40% - Accent1 4 6 2" xfId="1115" xr:uid="{98B8489B-C3C4-4C74-AFA1-40A430CCA4FD}"/>
    <cellStyle name="40% - Accent1 4 7" xfId="1116" xr:uid="{CCEB9633-E8B8-419E-81B2-890A399F7AFA}"/>
    <cellStyle name="40% - Accent1 4 7 2" xfId="1117" xr:uid="{D9E961A6-F6F5-4B22-A6B9-29669D7C8570}"/>
    <cellStyle name="40% - Accent1 4 8" xfId="1118" xr:uid="{8967551E-5FB5-4B45-9D42-0BA4D8DAF805}"/>
    <cellStyle name="40% - Accent1 4 8 2" xfId="1119" xr:uid="{9EB9721C-6BCC-470D-B227-A0B143EBC9EA}"/>
    <cellStyle name="40% - Accent1 4 9" xfId="1120" xr:uid="{58852BA1-5ACA-4809-B26B-C0D3B1439884}"/>
    <cellStyle name="40% - Accent1 4 9 2" xfId="1121" xr:uid="{B63AAA21-3F82-4350-A1D5-D6B88945CA71}"/>
    <cellStyle name="40% - Accent1 40" xfId="24490" xr:uid="{9EB30A15-ADF9-4CC2-B2CD-C60DE0D7DA62}"/>
    <cellStyle name="40% - Accent1 41" xfId="24491" xr:uid="{132FD7B6-2A3E-4A14-A2CD-C2374AF86930}"/>
    <cellStyle name="40% - Accent1 42" xfId="24492" xr:uid="{249A3594-F2AB-4454-80FA-71C2B97B5789}"/>
    <cellStyle name="40% - Accent1 43" xfId="24493" xr:uid="{BA89718F-DFF8-4E39-BB82-D6D0F788D330}"/>
    <cellStyle name="40% - Accent1 44" xfId="45860" xr:uid="{6D3418D9-295C-4986-9007-92AE2768263C}"/>
    <cellStyle name="40% - Accent1 45" xfId="45878" xr:uid="{95763AEB-A652-41D9-95AF-8E0BB2D43522}"/>
    <cellStyle name="40% - Accent1 5" xfId="1122" xr:uid="{8CC2960D-8674-484F-8ECE-990EF3C55231}"/>
    <cellStyle name="40% - Accent1 5 10" xfId="1123" xr:uid="{A1939835-08AB-43DA-A758-CEAF775714FD}"/>
    <cellStyle name="40% - Accent1 5 10 2" xfId="1124" xr:uid="{AE351CAB-EE54-4446-97AE-82E699F57407}"/>
    <cellStyle name="40% - Accent1 5 11" xfId="1125" xr:uid="{0F468CA6-20E7-46C3-8B98-C2D324588759}"/>
    <cellStyle name="40% - Accent1 5 11 2" xfId="1126" xr:uid="{8A8C5637-40EF-4F87-8702-E28BCBB765EE}"/>
    <cellStyle name="40% - Accent1 5 12" xfId="1127" xr:uid="{EE667B57-0EEF-4502-BC62-F9D214C08A94}"/>
    <cellStyle name="40% - Accent1 5 13" xfId="1128" xr:uid="{E570A9BE-FFFD-42DE-8676-A3C868E83002}"/>
    <cellStyle name="40% - Accent1 5 2" xfId="1129" xr:uid="{DCFB7317-3C63-4DAE-880D-71FCAF55B7EC}"/>
    <cellStyle name="40% - Accent1 5 2 2" xfId="1130" xr:uid="{BD771DEF-684A-47A2-9030-F049AF4F46DA}"/>
    <cellStyle name="40% - Accent1 5 2 3" xfId="24494" xr:uid="{52093004-0B18-4584-98E5-2986DA453D25}"/>
    <cellStyle name="40% - Accent1 5 3" xfId="1131" xr:uid="{B4E6EBA1-C5A0-4FCD-8931-25A239C786BD}"/>
    <cellStyle name="40% - Accent1 5 3 2" xfId="1132" xr:uid="{B9111391-89DD-4447-974C-CA52E7E31919}"/>
    <cellStyle name="40% - Accent1 5 4" xfId="1133" xr:uid="{44C075EF-3AC2-45C5-AED9-EA881153C24F}"/>
    <cellStyle name="40% - Accent1 5 4 2" xfId="1134" xr:uid="{83A52AE8-BAFB-4628-9FEC-49278DC3D784}"/>
    <cellStyle name="40% - Accent1 5 5" xfId="1135" xr:uid="{3001238E-F89F-4D3D-9412-93FE9291017B}"/>
    <cellStyle name="40% - Accent1 5 5 2" xfId="1136" xr:uid="{4874EB04-D7FB-472D-912D-DADA288F0E9D}"/>
    <cellStyle name="40% - Accent1 5 6" xfId="1137" xr:uid="{32172A01-4DB3-4B34-8BFF-65785704E63C}"/>
    <cellStyle name="40% - Accent1 5 6 2" xfId="1138" xr:uid="{49175032-4D20-4D91-8FDE-92A5493D58A2}"/>
    <cellStyle name="40% - Accent1 5 7" xfId="1139" xr:uid="{17B5D18A-3484-4C1C-B311-AAF44DF9F6E5}"/>
    <cellStyle name="40% - Accent1 5 7 2" xfId="1140" xr:uid="{B5C46DDB-6D22-4EB0-9785-9B13607965D2}"/>
    <cellStyle name="40% - Accent1 5 8" xfId="1141" xr:uid="{84B9D209-AA04-4985-9BFC-756FFD447717}"/>
    <cellStyle name="40% - Accent1 5 8 2" xfId="1142" xr:uid="{6D8534E2-F4F6-4868-A114-D6E985454AEC}"/>
    <cellStyle name="40% - Accent1 5 9" xfId="1143" xr:uid="{0EE142DA-57A4-493A-B6B3-C138754C9DD7}"/>
    <cellStyle name="40% - Accent1 5 9 2" xfId="1144" xr:uid="{83A24CD3-AE64-43CD-96A3-BA05539A5DC8}"/>
    <cellStyle name="40% - Accent1 6" xfId="1145" xr:uid="{08CFFE3F-3CC6-4C72-B3C6-35B2809AC984}"/>
    <cellStyle name="40% - Accent1 6 10" xfId="1146" xr:uid="{CBC76725-C016-4A99-BC94-3E02D9642DA9}"/>
    <cellStyle name="40% - Accent1 6 10 2" xfId="1147" xr:uid="{D777CE5D-1EDE-4243-868B-6C69B31C64CA}"/>
    <cellStyle name="40% - Accent1 6 11" xfId="1148" xr:uid="{E8AB812E-F1AF-4606-8381-DF0DA32B0C3A}"/>
    <cellStyle name="40% - Accent1 6 11 2" xfId="1149" xr:uid="{269E8AAA-49E5-4D3C-A3F1-0F07B6D1C1B9}"/>
    <cellStyle name="40% - Accent1 6 12" xfId="1150" xr:uid="{C4191B50-B349-401B-952F-B8131820B16E}"/>
    <cellStyle name="40% - Accent1 6 13" xfId="1151" xr:uid="{032386D8-324C-4FD8-B55F-0B982DC91637}"/>
    <cellStyle name="40% - Accent1 6 2" xfId="1152" xr:uid="{530ED910-87BD-4212-AF27-9D7CE163D54A}"/>
    <cellStyle name="40% - Accent1 6 2 2" xfId="1153" xr:uid="{D0508D05-16F8-4414-A91F-A4CAECB9B16F}"/>
    <cellStyle name="40% - Accent1 6 2 3" xfId="24495" xr:uid="{D9E29328-8960-466E-A178-77E01CDEA0C2}"/>
    <cellStyle name="40% - Accent1 6 3" xfId="1154" xr:uid="{88909929-349E-4CAF-B90F-05CAF8579DE3}"/>
    <cellStyle name="40% - Accent1 6 3 2" xfId="1155" xr:uid="{2C1C7E63-26C3-4B47-8833-134B668B929A}"/>
    <cellStyle name="40% - Accent1 6 4" xfId="1156" xr:uid="{898B73EB-A936-463C-A226-C45F5AAF9494}"/>
    <cellStyle name="40% - Accent1 6 4 2" xfId="1157" xr:uid="{E6A2C94E-D58E-4BC4-9165-4CCFCE133B8A}"/>
    <cellStyle name="40% - Accent1 6 5" xfId="1158" xr:uid="{9225653C-8FE3-47F1-8EC7-7441A17611ED}"/>
    <cellStyle name="40% - Accent1 6 5 2" xfId="1159" xr:uid="{D130BBCF-DED2-47DF-9E20-662E45643E38}"/>
    <cellStyle name="40% - Accent1 6 6" xfId="1160" xr:uid="{CCB732D8-FCAA-4195-B8BE-7E71903006A4}"/>
    <cellStyle name="40% - Accent1 6 6 2" xfId="1161" xr:uid="{FC9C31FA-3237-4891-ABCE-BB2B0F37B3A6}"/>
    <cellStyle name="40% - Accent1 6 7" xfId="1162" xr:uid="{A156C51A-D641-4239-BE56-9D0482A5ADC9}"/>
    <cellStyle name="40% - Accent1 6 7 2" xfId="1163" xr:uid="{7EA52ED9-F0BC-45C9-8162-34F3A5CD199C}"/>
    <cellStyle name="40% - Accent1 6 8" xfId="1164" xr:uid="{C6FC183C-230A-401A-8FDF-C3CE272CD106}"/>
    <cellStyle name="40% - Accent1 6 8 2" xfId="1165" xr:uid="{204827D5-4D63-4619-BC22-F767BE886879}"/>
    <cellStyle name="40% - Accent1 6 9" xfId="1166" xr:uid="{1CD74D48-849A-4DD3-A2E3-475E628BE8BC}"/>
    <cellStyle name="40% - Accent1 6 9 2" xfId="1167" xr:uid="{0D6F32F6-A5BB-4027-9C76-643404018866}"/>
    <cellStyle name="40% - Accent1 7" xfId="1168" xr:uid="{C33701BA-CBA6-4169-89E6-7F2CE6BF87A8}"/>
    <cellStyle name="40% - Accent1 7 2" xfId="1169" xr:uid="{D5E8ABFA-F2D2-40CB-BDD7-B311A559349A}"/>
    <cellStyle name="40% - Accent1 7 2 2" xfId="24496" xr:uid="{4F315BF3-9C71-450D-99C9-1C3836C5B588}"/>
    <cellStyle name="40% - Accent1 7 3" xfId="1170" xr:uid="{FA76D4F7-5AA5-41CF-A1BF-F87B6A841741}"/>
    <cellStyle name="40% - Accent1 7 3 2" xfId="24497" xr:uid="{3CB59628-1E6D-4771-8698-78D2DB266F3E}"/>
    <cellStyle name="40% - Accent1 8" xfId="1171" xr:uid="{0B1C5A6C-843A-4129-AF32-9D4CA3849330}"/>
    <cellStyle name="40% - Accent1 8 2" xfId="1172" xr:uid="{1FFCE5F7-9420-4E44-95FB-AFD8E4C9E9F5}"/>
    <cellStyle name="40% - Accent1 8 2 2" xfId="24498" xr:uid="{6BDC561C-C753-4109-9C6A-A255A7C38B33}"/>
    <cellStyle name="40% - Accent1 8 3" xfId="1173" xr:uid="{1C6842CD-7BB8-41C8-A6CF-73BEDB88A51C}"/>
    <cellStyle name="40% - Accent1 8 3 2" xfId="24499" xr:uid="{969E228D-3357-4FB4-A60B-9CE1245FB970}"/>
    <cellStyle name="40% - Accent1 9" xfId="1174" xr:uid="{D21E22F3-238D-43CF-A412-7A6364AEB2A8}"/>
    <cellStyle name="40% - Accent1 9 2" xfId="1175" xr:uid="{2C5F3ED9-7EA6-4EFF-A879-720266931495}"/>
    <cellStyle name="40% - Accent2" xfId="1871" builtinId="35" customBuiltin="1"/>
    <cellStyle name="40% - Accent2 10" xfId="1176" xr:uid="{1524D444-FB4B-4542-A620-32C6B123AA1E}"/>
    <cellStyle name="40% - Accent2 10 2" xfId="1177" xr:uid="{AACF5AEB-BC97-42C8-B3A3-FDACE17A99D8}"/>
    <cellStyle name="40% - Accent2 11" xfId="24500" xr:uid="{0754E395-E8AA-461A-9A96-BFDE71751B11}"/>
    <cellStyle name="40% - Accent2 11 2" xfId="24501" xr:uid="{1D8F9E09-5BD3-4B0D-80C3-92FC63E7EABE}"/>
    <cellStyle name="40% - Accent2 12" xfId="24502" xr:uid="{8DA2A81B-25F1-4306-AD60-0FC61619F26F}"/>
    <cellStyle name="40% - Accent2 13" xfId="24503" xr:uid="{E463EC80-7334-47FB-BBBA-E8414BFC094D}"/>
    <cellStyle name="40% - Accent2 14" xfId="24504" xr:uid="{4CCC0041-F7B9-4FBD-8673-B8F926F1198F}"/>
    <cellStyle name="40% - Accent2 15" xfId="24505" xr:uid="{8B857CDA-4F48-4DDE-9500-E02271A0C28E}"/>
    <cellStyle name="40% - Accent2 16" xfId="24506" xr:uid="{2A9BBEAC-1599-48BB-85B9-27AE7F900F6B}"/>
    <cellStyle name="40% - Accent2 17" xfId="24507" xr:uid="{C861F572-A727-40F2-A5FA-D020334CA7B1}"/>
    <cellStyle name="40% - Accent2 18" xfId="24508" xr:uid="{CF02E68D-61A7-404B-90FB-F48E76A7667B}"/>
    <cellStyle name="40% - Accent2 19" xfId="24509" xr:uid="{410BFA11-4ACD-4786-9FBC-BE6557BF25B4}"/>
    <cellStyle name="40% - Accent2 2" xfId="1178" xr:uid="{7D9DE780-8CB5-4518-A2C8-D09F4A87AEB8}"/>
    <cellStyle name="40% - Accent2 2 10" xfId="1179" xr:uid="{C0784CFD-22B0-490A-9E92-0E35BEFD6194}"/>
    <cellStyle name="40% - Accent2 2 10 2" xfId="1180" xr:uid="{BB312A8E-921A-4EA1-85C2-33C439CD490A}"/>
    <cellStyle name="40% - Accent2 2 11" xfId="1181" xr:uid="{C081D360-FD59-4A7B-A62F-B07848D54B65}"/>
    <cellStyle name="40% - Accent2 2 11 2" xfId="1182" xr:uid="{87FB919C-8F36-4B99-B18C-578A4F9A98D6}"/>
    <cellStyle name="40% - Accent2 2 12" xfId="1183" xr:uid="{9B7F2189-1012-4BEC-BAA6-E837F3733350}"/>
    <cellStyle name="40% - Accent2 2 12 2" xfId="1184" xr:uid="{C72CA45D-B10B-4152-8E98-29992C7F895A}"/>
    <cellStyle name="40% - Accent2 2 13" xfId="1185" xr:uid="{4B323AE3-AFA3-4B6C-A046-F23413BF1089}"/>
    <cellStyle name="40% - Accent2 2 14" xfId="1186" xr:uid="{E5A6CB9E-71C0-4190-98B3-7F1FB7173150}"/>
    <cellStyle name="40% - Accent2 2 15" xfId="1187" xr:uid="{6536B7FE-BB54-4E0E-89F5-419F0D0E75EA}"/>
    <cellStyle name="40% - Accent2 2 16" xfId="44067" xr:uid="{35C7D9AC-D46C-4572-9698-448A934BECDD}"/>
    <cellStyle name="40% - Accent2 2 2" xfId="1188" xr:uid="{F46B8FF2-89C7-4BE4-82CE-59A1E26EF597}"/>
    <cellStyle name="40% - Accent2 2 2 2" xfId="1189" xr:uid="{C6B71ACE-0449-4BB2-85C1-42CA31F58D5D}"/>
    <cellStyle name="40% - Accent2 2 3" xfId="1190" xr:uid="{D3005AFB-62EE-489C-A519-8AB96CC52AA9}"/>
    <cellStyle name="40% - Accent2 2 3 2" xfId="1191" xr:uid="{35507AD0-8608-4BD0-844C-718089DDAD73}"/>
    <cellStyle name="40% - Accent2 2 4" xfId="1192" xr:uid="{BA49B0C2-B83F-4451-905F-6511F58214E6}"/>
    <cellStyle name="40% - Accent2 2 4 2" xfId="1193" xr:uid="{F68B2A0D-1268-4176-AAF0-5CD8B51560A5}"/>
    <cellStyle name="40% - Accent2 2 5" xfId="1194" xr:uid="{365A9F00-5413-4C71-8D2B-F87495A92485}"/>
    <cellStyle name="40% - Accent2 2 5 2" xfId="1195" xr:uid="{E7DDE6CD-A7A4-4376-AA47-8276FEEE6F30}"/>
    <cellStyle name="40% - Accent2 2 6" xfId="1196" xr:uid="{33192202-502B-4406-AE01-1F96A3078996}"/>
    <cellStyle name="40% - Accent2 2 6 2" xfId="1197" xr:uid="{AF9910F2-A067-4438-8BCD-C83AFD1C0362}"/>
    <cellStyle name="40% - Accent2 2 7" xfId="1198" xr:uid="{D6415C57-1E58-4E91-A56B-E8AE6BFCC2DB}"/>
    <cellStyle name="40% - Accent2 2 7 2" xfId="1199" xr:uid="{4E1D4712-35C8-4DD8-877D-50297A47BED4}"/>
    <cellStyle name="40% - Accent2 2 8" xfId="1200" xr:uid="{CC54D609-BDD7-4F7E-BED8-CE78CD7A9E85}"/>
    <cellStyle name="40% - Accent2 2 8 2" xfId="1201" xr:uid="{5814897D-9C7E-4A6A-9243-C30AA49FEAD0}"/>
    <cellStyle name="40% - Accent2 2 9" xfId="1202" xr:uid="{20C7DD98-4BE9-4CC9-9276-5BE157186B0F}"/>
    <cellStyle name="40% - Accent2 2 9 2" xfId="1203" xr:uid="{124F3A99-2303-427C-8504-CFBF7FCC64E9}"/>
    <cellStyle name="40% - Accent2 20" xfId="24510" xr:uid="{94B6A592-C9BF-42C7-8F0D-2AB79FA3E6B2}"/>
    <cellStyle name="40% - Accent2 21" xfId="24511" xr:uid="{B4B9C2EA-89D6-4153-B95A-BBC169A5F860}"/>
    <cellStyle name="40% - Accent2 22" xfId="24512" xr:uid="{ED217498-E426-431A-88F9-E5E992B7FA8D}"/>
    <cellStyle name="40% - Accent2 23" xfId="24513" xr:uid="{91421864-0A14-49D0-9491-52136F42167B}"/>
    <cellStyle name="40% - Accent2 24" xfId="24514" xr:uid="{7EE280F7-9F77-46AC-81FF-BC4B32642AC8}"/>
    <cellStyle name="40% - Accent2 25" xfId="24515" xr:uid="{5AD315F1-34AE-472E-AF05-6DDD8761C8DC}"/>
    <cellStyle name="40% - Accent2 26" xfId="24516" xr:uid="{4C3EFFA7-32C6-4073-8B89-B4E226C4A2CC}"/>
    <cellStyle name="40% - Accent2 27" xfId="24517" xr:uid="{6D0C4B2E-33D9-468B-9FD1-F6F97E197E3B}"/>
    <cellStyle name="40% - Accent2 28" xfId="24518" xr:uid="{159A1E3E-1277-4C35-8118-CBF901868745}"/>
    <cellStyle name="40% - Accent2 29" xfId="24519" xr:uid="{0B3D0380-3521-484A-87E0-A66D1A9035DB}"/>
    <cellStyle name="40% - Accent2 3" xfId="1204" xr:uid="{B195A132-2072-400D-B989-429121DF8B11}"/>
    <cellStyle name="40% - Accent2 3 10" xfId="1205" xr:uid="{C83FE883-C1BB-4880-84FF-693D26C5135A}"/>
    <cellStyle name="40% - Accent2 3 10 2" xfId="1206" xr:uid="{53EA52A2-8498-4E65-8E21-1765410C2553}"/>
    <cellStyle name="40% - Accent2 3 11" xfId="1207" xr:uid="{ECF75B16-3C29-491D-9FD1-F4D3979EB460}"/>
    <cellStyle name="40% - Accent2 3 11 2" xfId="1208" xr:uid="{398A8BFD-8AA9-483B-AFFE-F45D82A73F65}"/>
    <cellStyle name="40% - Accent2 3 12" xfId="1209" xr:uid="{17D4E37A-446F-4930-B51F-2821CC342443}"/>
    <cellStyle name="40% - Accent2 3 13" xfId="44177" xr:uid="{CAFDC85D-23D9-4F23-9765-F05239EA3FE3}"/>
    <cellStyle name="40% - Accent2 3 2" xfId="1210" xr:uid="{E17894A5-C87B-4493-938B-214EC5B749C3}"/>
    <cellStyle name="40% - Accent2 3 2 2" xfId="1211" xr:uid="{1A2F0CAC-A994-4A7F-A6B0-BF6B14D3D778}"/>
    <cellStyle name="40% - Accent2 3 3" xfId="1212" xr:uid="{F3217136-3349-469F-AE6B-90F402EEEE58}"/>
    <cellStyle name="40% - Accent2 3 3 2" xfId="1213" xr:uid="{CA08F05D-D1B8-4BC3-9172-E7523C409EDB}"/>
    <cellStyle name="40% - Accent2 3 4" xfId="1214" xr:uid="{4CF06973-E667-4B9E-A015-25B9B931CE2F}"/>
    <cellStyle name="40% - Accent2 3 4 2" xfId="1215" xr:uid="{79783690-D940-4A86-A1CB-5ED04D8E6EA4}"/>
    <cellStyle name="40% - Accent2 3 5" xfId="1216" xr:uid="{603375E0-C191-4923-9158-B850AD8F4FA8}"/>
    <cellStyle name="40% - Accent2 3 5 2" xfId="1217" xr:uid="{C5C4AEDB-2428-4469-BF7E-A656CBCED829}"/>
    <cellStyle name="40% - Accent2 3 6" xfId="1218" xr:uid="{50BC361A-4EBC-4147-87B1-D10E39A58D9A}"/>
    <cellStyle name="40% - Accent2 3 6 2" xfId="1219" xr:uid="{F0E743AD-8555-4F94-AAD9-1AB373266EF7}"/>
    <cellStyle name="40% - Accent2 3 7" xfId="1220" xr:uid="{70816E6B-0C6B-428E-B23C-0CE2E67E574F}"/>
    <cellStyle name="40% - Accent2 3 7 2" xfId="1221" xr:uid="{E94734EC-350A-4A80-9941-23741FE03C6F}"/>
    <cellStyle name="40% - Accent2 3 8" xfId="1222" xr:uid="{D47254B8-030F-40FE-AE50-AD6CF25B717C}"/>
    <cellStyle name="40% - Accent2 3 8 2" xfId="1223" xr:uid="{6B652E7F-00B8-429C-A44E-6E632B28B2DA}"/>
    <cellStyle name="40% - Accent2 3 9" xfId="1224" xr:uid="{BB22196C-E199-4777-A800-8E4B06050347}"/>
    <cellStyle name="40% - Accent2 3 9 2" xfId="1225" xr:uid="{78C1420A-0196-46E8-BF53-75A2BDD3D624}"/>
    <cellStyle name="40% - Accent2 30" xfId="24520" xr:uid="{FA336F23-B603-4E38-BBDD-41D247251EB2}"/>
    <cellStyle name="40% - Accent2 31" xfId="24521" xr:uid="{F58F3609-A9F8-4F51-B918-32637102202F}"/>
    <cellStyle name="40% - Accent2 32" xfId="24522" xr:uid="{7E329F18-B25B-450F-9596-4AB096C6F3BA}"/>
    <cellStyle name="40% - Accent2 33" xfId="24523" xr:uid="{4BF29802-00E8-4BE4-93BF-83B0DC992D6F}"/>
    <cellStyle name="40% - Accent2 34" xfId="24524" xr:uid="{E1F15612-1D13-487B-9C66-5D37E407DB0C}"/>
    <cellStyle name="40% - Accent2 35" xfId="24525" xr:uid="{88365A77-850E-423D-83A1-0A0B7F81D573}"/>
    <cellStyle name="40% - Accent2 36" xfId="24526" xr:uid="{AAB3850A-4077-4338-84A0-F316A2C908BA}"/>
    <cellStyle name="40% - Accent2 37" xfId="24527" xr:uid="{3FF49293-999E-486E-8433-265BB7B06D89}"/>
    <cellStyle name="40% - Accent2 38" xfId="24528" xr:uid="{AEF1CB84-0F62-4D8E-84FC-28F44D685867}"/>
    <cellStyle name="40% - Accent2 39" xfId="24529" xr:uid="{F98A3FBE-839C-41CF-AA04-7AAC4549315E}"/>
    <cellStyle name="40% - Accent2 4" xfId="1226" xr:uid="{F714ED47-1722-4A0D-ABAA-1746A8EF240D}"/>
    <cellStyle name="40% - Accent2 4 10" xfId="1227" xr:uid="{CFADD8D4-660E-4B8D-B6A7-9995B575B1DF}"/>
    <cellStyle name="40% - Accent2 4 10 2" xfId="1228" xr:uid="{D8D63E21-260B-4095-B26B-841D12BCB9B8}"/>
    <cellStyle name="40% - Accent2 4 11" xfId="1229" xr:uid="{8E31D299-F361-4212-ACC3-7D10D03A2C91}"/>
    <cellStyle name="40% - Accent2 4 11 2" xfId="1230" xr:uid="{347E68F4-3A42-4A7C-9BE1-B9CF089B5157}"/>
    <cellStyle name="40% - Accent2 4 12" xfId="1231" xr:uid="{484FC4E7-C223-4BB1-AFF9-06EB42376703}"/>
    <cellStyle name="40% - Accent2 4 2" xfId="1232" xr:uid="{8428B754-9EBC-4D1C-9A12-CB5F228B4653}"/>
    <cellStyle name="40% - Accent2 4 2 2" xfId="1233" xr:uid="{84BF8C24-AD8C-4268-934A-153C53F0A776}"/>
    <cellStyle name="40% - Accent2 4 3" xfId="1234" xr:uid="{8EA2E673-E53E-48F6-8A14-950291A39B97}"/>
    <cellStyle name="40% - Accent2 4 3 2" xfId="1235" xr:uid="{BC5A865E-BE08-43FD-B4FA-EC526D492145}"/>
    <cellStyle name="40% - Accent2 4 4" xfId="1236" xr:uid="{F33DBF16-E689-4F8C-BE01-2F5F8B889F38}"/>
    <cellStyle name="40% - Accent2 4 4 2" xfId="1237" xr:uid="{EF4659FE-4179-4643-B7C2-0778FB25159D}"/>
    <cellStyle name="40% - Accent2 4 5" xfId="1238" xr:uid="{D9BC167C-9626-45FD-A40A-D0099B07976A}"/>
    <cellStyle name="40% - Accent2 4 5 2" xfId="1239" xr:uid="{1E13C884-8D65-4B81-9AB6-B336974AB223}"/>
    <cellStyle name="40% - Accent2 4 6" xfId="1240" xr:uid="{AEBC3A60-3A02-432D-BB2D-B97ACAC47288}"/>
    <cellStyle name="40% - Accent2 4 6 2" xfId="1241" xr:uid="{63A8F40E-9B54-413C-8DD0-0A67CFEF99AA}"/>
    <cellStyle name="40% - Accent2 4 7" xfId="1242" xr:uid="{6FD2B0BC-5A4D-4B28-858F-EB15ABF4CF15}"/>
    <cellStyle name="40% - Accent2 4 7 2" xfId="1243" xr:uid="{CE251FBD-EE88-4295-8F24-438510274FE7}"/>
    <cellStyle name="40% - Accent2 4 8" xfId="1244" xr:uid="{AA04786C-4B22-49FF-91B3-66D2FFDDFD80}"/>
    <cellStyle name="40% - Accent2 4 8 2" xfId="1245" xr:uid="{1F9311C5-0EF2-434B-A5C2-2F11B193FF85}"/>
    <cellStyle name="40% - Accent2 4 9" xfId="1246" xr:uid="{8ED802CE-017F-4021-9C9D-A76AB1304A31}"/>
    <cellStyle name="40% - Accent2 4 9 2" xfId="1247" xr:uid="{E7E8FCCA-4BE2-46F0-ABDC-B27D1E5F7EC8}"/>
    <cellStyle name="40% - Accent2 40" xfId="24530" xr:uid="{3F29F3C8-D714-43CA-B5F3-AE1883C4DD7A}"/>
    <cellStyle name="40% - Accent2 41" xfId="24531" xr:uid="{B2EFECDD-314E-464D-A7D3-45B0DD341882}"/>
    <cellStyle name="40% - Accent2 42" xfId="24532" xr:uid="{67F04AA2-3F0F-422C-A035-1588F9A225B7}"/>
    <cellStyle name="40% - Accent2 43" xfId="24533" xr:uid="{4BC66747-8BC4-456D-91E7-C4FBDC89A175}"/>
    <cellStyle name="40% - Accent2 44" xfId="45862" xr:uid="{6806C4C6-3C62-43EA-9B43-CFA63018F6D2}"/>
    <cellStyle name="40% - Accent2 45" xfId="45881" xr:uid="{8CCA8103-CA40-4291-B054-5FE03FC0E6BD}"/>
    <cellStyle name="40% - Accent2 5" xfId="1248" xr:uid="{D9D27295-7813-4606-898A-3D353B821604}"/>
    <cellStyle name="40% - Accent2 5 10" xfId="1249" xr:uid="{A4F200BC-474C-4A9E-82D5-4FCD8F071EAB}"/>
    <cellStyle name="40% - Accent2 5 10 2" xfId="1250" xr:uid="{E129EA5C-32AA-4483-BEB1-D51D00D5052F}"/>
    <cellStyle name="40% - Accent2 5 11" xfId="1251" xr:uid="{06BFB007-0B57-45A5-937F-8F2EC388687F}"/>
    <cellStyle name="40% - Accent2 5 11 2" xfId="1252" xr:uid="{1BA3B048-DBDE-45C8-BD21-8A198E428F5A}"/>
    <cellStyle name="40% - Accent2 5 12" xfId="1253" xr:uid="{F08B06C0-FD13-47FC-83F3-4966FE999840}"/>
    <cellStyle name="40% - Accent2 5 2" xfId="1254" xr:uid="{9DA09A3F-2AD1-4C84-97F0-490EE553948F}"/>
    <cellStyle name="40% - Accent2 5 2 2" xfId="1255" xr:uid="{F8123631-1591-4768-9664-EE86470BD8E0}"/>
    <cellStyle name="40% - Accent2 5 3" xfId="1256" xr:uid="{7E13470C-0EC4-45CD-AA2B-72C2C61C4B6B}"/>
    <cellStyle name="40% - Accent2 5 3 2" xfId="1257" xr:uid="{E54D5F5E-C356-4E4F-AA80-E67BC601E19B}"/>
    <cellStyle name="40% - Accent2 5 4" xfId="1258" xr:uid="{2274BE43-57F4-4BC6-A748-A236DFBC72E1}"/>
    <cellStyle name="40% - Accent2 5 4 2" xfId="1259" xr:uid="{1C1A68CD-DAE2-4D23-A927-D8CA754A7E38}"/>
    <cellStyle name="40% - Accent2 5 5" xfId="1260" xr:uid="{247B5DB0-A9BE-4202-A646-343A3BE78FDB}"/>
    <cellStyle name="40% - Accent2 5 5 2" xfId="1261" xr:uid="{DA40BBC3-8AD4-419D-8705-1A10952D2015}"/>
    <cellStyle name="40% - Accent2 5 6" xfId="1262" xr:uid="{39F3356D-0554-41EE-9CF5-84144769A7CE}"/>
    <cellStyle name="40% - Accent2 5 6 2" xfId="1263" xr:uid="{5A32255E-7E8C-4A89-BA8E-E6532D5A5A08}"/>
    <cellStyle name="40% - Accent2 5 7" xfId="1264" xr:uid="{58E4FECB-60FF-434C-8969-B0101E665628}"/>
    <cellStyle name="40% - Accent2 5 7 2" xfId="1265" xr:uid="{43A27165-D7FD-4C1D-8887-6B5A022A64FE}"/>
    <cellStyle name="40% - Accent2 5 8" xfId="1266" xr:uid="{E069BB58-2EE5-4D6F-9F8D-7F363442029A}"/>
    <cellStyle name="40% - Accent2 5 8 2" xfId="1267" xr:uid="{77A16EE9-F7D8-41CD-A5A7-D1DEC355B9C8}"/>
    <cellStyle name="40% - Accent2 5 9" xfId="1268" xr:uid="{978DDEB7-A2AB-4890-ABC8-55EB6EF884F4}"/>
    <cellStyle name="40% - Accent2 5 9 2" xfId="1269" xr:uid="{48FE2901-6BE9-48EA-9F99-5FE6DCE728F3}"/>
    <cellStyle name="40% - Accent2 6" xfId="1270" xr:uid="{72529519-E169-4538-8110-9026AF278DAB}"/>
    <cellStyle name="40% - Accent2 6 10" xfId="1271" xr:uid="{6760AE59-015D-421C-B40E-A41119C56705}"/>
    <cellStyle name="40% - Accent2 6 10 2" xfId="1272" xr:uid="{55CE1F27-856F-4B6A-B2D8-BE217F9CC21E}"/>
    <cellStyle name="40% - Accent2 6 11" xfId="1273" xr:uid="{E4F20CB1-E9D4-49E1-BAF4-68FDAD72A87C}"/>
    <cellStyle name="40% - Accent2 6 11 2" xfId="1274" xr:uid="{4E2AF14B-3E46-4D4B-B8B7-A5FE6B51BE6D}"/>
    <cellStyle name="40% - Accent2 6 12" xfId="1275" xr:uid="{30629BC3-74F8-4365-B82C-712DBB135B45}"/>
    <cellStyle name="40% - Accent2 6 2" xfId="1276" xr:uid="{B04F02F7-D19F-4EE1-95DE-0E848A04F141}"/>
    <cellStyle name="40% - Accent2 6 2 2" xfId="1277" xr:uid="{29B29C82-708E-4D81-A983-D29710048C21}"/>
    <cellStyle name="40% - Accent2 6 3" xfId="1278" xr:uid="{0B579E1B-7A1F-453C-9DBD-FCEB1AF1E7DD}"/>
    <cellStyle name="40% - Accent2 6 3 2" xfId="1279" xr:uid="{196A821C-535F-40C1-9A9F-728E24CFDE36}"/>
    <cellStyle name="40% - Accent2 6 4" xfId="1280" xr:uid="{3CB6E1F0-0FF3-45E9-8BFE-0C735DC6DCCF}"/>
    <cellStyle name="40% - Accent2 6 4 2" xfId="1281" xr:uid="{A5F22566-AEB6-4B5F-8327-BDAB255171C7}"/>
    <cellStyle name="40% - Accent2 6 5" xfId="1282" xr:uid="{8AF7E060-8F2C-4CF0-9FAA-2F537A364B6A}"/>
    <cellStyle name="40% - Accent2 6 5 2" xfId="1283" xr:uid="{CF5B53B7-F52D-44E3-94D0-7C45BB6FCD3F}"/>
    <cellStyle name="40% - Accent2 6 6" xfId="1284" xr:uid="{EB0D3AA3-340F-414D-9321-3B3EAA315812}"/>
    <cellStyle name="40% - Accent2 6 6 2" xfId="1285" xr:uid="{7828695B-C76D-4EEA-834C-0093E5BB9098}"/>
    <cellStyle name="40% - Accent2 6 7" xfId="1286" xr:uid="{16249109-5E2E-4A12-9064-A64C43E2622A}"/>
    <cellStyle name="40% - Accent2 6 7 2" xfId="1287" xr:uid="{17F40062-2513-48B3-9EEA-3EDF33128C22}"/>
    <cellStyle name="40% - Accent2 6 8" xfId="1288" xr:uid="{4885F37A-E209-484E-9648-3EB6B8776A15}"/>
    <cellStyle name="40% - Accent2 6 8 2" xfId="1289" xr:uid="{99E8AE24-1213-4B0F-B9D0-6F369CA300CA}"/>
    <cellStyle name="40% - Accent2 6 9" xfId="1290" xr:uid="{23687415-FEC2-42CF-8FB6-44F952A81A9D}"/>
    <cellStyle name="40% - Accent2 6 9 2" xfId="1291" xr:uid="{4AD3EFF2-D9B3-4896-B36F-14697D36EDDF}"/>
    <cellStyle name="40% - Accent2 7" xfId="1292" xr:uid="{C2796CF6-977F-4680-AF4B-42FF8D76004A}"/>
    <cellStyle name="40% - Accent2 7 2" xfId="1293" xr:uid="{C3CF83D9-6E92-4FD5-8956-385E66EBEBCF}"/>
    <cellStyle name="40% - Accent2 8" xfId="1294" xr:uid="{9D166A5F-C1CE-4038-9262-40E257E332AC}"/>
    <cellStyle name="40% - Accent2 8 2" xfId="1295" xr:uid="{9170F1AF-3743-436A-A1AB-193315282D0C}"/>
    <cellStyle name="40% - Accent2 9" xfId="1296" xr:uid="{8AF2F3A8-F44B-4A1B-B7AC-359ACDF0084C}"/>
    <cellStyle name="40% - Accent2 9 2" xfId="1297" xr:uid="{6E8B3676-F6BF-4189-A286-E2AB3B3839D6}"/>
    <cellStyle name="40% - Accent3" xfId="1872" builtinId="39" customBuiltin="1"/>
    <cellStyle name="40% - Accent3 10" xfId="1298" xr:uid="{E88C0D79-2F90-450C-9CF8-E2CB0E00F1F8}"/>
    <cellStyle name="40% - Accent3 10 2" xfId="1299" xr:uid="{F9C41A4F-23C5-4E05-85D2-EC253AA19E1F}"/>
    <cellStyle name="40% - Accent3 11" xfId="24534" xr:uid="{BFEF4C61-12DE-460B-813A-8C08746D75F0}"/>
    <cellStyle name="40% - Accent3 11 2" xfId="24535" xr:uid="{F240330D-852F-4D93-A55B-BBB6E37289F1}"/>
    <cellStyle name="40% - Accent3 12" xfId="24536" xr:uid="{4F219E35-79A8-45AA-8668-17F08135A911}"/>
    <cellStyle name="40% - Accent3 13" xfId="24537" xr:uid="{C602E55D-561D-4471-ADE1-FAC90B33D356}"/>
    <cellStyle name="40% - Accent3 14" xfId="24538" xr:uid="{F18FBBDA-A8AF-44BC-B7B6-4D232825E705}"/>
    <cellStyle name="40% - Accent3 15" xfId="24539" xr:uid="{2BB32903-68E3-4C40-AD78-76F79D4C5F1F}"/>
    <cellStyle name="40% - Accent3 16" xfId="24540" xr:uid="{698CA70F-67A8-43D1-B6B1-6ABAE5323EDF}"/>
    <cellStyle name="40% - Accent3 17" xfId="24541" xr:uid="{81C2B7C3-5A1E-414F-8495-767053113FBB}"/>
    <cellStyle name="40% - Accent3 18" xfId="24542" xr:uid="{102E9357-1843-4F3F-94C1-81526E0C0BC5}"/>
    <cellStyle name="40% - Accent3 19" xfId="24543" xr:uid="{92A0BC31-FEFA-4A7F-A438-A22E26948460}"/>
    <cellStyle name="40% - Accent3 2" xfId="1300" xr:uid="{CCA0F5EE-28CF-4239-AB65-2DA906AE3034}"/>
    <cellStyle name="40% - Accent3 2 10" xfId="1301" xr:uid="{8CD5AFFA-FB04-45E8-B919-4901777D7DB7}"/>
    <cellStyle name="40% - Accent3 2 10 2" xfId="1302" xr:uid="{DA4511A3-6DBD-4BC8-9B8E-3FDF727642BE}"/>
    <cellStyle name="40% - Accent3 2 10 3" xfId="1303" xr:uid="{565391BA-B6B7-4D03-91A2-C9C7D1D6C11A}"/>
    <cellStyle name="40% - Accent3 2 11" xfId="1304" xr:uid="{471598A5-E282-4AB9-94A3-D340AD249106}"/>
    <cellStyle name="40% - Accent3 2 11 2" xfId="1305" xr:uid="{A09F28E8-67BF-4D01-8C57-35A13C89DDBD}"/>
    <cellStyle name="40% - Accent3 2 11 3" xfId="1306" xr:uid="{1F5A9912-D422-4695-9CC5-61476F8358E8}"/>
    <cellStyle name="40% - Accent3 2 12" xfId="1307" xr:uid="{E67E2CC0-43AB-4A53-80C5-98258660C48E}"/>
    <cellStyle name="40% - Accent3 2 12 2" xfId="1308" xr:uid="{8BD61F55-D4EF-4BAA-A305-5D566DA370ED}"/>
    <cellStyle name="40% - Accent3 2 12 3" xfId="1309" xr:uid="{9373ABCF-1DA8-4754-8ED8-3F7023772FA8}"/>
    <cellStyle name="40% - Accent3 2 13" xfId="1310" xr:uid="{16DDA67C-C072-43C9-A94B-08C524BED26A}"/>
    <cellStyle name="40% - Accent3 2 13 2" xfId="1311" xr:uid="{DD42C60B-8D91-4773-9C8B-B75165740E2B}"/>
    <cellStyle name="40% - Accent3 2 14" xfId="1312" xr:uid="{F72E86FF-CCD1-4A03-8C20-5B66BA1F948D}"/>
    <cellStyle name="40% - Accent3 2 15" xfId="1313" xr:uid="{35EC9BC9-487E-4C7C-8633-A8B1E93327DA}"/>
    <cellStyle name="40% - Accent3 2 16" xfId="24544" xr:uid="{56E3F0E0-ABB3-439F-A03F-1EDBCFC00D6E}"/>
    <cellStyle name="40% - Accent3 2 17" xfId="44068" xr:uid="{02B6D772-B6DF-4BD7-B075-99C476961596}"/>
    <cellStyle name="40% - Accent3 2 2" xfId="1314" xr:uid="{227936C3-7B45-40FF-B42B-31E3D8179117}"/>
    <cellStyle name="40% - Accent3 2 2 2" xfId="1315" xr:uid="{D8C5214D-F350-4684-97C5-9BD35E729D3E}"/>
    <cellStyle name="40% - Accent3 2 2 3" xfId="1316" xr:uid="{2D60DCB6-5F72-4C48-8204-0BF2487A2F8E}"/>
    <cellStyle name="40% - Accent3 2 3" xfId="1317" xr:uid="{A02411BC-DED5-4469-BFD8-BBEEFDA05797}"/>
    <cellStyle name="40% - Accent3 2 3 2" xfId="1318" xr:uid="{CADB40FE-C579-4B29-B8AA-48C85DCF1434}"/>
    <cellStyle name="40% - Accent3 2 3 3" xfId="1319" xr:uid="{3C50204A-E03E-4409-A285-F6AB70F16987}"/>
    <cellStyle name="40% - Accent3 2 4" xfId="1320" xr:uid="{30CD6621-A9A7-47B8-A9C3-CB4A4DFF29AA}"/>
    <cellStyle name="40% - Accent3 2 4 2" xfId="1321" xr:uid="{3BD5EBC5-C7F7-4A40-8F6B-A9DC0B6445D1}"/>
    <cellStyle name="40% - Accent3 2 4 3" xfId="1322" xr:uid="{2599FFC4-CCF6-427C-9BD9-4AE1CDB405A0}"/>
    <cellStyle name="40% - Accent3 2 5" xfId="1323" xr:uid="{5AA5D756-55FC-4E1F-8A0E-9E4667CB6366}"/>
    <cellStyle name="40% - Accent3 2 5 2" xfId="1324" xr:uid="{173757FE-9ECE-4FD7-B491-862742950478}"/>
    <cellStyle name="40% - Accent3 2 5 3" xfId="1325" xr:uid="{D54FE7A2-1B6A-43BF-92F7-742908B43722}"/>
    <cellStyle name="40% - Accent3 2 6" xfId="1326" xr:uid="{F8D448F9-BD82-4080-82D4-D584ABBCBA44}"/>
    <cellStyle name="40% - Accent3 2 6 2" xfId="1327" xr:uid="{27BDBEB2-4514-4986-AF11-04F5D7EF2F1B}"/>
    <cellStyle name="40% - Accent3 2 6 3" xfId="1328" xr:uid="{F53C4669-9FA2-43EE-82C7-27BB67CBCA51}"/>
    <cellStyle name="40% - Accent3 2 7" xfId="1329" xr:uid="{05E66151-375D-4E5B-815C-985692A7B980}"/>
    <cellStyle name="40% - Accent3 2 7 2" xfId="1330" xr:uid="{33900A20-C1C1-4AC4-B06A-EE577AFC8A6A}"/>
    <cellStyle name="40% - Accent3 2 7 3" xfId="1331" xr:uid="{D192115D-B85E-450D-96F5-ED3BE2E11C1D}"/>
    <cellStyle name="40% - Accent3 2 8" xfId="1332" xr:uid="{1BE24F3A-03C9-4F65-850A-DDC35C1B739E}"/>
    <cellStyle name="40% - Accent3 2 8 2" xfId="1333" xr:uid="{0EBF90F3-2ADC-474E-9DAE-E0E0BE0DFE02}"/>
    <cellStyle name="40% - Accent3 2 8 3" xfId="1334" xr:uid="{FC4C9FDD-25D6-4B16-9F81-F25579B01C4F}"/>
    <cellStyle name="40% - Accent3 2 9" xfId="1335" xr:uid="{12217BCA-BBF2-48E3-A16F-ADE737022202}"/>
    <cellStyle name="40% - Accent3 2 9 2" xfId="1336" xr:uid="{D04F862B-B4CE-4827-A540-67379539AD34}"/>
    <cellStyle name="40% - Accent3 2 9 3" xfId="1337" xr:uid="{14144B0C-A5C2-45CD-9B08-F1D48E295D03}"/>
    <cellStyle name="40% - Accent3 20" xfId="24545" xr:uid="{BB1EBFF7-BFBE-442F-A519-3D8D3E44C05E}"/>
    <cellStyle name="40% - Accent3 21" xfId="24546" xr:uid="{456094CF-EA3D-4CA1-BEA3-4A6ABE585C99}"/>
    <cellStyle name="40% - Accent3 22" xfId="24547" xr:uid="{7B932FF7-ACF7-4DDE-A63F-EB1DF4277088}"/>
    <cellStyle name="40% - Accent3 23" xfId="24548" xr:uid="{C6ADAD11-F27D-4A33-A268-9C0023415696}"/>
    <cellStyle name="40% - Accent3 24" xfId="24549" xr:uid="{D2D5F55E-C9B4-4CFE-8721-9D0325466787}"/>
    <cellStyle name="40% - Accent3 25" xfId="24550" xr:uid="{BB3D0FEE-D276-4A54-9101-FE0E1F7D7B3D}"/>
    <cellStyle name="40% - Accent3 26" xfId="24551" xr:uid="{1F8D45C9-F364-4B9D-A988-41A9E7C6BAE0}"/>
    <cellStyle name="40% - Accent3 27" xfId="24552" xr:uid="{07BB0218-D042-4A4B-A089-04AE9E30E478}"/>
    <cellStyle name="40% - Accent3 28" xfId="24553" xr:uid="{772D932F-9D60-46BE-9996-CF650AC316D2}"/>
    <cellStyle name="40% - Accent3 29" xfId="24554" xr:uid="{4DF2C6C6-4D3B-47CB-A5CD-80403B35AACF}"/>
    <cellStyle name="40% - Accent3 3" xfId="1338" xr:uid="{01DBF166-639E-45C8-A39C-741466BACA3D}"/>
    <cellStyle name="40% - Accent3 3 10" xfId="1339" xr:uid="{C14FA1BE-4052-4D67-A896-A847B2E898A6}"/>
    <cellStyle name="40% - Accent3 3 10 2" xfId="1340" xr:uid="{2A2B3572-AE11-4642-9102-0DAC8086D6CB}"/>
    <cellStyle name="40% - Accent3 3 11" xfId="1341" xr:uid="{0F5A925E-6F55-429F-B67F-25D507F0AC56}"/>
    <cellStyle name="40% - Accent3 3 11 2" xfId="1342" xr:uid="{27605893-86B7-4F60-BC02-1768BF571530}"/>
    <cellStyle name="40% - Accent3 3 12" xfId="1343" xr:uid="{297D5E56-122B-48FA-AF7B-8BCC8EFD24F3}"/>
    <cellStyle name="40% - Accent3 3 13" xfId="1344" xr:uid="{438E3786-AA2E-4E99-9019-E06DF2610BC0}"/>
    <cellStyle name="40% - Accent3 3 14" xfId="24555" xr:uid="{423474B9-FED3-43D3-87B7-579C15BDE04B}"/>
    <cellStyle name="40% - Accent3 3 15" xfId="44178" xr:uid="{68E7DC46-DDD3-4AD8-BD1A-2290445A53EA}"/>
    <cellStyle name="40% - Accent3 3 2" xfId="1345" xr:uid="{05EF793A-C496-46C5-8D4C-437FE378A395}"/>
    <cellStyle name="40% - Accent3 3 2 2" xfId="1346" xr:uid="{A0B2407B-413C-4586-B0D0-00B7AC5F8055}"/>
    <cellStyle name="40% - Accent3 3 2 3" xfId="24556" xr:uid="{3E45EBEC-4794-4B23-A432-C72DEE9544EA}"/>
    <cellStyle name="40% - Accent3 3 3" xfId="1347" xr:uid="{4BFCF707-0E1D-4D5D-82BE-8FF696B8618C}"/>
    <cellStyle name="40% - Accent3 3 3 2" xfId="1348" xr:uid="{16DE9F9C-9B23-439C-A144-166D7893331E}"/>
    <cellStyle name="40% - Accent3 3 3 3" xfId="42263" xr:uid="{CABF6742-AE2B-4CCC-A2EE-788C3E0CD13A}"/>
    <cellStyle name="40% - Accent3 3 4" xfId="1349" xr:uid="{35259578-EA50-487A-B260-D1E067FDF4AD}"/>
    <cellStyle name="40% - Accent3 3 4 2" xfId="1350" xr:uid="{6B7EEFCA-D33A-4FA9-BDEC-D02867928D39}"/>
    <cellStyle name="40% - Accent3 3 5" xfId="1351" xr:uid="{272E98C8-89B2-4FD2-A23E-F57589E531B7}"/>
    <cellStyle name="40% - Accent3 3 5 2" xfId="1352" xr:uid="{2DA69BFF-E776-473A-9F6C-0DA312B3A164}"/>
    <cellStyle name="40% - Accent3 3 6" xfId="1353" xr:uid="{3ED38BE7-2A5B-4F67-9CBB-AAE05F729B8D}"/>
    <cellStyle name="40% - Accent3 3 6 2" xfId="1354" xr:uid="{4FED09FB-C748-466F-AC82-6D2F04EF66EB}"/>
    <cellStyle name="40% - Accent3 3 7" xfId="1355" xr:uid="{2ECC5EC1-090D-4BEA-A067-CA72F2186564}"/>
    <cellStyle name="40% - Accent3 3 7 2" xfId="1356" xr:uid="{B1326F48-7CCC-4ACD-9505-BF885C5B140A}"/>
    <cellStyle name="40% - Accent3 3 8" xfId="1357" xr:uid="{9956BE9D-A163-40AB-B825-7F952A23ABA2}"/>
    <cellStyle name="40% - Accent3 3 8 2" xfId="1358" xr:uid="{13101965-A437-44A7-9ECD-3DAC1CDC2249}"/>
    <cellStyle name="40% - Accent3 3 9" xfId="1359" xr:uid="{DA7D7F1C-D088-4CDF-92C1-9CA8AE5B69A7}"/>
    <cellStyle name="40% - Accent3 3 9 2" xfId="1360" xr:uid="{5BDCBA8F-001F-4B67-9DF9-0EFBD51473A4}"/>
    <cellStyle name="40% - Accent3 30" xfId="24557" xr:uid="{AAAAD878-4EE2-4E91-9FE0-488706EA180A}"/>
    <cellStyle name="40% - Accent3 31" xfId="24558" xr:uid="{F8F22216-9C15-4EFD-B8F3-E6D8574EE6B2}"/>
    <cellStyle name="40% - Accent3 32" xfId="24559" xr:uid="{C9344265-5456-4CCB-90A2-F9F3781AEA8B}"/>
    <cellStyle name="40% - Accent3 33" xfId="24560" xr:uid="{79EE9BD1-4A5E-4E77-A788-ACEF5D798549}"/>
    <cellStyle name="40% - Accent3 34" xfId="24561" xr:uid="{A0AC3D68-AC76-49F2-A3BD-6E4D84CB2D2F}"/>
    <cellStyle name="40% - Accent3 35" xfId="24562" xr:uid="{5F58DA6B-0768-46F9-B041-5B25AC99DFF6}"/>
    <cellStyle name="40% - Accent3 36" xfId="24563" xr:uid="{C08F732C-3E04-4F1F-B7BF-C2F4D1E68682}"/>
    <cellStyle name="40% - Accent3 37" xfId="24564" xr:uid="{02F702BF-28A0-4B1C-A9C5-AFC4A06540F8}"/>
    <cellStyle name="40% - Accent3 38" xfId="24565" xr:uid="{CE6EAF4B-468A-4DD0-8C24-74E6EC772326}"/>
    <cellStyle name="40% - Accent3 39" xfId="24566" xr:uid="{4A752185-052A-43B4-9C12-FA5C8C8B936D}"/>
    <cellStyle name="40% - Accent3 4" xfId="1361" xr:uid="{58BA58AE-0740-4134-BA9B-19460E695043}"/>
    <cellStyle name="40% - Accent3 4 10" xfId="1362" xr:uid="{AA250936-E906-439B-99D7-33A88D8144A4}"/>
    <cellStyle name="40% - Accent3 4 10 2" xfId="1363" xr:uid="{3777D334-9B27-4DE7-8545-15629D6A4B56}"/>
    <cellStyle name="40% - Accent3 4 11" xfId="1364" xr:uid="{006FB890-38B1-4CA3-8874-DD65C4A784E7}"/>
    <cellStyle name="40% - Accent3 4 11 2" xfId="1365" xr:uid="{311A9BC8-973B-4B77-B4C3-629E46EF3E25}"/>
    <cellStyle name="40% - Accent3 4 12" xfId="1366" xr:uid="{142A91D4-F36D-4740-A640-F5C911B05A94}"/>
    <cellStyle name="40% - Accent3 4 13" xfId="1367" xr:uid="{35B24BA1-A831-40A3-983F-26153A491382}"/>
    <cellStyle name="40% - Accent3 4 2" xfId="1368" xr:uid="{5B0378AE-C64D-4E99-A3EE-E09660BF5D2F}"/>
    <cellStyle name="40% - Accent3 4 2 2" xfId="1369" xr:uid="{87172C70-74C0-42AA-B5E8-506F97C76460}"/>
    <cellStyle name="40% - Accent3 4 2 3" xfId="24567" xr:uid="{338D6EE0-2615-4561-B49D-05F3F0B17C3E}"/>
    <cellStyle name="40% - Accent3 4 3" xfId="1370" xr:uid="{7F5CFA1C-7780-497B-BF71-104B95F636AF}"/>
    <cellStyle name="40% - Accent3 4 3 2" xfId="1371" xr:uid="{4A1E7181-3A6B-42B5-B98F-FD64060AFF1C}"/>
    <cellStyle name="40% - Accent3 4 4" xfId="1372" xr:uid="{42C9CCEE-B288-4F6A-8D8D-125869CD2E77}"/>
    <cellStyle name="40% - Accent3 4 4 2" xfId="1373" xr:uid="{09BA1612-4CAE-4448-92B4-8AE7D6362C34}"/>
    <cellStyle name="40% - Accent3 4 5" xfId="1374" xr:uid="{CFC15ECA-B7B5-4E4C-9C11-D144464DC12C}"/>
    <cellStyle name="40% - Accent3 4 5 2" xfId="1375" xr:uid="{FE0A4146-C080-46BD-9201-9B22917CF9F7}"/>
    <cellStyle name="40% - Accent3 4 6" xfId="1376" xr:uid="{89F79F24-CCE9-4A7F-980C-C915B82F1A45}"/>
    <cellStyle name="40% - Accent3 4 6 2" xfId="1377" xr:uid="{A4B27C88-3928-46FC-AAC5-CADB4AF73A32}"/>
    <cellStyle name="40% - Accent3 4 7" xfId="1378" xr:uid="{A0221E9C-1C90-4A3F-986F-F5F3DE99B7EC}"/>
    <cellStyle name="40% - Accent3 4 7 2" xfId="1379" xr:uid="{AE167065-A002-4E39-8F05-D76909BBF85C}"/>
    <cellStyle name="40% - Accent3 4 8" xfId="1380" xr:uid="{68B97EC0-FC97-458F-B931-525C4EB52114}"/>
    <cellStyle name="40% - Accent3 4 8 2" xfId="1381" xr:uid="{E7934E58-3FFC-4882-8474-8C5D5FD3A3E0}"/>
    <cellStyle name="40% - Accent3 4 9" xfId="1382" xr:uid="{B951ED14-5308-4281-BC77-B4EF2D7A270F}"/>
    <cellStyle name="40% - Accent3 4 9 2" xfId="1383" xr:uid="{6A76A520-5A92-47D0-91C4-DF2AAE33D6BA}"/>
    <cellStyle name="40% - Accent3 40" xfId="24568" xr:uid="{4202D20D-ADCE-46C6-815C-AE3523BFA5B7}"/>
    <cellStyle name="40% - Accent3 41" xfId="24569" xr:uid="{93D6C83D-645D-4F16-B67A-2E348792CD3A}"/>
    <cellStyle name="40% - Accent3 42" xfId="24570" xr:uid="{8F26B258-B53E-475E-BA55-1B791E8A6CED}"/>
    <cellStyle name="40% - Accent3 43" xfId="24571" xr:uid="{E9EA7145-05D1-4027-BD17-468317853EC2}"/>
    <cellStyle name="40% - Accent3 44" xfId="45865" xr:uid="{45E051F9-4903-4E3C-9015-334FB4758480}"/>
    <cellStyle name="40% - Accent3 45" xfId="45884" xr:uid="{59EED6C4-5273-4BE4-B7B4-ADECD6BDCFE6}"/>
    <cellStyle name="40% - Accent3 5" xfId="1384" xr:uid="{C05AD995-AF54-4ADE-A0AA-3D10E2884AD0}"/>
    <cellStyle name="40% - Accent3 5 10" xfId="1385" xr:uid="{FFBED980-30E0-427A-A354-D880B848CA31}"/>
    <cellStyle name="40% - Accent3 5 10 2" xfId="1386" xr:uid="{92AB7C67-F60C-4FD6-8A90-7D841B071AD1}"/>
    <cellStyle name="40% - Accent3 5 11" xfId="1387" xr:uid="{3188C2B0-02BC-4DCE-BBDA-1EFFB75EDC9C}"/>
    <cellStyle name="40% - Accent3 5 11 2" xfId="1388" xr:uid="{F03EE17C-1BFC-44C2-87D0-A6DBB9625BE1}"/>
    <cellStyle name="40% - Accent3 5 12" xfId="1389" xr:uid="{32C646A6-12A1-4C61-9AEE-AB90A66162A6}"/>
    <cellStyle name="40% - Accent3 5 13" xfId="1390" xr:uid="{F33FBFE7-8C03-4615-842F-0543B18CCBF5}"/>
    <cellStyle name="40% - Accent3 5 2" xfId="1391" xr:uid="{57B21146-B9B7-4170-97F4-7B08F70F1367}"/>
    <cellStyle name="40% - Accent3 5 2 2" xfId="1392" xr:uid="{A047AEE2-226C-44D1-BEA2-6DF2FAE943DF}"/>
    <cellStyle name="40% - Accent3 5 2 3" xfId="24572" xr:uid="{6D7FE369-E1B5-4BC2-8ADD-CF23790B823E}"/>
    <cellStyle name="40% - Accent3 5 3" xfId="1393" xr:uid="{F64FDFDC-867D-47E7-800F-1D941FF7F2BA}"/>
    <cellStyle name="40% - Accent3 5 3 2" xfId="1394" xr:uid="{2F5ECFD6-AFDF-45B1-8E00-DBE33262FDCA}"/>
    <cellStyle name="40% - Accent3 5 4" xfId="1395" xr:uid="{BCDB5C45-D41C-4FF8-89B6-2041BCFF8C7A}"/>
    <cellStyle name="40% - Accent3 5 4 2" xfId="1396" xr:uid="{D34F9295-22E7-40D2-B26F-948FF08A40CB}"/>
    <cellStyle name="40% - Accent3 5 5" xfId="1397" xr:uid="{B2B06E55-B528-4BAC-BF5F-D983F27A0C3C}"/>
    <cellStyle name="40% - Accent3 5 5 2" xfId="1398" xr:uid="{033B652C-30EB-471D-A534-003FFF814A1F}"/>
    <cellStyle name="40% - Accent3 5 6" xfId="1399" xr:uid="{9A03662E-DB03-4EB8-AFE5-7B8F9220F487}"/>
    <cellStyle name="40% - Accent3 5 6 2" xfId="1400" xr:uid="{6B3BC1E1-75DD-4E8B-8B38-AF1AC85AFD5A}"/>
    <cellStyle name="40% - Accent3 5 7" xfId="1401" xr:uid="{E145FFE2-1B40-4B74-8583-1E33CCA3680C}"/>
    <cellStyle name="40% - Accent3 5 7 2" xfId="1402" xr:uid="{29F9A02D-66AE-4C1D-BD1F-F2332B137972}"/>
    <cellStyle name="40% - Accent3 5 8" xfId="1403" xr:uid="{89E2D5FC-AD90-4BBD-BCA6-A33DA750832C}"/>
    <cellStyle name="40% - Accent3 5 8 2" xfId="1404" xr:uid="{DCDF358E-BE86-4F1B-9904-04AC3248C65D}"/>
    <cellStyle name="40% - Accent3 5 9" xfId="1405" xr:uid="{A0935993-E220-4BD0-B95B-2A4EAFA07B48}"/>
    <cellStyle name="40% - Accent3 5 9 2" xfId="1406" xr:uid="{F0F7FC2E-6EDD-4DF3-A8EE-7D7879EDD057}"/>
    <cellStyle name="40% - Accent3 6" xfId="1407" xr:uid="{1167DAD8-A2E6-4AC5-9470-90CAB0F5D4CA}"/>
    <cellStyle name="40% - Accent3 6 10" xfId="1408" xr:uid="{AC8B5601-2488-4AD2-8D89-CA241095BACA}"/>
    <cellStyle name="40% - Accent3 6 10 2" xfId="1409" xr:uid="{FCFB7C0A-4105-40EE-9ED9-A78389C711D6}"/>
    <cellStyle name="40% - Accent3 6 11" xfId="1410" xr:uid="{9FEA759E-690D-4C27-B4DA-F4D0B4B8A07A}"/>
    <cellStyle name="40% - Accent3 6 11 2" xfId="1411" xr:uid="{D9C3D4D4-54FD-4CB5-8FC8-91EE4EA507EB}"/>
    <cellStyle name="40% - Accent3 6 12" xfId="1412" xr:uid="{849AFCF5-BD1C-47B5-8F34-1F869F0CFDF4}"/>
    <cellStyle name="40% - Accent3 6 13" xfId="1413" xr:uid="{38E80976-C36B-469C-973B-E00EB2BB57CB}"/>
    <cellStyle name="40% - Accent3 6 2" xfId="1414" xr:uid="{23A3197F-A1B4-42D3-8215-EEC1C42B9E47}"/>
    <cellStyle name="40% - Accent3 6 2 2" xfId="1415" xr:uid="{F59A44F0-33B4-4D89-886C-04E47D92BBDE}"/>
    <cellStyle name="40% - Accent3 6 2 3" xfId="24573" xr:uid="{F2E78384-0A5D-4EE8-96BA-956AA1A40994}"/>
    <cellStyle name="40% - Accent3 6 3" xfId="1416" xr:uid="{F9A5BF40-8D1A-4EEC-8CF8-8C7102256EED}"/>
    <cellStyle name="40% - Accent3 6 3 2" xfId="1417" xr:uid="{0E98475E-8EDC-4AC6-B5E3-725CF753A55C}"/>
    <cellStyle name="40% - Accent3 6 4" xfId="1418" xr:uid="{9629185E-EC5F-4811-8B24-7F169F7E7391}"/>
    <cellStyle name="40% - Accent3 6 4 2" xfId="1419" xr:uid="{8D820B4E-2272-43A5-9729-2FC0F4600098}"/>
    <cellStyle name="40% - Accent3 6 5" xfId="1420" xr:uid="{86E8DB47-946F-4872-ABC3-8BD4FD2C76AE}"/>
    <cellStyle name="40% - Accent3 6 5 2" xfId="1421" xr:uid="{BB5F64BE-4A19-48F5-A72A-B6D30F4726A1}"/>
    <cellStyle name="40% - Accent3 6 6" xfId="1422" xr:uid="{B866FF2E-93DC-4518-91D2-2768A9351F14}"/>
    <cellStyle name="40% - Accent3 6 6 2" xfId="1423" xr:uid="{79FC7B1C-3C85-41B0-B32D-78603576F48E}"/>
    <cellStyle name="40% - Accent3 6 7" xfId="1424" xr:uid="{CEA134C5-21C1-4FA0-8F6F-3B0D2F6F8F0D}"/>
    <cellStyle name="40% - Accent3 6 7 2" xfId="1425" xr:uid="{74ED88BC-90B7-424A-B767-473B10AE4B9E}"/>
    <cellStyle name="40% - Accent3 6 8" xfId="1426" xr:uid="{DCDD703E-AA91-4BD2-81BD-B4C7052F9FFB}"/>
    <cellStyle name="40% - Accent3 6 8 2" xfId="1427" xr:uid="{46DD2F57-05C8-470D-A65B-505C8FBF9A6A}"/>
    <cellStyle name="40% - Accent3 6 9" xfId="1428" xr:uid="{5A437439-3BA0-4B74-91F9-4495C0F6B7DF}"/>
    <cellStyle name="40% - Accent3 6 9 2" xfId="1429" xr:uid="{359778B7-4975-4393-B017-4FEEF5EDD844}"/>
    <cellStyle name="40% - Accent3 7" xfId="1430" xr:uid="{7AEE0AD3-66AB-4B43-A873-0FB09D6228EC}"/>
    <cellStyle name="40% - Accent3 7 2" xfId="1431" xr:uid="{12FCCFFC-1E27-4E68-BF45-9127D04FA1AC}"/>
    <cellStyle name="40% - Accent3 7 2 2" xfId="24574" xr:uid="{8962B4EC-A920-4DE0-95FC-D53963D4DA20}"/>
    <cellStyle name="40% - Accent3 7 3" xfId="1432" xr:uid="{C8765902-1EC2-4709-879C-8E12BA1472B8}"/>
    <cellStyle name="40% - Accent3 7 3 2" xfId="24575" xr:uid="{7A074943-80B8-4306-B3D9-4BAD0423CE2A}"/>
    <cellStyle name="40% - Accent3 8" xfId="1433" xr:uid="{6BB20584-9A47-46E5-B2E8-4376A2F9AAF1}"/>
    <cellStyle name="40% - Accent3 8 2" xfId="1434" xr:uid="{1992CD9A-E250-41BD-BD23-547DD4DDFDFF}"/>
    <cellStyle name="40% - Accent3 8 2 2" xfId="24576" xr:uid="{2E586C23-B8A9-41A3-A13A-12FDC791F58B}"/>
    <cellStyle name="40% - Accent3 8 3" xfId="1435" xr:uid="{756264BA-ADEF-4FB8-A6C7-C11B4F88BBD5}"/>
    <cellStyle name="40% - Accent3 8 3 2" xfId="24577" xr:uid="{7C770419-37A2-4807-9357-DCB40C0A8CA2}"/>
    <cellStyle name="40% - Accent3 9" xfId="1436" xr:uid="{53FD7BF4-68FA-4C87-A875-5FE194376185}"/>
    <cellStyle name="40% - Accent3 9 2" xfId="1437" xr:uid="{509C7417-B1A1-4695-B772-6232851A3057}"/>
    <cellStyle name="40% - Accent4" xfId="1873" builtinId="43" customBuiltin="1"/>
    <cellStyle name="40% - Accent4 10" xfId="1438" xr:uid="{B87F94AD-F4A5-42DF-9880-B4370CCF4E62}"/>
    <cellStyle name="40% - Accent4 10 2" xfId="1439" xr:uid="{813F9C4F-D139-4F44-925E-2EF725D93F73}"/>
    <cellStyle name="40% - Accent4 11" xfId="24578" xr:uid="{8B8460BF-71D2-4FD3-AC0C-D97E741ED494}"/>
    <cellStyle name="40% - Accent4 11 2" xfId="24579" xr:uid="{D092A416-FC59-4E13-A147-75A8627707B2}"/>
    <cellStyle name="40% - Accent4 12" xfId="24580" xr:uid="{35E40C05-021E-43E4-947D-B792DF358D04}"/>
    <cellStyle name="40% - Accent4 13" xfId="24581" xr:uid="{AC275C50-E5CA-4EA1-BECA-53437CC708F9}"/>
    <cellStyle name="40% - Accent4 14" xfId="24582" xr:uid="{CB143C9E-C27A-4FD1-AC78-510A310EEE01}"/>
    <cellStyle name="40% - Accent4 15" xfId="24583" xr:uid="{03CD492A-26AA-4FFC-867A-7005A03A26F0}"/>
    <cellStyle name="40% - Accent4 16" xfId="24584" xr:uid="{D830184F-304F-4DD4-A9BD-98345B9736A2}"/>
    <cellStyle name="40% - Accent4 17" xfId="24585" xr:uid="{D570CC32-6FB1-4304-99C9-053B4DCF5924}"/>
    <cellStyle name="40% - Accent4 18" xfId="24586" xr:uid="{CF493909-44A4-4BCE-96E1-9E0D1AD22DAC}"/>
    <cellStyle name="40% - Accent4 19" xfId="24587" xr:uid="{108FF962-B2F7-43CC-B819-85FD2B264F9B}"/>
    <cellStyle name="40% - Accent4 2" xfId="1440" xr:uid="{F08E0102-E1A1-4E61-B63A-BEB25DDAD654}"/>
    <cellStyle name="40% - Accent4 2 10" xfId="1441" xr:uid="{E58778F0-358F-48A2-92F4-AF1787029F9D}"/>
    <cellStyle name="40% - Accent4 2 10 2" xfId="1442" xr:uid="{A93D3F98-5BED-4925-A07B-9035FF7A1C3B}"/>
    <cellStyle name="40% - Accent4 2 10 3" xfId="1443" xr:uid="{10561445-F510-431C-82AB-3E8F05F3F874}"/>
    <cellStyle name="40% - Accent4 2 11" xfId="1444" xr:uid="{5D84992D-DDA8-40E2-9108-61039E433A07}"/>
    <cellStyle name="40% - Accent4 2 11 2" xfId="1445" xr:uid="{3C16CD97-A781-4D4B-A6BB-B7B0822B9047}"/>
    <cellStyle name="40% - Accent4 2 11 3" xfId="1446" xr:uid="{FF6BBA63-3F08-4719-BF17-1B33DCD763AF}"/>
    <cellStyle name="40% - Accent4 2 12" xfId="1447" xr:uid="{A74C7EF8-33A6-4A87-AC80-60910F60A61E}"/>
    <cellStyle name="40% - Accent4 2 12 2" xfId="1448" xr:uid="{E844DEE3-18D8-4F20-8301-FFDE4DB1CFD7}"/>
    <cellStyle name="40% - Accent4 2 12 3" xfId="1449" xr:uid="{2FF3249E-7CE4-4313-92E5-CF13D31446BF}"/>
    <cellStyle name="40% - Accent4 2 13" xfId="1450" xr:uid="{348D7CA0-6FAD-4B79-9777-A7B692914DB6}"/>
    <cellStyle name="40% - Accent4 2 13 2" xfId="1451" xr:uid="{6EB81E10-B06B-4845-88D4-3E3B21DC7B35}"/>
    <cellStyle name="40% - Accent4 2 14" xfId="1452" xr:uid="{FEBA5812-45B6-45B8-9C63-A9A406E60A86}"/>
    <cellStyle name="40% - Accent4 2 15" xfId="1453" xr:uid="{70DD52CA-98C8-4724-8863-2FA3C57992C6}"/>
    <cellStyle name="40% - Accent4 2 16" xfId="24588" xr:uid="{88002D94-C02B-4502-8EE9-36A93D2AC987}"/>
    <cellStyle name="40% - Accent4 2 17" xfId="44069" xr:uid="{1B355056-ED75-4B2D-AA15-2E0D33E4CCB6}"/>
    <cellStyle name="40% - Accent4 2 2" xfId="1454" xr:uid="{E952512C-130B-4320-9A3F-55D754E5E9D8}"/>
    <cellStyle name="40% - Accent4 2 2 2" xfId="1455" xr:uid="{8BAB1D2B-A1C6-4E7B-AE11-BBAA0939B0B9}"/>
    <cellStyle name="40% - Accent4 2 2 3" xfId="1456" xr:uid="{C9F6762A-6E70-4988-B83B-0FC87B640696}"/>
    <cellStyle name="40% - Accent4 2 3" xfId="1457" xr:uid="{5418D4A4-715D-48DF-873B-9271EF37D0C3}"/>
    <cellStyle name="40% - Accent4 2 3 2" xfId="1458" xr:uid="{8AAB93A8-4055-4759-A338-3147E741B16D}"/>
    <cellStyle name="40% - Accent4 2 3 3" xfId="1459" xr:uid="{E05E14AF-3558-4442-9E97-DA241E30E0D0}"/>
    <cellStyle name="40% - Accent4 2 4" xfId="1460" xr:uid="{90AEC0AC-4D1C-4F36-8CA5-0C954EEE2498}"/>
    <cellStyle name="40% - Accent4 2 4 2" xfId="1461" xr:uid="{02D6BB52-56EB-4F6B-B082-48EA6DDE410F}"/>
    <cellStyle name="40% - Accent4 2 4 3" xfId="1462" xr:uid="{CA2AE8D9-8ECB-4CCC-AE53-0740560B2B20}"/>
    <cellStyle name="40% - Accent4 2 5" xfId="1463" xr:uid="{75C8A10E-A7F5-494F-82D4-8AD1058BC513}"/>
    <cellStyle name="40% - Accent4 2 5 2" xfId="1464" xr:uid="{0FFA68E6-4E78-403A-A01D-2B1DB459084C}"/>
    <cellStyle name="40% - Accent4 2 5 3" xfId="1465" xr:uid="{A3A083A4-D551-407E-95B8-A64D240B61DF}"/>
    <cellStyle name="40% - Accent4 2 6" xfId="1466" xr:uid="{F5C6493B-7789-4389-A3F7-90729EF93759}"/>
    <cellStyle name="40% - Accent4 2 6 2" xfId="1467" xr:uid="{13042BEA-47CC-4D43-A618-E3F422F3C495}"/>
    <cellStyle name="40% - Accent4 2 6 3" xfId="1468" xr:uid="{47A44212-75EC-4BC5-8B01-0504C59A3334}"/>
    <cellStyle name="40% - Accent4 2 7" xfId="1469" xr:uid="{C466744F-747C-442C-B563-4374E808062E}"/>
    <cellStyle name="40% - Accent4 2 7 2" xfId="1470" xr:uid="{899EFAD2-FF6A-4ED6-9F3A-08670B07C9C3}"/>
    <cellStyle name="40% - Accent4 2 7 3" xfId="1471" xr:uid="{68AC97C9-BD52-4F91-A7EB-2EE476DEF372}"/>
    <cellStyle name="40% - Accent4 2 8" xfId="1472" xr:uid="{813393BE-611C-46A3-BD33-0708576CB205}"/>
    <cellStyle name="40% - Accent4 2 8 2" xfId="1473" xr:uid="{7211D49A-E593-43B8-A962-FE6647B064EA}"/>
    <cellStyle name="40% - Accent4 2 8 3" xfId="1474" xr:uid="{E2B78E01-6A51-4233-B35A-B8E4F5D01AB7}"/>
    <cellStyle name="40% - Accent4 2 9" xfId="1475" xr:uid="{567EE5E5-1226-4536-A531-10BD4BE7BAFF}"/>
    <cellStyle name="40% - Accent4 2 9 2" xfId="1476" xr:uid="{9D157D54-AA5C-4722-B30C-80F62DCB5E5B}"/>
    <cellStyle name="40% - Accent4 2 9 3" xfId="1477" xr:uid="{872EB342-F0F9-4B71-8E70-EDE208F489F6}"/>
    <cellStyle name="40% - Accent4 20" xfId="24589" xr:uid="{F1D4C206-93B3-487C-9E91-90103BBE0F27}"/>
    <cellStyle name="40% - Accent4 21" xfId="24590" xr:uid="{0BCEED0C-4E03-46DE-B3F4-5C2D5421FA64}"/>
    <cellStyle name="40% - Accent4 22" xfId="24591" xr:uid="{69731AB7-D509-4728-A5A6-B9EECAFC8149}"/>
    <cellStyle name="40% - Accent4 23" xfId="24592" xr:uid="{BB13FECE-A638-4667-9501-A854F567953E}"/>
    <cellStyle name="40% - Accent4 24" xfId="24593" xr:uid="{71E26BD2-7D0A-453B-B8D0-5AE128E6AABC}"/>
    <cellStyle name="40% - Accent4 25" xfId="24594" xr:uid="{5E0B33CB-ADBE-4041-A338-F06BEC014779}"/>
    <cellStyle name="40% - Accent4 26" xfId="24595" xr:uid="{ECA55EC2-5C6C-4E75-954E-6CB0731F1F72}"/>
    <cellStyle name="40% - Accent4 27" xfId="24596" xr:uid="{6EFA4B4E-9B10-4FAB-8191-C44E4F6F987D}"/>
    <cellStyle name="40% - Accent4 28" xfId="24597" xr:uid="{E84976D7-29DC-4E95-AAAC-E599D2106F3F}"/>
    <cellStyle name="40% - Accent4 29" xfId="24598" xr:uid="{B0B560AF-8628-4BF0-8331-F1A9DAD485EB}"/>
    <cellStyle name="40% - Accent4 3" xfId="1478" xr:uid="{C819B6FE-8CC9-4E17-8EB6-013EA83DC311}"/>
    <cellStyle name="40% - Accent4 3 10" xfId="1479" xr:uid="{CE85BCDC-68BB-4D91-86B6-0502B099419A}"/>
    <cellStyle name="40% - Accent4 3 10 2" xfId="1480" xr:uid="{C60934F7-805B-4667-BE7F-671BBFA3FC02}"/>
    <cellStyle name="40% - Accent4 3 11" xfId="1481" xr:uid="{0683A2F7-0A69-4E79-A072-6503723C026D}"/>
    <cellStyle name="40% - Accent4 3 11 2" xfId="1482" xr:uid="{DDEEEA29-3540-490B-9458-E6D4316CFC51}"/>
    <cellStyle name="40% - Accent4 3 12" xfId="1483" xr:uid="{806DEAC2-AC29-4192-8BB6-AA9A2D13A249}"/>
    <cellStyle name="40% - Accent4 3 13" xfId="1484" xr:uid="{51CD529C-5170-4CB0-8617-4C57184905BF}"/>
    <cellStyle name="40% - Accent4 3 14" xfId="44179" xr:uid="{503070E4-6BCA-4801-A4C8-938C1A60723C}"/>
    <cellStyle name="40% - Accent4 3 2" xfId="1485" xr:uid="{1C4D0177-EEF7-4CBE-8E5A-09EE8F8F8D2C}"/>
    <cellStyle name="40% - Accent4 3 2 2" xfId="1486" xr:uid="{2E4C3EC6-C940-459B-9170-7ECA3FA6CD1B}"/>
    <cellStyle name="40% - Accent4 3 2 3" xfId="24599" xr:uid="{7870F89A-1D4A-471B-8114-1BF493F56ECA}"/>
    <cellStyle name="40% - Accent4 3 3" xfId="1487" xr:uid="{32BC42D9-64B0-48A3-8B6A-DB7AE6163F7C}"/>
    <cellStyle name="40% - Accent4 3 3 2" xfId="1488" xr:uid="{52BC0175-875A-42F0-AF8E-5FED1DE18448}"/>
    <cellStyle name="40% - Accent4 3 3 3" xfId="42264" xr:uid="{52CA5A69-0746-4CD0-808F-6D9F8ABE4F2B}"/>
    <cellStyle name="40% - Accent4 3 4" xfId="1489" xr:uid="{00614E0E-40C5-4AD0-915D-999AA686D6E6}"/>
    <cellStyle name="40% - Accent4 3 4 2" xfId="1490" xr:uid="{B1A6B994-4C2D-47AB-8B44-D6C975D641D6}"/>
    <cellStyle name="40% - Accent4 3 5" xfId="1491" xr:uid="{0B787F13-BC3B-4EC8-B0B8-D6713D13E615}"/>
    <cellStyle name="40% - Accent4 3 5 2" xfId="1492" xr:uid="{65796B47-31EA-46D4-94C7-40EE711FA267}"/>
    <cellStyle name="40% - Accent4 3 6" xfId="1493" xr:uid="{CB0C7A47-B7D2-47F2-9472-1E3470C95A72}"/>
    <cellStyle name="40% - Accent4 3 6 2" xfId="1494" xr:uid="{B01F372A-B0E1-4A6D-9436-3112241DA9A9}"/>
    <cellStyle name="40% - Accent4 3 7" xfId="1495" xr:uid="{D3007FCE-57AD-47C0-8F61-C451CFDF25E6}"/>
    <cellStyle name="40% - Accent4 3 7 2" xfId="1496" xr:uid="{5A51384E-F747-4CC8-BAC3-100F5972C52E}"/>
    <cellStyle name="40% - Accent4 3 8" xfId="1497" xr:uid="{B072925E-2634-4280-B397-C85D9C026AFD}"/>
    <cellStyle name="40% - Accent4 3 8 2" xfId="1498" xr:uid="{85E342C5-381E-44DF-9A48-54E7D1F4FA7A}"/>
    <cellStyle name="40% - Accent4 3 9" xfId="1499" xr:uid="{D52F244F-E417-4C27-9EE6-AA1FB096D089}"/>
    <cellStyle name="40% - Accent4 3 9 2" xfId="1500" xr:uid="{04C27EC5-AD3D-4F5E-8ED7-BF675D807CD6}"/>
    <cellStyle name="40% - Accent4 30" xfId="24600" xr:uid="{676935F6-A70A-42C4-9133-83B8E1565B1A}"/>
    <cellStyle name="40% - Accent4 31" xfId="24601" xr:uid="{4288ED38-A9DA-49D1-8F8F-1EBAAFFC146E}"/>
    <cellStyle name="40% - Accent4 32" xfId="24602" xr:uid="{4773B0F3-B477-4282-9650-05A053C771F2}"/>
    <cellStyle name="40% - Accent4 33" xfId="24603" xr:uid="{4CF9CBFE-83EF-406E-9EAA-451A461EC98D}"/>
    <cellStyle name="40% - Accent4 34" xfId="24604" xr:uid="{118FEE37-8DA6-4ADA-95CF-4CF36908E7A1}"/>
    <cellStyle name="40% - Accent4 35" xfId="24605" xr:uid="{FE1EBF33-EE5B-4101-A0D3-8D3315F2D1A8}"/>
    <cellStyle name="40% - Accent4 36" xfId="24606" xr:uid="{2590D8EB-078B-4962-96E8-517CB5A5D57C}"/>
    <cellStyle name="40% - Accent4 37" xfId="24607" xr:uid="{0E9EB61A-30BE-47E6-A94E-D08B7C3BAE6B}"/>
    <cellStyle name="40% - Accent4 38" xfId="24608" xr:uid="{4F06608B-F115-465F-B963-95599C105854}"/>
    <cellStyle name="40% - Accent4 39" xfId="24609" xr:uid="{8EAE7BFC-DA4A-401F-B53F-4AB092E05CAF}"/>
    <cellStyle name="40% - Accent4 4" xfId="1501" xr:uid="{D44F6B9B-8BB4-43FD-A9E3-B152D11FD5F7}"/>
    <cellStyle name="40% - Accent4 4 10" xfId="1502" xr:uid="{D90C1475-516B-499B-8E75-D8A2E0D6C812}"/>
    <cellStyle name="40% - Accent4 4 10 2" xfId="1503" xr:uid="{9AEC01AE-116D-49C6-ABC3-54DE74E9617F}"/>
    <cellStyle name="40% - Accent4 4 11" xfId="1504" xr:uid="{D01AAA2A-EF80-404F-926F-6966A05815E5}"/>
    <cellStyle name="40% - Accent4 4 11 2" xfId="1505" xr:uid="{F9EB38F5-63FB-49E5-8D81-768ECCC01F3D}"/>
    <cellStyle name="40% - Accent4 4 12" xfId="1506" xr:uid="{DD099601-CD3D-4726-AE19-0F68E29B3C0C}"/>
    <cellStyle name="40% - Accent4 4 13" xfId="1507" xr:uid="{7DB42FE5-B936-4DE2-9172-22F71C8EE306}"/>
    <cellStyle name="40% - Accent4 4 2" xfId="1508" xr:uid="{7A5A2B73-023D-4F8B-80E7-130F736DD17F}"/>
    <cellStyle name="40% - Accent4 4 2 2" xfId="1509" xr:uid="{73628E84-79CC-45D5-BC5D-EC627A066478}"/>
    <cellStyle name="40% - Accent4 4 2 3" xfId="24610" xr:uid="{CF390E46-583D-4989-A26A-BEDCC0FDEB35}"/>
    <cellStyle name="40% - Accent4 4 3" xfId="1510" xr:uid="{B9987823-AA17-4CF4-ADB7-DAF136FE9D37}"/>
    <cellStyle name="40% - Accent4 4 3 2" xfId="1511" xr:uid="{8DCEB212-F0E1-4356-B39E-88335E63E67A}"/>
    <cellStyle name="40% - Accent4 4 4" xfId="1512" xr:uid="{9AEBD1E3-430A-4C06-96DE-17585525A16B}"/>
    <cellStyle name="40% - Accent4 4 4 2" xfId="1513" xr:uid="{74E9D5FF-3094-42D7-8D15-06330AA3B949}"/>
    <cellStyle name="40% - Accent4 4 5" xfId="1514" xr:uid="{B887E18A-9D03-4461-906C-15A3A5ECBFFC}"/>
    <cellStyle name="40% - Accent4 4 5 2" xfId="1515" xr:uid="{28E4A038-A70C-4B1E-91F0-79F6633C9B2E}"/>
    <cellStyle name="40% - Accent4 4 6" xfId="1516" xr:uid="{BCC4A092-308D-4693-A171-1028582BEDF0}"/>
    <cellStyle name="40% - Accent4 4 6 2" xfId="1517" xr:uid="{0E13A35C-E07E-4DA3-B700-307E5E9E2BCA}"/>
    <cellStyle name="40% - Accent4 4 7" xfId="1518" xr:uid="{6058BE4B-6549-44C3-83F7-EB1FEC5287C5}"/>
    <cellStyle name="40% - Accent4 4 7 2" xfId="1519" xr:uid="{204272EC-5DC6-4A6E-A73F-D29054C9C91E}"/>
    <cellStyle name="40% - Accent4 4 8" xfId="1520" xr:uid="{74F1CC31-23E6-4817-B877-9933ADBFDABA}"/>
    <cellStyle name="40% - Accent4 4 8 2" xfId="1521" xr:uid="{86E8DEA4-26E1-46A3-B909-6F7F933EB7CA}"/>
    <cellStyle name="40% - Accent4 4 9" xfId="1522" xr:uid="{A16E2C46-40D7-4D5D-BEF1-36A196C4DE52}"/>
    <cellStyle name="40% - Accent4 4 9 2" xfId="1523" xr:uid="{6A1A6136-066F-44C2-9577-5F6A10C38FB7}"/>
    <cellStyle name="40% - Accent4 40" xfId="24611" xr:uid="{41CCC4E0-EEF3-45A5-BA4C-A5CAC14BAC04}"/>
    <cellStyle name="40% - Accent4 41" xfId="24612" xr:uid="{70C36F65-663E-468B-B73E-38A2AFDA7049}"/>
    <cellStyle name="40% - Accent4 42" xfId="24613" xr:uid="{9C8ECCA2-1A11-4BE5-94C6-E217060A54AF}"/>
    <cellStyle name="40% - Accent4 43" xfId="24614" xr:uid="{BC14D2BF-28B1-4480-B3D2-3862E4BC288C}"/>
    <cellStyle name="40% - Accent4 44" xfId="45868" xr:uid="{76CE31D5-A32D-47CB-B3BD-D964F5D1F67C}"/>
    <cellStyle name="40% - Accent4 45" xfId="45887" xr:uid="{155DDC2C-63D7-43AC-B7FB-906C479525D7}"/>
    <cellStyle name="40% - Accent4 5" xfId="1524" xr:uid="{D09A07A0-80FA-4297-A9A7-4A288B7EF629}"/>
    <cellStyle name="40% - Accent4 5 10" xfId="1525" xr:uid="{CEE4ABC8-6B5A-4B31-88DC-281629C8606D}"/>
    <cellStyle name="40% - Accent4 5 10 2" xfId="1526" xr:uid="{41482BB9-9F19-4804-8B38-4414112223E8}"/>
    <cellStyle name="40% - Accent4 5 11" xfId="1527" xr:uid="{F56E3031-D6EB-4B9E-9C93-D3F3D7C067B5}"/>
    <cellStyle name="40% - Accent4 5 11 2" xfId="1528" xr:uid="{3C74AB6F-9B0A-4F67-9888-68725FD7626E}"/>
    <cellStyle name="40% - Accent4 5 12" xfId="1529" xr:uid="{EF525CF2-3B58-4F74-896F-6393E7896A12}"/>
    <cellStyle name="40% - Accent4 5 13" xfId="1530" xr:uid="{7FF8780A-A2DD-4707-B590-E9D9D89CC58B}"/>
    <cellStyle name="40% - Accent4 5 2" xfId="1531" xr:uid="{AD2D3744-C4CD-47D4-95D6-9C1CD3237516}"/>
    <cellStyle name="40% - Accent4 5 2 2" xfId="1532" xr:uid="{91C36C94-B976-4F1B-A84B-2682C23BEA64}"/>
    <cellStyle name="40% - Accent4 5 2 3" xfId="24615" xr:uid="{077C3F8F-11EE-4E11-A6D5-0161A21F2A83}"/>
    <cellStyle name="40% - Accent4 5 3" xfId="1533" xr:uid="{4F57B502-8357-461D-A3B0-99ABC46F0203}"/>
    <cellStyle name="40% - Accent4 5 3 2" xfId="1534" xr:uid="{88E430ED-C233-43B3-8594-0A358460A380}"/>
    <cellStyle name="40% - Accent4 5 4" xfId="1535" xr:uid="{B4B8F2F2-B8F8-430A-8560-18F9F3890810}"/>
    <cellStyle name="40% - Accent4 5 4 2" xfId="1536" xr:uid="{568A30D3-D1B9-4D4A-A307-49247F858141}"/>
    <cellStyle name="40% - Accent4 5 5" xfId="1537" xr:uid="{D99FA901-6BB2-4E1A-9DAC-D6C15C299AFA}"/>
    <cellStyle name="40% - Accent4 5 5 2" xfId="1538" xr:uid="{76B9FF99-4549-43CA-B0E1-F97FAAD54DEC}"/>
    <cellStyle name="40% - Accent4 5 6" xfId="1539" xr:uid="{806D2E48-1498-4472-83E6-ED733F279298}"/>
    <cellStyle name="40% - Accent4 5 6 2" xfId="1540" xr:uid="{26CB3017-976C-4C5A-A947-E4956476630B}"/>
    <cellStyle name="40% - Accent4 5 7" xfId="1541" xr:uid="{CC670772-23B7-4C72-827C-A39279AC9473}"/>
    <cellStyle name="40% - Accent4 5 7 2" xfId="1542" xr:uid="{4F919D1D-E571-4DA4-91B5-0EA091C23C65}"/>
    <cellStyle name="40% - Accent4 5 8" xfId="1543" xr:uid="{1490768F-4E7A-44D8-AE41-80AA6FB68345}"/>
    <cellStyle name="40% - Accent4 5 8 2" xfId="1544" xr:uid="{688CABE6-4859-4D63-A6C6-85A14FAC093E}"/>
    <cellStyle name="40% - Accent4 5 9" xfId="1545" xr:uid="{FBB8AD74-161B-44D5-8631-D2DEB00692C5}"/>
    <cellStyle name="40% - Accent4 5 9 2" xfId="1546" xr:uid="{578EAB3F-02B1-4EFA-8C22-DC3894AB0393}"/>
    <cellStyle name="40% - Accent4 6" xfId="1547" xr:uid="{67312A95-2CE4-4C57-A47A-E8B1A0D4FF58}"/>
    <cellStyle name="40% - Accent4 6 10" xfId="1548" xr:uid="{20750DC4-9EFB-4261-ADB6-B5E012376BF0}"/>
    <cellStyle name="40% - Accent4 6 10 2" xfId="1549" xr:uid="{C320703F-6058-45B9-8009-62703FEF1E24}"/>
    <cellStyle name="40% - Accent4 6 11" xfId="1550" xr:uid="{916AF444-4523-4B9E-A82A-2B695FD89374}"/>
    <cellStyle name="40% - Accent4 6 11 2" xfId="1551" xr:uid="{2A8FF453-480F-48EE-B8EB-DD4A725524DD}"/>
    <cellStyle name="40% - Accent4 6 12" xfId="1552" xr:uid="{6E3BF12B-D636-41F1-BA64-8BF1B09ED799}"/>
    <cellStyle name="40% - Accent4 6 13" xfId="1553" xr:uid="{DB30D677-FE95-4AA1-9188-68FF5F6BFBAB}"/>
    <cellStyle name="40% - Accent4 6 2" xfId="1554" xr:uid="{EEA93DCE-494D-4163-B7A0-A44C8547E592}"/>
    <cellStyle name="40% - Accent4 6 2 2" xfId="1555" xr:uid="{CFA5DF8A-5EE9-4508-966F-42B2870E14E9}"/>
    <cellStyle name="40% - Accent4 6 2 3" xfId="24616" xr:uid="{DEB6F41D-D7CC-4DD6-8E37-6357ABF19818}"/>
    <cellStyle name="40% - Accent4 6 3" xfId="1556" xr:uid="{8160858E-30DD-432C-A6BB-8E84DB1C8EE8}"/>
    <cellStyle name="40% - Accent4 6 3 2" xfId="1557" xr:uid="{FEA2A2FC-FCB6-4331-BA7C-CC9A4B0B89F8}"/>
    <cellStyle name="40% - Accent4 6 4" xfId="1558" xr:uid="{458E480B-01ED-4145-A166-D497C4FCECDA}"/>
    <cellStyle name="40% - Accent4 6 4 2" xfId="1559" xr:uid="{EE39700B-5377-49A2-945D-0CB1F14F560B}"/>
    <cellStyle name="40% - Accent4 6 5" xfId="1560" xr:uid="{E22861F9-ACF5-405E-9D9E-D584896623E6}"/>
    <cellStyle name="40% - Accent4 6 5 2" xfId="1561" xr:uid="{7DAC3023-C42A-4C06-8168-FA652AB485EE}"/>
    <cellStyle name="40% - Accent4 6 6" xfId="1562" xr:uid="{EB2774B1-BE7A-412E-85CD-FBE865EFEC4E}"/>
    <cellStyle name="40% - Accent4 6 6 2" xfId="1563" xr:uid="{E161BFFF-AA77-486B-BBC5-F4896EF6F4CC}"/>
    <cellStyle name="40% - Accent4 6 7" xfId="1564" xr:uid="{D7567CB9-EC93-404E-A118-A5230B8EDC21}"/>
    <cellStyle name="40% - Accent4 6 7 2" xfId="1565" xr:uid="{416957D8-0430-4A19-B872-D6E23BB5974A}"/>
    <cellStyle name="40% - Accent4 6 8" xfId="1566" xr:uid="{3D4BA1E1-6F84-438A-826B-4922B5492B98}"/>
    <cellStyle name="40% - Accent4 6 8 2" xfId="1567" xr:uid="{ED188333-B7B1-4098-9169-44F1487421AF}"/>
    <cellStyle name="40% - Accent4 6 9" xfId="1568" xr:uid="{987625CE-B9DF-4BCF-954B-0530FAB5D925}"/>
    <cellStyle name="40% - Accent4 6 9 2" xfId="1569" xr:uid="{EA014F90-F2FE-4DC9-A5EB-5E22FFDE2502}"/>
    <cellStyle name="40% - Accent4 7" xfId="1570" xr:uid="{835B8850-A80B-4A51-8665-C516F78733CC}"/>
    <cellStyle name="40% - Accent4 7 2" xfId="1571" xr:uid="{9DBE9B05-A354-49E0-851C-94473EE77B08}"/>
    <cellStyle name="40% - Accent4 7 2 2" xfId="24617" xr:uid="{BE96E1D6-EBCD-4C5E-8D2E-E70E3D5910F8}"/>
    <cellStyle name="40% - Accent4 7 3" xfId="1572" xr:uid="{F0BEF120-4DD4-4E5D-A1B5-522FF2D11A67}"/>
    <cellStyle name="40% - Accent4 7 3 2" xfId="24618" xr:uid="{72C51110-6DF5-43AC-A42E-917679D835DF}"/>
    <cellStyle name="40% - Accent4 8" xfId="1573" xr:uid="{70CCD4CC-13EF-4AC6-84D9-D023D2B5972F}"/>
    <cellStyle name="40% - Accent4 8 2" xfId="1574" xr:uid="{A240DEDC-41AE-49B2-AD6F-51FFA54A9F39}"/>
    <cellStyle name="40% - Accent4 8 2 2" xfId="24619" xr:uid="{6FA4A5C3-1255-4C5E-83FD-795C45968B45}"/>
    <cellStyle name="40% - Accent4 8 3" xfId="1575" xr:uid="{D5704497-8EC3-4B97-8042-EDB9EDCB3555}"/>
    <cellStyle name="40% - Accent4 8 3 2" xfId="24620" xr:uid="{24E58A73-13EA-4A24-977C-409CB01548FF}"/>
    <cellStyle name="40% - Accent4 9" xfId="1576" xr:uid="{091F52E0-9622-46C5-BEB5-7BB4A04D380F}"/>
    <cellStyle name="40% - Accent4 9 2" xfId="1577" xr:uid="{A388F19A-7DA1-47C8-B699-395B1C6D7576}"/>
    <cellStyle name="40% - Accent5" xfId="1874" builtinId="47" customBuiltin="1"/>
    <cellStyle name="40% - Accent5 10" xfId="1578" xr:uid="{79304A71-748A-41BD-9A0D-49EBB394E5AD}"/>
    <cellStyle name="40% - Accent5 10 2" xfId="1579" xr:uid="{ACF28456-9569-4C5F-969B-15F1377CFC67}"/>
    <cellStyle name="40% - Accent5 11" xfId="24621" xr:uid="{EAFDD6F7-838B-4CE8-B1A3-E711303D3CF9}"/>
    <cellStyle name="40% - Accent5 11 2" xfId="24622" xr:uid="{32E84F34-8057-4558-B727-7A22C808C5CF}"/>
    <cellStyle name="40% - Accent5 12" xfId="24623" xr:uid="{4F1E18D7-6477-4B99-97A7-B89163D60845}"/>
    <cellStyle name="40% - Accent5 13" xfId="24624" xr:uid="{948F7EA9-9F69-4096-8552-B2A7671D2BF3}"/>
    <cellStyle name="40% - Accent5 14" xfId="24625" xr:uid="{1F181885-CD72-4FDD-AFC9-8563DBCFC915}"/>
    <cellStyle name="40% - Accent5 15" xfId="24626" xr:uid="{9310D122-1319-45B9-8735-8B04CED7D78F}"/>
    <cellStyle name="40% - Accent5 16" xfId="24627" xr:uid="{2E385158-DDB9-47AC-984F-C4D1C2350C19}"/>
    <cellStyle name="40% - Accent5 17" xfId="24628" xr:uid="{7051DC04-C339-45F8-B2DF-C094577767C3}"/>
    <cellStyle name="40% - Accent5 18" xfId="24629" xr:uid="{6DA35277-0624-4799-8835-956771305880}"/>
    <cellStyle name="40% - Accent5 19" xfId="24630" xr:uid="{9A408269-7518-4DBF-BB6C-5AEB1748B9D1}"/>
    <cellStyle name="40% - Accent5 2" xfId="1580" xr:uid="{263CFEC3-A759-4659-AB73-336768730942}"/>
    <cellStyle name="40% - Accent5 2 10" xfId="1581" xr:uid="{5B3093DF-0DBE-4EF5-8834-566AD4069953}"/>
    <cellStyle name="40% - Accent5 2 10 2" xfId="1582" xr:uid="{6C8FD8B1-5649-4D56-9E3A-C0B6ADE8756D}"/>
    <cellStyle name="40% - Accent5 2 10 3" xfId="1583" xr:uid="{B21E5EF1-58D3-4FCF-8188-98D91076266F}"/>
    <cellStyle name="40% - Accent5 2 11" xfId="1584" xr:uid="{B4939F47-358C-4811-A933-F8E4ED3A9756}"/>
    <cellStyle name="40% - Accent5 2 11 2" xfId="1585" xr:uid="{5ABC4D79-0CD6-4B1F-860F-494344BC8FC2}"/>
    <cellStyle name="40% - Accent5 2 11 3" xfId="1586" xr:uid="{19AA6A3C-8F99-43B7-ADCA-F1996892C214}"/>
    <cellStyle name="40% - Accent5 2 12" xfId="1587" xr:uid="{C8B45037-9994-4B68-AC95-CDF8DF119889}"/>
    <cellStyle name="40% - Accent5 2 12 2" xfId="1588" xr:uid="{F466908E-2C20-4F2F-AC5B-E93A2A0DBD76}"/>
    <cellStyle name="40% - Accent5 2 12 3" xfId="1589" xr:uid="{5D30F835-F79F-4554-AD01-3D74158DA52D}"/>
    <cellStyle name="40% - Accent5 2 13" xfId="1590" xr:uid="{44B7E416-05CA-469D-8DEE-25619418904A}"/>
    <cellStyle name="40% - Accent5 2 13 2" xfId="1591" xr:uid="{BB0D82B3-CF04-4940-B40A-51A296AF1E77}"/>
    <cellStyle name="40% - Accent5 2 14" xfId="1592" xr:uid="{E6FCABAC-8AA2-4AE1-8C25-C69D3D722521}"/>
    <cellStyle name="40% - Accent5 2 15" xfId="1593" xr:uid="{6450E535-14D1-48B7-AB33-0CE308BF5A2E}"/>
    <cellStyle name="40% - Accent5 2 16" xfId="24631" xr:uid="{A90E9363-660B-4BB2-9AE1-AFD98B6020F7}"/>
    <cellStyle name="40% - Accent5 2 17" xfId="44070" xr:uid="{B2F8EE35-EE54-4EF8-A6C4-0A695A8871ED}"/>
    <cellStyle name="40% - Accent5 2 2" xfId="1594" xr:uid="{1DC66C9D-1DD3-4EFD-ADAB-F225AF63BC52}"/>
    <cellStyle name="40% - Accent5 2 2 2" xfId="1595" xr:uid="{17EC64F4-B336-45CA-AAD6-EF52B860D43B}"/>
    <cellStyle name="40% - Accent5 2 2 3" xfId="1596" xr:uid="{E0FAEB4F-7329-4F98-AAFA-F5FE938E0340}"/>
    <cellStyle name="40% - Accent5 2 3" xfId="1597" xr:uid="{B6BE3E09-5BB8-45C8-B07B-CF9BEEB1C2B0}"/>
    <cellStyle name="40% - Accent5 2 3 2" xfId="1598" xr:uid="{F9F60B2E-FBE3-4D83-8BC4-7935FBD50482}"/>
    <cellStyle name="40% - Accent5 2 3 3" xfId="1599" xr:uid="{911A6796-8841-4056-AB9C-5193517E7896}"/>
    <cellStyle name="40% - Accent5 2 4" xfId="1600" xr:uid="{6EC1A0AA-1E31-4350-A9D8-345DB393F76D}"/>
    <cellStyle name="40% - Accent5 2 4 2" xfId="1601" xr:uid="{77198EAF-0D2D-42FF-AF80-4112A3E61225}"/>
    <cellStyle name="40% - Accent5 2 4 3" xfId="1602" xr:uid="{229E1AA4-FD15-4A0A-9911-51C6FC2C8D1D}"/>
    <cellStyle name="40% - Accent5 2 5" xfId="1603" xr:uid="{45BE0CAD-5BF4-4B36-9D51-6579A4315CFE}"/>
    <cellStyle name="40% - Accent5 2 5 2" xfId="1604" xr:uid="{F2DCF81A-2800-4AC0-9652-1ED3A4C2B682}"/>
    <cellStyle name="40% - Accent5 2 5 3" xfId="1605" xr:uid="{B61E56E8-85B0-4853-9E03-382A72070C91}"/>
    <cellStyle name="40% - Accent5 2 6" xfId="1606" xr:uid="{DEEACA8F-3FAA-414A-AB3A-343D265A810F}"/>
    <cellStyle name="40% - Accent5 2 6 2" xfId="1607" xr:uid="{1641ADB2-A4A5-43DF-821E-E1956962BF6F}"/>
    <cellStyle name="40% - Accent5 2 6 3" xfId="1608" xr:uid="{E282AEAE-6485-48B8-9436-99F5FAF4824D}"/>
    <cellStyle name="40% - Accent5 2 7" xfId="1609" xr:uid="{A6DDF1AD-B409-45EE-8D14-568B287665E4}"/>
    <cellStyle name="40% - Accent5 2 7 2" xfId="1610" xr:uid="{E8BEE247-E9D0-41CC-860F-D9A75428D5FF}"/>
    <cellStyle name="40% - Accent5 2 7 3" xfId="1611" xr:uid="{2DE32866-E018-4C5E-AC7F-B9F60DE57C71}"/>
    <cellStyle name="40% - Accent5 2 8" xfId="1612" xr:uid="{BD465ADE-7A53-48D7-B996-B7BC25213807}"/>
    <cellStyle name="40% - Accent5 2 8 2" xfId="1613" xr:uid="{FBF04BA0-9F8E-424A-8691-C55EC095CF6B}"/>
    <cellStyle name="40% - Accent5 2 8 3" xfId="1614" xr:uid="{3FF0FEAA-8E07-4AD7-8F6D-4D3F557992AD}"/>
    <cellStyle name="40% - Accent5 2 9" xfId="1615" xr:uid="{BB4596B3-D4B7-4FDF-A162-D2F47D40FE9E}"/>
    <cellStyle name="40% - Accent5 2 9 2" xfId="1616" xr:uid="{78551A74-FA2F-430F-8BB9-7DE729680FE0}"/>
    <cellStyle name="40% - Accent5 2 9 3" xfId="1617" xr:uid="{C5278A2D-13CA-4D98-98D5-D4E3D4567843}"/>
    <cellStyle name="40% - Accent5 20" xfId="24632" xr:uid="{85E7F567-3D15-4462-AB0C-49282D3B9029}"/>
    <cellStyle name="40% - Accent5 21" xfId="24633" xr:uid="{D5DCB4C0-8415-44C6-A172-DD8D52B0FC3C}"/>
    <cellStyle name="40% - Accent5 22" xfId="24634" xr:uid="{27171297-5251-46DF-989D-55EBB0A9FEC4}"/>
    <cellStyle name="40% - Accent5 23" xfId="24635" xr:uid="{4E590ADD-D22B-4E07-B992-38A3A6D0A920}"/>
    <cellStyle name="40% - Accent5 24" xfId="24636" xr:uid="{860AA840-5CF2-45F5-A269-1ADDB19B528C}"/>
    <cellStyle name="40% - Accent5 25" xfId="24637" xr:uid="{518F1511-C83B-4B1B-9948-371474E5A8F5}"/>
    <cellStyle name="40% - Accent5 26" xfId="24638" xr:uid="{B6C4CA9E-D021-4CD7-990C-27458FF8D439}"/>
    <cellStyle name="40% - Accent5 27" xfId="24639" xr:uid="{B903FD05-1AF9-4158-ACFA-8418E6D7E340}"/>
    <cellStyle name="40% - Accent5 28" xfId="24640" xr:uid="{64486E5B-DE1E-48E6-BCF9-5D74D3EC6887}"/>
    <cellStyle name="40% - Accent5 29" xfId="24641" xr:uid="{0755BF9C-9397-4088-85D5-4435D5953B0D}"/>
    <cellStyle name="40% - Accent5 3" xfId="1618" xr:uid="{85498AAE-FCF0-420A-A18F-91A32AF7CE12}"/>
    <cellStyle name="40% - Accent5 3 10" xfId="1619" xr:uid="{1736E2F5-FE10-4CCF-ABB3-50165043F70B}"/>
    <cellStyle name="40% - Accent5 3 10 2" xfId="1620" xr:uid="{15534883-65B7-42D7-B6DF-F6BFCF0AE425}"/>
    <cellStyle name="40% - Accent5 3 11" xfId="1621" xr:uid="{7BBFFE3B-7E4C-4A58-836A-513208E660C9}"/>
    <cellStyle name="40% - Accent5 3 11 2" xfId="1622" xr:uid="{A125BA53-9657-4E6B-AE70-50763BCB3EEA}"/>
    <cellStyle name="40% - Accent5 3 12" xfId="1623" xr:uid="{BD748FD3-7848-4E71-B744-FDD6319E2BFF}"/>
    <cellStyle name="40% - Accent5 3 13" xfId="1624" xr:uid="{11546E58-4D8E-4F5A-9632-963BB1925D67}"/>
    <cellStyle name="40% - Accent5 3 14" xfId="44180" xr:uid="{911CEC3E-CFBD-4583-BD9C-B0141E0BAFF4}"/>
    <cellStyle name="40% - Accent5 3 2" xfId="1625" xr:uid="{FC687BC7-BCE1-4EE6-B5FA-A5C9239202B6}"/>
    <cellStyle name="40% - Accent5 3 2 2" xfId="1626" xr:uid="{A4DA4D00-5458-4F62-81F5-6B0764B1ED34}"/>
    <cellStyle name="40% - Accent5 3 2 3" xfId="24642" xr:uid="{CD15C5FC-ECC7-431D-A5DB-748E5F539CE0}"/>
    <cellStyle name="40% - Accent5 3 3" xfId="1627" xr:uid="{446A7858-FF95-4161-A753-DED68DD86BB4}"/>
    <cellStyle name="40% - Accent5 3 3 2" xfId="1628" xr:uid="{35288B7D-1ED2-4731-8273-9C01B356686F}"/>
    <cellStyle name="40% - Accent5 3 3 3" xfId="42265" xr:uid="{F2848089-4FE9-4C52-B808-C99AB2AD50F8}"/>
    <cellStyle name="40% - Accent5 3 4" xfId="1629" xr:uid="{349FB365-9BF4-4BE9-A7B6-D742689D7BD6}"/>
    <cellStyle name="40% - Accent5 3 4 2" xfId="1630" xr:uid="{7E4E2C75-799E-45BC-BD93-9446EF621152}"/>
    <cellStyle name="40% - Accent5 3 5" xfId="1631" xr:uid="{F932EED6-4BF4-4896-B034-6D890537B242}"/>
    <cellStyle name="40% - Accent5 3 5 2" xfId="1632" xr:uid="{ACE0B905-CA55-4AEE-9F88-0C4D29ECA6D4}"/>
    <cellStyle name="40% - Accent5 3 6" xfId="1633" xr:uid="{54BFFB3E-CA3B-4C0A-AE22-6651328B0D99}"/>
    <cellStyle name="40% - Accent5 3 6 2" xfId="1634" xr:uid="{EDD7A153-EFDB-4917-A0FE-F1D09C36905B}"/>
    <cellStyle name="40% - Accent5 3 7" xfId="1635" xr:uid="{1932CFA5-DBC5-4EFB-BC0B-842598BB12D4}"/>
    <cellStyle name="40% - Accent5 3 7 2" xfId="1636" xr:uid="{2143E599-C295-4073-B187-8B29DE294579}"/>
    <cellStyle name="40% - Accent5 3 8" xfId="1637" xr:uid="{5F356559-88B1-4279-AF2C-2B1599FF3D91}"/>
    <cellStyle name="40% - Accent5 3 8 2" xfId="1638" xr:uid="{FC9867B3-70FA-4391-9BAD-CA927B3B6553}"/>
    <cellStyle name="40% - Accent5 3 9" xfId="1639" xr:uid="{9B396F37-5A7B-41E1-B1E7-92EA920D0035}"/>
    <cellStyle name="40% - Accent5 3 9 2" xfId="1640" xr:uid="{CBADB936-FCFC-4300-B1EC-E4420BD79377}"/>
    <cellStyle name="40% - Accent5 30" xfId="24643" xr:uid="{41EADAEF-C04C-4812-92AD-C7540719468C}"/>
    <cellStyle name="40% - Accent5 31" xfId="24644" xr:uid="{841267BE-029A-4830-A237-8AB52D84E7E4}"/>
    <cellStyle name="40% - Accent5 32" xfId="24645" xr:uid="{D9889AF8-C135-4CA9-83A2-02E60D8D7BA5}"/>
    <cellStyle name="40% - Accent5 33" xfId="24646" xr:uid="{C09BB9A1-F6FD-4E85-BCCE-F82F1F33BEF8}"/>
    <cellStyle name="40% - Accent5 34" xfId="24647" xr:uid="{673FAB3B-95D5-4086-B9F2-F217C3C33F30}"/>
    <cellStyle name="40% - Accent5 35" xfId="24648" xr:uid="{97FD7346-FA73-44BC-B5EB-25A409244723}"/>
    <cellStyle name="40% - Accent5 36" xfId="24649" xr:uid="{C2D0132B-4B0C-439A-880E-32564C148595}"/>
    <cellStyle name="40% - Accent5 37" xfId="24650" xr:uid="{498A4B45-06AD-4CA7-A631-22ED96A67F3A}"/>
    <cellStyle name="40% - Accent5 38" xfId="24651" xr:uid="{02B08089-8F6F-43F2-B6AD-E67944D5180C}"/>
    <cellStyle name="40% - Accent5 39" xfId="24652" xr:uid="{C072B147-680F-4604-8BE9-D88A7526ED55}"/>
    <cellStyle name="40% - Accent5 4" xfId="1641" xr:uid="{ED817BCF-8852-46A8-A4CD-2610F683D39D}"/>
    <cellStyle name="40% - Accent5 4 10" xfId="1642" xr:uid="{ECF3522D-D5AC-446B-A766-316D44B9A3CE}"/>
    <cellStyle name="40% - Accent5 4 10 2" xfId="1643" xr:uid="{0A50682B-9DF6-4191-95C2-F6E512001627}"/>
    <cellStyle name="40% - Accent5 4 11" xfId="1644" xr:uid="{2AAAF58B-68D8-4364-B9DE-D2FED3F53174}"/>
    <cellStyle name="40% - Accent5 4 11 2" xfId="1645" xr:uid="{3F0FECC8-35CA-471F-8192-795889DFF9CE}"/>
    <cellStyle name="40% - Accent5 4 12" xfId="1646" xr:uid="{B6951DB3-4DBB-4039-B077-657C29A47B82}"/>
    <cellStyle name="40% - Accent5 4 13" xfId="1647" xr:uid="{7BED46C3-7AD6-46FF-91A7-D14FEF52735A}"/>
    <cellStyle name="40% - Accent5 4 2" xfId="1648" xr:uid="{91E7DEFE-8DD0-4685-8E63-6779E8F0003D}"/>
    <cellStyle name="40% - Accent5 4 2 2" xfId="1649" xr:uid="{AA30DEF2-1F49-4161-BA26-E82F013D74F5}"/>
    <cellStyle name="40% - Accent5 4 2 3" xfId="24653" xr:uid="{8F8A2C37-A496-4B92-988A-F47B7D121B3F}"/>
    <cellStyle name="40% - Accent5 4 3" xfId="1650" xr:uid="{3CEF1E85-C5E6-46F3-9CBF-6DFBB5D3CD69}"/>
    <cellStyle name="40% - Accent5 4 3 2" xfId="1651" xr:uid="{73DC3748-5AEA-4B8A-BE34-B5FB6DEAAEAA}"/>
    <cellStyle name="40% - Accent5 4 4" xfId="1652" xr:uid="{5F20608B-572E-41ED-AF62-8B21F65BBB81}"/>
    <cellStyle name="40% - Accent5 4 4 2" xfId="1653" xr:uid="{A04C3C33-B8EA-46BC-B7CB-4B8BB168C1F6}"/>
    <cellStyle name="40% - Accent5 4 5" xfId="1654" xr:uid="{2782E2A6-4B20-464E-A274-4EF86796CE28}"/>
    <cellStyle name="40% - Accent5 4 5 2" xfId="1655" xr:uid="{C24AF487-DC5E-44E8-B4A9-28C6EDFEC7B2}"/>
    <cellStyle name="40% - Accent5 4 6" xfId="1656" xr:uid="{7E4D4E98-9616-4C5C-AAA1-932343AEB250}"/>
    <cellStyle name="40% - Accent5 4 6 2" xfId="1657" xr:uid="{C927957D-B831-4110-B955-D6240278265D}"/>
    <cellStyle name="40% - Accent5 4 7" xfId="1658" xr:uid="{242D125F-DC56-4BA4-B916-C41961BC4BBA}"/>
    <cellStyle name="40% - Accent5 4 7 2" xfId="1659" xr:uid="{1D2A4A02-FD4E-460B-8ECC-171EE52CD6C5}"/>
    <cellStyle name="40% - Accent5 4 8" xfId="1660" xr:uid="{DBD4E95D-AB78-4FEA-AE30-7290C829BE40}"/>
    <cellStyle name="40% - Accent5 4 8 2" xfId="1661" xr:uid="{427FE05A-215A-4219-BCA1-EE03E0F36B5F}"/>
    <cellStyle name="40% - Accent5 4 9" xfId="1662" xr:uid="{DA835F93-02FA-4F47-BCE4-8C03B5CCE149}"/>
    <cellStyle name="40% - Accent5 4 9 2" xfId="1663" xr:uid="{1A98404E-689F-4BCB-975A-514855219DC2}"/>
    <cellStyle name="40% - Accent5 40" xfId="24654" xr:uid="{95FE52C4-89DE-4221-BCE2-F626EFA1465A}"/>
    <cellStyle name="40% - Accent5 41" xfId="24655" xr:uid="{3823C8BD-4874-4AE2-8C3F-12FDF02C236C}"/>
    <cellStyle name="40% - Accent5 42" xfId="24656" xr:uid="{472BA85F-626D-4EA2-9F19-446009D2C87A}"/>
    <cellStyle name="40% - Accent5 43" xfId="24657" xr:uid="{6B922C70-DFF1-4162-BB36-54805595ECAB}"/>
    <cellStyle name="40% - Accent5 44" xfId="45871" xr:uid="{32F5B010-68F7-4A55-A330-01F93727C153}"/>
    <cellStyle name="40% - Accent5 45" xfId="45890" xr:uid="{3D08DC98-1231-4F13-945A-ED67B218813B}"/>
    <cellStyle name="40% - Accent5 5" xfId="1664" xr:uid="{740BDD0A-43C0-48F5-B386-8E0003EE544A}"/>
    <cellStyle name="40% - Accent5 5 10" xfId="1665" xr:uid="{2C877A2D-6E54-4A09-BC74-AF320B6BA5F5}"/>
    <cellStyle name="40% - Accent5 5 10 2" xfId="1666" xr:uid="{9D3762A6-6551-4566-B27D-6DBC682900F3}"/>
    <cellStyle name="40% - Accent5 5 11" xfId="1667" xr:uid="{A54A310D-4450-411E-BD2D-590A3E66662A}"/>
    <cellStyle name="40% - Accent5 5 11 2" xfId="1668" xr:uid="{9DA948CA-7761-478E-B0E8-0E998E2008B2}"/>
    <cellStyle name="40% - Accent5 5 12" xfId="1669" xr:uid="{73E5CABB-2089-4D51-A068-24BD9723F2BB}"/>
    <cellStyle name="40% - Accent5 5 13" xfId="1670" xr:uid="{717225F2-A020-43A9-A8A8-BE4414DE3246}"/>
    <cellStyle name="40% - Accent5 5 2" xfId="1671" xr:uid="{EDD1F9BE-2FD8-4937-AF1A-5AAF8FC8D2CB}"/>
    <cellStyle name="40% - Accent5 5 2 2" xfId="1672" xr:uid="{753D07F5-493D-47E5-B0DE-484D78BAD424}"/>
    <cellStyle name="40% - Accent5 5 2 3" xfId="24658" xr:uid="{7A404D9E-60CA-45F0-A2ED-91C2F8E31FD3}"/>
    <cellStyle name="40% - Accent5 5 3" xfId="1673" xr:uid="{10D85CA7-8DCC-44B3-9ACF-82613C6157BC}"/>
    <cellStyle name="40% - Accent5 5 3 2" xfId="1674" xr:uid="{5145C5CE-23AD-410A-BE23-D3E34523380C}"/>
    <cellStyle name="40% - Accent5 5 4" xfId="1675" xr:uid="{6BA0A4A4-0370-4D9A-A8CA-7F15545CB9E5}"/>
    <cellStyle name="40% - Accent5 5 4 2" xfId="1676" xr:uid="{570564E2-8AAD-4942-A751-7A305DD7AA52}"/>
    <cellStyle name="40% - Accent5 5 5" xfId="1677" xr:uid="{A81EDDE9-668C-4632-ADCE-0400F63C4C2C}"/>
    <cellStyle name="40% - Accent5 5 5 2" xfId="1678" xr:uid="{DD12BE07-8089-4D25-B0D5-AA86FA25D2B5}"/>
    <cellStyle name="40% - Accent5 5 6" xfId="1679" xr:uid="{BD1178C1-7329-4DE6-8492-1B123D67EB6F}"/>
    <cellStyle name="40% - Accent5 5 6 2" xfId="1680" xr:uid="{04B5E8C7-A63A-4062-BFBA-A1B8D1AFA139}"/>
    <cellStyle name="40% - Accent5 5 7" xfId="1681" xr:uid="{9CDBA2FB-B847-40DE-90F4-89E9E2EC36DB}"/>
    <cellStyle name="40% - Accent5 5 7 2" xfId="1682" xr:uid="{7B27A6C2-F3CF-436B-A41B-C93073FDA3CF}"/>
    <cellStyle name="40% - Accent5 5 8" xfId="1683" xr:uid="{3BE1052A-D2FE-4543-99E2-53646411196B}"/>
    <cellStyle name="40% - Accent5 5 8 2" xfId="1684" xr:uid="{A2FA75EA-BEB9-4178-B3DD-0975393CE877}"/>
    <cellStyle name="40% - Accent5 5 9" xfId="1685" xr:uid="{B83E4245-0390-4B27-9194-F982068A17BA}"/>
    <cellStyle name="40% - Accent5 5 9 2" xfId="1686" xr:uid="{204CE7F6-E7C8-4B39-9C40-8B15A7ABB63B}"/>
    <cellStyle name="40% - Accent5 6" xfId="1687" xr:uid="{E1F13D5C-5C21-42C6-AE00-026F26DC55F0}"/>
    <cellStyle name="40% - Accent5 6 10" xfId="1688" xr:uid="{27D22B60-D1B0-49E8-AA8D-F00279C423CA}"/>
    <cellStyle name="40% - Accent5 6 10 2" xfId="1689" xr:uid="{F1D57D78-BF42-46FD-A2CC-39A804AC9E13}"/>
    <cellStyle name="40% - Accent5 6 11" xfId="1690" xr:uid="{0FC3CCF8-C6CE-40BB-9F85-DF1E061C801C}"/>
    <cellStyle name="40% - Accent5 6 11 2" xfId="1691" xr:uid="{DEB5CA30-6627-45B1-9398-528DD0F10A8E}"/>
    <cellStyle name="40% - Accent5 6 12" xfId="1692" xr:uid="{47149529-5D4B-4EBB-89E6-1BEB350D4C21}"/>
    <cellStyle name="40% - Accent5 6 13" xfId="1693" xr:uid="{5B730C41-14D9-4B71-8A8F-806847842157}"/>
    <cellStyle name="40% - Accent5 6 2" xfId="1694" xr:uid="{0F6F75EC-7E93-49DB-A456-9AB3ABF4A7A0}"/>
    <cellStyle name="40% - Accent5 6 2 2" xfId="1695" xr:uid="{3D2B0E41-60E2-4217-ACE2-6FFE41754644}"/>
    <cellStyle name="40% - Accent5 6 2 3" xfId="24659" xr:uid="{FE27C1C0-4387-4222-A395-EC1B5C405391}"/>
    <cellStyle name="40% - Accent5 6 3" xfId="1696" xr:uid="{627232AD-8D7D-40EF-A8A6-7FF14DCFCF21}"/>
    <cellStyle name="40% - Accent5 6 3 2" xfId="1697" xr:uid="{FBA3FC32-3C08-4C5A-B64B-7F067E1A76DB}"/>
    <cellStyle name="40% - Accent5 6 4" xfId="1698" xr:uid="{F7A206AB-F391-4734-A61C-A7D54360E317}"/>
    <cellStyle name="40% - Accent5 6 4 2" xfId="1699" xr:uid="{7AA4D59E-8160-4750-A60D-26ED5F849A94}"/>
    <cellStyle name="40% - Accent5 6 5" xfId="1700" xr:uid="{BA7B2219-BC8A-4F10-8D06-B72D03B41E2E}"/>
    <cellStyle name="40% - Accent5 6 5 2" xfId="1701" xr:uid="{331145BC-C8F9-41CF-A30E-4CCFE624F122}"/>
    <cellStyle name="40% - Accent5 6 6" xfId="1702" xr:uid="{F168EA7A-1596-49EF-8264-DAABCED8367D}"/>
    <cellStyle name="40% - Accent5 6 6 2" xfId="1703" xr:uid="{1F3346F7-1294-4A7D-92AF-7C2D381ED775}"/>
    <cellStyle name="40% - Accent5 6 7" xfId="1704" xr:uid="{6D238686-B59E-4A56-9CC5-3FECBED6C359}"/>
    <cellStyle name="40% - Accent5 6 7 2" xfId="1705" xr:uid="{E077F9D8-1EA3-497B-9BE5-A51BA0AFB4A7}"/>
    <cellStyle name="40% - Accent5 6 8" xfId="1706" xr:uid="{500DE7F3-456D-431D-A1DC-75AF5F80D1A8}"/>
    <cellStyle name="40% - Accent5 6 8 2" xfId="1707" xr:uid="{21757A12-F1BA-4B1F-992A-75806BFE73A9}"/>
    <cellStyle name="40% - Accent5 6 9" xfId="1708" xr:uid="{74088ECC-46AA-4C43-9904-2BE7B14AE09C}"/>
    <cellStyle name="40% - Accent5 6 9 2" xfId="1709" xr:uid="{745C26E2-4987-42A8-89D1-BA225EA032D9}"/>
    <cellStyle name="40% - Accent5 7" xfId="1710" xr:uid="{024E0B9A-882E-4F7D-BADD-BF9EF750EBE8}"/>
    <cellStyle name="40% - Accent5 7 2" xfId="1711" xr:uid="{0278EBA2-1ECD-4934-AF3A-F44C078BE81B}"/>
    <cellStyle name="40% - Accent5 7 2 2" xfId="24660" xr:uid="{BE44A8A2-EB32-4A03-BDE2-E7AC8385C952}"/>
    <cellStyle name="40% - Accent5 7 3" xfId="1712" xr:uid="{18804B4F-1574-4DD3-9A85-2D4F0260D494}"/>
    <cellStyle name="40% - Accent5 7 3 2" xfId="24661" xr:uid="{85CC69E7-E4EC-4A2C-A6E6-F7F7E3CE4C3B}"/>
    <cellStyle name="40% - Accent5 8" xfId="1713" xr:uid="{505A196D-7147-4A68-A525-78918B2EFEFE}"/>
    <cellStyle name="40% - Accent5 8 2" xfId="1714" xr:uid="{06C49F03-A416-46B8-AAAC-5C0C93F717F7}"/>
    <cellStyle name="40% - Accent5 8 2 2" xfId="24662" xr:uid="{6B23B958-18E8-4B76-B836-904AD5D5CE09}"/>
    <cellStyle name="40% - Accent5 8 3" xfId="1715" xr:uid="{C671C669-CAA5-4024-AF2F-4A6E1C38A6DC}"/>
    <cellStyle name="40% - Accent5 8 3 2" xfId="24663" xr:uid="{23B9BC92-7BD4-4DDC-9EBD-432CA201826A}"/>
    <cellStyle name="40% - Accent5 9" xfId="1716" xr:uid="{C19A3B03-CC0C-4D68-8625-638208368E02}"/>
    <cellStyle name="40% - Accent5 9 2" xfId="1717" xr:uid="{71F31ACE-3EAF-4598-B4A6-574881F6B2E2}"/>
    <cellStyle name="40% - Accent6" xfId="1875" builtinId="51" customBuiltin="1"/>
    <cellStyle name="40% - Accent6 10" xfId="1718" xr:uid="{B7AB5BEE-64E3-4180-BA3F-2949C3DD706B}"/>
    <cellStyle name="40% - Accent6 10 2" xfId="1719" xr:uid="{0504EDA1-1919-402E-994A-B49A9E8EA49B}"/>
    <cellStyle name="40% - Accent6 11" xfId="24664" xr:uid="{507C392E-9529-4707-B842-17DC84CB8474}"/>
    <cellStyle name="40% - Accent6 11 2" xfId="24665" xr:uid="{22A960A5-7478-4658-9068-37C99C8EA609}"/>
    <cellStyle name="40% - Accent6 12" xfId="24666" xr:uid="{B09CDAB9-254B-4818-8647-2A9FCB5A9DED}"/>
    <cellStyle name="40% - Accent6 13" xfId="24667" xr:uid="{4F27DD83-F039-4904-A98E-CE36ED9269B3}"/>
    <cellStyle name="40% - Accent6 14" xfId="24668" xr:uid="{7A96476C-BE5C-4B0C-82AA-57666890A111}"/>
    <cellStyle name="40% - Accent6 15" xfId="24669" xr:uid="{1D037F6E-C5EE-4A7D-A182-21410A953B76}"/>
    <cellStyle name="40% - Accent6 16" xfId="24670" xr:uid="{5742BB05-2702-4AE2-BCB7-2C2F9F75D5F6}"/>
    <cellStyle name="40% - Accent6 17" xfId="24671" xr:uid="{7C05A106-7289-47A4-A304-6851B25E750B}"/>
    <cellStyle name="40% - Accent6 18" xfId="24672" xr:uid="{E6400402-7DF1-459B-B382-9B6D2B2389F0}"/>
    <cellStyle name="40% - Accent6 19" xfId="24673" xr:uid="{03BB5A60-14B6-49BB-80EA-01637832303D}"/>
    <cellStyle name="40% - Accent6 2" xfId="1720" xr:uid="{D4FA15FE-09FF-499E-B749-B346CFC44B3A}"/>
    <cellStyle name="40% - Accent6 2 10" xfId="1721" xr:uid="{C4CB2D0C-CB9E-4384-9D58-0B48A467EFB2}"/>
    <cellStyle name="40% - Accent6 2 10 2" xfId="1722" xr:uid="{739D8872-7940-4A7A-983A-D7614811178B}"/>
    <cellStyle name="40% - Accent6 2 10 3" xfId="1723" xr:uid="{B3F2999E-1F43-46A7-8142-3EF2825B9A08}"/>
    <cellStyle name="40% - Accent6 2 11" xfId="1724" xr:uid="{E57EEA23-3F53-4813-B8A0-D32013409234}"/>
    <cellStyle name="40% - Accent6 2 11 2" xfId="1725" xr:uid="{4C66C6A8-F32C-47D3-96C6-816E5387F8F1}"/>
    <cellStyle name="40% - Accent6 2 11 3" xfId="1726" xr:uid="{9A0B70FD-6EBF-4FA2-B8D3-4701C9548477}"/>
    <cellStyle name="40% - Accent6 2 12" xfId="1727" xr:uid="{7F13076A-E762-4249-B494-95F48F64D669}"/>
    <cellStyle name="40% - Accent6 2 12 2" xfId="1728" xr:uid="{AD59CF4F-2443-4939-85F3-082D50F5DDEC}"/>
    <cellStyle name="40% - Accent6 2 12 3" xfId="1729" xr:uid="{B1E0256F-3B4F-486A-9B2E-402B22E76DD4}"/>
    <cellStyle name="40% - Accent6 2 13" xfId="1730" xr:uid="{FFFFFAB9-A2E3-4851-9740-F94B19A496F6}"/>
    <cellStyle name="40% - Accent6 2 13 2" xfId="1731" xr:uid="{10A9B009-6A1C-43E2-9E2A-5BEA7E1F7FDE}"/>
    <cellStyle name="40% - Accent6 2 14" xfId="1732" xr:uid="{4A2873DD-49D5-48A9-8B9A-6551DD2B0C97}"/>
    <cellStyle name="40% - Accent6 2 15" xfId="1733" xr:uid="{C5EC53C1-B2A6-459A-9F09-8FC1D293BF39}"/>
    <cellStyle name="40% - Accent6 2 16" xfId="24674" xr:uid="{9BC34C41-EBAD-4A11-8B53-298317859295}"/>
    <cellStyle name="40% - Accent6 2 17" xfId="44071" xr:uid="{B97BEA9D-70AF-4A12-BB76-B2B6BECA09B5}"/>
    <cellStyle name="40% - Accent6 2 2" xfId="1734" xr:uid="{2F90ABDB-8909-4122-BDAB-7B74AFFB78FC}"/>
    <cellStyle name="40% - Accent6 2 2 2" xfId="1735" xr:uid="{CDD36951-C1AB-4720-B371-82262A552C07}"/>
    <cellStyle name="40% - Accent6 2 2 3" xfId="1736" xr:uid="{50AEDB48-A2BA-44A1-99D8-D0C10A87FFAE}"/>
    <cellStyle name="40% - Accent6 2 3" xfId="1737" xr:uid="{A2211E0D-9AF5-41E6-A9C7-289DBCC20195}"/>
    <cellStyle name="40% - Accent6 2 3 2" xfId="1738" xr:uid="{FCA4A364-3076-4633-A379-3D1F779A23EC}"/>
    <cellStyle name="40% - Accent6 2 3 3" xfId="1739" xr:uid="{48D10829-AD31-40D9-831B-4B0221485994}"/>
    <cellStyle name="40% - Accent6 2 4" xfId="1740" xr:uid="{2D65D87F-FAAA-4732-BBD7-1C94C6EF8187}"/>
    <cellStyle name="40% - Accent6 2 4 2" xfId="1741" xr:uid="{09634C2A-3862-41A7-9582-BC0264C4B7C8}"/>
    <cellStyle name="40% - Accent6 2 4 3" xfId="1742" xr:uid="{65865737-9B5C-476A-93DD-5A6A7FF7ADF3}"/>
    <cellStyle name="40% - Accent6 2 5" xfId="1743" xr:uid="{8F831656-481E-4562-929E-7307955928FB}"/>
    <cellStyle name="40% - Accent6 2 5 2" xfId="1744" xr:uid="{B6254E43-DF84-428C-BD5D-C837C5C1ACDA}"/>
    <cellStyle name="40% - Accent6 2 5 3" xfId="1745" xr:uid="{E2C4CAC3-0ABE-40C5-BF2D-1B7317D48C19}"/>
    <cellStyle name="40% - Accent6 2 6" xfId="1746" xr:uid="{0FE17B70-938B-4852-82A9-B6B19B5E0072}"/>
    <cellStyle name="40% - Accent6 2 6 2" xfId="1747" xr:uid="{1023F766-A01E-469F-B064-D0AE9E9AFADE}"/>
    <cellStyle name="40% - Accent6 2 6 3" xfId="1748" xr:uid="{5DDAE444-6074-4A23-B57C-12AB5F5DBE5C}"/>
    <cellStyle name="40% - Accent6 2 7" xfId="1749" xr:uid="{CF324969-50E1-4DE2-A0DC-1BC35B83590E}"/>
    <cellStyle name="40% - Accent6 2 7 2" xfId="1750" xr:uid="{F9EC9BCC-0E66-4B7E-89C1-F91020D82BB5}"/>
    <cellStyle name="40% - Accent6 2 7 3" xfId="1751" xr:uid="{AA68D90A-1D58-4352-87E0-8CB143090762}"/>
    <cellStyle name="40% - Accent6 2 8" xfId="1752" xr:uid="{CC191572-FA55-4587-A674-230640E7E638}"/>
    <cellStyle name="40% - Accent6 2 8 2" xfId="1753" xr:uid="{D93C9E02-FFE4-4954-97E7-C6F386445A1C}"/>
    <cellStyle name="40% - Accent6 2 8 3" xfId="1754" xr:uid="{334BC73E-9961-472E-A171-A7176559CC0E}"/>
    <cellStyle name="40% - Accent6 2 9" xfId="1755" xr:uid="{8A3D0D3F-C566-4A0D-9482-38D325EE374F}"/>
    <cellStyle name="40% - Accent6 2 9 2" xfId="1756" xr:uid="{FD5C1136-D79E-4AB5-A722-5261CAA39314}"/>
    <cellStyle name="40% - Accent6 2 9 3" xfId="1757" xr:uid="{65D91BB7-E8F6-4B7D-ABF9-AD9E750F520F}"/>
    <cellStyle name="40% - Accent6 20" xfId="24675" xr:uid="{0C47F253-BDD7-4408-8BB6-96A647E9B0E5}"/>
    <cellStyle name="40% - Accent6 21" xfId="24676" xr:uid="{94EB4B80-6ACE-4328-AF14-4F35AC073CC6}"/>
    <cellStyle name="40% - Accent6 22" xfId="24677" xr:uid="{A1B41986-ADE5-4677-B150-BA67CEFA56AB}"/>
    <cellStyle name="40% - Accent6 23" xfId="24678" xr:uid="{C00AEAE7-42C5-4FB9-91DF-3EBD4DA09FEC}"/>
    <cellStyle name="40% - Accent6 24" xfId="24679" xr:uid="{DA37FD89-5BAD-4700-BE5F-5B6418562C60}"/>
    <cellStyle name="40% - Accent6 25" xfId="24680" xr:uid="{27C47FE6-BE9C-4F8A-A955-F2D000F933F6}"/>
    <cellStyle name="40% - Accent6 26" xfId="24681" xr:uid="{70144AA8-3902-45AF-82FC-CF19622A3AC6}"/>
    <cellStyle name="40% - Accent6 27" xfId="24682" xr:uid="{B67D78BA-1403-4638-96CB-9A750F060BFE}"/>
    <cellStyle name="40% - Accent6 28" xfId="24683" xr:uid="{E05E3349-EC57-4869-8721-526417340503}"/>
    <cellStyle name="40% - Accent6 29" xfId="24684" xr:uid="{52159DE5-18AA-4FE9-8046-4A2B9D0611A9}"/>
    <cellStyle name="40% - Accent6 3" xfId="1758" xr:uid="{F8A7C225-3E64-48B8-B99F-0FBACEDD2123}"/>
    <cellStyle name="40% - Accent6 3 10" xfId="1759" xr:uid="{88F8903A-CBF3-4498-9111-F27718ABD8EF}"/>
    <cellStyle name="40% - Accent6 3 10 2" xfId="1760" xr:uid="{AE67A187-449F-4E3A-8ECB-343A4A50A807}"/>
    <cellStyle name="40% - Accent6 3 11" xfId="1761" xr:uid="{E1A4039F-410D-4B1A-93EB-3375AFCE18E0}"/>
    <cellStyle name="40% - Accent6 3 11 2" xfId="1762" xr:uid="{F7DCFE91-CC37-464E-A217-22B32C65286F}"/>
    <cellStyle name="40% - Accent6 3 12" xfId="1763" xr:uid="{10CEEE73-241C-43A3-8377-0FE238E08545}"/>
    <cellStyle name="40% - Accent6 3 13" xfId="1764" xr:uid="{FF50AB08-E2DD-4C18-8C92-557F00E9FA0B}"/>
    <cellStyle name="40% - Accent6 3 14" xfId="44181" xr:uid="{3C53919B-A756-406D-8BA2-215D55C27300}"/>
    <cellStyle name="40% - Accent6 3 2" xfId="1765" xr:uid="{F13384B3-8A10-4487-95B3-E1DE1C85BD98}"/>
    <cellStyle name="40% - Accent6 3 2 2" xfId="1766" xr:uid="{53AF2E28-359B-47FA-B050-99B85C1640F0}"/>
    <cellStyle name="40% - Accent6 3 2 3" xfId="24685" xr:uid="{2B4331A3-DB2C-4EEE-8D50-1940FB6BA855}"/>
    <cellStyle name="40% - Accent6 3 3" xfId="1767" xr:uid="{CFCFDC54-A3E7-4615-A8CB-3E64027DE722}"/>
    <cellStyle name="40% - Accent6 3 3 2" xfId="1768" xr:uid="{293EB770-2D7E-4665-BFC1-5FBC455375DE}"/>
    <cellStyle name="40% - Accent6 3 3 3" xfId="42266" xr:uid="{3DFFACCB-A842-482E-8114-7F74C68C0686}"/>
    <cellStyle name="40% - Accent6 3 4" xfId="1769" xr:uid="{FA65532E-4425-4AAD-AE44-0A30BB4B1907}"/>
    <cellStyle name="40% - Accent6 3 4 2" xfId="1770" xr:uid="{5CB2CCD5-D951-435F-A2CD-A8AC31247D4B}"/>
    <cellStyle name="40% - Accent6 3 5" xfId="1771" xr:uid="{2257F216-803B-428B-AB87-041EF6583D6C}"/>
    <cellStyle name="40% - Accent6 3 5 2" xfId="1772" xr:uid="{DC149C5B-430F-4029-8521-C7CD46077130}"/>
    <cellStyle name="40% - Accent6 3 6" xfId="1773" xr:uid="{2D4B7EF7-53BB-4D2E-A8C4-72DBF8E1B462}"/>
    <cellStyle name="40% - Accent6 3 6 2" xfId="1774" xr:uid="{AFA9A2B4-406F-41F4-B788-01BF2442C58B}"/>
    <cellStyle name="40% - Accent6 3 7" xfId="1775" xr:uid="{1C63FF96-E672-48F2-95F2-9DC1746C560F}"/>
    <cellStyle name="40% - Accent6 3 7 2" xfId="1776" xr:uid="{113A4EB9-1DCD-4252-B735-26B35F52C224}"/>
    <cellStyle name="40% - Accent6 3 8" xfId="1777" xr:uid="{04A6C63C-8B2A-4CF8-80BB-A73F098978CC}"/>
    <cellStyle name="40% - Accent6 3 8 2" xfId="1778" xr:uid="{9F79EDEF-36A0-461A-8922-ECC080C8DD58}"/>
    <cellStyle name="40% - Accent6 3 9" xfId="1779" xr:uid="{09BCB1C3-0F06-4F17-908E-E8BEEE50DA1C}"/>
    <cellStyle name="40% - Accent6 3 9 2" xfId="1780" xr:uid="{3A457737-0948-471B-9198-F599102A7EDC}"/>
    <cellStyle name="40% - Accent6 30" xfId="24686" xr:uid="{28D481E1-0E3B-42A1-A05D-92B0BD46E09D}"/>
    <cellStyle name="40% - Accent6 31" xfId="24687" xr:uid="{6E1129DF-2627-4EC2-8FBE-8F33EA0CC72E}"/>
    <cellStyle name="40% - Accent6 32" xfId="24688" xr:uid="{4A719A82-A93A-48D6-9701-86640239365D}"/>
    <cellStyle name="40% - Accent6 33" xfId="24689" xr:uid="{386BEF9C-1292-486A-A700-3FD2589F4853}"/>
    <cellStyle name="40% - Accent6 34" xfId="24690" xr:uid="{49B1C0A2-3DF9-474A-900E-1A0CDE120A54}"/>
    <cellStyle name="40% - Accent6 35" xfId="24691" xr:uid="{FF8EFB36-12C5-4894-B484-EAFF999F2E1E}"/>
    <cellStyle name="40% - Accent6 36" xfId="24692" xr:uid="{2BBBFCDE-4DDD-4338-AE55-3D1E8CE67BC2}"/>
    <cellStyle name="40% - Accent6 37" xfId="24693" xr:uid="{E9791547-4F31-4575-B5FF-D7458AFEC347}"/>
    <cellStyle name="40% - Accent6 38" xfId="24694" xr:uid="{FAF6ED9F-F86B-4E35-BB2C-A0682FD42947}"/>
    <cellStyle name="40% - Accent6 39" xfId="24695" xr:uid="{399FC168-4355-4686-AE43-CABA690FDB1E}"/>
    <cellStyle name="40% - Accent6 4" xfId="1781" xr:uid="{0213080B-1B26-466B-ADC9-7193F5ABB232}"/>
    <cellStyle name="40% - Accent6 4 10" xfId="1782" xr:uid="{1CED9850-7CE3-438D-84B4-849764A98BCA}"/>
    <cellStyle name="40% - Accent6 4 10 2" xfId="1783" xr:uid="{7EB43C2E-2DE3-45D3-B64F-94B12FEF7BDE}"/>
    <cellStyle name="40% - Accent6 4 11" xfId="1784" xr:uid="{9BB40C99-3F74-4DFA-9EAF-A448C1930503}"/>
    <cellStyle name="40% - Accent6 4 11 2" xfId="1785" xr:uid="{CC8401B5-9B1F-4EB9-94CC-E04A97EA4F06}"/>
    <cellStyle name="40% - Accent6 4 12" xfId="1786" xr:uid="{12747A45-C25D-40F4-8BCC-20F7311B6C6D}"/>
    <cellStyle name="40% - Accent6 4 13" xfId="1787" xr:uid="{025F5F23-2F2A-4F2A-A608-DC5AFDEED062}"/>
    <cellStyle name="40% - Accent6 4 2" xfId="1788" xr:uid="{8B1325FB-C8AD-41E5-A1D9-A5995AFA1AB2}"/>
    <cellStyle name="40% - Accent6 4 2 2" xfId="1789" xr:uid="{652019D7-28B7-4C9A-8833-957F8D23958E}"/>
    <cellStyle name="40% - Accent6 4 2 3" xfId="24696" xr:uid="{2F245DC1-018D-490E-B671-EC12C8B876BF}"/>
    <cellStyle name="40% - Accent6 4 3" xfId="1790" xr:uid="{030CA682-FC03-4C6C-9B49-3FC0E04261C4}"/>
    <cellStyle name="40% - Accent6 4 3 2" xfId="1791" xr:uid="{7753E9A6-4538-482B-960C-8CBF98FECF5A}"/>
    <cellStyle name="40% - Accent6 4 4" xfId="1792" xr:uid="{E806A137-BB93-40CE-8354-FD7A7AB67B10}"/>
    <cellStyle name="40% - Accent6 4 4 2" xfId="1793" xr:uid="{A4DAD5D4-8C90-4ADC-A0FD-73B4B306208D}"/>
    <cellStyle name="40% - Accent6 4 5" xfId="1794" xr:uid="{0CAB1063-4DB5-478F-8F43-D019B11614ED}"/>
    <cellStyle name="40% - Accent6 4 5 2" xfId="1795" xr:uid="{E894774D-4D70-4C55-BFB9-DEEF887A01A8}"/>
    <cellStyle name="40% - Accent6 4 6" xfId="1796" xr:uid="{F330211D-9A49-4FA1-85AD-081373F00C47}"/>
    <cellStyle name="40% - Accent6 4 6 2" xfId="1797" xr:uid="{2426D1FA-514B-4DD7-8D1B-21B871B232EE}"/>
    <cellStyle name="40% - Accent6 4 7" xfId="1798" xr:uid="{B735AB5A-3431-44B7-BE13-8964A66F0EC9}"/>
    <cellStyle name="40% - Accent6 4 7 2" xfId="1799" xr:uid="{006BD8FA-CC5F-452C-BE29-D9A41DCFFF71}"/>
    <cellStyle name="40% - Accent6 4 8" xfId="1800" xr:uid="{E5911153-6DC6-48D2-A35D-905DAF9BE9E2}"/>
    <cellStyle name="40% - Accent6 4 8 2" xfId="1801" xr:uid="{E437FCCB-1879-4680-BAF2-F2B38BAC103E}"/>
    <cellStyle name="40% - Accent6 4 9" xfId="1802" xr:uid="{E9433974-4A80-4EF0-A554-DD827DE78279}"/>
    <cellStyle name="40% - Accent6 4 9 2" xfId="1803" xr:uid="{EB9B2419-B312-428F-B4EA-6772618042D6}"/>
    <cellStyle name="40% - Accent6 40" xfId="24697" xr:uid="{A92C9D56-E285-404F-9353-FD3CAEFA68A2}"/>
    <cellStyle name="40% - Accent6 41" xfId="24698" xr:uid="{816B364B-BE51-4613-B458-DE15DC0337B9}"/>
    <cellStyle name="40% - Accent6 42" xfId="24699" xr:uid="{F7DE375C-DA0A-4DBE-B603-313D61D3E1C9}"/>
    <cellStyle name="40% - Accent6 43" xfId="24700" xr:uid="{74368EB7-7E76-4F88-9949-A5CB62461E5C}"/>
    <cellStyle name="40% - Accent6 44" xfId="45874" xr:uid="{18B85E87-C72D-4924-B209-036BAC2C6F85}"/>
    <cellStyle name="40% - Accent6 45" xfId="45893" xr:uid="{D024360E-A3AF-477B-99C2-C8FCBF42F510}"/>
    <cellStyle name="40% - Accent6 5" xfId="1804" xr:uid="{4FA50D3D-EC59-4895-9D1C-E4D1E6415D5E}"/>
    <cellStyle name="40% - Accent6 5 10" xfId="1805" xr:uid="{E1EBE203-F799-429C-B421-FC284E950AE3}"/>
    <cellStyle name="40% - Accent6 5 10 2" xfId="1806" xr:uid="{A857127F-4C67-46E8-B1EF-5511C02EDBA5}"/>
    <cellStyle name="40% - Accent6 5 11" xfId="1807" xr:uid="{AFAE5C63-37FC-4E02-90D0-60DB8B848112}"/>
    <cellStyle name="40% - Accent6 5 11 2" xfId="1808" xr:uid="{BEB1B2E2-A555-47BB-85E3-2C96EF044576}"/>
    <cellStyle name="40% - Accent6 5 12" xfId="1809" xr:uid="{4E7B0D49-A2A2-4368-B529-E5A5BE3875E3}"/>
    <cellStyle name="40% - Accent6 5 13" xfId="1810" xr:uid="{DC446FC8-76A3-4EB6-8ECD-5D78C42408E7}"/>
    <cellStyle name="40% - Accent6 5 2" xfId="1811" xr:uid="{789F35BB-AFA2-4B6E-9B78-3ACD781DE666}"/>
    <cellStyle name="40% - Accent6 5 2 2" xfId="1812" xr:uid="{1C3D3D59-CDCB-442A-B978-C575B6F9111C}"/>
    <cellStyle name="40% - Accent6 5 2 3" xfId="24701" xr:uid="{F31DAEF6-6359-48D4-9B0C-CFF9A2F53AEF}"/>
    <cellStyle name="40% - Accent6 5 3" xfId="1813" xr:uid="{2E07D442-1A60-454C-BED7-D5ABA64E574D}"/>
    <cellStyle name="40% - Accent6 5 3 2" xfId="1814" xr:uid="{D1A26E52-FB63-4F5D-8911-DED223043EF7}"/>
    <cellStyle name="40% - Accent6 5 4" xfId="1815" xr:uid="{0B4468DB-CC1B-4B1C-B79C-CBA6B4C9D680}"/>
    <cellStyle name="40% - Accent6 5 4 2" xfId="1816" xr:uid="{9382B8AC-9BB4-4D31-950C-011F074425CC}"/>
    <cellStyle name="40% - Accent6 5 5" xfId="1817" xr:uid="{C426C3D3-5DA9-45E8-8BE7-DA5BEC2D8ADA}"/>
    <cellStyle name="40% - Accent6 5 5 2" xfId="1818" xr:uid="{2B986519-8A54-40E6-88FC-0640441E5506}"/>
    <cellStyle name="40% - Accent6 5 6" xfId="1819" xr:uid="{1E4C7E0A-5734-413A-B72B-A915ACDD7D7B}"/>
    <cellStyle name="40% - Accent6 5 6 2" xfId="1820" xr:uid="{A1612B1C-4167-4C8E-B6E1-CF29A80B7E19}"/>
    <cellStyle name="40% - Accent6 5 7" xfId="1821" xr:uid="{0C18D7A8-0D47-41F7-B291-36CAF5EF6A12}"/>
    <cellStyle name="40% - Accent6 5 7 2" xfId="1822" xr:uid="{23E7094E-05CE-4622-AE3F-28BE5422F1E3}"/>
    <cellStyle name="40% - Accent6 5 8" xfId="1823" xr:uid="{5273C43B-F1C4-402B-BFFD-285E2FBC147D}"/>
    <cellStyle name="40% - Accent6 5 8 2" xfId="1824" xr:uid="{814AD67C-DC16-4162-968D-F4D9626BFBC7}"/>
    <cellStyle name="40% - Accent6 5 9" xfId="1825" xr:uid="{97530516-96FD-439F-A34F-97CEA9892971}"/>
    <cellStyle name="40% - Accent6 5 9 2" xfId="1826" xr:uid="{80020743-032D-4AF9-A37B-1A59CC0EF0BF}"/>
    <cellStyle name="40% - Accent6 6" xfId="1827" xr:uid="{FEFE2455-29D6-4CFC-B557-70F592201847}"/>
    <cellStyle name="40% - Accent6 6 10" xfId="1828" xr:uid="{41CB2371-4CC2-45C2-97DD-1D5CCE5C36C5}"/>
    <cellStyle name="40% - Accent6 6 10 2" xfId="1829" xr:uid="{0B75EA09-6F93-4323-B160-BAEDCA334597}"/>
    <cellStyle name="40% - Accent6 6 11" xfId="1830" xr:uid="{814B4F25-BD49-4842-9FCC-8D51C77E3E94}"/>
    <cellStyle name="40% - Accent6 6 11 2" xfId="1831" xr:uid="{9FEBC9FB-49E8-4A1E-BA5E-FB1AA4E0BB5F}"/>
    <cellStyle name="40% - Accent6 6 12" xfId="1832" xr:uid="{75EA7CE1-E637-4299-B18C-492645B51051}"/>
    <cellStyle name="40% - Accent6 6 13" xfId="1833" xr:uid="{350FF8DE-41F7-4241-997A-DF41A073E6B2}"/>
    <cellStyle name="40% - Accent6 6 2" xfId="1834" xr:uid="{0BB80A0E-DFAB-431B-9B8B-9A8EF8D33F35}"/>
    <cellStyle name="40% - Accent6 6 2 2" xfId="1835" xr:uid="{331E5C40-4409-44F5-B247-FFDCC6DD25DD}"/>
    <cellStyle name="40% - Accent6 6 2 3" xfId="24702" xr:uid="{544260EA-7291-44D3-82AF-562DBEFF0E7B}"/>
    <cellStyle name="40% - Accent6 6 3" xfId="1836" xr:uid="{086151FA-D8A0-4C1A-ADA7-DB86EAD9946A}"/>
    <cellStyle name="40% - Accent6 6 3 2" xfId="1837" xr:uid="{8732BC9C-F90B-4515-BFE7-B0DBB64ED32B}"/>
    <cellStyle name="40% - Accent6 6 4" xfId="1838" xr:uid="{90A07ACD-1FA6-472F-9ECF-6369E790DCEC}"/>
    <cellStyle name="40% - Accent6 6 4 2" xfId="1839" xr:uid="{86D3BDC9-FB37-419C-B84B-0DA123EB9F0E}"/>
    <cellStyle name="40% - Accent6 6 5" xfId="1840" xr:uid="{FD1C8FDA-6ED4-474E-8F37-A8161A3032D0}"/>
    <cellStyle name="40% - Accent6 6 5 2" xfId="1841" xr:uid="{7FE0B1E3-F3F5-45F5-8388-702FB7BC31D8}"/>
    <cellStyle name="40% - Accent6 6 6" xfId="1842" xr:uid="{06BF199F-3B65-477F-9775-3873F1FDE78A}"/>
    <cellStyle name="40% - Accent6 6 6 2" xfId="1843" xr:uid="{EAE8BDAD-7D9B-479A-A154-F6C3DB43C433}"/>
    <cellStyle name="40% - Accent6 6 7" xfId="1844" xr:uid="{12C273A2-62DD-478A-959E-1BD704DEB840}"/>
    <cellStyle name="40% - Accent6 6 7 2" xfId="1845" xr:uid="{843613EA-C83E-45E4-9217-9151BAFC051F}"/>
    <cellStyle name="40% - Accent6 6 8" xfId="1846" xr:uid="{7FFE992B-C5AF-4C84-974C-6DED470B828C}"/>
    <cellStyle name="40% - Accent6 6 8 2" xfId="1847" xr:uid="{2748E0BB-C1F3-4F7C-9C4A-3EA5C1DD3D06}"/>
    <cellStyle name="40% - Accent6 6 9" xfId="1848" xr:uid="{B148D878-9059-415C-93A3-924C73BB6064}"/>
    <cellStyle name="40% - Accent6 6 9 2" xfId="1849" xr:uid="{A87ADB09-B418-410B-A74B-D1A20FAA32DE}"/>
    <cellStyle name="40% - Accent6 7" xfId="1850" xr:uid="{FEB777C1-B9E5-466F-B222-5A9D6141909A}"/>
    <cellStyle name="40% - Accent6 7 2" xfId="1851" xr:uid="{417892EB-F4D8-48D9-86DA-35604BDB802F}"/>
    <cellStyle name="40% - Accent6 7 2 2" xfId="24703" xr:uid="{2099888A-DBA5-4C48-886F-F200834DD849}"/>
    <cellStyle name="40% - Accent6 7 3" xfId="1852" xr:uid="{31233A80-93A5-4100-99B9-23773150F0B7}"/>
    <cellStyle name="40% - Accent6 7 3 2" xfId="24704" xr:uid="{9057E015-F1AF-4747-AE6E-DB84704CB53F}"/>
    <cellStyle name="40% - Accent6 8" xfId="1853" xr:uid="{CC55240A-85D3-4D90-B171-72D1EB49FAD0}"/>
    <cellStyle name="40% - Accent6 8 2" xfId="1854" xr:uid="{04E37A2F-3BEF-4FF9-8EB3-5FC74733A7AE}"/>
    <cellStyle name="40% - Accent6 8 2 2" xfId="24705" xr:uid="{2BA24BDE-5857-47E3-8227-C90000411307}"/>
    <cellStyle name="40% - Accent6 8 3" xfId="1855" xr:uid="{8F8C9E37-D804-4059-AE71-1A31094278D0}"/>
    <cellStyle name="40% - Accent6 8 3 2" xfId="24706" xr:uid="{DF15978F-72DC-47C5-A218-BBEC1CFB3D07}"/>
    <cellStyle name="40% - Accent6 9" xfId="1856" xr:uid="{28410057-41F7-4B6E-9261-63FDDE9B4B95}"/>
    <cellStyle name="40% - Accent6 9 2" xfId="1857" xr:uid="{4F6FC6AE-CAA8-49DC-B859-E04FA2DA6A02}"/>
    <cellStyle name="40% - Akzent1" xfId="1858" xr:uid="{B108CC76-3492-4C5C-B6C6-E59D59A66BC6}"/>
    <cellStyle name="40% - Akzent1 2" xfId="1859" xr:uid="{D8008957-66EC-4B9A-BD01-4AC09398A5C1}"/>
    <cellStyle name="40% - Akzent2" xfId="1860" xr:uid="{C4FC61AB-B7FD-4CE8-93B9-F2A59BEF8D70}"/>
    <cellStyle name="40% - Akzent2 2" xfId="1861" xr:uid="{E14FA880-1D35-4272-BBB6-45C1477B33C2}"/>
    <cellStyle name="40% - Akzent3" xfId="1862" xr:uid="{D028C0CD-4C3C-463E-AC3F-EB899FB199AE}"/>
    <cellStyle name="40% - Akzent3 2" xfId="1863" xr:uid="{725E7C00-1395-4888-A183-4025BEB16DE4}"/>
    <cellStyle name="40% - Akzent4" xfId="1864" xr:uid="{EF046960-21F9-4892-B65E-61938AEAB8DA}"/>
    <cellStyle name="40% - Akzent4 2" xfId="1865" xr:uid="{66C6E086-AA8E-42B7-8148-E8DC8138347C}"/>
    <cellStyle name="40% - Akzent5" xfId="1866" xr:uid="{E615EF7A-80C7-4D68-B736-33B3600AE3C1}"/>
    <cellStyle name="40% - Akzent5 2" xfId="1867" xr:uid="{401DA3C7-FB41-4BE0-B33A-5B4A6B8E736E}"/>
    <cellStyle name="40% - Akzent6" xfId="1868" xr:uid="{996221A4-7118-490B-83C3-D6D0E13AC564}"/>
    <cellStyle name="40% - Akzent6 2" xfId="1869" xr:uid="{CD65D460-0260-4E6B-A1FB-5A679D8F0178}"/>
    <cellStyle name="5x indented GHG Textfiels" xfId="100" xr:uid="{4FC27717-6420-4889-82FF-F986297D46D7}"/>
    <cellStyle name="5x indented GHG Textfiels 2" xfId="1876" xr:uid="{35C65851-55F3-4E3E-9061-C43A1D9BF66B}"/>
    <cellStyle name="5x indented GHG Textfiels 2 2" xfId="24707" xr:uid="{27A4720E-C4D2-4055-9FD6-902AA750953F}"/>
    <cellStyle name="5x indented GHG Textfiels 2 2 2" xfId="44073" xr:uid="{311D2313-933A-4D6A-B71F-66918AC6589E}"/>
    <cellStyle name="5x indented GHG Textfiels 2 3" xfId="44072" xr:uid="{17233646-F7F4-4927-8D29-FF225D9BBEE2}"/>
    <cellStyle name="5x indented GHG Textfiels 3" xfId="24708" xr:uid="{26702760-ED01-4B16-9C58-E774C8DA46F0}"/>
    <cellStyle name="5x indented GHG Textfiels 3 2" xfId="44359" xr:uid="{615C080B-0104-480D-AF5F-1227A95C641F}"/>
    <cellStyle name="5x indented GHG Textfiels 3 2 2" xfId="45659" xr:uid="{9A9F8054-6849-4B24-9405-4B61786CBD6A}"/>
    <cellStyle name="5x indented GHG Textfiels 3 3" xfId="44310" xr:uid="{FE878A43-0A8A-4699-875F-A94D031B0761}"/>
    <cellStyle name="5x indented GHG Textfiels 3 3 2" xfId="44583" xr:uid="{4F3BEC5C-1D32-4B71-A2CF-4D5FF302D165}"/>
    <cellStyle name="5x indented GHG Textfiels 3 3 2 2" xfId="44796" xr:uid="{2E030307-78ED-45EE-A8E6-89B5CD8A5D7E}"/>
    <cellStyle name="5x indented GHG Textfiels 3 3 2 2 2" xfId="44398" xr:uid="{3D7B7310-836C-4F2D-A477-5A575D2F9414}"/>
    <cellStyle name="5x indented GHG Textfiels 3 3 2 2 3" xfId="45079" xr:uid="{6383C1B7-B14C-48EA-802F-5F3F90FC5C9D}"/>
    <cellStyle name="5x indented GHG Textfiels 3 3 2 2 4" xfId="45748" xr:uid="{AE3B40E1-516D-4412-A846-780AFE9C5E4A}"/>
    <cellStyle name="5x indented GHG Textfiels 3 3 2 3" xfId="45242" xr:uid="{4F708BD5-4E4B-4BA3-A1AE-17ABEB77DF3C}"/>
    <cellStyle name="5x indented GHG Textfiels 3 3 2 4" xfId="45503" xr:uid="{CBB67D34-1F81-4961-9484-2E88C978E721}"/>
    <cellStyle name="5x indented GHG Textfiels 3 3 2 5" xfId="45696" xr:uid="{8B8D9ACD-26AD-4696-9B43-9E3C5D425BD1}"/>
    <cellStyle name="5x indented GHG Textfiels 3 3 3" xfId="44531" xr:uid="{B360EBF2-67D1-47AB-AAE1-94A9A7C036BE}"/>
    <cellStyle name="5x indented GHG Textfiels 3 3 3 2" xfId="44744" xr:uid="{6FA7D02C-4511-426A-9679-789D173C261D}"/>
    <cellStyle name="5x indented GHG Textfiels 3 3 3 2 2" xfId="45205" xr:uid="{5B376774-93C7-4952-BD54-00660E2CC628}"/>
    <cellStyle name="5x indented GHG Textfiels 3 3 3 2 3" xfId="45479" xr:uid="{6E4B7CA7-AABE-4129-AE55-87A833FFD09C}"/>
    <cellStyle name="5x indented GHG Textfiels 3 3 3 2 4" xfId="45736" xr:uid="{84057267-F6C0-4CE2-94AF-4218420E891C}"/>
    <cellStyle name="5x indented GHG Textfiels 3 3 3 3" xfId="45201" xr:uid="{62F41782-E29F-47DA-B5F3-DA8013521557}"/>
    <cellStyle name="5x indented GHG Textfiels 3 3 3 4" xfId="45475" xr:uid="{9FC80230-B839-4EE8-BE5C-F83E39D02F9E}"/>
    <cellStyle name="5x indented GHG Textfiels 3 3 3 5" xfId="45682" xr:uid="{02FED0CD-4342-4426-8748-AA57D97DE717}"/>
    <cellStyle name="5x indented GHG Textfiels 3 3 4" xfId="44614" xr:uid="{3082792E-CB59-4480-9A00-DD5B7B7A9271}"/>
    <cellStyle name="5x indented GHG Textfiels 3 3 4 2" xfId="44827" xr:uid="{45848132-D3FE-4FA2-A312-9631274F14A9}"/>
    <cellStyle name="5x indented GHG Textfiels 3 3 4 2 2" xfId="45382" xr:uid="{AAB01BCB-5E1C-40B2-9BC3-89C3CBAF5065}"/>
    <cellStyle name="5x indented GHG Textfiels 3 3 4 2 3" xfId="45596" xr:uid="{8AC00EB6-6A06-4D79-9275-129CC2199F2A}"/>
    <cellStyle name="5x indented GHG Textfiels 3 3 4 2 4" xfId="45756" xr:uid="{ED2D01FE-2567-43AD-AFE9-C3EAA32B2F0E}"/>
    <cellStyle name="5x indented GHG Textfiels 3 3 4 3" xfId="44921" xr:uid="{9280DC9C-43E1-4720-BA41-BE1C04275648}"/>
    <cellStyle name="5x indented GHG Textfiels 3 3 4 4" xfId="44985" xr:uid="{A3ECBCD8-886B-4CC9-8F15-C9D93FF297F2}"/>
    <cellStyle name="5x indented GHG Textfiels 3 3 4 5" xfId="45705" xr:uid="{3688D20B-602B-46BD-8DC6-17BED5367D9E}"/>
    <cellStyle name="5x indented GHG Textfiels 3 3 5" xfId="44650" xr:uid="{57894C8B-EBDD-4D08-95E5-590683573393}"/>
    <cellStyle name="5x indented GHG Textfiels 3 3 5 2" xfId="45720" xr:uid="{73D30C11-1490-4BE0-B45E-4A0DBA61A259}"/>
    <cellStyle name="5x indented GHG Textfiels 3 3 6" xfId="45147" xr:uid="{A2ABF7EE-C206-41CC-A4D1-3B3B2ED6CB89}"/>
    <cellStyle name="5x indented GHG Textfiels 3 3 7" xfId="45439" xr:uid="{C79047F7-5959-4830-81BD-98A9061424C4}"/>
    <cellStyle name="5x indented GHG Textfiels 3 3 8" xfId="45658" xr:uid="{857DA9AA-B45B-43CE-9CFB-82B805DBFDF7}"/>
    <cellStyle name="5x indented GHG Textfiels 3 4" xfId="44074" xr:uid="{9B4454B9-C218-4FEB-A780-92425C5DBF2D}"/>
    <cellStyle name="5x indented GHG Textfiels 3 5" xfId="45644" xr:uid="{6AEAFC77-55B7-4CCD-944A-FCCAC03635C8}"/>
    <cellStyle name="5x indented GHG Textfiels 4" xfId="42267" xr:uid="{7F7439EF-2824-4C5E-B9B8-B00E39BE8088}"/>
    <cellStyle name="5x indented GHG Textfiels_Table 4(II)" xfId="44162" xr:uid="{C1651C95-45CA-443C-BF2D-36E078EE6CBD}"/>
    <cellStyle name="60 % - Akzent1" xfId="44290" hidden="1" xr:uid="{ED892E99-CDC0-479D-8A32-AC5A78F20286}"/>
    <cellStyle name="60 % - Akzent1" xfId="44027" hidden="1" xr:uid="{9C418EBA-432D-4EEA-B248-C0C29277E532}"/>
    <cellStyle name="60 % - Akzent1" xfId="45663" hidden="1" xr:uid="{8723DEE6-C574-4422-95AF-494EDEBAACA3}"/>
    <cellStyle name="60 % - Akzent1" xfId="45331" hidden="1" xr:uid="{FDD27CC2-84D3-425F-B21A-B6323F2AF464}"/>
    <cellStyle name="60 % - Akzent1" xfId="45030" hidden="1" xr:uid="{CE476123-FBA5-438B-B274-678AC398F4BF}"/>
    <cellStyle name="60 % - Akzent1" xfId="45618" hidden="1" xr:uid="{936BC4B7-F6C6-408C-9E5A-3F2318614834}"/>
    <cellStyle name="60 % - Akzent1" xfId="45559" hidden="1" xr:uid="{5FBC9B4A-3867-4A0A-91E1-BEA045F510AB}"/>
    <cellStyle name="60 % - Akzent1 2" xfId="44344" xr:uid="{65C522B6-2495-4645-B9E9-C9D5D11495BC}"/>
    <cellStyle name="60 % - Akzent1 3" xfId="44225" xr:uid="{F1434CAA-1FDD-4631-A868-E6B545899603}"/>
    <cellStyle name="60 % - Akzent2" xfId="44382" hidden="1" xr:uid="{82546FEA-351E-4EEC-88CF-DBD47930514A}"/>
    <cellStyle name="60 % - Akzent2" xfId="44031" hidden="1" xr:uid="{796A34E5-085D-41F3-A173-4A5B2EE37BCE}"/>
    <cellStyle name="60 % - Akzent2" xfId="45534" hidden="1" xr:uid="{057FF57A-604C-4047-B83D-B9B1EF87B138}"/>
    <cellStyle name="60 % - Akzent2" xfId="45298" hidden="1" xr:uid="{42CF3EE7-73E4-4D63-98C9-1D00F5D502A3}"/>
    <cellStyle name="60 % - Akzent2" xfId="44315" hidden="1" xr:uid="{2BE1A2AF-25E2-443D-AF9C-F76D73DB863C}"/>
    <cellStyle name="60 % - Akzent2" xfId="45698" hidden="1" xr:uid="{08295853-BE33-4284-A99F-1B68C2DADBA6}"/>
    <cellStyle name="60 % - Akzent2" xfId="45621" hidden="1" xr:uid="{3EA6E447-6056-422D-8D7F-25667E559186}"/>
    <cellStyle name="60 % - Akzent2 2" xfId="44345" xr:uid="{14FDE582-405F-4B49-A8C1-3691447F89D6}"/>
    <cellStyle name="60 % - Akzent2 3" xfId="44226" xr:uid="{E680043D-00B7-4D0E-9CCA-7F4EA6D0B178}"/>
    <cellStyle name="60 % - Akzent3" xfId="44280" hidden="1" xr:uid="{1DFE4F85-2606-473A-8F42-B7191CF67DF7}"/>
    <cellStyle name="60 % - Akzent3" xfId="44035" hidden="1" xr:uid="{3993FD4E-4BB9-41AD-AB76-4BC20975CF74}"/>
    <cellStyle name="60 % - Akzent3" xfId="45224" hidden="1" xr:uid="{48BD4534-19FF-4F67-A160-95B651FDA2BB}"/>
    <cellStyle name="60 % - Akzent3" xfId="45195" hidden="1" xr:uid="{07934A2B-CB8E-474B-971B-70770E5E70F0}"/>
    <cellStyle name="60 % - Akzent3" xfId="45488" hidden="1" xr:uid="{BEF09D6D-C299-40AC-9702-EBEBFAA2B5A3}"/>
    <cellStyle name="60 % - Akzent3" xfId="45711" hidden="1" xr:uid="{69E6E9C9-F21D-44FC-B831-BD5FDDDA7D9D}"/>
    <cellStyle name="60 % - Akzent3" xfId="45624" hidden="1" xr:uid="{4A440ACA-3C91-438B-AA3A-FEB6F201861C}"/>
    <cellStyle name="60 % - Akzent3 2" xfId="44346" xr:uid="{03365A00-9C6C-4DFC-ABCD-174B33ADA616}"/>
    <cellStyle name="60 % - Akzent3 3" xfId="44227" xr:uid="{2AC370C9-C5AF-46DF-AE60-52B56159AC65}"/>
    <cellStyle name="60 % - Akzent4" xfId="44285" hidden="1" xr:uid="{357C7939-5B7C-4916-8B72-ED7646BCFCFB}"/>
    <cellStyle name="60 % - Akzent4" xfId="44039" hidden="1" xr:uid="{1DD64768-02CF-4559-81F1-8F3BBB15C4FB}"/>
    <cellStyle name="60 % - Akzent4" xfId="45144" hidden="1" xr:uid="{8324D704-40AF-479B-9BA9-C2AAB1F1D2F5}"/>
    <cellStyle name="60 % - Akzent4" xfId="45025" hidden="1" xr:uid="{679BD9F2-9CF2-40EE-9BFB-2C835C36ED53}"/>
    <cellStyle name="60 % - Akzent4" xfId="45437" hidden="1" xr:uid="{B461FB22-6644-4F1F-91AA-3056B96C29EF}"/>
    <cellStyle name="60 % - Akzent4" xfId="45676" hidden="1" xr:uid="{A67C4F70-1003-4470-A738-ADCCD9B3EAA9}"/>
    <cellStyle name="60 % - Akzent4" xfId="45627" hidden="1" xr:uid="{A98D614D-774D-4F8C-BCA0-1421664137E0}"/>
    <cellStyle name="60 % - Akzent4 2" xfId="44347" xr:uid="{3D00131A-A587-4A45-A399-7AC006FEFD76}"/>
    <cellStyle name="60 % - Akzent4 3" xfId="44228" xr:uid="{F2D67BD0-C931-4EF2-BC35-935AFCC90D43}"/>
    <cellStyle name="60 % - Akzent5" xfId="44400" hidden="1" xr:uid="{FB15ADCB-F63C-44F2-90CA-3D23A4E2F7DB}"/>
    <cellStyle name="60 % - Akzent5" xfId="44042" hidden="1" xr:uid="{9CE1A962-32D7-47D8-B65A-E4F3D074E272}"/>
    <cellStyle name="60 % - Akzent5" xfId="45197" hidden="1" xr:uid="{3204EAFC-797F-47EB-8C09-D3333D1EBF0A}"/>
    <cellStyle name="60 % - Akzent5" xfId="44986" hidden="1" xr:uid="{37DE433D-16CE-44CC-A9B4-B46EE80B606F}"/>
    <cellStyle name="60 % - Akzent5" xfId="45472" hidden="1" xr:uid="{3D848A7D-571A-4B1F-9FFA-82D3BD19313B}"/>
    <cellStyle name="60 % - Akzent5" xfId="45686" hidden="1" xr:uid="{6A6BF292-CC8B-4250-A372-7DF86496E532}"/>
    <cellStyle name="60 % - Akzent5" xfId="45630" hidden="1" xr:uid="{737DA3D2-9ABD-4030-9E59-D258FA01B0E9}"/>
    <cellStyle name="60 % - Akzent5 2" xfId="44348" xr:uid="{029B3664-6A2A-45CB-9C58-AE09C7BF0FAC}"/>
    <cellStyle name="60 % - Akzent5 3" xfId="44229" xr:uid="{BBE2382C-97B3-4BC5-88B1-C6B789D53959}"/>
    <cellStyle name="60 % - Akzent6" xfId="44269" hidden="1" xr:uid="{C33F0EE6-6201-4980-B41F-01ABDE9E3E64}"/>
    <cellStyle name="60 % - Akzent6" xfId="44045" hidden="1" xr:uid="{11EBF84D-FDE2-4183-8912-4FD884AE086B}"/>
    <cellStyle name="60 % - Akzent6" xfId="45219" hidden="1" xr:uid="{332C30B5-95E5-4403-8AA1-609866A17659}"/>
    <cellStyle name="60 % - Akzent6" xfId="45209" hidden="1" xr:uid="{75FF72BE-D696-4C43-8ED7-C7A8473F448A}"/>
    <cellStyle name="60 % - Akzent6" xfId="45485" hidden="1" xr:uid="{8969EB9F-4CD9-430D-ACD4-2ACEE6947941}"/>
    <cellStyle name="60 % - Akzent6" xfId="45675" hidden="1" xr:uid="{B1FCD98E-A6D7-4374-962E-569B824BA63A}"/>
    <cellStyle name="60 % - Akzent6" xfId="45633" hidden="1" xr:uid="{914AF80D-45ED-4A39-B022-9A64C4BE460E}"/>
    <cellStyle name="60 % - Akzent6 2" xfId="44349" xr:uid="{F1AA8769-82FD-41F2-8E27-A00AFC5117C4}"/>
    <cellStyle name="60 % - Akzent6 3" xfId="44230" xr:uid="{B5A29597-5FF3-44F1-8C63-ABD9A8A8DE74}"/>
    <cellStyle name="60 % - Accent1" xfId="1877" xr:uid="{28C079B9-D632-400C-ADC3-99A23577CC46}"/>
    <cellStyle name="60 % - Accent2" xfId="1878" xr:uid="{C667A907-C279-488C-83FB-9757B3D59C24}"/>
    <cellStyle name="60 % - Accent3" xfId="1879" xr:uid="{92FE84CF-4326-4C02-B17D-6164BDB046BC}"/>
    <cellStyle name="60 % - Accent4" xfId="1880" xr:uid="{206B6772-1D7E-40AF-8222-A7923FB91523}"/>
    <cellStyle name="60 % - Accent5" xfId="1881" xr:uid="{3B7563E6-7B2C-487A-A678-6000B3D0AFC5}"/>
    <cellStyle name="60 % - Accent6" xfId="1882" xr:uid="{049629E0-7943-4BA1-8E5C-90CF045D42C3}"/>
    <cellStyle name="60% - 1. jelölőszín" xfId="1883" xr:uid="{15491024-F578-474B-BA11-1410DED1ED24}"/>
    <cellStyle name="60% - 2. jelölőszín" xfId="1884" xr:uid="{ED943D22-BE49-4658-BC3C-252E4F4C6D91}"/>
    <cellStyle name="60% - 3. jelölőszín" xfId="1885" xr:uid="{BC55B448-A200-4B8F-859A-FF1D3DE4D0FA}"/>
    <cellStyle name="60% - 4. jelölőszín" xfId="1886" xr:uid="{B5DBFF0D-9AD9-48DF-97ED-6AF312E8DA85}"/>
    <cellStyle name="60% - 5. jelölőszín" xfId="1887" xr:uid="{B0F891A5-B9BE-485B-B714-A9E2D3E91BA7}"/>
    <cellStyle name="60% - 6. jelölőszín" xfId="1888" xr:uid="{E105692B-90E6-449F-BDF3-A3BE127D9C03}"/>
    <cellStyle name="60% - Accent1" xfId="45797" builtinId="32" customBuiltin="1"/>
    <cellStyle name="60% - Accent1 10" xfId="1889" xr:uid="{B7D3C16F-14AB-421D-8299-A6B1E55BBA6A}"/>
    <cellStyle name="60% - Accent1 11" xfId="24709" xr:uid="{18D68526-47F5-4855-9FEB-F49D896A6A64}"/>
    <cellStyle name="60% - Accent1 12" xfId="24710" xr:uid="{3E315C27-F63B-4F27-BFE4-FF9C235BF427}"/>
    <cellStyle name="60% - Accent1 13" xfId="24711" xr:uid="{78C259A8-0834-4C7A-B712-397F717A3752}"/>
    <cellStyle name="60% - Accent1 14" xfId="24712" xr:uid="{0AE0BC14-6721-4E41-B5D5-4462E62B1669}"/>
    <cellStyle name="60% - Accent1 15" xfId="24713" xr:uid="{7A71DB3C-3453-4275-A3A5-DA182D8CDD9A}"/>
    <cellStyle name="60% - Accent1 16" xfId="24714" xr:uid="{05D55C3F-1C22-4511-9FBB-9FBFEEE9A036}"/>
    <cellStyle name="60% - Accent1 17" xfId="24715" xr:uid="{67504FAA-59B3-4154-9B6A-A0494253DE9C}"/>
    <cellStyle name="60% - Accent1 18" xfId="24716" xr:uid="{614C4685-71CC-472C-A880-B3F3CB1A77F8}"/>
    <cellStyle name="60% - Accent1 19" xfId="24717" xr:uid="{38D17A98-EE6A-4E58-8695-24C4591B0795}"/>
    <cellStyle name="60% - Accent1 2" xfId="1890" xr:uid="{8E80B93A-3647-4C4F-999B-9FFA49D74AB3}"/>
    <cellStyle name="60% - Accent1 2 10" xfId="1891" xr:uid="{D758FD16-906C-4457-BCA0-57759C36612C}"/>
    <cellStyle name="60% - Accent1 2 10 2" xfId="1892" xr:uid="{CB0AF249-3ACF-4172-ACC0-618242D80E98}"/>
    <cellStyle name="60% - Accent1 2 11" xfId="1893" xr:uid="{A77D7A2B-CD38-432A-8F15-DA28F018F925}"/>
    <cellStyle name="60% - Accent1 2 12" xfId="44075" xr:uid="{CFD71880-F6FB-4966-A699-BE640C2D2373}"/>
    <cellStyle name="60% - Accent1 2 2" xfId="1894" xr:uid="{3CCE5B68-45EE-4656-AE6D-6E1CE98E575E}"/>
    <cellStyle name="60% - Accent1 2 2 2" xfId="1895" xr:uid="{3E89EF9B-C57C-48D8-9B9E-5D2D0C2F8A39}"/>
    <cellStyle name="60% - Accent1 2 3" xfId="1896" xr:uid="{87C8E75A-9A7D-4BD6-996C-5B098C6E2E2C}"/>
    <cellStyle name="60% - Accent1 2 3 2" xfId="1897" xr:uid="{14BCE3D2-C473-4ED6-8CEE-D6B4DD8801D3}"/>
    <cellStyle name="60% - Accent1 2 4" xfId="1898" xr:uid="{EDD0492F-0D37-4D8D-9BF8-C82E1C2056C1}"/>
    <cellStyle name="60% - Accent1 2 4 2" xfId="1899" xr:uid="{718DF161-4C33-4C10-BBB9-E29FB4DE4D88}"/>
    <cellStyle name="60% - Accent1 2 5" xfId="1900" xr:uid="{8C91BDFA-1630-4631-8C75-DC20E5AD2381}"/>
    <cellStyle name="60% - Accent1 2 5 2" xfId="1901" xr:uid="{7BECF182-C4DD-4546-BF7A-302E3C399592}"/>
    <cellStyle name="60% - Accent1 2 6" xfId="1902" xr:uid="{D18E939D-1057-4B06-BAD2-AD304B956D27}"/>
    <cellStyle name="60% - Accent1 2 6 2" xfId="1903" xr:uid="{309C2C1C-FB1C-4651-B40B-4138F1ED2223}"/>
    <cellStyle name="60% - Accent1 2 7" xfId="1904" xr:uid="{5975937F-7516-4ED3-AB0E-BAA0EFD018CB}"/>
    <cellStyle name="60% - Accent1 2 7 2" xfId="1905" xr:uid="{ED9E5E86-E3FC-4A4D-847B-574360ADD830}"/>
    <cellStyle name="60% - Accent1 2 8" xfId="1906" xr:uid="{BDE59117-6EED-4AD4-B9DD-88C9911AB6C6}"/>
    <cellStyle name="60% - Accent1 2 8 2" xfId="1907" xr:uid="{179AB39E-1CB2-4311-80F7-D48B6C584C39}"/>
    <cellStyle name="60% - Accent1 2 9" xfId="1908" xr:uid="{3CC0446C-2196-4B34-BB1B-D000695E7CFA}"/>
    <cellStyle name="60% - Accent1 2 9 2" xfId="1909" xr:uid="{39DE5074-C96C-449C-8E60-37983D49EF4B}"/>
    <cellStyle name="60% - Accent1 20" xfId="24718" xr:uid="{A944DCF9-9471-4CD2-833E-E30C49B863C6}"/>
    <cellStyle name="60% - Accent1 21" xfId="24719" xr:uid="{A4B7FA27-FBDE-463C-8AE9-4AAC771D2821}"/>
    <cellStyle name="60% - Accent1 22" xfId="24720" xr:uid="{539591A7-5455-4C48-8F57-C2C435E1D0D8}"/>
    <cellStyle name="60% - Accent1 23" xfId="24721" xr:uid="{758B31DD-D4F5-4C1A-A76A-94EBDCD8F557}"/>
    <cellStyle name="60% - Accent1 24" xfId="24722" xr:uid="{FE5092EF-323C-46FA-94E4-19AB57FC9C56}"/>
    <cellStyle name="60% - Accent1 25" xfId="24723" xr:uid="{E8F3DDA5-A5EC-4536-96C5-0AAD7BBBE798}"/>
    <cellStyle name="60% - Accent1 26" xfId="24724" xr:uid="{A7E6B9D4-E810-4C35-A29D-051FAF180887}"/>
    <cellStyle name="60% - Accent1 27" xfId="24725" xr:uid="{2DB11961-1FFE-4FE1-BBE6-78090D43D010}"/>
    <cellStyle name="60% - Accent1 28" xfId="24726" xr:uid="{A5073233-B53E-48E9-9BE7-D4A68B76252E}"/>
    <cellStyle name="60% - Accent1 29" xfId="24727" xr:uid="{DE7038A9-0325-45CD-970C-0FB26EE77ABF}"/>
    <cellStyle name="60% - Accent1 3" xfId="1910" xr:uid="{0EAF0073-295F-414A-9F34-9E12E9D78B64}"/>
    <cellStyle name="60% - Accent1 3 10" xfId="1911" xr:uid="{460CBA9A-612E-41D6-9463-3973C9062616}"/>
    <cellStyle name="60% - Accent1 3 11" xfId="1912" xr:uid="{15771E4A-965A-4F6D-8C7A-6C241FF27593}"/>
    <cellStyle name="60% - Accent1 3 12" xfId="1913" xr:uid="{131DFE1A-E968-4B9E-BAA7-2B6B73CA8BED}"/>
    <cellStyle name="60% - Accent1 3 13" xfId="44182" xr:uid="{456AED5C-E0BA-46EF-BA34-574D7BAFA159}"/>
    <cellStyle name="60% - Accent1 3 2" xfId="1914" xr:uid="{B21B33F7-64C5-48A5-88FE-2926FA9B7DA7}"/>
    <cellStyle name="60% - Accent1 3 2 2" xfId="24728" xr:uid="{8568C316-48B9-44D6-AAD5-E228CA8122E8}"/>
    <cellStyle name="60% - Accent1 3 3" xfId="1915" xr:uid="{0CFEAA6F-9CCB-4B89-A063-4401A5774083}"/>
    <cellStyle name="60% - Accent1 3 3 2" xfId="42268" xr:uid="{6D67FB4F-8A0D-49FA-A96F-92B0F90C53CC}"/>
    <cellStyle name="60% - Accent1 3 4" xfId="1916" xr:uid="{452D666B-CFA1-482F-9622-DAA66F704BAF}"/>
    <cellStyle name="60% - Accent1 3 5" xfId="1917" xr:uid="{E1A9D865-DCE4-4046-94F7-21E9D3250D2B}"/>
    <cellStyle name="60% - Accent1 3 6" xfId="1918" xr:uid="{8EE39F82-AC0B-4F33-BF33-AAB28C1E8490}"/>
    <cellStyle name="60% - Accent1 3 7" xfId="1919" xr:uid="{417CD155-367F-416C-A2A4-D1F7B645EB90}"/>
    <cellStyle name="60% - Accent1 3 8" xfId="1920" xr:uid="{D845F34F-A76C-4770-A3E8-B4008FC64BF7}"/>
    <cellStyle name="60% - Accent1 3 9" xfId="1921" xr:uid="{D01439CD-8343-4099-A66B-4F701BB85B3A}"/>
    <cellStyle name="60% - Accent1 30" xfId="24729" xr:uid="{F2BAAE76-45D7-4D95-9EDA-6392F992697F}"/>
    <cellStyle name="60% - Accent1 31" xfId="24730" xr:uid="{F8222007-7D5A-4A0D-9916-4D184C47FC80}"/>
    <cellStyle name="60% - Accent1 32" xfId="24731" xr:uid="{7E9EBD27-DA91-4DB0-9937-2059E2DDBC16}"/>
    <cellStyle name="60% - Accent1 33" xfId="24732" xr:uid="{3E46991D-AF85-4717-8195-133E44FFAADE}"/>
    <cellStyle name="60% - Accent1 34" xfId="24733" xr:uid="{537C6C1F-5E4F-4478-A783-7705A8A80486}"/>
    <cellStyle name="60% - Accent1 35" xfId="24734" xr:uid="{56E19473-0EED-4D53-A2B9-32FCCFC77FFB}"/>
    <cellStyle name="60% - Accent1 36" xfId="24735" xr:uid="{49C90F6A-7EB6-4D92-8BCA-697AA236CB62}"/>
    <cellStyle name="60% - Accent1 37" xfId="24736" xr:uid="{D08F98FB-C069-4D94-BAD0-BC8A38DA70B2}"/>
    <cellStyle name="60% - Accent1 38" xfId="24737" xr:uid="{D8B1B702-970E-4BD9-A453-16D87CB4BA5C}"/>
    <cellStyle name="60% - Accent1 39" xfId="24738" xr:uid="{709A19B4-12D6-4707-B6A2-18734A3C5E00}"/>
    <cellStyle name="60% - Accent1 4" xfId="1922" xr:uid="{1627C509-196E-4A5E-BF90-B75ED583DFAA}"/>
    <cellStyle name="60% - Accent1 4 10" xfId="1923" xr:uid="{6046E1D3-1B10-4714-B747-237961BF5CC8}"/>
    <cellStyle name="60% - Accent1 4 11" xfId="1924" xr:uid="{23F65890-5713-4B33-9D11-96321D0BB30B}"/>
    <cellStyle name="60% - Accent1 4 2" xfId="1925" xr:uid="{C118B5A5-FFDF-408C-8A4E-9576533DF353}"/>
    <cellStyle name="60% - Accent1 4 3" xfId="1926" xr:uid="{A9DD4ED5-99D8-454E-979A-639C224789EC}"/>
    <cellStyle name="60% - Accent1 4 4" xfId="1927" xr:uid="{6D6C593A-322A-4B12-B967-127444B93955}"/>
    <cellStyle name="60% - Accent1 4 5" xfId="1928" xr:uid="{C235E5F9-8898-4C43-B7A8-425CB932AF38}"/>
    <cellStyle name="60% - Accent1 4 6" xfId="1929" xr:uid="{E322169F-5269-4545-9375-CA8F7DDA5EE3}"/>
    <cellStyle name="60% - Accent1 4 7" xfId="1930" xr:uid="{7E1D3B9F-A18A-4491-96C2-CBDC5D5E028E}"/>
    <cellStyle name="60% - Accent1 4 8" xfId="1931" xr:uid="{093FBAE5-B98C-40B3-B0D5-A65428034BC8}"/>
    <cellStyle name="60% - Accent1 4 9" xfId="1932" xr:uid="{9034888D-CD7F-410F-BEC1-2FBE18C29AA9}"/>
    <cellStyle name="60% - Accent1 40" xfId="24739" xr:uid="{AC034B69-A388-4F19-94EC-7E57F89EDF93}"/>
    <cellStyle name="60% - Accent1 41" xfId="24740" xr:uid="{B11E30E6-3AF0-434B-9FE3-B01C995B9479}"/>
    <cellStyle name="60% - Accent1 42" xfId="24741" xr:uid="{4F81BF3B-5DA7-41F8-B457-9BA8F5A5B5E2}"/>
    <cellStyle name="60% - Accent1 43" xfId="24742" xr:uid="{AA7213BB-852B-4BBC-8397-F5B62A0618B3}"/>
    <cellStyle name="60% - Accent1 44" xfId="93" xr:uid="{47461EE1-4822-4E61-97EA-C4A35C146DC8}"/>
    <cellStyle name="60% - Accent1 45" xfId="45879" xr:uid="{F6B796B4-0086-4351-AE8B-160757A7B0BF}"/>
    <cellStyle name="60% - Accent1 5" xfId="1933" xr:uid="{0EA53B86-CB83-4DD5-88E1-4CE8E9A1EBA3}"/>
    <cellStyle name="60% - Accent1 5 10" xfId="1934" xr:uid="{4931C457-BE9F-4DD6-BBD7-2D9EA9F9E159}"/>
    <cellStyle name="60% - Accent1 5 11" xfId="1935" xr:uid="{9CA9B4AE-3D65-4771-ACF9-747265015C64}"/>
    <cellStyle name="60% - Accent1 5 2" xfId="1936" xr:uid="{02B34AED-3937-4BAE-B18A-1B62ACC19380}"/>
    <cellStyle name="60% - Accent1 5 3" xfId="1937" xr:uid="{2B92E4F2-880A-4401-A619-B194D774B4FD}"/>
    <cellStyle name="60% - Accent1 5 4" xfId="1938" xr:uid="{5FBAADD0-1F73-469E-914E-4F2820D9CABF}"/>
    <cellStyle name="60% - Accent1 5 5" xfId="1939" xr:uid="{994D6106-A056-40D6-9C12-171924DC530C}"/>
    <cellStyle name="60% - Accent1 5 6" xfId="1940" xr:uid="{47408CBF-D1C2-4915-9B30-0CDA8354901B}"/>
    <cellStyle name="60% - Accent1 5 7" xfId="1941" xr:uid="{DB7C1ED1-61FC-4DCC-9CC7-C76F4C79AA30}"/>
    <cellStyle name="60% - Accent1 5 8" xfId="1942" xr:uid="{87F011EC-77B1-430F-B583-862A3DAD0B0C}"/>
    <cellStyle name="60% - Accent1 5 9" xfId="1943" xr:uid="{0D8A83C1-525F-41FA-BC59-55BCC9220F40}"/>
    <cellStyle name="60% - Accent1 6" xfId="1944" xr:uid="{A49DD81C-73ED-4019-A984-CB15D8B5D6C9}"/>
    <cellStyle name="60% - Accent1 6 10" xfId="1945" xr:uid="{8D16008B-4225-4FC7-9311-53CFF78FCA8D}"/>
    <cellStyle name="60% - Accent1 6 11" xfId="1946" xr:uid="{D22ADC80-5601-4B36-9445-F28084AE5712}"/>
    <cellStyle name="60% - Accent1 6 2" xfId="1947" xr:uid="{831AEA18-4F60-453B-BB8C-FADD15638C3F}"/>
    <cellStyle name="60% - Accent1 6 3" xfId="1948" xr:uid="{9F83AA85-F708-46FF-A9AB-3AC644166108}"/>
    <cellStyle name="60% - Accent1 6 4" xfId="1949" xr:uid="{88B08EB9-CDCE-43BA-87B4-5184E45AF006}"/>
    <cellStyle name="60% - Accent1 6 5" xfId="1950" xr:uid="{B18156A8-B322-4188-B729-F1A910FED4E0}"/>
    <cellStyle name="60% - Accent1 6 6" xfId="1951" xr:uid="{14619749-EE9A-40C9-B7C1-9B06C6F4FFBF}"/>
    <cellStyle name="60% - Accent1 6 7" xfId="1952" xr:uid="{6A6793AA-DED1-4A09-B0B4-F7869596153A}"/>
    <cellStyle name="60% - Accent1 6 8" xfId="1953" xr:uid="{3E05AEAB-BE5F-4A50-A9A7-976FB4BF7268}"/>
    <cellStyle name="60% - Accent1 6 9" xfId="1954" xr:uid="{3E56B24B-8998-4173-9311-868FC46105BD}"/>
    <cellStyle name="60% - Accent1 7" xfId="1955" xr:uid="{CCCA3242-FA3E-4583-A86F-6AD63C6CE6B8}"/>
    <cellStyle name="60% - Accent1 8" xfId="1956" xr:uid="{E66AE192-E909-4DBD-B072-E6C1B744A20C}"/>
    <cellStyle name="60% - Accent1 9" xfId="1957" xr:uid="{F7D85DD4-41AB-40FD-8978-5BC8A3CC2950}"/>
    <cellStyle name="60% - Accent2" xfId="45798" builtinId="36" customBuiltin="1"/>
    <cellStyle name="60% - Accent2 10" xfId="1958" xr:uid="{EB197B76-5A77-4585-AF5C-CC98E5D538E7}"/>
    <cellStyle name="60% - Accent2 11" xfId="24743" xr:uid="{55B35A4E-3BA2-4E78-AF4D-4C1F0F13B47D}"/>
    <cellStyle name="60% - Accent2 12" xfId="24744" xr:uid="{CF43AFBA-172A-41C4-84A1-B30AB34836F8}"/>
    <cellStyle name="60% - Accent2 13" xfId="24745" xr:uid="{7E0F1289-2870-4B87-B9D3-2498C1CA8523}"/>
    <cellStyle name="60% - Accent2 14" xfId="24746" xr:uid="{58FE25C2-B245-43D3-B720-1394178A798D}"/>
    <cellStyle name="60% - Accent2 15" xfId="24747" xr:uid="{875AB8D8-52B4-4DA4-9862-9933FC5DD4A2}"/>
    <cellStyle name="60% - Accent2 16" xfId="24748" xr:uid="{2EBB1295-DCFA-495F-A036-CDF163EC0E85}"/>
    <cellStyle name="60% - Accent2 17" xfId="24749" xr:uid="{283C18F2-2E6C-4FE7-8C4F-13DA2F5BFC79}"/>
    <cellStyle name="60% - Accent2 18" xfId="24750" xr:uid="{E44730D7-13ED-4CFC-AFAE-D37D0A8A1ED4}"/>
    <cellStyle name="60% - Accent2 19" xfId="24751" xr:uid="{D4901CFD-D59E-49CF-9473-FD9B06DBF55A}"/>
    <cellStyle name="60% - Accent2 2" xfId="1959" xr:uid="{5AA4B920-E85D-4521-BB21-D20B9385E4FC}"/>
    <cellStyle name="60% - Accent2 2 10" xfId="1960" xr:uid="{525B2F3E-CAAB-41E0-A6A8-22D58E98E463}"/>
    <cellStyle name="60% - Accent2 2 10 2" xfId="1961" xr:uid="{B969DDC4-28EB-486F-8D45-D71B82458C60}"/>
    <cellStyle name="60% - Accent2 2 11" xfId="1962" xr:uid="{82C9060A-0CEC-4543-9B0E-57AEB3A2A54A}"/>
    <cellStyle name="60% - Accent2 2 12" xfId="44076" xr:uid="{8B963A61-E258-416F-A83A-F840AD600F73}"/>
    <cellStyle name="60% - Accent2 2 2" xfId="1963" xr:uid="{C922CF98-0CBC-4BC0-BC34-37698FBE36BB}"/>
    <cellStyle name="60% - Accent2 2 2 2" xfId="1964" xr:uid="{B112624F-ECF9-4B8D-A29C-148C2509C873}"/>
    <cellStyle name="60% - Accent2 2 3" xfId="1965" xr:uid="{EFE421CD-2FD1-4C47-843E-A0F46BCDB2C5}"/>
    <cellStyle name="60% - Accent2 2 3 2" xfId="1966" xr:uid="{F238B266-DD8D-4939-9125-55D9F17537EE}"/>
    <cellStyle name="60% - Accent2 2 4" xfId="1967" xr:uid="{21579712-4B4B-4ED8-8072-4A1C861ABA88}"/>
    <cellStyle name="60% - Accent2 2 4 2" xfId="1968" xr:uid="{5363CF0D-0951-4FF6-8168-E35A5FB1BD7D}"/>
    <cellStyle name="60% - Accent2 2 5" xfId="1969" xr:uid="{EC19564C-E1D4-4F7B-8C95-706AF6CEFBD3}"/>
    <cellStyle name="60% - Accent2 2 5 2" xfId="1970" xr:uid="{97066407-B04E-452A-8F23-EBA241029E24}"/>
    <cellStyle name="60% - Accent2 2 6" xfId="1971" xr:uid="{541CBC6C-978C-4504-B66E-C4EE02117A5F}"/>
    <cellStyle name="60% - Accent2 2 6 2" xfId="1972" xr:uid="{B0B2EFAC-EB5D-45AD-B07B-581431B12908}"/>
    <cellStyle name="60% - Accent2 2 7" xfId="1973" xr:uid="{6F07BD41-D103-49DF-A493-203DE25AB744}"/>
    <cellStyle name="60% - Accent2 2 7 2" xfId="1974" xr:uid="{A0F5BD78-BDCA-4BD3-838C-0AFD2F48F99E}"/>
    <cellStyle name="60% - Accent2 2 8" xfId="1975" xr:uid="{D88BA215-403E-44C8-BEC7-C2B54936E466}"/>
    <cellStyle name="60% - Accent2 2 8 2" xfId="1976" xr:uid="{531102B4-F184-4854-98D6-FD164A45D003}"/>
    <cellStyle name="60% - Accent2 2 9" xfId="1977" xr:uid="{E52CDA30-326B-4D6F-83E2-094BA5DB2338}"/>
    <cellStyle name="60% - Accent2 2 9 2" xfId="1978" xr:uid="{0F685A40-205D-490D-ADD6-4730A1E07241}"/>
    <cellStyle name="60% - Accent2 20" xfId="24752" xr:uid="{B256A067-B55F-483A-B44D-368DEA3FF18C}"/>
    <cellStyle name="60% - Accent2 21" xfId="24753" xr:uid="{CC103DE9-C4C7-48C6-AE94-9D977EE48F49}"/>
    <cellStyle name="60% - Accent2 22" xfId="24754" xr:uid="{B9C9E84D-8CE3-411D-9525-5E3DDF9E01E8}"/>
    <cellStyle name="60% - Accent2 23" xfId="24755" xr:uid="{00275429-7519-4C32-9E1E-9DAD039C8708}"/>
    <cellStyle name="60% - Accent2 24" xfId="24756" xr:uid="{734C88DD-F012-4F5C-87FF-57C3619A136C}"/>
    <cellStyle name="60% - Accent2 25" xfId="24757" xr:uid="{981A0A1F-7A99-4979-A141-F410E5A09F29}"/>
    <cellStyle name="60% - Accent2 26" xfId="24758" xr:uid="{27DE35FC-AFC3-468E-9A22-DD813CF3E1B1}"/>
    <cellStyle name="60% - Accent2 27" xfId="24759" xr:uid="{3E4794D3-0DD9-4010-95E6-31D917F80279}"/>
    <cellStyle name="60% - Accent2 28" xfId="24760" xr:uid="{5691F163-39CB-407A-9228-95AA10ACBC74}"/>
    <cellStyle name="60% - Accent2 29" xfId="24761" xr:uid="{F78BAB74-6419-4835-A547-A013BDD64CE0}"/>
    <cellStyle name="60% - Accent2 3" xfId="1979" xr:uid="{F0E7AEDF-562C-403A-BB26-4B35A2C470C9}"/>
    <cellStyle name="60% - Accent2 3 10" xfId="1980" xr:uid="{506EDD74-12F4-4AD9-9B3E-025073B4934B}"/>
    <cellStyle name="60% - Accent2 3 11" xfId="1981" xr:uid="{5662DD2D-DB5F-4576-AE47-F0BEDBC41975}"/>
    <cellStyle name="60% - Accent2 3 12" xfId="1982" xr:uid="{D382F73A-F51F-481D-9ADF-DC444F50A97D}"/>
    <cellStyle name="60% - Accent2 3 13" xfId="44183" xr:uid="{3CE05BB2-C2AB-4FBB-8A8C-924604D7435E}"/>
    <cellStyle name="60% - Accent2 3 2" xfId="1983" xr:uid="{689786A0-E129-4A5E-B680-E40CDF01A2E9}"/>
    <cellStyle name="60% - Accent2 3 2 2" xfId="24762" xr:uid="{4F685611-6B16-4130-A903-E606E6D18B79}"/>
    <cellStyle name="60% - Accent2 3 3" xfId="1984" xr:uid="{AC33AFE1-C1E3-44CA-B28A-2A15562F20E8}"/>
    <cellStyle name="60% - Accent2 3 3 2" xfId="42269" xr:uid="{75C8BA03-61BF-4496-9FA8-383F47AF60E8}"/>
    <cellStyle name="60% - Accent2 3 4" xfId="1985" xr:uid="{8135A7D3-FE2B-4DEC-B348-55044BBD1C0D}"/>
    <cellStyle name="60% - Accent2 3 5" xfId="1986" xr:uid="{BC45E4C3-531E-443E-AF8B-B41032C67086}"/>
    <cellStyle name="60% - Accent2 3 6" xfId="1987" xr:uid="{206BE38A-AF5A-47AD-99CE-6C5A48BDA242}"/>
    <cellStyle name="60% - Accent2 3 7" xfId="1988" xr:uid="{746A2FC8-4184-4515-879B-108D9BBF2B1C}"/>
    <cellStyle name="60% - Accent2 3 8" xfId="1989" xr:uid="{B8054173-2E46-4B9D-ADD1-2E4FB8187B4C}"/>
    <cellStyle name="60% - Accent2 3 9" xfId="1990" xr:uid="{04F53998-AA5B-4CCD-83BC-E628E7E4344C}"/>
    <cellStyle name="60% - Accent2 30" xfId="24763" xr:uid="{8105B6AD-E46B-4081-89E3-753B95029450}"/>
    <cellStyle name="60% - Accent2 31" xfId="24764" xr:uid="{B448BDF8-B188-424E-805B-52A6D3D308F6}"/>
    <cellStyle name="60% - Accent2 32" xfId="24765" xr:uid="{0B7C4648-15B8-4B1F-8288-BA891A637E44}"/>
    <cellStyle name="60% - Accent2 33" xfId="24766" xr:uid="{0D663244-9D23-4384-B1CD-78CA1E1D9B2D}"/>
    <cellStyle name="60% - Accent2 34" xfId="24767" xr:uid="{7F4E97DA-BBCC-491E-97E4-36A3E996E5F8}"/>
    <cellStyle name="60% - Accent2 35" xfId="24768" xr:uid="{F79A6BEE-E325-41F4-BCC1-8205E856880C}"/>
    <cellStyle name="60% - Accent2 36" xfId="24769" xr:uid="{93933338-EA36-48B6-BB6A-6F8130D3648E}"/>
    <cellStyle name="60% - Accent2 37" xfId="24770" xr:uid="{F369A5A2-E654-4E88-B005-C0D479EB7685}"/>
    <cellStyle name="60% - Accent2 38" xfId="24771" xr:uid="{AA1C6672-6EDB-4B15-BAC5-FAB43F01DFE2}"/>
    <cellStyle name="60% - Accent2 39" xfId="24772" xr:uid="{3416BD2B-E70F-4BD8-841C-D550ECFC6012}"/>
    <cellStyle name="60% - Accent2 4" xfId="1991" xr:uid="{8ADB145F-ABBD-431E-9248-9812340D2386}"/>
    <cellStyle name="60% - Accent2 4 10" xfId="1992" xr:uid="{33ED6F24-AACE-4BAC-9FA9-07954C4D20C1}"/>
    <cellStyle name="60% - Accent2 4 11" xfId="1993" xr:uid="{59F0F453-8277-4267-A7D2-6415B15805FB}"/>
    <cellStyle name="60% - Accent2 4 2" xfId="1994" xr:uid="{D1710E6A-0FAA-4CCA-AE67-50F659886DB4}"/>
    <cellStyle name="60% - Accent2 4 3" xfId="1995" xr:uid="{B2FB5142-83F4-4DC6-BBEA-691ACB66CD90}"/>
    <cellStyle name="60% - Accent2 4 4" xfId="1996" xr:uid="{22020246-8FA7-4352-9E28-35E471FD1296}"/>
    <cellStyle name="60% - Accent2 4 5" xfId="1997" xr:uid="{A7CA963D-CB68-4941-97E9-E0862221D3EF}"/>
    <cellStyle name="60% - Accent2 4 6" xfId="1998" xr:uid="{450584AB-E8F8-4B53-9014-53F82BAD17DD}"/>
    <cellStyle name="60% - Accent2 4 7" xfId="1999" xr:uid="{146014B2-6BEB-4E88-9EB9-31CEA3308731}"/>
    <cellStyle name="60% - Accent2 4 8" xfId="2000" xr:uid="{4AF872FA-9F89-4258-B702-E162521C3C19}"/>
    <cellStyle name="60% - Accent2 4 9" xfId="2001" xr:uid="{1F55468D-D36A-4434-9CF0-AA4800D4429E}"/>
    <cellStyle name="60% - Accent2 40" xfId="24773" xr:uid="{23A92F5C-FF98-4D69-A077-D93AC8588BAB}"/>
    <cellStyle name="60% - Accent2 41" xfId="24774" xr:uid="{DF90409A-EB22-4598-8C2A-D7DB08E8BABB}"/>
    <cellStyle name="60% - Accent2 42" xfId="24775" xr:uid="{5BE9C744-A92D-419F-B6F7-41EBE2D7245C}"/>
    <cellStyle name="60% - Accent2 43" xfId="24776" xr:uid="{1FAD9195-316A-40EA-B6E0-23B2150C6427}"/>
    <cellStyle name="60% - Accent2 44" xfId="94" xr:uid="{56877A9D-7478-4476-8BF3-556F651D06B6}"/>
    <cellStyle name="60% - Accent2 45" xfId="45882" xr:uid="{E245E837-6AA1-4E55-B75C-F5AB1AD47136}"/>
    <cellStyle name="60% - Accent2 5" xfId="2002" xr:uid="{71909392-4E35-4BB8-978B-DD9EBCB0D17C}"/>
    <cellStyle name="60% - Accent2 5 10" xfId="2003" xr:uid="{DCC8C022-074E-4122-9ACE-C9DF25020313}"/>
    <cellStyle name="60% - Accent2 5 11" xfId="2004" xr:uid="{E7D948C6-AAB5-4857-9EBF-B8909D841F9E}"/>
    <cellStyle name="60% - Accent2 5 2" xfId="2005" xr:uid="{B6AD66E4-33F6-4416-9BCE-18120C7EAD5A}"/>
    <cellStyle name="60% - Accent2 5 3" xfId="2006" xr:uid="{AA07AD3E-A467-4A7C-8201-35E0D17308B6}"/>
    <cellStyle name="60% - Accent2 5 4" xfId="2007" xr:uid="{F645C534-CEFE-432E-A004-6B391737D519}"/>
    <cellStyle name="60% - Accent2 5 5" xfId="2008" xr:uid="{619D4C2F-84ED-4D4D-AD50-661E54C93D9E}"/>
    <cellStyle name="60% - Accent2 5 6" xfId="2009" xr:uid="{AF89428B-D35C-495D-8F53-CC2B41EC5C01}"/>
    <cellStyle name="60% - Accent2 5 7" xfId="2010" xr:uid="{8DC96BA3-BD21-4077-82F7-4D701B5E0403}"/>
    <cellStyle name="60% - Accent2 5 8" xfId="2011" xr:uid="{817AC08F-35BD-400D-ABF9-A48439B9A416}"/>
    <cellStyle name="60% - Accent2 5 9" xfId="2012" xr:uid="{805814F1-81AB-4EA1-BF71-6558BED60AC8}"/>
    <cellStyle name="60% - Accent2 6" xfId="2013" xr:uid="{B048542C-7777-41F4-8D0F-E147365488E6}"/>
    <cellStyle name="60% - Accent2 6 10" xfId="2014" xr:uid="{56C56886-C2C6-4393-95ED-A3241584E79D}"/>
    <cellStyle name="60% - Accent2 6 11" xfId="2015" xr:uid="{657E1F9B-E6D9-4760-969E-57F7C4BBA881}"/>
    <cellStyle name="60% - Accent2 6 2" xfId="2016" xr:uid="{85494968-585E-455F-803A-93F5C36DB10B}"/>
    <cellStyle name="60% - Accent2 6 3" xfId="2017" xr:uid="{D8049524-295F-4557-AC32-01E274F8E2BF}"/>
    <cellStyle name="60% - Accent2 6 4" xfId="2018" xr:uid="{AD1C59D6-5A9E-4D7C-B865-A9972AE4EF32}"/>
    <cellStyle name="60% - Accent2 6 5" xfId="2019" xr:uid="{66AC760A-016A-4EF1-8E13-BFA3A144CAFF}"/>
    <cellStyle name="60% - Accent2 6 6" xfId="2020" xr:uid="{55129DD5-A4B1-4D94-831A-298F130FE107}"/>
    <cellStyle name="60% - Accent2 6 7" xfId="2021" xr:uid="{03DF9564-9180-414C-ACAC-1CB800BF6934}"/>
    <cellStyle name="60% - Accent2 6 8" xfId="2022" xr:uid="{45F8EE95-E950-457D-ACA6-8BAD47C1B739}"/>
    <cellStyle name="60% - Accent2 6 9" xfId="2023" xr:uid="{7B436E01-68C0-48AF-B320-0EC9C14B1CD2}"/>
    <cellStyle name="60% - Accent2 7" xfId="2024" xr:uid="{19CA00AF-C542-4431-8E9C-433129AE8332}"/>
    <cellStyle name="60% - Accent2 8" xfId="2025" xr:uid="{D4D7DCC7-5E4E-445C-B4DE-CA98FBBE3F61}"/>
    <cellStyle name="60% - Accent2 9" xfId="2026" xr:uid="{72283A7C-772C-454D-848E-3929D7A51C3B}"/>
    <cellStyle name="60% - Accent3" xfId="45799" builtinId="40" customBuiltin="1"/>
    <cellStyle name="60% - Accent3 10" xfId="2027" xr:uid="{BCCAB91E-93AE-43B3-8D26-DCF566CA9E33}"/>
    <cellStyle name="60% - Accent3 11" xfId="2028" xr:uid="{EE04E4F6-271E-44EA-AEA8-26DE1136FE66}"/>
    <cellStyle name="60% - Accent3 11 2" xfId="42270" xr:uid="{2CC5855F-DB76-4919-A362-23EFC0299976}"/>
    <cellStyle name="60% - Accent3 12" xfId="24777" xr:uid="{A13B2B54-542E-4D84-8A32-A3067F2FAC47}"/>
    <cellStyle name="60% - Accent3 13" xfId="24778" xr:uid="{77813F14-6270-4389-8590-A2EFC1474701}"/>
    <cellStyle name="60% - Accent3 14" xfId="24779" xr:uid="{CD431B92-1202-45BA-A0EF-2F00BFA97473}"/>
    <cellStyle name="60% - Accent3 15" xfId="24780" xr:uid="{16AB8C34-69E4-4F46-A14B-41B3D2B73B2B}"/>
    <cellStyle name="60% - Accent3 16" xfId="24781" xr:uid="{A7CF27B9-8083-48A3-AB99-4C63885D5597}"/>
    <cellStyle name="60% - Accent3 17" xfId="24782" xr:uid="{ACFCF052-11F5-4BC9-A514-67450AEBBC6E}"/>
    <cellStyle name="60% - Accent3 18" xfId="24783" xr:uid="{6EF88655-8646-4EFF-8289-1B155A8A1DAF}"/>
    <cellStyle name="60% - Accent3 19" xfId="24784" xr:uid="{551B5E63-09F4-43D7-AC4C-DB96682D4C3A}"/>
    <cellStyle name="60% - Accent3 2" xfId="2029" xr:uid="{1F0B6AB4-4167-4E41-876B-4C60C29CB9F2}"/>
    <cellStyle name="60% - Accent3 2 10" xfId="2030" xr:uid="{4FB610C1-1309-40DD-8A86-BD207CA8C447}"/>
    <cellStyle name="60% - Accent3 2 10 2" xfId="2031" xr:uid="{D16B14D1-4236-427B-8711-E8BE11B82180}"/>
    <cellStyle name="60% - Accent3 2 11" xfId="2032" xr:uid="{AE4B6922-7720-4416-AF4C-2265A8E53AEE}"/>
    <cellStyle name="60% - Accent3 2 12" xfId="44077" xr:uid="{CEF42C9C-8BAA-496F-AAA0-72281629EE74}"/>
    <cellStyle name="60% - Accent3 2 2" xfId="2033" xr:uid="{84F18FB4-2E32-4D5A-9989-3E0F308CA34D}"/>
    <cellStyle name="60% - Accent3 2 2 2" xfId="2034" xr:uid="{E2C74A23-62D9-418C-9F96-385A9D941930}"/>
    <cellStyle name="60% - Accent3 2 3" xfId="2035" xr:uid="{BF6A2F1F-CB45-4140-8E89-CA91342101AF}"/>
    <cellStyle name="60% - Accent3 2 3 2" xfId="2036" xr:uid="{C8561DB2-C8A7-4A29-B4EA-AE59C62F95D8}"/>
    <cellStyle name="60% - Accent3 2 4" xfId="2037" xr:uid="{5FA9D5FA-7B57-4ACB-A897-88D3695FE7CD}"/>
    <cellStyle name="60% - Accent3 2 4 2" xfId="2038" xr:uid="{6467B95A-3B2E-4F2D-B171-FFEE5576CB19}"/>
    <cellStyle name="60% - Accent3 2 5" xfId="2039" xr:uid="{EBA0649B-FCF5-486D-87C6-ECCB1CF5B190}"/>
    <cellStyle name="60% - Accent3 2 5 2" xfId="2040" xr:uid="{0713D9BB-A13D-46D4-9DB5-FF3F65029CBF}"/>
    <cellStyle name="60% - Accent3 2 6" xfId="2041" xr:uid="{5CC0563F-1D46-4E5B-B9D5-F83C43F86D26}"/>
    <cellStyle name="60% - Accent3 2 6 2" xfId="2042" xr:uid="{FD555761-A056-4139-8044-19C7C2F198C0}"/>
    <cellStyle name="60% - Accent3 2 7" xfId="2043" xr:uid="{F297F0AB-23CB-4A94-AD0A-4AE8F9952CF0}"/>
    <cellStyle name="60% - Accent3 2 7 2" xfId="2044" xr:uid="{198992C6-AF5B-4168-A9FE-BF2DE1808E14}"/>
    <cellStyle name="60% - Accent3 2 8" xfId="2045" xr:uid="{4CD7F902-9091-4C38-9966-3534E43F2872}"/>
    <cellStyle name="60% - Accent3 2 8 2" xfId="2046" xr:uid="{4BE3338D-C0CB-4498-9355-FAA55CA28015}"/>
    <cellStyle name="60% - Accent3 2 9" xfId="2047" xr:uid="{2CAF8C6D-A172-4096-B269-EEBD553B4790}"/>
    <cellStyle name="60% - Accent3 2 9 2" xfId="2048" xr:uid="{03907673-B6BB-421E-B6FF-01E0CB602654}"/>
    <cellStyle name="60% - Accent3 20" xfId="24785" xr:uid="{7363D95C-DED7-440B-A507-40DC747FDFF0}"/>
    <cellStyle name="60% - Accent3 21" xfId="24786" xr:uid="{9C9ED302-FF27-4E02-9786-51183990B8D4}"/>
    <cellStyle name="60% - Accent3 22" xfId="24787" xr:uid="{295ED792-AE3E-4275-ADAA-08D3D72CC10B}"/>
    <cellStyle name="60% - Accent3 23" xfId="24788" xr:uid="{5554BF38-D1F3-41AB-923B-92AD6FF2B0D1}"/>
    <cellStyle name="60% - Accent3 24" xfId="24789" xr:uid="{3EC1480E-B313-4D1F-975F-133048ED132B}"/>
    <cellStyle name="60% - Accent3 25" xfId="24790" xr:uid="{1F759DD8-8DAB-4A10-8FDE-6A81457AF4FB}"/>
    <cellStyle name="60% - Accent3 26" xfId="24791" xr:uid="{59695A71-157D-421C-B4B2-49883390FCC5}"/>
    <cellStyle name="60% - Accent3 27" xfId="24792" xr:uid="{B2C43A04-1B6A-4D12-8DB9-BD50E67FD0AC}"/>
    <cellStyle name="60% - Accent3 28" xfId="24793" xr:uid="{155D7E1B-5328-47D0-8F7C-C486EF99E957}"/>
    <cellStyle name="60% - Accent3 29" xfId="24794" xr:uid="{7D51E2A4-487D-4D46-9782-763737F4EE76}"/>
    <cellStyle name="60% - Accent3 3" xfId="2049" xr:uid="{B7F1EB3B-63E0-4B02-96B9-1BF7B518CF06}"/>
    <cellStyle name="60% - Accent3 3 10" xfId="2050" xr:uid="{54956C9C-769E-4BAF-9F0D-935859DD0823}"/>
    <cellStyle name="60% - Accent3 3 11" xfId="2051" xr:uid="{B4C04C06-4CC4-495A-BAA1-A5D2DC0A7D64}"/>
    <cellStyle name="60% - Accent3 3 12" xfId="2052" xr:uid="{FB249D03-A29C-4F83-8DA1-A226B42375FA}"/>
    <cellStyle name="60% - Accent3 3 13" xfId="24795" xr:uid="{83AC64BB-3C15-4374-B9C1-EDAA919D5E9D}"/>
    <cellStyle name="60% - Accent3 3 14" xfId="44184" xr:uid="{78023A9D-10B3-491E-A349-74963DCECCF8}"/>
    <cellStyle name="60% - Accent3 3 2" xfId="2053" xr:uid="{81A6AB58-A08B-4AD4-9DB7-5F537B0B0F13}"/>
    <cellStyle name="60% - Accent3 3 2 2" xfId="24796" xr:uid="{5B7CD4DF-06E9-49B0-A86B-0B1C20182128}"/>
    <cellStyle name="60% - Accent3 3 3" xfId="2054" xr:uid="{9266C634-055A-403E-B4F4-AA1F499946D4}"/>
    <cellStyle name="60% - Accent3 3 3 2" xfId="42271" xr:uid="{056E89B5-0E98-497A-86CC-7F1A89082506}"/>
    <cellStyle name="60% - Accent3 3 4" xfId="2055" xr:uid="{5E85D968-2246-419E-B489-F99188337818}"/>
    <cellStyle name="60% - Accent3 3 5" xfId="2056" xr:uid="{FB43C34F-59B8-4828-B054-5552815A7B8D}"/>
    <cellStyle name="60% - Accent3 3 6" xfId="2057" xr:uid="{3024B12D-7D91-4B87-BE1B-3EE2705D5383}"/>
    <cellStyle name="60% - Accent3 3 7" xfId="2058" xr:uid="{E1AF62E2-AD53-4887-8741-5E67119266A7}"/>
    <cellStyle name="60% - Accent3 3 8" xfId="2059" xr:uid="{573B2B83-6698-4D6C-80AB-0F0CA5631A61}"/>
    <cellStyle name="60% - Accent3 3 9" xfId="2060" xr:uid="{D84155A6-4B9E-4650-B30D-37763115170C}"/>
    <cellStyle name="60% - Accent3 30" xfId="24797" xr:uid="{CE9524F7-A77F-4003-AF06-3BDE45963A42}"/>
    <cellStyle name="60% - Accent3 31" xfId="24798" xr:uid="{27BDDC86-D748-4F64-8A9B-2A30A2CA06EE}"/>
    <cellStyle name="60% - Accent3 32" xfId="24799" xr:uid="{25C98B44-9697-4708-9C68-6420ECC62157}"/>
    <cellStyle name="60% - Accent3 33" xfId="24800" xr:uid="{655B409A-473B-4E63-87D5-FB91CE798F4D}"/>
    <cellStyle name="60% - Accent3 34" xfId="24801" xr:uid="{7E2B013F-C528-4AB2-B49D-AFB3510CA22F}"/>
    <cellStyle name="60% - Accent3 35" xfId="24802" xr:uid="{DA8D73D5-D529-4176-BB79-0DF65D43F968}"/>
    <cellStyle name="60% - Accent3 36" xfId="24803" xr:uid="{24F8F866-CE66-42B8-8BCF-A1D0DC3DACFF}"/>
    <cellStyle name="60% - Accent3 37" xfId="24804" xr:uid="{7FCD757A-39A7-4FFD-AA43-E636B53D95C7}"/>
    <cellStyle name="60% - Accent3 38" xfId="24805" xr:uid="{583027E3-09C1-44D3-9E5D-3ECACC6278F5}"/>
    <cellStyle name="60% - Accent3 39" xfId="24806" xr:uid="{3DCB46F9-221A-4BBE-800B-73599996FABA}"/>
    <cellStyle name="60% - Accent3 4" xfId="2061" xr:uid="{3731BFAA-F44E-483D-96BF-46C97F1FA3DA}"/>
    <cellStyle name="60% - Accent3 4 10" xfId="2062" xr:uid="{1645B685-814E-4885-A765-1017388926E7}"/>
    <cellStyle name="60% - Accent3 4 11" xfId="2063" xr:uid="{CB48DE9A-2808-411A-AFD4-BD2EE0BB09CB}"/>
    <cellStyle name="60% - Accent3 4 2" xfId="2064" xr:uid="{1BCA57F8-C392-4CD7-9278-D801123EC7CC}"/>
    <cellStyle name="60% - Accent3 4 3" xfId="2065" xr:uid="{16A85CBE-8B97-4A03-89E2-192D362499A2}"/>
    <cellStyle name="60% - Accent3 4 4" xfId="2066" xr:uid="{42A982CB-45CB-4356-A9BD-DB515E1A6C1D}"/>
    <cellStyle name="60% - Accent3 4 5" xfId="2067" xr:uid="{FFF83AF5-E07A-4208-8029-700DB80D9784}"/>
    <cellStyle name="60% - Accent3 4 6" xfId="2068" xr:uid="{AE628AD4-0E13-410B-BDDD-CD6F30499A62}"/>
    <cellStyle name="60% - Accent3 4 7" xfId="2069" xr:uid="{6BEC00D5-9D1A-47E5-9F6D-0EBCADF85A1A}"/>
    <cellStyle name="60% - Accent3 4 8" xfId="2070" xr:uid="{AF0AC428-375A-402E-94AF-45F87CF08136}"/>
    <cellStyle name="60% - Accent3 4 9" xfId="2071" xr:uid="{DF6DE3E1-FD53-43D7-92AD-D1245809945E}"/>
    <cellStyle name="60% - Accent3 40" xfId="24807" xr:uid="{772F00E5-D0DA-4AFA-98F5-9BFFD4828944}"/>
    <cellStyle name="60% - Accent3 41" xfId="24808" xr:uid="{AC68470B-C161-47C1-AC20-2B1B3F41D0B8}"/>
    <cellStyle name="60% - Accent3 42" xfId="24809" xr:uid="{4CA2F721-A3CF-467C-87A5-ACB066CE686F}"/>
    <cellStyle name="60% - Accent3 43" xfId="24810" xr:uid="{66E66EB1-D4F7-4461-B323-EDEF83EF7ED7}"/>
    <cellStyle name="60% - Accent3 44" xfId="95" xr:uid="{0EC5DF70-ADD1-4A65-8069-40E9AC186394}"/>
    <cellStyle name="60% - Accent3 45" xfId="45885" xr:uid="{202F6FF2-8776-484B-B205-7CACF7EF004D}"/>
    <cellStyle name="60% - Accent3 5" xfId="2072" xr:uid="{58ADD0D5-491A-478A-90FD-E6788208648F}"/>
    <cellStyle name="60% - Accent3 5 10" xfId="2073" xr:uid="{175F5666-3E46-4F8E-9F42-821722C9EAC4}"/>
    <cellStyle name="60% - Accent3 5 11" xfId="2074" xr:uid="{485AA8D8-EFB9-4783-A642-921E7010979F}"/>
    <cellStyle name="60% - Accent3 5 2" xfId="2075" xr:uid="{34B7D7F8-3123-49A3-AE15-C91DFC8AF1D5}"/>
    <cellStyle name="60% - Accent3 5 3" xfId="2076" xr:uid="{39EC641C-A200-4D51-8346-7F74DBB0E638}"/>
    <cellStyle name="60% - Accent3 5 4" xfId="2077" xr:uid="{DBBAB563-ADD5-44F9-A8A5-0655A9416B9E}"/>
    <cellStyle name="60% - Accent3 5 5" xfId="2078" xr:uid="{6874FFD2-7DE2-4489-B6D0-6F2D79576A64}"/>
    <cellStyle name="60% - Accent3 5 6" xfId="2079" xr:uid="{795C0D7E-C1E4-4992-8287-C4D8C86B113B}"/>
    <cellStyle name="60% - Accent3 5 7" xfId="2080" xr:uid="{FBCB3608-CB1D-4CEC-8DDB-8C7CEFA95F60}"/>
    <cellStyle name="60% - Accent3 5 8" xfId="2081" xr:uid="{F902AC1F-082D-4EBC-8B89-18A591F6FC1E}"/>
    <cellStyle name="60% - Accent3 5 9" xfId="2082" xr:uid="{9258F89D-6DD5-426A-8E32-EA202D7169D6}"/>
    <cellStyle name="60% - Accent3 6" xfId="2083" xr:uid="{DF16E4E7-BADE-4B97-BBDC-7CE74C67D17C}"/>
    <cellStyle name="60% - Accent3 6 10" xfId="2084" xr:uid="{5B8449CB-4534-4F1C-8C69-5117F64E00EA}"/>
    <cellStyle name="60% - Accent3 6 11" xfId="2085" xr:uid="{FCBC9578-EEB7-4113-8081-93DE9500D104}"/>
    <cellStyle name="60% - Accent3 6 2" xfId="2086" xr:uid="{B82F9054-BF51-4746-A126-7E455AB49B5E}"/>
    <cellStyle name="60% - Accent3 6 3" xfId="2087" xr:uid="{9434B099-006B-460C-928D-1DFFBF5EC68F}"/>
    <cellStyle name="60% - Accent3 6 4" xfId="2088" xr:uid="{A1E08B5C-54AD-4BFB-9225-A5AAF5EE3E17}"/>
    <cellStyle name="60% - Accent3 6 5" xfId="2089" xr:uid="{3DE50B07-8DF9-4B8C-B432-A17A54288B3C}"/>
    <cellStyle name="60% - Accent3 6 6" xfId="2090" xr:uid="{5701BD24-366B-42E8-A37D-D654BAE46C3C}"/>
    <cellStyle name="60% - Accent3 6 7" xfId="2091" xr:uid="{49C9207F-5D8C-48C5-919A-2F64294D0653}"/>
    <cellStyle name="60% - Accent3 6 8" xfId="2092" xr:uid="{91E37238-A70F-4135-8F93-DE67E762859A}"/>
    <cellStyle name="60% - Accent3 6 9" xfId="2093" xr:uid="{3285DA17-4E51-4F76-B8AC-2D46A26C2BCF}"/>
    <cellStyle name="60% - Accent3 7" xfId="2094" xr:uid="{755E842E-2C6E-481C-B60C-C068DA346833}"/>
    <cellStyle name="60% - Accent3 8" xfId="2095" xr:uid="{BD9A3F24-8F40-45E3-817F-30C725E4CE5F}"/>
    <cellStyle name="60% - Accent3 9" xfId="2096" xr:uid="{1836B280-2F29-4604-91EC-9F5AB6FDF908}"/>
    <cellStyle name="60% - Accent4" xfId="45800" builtinId="44" customBuiltin="1"/>
    <cellStyle name="60% - Accent4 10" xfId="2097" xr:uid="{CDE3E807-377C-4BD7-9B35-06E6BDF2729D}"/>
    <cellStyle name="60% - Accent4 11" xfId="24811" xr:uid="{F00A7EFE-5CD9-4C14-AAD2-F80BE8A5F20E}"/>
    <cellStyle name="60% - Accent4 12" xfId="24812" xr:uid="{58E69571-D3C8-4FD3-87AD-E13E6C5CA790}"/>
    <cellStyle name="60% - Accent4 13" xfId="24813" xr:uid="{41EF7104-0172-449B-BE06-8BBA22F464F4}"/>
    <cellStyle name="60% - Accent4 14" xfId="24814" xr:uid="{A652186A-361A-4CE6-A9A4-3F89947FAC6B}"/>
    <cellStyle name="60% - Accent4 15" xfId="24815" xr:uid="{CD26D571-0E4D-4F4D-9DE4-4114BE5BEFBE}"/>
    <cellStyle name="60% - Accent4 16" xfId="24816" xr:uid="{39270085-11F4-41F2-960C-30CEECA41D88}"/>
    <cellStyle name="60% - Accent4 17" xfId="24817" xr:uid="{7E765726-1E69-4598-8292-0B790A498C9B}"/>
    <cellStyle name="60% - Accent4 18" xfId="24818" xr:uid="{CE29AE3A-5D8E-4AC1-92D2-03FB21C30383}"/>
    <cellStyle name="60% - Accent4 19" xfId="24819" xr:uid="{DA738B24-4B1C-41A2-8928-8871D633280F}"/>
    <cellStyle name="60% - Accent4 2" xfId="2098" xr:uid="{A245D6FC-F538-43AD-8385-A158F8EC25BB}"/>
    <cellStyle name="60% - Accent4 2 10" xfId="2099" xr:uid="{FEF9C665-2448-4849-BE8C-27BDE3CA1CDB}"/>
    <cellStyle name="60% - Accent4 2 10 2" xfId="2100" xr:uid="{10421C54-EE32-4E4E-8A36-4682D986CA18}"/>
    <cellStyle name="60% - Accent4 2 11" xfId="2101" xr:uid="{EE54BB33-368F-4E5F-9D34-543DB96A4C2B}"/>
    <cellStyle name="60% - Accent4 2 12" xfId="44078" xr:uid="{506839B2-7DCB-4822-80D8-83DE7046C6C8}"/>
    <cellStyle name="60% - Accent4 2 2" xfId="2102" xr:uid="{0AACA45E-2841-4738-8B74-88BEF38F8D54}"/>
    <cellStyle name="60% - Accent4 2 2 2" xfId="2103" xr:uid="{5C5734C9-2F6B-4B9D-B897-7535ED72DACC}"/>
    <cellStyle name="60% - Accent4 2 3" xfId="2104" xr:uid="{697C3672-2FE5-4967-A054-600479185FF3}"/>
    <cellStyle name="60% - Accent4 2 3 2" xfId="2105" xr:uid="{8FC33EA1-55E2-4C52-9B2F-C00FAFA19AAA}"/>
    <cellStyle name="60% - Accent4 2 4" xfId="2106" xr:uid="{1D347000-38A5-4F2B-8574-B5D9E931E20A}"/>
    <cellStyle name="60% - Accent4 2 4 2" xfId="2107" xr:uid="{3331875A-B1D2-4263-9F92-B57CE0CB6DAA}"/>
    <cellStyle name="60% - Accent4 2 5" xfId="2108" xr:uid="{090D59AC-A447-4F6C-90E9-F5DF6C6AE466}"/>
    <cellStyle name="60% - Accent4 2 5 2" xfId="2109" xr:uid="{EDF585E0-46F2-4A47-A208-77DEBAADACEE}"/>
    <cellStyle name="60% - Accent4 2 6" xfId="2110" xr:uid="{6BB3A6D3-AE8C-4670-8D99-AD2011A5F3B8}"/>
    <cellStyle name="60% - Accent4 2 6 2" xfId="2111" xr:uid="{83AE70E4-D3D5-4D73-BF9B-0E65D95806DD}"/>
    <cellStyle name="60% - Accent4 2 7" xfId="2112" xr:uid="{AC4BB097-B309-4DFC-8774-68B75268426F}"/>
    <cellStyle name="60% - Accent4 2 7 2" xfId="2113" xr:uid="{00828B3C-05C3-44CC-AE07-039FE2E51565}"/>
    <cellStyle name="60% - Accent4 2 8" xfId="2114" xr:uid="{C3501DED-E154-45AB-A6FC-616F876BE7F2}"/>
    <cellStyle name="60% - Accent4 2 8 2" xfId="2115" xr:uid="{C0B9B28D-BB0E-4BC8-A5B6-D8F1F6CF7E92}"/>
    <cellStyle name="60% - Accent4 2 9" xfId="2116" xr:uid="{4D7D91DE-73FB-4CB8-A41A-2EE9407C0E2E}"/>
    <cellStyle name="60% - Accent4 2 9 2" xfId="2117" xr:uid="{308BEBB4-0EB0-4DF9-AA84-74016FE1B45A}"/>
    <cellStyle name="60% - Accent4 20" xfId="24820" xr:uid="{261F2BAB-68FF-42C3-A431-82F55375268D}"/>
    <cellStyle name="60% - Accent4 21" xfId="24821" xr:uid="{8BB93579-11A5-43D6-80EF-ABFE16711A0F}"/>
    <cellStyle name="60% - Accent4 22" xfId="24822" xr:uid="{72AC0D9C-8370-443A-88DC-C4B7912E747A}"/>
    <cellStyle name="60% - Accent4 23" xfId="24823" xr:uid="{3AE26FEC-B53D-497A-B8F1-D4DFEF6D0609}"/>
    <cellStyle name="60% - Accent4 24" xfId="24824" xr:uid="{3D55B78A-CAEE-400C-9B7E-3DA274278021}"/>
    <cellStyle name="60% - Accent4 25" xfId="24825" xr:uid="{3F185089-8793-44D1-A277-954DAD650D7F}"/>
    <cellStyle name="60% - Accent4 26" xfId="24826" xr:uid="{B82D9774-D031-4280-8561-B0BFF5CC9A45}"/>
    <cellStyle name="60% - Accent4 27" xfId="24827" xr:uid="{73C7F76C-6141-44A1-9BE0-9B34558BAF79}"/>
    <cellStyle name="60% - Accent4 28" xfId="24828" xr:uid="{88DA41E3-C819-4AC9-B6B8-3031A88C21C4}"/>
    <cellStyle name="60% - Accent4 29" xfId="24829" xr:uid="{52885F4B-1C71-4B9A-8A00-65DE29469E3D}"/>
    <cellStyle name="60% - Accent4 3" xfId="2118" xr:uid="{8D733B52-A14B-4660-9506-FD307F957CEC}"/>
    <cellStyle name="60% - Accent4 3 10" xfId="2119" xr:uid="{B89BB355-2E77-4C0A-8556-6BF145162E17}"/>
    <cellStyle name="60% - Accent4 3 11" xfId="2120" xr:uid="{652C4A55-1396-49B7-8488-4D16AF1A0F83}"/>
    <cellStyle name="60% - Accent4 3 12" xfId="2121" xr:uid="{B2919A8F-CDA7-487D-92F5-81E45B8D9070}"/>
    <cellStyle name="60% - Accent4 3 13" xfId="24830" xr:uid="{C964A30A-E70F-4E11-BF03-75839B7FA7CA}"/>
    <cellStyle name="60% - Accent4 3 14" xfId="44185" xr:uid="{DF46105B-E5CF-44D0-A32B-1984FF559D99}"/>
    <cellStyle name="60% - Accent4 3 2" xfId="2122" xr:uid="{92F58C7A-F5B8-42B4-AFA4-39724145D793}"/>
    <cellStyle name="60% - Accent4 3 2 2" xfId="24831" xr:uid="{813648D4-44A7-48FE-8F18-66035B91CB63}"/>
    <cellStyle name="60% - Accent4 3 3" xfId="2123" xr:uid="{410B8094-0526-4D3B-8E4B-2F6619A44CD1}"/>
    <cellStyle name="60% - Accent4 3 3 2" xfId="42272" xr:uid="{0DF75FF8-CD94-43F3-8026-D821EBD5B3C8}"/>
    <cellStyle name="60% - Accent4 3 4" xfId="2124" xr:uid="{9F013E57-4A60-43B8-A266-E3E7F30008E7}"/>
    <cellStyle name="60% - Accent4 3 5" xfId="2125" xr:uid="{281ED0A0-B4AB-48B8-9FF2-643C35EC681D}"/>
    <cellStyle name="60% - Accent4 3 6" xfId="2126" xr:uid="{8CE06010-676C-496D-8D8D-B138ADEE89D8}"/>
    <cellStyle name="60% - Accent4 3 7" xfId="2127" xr:uid="{59F8CDA0-8DA3-497E-AE3F-FA88F64BFCB4}"/>
    <cellStyle name="60% - Accent4 3 8" xfId="2128" xr:uid="{F34F359D-08D0-495A-B769-A7E6E4EBB836}"/>
    <cellStyle name="60% - Accent4 3 9" xfId="2129" xr:uid="{68287D3D-93BE-4355-B456-4B5948E51710}"/>
    <cellStyle name="60% - Accent4 30" xfId="24832" xr:uid="{C5289F60-324F-4AF8-8A39-8AC8469F1DF6}"/>
    <cellStyle name="60% - Accent4 31" xfId="24833" xr:uid="{D20A80CC-2658-4519-9DB5-69ABF164B450}"/>
    <cellStyle name="60% - Accent4 32" xfId="24834" xr:uid="{FDCC2F58-7D01-42C5-9C2C-994DCA78A5E3}"/>
    <cellStyle name="60% - Accent4 33" xfId="24835" xr:uid="{44920A8B-3001-4E5F-87AC-F1469A16E132}"/>
    <cellStyle name="60% - Accent4 34" xfId="24836" xr:uid="{A06E3174-BCE4-491F-BD4C-067F4AB935AC}"/>
    <cellStyle name="60% - Accent4 35" xfId="24837" xr:uid="{7B9B5F7C-8335-495A-BCE7-0444D13FC05C}"/>
    <cellStyle name="60% - Accent4 36" xfId="24838" xr:uid="{B2582FB0-F9E1-412C-B968-649AFDBDE88C}"/>
    <cellStyle name="60% - Accent4 37" xfId="24839" xr:uid="{5D573CE4-B3E2-4186-AAAB-E20ED83D5FC2}"/>
    <cellStyle name="60% - Accent4 38" xfId="24840" xr:uid="{34515C5F-C728-46E9-A51B-C16CB10BCD00}"/>
    <cellStyle name="60% - Accent4 39" xfId="24841" xr:uid="{25E35BFD-3CDC-4975-9CE1-532439738A75}"/>
    <cellStyle name="60% - Accent4 4" xfId="2130" xr:uid="{AFD23B7A-072C-454D-B047-84CF65749034}"/>
    <cellStyle name="60% - Accent4 4 10" xfId="2131" xr:uid="{3AE5C615-D315-4749-92EF-48D9C3A49062}"/>
    <cellStyle name="60% - Accent4 4 11" xfId="2132" xr:uid="{7CEB3E4E-34F7-4EBB-AE7C-942C82F76578}"/>
    <cellStyle name="60% - Accent4 4 2" xfId="2133" xr:uid="{0A26CA54-AB69-433D-A21D-14D7C5032B59}"/>
    <cellStyle name="60% - Accent4 4 3" xfId="2134" xr:uid="{01667569-C5E9-4CE4-A1E2-E1A55CFCC685}"/>
    <cellStyle name="60% - Accent4 4 4" xfId="2135" xr:uid="{1C2BB43B-436E-45D6-AB9F-016FDC43F3D9}"/>
    <cellStyle name="60% - Accent4 4 5" xfId="2136" xr:uid="{CB8E4966-9E47-4684-9790-5FE0A59398A1}"/>
    <cellStyle name="60% - Accent4 4 6" xfId="2137" xr:uid="{43236DD8-6035-43BA-B261-38DC735718A2}"/>
    <cellStyle name="60% - Accent4 4 7" xfId="2138" xr:uid="{D64064DC-422B-4E71-BD06-A89D391BA2BE}"/>
    <cellStyle name="60% - Accent4 4 8" xfId="2139" xr:uid="{90A3E491-16CC-4C4F-B92D-AA382FB113A7}"/>
    <cellStyle name="60% - Accent4 4 9" xfId="2140" xr:uid="{3220B28E-A607-4694-B1B8-D7D45ABFEDEE}"/>
    <cellStyle name="60% - Accent4 40" xfId="24842" xr:uid="{D98602B8-8F9F-4339-B127-9F96859BE267}"/>
    <cellStyle name="60% - Accent4 41" xfId="24843" xr:uid="{AE57D996-C6E0-4BE3-B7B5-876A22FB76E8}"/>
    <cellStyle name="60% - Accent4 42" xfId="24844" xr:uid="{D85FF1FE-483F-4C8D-A751-AE7394F32C24}"/>
    <cellStyle name="60% - Accent4 43" xfId="24845" xr:uid="{0FD65EB7-F6AE-4EC9-B06D-BFD0D2FA5AC9}"/>
    <cellStyle name="60% - Accent4 44" xfId="96" xr:uid="{BB633793-95D1-4A7B-A019-04AE8BCD0035}"/>
    <cellStyle name="60% - Accent4 45" xfId="45888" xr:uid="{943A0595-04A0-48CB-B857-C7606BC09B26}"/>
    <cellStyle name="60% - Accent4 5" xfId="2141" xr:uid="{E3F00309-1667-4B80-A98E-A4E8F4F2F2F5}"/>
    <cellStyle name="60% - Accent4 5 10" xfId="2142" xr:uid="{9B6AA1E7-8CCD-4586-B60B-F0A318A10AC9}"/>
    <cellStyle name="60% - Accent4 5 11" xfId="2143" xr:uid="{04D09A61-CC50-4C58-B383-12F82E96165E}"/>
    <cellStyle name="60% - Accent4 5 2" xfId="2144" xr:uid="{C04EE900-240F-4405-BF04-09969E3211C4}"/>
    <cellStyle name="60% - Accent4 5 3" xfId="2145" xr:uid="{D2CB2C75-8E41-4564-B348-EF188EAB2503}"/>
    <cellStyle name="60% - Accent4 5 4" xfId="2146" xr:uid="{0CFDD873-C6D3-44B2-8BFB-8B53EF9DC76E}"/>
    <cellStyle name="60% - Accent4 5 5" xfId="2147" xr:uid="{39F66368-2FAE-439A-A46A-53AC9764269D}"/>
    <cellStyle name="60% - Accent4 5 6" xfId="2148" xr:uid="{6F7B74F6-410F-41FE-BAC0-09DDF488C63A}"/>
    <cellStyle name="60% - Accent4 5 7" xfId="2149" xr:uid="{C19DE500-8A6A-4459-BBA1-8392895B0577}"/>
    <cellStyle name="60% - Accent4 5 8" xfId="2150" xr:uid="{84FC335D-EEAD-45D5-9B37-29CAC9DA2CB2}"/>
    <cellStyle name="60% - Accent4 5 9" xfId="2151" xr:uid="{342BC284-1130-4C03-B077-BDD077E4A3E2}"/>
    <cellStyle name="60% - Accent4 6" xfId="2152" xr:uid="{08711093-389A-47E7-8716-A44F79486B5C}"/>
    <cellStyle name="60% - Accent4 6 10" xfId="2153" xr:uid="{3F476B3C-6D1A-4772-BEA0-32840331731F}"/>
    <cellStyle name="60% - Accent4 6 11" xfId="2154" xr:uid="{F01F55BF-951B-49D4-9B15-8EA3CE4C28E1}"/>
    <cellStyle name="60% - Accent4 6 2" xfId="2155" xr:uid="{8EB67509-FCA6-4A72-99F7-E38C445054F4}"/>
    <cellStyle name="60% - Accent4 6 3" xfId="2156" xr:uid="{AE743465-D5CC-4EAE-BE1A-B0969CF7F436}"/>
    <cellStyle name="60% - Accent4 6 4" xfId="2157" xr:uid="{458F1A34-6611-41F0-A6CB-2B356B1FB303}"/>
    <cellStyle name="60% - Accent4 6 5" xfId="2158" xr:uid="{D4D40F6B-DBD4-4497-8A83-0D7A9CAF67E0}"/>
    <cellStyle name="60% - Accent4 6 6" xfId="2159" xr:uid="{6DF8F5D6-4164-4FCE-A1A5-2746C2C190C8}"/>
    <cellStyle name="60% - Accent4 6 7" xfId="2160" xr:uid="{50676AF5-E703-43D0-A299-8E31C9C3B863}"/>
    <cellStyle name="60% - Accent4 6 8" xfId="2161" xr:uid="{ED2AC352-B43E-4B95-9FB5-223158B5BD4E}"/>
    <cellStyle name="60% - Accent4 6 9" xfId="2162" xr:uid="{4D22DBFF-4EA9-42A0-9F73-4CBD8894CE09}"/>
    <cellStyle name="60% - Accent4 7" xfId="2163" xr:uid="{77C60EAC-FB2D-4A2F-AF4F-3FE1B0524D20}"/>
    <cellStyle name="60% - Accent4 8" xfId="2164" xr:uid="{89D133A6-BB6F-4E79-86F8-D6BEB0E91437}"/>
    <cellStyle name="60% - Accent4 9" xfId="2165" xr:uid="{7C82B5E2-ACE5-4973-B376-7E14CC822282}"/>
    <cellStyle name="60% - Accent5" xfId="45801" builtinId="48" customBuiltin="1"/>
    <cellStyle name="60% - Accent5 10" xfId="2166" xr:uid="{33562CD7-8C20-40AF-8047-8C954FD30C39}"/>
    <cellStyle name="60% - Accent5 11" xfId="24846" xr:uid="{09C721B6-504F-4015-9B55-CE7B5C54919D}"/>
    <cellStyle name="60% - Accent5 12" xfId="24847" xr:uid="{FBBE5B0F-C4BF-4E3E-A2C4-0C373849CF07}"/>
    <cellStyle name="60% - Accent5 13" xfId="24848" xr:uid="{9009CB43-8823-43A6-8F7E-2A090147508E}"/>
    <cellStyle name="60% - Accent5 14" xfId="24849" xr:uid="{85CB86E8-C19F-42C7-B06E-6551D870A5F6}"/>
    <cellStyle name="60% - Accent5 15" xfId="24850" xr:uid="{009AD696-4CA8-47AC-85C4-5D4C6772C60D}"/>
    <cellStyle name="60% - Accent5 16" xfId="24851" xr:uid="{8FACC10E-9BA3-47B4-9C5C-C62A912EAB38}"/>
    <cellStyle name="60% - Accent5 17" xfId="24852" xr:uid="{CA485A18-F3CE-4AF6-A125-3397EDC73380}"/>
    <cellStyle name="60% - Accent5 18" xfId="24853" xr:uid="{F98EE070-A7B8-4564-BB5F-A554B42B70BD}"/>
    <cellStyle name="60% - Accent5 19" xfId="24854" xr:uid="{C372F4A6-DA35-4265-A3E1-5CCEA96D57AF}"/>
    <cellStyle name="60% - Accent5 2" xfId="2167" xr:uid="{F2A00BB4-279A-49FB-826B-A5F970EA9C07}"/>
    <cellStyle name="60% - Accent5 2 10" xfId="2168" xr:uid="{CD3F7D21-C64C-4270-AF4E-DB62DF8CCFE6}"/>
    <cellStyle name="60% - Accent5 2 10 2" xfId="2169" xr:uid="{3600C506-12C0-42EA-A4C7-BBFF3A865961}"/>
    <cellStyle name="60% - Accent5 2 11" xfId="2170" xr:uid="{D2625393-141E-454B-B816-884A937C2B2D}"/>
    <cellStyle name="60% - Accent5 2 12" xfId="44079" xr:uid="{7290A52C-CA25-4164-8BFE-23A0551C5756}"/>
    <cellStyle name="60% - Accent5 2 2" xfId="2171" xr:uid="{04E0778C-A4D6-4D86-8294-B574BA028AC9}"/>
    <cellStyle name="60% - Accent5 2 2 2" xfId="2172" xr:uid="{F646324A-DDE2-4D37-A93C-98DD7E9764C7}"/>
    <cellStyle name="60% - Accent5 2 3" xfId="2173" xr:uid="{4824B58E-9D1D-470A-A782-813944BBA3DC}"/>
    <cellStyle name="60% - Accent5 2 3 2" xfId="2174" xr:uid="{9B67D678-79D4-4003-AA71-17B0BFADDD41}"/>
    <cellStyle name="60% - Accent5 2 4" xfId="2175" xr:uid="{7FFE9150-6974-4450-8495-1A8095A84608}"/>
    <cellStyle name="60% - Accent5 2 4 2" xfId="2176" xr:uid="{8B1E3264-46EF-4343-8E54-DCCAA4FD0D70}"/>
    <cellStyle name="60% - Accent5 2 5" xfId="2177" xr:uid="{F0EF7230-8824-45BA-899B-48B1AB20DC6D}"/>
    <cellStyle name="60% - Accent5 2 5 2" xfId="2178" xr:uid="{E8C47C9E-871C-47FC-A3CD-A013F7CCC003}"/>
    <cellStyle name="60% - Accent5 2 6" xfId="2179" xr:uid="{D6B4D10A-5772-41F1-8771-EA2AB565E584}"/>
    <cellStyle name="60% - Accent5 2 6 2" xfId="2180" xr:uid="{21F596F6-BE05-4B35-A404-7221BEA0AD0E}"/>
    <cellStyle name="60% - Accent5 2 7" xfId="2181" xr:uid="{5F292E8E-FAA5-4303-87AA-2BFA16396D26}"/>
    <cellStyle name="60% - Accent5 2 7 2" xfId="2182" xr:uid="{BA5EFFB9-7948-4A0B-A1EA-DA1D39482312}"/>
    <cellStyle name="60% - Accent5 2 8" xfId="2183" xr:uid="{ABA05193-BB6E-471E-9F55-44E620067214}"/>
    <cellStyle name="60% - Accent5 2 8 2" xfId="2184" xr:uid="{66593650-FFAD-453E-8675-1185088FF096}"/>
    <cellStyle name="60% - Accent5 2 9" xfId="2185" xr:uid="{F0206594-E3CF-4C6C-B482-88116DA02B5B}"/>
    <cellStyle name="60% - Accent5 2 9 2" xfId="2186" xr:uid="{B7C091E2-E67F-4892-99C2-1C370D29BA32}"/>
    <cellStyle name="60% - Accent5 20" xfId="24855" xr:uid="{0AB63A95-3C43-4590-BE8A-9FD2D82944F3}"/>
    <cellStyle name="60% - Accent5 21" xfId="24856" xr:uid="{FFF77DAB-13B2-4A54-83A2-FFED7388192B}"/>
    <cellStyle name="60% - Accent5 22" xfId="24857" xr:uid="{089617C6-1FF4-44C8-986B-3A897320B342}"/>
    <cellStyle name="60% - Accent5 23" xfId="24858" xr:uid="{30349962-A2FE-4F0C-87B6-A9445953265D}"/>
    <cellStyle name="60% - Accent5 24" xfId="24859" xr:uid="{13C20BE2-8053-403B-9219-C5C62E347A79}"/>
    <cellStyle name="60% - Accent5 25" xfId="24860" xr:uid="{46D99FC8-F438-48F9-91CE-0FF148558E0E}"/>
    <cellStyle name="60% - Accent5 26" xfId="24861" xr:uid="{AFB469D3-C58F-448E-A891-3E89991BA58B}"/>
    <cellStyle name="60% - Accent5 27" xfId="24862" xr:uid="{B54BBFD1-EA00-4D9D-A887-37D7A8407689}"/>
    <cellStyle name="60% - Accent5 28" xfId="24863" xr:uid="{45AD849C-462D-4B96-A64E-35792D9758A4}"/>
    <cellStyle name="60% - Accent5 29" xfId="24864" xr:uid="{5A336069-2C08-4825-964F-EAE52261C29A}"/>
    <cellStyle name="60% - Accent5 3" xfId="2187" xr:uid="{F0B4463C-5A2B-41AC-946C-E0644A38E9FE}"/>
    <cellStyle name="60% - Accent5 3 10" xfId="2188" xr:uid="{5B2170C5-2266-4972-8FD1-7DDA6D5036D9}"/>
    <cellStyle name="60% - Accent5 3 11" xfId="2189" xr:uid="{ACD8355A-DB48-4D51-8720-CBC65CA54137}"/>
    <cellStyle name="60% - Accent5 3 12" xfId="2190" xr:uid="{AB6BF958-E1F6-49A1-A96F-0BCC488CC311}"/>
    <cellStyle name="60% - Accent5 3 13" xfId="44186" xr:uid="{A7FBCA69-BE5C-4DBE-8C50-286D4B039A55}"/>
    <cellStyle name="60% - Accent5 3 2" xfId="2191" xr:uid="{751DC81F-3F1F-49E2-9E61-55F61E2E7726}"/>
    <cellStyle name="60% - Accent5 3 2 2" xfId="24865" xr:uid="{EBD46D7A-6620-4A6B-8CA0-D0EC8058DB53}"/>
    <cellStyle name="60% - Accent5 3 3" xfId="2192" xr:uid="{A4A24A97-E42E-4537-B40D-4F4148307D1D}"/>
    <cellStyle name="60% - Accent5 3 3 2" xfId="42273" xr:uid="{60D10639-1FCE-4870-BD81-1419653A2D8D}"/>
    <cellStyle name="60% - Accent5 3 4" xfId="2193" xr:uid="{F1FD01CD-1B5D-44C2-A175-4D6AA0EE4E71}"/>
    <cellStyle name="60% - Accent5 3 5" xfId="2194" xr:uid="{883C39C8-4775-4C01-BEE0-3691A098B1C8}"/>
    <cellStyle name="60% - Accent5 3 6" xfId="2195" xr:uid="{AA3EC3E2-1347-4173-A028-6E14048F3013}"/>
    <cellStyle name="60% - Accent5 3 7" xfId="2196" xr:uid="{F0C04475-D539-4853-9B05-48246B48084C}"/>
    <cellStyle name="60% - Accent5 3 8" xfId="2197" xr:uid="{0E88B06A-5A69-41EE-9797-3651869590F8}"/>
    <cellStyle name="60% - Accent5 3 9" xfId="2198" xr:uid="{1FFA2F82-D8AD-431A-8A9F-93194E417D69}"/>
    <cellStyle name="60% - Accent5 30" xfId="24866" xr:uid="{A984C0B5-2FD4-4079-98A9-74A0582D3E04}"/>
    <cellStyle name="60% - Accent5 31" xfId="24867" xr:uid="{CBE71131-3CB2-4F9A-90F5-DCC51C56E06F}"/>
    <cellStyle name="60% - Accent5 32" xfId="24868" xr:uid="{061014C5-26E1-45DF-9141-D52BAC3F2449}"/>
    <cellStyle name="60% - Accent5 33" xfId="24869" xr:uid="{4A8BD94A-1639-4900-914B-4899E7133387}"/>
    <cellStyle name="60% - Accent5 34" xfId="24870" xr:uid="{F7AD580A-5629-411C-B5C8-5ADD8D3C0247}"/>
    <cellStyle name="60% - Accent5 35" xfId="24871" xr:uid="{D461BAEF-31EF-4A70-AC1C-84CB500EA21E}"/>
    <cellStyle name="60% - Accent5 36" xfId="24872" xr:uid="{012E0BDF-94F4-4A62-B4F1-EDA87B2C8D5F}"/>
    <cellStyle name="60% - Accent5 37" xfId="24873" xr:uid="{FBBBCF17-EDE2-4F0A-A17B-B1DCB9C4C6CD}"/>
    <cellStyle name="60% - Accent5 38" xfId="24874" xr:uid="{F119C9AE-CBEE-4D8E-9EE6-F270AB162A19}"/>
    <cellStyle name="60% - Accent5 39" xfId="24875" xr:uid="{66AA7C8C-FA10-4FF0-B556-CCE5F13F370F}"/>
    <cellStyle name="60% - Accent5 4" xfId="2199" xr:uid="{FFAAFC0A-255D-4B67-A6E3-E7D543681F74}"/>
    <cellStyle name="60% - Accent5 4 10" xfId="2200" xr:uid="{18AC0CE4-DBE4-4C9D-824B-C4504773671C}"/>
    <cellStyle name="60% - Accent5 4 11" xfId="2201" xr:uid="{488E1B90-F8AB-4F07-86A7-BF8029D5DAD5}"/>
    <cellStyle name="60% - Accent5 4 2" xfId="2202" xr:uid="{C66ED662-3937-430D-BF56-1CE6F5B645D7}"/>
    <cellStyle name="60% - Accent5 4 3" xfId="2203" xr:uid="{FAFBEBDF-E5B9-4DF8-9B50-5BCC25A4A34B}"/>
    <cellStyle name="60% - Accent5 4 4" xfId="2204" xr:uid="{ABACF749-F12E-4C2B-AA69-35AFBFBA6E76}"/>
    <cellStyle name="60% - Accent5 4 5" xfId="2205" xr:uid="{54C96FBE-210E-45C8-83D4-E601283902E2}"/>
    <cellStyle name="60% - Accent5 4 6" xfId="2206" xr:uid="{2097AEC3-E739-4244-9438-A5615CDE7D84}"/>
    <cellStyle name="60% - Accent5 4 7" xfId="2207" xr:uid="{903B016F-1486-4288-96CC-34050C4FD939}"/>
    <cellStyle name="60% - Accent5 4 8" xfId="2208" xr:uid="{49CCCBBE-9693-47A8-A586-04A1DB409447}"/>
    <cellStyle name="60% - Accent5 4 9" xfId="2209" xr:uid="{476B401D-E983-4C61-9FCB-5EC13B115C55}"/>
    <cellStyle name="60% - Accent5 40" xfId="24876" xr:uid="{CDF948CA-DC1C-452B-B6D0-0C9B28E6E5A4}"/>
    <cellStyle name="60% - Accent5 41" xfId="24877" xr:uid="{0911BD45-3393-4972-966F-8F7EC0A2A9B0}"/>
    <cellStyle name="60% - Accent5 42" xfId="24878" xr:uid="{4F9524D8-C585-43E9-BF33-ED73900D0F99}"/>
    <cellStyle name="60% - Accent5 43" xfId="24879" xr:uid="{0F7DE8E5-32B5-432E-A852-DADAF7ACFF95}"/>
    <cellStyle name="60% - Accent5 44" xfId="97" xr:uid="{91BDA877-A73B-4DE6-8BB5-3454E75F72EE}"/>
    <cellStyle name="60% - Accent5 45" xfId="45891" xr:uid="{BB2C1BBA-05D8-4E3B-8548-159271045EA4}"/>
    <cellStyle name="60% - Accent5 5" xfId="2210" xr:uid="{3D5945CC-5030-464C-8D82-47A5E6EB6BBF}"/>
    <cellStyle name="60% - Accent5 5 10" xfId="2211" xr:uid="{E361DE61-F519-4D2D-8ACA-16207C5E755C}"/>
    <cellStyle name="60% - Accent5 5 11" xfId="2212" xr:uid="{AEAC32BD-BFB2-4589-A448-8B5397F10C84}"/>
    <cellStyle name="60% - Accent5 5 2" xfId="2213" xr:uid="{84FD3066-99AF-42EF-B5E2-FAF98665D16D}"/>
    <cellStyle name="60% - Accent5 5 3" xfId="2214" xr:uid="{A55B735C-5BA6-4BF8-B13B-925EE69C65A7}"/>
    <cellStyle name="60% - Accent5 5 4" xfId="2215" xr:uid="{51567C83-9410-41EA-92FD-33E1D8184883}"/>
    <cellStyle name="60% - Accent5 5 5" xfId="2216" xr:uid="{267BF0C3-8982-4387-A7C5-016F4FED936B}"/>
    <cellStyle name="60% - Accent5 5 6" xfId="2217" xr:uid="{9F943A9B-5331-4E35-9ACF-35395A074754}"/>
    <cellStyle name="60% - Accent5 5 7" xfId="2218" xr:uid="{CAE2EBD2-09C4-4211-92C7-1735814F5A66}"/>
    <cellStyle name="60% - Accent5 5 8" xfId="2219" xr:uid="{6E92C83D-2EDD-4B93-8A3A-2E724CF2593F}"/>
    <cellStyle name="60% - Accent5 5 9" xfId="2220" xr:uid="{55624A55-2B94-4AA2-98C5-347C7A0815E2}"/>
    <cellStyle name="60% - Accent5 6" xfId="2221" xr:uid="{7EF5C36C-B4AF-429D-8A51-A6D8161B3307}"/>
    <cellStyle name="60% - Accent5 6 10" xfId="2222" xr:uid="{A74E7B5A-DA08-4987-9FEF-F1AB1834EC5B}"/>
    <cellStyle name="60% - Accent5 6 11" xfId="2223" xr:uid="{E3C474FB-5919-4BFB-AC48-CB854FF04E9B}"/>
    <cellStyle name="60% - Accent5 6 2" xfId="2224" xr:uid="{6CDA6FC3-3803-41F7-942F-6CC33265C7CC}"/>
    <cellStyle name="60% - Accent5 6 3" xfId="2225" xr:uid="{6907E809-6364-48B0-82B3-92DBCA051E51}"/>
    <cellStyle name="60% - Accent5 6 4" xfId="2226" xr:uid="{CE343ED1-91A7-4CB8-8F7E-99C578AD7578}"/>
    <cellStyle name="60% - Accent5 6 5" xfId="2227" xr:uid="{71EDDE6B-2449-4265-9364-DB0592C840DC}"/>
    <cellStyle name="60% - Accent5 6 6" xfId="2228" xr:uid="{385A93F2-B9B7-4349-B379-9C1FE1B914A0}"/>
    <cellStyle name="60% - Accent5 6 7" xfId="2229" xr:uid="{97C567E6-CA9A-427B-9875-AFD17361D9C1}"/>
    <cellStyle name="60% - Accent5 6 8" xfId="2230" xr:uid="{8DF25E29-2DED-4624-A6C1-4E8C304C703F}"/>
    <cellStyle name="60% - Accent5 6 9" xfId="2231" xr:uid="{8E1B6469-83B4-40DE-A734-27BC31CE000C}"/>
    <cellStyle name="60% - Accent5 7" xfId="2232" xr:uid="{3CFC8134-DC96-4C8B-A3CB-01825ACDC97F}"/>
    <cellStyle name="60% - Accent5 8" xfId="2233" xr:uid="{793A4A91-BC61-49C1-9072-0C1204D132FB}"/>
    <cellStyle name="60% - Accent5 9" xfId="2234" xr:uid="{3FBD39DE-A730-4E57-B212-DA0333C969F4}"/>
    <cellStyle name="60% - Accent6" xfId="45802" builtinId="52" customBuiltin="1"/>
    <cellStyle name="60% - Accent6 10" xfId="2235" xr:uid="{C9A0992B-A2D3-422E-B1CA-4B7ED8338F05}"/>
    <cellStyle name="60% - Accent6 11" xfId="24880" xr:uid="{F768A3B3-5BCB-45F4-ADC2-093065EA1A98}"/>
    <cellStyle name="60% - Accent6 12" xfId="24881" xr:uid="{4B8F74F0-0397-4637-B58E-E6CC148B9E19}"/>
    <cellStyle name="60% - Accent6 13" xfId="24882" xr:uid="{88E25B9B-BD99-455C-A8D9-86A180B63C01}"/>
    <cellStyle name="60% - Accent6 14" xfId="24883" xr:uid="{B6EAD809-A499-4902-A3C2-B9980F36F1F4}"/>
    <cellStyle name="60% - Accent6 15" xfId="24884" xr:uid="{B4D0C265-E4CD-457A-BB7C-DC57BE545395}"/>
    <cellStyle name="60% - Accent6 16" xfId="24885" xr:uid="{C8E509A4-A613-45C7-B325-919AB196FE0E}"/>
    <cellStyle name="60% - Accent6 17" xfId="24886" xr:uid="{F0A5EED9-1EA8-4ACD-9D07-2C0FC6C3BA0D}"/>
    <cellStyle name="60% - Accent6 18" xfId="24887" xr:uid="{3C7B44D8-6A81-42B8-B945-67F8CE75568E}"/>
    <cellStyle name="60% - Accent6 19" xfId="24888" xr:uid="{7388930C-553B-48CA-9B17-5ED3AC64FD0C}"/>
    <cellStyle name="60% - Accent6 2" xfId="2236" xr:uid="{0C306CF3-1F92-46D3-9E2B-11F758408CED}"/>
    <cellStyle name="60% - Accent6 2 10" xfId="2237" xr:uid="{4460C4C9-0B28-476C-84CD-E3F0307CDA4B}"/>
    <cellStyle name="60% - Accent6 2 10 2" xfId="2238" xr:uid="{73D2C419-C5E5-4047-AEEE-97CD9522B872}"/>
    <cellStyle name="60% - Accent6 2 11" xfId="2239" xr:uid="{574F817B-B4A5-4166-8A23-F90C89E38DEA}"/>
    <cellStyle name="60% - Accent6 2 12" xfId="44080" xr:uid="{4531A74B-ACC5-4EC2-A549-43020A80326A}"/>
    <cellStyle name="60% - Accent6 2 2" xfId="2240" xr:uid="{6AC0DDE0-4246-4B11-A44A-FA00E86D0C49}"/>
    <cellStyle name="60% - Accent6 2 2 2" xfId="2241" xr:uid="{4426671F-02B2-412C-B0F6-027FBE706F90}"/>
    <cellStyle name="60% - Accent6 2 3" xfId="2242" xr:uid="{B95943CD-42E1-49BE-A966-9A306F6A4D70}"/>
    <cellStyle name="60% - Accent6 2 3 2" xfId="2243" xr:uid="{BF83C709-E9E8-4091-8725-B1FAB976EF9A}"/>
    <cellStyle name="60% - Accent6 2 4" xfId="2244" xr:uid="{75071870-808A-4F09-95D8-6AECCD044A28}"/>
    <cellStyle name="60% - Accent6 2 4 2" xfId="2245" xr:uid="{E6157AF7-666E-4F5C-8894-657CA264FFD8}"/>
    <cellStyle name="60% - Accent6 2 5" xfId="2246" xr:uid="{2B0C0A8E-0404-4822-9993-5259F488192E}"/>
    <cellStyle name="60% - Accent6 2 5 2" xfId="2247" xr:uid="{23745300-2D3B-42BF-ADA1-16024FF5487E}"/>
    <cellStyle name="60% - Accent6 2 6" xfId="2248" xr:uid="{AFC4F091-DE41-4D3E-9FB0-E2A248AB6F2E}"/>
    <cellStyle name="60% - Accent6 2 6 2" xfId="2249" xr:uid="{87B4A043-DD98-4E27-A529-9472D4F227B0}"/>
    <cellStyle name="60% - Accent6 2 7" xfId="2250" xr:uid="{8345577B-B682-4028-9D14-18A5DEA97742}"/>
    <cellStyle name="60% - Accent6 2 7 2" xfId="2251" xr:uid="{2C25C802-25BA-46F1-9117-1F2C20073253}"/>
    <cellStyle name="60% - Accent6 2 8" xfId="2252" xr:uid="{DC16E1AF-B7BF-4DC6-818F-430329D85A5D}"/>
    <cellStyle name="60% - Accent6 2 8 2" xfId="2253" xr:uid="{D6D97583-0703-490E-A724-907E9FF9B9E8}"/>
    <cellStyle name="60% - Accent6 2 9" xfId="2254" xr:uid="{5BA9E613-E7FA-461F-BB8E-C4ECEB3EA0E5}"/>
    <cellStyle name="60% - Accent6 2 9 2" xfId="2255" xr:uid="{D939964E-170C-46A0-873C-55945AD20C73}"/>
    <cellStyle name="60% - Accent6 20" xfId="24889" xr:uid="{3CE89FC0-DE3E-4215-A667-B6932A149BC5}"/>
    <cellStyle name="60% - Accent6 21" xfId="24890" xr:uid="{59B72731-0D23-4285-864C-B39894D9BDDD}"/>
    <cellStyle name="60% - Accent6 22" xfId="24891" xr:uid="{994E2194-F146-4BB0-8158-BAA4A4D7303A}"/>
    <cellStyle name="60% - Accent6 23" xfId="24892" xr:uid="{6F753253-6714-47D6-A95E-1562192E536F}"/>
    <cellStyle name="60% - Accent6 24" xfId="24893" xr:uid="{8FFF4794-B859-4779-B781-42D7E6DDA94A}"/>
    <cellStyle name="60% - Accent6 25" xfId="24894" xr:uid="{768C4884-2487-4406-A9C3-8A478D6B6409}"/>
    <cellStyle name="60% - Accent6 26" xfId="24895" xr:uid="{5CCFB893-1970-4CAA-9D00-FE95E0A485A3}"/>
    <cellStyle name="60% - Accent6 27" xfId="24896" xr:uid="{FE56C0C2-45A7-4F72-A7B8-20CDA7251A4B}"/>
    <cellStyle name="60% - Accent6 28" xfId="24897" xr:uid="{BB7B0C19-A346-45E4-962C-FAE271D7FF1E}"/>
    <cellStyle name="60% - Accent6 29" xfId="24898" xr:uid="{778AB26E-4CB2-429C-A683-84788A7854F8}"/>
    <cellStyle name="60% - Accent6 3" xfId="2256" xr:uid="{646EF9C2-9215-42AD-A4F8-A0687DDADCA9}"/>
    <cellStyle name="60% - Accent6 3 10" xfId="2257" xr:uid="{471474A9-5992-4BFC-B985-C7832845EE25}"/>
    <cellStyle name="60% - Accent6 3 11" xfId="2258" xr:uid="{B3CB3F9F-DA33-4F79-B183-DBDAA90A0D09}"/>
    <cellStyle name="60% - Accent6 3 12" xfId="2259" xr:uid="{8C4AC282-9AC2-461D-A5A3-94AF84951C8A}"/>
    <cellStyle name="60% - Accent6 3 13" xfId="24899" xr:uid="{4EEDC8E2-1CBF-4038-9DCB-0D10C59EDDC6}"/>
    <cellStyle name="60% - Accent6 3 14" xfId="44187" xr:uid="{9C1BCBA7-9CBC-4933-AA00-0DE7D36F5747}"/>
    <cellStyle name="60% - Accent6 3 2" xfId="2260" xr:uid="{6701E21D-5F39-481C-A756-B7CFD12C214E}"/>
    <cellStyle name="60% - Accent6 3 2 2" xfId="24900" xr:uid="{5AE0BB03-CA03-400A-8829-E9B16E6482B5}"/>
    <cellStyle name="60% - Accent6 3 3" xfId="2261" xr:uid="{FA5791F2-7339-4CB5-933F-6556D581F750}"/>
    <cellStyle name="60% - Accent6 3 3 2" xfId="42274" xr:uid="{FD71339D-D501-4315-998B-A113DEAB7F71}"/>
    <cellStyle name="60% - Accent6 3 4" xfId="2262" xr:uid="{F03DE5C3-0D56-4EED-9F5B-FBBEE2834AF8}"/>
    <cellStyle name="60% - Accent6 3 5" xfId="2263" xr:uid="{DAB84DCE-6363-42E5-BD70-44540C5C6B94}"/>
    <cellStyle name="60% - Accent6 3 6" xfId="2264" xr:uid="{3DD99C25-6E80-4454-82C7-1467CC9F0768}"/>
    <cellStyle name="60% - Accent6 3 7" xfId="2265" xr:uid="{72F27ACF-AF3E-4060-88C1-958EC6EB9ABC}"/>
    <cellStyle name="60% - Accent6 3 8" xfId="2266" xr:uid="{687EDA45-F6CD-4E97-9AFB-AB097C84504B}"/>
    <cellStyle name="60% - Accent6 3 9" xfId="2267" xr:uid="{133681DC-6C78-4922-A7F2-12D831B25898}"/>
    <cellStyle name="60% - Accent6 30" xfId="24901" xr:uid="{45B246A7-C0B8-47AA-BBAE-EFA912445446}"/>
    <cellStyle name="60% - Accent6 31" xfId="24902" xr:uid="{31D0D64C-A2A5-4BB3-99EC-4E7366296540}"/>
    <cellStyle name="60% - Accent6 32" xfId="24903" xr:uid="{5206710A-12D6-4930-8050-66874118B322}"/>
    <cellStyle name="60% - Accent6 33" xfId="24904" xr:uid="{0DE376C9-49F5-4C21-8457-0B170039FF66}"/>
    <cellStyle name="60% - Accent6 34" xfId="24905" xr:uid="{4DA282D0-DDF2-4233-B877-5C60A97B3C99}"/>
    <cellStyle name="60% - Accent6 35" xfId="24906" xr:uid="{BC9AA7DB-79F1-452E-B213-D57224B2A73F}"/>
    <cellStyle name="60% - Accent6 36" xfId="24907" xr:uid="{3F642AB4-340A-4DC7-B4FA-70E9F4369224}"/>
    <cellStyle name="60% - Accent6 37" xfId="24908" xr:uid="{0C0C76F8-E0E9-4F29-987C-7F8E29FABAE3}"/>
    <cellStyle name="60% - Accent6 38" xfId="24909" xr:uid="{77B3F978-7BBB-4D61-BA01-F33F1232B82B}"/>
    <cellStyle name="60% - Accent6 39" xfId="24910" xr:uid="{7992B2FA-E924-4FDF-9495-E83C91371B4E}"/>
    <cellStyle name="60% - Accent6 4" xfId="2268" xr:uid="{E25D712C-FA1C-49A9-A25A-82B06240F1F1}"/>
    <cellStyle name="60% - Accent6 4 10" xfId="2269" xr:uid="{C14705F2-BE65-4190-8866-B26871B17B13}"/>
    <cellStyle name="60% - Accent6 4 11" xfId="2270" xr:uid="{02364296-4DAC-43C7-845C-0659D574C011}"/>
    <cellStyle name="60% - Accent6 4 2" xfId="2271" xr:uid="{264C8C7C-695F-42DC-AD66-D43679320489}"/>
    <cellStyle name="60% - Accent6 4 3" xfId="2272" xr:uid="{F8B19076-70C3-466E-AC07-FFFF3A4D5B04}"/>
    <cellStyle name="60% - Accent6 4 4" xfId="2273" xr:uid="{2975E775-F919-41E6-8F44-2154400850D9}"/>
    <cellStyle name="60% - Accent6 4 5" xfId="2274" xr:uid="{CCD02057-84F3-45F6-9684-9734E8997F05}"/>
    <cellStyle name="60% - Accent6 4 6" xfId="2275" xr:uid="{4F528550-CB50-4073-B845-CD5E0AFE3F94}"/>
    <cellStyle name="60% - Accent6 4 7" xfId="2276" xr:uid="{A4D69247-FE51-4893-B605-FB60EE55AD45}"/>
    <cellStyle name="60% - Accent6 4 8" xfId="2277" xr:uid="{AF90E33D-F984-44AB-8C97-E769BD03474F}"/>
    <cellStyle name="60% - Accent6 4 9" xfId="2278" xr:uid="{79F49BEB-E681-4B2F-A8F4-631218BFC71E}"/>
    <cellStyle name="60% - Accent6 40" xfId="24911" xr:uid="{91D2746C-A093-4185-A352-165541F17A7D}"/>
    <cellStyle name="60% - Accent6 41" xfId="24912" xr:uid="{451BC075-C358-488E-99AC-0644DC64A18B}"/>
    <cellStyle name="60% - Accent6 42" xfId="24913" xr:uid="{19984AB9-0E8E-476A-BC66-9E999F0D788E}"/>
    <cellStyle name="60% - Accent6 43" xfId="24914" xr:uid="{D2E9FC85-20FD-473F-82BD-6129D6C4FF82}"/>
    <cellStyle name="60% - Accent6 44" xfId="98" xr:uid="{CA1CAF4E-C5AF-4DC6-AB5E-9B85BC2A39A3}"/>
    <cellStyle name="60% - Accent6 45" xfId="45894" xr:uid="{6FC2E845-B8D9-44F3-9E34-362D5D384FDD}"/>
    <cellStyle name="60% - Accent6 5" xfId="2279" xr:uid="{9CF98EC3-55EA-4A4B-A884-90E89B1FF63F}"/>
    <cellStyle name="60% - Accent6 5 10" xfId="2280" xr:uid="{1B4BD5A6-A245-4AFE-A35D-09725F7E8AA3}"/>
    <cellStyle name="60% - Accent6 5 11" xfId="2281" xr:uid="{2E40FDAE-44FF-4691-AD8C-DDC7ECBBCAC2}"/>
    <cellStyle name="60% - Accent6 5 2" xfId="2282" xr:uid="{42D376EE-031F-4216-BF9A-D27429D84560}"/>
    <cellStyle name="60% - Accent6 5 3" xfId="2283" xr:uid="{3D548EFE-BE3C-40DB-929F-7507ED813A14}"/>
    <cellStyle name="60% - Accent6 5 4" xfId="2284" xr:uid="{D6D9B0BD-3F79-4F2D-863F-625A6C969948}"/>
    <cellStyle name="60% - Accent6 5 5" xfId="2285" xr:uid="{D6D03262-5A16-4902-AC38-93EFB6DBBB7C}"/>
    <cellStyle name="60% - Accent6 5 6" xfId="2286" xr:uid="{B4F4C936-DB39-4123-9D4C-A8529B43C1F3}"/>
    <cellStyle name="60% - Accent6 5 7" xfId="2287" xr:uid="{E2A0D399-9B02-4657-9EB5-3A922DD524B8}"/>
    <cellStyle name="60% - Accent6 5 8" xfId="2288" xr:uid="{2883A773-6373-41D8-B3F6-E558130B289A}"/>
    <cellStyle name="60% - Accent6 5 9" xfId="2289" xr:uid="{BB1B24F2-5F45-484C-9CD7-29DED39853EE}"/>
    <cellStyle name="60% - Accent6 6" xfId="2290" xr:uid="{D682A199-CC24-4389-8A25-17D015A88494}"/>
    <cellStyle name="60% - Accent6 6 10" xfId="2291" xr:uid="{0B22236C-2BB9-45D0-8409-E034541673ED}"/>
    <cellStyle name="60% - Accent6 6 11" xfId="2292" xr:uid="{F6B30808-1CD2-4286-A53B-46D0C5064B70}"/>
    <cellStyle name="60% - Accent6 6 2" xfId="2293" xr:uid="{E5E889C8-874A-4690-9E14-EBC8113B0D2C}"/>
    <cellStyle name="60% - Accent6 6 3" xfId="2294" xr:uid="{7A593185-9842-40CC-82D7-9F87F760D56A}"/>
    <cellStyle name="60% - Accent6 6 4" xfId="2295" xr:uid="{9AD16279-91E4-47D8-AC68-190D709CCEC3}"/>
    <cellStyle name="60% - Accent6 6 5" xfId="2296" xr:uid="{FF5ABA92-4C43-4A8D-97D2-6E8E7E1D01C3}"/>
    <cellStyle name="60% - Accent6 6 6" xfId="2297" xr:uid="{57580226-B48F-4E06-A49C-DC62CF96FD00}"/>
    <cellStyle name="60% - Accent6 6 7" xfId="2298" xr:uid="{E80096BC-2990-433C-B531-A22A4B89EF95}"/>
    <cellStyle name="60% - Accent6 6 8" xfId="2299" xr:uid="{69D13481-7A91-48CA-8F82-CFFB31583FF8}"/>
    <cellStyle name="60% - Accent6 6 9" xfId="2300" xr:uid="{0327A6D4-B8BA-4C8E-852E-D5DC6F7AB212}"/>
    <cellStyle name="60% - Accent6 7" xfId="2301" xr:uid="{8E66E05F-5C2F-43E4-928D-8B766E547674}"/>
    <cellStyle name="60% - Accent6 8" xfId="2302" xr:uid="{54780210-7A6F-4C67-BD0E-5E914E06E8AA}"/>
    <cellStyle name="60% - Accent6 9" xfId="2303" xr:uid="{B5CF4A6E-84C3-4A05-B750-774FE1EDBE20}"/>
    <cellStyle name="60% - Akzent1" xfId="2304" xr:uid="{71A2E91E-2AFC-499F-ABC8-F9FBA35A4E79}"/>
    <cellStyle name="60% - Akzent2" xfId="2305" xr:uid="{CCF4205D-7A4A-4683-A685-A4FF7F99EFCD}"/>
    <cellStyle name="60% - Akzent3" xfId="2306" xr:uid="{1FE8DE01-0618-4AB8-898F-F3643E6E580D}"/>
    <cellStyle name="60% - Akzent4" xfId="2307" xr:uid="{99F8F05A-4C44-409F-8D18-286826A11D9B}"/>
    <cellStyle name="60% - Akzent5" xfId="2308" xr:uid="{4B97F458-2826-4F19-B0A7-4BE3936BD763}"/>
    <cellStyle name="60% - Akzent6" xfId="2309" xr:uid="{93D65D77-D80F-4B3D-A524-AAF370E32EA2}"/>
    <cellStyle name="60% - Colore 1" xfId="2310" xr:uid="{4F7E8AD1-A015-4236-9ADB-631B0D8AFFB0}"/>
    <cellStyle name="60% - Colore 2" xfId="2311" xr:uid="{261A6CBC-7B0E-437E-B17E-EE118BA9BD4D}"/>
    <cellStyle name="60% - Colore 3" xfId="2312" xr:uid="{306AB74B-3288-4A77-A7EE-A1A7EDEBF508}"/>
    <cellStyle name="60% - Colore 4" xfId="2313" xr:uid="{6D70400D-EA42-4AC8-A3F0-EF3CC100F2E1}"/>
    <cellStyle name="60% - Colore 5" xfId="2314" xr:uid="{6451C9C7-5963-41B1-AF66-782A7F715679}"/>
    <cellStyle name="60% - Colore 6" xfId="2315" xr:uid="{734E9A6C-6008-44B3-ABB4-C027396DEF32}"/>
    <cellStyle name="60% - Cor4 2" xfId="24915" xr:uid="{AC364E00-FB54-4747-87C5-7EDB15F927AB}"/>
    <cellStyle name="a_Calc_Outputs" xfId="24916" xr:uid="{360A0100-1D2F-448B-B041-E296B4B4CE8A}"/>
    <cellStyle name="Accent1" xfId="5911" builtinId="29" customBuiltin="1"/>
    <cellStyle name="Accent1 10" xfId="2316" xr:uid="{31ED285A-1EEB-4784-9FA5-4793108C1345}"/>
    <cellStyle name="Accent1 11" xfId="24917" xr:uid="{633F61C7-29AC-4852-B250-F853156073D2}"/>
    <cellStyle name="Accent1 12" xfId="24918" xr:uid="{051C99B1-5590-47C5-BBBC-65BC330C518F}"/>
    <cellStyle name="Accent1 13" xfId="24919" xr:uid="{935D656B-3367-4B11-8995-ACC60D609BAB}"/>
    <cellStyle name="Accent1 14" xfId="24920" xr:uid="{38CF605B-6F4B-4AD6-862F-AFC14B438F93}"/>
    <cellStyle name="Accent1 15" xfId="24921" xr:uid="{EDA3443D-889E-4CDF-831D-A7C94B8B3B63}"/>
    <cellStyle name="Accent1 16" xfId="24922" xr:uid="{787A9F85-7362-4E4C-B544-3C01FBD168E1}"/>
    <cellStyle name="Accent1 17" xfId="24923" xr:uid="{19242F77-1F7C-4898-A6CC-55D951EC7255}"/>
    <cellStyle name="Accent1 18" xfId="24924" xr:uid="{D5756C58-2782-4947-9F00-CBD0F15825D7}"/>
    <cellStyle name="Accent1 19" xfId="24925" xr:uid="{C7A1B4EF-7150-424C-BD5A-4D153DFDB240}"/>
    <cellStyle name="Accent1 2" xfId="2317" xr:uid="{A830C1D1-C8DC-4339-8CE9-C663655C5FA2}"/>
    <cellStyle name="Accent1 2 10" xfId="2318" xr:uid="{5C43CC05-BDB1-44C1-B06B-7F2323DEE951}"/>
    <cellStyle name="Accent1 2 10 2" xfId="2319" xr:uid="{2270A36A-5BDF-432D-AA24-E0045A31FE92}"/>
    <cellStyle name="Accent1 2 11" xfId="2320" xr:uid="{D0B60625-5F46-42E4-A518-C0A8EB7D9871}"/>
    <cellStyle name="Accent1 2 12" xfId="44081" xr:uid="{4BE1F8A5-CCA0-4E84-9E09-288E678ED8C1}"/>
    <cellStyle name="Accent1 2 2" xfId="2321" xr:uid="{0A71EC0B-E2A0-47C4-A744-A205E1FD438C}"/>
    <cellStyle name="Accent1 2 2 2" xfId="2322" xr:uid="{768B2B63-398E-4E09-BAE3-2B0ADDBB6725}"/>
    <cellStyle name="Accent1 2 3" xfId="2323" xr:uid="{4773E2BC-BA74-4686-B195-2E9A85D53F9B}"/>
    <cellStyle name="Accent1 2 3 2" xfId="2324" xr:uid="{FACE3F8D-6E5F-4166-A3AA-7A1076F41697}"/>
    <cellStyle name="Accent1 2 4" xfId="2325" xr:uid="{FB0CFB22-4E56-4C10-8691-E99CC5625E59}"/>
    <cellStyle name="Accent1 2 4 2" xfId="2326" xr:uid="{94BD3C77-47C6-4986-BA21-0D9B3B0B5EA5}"/>
    <cellStyle name="Accent1 2 5" xfId="2327" xr:uid="{0E6A5641-15D0-4E12-84B9-F4ACC89B447A}"/>
    <cellStyle name="Accent1 2 5 2" xfId="2328" xr:uid="{518D158F-4420-4796-93B6-7667453F1BD1}"/>
    <cellStyle name="Accent1 2 6" xfId="2329" xr:uid="{9C25B211-87E6-499B-804B-F03A03CA9F77}"/>
    <cellStyle name="Accent1 2 6 2" xfId="2330" xr:uid="{2484FD43-F4CB-4D56-A317-CA51AD1A75E4}"/>
    <cellStyle name="Accent1 2 7" xfId="2331" xr:uid="{71FBE3C5-E26C-4387-96F7-AA92200E0750}"/>
    <cellStyle name="Accent1 2 7 2" xfId="2332" xr:uid="{4DBC4BA4-E16E-473C-88C7-77FC52FCE6EE}"/>
    <cellStyle name="Accent1 2 8" xfId="2333" xr:uid="{CC46A5BC-2D39-46D7-A645-7B7818F3AF0B}"/>
    <cellStyle name="Accent1 2 8 2" xfId="2334" xr:uid="{3BA9C5B9-6235-45FD-AC85-3EB3B38A06A3}"/>
    <cellStyle name="Accent1 2 9" xfId="2335" xr:uid="{E4E3F929-4EB2-42EE-A084-345DC593F885}"/>
    <cellStyle name="Accent1 2 9 2" xfId="2336" xr:uid="{98CB84EB-F62E-4C58-9D55-30D6EFD8DA09}"/>
    <cellStyle name="Accent1 20" xfId="24926" xr:uid="{441F28B1-3D85-465E-84D4-4CCF062827F3}"/>
    <cellStyle name="Accent1 21" xfId="24927" xr:uid="{45874084-92C5-4AD6-82B9-DA2EA6220968}"/>
    <cellStyle name="Accent1 22" xfId="24928" xr:uid="{E05EDA36-9FF1-4901-9416-0C8D3DB2B465}"/>
    <cellStyle name="Accent1 23" xfId="24929" xr:uid="{1F664E33-8AC3-498C-9EB8-3B6D20E119FE}"/>
    <cellStyle name="Accent1 24" xfId="24930" xr:uid="{4257A6E2-E1F2-40E8-BD84-F34EFFC759C7}"/>
    <cellStyle name="Accent1 25" xfId="24931" xr:uid="{4D15F3CE-B4C7-4610-8D5E-648174CF3E75}"/>
    <cellStyle name="Accent1 26" xfId="24932" xr:uid="{73F9C8AC-E686-4AA4-9A9B-26D20D890C73}"/>
    <cellStyle name="Accent1 27" xfId="24933" xr:uid="{8636C9DB-B0F7-4362-AAB9-767922E00E2D}"/>
    <cellStyle name="Accent1 28" xfId="24934" xr:uid="{76B11A73-C905-4CBF-8AB7-582BBD9AC353}"/>
    <cellStyle name="Accent1 29" xfId="24935" xr:uid="{6EE82658-9914-4BCB-B6CD-79EB3E2E2EDD}"/>
    <cellStyle name="Accent1 3" xfId="2337" xr:uid="{5F4DD240-AEC3-4196-9DEF-CBFFFEED9797}"/>
    <cellStyle name="Accent1 3 10" xfId="2338" xr:uid="{CAC2FE84-1F0F-417C-B244-0C2F11A7E322}"/>
    <cellStyle name="Accent1 3 11" xfId="2339" xr:uid="{9D81D1DA-9288-4951-983C-1EAEE1C66A3B}"/>
    <cellStyle name="Accent1 3 12" xfId="2340" xr:uid="{85F660B8-390F-4A2C-8ACE-A7233C424B3D}"/>
    <cellStyle name="Accent1 3 13" xfId="44188" xr:uid="{B5E30C75-A822-455C-95EB-19E9EA1CE107}"/>
    <cellStyle name="Accent1 3 2" xfId="2341" xr:uid="{53B5E342-0CD2-4F42-BE20-F819BD23122A}"/>
    <cellStyle name="Accent1 3 2 2" xfId="24936" xr:uid="{DE513C6A-9999-425E-95E9-490E22279981}"/>
    <cellStyle name="Accent1 3 3" xfId="2342" xr:uid="{7ED4FDB4-2D61-4D3E-A2FF-70F4D0CD1C10}"/>
    <cellStyle name="Accent1 3 3 2" xfId="42275" xr:uid="{F222FD44-193E-4207-AB9A-6320DD73AEDB}"/>
    <cellStyle name="Accent1 3 4" xfId="2343" xr:uid="{6B28E63F-D75F-41C5-8AA1-BDC79133E40F}"/>
    <cellStyle name="Accent1 3 5" xfId="2344" xr:uid="{C8DA240C-DF72-4124-BBD7-4066BDE23F7B}"/>
    <cellStyle name="Accent1 3 6" xfId="2345" xr:uid="{9C929C96-88F6-453B-9FE9-B0C5A329A8F5}"/>
    <cellStyle name="Accent1 3 7" xfId="2346" xr:uid="{4313967A-D6AE-44EA-9312-E7329C4AD518}"/>
    <cellStyle name="Accent1 3 8" xfId="2347" xr:uid="{4CB9C478-3A48-4644-A509-E2566FDC67A4}"/>
    <cellStyle name="Accent1 3 9" xfId="2348" xr:uid="{A89727F2-710D-4C63-9747-DD9486EF2AD5}"/>
    <cellStyle name="Accent1 30" xfId="24937" xr:uid="{4AC19471-3BCD-4927-B9B1-1348DE8D7E79}"/>
    <cellStyle name="Accent1 31" xfId="24938" xr:uid="{AD81BA7F-998C-46A3-B80C-0C587B12DD69}"/>
    <cellStyle name="Accent1 32" xfId="24939" xr:uid="{52655BE4-4C78-4C45-B9B0-E767E9F074E6}"/>
    <cellStyle name="Accent1 33" xfId="24940" xr:uid="{E91F0F2C-80E2-415D-85B5-DBE9A0CD74F5}"/>
    <cellStyle name="Accent1 34" xfId="24941" xr:uid="{FF85DBD3-7B50-4418-A1D9-458523342990}"/>
    <cellStyle name="Accent1 35" xfId="24942" xr:uid="{C8D6E4A7-A57C-458A-8647-26C340DEEBE3}"/>
    <cellStyle name="Accent1 36" xfId="24943" xr:uid="{0D92006A-2299-4824-964E-DD31388E6352}"/>
    <cellStyle name="Accent1 37" xfId="24944" xr:uid="{EC8D70EF-6BFA-40D4-8C8A-3BDEE57F5B2C}"/>
    <cellStyle name="Accent1 38" xfId="24945" xr:uid="{CF68682D-85E6-4589-B731-D7F265DE7FDC}"/>
    <cellStyle name="Accent1 39" xfId="24946" xr:uid="{3EBBE8B2-75F2-4EF1-80D4-5C2B26C2C067}"/>
    <cellStyle name="Accent1 4" xfId="2349" xr:uid="{3D7C942F-8256-474C-81C5-29BF2B7ED195}"/>
    <cellStyle name="Accent1 4 10" xfId="2350" xr:uid="{223B5ED6-60D2-490C-87AB-0A9EB291918C}"/>
    <cellStyle name="Accent1 4 11" xfId="2351" xr:uid="{993C564E-2D12-4F27-8E9D-464233C30042}"/>
    <cellStyle name="Accent1 4 2" xfId="2352" xr:uid="{7570082C-7E35-4CB7-A45C-3ACE46878A12}"/>
    <cellStyle name="Accent1 4 3" xfId="2353" xr:uid="{812B763F-2719-426F-BEE9-5EBF874B74A9}"/>
    <cellStyle name="Accent1 4 4" xfId="2354" xr:uid="{525F2E10-B4E4-4942-8116-1C781F37277D}"/>
    <cellStyle name="Accent1 4 5" xfId="2355" xr:uid="{426A3D35-C30F-4BF7-9ADF-2E88B8800E1D}"/>
    <cellStyle name="Accent1 4 6" xfId="2356" xr:uid="{F5037E52-ED1E-4DF3-A014-1A810727C133}"/>
    <cellStyle name="Accent1 4 7" xfId="2357" xr:uid="{42241DC0-48C8-42ED-8E91-5A28D5A32733}"/>
    <cellStyle name="Accent1 4 8" xfId="2358" xr:uid="{A8155099-E2D1-403E-B675-60B844F10B24}"/>
    <cellStyle name="Accent1 4 9" xfId="2359" xr:uid="{6F250BE5-0552-4EF1-8F5D-F8BFCAF10234}"/>
    <cellStyle name="Accent1 40" xfId="24947" xr:uid="{B91878C4-D01C-4418-BB41-72FCFD5E144F}"/>
    <cellStyle name="Accent1 41" xfId="24948" xr:uid="{A33E1409-6B96-40A4-8A0D-F83C82E31E46}"/>
    <cellStyle name="Accent1 42" xfId="24949" xr:uid="{D8EC73F4-564B-4BBB-9547-571F6029396C}"/>
    <cellStyle name="Accent1 43" xfId="24950" xr:uid="{CB75CAB9-17D8-4D5A-95D0-ACE6F83EF750}"/>
    <cellStyle name="Accent1 44" xfId="45858" xr:uid="{91D14243-E86B-4F48-8C75-532A7D287FB8}"/>
    <cellStyle name="Accent1 5" xfId="2360" xr:uid="{494E4866-8C6C-47FB-95CE-51272D49B2F1}"/>
    <cellStyle name="Accent1 5 10" xfId="2361" xr:uid="{19639735-B5B5-497A-A3B4-30A8665A2E95}"/>
    <cellStyle name="Accent1 5 11" xfId="2362" xr:uid="{4BC3E0A7-F9E7-465F-8A0C-442EAAA96E0C}"/>
    <cellStyle name="Accent1 5 2" xfId="2363" xr:uid="{D75A56A1-6CD1-436A-A543-5D6A6749761A}"/>
    <cellStyle name="Accent1 5 3" xfId="2364" xr:uid="{4CFA3E86-4986-444D-86DF-1B2C08BD13BB}"/>
    <cellStyle name="Accent1 5 4" xfId="2365" xr:uid="{FAEDD834-07A2-499A-A2C9-313F4069B7A9}"/>
    <cellStyle name="Accent1 5 5" xfId="2366" xr:uid="{C727FA12-DE76-41EE-BFF2-791CA5FB35C1}"/>
    <cellStyle name="Accent1 5 6" xfId="2367" xr:uid="{A1EAD9A6-FFA4-41E0-95AB-2A3762B06BF9}"/>
    <cellStyle name="Accent1 5 7" xfId="2368" xr:uid="{BAC72C86-53BD-43D2-9E73-118C08235786}"/>
    <cellStyle name="Accent1 5 8" xfId="2369" xr:uid="{24C73559-9CFA-464B-90A5-BAA9188CFFA7}"/>
    <cellStyle name="Accent1 5 9" xfId="2370" xr:uid="{ABB75F5A-4155-4A69-AFA7-F91E6F67502A}"/>
    <cellStyle name="Accent1 6" xfId="2371" xr:uid="{F4E26085-91DF-44A7-82D1-27FFDDBD7B82}"/>
    <cellStyle name="Accent1 6 10" xfId="2372" xr:uid="{8A2B3C02-4B1D-4EE8-BC40-3E1E3953BD07}"/>
    <cellStyle name="Accent1 6 11" xfId="2373" xr:uid="{039B51DB-6D0D-42D5-92F1-D0B98A4B9F02}"/>
    <cellStyle name="Accent1 6 2" xfId="2374" xr:uid="{8FE16EB9-49D5-49F5-B708-5A7B84C5F689}"/>
    <cellStyle name="Accent1 6 3" xfId="2375" xr:uid="{4646DA1E-4256-4759-86C3-4E6D174ED1EB}"/>
    <cellStyle name="Accent1 6 4" xfId="2376" xr:uid="{A254253A-5AB8-4949-9527-7BED61F2E128}"/>
    <cellStyle name="Accent1 6 5" xfId="2377" xr:uid="{E7D74DCB-D939-4234-9216-9C6EF8DB1D70}"/>
    <cellStyle name="Accent1 6 6" xfId="2378" xr:uid="{66EE13E6-971D-4A43-9A23-B3C113D0AABE}"/>
    <cellStyle name="Accent1 6 7" xfId="2379" xr:uid="{0CD447B5-2BCD-44FE-879B-E30C907CCF4B}"/>
    <cellStyle name="Accent1 6 8" xfId="2380" xr:uid="{85CDD340-DC0C-4E6C-9774-4E2FBCF80B89}"/>
    <cellStyle name="Accent1 6 9" xfId="2381" xr:uid="{1F9CEA41-4AFF-4E3D-952D-52894D7F54B5}"/>
    <cellStyle name="Accent1 7" xfId="2382" xr:uid="{178A05D0-6D87-4D15-AAA0-1F3468EFA13D}"/>
    <cellStyle name="Accent1 8" xfId="2383" xr:uid="{20562E08-CA45-4B87-BE06-E8F7F135B137}"/>
    <cellStyle name="Accent1 9" xfId="2384" xr:uid="{40B35B7F-926E-430D-B68C-60AE871769A6}"/>
    <cellStyle name="Accent2" xfId="5912" builtinId="33" customBuiltin="1"/>
    <cellStyle name="Accent2 10" xfId="2385" xr:uid="{55BF4254-BAFB-40A5-A97E-AC7537B7E52D}"/>
    <cellStyle name="Accent2 11" xfId="24951" xr:uid="{900F098B-38D9-416E-9C6B-D5E43C00B2F4}"/>
    <cellStyle name="Accent2 12" xfId="24952" xr:uid="{CAF1D55A-9C48-406F-861F-3A677554BC4F}"/>
    <cellStyle name="Accent2 13" xfId="24953" xr:uid="{53080D7F-E60B-49D2-99E4-AC8EE48CCCE0}"/>
    <cellStyle name="Accent2 14" xfId="24954" xr:uid="{F5E075E4-8AC2-4647-9A01-7F67CEAF686F}"/>
    <cellStyle name="Accent2 15" xfId="24955" xr:uid="{B6B23F3D-1387-4440-A8D8-07565D1279E0}"/>
    <cellStyle name="Accent2 16" xfId="24956" xr:uid="{DF843EE0-ECC8-4E86-BD66-489E92510784}"/>
    <cellStyle name="Accent2 17" xfId="24957" xr:uid="{3B550CB7-C1AB-4874-9C31-DF9978201354}"/>
    <cellStyle name="Accent2 18" xfId="24958" xr:uid="{D275A154-DAC7-4312-BF86-B9B1413833CE}"/>
    <cellStyle name="Accent2 19" xfId="24959" xr:uid="{E332FEFF-CB7A-4D9E-A51A-CF7B6D6C1E0C}"/>
    <cellStyle name="Accent2 2" xfId="2386" xr:uid="{081BCAB8-1324-4678-8F84-44C902EA4074}"/>
    <cellStyle name="Accent2 2 10" xfId="2387" xr:uid="{30830574-19AF-4463-A7DE-C21FC2944BCF}"/>
    <cellStyle name="Accent2 2 10 2" xfId="2388" xr:uid="{E8E3D256-3504-429F-A7C9-C56D03B5A579}"/>
    <cellStyle name="Accent2 2 11" xfId="2389" xr:uid="{E4FC1FC1-A5B2-4E89-808B-34BB0FD8BCEC}"/>
    <cellStyle name="Accent2 2 12" xfId="44082" xr:uid="{92920E96-3562-4FE3-B2E7-DAFE52FE7855}"/>
    <cellStyle name="Accent2 2 2" xfId="2390" xr:uid="{4A5D2440-A5ED-43BE-BB49-2C18F417668C}"/>
    <cellStyle name="Accent2 2 2 2" xfId="2391" xr:uid="{59CC2183-B31B-4979-A7C8-D44B564B1A49}"/>
    <cellStyle name="Accent2 2 3" xfId="2392" xr:uid="{46367603-8C07-49F1-8494-5DD00E761E7F}"/>
    <cellStyle name="Accent2 2 3 2" xfId="2393" xr:uid="{E7D40B22-C1D2-4BEE-B27C-A050D9322C30}"/>
    <cellStyle name="Accent2 2 4" xfId="2394" xr:uid="{2CA21C74-BC0F-40DC-A954-000ED2D657FA}"/>
    <cellStyle name="Accent2 2 4 2" xfId="2395" xr:uid="{42D34FC5-6325-4C03-8685-A193E900DC3D}"/>
    <cellStyle name="Accent2 2 5" xfId="2396" xr:uid="{135CFC70-6185-499A-9B2E-C5A8C2E36053}"/>
    <cellStyle name="Accent2 2 5 2" xfId="2397" xr:uid="{553CB04E-EC05-425E-B06F-6E6E9BCFF844}"/>
    <cellStyle name="Accent2 2 6" xfId="2398" xr:uid="{721069BF-97FE-4297-BD74-772D08854C26}"/>
    <cellStyle name="Accent2 2 6 2" xfId="2399" xr:uid="{E68FB330-AC86-4981-9DBD-A2C2313A8031}"/>
    <cellStyle name="Accent2 2 7" xfId="2400" xr:uid="{EC80983F-A5CD-48F5-95F6-C63CC77FD60F}"/>
    <cellStyle name="Accent2 2 7 2" xfId="2401" xr:uid="{ADD12EAE-3CC9-4939-BD62-132AD529EC84}"/>
    <cellStyle name="Accent2 2 8" xfId="2402" xr:uid="{7BCED979-E0A1-46FE-8CCD-3D4DE542357B}"/>
    <cellStyle name="Accent2 2 8 2" xfId="2403" xr:uid="{3E5D5539-6C3F-4972-B50F-ACA399290464}"/>
    <cellStyle name="Accent2 2 9" xfId="2404" xr:uid="{5209520C-C183-46C8-8A4A-58C1E4EC46EB}"/>
    <cellStyle name="Accent2 2 9 2" xfId="2405" xr:uid="{20C9CF3E-0FEF-4487-97B3-50D6481599FD}"/>
    <cellStyle name="Accent2 20" xfId="24960" xr:uid="{2A811863-F061-4A72-88FA-AEF44101BACF}"/>
    <cellStyle name="Accent2 21" xfId="24961" xr:uid="{35D9EC84-5027-4D4E-BB74-A42CCB9DE604}"/>
    <cellStyle name="Accent2 22" xfId="24962" xr:uid="{EE4E8D6B-D2D0-479C-858A-670A8D32FBBD}"/>
    <cellStyle name="Accent2 23" xfId="24963" xr:uid="{E2B3D8FB-9349-4817-8737-7C8B255A08C6}"/>
    <cellStyle name="Accent2 24" xfId="24964" xr:uid="{319579B3-9809-4700-AAD1-E1D033660E89}"/>
    <cellStyle name="Accent2 25" xfId="24965" xr:uid="{55532A62-F0F5-4829-A070-0C454035F87A}"/>
    <cellStyle name="Accent2 26" xfId="24966" xr:uid="{C6C680B7-41A5-44A2-B491-6A8869A98DED}"/>
    <cellStyle name="Accent2 27" xfId="24967" xr:uid="{A2BD543A-604E-4FB5-9C04-DE95019C0B55}"/>
    <cellStyle name="Accent2 28" xfId="24968" xr:uid="{1420138F-BA15-46D4-A1C6-B34C61C8D672}"/>
    <cellStyle name="Accent2 29" xfId="24969" xr:uid="{6897A41A-AEFD-4023-93F3-3473F486D4B7}"/>
    <cellStyle name="Accent2 3" xfId="2406" xr:uid="{17BAE2F4-6071-40BB-9454-ECB1FE8C46D1}"/>
    <cellStyle name="Accent2 3 10" xfId="2407" xr:uid="{99976930-051B-43C3-9E42-4A0E141FEB1E}"/>
    <cellStyle name="Accent2 3 11" xfId="2408" xr:uid="{9A6C1298-1C35-430F-B93C-A9666624117D}"/>
    <cellStyle name="Accent2 3 12" xfId="2409" xr:uid="{4943A42C-0A29-4FA9-8D4E-274291B7F258}"/>
    <cellStyle name="Accent2 3 13" xfId="44189" xr:uid="{889358E2-462C-4043-B481-C13B7FCB379D}"/>
    <cellStyle name="Accent2 3 2" xfId="2410" xr:uid="{9F14D0A2-DF50-4CCC-8C59-4C4982D07AE2}"/>
    <cellStyle name="Accent2 3 2 2" xfId="24970" xr:uid="{A49CC31D-478A-42AD-85D9-F2B8C8AA5EAD}"/>
    <cellStyle name="Accent2 3 3" xfId="2411" xr:uid="{B4BD4B9F-465F-407F-98F8-7E40EC0256D6}"/>
    <cellStyle name="Accent2 3 3 2" xfId="42276" xr:uid="{56F02CE6-65A4-46E2-B1B3-7FE6BC89A50F}"/>
    <cellStyle name="Accent2 3 4" xfId="2412" xr:uid="{907E3690-686E-4F9D-8913-D6FE05EA4C34}"/>
    <cellStyle name="Accent2 3 5" xfId="2413" xr:uid="{314A0436-9EF5-4C5E-8AF4-81CBABD41F84}"/>
    <cellStyle name="Accent2 3 6" xfId="2414" xr:uid="{0E2F572F-DB57-424D-9C4C-D2018772EEC9}"/>
    <cellStyle name="Accent2 3 7" xfId="2415" xr:uid="{3F490B24-7332-4F4A-96EB-EC3A53BE0411}"/>
    <cellStyle name="Accent2 3 8" xfId="2416" xr:uid="{B15A80AA-47EC-4833-8957-73F9B23BB94F}"/>
    <cellStyle name="Accent2 3 9" xfId="2417" xr:uid="{9D58713A-6D29-476B-BAE8-1619633E78ED}"/>
    <cellStyle name="Accent2 30" xfId="24971" xr:uid="{5A7A5584-188E-4D7D-89C9-64E19B5450DD}"/>
    <cellStyle name="Accent2 31" xfId="24972" xr:uid="{97D5FF3B-6996-462B-A14B-36CB75536F48}"/>
    <cellStyle name="Accent2 32" xfId="24973" xr:uid="{96205A84-EA54-4E35-BDE2-AC58B2542E72}"/>
    <cellStyle name="Accent2 33" xfId="24974" xr:uid="{C67B8470-C512-4B6D-A156-092E0F85EA7D}"/>
    <cellStyle name="Accent2 34" xfId="24975" xr:uid="{64B27491-44C8-457A-B88B-E37B74E85A17}"/>
    <cellStyle name="Accent2 35" xfId="24976" xr:uid="{89CE6279-3971-4CEA-9593-608DEE6FC491}"/>
    <cellStyle name="Accent2 36" xfId="24977" xr:uid="{4CAC12CC-FD9D-4A7A-8DCB-EB48A05C7A9A}"/>
    <cellStyle name="Accent2 37" xfId="24978" xr:uid="{E2D90991-2A9D-4437-83DE-C06B265DEE0B}"/>
    <cellStyle name="Accent2 38" xfId="24979" xr:uid="{C177196E-B85C-4DA5-80A7-849C50B5FE62}"/>
    <cellStyle name="Accent2 39" xfId="24980" xr:uid="{48D0C6D6-90A6-4CFB-8A09-66C82DEDB6AF}"/>
    <cellStyle name="Accent2 4" xfId="2418" xr:uid="{1F69B41E-B453-4506-8F4C-1C7431D4FEBB}"/>
    <cellStyle name="Accent2 4 10" xfId="2419" xr:uid="{14CE460F-63DD-4C1B-915B-71DF2F023DDF}"/>
    <cellStyle name="Accent2 4 11" xfId="2420" xr:uid="{F3DB41D5-F280-49FF-BA3D-2B218BFC23F2}"/>
    <cellStyle name="Accent2 4 2" xfId="2421" xr:uid="{75715014-85B0-4D1C-A0E8-D8B21D7F3242}"/>
    <cellStyle name="Accent2 4 3" xfId="2422" xr:uid="{D32FBA30-5D3A-48E9-88F6-4E0C91739F66}"/>
    <cellStyle name="Accent2 4 4" xfId="2423" xr:uid="{AEE1DCF3-61E4-415B-AF24-BEA462C404A9}"/>
    <cellStyle name="Accent2 4 5" xfId="2424" xr:uid="{A76575D4-02AB-4401-B091-96195F7A3646}"/>
    <cellStyle name="Accent2 4 6" xfId="2425" xr:uid="{F941820C-9D08-42DC-B37F-9040042E31BD}"/>
    <cellStyle name="Accent2 4 7" xfId="2426" xr:uid="{E9B5202D-0254-4B06-8171-D59C302CE2EB}"/>
    <cellStyle name="Accent2 4 8" xfId="2427" xr:uid="{23758E66-8287-467F-8BD6-B9A42C3A63DE}"/>
    <cellStyle name="Accent2 4 9" xfId="2428" xr:uid="{DDDF9B0B-A94E-4476-92CE-2EE4103589CF}"/>
    <cellStyle name="Accent2 40" xfId="24981" xr:uid="{84866B85-461E-44EB-8151-9130F9936C90}"/>
    <cellStyle name="Accent2 41" xfId="24982" xr:uid="{FBAD0FF4-12FE-4E83-9073-CEF9AA394621}"/>
    <cellStyle name="Accent2 42" xfId="24983" xr:uid="{81DE6FDF-A2AC-4A10-B213-52D0B443F18C}"/>
    <cellStyle name="Accent2 43" xfId="24984" xr:uid="{B841D072-44EE-4B82-9D60-89499CCB418A}"/>
    <cellStyle name="Accent2 44" xfId="45779" xr:uid="{7AC64F52-C163-4AB9-BD9B-EDC2A26C401A}"/>
    <cellStyle name="Accent2 5" xfId="2429" xr:uid="{AFA7734A-BD78-4396-A1E9-9C0CDBD973BC}"/>
    <cellStyle name="Accent2 5 10" xfId="2430" xr:uid="{C2CCBAC0-FE3A-4C2B-B61D-D6BC2043296B}"/>
    <cellStyle name="Accent2 5 11" xfId="2431" xr:uid="{EFB77067-A706-4CE6-A71A-460E38E2812B}"/>
    <cellStyle name="Accent2 5 2" xfId="2432" xr:uid="{EA67A32D-E7EA-43F8-985F-05EA23A01255}"/>
    <cellStyle name="Accent2 5 3" xfId="2433" xr:uid="{79DD334F-1A44-4379-AF66-571DD95A4952}"/>
    <cellStyle name="Accent2 5 4" xfId="2434" xr:uid="{C7121D37-6CD7-42F1-91AE-88E447DA7DC2}"/>
    <cellStyle name="Accent2 5 5" xfId="2435" xr:uid="{89739D14-7D9E-46DC-8C3F-1FDD6A6F61EA}"/>
    <cellStyle name="Accent2 5 6" xfId="2436" xr:uid="{6669240F-18F7-40EA-A2EE-8479195D70AE}"/>
    <cellStyle name="Accent2 5 7" xfId="2437" xr:uid="{0183FD7A-EF22-4CC4-933D-66B7E2EA4309}"/>
    <cellStyle name="Accent2 5 8" xfId="2438" xr:uid="{70CA5D05-D56C-436B-BC2F-005FE8EDC6EC}"/>
    <cellStyle name="Accent2 5 9" xfId="2439" xr:uid="{074C8424-04A3-41C6-A02D-D37510F84E5B}"/>
    <cellStyle name="Accent2 6" xfId="2440" xr:uid="{7854DE0E-2192-43FB-BD1B-85279B02CC3B}"/>
    <cellStyle name="Accent2 6 10" xfId="2441" xr:uid="{8AE0545B-E668-4576-AC0C-F85F4C3ACAE1}"/>
    <cellStyle name="Accent2 6 11" xfId="2442" xr:uid="{2FD5A142-6F00-48B9-B636-A62855A53483}"/>
    <cellStyle name="Accent2 6 2" xfId="2443" xr:uid="{DF8B5A53-519D-4DE6-AB3D-AEEF18F2CC2F}"/>
    <cellStyle name="Accent2 6 3" xfId="2444" xr:uid="{0C9061C1-BA5C-4265-B22F-2526C0F051C5}"/>
    <cellStyle name="Accent2 6 4" xfId="2445" xr:uid="{A7DDC82E-05C9-4E79-B1C0-F42FBA8D19FF}"/>
    <cellStyle name="Accent2 6 5" xfId="2446" xr:uid="{894CC78F-EEC3-4BC0-B566-2D0037251F49}"/>
    <cellStyle name="Accent2 6 6" xfId="2447" xr:uid="{20ACF898-E152-442C-BBEC-FD8E8FAE35E1}"/>
    <cellStyle name="Accent2 6 7" xfId="2448" xr:uid="{1E16505B-AD17-4D58-ABDA-6579345A966F}"/>
    <cellStyle name="Accent2 6 8" xfId="2449" xr:uid="{81B565D1-EB32-4F2A-ADBF-B640FD42DC05}"/>
    <cellStyle name="Accent2 6 9" xfId="2450" xr:uid="{96EFBBE5-F080-48EB-A884-AE37530F5C11}"/>
    <cellStyle name="Accent2 7" xfId="2451" xr:uid="{23E8AA74-244F-420F-B00D-683886A4D1F4}"/>
    <cellStyle name="Accent2 8" xfId="2452" xr:uid="{76CA7B02-2B83-4A22-A3B0-BA42CBE54C6B}"/>
    <cellStyle name="Accent2 9" xfId="2453" xr:uid="{5F234771-C30C-48BD-8F34-23F9F8D51776}"/>
    <cellStyle name="Accent3" xfId="5913" builtinId="37" customBuiltin="1"/>
    <cellStyle name="Accent3 10" xfId="2454" xr:uid="{B27B99A5-3D1B-45BE-A464-A23B3C255A36}"/>
    <cellStyle name="Accent3 11" xfId="24985" xr:uid="{18B4CE50-C2E3-44A4-82DC-90CD1871EED5}"/>
    <cellStyle name="Accent3 12" xfId="24986" xr:uid="{FBB4B410-7E15-4A5F-BBCB-3EAB0E05FD64}"/>
    <cellStyle name="Accent3 13" xfId="24987" xr:uid="{F8F4EEB7-B487-49E9-902D-08EEDB740DB1}"/>
    <cellStyle name="Accent3 14" xfId="24988" xr:uid="{0F19CF54-64EC-42D2-AEB3-A297977B2BA5}"/>
    <cellStyle name="Accent3 15" xfId="24989" xr:uid="{210B9D89-D702-4A71-B333-852FC108F972}"/>
    <cellStyle name="Accent3 16" xfId="24990" xr:uid="{D4440F1F-A95C-4038-BB1D-AFD2CC1D1884}"/>
    <cellStyle name="Accent3 17" xfId="24991" xr:uid="{00723490-08D6-46C9-B88D-F5D74CC498A6}"/>
    <cellStyle name="Accent3 18" xfId="24992" xr:uid="{2FFDC7AB-2296-446C-AB3D-2AC24260CDB1}"/>
    <cellStyle name="Accent3 19" xfId="24993" xr:uid="{7D393319-FD65-4EEA-8B66-9DDC9D40EC6B}"/>
    <cellStyle name="Accent3 2" xfId="2455" xr:uid="{63809B3B-5973-4E15-AC2E-EAABF4A44C16}"/>
    <cellStyle name="Accent3 2 10" xfId="2456" xr:uid="{650D78B7-D417-4A79-9EE2-7525B5344F61}"/>
    <cellStyle name="Accent3 2 10 2" xfId="2457" xr:uid="{F038B546-84AE-4C15-B026-CC2A64B59B7E}"/>
    <cellStyle name="Accent3 2 11" xfId="2458" xr:uid="{F891EFDA-18DF-4E6E-962C-BEBA8846AA2C}"/>
    <cellStyle name="Accent3 2 12" xfId="44083" xr:uid="{836E291B-03EA-4077-9FD6-D04A081B70DE}"/>
    <cellStyle name="Accent3 2 2" xfId="2459" xr:uid="{0B62E0C6-6AD7-460E-823B-457395EDD903}"/>
    <cellStyle name="Accent3 2 2 2" xfId="2460" xr:uid="{67A2FA7C-A5B9-4DC7-A91B-816B647F7E88}"/>
    <cellStyle name="Accent3 2 3" xfId="2461" xr:uid="{928F2BD3-18D4-4102-B25E-DF4F95FAF9B4}"/>
    <cellStyle name="Accent3 2 3 2" xfId="2462" xr:uid="{9C2A2B24-36E4-465F-8FA4-F112CB8AE322}"/>
    <cellStyle name="Accent3 2 4" xfId="2463" xr:uid="{832F5428-FDB6-43DC-A079-BE958B93384D}"/>
    <cellStyle name="Accent3 2 4 2" xfId="2464" xr:uid="{5CE89A43-1FC4-43A7-9AF1-4B943C949F0B}"/>
    <cellStyle name="Accent3 2 5" xfId="2465" xr:uid="{58F072D1-5A20-492C-A00B-DC8C3C26F9CD}"/>
    <cellStyle name="Accent3 2 5 2" xfId="2466" xr:uid="{0A61B996-AD27-4FBD-88D3-C013E564FCA9}"/>
    <cellStyle name="Accent3 2 6" xfId="2467" xr:uid="{F2537DF5-D0CA-42F9-8644-44FE846F9F8E}"/>
    <cellStyle name="Accent3 2 6 2" xfId="2468" xr:uid="{1A7308E0-B410-408E-92DA-85FA2CF3B0AC}"/>
    <cellStyle name="Accent3 2 7" xfId="2469" xr:uid="{86970F99-593B-42D3-A0FC-4956B1689046}"/>
    <cellStyle name="Accent3 2 7 2" xfId="2470" xr:uid="{7D4454BB-27BE-4D69-9FD2-7620646CA528}"/>
    <cellStyle name="Accent3 2 8" xfId="2471" xr:uid="{9971895A-9757-4A71-BD6A-D718CD36AE8F}"/>
    <cellStyle name="Accent3 2 8 2" xfId="2472" xr:uid="{2F71176E-9E2C-436F-A468-096A15577284}"/>
    <cellStyle name="Accent3 2 9" xfId="2473" xr:uid="{E1C032E8-C1C0-4AF9-8CBA-04CBF31BE455}"/>
    <cellStyle name="Accent3 2 9 2" xfId="2474" xr:uid="{0C714BFB-56DE-4FD3-B476-C1126ACFCEB1}"/>
    <cellStyle name="Accent3 20" xfId="24994" xr:uid="{48231075-4695-4B94-A4B9-1EAB0DF56BD2}"/>
    <cellStyle name="Accent3 21" xfId="24995" xr:uid="{506F47B1-8127-43C1-9034-CD275398D7F7}"/>
    <cellStyle name="Accent3 22" xfId="24996" xr:uid="{267281C2-1F45-420A-A592-0AEBBF5FFFD6}"/>
    <cellStyle name="Accent3 23" xfId="24997" xr:uid="{F7DB0F0F-D09F-40F9-8799-A001B0F63BDB}"/>
    <cellStyle name="Accent3 24" xfId="24998" xr:uid="{2F87DEC5-C7E9-4B07-8206-227D02DD5FC9}"/>
    <cellStyle name="Accent3 25" xfId="24999" xr:uid="{8AAE745F-AECB-4F51-BEB7-50FC1BB55AA3}"/>
    <cellStyle name="Accent3 26" xfId="25000" xr:uid="{0C9C4C12-2470-4D14-8D36-61F95737C316}"/>
    <cellStyle name="Accent3 27" xfId="25001" xr:uid="{E1FC9C60-73FF-41C0-88F3-8BAEA383C3B9}"/>
    <cellStyle name="Accent3 28" xfId="25002" xr:uid="{5F2ADD75-67CE-4C06-A679-D6A39B7AAA0B}"/>
    <cellStyle name="Accent3 29" xfId="25003" xr:uid="{D2FDBAED-347E-47C3-8DC1-D680E1CFA54F}"/>
    <cellStyle name="Accent3 3" xfId="2475" xr:uid="{366A997D-AF3D-4ED3-B91B-E07D23607665}"/>
    <cellStyle name="Accent3 3 10" xfId="2476" xr:uid="{5ACBC1E2-8375-4304-9B60-B87B9B39088A}"/>
    <cellStyle name="Accent3 3 11" xfId="2477" xr:uid="{764F197D-55E6-49CB-B06A-EDEDCAD75102}"/>
    <cellStyle name="Accent3 3 12" xfId="2478" xr:uid="{9A1AB152-2F1E-4769-9E61-30AFA76CC57D}"/>
    <cellStyle name="Accent3 3 13" xfId="44190" xr:uid="{5D7EA8D8-8C77-4A77-BF8D-F64D8D3B5DDB}"/>
    <cellStyle name="Accent3 3 2" xfId="2479" xr:uid="{FA824752-8E77-4D54-9431-0CE35046D81A}"/>
    <cellStyle name="Accent3 3 2 2" xfId="25004" xr:uid="{D2EB6EE2-89B4-4F1F-BE6A-772A5C2318DE}"/>
    <cellStyle name="Accent3 3 3" xfId="2480" xr:uid="{C9B6B6C2-41AC-4BEC-80E2-7F5170C78B45}"/>
    <cellStyle name="Accent3 3 3 2" xfId="42277" xr:uid="{91795000-82C9-4123-A9F6-63A51EB290D5}"/>
    <cellStyle name="Accent3 3 4" xfId="2481" xr:uid="{CA4F785B-96AF-4A4F-9D8B-FDFC606436BC}"/>
    <cellStyle name="Accent3 3 5" xfId="2482" xr:uid="{6805E7F6-DB40-4F2B-8F6F-C3ACDF82CC34}"/>
    <cellStyle name="Accent3 3 6" xfId="2483" xr:uid="{981C22B6-EAA9-4469-8A1E-3E9C9833C28C}"/>
    <cellStyle name="Accent3 3 7" xfId="2484" xr:uid="{4CA4C499-AD05-437A-8634-4CFA8DD5CCDA}"/>
    <cellStyle name="Accent3 3 8" xfId="2485" xr:uid="{2F629944-6DFE-4784-8418-B35B209EBEFD}"/>
    <cellStyle name="Accent3 3 9" xfId="2486" xr:uid="{23BA8709-FC77-456C-A3EC-4765E9CFE92E}"/>
    <cellStyle name="Accent3 30" xfId="25005" xr:uid="{3630969F-2C5F-4934-8DAA-5FF836DB2BA8}"/>
    <cellStyle name="Accent3 31" xfId="25006" xr:uid="{148E8CE4-CD39-4581-B2FA-9D21A4C08DE0}"/>
    <cellStyle name="Accent3 32" xfId="25007" xr:uid="{A33CDBA5-16A6-43B3-A278-C1FD61DE2042}"/>
    <cellStyle name="Accent3 33" xfId="25008" xr:uid="{3094CF9F-A8EE-42CA-A4F0-B1F6872A8176}"/>
    <cellStyle name="Accent3 34" xfId="25009" xr:uid="{0463BA26-6B31-449F-8A14-0B2EE36BE0C7}"/>
    <cellStyle name="Accent3 35" xfId="25010" xr:uid="{C1AC5B28-95EE-4155-B13A-73C2E4BE2A5F}"/>
    <cellStyle name="Accent3 36" xfId="25011" xr:uid="{420C5765-84BF-4D34-8AE1-19E760E6CFD3}"/>
    <cellStyle name="Accent3 37" xfId="25012" xr:uid="{BF628E8C-2A6C-4809-BC72-505E36045170}"/>
    <cellStyle name="Accent3 38" xfId="25013" xr:uid="{F0906744-894A-44E6-A374-A10C68EE4706}"/>
    <cellStyle name="Accent3 39" xfId="25014" xr:uid="{40AA2388-6A69-459E-AAAA-5461CEB44F10}"/>
    <cellStyle name="Accent3 4" xfId="2487" xr:uid="{60FB969B-E93A-4774-8BB6-16641A931D83}"/>
    <cellStyle name="Accent3 4 10" xfId="2488" xr:uid="{93401D50-97D4-4FDE-AF9D-2A054F55FC2D}"/>
    <cellStyle name="Accent3 4 11" xfId="2489" xr:uid="{365B011D-D1AA-42DD-B8F8-81EC825453E8}"/>
    <cellStyle name="Accent3 4 2" xfId="2490" xr:uid="{AE1784F6-90B7-4255-9A16-BA94A9EC36AE}"/>
    <cellStyle name="Accent3 4 3" xfId="2491" xr:uid="{123CBC3F-53E4-4451-BB50-EA1337ACA06F}"/>
    <cellStyle name="Accent3 4 4" xfId="2492" xr:uid="{BB242D18-9C9B-4B39-9762-EE3ED2B90A3E}"/>
    <cellStyle name="Accent3 4 5" xfId="2493" xr:uid="{42CADD63-B89F-4121-8F42-5A93B1018314}"/>
    <cellStyle name="Accent3 4 6" xfId="2494" xr:uid="{FF8972D4-E0B8-466C-9C18-048F42693DA1}"/>
    <cellStyle name="Accent3 4 7" xfId="2495" xr:uid="{AE9409AA-D5F4-49AD-9FD4-E864854DC6FF}"/>
    <cellStyle name="Accent3 4 8" xfId="2496" xr:uid="{6E266613-9BA8-4819-BE1C-C5C0D8D14CFB}"/>
    <cellStyle name="Accent3 4 9" xfId="2497" xr:uid="{70075129-55D7-4529-ADDE-51CD3785A588}"/>
    <cellStyle name="Accent3 40" xfId="25015" xr:uid="{089E0336-2A19-4C3C-A1A8-F711352445C6}"/>
    <cellStyle name="Accent3 41" xfId="25016" xr:uid="{09D156E7-5E40-4E24-BBD3-A721DC648B15}"/>
    <cellStyle name="Accent3 42" xfId="25017" xr:uid="{1003250F-41FA-43FA-BDA1-08A945D2205E}"/>
    <cellStyle name="Accent3 43" xfId="25018" xr:uid="{909DC349-7B45-4794-8437-18E92F9AF556}"/>
    <cellStyle name="Accent3 44" xfId="45863" xr:uid="{77487547-B1A4-4331-8AE7-15A16E7421B1}"/>
    <cellStyle name="Accent3 5" xfId="2498" xr:uid="{9840FF72-F4D7-40F1-AF12-E0F780B7C184}"/>
    <cellStyle name="Accent3 5 10" xfId="2499" xr:uid="{96D82C60-17AB-4B83-9219-6BF9DCF7D30F}"/>
    <cellStyle name="Accent3 5 11" xfId="2500" xr:uid="{6F3C2FE2-2C5E-4A86-96C4-BF18109DE932}"/>
    <cellStyle name="Accent3 5 2" xfId="2501" xr:uid="{5F75A565-2B3F-4D4F-8048-65B9538A0279}"/>
    <cellStyle name="Accent3 5 3" xfId="2502" xr:uid="{564561E9-9BAE-4342-BC73-ACF571845A20}"/>
    <cellStyle name="Accent3 5 4" xfId="2503" xr:uid="{2D41C6AA-83F1-493C-AD01-FCBC512C958A}"/>
    <cellStyle name="Accent3 5 5" xfId="2504" xr:uid="{1C7D1C8C-D631-4B02-8F04-D22AF4457B1C}"/>
    <cellStyle name="Accent3 5 6" xfId="2505" xr:uid="{C669CF54-0A30-4CC5-8FAC-EF32B094B3DC}"/>
    <cellStyle name="Accent3 5 7" xfId="2506" xr:uid="{6A1A5F80-4228-4845-968B-A51E2DCB1920}"/>
    <cellStyle name="Accent3 5 8" xfId="2507" xr:uid="{EB851B40-CA81-4348-A6E8-CA4F8CF11418}"/>
    <cellStyle name="Accent3 5 9" xfId="2508" xr:uid="{73AF85B9-0E57-47B5-A9CD-A228A6EA6B42}"/>
    <cellStyle name="Accent3 6" xfId="2509" xr:uid="{36BD7051-85F2-41BB-BCF9-BD4F90FBD784}"/>
    <cellStyle name="Accent3 6 10" xfId="2510" xr:uid="{1E4F2F7F-4909-4B1C-A34F-67929698EE26}"/>
    <cellStyle name="Accent3 6 11" xfId="2511" xr:uid="{F3F2F4D2-011A-439F-8E44-11BAB1E38B66}"/>
    <cellStyle name="Accent3 6 2" xfId="2512" xr:uid="{B5E8D4D4-DBF7-4E18-8E20-FDC79A44ED47}"/>
    <cellStyle name="Accent3 6 3" xfId="2513" xr:uid="{50C032CA-C926-4F73-9B24-5ABD433E254E}"/>
    <cellStyle name="Accent3 6 4" xfId="2514" xr:uid="{D42F264A-6A17-4D53-B2B5-1F29C364BACD}"/>
    <cellStyle name="Accent3 6 5" xfId="2515" xr:uid="{DA6C88C1-03A1-46AE-9AF8-1231E52A556F}"/>
    <cellStyle name="Accent3 6 6" xfId="2516" xr:uid="{2F36B344-007C-41CF-AD7D-31560A7CB28B}"/>
    <cellStyle name="Accent3 6 7" xfId="2517" xr:uid="{BE21D19C-4526-4EC1-9CB5-F7844F5731D2}"/>
    <cellStyle name="Accent3 6 8" xfId="2518" xr:uid="{A5DE8EBF-96E1-437A-905B-A04C447B8205}"/>
    <cellStyle name="Accent3 6 9" xfId="2519" xr:uid="{9136C7EA-AEE2-4408-ADD1-9DEE62C81D86}"/>
    <cellStyle name="Accent3 7" xfId="2520" xr:uid="{1593A9DE-1DEE-402D-AB88-7364A3B88511}"/>
    <cellStyle name="Accent3 8" xfId="2521" xr:uid="{A6996BA3-A591-4E93-80C4-BE658BD7991A}"/>
    <cellStyle name="Accent3 9" xfId="2522" xr:uid="{15B542B4-45BD-4AA4-B71F-571D9BE75EB6}"/>
    <cellStyle name="Accent4" xfId="5914" builtinId="41" customBuiltin="1"/>
    <cellStyle name="Accent4 10" xfId="2523" xr:uid="{CDBDB34A-F2B7-4AE3-B246-FB5C3775BD13}"/>
    <cellStyle name="Accent4 11" xfId="25019" xr:uid="{FF4144D8-DB7A-4991-B839-6622F987741B}"/>
    <cellStyle name="Accent4 12" xfId="25020" xr:uid="{0B5C4E97-36B5-4619-9AB2-2E4432682265}"/>
    <cellStyle name="Accent4 13" xfId="25021" xr:uid="{338EAAA5-20E5-4996-9925-DFC1C286325F}"/>
    <cellStyle name="Accent4 14" xfId="25022" xr:uid="{740788B8-68D7-4122-B92A-9F05CD8EEAF0}"/>
    <cellStyle name="Accent4 15" xfId="25023" xr:uid="{9D4FE8F3-2C85-476B-88B6-A113490E08FD}"/>
    <cellStyle name="Accent4 16" xfId="25024" xr:uid="{BF3D565B-9397-47E5-90CB-ACA5D17085D2}"/>
    <cellStyle name="Accent4 17" xfId="25025" xr:uid="{C70D0605-3C6A-4364-A8E5-555CE3D2C4DB}"/>
    <cellStyle name="Accent4 18" xfId="25026" xr:uid="{1E8884F7-8918-4C78-9FBA-3FD80946BB62}"/>
    <cellStyle name="Accent4 19" xfId="25027" xr:uid="{AAD62852-8DA0-4871-9141-6350F39A30AA}"/>
    <cellStyle name="Accent4 2" xfId="2524" xr:uid="{B93F6B3C-9D12-45F0-98D1-A0F6806C5D73}"/>
    <cellStyle name="Accent4 2 10" xfId="2525" xr:uid="{BCE6E42F-50F4-4B22-869F-4D7A628D66AC}"/>
    <cellStyle name="Accent4 2 10 2" xfId="2526" xr:uid="{394CE412-7480-4ED4-A96E-E44B4B8B7A4A}"/>
    <cellStyle name="Accent4 2 11" xfId="2527" xr:uid="{330C2360-443A-4E9B-B012-45AC1D242247}"/>
    <cellStyle name="Accent4 2 12" xfId="44084" xr:uid="{61F9B060-3592-4A60-A6CD-DB7BF83E9057}"/>
    <cellStyle name="Accent4 2 2" xfId="2528" xr:uid="{D376722F-B671-410D-A6B1-A913D1EBEA4D}"/>
    <cellStyle name="Accent4 2 2 2" xfId="2529" xr:uid="{DF5BF8F2-F7AF-4FC3-8E41-EE5549FD3D94}"/>
    <cellStyle name="Accent4 2 3" xfId="2530" xr:uid="{BEE9D70A-28B0-49F0-8E77-D03986409C96}"/>
    <cellStyle name="Accent4 2 3 2" xfId="2531" xr:uid="{626D7720-BDE2-4FE3-869E-36D03AD3005E}"/>
    <cellStyle name="Accent4 2 4" xfId="2532" xr:uid="{4244CB7B-A536-418F-9141-8045AC52F63B}"/>
    <cellStyle name="Accent4 2 4 2" xfId="2533" xr:uid="{CB658156-CF35-4444-B3E4-8C91DA83C1F2}"/>
    <cellStyle name="Accent4 2 5" xfId="2534" xr:uid="{84C40277-9E59-409B-93D1-0066B5FB19A9}"/>
    <cellStyle name="Accent4 2 5 2" xfId="2535" xr:uid="{88764C72-A8DD-434B-BFC4-46A5F79C8189}"/>
    <cellStyle name="Accent4 2 6" xfId="2536" xr:uid="{DB9F9724-32C7-4DB9-B143-CBD0E30F9F4F}"/>
    <cellStyle name="Accent4 2 6 2" xfId="2537" xr:uid="{E95CE4BB-3793-4FC0-8E5B-0DD9D2371A31}"/>
    <cellStyle name="Accent4 2 7" xfId="2538" xr:uid="{EFE6FC39-25B8-4CE9-9DD1-03498424A73C}"/>
    <cellStyle name="Accent4 2 7 2" xfId="2539" xr:uid="{F3FC0157-B8B7-4011-91D9-D05B190758A6}"/>
    <cellStyle name="Accent4 2 8" xfId="2540" xr:uid="{F79F07FF-5A49-4ABE-A6D4-2E3E6C4FEFD2}"/>
    <cellStyle name="Accent4 2 8 2" xfId="2541" xr:uid="{455344BD-F240-4BD3-A448-13D71B0DA0A1}"/>
    <cellStyle name="Accent4 2 9" xfId="2542" xr:uid="{BD3BE1FB-862C-426A-B9DE-FA6D9CC2A595}"/>
    <cellStyle name="Accent4 2 9 2" xfId="2543" xr:uid="{D73F701D-91E7-4EA8-8F1C-D594575B717F}"/>
    <cellStyle name="Accent4 20" xfId="25028" xr:uid="{8447E303-BD86-430A-981F-7AB86974854E}"/>
    <cellStyle name="Accent4 21" xfId="25029" xr:uid="{5FA623F6-E87C-4F29-968C-9BCE45178638}"/>
    <cellStyle name="Accent4 22" xfId="25030" xr:uid="{33D23558-980E-4697-B0C0-7B9AE749BD6C}"/>
    <cellStyle name="Accent4 23" xfId="25031" xr:uid="{90F8764D-7296-4822-BA90-7AFD70B1BB92}"/>
    <cellStyle name="Accent4 24" xfId="25032" xr:uid="{84B02D5A-1258-414E-8799-D267BEE74CCE}"/>
    <cellStyle name="Accent4 25" xfId="25033" xr:uid="{B6CB51FA-1E40-4B9A-A52C-B5954906482C}"/>
    <cellStyle name="Accent4 26" xfId="25034" xr:uid="{519AD3F0-D823-402F-8D5B-937C373CF10B}"/>
    <cellStyle name="Accent4 27" xfId="25035" xr:uid="{CC5FD4D3-1306-4D24-AAF8-96D1C69D8BF0}"/>
    <cellStyle name="Accent4 28" xfId="25036" xr:uid="{6400F644-1D7F-406D-A0BD-91ABF839FF64}"/>
    <cellStyle name="Accent4 29" xfId="25037" xr:uid="{A2F25BE8-B468-4551-86FE-4B75B83748BC}"/>
    <cellStyle name="Accent4 3" xfId="2544" xr:uid="{9C433E5B-959C-42C9-B0DA-244A5A05A2CF}"/>
    <cellStyle name="Accent4 3 10" xfId="2545" xr:uid="{C0EE4688-9B23-42CF-870E-C3D2B03FEC7B}"/>
    <cellStyle name="Accent4 3 11" xfId="2546" xr:uid="{93548669-F175-4D6D-B2C7-8986EAE51EA7}"/>
    <cellStyle name="Accent4 3 12" xfId="2547" xr:uid="{7D574CA9-5453-41B2-865E-4A5D6B895005}"/>
    <cellStyle name="Accent4 3 13" xfId="44191" xr:uid="{474C251E-A114-4EE7-AAAD-7B2BD43AB289}"/>
    <cellStyle name="Accent4 3 2" xfId="2548" xr:uid="{808A9114-8841-45DC-93DC-F0C28ADF5ABC}"/>
    <cellStyle name="Accent4 3 2 2" xfId="25038" xr:uid="{2CEEAC35-BB52-4C72-A53D-CCDF06524FD1}"/>
    <cellStyle name="Accent4 3 3" xfId="2549" xr:uid="{D2798877-6891-4B46-9A68-C6B23B2EE9BD}"/>
    <cellStyle name="Accent4 3 3 2" xfId="42278" xr:uid="{F2B89AA0-9FA5-4A26-B564-5C6BB486FB74}"/>
    <cellStyle name="Accent4 3 4" xfId="2550" xr:uid="{D6A19EBE-3E7A-4734-B652-403D579572C1}"/>
    <cellStyle name="Accent4 3 5" xfId="2551" xr:uid="{ED820DF6-6708-46F3-8FAA-77F009D01680}"/>
    <cellStyle name="Accent4 3 6" xfId="2552" xr:uid="{EC05DB02-E155-4FA1-887B-46F3344D6A10}"/>
    <cellStyle name="Accent4 3 7" xfId="2553" xr:uid="{0B9A919B-B6B4-4326-996C-DC828A76F571}"/>
    <cellStyle name="Accent4 3 8" xfId="2554" xr:uid="{27006CEF-FCAA-4670-809E-3D127685AF7A}"/>
    <cellStyle name="Accent4 3 9" xfId="2555" xr:uid="{A7B32A58-0A17-4211-87B2-B0389287408F}"/>
    <cellStyle name="Accent4 30" xfId="25039" xr:uid="{8C118028-6C5F-4CC9-AE90-4F5A292874F7}"/>
    <cellStyle name="Accent4 31" xfId="25040" xr:uid="{DF7041A9-AED6-42A2-8C68-28B4CEF9CD95}"/>
    <cellStyle name="Accent4 32" xfId="25041" xr:uid="{71985D56-92C1-497E-8CF4-14DEB8F171C1}"/>
    <cellStyle name="Accent4 33" xfId="25042" xr:uid="{C54AC872-F7F0-49E3-816F-B3A216B47DE5}"/>
    <cellStyle name="Accent4 34" xfId="25043" xr:uid="{1E09DBA9-D21D-4564-9865-94471316262E}"/>
    <cellStyle name="Accent4 35" xfId="25044" xr:uid="{D8D3174F-5C17-4381-8BF8-5B473FD394E1}"/>
    <cellStyle name="Accent4 36" xfId="25045" xr:uid="{926CF2FA-49DC-4BE6-A7B7-2872CDB550C3}"/>
    <cellStyle name="Accent4 37" xfId="25046" xr:uid="{8B37346D-37C1-4ED7-AC85-CFFC3A6160D6}"/>
    <cellStyle name="Accent4 38" xfId="25047" xr:uid="{E30BF6A1-16F1-4BC1-8382-4EA34B9F2FD4}"/>
    <cellStyle name="Accent4 39" xfId="25048" xr:uid="{6CEB568F-FE68-421A-A920-0A46441E3632}"/>
    <cellStyle name="Accent4 4" xfId="2556" xr:uid="{57CA3714-6EE3-4196-9068-000BA5FCB287}"/>
    <cellStyle name="Accent4 4 10" xfId="2557" xr:uid="{317E094E-7D66-4846-A7EF-82367AC05854}"/>
    <cellStyle name="Accent4 4 11" xfId="2558" xr:uid="{DF5ACF13-C652-4CBA-8062-572DFFC2C89B}"/>
    <cellStyle name="Accent4 4 2" xfId="2559" xr:uid="{B3B15F55-6484-4930-B719-F974B22E5A3F}"/>
    <cellStyle name="Accent4 4 3" xfId="2560" xr:uid="{709B85C6-D289-41D3-8120-A98B9E46D7B6}"/>
    <cellStyle name="Accent4 4 4" xfId="2561" xr:uid="{4E1468F3-DB14-4CF2-8937-EC41C9316FDE}"/>
    <cellStyle name="Accent4 4 5" xfId="2562" xr:uid="{560322A2-4609-4364-BFD7-DBED3E312145}"/>
    <cellStyle name="Accent4 4 6" xfId="2563" xr:uid="{DD6BA357-846C-4B5A-9559-BCD25F34A221}"/>
    <cellStyle name="Accent4 4 7" xfId="2564" xr:uid="{E6BCAE6C-EE8C-4604-9EA2-A6C1CC8A53BA}"/>
    <cellStyle name="Accent4 4 8" xfId="2565" xr:uid="{1769E8A4-DADF-4F2B-883E-39FCD84C8076}"/>
    <cellStyle name="Accent4 4 9" xfId="2566" xr:uid="{51D8163F-35FD-4A33-82EB-FB0A98FC619D}"/>
    <cellStyle name="Accent4 40" xfId="25049" xr:uid="{ED1B4C37-82A8-4F9C-A57A-ACA9465163E6}"/>
    <cellStyle name="Accent4 41" xfId="25050" xr:uid="{58704D7E-243C-4F8A-AF5D-E094D1B534B6}"/>
    <cellStyle name="Accent4 42" xfId="25051" xr:uid="{824843FF-0AC8-4A97-A1CC-BFE226750BB2}"/>
    <cellStyle name="Accent4 43" xfId="25052" xr:uid="{30C3E62E-C486-4A23-B2AB-33264C32357E}"/>
    <cellStyle name="Accent4 44" xfId="45866" xr:uid="{A264CC36-60AF-4D39-9371-89C54902FF56}"/>
    <cellStyle name="Accent4 5" xfId="2567" xr:uid="{967D3E75-3BE4-4B05-AF25-AB4728717523}"/>
    <cellStyle name="Accent4 5 10" xfId="2568" xr:uid="{EB04DC1C-DF32-4E88-98B8-A67445DF257A}"/>
    <cellStyle name="Accent4 5 11" xfId="2569" xr:uid="{9154E44E-8F81-48F0-AF39-6B05770E6099}"/>
    <cellStyle name="Accent4 5 2" xfId="2570" xr:uid="{6E190B9F-27F7-46D3-9289-604811FE0641}"/>
    <cellStyle name="Accent4 5 3" xfId="2571" xr:uid="{736CB359-1C7C-4593-8C69-EFBB58891FD5}"/>
    <cellStyle name="Accent4 5 4" xfId="2572" xr:uid="{041B417B-64FC-4A64-92DF-48BC56F18723}"/>
    <cellStyle name="Accent4 5 5" xfId="2573" xr:uid="{3B242891-57CB-44F6-A784-5A6759349397}"/>
    <cellStyle name="Accent4 5 6" xfId="2574" xr:uid="{1396C3D2-1AE5-4C10-AA3E-3DF077D954CE}"/>
    <cellStyle name="Accent4 5 7" xfId="2575" xr:uid="{381388F9-DCB3-46F6-A6C8-F236D051831E}"/>
    <cellStyle name="Accent4 5 8" xfId="2576" xr:uid="{4D8E0EA1-4415-4F96-AACA-267ED050BE51}"/>
    <cellStyle name="Accent4 5 9" xfId="2577" xr:uid="{794AF89C-4F2F-4D87-A863-38F6F6C50753}"/>
    <cellStyle name="Accent4 6" xfId="2578" xr:uid="{2F0E64E9-23C8-4968-A5AE-5C053D93C1AC}"/>
    <cellStyle name="Accent4 6 10" xfId="2579" xr:uid="{D9947600-E408-4594-A382-9947DD30FCC0}"/>
    <cellStyle name="Accent4 6 11" xfId="2580" xr:uid="{C3FAD74C-C3D0-4B25-A10C-33FD8D475C6B}"/>
    <cellStyle name="Accent4 6 2" xfId="2581" xr:uid="{F7934919-DEF5-47D1-9FE8-F5248C0692B9}"/>
    <cellStyle name="Accent4 6 3" xfId="2582" xr:uid="{25D0BBE0-97FE-44CA-A4F3-657AAAB29EE4}"/>
    <cellStyle name="Accent4 6 4" xfId="2583" xr:uid="{2CE0C8A5-4FA3-4FDE-A24C-FD58FD3E40FC}"/>
    <cellStyle name="Accent4 6 5" xfId="2584" xr:uid="{DF6FF570-7AFB-4F0C-AE96-8DCCE5051283}"/>
    <cellStyle name="Accent4 6 6" xfId="2585" xr:uid="{E5CC7DC6-80DF-45E4-B94D-CA62B534D173}"/>
    <cellStyle name="Accent4 6 7" xfId="2586" xr:uid="{9E121220-9228-4D3F-A73C-B51306DC9B4D}"/>
    <cellStyle name="Accent4 6 8" xfId="2587" xr:uid="{B6149061-AC47-47BF-8BE1-0E7074F1DED1}"/>
    <cellStyle name="Accent4 6 9" xfId="2588" xr:uid="{49FE9425-7DA4-4C45-AA50-C5670AA91954}"/>
    <cellStyle name="Accent4 7" xfId="2589" xr:uid="{C9A92E05-F4F7-4E63-9756-61BE73F7B19B}"/>
    <cellStyle name="Accent4 8" xfId="2590" xr:uid="{07187B4F-C589-4038-A70C-CCE436E8D894}"/>
    <cellStyle name="Accent4 9" xfId="2591" xr:uid="{05FA0783-570D-468E-ABBD-8D3A757A83EA}"/>
    <cellStyle name="Accent5" xfId="5915" builtinId="45" customBuiltin="1"/>
    <cellStyle name="Accent5 10" xfId="2592" xr:uid="{3ED8CB31-027E-4044-802A-EA7EB1C39281}"/>
    <cellStyle name="Accent5 11" xfId="25053" xr:uid="{9A8E31D0-EE03-4CE3-A1CD-E6301E97D3E0}"/>
    <cellStyle name="Accent5 12" xfId="25054" xr:uid="{C177D570-B82D-4F7D-ACA7-BECC53B056EC}"/>
    <cellStyle name="Accent5 13" xfId="25055" xr:uid="{F84622CC-D27E-460E-8321-97C35E7BC416}"/>
    <cellStyle name="Accent5 14" xfId="25056" xr:uid="{02DA0BEA-286A-45C5-A287-3E5CD39637B0}"/>
    <cellStyle name="Accent5 15" xfId="25057" xr:uid="{9C218941-2874-4F41-9506-9F392C957CAA}"/>
    <cellStyle name="Accent5 16" xfId="25058" xr:uid="{0430ACE4-908E-4F35-82A9-5B0B236898BD}"/>
    <cellStyle name="Accent5 17" xfId="25059" xr:uid="{FF82EBBC-FC42-49AE-8696-FBBC8684F307}"/>
    <cellStyle name="Accent5 18" xfId="25060" xr:uid="{2945534E-9060-41F9-B8CB-4AA409006FE9}"/>
    <cellStyle name="Accent5 19" xfId="25061" xr:uid="{44666814-D3C5-45D6-956B-A117AC2B7699}"/>
    <cellStyle name="Accent5 2" xfId="2593" xr:uid="{DA6A1923-0110-473A-8101-F11E5FFDA777}"/>
    <cellStyle name="Accent5 2 10" xfId="2594" xr:uid="{C49C3E4F-4BD0-44CB-AEB9-626ED27DA138}"/>
    <cellStyle name="Accent5 2 11" xfId="2595" xr:uid="{4EE37229-8906-46C6-84EF-50DFE78766E0}"/>
    <cellStyle name="Accent5 2 12" xfId="44085" xr:uid="{D696E0DA-CA85-47DA-B6C6-56926DCE2AF8}"/>
    <cellStyle name="Accent5 2 2" xfId="2596" xr:uid="{98C7931C-7CCB-44E5-AC5D-19827F090F36}"/>
    <cellStyle name="Accent5 2 3" xfId="2597" xr:uid="{8C7F763F-238B-4055-A65B-5BC036AA9A7A}"/>
    <cellStyle name="Accent5 2 4" xfId="2598" xr:uid="{086F2ECB-B5EA-4E36-91A6-1836DAED8FB8}"/>
    <cellStyle name="Accent5 2 5" xfId="2599" xr:uid="{EB692868-008B-4097-92A9-25553D465085}"/>
    <cellStyle name="Accent5 2 6" xfId="2600" xr:uid="{BC5B98A9-2F9A-4646-AC4B-6B0A2305E9B3}"/>
    <cellStyle name="Accent5 2 7" xfId="2601" xr:uid="{10644F71-AFEF-4D96-8C66-EA178374AD2D}"/>
    <cellStyle name="Accent5 2 8" xfId="2602" xr:uid="{565D5899-8B73-44F0-9713-CD9257FB9E5C}"/>
    <cellStyle name="Accent5 2 9" xfId="2603" xr:uid="{962BAF1B-C110-470E-AF28-559CB2DFE67C}"/>
    <cellStyle name="Accent5 20" xfId="25062" xr:uid="{D96D7EBD-4B94-4F19-909F-7F5D0BC8243F}"/>
    <cellStyle name="Accent5 21" xfId="25063" xr:uid="{C136607C-7DB7-44C8-836C-8231B1E76CF3}"/>
    <cellStyle name="Accent5 22" xfId="25064" xr:uid="{CFB5A4AF-F405-40E3-9A1D-987EAD7960EB}"/>
    <cellStyle name="Accent5 23" xfId="25065" xr:uid="{F082786A-9754-4375-A2BC-76D1D1355C20}"/>
    <cellStyle name="Accent5 24" xfId="25066" xr:uid="{D111E7A9-0078-44A8-8A37-834DD0E522CB}"/>
    <cellStyle name="Accent5 25" xfId="25067" xr:uid="{11B748FF-0202-4F5D-A170-560AA8F6349B}"/>
    <cellStyle name="Accent5 26" xfId="25068" xr:uid="{A3A9D468-6D0F-4AF0-A4DD-FD6DB5B0EA9B}"/>
    <cellStyle name="Accent5 27" xfId="25069" xr:uid="{DBDBA1CC-113D-4696-BF74-6105DA5A8E36}"/>
    <cellStyle name="Accent5 28" xfId="25070" xr:uid="{EB47DFF0-3A54-4AF6-A5A8-D635F1E8A0C7}"/>
    <cellStyle name="Accent5 29" xfId="25071" xr:uid="{6F49AC55-6A8B-4792-8DDC-CC7C476B4493}"/>
    <cellStyle name="Accent5 3" xfId="2604" xr:uid="{976BFA9A-37C3-4198-ACD1-F6B217DD74B7}"/>
    <cellStyle name="Accent5 3 10" xfId="2605" xr:uid="{C4036961-0196-468B-BC12-32B54215DE20}"/>
    <cellStyle name="Accent5 3 11" xfId="2606" xr:uid="{BE992F45-F1CB-4CFD-96E5-ED3BB2747197}"/>
    <cellStyle name="Accent5 3 12" xfId="44192" xr:uid="{2BE2EE64-C5E0-4CF5-93D5-4454FC7B98BF}"/>
    <cellStyle name="Accent5 3 2" xfId="2607" xr:uid="{665C9921-24E1-42F0-8852-4A2493B17833}"/>
    <cellStyle name="Accent5 3 3" xfId="2608" xr:uid="{88C3B85C-D64A-4EAF-AEA5-B25E41ACB074}"/>
    <cellStyle name="Accent5 3 4" xfId="2609" xr:uid="{15C8D99F-995F-41AD-8831-05A012F5884A}"/>
    <cellStyle name="Accent5 3 5" xfId="2610" xr:uid="{7526AE28-9AD2-468C-A886-1972789AC0C2}"/>
    <cellStyle name="Accent5 3 6" xfId="2611" xr:uid="{C728A46A-3425-472B-8095-7981DFE83B21}"/>
    <cellStyle name="Accent5 3 7" xfId="2612" xr:uid="{A86569C8-FDB1-45BB-B9C9-4CCB67E8CF0C}"/>
    <cellStyle name="Accent5 3 8" xfId="2613" xr:uid="{179C1611-25BA-47FA-97E4-B61E9BA2E86B}"/>
    <cellStyle name="Accent5 3 9" xfId="2614" xr:uid="{629D15FA-E784-4AE1-9CD9-C57044D5D957}"/>
    <cellStyle name="Accent5 30" xfId="25072" xr:uid="{B337383C-532D-4898-95F7-6E07061490F0}"/>
    <cellStyle name="Accent5 31" xfId="25073" xr:uid="{A77F7E74-9300-4A01-AF6C-7490D314BB76}"/>
    <cellStyle name="Accent5 32" xfId="25074" xr:uid="{0F9527F9-D03B-4E36-8AFF-E1F6FDF0785A}"/>
    <cellStyle name="Accent5 33" xfId="25075" xr:uid="{532DDC74-62BB-427A-9643-D5AE13BB0048}"/>
    <cellStyle name="Accent5 34" xfId="25076" xr:uid="{689D4DEA-8C6E-4694-B6EC-7727FA22F24A}"/>
    <cellStyle name="Accent5 35" xfId="25077" xr:uid="{C2314B77-517A-4783-8608-72FAE4ADEF52}"/>
    <cellStyle name="Accent5 36" xfId="25078" xr:uid="{98BAE105-491A-4DFD-BDCD-1F093080E366}"/>
    <cellStyle name="Accent5 37" xfId="25079" xr:uid="{0CF883FD-7400-47F6-AAA8-B2703B0F1155}"/>
    <cellStyle name="Accent5 38" xfId="25080" xr:uid="{9695E461-9C8C-442B-A128-FB242A329724}"/>
    <cellStyle name="Accent5 39" xfId="25081" xr:uid="{A775D61B-6B34-43B8-9EB1-17CBF17BC45A}"/>
    <cellStyle name="Accent5 4" xfId="2615" xr:uid="{1B56AEDE-AB9B-4479-84A2-B0DE28EA7BB3}"/>
    <cellStyle name="Accent5 4 10" xfId="2616" xr:uid="{5D174A66-B4C3-4D04-BEC1-7B2CE896CA46}"/>
    <cellStyle name="Accent5 4 11" xfId="2617" xr:uid="{0F949D69-FAE2-4B20-973B-9CD5CEAB5966}"/>
    <cellStyle name="Accent5 4 2" xfId="2618" xr:uid="{8C6D9DD9-4F88-458E-A9C9-83FFA5BC1145}"/>
    <cellStyle name="Accent5 4 3" xfId="2619" xr:uid="{0F0FDD5B-FB68-47D3-8FE3-A8F658DEDD9C}"/>
    <cellStyle name="Accent5 4 4" xfId="2620" xr:uid="{DAEE8A7C-A72D-43D2-90B2-F40D211A2A08}"/>
    <cellStyle name="Accent5 4 5" xfId="2621" xr:uid="{9DC9C677-A938-4AC1-9AD3-EC9C3DA8FDDE}"/>
    <cellStyle name="Accent5 4 6" xfId="2622" xr:uid="{F18D4969-8BBA-41F1-B41E-15EF35C935E4}"/>
    <cellStyle name="Accent5 4 7" xfId="2623" xr:uid="{2CA1D198-1E42-4044-AFA4-779F88DDA4FE}"/>
    <cellStyle name="Accent5 4 8" xfId="2624" xr:uid="{AA6A8185-326D-4082-BEBC-3AA2D347A4F3}"/>
    <cellStyle name="Accent5 4 9" xfId="2625" xr:uid="{27A96074-2838-4D84-A71A-0898A6B62154}"/>
    <cellStyle name="Accent5 40" xfId="25082" xr:uid="{1A1CC150-46E9-4B3B-8839-2874233C226D}"/>
    <cellStyle name="Accent5 41" xfId="25083" xr:uid="{370B52B2-9D3B-4FCA-B825-C19C496E8CE8}"/>
    <cellStyle name="Accent5 42" xfId="25084" xr:uid="{992B9ABE-4F99-47FC-8341-4898E2EC1111}"/>
    <cellStyle name="Accent5 43" xfId="25085" xr:uid="{5CF59644-07EB-4C4E-BC69-F90906989F72}"/>
    <cellStyle name="Accent5 44" xfId="45869" xr:uid="{A0101D7E-0B2E-4CB3-96F5-84207D5D6B2D}"/>
    <cellStyle name="Accent5 5" xfId="2626" xr:uid="{91DAAAEC-A636-4CE5-BFB3-08FED4849603}"/>
    <cellStyle name="Accent5 5 10" xfId="2627" xr:uid="{B1B4F641-379E-423A-9060-C22D0393EA26}"/>
    <cellStyle name="Accent5 5 11" xfId="2628" xr:uid="{7B4667DC-41A2-41F4-8839-1EE0D0193A9C}"/>
    <cellStyle name="Accent5 5 2" xfId="2629" xr:uid="{AAA97EA5-C3E1-4F5D-9ADB-4BC9D8AE3659}"/>
    <cellStyle name="Accent5 5 3" xfId="2630" xr:uid="{567FE2C4-7F4F-48CF-8E9D-95D604E576E7}"/>
    <cellStyle name="Accent5 5 4" xfId="2631" xr:uid="{FA52522D-B699-47FD-8E04-E6E282EA7A89}"/>
    <cellStyle name="Accent5 5 5" xfId="2632" xr:uid="{0BFCC86D-EEDE-4019-9F38-DA551A762E8E}"/>
    <cellStyle name="Accent5 5 6" xfId="2633" xr:uid="{95CD0117-6CE6-46A6-8A45-CC165A61B5C3}"/>
    <cellStyle name="Accent5 5 7" xfId="2634" xr:uid="{16B55405-BFFB-4E1C-858E-A824839455C2}"/>
    <cellStyle name="Accent5 5 8" xfId="2635" xr:uid="{2B155926-5516-429A-AEB4-DC3278FE3B76}"/>
    <cellStyle name="Accent5 5 9" xfId="2636" xr:uid="{65C25FDA-54E7-4339-B2C6-9F15845A11CD}"/>
    <cellStyle name="Accent5 6" xfId="2637" xr:uid="{C47312E5-BF8B-43AB-A255-B378BB690B6A}"/>
    <cellStyle name="Accent5 6 10" xfId="2638" xr:uid="{6AF7A6F1-2373-4FB7-9FAD-3EC637489393}"/>
    <cellStyle name="Accent5 6 11" xfId="2639" xr:uid="{01483539-80A4-4FBD-9393-87092DAE636D}"/>
    <cellStyle name="Accent5 6 2" xfId="2640" xr:uid="{EBC0C423-81A5-4838-9C77-E0B19DF989CA}"/>
    <cellStyle name="Accent5 6 3" xfId="2641" xr:uid="{B208BB7C-CB11-466A-B4A8-D37BEEDCC8D4}"/>
    <cellStyle name="Accent5 6 4" xfId="2642" xr:uid="{FDFEE7C0-177D-410C-B32A-106F0AD480E3}"/>
    <cellStyle name="Accent5 6 5" xfId="2643" xr:uid="{3079AF15-F1A5-4214-BF6C-34CCDB62BA79}"/>
    <cellStyle name="Accent5 6 6" xfId="2644" xr:uid="{10FD7C36-5EC5-47CE-8CD7-19172CE4B02B}"/>
    <cellStyle name="Accent5 6 7" xfId="2645" xr:uid="{CEA9F80D-551D-4BA6-B3EF-92AD231CB50F}"/>
    <cellStyle name="Accent5 6 8" xfId="2646" xr:uid="{4B6ACC17-F6C8-42CC-B224-E4FE17273BE5}"/>
    <cellStyle name="Accent5 6 9" xfId="2647" xr:uid="{33EA0626-AC04-421C-B7DB-3CC8F91DD3AA}"/>
    <cellStyle name="Accent5 7" xfId="2648" xr:uid="{0929C8BF-78E3-474C-A2EA-A9339BC97D57}"/>
    <cellStyle name="Accent5 8" xfId="2649" xr:uid="{1D0FFE00-07B2-4EBD-A8BB-B44B33DE5119}"/>
    <cellStyle name="Accent5 9" xfId="2650" xr:uid="{FB8834D8-49B9-4BD4-96EC-99DE634B47CB}"/>
    <cellStyle name="Accent6" xfId="5916" builtinId="49" customBuiltin="1"/>
    <cellStyle name="Accent6 10" xfId="2651" xr:uid="{B6F18435-9BD9-4E67-9CE6-1834FD9C5729}"/>
    <cellStyle name="Accent6 11" xfId="25086" xr:uid="{866B4E41-10F6-48DC-9696-1A50BD9F9EB2}"/>
    <cellStyle name="Accent6 12" xfId="25087" xr:uid="{A0F9F21F-74E6-4003-9402-7608909884B7}"/>
    <cellStyle name="Accent6 13" xfId="25088" xr:uid="{4E710F62-573E-4D0F-87F6-234C43294F0E}"/>
    <cellStyle name="Accent6 14" xfId="25089" xr:uid="{1EF7715C-06AE-400D-8223-1304CEC65B3A}"/>
    <cellStyle name="Accent6 15" xfId="25090" xr:uid="{DC5943BA-CC40-4895-9922-CEA035C50F7C}"/>
    <cellStyle name="Accent6 16" xfId="25091" xr:uid="{15C2790D-85AE-4FD1-A664-B9E527E02ED4}"/>
    <cellStyle name="Accent6 17" xfId="25092" xr:uid="{4F5FD111-EA01-44E9-8847-D5AE1B5C86C4}"/>
    <cellStyle name="Accent6 18" xfId="25093" xr:uid="{38BD8D47-B600-4BA6-9C71-7EB8D3BE36AE}"/>
    <cellStyle name="Accent6 19" xfId="25094" xr:uid="{B36E6A93-A900-4B86-B6FD-313C07A46018}"/>
    <cellStyle name="Accent6 2" xfId="2652" xr:uid="{CE1F0FE7-109B-4FA7-9FA1-CDA0E554FF6D}"/>
    <cellStyle name="Accent6 2 10" xfId="2653" xr:uid="{CA06B26A-FC99-467F-ABD9-90A2EA0BD46A}"/>
    <cellStyle name="Accent6 2 10 2" xfId="2654" xr:uid="{C11AADAD-E84D-415C-B451-B1D2BDB263A2}"/>
    <cellStyle name="Accent6 2 11" xfId="2655" xr:uid="{1BDA37D0-296B-410C-A5EF-B0B56CCD765C}"/>
    <cellStyle name="Accent6 2 12" xfId="44086" xr:uid="{F5D6FD67-1995-4AB6-BD27-1321306B540E}"/>
    <cellStyle name="Accent6 2 2" xfId="2656" xr:uid="{1926CF0C-1F15-42E0-AC36-4D35E42053DC}"/>
    <cellStyle name="Accent6 2 2 2" xfId="2657" xr:uid="{7C3505C0-6E13-4102-9983-89AB7C14A823}"/>
    <cellStyle name="Accent6 2 3" xfId="2658" xr:uid="{D1C8F297-C550-41B4-A203-5DBC1ADBF661}"/>
    <cellStyle name="Accent6 2 3 2" xfId="2659" xr:uid="{F060737A-9641-4B43-AE1B-68EA791321B1}"/>
    <cellStyle name="Accent6 2 4" xfId="2660" xr:uid="{C945A171-7159-4FE9-8464-2C51D72D3390}"/>
    <cellStyle name="Accent6 2 4 2" xfId="2661" xr:uid="{B9C9A039-38DA-4245-BEA9-0B448942A5F7}"/>
    <cellStyle name="Accent6 2 5" xfId="2662" xr:uid="{3B07B43A-4FE9-4829-A2BE-E21018670E48}"/>
    <cellStyle name="Accent6 2 5 2" xfId="2663" xr:uid="{42278520-B6FB-4629-9B1B-82EA83D83DD7}"/>
    <cellStyle name="Accent6 2 6" xfId="2664" xr:uid="{D67104FD-C435-437F-AE57-B98097E99BB7}"/>
    <cellStyle name="Accent6 2 6 2" xfId="2665" xr:uid="{FA42EBAA-7801-4340-B5D9-D7358F48D6EA}"/>
    <cellStyle name="Accent6 2 7" xfId="2666" xr:uid="{ED822AED-AEAE-4B4B-99B8-8CEFB1A31FC7}"/>
    <cellStyle name="Accent6 2 7 2" xfId="2667" xr:uid="{789849E5-850A-417A-B0F5-F9D5F01117FF}"/>
    <cellStyle name="Accent6 2 8" xfId="2668" xr:uid="{BE764D01-AA10-479E-9B2E-1AAF6B19F039}"/>
    <cellStyle name="Accent6 2 8 2" xfId="2669" xr:uid="{E0BE7E7A-8137-494F-8D48-18423BF251A2}"/>
    <cellStyle name="Accent6 2 9" xfId="2670" xr:uid="{852BF3F7-32F6-44CF-8B29-82B63BAE0B9D}"/>
    <cellStyle name="Accent6 2 9 2" xfId="2671" xr:uid="{A35DF3DD-BBD0-4E82-8FCA-544BD25AD891}"/>
    <cellStyle name="Accent6 20" xfId="25095" xr:uid="{A4DC62AA-8312-40E6-BD0E-61FAB5D32A96}"/>
    <cellStyle name="Accent6 21" xfId="25096" xr:uid="{6A581A10-3752-473F-A703-B87DCE372EE6}"/>
    <cellStyle name="Accent6 22" xfId="25097" xr:uid="{D1F470D3-F2EB-4380-B604-14B691752194}"/>
    <cellStyle name="Accent6 23" xfId="25098" xr:uid="{D00013DD-A503-4136-A028-97121BDBA756}"/>
    <cellStyle name="Accent6 24" xfId="25099" xr:uid="{98B35D6A-A1E3-4AD4-8242-B1950BD064C9}"/>
    <cellStyle name="Accent6 25" xfId="25100" xr:uid="{A381F353-09A3-4637-B9D0-251A82D4F6A4}"/>
    <cellStyle name="Accent6 26" xfId="25101" xr:uid="{DB442190-73D6-434B-9E3F-A7234D57A87F}"/>
    <cellStyle name="Accent6 27" xfId="25102" xr:uid="{F317827F-3657-46DC-BD86-0AF430E51FE1}"/>
    <cellStyle name="Accent6 28" xfId="25103" xr:uid="{7E69A761-8D17-45A9-9428-F3715C9DFDCF}"/>
    <cellStyle name="Accent6 29" xfId="25104" xr:uid="{FC888F5E-C6AF-4BE9-9C68-B772776C85CA}"/>
    <cellStyle name="Accent6 3" xfId="2672" xr:uid="{AC606922-65AC-4D66-87D5-921AC0C050C0}"/>
    <cellStyle name="Accent6 3 10" xfId="2673" xr:uid="{8557A258-1315-46BE-B328-4C0559F1525E}"/>
    <cellStyle name="Accent6 3 11" xfId="2674" xr:uid="{66412C97-0D36-41FB-833F-05BB4531EF98}"/>
    <cellStyle name="Accent6 3 12" xfId="2675" xr:uid="{A8734DFB-D44F-4B2E-96D4-18EE625DB655}"/>
    <cellStyle name="Accent6 3 13" xfId="44193" xr:uid="{9A12C17F-3C72-46CE-9002-D40B5EAE45C1}"/>
    <cellStyle name="Accent6 3 2" xfId="2676" xr:uid="{AB381C13-CAFC-49E1-95FF-647A20279BF3}"/>
    <cellStyle name="Accent6 3 2 2" xfId="25105" xr:uid="{80C8039E-B8EA-48DC-9938-CC3E29D6EAAA}"/>
    <cellStyle name="Accent6 3 3" xfId="2677" xr:uid="{DAB10097-B325-427E-A1A3-634DF2320AE3}"/>
    <cellStyle name="Accent6 3 3 2" xfId="42325" xr:uid="{B91EFA2C-E739-4055-9035-802B89753F36}"/>
    <cellStyle name="Accent6 3 4" xfId="2678" xr:uid="{169A2BE4-1D77-430D-9B8F-F76EC616BF7D}"/>
    <cellStyle name="Accent6 3 5" xfId="2679" xr:uid="{1236632F-2B24-4313-A0A7-D1D646EB4C96}"/>
    <cellStyle name="Accent6 3 6" xfId="2680" xr:uid="{B7469F91-C986-461E-929A-C4A8AD1D62DB}"/>
    <cellStyle name="Accent6 3 7" xfId="2681" xr:uid="{F5775BE0-0C52-4979-BBC9-2AE277212B7C}"/>
    <cellStyle name="Accent6 3 8" xfId="2682" xr:uid="{8B1922C8-1822-4644-B693-CFDB07EA9A66}"/>
    <cellStyle name="Accent6 3 9" xfId="2683" xr:uid="{32E6C6EF-0DFF-4EC8-AA77-4E504043B627}"/>
    <cellStyle name="Accent6 30" xfId="25106" xr:uid="{B1C3A394-FFE2-42CD-8DC5-28EC92537253}"/>
    <cellStyle name="Accent6 31" xfId="25107" xr:uid="{93D8D890-7B8B-48D7-ACE1-D10EB4E56031}"/>
    <cellStyle name="Accent6 32" xfId="25108" xr:uid="{DD8838B0-8C79-4845-BFB2-203A6A0FB97B}"/>
    <cellStyle name="Accent6 33" xfId="25109" xr:uid="{2A966DF6-9118-4266-BD7A-E04CF583071E}"/>
    <cellStyle name="Accent6 34" xfId="25110" xr:uid="{12A4E43F-B0B3-47A5-BDDB-A29888FEA495}"/>
    <cellStyle name="Accent6 35" xfId="25111" xr:uid="{90ACE2E2-2891-4B06-9CC1-164A626438E3}"/>
    <cellStyle name="Accent6 36" xfId="25112" xr:uid="{E4AEBE4B-CB3D-4A3C-90DC-1C79315390BF}"/>
    <cellStyle name="Accent6 37" xfId="25113" xr:uid="{26081CF0-3B2D-456D-839C-A2F7055A8BFE}"/>
    <cellStyle name="Accent6 38" xfId="25114" xr:uid="{48D90B81-EB3C-4D0D-BE22-83D12D36CC6A}"/>
    <cellStyle name="Accent6 39" xfId="25115" xr:uid="{B3F96F0E-758F-4D69-932A-520982B74432}"/>
    <cellStyle name="Accent6 4" xfId="2684" xr:uid="{ECEDD0C6-3E67-4057-97C5-75663D0F88F6}"/>
    <cellStyle name="Accent6 4 10" xfId="2685" xr:uid="{3167D816-50EB-48E9-8D6B-C5590AA28F76}"/>
    <cellStyle name="Accent6 4 11" xfId="2686" xr:uid="{23193F90-32ED-4913-AF38-D2B9D15CD7AB}"/>
    <cellStyle name="Accent6 4 2" xfId="2687" xr:uid="{7DD9ED2C-FA3D-443A-A8CB-FAED5D541028}"/>
    <cellStyle name="Accent6 4 3" xfId="2688" xr:uid="{2C511FCF-3CEE-40F5-8A0D-D2DCB0B83325}"/>
    <cellStyle name="Accent6 4 4" xfId="2689" xr:uid="{F0D5FB6F-442D-4BA0-B1DD-D0DC8BF8267A}"/>
    <cellStyle name="Accent6 4 5" xfId="2690" xr:uid="{50A00E9E-F9F5-4FA1-8C17-3CC917FA87B6}"/>
    <cellStyle name="Accent6 4 6" xfId="2691" xr:uid="{CEA7AE59-06A6-437D-912B-573D992D2AA3}"/>
    <cellStyle name="Accent6 4 7" xfId="2692" xr:uid="{59327AE4-87D1-441A-908C-1969AC8B05F6}"/>
    <cellStyle name="Accent6 4 8" xfId="2693" xr:uid="{0FA84C9E-F377-4FED-AF8B-7F2016FBB570}"/>
    <cellStyle name="Accent6 4 9" xfId="2694" xr:uid="{C359ADBF-36F7-43FB-826C-58641BBD5C9E}"/>
    <cellStyle name="Accent6 40" xfId="25116" xr:uid="{D558B773-25D1-4EBE-833A-97842A0FEF4B}"/>
    <cellStyle name="Accent6 41" xfId="25117" xr:uid="{A96BA59D-DA8A-4E6B-A4F7-E6169F745914}"/>
    <cellStyle name="Accent6 42" xfId="25118" xr:uid="{8B31A6D0-AD69-42D6-9504-D3982B9EE920}"/>
    <cellStyle name="Accent6 43" xfId="25119" xr:uid="{8A7E9B82-97BB-40DF-A9A1-77915DFB8445}"/>
    <cellStyle name="Accent6 44" xfId="45872" xr:uid="{7C2AF3B0-F9D2-4A80-BD69-9D2C03FF3438}"/>
    <cellStyle name="Accent6 5" xfId="2695" xr:uid="{BF6D0496-200F-4D62-9E1F-89FF31029AAC}"/>
    <cellStyle name="Accent6 5 10" xfId="2696" xr:uid="{C46A57CB-2570-457A-9F86-3531F2D50AFB}"/>
    <cellStyle name="Accent6 5 11" xfId="2697" xr:uid="{C1CCF093-688E-4FE3-A640-EE19FE0C0CDC}"/>
    <cellStyle name="Accent6 5 2" xfId="2698" xr:uid="{5FD3233D-C125-4DB9-8C66-46CE811BC7ED}"/>
    <cellStyle name="Accent6 5 3" xfId="2699" xr:uid="{AE1329DC-616A-4382-8F02-E2D1BEBFB729}"/>
    <cellStyle name="Accent6 5 4" xfId="2700" xr:uid="{E40561C8-5682-4FCF-AA2D-9E7425A3A01D}"/>
    <cellStyle name="Accent6 5 5" xfId="2701" xr:uid="{B4C487D4-3FF5-44A7-8A49-99AFCB8BD5BD}"/>
    <cellStyle name="Accent6 5 6" xfId="2702" xr:uid="{054AC6F9-2280-4B21-A456-B9A9F377ABD8}"/>
    <cellStyle name="Accent6 5 7" xfId="2703" xr:uid="{789379A8-7293-4F30-B101-9201920F7708}"/>
    <cellStyle name="Accent6 5 8" xfId="2704" xr:uid="{B05F1BAE-85B6-4CBF-952B-148486817D36}"/>
    <cellStyle name="Accent6 5 9" xfId="2705" xr:uid="{300E2EC2-2B47-4039-9E90-50243CC8C4D5}"/>
    <cellStyle name="Accent6 6" xfId="2706" xr:uid="{D0D038BD-F8E6-412E-A376-3EC6E8F7BE90}"/>
    <cellStyle name="Accent6 6 10" xfId="2707" xr:uid="{E5565061-31FF-4C58-BAB4-D18717F627FD}"/>
    <cellStyle name="Accent6 6 11" xfId="2708" xr:uid="{8A2D8194-055B-4A89-9009-22BB22C7719D}"/>
    <cellStyle name="Accent6 6 2" xfId="2709" xr:uid="{C5753DB3-0184-4F0E-AEBA-6CA6FAC9EC61}"/>
    <cellStyle name="Accent6 6 3" xfId="2710" xr:uid="{71D8A3E6-7BF0-4842-8EE9-AC5E9F4957C5}"/>
    <cellStyle name="Accent6 6 4" xfId="2711" xr:uid="{A0B218BF-61C1-4826-B76D-1C5EFFF536F2}"/>
    <cellStyle name="Accent6 6 5" xfId="2712" xr:uid="{448BAAA2-D0BE-4DF0-B1D6-9ACE1A5BB5BB}"/>
    <cellStyle name="Accent6 6 6" xfId="2713" xr:uid="{1FA2EEED-BC5A-42EE-B356-3A526C722667}"/>
    <cellStyle name="Accent6 6 7" xfId="2714" xr:uid="{BF313497-1085-4DBE-896B-ED7D31E6B8AB}"/>
    <cellStyle name="Accent6 6 8" xfId="2715" xr:uid="{527307AD-A221-471B-B578-9DA876653A1B}"/>
    <cellStyle name="Accent6 6 9" xfId="2716" xr:uid="{9EBD9B7D-92F5-4D81-A6F0-32164E421938}"/>
    <cellStyle name="Accent6 7" xfId="2717" xr:uid="{29B31332-D76F-4EB0-9554-76E918D3D765}"/>
    <cellStyle name="Accent6 8" xfId="2718" xr:uid="{0C632D1E-1DF8-4926-9441-7ED52AEF04BB}"/>
    <cellStyle name="Accent6 9" xfId="2719" xr:uid="{E5F483D9-674F-49E6-8699-1561C919D034}"/>
    <cellStyle name="AggblueBoldCels" xfId="2720" xr:uid="{BA02D08C-BB71-4CAE-BAF2-1C320AD5D7C8}"/>
    <cellStyle name="AggblueBoldCels 2" xfId="44088" xr:uid="{6C050F0D-74E1-4596-A61E-8A2111183F86}"/>
    <cellStyle name="AggblueCels" xfId="2721" xr:uid="{78A5FC5C-4870-491C-BD44-93F24A2ED0D0}"/>
    <cellStyle name="AggblueCels 2" xfId="44089" xr:uid="{CC85156C-6847-465E-8C3F-7A907856D785}"/>
    <cellStyle name="AggblueCels_1x" xfId="44000" xr:uid="{68717ACA-1C80-45AA-9AC0-A751559DD9E2}"/>
    <cellStyle name="AggBoldCells" xfId="2722" xr:uid="{0925AB8E-67AB-4318-BCF7-B0174DFFC95A}"/>
    <cellStyle name="AggBoldCells 2" xfId="25120" xr:uid="{890BB70E-2162-4711-9519-CB443F216A1E}"/>
    <cellStyle name="AggBoldCells 2 2" xfId="44090" xr:uid="{D806336D-D977-45C1-9C94-80AFFA43117C}"/>
    <cellStyle name="AggBoldCells 3" xfId="44163" xr:uid="{86382D68-2DAB-494F-86C6-6CAD125A1028}"/>
    <cellStyle name="AggBoldCells 4" xfId="44306" xr:uid="{2E1C30C0-5135-43D4-BDD1-B61C9AB3D9A9}"/>
    <cellStyle name="AggCels" xfId="2723" xr:uid="{1856654C-0951-497E-9EBA-4A5C130F77C4}"/>
    <cellStyle name="AggCels 2" xfId="25121" xr:uid="{3983FB47-32DE-4DE1-B3DB-79FA64A7DB44}"/>
    <cellStyle name="AggCels 2 2" xfId="44091" xr:uid="{98837BB0-79E9-47A6-90D8-4D68C6916F5E}"/>
    <cellStyle name="AggCels 3" xfId="44164" xr:uid="{56A0CFFC-9382-46E7-BED6-6C589474B621}"/>
    <cellStyle name="AggCels 4" xfId="44307" xr:uid="{019DDDE0-2CA5-4E07-B85D-CC56DDF2FA48}"/>
    <cellStyle name="AggCels_T(2)" xfId="43979" xr:uid="{F0F71DB9-224A-4376-97D0-D7D7CDA3319F}"/>
    <cellStyle name="AggGreen" xfId="2724" xr:uid="{29B438C1-A257-4720-A1B8-8521C4E488FA}"/>
    <cellStyle name="AggGreen 2" xfId="2725" xr:uid="{5383638D-9D25-4014-81D9-350A70338BED}"/>
    <cellStyle name="AggGreen 2 2" xfId="25122" xr:uid="{7EFA51DE-542A-4D23-A3A5-646CEA3E595B}"/>
    <cellStyle name="AggGreen 2 2 2" xfId="25123" xr:uid="{B06F04AC-EC75-4760-8BAE-D9FB9AFDC9DF}"/>
    <cellStyle name="AggGreen 2 2 2 2" xfId="44741" xr:uid="{2CF62A59-AB9A-4E4D-BC73-FE5EDB71D2DD}"/>
    <cellStyle name="AggGreen 2 2 2 2 2" xfId="44858" xr:uid="{DF28B152-791B-4191-8A0C-C7267651B9C2}"/>
    <cellStyle name="AggGreen 2 2 2 2 3" xfId="44301" xr:uid="{E8BE7990-1F4B-4D64-B07A-B4555A1A1002}"/>
    <cellStyle name="AggGreen 2 2 2 3" xfId="44528" xr:uid="{2384FBD3-3ABA-4AAF-B89D-E8BFAEDDFD0D}"/>
    <cellStyle name="AggGreen 2 2 2 4" xfId="44265" xr:uid="{BC3ECCDB-B94C-4D3F-97BD-3389D7285D29}"/>
    <cellStyle name="AggGreen 2 2 2 5" xfId="45093" xr:uid="{CDB5D084-30F0-4A20-B6C5-8F8EA853FAE6}"/>
    <cellStyle name="AggGreen 2 2 3" xfId="44656" xr:uid="{591D5E19-3820-4FE7-8F81-0629161D33BF}"/>
    <cellStyle name="AggGreen 2 2 3 2" xfId="44784" xr:uid="{91BD3482-66D3-4BF7-B7D5-99F18B228328}"/>
    <cellStyle name="AggGreen 2 2 3 3" xfId="44947" xr:uid="{0F784951-849A-4F5F-8827-CE266556F897}"/>
    <cellStyle name="AggGreen 2 2 4" xfId="44361" xr:uid="{B5B0572D-A578-4468-8A7B-7D6EE6788105}"/>
    <cellStyle name="AggGreen 2 3" xfId="25124" xr:uid="{3A4FE880-5094-4C94-BF7E-ED097E1A664C}"/>
    <cellStyle name="AggGreen 2 3 2" xfId="44548" xr:uid="{90358E8D-F08D-408D-83A6-98E6ADBF6A4F}"/>
    <cellStyle name="AggGreen 2 3 2 2" xfId="44760" xr:uid="{04856ED2-C6F5-41B6-9BF5-F6F15DC427CE}"/>
    <cellStyle name="AggGreen 2 3 2 2 2" xfId="44873" xr:uid="{B359929F-EABE-4E5C-AE2C-E64D8D07D02D}"/>
    <cellStyle name="AggGreen 2 3 2 2 3" xfId="45058" xr:uid="{AA8672EC-CE0B-4C49-AF64-81ADDD73EF03}"/>
    <cellStyle name="AggGreen 2 3 2 3" xfId="44928" xr:uid="{63D6C918-9ABB-4C45-8C47-BD52009E9528}"/>
    <cellStyle name="AggGreen 2 3 2 4" xfId="45343" xr:uid="{92D8172E-DE1A-4CDD-A63C-CC607886B025}"/>
    <cellStyle name="AggGreen 2 3 3" xfId="44615" xr:uid="{F53E6041-FDC1-4132-A4A8-98D9DB5FD2CB}"/>
    <cellStyle name="AggGreen 2 3 3 2" xfId="44829" xr:uid="{6D80368A-E9F0-4CA3-A4F0-904D4F635396}"/>
    <cellStyle name="AggGreen 2 3 3 2 2" xfId="45384" xr:uid="{036FFFF1-FEF1-48E6-BFB3-948C6898CE82}"/>
    <cellStyle name="AggGreen 2 3 3 2 3" xfId="45598" xr:uid="{9C4BF1D1-2FCD-4FBE-B1F0-243E73A97264}"/>
    <cellStyle name="AggGreen 2 3 3 3" xfId="45347" xr:uid="{6066E228-D6C1-440F-A42B-1259D3F81F65}"/>
    <cellStyle name="AggGreen 2 3 3 4" xfId="45570" xr:uid="{664B3210-5AA1-431A-BF6A-B29C44B179F5}"/>
    <cellStyle name="AggGreen 2 3 4" xfId="44612" xr:uid="{EFDD05F6-75D7-4220-BFA7-78D9298B8DF4}"/>
    <cellStyle name="AggGreen 2 3 4 2" xfId="44825" xr:uid="{7F4560AC-98C7-4A32-838A-BB9BFAFA7417}"/>
    <cellStyle name="AggGreen 2 3 4 2 2" xfId="45380" xr:uid="{E061E4A8-369E-48E5-8BB6-1495290DCDD5}"/>
    <cellStyle name="AggGreen 2 3 4 2 3" xfId="45594" xr:uid="{66AF712C-225F-4726-A009-BC4D7D748D64}"/>
    <cellStyle name="AggGreen 2 3 4 3" xfId="45316" xr:uid="{7441A571-B656-4CDA-8642-F07E88CEB929}"/>
    <cellStyle name="AggGreen 2 3 4 4" xfId="45549" xr:uid="{A4198187-1829-40CD-BAA8-810680F407BC}"/>
    <cellStyle name="AggGreen 2 3 5" xfId="44232" xr:uid="{018FC3DA-569D-45A7-B225-C83263CDDD39}"/>
    <cellStyle name="AggGreen 2 3 6" xfId="45054" xr:uid="{A5823FD9-23B4-44D5-A181-DA5D76056675}"/>
    <cellStyle name="AggGreen 2 3 7" xfId="45397" xr:uid="{D1EBC038-5C63-44DC-BFE7-762BF2996EA4}"/>
    <cellStyle name="AggGreen 2 4" xfId="44092" xr:uid="{06D6E7E7-CA5D-4F28-B301-A17F94FA1740}"/>
    <cellStyle name="AggGreen 3" xfId="2726" xr:uid="{FA5AD83A-141E-4845-A32C-981421A4F034}"/>
    <cellStyle name="AggGreen 3 2" xfId="25125" xr:uid="{50739697-B52C-4126-A99A-5EE91149C7E8}"/>
    <cellStyle name="AggGreen 3 2 2" xfId="44690" xr:uid="{2042575C-D24F-4082-A63C-E58B0BD23A15}"/>
    <cellStyle name="AggGreen 3 2 2 2" xfId="44102" xr:uid="{9F9E04A5-CC74-4E83-A462-5F30D5D2AB2C}"/>
    <cellStyle name="AggGreen 3 2 2 3" xfId="45356" xr:uid="{533D041D-64DD-4B38-AF66-6ABE0A3F38AC}"/>
    <cellStyle name="AggGreen 3 2 3" xfId="44479" xr:uid="{D46E8774-232A-4E67-A1E8-79981FD3B2FE}"/>
    <cellStyle name="AggGreen 3 2 4" xfId="45370" xr:uid="{88960AC7-1297-4F5A-B798-2F8958C080DE}"/>
    <cellStyle name="AggGreen 3 2 5" xfId="45587" xr:uid="{E3694FA7-FA3C-46B2-9BB0-483AA890B15C}"/>
    <cellStyle name="AggGreen 3 3" xfId="44655" xr:uid="{4673AFB5-152D-4DF3-ADFF-1505D5DBEE7C}"/>
    <cellStyle name="AggGreen 3 3 2" xfId="44149" xr:uid="{5E600AA1-4BA9-43E0-819A-EBAFC5A984F9}"/>
    <cellStyle name="AggGreen 3 3 3" xfId="45073" xr:uid="{34DA7E06-0429-41D5-ADCB-CB042856BC2F}"/>
    <cellStyle name="AggGreen 3 4" xfId="44360" xr:uid="{48F1B56D-FD59-4A76-97BD-F34EB25CFFFA}"/>
    <cellStyle name="AggGreen 4" xfId="2727" xr:uid="{ADA36468-7514-4CD2-9256-74F781B184A4}"/>
    <cellStyle name="AggGreen 4 2" xfId="25126" xr:uid="{4DF20D9A-7E53-46A6-BCC8-E9E5DF8A2A01}"/>
    <cellStyle name="AggGreen 4 2 2" xfId="44759" xr:uid="{1A1FFB22-00D8-42F8-AD6E-B8B8B1AD6C18}"/>
    <cellStyle name="AggGreen 4 2 2 2" xfId="44011" xr:uid="{97947BE1-CE4F-44DD-B187-0845ADA09892}"/>
    <cellStyle name="AggGreen 4 2 2 3" xfId="44447" xr:uid="{73AE83D9-F57B-4112-8C63-B93A8BB7B430}"/>
    <cellStyle name="AggGreen 4 2 3" xfId="44547" xr:uid="{53DBFEB6-A5AA-4B16-8BB2-2B82114206CD}"/>
    <cellStyle name="AggGreen 4 2 4" xfId="45162" xr:uid="{6EC448BA-BDDE-47D8-9D7D-F1EF2A468562}"/>
    <cellStyle name="AggGreen 4 2 5" xfId="45454" xr:uid="{22C98AD3-05C2-4D19-8380-BEA102016CBD}"/>
    <cellStyle name="AggGreen 4 3" xfId="44464" xr:uid="{65965B82-7F80-4C71-88E8-386CE0905E2D}"/>
    <cellStyle name="AggGreen 4 3 2" xfId="44675" xr:uid="{F23A4636-D710-4FBE-BEE8-30C6EF7F4D65}"/>
    <cellStyle name="AggGreen 4 3 2 2" xfId="45152" xr:uid="{45D75A1E-85BD-4F91-B8BF-0E3467820801}"/>
    <cellStyle name="AggGreen 4 3 2 3" xfId="45444" xr:uid="{1C336DE9-F64D-4193-AB4E-3D0E2E1E1264}"/>
    <cellStyle name="AggGreen 4 3 3" xfId="45293" xr:uid="{3D7B043E-2AB8-465F-9AAB-4906A891F571}"/>
    <cellStyle name="AggGreen 4 3 4" xfId="45532" xr:uid="{3D921059-2562-400E-BCF9-1F5A8EB91A37}"/>
    <cellStyle name="AggGreen 4 4" xfId="44579" xr:uid="{4CEABA85-036A-4BED-9E15-F772F76A8302}"/>
    <cellStyle name="AggGreen 4 4 2" xfId="44792" xr:uid="{57EE6153-7BB3-476A-BB1B-C5F07E785F0C}"/>
    <cellStyle name="AggGreen 4 4 2 2" xfId="44017" xr:uid="{F437C455-A6E1-49CE-9084-DEC5F2D3363C}"/>
    <cellStyle name="AggGreen 4 4 2 3" xfId="45168" xr:uid="{E9AD47AB-99C5-460B-B805-5F76D72A8D02}"/>
    <cellStyle name="AggGreen 4 4 3" xfId="45115" xr:uid="{8F6BF94D-2687-40CB-AA88-B721446124DD}"/>
    <cellStyle name="AggGreen 4 4 4" xfId="45423" xr:uid="{3D3766CA-0C8D-428E-8C12-DC03C8DA19EE}"/>
    <cellStyle name="AggGreen 4 5" xfId="45053" xr:uid="{58B1A2FE-ECD3-4562-8195-5AC93C836657}"/>
    <cellStyle name="AggGreen 4 6" xfId="45396" xr:uid="{AAD47879-06D3-4BFC-BD6A-3ECA370B6247}"/>
    <cellStyle name="AggGreen 5" xfId="25127" xr:uid="{23336520-4C14-44CC-84FB-0253476FA367}"/>
    <cellStyle name="AggGreen 5 2" xfId="44054" xr:uid="{EF54EC6C-0330-4EBE-AB9E-EEDC923BE2E4}"/>
    <cellStyle name="AggGreen 5 3" xfId="45642" xr:uid="{584F2B6B-1541-4185-B26B-7986349F0D7E}"/>
    <cellStyle name="AggGreen 6" xfId="25128" xr:uid="{54A896C4-BA52-4901-BF74-EE216AF0BDA8}"/>
    <cellStyle name="AggGreen 7" xfId="42914" xr:uid="{89BFBADE-FFF6-4F82-BFF8-F5B7594E3D25}"/>
    <cellStyle name="AggGreen 8" xfId="45613" xr:uid="{CF4CABFD-2B5C-4952-9A77-8A3B6E7AD835}"/>
    <cellStyle name="AggGreen_Bbdr" xfId="43994" xr:uid="{C1B4062A-1B47-42F3-B11C-A2081DA51C5F}"/>
    <cellStyle name="AggGreen12" xfId="2728" xr:uid="{E7A2D876-7A17-4081-8CBA-71AE8BF5CFBB}"/>
    <cellStyle name="AggGreen12 2" xfId="2729" xr:uid="{CA409733-61CF-4B5B-8404-E51098896F2C}"/>
    <cellStyle name="AggGreen12 2 2" xfId="25129" xr:uid="{8108CD54-4993-4AFD-BE95-E5567D081D23}"/>
    <cellStyle name="AggGreen12 2 2 2" xfId="25130" xr:uid="{157123FA-FF0E-44A5-A159-28CCA5BC1290}"/>
    <cellStyle name="AggGreen12 2 2 2 2" xfId="44758" xr:uid="{C2443D62-44B1-4A36-8D26-8A3F966744D1}"/>
    <cellStyle name="AggGreen12 2 2 2 2 2" xfId="44874" xr:uid="{18786717-3E9E-40F5-B1E0-AA559BCA47E2}"/>
    <cellStyle name="AggGreen12 2 2 2 2 3" xfId="45180" xr:uid="{0DDF8C45-A9B6-42F2-8D3A-5559A7C1CA1F}"/>
    <cellStyle name="AggGreen12 2 2 2 3" xfId="44546" xr:uid="{4392EC01-0407-48AB-972F-3751D2E96899}"/>
    <cellStyle name="AggGreen12 2 2 2 4" xfId="45323" xr:uid="{49DCEB0D-2FAA-4CE5-ADE5-F4C93B968D75}"/>
    <cellStyle name="AggGreen12 2 2 2 5" xfId="45556" xr:uid="{EA213ACB-7F4B-480B-A166-21D9382805C0}"/>
    <cellStyle name="AggGreen12 2 2 3" xfId="44658" xr:uid="{01843991-5391-492C-B7B2-40EF39E281B1}"/>
    <cellStyle name="AggGreen12 2 2 3 2" xfId="44134" xr:uid="{81FAA63B-9265-40BD-A5A8-1E55A8ECAF4F}"/>
    <cellStyle name="AggGreen12 2 2 3 3" xfId="45245" xr:uid="{9DE53095-A91B-4F53-A741-13CA8452EEF7}"/>
    <cellStyle name="AggGreen12 2 2 4" xfId="44363" xr:uid="{1EAE9CF9-412B-4767-B4B9-9797259861D5}"/>
    <cellStyle name="AggGreen12 2 3" xfId="25131" xr:uid="{9E88DF47-E64A-4A51-B08E-5B0F9BE6740E}"/>
    <cellStyle name="AggGreen12 2 3 2" xfId="44550" xr:uid="{47CB86F4-613B-49A2-9438-1C662783A665}"/>
    <cellStyle name="AggGreen12 2 3 2 2" xfId="44762" xr:uid="{5B30EE36-C17F-4A85-B6CE-F00E26FEE697}"/>
    <cellStyle name="AggGreen12 2 3 2 2 2" xfId="44872" xr:uid="{C67E15CF-B44D-407D-987F-CC82A31DE514}"/>
    <cellStyle name="AggGreen12 2 3 2 2 3" xfId="45368" xr:uid="{512F2CE6-C49F-4FA8-AADB-F42BC75094BC}"/>
    <cellStyle name="AggGreen12 2 3 2 3" xfId="45094" xr:uid="{8F4758DD-AC45-4EF0-8718-0406DD24F8E0}"/>
    <cellStyle name="AggGreen12 2 3 2 4" xfId="45407" xr:uid="{4F69D9F5-2601-4B68-A4B5-E021DCAB9F1D}"/>
    <cellStyle name="AggGreen12 2 3 3" xfId="44500" xr:uid="{6DED520E-F48E-44F7-871E-3BCFF814DDF2}"/>
    <cellStyle name="AggGreen12 2 3 3 2" xfId="44712" xr:uid="{063EBC7C-6C34-4830-8C92-1CD63C6FB9B3}"/>
    <cellStyle name="AggGreen12 2 3 3 2 2" xfId="44884" xr:uid="{B7A05183-DC85-4A92-A9B2-574B2988BDC9}"/>
    <cellStyle name="AggGreen12 2 3 3 2 3" xfId="45102" xr:uid="{A1E81DDC-C734-4B24-9C5A-C82EADC2073B}"/>
    <cellStyle name="AggGreen12 2 3 3 3" xfId="44275" xr:uid="{6025B9D1-ADAA-4424-BDE0-3830BC9D69DA}"/>
    <cellStyle name="AggGreen12 2 3 3 4" xfId="44383" xr:uid="{CE584FDC-8C22-4E0C-A09F-41A3BC50635E}"/>
    <cellStyle name="AggGreen12 2 3 4" xfId="44578" xr:uid="{78C6EFCE-21AC-4003-ADC5-783F3679AD12}"/>
    <cellStyle name="AggGreen12 2 3 4 2" xfId="44791" xr:uid="{55BD3763-0016-4898-B75C-1BEBA122E355}"/>
    <cellStyle name="AggGreen12 2 3 4 2 2" xfId="44397" xr:uid="{A98226D9-3293-430B-B678-492522580C70}"/>
    <cellStyle name="AggGreen12 2 3 4 2 3" xfId="45218" xr:uid="{756B718B-A846-4D94-B8CE-4FDDA10DB094}"/>
    <cellStyle name="AggGreen12 2 3 4 3" xfId="45281" xr:uid="{F5E757D3-291E-465B-ACB6-26B079DB4726}"/>
    <cellStyle name="AggGreen12 2 3 4 4" xfId="45526" xr:uid="{8E4D8FB7-FBFF-4725-86E3-F6348B885B3D}"/>
    <cellStyle name="AggGreen12 2 3 5" xfId="44234" xr:uid="{D6F18DC8-73B3-4AC0-A334-D1BB34B55A45}"/>
    <cellStyle name="AggGreen12 2 3 6" xfId="44943" xr:uid="{2A9CE9ED-942F-4FA4-ADAD-2B93F4E238A9}"/>
    <cellStyle name="AggGreen12 2 3 7" xfId="45105" xr:uid="{6EC6EE1D-1EF4-4396-B882-ED8F7A620A53}"/>
    <cellStyle name="AggGreen12 2 4" xfId="44093" xr:uid="{389E652F-10BC-4D31-92DB-6FAA9105DD5B}"/>
    <cellStyle name="AggGreen12 3" xfId="2730" xr:uid="{D29E7B20-7039-4B81-A07A-065D057B142D}"/>
    <cellStyle name="AggGreen12 3 2" xfId="25132" xr:uid="{570F5408-9A59-4C0D-ACB9-965B5CB70337}"/>
    <cellStyle name="AggGreen12 3 2 2" xfId="44689" xr:uid="{25449EEB-10FE-43E9-BBDA-8E042BB601F8}"/>
    <cellStyle name="AggGreen12 3 2 2 2" xfId="44859" xr:uid="{5EA5A761-5C7B-4A0F-A32A-8AC01B1B4518}"/>
    <cellStyle name="AggGreen12 3 2 2 3" xfId="45033" xr:uid="{E6939A41-7703-4F8A-A972-3189CDB0F526}"/>
    <cellStyle name="AggGreen12 3 2 3" xfId="44478" xr:uid="{D170F920-E9D9-4FB3-BCDB-4AEF4A947607}"/>
    <cellStyle name="AggGreen12 3 2 4" xfId="45216" xr:uid="{585C1A13-9A59-4E31-AF88-0F5D8A599158}"/>
    <cellStyle name="AggGreen12 3 2 5" xfId="45483" xr:uid="{C770B8FE-A4A4-4F82-9944-3B1BE07B19FC}"/>
    <cellStyle name="AggGreen12 3 3" xfId="44657" xr:uid="{56B08482-2D01-4911-B10C-45093B997D18}"/>
    <cellStyle name="AggGreen12 3 3 2" xfId="44723" xr:uid="{EC8A88EB-CC4F-45A1-8D97-6EC557F58E1B}"/>
    <cellStyle name="AggGreen12 3 3 3" xfId="45074" xr:uid="{17D10257-5277-4FDF-8DD1-78C2504FD6DF}"/>
    <cellStyle name="AggGreen12 3 4" xfId="44362" xr:uid="{B1EFAE65-E0D1-4119-A205-0FA0F0567A28}"/>
    <cellStyle name="AggGreen12 4" xfId="2731" xr:uid="{AAAA2799-4CB7-48A9-953D-EF8BC92A1C9C}"/>
    <cellStyle name="AggGreen12 4 2" xfId="25133" xr:uid="{16575116-02DB-42AA-96BF-C5959FB57DC3}"/>
    <cellStyle name="AggGreen12 4 2 2" xfId="44761" xr:uid="{094202F9-6CCC-424E-AB1B-0D0AA866DA18}"/>
    <cellStyle name="AggGreen12 4 2 2 2" xfId="43990" xr:uid="{A8966BB5-C17F-4C6B-BCA0-3AB481CCAADB}"/>
    <cellStyle name="AggGreen12 4 2 2 3" xfId="45121" xr:uid="{7A995D34-70B0-4664-A022-E6F4805EBB58}"/>
    <cellStyle name="AggGreen12 4 2 3" xfId="44549" xr:uid="{0DCD72E5-5B2B-4B51-929F-0E8EFB65EA63}"/>
    <cellStyle name="AggGreen12 4 2 4" xfId="45261" xr:uid="{EC3B7896-0ABF-4FC2-B2E3-BAE1E59B9A32}"/>
    <cellStyle name="AggGreen12 4 2 5" xfId="45510" xr:uid="{EC5B5AA8-8964-4915-BE31-CA903667209E}"/>
    <cellStyle name="AggGreen12 4 3" xfId="44600" xr:uid="{13E5DFEE-6B6B-4428-9CF9-C76B58A61A74}"/>
    <cellStyle name="AggGreen12 4 3 2" xfId="44813" xr:uid="{F8EBFCD7-D1FA-4C08-ADCE-F8F0C69CB55B}"/>
    <cellStyle name="AggGreen12 4 3 2 2" xfId="44900" xr:uid="{4DE8C829-F76F-4EB2-9720-4D46AD98CE18}"/>
    <cellStyle name="AggGreen12 4 3 2 3" xfId="45092" xr:uid="{D9250CF7-F90C-41E7-A64C-49B99F97C954}"/>
    <cellStyle name="AggGreen12 4 3 3" xfId="44319" xr:uid="{5E2E65C9-CB8B-45F8-B656-92E47B590038}"/>
    <cellStyle name="AggGreen12 4 3 4" xfId="45327" xr:uid="{A57C03E0-AB36-4287-AC04-CD7732BEB303}"/>
    <cellStyle name="AggGreen12 4 4" xfId="44611" xr:uid="{5F92C5C8-2FCC-49AF-BB3C-301BC44B602B}"/>
    <cellStyle name="AggGreen12 4 4 2" xfId="44824" xr:uid="{72EEAF7A-AC72-49F1-B3DC-D45E02E81434}"/>
    <cellStyle name="AggGreen12 4 4 2 2" xfId="45379" xr:uid="{7EBF73B8-37C1-48A5-B721-63DE36DDE5F4}"/>
    <cellStyle name="AggGreen12 4 4 2 3" xfId="45593" xr:uid="{38CF3EC7-C836-4E44-9948-C1E00C4B4D0A}"/>
    <cellStyle name="AggGreen12 4 4 3" xfId="45145" xr:uid="{1E491571-148A-49E5-AC73-4AF764F7A298}"/>
    <cellStyle name="AggGreen12 4 4 4" xfId="45438" xr:uid="{D5BFC2FB-CE52-4B5D-8CE4-94E34A7BFFA3}"/>
    <cellStyle name="AggGreen12 4 5" xfId="44955" xr:uid="{0E3B7278-0484-4DCE-BCFB-4E9E10406DBC}"/>
    <cellStyle name="AggGreen12 4 6" xfId="45117" xr:uid="{36E28776-E101-45B4-9DE4-A88A681AE560}"/>
    <cellStyle name="AggGreen12 5" xfId="25134" xr:uid="{81998A1A-0B8C-4F45-AFF0-24AFEA0E2813}"/>
    <cellStyle name="AggGreen12 5 2" xfId="44052" xr:uid="{3679142C-3A49-4024-99A7-5DB5B5EA3759}"/>
    <cellStyle name="AggGreen12 5 3" xfId="45640" xr:uid="{B6133770-FC13-4BBF-8422-E528912DE78B}"/>
    <cellStyle name="AggGreen12 6" xfId="25135" xr:uid="{812900B4-D6BE-40AC-9504-FA96B0ACB48F}"/>
    <cellStyle name="AggGreen12 7" xfId="42913" xr:uid="{55648CC4-7A41-401F-9B22-EF58395577C9}"/>
    <cellStyle name="AggGreen12 8" xfId="45611" xr:uid="{0FDA8127-737D-4ED5-A7DC-417BA1DB22BA}"/>
    <cellStyle name="AggOrange" xfId="2732" xr:uid="{624EEE30-29E8-4A25-B7C0-BB0EB71C38CF}"/>
    <cellStyle name="AggOrange 2" xfId="2733" xr:uid="{E64DA0A0-8D86-4F23-A52D-6F4DFC40BAA9}"/>
    <cellStyle name="AggOrange 2 2" xfId="25136" xr:uid="{6967C920-3768-49D5-90B2-07E0C4767F72}"/>
    <cellStyle name="AggOrange 2 2 2" xfId="25137" xr:uid="{AB088264-35FD-42A8-A0A6-5750E2F2CC34}"/>
    <cellStyle name="AggOrange 2 2 2 2" xfId="44688" xr:uid="{FFD6A545-5027-4D2A-955A-CFB9255C3259}"/>
    <cellStyle name="AggOrange 2 2 2 2 2" xfId="44964" xr:uid="{73E6A019-3269-4AB6-802F-457CC17CA856}"/>
    <cellStyle name="AggOrange 2 2 2 2 3" xfId="44844" xr:uid="{54271566-7F49-4F7F-955B-5EAA60CA1CEF}"/>
    <cellStyle name="AggOrange 2 2 2 3" xfId="44477" xr:uid="{0F8F5EAE-8139-4436-9B81-7DF3E33650A8}"/>
    <cellStyle name="AggOrange 2 2 2 4" xfId="43993" xr:uid="{DD5A12F2-00AA-4B1E-93A4-B756CCE479F3}"/>
    <cellStyle name="AggOrange 2 2 2 5" xfId="44154" xr:uid="{F382D690-48A1-4597-A567-1208B1467EB4}"/>
    <cellStyle name="AggOrange 2 2 3" xfId="44660" xr:uid="{30C383DD-B535-4DB3-8E5C-E58426BCA294}"/>
    <cellStyle name="AggOrange 2 2 3 2" xfId="45175" xr:uid="{BC421B9B-BCF8-437F-AAB2-9BA064BEEE2F}"/>
    <cellStyle name="AggOrange 2 2 3 3" xfId="45459" xr:uid="{DB93AD55-A72A-4653-8A98-F757254012A1}"/>
    <cellStyle name="AggOrange 2 2 4" xfId="44365" xr:uid="{312CAA9A-04A7-4689-A017-A631C3CB7BC5}"/>
    <cellStyle name="AggOrange 2 3" xfId="25138" xr:uid="{647B6E05-A14F-4869-804F-0517A9A5832E}"/>
    <cellStyle name="AggOrange 2 3 2" xfId="44552" xr:uid="{89307952-A55C-4A49-9945-6B5C515E5F31}"/>
    <cellStyle name="AggOrange 2 3 2 2" xfId="44764" xr:uid="{80781E75-1692-491F-839C-B80F2778BE1F}"/>
    <cellStyle name="AggOrange 2 3 2 2 2" xfId="44871" xr:uid="{C036454B-5640-4F4C-ACEE-40512F9211C8}"/>
    <cellStyle name="AggOrange 2 3 2 2 3" xfId="44979" xr:uid="{C82D6747-D5A3-4C7A-AB39-E7313BD79FFC}"/>
    <cellStyle name="AggOrange 2 3 2 3" xfId="43996" xr:uid="{9642BDF6-2CE4-44EA-9D25-E399B27FD944}"/>
    <cellStyle name="AggOrange 2 3 2 4" xfId="44863" xr:uid="{43C824A3-8BBE-4452-905D-68575448187B}"/>
    <cellStyle name="AggOrange 2 3 3" xfId="44461" xr:uid="{78CB0F7A-DB77-4377-93F9-EB6483C9BE82}"/>
    <cellStyle name="AggOrange 2 3 3 2" xfId="44672" xr:uid="{E5C31A4E-83F9-41F7-93D2-660F6FB7CB6D}"/>
    <cellStyle name="AggOrange 2 3 3 2 2" xfId="45367" xr:uid="{222C72F0-0D0E-4E2D-8F57-37A19B60A93E}"/>
    <cellStyle name="AggOrange 2 3 3 2 3" xfId="45586" xr:uid="{901E0A88-49A4-4CDE-A710-21C8A013DB66}"/>
    <cellStyle name="AggOrange 2 3 3 3" xfId="45221" xr:uid="{B2F6E1F6-F44A-49A6-856F-8332A77DE8BD}"/>
    <cellStyle name="AggOrange 2 3 3 4" xfId="45487" xr:uid="{15E884B1-69A5-4EA7-8D8D-58687990A074}"/>
    <cellStyle name="AggOrange 2 3 4" xfId="44476" xr:uid="{3150B1AF-2728-4D37-A6CB-DC1B20AAA651}"/>
    <cellStyle name="AggOrange 2 3 4 2" xfId="44687" xr:uid="{2BD8D97F-D37F-47EF-83FC-0A901109A09E}"/>
    <cellStyle name="AggOrange 2 3 4 2 2" xfId="44016" xr:uid="{726371ED-0474-4343-A6AE-6DE57E86A2A5}"/>
    <cellStyle name="AggOrange 2 3 4 2 3" xfId="45135" xr:uid="{266956A7-AB3F-475C-878C-3E91EF841FBB}"/>
    <cellStyle name="AggOrange 2 3 4 3" xfId="43980" xr:uid="{983E5B4B-292D-4C74-AF11-4E099A7F29E6}"/>
    <cellStyle name="AggOrange 2 3 4 4" xfId="44838" xr:uid="{CD925E99-EA26-4953-BD0F-F1268DB747CD}"/>
    <cellStyle name="AggOrange 2 3 5" xfId="44236" xr:uid="{3254C748-7568-478F-9E85-D9F4548E106C}"/>
    <cellStyle name="AggOrange 2 3 6" xfId="45052" xr:uid="{817BD9A8-7E20-4EA3-82DC-3D1CCB91E3C2}"/>
    <cellStyle name="AggOrange 2 3 7" xfId="45395" xr:uid="{C3888FD9-7031-4B04-9108-365300BCA41E}"/>
    <cellStyle name="AggOrange 2 4" xfId="44094" xr:uid="{05CE3D7F-B01D-4940-8E3E-120999D3F959}"/>
    <cellStyle name="AggOrange 3" xfId="2734" xr:uid="{FFFEA72A-A12B-47C1-B1EF-CFCD70B1EF93}"/>
    <cellStyle name="AggOrange 3 2" xfId="25139" xr:uid="{5B50AA58-45BB-436E-943C-BE120CD00F04}"/>
    <cellStyle name="AggOrange 3 2 2" xfId="44806" xr:uid="{DC2491D7-75E3-4D15-8049-195E318727EC}"/>
    <cellStyle name="AggOrange 3 2 2 2" xfId="44992" xr:uid="{A8D47400-187B-49A6-9E25-F62C7F3169A4}"/>
    <cellStyle name="AggOrange 3 2 2 3" xfId="44948" xr:uid="{1DBFA647-D74D-4A50-92D8-F96A4A710B5B}"/>
    <cellStyle name="AggOrange 3 2 3" xfId="44593" xr:uid="{4893B32D-A18F-40BB-9088-635811686ECB}"/>
    <cellStyle name="AggOrange 3 2 4" xfId="44924" xr:uid="{A1DFE399-7BD5-4D22-B420-534FEA4347AD}"/>
    <cellStyle name="AggOrange 3 2 5" xfId="44946" xr:uid="{E792D2B7-E578-4D31-B4C0-BD330AAAC9C9}"/>
    <cellStyle name="AggOrange 3 3" xfId="44659" xr:uid="{C37969F8-FBB3-4CFC-BA12-DC82BA3B308B}"/>
    <cellStyle name="AggOrange 3 3 2" xfId="45337" xr:uid="{E251441D-2FAA-4795-9C48-95AED0205868}"/>
    <cellStyle name="AggOrange 3 3 3" xfId="45562" xr:uid="{EAA5F687-DB33-4296-899F-81AF74F4D3A1}"/>
    <cellStyle name="AggOrange 3 4" xfId="44364" xr:uid="{2F35FBB4-DB8B-4148-AACA-B034F9F2C6EF}"/>
    <cellStyle name="AggOrange 4" xfId="2735" xr:uid="{7BC2B05A-9D00-4803-92AD-95BC89C3D176}"/>
    <cellStyle name="AggOrange 4 2" xfId="25140" xr:uid="{414A8023-4D87-4242-A5F4-A830D0764D4D}"/>
    <cellStyle name="AggOrange 4 2 2" xfId="44763" xr:uid="{F8F89B59-FFF7-4A65-9F45-D043C458E2B6}"/>
    <cellStyle name="AggOrange 4 2 2 2" xfId="44124" xr:uid="{CBC86CAA-A105-4F6F-AFB1-DD12BAFD711B}"/>
    <cellStyle name="AggOrange 4 2 2 3" xfId="45222" xr:uid="{812D6768-48A1-497C-8BAC-3B361E93FA8F}"/>
    <cellStyle name="AggOrange 4 2 3" xfId="44551" xr:uid="{C3E37767-15B4-4010-9FF1-CD98D1869FF3}"/>
    <cellStyle name="AggOrange 4 2 4" xfId="45022" xr:uid="{696DA855-5821-47B9-A19B-0403DD60A617}"/>
    <cellStyle name="AggOrange 4 2 5" xfId="45056" xr:uid="{A1864CAA-598C-423A-96E5-CE7836F7584B}"/>
    <cellStyle name="AggOrange 4 3" xfId="44540" xr:uid="{5D14A78F-B578-4ADA-A120-430A09BC15FC}"/>
    <cellStyle name="AggOrange 4 3 2" xfId="44753" xr:uid="{1ED8633B-D294-4058-9C92-8F3C66EB138C}"/>
    <cellStyle name="AggOrange 4 3 2 2" xfId="44325" xr:uid="{396BD69D-E7D2-469C-AABF-3E64329EBB0E}"/>
    <cellStyle name="AggOrange 4 3 2 3" xfId="45328" xr:uid="{B8BC9199-AE78-4B25-91C5-B61B1DC3DAA5}"/>
    <cellStyle name="AggOrange 4 3 3" xfId="45021" xr:uid="{C7C88954-5B4F-4964-A291-DB890CF5B355}"/>
    <cellStyle name="AggOrange 4 3 4" xfId="44984" xr:uid="{87678020-B070-4C43-BF66-75D8B892057E}"/>
    <cellStyle name="AggOrange 4 4" xfId="44515" xr:uid="{4F341F39-7285-4C21-8C05-A15010D691C8}"/>
    <cellStyle name="AggOrange 4 4 2" xfId="44727" xr:uid="{EADB13E2-688F-48CD-9AFC-8D5597608458}"/>
    <cellStyle name="AggOrange 4 4 2 2" xfId="44877" xr:uid="{52A4F37C-8ABF-49E3-BF5D-08CD74F750FE}"/>
    <cellStyle name="AggOrange 4 4 2 3" xfId="45080" xr:uid="{4161B4AF-E3F2-4D59-BC27-33F51D0D4CD1}"/>
    <cellStyle name="AggOrange 4 4 3" xfId="45233" xr:uid="{F5CF4687-4EDE-4647-A325-50DD456A9227}"/>
    <cellStyle name="AggOrange 4 4 4" xfId="45496" xr:uid="{44E9CF01-8D1A-4C43-A542-34EFCB42E5FC}"/>
    <cellStyle name="AggOrange 4 5" xfId="45049" xr:uid="{5D8ECD57-29BF-406C-BCFF-8E7A72FAE45C}"/>
    <cellStyle name="AggOrange 4 6" xfId="45392" xr:uid="{0E51F7A2-58EF-4B96-BB71-8914EEDC2693}"/>
    <cellStyle name="AggOrange 5" xfId="25141" xr:uid="{B725BB5A-BA0A-4655-B251-64A415FF19B3}"/>
    <cellStyle name="AggOrange 5 2" xfId="44048" xr:uid="{BB709E5F-16B5-4D56-8090-27DAD9CBDC41}"/>
    <cellStyle name="AggOrange 5 3" xfId="45636" xr:uid="{6065596E-8921-4E1E-934B-4DD4A7264762}"/>
    <cellStyle name="AggOrange 6" xfId="25142" xr:uid="{9E105AC7-40D6-4B01-9876-FD481CDCB9F5}"/>
    <cellStyle name="AggOrange 7" xfId="42912" xr:uid="{81653048-2DB8-4A1F-9645-36CFD13635F7}"/>
    <cellStyle name="AggOrange 8" xfId="45607" xr:uid="{3CC62E4E-B170-4643-AF6F-E48DAB26B594}"/>
    <cellStyle name="AggOrange_B_border" xfId="43997" xr:uid="{706205E8-D0D7-4A22-86C4-085177E53223}"/>
    <cellStyle name="AggOrange9" xfId="2736" xr:uid="{CC1DC409-CE5E-4430-8F77-BF78471A0C67}"/>
    <cellStyle name="AggOrange9 2" xfId="2737" xr:uid="{EC19E62E-B275-48E2-BC4D-570C5B469938}"/>
    <cellStyle name="AggOrange9 2 2" xfId="25143" xr:uid="{9682B1A9-042D-478F-8F6E-E8703218E259}"/>
    <cellStyle name="AggOrange9 2 2 2" xfId="25144" xr:uid="{C4740DB5-49B9-4EEA-8CF3-87D6D4A7F712}"/>
    <cellStyle name="AggOrange9 2 2 2 2" xfId="44805" xr:uid="{04578C63-31C3-4813-B0CA-C01A3B701D67}"/>
    <cellStyle name="AggOrange9 2 2 2 2 2" xfId="44904" xr:uid="{FE346543-224A-41D8-8ADD-E412FAB23D91}"/>
    <cellStyle name="AggOrange9 2 2 2 2 3" xfId="44313" xr:uid="{DC5B9325-8508-4F7E-B32A-46EB73BE868C}"/>
    <cellStyle name="AggOrange9 2 2 2 3" xfId="44592" xr:uid="{E8715DF4-D60A-4165-81B3-4405E43EAEC1}"/>
    <cellStyle name="AggOrange9 2 2 2 4" xfId="45158" xr:uid="{1E72775A-2663-4A6D-9583-167EBCA81050}"/>
    <cellStyle name="AggOrange9 2 2 2 5" xfId="45450" xr:uid="{E1CE633B-C0AB-40C4-92E6-56570B76270E}"/>
    <cellStyle name="AggOrange9 2 2 3" xfId="44662" xr:uid="{41E8F3B2-A35A-4FE9-AA41-E8A5CF5E2A37}"/>
    <cellStyle name="AggOrange9 2 2 3 2" xfId="45086" xr:uid="{4A697741-9A9E-4690-9893-D467325D2582}"/>
    <cellStyle name="AggOrange9 2 2 3 3" xfId="45405" xr:uid="{BBFC706C-9D03-4F87-A1E0-3F8B2BFF80D6}"/>
    <cellStyle name="AggOrange9 2 2 4" xfId="44367" xr:uid="{87876627-DD7B-4BD8-BBE3-024B261300E7}"/>
    <cellStyle name="AggOrange9 2 3" xfId="25145" xr:uid="{E52CCD09-A3DD-499A-AA5D-9C77CF912619}"/>
    <cellStyle name="AggOrange9 2 3 2" xfId="44554" xr:uid="{AFCC851B-86B5-4351-AFF2-DF98D099F170}"/>
    <cellStyle name="AggOrange9 2 3 2 2" xfId="44766" xr:uid="{EAB24880-00E5-4CD0-A39C-ED984C788197}"/>
    <cellStyle name="AggOrange9 2 3 2 2 2" xfId="44910" xr:uid="{5F42FD52-07CC-4D13-88F5-B5A1052E9F5C}"/>
    <cellStyle name="AggOrange9 2 3 2 2 3" xfId="44206" xr:uid="{3B65A2DE-02CE-4F9C-A471-F5823501243B}"/>
    <cellStyle name="AggOrange9 2 3 2 3" xfId="44133" xr:uid="{C2CE6B94-6663-4568-A4D8-7740E741D066}"/>
    <cellStyle name="AggOrange9 2 3 2 4" xfId="45213" xr:uid="{B5A9439C-F626-40E8-93B6-071DD4E38E6F}"/>
    <cellStyle name="AggOrange9 2 3 3" xfId="44599" xr:uid="{CA9A2F35-6FB6-4731-9EC6-8BD1DB085864}"/>
    <cellStyle name="AggOrange9 2 3 3 2" xfId="44812" xr:uid="{34F1065A-EF51-4249-A59E-9B594C2433A0}"/>
    <cellStyle name="AggOrange9 2 3 3 2 2" xfId="44989" xr:uid="{C278586E-6157-4ABF-AC17-E96B5B4A7F4D}"/>
    <cellStyle name="AggOrange9 2 3 3 2 3" xfId="44443" xr:uid="{42B80143-8927-438D-875C-3CEC7A6CE1BA}"/>
    <cellStyle name="AggOrange9 2 3 3 3" xfId="44160" xr:uid="{6C28A83B-4778-42C5-B076-4C62CE40551B}"/>
    <cellStyle name="AggOrange9 2 3 3 4" xfId="44939" xr:uid="{65DA1D15-B395-49B8-9662-7A04F4EE4FB9}"/>
    <cellStyle name="AggOrange9 2 3 4" xfId="44613" xr:uid="{A08A71F1-BA0A-4625-9A93-FCF70B0AA6D5}"/>
    <cellStyle name="AggOrange9 2 3 4 2" xfId="44826" xr:uid="{91094777-8595-40D0-966B-9BEF6557BC78}"/>
    <cellStyle name="AggOrange9 2 3 4 2 2" xfId="45381" xr:uid="{E9FD3FED-671D-4606-83B2-0C62ECF576C8}"/>
    <cellStyle name="AggOrange9 2 3 4 2 3" xfId="45595" xr:uid="{B4FF3CA1-A4E8-457D-A8D6-721CA0383FD8}"/>
    <cellStyle name="AggOrange9 2 3 4 3" xfId="45155" xr:uid="{8B31A04A-50E1-4AE2-B048-62B1B0B26C05}"/>
    <cellStyle name="AggOrange9 2 3 4 4" xfId="45447" xr:uid="{BCC110E8-7E84-406E-B601-179B3E5A5A57}"/>
    <cellStyle name="AggOrange9 2 3 5" xfId="44238" xr:uid="{ECAD481A-A7A3-447F-AAF1-50268C8A8377}"/>
    <cellStyle name="AggOrange9 2 3 6" xfId="45050" xr:uid="{27DB3F4C-B181-4190-974A-137F21D7A38D}"/>
    <cellStyle name="AggOrange9 2 3 7" xfId="45393" xr:uid="{A8A6A4AA-61AA-4E10-B6E5-C60F445D5264}"/>
    <cellStyle name="AggOrange9 2 4" xfId="44095" xr:uid="{283AF02D-BFDB-4C41-B894-2BD31328DB4B}"/>
    <cellStyle name="AggOrange9 3" xfId="2738" xr:uid="{086A4939-526B-42DF-B6FA-EDCE746F424A}"/>
    <cellStyle name="AggOrange9 3 2" xfId="25146" xr:uid="{0DD97680-711D-47C4-B83E-82CF4CBA21EA}"/>
    <cellStyle name="AggOrange9 3 2 2" xfId="44757" xr:uid="{5396971E-667F-4202-98BF-B7EFB45B728C}"/>
    <cellStyle name="AggOrange9 3 2 2 2" xfId="43975" xr:uid="{1E3CC99C-15B4-4FC5-878A-8632EB7C3304}"/>
    <cellStyle name="AggOrange9 3 2 2 3" xfId="45230" xr:uid="{E4ED4C4A-AFE0-409C-9F3A-0B4D39707E9F}"/>
    <cellStyle name="AggOrange9 3 2 3" xfId="44545" xr:uid="{B2B9E83C-44CA-4A5E-9ACE-CF5192644C76}"/>
    <cellStyle name="AggOrange9 3 2 4" xfId="45142" xr:uid="{DFC5F43D-6B3A-4ADE-8E4C-140C5A8CE7E1}"/>
    <cellStyle name="AggOrange9 3 2 5" xfId="45436" xr:uid="{9C97929A-47DA-4654-8AF9-48A53E84EB51}"/>
    <cellStyle name="AggOrange9 3 3" xfId="44661" xr:uid="{8EB01441-DAB2-48A7-978E-8727E77B8898}"/>
    <cellStyle name="AggOrange9 3 3 2" xfId="45254" xr:uid="{7EE7EC6E-6119-4FB7-8CB9-95DA72D6765A}"/>
    <cellStyle name="AggOrange9 3 3 3" xfId="45508" xr:uid="{FF9AC889-29FB-4446-8DAB-79C540AD9043}"/>
    <cellStyle name="AggOrange9 3 4" xfId="44366" xr:uid="{DE9D161C-F6DD-4761-873A-5A20E41A5EA5}"/>
    <cellStyle name="AggOrange9 4" xfId="2739" xr:uid="{0BF58F78-E0DD-4B35-85F6-A63F48A153DB}"/>
    <cellStyle name="AggOrange9 4 2" xfId="25147" xr:uid="{D2E49A05-E835-4647-81A5-6D622D9E1799}"/>
    <cellStyle name="AggOrange9 4 2 2" xfId="44765" xr:uid="{1E17BDCA-DDFD-4EE1-8C1A-B51CAD0EFEC1}"/>
    <cellStyle name="AggOrange9 4 2 2 2" xfId="44327" xr:uid="{0BAB19C5-755F-41FA-BF77-FDFC5653176D}"/>
    <cellStyle name="AggOrange9 4 2 2 3" xfId="45276" xr:uid="{D7A8F4FC-0D0C-4F93-8536-59D14B80AE98}"/>
    <cellStyle name="AggOrange9 4 2 3" xfId="44553" xr:uid="{9DD4AD9F-817A-4A6C-B26F-B5D31852FCAF}"/>
    <cellStyle name="AggOrange9 4 2 4" xfId="44156" xr:uid="{46446CE3-D983-4A81-B5B1-A42B2996195C}"/>
    <cellStyle name="AggOrange9 4 2 5" xfId="45171" xr:uid="{6756C1AA-A55C-46A2-BA40-FC949E809CC1}"/>
    <cellStyle name="AggOrange9 4 3" xfId="44499" xr:uid="{8B6CE3B2-8C80-4917-9697-4D13BC7C362D}"/>
    <cellStyle name="AggOrange9 4 3 2" xfId="44711" xr:uid="{8BD82DB8-9661-46F6-8FC7-4B446A6E6F2A}"/>
    <cellStyle name="AggOrange9 4 3 2 2" xfId="44971" xr:uid="{E03831D7-6E31-4FAE-9C79-261DE250A52E}"/>
    <cellStyle name="AggOrange9 4 3 2 3" xfId="44966" xr:uid="{9B3C8445-1BDC-4A4D-A20A-06F08795E8E4}"/>
    <cellStyle name="AggOrange9 4 3 3" xfId="45006" xr:uid="{5FAD4EFC-8BC5-4B84-9187-BFB7AB1EF500}"/>
    <cellStyle name="AggOrange9 4 3 4" xfId="45333" xr:uid="{9420DCA9-8E29-448E-92C3-B63AE08B1E1A}"/>
    <cellStyle name="AggOrange9 4 4" xfId="44544" xr:uid="{9A45EDE6-267F-44A1-B31D-3525DCA98DF0}"/>
    <cellStyle name="AggOrange9 4 4 2" xfId="44756" xr:uid="{B1F043FC-B283-4489-84E2-8F957713CA5F}"/>
    <cellStyle name="AggOrange9 4 4 2 2" xfId="44875" xr:uid="{3DA6FB2E-8FB0-4259-AEA0-FF9375175DA5}"/>
    <cellStyle name="AggOrange9 4 4 2 3" xfId="45190" xr:uid="{B3C5A019-78FE-491A-8F36-004ADBB9A63B}"/>
    <cellStyle name="AggOrange9 4 4 3" xfId="45305" xr:uid="{A753409C-7EBB-4487-A2C6-43A40983F0F7}"/>
    <cellStyle name="AggOrange9 4 4 4" xfId="45538" xr:uid="{3BC73B57-274A-45F5-AE94-5039677EA9F6}"/>
    <cellStyle name="AggOrange9 4 5" xfId="44953" xr:uid="{6E3D4AC2-E146-4C7B-9586-F7312ABF8DFA}"/>
    <cellStyle name="AggOrange9 4 6" xfId="44631" xr:uid="{FCF561A3-6250-49B9-88AE-20D1F30BCA2E}"/>
    <cellStyle name="AggOrange9 5" xfId="25148" xr:uid="{035B8E50-2092-459A-B2B9-C278F5E55634}"/>
    <cellStyle name="AggOrange9 5 2" xfId="44047" xr:uid="{D9E5A9CF-2679-4780-9682-E4E969BD71DF}"/>
    <cellStyle name="AggOrange9 5 3" xfId="45635" xr:uid="{F66F8768-FCBA-4A54-8054-FFDDD76D1490}"/>
    <cellStyle name="AggOrange9 6" xfId="25149" xr:uid="{3B659E3B-4439-411B-8E13-F90F8DF7024C}"/>
    <cellStyle name="AggOrange9 7" xfId="42911" xr:uid="{758E6690-041C-4AD3-AAE2-FE10C661E134}"/>
    <cellStyle name="AggOrange9 8" xfId="45606" xr:uid="{3583A035-695F-4ECB-B7BD-52936E3B84CD}"/>
    <cellStyle name="AggOrange9_CRFReport-template" xfId="2740" xr:uid="{12B5C915-F19F-4514-A311-37A4BB0386F0}"/>
    <cellStyle name="AggOrangeLB_2x" xfId="2741" xr:uid="{8547F330-E293-4F2A-8D0E-66CC10873E75}"/>
    <cellStyle name="AggOrangeLBorder" xfId="2742" xr:uid="{2898C25F-5F8B-4B2C-AF46-729405C4CC96}"/>
    <cellStyle name="AggOrangeLBorder 2" xfId="42332" xr:uid="{528B925E-457E-4F75-90C2-59EF14764A66}"/>
    <cellStyle name="AggOrangeLBorder 2 2" xfId="44369" xr:uid="{0C7734F5-5741-4E89-8515-93F7DA4B2F17}"/>
    <cellStyle name="AggOrangeLBorder 2 2 2" xfId="45661" xr:uid="{E7DA4CDE-1134-45B6-8020-4A6FF67226E7}"/>
    <cellStyle name="AggOrangeLBorder 2 3" xfId="44240" xr:uid="{2462D401-A955-49AD-AC9A-22F81D308123}"/>
    <cellStyle name="AggOrangeLBorder 2 3 2" xfId="44556" xr:uid="{1BCF12EA-0746-4144-9802-5EF2F95E7BCF}"/>
    <cellStyle name="AggOrangeLBorder 2 3 2 2" xfId="44768" xr:uid="{F962A33A-67C9-4E9E-AEC7-76CB08449EF4}"/>
    <cellStyle name="AggOrangeLBorder 2 3 2 2 2" xfId="44909" xr:uid="{22D03ACA-D169-4A7F-AE2C-C5EACF6438E9}"/>
    <cellStyle name="AggOrangeLBorder 2 3 2 2 3" xfId="44424" xr:uid="{C871022B-7AA7-4CA9-B3A3-A9FBE2189E2D}"/>
    <cellStyle name="AggOrangeLBorder 2 3 2 2 4" xfId="45741" xr:uid="{14E7B228-170B-408A-98D8-81F234260135}"/>
    <cellStyle name="AggOrangeLBorder 2 3 2 3" xfId="45292" xr:uid="{DD6947AF-C4E7-462F-9A38-A2F6A5B67A58}"/>
    <cellStyle name="AggOrangeLBorder 2 3 2 4" xfId="45531" xr:uid="{5294BF81-0FED-4A6A-A5DD-BE7DF9599BF7}"/>
    <cellStyle name="AggOrangeLBorder 2 3 2 5" xfId="45688" xr:uid="{429AEE01-8718-4488-A106-06850B941EBC}"/>
    <cellStyle name="AggOrangeLBorder 2 3 3" xfId="44497" xr:uid="{D66FCE0C-5F65-4A7F-9D26-0653B6041D9F}"/>
    <cellStyle name="AggOrangeLBorder 2 3 3 2" xfId="44709" xr:uid="{DACF940E-2961-4A36-BB1D-117071468A5F}"/>
    <cellStyle name="AggOrangeLBorder 2 3 3 2 2" xfId="44885" xr:uid="{0B197C6C-4DDC-42FF-BDC6-87EB50EDAEA8}"/>
    <cellStyle name="AggOrangeLBorder 2 3 3 2 3" xfId="44864" xr:uid="{40112933-4A43-4495-ABA3-FDFCBBC64C8C}"/>
    <cellStyle name="AggOrangeLBorder 2 3 3 2 4" xfId="45725" xr:uid="{65301FFF-60A4-49B2-A83E-0A4D0D26D2D1}"/>
    <cellStyle name="AggOrangeLBorder 2 3 3 3" xfId="45349" xr:uid="{0051BF25-F788-495D-B57C-93D779B53FE5}"/>
    <cellStyle name="AggOrangeLBorder 2 3 3 4" xfId="45572" xr:uid="{FB4761AA-AB45-49D2-A499-18865CAE30FA}"/>
    <cellStyle name="AggOrangeLBorder 2 3 3 5" xfId="45671" xr:uid="{70C6E771-673D-49C6-B90F-BC7A1E1AC98D}"/>
    <cellStyle name="AggOrangeLBorder 2 3 4" xfId="44523" xr:uid="{7C7DACC5-F956-4C2F-B832-674CC9865C8F}"/>
    <cellStyle name="AggOrangeLBorder 2 3 4 2" xfId="44735" xr:uid="{FC2402DB-3F70-41B9-9B81-1EDD7ADFD835}"/>
    <cellStyle name="AggOrangeLBorder 2 3 4 2 2" xfId="44913" xr:uid="{B46D657D-7B82-4179-9A2F-76E49D91FA44}"/>
    <cellStyle name="AggOrangeLBorder 2 3 4 2 3" xfId="45248" xr:uid="{8CA41D64-DAA6-4AAA-9E3F-B5395D89EFCE}"/>
    <cellStyle name="AggOrangeLBorder 2 3 4 2 4" xfId="45733" xr:uid="{3A9A3831-1AEA-404C-8E8F-3A41143B9040}"/>
    <cellStyle name="AggOrangeLBorder 2 3 4 3" xfId="44233" xr:uid="{47DF2202-A877-4879-B757-BE0EA57E8E27}"/>
    <cellStyle name="AggOrangeLBorder 2 3 4 4" xfId="43982" xr:uid="{018B6AB1-4027-4B89-A3BC-8A2EC39BF016}"/>
    <cellStyle name="AggOrangeLBorder 2 3 4 5" xfId="45679" xr:uid="{CBF1439C-DF12-4B30-BF55-9EEA0C1113A9}"/>
    <cellStyle name="AggOrangeLBorder 2 3 5" xfId="44640" xr:uid="{2A40CFBD-4D67-4B66-8A95-7D9A2BBD85BB}"/>
    <cellStyle name="AggOrangeLBorder 2 3 5 2" xfId="45714" xr:uid="{4F254E5E-0274-4662-91D8-5574781327D3}"/>
    <cellStyle name="AggOrangeLBorder 2 3 6" xfId="44954" xr:uid="{838A3783-A42D-442B-A09C-69A1D9D3D366}"/>
    <cellStyle name="AggOrangeLBorder 2 3 7" xfId="44846" xr:uid="{43FEE62C-9816-43A5-ADF6-8A90A1CB4DD7}"/>
    <cellStyle name="AggOrangeLBorder 2 3 8" xfId="45651" xr:uid="{2C2B13A3-90AA-483B-B7BF-80EE332C422C}"/>
    <cellStyle name="AggOrangeLBorder 2 4" xfId="44096" xr:uid="{E9288D55-34F0-45BD-B422-1CEE5B4B0A10}"/>
    <cellStyle name="AggOrangeLBorder 2 5" xfId="45645" xr:uid="{7DADCC59-E114-4B48-991F-E76A9E58D6C2}"/>
    <cellStyle name="AggOrangeLBorder 3" xfId="44368" xr:uid="{2B931C36-5DD0-48B2-81B5-FC15D0269727}"/>
    <cellStyle name="AggOrangeLBorder 3 2" xfId="45660" xr:uid="{E4F7F9B2-8A61-4F1B-893B-9D95663AF66E}"/>
    <cellStyle name="AggOrangeLBorder 4" xfId="44239" xr:uid="{D20EBFE2-7A93-4984-A2BC-D774608F66F1}"/>
    <cellStyle name="AggOrangeLBorder 4 2" xfId="44555" xr:uid="{9AADB521-6EF5-4C49-8E78-15E4297D99D6}"/>
    <cellStyle name="AggOrangeLBorder 4 2 2" xfId="44767" xr:uid="{004F4FFB-F1F8-48E0-A356-BD526F9CC2E8}"/>
    <cellStyle name="AggOrangeLBorder 4 2 2 2" xfId="44998" xr:uid="{74551500-511A-4665-B773-99CE4086AE20}"/>
    <cellStyle name="AggOrangeLBorder 4 2 2 3" xfId="45039" xr:uid="{FA17B098-C6DE-4BB2-92EA-8F4781E0893E}"/>
    <cellStyle name="AggOrangeLBorder 4 2 2 4" xfId="45740" xr:uid="{F30BF731-5291-4466-B184-CB9EB4FFED29}"/>
    <cellStyle name="AggOrangeLBorder 4 2 3" xfId="45225" xr:uid="{301DFAC4-5439-441C-81E6-5858F9334169}"/>
    <cellStyle name="AggOrangeLBorder 4 2 4" xfId="45489" xr:uid="{78CA60A6-53EA-4FB2-90C4-2B121E4654B2}"/>
    <cellStyle name="AggOrangeLBorder 4 2 5" xfId="45687" xr:uid="{6C57D257-43F3-49C3-A65A-EAF039B1F4BA}"/>
    <cellStyle name="AggOrangeLBorder 4 3" xfId="44498" xr:uid="{78808503-2EFC-4FA3-A9B0-EA77E11E5E99}"/>
    <cellStyle name="AggOrangeLBorder 4 3 2" xfId="44710" xr:uid="{374B89C5-6017-4D4A-8FB3-E948D32B0725}"/>
    <cellStyle name="AggOrangeLBorder 4 3 2 2" xfId="43976" xr:uid="{726EE36E-48F4-4707-BFA9-7B0297FE5CE0}"/>
    <cellStyle name="AggOrangeLBorder 4 3 2 3" xfId="45212" xr:uid="{D9C79096-727F-45A4-86A7-B3B39D4FBFFB}"/>
    <cellStyle name="AggOrangeLBorder 4 3 2 4" xfId="45726" xr:uid="{C04E04EF-5D1B-4A9D-AD4C-EDBFD1EF6D8A}"/>
    <cellStyle name="AggOrangeLBorder 4 3 3" xfId="45188" xr:uid="{9AA506BC-09ED-4157-8AA4-13D1B523EB0B}"/>
    <cellStyle name="AggOrangeLBorder 4 3 4" xfId="45468" xr:uid="{05FED4C5-9FB0-40D6-B7D3-A020139DE435}"/>
    <cellStyle name="AggOrangeLBorder 4 3 5" xfId="45672" xr:uid="{62F31FC8-50ED-4E86-82BC-65A02580A2DE}"/>
    <cellStyle name="AggOrangeLBorder 4 4" xfId="44519" xr:uid="{DF921E10-C913-401C-9299-93852DB775BA}"/>
    <cellStyle name="AggOrangeLBorder 4 4 2" xfId="44731" xr:uid="{37D54410-BBC9-4ED6-9D0A-F61B96708C2E}"/>
    <cellStyle name="AggOrangeLBorder 4 4 2 2" xfId="44915" xr:uid="{D0DD37F4-31FB-4855-897B-EEFE8D09F2FA}"/>
    <cellStyle name="AggOrangeLBorder 4 4 2 3" xfId="45282" xr:uid="{8AD41865-5D70-4A9D-98DE-D92DEF8B68E2}"/>
    <cellStyle name="AggOrangeLBorder 4 4 2 4" xfId="45732" xr:uid="{469DE45B-0007-4DB6-8334-EF16AEF39C03}"/>
    <cellStyle name="AggOrangeLBorder 4 4 3" xfId="45187" xr:uid="{D47C436A-4173-4496-9E81-D6BD88DDC6D9}"/>
    <cellStyle name="AggOrangeLBorder 4 4 4" xfId="45467" xr:uid="{7141E851-2B62-48FD-8973-4225B5D5283E}"/>
    <cellStyle name="AggOrangeLBorder 4 4 5" xfId="45678" xr:uid="{BA4B30CF-6721-47F7-BACB-4EADD56D6043}"/>
    <cellStyle name="AggOrangeLBorder 4 5" xfId="44639" xr:uid="{C79093D2-6B9A-4B81-B680-9AA038FFB0E7}"/>
    <cellStyle name="AggOrangeLBorder 4 5 2" xfId="45713" xr:uid="{4938B628-1FA2-4694-92B1-C2A144CD7668}"/>
    <cellStyle name="AggOrangeLBorder 4 6" xfId="45051" xr:uid="{DDFC1C6E-9573-4BB1-9DAC-2D2F68265E11}"/>
    <cellStyle name="AggOrangeLBorder 4 7" xfId="45394" xr:uid="{D71A9291-536F-49D0-B1D5-253468335F1C}"/>
    <cellStyle name="AggOrangeLBorder 4 8" xfId="45650" xr:uid="{4A32759A-A358-4587-9183-11DA2380AD33}"/>
    <cellStyle name="AggOrangeLBorder 5" xfId="44055" xr:uid="{D2C18C19-C26E-49DF-9F39-6C43040B4267}"/>
    <cellStyle name="AggOrangeLBorder 5 2" xfId="45643" xr:uid="{E11AA585-8442-4350-A489-9B885AC770F8}"/>
    <cellStyle name="AggOrangeLBorder 6" xfId="45614" xr:uid="{2DFFB3B2-5377-4612-9697-0028A2F72763}"/>
    <cellStyle name="AggOrangeRBorder" xfId="2743" xr:uid="{1B489C67-38B4-4EB9-9A46-3932C2349FD3}"/>
    <cellStyle name="AggOrangeRBorder 10" xfId="45609" xr:uid="{F5CC0590-13A1-4241-8BA9-877EB45BF117}"/>
    <cellStyle name="AggOrangeRBorder 2" xfId="2744" xr:uid="{83CC2BE4-13C5-4B60-8948-BAC396FA5BB7}"/>
    <cellStyle name="AggOrangeRBorder 2 2" xfId="25150" xr:uid="{2C32282E-CAE3-4FC8-AB35-A08347FEC180}"/>
    <cellStyle name="AggOrangeRBorder 2 2 2" xfId="25151" xr:uid="{AC61E1EB-17F7-4406-BC0D-5E2410B6B977}"/>
    <cellStyle name="AggOrangeRBorder 2 2 2 2" xfId="44686" xr:uid="{13C49A11-8E23-47AA-8B2E-AEC5BC7C5587}"/>
    <cellStyle name="AggOrangeRBorder 2 2 2 2 2" xfId="44101" xr:uid="{489CFC33-6594-4379-A444-B1C3093E8F13}"/>
    <cellStyle name="AggOrangeRBorder 2 2 2 2 3" xfId="44260" xr:uid="{CD67DF69-7607-42B4-9C38-ADBC4555B3F0}"/>
    <cellStyle name="AggOrangeRBorder 2 2 2 2 4" xfId="45723" xr:uid="{00B0C424-A321-4439-B721-F2C8228242B5}"/>
    <cellStyle name="AggOrangeRBorder 2 2 2 3" xfId="44475" xr:uid="{8E63EFFC-D306-4A12-A42C-605943C71D79}"/>
    <cellStyle name="AggOrangeRBorder 2 2 2 4" xfId="45111" xr:uid="{4385B8C2-916E-479C-8C46-0D073B603C46}"/>
    <cellStyle name="AggOrangeRBorder 2 2 2 5" xfId="45419" xr:uid="{BABD323C-C094-4B52-BDFD-DB961F1AE2AC}"/>
    <cellStyle name="AggOrangeRBorder 2 2 2 6" xfId="45669" xr:uid="{ADFA300A-30E1-481B-9792-ACF9AFF18530}"/>
    <cellStyle name="AggOrangeRBorder 2 2 3" xfId="44371" xr:uid="{0A061065-5142-4A78-9001-8634EFC53D02}"/>
    <cellStyle name="AggOrangeRBorder 2 3" xfId="25152" xr:uid="{01997349-BFD4-46CF-A516-05450D653F20}"/>
    <cellStyle name="AggOrangeRBorder 2 3 2" xfId="25153" xr:uid="{758E0737-95B3-4DF9-ADF3-06F4852F0F22}"/>
    <cellStyle name="AggOrangeRBorder 2 3 2 2" xfId="44770" xr:uid="{7D0780D2-8A06-4ADE-8469-60C96BD6EBA8}"/>
    <cellStyle name="AggOrangeRBorder 2 3 2 2 2" xfId="44908" xr:uid="{6A9B3788-5478-4B3B-B7DB-51D678B0A245}"/>
    <cellStyle name="AggOrangeRBorder 2 3 2 2 3" xfId="45284" xr:uid="{7B4D6B02-1A3A-40CD-B9A4-1AE26A328D76}"/>
    <cellStyle name="AggOrangeRBorder 2 3 2 2 4" xfId="45743" xr:uid="{0323EE65-CB6C-4F5A-A423-6EE0B3A11038}"/>
    <cellStyle name="AggOrangeRBorder 2 3 2 3" xfId="44558" xr:uid="{EC57D511-8BA7-465E-B9E1-C2B8DC8FCCA9}"/>
    <cellStyle name="AggOrangeRBorder 2 3 2 4" xfId="45280" xr:uid="{F6AFC412-AB48-4DA1-996B-6B53E1A90FEB}"/>
    <cellStyle name="AggOrangeRBorder 2 3 2 5" xfId="45525" xr:uid="{C54A7A95-DED9-4463-926E-4ED615D535FE}"/>
    <cellStyle name="AggOrangeRBorder 2 3 2 6" xfId="45690" xr:uid="{89975469-79E4-410F-977B-063FA8C3F245}"/>
    <cellStyle name="AggOrangeRBorder 2 3 3" xfId="44534" xr:uid="{1149315C-C220-4B7B-870E-894F160C53BB}"/>
    <cellStyle name="AggOrangeRBorder 2 3 3 2" xfId="44747" xr:uid="{B21E3BA0-BE7D-4F4F-A23F-6D4873623483}"/>
    <cellStyle name="AggOrangeRBorder 2 3 3 2 2" xfId="45340" xr:uid="{E07C9968-68C6-40B7-A9D0-B8BD9144C0CE}"/>
    <cellStyle name="AggOrangeRBorder 2 3 3 2 3" xfId="45565" xr:uid="{A895070B-CA7F-46F2-8103-485EEF7B714E}"/>
    <cellStyle name="AggOrangeRBorder 2 3 3 2 4" xfId="45738" xr:uid="{71785A47-5636-481F-9FE3-FA25BBCAC2F5}"/>
    <cellStyle name="AggOrangeRBorder 2 3 3 3" xfId="45322" xr:uid="{0542740C-4E92-4143-AB80-513A83076B22}"/>
    <cellStyle name="AggOrangeRBorder 2 3 3 4" xfId="45555" xr:uid="{6185E136-E13E-41EC-A198-213160BC882D}"/>
    <cellStyle name="AggOrangeRBorder 2 3 3 5" xfId="45684" xr:uid="{0CAB0985-58DC-422C-85A2-4A3E4401EBB3}"/>
    <cellStyle name="AggOrangeRBorder 2 3 4" xfId="44517" xr:uid="{D141E589-5062-4D6D-8935-EEEAC5726863}"/>
    <cellStyle name="AggOrangeRBorder 2 3 4 2" xfId="44729" xr:uid="{0CAB2234-0B66-4D42-B247-2C8726D8B39A}"/>
    <cellStyle name="AggOrangeRBorder 2 3 4 2 2" xfId="44916" xr:uid="{932783F7-403F-4B93-9F40-32DD2E4EC848}"/>
    <cellStyle name="AggOrangeRBorder 2 3 4 2 3" xfId="45391" xr:uid="{7B2848C1-BDE9-4F85-89FB-6971D8518E96}"/>
    <cellStyle name="AggOrangeRBorder 2 3 4 2 4" xfId="45731" xr:uid="{993C46D7-9C2D-4BF3-BABA-B22B1A3E3239}"/>
    <cellStyle name="AggOrangeRBorder 2 3 4 3" xfId="45100" xr:uid="{8A129EF0-C76D-478B-9397-2ACBF4B02145}"/>
    <cellStyle name="AggOrangeRBorder 2 3 4 4" xfId="45413" xr:uid="{A2A0B8F1-581F-43DA-8BE0-6264A17E5070}"/>
    <cellStyle name="AggOrangeRBorder 2 3 4 5" xfId="45677" xr:uid="{4C398834-B3E1-4F38-B172-97FB69F0D976}"/>
    <cellStyle name="AggOrangeRBorder 2 3 5" xfId="44642" xr:uid="{57371661-07EA-4C52-B664-00EBEA399D25}"/>
    <cellStyle name="AggOrangeRBorder 2 3 5 2" xfId="45716" xr:uid="{F0362207-A3FB-4A34-BBD3-60FE917B6658}"/>
    <cellStyle name="AggOrangeRBorder 2 3 6" xfId="44242" xr:uid="{0642F960-A14F-4FA0-89FE-A5D54B57980A}"/>
    <cellStyle name="AggOrangeRBorder 2 3 7" xfId="44941" xr:uid="{FCAEA470-6920-45AD-9DE5-D853651882F6}"/>
    <cellStyle name="AggOrangeRBorder 2 3 8" xfId="45329" xr:uid="{82059A0A-3324-47E5-915A-E22E7C88EF88}"/>
    <cellStyle name="AggOrangeRBorder 2 3 9" xfId="45653" xr:uid="{6CBE9EFA-382A-4D99-8EE3-24850CAA4281}"/>
    <cellStyle name="AggOrangeRBorder 2 4" xfId="25154" xr:uid="{88DF93EA-7E13-4624-B27B-081445164600}"/>
    <cellStyle name="AggOrangeRBorder 2 4 2" xfId="25155" xr:uid="{44082066-7C05-4979-A37B-F6639A8464B5}"/>
    <cellStyle name="AggOrangeRBorder 2 5" xfId="25156" xr:uid="{6EDC3A33-ACBC-4ECF-951F-07B09EE0B283}"/>
    <cellStyle name="AggOrangeRBorder 2 6" xfId="44097" xr:uid="{B2297876-DC31-4D37-AECC-87E81DE5AA52}"/>
    <cellStyle name="AggOrangeRBorder 3" xfId="2745" xr:uid="{F677F2EA-219B-42F0-87A5-5FDFE10492BE}"/>
    <cellStyle name="AggOrangeRBorder 3 2" xfId="25157" xr:uid="{A646DA86-75E5-4EFE-BEA3-36DFB719B40C}"/>
    <cellStyle name="AggOrangeRBorder 3 2 2" xfId="44591" xr:uid="{3ED54BFC-E2EB-463E-96E1-C276165B4A2E}"/>
    <cellStyle name="AggOrangeRBorder 3 2 2 2" xfId="45319" xr:uid="{EEBFB0B4-2417-4CAC-B8D6-EB30858B1E78}"/>
    <cellStyle name="AggOrangeRBorder 3 2 2 3" xfId="45552" xr:uid="{BA623726-BEDC-43B5-8538-6D379FF1C161}"/>
    <cellStyle name="AggOrangeRBorder 3 2 2 4" xfId="45700" xr:uid="{5F871924-C615-44A7-8E0E-E0F69B93C5FD}"/>
    <cellStyle name="AggOrangeRBorder 3 2 3" xfId="44804" xr:uid="{4E307299-73F8-48D9-8296-417AFD0F700D}"/>
    <cellStyle name="AggOrangeRBorder 3 2 3 2" xfId="44129" xr:uid="{D4385185-7CBE-4CC4-BBD3-5A1074C7E482}"/>
    <cellStyle name="AggOrangeRBorder 3 2 3 3" xfId="45260" xr:uid="{2ABF9921-9B4D-408A-8953-B2CEB1C23C51}"/>
    <cellStyle name="AggOrangeRBorder 3 2 3 4" xfId="45752" xr:uid="{4B590874-90C6-4741-9FFD-74A190CCD86F}"/>
    <cellStyle name="AggOrangeRBorder 3 2 4" xfId="44013" xr:uid="{9E6851DF-7AF1-433E-993D-F89EC6F641A7}"/>
    <cellStyle name="AggOrangeRBorder 3 3" xfId="44370" xr:uid="{3907FAB5-082C-4C73-AE02-900A841C7A28}"/>
    <cellStyle name="AggOrangeRBorder 4" xfId="2746" xr:uid="{9BAB634B-6D4E-4319-A38A-81AF4EF3BF01}"/>
    <cellStyle name="AggOrangeRBorder 4 2" xfId="25158" xr:uid="{46844109-77AA-47F2-9A5E-15DF6CCE7F3B}"/>
    <cellStyle name="AggOrangeRBorder 4 2 2" xfId="44769" xr:uid="{9369729C-DD53-46C1-B7AB-B21297AECC74}"/>
    <cellStyle name="AggOrangeRBorder 4 2 2 2" xfId="44997" xr:uid="{A6DD13A5-3B28-4B9C-9436-A1BE26A8AD68}"/>
    <cellStyle name="AggOrangeRBorder 4 2 2 3" xfId="43983" xr:uid="{6826BD25-92D1-462F-9EDE-A022D21DCF7C}"/>
    <cellStyle name="AggOrangeRBorder 4 2 2 4" xfId="45742" xr:uid="{FD04C47E-4F48-4C9C-B63A-F84E46817089}"/>
    <cellStyle name="AggOrangeRBorder 4 2 3" xfId="44557" xr:uid="{AF272443-DE81-4715-A0BC-5AF00F2CA43C}"/>
    <cellStyle name="AggOrangeRBorder 4 2 4" xfId="45131" xr:uid="{CEBC40C2-DE0F-458A-833F-4F04924831BF}"/>
    <cellStyle name="AggOrangeRBorder 4 2 5" xfId="45430" xr:uid="{0D9B2601-9197-46E9-8FDF-A8D59526C763}"/>
    <cellStyle name="AggOrangeRBorder 4 2 6" xfId="45689" xr:uid="{AAD4FA84-BC3A-411F-849C-5D9D2C4CB719}"/>
    <cellStyle name="AggOrangeRBorder 4 3" xfId="44589" xr:uid="{BFF3181F-45D8-4AEE-89EB-D26ABEDD5FD9}"/>
    <cellStyle name="AggOrangeRBorder 4 3 2" xfId="44802" xr:uid="{CD8952B4-73BA-4B3E-8BD8-323AE3634193}"/>
    <cellStyle name="AggOrangeRBorder 4 3 2 2" xfId="43977" xr:uid="{00D7F836-FABF-427D-978F-BB7FC2ACFF50}"/>
    <cellStyle name="AggOrangeRBorder 4 3 2 3" xfId="45038" xr:uid="{F47DD7D1-6EAD-4F4D-B983-F382AF214F30}"/>
    <cellStyle name="AggOrangeRBorder 4 3 2 4" xfId="45751" xr:uid="{624C46A1-37A0-44C4-90E6-19E5AA9CE16B}"/>
    <cellStyle name="AggOrangeRBorder 4 3 3" xfId="45351" xr:uid="{D71318C0-3CB1-4EB2-B333-81AEB6510C34}"/>
    <cellStyle name="AggOrangeRBorder 4 3 4" xfId="45574" xr:uid="{E4E271CA-1DFB-4846-8B0D-C37AF1D6C3F9}"/>
    <cellStyle name="AggOrangeRBorder 4 3 5" xfId="45699" xr:uid="{8328B266-52A9-4A0E-AC8A-A99CF565D8EC}"/>
    <cellStyle name="AggOrangeRBorder 4 4" xfId="44610" xr:uid="{95D48357-FC58-497F-9350-B646D308C62B}"/>
    <cellStyle name="AggOrangeRBorder 4 4 2" xfId="44823" xr:uid="{DBBE1B23-1387-420C-9965-483F58414411}"/>
    <cellStyle name="AggOrangeRBorder 4 4 2 2" xfId="45378" xr:uid="{329A1619-4667-402C-B458-B9D7EAF12A58}"/>
    <cellStyle name="AggOrangeRBorder 4 4 2 3" xfId="45592" xr:uid="{1B5C1F38-24E4-4E16-AFE7-3B55FA3C7520}"/>
    <cellStyle name="AggOrangeRBorder 4 4 2 4" xfId="45755" xr:uid="{318B6717-A174-4A76-ABD1-B958C2550FC3}"/>
    <cellStyle name="AggOrangeRBorder 4 4 3" xfId="45307" xr:uid="{A9D51466-A0F5-43A6-94F1-B7C1E6AD7175}"/>
    <cellStyle name="AggOrangeRBorder 4 4 4" xfId="45540" xr:uid="{7F181F5F-871F-4780-BBF3-48C21912FA23}"/>
    <cellStyle name="AggOrangeRBorder 4 4 5" xfId="45704" xr:uid="{A7A1313A-8FBA-4D60-A770-552F93A94275}"/>
    <cellStyle name="AggOrangeRBorder 4 5" xfId="44641" xr:uid="{8871657F-59DD-4AEA-BDB4-E363D1332238}"/>
    <cellStyle name="AggOrangeRBorder 4 5 2" xfId="45715" xr:uid="{0CCC5469-AC8A-449B-9862-772C405BD647}"/>
    <cellStyle name="AggOrangeRBorder 4 6" xfId="44241" xr:uid="{7670DB7A-7BA3-43E8-8FA7-62FC81CD8A43}"/>
    <cellStyle name="AggOrangeRBorder 4 7" xfId="44944" xr:uid="{4F2DF0A4-74FC-42BD-A647-2FB2642419D1}"/>
    <cellStyle name="AggOrangeRBorder 4 8" xfId="45146" xr:uid="{7139CB68-E128-41AB-85DF-73EE570EAFE5}"/>
    <cellStyle name="AggOrangeRBorder 4 9" xfId="45652" xr:uid="{3D300DE6-FAA2-47D5-BF61-5D6B4F61229B}"/>
    <cellStyle name="AggOrangeRBorder 5" xfId="25159" xr:uid="{E5A12C3D-D0AE-40FC-8C40-842C5F2DEC19}"/>
    <cellStyle name="AggOrangeRBorder 5 2" xfId="25160" xr:uid="{2AD8D678-FD10-452D-B83F-5440A864CDA0}"/>
    <cellStyle name="AggOrangeRBorder 5 3" xfId="44050" xr:uid="{36EF81D8-8808-4B53-AF5D-5065168654A3}"/>
    <cellStyle name="AggOrangeRBorder 5 4" xfId="45638" xr:uid="{B5F2C42C-0837-4CBE-A730-17405A6024D7}"/>
    <cellStyle name="AggOrangeRBorder 6" xfId="25161" xr:uid="{FD8CBEF9-1605-4084-A773-85FE796BD65A}"/>
    <cellStyle name="AggOrangeRBorder 7" xfId="25162" xr:uid="{72761C1E-3BB8-40F9-907B-351E740F29D9}"/>
    <cellStyle name="AggOrangeRBorder 8" xfId="25163" xr:uid="{792D0A73-E751-4CC1-AD32-8A00099B4933}"/>
    <cellStyle name="AggOrangeRBorder 9" xfId="42910" xr:uid="{9905E927-7573-427D-B1A4-BC357D6E819C}"/>
    <cellStyle name="AggOrangeRBorder_CRFReport-template" xfId="43999" xr:uid="{4EA10FF5-FCC9-4E22-9B5D-4165023AF499}"/>
    <cellStyle name="Akzent1" xfId="2747" xr:uid="{B98DBD24-7797-45CF-90CB-99DAA9B113E0}"/>
    <cellStyle name="Akzent2" xfId="2748" xr:uid="{2DAEFEE5-4085-4893-86F8-488134438596}"/>
    <cellStyle name="Akzent3" xfId="2749" xr:uid="{A7D23AE5-B131-42AF-8ED4-ED3AD9C715E5}"/>
    <cellStyle name="Akzent4" xfId="2750" xr:uid="{79C5EC5E-C2A9-41AE-9C5E-8DB31A40180F}"/>
    <cellStyle name="Akzent5" xfId="2751" xr:uid="{FB386F97-3417-4341-B3B1-D90D2951B37C}"/>
    <cellStyle name="Akzent6" xfId="2752" xr:uid="{65A35034-A8EE-431E-A473-2D7256845226}"/>
    <cellStyle name="Assumption Heading" xfId="25164" xr:uid="{53BA408B-A996-4968-8030-0114C5587D96}"/>
    <cellStyle name="Assumptions" xfId="2753" xr:uid="{A0215511-BE6E-42E6-AEC7-74EDD81E2C4D}"/>
    <cellStyle name="Attrib" xfId="2754" xr:uid="{42717851-A8D0-469F-BB41-2F96DEA33F97}"/>
    <cellStyle name="Attrib 2" xfId="2755" xr:uid="{120058EC-AA0C-49BA-8444-EFF8E553E9D1}"/>
    <cellStyle name="Attrib 2 2" xfId="25165" xr:uid="{883E72F3-2729-4F76-A025-FA1775843D6C}"/>
    <cellStyle name="Attrib 2 2 2" xfId="25166" xr:uid="{F5746F6C-061E-43D4-BDAA-07367C9D814C}"/>
    <cellStyle name="Attrib 2 2 2 2" xfId="25167" xr:uid="{8B65C845-F5A2-4DC3-975F-23109C36546D}"/>
    <cellStyle name="Attrib 2 2 3" xfId="25168" xr:uid="{268DE9DB-98E6-4782-89C7-748B98489C8D}"/>
    <cellStyle name="Attrib 2 2 3 2" xfId="25169" xr:uid="{9B0F75B4-DAE7-4CFB-A9BF-3ADCB5DA2F3A}"/>
    <cellStyle name="Attrib 2 2 4" xfId="25170" xr:uid="{2E553249-5749-4CA2-BEC0-C37964FA2D91}"/>
    <cellStyle name="Attrib 2 2 4 2" xfId="25171" xr:uid="{BA636EE8-D5AC-4EFB-8DDF-B9A5391062F5}"/>
    <cellStyle name="Attrib 2 2 5" xfId="25172" xr:uid="{2BA8C434-0098-4C3A-A50A-50F5BFC230D3}"/>
    <cellStyle name="Attrib 2 3" xfId="25173" xr:uid="{831C54E3-D7F9-4311-AA26-F12E1EF4E5BD}"/>
    <cellStyle name="Attrib 2 3 2" xfId="25174" xr:uid="{9DBE2E2D-0C3F-4EF2-BD83-86E1AECC0267}"/>
    <cellStyle name="Attrib 2 3 2 2" xfId="25175" xr:uid="{0B3526C6-11E6-4F3B-A3F6-0CE1BBA9F811}"/>
    <cellStyle name="Attrib 2 3 3" xfId="25176" xr:uid="{A5C16EB6-A7A8-49AC-9130-2D696D6140F9}"/>
    <cellStyle name="Attrib 2 3 3 2" xfId="25177" xr:uid="{2EFB665E-B4D6-4446-85F4-80219F3F1813}"/>
    <cellStyle name="Attrib 2 3 4" xfId="25178" xr:uid="{B734354C-A40D-42FF-BBE0-3C22E0FCC5B5}"/>
    <cellStyle name="Attrib 2 3 4 2" xfId="25179" xr:uid="{053DAF58-27A7-4DD4-9169-B00CE330A0D7}"/>
    <cellStyle name="Attrib 2 3 5" xfId="25180" xr:uid="{96CAF7AC-D70C-4569-AF72-C5E1DD176871}"/>
    <cellStyle name="Attrib 2 4" xfId="25181" xr:uid="{45DF2390-C6AE-4B6E-9434-0F148578EF04}"/>
    <cellStyle name="Attrib 2 4 2" xfId="25182" xr:uid="{C6B59588-51CC-4E9E-A476-7A2A835B4F66}"/>
    <cellStyle name="Attrib 2 5" xfId="25183" xr:uid="{844F95D3-151B-4220-A07B-4C33FCBB3198}"/>
    <cellStyle name="Attrib 2 5 2" xfId="25184" xr:uid="{AA763039-D659-4D15-8239-E3CEDCBEE521}"/>
    <cellStyle name="Attrib 2 6" xfId="25185" xr:uid="{DC4AC1C9-9F7A-47BA-BD4F-F9109901DF37}"/>
    <cellStyle name="Attrib 2 6 2" xfId="25186" xr:uid="{DD8CB0D7-89DF-4AFB-9EF7-D1FED0DF321B}"/>
    <cellStyle name="Attrib 2 7" xfId="25187" xr:uid="{0DF0B005-075C-48D4-8581-A00B07A25FB5}"/>
    <cellStyle name="Attrib 2 8" xfId="25188" xr:uid="{98C7F961-3452-48B4-B084-EC36D8478E55}"/>
    <cellStyle name="Attrib 3" xfId="25189" xr:uid="{01318EC9-8BBC-4655-9DF6-DE999A6AC8F6}"/>
    <cellStyle name="Attrib 3 2" xfId="25190" xr:uid="{C6D08F6A-9C77-4D69-A9F8-68BC2B58EC21}"/>
    <cellStyle name="Attrib 4" xfId="25191" xr:uid="{BA685612-4905-464C-BFD0-C00A81C803AE}"/>
    <cellStyle name="Attrib 4 2" xfId="25192" xr:uid="{A66934E1-C4C5-4DAE-803A-4F97FF1E0753}"/>
    <cellStyle name="Attrib 5" xfId="25193" xr:uid="{5CDFADF3-46DA-473E-9FB3-A6B4FD1E2B94}"/>
    <cellStyle name="Attrib 5 2" xfId="25194" xr:uid="{BA8AD742-39EE-499D-8FA1-95CA21AE9EB9}"/>
    <cellStyle name="Attrib 6" xfId="25195" xr:uid="{30259C7F-770E-4810-BB16-8DAE49647DE4}"/>
    <cellStyle name="Attrib 7" xfId="25196" xr:uid="{4ECBFADB-7FCE-4B6A-AAB0-7A45AEA69D4B}"/>
    <cellStyle name="Ausgabe" xfId="2756" xr:uid="{61755EC5-4EA4-499E-82C4-1C96EF6D9339}"/>
    <cellStyle name="Ausgabe 2" xfId="25197" xr:uid="{ECA8BA08-7E77-4196-9CC8-9DBD235E29B5}"/>
    <cellStyle name="Ausgabe 2 2" xfId="25198" xr:uid="{3EFF6BC9-641E-44FF-B828-2721D961C39F}"/>
    <cellStyle name="Ausgabe 2 2 2" xfId="44807" xr:uid="{3EF47D5D-6BC2-468C-A549-2D36466F69E1}"/>
    <cellStyle name="Ausgabe 2 2 2 2" xfId="44903" xr:uid="{C4400AD8-3EF0-43B6-9B67-545A63C68CD8}"/>
    <cellStyle name="Ausgabe 2 2 2 3" xfId="44949" xr:uid="{7A400270-749E-4191-ABC5-CF9FD0EA1E7A}"/>
    <cellStyle name="Ausgabe 2 2 3" xfId="44594" xr:uid="{28DF9649-4107-47C5-878A-DDA2DAEEC836}"/>
    <cellStyle name="Ausgabe 2 2 4" xfId="45243" xr:uid="{02B48753-98D7-43C2-91DF-7D4D3107C8EB}"/>
    <cellStyle name="Ausgabe 2 2 5" xfId="45504" xr:uid="{0385647C-6C7A-4D32-B3EA-BCE05C712647}"/>
    <cellStyle name="Ausgabe 2 3" xfId="44481" xr:uid="{10B7A654-8C31-4457-9114-0AFCCC302CD3}"/>
    <cellStyle name="Ausgabe 2 3 2" xfId="44693" xr:uid="{DCE63941-11D0-4596-85B3-3B435C057C7D}"/>
    <cellStyle name="Ausgabe 2 3 2 2" xfId="44441" xr:uid="{CDF022A8-5E6D-4222-81CC-92ACD81D5DF4}"/>
    <cellStyle name="Ausgabe 2 3 2 3" xfId="45088" xr:uid="{1BD0A72F-907D-4BD3-AB42-09276992B616}"/>
    <cellStyle name="Ausgabe 2 3 3" xfId="45199" xr:uid="{C202812F-F8FD-4735-BB85-3630979806D6}"/>
    <cellStyle name="Ausgabe 2 3 4" xfId="45473" xr:uid="{07396468-4CB2-4B0D-BFF6-53A42E096E4C}"/>
    <cellStyle name="Ausgabe 2 4" xfId="44651" xr:uid="{BBAB1985-2D37-4B3B-A6A5-2B6443769654}"/>
    <cellStyle name="Ausgabe 2 4 2" xfId="45311" xr:uid="{F20EA539-9EDE-4F75-92B7-29DD538CA14C}"/>
    <cellStyle name="Ausgabe 2 4 3" xfId="45544" xr:uid="{ECC8EA04-B042-4C1B-8C89-9E2681E81E89}"/>
    <cellStyle name="Ausgabe 2 5" xfId="44350" xr:uid="{6B974A9B-0543-4891-B4B8-616AD01D39F9}"/>
    <cellStyle name="Ausgabe 2 6" xfId="44893" xr:uid="{F5DD3326-DBC0-45AB-89E6-9F9B692D5885}"/>
    <cellStyle name="Ausgabe 2 7" xfId="44423" xr:uid="{51A06584-A667-4328-868A-CCC2C7896949}"/>
    <cellStyle name="Ausgabe 3" xfId="25199" xr:uid="{9C3AE609-8EAF-4668-87A8-AD557CC1CCB7}"/>
    <cellStyle name="Ausgabe 3 2" xfId="44566" xr:uid="{27C869A0-846A-489D-830C-F0E0F86B939C}"/>
    <cellStyle name="Ausgabe 3 2 2" xfId="44779" xr:uid="{A064784C-DDDD-4EE6-A8C1-9D5805193FE7}"/>
    <cellStyle name="Ausgabe 3 2 2 2" xfId="45101" xr:uid="{A5990599-B9F3-46A3-9F63-ED640C01CD5D}"/>
    <cellStyle name="Ausgabe 3 2 2 3" xfId="45414" xr:uid="{B3FD8FCC-6E1D-43BB-9CFB-F46AAD40CA8C}"/>
    <cellStyle name="Ausgabe 3 2 3" xfId="45279" xr:uid="{E13C3E08-A220-43DF-83F5-80F12B85AAF0}"/>
    <cellStyle name="Ausgabe 3 2 4" xfId="45524" xr:uid="{A5FF56E8-BBC6-443E-833D-D2322F9C5D73}"/>
    <cellStyle name="Ausgabe 3 3" xfId="44487" xr:uid="{7EA20CF1-A7AC-4BB7-8F8D-B48B6A189B47}"/>
    <cellStyle name="Ausgabe 3 3 2" xfId="44699" xr:uid="{5AD6DF66-9BC7-4234-86F9-08B330E9243E}"/>
    <cellStyle name="Ausgabe 3 3 2 2" xfId="44975" xr:uid="{31382E14-5777-4A02-8C5A-F9B085AE69F7}"/>
    <cellStyle name="Ausgabe 3 3 2 3" xfId="45066" xr:uid="{C13D9C13-3BBB-4A73-AF4B-F023B83323FE}"/>
    <cellStyle name="Ausgabe 3 3 3" xfId="45278" xr:uid="{12F48F12-E0E8-4EF1-894F-2002FE8690F5}"/>
    <cellStyle name="Ausgabe 3 3 4" xfId="45523" xr:uid="{6051F476-0156-45B6-A47E-DF5018F91E23}"/>
    <cellStyle name="Ausgabe 3 4" xfId="44648" xr:uid="{F87ACF85-8AA4-4748-B195-EF45B9B03692}"/>
    <cellStyle name="Ausgabe 3 4 2" xfId="45154" xr:uid="{77B2E2B9-FC2C-4F4D-9BE4-8EE03BB91BC7}"/>
    <cellStyle name="Ausgabe 3 4 3" xfId="45446" xr:uid="{99C32833-C353-473B-A29C-AE687825E9A1}"/>
    <cellStyle name="Ausgabe 3 5" xfId="44253" xr:uid="{164B1B59-5BAB-47EC-8E42-5FD84F61709F}"/>
    <cellStyle name="Ausgabe 3 6" xfId="45044" xr:uid="{757B83FD-075F-45C3-AFF0-432754D38C8D}"/>
    <cellStyle name="Ausgabe 3 7" xfId="44063" xr:uid="{9223E740-DEEC-419D-B3F9-61AFE157CC3A}"/>
    <cellStyle name="Ausgabe 4" xfId="25200" xr:uid="{1EB63794-DC30-4231-BD9E-7DADCE0B4BB3}"/>
    <cellStyle name="Ausgabe 4 2" xfId="44704" xr:uid="{C11605E0-314A-4166-877A-38E74F6751AD}"/>
    <cellStyle name="Ausgabe 4 2 2" xfId="44108" xr:uid="{15EE28FE-4762-4C9B-BE54-EFAB19B7DE39}"/>
    <cellStyle name="Ausgabe 4 2 3" xfId="45196" xr:uid="{27342C98-5050-4199-B00F-861B50D5F91A}"/>
    <cellStyle name="Ausgabe 4 3" xfId="44492" xr:uid="{6ADF9D62-FA13-4662-A2EC-F70B96605462}"/>
    <cellStyle name="Ausgabe 4 4" xfId="45234" xr:uid="{DC268FEA-E6C6-4FDA-895C-9E6A955F3C99}"/>
    <cellStyle name="Ausgabe 4 5" xfId="45497" xr:uid="{B9F703CA-FC5D-42BE-8D41-733C5EF0D98C}"/>
    <cellStyle name="Ausgabe 5" xfId="42333" xr:uid="{FFC5D296-B112-406C-AAF4-9CC7FD22A250}"/>
    <cellStyle name="Ausgabe 5 2" xfId="44822" xr:uid="{39CB4563-40EF-49AB-8DC8-4C0530498742}"/>
    <cellStyle name="Ausgabe 5 2 2" xfId="45377" xr:uid="{3F612608-A619-49AC-AC67-F45D64D32A9F}"/>
    <cellStyle name="Ausgabe 5 2 3" xfId="45591" xr:uid="{817D723C-428F-4D69-80C8-255460B12FF3}"/>
    <cellStyle name="Ausgabe 5 3" xfId="44609" xr:uid="{17EA0598-FAC7-4CFB-A9D8-0852777BBA90}"/>
    <cellStyle name="Ausgabe 5 4" xfId="45127" xr:uid="{0ACB4FCA-A241-4196-B234-D0BF0FE66B77}"/>
    <cellStyle name="Ausgabe 5 5" xfId="45427" xr:uid="{6085CCF6-C650-4597-8130-A30B62020761}"/>
    <cellStyle name="Ausgabe 6" xfId="42908" xr:uid="{CB177885-D853-42F2-B477-0C8421D5F3AB}"/>
    <cellStyle name="Ausgabe 6 2" xfId="44624" xr:uid="{F597F6F0-379A-4B92-B29E-51B2584EABBC}"/>
    <cellStyle name="Ausgabe 6 3" xfId="44922" xr:uid="{7F21BB43-DDE1-48E1-A05B-491F62B4D7E6}"/>
    <cellStyle name="Ausgabe 6 4" xfId="45133" xr:uid="{C5093DDF-A9BE-467A-8680-46001F40E5B1}"/>
    <cellStyle name="Ausgabe 7" xfId="43493" xr:uid="{C436142E-F541-49ED-8ABA-E10DAAE9F676}"/>
    <cellStyle name="Ausgabe 8" xfId="44018" hidden="1" xr:uid="{D1B4F1CB-6DAC-4FA0-918E-37CAA63E945A}"/>
    <cellStyle name="Ausgabe 8" xfId="45036" hidden="1" xr:uid="{24FA0D9B-87AD-429F-9D8D-4A6E08D43600}"/>
    <cellStyle name="Ausgabe 8" xfId="45118" hidden="1" xr:uid="{86A367B0-CCE8-4825-AB92-11B96F5200BA}"/>
    <cellStyle name="Ausgabe 8" xfId="45648" xr:uid="{3672D182-32C3-4C35-8A7E-99A0141A2CB4}"/>
    <cellStyle name="Avertissement" xfId="2757" xr:uid="{50FFDC0B-311A-4F53-9755-B42354F17369}"/>
    <cellStyle name="Bad" xfId="23814" builtinId="27" customBuiltin="1"/>
    <cellStyle name="Bad 10" xfId="2758" xr:uid="{092903F5-071D-45F4-A591-09D1E8A4294F}"/>
    <cellStyle name="Bad 11" xfId="25201" xr:uid="{8759EF80-D602-4A00-AD45-8763669FE1F5}"/>
    <cellStyle name="Bad 12" xfId="25202" xr:uid="{7887378B-1A44-4420-8FBB-65273007F82D}"/>
    <cellStyle name="Bad 13" xfId="25203" xr:uid="{ECDB89BF-D522-477D-A142-1AACD7929B45}"/>
    <cellStyle name="Bad 14" xfId="25204" xr:uid="{78A39F84-B953-4893-B23D-6A8EF79D805F}"/>
    <cellStyle name="Bad 15" xfId="25205" xr:uid="{D5433D8B-3E8B-4903-AFCC-ABE8D377A17E}"/>
    <cellStyle name="Bad 16" xfId="25206" xr:uid="{FC576F07-54E9-4555-864D-48343F163B3E}"/>
    <cellStyle name="Bad 17" xfId="25207" xr:uid="{C9326A05-D59E-4641-B77D-8ED67779203D}"/>
    <cellStyle name="Bad 18" xfId="25208" xr:uid="{6D0FA5A9-2710-41CE-B8A5-0AB22FDB4DD3}"/>
    <cellStyle name="Bad 19" xfId="25209" xr:uid="{27D52723-8959-4366-8B16-EF6C4C36928D}"/>
    <cellStyle name="Bad 2" xfId="2759" xr:uid="{6DD8A421-00F3-4AF9-8D65-9B341732223E}"/>
    <cellStyle name="Bad 2 10" xfId="2760" xr:uid="{424DA358-509C-4CAC-84D9-02FF0D0CC006}"/>
    <cellStyle name="Bad 2 10 2" xfId="2761" xr:uid="{6E7097E9-8D70-4E6D-BC21-24379DEFD18F}"/>
    <cellStyle name="Bad 2 11" xfId="2762" xr:uid="{4BB44399-6D69-41A9-94EA-7F7592395891}"/>
    <cellStyle name="Bad 2 12" xfId="44104" xr:uid="{8786203E-B570-41DA-AD13-FC3474A07ECB}"/>
    <cellStyle name="Bad 2 2" xfId="2763" xr:uid="{BD2BDF59-D144-4E64-A24D-FC9964075CE0}"/>
    <cellStyle name="Bad 2 2 2" xfId="2764" xr:uid="{9EC6304C-D323-40EB-B360-CA9724482259}"/>
    <cellStyle name="Bad 2 3" xfId="2765" xr:uid="{16BF40B7-110D-4D1A-8C41-778045DE81EA}"/>
    <cellStyle name="Bad 2 3 2" xfId="2766" xr:uid="{2CC9B0C1-DA4E-46CE-9E7B-38E94029F984}"/>
    <cellStyle name="Bad 2 4" xfId="2767" xr:uid="{FF462C01-6342-4611-9865-294C687441AD}"/>
    <cellStyle name="Bad 2 4 2" xfId="2768" xr:uid="{075974FF-2229-405D-8BB4-3F348B92A741}"/>
    <cellStyle name="Bad 2 5" xfId="2769" xr:uid="{AC75C799-5299-4557-9240-A18B2FEE71A4}"/>
    <cellStyle name="Bad 2 5 2" xfId="2770" xr:uid="{1B3B133E-798A-4E3E-B848-52C69E620AEF}"/>
    <cellStyle name="Bad 2 6" xfId="2771" xr:uid="{EBEA53A3-EE61-4EE2-B87D-96792106F783}"/>
    <cellStyle name="Bad 2 6 2" xfId="2772" xr:uid="{D5FD07F5-0E18-466D-9A03-AFC64E74143F}"/>
    <cellStyle name="Bad 2 7" xfId="2773" xr:uid="{D920DC37-5D21-4470-BE9E-43468E5446D4}"/>
    <cellStyle name="Bad 2 7 2" xfId="2774" xr:uid="{9A42049A-13A7-4E33-B228-239106FA5142}"/>
    <cellStyle name="Bad 2 8" xfId="2775" xr:uid="{95C424E3-9BF8-4D1E-8AC4-6C1DA143E7DA}"/>
    <cellStyle name="Bad 2 8 2" xfId="2776" xr:uid="{AF27D422-D692-44AA-99C0-7A16C0F48AE0}"/>
    <cellStyle name="Bad 2 9" xfId="2777" xr:uid="{4C281316-658F-461F-92E1-5F87ED7CFB77}"/>
    <cellStyle name="Bad 2 9 2" xfId="2778" xr:uid="{0FE0D20E-DF6D-498C-9767-1CBAC847A5E0}"/>
    <cellStyle name="Bad 20" xfId="25210" xr:uid="{0749EF09-1917-4F17-900C-A396199AD316}"/>
    <cellStyle name="Bad 21" xfId="25211" xr:uid="{BF6C3846-FB3E-4D73-BFA1-526A0725EC18}"/>
    <cellStyle name="Bad 22" xfId="25212" xr:uid="{2316BD2B-F42F-4AA3-922E-63442F840EC5}"/>
    <cellStyle name="Bad 23" xfId="25213" xr:uid="{1B1C3F00-E295-4F30-9118-7FA299A52EA4}"/>
    <cellStyle name="Bad 24" xfId="25214" xr:uid="{67460BD7-D327-4839-BD9A-4EC85CD66DA2}"/>
    <cellStyle name="Bad 25" xfId="25215" xr:uid="{E84581C7-466A-4CB3-85C6-9D0CA9512132}"/>
    <cellStyle name="Bad 26" xfId="25216" xr:uid="{8EEA2DE5-E30F-47EF-975F-659676389EF6}"/>
    <cellStyle name="Bad 27" xfId="25217" xr:uid="{98635092-10DD-4497-B459-0D52191F7649}"/>
    <cellStyle name="Bad 28" xfId="25218" xr:uid="{641BB20D-1DC2-46F5-81A9-9DFBFE8A2887}"/>
    <cellStyle name="Bad 29" xfId="25219" xr:uid="{0F81F0D3-1496-422A-9F49-C0177EFE52D9}"/>
    <cellStyle name="Bad 3" xfId="2779" xr:uid="{B63F20A3-FC15-4FDB-94B2-7F4F02B227AF}"/>
    <cellStyle name="Bad 3 10" xfId="2780" xr:uid="{81514E86-A913-49B5-B879-CA2528B6FC44}"/>
    <cellStyle name="Bad 3 11" xfId="2781" xr:uid="{5E944BF4-6624-4097-B40F-33A5DBE03718}"/>
    <cellStyle name="Bad 3 12" xfId="2782" xr:uid="{30AF3EB2-6363-47AA-8645-A2CBB489A9EC}"/>
    <cellStyle name="Bad 3 13" xfId="44194" xr:uid="{11F76BED-2851-4BFD-9B50-09214F165149}"/>
    <cellStyle name="Bad 3 2" xfId="2783" xr:uid="{E339D369-DAA7-460D-AC45-E2B47DDA4F49}"/>
    <cellStyle name="Bad 3 2 2" xfId="25220" xr:uid="{EB3276B9-F204-4D77-8557-F592B4B89AA1}"/>
    <cellStyle name="Bad 3 3" xfId="2784" xr:uid="{E74C0835-41E6-4E9A-864A-F764686CE794}"/>
    <cellStyle name="Bad 3 3 2" xfId="42334" xr:uid="{896890FC-B3A8-49F4-8170-17193DE6696D}"/>
    <cellStyle name="Bad 3 4" xfId="2785" xr:uid="{1AFC038B-1223-4FE5-859D-4A473BE348B2}"/>
    <cellStyle name="Bad 3 5" xfId="2786" xr:uid="{66F01C6F-C116-4E8F-AD28-AEE7636F96BD}"/>
    <cellStyle name="Bad 3 6" xfId="2787" xr:uid="{CD293CA5-82D3-4245-8456-D2BC18F9CBDC}"/>
    <cellStyle name="Bad 3 7" xfId="2788" xr:uid="{BB6E996E-111F-493F-8E9F-BF8AAE1AB973}"/>
    <cellStyle name="Bad 3 8" xfId="2789" xr:uid="{E9C2F408-7A65-4923-9CD8-321D45ADA51D}"/>
    <cellStyle name="Bad 3 9" xfId="2790" xr:uid="{427ABE77-E526-4F14-BCDA-E79275FC9F77}"/>
    <cellStyle name="Bad 30" xfId="25221" xr:uid="{49D3511F-0B52-4040-ADB3-1DB295864D5C}"/>
    <cellStyle name="Bad 31" xfId="25222" xr:uid="{B75641F6-7970-40CB-AFCC-0BBC7FB92100}"/>
    <cellStyle name="Bad 32" xfId="25223" xr:uid="{96BEE1C0-F24F-4DAC-BFC9-D6522A18658A}"/>
    <cellStyle name="Bad 33" xfId="25224" xr:uid="{28EDFD78-3D6F-41C4-BD30-2B15AED012CE}"/>
    <cellStyle name="Bad 34" xfId="25225" xr:uid="{BD8A2B07-2A1B-4E90-B1B6-4F99BDDDCB6F}"/>
    <cellStyle name="Bad 35" xfId="25226" xr:uid="{3F1211FE-DF5F-480F-BDD0-35B4E857B9E0}"/>
    <cellStyle name="Bad 36" xfId="25227" xr:uid="{05CCB71F-1203-43D6-A018-420E6097E0D2}"/>
    <cellStyle name="Bad 37" xfId="25228" xr:uid="{2D99CD15-58E8-4A08-B78C-EBD884926D6F}"/>
    <cellStyle name="Bad 38" xfId="25229" xr:uid="{E0FB1E2D-8D52-4CE4-B6D7-56C0B270C9CE}"/>
    <cellStyle name="Bad 39" xfId="25230" xr:uid="{516F39A4-107C-47D4-8D23-01F4F8F2E972}"/>
    <cellStyle name="Bad 4" xfId="2791" xr:uid="{30F5AA33-D779-4CC3-A51E-7DF07D9D1317}"/>
    <cellStyle name="Bad 4 10" xfId="2792" xr:uid="{3FB70FF2-4A3C-4404-891C-D8354144907A}"/>
    <cellStyle name="Bad 4 11" xfId="2793" xr:uid="{AACC68EA-9B02-48F1-B3A3-C742C2CE976E}"/>
    <cellStyle name="Bad 4 2" xfId="2794" xr:uid="{201C0EDE-6D73-43D1-A827-6D09A3729E10}"/>
    <cellStyle name="Bad 4 3" xfId="2795" xr:uid="{6AC66F12-214A-4664-AF54-13549D03F511}"/>
    <cellStyle name="Bad 4 4" xfId="2796" xr:uid="{39044C3A-5F19-4310-8B73-C4753DE5D738}"/>
    <cellStyle name="Bad 4 5" xfId="2797" xr:uid="{4059364A-71FE-42A5-B9FC-6F94B821D0FE}"/>
    <cellStyle name="Bad 4 6" xfId="2798" xr:uid="{8532E969-5424-4A92-B402-62480B016139}"/>
    <cellStyle name="Bad 4 7" xfId="2799" xr:uid="{23CC2379-AAE8-4022-B75E-3C9F64932E2D}"/>
    <cellStyle name="Bad 4 8" xfId="2800" xr:uid="{F528BC5C-2796-42AB-A924-0FF6DD18A897}"/>
    <cellStyle name="Bad 4 9" xfId="2801" xr:uid="{BAC8386E-A22E-4EEE-A3C4-AB534A45B18A}"/>
    <cellStyle name="Bad 40" xfId="25231" xr:uid="{F9D8165C-B9F7-4F5C-AE96-7748FB8B53B0}"/>
    <cellStyle name="Bad 41" xfId="25232" xr:uid="{C1CC998B-A20F-4362-8C57-1463F4FD8CE0}"/>
    <cellStyle name="Bad 42" xfId="25233" xr:uid="{D637611C-93E8-43CB-A753-551E07CA2ED5}"/>
    <cellStyle name="Bad 43" xfId="25234" xr:uid="{953060D8-96F1-482C-A1C2-B35D8ED07B02}"/>
    <cellStyle name="Bad 44" xfId="42335" xr:uid="{0A854189-2DF6-421B-9C81-D516A11398A8}"/>
    <cellStyle name="Bad 45" xfId="42336" xr:uid="{03E56F8F-38F5-4C40-92A4-05241A503465}"/>
    <cellStyle name="Bad 5" xfId="2802" xr:uid="{F0BDD344-C98F-40A6-8DE2-D8798927FA62}"/>
    <cellStyle name="Bad 5 10" xfId="2803" xr:uid="{03426C18-CE96-4FC8-96FB-E029EFEA912A}"/>
    <cellStyle name="Bad 5 11" xfId="2804" xr:uid="{1832400E-FD04-48C9-A527-63D2CEB04ADE}"/>
    <cellStyle name="Bad 5 2" xfId="2805" xr:uid="{968E54CC-8508-43F3-BBC4-C2CB036A8B3D}"/>
    <cellStyle name="Bad 5 3" xfId="2806" xr:uid="{DEF8B303-D845-45E4-A70D-43BAE63977C7}"/>
    <cellStyle name="Bad 5 4" xfId="2807" xr:uid="{1DE8769B-6E2F-4386-981A-4ED9CD2F8DEB}"/>
    <cellStyle name="Bad 5 5" xfId="2808" xr:uid="{03ADBC63-5CF1-4FD7-8D0A-08E9524A678C}"/>
    <cellStyle name="Bad 5 6" xfId="2809" xr:uid="{09977CA2-E73E-4071-8874-226B12AFE7B4}"/>
    <cellStyle name="Bad 5 7" xfId="2810" xr:uid="{44F7CD7A-DC48-4E27-9BA5-F0BE3113279E}"/>
    <cellStyle name="Bad 5 8" xfId="2811" xr:uid="{15E10B97-4511-40E1-9091-4D658DD20F8F}"/>
    <cellStyle name="Bad 5 9" xfId="2812" xr:uid="{31F06815-3C9E-41F2-9EAC-00DAF0227807}"/>
    <cellStyle name="Bad 6" xfId="2813" xr:uid="{EDB89CE8-854F-4F46-8303-5A53F2982512}"/>
    <cellStyle name="Bad 6 10" xfId="2814" xr:uid="{7C92C6E9-2BE3-443D-96D2-D0059D1BAC81}"/>
    <cellStyle name="Bad 6 11" xfId="2815" xr:uid="{EFF0F446-B755-4C6F-BB79-0AFDDA5A8E18}"/>
    <cellStyle name="Bad 6 2" xfId="2816" xr:uid="{070C4066-756F-4A80-8F99-8894B4501AF9}"/>
    <cellStyle name="Bad 6 3" xfId="2817" xr:uid="{C2B5B37A-DE7D-40FC-B343-94705A2D29DA}"/>
    <cellStyle name="Bad 6 4" xfId="2818" xr:uid="{94BFA8B0-1B32-4B29-A04F-6BF7A1F23EB5}"/>
    <cellStyle name="Bad 6 5" xfId="2819" xr:uid="{4B0F47AD-5200-4D94-9D4F-DC46D6E307BC}"/>
    <cellStyle name="Bad 6 6" xfId="2820" xr:uid="{FF2265FC-B18D-49A6-9AEF-E036FED2ACB1}"/>
    <cellStyle name="Bad 6 7" xfId="2821" xr:uid="{02AA6328-611B-4754-BAEC-8A3F3525782B}"/>
    <cellStyle name="Bad 6 8" xfId="2822" xr:uid="{E2D6A1EE-4501-4CA9-920D-33F4ECA815D5}"/>
    <cellStyle name="Bad 6 9" xfId="2823" xr:uid="{77480617-F596-431C-BD25-B39787169F37}"/>
    <cellStyle name="Bad 7" xfId="2824" xr:uid="{53D24392-4B11-49FC-96F6-740A06046C4C}"/>
    <cellStyle name="Bad 8" xfId="2825" xr:uid="{BB904087-571C-44DC-8E4D-7C3A3FEB7339}"/>
    <cellStyle name="Bad 9" xfId="2826" xr:uid="{0F62913D-4377-4394-AC44-5E9C88FFB4BB}"/>
    <cellStyle name="Berechnung" xfId="2827" xr:uid="{106E0240-B829-42E4-9044-9DCEDF229323}"/>
    <cellStyle name="Berechnung 10" xfId="44019" hidden="1" xr:uid="{30A8A36C-471C-45DC-8CCF-197289E4D7AC}"/>
    <cellStyle name="Berechnung 10" xfId="44851" hidden="1" xr:uid="{77499B8A-1B2F-4206-B78A-FFDCC2A2560C}"/>
    <cellStyle name="Berechnung 10" xfId="45032" hidden="1" xr:uid="{187BB4CF-A113-4D4D-98ED-434A9B07A9F7}"/>
    <cellStyle name="Berechnung 10" xfId="45747" xr:uid="{BD5FFA82-4C2B-4043-9CD1-5AEEF6B3DF2A}"/>
    <cellStyle name="Berechnung 2" xfId="25235" xr:uid="{0FE853ED-1D1C-4D78-8322-DDDA9F7C594B}"/>
    <cellStyle name="Berechnung 2 2" xfId="25236" xr:uid="{B616EB4C-1261-48B5-B973-DF8BE7C9F6F8}"/>
    <cellStyle name="Berechnung 2 2 2" xfId="44808" xr:uid="{A955EB1D-55DF-48E3-9EE3-E82E4D0143C7}"/>
    <cellStyle name="Berechnung 2 2 2 2" xfId="44991" xr:uid="{5EEC73E3-E189-4428-AB0F-40B0307C2B6D}"/>
    <cellStyle name="Berechnung 2 2 2 3" xfId="44002" xr:uid="{3C6F7602-8AB6-4510-88CE-54898BD92976}"/>
    <cellStyle name="Berechnung 2 2 3" xfId="44595" xr:uid="{76FF8BE3-2A99-435E-87D3-64BDE328AEE9}"/>
    <cellStyle name="Berechnung 2 2 4" xfId="45346" xr:uid="{A34D65B5-5368-4787-BABA-2DDEA83C7ECF}"/>
    <cellStyle name="Berechnung 2 2 5" xfId="45569" xr:uid="{F5F5543C-E8E0-4EB8-A443-C8713FA5D206}"/>
    <cellStyle name="Berechnung 2 3" xfId="44463" xr:uid="{81FCAD91-92B0-45BE-9A58-FE003EC69892}"/>
    <cellStyle name="Berechnung 2 3 2" xfId="44674" xr:uid="{104858CE-2A51-4397-B6EE-EED8063EC3B8}"/>
    <cellStyle name="Berechnung 2 3 2 2" xfId="45313" xr:uid="{DF2D19AC-D1D5-43CC-9B45-74F5913C5A90}"/>
    <cellStyle name="Berechnung 2 3 2 3" xfId="45546" xr:uid="{A33C7838-DB67-49C5-BDC4-C9212332E14F}"/>
    <cellStyle name="Berechnung 2 3 3" xfId="45194" xr:uid="{F55DAD20-FB3A-481E-96C8-23FB351725FB}"/>
    <cellStyle name="Berechnung 2 3 4" xfId="45471" xr:uid="{7F9154B8-47F0-4D4A-B839-7926D63D10E4}"/>
    <cellStyle name="Berechnung 2 4" xfId="44518" xr:uid="{707003C0-A253-42D3-8471-E4505445407F}"/>
    <cellStyle name="Berechnung 2 4 2" xfId="44730" xr:uid="{88A00D25-7BE6-4FAA-8C9C-760B3EB6F1EF}"/>
    <cellStyle name="Berechnung 2 4 2 2" xfId="45004" xr:uid="{539F2B22-F64E-4CCC-9966-0CAA0CA1D8F0}"/>
    <cellStyle name="Berechnung 2 4 2 3" xfId="45072" xr:uid="{75DFEC13-83FC-45A5-BA79-EAFB83B145AF}"/>
    <cellStyle name="Berechnung 2 4 3" xfId="45348" xr:uid="{350A2BCF-AD98-405D-B223-26C9E50A5D74}"/>
    <cellStyle name="Berechnung 2 4 4" xfId="45571" xr:uid="{1958D4B2-D284-47DA-A3BB-2483D8979A17}"/>
    <cellStyle name="Berechnung 2 5" xfId="44652" xr:uid="{A135DFF8-99B6-4E53-9BD3-09E7CEA28B83}"/>
    <cellStyle name="Berechnung 2 5 2" xfId="45150" xr:uid="{06E216A9-AE4D-4707-AD23-D9FF27EA17C1}"/>
    <cellStyle name="Berechnung 2 5 3" xfId="45442" xr:uid="{DCA932D0-4596-4D4A-8123-915EF37F74DB}"/>
    <cellStyle name="Berechnung 2 6" xfId="44351" xr:uid="{EFF066AA-1316-4160-A041-6FC626772F03}"/>
    <cellStyle name="Berechnung 2 7" xfId="44312" xr:uid="{0FEC5159-30F2-4790-82C6-19A48447FBEB}"/>
    <cellStyle name="Berechnung 2 8" xfId="44977" xr:uid="{BA13E631-7BF7-4E86-9532-924C2FCB2FA0}"/>
    <cellStyle name="Berechnung 3" xfId="25237" xr:uid="{AEF24FA4-51BE-40E4-96B5-E0A67D5B8309}"/>
    <cellStyle name="Berechnung 3 2" xfId="25238" xr:uid="{7DC132F5-9174-4CBF-9B35-CBCB4A5297F7}"/>
    <cellStyle name="Berechnung 3 2 2" xfId="44771" xr:uid="{D3CCF278-CA22-418F-A834-C14815CA0BAC}"/>
    <cellStyle name="Berechnung 3 2 2 2" xfId="44996" xr:uid="{BAFF45DE-23A3-4B84-86AE-5C83F1E310F1}"/>
    <cellStyle name="Berechnung 3 2 2 3" xfId="44978" xr:uid="{A035C58E-9F01-48DC-ABCF-3AE4609FDB18}"/>
    <cellStyle name="Berechnung 3 2 3" xfId="44559" xr:uid="{69A89EB1-5D31-49B7-A289-2D54609862DC}"/>
    <cellStyle name="Berechnung 3 2 4" xfId="45114" xr:uid="{6B083B20-8FC2-44F2-85CC-3FA12C3C77F5}"/>
    <cellStyle name="Berechnung 3 2 5" xfId="45422" xr:uid="{F2F144A7-3E97-47F2-A4D5-B3B532457766}"/>
    <cellStyle name="Berechnung 3 3" xfId="44496" xr:uid="{DA808F67-2076-4A9C-97CA-A547E699DF6C}"/>
    <cellStyle name="Berechnung 3 3 2" xfId="44708" xr:uid="{5D5A4243-946D-4F9B-AE22-E31F12C55253}"/>
    <cellStyle name="Berechnung 3 3 2 2" xfId="44972" xr:uid="{A181C8E2-8FE5-4362-A19D-BF37D90C304E}"/>
    <cellStyle name="Berechnung 3 3 2 3" xfId="45067" xr:uid="{07A7E54F-B859-423B-BEB3-7B504A035DB3}"/>
    <cellStyle name="Berechnung 3 3 3" xfId="45085" xr:uid="{52CB554A-F3CD-4252-A80D-C87148D7CF9A}"/>
    <cellStyle name="Berechnung 3 3 4" xfId="45404" xr:uid="{57DD9328-0CD5-4633-A64B-660E89CCAD67}"/>
    <cellStyle name="Berechnung 3 4" xfId="44508" xr:uid="{7AE04CEF-E840-424A-9E4B-C1D4ACBD57E3}"/>
    <cellStyle name="Berechnung 3 4 2" xfId="44720" xr:uid="{582DC024-57C4-4153-AE19-C0884C596481}"/>
    <cellStyle name="Berechnung 3 4 2 2" xfId="44375" xr:uid="{58D677B9-C0C7-49B6-A441-75522F20F8C6}"/>
    <cellStyle name="Berechnung 3 4 2 3" xfId="45106" xr:uid="{57784A1E-20B4-440A-8194-C848A4388A4A}"/>
    <cellStyle name="Berechnung 3 4 3" xfId="45108" xr:uid="{40359887-C852-41AB-9EF2-AA4D205DA464}"/>
    <cellStyle name="Berechnung 3 4 4" xfId="45417" xr:uid="{EB3225DF-B375-4D1D-9871-F0FC9D3865DA}"/>
    <cellStyle name="Berechnung 3 5" xfId="44643" xr:uid="{C8EA8916-3532-4E3C-99B4-DE4BBC7BBF62}"/>
    <cellStyle name="Berechnung 3 5 2" xfId="45336" xr:uid="{BD45AB7B-3F09-4F40-8237-F9E194830488}"/>
    <cellStyle name="Berechnung 3 5 3" xfId="45561" xr:uid="{74771812-EFEF-49E3-8598-5DCF095C0260}"/>
    <cellStyle name="Berechnung 3 6" xfId="44243" xr:uid="{2B27F076-2B81-4DCF-B18C-105470FE6450}"/>
    <cellStyle name="Berechnung 3 7" xfId="45040" xr:uid="{C28611FF-03EB-43BA-AF3C-D4C17B00A201}"/>
    <cellStyle name="Berechnung 3 8" xfId="44036" xr:uid="{654FFDC3-3F9A-4452-A785-DF0CFDB611DF}"/>
    <cellStyle name="Berechnung 4" xfId="25239" xr:uid="{16211D8A-42DE-45F8-9D66-CA7DB5E3C814}"/>
    <cellStyle name="Berechnung 4 2" xfId="44705" xr:uid="{BE7CFB9C-BDB9-4508-B8CE-D73F9DB2400C}"/>
    <cellStyle name="Berechnung 4 2 2" xfId="44973" xr:uid="{67A5FDD0-8CD5-4F07-B280-E6BC106B9899}"/>
    <cellStyle name="Berechnung 4 2 3" xfId="44845" xr:uid="{F0C2B958-3ECF-4B54-975F-778D76F7B394}"/>
    <cellStyle name="Berechnung 4 3" xfId="44493" xr:uid="{DA126F08-0396-4C2E-8580-965AC9EB0EDE}"/>
    <cellStyle name="Berechnung 4 4" xfId="45291" xr:uid="{36DF8701-D3C8-4663-BC6A-DBE60B4F7431}"/>
    <cellStyle name="Berechnung 4 5" xfId="45530" xr:uid="{BBAC6723-06D3-4EE6-AE29-13CF9DC34812}"/>
    <cellStyle name="Berechnung 5" xfId="25240" xr:uid="{7C367FB1-BA94-4592-9886-51E8B9341900}"/>
    <cellStyle name="Berechnung 5 2" xfId="44821" xr:uid="{F1063C1C-148A-4C58-BD50-205BB688C32B}"/>
    <cellStyle name="Berechnung 5 2 2" xfId="45376" xr:uid="{EA599D1B-8AF4-4030-9F5C-A4A8BB02F46B}"/>
    <cellStyle name="Berechnung 5 2 3" xfId="45590" xr:uid="{1212BAD8-C845-4BB9-8DCE-8E5B73F34A50}"/>
    <cellStyle name="Berechnung 5 3" xfId="44608" xr:uid="{BAA0A620-074E-4EC3-97AA-F09EBA49E92D}"/>
    <cellStyle name="Berechnung 5 4" xfId="45289" xr:uid="{9111FFBB-D59E-48D3-8C25-5526A9EDD217}"/>
    <cellStyle name="Berechnung 5 5" xfId="45528" xr:uid="{DAB14D08-7B49-4CD4-9187-F42E8B772476}"/>
    <cellStyle name="Berechnung 6" xfId="25241" xr:uid="{2B787DB8-C772-4B4C-87F4-269E429D342A}"/>
    <cellStyle name="Berechnung 6 2" xfId="44832" xr:uid="{855B735B-74F3-4209-822D-702B2DADF5F1}"/>
    <cellStyle name="Berechnung 6 2 2" xfId="45387" xr:uid="{8D13B55E-A075-4A8B-B5AC-BB44863D3819}"/>
    <cellStyle name="Berechnung 6 2 3" xfId="45601" xr:uid="{710B450F-66C5-4367-A644-DD653457FFA3}"/>
    <cellStyle name="Berechnung 6 3" xfId="44619" xr:uid="{D6935C84-E80B-44C7-BF7D-F058D0670B6E}"/>
    <cellStyle name="Berechnung 6 4" xfId="45095" xr:uid="{0E39B146-E5E8-40F6-B75C-DAC8BC3DA6DA}"/>
    <cellStyle name="Berechnung 6 5" xfId="45408" xr:uid="{7F992DA8-CFAA-44DF-9D25-DD1DDDF31D73}"/>
    <cellStyle name="Berechnung 7" xfId="42337" xr:uid="{ED134F35-D54D-4A12-A3C9-897DCB5083A8}"/>
    <cellStyle name="Berechnung 7 2" xfId="44625" xr:uid="{BEF7CF4E-C22D-4719-A17B-27F80EC33DEA}"/>
    <cellStyle name="Berechnung 7 3" xfId="45241" xr:uid="{C8E695E4-D2E0-4F2F-8450-2C6F9C6D0E0A}"/>
    <cellStyle name="Berechnung 7 4" xfId="45502" xr:uid="{6A4DE228-5333-490B-A9CC-311231DADA06}"/>
    <cellStyle name="Berechnung 8" xfId="42894" xr:uid="{B2CDCA68-AB32-4515-9C9D-BFBAE8CD0B0E}"/>
    <cellStyle name="Berechnung 9" xfId="43494" xr:uid="{137C282F-82F4-414F-976D-633F69F88DC1}"/>
    <cellStyle name="Bevitel" xfId="2828" xr:uid="{44F2F6C1-FA3C-4F86-BCEB-9ADDFE4B2BBE}"/>
    <cellStyle name="Bevitel 10" xfId="2829" xr:uid="{454C0A92-BDCA-4299-849E-2FDE6E09FFC1}"/>
    <cellStyle name="Bevitel 10 2" xfId="25242" xr:uid="{75F4B10A-E64A-4278-89C8-F8F22071BDCB}"/>
    <cellStyle name="Bevitel 11" xfId="25243" xr:uid="{C0D167D5-2C85-40C8-A73C-5FEE2B213751}"/>
    <cellStyle name="Bevitel 2" xfId="2830" xr:uid="{31083CD1-AB3E-4B10-A6D4-70FE28E36C00}"/>
    <cellStyle name="Bevitel 2 2" xfId="2831" xr:uid="{40FBF63D-3E6E-46CF-92C0-2E60BD00D049}"/>
    <cellStyle name="Bevitel 2 3" xfId="2832" xr:uid="{67AC8471-1143-42A8-A370-86D0A1B816AF}"/>
    <cellStyle name="Bevitel 2 4" xfId="2833" xr:uid="{F625FC9C-670A-42F3-A180-D8307CF417A3}"/>
    <cellStyle name="Bevitel 3" xfId="2834" xr:uid="{5BC7C37D-4B96-496B-B5F2-C93D1D7810DB}"/>
    <cellStyle name="Bevitel 3 2" xfId="2835" xr:uid="{676474B8-C285-4A90-9192-1CA3E4C7EBBA}"/>
    <cellStyle name="Bevitel 3 3" xfId="25244" xr:uid="{61FEC9AA-2BEA-4409-8B7B-A6DF5425C7CC}"/>
    <cellStyle name="Bevitel 4" xfId="2836" xr:uid="{53AFFA46-8AEB-4FBA-B772-21A89F517C5F}"/>
    <cellStyle name="Bevitel 4 2" xfId="2837" xr:uid="{C7445AC2-D3C4-4C56-A329-D34ED152D7D7}"/>
    <cellStyle name="Bevitel 4 3" xfId="25245" xr:uid="{8B2D1C93-714C-4E2E-B096-AC3053A3BD6A}"/>
    <cellStyle name="Bevitel 5" xfId="2838" xr:uid="{45A62045-F9B2-4DAB-A6D5-D246AB353F2A}"/>
    <cellStyle name="Bevitel 5 2" xfId="2839" xr:uid="{31FA492D-AC45-4227-91A6-E7F820B00D99}"/>
    <cellStyle name="Bevitel 5 3" xfId="25246" xr:uid="{BB53567D-7E33-4F07-982B-102246716392}"/>
    <cellStyle name="Bevitel 6" xfId="2840" xr:uid="{B7465765-B4BD-49C3-B280-F6FE4AE4CEC3}"/>
    <cellStyle name="Bevitel 6 2" xfId="2841" xr:uid="{FB068301-8A64-4A0A-ACC0-F741DA113DA7}"/>
    <cellStyle name="Bevitel 6 3" xfId="25247" xr:uid="{A1090075-E67F-442A-9763-5481D438A1C8}"/>
    <cellStyle name="Bevitel 7" xfId="2842" xr:uid="{E495F78C-6DB5-4B3E-AAF9-727F52218036}"/>
    <cellStyle name="Bevitel 7 2" xfId="2843" xr:uid="{D9BB2008-D260-434C-AADA-5ADACDAD3330}"/>
    <cellStyle name="Bevitel 7 3" xfId="25248" xr:uid="{FCBAF3A0-3D88-4020-B846-3984C023F51B}"/>
    <cellStyle name="Bevitel 8" xfId="2844" xr:uid="{196DABB1-9CA6-453F-BFD7-AF7D604288CD}"/>
    <cellStyle name="Bevitel 8 2" xfId="2845" xr:uid="{52A0DDE3-D6D1-4633-9304-7F4A93080B72}"/>
    <cellStyle name="Bevitel 8 3" xfId="25249" xr:uid="{5DC3D57F-389F-495A-A325-489F98C35678}"/>
    <cellStyle name="Bevitel 9" xfId="2846" xr:uid="{29A9F598-A15B-4BDE-B181-B48C269F0C82}"/>
    <cellStyle name="Bevitel 9 2" xfId="25250" xr:uid="{987C48C9-AA8B-4724-8853-11652BBF39C0}"/>
    <cellStyle name="Bevitel 9 3" xfId="25251" xr:uid="{1DD1F452-E33F-4FC3-9C1F-5991ED65859B}"/>
    <cellStyle name="Bold GHG Numbers (0.00)" xfId="101" xr:uid="{5B8B666A-7EA4-4C1C-A72B-900E0954C2F4}"/>
    <cellStyle name="Bold GHG Numbers (0.00) 2" xfId="25252" xr:uid="{A0B1812E-90B1-4556-A0E2-37A5E044E35E}"/>
    <cellStyle name="C01_Main head" xfId="45820" xr:uid="{267F3EF4-A706-47A0-9A73-AC72D08CB162}"/>
    <cellStyle name="C02_Column heads" xfId="45821" xr:uid="{989FC40D-6E4D-4EF8-8AF9-FE531625417D}"/>
    <cellStyle name="C03_Sub head bold" xfId="45822" xr:uid="{B0EE55A9-BEDF-4B42-923E-30552755730F}"/>
    <cellStyle name="C03a_Sub head" xfId="45823" xr:uid="{FA36D46E-7EC6-441B-8D05-7ED326AD1AEF}"/>
    <cellStyle name="C04_Total text white bold" xfId="45824" xr:uid="{4855759B-6566-4050-BEFE-CB022A33B067}"/>
    <cellStyle name="C04a_Total text black with rule" xfId="45825" xr:uid="{0F43A978-2B23-466D-9CAE-44F10F5B5DA2}"/>
    <cellStyle name="C05_Main text" xfId="45826" xr:uid="{529B5069-4EA4-4F41-941A-E68780C622A1}"/>
    <cellStyle name="C06_Figs" xfId="45827" xr:uid="{5BF12ACC-EDB5-44BB-893D-B660B881B27A}"/>
    <cellStyle name="C07_Figs 1 dec percent" xfId="45828" xr:uid="{5589A2DE-07CB-43E7-9300-EC3AA358DAF0}"/>
    <cellStyle name="C08_Figs 1 decimal" xfId="45829" xr:uid="{3DBE5BAD-530B-42A6-800F-D69513E78B61}"/>
    <cellStyle name="C09_Notes" xfId="45830" xr:uid="{DD21D4BA-F79F-4DD3-A695-687413896F4F}"/>
    <cellStyle name="Calcolo" xfId="66" xr:uid="{AC3950D9-087B-4A51-9B0A-FFD8EDE49CFE}"/>
    <cellStyle name="Calcolo 10" xfId="2847" xr:uid="{63CEEC0E-5F26-4CBC-89E7-E76D86557164}"/>
    <cellStyle name="Calcolo 11" xfId="2848" xr:uid="{3F045FBA-46A1-46C2-BA45-FA57672A2B57}"/>
    <cellStyle name="Calcolo 2" xfId="2849" xr:uid="{EEA10495-C458-4036-8896-AF4D238BBB2F}"/>
    <cellStyle name="Calcolo 2 2" xfId="2850" xr:uid="{13BF2440-BAB3-49C7-8B63-A39B43F68252}"/>
    <cellStyle name="Calcolo 2 2 2" xfId="25253" xr:uid="{AB17CF74-4099-4A3F-8237-CE4472CB8AAA}"/>
    <cellStyle name="Calcolo 2 3" xfId="25254" xr:uid="{6D8595D4-0F1C-462B-B72F-C1FB812AA79E}"/>
    <cellStyle name="Calcolo 2 3 2" xfId="25255" xr:uid="{1E3CCED1-FE83-4AA4-8C3D-3DDAB66E99FE}"/>
    <cellStyle name="Calcolo 2 4" xfId="25256" xr:uid="{B0A0C9B1-B2E1-4640-9C38-8B98DB0443BD}"/>
    <cellStyle name="Calcolo 2 5" xfId="25257" xr:uid="{D0BF94A3-B58B-4270-8B99-557DBA686564}"/>
    <cellStyle name="Calcolo 2 6" xfId="25258" xr:uid="{068AD85D-282B-4396-A441-A11B969C3CA3}"/>
    <cellStyle name="Calcolo 2 7" xfId="25259" xr:uid="{C26A5461-371A-464D-860A-B5C5021B2C6B}"/>
    <cellStyle name="Calcolo 3" xfId="2851" xr:uid="{B0C26199-72CE-4FA8-A251-68AD02F205AE}"/>
    <cellStyle name="Calcolo 3 2" xfId="2852" xr:uid="{88C3506A-BAFD-4C75-8580-A6639B2C0554}"/>
    <cellStyle name="Calcolo 3 3" xfId="2853" xr:uid="{3EEB9762-BC02-430F-9E6A-CD50FDE6EC9F}"/>
    <cellStyle name="Calcolo 4" xfId="2854" xr:uid="{4CFF3AFA-DB33-4F66-881D-50A4A944310D}"/>
    <cellStyle name="Calcolo 4 2" xfId="2855" xr:uid="{1E28509D-CBF4-496E-85FD-FC91BF617B70}"/>
    <cellStyle name="Calcolo 4 3" xfId="25260" xr:uid="{BBCB6188-1083-46FE-8C87-238460A8F3AB}"/>
    <cellStyle name="Calcolo 5" xfId="2856" xr:uid="{19B9611E-3989-4432-BED0-D0BC2D53E245}"/>
    <cellStyle name="Calcolo 5 2" xfId="2857" xr:uid="{7075B2C9-7C2D-42B9-9BEB-644DAF9852C0}"/>
    <cellStyle name="Calcolo 5 3" xfId="25261" xr:uid="{513BC079-39BB-4DD8-BE2A-17D11F254772}"/>
    <cellStyle name="Calcolo 6" xfId="2858" xr:uid="{7285AEC5-84A3-405C-886B-A2513390F79B}"/>
    <cellStyle name="Calcolo 6 2" xfId="2859" xr:uid="{A01FA189-2CE6-4FFA-B1C7-947BFD74322F}"/>
    <cellStyle name="Calcolo 6 3" xfId="25262" xr:uid="{1058EE65-8F7A-4319-B3A6-6CE70E95527C}"/>
    <cellStyle name="Calcolo 7" xfId="2860" xr:uid="{A434533F-AFAD-4720-9273-4569E566F65D}"/>
    <cellStyle name="Calcolo 7 2" xfId="2861" xr:uid="{62DB95E8-86BA-4308-8DA3-ECB0EA54D62A}"/>
    <cellStyle name="Calcolo 7 3" xfId="25263" xr:uid="{4B65199F-F548-4990-9443-E2ACC52485EB}"/>
    <cellStyle name="Calcolo 8" xfId="2862" xr:uid="{818DC52D-98C5-406E-9B8F-73DBB8C64FF9}"/>
    <cellStyle name="Calcolo 8 2" xfId="2863" xr:uid="{63865154-97D7-4EEE-908B-0ECAA392F1FF}"/>
    <cellStyle name="Calcolo 8 3" xfId="25264" xr:uid="{AF1B6A53-BB04-492F-9CAD-28BC9D969733}"/>
    <cellStyle name="Calcolo 9" xfId="2864" xr:uid="{219655BE-8083-46F5-BE6F-D6516FA66BDC}"/>
    <cellStyle name="Calc-Some-Ext" xfId="2865" xr:uid="{CA48BC51-A349-4182-AB6D-8A09FE985B76}"/>
    <cellStyle name="Calc-Some-Ext 2" xfId="2866" xr:uid="{9E312A1D-A145-45B4-B06A-510169784A75}"/>
    <cellStyle name="Calc-Some-Int" xfId="2867" xr:uid="{060886E6-7B23-433F-873B-D051AEE530C9}"/>
    <cellStyle name="Calc-Some-Int 2" xfId="25265" xr:uid="{3788C458-F00E-4108-85E9-1E704042345D}"/>
    <cellStyle name="Calcul" xfId="2868" xr:uid="{78F5C5DE-F243-4786-A58C-22D2379BEC05}"/>
    <cellStyle name="Calcul 10" xfId="2869" xr:uid="{F4F8A405-A0B5-4D72-8253-606A995DDD50}"/>
    <cellStyle name="Calcul 10 2" xfId="2870" xr:uid="{C3F63B3F-D4CD-4E1F-B530-833FEC1E4F67}"/>
    <cellStyle name="Calcul 10 3" xfId="25266" xr:uid="{65F4B48A-D574-4289-87B7-2B84041C699A}"/>
    <cellStyle name="Calcul 11" xfId="2871" xr:uid="{91262E0F-EA6D-4829-9D24-EB94597DD83D}"/>
    <cellStyle name="Calcul 12" xfId="25267" xr:uid="{58447ABE-802D-4FEE-B20A-AB98F57A0154}"/>
    <cellStyle name="Calcul 2" xfId="2872" xr:uid="{B69C0FDD-0399-4314-AFEC-4F124378F6E4}"/>
    <cellStyle name="Calcul 2 10" xfId="2873" xr:uid="{607CE615-9143-4974-98E9-757D95A59D34}"/>
    <cellStyle name="Calcul 2 11" xfId="25268" xr:uid="{9A84226B-E59F-4BE1-9092-5EB564ABDA6F}"/>
    <cellStyle name="Calcul 2 2" xfId="2874" xr:uid="{496A95AE-C4CA-4B7C-9C0C-2517BA551F79}"/>
    <cellStyle name="Calcul 2 2 2" xfId="2875" xr:uid="{2883F192-BC31-47C2-B370-DA84A6FBE641}"/>
    <cellStyle name="Calcul 2 2 3" xfId="25269" xr:uid="{2C185CA6-F862-474C-B9B1-697FA3651D83}"/>
    <cellStyle name="Calcul 2 3" xfId="2876" xr:uid="{1EE306F2-1F13-4A3A-B7E8-FEF85B65B205}"/>
    <cellStyle name="Calcul 2 3 2" xfId="2877" xr:uid="{474A9AE5-8CCA-4F0C-85E9-0545EF782443}"/>
    <cellStyle name="Calcul 2 3 3" xfId="25270" xr:uid="{B8F38F9D-F5E8-4B83-A290-52E36B8B35E5}"/>
    <cellStyle name="Calcul 2 4" xfId="2878" xr:uid="{DC2B3BC8-5C36-4636-BD5C-D1C1421AB93B}"/>
    <cellStyle name="Calcul 2 4 2" xfId="2879" xr:uid="{75DB6DC0-6174-4F8C-8CE2-EA8A7F05E52A}"/>
    <cellStyle name="Calcul 2 4 3" xfId="25271" xr:uid="{8074CD34-6715-47C5-B6A6-AC6387662DD6}"/>
    <cellStyle name="Calcul 2 5" xfId="2880" xr:uid="{BF24A00D-7DC3-44D0-87AA-7C94EAAE4786}"/>
    <cellStyle name="Calcul 2 5 2" xfId="2881" xr:uid="{912C3930-98DD-4640-B53B-B94EFBA2E667}"/>
    <cellStyle name="Calcul 2 5 3" xfId="25272" xr:uid="{452127AC-D4A5-417F-AA36-00CA1C31D4DC}"/>
    <cellStyle name="Calcul 2 6" xfId="2882" xr:uid="{B474EC1F-3F90-4792-BF91-0B8B947D264F}"/>
    <cellStyle name="Calcul 2 6 2" xfId="2883" xr:uid="{B7BDC146-468E-49A6-8D74-7B0EDEA9A440}"/>
    <cellStyle name="Calcul 2 6 3" xfId="25273" xr:uid="{02955900-8973-47D8-B5D8-39ECB32A6821}"/>
    <cellStyle name="Calcul 2 7" xfId="2884" xr:uid="{E58F3278-F7BB-49F8-9714-E19FA8010D3D}"/>
    <cellStyle name="Calcul 2 7 2" xfId="2885" xr:uid="{AC596F9A-E85A-4D0D-9AC6-1F6F620DC43E}"/>
    <cellStyle name="Calcul 2 7 3" xfId="25274" xr:uid="{C9C80631-964A-418A-B4DA-66E4F021C500}"/>
    <cellStyle name="Calcul 2 8" xfId="2886" xr:uid="{AFF5459C-CC87-44ED-9D03-845BBE3DA9CE}"/>
    <cellStyle name="Calcul 2 8 2" xfId="2887" xr:uid="{964B35BD-E7C9-4E29-9CD3-6D944148302F}"/>
    <cellStyle name="Calcul 2 8 3" xfId="25275" xr:uid="{AB3DED70-E391-461D-8D18-31635FB11E87}"/>
    <cellStyle name="Calcul 2 9" xfId="2888" xr:uid="{1D2E49F4-9164-4B39-A675-115D3C7F3F16}"/>
    <cellStyle name="Calcul 2 9 2" xfId="2889" xr:uid="{5A30B446-F2F7-49E0-ADA2-CCC9E7C6D1DF}"/>
    <cellStyle name="Calcul 2 9 3" xfId="25276" xr:uid="{B6CF0CC7-4FBD-4799-8830-11C242E3525D}"/>
    <cellStyle name="Calcul 3" xfId="2890" xr:uid="{868BAB4B-355F-4B09-B03B-6EFE60E657B8}"/>
    <cellStyle name="Calcul 3 2" xfId="2891" xr:uid="{FF9C148B-970C-43DD-BDBA-215F835998BA}"/>
    <cellStyle name="Calcul 3 3" xfId="25277" xr:uid="{02B7F1DA-F789-4798-A562-C2A96BC07B7F}"/>
    <cellStyle name="Calcul 4" xfId="2892" xr:uid="{55C38BD4-C3C9-4A65-8408-F8DD9EDE26D1}"/>
    <cellStyle name="Calcul 4 2" xfId="2893" xr:uid="{97AB2AB6-AABA-40A6-ADB5-15DEE6B5B481}"/>
    <cellStyle name="Calcul 4 3" xfId="25278" xr:uid="{6256E825-D0D0-4499-B506-FF9CB490094F}"/>
    <cellStyle name="Calcul 5" xfId="2894" xr:uid="{5F7DFFFE-BE66-4E01-AAE1-3BB9E035F9A1}"/>
    <cellStyle name="Calcul 5 2" xfId="2895" xr:uid="{AFC7BB85-F47B-42C3-ABA2-C50D2C7C157B}"/>
    <cellStyle name="Calcul 5 3" xfId="25279" xr:uid="{04BE35D0-7213-4C50-A4B2-A2DC78CC0CB5}"/>
    <cellStyle name="Calcul 6" xfId="2896" xr:uid="{50D1944A-2EB8-48B6-85A7-AC6B66DEB5A8}"/>
    <cellStyle name="Calcul 6 2" xfId="2897" xr:uid="{5300C493-F198-4BEF-BA96-E8B56D237CF2}"/>
    <cellStyle name="Calcul 6 3" xfId="25280" xr:uid="{DBBE917B-8B4B-4651-ABF6-D651A420347B}"/>
    <cellStyle name="Calcul 7" xfId="2898" xr:uid="{57A94C3A-B876-4C3F-BE81-BC24839226B3}"/>
    <cellStyle name="Calcul 7 2" xfId="2899" xr:uid="{07C19E54-DA05-4E40-BDC6-737BF36C5BB1}"/>
    <cellStyle name="Calcul 7 3" xfId="25281" xr:uid="{370CC97B-94A0-4109-9321-9784963F0DF0}"/>
    <cellStyle name="Calcul 8" xfId="2900" xr:uid="{64D8560D-8EBA-4000-80A3-1FDDD395F45E}"/>
    <cellStyle name="Calcul 8 2" xfId="2901" xr:uid="{A4BDFBBD-9E15-4FFB-B092-32BD006E9245}"/>
    <cellStyle name="Calcul 8 3" xfId="25282" xr:uid="{0CEBE188-7F3E-46A5-8F43-27EDC4429BE1}"/>
    <cellStyle name="Calcul 9" xfId="2902" xr:uid="{AF5CA350-E25B-4C01-8C06-C36A8093942B}"/>
    <cellStyle name="Calcul 9 2" xfId="2903" xr:uid="{D957CAC2-5619-41A4-8E70-968355C6A399}"/>
    <cellStyle name="Calcul 9 3" xfId="25283" xr:uid="{F9EBFB0A-DC2B-438F-9EC3-8E31D1A7B46B}"/>
    <cellStyle name="Calculation" xfId="45793" builtinId="22" customBuiltin="1"/>
    <cellStyle name="Calculation 10" xfId="2904" xr:uid="{26BA0468-917E-4B0C-A25D-31D8E9318EC0}"/>
    <cellStyle name="Calculation 10 10" xfId="2905" xr:uid="{2AC1AEF6-A993-4F91-A6CC-E2518104AC41}"/>
    <cellStyle name="Calculation 10 10 2" xfId="25284" xr:uid="{560FA6FE-7F15-4FFB-888F-0FD37F397E52}"/>
    <cellStyle name="Calculation 10 10 3" xfId="25285" xr:uid="{6C89898A-DC48-4C4D-B6FE-88B57E55EC0A}"/>
    <cellStyle name="Calculation 10 11" xfId="2906" xr:uid="{876977F6-D128-44F5-AF1C-073A3CE60FD4}"/>
    <cellStyle name="Calculation 10 11 2" xfId="25286" xr:uid="{819E6F13-9750-485B-B00A-29D595DED2F1}"/>
    <cellStyle name="Calculation 10 12" xfId="25287" xr:uid="{D74172AF-9205-4128-A7E7-CD629DC780D9}"/>
    <cellStyle name="Calculation 10 13" xfId="25288" xr:uid="{E4DCD1A3-0FB7-4045-B73E-D3DA4692B18C}"/>
    <cellStyle name="Calculation 10 14" xfId="25289" xr:uid="{E2A79B80-ED39-491F-91EA-C92F8109101F}"/>
    <cellStyle name="Calculation 10 15" xfId="42338" xr:uid="{DB589194-F39A-4E6E-9626-B8DFB7834278}"/>
    <cellStyle name="Calculation 10 16" xfId="42891" xr:uid="{3F80B038-27D0-4289-95BB-C47CB738B4E6}"/>
    <cellStyle name="Calculation 10 17" xfId="43495" xr:uid="{2BB136C9-A5C6-4640-B72C-6C7372B43D1E}"/>
    <cellStyle name="Calculation 10 2" xfId="2907" xr:uid="{913CAA99-9007-4F51-92CF-81E9A4D7EBB8}"/>
    <cellStyle name="Calculation 10 2 10" xfId="2908" xr:uid="{F983ED28-DF95-481C-A8BD-5B487F8414A4}"/>
    <cellStyle name="Calculation 10 2 10 2" xfId="25290" xr:uid="{51A2610B-CC3E-4611-A962-2F446B500709}"/>
    <cellStyle name="Calculation 10 2 11" xfId="25291" xr:uid="{F5D0E749-9341-488F-8930-0303EAEB9C14}"/>
    <cellStyle name="Calculation 10 2 2" xfId="2909" xr:uid="{AF783DE4-8B13-4F71-ACE2-D5C55831E318}"/>
    <cellStyle name="Calculation 10 2 2 2" xfId="2910" xr:uid="{7D8AB480-9E05-4BA4-B238-968E557F182D}"/>
    <cellStyle name="Calculation 10 2 2 3" xfId="2911" xr:uid="{A83976FB-C590-406E-B64B-7AF06BDF1558}"/>
    <cellStyle name="Calculation 10 2 2 4" xfId="2912" xr:uid="{6B0EA2EA-FCF1-4295-A998-C65138F13935}"/>
    <cellStyle name="Calculation 10 2 3" xfId="2913" xr:uid="{F38A4039-29A1-4AE3-B032-0C26FBCAB91D}"/>
    <cellStyle name="Calculation 10 2 3 2" xfId="2914" xr:uid="{3C22EBC0-E002-4213-B650-D431117AA0CA}"/>
    <cellStyle name="Calculation 10 2 3 3" xfId="25292" xr:uid="{0BF812BD-E166-4375-95AB-0B83A02B184E}"/>
    <cellStyle name="Calculation 10 2 4" xfId="2915" xr:uid="{93C224B6-A270-4A0E-A9E1-EEF3FC3321C8}"/>
    <cellStyle name="Calculation 10 2 4 2" xfId="2916" xr:uid="{957AEC68-55EC-4541-86BC-5DBA8EC907D2}"/>
    <cellStyle name="Calculation 10 2 4 3" xfId="25293" xr:uid="{928C9079-32FA-4E6B-87CA-B0E922CDBCE9}"/>
    <cellStyle name="Calculation 10 2 5" xfId="2917" xr:uid="{4261A8CA-855C-42CA-9B53-FE25A3B95B6C}"/>
    <cellStyle name="Calculation 10 2 5 2" xfId="2918" xr:uid="{FDA9ECE2-CA88-4CFF-8837-8209884D06A7}"/>
    <cellStyle name="Calculation 10 2 5 3" xfId="25294" xr:uid="{52D0DA44-1E33-4E52-9AB9-71A148AFD333}"/>
    <cellStyle name="Calculation 10 2 6" xfId="2919" xr:uid="{ABE60685-70D8-4756-AEDD-8BC8A22A9B2A}"/>
    <cellStyle name="Calculation 10 2 6 2" xfId="2920" xr:uid="{C7D2E273-BC89-4D3E-B63A-7772321258E7}"/>
    <cellStyle name="Calculation 10 2 6 3" xfId="25295" xr:uid="{A1FC34CF-2FB3-41BE-A226-4966DFE080E4}"/>
    <cellStyle name="Calculation 10 2 7" xfId="2921" xr:uid="{EF7AAFC6-FEB5-4A5B-8A0F-67B9246247B5}"/>
    <cellStyle name="Calculation 10 2 7 2" xfId="2922" xr:uid="{D7C9F9B5-3859-40EF-BA4A-3F71D90E761E}"/>
    <cellStyle name="Calculation 10 2 7 3" xfId="25296" xr:uid="{211EF313-FC1A-413C-8A7B-2FC9B3B27825}"/>
    <cellStyle name="Calculation 10 2 8" xfId="2923" xr:uid="{586DB8EF-4589-40E4-A12E-D62D4F447EFF}"/>
    <cellStyle name="Calculation 10 2 8 2" xfId="2924" xr:uid="{C8B5130B-B67B-4553-9806-F72422A23DD8}"/>
    <cellStyle name="Calculation 10 2 8 3" xfId="25297" xr:uid="{F00DB9A4-167E-4784-8700-9454F893CE8B}"/>
    <cellStyle name="Calculation 10 2 9" xfId="2925" xr:uid="{9559843D-A44B-410F-B894-1405AA145AAA}"/>
    <cellStyle name="Calculation 10 2 9 2" xfId="25298" xr:uid="{1E2D4123-04CF-4CB6-B93D-537C24B0A0C2}"/>
    <cellStyle name="Calculation 10 2 9 3" xfId="25299" xr:uid="{E470FE00-6A2B-47B9-A05A-630F5B926AA2}"/>
    <cellStyle name="Calculation 10 3" xfId="2926" xr:uid="{F78ACE6C-BDCD-4B47-B0D7-DE443C773832}"/>
    <cellStyle name="Calculation 10 3 2" xfId="2927" xr:uid="{4E8CABF3-EDE6-4F31-B7EE-B8A0AA3BAC7B}"/>
    <cellStyle name="Calculation 10 3 3" xfId="2928" xr:uid="{B324B307-85DE-4D5C-B6B4-EA23E8B6078C}"/>
    <cellStyle name="Calculation 10 3 4" xfId="2929" xr:uid="{6D5DA6A4-4CE9-4576-B6D9-9313830A407F}"/>
    <cellStyle name="Calculation 10 4" xfId="2930" xr:uid="{409AAB8A-1075-44B4-BCBA-14502A6502FF}"/>
    <cellStyle name="Calculation 10 4 2" xfId="2931" xr:uid="{3385CF1B-E915-4630-9C45-5FFA442815A8}"/>
    <cellStyle name="Calculation 10 4 3" xfId="25300" xr:uid="{47275DD8-48FB-4D09-83C8-D2673DFA48E2}"/>
    <cellStyle name="Calculation 10 5" xfId="2932" xr:uid="{401A2C89-DCE3-4900-A9DD-B455853987D5}"/>
    <cellStyle name="Calculation 10 5 2" xfId="2933" xr:uid="{337FA33B-890F-4BA1-9670-FD2546C4D832}"/>
    <cellStyle name="Calculation 10 5 3" xfId="25301" xr:uid="{80ABABBB-F365-4411-9900-25D36DFBEAAD}"/>
    <cellStyle name="Calculation 10 6" xfId="2934" xr:uid="{46FE62F0-FE81-45AF-97C4-3F44BABF95AF}"/>
    <cellStyle name="Calculation 10 6 2" xfId="2935" xr:uid="{4495B79E-2A48-45D3-856A-CE5E1193C799}"/>
    <cellStyle name="Calculation 10 6 3" xfId="25302" xr:uid="{8F94F601-2769-421B-8140-1451264399CA}"/>
    <cellStyle name="Calculation 10 7" xfId="2936" xr:uid="{989552F1-FF3E-4EAE-9CA5-AE0E13ED884F}"/>
    <cellStyle name="Calculation 10 7 2" xfId="2937" xr:uid="{B9B2FFE0-5138-4603-AEFA-96886E9F5F28}"/>
    <cellStyle name="Calculation 10 7 3" xfId="25303" xr:uid="{C93D8CB8-8E63-487E-8BA0-5C2FC881B5D4}"/>
    <cellStyle name="Calculation 10 8" xfId="2938" xr:uid="{1A102937-5552-401B-B4C7-3B04EFE4B12C}"/>
    <cellStyle name="Calculation 10 8 2" xfId="2939" xr:uid="{193877D6-497C-42F3-A7CF-F3A8533A4534}"/>
    <cellStyle name="Calculation 10 8 3" xfId="25304" xr:uid="{A94719B7-32DB-461E-8068-79FC00CA2479}"/>
    <cellStyle name="Calculation 10 9" xfId="2940" xr:uid="{FB1C9E63-4931-48BB-9B32-C793B5C3CA6C}"/>
    <cellStyle name="Calculation 10 9 2" xfId="2941" xr:uid="{07C53103-55D4-40AF-9C52-830804DFA4CE}"/>
    <cellStyle name="Calculation 10 9 3" xfId="25305" xr:uid="{8FEF1871-D756-41C5-B604-AA3FB4078855}"/>
    <cellStyle name="Calculation 11" xfId="25306" xr:uid="{235BDBF9-AA2D-4EDB-A54E-8E2523EA5547}"/>
    <cellStyle name="Calculation 11 2" xfId="25307" xr:uid="{5DD5AAE1-C330-4E1F-8846-269A76EEAE6A}"/>
    <cellStyle name="Calculation 11 3" xfId="42339" xr:uid="{8375374F-B79D-41D4-956E-EDCC49A278F9}"/>
    <cellStyle name="Calculation 11 4" xfId="42890" xr:uid="{A5CB3995-C4A6-426D-8BDC-246CC7259D2B}"/>
    <cellStyle name="Calculation 11 5" xfId="43496" xr:uid="{B532B4DF-7106-400E-8CEC-0A01D6217E1A}"/>
    <cellStyle name="Calculation 12" xfId="25308" xr:uid="{DCC07AC8-8537-480D-B2E6-467D1AFD9519}"/>
    <cellStyle name="Calculation 12 2" xfId="25309" xr:uid="{5FA83E77-864F-43DB-B186-58B93AF08772}"/>
    <cellStyle name="Calculation 12 3" xfId="42340" xr:uid="{6BBFDC19-7F25-468F-9045-BE2CCEECF8C2}"/>
    <cellStyle name="Calculation 12 4" xfId="42889" xr:uid="{F106DACA-1474-4384-92B9-84C75FDBD12D}"/>
    <cellStyle name="Calculation 12 5" xfId="43497" xr:uid="{0712E2CE-0E90-4FEC-A67A-5AFAC72514FC}"/>
    <cellStyle name="Calculation 13" xfId="25310" xr:uid="{993EC1EC-CA4C-4E2E-9A45-B8785D91D8BE}"/>
    <cellStyle name="Calculation 13 2" xfId="25311" xr:uid="{3E5E1768-475A-465F-8BC6-DFA409214A3C}"/>
    <cellStyle name="Calculation 13 3" xfId="42341" xr:uid="{71783FED-6189-4B01-B350-D659AFA17631}"/>
    <cellStyle name="Calculation 13 4" xfId="42888" xr:uid="{D9928FC2-FD17-4686-8FF7-6890A6BF92B4}"/>
    <cellStyle name="Calculation 13 5" xfId="43498" xr:uid="{BA6AE24B-D868-4EC1-A26F-8590F47FA5C2}"/>
    <cellStyle name="Calculation 14" xfId="25312" xr:uid="{F4BB8B74-54C1-496F-AB28-C140983E2848}"/>
    <cellStyle name="Calculation 14 2" xfId="25313" xr:uid="{6AA476F5-3258-4D64-A967-EE6233DD9C24}"/>
    <cellStyle name="Calculation 14 3" xfId="42342" xr:uid="{F4A50E89-272E-4FB2-8061-CA9C08388319}"/>
    <cellStyle name="Calculation 14 4" xfId="42887" xr:uid="{5159F9B5-AC72-47E5-A8BB-AD573ADAC447}"/>
    <cellStyle name="Calculation 14 5" xfId="43499" xr:uid="{5EA7D3F8-AD1A-467C-9713-E23B93BDC539}"/>
    <cellStyle name="Calculation 15" xfId="25314" xr:uid="{7697CE4B-ED14-48C6-9426-D42450E95E46}"/>
    <cellStyle name="Calculation 15 2" xfId="25315" xr:uid="{6DF51818-6BA6-47E4-B69B-747F6542F7BD}"/>
    <cellStyle name="Calculation 15 3" xfId="42343" xr:uid="{C9EEFA99-016A-4F44-9833-569E152D22CD}"/>
    <cellStyle name="Calculation 15 4" xfId="42886" xr:uid="{01000283-DC83-4B99-8CE3-1724A40ABDB2}"/>
    <cellStyle name="Calculation 15 5" xfId="43500" xr:uid="{FF64E9A2-58F3-43EA-950B-81E994F60394}"/>
    <cellStyle name="Calculation 16" xfId="25316" xr:uid="{88859AD5-FBD2-4C0C-BB6C-4623F56B08C5}"/>
    <cellStyle name="Calculation 16 2" xfId="25317" xr:uid="{533CD415-F6BB-4269-A9ED-9FF55CD63D84}"/>
    <cellStyle name="Calculation 16 3" xfId="42344" xr:uid="{4C60EBA0-E33B-4C08-A609-209981135103}"/>
    <cellStyle name="Calculation 16 4" xfId="42884" xr:uid="{77D32724-39B2-462B-9592-2392E7634A94}"/>
    <cellStyle name="Calculation 16 5" xfId="43501" xr:uid="{C89CCE79-3E83-4DAE-9B27-43BDDB9B3110}"/>
    <cellStyle name="Calculation 17" xfId="25318" xr:uid="{1AE99A6B-4651-46E9-8FA6-34C127F752A2}"/>
    <cellStyle name="Calculation 17 2" xfId="25319" xr:uid="{68213FE5-E3DA-4768-9E31-0BC37319092C}"/>
    <cellStyle name="Calculation 17 3" xfId="42345" xr:uid="{FEDEFA39-4BCB-4736-91CF-F7C10717C293}"/>
    <cellStyle name="Calculation 17 4" xfId="42883" xr:uid="{41B312F2-F46E-47B3-A3D6-FD18E3890082}"/>
    <cellStyle name="Calculation 17 5" xfId="43502" xr:uid="{A9FF61FA-EF76-413B-AA71-657893873095}"/>
    <cellStyle name="Calculation 18" xfId="25320" xr:uid="{B65626A6-7718-41CF-8625-4358663CB8BE}"/>
    <cellStyle name="Calculation 18 2" xfId="25321" xr:uid="{1FAC9E18-20B4-4A3C-B6A6-DC02B005BAAA}"/>
    <cellStyle name="Calculation 18 3" xfId="42346" xr:uid="{5B31689C-E372-46C2-B576-F06593196CDB}"/>
    <cellStyle name="Calculation 18 4" xfId="42882" xr:uid="{2B65B372-B860-4793-A726-CA19590D06C3}"/>
    <cellStyle name="Calculation 18 5" xfId="43503" xr:uid="{EFB6C54C-901C-4E17-A284-C464B7B772A7}"/>
    <cellStyle name="Calculation 19" xfId="25322" xr:uid="{D2B7C1F1-874B-4207-A89E-5EF4F28D18FA}"/>
    <cellStyle name="Calculation 19 2" xfId="25323" xr:uid="{8972E062-3C66-441A-BA82-3E79F539EBC7}"/>
    <cellStyle name="Calculation 19 3" xfId="42347" xr:uid="{32924E38-8C65-4B28-BD40-7F8E4AE62364}"/>
    <cellStyle name="Calculation 19 4" xfId="42881" xr:uid="{A0728281-27A4-4D13-8B5B-FEE1EF9E0EB8}"/>
    <cellStyle name="Calculation 19 5" xfId="43504" xr:uid="{6100BD9B-FF3B-4FAB-8ACF-E25CC64D76EE}"/>
    <cellStyle name="Calculation 2" xfId="2942" xr:uid="{C1858825-B008-44D7-AFC5-2B6FA1F9793B}"/>
    <cellStyle name="Calculation 2 10" xfId="2943" xr:uid="{81903374-391F-43F5-95F6-85DD63722E63}"/>
    <cellStyle name="Calculation 2 10 10" xfId="2944" xr:uid="{09726182-2089-4EF5-B8DE-A48B9D5E5F98}"/>
    <cellStyle name="Calculation 2 10 10 2" xfId="25324" xr:uid="{C4857E83-DAB1-4B4C-9ECE-4775728E6867}"/>
    <cellStyle name="Calculation 2 10 10 3" xfId="25325" xr:uid="{0BBA3638-29E4-46C9-8A17-7F7327F76E03}"/>
    <cellStyle name="Calculation 2 10 11" xfId="2945" xr:uid="{9D4365A7-329A-4340-BEDC-C5BD7CD577E6}"/>
    <cellStyle name="Calculation 2 10 11 2" xfId="25326" xr:uid="{63C399E0-1B4C-445E-968B-07462E7B5AE5}"/>
    <cellStyle name="Calculation 2 10 12" xfId="25327" xr:uid="{34F17170-5BD0-49DB-A2F3-8AA0589A11AE}"/>
    <cellStyle name="Calculation 2 10 13" xfId="25328" xr:uid="{6555D0AB-3B32-4645-9BC2-91A88FBAFCB2}"/>
    <cellStyle name="Calculation 2 10 14" xfId="25329" xr:uid="{DC8971B1-4081-4D82-BE2B-4D6B6876A038}"/>
    <cellStyle name="Calculation 2 10 15" xfId="42349" xr:uid="{E27A04E2-E457-41D7-8843-D8047069F9B4}"/>
    <cellStyle name="Calculation 2 10 16" xfId="42879" xr:uid="{5B6B9813-6693-4D3D-9BAC-CCB27BD6B43D}"/>
    <cellStyle name="Calculation 2 10 17" xfId="43506" xr:uid="{1BF8BEA8-E267-44BB-9C10-C98168E14D79}"/>
    <cellStyle name="Calculation 2 10 2" xfId="2946" xr:uid="{8E7C083D-22E0-4077-B044-1A0F1AF47CC2}"/>
    <cellStyle name="Calculation 2 10 2 10" xfId="2947" xr:uid="{8EC26F9B-5E24-48DB-A4AD-EA42C796ED61}"/>
    <cellStyle name="Calculation 2 10 2 10 2" xfId="25330" xr:uid="{DF1C2ECD-007C-42A0-9C7A-689F4ACBD06B}"/>
    <cellStyle name="Calculation 2 10 2 11" xfId="25331" xr:uid="{69A49EC0-C7B7-4B70-9064-7F2C4DD4AD77}"/>
    <cellStyle name="Calculation 2 10 2 12" xfId="25332" xr:uid="{E77FC966-E407-4EE7-AE4A-FE120312BA1A}"/>
    <cellStyle name="Calculation 2 10 2 2" xfId="2948" xr:uid="{120F1EF3-FF54-4803-B37D-FE9A2A2695BC}"/>
    <cellStyle name="Calculation 2 10 2 2 2" xfId="2949" xr:uid="{3A3A3B34-ED7B-4CE8-9EDF-258AC89E1889}"/>
    <cellStyle name="Calculation 2 10 2 2 2 2" xfId="25333" xr:uid="{EA67DDD5-9293-4B70-A616-DDC0CA780DD0}"/>
    <cellStyle name="Calculation 2 10 2 2 2 3" xfId="25334" xr:uid="{B4549F3B-5AFE-4209-93AD-2A91457AC2D6}"/>
    <cellStyle name="Calculation 2 10 2 2 3" xfId="2950" xr:uid="{B2CC4158-229C-4EA6-8CD2-E04241458D9F}"/>
    <cellStyle name="Calculation 2 10 2 2 3 2" xfId="2951" xr:uid="{67848FB0-23E6-4D8C-BE57-C8083F58188C}"/>
    <cellStyle name="Calculation 2 10 2 2 4" xfId="2952" xr:uid="{F5FD87E9-B188-4F1D-9168-51634B2D8C5F}"/>
    <cellStyle name="Calculation 2 10 2 2 4 2" xfId="25335" xr:uid="{1255337F-173C-480C-8488-43CCD4E2843D}"/>
    <cellStyle name="Calculation 2 10 2 2 5" xfId="25336" xr:uid="{402DD79B-564E-40FB-BE9E-8FE761D5FB0D}"/>
    <cellStyle name="Calculation 2 10 2 2 6" xfId="25337" xr:uid="{85F71977-A183-47D5-82AA-9E30404AA778}"/>
    <cellStyle name="Calculation 2 10 2 2 7" xfId="25338" xr:uid="{5BE38973-2E25-47BE-8CAD-5C6EDDCECA90}"/>
    <cellStyle name="Calculation 2 10 2 2 8" xfId="25339" xr:uid="{0AC33832-7CA1-456C-9A57-3F63AD1C9593}"/>
    <cellStyle name="Calculation 2 10 2 3" xfId="2953" xr:uid="{D8E810CF-A8F6-4376-A67C-F457ED005CD4}"/>
    <cellStyle name="Calculation 2 10 2 3 2" xfId="2954" xr:uid="{827CFF50-608F-4BBE-AF92-1C0C00ADE783}"/>
    <cellStyle name="Calculation 2 10 2 3 3" xfId="25340" xr:uid="{EEE0F1BD-70B8-4418-8126-3056730D9737}"/>
    <cellStyle name="Calculation 2 10 2 4" xfId="2955" xr:uid="{1D54077A-2316-4558-828A-24DE4388DADC}"/>
    <cellStyle name="Calculation 2 10 2 4 2" xfId="2956" xr:uid="{489F8487-D629-4522-BE6F-B7554073F779}"/>
    <cellStyle name="Calculation 2 10 2 4 3" xfId="25341" xr:uid="{115C1450-D764-4F54-A077-CC80CAC4A03D}"/>
    <cellStyle name="Calculation 2 10 2 5" xfId="2957" xr:uid="{98CC12D2-9447-4F53-915C-E4E29F9B0233}"/>
    <cellStyle name="Calculation 2 10 2 5 2" xfId="2958" xr:uid="{710C5C54-A92E-4101-87D1-5ADA1F635CDD}"/>
    <cellStyle name="Calculation 2 10 2 5 3" xfId="25342" xr:uid="{6317FDAD-DC0A-4B95-BFE0-74E15FCEF71B}"/>
    <cellStyle name="Calculation 2 10 2 6" xfId="2959" xr:uid="{6649E364-2960-4746-B101-E3DD816B2A7C}"/>
    <cellStyle name="Calculation 2 10 2 6 2" xfId="2960" xr:uid="{7D55BA99-73DA-4E7E-81DF-25E608A0C44F}"/>
    <cellStyle name="Calculation 2 10 2 6 3" xfId="25343" xr:uid="{E166BAEA-5CA1-4112-9EAF-901C0EEFE410}"/>
    <cellStyle name="Calculation 2 10 2 7" xfId="2961" xr:uid="{262C9E59-83EA-40F4-BC81-5800BDD23733}"/>
    <cellStyle name="Calculation 2 10 2 7 2" xfId="2962" xr:uid="{4AF41CC1-ED24-4313-A9D7-A17D11484294}"/>
    <cellStyle name="Calculation 2 10 2 7 3" xfId="25344" xr:uid="{4409D607-D90A-4A69-ABBE-404F4AD0B1D1}"/>
    <cellStyle name="Calculation 2 10 2 8" xfId="2963" xr:uid="{FEDC5176-7B80-4D5E-9547-23F10EAC8147}"/>
    <cellStyle name="Calculation 2 10 2 8 2" xfId="2964" xr:uid="{B6535C21-7910-40F3-A012-012C3E5776CB}"/>
    <cellStyle name="Calculation 2 10 2 8 3" xfId="25345" xr:uid="{0A3B27B2-495B-4625-8FE8-94DB6A60B303}"/>
    <cellStyle name="Calculation 2 10 2 9" xfId="2965" xr:uid="{F7DF77D3-5810-4469-AF4E-A3016E9BE117}"/>
    <cellStyle name="Calculation 2 10 2 9 2" xfId="25346" xr:uid="{17335423-0575-4CF6-A963-8FADDBC1822F}"/>
    <cellStyle name="Calculation 2 10 2 9 3" xfId="25347" xr:uid="{C70C2CB7-B488-495A-9A7F-514A33A0A7A4}"/>
    <cellStyle name="Calculation 2 10 3" xfId="2966" xr:uid="{81DB63F6-09E4-4DFA-B00A-9A4C343796B4}"/>
    <cellStyle name="Calculation 2 10 3 2" xfId="2967" xr:uid="{1A230537-4450-4252-B630-7170BB547D2D}"/>
    <cellStyle name="Calculation 2 10 3 3" xfId="2968" xr:uid="{50AAEE18-A2E8-406E-AD1D-80A3225CBAA7}"/>
    <cellStyle name="Calculation 2 10 3 4" xfId="2969" xr:uid="{53F07C1C-31FD-4188-A61A-2F52D6FD8F0F}"/>
    <cellStyle name="Calculation 2 10 4" xfId="2970" xr:uid="{CC1188FC-0D15-468F-87DB-C98E30E992D2}"/>
    <cellStyle name="Calculation 2 10 4 2" xfId="2971" xr:uid="{8F1CBA2B-68C9-4777-9465-D06BB2480D99}"/>
    <cellStyle name="Calculation 2 10 4 3" xfId="25348" xr:uid="{D6E7CC12-D5B1-4591-B035-8AF00B565ACD}"/>
    <cellStyle name="Calculation 2 10 5" xfId="2972" xr:uid="{4BA09095-A9D0-4C4C-B8A7-DF5BAD9749B8}"/>
    <cellStyle name="Calculation 2 10 5 2" xfId="2973" xr:uid="{4C1D878C-8F66-438E-9E18-D32D57CEAE65}"/>
    <cellStyle name="Calculation 2 10 5 3" xfId="25349" xr:uid="{C36627EB-2420-4425-9165-04F726E7EB60}"/>
    <cellStyle name="Calculation 2 10 6" xfId="2974" xr:uid="{02D4C86C-435E-414F-95AB-1BFF2099DC16}"/>
    <cellStyle name="Calculation 2 10 6 2" xfId="2975" xr:uid="{B76D4743-9A57-4413-A978-A6B8C4A9C3A2}"/>
    <cellStyle name="Calculation 2 10 6 3" xfId="25350" xr:uid="{5ED4E9E1-87CE-42DF-9F70-73009A565631}"/>
    <cellStyle name="Calculation 2 10 7" xfId="2976" xr:uid="{E406B3E2-3269-4280-A0D7-76BFB2E97502}"/>
    <cellStyle name="Calculation 2 10 7 2" xfId="2977" xr:uid="{BDA0D55C-B065-4559-8237-746275FFAE5B}"/>
    <cellStyle name="Calculation 2 10 7 3" xfId="25351" xr:uid="{14570EEE-F54F-403A-B6C5-920B6740D454}"/>
    <cellStyle name="Calculation 2 10 8" xfId="2978" xr:uid="{4E91A0BE-8C71-494C-96E3-A437466D439A}"/>
    <cellStyle name="Calculation 2 10 8 2" xfId="2979" xr:uid="{6128E023-CB14-495D-8F1F-4700C894CA58}"/>
    <cellStyle name="Calculation 2 10 8 3" xfId="25352" xr:uid="{06658E1D-B598-4D17-8420-06CA5F4C5352}"/>
    <cellStyle name="Calculation 2 10 9" xfId="2980" xr:uid="{19B0F820-337B-4ABC-95E0-586C561B36F8}"/>
    <cellStyle name="Calculation 2 10 9 2" xfId="2981" xr:uid="{37A77A18-81FA-41B0-BA24-03DD9CEED0C7}"/>
    <cellStyle name="Calculation 2 10 9 3" xfId="25353" xr:uid="{928CD1E3-F93C-48EA-BAF3-B4D2D1380CD3}"/>
    <cellStyle name="Calculation 2 11" xfId="2982" xr:uid="{9C3E990F-53ED-4793-895A-34C66F64E68D}"/>
    <cellStyle name="Calculation 2 11 10" xfId="2983" xr:uid="{BBD867B8-FFE3-47E4-91D8-A8A4A58F0143}"/>
    <cellStyle name="Calculation 2 11 10 2" xfId="25354" xr:uid="{5E74C9BE-EEF8-44C5-9D4F-82C8FA38BC36}"/>
    <cellStyle name="Calculation 2 11 10 3" xfId="25355" xr:uid="{20F55DC0-C85E-463E-A112-4146D04B852E}"/>
    <cellStyle name="Calculation 2 11 11" xfId="2984" xr:uid="{E4454FA8-ABD1-4803-8F11-739910E64812}"/>
    <cellStyle name="Calculation 2 11 11 2" xfId="25356" xr:uid="{249775FA-7459-413C-A39B-448C14EEEEBC}"/>
    <cellStyle name="Calculation 2 11 12" xfId="25357" xr:uid="{665F439C-0665-488C-BFED-8474851F1D23}"/>
    <cellStyle name="Calculation 2 11 13" xfId="25358" xr:uid="{F8C1B29B-6511-46D3-82DC-CAE0D8A467B9}"/>
    <cellStyle name="Calculation 2 11 14" xfId="25359" xr:uid="{83219BE1-692D-444C-87AE-37DC25533C15}"/>
    <cellStyle name="Calculation 2 11 2" xfId="2985" xr:uid="{1BFFD8B8-65E6-433F-8A6E-C8740E2F3B36}"/>
    <cellStyle name="Calculation 2 11 2 10" xfId="2986" xr:uid="{8C50D54E-6432-4FFE-A72B-808AF8AB54CD}"/>
    <cellStyle name="Calculation 2 11 2 10 2" xfId="25360" xr:uid="{053BFF21-BF1D-49A0-8668-0B96CE84FC04}"/>
    <cellStyle name="Calculation 2 11 2 11" xfId="25361" xr:uid="{AEDE89DE-95CA-4A55-BB5B-501486F8DD49}"/>
    <cellStyle name="Calculation 2 11 2 2" xfId="2987" xr:uid="{24AD5CB3-5E68-4316-9C30-471F0A462407}"/>
    <cellStyle name="Calculation 2 11 2 2 2" xfId="2988" xr:uid="{A7102BFF-66C6-4CDD-B269-0AD5B1611832}"/>
    <cellStyle name="Calculation 2 11 2 2 3" xfId="2989" xr:uid="{F925E07F-548B-4DBA-AB25-F4B7203C568D}"/>
    <cellStyle name="Calculation 2 11 2 2 4" xfId="2990" xr:uid="{7E7D9E56-3CF2-4C03-B6F9-E17F19AADD16}"/>
    <cellStyle name="Calculation 2 11 2 3" xfId="2991" xr:uid="{C2FB36ED-0510-46D8-B0F8-084596C2C2D0}"/>
    <cellStyle name="Calculation 2 11 2 3 2" xfId="2992" xr:uid="{9C5F049B-D2D7-4AA6-A5DC-A974D5DF11D1}"/>
    <cellStyle name="Calculation 2 11 2 3 3" xfId="25362" xr:uid="{55A4D0D5-5420-4DCE-9EF3-FE713135DBFF}"/>
    <cellStyle name="Calculation 2 11 2 4" xfId="2993" xr:uid="{71DB8B97-E13D-4192-AD1C-42EF5C9C91B6}"/>
    <cellStyle name="Calculation 2 11 2 4 2" xfId="2994" xr:uid="{083FAAD9-24C5-40B0-9201-B1A48E8507E3}"/>
    <cellStyle name="Calculation 2 11 2 4 3" xfId="25363" xr:uid="{74467355-C15F-406E-9481-473472B6549D}"/>
    <cellStyle name="Calculation 2 11 2 5" xfId="2995" xr:uid="{C80D1E0C-C498-4EC7-9516-E0BAE2AA6B1C}"/>
    <cellStyle name="Calculation 2 11 2 5 2" xfId="2996" xr:uid="{67185DEB-44D8-4D8A-B0CD-131EB93FE679}"/>
    <cellStyle name="Calculation 2 11 2 5 3" xfId="25364" xr:uid="{87961B68-2C6F-42F3-883E-B7306F7776AE}"/>
    <cellStyle name="Calculation 2 11 2 6" xfId="2997" xr:uid="{14CC36E8-6CDB-4625-BB7A-4139BB05A779}"/>
    <cellStyle name="Calculation 2 11 2 6 2" xfId="2998" xr:uid="{0547D5DF-AB9E-4D89-A66D-8E6B05FC4891}"/>
    <cellStyle name="Calculation 2 11 2 6 3" xfId="25365" xr:uid="{A2A384DD-79D9-487A-B98B-001A75B39F78}"/>
    <cellStyle name="Calculation 2 11 2 7" xfId="2999" xr:uid="{1DA5893B-B713-465E-8455-23BD98BC6D9E}"/>
    <cellStyle name="Calculation 2 11 2 7 2" xfId="3000" xr:uid="{830848C9-50DE-4B5F-8A12-8A245A26C382}"/>
    <cellStyle name="Calculation 2 11 2 7 3" xfId="25366" xr:uid="{81FB1D6E-1F83-468A-99ED-26AABCC3CF8E}"/>
    <cellStyle name="Calculation 2 11 2 8" xfId="3001" xr:uid="{31B0F066-EBE1-48AC-B1B1-CCDC307CD770}"/>
    <cellStyle name="Calculation 2 11 2 8 2" xfId="3002" xr:uid="{C11FCDC7-E2F4-4BC2-8DE8-CE271AA9D07B}"/>
    <cellStyle name="Calculation 2 11 2 8 3" xfId="25367" xr:uid="{004AE2D3-15F3-4FC8-B210-0D2D94DE5E71}"/>
    <cellStyle name="Calculation 2 11 2 9" xfId="3003" xr:uid="{0217BDBA-EC61-4472-8917-72F1A9BF2DB4}"/>
    <cellStyle name="Calculation 2 11 2 9 2" xfId="25368" xr:uid="{AE4837D5-453E-4D59-8C32-FA3D0C2D658C}"/>
    <cellStyle name="Calculation 2 11 2 9 3" xfId="25369" xr:uid="{661B5A7F-9869-4AA1-87F9-630AE2453C9C}"/>
    <cellStyle name="Calculation 2 11 3" xfId="3004" xr:uid="{21DD700E-898C-4E4B-941E-6B0253ECC40F}"/>
    <cellStyle name="Calculation 2 11 3 2" xfId="3005" xr:uid="{4404CC82-2E39-46AE-9A25-9790C94B86DC}"/>
    <cellStyle name="Calculation 2 11 3 3" xfId="3006" xr:uid="{F7598E35-EDF0-453F-A7DF-4D660399DD64}"/>
    <cellStyle name="Calculation 2 11 3 4" xfId="3007" xr:uid="{C63F658C-B696-4678-B8B8-8139D32B44C0}"/>
    <cellStyle name="Calculation 2 11 4" xfId="3008" xr:uid="{8E96C0FF-8772-4A43-BEEF-9B3956110FE9}"/>
    <cellStyle name="Calculation 2 11 4 2" xfId="3009" xr:uid="{597CA400-29AD-4D60-B581-FF54F52179B6}"/>
    <cellStyle name="Calculation 2 11 4 3" xfId="25370" xr:uid="{9938CC30-497B-4B70-A32D-418DD2FE6D71}"/>
    <cellStyle name="Calculation 2 11 5" xfId="3010" xr:uid="{E6978947-8C5F-4AA2-899D-9EC2A9191E21}"/>
    <cellStyle name="Calculation 2 11 5 2" xfId="3011" xr:uid="{A96C4E88-26B5-442C-B6BD-8055D055F384}"/>
    <cellStyle name="Calculation 2 11 5 3" xfId="25371" xr:uid="{7EF91C38-2B0E-4348-A400-61D34B5AACE6}"/>
    <cellStyle name="Calculation 2 11 6" xfId="3012" xr:uid="{C37CE2A2-1D42-41C4-AA6F-E3308BC037C7}"/>
    <cellStyle name="Calculation 2 11 6 2" xfId="3013" xr:uid="{C7C31ADD-9E46-4B31-B43A-C6BE14BE64D6}"/>
    <cellStyle name="Calculation 2 11 6 3" xfId="25372" xr:uid="{27B0718D-ADEF-4A71-9802-B98440B3D278}"/>
    <cellStyle name="Calculation 2 11 7" xfId="3014" xr:uid="{0BEABC08-39AD-4919-B1A4-0084EA3845C9}"/>
    <cellStyle name="Calculation 2 11 7 2" xfId="3015" xr:uid="{EA85F066-F421-4991-BF91-51A0AF088126}"/>
    <cellStyle name="Calculation 2 11 7 3" xfId="25373" xr:uid="{2B6D019F-BFE5-4AE4-ABE2-20AA9BC65259}"/>
    <cellStyle name="Calculation 2 11 8" xfId="3016" xr:uid="{9DB1A91E-14A7-4047-81E4-E889E31739FF}"/>
    <cellStyle name="Calculation 2 11 8 2" xfId="3017" xr:uid="{89EB4CAB-B327-4FA9-8866-2FB5A656D2DF}"/>
    <cellStyle name="Calculation 2 11 8 3" xfId="25374" xr:uid="{2F17851C-C268-47A3-ABF7-3809D21578A3}"/>
    <cellStyle name="Calculation 2 11 9" xfId="3018" xr:uid="{01EFBAF1-6882-41DA-B77F-D30C4519B0D0}"/>
    <cellStyle name="Calculation 2 11 9 2" xfId="3019" xr:uid="{CE061D53-75E8-42C3-9EEA-19FA5C3F271C}"/>
    <cellStyle name="Calculation 2 11 9 3" xfId="25375" xr:uid="{1E6C6CD7-466C-44D9-BA5D-A2AF5F2DF9D0}"/>
    <cellStyle name="Calculation 2 12" xfId="3020" xr:uid="{F84E7851-E2A9-4F36-AC29-6CA2253C1BD3}"/>
    <cellStyle name="Calculation 2 12 10" xfId="3021" xr:uid="{FAD1B15D-5604-41AB-970D-C032ADD3B39E}"/>
    <cellStyle name="Calculation 2 12 10 2" xfId="25376" xr:uid="{1F0132CE-E1C1-4490-AA8E-79D8044C1544}"/>
    <cellStyle name="Calculation 2 12 11" xfId="25377" xr:uid="{6C32B25F-157B-463E-8C98-851155483665}"/>
    <cellStyle name="Calculation 2 12 2" xfId="3022" xr:uid="{D06E899C-73EC-4E5F-B0E1-881428D8E77A}"/>
    <cellStyle name="Calculation 2 12 2 2" xfId="3023" xr:uid="{AF2DF251-EB69-4F4E-93CD-4044C271444C}"/>
    <cellStyle name="Calculation 2 12 2 3" xfId="3024" xr:uid="{CBDF3D31-74B7-4549-8D2E-3CC7A7EAF97A}"/>
    <cellStyle name="Calculation 2 12 2 4" xfId="3025" xr:uid="{806E6A95-5CDB-4C91-B5A4-28AE2DD4CBDA}"/>
    <cellStyle name="Calculation 2 12 3" xfId="3026" xr:uid="{8885DB6D-B5CE-4437-A801-04E5945A38F1}"/>
    <cellStyle name="Calculation 2 12 3 2" xfId="3027" xr:uid="{D732FBA7-5A0B-4E05-A39F-25D574E572A0}"/>
    <cellStyle name="Calculation 2 12 3 3" xfId="25378" xr:uid="{2B295517-54BC-4BF2-9CED-150A68D16F4A}"/>
    <cellStyle name="Calculation 2 12 4" xfId="3028" xr:uid="{8DCA15BA-A922-4168-AA51-148FAF99BADE}"/>
    <cellStyle name="Calculation 2 12 4 2" xfId="3029" xr:uid="{63089D37-401C-4A77-BB4E-3E3F92735888}"/>
    <cellStyle name="Calculation 2 12 4 3" xfId="25379" xr:uid="{8A7C6C25-4626-461F-89C0-0C62270DD7D1}"/>
    <cellStyle name="Calculation 2 12 5" xfId="3030" xr:uid="{547396BB-414F-494D-9784-0D35843E46AD}"/>
    <cellStyle name="Calculation 2 12 5 2" xfId="3031" xr:uid="{09EB1B85-4738-4DC4-8D23-0B99BA1CAF1F}"/>
    <cellStyle name="Calculation 2 12 5 3" xfId="25380" xr:uid="{C88DFBD2-DCF7-4DFE-A50E-5AA31985A8F0}"/>
    <cellStyle name="Calculation 2 12 6" xfId="3032" xr:uid="{2A30BCF0-3075-440D-B227-434BD6E22751}"/>
    <cellStyle name="Calculation 2 12 6 2" xfId="3033" xr:uid="{7AFF991F-3F75-4FF7-A1AD-62FC3C503335}"/>
    <cellStyle name="Calculation 2 12 6 3" xfId="25381" xr:uid="{B8B35C75-DA1D-4587-96D6-3D8D49C62BE5}"/>
    <cellStyle name="Calculation 2 12 7" xfId="3034" xr:uid="{BCD8268B-7CF3-4022-8968-DD7A642E5BC9}"/>
    <cellStyle name="Calculation 2 12 7 2" xfId="3035" xr:uid="{0AAE48DB-A230-407C-B542-CE0538AADA31}"/>
    <cellStyle name="Calculation 2 12 7 3" xfId="25382" xr:uid="{4F24D227-4B0E-491D-9867-6C96867E4EC5}"/>
    <cellStyle name="Calculation 2 12 8" xfId="3036" xr:uid="{19DC8A9C-BC78-4BA2-9559-C8E18B1886D7}"/>
    <cellStyle name="Calculation 2 12 8 2" xfId="3037" xr:uid="{F4B0DBB7-A0D5-4A09-8984-1A62F587C492}"/>
    <cellStyle name="Calculation 2 12 8 3" xfId="25383" xr:uid="{3F711DA1-20E8-42AB-A742-B61AE7A7110B}"/>
    <cellStyle name="Calculation 2 12 9" xfId="3038" xr:uid="{1B0983AA-B2E9-4C26-B9C0-C931149B3EC6}"/>
    <cellStyle name="Calculation 2 12 9 2" xfId="25384" xr:uid="{E3724032-ECFC-4E57-9359-1F80C47B794F}"/>
    <cellStyle name="Calculation 2 12 9 3" xfId="25385" xr:uid="{B8196D49-733C-4D19-9EE2-0A0F2FDC5EF0}"/>
    <cellStyle name="Calculation 2 13" xfId="3039" xr:uid="{5AA4D4A2-45F2-4CD9-9B96-2C9CFFE93915}"/>
    <cellStyle name="Calculation 2 13 2" xfId="3040" xr:uid="{E6728DA7-EC0D-4E9B-AB17-A49FB04D6362}"/>
    <cellStyle name="Calculation 2 13 2 2" xfId="25386" xr:uid="{486B09E2-2D2B-4CFE-9BE7-ED8CCF2958EA}"/>
    <cellStyle name="Calculation 2 13 3" xfId="3041" xr:uid="{06585A6F-A387-47D6-9479-5E23A956F0D2}"/>
    <cellStyle name="Calculation 2 13 3 2" xfId="25387" xr:uid="{DD18E22C-F51C-459E-8BC3-51A80041810B}"/>
    <cellStyle name="Calculation 2 13 4" xfId="3042" xr:uid="{8DF4689A-176D-4358-A6F2-07222378B9EC}"/>
    <cellStyle name="Calculation 2 14" xfId="3043" xr:uid="{F41386B5-D9BF-4321-91C3-1F51E443D155}"/>
    <cellStyle name="Calculation 2 14 2" xfId="3044" xr:uid="{BC72EC74-1DC3-4FEA-A17A-CE5B2E19418D}"/>
    <cellStyle name="Calculation 2 14 3" xfId="25388" xr:uid="{42DBD71B-B9A4-425E-9A0A-AF395FE3ECFE}"/>
    <cellStyle name="Calculation 2 15" xfId="3045" xr:uid="{F7E05203-82CB-4F9F-A805-FBFEFB30F335}"/>
    <cellStyle name="Calculation 2 15 2" xfId="3046" xr:uid="{3DC51E1D-60D5-47DB-8852-4F07BCA3A1EF}"/>
    <cellStyle name="Calculation 2 15 3" xfId="25389" xr:uid="{4C44EBA5-43F9-414D-8C98-734F58887EA5}"/>
    <cellStyle name="Calculation 2 16" xfId="3047" xr:uid="{01E4498E-97DA-4A5D-A3BB-D42834D61F4C}"/>
    <cellStyle name="Calculation 2 16 2" xfId="3048" xr:uid="{7ADBD7CC-C61B-4E21-9E17-87D182A700AD}"/>
    <cellStyle name="Calculation 2 16 3" xfId="25390" xr:uid="{3631B09B-9F0E-48B1-9772-F550C3FBB36F}"/>
    <cellStyle name="Calculation 2 17" xfId="3049" xr:uid="{46BF6C89-592C-406E-A76F-4CA152E8C372}"/>
    <cellStyle name="Calculation 2 17 2" xfId="3050" xr:uid="{05031E4E-A98E-4494-9BDF-4BCE0A23B9A9}"/>
    <cellStyle name="Calculation 2 17 3" xfId="25391" xr:uid="{4FC825AB-E7CA-43E7-B05D-66C040138FDC}"/>
    <cellStyle name="Calculation 2 18" xfId="3051" xr:uid="{7384158F-ACCE-4349-8692-C60D06F20D6D}"/>
    <cellStyle name="Calculation 2 18 2" xfId="3052" xr:uid="{DD6DB1AE-E83D-4AE4-90BD-12C451FDB865}"/>
    <cellStyle name="Calculation 2 18 3" xfId="25392" xr:uid="{761C9FE2-1BA4-433E-8FD1-0A3E41C06A16}"/>
    <cellStyle name="Calculation 2 19" xfId="3053" xr:uid="{7B1E1A45-2890-4923-B79F-6F7BA1DE9A62}"/>
    <cellStyle name="Calculation 2 19 2" xfId="3054" xr:uid="{7546C543-02C5-48FE-AA9F-692A30644EBB}"/>
    <cellStyle name="Calculation 2 19 3" xfId="25393" xr:uid="{5B993F05-44E1-4BAF-A74A-4011BC2C8999}"/>
    <cellStyle name="Calculation 2 2" xfId="3055" xr:uid="{46B8A9A2-0EAE-4A65-A60E-F50505360663}"/>
    <cellStyle name="Calculation 2 2 10" xfId="3056" xr:uid="{53A5DBD1-E5F0-410B-BB9C-3323A0A26ADC}"/>
    <cellStyle name="Calculation 2 2 10 2" xfId="25394" xr:uid="{84BF4030-2614-4D03-9D7E-7653E783DD2B}"/>
    <cellStyle name="Calculation 2 2 10 3" xfId="25395" xr:uid="{E4082DDE-34DD-4265-B241-EA6BDE42F8E8}"/>
    <cellStyle name="Calculation 2 2 11" xfId="3057" xr:uid="{F22759B8-3E10-4317-858B-39169CE3A22C}"/>
    <cellStyle name="Calculation 2 2 11 2" xfId="25396" xr:uid="{CF44015F-213A-4090-BA5D-03F5BA7F17D7}"/>
    <cellStyle name="Calculation 2 2 12" xfId="25397" xr:uid="{6E7D5AA0-453C-44AC-AED1-64F24A7F91A9}"/>
    <cellStyle name="Calculation 2 2 13" xfId="25398" xr:uid="{3929B499-939F-480D-AA0E-7434D635AFBD}"/>
    <cellStyle name="Calculation 2 2 14" xfId="25399" xr:uid="{B23F99DF-CA24-458A-9264-C9CF6FCEDBD5}"/>
    <cellStyle name="Calculation 2 2 15" xfId="42350" xr:uid="{72C4783B-4F26-4443-B4E5-15117359D5C5}"/>
    <cellStyle name="Calculation 2 2 16" xfId="42878" xr:uid="{B66A8CDB-03D4-410A-B5A9-ED1796658AB7}"/>
    <cellStyle name="Calculation 2 2 17" xfId="43507" xr:uid="{9556EFFE-391E-4921-AE4B-C547EB01FAB3}"/>
    <cellStyle name="Calculation 2 2 18" xfId="44495" xr:uid="{7C44D77C-75DD-4B78-A795-24BEA7D18FF6}"/>
    <cellStyle name="Calculation 2 2 19" xfId="45253" xr:uid="{D5959731-F9F3-4B2B-BE61-299A091BFC90}"/>
    <cellStyle name="Calculation 2 2 2" xfId="3058" xr:uid="{6CF8FF84-565F-4771-A124-65361840DB34}"/>
    <cellStyle name="Calculation 2 2 2 10" xfId="3059" xr:uid="{C4C653E3-AB21-442A-B19E-C442328D23CE}"/>
    <cellStyle name="Calculation 2 2 2 10 2" xfId="25400" xr:uid="{C978EAB7-70F6-41E6-825F-B42804FAA30D}"/>
    <cellStyle name="Calculation 2 2 2 11" xfId="25401" xr:uid="{18C24807-A4BA-411B-8615-51E2950351D8}"/>
    <cellStyle name="Calculation 2 2 2 12" xfId="25402" xr:uid="{407CE3C3-B452-4D48-A507-23BB03B49539}"/>
    <cellStyle name="Calculation 2 2 2 13" xfId="44707" xr:uid="{FF23B225-56B2-4509-B72D-51230AF663AD}"/>
    <cellStyle name="Calculation 2 2 2 14" xfId="44110" xr:uid="{8B5C4AA6-76CF-4F1A-893D-D1BB01D0131E}"/>
    <cellStyle name="Calculation 2 2 2 15" xfId="44511" xr:uid="{C2C7537C-928B-41D7-B6BF-4D330A3884BC}"/>
    <cellStyle name="Calculation 2 2 2 2" xfId="3060" xr:uid="{1210273E-F7AC-414E-AEBF-979E1AC07EF7}"/>
    <cellStyle name="Calculation 2 2 2 2 2" xfId="3061" xr:uid="{5D18C4D9-4667-4F46-9CDD-2C1728A69E3E}"/>
    <cellStyle name="Calculation 2 2 2 2 2 2" xfId="25403" xr:uid="{C85D16DC-9650-4B83-B7FA-6A9EE36AFBC4}"/>
    <cellStyle name="Calculation 2 2 2 2 2 3" xfId="25404" xr:uid="{0CA4DFC7-60DB-42F0-8AD1-B9CD501BBA58}"/>
    <cellStyle name="Calculation 2 2 2 2 3" xfId="3062" xr:uid="{CCA7BEEC-0406-4472-A719-42DBE8F8B192}"/>
    <cellStyle name="Calculation 2 2 2 2 3 2" xfId="3063" xr:uid="{A58D6F98-647E-4389-985A-5DB16B22D224}"/>
    <cellStyle name="Calculation 2 2 2 2 4" xfId="3064" xr:uid="{2A154B6E-A8B1-4E1C-AAE5-AF503133E87B}"/>
    <cellStyle name="Calculation 2 2 2 2 4 2" xfId="25405" xr:uid="{FCC3181A-DA19-4031-93F1-ECDFAC8918DF}"/>
    <cellStyle name="Calculation 2 2 2 2 5" xfId="25406" xr:uid="{8344E69E-2352-4CE4-88A2-32D5BBF4C28D}"/>
    <cellStyle name="Calculation 2 2 2 2 6" xfId="25407" xr:uid="{D7F74B53-EB32-4EB2-B0DC-6324F00319A4}"/>
    <cellStyle name="Calculation 2 2 2 2 7" xfId="25408" xr:uid="{C18FB42C-B5C7-475E-BD8C-A95A8B10E326}"/>
    <cellStyle name="Calculation 2 2 2 2 8" xfId="25409" xr:uid="{829AB951-FA29-45C9-8B66-17F666B3418F}"/>
    <cellStyle name="Calculation 2 2 2 3" xfId="3065" xr:uid="{00788E34-F4B5-409F-9376-CC3973ACC473}"/>
    <cellStyle name="Calculation 2 2 2 3 2" xfId="3066" xr:uid="{99234C3B-AC92-4DDA-A8AB-A1D5EE41E8E9}"/>
    <cellStyle name="Calculation 2 2 2 3 3" xfId="25410" xr:uid="{FAE1791D-CB14-42D7-8966-F58E9CDF84C0}"/>
    <cellStyle name="Calculation 2 2 2 4" xfId="3067" xr:uid="{5E8E2CAA-11A7-4B03-978C-24EF7488FA72}"/>
    <cellStyle name="Calculation 2 2 2 4 2" xfId="3068" xr:uid="{611E48D8-7AF0-4AE2-AE31-F9A3629E884E}"/>
    <cellStyle name="Calculation 2 2 2 4 3" xfId="25411" xr:uid="{67FA12EB-E646-46B9-B13F-C97221A60240}"/>
    <cellStyle name="Calculation 2 2 2 5" xfId="3069" xr:uid="{A31CF3AB-E523-45BD-AF72-5F7DB00F9B83}"/>
    <cellStyle name="Calculation 2 2 2 5 2" xfId="3070" xr:uid="{A7D033D8-F88F-4561-B0C7-F1A9476BB5CD}"/>
    <cellStyle name="Calculation 2 2 2 5 3" xfId="25412" xr:uid="{F552D250-9248-42E6-9A62-B49017ACDC5A}"/>
    <cellStyle name="Calculation 2 2 2 6" xfId="3071" xr:uid="{22ECE480-C523-4AB4-9114-275BD6BE543C}"/>
    <cellStyle name="Calculation 2 2 2 6 2" xfId="3072" xr:uid="{7A95AAE9-1E69-41F8-91FA-CA9E2AF93F22}"/>
    <cellStyle name="Calculation 2 2 2 6 3" xfId="25413" xr:uid="{12D2D75A-3B6B-476A-B9CF-2D33B8E5C2EB}"/>
    <cellStyle name="Calculation 2 2 2 7" xfId="3073" xr:uid="{24555864-ACCE-4819-B048-F62F4370E1D0}"/>
    <cellStyle name="Calculation 2 2 2 7 2" xfId="3074" xr:uid="{66173C8D-89B1-4E54-849C-43C7A0E6C9D5}"/>
    <cellStyle name="Calculation 2 2 2 7 3" xfId="25414" xr:uid="{D3E28D48-FA43-4C86-821E-086520AE874B}"/>
    <cellStyle name="Calculation 2 2 2 8" xfId="3075" xr:uid="{B425B1C8-4579-4AF1-8E50-E52790549484}"/>
    <cellStyle name="Calculation 2 2 2 8 2" xfId="3076" xr:uid="{C8337953-4F68-4824-B05E-B1D2DC90766C}"/>
    <cellStyle name="Calculation 2 2 2 8 3" xfId="25415" xr:uid="{EBB5F618-6739-4632-8446-E482812AC51D}"/>
    <cellStyle name="Calculation 2 2 2 9" xfId="3077" xr:uid="{E67ACDA8-15C2-4130-9249-A7BDB6A1DC7B}"/>
    <cellStyle name="Calculation 2 2 2 9 2" xfId="25416" xr:uid="{94F19E60-7E39-4385-A656-6F9356E57113}"/>
    <cellStyle name="Calculation 2 2 2 9 3" xfId="25417" xr:uid="{7486799B-4116-4C7F-B3A4-8CD835DED1D4}"/>
    <cellStyle name="Calculation 2 2 20" xfId="45507" xr:uid="{1B972351-B6EA-41BA-A99B-DB25C139B49B}"/>
    <cellStyle name="Calculation 2 2 3" xfId="3078" xr:uid="{CD40CF30-7118-4ACD-AF3C-2BB1E6A5D334}"/>
    <cellStyle name="Calculation 2 2 3 2" xfId="3079" xr:uid="{4EA99CE4-958C-4560-A5B9-51802442B1D2}"/>
    <cellStyle name="Calculation 2 2 3 2 2" xfId="25418" xr:uid="{A113754C-971E-4EA9-93A2-A6CB37C125C1}"/>
    <cellStyle name="Calculation 2 2 3 2 3" xfId="25419" xr:uid="{74C9131F-5B97-462E-B5C3-047FABF8F7AB}"/>
    <cellStyle name="Calculation 2 2 3 3" xfId="3080" xr:uid="{F95328A4-05DB-4E54-8CFA-037CAA56107D}"/>
    <cellStyle name="Calculation 2 2 3 4" xfId="3081" xr:uid="{97ECFB77-86CE-4CA0-B32E-765F09453E86}"/>
    <cellStyle name="Calculation 2 2 4" xfId="3082" xr:uid="{43C3652D-0E54-49D3-8EA9-A84E638C2824}"/>
    <cellStyle name="Calculation 2 2 4 2" xfId="3083" xr:uid="{07903740-1F93-4C90-B1FA-2F1CB031A97F}"/>
    <cellStyle name="Calculation 2 2 4 3" xfId="25420" xr:uid="{EA716542-D5DD-48B0-B0E2-DC6CC3379F8A}"/>
    <cellStyle name="Calculation 2 2 5" xfId="3084" xr:uid="{28D6827A-E9A0-405D-8A04-B22DA0E7008A}"/>
    <cellStyle name="Calculation 2 2 5 2" xfId="3085" xr:uid="{87BCF6F3-177B-46F0-AC0B-D1DB62071CF2}"/>
    <cellStyle name="Calculation 2 2 5 3" xfId="25421" xr:uid="{123D18E2-FE97-4378-AB9F-FF96C3B38C0A}"/>
    <cellStyle name="Calculation 2 2 6" xfId="3086" xr:uid="{3C8CEF81-05AE-421B-8D53-B9ED84361A12}"/>
    <cellStyle name="Calculation 2 2 6 2" xfId="3087" xr:uid="{E67BD511-8EAD-4FB2-821B-6AAAB2B4FED8}"/>
    <cellStyle name="Calculation 2 2 6 3" xfId="25422" xr:uid="{CD4D21B6-046F-45EF-A64C-3FC9B80F754C}"/>
    <cellStyle name="Calculation 2 2 7" xfId="3088" xr:uid="{33DFFDB1-91F2-4859-8644-E56F1FDA90D7}"/>
    <cellStyle name="Calculation 2 2 7 2" xfId="3089" xr:uid="{8B08F553-2869-4F01-B70E-33DF54FE80DF}"/>
    <cellStyle name="Calculation 2 2 7 3" xfId="25423" xr:uid="{78B93359-2794-4FEB-8B0F-480B724F63E8}"/>
    <cellStyle name="Calculation 2 2 8" xfId="3090" xr:uid="{17D238BE-6FF0-4ECA-AEA2-87549F1BF612}"/>
    <cellStyle name="Calculation 2 2 8 2" xfId="3091" xr:uid="{83F07CEA-3C05-429F-83CB-FB35D4D6A9FC}"/>
    <cellStyle name="Calculation 2 2 8 3" xfId="25424" xr:uid="{E24E81FA-B36F-4EC6-B78B-8D8F1EEBEF10}"/>
    <cellStyle name="Calculation 2 2 9" xfId="3092" xr:uid="{6B31D4B9-6734-42BE-BA2A-5776364BEA1E}"/>
    <cellStyle name="Calculation 2 2 9 2" xfId="3093" xr:uid="{A5ECC5FE-AB9F-44CB-96FD-2C0E83A2049A}"/>
    <cellStyle name="Calculation 2 2 9 3" xfId="25425" xr:uid="{7F04FC1F-0502-4273-A301-00D6E594D2D0}"/>
    <cellStyle name="Calculation 2 20" xfId="3094" xr:uid="{38B83A01-7FE2-44DE-BCE4-31A0FF9F2EF2}"/>
    <cellStyle name="Calculation 2 20 2" xfId="25426" xr:uid="{90402C1C-0A7D-4FAF-BC5B-BEF652A8AB95}"/>
    <cellStyle name="Calculation 2 20 3" xfId="25427" xr:uid="{F90A7FDC-5681-4AD8-BFBB-437C83FCFB6F}"/>
    <cellStyle name="Calculation 2 21" xfId="3095" xr:uid="{7062D579-C97F-4396-819A-9ECC2E7C09ED}"/>
    <cellStyle name="Calculation 2 21 2" xfId="25428" xr:uid="{498C8419-0E4B-4662-AD32-04F0FD08181B}"/>
    <cellStyle name="Calculation 2 22" xfId="25429" xr:uid="{2885B9F4-ADDC-40C1-BBC3-D6D0538ADB0A}"/>
    <cellStyle name="Calculation 2 23" xfId="25430" xr:uid="{FC26C9C6-4E6A-4927-BD61-23BE517FCDEC}"/>
    <cellStyle name="Calculation 2 24" xfId="25431" xr:uid="{DB4FC141-47B7-44CA-BDC3-6B15E9900773}"/>
    <cellStyle name="Calculation 2 25" xfId="42348" xr:uid="{BCFD2D18-0E5D-4BB6-85E1-1C52C6415FD9}"/>
    <cellStyle name="Calculation 2 26" xfId="42880" xr:uid="{9621E0B1-74B8-4C70-A5F5-2C2A35195FF5}"/>
    <cellStyle name="Calculation 2 27" xfId="43505" xr:uid="{EC4C8360-F546-4DC6-8DB7-E9A711D91521}"/>
    <cellStyle name="Calculation 2 28" xfId="44106" xr:uid="{B693F90F-AF94-41A2-AD3D-B6F7A7573891}"/>
    <cellStyle name="Calculation 2 29" xfId="45120" xr:uid="{FC2A1ECB-904F-4480-9770-2B099821B60E}"/>
    <cellStyle name="Calculation 2 3" xfId="3096" xr:uid="{569203B9-02BF-4AF0-82FF-4F2A11DDC775}"/>
    <cellStyle name="Calculation 2 3 10" xfId="3097" xr:uid="{CB282F12-11DB-4434-8423-D637C693EC02}"/>
    <cellStyle name="Calculation 2 3 10 2" xfId="25432" xr:uid="{10E3DE3E-8134-42AC-AAFF-DB6B84BE4426}"/>
    <cellStyle name="Calculation 2 3 10 3" xfId="25433" xr:uid="{54588008-46EA-4FD2-9655-346924D23A28}"/>
    <cellStyle name="Calculation 2 3 11" xfId="3098" xr:uid="{94663FBF-4363-4AD4-AE13-FBC06AD76E63}"/>
    <cellStyle name="Calculation 2 3 11 2" xfId="25434" xr:uid="{B86A5572-91E5-4A35-9AC0-D55FA01449D7}"/>
    <cellStyle name="Calculation 2 3 12" xfId="25435" xr:uid="{4742228E-1008-459E-B4F6-9911B5E52588}"/>
    <cellStyle name="Calculation 2 3 13" xfId="25436" xr:uid="{1CDCE9A2-66D5-49A5-8BE7-34BAF295A37B}"/>
    <cellStyle name="Calculation 2 3 14" xfId="25437" xr:uid="{37D0B4B0-EAFA-4125-9409-34CB133DF77C}"/>
    <cellStyle name="Calculation 2 3 15" xfId="42351" xr:uid="{213B75BB-9605-457C-A940-72108C7E38D7}"/>
    <cellStyle name="Calculation 2 3 16" xfId="42877" xr:uid="{098D6241-42D4-4649-9CE6-F47BD079E21D}"/>
    <cellStyle name="Calculation 2 3 17" xfId="43508" xr:uid="{57394D93-BB4C-4F56-95A6-FB6F8367574F}"/>
    <cellStyle name="Calculation 2 3 18" xfId="44577" xr:uid="{0D1B28E4-6811-4837-9DBB-B994F330BB69}"/>
    <cellStyle name="Calculation 2 3 19" xfId="45148" xr:uid="{6584CF02-A216-4E8C-B76D-76586027DC89}"/>
    <cellStyle name="Calculation 2 3 2" xfId="3099" xr:uid="{55A27BB5-1459-4469-94A3-AD7A5206A14F}"/>
    <cellStyle name="Calculation 2 3 2 10" xfId="3100" xr:uid="{8E8675A0-C65E-4787-B51A-E3FB35CBED2A}"/>
    <cellStyle name="Calculation 2 3 2 10 2" xfId="25438" xr:uid="{D0E36645-A7CA-4D9B-84B0-2931118CBCCB}"/>
    <cellStyle name="Calculation 2 3 2 11" xfId="25439" xr:uid="{FF8883B9-11CC-42C7-82F4-A1852D581703}"/>
    <cellStyle name="Calculation 2 3 2 12" xfId="25440" xr:uid="{9EB61E60-9A3F-4B69-BBFD-B41358BC980E}"/>
    <cellStyle name="Calculation 2 3 2 13" xfId="44790" xr:uid="{53C40D86-8968-47D7-BF8F-BD513C2CBD4D}"/>
    <cellStyle name="Calculation 2 3 2 14" xfId="44330" xr:uid="{7250B61D-FC9F-4D0A-8E1B-CD8540264B6E}"/>
    <cellStyle name="Calculation 2 3 2 15" xfId="45110" xr:uid="{8F713696-3C88-4BBE-99B5-5B5D577E8666}"/>
    <cellStyle name="Calculation 2 3 2 2" xfId="3101" xr:uid="{ACB001E3-07CA-4F25-84A8-DC9070645AC9}"/>
    <cellStyle name="Calculation 2 3 2 2 2" xfId="3102" xr:uid="{61AD051B-2604-4D98-84D2-851574B75575}"/>
    <cellStyle name="Calculation 2 3 2 2 2 2" xfId="25441" xr:uid="{5E25433A-B532-4EC3-9378-98AC63C7AF32}"/>
    <cellStyle name="Calculation 2 3 2 2 2 3" xfId="25442" xr:uid="{E7A0DE71-41FC-46D6-8904-A86F9FB5E257}"/>
    <cellStyle name="Calculation 2 3 2 2 3" xfId="3103" xr:uid="{2BB857B0-F169-499B-93D9-702DBA44090D}"/>
    <cellStyle name="Calculation 2 3 2 2 3 2" xfId="3104" xr:uid="{8380790D-EFB1-48FE-A5F2-44009DC830D1}"/>
    <cellStyle name="Calculation 2 3 2 2 4" xfId="3105" xr:uid="{7696510D-4248-4131-B66A-77C1D9C99F4A}"/>
    <cellStyle name="Calculation 2 3 2 2 4 2" xfId="25443" xr:uid="{39A57DB1-8ED4-4214-BE83-AFB3A947AD29}"/>
    <cellStyle name="Calculation 2 3 2 2 5" xfId="25444" xr:uid="{43FDCD1A-C166-4D31-A116-6F69C73EE3F2}"/>
    <cellStyle name="Calculation 2 3 2 2 6" xfId="25445" xr:uid="{A494877B-D307-472A-9D0C-ADEADC3793A5}"/>
    <cellStyle name="Calculation 2 3 2 2 7" xfId="25446" xr:uid="{450FBE2C-301B-41E5-838E-0A8FA9ECA35D}"/>
    <cellStyle name="Calculation 2 3 2 2 8" xfId="25447" xr:uid="{EA68F982-9655-40EE-8FB3-64ECFFBE9DC0}"/>
    <cellStyle name="Calculation 2 3 2 3" xfId="3106" xr:uid="{EFE4C01E-D03D-4675-BFCC-7DDC0BAEB5B6}"/>
    <cellStyle name="Calculation 2 3 2 3 2" xfId="3107" xr:uid="{7AE13B42-5004-43F3-9C68-F91E43F79DA7}"/>
    <cellStyle name="Calculation 2 3 2 3 3" xfId="25448" xr:uid="{82026445-BC2B-48AD-B4ED-3BC207E9832A}"/>
    <cellStyle name="Calculation 2 3 2 4" xfId="3108" xr:uid="{E96AB37D-A3AF-430A-A337-91AA3D417F7B}"/>
    <cellStyle name="Calculation 2 3 2 4 2" xfId="3109" xr:uid="{4A82EDCA-4AC0-457F-BD8C-E3F5B61D4C85}"/>
    <cellStyle name="Calculation 2 3 2 4 3" xfId="25449" xr:uid="{CEAEB70C-0F0A-4B22-849E-FF9961742429}"/>
    <cellStyle name="Calculation 2 3 2 5" xfId="3110" xr:uid="{0E7F41BB-B4E6-4CA9-85CD-9DC26C48594D}"/>
    <cellStyle name="Calculation 2 3 2 5 2" xfId="3111" xr:uid="{147E151A-5D1E-407B-BF56-CE9306BC36A4}"/>
    <cellStyle name="Calculation 2 3 2 5 3" xfId="25450" xr:uid="{CCCA271C-6FAC-43BD-BB0A-EABB34C5D7E4}"/>
    <cellStyle name="Calculation 2 3 2 6" xfId="3112" xr:uid="{2FD9EC29-305F-4E06-8873-91529056B295}"/>
    <cellStyle name="Calculation 2 3 2 6 2" xfId="3113" xr:uid="{1B28BE3E-9294-4D4B-A657-780DA86E8EC5}"/>
    <cellStyle name="Calculation 2 3 2 6 3" xfId="25451" xr:uid="{1E47AFDB-405B-4E14-B165-FF67B0D5382A}"/>
    <cellStyle name="Calculation 2 3 2 7" xfId="3114" xr:uid="{645AE13F-FEF4-48B0-99F3-2EC86BD7DEBC}"/>
    <cellStyle name="Calculation 2 3 2 7 2" xfId="3115" xr:uid="{AF79AC56-AC73-49E3-BDC5-777FA36C4166}"/>
    <cellStyle name="Calculation 2 3 2 7 3" xfId="25452" xr:uid="{121480B5-B127-4DDC-8354-036297D0F62E}"/>
    <cellStyle name="Calculation 2 3 2 8" xfId="3116" xr:uid="{5993F33F-0DF4-42EF-BF9A-671D24BE6C45}"/>
    <cellStyle name="Calculation 2 3 2 8 2" xfId="3117" xr:uid="{0D8A75ED-E027-4FCD-851C-838C57D0A2BA}"/>
    <cellStyle name="Calculation 2 3 2 8 3" xfId="25453" xr:uid="{374B3ABC-44C4-4A58-A92E-128984E46899}"/>
    <cellStyle name="Calculation 2 3 2 9" xfId="3118" xr:uid="{3B6996F1-B11A-411B-8AD9-717B32E56D26}"/>
    <cellStyle name="Calculation 2 3 2 9 2" xfId="25454" xr:uid="{9BD9026B-1044-4798-9095-CC559E09D7F6}"/>
    <cellStyle name="Calculation 2 3 2 9 3" xfId="25455" xr:uid="{869F0C45-BD4E-4283-9024-F3AA0039C697}"/>
    <cellStyle name="Calculation 2 3 20" xfId="45440" xr:uid="{702FF262-B6A8-45CD-8B43-CA93814CF3E5}"/>
    <cellStyle name="Calculation 2 3 3" xfId="3119" xr:uid="{5BB0F5DC-1DCA-4500-AFED-0E0AAC82B424}"/>
    <cellStyle name="Calculation 2 3 3 2" xfId="3120" xr:uid="{DB2E31D1-72E4-4F71-BEE9-A0D7CA19B756}"/>
    <cellStyle name="Calculation 2 3 3 2 2" xfId="25456" xr:uid="{99CF7513-59F6-4D38-90DB-7DAE41352E34}"/>
    <cellStyle name="Calculation 2 3 3 2 3" xfId="25457" xr:uid="{844722BE-39F9-4E7C-B0C4-BAB9EAF2B927}"/>
    <cellStyle name="Calculation 2 3 3 3" xfId="3121" xr:uid="{BEC4EBAF-FE2F-41FD-A5F7-E0423913C3A6}"/>
    <cellStyle name="Calculation 2 3 3 4" xfId="3122" xr:uid="{30B1674C-E38F-45F3-B1A8-545F8A37DEAF}"/>
    <cellStyle name="Calculation 2 3 4" xfId="3123" xr:uid="{313A8A33-8744-40CE-8BC7-CB64AE3E546A}"/>
    <cellStyle name="Calculation 2 3 4 2" xfId="3124" xr:uid="{F7014EAB-8CDF-4B4F-A886-6C613F57EBC1}"/>
    <cellStyle name="Calculation 2 3 4 3" xfId="25458" xr:uid="{F0F51960-0F01-496C-8B65-C9A4BC3E15D4}"/>
    <cellStyle name="Calculation 2 3 5" xfId="3125" xr:uid="{98F4D7E2-B40F-4183-B4F4-1A847E67A9C2}"/>
    <cellStyle name="Calculation 2 3 5 2" xfId="3126" xr:uid="{0DF9C9F4-ACE2-4B1A-AF20-D6D755C4B2C3}"/>
    <cellStyle name="Calculation 2 3 5 3" xfId="25459" xr:uid="{CB5DEFBF-D35B-4267-81DB-97C28E730A5D}"/>
    <cellStyle name="Calculation 2 3 6" xfId="3127" xr:uid="{A3F7C736-4D72-4251-A055-D57398AF923B}"/>
    <cellStyle name="Calculation 2 3 6 2" xfId="3128" xr:uid="{2BF54E18-CAB6-4586-88A7-7FDF0E4225DF}"/>
    <cellStyle name="Calculation 2 3 6 3" xfId="25460" xr:uid="{C8832CE0-2B8D-4859-A633-264651EBFDC4}"/>
    <cellStyle name="Calculation 2 3 7" xfId="3129" xr:uid="{293F80E1-AE00-4539-BAE4-920568CD7CB8}"/>
    <cellStyle name="Calculation 2 3 7 2" xfId="3130" xr:uid="{87DCAD6E-8E5B-4E48-B082-F7B2DF44F5CF}"/>
    <cellStyle name="Calculation 2 3 7 3" xfId="25461" xr:uid="{0B8D64D0-4EF0-42CF-A992-BD1342C6689B}"/>
    <cellStyle name="Calculation 2 3 8" xfId="3131" xr:uid="{8B6BEECC-51EF-4272-A7D1-6A2E8D98C5AC}"/>
    <cellStyle name="Calculation 2 3 8 2" xfId="3132" xr:uid="{98FD9F8A-EC78-483B-B2E5-F8B5D3CFB793}"/>
    <cellStyle name="Calculation 2 3 8 3" xfId="25462" xr:uid="{A6EBDBEE-E1CB-46B1-AC94-507A3DC1D080}"/>
    <cellStyle name="Calculation 2 3 9" xfId="3133" xr:uid="{31A98128-8FA7-4794-97C0-3031D6EEC851}"/>
    <cellStyle name="Calculation 2 3 9 2" xfId="3134" xr:uid="{CADB2F61-C8DB-448C-8EDA-AB7DEAC121AF}"/>
    <cellStyle name="Calculation 2 3 9 3" xfId="25463" xr:uid="{9B73BF83-8929-440B-9FEB-6D3215DC8A40}"/>
    <cellStyle name="Calculation 2 30" xfId="45424" xr:uid="{16DEC3D8-EE2E-40A7-A4F7-86C6740A800B}"/>
    <cellStyle name="Calculation 2 4" xfId="3135" xr:uid="{F94FEEE0-871E-4541-8CB6-A0A999112378}"/>
    <cellStyle name="Calculation 2 4 10" xfId="3136" xr:uid="{2379E150-2B01-4EF0-97FB-8052EF21A9D5}"/>
    <cellStyle name="Calculation 2 4 10 2" xfId="25464" xr:uid="{E9A2DF9B-2144-4402-9B4A-BED10228D846}"/>
    <cellStyle name="Calculation 2 4 10 3" xfId="25465" xr:uid="{7CA34461-8DE9-465E-9992-D1E00B2A2545}"/>
    <cellStyle name="Calculation 2 4 11" xfId="3137" xr:uid="{221C2DAD-145F-4AA2-8A97-5658CA15E617}"/>
    <cellStyle name="Calculation 2 4 11 2" xfId="25466" xr:uid="{BE8515CA-FCD5-426D-9943-C2AB02B3CB31}"/>
    <cellStyle name="Calculation 2 4 12" xfId="25467" xr:uid="{D3F31E93-F4C5-45F8-A8DB-262A642656D4}"/>
    <cellStyle name="Calculation 2 4 13" xfId="25468" xr:uid="{B77A2E25-1E00-4B65-A745-11DDE27EBEC4}"/>
    <cellStyle name="Calculation 2 4 14" xfId="25469" xr:uid="{0804CE61-4C53-4C93-85AA-3D9DB2E9BBF9}"/>
    <cellStyle name="Calculation 2 4 15" xfId="42352" xr:uid="{CA700AE2-36E0-470F-BB0D-1DEF184E3603}"/>
    <cellStyle name="Calculation 2 4 16" xfId="42876" xr:uid="{5D27F4F9-B339-4FAC-8096-60ADCA8AB7DF}"/>
    <cellStyle name="Calculation 2 4 17" xfId="43509" xr:uid="{111E3B25-F00C-4363-BADC-7AD8C05822F7}"/>
    <cellStyle name="Calculation 2 4 18" xfId="44485" xr:uid="{81F357C9-8BD3-4955-A2F0-1CF8F56BB0C2}"/>
    <cellStyle name="Calculation 2 4 19" xfId="45286" xr:uid="{F7784A90-F36F-493D-A3BB-B40DD92D7D7B}"/>
    <cellStyle name="Calculation 2 4 2" xfId="3138" xr:uid="{7A1A940C-34F8-48A0-9D5F-F2F79BA6ECE6}"/>
    <cellStyle name="Calculation 2 4 2 10" xfId="3139" xr:uid="{53FDE616-5B6D-4C30-9424-40128D1A38A5}"/>
    <cellStyle name="Calculation 2 4 2 10 2" xfId="25470" xr:uid="{D8E87197-A780-46B4-A12A-3A47689E660F}"/>
    <cellStyle name="Calculation 2 4 2 11" xfId="25471" xr:uid="{A118DA95-C6ED-4E88-915C-956ACAAD7346}"/>
    <cellStyle name="Calculation 2 4 2 12" xfId="25472" xr:uid="{5832E019-7114-4168-9CF0-97E48B61A8D0}"/>
    <cellStyle name="Calculation 2 4 2 13" xfId="44697" xr:uid="{32F0CEE7-75EC-4117-ABD0-F3646FAD57E9}"/>
    <cellStyle name="Calculation 2 4 2 14" xfId="44322" xr:uid="{89313FA0-2BCF-443B-8265-811B4FA69F96}"/>
    <cellStyle name="Calculation 2 4 2 15" xfId="44028" xr:uid="{CF519820-D76A-4085-AEF3-DE8423F1A7A6}"/>
    <cellStyle name="Calculation 2 4 2 2" xfId="3140" xr:uid="{A8B912A4-9E9F-409F-A3AA-BAFBA460514A}"/>
    <cellStyle name="Calculation 2 4 2 2 2" xfId="3141" xr:uid="{03B8E977-6066-4E26-A9F1-291044FFDE9A}"/>
    <cellStyle name="Calculation 2 4 2 2 2 2" xfId="25473" xr:uid="{FEF8173C-6827-42E2-8868-884966E76676}"/>
    <cellStyle name="Calculation 2 4 2 2 2 3" xfId="25474" xr:uid="{7443B6FA-96C0-45A0-93AE-DE1D33F179EC}"/>
    <cellStyle name="Calculation 2 4 2 2 3" xfId="3142" xr:uid="{0CC9C867-62F3-4D64-92F2-A1BCDD74FB35}"/>
    <cellStyle name="Calculation 2 4 2 2 3 2" xfId="3143" xr:uid="{60340513-6D63-42D7-AE64-5A413A8E9783}"/>
    <cellStyle name="Calculation 2 4 2 2 4" xfId="3144" xr:uid="{2622DE5D-1752-4847-A8A6-5306230017E1}"/>
    <cellStyle name="Calculation 2 4 2 2 4 2" xfId="25475" xr:uid="{F20BA5DC-B431-4DFF-85AD-F1FB805897B5}"/>
    <cellStyle name="Calculation 2 4 2 2 5" xfId="25476" xr:uid="{994EEB8B-9726-4A5A-B3AC-AA1705B5D688}"/>
    <cellStyle name="Calculation 2 4 2 2 6" xfId="25477" xr:uid="{11CDF7BD-0CFC-4F6E-9C6C-68015C772CE1}"/>
    <cellStyle name="Calculation 2 4 2 2 7" xfId="25478" xr:uid="{BD584F48-FC1D-4CB3-824A-7D89EE4BE048}"/>
    <cellStyle name="Calculation 2 4 2 2 8" xfId="25479" xr:uid="{EA5AA091-36FB-4730-B05B-1F0CDCAA7B0F}"/>
    <cellStyle name="Calculation 2 4 2 3" xfId="3145" xr:uid="{F29E2CF4-4A01-4F5F-81DE-83AF268B672A}"/>
    <cellStyle name="Calculation 2 4 2 3 2" xfId="3146" xr:uid="{7DF62DEA-7159-4A76-A86A-F59410B8850E}"/>
    <cellStyle name="Calculation 2 4 2 3 3" xfId="25480" xr:uid="{C999F930-3782-4B3E-8B2F-8B26B0022C1C}"/>
    <cellStyle name="Calculation 2 4 2 4" xfId="3147" xr:uid="{84EDD73A-7BAB-4F13-A7D4-5538A916C152}"/>
    <cellStyle name="Calculation 2 4 2 4 2" xfId="3148" xr:uid="{C62A3693-22BF-435C-8254-D88BAAAFB7AA}"/>
    <cellStyle name="Calculation 2 4 2 4 3" xfId="25481" xr:uid="{AA8785E1-A360-4B6C-A5AA-99301454BE6A}"/>
    <cellStyle name="Calculation 2 4 2 5" xfId="3149" xr:uid="{54F016A7-E91D-49E7-A16A-3F10A07BEAA2}"/>
    <cellStyle name="Calculation 2 4 2 5 2" xfId="3150" xr:uid="{AC898E95-B47E-4BD6-873D-085D071C87FA}"/>
    <cellStyle name="Calculation 2 4 2 5 3" xfId="25482" xr:uid="{50C6C875-F9DE-4D0D-A9B1-3137ADED3DAB}"/>
    <cellStyle name="Calculation 2 4 2 6" xfId="3151" xr:uid="{AFD42CD7-B5D2-4578-A08D-A61E76D87C2E}"/>
    <cellStyle name="Calculation 2 4 2 6 2" xfId="3152" xr:uid="{8797AC7B-1923-436F-8F91-5C2A7FB52DD2}"/>
    <cellStyle name="Calculation 2 4 2 6 3" xfId="25483" xr:uid="{95FFF98B-52E9-4D5E-AA43-0037A25834E0}"/>
    <cellStyle name="Calculation 2 4 2 7" xfId="3153" xr:uid="{636F5219-A4A0-4E12-8FFD-0B0BAC10BE5B}"/>
    <cellStyle name="Calculation 2 4 2 7 2" xfId="3154" xr:uid="{B9903859-2DA0-45EA-B95A-D9D7E15BDEB1}"/>
    <cellStyle name="Calculation 2 4 2 7 3" xfId="25484" xr:uid="{288121E3-209B-459C-82BC-9CD2C9AD3AEC}"/>
    <cellStyle name="Calculation 2 4 2 8" xfId="3155" xr:uid="{4584707E-22E4-40EF-92D3-2A6629300EFD}"/>
    <cellStyle name="Calculation 2 4 2 8 2" xfId="3156" xr:uid="{B6369A7D-8C9D-43B7-8F65-4E0E82D5389E}"/>
    <cellStyle name="Calculation 2 4 2 8 3" xfId="25485" xr:uid="{0146F6C6-4E67-4FE4-B076-64F67B1ADD82}"/>
    <cellStyle name="Calculation 2 4 2 9" xfId="3157" xr:uid="{64C44477-62AB-42DF-A05D-9F01665648D3}"/>
    <cellStyle name="Calculation 2 4 2 9 2" xfId="25486" xr:uid="{49ABFF6A-A7A3-4369-8E2D-59B45B6EFB55}"/>
    <cellStyle name="Calculation 2 4 2 9 3" xfId="25487" xr:uid="{5E7B899A-7EC4-472F-99E4-84E476F5D8F3}"/>
    <cellStyle name="Calculation 2 4 20" xfId="45527" xr:uid="{3B525959-5E68-47F0-BE46-23EFBFD2A7FF}"/>
    <cellStyle name="Calculation 2 4 3" xfId="3158" xr:uid="{2D84C983-D5F1-4B1F-AE66-882A15CBD1D6}"/>
    <cellStyle name="Calculation 2 4 3 2" xfId="3159" xr:uid="{DB4B32A6-4F41-49FD-BB81-F69CF71FD119}"/>
    <cellStyle name="Calculation 2 4 3 3" xfId="3160" xr:uid="{DB643903-8818-4DB3-BB4F-9A61F9E8A6E8}"/>
    <cellStyle name="Calculation 2 4 3 4" xfId="3161" xr:uid="{1B1C6143-6429-4152-A369-B7737B004391}"/>
    <cellStyle name="Calculation 2 4 4" xfId="3162" xr:uid="{342ED242-E594-4E07-ABAE-2B604958A1C7}"/>
    <cellStyle name="Calculation 2 4 4 2" xfId="3163" xr:uid="{5D35AB9E-0151-4CE7-A48C-D630F8E43FAF}"/>
    <cellStyle name="Calculation 2 4 4 3" xfId="25488" xr:uid="{56B00BD2-E649-4BB6-B019-1A52708FB9E2}"/>
    <cellStyle name="Calculation 2 4 5" xfId="3164" xr:uid="{ABD66A78-297F-489C-AA05-EB4A275AA035}"/>
    <cellStyle name="Calculation 2 4 5 2" xfId="3165" xr:uid="{AA52A7D6-97F8-40C8-B54C-68AE013EB030}"/>
    <cellStyle name="Calculation 2 4 5 3" xfId="25489" xr:uid="{2E39EC55-C89C-4540-88F8-CD4F14B4D399}"/>
    <cellStyle name="Calculation 2 4 6" xfId="3166" xr:uid="{4DE47DDC-5A92-44EF-8A46-36531A5CD5DB}"/>
    <cellStyle name="Calculation 2 4 6 2" xfId="3167" xr:uid="{39E22C81-9E8F-43C0-A923-12E5105D03A1}"/>
    <cellStyle name="Calculation 2 4 6 3" xfId="25490" xr:uid="{D2C239E0-8602-4C51-8407-2C3835A3A342}"/>
    <cellStyle name="Calculation 2 4 7" xfId="3168" xr:uid="{BA309358-45E9-4B94-A1CF-95AB365A5EA4}"/>
    <cellStyle name="Calculation 2 4 7 2" xfId="3169" xr:uid="{EDE8D1EB-64C2-4A10-960A-BD7B8EBCC0C0}"/>
    <cellStyle name="Calculation 2 4 7 3" xfId="25491" xr:uid="{67B2FF64-D8BA-4A70-86AA-1C44986D3765}"/>
    <cellStyle name="Calculation 2 4 8" xfId="3170" xr:uid="{7F66585D-AEC7-4948-A0A0-0C90C9150017}"/>
    <cellStyle name="Calculation 2 4 8 2" xfId="3171" xr:uid="{3CFD6BA8-5FE8-4766-9620-2012C2D292DA}"/>
    <cellStyle name="Calculation 2 4 8 3" xfId="25492" xr:uid="{F3E015B2-ABA2-4FF3-8155-61B258395BB6}"/>
    <cellStyle name="Calculation 2 4 9" xfId="3172" xr:uid="{3D1E1CE7-8BE3-4CED-BCB9-577523E285D5}"/>
    <cellStyle name="Calculation 2 4 9 2" xfId="3173" xr:uid="{13687531-2E39-4D1F-BAE1-6B48C5E30CCF}"/>
    <cellStyle name="Calculation 2 4 9 3" xfId="25493" xr:uid="{FF72F720-E074-43DB-A388-899E6477CAC4}"/>
    <cellStyle name="Calculation 2 5" xfId="3174" xr:uid="{BE5B6E15-BF5A-4EC8-910C-98F57E3F6FB8}"/>
    <cellStyle name="Calculation 2 5 10" xfId="3175" xr:uid="{93FF0EB2-AE30-40BC-B934-0F88B265AE1B}"/>
    <cellStyle name="Calculation 2 5 10 2" xfId="25494" xr:uid="{EAC093F5-A39E-4C55-9F2A-C11F84CA58FC}"/>
    <cellStyle name="Calculation 2 5 10 3" xfId="25495" xr:uid="{481DF4C2-E973-45BA-A578-54F0E54E362B}"/>
    <cellStyle name="Calculation 2 5 11" xfId="3176" xr:uid="{86F982C6-2422-4980-BF45-2A50FA86C885}"/>
    <cellStyle name="Calculation 2 5 11 2" xfId="25496" xr:uid="{91CBCA7C-E5B7-4621-9315-522F165BE112}"/>
    <cellStyle name="Calculation 2 5 12" xfId="25497" xr:uid="{27AF4080-0011-4E65-911B-271B942E0A0C}"/>
    <cellStyle name="Calculation 2 5 13" xfId="25498" xr:uid="{16D353E0-826A-4A16-B930-5668F152BB94}"/>
    <cellStyle name="Calculation 2 5 14" xfId="25499" xr:uid="{1592A618-2054-409E-A4DF-AEED37D6F957}"/>
    <cellStyle name="Calculation 2 5 15" xfId="42353" xr:uid="{3171707A-DE7B-41F2-B07A-1440DBC74F00}"/>
    <cellStyle name="Calculation 2 5 16" xfId="42875" xr:uid="{215E6AAF-2F30-4287-9149-559F4E4A9022}"/>
    <cellStyle name="Calculation 2 5 17" xfId="43510" xr:uid="{15B375CC-05A3-4EEB-BBB9-C443479DAA16}"/>
    <cellStyle name="Calculation 2 5 18" xfId="44626" xr:uid="{41F544C1-F540-427D-9A49-8F3BA2A00285}"/>
    <cellStyle name="Calculation 2 5 19" xfId="45263" xr:uid="{9611F3C2-B8AF-4FE9-B93A-13633D61EB35}"/>
    <cellStyle name="Calculation 2 5 2" xfId="3177" xr:uid="{BE35A4E4-B4FF-44CF-8B60-06AF599ECE0C}"/>
    <cellStyle name="Calculation 2 5 2 10" xfId="3178" xr:uid="{CD18177F-8FC4-49B4-B3AF-99A0BF10B494}"/>
    <cellStyle name="Calculation 2 5 2 10 2" xfId="25500" xr:uid="{5ED54D18-99D6-4BAE-B5F8-29933C8122D7}"/>
    <cellStyle name="Calculation 2 5 2 11" xfId="25501" xr:uid="{3D984A34-128D-4CC8-8722-3CCB75DAD164}"/>
    <cellStyle name="Calculation 2 5 2 12" xfId="25502" xr:uid="{14AC6F63-A3A3-471D-A15F-42D10A395C72}"/>
    <cellStyle name="Calculation 2 5 2 2" xfId="3179" xr:uid="{26543FA8-390C-4164-A8C5-140C202B5754}"/>
    <cellStyle name="Calculation 2 5 2 2 2" xfId="3180" xr:uid="{8EF1137F-582A-43BB-B2DD-AF43FCE249DC}"/>
    <cellStyle name="Calculation 2 5 2 2 2 2" xfId="25503" xr:uid="{1CAA3DB2-5FCF-4EEB-BE03-7462C34ED8F0}"/>
    <cellStyle name="Calculation 2 5 2 2 2 3" xfId="25504" xr:uid="{A52DBB93-461C-4E16-91B4-9F929AB31AA3}"/>
    <cellStyle name="Calculation 2 5 2 2 3" xfId="3181" xr:uid="{B63635C7-9480-4015-991F-1F74F56A61A6}"/>
    <cellStyle name="Calculation 2 5 2 2 3 2" xfId="3182" xr:uid="{52477F3B-4BB6-4838-A34F-B54B795A271A}"/>
    <cellStyle name="Calculation 2 5 2 2 4" xfId="3183" xr:uid="{C2FBA4D2-19BB-430E-98BF-1A5099330368}"/>
    <cellStyle name="Calculation 2 5 2 2 4 2" xfId="25505" xr:uid="{C1C52D96-1200-4017-871F-2D276B1DF225}"/>
    <cellStyle name="Calculation 2 5 2 2 5" xfId="25506" xr:uid="{F4E103E0-8E41-40D4-B604-FA50D19AF3CA}"/>
    <cellStyle name="Calculation 2 5 2 2 6" xfId="25507" xr:uid="{62B676DC-0295-4246-8B95-60F70C1B9D6A}"/>
    <cellStyle name="Calculation 2 5 2 2 7" xfId="25508" xr:uid="{41A73BEC-72DD-4E2A-BC5D-4E76A56D4C0E}"/>
    <cellStyle name="Calculation 2 5 2 2 8" xfId="25509" xr:uid="{1D0AADC8-B8FE-40CE-87C7-C3CE3C671726}"/>
    <cellStyle name="Calculation 2 5 2 3" xfId="3184" xr:uid="{44B2B65A-5E1E-40A0-AF35-2BEFE98BFF56}"/>
    <cellStyle name="Calculation 2 5 2 3 2" xfId="3185" xr:uid="{28AF4758-43CB-4C81-9F67-E23FB1CDCB76}"/>
    <cellStyle name="Calculation 2 5 2 3 3" xfId="25510" xr:uid="{6CD8A863-152D-4A13-9A4D-D78D9BC4B91C}"/>
    <cellStyle name="Calculation 2 5 2 4" xfId="3186" xr:uid="{333A547F-475A-48F6-807D-6AAB3BCF914B}"/>
    <cellStyle name="Calculation 2 5 2 4 2" xfId="3187" xr:uid="{43BA9652-6F4E-47A5-8F39-54774639AF21}"/>
    <cellStyle name="Calculation 2 5 2 4 3" xfId="25511" xr:uid="{B4ACCEFE-4E74-4467-80C1-50C31F1B3026}"/>
    <cellStyle name="Calculation 2 5 2 5" xfId="3188" xr:uid="{1C813B63-1C4B-49D7-94CC-15C55268768E}"/>
    <cellStyle name="Calculation 2 5 2 5 2" xfId="3189" xr:uid="{7F60D927-8E24-4B82-889A-0844BA174BD5}"/>
    <cellStyle name="Calculation 2 5 2 5 3" xfId="25512" xr:uid="{EAAF213A-6AE4-4ED8-8803-C2F02DAE71BA}"/>
    <cellStyle name="Calculation 2 5 2 6" xfId="3190" xr:uid="{97B82AE1-691D-45E6-9EFD-ED0158EACC70}"/>
    <cellStyle name="Calculation 2 5 2 6 2" xfId="3191" xr:uid="{7FFDA201-8506-4C66-B1F7-EA8C119E1903}"/>
    <cellStyle name="Calculation 2 5 2 6 3" xfId="25513" xr:uid="{C806A7B0-88B3-4AD6-A47C-A3DC84BC59CB}"/>
    <cellStyle name="Calculation 2 5 2 7" xfId="3192" xr:uid="{4FE35F90-8F5A-4EF6-B7AF-B5F63DC84FA7}"/>
    <cellStyle name="Calculation 2 5 2 7 2" xfId="3193" xr:uid="{77E2B443-13CF-406F-B89D-4CB6F56896DE}"/>
    <cellStyle name="Calculation 2 5 2 7 3" xfId="25514" xr:uid="{B3295947-2FCD-423D-8B9B-7BDB667E7B56}"/>
    <cellStyle name="Calculation 2 5 2 8" xfId="3194" xr:uid="{4BEAFC72-5901-46BB-890F-E1D102A77760}"/>
    <cellStyle name="Calculation 2 5 2 8 2" xfId="3195" xr:uid="{51D68234-6933-4FA6-9368-13436A028867}"/>
    <cellStyle name="Calculation 2 5 2 8 3" xfId="25515" xr:uid="{2C9D3B73-4D30-4B43-A33F-4441D6D9E3B2}"/>
    <cellStyle name="Calculation 2 5 2 9" xfId="3196" xr:uid="{1E3C7B35-25BD-45A4-AC84-BBF5F7D9BB14}"/>
    <cellStyle name="Calculation 2 5 2 9 2" xfId="25516" xr:uid="{345C5E44-761A-43CC-97DF-32A9B8FDFDC7}"/>
    <cellStyle name="Calculation 2 5 2 9 3" xfId="25517" xr:uid="{5C2C05D1-8221-4183-9EC4-79A5BCADF68E}"/>
    <cellStyle name="Calculation 2 5 20" xfId="45512" xr:uid="{4DC1E0A1-62E2-401E-A421-346C53D2ADD1}"/>
    <cellStyle name="Calculation 2 5 3" xfId="3197" xr:uid="{7D6CCE37-0565-40CE-B317-62AC54148E35}"/>
    <cellStyle name="Calculation 2 5 3 2" xfId="3198" xr:uid="{5FB5CE28-D68B-4B0F-BF5E-B8D0C799AF96}"/>
    <cellStyle name="Calculation 2 5 3 3" xfId="3199" xr:uid="{08D9CF6B-DBAB-45F4-9C7E-2831746E9D52}"/>
    <cellStyle name="Calculation 2 5 3 4" xfId="3200" xr:uid="{6D28260E-4A9C-4A07-BF6B-F35062279DCA}"/>
    <cellStyle name="Calculation 2 5 4" xfId="3201" xr:uid="{8688E777-A659-467B-8B2C-62A2DA679B34}"/>
    <cellStyle name="Calculation 2 5 4 2" xfId="3202" xr:uid="{EB92B1A5-1F8D-4707-A118-8B77EAB16F17}"/>
    <cellStyle name="Calculation 2 5 4 3" xfId="25518" xr:uid="{C34364AC-F9D4-4299-8437-7F866CEF6EC3}"/>
    <cellStyle name="Calculation 2 5 5" xfId="3203" xr:uid="{E13BE4B3-7FAA-45BE-AA35-E017FD88A362}"/>
    <cellStyle name="Calculation 2 5 5 2" xfId="3204" xr:uid="{A6F4608A-2B3A-4C7E-95BB-0799583E4532}"/>
    <cellStyle name="Calculation 2 5 5 3" xfId="25519" xr:uid="{CAFF9EF1-941D-4FAE-86D5-077FF994C74B}"/>
    <cellStyle name="Calculation 2 5 6" xfId="3205" xr:uid="{AA7CD988-217D-4B83-90B1-6A841471E8BA}"/>
    <cellStyle name="Calculation 2 5 6 2" xfId="3206" xr:uid="{86CAD23D-CEA1-49E1-B57C-E466056BDCD4}"/>
    <cellStyle name="Calculation 2 5 6 3" xfId="25520" xr:uid="{F849AEA7-8FE1-418A-BDD0-5D6350E36A9A}"/>
    <cellStyle name="Calculation 2 5 7" xfId="3207" xr:uid="{0E02F006-3FE6-4DBA-9947-BA661AAFBC95}"/>
    <cellStyle name="Calculation 2 5 7 2" xfId="3208" xr:uid="{B46DBC56-FC7B-4B82-BB4B-112FEB9BCEFF}"/>
    <cellStyle name="Calculation 2 5 7 3" xfId="25521" xr:uid="{49AF43FF-7FD1-4F2F-B784-56FF5A110D94}"/>
    <cellStyle name="Calculation 2 5 8" xfId="3209" xr:uid="{B50BAF36-011D-4B74-AF00-87D8601885C2}"/>
    <cellStyle name="Calculation 2 5 8 2" xfId="3210" xr:uid="{17CC7A4D-91BA-402D-AF2C-3F54857F9A7C}"/>
    <cellStyle name="Calculation 2 5 8 3" xfId="25522" xr:uid="{A0E3868B-627F-4810-9493-A57AD75E8E42}"/>
    <cellStyle name="Calculation 2 5 9" xfId="3211" xr:uid="{41FC3DC4-C89B-4D25-AE8B-3131F1C0882A}"/>
    <cellStyle name="Calculation 2 5 9 2" xfId="3212" xr:uid="{1130673C-39E9-44B6-9213-41191C5C6CB8}"/>
    <cellStyle name="Calculation 2 5 9 3" xfId="25523" xr:uid="{BBF39B75-8F87-4223-9679-932D14A745D1}"/>
    <cellStyle name="Calculation 2 6" xfId="3213" xr:uid="{E62DE226-C0DC-49B1-8E9C-A7B73EB2E3AA}"/>
    <cellStyle name="Calculation 2 6 10" xfId="3214" xr:uid="{9A81C6C9-7103-414A-8A9C-4998125CCDFD}"/>
    <cellStyle name="Calculation 2 6 10 2" xfId="25524" xr:uid="{26FF8E0D-E581-4D12-8318-146EB4007414}"/>
    <cellStyle name="Calculation 2 6 10 3" xfId="25525" xr:uid="{1FDB0642-DBAA-4493-BD03-D7312AB16F11}"/>
    <cellStyle name="Calculation 2 6 11" xfId="3215" xr:uid="{A2F1A57F-70FA-495B-9B1E-9AECDD0FF140}"/>
    <cellStyle name="Calculation 2 6 11 2" xfId="25526" xr:uid="{17828DBF-CF73-420D-8199-EFC72D886CF7}"/>
    <cellStyle name="Calculation 2 6 12" xfId="25527" xr:uid="{B5F18045-F442-4C62-88A0-F3806716FA8E}"/>
    <cellStyle name="Calculation 2 6 13" xfId="25528" xr:uid="{38E33007-D47E-4151-BA89-246FFB1B623A}"/>
    <cellStyle name="Calculation 2 6 14" xfId="25529" xr:uid="{96A3B0B3-53D9-4440-8284-0AC20FCAAF2E}"/>
    <cellStyle name="Calculation 2 6 15" xfId="42354" xr:uid="{B7E51517-8947-453F-A602-1B9B508CBE3E}"/>
    <cellStyle name="Calculation 2 6 16" xfId="42874" xr:uid="{F6B7E10A-7307-4404-B701-317E7DAF97A3}"/>
    <cellStyle name="Calculation 2 6 17" xfId="43511" xr:uid="{45488EB5-9382-4529-B740-7B6444B0CA09}"/>
    <cellStyle name="Calculation 2 6 2" xfId="3216" xr:uid="{C175F1FF-DDD8-480D-AB73-606247103F6D}"/>
    <cellStyle name="Calculation 2 6 2 10" xfId="3217" xr:uid="{D2927D08-466E-42C2-B5B8-E216D6FC4986}"/>
    <cellStyle name="Calculation 2 6 2 10 2" xfId="25530" xr:uid="{F41AF0A8-D59E-45CF-85B6-A4CA84ED5DE9}"/>
    <cellStyle name="Calculation 2 6 2 11" xfId="25531" xr:uid="{C3F008A4-943D-47BB-9FE1-B5A344A65436}"/>
    <cellStyle name="Calculation 2 6 2 12" xfId="25532" xr:uid="{961CDEDC-6DBE-44D5-8D17-5BAB4731496E}"/>
    <cellStyle name="Calculation 2 6 2 2" xfId="3218" xr:uid="{85789B9E-0474-496B-8C5D-0C069E4DF967}"/>
    <cellStyle name="Calculation 2 6 2 2 2" xfId="3219" xr:uid="{8B194D8F-8455-41CD-AE3E-38DA4405DF30}"/>
    <cellStyle name="Calculation 2 6 2 2 2 2" xfId="25533" xr:uid="{7BCC4033-11A2-413D-A481-E42B2E136A1E}"/>
    <cellStyle name="Calculation 2 6 2 2 2 3" xfId="25534" xr:uid="{8B840C73-0255-443D-96D7-10910F3CD1F5}"/>
    <cellStyle name="Calculation 2 6 2 2 3" xfId="3220" xr:uid="{65D19426-06E1-4BA2-958A-A693B29424CD}"/>
    <cellStyle name="Calculation 2 6 2 2 3 2" xfId="3221" xr:uid="{5EFF8BF5-7038-417E-BF5B-165183CC0434}"/>
    <cellStyle name="Calculation 2 6 2 2 4" xfId="3222" xr:uid="{A47CAA29-83AE-4A41-ABE5-B54CE33A2962}"/>
    <cellStyle name="Calculation 2 6 2 2 4 2" xfId="25535" xr:uid="{E5B52396-0AD1-45AD-8927-8BB8845068D6}"/>
    <cellStyle name="Calculation 2 6 2 2 5" xfId="25536" xr:uid="{36F0F7C9-42A4-4FA1-BCC0-8F5EA120B28B}"/>
    <cellStyle name="Calculation 2 6 2 2 6" xfId="25537" xr:uid="{31A9EAC1-A457-463B-BE30-7A7764977414}"/>
    <cellStyle name="Calculation 2 6 2 2 7" xfId="25538" xr:uid="{5D96F7D6-C03C-42D9-B7AF-85B62B46779C}"/>
    <cellStyle name="Calculation 2 6 2 2 8" xfId="25539" xr:uid="{D0171EC4-3ACD-471E-8FFC-E82BA0EFE8B1}"/>
    <cellStyle name="Calculation 2 6 2 3" xfId="3223" xr:uid="{8A7CE91D-CA53-4854-9DD1-2102D78B2613}"/>
    <cellStyle name="Calculation 2 6 2 3 2" xfId="3224" xr:uid="{770173D7-501C-400C-A476-C74359351D34}"/>
    <cellStyle name="Calculation 2 6 2 3 3" xfId="25540" xr:uid="{45C1E75B-D4D5-49F7-AB06-A5AB5BDD1206}"/>
    <cellStyle name="Calculation 2 6 2 4" xfId="3225" xr:uid="{6BBACB5E-97F2-4099-88BA-B951EDF9D408}"/>
    <cellStyle name="Calculation 2 6 2 4 2" xfId="3226" xr:uid="{C60057C9-9A5E-4F0D-863D-FF0F54B4EA76}"/>
    <cellStyle name="Calculation 2 6 2 4 3" xfId="25541" xr:uid="{6794A4EA-4128-4DF8-9942-FFE81C536D8C}"/>
    <cellStyle name="Calculation 2 6 2 5" xfId="3227" xr:uid="{EAF15762-7922-4273-AFEE-176B65B732AB}"/>
    <cellStyle name="Calculation 2 6 2 5 2" xfId="3228" xr:uid="{5FCF281F-03B3-4779-B2FF-65C92508EC33}"/>
    <cellStyle name="Calculation 2 6 2 5 3" xfId="25542" xr:uid="{0880E9FC-16C6-4FF1-AE12-C8D53ED981CC}"/>
    <cellStyle name="Calculation 2 6 2 6" xfId="3229" xr:uid="{B69B8FB6-7143-4DBB-B5DA-54DAD83C99B9}"/>
    <cellStyle name="Calculation 2 6 2 6 2" xfId="3230" xr:uid="{17A355C8-0C9D-4079-B9C1-F7F25265E6A3}"/>
    <cellStyle name="Calculation 2 6 2 6 3" xfId="25543" xr:uid="{C210B7BD-8855-4CC6-BB90-DC33AABE1F40}"/>
    <cellStyle name="Calculation 2 6 2 7" xfId="3231" xr:uid="{89A56038-8E84-4630-960C-06DB04279AA6}"/>
    <cellStyle name="Calculation 2 6 2 7 2" xfId="3232" xr:uid="{027A57F4-73DB-48F5-B90A-E1F800F27372}"/>
    <cellStyle name="Calculation 2 6 2 7 3" xfId="25544" xr:uid="{518E6305-8723-43E9-84F7-12BBD27433EF}"/>
    <cellStyle name="Calculation 2 6 2 8" xfId="3233" xr:uid="{990317B5-773A-4615-A225-48375BCFA4BF}"/>
    <cellStyle name="Calculation 2 6 2 8 2" xfId="3234" xr:uid="{07902A61-4FAD-442F-89C3-5FEFD0BAB386}"/>
    <cellStyle name="Calculation 2 6 2 8 3" xfId="25545" xr:uid="{35DFF4FD-6A65-408A-846A-D468006FE74F}"/>
    <cellStyle name="Calculation 2 6 2 9" xfId="3235" xr:uid="{B8E87991-8538-4252-BED3-0362BA2BD561}"/>
    <cellStyle name="Calculation 2 6 2 9 2" xfId="25546" xr:uid="{B7CC533A-A90D-4783-AA15-5EDD7F5593F5}"/>
    <cellStyle name="Calculation 2 6 2 9 3" xfId="25547" xr:uid="{19153831-7897-4404-96E3-AAFB1D36517F}"/>
    <cellStyle name="Calculation 2 6 3" xfId="3236" xr:uid="{50E813AF-F4F0-412F-A497-A8E31A913FCF}"/>
    <cellStyle name="Calculation 2 6 3 2" xfId="3237" xr:uid="{2BB7191F-3C83-48A9-877E-2D29FE066602}"/>
    <cellStyle name="Calculation 2 6 3 3" xfId="3238" xr:uid="{CA350DEB-962E-45DD-8284-7EC897763AA4}"/>
    <cellStyle name="Calculation 2 6 3 4" xfId="3239" xr:uid="{84731E17-0461-4BCB-B873-521E78A63FC5}"/>
    <cellStyle name="Calculation 2 6 4" xfId="3240" xr:uid="{1917BEB6-5EA1-4F0F-98DF-6A80CB20EB63}"/>
    <cellStyle name="Calculation 2 6 4 2" xfId="3241" xr:uid="{DA1B2BD7-FB1A-457C-8CF9-74A286D6602F}"/>
    <cellStyle name="Calculation 2 6 4 3" xfId="25548" xr:uid="{39B99636-9584-4440-BC83-5815D8893A94}"/>
    <cellStyle name="Calculation 2 6 5" xfId="3242" xr:uid="{D44D6735-A2F3-4976-9D69-81B75D0F0DBA}"/>
    <cellStyle name="Calculation 2 6 5 2" xfId="3243" xr:uid="{8C3FF518-C620-425E-9ED7-707DA011F08C}"/>
    <cellStyle name="Calculation 2 6 5 3" xfId="25549" xr:uid="{4522A7A7-6C01-4694-825F-28A15AA27638}"/>
    <cellStyle name="Calculation 2 6 6" xfId="3244" xr:uid="{0B7B3979-0C82-473B-8E47-32925F29B9FF}"/>
    <cellStyle name="Calculation 2 6 6 2" xfId="3245" xr:uid="{FB1AABB9-F12B-45CB-8A4D-463257CB62C9}"/>
    <cellStyle name="Calculation 2 6 6 3" xfId="25550" xr:uid="{9AC480A9-744F-4DCA-8EC2-3D50E3447B54}"/>
    <cellStyle name="Calculation 2 6 7" xfId="3246" xr:uid="{20525F08-E770-4170-B6E6-DF8841C5780A}"/>
    <cellStyle name="Calculation 2 6 7 2" xfId="3247" xr:uid="{7A6CC974-6959-4E4C-B6EE-65DABDF50E1F}"/>
    <cellStyle name="Calculation 2 6 7 3" xfId="25551" xr:uid="{454474E1-CCB6-4336-BEE7-4C5E9D8E70DB}"/>
    <cellStyle name="Calculation 2 6 8" xfId="3248" xr:uid="{29A699CF-B5C3-4FBC-A279-BE55B8E6BB0B}"/>
    <cellStyle name="Calculation 2 6 8 2" xfId="3249" xr:uid="{EDABACBD-6A20-473B-96CF-C36914A4AA05}"/>
    <cellStyle name="Calculation 2 6 8 3" xfId="25552" xr:uid="{775C5558-8690-48F5-A3B0-DF001C9ACE04}"/>
    <cellStyle name="Calculation 2 6 9" xfId="3250" xr:uid="{69BFE390-ABCF-4599-A35C-BEE2D6727370}"/>
    <cellStyle name="Calculation 2 6 9 2" xfId="3251" xr:uid="{F726F8BF-8018-42E6-BAD2-75E929DD1EEE}"/>
    <cellStyle name="Calculation 2 6 9 3" xfId="25553" xr:uid="{4262FF49-C2B6-48E3-BB90-95BAEECF3ABC}"/>
    <cellStyle name="Calculation 2 7" xfId="3252" xr:uid="{7AAF8D00-A278-446C-89A2-795E4ED5E3D6}"/>
    <cellStyle name="Calculation 2 7 10" xfId="3253" xr:uid="{670F661C-A950-4DF1-A1A0-BB226C6CDD42}"/>
    <cellStyle name="Calculation 2 7 10 2" xfId="25554" xr:uid="{B987CF06-BE43-411B-ADAD-5D7566A945F4}"/>
    <cellStyle name="Calculation 2 7 10 3" xfId="25555" xr:uid="{F9F600AD-2483-42ED-A091-B8B5F94EC3B4}"/>
    <cellStyle name="Calculation 2 7 11" xfId="3254" xr:uid="{A5BA4A2C-1D65-4193-97B0-6C762B29D355}"/>
    <cellStyle name="Calculation 2 7 11 2" xfId="25556" xr:uid="{5F6B1A20-1CDD-4498-9AC4-8C0D933B335C}"/>
    <cellStyle name="Calculation 2 7 12" xfId="25557" xr:uid="{EBDA499C-A75E-4198-A2D4-E20459E57A98}"/>
    <cellStyle name="Calculation 2 7 13" xfId="25558" xr:uid="{FB558F9C-FEB1-4AB8-B1AC-A5E3A5D391F0}"/>
    <cellStyle name="Calculation 2 7 14" xfId="25559" xr:uid="{4748A3E0-AD9F-4428-9C3C-8EC3D3E764FE}"/>
    <cellStyle name="Calculation 2 7 15" xfId="42355" xr:uid="{6227D218-4105-42EA-A911-E033BBDBBC52}"/>
    <cellStyle name="Calculation 2 7 16" xfId="42871" xr:uid="{FBE51C56-4D10-4ACE-87C4-D1DF8255DDFA}"/>
    <cellStyle name="Calculation 2 7 17" xfId="43512" xr:uid="{9D3FCD29-B99E-4194-8BBE-08F26C859190}"/>
    <cellStyle name="Calculation 2 7 2" xfId="3255" xr:uid="{6FFEB38D-9ACE-45EE-AB4A-25CE2899D061}"/>
    <cellStyle name="Calculation 2 7 2 10" xfId="3256" xr:uid="{E34B68A1-0D2F-4FA2-9A93-C6728AFE3F86}"/>
    <cellStyle name="Calculation 2 7 2 10 2" xfId="25560" xr:uid="{A2E7D8BE-ECEE-4F24-ACD2-EC2B3D23ED4B}"/>
    <cellStyle name="Calculation 2 7 2 11" xfId="25561" xr:uid="{B6883C57-22B4-4B9E-A8AA-F376B7974141}"/>
    <cellStyle name="Calculation 2 7 2 12" xfId="25562" xr:uid="{C9578E1B-373F-4120-815B-968ECEB3FDDB}"/>
    <cellStyle name="Calculation 2 7 2 2" xfId="3257" xr:uid="{284AD08C-03FF-43A7-8BFB-8FC99D04B9FB}"/>
    <cellStyle name="Calculation 2 7 2 2 2" xfId="3258" xr:uid="{19CA0FB0-37BF-430C-B649-A37556B7AAB2}"/>
    <cellStyle name="Calculation 2 7 2 2 2 2" xfId="25563" xr:uid="{F7856500-095E-4093-A16E-5B3F1E0627F0}"/>
    <cellStyle name="Calculation 2 7 2 2 2 3" xfId="25564" xr:uid="{68BABF41-6029-40E1-B5B0-EDFAA3F03DFA}"/>
    <cellStyle name="Calculation 2 7 2 2 3" xfId="3259" xr:uid="{357E8CB1-5545-49E3-BD1A-880869A04762}"/>
    <cellStyle name="Calculation 2 7 2 2 3 2" xfId="3260" xr:uid="{8A558E60-99B9-4850-A9FA-F70B0DF51310}"/>
    <cellStyle name="Calculation 2 7 2 2 4" xfId="3261" xr:uid="{58A981C6-3DDF-4B6E-825E-5FB9E0AAE16B}"/>
    <cellStyle name="Calculation 2 7 2 2 4 2" xfId="25565" xr:uid="{9E9A4DAC-8485-4794-A4B6-0E2C2B66993F}"/>
    <cellStyle name="Calculation 2 7 2 2 5" xfId="25566" xr:uid="{9898D225-7FD8-4AEB-8BB5-C562EA41E68D}"/>
    <cellStyle name="Calculation 2 7 2 2 6" xfId="25567" xr:uid="{888F3983-0CC5-4A00-90D7-A52470D42206}"/>
    <cellStyle name="Calculation 2 7 2 2 7" xfId="25568" xr:uid="{EF802A8B-884A-4F00-BFE8-38B808072FF2}"/>
    <cellStyle name="Calculation 2 7 2 2 8" xfId="25569" xr:uid="{AB509648-5229-4915-AC15-063AB4DBFE69}"/>
    <cellStyle name="Calculation 2 7 2 3" xfId="3262" xr:uid="{B9D4C762-2E15-477E-9C4D-E303D83743D6}"/>
    <cellStyle name="Calculation 2 7 2 3 2" xfId="3263" xr:uid="{6761D313-B7C7-4501-9328-55116D3A7179}"/>
    <cellStyle name="Calculation 2 7 2 3 3" xfId="25570" xr:uid="{D52A7597-C24B-4F04-ABD3-81A8E81CA877}"/>
    <cellStyle name="Calculation 2 7 2 4" xfId="3264" xr:uid="{06F5B4F4-6DF7-422E-9E76-DCB4B6BAF952}"/>
    <cellStyle name="Calculation 2 7 2 4 2" xfId="3265" xr:uid="{2874DF2C-131F-420D-8CB3-0EAB1D7DDC59}"/>
    <cellStyle name="Calculation 2 7 2 4 3" xfId="25571" xr:uid="{7C35FE9E-6EA6-4189-96B1-2720C80CCB01}"/>
    <cellStyle name="Calculation 2 7 2 5" xfId="3266" xr:uid="{CCA9AB83-86AA-47F9-90E5-C3DFA4812C13}"/>
    <cellStyle name="Calculation 2 7 2 5 2" xfId="3267" xr:uid="{F74CB9CB-A285-47AB-AC2B-82577F73E8B8}"/>
    <cellStyle name="Calculation 2 7 2 5 3" xfId="25572" xr:uid="{4D6C0E8D-0C6A-448C-AACD-BE63134EA123}"/>
    <cellStyle name="Calculation 2 7 2 6" xfId="3268" xr:uid="{3B8CD4D8-7B74-438C-9DC4-01A06998F32F}"/>
    <cellStyle name="Calculation 2 7 2 6 2" xfId="3269" xr:uid="{9B9BB41F-2A58-467B-B6D0-7D4CE87A0D77}"/>
    <cellStyle name="Calculation 2 7 2 6 3" xfId="25573" xr:uid="{CCE6B317-2D56-424B-B85F-AEAFEAE73F5C}"/>
    <cellStyle name="Calculation 2 7 2 7" xfId="3270" xr:uid="{3DAED5B8-7230-46F9-8734-04E4EC1D46BB}"/>
    <cellStyle name="Calculation 2 7 2 7 2" xfId="3271" xr:uid="{58AB1596-FEC8-4033-99F1-415BC87673F3}"/>
    <cellStyle name="Calculation 2 7 2 7 3" xfId="25574" xr:uid="{397381AD-B383-472C-96E1-FAA4D3955316}"/>
    <cellStyle name="Calculation 2 7 2 8" xfId="3272" xr:uid="{CFFD1779-BBCE-470D-85D5-9A6EF74F9B86}"/>
    <cellStyle name="Calculation 2 7 2 8 2" xfId="3273" xr:uid="{0DDE7BAA-D7C8-4175-99F9-C7AB0155E0A5}"/>
    <cellStyle name="Calculation 2 7 2 8 3" xfId="25575" xr:uid="{AE5F7547-7F51-4904-BD6E-043447DEA01D}"/>
    <cellStyle name="Calculation 2 7 2 9" xfId="3274" xr:uid="{9B8C61A7-3ADA-409E-9E09-4140B507D27E}"/>
    <cellStyle name="Calculation 2 7 2 9 2" xfId="25576" xr:uid="{2B3E570F-B684-4CFA-A2A3-DADF6757624A}"/>
    <cellStyle name="Calculation 2 7 2 9 3" xfId="25577" xr:uid="{AD8BCD7F-1CE8-4CA3-BACF-D5C51E6A5147}"/>
    <cellStyle name="Calculation 2 7 3" xfId="3275" xr:uid="{0B0A2184-9A18-4A6D-9471-82A01014DFD6}"/>
    <cellStyle name="Calculation 2 7 3 2" xfId="3276" xr:uid="{5B357705-31CD-4F8E-A345-AC197DB06BCF}"/>
    <cellStyle name="Calculation 2 7 3 3" xfId="3277" xr:uid="{9E5D3B84-48CD-49B3-9578-13AD18275CF8}"/>
    <cellStyle name="Calculation 2 7 3 4" xfId="3278" xr:uid="{97732F15-703C-4703-97E8-47F44301DCCF}"/>
    <cellStyle name="Calculation 2 7 4" xfId="3279" xr:uid="{A523D77F-5C69-4D6F-9458-5E857B68A8BD}"/>
    <cellStyle name="Calculation 2 7 4 2" xfId="3280" xr:uid="{1AA678CA-33A5-44FF-86EC-CA6FE3B58102}"/>
    <cellStyle name="Calculation 2 7 4 3" xfId="25578" xr:uid="{9B473002-435F-419D-A5E1-48A5BD673F07}"/>
    <cellStyle name="Calculation 2 7 5" xfId="3281" xr:uid="{8678A94B-953B-4BA2-A845-E037EBE2C76D}"/>
    <cellStyle name="Calculation 2 7 5 2" xfId="3282" xr:uid="{9BB48804-8C45-47A7-9366-BAE3FECC80F8}"/>
    <cellStyle name="Calculation 2 7 5 3" xfId="25579" xr:uid="{168CCFE4-8B57-4170-92A1-522D9991CC3D}"/>
    <cellStyle name="Calculation 2 7 6" xfId="3283" xr:uid="{B5B1771F-2F07-42CE-8491-9C0861B843EE}"/>
    <cellStyle name="Calculation 2 7 6 2" xfId="3284" xr:uid="{48C797D9-B24B-446D-92A8-6AFBC3BC35B8}"/>
    <cellStyle name="Calculation 2 7 6 3" xfId="25580" xr:uid="{31EE4FBB-1B47-47E8-9986-A5ED940475C2}"/>
    <cellStyle name="Calculation 2 7 7" xfId="3285" xr:uid="{18C53D70-4A37-4E4C-AA5E-DA8E3848D9BA}"/>
    <cellStyle name="Calculation 2 7 7 2" xfId="3286" xr:uid="{901ED9E0-65AA-4D26-A432-C115395576EE}"/>
    <cellStyle name="Calculation 2 7 7 3" xfId="25581" xr:uid="{548880E1-E9C4-400B-802E-200635128193}"/>
    <cellStyle name="Calculation 2 7 8" xfId="3287" xr:uid="{C4BAE926-3190-4844-BFBA-D715D0E51C70}"/>
    <cellStyle name="Calculation 2 7 8 2" xfId="3288" xr:uid="{4ECFDD74-75F4-485D-9FFC-3A7AAEB132BD}"/>
    <cellStyle name="Calculation 2 7 8 3" xfId="25582" xr:uid="{C610E0FE-7756-4376-A9E5-4451D0A3E971}"/>
    <cellStyle name="Calculation 2 7 9" xfId="3289" xr:uid="{3EC17E49-D8D4-4BD0-B07B-F27B0A3FE302}"/>
    <cellStyle name="Calculation 2 7 9 2" xfId="3290" xr:uid="{A2C8315A-B222-4F19-B337-A3316503D83C}"/>
    <cellStyle name="Calculation 2 7 9 3" xfId="25583" xr:uid="{FF7C7AF5-F67B-418C-AA63-F82A6F5D2D0F}"/>
    <cellStyle name="Calculation 2 8" xfId="3291" xr:uid="{3A01FCDA-90CB-4388-BBA4-D93E961D5557}"/>
    <cellStyle name="Calculation 2 8 10" xfId="3292" xr:uid="{700D4CE5-AFEC-48E3-B76E-E3ADFE98957A}"/>
    <cellStyle name="Calculation 2 8 10 2" xfId="25584" xr:uid="{2DED0A90-61FA-460A-B3B9-5A08ACF0A158}"/>
    <cellStyle name="Calculation 2 8 10 3" xfId="25585" xr:uid="{E7E53853-2052-4072-B029-7B7213231E00}"/>
    <cellStyle name="Calculation 2 8 11" xfId="3293" xr:uid="{6F3762E0-955A-45B8-9DF0-D5AFF83420A9}"/>
    <cellStyle name="Calculation 2 8 11 2" xfId="25586" xr:uid="{99668597-D609-43FC-9810-399748623AB4}"/>
    <cellStyle name="Calculation 2 8 12" xfId="25587" xr:uid="{73589377-765F-46E9-BA8D-E4AD76CDF16F}"/>
    <cellStyle name="Calculation 2 8 13" xfId="25588" xr:uid="{447DDB79-1187-42BD-9A20-C8420FE1556B}"/>
    <cellStyle name="Calculation 2 8 14" xfId="25589" xr:uid="{FE6F7304-034A-44DA-8AFF-5209DBCDAC56}"/>
    <cellStyle name="Calculation 2 8 15" xfId="42356" xr:uid="{EB0569C2-FC97-43E0-8804-3B6B104AFA66}"/>
    <cellStyle name="Calculation 2 8 16" xfId="42870" xr:uid="{E9147DE1-9D76-4E21-A405-0389BFFE6B4D}"/>
    <cellStyle name="Calculation 2 8 17" xfId="43513" xr:uid="{EA954516-D591-44CB-97C2-55FEB5EE9AEF}"/>
    <cellStyle name="Calculation 2 8 2" xfId="3294" xr:uid="{D7B50346-2019-4107-929F-A910D6CA5C11}"/>
    <cellStyle name="Calculation 2 8 2 10" xfId="3295" xr:uid="{08F10438-57F5-4827-B886-60528E75EDF9}"/>
    <cellStyle name="Calculation 2 8 2 10 2" xfId="25590" xr:uid="{8B530DDD-B20A-4369-909C-7536015F3180}"/>
    <cellStyle name="Calculation 2 8 2 11" xfId="25591" xr:uid="{CBC9E7DE-0D56-4CBC-AF10-DE71E1F3B4FE}"/>
    <cellStyle name="Calculation 2 8 2 12" xfId="25592" xr:uid="{990D90CC-CD6C-406D-8C01-FBCD4FC65580}"/>
    <cellStyle name="Calculation 2 8 2 2" xfId="3296" xr:uid="{BD117134-9719-46CF-88F1-D7854C7282D7}"/>
    <cellStyle name="Calculation 2 8 2 2 2" xfId="3297" xr:uid="{7AB0F58C-A21E-42BD-820D-E80B6F128724}"/>
    <cellStyle name="Calculation 2 8 2 2 2 2" xfId="25593" xr:uid="{48025878-E79E-4119-AB38-B1CC11CFFF36}"/>
    <cellStyle name="Calculation 2 8 2 2 2 3" xfId="25594" xr:uid="{87BDE543-2F60-4AEB-829F-E94043790598}"/>
    <cellStyle name="Calculation 2 8 2 2 3" xfId="3298" xr:uid="{4F62C4D3-D4ED-458B-8D66-D627CA22BC38}"/>
    <cellStyle name="Calculation 2 8 2 2 3 2" xfId="3299" xr:uid="{B2641EF9-2FE9-4D27-BA84-572323E64F28}"/>
    <cellStyle name="Calculation 2 8 2 2 4" xfId="3300" xr:uid="{6792E125-6E18-4494-AC52-23ABBC01ACB5}"/>
    <cellStyle name="Calculation 2 8 2 2 4 2" xfId="25595" xr:uid="{7F1EEB6F-D314-4836-9867-1B71658B6796}"/>
    <cellStyle name="Calculation 2 8 2 2 5" xfId="25596" xr:uid="{EDF6EEC5-F7F7-4876-8CFB-F56B37AADA12}"/>
    <cellStyle name="Calculation 2 8 2 2 6" xfId="25597" xr:uid="{B64BA065-9B20-4035-97EB-38D8DECA1232}"/>
    <cellStyle name="Calculation 2 8 2 2 7" xfId="25598" xr:uid="{AA120B73-5082-471A-881E-F5E049F11FD3}"/>
    <cellStyle name="Calculation 2 8 2 2 8" xfId="25599" xr:uid="{2CAB7DDA-A71B-46E0-A866-85033CCE2750}"/>
    <cellStyle name="Calculation 2 8 2 3" xfId="3301" xr:uid="{D37CB0E0-F7C9-48A6-BCF2-D8AABEDB4F2D}"/>
    <cellStyle name="Calculation 2 8 2 3 2" xfId="3302" xr:uid="{C9706325-6EB1-4937-A98A-FA948921CD0D}"/>
    <cellStyle name="Calculation 2 8 2 3 3" xfId="25600" xr:uid="{87092696-978B-4F59-BE9A-149BE7BFDBE2}"/>
    <cellStyle name="Calculation 2 8 2 4" xfId="3303" xr:uid="{6484BD9F-D870-446E-B995-A09C811207E8}"/>
    <cellStyle name="Calculation 2 8 2 4 2" xfId="3304" xr:uid="{52B3B9D9-568C-4708-B828-31D45775472B}"/>
    <cellStyle name="Calculation 2 8 2 4 3" xfId="25601" xr:uid="{B8B31C81-43FF-4C3A-9AB1-A325937960B0}"/>
    <cellStyle name="Calculation 2 8 2 5" xfId="3305" xr:uid="{15D67CEB-1056-43AA-A34A-D94D789CAECE}"/>
    <cellStyle name="Calculation 2 8 2 5 2" xfId="3306" xr:uid="{69A6EE8B-9B5C-4A1B-BDFB-2379F2421FA4}"/>
    <cellStyle name="Calculation 2 8 2 5 3" xfId="25602" xr:uid="{60813201-95E4-446F-A976-1F887AA1CE31}"/>
    <cellStyle name="Calculation 2 8 2 6" xfId="3307" xr:uid="{77E359C9-5533-430A-94FE-3EC73A1D1FF6}"/>
    <cellStyle name="Calculation 2 8 2 6 2" xfId="3308" xr:uid="{68A86E84-3709-4A10-9C32-3DF0632211E1}"/>
    <cellStyle name="Calculation 2 8 2 6 3" xfId="25603" xr:uid="{906DED1F-ECF9-41E5-9AFD-9A769D68CC97}"/>
    <cellStyle name="Calculation 2 8 2 7" xfId="3309" xr:uid="{89F31C81-72BD-4DAD-870C-D6DE5D45EF77}"/>
    <cellStyle name="Calculation 2 8 2 7 2" xfId="3310" xr:uid="{C8EDB1F9-4E4B-44C5-AC2D-6588A84B4B43}"/>
    <cellStyle name="Calculation 2 8 2 7 3" xfId="25604" xr:uid="{0F530AE7-8F98-4538-A4C6-4E2D268C8AC6}"/>
    <cellStyle name="Calculation 2 8 2 8" xfId="3311" xr:uid="{D236ACE2-21A0-4C74-BFA8-37F5CBA4B3AB}"/>
    <cellStyle name="Calculation 2 8 2 8 2" xfId="3312" xr:uid="{734594AC-AF3A-4396-BAAD-F094707D53DD}"/>
    <cellStyle name="Calculation 2 8 2 8 3" xfId="25605" xr:uid="{0FA312FE-A897-4B46-AC18-77F4E995D615}"/>
    <cellStyle name="Calculation 2 8 2 9" xfId="3313" xr:uid="{75815881-6DD9-4002-8937-1D3D0E5A88B6}"/>
    <cellStyle name="Calculation 2 8 2 9 2" xfId="25606" xr:uid="{2C42180A-4C55-4004-8A5A-45721DAF3720}"/>
    <cellStyle name="Calculation 2 8 2 9 3" xfId="25607" xr:uid="{DB3F54B8-816D-4AD0-8DC1-8E5474046642}"/>
    <cellStyle name="Calculation 2 8 3" xfId="3314" xr:uid="{BAD3E74C-056E-4C4B-AA5A-555E3D6E7983}"/>
    <cellStyle name="Calculation 2 8 3 2" xfId="3315" xr:uid="{D688F6AB-7F42-48E2-845F-549811DE32BA}"/>
    <cellStyle name="Calculation 2 8 3 3" xfId="3316" xr:uid="{2DA23047-EFD7-4BE8-9E8D-D9AE78A1937C}"/>
    <cellStyle name="Calculation 2 8 3 4" xfId="3317" xr:uid="{51BDA232-825C-480A-85C4-E924C87E68CE}"/>
    <cellStyle name="Calculation 2 8 4" xfId="3318" xr:uid="{5F23DC2D-1320-4FEC-982A-3BACFC14714F}"/>
    <cellStyle name="Calculation 2 8 4 2" xfId="3319" xr:uid="{17E2F7E5-DD3C-4D8D-9423-1C94E21F1E9A}"/>
    <cellStyle name="Calculation 2 8 4 3" xfId="25608" xr:uid="{3FA189D0-1F45-4C76-8E1A-63BB96EB3A77}"/>
    <cellStyle name="Calculation 2 8 5" xfId="3320" xr:uid="{10A3FF8A-175E-4507-A708-8D94352A45A0}"/>
    <cellStyle name="Calculation 2 8 5 2" xfId="3321" xr:uid="{71265CDC-7FE8-46FF-892F-09F8258D777A}"/>
    <cellStyle name="Calculation 2 8 5 3" xfId="25609" xr:uid="{34B926D3-5813-47DE-9274-123AF4D48F2F}"/>
    <cellStyle name="Calculation 2 8 6" xfId="3322" xr:uid="{BEB56A59-0F8D-4896-B66C-552EAAADF421}"/>
    <cellStyle name="Calculation 2 8 6 2" xfId="3323" xr:uid="{BD719669-8FB0-462B-80C0-57C466F207FF}"/>
    <cellStyle name="Calculation 2 8 6 3" xfId="25610" xr:uid="{A9DD0F32-90AC-4168-87A2-6FF24102089C}"/>
    <cellStyle name="Calculation 2 8 7" xfId="3324" xr:uid="{C8B6890B-F587-4498-AE45-59FE3E07E488}"/>
    <cellStyle name="Calculation 2 8 7 2" xfId="3325" xr:uid="{CEB59C6C-0CAE-4EE8-82DC-16C851411575}"/>
    <cellStyle name="Calculation 2 8 7 3" xfId="25611" xr:uid="{E84B530F-A16A-40E4-8D9B-4417809D0758}"/>
    <cellStyle name="Calculation 2 8 8" xfId="3326" xr:uid="{E5EA0273-09D6-45C4-9D8C-B79F25E7360D}"/>
    <cellStyle name="Calculation 2 8 8 2" xfId="3327" xr:uid="{352FACD7-E609-410B-AB2A-00063C09AE8A}"/>
    <cellStyle name="Calculation 2 8 8 3" xfId="25612" xr:uid="{7FA3CCE8-2A88-46E9-B4EC-5BF2636F0C09}"/>
    <cellStyle name="Calculation 2 8 9" xfId="3328" xr:uid="{45830BF1-A8C0-42E5-9093-C94E0DFB2718}"/>
    <cellStyle name="Calculation 2 8 9 2" xfId="3329" xr:uid="{AC0386A0-8AF6-4C00-9046-2ECCE66ED5F9}"/>
    <cellStyle name="Calculation 2 8 9 3" xfId="25613" xr:uid="{F2CC270A-A147-4606-B67B-9ADF99CF4490}"/>
    <cellStyle name="Calculation 2 9" xfId="3330" xr:uid="{AD2FE8DA-2A82-49B1-9825-1E1BD0093CB0}"/>
    <cellStyle name="Calculation 2 9 10" xfId="3331" xr:uid="{115A5B71-6826-49D2-96DF-ECD8DE4C399B}"/>
    <cellStyle name="Calculation 2 9 10 2" xfId="25614" xr:uid="{622D557D-DFE1-409A-A553-F203964EC167}"/>
    <cellStyle name="Calculation 2 9 10 3" xfId="25615" xr:uid="{ED4806E8-3655-43B4-822D-966F4B169C2E}"/>
    <cellStyle name="Calculation 2 9 11" xfId="3332" xr:uid="{DFF51F47-CEF1-48E3-8E0F-7A361064F4E7}"/>
    <cellStyle name="Calculation 2 9 11 2" xfId="25616" xr:uid="{BCDBB0DC-BC0A-4826-B10F-EB41DFE528A4}"/>
    <cellStyle name="Calculation 2 9 12" xfId="25617" xr:uid="{A6A406A7-6616-4381-A6F0-FE98F9DA1143}"/>
    <cellStyle name="Calculation 2 9 13" xfId="25618" xr:uid="{04AC6575-0C34-496F-B409-EAD9260E3144}"/>
    <cellStyle name="Calculation 2 9 14" xfId="25619" xr:uid="{58415200-49A1-455A-AA26-0AC995F17D73}"/>
    <cellStyle name="Calculation 2 9 15" xfId="42357" xr:uid="{65091481-DD93-4B52-B99D-532E0A413CC0}"/>
    <cellStyle name="Calculation 2 9 16" xfId="42869" xr:uid="{57B048DF-2D2D-4BB7-8F05-9F508E3C7206}"/>
    <cellStyle name="Calculation 2 9 17" xfId="43514" xr:uid="{FB9037B2-D678-415F-B305-6510EDF565A7}"/>
    <cellStyle name="Calculation 2 9 2" xfId="3333" xr:uid="{BADB4B26-E14C-435F-B96C-68DBEB3469E6}"/>
    <cellStyle name="Calculation 2 9 2 10" xfId="3334" xr:uid="{24DC381B-F539-437E-9A3D-209EFFCD4971}"/>
    <cellStyle name="Calculation 2 9 2 10 2" xfId="25620" xr:uid="{B340DFE7-3ED0-4323-96B6-00DB43C5FFA2}"/>
    <cellStyle name="Calculation 2 9 2 11" xfId="25621" xr:uid="{89A4E732-54B5-4EC5-A9F0-2DA5DD26BCC5}"/>
    <cellStyle name="Calculation 2 9 2 12" xfId="25622" xr:uid="{D2908785-7007-4B03-97C9-22EA97E28B95}"/>
    <cellStyle name="Calculation 2 9 2 2" xfId="3335" xr:uid="{23D19FEA-F8FC-48BF-A834-CEB2133696C4}"/>
    <cellStyle name="Calculation 2 9 2 2 2" xfId="3336" xr:uid="{914629C2-98A8-46E3-ABE7-D7CF9C3B489D}"/>
    <cellStyle name="Calculation 2 9 2 2 2 2" xfId="25623" xr:uid="{BA2F771E-1308-488F-8C70-C5E70A2D17A1}"/>
    <cellStyle name="Calculation 2 9 2 2 2 3" xfId="25624" xr:uid="{01B3A780-3D54-4D31-9DF6-7B8F1E1EF646}"/>
    <cellStyle name="Calculation 2 9 2 2 3" xfId="3337" xr:uid="{15B3871F-1693-47A4-9447-D3E1936CEDE4}"/>
    <cellStyle name="Calculation 2 9 2 2 3 2" xfId="3338" xr:uid="{933EB777-4CFD-45D7-A83B-0B5EDAD9CDBD}"/>
    <cellStyle name="Calculation 2 9 2 2 4" xfId="3339" xr:uid="{21ED596C-3A0F-4BA3-9674-746653495873}"/>
    <cellStyle name="Calculation 2 9 2 2 4 2" xfId="25625" xr:uid="{73471C5C-B04A-4985-811A-25189DED1230}"/>
    <cellStyle name="Calculation 2 9 2 2 5" xfId="25626" xr:uid="{606BDE87-C6D9-47FC-A6E2-46B905BA2FBF}"/>
    <cellStyle name="Calculation 2 9 2 2 6" xfId="25627" xr:uid="{4B82B4FF-33F0-415B-907D-493E0517F9C6}"/>
    <cellStyle name="Calculation 2 9 2 2 7" xfId="25628" xr:uid="{718415F6-448B-4526-A7E4-E3914DD4329C}"/>
    <cellStyle name="Calculation 2 9 2 2 8" xfId="25629" xr:uid="{2FC163F4-66B2-48D6-A0C2-CAA48AA0CA65}"/>
    <cellStyle name="Calculation 2 9 2 3" xfId="3340" xr:uid="{D15950A2-335B-4A87-853D-E280E84713D0}"/>
    <cellStyle name="Calculation 2 9 2 3 2" xfId="3341" xr:uid="{76A2A169-32CC-430C-9394-A73282FD4B41}"/>
    <cellStyle name="Calculation 2 9 2 3 3" xfId="25630" xr:uid="{8B23633C-3AB3-49F4-83DF-CB9DE80DB2EF}"/>
    <cellStyle name="Calculation 2 9 2 4" xfId="3342" xr:uid="{1CF87209-9AC7-48CA-9F8B-73269DEF1F2B}"/>
    <cellStyle name="Calculation 2 9 2 4 2" xfId="3343" xr:uid="{FCC7BE0D-97BA-4A1B-9DF3-03EBA6B611F7}"/>
    <cellStyle name="Calculation 2 9 2 4 3" xfId="25631" xr:uid="{5828EB44-ECC4-4EAA-A3C6-351BFBB725DA}"/>
    <cellStyle name="Calculation 2 9 2 5" xfId="3344" xr:uid="{2512E444-E7D6-4CB4-9350-2428334900A1}"/>
    <cellStyle name="Calculation 2 9 2 5 2" xfId="3345" xr:uid="{591A97C3-7F3F-4CC6-B8BF-AC7272391B54}"/>
    <cellStyle name="Calculation 2 9 2 5 3" xfId="25632" xr:uid="{FDF1353B-01C1-4CF3-8EAB-BFD84273989F}"/>
    <cellStyle name="Calculation 2 9 2 6" xfId="3346" xr:uid="{E328CACC-3377-479B-B75B-8568AE632AE0}"/>
    <cellStyle name="Calculation 2 9 2 6 2" xfId="3347" xr:uid="{9AB2E89D-867B-4C70-8E4B-893924A3F116}"/>
    <cellStyle name="Calculation 2 9 2 6 3" xfId="25633" xr:uid="{0F9B5855-01BF-497A-AA30-33E97D21D843}"/>
    <cellStyle name="Calculation 2 9 2 7" xfId="3348" xr:uid="{C2773DE4-AAF9-4880-8960-A427AA62806F}"/>
    <cellStyle name="Calculation 2 9 2 7 2" xfId="3349" xr:uid="{D292C125-61B0-404A-81F6-47B53E374C74}"/>
    <cellStyle name="Calculation 2 9 2 7 3" xfId="25634" xr:uid="{E0073671-32B4-42B9-BB99-645D023E4232}"/>
    <cellStyle name="Calculation 2 9 2 8" xfId="3350" xr:uid="{E9E5570D-2C33-4119-BBC2-CABA469DF688}"/>
    <cellStyle name="Calculation 2 9 2 8 2" xfId="3351" xr:uid="{23F23EDE-930D-4B5C-B17E-24C1708A5160}"/>
    <cellStyle name="Calculation 2 9 2 8 3" xfId="25635" xr:uid="{B938F268-39EB-4F0C-903E-5398C9AEFE5D}"/>
    <cellStyle name="Calculation 2 9 2 9" xfId="3352" xr:uid="{43AFAF30-4753-4C2A-898A-F8C336BFF9B2}"/>
    <cellStyle name="Calculation 2 9 2 9 2" xfId="25636" xr:uid="{3E6854BA-D3D1-4D2A-9950-1116FF596DC3}"/>
    <cellStyle name="Calculation 2 9 2 9 3" xfId="25637" xr:uid="{8E2C94FA-BCB5-42E6-A0E2-25C3BEC90260}"/>
    <cellStyle name="Calculation 2 9 3" xfId="3353" xr:uid="{3C264ED0-A2A0-44F2-9FEB-D820CC42C03D}"/>
    <cellStyle name="Calculation 2 9 3 2" xfId="3354" xr:uid="{6ACE9058-74AB-4993-B5E9-94E5E6BDAA27}"/>
    <cellStyle name="Calculation 2 9 3 3" xfId="3355" xr:uid="{30381386-BCBF-4EE4-A78E-A69E97205186}"/>
    <cellStyle name="Calculation 2 9 3 4" xfId="3356" xr:uid="{BA813AF7-4937-486B-9941-DDC3C6107FDE}"/>
    <cellStyle name="Calculation 2 9 4" xfId="3357" xr:uid="{4FFB2B91-6914-45A5-B1CC-20F5A4D5C613}"/>
    <cellStyle name="Calculation 2 9 4 2" xfId="3358" xr:uid="{E188E929-D137-4A65-A84A-A196634A4579}"/>
    <cellStyle name="Calculation 2 9 4 3" xfId="25638" xr:uid="{65CB0BBA-454A-4D2D-A9D0-D88CE78DE608}"/>
    <cellStyle name="Calculation 2 9 5" xfId="3359" xr:uid="{D747B19C-4881-4D8E-9C30-035AEB3B7558}"/>
    <cellStyle name="Calculation 2 9 5 2" xfId="3360" xr:uid="{57E71058-773D-4BE0-8D55-A743B41EA9BC}"/>
    <cellStyle name="Calculation 2 9 5 3" xfId="25639" xr:uid="{60BF9FE0-1254-4F3C-A50F-11D8D55C2451}"/>
    <cellStyle name="Calculation 2 9 6" xfId="3361" xr:uid="{05F79BAB-CAEB-4C8D-BF71-B9E359309904}"/>
    <cellStyle name="Calculation 2 9 6 2" xfId="3362" xr:uid="{D3561A54-E662-44E6-BB38-31ACD9DE38C8}"/>
    <cellStyle name="Calculation 2 9 6 3" xfId="25640" xr:uid="{F8854D54-3E20-4B51-8E3A-462889187C9E}"/>
    <cellStyle name="Calculation 2 9 7" xfId="3363" xr:uid="{7C0B9327-BD4F-46C2-8EC1-2CE3251FBADF}"/>
    <cellStyle name="Calculation 2 9 7 2" xfId="3364" xr:uid="{B0CFB9BF-62E3-4900-B4D6-A33F883F6133}"/>
    <cellStyle name="Calculation 2 9 7 3" xfId="25641" xr:uid="{36E91F6D-DF43-4AE8-AE35-3183002337C1}"/>
    <cellStyle name="Calculation 2 9 8" xfId="3365" xr:uid="{03519559-AEDE-4EAF-A7AA-C07308D61B5F}"/>
    <cellStyle name="Calculation 2 9 8 2" xfId="3366" xr:uid="{4C66988C-D40D-4947-BD6C-1CC070F051BD}"/>
    <cellStyle name="Calculation 2 9 8 3" xfId="25642" xr:uid="{F42E78E5-F7B7-4D07-AC2E-0AA2F568950B}"/>
    <cellStyle name="Calculation 2 9 9" xfId="3367" xr:uid="{B0E68068-BC5A-4D39-9B4C-9B52BED4DFA5}"/>
    <cellStyle name="Calculation 2 9 9 2" xfId="3368" xr:uid="{ED345B86-1BAF-4EAF-AFD0-A08D69B52010}"/>
    <cellStyle name="Calculation 2 9 9 3" xfId="25643" xr:uid="{C363FA47-1AB9-4278-9D4A-64512024BD5F}"/>
    <cellStyle name="Calculation 20" xfId="25644" xr:uid="{7223F139-F5FC-40ED-9E2C-CB1A06E39516}"/>
    <cellStyle name="Calculation 20 2" xfId="25645" xr:uid="{21D34961-73F4-4DFF-9693-4D4B17CEBAEF}"/>
    <cellStyle name="Calculation 20 3" xfId="42358" xr:uid="{DBF60865-D1FA-4843-A99A-4DDFE666C9F0}"/>
    <cellStyle name="Calculation 20 4" xfId="42868" xr:uid="{6D24B0B0-0734-4C0B-98F6-5E60DCC41495}"/>
    <cellStyle name="Calculation 20 5" xfId="43515" xr:uid="{EF667ED9-737E-4E9C-96D1-444AC9A774B8}"/>
    <cellStyle name="Calculation 21" xfId="25646" xr:uid="{F8F398B7-0910-4AE4-9D87-3520CBC8A585}"/>
    <cellStyle name="Calculation 21 2" xfId="25647" xr:uid="{496BFBAB-69C7-4D8E-8F6A-83EDBE0C9207}"/>
    <cellStyle name="Calculation 21 3" xfId="42359" xr:uid="{0B13322B-FD75-4E09-9547-661702086B42}"/>
    <cellStyle name="Calculation 21 4" xfId="42867" xr:uid="{1093CB8F-3F7C-4A27-9DE1-FC289979E15B}"/>
    <cellStyle name="Calculation 21 5" xfId="43516" xr:uid="{D58FDC36-95A1-4262-9DD3-FE3262844898}"/>
    <cellStyle name="Calculation 22" xfId="25648" xr:uid="{AA929266-48C5-442D-898A-A559EB63D4FD}"/>
    <cellStyle name="Calculation 22 2" xfId="25649" xr:uid="{57567D4E-9C18-4A82-B681-49B8F2A140B5}"/>
    <cellStyle name="Calculation 22 3" xfId="42360" xr:uid="{7BB91F5F-1403-4ADB-8EF9-D20E9D32564D}"/>
    <cellStyle name="Calculation 22 4" xfId="42866" xr:uid="{034CC6EF-4A45-455C-A7BF-CDC83F4D9B64}"/>
    <cellStyle name="Calculation 22 5" xfId="43517" xr:uid="{78A269B9-60FA-4120-B902-7917C7AE4B6B}"/>
    <cellStyle name="Calculation 23" xfId="25650" xr:uid="{45C39876-1684-4D68-97BB-FCC021174FA8}"/>
    <cellStyle name="Calculation 23 2" xfId="25651" xr:uid="{71D4F41B-7110-4508-A5E0-9BA4AEC26F97}"/>
    <cellStyle name="Calculation 23 3" xfId="42361" xr:uid="{793E302B-E64E-4004-906F-E66A186994AF}"/>
    <cellStyle name="Calculation 23 4" xfId="42865" xr:uid="{3960F5DF-5FF9-4DDD-BAF6-59E3285964DA}"/>
    <cellStyle name="Calculation 23 5" xfId="43518" xr:uid="{5F24D89D-6982-4419-86CE-AA236CD637D5}"/>
    <cellStyle name="Calculation 24" xfId="25652" xr:uid="{7344160E-F2F1-48B8-926C-D927235A2184}"/>
    <cellStyle name="Calculation 24 2" xfId="25653" xr:uid="{FFB41ABA-A671-483B-9258-476FEACCA836}"/>
    <cellStyle name="Calculation 24 3" xfId="42362" xr:uid="{7154F3F4-9246-4F6E-AA01-DE0695208AC4}"/>
    <cellStyle name="Calculation 24 4" xfId="42864" xr:uid="{8D2778B6-5D8A-45CD-B6E8-7D2BFEDE24F5}"/>
    <cellStyle name="Calculation 24 5" xfId="43519" xr:uid="{7CF051EE-8E72-44EE-A5E0-FD67C42D63EE}"/>
    <cellStyle name="Calculation 25" xfId="25654" xr:uid="{449016E6-DC38-40B5-A9E1-71525ECC3833}"/>
    <cellStyle name="Calculation 25 2" xfId="25655" xr:uid="{0F25E803-D983-4879-8C75-AAF64EB5D8BA}"/>
    <cellStyle name="Calculation 25 3" xfId="42363" xr:uid="{EBA5AA5A-6504-484F-812D-CF8C13E541DF}"/>
    <cellStyle name="Calculation 25 4" xfId="42863" xr:uid="{48B5FDB3-4DC7-43BC-A396-420505056C43}"/>
    <cellStyle name="Calculation 25 5" xfId="43520" xr:uid="{33552DDA-B106-430A-A18F-BB6B349932D5}"/>
    <cellStyle name="Calculation 26" xfId="25656" xr:uid="{E0EB9E6B-652F-4DE4-B1EA-0EFE61457CAB}"/>
    <cellStyle name="Calculation 26 2" xfId="25657" xr:uid="{BE661A15-1C81-407C-96DB-372BD7A9017A}"/>
    <cellStyle name="Calculation 26 3" xfId="42364" xr:uid="{78EAD1D8-15A8-4EDF-B8B6-F7B581D017C1}"/>
    <cellStyle name="Calculation 26 4" xfId="42862" xr:uid="{D6D71B22-2CBD-43A5-8F37-5DDCE0E699BE}"/>
    <cellStyle name="Calculation 26 5" xfId="43521" xr:uid="{9DE341B3-3DE3-474E-83DD-E179B3255F02}"/>
    <cellStyle name="Calculation 27" xfId="25658" xr:uid="{443E13E2-1A69-40F7-A906-6F6FA3DCA794}"/>
    <cellStyle name="Calculation 27 2" xfId="25659" xr:uid="{7E9DEA5B-2A27-4CB5-B948-93CC4161A44D}"/>
    <cellStyle name="Calculation 27 3" xfId="42365" xr:uid="{A7B524F9-07DA-41BF-9982-C49163B86C1E}"/>
    <cellStyle name="Calculation 27 4" xfId="42861" xr:uid="{AEE74716-C6AA-450A-9CE6-4C9BC6DB1F9F}"/>
    <cellStyle name="Calculation 27 5" xfId="43522" xr:uid="{A53C6E94-E199-4635-9ABE-BCCDD9FC6145}"/>
    <cellStyle name="Calculation 28" xfId="25660" xr:uid="{D350FBD0-DFA2-4336-AD73-73486D1CA049}"/>
    <cellStyle name="Calculation 28 2" xfId="25661" xr:uid="{0416C40E-FF3A-4EB2-9812-7C2A7ECC4661}"/>
    <cellStyle name="Calculation 28 3" xfId="42366" xr:uid="{5D0EF58E-46FC-406A-9D88-062A5161A7E1}"/>
    <cellStyle name="Calculation 28 4" xfId="42860" xr:uid="{7C4F6F55-AF7F-4E8F-B97E-5DA283539166}"/>
    <cellStyle name="Calculation 28 5" xfId="43523" xr:uid="{6907198C-5134-46B2-9960-9E33861C707F}"/>
    <cellStyle name="Calculation 29" xfId="25662" xr:uid="{2539AF4D-B8EF-460A-AE0A-B1EA604328F5}"/>
    <cellStyle name="Calculation 29 2" xfId="25663" xr:uid="{B2277B77-45A1-4B19-AB54-D1B8E4E94C68}"/>
    <cellStyle name="Calculation 29 3" xfId="42367" xr:uid="{94DD4A26-EA75-493F-BEE6-D341A2BD4916}"/>
    <cellStyle name="Calculation 29 4" xfId="42859" xr:uid="{61A37CB5-DBA9-4D5F-981E-97304529E15C}"/>
    <cellStyle name="Calculation 29 5" xfId="43524" xr:uid="{8C387394-53DC-4797-838E-E3719345F5D6}"/>
    <cellStyle name="Calculation 3" xfId="3369" xr:uid="{9CBD7154-A6A5-4487-B224-678C0A7F0C25}"/>
    <cellStyle name="Calculation 3 10" xfId="3370" xr:uid="{2BBE49DE-BA2B-4E85-AA46-D98324BF0838}"/>
    <cellStyle name="Calculation 3 10 10" xfId="3371" xr:uid="{A3F1DCAD-F971-4E99-AEA2-564CFC8F3635}"/>
    <cellStyle name="Calculation 3 10 10 2" xfId="25664" xr:uid="{2218ECA2-8558-4222-BF05-019B712B868D}"/>
    <cellStyle name="Calculation 3 10 10 3" xfId="25665" xr:uid="{68D7B774-F62D-40EC-B2B7-8FA451EE7446}"/>
    <cellStyle name="Calculation 3 10 11" xfId="3372" xr:uid="{E10026D3-429B-4BFE-9737-3C782983553D}"/>
    <cellStyle name="Calculation 3 10 11 2" xfId="25666" xr:uid="{E6D33978-6614-4DEA-94BA-89EFF2B65B64}"/>
    <cellStyle name="Calculation 3 10 12" xfId="25667" xr:uid="{662D4782-D2FA-4C43-9C76-A5156ACDA9DC}"/>
    <cellStyle name="Calculation 3 10 2" xfId="3373" xr:uid="{DCF699DE-C3D7-4243-9C96-5028EFF3B66A}"/>
    <cellStyle name="Calculation 3 10 2 10" xfId="3374" xr:uid="{D583628A-406D-4420-B6B8-95E3F33C0B53}"/>
    <cellStyle name="Calculation 3 10 2 10 2" xfId="25668" xr:uid="{964E7CFD-6641-44B2-8255-676FB8A93659}"/>
    <cellStyle name="Calculation 3 10 2 11" xfId="25669" xr:uid="{A07D8ACA-383D-4454-8167-F8D3BBC58B85}"/>
    <cellStyle name="Calculation 3 10 2 2" xfId="3375" xr:uid="{A04918CF-FEDB-4437-A015-EE5615C4355D}"/>
    <cellStyle name="Calculation 3 10 2 2 2" xfId="3376" xr:uid="{53467A95-D94C-47C6-97EB-FA6883CADE48}"/>
    <cellStyle name="Calculation 3 10 2 2 3" xfId="3377" xr:uid="{3DA39F7F-44C5-43CE-A0B8-022112450CF6}"/>
    <cellStyle name="Calculation 3 10 2 2 4" xfId="3378" xr:uid="{64E6EE01-352E-4FAD-9D7D-98F3DABAE4D8}"/>
    <cellStyle name="Calculation 3 10 2 3" xfId="3379" xr:uid="{D4027DB4-B2D1-4CD5-A551-A67CC48F653B}"/>
    <cellStyle name="Calculation 3 10 2 3 2" xfId="3380" xr:uid="{2B203361-06BE-4D1D-98F1-E71FAB3D3351}"/>
    <cellStyle name="Calculation 3 10 2 3 3" xfId="25670" xr:uid="{3FD1876F-6716-49D7-B250-7CCBAAC3BD84}"/>
    <cellStyle name="Calculation 3 10 2 4" xfId="3381" xr:uid="{F220D93D-89E6-4B40-B083-B5457CE56BEF}"/>
    <cellStyle name="Calculation 3 10 2 4 2" xfId="3382" xr:uid="{0B06475A-398E-45D9-B834-4905C256FDAE}"/>
    <cellStyle name="Calculation 3 10 2 4 3" xfId="25671" xr:uid="{B3D494C6-FDB2-4A85-9118-2722616E75AE}"/>
    <cellStyle name="Calculation 3 10 2 5" xfId="3383" xr:uid="{B0253575-EAAB-4A6D-8288-BBC055FACE71}"/>
    <cellStyle name="Calculation 3 10 2 5 2" xfId="3384" xr:uid="{6B0AB295-93D5-4857-A6F5-57534C63EA8B}"/>
    <cellStyle name="Calculation 3 10 2 5 3" xfId="25672" xr:uid="{2352A928-9733-4B3E-B055-675BB93FD551}"/>
    <cellStyle name="Calculation 3 10 2 6" xfId="3385" xr:uid="{C76BD0F1-9436-4758-B688-F222248AFD75}"/>
    <cellStyle name="Calculation 3 10 2 6 2" xfId="3386" xr:uid="{8D782868-0619-4E8D-AB9F-FDDB76C7816D}"/>
    <cellStyle name="Calculation 3 10 2 6 3" xfId="25673" xr:uid="{5EC3D0EB-C38F-4310-B6B4-A0AAFD9B10B8}"/>
    <cellStyle name="Calculation 3 10 2 7" xfId="3387" xr:uid="{91EB8BEF-B803-46D3-AA72-E53CF21020D8}"/>
    <cellStyle name="Calculation 3 10 2 7 2" xfId="3388" xr:uid="{73AD0782-68A4-43F2-8B5A-9E437B3E8C3F}"/>
    <cellStyle name="Calculation 3 10 2 7 3" xfId="25674" xr:uid="{2528BF3A-8C6E-4C24-B26E-C5EDE43FABCD}"/>
    <cellStyle name="Calculation 3 10 2 8" xfId="3389" xr:uid="{6F39E102-0A3F-4826-916C-E1C1B40486EE}"/>
    <cellStyle name="Calculation 3 10 2 8 2" xfId="3390" xr:uid="{57875E10-1F9A-40A4-8DEE-5CB852600345}"/>
    <cellStyle name="Calculation 3 10 2 8 3" xfId="25675" xr:uid="{F7DFF35F-32CB-42DD-AEBC-B255D6AD7A61}"/>
    <cellStyle name="Calculation 3 10 2 9" xfId="3391" xr:uid="{ECB82B0F-A790-4840-B5A5-1157025E5B61}"/>
    <cellStyle name="Calculation 3 10 2 9 2" xfId="25676" xr:uid="{06BB35D6-F92A-4C1F-B389-CEFE001ECAFE}"/>
    <cellStyle name="Calculation 3 10 2 9 3" xfId="25677" xr:uid="{E4A9A3C8-027B-45CD-A423-D3B2E2562C50}"/>
    <cellStyle name="Calculation 3 10 3" xfId="3392" xr:uid="{3EE79DF6-EBBF-46F8-8025-81C3AE533EF2}"/>
    <cellStyle name="Calculation 3 10 3 2" xfId="3393" xr:uid="{62F73D99-501A-4770-AE95-B249B3A9D7E7}"/>
    <cellStyle name="Calculation 3 10 3 3" xfId="3394" xr:uid="{ECD348C2-1B9B-4E38-B649-8180B120B795}"/>
    <cellStyle name="Calculation 3 10 3 4" xfId="3395" xr:uid="{66A49958-A9B7-4467-BB8A-D680A3D96733}"/>
    <cellStyle name="Calculation 3 10 4" xfId="3396" xr:uid="{819DD0B0-2A2C-4CF4-8CEB-3FA82C44555E}"/>
    <cellStyle name="Calculation 3 10 4 2" xfId="3397" xr:uid="{424E990D-CB15-4AAC-8416-89E3E62BCD6F}"/>
    <cellStyle name="Calculation 3 10 4 3" xfId="25678" xr:uid="{DCE0DE4A-1C06-40F9-9127-3536C1798924}"/>
    <cellStyle name="Calculation 3 10 5" xfId="3398" xr:uid="{8F974469-994C-4963-B784-DEBC75D997D0}"/>
    <cellStyle name="Calculation 3 10 5 2" xfId="3399" xr:uid="{103A57CE-5BA7-4DED-AA8C-A9D45538D9F4}"/>
    <cellStyle name="Calculation 3 10 5 3" xfId="25679" xr:uid="{49BA0B08-4F34-4C66-85BF-75B32D16F2CB}"/>
    <cellStyle name="Calculation 3 10 6" xfId="3400" xr:uid="{EE15FE34-A1EA-45DE-A4F6-1E163847EDBE}"/>
    <cellStyle name="Calculation 3 10 6 2" xfId="3401" xr:uid="{7F4CB5F7-C4BD-4187-B744-6EAE55A46154}"/>
    <cellStyle name="Calculation 3 10 6 3" xfId="25680" xr:uid="{7DB4E8AE-D82A-487E-8E73-ECB9FBE048D0}"/>
    <cellStyle name="Calculation 3 10 7" xfId="3402" xr:uid="{62C05BF3-C540-4B28-8D9B-5DA287AADCA4}"/>
    <cellStyle name="Calculation 3 10 7 2" xfId="3403" xr:uid="{C6B4C37F-984B-4B0A-9D88-13398BE38CE3}"/>
    <cellStyle name="Calculation 3 10 7 3" xfId="25681" xr:uid="{B24E4581-E9D6-479E-9A0E-F13A4D61053F}"/>
    <cellStyle name="Calculation 3 10 8" xfId="3404" xr:uid="{CB9EEED6-10B5-447F-839F-C0A2879C9EE6}"/>
    <cellStyle name="Calculation 3 10 8 2" xfId="3405" xr:uid="{69AE8E47-E499-4B18-A84D-ECC3955C2770}"/>
    <cellStyle name="Calculation 3 10 8 3" xfId="25682" xr:uid="{120EFDC1-9C96-4D36-B986-6075595DF3B5}"/>
    <cellStyle name="Calculation 3 10 9" xfId="3406" xr:uid="{2C285691-52C2-4549-AB6A-A5E3911BA512}"/>
    <cellStyle name="Calculation 3 10 9 2" xfId="3407" xr:uid="{6100E961-602F-41A0-8574-6845394255F8}"/>
    <cellStyle name="Calculation 3 10 9 3" xfId="25683" xr:uid="{34E337EA-2246-4257-B00A-7DDF94E79E24}"/>
    <cellStyle name="Calculation 3 11" xfId="3408" xr:uid="{2FA76219-7E38-459F-8BF5-3565CFE410BE}"/>
    <cellStyle name="Calculation 3 11 10" xfId="3409" xr:uid="{6D4841F6-3CD4-4784-B096-DBB1B450298E}"/>
    <cellStyle name="Calculation 3 11 10 2" xfId="25684" xr:uid="{C0A53B0A-7B16-43D7-ADAB-310BDA1EB195}"/>
    <cellStyle name="Calculation 3 11 10 3" xfId="25685" xr:uid="{F1E29735-8660-40D9-BC61-5A975DBBBECC}"/>
    <cellStyle name="Calculation 3 11 11" xfId="3410" xr:uid="{9D427F54-487A-44E6-BC6E-DEA730FC3A84}"/>
    <cellStyle name="Calculation 3 11 11 2" xfId="25686" xr:uid="{A844F54F-B345-490D-88E9-87DA685361CF}"/>
    <cellStyle name="Calculation 3 11 12" xfId="25687" xr:uid="{A6B16CD6-CA3C-4E07-A8A1-A1D6B9232DE9}"/>
    <cellStyle name="Calculation 3 11 2" xfId="3411" xr:uid="{116BF624-B4D8-4B68-A330-131869F2030E}"/>
    <cellStyle name="Calculation 3 11 2 10" xfId="3412" xr:uid="{ED3D08F0-BE43-4282-9172-958C3755E35D}"/>
    <cellStyle name="Calculation 3 11 2 10 2" xfId="25688" xr:uid="{98945035-ABF4-4433-88E8-7E89A19A3B47}"/>
    <cellStyle name="Calculation 3 11 2 11" xfId="25689" xr:uid="{2D7D6F62-5F19-40D5-8315-7B51DFAC4DBA}"/>
    <cellStyle name="Calculation 3 11 2 2" xfId="3413" xr:uid="{395CFFAB-8F68-439A-A279-B38C1B64A897}"/>
    <cellStyle name="Calculation 3 11 2 2 2" xfId="3414" xr:uid="{78ADF5EB-FC17-4814-B170-3A103207839C}"/>
    <cellStyle name="Calculation 3 11 2 2 3" xfId="3415" xr:uid="{9ABA33FD-1AB7-4E39-9F76-3CD0B26B1ACF}"/>
    <cellStyle name="Calculation 3 11 2 2 4" xfId="3416" xr:uid="{6A2EA5DC-E119-4FAC-9C66-20C8F1B790C4}"/>
    <cellStyle name="Calculation 3 11 2 3" xfId="3417" xr:uid="{60637B40-565A-4A1A-879F-073C241B25CE}"/>
    <cellStyle name="Calculation 3 11 2 3 2" xfId="3418" xr:uid="{C708E5C4-2824-4E9F-8D8B-ABEDEF6CEDAB}"/>
    <cellStyle name="Calculation 3 11 2 3 3" xfId="25690" xr:uid="{0A27F3BC-660C-4E7B-9C85-6EAFD78CB0B5}"/>
    <cellStyle name="Calculation 3 11 2 4" xfId="3419" xr:uid="{BE61C828-65EF-4253-96B0-05C906B82E99}"/>
    <cellStyle name="Calculation 3 11 2 4 2" xfId="3420" xr:uid="{67B526D7-B5AD-4576-98A1-A5EE6EE04638}"/>
    <cellStyle name="Calculation 3 11 2 4 3" xfId="25691" xr:uid="{466D116A-32F2-4E5B-8CE7-8D4A3C939721}"/>
    <cellStyle name="Calculation 3 11 2 5" xfId="3421" xr:uid="{52CE0598-974B-48B6-99F9-8AC8AC128B2C}"/>
    <cellStyle name="Calculation 3 11 2 5 2" xfId="3422" xr:uid="{301D3D7C-D027-4EFB-8C34-873B09CA08E5}"/>
    <cellStyle name="Calculation 3 11 2 5 3" xfId="25692" xr:uid="{F1CD58E8-3A6F-49BB-AC14-A162264CD2F1}"/>
    <cellStyle name="Calculation 3 11 2 6" xfId="3423" xr:uid="{721C0A7B-0BAB-443E-A5B0-EE7BAA78F82C}"/>
    <cellStyle name="Calculation 3 11 2 6 2" xfId="3424" xr:uid="{17E5CA94-304F-4DC1-A213-CB35EBEA2579}"/>
    <cellStyle name="Calculation 3 11 2 6 3" xfId="25693" xr:uid="{9A58FF94-62BE-4824-89DB-B890EBDC320C}"/>
    <cellStyle name="Calculation 3 11 2 7" xfId="3425" xr:uid="{910EC542-A6A3-413D-B280-2756C6326F92}"/>
    <cellStyle name="Calculation 3 11 2 7 2" xfId="3426" xr:uid="{64DD6673-84E8-428F-ACCF-902C70F4656C}"/>
    <cellStyle name="Calculation 3 11 2 7 3" xfId="25694" xr:uid="{86E2F59D-F913-4196-A1A2-6D3F556BECF9}"/>
    <cellStyle name="Calculation 3 11 2 8" xfId="3427" xr:uid="{C6AF2BE0-1492-421C-BF88-815E38A25998}"/>
    <cellStyle name="Calculation 3 11 2 8 2" xfId="3428" xr:uid="{47AA2BCC-1725-42A9-8096-B3AAC63D119C}"/>
    <cellStyle name="Calculation 3 11 2 8 3" xfId="25695" xr:uid="{12912AA0-AA72-43E7-87AB-9ADD3DDDF6C4}"/>
    <cellStyle name="Calculation 3 11 2 9" xfId="3429" xr:uid="{0E473F24-5A3B-4DC3-9C36-9EE66FC90D41}"/>
    <cellStyle name="Calculation 3 11 2 9 2" xfId="25696" xr:uid="{C2C58AFD-A4DA-49AF-8B63-8DBA7BE1F294}"/>
    <cellStyle name="Calculation 3 11 2 9 3" xfId="25697" xr:uid="{7EC2C3DF-FF08-44F5-B765-EB7F7CC2BFFE}"/>
    <cellStyle name="Calculation 3 11 3" xfId="3430" xr:uid="{5839D6FE-AA0E-4D54-A3F3-BDCCC5402251}"/>
    <cellStyle name="Calculation 3 11 3 2" xfId="3431" xr:uid="{2F8A0780-D884-45A0-B61B-8F34858D2EF8}"/>
    <cellStyle name="Calculation 3 11 3 3" xfId="3432" xr:uid="{C7CD98AF-BC5B-4033-B1DE-D1FBB7749250}"/>
    <cellStyle name="Calculation 3 11 3 4" xfId="3433" xr:uid="{AA73158C-6828-44F0-83F1-38B9066D5217}"/>
    <cellStyle name="Calculation 3 11 4" xfId="3434" xr:uid="{A8E17796-DB21-4641-9F81-8660D59D87DE}"/>
    <cellStyle name="Calculation 3 11 4 2" xfId="3435" xr:uid="{19E536FE-57E6-4E15-A88A-8F7EAA339B4D}"/>
    <cellStyle name="Calculation 3 11 4 3" xfId="25698" xr:uid="{D150B877-149A-47C1-AC80-AB883802049C}"/>
    <cellStyle name="Calculation 3 11 5" xfId="3436" xr:uid="{3B259D8D-BAC9-414C-B27B-C95ACDFF5005}"/>
    <cellStyle name="Calculation 3 11 5 2" xfId="3437" xr:uid="{B9F7849D-0AB0-4EC6-923F-DDE70CBAA13A}"/>
    <cellStyle name="Calculation 3 11 5 3" xfId="25699" xr:uid="{D6926F3F-C066-4ED4-B6DA-A1DF1EE53574}"/>
    <cellStyle name="Calculation 3 11 6" xfId="3438" xr:uid="{4F151292-C83C-429F-A712-EF13D9071A39}"/>
    <cellStyle name="Calculation 3 11 6 2" xfId="3439" xr:uid="{2D4FFC3A-2337-42A0-988B-C3A40B6E076A}"/>
    <cellStyle name="Calculation 3 11 6 3" xfId="25700" xr:uid="{14BB8F14-19DC-47D5-85ED-4BE38C6732E6}"/>
    <cellStyle name="Calculation 3 11 7" xfId="3440" xr:uid="{9E55C4F8-3CA7-414F-A968-87752EBB895B}"/>
    <cellStyle name="Calculation 3 11 7 2" xfId="3441" xr:uid="{3F6DF523-B5B5-4DD7-B659-EAF0E267A666}"/>
    <cellStyle name="Calculation 3 11 7 3" xfId="25701" xr:uid="{9050B494-6348-4EC3-97AB-EE9DCAE3D901}"/>
    <cellStyle name="Calculation 3 11 8" xfId="3442" xr:uid="{F5112328-A4EC-4884-B8A3-E1748FA495D3}"/>
    <cellStyle name="Calculation 3 11 8 2" xfId="3443" xr:uid="{26843F68-72D0-4E77-9AF7-F05BD3E8A6F6}"/>
    <cellStyle name="Calculation 3 11 8 3" xfId="25702" xr:uid="{2F3A549B-8121-42C8-BE81-E670179D6373}"/>
    <cellStyle name="Calculation 3 11 9" xfId="3444" xr:uid="{1603868B-0DAE-407D-8F9B-17B150BDD411}"/>
    <cellStyle name="Calculation 3 11 9 2" xfId="3445" xr:uid="{5D3A756F-C97D-4565-91CD-8A33E112F37E}"/>
    <cellStyle name="Calculation 3 11 9 3" xfId="25703" xr:uid="{EBF864A2-DF7A-4C42-A559-A4E1C7677371}"/>
    <cellStyle name="Calculation 3 12" xfId="3446" xr:uid="{CAA4FD6F-EF5D-4A77-A5D5-FAE4925642B0}"/>
    <cellStyle name="Calculation 3 12 10" xfId="3447" xr:uid="{ADCF332D-F1A9-4326-BD4B-125D5F32F687}"/>
    <cellStyle name="Calculation 3 12 10 2" xfId="25704" xr:uid="{F2B89AC1-7A1E-420D-8334-F3CBF536C859}"/>
    <cellStyle name="Calculation 3 12 11" xfId="25705" xr:uid="{EC2BF17F-2CAE-46E8-B5B7-A002B02C4FBE}"/>
    <cellStyle name="Calculation 3 12 12" xfId="25706" xr:uid="{94170C02-B7F3-492B-B5E1-DC0EDE28E45A}"/>
    <cellStyle name="Calculation 3 12 2" xfId="3448" xr:uid="{FD519E82-2D68-4C0D-9FCE-F29EA83FB807}"/>
    <cellStyle name="Calculation 3 12 2 2" xfId="3449" xr:uid="{20BC94FF-F77C-4B6E-96A5-C956C4CC6F8D}"/>
    <cellStyle name="Calculation 3 12 2 2 2" xfId="25707" xr:uid="{83810C99-8B37-4AD5-AB2F-9B753BB8F7A2}"/>
    <cellStyle name="Calculation 3 12 2 2 3" xfId="25708" xr:uid="{D043F300-5556-4D41-BF5B-30DBA55EBA18}"/>
    <cellStyle name="Calculation 3 12 2 3" xfId="3450" xr:uid="{0F23DBE1-A317-43A2-91DE-1EDA40D04079}"/>
    <cellStyle name="Calculation 3 12 2 3 2" xfId="3451" xr:uid="{1EC81650-6662-42D0-BEF1-D24C71787C01}"/>
    <cellStyle name="Calculation 3 12 2 4" xfId="3452" xr:uid="{FBE28490-B631-44FF-80FE-89C5C1CB574F}"/>
    <cellStyle name="Calculation 3 12 2 4 2" xfId="25709" xr:uid="{3AC6213C-DF1F-4EF4-B3CF-9D5B9DCEE1A6}"/>
    <cellStyle name="Calculation 3 12 2 5" xfId="25710" xr:uid="{06231A9B-1155-4F1A-BC86-9D77E07537AC}"/>
    <cellStyle name="Calculation 3 12 2 6" xfId="25711" xr:uid="{65980989-6000-41D5-9CF3-F51CA9F1A102}"/>
    <cellStyle name="Calculation 3 12 2 7" xfId="25712" xr:uid="{0072A459-7699-46D7-8B32-547CC73FC5D7}"/>
    <cellStyle name="Calculation 3 12 2 8" xfId="25713" xr:uid="{8F9D5CA4-B5A7-4DD5-94B7-96B45BC37240}"/>
    <cellStyle name="Calculation 3 12 3" xfId="3453" xr:uid="{E3F9D598-0400-477F-B879-A629E00EC1C7}"/>
    <cellStyle name="Calculation 3 12 3 2" xfId="3454" xr:uid="{352D1ADD-0FBE-4B50-B425-B2B777CB0551}"/>
    <cellStyle name="Calculation 3 12 3 3" xfId="25714" xr:uid="{B96DA5A8-E14D-4E85-9A02-5DC63098D176}"/>
    <cellStyle name="Calculation 3 12 4" xfId="3455" xr:uid="{D4D447F5-858B-4965-A87A-1F8C4039A2F8}"/>
    <cellStyle name="Calculation 3 12 4 2" xfId="3456" xr:uid="{A594685A-4D1B-45BC-8DE8-E76DC8DC0509}"/>
    <cellStyle name="Calculation 3 12 4 3" xfId="25715" xr:uid="{202C0477-CDBE-49D7-AA92-D15B0F64CD23}"/>
    <cellStyle name="Calculation 3 12 5" xfId="3457" xr:uid="{E16F14DC-B273-45AD-ABD9-366EB06A9ED2}"/>
    <cellStyle name="Calculation 3 12 5 2" xfId="3458" xr:uid="{3506C8A1-1A5A-4EC6-8F28-279C55DF385F}"/>
    <cellStyle name="Calculation 3 12 5 3" xfId="25716" xr:uid="{FFF96EA6-9DC0-436A-8D26-A50D4108A2E5}"/>
    <cellStyle name="Calculation 3 12 6" xfId="3459" xr:uid="{E2E23F13-BEA1-4135-8B22-424A7825EAA9}"/>
    <cellStyle name="Calculation 3 12 6 2" xfId="3460" xr:uid="{8EFAF7B4-43FE-4803-BB6E-5C067856935D}"/>
    <cellStyle name="Calculation 3 12 6 3" xfId="25717" xr:uid="{F409728C-17F1-4CDB-9D1B-41418BAD2DC6}"/>
    <cellStyle name="Calculation 3 12 7" xfId="3461" xr:uid="{BFD2E189-5D14-4144-8056-2EEFCB6C9F5F}"/>
    <cellStyle name="Calculation 3 12 7 2" xfId="3462" xr:uid="{A91C7E52-548C-4975-B90F-117D58D7BCA6}"/>
    <cellStyle name="Calculation 3 12 7 3" xfId="25718" xr:uid="{EC971B08-1E74-4FCD-A31E-2A78CF67220A}"/>
    <cellStyle name="Calculation 3 12 8" xfId="3463" xr:uid="{9916AB55-41DA-4210-A823-FFADDDE551D4}"/>
    <cellStyle name="Calculation 3 12 8 2" xfId="3464" xr:uid="{2935EF80-E67D-4808-BB71-2F2EDCDEF980}"/>
    <cellStyle name="Calculation 3 12 8 3" xfId="25719" xr:uid="{4A8E7652-59DB-4994-96E7-8A11BB8B19BD}"/>
    <cellStyle name="Calculation 3 12 9" xfId="3465" xr:uid="{C909A994-84C8-47CE-B0F4-276F2FAAB7EC}"/>
    <cellStyle name="Calculation 3 12 9 2" xfId="25720" xr:uid="{43EEDDEC-03B6-4E84-8659-18D470473CA5}"/>
    <cellStyle name="Calculation 3 12 9 3" xfId="25721" xr:uid="{2697A37C-7127-4FCD-8AB3-E612F1B2ABB4}"/>
    <cellStyle name="Calculation 3 13" xfId="3466" xr:uid="{DF1B569B-489C-4051-9B34-45D5EBA943AB}"/>
    <cellStyle name="Calculation 3 13 2" xfId="3467" xr:uid="{B7618584-6029-4CE1-BD01-53AB02158462}"/>
    <cellStyle name="Calculation 3 13 3" xfId="3468" xr:uid="{7D426EAD-5632-4598-9627-0BAB10BCA324}"/>
    <cellStyle name="Calculation 3 13 4" xfId="3469" xr:uid="{8D03E896-9309-4E30-95D8-FDD99D877C89}"/>
    <cellStyle name="Calculation 3 14" xfId="3470" xr:uid="{122C2718-58FE-438A-8952-D3A393CC5DA1}"/>
    <cellStyle name="Calculation 3 14 2" xfId="3471" xr:uid="{FC2A59AA-CE45-4024-9464-7FCF09829B03}"/>
    <cellStyle name="Calculation 3 14 3" xfId="25722" xr:uid="{F5055940-2599-4DF7-90C9-EAD17E6FCB6C}"/>
    <cellStyle name="Calculation 3 15" xfId="3472" xr:uid="{EE5343AB-DB22-4196-BAD5-B48E9EA3D84F}"/>
    <cellStyle name="Calculation 3 15 2" xfId="3473" xr:uid="{CEE7D42C-6B56-4DD9-9B0C-31A0729E50EF}"/>
    <cellStyle name="Calculation 3 15 3" xfId="25723" xr:uid="{4CD2D81F-8F2B-47E4-A674-C1FED025BA49}"/>
    <cellStyle name="Calculation 3 16" xfId="3474" xr:uid="{C17362A1-EAC2-4A86-9E6E-3AFAD1D1893F}"/>
    <cellStyle name="Calculation 3 16 2" xfId="3475" xr:uid="{BA7F1785-8E16-4A19-8771-6CD89CD213BC}"/>
    <cellStyle name="Calculation 3 16 3" xfId="25724" xr:uid="{E2A90A91-C3BB-4EEC-AC85-CDC8AD634FF3}"/>
    <cellStyle name="Calculation 3 17" xfId="3476" xr:uid="{A255E062-02A1-48E8-B38F-3362E2EC9D55}"/>
    <cellStyle name="Calculation 3 17 2" xfId="3477" xr:uid="{2E60B3CB-2FA0-4D36-8A32-7548B3795EC5}"/>
    <cellStyle name="Calculation 3 17 3" xfId="25725" xr:uid="{A3A69B0A-88BF-40DA-AB4F-ED506473EC53}"/>
    <cellStyle name="Calculation 3 18" xfId="3478" xr:uid="{71E37A5D-BB90-4871-BB9A-AE781D5EA85C}"/>
    <cellStyle name="Calculation 3 18 2" xfId="3479" xr:uid="{31A5AA41-CB9A-4DF8-817B-521197A1E677}"/>
    <cellStyle name="Calculation 3 18 3" xfId="25726" xr:uid="{E5013D81-32FB-4F4F-A676-2A51D2368B85}"/>
    <cellStyle name="Calculation 3 19" xfId="3480" xr:uid="{70EB9971-A3C2-4B55-B44A-4DB0161ECFB3}"/>
    <cellStyle name="Calculation 3 19 2" xfId="3481" xr:uid="{FD7767EB-DD63-4DB9-8A73-8EFA1AAD8B66}"/>
    <cellStyle name="Calculation 3 19 3" xfId="25727" xr:uid="{98B8F997-5666-4ABF-B37B-A5B02D50D8FB}"/>
    <cellStyle name="Calculation 3 2" xfId="3482" xr:uid="{DC42A6B7-0D79-44CC-94AD-AF91E4A85187}"/>
    <cellStyle name="Calculation 3 2 10" xfId="3483" xr:uid="{61837345-60F1-4CE7-98E2-EF8C9228CE18}"/>
    <cellStyle name="Calculation 3 2 10 2" xfId="25728" xr:uid="{3FD26A85-E5C3-4202-A872-41C360AD1341}"/>
    <cellStyle name="Calculation 3 2 10 3" xfId="25729" xr:uid="{65502710-D6E1-4484-A7E3-4426B1FE79CC}"/>
    <cellStyle name="Calculation 3 2 11" xfId="3484" xr:uid="{EACFD67E-AF6A-41C6-A8E3-A394620ECBD4}"/>
    <cellStyle name="Calculation 3 2 11 2" xfId="25730" xr:uid="{E2BF543F-E79C-4EA0-B9E7-B92D79BC3EC0}"/>
    <cellStyle name="Calculation 3 2 12" xfId="25731" xr:uid="{F3AE275A-F64C-4463-B919-1DB39981891F}"/>
    <cellStyle name="Calculation 3 2 13" xfId="25732" xr:uid="{65030DF0-5AA6-4DF0-A32B-E19CD96FB164}"/>
    <cellStyle name="Calculation 3 2 14" xfId="25733" xr:uid="{E17DA055-D98D-4D91-9F51-F69D16074F50}"/>
    <cellStyle name="Calculation 3 2 15" xfId="42369" xr:uid="{4866A2A6-2555-45A0-9F10-53CB73A3ABFF}"/>
    <cellStyle name="Calculation 3 2 16" xfId="42857" xr:uid="{583592EE-A4D5-44D6-9A6B-21CE2FC54F94}"/>
    <cellStyle name="Calculation 3 2 17" xfId="43526" xr:uid="{182337DC-F15A-4070-96D9-6434C13F0DD3}"/>
    <cellStyle name="Calculation 3 2 18" xfId="44533" xr:uid="{25E23979-19EC-459C-863C-2119F1867160}"/>
    <cellStyle name="Calculation 3 2 19" xfId="45184" xr:uid="{BEEA2009-CE03-4120-B5D1-CC914A160CF5}"/>
    <cellStyle name="Calculation 3 2 2" xfId="3485" xr:uid="{5011BCA9-6C9F-4A37-A340-A1785212A0C4}"/>
    <cellStyle name="Calculation 3 2 2 10" xfId="3486" xr:uid="{28270798-563B-4220-B22F-AC812498F496}"/>
    <cellStyle name="Calculation 3 2 2 10 2" xfId="25734" xr:uid="{6E329066-E0A0-401B-B5D3-C863A422E156}"/>
    <cellStyle name="Calculation 3 2 2 11" xfId="25735" xr:uid="{F39FDD87-8331-4735-8A50-3B3BCF815D6A}"/>
    <cellStyle name="Calculation 3 2 2 12" xfId="44746" xr:uid="{6CF78A8C-F5B1-46D0-8CF9-DAD17ACC5F5A}"/>
    <cellStyle name="Calculation 3 2 2 13" xfId="45140" xr:uid="{668ADC40-72EE-4747-B1DB-DDB77D83935C}"/>
    <cellStyle name="Calculation 3 2 2 14" xfId="45434" xr:uid="{B081A0BB-2A62-4E12-86AF-D41446FE9252}"/>
    <cellStyle name="Calculation 3 2 2 2" xfId="3487" xr:uid="{733C5D57-9FBE-4D92-8945-00BDD9F9C0F1}"/>
    <cellStyle name="Calculation 3 2 2 2 2" xfId="3488" xr:uid="{44405540-0BE5-40A0-8B0E-E911084E90EC}"/>
    <cellStyle name="Calculation 3 2 2 2 3" xfId="3489" xr:uid="{372FA222-991F-4E35-90D4-C6D2DF31E3EC}"/>
    <cellStyle name="Calculation 3 2 2 2 4" xfId="3490" xr:uid="{3EE71984-27DD-4C07-83D3-1D33D2CBFDAF}"/>
    <cellStyle name="Calculation 3 2 2 3" xfId="3491" xr:uid="{10B585D9-567A-4985-B61B-7698B507CE23}"/>
    <cellStyle name="Calculation 3 2 2 3 2" xfId="3492" xr:uid="{98C637FB-61C2-4858-81D3-A9CAC09E7376}"/>
    <cellStyle name="Calculation 3 2 2 3 3" xfId="25736" xr:uid="{983B69DA-B40C-42CA-BDCE-0F02506BD7CA}"/>
    <cellStyle name="Calculation 3 2 2 4" xfId="3493" xr:uid="{C804C43C-2D1E-46C9-A8B9-A3C5A23A1761}"/>
    <cellStyle name="Calculation 3 2 2 4 2" xfId="3494" xr:uid="{9E9B05C9-24C1-4526-82F2-FF5F4E956477}"/>
    <cellStyle name="Calculation 3 2 2 4 3" xfId="25737" xr:uid="{BE5BFD61-CA76-45BC-9C47-F144F130B625}"/>
    <cellStyle name="Calculation 3 2 2 5" xfId="3495" xr:uid="{C647F9FB-3A1B-4DFD-908C-99731D2C35B8}"/>
    <cellStyle name="Calculation 3 2 2 5 2" xfId="3496" xr:uid="{E854E0A6-1458-4D42-A59B-97C40CD5119D}"/>
    <cellStyle name="Calculation 3 2 2 5 3" xfId="25738" xr:uid="{1513F52E-E898-4205-897A-3DC80DC9D97D}"/>
    <cellStyle name="Calculation 3 2 2 6" xfId="3497" xr:uid="{1E501AB5-C379-4B7D-BC6E-05AEB23ADFB5}"/>
    <cellStyle name="Calculation 3 2 2 6 2" xfId="3498" xr:uid="{2BAB8E01-F397-44A8-8719-7C537CD478BC}"/>
    <cellStyle name="Calculation 3 2 2 6 3" xfId="25739" xr:uid="{0CCAFBDF-DFD8-4E75-9E4B-7C7C46CA8FE6}"/>
    <cellStyle name="Calculation 3 2 2 7" xfId="3499" xr:uid="{51B9F62F-D478-49CB-A3F6-F17D108C6ACE}"/>
    <cellStyle name="Calculation 3 2 2 7 2" xfId="3500" xr:uid="{72447EEE-64A6-45A3-8EA7-1EE4D0CECA0D}"/>
    <cellStyle name="Calculation 3 2 2 7 3" xfId="25740" xr:uid="{904C2447-360B-4F92-BB3E-54BC13090EDD}"/>
    <cellStyle name="Calculation 3 2 2 8" xfId="3501" xr:uid="{C84AB186-3C49-4A35-ADF5-4AEB588D7BE7}"/>
    <cellStyle name="Calculation 3 2 2 8 2" xfId="3502" xr:uid="{766F12A0-7407-4BBD-B49E-4724858D5794}"/>
    <cellStyle name="Calculation 3 2 2 8 3" xfId="25741" xr:uid="{42FC430D-8D57-4CC8-9A7E-A952B46C5FE6}"/>
    <cellStyle name="Calculation 3 2 2 9" xfId="3503" xr:uid="{1A3B9D8C-414A-445F-9B1A-E3B0AA770282}"/>
    <cellStyle name="Calculation 3 2 2 9 2" xfId="25742" xr:uid="{26595F27-C79C-489F-9BD3-9A8BABC127B5}"/>
    <cellStyle name="Calculation 3 2 2 9 3" xfId="25743" xr:uid="{F0856452-7CA8-47EB-A053-5BEA03699F68}"/>
    <cellStyle name="Calculation 3 2 20" xfId="45464" xr:uid="{BE761530-6E89-45BF-B276-7C24E1E23E5B}"/>
    <cellStyle name="Calculation 3 2 3" xfId="3504" xr:uid="{0607F57D-080C-40AE-B93F-BCA6BBF9548E}"/>
    <cellStyle name="Calculation 3 2 3 2" xfId="3505" xr:uid="{CD2C8C01-22C6-4D66-8ED8-BC3004D35C53}"/>
    <cellStyle name="Calculation 3 2 3 3" xfId="3506" xr:uid="{AE121FC5-5724-4185-A5AD-1EE229D80289}"/>
    <cellStyle name="Calculation 3 2 3 4" xfId="3507" xr:uid="{89A80F66-BD90-486F-A42E-9EEEA6DEAA90}"/>
    <cellStyle name="Calculation 3 2 4" xfId="3508" xr:uid="{51D0CDB9-5000-4BB8-88B4-9623A854F6B4}"/>
    <cellStyle name="Calculation 3 2 4 2" xfId="3509" xr:uid="{583E2381-55F6-4A1B-9998-417BE5D4E59C}"/>
    <cellStyle name="Calculation 3 2 4 3" xfId="25744" xr:uid="{29F03618-1781-43E5-8E88-9DC5280781F3}"/>
    <cellStyle name="Calculation 3 2 5" xfId="3510" xr:uid="{BA9ECDB4-4133-49E8-A56E-D8F1AEADF08E}"/>
    <cellStyle name="Calculation 3 2 5 2" xfId="3511" xr:uid="{7AE703A3-6BF4-49F1-8423-10634B5DB62A}"/>
    <cellStyle name="Calculation 3 2 5 3" xfId="25745" xr:uid="{AF0C23A2-25EF-4CBA-ADFC-19B2AD8671A5}"/>
    <cellStyle name="Calculation 3 2 6" xfId="3512" xr:uid="{5A1EDCA9-C133-4B53-A725-D6729CEC0341}"/>
    <cellStyle name="Calculation 3 2 6 2" xfId="3513" xr:uid="{C1959387-1555-4A2A-A66D-5C42ADDF3913}"/>
    <cellStyle name="Calculation 3 2 6 3" xfId="25746" xr:uid="{1E297A55-93E5-4980-85A8-EC1A8A1210BD}"/>
    <cellStyle name="Calculation 3 2 7" xfId="3514" xr:uid="{2C72CBDB-E826-43E8-8BD1-8553A5635F06}"/>
    <cellStyle name="Calculation 3 2 7 2" xfId="3515" xr:uid="{FBB7307D-B307-4AAA-8509-2CDE27FA5960}"/>
    <cellStyle name="Calculation 3 2 7 3" xfId="25747" xr:uid="{D2BF8C3E-031B-40EE-B069-CF7B3661964E}"/>
    <cellStyle name="Calculation 3 2 8" xfId="3516" xr:uid="{605696E9-1474-49BA-97A8-06B2427CFB37}"/>
    <cellStyle name="Calculation 3 2 8 2" xfId="3517" xr:uid="{6E5F6877-D636-4212-A731-EEAC2C901C1E}"/>
    <cellStyle name="Calculation 3 2 8 3" xfId="25748" xr:uid="{486F5A79-271B-47F8-9020-6FCB62CF01E9}"/>
    <cellStyle name="Calculation 3 2 9" xfId="3518" xr:uid="{EBDBF79E-2870-42A5-A048-1DB629973526}"/>
    <cellStyle name="Calculation 3 2 9 2" xfId="3519" xr:uid="{1D3D5B4B-4C93-478F-8C24-94F9B8441351}"/>
    <cellStyle name="Calculation 3 2 9 3" xfId="25749" xr:uid="{E50316D3-10F3-45BB-8958-834C3DEE8CAF}"/>
    <cellStyle name="Calculation 3 20" xfId="3520" xr:uid="{7E9EAFE9-D124-4287-A10A-724B69C6BC3E}"/>
    <cellStyle name="Calculation 3 20 2" xfId="25750" xr:uid="{A90F9065-D148-43F7-93FF-24761C238CD0}"/>
    <cellStyle name="Calculation 3 20 3" xfId="25751" xr:uid="{5C13FF3F-C02B-4441-B181-941D9584C9A6}"/>
    <cellStyle name="Calculation 3 21" xfId="3521" xr:uid="{7B8EB333-59C6-45B4-A07E-A5E34EF644D5}"/>
    <cellStyle name="Calculation 3 21 2" xfId="25752" xr:uid="{16308AFE-E1B3-42EC-8174-62BB0C57C7EF}"/>
    <cellStyle name="Calculation 3 22" xfId="25753" xr:uid="{3A955D0D-FEFC-48B1-90C3-E922D00C5E64}"/>
    <cellStyle name="Calculation 3 23" xfId="25754" xr:uid="{498BE9C5-B4CF-4684-A2CA-F7505A08EAA1}"/>
    <cellStyle name="Calculation 3 24" xfId="25755" xr:uid="{1A467C0E-3DA6-449F-9EC4-F5DEADB4DC68}"/>
    <cellStyle name="Calculation 3 25" xfId="42368" xr:uid="{068C9276-0491-4224-93C2-B5967211C385}"/>
    <cellStyle name="Calculation 3 26" xfId="42858" xr:uid="{159E4941-30D6-41AE-B8E8-B3AB50DC8D84}"/>
    <cellStyle name="Calculation 3 27" xfId="43525" xr:uid="{03DB7DCA-CF06-4A54-A2AC-EB6153F0A23E}"/>
    <cellStyle name="Calculation 3 28" xfId="44195" xr:uid="{336E2F2F-1B4E-49F5-B260-24B2C6F5B8EE}"/>
    <cellStyle name="Calculation 3 29" xfId="45064" xr:uid="{1DDA60D7-F1A2-4470-9358-D93D93CAC31E}"/>
    <cellStyle name="Calculation 3 3" xfId="3522" xr:uid="{099B1478-83B1-449A-B7C3-5831C85D9AF5}"/>
    <cellStyle name="Calculation 3 3 10" xfId="3523" xr:uid="{786C38BE-0B39-44CC-8DE1-897F3F6F2A4C}"/>
    <cellStyle name="Calculation 3 3 10 2" xfId="25756" xr:uid="{293D6D74-F1A6-4DC7-9C6D-826A50F03EC6}"/>
    <cellStyle name="Calculation 3 3 10 3" xfId="25757" xr:uid="{1976C1FA-8CFE-471F-BBA2-ECCE81BD4276}"/>
    <cellStyle name="Calculation 3 3 11" xfId="3524" xr:uid="{F44FDCCE-7E81-4481-BF95-A3E7E9156FA5}"/>
    <cellStyle name="Calculation 3 3 11 2" xfId="25758" xr:uid="{D2C5B18D-967B-4610-A2D8-E2E9B8BAA856}"/>
    <cellStyle name="Calculation 3 3 12" xfId="25759" xr:uid="{3DF6844C-6F63-4775-BAD4-8951DD2A7D74}"/>
    <cellStyle name="Calculation 3 3 13" xfId="25760" xr:uid="{3A2A7CE6-EA6D-4583-A0E7-968DC6BE6861}"/>
    <cellStyle name="Calculation 3 3 14" xfId="25761" xr:uid="{4B7EE051-712E-4A09-8539-38E95D8B5C2D}"/>
    <cellStyle name="Calculation 3 3 15" xfId="42370" xr:uid="{515DB8B0-9288-467E-B5A6-DE223A6A4EE5}"/>
    <cellStyle name="Calculation 3 3 16" xfId="42873" xr:uid="{B1CD74B1-F916-4B06-9A2E-051639999FE7}"/>
    <cellStyle name="Calculation 3 3 17" xfId="42856" xr:uid="{43462499-F1A9-4246-B0FC-A3F26B6724B2}"/>
    <cellStyle name="Calculation 3 3 18" xfId="43527" xr:uid="{5059CB33-6D22-4466-BCCC-4EC5236DAE5F}"/>
    <cellStyle name="Calculation 3 3 19" xfId="44520" xr:uid="{DBCB888A-9D0A-4D27-B38C-AFD26F5D256B}"/>
    <cellStyle name="Calculation 3 3 2" xfId="3525" xr:uid="{C8847BA1-C2F6-4C28-B020-996E5EFB291D}"/>
    <cellStyle name="Calculation 3 3 2 10" xfId="3526" xr:uid="{C1D3BCD4-6FF0-4C58-951E-AC460FEB0092}"/>
    <cellStyle name="Calculation 3 3 2 10 2" xfId="25762" xr:uid="{A7798C70-56F8-4963-88CF-0D0972D3E580}"/>
    <cellStyle name="Calculation 3 3 2 11" xfId="25763" xr:uid="{EF70E3C5-10C4-4862-BA32-0FA6D4379789}"/>
    <cellStyle name="Calculation 3 3 2 12" xfId="44732" xr:uid="{02B9F1ED-B071-4B3A-9A46-9F9CBBAB4534}"/>
    <cellStyle name="Calculation 3 3 2 13" xfId="45003" xr:uid="{E4E9CE1C-7113-4CAF-9F89-847B626BF440}"/>
    <cellStyle name="Calculation 3 3 2 14" xfId="44582" xr:uid="{E98ADEF7-809A-4CC9-BBCC-AC258D60E4AF}"/>
    <cellStyle name="Calculation 3 3 2 2" xfId="3527" xr:uid="{CB36D5B0-7CB8-4A6A-A2B5-CEE3C8B8C959}"/>
    <cellStyle name="Calculation 3 3 2 2 2" xfId="3528" xr:uid="{7BAACD77-48FD-4FF6-BB78-D1A033BE6ED1}"/>
    <cellStyle name="Calculation 3 3 2 2 3" xfId="3529" xr:uid="{A751758D-2847-41CD-A96E-30B77A47B884}"/>
    <cellStyle name="Calculation 3 3 2 2 4" xfId="3530" xr:uid="{8FEDB256-F633-49C8-8F9A-C02322208695}"/>
    <cellStyle name="Calculation 3 3 2 3" xfId="3531" xr:uid="{A4567550-7C96-40AC-9D0A-E3BCFF6313B8}"/>
    <cellStyle name="Calculation 3 3 2 3 2" xfId="3532" xr:uid="{16E9FCE9-193B-45D0-82DA-5C44A2D27988}"/>
    <cellStyle name="Calculation 3 3 2 3 3" xfId="25764" xr:uid="{E8BCD971-586B-4B82-AB86-43DA6D8F01C3}"/>
    <cellStyle name="Calculation 3 3 2 4" xfId="3533" xr:uid="{8027B178-06E8-431D-80B3-CB10F2E7F995}"/>
    <cellStyle name="Calculation 3 3 2 4 2" xfId="3534" xr:uid="{A3496FDA-81E5-485A-9943-2EAAE33CA828}"/>
    <cellStyle name="Calculation 3 3 2 4 3" xfId="25765" xr:uid="{B71858D9-2694-4067-B0AE-122325C32EEB}"/>
    <cellStyle name="Calculation 3 3 2 5" xfId="3535" xr:uid="{212A571A-2A37-45DE-97B4-76020DBF2CDD}"/>
    <cellStyle name="Calculation 3 3 2 5 2" xfId="3536" xr:uid="{996C3A5D-9492-4596-AE82-207EFE8EF462}"/>
    <cellStyle name="Calculation 3 3 2 5 3" xfId="25766" xr:uid="{0D82F725-8B7F-4EDC-B230-FA98BB5D2D96}"/>
    <cellStyle name="Calculation 3 3 2 6" xfId="3537" xr:uid="{5CA76F4A-1F71-44EB-BE4D-5404C909195B}"/>
    <cellStyle name="Calculation 3 3 2 6 2" xfId="3538" xr:uid="{981AE18D-35DB-477E-BED4-354B1B4CEFE9}"/>
    <cellStyle name="Calculation 3 3 2 6 3" xfId="25767" xr:uid="{412E819A-1D9A-41A1-9421-021FF4D62F7A}"/>
    <cellStyle name="Calculation 3 3 2 7" xfId="3539" xr:uid="{D9BB5FFA-74EE-4333-865A-1B25EE5095EF}"/>
    <cellStyle name="Calculation 3 3 2 7 2" xfId="3540" xr:uid="{AD3C42F5-CC88-4B0B-82A4-2BD133D0B621}"/>
    <cellStyle name="Calculation 3 3 2 7 3" xfId="25768" xr:uid="{841B39CA-3118-49B8-8EAB-E0231BF57A5E}"/>
    <cellStyle name="Calculation 3 3 2 8" xfId="3541" xr:uid="{9EF520B2-3EFF-42B1-864D-8901840FCF18}"/>
    <cellStyle name="Calculation 3 3 2 8 2" xfId="3542" xr:uid="{D84EB451-87CD-40EA-9D90-74D20BE33546}"/>
    <cellStyle name="Calculation 3 3 2 8 3" xfId="25769" xr:uid="{D77A196F-FD88-4383-8824-55735FDAC4B8}"/>
    <cellStyle name="Calculation 3 3 2 9" xfId="3543" xr:uid="{6AE82584-1C72-49A7-909F-7971BD2BDEB2}"/>
    <cellStyle name="Calculation 3 3 2 9 2" xfId="25770" xr:uid="{40BD7C56-F472-453D-9DD6-BB1B745F13DC}"/>
    <cellStyle name="Calculation 3 3 2 9 3" xfId="25771" xr:uid="{EDA6DF8E-C85C-4FFE-90C0-344136A9C761}"/>
    <cellStyle name="Calculation 3 3 20" xfId="45005" xr:uid="{0F6BE7C1-AAB3-4FE0-B4AA-DEFA0EDCDF68}"/>
    <cellStyle name="Calculation 3 3 21" xfId="45239" xr:uid="{EC51604F-C945-4FCF-992F-CFF337696013}"/>
    <cellStyle name="Calculation 3 3 3" xfId="3544" xr:uid="{0C7E0B86-612D-4C15-BF60-4909DA6EDF00}"/>
    <cellStyle name="Calculation 3 3 3 2" xfId="3545" xr:uid="{F2BADE60-4392-4780-BE93-A043B5961506}"/>
    <cellStyle name="Calculation 3 3 3 3" xfId="3546" xr:uid="{193ADE27-A46F-42F3-BCCB-1015CA1164DD}"/>
    <cellStyle name="Calculation 3 3 3 4" xfId="3547" xr:uid="{8FD040F8-DEEA-4F0D-8E40-710061352314}"/>
    <cellStyle name="Calculation 3 3 4" xfId="3548" xr:uid="{37BF7605-00F7-4B70-B007-C35B1A2657D8}"/>
    <cellStyle name="Calculation 3 3 4 2" xfId="3549" xr:uid="{0C8C35C4-2791-4668-A99F-9B62A12E1987}"/>
    <cellStyle name="Calculation 3 3 4 3" xfId="25772" xr:uid="{8C3C682F-5EFF-4697-A60E-AFE029D75D56}"/>
    <cellStyle name="Calculation 3 3 5" xfId="3550" xr:uid="{44EF0092-11F1-4AA6-8A02-C33A1D97145A}"/>
    <cellStyle name="Calculation 3 3 5 2" xfId="3551" xr:uid="{47F352FC-9FDC-4A62-BD76-8624F83F37BD}"/>
    <cellStyle name="Calculation 3 3 5 3" xfId="25773" xr:uid="{191D26A3-D925-41DE-8DED-821CF6969C72}"/>
    <cellStyle name="Calculation 3 3 6" xfId="3552" xr:uid="{71D7041C-1D69-4FDE-8511-157AC9B5E3E2}"/>
    <cellStyle name="Calculation 3 3 6 2" xfId="3553" xr:uid="{361891A8-4E28-4730-A84C-CCA4705019F1}"/>
    <cellStyle name="Calculation 3 3 6 3" xfId="25774" xr:uid="{1B9F8CEF-FD82-44CC-B858-7A4503E5C2BD}"/>
    <cellStyle name="Calculation 3 3 7" xfId="3554" xr:uid="{A692CFE4-2894-4200-88E8-778DAB275BAF}"/>
    <cellStyle name="Calculation 3 3 7 2" xfId="3555" xr:uid="{B7F833D8-C1BF-492B-81D1-0F05D513A329}"/>
    <cellStyle name="Calculation 3 3 7 3" xfId="25775" xr:uid="{97C4723B-86FF-45E9-A5E0-21E1C6A8F978}"/>
    <cellStyle name="Calculation 3 3 8" xfId="3556" xr:uid="{7E4BF605-BB27-41FC-9D72-CC112CCEB89D}"/>
    <cellStyle name="Calculation 3 3 8 2" xfId="3557" xr:uid="{F4570B06-CC00-40BF-BAA9-752ADF9E6BEE}"/>
    <cellStyle name="Calculation 3 3 8 3" xfId="25776" xr:uid="{F5CC8563-6C92-419F-BA60-A607CD503979}"/>
    <cellStyle name="Calculation 3 3 9" xfId="3558" xr:uid="{66069351-E07D-40D4-9526-2EC53A50D822}"/>
    <cellStyle name="Calculation 3 3 9 2" xfId="3559" xr:uid="{5B2B12D9-50BA-4A62-8644-50C14F8FD79B}"/>
    <cellStyle name="Calculation 3 3 9 3" xfId="25777" xr:uid="{346AD9EF-94ED-4E78-B006-BD85BE6E2C85}"/>
    <cellStyle name="Calculation 3 30" xfId="45400" xr:uid="{EFCBA363-4216-474C-83E7-EF500A5F3103}"/>
    <cellStyle name="Calculation 3 4" xfId="3560" xr:uid="{755DB7CA-8726-46E3-B2DC-8AE3CCC6B20B}"/>
    <cellStyle name="Calculation 3 4 10" xfId="3561" xr:uid="{DF4DB142-3586-434B-AFCE-9CF47D5BB61F}"/>
    <cellStyle name="Calculation 3 4 10 2" xfId="25778" xr:uid="{8E5F4C36-175F-4E74-9157-F07E03242883}"/>
    <cellStyle name="Calculation 3 4 10 3" xfId="25779" xr:uid="{8952B08D-AE59-47CA-937E-540759214F6C}"/>
    <cellStyle name="Calculation 3 4 11" xfId="3562" xr:uid="{C9A21133-C23C-4CB4-A677-86E18BA75067}"/>
    <cellStyle name="Calculation 3 4 11 2" xfId="25780" xr:uid="{47241434-5DAB-447A-912A-2DCD873CDB22}"/>
    <cellStyle name="Calculation 3 4 12" xfId="25781" xr:uid="{79F4898F-AC7B-4F24-8AC3-8F3189F49705}"/>
    <cellStyle name="Calculation 3 4 13" xfId="44602" xr:uid="{B4F28AA8-9A2D-4090-AC23-3451D746E9AC}"/>
    <cellStyle name="Calculation 3 4 14" xfId="43978" xr:uid="{18DFA247-8C4A-4550-9D6D-DCC1B388A736}"/>
    <cellStyle name="Calculation 3 4 15" xfId="45223" xr:uid="{C22F07BB-52D9-4025-9C98-A36C7A4A0FCB}"/>
    <cellStyle name="Calculation 3 4 2" xfId="3563" xr:uid="{49485BAB-8ED8-46DA-969F-87E3B38457F3}"/>
    <cellStyle name="Calculation 3 4 2 10" xfId="3564" xr:uid="{1621DD35-8E85-43CC-838A-EF83F800B543}"/>
    <cellStyle name="Calculation 3 4 2 10 2" xfId="25782" xr:uid="{93DD4E35-7AB2-43C8-9308-90462373448D}"/>
    <cellStyle name="Calculation 3 4 2 11" xfId="25783" xr:uid="{0ED0BBCC-B206-4FB2-999F-D6048B55656D}"/>
    <cellStyle name="Calculation 3 4 2 12" xfId="44815" xr:uid="{34AC08E0-B8FA-4C51-B62D-3DD933248B65}"/>
    <cellStyle name="Calculation 3 4 2 13" xfId="44899" xr:uid="{94B2EE39-21C5-4179-99F4-F6252C28B684}"/>
    <cellStyle name="Calculation 3 4 2 14" xfId="45065" xr:uid="{4331A46B-1974-45D2-AFB1-9041991E2518}"/>
    <cellStyle name="Calculation 3 4 2 2" xfId="3565" xr:uid="{E03416E9-7910-4B37-A1B5-47C20263BEEB}"/>
    <cellStyle name="Calculation 3 4 2 2 2" xfId="3566" xr:uid="{F43D0B0B-7102-4C0B-B37A-419082727BE2}"/>
    <cellStyle name="Calculation 3 4 2 2 3" xfId="3567" xr:uid="{9C138A61-4125-4BB4-B772-25F915F56130}"/>
    <cellStyle name="Calculation 3 4 2 2 4" xfId="3568" xr:uid="{10DB5D7C-AF29-4A15-B508-0F200BDDAB50}"/>
    <cellStyle name="Calculation 3 4 2 3" xfId="3569" xr:uid="{B6BF7FA1-2ECE-4A8F-9015-C0C3EA94EA6F}"/>
    <cellStyle name="Calculation 3 4 2 3 2" xfId="3570" xr:uid="{53B48B08-4A98-46E9-BFF1-1D5E3DDD8A35}"/>
    <cellStyle name="Calculation 3 4 2 3 3" xfId="25784" xr:uid="{F424D731-BEDF-4E56-8939-AEE7C52BAB3D}"/>
    <cellStyle name="Calculation 3 4 2 4" xfId="3571" xr:uid="{7E47AA78-4629-42CF-8BE7-B3A4593CE689}"/>
    <cellStyle name="Calculation 3 4 2 4 2" xfId="3572" xr:uid="{C7B51E0E-15AB-4C43-A69C-1485904E2C09}"/>
    <cellStyle name="Calculation 3 4 2 4 3" xfId="25785" xr:uid="{48EE49B5-4D69-4317-A5A1-1E408C7D26F6}"/>
    <cellStyle name="Calculation 3 4 2 5" xfId="3573" xr:uid="{3BCF294D-4F4D-472E-8017-97181CC63648}"/>
    <cellStyle name="Calculation 3 4 2 5 2" xfId="3574" xr:uid="{E4B84A91-277A-4F86-86B3-155B823E0FEC}"/>
    <cellStyle name="Calculation 3 4 2 5 3" xfId="25786" xr:uid="{9686FC65-6863-4D88-AD93-7A0628E596BD}"/>
    <cellStyle name="Calculation 3 4 2 6" xfId="3575" xr:uid="{6605EFAF-D82E-42C8-9149-AF8E3A5BDD4C}"/>
    <cellStyle name="Calculation 3 4 2 6 2" xfId="3576" xr:uid="{E9E17417-E127-4CD9-A7DC-82A75BF7129B}"/>
    <cellStyle name="Calculation 3 4 2 6 3" xfId="25787" xr:uid="{9DE38005-2D9F-4E8E-8E6F-46118275F044}"/>
    <cellStyle name="Calculation 3 4 2 7" xfId="3577" xr:uid="{684F450F-2522-4E1B-AFAB-2AB8E7553EF7}"/>
    <cellStyle name="Calculation 3 4 2 7 2" xfId="3578" xr:uid="{673D407B-BD4A-4338-A563-B59E72B7CB3D}"/>
    <cellStyle name="Calculation 3 4 2 7 3" xfId="25788" xr:uid="{A0E05304-7268-4BF2-BBCB-8388DAB16BC9}"/>
    <cellStyle name="Calculation 3 4 2 8" xfId="3579" xr:uid="{F6BFBF7F-BFBF-48EF-BCB6-84C2DC32E212}"/>
    <cellStyle name="Calculation 3 4 2 8 2" xfId="3580" xr:uid="{79F38613-D61C-4B51-BE30-32C154E754AD}"/>
    <cellStyle name="Calculation 3 4 2 8 3" xfId="25789" xr:uid="{1E2C1E95-1D4A-41B8-A7EB-53FE69938C4B}"/>
    <cellStyle name="Calculation 3 4 2 9" xfId="3581" xr:uid="{1AEBB9D5-02D5-45C1-8B2F-79EAAB0713BB}"/>
    <cellStyle name="Calculation 3 4 2 9 2" xfId="25790" xr:uid="{8C286F92-0154-4D6C-8A5D-9C85F8086E59}"/>
    <cellStyle name="Calculation 3 4 2 9 3" xfId="25791" xr:uid="{CFD3E3CF-71FA-416D-81C0-C7CF6B6389EA}"/>
    <cellStyle name="Calculation 3 4 3" xfId="3582" xr:uid="{3CB933C2-A849-4BA8-9450-2DBC4753E06A}"/>
    <cellStyle name="Calculation 3 4 3 2" xfId="3583" xr:uid="{373B1CAE-4B5E-445C-A325-C5095F1A4285}"/>
    <cellStyle name="Calculation 3 4 3 3" xfId="3584" xr:uid="{F1CF78B7-F121-4ADB-A6A5-039F4EA836A5}"/>
    <cellStyle name="Calculation 3 4 3 4" xfId="3585" xr:uid="{8D57D0B9-DF85-456C-B079-8E19A21601FE}"/>
    <cellStyle name="Calculation 3 4 4" xfId="3586" xr:uid="{57A7A468-A10F-4C3F-9ED3-7C34B755E17E}"/>
    <cellStyle name="Calculation 3 4 4 2" xfId="3587" xr:uid="{73466489-6CB7-4645-A761-D326CA6181B2}"/>
    <cellStyle name="Calculation 3 4 4 3" xfId="25792" xr:uid="{847C3104-550C-4196-A425-72BC3442DE29}"/>
    <cellStyle name="Calculation 3 4 5" xfId="3588" xr:uid="{B65D96A5-6165-4092-8D52-D991DF051C53}"/>
    <cellStyle name="Calculation 3 4 5 2" xfId="3589" xr:uid="{43CD20E0-3602-486A-9A35-F96B6A8364C2}"/>
    <cellStyle name="Calculation 3 4 5 3" xfId="25793" xr:uid="{E8A17D3F-670B-4AC3-B4B5-001AE821EABB}"/>
    <cellStyle name="Calculation 3 4 6" xfId="3590" xr:uid="{169CA210-3F2D-4FAE-9F4F-B9B5068FCB49}"/>
    <cellStyle name="Calculation 3 4 6 2" xfId="3591" xr:uid="{90DA747D-9718-4E0C-8A8D-DAAAC2FF20E4}"/>
    <cellStyle name="Calculation 3 4 6 3" xfId="25794" xr:uid="{34CB2D8D-D64D-4A8A-A8B0-ABD37A532870}"/>
    <cellStyle name="Calculation 3 4 7" xfId="3592" xr:uid="{6BC82406-F6B6-4A88-A18D-57B4FA56EBF3}"/>
    <cellStyle name="Calculation 3 4 7 2" xfId="3593" xr:uid="{18C1F702-DC99-40A3-B37F-B7808A3E5E91}"/>
    <cellStyle name="Calculation 3 4 7 3" xfId="25795" xr:uid="{F0029670-5FD7-43E2-BBC3-F39A74A87246}"/>
    <cellStyle name="Calculation 3 4 8" xfId="3594" xr:uid="{28AB0782-8B49-4238-A086-61509B537460}"/>
    <cellStyle name="Calculation 3 4 8 2" xfId="3595" xr:uid="{26F88BFE-99DE-4F6D-A93D-C76E40697A7E}"/>
    <cellStyle name="Calculation 3 4 8 3" xfId="25796" xr:uid="{38A8C918-D45D-4BFF-BDFC-5CF74C0467E3}"/>
    <cellStyle name="Calculation 3 4 9" xfId="3596" xr:uid="{861EA34F-B773-4858-9625-F928579F896D}"/>
    <cellStyle name="Calculation 3 4 9 2" xfId="3597" xr:uid="{B7D4040F-056D-4E8A-9BDC-BF59DB919FF2}"/>
    <cellStyle name="Calculation 3 4 9 3" xfId="25797" xr:uid="{3969FE17-95EC-4DFA-8091-D2E566C1054B}"/>
    <cellStyle name="Calculation 3 5" xfId="3598" xr:uid="{EEB2322F-F005-4273-857B-6B4F582805AF}"/>
    <cellStyle name="Calculation 3 5 10" xfId="3599" xr:uid="{A8A4507B-FFF4-42FB-AB60-6C03D8544880}"/>
    <cellStyle name="Calculation 3 5 10 2" xfId="25798" xr:uid="{1CB625C0-A4BC-4743-A1DD-8A7B2C37C0FF}"/>
    <cellStyle name="Calculation 3 5 10 3" xfId="25799" xr:uid="{515B3012-A763-4C05-A6C8-51B3BEFA4768}"/>
    <cellStyle name="Calculation 3 5 11" xfId="3600" xr:uid="{B62C59CD-B9AE-469F-8B49-029F61FE474C}"/>
    <cellStyle name="Calculation 3 5 11 2" xfId="25800" xr:uid="{4EFFFB1F-2C9E-4BFF-9B5F-EC6B027A63B0}"/>
    <cellStyle name="Calculation 3 5 12" xfId="25801" xr:uid="{A7ECD3D6-0C8E-49A9-8E50-068A75779271}"/>
    <cellStyle name="Calculation 3 5 13" xfId="44634" xr:uid="{ADFD13C6-26CF-451F-BD56-7288145EEE3B}"/>
    <cellStyle name="Calculation 3 5 14" xfId="45352" xr:uid="{3E3F8B2F-B345-4E41-9995-8B5ECBDA6DBC}"/>
    <cellStyle name="Calculation 3 5 15" xfId="45575" xr:uid="{2A1D3764-263D-429C-94E2-112288E4052A}"/>
    <cellStyle name="Calculation 3 5 2" xfId="3601" xr:uid="{285581E2-4519-4BD1-831A-4A8FF594A098}"/>
    <cellStyle name="Calculation 3 5 2 10" xfId="3602" xr:uid="{FF2B0AD7-DB21-4C4D-B6EA-80CCC7D4C9BF}"/>
    <cellStyle name="Calculation 3 5 2 10 2" xfId="25802" xr:uid="{3743A21A-69B1-4FE3-B6EF-E9CA7F55F43E}"/>
    <cellStyle name="Calculation 3 5 2 11" xfId="25803" xr:uid="{F8D8C07A-3861-402F-8E88-C9DEB7A39F47}"/>
    <cellStyle name="Calculation 3 5 2 2" xfId="3603" xr:uid="{9A558CF4-5169-4409-B91A-D5F87F7DFE04}"/>
    <cellStyle name="Calculation 3 5 2 2 2" xfId="3604" xr:uid="{3CB7F24A-DFEB-41DF-BF8F-32E1D2610AB7}"/>
    <cellStyle name="Calculation 3 5 2 2 3" xfId="3605" xr:uid="{CBE058BB-EF91-4F4A-A08D-D321C598EE45}"/>
    <cellStyle name="Calculation 3 5 2 2 4" xfId="3606" xr:uid="{DF347902-B50C-4038-8884-5C92531B4E4B}"/>
    <cellStyle name="Calculation 3 5 2 3" xfId="3607" xr:uid="{884B613C-8769-478B-83E0-AEE06CDB2B27}"/>
    <cellStyle name="Calculation 3 5 2 3 2" xfId="3608" xr:uid="{ED3A78B6-1225-4841-9142-8DCBCA01D6BE}"/>
    <cellStyle name="Calculation 3 5 2 3 3" xfId="25804" xr:uid="{A33B7F52-9FA3-4362-A398-6668A63AB2EA}"/>
    <cellStyle name="Calculation 3 5 2 4" xfId="3609" xr:uid="{CB5726AF-5A06-4392-85D5-8064F25A7282}"/>
    <cellStyle name="Calculation 3 5 2 4 2" xfId="3610" xr:uid="{01C40B7E-3CE1-4ADA-B54C-B1CDE3F179F0}"/>
    <cellStyle name="Calculation 3 5 2 4 3" xfId="25805" xr:uid="{6D68D495-EBE2-4C71-BD84-17ADA96DFA56}"/>
    <cellStyle name="Calculation 3 5 2 5" xfId="3611" xr:uid="{7EFF99AE-FB9B-4AA0-9A08-A08EA1673198}"/>
    <cellStyle name="Calculation 3 5 2 5 2" xfId="3612" xr:uid="{8E835020-DBC1-43A6-8ECD-6FE8935C1B83}"/>
    <cellStyle name="Calculation 3 5 2 5 3" xfId="25806" xr:uid="{F5FB72E6-96CD-4C7B-B5AC-806ABC2BA47B}"/>
    <cellStyle name="Calculation 3 5 2 6" xfId="3613" xr:uid="{15A4FFD5-A907-4774-AED6-98AD485071E6}"/>
    <cellStyle name="Calculation 3 5 2 6 2" xfId="3614" xr:uid="{F2825D17-3C11-41EA-8B71-297ED392D70C}"/>
    <cellStyle name="Calculation 3 5 2 6 3" xfId="25807" xr:uid="{F56FAF10-697F-4DB4-A947-CBBA9B2910CC}"/>
    <cellStyle name="Calculation 3 5 2 7" xfId="3615" xr:uid="{3F24DDD1-DB0D-40C0-88CB-F40736EA2EE0}"/>
    <cellStyle name="Calculation 3 5 2 7 2" xfId="3616" xr:uid="{7A1497B0-ECF8-417E-A812-54F23434B1EC}"/>
    <cellStyle name="Calculation 3 5 2 7 3" xfId="25808" xr:uid="{3BBF1D10-A368-4863-A7C5-EAF5C3096FF8}"/>
    <cellStyle name="Calculation 3 5 2 8" xfId="3617" xr:uid="{5B0C9B66-A995-436A-8C50-1BEDF0E44B69}"/>
    <cellStyle name="Calculation 3 5 2 8 2" xfId="3618" xr:uid="{5846B4F0-1B50-4ABC-A599-569D97D37BAC}"/>
    <cellStyle name="Calculation 3 5 2 8 3" xfId="25809" xr:uid="{2F04F95F-83AE-4950-B336-D5C749354808}"/>
    <cellStyle name="Calculation 3 5 2 9" xfId="3619" xr:uid="{A4F7BCA6-C740-47D7-9B1A-D5D0CA2DCEE2}"/>
    <cellStyle name="Calculation 3 5 2 9 2" xfId="25810" xr:uid="{0230509F-9D23-4250-B411-848AFE78AB9B}"/>
    <cellStyle name="Calculation 3 5 2 9 3" xfId="25811" xr:uid="{710858D2-0290-4FCC-AE8D-73F0D045A48A}"/>
    <cellStyle name="Calculation 3 5 3" xfId="3620" xr:uid="{CB91E595-EB52-42EC-87EC-CF54F0EDB3D0}"/>
    <cellStyle name="Calculation 3 5 3 2" xfId="3621" xr:uid="{C0AB8274-3B5C-4287-8236-53C746D855A4}"/>
    <cellStyle name="Calculation 3 5 3 3" xfId="3622" xr:uid="{A2AC1429-D0FA-48CB-9CD4-13F35FBD1058}"/>
    <cellStyle name="Calculation 3 5 3 4" xfId="3623" xr:uid="{BB28CE18-E331-45E7-9DCC-8E3F9A51BCC4}"/>
    <cellStyle name="Calculation 3 5 4" xfId="3624" xr:uid="{F3D571A9-132B-4323-8752-C60F5551049D}"/>
    <cellStyle name="Calculation 3 5 4 2" xfId="3625" xr:uid="{676233D3-0BFE-4A51-9B76-9FD1D4D104AE}"/>
    <cellStyle name="Calculation 3 5 4 3" xfId="25812" xr:uid="{396B2418-C770-4946-8E3C-9FC0C7FC4D2D}"/>
    <cellStyle name="Calculation 3 5 5" xfId="3626" xr:uid="{AF845B45-DEB1-4C64-8FF7-056A26158670}"/>
    <cellStyle name="Calculation 3 5 5 2" xfId="3627" xr:uid="{D270C4C2-3B97-477A-A8B4-2B0D7F3B028D}"/>
    <cellStyle name="Calculation 3 5 5 3" xfId="25813" xr:uid="{18DA83AD-641B-469C-B509-72F79E3606F1}"/>
    <cellStyle name="Calculation 3 5 6" xfId="3628" xr:uid="{74CD7CA5-005B-4514-B98E-0F8995648396}"/>
    <cellStyle name="Calculation 3 5 6 2" xfId="3629" xr:uid="{A5E17C4D-610A-45EB-B4BE-3B97754DB51E}"/>
    <cellStyle name="Calculation 3 5 6 3" xfId="25814" xr:uid="{E250E21D-D443-4CF4-AAFF-2D43A00DDDEF}"/>
    <cellStyle name="Calculation 3 5 7" xfId="3630" xr:uid="{91FCB740-16C9-485C-B678-592831D478DF}"/>
    <cellStyle name="Calculation 3 5 7 2" xfId="3631" xr:uid="{7F8DDCDE-EE90-4B2C-B2BA-03D7091ED887}"/>
    <cellStyle name="Calculation 3 5 7 3" xfId="25815" xr:uid="{A53868DC-1E3C-4253-9E3D-7A871B3C922C}"/>
    <cellStyle name="Calculation 3 5 8" xfId="3632" xr:uid="{B39A61BB-6FD7-4E08-90F5-7997C92F7E5C}"/>
    <cellStyle name="Calculation 3 5 8 2" xfId="3633" xr:uid="{153B8066-A63E-4828-980C-00A8F0CCEB48}"/>
    <cellStyle name="Calculation 3 5 8 3" xfId="25816" xr:uid="{657A2339-83CF-4A9E-A012-14E386BCD1B9}"/>
    <cellStyle name="Calculation 3 5 9" xfId="3634" xr:uid="{24D31BAD-557F-4457-BF55-85AB4E875B55}"/>
    <cellStyle name="Calculation 3 5 9 2" xfId="3635" xr:uid="{3926F27E-DAD3-41DD-ADBA-381D72A2E0F8}"/>
    <cellStyle name="Calculation 3 5 9 3" xfId="25817" xr:uid="{0FFDBEB1-FA0D-4E0A-8CF4-C3FC23C38690}"/>
    <cellStyle name="Calculation 3 6" xfId="3636" xr:uid="{AD249D7F-5E58-4194-A97F-E4AD439F8D9D}"/>
    <cellStyle name="Calculation 3 6 10" xfId="3637" xr:uid="{C7E04167-D0E5-487C-9AB4-FB737CFCA988}"/>
    <cellStyle name="Calculation 3 6 10 2" xfId="25818" xr:uid="{2DD4B353-3115-4C41-B29D-267B4EF12FFB}"/>
    <cellStyle name="Calculation 3 6 10 3" xfId="25819" xr:uid="{2DE9451C-C1FB-4088-B7E5-07A6093A3AD8}"/>
    <cellStyle name="Calculation 3 6 11" xfId="3638" xr:uid="{97997244-D8AC-4B24-B595-624360D1B702}"/>
    <cellStyle name="Calculation 3 6 11 2" xfId="25820" xr:uid="{16BCD1D7-531A-4D16-8BFB-4C19C3E2B6FE}"/>
    <cellStyle name="Calculation 3 6 12" xfId="25821" xr:uid="{279C7B49-AE23-402E-8B09-F60267B1C6DC}"/>
    <cellStyle name="Calculation 3 6 2" xfId="3639" xr:uid="{1652AECC-E982-4CFE-A21C-9BECBA424DDA}"/>
    <cellStyle name="Calculation 3 6 2 10" xfId="3640" xr:uid="{19BC13E8-54C7-4E37-9A07-BB0F699D71AE}"/>
    <cellStyle name="Calculation 3 6 2 10 2" xfId="25822" xr:uid="{3E59A4DA-636D-43B2-A990-8625309C1CB4}"/>
    <cellStyle name="Calculation 3 6 2 11" xfId="25823" xr:uid="{C647159F-478B-4F61-A307-D7E15D8D14FD}"/>
    <cellStyle name="Calculation 3 6 2 2" xfId="3641" xr:uid="{C5B524AF-0D12-4ABF-89C8-0F2447DB336E}"/>
    <cellStyle name="Calculation 3 6 2 2 2" xfId="3642" xr:uid="{CDD98308-0A63-4ED5-B54C-4D5287FDAEB3}"/>
    <cellStyle name="Calculation 3 6 2 2 3" xfId="3643" xr:uid="{EF1D10DE-31CE-44FD-830E-061FAB41C86C}"/>
    <cellStyle name="Calculation 3 6 2 2 4" xfId="3644" xr:uid="{A75D2891-A5DC-481B-9F8E-ED217A2508F3}"/>
    <cellStyle name="Calculation 3 6 2 3" xfId="3645" xr:uid="{45ADF72B-484B-47C4-8AF2-5A607F9DA035}"/>
    <cellStyle name="Calculation 3 6 2 3 2" xfId="3646" xr:uid="{E23404D7-A621-4669-9433-FB4894F9174E}"/>
    <cellStyle name="Calculation 3 6 2 3 3" xfId="25824" xr:uid="{94DAE2C5-D849-406F-BFC9-619A4FEA2386}"/>
    <cellStyle name="Calculation 3 6 2 4" xfId="3647" xr:uid="{F4AE66E6-43FE-4509-9CEF-0BD8FC399093}"/>
    <cellStyle name="Calculation 3 6 2 4 2" xfId="3648" xr:uid="{17FC66C2-1ED5-449B-A841-47DE0BA48D88}"/>
    <cellStyle name="Calculation 3 6 2 4 3" xfId="25825" xr:uid="{2144B73E-B7F9-4174-BE50-050D672B5769}"/>
    <cellStyle name="Calculation 3 6 2 5" xfId="3649" xr:uid="{DBB6A7E8-FF3F-4B8C-B462-1CB575794622}"/>
    <cellStyle name="Calculation 3 6 2 5 2" xfId="3650" xr:uid="{48124C28-F686-4DD1-A829-30C51059B4B9}"/>
    <cellStyle name="Calculation 3 6 2 5 3" xfId="25826" xr:uid="{150AAD38-BC25-4FA1-BAC6-BDE7A15D109D}"/>
    <cellStyle name="Calculation 3 6 2 6" xfId="3651" xr:uid="{5D36A1BD-FD21-4C48-ADE0-0EE690A42D6A}"/>
    <cellStyle name="Calculation 3 6 2 6 2" xfId="3652" xr:uid="{556E19DA-1497-4189-9203-F45E52099A0E}"/>
    <cellStyle name="Calculation 3 6 2 6 3" xfId="25827" xr:uid="{5AACFC33-CD32-4CAD-833E-E82FCDA5AA8B}"/>
    <cellStyle name="Calculation 3 6 2 7" xfId="3653" xr:uid="{B4216071-F083-4AB7-9DD6-A649B6DA770C}"/>
    <cellStyle name="Calculation 3 6 2 7 2" xfId="3654" xr:uid="{57F870CD-C79C-454A-A1AA-65118D2C8FA9}"/>
    <cellStyle name="Calculation 3 6 2 7 3" xfId="25828" xr:uid="{0A7A8261-C7A9-4984-ADED-92D332FC2EF7}"/>
    <cellStyle name="Calculation 3 6 2 8" xfId="3655" xr:uid="{5455B827-8FF5-4703-B058-20A120592308}"/>
    <cellStyle name="Calculation 3 6 2 8 2" xfId="3656" xr:uid="{9037F08D-8ED1-4CBF-B234-4E80E47CDC06}"/>
    <cellStyle name="Calculation 3 6 2 8 3" xfId="25829" xr:uid="{B3F183EE-3197-44C5-B58E-DA21F3A37509}"/>
    <cellStyle name="Calculation 3 6 2 9" xfId="3657" xr:uid="{42836DBC-432C-4098-8820-513DFB954F95}"/>
    <cellStyle name="Calculation 3 6 2 9 2" xfId="25830" xr:uid="{7EE12CCF-E102-4760-B2DA-8CE1886BD282}"/>
    <cellStyle name="Calculation 3 6 2 9 3" xfId="25831" xr:uid="{6ABE006C-0D12-40DC-A0A6-8D7B1FF4925B}"/>
    <cellStyle name="Calculation 3 6 3" xfId="3658" xr:uid="{679E91A1-89F6-4FDF-89D3-287D9F2FA2A5}"/>
    <cellStyle name="Calculation 3 6 3 2" xfId="3659" xr:uid="{D7230396-E52A-4A5E-9681-9E0F8D6F87DA}"/>
    <cellStyle name="Calculation 3 6 3 3" xfId="3660" xr:uid="{2AB087B8-F892-4FE9-AE13-87920A036B2A}"/>
    <cellStyle name="Calculation 3 6 3 4" xfId="3661" xr:uid="{167C56D8-C9A2-4EA0-BE29-2E4BA9A7D01D}"/>
    <cellStyle name="Calculation 3 6 4" xfId="3662" xr:uid="{0BF0AE32-105A-43A0-AB8B-D05928FFABE1}"/>
    <cellStyle name="Calculation 3 6 4 2" xfId="3663" xr:uid="{80530DB3-0CD7-46C9-8568-47126B001C5F}"/>
    <cellStyle name="Calculation 3 6 4 3" xfId="25832" xr:uid="{09AF0D2B-171B-49C2-B639-1911D91A4FE3}"/>
    <cellStyle name="Calculation 3 6 5" xfId="3664" xr:uid="{72E87E55-36FB-4CA8-B2C9-4E7D0334A27B}"/>
    <cellStyle name="Calculation 3 6 5 2" xfId="3665" xr:uid="{E6198720-3A2A-43C7-84E6-504662154AA8}"/>
    <cellStyle name="Calculation 3 6 5 3" xfId="25833" xr:uid="{2038FA2B-1B99-41B5-BDE9-A53F81C7F5AD}"/>
    <cellStyle name="Calculation 3 6 6" xfId="3666" xr:uid="{C5D124FE-6CCB-4670-9771-AA6CB93A6FD0}"/>
    <cellStyle name="Calculation 3 6 6 2" xfId="3667" xr:uid="{CD1D2082-23F4-463D-83B9-F586FDA0979F}"/>
    <cellStyle name="Calculation 3 6 6 3" xfId="25834" xr:uid="{C98D1CBD-3D8E-4EE0-9EBC-7E919D850162}"/>
    <cellStyle name="Calculation 3 6 7" xfId="3668" xr:uid="{352FD2A4-B071-43A4-B73F-843EF2789DCE}"/>
    <cellStyle name="Calculation 3 6 7 2" xfId="3669" xr:uid="{2E4DF1A8-810E-4A43-84DF-F65D0955B1C3}"/>
    <cellStyle name="Calculation 3 6 7 3" xfId="25835" xr:uid="{1CC99BCC-8FD3-44FB-BA28-240C1EACC136}"/>
    <cellStyle name="Calculation 3 6 8" xfId="3670" xr:uid="{D249B5D7-4144-415E-A521-AA46BE613D8E}"/>
    <cellStyle name="Calculation 3 6 8 2" xfId="3671" xr:uid="{0DC3A694-7F6F-4F10-A8A5-167B48483403}"/>
    <cellStyle name="Calculation 3 6 8 3" xfId="25836" xr:uid="{C11E5A11-2F23-4016-A005-22A1D74BBEA6}"/>
    <cellStyle name="Calculation 3 6 9" xfId="3672" xr:uid="{DA630363-2FBE-4930-A92F-5C22160163EC}"/>
    <cellStyle name="Calculation 3 6 9 2" xfId="3673" xr:uid="{E75085D5-5033-446B-9B29-D8BECA79D142}"/>
    <cellStyle name="Calculation 3 6 9 3" xfId="25837" xr:uid="{7B1DC9EC-FE9A-4395-BB08-F9EBB324EC34}"/>
    <cellStyle name="Calculation 3 7" xfId="3674" xr:uid="{2C4AA552-A0B3-47D6-9404-BF0FEE9A6609}"/>
    <cellStyle name="Calculation 3 7 10" xfId="3675" xr:uid="{9D2BC236-B1DF-46EF-87C6-7758AF4CE021}"/>
    <cellStyle name="Calculation 3 7 10 2" xfId="25838" xr:uid="{F186E9A7-E1C1-47EF-A070-99824A22E582}"/>
    <cellStyle name="Calculation 3 7 10 3" xfId="25839" xr:uid="{2E16480F-54EE-4CF5-9A0A-1B3B6E45B172}"/>
    <cellStyle name="Calculation 3 7 11" xfId="3676" xr:uid="{BE1D4FF3-EF65-4909-A778-B1C42B5CCBD1}"/>
    <cellStyle name="Calculation 3 7 11 2" xfId="25840" xr:uid="{3944B48C-6B45-4AAF-8F3F-00466312B91F}"/>
    <cellStyle name="Calculation 3 7 12" xfId="25841" xr:uid="{2D77CDC0-A6A7-4DB3-9FA3-CA9BCCDFF679}"/>
    <cellStyle name="Calculation 3 7 2" xfId="3677" xr:uid="{63F980B0-005A-4869-AC5B-65BD3414DF23}"/>
    <cellStyle name="Calculation 3 7 2 10" xfId="3678" xr:uid="{1168D739-64CB-47E7-B95D-857106529D5D}"/>
    <cellStyle name="Calculation 3 7 2 10 2" xfId="25842" xr:uid="{17BD35C1-8B19-44FB-93C2-3F6F3644E985}"/>
    <cellStyle name="Calculation 3 7 2 11" xfId="25843" xr:uid="{2A7A3E54-D6CA-4742-83DA-B722B1907D6C}"/>
    <cellStyle name="Calculation 3 7 2 2" xfId="3679" xr:uid="{8F76DD50-8AFA-47A2-A7D5-5A49A03D5C61}"/>
    <cellStyle name="Calculation 3 7 2 2 2" xfId="3680" xr:uid="{8946457B-0B84-47C0-8422-1C5231091438}"/>
    <cellStyle name="Calculation 3 7 2 2 3" xfId="3681" xr:uid="{C3E2E962-3094-4C21-913E-B66043E2466E}"/>
    <cellStyle name="Calculation 3 7 2 2 4" xfId="3682" xr:uid="{3E1C7682-E07B-4069-BD61-7BD752C66758}"/>
    <cellStyle name="Calculation 3 7 2 3" xfId="3683" xr:uid="{2B28080D-BEA2-46FE-9341-2490B9EB543D}"/>
    <cellStyle name="Calculation 3 7 2 3 2" xfId="3684" xr:uid="{DEDC6CEB-0558-46EE-9B9E-2CF7FD5B9D2C}"/>
    <cellStyle name="Calculation 3 7 2 3 3" xfId="25844" xr:uid="{77E1D22F-B83E-425D-9312-2F4840BBC484}"/>
    <cellStyle name="Calculation 3 7 2 4" xfId="3685" xr:uid="{50B870B4-A9AB-4778-84A7-0A916205A5A3}"/>
    <cellStyle name="Calculation 3 7 2 4 2" xfId="3686" xr:uid="{567D93B1-F474-4B7B-9688-248A7A45E19B}"/>
    <cellStyle name="Calculation 3 7 2 4 3" xfId="25845" xr:uid="{E7605676-B92D-4D5A-A518-0FCC6E7C2666}"/>
    <cellStyle name="Calculation 3 7 2 5" xfId="3687" xr:uid="{9495D174-BFE4-48BE-859A-51977F144448}"/>
    <cellStyle name="Calculation 3 7 2 5 2" xfId="3688" xr:uid="{9275DDF1-C41F-4420-9300-BDBB6301A224}"/>
    <cellStyle name="Calculation 3 7 2 5 3" xfId="25846" xr:uid="{C79A700B-D59F-4BEE-8FD2-925DCB0AFBFC}"/>
    <cellStyle name="Calculation 3 7 2 6" xfId="3689" xr:uid="{D06BC063-388A-49D3-944F-9BE7EA48DC93}"/>
    <cellStyle name="Calculation 3 7 2 6 2" xfId="3690" xr:uid="{C5CF9890-E0B7-49B7-BAD5-4295AA396574}"/>
    <cellStyle name="Calculation 3 7 2 6 3" xfId="25847" xr:uid="{D20721CD-4C82-4F6E-8FFA-BF1D1C8F7363}"/>
    <cellStyle name="Calculation 3 7 2 7" xfId="3691" xr:uid="{CE2F5939-7B61-4EB6-B13A-E64A9C967C33}"/>
    <cellStyle name="Calculation 3 7 2 7 2" xfId="3692" xr:uid="{DEF0FD5A-4643-4CAA-8A54-40D1DAE8F121}"/>
    <cellStyle name="Calculation 3 7 2 7 3" xfId="25848" xr:uid="{0A3E8DF6-D287-484F-8515-7B957E1E63CA}"/>
    <cellStyle name="Calculation 3 7 2 8" xfId="3693" xr:uid="{5CD0F7E7-D0F4-4C3D-B22F-41681A8B64E8}"/>
    <cellStyle name="Calculation 3 7 2 8 2" xfId="3694" xr:uid="{948665EA-AA1E-4700-B037-F9E157782350}"/>
    <cellStyle name="Calculation 3 7 2 8 3" xfId="25849" xr:uid="{9378F624-082C-4698-9526-74E71CD81222}"/>
    <cellStyle name="Calculation 3 7 2 9" xfId="3695" xr:uid="{CDBE9B9E-42D5-40E3-A7EE-1C483DDE98D0}"/>
    <cellStyle name="Calculation 3 7 2 9 2" xfId="25850" xr:uid="{381469A3-A727-440B-9B9A-61E9CF77DBF2}"/>
    <cellStyle name="Calculation 3 7 2 9 3" xfId="25851" xr:uid="{17333FE2-4F43-48F6-9C42-224459B0EBA3}"/>
    <cellStyle name="Calculation 3 7 3" xfId="3696" xr:uid="{43F90F83-62E2-48CD-8F91-62E28645486F}"/>
    <cellStyle name="Calculation 3 7 3 2" xfId="3697" xr:uid="{7A5667A2-7066-4ECA-ACDC-430A7D596A0B}"/>
    <cellStyle name="Calculation 3 7 3 3" xfId="3698" xr:uid="{CA7C45EB-E98B-4821-8BBE-1F015985B16C}"/>
    <cellStyle name="Calculation 3 7 3 4" xfId="3699" xr:uid="{960F2DC6-7E25-48DA-9606-98C17A3334F9}"/>
    <cellStyle name="Calculation 3 7 4" xfId="3700" xr:uid="{2750647D-72C9-44B6-AAE5-FF92081AB553}"/>
    <cellStyle name="Calculation 3 7 4 2" xfId="3701" xr:uid="{A9F47E3A-9659-4C9E-ABC9-FDAB6B6B3A29}"/>
    <cellStyle name="Calculation 3 7 4 3" xfId="25852" xr:uid="{1AEB41CA-A9FD-4311-9324-3CE925C51CEA}"/>
    <cellStyle name="Calculation 3 7 5" xfId="3702" xr:uid="{75FEA4A6-1CD7-485E-BFBD-826CDB9856E8}"/>
    <cellStyle name="Calculation 3 7 5 2" xfId="3703" xr:uid="{17D6ADDB-3EA1-4D1A-86D9-946D8758D62C}"/>
    <cellStyle name="Calculation 3 7 5 3" xfId="25853" xr:uid="{977952A0-7819-4A30-8610-8F10E64EB4E3}"/>
    <cellStyle name="Calculation 3 7 6" xfId="3704" xr:uid="{CA5B482E-505D-4D5A-966F-48504BEB6F4A}"/>
    <cellStyle name="Calculation 3 7 6 2" xfId="3705" xr:uid="{DAD039C0-85B3-4CE8-8BED-1846AC57BCE9}"/>
    <cellStyle name="Calculation 3 7 6 3" xfId="25854" xr:uid="{053DFE2F-2C4C-47C7-821C-34EBAD32E2C9}"/>
    <cellStyle name="Calculation 3 7 7" xfId="3706" xr:uid="{49AF49C3-6930-41D6-BFFE-476B7C02D08F}"/>
    <cellStyle name="Calculation 3 7 7 2" xfId="3707" xr:uid="{9A962750-E3B2-4AF2-9527-A049A12481D0}"/>
    <cellStyle name="Calculation 3 7 7 3" xfId="25855" xr:uid="{059DA7EB-18B6-4C6D-BFE3-466BCF25D66E}"/>
    <cellStyle name="Calculation 3 7 8" xfId="3708" xr:uid="{9514DE54-CFC0-44DD-B17E-AF6BB05DB039}"/>
    <cellStyle name="Calculation 3 7 8 2" xfId="3709" xr:uid="{AB38153B-41F3-4EE7-B13A-01BFAC51A930}"/>
    <cellStyle name="Calculation 3 7 8 3" xfId="25856" xr:uid="{E22ED4F8-CF1A-4A73-AE3F-C1E538F65BCE}"/>
    <cellStyle name="Calculation 3 7 9" xfId="3710" xr:uid="{3C0E96A5-AFCE-4DD5-A7EE-71A68D9E3C1D}"/>
    <cellStyle name="Calculation 3 7 9 2" xfId="3711" xr:uid="{0BA14E4C-8B99-4432-8A99-2B40BD0BE6CA}"/>
    <cellStyle name="Calculation 3 7 9 3" xfId="25857" xr:uid="{5B1AABB1-5241-4BE8-8167-B8B2F1D3390F}"/>
    <cellStyle name="Calculation 3 8" xfId="3712" xr:uid="{4D56F30B-6230-40EF-8CC2-D9724EEC9B89}"/>
    <cellStyle name="Calculation 3 8 10" xfId="3713" xr:uid="{FE459D50-D568-4697-90C0-9EA9BEEA3FCC}"/>
    <cellStyle name="Calculation 3 8 10 2" xfId="25858" xr:uid="{33F1172B-BAD4-4283-B27A-858FD2189E85}"/>
    <cellStyle name="Calculation 3 8 10 3" xfId="25859" xr:uid="{FBE1C0EB-23CC-4F74-9234-1801DE4F7994}"/>
    <cellStyle name="Calculation 3 8 11" xfId="3714" xr:uid="{7EDF1C6D-6F20-46EA-B5CE-291C3E861D55}"/>
    <cellStyle name="Calculation 3 8 11 2" xfId="25860" xr:uid="{855EDA4B-1054-4269-8182-51BBA759F4D2}"/>
    <cellStyle name="Calculation 3 8 12" xfId="25861" xr:uid="{9DAE98E1-113F-4553-9C3B-A643F0BB0788}"/>
    <cellStyle name="Calculation 3 8 2" xfId="3715" xr:uid="{96383BDC-DF86-48E5-81EF-5924A2204E57}"/>
    <cellStyle name="Calculation 3 8 2 10" xfId="3716" xr:uid="{0636B4AC-0A19-462D-8898-C2B61EEE8488}"/>
    <cellStyle name="Calculation 3 8 2 10 2" xfId="25862" xr:uid="{931FBEE4-121C-4A09-B8DB-A2561E29CCED}"/>
    <cellStyle name="Calculation 3 8 2 11" xfId="25863" xr:uid="{610D2630-0491-4355-90F2-C6C76DCBDE45}"/>
    <cellStyle name="Calculation 3 8 2 2" xfId="3717" xr:uid="{CFF6C6A2-F023-4FDC-93B0-8965E8D11848}"/>
    <cellStyle name="Calculation 3 8 2 2 2" xfId="3718" xr:uid="{F0E9D78B-F45D-48BE-99E6-66FC8DBE1159}"/>
    <cellStyle name="Calculation 3 8 2 2 3" xfId="3719" xr:uid="{213CE52F-4329-484B-853B-6591F64458C0}"/>
    <cellStyle name="Calculation 3 8 2 2 4" xfId="3720" xr:uid="{4C137AD8-D337-430B-B974-7DA325E69B45}"/>
    <cellStyle name="Calculation 3 8 2 3" xfId="3721" xr:uid="{187E174D-AFF1-4645-8BB6-86FA51336EA5}"/>
    <cellStyle name="Calculation 3 8 2 3 2" xfId="3722" xr:uid="{B2BD8298-401A-43C3-8498-D4FD2BF43FB5}"/>
    <cellStyle name="Calculation 3 8 2 3 3" xfId="25864" xr:uid="{158E9CAE-173D-4048-B758-A7B751696090}"/>
    <cellStyle name="Calculation 3 8 2 4" xfId="3723" xr:uid="{C24EA868-9234-4123-BF64-A94E2011E6DC}"/>
    <cellStyle name="Calculation 3 8 2 4 2" xfId="3724" xr:uid="{B1E03A3A-BCE6-4112-9DA2-3FF6D3994A23}"/>
    <cellStyle name="Calculation 3 8 2 4 3" xfId="25865" xr:uid="{1C4714DA-E9D1-4E5B-80BA-AAB86C20159C}"/>
    <cellStyle name="Calculation 3 8 2 5" xfId="3725" xr:uid="{0A3C4FE4-B042-477F-8EF9-D479568848B6}"/>
    <cellStyle name="Calculation 3 8 2 5 2" xfId="3726" xr:uid="{669D61AE-6F1E-4045-B1AC-0227A13726E7}"/>
    <cellStyle name="Calculation 3 8 2 5 3" xfId="25866" xr:uid="{4F2C384E-6951-4CD1-99E5-C719006C001B}"/>
    <cellStyle name="Calculation 3 8 2 6" xfId="3727" xr:uid="{9732BFBD-D5BB-4A8D-AA95-AFCA2E3F9B22}"/>
    <cellStyle name="Calculation 3 8 2 6 2" xfId="3728" xr:uid="{0D1B5760-55DE-4127-952C-B321FFA7A9AB}"/>
    <cellStyle name="Calculation 3 8 2 6 3" xfId="25867" xr:uid="{66169084-ADD8-4AF9-BE1B-D646CC3016D3}"/>
    <cellStyle name="Calculation 3 8 2 7" xfId="3729" xr:uid="{F33BB970-A1D1-49CA-91BB-2C8A56596CB9}"/>
    <cellStyle name="Calculation 3 8 2 7 2" xfId="3730" xr:uid="{469F93CA-A5EB-4F4B-A7E6-713495A43E40}"/>
    <cellStyle name="Calculation 3 8 2 7 3" xfId="25868" xr:uid="{C9854E88-D2E9-47FF-A68E-F0A9F707F97A}"/>
    <cellStyle name="Calculation 3 8 2 8" xfId="3731" xr:uid="{8B281C0E-31EA-40B1-8F17-19D96666521A}"/>
    <cellStyle name="Calculation 3 8 2 8 2" xfId="3732" xr:uid="{7276649D-A562-4C04-8AE1-8BE642BBD087}"/>
    <cellStyle name="Calculation 3 8 2 8 3" xfId="25869" xr:uid="{CFA7AC40-D922-40B8-AB39-24C5895FBCC2}"/>
    <cellStyle name="Calculation 3 8 2 9" xfId="3733" xr:uid="{D6F8FAAA-B7F0-4CDA-85B3-9E370DFFBECD}"/>
    <cellStyle name="Calculation 3 8 2 9 2" xfId="25870" xr:uid="{5BD0C910-9B05-4E64-B661-800F6288EBD1}"/>
    <cellStyle name="Calculation 3 8 2 9 3" xfId="25871" xr:uid="{88E96262-21AC-4B06-9070-1A39CCBE5E4F}"/>
    <cellStyle name="Calculation 3 8 3" xfId="3734" xr:uid="{38C1E8CD-3DA5-410C-8615-607273D6BE24}"/>
    <cellStyle name="Calculation 3 8 3 2" xfId="3735" xr:uid="{E217276C-2192-4DD2-85ED-7CD9BE0E9C1A}"/>
    <cellStyle name="Calculation 3 8 3 3" xfId="3736" xr:uid="{D3EF3F05-6209-4B27-8A43-D2FC0F296576}"/>
    <cellStyle name="Calculation 3 8 3 4" xfId="3737" xr:uid="{A8172914-673D-4852-B193-C8141101FA17}"/>
    <cellStyle name="Calculation 3 8 4" xfId="3738" xr:uid="{4DB78362-B3EE-4EE7-878A-0E1C55D6773C}"/>
    <cellStyle name="Calculation 3 8 4 2" xfId="3739" xr:uid="{78FC8214-9BBB-4FAD-A44C-5FFFBC62A680}"/>
    <cellStyle name="Calculation 3 8 4 3" xfId="25872" xr:uid="{FA5C16CF-51E5-46C6-A83C-E51636141D12}"/>
    <cellStyle name="Calculation 3 8 5" xfId="3740" xr:uid="{F38CD72D-1309-435F-9793-1CAA5042EA73}"/>
    <cellStyle name="Calculation 3 8 5 2" xfId="3741" xr:uid="{3377784B-CCB2-4619-AED8-541E221F2C9B}"/>
    <cellStyle name="Calculation 3 8 5 3" xfId="25873" xr:uid="{6B8BDEC5-8563-4D53-88F9-07AA16506DEB}"/>
    <cellStyle name="Calculation 3 8 6" xfId="3742" xr:uid="{B001CAEF-2077-4BE9-BD7D-6749AB99F95E}"/>
    <cellStyle name="Calculation 3 8 6 2" xfId="3743" xr:uid="{A03DF85B-2F8C-434F-ABAC-B37972AB6282}"/>
    <cellStyle name="Calculation 3 8 6 3" xfId="25874" xr:uid="{FFFD2080-5B95-4F0C-957F-D800166B1009}"/>
    <cellStyle name="Calculation 3 8 7" xfId="3744" xr:uid="{D7C82837-AD81-44DD-BACF-6BFD87F68873}"/>
    <cellStyle name="Calculation 3 8 7 2" xfId="3745" xr:uid="{3C5A21FF-9C10-41DC-95A8-E28A4A457450}"/>
    <cellStyle name="Calculation 3 8 7 3" xfId="25875" xr:uid="{4D3EE565-7D58-4AD9-8152-EAB5C691EB20}"/>
    <cellStyle name="Calculation 3 8 8" xfId="3746" xr:uid="{DCA8580D-5BE4-486B-9620-5FA9C109E72E}"/>
    <cellStyle name="Calculation 3 8 8 2" xfId="3747" xr:uid="{EBDB35FA-F0A6-4C99-BD3D-6DCDFF1F487A}"/>
    <cellStyle name="Calculation 3 8 8 3" xfId="25876" xr:uid="{47AE7F0E-1458-482C-B1D2-AD5D52D1698D}"/>
    <cellStyle name="Calculation 3 8 9" xfId="3748" xr:uid="{EDE0665B-ED0A-4B82-A7A4-040F175C01BF}"/>
    <cellStyle name="Calculation 3 8 9 2" xfId="3749" xr:uid="{18D32744-7E81-4B2C-AD98-0924FA19FDAF}"/>
    <cellStyle name="Calculation 3 8 9 3" xfId="25877" xr:uid="{13114D25-B45E-4AF9-A70A-DD36B05D985C}"/>
    <cellStyle name="Calculation 3 9" xfId="3750" xr:uid="{D70F8ED7-E764-4084-9E19-5E360FA2D6F4}"/>
    <cellStyle name="Calculation 3 9 10" xfId="3751" xr:uid="{FB3D9324-EBAE-4E0F-96EB-4C55B6861C33}"/>
    <cellStyle name="Calculation 3 9 10 2" xfId="25878" xr:uid="{A1FE30D2-67EF-4E5F-A084-3FD10C5EE2D0}"/>
    <cellStyle name="Calculation 3 9 10 3" xfId="25879" xr:uid="{66067919-8E7E-4D32-81B6-3E0AAA486356}"/>
    <cellStyle name="Calculation 3 9 11" xfId="3752" xr:uid="{ED72A121-F19C-4CC5-B718-9EAD82FBFB0F}"/>
    <cellStyle name="Calculation 3 9 11 2" xfId="25880" xr:uid="{08038C3B-B6BE-4C30-A061-DBDCE4806226}"/>
    <cellStyle name="Calculation 3 9 12" xfId="25881" xr:uid="{DF539D07-AC05-42C8-B293-38DEEE348FBE}"/>
    <cellStyle name="Calculation 3 9 2" xfId="3753" xr:uid="{7D711D85-A834-4BE3-B765-6EDF9CED5800}"/>
    <cellStyle name="Calculation 3 9 2 10" xfId="3754" xr:uid="{353D20DF-D74A-4F81-A7A4-2E52619EB92E}"/>
    <cellStyle name="Calculation 3 9 2 10 2" xfId="25882" xr:uid="{0499F081-A4E3-45C1-B669-81A0EA5D1D3E}"/>
    <cellStyle name="Calculation 3 9 2 11" xfId="25883" xr:uid="{5FF779AF-4F43-4220-9F4F-AF40A9C53864}"/>
    <cellStyle name="Calculation 3 9 2 2" xfId="3755" xr:uid="{2E239F03-2FA8-4DC8-A2B0-DA2D2E42D6FC}"/>
    <cellStyle name="Calculation 3 9 2 2 2" xfId="3756" xr:uid="{EDF0208D-2051-4D36-BCB9-A3160AD1CBD9}"/>
    <cellStyle name="Calculation 3 9 2 2 3" xfId="3757" xr:uid="{C8D51E34-69A2-4C40-9B65-6F308616EC1A}"/>
    <cellStyle name="Calculation 3 9 2 2 4" xfId="3758" xr:uid="{2262A970-67BD-47FB-B4DD-6184CE0F570F}"/>
    <cellStyle name="Calculation 3 9 2 3" xfId="3759" xr:uid="{8C91D96B-CAEF-45C8-A936-6DFF036AB9A9}"/>
    <cellStyle name="Calculation 3 9 2 3 2" xfId="3760" xr:uid="{929B0438-5466-4BC9-ACCD-F9F913C6848F}"/>
    <cellStyle name="Calculation 3 9 2 3 3" xfId="25884" xr:uid="{B79977F8-8765-437B-8DF7-B251709034E2}"/>
    <cellStyle name="Calculation 3 9 2 4" xfId="3761" xr:uid="{5BFEDDB5-DE04-483B-8499-6AAE8507D1A6}"/>
    <cellStyle name="Calculation 3 9 2 4 2" xfId="3762" xr:uid="{B43E8764-1B6A-4DC1-BC3D-3F0DCFF85B92}"/>
    <cellStyle name="Calculation 3 9 2 4 3" xfId="25885" xr:uid="{E511D905-E346-4F9E-9DAE-EBDC173F6116}"/>
    <cellStyle name="Calculation 3 9 2 5" xfId="3763" xr:uid="{77A0A721-A42E-41A9-95D9-52DF59BCBE62}"/>
    <cellStyle name="Calculation 3 9 2 5 2" xfId="3764" xr:uid="{E1DC2CAE-FDFE-4465-A149-9F2FEAED0A6F}"/>
    <cellStyle name="Calculation 3 9 2 5 3" xfId="25886" xr:uid="{B91FBACE-D105-41B5-A067-E110975AD29E}"/>
    <cellStyle name="Calculation 3 9 2 6" xfId="3765" xr:uid="{030BE85E-952C-4D18-B03B-D2E2AC5908C2}"/>
    <cellStyle name="Calculation 3 9 2 6 2" xfId="3766" xr:uid="{6ACC6A2B-70D0-44BC-99AA-D466CAF457F6}"/>
    <cellStyle name="Calculation 3 9 2 6 3" xfId="25887" xr:uid="{51D5373F-C3CB-45FA-B3AF-83899C42F230}"/>
    <cellStyle name="Calculation 3 9 2 7" xfId="3767" xr:uid="{92728339-9BC3-49B3-AA0E-46D7BC765CB5}"/>
    <cellStyle name="Calculation 3 9 2 7 2" xfId="3768" xr:uid="{6D9EB0BD-0142-4573-9B03-FE43EFB583AF}"/>
    <cellStyle name="Calculation 3 9 2 7 3" xfId="25888" xr:uid="{26D710A6-651B-4B65-B788-B955BDD6698A}"/>
    <cellStyle name="Calculation 3 9 2 8" xfId="3769" xr:uid="{428EFA54-6E16-43E0-9D58-8F420A3F0C68}"/>
    <cellStyle name="Calculation 3 9 2 8 2" xfId="3770" xr:uid="{5BDC45A6-9EF0-42D9-AC48-3B2D26A47839}"/>
    <cellStyle name="Calculation 3 9 2 8 3" xfId="25889" xr:uid="{212A44BC-665D-4168-B5A2-A5C021953096}"/>
    <cellStyle name="Calculation 3 9 2 9" xfId="3771" xr:uid="{86CE6402-3380-4304-A85E-6A7CC55613FC}"/>
    <cellStyle name="Calculation 3 9 2 9 2" xfId="25890" xr:uid="{3E2EEE2F-0279-43A4-992D-08FE599DC826}"/>
    <cellStyle name="Calculation 3 9 2 9 3" xfId="25891" xr:uid="{FC5A13BE-C9A2-4871-9C2F-508664A0B7CB}"/>
    <cellStyle name="Calculation 3 9 3" xfId="3772" xr:uid="{75FB160C-5FEA-408C-9DD7-FF6601EE5896}"/>
    <cellStyle name="Calculation 3 9 3 2" xfId="3773" xr:uid="{6E02325D-88B4-435B-B297-51170DE1FD0D}"/>
    <cellStyle name="Calculation 3 9 3 3" xfId="3774" xr:uid="{465D8A87-5467-4CFA-B883-4BE8428E99C6}"/>
    <cellStyle name="Calculation 3 9 3 4" xfId="3775" xr:uid="{184C9FD0-0482-46FB-84C4-6DB21EA9B12B}"/>
    <cellStyle name="Calculation 3 9 4" xfId="3776" xr:uid="{3132A419-15ED-4CBF-B0FD-BDD09974A12C}"/>
    <cellStyle name="Calculation 3 9 4 2" xfId="3777" xr:uid="{04F75027-3632-45F9-9599-070E6009B389}"/>
    <cellStyle name="Calculation 3 9 4 3" xfId="25892" xr:uid="{DC6C4CD5-1A88-4FA0-ACFC-54F33055EA6B}"/>
    <cellStyle name="Calculation 3 9 5" xfId="3778" xr:uid="{E8F2316B-E823-40A3-A429-3AD1687B22F9}"/>
    <cellStyle name="Calculation 3 9 5 2" xfId="3779" xr:uid="{8B112A9D-B9D5-4803-8C23-2E915340B1F6}"/>
    <cellStyle name="Calculation 3 9 5 3" xfId="25893" xr:uid="{8DFD754B-1CCB-4941-8272-A1E55A684893}"/>
    <cellStyle name="Calculation 3 9 6" xfId="3780" xr:uid="{2A8F6C1B-2D65-4F77-91F1-7B8BC7A3C3AB}"/>
    <cellStyle name="Calculation 3 9 6 2" xfId="3781" xr:uid="{24E847E0-5DF5-4CB1-8DC6-888147D9F644}"/>
    <cellStyle name="Calculation 3 9 6 3" xfId="25894" xr:uid="{F55C09AD-1B78-498C-9496-338323A6AA6E}"/>
    <cellStyle name="Calculation 3 9 7" xfId="3782" xr:uid="{C2E8FDDA-153B-43BD-BEC1-4AD65B9EEF06}"/>
    <cellStyle name="Calculation 3 9 7 2" xfId="3783" xr:uid="{64B38704-4551-4ABB-9B3D-FFA49523AF69}"/>
    <cellStyle name="Calculation 3 9 7 3" xfId="25895" xr:uid="{D422DDF0-385C-41DF-B61A-DDC08990DD28}"/>
    <cellStyle name="Calculation 3 9 8" xfId="3784" xr:uid="{4A193B33-5675-43D8-94D4-A63892E8D417}"/>
    <cellStyle name="Calculation 3 9 8 2" xfId="3785" xr:uid="{8C365C65-062C-409C-B544-FD972EA672F9}"/>
    <cellStyle name="Calculation 3 9 8 3" xfId="25896" xr:uid="{8BA65888-0338-4322-A33B-0DB70AA82C4A}"/>
    <cellStyle name="Calculation 3 9 9" xfId="3786" xr:uid="{B831562C-4F51-445E-929E-17DEF036BABC}"/>
    <cellStyle name="Calculation 3 9 9 2" xfId="3787" xr:uid="{E44C0252-840F-40D0-AA83-F569FDDC76DD}"/>
    <cellStyle name="Calculation 3 9 9 3" xfId="25897" xr:uid="{ABA9804E-82F7-4D3B-A1A1-DA32D0A0A0F5}"/>
    <cellStyle name="Calculation 30" xfId="25898" xr:uid="{2E8AE909-ED8E-4085-B6FB-BDDBFD8AF846}"/>
    <cellStyle name="Calculation 30 2" xfId="25899" xr:uid="{BD5E634B-B817-4300-BF05-01AA4FAD46F7}"/>
    <cellStyle name="Calculation 30 3" xfId="42371" xr:uid="{4890A6C1-DBAC-41F3-98F5-149606BA8DCB}"/>
    <cellStyle name="Calculation 30 4" xfId="42855" xr:uid="{857C6690-9557-4CB4-AD93-1DE3E39942D7}"/>
    <cellStyle name="Calculation 30 5" xfId="43528" xr:uid="{07724F67-FD03-43EF-A192-01896B57413E}"/>
    <cellStyle name="Calculation 31" xfId="25900" xr:uid="{CE26B62D-3060-4D12-89ED-637CD4E8D998}"/>
    <cellStyle name="Calculation 31 2" xfId="25901" xr:uid="{F2A9C93B-6AC6-4FA2-93AA-F7F5129C4576}"/>
    <cellStyle name="Calculation 31 3" xfId="42372" xr:uid="{B5C47CC6-8622-483F-BB7B-4ACB337514E1}"/>
    <cellStyle name="Calculation 31 4" xfId="42854" xr:uid="{2C14432B-4C05-490D-9B77-C2E96FF76CE6}"/>
    <cellStyle name="Calculation 31 5" xfId="43529" xr:uid="{19DC90A4-A142-4489-AB3E-20B33CC4F4F7}"/>
    <cellStyle name="Calculation 32" xfId="25902" xr:uid="{098BB6A0-96A7-4CF6-A3E1-7D08C62C466E}"/>
    <cellStyle name="Calculation 32 2" xfId="25903" xr:uid="{5F5B93F6-336C-4B9F-B463-FD269E5F0E93}"/>
    <cellStyle name="Calculation 32 3" xfId="42373" xr:uid="{8E777D26-CA47-4713-9D19-83DAB6DC5000}"/>
    <cellStyle name="Calculation 32 4" xfId="42851" xr:uid="{1A656569-B2C9-4938-876C-649DF4EEB23F}"/>
    <cellStyle name="Calculation 32 5" xfId="43530" xr:uid="{125C08FA-CA80-4AC7-9AEF-EB5E40D68E4E}"/>
    <cellStyle name="Calculation 33" xfId="25904" xr:uid="{7B8C7A4B-89FD-4BEB-A17A-1C474AE33213}"/>
    <cellStyle name="Calculation 33 2" xfId="25905" xr:uid="{5BFBDFC8-62E5-4A4F-823C-9B81AE4806AA}"/>
    <cellStyle name="Calculation 33 3" xfId="42374" xr:uid="{C1C98DC1-1DD3-4E0A-9B73-7B140F133BD6}"/>
    <cellStyle name="Calculation 33 4" xfId="43481" xr:uid="{7ECD5317-FEE2-4124-A2D3-64118DAAC85B}"/>
    <cellStyle name="Calculation 33 5" xfId="43531" xr:uid="{29500BB0-F172-4417-B93E-3B3E41026EF0}"/>
    <cellStyle name="Calculation 34" xfId="25906" xr:uid="{EB5B56DE-CD41-4A4D-AF2A-308AA86CB62E}"/>
    <cellStyle name="Calculation 34 2" xfId="25907" xr:uid="{B2ED9C10-5923-48D4-893F-57B3E4A46BE2}"/>
    <cellStyle name="Calculation 34 3" xfId="42375" xr:uid="{1E2091F2-399B-4C13-ABB4-1B492C1BB6DA}"/>
    <cellStyle name="Calculation 34 4" xfId="42850" xr:uid="{B3350BCC-C82C-4569-9A9F-1634056BAE7F}"/>
    <cellStyle name="Calculation 34 5" xfId="43532" xr:uid="{D5C08820-A18A-49EC-A176-D9603FE8A94A}"/>
    <cellStyle name="Calculation 35" xfId="25908" xr:uid="{AA7577F5-3610-46F3-A3F2-D44657B60F03}"/>
    <cellStyle name="Calculation 35 2" xfId="25909" xr:uid="{7A2D1C44-F3AE-47AE-B7EE-F70BEF8214DE}"/>
    <cellStyle name="Calculation 35 3" xfId="42376" xr:uid="{A1E21823-B2CA-443B-B2ED-1EE025FF404F}"/>
    <cellStyle name="Calculation 35 4" xfId="42849" xr:uid="{D299FF81-F858-4971-9E4A-5A72A0DAAADA}"/>
    <cellStyle name="Calculation 35 5" xfId="43533" xr:uid="{57842E68-125A-4B12-AE37-3119A99B5E19}"/>
    <cellStyle name="Calculation 36" xfId="25910" xr:uid="{678492FC-6FD1-466A-9328-8E9B1F0FAF57}"/>
    <cellStyle name="Calculation 36 2" xfId="25911" xr:uid="{81798A65-94E6-4359-83DF-406328742FED}"/>
    <cellStyle name="Calculation 36 3" xfId="42377" xr:uid="{CE6BBB05-32C2-4719-8430-168505253043}"/>
    <cellStyle name="Calculation 36 4" xfId="42848" xr:uid="{CFE182BA-DDE8-429D-9738-D4E7E74A8BB9}"/>
    <cellStyle name="Calculation 36 5" xfId="43534" xr:uid="{666C3C55-A97F-4992-B110-6B11659694D6}"/>
    <cellStyle name="Calculation 37" xfId="25912" xr:uid="{B456A2D8-B5F7-40A5-B8CE-419BF261C3CC}"/>
    <cellStyle name="Calculation 37 2" xfId="25913" xr:uid="{918290E4-6551-4E4C-A84B-1FA98BDE894A}"/>
    <cellStyle name="Calculation 37 3" xfId="42378" xr:uid="{E7C752F8-0E94-4551-A42C-6C2C72D4E1D2}"/>
    <cellStyle name="Calculation 37 4" xfId="42847" xr:uid="{F58405AF-1328-4E75-99B8-3788D663A1C6}"/>
    <cellStyle name="Calculation 37 5" xfId="43535" xr:uid="{61A72C89-0015-445B-BA05-CBD53E5B2D77}"/>
    <cellStyle name="Calculation 38" xfId="25914" xr:uid="{D475C832-EE01-4BE4-8ED6-371062D4AEB4}"/>
    <cellStyle name="Calculation 38 2" xfId="25915" xr:uid="{243E7FA1-7778-460A-B709-FAECC8EE1B6F}"/>
    <cellStyle name="Calculation 38 3" xfId="42379" xr:uid="{2EC9CB1C-53E4-4AD0-98ED-1C924CBE9ED6}"/>
    <cellStyle name="Calculation 38 4" xfId="42846" xr:uid="{2083C3C9-13A0-4BF9-B23D-7EDBA94E21E2}"/>
    <cellStyle name="Calculation 38 5" xfId="43536" xr:uid="{0F8D0238-3630-42C0-A67A-52065A873994}"/>
    <cellStyle name="Calculation 39" xfId="25916" xr:uid="{9EEDF8F7-3283-4F08-890B-D252E3ACE281}"/>
    <cellStyle name="Calculation 39 2" xfId="25917" xr:uid="{3645C058-1456-4706-9407-B0E086FB8AD1}"/>
    <cellStyle name="Calculation 39 3" xfId="42380" xr:uid="{3B8BA6E8-4B79-4170-94BA-45EA3D6E27C0}"/>
    <cellStyle name="Calculation 39 4" xfId="42845" xr:uid="{63D176E5-637B-4AAA-BE1E-DB6FFB3FE03D}"/>
    <cellStyle name="Calculation 39 5" xfId="43537" xr:uid="{BB8C4EFF-7CEB-48A8-9138-D9E90D0B65E9}"/>
    <cellStyle name="Calculation 4" xfId="3788" xr:uid="{703FEEBE-B76E-4540-B2DB-E1AB14C3BC9F}"/>
    <cellStyle name="Calculation 4 10" xfId="3789" xr:uid="{C61F16E0-67C0-4F8A-85D8-E1A8F92A6C13}"/>
    <cellStyle name="Calculation 4 10 10" xfId="3790" xr:uid="{FD23B79F-4E89-48E6-8AEE-88A2EA993C3E}"/>
    <cellStyle name="Calculation 4 10 10 2" xfId="25918" xr:uid="{213C4A36-B2B7-4D06-B827-3ED085A32A85}"/>
    <cellStyle name="Calculation 4 10 10 3" xfId="25919" xr:uid="{81924797-626E-4C12-8101-FE8DE6EB247A}"/>
    <cellStyle name="Calculation 4 10 11" xfId="3791" xr:uid="{A67DDD3F-3740-4ED3-A584-8EE3F48F65AB}"/>
    <cellStyle name="Calculation 4 10 11 2" xfId="25920" xr:uid="{4057B783-E397-49A9-A80D-1AA87E2CCFED}"/>
    <cellStyle name="Calculation 4 10 12" xfId="25921" xr:uid="{9B742214-A210-462B-A51B-67BB9EF8CF90}"/>
    <cellStyle name="Calculation 4 10 2" xfId="3792" xr:uid="{AF430998-EEB8-4505-A0B7-FD7D51A3138F}"/>
    <cellStyle name="Calculation 4 10 2 10" xfId="3793" xr:uid="{0CC38510-334D-46E7-8823-E0A45B592B4F}"/>
    <cellStyle name="Calculation 4 10 2 10 2" xfId="25922" xr:uid="{CB8064BB-6B6B-4752-A3BB-6059ED4655C2}"/>
    <cellStyle name="Calculation 4 10 2 11" xfId="25923" xr:uid="{A8346911-6234-4BBC-A721-A41270E733B8}"/>
    <cellStyle name="Calculation 4 10 2 2" xfId="3794" xr:uid="{02E951DB-5B2E-4D27-A764-1AF1587CF0A8}"/>
    <cellStyle name="Calculation 4 10 2 2 2" xfId="3795" xr:uid="{CF1DBC72-9157-41D2-A29F-CD0C583C3219}"/>
    <cellStyle name="Calculation 4 10 2 2 3" xfId="3796" xr:uid="{24C888C8-097A-41E6-B6CD-757BCE6D60D1}"/>
    <cellStyle name="Calculation 4 10 2 2 4" xfId="3797" xr:uid="{64D03E15-9659-4A21-88F2-F441995CAEFD}"/>
    <cellStyle name="Calculation 4 10 2 3" xfId="3798" xr:uid="{690D57C0-E136-48AC-BA1B-185DCE0D4853}"/>
    <cellStyle name="Calculation 4 10 2 3 2" xfId="3799" xr:uid="{BE2512C8-7698-4952-96AC-5171A1DBF5AA}"/>
    <cellStyle name="Calculation 4 10 2 3 3" xfId="25924" xr:uid="{57021D09-7820-4B1D-9143-3291A007C57E}"/>
    <cellStyle name="Calculation 4 10 2 4" xfId="3800" xr:uid="{E0935C88-D750-429F-A794-D58B5B5E4E53}"/>
    <cellStyle name="Calculation 4 10 2 4 2" xfId="3801" xr:uid="{DE84043E-030C-450D-B205-CCD1E3C13A7C}"/>
    <cellStyle name="Calculation 4 10 2 4 3" xfId="25925" xr:uid="{74A40CC0-0204-4018-97D3-97B65AEC6D18}"/>
    <cellStyle name="Calculation 4 10 2 5" xfId="3802" xr:uid="{D687859D-0A1F-46E0-B874-1FA4EEDB0F23}"/>
    <cellStyle name="Calculation 4 10 2 5 2" xfId="3803" xr:uid="{D5AC38DA-E48D-4F40-AC95-32CCFB510F16}"/>
    <cellStyle name="Calculation 4 10 2 5 3" xfId="25926" xr:uid="{42BEBBE5-F3C0-4D23-ACE3-FE584DD5D033}"/>
    <cellStyle name="Calculation 4 10 2 6" xfId="3804" xr:uid="{FF108717-0630-4152-A8A6-61C3C852A11B}"/>
    <cellStyle name="Calculation 4 10 2 6 2" xfId="3805" xr:uid="{F8D76BDB-FF40-4C11-934A-5B9AC7E1E3D5}"/>
    <cellStyle name="Calculation 4 10 2 6 3" xfId="25927" xr:uid="{E45FCCAC-7BEF-4836-964F-404CD85A3F82}"/>
    <cellStyle name="Calculation 4 10 2 7" xfId="3806" xr:uid="{4DB6D4A3-6B19-44F8-895F-5DA428D680E9}"/>
    <cellStyle name="Calculation 4 10 2 7 2" xfId="3807" xr:uid="{83D06AD0-C190-46DA-81E5-D34B7CE2204B}"/>
    <cellStyle name="Calculation 4 10 2 7 3" xfId="25928" xr:uid="{BFB818E8-E7C0-4B3A-96A0-2E7034E8B93E}"/>
    <cellStyle name="Calculation 4 10 2 8" xfId="3808" xr:uid="{1E8E795B-2E12-4286-B2C7-C9DC85FFDC0E}"/>
    <cellStyle name="Calculation 4 10 2 8 2" xfId="3809" xr:uid="{91ED1667-634F-47F0-BAEA-E7D32504CB86}"/>
    <cellStyle name="Calculation 4 10 2 8 3" xfId="25929" xr:uid="{13097B10-7533-4189-99A6-5A4998127430}"/>
    <cellStyle name="Calculation 4 10 2 9" xfId="3810" xr:uid="{F52009A7-9C48-46B3-B07F-589E119428C5}"/>
    <cellStyle name="Calculation 4 10 2 9 2" xfId="25930" xr:uid="{47553CEB-639F-4383-8BF8-962B74B4B4C9}"/>
    <cellStyle name="Calculation 4 10 2 9 3" xfId="25931" xr:uid="{15BC3822-0503-4C49-9221-96C823FF5EEC}"/>
    <cellStyle name="Calculation 4 10 3" xfId="3811" xr:uid="{50137743-1E79-4710-8EB3-2F0F67766891}"/>
    <cellStyle name="Calculation 4 10 3 2" xfId="3812" xr:uid="{E9EB6984-893D-437D-8018-51C9E9044D89}"/>
    <cellStyle name="Calculation 4 10 3 3" xfId="3813" xr:uid="{B94DCA80-2B18-4C12-A956-F045483998D2}"/>
    <cellStyle name="Calculation 4 10 3 4" xfId="3814" xr:uid="{8D56AE78-B4F9-404E-84FB-CE4000570E99}"/>
    <cellStyle name="Calculation 4 10 4" xfId="3815" xr:uid="{6E8FBA75-ECEB-44F1-A0C9-5E9C6F5A16DA}"/>
    <cellStyle name="Calculation 4 10 4 2" xfId="3816" xr:uid="{CCD3E88B-9AAB-4E0D-95F5-7F7C61BF5170}"/>
    <cellStyle name="Calculation 4 10 4 3" xfId="25932" xr:uid="{3219DC79-9966-489E-B1A8-BE48FC3B299D}"/>
    <cellStyle name="Calculation 4 10 5" xfId="3817" xr:uid="{887D8C54-A620-4740-BF86-5EE3D76D5CCF}"/>
    <cellStyle name="Calculation 4 10 5 2" xfId="3818" xr:uid="{41ADB811-4A4D-42D4-AE98-0A82C47D0534}"/>
    <cellStyle name="Calculation 4 10 5 3" xfId="25933" xr:uid="{6D2373CD-1546-4C74-B572-B9797006E030}"/>
    <cellStyle name="Calculation 4 10 6" xfId="3819" xr:uid="{3E0B4C6B-D1E8-4357-B7AD-B20B34F014E3}"/>
    <cellStyle name="Calculation 4 10 6 2" xfId="3820" xr:uid="{BB241DA7-12A6-4C57-BD71-2F225574F8BF}"/>
    <cellStyle name="Calculation 4 10 6 3" xfId="25934" xr:uid="{2625FA63-BBB3-4AF5-A28C-1DF2728CAD94}"/>
    <cellStyle name="Calculation 4 10 7" xfId="3821" xr:uid="{D63E140C-0961-43CF-B6B4-472480131A99}"/>
    <cellStyle name="Calculation 4 10 7 2" xfId="3822" xr:uid="{F0AEE17F-94B7-45FC-BBB7-8D07EBC7C4FF}"/>
    <cellStyle name="Calculation 4 10 7 3" xfId="25935" xr:uid="{1D0823A8-0D1F-4D8D-8188-BC455E272E2B}"/>
    <cellStyle name="Calculation 4 10 8" xfId="3823" xr:uid="{84EEB901-4721-4DAC-8A8A-00206FD4F3BB}"/>
    <cellStyle name="Calculation 4 10 8 2" xfId="3824" xr:uid="{BBD16065-4242-4C11-9630-0F457D906FE7}"/>
    <cellStyle name="Calculation 4 10 8 3" xfId="25936" xr:uid="{65774542-3F80-4354-8922-D0D8A9655DF6}"/>
    <cellStyle name="Calculation 4 10 9" xfId="3825" xr:uid="{53041837-4D36-4FB1-BAEF-2F96D144613C}"/>
    <cellStyle name="Calculation 4 10 9 2" xfId="3826" xr:uid="{A137EB37-6B28-4FF8-A5B2-44A05CE1648A}"/>
    <cellStyle name="Calculation 4 10 9 3" xfId="25937" xr:uid="{D63BD949-C76F-4FD7-B853-EEEEE6457070}"/>
    <cellStyle name="Calculation 4 11" xfId="3827" xr:uid="{C0C8DB27-10C5-4462-BC78-BFEAEE6E1647}"/>
    <cellStyle name="Calculation 4 11 10" xfId="3828" xr:uid="{02677FA8-0F0E-45BB-8DA7-8488282D79C8}"/>
    <cellStyle name="Calculation 4 11 10 2" xfId="25938" xr:uid="{55AFD0C4-7BDD-4224-8BBC-454126769DE4}"/>
    <cellStyle name="Calculation 4 11 10 3" xfId="25939" xr:uid="{0C08CEED-7E75-45BF-B1EF-8B9F965047B0}"/>
    <cellStyle name="Calculation 4 11 11" xfId="3829" xr:uid="{12EB0222-EB1A-48DB-97F1-7A2EFC623D06}"/>
    <cellStyle name="Calculation 4 11 11 2" xfId="25940" xr:uid="{2538E664-36AD-46AD-A482-782807B26FB0}"/>
    <cellStyle name="Calculation 4 11 12" xfId="25941" xr:uid="{3A802AD1-D4DF-4D98-85E0-123E37287FBE}"/>
    <cellStyle name="Calculation 4 11 2" xfId="3830" xr:uid="{3EEE1BFC-A79C-46F0-9EC7-F44D3D76F625}"/>
    <cellStyle name="Calculation 4 11 2 10" xfId="3831" xr:uid="{2AC1F912-3C82-4C48-872C-B1D99B848E06}"/>
    <cellStyle name="Calculation 4 11 2 10 2" xfId="25942" xr:uid="{97A1C8E9-AA07-4B2B-8A21-6DB0E24636E3}"/>
    <cellStyle name="Calculation 4 11 2 11" xfId="25943" xr:uid="{4EA9C83A-B9DD-4F40-B3B0-A944D35EA107}"/>
    <cellStyle name="Calculation 4 11 2 2" xfId="3832" xr:uid="{03846535-B5C8-4C6C-A111-E8A5ABD6D132}"/>
    <cellStyle name="Calculation 4 11 2 2 2" xfId="3833" xr:uid="{630910EC-4E20-4809-9587-A03AF9D0885E}"/>
    <cellStyle name="Calculation 4 11 2 2 3" xfId="3834" xr:uid="{42DCAEAB-9A56-4B9E-B32C-CF9930642684}"/>
    <cellStyle name="Calculation 4 11 2 2 4" xfId="3835" xr:uid="{AF5CEAF6-F20B-484C-B471-9D7310228B4A}"/>
    <cellStyle name="Calculation 4 11 2 3" xfId="3836" xr:uid="{78D0A002-6F26-42B5-B482-9AA2CAC25F47}"/>
    <cellStyle name="Calculation 4 11 2 3 2" xfId="3837" xr:uid="{F6F95E6F-044E-4382-881F-A8CCADBC5045}"/>
    <cellStyle name="Calculation 4 11 2 3 3" xfId="25944" xr:uid="{CE9B31D5-9653-4A8C-8464-FA91846A93A1}"/>
    <cellStyle name="Calculation 4 11 2 4" xfId="3838" xr:uid="{22930B01-3BD1-4F9C-8132-6B02F9BA8C12}"/>
    <cellStyle name="Calculation 4 11 2 4 2" xfId="3839" xr:uid="{DCBB99A4-658C-40BC-85FA-D27E7AA56118}"/>
    <cellStyle name="Calculation 4 11 2 4 3" xfId="25945" xr:uid="{D23C9501-230B-44BF-87F8-08C195D30A5A}"/>
    <cellStyle name="Calculation 4 11 2 5" xfId="3840" xr:uid="{74402300-AA88-49ED-B6D7-A695ABAAFA3A}"/>
    <cellStyle name="Calculation 4 11 2 5 2" xfId="3841" xr:uid="{B3B0A88D-926D-4F1B-882D-67AEDC66E317}"/>
    <cellStyle name="Calculation 4 11 2 5 3" xfId="25946" xr:uid="{801FE047-2731-432A-B303-57A20DA90262}"/>
    <cellStyle name="Calculation 4 11 2 6" xfId="3842" xr:uid="{743F4044-DBBE-4171-8F5C-509AB825CE60}"/>
    <cellStyle name="Calculation 4 11 2 6 2" xfId="3843" xr:uid="{23D3865E-A629-48B8-9917-0AC18FE7500E}"/>
    <cellStyle name="Calculation 4 11 2 6 3" xfId="25947" xr:uid="{556622FA-F98A-4328-8A78-E27E46E85514}"/>
    <cellStyle name="Calculation 4 11 2 7" xfId="3844" xr:uid="{CD78274C-7633-4C04-8BF6-48A5D3E8F4D8}"/>
    <cellStyle name="Calculation 4 11 2 7 2" xfId="3845" xr:uid="{ADBF2F80-F574-4AD3-8DD8-9DEEBBB5234A}"/>
    <cellStyle name="Calculation 4 11 2 7 3" xfId="25948" xr:uid="{52A6F3FE-D642-4C0A-BC18-47DAC7154BB3}"/>
    <cellStyle name="Calculation 4 11 2 8" xfId="3846" xr:uid="{1A059D55-6327-4D1B-B1AD-FEB990AA2882}"/>
    <cellStyle name="Calculation 4 11 2 8 2" xfId="3847" xr:uid="{C158B544-F3A1-4A01-BBBC-849077B4091E}"/>
    <cellStyle name="Calculation 4 11 2 8 3" xfId="25949" xr:uid="{DC089FB1-B7AE-46AF-9757-93C64E1602C7}"/>
    <cellStyle name="Calculation 4 11 2 9" xfId="3848" xr:uid="{70453EF5-D6A8-4ECA-BE48-218D8ECD4EDD}"/>
    <cellStyle name="Calculation 4 11 2 9 2" xfId="25950" xr:uid="{010B488E-02B5-4F84-86C5-6F6796219934}"/>
    <cellStyle name="Calculation 4 11 2 9 3" xfId="25951" xr:uid="{FE4322DB-0500-4B77-9E76-51B59D398550}"/>
    <cellStyle name="Calculation 4 11 3" xfId="3849" xr:uid="{5784A4E5-827E-4E61-AD8A-B6F1AB1B4A16}"/>
    <cellStyle name="Calculation 4 11 3 2" xfId="3850" xr:uid="{B4421806-C23E-4351-BA16-D958CD0D55D6}"/>
    <cellStyle name="Calculation 4 11 3 3" xfId="3851" xr:uid="{111A6D2C-C2B5-44B9-89A6-09D73304DC15}"/>
    <cellStyle name="Calculation 4 11 3 4" xfId="3852" xr:uid="{DF5EC7B3-7413-4216-B66C-F5F058F8073E}"/>
    <cellStyle name="Calculation 4 11 4" xfId="3853" xr:uid="{F0176C6A-72BB-46F9-9EA1-7C3DAECE7BCC}"/>
    <cellStyle name="Calculation 4 11 4 2" xfId="3854" xr:uid="{8F70FB00-1EC8-4494-800D-1EDDFE3B184B}"/>
    <cellStyle name="Calculation 4 11 4 3" xfId="25952" xr:uid="{BBF57F79-4930-4E79-80E4-1A5A7A02172B}"/>
    <cellStyle name="Calculation 4 11 5" xfId="3855" xr:uid="{2D854459-DEE5-4C33-8DA2-D62415ED7DB2}"/>
    <cellStyle name="Calculation 4 11 5 2" xfId="3856" xr:uid="{AA81E953-C97E-4314-9B8F-A14E69D4A0AE}"/>
    <cellStyle name="Calculation 4 11 5 3" xfId="25953" xr:uid="{16058B2E-953F-4659-8208-0E0B921E6E4C}"/>
    <cellStyle name="Calculation 4 11 6" xfId="3857" xr:uid="{D9F74F95-7065-4CFF-A14C-86E1150BD9C1}"/>
    <cellStyle name="Calculation 4 11 6 2" xfId="3858" xr:uid="{EBF87EF0-3AED-40E5-BF68-3D89E92E11A8}"/>
    <cellStyle name="Calculation 4 11 6 3" xfId="25954" xr:uid="{4A16EE52-677F-4046-A7E3-142189C2FA5C}"/>
    <cellStyle name="Calculation 4 11 7" xfId="3859" xr:uid="{C6ECAEA6-0A0B-4631-8838-03DB4EA11FE4}"/>
    <cellStyle name="Calculation 4 11 7 2" xfId="3860" xr:uid="{01DF6CF5-DCCA-42F1-A6C1-C3460B0CFB76}"/>
    <cellStyle name="Calculation 4 11 7 3" xfId="25955" xr:uid="{AADCDC0A-398E-47BB-9A2C-E08173AE857B}"/>
    <cellStyle name="Calculation 4 11 8" xfId="3861" xr:uid="{AE67805F-5BD6-4BF8-B9AF-814052ABB2F7}"/>
    <cellStyle name="Calculation 4 11 8 2" xfId="3862" xr:uid="{0A528127-BB9C-4AFC-9B84-0629678B02A4}"/>
    <cellStyle name="Calculation 4 11 8 3" xfId="25956" xr:uid="{6483014F-1635-45A5-9456-6C77C917AB72}"/>
    <cellStyle name="Calculation 4 11 9" xfId="3863" xr:uid="{6B426734-CB0D-484F-801B-C962C329DE9A}"/>
    <cellStyle name="Calculation 4 11 9 2" xfId="3864" xr:uid="{8D81FE96-9278-4CD9-BBA9-935D833A6591}"/>
    <cellStyle name="Calculation 4 11 9 3" xfId="25957" xr:uid="{EAF89DDD-F134-4BFC-A89D-6B3A9F95EF53}"/>
    <cellStyle name="Calculation 4 12" xfId="3865" xr:uid="{4A84A30D-C662-4AC2-93CB-9BC8C0221937}"/>
    <cellStyle name="Calculation 4 12 10" xfId="3866" xr:uid="{6C03DCA4-A949-449D-A6AB-EA7E25A056E2}"/>
    <cellStyle name="Calculation 4 12 10 2" xfId="25958" xr:uid="{2F826A4A-EC54-401A-A63C-5B3D715F9434}"/>
    <cellStyle name="Calculation 4 12 11" xfId="25959" xr:uid="{1BC091CC-D9D1-4089-BB72-4EDAD51F6CA6}"/>
    <cellStyle name="Calculation 4 12 2" xfId="3867" xr:uid="{93F183CB-378A-47D5-813F-E1DE12A9574A}"/>
    <cellStyle name="Calculation 4 12 2 2" xfId="3868" xr:uid="{511BBC16-07A2-4954-B3C0-302D56DC80CC}"/>
    <cellStyle name="Calculation 4 12 2 3" xfId="3869" xr:uid="{854E7463-CDB4-4966-9A92-1EDBE98439F0}"/>
    <cellStyle name="Calculation 4 12 2 4" xfId="3870" xr:uid="{7BE85BAA-CFCB-4348-A298-4616EE22C0F5}"/>
    <cellStyle name="Calculation 4 12 3" xfId="3871" xr:uid="{3C44B4DE-5810-4A52-B8F4-D9E7162E9D52}"/>
    <cellStyle name="Calculation 4 12 3 2" xfId="3872" xr:uid="{27D4E6BA-01D6-43A4-B74A-3A6DA7435668}"/>
    <cellStyle name="Calculation 4 12 3 3" xfId="25960" xr:uid="{888D961F-D022-4BD1-821F-7EF36E476B8E}"/>
    <cellStyle name="Calculation 4 12 4" xfId="3873" xr:uid="{221B0D48-8215-4945-8965-BE98AF447394}"/>
    <cellStyle name="Calculation 4 12 4 2" xfId="3874" xr:uid="{E68940B5-389D-40F5-8938-FCAF09D2C6C1}"/>
    <cellStyle name="Calculation 4 12 4 3" xfId="25961" xr:uid="{43A0FC53-79CE-4F74-AD93-5E6EAC954990}"/>
    <cellStyle name="Calculation 4 12 5" xfId="3875" xr:uid="{2FC890ED-FEE4-47E8-A7BA-FD02A7AC0903}"/>
    <cellStyle name="Calculation 4 12 5 2" xfId="3876" xr:uid="{F858B883-DDAA-459B-B1B9-EA965BE11F34}"/>
    <cellStyle name="Calculation 4 12 5 3" xfId="25962" xr:uid="{8B683753-56AF-489B-A2BD-B9E05984AE3A}"/>
    <cellStyle name="Calculation 4 12 6" xfId="3877" xr:uid="{A42D2226-BED9-4203-9D74-9EBA604ED727}"/>
    <cellStyle name="Calculation 4 12 6 2" xfId="3878" xr:uid="{74166ECE-2287-4964-B806-3D65A365DB59}"/>
    <cellStyle name="Calculation 4 12 6 3" xfId="25963" xr:uid="{897929FC-54BC-4A65-B31E-0D0A5CE76AAB}"/>
    <cellStyle name="Calculation 4 12 7" xfId="3879" xr:uid="{85EEFA6A-0576-4477-93F7-ED3C4F24CE4C}"/>
    <cellStyle name="Calculation 4 12 7 2" xfId="3880" xr:uid="{B057FF94-DF3C-49CD-9C0F-93956530C35A}"/>
    <cellStyle name="Calculation 4 12 7 3" xfId="25964" xr:uid="{043303A8-AEB0-4CCD-8FEC-6081C899DFD7}"/>
    <cellStyle name="Calculation 4 12 8" xfId="3881" xr:uid="{10E81B76-657C-4AD0-85A0-014397354895}"/>
    <cellStyle name="Calculation 4 12 8 2" xfId="3882" xr:uid="{BBC868C0-F3A4-4179-8A14-07923721ED6B}"/>
    <cellStyle name="Calculation 4 12 8 3" xfId="25965" xr:uid="{EC44B354-B187-4DBB-8173-00D84EB3B75D}"/>
    <cellStyle name="Calculation 4 12 9" xfId="3883" xr:uid="{68920643-C44B-41CD-8E96-18B11CD2AAFE}"/>
    <cellStyle name="Calculation 4 12 9 2" xfId="25966" xr:uid="{076F5A27-F37E-44F3-A2BF-AFF22F449B7F}"/>
    <cellStyle name="Calculation 4 12 9 3" xfId="25967" xr:uid="{E4095ADC-54D2-426B-AC33-CCCD1963C3E5}"/>
    <cellStyle name="Calculation 4 13" xfId="3884" xr:uid="{CE1010A3-D392-46DA-8A33-1519FF638EDB}"/>
    <cellStyle name="Calculation 4 13 2" xfId="3885" xr:uid="{0C5C1916-7509-4D7D-98F9-768FFB506E5A}"/>
    <cellStyle name="Calculation 4 13 3" xfId="3886" xr:uid="{7B7B7D4F-35C0-4CC8-8CB9-70E7316EC55F}"/>
    <cellStyle name="Calculation 4 13 4" xfId="3887" xr:uid="{6B9FBA43-D399-4D4E-B171-3619BBEDCCB7}"/>
    <cellStyle name="Calculation 4 14" xfId="3888" xr:uid="{E9698257-79D5-42CE-A9B0-07E68D15B7A0}"/>
    <cellStyle name="Calculation 4 14 2" xfId="3889" xr:uid="{44BDDEE3-4E89-41C7-94E6-3006D0474617}"/>
    <cellStyle name="Calculation 4 14 3" xfId="25968" xr:uid="{B8868634-46F6-4E44-AC0E-39D645BA4C91}"/>
    <cellStyle name="Calculation 4 15" xfId="3890" xr:uid="{AB55538B-7263-4031-8B57-D6BCE3FF2090}"/>
    <cellStyle name="Calculation 4 15 2" xfId="3891" xr:uid="{0B57F255-4595-4F4B-8909-ED6E91694C9C}"/>
    <cellStyle name="Calculation 4 15 3" xfId="25969" xr:uid="{5F54727B-14B9-45BF-81D9-06773B098587}"/>
    <cellStyle name="Calculation 4 16" xfId="3892" xr:uid="{2B5E03A8-85A0-42E1-B248-7D7758A308F2}"/>
    <cellStyle name="Calculation 4 16 2" xfId="3893" xr:uid="{37F28DF4-0645-413A-98BE-E38DA0C44D23}"/>
    <cellStyle name="Calculation 4 16 3" xfId="25970" xr:uid="{C5D051EB-3FB8-4B74-8115-C2F620313753}"/>
    <cellStyle name="Calculation 4 17" xfId="3894" xr:uid="{36E8E395-D0AA-4394-825F-D913903C987D}"/>
    <cellStyle name="Calculation 4 17 2" xfId="3895" xr:uid="{396C31A8-772B-4A1F-906F-F4FB46462178}"/>
    <cellStyle name="Calculation 4 17 3" xfId="25971" xr:uid="{B4F8A8A1-C347-48CF-AF9D-26E1FB79459F}"/>
    <cellStyle name="Calculation 4 18" xfId="3896" xr:uid="{75EAE190-22C6-413E-B1E1-FD5EF9FEE745}"/>
    <cellStyle name="Calculation 4 18 2" xfId="3897" xr:uid="{45A52E95-996B-4CBF-89F5-4BB7AF970A15}"/>
    <cellStyle name="Calculation 4 18 3" xfId="25972" xr:uid="{B9C66C0A-6186-4799-8205-058CF7AB79CC}"/>
    <cellStyle name="Calculation 4 19" xfId="3898" xr:uid="{E7FBFFA7-6DF3-4C84-A3CA-5535A12A1866}"/>
    <cellStyle name="Calculation 4 19 2" xfId="3899" xr:uid="{1917C0E3-18C5-401B-A867-C8880BFD76BA}"/>
    <cellStyle name="Calculation 4 19 3" xfId="25973" xr:uid="{43FF458F-0228-487D-B170-459C9B967373}"/>
    <cellStyle name="Calculation 4 2" xfId="3900" xr:uid="{292A8EC4-D74F-493E-884C-974A15FD0971}"/>
    <cellStyle name="Calculation 4 2 10" xfId="3901" xr:uid="{14A83C58-0D6A-4BBE-886F-338A197D8628}"/>
    <cellStyle name="Calculation 4 2 10 2" xfId="25974" xr:uid="{C2A72284-4714-4BD8-A019-88DF14600B7B}"/>
    <cellStyle name="Calculation 4 2 10 3" xfId="25975" xr:uid="{B015E93D-2796-469F-B3EF-A820EBB11100}"/>
    <cellStyle name="Calculation 4 2 11" xfId="3902" xr:uid="{4AD03C92-F69D-44A0-887C-77907DA1309E}"/>
    <cellStyle name="Calculation 4 2 11 2" xfId="25976" xr:uid="{AE62EAB7-6EAD-46F9-BCC1-E2B5FBD67FFF}"/>
    <cellStyle name="Calculation 4 2 12" xfId="25977" xr:uid="{04EA015D-A080-46E3-813A-248846F0F61B}"/>
    <cellStyle name="Calculation 4 2 13" xfId="25978" xr:uid="{6948016D-9CB7-4EE2-B128-49D41A9C591C}"/>
    <cellStyle name="Calculation 4 2 14" xfId="25979" xr:uid="{6B637622-1AAC-4B67-AA02-F16C80B873A4}"/>
    <cellStyle name="Calculation 4 2 2" xfId="3903" xr:uid="{EA50EA6A-DAA4-4CB9-8CE5-4F6E99AC2B6B}"/>
    <cellStyle name="Calculation 4 2 2 10" xfId="3904" xr:uid="{C36C16A2-4B61-4294-A77C-C8E367EFCE74}"/>
    <cellStyle name="Calculation 4 2 2 10 2" xfId="25980" xr:uid="{FB2C4577-8645-403F-B0B0-3FDBE3672444}"/>
    <cellStyle name="Calculation 4 2 2 11" xfId="25981" xr:uid="{EFB2C0E8-6023-4C55-8649-E6823113ADB4}"/>
    <cellStyle name="Calculation 4 2 2 2" xfId="3905" xr:uid="{80AE0E57-068D-4C48-884F-C28F7666ECBD}"/>
    <cellStyle name="Calculation 4 2 2 2 2" xfId="3906" xr:uid="{6AD671D3-0FEA-4EC0-85AD-1D891D5509AC}"/>
    <cellStyle name="Calculation 4 2 2 2 3" xfId="3907" xr:uid="{F06B0BC3-7BD4-4ADF-879D-196FD5B22843}"/>
    <cellStyle name="Calculation 4 2 2 2 4" xfId="3908" xr:uid="{210DDD04-08E3-43D8-92AC-0F13862B008D}"/>
    <cellStyle name="Calculation 4 2 2 3" xfId="3909" xr:uid="{DAD858CB-5F0E-4459-B978-AFBEF64C8007}"/>
    <cellStyle name="Calculation 4 2 2 3 2" xfId="3910" xr:uid="{E6120B15-E242-4882-9212-96644B88F1BE}"/>
    <cellStyle name="Calculation 4 2 2 3 3" xfId="25982" xr:uid="{162BDF7B-F606-46D3-AC42-8BAF4286C2AA}"/>
    <cellStyle name="Calculation 4 2 2 4" xfId="3911" xr:uid="{0F6ABC1D-0A57-4FEB-86C0-C5677F7B9342}"/>
    <cellStyle name="Calculation 4 2 2 4 2" xfId="3912" xr:uid="{07AA508D-BA96-4990-99BE-88C01F508F6E}"/>
    <cellStyle name="Calculation 4 2 2 4 3" xfId="25983" xr:uid="{D6915FFF-8C6B-4EFE-84A2-781A01A74B1B}"/>
    <cellStyle name="Calculation 4 2 2 5" xfId="3913" xr:uid="{54CB6E44-6720-491E-9ECA-F3D26C68CA27}"/>
    <cellStyle name="Calculation 4 2 2 5 2" xfId="3914" xr:uid="{D2C4E7E2-609B-48B8-B3F0-DE54A8B942A9}"/>
    <cellStyle name="Calculation 4 2 2 5 3" xfId="25984" xr:uid="{99E2E7C9-1220-443D-9151-0F1A1BF80B86}"/>
    <cellStyle name="Calculation 4 2 2 6" xfId="3915" xr:uid="{3402FC25-45DF-4A13-8E40-11A45DC84058}"/>
    <cellStyle name="Calculation 4 2 2 6 2" xfId="3916" xr:uid="{7F682E41-CA05-4695-9756-CEFD159F0EA5}"/>
    <cellStyle name="Calculation 4 2 2 6 3" xfId="25985" xr:uid="{2689F903-484A-4B59-A7D4-5CF5269831E7}"/>
    <cellStyle name="Calculation 4 2 2 7" xfId="3917" xr:uid="{EE6CE5A4-7F6A-46D3-9A13-B3F923E785DF}"/>
    <cellStyle name="Calculation 4 2 2 7 2" xfId="3918" xr:uid="{8A168B20-C3E5-4A4B-A50F-C624546D3584}"/>
    <cellStyle name="Calculation 4 2 2 7 3" xfId="25986" xr:uid="{EFF912ED-B519-4CB5-8D06-9EBEEA8AB0AE}"/>
    <cellStyle name="Calculation 4 2 2 8" xfId="3919" xr:uid="{DDD7A360-7529-4C1E-906E-16503926E619}"/>
    <cellStyle name="Calculation 4 2 2 8 2" xfId="3920" xr:uid="{72AFC3EC-0803-47E8-BB97-7E51A478A57D}"/>
    <cellStyle name="Calculation 4 2 2 8 3" xfId="25987" xr:uid="{9AEC57CB-35A2-4E1B-9B4B-5968D65DB6DE}"/>
    <cellStyle name="Calculation 4 2 2 9" xfId="3921" xr:uid="{C9372A40-49BA-4DAB-8641-C56CE457BAE1}"/>
    <cellStyle name="Calculation 4 2 2 9 2" xfId="25988" xr:uid="{0669A6F9-724E-4355-9301-B9933F522FD2}"/>
    <cellStyle name="Calculation 4 2 2 9 3" xfId="25989" xr:uid="{7048E5EE-CB05-42ED-BB04-2F0C92227975}"/>
    <cellStyle name="Calculation 4 2 3" xfId="3922" xr:uid="{52492599-B179-4DE4-972F-F058E61C98EC}"/>
    <cellStyle name="Calculation 4 2 3 2" xfId="3923" xr:uid="{0C6D4222-8F7B-4F6A-A427-8EC3B00ACC34}"/>
    <cellStyle name="Calculation 4 2 3 3" xfId="3924" xr:uid="{F268D841-36EA-4B6E-BD43-5E83C848AF24}"/>
    <cellStyle name="Calculation 4 2 3 4" xfId="3925" xr:uid="{EFF00DF6-3F43-418D-B7F6-927DF802BD0B}"/>
    <cellStyle name="Calculation 4 2 4" xfId="3926" xr:uid="{C9ABCA3A-FA1A-4C07-9E1C-951AEF1D80C5}"/>
    <cellStyle name="Calculation 4 2 4 2" xfId="3927" xr:uid="{F2400F66-BFA9-4BEF-8DC1-33B62FD83F3C}"/>
    <cellStyle name="Calculation 4 2 4 3" xfId="25990" xr:uid="{DC228C68-41C3-4BBF-ABC9-3E7A4253AB7F}"/>
    <cellStyle name="Calculation 4 2 5" xfId="3928" xr:uid="{9DDCBA66-40B6-43E5-B95B-C46F8F031B75}"/>
    <cellStyle name="Calculation 4 2 5 2" xfId="3929" xr:uid="{74B4F480-8168-4BF3-8A28-6F9888ED9DB6}"/>
    <cellStyle name="Calculation 4 2 5 3" xfId="25991" xr:uid="{7352FEDF-F08E-40AA-8A95-F62C0EAD919E}"/>
    <cellStyle name="Calculation 4 2 6" xfId="3930" xr:uid="{B7A1F900-E322-48D5-A8C1-1FD10CAC251F}"/>
    <cellStyle name="Calculation 4 2 6 2" xfId="3931" xr:uid="{979BB947-EE9E-4FD4-B13D-FF0A34AF915D}"/>
    <cellStyle name="Calculation 4 2 6 3" xfId="25992" xr:uid="{F06E8743-4B77-4E8E-8748-9A4F5C96E4B2}"/>
    <cellStyle name="Calculation 4 2 7" xfId="3932" xr:uid="{1B4D2667-F52E-4E58-95D0-A533A05AC1B8}"/>
    <cellStyle name="Calculation 4 2 7 2" xfId="3933" xr:uid="{C309F913-117A-4179-B78C-F06868FFD242}"/>
    <cellStyle name="Calculation 4 2 7 3" xfId="25993" xr:uid="{C183E97B-93F0-47AE-9625-67251D88AC2A}"/>
    <cellStyle name="Calculation 4 2 8" xfId="3934" xr:uid="{CC28D597-CF20-4769-BB78-26E04242282F}"/>
    <cellStyle name="Calculation 4 2 8 2" xfId="3935" xr:uid="{BBAF9306-E91F-47E9-9A76-FF5F7F168DCA}"/>
    <cellStyle name="Calculation 4 2 8 3" xfId="25994" xr:uid="{798FC29E-01AF-4C39-9CB6-3A56DD610DDF}"/>
    <cellStyle name="Calculation 4 2 9" xfId="3936" xr:uid="{5DD3A5B3-7FFF-4DEC-846A-7630216E242C}"/>
    <cellStyle name="Calculation 4 2 9 2" xfId="3937" xr:uid="{953FA7DF-0051-45CC-BA43-14E8382B3B11}"/>
    <cellStyle name="Calculation 4 2 9 3" xfId="25995" xr:uid="{A33C1C4D-16A4-404B-843C-3305A77BA60B}"/>
    <cellStyle name="Calculation 4 20" xfId="3938" xr:uid="{02C319D4-C520-41F5-AF56-EB9D16D57C3E}"/>
    <cellStyle name="Calculation 4 20 2" xfId="25996" xr:uid="{C0274DE5-23B2-4027-A129-EF553670C73D}"/>
    <cellStyle name="Calculation 4 20 3" xfId="25997" xr:uid="{691CFE37-70FD-4DEC-B48F-7D15FE14C9BE}"/>
    <cellStyle name="Calculation 4 21" xfId="3939" xr:uid="{F5D6822D-F764-4122-979C-E8CD53A08C70}"/>
    <cellStyle name="Calculation 4 21 2" xfId="25998" xr:uid="{267EE0EF-1F71-4E40-AF43-3B3E1BC956E5}"/>
    <cellStyle name="Calculation 4 22" xfId="25999" xr:uid="{99D7BFFE-4655-4727-AC90-1F15BE7B6186}"/>
    <cellStyle name="Calculation 4 23" xfId="26000" xr:uid="{C3591242-2D7A-420B-B24B-64AB4C9AC582}"/>
    <cellStyle name="Calculation 4 24" xfId="26001" xr:uid="{AAAE1BD3-8D12-46EA-ABC5-2B9BE407B006}"/>
    <cellStyle name="Calculation 4 25" xfId="42381" xr:uid="{576CCE5E-F004-46C6-AAEB-AED778336104}"/>
    <cellStyle name="Calculation 4 26" xfId="42844" xr:uid="{BF93D69C-9568-45D3-AF47-8618664FD1BC}"/>
    <cellStyle name="Calculation 4 27" xfId="43538" xr:uid="{DE213ED2-786E-4265-B8BE-D4EABC22ACBD}"/>
    <cellStyle name="Calculation 4 3" xfId="3940" xr:uid="{89086308-CF8B-40E1-B796-A9FA81514A66}"/>
    <cellStyle name="Calculation 4 3 10" xfId="3941" xr:uid="{8AE84BEA-6111-4AD7-8B7D-46E412AB0823}"/>
    <cellStyle name="Calculation 4 3 10 2" xfId="26002" xr:uid="{8642A148-6431-4128-910D-24025C981ACA}"/>
    <cellStyle name="Calculation 4 3 10 3" xfId="26003" xr:uid="{C5088FBC-EF48-483C-AB47-6BAEF6B81C8E}"/>
    <cellStyle name="Calculation 4 3 11" xfId="3942" xr:uid="{FC2708A2-E9DB-4414-A864-378C5DAFBFDC}"/>
    <cellStyle name="Calculation 4 3 11 2" xfId="26004" xr:uid="{7CE86F09-BEF5-45EF-AFFF-044C11948A3E}"/>
    <cellStyle name="Calculation 4 3 12" xfId="26005" xr:uid="{0B6C477E-5F6C-4A31-8C26-533923C23F0D}"/>
    <cellStyle name="Calculation 4 3 2" xfId="3943" xr:uid="{5C47D82F-3D73-45AD-BE4D-93B08B10CA0C}"/>
    <cellStyle name="Calculation 4 3 2 10" xfId="3944" xr:uid="{DDFD52F1-5D95-4BBA-A7D7-CA4F83967D66}"/>
    <cellStyle name="Calculation 4 3 2 10 2" xfId="26006" xr:uid="{7D846D46-776F-491B-AD7B-99984B09107A}"/>
    <cellStyle name="Calculation 4 3 2 11" xfId="26007" xr:uid="{430508D8-8A8A-4474-A1B2-F6BA35BEAE1C}"/>
    <cellStyle name="Calculation 4 3 2 2" xfId="3945" xr:uid="{CE27C2D5-A87D-41AC-B340-077BFF1E6FBC}"/>
    <cellStyle name="Calculation 4 3 2 2 2" xfId="3946" xr:uid="{5C541B49-39A6-46AD-AEE0-375A803B6631}"/>
    <cellStyle name="Calculation 4 3 2 2 3" xfId="3947" xr:uid="{32A5479F-A644-49EC-9411-646622FFEF7C}"/>
    <cellStyle name="Calculation 4 3 2 2 4" xfId="3948" xr:uid="{47F9957D-63B1-41B9-B094-64CDC60DF3FA}"/>
    <cellStyle name="Calculation 4 3 2 3" xfId="3949" xr:uid="{EFCA1697-0B3A-4FDC-84E7-B3EADC624F12}"/>
    <cellStyle name="Calculation 4 3 2 3 2" xfId="3950" xr:uid="{9E9A4481-C874-4BC9-A19C-883F6BDF2314}"/>
    <cellStyle name="Calculation 4 3 2 3 3" xfId="26008" xr:uid="{A0600557-FBF1-4A63-8386-8816EB88DE2D}"/>
    <cellStyle name="Calculation 4 3 2 4" xfId="3951" xr:uid="{1ED7DB09-4942-436C-8CF6-19AEE057CEAF}"/>
    <cellStyle name="Calculation 4 3 2 4 2" xfId="3952" xr:uid="{485B885D-145F-44F0-AA62-13A3F44CFB90}"/>
    <cellStyle name="Calculation 4 3 2 4 3" xfId="26009" xr:uid="{AAE4BF8B-2972-4E5A-BE72-49ADF1639198}"/>
    <cellStyle name="Calculation 4 3 2 5" xfId="3953" xr:uid="{EC0FA6B0-E3E7-4143-BF59-53F1742521C5}"/>
    <cellStyle name="Calculation 4 3 2 5 2" xfId="3954" xr:uid="{AC0F21B5-4D14-4F36-ACE2-1403021FC79A}"/>
    <cellStyle name="Calculation 4 3 2 5 3" xfId="26010" xr:uid="{8F6218F6-B307-4561-AD8F-A5C95FDFA263}"/>
    <cellStyle name="Calculation 4 3 2 6" xfId="3955" xr:uid="{ABA88D3F-463D-49B4-B00A-4621C7A63AB3}"/>
    <cellStyle name="Calculation 4 3 2 6 2" xfId="3956" xr:uid="{E80D5DDD-419F-4F7E-9628-3DD9BC3E3B2E}"/>
    <cellStyle name="Calculation 4 3 2 6 3" xfId="26011" xr:uid="{5A2054B1-FBEA-4D65-9F37-97F5FC324AA8}"/>
    <cellStyle name="Calculation 4 3 2 7" xfId="3957" xr:uid="{AA495151-846D-4BCF-9EF0-6CD60C290848}"/>
    <cellStyle name="Calculation 4 3 2 7 2" xfId="3958" xr:uid="{17C323A2-C809-4BA3-A96A-1B0C6F4FC6C7}"/>
    <cellStyle name="Calculation 4 3 2 7 3" xfId="26012" xr:uid="{919D3C36-DD49-464F-BD2B-70570686F62D}"/>
    <cellStyle name="Calculation 4 3 2 8" xfId="3959" xr:uid="{BAFEC583-9159-41FB-A961-E1CA081C563E}"/>
    <cellStyle name="Calculation 4 3 2 8 2" xfId="3960" xr:uid="{D57FEC42-9CC2-49CD-BD02-54E621B16C0E}"/>
    <cellStyle name="Calculation 4 3 2 8 3" xfId="26013" xr:uid="{FA7B65E4-DC88-4D2E-AA87-D2983D1559F4}"/>
    <cellStyle name="Calculation 4 3 2 9" xfId="3961" xr:uid="{DC73DE66-D618-4E55-9449-FA2AE7A2FB74}"/>
    <cellStyle name="Calculation 4 3 2 9 2" xfId="26014" xr:uid="{FAA3E56C-9396-48D7-8546-EB6FE7CAE5F4}"/>
    <cellStyle name="Calculation 4 3 2 9 3" xfId="26015" xr:uid="{723EA939-3674-4904-835A-B3DD9E4F880A}"/>
    <cellStyle name="Calculation 4 3 3" xfId="3962" xr:uid="{B2EFA61A-05B9-4280-B73A-6A4E8C515B5F}"/>
    <cellStyle name="Calculation 4 3 3 2" xfId="3963" xr:uid="{05B7B471-073E-49FE-BB8C-18E1974196DE}"/>
    <cellStyle name="Calculation 4 3 3 3" xfId="3964" xr:uid="{B52CD10C-00CE-4132-A3CD-08B2C3CD77DA}"/>
    <cellStyle name="Calculation 4 3 3 4" xfId="3965" xr:uid="{B0A1650D-06C2-4BE3-B3A3-14C79A7BC05C}"/>
    <cellStyle name="Calculation 4 3 4" xfId="3966" xr:uid="{D6208720-96E8-48B5-9C55-D9F26D1224D2}"/>
    <cellStyle name="Calculation 4 3 4 2" xfId="3967" xr:uid="{7A1B1D86-2628-49AF-A0A0-5AC7AC63AD75}"/>
    <cellStyle name="Calculation 4 3 4 3" xfId="26016" xr:uid="{F5AAEFB8-49B3-48D4-B53D-3CBE139D7A76}"/>
    <cellStyle name="Calculation 4 3 5" xfId="3968" xr:uid="{E8BC4523-1F1D-43AC-B67C-0BDDF9CDBF96}"/>
    <cellStyle name="Calculation 4 3 5 2" xfId="3969" xr:uid="{3831D30E-3024-4747-B892-3DFE3BA85213}"/>
    <cellStyle name="Calculation 4 3 5 3" xfId="26017" xr:uid="{C0B5F8AE-9FCE-453D-97D6-39818E873439}"/>
    <cellStyle name="Calculation 4 3 6" xfId="3970" xr:uid="{00DF48D2-D29B-41F4-9501-F37FCDD50709}"/>
    <cellStyle name="Calculation 4 3 6 2" xfId="3971" xr:uid="{6359E643-0312-4F3D-8BBC-031574F8C6FD}"/>
    <cellStyle name="Calculation 4 3 6 3" xfId="26018" xr:uid="{03BE0B85-4629-4C29-A5F0-40BBA48E983F}"/>
    <cellStyle name="Calculation 4 3 7" xfId="3972" xr:uid="{11A79D77-42BD-4A76-9B7D-C0C5156B366E}"/>
    <cellStyle name="Calculation 4 3 7 2" xfId="3973" xr:uid="{A9740CF4-0FF9-464A-9B1A-83E10B1C5950}"/>
    <cellStyle name="Calculation 4 3 7 3" xfId="26019" xr:uid="{A0364AFF-3E58-4FBD-A2EF-D60FBE67F098}"/>
    <cellStyle name="Calculation 4 3 8" xfId="3974" xr:uid="{A7635FCE-5981-4C22-90FE-B838877763A9}"/>
    <cellStyle name="Calculation 4 3 8 2" xfId="3975" xr:uid="{5568AC22-4418-442C-B9B5-86C1231DADFC}"/>
    <cellStyle name="Calculation 4 3 8 3" xfId="26020" xr:uid="{BA6F001F-DA47-4032-A170-96C0676C36B3}"/>
    <cellStyle name="Calculation 4 3 9" xfId="3976" xr:uid="{4C0C61E5-20A1-4DD0-97FE-E9D58DEAB265}"/>
    <cellStyle name="Calculation 4 3 9 2" xfId="3977" xr:uid="{7F82C3FA-7EFE-454A-98F8-4C75E66547B7}"/>
    <cellStyle name="Calculation 4 3 9 3" xfId="26021" xr:uid="{088BF303-80D8-45F2-AF5E-D470DFBC5D2A}"/>
    <cellStyle name="Calculation 4 4" xfId="3978" xr:uid="{AB34CD60-C2AF-4AF4-A5A3-32F62EFE1E93}"/>
    <cellStyle name="Calculation 4 4 10" xfId="3979" xr:uid="{7A20BE35-1F5F-4815-A641-A2ED78AC46A5}"/>
    <cellStyle name="Calculation 4 4 10 2" xfId="26022" xr:uid="{FB635DF7-4B22-42F8-B846-460E1CDD5723}"/>
    <cellStyle name="Calculation 4 4 10 3" xfId="26023" xr:uid="{DCCC8A18-DF67-49A6-922E-0805DA32F0AA}"/>
    <cellStyle name="Calculation 4 4 11" xfId="3980" xr:uid="{82375253-662A-4934-9D60-5AD8D13B18E9}"/>
    <cellStyle name="Calculation 4 4 11 2" xfId="26024" xr:uid="{4E26966A-8092-4505-9978-441E26F96AF6}"/>
    <cellStyle name="Calculation 4 4 12" xfId="26025" xr:uid="{92E8AF69-E654-46BE-B61F-FAA67654076A}"/>
    <cellStyle name="Calculation 4 4 2" xfId="3981" xr:uid="{A35378EF-7B24-4690-A18F-0708F8886B1B}"/>
    <cellStyle name="Calculation 4 4 2 10" xfId="3982" xr:uid="{01E718B4-1D71-4D53-B1ED-B5CD20993FD1}"/>
    <cellStyle name="Calculation 4 4 2 10 2" xfId="26026" xr:uid="{8E27D737-0ECC-487E-94E6-F389F867DE0B}"/>
    <cellStyle name="Calculation 4 4 2 11" xfId="26027" xr:uid="{A9069DEA-2456-4E2D-9DA4-9D30EA42E762}"/>
    <cellStyle name="Calculation 4 4 2 2" xfId="3983" xr:uid="{B560A14A-02AA-4073-AA52-83BBA8FD7A0C}"/>
    <cellStyle name="Calculation 4 4 2 2 2" xfId="3984" xr:uid="{8DA0046A-823C-49BE-9480-40BB76EA6D4E}"/>
    <cellStyle name="Calculation 4 4 2 2 3" xfId="3985" xr:uid="{1C1A7235-AA8E-4585-A08A-3CC56B2A1F42}"/>
    <cellStyle name="Calculation 4 4 2 2 4" xfId="3986" xr:uid="{D96AD6D4-A511-4512-A454-ACD8C07A90B9}"/>
    <cellStyle name="Calculation 4 4 2 3" xfId="3987" xr:uid="{74948B70-7987-4626-AC54-7DFCA2A6A949}"/>
    <cellStyle name="Calculation 4 4 2 3 2" xfId="3988" xr:uid="{ECA7320D-AE29-4B0A-A7E8-AFC6295DA392}"/>
    <cellStyle name="Calculation 4 4 2 3 3" xfId="26028" xr:uid="{1BCDCBB2-AD56-429A-A394-D6F090B2157F}"/>
    <cellStyle name="Calculation 4 4 2 4" xfId="3989" xr:uid="{4EDBBBB1-2C2C-4AD9-AD6A-C0825B28D225}"/>
    <cellStyle name="Calculation 4 4 2 4 2" xfId="3990" xr:uid="{1552E388-AF11-42A2-8560-77289DDCEEB2}"/>
    <cellStyle name="Calculation 4 4 2 4 3" xfId="26029" xr:uid="{ED42A6E3-DA92-4144-B1C8-4C3D98641882}"/>
    <cellStyle name="Calculation 4 4 2 5" xfId="3991" xr:uid="{7F948DA7-26E9-40B7-8CB4-98DBBCAECCD9}"/>
    <cellStyle name="Calculation 4 4 2 5 2" xfId="3992" xr:uid="{A865915A-DAC3-486A-9A69-1EC18E2F5C5C}"/>
    <cellStyle name="Calculation 4 4 2 5 3" xfId="26030" xr:uid="{5B493800-EF77-43E1-829F-1D408FEF3FB2}"/>
    <cellStyle name="Calculation 4 4 2 6" xfId="3993" xr:uid="{30068AA2-9DD7-42F3-AFEF-0AF64D049547}"/>
    <cellStyle name="Calculation 4 4 2 6 2" xfId="3994" xr:uid="{54F8090A-C822-446F-B3C1-B31F0250F176}"/>
    <cellStyle name="Calculation 4 4 2 6 3" xfId="26031" xr:uid="{1631C290-ABC5-4D7B-B961-28859853A77B}"/>
    <cellStyle name="Calculation 4 4 2 7" xfId="3995" xr:uid="{5F831CBC-777F-4C96-8F02-73B5CE874440}"/>
    <cellStyle name="Calculation 4 4 2 7 2" xfId="3996" xr:uid="{D672930A-2A2D-424C-B262-5EBD28AD49E0}"/>
    <cellStyle name="Calculation 4 4 2 7 3" xfId="26032" xr:uid="{A3F35C77-CDCC-4239-BF9F-F4EEDC433246}"/>
    <cellStyle name="Calculation 4 4 2 8" xfId="3997" xr:uid="{14C5A5E6-0B30-42BC-A285-BF2A542F828B}"/>
    <cellStyle name="Calculation 4 4 2 8 2" xfId="3998" xr:uid="{9FEB1EA0-3354-4BF8-882A-467B2E9C4AC2}"/>
    <cellStyle name="Calculation 4 4 2 8 3" xfId="26033" xr:uid="{AA71CB4C-00C0-4205-AA98-614BDF6BF637}"/>
    <cellStyle name="Calculation 4 4 2 9" xfId="3999" xr:uid="{45E00A6A-4AD8-4A70-8BC8-52F3C8EFBF5B}"/>
    <cellStyle name="Calculation 4 4 2 9 2" xfId="26034" xr:uid="{F7EF7C31-3276-4683-91D0-B86DF0E2643D}"/>
    <cellStyle name="Calculation 4 4 2 9 3" xfId="26035" xr:uid="{8CF98E66-5634-4A46-97BF-73D4B101E5AF}"/>
    <cellStyle name="Calculation 4 4 3" xfId="4000" xr:uid="{1D25A783-5327-43E0-A1D4-96F41560A643}"/>
    <cellStyle name="Calculation 4 4 3 2" xfId="4001" xr:uid="{63AFBAFD-FCA5-400E-9428-574F2A51C2F0}"/>
    <cellStyle name="Calculation 4 4 3 3" xfId="4002" xr:uid="{840E992D-B839-4340-8DEC-7C6CADA5815A}"/>
    <cellStyle name="Calculation 4 4 3 4" xfId="4003" xr:uid="{5FBFA0C9-C39C-4C9B-B3CD-6ED9F5569A03}"/>
    <cellStyle name="Calculation 4 4 4" xfId="4004" xr:uid="{709B1515-A25D-4905-B9AB-B01BDB81C7A7}"/>
    <cellStyle name="Calculation 4 4 4 2" xfId="4005" xr:uid="{2221227C-B9C6-4A38-AA5A-0C86AA090F95}"/>
    <cellStyle name="Calculation 4 4 4 3" xfId="26036" xr:uid="{07B6FB60-0796-4492-9E06-B5A9F0FA38AD}"/>
    <cellStyle name="Calculation 4 4 5" xfId="4006" xr:uid="{F3774D21-B519-484B-A86B-0B637DD60E9A}"/>
    <cellStyle name="Calculation 4 4 5 2" xfId="4007" xr:uid="{131C3F9A-4FF4-47FC-B738-6DFB9275AEA8}"/>
    <cellStyle name="Calculation 4 4 5 3" xfId="26037" xr:uid="{646489F3-3B32-4311-B3C9-70FEBC7A59FB}"/>
    <cellStyle name="Calculation 4 4 6" xfId="4008" xr:uid="{EAB1A481-AFE7-443A-B2C4-58355DD60500}"/>
    <cellStyle name="Calculation 4 4 6 2" xfId="4009" xr:uid="{A5F372B8-3D8B-4BB3-B216-C13F22DE6DB4}"/>
    <cellStyle name="Calculation 4 4 6 3" xfId="26038" xr:uid="{4C73D686-D4E6-4A3B-8756-F1272E147CA2}"/>
    <cellStyle name="Calculation 4 4 7" xfId="4010" xr:uid="{7D76CC68-FA39-4B2F-9D6B-D287F5D52199}"/>
    <cellStyle name="Calculation 4 4 7 2" xfId="4011" xr:uid="{230DC2DE-EB80-40CF-A3A9-AD1F3A4AA32A}"/>
    <cellStyle name="Calculation 4 4 7 3" xfId="26039" xr:uid="{A5F2E430-DACE-443D-BD25-36102CAD5981}"/>
    <cellStyle name="Calculation 4 4 8" xfId="4012" xr:uid="{454413A6-1B75-4D02-9AAC-77BC1C6D8A77}"/>
    <cellStyle name="Calculation 4 4 8 2" xfId="4013" xr:uid="{000ABD71-3731-4F01-9FC3-CE66A6BA74B6}"/>
    <cellStyle name="Calculation 4 4 8 3" xfId="26040" xr:uid="{D36E77E3-3F79-44B0-80E2-3BAB891737C8}"/>
    <cellStyle name="Calculation 4 4 9" xfId="4014" xr:uid="{E4F2F905-26A0-42FB-8476-ABACD6E8DF42}"/>
    <cellStyle name="Calculation 4 4 9 2" xfId="4015" xr:uid="{192EA340-52F4-44F3-B824-831F60489E2F}"/>
    <cellStyle name="Calculation 4 4 9 3" xfId="26041" xr:uid="{0F5105A1-C093-4B39-ACF0-9E7186F8D634}"/>
    <cellStyle name="Calculation 4 5" xfId="4016" xr:uid="{4C8D02B1-6EF3-4DC1-80E5-E33A0BC9DF96}"/>
    <cellStyle name="Calculation 4 5 10" xfId="4017" xr:uid="{6B44A3B2-2340-4DFF-99E7-8F13761A8A11}"/>
    <cellStyle name="Calculation 4 5 10 2" xfId="26042" xr:uid="{E4A8B45C-CDA1-4846-88A6-8530D9190C78}"/>
    <cellStyle name="Calculation 4 5 10 3" xfId="26043" xr:uid="{37EA0C2A-5196-4D05-90F1-981D2325E252}"/>
    <cellStyle name="Calculation 4 5 11" xfId="4018" xr:uid="{D8B3CD51-021D-4239-83FC-6E994027F2BC}"/>
    <cellStyle name="Calculation 4 5 11 2" xfId="26044" xr:uid="{649B603C-43DB-4073-97A7-B72FB1C78328}"/>
    <cellStyle name="Calculation 4 5 12" xfId="26045" xr:uid="{40D8BD62-BAE6-48E3-A0B3-13BE9CB77E47}"/>
    <cellStyle name="Calculation 4 5 2" xfId="4019" xr:uid="{9E0D3512-F808-46BD-BC10-47F0BD806803}"/>
    <cellStyle name="Calculation 4 5 2 10" xfId="4020" xr:uid="{EB0349DF-401D-4744-A1E2-E599BD9949C9}"/>
    <cellStyle name="Calculation 4 5 2 10 2" xfId="26046" xr:uid="{48C95639-0C76-49E3-BF7F-0C26F8018730}"/>
    <cellStyle name="Calculation 4 5 2 11" xfId="26047" xr:uid="{CEBE22B4-DC4B-4778-8BC2-EEC72CD54C8D}"/>
    <cellStyle name="Calculation 4 5 2 2" xfId="4021" xr:uid="{D426B6CC-E833-4518-9F11-3EB6EF9ED1EC}"/>
    <cellStyle name="Calculation 4 5 2 2 2" xfId="4022" xr:uid="{7F7AE1CB-67CE-4ADC-ACC3-F56DD2FA8E15}"/>
    <cellStyle name="Calculation 4 5 2 2 3" xfId="4023" xr:uid="{1437EF74-807E-4D59-91AF-5961BCCF2748}"/>
    <cellStyle name="Calculation 4 5 2 2 4" xfId="4024" xr:uid="{8CA50BC9-D08C-4603-949D-E0823D5B43B6}"/>
    <cellStyle name="Calculation 4 5 2 3" xfId="4025" xr:uid="{82CA2C0F-DA91-40F9-B99B-AF8506EF9EC5}"/>
    <cellStyle name="Calculation 4 5 2 3 2" xfId="4026" xr:uid="{E3BA4EFC-BEA2-4406-B6A0-E2203C172855}"/>
    <cellStyle name="Calculation 4 5 2 3 3" xfId="26048" xr:uid="{B3409622-9109-481A-8958-0FA82E79A266}"/>
    <cellStyle name="Calculation 4 5 2 4" xfId="4027" xr:uid="{9E3DF93A-CAAF-49F8-82F3-81B346880C89}"/>
    <cellStyle name="Calculation 4 5 2 4 2" xfId="4028" xr:uid="{181C0278-F73E-4559-A446-8209967FF08B}"/>
    <cellStyle name="Calculation 4 5 2 4 3" xfId="26049" xr:uid="{DF996336-8647-4064-B1D5-3AFFFF664002}"/>
    <cellStyle name="Calculation 4 5 2 5" xfId="4029" xr:uid="{31E199EB-2276-43F9-8F5D-76C5C865DAA8}"/>
    <cellStyle name="Calculation 4 5 2 5 2" xfId="4030" xr:uid="{FCE74456-8930-4076-9B51-5D050AA0BBD8}"/>
    <cellStyle name="Calculation 4 5 2 5 3" xfId="26050" xr:uid="{904DC577-F628-47E6-8129-E1D2A01FCC9C}"/>
    <cellStyle name="Calculation 4 5 2 6" xfId="4031" xr:uid="{C509AD2E-45F0-44F0-8C8E-4D72AB408F6B}"/>
    <cellStyle name="Calculation 4 5 2 6 2" xfId="4032" xr:uid="{E7EFF6C9-5626-4134-9B63-1FC33CA36469}"/>
    <cellStyle name="Calculation 4 5 2 6 3" xfId="26051" xr:uid="{619B600D-C820-4B89-8B36-9C735A63C4FE}"/>
    <cellStyle name="Calculation 4 5 2 7" xfId="4033" xr:uid="{0A949DC6-A795-463E-838B-4D45F235EEBF}"/>
    <cellStyle name="Calculation 4 5 2 7 2" xfId="4034" xr:uid="{88CF8E16-2923-4FD1-861A-98B596D6D23A}"/>
    <cellStyle name="Calculation 4 5 2 7 3" xfId="26052" xr:uid="{3BF8E30E-CB90-41FB-A882-2262AF2927A7}"/>
    <cellStyle name="Calculation 4 5 2 8" xfId="4035" xr:uid="{A47AB930-F4C1-49C4-8A2A-56DC40CCC609}"/>
    <cellStyle name="Calculation 4 5 2 8 2" xfId="4036" xr:uid="{C926CF18-0045-41DA-8B4B-35DB754C4CFC}"/>
    <cellStyle name="Calculation 4 5 2 8 3" xfId="26053" xr:uid="{F0B4D8A7-107F-4E0B-B271-0716E6F87FC4}"/>
    <cellStyle name="Calculation 4 5 2 9" xfId="4037" xr:uid="{182F0435-D20C-4BA5-A55C-A487F683860F}"/>
    <cellStyle name="Calculation 4 5 2 9 2" xfId="26054" xr:uid="{FA40C0EB-3877-433F-946E-CFB7C9F0DD76}"/>
    <cellStyle name="Calculation 4 5 2 9 3" xfId="26055" xr:uid="{4FA192FC-B02D-4204-874A-E965957D19FA}"/>
    <cellStyle name="Calculation 4 5 3" xfId="4038" xr:uid="{EBB820A4-4165-42DD-8550-78827D2D809C}"/>
    <cellStyle name="Calculation 4 5 3 2" xfId="4039" xr:uid="{4457B6CC-5306-47F1-B0C4-451E550F6FFC}"/>
    <cellStyle name="Calculation 4 5 3 3" xfId="4040" xr:uid="{DE5CE32A-958B-4C75-99E5-25BE997B5F16}"/>
    <cellStyle name="Calculation 4 5 3 4" xfId="4041" xr:uid="{FD9D8EF5-6FA3-4BCC-B144-286CCCFCCEEC}"/>
    <cellStyle name="Calculation 4 5 4" xfId="4042" xr:uid="{4A94DB22-DFBF-4B19-8CB1-28A3908925BD}"/>
    <cellStyle name="Calculation 4 5 4 2" xfId="4043" xr:uid="{B392756B-2043-46A4-9705-A6A3D0B76D8E}"/>
    <cellStyle name="Calculation 4 5 4 3" xfId="26056" xr:uid="{740C48DD-7F7D-41ED-BD79-5718ECB721CC}"/>
    <cellStyle name="Calculation 4 5 5" xfId="4044" xr:uid="{1678268C-BE64-447C-AA4C-F2D23C616534}"/>
    <cellStyle name="Calculation 4 5 5 2" xfId="4045" xr:uid="{1B9642F2-338A-4AD1-B254-CAB964344690}"/>
    <cellStyle name="Calculation 4 5 5 3" xfId="26057" xr:uid="{918ACCFB-9D67-40CA-8330-585618C508A8}"/>
    <cellStyle name="Calculation 4 5 6" xfId="4046" xr:uid="{6D21832A-CF6B-4FB8-82A5-E619C2F684F2}"/>
    <cellStyle name="Calculation 4 5 6 2" xfId="4047" xr:uid="{C11FFB9F-3B31-4847-9AF5-E5EAFA395632}"/>
    <cellStyle name="Calculation 4 5 6 3" xfId="26058" xr:uid="{31F85363-25F9-4DFD-AECE-5F7DB4B3342C}"/>
    <cellStyle name="Calculation 4 5 7" xfId="4048" xr:uid="{F215C293-4FC6-4B0A-9CEB-6B72BD435A5F}"/>
    <cellStyle name="Calculation 4 5 7 2" xfId="4049" xr:uid="{257BF315-6DBC-430E-8D4B-E66B132DB806}"/>
    <cellStyle name="Calculation 4 5 7 3" xfId="26059" xr:uid="{8AEDE9CA-0263-4B9A-94EB-AA0D74CDB50E}"/>
    <cellStyle name="Calculation 4 5 8" xfId="4050" xr:uid="{5D56EA3C-BA3D-4F71-9718-A5D799FBB30C}"/>
    <cellStyle name="Calculation 4 5 8 2" xfId="4051" xr:uid="{9D482969-7A98-4E65-9F05-4449E8AF5EB9}"/>
    <cellStyle name="Calculation 4 5 8 3" xfId="26060" xr:uid="{50E855B2-BD24-47A0-ABC0-37D9785E180D}"/>
    <cellStyle name="Calculation 4 5 9" xfId="4052" xr:uid="{F44B6FD0-6966-4471-9FC2-E93E320A3E99}"/>
    <cellStyle name="Calculation 4 5 9 2" xfId="4053" xr:uid="{189A77EA-C69F-4E85-BD9D-AB26BD1FFD2E}"/>
    <cellStyle name="Calculation 4 5 9 3" xfId="26061" xr:uid="{78EE555C-75E5-48DA-91A4-9434FA9FC8C6}"/>
    <cellStyle name="Calculation 4 6" xfId="4054" xr:uid="{569D4805-79A9-429B-9F50-C8A3C5EF5964}"/>
    <cellStyle name="Calculation 4 6 10" xfId="4055" xr:uid="{BD9B8642-CC8E-4F1F-A3B9-971280447F60}"/>
    <cellStyle name="Calculation 4 6 10 2" xfId="26062" xr:uid="{4CFD4D26-AB15-4538-A9AC-12D7D1CE96A4}"/>
    <cellStyle name="Calculation 4 6 10 3" xfId="26063" xr:uid="{734FDAAF-CB20-44FC-8846-F1BEC6236286}"/>
    <cellStyle name="Calculation 4 6 11" xfId="4056" xr:uid="{218AD19C-4205-4A7C-95DE-C9AE9B67733A}"/>
    <cellStyle name="Calculation 4 6 11 2" xfId="26064" xr:uid="{09CB9CD4-2805-4DDC-B7CE-5119E760373D}"/>
    <cellStyle name="Calculation 4 6 12" xfId="26065" xr:uid="{36F66235-1926-4EA5-B72F-0DCEF2C1FD00}"/>
    <cellStyle name="Calculation 4 6 2" xfId="4057" xr:uid="{617A4AE4-1BAE-4EAA-BB0D-E803A2CE0146}"/>
    <cellStyle name="Calculation 4 6 2 10" xfId="4058" xr:uid="{A29648B1-83BC-44C6-8DC8-DE6BDF25A765}"/>
    <cellStyle name="Calculation 4 6 2 10 2" xfId="26066" xr:uid="{650EB81F-B717-40DD-850C-6E1875C0DFF4}"/>
    <cellStyle name="Calculation 4 6 2 11" xfId="26067" xr:uid="{1D8264EA-1FC0-4ACF-85D5-9F0377A1BB1D}"/>
    <cellStyle name="Calculation 4 6 2 2" xfId="4059" xr:uid="{B4CC6750-F7D5-4230-824C-8B7EE197A7A5}"/>
    <cellStyle name="Calculation 4 6 2 2 2" xfId="4060" xr:uid="{A4C5B3CA-3844-4148-A0C9-4439DE475535}"/>
    <cellStyle name="Calculation 4 6 2 2 3" xfId="4061" xr:uid="{B95A8770-A1AA-4465-8F91-82661A949E5D}"/>
    <cellStyle name="Calculation 4 6 2 2 4" xfId="4062" xr:uid="{0739A448-CEE6-425F-A80B-CB3AB3B0208D}"/>
    <cellStyle name="Calculation 4 6 2 3" xfId="4063" xr:uid="{8B9EC1BB-89C3-44C2-B04F-BE14DE991CAD}"/>
    <cellStyle name="Calculation 4 6 2 3 2" xfId="4064" xr:uid="{15D63E31-29D3-4CCC-8328-CDB7C8F14538}"/>
    <cellStyle name="Calculation 4 6 2 3 3" xfId="26068" xr:uid="{63E40AA3-A060-4FDF-B785-6143246AE7F4}"/>
    <cellStyle name="Calculation 4 6 2 4" xfId="4065" xr:uid="{567A867E-7EFD-476A-A35D-FE7D610C98F5}"/>
    <cellStyle name="Calculation 4 6 2 4 2" xfId="4066" xr:uid="{B1FFF0B0-893D-48EC-9F64-9227B3476C45}"/>
    <cellStyle name="Calculation 4 6 2 4 3" xfId="26069" xr:uid="{E6925EA0-0686-41C2-A905-0515EE2CAF64}"/>
    <cellStyle name="Calculation 4 6 2 5" xfId="4067" xr:uid="{3356E6F7-51B0-4338-8A0F-B822B4EA4070}"/>
    <cellStyle name="Calculation 4 6 2 5 2" xfId="4068" xr:uid="{946478D7-F052-49C5-9005-B155F424263C}"/>
    <cellStyle name="Calculation 4 6 2 5 3" xfId="26070" xr:uid="{EE5367E2-62BC-475A-98B1-18111E76AF3B}"/>
    <cellStyle name="Calculation 4 6 2 6" xfId="4069" xr:uid="{D6C26156-32D1-4CE0-BD03-E36F5C5E45EF}"/>
    <cellStyle name="Calculation 4 6 2 6 2" xfId="4070" xr:uid="{D8EC4C5C-C3CF-4CBC-9503-CB4D0557D44E}"/>
    <cellStyle name="Calculation 4 6 2 6 3" xfId="26071" xr:uid="{AFDBB254-623C-42DE-8CB0-072984010FED}"/>
    <cellStyle name="Calculation 4 6 2 7" xfId="4071" xr:uid="{99626A0A-B5FA-417B-B053-5237794F4905}"/>
    <cellStyle name="Calculation 4 6 2 7 2" xfId="4072" xr:uid="{C98AC594-AD83-4CDD-8766-7177FC8F1A3E}"/>
    <cellStyle name="Calculation 4 6 2 7 3" xfId="26072" xr:uid="{1C95349E-7363-4026-BA4A-4EEB1BB6768E}"/>
    <cellStyle name="Calculation 4 6 2 8" xfId="4073" xr:uid="{97880993-5B24-4492-9DCC-EDCFF8D94593}"/>
    <cellStyle name="Calculation 4 6 2 8 2" xfId="4074" xr:uid="{9128A3FF-ED9A-4076-A404-2215FCDB6B68}"/>
    <cellStyle name="Calculation 4 6 2 8 3" xfId="26073" xr:uid="{C3D8B1F3-A4E3-486D-8953-6CC7ADFF9BAD}"/>
    <cellStyle name="Calculation 4 6 2 9" xfId="4075" xr:uid="{27A5028E-9678-4855-AE73-D0B2D2BBE159}"/>
    <cellStyle name="Calculation 4 6 2 9 2" xfId="26074" xr:uid="{18FB8877-6355-4159-9050-90E5BEEE41D3}"/>
    <cellStyle name="Calculation 4 6 2 9 3" xfId="26075" xr:uid="{39E8DCF9-96F6-46F2-AF85-F976CE452ADF}"/>
    <cellStyle name="Calculation 4 6 3" xfId="4076" xr:uid="{49813DF4-AC57-470D-8CA2-7E7272FEAB48}"/>
    <cellStyle name="Calculation 4 6 3 2" xfId="4077" xr:uid="{281CB217-0469-43D8-9AA3-87753DBDA8A1}"/>
    <cellStyle name="Calculation 4 6 3 3" xfId="4078" xr:uid="{1A61578A-4EFA-43E2-919A-A53342B62A02}"/>
    <cellStyle name="Calculation 4 6 3 4" xfId="4079" xr:uid="{DDAE77F0-CA25-459E-88C0-09E6A384990F}"/>
    <cellStyle name="Calculation 4 6 4" xfId="4080" xr:uid="{4E23CC0C-FD8E-43DF-92EA-2F0696F504E4}"/>
    <cellStyle name="Calculation 4 6 4 2" xfId="4081" xr:uid="{C270BD4B-216F-48AB-85B5-C7C30828DDC6}"/>
    <cellStyle name="Calculation 4 6 4 3" xfId="26076" xr:uid="{962116C3-7F46-4876-BA5A-D331EFCCA0BA}"/>
    <cellStyle name="Calculation 4 6 5" xfId="4082" xr:uid="{BA3BF775-AD65-490F-89F3-524CAA3F1EF2}"/>
    <cellStyle name="Calculation 4 6 5 2" xfId="4083" xr:uid="{4CC1566C-7D29-4F5B-9E3B-67C686909349}"/>
    <cellStyle name="Calculation 4 6 5 3" xfId="26077" xr:uid="{D9138A1D-3CCC-4C2B-87D8-EDF0542B6B2F}"/>
    <cellStyle name="Calculation 4 6 6" xfId="4084" xr:uid="{AA24351A-0203-4ED4-9EFD-2CB72449271F}"/>
    <cellStyle name="Calculation 4 6 6 2" xfId="4085" xr:uid="{C95F0EBE-3FBD-4D5E-8CBC-F5EC91BBEF38}"/>
    <cellStyle name="Calculation 4 6 6 3" xfId="26078" xr:uid="{BA898B55-7486-4A77-BFC6-4264E9DE1120}"/>
    <cellStyle name="Calculation 4 6 7" xfId="4086" xr:uid="{7A139BB3-AED3-4ABC-A632-10F8B93584BC}"/>
    <cellStyle name="Calculation 4 6 7 2" xfId="4087" xr:uid="{19B68C80-58C8-40C5-9EC7-34B2F90C1D26}"/>
    <cellStyle name="Calculation 4 6 7 3" xfId="26079" xr:uid="{6CC21A76-8F2C-4356-BDE3-B53F6AA78E90}"/>
    <cellStyle name="Calculation 4 6 8" xfId="4088" xr:uid="{72ADE5FC-8285-41F7-A43C-5C439E04F23F}"/>
    <cellStyle name="Calculation 4 6 8 2" xfId="4089" xr:uid="{CE553F32-98EB-4BD7-AE90-65EE660C8C2D}"/>
    <cellStyle name="Calculation 4 6 8 3" xfId="26080" xr:uid="{96CC89B0-EB90-474D-B13B-82EB806927F7}"/>
    <cellStyle name="Calculation 4 6 9" xfId="4090" xr:uid="{E8FDCAB3-3DD9-4338-9E77-5CF0E2D73B5F}"/>
    <cellStyle name="Calculation 4 6 9 2" xfId="4091" xr:uid="{84531F3A-D319-48D0-A8EC-99AB5C1CA993}"/>
    <cellStyle name="Calculation 4 6 9 3" xfId="26081" xr:uid="{9A969438-C1F4-412E-8676-DF713DEF9670}"/>
    <cellStyle name="Calculation 4 7" xfId="4092" xr:uid="{87BC67B7-6846-449E-891D-C1A89D573060}"/>
    <cellStyle name="Calculation 4 7 10" xfId="4093" xr:uid="{DD5C6675-9BF5-4160-A12C-08450544261A}"/>
    <cellStyle name="Calculation 4 7 10 2" xfId="26082" xr:uid="{B5D3F9A0-8D56-4341-AB24-66C87D784CCB}"/>
    <cellStyle name="Calculation 4 7 10 3" xfId="26083" xr:uid="{083E1607-CB9E-4306-A0B2-B5951E75D164}"/>
    <cellStyle name="Calculation 4 7 11" xfId="4094" xr:uid="{BD3CCB40-7A1D-46E9-AD7F-DE47D6337CE5}"/>
    <cellStyle name="Calculation 4 7 11 2" xfId="26084" xr:uid="{D04A313E-37E9-4194-B0D8-9276EC5FB4DF}"/>
    <cellStyle name="Calculation 4 7 12" xfId="26085" xr:uid="{DCBB8EB5-0D53-4449-BC1A-8E46BE2E810D}"/>
    <cellStyle name="Calculation 4 7 2" xfId="4095" xr:uid="{6C961AA1-43F6-4619-B432-12EE8FA42F91}"/>
    <cellStyle name="Calculation 4 7 2 10" xfId="4096" xr:uid="{B8160CCA-8BB1-4EDE-9033-F209066DE7EB}"/>
    <cellStyle name="Calculation 4 7 2 10 2" xfId="26086" xr:uid="{D55C5CB2-6EE9-4E69-A00C-C1008E88BE42}"/>
    <cellStyle name="Calculation 4 7 2 11" xfId="26087" xr:uid="{DF6FE886-C110-492F-B4FF-6BDC3AEF0742}"/>
    <cellStyle name="Calculation 4 7 2 2" xfId="4097" xr:uid="{58CB8F2D-9B74-4209-A115-78818F5146DA}"/>
    <cellStyle name="Calculation 4 7 2 2 2" xfId="4098" xr:uid="{9927A1E6-BA82-49CF-8731-0FC1E837A99F}"/>
    <cellStyle name="Calculation 4 7 2 2 3" xfId="4099" xr:uid="{C5CF4A22-38C5-447F-AEC2-B1571C6EE3C6}"/>
    <cellStyle name="Calculation 4 7 2 2 4" xfId="4100" xr:uid="{DD05684A-6ECD-4801-96D0-AD166D986C2E}"/>
    <cellStyle name="Calculation 4 7 2 3" xfId="4101" xr:uid="{FD2F3127-8D11-40DC-B284-84B22770A9F6}"/>
    <cellStyle name="Calculation 4 7 2 3 2" xfId="4102" xr:uid="{6BAC6029-777D-4CE6-BBF5-40C5514647B2}"/>
    <cellStyle name="Calculation 4 7 2 3 3" xfId="26088" xr:uid="{2EED383A-2A8F-4B19-A1B9-7F7F9EFBB4D3}"/>
    <cellStyle name="Calculation 4 7 2 4" xfId="4103" xr:uid="{9B0C9553-FC83-4DE4-B9C8-46686AE8A5AD}"/>
    <cellStyle name="Calculation 4 7 2 4 2" xfId="4104" xr:uid="{DFA39E7E-7B22-4AC0-9D3F-2495F76098D4}"/>
    <cellStyle name="Calculation 4 7 2 4 3" xfId="26089" xr:uid="{E1F02E7E-4907-480C-9A1E-39733BD47008}"/>
    <cellStyle name="Calculation 4 7 2 5" xfId="4105" xr:uid="{A974AF50-D96C-4216-8EA1-6C85CBB00A4B}"/>
    <cellStyle name="Calculation 4 7 2 5 2" xfId="4106" xr:uid="{5EA19A29-FBB3-41AC-BB93-BAB2AF4D8CCF}"/>
    <cellStyle name="Calculation 4 7 2 5 3" xfId="26090" xr:uid="{3ADD6B97-ED93-4E46-81ED-607636B581A6}"/>
    <cellStyle name="Calculation 4 7 2 6" xfId="4107" xr:uid="{B95F5B51-0480-41A3-8452-7569566C751A}"/>
    <cellStyle name="Calculation 4 7 2 6 2" xfId="4108" xr:uid="{D9A11309-20B9-4080-93C2-1B35E6CF5AE7}"/>
    <cellStyle name="Calculation 4 7 2 6 3" xfId="26091" xr:uid="{BC8B916E-BB02-4B1D-AD92-305CCC1FA31D}"/>
    <cellStyle name="Calculation 4 7 2 7" xfId="4109" xr:uid="{1DCBDA2F-E1EF-495E-A4C9-99F0A8CA76D3}"/>
    <cellStyle name="Calculation 4 7 2 7 2" xfId="4110" xr:uid="{E99C7A9D-E244-4597-A922-F8C7FDC1CE74}"/>
    <cellStyle name="Calculation 4 7 2 7 3" xfId="26092" xr:uid="{6FE93CC8-C76E-48E5-B18D-F34E807761E8}"/>
    <cellStyle name="Calculation 4 7 2 8" xfId="4111" xr:uid="{6DEDBD37-6380-47D5-86E9-D2D93E69AC14}"/>
    <cellStyle name="Calculation 4 7 2 8 2" xfId="4112" xr:uid="{151DDAB3-88FA-4D98-AA1E-87C8262B3D0C}"/>
    <cellStyle name="Calculation 4 7 2 8 3" xfId="26093" xr:uid="{24D8B03E-3DF8-4F2C-8760-54DF084E15B4}"/>
    <cellStyle name="Calculation 4 7 2 9" xfId="4113" xr:uid="{5FF1F6B3-14CB-47E0-977B-1EB933F6DE18}"/>
    <cellStyle name="Calculation 4 7 2 9 2" xfId="26094" xr:uid="{5D1B95D8-7162-4644-8866-A1ECEEBB059D}"/>
    <cellStyle name="Calculation 4 7 2 9 3" xfId="26095" xr:uid="{819147FB-B334-4B54-8ACD-9B0A1AEDC215}"/>
    <cellStyle name="Calculation 4 7 3" xfId="4114" xr:uid="{7125345F-1BFA-4DC2-AAA4-791C71AD5E8B}"/>
    <cellStyle name="Calculation 4 7 3 2" xfId="4115" xr:uid="{789F8B3C-3391-4883-B38D-D49E7B68F7A9}"/>
    <cellStyle name="Calculation 4 7 3 3" xfId="4116" xr:uid="{9D696DE4-59B3-472E-9B71-AA1245A50723}"/>
    <cellStyle name="Calculation 4 7 3 4" xfId="4117" xr:uid="{A3E93EBA-AC55-456F-A5C1-23918D99D9BD}"/>
    <cellStyle name="Calculation 4 7 4" xfId="4118" xr:uid="{63C1A9CD-9DBA-40B1-ACD1-7AA19CFC0506}"/>
    <cellStyle name="Calculation 4 7 4 2" xfId="4119" xr:uid="{030C1C7A-ADD5-42E8-B20A-0F243DB1578F}"/>
    <cellStyle name="Calculation 4 7 4 3" xfId="26096" xr:uid="{D31A01D4-C9C8-4E15-9635-A2FD6D17B5EA}"/>
    <cellStyle name="Calculation 4 7 5" xfId="4120" xr:uid="{6CBBC3E6-4CD2-4E8E-92CD-FF55A429914C}"/>
    <cellStyle name="Calculation 4 7 5 2" xfId="4121" xr:uid="{92E7937D-2891-498A-BCE1-D1E20B30172D}"/>
    <cellStyle name="Calculation 4 7 5 3" xfId="26097" xr:uid="{C9ECC9DC-09F9-4536-8795-8158C10AC868}"/>
    <cellStyle name="Calculation 4 7 6" xfId="4122" xr:uid="{ECB404F7-35E9-4EE9-B49C-1B2789C72613}"/>
    <cellStyle name="Calculation 4 7 6 2" xfId="4123" xr:uid="{2406C9E6-BD0F-4632-958B-C6062BFA79EE}"/>
    <cellStyle name="Calculation 4 7 6 3" xfId="26098" xr:uid="{3E6AFF31-13EF-4297-8F54-3380EE74FD7C}"/>
    <cellStyle name="Calculation 4 7 7" xfId="4124" xr:uid="{D1CDC516-B42E-48F8-9BE4-F73B2ED18598}"/>
    <cellStyle name="Calculation 4 7 7 2" xfId="4125" xr:uid="{070DD6D8-98A6-46A3-A9EA-E7F87BF2A799}"/>
    <cellStyle name="Calculation 4 7 7 3" xfId="26099" xr:uid="{C85DE2D1-3C78-4986-856F-A3265BF33810}"/>
    <cellStyle name="Calculation 4 7 8" xfId="4126" xr:uid="{7AED7335-FD6A-48A7-A796-23986C784DA2}"/>
    <cellStyle name="Calculation 4 7 8 2" xfId="4127" xr:uid="{5961C762-F3E9-4EBD-A8C9-831650588995}"/>
    <cellStyle name="Calculation 4 7 8 3" xfId="26100" xr:uid="{9E1B761F-EFC3-4C03-9638-931FB044C6F6}"/>
    <cellStyle name="Calculation 4 7 9" xfId="4128" xr:uid="{1BA6C893-EBF8-4AC9-98DE-21D45FAF59D7}"/>
    <cellStyle name="Calculation 4 7 9 2" xfId="4129" xr:uid="{FEBDC821-37A4-4C95-81ED-CD7E0EE73725}"/>
    <cellStyle name="Calculation 4 7 9 3" xfId="26101" xr:uid="{2AC7DBF8-937A-4128-89A4-5D4A1907BD15}"/>
    <cellStyle name="Calculation 4 8" xfId="4130" xr:uid="{F158CA78-5150-48EB-969C-AEA347D0B2BD}"/>
    <cellStyle name="Calculation 4 8 10" xfId="4131" xr:uid="{3E10CAE0-C12E-4081-9E79-49AEE61E084D}"/>
    <cellStyle name="Calculation 4 8 10 2" xfId="26102" xr:uid="{01338BA9-3CE8-4352-91BE-C9E97E586088}"/>
    <cellStyle name="Calculation 4 8 10 3" xfId="26103" xr:uid="{DC1D093D-956D-4B92-893B-BF1D1331626C}"/>
    <cellStyle name="Calculation 4 8 11" xfId="4132" xr:uid="{B00D4C36-AC96-41C5-B454-E0683FA7CA63}"/>
    <cellStyle name="Calculation 4 8 11 2" xfId="26104" xr:uid="{30E2231F-4A20-4C5F-8E7B-001CB8639A34}"/>
    <cellStyle name="Calculation 4 8 12" xfId="26105" xr:uid="{D7C9B48A-C094-4A26-8725-15891C3E1AB9}"/>
    <cellStyle name="Calculation 4 8 2" xfId="4133" xr:uid="{81B3CEF3-16F1-4F6D-9086-06E9AC500193}"/>
    <cellStyle name="Calculation 4 8 2 10" xfId="4134" xr:uid="{0085E0EE-DF9D-4666-AC6A-605F60061D97}"/>
    <cellStyle name="Calculation 4 8 2 10 2" xfId="26106" xr:uid="{BFC2335D-AFB5-42E5-9EF7-A9D95DB37DFD}"/>
    <cellStyle name="Calculation 4 8 2 11" xfId="26107" xr:uid="{5299068E-D466-4BB7-BA82-AA473A71C3D4}"/>
    <cellStyle name="Calculation 4 8 2 2" xfId="4135" xr:uid="{A0EAA326-9390-4C00-83CB-ABE4BC562284}"/>
    <cellStyle name="Calculation 4 8 2 2 2" xfId="4136" xr:uid="{ECDCB230-F20E-4490-8E07-C02CE8A5B0D4}"/>
    <cellStyle name="Calculation 4 8 2 2 3" xfId="4137" xr:uid="{3ED715B7-16EF-4530-97C8-7C120ADD7A97}"/>
    <cellStyle name="Calculation 4 8 2 2 4" xfId="4138" xr:uid="{F767400F-27F3-4BAF-AFEE-D92B91B019EC}"/>
    <cellStyle name="Calculation 4 8 2 3" xfId="4139" xr:uid="{4CF180D5-B44B-4C0F-978D-73B92BC0F23F}"/>
    <cellStyle name="Calculation 4 8 2 3 2" xfId="4140" xr:uid="{8AC0F1F4-097D-4121-8045-D15BF7683E1E}"/>
    <cellStyle name="Calculation 4 8 2 3 3" xfId="26108" xr:uid="{2CD2DEB2-5746-4B79-9402-25721E65B0B7}"/>
    <cellStyle name="Calculation 4 8 2 4" xfId="4141" xr:uid="{4464A874-BF2E-469D-BD71-E429C7682AF4}"/>
    <cellStyle name="Calculation 4 8 2 4 2" xfId="4142" xr:uid="{7A864DE5-8975-4E95-BE64-BDA799C6C1DA}"/>
    <cellStyle name="Calculation 4 8 2 4 3" xfId="26109" xr:uid="{5375F377-D261-4C8C-B0A7-FF24AA9E3742}"/>
    <cellStyle name="Calculation 4 8 2 5" xfId="4143" xr:uid="{40D1F3E8-02DC-40D1-9CCF-5F4D8ABBE5B3}"/>
    <cellStyle name="Calculation 4 8 2 5 2" xfId="4144" xr:uid="{4E3379FE-1060-478E-87C1-CB259A8750C2}"/>
    <cellStyle name="Calculation 4 8 2 5 3" xfId="26110" xr:uid="{50509C4F-5391-45F1-BE5B-E70A0D6BE293}"/>
    <cellStyle name="Calculation 4 8 2 6" xfId="4145" xr:uid="{144BDE28-7682-4E29-80BC-22FA9854C0A4}"/>
    <cellStyle name="Calculation 4 8 2 6 2" xfId="4146" xr:uid="{5FFE6E8E-4762-44D0-BFD2-96B5F77EF7E3}"/>
    <cellStyle name="Calculation 4 8 2 6 3" xfId="26111" xr:uid="{862FD697-8D8B-474A-82C8-1CC9C293469B}"/>
    <cellStyle name="Calculation 4 8 2 7" xfId="4147" xr:uid="{EB7F5ACC-C14E-48B0-ACA5-E820539450A3}"/>
    <cellStyle name="Calculation 4 8 2 7 2" xfId="4148" xr:uid="{2DD68D92-4C5D-42D6-B6AF-BBE5079880BC}"/>
    <cellStyle name="Calculation 4 8 2 7 3" xfId="26112" xr:uid="{3936876C-74BD-41F0-A9CE-C5AFC6317799}"/>
    <cellStyle name="Calculation 4 8 2 8" xfId="4149" xr:uid="{39930B22-DEA7-4BCF-B851-19539CFB88D7}"/>
    <cellStyle name="Calculation 4 8 2 8 2" xfId="4150" xr:uid="{5E51C00A-D6E2-416C-A386-BD73F0488D71}"/>
    <cellStyle name="Calculation 4 8 2 8 3" xfId="26113" xr:uid="{2C84F46B-4865-40E4-BC83-6A6E81D7EB1C}"/>
    <cellStyle name="Calculation 4 8 2 9" xfId="4151" xr:uid="{5B19F982-9640-40CF-B7F8-48D8AAEEB8F7}"/>
    <cellStyle name="Calculation 4 8 2 9 2" xfId="26114" xr:uid="{57EB6368-C01D-4EB2-A749-85A9F82704D1}"/>
    <cellStyle name="Calculation 4 8 2 9 3" xfId="26115" xr:uid="{5CF63FC7-6A0D-4504-AEB4-CC5108457B23}"/>
    <cellStyle name="Calculation 4 8 3" xfId="4152" xr:uid="{D097EFC0-951C-4994-BBD3-F3C920FF5914}"/>
    <cellStyle name="Calculation 4 8 3 2" xfId="4153" xr:uid="{302A6029-BA36-4B76-B312-1FF59FFB107D}"/>
    <cellStyle name="Calculation 4 8 3 3" xfId="4154" xr:uid="{CA666E24-2FC7-4E48-87DC-0FB4B92714A7}"/>
    <cellStyle name="Calculation 4 8 3 4" xfId="4155" xr:uid="{05605D74-041A-4FA7-9A06-DA008F4D952E}"/>
    <cellStyle name="Calculation 4 8 4" xfId="4156" xr:uid="{D8F5165D-20B5-400E-A462-983128700C66}"/>
    <cellStyle name="Calculation 4 8 4 2" xfId="4157" xr:uid="{692B58CB-9CAB-4A47-A373-E71A56FD9CFB}"/>
    <cellStyle name="Calculation 4 8 4 3" xfId="26116" xr:uid="{9283CFB1-DAD4-43D5-A40D-4B4BACF3F8C3}"/>
    <cellStyle name="Calculation 4 8 5" xfId="4158" xr:uid="{DCCDBB4F-C23F-454C-BF38-31F5C37D2E03}"/>
    <cellStyle name="Calculation 4 8 5 2" xfId="4159" xr:uid="{B3DDE588-3D04-4F69-8C63-24AC7DC690C9}"/>
    <cellStyle name="Calculation 4 8 5 3" xfId="26117" xr:uid="{235EE5B7-A95F-4BC6-942F-F7A53BC9B0B1}"/>
    <cellStyle name="Calculation 4 8 6" xfId="4160" xr:uid="{C623E293-68A1-44AB-868E-E06C3E39B656}"/>
    <cellStyle name="Calculation 4 8 6 2" xfId="4161" xr:uid="{9D1D1610-A2D4-4E43-9657-8A9E041C0017}"/>
    <cellStyle name="Calculation 4 8 6 3" xfId="26118" xr:uid="{9A374270-01B0-4F32-8DDD-F94D2741A6CB}"/>
    <cellStyle name="Calculation 4 8 7" xfId="4162" xr:uid="{A172B3B4-7EE7-4B9F-B92A-CDBF8AE1FD2F}"/>
    <cellStyle name="Calculation 4 8 7 2" xfId="4163" xr:uid="{3EC62365-F33D-4850-B90D-F924906171D0}"/>
    <cellStyle name="Calculation 4 8 7 3" xfId="26119" xr:uid="{6404F1CC-E9B8-40F7-939F-100205AD95FF}"/>
    <cellStyle name="Calculation 4 8 8" xfId="4164" xr:uid="{376019EC-EDE3-492E-994D-BF60E8BF670C}"/>
    <cellStyle name="Calculation 4 8 8 2" xfId="4165" xr:uid="{A7D3A2F0-4685-4087-AC1D-275456F8FF7F}"/>
    <cellStyle name="Calculation 4 8 8 3" xfId="26120" xr:uid="{2477A6B4-EB1B-4AFE-BD0D-F5883421B726}"/>
    <cellStyle name="Calculation 4 8 9" xfId="4166" xr:uid="{516E1DDE-34AB-4637-8E72-AEE4A184FCD5}"/>
    <cellStyle name="Calculation 4 8 9 2" xfId="4167" xr:uid="{00A4DCDD-0D89-4D24-911D-C639CFBAC79E}"/>
    <cellStyle name="Calculation 4 8 9 3" xfId="26121" xr:uid="{3F578097-E6B1-4E56-B8F7-FFAD1B284CF0}"/>
    <cellStyle name="Calculation 4 9" xfId="4168" xr:uid="{1F848967-A51B-4818-8DB0-8AB7BDCA65E5}"/>
    <cellStyle name="Calculation 4 9 10" xfId="4169" xr:uid="{55BAF90B-64AF-402D-A393-23B18C4D8378}"/>
    <cellStyle name="Calculation 4 9 10 2" xfId="26122" xr:uid="{C47DBEBD-625B-4977-97BE-DCE80E4A3EE5}"/>
    <cellStyle name="Calculation 4 9 10 3" xfId="26123" xr:uid="{3ADEBF39-84D4-40F7-8813-D66050A69FBC}"/>
    <cellStyle name="Calculation 4 9 11" xfId="4170" xr:uid="{5500835B-58E5-450D-8D6B-B88D0EAD611C}"/>
    <cellStyle name="Calculation 4 9 11 2" xfId="26124" xr:uid="{8D240C11-FAAB-45D3-AB21-7A81C0E89399}"/>
    <cellStyle name="Calculation 4 9 12" xfId="26125" xr:uid="{83409619-7782-479C-A8A8-9E6983658563}"/>
    <cellStyle name="Calculation 4 9 2" xfId="4171" xr:uid="{28E57CD0-8DC2-4658-8FD0-139B084023B2}"/>
    <cellStyle name="Calculation 4 9 2 10" xfId="4172" xr:uid="{591D6655-D671-421F-9042-0AD15060369E}"/>
    <cellStyle name="Calculation 4 9 2 10 2" xfId="26126" xr:uid="{F6276726-D95F-4937-A765-F16205EE069A}"/>
    <cellStyle name="Calculation 4 9 2 11" xfId="26127" xr:uid="{8F936CFC-B52C-41FB-9DE7-F5046EFDC662}"/>
    <cellStyle name="Calculation 4 9 2 2" xfId="4173" xr:uid="{DF612170-D24E-440D-9540-AB7D7C92D9E3}"/>
    <cellStyle name="Calculation 4 9 2 2 2" xfId="4174" xr:uid="{5D225B1D-EDA1-4DAB-B9EE-CF8BC1BA75E6}"/>
    <cellStyle name="Calculation 4 9 2 2 3" xfId="4175" xr:uid="{4011B718-970D-49F3-A29E-F08713C8255C}"/>
    <cellStyle name="Calculation 4 9 2 2 4" xfId="4176" xr:uid="{069A23EB-1A19-488C-82B3-EA5479884EEA}"/>
    <cellStyle name="Calculation 4 9 2 3" xfId="4177" xr:uid="{46C8D01B-905A-4117-A3E1-63C5D9EAE4C9}"/>
    <cellStyle name="Calculation 4 9 2 3 2" xfId="4178" xr:uid="{849ECA29-3ABB-4CA8-9C50-D2F13DA1F781}"/>
    <cellStyle name="Calculation 4 9 2 3 3" xfId="26128" xr:uid="{C38DB6C2-367D-482B-87CF-72A55337B761}"/>
    <cellStyle name="Calculation 4 9 2 4" xfId="4179" xr:uid="{96421CA1-03E7-49FC-987C-CCB191C9A39A}"/>
    <cellStyle name="Calculation 4 9 2 4 2" xfId="4180" xr:uid="{23014B5E-DE60-441C-B5B5-495DEFD9558D}"/>
    <cellStyle name="Calculation 4 9 2 4 3" xfId="26129" xr:uid="{647A1E11-948F-4810-88B1-C955FE9DCF49}"/>
    <cellStyle name="Calculation 4 9 2 5" xfId="4181" xr:uid="{0E2CC457-EEB8-4217-BE94-C09EDDF1BEA7}"/>
    <cellStyle name="Calculation 4 9 2 5 2" xfId="4182" xr:uid="{341A6D5E-83BE-4360-BA5A-267338B4B79A}"/>
    <cellStyle name="Calculation 4 9 2 5 3" xfId="26130" xr:uid="{72EA2A44-66A6-4646-991A-337B8A27FA23}"/>
    <cellStyle name="Calculation 4 9 2 6" xfId="4183" xr:uid="{526A7C75-67DF-4CDD-92B8-ECFED820DF3E}"/>
    <cellStyle name="Calculation 4 9 2 6 2" xfId="4184" xr:uid="{C28D370C-CF10-4E58-A091-29558451CCB3}"/>
    <cellStyle name="Calculation 4 9 2 6 3" xfId="26131" xr:uid="{DC350094-BE83-40C7-8D1E-FB77F4714B37}"/>
    <cellStyle name="Calculation 4 9 2 7" xfId="4185" xr:uid="{784A2AAF-2ABC-48E1-A0F9-8879AE50B58B}"/>
    <cellStyle name="Calculation 4 9 2 7 2" xfId="4186" xr:uid="{97355C1D-775E-4C55-A94D-5C2500D77FD7}"/>
    <cellStyle name="Calculation 4 9 2 7 3" xfId="26132" xr:uid="{B74F6E9D-1A80-439B-9D25-BEB25393429A}"/>
    <cellStyle name="Calculation 4 9 2 8" xfId="4187" xr:uid="{DEFA248B-F7F0-48D1-9272-C91554EF75B5}"/>
    <cellStyle name="Calculation 4 9 2 8 2" xfId="4188" xr:uid="{8E6EBFE4-DA7F-4CEC-BD3B-7FD49EB5C89D}"/>
    <cellStyle name="Calculation 4 9 2 8 3" xfId="26133" xr:uid="{F849A9A0-4808-4F66-802E-BABDBC24EAC4}"/>
    <cellStyle name="Calculation 4 9 2 9" xfId="4189" xr:uid="{310A75F1-D604-4CC4-9515-4706B403EADC}"/>
    <cellStyle name="Calculation 4 9 2 9 2" xfId="26134" xr:uid="{E6802988-BA9C-40BD-AB29-9D5F96459093}"/>
    <cellStyle name="Calculation 4 9 2 9 3" xfId="26135" xr:uid="{7D51FFAB-3DB7-4582-A571-CFD279DE43B6}"/>
    <cellStyle name="Calculation 4 9 3" xfId="4190" xr:uid="{F4467183-718F-4557-A3CD-8C9920AC2980}"/>
    <cellStyle name="Calculation 4 9 3 2" xfId="4191" xr:uid="{D60BA64C-8A56-4A18-8298-C359AF7CEC06}"/>
    <cellStyle name="Calculation 4 9 3 3" xfId="4192" xr:uid="{6653629F-6FB7-4C15-85C4-FD28A6F393CF}"/>
    <cellStyle name="Calculation 4 9 3 4" xfId="4193" xr:uid="{46161A03-22D9-44A9-B59A-C757D786770E}"/>
    <cellStyle name="Calculation 4 9 4" xfId="4194" xr:uid="{B450C6D9-E053-418E-90C6-B361BDEDB7E7}"/>
    <cellStyle name="Calculation 4 9 4 2" xfId="4195" xr:uid="{2AD01FCA-4558-44FD-B820-086B5EE9F117}"/>
    <cellStyle name="Calculation 4 9 4 3" xfId="26136" xr:uid="{680E817E-A2E6-4C0D-9F95-249024AB813B}"/>
    <cellStyle name="Calculation 4 9 5" xfId="4196" xr:uid="{565B9220-F360-4B8B-B7CD-1262BA03DE77}"/>
    <cellStyle name="Calculation 4 9 5 2" xfId="4197" xr:uid="{9FB3430C-434A-49C7-8E4C-A35483BFD6F4}"/>
    <cellStyle name="Calculation 4 9 5 3" xfId="26137" xr:uid="{0F29540F-BD1D-4920-B7E0-7A597D755F65}"/>
    <cellStyle name="Calculation 4 9 6" xfId="4198" xr:uid="{2204319A-21B0-4071-85E8-59DBC42E336F}"/>
    <cellStyle name="Calculation 4 9 6 2" xfId="4199" xr:uid="{9FBC637A-AE41-4694-9074-3D0951545BD3}"/>
    <cellStyle name="Calculation 4 9 6 3" xfId="26138" xr:uid="{100E152D-7EAE-479B-8918-0F841B8AF661}"/>
    <cellStyle name="Calculation 4 9 7" xfId="4200" xr:uid="{A78702FA-1ECF-4D42-99EC-85F9E12FCDB5}"/>
    <cellStyle name="Calculation 4 9 7 2" xfId="4201" xr:uid="{21791CB5-C559-4414-BF85-366C99CE7E7B}"/>
    <cellStyle name="Calculation 4 9 7 3" xfId="26139" xr:uid="{9C88C55C-A222-4E30-85C4-157DD1C7F649}"/>
    <cellStyle name="Calculation 4 9 8" xfId="4202" xr:uid="{8C9B9176-07F2-4709-8AD5-2FF27ACD5C40}"/>
    <cellStyle name="Calculation 4 9 8 2" xfId="4203" xr:uid="{E6ECB8E5-0FAA-414D-B7D5-DD2A7E97B664}"/>
    <cellStyle name="Calculation 4 9 8 3" xfId="26140" xr:uid="{720B4D59-195D-4C09-AAF5-4C3388CC9247}"/>
    <cellStyle name="Calculation 4 9 9" xfId="4204" xr:uid="{8105AE9B-F1EF-4A64-A18E-CFB5B7505960}"/>
    <cellStyle name="Calculation 4 9 9 2" xfId="4205" xr:uid="{05A9E2DB-2628-408D-ACAC-15A8CFF274D1}"/>
    <cellStyle name="Calculation 4 9 9 3" xfId="26141" xr:uid="{5A3527A7-5F3D-4613-A49D-BEE83DD0A21B}"/>
    <cellStyle name="Calculation 40" xfId="26142" xr:uid="{0F562DC1-1192-4D59-AD96-3C75562C975D}"/>
    <cellStyle name="Calculation 40 2" xfId="26143" xr:uid="{F18C4C64-95F8-442B-877B-5E32141D518E}"/>
    <cellStyle name="Calculation 40 3" xfId="42382" xr:uid="{452BED6C-9752-4FA3-9FB5-501F00ACA917}"/>
    <cellStyle name="Calculation 40 4" xfId="42843" xr:uid="{0087EB74-D1E9-4CAA-A15D-F38109F71833}"/>
    <cellStyle name="Calculation 40 5" xfId="43539" xr:uid="{CF7D9709-6220-46A4-9679-C5195BF57EF3}"/>
    <cellStyle name="Calculation 41" xfId="26144" xr:uid="{B5246276-2688-46A9-8EC4-C8B8657E85E9}"/>
    <cellStyle name="Calculation 41 2" xfId="26145" xr:uid="{7567CE61-AC1E-44F3-ADA6-ED19CAEA4F97}"/>
    <cellStyle name="Calculation 41 3" xfId="42383" xr:uid="{46F713E6-8B26-4447-AF34-039633D7EE9A}"/>
    <cellStyle name="Calculation 41 4" xfId="42842" xr:uid="{73BF13C6-6D0A-4C8E-BEBC-8E05976B9964}"/>
    <cellStyle name="Calculation 41 5" xfId="43540" xr:uid="{FB26E094-2DAD-4712-A3A4-5205460F8B57}"/>
    <cellStyle name="Calculation 42" xfId="26146" xr:uid="{D313C6C4-0B0B-498C-B27F-8434AF98063C}"/>
    <cellStyle name="Calculation 42 2" xfId="26147" xr:uid="{C820692A-AA2E-4C05-9F71-D6CD64B3C2FB}"/>
    <cellStyle name="Calculation 42 3" xfId="42384" xr:uid="{34557FD1-C521-4032-88B8-D3B70D8680BD}"/>
    <cellStyle name="Calculation 42 4" xfId="42841" xr:uid="{D1811991-A2E8-4CF6-8738-5E0B25BEE4F6}"/>
    <cellStyle name="Calculation 42 5" xfId="43541" xr:uid="{0800ED45-D47B-4A4C-A6FA-4E73ADEB351B}"/>
    <cellStyle name="Calculation 43" xfId="26148" xr:uid="{13BEC99D-5DF6-4EAD-A62F-23716B1325F2}"/>
    <cellStyle name="Calculation 43 2" xfId="26149" xr:uid="{3E64F016-FE2E-4178-9164-417CBDB2CA4D}"/>
    <cellStyle name="Calculation 43 3" xfId="42385" xr:uid="{08806281-570C-47B7-8A3C-30FC0F995ACC}"/>
    <cellStyle name="Calculation 43 4" xfId="42840" xr:uid="{1CC1FB13-FBCC-43AC-AC3E-B1F9D13F39B4}"/>
    <cellStyle name="Calculation 43 5" xfId="43542" xr:uid="{391C261B-37FF-49D6-A7F1-F52439448248}"/>
    <cellStyle name="Calculation 5" xfId="4206" xr:uid="{8E5C5AA1-B3A3-48BE-BED8-C5528E380CA4}"/>
    <cellStyle name="Calculation 5 10" xfId="4207" xr:uid="{0CEF37E0-ACDC-417D-927A-0AA7F72F0FD8}"/>
    <cellStyle name="Calculation 5 10 10" xfId="4208" xr:uid="{6FB16525-7ADE-4920-9404-65852F2BDFFD}"/>
    <cellStyle name="Calculation 5 10 10 2" xfId="26150" xr:uid="{E6FCE40A-36B9-40F3-A952-D15BBB3D1400}"/>
    <cellStyle name="Calculation 5 10 10 3" xfId="26151" xr:uid="{A3284DAD-19ED-4D08-BE0E-DFFF28C70B80}"/>
    <cellStyle name="Calculation 5 10 11" xfId="4209" xr:uid="{BC36315D-88F3-4E11-9568-1043DF5E2023}"/>
    <cellStyle name="Calculation 5 10 11 2" xfId="26152" xr:uid="{00108D08-70EE-4FED-B45D-DF199D2CBDC1}"/>
    <cellStyle name="Calculation 5 10 12" xfId="26153" xr:uid="{41C6DDBA-FB17-4910-B6F2-EBFB709C4E8A}"/>
    <cellStyle name="Calculation 5 10 2" xfId="4210" xr:uid="{E1D3100D-5F31-414F-A8D4-758B728AB562}"/>
    <cellStyle name="Calculation 5 10 2 10" xfId="4211" xr:uid="{62F573DE-9CD8-440B-816B-6C3331CDD85A}"/>
    <cellStyle name="Calculation 5 10 2 10 2" xfId="26154" xr:uid="{3E60ABBA-DAE8-4DD2-BEA5-3FCEF2CC3C67}"/>
    <cellStyle name="Calculation 5 10 2 11" xfId="26155" xr:uid="{62806591-DF75-4B39-80B9-073264F8A885}"/>
    <cellStyle name="Calculation 5 10 2 2" xfId="4212" xr:uid="{FED090F9-7CA8-480F-AA05-604F3A1A7FB1}"/>
    <cellStyle name="Calculation 5 10 2 2 2" xfId="4213" xr:uid="{445D11BA-17FD-4F9D-AA1C-E47CD866CEC6}"/>
    <cellStyle name="Calculation 5 10 2 2 3" xfId="4214" xr:uid="{EB9F4E07-F1CB-4E2E-AC57-812E16ED9874}"/>
    <cellStyle name="Calculation 5 10 2 2 4" xfId="4215" xr:uid="{DFBDDE6D-B3C8-42BB-A68C-26D4BCB996D1}"/>
    <cellStyle name="Calculation 5 10 2 3" xfId="4216" xr:uid="{3EBF8E78-4127-4996-9050-C3B984F2D02F}"/>
    <cellStyle name="Calculation 5 10 2 3 2" xfId="4217" xr:uid="{5E5BF4D4-DF7E-428A-B7D9-2515652ECDD3}"/>
    <cellStyle name="Calculation 5 10 2 3 3" xfId="26156" xr:uid="{43015146-56F9-444B-93BC-F06E2725471E}"/>
    <cellStyle name="Calculation 5 10 2 4" xfId="4218" xr:uid="{D33FC889-8956-452E-8442-24DA2A51E95C}"/>
    <cellStyle name="Calculation 5 10 2 4 2" xfId="4219" xr:uid="{22D18224-8FB3-4F2D-BC67-95C57B8199C7}"/>
    <cellStyle name="Calculation 5 10 2 4 3" xfId="26157" xr:uid="{C2CCB2A2-A228-4B71-A315-DDF0455BAEC1}"/>
    <cellStyle name="Calculation 5 10 2 5" xfId="4220" xr:uid="{C7E77D52-643E-4DA3-907E-DD370DC8C492}"/>
    <cellStyle name="Calculation 5 10 2 5 2" xfId="4221" xr:uid="{2B4BE061-02A8-4F5B-9815-5259AE8B2181}"/>
    <cellStyle name="Calculation 5 10 2 5 3" xfId="26158" xr:uid="{ADDB5AF0-912C-46E4-9BE7-22535730F995}"/>
    <cellStyle name="Calculation 5 10 2 6" xfId="4222" xr:uid="{E36ED04D-A9F5-4012-8F98-AFA56A4695FB}"/>
    <cellStyle name="Calculation 5 10 2 6 2" xfId="4223" xr:uid="{3B63025E-2339-4542-A733-7CE37819DFA0}"/>
    <cellStyle name="Calculation 5 10 2 6 3" xfId="26159" xr:uid="{32B56D25-8A11-4157-BD20-32B64592044C}"/>
    <cellStyle name="Calculation 5 10 2 7" xfId="4224" xr:uid="{46987326-8D35-4797-BCD8-8AB1A9CC2C72}"/>
    <cellStyle name="Calculation 5 10 2 7 2" xfId="4225" xr:uid="{D0F2683C-D31C-474B-9746-562D19784481}"/>
    <cellStyle name="Calculation 5 10 2 7 3" xfId="26160" xr:uid="{9FBBE198-C7A7-47FD-9973-CA57D2C66FB4}"/>
    <cellStyle name="Calculation 5 10 2 8" xfId="4226" xr:uid="{C0793457-5D79-47B0-A54B-4C7E084D1B80}"/>
    <cellStyle name="Calculation 5 10 2 8 2" xfId="4227" xr:uid="{A7BF21DF-5A06-4135-A1BC-D10EB3B5EE3D}"/>
    <cellStyle name="Calculation 5 10 2 8 3" xfId="26161" xr:uid="{36635DC8-AB84-4C62-BE74-227F119E85BE}"/>
    <cellStyle name="Calculation 5 10 2 9" xfId="4228" xr:uid="{A54C788E-0F45-49D0-B0A4-B9FE5D9BD3CB}"/>
    <cellStyle name="Calculation 5 10 2 9 2" xfId="26162" xr:uid="{1B61378B-4958-483C-B459-AE402B4D4CEC}"/>
    <cellStyle name="Calculation 5 10 2 9 3" xfId="26163" xr:uid="{B80B7070-9DA2-4EE0-BD0F-E6D70DFFA5D1}"/>
    <cellStyle name="Calculation 5 10 3" xfId="4229" xr:uid="{D93DA4A9-C2A0-4DB6-AF22-836F5EB59AD2}"/>
    <cellStyle name="Calculation 5 10 3 2" xfId="4230" xr:uid="{801E3F87-950D-4C02-BCED-412301C05033}"/>
    <cellStyle name="Calculation 5 10 3 3" xfId="4231" xr:uid="{6CA3CDB2-3C0F-40A8-9955-D67A7193622F}"/>
    <cellStyle name="Calculation 5 10 3 4" xfId="4232" xr:uid="{B2103F28-1820-4C3D-A46F-7711A971AB32}"/>
    <cellStyle name="Calculation 5 10 4" xfId="4233" xr:uid="{80998F14-CFAF-47C1-A0AC-A870E2C3C2A1}"/>
    <cellStyle name="Calculation 5 10 4 2" xfId="4234" xr:uid="{57C8B9F1-9086-4206-83ED-BA518017EAE8}"/>
    <cellStyle name="Calculation 5 10 4 3" xfId="26164" xr:uid="{DCF9C4D6-DDD7-4565-8C02-203A44C1B329}"/>
    <cellStyle name="Calculation 5 10 5" xfId="4235" xr:uid="{0770BBF8-16ED-49FA-8808-BC1D1B145678}"/>
    <cellStyle name="Calculation 5 10 5 2" xfId="4236" xr:uid="{2FE7B885-328A-41DC-976F-08D5E4C06E0A}"/>
    <cellStyle name="Calculation 5 10 5 3" xfId="26165" xr:uid="{81F695FF-021F-49BF-BCCD-30AF5FC899EF}"/>
    <cellStyle name="Calculation 5 10 6" xfId="4237" xr:uid="{FE60037F-2841-4578-B6E7-1CE3E906A618}"/>
    <cellStyle name="Calculation 5 10 6 2" xfId="4238" xr:uid="{BC647F14-BB33-419D-901F-0E4514DB75AD}"/>
    <cellStyle name="Calculation 5 10 6 3" xfId="26166" xr:uid="{46B83997-8E42-487E-B190-D2AA4D4133CA}"/>
    <cellStyle name="Calculation 5 10 7" xfId="4239" xr:uid="{265395E0-42B7-4F62-8C43-C01727A8256F}"/>
    <cellStyle name="Calculation 5 10 7 2" xfId="4240" xr:uid="{71EDF26E-194B-4AB7-9435-D51A3EB549CE}"/>
    <cellStyle name="Calculation 5 10 7 3" xfId="26167" xr:uid="{691B92AF-7741-4DE2-A111-004A2CC9F457}"/>
    <cellStyle name="Calculation 5 10 8" xfId="4241" xr:uid="{71C0611E-A646-4D72-AF9B-F7338EEF2402}"/>
    <cellStyle name="Calculation 5 10 8 2" xfId="4242" xr:uid="{7F1F5DBA-1A2F-4105-B89E-790F0A699BCE}"/>
    <cellStyle name="Calculation 5 10 8 3" xfId="26168" xr:uid="{AAAA0CE3-1D43-43DA-BDF9-81C9D47C779C}"/>
    <cellStyle name="Calculation 5 10 9" xfId="4243" xr:uid="{3DB3B21F-9255-4B6A-AA36-6EEDD3DFC17B}"/>
    <cellStyle name="Calculation 5 10 9 2" xfId="4244" xr:uid="{9390B8DE-2359-442F-B340-EFB21DC1ACE0}"/>
    <cellStyle name="Calculation 5 10 9 3" xfId="26169" xr:uid="{978C10C9-A5F4-43AA-AF57-873EE88942D3}"/>
    <cellStyle name="Calculation 5 11" xfId="4245" xr:uid="{31240428-5E98-453F-91A3-20B670FA2DC0}"/>
    <cellStyle name="Calculation 5 11 10" xfId="4246" xr:uid="{5D0AD932-80E7-450F-A938-64D982A1C98C}"/>
    <cellStyle name="Calculation 5 11 10 2" xfId="26170" xr:uid="{5E8E1428-274C-4BF2-83FC-1E6032662AEC}"/>
    <cellStyle name="Calculation 5 11 10 3" xfId="26171" xr:uid="{F40C9004-7F0F-4DD7-82A0-5424B1D6DBCE}"/>
    <cellStyle name="Calculation 5 11 11" xfId="4247" xr:uid="{5562D291-BD0A-4573-894B-11FA25EB5330}"/>
    <cellStyle name="Calculation 5 11 11 2" xfId="26172" xr:uid="{619406EC-DFE7-42B1-8BAD-C99C90CEE1CF}"/>
    <cellStyle name="Calculation 5 11 12" xfId="26173" xr:uid="{F25B2043-8438-4D20-A961-C9122B253825}"/>
    <cellStyle name="Calculation 5 11 2" xfId="4248" xr:uid="{DD398E54-0975-4173-9A0C-DEC8DAFD8DE2}"/>
    <cellStyle name="Calculation 5 11 2 10" xfId="4249" xr:uid="{A25AE09F-56D2-4201-96EB-A542590DE65C}"/>
    <cellStyle name="Calculation 5 11 2 10 2" xfId="26174" xr:uid="{45B35770-51CA-4D89-82A6-1B4835E82AE4}"/>
    <cellStyle name="Calculation 5 11 2 11" xfId="26175" xr:uid="{0467846D-5E8F-485D-934A-20262F43A3CE}"/>
    <cellStyle name="Calculation 5 11 2 2" xfId="4250" xr:uid="{A6AED8AE-C64C-424D-9E27-5402F9628E53}"/>
    <cellStyle name="Calculation 5 11 2 2 2" xfId="4251" xr:uid="{3A90EA13-F2B6-4518-BF79-FB7A506D46C1}"/>
    <cellStyle name="Calculation 5 11 2 2 3" xfId="4252" xr:uid="{DCAD02BA-819C-4C83-978F-0E41324D7743}"/>
    <cellStyle name="Calculation 5 11 2 2 4" xfId="4253" xr:uid="{A9604FED-BC74-4B3E-9350-C9D96649B178}"/>
    <cellStyle name="Calculation 5 11 2 3" xfId="4254" xr:uid="{FF4B4C55-F3BE-462A-9EF8-50BE421F4961}"/>
    <cellStyle name="Calculation 5 11 2 3 2" xfId="4255" xr:uid="{19DA4C8B-D4B2-4B90-9CB1-EC51D49F43C9}"/>
    <cellStyle name="Calculation 5 11 2 3 3" xfId="26176" xr:uid="{DF94E867-AAB9-45E5-8E2E-EE5F668AF42D}"/>
    <cellStyle name="Calculation 5 11 2 4" xfId="4256" xr:uid="{25A3D904-635A-4B34-AF54-620FFBF9BB03}"/>
    <cellStyle name="Calculation 5 11 2 4 2" xfId="4257" xr:uid="{ADFE972C-D5AF-45E0-B0A6-3260735A6146}"/>
    <cellStyle name="Calculation 5 11 2 4 3" xfId="26177" xr:uid="{F00D74D6-499B-404C-B971-AB65303F705E}"/>
    <cellStyle name="Calculation 5 11 2 5" xfId="4258" xr:uid="{AD29A02D-021E-4BD1-87E5-E15CD81891E7}"/>
    <cellStyle name="Calculation 5 11 2 5 2" xfId="4259" xr:uid="{D877559B-2395-4B03-AB97-64AAC6BFBDA6}"/>
    <cellStyle name="Calculation 5 11 2 5 3" xfId="26178" xr:uid="{2E3C0D5A-1FAA-4699-AE6E-A9F4B4567E2C}"/>
    <cellStyle name="Calculation 5 11 2 6" xfId="4260" xr:uid="{7091D3B7-DB34-4D38-A4FD-2D883212ADCD}"/>
    <cellStyle name="Calculation 5 11 2 6 2" xfId="4261" xr:uid="{ADCB3FA5-398B-44FB-AF6C-AEFBDC594357}"/>
    <cellStyle name="Calculation 5 11 2 6 3" xfId="26179" xr:uid="{0E3FCB03-CBD4-4CC4-B651-CA0EF3977159}"/>
    <cellStyle name="Calculation 5 11 2 7" xfId="4262" xr:uid="{49DC977B-89FD-4036-883C-656F8731B83E}"/>
    <cellStyle name="Calculation 5 11 2 7 2" xfId="4263" xr:uid="{354C29D9-8B8D-43E1-BEB0-E3BE7DBDB4F3}"/>
    <cellStyle name="Calculation 5 11 2 7 3" xfId="26180" xr:uid="{06A8B978-C49B-43C0-83F2-49A79B14CEFD}"/>
    <cellStyle name="Calculation 5 11 2 8" xfId="4264" xr:uid="{02523FF9-DACE-4AA1-AB50-9A2D2CE25587}"/>
    <cellStyle name="Calculation 5 11 2 8 2" xfId="4265" xr:uid="{08CF3EC2-3C60-4339-9141-9AD2AB161C02}"/>
    <cellStyle name="Calculation 5 11 2 8 3" xfId="26181" xr:uid="{9588F811-C6C1-4D07-A3FC-D369514B028F}"/>
    <cellStyle name="Calculation 5 11 2 9" xfId="4266" xr:uid="{C373AC37-C3DE-4D5D-9BCD-6210B9CA5980}"/>
    <cellStyle name="Calculation 5 11 2 9 2" xfId="26182" xr:uid="{8EAE71C1-8FF9-4A21-8E29-FB2E308871F0}"/>
    <cellStyle name="Calculation 5 11 2 9 3" xfId="26183" xr:uid="{6E234169-5369-4D11-B40B-648C9EEEF3D4}"/>
    <cellStyle name="Calculation 5 11 3" xfId="4267" xr:uid="{042356F1-10C6-4DEB-943E-C77DFE122C5E}"/>
    <cellStyle name="Calculation 5 11 3 2" xfId="4268" xr:uid="{E8E0A88F-4F90-4E5B-8047-B6BC687BBB69}"/>
    <cellStyle name="Calculation 5 11 3 3" xfId="4269" xr:uid="{D7E5B8EC-6652-4234-8093-16EDA3CE0364}"/>
    <cellStyle name="Calculation 5 11 3 4" xfId="4270" xr:uid="{332C5942-3057-43FF-B8F9-D3FEEF1BBECE}"/>
    <cellStyle name="Calculation 5 11 4" xfId="4271" xr:uid="{F7E27407-944A-4831-9591-D0DBC886D165}"/>
    <cellStyle name="Calculation 5 11 4 2" xfId="4272" xr:uid="{C543536A-6CF3-494C-9530-173BF6670F90}"/>
    <cellStyle name="Calculation 5 11 4 3" xfId="26184" xr:uid="{B3126084-2D5F-4A69-9D71-1D2DE3546DA0}"/>
    <cellStyle name="Calculation 5 11 5" xfId="4273" xr:uid="{84A6913F-C5B3-46F1-939D-A891C522E38C}"/>
    <cellStyle name="Calculation 5 11 5 2" xfId="4274" xr:uid="{9C541694-A2FA-4A43-A0F8-BEED11B087CA}"/>
    <cellStyle name="Calculation 5 11 5 3" xfId="26185" xr:uid="{9FE959B7-783D-4C58-B415-E78F06D3F57A}"/>
    <cellStyle name="Calculation 5 11 6" xfId="4275" xr:uid="{BD737E2E-CE8E-4C27-89A2-531C6A9EB11A}"/>
    <cellStyle name="Calculation 5 11 6 2" xfId="4276" xr:uid="{2597A37C-F43D-443B-BA6D-9F1BD1D78F26}"/>
    <cellStyle name="Calculation 5 11 6 3" xfId="26186" xr:uid="{6D33685E-2636-4EDE-82FB-AA887E1D61D5}"/>
    <cellStyle name="Calculation 5 11 7" xfId="4277" xr:uid="{9A411B23-FBA6-48DF-A7E8-3C495FA3E712}"/>
    <cellStyle name="Calculation 5 11 7 2" xfId="4278" xr:uid="{4F877D72-5A9D-4C9A-876C-864F11B9E5CB}"/>
    <cellStyle name="Calculation 5 11 7 3" xfId="26187" xr:uid="{BB84719F-93D4-421F-BF86-2B92B0403D7F}"/>
    <cellStyle name="Calculation 5 11 8" xfId="4279" xr:uid="{A94BCAAE-C85B-4E8B-BD27-E29DBA14E61A}"/>
    <cellStyle name="Calculation 5 11 8 2" xfId="4280" xr:uid="{315CBD37-C5B2-47D4-BFFF-F40A14A5F364}"/>
    <cellStyle name="Calculation 5 11 8 3" xfId="26188" xr:uid="{DC8981DA-4BDD-4E8B-BB78-D5A79B830AAF}"/>
    <cellStyle name="Calculation 5 11 9" xfId="4281" xr:uid="{C0801445-76DD-404F-88AF-8DD7A126D103}"/>
    <cellStyle name="Calculation 5 11 9 2" xfId="4282" xr:uid="{8736734E-6901-4248-B60A-C3DFBEEBB403}"/>
    <cellStyle name="Calculation 5 11 9 3" xfId="26189" xr:uid="{B038D6CE-05A1-414F-98B4-0C32FB0E2CBE}"/>
    <cellStyle name="Calculation 5 12" xfId="4283" xr:uid="{B926D642-0655-471A-9AAA-5AB2C4A534B0}"/>
    <cellStyle name="Calculation 5 12 10" xfId="4284" xr:uid="{156FB174-0C80-41BC-8573-6BD6515F9AEA}"/>
    <cellStyle name="Calculation 5 12 10 2" xfId="26190" xr:uid="{AEFC3FFA-03E2-45F6-9DD5-2768C9D2EE0A}"/>
    <cellStyle name="Calculation 5 12 11" xfId="26191" xr:uid="{28B52CCF-821C-4F9F-8C01-AFABFC2CD0C6}"/>
    <cellStyle name="Calculation 5 12 2" xfId="4285" xr:uid="{85F77CC4-A51E-402C-9032-B947AD4CB3D3}"/>
    <cellStyle name="Calculation 5 12 2 2" xfId="4286" xr:uid="{C229C5A9-BE52-47D8-82E6-97CA861470B5}"/>
    <cellStyle name="Calculation 5 12 2 3" xfId="4287" xr:uid="{EA8EB627-3C11-40ED-998D-7C3C8383C44E}"/>
    <cellStyle name="Calculation 5 12 2 4" xfId="4288" xr:uid="{F1A0EAFF-3B3A-4F7E-A3B8-652EE2514F7C}"/>
    <cellStyle name="Calculation 5 12 3" xfId="4289" xr:uid="{9E7E3ED4-C82A-44B8-906F-6355FECCB87F}"/>
    <cellStyle name="Calculation 5 12 3 2" xfId="4290" xr:uid="{717EC761-082A-4ED9-80A0-C5C5E65D1EC0}"/>
    <cellStyle name="Calculation 5 12 3 3" xfId="26192" xr:uid="{8D0E44BB-9674-4170-9D9C-4E6D76512496}"/>
    <cellStyle name="Calculation 5 12 4" xfId="4291" xr:uid="{1EC3C1F5-9507-4E19-9B2F-46832E3467BE}"/>
    <cellStyle name="Calculation 5 12 4 2" xfId="4292" xr:uid="{6765F038-4918-4E22-97FC-57AA4841FAD9}"/>
    <cellStyle name="Calculation 5 12 4 3" xfId="26193" xr:uid="{363764FC-3CC3-4673-9A71-D2DA4D6666D8}"/>
    <cellStyle name="Calculation 5 12 5" xfId="4293" xr:uid="{52EBEBA9-C7D1-4D0E-B0A5-DA8A22EC7EDD}"/>
    <cellStyle name="Calculation 5 12 5 2" xfId="4294" xr:uid="{4533A1DD-A33E-4419-B4B9-47B72FFF57B8}"/>
    <cellStyle name="Calculation 5 12 5 3" xfId="26194" xr:uid="{337D12EC-0603-43D4-A434-DBD545101CEE}"/>
    <cellStyle name="Calculation 5 12 6" xfId="4295" xr:uid="{4C0D0278-5F9E-4D4E-B4E3-D26739019DF3}"/>
    <cellStyle name="Calculation 5 12 6 2" xfId="4296" xr:uid="{9694F961-5F7B-4F5C-9BBE-8763ECE1551F}"/>
    <cellStyle name="Calculation 5 12 6 3" xfId="26195" xr:uid="{565AE97C-D5A1-4D90-B9F7-35D2E23B1709}"/>
    <cellStyle name="Calculation 5 12 7" xfId="4297" xr:uid="{E7A21EE3-551C-4FC4-A0A7-9600BC2697F7}"/>
    <cellStyle name="Calculation 5 12 7 2" xfId="4298" xr:uid="{9EE814E8-4423-4C93-B104-9C04BC8E2E61}"/>
    <cellStyle name="Calculation 5 12 7 3" xfId="26196" xr:uid="{7B0C986D-CC6D-45E7-BDBF-700C66185BC9}"/>
    <cellStyle name="Calculation 5 12 8" xfId="4299" xr:uid="{680F4C66-ACBA-4EDE-A5CE-4A9D87A18281}"/>
    <cellStyle name="Calculation 5 12 8 2" xfId="4300" xr:uid="{1FF938C8-6696-419E-BD51-1EDFFA8BEF13}"/>
    <cellStyle name="Calculation 5 12 8 3" xfId="26197" xr:uid="{11CEF31A-1469-4F93-BFA0-801F05F5E4CB}"/>
    <cellStyle name="Calculation 5 12 9" xfId="4301" xr:uid="{314FE6FC-518A-46D8-872D-250409603984}"/>
    <cellStyle name="Calculation 5 12 9 2" xfId="26198" xr:uid="{3C2CED3B-89AF-456C-A84B-CA7313DCC9A8}"/>
    <cellStyle name="Calculation 5 12 9 3" xfId="26199" xr:uid="{0841D529-DB52-4829-AA1C-9F4D617DB848}"/>
    <cellStyle name="Calculation 5 13" xfId="4302" xr:uid="{FE58A730-DF57-4D7F-B17D-BDE9BCF9EBBC}"/>
    <cellStyle name="Calculation 5 13 2" xfId="4303" xr:uid="{BE3121CF-BE32-46F2-872A-1D4E586D9B21}"/>
    <cellStyle name="Calculation 5 13 3" xfId="4304" xr:uid="{F3495B0E-D699-4D85-A857-DD9B52C6A157}"/>
    <cellStyle name="Calculation 5 13 4" xfId="4305" xr:uid="{5AF10898-31AA-4129-83A6-3F668414A67B}"/>
    <cellStyle name="Calculation 5 14" xfId="4306" xr:uid="{5A163E91-9624-49CF-942B-29F1259BF16D}"/>
    <cellStyle name="Calculation 5 14 2" xfId="4307" xr:uid="{005156CF-F02C-4B7E-A156-B9088ED49C24}"/>
    <cellStyle name="Calculation 5 14 3" xfId="26200" xr:uid="{999345C7-DCDA-44D0-AC71-58BCCF98998C}"/>
    <cellStyle name="Calculation 5 15" xfId="4308" xr:uid="{5E786559-65FC-494E-926B-1D7E2839450C}"/>
    <cellStyle name="Calculation 5 15 2" xfId="4309" xr:uid="{4B2D270D-6590-444F-89A2-1CFB52F908F4}"/>
    <cellStyle name="Calculation 5 15 3" xfId="26201" xr:uid="{0F257CBA-4CAA-4117-8040-F6E8B9C86456}"/>
    <cellStyle name="Calculation 5 16" xfId="4310" xr:uid="{20C863ED-B742-4438-816C-1B125AC4C9CD}"/>
    <cellStyle name="Calculation 5 16 2" xfId="4311" xr:uid="{DDB6BDBF-3C51-43EC-8CEF-C4A4BCBBCF16}"/>
    <cellStyle name="Calculation 5 16 3" xfId="26202" xr:uid="{039F97AB-FFE5-451D-A577-7A9763DA9B65}"/>
    <cellStyle name="Calculation 5 17" xfId="4312" xr:uid="{28680A59-FAEB-443B-9851-E75D51B67C9B}"/>
    <cellStyle name="Calculation 5 17 2" xfId="4313" xr:uid="{302AC43D-A304-421B-B25F-278C42AF99B2}"/>
    <cellStyle name="Calculation 5 17 3" xfId="26203" xr:uid="{CEE5BE35-39F7-416B-A666-A0DE23C62B6E}"/>
    <cellStyle name="Calculation 5 18" xfId="4314" xr:uid="{63E29150-03F0-450C-8895-2FEE0DFFD373}"/>
    <cellStyle name="Calculation 5 18 2" xfId="4315" xr:uid="{683CBB59-081D-4EDC-81E4-740076C3F460}"/>
    <cellStyle name="Calculation 5 18 3" xfId="26204" xr:uid="{3BFE5F22-1D1A-448B-9564-9BC0C984AF61}"/>
    <cellStyle name="Calculation 5 19" xfId="4316" xr:uid="{2CF31182-2DDC-41F7-92C7-928C289577E9}"/>
    <cellStyle name="Calculation 5 19 2" xfId="4317" xr:uid="{080E2D46-3C6D-4174-9D16-02BAD66D4D04}"/>
    <cellStyle name="Calculation 5 19 3" xfId="26205" xr:uid="{775EA5CE-547F-4427-BD64-70CCB88D36FD}"/>
    <cellStyle name="Calculation 5 2" xfId="4318" xr:uid="{3AA0864E-B26B-40E1-A7CC-577340941626}"/>
    <cellStyle name="Calculation 5 2 10" xfId="4319" xr:uid="{079C95B7-CD1D-4696-AF98-9BF9FB958328}"/>
    <cellStyle name="Calculation 5 2 10 2" xfId="26206" xr:uid="{E98EF8FC-5E9D-4625-8116-4AF47AE99D07}"/>
    <cellStyle name="Calculation 5 2 10 3" xfId="26207" xr:uid="{10593321-A75D-438E-B871-5D62F606D2A3}"/>
    <cellStyle name="Calculation 5 2 11" xfId="4320" xr:uid="{DDFE7597-9C77-4284-BACB-6D746B2BA9C1}"/>
    <cellStyle name="Calculation 5 2 11 2" xfId="26208" xr:uid="{AD110280-69C4-4FEE-B258-05916B730AE8}"/>
    <cellStyle name="Calculation 5 2 12" xfId="26209" xr:uid="{4DA33DA1-B5DE-4EA5-B0FA-8EB7F75E1DA3}"/>
    <cellStyle name="Calculation 5 2 13" xfId="26210" xr:uid="{F30A253C-3868-4085-9D46-1AF8D4400846}"/>
    <cellStyle name="Calculation 5 2 14" xfId="26211" xr:uid="{63F22A16-8523-49C4-99E2-AD1C812FFF83}"/>
    <cellStyle name="Calculation 5 2 2" xfId="4321" xr:uid="{77327190-E5F3-4090-8C94-9D1B6B1DB48A}"/>
    <cellStyle name="Calculation 5 2 2 10" xfId="4322" xr:uid="{010A26E8-1582-4BCC-8AC9-5B09EEA5ABD5}"/>
    <cellStyle name="Calculation 5 2 2 10 2" xfId="26212" xr:uid="{D5E17381-0F71-4C32-A9CC-15C0F3D642FF}"/>
    <cellStyle name="Calculation 5 2 2 11" xfId="26213" xr:uid="{9CD11F25-AF16-4F6A-A9E3-FCD4928021EF}"/>
    <cellStyle name="Calculation 5 2 2 2" xfId="4323" xr:uid="{70045921-1063-4C09-B14B-F1659B08413E}"/>
    <cellStyle name="Calculation 5 2 2 2 2" xfId="4324" xr:uid="{9B13B5AE-149B-4698-BC86-E5FFE4ACBF0F}"/>
    <cellStyle name="Calculation 5 2 2 2 3" xfId="4325" xr:uid="{96F3C7D3-6ACB-471F-A5CA-AB2C2792DA13}"/>
    <cellStyle name="Calculation 5 2 2 2 4" xfId="4326" xr:uid="{C270CF47-DC06-4162-9307-E9C55CD71D86}"/>
    <cellStyle name="Calculation 5 2 2 3" xfId="4327" xr:uid="{0F197DD8-BE70-44D5-8E5D-98FC47524405}"/>
    <cellStyle name="Calculation 5 2 2 3 2" xfId="4328" xr:uid="{AD5CA426-9E60-412D-8A22-70244498D337}"/>
    <cellStyle name="Calculation 5 2 2 3 3" xfId="26214" xr:uid="{B9E16829-A322-42AC-AC60-AEBD99F5FA6F}"/>
    <cellStyle name="Calculation 5 2 2 4" xfId="4329" xr:uid="{5B196A96-3090-4FF1-BB08-8B742BF97D5B}"/>
    <cellStyle name="Calculation 5 2 2 4 2" xfId="4330" xr:uid="{67EB3D59-FDBE-4931-BB48-686EDB978B10}"/>
    <cellStyle name="Calculation 5 2 2 4 3" xfId="26215" xr:uid="{8CDB5D55-243A-4392-B8EF-B6D74882A013}"/>
    <cellStyle name="Calculation 5 2 2 5" xfId="4331" xr:uid="{BDE75DAF-9CAF-4109-9ECE-577B5509DEF7}"/>
    <cellStyle name="Calculation 5 2 2 5 2" xfId="4332" xr:uid="{5D3E4A18-7983-49F0-A646-AC64D13FAFF0}"/>
    <cellStyle name="Calculation 5 2 2 5 3" xfId="26216" xr:uid="{EC78E569-3486-430C-9239-38245473D004}"/>
    <cellStyle name="Calculation 5 2 2 6" xfId="4333" xr:uid="{4128E0AB-D856-4B6A-989D-0698BD226976}"/>
    <cellStyle name="Calculation 5 2 2 6 2" xfId="4334" xr:uid="{2AD4BDD5-A68D-4172-AB8C-6B40E3816305}"/>
    <cellStyle name="Calculation 5 2 2 6 3" xfId="26217" xr:uid="{26DCB634-5DAE-4166-A32F-287A61C888E0}"/>
    <cellStyle name="Calculation 5 2 2 7" xfId="4335" xr:uid="{97DE17F7-A25C-4BB2-98ED-F978D1C0FD0D}"/>
    <cellStyle name="Calculation 5 2 2 7 2" xfId="4336" xr:uid="{3575C5C6-9C7E-4CE2-810B-6651B0588FEE}"/>
    <cellStyle name="Calculation 5 2 2 7 3" xfId="26218" xr:uid="{95561B03-592E-420B-B064-213AD6839A8C}"/>
    <cellStyle name="Calculation 5 2 2 8" xfId="4337" xr:uid="{B7399590-AF71-480A-A6F3-388AF0E8D814}"/>
    <cellStyle name="Calculation 5 2 2 8 2" xfId="4338" xr:uid="{3DE15D54-7E0B-4920-9AB2-B9ADE5953028}"/>
    <cellStyle name="Calculation 5 2 2 8 3" xfId="26219" xr:uid="{BFB54268-E06E-41FB-BDC9-323667217C82}"/>
    <cellStyle name="Calculation 5 2 2 9" xfId="4339" xr:uid="{13D90F9A-0FCF-4ABF-AA03-A2CF84A7EB81}"/>
    <cellStyle name="Calculation 5 2 2 9 2" xfId="26220" xr:uid="{0759D7E3-8389-4CE4-8914-29677751BF59}"/>
    <cellStyle name="Calculation 5 2 2 9 3" xfId="26221" xr:uid="{5610E9C7-49AE-4012-A4CF-D15C32F8652E}"/>
    <cellStyle name="Calculation 5 2 3" xfId="4340" xr:uid="{4959EC82-DDB9-4245-AA48-53F0E0F3D153}"/>
    <cellStyle name="Calculation 5 2 3 2" xfId="4341" xr:uid="{5E00BB9F-A96F-4C85-869D-EFDBD1C959C4}"/>
    <cellStyle name="Calculation 5 2 3 3" xfId="4342" xr:uid="{15C8CC3E-60A6-4ADB-B6AB-1B8E1DE73ACE}"/>
    <cellStyle name="Calculation 5 2 3 4" xfId="4343" xr:uid="{50B772F3-AEDB-49C3-8666-33048694ECEB}"/>
    <cellStyle name="Calculation 5 2 4" xfId="4344" xr:uid="{641DD9F1-4647-4057-8EB1-9E1E5FC24600}"/>
    <cellStyle name="Calculation 5 2 4 2" xfId="4345" xr:uid="{BA3B961A-DCE8-42A2-AD9F-7BBA004247DF}"/>
    <cellStyle name="Calculation 5 2 4 3" xfId="26222" xr:uid="{7AF67AD4-4B19-44D6-A7FD-D75ED64E23EB}"/>
    <cellStyle name="Calculation 5 2 5" xfId="4346" xr:uid="{AF734E20-3C92-409F-B9B0-10BC087DEC90}"/>
    <cellStyle name="Calculation 5 2 5 2" xfId="4347" xr:uid="{BE99A009-A7DC-43C4-9AFD-8013A05E1DC6}"/>
    <cellStyle name="Calculation 5 2 5 3" xfId="26223" xr:uid="{BBB4F416-F10E-4864-9592-140729A3FBAA}"/>
    <cellStyle name="Calculation 5 2 6" xfId="4348" xr:uid="{9F523988-D930-4420-A73E-6D76FBE2D46E}"/>
    <cellStyle name="Calculation 5 2 6 2" xfId="4349" xr:uid="{65365BF0-E820-4B3D-8EAA-DCB965A16379}"/>
    <cellStyle name="Calculation 5 2 6 3" xfId="26224" xr:uid="{80722320-6D72-41A3-9058-A60878B3B172}"/>
    <cellStyle name="Calculation 5 2 7" xfId="4350" xr:uid="{58B8FFB3-5322-4CFB-83BF-DC1ADF74B610}"/>
    <cellStyle name="Calculation 5 2 7 2" xfId="4351" xr:uid="{02FB849A-62E7-41D0-B8E6-1422B28BAC24}"/>
    <cellStyle name="Calculation 5 2 7 3" xfId="26225" xr:uid="{A0EF91D0-4E02-4D83-B46F-AAA36FA14F8D}"/>
    <cellStyle name="Calculation 5 2 8" xfId="4352" xr:uid="{B162F46A-2946-45C5-B53A-C4051E6F903C}"/>
    <cellStyle name="Calculation 5 2 8 2" xfId="4353" xr:uid="{AD6EACB5-5EA1-416F-B077-AEF3DC2CD741}"/>
    <cellStyle name="Calculation 5 2 8 3" xfId="26226" xr:uid="{D56A6057-1349-4492-A94F-1CA2D29C4806}"/>
    <cellStyle name="Calculation 5 2 9" xfId="4354" xr:uid="{3B90AF5A-AD84-4D1D-AE44-1B186684B13E}"/>
    <cellStyle name="Calculation 5 2 9 2" xfId="4355" xr:uid="{4B66DD65-3B3A-4335-AF3F-E679204ED9DF}"/>
    <cellStyle name="Calculation 5 2 9 3" xfId="26227" xr:uid="{B9B3005F-7DE0-4398-B29D-56761138812C}"/>
    <cellStyle name="Calculation 5 20" xfId="4356" xr:uid="{226894E2-B58E-43D0-AA8E-D2F9959F2997}"/>
    <cellStyle name="Calculation 5 20 2" xfId="26228" xr:uid="{55BE7C5E-16B0-4886-926D-D40DDBE90116}"/>
    <cellStyle name="Calculation 5 20 3" xfId="26229" xr:uid="{0704DB77-8DC9-4C66-A87F-A0BEE1DEEA62}"/>
    <cellStyle name="Calculation 5 21" xfId="4357" xr:uid="{04259B50-70AC-4511-8E7A-BA5A794AA57A}"/>
    <cellStyle name="Calculation 5 21 2" xfId="26230" xr:uid="{681E6E84-E239-44B9-8834-4F285B9F9D77}"/>
    <cellStyle name="Calculation 5 22" xfId="26231" xr:uid="{DDB8B6A0-963D-420D-816E-7845766622A4}"/>
    <cellStyle name="Calculation 5 23" xfId="26232" xr:uid="{1D45FBC4-7D72-4DED-8802-FC5FD282F912}"/>
    <cellStyle name="Calculation 5 24" xfId="26233" xr:uid="{B7A42F19-FDBF-41C2-912C-71BF379187C1}"/>
    <cellStyle name="Calculation 5 25" xfId="42386" xr:uid="{C3AD30BE-E6BA-4886-9A3F-F2B02A163BC6}"/>
    <cellStyle name="Calculation 5 26" xfId="42839" xr:uid="{CC50BC5E-F324-4AE2-839D-48F7EA9E7618}"/>
    <cellStyle name="Calculation 5 27" xfId="43543" xr:uid="{897E2C59-CF05-41BB-8954-B0F51B6A3CE5}"/>
    <cellStyle name="Calculation 5 3" xfId="4358" xr:uid="{675560C8-2C5B-4010-83C8-1094469601A4}"/>
    <cellStyle name="Calculation 5 3 10" xfId="4359" xr:uid="{5EF0D1F4-43BB-4C21-83B3-3C0B7424AED0}"/>
    <cellStyle name="Calculation 5 3 10 2" xfId="26234" xr:uid="{4BD1E7E8-4C9C-4440-8767-DDA1600DE681}"/>
    <cellStyle name="Calculation 5 3 10 3" xfId="26235" xr:uid="{2B9C2959-98C0-4975-B9D7-D93BDC1A19E2}"/>
    <cellStyle name="Calculation 5 3 11" xfId="4360" xr:uid="{09ECE2F0-C7DF-4558-89D6-090CC927CF71}"/>
    <cellStyle name="Calculation 5 3 11 2" xfId="26236" xr:uid="{6E98AE92-7119-4A2E-8B61-11977686E4E9}"/>
    <cellStyle name="Calculation 5 3 12" xfId="26237" xr:uid="{1495CF35-9420-4934-9AF3-EBCDCDE966DC}"/>
    <cellStyle name="Calculation 5 3 2" xfId="4361" xr:uid="{2F00AB36-D341-4995-B428-780F5DAD501E}"/>
    <cellStyle name="Calculation 5 3 2 10" xfId="4362" xr:uid="{03E8A9C0-F285-47B5-8FA4-B38157A4200F}"/>
    <cellStyle name="Calculation 5 3 2 10 2" xfId="26238" xr:uid="{E88738FC-C60B-4F79-907C-FA7C68B63D25}"/>
    <cellStyle name="Calculation 5 3 2 11" xfId="26239" xr:uid="{AD483192-4F80-405F-A750-3F70C88AD340}"/>
    <cellStyle name="Calculation 5 3 2 2" xfId="4363" xr:uid="{6D0928F9-1334-4B05-833C-678A4C515488}"/>
    <cellStyle name="Calculation 5 3 2 2 2" xfId="4364" xr:uid="{B1B6B15B-BC23-4759-BA5F-89D8C9B96A09}"/>
    <cellStyle name="Calculation 5 3 2 2 3" xfId="4365" xr:uid="{D35DEB88-61BC-4717-9E94-95D8760D8535}"/>
    <cellStyle name="Calculation 5 3 2 2 4" xfId="4366" xr:uid="{5EFC30B5-BA36-4A3A-B197-A4FC7CE5FA1B}"/>
    <cellStyle name="Calculation 5 3 2 3" xfId="4367" xr:uid="{BD62D774-CBC2-4880-9437-CF41D237D9F6}"/>
    <cellStyle name="Calculation 5 3 2 3 2" xfId="4368" xr:uid="{450EAE77-E587-4AE8-8F39-71D82E404CAB}"/>
    <cellStyle name="Calculation 5 3 2 3 3" xfId="26240" xr:uid="{0E9A3D6C-8099-4C56-B33A-9CAEC73F2A7A}"/>
    <cellStyle name="Calculation 5 3 2 4" xfId="4369" xr:uid="{ADA2237C-E8C5-41E4-85BB-BBCC3F52563F}"/>
    <cellStyle name="Calculation 5 3 2 4 2" xfId="4370" xr:uid="{5621540A-5334-4296-872D-C130BB5B2A96}"/>
    <cellStyle name="Calculation 5 3 2 4 3" xfId="26241" xr:uid="{60689193-6DB7-4FD5-BD7F-37FCAB674B96}"/>
    <cellStyle name="Calculation 5 3 2 5" xfId="4371" xr:uid="{8B52D7D6-AC89-4708-A13D-EE9DF494F8BD}"/>
    <cellStyle name="Calculation 5 3 2 5 2" xfId="4372" xr:uid="{3263B844-68F8-4537-842C-1AC54BA3FBA9}"/>
    <cellStyle name="Calculation 5 3 2 5 3" xfId="26242" xr:uid="{FEA3DC0C-FC68-4ED6-A6A9-D3301A251584}"/>
    <cellStyle name="Calculation 5 3 2 6" xfId="4373" xr:uid="{28F1F47C-49EA-4C56-81A4-841E14AADFD0}"/>
    <cellStyle name="Calculation 5 3 2 6 2" xfId="4374" xr:uid="{54ECBB19-2E45-41A5-BB01-7D52D14A9DE2}"/>
    <cellStyle name="Calculation 5 3 2 6 3" xfId="26243" xr:uid="{0193DF2B-5988-4C75-BFE9-01178D9B5221}"/>
    <cellStyle name="Calculation 5 3 2 7" xfId="4375" xr:uid="{BCA29805-D796-485E-BEA2-21E386A6F0D9}"/>
    <cellStyle name="Calculation 5 3 2 7 2" xfId="4376" xr:uid="{E255886C-AE5C-470C-8B75-DEBEBD824415}"/>
    <cellStyle name="Calculation 5 3 2 7 3" xfId="26244" xr:uid="{57345C61-6065-4022-854C-4151DA81829D}"/>
    <cellStyle name="Calculation 5 3 2 8" xfId="4377" xr:uid="{FA797AC3-922E-49B3-B84C-BA4932CDCC13}"/>
    <cellStyle name="Calculation 5 3 2 8 2" xfId="4378" xr:uid="{56454C13-AF11-415E-BA10-B417400833AA}"/>
    <cellStyle name="Calculation 5 3 2 8 3" xfId="26245" xr:uid="{F013B93C-7986-49B0-B6CD-ABBDD57B468A}"/>
    <cellStyle name="Calculation 5 3 2 9" xfId="4379" xr:uid="{265B444A-B71B-472C-A48D-91E0A8E0339C}"/>
    <cellStyle name="Calculation 5 3 2 9 2" xfId="26246" xr:uid="{6095F83A-4A2C-497D-BFE9-C232DE9F591B}"/>
    <cellStyle name="Calculation 5 3 2 9 3" xfId="26247" xr:uid="{43D076A1-8F5B-497C-9EA2-CB14E2B9631F}"/>
    <cellStyle name="Calculation 5 3 3" xfId="4380" xr:uid="{8E17E83A-3A44-4FD4-9816-12CBC4312034}"/>
    <cellStyle name="Calculation 5 3 3 2" xfId="4381" xr:uid="{2F6EDD05-6B65-4634-A2F8-9B1BD1D83A7F}"/>
    <cellStyle name="Calculation 5 3 3 3" xfId="4382" xr:uid="{02DC69F5-8B47-4094-A455-EF039C838417}"/>
    <cellStyle name="Calculation 5 3 3 4" xfId="4383" xr:uid="{C2A1D657-1719-4171-B88D-44CEBB9DF37C}"/>
    <cellStyle name="Calculation 5 3 4" xfId="4384" xr:uid="{2E883622-6D7D-4145-8052-265F3BE82C80}"/>
    <cellStyle name="Calculation 5 3 4 2" xfId="4385" xr:uid="{274C4E8A-80E4-4918-B9D2-340A9DEE63D9}"/>
    <cellStyle name="Calculation 5 3 4 3" xfId="26248" xr:uid="{FFD65F5F-4656-4F07-A792-1500A428644C}"/>
    <cellStyle name="Calculation 5 3 5" xfId="4386" xr:uid="{84214633-E27A-4C93-BCC1-7A34ECAD9A39}"/>
    <cellStyle name="Calculation 5 3 5 2" xfId="4387" xr:uid="{F6E14D47-93B2-4C4E-8EA9-43DE0C273D84}"/>
    <cellStyle name="Calculation 5 3 5 3" xfId="26249" xr:uid="{5CA732C0-BEFB-4AF2-90E4-D368AC220624}"/>
    <cellStyle name="Calculation 5 3 6" xfId="4388" xr:uid="{B583A3E2-DADD-48DF-945B-51AA3560EFFC}"/>
    <cellStyle name="Calculation 5 3 6 2" xfId="4389" xr:uid="{02F34F1E-BA54-4B1B-8C2D-8CC375470F41}"/>
    <cellStyle name="Calculation 5 3 6 3" xfId="26250" xr:uid="{2978DF21-4613-49CF-9292-646455D12215}"/>
    <cellStyle name="Calculation 5 3 7" xfId="4390" xr:uid="{41571B57-1B3A-4A0D-AC28-ADFF1C8D3B7C}"/>
    <cellStyle name="Calculation 5 3 7 2" xfId="4391" xr:uid="{54497FC7-A2E9-45B2-A5B9-6701160FC28A}"/>
    <cellStyle name="Calculation 5 3 7 3" xfId="26251" xr:uid="{4A6DCF96-37E4-458C-A788-9B485565049C}"/>
    <cellStyle name="Calculation 5 3 8" xfId="4392" xr:uid="{E8E76B30-5331-4E14-A749-F3C7AF702A18}"/>
    <cellStyle name="Calculation 5 3 8 2" xfId="4393" xr:uid="{8682444F-CF4B-4573-8EEF-29F45E225CDA}"/>
    <cellStyle name="Calculation 5 3 8 3" xfId="26252" xr:uid="{92994F4A-B053-49AA-A814-40B711E387A9}"/>
    <cellStyle name="Calculation 5 3 9" xfId="4394" xr:uid="{0D9B04DC-7617-43CC-93C0-01DAA7C16B3D}"/>
    <cellStyle name="Calculation 5 3 9 2" xfId="4395" xr:uid="{79D67BBC-3F57-4D25-AAEB-7AB0013A5D5F}"/>
    <cellStyle name="Calculation 5 3 9 3" xfId="26253" xr:uid="{AD32C1D7-64A3-45D7-8A0F-47BEEF03E09B}"/>
    <cellStyle name="Calculation 5 4" xfId="4396" xr:uid="{F9454BEF-4843-4CAA-9AC8-C3AFAA2ED48A}"/>
    <cellStyle name="Calculation 5 4 10" xfId="4397" xr:uid="{A20DA46A-7A50-4EE7-A1F8-CB9D1637CBCA}"/>
    <cellStyle name="Calculation 5 4 10 2" xfId="26254" xr:uid="{E70CE0DE-82A5-4230-8673-A83D93473D14}"/>
    <cellStyle name="Calculation 5 4 10 3" xfId="26255" xr:uid="{90371D0D-EFAF-4DE0-8A44-D3C0B1347EC8}"/>
    <cellStyle name="Calculation 5 4 11" xfId="4398" xr:uid="{7DBFABE7-929C-477A-8DD0-F803AB864546}"/>
    <cellStyle name="Calculation 5 4 11 2" xfId="26256" xr:uid="{0AD97918-853B-4446-A77B-D13DE07A0091}"/>
    <cellStyle name="Calculation 5 4 12" xfId="26257" xr:uid="{F134B728-FDB1-43B6-BA17-76B2B889D664}"/>
    <cellStyle name="Calculation 5 4 2" xfId="4399" xr:uid="{4CE07235-7089-4D5C-8331-33C49E634C99}"/>
    <cellStyle name="Calculation 5 4 2 10" xfId="4400" xr:uid="{39A89A06-E8D9-4E6E-B4A8-7549A7A920B7}"/>
    <cellStyle name="Calculation 5 4 2 10 2" xfId="26258" xr:uid="{77A96D2C-B433-41E3-BE0C-7A2E8DC82EE1}"/>
    <cellStyle name="Calculation 5 4 2 11" xfId="26259" xr:uid="{4E9B8482-9AE3-44E5-83D8-E34A11E5B26B}"/>
    <cellStyle name="Calculation 5 4 2 2" xfId="4401" xr:uid="{83583E9C-3D0F-408A-993F-4ABE9911786A}"/>
    <cellStyle name="Calculation 5 4 2 2 2" xfId="4402" xr:uid="{687870B8-188E-4027-910F-C2AC9F264015}"/>
    <cellStyle name="Calculation 5 4 2 2 3" xfId="4403" xr:uid="{99872207-361E-46ED-B167-E5002E5D9255}"/>
    <cellStyle name="Calculation 5 4 2 2 4" xfId="4404" xr:uid="{F6705E65-A468-4034-B812-2FEE4907F719}"/>
    <cellStyle name="Calculation 5 4 2 3" xfId="4405" xr:uid="{CAAB2D02-FC52-48EE-B222-14EF744D2829}"/>
    <cellStyle name="Calculation 5 4 2 3 2" xfId="4406" xr:uid="{A6A3F9CA-AD3E-4908-B7C4-E1D0A141B2B3}"/>
    <cellStyle name="Calculation 5 4 2 3 3" xfId="26260" xr:uid="{BF3967BE-29EA-4CCF-BE16-CCF02F32F0E1}"/>
    <cellStyle name="Calculation 5 4 2 4" xfId="4407" xr:uid="{24876AE6-1D7C-4397-96E6-C2E5AFC5E1B5}"/>
    <cellStyle name="Calculation 5 4 2 4 2" xfId="4408" xr:uid="{E5999AAE-0302-46EC-A79E-EAF06AF1BE97}"/>
    <cellStyle name="Calculation 5 4 2 4 3" xfId="26261" xr:uid="{C4E8BF68-5D03-4744-B2D0-5751DF1F54F1}"/>
    <cellStyle name="Calculation 5 4 2 5" xfId="4409" xr:uid="{CC87350A-34C6-4BC4-A835-D05ABC03F31B}"/>
    <cellStyle name="Calculation 5 4 2 5 2" xfId="4410" xr:uid="{6C2842ED-BB1B-477F-ADA5-AF66D8019D55}"/>
    <cellStyle name="Calculation 5 4 2 5 3" xfId="26262" xr:uid="{6172FF2B-3F43-4C06-9801-6B52448C195C}"/>
    <cellStyle name="Calculation 5 4 2 6" xfId="4411" xr:uid="{D426CE77-C4F3-49C1-9C00-459AA384D944}"/>
    <cellStyle name="Calculation 5 4 2 6 2" xfId="4412" xr:uid="{5FBE62FD-7F78-4567-A79D-01C077D1419D}"/>
    <cellStyle name="Calculation 5 4 2 6 3" xfId="26263" xr:uid="{CFB642A0-F8DF-4124-833F-17B7CF9180D6}"/>
    <cellStyle name="Calculation 5 4 2 7" xfId="4413" xr:uid="{08E20BF7-8082-4D21-942D-123F29210681}"/>
    <cellStyle name="Calculation 5 4 2 7 2" xfId="4414" xr:uid="{E59A1B9C-720E-4076-8C66-0C189CC93B21}"/>
    <cellStyle name="Calculation 5 4 2 7 3" xfId="26264" xr:uid="{FF11749D-7B70-4586-A9B6-451287EFC260}"/>
    <cellStyle name="Calculation 5 4 2 8" xfId="4415" xr:uid="{0B40756D-59E3-4325-AE43-13DC89C2F70E}"/>
    <cellStyle name="Calculation 5 4 2 8 2" xfId="4416" xr:uid="{D87B3F7D-B149-46CB-B899-04DA0D5906DD}"/>
    <cellStyle name="Calculation 5 4 2 8 3" xfId="26265" xr:uid="{FF5A80B0-64C8-419F-AE45-99AE595064E1}"/>
    <cellStyle name="Calculation 5 4 2 9" xfId="4417" xr:uid="{4C69301E-8141-4F52-9399-580C7613A505}"/>
    <cellStyle name="Calculation 5 4 2 9 2" xfId="26266" xr:uid="{EB975E69-9F1F-4A89-B311-26F48143D22B}"/>
    <cellStyle name="Calculation 5 4 2 9 3" xfId="26267" xr:uid="{97A3B9DE-B882-44A0-A34C-1C5E29C370EF}"/>
    <cellStyle name="Calculation 5 4 3" xfId="4418" xr:uid="{03ACA8EE-9CD8-4BD7-B0EF-8EA11C7AF950}"/>
    <cellStyle name="Calculation 5 4 3 2" xfId="4419" xr:uid="{BCAB1C7E-2502-4E9A-BFB2-E4D5157D34A2}"/>
    <cellStyle name="Calculation 5 4 3 3" xfId="4420" xr:uid="{EDA347DC-7E72-4912-8591-A232DF8B021F}"/>
    <cellStyle name="Calculation 5 4 3 4" xfId="4421" xr:uid="{96F38DFA-AAD1-4598-9B8E-B72FC938C98E}"/>
    <cellStyle name="Calculation 5 4 4" xfId="4422" xr:uid="{27E52C61-E27B-4FC5-8ADA-EF64915BC089}"/>
    <cellStyle name="Calculation 5 4 4 2" xfId="4423" xr:uid="{8AC2F868-58BE-4A54-8C1C-58893FE848E0}"/>
    <cellStyle name="Calculation 5 4 4 3" xfId="26268" xr:uid="{AB47BDE5-5A48-4F14-92CE-C84FDA87A3C2}"/>
    <cellStyle name="Calculation 5 4 5" xfId="4424" xr:uid="{2BD85F54-B5CD-4749-BD43-BC6F88E954F7}"/>
    <cellStyle name="Calculation 5 4 5 2" xfId="4425" xr:uid="{468277B3-03AC-415B-B46F-2FAF337C5070}"/>
    <cellStyle name="Calculation 5 4 5 3" xfId="26269" xr:uid="{AB792311-B25C-4919-89A4-AEFCF894E669}"/>
    <cellStyle name="Calculation 5 4 6" xfId="4426" xr:uid="{608666BF-EABE-4A71-80A4-2FF941F4B0F7}"/>
    <cellStyle name="Calculation 5 4 6 2" xfId="4427" xr:uid="{C8574DD0-14C6-4715-9F7C-99B8524DD9AA}"/>
    <cellStyle name="Calculation 5 4 6 3" xfId="26270" xr:uid="{4330B1A8-0D54-4BB0-AD6E-FD2F1A9B4FD9}"/>
    <cellStyle name="Calculation 5 4 7" xfId="4428" xr:uid="{5EB2D357-0DE9-4C7B-9164-D98162E9B311}"/>
    <cellStyle name="Calculation 5 4 7 2" xfId="4429" xr:uid="{4F5D08DA-A1AD-4B4E-AB8A-4850677AE1F7}"/>
    <cellStyle name="Calculation 5 4 7 3" xfId="26271" xr:uid="{C940E426-749C-49C3-AEF6-D3C00BC31E95}"/>
    <cellStyle name="Calculation 5 4 8" xfId="4430" xr:uid="{1F3AA76A-9C52-40DF-9432-8526BD7E4937}"/>
    <cellStyle name="Calculation 5 4 8 2" xfId="4431" xr:uid="{5BB1389D-90AB-4238-9486-1701B2FA0B7F}"/>
    <cellStyle name="Calculation 5 4 8 3" xfId="26272" xr:uid="{9698D352-2CD7-4154-B3BA-D353AAC3E32D}"/>
    <cellStyle name="Calculation 5 4 9" xfId="4432" xr:uid="{A6FF8646-86AE-47DB-A08B-90B3B8D1A8B4}"/>
    <cellStyle name="Calculation 5 4 9 2" xfId="4433" xr:uid="{CC59B420-A9DE-4A5A-8817-220B8693D52B}"/>
    <cellStyle name="Calculation 5 4 9 3" xfId="26273" xr:uid="{18F4A190-BE32-4C3C-A4CC-910EA14AF9F0}"/>
    <cellStyle name="Calculation 5 5" xfId="4434" xr:uid="{7557D99F-7C94-4FC7-ADD5-B83D63F32819}"/>
    <cellStyle name="Calculation 5 5 10" xfId="4435" xr:uid="{D26E73A4-36FA-49CC-878C-4710789FCFD3}"/>
    <cellStyle name="Calculation 5 5 10 2" xfId="26274" xr:uid="{681F328A-0C5B-4CC9-B7C7-01F8D71A454A}"/>
    <cellStyle name="Calculation 5 5 10 3" xfId="26275" xr:uid="{816F2C66-778C-4D27-84BC-521FC87D3B3D}"/>
    <cellStyle name="Calculation 5 5 11" xfId="4436" xr:uid="{076790CD-5864-40D4-9745-21F748E1DBEF}"/>
    <cellStyle name="Calculation 5 5 11 2" xfId="26276" xr:uid="{CB1CFE1A-935C-4370-A408-BFCACA1EDEB9}"/>
    <cellStyle name="Calculation 5 5 12" xfId="26277" xr:uid="{9D99AB86-3532-454D-8D33-232A11150B02}"/>
    <cellStyle name="Calculation 5 5 2" xfId="4437" xr:uid="{EB54CA97-1DAF-4B28-98F7-C87BA2E41B10}"/>
    <cellStyle name="Calculation 5 5 2 10" xfId="4438" xr:uid="{67D294A3-1353-4571-B758-8B7204C327B1}"/>
    <cellStyle name="Calculation 5 5 2 10 2" xfId="26278" xr:uid="{0CE7EA3C-FEA6-416E-8865-FD1E8653F8CD}"/>
    <cellStyle name="Calculation 5 5 2 11" xfId="26279" xr:uid="{1894EE44-6DB3-4362-8028-5E7DCB6051BE}"/>
    <cellStyle name="Calculation 5 5 2 2" xfId="4439" xr:uid="{D0020877-0C11-4ACD-9D3A-BE4DF1C1C181}"/>
    <cellStyle name="Calculation 5 5 2 2 2" xfId="4440" xr:uid="{25A1E459-D5B0-46AD-9256-2E7685769F3F}"/>
    <cellStyle name="Calculation 5 5 2 2 3" xfId="4441" xr:uid="{B43EA4A5-FFC4-42E1-830B-9E02B1BA0492}"/>
    <cellStyle name="Calculation 5 5 2 2 4" xfId="4442" xr:uid="{89E4B0F9-9570-4A83-A7D3-BB3957F22225}"/>
    <cellStyle name="Calculation 5 5 2 3" xfId="4443" xr:uid="{38F3CC06-B564-479E-A54B-A04AD5845E45}"/>
    <cellStyle name="Calculation 5 5 2 3 2" xfId="4444" xr:uid="{B3AED511-59F7-4ED6-A691-1E8D984E4868}"/>
    <cellStyle name="Calculation 5 5 2 3 3" xfId="26280" xr:uid="{68EAB6A4-FCFB-41C9-A1C2-808AB3C1A61F}"/>
    <cellStyle name="Calculation 5 5 2 4" xfId="4445" xr:uid="{0C070516-470E-4E58-93FA-47240B9EDA0E}"/>
    <cellStyle name="Calculation 5 5 2 4 2" xfId="4446" xr:uid="{26229448-986E-43A6-8E8A-C8764609528D}"/>
    <cellStyle name="Calculation 5 5 2 4 3" xfId="26281" xr:uid="{BD846DAD-1939-4C2E-A77F-794E44C6BFC8}"/>
    <cellStyle name="Calculation 5 5 2 5" xfId="4447" xr:uid="{24AEE0E4-4096-4209-A76E-D79BF4CE4E46}"/>
    <cellStyle name="Calculation 5 5 2 5 2" xfId="4448" xr:uid="{D8C112D5-4011-4DA7-BF80-1FB69E2A6E57}"/>
    <cellStyle name="Calculation 5 5 2 5 3" xfId="26282" xr:uid="{D5AB67B1-5E8D-44FB-94CA-F1297D11CC3A}"/>
    <cellStyle name="Calculation 5 5 2 6" xfId="4449" xr:uid="{CFA0CFF2-BDDE-4261-A752-37A4186AAD8A}"/>
    <cellStyle name="Calculation 5 5 2 6 2" xfId="4450" xr:uid="{0C0238EF-E24F-4A09-95E8-B01C49754F4F}"/>
    <cellStyle name="Calculation 5 5 2 6 3" xfId="26283" xr:uid="{623426A5-5ABA-4638-954D-5929867A4626}"/>
    <cellStyle name="Calculation 5 5 2 7" xfId="4451" xr:uid="{7BE8B5A8-0FC1-4A36-A99B-59B1A15C9238}"/>
    <cellStyle name="Calculation 5 5 2 7 2" xfId="4452" xr:uid="{F73BDB2A-FD91-4A1C-9825-B04ABC448D61}"/>
    <cellStyle name="Calculation 5 5 2 7 3" xfId="26284" xr:uid="{695400F2-AB37-478E-8FBB-98702152CEE6}"/>
    <cellStyle name="Calculation 5 5 2 8" xfId="4453" xr:uid="{CA152D22-CB3C-4942-8686-889473714B84}"/>
    <cellStyle name="Calculation 5 5 2 8 2" xfId="4454" xr:uid="{31A25B2B-0A49-4A73-9D62-1212D54B18C3}"/>
    <cellStyle name="Calculation 5 5 2 8 3" xfId="26285" xr:uid="{A4AA6C9A-0752-4639-8EBA-5A6DD44A0437}"/>
    <cellStyle name="Calculation 5 5 2 9" xfId="4455" xr:uid="{32AD317D-BFFB-4D8E-821B-6DA4A4D01778}"/>
    <cellStyle name="Calculation 5 5 2 9 2" xfId="26286" xr:uid="{26B4B74D-4D0F-472F-B52E-3DD2634DF3E7}"/>
    <cellStyle name="Calculation 5 5 2 9 3" xfId="26287" xr:uid="{7FE135A0-E4FE-4F1D-887A-511694653A4A}"/>
    <cellStyle name="Calculation 5 5 3" xfId="4456" xr:uid="{E1E29B77-0E85-4685-992E-89D2D7898E2C}"/>
    <cellStyle name="Calculation 5 5 3 2" xfId="4457" xr:uid="{155A2519-E242-4E72-956E-839676A0EB52}"/>
    <cellStyle name="Calculation 5 5 3 3" xfId="4458" xr:uid="{68F25495-604C-4FB5-A9FE-EFA6A869D39E}"/>
    <cellStyle name="Calculation 5 5 3 4" xfId="4459" xr:uid="{522CBAEE-08FD-46AE-A45D-B34235AD1676}"/>
    <cellStyle name="Calculation 5 5 4" xfId="4460" xr:uid="{189A2C6C-80B5-4554-8703-148BE199A67A}"/>
    <cellStyle name="Calculation 5 5 4 2" xfId="4461" xr:uid="{A8257961-B8B3-4FC3-BBCE-E503F00C8159}"/>
    <cellStyle name="Calculation 5 5 4 3" xfId="26288" xr:uid="{35AC4938-5AD9-4E3A-A55F-F6EE71A8BA32}"/>
    <cellStyle name="Calculation 5 5 5" xfId="4462" xr:uid="{C6BB35AB-B135-4B7D-B0D4-FB3D8806C43D}"/>
    <cellStyle name="Calculation 5 5 5 2" xfId="4463" xr:uid="{40B09247-9EAD-472F-B67C-077C6D0A2D7E}"/>
    <cellStyle name="Calculation 5 5 5 3" xfId="26289" xr:uid="{63340A9A-860F-4F20-AC36-030D70CAFBC5}"/>
    <cellStyle name="Calculation 5 5 6" xfId="4464" xr:uid="{8E97B6F5-A68A-4E09-AF3E-5593C9857F2C}"/>
    <cellStyle name="Calculation 5 5 6 2" xfId="4465" xr:uid="{8B068B5D-65AA-4C27-81EC-BD9E72E8C0A5}"/>
    <cellStyle name="Calculation 5 5 6 3" xfId="26290" xr:uid="{90AF53F2-7A7D-4179-BAE5-41D25B2E686E}"/>
    <cellStyle name="Calculation 5 5 7" xfId="4466" xr:uid="{FF7C4504-36CB-4823-B9F7-770EF2D061F3}"/>
    <cellStyle name="Calculation 5 5 7 2" xfId="4467" xr:uid="{20FC6798-3B10-42FB-BAB7-03BED84F43EE}"/>
    <cellStyle name="Calculation 5 5 7 3" xfId="26291" xr:uid="{894AD4EC-3099-43D0-9F00-CBA9DDA6D7EA}"/>
    <cellStyle name="Calculation 5 5 8" xfId="4468" xr:uid="{50EC7E2F-FFFB-496D-8B63-9A94F1CC98F9}"/>
    <cellStyle name="Calculation 5 5 8 2" xfId="4469" xr:uid="{FAEA6485-7CED-4815-81D8-DF3D98CE421A}"/>
    <cellStyle name="Calculation 5 5 8 3" xfId="26292" xr:uid="{A7EE92BE-7076-4142-BFCE-1A13460DADAA}"/>
    <cellStyle name="Calculation 5 5 9" xfId="4470" xr:uid="{7D78048B-0633-43D9-8702-13E62F95BD1E}"/>
    <cellStyle name="Calculation 5 5 9 2" xfId="4471" xr:uid="{065BEDBB-53A8-4C9D-8E91-DB6F16F319D2}"/>
    <cellStyle name="Calculation 5 5 9 3" xfId="26293" xr:uid="{4A24DCE6-0F68-4C79-B013-55845F7921AE}"/>
    <cellStyle name="Calculation 5 6" xfId="4472" xr:uid="{D00F7208-AB7C-4B43-9318-663C52DC30FB}"/>
    <cellStyle name="Calculation 5 6 10" xfId="4473" xr:uid="{74A76B92-ABCC-4301-869E-87E9CADBD553}"/>
    <cellStyle name="Calculation 5 6 10 2" xfId="26294" xr:uid="{9D9ADB24-4587-4ABC-A198-839EF372F33C}"/>
    <cellStyle name="Calculation 5 6 10 3" xfId="26295" xr:uid="{4A9A5913-023A-4B6A-83DF-8B74A444E7DC}"/>
    <cellStyle name="Calculation 5 6 11" xfId="4474" xr:uid="{1FCC5537-A1CF-4F5F-9017-C53D2A7468F5}"/>
    <cellStyle name="Calculation 5 6 11 2" xfId="26296" xr:uid="{DDFE68F9-2BCE-4144-BDC2-BB270997A29E}"/>
    <cellStyle name="Calculation 5 6 12" xfId="26297" xr:uid="{8150995E-9182-4857-B693-828BB953E20E}"/>
    <cellStyle name="Calculation 5 6 2" xfId="4475" xr:uid="{B7CC7445-AC36-4FE7-B368-20AFE6ADE5C5}"/>
    <cellStyle name="Calculation 5 6 2 10" xfId="4476" xr:uid="{A51B04BB-9F85-48C4-96D7-C84DFC6A18A0}"/>
    <cellStyle name="Calculation 5 6 2 10 2" xfId="26298" xr:uid="{E3073479-3F20-4A62-9E49-ACD062BD825F}"/>
    <cellStyle name="Calculation 5 6 2 11" xfId="26299" xr:uid="{5473E026-A45C-4162-A345-5B34FF328444}"/>
    <cellStyle name="Calculation 5 6 2 2" xfId="4477" xr:uid="{B60F59AA-60CD-480B-B736-058A2C478831}"/>
    <cellStyle name="Calculation 5 6 2 2 2" xfId="4478" xr:uid="{46032B09-EAA8-4572-9DBE-EFF141B40D18}"/>
    <cellStyle name="Calculation 5 6 2 2 3" xfId="4479" xr:uid="{C04CEEDC-9C65-4F3D-AB64-29BD8474DC50}"/>
    <cellStyle name="Calculation 5 6 2 2 4" xfId="4480" xr:uid="{27D7D446-E74A-4FA7-887D-FEFC292D29B2}"/>
    <cellStyle name="Calculation 5 6 2 3" xfId="4481" xr:uid="{7F1BEAE4-E491-4934-AFF8-3A0A6C49B8D6}"/>
    <cellStyle name="Calculation 5 6 2 3 2" xfId="4482" xr:uid="{1025BD8F-782E-4AB3-A719-5758A86F0BCF}"/>
    <cellStyle name="Calculation 5 6 2 3 3" xfId="26300" xr:uid="{AA3A2AD0-CE18-4A42-A259-07E87D51D8A1}"/>
    <cellStyle name="Calculation 5 6 2 4" xfId="4483" xr:uid="{775B1F33-DAA5-40F6-97FA-C69003FA40CA}"/>
    <cellStyle name="Calculation 5 6 2 4 2" xfId="4484" xr:uid="{B8926E3C-BF31-4763-BBAE-6CD387688E65}"/>
    <cellStyle name="Calculation 5 6 2 4 3" xfId="26301" xr:uid="{EE3BAED7-E4F1-467F-AA99-5329E9D6AB74}"/>
    <cellStyle name="Calculation 5 6 2 5" xfId="4485" xr:uid="{BDE9D1FD-040E-4A27-88A6-BE527B4B63A5}"/>
    <cellStyle name="Calculation 5 6 2 5 2" xfId="4486" xr:uid="{128603F2-E2F4-407D-8E3D-8895608168B2}"/>
    <cellStyle name="Calculation 5 6 2 5 3" xfId="26302" xr:uid="{83ECEB6F-CAF8-4403-BEC7-5374FB798FA1}"/>
    <cellStyle name="Calculation 5 6 2 6" xfId="4487" xr:uid="{A3572D3D-00AA-45FF-907C-A2AEA44BAB32}"/>
    <cellStyle name="Calculation 5 6 2 6 2" xfId="4488" xr:uid="{CBB634D5-B306-4D66-BCC6-0099FCA90495}"/>
    <cellStyle name="Calculation 5 6 2 6 3" xfId="26303" xr:uid="{01121B29-F29F-4ADD-B058-11308BF4FF15}"/>
    <cellStyle name="Calculation 5 6 2 7" xfId="4489" xr:uid="{2E545884-BADB-4DFC-8D34-2389FDCEBF86}"/>
    <cellStyle name="Calculation 5 6 2 7 2" xfId="4490" xr:uid="{64BCEBE4-E445-46B7-98BF-0FC525002A36}"/>
    <cellStyle name="Calculation 5 6 2 7 3" xfId="26304" xr:uid="{9B545F2D-6604-4261-A736-2EB24E884C90}"/>
    <cellStyle name="Calculation 5 6 2 8" xfId="4491" xr:uid="{BAEBB7E1-9399-4229-8ADF-CA914C2004D0}"/>
    <cellStyle name="Calculation 5 6 2 8 2" xfId="4492" xr:uid="{A67AD56C-C107-47A1-8766-E2785C9A2BB3}"/>
    <cellStyle name="Calculation 5 6 2 8 3" xfId="26305" xr:uid="{D1DDDB2B-D203-49EF-A198-194A190B92DB}"/>
    <cellStyle name="Calculation 5 6 2 9" xfId="4493" xr:uid="{36852EFE-6679-4A44-885F-5CAE2C586552}"/>
    <cellStyle name="Calculation 5 6 2 9 2" xfId="26306" xr:uid="{A2615454-825E-4342-BE64-7E9B70F9DB8B}"/>
    <cellStyle name="Calculation 5 6 2 9 3" xfId="26307" xr:uid="{E035E001-C454-4637-BD2E-2A3F5183C168}"/>
    <cellStyle name="Calculation 5 6 3" xfId="4494" xr:uid="{CA6FAFC7-63D2-4641-8E3F-8542D0FCB5BA}"/>
    <cellStyle name="Calculation 5 6 3 2" xfId="4495" xr:uid="{25B102FF-3800-4AC6-B57C-B3643C66FB27}"/>
    <cellStyle name="Calculation 5 6 3 3" xfId="4496" xr:uid="{A199436C-DAA8-418A-93CD-3AD0997F6D62}"/>
    <cellStyle name="Calculation 5 6 3 4" xfId="4497" xr:uid="{CEAD09FC-584C-4B41-82D5-0C8A496778D5}"/>
    <cellStyle name="Calculation 5 6 4" xfId="4498" xr:uid="{3B29B27E-C23C-49DE-96EF-A8A957F89212}"/>
    <cellStyle name="Calculation 5 6 4 2" xfId="4499" xr:uid="{E5098A35-DC40-4F1D-9EAD-B8664E343E1C}"/>
    <cellStyle name="Calculation 5 6 4 3" xfId="26308" xr:uid="{E6880B4E-BA69-491A-B9BC-69ED226E48D9}"/>
    <cellStyle name="Calculation 5 6 5" xfId="4500" xr:uid="{D1A7B6DF-6543-4B25-AC54-43F1322A7F9E}"/>
    <cellStyle name="Calculation 5 6 5 2" xfId="4501" xr:uid="{CE61F5CE-6768-4902-BA84-82599159A81F}"/>
    <cellStyle name="Calculation 5 6 5 3" xfId="26309" xr:uid="{FD5044A4-C1BF-4222-A667-F7E469FB47EC}"/>
    <cellStyle name="Calculation 5 6 6" xfId="4502" xr:uid="{7AB812F0-1CA5-4473-8F47-1E1AEAB67671}"/>
    <cellStyle name="Calculation 5 6 6 2" xfId="4503" xr:uid="{D6A19BDE-2216-45EE-AFA8-B9EB3DA6426C}"/>
    <cellStyle name="Calculation 5 6 6 3" xfId="26310" xr:uid="{826C4D57-CBB2-4C5A-8EA7-AC5A1DE87999}"/>
    <cellStyle name="Calculation 5 6 7" xfId="4504" xr:uid="{A7FADBBB-5ECC-42E5-80B0-81D2A5E228A9}"/>
    <cellStyle name="Calculation 5 6 7 2" xfId="4505" xr:uid="{15C44378-FB06-473A-A89D-BD83C92DEB20}"/>
    <cellStyle name="Calculation 5 6 7 3" xfId="26311" xr:uid="{CC9BADDD-7D5D-44F5-B7E2-EE8B0FA9A9E5}"/>
    <cellStyle name="Calculation 5 6 8" xfId="4506" xr:uid="{E40107B8-02B8-4D7A-B86F-8AE5039770E7}"/>
    <cellStyle name="Calculation 5 6 8 2" xfId="4507" xr:uid="{45890CBF-1DAC-4A6D-8135-9FA91508E5C6}"/>
    <cellStyle name="Calculation 5 6 8 3" xfId="26312" xr:uid="{E81809E7-C51D-4202-91CB-9B17A33B2503}"/>
    <cellStyle name="Calculation 5 6 9" xfId="4508" xr:uid="{390CB99B-3496-42B5-B88C-C706152BDD92}"/>
    <cellStyle name="Calculation 5 6 9 2" xfId="4509" xr:uid="{AE4AEEC4-762C-4739-B44A-A9846E7BEFB5}"/>
    <cellStyle name="Calculation 5 6 9 3" xfId="26313" xr:uid="{2F32CDD8-D123-415C-9734-63A14F96DB5E}"/>
    <cellStyle name="Calculation 5 7" xfId="4510" xr:uid="{E6F4F8CF-894D-47F0-ADB2-3384CDD28A1D}"/>
    <cellStyle name="Calculation 5 7 10" xfId="4511" xr:uid="{8AF7E9B7-784D-46DD-AD75-721ACB606C55}"/>
    <cellStyle name="Calculation 5 7 10 2" xfId="26314" xr:uid="{E0254BC2-55E2-445C-85D4-99A72F55D13B}"/>
    <cellStyle name="Calculation 5 7 10 3" xfId="26315" xr:uid="{FC96D6F4-714D-4B15-8009-890A1406CD81}"/>
    <cellStyle name="Calculation 5 7 11" xfId="4512" xr:uid="{0FB01909-1B9C-4593-98BC-96BFBE5920DF}"/>
    <cellStyle name="Calculation 5 7 11 2" xfId="26316" xr:uid="{E1AE8D40-D378-4E29-92FF-5D24B14A9318}"/>
    <cellStyle name="Calculation 5 7 12" xfId="26317" xr:uid="{FA3E4422-E6E3-4C88-9B7B-9B33C8B4115C}"/>
    <cellStyle name="Calculation 5 7 2" xfId="4513" xr:uid="{B42E04D8-8AFE-43ED-BC9C-F291C3042D06}"/>
    <cellStyle name="Calculation 5 7 2 10" xfId="4514" xr:uid="{FA9A86F3-0890-4BAE-8400-2AF18A0966D7}"/>
    <cellStyle name="Calculation 5 7 2 10 2" xfId="26318" xr:uid="{411873D8-70A6-4F55-B187-9FF5D56560AA}"/>
    <cellStyle name="Calculation 5 7 2 11" xfId="26319" xr:uid="{5D5F0F75-0FE4-4E69-9A34-0EAC54E71FB9}"/>
    <cellStyle name="Calculation 5 7 2 2" xfId="4515" xr:uid="{8A44FFF8-5CAD-4EAA-8A39-C35C58176B8E}"/>
    <cellStyle name="Calculation 5 7 2 2 2" xfId="4516" xr:uid="{04710B06-F42A-4612-896E-F80343B3F5CB}"/>
    <cellStyle name="Calculation 5 7 2 2 3" xfId="4517" xr:uid="{51815840-557C-485F-97E1-AFE3612BEADD}"/>
    <cellStyle name="Calculation 5 7 2 2 4" xfId="4518" xr:uid="{E544F37A-C732-4C47-BF18-BA4DD3AA0F2B}"/>
    <cellStyle name="Calculation 5 7 2 3" xfId="4519" xr:uid="{A51C67B0-62BE-4F45-B24D-F8609715D628}"/>
    <cellStyle name="Calculation 5 7 2 3 2" xfId="4520" xr:uid="{D47F46F8-0305-4739-A92B-A0DBA8D99A0F}"/>
    <cellStyle name="Calculation 5 7 2 3 3" xfId="26320" xr:uid="{533AEFE2-7452-4C06-9CE2-C0268ECAD062}"/>
    <cellStyle name="Calculation 5 7 2 4" xfId="4521" xr:uid="{2E706C5C-B691-40BA-B226-A5FF473D2264}"/>
    <cellStyle name="Calculation 5 7 2 4 2" xfId="4522" xr:uid="{CE1BB7A9-3C91-4063-ACE3-8FC4FB04F2A7}"/>
    <cellStyle name="Calculation 5 7 2 4 3" xfId="26321" xr:uid="{2E50D997-7D22-4458-95F1-8A5D189710E3}"/>
    <cellStyle name="Calculation 5 7 2 5" xfId="4523" xr:uid="{427831F3-2307-4E7F-8E92-CCC83C9B4734}"/>
    <cellStyle name="Calculation 5 7 2 5 2" xfId="4524" xr:uid="{33AEE13B-B639-40C0-BC98-E1FEB2B8AFCB}"/>
    <cellStyle name="Calculation 5 7 2 5 3" xfId="26322" xr:uid="{E9D0A058-A6A7-495F-AA5A-4CCA923877F8}"/>
    <cellStyle name="Calculation 5 7 2 6" xfId="4525" xr:uid="{A7BFF7BB-31E3-47AC-BCBD-2C67E21492E3}"/>
    <cellStyle name="Calculation 5 7 2 6 2" xfId="4526" xr:uid="{FAAB0B19-996A-483A-A39C-77A280189A9D}"/>
    <cellStyle name="Calculation 5 7 2 6 3" xfId="26323" xr:uid="{4D4252A9-3AF4-4B02-913B-7AF8F85773DF}"/>
    <cellStyle name="Calculation 5 7 2 7" xfId="4527" xr:uid="{17B35AB2-28E2-49F5-8DBE-C314ED21A271}"/>
    <cellStyle name="Calculation 5 7 2 7 2" xfId="4528" xr:uid="{2B01F742-54A9-497D-9DD8-4FF263A19E4B}"/>
    <cellStyle name="Calculation 5 7 2 7 3" xfId="26324" xr:uid="{EE7EBD2A-AF57-4FB4-8BE6-397F597B7830}"/>
    <cellStyle name="Calculation 5 7 2 8" xfId="4529" xr:uid="{1961CD07-FF03-4E59-AB3C-753192DC3ACB}"/>
    <cellStyle name="Calculation 5 7 2 8 2" xfId="4530" xr:uid="{8405CA87-5C29-43C1-AE23-DE6577900D8A}"/>
    <cellStyle name="Calculation 5 7 2 8 3" xfId="26325" xr:uid="{17DD8286-745A-46E2-9CD3-80FFD9F646A1}"/>
    <cellStyle name="Calculation 5 7 2 9" xfId="4531" xr:uid="{D9DD75F2-FD87-4A51-A99F-2EAEA0B56819}"/>
    <cellStyle name="Calculation 5 7 2 9 2" xfId="26326" xr:uid="{13548A50-065B-424A-A712-977D99B5462E}"/>
    <cellStyle name="Calculation 5 7 2 9 3" xfId="26327" xr:uid="{443C9C0D-025C-4FE0-A3CE-06E0F18D24E2}"/>
    <cellStyle name="Calculation 5 7 3" xfId="4532" xr:uid="{1B7BC1A6-611F-4490-863A-192B5A04E07D}"/>
    <cellStyle name="Calculation 5 7 3 2" xfId="4533" xr:uid="{030A100B-E434-441D-96F6-7C0340CE8229}"/>
    <cellStyle name="Calculation 5 7 3 3" xfId="4534" xr:uid="{610D8461-B902-48A7-B03A-384C1958747B}"/>
    <cellStyle name="Calculation 5 7 3 4" xfId="4535" xr:uid="{E915FCCF-DBE9-4367-A1B2-9308E9D8B9E4}"/>
    <cellStyle name="Calculation 5 7 4" xfId="4536" xr:uid="{D2E3D143-CEA5-43F3-AFD0-149CCFC35E23}"/>
    <cellStyle name="Calculation 5 7 4 2" xfId="4537" xr:uid="{5C650C7E-408A-460C-8A68-80ABB0C43EC1}"/>
    <cellStyle name="Calculation 5 7 4 3" xfId="26328" xr:uid="{7D20FDF4-419B-4A4C-9D48-1589C6F01960}"/>
    <cellStyle name="Calculation 5 7 5" xfId="4538" xr:uid="{B57F0FC2-2389-4522-AAC4-B237E5447789}"/>
    <cellStyle name="Calculation 5 7 5 2" xfId="4539" xr:uid="{529175E1-BA92-4CAF-9541-BC1533A202E0}"/>
    <cellStyle name="Calculation 5 7 5 3" xfId="26329" xr:uid="{61B9728B-62A5-4916-9D38-74B9F700FB6C}"/>
    <cellStyle name="Calculation 5 7 6" xfId="4540" xr:uid="{5758BB6C-3D05-40E8-862D-DB9E8EE7CD2A}"/>
    <cellStyle name="Calculation 5 7 6 2" xfId="4541" xr:uid="{56E6F07D-184E-4B99-86DF-7124A227A815}"/>
    <cellStyle name="Calculation 5 7 6 3" xfId="26330" xr:uid="{0CAEDFD3-662B-4C32-8AF3-19C7115716F4}"/>
    <cellStyle name="Calculation 5 7 7" xfId="4542" xr:uid="{8C00E44B-2DD4-41CB-992F-02E59ECA72FD}"/>
    <cellStyle name="Calculation 5 7 7 2" xfId="4543" xr:uid="{2AFC636E-E8D8-4E4D-A083-8EDCC46D86FD}"/>
    <cellStyle name="Calculation 5 7 7 3" xfId="26331" xr:uid="{E8A0FF9F-035C-493B-A23F-6D298F97A284}"/>
    <cellStyle name="Calculation 5 7 8" xfId="4544" xr:uid="{72A17D0A-6AF7-4130-B21A-CADF6DAACB21}"/>
    <cellStyle name="Calculation 5 7 8 2" xfId="4545" xr:uid="{FF86EAF2-A474-43CB-8016-5DA9D716463D}"/>
    <cellStyle name="Calculation 5 7 8 3" xfId="26332" xr:uid="{0733D165-1941-4253-9F41-5B72B7EEEBF0}"/>
    <cellStyle name="Calculation 5 7 9" xfId="4546" xr:uid="{8237E35F-ED07-4285-AB13-FE844ABE740E}"/>
    <cellStyle name="Calculation 5 7 9 2" xfId="4547" xr:uid="{B01E0A5C-D0EB-4A7A-A480-B8791F73E005}"/>
    <cellStyle name="Calculation 5 7 9 3" xfId="26333" xr:uid="{CE51C4D6-3D13-428E-8544-7F99B168706B}"/>
    <cellStyle name="Calculation 5 8" xfId="4548" xr:uid="{CBDF22CB-C2B8-4317-B588-502AC2E029EA}"/>
    <cellStyle name="Calculation 5 8 10" xfId="4549" xr:uid="{143D1CB1-C50D-4630-BBCB-26A85BD6AC41}"/>
    <cellStyle name="Calculation 5 8 10 2" xfId="26334" xr:uid="{3A62C31C-16AD-49AE-8485-DF1DDB510FBD}"/>
    <cellStyle name="Calculation 5 8 10 3" xfId="26335" xr:uid="{65C5CF62-C751-45B1-A633-9CC26A9A79FB}"/>
    <cellStyle name="Calculation 5 8 11" xfId="4550" xr:uid="{6333BA8A-8A21-4846-92A9-6C0D1E604595}"/>
    <cellStyle name="Calculation 5 8 11 2" xfId="26336" xr:uid="{5E60531F-A514-4653-BCF4-F5F96F8318AC}"/>
    <cellStyle name="Calculation 5 8 12" xfId="26337" xr:uid="{4E9C1874-6564-42EA-890E-129A0E8F16E1}"/>
    <cellStyle name="Calculation 5 8 2" xfId="4551" xr:uid="{92EF6F39-A077-4737-9A35-B1754D61B8A0}"/>
    <cellStyle name="Calculation 5 8 2 10" xfId="4552" xr:uid="{8DB72B85-8A28-4DFE-8B62-C18998F2D783}"/>
    <cellStyle name="Calculation 5 8 2 10 2" xfId="26338" xr:uid="{D3E60081-004C-4BCC-9259-3DEDC3BE89D5}"/>
    <cellStyle name="Calculation 5 8 2 11" xfId="26339" xr:uid="{B6AEF4AC-7904-48D3-A1F8-1596FB21EBE2}"/>
    <cellStyle name="Calculation 5 8 2 2" xfId="4553" xr:uid="{B3D9D97D-E820-415A-A370-172D8529087A}"/>
    <cellStyle name="Calculation 5 8 2 2 2" xfId="4554" xr:uid="{CF95C303-D476-48C5-A523-FB691A487500}"/>
    <cellStyle name="Calculation 5 8 2 2 3" xfId="4555" xr:uid="{2B8C8A74-5997-42F9-B7F6-D4B60FE83878}"/>
    <cellStyle name="Calculation 5 8 2 2 4" xfId="4556" xr:uid="{A6799ED7-3791-4378-8842-891F8B33C5E0}"/>
    <cellStyle name="Calculation 5 8 2 3" xfId="4557" xr:uid="{D7F1D29B-130B-42EA-9BE8-4D9DA5B505E9}"/>
    <cellStyle name="Calculation 5 8 2 3 2" xfId="4558" xr:uid="{AD5A1C6A-98B4-43F5-B195-30B5126CECBF}"/>
    <cellStyle name="Calculation 5 8 2 3 3" xfId="26340" xr:uid="{0DE063EF-8CA2-4412-A910-8877F90FF3B5}"/>
    <cellStyle name="Calculation 5 8 2 4" xfId="4559" xr:uid="{E67A9C55-34CD-45FC-A8C7-D3F7C3758F3D}"/>
    <cellStyle name="Calculation 5 8 2 4 2" xfId="4560" xr:uid="{8945A1F4-F0A9-4FB9-BCD1-78B92E9903C0}"/>
    <cellStyle name="Calculation 5 8 2 4 3" xfId="26341" xr:uid="{08389D23-5BCD-4D3C-BF98-83602C507E79}"/>
    <cellStyle name="Calculation 5 8 2 5" xfId="4561" xr:uid="{2B6D4079-6ED9-4230-B597-80F3242D085E}"/>
    <cellStyle name="Calculation 5 8 2 5 2" xfId="4562" xr:uid="{A9B9C328-BCB9-4764-87EA-07286A38F421}"/>
    <cellStyle name="Calculation 5 8 2 5 3" xfId="26342" xr:uid="{8045A2F2-6A06-4006-85F3-F8741E455881}"/>
    <cellStyle name="Calculation 5 8 2 6" xfId="4563" xr:uid="{D26F8B9E-A6DF-4B30-BAA5-5150B97F1587}"/>
    <cellStyle name="Calculation 5 8 2 6 2" xfId="4564" xr:uid="{ED7BECB8-2A9C-4818-B5D8-B2D6D009A9E3}"/>
    <cellStyle name="Calculation 5 8 2 6 3" xfId="26343" xr:uid="{09C23505-E62F-4C0E-AEBA-F0B50E325958}"/>
    <cellStyle name="Calculation 5 8 2 7" xfId="4565" xr:uid="{5FACFCDA-EEFB-47F1-8ADB-BA3A07F0C275}"/>
    <cellStyle name="Calculation 5 8 2 7 2" xfId="4566" xr:uid="{25A945CC-9F35-4EB7-9BB9-639FABA2E133}"/>
    <cellStyle name="Calculation 5 8 2 7 3" xfId="26344" xr:uid="{66E33570-1609-4F56-9F56-AE0F374ECCB5}"/>
    <cellStyle name="Calculation 5 8 2 8" xfId="4567" xr:uid="{5C173CCC-A798-487B-AC3A-334B5CCDE031}"/>
    <cellStyle name="Calculation 5 8 2 8 2" xfId="4568" xr:uid="{F22F8B2D-BA83-4EA1-BBAD-C34921F1F393}"/>
    <cellStyle name="Calculation 5 8 2 8 3" xfId="26345" xr:uid="{EB4587B8-9E6E-4647-9A4F-8E6D3147B577}"/>
    <cellStyle name="Calculation 5 8 2 9" xfId="4569" xr:uid="{B17C267F-DC47-4FC7-B8F6-92CF5A6E4D2E}"/>
    <cellStyle name="Calculation 5 8 2 9 2" xfId="26346" xr:uid="{B662A5B5-1710-4CA4-A51F-B75684FFAFB6}"/>
    <cellStyle name="Calculation 5 8 2 9 3" xfId="26347" xr:uid="{58EE690A-7965-408E-AE11-BBBDDF830C42}"/>
    <cellStyle name="Calculation 5 8 3" xfId="4570" xr:uid="{149A97E4-50C0-4CCD-9976-85E2E7087802}"/>
    <cellStyle name="Calculation 5 8 3 2" xfId="4571" xr:uid="{7EDBB4AD-C9D0-4475-BC05-C9801DF7C463}"/>
    <cellStyle name="Calculation 5 8 3 3" xfId="4572" xr:uid="{89DA7CA9-9856-47A2-9143-0EC0B29F932F}"/>
    <cellStyle name="Calculation 5 8 3 4" xfId="4573" xr:uid="{4577C3FC-FC85-40A6-8E82-7A86B42A5765}"/>
    <cellStyle name="Calculation 5 8 4" xfId="4574" xr:uid="{5A3A1D98-C8D8-4881-8E2B-EBD767A10306}"/>
    <cellStyle name="Calculation 5 8 4 2" xfId="4575" xr:uid="{DAAA66C6-DFA5-46EE-A4DB-AB5EF97BCD7D}"/>
    <cellStyle name="Calculation 5 8 4 3" xfId="26348" xr:uid="{18BE19ED-3B45-4BBF-A2DE-ECD5DBFAFF78}"/>
    <cellStyle name="Calculation 5 8 5" xfId="4576" xr:uid="{58769563-0B03-4B49-A0C7-D8DDE495B91E}"/>
    <cellStyle name="Calculation 5 8 5 2" xfId="4577" xr:uid="{E7F7CF26-41BE-4910-9B40-0F932A153169}"/>
    <cellStyle name="Calculation 5 8 5 3" xfId="26349" xr:uid="{1FDAD02F-8A9F-4DD4-8C93-B252F04128B1}"/>
    <cellStyle name="Calculation 5 8 6" xfId="4578" xr:uid="{2D42D56B-2320-42D9-B54D-8F36B4E78C0A}"/>
    <cellStyle name="Calculation 5 8 6 2" xfId="4579" xr:uid="{14BD8A1F-C6B5-4129-8E73-F4CFB70ED7F3}"/>
    <cellStyle name="Calculation 5 8 6 3" xfId="26350" xr:uid="{AEBE9065-388E-46BB-B2E1-37F034EB448E}"/>
    <cellStyle name="Calculation 5 8 7" xfId="4580" xr:uid="{B6F1BAD3-79B5-4B62-9818-EB9FBB3E2838}"/>
    <cellStyle name="Calculation 5 8 7 2" xfId="4581" xr:uid="{6E5AE184-078F-478D-BFF4-B6F1306C1107}"/>
    <cellStyle name="Calculation 5 8 7 3" xfId="26351" xr:uid="{7490F367-5D4F-45B2-9E25-86E685B7B4B8}"/>
    <cellStyle name="Calculation 5 8 8" xfId="4582" xr:uid="{ADEAB84E-FFED-4763-B025-9A9D16A5B45F}"/>
    <cellStyle name="Calculation 5 8 8 2" xfId="4583" xr:uid="{C9846732-F284-4A10-A293-BD1F0334BB18}"/>
    <cellStyle name="Calculation 5 8 8 3" xfId="26352" xr:uid="{5520B93B-195B-4D8F-8A46-10916C88218B}"/>
    <cellStyle name="Calculation 5 8 9" xfId="4584" xr:uid="{BA7D71E4-E1CE-4F62-8531-9D08CD9F099B}"/>
    <cellStyle name="Calculation 5 8 9 2" xfId="4585" xr:uid="{72BD041B-546D-4E5B-AF8F-381FBD37202F}"/>
    <cellStyle name="Calculation 5 8 9 3" xfId="26353" xr:uid="{B3BBCE3F-8CB9-4C23-9711-815F95FB9681}"/>
    <cellStyle name="Calculation 5 9" xfId="4586" xr:uid="{C9380AF8-9F51-43CD-9B31-D3A5B90CCCA4}"/>
    <cellStyle name="Calculation 5 9 10" xfId="4587" xr:uid="{22E0C0A1-2019-4EE8-8D67-6463E2653C33}"/>
    <cellStyle name="Calculation 5 9 10 2" xfId="26354" xr:uid="{5FEFEE80-E61B-4214-9644-0E18B7FD65D1}"/>
    <cellStyle name="Calculation 5 9 10 3" xfId="26355" xr:uid="{8B7429AB-121E-4563-8E74-AFFE37895969}"/>
    <cellStyle name="Calculation 5 9 11" xfId="4588" xr:uid="{C497469A-0C42-45DD-BDBE-1A132802D976}"/>
    <cellStyle name="Calculation 5 9 11 2" xfId="26356" xr:uid="{7EEAA8AC-45D3-43F3-8038-94FEFBC910F7}"/>
    <cellStyle name="Calculation 5 9 12" xfId="26357" xr:uid="{3F89831B-C967-45B2-A3BE-7ECC3A88F587}"/>
    <cellStyle name="Calculation 5 9 2" xfId="4589" xr:uid="{4E754345-C126-4507-ADEE-15EAD123F703}"/>
    <cellStyle name="Calculation 5 9 2 10" xfId="4590" xr:uid="{12899689-8B2E-4C18-8628-ADD2E3C2A8D2}"/>
    <cellStyle name="Calculation 5 9 2 10 2" xfId="26358" xr:uid="{DACD3065-42E6-40B8-85E6-0F878C42A98F}"/>
    <cellStyle name="Calculation 5 9 2 11" xfId="26359" xr:uid="{22805761-E5E8-4ED8-8C47-953098C3CB8A}"/>
    <cellStyle name="Calculation 5 9 2 2" xfId="4591" xr:uid="{7A1E29FF-4482-484B-A957-F8CE052838B3}"/>
    <cellStyle name="Calculation 5 9 2 2 2" xfId="4592" xr:uid="{BA88359C-FEA0-404F-A6BD-A7B264C52DD1}"/>
    <cellStyle name="Calculation 5 9 2 2 3" xfId="4593" xr:uid="{54425DFA-2F0D-4D03-BF48-B79A17BE7110}"/>
    <cellStyle name="Calculation 5 9 2 2 4" xfId="4594" xr:uid="{141B1E55-F021-42C8-905B-A729C1BDFD97}"/>
    <cellStyle name="Calculation 5 9 2 3" xfId="4595" xr:uid="{386EF322-FAE1-475B-ACC6-D2DEB431E656}"/>
    <cellStyle name="Calculation 5 9 2 3 2" xfId="4596" xr:uid="{B1960B00-E571-444B-8179-733F7EB47BA9}"/>
    <cellStyle name="Calculation 5 9 2 3 3" xfId="26360" xr:uid="{FB403EA5-0FF6-4D66-8F3C-0C9CC2DB1486}"/>
    <cellStyle name="Calculation 5 9 2 4" xfId="4597" xr:uid="{C885C456-04FD-4518-B225-D4E130F08762}"/>
    <cellStyle name="Calculation 5 9 2 4 2" xfId="4598" xr:uid="{B3BCCE41-F6FE-441B-9A3C-E4DED994CD04}"/>
    <cellStyle name="Calculation 5 9 2 4 3" xfId="26361" xr:uid="{FE4937FE-E483-469C-B908-1428EEA25774}"/>
    <cellStyle name="Calculation 5 9 2 5" xfId="4599" xr:uid="{F9CAB5ED-6484-48C9-A591-CA4E933FABA3}"/>
    <cellStyle name="Calculation 5 9 2 5 2" xfId="4600" xr:uid="{AAFA32AA-72A0-495B-87F3-F33353E438CF}"/>
    <cellStyle name="Calculation 5 9 2 5 3" xfId="26362" xr:uid="{276D5250-66B1-4785-9F8A-7BBCB1991E14}"/>
    <cellStyle name="Calculation 5 9 2 6" xfId="4601" xr:uid="{50F867EF-4FC2-4B9C-A9D0-384C87DB26EB}"/>
    <cellStyle name="Calculation 5 9 2 6 2" xfId="4602" xr:uid="{BED5242C-C575-44B5-A7A2-ED551143571D}"/>
    <cellStyle name="Calculation 5 9 2 6 3" xfId="26363" xr:uid="{1268FCDE-23CF-4676-BABD-E2548427AA21}"/>
    <cellStyle name="Calculation 5 9 2 7" xfId="4603" xr:uid="{798C5EA0-9E34-49D5-9D10-13FAB22E6F8C}"/>
    <cellStyle name="Calculation 5 9 2 7 2" xfId="4604" xr:uid="{BC0357D4-FB11-4BCE-B608-B477DFD7AD3F}"/>
    <cellStyle name="Calculation 5 9 2 7 3" xfId="26364" xr:uid="{DB3E8DBF-C392-45BE-BFCE-B9A2820C9603}"/>
    <cellStyle name="Calculation 5 9 2 8" xfId="4605" xr:uid="{E8DF9224-7A81-4A3E-987E-CE400C6523B3}"/>
    <cellStyle name="Calculation 5 9 2 8 2" xfId="4606" xr:uid="{44B8C52D-7882-47C7-A35C-90221A07F1DE}"/>
    <cellStyle name="Calculation 5 9 2 8 3" xfId="26365" xr:uid="{8DF04C01-6962-49B8-8960-A5518A44723E}"/>
    <cellStyle name="Calculation 5 9 2 9" xfId="4607" xr:uid="{E9319140-8BC3-4D75-801B-799814653966}"/>
    <cellStyle name="Calculation 5 9 2 9 2" xfId="26366" xr:uid="{AE578C7F-AEDA-4A94-9C59-18EE9920817C}"/>
    <cellStyle name="Calculation 5 9 2 9 3" xfId="26367" xr:uid="{00A9F33B-353A-4780-8A1F-EE4044CC4544}"/>
    <cellStyle name="Calculation 5 9 3" xfId="4608" xr:uid="{9D050FE0-C258-47B4-98ED-0B79F023F6D1}"/>
    <cellStyle name="Calculation 5 9 3 2" xfId="4609" xr:uid="{9F0F99D5-D11A-4B58-B69F-AA7DCF906047}"/>
    <cellStyle name="Calculation 5 9 3 3" xfId="4610" xr:uid="{58A5A191-AF8D-4537-9C3D-09D86986E2E8}"/>
    <cellStyle name="Calculation 5 9 3 4" xfId="4611" xr:uid="{712C0C4D-1F78-4FA3-914D-3AEA2DB9E685}"/>
    <cellStyle name="Calculation 5 9 4" xfId="4612" xr:uid="{00B7B024-2730-4421-AA5E-EF5BCB68E5A6}"/>
    <cellStyle name="Calculation 5 9 4 2" xfId="4613" xr:uid="{64939C3B-E085-4435-8E4D-48F4E6BCFFCF}"/>
    <cellStyle name="Calculation 5 9 4 3" xfId="26368" xr:uid="{D299BD2E-3576-4872-9C22-75927E88A215}"/>
    <cellStyle name="Calculation 5 9 5" xfId="4614" xr:uid="{C632EB4F-4146-42F2-BCDD-325A02DB4308}"/>
    <cellStyle name="Calculation 5 9 5 2" xfId="4615" xr:uid="{DC0A951B-1795-46A3-887D-D943712FB0FA}"/>
    <cellStyle name="Calculation 5 9 5 3" xfId="26369" xr:uid="{1007D766-3F66-4E91-9398-4C4E5B6C6B44}"/>
    <cellStyle name="Calculation 5 9 6" xfId="4616" xr:uid="{B8BA5AAE-94B1-410C-A1CA-B80978E59E4A}"/>
    <cellStyle name="Calculation 5 9 6 2" xfId="4617" xr:uid="{3E11942C-6509-451A-A7A3-8C597226D2B8}"/>
    <cellStyle name="Calculation 5 9 6 3" xfId="26370" xr:uid="{DD3A5CAD-EDD3-4B4F-BF4F-BAA08F9C2A6F}"/>
    <cellStyle name="Calculation 5 9 7" xfId="4618" xr:uid="{B1BC7CEC-E158-40B7-9F2E-16CD1BBBDE83}"/>
    <cellStyle name="Calculation 5 9 7 2" xfId="4619" xr:uid="{3935EC3B-A6A9-410B-B260-6A1AC9ED2D97}"/>
    <cellStyle name="Calculation 5 9 7 3" xfId="26371" xr:uid="{F393003E-87BD-4953-812E-DCB2301818B7}"/>
    <cellStyle name="Calculation 5 9 8" xfId="4620" xr:uid="{DF4919E8-A8E9-4D1F-9DA9-AE6D65EDF960}"/>
    <cellStyle name="Calculation 5 9 8 2" xfId="4621" xr:uid="{B57B320B-35D1-4A30-8DF4-9AE70C73EB87}"/>
    <cellStyle name="Calculation 5 9 8 3" xfId="26372" xr:uid="{2AA369F5-FACF-402F-8521-47B2291BE603}"/>
    <cellStyle name="Calculation 5 9 9" xfId="4622" xr:uid="{1B4CC253-21B7-4BAB-92B3-6156BD8665B2}"/>
    <cellStyle name="Calculation 5 9 9 2" xfId="4623" xr:uid="{4C8DCA19-0F52-4415-8FD0-43363DD7EC5C}"/>
    <cellStyle name="Calculation 5 9 9 3" xfId="26373" xr:uid="{4C739773-67A8-44CE-8640-B70D146C239F}"/>
    <cellStyle name="Calculation 6" xfId="4624" xr:uid="{CE2B2E91-BCFE-43CD-BF59-210469446F25}"/>
    <cellStyle name="Calculation 6 10" xfId="4625" xr:uid="{B9910351-9192-44B9-8665-86BF78078CB0}"/>
    <cellStyle name="Calculation 6 10 10" xfId="4626" xr:uid="{783293C9-26C8-47C5-8EF2-14F7ADB1DCCA}"/>
    <cellStyle name="Calculation 6 10 10 2" xfId="26374" xr:uid="{46F638C9-367A-4D6B-9E29-EDCA3D34CC74}"/>
    <cellStyle name="Calculation 6 10 10 3" xfId="26375" xr:uid="{502A3C67-489B-4AD3-9EFF-E0CD9F4FE330}"/>
    <cellStyle name="Calculation 6 10 11" xfId="4627" xr:uid="{E4D37465-E3BD-481A-BBC1-1C7ECA2085A2}"/>
    <cellStyle name="Calculation 6 10 11 2" xfId="26376" xr:uid="{211649FD-09B6-432F-8400-F5E51C3975C1}"/>
    <cellStyle name="Calculation 6 10 12" xfId="26377" xr:uid="{929A18FC-7D46-45E7-AEA7-F754C5928324}"/>
    <cellStyle name="Calculation 6 10 2" xfId="4628" xr:uid="{0759437F-BFCC-49FA-962B-893B81E8694A}"/>
    <cellStyle name="Calculation 6 10 2 10" xfId="4629" xr:uid="{3A173E26-46DE-438A-8E6A-1E733837761A}"/>
    <cellStyle name="Calculation 6 10 2 10 2" xfId="26378" xr:uid="{EB3E819D-8FF2-4059-95B6-9BB079149375}"/>
    <cellStyle name="Calculation 6 10 2 11" xfId="26379" xr:uid="{1BA256F1-C747-4343-8E6C-7BD95F911645}"/>
    <cellStyle name="Calculation 6 10 2 2" xfId="4630" xr:uid="{A9B9C0C9-EE37-476B-9237-05F6700AE207}"/>
    <cellStyle name="Calculation 6 10 2 2 2" xfId="4631" xr:uid="{423CC795-6CA4-4137-B885-7FF91D13D4BF}"/>
    <cellStyle name="Calculation 6 10 2 2 3" xfId="4632" xr:uid="{11B942EB-8B11-4D2A-A561-56236397C07F}"/>
    <cellStyle name="Calculation 6 10 2 2 4" xfId="4633" xr:uid="{CFF2D65E-F8C0-4797-AAD6-5D1A9656750F}"/>
    <cellStyle name="Calculation 6 10 2 3" xfId="4634" xr:uid="{C444A425-DF97-404D-A81F-83D25BB7236E}"/>
    <cellStyle name="Calculation 6 10 2 3 2" xfId="4635" xr:uid="{72595182-B427-4346-A607-353435792733}"/>
    <cellStyle name="Calculation 6 10 2 3 3" xfId="26380" xr:uid="{C9709710-3C71-497B-B720-82AE9CDD78FF}"/>
    <cellStyle name="Calculation 6 10 2 4" xfId="4636" xr:uid="{81A698BC-2A89-4B27-85F6-929CDB44958D}"/>
    <cellStyle name="Calculation 6 10 2 4 2" xfId="4637" xr:uid="{25B5A002-A539-4B53-B615-73B229554AB1}"/>
    <cellStyle name="Calculation 6 10 2 4 3" xfId="26381" xr:uid="{745EDD53-52F4-4BB0-A0C7-21E586B8A794}"/>
    <cellStyle name="Calculation 6 10 2 5" xfId="4638" xr:uid="{5ED47843-7D24-4C97-87D4-1457BAE34CF0}"/>
    <cellStyle name="Calculation 6 10 2 5 2" xfId="4639" xr:uid="{D5314166-076B-4585-8C14-ACA5E1C19549}"/>
    <cellStyle name="Calculation 6 10 2 5 3" xfId="26382" xr:uid="{F440280A-E840-406F-819F-06E119CFF2DB}"/>
    <cellStyle name="Calculation 6 10 2 6" xfId="4640" xr:uid="{352BB105-FA3B-4625-927F-31F9656A9127}"/>
    <cellStyle name="Calculation 6 10 2 6 2" xfId="4641" xr:uid="{5CB03DE7-4DD2-4F49-BC34-52C5065AFEF6}"/>
    <cellStyle name="Calculation 6 10 2 6 3" xfId="26383" xr:uid="{74E8F8D3-4AFF-4A17-BDCD-F3E07DF99A9C}"/>
    <cellStyle name="Calculation 6 10 2 7" xfId="4642" xr:uid="{DC9CBBDF-B8C6-4D32-B8B9-CB2AEDFABFDE}"/>
    <cellStyle name="Calculation 6 10 2 7 2" xfId="4643" xr:uid="{36B5B3D2-5BE8-4921-9185-1235759C1F78}"/>
    <cellStyle name="Calculation 6 10 2 7 3" xfId="26384" xr:uid="{B169F9A1-0567-4A48-A8ED-3A3E21E696BE}"/>
    <cellStyle name="Calculation 6 10 2 8" xfId="4644" xr:uid="{DDAA9902-7738-4CB2-8FAC-EE06BD831670}"/>
    <cellStyle name="Calculation 6 10 2 8 2" xfId="4645" xr:uid="{529B795F-36E9-4E8E-A8C6-17DEAF0D894D}"/>
    <cellStyle name="Calculation 6 10 2 8 3" xfId="26385" xr:uid="{D964989A-BE23-4A70-91A9-3A47C7C9F396}"/>
    <cellStyle name="Calculation 6 10 2 9" xfId="4646" xr:uid="{3EA51975-17B6-4181-B183-8DC738E4019B}"/>
    <cellStyle name="Calculation 6 10 2 9 2" xfId="26386" xr:uid="{8F887095-9391-4296-9373-460E307D9297}"/>
    <cellStyle name="Calculation 6 10 2 9 3" xfId="26387" xr:uid="{1230AC0B-2AEA-467D-97FC-AD673FEFA478}"/>
    <cellStyle name="Calculation 6 10 3" xfId="4647" xr:uid="{7D412D96-5943-4134-9539-1F994B6F9F52}"/>
    <cellStyle name="Calculation 6 10 3 2" xfId="4648" xr:uid="{8E02C202-0524-49B9-976A-F8573444FAA6}"/>
    <cellStyle name="Calculation 6 10 3 3" xfId="4649" xr:uid="{DD85A84D-9A78-4C31-B677-FF48C71E0F6A}"/>
    <cellStyle name="Calculation 6 10 3 4" xfId="4650" xr:uid="{73B0F3FE-8CEE-4879-B2B9-392B0CE59C81}"/>
    <cellStyle name="Calculation 6 10 4" xfId="4651" xr:uid="{FD92FCB6-8098-4B7B-B225-E1D2263CCA03}"/>
    <cellStyle name="Calculation 6 10 4 2" xfId="4652" xr:uid="{FE393023-D668-4E46-AA36-5A223A534089}"/>
    <cellStyle name="Calculation 6 10 4 3" xfId="26388" xr:uid="{A8F575FD-7CCA-4CEB-B477-88A22C090F35}"/>
    <cellStyle name="Calculation 6 10 5" xfId="4653" xr:uid="{50EFE137-2C1E-47E8-9A51-855AD2B35160}"/>
    <cellStyle name="Calculation 6 10 5 2" xfId="4654" xr:uid="{DF006A3A-14CD-459E-A09E-2BDF9674F30B}"/>
    <cellStyle name="Calculation 6 10 5 3" xfId="26389" xr:uid="{2FC5BCDC-8AD2-456A-83FB-611646AF05D4}"/>
    <cellStyle name="Calculation 6 10 6" xfId="4655" xr:uid="{0B13299B-BCE2-4DD1-82ED-07D819D912C7}"/>
    <cellStyle name="Calculation 6 10 6 2" xfId="4656" xr:uid="{525470AF-FB88-4153-8029-54C36A414E0F}"/>
    <cellStyle name="Calculation 6 10 6 3" xfId="26390" xr:uid="{6D1C71F5-722A-4610-B1FF-F88869EE4FBA}"/>
    <cellStyle name="Calculation 6 10 7" xfId="4657" xr:uid="{9C6FB84F-1F4D-4062-8B2B-ED10A0CB9F01}"/>
    <cellStyle name="Calculation 6 10 7 2" xfId="4658" xr:uid="{FAC99132-8A55-4CE2-87B4-2129AA9C623D}"/>
    <cellStyle name="Calculation 6 10 7 3" xfId="26391" xr:uid="{CA12A7EA-1B2E-40F2-AF0D-171687F64751}"/>
    <cellStyle name="Calculation 6 10 8" xfId="4659" xr:uid="{0BBCCB79-0646-43DE-8ED1-3E8765CE26DA}"/>
    <cellStyle name="Calculation 6 10 8 2" xfId="4660" xr:uid="{CE6F10AB-3055-4451-A55D-A3C825353756}"/>
    <cellStyle name="Calculation 6 10 8 3" xfId="26392" xr:uid="{66011F2C-6DD7-4FE8-9273-2C23181492A1}"/>
    <cellStyle name="Calculation 6 10 9" xfId="4661" xr:uid="{E49A3C49-74DF-4E17-A2FA-CE5A9B596F03}"/>
    <cellStyle name="Calculation 6 10 9 2" xfId="4662" xr:uid="{9A5FA012-C18A-426F-A95D-9705FFDE8482}"/>
    <cellStyle name="Calculation 6 10 9 3" xfId="26393" xr:uid="{F1408BD0-0FF3-4AEB-9221-E64919196B12}"/>
    <cellStyle name="Calculation 6 11" xfId="4663" xr:uid="{05C919DF-A64D-4A34-856B-0D962B06DAF8}"/>
    <cellStyle name="Calculation 6 11 10" xfId="4664" xr:uid="{2845C950-375F-4C8A-88F4-66C95B56D218}"/>
    <cellStyle name="Calculation 6 11 10 2" xfId="26394" xr:uid="{1711278B-2984-42D5-8FF4-522A211E17A1}"/>
    <cellStyle name="Calculation 6 11 10 3" xfId="26395" xr:uid="{8C293E98-BB06-4D70-9A85-D48242CA1444}"/>
    <cellStyle name="Calculation 6 11 11" xfId="4665" xr:uid="{1646564C-F908-4B30-AB50-EE2B4C2F8180}"/>
    <cellStyle name="Calculation 6 11 11 2" xfId="26396" xr:uid="{C7EAE8AA-3BEA-4D8C-93F7-83769432E707}"/>
    <cellStyle name="Calculation 6 11 12" xfId="26397" xr:uid="{8436C5E2-C32F-4155-803B-54A0ACD643C4}"/>
    <cellStyle name="Calculation 6 11 2" xfId="4666" xr:uid="{D12CBCC9-21C6-4455-B4C9-FFAAD2C8A181}"/>
    <cellStyle name="Calculation 6 11 2 10" xfId="4667" xr:uid="{E33CCBAD-22B1-48C5-B794-05A10484CE47}"/>
    <cellStyle name="Calculation 6 11 2 10 2" xfId="26398" xr:uid="{FA5B9288-0F6F-4D4B-910E-EE61BC52AA8D}"/>
    <cellStyle name="Calculation 6 11 2 11" xfId="26399" xr:uid="{51E57961-9B1B-4AFC-A1E2-1F3082E468A5}"/>
    <cellStyle name="Calculation 6 11 2 2" xfId="4668" xr:uid="{B77E1A1E-49E9-434A-AC95-E87E358C4B3E}"/>
    <cellStyle name="Calculation 6 11 2 2 2" xfId="4669" xr:uid="{F3A66747-09A0-4472-8F5E-6F259CD470EE}"/>
    <cellStyle name="Calculation 6 11 2 2 3" xfId="4670" xr:uid="{516D033E-CF6A-4707-BE91-398489FD3217}"/>
    <cellStyle name="Calculation 6 11 2 2 4" xfId="4671" xr:uid="{495F6375-CDC4-4502-A138-9990A20EB23F}"/>
    <cellStyle name="Calculation 6 11 2 3" xfId="4672" xr:uid="{AB7D4C64-6AC8-439F-A146-FF8D57AD397B}"/>
    <cellStyle name="Calculation 6 11 2 3 2" xfId="4673" xr:uid="{1178F262-83EE-4646-8F07-FD7AF37956B8}"/>
    <cellStyle name="Calculation 6 11 2 3 3" xfId="26400" xr:uid="{EA6C5452-2731-451A-9AFC-4C1AD95D9154}"/>
    <cellStyle name="Calculation 6 11 2 4" xfId="4674" xr:uid="{66397618-3BFC-4C13-9F16-A6F15CADFF97}"/>
    <cellStyle name="Calculation 6 11 2 4 2" xfId="4675" xr:uid="{57E7AD81-3BA6-45CC-AD2D-3A1049FF1045}"/>
    <cellStyle name="Calculation 6 11 2 4 3" xfId="26401" xr:uid="{8A78F2C4-C635-4948-B9E0-F45F9C058555}"/>
    <cellStyle name="Calculation 6 11 2 5" xfId="4676" xr:uid="{9ED2741B-051A-45D1-9596-1608C9A4F42B}"/>
    <cellStyle name="Calculation 6 11 2 5 2" xfId="4677" xr:uid="{277EE826-98DE-4FB7-8FE4-0CC9EFC1A6ED}"/>
    <cellStyle name="Calculation 6 11 2 5 3" xfId="26402" xr:uid="{3659F8E8-5E18-474F-AEDC-64A092C9AA39}"/>
    <cellStyle name="Calculation 6 11 2 6" xfId="4678" xr:uid="{CEBB7B24-0E1C-4148-A71B-7536E3741B92}"/>
    <cellStyle name="Calculation 6 11 2 6 2" xfId="4679" xr:uid="{1CECE4AE-88C2-4BFC-AE2E-4DB6DAD28D4D}"/>
    <cellStyle name="Calculation 6 11 2 6 3" xfId="26403" xr:uid="{8574F5D9-B349-44E9-9CB1-A4BEC22448DC}"/>
    <cellStyle name="Calculation 6 11 2 7" xfId="4680" xr:uid="{8154AF72-3B73-411F-9F86-F6945BC5E7FE}"/>
    <cellStyle name="Calculation 6 11 2 7 2" xfId="4681" xr:uid="{5DEC368E-03C2-429C-AA06-758A39EF90AE}"/>
    <cellStyle name="Calculation 6 11 2 7 3" xfId="26404" xr:uid="{34B3D218-F879-407B-B6FD-207A6FACA0D4}"/>
    <cellStyle name="Calculation 6 11 2 8" xfId="4682" xr:uid="{78494921-53EF-4DD5-B8C3-5BA61D0144F2}"/>
    <cellStyle name="Calculation 6 11 2 8 2" xfId="4683" xr:uid="{80337C48-5C06-476C-9640-3AEFB0445E0D}"/>
    <cellStyle name="Calculation 6 11 2 8 3" xfId="26405" xr:uid="{79C1C942-8F42-4742-B8F2-279445E24BAC}"/>
    <cellStyle name="Calculation 6 11 2 9" xfId="4684" xr:uid="{DF9E1DAE-DCAE-4A65-8AEC-B6A77D06AE76}"/>
    <cellStyle name="Calculation 6 11 2 9 2" xfId="26406" xr:uid="{66CBFA2A-1B48-42CA-8E81-5D08A45FA5EF}"/>
    <cellStyle name="Calculation 6 11 2 9 3" xfId="26407" xr:uid="{8C478304-2B57-45B5-8E12-892B621BEB41}"/>
    <cellStyle name="Calculation 6 11 3" xfId="4685" xr:uid="{F691CF73-400A-43D9-96E6-C857256E66F2}"/>
    <cellStyle name="Calculation 6 11 3 2" xfId="4686" xr:uid="{191724FA-EF35-4826-83EB-12DFEF013C8B}"/>
    <cellStyle name="Calculation 6 11 3 3" xfId="4687" xr:uid="{39E66393-6158-432E-994E-C722F7F60667}"/>
    <cellStyle name="Calculation 6 11 3 4" xfId="4688" xr:uid="{2DF50F43-9982-4CD9-9150-E366552707FD}"/>
    <cellStyle name="Calculation 6 11 4" xfId="4689" xr:uid="{9A3FA9B7-171A-47D1-A46A-FD201C88E67F}"/>
    <cellStyle name="Calculation 6 11 4 2" xfId="4690" xr:uid="{6BF3D65B-147F-44A2-A62A-3E1E650B4699}"/>
    <cellStyle name="Calculation 6 11 4 3" xfId="26408" xr:uid="{FA38143E-86FE-4EAE-A685-EC22A519A769}"/>
    <cellStyle name="Calculation 6 11 5" xfId="4691" xr:uid="{92C13434-7908-4F20-9A6B-FB3951219510}"/>
    <cellStyle name="Calculation 6 11 5 2" xfId="4692" xr:uid="{9860A80D-2FEA-4F64-8176-56F169D5C31B}"/>
    <cellStyle name="Calculation 6 11 5 3" xfId="26409" xr:uid="{CCCA22C5-9F6B-4BFB-89D3-18BE65BA5A17}"/>
    <cellStyle name="Calculation 6 11 6" xfId="4693" xr:uid="{97386718-6A2A-4821-85E0-A47314407CE1}"/>
    <cellStyle name="Calculation 6 11 6 2" xfId="4694" xr:uid="{827F23D0-DAB3-4CC3-AACE-9957C9561B1C}"/>
    <cellStyle name="Calculation 6 11 6 3" xfId="26410" xr:uid="{10147507-EEC4-4AE9-B492-D45F9FFF2BA6}"/>
    <cellStyle name="Calculation 6 11 7" xfId="4695" xr:uid="{8F28C4A5-FFE3-44B7-ADDC-74008D699F92}"/>
    <cellStyle name="Calculation 6 11 7 2" xfId="4696" xr:uid="{FA850EF0-1A10-4880-8886-A9FC6C5F52F8}"/>
    <cellStyle name="Calculation 6 11 7 3" xfId="26411" xr:uid="{7A93D3D8-540A-46F8-8B96-C44D258E3C04}"/>
    <cellStyle name="Calculation 6 11 8" xfId="4697" xr:uid="{3421AB5B-7A75-485F-A63E-08C1863921EF}"/>
    <cellStyle name="Calculation 6 11 8 2" xfId="4698" xr:uid="{53AB3786-478E-4068-A5A2-0EDF71688873}"/>
    <cellStyle name="Calculation 6 11 8 3" xfId="26412" xr:uid="{48C69FEB-9C83-4F71-ABCE-FB2999B5F27D}"/>
    <cellStyle name="Calculation 6 11 9" xfId="4699" xr:uid="{66747F2E-8440-4BD0-87BC-08FD038AA364}"/>
    <cellStyle name="Calculation 6 11 9 2" xfId="4700" xr:uid="{CECABB8C-AFE6-438B-AD17-CDE682D737ED}"/>
    <cellStyle name="Calculation 6 11 9 3" xfId="26413" xr:uid="{B6631FDE-6389-47B5-A69F-6F28758FA58C}"/>
    <cellStyle name="Calculation 6 12" xfId="4701" xr:uid="{66166CA0-1B43-47E6-85D1-60F5A8B90DD2}"/>
    <cellStyle name="Calculation 6 12 10" xfId="4702" xr:uid="{993A52A1-3057-4BC2-9E22-8CE993F281B7}"/>
    <cellStyle name="Calculation 6 12 10 2" xfId="26414" xr:uid="{75BF8E9C-823D-4C2B-830C-170E31DA54D4}"/>
    <cellStyle name="Calculation 6 12 11" xfId="26415" xr:uid="{DBFC1381-A20E-4F10-95BB-55A245FE01AF}"/>
    <cellStyle name="Calculation 6 12 2" xfId="4703" xr:uid="{E2D77776-2618-42C5-A0FD-A0D59CFAFA11}"/>
    <cellStyle name="Calculation 6 12 2 2" xfId="4704" xr:uid="{2EB9B1E0-5C83-4922-8065-A749ACB9A634}"/>
    <cellStyle name="Calculation 6 12 2 3" xfId="4705" xr:uid="{E17D918B-2596-43DD-8277-36558EB8319B}"/>
    <cellStyle name="Calculation 6 12 2 4" xfId="4706" xr:uid="{4D40D923-F8EA-4ADB-880C-D05FC8796F6A}"/>
    <cellStyle name="Calculation 6 12 3" xfId="4707" xr:uid="{46BCB30A-1E1D-489D-B065-5E0A2904670D}"/>
    <cellStyle name="Calculation 6 12 3 2" xfId="4708" xr:uid="{69BA1370-48BF-4AED-B6C8-8BC2F8FCE0EA}"/>
    <cellStyle name="Calculation 6 12 3 3" xfId="26416" xr:uid="{256DC39E-6019-49B2-A089-0577777841AD}"/>
    <cellStyle name="Calculation 6 12 4" xfId="4709" xr:uid="{8A4AEA5D-3DE7-40A3-883D-E25D8641DD00}"/>
    <cellStyle name="Calculation 6 12 4 2" xfId="4710" xr:uid="{008D227D-7481-4722-AE8A-5ABE57BE74C7}"/>
    <cellStyle name="Calculation 6 12 4 3" xfId="26417" xr:uid="{3794DE8E-B130-44AD-9D4B-9464954A539C}"/>
    <cellStyle name="Calculation 6 12 5" xfId="4711" xr:uid="{ABB72F39-F985-4656-8CF1-2914FEE2F249}"/>
    <cellStyle name="Calculation 6 12 5 2" xfId="4712" xr:uid="{8250510F-6C52-4B62-8DF3-B590B157426F}"/>
    <cellStyle name="Calculation 6 12 5 3" xfId="26418" xr:uid="{6B620762-5859-4B96-BE47-4AE0F4BDB0EF}"/>
    <cellStyle name="Calculation 6 12 6" xfId="4713" xr:uid="{1633A3EE-A695-4E06-9286-6FF3184D1DBE}"/>
    <cellStyle name="Calculation 6 12 6 2" xfId="4714" xr:uid="{D36E06CC-0A7E-4F58-BBC0-FBB34723FB84}"/>
    <cellStyle name="Calculation 6 12 6 3" xfId="26419" xr:uid="{A827DA75-48FC-4007-8560-8D011D2B619C}"/>
    <cellStyle name="Calculation 6 12 7" xfId="4715" xr:uid="{684BB1D2-147B-481D-9E89-BE57F24999EF}"/>
    <cellStyle name="Calculation 6 12 7 2" xfId="4716" xr:uid="{8D45DADC-8CA4-4FE0-B6FA-C8B39F33DDE6}"/>
    <cellStyle name="Calculation 6 12 7 3" xfId="26420" xr:uid="{09FE8108-82FD-4EBD-B2A9-BCD06AE459BB}"/>
    <cellStyle name="Calculation 6 12 8" xfId="4717" xr:uid="{5E450A51-E7FE-41D0-B32A-4AACA503CF2C}"/>
    <cellStyle name="Calculation 6 12 8 2" xfId="4718" xr:uid="{AC020135-CD9B-44E3-BAF2-EE359ACD6E57}"/>
    <cellStyle name="Calculation 6 12 8 3" xfId="26421" xr:uid="{D1C84A58-1F00-4910-82F9-62742A0A2A07}"/>
    <cellStyle name="Calculation 6 12 9" xfId="4719" xr:uid="{1DAAA793-96F4-44D5-9AF5-24B30290E6C4}"/>
    <cellStyle name="Calculation 6 12 9 2" xfId="26422" xr:uid="{60A38A98-765B-4983-995B-B6B52750FC98}"/>
    <cellStyle name="Calculation 6 12 9 3" xfId="26423" xr:uid="{17BEA444-03AB-4AEB-AE50-83B3AF7C3787}"/>
    <cellStyle name="Calculation 6 13" xfId="4720" xr:uid="{BEA48E31-3959-40D9-BF24-3B477BE3053D}"/>
    <cellStyle name="Calculation 6 13 2" xfId="4721" xr:uid="{5CF2FDC4-2AE8-4300-AB2F-AE31671C4276}"/>
    <cellStyle name="Calculation 6 13 3" xfId="4722" xr:uid="{36208518-F05B-453E-B7D6-9B864A41C67D}"/>
    <cellStyle name="Calculation 6 13 4" xfId="4723" xr:uid="{57FF863C-BA1E-4EAE-90B5-830FEF7806D3}"/>
    <cellStyle name="Calculation 6 14" xfId="4724" xr:uid="{857A8CB8-1138-4688-816D-124C542FDDED}"/>
    <cellStyle name="Calculation 6 14 2" xfId="4725" xr:uid="{1E2762E0-1590-4AE5-9253-488B037029DB}"/>
    <cellStyle name="Calculation 6 14 3" xfId="26424" xr:uid="{19E56D67-B414-4110-A578-CD0F1CF54A8E}"/>
    <cellStyle name="Calculation 6 15" xfId="4726" xr:uid="{7A4B6136-D3CC-4D26-8CC1-E01FE38A6E26}"/>
    <cellStyle name="Calculation 6 15 2" xfId="4727" xr:uid="{E95313F7-A839-4B3A-B59C-14A45CF238F9}"/>
    <cellStyle name="Calculation 6 15 3" xfId="26425" xr:uid="{56B4703C-590F-42BA-8252-E0FD2E9C978A}"/>
    <cellStyle name="Calculation 6 16" xfId="4728" xr:uid="{854939FF-E7C4-493F-9F14-B4E01905C4E6}"/>
    <cellStyle name="Calculation 6 16 2" xfId="4729" xr:uid="{9E5FC33C-2615-49FB-AC7C-FA989507D544}"/>
    <cellStyle name="Calculation 6 16 3" xfId="26426" xr:uid="{8D0A3554-6A99-4721-984C-CE4B7205B401}"/>
    <cellStyle name="Calculation 6 17" xfId="4730" xr:uid="{A55BC5A3-DB3E-46E3-B482-685BB6677C2E}"/>
    <cellStyle name="Calculation 6 17 2" xfId="4731" xr:uid="{3F600590-5E07-4436-9496-19E11C2854CE}"/>
    <cellStyle name="Calculation 6 17 3" xfId="26427" xr:uid="{127DBF82-C389-4E21-9862-E23A635FF269}"/>
    <cellStyle name="Calculation 6 18" xfId="4732" xr:uid="{4A4F2DB0-8DAB-45FB-A592-B241632F64DB}"/>
    <cellStyle name="Calculation 6 18 2" xfId="4733" xr:uid="{41A706C9-28A1-40B7-8AD3-88A4E413EC42}"/>
    <cellStyle name="Calculation 6 18 3" xfId="26428" xr:uid="{9AC4EE92-DE7A-4B2D-8FA9-0BCD09A6B916}"/>
    <cellStyle name="Calculation 6 19" xfId="4734" xr:uid="{D6DA4129-BC37-451A-92F5-4076E99B38F9}"/>
    <cellStyle name="Calculation 6 19 2" xfId="4735" xr:uid="{D9FEF5E9-557F-4908-ADC7-EC82743EA1E1}"/>
    <cellStyle name="Calculation 6 19 3" xfId="26429" xr:uid="{8BB93CE5-38C2-473D-B4E9-E4F378DEBE8A}"/>
    <cellStyle name="Calculation 6 2" xfId="4736" xr:uid="{9C82211F-EF1B-44A8-950D-4068C68C23CE}"/>
    <cellStyle name="Calculation 6 2 10" xfId="4737" xr:uid="{53ECAE3C-75CF-440E-85CB-4AC6C1E525C5}"/>
    <cellStyle name="Calculation 6 2 10 2" xfId="26430" xr:uid="{BC130FA7-AC99-4822-9315-07EB6A9CFDDA}"/>
    <cellStyle name="Calculation 6 2 10 3" xfId="26431" xr:uid="{95B14B71-4C19-4FAA-90AB-CBF4178D428A}"/>
    <cellStyle name="Calculation 6 2 11" xfId="4738" xr:uid="{87DD52E0-EA42-4A48-A502-B2BBD5413822}"/>
    <cellStyle name="Calculation 6 2 11 2" xfId="26432" xr:uid="{DB827848-A7BC-467C-88A8-1D8209F1B15C}"/>
    <cellStyle name="Calculation 6 2 12" xfId="26433" xr:uid="{CBC79B86-2048-4987-BEF4-9EA1E176F6AD}"/>
    <cellStyle name="Calculation 6 2 13" xfId="26434" xr:uid="{E65445BC-CC6D-41D5-85EB-CB9BCEF4386D}"/>
    <cellStyle name="Calculation 6 2 14" xfId="26435" xr:uid="{904EC048-25A2-4B65-89A6-D091580E7332}"/>
    <cellStyle name="Calculation 6 2 2" xfId="4739" xr:uid="{587CD095-8143-460A-8086-68BB9C8F1319}"/>
    <cellStyle name="Calculation 6 2 2 10" xfId="4740" xr:uid="{804459F7-4DB4-4DCA-B9DD-276A4C0877BC}"/>
    <cellStyle name="Calculation 6 2 2 10 2" xfId="26436" xr:uid="{A03F894F-ED4D-4005-AC89-294BDA83DE7D}"/>
    <cellStyle name="Calculation 6 2 2 11" xfId="26437" xr:uid="{95258288-D57D-47D2-AAEE-00FA695F5845}"/>
    <cellStyle name="Calculation 6 2 2 2" xfId="4741" xr:uid="{B5D1838F-7110-42F2-A55C-589F1A4F3EE9}"/>
    <cellStyle name="Calculation 6 2 2 2 2" xfId="4742" xr:uid="{B11209FE-EAAB-4166-9561-5F36EE17B5AB}"/>
    <cellStyle name="Calculation 6 2 2 2 3" xfId="4743" xr:uid="{3A67160D-770D-43E2-93A1-0ECCDEDFCE5B}"/>
    <cellStyle name="Calculation 6 2 2 2 4" xfId="4744" xr:uid="{C5A85B3C-98C8-4834-8AFB-E947BDC059E5}"/>
    <cellStyle name="Calculation 6 2 2 3" xfId="4745" xr:uid="{00B2A61F-A4C7-4265-BC9F-B05F503DF2B4}"/>
    <cellStyle name="Calculation 6 2 2 3 2" xfId="4746" xr:uid="{83A331F6-FF6F-4570-BC5F-E334F24D7A7A}"/>
    <cellStyle name="Calculation 6 2 2 3 3" xfId="26438" xr:uid="{43AF2DD1-1C2D-4899-94E6-DF6C3DC523A0}"/>
    <cellStyle name="Calculation 6 2 2 4" xfId="4747" xr:uid="{8D8BDBDF-A61B-4BED-985C-423C29A22142}"/>
    <cellStyle name="Calculation 6 2 2 4 2" xfId="4748" xr:uid="{ECFDCDAD-0326-41E3-9157-E66CE4388AC1}"/>
    <cellStyle name="Calculation 6 2 2 4 3" xfId="26439" xr:uid="{A609B77F-3A27-4CA5-8C41-951AA661FAB4}"/>
    <cellStyle name="Calculation 6 2 2 5" xfId="4749" xr:uid="{8F91D517-572A-410C-9485-36C1FDB6648D}"/>
    <cellStyle name="Calculation 6 2 2 5 2" xfId="4750" xr:uid="{3589988D-0FEA-4646-8F9B-4803438D5A87}"/>
    <cellStyle name="Calculation 6 2 2 5 3" xfId="26440" xr:uid="{1CC7F461-21E2-4130-BAC2-7C9A1D643915}"/>
    <cellStyle name="Calculation 6 2 2 6" xfId="4751" xr:uid="{95FFD58C-1141-4B6C-BD2B-587CD584D4FF}"/>
    <cellStyle name="Calculation 6 2 2 6 2" xfId="4752" xr:uid="{5CDA8867-6460-45FD-9CA8-52E8064C5EA7}"/>
    <cellStyle name="Calculation 6 2 2 6 3" xfId="26441" xr:uid="{53812FDB-F55A-44FE-A673-800479ECFABD}"/>
    <cellStyle name="Calculation 6 2 2 7" xfId="4753" xr:uid="{6BA5F1B4-D3FE-4361-A87C-2402AE3D6966}"/>
    <cellStyle name="Calculation 6 2 2 7 2" xfId="4754" xr:uid="{5082F1F1-DD47-43A7-A30B-EB7085BB9394}"/>
    <cellStyle name="Calculation 6 2 2 7 3" xfId="26442" xr:uid="{02182F0C-91B5-4BC2-9680-CDE260D91B65}"/>
    <cellStyle name="Calculation 6 2 2 8" xfId="4755" xr:uid="{FC553899-0726-49EF-9242-D3384AE92A1D}"/>
    <cellStyle name="Calculation 6 2 2 8 2" xfId="4756" xr:uid="{094D6838-A2C9-4BD6-9D5E-EF0979FC894A}"/>
    <cellStyle name="Calculation 6 2 2 8 3" xfId="26443" xr:uid="{DD7F240D-244F-4546-B653-82F3DC37F7A3}"/>
    <cellStyle name="Calculation 6 2 2 9" xfId="4757" xr:uid="{799B1EBF-19DE-4E17-9127-88EE9C5549AA}"/>
    <cellStyle name="Calculation 6 2 2 9 2" xfId="26444" xr:uid="{C665BD17-9A1F-4D5D-85B1-D4BFD518C1D6}"/>
    <cellStyle name="Calculation 6 2 2 9 3" xfId="26445" xr:uid="{07BE3AE4-CCB8-4C82-8E38-DCC99D530DDB}"/>
    <cellStyle name="Calculation 6 2 3" xfId="4758" xr:uid="{5B31CA4F-1B3D-4532-BDAA-23E57EB7FABC}"/>
    <cellStyle name="Calculation 6 2 3 2" xfId="4759" xr:uid="{9962425B-D3C0-4F71-A2FE-AE18DC9235B0}"/>
    <cellStyle name="Calculation 6 2 3 3" xfId="4760" xr:uid="{857F9E45-6616-4CD0-9F5D-81AE637002AE}"/>
    <cellStyle name="Calculation 6 2 3 4" xfId="4761" xr:uid="{1F2E7C2A-4F6D-47FD-B0A1-CC59F2796971}"/>
    <cellStyle name="Calculation 6 2 4" xfId="4762" xr:uid="{914DF5FF-9468-4E81-B8D4-49F36851D0AC}"/>
    <cellStyle name="Calculation 6 2 4 2" xfId="4763" xr:uid="{5293A347-EB33-441F-90E8-ECCB9AEC773F}"/>
    <cellStyle name="Calculation 6 2 4 3" xfId="26446" xr:uid="{2FA6D211-6869-4AD3-84FF-6DAE13D761A4}"/>
    <cellStyle name="Calculation 6 2 5" xfId="4764" xr:uid="{FBB0FAD2-9802-421D-9C4F-9A6B5270D21A}"/>
    <cellStyle name="Calculation 6 2 5 2" xfId="4765" xr:uid="{197C8FA7-2CF2-499F-AEAC-2DF64C29453A}"/>
    <cellStyle name="Calculation 6 2 5 3" xfId="26447" xr:uid="{651FB60C-C214-4CD8-823C-16128CDD397B}"/>
    <cellStyle name="Calculation 6 2 6" xfId="4766" xr:uid="{9467E170-DC97-4D01-847C-95541EC45058}"/>
    <cellStyle name="Calculation 6 2 6 2" xfId="4767" xr:uid="{E6F0D4A2-4A94-4B6D-BAF1-14B0A9D14C16}"/>
    <cellStyle name="Calculation 6 2 6 3" xfId="26448" xr:uid="{31F4603D-7DC3-4FFB-A2B9-A11076EC5EAA}"/>
    <cellStyle name="Calculation 6 2 7" xfId="4768" xr:uid="{85EC8662-0CFC-4451-8697-D6B45695B5BC}"/>
    <cellStyle name="Calculation 6 2 7 2" xfId="4769" xr:uid="{8BFB7E08-97AC-4E1E-8131-BFCFCBAED94D}"/>
    <cellStyle name="Calculation 6 2 7 3" xfId="26449" xr:uid="{8FF7CE4D-B250-483D-A9FD-2984405B80C6}"/>
    <cellStyle name="Calculation 6 2 8" xfId="4770" xr:uid="{4DE9C2AE-549A-490D-8CCA-5C5EC43B57B6}"/>
    <cellStyle name="Calculation 6 2 8 2" xfId="4771" xr:uid="{C718D313-B0BE-4082-9C57-BC50B8C80DE3}"/>
    <cellStyle name="Calculation 6 2 8 3" xfId="26450" xr:uid="{BB3ED928-B12E-4623-9912-2D530957B85C}"/>
    <cellStyle name="Calculation 6 2 9" xfId="4772" xr:uid="{560D1FAA-36C6-4653-BE00-BAC43152EDE2}"/>
    <cellStyle name="Calculation 6 2 9 2" xfId="4773" xr:uid="{8B94B3A0-2D7F-46C2-9F7D-97D16CDEAC54}"/>
    <cellStyle name="Calculation 6 2 9 3" xfId="26451" xr:uid="{F0C2FDF5-352C-4ED0-A093-2ACE25718222}"/>
    <cellStyle name="Calculation 6 20" xfId="4774" xr:uid="{986D0F1B-2415-4B78-8D17-83DE5B40608B}"/>
    <cellStyle name="Calculation 6 20 2" xfId="26452" xr:uid="{9E67DCB2-2E53-4B47-86DD-A8423E4FFCDA}"/>
    <cellStyle name="Calculation 6 20 3" xfId="26453" xr:uid="{4F1F1762-7ED1-4090-99AF-922BF89D823D}"/>
    <cellStyle name="Calculation 6 21" xfId="4775" xr:uid="{FC4B6391-5705-4973-9710-F477FF61ED35}"/>
    <cellStyle name="Calculation 6 21 2" xfId="26454" xr:uid="{7DF42169-AB5D-4D91-9744-92A628BE70D4}"/>
    <cellStyle name="Calculation 6 22" xfId="26455" xr:uid="{F9305D57-D657-4845-BB54-0E99BCF07A05}"/>
    <cellStyle name="Calculation 6 23" xfId="26456" xr:uid="{C014F691-4F3F-4BA2-A16D-12516A997CC3}"/>
    <cellStyle name="Calculation 6 24" xfId="26457" xr:uid="{8EEF06AF-A3C2-45F7-BF1D-3CC2E3C2266C}"/>
    <cellStyle name="Calculation 6 25" xfId="42387" xr:uid="{80C71680-14F3-4F62-ACF4-F8295347BBC2}"/>
    <cellStyle name="Calculation 6 26" xfId="42838" xr:uid="{A5127E37-A5A2-45AE-9F31-B5E0AA1D30A6}"/>
    <cellStyle name="Calculation 6 27" xfId="43544" xr:uid="{73656632-339B-43AC-8FB7-B45D7915649A}"/>
    <cellStyle name="Calculation 6 3" xfId="4776" xr:uid="{9590C920-8C41-45E4-8AB2-F00C31B00C22}"/>
    <cellStyle name="Calculation 6 3 10" xfId="4777" xr:uid="{1AFCBFF8-9892-4586-846D-51DD8C7CB556}"/>
    <cellStyle name="Calculation 6 3 10 2" xfId="26458" xr:uid="{41D9417D-85B9-48E8-8531-4F9E2BF3F2AE}"/>
    <cellStyle name="Calculation 6 3 10 3" xfId="26459" xr:uid="{99557817-C9AF-471E-AC0C-21ADF9DB4124}"/>
    <cellStyle name="Calculation 6 3 11" xfId="4778" xr:uid="{596375F5-42CC-4DBE-921D-594EEE258757}"/>
    <cellStyle name="Calculation 6 3 11 2" xfId="26460" xr:uid="{4860FB13-B12B-49FF-900A-08EEB2822D17}"/>
    <cellStyle name="Calculation 6 3 12" xfId="26461" xr:uid="{4EEC9596-7490-4CBB-8B39-82F69BCC59B7}"/>
    <cellStyle name="Calculation 6 3 2" xfId="4779" xr:uid="{E841A621-3B42-47F3-A688-74B4ABD3C934}"/>
    <cellStyle name="Calculation 6 3 2 10" xfId="4780" xr:uid="{B1752AE1-6DA7-4676-A11E-AFF8236772A1}"/>
    <cellStyle name="Calculation 6 3 2 10 2" xfId="26462" xr:uid="{33EB74C9-20D4-4C8B-9769-46390E8B8681}"/>
    <cellStyle name="Calculation 6 3 2 11" xfId="26463" xr:uid="{DEB01737-8662-438A-B4CE-14E6F0E4D4C3}"/>
    <cellStyle name="Calculation 6 3 2 2" xfId="4781" xr:uid="{AC5A0643-6650-40AD-A7A9-6981EAC32A3A}"/>
    <cellStyle name="Calculation 6 3 2 2 2" xfId="4782" xr:uid="{3E4761EC-E2C8-469D-8E8F-9C446D8803A8}"/>
    <cellStyle name="Calculation 6 3 2 2 3" xfId="4783" xr:uid="{ADA09FB7-8D2C-4218-A4B3-7B60DFC35298}"/>
    <cellStyle name="Calculation 6 3 2 2 4" xfId="4784" xr:uid="{37DA9CAE-631B-429D-8123-D9959D18A16F}"/>
    <cellStyle name="Calculation 6 3 2 3" xfId="4785" xr:uid="{43D1615D-724C-41B4-A3F5-3BD5ECEF1D38}"/>
    <cellStyle name="Calculation 6 3 2 3 2" xfId="4786" xr:uid="{8C6C3713-6718-4284-A5A7-C2A91B2C6DD5}"/>
    <cellStyle name="Calculation 6 3 2 3 3" xfId="26464" xr:uid="{E2F264D2-8184-4EBB-8E5C-5ED3F202C3D9}"/>
    <cellStyle name="Calculation 6 3 2 4" xfId="4787" xr:uid="{8E59CE8A-E407-4A13-9B94-747D7814883A}"/>
    <cellStyle name="Calculation 6 3 2 4 2" xfId="4788" xr:uid="{3D7CC18C-BEB8-4D24-8968-1F0C39B39ED4}"/>
    <cellStyle name="Calculation 6 3 2 4 3" xfId="26465" xr:uid="{B23A3362-8664-4A5C-A717-7F35D595624F}"/>
    <cellStyle name="Calculation 6 3 2 5" xfId="4789" xr:uid="{5C1D7D4C-6113-4C49-B277-13560D548D8B}"/>
    <cellStyle name="Calculation 6 3 2 5 2" xfId="4790" xr:uid="{9B89E952-38A5-4B6B-B6A8-C95EDF10A2CA}"/>
    <cellStyle name="Calculation 6 3 2 5 3" xfId="26466" xr:uid="{32FB1DEE-51AB-4021-A3BC-05F9165E77AE}"/>
    <cellStyle name="Calculation 6 3 2 6" xfId="4791" xr:uid="{1E5078B5-7771-42A9-9149-FA1101B034B6}"/>
    <cellStyle name="Calculation 6 3 2 6 2" xfId="4792" xr:uid="{239694F0-6CE6-4663-A02D-6465ADB546EB}"/>
    <cellStyle name="Calculation 6 3 2 6 3" xfId="26467" xr:uid="{153C571A-A266-4800-929B-0CA795BF170B}"/>
    <cellStyle name="Calculation 6 3 2 7" xfId="4793" xr:uid="{F1862365-DD2D-4AD7-B441-8C3B05054DB1}"/>
    <cellStyle name="Calculation 6 3 2 7 2" xfId="4794" xr:uid="{18BD21CA-4B38-4132-98A3-608C833B9189}"/>
    <cellStyle name="Calculation 6 3 2 7 3" xfId="26468" xr:uid="{7FE75051-B5F1-4D0B-B6BD-045C6111B266}"/>
    <cellStyle name="Calculation 6 3 2 8" xfId="4795" xr:uid="{5E6583C1-99D1-4E92-B8F5-8E159F34070C}"/>
    <cellStyle name="Calculation 6 3 2 8 2" xfId="4796" xr:uid="{B1E32C4B-580D-4882-8127-40416752AA06}"/>
    <cellStyle name="Calculation 6 3 2 8 3" xfId="26469" xr:uid="{748F2F9F-1F8B-4426-A98D-04C95721DCAF}"/>
    <cellStyle name="Calculation 6 3 2 9" xfId="4797" xr:uid="{572AF706-7A72-4BFD-85E9-E529941958D7}"/>
    <cellStyle name="Calculation 6 3 2 9 2" xfId="26470" xr:uid="{590DC285-6738-4AE9-B2BA-BCEAAA3328FA}"/>
    <cellStyle name="Calculation 6 3 2 9 3" xfId="26471" xr:uid="{30DB6AAE-2AE3-404C-B5E2-2F2EA83DD295}"/>
    <cellStyle name="Calculation 6 3 3" xfId="4798" xr:uid="{7E661BF8-D614-40CC-A2E3-A83B19C5A740}"/>
    <cellStyle name="Calculation 6 3 3 2" xfId="4799" xr:uid="{9DF8A258-EE1D-4F1B-B932-433D034EDC39}"/>
    <cellStyle name="Calculation 6 3 3 3" xfId="4800" xr:uid="{D7DE59D9-88AD-460B-B60F-08709D1A24A8}"/>
    <cellStyle name="Calculation 6 3 3 4" xfId="4801" xr:uid="{F5FBF06F-3813-419F-988F-258CA1C567C3}"/>
    <cellStyle name="Calculation 6 3 4" xfId="4802" xr:uid="{2BB10628-AFDD-4CDC-AAB7-55213DED0814}"/>
    <cellStyle name="Calculation 6 3 4 2" xfId="4803" xr:uid="{DF32D6F6-C52D-4C27-81F0-1A59C48FB336}"/>
    <cellStyle name="Calculation 6 3 4 3" xfId="26472" xr:uid="{566B05B2-877C-4069-8B8E-02A782DF5F2A}"/>
    <cellStyle name="Calculation 6 3 5" xfId="4804" xr:uid="{8BA4A2E6-30F2-40F5-83D6-0CDA340B2C25}"/>
    <cellStyle name="Calculation 6 3 5 2" xfId="4805" xr:uid="{8E41185F-A31D-4F99-86C0-E709EEEC099D}"/>
    <cellStyle name="Calculation 6 3 5 3" xfId="26473" xr:uid="{ADEC24CC-3135-4221-89AF-BB6BB03A9FEC}"/>
    <cellStyle name="Calculation 6 3 6" xfId="4806" xr:uid="{E2B5F181-6FC5-41BA-8063-7EC128EF5C13}"/>
    <cellStyle name="Calculation 6 3 6 2" xfId="4807" xr:uid="{DD8E977B-CCB4-4B1A-AA20-2FD84E6F7282}"/>
    <cellStyle name="Calculation 6 3 6 3" xfId="26474" xr:uid="{CCFA6343-D4B4-4B37-A5D5-3E8EA874C66D}"/>
    <cellStyle name="Calculation 6 3 7" xfId="4808" xr:uid="{AC8410DB-0BB3-4ED9-9832-BC4C320FDA91}"/>
    <cellStyle name="Calculation 6 3 7 2" xfId="4809" xr:uid="{9EEA69D1-3CD9-438E-9206-41A5D58EC01B}"/>
    <cellStyle name="Calculation 6 3 7 3" xfId="26475" xr:uid="{1D726DA1-59EF-4630-BD4C-DBD38C4C5B22}"/>
    <cellStyle name="Calculation 6 3 8" xfId="4810" xr:uid="{78CDAD6E-78E0-4AA5-99E9-C430DA249395}"/>
    <cellStyle name="Calculation 6 3 8 2" xfId="4811" xr:uid="{E75ADE85-E7E2-4EF0-8547-7E3053E6891B}"/>
    <cellStyle name="Calculation 6 3 8 3" xfId="26476" xr:uid="{1FFB024F-67B3-45FC-AFF2-5EB43446E007}"/>
    <cellStyle name="Calculation 6 3 9" xfId="4812" xr:uid="{80F8A46A-C4BC-4238-8DE5-178876985BA8}"/>
    <cellStyle name="Calculation 6 3 9 2" xfId="4813" xr:uid="{2425841A-430B-452F-B966-3C46C2F16905}"/>
    <cellStyle name="Calculation 6 3 9 3" xfId="26477" xr:uid="{73C7AD60-3183-4B6C-B923-901A8760D7C7}"/>
    <cellStyle name="Calculation 6 4" xfId="4814" xr:uid="{4D8016CF-509C-4F94-8E6A-86564AFFF1D8}"/>
    <cellStyle name="Calculation 6 4 10" xfId="4815" xr:uid="{BEE8776C-F709-4BEC-8175-D701568D8358}"/>
    <cellStyle name="Calculation 6 4 10 2" xfId="26478" xr:uid="{3678A06B-24FD-47F9-B2B4-D4284FBF6638}"/>
    <cellStyle name="Calculation 6 4 10 3" xfId="26479" xr:uid="{114658DC-5400-4B97-A035-FC9C83C2D270}"/>
    <cellStyle name="Calculation 6 4 11" xfId="4816" xr:uid="{317EE81B-4862-4964-A186-7D2E5C9A7057}"/>
    <cellStyle name="Calculation 6 4 11 2" xfId="26480" xr:uid="{7EB7F364-3E72-4301-8293-74359EEB79A8}"/>
    <cellStyle name="Calculation 6 4 12" xfId="26481" xr:uid="{02FB58EF-148E-410B-AF41-3FEC8A324247}"/>
    <cellStyle name="Calculation 6 4 2" xfId="4817" xr:uid="{C941CC7D-9BFB-4531-AEF1-3F331EE0597F}"/>
    <cellStyle name="Calculation 6 4 2 10" xfId="4818" xr:uid="{FD6E36AD-01CC-4097-8012-6A8399DABEB3}"/>
    <cellStyle name="Calculation 6 4 2 10 2" xfId="26482" xr:uid="{F4D8A245-7991-4362-959F-6E6E7E61F17A}"/>
    <cellStyle name="Calculation 6 4 2 11" xfId="26483" xr:uid="{C6056E80-2ABC-4668-A1BA-9EF0F3167B57}"/>
    <cellStyle name="Calculation 6 4 2 2" xfId="4819" xr:uid="{AEC517BB-3733-4D46-841D-5B37F196A7C9}"/>
    <cellStyle name="Calculation 6 4 2 2 2" xfId="4820" xr:uid="{5531B0D0-CD8D-406D-8392-5AC3DF39DBD6}"/>
    <cellStyle name="Calculation 6 4 2 2 3" xfId="4821" xr:uid="{DA2622FF-305D-4223-9A5D-8B2155073E5C}"/>
    <cellStyle name="Calculation 6 4 2 2 4" xfId="4822" xr:uid="{70C9B0E0-DBD1-41ED-962C-FE23D090E0EA}"/>
    <cellStyle name="Calculation 6 4 2 3" xfId="4823" xr:uid="{0F83FF3F-3B2E-4586-ADAE-31DECC46CCB5}"/>
    <cellStyle name="Calculation 6 4 2 3 2" xfId="4824" xr:uid="{E6D8E977-A284-46ED-858F-CA8B5D83C549}"/>
    <cellStyle name="Calculation 6 4 2 3 3" xfId="26484" xr:uid="{E658FFDE-5C85-442C-AED7-29C43176FBCF}"/>
    <cellStyle name="Calculation 6 4 2 4" xfId="4825" xr:uid="{9C808667-4EEC-459C-9404-12A0A9D8E0D9}"/>
    <cellStyle name="Calculation 6 4 2 4 2" xfId="4826" xr:uid="{B167CFF3-9D09-4D67-B016-C44BA60A527F}"/>
    <cellStyle name="Calculation 6 4 2 4 3" xfId="26485" xr:uid="{E4DA01D6-238D-43BB-AD98-314E1676C50C}"/>
    <cellStyle name="Calculation 6 4 2 5" xfId="4827" xr:uid="{8FBDBE12-AAF8-41BF-9A6A-5EB53718A1C9}"/>
    <cellStyle name="Calculation 6 4 2 5 2" xfId="4828" xr:uid="{997D0581-1104-4A68-B180-46F195867BFE}"/>
    <cellStyle name="Calculation 6 4 2 5 3" xfId="26486" xr:uid="{8A749768-26B3-4164-89EC-643F06CCE59A}"/>
    <cellStyle name="Calculation 6 4 2 6" xfId="4829" xr:uid="{618CD2E4-FCA1-4C85-BA3C-0B06F2825B42}"/>
    <cellStyle name="Calculation 6 4 2 6 2" xfId="4830" xr:uid="{7934E943-5EF4-44FD-824D-B61D3E9858EF}"/>
    <cellStyle name="Calculation 6 4 2 6 3" xfId="26487" xr:uid="{3D8DAB63-E3C4-4042-851C-1014FA8F7C65}"/>
    <cellStyle name="Calculation 6 4 2 7" xfId="4831" xr:uid="{E7F104E6-634A-4317-9077-191701A5A74C}"/>
    <cellStyle name="Calculation 6 4 2 7 2" xfId="4832" xr:uid="{75268008-DD45-43F3-BDEA-EA3B831F12A8}"/>
    <cellStyle name="Calculation 6 4 2 7 3" xfId="26488" xr:uid="{A83CD251-CF66-49D7-9DB2-A79C87FAB9BB}"/>
    <cellStyle name="Calculation 6 4 2 8" xfId="4833" xr:uid="{68960FF4-0960-41BA-BBE9-3F83A287BA7F}"/>
    <cellStyle name="Calculation 6 4 2 8 2" xfId="4834" xr:uid="{1AE4E724-0325-4609-99E5-662B0BE6F2AC}"/>
    <cellStyle name="Calculation 6 4 2 8 3" xfId="26489" xr:uid="{8F267313-AC09-4E4F-818A-AF73AB07A06F}"/>
    <cellStyle name="Calculation 6 4 2 9" xfId="4835" xr:uid="{AED18793-910A-42A2-9E55-E7619681B265}"/>
    <cellStyle name="Calculation 6 4 2 9 2" xfId="26490" xr:uid="{D69C0A60-C28B-4863-B838-81AD78554507}"/>
    <cellStyle name="Calculation 6 4 2 9 3" xfId="26491" xr:uid="{BA402401-A4DD-4D99-8C1D-88F5848906D8}"/>
    <cellStyle name="Calculation 6 4 3" xfId="4836" xr:uid="{0800DBBE-3DD0-476F-AF3A-F170FF4CC702}"/>
    <cellStyle name="Calculation 6 4 3 2" xfId="4837" xr:uid="{C178EB50-4A28-41AE-83A5-7DD18C852255}"/>
    <cellStyle name="Calculation 6 4 3 3" xfId="4838" xr:uid="{6E4E7A0B-427D-444A-855B-7722B2C6D101}"/>
    <cellStyle name="Calculation 6 4 3 4" xfId="4839" xr:uid="{69388711-6302-4C20-ADC8-99E50B3CE4C0}"/>
    <cellStyle name="Calculation 6 4 4" xfId="4840" xr:uid="{6C20B1E7-0604-4027-9F1A-1DDA0DEB4C78}"/>
    <cellStyle name="Calculation 6 4 4 2" xfId="4841" xr:uid="{F5EBD866-B6CD-436A-A88D-3C616A2D254C}"/>
    <cellStyle name="Calculation 6 4 4 3" xfId="26492" xr:uid="{1F2CC1F3-BB8C-4B01-99DF-BFAB53869278}"/>
    <cellStyle name="Calculation 6 4 5" xfId="4842" xr:uid="{3B991602-2401-4C5F-A7BF-E9F9F8C30046}"/>
    <cellStyle name="Calculation 6 4 5 2" xfId="4843" xr:uid="{39C4E565-9032-4B33-8B49-BF4DB3F7ADC4}"/>
    <cellStyle name="Calculation 6 4 5 3" xfId="26493" xr:uid="{4E71A4DD-9620-4B3B-9D1B-05DE17FFBBE0}"/>
    <cellStyle name="Calculation 6 4 6" xfId="4844" xr:uid="{000B4736-524B-48C7-8F2E-658150477A98}"/>
    <cellStyle name="Calculation 6 4 6 2" xfId="4845" xr:uid="{2777AA28-A05F-4400-8D13-91B7078F47A8}"/>
    <cellStyle name="Calculation 6 4 6 3" xfId="26494" xr:uid="{BBF6F2ED-AC56-4BBC-9606-5C3B7A6348CF}"/>
    <cellStyle name="Calculation 6 4 7" xfId="4846" xr:uid="{17F02969-F403-486F-B242-D117A18E6A1D}"/>
    <cellStyle name="Calculation 6 4 7 2" xfId="4847" xr:uid="{F350DB01-99A9-4587-A4D6-B61799971EAC}"/>
    <cellStyle name="Calculation 6 4 7 3" xfId="26495" xr:uid="{E948ECAE-A437-414F-9A0A-F73226C2385C}"/>
    <cellStyle name="Calculation 6 4 8" xfId="4848" xr:uid="{774DD3F0-4EE1-49F6-B528-468FFE85D20B}"/>
    <cellStyle name="Calculation 6 4 8 2" xfId="4849" xr:uid="{9A8A198C-3879-4B53-897B-4F8A17E459C8}"/>
    <cellStyle name="Calculation 6 4 8 3" xfId="26496" xr:uid="{93CFBFB7-C673-4E0C-B1D0-218FBB3117DE}"/>
    <cellStyle name="Calculation 6 4 9" xfId="4850" xr:uid="{241880BF-F806-437D-840B-6E697D4F0D61}"/>
    <cellStyle name="Calculation 6 4 9 2" xfId="4851" xr:uid="{46A9CB87-7605-428F-A14F-4E7F1C857BCF}"/>
    <cellStyle name="Calculation 6 4 9 3" xfId="26497" xr:uid="{2CE40D48-0E37-49F0-8BC2-55497D138154}"/>
    <cellStyle name="Calculation 6 5" xfId="4852" xr:uid="{7FB6F5A3-51FA-485C-8466-913FB90759EC}"/>
    <cellStyle name="Calculation 6 5 10" xfId="4853" xr:uid="{B1D3E185-1283-4603-BCF9-DD147E462923}"/>
    <cellStyle name="Calculation 6 5 10 2" xfId="26498" xr:uid="{3CDFFD4C-38B1-4504-A679-F58C71094306}"/>
    <cellStyle name="Calculation 6 5 10 3" xfId="26499" xr:uid="{F14186DA-AAA6-413A-B88E-F7D73F558260}"/>
    <cellStyle name="Calculation 6 5 11" xfId="4854" xr:uid="{5D843F06-DD1C-479B-A4F8-4E1507FD3421}"/>
    <cellStyle name="Calculation 6 5 11 2" xfId="26500" xr:uid="{C92D8636-9C98-45FF-895B-AC29FE1CDC85}"/>
    <cellStyle name="Calculation 6 5 12" xfId="26501" xr:uid="{2325CAAB-D34D-486A-8F8E-833E7C25EE71}"/>
    <cellStyle name="Calculation 6 5 2" xfId="4855" xr:uid="{9F942D9D-B843-4D8C-B9D7-09F4C7B58D69}"/>
    <cellStyle name="Calculation 6 5 2 10" xfId="4856" xr:uid="{8031A5E0-A48B-4F72-8490-B126E0D0CA88}"/>
    <cellStyle name="Calculation 6 5 2 10 2" xfId="26502" xr:uid="{4F1B9591-86C6-40BD-A253-1EC1FC72CE12}"/>
    <cellStyle name="Calculation 6 5 2 11" xfId="26503" xr:uid="{EC1C64EA-CE07-4B05-AFD5-680C67D78607}"/>
    <cellStyle name="Calculation 6 5 2 2" xfId="4857" xr:uid="{8390660C-1FB5-4DA3-8448-5F73DB7CB664}"/>
    <cellStyle name="Calculation 6 5 2 2 2" xfId="4858" xr:uid="{4657408E-3465-4720-AFB1-291647B2EF7B}"/>
    <cellStyle name="Calculation 6 5 2 2 3" xfId="4859" xr:uid="{4D6F06BD-002C-42E6-A0E8-090EAEEB5224}"/>
    <cellStyle name="Calculation 6 5 2 2 4" xfId="4860" xr:uid="{99BC1FC7-3552-4E29-99F4-F62CA20A9F7A}"/>
    <cellStyle name="Calculation 6 5 2 3" xfId="4861" xr:uid="{3BAE8C31-3EA6-485A-A489-72ED921B0D53}"/>
    <cellStyle name="Calculation 6 5 2 3 2" xfId="4862" xr:uid="{09E14CD0-DDB2-4853-AEFE-D1B499185F5B}"/>
    <cellStyle name="Calculation 6 5 2 3 3" xfId="26504" xr:uid="{D13F6615-7120-4ACA-9E65-CE0650D8F6F3}"/>
    <cellStyle name="Calculation 6 5 2 4" xfId="4863" xr:uid="{320E8FA5-BFED-49DC-AD02-1FEE1ECA2487}"/>
    <cellStyle name="Calculation 6 5 2 4 2" xfId="4864" xr:uid="{DAFEA1F1-5BAB-4B47-87EF-FDBCD2C04EB6}"/>
    <cellStyle name="Calculation 6 5 2 4 3" xfId="26505" xr:uid="{7103FCE1-C75B-429A-A155-0078E67FC8F4}"/>
    <cellStyle name="Calculation 6 5 2 5" xfId="4865" xr:uid="{000BA4AF-5D0A-4A76-91CB-08DB8C38F61A}"/>
    <cellStyle name="Calculation 6 5 2 5 2" xfId="4866" xr:uid="{49805B1A-733D-4D2E-8299-C83445C41BD6}"/>
    <cellStyle name="Calculation 6 5 2 5 3" xfId="26506" xr:uid="{10813265-4890-4A26-A9DA-2A92F097CC75}"/>
    <cellStyle name="Calculation 6 5 2 6" xfId="4867" xr:uid="{646391C5-0BDE-4E26-BD24-D3DFF0371BE1}"/>
    <cellStyle name="Calculation 6 5 2 6 2" xfId="4868" xr:uid="{1F157B6E-4444-41A4-8AB1-E28E1A669944}"/>
    <cellStyle name="Calculation 6 5 2 6 3" xfId="26507" xr:uid="{E22042EF-81D3-4F97-89E4-51488E933E0D}"/>
    <cellStyle name="Calculation 6 5 2 7" xfId="4869" xr:uid="{67FAC9B7-1CDF-448C-8129-B8D687C16110}"/>
    <cellStyle name="Calculation 6 5 2 7 2" xfId="4870" xr:uid="{B0CB0BFF-BCA5-441E-8090-B68797D49667}"/>
    <cellStyle name="Calculation 6 5 2 7 3" xfId="26508" xr:uid="{BAE87A88-4041-49AA-840A-E43327362E3A}"/>
    <cellStyle name="Calculation 6 5 2 8" xfId="4871" xr:uid="{4405A6AE-869C-42B5-B9A5-852A5A18786D}"/>
    <cellStyle name="Calculation 6 5 2 8 2" xfId="4872" xr:uid="{A8BF20DD-BCF2-442B-94D9-96D0F145776C}"/>
    <cellStyle name="Calculation 6 5 2 8 3" xfId="26509" xr:uid="{4FB4C181-40CF-4422-9046-96E5C7901E28}"/>
    <cellStyle name="Calculation 6 5 2 9" xfId="4873" xr:uid="{FA64B6A9-B6EC-42E3-B661-05FB2AE6A68D}"/>
    <cellStyle name="Calculation 6 5 2 9 2" xfId="26510" xr:uid="{88F3786F-C5FB-4447-9ABC-70C31FEBB8E3}"/>
    <cellStyle name="Calculation 6 5 2 9 3" xfId="26511" xr:uid="{9F7B60E5-5567-4A38-9F4A-2565791356E4}"/>
    <cellStyle name="Calculation 6 5 3" xfId="4874" xr:uid="{8E984D93-A918-47D9-86CD-6ADE05895277}"/>
    <cellStyle name="Calculation 6 5 3 2" xfId="4875" xr:uid="{BC2F385E-B694-4AFE-B078-45F4CB79BE6D}"/>
    <cellStyle name="Calculation 6 5 3 3" xfId="4876" xr:uid="{1134E5DB-88F7-4749-ABC7-72F8548F5F1E}"/>
    <cellStyle name="Calculation 6 5 3 4" xfId="4877" xr:uid="{A70BC31A-8CFE-4592-B034-8A51B034A1B1}"/>
    <cellStyle name="Calculation 6 5 4" xfId="4878" xr:uid="{59D674C5-0F55-4B30-BE38-04199011A4F7}"/>
    <cellStyle name="Calculation 6 5 4 2" xfId="4879" xr:uid="{74F11534-813B-4BBF-958A-6EB7C67B57E0}"/>
    <cellStyle name="Calculation 6 5 4 3" xfId="26512" xr:uid="{BD309D26-0465-4AFC-8681-8EEB6000EC37}"/>
    <cellStyle name="Calculation 6 5 5" xfId="4880" xr:uid="{A143921E-F8A7-49F5-8E24-4519A7955683}"/>
    <cellStyle name="Calculation 6 5 5 2" xfId="4881" xr:uid="{68420198-B54A-4480-AC90-F72D8E1504B3}"/>
    <cellStyle name="Calculation 6 5 5 3" xfId="26513" xr:uid="{8A4AFEFF-CFBB-4B09-A5FB-26C949DBCD64}"/>
    <cellStyle name="Calculation 6 5 6" xfId="4882" xr:uid="{4D7005DF-3D94-430E-ABDB-074A99EC5654}"/>
    <cellStyle name="Calculation 6 5 6 2" xfId="4883" xr:uid="{05493FA1-78F8-4298-8C02-3BD2013137A7}"/>
    <cellStyle name="Calculation 6 5 6 3" xfId="26514" xr:uid="{DE8D4C47-C874-4EA1-BBE2-8CA52AA0F121}"/>
    <cellStyle name="Calculation 6 5 7" xfId="4884" xr:uid="{DFD5E639-EDBA-4942-B01F-C3322CE92332}"/>
    <cellStyle name="Calculation 6 5 7 2" xfId="4885" xr:uid="{5E22FC6F-F94C-41F6-BC4E-128004FA55D6}"/>
    <cellStyle name="Calculation 6 5 7 3" xfId="26515" xr:uid="{6A86404F-6341-4A6A-9963-AB4FD941CADF}"/>
    <cellStyle name="Calculation 6 5 8" xfId="4886" xr:uid="{937DD77A-747E-4AD5-A87D-E7DF1C1F867F}"/>
    <cellStyle name="Calculation 6 5 8 2" xfId="4887" xr:uid="{BE2B13C4-5F9E-4E3C-9482-5C42AF73F74D}"/>
    <cellStyle name="Calculation 6 5 8 3" xfId="26516" xr:uid="{1A580CD6-9B2C-4AC0-938D-AA4198891503}"/>
    <cellStyle name="Calculation 6 5 9" xfId="4888" xr:uid="{4F524A87-9096-4293-88F3-FBF5AE408592}"/>
    <cellStyle name="Calculation 6 5 9 2" xfId="4889" xr:uid="{57BE13BC-5967-419C-B35B-6F84CEA8179C}"/>
    <cellStyle name="Calculation 6 5 9 3" xfId="26517" xr:uid="{1B910414-63F5-4D6D-B26D-02FFB799DFDA}"/>
    <cellStyle name="Calculation 6 6" xfId="4890" xr:uid="{9AC5DDDA-4A15-4A54-9AE8-8141CAA39E55}"/>
    <cellStyle name="Calculation 6 6 10" xfId="4891" xr:uid="{54501340-C10C-4482-BC42-962B0BE82EF1}"/>
    <cellStyle name="Calculation 6 6 10 2" xfId="26518" xr:uid="{E449E90B-73DB-4D3A-92B7-A3006BC72B7F}"/>
    <cellStyle name="Calculation 6 6 10 3" xfId="26519" xr:uid="{EC7468DB-28F3-4E89-BEA0-F3C63A20D0BE}"/>
    <cellStyle name="Calculation 6 6 11" xfId="4892" xr:uid="{9B7DF545-B116-4CBB-B06F-319E1A2C856E}"/>
    <cellStyle name="Calculation 6 6 11 2" xfId="26520" xr:uid="{7DA0D5D2-F479-4CDF-8FDA-A4BE47E6C267}"/>
    <cellStyle name="Calculation 6 6 12" xfId="26521" xr:uid="{2451B7BE-BDFF-49C9-8296-E7DB984FFFF1}"/>
    <cellStyle name="Calculation 6 6 2" xfId="4893" xr:uid="{CAE58203-87B2-4BD9-BE6F-F98715E98802}"/>
    <cellStyle name="Calculation 6 6 2 10" xfId="4894" xr:uid="{56A640B4-E725-4CD5-A225-FC345400837C}"/>
    <cellStyle name="Calculation 6 6 2 10 2" xfId="26522" xr:uid="{53684D70-5F84-4930-829F-4751162146B0}"/>
    <cellStyle name="Calculation 6 6 2 11" xfId="26523" xr:uid="{A99D0FDB-C749-4D32-9E42-2466BA1408E5}"/>
    <cellStyle name="Calculation 6 6 2 2" xfId="4895" xr:uid="{9CFE9765-10D7-4150-A135-9368D4F66291}"/>
    <cellStyle name="Calculation 6 6 2 2 2" xfId="4896" xr:uid="{C2B3C7C4-C705-46C1-B32E-4F020C692841}"/>
    <cellStyle name="Calculation 6 6 2 2 3" xfId="4897" xr:uid="{E1B22FDD-631A-4306-A66F-646A81DF2508}"/>
    <cellStyle name="Calculation 6 6 2 2 4" xfId="4898" xr:uid="{08E3B23F-33AF-48F0-B75C-2579D075C2B5}"/>
    <cellStyle name="Calculation 6 6 2 3" xfId="4899" xr:uid="{D28610FE-7E61-4DAB-B455-C700BE9CBC76}"/>
    <cellStyle name="Calculation 6 6 2 3 2" xfId="4900" xr:uid="{7484BC69-EFD2-4493-920D-30B771CB21EA}"/>
    <cellStyle name="Calculation 6 6 2 3 3" xfId="26524" xr:uid="{F9F52B9F-0D98-43FF-BE94-788652BAEC47}"/>
    <cellStyle name="Calculation 6 6 2 4" xfId="4901" xr:uid="{D743D781-F47E-4B46-8994-6FB23942C73E}"/>
    <cellStyle name="Calculation 6 6 2 4 2" xfId="4902" xr:uid="{E2F15DCB-97A1-4BDC-897B-7F7142480803}"/>
    <cellStyle name="Calculation 6 6 2 4 3" xfId="26525" xr:uid="{94AC658E-01F9-4248-88DD-9B6753907DE0}"/>
    <cellStyle name="Calculation 6 6 2 5" xfId="4903" xr:uid="{54CC6528-89E8-47E8-BDE3-EB9C2CAFB279}"/>
    <cellStyle name="Calculation 6 6 2 5 2" xfId="4904" xr:uid="{9E202DB6-0956-4227-BB54-02F9F4CE6345}"/>
    <cellStyle name="Calculation 6 6 2 5 3" xfId="26526" xr:uid="{5B6EACFE-2FFE-42D1-98CE-EC4037259D3E}"/>
    <cellStyle name="Calculation 6 6 2 6" xfId="4905" xr:uid="{EAED01BB-81EE-4190-8384-F6C887F06D7B}"/>
    <cellStyle name="Calculation 6 6 2 6 2" xfId="4906" xr:uid="{3711D2A8-CD95-4CD8-93AF-595D41EA8A42}"/>
    <cellStyle name="Calculation 6 6 2 6 3" xfId="26527" xr:uid="{0413ED49-465C-4358-BA10-0E47424BCBCA}"/>
    <cellStyle name="Calculation 6 6 2 7" xfId="4907" xr:uid="{F98A30D5-61BB-4F6B-9D33-D062520FADD9}"/>
    <cellStyle name="Calculation 6 6 2 7 2" xfId="4908" xr:uid="{91291819-8123-4718-AB0A-8415A6BFBBA5}"/>
    <cellStyle name="Calculation 6 6 2 7 3" xfId="26528" xr:uid="{40A39DE9-3B28-431C-BDB2-B38CDA8A6303}"/>
    <cellStyle name="Calculation 6 6 2 8" xfId="4909" xr:uid="{41434BD6-55A0-402D-8F8F-0C4FF7049182}"/>
    <cellStyle name="Calculation 6 6 2 8 2" xfId="4910" xr:uid="{AB7F267B-A238-426E-985E-A9B63685DD25}"/>
    <cellStyle name="Calculation 6 6 2 8 3" xfId="26529" xr:uid="{9D097E3F-BCE2-4ADA-9439-FDFA02788D64}"/>
    <cellStyle name="Calculation 6 6 2 9" xfId="4911" xr:uid="{15B18B9C-79C4-43C8-AFAE-AC4C4F28E306}"/>
    <cellStyle name="Calculation 6 6 2 9 2" xfId="26530" xr:uid="{CAC0855C-58C8-443C-8E86-86037E93D281}"/>
    <cellStyle name="Calculation 6 6 2 9 3" xfId="26531" xr:uid="{7D92DD19-0257-43E0-8522-CD7864E3EFA2}"/>
    <cellStyle name="Calculation 6 6 3" xfId="4912" xr:uid="{7DCE81EB-C464-46D4-9E10-C52315A25AE0}"/>
    <cellStyle name="Calculation 6 6 3 2" xfId="4913" xr:uid="{6988B3DC-2E4A-4DA6-AFFC-A4C6B88D32C2}"/>
    <cellStyle name="Calculation 6 6 3 3" xfId="4914" xr:uid="{6E71400E-965F-4B31-9FBA-FA22B023BF15}"/>
    <cellStyle name="Calculation 6 6 3 4" xfId="4915" xr:uid="{645F368A-9284-4E91-A3E9-C7E529845092}"/>
    <cellStyle name="Calculation 6 6 4" xfId="4916" xr:uid="{942E0A86-9AE2-4F17-BA53-6C13BEEDD412}"/>
    <cellStyle name="Calculation 6 6 4 2" xfId="4917" xr:uid="{07A66A1A-C418-43BA-A59F-C89C41F3F5D2}"/>
    <cellStyle name="Calculation 6 6 4 3" xfId="26532" xr:uid="{46A9ECEC-C252-4525-B10D-0782F6D67457}"/>
    <cellStyle name="Calculation 6 6 5" xfId="4918" xr:uid="{1A606C51-44D3-495E-B448-B0EB90D39683}"/>
    <cellStyle name="Calculation 6 6 5 2" xfId="4919" xr:uid="{49F31E57-AF77-488C-8D44-1D1361441873}"/>
    <cellStyle name="Calculation 6 6 5 3" xfId="26533" xr:uid="{1903ACF9-AF5E-48BC-9F56-1B01A6FE9611}"/>
    <cellStyle name="Calculation 6 6 6" xfId="4920" xr:uid="{C2E46072-1FBA-4802-95F7-C02BC579D239}"/>
    <cellStyle name="Calculation 6 6 6 2" xfId="4921" xr:uid="{64A2A113-5095-4D96-8E34-26549890E8C2}"/>
    <cellStyle name="Calculation 6 6 6 3" xfId="26534" xr:uid="{D542C71E-DB83-4310-AEBB-13839B7069E2}"/>
    <cellStyle name="Calculation 6 6 7" xfId="4922" xr:uid="{66F566ED-3ABA-46FB-8FFD-6DCD5A9803A5}"/>
    <cellStyle name="Calculation 6 6 7 2" xfId="4923" xr:uid="{2656684C-1F0E-4D5F-AC59-927C13FCB23F}"/>
    <cellStyle name="Calculation 6 6 7 3" xfId="26535" xr:uid="{B34F2E6A-9857-4F35-9952-43805748F2A3}"/>
    <cellStyle name="Calculation 6 6 8" xfId="4924" xr:uid="{82C58206-8C39-4676-BBC3-DD22721D8CB7}"/>
    <cellStyle name="Calculation 6 6 8 2" xfId="4925" xr:uid="{D9734009-B501-4BE5-9EE3-CC474FB5A862}"/>
    <cellStyle name="Calculation 6 6 8 3" xfId="26536" xr:uid="{94FBE8FC-F78A-4F33-8FD1-0DE46D6EEEA2}"/>
    <cellStyle name="Calculation 6 6 9" xfId="4926" xr:uid="{C04A5331-6632-4DD7-83ED-BABBCCAA9F7C}"/>
    <cellStyle name="Calculation 6 6 9 2" xfId="4927" xr:uid="{F31ED564-6502-49E2-BB2E-DA932F1E35A0}"/>
    <cellStyle name="Calculation 6 6 9 3" xfId="26537" xr:uid="{CED26296-ACC1-405C-8FCE-99ACA6F50083}"/>
    <cellStyle name="Calculation 6 7" xfId="4928" xr:uid="{CAD2517C-42B1-4D2E-B0E4-590EAD90C962}"/>
    <cellStyle name="Calculation 6 7 10" xfId="4929" xr:uid="{B2E10438-A336-4B34-AC3E-1840DA555468}"/>
    <cellStyle name="Calculation 6 7 10 2" xfId="26538" xr:uid="{549C342F-1AB9-4999-964A-E256B9B26271}"/>
    <cellStyle name="Calculation 6 7 10 3" xfId="26539" xr:uid="{0893F9B0-3229-4B84-9A1B-D9956D233F1A}"/>
    <cellStyle name="Calculation 6 7 11" xfId="4930" xr:uid="{277C4C05-B274-468B-92BA-0699ACE8D4C3}"/>
    <cellStyle name="Calculation 6 7 11 2" xfId="26540" xr:uid="{EC2762C1-744A-4261-A694-41E7B15344DC}"/>
    <cellStyle name="Calculation 6 7 12" xfId="26541" xr:uid="{678F06E8-245D-483A-A118-07477F7DA297}"/>
    <cellStyle name="Calculation 6 7 2" xfId="4931" xr:uid="{525EB155-0875-4058-AC0B-2C127A88A3B5}"/>
    <cellStyle name="Calculation 6 7 2 10" xfId="4932" xr:uid="{F07343CD-7002-4877-964E-8AAE73FA641E}"/>
    <cellStyle name="Calculation 6 7 2 10 2" xfId="26542" xr:uid="{EC027E38-84EA-4164-9150-EED433E8F47C}"/>
    <cellStyle name="Calculation 6 7 2 11" xfId="26543" xr:uid="{295790B9-CEB7-43B4-8C28-2B4B0C09179F}"/>
    <cellStyle name="Calculation 6 7 2 2" xfId="4933" xr:uid="{2210A5F3-E1BE-493C-A882-481E201CA137}"/>
    <cellStyle name="Calculation 6 7 2 2 2" xfId="4934" xr:uid="{2F3ADBD9-3D18-4C0D-82D0-4A72921777D3}"/>
    <cellStyle name="Calculation 6 7 2 2 3" xfId="4935" xr:uid="{EE390890-083E-4059-90B4-6766B8C68659}"/>
    <cellStyle name="Calculation 6 7 2 2 4" xfId="4936" xr:uid="{7111111F-EFFE-4557-9A09-511F0C30304E}"/>
    <cellStyle name="Calculation 6 7 2 3" xfId="4937" xr:uid="{2A0A1DAD-6CEF-4F50-995A-36B00B21DD42}"/>
    <cellStyle name="Calculation 6 7 2 3 2" xfId="4938" xr:uid="{F7B8B7F7-8500-42BF-B91E-3B33861D782C}"/>
    <cellStyle name="Calculation 6 7 2 3 3" xfId="26544" xr:uid="{E988F0FC-485C-4E9F-84F5-6F022714F482}"/>
    <cellStyle name="Calculation 6 7 2 4" xfId="4939" xr:uid="{3F9257C0-52F8-4705-BF37-F62FA67BB7DF}"/>
    <cellStyle name="Calculation 6 7 2 4 2" xfId="4940" xr:uid="{E21324B1-3E84-429B-A231-CD7E0A1A301F}"/>
    <cellStyle name="Calculation 6 7 2 4 3" xfId="26545" xr:uid="{7B492046-EDC5-4E67-A7B1-715A6632559F}"/>
    <cellStyle name="Calculation 6 7 2 5" xfId="4941" xr:uid="{D6FA963E-277B-40C1-BA87-FA8FA939247A}"/>
    <cellStyle name="Calculation 6 7 2 5 2" xfId="4942" xr:uid="{405E91F4-F450-4799-AFA4-DFCF5BA47A28}"/>
    <cellStyle name="Calculation 6 7 2 5 3" xfId="26546" xr:uid="{5EDFAE46-1AB9-425A-8A88-AD6A4E21C384}"/>
    <cellStyle name="Calculation 6 7 2 6" xfId="4943" xr:uid="{6A7FEE3C-DCAE-4D3A-900F-722C3CE82826}"/>
    <cellStyle name="Calculation 6 7 2 6 2" xfId="4944" xr:uid="{DAA9894A-B721-4806-90A8-1A476E88DE5B}"/>
    <cellStyle name="Calculation 6 7 2 6 3" xfId="26547" xr:uid="{82DF21D7-824A-4532-8059-B7B5BCC99BF3}"/>
    <cellStyle name="Calculation 6 7 2 7" xfId="4945" xr:uid="{A7BD3472-AE82-459A-B579-9E06711DDA76}"/>
    <cellStyle name="Calculation 6 7 2 7 2" xfId="4946" xr:uid="{F157EBBF-45C7-4E16-832B-71D5354FCEB8}"/>
    <cellStyle name="Calculation 6 7 2 7 3" xfId="26548" xr:uid="{6586621E-E4F0-4F0E-B035-CE82D76CD9F5}"/>
    <cellStyle name="Calculation 6 7 2 8" xfId="4947" xr:uid="{91E4DDE3-4F8C-4258-93E3-986C0083C980}"/>
    <cellStyle name="Calculation 6 7 2 8 2" xfId="4948" xr:uid="{7E5E7B2D-0E6C-4C96-A528-417FAD71F4F6}"/>
    <cellStyle name="Calculation 6 7 2 8 3" xfId="26549" xr:uid="{BFC77659-CAA3-408F-9A7A-A18C3CB0432D}"/>
    <cellStyle name="Calculation 6 7 2 9" xfId="4949" xr:uid="{E3557FCE-8F49-465A-B555-9A3A7C4DC022}"/>
    <cellStyle name="Calculation 6 7 2 9 2" xfId="26550" xr:uid="{FD87E9ED-21B6-4963-8D0A-883894265129}"/>
    <cellStyle name="Calculation 6 7 2 9 3" xfId="26551" xr:uid="{EB0DE82D-2D9E-4F05-80B9-50A3FCA5D34B}"/>
    <cellStyle name="Calculation 6 7 3" xfId="4950" xr:uid="{93A35584-3AA7-4F01-9274-3108A1E7AE53}"/>
    <cellStyle name="Calculation 6 7 3 2" xfId="4951" xr:uid="{86541859-0456-4D0D-A8A6-A09753988D7E}"/>
    <cellStyle name="Calculation 6 7 3 3" xfId="4952" xr:uid="{A412353A-0052-4B56-82EC-9AC58ED9692F}"/>
    <cellStyle name="Calculation 6 7 3 4" xfId="4953" xr:uid="{E27384FA-484F-436B-B03B-98EC4D600807}"/>
    <cellStyle name="Calculation 6 7 4" xfId="4954" xr:uid="{1B03B067-6E4A-4BF4-A75B-B3F6BF4AF8EB}"/>
    <cellStyle name="Calculation 6 7 4 2" xfId="4955" xr:uid="{0094A830-A9E2-480C-B7FF-6EA594E58E01}"/>
    <cellStyle name="Calculation 6 7 4 3" xfId="26552" xr:uid="{2DE44B5E-2CA7-40C5-B270-AB1CD08CFA18}"/>
    <cellStyle name="Calculation 6 7 5" xfId="4956" xr:uid="{68515DE4-9E70-456E-95EB-2C82858C8F62}"/>
    <cellStyle name="Calculation 6 7 5 2" xfId="4957" xr:uid="{BB9398DE-F9CD-4848-AE8C-4A418BD5F730}"/>
    <cellStyle name="Calculation 6 7 5 3" xfId="26553" xr:uid="{A138AE1D-7E93-4D76-9574-C890CC60440C}"/>
    <cellStyle name="Calculation 6 7 6" xfId="4958" xr:uid="{2C9905FE-5BF2-4E20-B634-008D5B633F4A}"/>
    <cellStyle name="Calculation 6 7 6 2" xfId="4959" xr:uid="{DEE172BE-5D83-4AC9-8E1A-5794B7E33A7E}"/>
    <cellStyle name="Calculation 6 7 6 3" xfId="26554" xr:uid="{2844AD62-16ED-47A2-A714-FC01EEFED7B1}"/>
    <cellStyle name="Calculation 6 7 7" xfId="4960" xr:uid="{F08E23D4-F07B-4D94-B7F9-AE22D21507C7}"/>
    <cellStyle name="Calculation 6 7 7 2" xfId="4961" xr:uid="{E9950686-DD15-42BC-8C8E-29BDC5CD69EE}"/>
    <cellStyle name="Calculation 6 7 7 3" xfId="26555" xr:uid="{AAABF503-ECFA-4282-A459-CC43CE0B3062}"/>
    <cellStyle name="Calculation 6 7 8" xfId="4962" xr:uid="{006367EE-2E1D-41CB-805A-6D22220F7742}"/>
    <cellStyle name="Calculation 6 7 8 2" xfId="4963" xr:uid="{FA8D505B-3268-44D7-BC1B-F0BEE7EFC377}"/>
    <cellStyle name="Calculation 6 7 8 3" xfId="26556" xr:uid="{67A3AB5D-777B-4589-91D4-8C310F3C3E01}"/>
    <cellStyle name="Calculation 6 7 9" xfId="4964" xr:uid="{B7603765-0686-40F6-AAB1-A3B790257DEC}"/>
    <cellStyle name="Calculation 6 7 9 2" xfId="4965" xr:uid="{139EEC26-37E2-4517-A5FA-A311259E3507}"/>
    <cellStyle name="Calculation 6 7 9 3" xfId="26557" xr:uid="{C98D5194-BF1D-4B26-A9B6-8A4BD4CA7FB8}"/>
    <cellStyle name="Calculation 6 8" xfId="4966" xr:uid="{31ADAA34-E5B1-43F3-B705-4B961DB94325}"/>
    <cellStyle name="Calculation 6 8 10" xfId="4967" xr:uid="{435FB319-91E9-4430-9136-2A821B3BBF50}"/>
    <cellStyle name="Calculation 6 8 10 2" xfId="26558" xr:uid="{E41B2E14-C8AE-4C52-BBAC-27B81FCAD5AD}"/>
    <cellStyle name="Calculation 6 8 10 3" xfId="26559" xr:uid="{66725B42-BE45-4769-9734-7C035430D10B}"/>
    <cellStyle name="Calculation 6 8 11" xfId="4968" xr:uid="{4F214C43-4116-483A-97D0-4E167D6BB4C9}"/>
    <cellStyle name="Calculation 6 8 11 2" xfId="26560" xr:uid="{B2DAD173-8B22-45DF-A16F-D176AA9D0570}"/>
    <cellStyle name="Calculation 6 8 12" xfId="26561" xr:uid="{F59A105D-BC92-462B-8E9B-BEB3B45A5342}"/>
    <cellStyle name="Calculation 6 8 2" xfId="4969" xr:uid="{93C882CA-2AAE-47FD-A5FD-529381259285}"/>
    <cellStyle name="Calculation 6 8 2 10" xfId="4970" xr:uid="{1E53F3F4-0F8A-4686-8159-5F107ABCCAB4}"/>
    <cellStyle name="Calculation 6 8 2 10 2" xfId="26562" xr:uid="{AD081265-EC93-4E43-812D-FF7E5CC87A33}"/>
    <cellStyle name="Calculation 6 8 2 11" xfId="26563" xr:uid="{48A83DC3-FBF4-4401-9944-F0E95EBBBB0D}"/>
    <cellStyle name="Calculation 6 8 2 2" xfId="4971" xr:uid="{13780AC8-3F08-4F3F-B54A-33879C720A69}"/>
    <cellStyle name="Calculation 6 8 2 2 2" xfId="4972" xr:uid="{AA4296EE-FC25-4371-92CF-CBA4E0C463F7}"/>
    <cellStyle name="Calculation 6 8 2 2 3" xfId="4973" xr:uid="{7AB9B016-37A8-4627-8103-0082381CFB74}"/>
    <cellStyle name="Calculation 6 8 2 2 4" xfId="4974" xr:uid="{93CDD6B3-6A41-4C62-8101-5043312CF0FD}"/>
    <cellStyle name="Calculation 6 8 2 3" xfId="4975" xr:uid="{56803398-4201-45B5-A584-5813FDF39AFA}"/>
    <cellStyle name="Calculation 6 8 2 3 2" xfId="4976" xr:uid="{501747F8-FD3F-47AE-A358-AC2B9D54D2F8}"/>
    <cellStyle name="Calculation 6 8 2 3 3" xfId="26564" xr:uid="{438A16BA-4F2E-455A-8A09-148114F9C75E}"/>
    <cellStyle name="Calculation 6 8 2 4" xfId="4977" xr:uid="{B209B03B-DB1B-4919-AF00-64CA07C34FC1}"/>
    <cellStyle name="Calculation 6 8 2 4 2" xfId="4978" xr:uid="{FAB46EAC-32B3-484E-8F36-C308127304B8}"/>
    <cellStyle name="Calculation 6 8 2 4 3" xfId="26565" xr:uid="{6BD7A5C7-4351-4F71-AA8B-C230C5249B66}"/>
    <cellStyle name="Calculation 6 8 2 5" xfId="4979" xr:uid="{99A3EAED-E456-49A7-997A-D1DC08F35D6C}"/>
    <cellStyle name="Calculation 6 8 2 5 2" xfId="4980" xr:uid="{97825076-77B2-4D97-886C-F9D3BED7C074}"/>
    <cellStyle name="Calculation 6 8 2 5 3" xfId="26566" xr:uid="{1B32D9D4-C10D-4F44-AB7F-567635F1CD9E}"/>
    <cellStyle name="Calculation 6 8 2 6" xfId="4981" xr:uid="{F576D68A-3376-4461-93E5-1F0EE752305B}"/>
    <cellStyle name="Calculation 6 8 2 6 2" xfId="4982" xr:uid="{3D422CF9-C1BA-4C67-9A20-DD873C6255C4}"/>
    <cellStyle name="Calculation 6 8 2 6 3" xfId="26567" xr:uid="{C34EC173-CE37-48AD-9CBE-CEB9B88C5CCC}"/>
    <cellStyle name="Calculation 6 8 2 7" xfId="4983" xr:uid="{E7D0A03A-1BEC-4C5D-98EE-F64AD36FCA14}"/>
    <cellStyle name="Calculation 6 8 2 7 2" xfId="4984" xr:uid="{03BD6A04-73AA-40E4-A6B1-717AF909DB29}"/>
    <cellStyle name="Calculation 6 8 2 7 3" xfId="26568" xr:uid="{2751E098-EE87-4177-A7EE-A946F72237F2}"/>
    <cellStyle name="Calculation 6 8 2 8" xfId="4985" xr:uid="{24CCF3C7-0543-4E31-8F37-54339458DE8D}"/>
    <cellStyle name="Calculation 6 8 2 8 2" xfId="4986" xr:uid="{6A47B3CE-149E-48ED-BB22-4FF2E2221AFC}"/>
    <cellStyle name="Calculation 6 8 2 8 3" xfId="26569" xr:uid="{CDE404C8-528E-4C87-9A08-2BEF9514E6E7}"/>
    <cellStyle name="Calculation 6 8 2 9" xfId="4987" xr:uid="{1EC98490-7D2F-43D9-8DDD-5868AEFD5304}"/>
    <cellStyle name="Calculation 6 8 2 9 2" xfId="26570" xr:uid="{C2C55BC9-03BA-448C-9F7C-01505B1B2517}"/>
    <cellStyle name="Calculation 6 8 2 9 3" xfId="26571" xr:uid="{CF5C5C58-66C1-41D0-9189-05C3E8D7756F}"/>
    <cellStyle name="Calculation 6 8 3" xfId="4988" xr:uid="{867257ED-530C-4B50-BBFA-3B1B90F224C6}"/>
    <cellStyle name="Calculation 6 8 3 2" xfId="4989" xr:uid="{7692CC75-AA69-4F02-8293-AD80D83CAC52}"/>
    <cellStyle name="Calculation 6 8 3 3" xfId="4990" xr:uid="{BE8E7912-DA8E-43CE-BEA1-CD1DC2A1DE51}"/>
    <cellStyle name="Calculation 6 8 3 4" xfId="4991" xr:uid="{B219B9D8-B918-4479-A92E-C0B80C22AFBB}"/>
    <cellStyle name="Calculation 6 8 4" xfId="4992" xr:uid="{35CBA382-9D10-412E-9BB8-E48BB63A60B4}"/>
    <cellStyle name="Calculation 6 8 4 2" xfId="4993" xr:uid="{2F35A299-A595-43A6-B848-7A77199E8861}"/>
    <cellStyle name="Calculation 6 8 4 3" xfId="26572" xr:uid="{8DD1F715-1049-4B78-97B7-7067FC895A34}"/>
    <cellStyle name="Calculation 6 8 5" xfId="4994" xr:uid="{BAAE953D-978E-4384-9204-FA7F7E42ACA4}"/>
    <cellStyle name="Calculation 6 8 5 2" xfId="4995" xr:uid="{53CEA351-282C-45F3-BA61-614445781128}"/>
    <cellStyle name="Calculation 6 8 5 3" xfId="26573" xr:uid="{4D80CD4B-9D2B-42E9-B1A4-C7B5B7C583C4}"/>
    <cellStyle name="Calculation 6 8 6" xfId="4996" xr:uid="{7841E239-5F37-4181-8FD8-43CC1D143E94}"/>
    <cellStyle name="Calculation 6 8 6 2" xfId="4997" xr:uid="{F108F972-0990-4D83-98D4-42649D8DCF38}"/>
    <cellStyle name="Calculation 6 8 6 3" xfId="26574" xr:uid="{2458D8F8-649B-40B7-8A27-741FF0123FD9}"/>
    <cellStyle name="Calculation 6 8 7" xfId="4998" xr:uid="{88246C3F-A2FD-4BC6-8E5C-49FAB5B1128F}"/>
    <cellStyle name="Calculation 6 8 7 2" xfId="4999" xr:uid="{8E922EF8-F24F-41FA-98F9-596C8157CE16}"/>
    <cellStyle name="Calculation 6 8 7 3" xfId="26575" xr:uid="{A9DD1DE1-32BE-46C5-A6C5-E04A6E3234B9}"/>
    <cellStyle name="Calculation 6 8 8" xfId="5000" xr:uid="{F3CFFB95-97A3-46EC-8F81-27AD7C95BD22}"/>
    <cellStyle name="Calculation 6 8 8 2" xfId="5001" xr:uid="{E893609A-F898-4605-B4B8-DC3A00246AC9}"/>
    <cellStyle name="Calculation 6 8 8 3" xfId="26576" xr:uid="{65EB6897-68EF-4DCD-861E-7CE2BF0EE69D}"/>
    <cellStyle name="Calculation 6 8 9" xfId="5002" xr:uid="{8286D29B-F31F-4CBA-9E23-371665A8C4BC}"/>
    <cellStyle name="Calculation 6 8 9 2" xfId="5003" xr:uid="{DA450A2B-3BB1-4396-835B-98D7035DDAD4}"/>
    <cellStyle name="Calculation 6 8 9 3" xfId="26577" xr:uid="{4DA602FA-EC41-4932-9CDB-AD97727D3363}"/>
    <cellStyle name="Calculation 6 9" xfId="5004" xr:uid="{EA9CCC78-83F5-448F-BE39-971E4B33E828}"/>
    <cellStyle name="Calculation 6 9 10" xfId="5005" xr:uid="{F428DBE4-EF65-436D-8E6E-A0FA6454E2F7}"/>
    <cellStyle name="Calculation 6 9 10 2" xfId="26578" xr:uid="{8132F5B6-B298-43F5-888D-7AE7B036F95F}"/>
    <cellStyle name="Calculation 6 9 10 3" xfId="26579" xr:uid="{4A253B9F-2C88-4C49-A08C-E607013FF6AF}"/>
    <cellStyle name="Calculation 6 9 11" xfId="5006" xr:uid="{B35AD250-A94C-4946-AFF1-D573DCBEFEBD}"/>
    <cellStyle name="Calculation 6 9 11 2" xfId="26580" xr:uid="{9420244E-09FF-4CD1-B233-FF79641235F9}"/>
    <cellStyle name="Calculation 6 9 12" xfId="26581" xr:uid="{56C049AD-1DC6-4518-ACF6-E4FB63C57F1F}"/>
    <cellStyle name="Calculation 6 9 2" xfId="5007" xr:uid="{44D77241-EC30-4358-8509-00FF547EB29A}"/>
    <cellStyle name="Calculation 6 9 2 10" xfId="5008" xr:uid="{5914BD02-31C1-4C99-AFED-D06016C4347B}"/>
    <cellStyle name="Calculation 6 9 2 10 2" xfId="26582" xr:uid="{E144FCD7-C113-4D7C-8E1C-19E041C391D1}"/>
    <cellStyle name="Calculation 6 9 2 11" xfId="26583" xr:uid="{D704E43B-BC11-4C6F-A921-8C619610303B}"/>
    <cellStyle name="Calculation 6 9 2 2" xfId="5009" xr:uid="{DAB2DE26-4ED1-42DE-B082-AE74BEEBBB02}"/>
    <cellStyle name="Calculation 6 9 2 2 2" xfId="5010" xr:uid="{9B37EC59-769D-4621-8A12-6FA6817988A6}"/>
    <cellStyle name="Calculation 6 9 2 2 3" xfId="5011" xr:uid="{365A387F-083B-44D1-A15A-6B3F51278477}"/>
    <cellStyle name="Calculation 6 9 2 2 4" xfId="5012" xr:uid="{12482C85-BB31-4CE1-BE1C-048154CB849C}"/>
    <cellStyle name="Calculation 6 9 2 3" xfId="5013" xr:uid="{E693C46D-4B5F-48F8-A35D-9533523E2051}"/>
    <cellStyle name="Calculation 6 9 2 3 2" xfId="5014" xr:uid="{72A56A0B-8284-4C28-A2BC-ADBF41BAC8FF}"/>
    <cellStyle name="Calculation 6 9 2 3 3" xfId="26584" xr:uid="{B225578E-198F-4F26-9874-93A37A8518FD}"/>
    <cellStyle name="Calculation 6 9 2 4" xfId="5015" xr:uid="{C7ED5B0E-F6E5-46D1-98CA-1BB9FFC1DBFF}"/>
    <cellStyle name="Calculation 6 9 2 4 2" xfId="5016" xr:uid="{CEF2BEA1-4B2C-4A24-8167-777AC7FD1260}"/>
    <cellStyle name="Calculation 6 9 2 4 3" xfId="26585" xr:uid="{A833FE6F-E5CF-47A7-878E-9063866302FE}"/>
    <cellStyle name="Calculation 6 9 2 5" xfId="5017" xr:uid="{9A375ECC-AAA9-4B3E-BB40-38B784FA1661}"/>
    <cellStyle name="Calculation 6 9 2 5 2" xfId="5018" xr:uid="{7FF0D8A4-CC81-4FF7-B6C7-0485C333D68B}"/>
    <cellStyle name="Calculation 6 9 2 5 3" xfId="26586" xr:uid="{B9B9BD2A-06E6-46D5-8E4D-628F52A21B86}"/>
    <cellStyle name="Calculation 6 9 2 6" xfId="5019" xr:uid="{AA73BB4C-63EC-45D9-B541-CD29EE4245DE}"/>
    <cellStyle name="Calculation 6 9 2 6 2" xfId="5020" xr:uid="{AA7CE422-F3C7-4C1C-8CD1-1D4A127793BE}"/>
    <cellStyle name="Calculation 6 9 2 6 3" xfId="26587" xr:uid="{A0B48F4F-55FC-4879-B756-4FB4FDE476F9}"/>
    <cellStyle name="Calculation 6 9 2 7" xfId="5021" xr:uid="{F230E312-ACFA-4F7D-A2DF-631AAFF99FA0}"/>
    <cellStyle name="Calculation 6 9 2 7 2" xfId="5022" xr:uid="{9074FA81-ECA5-4758-9C07-A9BAF4DF95A7}"/>
    <cellStyle name="Calculation 6 9 2 7 3" xfId="26588" xr:uid="{F7700901-1B26-4776-B637-022D1C46BF64}"/>
    <cellStyle name="Calculation 6 9 2 8" xfId="5023" xr:uid="{29B23887-A911-4A9F-80F4-FA3807A0A101}"/>
    <cellStyle name="Calculation 6 9 2 8 2" xfId="5024" xr:uid="{BA9E0115-2DD5-4069-A036-C4D1C25DA3BC}"/>
    <cellStyle name="Calculation 6 9 2 8 3" xfId="26589" xr:uid="{FD40DF5B-A6CC-4ACF-8C11-30BD4F3AF1EC}"/>
    <cellStyle name="Calculation 6 9 2 9" xfId="5025" xr:uid="{1693999B-AE85-4F8D-A4B6-C22010C77725}"/>
    <cellStyle name="Calculation 6 9 2 9 2" xfId="26590" xr:uid="{3A3D6173-10F8-4F2F-BF65-1822932AD2FF}"/>
    <cellStyle name="Calculation 6 9 2 9 3" xfId="26591" xr:uid="{09AD7C24-308E-4796-9D24-DF0ADDEADF69}"/>
    <cellStyle name="Calculation 6 9 3" xfId="5026" xr:uid="{56A0BE5E-385B-493D-A40D-EC40A99CC1D4}"/>
    <cellStyle name="Calculation 6 9 3 2" xfId="5027" xr:uid="{6701DA1E-8AD8-4F51-BF6E-D6F58398D6F7}"/>
    <cellStyle name="Calculation 6 9 3 3" xfId="5028" xr:uid="{6CF3BE41-A189-4029-BF6B-C6BB3C8B3E6E}"/>
    <cellStyle name="Calculation 6 9 3 4" xfId="5029" xr:uid="{0DAC6588-79E5-4C48-B69C-89DA676FAD35}"/>
    <cellStyle name="Calculation 6 9 4" xfId="5030" xr:uid="{60ACC0D5-E3E8-4B8F-BE5D-74B94F6622E9}"/>
    <cellStyle name="Calculation 6 9 4 2" xfId="5031" xr:uid="{EDB37A26-2755-42D8-AB57-8696DA2572D9}"/>
    <cellStyle name="Calculation 6 9 4 3" xfId="26592" xr:uid="{73BF749A-320E-4926-8272-57673364C241}"/>
    <cellStyle name="Calculation 6 9 5" xfId="5032" xr:uid="{2CC72C6E-0B3D-4888-956F-49A5FE1D433A}"/>
    <cellStyle name="Calculation 6 9 5 2" xfId="5033" xr:uid="{85FC1B79-D77A-4B46-B4C3-9B25A59E36C3}"/>
    <cellStyle name="Calculation 6 9 5 3" xfId="26593" xr:uid="{D7701996-2EA1-4D94-929E-71F5400EC102}"/>
    <cellStyle name="Calculation 6 9 6" xfId="5034" xr:uid="{CFD2D1B6-6151-4ED4-80F6-F54D8E4DB041}"/>
    <cellStyle name="Calculation 6 9 6 2" xfId="5035" xr:uid="{42B704B3-96A7-49C0-9288-4A69A204A07E}"/>
    <cellStyle name="Calculation 6 9 6 3" xfId="26594" xr:uid="{BB4AE4C2-4EED-431D-A9B7-BC779FA536BD}"/>
    <cellStyle name="Calculation 6 9 7" xfId="5036" xr:uid="{729789E8-95EB-4AA0-BBC5-78A6811E92D5}"/>
    <cellStyle name="Calculation 6 9 7 2" xfId="5037" xr:uid="{01B6477E-BA5A-4B96-9388-2190D583B4C1}"/>
    <cellStyle name="Calculation 6 9 7 3" xfId="26595" xr:uid="{D2A54460-B621-4747-84D3-F936FCF6C737}"/>
    <cellStyle name="Calculation 6 9 8" xfId="5038" xr:uid="{60CFDD80-C5F5-4A44-A26B-36CD362C2047}"/>
    <cellStyle name="Calculation 6 9 8 2" xfId="5039" xr:uid="{46C3FC85-F5FA-44F6-AF2E-ECA62EB4DFFC}"/>
    <cellStyle name="Calculation 6 9 8 3" xfId="26596" xr:uid="{3B23E9F1-20E0-42D8-B43E-6CF1F5A7BD0C}"/>
    <cellStyle name="Calculation 6 9 9" xfId="5040" xr:uid="{22043F41-9414-4CA2-B0D4-1214CAF962D1}"/>
    <cellStyle name="Calculation 6 9 9 2" xfId="5041" xr:uid="{922B2EB4-A6BD-4A5E-83F9-0179696FD3AA}"/>
    <cellStyle name="Calculation 6 9 9 3" xfId="26597" xr:uid="{C6EDD1C0-E1B7-4D95-847C-462DD07D9FB4}"/>
    <cellStyle name="Calculation 7" xfId="5042" xr:uid="{372680A1-D4A7-4FAA-95FC-98D856B05688}"/>
    <cellStyle name="Calculation 7 10" xfId="5043" xr:uid="{4B360F28-4A07-48D2-A2AA-8F2A8441A23D}"/>
    <cellStyle name="Calculation 7 10 2" xfId="26598" xr:uid="{C1C2E5EC-DE01-41E6-9832-FFB81691F372}"/>
    <cellStyle name="Calculation 7 10 3" xfId="26599" xr:uid="{512F7C5D-6880-4198-A95C-BAEF55FA7630}"/>
    <cellStyle name="Calculation 7 11" xfId="5044" xr:uid="{0FF4354F-2089-4D30-88FB-C12F418518B8}"/>
    <cellStyle name="Calculation 7 11 2" xfId="26600" xr:uid="{AD2A66F8-3F02-469F-B296-32A73AF7BE18}"/>
    <cellStyle name="Calculation 7 12" xfId="26601" xr:uid="{2C7760BE-9463-4696-9099-DD45613A2751}"/>
    <cellStyle name="Calculation 7 13" xfId="26602" xr:uid="{C1E208FD-973E-4AB7-B41E-9D75895FD9D9}"/>
    <cellStyle name="Calculation 7 14" xfId="26603" xr:uid="{101DCB50-6AA2-4C24-9588-7A670A090663}"/>
    <cellStyle name="Calculation 7 15" xfId="42388" xr:uid="{3F62AC7F-283B-4552-B7A9-F3BBC73A75DC}"/>
    <cellStyle name="Calculation 7 16" xfId="42837" xr:uid="{87F83537-0166-4E94-AF84-53A95E3A26C7}"/>
    <cellStyle name="Calculation 7 17" xfId="43545" xr:uid="{BBB4B537-9E1E-4F2C-AC7E-5BE84C3C175B}"/>
    <cellStyle name="Calculation 7 2" xfId="5045" xr:uid="{ADEF534F-D73C-4D39-9C15-19C9679D2974}"/>
    <cellStyle name="Calculation 7 2 10" xfId="5046" xr:uid="{88DD4F1D-B774-4008-B94F-E656DB80561D}"/>
    <cellStyle name="Calculation 7 2 10 2" xfId="26604" xr:uid="{A9065EBB-9BAA-48BE-A662-900E19BFA1FE}"/>
    <cellStyle name="Calculation 7 2 11" xfId="26605" xr:uid="{AD39B882-40FB-4B71-A8A5-A8943DA835F3}"/>
    <cellStyle name="Calculation 7 2 2" xfId="5047" xr:uid="{B2A4BA8A-4BF8-44F6-AC31-587242B43002}"/>
    <cellStyle name="Calculation 7 2 2 2" xfId="5048" xr:uid="{DD81B7E7-B995-4DCD-B491-23833D3DE1D6}"/>
    <cellStyle name="Calculation 7 2 2 3" xfId="5049" xr:uid="{1CAAE48D-4717-4C5A-9718-F54AAA542F8A}"/>
    <cellStyle name="Calculation 7 2 2 4" xfId="5050" xr:uid="{22A77283-E76C-475A-8524-B0F84ADDDDA8}"/>
    <cellStyle name="Calculation 7 2 3" xfId="5051" xr:uid="{B5079D9B-C572-4356-819B-F99A4C936595}"/>
    <cellStyle name="Calculation 7 2 3 2" xfId="5052" xr:uid="{EB168CC8-52E0-42C6-B8E2-E42A96A7D720}"/>
    <cellStyle name="Calculation 7 2 3 3" xfId="26606" xr:uid="{A2F5C476-7570-494F-9138-07FDECD2CE0F}"/>
    <cellStyle name="Calculation 7 2 4" xfId="5053" xr:uid="{2EF29973-71B9-46A2-99BB-48B21D899CC8}"/>
    <cellStyle name="Calculation 7 2 4 2" xfId="5054" xr:uid="{5F345A98-1BC8-4ED5-AF25-8F82C1D978AE}"/>
    <cellStyle name="Calculation 7 2 4 3" xfId="26607" xr:uid="{483AD838-1A25-401D-BA20-68710CE7F6CD}"/>
    <cellStyle name="Calculation 7 2 5" xfId="5055" xr:uid="{698E7922-CEB5-42E5-ADEE-1D8DB7E65E66}"/>
    <cellStyle name="Calculation 7 2 5 2" xfId="5056" xr:uid="{492A86BC-41B8-44AC-9E18-80088B54B891}"/>
    <cellStyle name="Calculation 7 2 5 3" xfId="26608" xr:uid="{7EB67AFB-BEFC-4666-8FBA-9DEAC9B4B188}"/>
    <cellStyle name="Calculation 7 2 6" xfId="5057" xr:uid="{61EE550D-EE3A-45AC-BEF1-57BC12AAAACB}"/>
    <cellStyle name="Calculation 7 2 6 2" xfId="5058" xr:uid="{673D286A-BEE5-49FB-BBAA-B99E23EE3FEE}"/>
    <cellStyle name="Calculation 7 2 6 3" xfId="26609" xr:uid="{B6500297-AD8E-4569-9030-6E09F249171A}"/>
    <cellStyle name="Calculation 7 2 7" xfId="5059" xr:uid="{6DEE4C8B-AB54-4AB0-9346-5BE9829CBF83}"/>
    <cellStyle name="Calculation 7 2 7 2" xfId="5060" xr:uid="{EDE8AE00-74EF-4C34-807D-3836AE474D85}"/>
    <cellStyle name="Calculation 7 2 7 3" xfId="26610" xr:uid="{8B8962BB-CF65-422A-B3AA-D3F3143B6C1F}"/>
    <cellStyle name="Calculation 7 2 8" xfId="5061" xr:uid="{202571C7-7156-4D95-BEF4-05DF95738AD2}"/>
    <cellStyle name="Calculation 7 2 8 2" xfId="5062" xr:uid="{A0DC793A-824E-4E91-8B06-6F6D8453AB1C}"/>
    <cellStyle name="Calculation 7 2 8 3" xfId="26611" xr:uid="{0A0825BD-B434-49C1-9E29-74BC3BF6A350}"/>
    <cellStyle name="Calculation 7 2 9" xfId="5063" xr:uid="{25E633F9-35E2-43B0-B1AE-3665D82E02BD}"/>
    <cellStyle name="Calculation 7 2 9 2" xfId="26612" xr:uid="{5797802F-6F57-4E31-94A2-0ACA7801C879}"/>
    <cellStyle name="Calculation 7 2 9 3" xfId="26613" xr:uid="{1D993B94-41D7-4207-AA72-0974E36B2610}"/>
    <cellStyle name="Calculation 7 3" xfId="5064" xr:uid="{A6D6C7FE-D06C-4DE4-BD19-81798BCBF251}"/>
    <cellStyle name="Calculation 7 3 2" xfId="5065" xr:uid="{AA19C315-3D2F-4D9E-B1B9-DF4F445175ED}"/>
    <cellStyle name="Calculation 7 3 3" xfId="5066" xr:uid="{F3887E8E-47D2-4D4D-9746-743E1AD399BF}"/>
    <cellStyle name="Calculation 7 3 4" xfId="5067" xr:uid="{FD5AADE4-9C14-41B5-BAB6-CB309106806A}"/>
    <cellStyle name="Calculation 7 4" xfId="5068" xr:uid="{10B473BD-6F9A-4A00-BA7F-322E8C044297}"/>
    <cellStyle name="Calculation 7 4 2" xfId="5069" xr:uid="{58FA3DCC-97D8-43F6-ADA8-1301AC228842}"/>
    <cellStyle name="Calculation 7 4 3" xfId="26614" xr:uid="{3BE9A95F-67D7-4D12-9973-93D9AE1DCAE7}"/>
    <cellStyle name="Calculation 7 5" xfId="5070" xr:uid="{6F0C82EE-5340-4F6F-BA17-56A644FCE7A9}"/>
    <cellStyle name="Calculation 7 5 2" xfId="5071" xr:uid="{DF6180DC-0E47-452F-85C3-D9879C25CF73}"/>
    <cellStyle name="Calculation 7 5 3" xfId="26615" xr:uid="{F6779B6D-87D4-4D15-925B-4CAF1874FD0B}"/>
    <cellStyle name="Calculation 7 6" xfId="5072" xr:uid="{D885CBEE-1887-4109-AB2F-863B015BE55F}"/>
    <cellStyle name="Calculation 7 6 2" xfId="5073" xr:uid="{845387AC-B56F-4CE5-AA34-F179BDFE3EB3}"/>
    <cellStyle name="Calculation 7 6 3" xfId="26616" xr:uid="{BEA9749E-41C7-4946-90F8-01220E4B2282}"/>
    <cellStyle name="Calculation 7 7" xfId="5074" xr:uid="{298F05D4-04E1-471E-B482-EEC15A85C170}"/>
    <cellStyle name="Calculation 7 7 2" xfId="5075" xr:uid="{C2A45001-B8A0-4106-939E-B43541951F64}"/>
    <cellStyle name="Calculation 7 7 3" xfId="26617" xr:uid="{52710EA9-0825-4A66-8646-74485A40BA70}"/>
    <cellStyle name="Calculation 7 8" xfId="5076" xr:uid="{EFE065E6-9FEB-44A7-A3BC-78A6D447FC9C}"/>
    <cellStyle name="Calculation 7 8 2" xfId="5077" xr:uid="{892AC0BE-30FF-4E85-B7FD-A660E7B259B5}"/>
    <cellStyle name="Calculation 7 8 3" xfId="26618" xr:uid="{01CB25C9-1A29-4DEB-9B5F-AFCF7F11840B}"/>
    <cellStyle name="Calculation 7 9" xfId="5078" xr:uid="{78590AE8-FF1A-4675-86A9-A3FF35752309}"/>
    <cellStyle name="Calculation 7 9 2" xfId="5079" xr:uid="{CFE07360-864C-4DA7-ADB2-3F19CF883216}"/>
    <cellStyle name="Calculation 7 9 3" xfId="26619" xr:uid="{7FDB93D4-6466-44B3-99D5-2FA208A6C2B8}"/>
    <cellStyle name="Calculation 8" xfId="5080" xr:uid="{07BAB481-2662-4849-9562-6B283E99C690}"/>
    <cellStyle name="Calculation 8 10" xfId="5081" xr:uid="{418257E6-381E-418E-A4E0-3ACCA3B55515}"/>
    <cellStyle name="Calculation 8 10 2" xfId="26620" xr:uid="{3D649C8E-5A60-424F-B555-1A3479C5A452}"/>
    <cellStyle name="Calculation 8 10 3" xfId="26621" xr:uid="{B677D51D-97E2-467D-BC1C-342902474326}"/>
    <cellStyle name="Calculation 8 11" xfId="5082" xr:uid="{AFD67BA1-9F45-4211-AFC6-D5D5B94E2A7F}"/>
    <cellStyle name="Calculation 8 11 2" xfId="26622" xr:uid="{04E2C8B1-0CF5-4BD3-8045-D5CEFF749DD3}"/>
    <cellStyle name="Calculation 8 12" xfId="26623" xr:uid="{AF6F688B-D50D-4A87-82CA-453C19DF154A}"/>
    <cellStyle name="Calculation 8 13" xfId="26624" xr:uid="{73E7FB9A-D7CB-413A-B371-745A475E068A}"/>
    <cellStyle name="Calculation 8 14" xfId="26625" xr:uid="{9898B05E-7756-4C3D-9596-D229F5C8B084}"/>
    <cellStyle name="Calculation 8 15" xfId="42389" xr:uid="{F5E7BAA0-F7CF-4394-B448-392B4CDA4135}"/>
    <cellStyle name="Calculation 8 16" xfId="42836" xr:uid="{627991AA-E904-4256-A079-5A79185D4880}"/>
    <cellStyle name="Calculation 8 17" xfId="43546" xr:uid="{81C13905-EDEB-43C6-8B58-443297DE3FE7}"/>
    <cellStyle name="Calculation 8 2" xfId="5083" xr:uid="{494153B1-C32C-499E-9FEA-7F7829E1510E}"/>
    <cellStyle name="Calculation 8 2 10" xfId="5084" xr:uid="{6CE9CF8F-896F-4AB5-A15D-29197639E239}"/>
    <cellStyle name="Calculation 8 2 10 2" xfId="26626" xr:uid="{0FBED9F1-4FE6-4236-AEBE-F0D28B138FB8}"/>
    <cellStyle name="Calculation 8 2 11" xfId="26627" xr:uid="{3800E8AE-33BA-4E59-A713-C9DD016AC8DC}"/>
    <cellStyle name="Calculation 8 2 2" xfId="5085" xr:uid="{C4C39C5A-9188-4A38-93EF-5D2F43DA5B36}"/>
    <cellStyle name="Calculation 8 2 2 2" xfId="5086" xr:uid="{1B164EB8-DE50-45C3-9706-EE6D812A9143}"/>
    <cellStyle name="Calculation 8 2 2 3" xfId="5087" xr:uid="{BDC5D005-DF01-4F18-958A-AEA07AB14827}"/>
    <cellStyle name="Calculation 8 2 2 4" xfId="5088" xr:uid="{8791D30E-117B-4923-96AA-E791AE2CCBBC}"/>
    <cellStyle name="Calculation 8 2 3" xfId="5089" xr:uid="{1D7D5D39-0516-417B-88DA-55095B6ED9BF}"/>
    <cellStyle name="Calculation 8 2 3 2" xfId="5090" xr:uid="{ABCBCEB4-7B25-4B7A-98DD-8EB67434569B}"/>
    <cellStyle name="Calculation 8 2 3 3" xfId="26628" xr:uid="{56F0101B-60A5-4AFF-8DF7-3268CF9F841A}"/>
    <cellStyle name="Calculation 8 2 4" xfId="5091" xr:uid="{30990A64-F4F4-4661-9ED9-474057BBEAE2}"/>
    <cellStyle name="Calculation 8 2 4 2" xfId="5092" xr:uid="{F53CBBC8-34D1-46E1-86AC-0E3917B47449}"/>
    <cellStyle name="Calculation 8 2 4 3" xfId="26629" xr:uid="{693677E8-C9EC-4543-8B31-7DB8969AC8BC}"/>
    <cellStyle name="Calculation 8 2 5" xfId="5093" xr:uid="{32DA453E-F435-4B1A-9C57-76237732AD1C}"/>
    <cellStyle name="Calculation 8 2 5 2" xfId="5094" xr:uid="{ABE0BCC9-ED82-4216-9285-1BFC593D7D32}"/>
    <cellStyle name="Calculation 8 2 5 3" xfId="26630" xr:uid="{50753561-5E67-4202-89E7-3BD2FF1B2615}"/>
    <cellStyle name="Calculation 8 2 6" xfId="5095" xr:uid="{9DF728B3-0800-4220-AEB6-CE67E4AED551}"/>
    <cellStyle name="Calculation 8 2 6 2" xfId="5096" xr:uid="{B84A6FAC-4155-4A5C-AA70-3862016D615C}"/>
    <cellStyle name="Calculation 8 2 6 3" xfId="26631" xr:uid="{96806FD3-5DEA-4BC5-9092-DC3F5C2DAA5B}"/>
    <cellStyle name="Calculation 8 2 7" xfId="5097" xr:uid="{17A8C848-431C-415E-A237-0C7848C9710C}"/>
    <cellStyle name="Calculation 8 2 7 2" xfId="5098" xr:uid="{AB23115C-1648-4572-A86D-9AAB946B1AC9}"/>
    <cellStyle name="Calculation 8 2 7 3" xfId="26632" xr:uid="{5C1EEB2A-3BD8-4656-8D7F-A5B9D6045812}"/>
    <cellStyle name="Calculation 8 2 8" xfId="5099" xr:uid="{44BD0E0C-1ED7-4715-AD1C-AC0274BDFBB8}"/>
    <cellStyle name="Calculation 8 2 8 2" xfId="5100" xr:uid="{79903E4C-0832-4478-A798-E612873B459E}"/>
    <cellStyle name="Calculation 8 2 8 3" xfId="26633" xr:uid="{BEFEEAFA-4998-4A2D-BB35-65D00D410AC9}"/>
    <cellStyle name="Calculation 8 2 9" xfId="5101" xr:uid="{C65ED3AE-55BB-4A66-9769-F3FED2F99E01}"/>
    <cellStyle name="Calculation 8 2 9 2" xfId="26634" xr:uid="{127785AE-3952-4014-BDE8-01E469A18CA9}"/>
    <cellStyle name="Calculation 8 2 9 3" xfId="26635" xr:uid="{61F14C12-2B9B-4CDB-9A21-8771D2203E82}"/>
    <cellStyle name="Calculation 8 3" xfId="5102" xr:uid="{5E797CDA-58C5-4A7A-B543-C7401CEA8B68}"/>
    <cellStyle name="Calculation 8 3 2" xfId="5103" xr:uid="{2DC4BD4E-8CD3-454E-B6C6-480C6127A473}"/>
    <cellStyle name="Calculation 8 3 3" xfId="5104" xr:uid="{F2D643DE-23F2-4620-8A15-DA70556E0F9B}"/>
    <cellStyle name="Calculation 8 3 4" xfId="5105" xr:uid="{910CECB2-E542-42F6-85C5-572DC3849549}"/>
    <cellStyle name="Calculation 8 4" xfId="5106" xr:uid="{3CC795A5-B5CB-436D-A177-F5F8FBB984A6}"/>
    <cellStyle name="Calculation 8 4 2" xfId="5107" xr:uid="{55C5D053-F9D7-4B0F-A106-82A07B84DFA3}"/>
    <cellStyle name="Calculation 8 4 3" xfId="26636" xr:uid="{1D3D6651-31E4-48B4-ACCB-C2761CA951B6}"/>
    <cellStyle name="Calculation 8 5" xfId="5108" xr:uid="{08D64674-704C-4730-84DB-4DA156769259}"/>
    <cellStyle name="Calculation 8 5 2" xfId="5109" xr:uid="{FF131A52-E60D-429F-81EC-4CEC37997D1E}"/>
    <cellStyle name="Calculation 8 5 3" xfId="26637" xr:uid="{A21CC1E3-C7FD-40BB-AC47-CFA79C4FD353}"/>
    <cellStyle name="Calculation 8 6" xfId="5110" xr:uid="{4DBDA2DC-57ED-4BD8-A852-15A9CEB10BB3}"/>
    <cellStyle name="Calculation 8 6 2" xfId="5111" xr:uid="{1FA3D831-5B30-4BA5-8054-3FB54E73569A}"/>
    <cellStyle name="Calculation 8 6 3" xfId="26638" xr:uid="{F387F493-F513-4179-AAB6-60F92BD9D00A}"/>
    <cellStyle name="Calculation 8 7" xfId="5112" xr:uid="{832516DD-EA65-40F8-9FAB-2A8586FA9BFF}"/>
    <cellStyle name="Calculation 8 7 2" xfId="5113" xr:uid="{F57FBA20-D403-48AC-A4AC-76034DAAD54A}"/>
    <cellStyle name="Calculation 8 7 3" xfId="26639" xr:uid="{A42A684B-AC71-4AEA-945F-A08C6B3F6AB4}"/>
    <cellStyle name="Calculation 8 8" xfId="5114" xr:uid="{0F5D1050-66B8-40B3-B7AA-6D31AC0162A8}"/>
    <cellStyle name="Calculation 8 8 2" xfId="5115" xr:uid="{859C59BB-2737-4B63-8C88-DFE0873291AF}"/>
    <cellStyle name="Calculation 8 8 3" xfId="26640" xr:uid="{8D9B586B-7E1F-45B2-8F81-3D3C6E99346D}"/>
    <cellStyle name="Calculation 8 9" xfId="5116" xr:uid="{B4F9AABC-2A2F-480D-AD81-7435434E34DF}"/>
    <cellStyle name="Calculation 8 9 2" xfId="5117" xr:uid="{EF32ED54-0EB0-44D4-96E9-F96FE792E333}"/>
    <cellStyle name="Calculation 8 9 3" xfId="26641" xr:uid="{2D41803B-D5A1-45F0-919E-852FCDCF58A9}"/>
    <cellStyle name="Calculation 9" xfId="5118" xr:uid="{1BFDC27F-940A-40B1-B816-734AC7BAD0C5}"/>
    <cellStyle name="Calculation 9 10" xfId="5119" xr:uid="{D61461AB-CECE-4493-AE29-B0BBAA99535B}"/>
    <cellStyle name="Calculation 9 10 2" xfId="26642" xr:uid="{66F2DEC8-9455-441F-8877-1D2C287B54D2}"/>
    <cellStyle name="Calculation 9 10 3" xfId="26643" xr:uid="{2E116DFB-72DB-4C05-B580-3B2460FDA253}"/>
    <cellStyle name="Calculation 9 11" xfId="5120" xr:uid="{F6E9CA05-BD08-491B-B7FC-7C293AE676F2}"/>
    <cellStyle name="Calculation 9 11 2" xfId="26644" xr:uid="{41855715-AB2E-40D3-97B5-5B59C6785E2B}"/>
    <cellStyle name="Calculation 9 12" xfId="26645" xr:uid="{0ADAA2A9-7473-41DE-91C8-F4A85E0DC73E}"/>
    <cellStyle name="Calculation 9 13" xfId="26646" xr:uid="{50FC2069-8480-4E0A-BD25-FC6ED5E5B45B}"/>
    <cellStyle name="Calculation 9 14" xfId="26647" xr:uid="{04023B84-DD32-44FC-A209-35F873F2C769}"/>
    <cellStyle name="Calculation 9 15" xfId="42390" xr:uid="{0087405F-F4CF-4B1D-A23F-6B205C4F102E}"/>
    <cellStyle name="Calculation 9 16" xfId="42835" xr:uid="{48DF85CD-D3A9-4873-9585-C149FDE7C9B7}"/>
    <cellStyle name="Calculation 9 17" xfId="43547" xr:uid="{11CD1953-8FEA-41CC-94C9-3AFB511F502C}"/>
    <cellStyle name="Calculation 9 2" xfId="5121" xr:uid="{090ADC6D-A2F0-42AA-9408-79FAB52B36B7}"/>
    <cellStyle name="Calculation 9 2 10" xfId="5122" xr:uid="{3B850DB7-F3E4-49D9-B07D-73BFEAA0E511}"/>
    <cellStyle name="Calculation 9 2 10 2" xfId="26648" xr:uid="{AA5734EF-C2AB-4571-ADF5-CEBF1FB23F7A}"/>
    <cellStyle name="Calculation 9 2 11" xfId="26649" xr:uid="{DD3D8FFC-A3C6-4572-BC8D-E0DACB5B3069}"/>
    <cellStyle name="Calculation 9 2 2" xfId="5123" xr:uid="{D5EE7903-1525-49B0-B3C6-40E2B5D71AE6}"/>
    <cellStyle name="Calculation 9 2 2 2" xfId="5124" xr:uid="{943FD41C-E1A7-46CD-8B6D-E4593B1FDF5E}"/>
    <cellStyle name="Calculation 9 2 2 3" xfId="5125" xr:uid="{3D738F0B-E780-44CC-9DE0-CA4E8058EB02}"/>
    <cellStyle name="Calculation 9 2 2 4" xfId="5126" xr:uid="{BDCFDDC4-0B6A-4704-8718-8A0CC5AEFE48}"/>
    <cellStyle name="Calculation 9 2 3" xfId="5127" xr:uid="{B5EC4BE5-F6DF-4508-B5CE-96A0FA1A5DC9}"/>
    <cellStyle name="Calculation 9 2 3 2" xfId="5128" xr:uid="{C2185988-7C0A-43BE-B44C-30B16A80EF04}"/>
    <cellStyle name="Calculation 9 2 3 3" xfId="26650" xr:uid="{B2B7E5C1-A65B-4811-969C-48471AE3DC29}"/>
    <cellStyle name="Calculation 9 2 4" xfId="5129" xr:uid="{2BD9F323-96F1-43B1-95C8-05F860D231F4}"/>
    <cellStyle name="Calculation 9 2 4 2" xfId="5130" xr:uid="{95239DC1-DDF1-4BBC-ACE0-0AFEAFE5729C}"/>
    <cellStyle name="Calculation 9 2 4 3" xfId="26651" xr:uid="{FBDF17A7-DE3A-4D06-8106-DE32163EA610}"/>
    <cellStyle name="Calculation 9 2 5" xfId="5131" xr:uid="{8FC56833-A470-4CDE-83B6-B328A1D23228}"/>
    <cellStyle name="Calculation 9 2 5 2" xfId="5132" xr:uid="{D296C0E9-C444-452C-A158-4449A516D3FC}"/>
    <cellStyle name="Calculation 9 2 5 3" xfId="26652" xr:uid="{7EFF1DDD-EAB5-4531-B4D6-5D7AB17B6A42}"/>
    <cellStyle name="Calculation 9 2 6" xfId="5133" xr:uid="{A5936CEE-AAA3-4F93-B4E8-5C7FB2E56D93}"/>
    <cellStyle name="Calculation 9 2 6 2" xfId="5134" xr:uid="{5DF14F78-F991-49BF-B506-DB680FBEE75B}"/>
    <cellStyle name="Calculation 9 2 6 3" xfId="26653" xr:uid="{5E56DAF6-DD9A-4107-8190-394321F9FE09}"/>
    <cellStyle name="Calculation 9 2 7" xfId="5135" xr:uid="{F1A2517C-E619-409E-9E9F-19ED80482004}"/>
    <cellStyle name="Calculation 9 2 7 2" xfId="5136" xr:uid="{4A725CEF-F7F3-43F8-9EA2-7A718B344F5B}"/>
    <cellStyle name="Calculation 9 2 7 3" xfId="26654" xr:uid="{A12658A9-C556-43B5-95F7-7CEBB7BEFCC5}"/>
    <cellStyle name="Calculation 9 2 8" xfId="5137" xr:uid="{2B191F22-6448-4666-9AEB-15C4C25E6AA5}"/>
    <cellStyle name="Calculation 9 2 8 2" xfId="5138" xr:uid="{45679009-B8B2-4D9D-B670-EDAE0691397B}"/>
    <cellStyle name="Calculation 9 2 8 3" xfId="26655" xr:uid="{35FF9B27-CF01-4400-9607-62EA6C926E70}"/>
    <cellStyle name="Calculation 9 2 9" xfId="5139" xr:uid="{AAB2D6B4-13C4-40A4-8C13-742CDA2865CE}"/>
    <cellStyle name="Calculation 9 2 9 2" xfId="26656" xr:uid="{C70A4BC6-9277-4A30-97A1-A6D9C8536E6E}"/>
    <cellStyle name="Calculation 9 2 9 3" xfId="26657" xr:uid="{81BE3E80-98A1-4924-B070-5E8AFD2E1247}"/>
    <cellStyle name="Calculation 9 3" xfId="5140" xr:uid="{30F2881F-5D59-4A29-B9B5-E1F708A18F6A}"/>
    <cellStyle name="Calculation 9 3 2" xfId="5141" xr:uid="{7180FF26-6984-4F2E-8CB7-B8E02AA0D54B}"/>
    <cellStyle name="Calculation 9 3 3" xfId="5142" xr:uid="{60AE9A6D-001F-4DB9-96C5-82DE4C833A41}"/>
    <cellStyle name="Calculation 9 3 4" xfId="5143" xr:uid="{1B504F99-7FB8-44AD-9630-99928AF7EF0D}"/>
    <cellStyle name="Calculation 9 4" xfId="5144" xr:uid="{E5CDDECD-385E-40B8-AE50-EE0F594C4D75}"/>
    <cellStyle name="Calculation 9 4 2" xfId="5145" xr:uid="{2A13B33D-9075-4DD2-92E2-B32960C057F9}"/>
    <cellStyle name="Calculation 9 4 3" xfId="26658" xr:uid="{A339368B-6CB0-49AF-AA11-F10647330B39}"/>
    <cellStyle name="Calculation 9 5" xfId="5146" xr:uid="{847AF2B5-5030-43FC-B506-052263A2C4C8}"/>
    <cellStyle name="Calculation 9 5 2" xfId="5147" xr:uid="{584FF464-23E2-4428-9F31-EC84AFB584BC}"/>
    <cellStyle name="Calculation 9 5 3" xfId="26659" xr:uid="{880C29D3-692C-4C9B-A3F2-184E31BBEE45}"/>
    <cellStyle name="Calculation 9 6" xfId="5148" xr:uid="{2CA4B0B1-B2ED-4B35-9B00-13755721EA11}"/>
    <cellStyle name="Calculation 9 6 2" xfId="5149" xr:uid="{A9FEAD69-4439-493F-8301-955328FDA9BA}"/>
    <cellStyle name="Calculation 9 6 3" xfId="26660" xr:uid="{B4169EFB-C0CE-439C-ABFC-121CFD7366F5}"/>
    <cellStyle name="Calculation 9 7" xfId="5150" xr:uid="{6840AFEF-5B24-4C9B-8956-1581EFDFB6D2}"/>
    <cellStyle name="Calculation 9 7 2" xfId="5151" xr:uid="{AB129F85-B12C-402B-945D-1BAB22B6AA78}"/>
    <cellStyle name="Calculation 9 7 3" xfId="26661" xr:uid="{A5CAA019-16EF-428A-92ED-CAF50B6FCAA4}"/>
    <cellStyle name="Calculation 9 8" xfId="5152" xr:uid="{1F9FB9A4-860D-43E3-A9EF-88AD4D5AD7FF}"/>
    <cellStyle name="Calculation 9 8 2" xfId="5153" xr:uid="{E528EA53-E854-4FA3-9B7A-20294CFA1CC3}"/>
    <cellStyle name="Calculation 9 8 3" xfId="26662" xr:uid="{F231CE15-CCE9-4577-A4B0-5913E07DFCF0}"/>
    <cellStyle name="Calculation 9 9" xfId="5154" xr:uid="{AD38D957-8BE1-4F0D-8343-ED3C6D6DBB1D}"/>
    <cellStyle name="Calculation 9 9 2" xfId="5155" xr:uid="{3A0E532C-DC30-4611-8ABF-DF40D3621BEF}"/>
    <cellStyle name="Calculation 9 9 3" xfId="26663" xr:uid="{A1E422BC-0C9F-4630-9AFE-9ECCD8CC1F86}"/>
    <cellStyle name="Cella collegata" xfId="67" xr:uid="{D203C2C2-EFF8-4926-87D7-15E35E1B1BF0}"/>
    <cellStyle name="Cella da controllare" xfId="68" xr:uid="{E301CB2B-6D0C-4AA9-BD7B-B65A73F5F3A2}"/>
    <cellStyle name="Cella da controllare 2" xfId="5156" xr:uid="{5962583B-E4F6-4AD0-B9EB-35218E5F5972}"/>
    <cellStyle name="Cella da controllare 2 2" xfId="5157" xr:uid="{45C43F27-E207-47E6-9282-3E382B0E985B}"/>
    <cellStyle name="Cella da controllare 3" xfId="5158" xr:uid="{9BF5FABE-DC97-4FFE-A476-6004F4F42FEC}"/>
    <cellStyle name="Cella da controllare 3 2" xfId="5159" xr:uid="{D3F0A33C-561B-4D43-9327-82FC0A569700}"/>
    <cellStyle name="Cella da controllare 4" xfId="5160" xr:uid="{A1ABED3F-5B6B-4487-A749-DC7210BCDC2A}"/>
    <cellStyle name="Cella da controllare 4 2" xfId="5161" xr:uid="{C699B901-B9E6-4479-93DC-2CEA9915BEA6}"/>
    <cellStyle name="Cella da controllare 5" xfId="5162" xr:uid="{181AEDBB-3A83-4291-BBDC-0F3422BDE994}"/>
    <cellStyle name="Cella da controllare 5 2" xfId="5163" xr:uid="{7F041955-D658-41ED-BA82-43ED1BD80C24}"/>
    <cellStyle name="Cella da controllare 6" xfId="5164" xr:uid="{4097C4E9-2572-4F81-B9E1-D2A0A791E387}"/>
    <cellStyle name="Cella da controllare 6 2" xfId="5165" xr:uid="{F6D68B93-5DD5-40D6-BC78-907CD3C94A58}"/>
    <cellStyle name="Cella da controllare 7" xfId="5166" xr:uid="{C3038779-77AB-474D-9BA6-932FCE95A120}"/>
    <cellStyle name="Cellule liée" xfId="5167" xr:uid="{BB986651-C6B8-4AC2-A9B0-1E49E0E5751F}"/>
    <cellStyle name="Char" xfId="5168" xr:uid="{145C1335-0624-4205-B38A-8FC3D5F2C19E}"/>
    <cellStyle name="Check Cell" xfId="45795" builtinId="23" customBuiltin="1"/>
    <cellStyle name="Check Cell 10" xfId="5169" xr:uid="{08889DD1-74BC-4079-A41D-1977AB9B868D}"/>
    <cellStyle name="Check Cell 10 2" xfId="5170" xr:uid="{B07EC4D7-E6CD-4DDA-8A30-70A0E220FFC5}"/>
    <cellStyle name="Check Cell 10 2 2" xfId="5171" xr:uid="{DC935553-E278-4A97-AF3B-179793E25BA6}"/>
    <cellStyle name="Check Cell 10 3" xfId="5172" xr:uid="{7EAAFA17-7704-4EC5-AB98-2409D2703423}"/>
    <cellStyle name="Check Cell 10 3 2" xfId="5173" xr:uid="{34507FFD-8E86-443D-BD64-80886A740FD8}"/>
    <cellStyle name="Check Cell 10 4" xfId="5174" xr:uid="{B5D1B46B-9C8C-4A73-8294-609128AA3FEC}"/>
    <cellStyle name="Check Cell 10 4 2" xfId="5175" xr:uid="{9F87809D-ECBE-47E0-BDD0-A3081CCED509}"/>
    <cellStyle name="Check Cell 10 5" xfId="5176" xr:uid="{48142869-351E-4CC4-BA28-C89B58C4439D}"/>
    <cellStyle name="Check Cell 10 5 2" xfId="5177" xr:uid="{11B0F5FA-6C86-46A6-A340-65190B70F22E}"/>
    <cellStyle name="Check Cell 10 6" xfId="5178" xr:uid="{7B3867AB-8571-440B-A564-2601692927A2}"/>
    <cellStyle name="Check Cell 10 6 2" xfId="5179" xr:uid="{95769E3E-8AAF-41CB-A736-836D0C15F5E1}"/>
    <cellStyle name="Check Cell 10 7" xfId="5180" xr:uid="{7D03F17E-74B1-4C38-936F-0A1627E25E3C}"/>
    <cellStyle name="Check Cell 11" xfId="26664" xr:uid="{5A95DF01-C638-4BEF-B5F2-C2DBB3B1FE8E}"/>
    <cellStyle name="Check Cell 12" xfId="26665" xr:uid="{B49A4E41-DFA3-4F06-AD3E-13DC4748D8F5}"/>
    <cellStyle name="Check Cell 13" xfId="26666" xr:uid="{DB4E401A-2075-4FD2-A9D1-BF2544A49A5E}"/>
    <cellStyle name="Check Cell 14" xfId="26667" xr:uid="{6BB54686-C6F2-42F6-BBF6-D9E02E97B0F5}"/>
    <cellStyle name="Check Cell 15" xfId="26668" xr:uid="{5737A4FE-1ED1-4A4A-A014-74F694AE7599}"/>
    <cellStyle name="Check Cell 16" xfId="26669" xr:uid="{78313568-8311-4D66-9B27-F566333AC773}"/>
    <cellStyle name="Check Cell 17" xfId="26670" xr:uid="{CCA3460A-319B-44E9-8E86-6AEC7520CD77}"/>
    <cellStyle name="Check Cell 18" xfId="26671" xr:uid="{6C1DF54F-9DE2-4F37-86EA-24C4C25687C6}"/>
    <cellStyle name="Check Cell 19" xfId="26672" xr:uid="{CAF187D4-6510-4118-8BD2-75F5F72600A4}"/>
    <cellStyle name="Check Cell 2" xfId="5181" xr:uid="{90514F9A-CBC9-4ADA-A002-719F724F50ED}"/>
    <cellStyle name="Check Cell 2 10" xfId="5182" xr:uid="{846C3AC9-9C21-4D95-9F7B-4CBADBC6712A}"/>
    <cellStyle name="Check Cell 2 10 2" xfId="5183" xr:uid="{7AFC85BC-69FA-466D-B997-DF264D37436D}"/>
    <cellStyle name="Check Cell 2 10 2 2" xfId="5184" xr:uid="{33F2121B-C84D-493B-BFD5-2FC07394690E}"/>
    <cellStyle name="Check Cell 2 10 3" xfId="5185" xr:uid="{10ED993F-DD07-47FE-8A95-8DFF30945A0C}"/>
    <cellStyle name="Check Cell 2 10 3 2" xfId="5186" xr:uid="{5C7C510A-6E12-424D-812F-FCDFBFAD468E}"/>
    <cellStyle name="Check Cell 2 10 4" xfId="5187" xr:uid="{E9B08B43-CAA3-425D-B995-6F3F9DEEE3B9}"/>
    <cellStyle name="Check Cell 2 10 4 2" xfId="5188" xr:uid="{1D65205D-E878-4D33-95A7-18814E07C18B}"/>
    <cellStyle name="Check Cell 2 10 5" xfId="5189" xr:uid="{3A885C43-C486-4D81-B59D-738F775CAD93}"/>
    <cellStyle name="Check Cell 2 10 5 2" xfId="5190" xr:uid="{A6D0E124-561C-4ECA-8602-077F672845FE}"/>
    <cellStyle name="Check Cell 2 10 6" xfId="5191" xr:uid="{44CD7C51-E9A7-4768-9094-F186E02F4E85}"/>
    <cellStyle name="Check Cell 2 10 6 2" xfId="5192" xr:uid="{17545A21-0BF2-4539-924D-50D2C43104AA}"/>
    <cellStyle name="Check Cell 2 10 7" xfId="5193" xr:uid="{474707C8-2BDB-43C8-AACF-E6FA00E901FA}"/>
    <cellStyle name="Check Cell 2 11" xfId="5194" xr:uid="{4A3434CD-3553-432C-BB8A-85DF8387592D}"/>
    <cellStyle name="Check Cell 2 11 2" xfId="5195" xr:uid="{A7F56F66-F533-42D5-AC8F-86D892BC619A}"/>
    <cellStyle name="Check Cell 2 11 2 2" xfId="5196" xr:uid="{66B1217A-55B3-402A-A5EC-BC0E67DC2EC3}"/>
    <cellStyle name="Check Cell 2 11 3" xfId="5197" xr:uid="{B2A69916-CBA0-4C61-8F6D-B205EFBEC484}"/>
    <cellStyle name="Check Cell 2 11 3 2" xfId="5198" xr:uid="{6F25E91A-EE30-4BC9-B96C-09C4EE3F54C7}"/>
    <cellStyle name="Check Cell 2 11 4" xfId="5199" xr:uid="{24CE3039-A359-42FC-A07F-EC871BA3675F}"/>
    <cellStyle name="Check Cell 2 11 4 2" xfId="5200" xr:uid="{15C4883E-3074-4F82-A0CE-F6F8658D913A}"/>
    <cellStyle name="Check Cell 2 11 5" xfId="5201" xr:uid="{9508204C-95F7-494A-8C4D-30AB1928B253}"/>
    <cellStyle name="Check Cell 2 11 5 2" xfId="5202" xr:uid="{359C865C-E9FB-4E1B-B8BC-3C7D4ADCA2E2}"/>
    <cellStyle name="Check Cell 2 11 6" xfId="5203" xr:uid="{A1582BDB-7185-4E8E-96F6-4BB0C6698488}"/>
    <cellStyle name="Check Cell 2 11 6 2" xfId="5204" xr:uid="{DBF4D806-3CE0-4F4C-B6AF-0A9124EA4BBB}"/>
    <cellStyle name="Check Cell 2 11 7" xfId="5205" xr:uid="{C786867F-9805-4319-9967-4E0BFD083315}"/>
    <cellStyle name="Check Cell 2 12" xfId="5206" xr:uid="{2D87FB0B-8302-4A37-B21D-D1CEDDC7D9BA}"/>
    <cellStyle name="Check Cell 2 12 2" xfId="5207" xr:uid="{A17F46E6-4FAE-45C3-828C-BBC33227A5B7}"/>
    <cellStyle name="Check Cell 2 13" xfId="5208" xr:uid="{F86B3C07-62F0-4BBD-B28B-A97CA0525A8E}"/>
    <cellStyle name="Check Cell 2 13 2" xfId="5209" xr:uid="{68932707-5A4E-41F2-8163-6585A5B31117}"/>
    <cellStyle name="Check Cell 2 14" xfId="5210" xr:uid="{886C6BD4-0CBF-49FB-B873-690EA5DD0FA9}"/>
    <cellStyle name="Check Cell 2 14 2" xfId="5211" xr:uid="{1342AFA1-B2C9-497C-8B24-B27C17C6F4C8}"/>
    <cellStyle name="Check Cell 2 15" xfId="5212" xr:uid="{7CAFB611-4F0E-455D-BCAB-E03FD0623DF0}"/>
    <cellStyle name="Check Cell 2 15 2" xfId="5213" xr:uid="{FD60508F-BD94-4714-BE6F-03822FB12E6F}"/>
    <cellStyle name="Check Cell 2 16" xfId="5214" xr:uid="{5F88CB6A-6672-446C-BBEA-C7FBE8EDCB76}"/>
    <cellStyle name="Check Cell 2 16 2" xfId="5215" xr:uid="{06F05425-C440-412C-83B3-A58C24C9EE20}"/>
    <cellStyle name="Check Cell 2 17" xfId="5216" xr:uid="{13E81A40-924E-40A9-8B41-74ED0DA585E6}"/>
    <cellStyle name="Check Cell 2 18" xfId="44107" xr:uid="{048E1586-1296-4AAD-862F-C2773C22FE75}"/>
    <cellStyle name="Check Cell 2 2" xfId="5217" xr:uid="{AA25089F-6B2F-46E1-B141-255A0BC38D74}"/>
    <cellStyle name="Check Cell 2 2 2" xfId="5218" xr:uid="{2BAABFBD-7620-4709-B106-15AB3CD10985}"/>
    <cellStyle name="Check Cell 2 2 2 2" xfId="5219" xr:uid="{666E79E5-74AA-4EAE-AB50-DBF3736EF38A}"/>
    <cellStyle name="Check Cell 2 2 3" xfId="5220" xr:uid="{C2048F58-D033-4F3E-8BD3-7CCCB42A9A72}"/>
    <cellStyle name="Check Cell 2 2 3 2" xfId="5221" xr:uid="{3EE6BD06-3BE3-4E51-8772-B74A89DC7706}"/>
    <cellStyle name="Check Cell 2 2 4" xfId="5222" xr:uid="{E27E1CF2-BF4F-4461-BCD5-EEDA8C6091A5}"/>
    <cellStyle name="Check Cell 2 2 4 2" xfId="5223" xr:uid="{9A524065-64DE-43EF-BF4C-DCD215C7A842}"/>
    <cellStyle name="Check Cell 2 2 5" xfId="5224" xr:uid="{ED6FAA05-380A-42DF-8A9B-86EFBE71D1D8}"/>
    <cellStyle name="Check Cell 2 2 5 2" xfId="5225" xr:uid="{52144E76-140C-4A8C-9D7A-A90428773162}"/>
    <cellStyle name="Check Cell 2 2 6" xfId="5226" xr:uid="{EB3C0D1D-C9EF-45EC-9432-47142631219D}"/>
    <cellStyle name="Check Cell 2 2 6 2" xfId="5227" xr:uid="{9E9D0B61-B8E2-473C-8600-40ED0A305A61}"/>
    <cellStyle name="Check Cell 2 2 7" xfId="5228" xr:uid="{4065A157-790B-456E-A57A-D24614156281}"/>
    <cellStyle name="Check Cell 2 3" xfId="5229" xr:uid="{20884607-B395-4834-9071-4A2E35AD8944}"/>
    <cellStyle name="Check Cell 2 3 2" xfId="5230" xr:uid="{0DFB8122-E44E-471C-A6D2-4EF957F5D239}"/>
    <cellStyle name="Check Cell 2 3 2 2" xfId="5231" xr:uid="{D1BA3409-D000-44ED-927C-F27B8BDE124C}"/>
    <cellStyle name="Check Cell 2 3 3" xfId="5232" xr:uid="{F070D01B-3E83-4589-8B3C-D67600E8B5ED}"/>
    <cellStyle name="Check Cell 2 3 3 2" xfId="5233" xr:uid="{A2AB9F51-47E4-4B67-8513-AFB765B2540F}"/>
    <cellStyle name="Check Cell 2 3 4" xfId="5234" xr:uid="{39C8F9A0-6DE8-4925-A806-424FFB34C61F}"/>
    <cellStyle name="Check Cell 2 3 4 2" xfId="5235" xr:uid="{5A3A2AF2-4FEE-4A77-8BC6-C4735FF9EFD2}"/>
    <cellStyle name="Check Cell 2 3 5" xfId="5236" xr:uid="{8A8B503C-E4F2-43C6-941A-2A511277092E}"/>
    <cellStyle name="Check Cell 2 3 5 2" xfId="5237" xr:uid="{DEB08416-EF9F-4AD0-91D1-ED9742062ED0}"/>
    <cellStyle name="Check Cell 2 3 6" xfId="5238" xr:uid="{130AAC26-3F6D-4782-89F8-F2476D999715}"/>
    <cellStyle name="Check Cell 2 3 6 2" xfId="5239" xr:uid="{7A03BD40-9743-480E-94D4-98CD74302858}"/>
    <cellStyle name="Check Cell 2 3 7" xfId="5240" xr:uid="{8A60A1A8-6209-49CC-975B-8937AE368750}"/>
    <cellStyle name="Check Cell 2 4" xfId="5241" xr:uid="{67C00A32-E48A-47DB-B961-F08E5D24D7EE}"/>
    <cellStyle name="Check Cell 2 4 2" xfId="5242" xr:uid="{7B7E3053-6D73-47A3-8316-8B9428D623ED}"/>
    <cellStyle name="Check Cell 2 4 2 2" xfId="5243" xr:uid="{AEE919DD-316B-473D-8B06-2439273D32E7}"/>
    <cellStyle name="Check Cell 2 4 3" xfId="5244" xr:uid="{4479147A-E5AC-48AF-8CB4-1A1C7FD0D565}"/>
    <cellStyle name="Check Cell 2 4 3 2" xfId="5245" xr:uid="{FD7AD61D-2F72-4517-A5C6-7273094A3D50}"/>
    <cellStyle name="Check Cell 2 4 4" xfId="5246" xr:uid="{52AE255F-4D60-4DD7-9E09-72F0AFA1093B}"/>
    <cellStyle name="Check Cell 2 4 4 2" xfId="5247" xr:uid="{25CA8B79-57DD-4213-8D0A-AAF7B27F196F}"/>
    <cellStyle name="Check Cell 2 4 5" xfId="5248" xr:uid="{716EB9CA-4FD7-4ADC-8123-76C56414362A}"/>
    <cellStyle name="Check Cell 2 4 5 2" xfId="5249" xr:uid="{3E9936B9-F5D7-4688-A95C-9E4C1F72B48C}"/>
    <cellStyle name="Check Cell 2 4 6" xfId="5250" xr:uid="{9EFAA3F1-727B-4D48-9CDF-CCE8414EF634}"/>
    <cellStyle name="Check Cell 2 4 6 2" xfId="5251" xr:uid="{2808CC01-AD5B-4011-97C1-CD9D95ACC3AE}"/>
    <cellStyle name="Check Cell 2 4 7" xfId="5252" xr:uid="{09E28216-044F-4C91-954A-7456153592C1}"/>
    <cellStyle name="Check Cell 2 5" xfId="5253" xr:uid="{6C503CBE-4910-4F2C-8645-7DB72913A303}"/>
    <cellStyle name="Check Cell 2 5 2" xfId="5254" xr:uid="{8814DD03-433A-4B74-828D-ADAB0A4D51A2}"/>
    <cellStyle name="Check Cell 2 5 2 2" xfId="5255" xr:uid="{81669965-9692-45D0-B08E-DB1C1E098A02}"/>
    <cellStyle name="Check Cell 2 5 3" xfId="5256" xr:uid="{63B135F5-BC6D-4297-BA23-94FA9707E37A}"/>
    <cellStyle name="Check Cell 2 5 3 2" xfId="5257" xr:uid="{95DF8C6D-CA05-423C-B877-7F37B55D8641}"/>
    <cellStyle name="Check Cell 2 5 4" xfId="5258" xr:uid="{2ECD0833-C427-4F8C-825F-F2A23C8E65C0}"/>
    <cellStyle name="Check Cell 2 5 4 2" xfId="5259" xr:uid="{ED22509F-3B5E-4A48-9C40-C462A488F9B6}"/>
    <cellStyle name="Check Cell 2 5 5" xfId="5260" xr:uid="{0C32C281-6441-4E17-9B2B-ED7998CC4D06}"/>
    <cellStyle name="Check Cell 2 5 5 2" xfId="5261" xr:uid="{9C938818-9DFF-42E9-A7CE-5ADEB7E7EEF0}"/>
    <cellStyle name="Check Cell 2 5 6" xfId="5262" xr:uid="{09A5E875-025C-4DBA-A67C-750F1A051366}"/>
    <cellStyle name="Check Cell 2 5 6 2" xfId="5263" xr:uid="{958A4946-6368-4CE7-BB91-43250D17EDDD}"/>
    <cellStyle name="Check Cell 2 5 7" xfId="5264" xr:uid="{C32A2675-C78E-4887-A021-EAECC585F49B}"/>
    <cellStyle name="Check Cell 2 6" xfId="5265" xr:uid="{1C329CDD-022B-44B1-88DE-E1E2EC1174E4}"/>
    <cellStyle name="Check Cell 2 6 2" xfId="5266" xr:uid="{B774422B-38E5-45D2-8D91-E10D953A114C}"/>
    <cellStyle name="Check Cell 2 6 2 2" xfId="5267" xr:uid="{3896F117-5BBE-46D0-A29E-9A3D0E768C92}"/>
    <cellStyle name="Check Cell 2 6 3" xfId="5268" xr:uid="{C2190786-2F15-40FA-AA27-F73CA54F140A}"/>
    <cellStyle name="Check Cell 2 6 3 2" xfId="5269" xr:uid="{E4DAED88-8FE2-4B84-8177-BDF79941EE3C}"/>
    <cellStyle name="Check Cell 2 6 4" xfId="5270" xr:uid="{11F97EF1-33E0-4D34-A288-656EFDCF7572}"/>
    <cellStyle name="Check Cell 2 6 4 2" xfId="5271" xr:uid="{B79473AA-2D60-4633-A922-F74314A934A7}"/>
    <cellStyle name="Check Cell 2 6 5" xfId="5272" xr:uid="{D1841EFD-1C3E-4C6D-8AF7-3B2F6464379E}"/>
    <cellStyle name="Check Cell 2 6 5 2" xfId="5273" xr:uid="{10CD89DB-4075-477F-B279-7447ACF945A8}"/>
    <cellStyle name="Check Cell 2 6 6" xfId="5274" xr:uid="{34237F80-D29B-4788-AE5F-59F45CCC074A}"/>
    <cellStyle name="Check Cell 2 6 6 2" xfId="5275" xr:uid="{AE7A6604-D487-4E8B-B67A-8CB5708D3815}"/>
    <cellStyle name="Check Cell 2 6 7" xfId="5276" xr:uid="{ACF8A904-96BA-4156-98CF-541D04445498}"/>
    <cellStyle name="Check Cell 2 7" xfId="5277" xr:uid="{AFDE8BE6-74C3-4F64-8DD4-C46745DB25EF}"/>
    <cellStyle name="Check Cell 2 7 2" xfId="5278" xr:uid="{BF8181EA-86E0-4F8A-9D01-DB34FAB30155}"/>
    <cellStyle name="Check Cell 2 7 2 2" xfId="5279" xr:uid="{C38CDB19-FDDC-48BE-ACAA-13EE6B1F2172}"/>
    <cellStyle name="Check Cell 2 7 3" xfId="5280" xr:uid="{740D591E-2369-45FA-A8B4-ED6C9E09A466}"/>
    <cellStyle name="Check Cell 2 7 3 2" xfId="5281" xr:uid="{E3D6BA47-2AF4-429B-83B3-5AAF9C0F2335}"/>
    <cellStyle name="Check Cell 2 7 4" xfId="5282" xr:uid="{6596CC02-31D8-4547-8DF6-CDB29A47CF27}"/>
    <cellStyle name="Check Cell 2 7 4 2" xfId="5283" xr:uid="{0D0D7FD4-7535-416F-9AB6-DFBD7089178F}"/>
    <cellStyle name="Check Cell 2 7 5" xfId="5284" xr:uid="{A9BEEE81-E722-461B-A2B2-D2DE06DAE77D}"/>
    <cellStyle name="Check Cell 2 7 5 2" xfId="5285" xr:uid="{FA243461-7F2B-4420-B3DC-9F7B661CC28B}"/>
    <cellStyle name="Check Cell 2 7 6" xfId="5286" xr:uid="{C55137CD-3B43-444E-B90E-E8B00F29A737}"/>
    <cellStyle name="Check Cell 2 7 6 2" xfId="5287" xr:uid="{16A86E2C-74C4-45FA-A4A3-16E1D8AFF266}"/>
    <cellStyle name="Check Cell 2 7 7" xfId="5288" xr:uid="{1EB8151C-9EAD-4717-92ED-4A723F5915CE}"/>
    <cellStyle name="Check Cell 2 8" xfId="5289" xr:uid="{06C222B0-3FF8-49C7-B7F4-C1A199E7814B}"/>
    <cellStyle name="Check Cell 2 8 2" xfId="5290" xr:uid="{565C72F3-5178-44F1-B956-B07F27F8F8B4}"/>
    <cellStyle name="Check Cell 2 8 2 2" xfId="5291" xr:uid="{D1CD1B4B-18CA-461E-B56D-A14C28EA6EFD}"/>
    <cellStyle name="Check Cell 2 8 3" xfId="5292" xr:uid="{38AD34C5-F6F8-4DAC-85C8-D4CC87563E8F}"/>
    <cellStyle name="Check Cell 2 8 3 2" xfId="5293" xr:uid="{D94E35CF-4CE8-405B-8CBC-09EEC47A9CC1}"/>
    <cellStyle name="Check Cell 2 8 4" xfId="5294" xr:uid="{C7BFF845-6FDF-4F66-8002-FB7B4D6455C5}"/>
    <cellStyle name="Check Cell 2 8 4 2" xfId="5295" xr:uid="{C0BE75F5-DE09-4D05-AD8D-E340B70E9675}"/>
    <cellStyle name="Check Cell 2 8 5" xfId="5296" xr:uid="{50DB0362-2E2C-4E04-8EB9-A3B545195E66}"/>
    <cellStyle name="Check Cell 2 8 5 2" xfId="5297" xr:uid="{BBFBC81C-FE30-4163-9013-607BA87F1C6C}"/>
    <cellStyle name="Check Cell 2 8 6" xfId="5298" xr:uid="{56FB9AAB-2C78-437B-9A42-EE03A28B2847}"/>
    <cellStyle name="Check Cell 2 8 6 2" xfId="5299" xr:uid="{C7269D79-7DE2-4FA4-B377-7D8E40FB6E85}"/>
    <cellStyle name="Check Cell 2 8 7" xfId="5300" xr:uid="{359CA99F-1E63-4980-BBC1-1399464E1BAB}"/>
    <cellStyle name="Check Cell 2 9" xfId="5301" xr:uid="{0B866B33-81D4-4C64-B998-D59421A98098}"/>
    <cellStyle name="Check Cell 2 9 2" xfId="5302" xr:uid="{507A2C91-A363-4021-B414-170ED1FCC686}"/>
    <cellStyle name="Check Cell 2 9 2 2" xfId="5303" xr:uid="{78C5F810-0974-4961-BACF-244DAACFE60C}"/>
    <cellStyle name="Check Cell 2 9 3" xfId="5304" xr:uid="{B96ADA4C-9617-4067-A737-9E8EEC54C906}"/>
    <cellStyle name="Check Cell 2 9 3 2" xfId="5305" xr:uid="{93622A83-540B-4C0D-B4CA-DF3250DA66C7}"/>
    <cellStyle name="Check Cell 2 9 4" xfId="5306" xr:uid="{96A94FAD-B2BB-41DE-B050-782EA79D371A}"/>
    <cellStyle name="Check Cell 2 9 4 2" xfId="5307" xr:uid="{E8C0EDAB-3190-4599-8700-3A133D544F55}"/>
    <cellStyle name="Check Cell 2 9 5" xfId="5308" xr:uid="{D1769EF7-7716-43EB-8D9E-A9FFBE0765A9}"/>
    <cellStyle name="Check Cell 2 9 5 2" xfId="5309" xr:uid="{A502AC57-A123-4C94-968B-5347F9839547}"/>
    <cellStyle name="Check Cell 2 9 6" xfId="5310" xr:uid="{563178DF-3FB7-4734-8003-067312CD5C10}"/>
    <cellStyle name="Check Cell 2 9 6 2" xfId="5311" xr:uid="{48921525-66C4-4F4C-A728-D31CF134D805}"/>
    <cellStyle name="Check Cell 2 9 7" xfId="5312" xr:uid="{3396CF44-C1B4-48EB-83FB-768EF593B66A}"/>
    <cellStyle name="Check Cell 20" xfId="26673" xr:uid="{6DA70DB9-C53E-4B57-821E-B1F0909E9B44}"/>
    <cellStyle name="Check Cell 21" xfId="26674" xr:uid="{16192583-ACF5-4DE6-8647-1B721A0C45ED}"/>
    <cellStyle name="Check Cell 22" xfId="26675" xr:uid="{1066309F-58B3-49CF-A3C8-5E43B8F14792}"/>
    <cellStyle name="Check Cell 23" xfId="26676" xr:uid="{EFFCA883-4FBD-436B-924D-5159D12E7014}"/>
    <cellStyle name="Check Cell 24" xfId="26677" xr:uid="{558C5BCD-6C73-4597-B48C-AF4C25E08774}"/>
    <cellStyle name="Check Cell 25" xfId="26678" xr:uid="{CBF39E59-9136-40BB-B849-BA33DD8D74A0}"/>
    <cellStyle name="Check Cell 26" xfId="26679" xr:uid="{9736663B-DB0A-4D7F-925A-91D2229D8FD0}"/>
    <cellStyle name="Check Cell 27" xfId="26680" xr:uid="{A99F0D8A-CA0E-4EBA-90B1-2AAC966091C7}"/>
    <cellStyle name="Check Cell 28" xfId="26681" xr:uid="{0403747E-3AEA-4668-B38E-5489C8B15B3B}"/>
    <cellStyle name="Check Cell 29" xfId="26682" xr:uid="{5A6EEEA7-B973-4DC2-8D8F-4E4391E08EDD}"/>
    <cellStyle name="Check Cell 3" xfId="5313" xr:uid="{AA952D4A-5C5F-4697-9717-DD76A8A82AE6}"/>
    <cellStyle name="Check Cell 3 10" xfId="5314" xr:uid="{732DB470-7A3F-410D-9E76-2E96AD927B69}"/>
    <cellStyle name="Check Cell 3 10 2" xfId="5315" xr:uid="{B54A7056-DA92-48A2-A71F-A87D02E5D6B9}"/>
    <cellStyle name="Check Cell 3 10 2 2" xfId="5316" xr:uid="{5AB83568-370D-446C-BADB-723FF725AA17}"/>
    <cellStyle name="Check Cell 3 10 3" xfId="5317" xr:uid="{D44B0DDF-B11A-4043-AF84-7964D247530B}"/>
    <cellStyle name="Check Cell 3 10 3 2" xfId="5318" xr:uid="{8A1965BF-4F73-47A6-AB65-DB3315EE13C3}"/>
    <cellStyle name="Check Cell 3 10 4" xfId="5319" xr:uid="{696E1F6A-C9D2-4062-99C0-46BEB0C7D0BE}"/>
    <cellStyle name="Check Cell 3 10 4 2" xfId="5320" xr:uid="{E3D6493A-8C8E-46F1-8AC9-548655128787}"/>
    <cellStyle name="Check Cell 3 10 5" xfId="5321" xr:uid="{C77A52E5-3388-46AE-8B85-4BDB44DDE5CB}"/>
    <cellStyle name="Check Cell 3 10 5 2" xfId="5322" xr:uid="{A6C67AD5-3E68-4E7C-9654-D4FCA3F6B1EA}"/>
    <cellStyle name="Check Cell 3 10 6" xfId="5323" xr:uid="{C9143895-47A0-4DDF-8675-962AA2130C4E}"/>
    <cellStyle name="Check Cell 3 10 6 2" xfId="5324" xr:uid="{1D16150A-58C0-4001-8E4C-4240877302A7}"/>
    <cellStyle name="Check Cell 3 10 7" xfId="5325" xr:uid="{F908638A-0B8F-4946-B3A4-F1D01FAD52C7}"/>
    <cellStyle name="Check Cell 3 11" xfId="5326" xr:uid="{FA6E40B1-A090-45C8-85C4-61DA75072B31}"/>
    <cellStyle name="Check Cell 3 11 2" xfId="5327" xr:uid="{2A6C0B7D-F228-433B-A099-B2BAE2834FEC}"/>
    <cellStyle name="Check Cell 3 11 2 2" xfId="5328" xr:uid="{2AB65923-29B3-4C5E-B93C-FC1CF8780000}"/>
    <cellStyle name="Check Cell 3 11 3" xfId="5329" xr:uid="{2FA933BD-0564-42E1-8783-B59E6EE6A087}"/>
    <cellStyle name="Check Cell 3 11 3 2" xfId="5330" xr:uid="{8982140F-0012-4231-AA5F-D32722E0433A}"/>
    <cellStyle name="Check Cell 3 11 4" xfId="5331" xr:uid="{4C843856-F0C4-43BF-862A-8FD800C01C84}"/>
    <cellStyle name="Check Cell 3 11 4 2" xfId="5332" xr:uid="{70F8BBEC-5A28-4850-89B3-D9D4A24F7C72}"/>
    <cellStyle name="Check Cell 3 11 5" xfId="5333" xr:uid="{D65D9667-48AA-49C7-BEAD-80FF006ABCA8}"/>
    <cellStyle name="Check Cell 3 11 5 2" xfId="5334" xr:uid="{658C53E7-8B5C-49A0-8531-A1496332D83E}"/>
    <cellStyle name="Check Cell 3 11 6" xfId="5335" xr:uid="{F7BDD9B0-465E-42E3-8669-E98031179F42}"/>
    <cellStyle name="Check Cell 3 11 6 2" xfId="5336" xr:uid="{4B698E3B-2CC5-4937-ACAC-49D8BBA4C0E4}"/>
    <cellStyle name="Check Cell 3 11 7" xfId="5337" xr:uid="{7A14CE77-5041-4465-B93A-A63236670004}"/>
    <cellStyle name="Check Cell 3 12" xfId="5338" xr:uid="{41212EEA-3854-446C-B42D-AF82B8A31A4F}"/>
    <cellStyle name="Check Cell 3 12 2" xfId="5339" xr:uid="{A5B0F869-1DEB-4023-AFB3-D80D57ED8C17}"/>
    <cellStyle name="Check Cell 3 13" xfId="5340" xr:uid="{D44786C4-8B5E-482F-8260-F1647F38604E}"/>
    <cellStyle name="Check Cell 3 13 2" xfId="5341" xr:uid="{A1481E1A-EF3B-4F8D-9E6C-44F194B9AAA3}"/>
    <cellStyle name="Check Cell 3 14" xfId="5342" xr:uid="{99FB66AC-864B-45BE-A8E4-5D180CDA7622}"/>
    <cellStyle name="Check Cell 3 14 2" xfId="5343" xr:uid="{5C023E2B-E93A-4743-BFDD-C3533C37F958}"/>
    <cellStyle name="Check Cell 3 15" xfId="5344" xr:uid="{16B21317-8B83-432A-A388-E1EF7F31D460}"/>
    <cellStyle name="Check Cell 3 15 2" xfId="5345" xr:uid="{7F3350AC-9CB9-4DB8-89AF-B95AADDD0AB5}"/>
    <cellStyle name="Check Cell 3 16" xfId="5346" xr:uid="{FC6969E2-3904-4EAB-9D02-821F840F05E4}"/>
    <cellStyle name="Check Cell 3 16 2" xfId="5347" xr:uid="{A01137D2-0011-4AF7-8B7F-5C1067552545}"/>
    <cellStyle name="Check Cell 3 17" xfId="5348" xr:uid="{75FE490D-D2EC-4C0C-BA9E-81F1FD6ED04A}"/>
    <cellStyle name="Check Cell 3 18" xfId="44196" xr:uid="{76793009-FDB1-490B-ACF3-92A4DADA3373}"/>
    <cellStyle name="Check Cell 3 2" xfId="5349" xr:uid="{AB1EA8CA-2212-48D8-B781-316155FAD1CC}"/>
    <cellStyle name="Check Cell 3 2 2" xfId="5350" xr:uid="{3C4F8DC4-7070-4CFA-832C-D6A295FADE3B}"/>
    <cellStyle name="Check Cell 3 2 2 2" xfId="5351" xr:uid="{C1C18B9F-2AB3-4B31-A124-2C56D3EFAA93}"/>
    <cellStyle name="Check Cell 3 2 3" xfId="5352" xr:uid="{DFC968E7-52D4-4E2C-A616-A67B2B99C4AC}"/>
    <cellStyle name="Check Cell 3 2 3 2" xfId="5353" xr:uid="{5A4936F6-312D-427F-8471-A17ECB6B93E9}"/>
    <cellStyle name="Check Cell 3 2 4" xfId="5354" xr:uid="{EC93EB38-A24A-4033-BA6B-254652DFCC99}"/>
    <cellStyle name="Check Cell 3 2 4 2" xfId="5355" xr:uid="{F20617A0-9653-42F6-AE89-27A0549EFDBA}"/>
    <cellStyle name="Check Cell 3 2 5" xfId="5356" xr:uid="{587B0546-8591-46CC-B8DE-59BF30E52DF4}"/>
    <cellStyle name="Check Cell 3 2 5 2" xfId="5357" xr:uid="{1E8F2BAE-A042-40E7-B4F2-299089DCD118}"/>
    <cellStyle name="Check Cell 3 2 6" xfId="5358" xr:uid="{72582B2D-4917-42B4-B137-A5B8AE4EB776}"/>
    <cellStyle name="Check Cell 3 2 6 2" xfId="5359" xr:uid="{C13D6C85-B2EF-4F9D-A563-C22F93E678AB}"/>
    <cellStyle name="Check Cell 3 2 7" xfId="5360" xr:uid="{CC1AD712-7342-4F5A-9918-1053043B1C97}"/>
    <cellStyle name="Check Cell 3 3" xfId="5361" xr:uid="{8E04BE46-6269-48E2-9FA3-CCF2AF2014FB}"/>
    <cellStyle name="Check Cell 3 3 2" xfId="5362" xr:uid="{67B794D7-B102-48D3-96EA-116FB50586FA}"/>
    <cellStyle name="Check Cell 3 3 2 2" xfId="5363" xr:uid="{20675D93-D07B-449A-B7E2-9000A3C11599}"/>
    <cellStyle name="Check Cell 3 3 3" xfId="5364" xr:uid="{555FD74A-C9A7-408E-BE91-98271EC73CE0}"/>
    <cellStyle name="Check Cell 3 3 3 2" xfId="5365" xr:uid="{0926D9BE-4A88-4509-9A4C-A097F069FE87}"/>
    <cellStyle name="Check Cell 3 3 4" xfId="5366" xr:uid="{CF2402CD-B918-4624-92FE-F5B22049E8DB}"/>
    <cellStyle name="Check Cell 3 3 4 2" xfId="5367" xr:uid="{C9DA14D9-1022-45A9-A931-58ED59FC1E5A}"/>
    <cellStyle name="Check Cell 3 3 5" xfId="5368" xr:uid="{DE3C443B-82D7-49FF-BF99-F2D8CBD2EA50}"/>
    <cellStyle name="Check Cell 3 3 5 2" xfId="5369" xr:uid="{62EF453F-3A8F-463E-BEFF-9F18FBBAA1A8}"/>
    <cellStyle name="Check Cell 3 3 6" xfId="5370" xr:uid="{104F4044-4A82-4DA5-AAE6-196D3136ABCA}"/>
    <cellStyle name="Check Cell 3 3 6 2" xfId="5371" xr:uid="{0507B610-8A8F-48CC-9794-76E8A398AD55}"/>
    <cellStyle name="Check Cell 3 3 7" xfId="5372" xr:uid="{2FE020BC-3E86-4903-AE22-E49F20A572C6}"/>
    <cellStyle name="Check Cell 3 4" xfId="5373" xr:uid="{65C9C6AD-C929-486B-A9CA-E9480E88769A}"/>
    <cellStyle name="Check Cell 3 4 2" xfId="5374" xr:uid="{74A7A284-CE82-43FC-A2A8-8A8421455010}"/>
    <cellStyle name="Check Cell 3 4 2 2" xfId="5375" xr:uid="{A912D6D5-AEC7-40D2-8200-76DC0D563437}"/>
    <cellStyle name="Check Cell 3 4 3" xfId="5376" xr:uid="{A807E50C-8005-40F5-BA54-328C314D53ED}"/>
    <cellStyle name="Check Cell 3 4 3 2" xfId="5377" xr:uid="{13DE8B4B-4DC4-4ED5-961D-982DEC5DE2DC}"/>
    <cellStyle name="Check Cell 3 4 4" xfId="5378" xr:uid="{E59233E1-3BE6-400B-8ADE-67C1B5FC6F4B}"/>
    <cellStyle name="Check Cell 3 4 4 2" xfId="5379" xr:uid="{6C905F66-C77C-487D-8D59-9EEEB351AEE6}"/>
    <cellStyle name="Check Cell 3 4 5" xfId="5380" xr:uid="{C0B0271E-184D-4F56-B2AF-CFA3A75DFC37}"/>
    <cellStyle name="Check Cell 3 4 5 2" xfId="5381" xr:uid="{44A5637F-018C-43AF-911F-A2E14B34994C}"/>
    <cellStyle name="Check Cell 3 4 6" xfId="5382" xr:uid="{88BED3FE-4297-44A9-9012-59C01A140A69}"/>
    <cellStyle name="Check Cell 3 4 6 2" xfId="5383" xr:uid="{644E00BA-DC97-485B-A40C-D023D34F2615}"/>
    <cellStyle name="Check Cell 3 4 7" xfId="5384" xr:uid="{3272D45F-C69D-4133-93D8-7094C346D48A}"/>
    <cellStyle name="Check Cell 3 5" xfId="5385" xr:uid="{7A6DCC23-A4B2-40AE-AB73-CBCBBDEC0440}"/>
    <cellStyle name="Check Cell 3 5 2" xfId="5386" xr:uid="{EF7199CA-77FF-4247-AD87-4DE24CE80DAE}"/>
    <cellStyle name="Check Cell 3 5 2 2" xfId="5387" xr:uid="{F045450A-F76A-404F-AA54-2C3AF5617BC4}"/>
    <cellStyle name="Check Cell 3 5 3" xfId="5388" xr:uid="{504ED4A2-20AC-4D46-863C-524F8EEA1AD8}"/>
    <cellStyle name="Check Cell 3 5 3 2" xfId="5389" xr:uid="{1AC6FBA7-32F4-4EB5-AEA8-9D7A2FCD974F}"/>
    <cellStyle name="Check Cell 3 5 4" xfId="5390" xr:uid="{0F3D8C37-0C12-4353-A5A6-8ECAF754D4EF}"/>
    <cellStyle name="Check Cell 3 5 4 2" xfId="5391" xr:uid="{93F0C18C-6A8A-4B14-B222-9F1973B362E7}"/>
    <cellStyle name="Check Cell 3 5 5" xfId="5392" xr:uid="{246ECA2C-550F-4F62-A819-262D87BBDB29}"/>
    <cellStyle name="Check Cell 3 5 5 2" xfId="5393" xr:uid="{1D44322F-6457-412B-9160-A698597A1CA0}"/>
    <cellStyle name="Check Cell 3 5 6" xfId="5394" xr:uid="{10F2A9A8-37CF-4A77-A1E6-B69E78E454BB}"/>
    <cellStyle name="Check Cell 3 5 6 2" xfId="5395" xr:uid="{C5D2A03F-C23B-4FFC-886C-354AA79C8CCB}"/>
    <cellStyle name="Check Cell 3 5 7" xfId="5396" xr:uid="{3C83B239-9334-40F8-89BC-8A8E2F10A341}"/>
    <cellStyle name="Check Cell 3 6" xfId="5397" xr:uid="{97A362F6-4016-4C26-BD1A-E59CFAF9F153}"/>
    <cellStyle name="Check Cell 3 6 2" xfId="5398" xr:uid="{9AF98787-7223-4EA2-A2F4-A10E3864D192}"/>
    <cellStyle name="Check Cell 3 6 2 2" xfId="5399" xr:uid="{F1959394-359A-4A4B-9516-6704F6DFAAD9}"/>
    <cellStyle name="Check Cell 3 6 3" xfId="5400" xr:uid="{86757A57-81B2-41E6-9768-EE848481592F}"/>
    <cellStyle name="Check Cell 3 6 3 2" xfId="5401" xr:uid="{E21C39E1-9FF9-45A5-8574-8D4D020A6179}"/>
    <cellStyle name="Check Cell 3 6 4" xfId="5402" xr:uid="{2D2838BF-E3F2-4DBF-B4C1-AF19335AE947}"/>
    <cellStyle name="Check Cell 3 6 4 2" xfId="5403" xr:uid="{2CB38704-C7E6-41E4-BDF3-3F6C12503F88}"/>
    <cellStyle name="Check Cell 3 6 5" xfId="5404" xr:uid="{887F74CC-F9EE-470A-B701-5759BAD80F29}"/>
    <cellStyle name="Check Cell 3 6 5 2" xfId="5405" xr:uid="{61B5095B-F5A5-4A56-8451-E137BA10374D}"/>
    <cellStyle name="Check Cell 3 6 6" xfId="5406" xr:uid="{FEA63929-996D-4D58-ACE4-513C2B0A0987}"/>
    <cellStyle name="Check Cell 3 6 6 2" xfId="5407" xr:uid="{F72B74F6-AC50-4DA8-9C1D-F63A7736E6B6}"/>
    <cellStyle name="Check Cell 3 6 7" xfId="5408" xr:uid="{89293B01-2F73-4BC8-ADC6-C3E9D5303345}"/>
    <cellStyle name="Check Cell 3 7" xfId="5409" xr:uid="{52B47398-92BE-40C6-B275-2A4CF0D3C8DD}"/>
    <cellStyle name="Check Cell 3 7 2" xfId="5410" xr:uid="{BE91AC57-0CA6-412D-A25F-56D763CC54E7}"/>
    <cellStyle name="Check Cell 3 7 2 2" xfId="5411" xr:uid="{D7642FA4-A627-49C6-9F9C-4BF0ACDB6E3E}"/>
    <cellStyle name="Check Cell 3 7 3" xfId="5412" xr:uid="{559F11BD-206F-462C-B4DC-9587A272F8D5}"/>
    <cellStyle name="Check Cell 3 7 3 2" xfId="5413" xr:uid="{DAD98EC1-395A-4069-852B-C4BC2C011852}"/>
    <cellStyle name="Check Cell 3 7 4" xfId="5414" xr:uid="{96BE5BEE-EC8F-4632-9A83-49817953D3C5}"/>
    <cellStyle name="Check Cell 3 7 4 2" xfId="5415" xr:uid="{FD3A1035-4091-451B-852A-46E902025ED3}"/>
    <cellStyle name="Check Cell 3 7 5" xfId="5416" xr:uid="{12C427A5-43B0-4E5D-A994-C563EB321F4B}"/>
    <cellStyle name="Check Cell 3 7 5 2" xfId="5417" xr:uid="{AB0A54C6-998F-40A5-80F8-A0A8EBB82415}"/>
    <cellStyle name="Check Cell 3 7 6" xfId="5418" xr:uid="{748E0ECD-2DDD-4ABE-817C-DDD62F1C0ADB}"/>
    <cellStyle name="Check Cell 3 7 6 2" xfId="5419" xr:uid="{DD82C5C5-8255-4AB7-B11A-300B316BD2DF}"/>
    <cellStyle name="Check Cell 3 7 7" xfId="5420" xr:uid="{41BC0F18-85EB-4290-9CA9-A00A37AD4A07}"/>
    <cellStyle name="Check Cell 3 8" xfId="5421" xr:uid="{57E6A6A3-5079-46C1-9AFD-103555C89D9E}"/>
    <cellStyle name="Check Cell 3 8 2" xfId="5422" xr:uid="{A885B81B-94D7-45B1-A23F-56ACC32794CE}"/>
    <cellStyle name="Check Cell 3 8 2 2" xfId="5423" xr:uid="{DDC977A7-3FEB-4828-A983-667559BBA1EE}"/>
    <cellStyle name="Check Cell 3 8 3" xfId="5424" xr:uid="{D6A205E6-D708-4363-ACBD-597F9C0761E1}"/>
    <cellStyle name="Check Cell 3 8 3 2" xfId="5425" xr:uid="{72944E6B-6129-4FA1-8265-3257353DCC9E}"/>
    <cellStyle name="Check Cell 3 8 4" xfId="5426" xr:uid="{AF7DF367-1E5E-4BF8-8B09-83334B4E5286}"/>
    <cellStyle name="Check Cell 3 8 4 2" xfId="5427" xr:uid="{998D1C1E-F8F8-40C2-9619-AA616FC88753}"/>
    <cellStyle name="Check Cell 3 8 5" xfId="5428" xr:uid="{C830FCDC-B608-4C66-93B5-19FD78554936}"/>
    <cellStyle name="Check Cell 3 8 5 2" xfId="5429" xr:uid="{67116A92-6F7A-4C3A-99A3-790708CCF2D3}"/>
    <cellStyle name="Check Cell 3 8 6" xfId="5430" xr:uid="{D524009A-182E-4D06-B9C3-178F6B351ABA}"/>
    <cellStyle name="Check Cell 3 8 6 2" xfId="5431" xr:uid="{0D47D39B-03A3-434F-A43D-3363E84BB213}"/>
    <cellStyle name="Check Cell 3 8 7" xfId="5432" xr:uid="{310ED7CB-DC6F-4684-959D-84EA43C4E35A}"/>
    <cellStyle name="Check Cell 3 9" xfId="5433" xr:uid="{3AF3E62E-AFBE-462A-B509-4F44F38629B7}"/>
    <cellStyle name="Check Cell 3 9 2" xfId="5434" xr:uid="{C03E2A9D-9948-43BB-B751-D8C042FCFF53}"/>
    <cellStyle name="Check Cell 3 9 2 2" xfId="5435" xr:uid="{3C1BB277-56A1-4FCB-B934-46FEB2222A9C}"/>
    <cellStyle name="Check Cell 3 9 3" xfId="5436" xr:uid="{24ABF7A7-A233-406B-8A5A-D7E19A9827D1}"/>
    <cellStyle name="Check Cell 3 9 3 2" xfId="5437" xr:uid="{C9A9CA92-76A9-4AE6-AD5A-A1DE5A126E7F}"/>
    <cellStyle name="Check Cell 3 9 4" xfId="5438" xr:uid="{1AA641DC-0E0E-4BC1-807F-D6A1D20CA0E2}"/>
    <cellStyle name="Check Cell 3 9 4 2" xfId="5439" xr:uid="{7261052D-24E3-43DB-96A4-78158FF78DB5}"/>
    <cellStyle name="Check Cell 3 9 5" xfId="5440" xr:uid="{71DFAA33-C130-43E7-80EE-E45218A6AAA7}"/>
    <cellStyle name="Check Cell 3 9 5 2" xfId="5441" xr:uid="{556982BE-021C-4178-A9D6-2ED67829D5F8}"/>
    <cellStyle name="Check Cell 3 9 6" xfId="5442" xr:uid="{25902686-72AA-4793-B67B-80909F910CBC}"/>
    <cellStyle name="Check Cell 3 9 6 2" xfId="5443" xr:uid="{BC154C57-FEC5-4EF2-BB5C-E54637F54CB2}"/>
    <cellStyle name="Check Cell 3 9 7" xfId="5444" xr:uid="{16C090BF-A11E-40C3-82F2-89468647C1A5}"/>
    <cellStyle name="Check Cell 30" xfId="26683" xr:uid="{AB15392F-2F48-49DF-AF67-0259ABFE00C9}"/>
    <cellStyle name="Check Cell 31" xfId="26684" xr:uid="{675C6C49-CB97-4034-BA27-5C3ABA44CEE0}"/>
    <cellStyle name="Check Cell 32" xfId="26685" xr:uid="{B8136396-5EE1-4533-B860-C9F8F6908951}"/>
    <cellStyle name="Check Cell 33" xfId="26686" xr:uid="{650C8B40-C4C3-4C07-8387-C3AEEEB25078}"/>
    <cellStyle name="Check Cell 34" xfId="26687" xr:uid="{8E047169-8B67-4BE7-A833-223FE03FAA6B}"/>
    <cellStyle name="Check Cell 35" xfId="26688" xr:uid="{FF6234FF-6E66-4A65-8770-A7FCECFB46CE}"/>
    <cellStyle name="Check Cell 36" xfId="26689" xr:uid="{F19BF4AC-A4BF-4319-8242-A4B97714D87B}"/>
    <cellStyle name="Check Cell 37" xfId="26690" xr:uid="{5F3CAD1E-7471-480A-B160-454840DD0347}"/>
    <cellStyle name="Check Cell 38" xfId="26691" xr:uid="{756CB29E-1053-4FC5-B13A-DE58F58E69B2}"/>
    <cellStyle name="Check Cell 39" xfId="26692" xr:uid="{2555A661-1FBD-46DE-90B5-BDDBB03EABCC}"/>
    <cellStyle name="Check Cell 4" xfId="5445" xr:uid="{437F9CA2-09A1-42E1-A6F7-A2BE3D39BA24}"/>
    <cellStyle name="Check Cell 4 10" xfId="5446" xr:uid="{8F14881D-4AC7-48AE-B837-C5D70C359B11}"/>
    <cellStyle name="Check Cell 4 10 2" xfId="5447" xr:uid="{6B588B94-5606-49F6-9D70-0A5C98B1787B}"/>
    <cellStyle name="Check Cell 4 10 2 2" xfId="5448" xr:uid="{AF43DD77-E93D-4D5B-9BCA-6074A7564368}"/>
    <cellStyle name="Check Cell 4 10 3" xfId="5449" xr:uid="{2F2C67EA-F333-484A-9AE4-DD15C5B16612}"/>
    <cellStyle name="Check Cell 4 10 3 2" xfId="5450" xr:uid="{B00C015F-C149-40F2-9A4E-F34CBB297331}"/>
    <cellStyle name="Check Cell 4 10 4" xfId="5451" xr:uid="{5DDDE845-2A5F-4D51-B786-2793AD109871}"/>
    <cellStyle name="Check Cell 4 10 4 2" xfId="5452" xr:uid="{9AC2925F-AD65-4155-B945-0783FD7E7E1F}"/>
    <cellStyle name="Check Cell 4 10 5" xfId="5453" xr:uid="{8B93EBC1-C8A3-469D-9F7E-F60EA95488F0}"/>
    <cellStyle name="Check Cell 4 10 5 2" xfId="5454" xr:uid="{FE5A305D-2B60-49DF-BF66-DC6F835072B0}"/>
    <cellStyle name="Check Cell 4 10 6" xfId="5455" xr:uid="{F876F40D-52F7-41C0-A77D-11DFA5711109}"/>
    <cellStyle name="Check Cell 4 10 6 2" xfId="5456" xr:uid="{30D8E560-5515-48DE-8181-FF2F225D19EE}"/>
    <cellStyle name="Check Cell 4 10 7" xfId="5457" xr:uid="{E1E57358-9FE3-4EDA-A82A-9C83E0554AD2}"/>
    <cellStyle name="Check Cell 4 11" xfId="5458" xr:uid="{E08D7B2F-6587-4849-BA2E-5FCCDD529515}"/>
    <cellStyle name="Check Cell 4 11 2" xfId="5459" xr:uid="{50AE0718-1692-454C-BDE9-0223DE105D74}"/>
    <cellStyle name="Check Cell 4 11 2 2" xfId="5460" xr:uid="{08F8C609-4FD3-45D3-84D7-CD3546CDEDEB}"/>
    <cellStyle name="Check Cell 4 11 3" xfId="5461" xr:uid="{C1636DB1-F331-4BBD-BA89-5503CD3C5376}"/>
    <cellStyle name="Check Cell 4 11 3 2" xfId="5462" xr:uid="{AC654335-A028-499C-B94B-9BE86BA68747}"/>
    <cellStyle name="Check Cell 4 11 4" xfId="5463" xr:uid="{FBEBE178-49B3-4CA5-8705-43EDE865F518}"/>
    <cellStyle name="Check Cell 4 11 4 2" xfId="5464" xr:uid="{8A6AAEBC-1561-4A2E-BE7A-8DB665C5B10A}"/>
    <cellStyle name="Check Cell 4 11 5" xfId="5465" xr:uid="{90B66ECD-AA1A-433A-8277-8BF5429667C5}"/>
    <cellStyle name="Check Cell 4 11 5 2" xfId="5466" xr:uid="{F6AFCD43-572A-43DE-8F6C-63705B7F15FA}"/>
    <cellStyle name="Check Cell 4 11 6" xfId="5467" xr:uid="{BBE5E9C2-1A9E-41C2-82F3-1C54B12AACB3}"/>
    <cellStyle name="Check Cell 4 11 6 2" xfId="5468" xr:uid="{01B61E90-2E74-4283-BF07-EDD923CDAAAB}"/>
    <cellStyle name="Check Cell 4 11 7" xfId="5469" xr:uid="{5FDFDEC5-3E48-4E25-9C11-C00D14C23104}"/>
    <cellStyle name="Check Cell 4 12" xfId="5470" xr:uid="{B3D496F8-6007-4EAE-A63A-525792AFDF04}"/>
    <cellStyle name="Check Cell 4 12 2" xfId="5471" xr:uid="{90515384-65E2-4CCA-89DD-0387E351F667}"/>
    <cellStyle name="Check Cell 4 13" xfId="5472" xr:uid="{1FA15352-CE76-4621-AB59-102CC8B5CF8E}"/>
    <cellStyle name="Check Cell 4 13 2" xfId="5473" xr:uid="{1FC4C5B9-2337-4906-8025-99EE09FB7540}"/>
    <cellStyle name="Check Cell 4 14" xfId="5474" xr:uid="{24A0CC9F-276B-4715-8031-3513BC22CE91}"/>
    <cellStyle name="Check Cell 4 14 2" xfId="5475" xr:uid="{699D633F-7E42-401C-9DBC-C2C9A5DC3412}"/>
    <cellStyle name="Check Cell 4 15" xfId="5476" xr:uid="{119E8A93-7DE4-483F-A7D6-36138A916168}"/>
    <cellStyle name="Check Cell 4 15 2" xfId="5477" xr:uid="{006C9F2F-7884-4355-9FBA-8FEF74BC582C}"/>
    <cellStyle name="Check Cell 4 16" xfId="5478" xr:uid="{F648429E-DA3F-4578-845A-931B75EB00F0}"/>
    <cellStyle name="Check Cell 4 16 2" xfId="5479" xr:uid="{1BE8F745-B467-4B61-B7FA-9134CDBB10C3}"/>
    <cellStyle name="Check Cell 4 17" xfId="5480" xr:uid="{6B761C7B-1246-4B52-8548-B843EC3A3FBB}"/>
    <cellStyle name="Check Cell 4 2" xfId="5481" xr:uid="{82F35578-8240-4179-B282-E0BA93CC8B32}"/>
    <cellStyle name="Check Cell 4 2 2" xfId="5482" xr:uid="{EEDA24B2-A33B-4817-AAA1-883C7AB4D252}"/>
    <cellStyle name="Check Cell 4 2 2 2" xfId="5483" xr:uid="{0AFADDB1-CA2E-4966-8F54-0C81EB95EA95}"/>
    <cellStyle name="Check Cell 4 2 3" xfId="5484" xr:uid="{4392FEC4-E53D-4A43-8443-E5148288BB40}"/>
    <cellStyle name="Check Cell 4 2 3 2" xfId="5485" xr:uid="{D442D9A3-132E-442F-8D9B-4F251F3D4838}"/>
    <cellStyle name="Check Cell 4 2 4" xfId="5486" xr:uid="{5EA9F0BA-2894-461E-8B72-470BF5E93C25}"/>
    <cellStyle name="Check Cell 4 2 4 2" xfId="5487" xr:uid="{94123F19-A9FC-4A43-83FE-875C733CB729}"/>
    <cellStyle name="Check Cell 4 2 5" xfId="5488" xr:uid="{019002C2-877B-46A0-A9E2-07E22407492B}"/>
    <cellStyle name="Check Cell 4 2 5 2" xfId="5489" xr:uid="{8FDA20BE-0990-4499-B278-F798043D4C76}"/>
    <cellStyle name="Check Cell 4 2 6" xfId="5490" xr:uid="{0B618CDC-EB1B-4E86-8149-F6B2CDCA9401}"/>
    <cellStyle name="Check Cell 4 2 6 2" xfId="5491" xr:uid="{6BF52E94-B961-4409-99C4-A23FC6406D70}"/>
    <cellStyle name="Check Cell 4 2 7" xfId="5492" xr:uid="{50038290-B3CE-4FE2-82FB-3DCDBC25BBF9}"/>
    <cellStyle name="Check Cell 4 3" xfId="5493" xr:uid="{C6F19555-0F85-41E9-A1C2-812413BDBFA9}"/>
    <cellStyle name="Check Cell 4 3 2" xfId="5494" xr:uid="{44A1322D-F336-4C38-A597-F4895FABEC1C}"/>
    <cellStyle name="Check Cell 4 3 2 2" xfId="5495" xr:uid="{2958F07F-C111-4446-B20D-F9445DF1F85A}"/>
    <cellStyle name="Check Cell 4 3 3" xfId="5496" xr:uid="{42104AFF-EFEF-49E9-9B1C-A6EC51F8DADF}"/>
    <cellStyle name="Check Cell 4 3 3 2" xfId="5497" xr:uid="{26509D12-46C8-42EB-A951-8F3B9BA8B2A2}"/>
    <cellStyle name="Check Cell 4 3 4" xfId="5498" xr:uid="{8C10F026-6B36-4106-9D33-6A62A9E8D407}"/>
    <cellStyle name="Check Cell 4 3 4 2" xfId="5499" xr:uid="{4D7882AD-B87F-4D87-A822-E66D72AB8CDB}"/>
    <cellStyle name="Check Cell 4 3 5" xfId="5500" xr:uid="{4447F509-EA68-4836-9C15-06BEBB82B28A}"/>
    <cellStyle name="Check Cell 4 3 5 2" xfId="5501" xr:uid="{B6EDD739-C00F-4E20-AF39-2F314A74DDA5}"/>
    <cellStyle name="Check Cell 4 3 6" xfId="5502" xr:uid="{6AF51D0B-15CD-447F-B383-2091C84B3007}"/>
    <cellStyle name="Check Cell 4 3 6 2" xfId="5503" xr:uid="{AA1B391F-DE04-4DD5-A074-2D1CDF638AA6}"/>
    <cellStyle name="Check Cell 4 3 7" xfId="5504" xr:uid="{A3BAE19D-086D-4F56-8D1F-B2580FF1B206}"/>
    <cellStyle name="Check Cell 4 4" xfId="5505" xr:uid="{3C774121-2897-49B6-97D2-411DC4CAEA2F}"/>
    <cellStyle name="Check Cell 4 4 2" xfId="5506" xr:uid="{ECDE56A7-3DB2-4E8B-9E0C-A4F0D0A1703E}"/>
    <cellStyle name="Check Cell 4 4 2 2" xfId="5507" xr:uid="{A31C4E21-DAC4-4750-9194-BC4609A3DA33}"/>
    <cellStyle name="Check Cell 4 4 3" xfId="5508" xr:uid="{2FDA0030-2DD9-4C6D-9F00-C39E36C276DA}"/>
    <cellStyle name="Check Cell 4 4 3 2" xfId="5509" xr:uid="{CA7341DA-0AC4-4945-8150-3C3A46E4DEEE}"/>
    <cellStyle name="Check Cell 4 4 4" xfId="5510" xr:uid="{8BDC9559-4DE9-4ED9-B880-0A38ECB6D844}"/>
    <cellStyle name="Check Cell 4 4 4 2" xfId="5511" xr:uid="{3D3A682E-99EE-4937-A807-28A88CBE202C}"/>
    <cellStyle name="Check Cell 4 4 5" xfId="5512" xr:uid="{E3695C69-ED28-456C-A43A-56D331DD9A90}"/>
    <cellStyle name="Check Cell 4 4 5 2" xfId="5513" xr:uid="{121F9202-4B41-48DC-AE06-1DACAE229854}"/>
    <cellStyle name="Check Cell 4 4 6" xfId="5514" xr:uid="{2512DBD9-06A6-4440-90E8-B66CADC8D3B7}"/>
    <cellStyle name="Check Cell 4 4 6 2" xfId="5515" xr:uid="{DC72BFCA-15AB-45CA-AADA-B64E2D1DD16B}"/>
    <cellStyle name="Check Cell 4 4 7" xfId="5516" xr:uid="{E902A0BC-83E7-4E63-AD17-CB55D509844A}"/>
    <cellStyle name="Check Cell 4 5" xfId="5517" xr:uid="{88DD93D0-5CA2-4F6E-B42A-74421C0CACA6}"/>
    <cellStyle name="Check Cell 4 5 2" xfId="5518" xr:uid="{B97CEB87-85B1-4C1F-A3B0-10AD2F1B0470}"/>
    <cellStyle name="Check Cell 4 5 2 2" xfId="5519" xr:uid="{55119367-48A8-4FC5-82E3-C3917DDA29AE}"/>
    <cellStyle name="Check Cell 4 5 3" xfId="5520" xr:uid="{17EC03AA-C8C4-4E25-9B13-A6E6E6DE71F6}"/>
    <cellStyle name="Check Cell 4 5 3 2" xfId="5521" xr:uid="{F720A373-DADD-41DD-A713-4AB72621F283}"/>
    <cellStyle name="Check Cell 4 5 4" xfId="5522" xr:uid="{623BE777-FA11-4504-BC80-1B314EC1207F}"/>
    <cellStyle name="Check Cell 4 5 4 2" xfId="5523" xr:uid="{91E7CD40-1DCE-49DE-B24A-17EF4A5076E9}"/>
    <cellStyle name="Check Cell 4 5 5" xfId="5524" xr:uid="{9DDFB147-1E04-4A7E-A4B5-ED43E542F164}"/>
    <cellStyle name="Check Cell 4 5 5 2" xfId="5525" xr:uid="{35499B7F-FFF7-4CA5-ABC9-564BC322EFE0}"/>
    <cellStyle name="Check Cell 4 5 6" xfId="5526" xr:uid="{3BBF5873-875E-4427-9139-240C5ADE8529}"/>
    <cellStyle name="Check Cell 4 5 6 2" xfId="5527" xr:uid="{0C74EE3A-55F9-447F-A2D0-3C2267493A0C}"/>
    <cellStyle name="Check Cell 4 5 7" xfId="5528" xr:uid="{89434E1E-4085-40CA-A2A7-DE5A780121E2}"/>
    <cellStyle name="Check Cell 4 6" xfId="5529" xr:uid="{FAD2B11D-483F-429C-AE24-ACAA66790988}"/>
    <cellStyle name="Check Cell 4 6 2" xfId="5530" xr:uid="{5D018B04-9D23-4B58-88BA-9868F3A98F96}"/>
    <cellStyle name="Check Cell 4 6 2 2" xfId="5531" xr:uid="{FF2EA932-7821-45CF-B441-F2BEE1904374}"/>
    <cellStyle name="Check Cell 4 6 3" xfId="5532" xr:uid="{D2ECF384-47FE-4BED-9183-4166D1B3FFCC}"/>
    <cellStyle name="Check Cell 4 6 3 2" xfId="5533" xr:uid="{C55F207C-321F-4F5B-A5FC-2B0FF1CF8487}"/>
    <cellStyle name="Check Cell 4 6 4" xfId="5534" xr:uid="{F98D0F58-AF02-4178-BC15-15CF50F2E7A4}"/>
    <cellStyle name="Check Cell 4 6 4 2" xfId="5535" xr:uid="{9B394C17-5A4D-4A6E-89C9-FBF62BC99942}"/>
    <cellStyle name="Check Cell 4 6 5" xfId="5536" xr:uid="{45A7C0C5-1CEF-4B88-9EFB-93052EEED8F9}"/>
    <cellStyle name="Check Cell 4 6 5 2" xfId="5537" xr:uid="{24551674-FE97-4B60-8045-34EE783761AA}"/>
    <cellStyle name="Check Cell 4 6 6" xfId="5538" xr:uid="{02187433-15C1-4239-A06B-809E1EC3BFE6}"/>
    <cellStyle name="Check Cell 4 6 6 2" xfId="5539" xr:uid="{8E640A96-213A-4036-A7D6-C0B1C1C7856D}"/>
    <cellStyle name="Check Cell 4 6 7" xfId="5540" xr:uid="{C6F7FF10-8077-4BBE-914C-07C6A2F1F153}"/>
    <cellStyle name="Check Cell 4 7" xfId="5541" xr:uid="{3771474A-3331-41DD-A4C6-B630427E8E0C}"/>
    <cellStyle name="Check Cell 4 7 2" xfId="5542" xr:uid="{BEE7B6CC-A2C7-45C6-92F5-D2656831B09C}"/>
    <cellStyle name="Check Cell 4 7 2 2" xfId="5543" xr:uid="{8710CE94-5505-4278-A482-93CDF082BF9D}"/>
    <cellStyle name="Check Cell 4 7 3" xfId="5544" xr:uid="{EB0D0390-821F-4CE3-B8F9-2E565B8EA840}"/>
    <cellStyle name="Check Cell 4 7 3 2" xfId="5545" xr:uid="{F60FEE05-5203-4A58-9804-0F4C4DC5E2F6}"/>
    <cellStyle name="Check Cell 4 7 4" xfId="5546" xr:uid="{B3647B73-AAE8-4053-A07F-371DDDBE1D1E}"/>
    <cellStyle name="Check Cell 4 7 4 2" xfId="5547" xr:uid="{73E0790B-44C8-44AC-B455-48827D7BFE8E}"/>
    <cellStyle name="Check Cell 4 7 5" xfId="5548" xr:uid="{C5023CC1-56C4-4E62-AB19-437AD30F7837}"/>
    <cellStyle name="Check Cell 4 7 5 2" xfId="5549" xr:uid="{C8C78270-6329-4A70-A9D6-1549F08C1861}"/>
    <cellStyle name="Check Cell 4 7 6" xfId="5550" xr:uid="{3807F820-D4E4-475F-81EF-3116C74EB5A7}"/>
    <cellStyle name="Check Cell 4 7 6 2" xfId="5551" xr:uid="{88CF88F2-1291-4677-8AFB-5BE33F41FC77}"/>
    <cellStyle name="Check Cell 4 7 7" xfId="5552" xr:uid="{4A360ED2-19A2-43EF-975B-6C2427B5A9B6}"/>
    <cellStyle name="Check Cell 4 8" xfId="5553" xr:uid="{BB77B0A9-6498-4E6B-9CAE-EBAD276ABDB2}"/>
    <cellStyle name="Check Cell 4 8 2" xfId="5554" xr:uid="{A80669FF-16CB-4E11-9554-84E0E30B4A80}"/>
    <cellStyle name="Check Cell 4 8 2 2" xfId="5555" xr:uid="{F05B45B4-CB79-4D2F-BD75-361BC22A25ED}"/>
    <cellStyle name="Check Cell 4 8 3" xfId="5556" xr:uid="{1E96C0E4-E833-4143-8FE6-D3C7BA503835}"/>
    <cellStyle name="Check Cell 4 8 3 2" xfId="5557" xr:uid="{DE26EB8F-FF1E-4861-8F97-47186CA13BB6}"/>
    <cellStyle name="Check Cell 4 8 4" xfId="5558" xr:uid="{7A08952C-2D48-4C5D-8C06-C3939C7AAB64}"/>
    <cellStyle name="Check Cell 4 8 4 2" xfId="5559" xr:uid="{830F9A78-37E3-4172-ADE1-521AB5DE95D0}"/>
    <cellStyle name="Check Cell 4 8 5" xfId="5560" xr:uid="{BE8231B3-903A-4F22-9F3A-D1ED51A3090B}"/>
    <cellStyle name="Check Cell 4 8 5 2" xfId="5561" xr:uid="{A6F806D0-1E94-4370-A6DD-F853462685F4}"/>
    <cellStyle name="Check Cell 4 8 6" xfId="5562" xr:uid="{1B5D8198-07EE-4ED7-B361-08BC123ABAEA}"/>
    <cellStyle name="Check Cell 4 8 6 2" xfId="5563" xr:uid="{40180C67-AA09-41F5-B5B0-869A4145007E}"/>
    <cellStyle name="Check Cell 4 8 7" xfId="5564" xr:uid="{ABB92920-15BA-42FB-B55C-9AD724471C15}"/>
    <cellStyle name="Check Cell 4 9" xfId="5565" xr:uid="{A50B99B5-D4F0-411C-AA51-23BF4649B44D}"/>
    <cellStyle name="Check Cell 4 9 2" xfId="5566" xr:uid="{353C4649-A379-4F55-BA70-9CB2B7B9E756}"/>
    <cellStyle name="Check Cell 4 9 2 2" xfId="5567" xr:uid="{E6C65828-AD05-4263-A18D-337C9F668DBE}"/>
    <cellStyle name="Check Cell 4 9 3" xfId="5568" xr:uid="{3D1E766E-982B-401B-BD5B-75B8AF7E2C1A}"/>
    <cellStyle name="Check Cell 4 9 3 2" xfId="5569" xr:uid="{1E7982A3-98C7-458B-84D3-EBFF87210282}"/>
    <cellStyle name="Check Cell 4 9 4" xfId="5570" xr:uid="{F89452FB-BD06-48CA-9E88-8F3BDAD50FFB}"/>
    <cellStyle name="Check Cell 4 9 4 2" xfId="5571" xr:uid="{D1C99D3F-6539-45B8-AB21-138687057F41}"/>
    <cellStyle name="Check Cell 4 9 5" xfId="5572" xr:uid="{8E6B6BEC-DC70-4E93-94D3-82C2D96241DE}"/>
    <cellStyle name="Check Cell 4 9 5 2" xfId="5573" xr:uid="{69B01AAE-11C9-411D-AFDB-06F4FC657B1E}"/>
    <cellStyle name="Check Cell 4 9 6" xfId="5574" xr:uid="{F9E9321C-7729-489D-9AA2-ABEFC11271B0}"/>
    <cellStyle name="Check Cell 4 9 6 2" xfId="5575" xr:uid="{364595E2-9406-4A3E-AA9C-70CAFEA6E14D}"/>
    <cellStyle name="Check Cell 4 9 7" xfId="5576" xr:uid="{1601ACCA-F6B3-43D3-83A4-AF4E396E2015}"/>
    <cellStyle name="Check Cell 40" xfId="26693" xr:uid="{AD1DF260-09C4-445E-8D44-C70A2C12ADC0}"/>
    <cellStyle name="Check Cell 41" xfId="26694" xr:uid="{E2213993-10E4-49EE-A1D2-27EE59C3EB15}"/>
    <cellStyle name="Check Cell 42" xfId="26695" xr:uid="{E5C25715-EC6E-4715-82F0-DE93058D40B9}"/>
    <cellStyle name="Check Cell 43" xfId="26696" xr:uid="{2D0D2791-064F-481E-A743-D5FF4A5EF3FF}"/>
    <cellStyle name="Check Cell 5" xfId="5577" xr:uid="{08EC998B-E474-4B76-B88E-89EF63E3C498}"/>
    <cellStyle name="Check Cell 5 10" xfId="5578" xr:uid="{7792862A-3D81-4A52-848F-C2AD07E51A2C}"/>
    <cellStyle name="Check Cell 5 10 2" xfId="5579" xr:uid="{AB564DE3-5F24-452F-A2E7-AFA485070D88}"/>
    <cellStyle name="Check Cell 5 10 2 2" xfId="5580" xr:uid="{E2859342-3E19-4239-BEAF-7DA24DDF5774}"/>
    <cellStyle name="Check Cell 5 10 3" xfId="5581" xr:uid="{1B06C0A7-C2CA-4512-913D-54E9C479F506}"/>
    <cellStyle name="Check Cell 5 10 3 2" xfId="5582" xr:uid="{48F4DE45-029B-4E88-BC25-CBF020367D3A}"/>
    <cellStyle name="Check Cell 5 10 4" xfId="5583" xr:uid="{DCB6E384-79B9-4BBC-8FF5-D17E8EF3BA5C}"/>
    <cellStyle name="Check Cell 5 10 4 2" xfId="5584" xr:uid="{CCEF2510-4C73-4C95-A0B1-D53B65437B16}"/>
    <cellStyle name="Check Cell 5 10 5" xfId="5585" xr:uid="{6CBDAABA-6274-4114-A56A-87AF0690144B}"/>
    <cellStyle name="Check Cell 5 10 5 2" xfId="5586" xr:uid="{D865FAD4-CA13-4852-85EA-F188372D7692}"/>
    <cellStyle name="Check Cell 5 10 6" xfId="5587" xr:uid="{72F5ECD2-AEB1-4786-B023-45EFE7DDE6A1}"/>
    <cellStyle name="Check Cell 5 10 6 2" xfId="5588" xr:uid="{198C96FE-9BC9-450A-814E-CE501CCBD0BA}"/>
    <cellStyle name="Check Cell 5 10 7" xfId="5589" xr:uid="{D4CD75FD-5BE6-49F7-9D63-67D2D9F38DAD}"/>
    <cellStyle name="Check Cell 5 11" xfId="5590" xr:uid="{49808AFF-0A0B-480D-969D-39C24EF706AB}"/>
    <cellStyle name="Check Cell 5 11 2" xfId="5591" xr:uid="{2F1FCB17-1832-4AC5-BA2A-78A50B84CFAF}"/>
    <cellStyle name="Check Cell 5 11 2 2" xfId="5592" xr:uid="{990FA78F-2EED-494D-95BB-60749B7E8448}"/>
    <cellStyle name="Check Cell 5 11 3" xfId="5593" xr:uid="{1CFA7FD0-083D-4782-AC60-7FA6D83D0BB8}"/>
    <cellStyle name="Check Cell 5 11 3 2" xfId="5594" xr:uid="{4F6629EA-F201-4EEB-AD98-BB77F71A2B3C}"/>
    <cellStyle name="Check Cell 5 11 4" xfId="5595" xr:uid="{972715D3-06A6-429C-AC41-BDDA63692A9A}"/>
    <cellStyle name="Check Cell 5 11 4 2" xfId="5596" xr:uid="{2DA4D949-2C13-427B-9D83-B5D155CE4976}"/>
    <cellStyle name="Check Cell 5 11 5" xfId="5597" xr:uid="{9ABEC27F-6A67-4536-B9CB-DC2EC6417D6E}"/>
    <cellStyle name="Check Cell 5 11 5 2" xfId="5598" xr:uid="{A681313D-F017-41C2-B08A-9B4F0405E458}"/>
    <cellStyle name="Check Cell 5 11 6" xfId="5599" xr:uid="{016A8FC6-F16F-4704-A01D-C16817B01A0F}"/>
    <cellStyle name="Check Cell 5 11 6 2" xfId="5600" xr:uid="{4D4C2379-19CE-426A-A42D-F06BE24DB26C}"/>
    <cellStyle name="Check Cell 5 11 7" xfId="5601" xr:uid="{FD775239-9B92-42EA-8CE2-2B9DCC5D8581}"/>
    <cellStyle name="Check Cell 5 12" xfId="5602" xr:uid="{31A2837F-E856-438E-B920-EE159640FCD4}"/>
    <cellStyle name="Check Cell 5 12 2" xfId="5603" xr:uid="{DB5BA4E6-5139-483E-8565-EB2329A01A82}"/>
    <cellStyle name="Check Cell 5 13" xfId="5604" xr:uid="{788A77B6-DDAE-4B95-9E75-8545F15678DF}"/>
    <cellStyle name="Check Cell 5 13 2" xfId="5605" xr:uid="{1F823374-7ADE-4434-ACD9-E006E00209C2}"/>
    <cellStyle name="Check Cell 5 14" xfId="5606" xr:uid="{666BECB2-5A81-45A3-9248-4E0380687A24}"/>
    <cellStyle name="Check Cell 5 14 2" xfId="5607" xr:uid="{DF7A25A0-DDA2-4949-B708-A556C57A898D}"/>
    <cellStyle name="Check Cell 5 15" xfId="5608" xr:uid="{6977A837-051A-4AFC-A065-2A1D90E0CAE1}"/>
    <cellStyle name="Check Cell 5 15 2" xfId="5609" xr:uid="{927E4198-35CC-481E-9F3C-0A611467F345}"/>
    <cellStyle name="Check Cell 5 16" xfId="5610" xr:uid="{B77649E8-62AA-4CAC-842B-4440787AEDB9}"/>
    <cellStyle name="Check Cell 5 16 2" xfId="5611" xr:uid="{C473FF27-4721-4A5D-B6A8-B6035DFAD312}"/>
    <cellStyle name="Check Cell 5 17" xfId="5612" xr:uid="{8040FF34-8A6F-436D-B729-CCD7E3C779BF}"/>
    <cellStyle name="Check Cell 5 2" xfId="5613" xr:uid="{53A01F13-5DB6-47AF-A989-04DC4D166D93}"/>
    <cellStyle name="Check Cell 5 2 2" xfId="5614" xr:uid="{E9433A8F-DD45-427D-8AA4-E60B8AC3B573}"/>
    <cellStyle name="Check Cell 5 2 2 2" xfId="5615" xr:uid="{26671ADF-A5AC-46E5-A361-2A6495AC5957}"/>
    <cellStyle name="Check Cell 5 2 3" xfId="5616" xr:uid="{2925DA56-16C4-4288-B8A2-EE92561E558E}"/>
    <cellStyle name="Check Cell 5 2 3 2" xfId="5617" xr:uid="{DD463AA1-033B-4403-B0E1-A00719F7F6F9}"/>
    <cellStyle name="Check Cell 5 2 4" xfId="5618" xr:uid="{794C17E4-6C74-4F08-A3EE-345BAB4EF8FB}"/>
    <cellStyle name="Check Cell 5 2 4 2" xfId="5619" xr:uid="{DCE6C2E5-20B6-40C4-9660-70F235BA79D7}"/>
    <cellStyle name="Check Cell 5 2 5" xfId="5620" xr:uid="{02CB1430-3BA5-4467-9B60-3DFFB4972C71}"/>
    <cellStyle name="Check Cell 5 2 5 2" xfId="5621" xr:uid="{86A82E16-354D-4C63-94F8-D4DC4C158C93}"/>
    <cellStyle name="Check Cell 5 2 6" xfId="5622" xr:uid="{C8143386-816C-4E4A-82F7-8720A32BB759}"/>
    <cellStyle name="Check Cell 5 2 6 2" xfId="5623" xr:uid="{4C74A65C-E7E0-4FC6-A86F-10D6ED712B48}"/>
    <cellStyle name="Check Cell 5 2 7" xfId="5624" xr:uid="{84D30DC0-D006-4A28-85A8-FB8AB1A76435}"/>
    <cellStyle name="Check Cell 5 3" xfId="5625" xr:uid="{59EAC468-37FD-4170-BB47-005F805D3A9E}"/>
    <cellStyle name="Check Cell 5 3 2" xfId="5626" xr:uid="{204C9C42-C93C-4111-99E2-90956584047E}"/>
    <cellStyle name="Check Cell 5 3 2 2" xfId="5627" xr:uid="{10F115D4-9D27-4B78-A91E-D809088AF3A1}"/>
    <cellStyle name="Check Cell 5 3 3" xfId="5628" xr:uid="{E482B7CB-C895-4C85-ABB1-694307DB9B28}"/>
    <cellStyle name="Check Cell 5 3 3 2" xfId="5629" xr:uid="{4A305223-964A-4561-8197-5ED76851F896}"/>
    <cellStyle name="Check Cell 5 3 4" xfId="5630" xr:uid="{F006F7C4-C309-4FFE-B705-4FFA51C970B0}"/>
    <cellStyle name="Check Cell 5 3 4 2" xfId="5631" xr:uid="{130A7C8B-F710-43FC-8DEC-561344411302}"/>
    <cellStyle name="Check Cell 5 3 5" xfId="5632" xr:uid="{75793EA0-043E-4743-AF00-7D0A8D990E41}"/>
    <cellStyle name="Check Cell 5 3 5 2" xfId="5633" xr:uid="{7A36D9E5-F43C-4D7F-846A-122D027959E6}"/>
    <cellStyle name="Check Cell 5 3 6" xfId="5634" xr:uid="{EAB9DC2C-E6AA-4769-80A2-444F4CA142C0}"/>
    <cellStyle name="Check Cell 5 3 6 2" xfId="5635" xr:uid="{F17E18BB-1C37-46D7-B493-B0AEF2E3D859}"/>
    <cellStyle name="Check Cell 5 3 7" xfId="5636" xr:uid="{74A39439-1677-489A-AB7F-0BE16A436DAF}"/>
    <cellStyle name="Check Cell 5 4" xfId="5637" xr:uid="{8B3F9B4F-FE2F-4B42-8E00-F29CFADFC433}"/>
    <cellStyle name="Check Cell 5 4 2" xfId="5638" xr:uid="{F65F0413-C922-4000-B917-96281A9E8D5E}"/>
    <cellStyle name="Check Cell 5 4 2 2" xfId="5639" xr:uid="{1D375D76-342C-4867-97B9-3B8D78C36348}"/>
    <cellStyle name="Check Cell 5 4 3" xfId="5640" xr:uid="{B4456895-1166-4A16-BC4B-279D7702482D}"/>
    <cellStyle name="Check Cell 5 4 3 2" xfId="5641" xr:uid="{DEB6F173-C929-4359-8046-15F9C55C9F28}"/>
    <cellStyle name="Check Cell 5 4 4" xfId="5642" xr:uid="{D4F0CCB6-50EB-4D15-B4EB-CB26E4E710A0}"/>
    <cellStyle name="Check Cell 5 4 4 2" xfId="5643" xr:uid="{D541538A-42EA-45CD-9143-DD7A58851509}"/>
    <cellStyle name="Check Cell 5 4 5" xfId="5644" xr:uid="{812F040D-E9E0-48C0-A41E-CD745394E2DA}"/>
    <cellStyle name="Check Cell 5 4 5 2" xfId="5645" xr:uid="{FB6D589F-9F69-4BCA-B58D-CD2F0F6C364D}"/>
    <cellStyle name="Check Cell 5 4 6" xfId="5646" xr:uid="{52452F3C-AD9E-4D31-A949-D983BC265A96}"/>
    <cellStyle name="Check Cell 5 4 6 2" xfId="5647" xr:uid="{A9102B3C-FEAD-4B19-9F77-60824FB7BC6A}"/>
    <cellStyle name="Check Cell 5 4 7" xfId="5648" xr:uid="{93C5CF93-251E-4C9B-A0FB-05502D52FF82}"/>
    <cellStyle name="Check Cell 5 5" xfId="5649" xr:uid="{2EA4982E-F505-4DFF-9351-F6AC77641A07}"/>
    <cellStyle name="Check Cell 5 5 2" xfId="5650" xr:uid="{A1549830-7EF9-4D4E-90D3-A4304538C686}"/>
    <cellStyle name="Check Cell 5 5 2 2" xfId="5651" xr:uid="{35D1098C-DF40-46A7-AB7E-5925194E1C39}"/>
    <cellStyle name="Check Cell 5 5 3" xfId="5652" xr:uid="{011BEDA1-FACD-44D3-859F-9845842C64DA}"/>
    <cellStyle name="Check Cell 5 5 3 2" xfId="5653" xr:uid="{1165A3A6-C296-4EAC-817D-907A5FE449A0}"/>
    <cellStyle name="Check Cell 5 5 4" xfId="5654" xr:uid="{9EFEE93E-0245-41B3-B899-FF597028DE3B}"/>
    <cellStyle name="Check Cell 5 5 4 2" xfId="5655" xr:uid="{B31D0985-4512-46C9-A96F-2308FE43F3AB}"/>
    <cellStyle name="Check Cell 5 5 5" xfId="5656" xr:uid="{3F828B93-176B-4502-A256-9AB137C080A9}"/>
    <cellStyle name="Check Cell 5 5 5 2" xfId="5657" xr:uid="{07AB1030-62D0-497D-B148-9BF7053AB673}"/>
    <cellStyle name="Check Cell 5 5 6" xfId="5658" xr:uid="{BCF933F6-7EC0-4A4D-ABD1-56AECC46AB48}"/>
    <cellStyle name="Check Cell 5 5 6 2" xfId="5659" xr:uid="{CA7E4D32-C8D0-4BC1-8463-D3A28BE86A24}"/>
    <cellStyle name="Check Cell 5 5 7" xfId="5660" xr:uid="{7CB46B6A-2618-46CE-B4E4-EC0B3E85BB30}"/>
    <cellStyle name="Check Cell 5 6" xfId="5661" xr:uid="{F5B67487-8B32-4A92-84C5-13A8B5E08C6F}"/>
    <cellStyle name="Check Cell 5 6 2" xfId="5662" xr:uid="{7020864D-6E70-4190-AA8B-BC88F2B3498D}"/>
    <cellStyle name="Check Cell 5 6 2 2" xfId="5663" xr:uid="{1C17A1F2-3604-441C-8832-A0B2DBD78273}"/>
    <cellStyle name="Check Cell 5 6 3" xfId="5664" xr:uid="{F8DAB0DD-8FE9-449E-97B9-69B05F10DFF3}"/>
    <cellStyle name="Check Cell 5 6 3 2" xfId="5665" xr:uid="{E82DA3CD-8D4E-4386-B169-1B5F05BD62B8}"/>
    <cellStyle name="Check Cell 5 6 4" xfId="5666" xr:uid="{C66F3020-A0C4-4365-9975-2D3B5032662B}"/>
    <cellStyle name="Check Cell 5 6 4 2" xfId="5667" xr:uid="{F7C3F556-3177-4CB5-90BF-E65E342C7CFC}"/>
    <cellStyle name="Check Cell 5 6 5" xfId="5668" xr:uid="{4F3EEF29-E308-45E1-93BD-293969E171E7}"/>
    <cellStyle name="Check Cell 5 6 5 2" xfId="5669" xr:uid="{B903677F-E66B-49EA-BCA6-6EA24E68EA5A}"/>
    <cellStyle name="Check Cell 5 6 6" xfId="5670" xr:uid="{B7ED6439-E244-4633-B545-FEF4859E33CA}"/>
    <cellStyle name="Check Cell 5 6 6 2" xfId="5671" xr:uid="{7C368C44-7F82-4616-B4D3-B51EDFC4CDF1}"/>
    <cellStyle name="Check Cell 5 6 7" xfId="5672" xr:uid="{D10D7C86-4DCD-441B-AEA4-4250A21903FC}"/>
    <cellStyle name="Check Cell 5 7" xfId="5673" xr:uid="{92B93DB4-2DC8-4313-8CD9-89C240C304BB}"/>
    <cellStyle name="Check Cell 5 7 2" xfId="5674" xr:uid="{E32496BA-D0B0-4524-BDD5-67A1693F90D5}"/>
    <cellStyle name="Check Cell 5 7 2 2" xfId="5675" xr:uid="{2EC89689-6B8F-4C68-B8BD-38DBBD271CA5}"/>
    <cellStyle name="Check Cell 5 7 3" xfId="5676" xr:uid="{1EEA1DD2-B6F8-447D-9056-0F6D46FB3D97}"/>
    <cellStyle name="Check Cell 5 7 3 2" xfId="5677" xr:uid="{B1DC4221-BD06-4520-8FAF-A94A8F6CA190}"/>
    <cellStyle name="Check Cell 5 7 4" xfId="5678" xr:uid="{B6DAF170-33F8-4654-9E80-E5691521EFE7}"/>
    <cellStyle name="Check Cell 5 7 4 2" xfId="5679" xr:uid="{91636A2C-52A9-4DEF-BD14-580E18A87819}"/>
    <cellStyle name="Check Cell 5 7 5" xfId="5680" xr:uid="{EAB773FE-EFA6-4BF4-860E-8E1D372E8105}"/>
    <cellStyle name="Check Cell 5 7 5 2" xfId="5681" xr:uid="{FFBDDFDC-C87A-407D-A16E-EEC7C6E4FEB7}"/>
    <cellStyle name="Check Cell 5 7 6" xfId="5682" xr:uid="{0FA5E2AA-DDE7-4983-8A91-E7719C684890}"/>
    <cellStyle name="Check Cell 5 7 6 2" xfId="5683" xr:uid="{8B8025C7-EEA6-4D96-B989-B4EFE4570B6A}"/>
    <cellStyle name="Check Cell 5 7 7" xfId="5684" xr:uid="{03D99110-478E-4722-BC31-1658F228A790}"/>
    <cellStyle name="Check Cell 5 8" xfId="5685" xr:uid="{66E4F087-BC69-4535-AD0C-F88A582BC364}"/>
    <cellStyle name="Check Cell 5 8 2" xfId="5686" xr:uid="{188896E5-0D03-4BBD-8E45-3818CFC9B39F}"/>
    <cellStyle name="Check Cell 5 8 2 2" xfId="5687" xr:uid="{F1DA31B3-2A89-44DD-8060-D106086BF1AE}"/>
    <cellStyle name="Check Cell 5 8 3" xfId="5688" xr:uid="{DCA8F477-8840-4037-ADF7-FE1C61D3D489}"/>
    <cellStyle name="Check Cell 5 8 3 2" xfId="5689" xr:uid="{9CBA41B3-117C-4A21-B1F8-0CA6AFD873AF}"/>
    <cellStyle name="Check Cell 5 8 4" xfId="5690" xr:uid="{55B4A9D9-62A4-4025-B94E-22E35110832C}"/>
    <cellStyle name="Check Cell 5 8 4 2" xfId="5691" xr:uid="{96F2B9AA-1C8A-438F-88E3-CB47CDD780D9}"/>
    <cellStyle name="Check Cell 5 8 5" xfId="5692" xr:uid="{C66E6FC4-692E-4AFD-86B5-D6436AD0D12D}"/>
    <cellStyle name="Check Cell 5 8 5 2" xfId="5693" xr:uid="{01523CFA-A908-4D00-82C6-8EC7C15EE566}"/>
    <cellStyle name="Check Cell 5 8 6" xfId="5694" xr:uid="{B93B269E-24FC-44FB-905B-23D86D4A1102}"/>
    <cellStyle name="Check Cell 5 8 6 2" xfId="5695" xr:uid="{433E25D0-1C15-4370-9C3B-C6366DE8E07B}"/>
    <cellStyle name="Check Cell 5 8 7" xfId="5696" xr:uid="{E981EB5E-34D3-4D6B-8660-157010958B82}"/>
    <cellStyle name="Check Cell 5 9" xfId="5697" xr:uid="{E7D4918D-5546-4A2B-A56C-2E8DB5717F7F}"/>
    <cellStyle name="Check Cell 5 9 2" xfId="5698" xr:uid="{3CD6B510-E6A7-4121-99AB-1DC897194AD4}"/>
    <cellStyle name="Check Cell 5 9 2 2" xfId="5699" xr:uid="{AE7D28EF-C194-4C0B-863E-BA418CAB5D6B}"/>
    <cellStyle name="Check Cell 5 9 3" xfId="5700" xr:uid="{0CF846F2-5D53-4888-AB75-FFB26F098964}"/>
    <cellStyle name="Check Cell 5 9 3 2" xfId="5701" xr:uid="{3A9A1790-F962-46B0-ABDE-29C3D06C376B}"/>
    <cellStyle name="Check Cell 5 9 4" xfId="5702" xr:uid="{D8702D37-2D48-4E04-B1D0-607605834F0D}"/>
    <cellStyle name="Check Cell 5 9 4 2" xfId="5703" xr:uid="{EE3305B5-54D5-4771-9C21-6A0225B31E3D}"/>
    <cellStyle name="Check Cell 5 9 5" xfId="5704" xr:uid="{B550C74E-06C5-4139-9CF5-B2A99D541051}"/>
    <cellStyle name="Check Cell 5 9 5 2" xfId="5705" xr:uid="{CE4FFE0A-758E-4A31-A0E7-48BF48C8B3FC}"/>
    <cellStyle name="Check Cell 5 9 6" xfId="5706" xr:uid="{86F541F6-D5B9-46B5-BC75-142F1F57BE10}"/>
    <cellStyle name="Check Cell 5 9 6 2" xfId="5707" xr:uid="{A7E0C011-1876-4F82-B549-84873193A936}"/>
    <cellStyle name="Check Cell 5 9 7" xfId="5708" xr:uid="{E861D48E-D65F-4C3B-8FEA-27E53D484185}"/>
    <cellStyle name="Check Cell 6" xfId="5709" xr:uid="{98433F04-CA75-4924-99E0-5D49245242A9}"/>
    <cellStyle name="Check Cell 6 10" xfId="5710" xr:uid="{8B196DBD-8510-494C-BE0C-C14B8C0B5234}"/>
    <cellStyle name="Check Cell 6 10 2" xfId="5711" xr:uid="{5D7C40CD-AFCB-48D2-AEFF-488623ED965A}"/>
    <cellStyle name="Check Cell 6 10 2 2" xfId="5712" xr:uid="{157B4C36-2178-4562-AE7B-425F57A5245B}"/>
    <cellStyle name="Check Cell 6 10 3" xfId="5713" xr:uid="{4B18FC9C-E0B8-41CD-BA8F-B312C0AF1520}"/>
    <cellStyle name="Check Cell 6 10 3 2" xfId="5714" xr:uid="{D0D92F7F-7695-43D3-847E-A92BD763E003}"/>
    <cellStyle name="Check Cell 6 10 4" xfId="5715" xr:uid="{8F6FC2DD-B9E9-4454-A6FF-8C170AAC1F17}"/>
    <cellStyle name="Check Cell 6 10 4 2" xfId="5716" xr:uid="{4C914411-C397-4118-A11E-B28CE6519CC9}"/>
    <cellStyle name="Check Cell 6 10 5" xfId="5717" xr:uid="{26FED965-F980-4049-BE4B-399C188C7FF9}"/>
    <cellStyle name="Check Cell 6 10 5 2" xfId="5718" xr:uid="{04376FEE-3E66-431F-AE2A-4183B7677670}"/>
    <cellStyle name="Check Cell 6 10 6" xfId="5719" xr:uid="{9F07D480-AFC0-4B57-8225-3E4042A14D95}"/>
    <cellStyle name="Check Cell 6 10 6 2" xfId="5720" xr:uid="{239F6C64-22AF-42FF-B40C-2A727E4E819F}"/>
    <cellStyle name="Check Cell 6 10 7" xfId="5721" xr:uid="{B319E55A-F8A5-4662-8D48-12B462E5BC4A}"/>
    <cellStyle name="Check Cell 6 11" xfId="5722" xr:uid="{4C5F47A0-687E-4587-ABE7-14BE592634B0}"/>
    <cellStyle name="Check Cell 6 11 2" xfId="5723" xr:uid="{07485897-F45E-4675-8BAB-A271617D2073}"/>
    <cellStyle name="Check Cell 6 11 2 2" xfId="5724" xr:uid="{AA7710E9-9E7A-4095-B221-DE43AFC50357}"/>
    <cellStyle name="Check Cell 6 11 3" xfId="5725" xr:uid="{043BD0D7-8F8C-4D88-9FCF-432E50E92CF5}"/>
    <cellStyle name="Check Cell 6 11 3 2" xfId="5726" xr:uid="{09F12B80-7FC9-4181-88DB-FAE78FF3C9B2}"/>
    <cellStyle name="Check Cell 6 11 4" xfId="5727" xr:uid="{BC2AC181-55F3-47FB-B093-C37CFE20EB40}"/>
    <cellStyle name="Check Cell 6 11 4 2" xfId="5728" xr:uid="{37E946EA-1F50-4DF1-9445-A5CDC92B2F10}"/>
    <cellStyle name="Check Cell 6 11 5" xfId="5729" xr:uid="{4E134888-2229-49A8-BE50-ABBF2A03A978}"/>
    <cellStyle name="Check Cell 6 11 5 2" xfId="5730" xr:uid="{4C2315D3-0FD2-4572-B3D0-8109B0F190EB}"/>
    <cellStyle name="Check Cell 6 11 6" xfId="5731" xr:uid="{26A857AF-C675-492D-90CA-7BEA1FB62DB6}"/>
    <cellStyle name="Check Cell 6 11 6 2" xfId="5732" xr:uid="{2823487A-7C15-4978-8D43-6FCFB9249A00}"/>
    <cellStyle name="Check Cell 6 11 7" xfId="5733" xr:uid="{5180204E-83FA-4652-ABF5-5C2FD9B00C13}"/>
    <cellStyle name="Check Cell 6 12" xfId="5734" xr:uid="{E889BEC3-5576-4E37-B26C-77C89E1DF455}"/>
    <cellStyle name="Check Cell 6 12 2" xfId="5735" xr:uid="{EC4E5C66-FA0D-4632-B199-1ABF51923F3A}"/>
    <cellStyle name="Check Cell 6 13" xfId="5736" xr:uid="{60E8C572-7CEE-45FA-99DF-5FD625312A70}"/>
    <cellStyle name="Check Cell 6 13 2" xfId="5737" xr:uid="{78B071CC-40D3-458F-8E3A-E91ABF290F47}"/>
    <cellStyle name="Check Cell 6 14" xfId="5738" xr:uid="{7F781BC0-C1AE-4E17-B831-46461B577636}"/>
    <cellStyle name="Check Cell 6 14 2" xfId="5739" xr:uid="{76732A64-541E-4453-923C-37BEF5B36CC1}"/>
    <cellStyle name="Check Cell 6 15" xfId="5740" xr:uid="{B6A7F02E-AEB0-4438-B627-403EEBFAB4B2}"/>
    <cellStyle name="Check Cell 6 15 2" xfId="5741" xr:uid="{B89569E1-FA43-4E9A-BA21-CB72B93327AE}"/>
    <cellStyle name="Check Cell 6 16" xfId="5742" xr:uid="{2F9513E3-2ACC-494B-8527-805C5022D420}"/>
    <cellStyle name="Check Cell 6 16 2" xfId="5743" xr:uid="{486E7774-91C5-434F-A5C9-C18D49AA581F}"/>
    <cellStyle name="Check Cell 6 17" xfId="5744" xr:uid="{39C5257C-8D95-4DB5-91AE-BFDAD135EF42}"/>
    <cellStyle name="Check Cell 6 2" xfId="5745" xr:uid="{7BE0DD83-8F9C-4815-992A-D7E42D0B6F5C}"/>
    <cellStyle name="Check Cell 6 2 2" xfId="5746" xr:uid="{B4C9298B-0574-420A-917A-B13514A6B314}"/>
    <cellStyle name="Check Cell 6 2 2 2" xfId="5747" xr:uid="{1AA67D9C-DF99-4183-9532-182EC3CD5F84}"/>
    <cellStyle name="Check Cell 6 2 3" xfId="5748" xr:uid="{8E8836BB-684D-452C-84DE-BD0DC37B9564}"/>
    <cellStyle name="Check Cell 6 2 3 2" xfId="5749" xr:uid="{4F36265F-C835-4342-B951-F0856C9F987A}"/>
    <cellStyle name="Check Cell 6 2 4" xfId="5750" xr:uid="{65BE4A8D-DF6F-44F8-A7BC-571ADDD09C89}"/>
    <cellStyle name="Check Cell 6 2 4 2" xfId="5751" xr:uid="{B7CBE759-E86C-4D45-895D-A241EE417F37}"/>
    <cellStyle name="Check Cell 6 2 5" xfId="5752" xr:uid="{C8C0ECE2-E71F-4545-8087-D7ACFD1F7E45}"/>
    <cellStyle name="Check Cell 6 2 5 2" xfId="5753" xr:uid="{D347A11A-B634-41D0-89D8-8F94D19875BB}"/>
    <cellStyle name="Check Cell 6 2 6" xfId="5754" xr:uid="{A18E91CA-DD88-4D7D-8D83-B235DDFC91DA}"/>
    <cellStyle name="Check Cell 6 2 6 2" xfId="5755" xr:uid="{A97FE373-2224-4FD3-9EC1-5037CEDDCC64}"/>
    <cellStyle name="Check Cell 6 2 7" xfId="5756" xr:uid="{7CA2E6A6-9C3F-4719-8232-84E8B52650BC}"/>
    <cellStyle name="Check Cell 6 3" xfId="5757" xr:uid="{6D29F63C-98F9-4185-BE7C-FFECE2984703}"/>
    <cellStyle name="Check Cell 6 3 2" xfId="5758" xr:uid="{0DA3BE08-05E4-4581-93E9-61C52E49FE10}"/>
    <cellStyle name="Check Cell 6 3 2 2" xfId="5759" xr:uid="{3D0CA0D4-E84B-4746-88ED-793559BA7650}"/>
    <cellStyle name="Check Cell 6 3 3" xfId="5760" xr:uid="{3B48EEFD-2410-42A9-A088-7A096D70A19C}"/>
    <cellStyle name="Check Cell 6 3 3 2" xfId="5761" xr:uid="{79276205-4452-465D-8B10-AA5145D686FD}"/>
    <cellStyle name="Check Cell 6 3 4" xfId="5762" xr:uid="{4E6DFD86-A017-4AF4-96A2-688D51EC33BA}"/>
    <cellStyle name="Check Cell 6 3 4 2" xfId="5763" xr:uid="{1A9C3F0B-AC95-41E8-9724-4AFD167D918A}"/>
    <cellStyle name="Check Cell 6 3 5" xfId="5764" xr:uid="{FF9ACF87-329A-4DFC-8D6F-01D04A9DA6DC}"/>
    <cellStyle name="Check Cell 6 3 5 2" xfId="5765" xr:uid="{A23DFEE3-1C71-460D-A624-0D61D4DCC046}"/>
    <cellStyle name="Check Cell 6 3 6" xfId="5766" xr:uid="{2CD66339-E267-48B4-AA13-496726401319}"/>
    <cellStyle name="Check Cell 6 3 6 2" xfId="5767" xr:uid="{2AA244A4-3FAD-40D8-A4D9-BEE4AE9B9786}"/>
    <cellStyle name="Check Cell 6 3 7" xfId="5768" xr:uid="{3BD71C1B-6542-457C-A0A0-06563DEB8285}"/>
    <cellStyle name="Check Cell 6 4" xfId="5769" xr:uid="{B86C19D9-7C4F-498E-9D85-9A2083A2F8CC}"/>
    <cellStyle name="Check Cell 6 4 2" xfId="5770" xr:uid="{DEAF12F3-D15C-4D06-801D-B6E6D3EF665A}"/>
    <cellStyle name="Check Cell 6 4 2 2" xfId="5771" xr:uid="{194F2FBE-ED16-46C5-A1C5-45AFE8AE4BB0}"/>
    <cellStyle name="Check Cell 6 4 3" xfId="5772" xr:uid="{5E4F01A2-F570-4BD9-9834-6AA33A4A3ECC}"/>
    <cellStyle name="Check Cell 6 4 3 2" xfId="5773" xr:uid="{A47C6606-2A49-4F3F-BEE9-25E06335ADBE}"/>
    <cellStyle name="Check Cell 6 4 4" xfId="5774" xr:uid="{FADF9E63-4831-4275-ACAD-5E42E3F29D49}"/>
    <cellStyle name="Check Cell 6 4 4 2" xfId="5775" xr:uid="{A595A5A7-9F8A-40CA-90BC-57B5C1FEACAE}"/>
    <cellStyle name="Check Cell 6 4 5" xfId="5776" xr:uid="{C5303AA7-3B73-4570-8AE5-70D2215F125C}"/>
    <cellStyle name="Check Cell 6 4 5 2" xfId="5777" xr:uid="{3CA74E3D-DB49-48ED-ADEF-26FEA192C030}"/>
    <cellStyle name="Check Cell 6 4 6" xfId="5778" xr:uid="{85F6CF08-1593-47AB-93B6-B3259FE2611A}"/>
    <cellStyle name="Check Cell 6 4 6 2" xfId="5779" xr:uid="{BF9F679A-BA5E-4771-8AE8-A1BB6A144068}"/>
    <cellStyle name="Check Cell 6 4 7" xfId="5780" xr:uid="{B38D1E4C-E3F2-4C5B-A6B5-304E1C997487}"/>
    <cellStyle name="Check Cell 6 5" xfId="5781" xr:uid="{69D0F29B-20EC-4FA6-9ECC-2A4915A238D8}"/>
    <cellStyle name="Check Cell 6 5 2" xfId="5782" xr:uid="{A1A082CA-BBC7-4110-8891-59C245B2B57E}"/>
    <cellStyle name="Check Cell 6 5 2 2" xfId="5783" xr:uid="{A486E982-665D-4B23-9EF3-FFAC7252D1AE}"/>
    <cellStyle name="Check Cell 6 5 3" xfId="5784" xr:uid="{FE32263D-8FC6-4CA9-85A8-929D46848DFF}"/>
    <cellStyle name="Check Cell 6 5 3 2" xfId="5785" xr:uid="{B688B160-2B63-4B2D-B61E-40E1B7C0B2F2}"/>
    <cellStyle name="Check Cell 6 5 4" xfId="5786" xr:uid="{CF64ECAB-ED83-40DE-B10F-BC743E8CE40E}"/>
    <cellStyle name="Check Cell 6 5 4 2" xfId="5787" xr:uid="{4864A01F-599B-4C5D-A77D-FA1EAA20DEA6}"/>
    <cellStyle name="Check Cell 6 5 5" xfId="5788" xr:uid="{9F7EFE58-7ADF-48AE-85C9-580007E577C7}"/>
    <cellStyle name="Check Cell 6 5 5 2" xfId="5789" xr:uid="{91B5689D-B397-44FD-873C-5C1EF909258B}"/>
    <cellStyle name="Check Cell 6 5 6" xfId="5790" xr:uid="{8A9EB926-E2BD-45FE-B096-0EA0BD519557}"/>
    <cellStyle name="Check Cell 6 5 6 2" xfId="5791" xr:uid="{A8DBEDEC-E4EA-4294-8BBC-7986D3502177}"/>
    <cellStyle name="Check Cell 6 5 7" xfId="5792" xr:uid="{EAC8ED8C-D710-40A7-9F76-9CC5E5D8B1F5}"/>
    <cellStyle name="Check Cell 6 6" xfId="5793" xr:uid="{A2DFAA8B-0112-4F94-A508-E06CC15338F4}"/>
    <cellStyle name="Check Cell 6 6 2" xfId="5794" xr:uid="{993860A4-35F2-488D-A714-2049BDCA60EC}"/>
    <cellStyle name="Check Cell 6 6 2 2" xfId="5795" xr:uid="{B50E4E35-CA38-48E7-A13E-C708473C50C8}"/>
    <cellStyle name="Check Cell 6 6 3" xfId="5796" xr:uid="{38049AFB-9C4E-4C0E-92F3-BF1B53315666}"/>
    <cellStyle name="Check Cell 6 6 3 2" xfId="5797" xr:uid="{411ED766-6260-4462-8F45-B316EE94C236}"/>
    <cellStyle name="Check Cell 6 6 4" xfId="5798" xr:uid="{DA59B0FA-1606-4174-85B2-7101612E2C7C}"/>
    <cellStyle name="Check Cell 6 6 4 2" xfId="5799" xr:uid="{A04E84D0-DC7E-401D-B4A5-ED786B080433}"/>
    <cellStyle name="Check Cell 6 6 5" xfId="5800" xr:uid="{4DA31A2A-D29F-4748-99D1-9A84286497CF}"/>
    <cellStyle name="Check Cell 6 6 5 2" xfId="5801" xr:uid="{B57150F9-6044-4886-AEEA-7B92CE60CD79}"/>
    <cellStyle name="Check Cell 6 6 6" xfId="5802" xr:uid="{4366A8EA-BA6C-4E95-9D56-7C8C85BCC44B}"/>
    <cellStyle name="Check Cell 6 6 6 2" xfId="5803" xr:uid="{84A4894A-78D2-419A-BE36-E329DF33DB78}"/>
    <cellStyle name="Check Cell 6 6 7" xfId="5804" xr:uid="{57CADD20-BC08-444B-B99A-56A742AFDF56}"/>
    <cellStyle name="Check Cell 6 7" xfId="5805" xr:uid="{9BEA978E-7E57-48AE-A696-E4EBA110F0AE}"/>
    <cellStyle name="Check Cell 6 7 2" xfId="5806" xr:uid="{A27B9040-38A5-4946-980D-0B9BE3821D9D}"/>
    <cellStyle name="Check Cell 6 7 2 2" xfId="5807" xr:uid="{6858F927-CA40-4A99-96EB-03109320A181}"/>
    <cellStyle name="Check Cell 6 7 3" xfId="5808" xr:uid="{9150A925-B3F1-4312-BFB8-26FF1D203DF1}"/>
    <cellStyle name="Check Cell 6 7 3 2" xfId="5809" xr:uid="{592FDA16-7E5C-4127-A957-9A72618E55B2}"/>
    <cellStyle name="Check Cell 6 7 4" xfId="5810" xr:uid="{D389E40A-FD45-492F-9014-575714D914A9}"/>
    <cellStyle name="Check Cell 6 7 4 2" xfId="5811" xr:uid="{489DFAD7-D55D-4095-8C40-4953DCB413FF}"/>
    <cellStyle name="Check Cell 6 7 5" xfId="5812" xr:uid="{7AEEC4F9-D30A-491F-85EC-18599ADE074C}"/>
    <cellStyle name="Check Cell 6 7 5 2" xfId="5813" xr:uid="{5DB8D38C-2055-4ED1-82CA-D73B920A7244}"/>
    <cellStyle name="Check Cell 6 7 6" xfId="5814" xr:uid="{17AD4B73-F3BC-493D-BD9F-B359AB819857}"/>
    <cellStyle name="Check Cell 6 7 6 2" xfId="5815" xr:uid="{8C8076FE-650D-4FE6-9208-E01E4F2BC5D7}"/>
    <cellStyle name="Check Cell 6 7 7" xfId="5816" xr:uid="{AFA3B87E-41A0-4DA6-9857-1A3B4BE75A58}"/>
    <cellStyle name="Check Cell 6 8" xfId="5817" xr:uid="{ADC84651-BA26-43F8-A017-0B39BCA090C5}"/>
    <cellStyle name="Check Cell 6 8 2" xfId="5818" xr:uid="{7645C143-8740-46E1-A598-F432485F03A1}"/>
    <cellStyle name="Check Cell 6 8 2 2" xfId="5819" xr:uid="{E6721169-CC33-4FD1-8A2F-32B752ACBD8B}"/>
    <cellStyle name="Check Cell 6 8 3" xfId="5820" xr:uid="{77299127-C4C3-49AF-BD1B-5A0DFFB58263}"/>
    <cellStyle name="Check Cell 6 8 3 2" xfId="5821" xr:uid="{5F63338A-C52F-435D-BC1B-6C6E39C371AE}"/>
    <cellStyle name="Check Cell 6 8 4" xfId="5822" xr:uid="{A0FA3462-068D-4470-B7F0-7E3A2101C6F9}"/>
    <cellStyle name="Check Cell 6 8 4 2" xfId="5823" xr:uid="{B8652CCD-A6E3-49E0-BB23-63743C1A70D8}"/>
    <cellStyle name="Check Cell 6 8 5" xfId="5824" xr:uid="{65B2BD5E-CFA3-46AC-B0BE-41B218DF32F9}"/>
    <cellStyle name="Check Cell 6 8 5 2" xfId="5825" xr:uid="{73F95948-E1C7-4307-BB7B-1181C9CF1162}"/>
    <cellStyle name="Check Cell 6 8 6" xfId="5826" xr:uid="{FF52901B-DA8F-48AC-8069-587E002C71E1}"/>
    <cellStyle name="Check Cell 6 8 6 2" xfId="5827" xr:uid="{73F41811-4B09-47FD-AEF7-AB1C03C28454}"/>
    <cellStyle name="Check Cell 6 8 7" xfId="5828" xr:uid="{83FD9B55-5A51-4996-91DE-B997215BB652}"/>
    <cellStyle name="Check Cell 6 9" xfId="5829" xr:uid="{89F6B258-6D9F-4F79-8B7F-D6A105E8CAD6}"/>
    <cellStyle name="Check Cell 6 9 2" xfId="5830" xr:uid="{13EEC12C-8409-493A-AFE8-E6C0BCC0242D}"/>
    <cellStyle name="Check Cell 6 9 2 2" xfId="5831" xr:uid="{E6BE2B64-7788-4788-9A52-96456265E907}"/>
    <cellStyle name="Check Cell 6 9 3" xfId="5832" xr:uid="{8645CCB2-9AAA-4854-96FA-23D59D2427D2}"/>
    <cellStyle name="Check Cell 6 9 3 2" xfId="5833" xr:uid="{06FAA8AB-942E-428F-93C3-053348EB277E}"/>
    <cellStyle name="Check Cell 6 9 4" xfId="5834" xr:uid="{6B678737-BB2A-49B0-B160-11976F15D857}"/>
    <cellStyle name="Check Cell 6 9 4 2" xfId="5835" xr:uid="{0F90B38E-AAC0-4193-AC3D-91B0A8B904B9}"/>
    <cellStyle name="Check Cell 6 9 5" xfId="5836" xr:uid="{7A71692D-9E76-4320-816F-7348426EADB1}"/>
    <cellStyle name="Check Cell 6 9 5 2" xfId="5837" xr:uid="{D2206C0D-DFF4-4DD9-8CBC-BDD952E195F6}"/>
    <cellStyle name="Check Cell 6 9 6" xfId="5838" xr:uid="{5E097081-891B-496E-BEEC-4CB52A9DB3A1}"/>
    <cellStyle name="Check Cell 6 9 6 2" xfId="5839" xr:uid="{221E9CB0-8C81-4492-B504-CD086A75DE70}"/>
    <cellStyle name="Check Cell 6 9 7" xfId="5840" xr:uid="{5DC1B359-E75B-4B62-AC02-7C78E061A6A9}"/>
    <cellStyle name="Check Cell 7" xfId="5841" xr:uid="{88095BE5-420A-41C7-8D2E-A9ED1753B7FE}"/>
    <cellStyle name="Check Cell 7 2" xfId="5842" xr:uid="{FEDFE062-5B1D-448A-980B-7EDD7B5C1EE1}"/>
    <cellStyle name="Check Cell 7 2 2" xfId="5843" xr:uid="{317CC7A8-3C59-43B3-8CE9-33A8B80E1E47}"/>
    <cellStyle name="Check Cell 7 3" xfId="5844" xr:uid="{493BF055-26AD-4FD1-872D-A39016365C1B}"/>
    <cellStyle name="Check Cell 7 3 2" xfId="5845" xr:uid="{58CFAFFC-CC1C-4B03-A462-40809268E749}"/>
    <cellStyle name="Check Cell 7 4" xfId="5846" xr:uid="{9100A94D-0DD3-45DB-B346-E14E1D4A6592}"/>
    <cellStyle name="Check Cell 7 4 2" xfId="5847" xr:uid="{74CA7983-8308-4225-A1AD-142D0A43FCAF}"/>
    <cellStyle name="Check Cell 7 5" xfId="5848" xr:uid="{A3B0F0C6-B629-4384-983C-CA719F16A510}"/>
    <cellStyle name="Check Cell 7 5 2" xfId="5849" xr:uid="{CD5D6FDD-3F7B-4A9D-9778-F8983BE98B81}"/>
    <cellStyle name="Check Cell 7 6" xfId="5850" xr:uid="{BFD317A9-AFF3-4603-9BE5-4E1ADFFC64FE}"/>
    <cellStyle name="Check Cell 7 6 2" xfId="5851" xr:uid="{68A88F9F-A296-40BC-A264-FE205625026A}"/>
    <cellStyle name="Check Cell 7 7" xfId="5852" xr:uid="{39FF3B71-6575-47CA-913B-AE43A1746384}"/>
    <cellStyle name="Check Cell 8" xfId="5853" xr:uid="{E3014E20-D35A-4058-AC05-D4A012FB912E}"/>
    <cellStyle name="Check Cell 8 2" xfId="5854" xr:uid="{4A9CFEC9-22FC-4AF9-AE04-D92BD6A2D099}"/>
    <cellStyle name="Check Cell 8 2 2" xfId="5855" xr:uid="{A467E556-E987-415C-9368-81EF6F204501}"/>
    <cellStyle name="Check Cell 8 3" xfId="5856" xr:uid="{3B78C0F4-1B57-48F3-91CE-3268E6C6284D}"/>
    <cellStyle name="Check Cell 8 3 2" xfId="5857" xr:uid="{34117096-D772-434A-9286-55AD049B1859}"/>
    <cellStyle name="Check Cell 8 4" xfId="5858" xr:uid="{82B8194C-BB04-4194-A1B6-3DCB905C08A5}"/>
    <cellStyle name="Check Cell 8 4 2" xfId="5859" xr:uid="{CBE54C4C-0205-4A6C-A9C8-4599B9D9D4A4}"/>
    <cellStyle name="Check Cell 8 5" xfId="5860" xr:uid="{C70E901C-DAE9-4BBA-B2F3-4360A4176400}"/>
    <cellStyle name="Check Cell 8 5 2" xfId="5861" xr:uid="{8013BC97-B0D9-4B2A-99C5-5ABEDBCC73B3}"/>
    <cellStyle name="Check Cell 8 6" xfId="5862" xr:uid="{00C0FA42-AFFC-4167-AB37-D52CD53D93A2}"/>
    <cellStyle name="Check Cell 8 6 2" xfId="5863" xr:uid="{62B36706-137B-4C25-B586-9CCC3EFEE34E}"/>
    <cellStyle name="Check Cell 8 7" xfId="5864" xr:uid="{5D58F81B-7604-4AE1-8BB8-8C2538363AEE}"/>
    <cellStyle name="Check Cell 9" xfId="5865" xr:uid="{EA14B7B9-868E-4C35-B976-94EC47B9C47A}"/>
    <cellStyle name="Check Cell 9 2" xfId="5866" xr:uid="{8B7131F4-3BE0-4575-A366-F213FDF54645}"/>
    <cellStyle name="Check Cell 9 2 2" xfId="5867" xr:uid="{D02308BB-34D0-444A-8041-E6A18637EBCB}"/>
    <cellStyle name="Check Cell 9 3" xfId="5868" xr:uid="{6E584526-E339-41FB-8025-16CED2BC02C8}"/>
    <cellStyle name="Check Cell 9 3 2" xfId="5869" xr:uid="{10372E98-13DE-4E10-8C52-E3535BD62AD9}"/>
    <cellStyle name="Check Cell 9 4" xfId="5870" xr:uid="{C928EDDE-8422-4D34-A309-D8F757B4E808}"/>
    <cellStyle name="Check Cell 9 4 2" xfId="5871" xr:uid="{973172B0-5CE3-4BEC-A1B2-99A01F8C85D4}"/>
    <cellStyle name="Check Cell 9 5" xfId="5872" xr:uid="{90633786-CDE7-4F4E-9A30-B29327CDBBB4}"/>
    <cellStyle name="Check Cell 9 5 2" xfId="5873" xr:uid="{1F538ED2-B5F8-41FC-BA60-721F6E8ECD0E}"/>
    <cellStyle name="Check Cell 9 6" xfId="5874" xr:uid="{A7C59F47-7FA0-49BA-8AF7-15879060959B}"/>
    <cellStyle name="Check Cell 9 6 2" xfId="5875" xr:uid="{2CD25CBB-7F8C-4E04-8BBD-F64F4D6190AD}"/>
    <cellStyle name="Check Cell 9 7" xfId="5876" xr:uid="{CDC17CA3-9B2D-448A-B710-E503DAE47870}"/>
    <cellStyle name="Cím" xfId="5877" xr:uid="{2EEE69E4-3B46-44FA-A3F0-2FD926233F60}"/>
    <cellStyle name="Címsor 1" xfId="5878" xr:uid="{5DFED2EE-227E-4B8F-95B0-1AFC432A8404}"/>
    <cellStyle name="Címsor 2" xfId="5879" xr:uid="{29E51A0B-1BC8-46FB-859D-27DCB1B26A1B}"/>
    <cellStyle name="Címsor 3" xfId="5880" xr:uid="{8B4A9336-EEF7-41F0-AFB0-1D42389E9180}"/>
    <cellStyle name="Címsor 3 2" xfId="5881" xr:uid="{3FB4933F-CFDE-4B0A-A1AB-93B9629C1E47}"/>
    <cellStyle name="Címsor 3 2 2" xfId="5882" xr:uid="{E81BDB47-CE76-473B-9D03-2A8084F5FDE1}"/>
    <cellStyle name="Címsor 3 2 3" xfId="26697" xr:uid="{A713A3F3-60C3-4853-ACCB-06B677ED1924}"/>
    <cellStyle name="Címsor 3 3" xfId="5883" xr:uid="{EF016C84-5B56-4666-AE23-AE546047B4CB}"/>
    <cellStyle name="Címsor 3 3 2" xfId="5884" xr:uid="{7F33085D-5BA0-4274-9A77-A22BDC9DDB8B}"/>
    <cellStyle name="Címsor 3 3 3" xfId="26698" xr:uid="{CD89CA36-F571-4AF0-821E-1D3776B94C17}"/>
    <cellStyle name="Címsor 3 4" xfId="5885" xr:uid="{1169417F-FAF7-4AF3-B161-C05A35A9922F}"/>
    <cellStyle name="Címsor 3 4 2" xfId="5886" xr:uid="{A6341DF5-D278-4D19-B6F7-3C85EBD44FD8}"/>
    <cellStyle name="Címsor 3 4 3" xfId="26699" xr:uid="{D5D5A934-7A1F-499A-BCDD-03C66C55DF13}"/>
    <cellStyle name="Címsor 3 5" xfId="5887" xr:uid="{26E35AA5-5130-479C-BD28-A5E9CBE05153}"/>
    <cellStyle name="Címsor 3 5 2" xfId="5888" xr:uid="{76BEDAD5-BEDD-4A25-9324-EB84020EFEEF}"/>
    <cellStyle name="Címsor 3 5 3" xfId="26700" xr:uid="{DCFAA577-1551-4F8C-810A-5071BE24D20C}"/>
    <cellStyle name="Címsor 3 6" xfId="5889" xr:uid="{D9CC9074-21EA-43DB-88E3-F37B74A123F1}"/>
    <cellStyle name="Címsor 3 6 2" xfId="26701" xr:uid="{2C87C33B-6460-454C-B8D1-F25A465393F1}"/>
    <cellStyle name="Címsor 3 7" xfId="5890" xr:uid="{8EFD1675-F4C6-4AFA-80D2-92CE7F31F892}"/>
    <cellStyle name="Címsor 4" xfId="5891" xr:uid="{8215CF02-2F82-4519-9324-8E46CA276440}"/>
    <cellStyle name="coin" xfId="5892" xr:uid="{8F31D7F1-405A-4CF6-B0A5-B80F40FD7FE5}"/>
    <cellStyle name="coin 10" xfId="5893" xr:uid="{17EB6ABA-64AB-4EAF-B48E-7DD721B53890}"/>
    <cellStyle name="coin 10 2" xfId="26702" xr:uid="{406E7827-275F-425C-8090-389EF501EAAE}"/>
    <cellStyle name="coin 11" xfId="26703" xr:uid="{5E12F05B-F502-4CAC-8F5F-266E976EDCFE}"/>
    <cellStyle name="coin 12" xfId="42391" xr:uid="{B280D123-B5A9-4678-9B45-D9AC3A459BCC}"/>
    <cellStyle name="coin 13" xfId="42826" xr:uid="{FE15F007-369C-4831-B9BF-8FFAC6A52372}"/>
    <cellStyle name="coin 14" xfId="43548" xr:uid="{C6B70674-AD4D-4C35-BA90-E7BBDB240130}"/>
    <cellStyle name="coin 2" xfId="5894" xr:uid="{C04B781E-12D1-431A-A041-81B33A223C41}"/>
    <cellStyle name="coin 2 2" xfId="5895" xr:uid="{F9B15142-6616-4020-BD64-370B5733647D}"/>
    <cellStyle name="coin 2 2 2" xfId="26704" xr:uid="{692AF05C-7401-4B44-8A12-19BC334EA682}"/>
    <cellStyle name="coin 2 3" xfId="5896" xr:uid="{0AE9D577-BDCB-4D8D-9870-1BA95D93F987}"/>
    <cellStyle name="coin 2 3 2" xfId="26705" xr:uid="{6E21706E-C4D7-428D-A6BA-902F46DB073F}"/>
    <cellStyle name="coin 2 4" xfId="5897" xr:uid="{3CDE8E8B-96D7-46DD-B995-8608C90DBF5D}"/>
    <cellStyle name="coin 3" xfId="5898" xr:uid="{43C2BDBD-172C-429C-B1A8-507331974369}"/>
    <cellStyle name="coin 3 2" xfId="5899" xr:uid="{FB797C52-EE53-4EE7-83C3-BC78D8BC0DD1}"/>
    <cellStyle name="coin 3 3" xfId="26706" xr:uid="{F84AF31E-92DD-4A95-BE4B-69EAF5A99DD0}"/>
    <cellStyle name="coin 4" xfId="5900" xr:uid="{D84C9EA0-814F-4D7C-80CD-36F884107B5C}"/>
    <cellStyle name="coin 4 2" xfId="5901" xr:uid="{337A126E-F6EA-41E2-9AD2-FF06C1872E74}"/>
    <cellStyle name="coin 4 3" xfId="26707" xr:uid="{28154475-963B-4DC0-BB92-24ACD5B4F78A}"/>
    <cellStyle name="coin 5" xfId="5902" xr:uid="{00B5959F-446D-4C6D-A095-F5F601C8DB1E}"/>
    <cellStyle name="coin 5 2" xfId="5903" xr:uid="{EF4FD983-1B2A-4D5E-B593-F7A72F677AE3}"/>
    <cellStyle name="coin 5 3" xfId="26708" xr:uid="{1CC4138A-9AB0-4D86-A752-F3CB6578F013}"/>
    <cellStyle name="coin 6" xfId="5904" xr:uid="{8C7046A3-BC9C-4090-BC6D-4DE0FE3A5466}"/>
    <cellStyle name="coin 6 2" xfId="5905" xr:uid="{68F90A2C-5975-4D0D-BD40-E61A51D1C175}"/>
    <cellStyle name="coin 6 3" xfId="26709" xr:uid="{1AE8A091-7B52-4295-A102-45CB854A9207}"/>
    <cellStyle name="coin 7" xfId="5906" xr:uid="{468E5AA0-D225-4EDF-8FC2-E3FE0D16EB42}"/>
    <cellStyle name="coin 7 2" xfId="5907" xr:uid="{B0C388C7-2572-4388-AECC-F691C7057D35}"/>
    <cellStyle name="coin 7 3" xfId="26710" xr:uid="{127996BF-C207-4952-AC24-690ABD466D19}"/>
    <cellStyle name="coin 8" xfId="5908" xr:uid="{9A03E7A4-7274-4EE1-AA20-177147910D41}"/>
    <cellStyle name="coin 8 2" xfId="5909" xr:uid="{9EA6914F-C82E-4C36-9262-552F7B493316}"/>
    <cellStyle name="coin 8 3" xfId="26711" xr:uid="{2923D9E6-1DAD-4E4F-A91E-94058E164EEB}"/>
    <cellStyle name="coin 9" xfId="5910" xr:uid="{4313477C-CDB5-4923-82CC-0DA954B1AA3B}"/>
    <cellStyle name="coin 9 2" xfId="26712" xr:uid="{1EC66A30-377F-4F95-8BD8-245B2A3DB174}"/>
    <cellStyle name="coin 9 3" xfId="26713" xr:uid="{FE33C406-75BD-4413-9317-7F9AFAC6D7BD}"/>
    <cellStyle name="Comma" xfId="45772" builtinId="3"/>
    <cellStyle name="Comma [0] 2" xfId="5917" xr:uid="{C4EE1D54-45FC-44E0-98B0-96305E3F5411}"/>
    <cellStyle name="Comma [0] 2 10" xfId="5918" xr:uid="{3C1CBBAD-5F79-4BEB-B866-3AF00EDD5955}"/>
    <cellStyle name="Comma [0] 2 10 2" xfId="5919" xr:uid="{957230A6-FB0B-4B5A-AD8D-4041CC89A79B}"/>
    <cellStyle name="Comma [0] 2 10 2 2" xfId="5920" xr:uid="{A9C1AE41-1B53-46CF-B4C7-28B57292D5F6}"/>
    <cellStyle name="Comma [0] 2 10 2 3" xfId="26714" xr:uid="{D756024C-4FFC-4E5B-9852-81622BFF4A14}"/>
    <cellStyle name="Comma [0] 2 10 2 4" xfId="26715" xr:uid="{E69EC899-24F1-48C2-9716-F187E8FEE268}"/>
    <cellStyle name="Comma [0] 2 10 2 5" xfId="26716" xr:uid="{746CD903-7393-42A7-9CF8-163E0966F688}"/>
    <cellStyle name="Comma [0] 2 10 3" xfId="5921" xr:uid="{9842EAB7-A072-4A96-A149-CDE41CE2C4DE}"/>
    <cellStyle name="Comma [0] 2 10 4" xfId="26717" xr:uid="{999E6061-7FC3-4C43-BEDC-5CBA8007CD4D}"/>
    <cellStyle name="Comma [0] 2 10 5" xfId="26718" xr:uid="{68CB4AC0-7067-4051-B538-C1E87B60DD86}"/>
    <cellStyle name="Comma [0] 2 10 6" xfId="26719" xr:uid="{DD2B79B3-66D6-4A12-99CD-54E603821DDB}"/>
    <cellStyle name="Comma [0] 2 10 7" xfId="42392" xr:uid="{624DC47C-6886-48CF-932D-D1EA21209E3B}"/>
    <cellStyle name="Comma [0] 2 10 8" xfId="43549" xr:uid="{18934747-5A12-4D7C-9236-684AA637A294}"/>
    <cellStyle name="Comma [0] 2 11" xfId="5922" xr:uid="{2037AFF9-A168-4C5D-AA78-47AA3008BD17}"/>
    <cellStyle name="Comma [0] 2 12" xfId="5923" xr:uid="{297DB68A-CB5C-4699-A74A-56E9F6282B98}"/>
    <cellStyle name="Comma [0] 2 13" xfId="5924" xr:uid="{9D2F5445-0758-4A39-9AC9-769D4411FE15}"/>
    <cellStyle name="Comma [0] 2 2" xfId="5925" xr:uid="{2AF77247-3602-491A-A1ED-4D976F0A290D}"/>
    <cellStyle name="Comma [0] 2 2 10" xfId="43550" xr:uid="{414F21AC-DC1F-45D0-AAF8-81607A122F03}"/>
    <cellStyle name="Comma [0] 2 2 2" xfId="5926" xr:uid="{42963F14-D5F8-4AD8-8B2D-783708FB80E4}"/>
    <cellStyle name="Comma [0] 2 2 2 2" xfId="5927" xr:uid="{F3498B46-8D48-4AD8-AC4F-6E0DB32B0ED6}"/>
    <cellStyle name="Comma [0] 2 2 2 3" xfId="26720" xr:uid="{FB328505-2956-4DC2-BB1D-EBD5F87D5DD1}"/>
    <cellStyle name="Comma [0] 2 2 2 4" xfId="26721" xr:uid="{E85412EC-58CD-4B03-9D2A-23AD5547300A}"/>
    <cellStyle name="Comma [0] 2 2 2 5" xfId="26722" xr:uid="{4202D373-7438-4C26-8DE8-0C6521C4C685}"/>
    <cellStyle name="Comma [0] 2 2 3" xfId="5928" xr:uid="{B87760A1-AF77-481D-B817-67029A6F7C18}"/>
    <cellStyle name="Comma [0] 2 2 3 2" xfId="26723" xr:uid="{C8B8B21E-CF53-4B8F-B279-648649298632}"/>
    <cellStyle name="Comma [0] 2 2 4" xfId="5929" xr:uid="{6F723240-696B-4C46-AE00-8BB255210CAD}"/>
    <cellStyle name="Comma [0] 2 2 5" xfId="5930" xr:uid="{BFD4336F-2BB2-427F-8B70-35DAE9D5B6CF}"/>
    <cellStyle name="Comma [0] 2 2 6" xfId="26724" xr:uid="{776541E2-2DB9-45F2-A71F-971D299BEBBA}"/>
    <cellStyle name="Comma [0] 2 2 7" xfId="26725" xr:uid="{5C02E0EC-E646-4A57-A674-9BB2444F7ADB}"/>
    <cellStyle name="Comma [0] 2 2 8" xfId="26726" xr:uid="{29EC8028-1CE5-4AF3-BE09-D69A5C00EE61}"/>
    <cellStyle name="Comma [0] 2 2 9" xfId="42393" xr:uid="{AEA70D7A-0124-4AA3-997E-A33E8CEAB226}"/>
    <cellStyle name="Comma [0] 2 3" xfId="5931" xr:uid="{EA09DD41-ADC5-45CF-A9E0-CBE8AB148A6F}"/>
    <cellStyle name="Comma [0] 2 3 10" xfId="43551" xr:uid="{EA737A4D-EE0B-4F8A-B62A-FEF5E2EC44A2}"/>
    <cellStyle name="Comma [0] 2 3 2" xfId="5932" xr:uid="{95D8B0C2-5742-4FE0-B8B0-70A90D9756F0}"/>
    <cellStyle name="Comma [0] 2 3 2 2" xfId="5933" xr:uid="{5D70D599-F66E-4E8F-81A7-CEED2AC25852}"/>
    <cellStyle name="Comma [0] 2 3 2 3" xfId="26727" xr:uid="{4A63C5B6-3F47-4F13-9C07-7A7EC8BBEEAB}"/>
    <cellStyle name="Comma [0] 2 3 2 4" xfId="26728" xr:uid="{AAF966C3-F998-4889-86EE-FC7606A79543}"/>
    <cellStyle name="Comma [0] 2 3 2 5" xfId="26729" xr:uid="{29D8453C-233F-407C-891A-DC673792F207}"/>
    <cellStyle name="Comma [0] 2 3 3" xfId="5934" xr:uid="{245A0FBE-AB78-4008-8C47-405F29F65F11}"/>
    <cellStyle name="Comma [0] 2 3 3 2" xfId="26730" xr:uid="{19789EA6-4D65-4537-93EC-1F493F68948E}"/>
    <cellStyle name="Comma [0] 2 3 4" xfId="5935" xr:uid="{B9CC7B07-82BC-4886-9A42-2DFE4D5018D0}"/>
    <cellStyle name="Comma [0] 2 3 5" xfId="26731" xr:uid="{85FB927B-4270-4D25-9F11-BEFEA574F4C2}"/>
    <cellStyle name="Comma [0] 2 3 6" xfId="26732" xr:uid="{FBF2920C-17AE-4B87-A7B6-C7F6007291BE}"/>
    <cellStyle name="Comma [0] 2 3 7" xfId="26733" xr:uid="{E3361181-6140-4F69-8F7A-A0DB405F92F0}"/>
    <cellStyle name="Comma [0] 2 3 8" xfId="26734" xr:uid="{CA1BDFE8-D183-4C26-86F2-E651A67BE893}"/>
    <cellStyle name="Comma [0] 2 3 9" xfId="42394" xr:uid="{CBC5F5DE-D624-4A84-8454-485CFF1B3A78}"/>
    <cellStyle name="Comma [0] 2 4" xfId="5936" xr:uid="{D9BC61BC-2679-49CE-B93A-89EC3F05AE4F}"/>
    <cellStyle name="Comma [0] 2 4 10" xfId="43552" xr:uid="{C3BD9869-C132-4D60-8268-1AF2F2A116B8}"/>
    <cellStyle name="Comma [0] 2 4 2" xfId="5937" xr:uid="{17CDFEEB-D9D7-470A-B52A-CC016461B28E}"/>
    <cellStyle name="Comma [0] 2 4 2 2" xfId="5938" xr:uid="{82733675-E331-43FC-BB58-DD714B411C4D}"/>
    <cellStyle name="Comma [0] 2 4 2 3" xfId="26735" xr:uid="{F0974130-02DF-42D5-8BFB-89BC5772FDE5}"/>
    <cellStyle name="Comma [0] 2 4 2 4" xfId="26736" xr:uid="{0E4CD997-124A-4BFD-91CD-667BF2A8DF0F}"/>
    <cellStyle name="Comma [0] 2 4 2 5" xfId="26737" xr:uid="{F674D570-8E87-4176-B1E3-6C65DBF3ACBD}"/>
    <cellStyle name="Comma [0] 2 4 3" xfId="5939" xr:uid="{EA6CE2AF-35A9-4F82-8C78-E9B32ECAC301}"/>
    <cellStyle name="Comma [0] 2 4 3 2" xfId="26738" xr:uid="{20E511DD-F7F9-488F-9DB4-59688A26025F}"/>
    <cellStyle name="Comma [0] 2 4 4" xfId="5940" xr:uid="{DB35B0AF-8578-441E-AD16-9F6D0458A2F4}"/>
    <cellStyle name="Comma [0] 2 4 5" xfId="26739" xr:uid="{3FA89EE5-977E-47D2-B3D6-CE81483D01CA}"/>
    <cellStyle name="Comma [0] 2 4 6" xfId="26740" xr:uid="{E007DAB4-10F7-4732-9DDF-6BD1E04BC11E}"/>
    <cellStyle name="Comma [0] 2 4 7" xfId="26741" xr:uid="{FCE1D689-EAD0-47AE-9109-820C5FD1BDA2}"/>
    <cellStyle name="Comma [0] 2 4 8" xfId="26742" xr:uid="{E4EE0A99-3CD9-4D65-B144-2F6E802772D9}"/>
    <cellStyle name="Comma [0] 2 4 9" xfId="42395" xr:uid="{B4E8284F-3E8E-4829-B5E4-4490D19E2CD0}"/>
    <cellStyle name="Comma [0] 2 5" xfId="5941" xr:uid="{923288DD-AA7F-4750-A428-FE0D0E0CCD21}"/>
    <cellStyle name="Comma [0] 2 5 2" xfId="5942" xr:uid="{6A2A8DBF-B179-461A-8E5E-7A9D7763BD2F}"/>
    <cellStyle name="Comma [0] 2 5 2 2" xfId="5943" xr:uid="{BDF7BFB2-CB49-4DEB-94A0-8E892B79FE34}"/>
    <cellStyle name="Comma [0] 2 5 2 3" xfId="26743" xr:uid="{51B108D9-A71C-4C37-8BEE-FEF7CA62AB22}"/>
    <cellStyle name="Comma [0] 2 5 2 4" xfId="26744" xr:uid="{1F62FCD8-95C6-49D1-86A6-F4A7A176019B}"/>
    <cellStyle name="Comma [0] 2 5 2 5" xfId="26745" xr:uid="{AC512A0D-9B24-4261-B682-6E04639A49C7}"/>
    <cellStyle name="Comma [0] 2 5 3" xfId="5944" xr:uid="{490FBDCE-D909-49C1-8FB6-FCF2A94ACFDF}"/>
    <cellStyle name="Comma [0] 2 5 4" xfId="5945" xr:uid="{8670952D-E99B-447B-8D2C-61CB40AACE6A}"/>
    <cellStyle name="Comma [0] 2 5 5" xfId="26746" xr:uid="{E0D1EB10-C411-497B-9CA2-7C05039AB7AE}"/>
    <cellStyle name="Comma [0] 2 5 6" xfId="26747" xr:uid="{1665B757-EE14-485E-9737-79B79A7DDD80}"/>
    <cellStyle name="Comma [0] 2 5 7" xfId="26748" xr:uid="{A82D9491-C6A1-4E0D-877F-080C9DE2B340}"/>
    <cellStyle name="Comma [0] 2 5 8" xfId="42396" xr:uid="{7798E4D3-F2F0-489D-BB85-32F54188F6B4}"/>
    <cellStyle name="Comma [0] 2 5 9" xfId="43553" xr:uid="{9EB509A5-B53A-49FD-AA73-9E06CFC9A0A1}"/>
    <cellStyle name="Comma [0] 2 6" xfId="5946" xr:uid="{006C60BE-7D37-4F03-8BB8-2674F9BB4486}"/>
    <cellStyle name="Comma [0] 2 6 2" xfId="5947" xr:uid="{EED6FD2A-669D-4F13-9872-FE1313ACDD43}"/>
    <cellStyle name="Comma [0] 2 6 2 2" xfId="5948" xr:uid="{D8626A18-07A6-4FA1-9D30-8FE63C384C53}"/>
    <cellStyle name="Comma [0] 2 6 2 3" xfId="26749" xr:uid="{16E9E1DF-2457-42D2-B231-67D6622A09B9}"/>
    <cellStyle name="Comma [0] 2 6 2 4" xfId="26750" xr:uid="{A70EF3F7-CFC5-49EA-86F4-FE92C4AB98BB}"/>
    <cellStyle name="Comma [0] 2 6 2 5" xfId="26751" xr:uid="{ECA6A494-432F-4F4C-B5AA-558448911335}"/>
    <cellStyle name="Comma [0] 2 6 3" xfId="5949" xr:uid="{4AEFF511-B444-47D6-B7AB-CA4797976F79}"/>
    <cellStyle name="Comma [0] 2 6 4" xfId="26752" xr:uid="{47E8ED5E-D639-4A43-A575-B67DC864ACB6}"/>
    <cellStyle name="Comma [0] 2 6 5" xfId="26753" xr:uid="{94267F6C-4F67-407F-8CA9-EC050DDEE8C7}"/>
    <cellStyle name="Comma [0] 2 6 6" xfId="26754" xr:uid="{1764357A-4496-4FF1-9D8E-14AD4151E519}"/>
    <cellStyle name="Comma [0] 2 6 7" xfId="42397" xr:uid="{A903BD4B-3F54-4C64-921A-8BD11B7B89B6}"/>
    <cellStyle name="Comma [0] 2 6 8" xfId="43554" xr:uid="{EDFA2662-E438-49B3-8991-DEE4688260A8}"/>
    <cellStyle name="Comma [0] 2 7" xfId="5950" xr:uid="{C36145BB-8D07-4C73-9155-AFCBB036792F}"/>
    <cellStyle name="Comma [0] 2 7 2" xfId="5951" xr:uid="{A554F58F-D1E9-4AD4-94EA-E8BE4E6DA9D5}"/>
    <cellStyle name="Comma [0] 2 7 2 2" xfId="5952" xr:uid="{C5537086-213E-4E4A-A1E4-319E433B9DA0}"/>
    <cellStyle name="Comma [0] 2 7 2 3" xfId="26755" xr:uid="{12E9CAD7-A6DA-4E96-9217-C4C66928B59F}"/>
    <cellStyle name="Comma [0] 2 7 2 4" xfId="26756" xr:uid="{A283D218-16FD-4294-A10A-90881270E699}"/>
    <cellStyle name="Comma [0] 2 7 2 5" xfId="26757" xr:uid="{8B0F9EB5-54A8-4E92-B050-971A352A9CEF}"/>
    <cellStyle name="Comma [0] 2 7 3" xfId="5953" xr:uid="{892ED6FB-1DA3-439F-AF97-759160D55FA3}"/>
    <cellStyle name="Comma [0] 2 7 4" xfId="26758" xr:uid="{A781E6EA-299A-4423-87BF-A751FE654FFB}"/>
    <cellStyle name="Comma [0] 2 7 5" xfId="26759" xr:uid="{2639FEA6-DCFD-44A2-9076-860B8D3B922D}"/>
    <cellStyle name="Comma [0] 2 7 6" xfId="26760" xr:uid="{A4786354-2DCA-4CDF-8863-8C9EF453962A}"/>
    <cellStyle name="Comma [0] 2 7 7" xfId="42398" xr:uid="{4A4CF64E-25F2-4D0B-9934-7FBEAC875E42}"/>
    <cellStyle name="Comma [0] 2 7 8" xfId="43555" xr:uid="{ED666A3C-C318-40C4-94E6-E60874777283}"/>
    <cellStyle name="Comma [0] 2 8" xfId="5954" xr:uid="{775A592A-1171-4DA4-8561-4594EBE3EF00}"/>
    <cellStyle name="Comma [0] 2 8 2" xfId="5955" xr:uid="{2FEB4AB4-825A-4CEE-80DE-28EA1CFE93AD}"/>
    <cellStyle name="Comma [0] 2 8 2 2" xfId="5956" xr:uid="{143F0BB7-009A-443A-BCCE-F8B346F663D0}"/>
    <cellStyle name="Comma [0] 2 8 2 3" xfId="26761" xr:uid="{2DCF5C29-C01F-4E8A-BF3A-683F86958E84}"/>
    <cellStyle name="Comma [0] 2 8 2 4" xfId="26762" xr:uid="{8A563A9C-C1B2-402E-A457-2D4F6CE102D5}"/>
    <cellStyle name="Comma [0] 2 8 2 5" xfId="26763" xr:uid="{10572DDE-95D7-4B92-BEC5-791F64E4D8AF}"/>
    <cellStyle name="Comma [0] 2 8 3" xfId="5957" xr:uid="{47C0AD72-0B1E-404B-8AC8-19D113743365}"/>
    <cellStyle name="Comma [0] 2 8 4" xfId="26764" xr:uid="{D8E1487F-74CE-49C3-8E06-63C8C1A9767A}"/>
    <cellStyle name="Comma [0] 2 8 5" xfId="26765" xr:uid="{8151FA33-4572-4029-B0F3-57FF67D4A281}"/>
    <cellStyle name="Comma [0] 2 8 6" xfId="26766" xr:uid="{D0DE46E0-84D5-479D-B047-6A7D6D98394B}"/>
    <cellStyle name="Comma [0] 2 8 7" xfId="42399" xr:uid="{C3DA3730-F48A-4E36-8D8C-BA944A06AB77}"/>
    <cellStyle name="Comma [0] 2 8 8" xfId="43556" xr:uid="{6C36E9BD-EB68-41C2-B975-E2445D7611EB}"/>
    <cellStyle name="Comma [0] 2 9" xfId="5958" xr:uid="{FDE297CF-A529-45F3-B55C-CF2AD495CB31}"/>
    <cellStyle name="Comma [0] 2 9 2" xfId="5959" xr:uid="{8B71CCAF-4830-4F17-946A-BA34269CBB7F}"/>
    <cellStyle name="Comma [0] 2 9 2 2" xfId="5960" xr:uid="{89104C7C-E9FC-4691-B2AF-0B12D56B9653}"/>
    <cellStyle name="Comma [0] 2 9 2 3" xfId="26767" xr:uid="{A0B2954A-3259-4DCB-894C-EE1B3C9B0E03}"/>
    <cellStyle name="Comma [0] 2 9 2 4" xfId="26768" xr:uid="{483C54FB-97F9-4D59-A44C-7C94E730E0CE}"/>
    <cellStyle name="Comma [0] 2 9 2 5" xfId="26769" xr:uid="{E1669200-4A06-4987-85B9-AEA01733998E}"/>
    <cellStyle name="Comma [0] 2 9 3" xfId="5961" xr:uid="{DBFA1EC6-0344-4BF5-B881-B787BAF36D10}"/>
    <cellStyle name="Comma [0] 2 9 4" xfId="26770" xr:uid="{89FF40DD-A168-4DCA-BE3C-4D49F4BD628F}"/>
    <cellStyle name="Comma [0] 2 9 5" xfId="26771" xr:uid="{046C9DDD-57F0-4477-B006-ED1D28833DEE}"/>
    <cellStyle name="Comma [0] 2 9 6" xfId="26772" xr:uid="{032340AE-C4B9-4EEC-BA67-2087D2A241FE}"/>
    <cellStyle name="Comma [0] 2 9 7" xfId="42400" xr:uid="{F81A362B-F00A-40F8-AEFF-41D0A19746E8}"/>
    <cellStyle name="Comma [0] 2 9 8" xfId="43557" xr:uid="{1549871F-9743-409F-91B0-01EF3C11E692}"/>
    <cellStyle name="Comma 10" xfId="5962" xr:uid="{3B98EC45-1307-4BA6-9E87-E10473FD7C94}"/>
    <cellStyle name="Comma 10 10" xfId="5963" xr:uid="{AD2373F6-0BDB-437F-9BEF-3095F4D8593E}"/>
    <cellStyle name="Comma 10 10 2" xfId="26773" xr:uid="{2A6E3AC7-0C05-4B3C-BED2-D7114D8D87E7}"/>
    <cellStyle name="Comma 10 11" xfId="5964" xr:uid="{BA29BD25-DCF9-415F-8605-ABC33A775BC0}"/>
    <cellStyle name="Comma 10 11 2" xfId="26774" xr:uid="{50137A57-071A-40D6-B40F-1C6D75C21BBA}"/>
    <cellStyle name="Comma 10 12" xfId="26775" xr:uid="{9F7809DE-1018-48B6-A768-F319B863F3EE}"/>
    <cellStyle name="Comma 10 13" xfId="26776" xr:uid="{9CBE1C80-C04E-4282-B1D7-FDC54510CFD3}"/>
    <cellStyle name="Comma 10 14" xfId="26777" xr:uid="{19CA70CB-EFDC-4283-B9EF-E40516F243A5}"/>
    <cellStyle name="Comma 10 15" xfId="26778" xr:uid="{EA1028EE-03B3-4271-86E2-6CB7E8D9F191}"/>
    <cellStyle name="Comma 10 16" xfId="26779" xr:uid="{AD352836-A0D0-487A-9FC4-D2363A5FA3B9}"/>
    <cellStyle name="Comma 10 17" xfId="42401" xr:uid="{268938E5-47FC-4C56-82AD-A5F404F61C44}"/>
    <cellStyle name="Comma 10 18" xfId="43558" xr:uid="{352549DA-DC84-486F-A7BA-A0972219D630}"/>
    <cellStyle name="Comma 10 19" xfId="45805" xr:uid="{B14E73E6-7F64-4F94-A084-99B2EC8325BB}"/>
    <cellStyle name="Comma 10 2" xfId="5965" xr:uid="{BEDCAFE1-ED62-452C-83F6-BCC3E66CBB55}"/>
    <cellStyle name="Comma 10 2 10" xfId="5966" xr:uid="{EC11E8D9-F90B-4AC4-86F5-0F69D7658C86}"/>
    <cellStyle name="Comma 10 2 10 2" xfId="5967" xr:uid="{66766B48-D5AF-4C70-8106-7962044184D0}"/>
    <cellStyle name="Comma 10 2 10 2 2" xfId="5968" xr:uid="{7C00BA71-F82B-4C47-AA7E-58093D9C7C6D}"/>
    <cellStyle name="Comma 10 2 10 2 3" xfId="26780" xr:uid="{C4F4E6F0-3AE9-4A03-9973-AC03182C9CF9}"/>
    <cellStyle name="Comma 10 2 10 2 4" xfId="26781" xr:uid="{152F7D13-35EE-4484-850D-C71892084EE2}"/>
    <cellStyle name="Comma 10 2 10 2 5" xfId="26782" xr:uid="{013D7584-7F37-42C3-8555-A85F8EB9073B}"/>
    <cellStyle name="Comma 10 2 10 3" xfId="5969" xr:uid="{74A995FD-95FE-4D49-80CE-8D8ABC1B5B1F}"/>
    <cellStyle name="Comma 10 2 10 4" xfId="26783" xr:uid="{2520D99F-F0CC-4ECC-9637-1C0E412E58FE}"/>
    <cellStyle name="Comma 10 2 10 5" xfId="26784" xr:uid="{735BD87A-C734-447B-86BD-A5E026D612C0}"/>
    <cellStyle name="Comma 10 2 10 6" xfId="26785" xr:uid="{0AE7BC4F-28F2-4E7C-97A7-58129B384A5C}"/>
    <cellStyle name="Comma 10 2 10 7" xfId="42403" xr:uid="{D8CA8337-A994-48AA-971B-0C8E799B45E0}"/>
    <cellStyle name="Comma 10 2 10 8" xfId="43560" xr:uid="{08DC7719-5D04-40FE-BC2B-29CB96DE79B3}"/>
    <cellStyle name="Comma 10 2 11" xfId="5970" xr:uid="{F1A4D525-8421-43DC-92AD-60A788B25206}"/>
    <cellStyle name="Comma 10 2 11 2" xfId="5971" xr:uid="{02DAD617-E2AF-472E-BB82-D17D70360101}"/>
    <cellStyle name="Comma 10 2 11 2 2" xfId="5972" xr:uid="{7C935415-4828-455F-9A4E-B55BFB5F30F7}"/>
    <cellStyle name="Comma 10 2 11 2 3" xfId="26786" xr:uid="{22BAC520-F014-43E6-8B31-78E20CA4E9A8}"/>
    <cellStyle name="Comma 10 2 11 2 4" xfId="26787" xr:uid="{714B6D86-B716-4957-AAB3-0FF885C1E5EE}"/>
    <cellStyle name="Comma 10 2 11 2 5" xfId="26788" xr:uid="{650B3670-F9D8-41A5-858A-DEC35768EED4}"/>
    <cellStyle name="Comma 10 2 11 3" xfId="5973" xr:uid="{64765686-5F2B-420A-9A97-3D6DDE912C6D}"/>
    <cellStyle name="Comma 10 2 11 4" xfId="26789" xr:uid="{796B27DC-BBC9-4138-954F-875C4BA9B9E2}"/>
    <cellStyle name="Comma 10 2 11 5" xfId="26790" xr:uid="{E04FCC67-01E2-45B9-9632-CB010F1D7422}"/>
    <cellStyle name="Comma 10 2 11 6" xfId="26791" xr:uid="{BF73DC8E-45BA-4780-B8EC-EDA49ACDA000}"/>
    <cellStyle name="Comma 10 2 11 7" xfId="42404" xr:uid="{CC7E1FCE-88A3-49D6-9BC1-1957685E3205}"/>
    <cellStyle name="Comma 10 2 11 8" xfId="43561" xr:uid="{E75861E7-F2B1-4D79-A8A1-3F6D8E7A6EA2}"/>
    <cellStyle name="Comma 10 2 12" xfId="5974" xr:uid="{0E00CEDC-D91E-4D8C-BF00-811AC2AB0450}"/>
    <cellStyle name="Comma 10 2 12 2" xfId="5975" xr:uid="{922B73A2-5B64-46A2-938C-2586752D95C2}"/>
    <cellStyle name="Comma 10 2 12 2 2" xfId="5976" xr:uid="{C87B0AFC-8D5A-4496-86CE-1433AE42E36B}"/>
    <cellStyle name="Comma 10 2 12 2 3" xfId="26792" xr:uid="{017D70E9-1B77-401D-94BD-1DF92E363620}"/>
    <cellStyle name="Comma 10 2 12 2 4" xfId="26793" xr:uid="{B776DB79-5D08-420A-B7CA-F19F124641E7}"/>
    <cellStyle name="Comma 10 2 12 2 5" xfId="26794" xr:uid="{C5CA92C8-DE0C-4BDA-B39A-610BFBCD6DE2}"/>
    <cellStyle name="Comma 10 2 12 3" xfId="5977" xr:uid="{DEC39337-9E37-47F5-BB62-92BB3041D7FB}"/>
    <cellStyle name="Comma 10 2 12 4" xfId="26795" xr:uid="{363E0314-0170-455D-97A5-91E28B0CAC9D}"/>
    <cellStyle name="Comma 10 2 12 5" xfId="26796" xr:uid="{1E61C881-FB0E-4FCB-BA7B-F79E2828D0E0}"/>
    <cellStyle name="Comma 10 2 12 6" xfId="26797" xr:uid="{3E9CE51A-1925-48BE-8D15-C2BC0A3F7EB4}"/>
    <cellStyle name="Comma 10 2 12 7" xfId="42405" xr:uid="{6AF449C6-25FE-4DD8-AA5E-21B69137F9DA}"/>
    <cellStyle name="Comma 10 2 12 8" xfId="43562" xr:uid="{1A9A9CC1-7789-4A8C-AD9D-96CBE616222E}"/>
    <cellStyle name="Comma 10 2 13" xfId="5978" xr:uid="{32F2196C-DCA8-4EE2-AF13-0D18D03ADB36}"/>
    <cellStyle name="Comma 10 2 13 2" xfId="5979" xr:uid="{57C79643-88BE-4340-8A81-7642D6089577}"/>
    <cellStyle name="Comma 10 2 13 2 2" xfId="5980" xr:uid="{3577F77E-AD85-4971-AC0B-398B0D12DD55}"/>
    <cellStyle name="Comma 10 2 13 2 3" xfId="26798" xr:uid="{11D623BD-68A8-43A5-A14A-B9E7A697D9BD}"/>
    <cellStyle name="Comma 10 2 13 2 4" xfId="26799" xr:uid="{A15FD2FD-D6C4-4528-96BB-9A5CA49010F3}"/>
    <cellStyle name="Comma 10 2 13 2 5" xfId="26800" xr:uid="{F7CF03D2-F5B2-4861-8922-D4598117ADF3}"/>
    <cellStyle name="Comma 10 2 13 3" xfId="5981" xr:uid="{CB1604B3-F6B7-402C-B483-0B3F0DA6406D}"/>
    <cellStyle name="Comma 10 2 13 4" xfId="26801" xr:uid="{9C7BB259-877B-4AD1-A56D-E6E551045B5D}"/>
    <cellStyle name="Comma 10 2 13 5" xfId="26802" xr:uid="{393C3E70-77B2-46CA-BDD2-CDBA9C29B706}"/>
    <cellStyle name="Comma 10 2 13 6" xfId="26803" xr:uid="{5214988F-1A36-4566-9FD9-68BC63BDDF51}"/>
    <cellStyle name="Comma 10 2 13 7" xfId="42406" xr:uid="{F5AFC1C2-5B53-47C3-B6A7-30234B68DFAA}"/>
    <cellStyle name="Comma 10 2 13 8" xfId="43563" xr:uid="{050403E2-8C61-4446-9937-93463EDAF90A}"/>
    <cellStyle name="Comma 10 2 14" xfId="5982" xr:uid="{C1AFAF5D-6179-40FF-8D59-6BABE4F185A5}"/>
    <cellStyle name="Comma 10 2 14 2" xfId="5983" xr:uid="{73089C91-FE82-4BB7-B3F2-8278034916B2}"/>
    <cellStyle name="Comma 10 2 14 2 2" xfId="5984" xr:uid="{40D4D5C6-8DF8-4799-9A6C-9D284CD20142}"/>
    <cellStyle name="Comma 10 2 14 2 3" xfId="26804" xr:uid="{50750A85-1389-43A0-9E87-FD2BFBC6EE60}"/>
    <cellStyle name="Comma 10 2 14 2 4" xfId="26805" xr:uid="{0A1A9860-F04A-427E-A034-6F1D8727F9DD}"/>
    <cellStyle name="Comma 10 2 14 2 5" xfId="26806" xr:uid="{98956B19-49F8-41BD-8F01-246D0F72B705}"/>
    <cellStyle name="Comma 10 2 14 3" xfId="5985" xr:uid="{C1AA0E53-08B1-4091-AAD8-716FE279CBED}"/>
    <cellStyle name="Comma 10 2 14 4" xfId="26807" xr:uid="{6DB5DFC7-AAEC-449B-A0FD-17FE748A7D6D}"/>
    <cellStyle name="Comma 10 2 14 5" xfId="26808" xr:uid="{00AE87E0-4910-4AD3-BA86-D8492E802E6C}"/>
    <cellStyle name="Comma 10 2 14 6" xfId="26809" xr:uid="{5F3EB870-B134-46A9-A92B-7D5D1B9EAE37}"/>
    <cellStyle name="Comma 10 2 14 7" xfId="42407" xr:uid="{609C8987-D760-41ED-B4A4-D4FD0A0F069A}"/>
    <cellStyle name="Comma 10 2 14 8" xfId="43564" xr:uid="{5A79CF37-1A41-45BC-B851-390DCC3C59DF}"/>
    <cellStyle name="Comma 10 2 15" xfId="5986" xr:uid="{8D6CE4E2-E9D7-49DA-8246-C4050D7E4A6C}"/>
    <cellStyle name="Comma 10 2 15 2" xfId="5987" xr:uid="{82E53C88-9C4F-4C7C-9C85-7638173E8F21}"/>
    <cellStyle name="Comma 10 2 15 2 2" xfId="5988" xr:uid="{F3C6090B-BD48-4887-A91C-F4BA1D9A46DA}"/>
    <cellStyle name="Comma 10 2 15 2 3" xfId="26810" xr:uid="{0EF01792-CAEA-46FE-A785-8F33AF8CE74F}"/>
    <cellStyle name="Comma 10 2 15 2 4" xfId="26811" xr:uid="{712C64FD-1CB3-4333-8B36-99C58752788D}"/>
    <cellStyle name="Comma 10 2 15 2 5" xfId="26812" xr:uid="{03A98B9E-3475-4221-990A-69CC3129DDC8}"/>
    <cellStyle name="Comma 10 2 15 3" xfId="5989" xr:uid="{B3AEF86B-6284-4F47-875A-F909E37402A1}"/>
    <cellStyle name="Comma 10 2 15 4" xfId="26813" xr:uid="{765670CA-9E86-4B35-BB17-D3B604C90A1D}"/>
    <cellStyle name="Comma 10 2 15 5" xfId="26814" xr:uid="{5AF0037E-53A7-468B-BBD7-DF395933EB72}"/>
    <cellStyle name="Comma 10 2 15 6" xfId="26815" xr:uid="{E758A105-441C-441A-8200-5E31A6E0DE7E}"/>
    <cellStyle name="Comma 10 2 15 7" xfId="42408" xr:uid="{A73BFF04-B185-4CA0-A443-2AB0DF923591}"/>
    <cellStyle name="Comma 10 2 15 8" xfId="43565" xr:uid="{E8744D58-EC04-4FC4-8493-46DCCDBF53A1}"/>
    <cellStyle name="Comma 10 2 16" xfId="5990" xr:uid="{BF7B4297-6B93-4D49-B276-778842AB1AE2}"/>
    <cellStyle name="Comma 10 2 16 2" xfId="5991" xr:uid="{8363CDE7-23A8-4D1B-8C7D-E5B4B54C162D}"/>
    <cellStyle name="Comma 10 2 16 2 2" xfId="5992" xr:uid="{925FE06A-0C90-4AC1-8CB1-ECD29027D771}"/>
    <cellStyle name="Comma 10 2 16 2 3" xfId="26816" xr:uid="{9031396A-15DB-4BD7-B00B-4B6E41ABCC4A}"/>
    <cellStyle name="Comma 10 2 16 2 4" xfId="26817" xr:uid="{C194BBC1-7785-4A33-9932-5BB2AAE39F26}"/>
    <cellStyle name="Comma 10 2 16 2 5" xfId="26818" xr:uid="{1E060CD6-11C9-4B0D-88E3-8F9651DE78D2}"/>
    <cellStyle name="Comma 10 2 16 3" xfId="5993" xr:uid="{EFC88228-5540-40A9-BA39-B623E22A356D}"/>
    <cellStyle name="Comma 10 2 16 4" xfId="26819" xr:uid="{05070133-7ACE-447B-A7D0-0C3D64A3655D}"/>
    <cellStyle name="Comma 10 2 16 5" xfId="26820" xr:uid="{6430B430-47B7-424C-A8E6-2BC8D508BD64}"/>
    <cellStyle name="Comma 10 2 16 6" xfId="26821" xr:uid="{6978CA1A-279C-49D3-B33D-43DC3255362F}"/>
    <cellStyle name="Comma 10 2 16 7" xfId="42409" xr:uid="{E5AA11FC-86FD-449F-9276-4BEEF1ABF142}"/>
    <cellStyle name="Comma 10 2 16 8" xfId="43566" xr:uid="{28927A8B-454C-4A4A-9B54-41A864085727}"/>
    <cellStyle name="Comma 10 2 17" xfId="5994" xr:uid="{FB4F20B3-31D8-4A69-AF21-D8BDE878D23C}"/>
    <cellStyle name="Comma 10 2 17 2" xfId="5995" xr:uid="{81517DE4-A3DE-4E1B-AEF3-96B07E8B1EB2}"/>
    <cellStyle name="Comma 10 2 17 2 2" xfId="5996" xr:uid="{E76EFC6B-FDD4-477E-88A1-242E5C79F54C}"/>
    <cellStyle name="Comma 10 2 17 2 3" xfId="26822" xr:uid="{4EB8EFC2-ABAB-4328-8AAF-19D1B054F245}"/>
    <cellStyle name="Comma 10 2 17 2 4" xfId="26823" xr:uid="{A6222963-A9DA-4ECD-8D14-3249C8CE3FC1}"/>
    <cellStyle name="Comma 10 2 17 2 5" xfId="26824" xr:uid="{40F7466F-9EB9-4A3D-99C8-E1583C61FB70}"/>
    <cellStyle name="Comma 10 2 17 3" xfId="5997" xr:uid="{DB469E00-4001-483A-9AB6-8E4E610D7E2A}"/>
    <cellStyle name="Comma 10 2 17 4" xfId="26825" xr:uid="{8747E5ED-68D3-4A58-8383-B18A8DA1C1EE}"/>
    <cellStyle name="Comma 10 2 17 5" xfId="26826" xr:uid="{47A4A0EC-C221-4836-8C1E-93A976380522}"/>
    <cellStyle name="Comma 10 2 17 6" xfId="26827" xr:uid="{FC9A6B5E-2CD2-4ABC-B427-284053C98E86}"/>
    <cellStyle name="Comma 10 2 17 7" xfId="42410" xr:uid="{5D3FFA74-ED69-4D07-A150-8D7FE0A0473A}"/>
    <cellStyle name="Comma 10 2 17 8" xfId="43567" xr:uid="{94033C94-6707-438D-972E-312322AD87FB}"/>
    <cellStyle name="Comma 10 2 18" xfId="5998" xr:uid="{F9A48AF2-2487-4947-89B9-082301B2B22B}"/>
    <cellStyle name="Comma 10 2 18 2" xfId="5999" xr:uid="{EC9845C6-0C62-4A27-8C07-703DC92C4331}"/>
    <cellStyle name="Comma 10 2 18 3" xfId="26828" xr:uid="{B2565E51-0FDC-4CCD-8710-882E542F84B3}"/>
    <cellStyle name="Comma 10 2 18 4" xfId="26829" xr:uid="{F308799C-8D51-4125-A49F-D99CA75CCF14}"/>
    <cellStyle name="Comma 10 2 18 5" xfId="26830" xr:uid="{A867AFA8-D924-407D-8BBF-40130F45114A}"/>
    <cellStyle name="Comma 10 2 19" xfId="6000" xr:uid="{156E7470-7745-48BB-ADC4-A2DC3E95EDC4}"/>
    <cellStyle name="Comma 10 2 2" xfId="6001" xr:uid="{14E68994-CF5C-4A4E-BF37-7F89E558AAE8}"/>
    <cellStyle name="Comma 10 2 2 2" xfId="6002" xr:uid="{100EB0E8-F2D2-4F2B-B9D1-19A94ACAD1CD}"/>
    <cellStyle name="Comma 10 2 2 2 2" xfId="6003" xr:uid="{CE25C4AA-AD6A-4F87-B494-F82F1CD116E8}"/>
    <cellStyle name="Comma 10 2 2 2 3" xfId="26831" xr:uid="{A6CD0782-2DB1-45AC-9775-39F9FA966FE6}"/>
    <cellStyle name="Comma 10 2 2 2 4" xfId="26832" xr:uid="{E18C14DB-A325-485B-BADF-A65E504FF3D1}"/>
    <cellStyle name="Comma 10 2 2 2 5" xfId="26833" xr:uid="{D3690D50-B382-45A8-8DCE-7BE907167484}"/>
    <cellStyle name="Comma 10 2 2 3" xfId="6004" xr:uid="{26167FC5-A65C-4171-B7E2-715D9CD7665C}"/>
    <cellStyle name="Comma 10 2 2 4" xfId="26834" xr:uid="{64F0668A-744C-4AF8-B810-78E436811E88}"/>
    <cellStyle name="Comma 10 2 2 5" xfId="26835" xr:uid="{9650D283-33F9-4542-8955-F0910079E4E2}"/>
    <cellStyle name="Comma 10 2 2 6" xfId="26836" xr:uid="{40F6DD6F-01E1-49AA-9972-AD1739D19666}"/>
    <cellStyle name="Comma 10 2 2 7" xfId="42411" xr:uid="{C3A00DB2-6D38-442A-910C-AB8705323E8E}"/>
    <cellStyle name="Comma 10 2 2 8" xfId="43568" xr:uid="{2BCE279A-6DCE-4DD4-B51E-38513EB5BDD8}"/>
    <cellStyle name="Comma 10 2 20" xfId="26837" xr:uid="{E9E24837-5B49-4D64-B4C3-6687117FE1CB}"/>
    <cellStyle name="Comma 10 2 21" xfId="26838" xr:uid="{FCFA702A-A2E3-4594-A3BB-0E93E1999ED9}"/>
    <cellStyle name="Comma 10 2 22" xfId="26839" xr:uid="{EF904315-9EC6-4029-B96A-301BA6B8CE8F}"/>
    <cellStyle name="Comma 10 2 23" xfId="42402" xr:uid="{D27941C8-51C9-4627-BD27-642B1FABBDF8}"/>
    <cellStyle name="Comma 10 2 24" xfId="43559" xr:uid="{64938F69-7E3C-4A7F-88BD-BB49528A9A1A}"/>
    <cellStyle name="Comma 10 2 3" xfId="6005" xr:uid="{9DA7E3AC-84E1-44D9-B155-607C11726E01}"/>
    <cellStyle name="Comma 10 2 3 2" xfId="6006" xr:uid="{6F0630B8-38FC-41F6-9C8B-1930E510C341}"/>
    <cellStyle name="Comma 10 2 3 2 2" xfId="6007" xr:uid="{496ACB84-BC71-4D1A-9CBE-7357EC4F9C28}"/>
    <cellStyle name="Comma 10 2 3 2 3" xfId="26840" xr:uid="{612612F9-62F1-4576-816F-C0F657411165}"/>
    <cellStyle name="Comma 10 2 3 2 4" xfId="26841" xr:uid="{B06B0CA1-66B4-4297-9C46-535888825698}"/>
    <cellStyle name="Comma 10 2 3 2 5" xfId="26842" xr:uid="{CB6F4754-29B9-4936-A219-98270CE13254}"/>
    <cellStyle name="Comma 10 2 3 3" xfId="6008" xr:uid="{7C8D3B03-FD7C-410A-9F90-261BBD217AD7}"/>
    <cellStyle name="Comma 10 2 3 4" xfId="26843" xr:uid="{FBC248F4-3D7B-4820-8EC3-BDD519F2F8CB}"/>
    <cellStyle name="Comma 10 2 3 5" xfId="26844" xr:uid="{629BE865-033D-4418-B18D-F5CD39C694BA}"/>
    <cellStyle name="Comma 10 2 3 6" xfId="26845" xr:uid="{7B1D85C5-7BFD-4DFD-A420-87BE6CC44743}"/>
    <cellStyle name="Comma 10 2 3 7" xfId="42412" xr:uid="{9289803F-7F99-45C1-A56E-B6CA5BAC7837}"/>
    <cellStyle name="Comma 10 2 3 8" xfId="43569" xr:uid="{6F103C21-2D41-4433-95E3-EFE34288E4BB}"/>
    <cellStyle name="Comma 10 2 4" xfId="6009" xr:uid="{CFA5143C-8029-434B-9634-C2BF87380293}"/>
    <cellStyle name="Comma 10 2 4 2" xfId="6010" xr:uid="{BE8C141E-2297-4AC4-90F3-7DD589DA4324}"/>
    <cellStyle name="Comma 10 2 4 2 2" xfId="6011" xr:uid="{F938DA62-479B-4357-92F5-39FCAEB1DC02}"/>
    <cellStyle name="Comma 10 2 4 2 3" xfId="26846" xr:uid="{D28A2D31-7516-40F0-9094-F4B4E4954695}"/>
    <cellStyle name="Comma 10 2 4 2 4" xfId="26847" xr:uid="{675A5FB3-3547-477C-99D3-04211C852603}"/>
    <cellStyle name="Comma 10 2 4 2 5" xfId="26848" xr:uid="{68076FB9-6105-4B3E-AD23-52A96E017B5E}"/>
    <cellStyle name="Comma 10 2 4 3" xfId="6012" xr:uid="{9B96AF24-3552-4C19-8C17-0C21DE6932B9}"/>
    <cellStyle name="Comma 10 2 4 4" xfId="26849" xr:uid="{1D8A301B-B7AA-4561-9519-E2C4D3DE55CC}"/>
    <cellStyle name="Comma 10 2 4 5" xfId="26850" xr:uid="{50BBEEA2-78A7-4981-B9D6-F06A6A63106F}"/>
    <cellStyle name="Comma 10 2 4 6" xfId="26851" xr:uid="{FF698644-1493-475B-807D-5FFF8313AC95}"/>
    <cellStyle name="Comma 10 2 4 7" xfId="42413" xr:uid="{5659377F-25AA-4434-BE65-F34D4CA58FCC}"/>
    <cellStyle name="Comma 10 2 4 8" xfId="43570" xr:uid="{24BD698F-C7B9-4E50-9643-FB295D482195}"/>
    <cellStyle name="Comma 10 2 5" xfId="6013" xr:uid="{6B78761B-FC2B-4ADB-8583-502C86D27D1C}"/>
    <cellStyle name="Comma 10 2 5 2" xfId="6014" xr:uid="{B46981C6-3AF4-428E-A699-57BEC569652E}"/>
    <cellStyle name="Comma 10 2 5 2 2" xfId="6015" xr:uid="{99BACDDB-128C-43A3-821F-567256B0DDD6}"/>
    <cellStyle name="Comma 10 2 5 2 3" xfId="26852" xr:uid="{A1C17698-78EC-412A-B004-67255CF00981}"/>
    <cellStyle name="Comma 10 2 5 2 4" xfId="26853" xr:uid="{F39C1EF5-09ED-46FA-80B4-8ED8BB8E90DF}"/>
    <cellStyle name="Comma 10 2 5 2 5" xfId="26854" xr:uid="{43016F2B-983A-4CA6-8532-FBDB2313DBAA}"/>
    <cellStyle name="Comma 10 2 5 3" xfId="6016" xr:uid="{3C622ACD-950E-4E11-8840-8B4556DFDCC6}"/>
    <cellStyle name="Comma 10 2 5 4" xfId="26855" xr:uid="{A510530F-A2E8-4AFD-94DB-8ABA5505A912}"/>
    <cellStyle name="Comma 10 2 5 5" xfId="26856" xr:uid="{7FC94A41-1DF2-49FF-AFF8-813A5358D4C7}"/>
    <cellStyle name="Comma 10 2 5 6" xfId="26857" xr:uid="{F8028A64-7B98-4E19-8037-0E092C8CE54D}"/>
    <cellStyle name="Comma 10 2 5 7" xfId="42414" xr:uid="{A3C94427-569E-4C7A-B0DC-C9EF5897BC56}"/>
    <cellStyle name="Comma 10 2 5 8" xfId="43571" xr:uid="{762A00D0-4B9E-4B34-8C06-BEF65E9E5342}"/>
    <cellStyle name="Comma 10 2 6" xfId="6017" xr:uid="{48746538-FA84-4061-AD7B-7637B0FF39D8}"/>
    <cellStyle name="Comma 10 2 6 2" xfId="6018" xr:uid="{53E75FE4-BD38-4168-8BC0-11F98DC54F25}"/>
    <cellStyle name="Comma 10 2 6 2 2" xfId="6019" xr:uid="{DBCEAD42-CF8F-4DDC-8B2D-6E558BCF621D}"/>
    <cellStyle name="Comma 10 2 6 2 3" xfId="26858" xr:uid="{41CA8AAE-EAB6-42BA-A750-D40F7BCFAAB0}"/>
    <cellStyle name="Comma 10 2 6 2 4" xfId="26859" xr:uid="{E879F715-B494-4FE7-8B89-1FF9A459F86C}"/>
    <cellStyle name="Comma 10 2 6 2 5" xfId="26860" xr:uid="{3006B84C-9E67-4171-817A-4BA560409D67}"/>
    <cellStyle name="Comma 10 2 6 3" xfId="6020" xr:uid="{F5310792-2843-4AF7-803E-6415E41B21B6}"/>
    <cellStyle name="Comma 10 2 6 4" xfId="26861" xr:uid="{C2F564D8-B1C8-4E70-B870-386FF58024C5}"/>
    <cellStyle name="Comma 10 2 6 5" xfId="26862" xr:uid="{609549AD-1F53-4848-BEB2-4704963116F8}"/>
    <cellStyle name="Comma 10 2 6 6" xfId="26863" xr:uid="{DD1F048A-A7DE-412D-A701-E7EA97841A5D}"/>
    <cellStyle name="Comma 10 2 6 7" xfId="42415" xr:uid="{1C44A244-3601-4778-B3B2-34BC9F62A07C}"/>
    <cellStyle name="Comma 10 2 6 8" xfId="43572" xr:uid="{1807B784-EC1E-4886-A293-C9EBC7A73A9E}"/>
    <cellStyle name="Comma 10 2 7" xfId="6021" xr:uid="{B0B189FE-BFB8-4EB4-B026-225ECCB40ED1}"/>
    <cellStyle name="Comma 10 2 7 2" xfId="6022" xr:uid="{195B49BB-7FAC-48A7-B87B-C46B7C16158C}"/>
    <cellStyle name="Comma 10 2 7 2 2" xfId="6023" xr:uid="{A236615F-FAB5-468E-BBD2-03EBBD557819}"/>
    <cellStyle name="Comma 10 2 7 2 3" xfId="26864" xr:uid="{952B5C51-7ABB-4A19-A342-59B13503DD8C}"/>
    <cellStyle name="Comma 10 2 7 2 4" xfId="26865" xr:uid="{87A5E9FD-F615-4D5F-91FE-91DBAFF49D9A}"/>
    <cellStyle name="Comma 10 2 7 2 5" xfId="26866" xr:uid="{CC25B312-5071-4067-AF70-1E9F0DD7B09C}"/>
    <cellStyle name="Comma 10 2 7 3" xfId="6024" xr:uid="{426B814A-FB85-4E9A-A689-D6C15418A84E}"/>
    <cellStyle name="Comma 10 2 7 4" xfId="26867" xr:uid="{1112850A-F971-42C9-B13F-707B0F0FC5FA}"/>
    <cellStyle name="Comma 10 2 7 5" xfId="26868" xr:uid="{ADF4F3CB-AF9F-4842-B6BA-865BC9C74CB3}"/>
    <cellStyle name="Comma 10 2 7 6" xfId="26869" xr:uid="{57849792-D6DC-463E-BB24-D719C6003E21}"/>
    <cellStyle name="Comma 10 2 7 7" xfId="42416" xr:uid="{9962B8A7-8E9E-44A3-98B9-D6C41246529B}"/>
    <cellStyle name="Comma 10 2 7 8" xfId="43573" xr:uid="{4E6AFCB5-8BD7-4884-A33B-BF8FA2B48C9E}"/>
    <cellStyle name="Comma 10 2 8" xfId="6025" xr:uid="{A81576D8-3DA3-4230-986D-C145B399752C}"/>
    <cellStyle name="Comma 10 2 8 2" xfId="6026" xr:uid="{D7DCAE07-0482-4BA0-B3B1-C6EBDF9C72D5}"/>
    <cellStyle name="Comma 10 2 8 2 2" xfId="6027" xr:uid="{75ECC529-BEE0-43E4-806C-3D779A843FAE}"/>
    <cellStyle name="Comma 10 2 8 2 3" xfId="26870" xr:uid="{8BB69AC8-D11A-4C6F-81D0-D34EF462DE01}"/>
    <cellStyle name="Comma 10 2 8 2 4" xfId="26871" xr:uid="{B85E800B-D30B-4175-A7B9-B1C73A9B4C31}"/>
    <cellStyle name="Comma 10 2 8 2 5" xfId="26872" xr:uid="{8A8198E4-C2CF-4794-922F-DAA06ED7A59D}"/>
    <cellStyle name="Comma 10 2 8 3" xfId="6028" xr:uid="{B535AD06-D79A-4214-AD9C-B171CF05405B}"/>
    <cellStyle name="Comma 10 2 8 4" xfId="26873" xr:uid="{24654D52-C660-40B6-9F6B-483DFAE2908E}"/>
    <cellStyle name="Comma 10 2 8 5" xfId="26874" xr:uid="{212D8B2F-67BC-440E-800C-7A64F0BBED78}"/>
    <cellStyle name="Comma 10 2 8 6" xfId="26875" xr:uid="{D1FFEBA6-C38D-49B3-A72D-1ACAB52ADBE9}"/>
    <cellStyle name="Comma 10 2 8 7" xfId="42417" xr:uid="{412B8570-FD42-4553-BA5B-9991D1232BEA}"/>
    <cellStyle name="Comma 10 2 8 8" xfId="43574" xr:uid="{B8F756D3-D13D-4006-82A1-3C6ECC4F189B}"/>
    <cellStyle name="Comma 10 2 9" xfId="6029" xr:uid="{955958BA-161D-4E4B-8A87-A131B2434B30}"/>
    <cellStyle name="Comma 10 2 9 2" xfId="6030" xr:uid="{96889DB0-741D-4A0C-BCBE-AD4732B33979}"/>
    <cellStyle name="Comma 10 2 9 2 2" xfId="6031" xr:uid="{A1B47662-D7E7-4699-AE77-05BC84711D7B}"/>
    <cellStyle name="Comma 10 2 9 2 3" xfId="26876" xr:uid="{681B43D5-6854-4758-A621-C820C4BB4506}"/>
    <cellStyle name="Comma 10 2 9 2 4" xfId="26877" xr:uid="{AE2A076A-1F36-4E5B-8598-717E96C4A084}"/>
    <cellStyle name="Comma 10 2 9 2 5" xfId="26878" xr:uid="{6412B6F3-C68F-4E89-B7D2-197CEBAE0F48}"/>
    <cellStyle name="Comma 10 2 9 3" xfId="6032" xr:uid="{AA54D91F-064C-4AC1-AE27-1DC1B158D4EE}"/>
    <cellStyle name="Comma 10 2 9 4" xfId="26879" xr:uid="{F72215BB-89F0-459E-8896-9D622B61BEF3}"/>
    <cellStyle name="Comma 10 2 9 5" xfId="26880" xr:uid="{EDF3B964-0A68-49E8-ACC7-A3AA9DD69AC0}"/>
    <cellStyle name="Comma 10 2 9 6" xfId="26881" xr:uid="{34AA04C3-1A53-43AE-BD54-DBD98AEA8C18}"/>
    <cellStyle name="Comma 10 2 9 7" xfId="42418" xr:uid="{DD9AEDBD-E682-43AE-9A01-34974A1FDEBE}"/>
    <cellStyle name="Comma 10 2 9 8" xfId="43575" xr:uid="{97688F7D-5F88-4470-B1E4-CE4B73F337E0}"/>
    <cellStyle name="Comma 10 3" xfId="6033" xr:uid="{80565D95-485E-415E-AD6F-169EA0466123}"/>
    <cellStyle name="Comma 10 3 10" xfId="6034" xr:uid="{C1876636-667B-4516-BBE7-248296F66DD1}"/>
    <cellStyle name="Comma 10 3 10 2" xfId="6035" xr:uid="{EE97F667-2398-448D-97AB-5D3403208620}"/>
    <cellStyle name="Comma 10 3 10 2 2" xfId="6036" xr:uid="{EA2DA276-88EC-4137-A084-A9FC115CAB96}"/>
    <cellStyle name="Comma 10 3 10 2 3" xfId="26882" xr:uid="{9283C1BF-C1AF-422A-854B-387BE62D5302}"/>
    <cellStyle name="Comma 10 3 10 2 4" xfId="26883" xr:uid="{8364DE5B-4D22-4998-9579-4B787F6334B3}"/>
    <cellStyle name="Comma 10 3 10 2 5" xfId="26884" xr:uid="{6ED9D446-D205-48E6-968A-BA41026EF299}"/>
    <cellStyle name="Comma 10 3 10 3" xfId="6037" xr:uid="{B52E893E-67CE-4AAA-86AF-6F6F653F017C}"/>
    <cellStyle name="Comma 10 3 10 4" xfId="26885" xr:uid="{21F04E65-5F85-4A22-B4DA-49BEC94D32C7}"/>
    <cellStyle name="Comma 10 3 10 5" xfId="26886" xr:uid="{5DE563B0-6283-429B-9CF7-D5C978338F1C}"/>
    <cellStyle name="Comma 10 3 10 6" xfId="26887" xr:uid="{E1102277-5D00-4FE1-8872-DDA48AAB40D9}"/>
    <cellStyle name="Comma 10 3 10 7" xfId="42420" xr:uid="{A286552F-BC7D-4D4D-B71A-287D1C306A67}"/>
    <cellStyle name="Comma 10 3 10 8" xfId="43577" xr:uid="{D4F8CB77-D1F1-4A13-9206-F8654A3A129E}"/>
    <cellStyle name="Comma 10 3 11" xfId="6038" xr:uid="{660A45CE-96BE-4A8A-B804-E1C9C65ECC64}"/>
    <cellStyle name="Comma 10 3 11 2" xfId="6039" xr:uid="{727E12B2-8D4D-4E70-9881-33542D99C108}"/>
    <cellStyle name="Comma 10 3 11 2 2" xfId="6040" xr:uid="{2E49C1C6-BBE2-48AF-936F-726734C715C6}"/>
    <cellStyle name="Comma 10 3 11 2 3" xfId="26888" xr:uid="{872AE92D-BE38-48A1-9392-39A4CCCD04C2}"/>
    <cellStyle name="Comma 10 3 11 2 4" xfId="26889" xr:uid="{134C9D00-22B2-416C-8E7B-9E1543BE8534}"/>
    <cellStyle name="Comma 10 3 11 2 5" xfId="26890" xr:uid="{A1366CCD-81FC-47E2-A2C3-A3FE04A37CFB}"/>
    <cellStyle name="Comma 10 3 11 3" xfId="6041" xr:uid="{0FB16FD6-8EC1-4F33-AC9C-BC89643A44FD}"/>
    <cellStyle name="Comma 10 3 11 4" xfId="26891" xr:uid="{720962D2-4FA3-420E-BE6D-25D7203725F5}"/>
    <cellStyle name="Comma 10 3 11 5" xfId="26892" xr:uid="{87F68879-1C2E-4A8B-BB34-9AEF67BC7695}"/>
    <cellStyle name="Comma 10 3 11 6" xfId="26893" xr:uid="{F0333F4D-B01E-4DDE-B65F-C9028F944D78}"/>
    <cellStyle name="Comma 10 3 11 7" xfId="42421" xr:uid="{4E1CABA1-D755-45F3-B6B3-E6BE58B52CC9}"/>
    <cellStyle name="Comma 10 3 11 8" xfId="43578" xr:uid="{D8BD2693-5203-415D-B6A8-D2BCD700AE97}"/>
    <cellStyle name="Comma 10 3 12" xfId="6042" xr:uid="{637E92AF-DB37-455E-BBEA-0C7ACC7E5937}"/>
    <cellStyle name="Comma 10 3 12 2" xfId="6043" xr:uid="{7F192795-E01B-4762-B1B1-DBB7826B651C}"/>
    <cellStyle name="Comma 10 3 12 2 2" xfId="6044" xr:uid="{A4647950-8CDE-4A2E-8EFD-975F50A2CF58}"/>
    <cellStyle name="Comma 10 3 12 2 3" xfId="26894" xr:uid="{0AA9E1A8-729F-4171-B763-D3CC72AC8516}"/>
    <cellStyle name="Comma 10 3 12 2 4" xfId="26895" xr:uid="{9E03925F-206E-45E3-9A64-38C3E931A200}"/>
    <cellStyle name="Comma 10 3 12 2 5" xfId="26896" xr:uid="{6C59DBB8-A309-4031-BCAA-8E456D62DE79}"/>
    <cellStyle name="Comma 10 3 12 3" xfId="6045" xr:uid="{2871C356-ACC5-4177-8A29-08EBDA01B10E}"/>
    <cellStyle name="Comma 10 3 12 4" xfId="26897" xr:uid="{036C7442-4722-4F4A-88F3-B1A36795FC4F}"/>
    <cellStyle name="Comma 10 3 12 5" xfId="26898" xr:uid="{0F220FAC-73D6-4AC0-B5B6-AC1BC8926FC9}"/>
    <cellStyle name="Comma 10 3 12 6" xfId="26899" xr:uid="{1FF7A0B8-9957-48B1-99C5-4F1F181627C4}"/>
    <cellStyle name="Comma 10 3 12 7" xfId="42422" xr:uid="{9200D24C-A98B-444A-83D2-DC4B1E58936D}"/>
    <cellStyle name="Comma 10 3 12 8" xfId="43579" xr:uid="{5ED0BA2A-714C-44DB-870A-6414A26BBEE6}"/>
    <cellStyle name="Comma 10 3 13" xfId="6046" xr:uid="{27E97FDF-B214-4640-B0FD-8B6B90E98433}"/>
    <cellStyle name="Comma 10 3 13 2" xfId="6047" xr:uid="{1ADC8116-59A4-47B3-956E-E20F40E3DB40}"/>
    <cellStyle name="Comma 10 3 13 2 2" xfId="6048" xr:uid="{B9125F7B-451C-4103-BFAD-647F1E286EAC}"/>
    <cellStyle name="Comma 10 3 13 2 3" xfId="26900" xr:uid="{363542AD-77D5-489B-8D28-48948A25590D}"/>
    <cellStyle name="Comma 10 3 13 2 4" xfId="26901" xr:uid="{5F6448ED-5982-4D53-81E1-60330216BAC8}"/>
    <cellStyle name="Comma 10 3 13 2 5" xfId="26902" xr:uid="{5353BDB7-B031-4192-8B34-F7C7B3CE354B}"/>
    <cellStyle name="Comma 10 3 13 3" xfId="6049" xr:uid="{CD5A35BA-9604-494C-809D-7EA682B0FC0D}"/>
    <cellStyle name="Comma 10 3 13 4" xfId="26903" xr:uid="{CAD9B044-D4CA-4062-80CA-DA3FA4FA644B}"/>
    <cellStyle name="Comma 10 3 13 5" xfId="26904" xr:uid="{17794EE1-5F85-4787-A05D-5A73E4A1079D}"/>
    <cellStyle name="Comma 10 3 13 6" xfId="26905" xr:uid="{50697A86-82FC-4DAE-B147-455986D28D26}"/>
    <cellStyle name="Comma 10 3 13 7" xfId="42423" xr:uid="{0AE2F059-00C5-42F2-8954-D0AD6CA9625E}"/>
    <cellStyle name="Comma 10 3 13 8" xfId="43580" xr:uid="{94BE27F4-1BF3-43FD-A3A7-AB3CA7C41125}"/>
    <cellStyle name="Comma 10 3 14" xfId="6050" xr:uid="{F2478369-B614-4FDB-A376-E3C016F7B740}"/>
    <cellStyle name="Comma 10 3 14 2" xfId="6051" xr:uid="{4987B267-C69E-44A3-8824-2052D2D74106}"/>
    <cellStyle name="Comma 10 3 14 2 2" xfId="6052" xr:uid="{4B14E07A-E4B6-434E-AF22-767B19EB6E8F}"/>
    <cellStyle name="Comma 10 3 14 2 3" xfId="26906" xr:uid="{5066C0A5-2BE1-4EAA-B3AF-DBE5A2BA1822}"/>
    <cellStyle name="Comma 10 3 14 2 4" xfId="26907" xr:uid="{55F4035F-EB13-4F8D-B868-E88994FCAD1C}"/>
    <cellStyle name="Comma 10 3 14 2 5" xfId="26908" xr:uid="{357147A1-9276-44B2-884C-224876DB16BF}"/>
    <cellStyle name="Comma 10 3 14 3" xfId="6053" xr:uid="{5C19C5AB-459A-4537-A3FA-0399748861BB}"/>
    <cellStyle name="Comma 10 3 14 4" xfId="26909" xr:uid="{DD6741EF-F75E-4E00-9B19-EF24BED5A2DF}"/>
    <cellStyle name="Comma 10 3 14 5" xfId="26910" xr:uid="{E31C7046-E9B1-4C35-8C8D-61D8529DB3DB}"/>
    <cellStyle name="Comma 10 3 14 6" xfId="26911" xr:uid="{7126C8C1-3100-4B76-910C-A7AD1C7A9533}"/>
    <cellStyle name="Comma 10 3 14 7" xfId="42424" xr:uid="{3D48B1C8-604D-41B7-8EFB-54546E5F1FDA}"/>
    <cellStyle name="Comma 10 3 14 8" xfId="43581" xr:uid="{48152C99-F760-4E35-9C63-E81180123463}"/>
    <cellStyle name="Comma 10 3 15" xfId="6054" xr:uid="{9618EEF5-76B5-4C1D-8365-5452CA90AC1E}"/>
    <cellStyle name="Comma 10 3 15 2" xfId="6055" xr:uid="{A8DE673D-7225-4AA5-8D8B-D10F8142E380}"/>
    <cellStyle name="Comma 10 3 15 2 2" xfId="6056" xr:uid="{97E6B5DA-821B-4B52-9B33-9CF3840FEC19}"/>
    <cellStyle name="Comma 10 3 15 2 3" xfId="26912" xr:uid="{FEA26130-E191-4EBC-B925-36AD0B989F07}"/>
    <cellStyle name="Comma 10 3 15 2 4" xfId="26913" xr:uid="{70955277-D978-446A-9578-78E6324005E7}"/>
    <cellStyle name="Comma 10 3 15 2 5" xfId="26914" xr:uid="{38733C97-7EC8-4330-80DE-B9A7C1FB1F94}"/>
    <cellStyle name="Comma 10 3 15 3" xfId="6057" xr:uid="{15B9D68A-53B4-46A3-B553-F56B910A04C1}"/>
    <cellStyle name="Comma 10 3 15 4" xfId="26915" xr:uid="{27E35665-5FEA-4E4C-9A98-257F55A84A1B}"/>
    <cellStyle name="Comma 10 3 15 5" xfId="26916" xr:uid="{F1F84CBF-6D9C-4111-ABDF-F6048106C1E4}"/>
    <cellStyle name="Comma 10 3 15 6" xfId="26917" xr:uid="{3A82A56D-9D6B-4BA8-8FFB-FA9BAEC3DC1A}"/>
    <cellStyle name="Comma 10 3 15 7" xfId="42425" xr:uid="{D9A1AFB1-3A44-4041-A610-8A77D994ACF3}"/>
    <cellStyle name="Comma 10 3 15 8" xfId="43582" xr:uid="{A1585E68-A983-454A-9DA4-35D977C08C3D}"/>
    <cellStyle name="Comma 10 3 16" xfId="6058" xr:uid="{1CD746B9-4415-439F-AB19-97B5A721C5FF}"/>
    <cellStyle name="Comma 10 3 16 2" xfId="6059" xr:uid="{CE4FE6BE-AE07-4F4C-8398-06024DE943E7}"/>
    <cellStyle name="Comma 10 3 16 2 2" xfId="6060" xr:uid="{135D643B-7055-472E-8A7D-41CCE1A07AD3}"/>
    <cellStyle name="Comma 10 3 16 2 3" xfId="26918" xr:uid="{25AC6215-F791-4765-A865-C60670DF70A1}"/>
    <cellStyle name="Comma 10 3 16 2 4" xfId="26919" xr:uid="{CEDBE89C-73E8-41FB-BAE3-B64A3BFAA554}"/>
    <cellStyle name="Comma 10 3 16 2 5" xfId="26920" xr:uid="{890EC23F-89F5-4BAC-952C-4171AE36EF74}"/>
    <cellStyle name="Comma 10 3 16 3" xfId="6061" xr:uid="{AE73B92D-5C31-4D5E-96AC-B0531E16492D}"/>
    <cellStyle name="Comma 10 3 16 4" xfId="26921" xr:uid="{D0752430-5986-4FFD-8472-39D10E6FF1AD}"/>
    <cellStyle name="Comma 10 3 16 5" xfId="26922" xr:uid="{2A032DB4-4A07-44F9-AEC2-4EA07C1CC4DE}"/>
    <cellStyle name="Comma 10 3 16 6" xfId="26923" xr:uid="{CEBDDD1A-9E4C-4EF9-B9C5-C3896CE17D9C}"/>
    <cellStyle name="Comma 10 3 16 7" xfId="42426" xr:uid="{4434CA5F-1278-4A58-BA87-FF1CF9E9CED3}"/>
    <cellStyle name="Comma 10 3 16 8" xfId="43583" xr:uid="{B876E93D-ED6B-4AAC-9575-1DB055AE88F5}"/>
    <cellStyle name="Comma 10 3 17" xfId="6062" xr:uid="{C0D38C82-01C3-4A81-B82F-8FC9F9DE2BE8}"/>
    <cellStyle name="Comma 10 3 17 2" xfId="6063" xr:uid="{9EB2F69A-3BC6-4B91-A871-17A71F60B5FE}"/>
    <cellStyle name="Comma 10 3 17 2 2" xfId="6064" xr:uid="{3B208CE0-F3A6-4A2D-9C9E-71B205FCD6A3}"/>
    <cellStyle name="Comma 10 3 17 2 3" xfId="26924" xr:uid="{DE814B01-31D5-44AF-85D0-64F6E82AAFC8}"/>
    <cellStyle name="Comma 10 3 17 2 4" xfId="26925" xr:uid="{38EE3908-20EE-4B53-891B-95D4BBDA7CF6}"/>
    <cellStyle name="Comma 10 3 17 2 5" xfId="26926" xr:uid="{35F34989-6A3C-4EC5-9B14-C15526D5BEE6}"/>
    <cellStyle name="Comma 10 3 17 3" xfId="6065" xr:uid="{5C0EAEBD-0099-494B-9B5E-BC01CDBF5D03}"/>
    <cellStyle name="Comma 10 3 17 4" xfId="26927" xr:uid="{6FF28510-DAFD-4CAF-B3A6-AFCA5925280A}"/>
    <cellStyle name="Comma 10 3 17 5" xfId="26928" xr:uid="{3C63738F-0BAF-4C16-B5FA-7AA2B35A0B1B}"/>
    <cellStyle name="Comma 10 3 17 6" xfId="26929" xr:uid="{7FF189B0-E5A7-4A18-92EB-F596EF6BD60D}"/>
    <cellStyle name="Comma 10 3 17 7" xfId="42427" xr:uid="{8E36E24A-F1CB-47B9-B1DE-BD7D5D01D83B}"/>
    <cellStyle name="Comma 10 3 17 8" xfId="43584" xr:uid="{2C241A92-A02A-4A73-BC03-E4D0394D5F8E}"/>
    <cellStyle name="Comma 10 3 18" xfId="6066" xr:uid="{1740DCC0-DE4D-4C47-BAE6-4BD993437526}"/>
    <cellStyle name="Comma 10 3 18 2" xfId="6067" xr:uid="{4ED67BD9-6286-4AD7-BE69-5F54AB54776C}"/>
    <cellStyle name="Comma 10 3 18 3" xfId="26930" xr:uid="{CE0DE66F-496A-4C98-8005-DE267DFC1018}"/>
    <cellStyle name="Comma 10 3 18 4" xfId="26931" xr:uid="{A9212551-898E-419D-B895-A1A5A484264E}"/>
    <cellStyle name="Comma 10 3 18 5" xfId="26932" xr:uid="{B9E3096F-28E2-4A7D-BCB4-57AB1BA7E508}"/>
    <cellStyle name="Comma 10 3 19" xfId="6068" xr:uid="{33A911C1-E209-44E0-8DAF-05EE49DFA6F7}"/>
    <cellStyle name="Comma 10 3 2" xfId="6069" xr:uid="{9B795916-F14B-416F-B57E-960372CA9DFD}"/>
    <cellStyle name="Comma 10 3 2 2" xfId="6070" xr:uid="{F9EE618B-DED4-47C7-ADFA-64401FAA7916}"/>
    <cellStyle name="Comma 10 3 2 2 2" xfId="6071" xr:uid="{2C584104-5895-4512-8C4F-6970BC783F49}"/>
    <cellStyle name="Comma 10 3 2 2 3" xfId="26933" xr:uid="{9C07DBB3-3580-434E-972D-21C17660BFC1}"/>
    <cellStyle name="Comma 10 3 2 2 4" xfId="26934" xr:uid="{488D005C-2790-4F4B-A3A9-BCFD2CBD3FFA}"/>
    <cellStyle name="Comma 10 3 2 2 5" xfId="26935" xr:uid="{3BE5C8D2-2B80-4F85-8C0B-D5FC05115BC4}"/>
    <cellStyle name="Comma 10 3 2 3" xfId="6072" xr:uid="{FD5A9623-D19F-49E2-8798-91BFB6566C43}"/>
    <cellStyle name="Comma 10 3 2 4" xfId="26936" xr:uid="{7EDB73D4-F1D5-4071-BBEA-A22ADA8B0009}"/>
    <cellStyle name="Comma 10 3 2 5" xfId="26937" xr:uid="{A92704A5-E530-45A1-8A65-4196324D3FBD}"/>
    <cellStyle name="Comma 10 3 2 6" xfId="26938" xr:uid="{DBBE782C-97A0-49AA-BF97-561BCF059135}"/>
    <cellStyle name="Comma 10 3 2 7" xfId="42428" xr:uid="{3BD41811-BB71-4894-9674-2CF41A8B6497}"/>
    <cellStyle name="Comma 10 3 2 8" xfId="43585" xr:uid="{01E6890F-7EC2-4865-83EE-C4948ED63A9F}"/>
    <cellStyle name="Comma 10 3 20" xfId="26939" xr:uid="{0D0A04D3-2A1F-407E-8519-01EEA9E04E20}"/>
    <cellStyle name="Comma 10 3 21" xfId="26940" xr:uid="{D5DCFF15-A631-4FE4-90D6-2B14490616D5}"/>
    <cellStyle name="Comma 10 3 22" xfId="26941" xr:uid="{5A24B5EA-82C7-4C76-A348-941A1035EEBB}"/>
    <cellStyle name="Comma 10 3 23" xfId="42419" xr:uid="{61D9CA2B-CF05-40E3-8DDA-F9FD2F4B0956}"/>
    <cellStyle name="Comma 10 3 24" xfId="43576" xr:uid="{3E09E3F1-0B58-41CA-99DA-F7B831ED5BAB}"/>
    <cellStyle name="Comma 10 3 3" xfId="6073" xr:uid="{FBD8F18D-9088-4104-8E13-61D6F0767D83}"/>
    <cellStyle name="Comma 10 3 3 2" xfId="6074" xr:uid="{9B77136D-7537-48F0-AE47-17B7CBD80BF1}"/>
    <cellStyle name="Comma 10 3 3 2 2" xfId="6075" xr:uid="{7A6E130F-EC5B-43AA-B322-03F25E5CD40F}"/>
    <cellStyle name="Comma 10 3 3 2 3" xfId="26942" xr:uid="{1881CC33-CC90-4CB1-B9EC-2DE4CF0F8A52}"/>
    <cellStyle name="Comma 10 3 3 2 4" xfId="26943" xr:uid="{C49B191C-DB1E-47E8-A685-28DCDE73DC4C}"/>
    <cellStyle name="Comma 10 3 3 2 5" xfId="26944" xr:uid="{510AB043-9F64-4269-8529-F9B6AC23B53A}"/>
    <cellStyle name="Comma 10 3 3 3" xfId="6076" xr:uid="{61DF57DA-8A9A-434A-9EB9-C6895D246B69}"/>
    <cellStyle name="Comma 10 3 3 4" xfId="26945" xr:uid="{52B20A75-E528-46B9-8F85-2779260EBE22}"/>
    <cellStyle name="Comma 10 3 3 5" xfId="26946" xr:uid="{1355413C-6D42-47EC-B447-4C4280B80488}"/>
    <cellStyle name="Comma 10 3 3 6" xfId="26947" xr:uid="{B4A1FE5B-22A4-4A41-BDC5-574362B159EE}"/>
    <cellStyle name="Comma 10 3 3 7" xfId="42429" xr:uid="{B326CEC3-0278-492D-BD0B-2AA772843FF0}"/>
    <cellStyle name="Comma 10 3 3 8" xfId="43586" xr:uid="{D29A80A9-67A0-44D5-AF29-AD637A7CD5E6}"/>
    <cellStyle name="Comma 10 3 4" xfId="6077" xr:uid="{1D95D480-CB38-43FD-8F44-CBA890B37D1E}"/>
    <cellStyle name="Comma 10 3 4 2" xfId="6078" xr:uid="{F48D96F5-CDAF-48D8-96C0-2E135B99DBD4}"/>
    <cellStyle name="Comma 10 3 4 2 2" xfId="6079" xr:uid="{63C94554-28F9-4871-9FC4-68FE0DD4A963}"/>
    <cellStyle name="Comma 10 3 4 2 3" xfId="26948" xr:uid="{D469E8CE-7FD6-4D5B-B500-A8E2726B7D15}"/>
    <cellStyle name="Comma 10 3 4 2 4" xfId="26949" xr:uid="{747FD398-649D-4796-AEDE-11F08D10AA08}"/>
    <cellStyle name="Comma 10 3 4 2 5" xfId="26950" xr:uid="{88B8DB85-3049-45DB-AEFA-1D05E14FC2D3}"/>
    <cellStyle name="Comma 10 3 4 3" xfId="6080" xr:uid="{75391E4F-9050-49BB-AA3D-82047F87D592}"/>
    <cellStyle name="Comma 10 3 4 4" xfId="26951" xr:uid="{1033D786-EC3A-4CB3-8FFA-6FCD97137EBF}"/>
    <cellStyle name="Comma 10 3 4 5" xfId="26952" xr:uid="{20D16A5F-6977-4722-9BC5-7DA12A6058B2}"/>
    <cellStyle name="Comma 10 3 4 6" xfId="26953" xr:uid="{BAC005C5-CA2C-4B21-99F9-C06EAD9D108D}"/>
    <cellStyle name="Comma 10 3 4 7" xfId="42430" xr:uid="{2048AD88-2B08-4381-B298-EFBC31316D1A}"/>
    <cellStyle name="Comma 10 3 4 8" xfId="43587" xr:uid="{B816FA71-0AD9-486C-8A42-950E3D70C79A}"/>
    <cellStyle name="Comma 10 3 5" xfId="6081" xr:uid="{1F6AA220-F7FF-40E3-8111-AA00945307A1}"/>
    <cellStyle name="Comma 10 3 5 2" xfId="6082" xr:uid="{E153A474-0570-48C8-B3C8-FF35B8BACDB3}"/>
    <cellStyle name="Comma 10 3 5 2 2" xfId="6083" xr:uid="{BD2B62D5-4920-4882-B3B1-0E88B8803EBD}"/>
    <cellStyle name="Comma 10 3 5 2 3" xfId="26954" xr:uid="{7D22EC6B-5933-4428-8EA7-B055B78F5405}"/>
    <cellStyle name="Comma 10 3 5 2 4" xfId="26955" xr:uid="{56759AE2-68F5-4411-9F17-33716F45CA36}"/>
    <cellStyle name="Comma 10 3 5 2 5" xfId="26956" xr:uid="{F0753D7F-BED8-48D5-9ECA-AD1233F0BFA7}"/>
    <cellStyle name="Comma 10 3 5 3" xfId="6084" xr:uid="{40714DAE-7BBD-44C4-A223-7D7498643195}"/>
    <cellStyle name="Comma 10 3 5 4" xfId="26957" xr:uid="{CCFC8E85-1158-47A1-AB69-740CBA8C05CC}"/>
    <cellStyle name="Comma 10 3 5 5" xfId="26958" xr:uid="{5A4EE864-105D-4F4D-A079-799DF2307D9E}"/>
    <cellStyle name="Comma 10 3 5 6" xfId="26959" xr:uid="{7CD08144-A850-41EA-A56A-8C67A72FAAD8}"/>
    <cellStyle name="Comma 10 3 5 7" xfId="42431" xr:uid="{1CBD135F-557A-426F-9F1F-11590A25D4D9}"/>
    <cellStyle name="Comma 10 3 5 8" xfId="43588" xr:uid="{B9076C83-D074-4CB4-9E70-F98B601A24D5}"/>
    <cellStyle name="Comma 10 3 6" xfId="6085" xr:uid="{51CA6179-0209-4548-98B7-287FBD591716}"/>
    <cellStyle name="Comma 10 3 6 2" xfId="6086" xr:uid="{A68A1E1E-DBCD-4C57-8772-074B5361B966}"/>
    <cellStyle name="Comma 10 3 6 2 2" xfId="6087" xr:uid="{BD65BDAE-D362-45F4-B575-6C3A961F02DA}"/>
    <cellStyle name="Comma 10 3 6 2 3" xfId="26960" xr:uid="{E5593F24-6AEA-45DC-83A9-54754225390D}"/>
    <cellStyle name="Comma 10 3 6 2 4" xfId="26961" xr:uid="{F6AAA67B-85F2-49FE-AB2C-33B00E856050}"/>
    <cellStyle name="Comma 10 3 6 2 5" xfId="26962" xr:uid="{39B2ABB4-95C8-4A23-B891-15774ED70392}"/>
    <cellStyle name="Comma 10 3 6 3" xfId="6088" xr:uid="{DC4B085C-26CC-403B-80D3-6A4978998CA9}"/>
    <cellStyle name="Comma 10 3 6 4" xfId="26963" xr:uid="{D0523C57-AE6A-441A-B091-4C6DDAA7DCB6}"/>
    <cellStyle name="Comma 10 3 6 5" xfId="26964" xr:uid="{535070DD-F634-46B6-B2D1-0AFBDDB3579A}"/>
    <cellStyle name="Comma 10 3 6 6" xfId="26965" xr:uid="{00149503-13C0-46F7-A670-540C242334F1}"/>
    <cellStyle name="Comma 10 3 6 7" xfId="42432" xr:uid="{5FCFFBFE-4EEC-4D11-B4C2-236EB359B93C}"/>
    <cellStyle name="Comma 10 3 6 8" xfId="43589" xr:uid="{716EA75E-83F2-40C2-A4D7-1A773CF86BE1}"/>
    <cellStyle name="Comma 10 3 7" xfId="6089" xr:uid="{60E58721-9DD9-4702-81FD-C2AB6B6C020C}"/>
    <cellStyle name="Comma 10 3 7 2" xfId="6090" xr:uid="{DFB004DF-2228-49F6-BEBE-8208B00B312C}"/>
    <cellStyle name="Comma 10 3 7 2 2" xfId="6091" xr:uid="{DD9EB118-D93B-4E3B-942A-F9D7F76BCD57}"/>
    <cellStyle name="Comma 10 3 7 2 3" xfId="26966" xr:uid="{DE869530-A9E3-413D-A521-ED86CD8E2A92}"/>
    <cellStyle name="Comma 10 3 7 2 4" xfId="26967" xr:uid="{755CE02F-7604-446F-8F2C-BBC3C7CE7FB0}"/>
    <cellStyle name="Comma 10 3 7 2 5" xfId="26968" xr:uid="{ACDF57CA-D616-419C-A4D6-4A501F7418D1}"/>
    <cellStyle name="Comma 10 3 7 3" xfId="6092" xr:uid="{418DF4CA-4CF8-4DEB-A66D-C5BB77934F51}"/>
    <cellStyle name="Comma 10 3 7 4" xfId="26969" xr:uid="{7EF4566A-2683-4B7A-8256-F05E464AB8CD}"/>
    <cellStyle name="Comma 10 3 7 5" xfId="26970" xr:uid="{2C4CEFC8-F923-43CE-A086-7187C77822D4}"/>
    <cellStyle name="Comma 10 3 7 6" xfId="26971" xr:uid="{89B50531-2E5B-4FDC-BC2C-CBEA2E247F21}"/>
    <cellStyle name="Comma 10 3 7 7" xfId="42433" xr:uid="{FBDE6162-C641-42E4-98BA-1AD7F4B1A1B8}"/>
    <cellStyle name="Comma 10 3 7 8" xfId="43590" xr:uid="{FAFF1EC7-7FD0-48C2-9516-CA9793BF17BC}"/>
    <cellStyle name="Comma 10 3 8" xfId="6093" xr:uid="{5CB4AFDA-C795-43F0-B23A-603E0E1D6449}"/>
    <cellStyle name="Comma 10 3 8 2" xfId="6094" xr:uid="{DBC4484D-0C75-4652-B3FD-D51A66A70FFA}"/>
    <cellStyle name="Comma 10 3 8 2 2" xfId="6095" xr:uid="{2B49E050-49D7-4BF0-8857-9873CBF34F2F}"/>
    <cellStyle name="Comma 10 3 8 2 3" xfId="26972" xr:uid="{4996B46C-6796-4F52-8291-3E905C70795E}"/>
    <cellStyle name="Comma 10 3 8 2 4" xfId="26973" xr:uid="{79A8834F-ABD4-4A95-B504-1D58ADA624DD}"/>
    <cellStyle name="Comma 10 3 8 2 5" xfId="26974" xr:uid="{92E7ED09-0011-4419-8F5B-3E1029CCBC2F}"/>
    <cellStyle name="Comma 10 3 8 3" xfId="6096" xr:uid="{EE12FFF3-FC3C-45E5-9265-1F87E48D3DB2}"/>
    <cellStyle name="Comma 10 3 8 4" xfId="26975" xr:uid="{4D547056-2FB2-4969-8DC2-8176F5F46CAC}"/>
    <cellStyle name="Comma 10 3 8 5" xfId="26976" xr:uid="{35D8D945-8E7F-4ED6-917B-18838C80681D}"/>
    <cellStyle name="Comma 10 3 8 6" xfId="26977" xr:uid="{7139AC98-8DC3-42ED-8DD2-095FFC49C39D}"/>
    <cellStyle name="Comma 10 3 8 7" xfId="42434" xr:uid="{654FC771-F15B-405F-805D-D9BAB89392FF}"/>
    <cellStyle name="Comma 10 3 8 8" xfId="43591" xr:uid="{6360A8EC-F03F-4111-989F-25A7FAB0C1A4}"/>
    <cellStyle name="Comma 10 3 9" xfId="6097" xr:uid="{DFD3AAFA-621F-496A-B498-FF6B74C74C7C}"/>
    <cellStyle name="Comma 10 3 9 2" xfId="6098" xr:uid="{96FFC0FF-7AF3-4E63-83FE-679F6FB4D33C}"/>
    <cellStyle name="Comma 10 3 9 2 2" xfId="6099" xr:uid="{4E1A965F-C6C4-423F-ADEC-4CA1714FBADB}"/>
    <cellStyle name="Comma 10 3 9 2 3" xfId="26978" xr:uid="{C62E50C1-F57B-41F5-A961-2C3ABA7D7751}"/>
    <cellStyle name="Comma 10 3 9 2 4" xfId="26979" xr:uid="{FD48DC05-F496-4327-AD70-E1909710A202}"/>
    <cellStyle name="Comma 10 3 9 2 5" xfId="26980" xr:uid="{7D8E7B0C-692C-449A-9DE0-822B977D3665}"/>
    <cellStyle name="Comma 10 3 9 3" xfId="6100" xr:uid="{7CAD5767-77A5-4EC5-8FD0-C40A608702DA}"/>
    <cellStyle name="Comma 10 3 9 4" xfId="26981" xr:uid="{3C577805-DD73-4179-A614-84D3A402B58D}"/>
    <cellStyle name="Comma 10 3 9 5" xfId="26982" xr:uid="{59E591E9-C437-48AA-AD86-FAEB6912F7FB}"/>
    <cellStyle name="Comma 10 3 9 6" xfId="26983" xr:uid="{4BC18B4C-765A-40EB-93F9-8FD698AAD70C}"/>
    <cellStyle name="Comma 10 3 9 7" xfId="42435" xr:uid="{1FF29C77-5DE7-438A-8385-41E9BD9BC482}"/>
    <cellStyle name="Comma 10 3 9 8" xfId="43592" xr:uid="{BD74E9A0-85E9-4FF2-8C37-D20CBEC60857}"/>
    <cellStyle name="Comma 10 4" xfId="6101" xr:uid="{14DA2B8F-2E2E-4DA7-BCF2-76262F28642E}"/>
    <cellStyle name="Comma 10 4 10" xfId="6102" xr:uid="{2CA75793-C3AA-490A-8300-060428401080}"/>
    <cellStyle name="Comma 10 4 10 2" xfId="6103" xr:uid="{9AEF4FC2-5A81-42BA-B936-C9B3057E88E4}"/>
    <cellStyle name="Comma 10 4 10 2 2" xfId="6104" xr:uid="{F33E617F-A7AA-49FA-B014-879CFA04F7A1}"/>
    <cellStyle name="Comma 10 4 10 2 3" xfId="26984" xr:uid="{479636FB-6EA7-4794-AC3F-60E4448FB93B}"/>
    <cellStyle name="Comma 10 4 10 2 4" xfId="26985" xr:uid="{77A601D7-0C8D-4988-9021-04ABF75EFC08}"/>
    <cellStyle name="Comma 10 4 10 2 5" xfId="26986" xr:uid="{9AFA59CC-830B-4618-A05E-0959E27D1576}"/>
    <cellStyle name="Comma 10 4 10 3" xfId="6105" xr:uid="{A06738C0-2F7C-4536-B739-A3E9D39D8CDB}"/>
    <cellStyle name="Comma 10 4 10 4" xfId="26987" xr:uid="{9ADFCEDC-5156-4FDE-95CD-675C997295F0}"/>
    <cellStyle name="Comma 10 4 10 5" xfId="26988" xr:uid="{373C741B-29FB-47FA-84A5-BCF7D92D504C}"/>
    <cellStyle name="Comma 10 4 10 6" xfId="26989" xr:uid="{F0EE7609-F41C-41F9-917D-FD83EA31C7CE}"/>
    <cellStyle name="Comma 10 4 10 7" xfId="42437" xr:uid="{AA1DB265-D68A-4043-B264-97BD5587B1C9}"/>
    <cellStyle name="Comma 10 4 10 8" xfId="43594" xr:uid="{E7021D7A-6287-47D2-B9D7-42F17BAD91F8}"/>
    <cellStyle name="Comma 10 4 11" xfId="6106" xr:uid="{662FFAF8-3598-45D8-8B78-985D1508711F}"/>
    <cellStyle name="Comma 10 4 11 2" xfId="6107" xr:uid="{618EAF01-E170-4F0C-A724-1A15293626A3}"/>
    <cellStyle name="Comma 10 4 11 2 2" xfId="6108" xr:uid="{C288F371-3D3D-4C06-ACFD-E8273EAC7983}"/>
    <cellStyle name="Comma 10 4 11 2 3" xfId="26990" xr:uid="{323E32F3-7C8C-4B82-9FFA-08D061B19E24}"/>
    <cellStyle name="Comma 10 4 11 2 4" xfId="26991" xr:uid="{5ADA48FD-7498-41C2-8211-F81F50A50719}"/>
    <cellStyle name="Comma 10 4 11 2 5" xfId="26992" xr:uid="{B44279B4-C261-44E7-9F92-73EFBA69EAA0}"/>
    <cellStyle name="Comma 10 4 11 3" xfId="6109" xr:uid="{9EA52982-77FD-49D1-AE24-69B49EAC8A56}"/>
    <cellStyle name="Comma 10 4 11 4" xfId="26993" xr:uid="{53015871-B5E0-426B-A270-DECA32492383}"/>
    <cellStyle name="Comma 10 4 11 5" xfId="26994" xr:uid="{626489CE-52B9-470C-825A-2F6CD380D6FA}"/>
    <cellStyle name="Comma 10 4 11 6" xfId="26995" xr:uid="{05147EA4-456D-4510-9992-B073DB2DF031}"/>
    <cellStyle name="Comma 10 4 11 7" xfId="42438" xr:uid="{AB450B6E-A9B4-4AE1-95FA-7144C1398C8C}"/>
    <cellStyle name="Comma 10 4 11 8" xfId="43595" xr:uid="{7696E4B5-0DC9-4404-A265-76FC9D63A71B}"/>
    <cellStyle name="Comma 10 4 12" xfId="6110" xr:uid="{B37F5C6E-D80C-4545-93AE-D9E23C2D6B24}"/>
    <cellStyle name="Comma 10 4 12 2" xfId="6111" xr:uid="{81205C31-435A-42D2-B888-A73E5E92B08F}"/>
    <cellStyle name="Comma 10 4 12 2 2" xfId="6112" xr:uid="{969FD43A-D4B4-48A2-ACEB-04A9D795C913}"/>
    <cellStyle name="Comma 10 4 12 2 3" xfId="26996" xr:uid="{8BB5D387-7CD1-4577-AF91-D46814D1FC64}"/>
    <cellStyle name="Comma 10 4 12 2 4" xfId="26997" xr:uid="{BACE3149-9462-4F16-83BD-9706F0BEB852}"/>
    <cellStyle name="Comma 10 4 12 2 5" xfId="26998" xr:uid="{561CF557-35CC-48CF-8566-6C6361EA0B03}"/>
    <cellStyle name="Comma 10 4 12 3" xfId="6113" xr:uid="{3361E62B-EF50-4A2B-A3C1-90D129B515E0}"/>
    <cellStyle name="Comma 10 4 12 4" xfId="26999" xr:uid="{5CAAC4E6-A674-457E-8581-B27CBB5E4A22}"/>
    <cellStyle name="Comma 10 4 12 5" xfId="27000" xr:uid="{21D6545F-CA2E-410D-9D75-59A7CD4BA009}"/>
    <cellStyle name="Comma 10 4 12 6" xfId="27001" xr:uid="{C2633BE1-39EF-43EB-9267-FB60539ED310}"/>
    <cellStyle name="Comma 10 4 12 7" xfId="42439" xr:uid="{5DEE4B7C-21C1-4111-99E6-228350736707}"/>
    <cellStyle name="Comma 10 4 12 8" xfId="43596" xr:uid="{131DD394-75AF-4A68-BFB9-E4D0727E26CA}"/>
    <cellStyle name="Comma 10 4 13" xfId="6114" xr:uid="{467006E3-19AF-4ADD-8C08-50581FB79159}"/>
    <cellStyle name="Comma 10 4 13 2" xfId="6115" xr:uid="{F37E126A-1E9F-4233-AE6E-B2BD4082A892}"/>
    <cellStyle name="Comma 10 4 13 2 2" xfId="6116" xr:uid="{E58D542E-FC2B-49F9-9FD2-9C551112D85A}"/>
    <cellStyle name="Comma 10 4 13 2 3" xfId="27002" xr:uid="{7F9B6B35-7918-4946-8F97-0B6E22964406}"/>
    <cellStyle name="Comma 10 4 13 2 4" xfId="27003" xr:uid="{522F42E1-5369-496C-AB18-E11CAD6727FB}"/>
    <cellStyle name="Comma 10 4 13 2 5" xfId="27004" xr:uid="{6C44CA56-7FAA-46BC-ADB5-C7B7720EA9E0}"/>
    <cellStyle name="Comma 10 4 13 3" xfId="6117" xr:uid="{4262F028-D7C6-4DE3-AAA6-32D55B3638D3}"/>
    <cellStyle name="Comma 10 4 13 4" xfId="27005" xr:uid="{1ADD98E8-5ED1-4CBD-8800-7CB5A26873F4}"/>
    <cellStyle name="Comma 10 4 13 5" xfId="27006" xr:uid="{4C337A47-15C1-4E0B-86AC-52456A776650}"/>
    <cellStyle name="Comma 10 4 13 6" xfId="27007" xr:uid="{A92B3636-10BC-45C2-8217-8CC78590FE97}"/>
    <cellStyle name="Comma 10 4 13 7" xfId="42440" xr:uid="{7CD6F192-8D45-4176-A90D-C4D53967C3A2}"/>
    <cellStyle name="Comma 10 4 13 8" xfId="43597" xr:uid="{A05ED5ED-4314-4884-80A3-BD1D26C51AE2}"/>
    <cellStyle name="Comma 10 4 14" xfId="6118" xr:uid="{25161AAD-80FB-4EB7-BDA8-20932594AFD8}"/>
    <cellStyle name="Comma 10 4 14 2" xfId="6119" xr:uid="{2CBE43F1-E588-4E60-979F-F046F2A37059}"/>
    <cellStyle name="Comma 10 4 14 2 2" xfId="6120" xr:uid="{3063FEEF-D177-4D37-BDB7-85E6C1197A73}"/>
    <cellStyle name="Comma 10 4 14 2 3" xfId="27008" xr:uid="{69550636-F4C4-43BF-A624-CFFA842154B8}"/>
    <cellStyle name="Comma 10 4 14 2 4" xfId="27009" xr:uid="{C09D9C88-746F-423D-BA73-F0B53D798AD2}"/>
    <cellStyle name="Comma 10 4 14 2 5" xfId="27010" xr:uid="{A613E3E6-BB88-4C55-B600-7CACCF55F1CB}"/>
    <cellStyle name="Comma 10 4 14 3" xfId="6121" xr:uid="{BA77777D-C0A3-49FA-8CCE-984214AFB276}"/>
    <cellStyle name="Comma 10 4 14 4" xfId="27011" xr:uid="{9BF073CF-AE37-4B5E-B5F7-DFB929059B39}"/>
    <cellStyle name="Comma 10 4 14 5" xfId="27012" xr:uid="{C074BE7F-833E-4EFD-BEA1-5E5C113B7750}"/>
    <cellStyle name="Comma 10 4 14 6" xfId="27013" xr:uid="{26A92226-2C72-4FC5-AD71-7B3DC3CEB7C4}"/>
    <cellStyle name="Comma 10 4 14 7" xfId="42441" xr:uid="{72C2EAB2-B24D-4706-88C6-F74EA9CA4A16}"/>
    <cellStyle name="Comma 10 4 14 8" xfId="43598" xr:uid="{2B690971-E9E3-4CED-A013-4D4737A18F85}"/>
    <cellStyle name="Comma 10 4 15" xfId="6122" xr:uid="{0BA7B014-A3C5-48B5-8E71-0341446E6A89}"/>
    <cellStyle name="Comma 10 4 15 2" xfId="6123" xr:uid="{10B3FE12-FE42-4023-994C-3F6EE8AE595B}"/>
    <cellStyle name="Comma 10 4 15 2 2" xfId="6124" xr:uid="{5FEE7147-599D-495E-AFF1-C457CB628033}"/>
    <cellStyle name="Comma 10 4 15 2 3" xfId="27014" xr:uid="{DCE6ACEA-67B1-4054-90A6-335FC39C24F2}"/>
    <cellStyle name="Comma 10 4 15 2 4" xfId="27015" xr:uid="{F1BE1D4F-6573-48CC-A7C0-321D98D78823}"/>
    <cellStyle name="Comma 10 4 15 2 5" xfId="27016" xr:uid="{BFEC1985-2F0F-413D-8D95-5F6C51CD8EE2}"/>
    <cellStyle name="Comma 10 4 15 3" xfId="6125" xr:uid="{293A55F5-CAF2-447F-9526-BCBAD873A907}"/>
    <cellStyle name="Comma 10 4 15 4" xfId="27017" xr:uid="{9456D59D-A787-4831-9AA5-4DAB45A740D1}"/>
    <cellStyle name="Comma 10 4 15 5" xfId="27018" xr:uid="{7BE8D707-F6E4-41DE-A289-D511475D968C}"/>
    <cellStyle name="Comma 10 4 15 6" xfId="27019" xr:uid="{5140C6FC-ACA3-4497-A51B-69B9FBD9F4CD}"/>
    <cellStyle name="Comma 10 4 15 7" xfId="42442" xr:uid="{6A6BC609-1EF1-4611-98D1-6ED1F0AEF4E3}"/>
    <cellStyle name="Comma 10 4 15 8" xfId="43599" xr:uid="{8FB71DEC-AB02-4170-A1B9-0ABA1CF5298B}"/>
    <cellStyle name="Comma 10 4 16" xfId="6126" xr:uid="{0A8405BC-9798-4C53-B519-0173479F38E3}"/>
    <cellStyle name="Comma 10 4 16 2" xfId="6127" xr:uid="{92E943A2-E70E-45CE-A6D0-8DC26DAFAD53}"/>
    <cellStyle name="Comma 10 4 16 2 2" xfId="6128" xr:uid="{0789BCBF-35BA-4E8B-9626-B4B867293FFC}"/>
    <cellStyle name="Comma 10 4 16 2 3" xfId="27020" xr:uid="{FA15FED9-F9D2-4D89-871C-8AE4216CBF18}"/>
    <cellStyle name="Comma 10 4 16 2 4" xfId="27021" xr:uid="{5DEDD3E7-4974-4D42-8CBA-B98E8D041144}"/>
    <cellStyle name="Comma 10 4 16 2 5" xfId="27022" xr:uid="{1082F2B3-23EF-478C-941F-4027AD15C534}"/>
    <cellStyle name="Comma 10 4 16 3" xfId="6129" xr:uid="{95556BB5-E9B7-4B53-9315-FC04A1A47DAC}"/>
    <cellStyle name="Comma 10 4 16 4" xfId="27023" xr:uid="{20DD6983-703D-46AF-A4C4-2FD184C404C7}"/>
    <cellStyle name="Comma 10 4 16 5" xfId="27024" xr:uid="{097A485E-8BEE-4B90-8259-EA859A56B2BD}"/>
    <cellStyle name="Comma 10 4 16 6" xfId="27025" xr:uid="{9BCE8F84-0C56-4B98-A78B-50B34E0A4C7F}"/>
    <cellStyle name="Comma 10 4 16 7" xfId="42443" xr:uid="{25772CD6-886B-414E-B54B-6DD6E2F994CE}"/>
    <cellStyle name="Comma 10 4 16 8" xfId="43600" xr:uid="{79665DF8-17BD-45D7-927F-874227B803DD}"/>
    <cellStyle name="Comma 10 4 17" xfId="6130" xr:uid="{FE433078-14E8-4B5A-BC52-3F2E55F1FCE6}"/>
    <cellStyle name="Comma 10 4 17 2" xfId="6131" xr:uid="{A89E2E3F-8200-4C2F-9467-B26D7B1BCFC3}"/>
    <cellStyle name="Comma 10 4 17 2 2" xfId="6132" xr:uid="{9DE2CB9F-1603-4DCF-B8DD-CB986B5A8B57}"/>
    <cellStyle name="Comma 10 4 17 2 3" xfId="27026" xr:uid="{B277BD51-B8DA-4611-8006-09D34E94C54F}"/>
    <cellStyle name="Comma 10 4 17 2 4" xfId="27027" xr:uid="{ADEDBEDF-4A8F-4571-861C-1EE4E0B68687}"/>
    <cellStyle name="Comma 10 4 17 2 5" xfId="27028" xr:uid="{B1147E35-AEDD-4E84-A8AD-51B23829756F}"/>
    <cellStyle name="Comma 10 4 17 3" xfId="6133" xr:uid="{279B2CFF-5A67-43FA-B283-9C2395BEFC40}"/>
    <cellStyle name="Comma 10 4 17 4" xfId="27029" xr:uid="{96ABC40A-CBFD-47F1-996C-EDD446116912}"/>
    <cellStyle name="Comma 10 4 17 5" xfId="27030" xr:uid="{90E5F31F-3693-43EF-A05E-8CD0123A75F9}"/>
    <cellStyle name="Comma 10 4 17 6" xfId="27031" xr:uid="{549F7B79-35A7-4236-81EC-9110FAC07EE2}"/>
    <cellStyle name="Comma 10 4 17 7" xfId="42444" xr:uid="{6973AC2B-4A0E-4D38-8D36-0DFB4B17EE01}"/>
    <cellStyle name="Comma 10 4 17 8" xfId="43601" xr:uid="{ED40DEFB-1B80-4561-97D1-52E7E44DE254}"/>
    <cellStyle name="Comma 10 4 18" xfId="6134" xr:uid="{28D15664-A7C8-4073-9A1A-AA678C4AE1B6}"/>
    <cellStyle name="Comma 10 4 18 2" xfId="6135" xr:uid="{6DA5D564-28D7-4923-A620-8ABA74DBE83A}"/>
    <cellStyle name="Comma 10 4 18 3" xfId="27032" xr:uid="{4C74E8B7-CFE3-469E-8539-AED9ACC5F329}"/>
    <cellStyle name="Comma 10 4 18 4" xfId="27033" xr:uid="{CFB3DCC3-8D76-4A3D-B777-479080390B35}"/>
    <cellStyle name="Comma 10 4 18 5" xfId="27034" xr:uid="{57C7888B-D836-4B52-913E-E6BED39F002B}"/>
    <cellStyle name="Comma 10 4 19" xfId="6136" xr:uid="{34E5E1D2-8637-4B28-94E2-AF17DD6EFB81}"/>
    <cellStyle name="Comma 10 4 2" xfId="6137" xr:uid="{75253DC0-BE95-415C-9E16-CDA8D0D06174}"/>
    <cellStyle name="Comma 10 4 2 2" xfId="6138" xr:uid="{8077E5A7-C751-414A-8B90-B8D780293C6C}"/>
    <cellStyle name="Comma 10 4 2 2 2" xfId="6139" xr:uid="{9EDCEED2-892E-4D71-BAB1-1FFDB2A7DB84}"/>
    <cellStyle name="Comma 10 4 2 2 3" xfId="27035" xr:uid="{38E61369-E33D-4742-8275-AF8C4BBBDDE4}"/>
    <cellStyle name="Comma 10 4 2 2 4" xfId="27036" xr:uid="{CD182F0C-7191-4B63-9229-A33E4AEFF2FD}"/>
    <cellStyle name="Comma 10 4 2 2 5" xfId="27037" xr:uid="{59B510D7-1F3F-4542-9E22-0A7FACBA3A4E}"/>
    <cellStyle name="Comma 10 4 2 3" xfId="6140" xr:uid="{C9F73B6F-860A-469C-A992-2C4647D1A7CB}"/>
    <cellStyle name="Comma 10 4 2 4" xfId="27038" xr:uid="{24CBF83E-C22B-4078-B48F-A38E893D13B9}"/>
    <cellStyle name="Comma 10 4 2 5" xfId="27039" xr:uid="{0B6B9F09-8715-4965-9953-06EFF7D65265}"/>
    <cellStyle name="Comma 10 4 2 6" xfId="27040" xr:uid="{B5DE2606-57DA-4E01-9429-41D4051E720F}"/>
    <cellStyle name="Comma 10 4 2 7" xfId="42445" xr:uid="{6A0197B8-5E37-4D4C-8A5B-2897FAE03518}"/>
    <cellStyle name="Comma 10 4 2 8" xfId="43602" xr:uid="{34A42001-A412-4C3E-892D-170051B300C9}"/>
    <cellStyle name="Comma 10 4 20" xfId="27041" xr:uid="{48B7C1C7-BA19-4DDC-8755-71EE1076AF6E}"/>
    <cellStyle name="Comma 10 4 21" xfId="27042" xr:uid="{6DDF48E7-8614-4BBD-ABD1-5AB25FB52D20}"/>
    <cellStyle name="Comma 10 4 22" xfId="27043" xr:uid="{A701D655-FA93-4F37-8884-7A1AE6358AB2}"/>
    <cellStyle name="Comma 10 4 23" xfId="42436" xr:uid="{92E6DB4F-835A-4E4B-AD02-921DEBA0BEB0}"/>
    <cellStyle name="Comma 10 4 24" xfId="43593" xr:uid="{C81A911D-231B-41D3-B6A8-7A9E50BBB382}"/>
    <cellStyle name="Comma 10 4 3" xfId="6141" xr:uid="{F35B80AB-8221-4A10-A47C-A552F861C7C1}"/>
    <cellStyle name="Comma 10 4 3 2" xfId="6142" xr:uid="{98D885D9-8D32-412A-8DDD-73A6C5BE9DCC}"/>
    <cellStyle name="Comma 10 4 3 2 2" xfId="6143" xr:uid="{ADF3B031-61D5-48BE-863C-A29707242548}"/>
    <cellStyle name="Comma 10 4 3 2 3" xfId="27044" xr:uid="{A7F4BB03-E4A3-4787-B269-30DA857DDC61}"/>
    <cellStyle name="Comma 10 4 3 2 4" xfId="27045" xr:uid="{C91CEB23-F9DE-4EFE-81BA-7D72503FF806}"/>
    <cellStyle name="Comma 10 4 3 2 5" xfId="27046" xr:uid="{1DF4B3C9-9F5D-4B89-923F-10618D3A7375}"/>
    <cellStyle name="Comma 10 4 3 3" xfId="6144" xr:uid="{2D34B3F4-3B7A-400F-8B66-35978ECB3BF9}"/>
    <cellStyle name="Comma 10 4 3 4" xfId="27047" xr:uid="{1DE8F5BC-E590-4A74-A83C-F689419D7017}"/>
    <cellStyle name="Comma 10 4 3 5" xfId="27048" xr:uid="{2F1E27DC-3190-45EE-ADC8-B36764089410}"/>
    <cellStyle name="Comma 10 4 3 6" xfId="27049" xr:uid="{DC68BD98-A307-457E-8BA1-4071AE656F8A}"/>
    <cellStyle name="Comma 10 4 3 7" xfId="42446" xr:uid="{8B4DCB6A-7AEE-4D54-88F8-E34CDEA0B013}"/>
    <cellStyle name="Comma 10 4 3 8" xfId="43603" xr:uid="{D12E5BE5-AF82-4763-857A-D7C6ACD2B9F6}"/>
    <cellStyle name="Comma 10 4 4" xfId="6145" xr:uid="{6882A12D-E255-45EE-BA89-F4273FA2A6B3}"/>
    <cellStyle name="Comma 10 4 4 2" xfId="6146" xr:uid="{8AE921E9-4326-42EE-B139-46DB11B233DC}"/>
    <cellStyle name="Comma 10 4 4 2 2" xfId="6147" xr:uid="{F0D4A3C0-83A2-482F-A968-6F030C7E2C06}"/>
    <cellStyle name="Comma 10 4 4 2 3" xfId="27050" xr:uid="{BE1A4951-C35F-4459-A012-DD54193DF4E3}"/>
    <cellStyle name="Comma 10 4 4 2 4" xfId="27051" xr:uid="{DBF00F81-4DCC-457E-BBE0-2FCA63800B24}"/>
    <cellStyle name="Comma 10 4 4 2 5" xfId="27052" xr:uid="{77A09357-194C-4F66-BB52-8704313B0468}"/>
    <cellStyle name="Comma 10 4 4 3" xfId="6148" xr:uid="{A576C5BE-3A45-4EF2-95BF-DCFCD8C0D314}"/>
    <cellStyle name="Comma 10 4 4 4" xfId="27053" xr:uid="{4DA1E7EF-7CD8-4BEF-8201-FF3CA4B1DD4A}"/>
    <cellStyle name="Comma 10 4 4 5" xfId="27054" xr:uid="{F9550B99-8952-4CE0-A769-E7ECC2B4E2F6}"/>
    <cellStyle name="Comma 10 4 4 6" xfId="27055" xr:uid="{AAF6CABD-8A96-4E0B-880D-A13DD0533856}"/>
    <cellStyle name="Comma 10 4 4 7" xfId="42447" xr:uid="{EBFA395D-D3B0-4615-9046-3A92EB3F4B51}"/>
    <cellStyle name="Comma 10 4 4 8" xfId="43604" xr:uid="{001BA4BE-89E1-43CE-94EA-11D62830C1F7}"/>
    <cellStyle name="Comma 10 4 5" xfId="6149" xr:uid="{CB464D42-7A61-494E-83E1-5480E665C278}"/>
    <cellStyle name="Comma 10 4 5 2" xfId="6150" xr:uid="{2743EA88-6C65-4646-A8F8-27D879840D82}"/>
    <cellStyle name="Comma 10 4 5 2 2" xfId="6151" xr:uid="{80D72434-C1CA-431F-9A52-21FE0C3AD954}"/>
    <cellStyle name="Comma 10 4 5 2 3" xfId="27056" xr:uid="{27AF5DB4-B263-4518-B226-20F8B3CB5DEB}"/>
    <cellStyle name="Comma 10 4 5 2 4" xfId="27057" xr:uid="{2A53BA6D-2950-47F2-B1DD-6A8A0BB341A6}"/>
    <cellStyle name="Comma 10 4 5 2 5" xfId="27058" xr:uid="{7E73D9B8-F3AE-4172-AEF6-0388F6BAB536}"/>
    <cellStyle name="Comma 10 4 5 3" xfId="6152" xr:uid="{618297D9-8D55-470F-97A6-842C324AC820}"/>
    <cellStyle name="Comma 10 4 5 4" xfId="27059" xr:uid="{61BBC28F-4C71-4165-97E1-A59D9D018FD1}"/>
    <cellStyle name="Comma 10 4 5 5" xfId="27060" xr:uid="{6D35F2DC-6F4F-46FE-BB27-DEC9D6903410}"/>
    <cellStyle name="Comma 10 4 5 6" xfId="27061" xr:uid="{BB313E8E-C5F7-4D0E-AF8A-E025D4CB909E}"/>
    <cellStyle name="Comma 10 4 5 7" xfId="42448" xr:uid="{E2BF4F52-6014-4259-9CF7-D2E88801FBEA}"/>
    <cellStyle name="Comma 10 4 5 8" xfId="43605" xr:uid="{609A46CC-7645-4BA4-883B-2B93DCA9C80F}"/>
    <cellStyle name="Comma 10 4 6" xfId="6153" xr:uid="{A383A968-1775-4487-B078-813F776281B6}"/>
    <cellStyle name="Comma 10 4 6 2" xfId="6154" xr:uid="{9B00ADEB-008C-422D-A854-1B38E0BC5F34}"/>
    <cellStyle name="Comma 10 4 6 2 2" xfId="6155" xr:uid="{7E960778-6082-49E7-BDE5-DE194653E977}"/>
    <cellStyle name="Comma 10 4 6 2 3" xfId="27062" xr:uid="{E4CE40A5-B549-428A-A46E-3796532D4316}"/>
    <cellStyle name="Comma 10 4 6 2 4" xfId="27063" xr:uid="{F9AE3DFA-ED33-4AF0-8301-71108FB7E608}"/>
    <cellStyle name="Comma 10 4 6 2 5" xfId="27064" xr:uid="{5645B795-06DC-4D29-8F62-ED8DFDB743CE}"/>
    <cellStyle name="Comma 10 4 6 3" xfId="6156" xr:uid="{D60835D6-F352-4004-BF7C-9D21BEC4D06B}"/>
    <cellStyle name="Comma 10 4 6 4" xfId="27065" xr:uid="{BD855DC2-1126-4E8B-8431-D6FA78768414}"/>
    <cellStyle name="Comma 10 4 6 5" xfId="27066" xr:uid="{BEB0E443-C22B-401D-A159-BE201496ADD3}"/>
    <cellStyle name="Comma 10 4 6 6" xfId="27067" xr:uid="{B45E4FA3-6120-452A-A046-AE74D17DF9E1}"/>
    <cellStyle name="Comma 10 4 6 7" xfId="42449" xr:uid="{60D6C632-D58E-42CF-8165-03301D059ECD}"/>
    <cellStyle name="Comma 10 4 6 8" xfId="43606" xr:uid="{553B08A4-9C69-4EC0-8FEB-72E5E4264F4A}"/>
    <cellStyle name="Comma 10 4 7" xfId="6157" xr:uid="{9EFDAA82-10AB-4DBB-A7CC-3CDF27680C76}"/>
    <cellStyle name="Comma 10 4 7 2" xfId="6158" xr:uid="{F411A3DE-042F-4995-81D5-1EAC9EE76767}"/>
    <cellStyle name="Comma 10 4 7 2 2" xfId="6159" xr:uid="{3F8A1F14-5F3C-4C5E-BB7C-A8FCC9AB1DC0}"/>
    <cellStyle name="Comma 10 4 7 2 3" xfId="27068" xr:uid="{27CA9D6E-3F17-4180-9095-0BD0F9153FEF}"/>
    <cellStyle name="Comma 10 4 7 2 4" xfId="27069" xr:uid="{913C0612-4A1F-4B0C-888B-AFF650249049}"/>
    <cellStyle name="Comma 10 4 7 2 5" xfId="27070" xr:uid="{AC010E97-D3A8-4E5E-BA2E-D54732ACBAB2}"/>
    <cellStyle name="Comma 10 4 7 3" xfId="6160" xr:uid="{0C328305-D0CB-4BF8-AF02-3B536ACCDF38}"/>
    <cellStyle name="Comma 10 4 7 4" xfId="27071" xr:uid="{C87C53EB-6FDD-4EB8-A322-9BDB560FF0E1}"/>
    <cellStyle name="Comma 10 4 7 5" xfId="27072" xr:uid="{46C09DB0-C3E3-4849-88D6-E8F18573BD90}"/>
    <cellStyle name="Comma 10 4 7 6" xfId="27073" xr:uid="{1E1F69F2-EA87-481E-9516-7CDEA26A451B}"/>
    <cellStyle name="Comma 10 4 7 7" xfId="42450" xr:uid="{622FE409-44C2-43E3-98A9-18E9616F9AD6}"/>
    <cellStyle name="Comma 10 4 7 8" xfId="43607" xr:uid="{3033D46E-A806-4D47-B56C-A3828C1CA63D}"/>
    <cellStyle name="Comma 10 4 8" xfId="6161" xr:uid="{BAE263B7-1E06-4613-B118-A3AE8C723275}"/>
    <cellStyle name="Comma 10 4 8 2" xfId="6162" xr:uid="{7AB8D349-EC9F-4CC4-BBCE-8108203F9B9D}"/>
    <cellStyle name="Comma 10 4 8 2 2" xfId="6163" xr:uid="{25717C64-855C-4CAB-BA4A-05437A12F5B3}"/>
    <cellStyle name="Comma 10 4 8 2 3" xfId="27074" xr:uid="{6CF549A7-1065-4891-9DB8-60042023D136}"/>
    <cellStyle name="Comma 10 4 8 2 4" xfId="27075" xr:uid="{10F1FCCE-1F37-4EFA-AB30-8FA81B733534}"/>
    <cellStyle name="Comma 10 4 8 2 5" xfId="27076" xr:uid="{13575314-7423-4370-8CC6-098F81D464DF}"/>
    <cellStyle name="Comma 10 4 8 3" xfId="6164" xr:uid="{856B1292-04AA-44EA-AA17-DC5675475A2E}"/>
    <cellStyle name="Comma 10 4 8 4" xfId="27077" xr:uid="{FAE23BB6-15DA-457B-8323-054C804662B2}"/>
    <cellStyle name="Comma 10 4 8 5" xfId="27078" xr:uid="{A60EF5E1-ECAA-4B95-9186-9A97A0CCA4ED}"/>
    <cellStyle name="Comma 10 4 8 6" xfId="27079" xr:uid="{7F5331B8-0AAB-4CDA-9CC6-6FFAA171B25A}"/>
    <cellStyle name="Comma 10 4 8 7" xfId="42451" xr:uid="{0D83819A-A98B-4C2D-8D94-A2684E76A099}"/>
    <cellStyle name="Comma 10 4 8 8" xfId="43608" xr:uid="{1A86DEB6-C6DF-4E94-A6AF-48A16CCA2B5A}"/>
    <cellStyle name="Comma 10 4 9" xfId="6165" xr:uid="{532CEE05-5C91-4EBF-8C97-D76CC41102F2}"/>
    <cellStyle name="Comma 10 4 9 2" xfId="6166" xr:uid="{C298F4FA-D0F1-4291-B99B-BFBC67C10F2A}"/>
    <cellStyle name="Comma 10 4 9 2 2" xfId="6167" xr:uid="{098EFC0A-CE27-4602-94AE-D9BA416908AB}"/>
    <cellStyle name="Comma 10 4 9 2 3" xfId="27080" xr:uid="{5FC65653-460F-42D9-9E30-A6CD04ECFD6B}"/>
    <cellStyle name="Comma 10 4 9 2 4" xfId="27081" xr:uid="{3707CF45-2DB1-43C0-9FFB-37C197684EB8}"/>
    <cellStyle name="Comma 10 4 9 2 5" xfId="27082" xr:uid="{9FF1856F-E6E6-4F2F-9ADC-F0ADC659F5BD}"/>
    <cellStyle name="Comma 10 4 9 3" xfId="6168" xr:uid="{150D4AF2-94A0-4410-A845-03935ECD2EB3}"/>
    <cellStyle name="Comma 10 4 9 4" xfId="27083" xr:uid="{6500FFDE-8677-464F-86E5-4A20B8873A1F}"/>
    <cellStyle name="Comma 10 4 9 5" xfId="27084" xr:uid="{0E48B972-C289-4FF6-9F48-1FC642A60D47}"/>
    <cellStyle name="Comma 10 4 9 6" xfId="27085" xr:uid="{CE8EC6B1-9DDB-49FD-A511-C70CB95D525E}"/>
    <cellStyle name="Comma 10 4 9 7" xfId="42452" xr:uid="{8DA737C0-4955-4D19-ABC9-608D4616C687}"/>
    <cellStyle name="Comma 10 4 9 8" xfId="43609" xr:uid="{29D26277-0338-4A9A-A62A-749B14AA85C3}"/>
    <cellStyle name="Comma 10 5" xfId="6169" xr:uid="{3C6CB9F1-0487-4622-898E-FA1FFB113F4E}"/>
    <cellStyle name="Comma 10 5 10" xfId="6170" xr:uid="{89FF92B6-9B5C-430B-8E47-EA8D37C024E2}"/>
    <cellStyle name="Comma 10 5 10 2" xfId="6171" xr:uid="{F892C297-FBCB-4682-8FC8-3B4C560EB4F3}"/>
    <cellStyle name="Comma 10 5 10 2 2" xfId="6172" xr:uid="{58FF7FC8-F64D-4746-B8D8-143FCA55AF33}"/>
    <cellStyle name="Comma 10 5 10 2 3" xfId="27086" xr:uid="{FE4199DA-FCCF-4B56-8D6D-B066AA421675}"/>
    <cellStyle name="Comma 10 5 10 2 4" xfId="27087" xr:uid="{5003E591-5F92-423B-9B7B-428B04734B9F}"/>
    <cellStyle name="Comma 10 5 10 2 5" xfId="27088" xr:uid="{3F6215AE-D1C6-4963-A4E6-C35F455BCF77}"/>
    <cellStyle name="Comma 10 5 10 3" xfId="6173" xr:uid="{A12C3FB3-BF3E-4A1A-AF89-12D33CC4907F}"/>
    <cellStyle name="Comma 10 5 10 4" xfId="27089" xr:uid="{3D1DF410-4506-4456-BF8C-700577F24EBE}"/>
    <cellStyle name="Comma 10 5 10 5" xfId="27090" xr:uid="{974AD64A-B8BD-453F-BD8C-343E1E239F50}"/>
    <cellStyle name="Comma 10 5 10 6" xfId="27091" xr:uid="{BBC4D53A-2E83-4E9D-ACF0-C680E168F19A}"/>
    <cellStyle name="Comma 10 5 10 7" xfId="42454" xr:uid="{67E48A01-7711-4C0F-9E70-7C304F948879}"/>
    <cellStyle name="Comma 10 5 10 8" xfId="43611" xr:uid="{120BF3EC-F51B-4C6B-9E69-3984D2F33CA1}"/>
    <cellStyle name="Comma 10 5 11" xfId="6174" xr:uid="{4EB03C33-CB64-4311-9EED-F5DFD231DD63}"/>
    <cellStyle name="Comma 10 5 11 2" xfId="6175" xr:uid="{78C51185-A37A-42A5-8CED-0DEDEC3DA9AE}"/>
    <cellStyle name="Comma 10 5 11 2 2" xfId="6176" xr:uid="{7D3C6664-4B7A-49E6-A82D-EB37AFC1C29E}"/>
    <cellStyle name="Comma 10 5 11 2 3" xfId="27092" xr:uid="{F46A027B-97B2-410C-A42C-F1F05418E66C}"/>
    <cellStyle name="Comma 10 5 11 2 4" xfId="27093" xr:uid="{1C1ED4DD-5B47-469F-8BA3-B3E8D742C6EF}"/>
    <cellStyle name="Comma 10 5 11 2 5" xfId="27094" xr:uid="{24545651-7C3D-4BC1-80CF-417AFF542E77}"/>
    <cellStyle name="Comma 10 5 11 3" xfId="6177" xr:uid="{9089EEA2-8643-4F69-9551-89283F1ED34E}"/>
    <cellStyle name="Comma 10 5 11 4" xfId="27095" xr:uid="{E561C289-714A-4568-BDFA-9E8AD6D8DD7A}"/>
    <cellStyle name="Comma 10 5 11 5" xfId="27096" xr:uid="{EE87A01E-CD42-4061-B98D-3C691DBBE8C7}"/>
    <cellStyle name="Comma 10 5 11 6" xfId="27097" xr:uid="{26F51B6E-1759-4F62-8D47-13EA3B23CA98}"/>
    <cellStyle name="Comma 10 5 11 7" xfId="42455" xr:uid="{63C5DFC5-CB47-432C-830C-251D1064F4D1}"/>
    <cellStyle name="Comma 10 5 11 8" xfId="43612" xr:uid="{88991C3C-22B6-41E2-BD89-C33238953C6D}"/>
    <cellStyle name="Comma 10 5 12" xfId="6178" xr:uid="{36D4982C-2A88-4BEC-8B1A-80552429EBC0}"/>
    <cellStyle name="Comma 10 5 12 2" xfId="6179" xr:uid="{B60B42A1-D853-4FED-8B31-8B84E292F131}"/>
    <cellStyle name="Comma 10 5 12 2 2" xfId="6180" xr:uid="{51064A6F-3A41-4002-85FA-A4035149F0F6}"/>
    <cellStyle name="Comma 10 5 12 2 3" xfId="27098" xr:uid="{977AE0F6-E6B4-41D6-94C7-D1BA81895930}"/>
    <cellStyle name="Comma 10 5 12 2 4" xfId="27099" xr:uid="{4C54E52F-86C5-465B-9980-38373311AB17}"/>
    <cellStyle name="Comma 10 5 12 2 5" xfId="27100" xr:uid="{200B5944-9B73-461C-8FF0-EA2A8F59354A}"/>
    <cellStyle name="Comma 10 5 12 3" xfId="6181" xr:uid="{FC78962F-27C9-47A6-AF81-0A4122D0133A}"/>
    <cellStyle name="Comma 10 5 12 4" xfId="27101" xr:uid="{4DC62AC7-6712-4025-A2E5-238FF69074AC}"/>
    <cellStyle name="Comma 10 5 12 5" xfId="27102" xr:uid="{7A7B3B58-1286-45FF-A6F9-1089B96DBDA0}"/>
    <cellStyle name="Comma 10 5 12 6" xfId="27103" xr:uid="{04BA679E-EDB2-4117-BE93-C9AA7FB0943F}"/>
    <cellStyle name="Comma 10 5 12 7" xfId="42456" xr:uid="{56D61249-F4AD-4772-8026-FBAB3DA64BB9}"/>
    <cellStyle name="Comma 10 5 12 8" xfId="43613" xr:uid="{6BFA7224-F7A2-4C6C-8769-E931CDC53FB9}"/>
    <cellStyle name="Comma 10 5 13" xfId="6182" xr:uid="{06DBAEB0-AEBC-4E4F-9F2F-4F921AFD0FC4}"/>
    <cellStyle name="Comma 10 5 13 2" xfId="6183" xr:uid="{E46801DB-9436-4302-ABC0-2B3127E9204A}"/>
    <cellStyle name="Comma 10 5 13 2 2" xfId="6184" xr:uid="{D3B88B4A-8148-499E-A3B6-481DF711A44D}"/>
    <cellStyle name="Comma 10 5 13 2 3" xfId="27104" xr:uid="{E02C4689-0F3D-40D7-AFA6-67CE778DA1EF}"/>
    <cellStyle name="Comma 10 5 13 2 4" xfId="27105" xr:uid="{34BE1AA2-63C1-425A-B54F-2035AD4D11EC}"/>
    <cellStyle name="Comma 10 5 13 2 5" xfId="27106" xr:uid="{8419F8AB-4DC8-4486-A358-EB5E71630840}"/>
    <cellStyle name="Comma 10 5 13 3" xfId="6185" xr:uid="{3882DA5F-628B-4DF1-B792-F6B92C921432}"/>
    <cellStyle name="Comma 10 5 13 4" xfId="27107" xr:uid="{22E26545-391E-48D9-9F7F-56B3F75D59E2}"/>
    <cellStyle name="Comma 10 5 13 5" xfId="27108" xr:uid="{ECA75CF9-A38D-45C4-A78F-2A07C0248367}"/>
    <cellStyle name="Comma 10 5 13 6" xfId="27109" xr:uid="{636C7A44-5178-4C16-A01F-C543F96D47F4}"/>
    <cellStyle name="Comma 10 5 13 7" xfId="42457" xr:uid="{6FBC10ED-5520-4181-91E5-4615C66DEC9F}"/>
    <cellStyle name="Comma 10 5 13 8" xfId="43614" xr:uid="{8BFA74A7-2257-4743-97FD-0B8FE96BF3CB}"/>
    <cellStyle name="Comma 10 5 14" xfId="6186" xr:uid="{D9225CE7-805C-4003-8E18-2F76E4689621}"/>
    <cellStyle name="Comma 10 5 14 2" xfId="6187" xr:uid="{56BFB072-B9DA-40CE-BBBE-AD3C822ECC45}"/>
    <cellStyle name="Comma 10 5 14 2 2" xfId="6188" xr:uid="{E0D54231-86FB-4A34-8346-C04051612896}"/>
    <cellStyle name="Comma 10 5 14 2 3" xfId="27110" xr:uid="{39C29218-CA30-40A7-8C64-A78695F58C50}"/>
    <cellStyle name="Comma 10 5 14 2 4" xfId="27111" xr:uid="{FF421544-412D-465C-9315-77FBA7E17799}"/>
    <cellStyle name="Comma 10 5 14 2 5" xfId="27112" xr:uid="{ED37B80F-F8D4-4AF6-8B7F-BC3776DF75F7}"/>
    <cellStyle name="Comma 10 5 14 3" xfId="6189" xr:uid="{75826449-B431-4C1C-8157-0342B2967670}"/>
    <cellStyle name="Comma 10 5 14 4" xfId="27113" xr:uid="{646F01DA-CC2D-4C8C-9AB4-81F4CA62CC74}"/>
    <cellStyle name="Comma 10 5 14 5" xfId="27114" xr:uid="{D04197FF-0942-4C9E-BEA3-3C6B2B4E27AD}"/>
    <cellStyle name="Comma 10 5 14 6" xfId="27115" xr:uid="{D6F4C8C9-9E7F-4B83-8DC8-474DE2CF754D}"/>
    <cellStyle name="Comma 10 5 14 7" xfId="42458" xr:uid="{D85F11E4-591C-4212-8AAF-3FA875B1A910}"/>
    <cellStyle name="Comma 10 5 14 8" xfId="43615" xr:uid="{B7695B12-796E-4610-B240-6F02200D3B8D}"/>
    <cellStyle name="Comma 10 5 15" xfId="6190" xr:uid="{8705F966-096D-4C60-81D2-D6ABC082CCE3}"/>
    <cellStyle name="Comma 10 5 15 2" xfId="6191" xr:uid="{E57352D9-D16C-4D6E-A0B7-DABFA7F987BF}"/>
    <cellStyle name="Comma 10 5 15 2 2" xfId="6192" xr:uid="{0F835BCB-6C0E-40A9-8B44-55E459AB2488}"/>
    <cellStyle name="Comma 10 5 15 2 3" xfId="27116" xr:uid="{E19EACB3-5E2D-4F6C-81D7-9BB0665F2E24}"/>
    <cellStyle name="Comma 10 5 15 2 4" xfId="27117" xr:uid="{03B70633-2EA7-4618-BFDA-D35619957ADD}"/>
    <cellStyle name="Comma 10 5 15 2 5" xfId="27118" xr:uid="{4B58B028-6440-4AF2-A67F-FFB61008E3A2}"/>
    <cellStyle name="Comma 10 5 15 3" xfId="6193" xr:uid="{ECE61968-3D2B-4567-94FA-D932DA0278FC}"/>
    <cellStyle name="Comma 10 5 15 4" xfId="27119" xr:uid="{3B14ADFA-CFD0-4F35-93EF-8F1D96DA22C0}"/>
    <cellStyle name="Comma 10 5 15 5" xfId="27120" xr:uid="{8001B6F7-A287-4D2F-BF02-7AC7CFE52D93}"/>
    <cellStyle name="Comma 10 5 15 6" xfId="27121" xr:uid="{C13D50D7-84B7-46AE-9F40-76DD82B2076F}"/>
    <cellStyle name="Comma 10 5 15 7" xfId="42459" xr:uid="{A55645F1-90D6-41EC-BD7D-59508E2C3470}"/>
    <cellStyle name="Comma 10 5 15 8" xfId="43616" xr:uid="{2C58FBE7-F9D2-4A1D-8D0D-0AFA6A5162DF}"/>
    <cellStyle name="Comma 10 5 16" xfId="6194" xr:uid="{C514A046-863E-4288-9527-8548542A3596}"/>
    <cellStyle name="Comma 10 5 16 2" xfId="6195" xr:uid="{1ABEF97D-3008-4124-915E-B213176E2474}"/>
    <cellStyle name="Comma 10 5 16 2 2" xfId="6196" xr:uid="{0C096F0E-298B-439C-BA38-DAD068A95A6E}"/>
    <cellStyle name="Comma 10 5 16 2 3" xfId="27122" xr:uid="{F07D4A82-FA69-45D4-8D6B-87A4D99D5EED}"/>
    <cellStyle name="Comma 10 5 16 2 4" xfId="27123" xr:uid="{622FD8E2-3D0C-43E9-8404-ADB95FEBA468}"/>
    <cellStyle name="Comma 10 5 16 2 5" xfId="27124" xr:uid="{8989B41C-2B6B-4B89-A308-D6F75D082F39}"/>
    <cellStyle name="Comma 10 5 16 3" xfId="6197" xr:uid="{C3A31A92-92B4-424F-9A79-1F31311E225D}"/>
    <cellStyle name="Comma 10 5 16 4" xfId="27125" xr:uid="{4CD2A03F-4F14-4444-94FF-990B4E68B3D5}"/>
    <cellStyle name="Comma 10 5 16 5" xfId="27126" xr:uid="{329A5909-E6A5-4694-ADE0-22AFDF4AC482}"/>
    <cellStyle name="Comma 10 5 16 6" xfId="27127" xr:uid="{D4138A4D-247C-4C35-ADF6-7E2D66E9DADA}"/>
    <cellStyle name="Comma 10 5 16 7" xfId="42460" xr:uid="{BA1D5001-6882-45B0-BB43-D3C24B0985B9}"/>
    <cellStyle name="Comma 10 5 16 8" xfId="43617" xr:uid="{DB31F71D-5BBA-4595-88B7-8089A32B20B4}"/>
    <cellStyle name="Comma 10 5 17" xfId="6198" xr:uid="{28EA0E44-EFE6-4967-BBE9-3C55ECD31D5E}"/>
    <cellStyle name="Comma 10 5 17 2" xfId="6199" xr:uid="{34A95C49-9ECA-44CD-9BB7-50006337D6E2}"/>
    <cellStyle name="Comma 10 5 17 2 2" xfId="6200" xr:uid="{4CE0FE91-DC9A-4A87-A843-172EDCD0AEE6}"/>
    <cellStyle name="Comma 10 5 17 2 3" xfId="27128" xr:uid="{9345A264-F16E-449D-8E19-D6B311E2B5F0}"/>
    <cellStyle name="Comma 10 5 17 2 4" xfId="27129" xr:uid="{93A96F5E-5742-479C-ACDC-A9FB79416829}"/>
    <cellStyle name="Comma 10 5 17 2 5" xfId="27130" xr:uid="{8B41D747-0B63-4801-AA86-2B4E7960CC2B}"/>
    <cellStyle name="Comma 10 5 17 3" xfId="6201" xr:uid="{93185969-5A0D-4547-A855-F7B4329F9DF0}"/>
    <cellStyle name="Comma 10 5 17 4" xfId="27131" xr:uid="{A857ED3B-E49D-4AED-8C02-808565CF3CAA}"/>
    <cellStyle name="Comma 10 5 17 5" xfId="27132" xr:uid="{5C75D647-00E4-4702-9A7C-D62B9DDEFB80}"/>
    <cellStyle name="Comma 10 5 17 6" xfId="27133" xr:uid="{E4A2EC5A-1589-4069-8333-42664457FD1E}"/>
    <cellStyle name="Comma 10 5 17 7" xfId="42461" xr:uid="{3AFEB340-2898-4A68-9ADA-7D91F1BFB0A7}"/>
    <cellStyle name="Comma 10 5 17 8" xfId="43618" xr:uid="{1B6A36C9-51DF-4BD9-B47E-F4BB26739FE7}"/>
    <cellStyle name="Comma 10 5 18" xfId="6202" xr:uid="{DDC1C4EE-A55D-4401-B560-67F2C1B04C36}"/>
    <cellStyle name="Comma 10 5 18 2" xfId="6203" xr:uid="{7CB82A38-30E3-4FC7-A8D0-8419EAFBB026}"/>
    <cellStyle name="Comma 10 5 18 3" xfId="27134" xr:uid="{1CF445BC-3404-4656-9D60-11FFD235A127}"/>
    <cellStyle name="Comma 10 5 18 4" xfId="27135" xr:uid="{BBFBA88C-4233-4628-AC4B-E45B7E449BC2}"/>
    <cellStyle name="Comma 10 5 18 5" xfId="27136" xr:uid="{4FA174AE-D9CA-40C7-BBA4-A0B3A795A914}"/>
    <cellStyle name="Comma 10 5 19" xfId="6204" xr:uid="{7DBA9962-41C3-4B12-9AE3-2C3F45B7EFB7}"/>
    <cellStyle name="Comma 10 5 2" xfId="6205" xr:uid="{A835F125-CC3E-43D6-8431-25FC12DB3B17}"/>
    <cellStyle name="Comma 10 5 2 2" xfId="6206" xr:uid="{217A9795-6674-459F-87AA-20A54ED1A691}"/>
    <cellStyle name="Comma 10 5 2 2 2" xfId="6207" xr:uid="{DBE6B969-D8CF-42C1-991B-041782C93EA4}"/>
    <cellStyle name="Comma 10 5 2 2 3" xfId="27137" xr:uid="{9C12B7E2-D472-4D4B-A8BB-8EFC22A552AD}"/>
    <cellStyle name="Comma 10 5 2 2 4" xfId="27138" xr:uid="{8660FB2F-15AE-481B-A845-5AD78D1FE404}"/>
    <cellStyle name="Comma 10 5 2 2 5" xfId="27139" xr:uid="{CEFB22DD-A896-4901-95E3-51ECFBD6D064}"/>
    <cellStyle name="Comma 10 5 2 3" xfId="6208" xr:uid="{2DF40A73-476C-4257-857D-C53ED2BA5432}"/>
    <cellStyle name="Comma 10 5 2 4" xfId="27140" xr:uid="{E7D43E06-3A46-43FB-88D6-690E22C3F2C6}"/>
    <cellStyle name="Comma 10 5 2 5" xfId="27141" xr:uid="{830BFDAE-358A-48CF-85B9-5E30B66D837E}"/>
    <cellStyle name="Comma 10 5 2 6" xfId="27142" xr:uid="{FC7BBABF-A9C4-42D4-AD65-49718A8BC4F9}"/>
    <cellStyle name="Comma 10 5 2 7" xfId="42462" xr:uid="{4D1420FB-D10C-4EE5-824A-0F769E252930}"/>
    <cellStyle name="Comma 10 5 2 8" xfId="43619" xr:uid="{A1166CAF-4395-4E9B-8B2A-8C62EFC8FCE7}"/>
    <cellStyle name="Comma 10 5 20" xfId="27143" xr:uid="{8AB03B69-4358-4DDC-9F57-AE21AB3AEE13}"/>
    <cellStyle name="Comma 10 5 21" xfId="27144" xr:uid="{536C20A3-FA1A-42C2-ACEA-F8624A13CAF2}"/>
    <cellStyle name="Comma 10 5 22" xfId="27145" xr:uid="{5313ED5F-7912-47BD-9B0D-AE1F2A4439CB}"/>
    <cellStyle name="Comma 10 5 23" xfId="42453" xr:uid="{C69BD151-6A1D-40F5-BC93-A3D867833DDB}"/>
    <cellStyle name="Comma 10 5 24" xfId="43610" xr:uid="{5C7EC839-0831-45F2-9EE5-B800A433838F}"/>
    <cellStyle name="Comma 10 5 3" xfId="6209" xr:uid="{FABA32E4-34FA-488E-94BD-676AB11870E2}"/>
    <cellStyle name="Comma 10 5 3 2" xfId="6210" xr:uid="{AAB88610-7546-4950-8E0D-898EFCB34EBC}"/>
    <cellStyle name="Comma 10 5 3 2 2" xfId="6211" xr:uid="{38406958-AFCE-4DEA-BEB6-FE882467DF2D}"/>
    <cellStyle name="Comma 10 5 3 2 3" xfId="27146" xr:uid="{D0B80560-182D-4B58-8D06-4505C8A682E2}"/>
    <cellStyle name="Comma 10 5 3 2 4" xfId="27147" xr:uid="{FE4AA784-FFA1-460A-95F7-C7F8176CEF7E}"/>
    <cellStyle name="Comma 10 5 3 2 5" xfId="27148" xr:uid="{BFB52BC8-069A-4A6D-ADF6-3862A5C9E13C}"/>
    <cellStyle name="Comma 10 5 3 3" xfId="6212" xr:uid="{32E28E48-1832-4A36-A6A4-312F682257AD}"/>
    <cellStyle name="Comma 10 5 3 4" xfId="27149" xr:uid="{60706DEC-0CA4-45A7-8F03-3A0DB3F38B91}"/>
    <cellStyle name="Comma 10 5 3 5" xfId="27150" xr:uid="{9E459952-525C-48B5-861A-1F3870346077}"/>
    <cellStyle name="Comma 10 5 3 6" xfId="27151" xr:uid="{3D66699B-3ED1-4771-AED5-45ED52E688BE}"/>
    <cellStyle name="Comma 10 5 3 7" xfId="42463" xr:uid="{0B36522F-D934-4246-9A12-A47300EFF75B}"/>
    <cellStyle name="Comma 10 5 3 8" xfId="43620" xr:uid="{F4CA3B6D-031E-4722-BD51-1EE5385E39C2}"/>
    <cellStyle name="Comma 10 5 4" xfId="6213" xr:uid="{2A626F5F-1A36-4567-BECA-562E82130609}"/>
    <cellStyle name="Comma 10 5 4 2" xfId="6214" xr:uid="{E8B2DA46-FA7C-4B27-ABE4-97B3E88B6096}"/>
    <cellStyle name="Comma 10 5 4 2 2" xfId="6215" xr:uid="{72226795-7EB3-407F-8F30-D93203B9EC2D}"/>
    <cellStyle name="Comma 10 5 4 2 3" xfId="27152" xr:uid="{3324DAA9-6453-4358-A240-724090821927}"/>
    <cellStyle name="Comma 10 5 4 2 4" xfId="27153" xr:uid="{3FB4A43E-DF43-4131-B3BB-1BCA74078539}"/>
    <cellStyle name="Comma 10 5 4 2 5" xfId="27154" xr:uid="{F51B1D47-0BA6-4A5C-8ABB-7600982BD3D2}"/>
    <cellStyle name="Comma 10 5 4 3" xfId="6216" xr:uid="{8BC37BC7-9A33-41DF-BA80-177FE345F6F8}"/>
    <cellStyle name="Comma 10 5 4 4" xfId="27155" xr:uid="{D221B99E-8428-461B-8632-7600881C7B41}"/>
    <cellStyle name="Comma 10 5 4 5" xfId="27156" xr:uid="{F65D19BE-C81D-409E-BDC7-E482C4E3B0BF}"/>
    <cellStyle name="Comma 10 5 4 6" xfId="27157" xr:uid="{7DCB4B53-2F76-4E20-8CD2-1C1B05B2FF37}"/>
    <cellStyle name="Comma 10 5 4 7" xfId="42464" xr:uid="{24846E32-E8A2-4900-88EB-F928917BFAC2}"/>
    <cellStyle name="Comma 10 5 4 8" xfId="43621" xr:uid="{402C03C1-2EBF-4DCC-9348-ADF003EE5B39}"/>
    <cellStyle name="Comma 10 5 5" xfId="6217" xr:uid="{0635978D-AF6D-45EA-B794-54C8BDBDC925}"/>
    <cellStyle name="Comma 10 5 5 2" xfId="6218" xr:uid="{EA8DD983-46C7-48B5-9009-274D12F48C27}"/>
    <cellStyle name="Comma 10 5 5 2 2" xfId="6219" xr:uid="{89A702FA-286E-4C10-9335-3DC5D53C96FC}"/>
    <cellStyle name="Comma 10 5 5 2 3" xfId="27158" xr:uid="{38CF8639-609E-4A96-BAC0-D646CD95C76A}"/>
    <cellStyle name="Comma 10 5 5 2 4" xfId="27159" xr:uid="{9A2774AC-5529-4446-9E07-FF5581631460}"/>
    <cellStyle name="Comma 10 5 5 2 5" xfId="27160" xr:uid="{81DCB110-3869-44D5-A7FF-80A344FCC474}"/>
    <cellStyle name="Comma 10 5 5 3" xfId="6220" xr:uid="{DF27787C-9B0A-407E-9E17-48881DE1A15F}"/>
    <cellStyle name="Comma 10 5 5 4" xfId="27161" xr:uid="{40E1E3BA-3F4D-4BCA-BB5C-D8F10734236B}"/>
    <cellStyle name="Comma 10 5 5 5" xfId="27162" xr:uid="{B055DA5A-73BC-41F7-BEA1-67401BC5DF3C}"/>
    <cellStyle name="Comma 10 5 5 6" xfId="27163" xr:uid="{F5DE2801-FDD3-45DE-8A5E-963345B30B77}"/>
    <cellStyle name="Comma 10 5 5 7" xfId="42465" xr:uid="{88F33C22-0810-4D5F-9C73-BB001E3F4B20}"/>
    <cellStyle name="Comma 10 5 5 8" xfId="43622" xr:uid="{21E45B92-591F-4A0D-B787-67CF5D875CFF}"/>
    <cellStyle name="Comma 10 5 6" xfId="6221" xr:uid="{6232F73C-69E4-4FA4-9BE3-1C847E17436F}"/>
    <cellStyle name="Comma 10 5 6 2" xfId="6222" xr:uid="{252EAA9F-B3F5-4A01-A924-D74D2415F289}"/>
    <cellStyle name="Comma 10 5 6 2 2" xfId="6223" xr:uid="{CEB2A98A-90D5-45F2-9649-53A73DE08F7B}"/>
    <cellStyle name="Comma 10 5 6 2 3" xfId="27164" xr:uid="{F8F87D16-6F04-4F41-8487-AAB42CFF0E42}"/>
    <cellStyle name="Comma 10 5 6 2 4" xfId="27165" xr:uid="{8F2237EA-CCB5-4925-927C-C46C2EBD6B22}"/>
    <cellStyle name="Comma 10 5 6 2 5" xfId="27166" xr:uid="{DF754553-11EE-4AF1-B917-08D68C64C595}"/>
    <cellStyle name="Comma 10 5 6 3" xfId="6224" xr:uid="{72A44188-D50A-4648-93DB-243BE73F747B}"/>
    <cellStyle name="Comma 10 5 6 4" xfId="27167" xr:uid="{7F057E17-F792-44C8-9475-1E8D31011C4C}"/>
    <cellStyle name="Comma 10 5 6 5" xfId="27168" xr:uid="{68941683-9B30-4AC9-87D3-8EBB4DA60988}"/>
    <cellStyle name="Comma 10 5 6 6" xfId="27169" xr:uid="{EFDD2539-6A24-449D-9FFD-09B07D1FCE68}"/>
    <cellStyle name="Comma 10 5 6 7" xfId="42466" xr:uid="{7D2D3A63-2781-4CA9-BC3E-054F69EFA9FC}"/>
    <cellStyle name="Comma 10 5 6 8" xfId="43623" xr:uid="{0E2CB6CE-74EB-467F-AF48-F917ABF80E7C}"/>
    <cellStyle name="Comma 10 5 7" xfId="6225" xr:uid="{D6761BB9-44BA-4EDA-8C79-FD83BB1E0F27}"/>
    <cellStyle name="Comma 10 5 7 2" xfId="6226" xr:uid="{E7FECAFC-2EE6-4FE7-A5E8-B255E106D3C1}"/>
    <cellStyle name="Comma 10 5 7 2 2" xfId="6227" xr:uid="{1A5CC858-432D-4114-90D1-B7E36C75E598}"/>
    <cellStyle name="Comma 10 5 7 2 3" xfId="27170" xr:uid="{C767FDBC-3FA7-4B86-89D9-8C570F19FD93}"/>
    <cellStyle name="Comma 10 5 7 2 4" xfId="27171" xr:uid="{0E055BC6-639E-4D11-8670-7A23DE556C91}"/>
    <cellStyle name="Comma 10 5 7 2 5" xfId="27172" xr:uid="{EE0168E3-FB66-4E50-90AB-6DDBFBC379DB}"/>
    <cellStyle name="Comma 10 5 7 3" xfId="6228" xr:uid="{0BCC1251-BE30-42D2-9363-268A5A4214C8}"/>
    <cellStyle name="Comma 10 5 7 4" xfId="27173" xr:uid="{A18550CC-E0DD-4B30-83B5-E5861F31D706}"/>
    <cellStyle name="Comma 10 5 7 5" xfId="27174" xr:uid="{12A7DCAE-33B5-4BF0-BDC7-9C57343B61AD}"/>
    <cellStyle name="Comma 10 5 7 6" xfId="27175" xr:uid="{6CD2B945-38A4-46B9-A8FD-2D218313401B}"/>
    <cellStyle name="Comma 10 5 7 7" xfId="42467" xr:uid="{A5A24A90-CB2A-4CBF-91F4-5B91BFCCF14B}"/>
    <cellStyle name="Comma 10 5 7 8" xfId="43624" xr:uid="{B9B5D1AE-9AE5-488D-A7ED-C0D196C27C5E}"/>
    <cellStyle name="Comma 10 5 8" xfId="6229" xr:uid="{57C0D5E0-CC64-423A-933D-74CADC681014}"/>
    <cellStyle name="Comma 10 5 8 2" xfId="6230" xr:uid="{04A46F9F-8A2F-43C0-8AAC-308C061628E7}"/>
    <cellStyle name="Comma 10 5 8 2 2" xfId="6231" xr:uid="{280C2B45-9B24-4B0B-B7DC-68E88DD0022F}"/>
    <cellStyle name="Comma 10 5 8 2 3" xfId="27176" xr:uid="{2938CE01-A6BD-426C-82BC-3250E5B1ED65}"/>
    <cellStyle name="Comma 10 5 8 2 4" xfId="27177" xr:uid="{B37B44A9-215E-4B50-8B14-98B8F31AC37C}"/>
    <cellStyle name="Comma 10 5 8 2 5" xfId="27178" xr:uid="{3BB4ABF5-CA34-4AC3-A52A-4676CCA34CF6}"/>
    <cellStyle name="Comma 10 5 8 3" xfId="6232" xr:uid="{0AB9510C-CF87-43CF-A892-BDB27793D533}"/>
    <cellStyle name="Comma 10 5 8 4" xfId="27179" xr:uid="{A7E2F045-5571-4F4F-A3A4-487C32160D73}"/>
    <cellStyle name="Comma 10 5 8 5" xfId="27180" xr:uid="{8576C31A-3372-4728-A343-EA5AE8D91991}"/>
    <cellStyle name="Comma 10 5 8 6" xfId="27181" xr:uid="{13D98968-376D-4C94-B08C-B6C494D680C3}"/>
    <cellStyle name="Comma 10 5 8 7" xfId="42468" xr:uid="{6C13D619-6AE2-492B-A02E-06D0FF222EAB}"/>
    <cellStyle name="Comma 10 5 8 8" xfId="43625" xr:uid="{24D0647F-74EE-46AF-997C-124F256B1E9B}"/>
    <cellStyle name="Comma 10 5 9" xfId="6233" xr:uid="{1310E5DB-8B18-42C9-88FE-BD8FAE3B3CB0}"/>
    <cellStyle name="Comma 10 5 9 2" xfId="6234" xr:uid="{2E69CA40-A013-40AF-8D8F-74338A018E1B}"/>
    <cellStyle name="Comma 10 5 9 2 2" xfId="6235" xr:uid="{2C700BAB-980F-4ED5-AF1C-2D092B4BB0C9}"/>
    <cellStyle name="Comma 10 5 9 2 3" xfId="27182" xr:uid="{DB19343C-E937-47B9-8039-F7D11B4680A3}"/>
    <cellStyle name="Comma 10 5 9 2 4" xfId="27183" xr:uid="{8F663861-876E-48B1-8786-D3CD5E96B9B4}"/>
    <cellStyle name="Comma 10 5 9 2 5" xfId="27184" xr:uid="{E84F7239-E631-4B5D-908A-702776B32506}"/>
    <cellStyle name="Comma 10 5 9 3" xfId="6236" xr:uid="{688A8914-A1B0-4D3A-938F-1D55B31D5664}"/>
    <cellStyle name="Comma 10 5 9 4" xfId="27185" xr:uid="{88A0289D-3ECB-4235-8E04-4E6A510E56D8}"/>
    <cellStyle name="Comma 10 5 9 5" xfId="27186" xr:uid="{7D9FA6DC-D7D9-469D-9926-211CE0C86B4E}"/>
    <cellStyle name="Comma 10 5 9 6" xfId="27187" xr:uid="{40F6A15A-E08D-43AF-B77C-3241E0B1744F}"/>
    <cellStyle name="Comma 10 5 9 7" xfId="42469" xr:uid="{8414A5EC-8CB8-448F-9B31-8A4AAD7049C5}"/>
    <cellStyle name="Comma 10 5 9 8" xfId="43626" xr:uid="{714FDF80-D867-4A23-8AE2-BA7E1D0BDF7C}"/>
    <cellStyle name="Comma 10 6" xfId="6237" xr:uid="{385EBEAF-30DF-4AA0-918E-56C02C37CD4D}"/>
    <cellStyle name="Comma 10 6 10" xfId="6238" xr:uid="{9855B297-C08B-4A8F-A1E7-26A0702FB652}"/>
    <cellStyle name="Comma 10 6 10 2" xfId="6239" xr:uid="{2C617074-47EB-426A-B155-B2EFC6878EB1}"/>
    <cellStyle name="Comma 10 6 10 2 2" xfId="6240" xr:uid="{FB991A33-754A-4968-B772-129FEC1E4403}"/>
    <cellStyle name="Comma 10 6 10 2 3" xfId="27188" xr:uid="{B8F1EAD6-F250-4409-9411-2B0BBBE55EAE}"/>
    <cellStyle name="Comma 10 6 10 2 4" xfId="27189" xr:uid="{7829757D-3CED-4A0E-87B2-A8272C612728}"/>
    <cellStyle name="Comma 10 6 10 2 5" xfId="27190" xr:uid="{5DCA9E25-6C12-4A9A-9B01-C8884D67030E}"/>
    <cellStyle name="Comma 10 6 10 3" xfId="6241" xr:uid="{7F4844FA-8424-4618-B35F-5E5F41FE688F}"/>
    <cellStyle name="Comma 10 6 10 4" xfId="27191" xr:uid="{82A59AC7-4360-471B-8265-3040DF9CCDE5}"/>
    <cellStyle name="Comma 10 6 10 5" xfId="27192" xr:uid="{8AFA88CE-6FD1-4947-9B81-41489212E0C1}"/>
    <cellStyle name="Comma 10 6 10 6" xfId="27193" xr:uid="{5D84A5C3-BE32-473A-8877-C92ED925EC91}"/>
    <cellStyle name="Comma 10 6 10 7" xfId="42471" xr:uid="{18AF85E0-E162-4BE3-8B5F-1AAFCD35B925}"/>
    <cellStyle name="Comma 10 6 10 8" xfId="43628" xr:uid="{BC21FA75-02E7-4B41-AF00-08026CB3E649}"/>
    <cellStyle name="Comma 10 6 11" xfId="6242" xr:uid="{DEAE7249-0192-4D92-A2B8-8E8B84DF8BEB}"/>
    <cellStyle name="Comma 10 6 11 2" xfId="6243" xr:uid="{0C9AC017-34DC-4FC1-BF62-5DCA03E3696D}"/>
    <cellStyle name="Comma 10 6 11 2 2" xfId="6244" xr:uid="{AAB573A8-6648-4884-B88E-09AD5E308974}"/>
    <cellStyle name="Comma 10 6 11 2 3" xfId="27194" xr:uid="{7FAE5DE9-2990-40EE-BE23-59CC2FE9BC9E}"/>
    <cellStyle name="Comma 10 6 11 2 4" xfId="27195" xr:uid="{65BEDC55-F968-4A1C-842C-56A647B494F4}"/>
    <cellStyle name="Comma 10 6 11 2 5" xfId="27196" xr:uid="{0ED6AE4A-0868-4CBB-9A4C-F465249953B1}"/>
    <cellStyle name="Comma 10 6 11 3" xfId="6245" xr:uid="{C123BE5A-7A25-401E-A23A-31E961857872}"/>
    <cellStyle name="Comma 10 6 11 4" xfId="27197" xr:uid="{B39DD528-B3F7-4A8F-82A8-327681FF08A3}"/>
    <cellStyle name="Comma 10 6 11 5" xfId="27198" xr:uid="{EFA2B001-98BE-4C50-9A6F-A1A57F07F059}"/>
    <cellStyle name="Comma 10 6 11 6" xfId="27199" xr:uid="{34BEF0ED-C30F-49BF-8815-FAFE3575E57A}"/>
    <cellStyle name="Comma 10 6 11 7" xfId="42472" xr:uid="{E66916A8-FD48-47A3-8D68-5558202B8703}"/>
    <cellStyle name="Comma 10 6 11 8" xfId="43629" xr:uid="{14D68836-A8A1-4720-B976-9BF62384AB8E}"/>
    <cellStyle name="Comma 10 6 12" xfId="6246" xr:uid="{52ADC0C4-FFC9-4C40-A495-092055D7A2B2}"/>
    <cellStyle name="Comma 10 6 12 2" xfId="6247" xr:uid="{220B1AEA-7FC5-4911-A367-387302803D21}"/>
    <cellStyle name="Comma 10 6 12 2 2" xfId="6248" xr:uid="{DC7358F7-9B2F-4FA3-B2CA-37B3763FC397}"/>
    <cellStyle name="Comma 10 6 12 2 3" xfId="27200" xr:uid="{FCAFC395-EF38-44DE-AFFC-F0F109D17A1A}"/>
    <cellStyle name="Comma 10 6 12 2 4" xfId="27201" xr:uid="{B43625AC-AE69-496D-8F25-BCF265290246}"/>
    <cellStyle name="Comma 10 6 12 2 5" xfId="27202" xr:uid="{17FC5654-F251-475D-A0DE-E2839EFB9F55}"/>
    <cellStyle name="Comma 10 6 12 3" xfId="6249" xr:uid="{D42B6B89-6074-4021-8785-504F1F40D649}"/>
    <cellStyle name="Comma 10 6 12 4" xfId="27203" xr:uid="{41249814-718E-43FB-9D7C-CB3A94064E96}"/>
    <cellStyle name="Comma 10 6 12 5" xfId="27204" xr:uid="{DFBF6201-9BD4-4083-9A71-C01648F16EB0}"/>
    <cellStyle name="Comma 10 6 12 6" xfId="27205" xr:uid="{0635076C-648C-48F2-B9B1-B38EEA0FD11B}"/>
    <cellStyle name="Comma 10 6 12 7" xfId="42473" xr:uid="{461DC8A6-D8AB-40DF-8B21-FD0A4AFE5618}"/>
    <cellStyle name="Comma 10 6 12 8" xfId="43630" xr:uid="{789ABE20-FFDF-4B55-941D-B6184820B122}"/>
    <cellStyle name="Comma 10 6 13" xfId="6250" xr:uid="{62AEB136-30ED-4B0C-AC7B-B0976EE121E9}"/>
    <cellStyle name="Comma 10 6 13 2" xfId="6251" xr:uid="{0F0F8B67-53E9-4E5D-80EE-881F5AC8948E}"/>
    <cellStyle name="Comma 10 6 13 2 2" xfId="6252" xr:uid="{BBC80625-63F8-441C-85BD-D28596D60904}"/>
    <cellStyle name="Comma 10 6 13 2 3" xfId="27206" xr:uid="{72A4C4ED-970B-4BF3-AF89-B0E5673CF7FF}"/>
    <cellStyle name="Comma 10 6 13 2 4" xfId="27207" xr:uid="{498AAAF4-E42A-4744-9E65-0FD4C1BA3FA6}"/>
    <cellStyle name="Comma 10 6 13 2 5" xfId="27208" xr:uid="{9CC9E3E0-0AAA-49BE-9A04-37E4ABEED67C}"/>
    <cellStyle name="Comma 10 6 13 3" xfId="6253" xr:uid="{892FBB6B-D2D6-43FB-A9E9-93FD6995328E}"/>
    <cellStyle name="Comma 10 6 13 4" xfId="27209" xr:uid="{39335C11-975E-4228-A129-FF66E135F32B}"/>
    <cellStyle name="Comma 10 6 13 5" xfId="27210" xr:uid="{8833BBFC-EA21-4627-B203-ED0E40489BD2}"/>
    <cellStyle name="Comma 10 6 13 6" xfId="27211" xr:uid="{3104B6C2-50CB-416C-B184-ED01E415CC9C}"/>
    <cellStyle name="Comma 10 6 13 7" xfId="42474" xr:uid="{18B39827-DEB8-400E-87C2-11E4357F9BF6}"/>
    <cellStyle name="Comma 10 6 13 8" xfId="43631" xr:uid="{0D9FA438-AEFB-4BB9-ADFF-0AB222615E16}"/>
    <cellStyle name="Comma 10 6 14" xfId="6254" xr:uid="{31EB8938-223A-406C-9293-1CD34009A9C8}"/>
    <cellStyle name="Comma 10 6 14 2" xfId="6255" xr:uid="{7AA0346C-5A77-4D42-B1BF-4B7753620E17}"/>
    <cellStyle name="Comma 10 6 14 2 2" xfId="6256" xr:uid="{CF068633-B58A-4D33-B191-191551BD7674}"/>
    <cellStyle name="Comma 10 6 14 2 3" xfId="27212" xr:uid="{7033C87C-D116-4BD7-8CEA-9C7D92D1BA4C}"/>
    <cellStyle name="Comma 10 6 14 2 4" xfId="27213" xr:uid="{4B7ED252-B124-4954-AE9E-BCA457F90226}"/>
    <cellStyle name="Comma 10 6 14 2 5" xfId="27214" xr:uid="{F67DF71C-739D-41E7-BACA-49803F5A5D4A}"/>
    <cellStyle name="Comma 10 6 14 3" xfId="6257" xr:uid="{96445CFA-B6DC-468F-BF04-00EF10CBBD64}"/>
    <cellStyle name="Comma 10 6 14 4" xfId="27215" xr:uid="{9D62BC3A-EC49-4450-8C97-69B317B0EBB6}"/>
    <cellStyle name="Comma 10 6 14 5" xfId="27216" xr:uid="{E3D3C197-1072-4E8A-A8F0-A8B9E40450E1}"/>
    <cellStyle name="Comma 10 6 14 6" xfId="27217" xr:uid="{5627D591-A620-4210-8E4F-43C8D6711D4C}"/>
    <cellStyle name="Comma 10 6 14 7" xfId="42475" xr:uid="{1F9C714F-F64C-4F83-B827-57382C39E632}"/>
    <cellStyle name="Comma 10 6 14 8" xfId="43632" xr:uid="{5F9FAF76-57F7-419C-81B6-9C81F9AF562B}"/>
    <cellStyle name="Comma 10 6 15" xfId="6258" xr:uid="{C63F3D9F-9ED6-4AF7-9C99-23167232347D}"/>
    <cellStyle name="Comma 10 6 15 2" xfId="6259" xr:uid="{6B15B60E-9443-4F68-A6D0-C51DF471D50B}"/>
    <cellStyle name="Comma 10 6 15 2 2" xfId="6260" xr:uid="{8F0DADC4-0E3D-4722-AA79-2B24A57B738F}"/>
    <cellStyle name="Comma 10 6 15 2 3" xfId="27218" xr:uid="{0101B8DC-DFD1-4D75-817D-289E357252C8}"/>
    <cellStyle name="Comma 10 6 15 2 4" xfId="27219" xr:uid="{31909FA6-B1E5-4550-8BE2-76547A6E9A06}"/>
    <cellStyle name="Comma 10 6 15 2 5" xfId="27220" xr:uid="{ACE19531-3C00-4B09-B94E-E7BA8ABC4A9F}"/>
    <cellStyle name="Comma 10 6 15 3" xfId="6261" xr:uid="{2E5B118C-BBE1-4B3D-8DC5-5B062AB43392}"/>
    <cellStyle name="Comma 10 6 15 4" xfId="27221" xr:uid="{87FFCBEE-6A89-4A1C-9DBD-235A31378032}"/>
    <cellStyle name="Comma 10 6 15 5" xfId="27222" xr:uid="{D580F6CB-4371-44D3-A57E-3886B0AA4434}"/>
    <cellStyle name="Comma 10 6 15 6" xfId="27223" xr:uid="{FB9CEC33-DDD9-476E-BD44-EA6189EFE8DA}"/>
    <cellStyle name="Comma 10 6 15 7" xfId="42476" xr:uid="{951C07AC-0508-47B6-878A-A1F8C1890F72}"/>
    <cellStyle name="Comma 10 6 15 8" xfId="43633" xr:uid="{790C7E26-E930-4EDF-8F8D-BC93A1E3DB73}"/>
    <cellStyle name="Comma 10 6 16" xfId="6262" xr:uid="{A0CFB911-8021-428B-9C86-68045CA6E627}"/>
    <cellStyle name="Comma 10 6 16 2" xfId="6263" xr:uid="{1188B807-9DE9-4A2A-8B28-671FED18A588}"/>
    <cellStyle name="Comma 10 6 16 2 2" xfId="6264" xr:uid="{2DED8130-5673-4724-B688-610EA607FBBB}"/>
    <cellStyle name="Comma 10 6 16 2 3" xfId="27224" xr:uid="{865860AB-CEC7-496C-ADE0-F216E50302A7}"/>
    <cellStyle name="Comma 10 6 16 2 4" xfId="27225" xr:uid="{8C2A1D14-D38D-44BE-95C9-E06F58B5C792}"/>
    <cellStyle name="Comma 10 6 16 2 5" xfId="27226" xr:uid="{F6CFDB92-92AF-40D4-B58B-41889CBA7582}"/>
    <cellStyle name="Comma 10 6 16 3" xfId="6265" xr:uid="{0FA5F498-DC7C-425B-9783-3C1F310C9D76}"/>
    <cellStyle name="Comma 10 6 16 4" xfId="27227" xr:uid="{B7B75F57-12A6-4217-B28E-DDB488F197A6}"/>
    <cellStyle name="Comma 10 6 16 5" xfId="27228" xr:uid="{FDF66417-EDD0-4A9C-8C61-8ADC3A90ED93}"/>
    <cellStyle name="Comma 10 6 16 6" xfId="27229" xr:uid="{A86E2A8D-CD1A-450B-AC71-6C68A22486C7}"/>
    <cellStyle name="Comma 10 6 16 7" xfId="42477" xr:uid="{3192994F-4438-4BBD-ACA0-D2F740B9C74C}"/>
    <cellStyle name="Comma 10 6 16 8" xfId="43634" xr:uid="{538A295B-1A81-4EA7-831C-E668DC34069A}"/>
    <cellStyle name="Comma 10 6 17" xfId="6266" xr:uid="{4DEC2A12-8F8C-40FF-A05B-FF80C28043C6}"/>
    <cellStyle name="Comma 10 6 17 2" xfId="6267" xr:uid="{ADF29469-4E8B-4350-B1B3-13D3F7C98BB4}"/>
    <cellStyle name="Comma 10 6 17 2 2" xfId="6268" xr:uid="{A1B930E8-77A4-49C2-800B-849E23A31200}"/>
    <cellStyle name="Comma 10 6 17 2 3" xfId="27230" xr:uid="{B83F3F35-2914-48C7-A5CE-04C20C3E6CE6}"/>
    <cellStyle name="Comma 10 6 17 2 4" xfId="27231" xr:uid="{6F503538-DD9E-44EC-87BC-29AA0935F885}"/>
    <cellStyle name="Comma 10 6 17 2 5" xfId="27232" xr:uid="{1BA9ED58-29CB-46F3-9FAA-6A08514E3BE9}"/>
    <cellStyle name="Comma 10 6 17 3" xfId="6269" xr:uid="{23B51E5D-4A01-42D9-AC2B-31CD533CDD72}"/>
    <cellStyle name="Comma 10 6 17 4" xfId="27233" xr:uid="{6A94DFAD-BFD0-4088-ABCB-12506611E1F6}"/>
    <cellStyle name="Comma 10 6 17 5" xfId="27234" xr:uid="{EDA03A67-03A2-4112-A3DC-A9F576322AF9}"/>
    <cellStyle name="Comma 10 6 17 6" xfId="27235" xr:uid="{AC7D0253-809E-40AB-9EB3-EF84779AB257}"/>
    <cellStyle name="Comma 10 6 17 7" xfId="42478" xr:uid="{9AE9045E-28E3-4E03-ACE7-6996CF8A2D8F}"/>
    <cellStyle name="Comma 10 6 17 8" xfId="43635" xr:uid="{BC7C7FFD-068D-48E2-82E7-97D3F37481E3}"/>
    <cellStyle name="Comma 10 6 18" xfId="6270" xr:uid="{807429CE-1645-4D9C-94E3-84EAA139A454}"/>
    <cellStyle name="Comma 10 6 18 2" xfId="6271" xr:uid="{8514E9AD-68EA-4C63-BA60-93B3A4412656}"/>
    <cellStyle name="Comma 10 6 18 3" xfId="27236" xr:uid="{71B88254-D6EA-4BA3-8D22-CBF0BFA6D8D2}"/>
    <cellStyle name="Comma 10 6 18 4" xfId="27237" xr:uid="{DA4E32F4-091C-4A4C-8061-ED249D79C0B0}"/>
    <cellStyle name="Comma 10 6 18 5" xfId="27238" xr:uid="{3AF4F561-724A-403A-B3EB-2EAF0C6B592C}"/>
    <cellStyle name="Comma 10 6 19" xfId="6272" xr:uid="{E923E175-B504-49C1-95F6-1E2095B67526}"/>
    <cellStyle name="Comma 10 6 2" xfId="6273" xr:uid="{419BD188-2F03-41E8-A983-C663F8CE0DD5}"/>
    <cellStyle name="Comma 10 6 2 2" xfId="6274" xr:uid="{69FEFC24-D4E0-42B2-879C-A4EF2EEE47A8}"/>
    <cellStyle name="Comma 10 6 2 2 2" xfId="6275" xr:uid="{2FB0B97F-92E2-4F2D-899D-691E6E5E30AD}"/>
    <cellStyle name="Comma 10 6 2 2 3" xfId="27239" xr:uid="{3F38EE52-F947-4938-924E-B5F10C1F5E01}"/>
    <cellStyle name="Comma 10 6 2 2 4" xfId="27240" xr:uid="{E873E228-71C3-4A38-9B54-51EB197A7DF5}"/>
    <cellStyle name="Comma 10 6 2 2 5" xfId="27241" xr:uid="{97B70E5D-F25E-4C98-A6F8-83FB36DF4FDC}"/>
    <cellStyle name="Comma 10 6 2 3" xfId="6276" xr:uid="{9D0332A3-3AE6-46EC-BF07-2E4D28C20DE0}"/>
    <cellStyle name="Comma 10 6 2 4" xfId="27242" xr:uid="{8E604BF5-89B4-42BB-8026-BED61EC69B95}"/>
    <cellStyle name="Comma 10 6 2 5" xfId="27243" xr:uid="{4BAF334F-7246-4DCC-A84C-0764FA1F18EE}"/>
    <cellStyle name="Comma 10 6 2 6" xfId="27244" xr:uid="{2F8CC221-891D-4B99-9905-864AD4FEAA6F}"/>
    <cellStyle name="Comma 10 6 2 7" xfId="42479" xr:uid="{F004CBA6-AA42-468B-B02C-D2C637D27A97}"/>
    <cellStyle name="Comma 10 6 2 8" xfId="43636" xr:uid="{93BEC23F-3543-4997-9D06-FEC3C4CD3F49}"/>
    <cellStyle name="Comma 10 6 20" xfId="27245" xr:uid="{9E9BB3A7-0996-40A7-977C-8400A115E2BA}"/>
    <cellStyle name="Comma 10 6 21" xfId="27246" xr:uid="{D576EB73-DBC7-4EDD-9613-ED7D81E134B5}"/>
    <cellStyle name="Comma 10 6 22" xfId="27247" xr:uid="{02DEA7DF-37E0-4891-ABF3-AF80A87A8227}"/>
    <cellStyle name="Comma 10 6 23" xfId="42470" xr:uid="{8FF7AE99-1A25-4910-BF47-DF23E46FE95A}"/>
    <cellStyle name="Comma 10 6 24" xfId="43627" xr:uid="{740774CC-FB02-4692-8FD8-8207BADB6016}"/>
    <cellStyle name="Comma 10 6 3" xfId="6277" xr:uid="{AE3F62CA-07F4-47F9-B071-DCB92C80AE94}"/>
    <cellStyle name="Comma 10 6 3 2" xfId="6278" xr:uid="{89C17740-F6D7-4EE6-A962-DC1FDCFBBB12}"/>
    <cellStyle name="Comma 10 6 3 2 2" xfId="6279" xr:uid="{A891629A-4F90-4B6E-8CA6-853A41D18473}"/>
    <cellStyle name="Comma 10 6 3 2 3" xfId="27248" xr:uid="{3420066D-7E44-44CD-81BA-743C71B26246}"/>
    <cellStyle name="Comma 10 6 3 2 4" xfId="27249" xr:uid="{F6D137E0-EE4E-496E-A102-FA3C86213C2B}"/>
    <cellStyle name="Comma 10 6 3 2 5" xfId="27250" xr:uid="{F2B70569-82C0-4F2A-B7CC-C354DCC47A7D}"/>
    <cellStyle name="Comma 10 6 3 3" xfId="6280" xr:uid="{55327EFE-FAD6-458B-AE03-956AA46A0116}"/>
    <cellStyle name="Comma 10 6 3 4" xfId="27251" xr:uid="{395031CE-89A4-4099-AA6F-4ABD7A3190E3}"/>
    <cellStyle name="Comma 10 6 3 5" xfId="27252" xr:uid="{B083A0F6-9D20-4343-A678-11980E2B7FC1}"/>
    <cellStyle name="Comma 10 6 3 6" xfId="27253" xr:uid="{FD2C6A9E-0BC6-4473-92B8-FAE40D1ACB4C}"/>
    <cellStyle name="Comma 10 6 3 7" xfId="42480" xr:uid="{69BDF02E-6686-4796-9F47-781F8304C5FB}"/>
    <cellStyle name="Comma 10 6 3 8" xfId="43637" xr:uid="{0B34D9EE-5FEB-479B-B85D-2EC61C70125B}"/>
    <cellStyle name="Comma 10 6 4" xfId="6281" xr:uid="{3BA211AD-BEA3-477B-83C3-3F032E95D830}"/>
    <cellStyle name="Comma 10 6 4 2" xfId="6282" xr:uid="{7DE7D4AA-9990-47BA-89F2-630E023C2B61}"/>
    <cellStyle name="Comma 10 6 4 2 2" xfId="6283" xr:uid="{E51D1BA2-F0CB-482E-8D8D-12B7A278AF36}"/>
    <cellStyle name="Comma 10 6 4 2 3" xfId="27254" xr:uid="{D3FD092E-8CCF-41C4-9538-7E473DF818AC}"/>
    <cellStyle name="Comma 10 6 4 2 4" xfId="27255" xr:uid="{2E635552-13BB-4B95-BDBF-1A0E703224F3}"/>
    <cellStyle name="Comma 10 6 4 2 5" xfId="27256" xr:uid="{4861D3F6-6A68-4249-82DD-6FA0DFDBBD2B}"/>
    <cellStyle name="Comma 10 6 4 3" xfId="6284" xr:uid="{02664372-9A59-476D-80BC-E76ECFAC40DC}"/>
    <cellStyle name="Comma 10 6 4 4" xfId="27257" xr:uid="{B399990F-3543-475A-B555-843DCA49B5F4}"/>
    <cellStyle name="Comma 10 6 4 5" xfId="27258" xr:uid="{0F0F068B-C499-48F9-A203-7D9982526B84}"/>
    <cellStyle name="Comma 10 6 4 6" xfId="27259" xr:uid="{52F8468D-3AAE-4433-8EAE-CEA4EE939862}"/>
    <cellStyle name="Comma 10 6 4 7" xfId="42481" xr:uid="{6EA95E7E-3367-4BAB-9157-D92E951B88B1}"/>
    <cellStyle name="Comma 10 6 4 8" xfId="43638" xr:uid="{F7E1CC06-2F73-4507-A2E0-A2A1E8245D8F}"/>
    <cellStyle name="Comma 10 6 5" xfId="6285" xr:uid="{0B0788B8-7518-4BE6-914F-A4BEB66288D3}"/>
    <cellStyle name="Comma 10 6 5 2" xfId="6286" xr:uid="{056DE4E8-BA16-4996-A2E1-279B2B43E83C}"/>
    <cellStyle name="Comma 10 6 5 2 2" xfId="6287" xr:uid="{03E91BC6-9CDE-4272-AB08-6BD533D97979}"/>
    <cellStyle name="Comma 10 6 5 2 3" xfId="27260" xr:uid="{E55E06D8-04C4-4751-A154-A5802F239671}"/>
    <cellStyle name="Comma 10 6 5 2 4" xfId="27261" xr:uid="{2338483E-679D-436D-80C5-0EA13B61EE50}"/>
    <cellStyle name="Comma 10 6 5 2 5" xfId="27262" xr:uid="{2B60B684-6C3C-492B-BF72-7289136176EE}"/>
    <cellStyle name="Comma 10 6 5 3" xfId="6288" xr:uid="{1654E478-333F-4C08-8089-1C0710587658}"/>
    <cellStyle name="Comma 10 6 5 4" xfId="27263" xr:uid="{59F8E131-F39E-459B-9187-DD7FC82E45DC}"/>
    <cellStyle name="Comma 10 6 5 5" xfId="27264" xr:uid="{2C2A3E33-8EE6-499B-85DC-9C686F9F2DEB}"/>
    <cellStyle name="Comma 10 6 5 6" xfId="27265" xr:uid="{67286844-6480-443F-BE00-192A58142067}"/>
    <cellStyle name="Comma 10 6 5 7" xfId="42482" xr:uid="{DA6AFBE0-0360-4D3C-8AF3-7A2AA8E3F47C}"/>
    <cellStyle name="Comma 10 6 5 8" xfId="43639" xr:uid="{B68D42C4-3161-4044-9742-B9C999947C36}"/>
    <cellStyle name="Comma 10 6 6" xfId="6289" xr:uid="{87341617-5AF8-47C5-B0BF-8FABA430D0E2}"/>
    <cellStyle name="Comma 10 6 6 2" xfId="6290" xr:uid="{FEABAF33-3926-4CEB-AE8B-F0391D2ADA30}"/>
    <cellStyle name="Comma 10 6 6 2 2" xfId="6291" xr:uid="{2807915A-6EA5-4927-B9EB-F56076BD2690}"/>
    <cellStyle name="Comma 10 6 6 2 3" xfId="27266" xr:uid="{19F4E3DE-4BBF-4950-AB94-66A510D7885C}"/>
    <cellStyle name="Comma 10 6 6 2 4" xfId="27267" xr:uid="{B15E21DE-2572-4F83-A213-209BF24E4E79}"/>
    <cellStyle name="Comma 10 6 6 2 5" xfId="27268" xr:uid="{099F033C-2C80-43F4-BEDE-EEFD50D0F332}"/>
    <cellStyle name="Comma 10 6 6 3" xfId="6292" xr:uid="{34012C04-D7A0-426C-BC78-DB02822ABDC5}"/>
    <cellStyle name="Comma 10 6 6 4" xfId="27269" xr:uid="{E3A9AFB6-57E9-4E2F-B32F-60D3C3E0D54A}"/>
    <cellStyle name="Comma 10 6 6 5" xfId="27270" xr:uid="{33FEDC88-8BFF-41C0-B2A5-A4C65777A557}"/>
    <cellStyle name="Comma 10 6 6 6" xfId="27271" xr:uid="{24C2A5E1-41D1-4BFE-B355-F6E2A7F789A6}"/>
    <cellStyle name="Comma 10 6 6 7" xfId="42483" xr:uid="{BA39C6B1-5FC2-4692-B3E0-31614D70945E}"/>
    <cellStyle name="Comma 10 6 6 8" xfId="43640" xr:uid="{F5A2D47E-A526-46C7-92E9-1FF558F1AB2D}"/>
    <cellStyle name="Comma 10 6 7" xfId="6293" xr:uid="{F982C969-6270-4712-A51B-2236728E5EE7}"/>
    <cellStyle name="Comma 10 6 7 2" xfId="6294" xr:uid="{4C54B7FE-84A0-417B-A6CE-14BA8CA82E60}"/>
    <cellStyle name="Comma 10 6 7 2 2" xfId="6295" xr:uid="{1F4D25BD-1B97-463C-84AD-1A54B66EE273}"/>
    <cellStyle name="Comma 10 6 7 2 3" xfId="27272" xr:uid="{E05E2992-F723-4C32-B8A9-64541C3BE60E}"/>
    <cellStyle name="Comma 10 6 7 2 4" xfId="27273" xr:uid="{CA5E79F8-2CAD-4807-BF0F-E7CF67FF4ECE}"/>
    <cellStyle name="Comma 10 6 7 2 5" xfId="27274" xr:uid="{50A1AA75-4341-4EDA-9609-8752B1E478F6}"/>
    <cellStyle name="Comma 10 6 7 3" xfId="6296" xr:uid="{F337FA47-5C60-4984-9201-918A2A12CA16}"/>
    <cellStyle name="Comma 10 6 7 4" xfId="27275" xr:uid="{96C10E55-532B-47B1-8C79-58D1EE1B8F13}"/>
    <cellStyle name="Comma 10 6 7 5" xfId="27276" xr:uid="{BBCD8CE1-558C-4B04-B761-7F02FAF6F657}"/>
    <cellStyle name="Comma 10 6 7 6" xfId="27277" xr:uid="{45A13089-433E-46AF-A924-DBF4A25F5236}"/>
    <cellStyle name="Comma 10 6 7 7" xfId="42484" xr:uid="{23242070-B804-4836-9C8F-A04499540186}"/>
    <cellStyle name="Comma 10 6 7 8" xfId="43641" xr:uid="{F84E39C8-FFDA-4E59-BB74-43EC8A64CC9A}"/>
    <cellStyle name="Comma 10 6 8" xfId="6297" xr:uid="{EC02CF08-2B90-4E3A-A792-CA45A7289976}"/>
    <cellStyle name="Comma 10 6 8 2" xfId="6298" xr:uid="{A5FAB01A-C37E-40AA-9374-E3029D3BEEE5}"/>
    <cellStyle name="Comma 10 6 8 2 2" xfId="6299" xr:uid="{1C281CBE-ABB9-40A8-B993-9E7098777184}"/>
    <cellStyle name="Comma 10 6 8 2 3" xfId="27278" xr:uid="{DDCC510C-0473-4623-AFDB-757F9D6935F7}"/>
    <cellStyle name="Comma 10 6 8 2 4" xfId="27279" xr:uid="{F908B91D-F0B0-402D-B1BD-3FE4804052FF}"/>
    <cellStyle name="Comma 10 6 8 2 5" xfId="27280" xr:uid="{55F95652-8F4F-4B3E-B86A-2FA1351772D8}"/>
    <cellStyle name="Comma 10 6 8 3" xfId="6300" xr:uid="{C15AB25B-CCCE-4932-AE2D-E63BCEF7DC6A}"/>
    <cellStyle name="Comma 10 6 8 4" xfId="27281" xr:uid="{8827AA4A-F80D-421E-87AD-30C7924AB7DC}"/>
    <cellStyle name="Comma 10 6 8 5" xfId="27282" xr:uid="{3CF56755-EB9A-4363-99D9-49AD0DA0E3F0}"/>
    <cellStyle name="Comma 10 6 8 6" xfId="27283" xr:uid="{64B456A0-3BAE-4238-9142-1A3134538C5B}"/>
    <cellStyle name="Comma 10 6 8 7" xfId="42485" xr:uid="{5B3ADCCD-4B7E-44B6-978C-9E5FDC7E2751}"/>
    <cellStyle name="Comma 10 6 8 8" xfId="43642" xr:uid="{2580D39C-D1D0-4593-8E3F-656E4B8442C5}"/>
    <cellStyle name="Comma 10 6 9" xfId="6301" xr:uid="{57E6EAB0-9FAA-4F18-89ED-13EF68D7D901}"/>
    <cellStyle name="Comma 10 6 9 2" xfId="6302" xr:uid="{524E6CE6-1C6D-4F8F-940B-EFCCC5E55811}"/>
    <cellStyle name="Comma 10 6 9 2 2" xfId="6303" xr:uid="{CE811198-9A68-402E-B59A-355F0AA50144}"/>
    <cellStyle name="Comma 10 6 9 2 3" xfId="27284" xr:uid="{DA2FD888-5506-4AEA-84E2-331092959AEC}"/>
    <cellStyle name="Comma 10 6 9 2 4" xfId="27285" xr:uid="{9F227F8F-599B-469D-9ADE-BE6BE81E516A}"/>
    <cellStyle name="Comma 10 6 9 2 5" xfId="27286" xr:uid="{A58A594E-5F72-4190-8D3F-D8353B1B186E}"/>
    <cellStyle name="Comma 10 6 9 3" xfId="6304" xr:uid="{38967252-4D33-4A0F-B6AE-723A800BB353}"/>
    <cellStyle name="Comma 10 6 9 4" xfId="27287" xr:uid="{CA4F8D5B-9F5B-47DD-81D2-BE874673F9E8}"/>
    <cellStyle name="Comma 10 6 9 5" xfId="27288" xr:uid="{EA22F9AF-2BF5-464C-B8C9-C0E2645A4603}"/>
    <cellStyle name="Comma 10 6 9 6" xfId="27289" xr:uid="{4BF7EB20-303F-4281-80C8-1C4418DC3DA2}"/>
    <cellStyle name="Comma 10 6 9 7" xfId="42486" xr:uid="{09A0FD53-32D7-4F8A-A80A-3E77E129549A}"/>
    <cellStyle name="Comma 10 6 9 8" xfId="43643" xr:uid="{0D31C193-993D-4D6D-ADEA-F3E7940F4560}"/>
    <cellStyle name="Comma 10 7" xfId="6305" xr:uid="{6EBEA035-178F-4EF8-89FC-6AF92864C3CB}"/>
    <cellStyle name="Comma 10 7 10" xfId="6306" xr:uid="{FFF19B89-0442-4F23-827B-EE823A8E28F6}"/>
    <cellStyle name="Comma 10 7 10 2" xfId="6307" xr:uid="{9965F195-2441-4199-BB73-BBD6D3D63A70}"/>
    <cellStyle name="Comma 10 7 10 2 2" xfId="6308" xr:uid="{89496B18-E840-4DEF-BF52-0EC1FFEB02B8}"/>
    <cellStyle name="Comma 10 7 10 2 3" xfId="27290" xr:uid="{35E5288F-5CF2-4E8C-8D7F-EF63D26A5114}"/>
    <cellStyle name="Comma 10 7 10 2 4" xfId="27291" xr:uid="{137D304D-E07A-45BD-AB15-B82CE4D26D63}"/>
    <cellStyle name="Comma 10 7 10 2 5" xfId="27292" xr:uid="{0CE223A7-CD32-4122-BC52-ED94B48D9522}"/>
    <cellStyle name="Comma 10 7 10 3" xfId="6309" xr:uid="{E16150A6-5C6D-4F47-92D7-65B98F654EF2}"/>
    <cellStyle name="Comma 10 7 10 4" xfId="27293" xr:uid="{583E74BC-5C93-40F5-8E9D-A191D14A510C}"/>
    <cellStyle name="Comma 10 7 10 5" xfId="27294" xr:uid="{79FB8646-662C-449F-B687-DCB984B1D8AE}"/>
    <cellStyle name="Comma 10 7 10 6" xfId="27295" xr:uid="{5187932A-401B-45CF-9C3D-51F13A24D062}"/>
    <cellStyle name="Comma 10 7 10 7" xfId="42488" xr:uid="{94B2EFB2-59C1-4CF9-937E-C45B64067380}"/>
    <cellStyle name="Comma 10 7 10 8" xfId="43645" xr:uid="{CF64231F-D144-408D-BD7F-3D67186B5351}"/>
    <cellStyle name="Comma 10 7 11" xfId="6310" xr:uid="{BCE742B0-270D-4619-8617-7D7DE90000DE}"/>
    <cellStyle name="Comma 10 7 11 2" xfId="6311" xr:uid="{263D2293-FA21-4597-B422-72166BE6066D}"/>
    <cellStyle name="Comma 10 7 11 2 2" xfId="6312" xr:uid="{E04FC9D1-1F17-452D-A34B-2389433915A4}"/>
    <cellStyle name="Comma 10 7 11 2 3" xfId="27296" xr:uid="{82DD935F-9CA7-4911-A6CB-DDE815F627C0}"/>
    <cellStyle name="Comma 10 7 11 2 4" xfId="27297" xr:uid="{3A454246-C266-4D6E-85AD-E3D2DF66DC1C}"/>
    <cellStyle name="Comma 10 7 11 2 5" xfId="27298" xr:uid="{3331F269-25D4-4BA0-BB58-A44F1B13D4D4}"/>
    <cellStyle name="Comma 10 7 11 3" xfId="6313" xr:uid="{F628A125-2751-449A-9EAC-04C9C11A673A}"/>
    <cellStyle name="Comma 10 7 11 4" xfId="27299" xr:uid="{BDB27CE0-9445-4E7F-8CDB-2802250C19D6}"/>
    <cellStyle name="Comma 10 7 11 5" xfId="27300" xr:uid="{CA394E2A-DC84-4188-99B0-730F8CAFA7CC}"/>
    <cellStyle name="Comma 10 7 11 6" xfId="27301" xr:uid="{5C7CC992-1587-480E-A7D3-7F1D1C8F4099}"/>
    <cellStyle name="Comma 10 7 11 7" xfId="42489" xr:uid="{B211A0AC-7166-41BF-92AB-DBB07BF022BA}"/>
    <cellStyle name="Comma 10 7 11 8" xfId="43646" xr:uid="{7624A2EB-DCF5-4858-A0A9-DDDA28E71B32}"/>
    <cellStyle name="Comma 10 7 12" xfId="6314" xr:uid="{C29AA142-1090-4738-B6C8-AF57193E1A7A}"/>
    <cellStyle name="Comma 10 7 12 2" xfId="6315" xr:uid="{EEE5C0C7-79B4-4004-AF4E-AFF25F742C0E}"/>
    <cellStyle name="Comma 10 7 12 2 2" xfId="6316" xr:uid="{23480961-DD9A-42EB-A943-6FDA45320FF8}"/>
    <cellStyle name="Comma 10 7 12 2 3" xfId="27302" xr:uid="{EFD70289-D296-4205-9452-03E6F2BAD78A}"/>
    <cellStyle name="Comma 10 7 12 2 4" xfId="27303" xr:uid="{E6C7A377-62CB-4350-B095-4C589D0A3CB2}"/>
    <cellStyle name="Comma 10 7 12 2 5" xfId="27304" xr:uid="{C030DAC1-43C9-4CF8-8531-B0B55D9A5876}"/>
    <cellStyle name="Comma 10 7 12 3" xfId="6317" xr:uid="{C10BC53E-3316-4C0D-B001-9480686F4376}"/>
    <cellStyle name="Comma 10 7 12 4" xfId="27305" xr:uid="{E57AF551-E9D5-4B22-A8C9-5BDDBE7FE72E}"/>
    <cellStyle name="Comma 10 7 12 5" xfId="27306" xr:uid="{5DF4282A-A37D-4BBC-9F24-56783D823104}"/>
    <cellStyle name="Comma 10 7 12 6" xfId="27307" xr:uid="{402D788C-4D59-40A2-A815-55ABCA93D757}"/>
    <cellStyle name="Comma 10 7 12 7" xfId="42490" xr:uid="{836FE553-AEA1-4208-8598-AF9973871A38}"/>
    <cellStyle name="Comma 10 7 12 8" xfId="43647" xr:uid="{52F1B80B-3AEA-4E3A-B6D2-75F1E53095A4}"/>
    <cellStyle name="Comma 10 7 13" xfId="6318" xr:uid="{35D32226-FE98-45F8-9324-49C3966A9C4F}"/>
    <cellStyle name="Comma 10 7 13 2" xfId="6319" xr:uid="{066FE385-B444-4825-AC75-DF2BBA0C5FC4}"/>
    <cellStyle name="Comma 10 7 13 2 2" xfId="6320" xr:uid="{5F3CED72-925F-4DAD-A9B7-F6FE18099E1E}"/>
    <cellStyle name="Comma 10 7 13 2 3" xfId="27308" xr:uid="{312A7B14-0CE2-455C-A5CE-0DCAA28EEDD3}"/>
    <cellStyle name="Comma 10 7 13 2 4" xfId="27309" xr:uid="{A29BC059-B268-406C-B575-50943CBF9CF6}"/>
    <cellStyle name="Comma 10 7 13 2 5" xfId="27310" xr:uid="{A92CE15E-F35C-4155-A4C3-B38F80D54324}"/>
    <cellStyle name="Comma 10 7 13 3" xfId="6321" xr:uid="{7E39BEE9-2BED-475C-90BB-E70C5BDB8049}"/>
    <cellStyle name="Comma 10 7 13 4" xfId="27311" xr:uid="{0A48D345-499E-49F5-BF36-C45472304137}"/>
    <cellStyle name="Comma 10 7 13 5" xfId="27312" xr:uid="{DC600CBF-AE27-4AFB-B0AC-18A527338A3F}"/>
    <cellStyle name="Comma 10 7 13 6" xfId="27313" xr:uid="{2D5740FF-B88A-4261-9AE8-36632B68106E}"/>
    <cellStyle name="Comma 10 7 13 7" xfId="42491" xr:uid="{AEE06167-6622-4CB7-8CA8-8794BC184794}"/>
    <cellStyle name="Comma 10 7 13 8" xfId="43648" xr:uid="{88A544C1-8DE8-4564-B1EA-849D58164231}"/>
    <cellStyle name="Comma 10 7 14" xfId="6322" xr:uid="{152CDF9A-DE04-45E4-8AEE-9166857BDD04}"/>
    <cellStyle name="Comma 10 7 14 2" xfId="6323" xr:uid="{A3F0E4E3-6A33-4045-B4E7-35DED2B4C640}"/>
    <cellStyle name="Comma 10 7 14 2 2" xfId="6324" xr:uid="{2E2CBF24-E56B-43ED-B1CF-16F03F241428}"/>
    <cellStyle name="Comma 10 7 14 2 3" xfId="27314" xr:uid="{F3947147-4E05-4415-B9E3-1A3586462FF5}"/>
    <cellStyle name="Comma 10 7 14 2 4" xfId="27315" xr:uid="{F969A0D1-BCFC-45BA-9018-47656BA59A5A}"/>
    <cellStyle name="Comma 10 7 14 2 5" xfId="27316" xr:uid="{AB7F184F-39A6-47E8-B5A3-F629A292DB13}"/>
    <cellStyle name="Comma 10 7 14 3" xfId="6325" xr:uid="{BA0E0167-4DD6-41FB-ABFC-1EACDFE41838}"/>
    <cellStyle name="Comma 10 7 14 4" xfId="27317" xr:uid="{60406638-15D2-480D-842A-691735998D09}"/>
    <cellStyle name="Comma 10 7 14 5" xfId="27318" xr:uid="{DE148D9A-F217-44C4-A935-325BA030A76E}"/>
    <cellStyle name="Comma 10 7 14 6" xfId="27319" xr:uid="{7226FF8C-C604-49D4-BEBB-D9F73067E87E}"/>
    <cellStyle name="Comma 10 7 14 7" xfId="42492" xr:uid="{1E8B682C-3834-478A-AFB3-4D2707AEED45}"/>
    <cellStyle name="Comma 10 7 14 8" xfId="43649" xr:uid="{588E43D0-C9E3-4263-8415-469B9E72ACB7}"/>
    <cellStyle name="Comma 10 7 15" xfId="6326" xr:uid="{8C96216D-AFC8-4B8B-9841-F31F8D1ABFB5}"/>
    <cellStyle name="Comma 10 7 15 2" xfId="6327" xr:uid="{2287B217-4EA0-4FC7-ADEA-CDCBDB8710BF}"/>
    <cellStyle name="Comma 10 7 15 2 2" xfId="6328" xr:uid="{7205BE9B-BAD3-4C87-8B08-81C5F3107BD0}"/>
    <cellStyle name="Comma 10 7 15 2 3" xfId="27320" xr:uid="{FA6CE3D5-D0D4-42D7-A24C-FF48CB0FA455}"/>
    <cellStyle name="Comma 10 7 15 2 4" xfId="27321" xr:uid="{1EDABAF5-B2DC-4532-8A7A-5FA11714C4CA}"/>
    <cellStyle name="Comma 10 7 15 2 5" xfId="27322" xr:uid="{F9E336F4-8B1E-4B56-A244-682D03A18C32}"/>
    <cellStyle name="Comma 10 7 15 3" xfId="6329" xr:uid="{36005109-63D8-4405-BF62-CD1544D4F6C6}"/>
    <cellStyle name="Comma 10 7 15 4" xfId="27323" xr:uid="{23EDBFE3-E131-4645-8B48-06997B490861}"/>
    <cellStyle name="Comma 10 7 15 5" xfId="27324" xr:uid="{516D7897-B6C1-407B-AA87-F7392048789B}"/>
    <cellStyle name="Comma 10 7 15 6" xfId="27325" xr:uid="{C9C2778C-48E2-483E-9CB7-DFFBC4C2166B}"/>
    <cellStyle name="Comma 10 7 15 7" xfId="42493" xr:uid="{10C28E40-56E3-4689-AC07-B954622F7368}"/>
    <cellStyle name="Comma 10 7 15 8" xfId="43650" xr:uid="{23DC9FD2-92C6-41F9-B137-317BE060A20F}"/>
    <cellStyle name="Comma 10 7 16" xfId="6330" xr:uid="{BA4F21CA-DEB8-4358-B362-C11C2C4E951A}"/>
    <cellStyle name="Comma 10 7 16 2" xfId="6331" xr:uid="{290445BF-5473-49A7-8BDF-01546BE3DF89}"/>
    <cellStyle name="Comma 10 7 16 2 2" xfId="6332" xr:uid="{306A0FFC-D55A-4311-BCE7-06EFA9683EC3}"/>
    <cellStyle name="Comma 10 7 16 2 3" xfId="27326" xr:uid="{2A2E0B6E-124C-4F49-8B66-5D9A8A5B0AB1}"/>
    <cellStyle name="Comma 10 7 16 2 4" xfId="27327" xr:uid="{5F87B139-94A3-4277-B672-BD1D8347984D}"/>
    <cellStyle name="Comma 10 7 16 2 5" xfId="27328" xr:uid="{24AA485F-6DCD-4A16-973F-AAC86A1C301D}"/>
    <cellStyle name="Comma 10 7 16 3" xfId="6333" xr:uid="{E0CDAEB8-A9F4-4F80-9D83-F60656A3BC2E}"/>
    <cellStyle name="Comma 10 7 16 4" xfId="27329" xr:uid="{01246F5E-AE02-4BE5-AA34-666E0A83D8EC}"/>
    <cellStyle name="Comma 10 7 16 5" xfId="27330" xr:uid="{94AD8D4B-DD8D-4F8D-94C4-57B711D32CD3}"/>
    <cellStyle name="Comma 10 7 16 6" xfId="27331" xr:uid="{4606B412-B1B8-4E29-9BF6-D2D221BB1A0D}"/>
    <cellStyle name="Comma 10 7 16 7" xfId="42494" xr:uid="{9CAE0055-8131-407D-BF29-5E492CE95B93}"/>
    <cellStyle name="Comma 10 7 16 8" xfId="43651" xr:uid="{4BA95FCC-5973-41F4-94CF-AF1B0264A2DA}"/>
    <cellStyle name="Comma 10 7 17" xfId="6334" xr:uid="{692A3C23-EFC4-4606-9C75-A138BA3078B2}"/>
    <cellStyle name="Comma 10 7 17 2" xfId="6335" xr:uid="{F9C06036-95A1-4DD1-A4F6-8C2F55C5BE68}"/>
    <cellStyle name="Comma 10 7 17 2 2" xfId="6336" xr:uid="{D8FFC37D-AA34-4168-8E5C-151CBE5A44C5}"/>
    <cellStyle name="Comma 10 7 17 2 3" xfId="27332" xr:uid="{E243FD84-86DE-4F9B-B103-8EB7FCA4E955}"/>
    <cellStyle name="Comma 10 7 17 2 4" xfId="27333" xr:uid="{7E9348E5-89C8-4F8F-83D9-F56BDFD16AB2}"/>
    <cellStyle name="Comma 10 7 17 2 5" xfId="27334" xr:uid="{B416AAD9-7FC6-4AE9-A01F-A6030C1BA162}"/>
    <cellStyle name="Comma 10 7 17 3" xfId="6337" xr:uid="{D010383A-9DAE-4F31-BE0F-B12AF45C5C37}"/>
    <cellStyle name="Comma 10 7 17 4" xfId="27335" xr:uid="{1B3AF6FB-0913-48A0-9E9B-236083F48E54}"/>
    <cellStyle name="Comma 10 7 17 5" xfId="27336" xr:uid="{57F22029-1481-4199-BADD-9F092B1E3F97}"/>
    <cellStyle name="Comma 10 7 17 6" xfId="27337" xr:uid="{67ACFC38-46E6-4D4B-BFF6-AEA33355EC1D}"/>
    <cellStyle name="Comma 10 7 17 7" xfId="42495" xr:uid="{2C746F47-6F64-48B8-836C-3F11168992B3}"/>
    <cellStyle name="Comma 10 7 17 8" xfId="43652" xr:uid="{252537A3-0F9E-4039-946D-0D5B4F8D0B96}"/>
    <cellStyle name="Comma 10 7 18" xfId="6338" xr:uid="{F38268D1-E6B6-44D8-B4B4-8D3560676895}"/>
    <cellStyle name="Comma 10 7 18 2" xfId="6339" xr:uid="{C4A3DD43-786D-484E-AF2B-010EC352BE9A}"/>
    <cellStyle name="Comma 10 7 18 3" xfId="27338" xr:uid="{B0D5FC8B-E23F-4480-8276-22606E0B61A3}"/>
    <cellStyle name="Comma 10 7 18 4" xfId="27339" xr:uid="{6EC9D346-3224-4BDF-A92D-8EC0B1F73C8B}"/>
    <cellStyle name="Comma 10 7 18 5" xfId="27340" xr:uid="{A9BAD249-2C33-4658-BB7D-45AD07A995E1}"/>
    <cellStyle name="Comma 10 7 19" xfId="6340" xr:uid="{AF6CD4A7-AECB-44EE-9A04-B16B481C8CF9}"/>
    <cellStyle name="Comma 10 7 2" xfId="6341" xr:uid="{C5041224-AEB0-4DF1-8100-2DC4F3512A65}"/>
    <cellStyle name="Comma 10 7 2 2" xfId="6342" xr:uid="{3B66839E-165E-44AD-BEC1-5A931F14AEF1}"/>
    <cellStyle name="Comma 10 7 2 2 2" xfId="6343" xr:uid="{951F2937-CB50-48BD-BDB4-05E6BD4B0E3C}"/>
    <cellStyle name="Comma 10 7 2 2 3" xfId="27341" xr:uid="{A0FE9098-D3E6-422A-91A0-2E8B3A9DE746}"/>
    <cellStyle name="Comma 10 7 2 2 4" xfId="27342" xr:uid="{4951D3DD-E463-460C-B0DA-B62F3149622A}"/>
    <cellStyle name="Comma 10 7 2 2 5" xfId="27343" xr:uid="{A1811802-71DA-4F6D-847D-27B3C9451E32}"/>
    <cellStyle name="Comma 10 7 2 3" xfId="6344" xr:uid="{1AB74F4C-29F5-44DB-8203-23E9CB8002D0}"/>
    <cellStyle name="Comma 10 7 2 4" xfId="27344" xr:uid="{CD64DFDA-2677-4CFA-A8A0-92A31F2FBF15}"/>
    <cellStyle name="Comma 10 7 2 5" xfId="27345" xr:uid="{7B0CECA7-401E-4372-9A85-DA84BA61B156}"/>
    <cellStyle name="Comma 10 7 2 6" xfId="27346" xr:uid="{1B7819D5-35E0-4568-9570-7E88EFF435B0}"/>
    <cellStyle name="Comma 10 7 2 7" xfId="42496" xr:uid="{A6E9731C-5BAA-4F8F-913F-3511C10B3F4A}"/>
    <cellStyle name="Comma 10 7 2 8" xfId="43653" xr:uid="{81250B6C-F29C-43CC-836F-DD6C61574868}"/>
    <cellStyle name="Comma 10 7 20" xfId="27347" xr:uid="{4C04E1CB-7483-41D8-9E37-7648AC7FF4F0}"/>
    <cellStyle name="Comma 10 7 21" xfId="27348" xr:uid="{DB2B82AE-17EB-44CC-88BB-39C60170FEFD}"/>
    <cellStyle name="Comma 10 7 22" xfId="27349" xr:uid="{B7E386B0-1BB7-415A-8C49-2D6980FE68AF}"/>
    <cellStyle name="Comma 10 7 23" xfId="42487" xr:uid="{B3A192CA-2570-439F-AC6E-3681FE3A0251}"/>
    <cellStyle name="Comma 10 7 24" xfId="43644" xr:uid="{2C45F3AD-FF36-4B48-83BC-D8FA5036D581}"/>
    <cellStyle name="Comma 10 7 3" xfId="6345" xr:uid="{36A2ABF6-45EF-4ECF-B8DF-859B0C2EBB55}"/>
    <cellStyle name="Comma 10 7 3 2" xfId="6346" xr:uid="{7D2F8876-3C50-49DA-A8ED-B1B3CB01CA29}"/>
    <cellStyle name="Comma 10 7 3 2 2" xfId="6347" xr:uid="{2F0E7D5E-9457-4628-9649-7980E753148D}"/>
    <cellStyle name="Comma 10 7 3 2 3" xfId="27350" xr:uid="{27DF94C5-1610-4C86-B041-AA8D67772F91}"/>
    <cellStyle name="Comma 10 7 3 2 4" xfId="27351" xr:uid="{EB693C35-9471-429B-BF36-D2CB9D9AB2A8}"/>
    <cellStyle name="Comma 10 7 3 2 5" xfId="27352" xr:uid="{E23BF8E1-B0B6-464D-8485-4A5857E8858E}"/>
    <cellStyle name="Comma 10 7 3 3" xfId="6348" xr:uid="{4C89CEAB-3328-40B4-B887-B9CF09A30AF1}"/>
    <cellStyle name="Comma 10 7 3 4" xfId="27353" xr:uid="{54575B1D-5848-4EC5-835C-3FD7C5418E26}"/>
    <cellStyle name="Comma 10 7 3 5" xfId="27354" xr:uid="{60352254-7391-48F3-BAF0-9C8D29119D1F}"/>
    <cellStyle name="Comma 10 7 3 6" xfId="27355" xr:uid="{E317C9CC-35CD-44B9-BDC3-1E39CE5BB988}"/>
    <cellStyle name="Comma 10 7 3 7" xfId="42497" xr:uid="{DFA76929-FF06-4574-864C-BBD3C129DC0A}"/>
    <cellStyle name="Comma 10 7 3 8" xfId="43654" xr:uid="{A7A790EB-059A-432E-BEE7-EAC6488D1076}"/>
    <cellStyle name="Comma 10 7 4" xfId="6349" xr:uid="{ADDEBAB4-CF7C-429C-A43C-9C141BA61F32}"/>
    <cellStyle name="Comma 10 7 4 2" xfId="6350" xr:uid="{741BA42E-ADD8-465B-90BF-BFCCB8E0EE61}"/>
    <cellStyle name="Comma 10 7 4 2 2" xfId="6351" xr:uid="{4C737821-2295-4CC0-B92A-685F49C79E79}"/>
    <cellStyle name="Comma 10 7 4 2 3" xfId="27356" xr:uid="{FBB35B86-074E-478F-A010-ECE264CEB82C}"/>
    <cellStyle name="Comma 10 7 4 2 4" xfId="27357" xr:uid="{3D584041-D308-4983-9400-F341A2F7D539}"/>
    <cellStyle name="Comma 10 7 4 2 5" xfId="27358" xr:uid="{0032A5B6-3E9A-42B3-BCCC-D485E4DF442F}"/>
    <cellStyle name="Comma 10 7 4 3" xfId="6352" xr:uid="{D51F7A1E-40A2-460C-8211-A0FF6FD5A12F}"/>
    <cellStyle name="Comma 10 7 4 4" xfId="27359" xr:uid="{8A828550-52A4-4BF4-834B-DC50722E1508}"/>
    <cellStyle name="Comma 10 7 4 5" xfId="27360" xr:uid="{B8BA0B3D-BA0A-4312-9076-DD3E47C8F538}"/>
    <cellStyle name="Comma 10 7 4 6" xfId="27361" xr:uid="{FCB603A4-316C-419A-9BA3-7CF1BE79A481}"/>
    <cellStyle name="Comma 10 7 4 7" xfId="42498" xr:uid="{36D3FD1F-A941-4B89-B65C-B3148ED71B63}"/>
    <cellStyle name="Comma 10 7 4 8" xfId="43655" xr:uid="{FD4F7CFB-C304-45D1-9F37-83B464C0B601}"/>
    <cellStyle name="Comma 10 7 5" xfId="6353" xr:uid="{68AD0DA4-CC24-4406-BBB7-F03B4321700F}"/>
    <cellStyle name="Comma 10 7 5 2" xfId="6354" xr:uid="{DEE42781-62E4-4979-A989-26C29774D0FB}"/>
    <cellStyle name="Comma 10 7 5 2 2" xfId="6355" xr:uid="{84D46A4B-B6AD-4FD5-904F-5429110C3E6B}"/>
    <cellStyle name="Comma 10 7 5 2 3" xfId="27362" xr:uid="{3E5572DB-2FA4-412D-A93A-94DAA235C400}"/>
    <cellStyle name="Comma 10 7 5 2 4" xfId="27363" xr:uid="{9440C643-C9F6-4905-A655-46CE2DB20CC0}"/>
    <cellStyle name="Comma 10 7 5 2 5" xfId="27364" xr:uid="{42FE4F39-B03B-43DD-ADA9-B049A05DED09}"/>
    <cellStyle name="Comma 10 7 5 3" xfId="6356" xr:uid="{AAF0203D-C2BB-4970-8FE3-4DA19DACFCAB}"/>
    <cellStyle name="Comma 10 7 5 4" xfId="27365" xr:uid="{709EDD05-922F-405F-8ED8-E5A94795CA5D}"/>
    <cellStyle name="Comma 10 7 5 5" xfId="27366" xr:uid="{556E68FD-48E9-4DDC-8958-A9EE108FA280}"/>
    <cellStyle name="Comma 10 7 5 6" xfId="27367" xr:uid="{59341768-C2B9-4C7D-AFE1-07F7C6FA40F3}"/>
    <cellStyle name="Comma 10 7 5 7" xfId="42499" xr:uid="{17F0D93C-35EB-4963-BF2C-272A27550874}"/>
    <cellStyle name="Comma 10 7 5 8" xfId="43656" xr:uid="{5E2E5F5A-F1DE-4FF7-A3F9-3132552D026C}"/>
    <cellStyle name="Comma 10 7 6" xfId="6357" xr:uid="{88755FB1-61C4-49B2-A952-15A3327EB7BE}"/>
    <cellStyle name="Comma 10 7 6 2" xfId="6358" xr:uid="{3D713D50-81CA-481A-A66A-BF5672683483}"/>
    <cellStyle name="Comma 10 7 6 2 2" xfId="6359" xr:uid="{7836EE3C-0EAF-45D2-BFA9-857126325FDA}"/>
    <cellStyle name="Comma 10 7 6 2 3" xfId="27368" xr:uid="{AD9BC450-7DFD-4C3B-BA92-4CB5F044EFBF}"/>
    <cellStyle name="Comma 10 7 6 2 4" xfId="27369" xr:uid="{519833F8-88BE-47EF-A0B5-D7BD0149F3B5}"/>
    <cellStyle name="Comma 10 7 6 2 5" xfId="27370" xr:uid="{3F567C19-7F5B-4DC3-91AE-7DCCDAE2ECC2}"/>
    <cellStyle name="Comma 10 7 6 3" xfId="6360" xr:uid="{89969E18-B03E-49C4-943E-C7DE9FBB30B6}"/>
    <cellStyle name="Comma 10 7 6 4" xfId="27371" xr:uid="{C1D1936D-46B5-4D27-B471-65E7A3EB1E9B}"/>
    <cellStyle name="Comma 10 7 6 5" xfId="27372" xr:uid="{737D22BA-B9A6-4DE4-992E-66BB3A6C45A0}"/>
    <cellStyle name="Comma 10 7 6 6" xfId="27373" xr:uid="{733E75D2-7FA7-40C2-BA8F-0BBD035475A6}"/>
    <cellStyle name="Comma 10 7 6 7" xfId="42500" xr:uid="{7F3E7E3A-252A-4742-BD5C-08D8481182D8}"/>
    <cellStyle name="Comma 10 7 6 8" xfId="43657" xr:uid="{203ED912-C8A8-46E5-974A-C0D1668BEAB0}"/>
    <cellStyle name="Comma 10 7 7" xfId="6361" xr:uid="{08D06AE0-B23E-4D00-9C54-D11A2776E03C}"/>
    <cellStyle name="Comma 10 7 7 2" xfId="6362" xr:uid="{CA9B08DF-D186-43E0-8A20-3CC10D6CFA0A}"/>
    <cellStyle name="Comma 10 7 7 2 2" xfId="6363" xr:uid="{51505434-FBBC-4A44-B8FA-FCA63D7B18D4}"/>
    <cellStyle name="Comma 10 7 7 2 3" xfId="27374" xr:uid="{FDC5200B-B3BF-4D23-AC3F-FA9CA1EA4389}"/>
    <cellStyle name="Comma 10 7 7 2 4" xfId="27375" xr:uid="{9CCB285F-7A2B-4EF6-9AA8-36822BCCA9EB}"/>
    <cellStyle name="Comma 10 7 7 2 5" xfId="27376" xr:uid="{B8951509-0759-4F29-AA4C-E50EBA2874A0}"/>
    <cellStyle name="Comma 10 7 7 3" xfId="6364" xr:uid="{ECE7926E-0E10-4342-A502-4828EBE29098}"/>
    <cellStyle name="Comma 10 7 7 4" xfId="27377" xr:uid="{FC5DD216-F898-471B-B7D7-A7C8DCE5E678}"/>
    <cellStyle name="Comma 10 7 7 5" xfId="27378" xr:uid="{06BF8396-2DD7-4FBE-B04D-E1E0B466F724}"/>
    <cellStyle name="Comma 10 7 7 6" xfId="27379" xr:uid="{E11E1A93-8BDF-4F78-A3BF-1250D23264B2}"/>
    <cellStyle name="Comma 10 7 7 7" xfId="42501" xr:uid="{4EFEFCE4-5085-46D6-B67A-4D60AED38945}"/>
    <cellStyle name="Comma 10 7 7 8" xfId="43658" xr:uid="{DEF8A97E-6730-45F6-A889-B9E17B20558A}"/>
    <cellStyle name="Comma 10 7 8" xfId="6365" xr:uid="{750D85F1-DCBA-454A-9FA1-AB6D003B9E0F}"/>
    <cellStyle name="Comma 10 7 8 2" xfId="6366" xr:uid="{E9DB8355-15DE-48DD-846D-58D4718628CD}"/>
    <cellStyle name="Comma 10 7 8 2 2" xfId="6367" xr:uid="{2CA8D57F-9840-47F6-BF17-F99B08C9CE46}"/>
    <cellStyle name="Comma 10 7 8 2 3" xfId="27380" xr:uid="{1632F4EB-368A-4325-94BF-CB9A5AF3F9C5}"/>
    <cellStyle name="Comma 10 7 8 2 4" xfId="27381" xr:uid="{225D090A-CF0E-4DBF-B0B1-DE17E3C0394B}"/>
    <cellStyle name="Comma 10 7 8 2 5" xfId="27382" xr:uid="{79324A4E-39E7-4F7D-B6FC-77A1248AB949}"/>
    <cellStyle name="Comma 10 7 8 3" xfId="6368" xr:uid="{956980CB-B93E-443E-862A-06C5E9F3904E}"/>
    <cellStyle name="Comma 10 7 8 4" xfId="27383" xr:uid="{6CEE2656-1342-4AA3-B0ED-4254FCBD7B1D}"/>
    <cellStyle name="Comma 10 7 8 5" xfId="27384" xr:uid="{777634DB-17FF-48BB-BCCE-EC8106EE54E9}"/>
    <cellStyle name="Comma 10 7 8 6" xfId="27385" xr:uid="{1DC2C71B-DB37-4C2D-BEB7-F386354E75DB}"/>
    <cellStyle name="Comma 10 7 8 7" xfId="42502" xr:uid="{60BF0EA5-0D90-4F06-9C2D-7674786D37EB}"/>
    <cellStyle name="Comma 10 7 8 8" xfId="43659" xr:uid="{8DDB6216-0D95-440F-8C32-3FAB59546004}"/>
    <cellStyle name="Comma 10 7 9" xfId="6369" xr:uid="{FA9752AD-BC96-4CD8-9F8F-2C57253E2EF8}"/>
    <cellStyle name="Comma 10 7 9 2" xfId="6370" xr:uid="{9E32AAE4-ADA7-4C4A-91BD-A458BE846D3A}"/>
    <cellStyle name="Comma 10 7 9 2 2" xfId="6371" xr:uid="{822F8CCD-71D3-48C1-9031-DE37F5881A1D}"/>
    <cellStyle name="Comma 10 7 9 2 3" xfId="27386" xr:uid="{FAEE1FAF-C38F-44D5-93B5-F1413AEBB130}"/>
    <cellStyle name="Comma 10 7 9 2 4" xfId="27387" xr:uid="{04D5CF7F-D523-4DD5-B9CA-2FFC06F46A16}"/>
    <cellStyle name="Comma 10 7 9 2 5" xfId="27388" xr:uid="{D7904374-B951-4846-B271-BA5ECBA82410}"/>
    <cellStyle name="Comma 10 7 9 3" xfId="6372" xr:uid="{FFD6F9BE-43A1-4997-AB6F-BE1D7DE7A5EA}"/>
    <cellStyle name="Comma 10 7 9 4" xfId="27389" xr:uid="{D5B42E73-C964-4525-9938-E97D839A6CAB}"/>
    <cellStyle name="Comma 10 7 9 5" xfId="27390" xr:uid="{045387E6-E1DE-419A-AE98-04FFE376CF7A}"/>
    <cellStyle name="Comma 10 7 9 6" xfId="27391" xr:uid="{13FA45C2-0129-42C4-BDC5-2C206B172673}"/>
    <cellStyle name="Comma 10 7 9 7" xfId="42503" xr:uid="{79B5983E-EFF5-4676-9461-33DB6752512C}"/>
    <cellStyle name="Comma 10 7 9 8" xfId="43660" xr:uid="{CE864088-753A-4BC3-B950-D67EBC74D1D5}"/>
    <cellStyle name="Comma 10 8" xfId="6373" xr:uid="{5CB7E65F-349C-4ECD-8789-7156A0C7DDDF}"/>
    <cellStyle name="Comma 10 8 10" xfId="6374" xr:uid="{B4DD71BA-29D9-4B0D-9DEB-51155C60F565}"/>
    <cellStyle name="Comma 10 8 10 2" xfId="6375" xr:uid="{62D06753-780F-4528-B90C-B4894AEAE5D5}"/>
    <cellStyle name="Comma 10 8 10 2 2" xfId="6376" xr:uid="{37FBB7DD-D007-40D5-814A-BEF10935DAF8}"/>
    <cellStyle name="Comma 10 8 10 2 3" xfId="27392" xr:uid="{06BB5F27-60EA-47CA-9D56-485F1C8FD1B6}"/>
    <cellStyle name="Comma 10 8 10 2 4" xfId="27393" xr:uid="{A49F2158-44B5-4FC9-BAC0-ADD2762C8BF6}"/>
    <cellStyle name="Comma 10 8 10 2 5" xfId="27394" xr:uid="{8EE45EAB-3807-4B9A-9EA3-C861E5DA9099}"/>
    <cellStyle name="Comma 10 8 10 3" xfId="6377" xr:uid="{B76AC03F-7CFB-4417-9FB9-47D9A54FD341}"/>
    <cellStyle name="Comma 10 8 10 4" xfId="27395" xr:uid="{DC23BD81-2E92-444F-A118-D50C964F3355}"/>
    <cellStyle name="Comma 10 8 10 5" xfId="27396" xr:uid="{7D155341-A0CB-4A12-9D36-4C3DB9018B55}"/>
    <cellStyle name="Comma 10 8 10 6" xfId="27397" xr:uid="{23A15373-9634-420D-94D2-59E82B7E16BE}"/>
    <cellStyle name="Comma 10 8 10 7" xfId="42505" xr:uid="{7860FE71-53FC-492A-9882-85910CD01829}"/>
    <cellStyle name="Comma 10 8 10 8" xfId="43662" xr:uid="{AB2BBDA2-677C-49F1-9659-79E8FD82CAE4}"/>
    <cellStyle name="Comma 10 8 11" xfId="6378" xr:uid="{045CAE2A-0B46-4CB9-8888-2FE86D236516}"/>
    <cellStyle name="Comma 10 8 11 2" xfId="6379" xr:uid="{1ED632C2-F402-4508-8339-BC20EFE0A694}"/>
    <cellStyle name="Comma 10 8 11 2 2" xfId="6380" xr:uid="{85DC5BA1-D53B-4583-B57A-D43D153477A0}"/>
    <cellStyle name="Comma 10 8 11 2 3" xfId="27398" xr:uid="{4425F338-7A75-4B2F-BF15-84E237F7E9E7}"/>
    <cellStyle name="Comma 10 8 11 2 4" xfId="27399" xr:uid="{00C5A3D7-E717-443A-8B5B-B5FCD55AFC3D}"/>
    <cellStyle name="Comma 10 8 11 2 5" xfId="27400" xr:uid="{ADAF6241-1C54-4A85-96E2-BD0ABF1A3C53}"/>
    <cellStyle name="Comma 10 8 11 3" xfId="6381" xr:uid="{B07F6DAB-C3AB-4B6E-BDB6-C0E5FDEC60E2}"/>
    <cellStyle name="Comma 10 8 11 4" xfId="27401" xr:uid="{915917C0-B1B0-4C6E-8AAC-05062C7DC52D}"/>
    <cellStyle name="Comma 10 8 11 5" xfId="27402" xr:uid="{4982831C-2613-4875-B278-D9E1D507CDED}"/>
    <cellStyle name="Comma 10 8 11 6" xfId="27403" xr:uid="{748CDE0A-A48F-4800-937C-810FF2CCCD03}"/>
    <cellStyle name="Comma 10 8 11 7" xfId="42506" xr:uid="{09EA00A6-218E-406E-BBE0-222490F1F5D4}"/>
    <cellStyle name="Comma 10 8 11 8" xfId="43663" xr:uid="{9398A6FA-6794-4052-88C4-7F752E266865}"/>
    <cellStyle name="Comma 10 8 12" xfId="6382" xr:uid="{7EFFF049-68D6-49FB-A762-E5B557778FEC}"/>
    <cellStyle name="Comma 10 8 12 2" xfId="6383" xr:uid="{CB8E9C61-3CA4-4AB8-8F59-661143668F07}"/>
    <cellStyle name="Comma 10 8 12 2 2" xfId="6384" xr:uid="{DD1DFE8E-86CB-46B6-9668-6E7BA679AF45}"/>
    <cellStyle name="Comma 10 8 12 2 3" xfId="27404" xr:uid="{CD53D9DE-4932-4B48-BEAC-31E286E5936A}"/>
    <cellStyle name="Comma 10 8 12 2 4" xfId="27405" xr:uid="{C829E6D5-D182-4C41-A5D3-24F5878BDC02}"/>
    <cellStyle name="Comma 10 8 12 2 5" xfId="27406" xr:uid="{825ADD8A-E5A3-4550-9F0D-61DDBA647C0A}"/>
    <cellStyle name="Comma 10 8 12 3" xfId="6385" xr:uid="{C51668B7-7CF5-41C8-9639-3725E79966D9}"/>
    <cellStyle name="Comma 10 8 12 4" xfId="27407" xr:uid="{107EAC75-1761-439C-AB74-AB0D42078D03}"/>
    <cellStyle name="Comma 10 8 12 5" xfId="27408" xr:uid="{3C4E515F-E5DB-4C64-94A3-18E49C837E92}"/>
    <cellStyle name="Comma 10 8 12 6" xfId="27409" xr:uid="{72097258-2FF6-45AF-83BE-F4C644921946}"/>
    <cellStyle name="Comma 10 8 12 7" xfId="42507" xr:uid="{6D60A058-D9BB-4F9A-A5B9-1FF924AA5AF7}"/>
    <cellStyle name="Comma 10 8 12 8" xfId="43664" xr:uid="{A2579EF7-4258-43B4-83AA-3E78EEEECD32}"/>
    <cellStyle name="Comma 10 8 13" xfId="6386" xr:uid="{9E5475C2-7097-43DA-971F-7C7CE15CDFD7}"/>
    <cellStyle name="Comma 10 8 13 2" xfId="6387" xr:uid="{ED281529-852E-4726-97DE-016CEBAD5D81}"/>
    <cellStyle name="Comma 10 8 13 2 2" xfId="6388" xr:uid="{C4FFF992-6C4D-4312-8D72-B726260D290F}"/>
    <cellStyle name="Comma 10 8 13 2 3" xfId="27410" xr:uid="{D3522DC0-9F4F-4510-B17C-54F4A07BA0C0}"/>
    <cellStyle name="Comma 10 8 13 2 4" xfId="27411" xr:uid="{E0D1FBE2-BAAE-4D05-B8AE-645AA5B0AEFA}"/>
    <cellStyle name="Comma 10 8 13 2 5" xfId="27412" xr:uid="{959428BF-2DF7-468C-A73E-753CE4D683A0}"/>
    <cellStyle name="Comma 10 8 13 3" xfId="6389" xr:uid="{D14517B8-7FBE-4901-B3EE-B8884183BCEF}"/>
    <cellStyle name="Comma 10 8 13 4" xfId="27413" xr:uid="{681D3A4C-62EE-4E85-A451-F444B2AC1F88}"/>
    <cellStyle name="Comma 10 8 13 5" xfId="27414" xr:uid="{D819A250-1D7B-4D7E-BF64-483840D87EE6}"/>
    <cellStyle name="Comma 10 8 13 6" xfId="27415" xr:uid="{44CB3016-3CB5-4625-81B4-92EB791EF87D}"/>
    <cellStyle name="Comma 10 8 13 7" xfId="42508" xr:uid="{09A501BC-8905-47B9-BB63-2398D2290CEA}"/>
    <cellStyle name="Comma 10 8 13 8" xfId="43665" xr:uid="{A26B7267-B38A-49AC-9580-5D25D498F6A9}"/>
    <cellStyle name="Comma 10 8 14" xfId="6390" xr:uid="{BECFB1A1-5BF4-4962-9679-E230CE500E46}"/>
    <cellStyle name="Comma 10 8 14 2" xfId="6391" xr:uid="{726E5483-58DA-4331-8AFA-32242F728C67}"/>
    <cellStyle name="Comma 10 8 14 2 2" xfId="6392" xr:uid="{1E7C0E6F-E715-430B-979D-43388FFF4D91}"/>
    <cellStyle name="Comma 10 8 14 2 3" xfId="27416" xr:uid="{FBA8326A-6E54-4A3D-9C5D-CE31C40E0766}"/>
    <cellStyle name="Comma 10 8 14 2 4" xfId="27417" xr:uid="{AC9C0624-0EA6-4BF3-91BE-E8237A785FD0}"/>
    <cellStyle name="Comma 10 8 14 2 5" xfId="27418" xr:uid="{B215D61E-AB85-464E-8764-AE69F23220E7}"/>
    <cellStyle name="Comma 10 8 14 3" xfId="6393" xr:uid="{ED492869-F421-45FF-B89E-ED1D41EB2E58}"/>
    <cellStyle name="Comma 10 8 14 4" xfId="27419" xr:uid="{877C0761-EA35-4710-A58C-0ABF01B81F59}"/>
    <cellStyle name="Comma 10 8 14 5" xfId="27420" xr:uid="{F97D9B5A-262F-4856-BBF3-29C6BDCA43CD}"/>
    <cellStyle name="Comma 10 8 14 6" xfId="27421" xr:uid="{30F34390-DDE2-45A2-917A-D1CB7ECB6B7D}"/>
    <cellStyle name="Comma 10 8 14 7" xfId="42509" xr:uid="{03B60844-3DB7-4D3A-9C0D-AF44991C9E52}"/>
    <cellStyle name="Comma 10 8 14 8" xfId="43666" xr:uid="{D8486830-A4F9-4C84-B6C2-66D9C8021EF6}"/>
    <cellStyle name="Comma 10 8 15" xfId="6394" xr:uid="{E141417F-26B3-4168-9AFC-1AF4DEA75D5C}"/>
    <cellStyle name="Comma 10 8 15 2" xfId="6395" xr:uid="{10823546-D302-4E8C-96C7-7211317C3523}"/>
    <cellStyle name="Comma 10 8 15 2 2" xfId="6396" xr:uid="{FB4C773D-430B-4DA3-AD6C-9475658BD203}"/>
    <cellStyle name="Comma 10 8 15 2 3" xfId="27422" xr:uid="{EE2C5515-C88A-4826-AF4D-B58D6D2B7780}"/>
    <cellStyle name="Comma 10 8 15 2 4" xfId="27423" xr:uid="{E33B2D5C-83BF-480D-80AB-2724DF46E779}"/>
    <cellStyle name="Comma 10 8 15 2 5" xfId="27424" xr:uid="{439E19A0-3FDF-4D27-9BBE-6C828E34355C}"/>
    <cellStyle name="Comma 10 8 15 3" xfId="6397" xr:uid="{67988F3B-B039-4076-B1AB-ADB18905770D}"/>
    <cellStyle name="Comma 10 8 15 4" xfId="27425" xr:uid="{BA7F782B-24F5-4771-998E-134B0C61B8A4}"/>
    <cellStyle name="Comma 10 8 15 5" xfId="27426" xr:uid="{5C857D3A-6E9E-46A5-9189-89F26F5D78BB}"/>
    <cellStyle name="Comma 10 8 15 6" xfId="27427" xr:uid="{C4BD0E8C-6ADA-4E16-AB3A-188971B5AB4E}"/>
    <cellStyle name="Comma 10 8 15 7" xfId="42510" xr:uid="{3E33A352-1D4B-4DC3-9597-D015D590387F}"/>
    <cellStyle name="Comma 10 8 15 8" xfId="43667" xr:uid="{52961391-5AFB-456D-94EE-A22ABEBEFFD6}"/>
    <cellStyle name="Comma 10 8 16" xfId="6398" xr:uid="{D27EDF98-74FC-4D2E-BCA0-6DA14E4A8C9C}"/>
    <cellStyle name="Comma 10 8 16 2" xfId="6399" xr:uid="{459ED928-EA62-4617-8D21-41B4C68C1C59}"/>
    <cellStyle name="Comma 10 8 16 2 2" xfId="6400" xr:uid="{B4D24DBF-D333-4EB8-A24F-78DCA2D0AE1B}"/>
    <cellStyle name="Comma 10 8 16 2 3" xfId="27428" xr:uid="{94E0B1DA-8D2C-4203-8D17-B2E74F03C9D0}"/>
    <cellStyle name="Comma 10 8 16 2 4" xfId="27429" xr:uid="{615AE60A-AEED-481A-8BBC-1D3E2CDEFD8B}"/>
    <cellStyle name="Comma 10 8 16 2 5" xfId="27430" xr:uid="{B3EA65B0-AC61-4BC3-B854-A6D1D5FD869F}"/>
    <cellStyle name="Comma 10 8 16 3" xfId="6401" xr:uid="{4C9A669C-77F7-4C81-BDC8-4E8963CE3297}"/>
    <cellStyle name="Comma 10 8 16 4" xfId="27431" xr:uid="{0073EF8A-BCEE-4F64-B932-738F70091D7C}"/>
    <cellStyle name="Comma 10 8 16 5" xfId="27432" xr:uid="{45F5568C-88B8-4875-AAE9-82F3F2FDE875}"/>
    <cellStyle name="Comma 10 8 16 6" xfId="27433" xr:uid="{73AA1101-49C9-4EEF-9BAE-023FBC033168}"/>
    <cellStyle name="Comma 10 8 16 7" xfId="42511" xr:uid="{25341438-8A58-4E4E-94C1-0C632FD814DD}"/>
    <cellStyle name="Comma 10 8 16 8" xfId="43668" xr:uid="{BD142E5C-A1E3-435A-BBFF-6C51688DBB2B}"/>
    <cellStyle name="Comma 10 8 17" xfId="6402" xr:uid="{C4ACC148-D797-4D4F-9A06-CCCA0DE77071}"/>
    <cellStyle name="Comma 10 8 17 2" xfId="6403" xr:uid="{114B4B09-057A-4659-B292-E0CD5CA16EC1}"/>
    <cellStyle name="Comma 10 8 17 2 2" xfId="6404" xr:uid="{53404AB4-FAB6-4570-986F-B207E6ACA7A6}"/>
    <cellStyle name="Comma 10 8 17 2 3" xfId="27434" xr:uid="{D4F8284F-CDC3-44BB-BE19-8A5EE2E433F1}"/>
    <cellStyle name="Comma 10 8 17 2 4" xfId="27435" xr:uid="{3B5E557B-37E1-4EC8-8156-7CCA3BD8C5D6}"/>
    <cellStyle name="Comma 10 8 17 2 5" xfId="27436" xr:uid="{999FDD1F-8D38-4D7B-8677-D6DF305531D7}"/>
    <cellStyle name="Comma 10 8 17 3" xfId="6405" xr:uid="{04B6BC1B-C0E7-48F3-ADAD-F1B0D8647623}"/>
    <cellStyle name="Comma 10 8 17 4" xfId="27437" xr:uid="{23782654-6133-48B0-95BC-484EF414BE27}"/>
    <cellStyle name="Comma 10 8 17 5" xfId="27438" xr:uid="{78BDAFF2-1FE8-4C4D-AEB0-D8DA6371EBC8}"/>
    <cellStyle name="Comma 10 8 17 6" xfId="27439" xr:uid="{0F753DAE-C11A-411B-B7CD-B6BC19F7A26D}"/>
    <cellStyle name="Comma 10 8 17 7" xfId="42512" xr:uid="{148A83ED-6DF3-4BEC-A5E8-17F5B61233DF}"/>
    <cellStyle name="Comma 10 8 17 8" xfId="43669" xr:uid="{D338FFC8-C1E1-4918-BCDE-82D071F11B97}"/>
    <cellStyle name="Comma 10 8 18" xfId="6406" xr:uid="{88B0673F-3EAB-4B7A-93C5-09FA0F7792F6}"/>
    <cellStyle name="Comma 10 8 18 2" xfId="6407" xr:uid="{5A6B5EED-7D57-43A2-BD63-A84EB7F3B675}"/>
    <cellStyle name="Comma 10 8 18 3" xfId="27440" xr:uid="{9066E7FB-1F76-4515-8737-17979A393A00}"/>
    <cellStyle name="Comma 10 8 18 4" xfId="27441" xr:uid="{C043AC0B-CC79-4544-A46D-72C4FABBD1A4}"/>
    <cellStyle name="Comma 10 8 18 5" xfId="27442" xr:uid="{1594AA14-C520-4323-8E8D-314BE83BD6C7}"/>
    <cellStyle name="Comma 10 8 19" xfId="6408" xr:uid="{88ED4918-02A5-47D9-BB48-710B4B2E3B79}"/>
    <cellStyle name="Comma 10 8 2" xfId="6409" xr:uid="{A78463B8-32C4-4745-BB25-5C39F74B5F84}"/>
    <cellStyle name="Comma 10 8 2 2" xfId="6410" xr:uid="{BE79F3D1-B2EF-47D0-92E2-37CDF54B2F42}"/>
    <cellStyle name="Comma 10 8 2 2 2" xfId="6411" xr:uid="{7439C815-3222-49C1-8027-AC3861789867}"/>
    <cellStyle name="Comma 10 8 2 2 3" xfId="27443" xr:uid="{BAC842C9-155A-4290-A13A-476C6FC0BEF3}"/>
    <cellStyle name="Comma 10 8 2 2 4" xfId="27444" xr:uid="{E0FD896E-4D8A-48ED-A6B5-5695D2B60D1A}"/>
    <cellStyle name="Comma 10 8 2 2 5" xfId="27445" xr:uid="{C2D9B2A2-774E-4392-9B9F-1BAC1D36BC21}"/>
    <cellStyle name="Comma 10 8 2 3" xfId="6412" xr:uid="{B65DC5EB-ECD5-4FFE-BFB8-D3981EFFF04F}"/>
    <cellStyle name="Comma 10 8 2 4" xfId="27446" xr:uid="{FC73F8AB-BF9F-4D34-B649-20067563A893}"/>
    <cellStyle name="Comma 10 8 2 5" xfId="27447" xr:uid="{62D3B971-4799-424B-8975-B632967540D6}"/>
    <cellStyle name="Comma 10 8 2 6" xfId="27448" xr:uid="{21F9D321-5F52-40F1-BBA4-D4FDEACC6A6D}"/>
    <cellStyle name="Comma 10 8 2 7" xfId="42513" xr:uid="{65CC1FAB-3D26-4373-A4AD-9359DF951AD6}"/>
    <cellStyle name="Comma 10 8 2 8" xfId="43670" xr:uid="{9BC308EF-5D1A-428F-B6A1-116578C0DE50}"/>
    <cellStyle name="Comma 10 8 20" xfId="27449" xr:uid="{E562001B-232D-45AD-A3D8-9323D67C41C7}"/>
    <cellStyle name="Comma 10 8 21" xfId="27450" xr:uid="{0423AD22-DC41-4829-95F9-2B8B12999A63}"/>
    <cellStyle name="Comma 10 8 22" xfId="27451" xr:uid="{10ABE0DC-D12B-42FC-BEF2-F483777ACF32}"/>
    <cellStyle name="Comma 10 8 23" xfId="42504" xr:uid="{2F91BC85-E5D1-410C-ABA2-C446EB40ECAA}"/>
    <cellStyle name="Comma 10 8 24" xfId="43661" xr:uid="{890E46DE-8096-4EAA-82F0-950107ECB061}"/>
    <cellStyle name="Comma 10 8 3" xfId="6413" xr:uid="{AD091019-3934-456F-8C7A-DB3231DC66F0}"/>
    <cellStyle name="Comma 10 8 3 2" xfId="6414" xr:uid="{2402A981-770F-4F36-9DF8-B3D80368E127}"/>
    <cellStyle name="Comma 10 8 3 2 2" xfId="6415" xr:uid="{8BB1F69C-CBE7-41E7-8130-453B5D61A92D}"/>
    <cellStyle name="Comma 10 8 3 2 3" xfId="27452" xr:uid="{A01E303A-0430-476D-8273-143D5B26E2C9}"/>
    <cellStyle name="Comma 10 8 3 2 4" xfId="27453" xr:uid="{85AF42F7-FF51-4992-80AA-CB53E73C3BA6}"/>
    <cellStyle name="Comma 10 8 3 2 5" xfId="27454" xr:uid="{3999EADC-81FA-4342-ACF2-B07041FF3D88}"/>
    <cellStyle name="Comma 10 8 3 3" xfId="6416" xr:uid="{9E52EC43-C166-4C00-90D2-BDE686E3700B}"/>
    <cellStyle name="Comma 10 8 3 4" xfId="27455" xr:uid="{319B7845-F64B-421E-91B2-7D091AF9EB25}"/>
    <cellStyle name="Comma 10 8 3 5" xfId="27456" xr:uid="{5F50F131-7B5F-4094-9CEF-B5E52AC283A7}"/>
    <cellStyle name="Comma 10 8 3 6" xfId="27457" xr:uid="{07226132-6B55-46F6-813C-29BAB947A310}"/>
    <cellStyle name="Comma 10 8 3 7" xfId="42514" xr:uid="{76198E8A-FC9E-4656-A5FB-B5B27DE39DC6}"/>
    <cellStyle name="Comma 10 8 3 8" xfId="43671" xr:uid="{FDCF8C81-364E-473C-84E1-94E5E148B3A8}"/>
    <cellStyle name="Comma 10 8 4" xfId="6417" xr:uid="{11FE3E24-B126-4F2E-BD4A-305ED3147865}"/>
    <cellStyle name="Comma 10 8 4 2" xfId="6418" xr:uid="{721F6D1C-74CD-4D16-9663-635EA07F42A4}"/>
    <cellStyle name="Comma 10 8 4 2 2" xfId="6419" xr:uid="{C6D22A3C-756F-46F2-AC2B-E9A8241A9441}"/>
    <cellStyle name="Comma 10 8 4 2 3" xfId="27458" xr:uid="{7BDD640E-7A7D-4112-BAF1-492C2FA87DF7}"/>
    <cellStyle name="Comma 10 8 4 2 4" xfId="27459" xr:uid="{F59A5854-BDEC-4937-A5FF-D1624D367696}"/>
    <cellStyle name="Comma 10 8 4 2 5" xfId="27460" xr:uid="{691DD3D9-B757-4A28-9E63-055BCB021786}"/>
    <cellStyle name="Comma 10 8 4 3" xfId="6420" xr:uid="{73F380FD-5C4F-4A69-825B-CEE6427DF9AB}"/>
    <cellStyle name="Comma 10 8 4 4" xfId="27461" xr:uid="{AE6A2590-4FA0-4FB1-99B1-A68548DAE05A}"/>
    <cellStyle name="Comma 10 8 4 5" xfId="27462" xr:uid="{2D582E56-4CC0-4864-A934-B95095851E31}"/>
    <cellStyle name="Comma 10 8 4 6" xfId="27463" xr:uid="{95CCB836-E7F2-4DAE-B39D-69A2A7BA196F}"/>
    <cellStyle name="Comma 10 8 4 7" xfId="42515" xr:uid="{3BACFF37-275F-4A2A-AA1F-AD2D2D9E76D4}"/>
    <cellStyle name="Comma 10 8 4 8" xfId="43672" xr:uid="{FE1F8831-461E-402E-8D36-3F3900799647}"/>
    <cellStyle name="Comma 10 8 5" xfId="6421" xr:uid="{1C7AEB69-3D8C-4635-A7A0-3868DE9E9B6E}"/>
    <cellStyle name="Comma 10 8 5 2" xfId="6422" xr:uid="{FB9F10A0-46DE-4C5E-96D6-C4D0E65BA2D6}"/>
    <cellStyle name="Comma 10 8 5 2 2" xfId="6423" xr:uid="{1315BC85-C890-4A65-A898-A14C01D78674}"/>
    <cellStyle name="Comma 10 8 5 2 3" xfId="27464" xr:uid="{25739771-4059-4065-B9D1-852A301DEA3D}"/>
    <cellStyle name="Comma 10 8 5 2 4" xfId="27465" xr:uid="{4C8F0708-64E1-4946-97B4-1014BF1182E4}"/>
    <cellStyle name="Comma 10 8 5 2 5" xfId="27466" xr:uid="{9F8A1B74-A11E-4606-94D8-18827129E754}"/>
    <cellStyle name="Comma 10 8 5 3" xfId="6424" xr:uid="{3FE05757-DE4A-43A9-B788-A28009B0B03B}"/>
    <cellStyle name="Comma 10 8 5 4" xfId="27467" xr:uid="{859A09FF-6EFA-4CEE-97E0-89115507257E}"/>
    <cellStyle name="Comma 10 8 5 5" xfId="27468" xr:uid="{587383A0-F396-4926-8916-08AEB643737A}"/>
    <cellStyle name="Comma 10 8 5 6" xfId="27469" xr:uid="{BB02DAEF-D098-4C68-9B0C-CF2AB59D7F00}"/>
    <cellStyle name="Comma 10 8 5 7" xfId="42516" xr:uid="{F6BEB2D8-3866-4AF6-B171-35980E67D44E}"/>
    <cellStyle name="Comma 10 8 5 8" xfId="43673" xr:uid="{185F19BA-A5C2-4014-9BDB-0E43C0B08602}"/>
    <cellStyle name="Comma 10 8 6" xfId="6425" xr:uid="{C25EDCEB-F012-4312-BD75-431D3BB41267}"/>
    <cellStyle name="Comma 10 8 6 2" xfId="6426" xr:uid="{FE2D4883-07F7-4AC4-B862-0632564D2B8B}"/>
    <cellStyle name="Comma 10 8 6 2 2" xfId="6427" xr:uid="{F886A7BC-86A6-4A70-8C3C-0D968531FE17}"/>
    <cellStyle name="Comma 10 8 6 2 3" xfId="27470" xr:uid="{A822CE61-FB4B-4D65-AAC6-01890E2D4DEF}"/>
    <cellStyle name="Comma 10 8 6 2 4" xfId="27471" xr:uid="{12583825-7082-4B14-9AC5-81DEF373D831}"/>
    <cellStyle name="Comma 10 8 6 2 5" xfId="27472" xr:uid="{53D784D3-5988-48CD-8017-1F0A81961FB5}"/>
    <cellStyle name="Comma 10 8 6 3" xfId="6428" xr:uid="{DE008EF4-6D2A-4E57-A9E7-8F65C31008C9}"/>
    <cellStyle name="Comma 10 8 6 4" xfId="27473" xr:uid="{DDE1796B-EF14-4E93-94A3-674F21073083}"/>
    <cellStyle name="Comma 10 8 6 5" xfId="27474" xr:uid="{3A7C4FE4-94E4-4CB0-BC5D-6CCB9A9B16ED}"/>
    <cellStyle name="Comma 10 8 6 6" xfId="27475" xr:uid="{26A24B5F-B22E-43F4-A5C9-4D2F82A9F456}"/>
    <cellStyle name="Comma 10 8 6 7" xfId="42517" xr:uid="{02F6C647-C1D5-4B12-A08A-FF8EDF20E8D9}"/>
    <cellStyle name="Comma 10 8 6 8" xfId="43674" xr:uid="{94C483C8-1BFD-4C25-8BFD-D0A7C8D2ED97}"/>
    <cellStyle name="Comma 10 8 7" xfId="6429" xr:uid="{88BF8FE8-1DE5-40DE-A8A0-F1B27F804B86}"/>
    <cellStyle name="Comma 10 8 7 2" xfId="6430" xr:uid="{F11797FB-8A66-40F1-AADE-B476B061BEC8}"/>
    <cellStyle name="Comma 10 8 7 2 2" xfId="6431" xr:uid="{CAA6F249-BA07-409B-9E71-F6C87F0F912A}"/>
    <cellStyle name="Comma 10 8 7 2 3" xfId="27476" xr:uid="{13638A06-D5E7-427A-A921-EA777F16BD2E}"/>
    <cellStyle name="Comma 10 8 7 2 4" xfId="27477" xr:uid="{2A57F3F3-6CCC-4F5B-BB09-716027858698}"/>
    <cellStyle name="Comma 10 8 7 2 5" xfId="27478" xr:uid="{63C72983-66AE-4099-A3E8-1E54423037DB}"/>
    <cellStyle name="Comma 10 8 7 3" xfId="6432" xr:uid="{0791A104-7DCB-4FE1-98BC-C5B1EEA8F084}"/>
    <cellStyle name="Comma 10 8 7 4" xfId="27479" xr:uid="{F0E5C90E-76C7-42DC-A94D-3447759EEB40}"/>
    <cellStyle name="Comma 10 8 7 5" xfId="27480" xr:uid="{100A3F72-7A36-4077-A3D3-19C6467FBC6E}"/>
    <cellStyle name="Comma 10 8 7 6" xfId="27481" xr:uid="{EC42FAFA-6427-4719-A297-FB3ADD0CA966}"/>
    <cellStyle name="Comma 10 8 7 7" xfId="42518" xr:uid="{56C6BC79-8C27-4357-9976-0DD1983A2809}"/>
    <cellStyle name="Comma 10 8 7 8" xfId="43675" xr:uid="{8563AB0C-0C7E-4B7E-BE9B-600E010FD9A1}"/>
    <cellStyle name="Comma 10 8 8" xfId="6433" xr:uid="{A8BE32BF-6D1F-4F1D-AFF9-4BA7CC4CBADA}"/>
    <cellStyle name="Comma 10 8 8 2" xfId="6434" xr:uid="{8C2DC306-B5BC-43BC-A16A-DDDA955F3681}"/>
    <cellStyle name="Comma 10 8 8 2 2" xfId="6435" xr:uid="{7E4CF091-62B0-4E20-9C19-6684FE3A908D}"/>
    <cellStyle name="Comma 10 8 8 2 3" xfId="27482" xr:uid="{EA1E3427-0A3A-4F7F-9FCB-44C51E3C2906}"/>
    <cellStyle name="Comma 10 8 8 2 4" xfId="27483" xr:uid="{0FDA4E52-EAC2-4256-8E4D-8F7068300BB7}"/>
    <cellStyle name="Comma 10 8 8 2 5" xfId="27484" xr:uid="{3A228628-8469-4176-9994-8D8B910172CB}"/>
    <cellStyle name="Comma 10 8 8 3" xfId="6436" xr:uid="{C0F82A62-9EE1-4206-B0D1-E7BF98F61CC7}"/>
    <cellStyle name="Comma 10 8 8 4" xfId="27485" xr:uid="{D073153E-B59F-4BA7-8C37-83EFFAE7040F}"/>
    <cellStyle name="Comma 10 8 8 5" xfId="27486" xr:uid="{DA5ACCF5-6FC9-44D0-9AE5-5CAF8D1637AE}"/>
    <cellStyle name="Comma 10 8 8 6" xfId="27487" xr:uid="{3776FAB4-1844-4F00-8A2D-AD8753DBE975}"/>
    <cellStyle name="Comma 10 8 8 7" xfId="42519" xr:uid="{D8D48EB4-E748-42A4-98B8-4C476FFC87F5}"/>
    <cellStyle name="Comma 10 8 8 8" xfId="43676" xr:uid="{6A2883A9-BB80-4554-B2A9-089A9A439FA9}"/>
    <cellStyle name="Comma 10 8 9" xfId="6437" xr:uid="{E508B57B-6F83-41B8-ACC8-E11F998BC349}"/>
    <cellStyle name="Comma 10 8 9 2" xfId="6438" xr:uid="{A4F571F8-9027-4A25-9968-63F63E833116}"/>
    <cellStyle name="Comma 10 8 9 2 2" xfId="6439" xr:uid="{6FB09B77-9C55-49AB-BC77-26D56CA5E64B}"/>
    <cellStyle name="Comma 10 8 9 2 3" xfId="27488" xr:uid="{A27A2926-1223-4DC5-BE31-951E28D8D62B}"/>
    <cellStyle name="Comma 10 8 9 2 4" xfId="27489" xr:uid="{8F8556AE-804A-410D-A339-777585926C31}"/>
    <cellStyle name="Comma 10 8 9 2 5" xfId="27490" xr:uid="{A76CD295-F7A8-429E-9290-1EDA655652EC}"/>
    <cellStyle name="Comma 10 8 9 3" xfId="6440" xr:uid="{C1ACD913-C11F-46F3-BD3C-BD4AE325686F}"/>
    <cellStyle name="Comma 10 8 9 4" xfId="27491" xr:uid="{56C1DD77-5C8A-4A41-8061-9FF26B8AE310}"/>
    <cellStyle name="Comma 10 8 9 5" xfId="27492" xr:uid="{7C483753-6F71-4D38-9502-9E1DD9B040E8}"/>
    <cellStyle name="Comma 10 8 9 6" xfId="27493" xr:uid="{85C2D3E9-34A0-4B2F-A469-AE62A42A39AF}"/>
    <cellStyle name="Comma 10 8 9 7" xfId="42520" xr:uid="{889647CF-9D96-405B-A6A4-133887D66873}"/>
    <cellStyle name="Comma 10 8 9 8" xfId="43677" xr:uid="{59A67DA0-EC94-4137-9E37-0670B899915C}"/>
    <cellStyle name="Comma 10 9" xfId="6441" xr:uid="{13CF245F-96A2-41FE-AFD6-27AF175ABC61}"/>
    <cellStyle name="Comma 10 9 2" xfId="6442" xr:uid="{A232A33B-257D-4216-9F7A-4A62DBEB8DF3}"/>
    <cellStyle name="Comma 10 9 2 2" xfId="27494" xr:uid="{9685AA9D-DBBA-46A4-8A43-5122D74470A2}"/>
    <cellStyle name="Comma 10 9 3" xfId="27495" xr:uid="{FC37190A-65D9-44F1-88E4-27AE2C8C0833}"/>
    <cellStyle name="Comma 10 9 4" xfId="27496" xr:uid="{7E35D143-8D52-4859-BE9B-4F11FE50CBB1}"/>
    <cellStyle name="Comma 11" xfId="6443" xr:uid="{DB4D785C-88F8-42F0-837E-6C415BC0C6AC}"/>
    <cellStyle name="Comma 11 10" xfId="45929" xr:uid="{109CDB96-42B8-485F-993F-D2036559A9EA}"/>
    <cellStyle name="Comma 11 2" xfId="6444" xr:uid="{B8A65851-0B12-43B5-B726-F26F247E5FA5}"/>
    <cellStyle name="Comma 11 2 2" xfId="6445" xr:uid="{06F11617-5336-454B-8234-B0D06625302E}"/>
    <cellStyle name="Comma 11 2 2 2" xfId="27497" xr:uid="{773DD0DB-E034-4CD3-B9F9-24AF1DCEA5C9}"/>
    <cellStyle name="Comma 11 2 3" xfId="27498" xr:uid="{3B4B7392-EACB-4586-9D9F-2F42EEDAAE54}"/>
    <cellStyle name="Comma 11 2 4" xfId="27499" xr:uid="{51ACBA5E-13F2-438F-B497-299ACA2736DC}"/>
    <cellStyle name="Comma 11 2 5" xfId="45938" xr:uid="{C7AA4BEF-4B1B-4815-AD36-3D230A3E8DBF}"/>
    <cellStyle name="Comma 11 3" xfId="6446" xr:uid="{A793B350-18FF-434A-AB6C-B69216B5F148}"/>
    <cellStyle name="Comma 11 3 2" xfId="27500" xr:uid="{2F93E506-E098-4EC4-93C1-2FF3F7B75F89}"/>
    <cellStyle name="Comma 11 4" xfId="6447" xr:uid="{89ED2FA3-74EE-44AA-AAAB-9EECAC81F24F}"/>
    <cellStyle name="Comma 11 4 2" xfId="27501" xr:uid="{69CD0FCF-8278-43BF-BB47-9BDBA29FCA6F}"/>
    <cellStyle name="Comma 11 5" xfId="27502" xr:uid="{01175C4F-032C-4CBB-AD61-4C186953C918}"/>
    <cellStyle name="Comma 11 6" xfId="27503" xr:uid="{99E9FB72-84A4-488F-AE49-D40C221338EB}"/>
    <cellStyle name="Comma 11 7" xfId="27504" xr:uid="{25E70BCF-4A11-4EE6-B99D-2BAE2E638E28}"/>
    <cellStyle name="Comma 11 8" xfId="42521" xr:uid="{E215FB1E-F1E6-463C-BDFD-669B7739D6A9}"/>
    <cellStyle name="Comma 11 9" xfId="43678" xr:uid="{D4C18ED0-C7F5-408F-9E4F-D67231D8E70F}"/>
    <cellStyle name="Comma 12" xfId="55" xr:uid="{F4EE4B4C-204F-4198-BD83-3679CBE652C1}"/>
    <cellStyle name="Comma 12 2" xfId="6449" xr:uid="{9B419110-B9CE-4D10-844D-115275820C82}"/>
    <cellStyle name="Comma 12 2 2" xfId="6450" xr:uid="{21F7A7FA-2384-407A-BE10-D2674608FF26}"/>
    <cellStyle name="Comma 12 2 3" xfId="27505" xr:uid="{EEB454FD-91BD-46DE-929C-F4067DDF4BC7}"/>
    <cellStyle name="Comma 12 3" xfId="6451" xr:uid="{05EDBB5F-3C37-4205-87D0-4C4E445A679D}"/>
    <cellStyle name="Comma 12 3 2" xfId="27506" xr:uid="{730F76BA-A552-41B9-BDE0-048DC072A723}"/>
    <cellStyle name="Comma 12 4" xfId="6452" xr:uid="{7E80E8B8-6ACB-4A5F-B344-5B09C9DFFE39}"/>
    <cellStyle name="Comma 12 5" xfId="27507" xr:uid="{B20F0F91-1096-42F9-86B5-5F432343C183}"/>
    <cellStyle name="Comma 12 6" xfId="27508" xr:uid="{3B671EC8-25A7-4A94-8F1E-DAF7C67F1606}"/>
    <cellStyle name="Comma 12 7" xfId="42522" xr:uid="{91C602C3-F753-4ACC-83A3-EFE6FF0B5677}"/>
    <cellStyle name="Comma 12 8" xfId="43679" xr:uid="{0E127B60-8E93-46AE-984F-72F04DB5BABF}"/>
    <cellStyle name="Comma 12 9" xfId="6448" xr:uid="{21A18407-0A42-4C30-88AC-92EC5990BDE5}"/>
    <cellStyle name="Comma 13" xfId="6453" xr:uid="{2E3256E1-5D32-448B-A046-752C128CCC03}"/>
    <cellStyle name="Comma 13 2" xfId="6454" xr:uid="{6A1DB34F-6465-4163-A647-1C9BAE8E735C}"/>
    <cellStyle name="Comma 13 2 2" xfId="6455" xr:uid="{E2A072A9-1BFE-4BF9-A895-1E78E64BDB35}"/>
    <cellStyle name="Comma 13 2 3" xfId="27509" xr:uid="{60DE280B-B962-4753-BE9F-9C5A9F51573B}"/>
    <cellStyle name="Comma 13 3" xfId="6456" xr:uid="{924CD178-F8B7-4630-A5FD-FA80A1732159}"/>
    <cellStyle name="Comma 13 3 2" xfId="27510" xr:uid="{8DA6C268-E8EC-4CF4-8B6D-77EF00F4569A}"/>
    <cellStyle name="Comma 13 4" xfId="6457" xr:uid="{7C8151A1-3D64-4447-9DFF-1B81D1716A02}"/>
    <cellStyle name="Comma 13 5" xfId="27511" xr:uid="{C12BC51C-D72F-45A2-B2AB-BBF9B7E672C6}"/>
    <cellStyle name="Comma 13 6" xfId="27512" xr:uid="{48B94397-B39E-43ED-8611-7D3A7CE8FEB6}"/>
    <cellStyle name="Comma 13 7" xfId="42523" xr:uid="{B8467216-C51F-4D4E-B070-CD45C12DB237}"/>
    <cellStyle name="Comma 13 8" xfId="43680" xr:uid="{6F0BFD09-CE9D-4B85-AFBC-EBC9573A3118}"/>
    <cellStyle name="Comma 14" xfId="6458" xr:uid="{26A6F14F-30D9-472B-B46C-3F9A74B3DD00}"/>
    <cellStyle name="Comma 14 2" xfId="6459" xr:uid="{F6232C55-EDC4-4715-A69A-C5A86C90870E}"/>
    <cellStyle name="Comma 14 2 2" xfId="6460" xr:uid="{6F02C606-D163-4E2F-BA05-C0718460E7EF}"/>
    <cellStyle name="Comma 14 2 3" xfId="27513" xr:uid="{69C5CFEE-EE40-4C18-ABD0-047021655410}"/>
    <cellStyle name="Comma 14 2 4" xfId="42524" xr:uid="{39831B87-5EAE-48F0-92E8-9E1C83743256}"/>
    <cellStyle name="Comma 14 2 5" xfId="43681" xr:uid="{20FC6B84-56FC-455F-89C6-1143E243E171}"/>
    <cellStyle name="Comma 14 3" xfId="6461" xr:uid="{CC41023B-D8A7-4371-8027-A53B0F98444C}"/>
    <cellStyle name="Comma 14 3 2" xfId="27514" xr:uid="{C7B9DDE7-457D-4248-BAD7-89BEE20C51B7}"/>
    <cellStyle name="Comma 14 4" xfId="6462" xr:uid="{7C64C001-4939-4855-AA80-5A68C7ADB8C0}"/>
    <cellStyle name="Comma 14 5" xfId="27515" xr:uid="{F390F955-9F3E-45AC-8F09-472247BB8083}"/>
    <cellStyle name="Comma 14 6" xfId="27516" xr:uid="{C7019606-A2A1-45D2-BB3F-8119C3C43E55}"/>
    <cellStyle name="Comma 14 7" xfId="27517" xr:uid="{13579C35-54CC-4D97-BBC4-113DD47DD0CB}"/>
    <cellStyle name="Comma 15" xfId="6463" xr:uid="{AAD09983-0159-4E81-996C-1474FFDD2A80}"/>
    <cellStyle name="Comma 15 2" xfId="6464" xr:uid="{D1726144-FA84-4F29-8071-285EA511731F}"/>
    <cellStyle name="Comma 15 2 2" xfId="6465" xr:uid="{6D6F99DA-A9A4-427A-8C90-C5C0D5E76D14}"/>
    <cellStyle name="Comma 15 2 3" xfId="27518" xr:uid="{F122C332-4470-4890-AEA9-BF723476938E}"/>
    <cellStyle name="Comma 15 3" xfId="6466" xr:uid="{B96A4E38-55B5-4DC1-8ECD-95D274C9558E}"/>
    <cellStyle name="Comma 15 3 2" xfId="27519" xr:uid="{0205D021-A97D-4D7A-ADEE-6F312C362ED3}"/>
    <cellStyle name="Comma 15 4" xfId="6467" xr:uid="{EC7695AE-8A67-4CAD-B107-E3062BD3C51D}"/>
    <cellStyle name="Comma 15 5" xfId="27520" xr:uid="{A94C09E0-7D9E-4FE4-9D37-3AD4E15131AA}"/>
    <cellStyle name="Comma 15 6" xfId="27521" xr:uid="{6288509E-75B6-4092-A9B1-DF585264602F}"/>
    <cellStyle name="Comma 15 7" xfId="42525" xr:uid="{F78D86DA-541E-4B0E-98B4-C2875C5089D1}"/>
    <cellStyle name="Comma 15 8" xfId="43682" xr:uid="{014A302A-E1CA-404D-8C4B-6B6EBE801D19}"/>
    <cellStyle name="Comma 16" xfId="6468" xr:uid="{BDC3F263-0150-4F72-8CD7-D853709FC1E3}"/>
    <cellStyle name="Comma 16 2" xfId="6469" xr:uid="{4BACA756-4BAD-4D77-AB7A-702D2536BD02}"/>
    <cellStyle name="Comma 16 2 2" xfId="6470" xr:uid="{FCB6623F-54D2-40BB-B02A-14A2B312E0A5}"/>
    <cellStyle name="Comma 16 2 3" xfId="27522" xr:uid="{0D98DF96-3C1A-49EC-9A96-C77AB3B6CCB5}"/>
    <cellStyle name="Comma 16 3" xfId="6471" xr:uid="{6A973C5C-179C-4620-A2D4-4623387C3D1C}"/>
    <cellStyle name="Comma 16 3 2" xfId="27523" xr:uid="{37A3AA35-758F-4938-A2AB-75FA3D32CB87}"/>
    <cellStyle name="Comma 16 4" xfId="6472" xr:uid="{457E7B5B-6FF3-44E5-8C20-C1FE0C7487E3}"/>
    <cellStyle name="Comma 16 5" xfId="27524" xr:uid="{FAAB78AB-7D29-4253-8BC3-3E526EC262C1}"/>
    <cellStyle name="Comma 16 6" xfId="27525" xr:uid="{31C41B5F-E87E-4C07-8ED9-9BC5C4473F2C}"/>
    <cellStyle name="Comma 16 7" xfId="42526" xr:uid="{4C2376AB-6B1D-40B0-9FE8-4D5142504DD2}"/>
    <cellStyle name="Comma 16 8" xfId="43683" xr:uid="{8EAA4954-36C0-4713-B811-0BF0417374E5}"/>
    <cellStyle name="Comma 17" xfId="6473" xr:uid="{AD1C9AFF-450F-4579-86A2-0BE700DCAE81}"/>
    <cellStyle name="Comma 17 2" xfId="6474" xr:uid="{240C284E-36A2-4CDA-BF99-46014E4760AD}"/>
    <cellStyle name="Comma 17 2 2" xfId="6475" xr:uid="{A779E38B-6C64-4325-BC23-E6460D6B13E0}"/>
    <cellStyle name="Comma 17 2 3" xfId="27526" xr:uid="{7877F70F-54C5-4F35-91DC-509E50EFC608}"/>
    <cellStyle name="Comma 17 3" xfId="6476" xr:uid="{E7465CED-234E-4A3A-9A5C-12ED8281C27E}"/>
    <cellStyle name="Comma 17 3 2" xfId="27527" xr:uid="{13285D2A-338D-460F-8F0C-A2C1F5C27E2D}"/>
    <cellStyle name="Comma 17 4" xfId="6477" xr:uid="{CF1C3B77-749F-48B2-944A-50600D1F5992}"/>
    <cellStyle name="Comma 17 5" xfId="27528" xr:uid="{77C31473-E811-4D12-A02B-11D46D6FFA70}"/>
    <cellStyle name="Comma 17 6" xfId="27529" xr:uid="{2B7F3828-6EBC-4942-AF0D-816A955EE7D6}"/>
    <cellStyle name="Comma 17 7" xfId="42527" xr:uid="{1855A236-61B3-456D-B301-8C798AFB92A8}"/>
    <cellStyle name="Comma 17 8" xfId="43684" xr:uid="{96D310F7-1850-4D13-8B23-55728030CE1F}"/>
    <cellStyle name="Comma 18" xfId="6478" xr:uid="{775D7E89-807A-4C56-BD49-DCC937387426}"/>
    <cellStyle name="Comma 18 2" xfId="6479" xr:uid="{1BCCC521-D246-4CB5-800F-804F43AD4B30}"/>
    <cellStyle name="Comma 18 2 2" xfId="6480" xr:uid="{3A6394CE-C0DA-4A5F-B6AD-A86B27134056}"/>
    <cellStyle name="Comma 18 2 3" xfId="27530" xr:uid="{D58D1008-1871-4A0E-A7E1-775E20F3EF47}"/>
    <cellStyle name="Comma 18 3" xfId="6481" xr:uid="{B5780AD4-E2B1-41F2-9A8D-746D39C65700}"/>
    <cellStyle name="Comma 18 4" xfId="6482" xr:uid="{82E30152-23BB-4B0F-8276-5FEBF2664071}"/>
    <cellStyle name="Comma 18 5" xfId="27531" xr:uid="{B6E8E603-0964-4D5C-853C-04B68FEAB3ED}"/>
    <cellStyle name="Comma 18 6" xfId="42528" xr:uid="{BFDE9FE5-70CC-4D5A-870D-81951098C58C}"/>
    <cellStyle name="Comma 18 7" xfId="43685" xr:uid="{2AB36604-FD64-4F38-B92C-FAF1E4110960}"/>
    <cellStyle name="Comma 19" xfId="6483" xr:uid="{E41D14F2-BD39-43A9-B32E-208F0DCE13A8}"/>
    <cellStyle name="Comma 19 2" xfId="6484" xr:uid="{BF2506F6-B7E0-4435-BDB4-A8950A3F225E}"/>
    <cellStyle name="Comma 19 2 2" xfId="6485" xr:uid="{060129B3-63A6-41D8-A210-9B9A490A1D0E}"/>
    <cellStyle name="Comma 19 2 3" xfId="27532" xr:uid="{5131F39B-8288-4514-AD85-EA8B5CDB88C6}"/>
    <cellStyle name="Comma 19 3" xfId="6486" xr:uid="{5EE2C4C9-91E8-4A3E-ABBF-5C124D13D1B3}"/>
    <cellStyle name="Comma 19 4" xfId="6487" xr:uid="{52D24107-453E-4AF6-AF8F-21F5F8E94C22}"/>
    <cellStyle name="Comma 19 5" xfId="27533" xr:uid="{E15A0688-21DD-4C33-9B69-9E77E61BCB5E}"/>
    <cellStyle name="Comma 19 6" xfId="42529" xr:uid="{922B974E-DCA8-4F74-B4CE-6AB746B087FF}"/>
    <cellStyle name="Comma 19 7" xfId="43686" xr:uid="{FD6FF616-F808-4FE9-9D7F-68574210E493}"/>
    <cellStyle name="Comma 2" xfId="24" xr:uid="{00000000-0005-0000-0000-000002000000}"/>
    <cellStyle name="Comma 2 10" xfId="6489" xr:uid="{1897E8BB-47A9-4372-9ABC-9A34FE6F09CB}"/>
    <cellStyle name="Comma 2 10 2" xfId="6490" xr:uid="{4885406D-37AF-4BCE-8116-9199B4CEDB49}"/>
    <cellStyle name="Comma 2 10 2 2" xfId="6491" xr:uid="{F552A3EC-8E2B-4ED5-AA15-5C78C1493C11}"/>
    <cellStyle name="Comma 2 10 2 2 2" xfId="6492" xr:uid="{C1B1F94E-2682-4198-BEEB-01A76B753CEE}"/>
    <cellStyle name="Comma 2 10 2 2 2 2" xfId="6493" xr:uid="{107973B6-9B3D-46A6-AED5-E25F3965FB24}"/>
    <cellStyle name="Comma 2 10 2 2 3" xfId="6494" xr:uid="{8E9B462E-BA69-4A01-B7F6-197FB2D03720}"/>
    <cellStyle name="Comma 2 10 2 2 4" xfId="27534" xr:uid="{57CC99F8-ADB6-4A61-9041-F734C7F97833}"/>
    <cellStyle name="Comma 2 10 2 3" xfId="6495" xr:uid="{D00E9861-C6C8-4C0C-A14F-725E32F2C17C}"/>
    <cellStyle name="Comma 2 10 2 3 2" xfId="27535" xr:uid="{8BB14D4F-9EF1-4C58-8A01-69A6200F242E}"/>
    <cellStyle name="Comma 2 10 2 3 3" xfId="27536" xr:uid="{23F74AFF-46AC-4295-A626-B828C0D89C4A}"/>
    <cellStyle name="Comma 2 10 2 4" xfId="6496" xr:uid="{B2A76FAB-226F-4D57-BBE5-83A7B9639CD8}"/>
    <cellStyle name="Comma 2 10 2 4 2" xfId="6497" xr:uid="{2497C708-D8F6-44EE-BF32-4D0AE45919EA}"/>
    <cellStyle name="Comma 2 10 2 5" xfId="6498" xr:uid="{30DC182A-93F0-40E7-83F1-B485E8F2E207}"/>
    <cellStyle name="Comma 2 10 3" xfId="6499" xr:uid="{90A1F885-6D6D-40B4-B348-55FEA570C34D}"/>
    <cellStyle name="Comma 2 10 3 2" xfId="6500" xr:uid="{8A53DEDF-F867-4AB8-9BED-5DE4CF72BF7C}"/>
    <cellStyle name="Comma 2 10 3 2 2" xfId="6501" xr:uid="{FFC396F8-5CB5-4BBC-BFCF-85056DF757EC}"/>
    <cellStyle name="Comma 2 10 3 3" xfId="6502" xr:uid="{470BB066-2C2D-4B10-99C9-C3D8322D7431}"/>
    <cellStyle name="Comma 2 10 3 4" xfId="27537" xr:uid="{263B0B40-7273-451F-A1AD-4C371B208A96}"/>
    <cellStyle name="Comma 2 10 4" xfId="6503" xr:uid="{FE3291E8-0023-4C14-9C33-A73DC702CF79}"/>
    <cellStyle name="Comma 2 10 4 2" xfId="6504" xr:uid="{33945DF7-FB45-48CA-A01F-8447560BAA61}"/>
    <cellStyle name="Comma 2 10 4 3" xfId="27538" xr:uid="{AB5455F1-CF92-4EA4-B262-BCF4AA931A76}"/>
    <cellStyle name="Comma 2 10 5" xfId="6505" xr:uid="{E8982B94-FC34-439F-B676-8CA3EA569796}"/>
    <cellStyle name="Comma 2 10 5 2" xfId="6506" xr:uid="{A72E850D-2E9A-47D2-97ED-D2BD5F431847}"/>
    <cellStyle name="Comma 2 10 6" xfId="6507" xr:uid="{86364899-E1CB-43E5-B382-F0DEADD6A67A}"/>
    <cellStyle name="Comma 2 10 7" xfId="27539" xr:uid="{4DA2A64B-943A-4340-92B2-F66BFF24F09D}"/>
    <cellStyle name="Comma 2 10 8" xfId="42530" xr:uid="{5976A990-B348-436E-9E98-BBB3C65CE948}"/>
    <cellStyle name="Comma 2 10 9" xfId="43687" xr:uid="{5C3078D9-3114-4340-A2EF-9E1019B2DCEF}"/>
    <cellStyle name="Comma 2 11" xfId="6508" xr:uid="{6ED80F5D-7E7A-4563-8554-01215422DCE2}"/>
    <cellStyle name="Comma 2 11 2" xfId="6509" xr:uid="{E4C8F530-AC1B-4ED8-BE8F-5C6BAED7456C}"/>
    <cellStyle name="Comma 2 11 2 2" xfId="6510" xr:uid="{288E1FB3-D65A-425D-AF76-163B999EB823}"/>
    <cellStyle name="Comma 2 11 2 2 2" xfId="6511" xr:uid="{AF7C69C2-E4E9-49A6-82F6-427F84D103F5}"/>
    <cellStyle name="Comma 2 11 2 2 2 2" xfId="6512" xr:uid="{E8C7F11E-55B8-4AA1-9BA2-C7C2AC9416AA}"/>
    <cellStyle name="Comma 2 11 2 2 3" xfId="6513" xr:uid="{602C0DD8-6151-428A-BE88-32D2AF55C5AB}"/>
    <cellStyle name="Comma 2 11 2 2 4" xfId="27540" xr:uid="{770F7DEE-0168-4A62-9405-CF2E7660D52A}"/>
    <cellStyle name="Comma 2 11 2 3" xfId="6514" xr:uid="{DAF368B9-A6D4-4D7E-930E-A0DE98E70CB5}"/>
    <cellStyle name="Comma 2 11 2 3 2" xfId="27541" xr:uid="{74117A4E-C45D-408D-80F1-EB82ACB38258}"/>
    <cellStyle name="Comma 2 11 2 3 3" xfId="27542" xr:uid="{B6120231-2C26-4603-9B87-63762F63CFF9}"/>
    <cellStyle name="Comma 2 11 2 4" xfId="6515" xr:uid="{F58A11A4-0B9B-4D3B-9027-602618D564D1}"/>
    <cellStyle name="Comma 2 11 2 4 2" xfId="6516" xr:uid="{9806A35A-D2A0-4C06-AF0E-41F5A0BC728E}"/>
    <cellStyle name="Comma 2 11 2 5" xfId="6517" xr:uid="{E471F3D0-CE4B-4D01-812F-08D589F6B4BD}"/>
    <cellStyle name="Comma 2 11 3" xfId="6518" xr:uid="{822F1FED-BF0C-4EBF-9799-879235068A36}"/>
    <cellStyle name="Comma 2 11 3 2" xfId="6519" xr:uid="{E3AF020B-3BFF-4731-818D-7FEAD64BE47D}"/>
    <cellStyle name="Comma 2 11 3 2 2" xfId="6520" xr:uid="{1382777F-2C4E-41BA-9643-B2FA6C5F92A8}"/>
    <cellStyle name="Comma 2 11 3 3" xfId="6521" xr:uid="{D694109E-B423-449B-9D24-ABF22652019C}"/>
    <cellStyle name="Comma 2 11 3 4" xfId="27543" xr:uid="{5AC87D70-252C-4C35-845C-C1E4C94919AD}"/>
    <cellStyle name="Comma 2 11 4" xfId="6522" xr:uid="{F7546108-581C-4684-B0F2-65DBA4952D33}"/>
    <cellStyle name="Comma 2 11 4 2" xfId="6523" xr:uid="{15DCBC14-A284-45A5-AEED-D46003B5BD88}"/>
    <cellStyle name="Comma 2 11 4 2 2" xfId="6524" xr:uid="{0984DF15-E593-4086-B62F-7CBE8CEA2E0A}"/>
    <cellStyle name="Comma 2 11 4 3" xfId="6525" xr:uid="{6B4E2CCD-D9E7-4C7A-B0DD-64552BF22DC7}"/>
    <cellStyle name="Comma 2 11 4 4" xfId="27544" xr:uid="{2A085296-1C26-4441-95B2-4BD9D2B8E1A2}"/>
    <cellStyle name="Comma 2 11 5" xfId="6526" xr:uid="{5D2A4476-A174-425D-B858-F6A9AE9EE9FA}"/>
    <cellStyle name="Comma 2 11 5 2" xfId="6527" xr:uid="{17AE6014-4985-4C1C-B1B7-90B2F3F0585E}"/>
    <cellStyle name="Comma 2 11 5 3" xfId="27545" xr:uid="{276672E3-7E2A-462D-AAA1-0DAA31A81A0C}"/>
    <cellStyle name="Comma 2 11 6" xfId="6528" xr:uid="{E46ECF0E-0EE0-48A8-B0E6-526C71B6B927}"/>
    <cellStyle name="Comma 2 11 7" xfId="27546" xr:uid="{27485E49-822B-4339-B4C1-56A3AA9DA1D3}"/>
    <cellStyle name="Comma 2 11 8" xfId="42531" xr:uid="{1AC9D49A-76A7-4912-8F16-1097D4E432F3}"/>
    <cellStyle name="Comma 2 11 9" xfId="43688" xr:uid="{7A7FDEDC-3539-4133-B7A8-F195166F789F}"/>
    <cellStyle name="Comma 2 12" xfId="6529" xr:uid="{75D096C3-A10D-4585-804C-B2A750100219}"/>
    <cellStyle name="Comma 2 12 2" xfId="6530" xr:uid="{584DAC2D-A96E-4DBE-9265-5839C3FB747B}"/>
    <cellStyle name="Comma 2 12 2 2" xfId="6531" xr:uid="{C503C8C0-1C57-4F95-B1BE-7CA112D8A6A0}"/>
    <cellStyle name="Comma 2 12 2 3" xfId="6532" xr:uid="{F169C7C7-F553-4CDF-BDF6-2EDF192255AF}"/>
    <cellStyle name="Comma 2 12 2 3 2" xfId="27547" xr:uid="{4540CE3F-EDCA-47DD-BC92-6FF06F401416}"/>
    <cellStyle name="Comma 2 12 2 4" xfId="6533" xr:uid="{3310ADE4-1CA8-4C15-96B0-130C7BA66451}"/>
    <cellStyle name="Comma 2 12 3" xfId="6534" xr:uid="{30A55D89-0521-48D5-A9C5-CEA254178E51}"/>
    <cellStyle name="Comma 2 12 3 2" xfId="6535" xr:uid="{6E769B36-B0B7-4F5F-9885-AF6901D5AA13}"/>
    <cellStyle name="Comma 2 12 3 2 2" xfId="6536" xr:uid="{D83E2907-CBAC-4445-AC76-AB8DBC9E91C5}"/>
    <cellStyle name="Comma 2 12 3 3" xfId="6537" xr:uid="{14C599C5-8C58-4A17-8A7E-0052F3419B1E}"/>
    <cellStyle name="Comma 2 12 3 4" xfId="27548" xr:uid="{DD32A42C-A30C-4FA5-BD56-7277818B2714}"/>
    <cellStyle name="Comma 2 12 4" xfId="6538" xr:uid="{ECB80F96-415B-4F25-816B-895790C917DD}"/>
    <cellStyle name="Comma 2 12 4 2" xfId="6539" xr:uid="{2A1A22B3-90B2-487C-9E53-068B63DAE7CC}"/>
    <cellStyle name="Comma 2 12 4 3" xfId="27549" xr:uid="{C93F87A6-4DDF-4746-B4F8-7647E7042D11}"/>
    <cellStyle name="Comma 2 12 5" xfId="6540" xr:uid="{C23AB12F-9E39-43F8-BDFB-C8479B4F0517}"/>
    <cellStyle name="Comma 2 12 6" xfId="27550" xr:uid="{91D972D9-5D55-4FCE-91A3-BD9E5566A697}"/>
    <cellStyle name="Comma 2 12 7" xfId="42532" xr:uid="{5C910200-8C32-4950-9261-D3A8CE53C1BB}"/>
    <cellStyle name="Comma 2 12 8" xfId="43689" xr:uid="{17C5D553-3865-4EDB-A4D5-A0EFFA280406}"/>
    <cellStyle name="Comma 2 13" xfId="6541" xr:uid="{F9405401-90E0-4486-B094-5A3C8E40B4E6}"/>
    <cellStyle name="Comma 2 13 2" xfId="6542" xr:uid="{C378365A-BDD5-4C91-BEA9-65AF431B272D}"/>
    <cellStyle name="Comma 2 13 3" xfId="6543" xr:uid="{B4EC2B40-9791-4667-9C42-76C0B7EA6E09}"/>
    <cellStyle name="Comma 2 13 3 2" xfId="6544" xr:uid="{BF767AB2-6AFE-4459-8AC2-86EB2F7F4827}"/>
    <cellStyle name="Comma 2 13 3 2 2" xfId="6545" xr:uid="{BBEBF946-B80B-489B-9A34-4FACE33879F4}"/>
    <cellStyle name="Comma 2 13 3 3" xfId="6546" xr:uid="{9CE22394-621E-44C6-8792-E9F64C605194}"/>
    <cellStyle name="Comma 2 13 3 4" xfId="27551" xr:uid="{CA649CB0-2990-4E47-B148-9954A7050765}"/>
    <cellStyle name="Comma 2 13 4" xfId="6547" xr:uid="{E611F258-622B-4690-A9F4-DD51F610A91B}"/>
    <cellStyle name="Comma 2 13 4 2" xfId="6548" xr:uid="{4BBEE4A1-5B8E-4DCD-81C3-0DC0CE0F495D}"/>
    <cellStyle name="Comma 2 13 4 3" xfId="27552" xr:uid="{1ABB3654-708E-424F-B76D-EF082DBD93DA}"/>
    <cellStyle name="Comma 2 13 5" xfId="6549" xr:uid="{A40BE273-FCCC-4FDF-BCA4-54BF6B6D8C7A}"/>
    <cellStyle name="Comma 2 13 6" xfId="27553" xr:uid="{29464470-D5BF-4571-BECF-7CDC9F9AC5A1}"/>
    <cellStyle name="Comma 2 13 7" xfId="42533" xr:uid="{9B3CB044-04CB-482C-9B16-FDC35F0829ED}"/>
    <cellStyle name="Comma 2 13 8" xfId="43690" xr:uid="{841FE411-5C8D-408C-92DB-32A8F07DA0EB}"/>
    <cellStyle name="Comma 2 14" xfId="6550" xr:uid="{841A9E20-B787-46A9-AFCE-44C57B730E13}"/>
    <cellStyle name="Comma 2 14 2" xfId="6551" xr:uid="{2505FC68-A872-43EF-925F-7C9228DC1BDC}"/>
    <cellStyle name="Comma 2 14 3" xfId="6552" xr:uid="{A39B3354-6C6B-4B84-84C7-D0E9CA4A3C6F}"/>
    <cellStyle name="Comma 2 14 3 2" xfId="6553" xr:uid="{61B53350-2956-4F76-BAD2-8021D55BCD5C}"/>
    <cellStyle name="Comma 2 14 3 3" xfId="27554" xr:uid="{5493863F-25E1-4548-9CDB-BE8B67FD129C}"/>
    <cellStyle name="Comma 2 14 4" xfId="6554" xr:uid="{C97788A6-F900-4EA3-97DB-6546706BEFFF}"/>
    <cellStyle name="Comma 2 14 4 2" xfId="6555" xr:uid="{33058848-1CF6-424D-AA19-08EA28C0E38D}"/>
    <cellStyle name="Comma 2 14 5" xfId="6556" xr:uid="{61873B45-3C2F-40FB-9489-D4B3B986633F}"/>
    <cellStyle name="Comma 2 14 6" xfId="27555" xr:uid="{DB719C9C-9C0D-4910-9B40-77ED7FE21F74}"/>
    <cellStyle name="Comma 2 15" xfId="6557" xr:uid="{15C87574-6745-4CFB-BDC3-BE43BB6CCBD0}"/>
    <cellStyle name="Comma 2 15 2" xfId="6558" xr:uid="{A0ABF9CE-9076-4760-AF92-FAC570C51B8D}"/>
    <cellStyle name="Comma 2 15 3" xfId="6559" xr:uid="{1B9C15A8-66D8-42C6-A1F7-52EF64955308}"/>
    <cellStyle name="Comma 2 16" xfId="6560" xr:uid="{D8D38BB0-5A16-4CFD-9183-0CFF6F0339B1}"/>
    <cellStyle name="Comma 2 16 2" xfId="6561" xr:uid="{06D168DA-8238-43F4-8CA2-251ED4884259}"/>
    <cellStyle name="Comma 2 16 3" xfId="6562" xr:uid="{1E214404-45A8-482A-A1EA-1231DF3E6BCB}"/>
    <cellStyle name="Comma 2 17" xfId="6563" xr:uid="{255D71FA-6815-4D44-A548-36A7D83D7493}"/>
    <cellStyle name="Comma 2 17 2" xfId="6564" xr:uid="{31332FC0-DE35-4E40-A1B5-59D07AEC3D99}"/>
    <cellStyle name="Comma 2 17 2 2" xfId="6565" xr:uid="{2A445B2B-46A7-47FA-A3BD-19D1FE4C4A7B}"/>
    <cellStyle name="Comma 2 17 2 3" xfId="27556" xr:uid="{AFE9DC01-7AE7-487B-883E-9A29796BD3ED}"/>
    <cellStyle name="Comma 2 17 3" xfId="6566" xr:uid="{0F22CEE3-34F9-413F-B66A-EB2743FC9555}"/>
    <cellStyle name="Comma 2 17 4" xfId="27557" xr:uid="{A92D5860-58A3-47DC-9B38-7F3BB7F380D0}"/>
    <cellStyle name="Comma 2 17 5" xfId="27558" xr:uid="{B85F7C48-35DE-4739-9ACA-CECDABA0B374}"/>
    <cellStyle name="Comma 2 17 6" xfId="27559" xr:uid="{060F77CC-BF3F-44A9-B9FA-97CEB341B29B}"/>
    <cellStyle name="Comma 2 17 7" xfId="42534" xr:uid="{2D1885C7-4E6C-46CF-A363-3E6EB539962A}"/>
    <cellStyle name="Comma 2 17 8" xfId="43691" xr:uid="{5130AAA2-96F4-46B7-A9C6-B5CC96C50D53}"/>
    <cellStyle name="Comma 2 18" xfId="6567" xr:uid="{D833F097-4E66-467F-8DD4-A2B0154419AD}"/>
    <cellStyle name="Comma 2 18 2" xfId="6568" xr:uid="{96BD5029-6FB1-4F77-BACA-94BFF379B5B8}"/>
    <cellStyle name="Comma 2 18 2 2" xfId="6569" xr:uid="{0E11C99C-3902-44CF-974E-9EE6D16A067F}"/>
    <cellStyle name="Comma 2 18 2 3" xfId="27560" xr:uid="{0BA23BAE-7CB6-4272-9B57-C08C311B6B4C}"/>
    <cellStyle name="Comma 2 18 3" xfId="6570" xr:uid="{EE868DE4-C481-472A-8AF2-4205E4D67D23}"/>
    <cellStyle name="Comma 2 18 4" xfId="27561" xr:uid="{98F73B44-9999-4ABD-82A5-F9970C366EA9}"/>
    <cellStyle name="Comma 2 18 5" xfId="27562" xr:uid="{15D88293-56E3-403A-95AB-117AAC47E813}"/>
    <cellStyle name="Comma 2 18 6" xfId="27563" xr:uid="{0BEDB867-EC40-444C-9B8D-DC0A34AB4199}"/>
    <cellStyle name="Comma 2 18 7" xfId="42535" xr:uid="{EAF490A8-8F81-4A1E-9A01-1A3A33E94E6F}"/>
    <cellStyle name="Comma 2 18 8" xfId="43692" xr:uid="{3B24DC7B-E15B-4B06-B83A-B9E44CE038EB}"/>
    <cellStyle name="Comma 2 19" xfId="6571" xr:uid="{495D3029-3A0B-4E20-8FBF-28905B4AB8E2}"/>
    <cellStyle name="Comma 2 19 2" xfId="6572" xr:uid="{07E520FB-E95A-4408-8AD9-D62F7693D6ED}"/>
    <cellStyle name="Comma 2 19 2 2" xfId="6573" xr:uid="{234369F0-0FF0-4D2F-87D8-86DDA2429676}"/>
    <cellStyle name="Comma 2 19 2 3" xfId="27564" xr:uid="{BED3A2E1-C8ED-48E7-A678-9A530AC978DE}"/>
    <cellStyle name="Comma 2 19 2 4" xfId="42537" xr:uid="{06EF7DEB-5A09-408A-9B1F-13C950A9E0E5}"/>
    <cellStyle name="Comma 2 19 2 5" xfId="43694" xr:uid="{C6C21EC7-4712-4357-AA70-C83CBC70378D}"/>
    <cellStyle name="Comma 2 19 3" xfId="6574" xr:uid="{6AE52A57-DC82-4844-B420-F997F6836966}"/>
    <cellStyle name="Comma 2 19 4" xfId="27565" xr:uid="{FAB80E58-C655-46A9-BC3F-A3879B92BDEA}"/>
    <cellStyle name="Comma 2 19 5" xfId="27566" xr:uid="{04B14E7A-20BB-4DD0-BADD-6F8776DDB9EC}"/>
    <cellStyle name="Comma 2 19 6" xfId="27567" xr:uid="{65C5460A-B244-4AEC-8972-C44E343CBA81}"/>
    <cellStyle name="Comma 2 19 7" xfId="42536" xr:uid="{C4BEF584-46A3-4B3B-9F3E-7E2CCD44B509}"/>
    <cellStyle name="Comma 2 19 8" xfId="43693" xr:uid="{6C79E058-D33B-4165-9C89-38F5D8F23234}"/>
    <cellStyle name="Comma 2 2" xfId="47" xr:uid="{7DE1F3A8-B1AA-436D-A101-A6386627E099}"/>
    <cellStyle name="Comma 2 2 10" xfId="6576" xr:uid="{B4764FA4-4A7A-4018-9BAA-4F63B564C4B9}"/>
    <cellStyle name="Comma 2 2 10 2" xfId="6577" xr:uid="{9181441E-784B-45F2-AD4D-D41876D60EC2}"/>
    <cellStyle name="Comma 2 2 10 2 2" xfId="6578" xr:uid="{53F55EE1-0803-4E18-A138-BCF03E9C5E5F}"/>
    <cellStyle name="Comma 2 2 10 2 2 2" xfId="27568" xr:uid="{9FD0937B-375B-42CE-804D-865CC888F74B}"/>
    <cellStyle name="Comma 2 2 10 2 3" xfId="27569" xr:uid="{F86CBF5D-01CA-442C-9640-6CF803EE5170}"/>
    <cellStyle name="Comma 2 2 10 3" xfId="6579" xr:uid="{26D049E3-E738-4CEA-A14E-70892B0A83B8}"/>
    <cellStyle name="Comma 2 2 10 3 2" xfId="6580" xr:uid="{2832F761-EBBC-4488-98A3-E8B1476119C3}"/>
    <cellStyle name="Comma 2 2 10 4" xfId="6581" xr:uid="{C60CCB6F-34E9-452E-94EA-FBA3154A7FCC}"/>
    <cellStyle name="Comma 2 2 10 5" xfId="27570" xr:uid="{3F34453C-DE3C-4079-9922-30F8853FA3C1}"/>
    <cellStyle name="Comma 2 2 11" xfId="6582" xr:uid="{802F1DB9-47A3-4BC8-8E14-93CB706B299E}"/>
    <cellStyle name="Comma 2 2 11 2" xfId="6583" xr:uid="{EB29BBCE-5FCA-426C-A0B6-7E0ED9CA21E9}"/>
    <cellStyle name="Comma 2 2 11 2 2" xfId="6584" xr:uid="{2A5528AD-45BB-41AB-9C9C-B18A7DB4D9E8}"/>
    <cellStyle name="Comma 2 2 11 3" xfId="6585" xr:uid="{36934D5C-AF4E-469B-964C-3E25F702E445}"/>
    <cellStyle name="Comma 2 2 11 4" xfId="27571" xr:uid="{E48B2FC1-C41E-4021-A3A5-6D5287710022}"/>
    <cellStyle name="Comma 2 2 12" xfId="6586" xr:uid="{A7CBD54B-2998-4479-9E8A-76F3AF94C899}"/>
    <cellStyle name="Comma 2 2 12 2" xfId="6587" xr:uid="{3394E75E-6D18-4E35-BB41-CCEC8EB34370}"/>
    <cellStyle name="Comma 2 2 12 2 2" xfId="6588" xr:uid="{0353591D-975E-454D-B913-65E7199F251D}"/>
    <cellStyle name="Comma 2 2 12 3" xfId="6589" xr:uid="{250B2C2E-ACC3-45DF-A7DF-C15D61949AE9}"/>
    <cellStyle name="Comma 2 2 12 4" xfId="27572" xr:uid="{58C4F5E8-2AD6-472E-9A21-4E45910C7231}"/>
    <cellStyle name="Comma 2 2 13" xfId="6590" xr:uid="{9F9B085D-A8F5-4186-964B-99F75A4BF37B}"/>
    <cellStyle name="Comma 2 2 13 2" xfId="6591" xr:uid="{32E56E23-D40F-42F0-BDC1-6BC88C47D2B9}"/>
    <cellStyle name="Comma 2 2 13 2 2" xfId="6592" xr:uid="{18B97660-B955-450F-A06F-47729D60EA28}"/>
    <cellStyle name="Comma 2 2 13 3" xfId="6593" xr:uid="{2A5F1BF1-94BF-48E3-83AA-F619EEE64BDF}"/>
    <cellStyle name="Comma 2 2 13 4" xfId="27573" xr:uid="{AA4ABDEF-EF05-4381-9A5A-2EF7F989B3AA}"/>
    <cellStyle name="Comma 2 2 14" xfId="6594" xr:uid="{6A2070CE-3EAC-4C9D-AC2E-2CF4B6E015C7}"/>
    <cellStyle name="Comma 2 2 14 2" xfId="6595" xr:uid="{2B077E24-EBF9-4D72-A424-8817584E4824}"/>
    <cellStyle name="Comma 2 2 14 2 2" xfId="6596" xr:uid="{A3E41FE6-88D3-49AF-805F-2D442CC15258}"/>
    <cellStyle name="Comma 2 2 14 3" xfId="6597" xr:uid="{23349313-A97B-415D-898F-24A6A4662409}"/>
    <cellStyle name="Comma 2 2 14 4" xfId="27574" xr:uid="{2DF895BE-3BB3-47ED-837E-9E438C360C67}"/>
    <cellStyle name="Comma 2 2 15" xfId="6598" xr:uid="{57696F60-54CC-426B-BD82-ED06020F4C48}"/>
    <cellStyle name="Comma 2 2 15 2" xfId="6599" xr:uid="{73687162-C816-4629-BF31-AE420E7909B9}"/>
    <cellStyle name="Comma 2 2 15 2 2" xfId="27575" xr:uid="{4F40EE79-0AB4-4F89-A7D4-09AEE9B675CC}"/>
    <cellStyle name="Comma 2 2 15 3" xfId="27576" xr:uid="{1929E4AF-E7E1-4244-8F0A-1CD274C68480}"/>
    <cellStyle name="Comma 2 2 15 4" xfId="27577" xr:uid="{AE719DA7-4AC5-4E83-99BA-DE8B67C005B0}"/>
    <cellStyle name="Comma 2 2 16" xfId="6600" xr:uid="{256F59D2-0AB3-4E3F-850F-922DBBD544B3}"/>
    <cellStyle name="Comma 2 2 16 2" xfId="6601" xr:uid="{1470273B-4A70-4854-97FD-E4D333FF8830}"/>
    <cellStyle name="Comma 2 2 16 2 2" xfId="27578" xr:uid="{27B6C36B-8D23-4B9C-8643-36087C8789A9}"/>
    <cellStyle name="Comma 2 2 16 3" xfId="27579" xr:uid="{09A7B106-D7DA-4476-8548-594B7665230B}"/>
    <cellStyle name="Comma 2 2 17" xfId="6602" xr:uid="{FEAA96D2-AFE9-4A3F-BB24-CC1D463D30B4}"/>
    <cellStyle name="Comma 2 2 17 2" xfId="27580" xr:uid="{45C439E5-23DD-4980-836D-A997E0C88A9A}"/>
    <cellStyle name="Comma 2 2 18" xfId="6603" xr:uid="{CF94D64E-1BEE-4ED5-83AD-AFCA2B3BBADE}"/>
    <cellStyle name="Comma 2 2 18 2" xfId="27581" xr:uid="{15B77A68-BA5D-4ECC-BA63-38A8CF76C585}"/>
    <cellStyle name="Comma 2 2 19" xfId="6604" xr:uid="{3BF4E8B0-68F5-40C9-971B-BB84A6810015}"/>
    <cellStyle name="Comma 2 2 2" xfId="6605" xr:uid="{B32A43FD-53C3-4DC6-9CB9-3D3DEED91F64}"/>
    <cellStyle name="Comma 2 2 2 10" xfId="6606" xr:uid="{73276816-DC7B-459E-90BF-95CC45102814}"/>
    <cellStyle name="Comma 2 2 2 10 2" xfId="6607" xr:uid="{FFB4E450-0040-4D34-94D7-F9355A6FA701}"/>
    <cellStyle name="Comma 2 2 2 10 2 2" xfId="27582" xr:uid="{725D067A-EAEA-44FB-A582-B14607132DD9}"/>
    <cellStyle name="Comma 2 2 2 10 3" xfId="27583" xr:uid="{898D84D7-96D8-4444-9D85-B188354E4178}"/>
    <cellStyle name="Comma 2 2 2 10 4" xfId="27584" xr:uid="{BCD2FB24-A60C-40E7-B502-302274C3389F}"/>
    <cellStyle name="Comma 2 2 2 11" xfId="6608" xr:uid="{E5FAF59E-97F8-498D-9366-54644200F0A2}"/>
    <cellStyle name="Comma 2 2 2 11 2" xfId="6609" xr:uid="{561B6D01-4485-424E-9EB6-AF5FBCE89916}"/>
    <cellStyle name="Comma 2 2 2 11 2 2" xfId="27585" xr:uid="{9BBD1EC9-FFBA-4363-8435-ED78CED7824D}"/>
    <cellStyle name="Comma 2 2 2 11 3" xfId="27586" xr:uid="{9BD00CA6-AE92-4BF0-9677-39104549F0DD}"/>
    <cellStyle name="Comma 2 2 2 11 4" xfId="27587" xr:uid="{9BF60924-3042-4749-A3DF-F4687F1215B7}"/>
    <cellStyle name="Comma 2 2 2 12" xfId="6610" xr:uid="{A098A690-937D-469C-A82D-EDCA25FEC8AD}"/>
    <cellStyle name="Comma 2 2 2 12 2" xfId="6611" xr:uid="{0B6F098F-7328-45AE-B82A-688DC0F4891E}"/>
    <cellStyle name="Comma 2 2 2 12 3" xfId="27588" xr:uid="{A82AF7E6-9A6A-4700-8B5A-5960815F0BE3}"/>
    <cellStyle name="Comma 2 2 2 13" xfId="6612" xr:uid="{3E4A4D25-FEA1-4D0C-B79C-8485554DCD17}"/>
    <cellStyle name="Comma 2 2 2 13 2" xfId="6613" xr:uid="{4ED4299E-EF00-4B28-ABF2-BD0F55E7005F}"/>
    <cellStyle name="Comma 2 2 2 13 3" xfId="27589" xr:uid="{16D02A5E-4FBD-4B88-BB2F-3EA325C2B5A0}"/>
    <cellStyle name="Comma 2 2 2 14" xfId="6614" xr:uid="{2719D6C7-8767-476A-8861-77C30E3A670C}"/>
    <cellStyle name="Comma 2 2 2 14 2" xfId="6615" xr:uid="{C0911780-3C1E-4931-99D7-DEA0BB7BB865}"/>
    <cellStyle name="Comma 2 2 2 15" xfId="6616" xr:uid="{50EDD8A2-AB14-450C-9615-BA3022E9865F}"/>
    <cellStyle name="Comma 2 2 2 15 2" xfId="6617" xr:uid="{974F8141-AFB8-4D8A-9115-F8357747954C}"/>
    <cellStyle name="Comma 2 2 2 16" xfId="6618" xr:uid="{B846A665-41D3-43C0-8B7B-314FD6B2F035}"/>
    <cellStyle name="Comma 2 2 2 17" xfId="6619" xr:uid="{FE9B2288-1240-463A-9E32-12B25342D329}"/>
    <cellStyle name="Comma 2 2 2 18" xfId="6620" xr:uid="{9D7D97DF-A9B6-4554-8301-72F6FE58109B}"/>
    <cellStyle name="Comma 2 2 2 19" xfId="42539" xr:uid="{3F7771A7-AD54-407F-BF08-959C36BE5DAA}"/>
    <cellStyle name="Comma 2 2 2 2" xfId="6621" xr:uid="{FDC83521-1B82-40D5-842A-D39C6CB4D1CB}"/>
    <cellStyle name="Comma 2 2 2 2 10" xfId="6622" xr:uid="{210F9022-D213-4CE1-8B56-E237BFFCD6AC}"/>
    <cellStyle name="Comma 2 2 2 2 10 2" xfId="6623" xr:uid="{434C3F69-0EBC-4D56-BF59-97F3DD7C33F6}"/>
    <cellStyle name="Comma 2 2 2 2 11" xfId="6624" xr:uid="{8DD5869D-DC1B-4247-9665-0B6D4945BD66}"/>
    <cellStyle name="Comma 2 2 2 2 11 2" xfId="6625" xr:uid="{F598E866-BBF6-4F5F-BC88-6A91BFF0CB73}"/>
    <cellStyle name="Comma 2 2 2 2 12" xfId="6626" xr:uid="{A1F2C34B-5EE0-41E3-A4D8-40011E7ACCA9}"/>
    <cellStyle name="Comma 2 2 2 2 13" xfId="6627" xr:uid="{6A1B5371-DD3A-485F-9216-853A1AFDC34A}"/>
    <cellStyle name="Comma 2 2 2 2 14" xfId="6628" xr:uid="{7204AFCE-AC04-4253-90CD-CFFCF1A0C4AD}"/>
    <cellStyle name="Comma 2 2 2 2 15" xfId="42540" xr:uid="{E027ECCC-3F87-40DC-BE79-640B02992B8D}"/>
    <cellStyle name="Comma 2 2 2 2 16" xfId="43697" xr:uid="{C430FFED-B611-44DA-9159-52EDBDA14338}"/>
    <cellStyle name="Comma 2 2 2 2 17" xfId="45935" xr:uid="{E5B27914-8BB3-4639-93A2-6DE0E3DCC5FA}"/>
    <cellStyle name="Comma 2 2 2 2 2" xfId="6629" xr:uid="{1E7A78D8-8DB3-47F3-873E-4DC65F9726DA}"/>
    <cellStyle name="Comma 2 2 2 2 2 2" xfId="6630" xr:uid="{EE0B0E1D-3DBC-4827-922A-94BF5A1E6BE8}"/>
    <cellStyle name="Comma 2 2 2 2 2 2 2" xfId="6631" xr:uid="{FFDB4DE6-1226-45B2-8ABE-9105843D742F}"/>
    <cellStyle name="Comma 2 2 2 2 2 2 2 2" xfId="6632" xr:uid="{A9D667B6-7E29-4FF9-BFFC-88194214203F}"/>
    <cellStyle name="Comma 2 2 2 2 2 2 2 3" xfId="27590" xr:uid="{179A676B-0F2C-4490-ACF3-AD90EA72F1E8}"/>
    <cellStyle name="Comma 2 2 2 2 2 2 3" xfId="6633" xr:uid="{E5EE8E74-49B3-4724-8F24-47764DA9D3E0}"/>
    <cellStyle name="Comma 2 2 2 2 2 2 3 2" xfId="6634" xr:uid="{BFA99F74-4374-401E-A8C2-365FB45328A9}"/>
    <cellStyle name="Comma 2 2 2 2 2 2 4" xfId="6635" xr:uid="{52DD35B6-2E86-4C20-8F6D-F7147140AAD9}"/>
    <cellStyle name="Comma 2 2 2 2 2 2 4 2" xfId="6636" xr:uid="{ADA79CD7-5A19-4B28-864D-9F0CA7559DF5}"/>
    <cellStyle name="Comma 2 2 2 2 2 2 5" xfId="6637" xr:uid="{2985C1CF-15D5-49CD-8BFB-A51BFFF2AF12}"/>
    <cellStyle name="Comma 2 2 2 2 2 3" xfId="6638" xr:uid="{720D37DF-A19C-4CB8-B915-F8CEDC3BA707}"/>
    <cellStyle name="Comma 2 2 2 2 2 3 2" xfId="6639" xr:uid="{B4C05C70-9E68-4D9C-A695-731E8B7308FD}"/>
    <cellStyle name="Comma 2 2 2 2 2 3 3" xfId="27591" xr:uid="{5A1917C0-CC0A-44C8-8C9B-8ACFE875637F}"/>
    <cellStyle name="Comma 2 2 2 2 2 4" xfId="6640" xr:uid="{227B8665-7E75-4808-8666-4C8F32F28020}"/>
    <cellStyle name="Comma 2 2 2 2 2 4 2" xfId="6641" xr:uid="{1FE8C4C6-90FA-4C1D-BAD7-2720F0027EB4}"/>
    <cellStyle name="Comma 2 2 2 2 2 5" xfId="6642" xr:uid="{1BD9501A-17A6-49C5-B9D9-632EE220A3F7}"/>
    <cellStyle name="Comma 2 2 2 2 2 5 2" xfId="6643" xr:uid="{2313D27D-440F-4BE0-B9A4-B369301865EC}"/>
    <cellStyle name="Comma 2 2 2 2 2 6" xfId="6644" xr:uid="{59DEDAFC-235F-4AAD-9688-DF58D5EFE8E9}"/>
    <cellStyle name="Comma 2 2 2 2 2 6 2" xfId="6645" xr:uid="{7D68C5B5-4453-4C9E-96B9-9FEB348D538C}"/>
    <cellStyle name="Comma 2 2 2 2 2 7" xfId="6646" xr:uid="{2BE2BFB3-1E0E-4573-A6F1-878E4770D378}"/>
    <cellStyle name="Comma 2 2 2 2 2 8" xfId="6647" xr:uid="{EC7F6A65-F1FC-4907-9CB7-03C7BF86B209}"/>
    <cellStyle name="Comma 2 2 2 2 3" xfId="6648" xr:uid="{1D6F26AA-37DC-492D-BAC7-3157E0C0C6D9}"/>
    <cellStyle name="Comma 2 2 2 2 3 2" xfId="6649" xr:uid="{34B4DE8E-7D5D-4285-95B6-87536D86455A}"/>
    <cellStyle name="Comma 2 2 2 2 3 2 2" xfId="6650" xr:uid="{6CD22D8E-3CDC-4DC3-AC78-32470D411EA6}"/>
    <cellStyle name="Comma 2 2 2 2 3 2 2 2" xfId="6651" xr:uid="{935A1167-5112-4715-A485-D36938E872F2}"/>
    <cellStyle name="Comma 2 2 2 2 3 2 3" xfId="6652" xr:uid="{C10F1B20-4EA0-4DB8-9F5B-0E38E6AA956B}"/>
    <cellStyle name="Comma 2 2 2 2 3 2 3 2" xfId="6653" xr:uid="{19965413-907C-41E9-A503-EC4880E75253}"/>
    <cellStyle name="Comma 2 2 2 2 3 2 4" xfId="6654" xr:uid="{9B3C1F50-719A-4305-BB95-9E2472CB0AF6}"/>
    <cellStyle name="Comma 2 2 2 2 3 2 5" xfId="27592" xr:uid="{56809DA2-3ADC-41CA-A163-706375C54E45}"/>
    <cellStyle name="Comma 2 2 2 2 3 3" xfId="6655" xr:uid="{B053882F-BFDB-48ED-BBEC-9CDFDA044526}"/>
    <cellStyle name="Comma 2 2 2 2 3 3 2" xfId="6656" xr:uid="{FF3F4B8B-F33B-447E-A24C-7E32B8C6F502}"/>
    <cellStyle name="Comma 2 2 2 2 3 4" xfId="6657" xr:uid="{97647486-9201-488C-8D03-DE6ABE8ABEC5}"/>
    <cellStyle name="Comma 2 2 2 2 3 4 2" xfId="6658" xr:uid="{042115BF-FFB0-4335-BF50-F7E1DA9217EA}"/>
    <cellStyle name="Comma 2 2 2 2 3 5" xfId="6659" xr:uid="{64DE901B-DB1F-4788-AF84-7BA864E81C57}"/>
    <cellStyle name="Comma 2 2 2 2 3 5 2" xfId="6660" xr:uid="{27AACC54-E384-4F2A-848E-41D02A59CE20}"/>
    <cellStyle name="Comma 2 2 2 2 3 6" xfId="6661" xr:uid="{C8D488C1-7A51-43BA-9A89-8E83A3699AA3}"/>
    <cellStyle name="Comma 2 2 2 2 4" xfId="6662" xr:uid="{33AC30C9-98BF-405B-B42C-2826FECDF2B2}"/>
    <cellStyle name="Comma 2 2 2 2 4 2" xfId="6663" xr:uid="{93C02AF3-E8C9-48A0-9BEB-89264AA99E26}"/>
    <cellStyle name="Comma 2 2 2 2 4 2 2" xfId="6664" xr:uid="{11F341AE-E53C-47ED-9018-FF4012BF94FD}"/>
    <cellStyle name="Comma 2 2 2 2 4 2 2 2" xfId="6665" xr:uid="{924D6BBD-3BB9-423B-85CF-C88E736FEF56}"/>
    <cellStyle name="Comma 2 2 2 2 4 2 3" xfId="6666" xr:uid="{D1ABC08B-873E-4C59-B73C-B8B86247A33C}"/>
    <cellStyle name="Comma 2 2 2 2 4 2 3 2" xfId="6667" xr:uid="{CA2A71AF-39F6-44E5-AAEB-5445887B13C1}"/>
    <cellStyle name="Comma 2 2 2 2 4 2 4" xfId="6668" xr:uid="{85A4955E-0047-4658-BE97-D31E65041B0E}"/>
    <cellStyle name="Comma 2 2 2 2 4 3" xfId="6669" xr:uid="{1014C1B9-42D6-460D-ABDC-1ABA2255F154}"/>
    <cellStyle name="Comma 2 2 2 2 4 3 2" xfId="6670" xr:uid="{D3EF9738-ACA7-4717-A4E2-A90B0CD03F56}"/>
    <cellStyle name="Comma 2 2 2 2 4 4" xfId="6671" xr:uid="{99C655EB-52E2-4048-B01B-38A9EA5DC5DB}"/>
    <cellStyle name="Comma 2 2 2 2 4 4 2" xfId="6672" xr:uid="{998EBB15-51D9-4DB7-8476-EB925A8DF0B2}"/>
    <cellStyle name="Comma 2 2 2 2 4 5" xfId="6673" xr:uid="{9D3AC8F2-E53A-4D18-B4B2-52848C54EF3B}"/>
    <cellStyle name="Comma 2 2 2 2 4 6" xfId="27593" xr:uid="{EC131D9D-DEE8-4F84-A1D7-5011EE065E84}"/>
    <cellStyle name="Comma 2 2 2 2 5" xfId="6674" xr:uid="{7300C7E8-6CAC-4EDC-9DBD-E6FE5CE7560A}"/>
    <cellStyle name="Comma 2 2 2 2 5 2" xfId="6675" xr:uid="{CDB84BCA-603B-4B77-A56C-D017FFE9C7DC}"/>
    <cellStyle name="Comma 2 2 2 2 5 2 2" xfId="6676" xr:uid="{B3B9DFE6-39F0-45F3-9F0F-92E277CE08EC}"/>
    <cellStyle name="Comma 2 2 2 2 5 3" xfId="6677" xr:uid="{4972A1B6-19AE-4DC8-949E-73C855F3C57D}"/>
    <cellStyle name="Comma 2 2 2 2 5 3 2" xfId="6678" xr:uid="{3E52DD73-AB97-4CAC-8978-54DC0CD16CEC}"/>
    <cellStyle name="Comma 2 2 2 2 5 4" xfId="6679" xr:uid="{3A76387C-50E4-42D5-B7B9-8DD378C4C683}"/>
    <cellStyle name="Comma 2 2 2 2 5 5" xfId="27594" xr:uid="{A1C447AF-1EED-471D-BA94-088C0DDE1E4A}"/>
    <cellStyle name="Comma 2 2 2 2 6" xfId="6680" xr:uid="{EF16EF9B-3886-43A5-8B30-2CEED2EEE10C}"/>
    <cellStyle name="Comma 2 2 2 2 6 2" xfId="6681" xr:uid="{EEF4CCBD-CA75-4090-9CCB-9C3D7E49E473}"/>
    <cellStyle name="Comma 2 2 2 2 7" xfId="6682" xr:uid="{6DC0EE52-B6C3-4FED-BC44-88F392E4F0F4}"/>
    <cellStyle name="Comma 2 2 2 2 7 2" xfId="6683" xr:uid="{62D8B8F4-E963-4231-A242-9EB33AED2DA4}"/>
    <cellStyle name="Comma 2 2 2 2 8" xfId="6684" xr:uid="{2916D0EB-B1E6-45EF-9647-79E2710284A3}"/>
    <cellStyle name="Comma 2 2 2 2 8 2" xfId="6685" xr:uid="{8A35662B-2AA7-495E-B160-2663945FB503}"/>
    <cellStyle name="Comma 2 2 2 2 9" xfId="6686" xr:uid="{5D20EC0A-23D9-42FA-9B40-4E45062244CD}"/>
    <cellStyle name="Comma 2 2 2 2 9 2" xfId="6687" xr:uid="{B344F0DC-37B1-4A79-A609-13BB0589A817}"/>
    <cellStyle name="Comma 2 2 2 20" xfId="43696" xr:uid="{80897F26-4CA0-4D81-B511-AEDAED10173A}"/>
    <cellStyle name="Comma 2 2 2 21" xfId="44372" xr:uid="{FE766C6D-1FA7-458F-9874-25C3F2EE9D51}"/>
    <cellStyle name="Comma 2 2 2 22" xfId="45925" xr:uid="{7FF940CE-4F46-433B-93E0-F6EEC9DE090A}"/>
    <cellStyle name="Comma 2 2 2 3" xfId="6688" xr:uid="{1D668421-A422-4BF5-8404-F4AB68BB4BE8}"/>
    <cellStyle name="Comma 2 2 2 3 10" xfId="6689" xr:uid="{24CE2030-21F3-4788-BEBB-A39A205046B1}"/>
    <cellStyle name="Comma 2 2 2 3 11" xfId="42541" xr:uid="{3618EAD7-B69E-4073-9B62-EC724BCBF035}"/>
    <cellStyle name="Comma 2 2 2 3 12" xfId="43698" xr:uid="{B75C01C4-EA5F-471D-8350-8A954980DBCA}"/>
    <cellStyle name="Comma 2 2 2 3 2" xfId="6690" xr:uid="{26AC74D0-CA67-4872-BB50-63DE5C4FDD57}"/>
    <cellStyle name="Comma 2 2 2 3 2 2" xfId="6691" xr:uid="{4F49E769-AEAB-4D46-A56C-4FA4EAEAF739}"/>
    <cellStyle name="Comma 2 2 2 3 2 2 2" xfId="6692" xr:uid="{FD1D4E53-C9C6-4514-9866-4563C265948F}"/>
    <cellStyle name="Comma 2 2 2 3 2 2 2 2" xfId="6693" xr:uid="{FE9E8188-6CE9-4C58-803C-069CE92F9CCB}"/>
    <cellStyle name="Comma 2 2 2 3 2 2 3" xfId="6694" xr:uid="{85584297-158B-4EB1-ABF1-03A6F268AE7E}"/>
    <cellStyle name="Comma 2 2 2 3 2 2 4" xfId="27595" xr:uid="{EF58EF82-41DC-4F5F-A7F4-E66457CC007C}"/>
    <cellStyle name="Comma 2 2 2 3 2 3" xfId="6695" xr:uid="{7FB5977D-16D3-4ADE-9369-E3219E7C603B}"/>
    <cellStyle name="Comma 2 2 2 3 2 3 2" xfId="6696" xr:uid="{389E24C8-40F0-48FE-8D75-24AE2A7197BD}"/>
    <cellStyle name="Comma 2 2 2 3 2 3 3" xfId="27596" xr:uid="{0705D3B2-540E-481D-9F6C-AD4068412F1C}"/>
    <cellStyle name="Comma 2 2 2 3 2 4" xfId="6697" xr:uid="{BB970E2E-5026-4A45-8E47-B8DC2E8D2A57}"/>
    <cellStyle name="Comma 2 2 2 3 2 4 2" xfId="6698" xr:uid="{C279CE87-B09E-47D5-9908-9858D94145B8}"/>
    <cellStyle name="Comma 2 2 2 3 2 5" xfId="6699" xr:uid="{1DEDACE7-C20F-4E8F-AE89-7037FA0C30E0}"/>
    <cellStyle name="Comma 2 2 2 3 2 5 2" xfId="6700" xr:uid="{A388E279-9FC7-4D47-B6AA-AC47D9428627}"/>
    <cellStyle name="Comma 2 2 2 3 2 6" xfId="6701" xr:uid="{0F00F0C2-765E-47D2-B256-3A4073B63067}"/>
    <cellStyle name="Comma 2 2 2 3 2 7" xfId="27597" xr:uid="{B979BF1A-4378-4069-9662-44A300EA866F}"/>
    <cellStyle name="Comma 2 2 2 3 3" xfId="6702" xr:uid="{58267564-9A45-462A-A530-CF66A899CE36}"/>
    <cellStyle name="Comma 2 2 2 3 3 2" xfId="6703" xr:uid="{256133F7-823A-48BC-8A1C-E1383494ED33}"/>
    <cellStyle name="Comma 2 2 2 3 3 2 2" xfId="6704" xr:uid="{73E8166A-F773-4403-B7DB-3FBB2CD78DE2}"/>
    <cellStyle name="Comma 2 2 2 3 3 3" xfId="6705" xr:uid="{D0C5041C-43F2-4317-BD1D-7B24E28B21EC}"/>
    <cellStyle name="Comma 2 2 2 3 3 4" xfId="27598" xr:uid="{F8D59AFA-B5DC-461D-97A9-FBEA15DAAB97}"/>
    <cellStyle name="Comma 2 2 2 3 4" xfId="6706" xr:uid="{46E53F0D-A805-4D17-AE94-EC8DB5A14A0D}"/>
    <cellStyle name="Comma 2 2 2 3 4 2" xfId="6707" xr:uid="{6346AAF0-8E3A-4588-A45F-BC450178F437}"/>
    <cellStyle name="Comma 2 2 2 3 4 3" xfId="27599" xr:uid="{738D632F-5652-41DF-AC01-CA79CD072788}"/>
    <cellStyle name="Comma 2 2 2 3 5" xfId="6708" xr:uid="{36CA5B16-A4F5-49A7-AFE2-511BF06BDE73}"/>
    <cellStyle name="Comma 2 2 2 3 5 2" xfId="6709" xr:uid="{90F1A94A-BB0A-4324-B328-0C03208DB95D}"/>
    <cellStyle name="Comma 2 2 2 3 5 3" xfId="27600" xr:uid="{C25876A2-383E-4F4F-B285-27A8A21571CB}"/>
    <cellStyle name="Comma 2 2 2 3 6" xfId="6710" xr:uid="{F45620EC-2B32-4EE3-B68C-42EFD715F921}"/>
    <cellStyle name="Comma 2 2 2 3 6 2" xfId="6711" xr:uid="{750755A6-3CA8-4DC3-83F8-BA9BDF21AB95}"/>
    <cellStyle name="Comma 2 2 2 3 7" xfId="6712" xr:uid="{F3F2FAE6-BFD8-46C7-BEFD-DF5D1323DF10}"/>
    <cellStyle name="Comma 2 2 2 3 7 2" xfId="6713" xr:uid="{864458D6-9E40-42D9-800E-4688BA7B7827}"/>
    <cellStyle name="Comma 2 2 2 3 8" xfId="6714" xr:uid="{7B4301BC-15B0-4D7C-BE60-4AB1AFA0CDF5}"/>
    <cellStyle name="Comma 2 2 2 3 9" xfId="6715" xr:uid="{37D4723A-65FF-46EA-8A0C-FBCF6BB867AB}"/>
    <cellStyle name="Comma 2 2 2 4" xfId="6716" xr:uid="{82D8720F-2DE5-453F-AF51-79F084730B1D}"/>
    <cellStyle name="Comma 2 2 2 4 10" xfId="27601" xr:uid="{A6805F71-ED82-44AC-B804-473BCB6F0C6F}"/>
    <cellStyle name="Comma 2 2 2 4 11" xfId="42542" xr:uid="{8E5DA498-3102-45F4-8BFC-4CC0581BBF5B}"/>
    <cellStyle name="Comma 2 2 2 4 12" xfId="43699" xr:uid="{07D6EBC8-3B0B-43F2-B4A8-D64B132DD164}"/>
    <cellStyle name="Comma 2 2 2 4 2" xfId="6717" xr:uid="{8D9DE227-8B34-42C9-BC39-E1B664C7C3BE}"/>
    <cellStyle name="Comma 2 2 2 4 2 2" xfId="6718" xr:uid="{09A264E1-3C7D-415E-AF80-2D33A101AC69}"/>
    <cellStyle name="Comma 2 2 2 4 2 2 2" xfId="6719" xr:uid="{692CDEF9-C189-47DC-9B28-76D04F851049}"/>
    <cellStyle name="Comma 2 2 2 4 2 2 2 2" xfId="6720" xr:uid="{2F3D7306-BA2E-4E43-8D00-4F35C2537473}"/>
    <cellStyle name="Comma 2 2 2 4 2 2 3" xfId="6721" xr:uid="{0E63B411-2E59-4413-8BA0-1FC51324A354}"/>
    <cellStyle name="Comma 2 2 2 4 2 2 4" xfId="27602" xr:uid="{A680835B-BCCE-486D-99EA-E2F95AFED53A}"/>
    <cellStyle name="Comma 2 2 2 4 2 3" xfId="6722" xr:uid="{62CA5821-F024-4005-BD58-37CBCD52BECC}"/>
    <cellStyle name="Comma 2 2 2 4 2 3 2" xfId="6723" xr:uid="{F41F6AE6-C6A2-4735-835D-5ADC277C0B63}"/>
    <cellStyle name="Comma 2 2 2 4 2 3 3" xfId="27603" xr:uid="{B18A617A-4158-4D02-B603-3648084BAB56}"/>
    <cellStyle name="Comma 2 2 2 4 2 4" xfId="6724" xr:uid="{A01A5827-CE19-4524-A86C-6686B105C411}"/>
    <cellStyle name="Comma 2 2 2 4 2 4 2" xfId="6725" xr:uid="{53222E22-368C-46CD-A7F3-36B0A229DDA7}"/>
    <cellStyle name="Comma 2 2 2 4 2 5" xfId="6726" xr:uid="{27A91D7D-DA2E-42EB-B502-56463E101A9F}"/>
    <cellStyle name="Comma 2 2 2 4 2 5 2" xfId="6727" xr:uid="{A315B3F6-7BFE-49C9-A608-F2E1C856E83E}"/>
    <cellStyle name="Comma 2 2 2 4 2 6" xfId="6728" xr:uid="{2518AB5B-4A75-47B9-8309-DA4886F0A033}"/>
    <cellStyle name="Comma 2 2 2 4 2 7" xfId="27604" xr:uid="{11A2939E-C292-453A-A6D0-6E1BA15E3062}"/>
    <cellStyle name="Comma 2 2 2 4 2 8" xfId="42543" xr:uid="{8652E290-3B28-4B5E-816E-BACBA4E7A66B}"/>
    <cellStyle name="Comma 2 2 2 4 2 9" xfId="43700" xr:uid="{B8EF69FD-8141-4EA0-8BB3-2E5AC429F2CC}"/>
    <cellStyle name="Comma 2 2 2 4 3" xfId="6729" xr:uid="{605B0D44-EA3C-44A1-B25D-CCF0AED503CF}"/>
    <cellStyle name="Comma 2 2 2 4 3 2" xfId="6730" xr:uid="{A026113B-C6DB-4839-8A6D-08093003BE9D}"/>
    <cellStyle name="Comma 2 2 2 4 3 2 2" xfId="6731" xr:uid="{CAC2D4DF-25CF-4B8C-8597-B8E4FF5047DD}"/>
    <cellStyle name="Comma 2 2 2 4 3 3" xfId="6732" xr:uid="{CAC6FF39-1C55-4B5B-AFD7-53B39F49B2C4}"/>
    <cellStyle name="Comma 2 2 2 4 3 4" xfId="27605" xr:uid="{27180E34-C124-4FDB-A0B2-1C80D24F2917}"/>
    <cellStyle name="Comma 2 2 2 4 3 5" xfId="42544" xr:uid="{1B2E1870-7489-49D7-B72B-91AE098C8BB6}"/>
    <cellStyle name="Comma 2 2 2 4 3 6" xfId="43701" xr:uid="{EFB57C32-0B68-4D76-9025-F61343CB6C46}"/>
    <cellStyle name="Comma 2 2 2 4 4" xfId="6733" xr:uid="{DE05DDB0-5459-4874-8C60-611EA5D22DF3}"/>
    <cellStyle name="Comma 2 2 2 4 4 2" xfId="6734" xr:uid="{E93494AA-D878-42AA-A14A-D1EF7E955364}"/>
    <cellStyle name="Comma 2 2 2 4 4 3" xfId="27606" xr:uid="{40E42429-E24C-4C8D-913B-D6B8858FCF2F}"/>
    <cellStyle name="Comma 2 2 2 4 5" xfId="6735" xr:uid="{F0C6A64E-A441-487E-B656-DF9A5DE450E3}"/>
    <cellStyle name="Comma 2 2 2 4 5 2" xfId="6736" xr:uid="{5A66F45D-1D0B-4F18-809C-A6BC681BAD62}"/>
    <cellStyle name="Comma 2 2 2 4 5 3" xfId="27607" xr:uid="{DC08EC68-B1D1-4901-9F60-FA1420DC77FF}"/>
    <cellStyle name="Comma 2 2 2 4 6" xfId="6737" xr:uid="{2FD65565-FCE4-4C42-8213-E8A8F5198E76}"/>
    <cellStyle name="Comma 2 2 2 4 6 2" xfId="6738" xr:uid="{2DCE07EE-2C0C-465E-B081-79FACC52F3BD}"/>
    <cellStyle name="Comma 2 2 2 4 7" xfId="6739" xr:uid="{7FE0D1DA-64B8-4E0B-A8AD-7FB675D72AE4}"/>
    <cellStyle name="Comma 2 2 2 4 7 2" xfId="6740" xr:uid="{6D28C42A-2B2D-4EF8-A4ED-DC6ECC693B89}"/>
    <cellStyle name="Comma 2 2 2 4 8" xfId="6741" xr:uid="{9269C88F-52B7-4436-B523-84CB2E39B758}"/>
    <cellStyle name="Comma 2 2 2 4 9" xfId="6742" xr:uid="{4F874FC7-37F0-456B-83AB-6D0E017A8FFB}"/>
    <cellStyle name="Comma 2 2 2 5" xfId="6743" xr:uid="{9BD0B60B-65F9-4F44-8A8A-3C160DF9C719}"/>
    <cellStyle name="Comma 2 2 2 5 10" xfId="42545" xr:uid="{FB2C2C7D-9459-4A50-ACA3-4E14E7B22F4B}"/>
    <cellStyle name="Comma 2 2 2 5 11" xfId="43702" xr:uid="{C4630320-8F96-4B14-9601-BC7F76834C2A}"/>
    <cellStyle name="Comma 2 2 2 5 2" xfId="6744" xr:uid="{25D81683-1986-4FFD-9236-F2A767F7412E}"/>
    <cellStyle name="Comma 2 2 2 5 2 2" xfId="6745" xr:uid="{45763023-2C1B-4327-B15A-BF59C95DBC38}"/>
    <cellStyle name="Comma 2 2 2 5 2 2 2" xfId="6746" xr:uid="{C9763894-9673-4A19-9077-35224969DC2A}"/>
    <cellStyle name="Comma 2 2 2 5 2 2 2 2" xfId="6747" xr:uid="{786EA622-1DCB-4B63-9356-2D84157A1BED}"/>
    <cellStyle name="Comma 2 2 2 5 2 2 3" xfId="6748" xr:uid="{E681787C-0C02-45CD-90E1-87DCCB28DAE3}"/>
    <cellStyle name="Comma 2 2 2 5 2 2 4" xfId="27608" xr:uid="{451E07B6-6A32-4D00-B823-DBE9EFB0BCD7}"/>
    <cellStyle name="Comma 2 2 2 5 2 3" xfId="6749" xr:uid="{DB046F25-6496-4014-B0F5-1C896E0D246C}"/>
    <cellStyle name="Comma 2 2 2 5 2 3 2" xfId="6750" xr:uid="{7CD4CDF2-1CC1-4380-B595-AC7A4A8C2BE5}"/>
    <cellStyle name="Comma 2 2 2 5 2 3 3" xfId="27609" xr:uid="{439FB7BD-4741-485F-BF92-B9219A337DD8}"/>
    <cellStyle name="Comma 2 2 2 5 2 4" xfId="6751" xr:uid="{AE41F86F-7F7F-4EE6-AEA3-23DAAFE4126B}"/>
    <cellStyle name="Comma 2 2 2 5 2 4 2" xfId="6752" xr:uid="{746D9FA1-1B7F-481D-9AC6-C0036B9E4EE7}"/>
    <cellStyle name="Comma 2 2 2 5 2 5" xfId="6753" xr:uid="{F5F908C5-D2FB-4E12-B9CD-F65BAE5034D4}"/>
    <cellStyle name="Comma 2 2 2 5 2 5 2" xfId="6754" xr:uid="{26C2AD4D-4934-450B-9923-D58A9806F536}"/>
    <cellStyle name="Comma 2 2 2 5 2 6" xfId="6755" xr:uid="{EDC8CF45-39F4-4B03-9CFD-7A356065943B}"/>
    <cellStyle name="Comma 2 2 2 5 2 7" xfId="27610" xr:uid="{6E78ABF7-46D7-4742-B280-658EF2DC479A}"/>
    <cellStyle name="Comma 2 2 2 5 3" xfId="6756" xr:uid="{D7E4E540-5E54-433B-A6EA-D0AD7E6B706D}"/>
    <cellStyle name="Comma 2 2 2 5 3 2" xfId="6757" xr:uid="{68CA878C-0776-4BF7-9D77-BDA77C169640}"/>
    <cellStyle name="Comma 2 2 2 5 3 2 2" xfId="6758" xr:uid="{443A83DA-1C73-4BEA-9B73-CF0699ADB5B1}"/>
    <cellStyle name="Comma 2 2 2 5 3 3" xfId="6759" xr:uid="{1A50BE89-31F1-4EF9-A1E1-2A2F7FAF4D98}"/>
    <cellStyle name="Comma 2 2 2 5 3 4" xfId="27611" xr:uid="{AB09B282-1AC3-4963-9B1D-515956B05043}"/>
    <cellStyle name="Comma 2 2 2 5 4" xfId="6760" xr:uid="{4DC41E8F-C7E8-4067-9B38-3D95ED707C30}"/>
    <cellStyle name="Comma 2 2 2 5 4 2" xfId="6761" xr:uid="{C7DDB023-C839-4651-8EE0-EAFDCE0D18FE}"/>
    <cellStyle name="Comma 2 2 2 5 4 3" xfId="27612" xr:uid="{CF51D969-F51F-4A63-A76A-5D4F4B145819}"/>
    <cellStyle name="Comma 2 2 2 5 5" xfId="6762" xr:uid="{6EF3A185-3813-4164-8703-7607D2A778B0}"/>
    <cellStyle name="Comma 2 2 2 5 5 2" xfId="6763" xr:uid="{1073C992-503D-4A5A-9B17-A6E8FDC963A9}"/>
    <cellStyle name="Comma 2 2 2 5 6" xfId="6764" xr:uid="{4BC203B2-4754-4823-B79B-9AFD7F3A0046}"/>
    <cellStyle name="Comma 2 2 2 5 6 2" xfId="6765" xr:uid="{D858931E-4588-40A7-B541-358A9BD63AC0}"/>
    <cellStyle name="Comma 2 2 2 5 7" xfId="6766" xr:uid="{38EC4E31-8D33-4523-9A47-BDDD67951504}"/>
    <cellStyle name="Comma 2 2 2 5 8" xfId="6767" xr:uid="{FA759B9F-FF6E-4760-98B1-0CD04DECA7E7}"/>
    <cellStyle name="Comma 2 2 2 5 9" xfId="27613" xr:uid="{2FE39EBF-BBDF-4C62-BE62-371739C95E57}"/>
    <cellStyle name="Comma 2 2 2 6" xfId="6768" xr:uid="{E26ABC0B-26E2-487B-9BF3-1749E8A504B4}"/>
    <cellStyle name="Comma 2 2 2 6 2" xfId="6769" xr:uid="{CC887AB7-12AA-4889-9710-0471E8D235E0}"/>
    <cellStyle name="Comma 2 2 2 6 2 2" xfId="6770" xr:uid="{5388E204-6817-4F2B-9245-C2525B3B4067}"/>
    <cellStyle name="Comma 2 2 2 6 2 2 2" xfId="6771" xr:uid="{79452B28-DEF0-4403-8A78-566EDD79A5D1}"/>
    <cellStyle name="Comma 2 2 2 6 2 2 2 2" xfId="6772" xr:uid="{04B98B60-939E-4358-9909-B020F9376D06}"/>
    <cellStyle name="Comma 2 2 2 6 2 2 3" xfId="6773" xr:uid="{D0A5C520-6CD9-4ED1-85C7-0FB9C51F27B6}"/>
    <cellStyle name="Comma 2 2 2 6 2 2 4" xfId="27614" xr:uid="{3C97ACFC-220C-4C67-A762-BE581B1E620C}"/>
    <cellStyle name="Comma 2 2 2 6 2 3" xfId="6774" xr:uid="{4C3DD02F-A23E-4193-B4EF-FB46ADCD4803}"/>
    <cellStyle name="Comma 2 2 2 6 2 3 2" xfId="6775" xr:uid="{FF28F05D-2EA9-4228-974D-791DC11A3CB7}"/>
    <cellStyle name="Comma 2 2 2 6 2 3 3" xfId="27615" xr:uid="{99DC22E2-E596-487A-8098-CC5096D5E4D5}"/>
    <cellStyle name="Comma 2 2 2 6 2 4" xfId="6776" xr:uid="{7A7181AA-1CBA-4D50-B4F2-6B8D388C8ED4}"/>
    <cellStyle name="Comma 2 2 2 6 2 4 2" xfId="6777" xr:uid="{298C4E27-CE95-4E15-B3FD-CA8817173547}"/>
    <cellStyle name="Comma 2 2 2 6 2 5" xfId="6778" xr:uid="{DC9CCE15-15A3-4C16-B85A-1AD6283C8005}"/>
    <cellStyle name="Comma 2 2 2 6 3" xfId="6779" xr:uid="{D033AE06-B63B-496D-A606-90BFB71FF5B5}"/>
    <cellStyle name="Comma 2 2 2 6 3 2" xfId="6780" xr:uid="{1A286C9F-C925-4C06-AB86-6CC38BE75538}"/>
    <cellStyle name="Comma 2 2 2 6 3 2 2" xfId="6781" xr:uid="{FE23DA8A-C3D8-4832-81F9-FEE36398C23B}"/>
    <cellStyle name="Comma 2 2 2 6 3 3" xfId="6782" xr:uid="{9DE04A51-56AE-49A7-852C-411B98C73EF1}"/>
    <cellStyle name="Comma 2 2 2 6 3 4" xfId="27616" xr:uid="{66A1D2FE-1056-4E94-9742-85687ADB6D0B}"/>
    <cellStyle name="Comma 2 2 2 6 4" xfId="6783" xr:uid="{CA9BA906-D763-4424-B9BA-6811152BED2C}"/>
    <cellStyle name="Comma 2 2 2 6 4 2" xfId="6784" xr:uid="{71AD681E-1262-42FC-B262-781D35C0BD49}"/>
    <cellStyle name="Comma 2 2 2 6 4 3" xfId="27617" xr:uid="{32CECE6E-7EFF-42F8-802C-FB1F5A827256}"/>
    <cellStyle name="Comma 2 2 2 6 5" xfId="6785" xr:uid="{3C06AACE-8FB4-4119-B93C-40A87BEE4E97}"/>
    <cellStyle name="Comma 2 2 2 6 5 2" xfId="6786" xr:uid="{E74FB879-96CA-4DB2-BC56-C6CAB429A084}"/>
    <cellStyle name="Comma 2 2 2 6 6" xfId="6787" xr:uid="{D451C5ED-E58B-4EA5-9D77-C6FDD35324B1}"/>
    <cellStyle name="Comma 2 2 2 6 6 2" xfId="6788" xr:uid="{DA5D48AA-2DD3-44CA-8EE0-EADA4FD84694}"/>
    <cellStyle name="Comma 2 2 2 6 7" xfId="6789" xr:uid="{78705B75-D198-415E-A8D7-67A553F195B0}"/>
    <cellStyle name="Comma 2 2 2 6 8" xfId="27618" xr:uid="{18EF6542-8E5B-441B-98D5-0C2E46A76D90}"/>
    <cellStyle name="Comma 2 2 2 6 9" xfId="42546" xr:uid="{0933D3DC-A203-4A99-96D9-C54CF3095E5A}"/>
    <cellStyle name="Comma 2 2 2 7" xfId="6790" xr:uid="{2D9F8851-CA66-4E93-85CD-E71070EA8C91}"/>
    <cellStyle name="Comma 2 2 2 7 2" xfId="6791" xr:uid="{C6FD8FE4-0C4D-4F5B-9F95-D7B78334210E}"/>
    <cellStyle name="Comma 2 2 2 7 2 2" xfId="6792" xr:uid="{075AF12D-29A4-4C96-8952-4D30010B55E3}"/>
    <cellStyle name="Comma 2 2 2 7 2 2 2" xfId="6793" xr:uid="{ECA722C2-6DB1-4DA7-8CE0-D399B8695160}"/>
    <cellStyle name="Comma 2 2 2 7 2 2 2 2" xfId="27619" xr:uid="{FD1A332D-D49B-4024-A8B9-411EBC012D6C}"/>
    <cellStyle name="Comma 2 2 2 7 2 2 3" xfId="27620" xr:uid="{34A70D23-F836-4CED-A0F5-C8F916E7EDC3}"/>
    <cellStyle name="Comma 2 2 2 7 2 3" xfId="6794" xr:uid="{0CAB63C8-1C58-413D-B9B3-92490E26F297}"/>
    <cellStyle name="Comma 2 2 2 7 2 3 2" xfId="6795" xr:uid="{22A0D8F0-A08A-4EAB-B1D1-162662497332}"/>
    <cellStyle name="Comma 2 2 2 7 2 4" xfId="6796" xr:uid="{B8495A96-D80E-4BDB-B2CB-8531742D8504}"/>
    <cellStyle name="Comma 2 2 2 7 2 5" xfId="27621" xr:uid="{283E0993-6D28-4DFC-A427-EDA1362F27AF}"/>
    <cellStyle name="Comma 2 2 2 7 3" xfId="6797" xr:uid="{FA4279B9-2448-4FC2-A5CC-0989A0F099D3}"/>
    <cellStyle name="Comma 2 2 2 7 3 2" xfId="6798" xr:uid="{33C0F254-77E6-468F-9F70-FA42563BB428}"/>
    <cellStyle name="Comma 2 2 2 7 3 2 2" xfId="6799" xr:uid="{E0BE3E6C-51B6-43A0-9663-AEE1D65B52D1}"/>
    <cellStyle name="Comma 2 2 2 7 3 3" xfId="6800" xr:uid="{89B0255A-A2F5-45F0-A003-540E55C609C0}"/>
    <cellStyle name="Comma 2 2 2 7 3 4" xfId="27622" xr:uid="{87E55B68-983E-4717-9C9E-048C3DED8CC8}"/>
    <cellStyle name="Comma 2 2 2 7 4" xfId="6801" xr:uid="{BF37ACC0-9AB8-4D3E-BE1A-6A2104396DF5}"/>
    <cellStyle name="Comma 2 2 2 7 4 2" xfId="6802" xr:uid="{418C9434-3AE0-4355-8C09-AE1417F1EE08}"/>
    <cellStyle name="Comma 2 2 2 7 4 3" xfId="27623" xr:uid="{3908367A-63C1-4C73-A8FB-7AFFB40D883E}"/>
    <cellStyle name="Comma 2 2 2 7 5" xfId="6803" xr:uid="{53D21ABE-49C0-4292-AEB3-DABEF491936D}"/>
    <cellStyle name="Comma 2 2 2 7 5 2" xfId="6804" xr:uid="{DFDEDCE4-ED9F-4E91-805E-5184FD4D48DC}"/>
    <cellStyle name="Comma 2 2 2 7 6" xfId="6805" xr:uid="{136E05E4-A0F2-48A9-B4D3-2BFF9AD74331}"/>
    <cellStyle name="Comma 2 2 2 7 7" xfId="27624" xr:uid="{78C19155-F62C-4E80-97F1-3C1792B7B360}"/>
    <cellStyle name="Comma 2 2 2 8" xfId="6806" xr:uid="{85CCC836-209D-4F17-ADE2-2BE831C6DE44}"/>
    <cellStyle name="Comma 2 2 2 8 2" xfId="6807" xr:uid="{E8199DE7-B53F-4D8B-B880-256844FA864E}"/>
    <cellStyle name="Comma 2 2 2 8 2 2" xfId="6808" xr:uid="{B323590B-1BF6-4989-8595-E60C1F952C5F}"/>
    <cellStyle name="Comma 2 2 2 8 2 2 2" xfId="27625" xr:uid="{FF936AA3-E858-492E-9663-448412EF57A0}"/>
    <cellStyle name="Comma 2 2 2 8 2 3" xfId="27626" xr:uid="{A5424B69-7102-41AC-8A0A-B851EDBBD061}"/>
    <cellStyle name="Comma 2 2 2 8 3" xfId="6809" xr:uid="{36FA796D-7E7F-45CD-A85C-DAD78528D002}"/>
    <cellStyle name="Comma 2 2 2 8 3 2" xfId="6810" xr:uid="{A4CB5A93-E062-41C5-82DA-069CC48D2DBE}"/>
    <cellStyle name="Comma 2 2 2 8 4" xfId="6811" xr:uid="{247E688A-6CB6-44C4-BD0E-D9A4FF8D1B47}"/>
    <cellStyle name="Comma 2 2 2 8 5" xfId="27627" xr:uid="{7DC65BBC-2482-4316-9F0C-46AD75334524}"/>
    <cellStyle name="Comma 2 2 2 9" xfId="6812" xr:uid="{B45D8C13-ED10-4CA5-8828-3608B8077BE4}"/>
    <cellStyle name="Comma 2 2 2 9 2" xfId="6813" xr:uid="{E15DA611-01CA-4DEA-AF3B-B7F00FBED4B8}"/>
    <cellStyle name="Comma 2 2 2 9 2 2" xfId="6814" xr:uid="{9D84A259-60E9-4E97-8E25-25426B5E9EA6}"/>
    <cellStyle name="Comma 2 2 2 9 3" xfId="6815" xr:uid="{0859A1D8-9B09-4C83-9657-03721A8EA70D}"/>
    <cellStyle name="Comma 2 2 2 9 4" xfId="27628" xr:uid="{CCDE43AF-86C7-4822-94D3-F7F37D50A079}"/>
    <cellStyle name="Comma 2 2 20" xfId="27629" xr:uid="{78DE0108-3F5E-49E6-BBC6-FDF3E520E6E7}"/>
    <cellStyle name="Comma 2 2 21" xfId="27630" xr:uid="{133ECCB0-3F15-43F2-9075-863DAFDEFCF0}"/>
    <cellStyle name="Comma 2 2 22" xfId="42538" xr:uid="{BB73238A-920B-41F9-A8FE-0A49B9F78D49}"/>
    <cellStyle name="Comma 2 2 23" xfId="43695" xr:uid="{8177826F-FE6B-4E6A-9150-CBF0AEC42EB0}"/>
    <cellStyle name="Comma 2 2 24" xfId="44109" xr:uid="{3CFF3A83-37DA-49FB-8390-28BCB2FF7C06}"/>
    <cellStyle name="Comma 2 2 25" xfId="6575" xr:uid="{E6065719-F2F4-4525-9C4D-879113663BDE}"/>
    <cellStyle name="Comma 2 2 26" xfId="45920" xr:uid="{EA034B1B-2ACB-4286-AD65-BCCF1001811F}"/>
    <cellStyle name="Comma 2 2 3" xfId="6816" xr:uid="{F6936A20-9693-4893-A2B8-181F22F2CFD6}"/>
    <cellStyle name="Comma 2 2 3 10" xfId="6817" xr:uid="{3D543E2E-F2E7-42EB-ADB0-8DA541E66AC3}"/>
    <cellStyle name="Comma 2 2 3 10 2" xfId="6818" xr:uid="{F2FBED7E-16B2-4482-A473-92608B069AB1}"/>
    <cellStyle name="Comma 2 2 3 11" xfId="6819" xr:uid="{DDDDB777-92D5-4D30-A21E-2F3018855EC9}"/>
    <cellStyle name="Comma 2 2 3 11 2" xfId="6820" xr:uid="{3B3331E2-25FF-4BE2-8C6B-CAAB47748600}"/>
    <cellStyle name="Comma 2 2 3 12" xfId="6821" xr:uid="{2AEE9C88-A6FC-47CC-8E78-1B4E32827A59}"/>
    <cellStyle name="Comma 2 2 3 13" xfId="6822" xr:uid="{04489FFE-B49B-4EBD-A4ED-A8E67B037F68}"/>
    <cellStyle name="Comma 2 2 3 14" xfId="6823" xr:uid="{4D5DD255-24F1-420F-AEB0-D85FCDC67820}"/>
    <cellStyle name="Comma 2 2 3 15" xfId="27631" xr:uid="{99F9DA1A-2EA5-4306-9946-110FE9240E73}"/>
    <cellStyle name="Comma 2 2 3 16" xfId="27632" xr:uid="{48A2BA8D-9088-4811-8819-7F6B1F587FB1}"/>
    <cellStyle name="Comma 2 2 3 17" xfId="42547" xr:uid="{B3177703-811B-40FA-B320-E1673DCDB88B}"/>
    <cellStyle name="Comma 2 2 3 18" xfId="43703" xr:uid="{01D2B0EA-2F41-4539-88E4-09B9739B6607}"/>
    <cellStyle name="Comma 2 2 3 19" xfId="45931" xr:uid="{66566A53-A167-46B8-80B2-271911D15172}"/>
    <cellStyle name="Comma 2 2 3 2" xfId="6824" xr:uid="{893BB76C-9C81-4B33-9095-76BF12D2AC9D}"/>
    <cellStyle name="Comma 2 2 3 2 10" xfId="42548" xr:uid="{8D374B96-629B-4405-9D30-C9A67BDF6C61}"/>
    <cellStyle name="Comma 2 2 3 2 11" xfId="43704" xr:uid="{1AF780A0-D8DC-461D-A27A-71C143100A8E}"/>
    <cellStyle name="Comma 2 2 3 2 2" xfId="6825" xr:uid="{DA27CCBE-FE67-4773-9B74-EDE3C691554B}"/>
    <cellStyle name="Comma 2 2 3 2 2 2" xfId="6826" xr:uid="{5B8E1C50-7293-404A-8ABF-483004BA904F}"/>
    <cellStyle name="Comma 2 2 3 2 2 2 2" xfId="6827" xr:uid="{34D08ED8-96DC-4D7A-B516-5378C842D922}"/>
    <cellStyle name="Comma 2 2 3 2 2 2 2 2" xfId="6828" xr:uid="{32322EF7-D778-4D21-8E30-F27DA36CD535}"/>
    <cellStyle name="Comma 2 2 3 2 2 2 3" xfId="6829" xr:uid="{8C70B335-F58D-408C-9B78-07C7595E21BF}"/>
    <cellStyle name="Comma 2 2 3 2 2 2 4" xfId="27633" xr:uid="{51A8C047-AD34-4DA8-AA57-B245906C8A71}"/>
    <cellStyle name="Comma 2 2 3 2 2 3" xfId="6830" xr:uid="{979763BB-EA55-4A58-801C-BE19A7B72DD5}"/>
    <cellStyle name="Comma 2 2 3 2 2 3 2" xfId="6831" xr:uid="{62E7D76C-12E2-406B-8FC2-8DD1A4A37C1A}"/>
    <cellStyle name="Comma 2 2 3 2 2 3 3" xfId="27634" xr:uid="{2D974CCB-A1A3-472A-87D4-5F2A51EF6E42}"/>
    <cellStyle name="Comma 2 2 3 2 2 4" xfId="6832" xr:uid="{422DC99F-DE5F-4095-B37C-ABBF54EA67D3}"/>
    <cellStyle name="Comma 2 2 3 2 2 4 2" xfId="6833" xr:uid="{08022CBD-16C7-48AE-8F6C-4BC9E91D84C8}"/>
    <cellStyle name="Comma 2 2 3 2 2 5" xfId="6834" xr:uid="{512807EF-2E5C-44D0-8FF1-04E8B2A4154A}"/>
    <cellStyle name="Comma 2 2 3 2 2 5 2" xfId="6835" xr:uid="{354B3EA8-D481-44DB-BB86-6560D0CCD7F2}"/>
    <cellStyle name="Comma 2 2 3 2 2 6" xfId="6836" xr:uid="{906E9FEA-C74B-4586-BF96-D804F5AAC353}"/>
    <cellStyle name="Comma 2 2 3 2 2 7" xfId="27635" xr:uid="{F08E37C6-F2D5-41B1-AA60-42B051F182AB}"/>
    <cellStyle name="Comma 2 2 3 2 3" xfId="6837" xr:uid="{07153BB8-CC35-4B79-A74C-7C9188DF3BDF}"/>
    <cellStyle name="Comma 2 2 3 2 3 2" xfId="6838" xr:uid="{A0E7FDB0-2D45-4A9E-BD84-F8275D3AD6C7}"/>
    <cellStyle name="Comma 2 2 3 2 3 2 2" xfId="6839" xr:uid="{B10031E9-5FA2-45DA-BEC2-67B42108086A}"/>
    <cellStyle name="Comma 2 2 3 2 3 3" xfId="6840" xr:uid="{6774DEF1-F9DE-4F27-B9CA-638E44CD4995}"/>
    <cellStyle name="Comma 2 2 3 2 3 4" xfId="27636" xr:uid="{AB449865-1A29-4D6E-86FF-BA341441384E}"/>
    <cellStyle name="Comma 2 2 3 2 4" xfId="6841" xr:uid="{8EA6AC8E-D50D-489C-8284-419DECA5ED45}"/>
    <cellStyle name="Comma 2 2 3 2 4 2" xfId="6842" xr:uid="{46FF8D4D-D95E-483E-81A9-EE757842F317}"/>
    <cellStyle name="Comma 2 2 3 2 4 3" xfId="27637" xr:uid="{16EC99C3-1DB5-4C83-A910-7175D080D1C2}"/>
    <cellStyle name="Comma 2 2 3 2 5" xfId="6843" xr:uid="{92B4D768-E89F-428E-B913-9C23EB0B91F1}"/>
    <cellStyle name="Comma 2 2 3 2 5 2" xfId="6844" xr:uid="{8400E943-3279-4984-8C5E-964E3C57E7E4}"/>
    <cellStyle name="Comma 2 2 3 2 6" xfId="6845" xr:uid="{EB323833-26EB-4DBB-BDDF-EC2BEA8BD0C3}"/>
    <cellStyle name="Comma 2 2 3 2 6 2" xfId="6846" xr:uid="{134306E5-5A3A-44CB-86CA-9DF02B9A267A}"/>
    <cellStyle name="Comma 2 2 3 2 7" xfId="6847" xr:uid="{60FE7099-9B71-410B-8032-2B0E49C50718}"/>
    <cellStyle name="Comma 2 2 3 2 7 2" xfId="6848" xr:uid="{B0BBE599-B7B6-4D08-AF64-71C35FCDA1B4}"/>
    <cellStyle name="Comma 2 2 3 2 8" xfId="6849" xr:uid="{46C2398A-31D3-4AD0-A00A-CFC594760761}"/>
    <cellStyle name="Comma 2 2 3 2 9" xfId="6850" xr:uid="{E42FC751-FA47-4E07-8A2F-AF9E242E7674}"/>
    <cellStyle name="Comma 2 2 3 3" xfId="6851" xr:uid="{FA30EE6E-EEA9-402A-B415-55C165F0A2B6}"/>
    <cellStyle name="Comma 2 2 3 3 10" xfId="42549" xr:uid="{EA79A9ED-700A-4590-8160-147EB30CFB7C}"/>
    <cellStyle name="Comma 2 2 3 3 11" xfId="43705" xr:uid="{88F276C8-1D1D-46F1-B90C-14403B1BE149}"/>
    <cellStyle name="Comma 2 2 3 3 2" xfId="6852" xr:uid="{6ED94B67-9647-4243-951A-2222AAB9855C}"/>
    <cellStyle name="Comma 2 2 3 3 2 2" xfId="6853" xr:uid="{D3F76D3B-FD60-4AA4-AF3D-26658B5A89EA}"/>
    <cellStyle name="Comma 2 2 3 3 2 2 2" xfId="6854" xr:uid="{B98BE86E-D93B-4E55-A9F9-A49AB09C4833}"/>
    <cellStyle name="Comma 2 2 3 3 2 2 2 2" xfId="6855" xr:uid="{46976486-7F81-47CF-935F-EC1B5B00FF0B}"/>
    <cellStyle name="Comma 2 2 3 3 2 2 3" xfId="6856" xr:uid="{FFD07BC3-3EDE-4F60-894D-94C812E02FDD}"/>
    <cellStyle name="Comma 2 2 3 3 2 2 4" xfId="27638" xr:uid="{0DBD740A-BAAB-42FA-8700-2A2B35C4B80F}"/>
    <cellStyle name="Comma 2 2 3 3 2 3" xfId="6857" xr:uid="{1E180F4E-0F7C-44F7-A693-9DF4D544396C}"/>
    <cellStyle name="Comma 2 2 3 3 2 3 2" xfId="6858" xr:uid="{A840E922-A318-4770-A454-4CC8BE23E649}"/>
    <cellStyle name="Comma 2 2 3 3 2 3 3" xfId="27639" xr:uid="{6848FCB0-42D5-42FC-A27B-9A3F6BEBE5D8}"/>
    <cellStyle name="Comma 2 2 3 3 2 4" xfId="6859" xr:uid="{8386AE7E-B4D6-415A-B23B-770EA2DEC402}"/>
    <cellStyle name="Comma 2 2 3 3 2 4 2" xfId="6860" xr:uid="{94A3F32F-E4F3-4BC1-AFA4-6EC333C87C6B}"/>
    <cellStyle name="Comma 2 2 3 3 2 5" xfId="6861" xr:uid="{225DA9BA-EE67-4BCC-BF37-8A8783766F8E}"/>
    <cellStyle name="Comma 2 2 3 3 2 5 2" xfId="6862" xr:uid="{EA0E5C13-A53C-4C07-A86E-FB4D92395A94}"/>
    <cellStyle name="Comma 2 2 3 3 2 6" xfId="6863" xr:uid="{9BE02744-4EDA-4C9A-A0C0-6B2F7145B9BE}"/>
    <cellStyle name="Comma 2 2 3 3 2 7" xfId="27640" xr:uid="{2D06D07F-DDED-4701-AED8-566683AEF88C}"/>
    <cellStyle name="Comma 2 2 3 3 3" xfId="6864" xr:uid="{2F13CD5F-69D3-4605-BD5A-9128F4CFAC9B}"/>
    <cellStyle name="Comma 2 2 3 3 3 2" xfId="6865" xr:uid="{1043B756-9221-4707-A2F2-4CC7D390BA00}"/>
    <cellStyle name="Comma 2 2 3 3 3 2 2" xfId="6866" xr:uid="{1A2A0BB3-9584-4CAF-9496-EE7CC3BE9CB1}"/>
    <cellStyle name="Comma 2 2 3 3 3 3" xfId="6867" xr:uid="{A1E643D2-219F-4911-A285-3F942EEE0B03}"/>
    <cellStyle name="Comma 2 2 3 3 3 4" xfId="27641" xr:uid="{50CB7759-87D8-4337-BB74-E47DA528B306}"/>
    <cellStyle name="Comma 2 2 3 3 4" xfId="6868" xr:uid="{991E8E3B-8ADD-449B-9302-8000AFDF7893}"/>
    <cellStyle name="Comma 2 2 3 3 4 2" xfId="6869" xr:uid="{3289C706-0131-403F-A018-B8EC8160A325}"/>
    <cellStyle name="Comma 2 2 3 3 4 3" xfId="27642" xr:uid="{B1F283F3-D378-4AD1-B3F9-5F64215AE49C}"/>
    <cellStyle name="Comma 2 2 3 3 5" xfId="6870" xr:uid="{CFB6A415-9542-48F7-A9AD-078A1CC47B9C}"/>
    <cellStyle name="Comma 2 2 3 3 5 2" xfId="6871" xr:uid="{F380DC96-9AA0-4509-AC2F-0D4F30FE1E66}"/>
    <cellStyle name="Comma 2 2 3 3 6" xfId="6872" xr:uid="{0B6DF5BB-27DE-4150-9ECF-B0BEB4E59B8A}"/>
    <cellStyle name="Comma 2 2 3 3 6 2" xfId="6873" xr:uid="{DBA6255C-8966-432D-A3D5-D70D07676018}"/>
    <cellStyle name="Comma 2 2 3 3 7" xfId="6874" xr:uid="{5EB7A29B-3498-4948-B558-B26180E1FE86}"/>
    <cellStyle name="Comma 2 2 3 3 7 2" xfId="6875" xr:uid="{971FC108-D2C1-4472-A00C-99622CC0AB91}"/>
    <cellStyle name="Comma 2 2 3 3 8" xfId="6876" xr:uid="{0F23B465-6910-49A4-916A-FB0DE3CD074F}"/>
    <cellStyle name="Comma 2 2 3 3 9" xfId="27643" xr:uid="{B5D2CE9C-A347-408F-885C-F330B3D09D96}"/>
    <cellStyle name="Comma 2 2 3 4" xfId="6877" xr:uid="{0E16B382-7419-4176-9280-0C80FB1D2168}"/>
    <cellStyle name="Comma 2 2 3 4 10" xfId="43706" xr:uid="{9290B943-07E5-43DD-9BF3-AAFC5D077A78}"/>
    <cellStyle name="Comma 2 2 3 4 2" xfId="6878" xr:uid="{6D250B51-86D8-4AC2-8938-9ED7900D0647}"/>
    <cellStyle name="Comma 2 2 3 4 2 2" xfId="6879" xr:uid="{DD98E9B6-EE94-4BAD-8044-298B01E48786}"/>
    <cellStyle name="Comma 2 2 3 4 2 2 2" xfId="6880" xr:uid="{D0DBA1FD-21DC-4986-8AF7-2D917EBB1750}"/>
    <cellStyle name="Comma 2 2 3 4 2 2 3" xfId="27644" xr:uid="{6BA230AA-2642-4894-8AC6-7712DEBA444B}"/>
    <cellStyle name="Comma 2 2 3 4 2 3" xfId="6881" xr:uid="{B5FF9FEC-647F-4589-8B0F-AD3CD45E2659}"/>
    <cellStyle name="Comma 2 2 3 4 2 3 2" xfId="6882" xr:uid="{2B827C15-1F21-43A5-9451-BD03D0A2162A}"/>
    <cellStyle name="Comma 2 2 3 4 2 4" xfId="6883" xr:uid="{F9AE3F61-DBA6-4416-ABB5-3E2442E43E87}"/>
    <cellStyle name="Comma 2 2 3 4 2 4 2" xfId="6884" xr:uid="{8087482A-0310-4DEF-BC57-00429C46DB53}"/>
    <cellStyle name="Comma 2 2 3 4 2 5" xfId="6885" xr:uid="{D48D675C-4A83-4F77-96CC-327ECADB8B96}"/>
    <cellStyle name="Comma 2 2 3 4 2 6" xfId="42551" xr:uid="{8A25A293-3CD3-4FD2-BA31-29ED71D82784}"/>
    <cellStyle name="Comma 2 2 3 4 2 7" xfId="43707" xr:uid="{93991FAA-6111-4CA4-8976-A4506F5D62BD}"/>
    <cellStyle name="Comma 2 2 3 4 3" xfId="6886" xr:uid="{B44C5FBA-3410-45DC-8741-C1C62E2AFB86}"/>
    <cellStyle name="Comma 2 2 3 4 3 2" xfId="6887" xr:uid="{CEF4A489-E1BE-47C0-A3CE-DE23E624627F}"/>
    <cellStyle name="Comma 2 2 3 4 3 3" xfId="27645" xr:uid="{7F42DE87-AC2B-4DFA-BD15-3B6032EEBBCC}"/>
    <cellStyle name="Comma 2 2 3 4 4" xfId="6888" xr:uid="{9392C0B7-1173-4398-8A00-37450D1FA957}"/>
    <cellStyle name="Comma 2 2 3 4 4 2" xfId="6889" xr:uid="{32BB4B32-FF41-4D2B-87A4-C3DCB56B8CA3}"/>
    <cellStyle name="Comma 2 2 3 4 5" xfId="6890" xr:uid="{86AC9608-7F32-4CDF-9089-BB3F07929897}"/>
    <cellStyle name="Comma 2 2 3 4 5 2" xfId="6891" xr:uid="{F7D098FB-036E-43BA-AF84-91428B60084B}"/>
    <cellStyle name="Comma 2 2 3 4 6" xfId="6892" xr:uid="{30AA2F11-E249-4F30-930D-7E54E4501211}"/>
    <cellStyle name="Comma 2 2 3 4 6 2" xfId="6893" xr:uid="{728787D8-454C-4A67-BB61-7815E0DC6B9A}"/>
    <cellStyle name="Comma 2 2 3 4 7" xfId="6894" xr:uid="{2932DC80-18F9-4EAF-81FC-7210EF1FC309}"/>
    <cellStyle name="Comma 2 2 3 4 8" xfId="27646" xr:uid="{1C095234-2060-4A2E-BBE0-DDE2C64B05C8}"/>
    <cellStyle name="Comma 2 2 3 4 9" xfId="42550" xr:uid="{CC749D00-5B00-4F15-8BD4-B2DE256BDDD1}"/>
    <cellStyle name="Comma 2 2 3 5" xfId="6895" xr:uid="{519F8C79-1767-41E8-8DBB-4F0F6501F72B}"/>
    <cellStyle name="Comma 2 2 3 5 2" xfId="6896" xr:uid="{D58C3FBE-1E55-45B3-94F9-C6BC516CDB9D}"/>
    <cellStyle name="Comma 2 2 3 5 2 2" xfId="6897" xr:uid="{2943F9F5-6C92-4D38-A8A2-37B3201A68D7}"/>
    <cellStyle name="Comma 2 2 3 5 2 3" xfId="27647" xr:uid="{EEE212D4-0C7F-4ADF-9296-1C3D899878FA}"/>
    <cellStyle name="Comma 2 2 3 5 3" xfId="6898" xr:uid="{5449FCD4-BF71-4BF5-8795-F6D80C1AEAFA}"/>
    <cellStyle name="Comma 2 2 3 5 3 2" xfId="6899" xr:uid="{AA7E1B4A-7A52-44FF-BC44-803B7CE7C3E3}"/>
    <cellStyle name="Comma 2 2 3 5 4" xfId="6900" xr:uid="{B7AC3476-B7B7-48F5-A4C1-4D7540D8FDFF}"/>
    <cellStyle name="Comma 2 2 3 5 4 2" xfId="6901" xr:uid="{38697573-0ECF-430A-A5CE-9C8D7373362C}"/>
    <cellStyle name="Comma 2 2 3 5 5" xfId="6902" xr:uid="{70E13C40-5A06-49F1-ADCD-6C67C0D7803F}"/>
    <cellStyle name="Comma 2 2 3 5 6" xfId="42552" xr:uid="{9C39B2CF-E210-4D4B-81E0-585B73453647}"/>
    <cellStyle name="Comma 2 2 3 5 7" xfId="43708" xr:uid="{47DFC829-D099-4535-970C-C57395887F14}"/>
    <cellStyle name="Comma 2 2 3 6" xfId="6903" xr:uid="{57CC75A2-AAF0-4978-A95A-A39EDAB7582D}"/>
    <cellStyle name="Comma 2 2 3 6 2" xfId="6904" xr:uid="{202BBD23-B295-41B9-84FA-B08D78248F5F}"/>
    <cellStyle name="Comma 2 2 3 6 3" xfId="27648" xr:uid="{2A20CB35-6EA3-4844-9312-1F74EE5F6BE1}"/>
    <cellStyle name="Comma 2 2 3 7" xfId="6905" xr:uid="{794AC65C-8D6F-42B6-BDB9-953477C7BF4E}"/>
    <cellStyle name="Comma 2 2 3 7 2" xfId="6906" xr:uid="{D8797C93-F2E9-469C-BA87-998B3B52A2AD}"/>
    <cellStyle name="Comma 2 2 3 7 3" xfId="27649" xr:uid="{742A9875-F093-4446-ACF5-B7A226F19009}"/>
    <cellStyle name="Comma 2 2 3 8" xfId="6907" xr:uid="{537FFF8E-2C83-49D7-91EC-15A7AC9D24D5}"/>
    <cellStyle name="Comma 2 2 3 8 2" xfId="6908" xr:uid="{FF21D4BB-83A5-4846-B18D-225087B8FA19}"/>
    <cellStyle name="Comma 2 2 3 9" xfId="6909" xr:uid="{71FE4366-AF00-47FC-9241-0CF107C1ED50}"/>
    <cellStyle name="Comma 2 2 3 9 2" xfId="6910" xr:uid="{B9EB9792-003C-47DB-AAAE-D783B54E8349}"/>
    <cellStyle name="Comma 2 2 4" xfId="6911" xr:uid="{88DF8C0B-CCD2-4A23-8BDF-4989A776AFF6}"/>
    <cellStyle name="Comma 2 2 4 10" xfId="6912" xr:uid="{1512E50A-146E-486F-A37E-F044721E450C}"/>
    <cellStyle name="Comma 2 2 4 11" xfId="6913" xr:uid="{D2411DDF-399F-4D50-9C94-0693C3F263ED}"/>
    <cellStyle name="Comma 2 2 4 12" xfId="42553" xr:uid="{D0808533-EF8A-4803-B45B-3FA312D3A7E3}"/>
    <cellStyle name="Comma 2 2 4 13" xfId="43709" xr:uid="{38E02675-AA1C-4B69-B992-515845ED41D7}"/>
    <cellStyle name="Comma 2 2 4 2" xfId="6914" xr:uid="{73A29D1E-EE47-416F-BA79-D88B7EF1CA39}"/>
    <cellStyle name="Comma 2 2 4 2 10" xfId="43710" xr:uid="{F676AC5B-D1BB-4558-937D-9432109EB3CD}"/>
    <cellStyle name="Comma 2 2 4 2 2" xfId="6915" xr:uid="{8213BC6A-014A-40C5-ABA2-A87BED459F8D}"/>
    <cellStyle name="Comma 2 2 4 2 2 2" xfId="6916" xr:uid="{42CA5C0E-DC49-4486-A4BB-7A48AA78A2E6}"/>
    <cellStyle name="Comma 2 2 4 2 2 2 2" xfId="6917" xr:uid="{8CC8D222-C2B9-4F3D-B338-A53D5BCF4E9C}"/>
    <cellStyle name="Comma 2 2 4 2 2 2 3" xfId="27650" xr:uid="{9DD6DB6A-CEA0-4DA5-AD87-102A32BE7EC6}"/>
    <cellStyle name="Comma 2 2 4 2 2 3" xfId="6918" xr:uid="{BD97A9D2-F2F2-4D5F-955C-3DDC6DC9195C}"/>
    <cellStyle name="Comma 2 2 4 2 2 3 2" xfId="6919" xr:uid="{06C62490-5A73-4CC2-86FA-F271E11B73D7}"/>
    <cellStyle name="Comma 2 2 4 2 2 4" xfId="6920" xr:uid="{BB961620-10A2-4D3E-A821-8083F87303DB}"/>
    <cellStyle name="Comma 2 2 4 2 2 4 2" xfId="6921" xr:uid="{584DB9BA-F681-4AC7-B830-7AFDF01D8419}"/>
    <cellStyle name="Comma 2 2 4 2 2 5" xfId="6922" xr:uid="{96CE76D3-BF36-4A15-9446-91FB597651F9}"/>
    <cellStyle name="Comma 2 2 4 2 3" xfId="6923" xr:uid="{01254EDC-0C63-4060-B965-53A59AF13C4D}"/>
    <cellStyle name="Comma 2 2 4 2 3 2" xfId="6924" xr:uid="{B5027951-09F9-47F7-809E-7DC5B735D2CE}"/>
    <cellStyle name="Comma 2 2 4 2 3 3" xfId="27651" xr:uid="{ABC799FD-2AF8-47FA-9515-5C9B63AAC2C7}"/>
    <cellStyle name="Comma 2 2 4 2 4" xfId="6925" xr:uid="{E277049F-E58C-4DF3-81A4-F4872D5EFB61}"/>
    <cellStyle name="Comma 2 2 4 2 4 2" xfId="6926" xr:uid="{914E94E3-B5CF-4B66-B85B-FE1236C3D677}"/>
    <cellStyle name="Comma 2 2 4 2 5" xfId="6927" xr:uid="{9EE54F1C-6B92-4C86-A553-0B17A0E62E1D}"/>
    <cellStyle name="Comma 2 2 4 2 5 2" xfId="6928" xr:uid="{BFD65686-A374-4367-8C65-E4D69DAA6C35}"/>
    <cellStyle name="Comma 2 2 4 2 6" xfId="6929" xr:uid="{F07059CC-0943-41A3-B47A-48654079B122}"/>
    <cellStyle name="Comma 2 2 4 2 6 2" xfId="6930" xr:uid="{4AD0D0F8-4524-466E-955B-270FACCC6F87}"/>
    <cellStyle name="Comma 2 2 4 2 7" xfId="6931" xr:uid="{ED836E31-2BAC-478B-A507-BCBE9E80CA78}"/>
    <cellStyle name="Comma 2 2 4 2 8" xfId="27652" xr:uid="{CFE1CA66-E675-4C21-91D7-9B16A31155E0}"/>
    <cellStyle name="Comma 2 2 4 2 9" xfId="42554" xr:uid="{2F5DE215-BCEC-48D4-8F14-55BEEBA261DD}"/>
    <cellStyle name="Comma 2 2 4 3" xfId="6932" xr:uid="{11892FFC-F39A-4C91-A533-5A17644C7210}"/>
    <cellStyle name="Comma 2 2 4 3 2" xfId="6933" xr:uid="{F78D2677-E16A-45C1-A0DC-005874856A3C}"/>
    <cellStyle name="Comma 2 2 4 3 2 2" xfId="6934" xr:uid="{AD9FD2B2-0521-4929-B698-94B18E6FE86E}"/>
    <cellStyle name="Comma 2 2 4 3 2 3" xfId="27653" xr:uid="{81956569-87BE-4600-9DF6-9B6BBD563EF7}"/>
    <cellStyle name="Comma 2 2 4 3 3" xfId="6935" xr:uid="{00FEBBCE-F64D-452D-A0C1-6B30A4717B9E}"/>
    <cellStyle name="Comma 2 2 4 3 3 2" xfId="6936" xr:uid="{88E1CC9D-5BD8-4805-AD38-0959999CD9B1}"/>
    <cellStyle name="Comma 2 2 4 3 4" xfId="6937" xr:uid="{05AA999B-D837-453A-94D7-A9896C127519}"/>
    <cellStyle name="Comma 2 2 4 3 4 2" xfId="6938" xr:uid="{4A6BFDA2-704F-45F5-A007-9B9B78306780}"/>
    <cellStyle name="Comma 2 2 4 3 5" xfId="6939" xr:uid="{569CF000-9257-4856-B98F-9DE90E150DA5}"/>
    <cellStyle name="Comma 2 2 4 4" xfId="6940" xr:uid="{A506592F-3F03-4B56-BEF3-AA21716A4443}"/>
    <cellStyle name="Comma 2 2 4 4 2" xfId="6941" xr:uid="{6F84E78C-26ED-4DCF-8C11-9144C54A634E}"/>
    <cellStyle name="Comma 2 2 4 4 3" xfId="27654" xr:uid="{D2E1BC07-6A0B-456F-BED5-539CF5160290}"/>
    <cellStyle name="Comma 2 2 4 5" xfId="6942" xr:uid="{582C229B-8C0B-4614-9F0A-A29DF44113C7}"/>
    <cellStyle name="Comma 2 2 4 5 2" xfId="6943" xr:uid="{746EBF28-281B-4D1A-983B-842048284144}"/>
    <cellStyle name="Comma 2 2 4 5 3" xfId="27655" xr:uid="{382A2E9D-B7DF-4FF9-8E18-9738F89AC859}"/>
    <cellStyle name="Comma 2 2 4 6" xfId="6944" xr:uid="{DC846A62-D3DD-4E64-B4FF-C142D045F1D3}"/>
    <cellStyle name="Comma 2 2 4 6 2" xfId="6945" xr:uid="{FFDE03AB-E643-4E14-9FAC-C81B322BED03}"/>
    <cellStyle name="Comma 2 2 4 7" xfId="6946" xr:uid="{7BEE0B52-87F0-439F-A19A-ADE79F13B76A}"/>
    <cellStyle name="Comma 2 2 4 7 2" xfId="6947" xr:uid="{69C9183F-83A3-459F-AC7C-FB0B69E65F09}"/>
    <cellStyle name="Comma 2 2 4 8" xfId="6948" xr:uid="{45E35F45-B6A7-44A4-8D99-95F28D80903D}"/>
    <cellStyle name="Comma 2 2 4 8 2" xfId="6949" xr:uid="{8E77EBC1-7B0B-4DF0-818E-83D04A13517C}"/>
    <cellStyle name="Comma 2 2 4 9" xfId="6950" xr:uid="{1275B065-A058-4AA0-881B-4CC23FC4BEEA}"/>
    <cellStyle name="Comma 2 2 5" xfId="6951" xr:uid="{F059D3DF-3575-4702-970A-459788849407}"/>
    <cellStyle name="Comma 2 2 5 10" xfId="27656" xr:uid="{9319C7DC-E698-4748-986E-8B508ED3C627}"/>
    <cellStyle name="Comma 2 2 5 11" xfId="42555" xr:uid="{8C71A3D4-F1B7-4C36-A38F-5D5C4A31D9C9}"/>
    <cellStyle name="Comma 2 2 5 12" xfId="43711" xr:uid="{499BC0F4-DF7A-4630-B818-2273C9EB29EE}"/>
    <cellStyle name="Comma 2 2 5 2" xfId="6952" xr:uid="{B50AD70D-A6D5-4DA9-B637-6BEFAF3FB349}"/>
    <cellStyle name="Comma 2 2 5 2 2" xfId="6953" xr:uid="{4A202556-11E9-4BDD-B8C3-9EED90FBFF0B}"/>
    <cellStyle name="Comma 2 2 5 2 2 2" xfId="6954" xr:uid="{143605B6-CAF8-45A7-8E12-43889DA43953}"/>
    <cellStyle name="Comma 2 2 5 2 2 2 2" xfId="6955" xr:uid="{D3514E4E-EBBD-44E2-8A5F-102538DC75B9}"/>
    <cellStyle name="Comma 2 2 5 2 2 3" xfId="6956" xr:uid="{CD88B15E-41A1-40C4-A5DD-69C68B2F9ECD}"/>
    <cellStyle name="Comma 2 2 5 2 2 4" xfId="27657" xr:uid="{EB8D39A9-FFAD-461A-B2B3-9A76A9B24D80}"/>
    <cellStyle name="Comma 2 2 5 2 3" xfId="6957" xr:uid="{73C03330-8FED-4C4A-AC41-222A8A110483}"/>
    <cellStyle name="Comma 2 2 5 2 3 2" xfId="6958" xr:uid="{D5CCF3E3-3D96-442A-BFB0-2E5B60C21636}"/>
    <cellStyle name="Comma 2 2 5 2 3 3" xfId="27658" xr:uid="{964D0EE9-342A-4428-B2CF-DD82E92CAE3A}"/>
    <cellStyle name="Comma 2 2 5 2 4" xfId="6959" xr:uid="{B955EA7F-7A95-4947-8321-D71FE0313012}"/>
    <cellStyle name="Comma 2 2 5 2 4 2" xfId="6960" xr:uid="{472011B2-2C38-496F-83DF-B4D8DC2FFC1C}"/>
    <cellStyle name="Comma 2 2 5 2 5" xfId="6961" xr:uid="{EE958AD1-359A-487D-95EF-93F60F1B32D4}"/>
    <cellStyle name="Comma 2 2 5 2 5 2" xfId="6962" xr:uid="{89F8D162-2846-4D52-BCAB-2750D76C9B91}"/>
    <cellStyle name="Comma 2 2 5 2 6" xfId="6963" xr:uid="{4747ADC8-EB07-4486-97AD-F1D9C247910E}"/>
    <cellStyle name="Comma 2 2 5 2 7" xfId="27659" xr:uid="{3458E84D-5871-4FC6-8616-838539D0B650}"/>
    <cellStyle name="Comma 2 2 5 3" xfId="6964" xr:uid="{57B23BF1-2F00-4E08-8666-B9E92FC162B8}"/>
    <cellStyle name="Comma 2 2 5 3 2" xfId="6965" xr:uid="{286F5353-B41E-4E56-A2BC-B1CE3D5D77EB}"/>
    <cellStyle name="Comma 2 2 5 3 2 2" xfId="6966" xr:uid="{4E215F95-D068-4177-99F6-A9A34FD068B1}"/>
    <cellStyle name="Comma 2 2 5 3 3" xfId="6967" xr:uid="{DDE99EC5-2AD3-469E-A0E3-2A240C88F327}"/>
    <cellStyle name="Comma 2 2 5 3 4" xfId="27660" xr:uid="{52B3B4FA-DD76-418E-97EA-B4B49991536F}"/>
    <cellStyle name="Comma 2 2 5 4" xfId="6968" xr:uid="{397DE939-3A26-4D38-91EB-844419B18D09}"/>
    <cellStyle name="Comma 2 2 5 4 2" xfId="6969" xr:uid="{9E6D3670-442C-4FE1-853A-53706A3EC057}"/>
    <cellStyle name="Comma 2 2 5 4 3" xfId="27661" xr:uid="{C0C713CF-10F7-40A2-8B33-337462602DBB}"/>
    <cellStyle name="Comma 2 2 5 5" xfId="6970" xr:uid="{AF8806A4-31C7-4890-A2E5-31DD988A1655}"/>
    <cellStyle name="Comma 2 2 5 5 2" xfId="6971" xr:uid="{337773DC-E397-4555-BE0A-E108DA2644AE}"/>
    <cellStyle name="Comma 2 2 5 5 3" xfId="27662" xr:uid="{A341DA36-63D6-4C03-91CB-1DD7518E96E8}"/>
    <cellStyle name="Comma 2 2 5 6" xfId="6972" xr:uid="{7360A72E-F498-4F24-B320-58E8312915C9}"/>
    <cellStyle name="Comma 2 2 5 6 2" xfId="6973" xr:uid="{F79C7EEA-18A2-415E-A979-D99DA77B9D0A}"/>
    <cellStyle name="Comma 2 2 5 7" xfId="6974" xr:uid="{A79C92E9-4620-49A7-B289-41B899753298}"/>
    <cellStyle name="Comma 2 2 5 7 2" xfId="6975" xr:uid="{BA33813F-50F5-4EF7-B103-4FB1D53958A5}"/>
    <cellStyle name="Comma 2 2 5 8" xfId="6976" xr:uid="{0412A496-D84F-46F7-960F-764B961A8BBE}"/>
    <cellStyle name="Comma 2 2 5 9" xfId="6977" xr:uid="{38E16711-515C-4CDC-AE76-D43D7B660E8E}"/>
    <cellStyle name="Comma 2 2 6" xfId="6978" xr:uid="{42C36370-E48A-4C07-AACF-47D370DB827B}"/>
    <cellStyle name="Comma 2 2 6 10" xfId="27663" xr:uid="{521CE6A9-96F4-4BB8-8BA2-F11E98CD0458}"/>
    <cellStyle name="Comma 2 2 6 11" xfId="42556" xr:uid="{1447888D-3B84-4F96-91BD-0018FB1906D9}"/>
    <cellStyle name="Comma 2 2 6 12" xfId="43712" xr:uid="{72EC6080-6773-49AE-A895-1D6F99C75C65}"/>
    <cellStyle name="Comma 2 2 6 2" xfId="6979" xr:uid="{E4EA62F8-5F2B-46FE-8333-06568C9F2D9A}"/>
    <cellStyle name="Comma 2 2 6 2 2" xfId="6980" xr:uid="{D3E2F0CF-C1F7-48AB-9499-BDF962513F65}"/>
    <cellStyle name="Comma 2 2 6 2 2 2" xfId="6981" xr:uid="{E5126DE8-8DBD-4E95-A12B-032B93403187}"/>
    <cellStyle name="Comma 2 2 6 2 2 2 2" xfId="6982" xr:uid="{DED730ED-1E0C-43A9-BA0C-A302573AFCF5}"/>
    <cellStyle name="Comma 2 2 6 2 2 3" xfId="6983" xr:uid="{034864F0-9262-4307-88F0-33BD758C0178}"/>
    <cellStyle name="Comma 2 2 6 2 2 4" xfId="27664" xr:uid="{29B90B8B-1458-464D-A60A-1E51CAD13FA9}"/>
    <cellStyle name="Comma 2 2 6 2 3" xfId="6984" xr:uid="{C2227860-71A3-4622-94E9-C3DBB1575C55}"/>
    <cellStyle name="Comma 2 2 6 2 3 2" xfId="6985" xr:uid="{D4CE2B8C-6E61-4694-93CC-75BAB00A4477}"/>
    <cellStyle name="Comma 2 2 6 2 3 3" xfId="27665" xr:uid="{4155C207-52D4-47FE-85DF-B2847D4F6171}"/>
    <cellStyle name="Comma 2 2 6 2 4" xfId="6986" xr:uid="{4496E5CC-92A3-47BA-B2F5-02A3CA329494}"/>
    <cellStyle name="Comma 2 2 6 2 4 2" xfId="6987" xr:uid="{B75493A9-1715-4867-896A-9E8A7235E749}"/>
    <cellStyle name="Comma 2 2 6 2 5" xfId="6988" xr:uid="{AF7F132C-662D-40D6-8219-6A43A57B7012}"/>
    <cellStyle name="Comma 2 2 6 2 5 2" xfId="6989" xr:uid="{69126E17-4C86-43E0-80CA-F3FF70CF264E}"/>
    <cellStyle name="Comma 2 2 6 2 6" xfId="6990" xr:uid="{48E88223-F991-4342-809C-FB20CE549F8A}"/>
    <cellStyle name="Comma 2 2 6 2 7" xfId="27666" xr:uid="{84545150-89C9-4437-B672-5D94EF6A0A62}"/>
    <cellStyle name="Comma 2 2 6 2 8" xfId="42557" xr:uid="{9567692C-F1BD-4C50-959E-35683005EE47}"/>
    <cellStyle name="Comma 2 2 6 2 9" xfId="43713" xr:uid="{3D5056E1-353E-4DE9-895E-95AA1786EE1B}"/>
    <cellStyle name="Comma 2 2 6 3" xfId="6991" xr:uid="{F14FF95F-21CD-40C4-AC92-4F985A2BCD75}"/>
    <cellStyle name="Comma 2 2 6 3 2" xfId="6992" xr:uid="{5B33D4DE-9752-4C86-9D7E-99C45472AF09}"/>
    <cellStyle name="Comma 2 2 6 3 2 2" xfId="6993" xr:uid="{3484DF0B-E4A9-4B8C-B6B7-CDA87F2718AA}"/>
    <cellStyle name="Comma 2 2 6 3 3" xfId="6994" xr:uid="{0784F6E4-8847-45B4-8972-EAFDF4D9F3F0}"/>
    <cellStyle name="Comma 2 2 6 3 4" xfId="27667" xr:uid="{08A8CBB0-D5F6-4AEF-B361-3CCC5FB2A59B}"/>
    <cellStyle name="Comma 2 2 6 3 5" xfId="42558" xr:uid="{33D0EBF7-F379-496F-AD01-5153B11940BE}"/>
    <cellStyle name="Comma 2 2 6 3 6" xfId="43714" xr:uid="{B77F1926-91DD-48C4-93E9-4B84B0F4AEA0}"/>
    <cellStyle name="Comma 2 2 6 4" xfId="6995" xr:uid="{BA0BD70D-9F2F-482F-B45B-7F82DEEBA98B}"/>
    <cellStyle name="Comma 2 2 6 4 2" xfId="6996" xr:uid="{ACFCD7EC-990C-4220-B957-1F9041B32F65}"/>
    <cellStyle name="Comma 2 2 6 4 3" xfId="27668" xr:uid="{279A8C75-DF57-4C12-B58B-069C050BA217}"/>
    <cellStyle name="Comma 2 2 6 5" xfId="6997" xr:uid="{01922FF1-AA0A-46F4-9CF9-3338488456DE}"/>
    <cellStyle name="Comma 2 2 6 5 2" xfId="6998" xr:uid="{D526EDCD-3B13-4345-80F0-A70BD322F384}"/>
    <cellStyle name="Comma 2 2 6 6" xfId="6999" xr:uid="{CFD5196B-4AF0-4170-A153-D74C3370D7CB}"/>
    <cellStyle name="Comma 2 2 6 6 2" xfId="7000" xr:uid="{0FCD861D-6EF5-46BB-AF9F-284BF7344B54}"/>
    <cellStyle name="Comma 2 2 6 7" xfId="7001" xr:uid="{EDCF9621-877C-4EF0-A6ED-C6630F50DB2F}"/>
    <cellStyle name="Comma 2 2 6 7 2" xfId="7002" xr:uid="{9F808F16-43A0-4AF2-BD3A-C8751D751DDE}"/>
    <cellStyle name="Comma 2 2 6 8" xfId="7003" xr:uid="{3EA2781F-EADD-49C9-A3D4-D09ECBAEAA9A}"/>
    <cellStyle name="Comma 2 2 6 9" xfId="7004" xr:uid="{7FBB14D1-A016-4840-A309-C115C91547E4}"/>
    <cellStyle name="Comma 2 2 7" xfId="7005" xr:uid="{C05DDBD9-3DC1-4FE2-8FED-B942CC9415FB}"/>
    <cellStyle name="Comma 2 2 7 10" xfId="43715" xr:uid="{E7C8546C-F96B-4A91-94D2-D66D4131EEAF}"/>
    <cellStyle name="Comma 2 2 7 2" xfId="7006" xr:uid="{9FBC1376-207D-41D9-A7B7-FDD6240CD1B1}"/>
    <cellStyle name="Comma 2 2 7 2 2" xfId="7007" xr:uid="{EDB3C573-A482-479D-B51B-DAE7BA09DF21}"/>
    <cellStyle name="Comma 2 2 7 2 2 2" xfId="7008" xr:uid="{33B54D42-D093-40B5-8A2D-58C776C3EA24}"/>
    <cellStyle name="Comma 2 2 7 2 2 2 2" xfId="7009" xr:uid="{E48EC625-D21C-408B-9546-721119960A51}"/>
    <cellStyle name="Comma 2 2 7 2 2 3" xfId="7010" xr:uid="{8D3076A1-03C3-444A-8AF7-8EE286623247}"/>
    <cellStyle name="Comma 2 2 7 2 2 4" xfId="27669" xr:uid="{37E4E46C-8F57-49E4-93E6-BEC3927598DB}"/>
    <cellStyle name="Comma 2 2 7 2 3" xfId="7011" xr:uid="{6AEE0E16-60A4-4B38-960C-2403E35E6BAA}"/>
    <cellStyle name="Comma 2 2 7 2 3 2" xfId="7012" xr:uid="{5E291531-D743-4D4E-A12E-9FD7FB0ADB22}"/>
    <cellStyle name="Comma 2 2 7 2 3 3" xfId="27670" xr:uid="{4E3CCEE0-AF24-4EB2-8DCC-0B1FB2EFB8FA}"/>
    <cellStyle name="Comma 2 2 7 2 4" xfId="7013" xr:uid="{C5A72BB8-3957-472A-A635-BF7CC31CFFCE}"/>
    <cellStyle name="Comma 2 2 7 2 4 2" xfId="7014" xr:uid="{8B8BE93D-3FAF-4630-A08A-F1D3DFA261D8}"/>
    <cellStyle name="Comma 2 2 7 2 5" xfId="7015" xr:uid="{AD035493-8833-46A0-B641-92EA48C45C1E}"/>
    <cellStyle name="Comma 2 2 7 2 5 2" xfId="7016" xr:uid="{7FD5E994-CC77-4872-B82C-4A8254B78165}"/>
    <cellStyle name="Comma 2 2 7 2 6" xfId="7017" xr:uid="{4A556352-1FAC-4F41-AFA4-36C5F05C3BF9}"/>
    <cellStyle name="Comma 2 2 7 2 7" xfId="27671" xr:uid="{D9F94639-C484-4A13-BA7A-B0A778EA87A2}"/>
    <cellStyle name="Comma 2 2 7 3" xfId="7018" xr:uid="{A7B8A990-DF36-49DB-B3F3-69A5BE5AEA21}"/>
    <cellStyle name="Comma 2 2 7 3 2" xfId="7019" xr:uid="{627806C0-25E8-4C61-A514-727C9B06BB03}"/>
    <cellStyle name="Comma 2 2 7 3 2 2" xfId="7020" xr:uid="{49FB029D-24B3-47EB-B453-35144E52E174}"/>
    <cellStyle name="Comma 2 2 7 3 3" xfId="7021" xr:uid="{8005D2A3-C122-45F8-9D10-41523034C5B6}"/>
    <cellStyle name="Comma 2 2 7 3 4" xfId="27672" xr:uid="{E1B854C9-006E-457B-A603-951E74E478D2}"/>
    <cellStyle name="Comma 2 2 7 4" xfId="7022" xr:uid="{CE2BFFBE-D6DE-4AFC-8157-BA89C5280208}"/>
    <cellStyle name="Comma 2 2 7 4 2" xfId="7023" xr:uid="{605E2D24-E915-46A6-9A7D-0C7206364D3F}"/>
    <cellStyle name="Comma 2 2 7 4 3" xfId="27673" xr:uid="{8CB47B5D-E822-415E-B9AB-9AAE7184405C}"/>
    <cellStyle name="Comma 2 2 7 5" xfId="7024" xr:uid="{D8512B16-C9EC-483F-97D8-B180C19ED7F9}"/>
    <cellStyle name="Comma 2 2 7 5 2" xfId="7025" xr:uid="{593D5EBA-F8DB-4D67-BEC6-A02B064ED85E}"/>
    <cellStyle name="Comma 2 2 7 6" xfId="7026" xr:uid="{8A1069F1-CFC9-4712-B42D-DB3252BCEFE0}"/>
    <cellStyle name="Comma 2 2 7 6 2" xfId="7027" xr:uid="{CE93C840-8954-4349-86B1-4D05CA1A885C}"/>
    <cellStyle name="Comma 2 2 7 7" xfId="7028" xr:uid="{D16404BF-5244-44EB-8F8F-0448528495F4}"/>
    <cellStyle name="Comma 2 2 7 8" xfId="27674" xr:uid="{28F2FC2C-B60A-48D6-A58B-47BCFFCFE597}"/>
    <cellStyle name="Comma 2 2 7 9" xfId="42559" xr:uid="{0B29A62A-2D3E-494E-8226-273AB5C919FB}"/>
    <cellStyle name="Comma 2 2 8" xfId="7029" xr:uid="{74682A2D-FFF3-4D51-ABC8-8BEA8838D864}"/>
    <cellStyle name="Comma 2 2 8 2" xfId="7030" xr:uid="{E67C229F-958C-4CA4-A8E3-41691348969A}"/>
    <cellStyle name="Comma 2 2 8 2 2" xfId="7031" xr:uid="{BE036E3A-449E-4188-B5EB-DE3CAC9933DF}"/>
    <cellStyle name="Comma 2 2 8 2 2 2" xfId="7032" xr:uid="{A6B7D83A-0506-4064-A901-105D45AAA045}"/>
    <cellStyle name="Comma 2 2 8 2 2 2 2" xfId="27675" xr:uid="{2D558555-3809-4C20-B50C-90C0C32D07A2}"/>
    <cellStyle name="Comma 2 2 8 2 2 3" xfId="27676" xr:uid="{756CE8C3-54DE-4BDB-8503-76C0B55A3891}"/>
    <cellStyle name="Comma 2 2 8 2 3" xfId="7033" xr:uid="{F257AE1C-17FD-4A55-A728-D0A03167047E}"/>
    <cellStyle name="Comma 2 2 8 2 3 2" xfId="7034" xr:uid="{0C075BF1-9025-40FD-A71A-05675CA9E423}"/>
    <cellStyle name="Comma 2 2 8 2 4" xfId="7035" xr:uid="{8505A554-11B8-4E9F-A2FA-3F9243EE9E4A}"/>
    <cellStyle name="Comma 2 2 8 2 5" xfId="27677" xr:uid="{7D627D5C-B109-45F6-8DD5-DE0638651ACC}"/>
    <cellStyle name="Comma 2 2 8 3" xfId="7036" xr:uid="{FC3F821A-1734-49C8-9697-787D546BAC59}"/>
    <cellStyle name="Comma 2 2 8 3 2" xfId="7037" xr:uid="{E9A099F6-107B-4F52-853E-FCC1397FC91B}"/>
    <cellStyle name="Comma 2 2 8 3 2 2" xfId="7038" xr:uid="{07582F0C-EF9B-4D86-87A7-AF085CB10307}"/>
    <cellStyle name="Comma 2 2 8 3 3" xfId="7039" xr:uid="{F97DDDFB-B0B9-4D33-AE95-637C111D5E14}"/>
    <cellStyle name="Comma 2 2 8 3 4" xfId="27678" xr:uid="{62F274AB-1206-4C76-9101-3765A12323CC}"/>
    <cellStyle name="Comma 2 2 8 4" xfId="7040" xr:uid="{8D12608B-E115-4776-AD46-5309C4B84567}"/>
    <cellStyle name="Comma 2 2 8 4 2" xfId="7041" xr:uid="{37F4C5F0-D761-4BC1-9F65-870F6D358A1E}"/>
    <cellStyle name="Comma 2 2 8 4 3" xfId="27679" xr:uid="{CEDFB1D0-3210-41B3-A5C5-7B797D5FCF41}"/>
    <cellStyle name="Comma 2 2 8 5" xfId="7042" xr:uid="{5069ED40-29AD-4FEB-9041-0897C7A466C7}"/>
    <cellStyle name="Comma 2 2 8 5 2" xfId="7043" xr:uid="{4099E281-7EA4-4E16-84F6-39B7C260705C}"/>
    <cellStyle name="Comma 2 2 8 6" xfId="7044" xr:uid="{56AB94CE-6BC0-465E-B151-7C386FBD6ACA}"/>
    <cellStyle name="Comma 2 2 8 7" xfId="27680" xr:uid="{3844615F-199C-425C-8547-4D3576414F64}"/>
    <cellStyle name="Comma 2 2 8 8" xfId="42560" xr:uid="{4CB4770B-9D17-4383-829F-D40883F0A5C2}"/>
    <cellStyle name="Comma 2 2 9" xfId="7045" xr:uid="{16455A71-5A0F-47AA-B400-0F100125404C}"/>
    <cellStyle name="Comma 2 2 9 2" xfId="7046" xr:uid="{DD8FA446-2203-40D5-934D-59762F7C47A1}"/>
    <cellStyle name="Comma 2 2 9 2 2" xfId="7047" xr:uid="{2BBEE46B-EE77-44BE-A3F0-CB58D3466DE0}"/>
    <cellStyle name="Comma 2 2 9 2 2 2" xfId="7048" xr:uid="{041552FA-71EE-4D7E-B5DD-AC3E953CA8A1}"/>
    <cellStyle name="Comma 2 2 9 2 2 2 2" xfId="27681" xr:uid="{5D5C6E97-C9FC-484C-B4B9-A12A38164DA9}"/>
    <cellStyle name="Comma 2 2 9 2 2 3" xfId="27682" xr:uid="{8C284575-2F5C-4C9A-85CC-2E88443439D9}"/>
    <cellStyle name="Comma 2 2 9 2 3" xfId="7049" xr:uid="{27E1162D-7F34-4545-B564-98E1A0861283}"/>
    <cellStyle name="Comma 2 2 9 2 3 2" xfId="7050" xr:uid="{1FDBF4E8-ED38-48D2-89A6-9B1E9824E5A7}"/>
    <cellStyle name="Comma 2 2 9 2 4" xfId="7051" xr:uid="{EECF4C93-1546-4525-8A70-7C99FAB97232}"/>
    <cellStyle name="Comma 2 2 9 2 5" xfId="27683" xr:uid="{231F81E9-864C-4CC4-B330-6EADA1C6B036}"/>
    <cellStyle name="Comma 2 2 9 3" xfId="7052" xr:uid="{3CD928DF-70DE-4AC6-AA88-6574BBD62DF8}"/>
    <cellStyle name="Comma 2 2 9 3 2" xfId="7053" xr:uid="{BCB87718-E507-48B2-AE3D-D9D1CCE22ED9}"/>
    <cellStyle name="Comma 2 2 9 3 2 2" xfId="7054" xr:uid="{2B3F1193-DDD9-4E90-8C18-122BF7ABC581}"/>
    <cellStyle name="Comma 2 2 9 3 3" xfId="7055" xr:uid="{A9423E57-BDEE-4174-95C3-B8FA35375362}"/>
    <cellStyle name="Comma 2 2 9 3 4" xfId="27684" xr:uid="{5A5017E7-276F-4BE3-9D2D-5E0207F427BA}"/>
    <cellStyle name="Comma 2 2 9 4" xfId="7056" xr:uid="{473F8EC3-5F0D-4B51-8606-E1C84C2213B1}"/>
    <cellStyle name="Comma 2 2 9 4 2" xfId="27685" xr:uid="{439CA725-C2AA-4FA6-83D4-EEC35C17F385}"/>
    <cellStyle name="Comma 2 2 9 4 3" xfId="27686" xr:uid="{C28D7CE6-4164-4BCE-8982-04182A8FEF0C}"/>
    <cellStyle name="Comma 2 2 9 5" xfId="7057" xr:uid="{75150CAA-23EF-4EAC-89A8-C9A5B0005610}"/>
    <cellStyle name="Comma 2 2 9 5 2" xfId="7058" xr:uid="{68B17781-5B82-41CE-A8EF-AEC36F4BA7DC}"/>
    <cellStyle name="Comma 2 2 9 6" xfId="7059" xr:uid="{E312C1C6-2CB7-46E3-BB51-F243D6E2CC79}"/>
    <cellStyle name="Comma 2 2 9 7" xfId="42561" xr:uid="{630CB2EB-1CE4-416B-AD01-8485CA9FCA1E}"/>
    <cellStyle name="Comma 2 2 9 8" xfId="43716" xr:uid="{A8324B77-B0E0-4FD0-BC3B-F73EF86408AD}"/>
    <cellStyle name="Comma 2 20" xfId="7060" xr:uid="{D9B60E67-275D-48E9-8C57-AC6DA356035B}"/>
    <cellStyle name="Comma 2 20 2" xfId="7061" xr:uid="{3E7B71C7-21D6-442F-985C-98AD3F59DAD3}"/>
    <cellStyle name="Comma 2 20 2 2" xfId="7062" xr:uid="{3DCDFB8E-D051-4B24-8205-F36E39A7D818}"/>
    <cellStyle name="Comma 2 20 2 3" xfId="27687" xr:uid="{8C3384EE-6147-4B31-9691-B3BDDF88C24C}"/>
    <cellStyle name="Comma 2 20 3" xfId="7063" xr:uid="{6E0E2110-B3C8-4EC0-9146-E323C1F99973}"/>
    <cellStyle name="Comma 2 20 4" xfId="27688" xr:uid="{D794807F-36F4-47E1-BEC9-78F9B6FE0BA7}"/>
    <cellStyle name="Comma 2 20 5" xfId="27689" xr:uid="{8B988157-5833-47EF-BE49-F7DEC0349576}"/>
    <cellStyle name="Comma 2 20 6" xfId="27690" xr:uid="{4183C01C-BC99-43D1-A1AB-3688B8A2FB69}"/>
    <cellStyle name="Comma 2 20 7" xfId="42562" xr:uid="{26E7134B-9F2B-4C07-91AC-C3F658674EC2}"/>
    <cellStyle name="Comma 2 20 8" xfId="43717" xr:uid="{081E31C3-E0C8-47D0-94EF-F31A4659CA2B}"/>
    <cellStyle name="Comma 2 21" xfId="7064" xr:uid="{7C195352-D95A-4769-8261-8AF677FDF561}"/>
    <cellStyle name="Comma 2 21 2" xfId="7065" xr:uid="{2BB53DF3-1217-447D-AAA7-509CB51DB7C2}"/>
    <cellStyle name="Comma 2 21 2 2" xfId="7066" xr:uid="{14BEE125-7519-4818-A4FB-5D69D136167A}"/>
    <cellStyle name="Comma 2 21 2 3" xfId="27691" xr:uid="{3A857897-6BB0-4A69-B9A1-CA83C8329D49}"/>
    <cellStyle name="Comma 2 21 3" xfId="7067" xr:uid="{46409AEC-E1D1-491B-AEF9-70836822A1A9}"/>
    <cellStyle name="Comma 2 21 4" xfId="27692" xr:uid="{99BD064C-7CE7-4670-8966-F6B78EB1F416}"/>
    <cellStyle name="Comma 2 21 5" xfId="42563" xr:uid="{3EF440FA-C928-4F32-95FC-74137C1D2692}"/>
    <cellStyle name="Comma 2 21 6" xfId="43718" xr:uid="{956A462A-14D9-48A5-A33A-71041C2C69CB}"/>
    <cellStyle name="Comma 2 22" xfId="7068" xr:uid="{F6662330-35A9-4B8F-962B-B9F5552C9A8D}"/>
    <cellStyle name="Comma 2 22 2" xfId="7069" xr:uid="{C06F9EA1-28D2-4CA2-90A0-DD23E5A87EDE}"/>
    <cellStyle name="Comma 2 22 2 2" xfId="7070" xr:uid="{3EAB9C77-0667-4732-8C83-BDBC20327724}"/>
    <cellStyle name="Comma 2 22 2 3" xfId="27693" xr:uid="{006EAB06-9086-4799-8FCD-39BCCC9F4CEC}"/>
    <cellStyle name="Comma 2 22 3" xfId="7071" xr:uid="{A3D525D4-1F2F-492E-8908-0D7755407940}"/>
    <cellStyle name="Comma 2 22 4" xfId="27694" xr:uid="{758EE3D6-1D21-45B6-B9CC-6B1BE06E03AB}"/>
    <cellStyle name="Comma 2 22 5" xfId="42564" xr:uid="{FB1966DB-EC4F-4671-9082-18D2A8CA0BA6}"/>
    <cellStyle name="Comma 2 22 6" xfId="43719" xr:uid="{F0B226F4-4FDA-457D-9BC7-D7ECE7913940}"/>
    <cellStyle name="Comma 2 23" xfId="7072" xr:uid="{4D436C67-0D28-4884-A929-22EE6CAAF9D6}"/>
    <cellStyle name="Comma 2 23 2" xfId="7073" xr:uid="{756E24FB-4691-419B-BB5D-9E71360BF5BE}"/>
    <cellStyle name="Comma 2 23 2 2" xfId="7074" xr:uid="{AA3F7580-4943-4924-BD76-D9FA7F8A5503}"/>
    <cellStyle name="Comma 2 23 3" xfId="7075" xr:uid="{0C5460AF-3A01-4011-90AA-0E3BDC7A9C7A}"/>
    <cellStyle name="Comma 2 23 4" xfId="27695" xr:uid="{6967EE90-030B-41AC-9A40-8E42D938DF3E}"/>
    <cellStyle name="Comma 2 23 5" xfId="42565" xr:uid="{5E1E2EB3-3AD6-4E4D-9193-22D1247370ED}"/>
    <cellStyle name="Comma 2 23 6" xfId="43720" xr:uid="{DB9186D5-F192-437D-BE79-546631502251}"/>
    <cellStyle name="Comma 2 24" xfId="7076" xr:uid="{7A126A8B-C632-47A5-AD60-893F53E5582D}"/>
    <cellStyle name="Comma 2 24 2" xfId="7077" xr:uid="{B44B994A-B715-4439-853E-CD8D858818F0}"/>
    <cellStyle name="Comma 2 24 2 2" xfId="7078" xr:uid="{7448C91F-F779-4DD7-BBBD-FA6599304619}"/>
    <cellStyle name="Comma 2 24 3" xfId="7079" xr:uid="{A8AA3C34-F403-48DD-A239-9118B8954CCA}"/>
    <cellStyle name="Comma 2 24 4" xfId="27696" xr:uid="{2A27EF53-1BF0-469A-83E5-ABD8ECF4E80B}"/>
    <cellStyle name="Comma 2 25" xfId="7080" xr:uid="{95F5CE80-313F-492E-97E3-C64A37EF26BE}"/>
    <cellStyle name="Comma 2 25 2" xfId="7081" xr:uid="{EA4248A0-E680-453F-8AF2-1664D8EE4378}"/>
    <cellStyle name="Comma 2 25 2 2" xfId="27697" xr:uid="{B4D645D5-5300-423F-BAFC-96AD71871DB3}"/>
    <cellStyle name="Comma 2 25 3" xfId="27698" xr:uid="{A4D46293-E0F7-471D-A6BA-558CEFCC8D67}"/>
    <cellStyle name="Comma 2 26" xfId="7082" xr:uid="{E0247384-3B5E-41B5-9479-C03BE518DEDD}"/>
    <cellStyle name="Comma 2 26 2" xfId="7083" xr:uid="{AA6FE224-4232-46A0-A054-7E2453C46FEB}"/>
    <cellStyle name="Comma 2 26 2 2" xfId="27699" xr:uid="{C81712AB-F5AB-4080-BD1D-AB75AFBA9A35}"/>
    <cellStyle name="Comma 2 26 3" xfId="27700" xr:uid="{5AB3FE7C-E45D-48CC-BCB1-7D6760C239DA}"/>
    <cellStyle name="Comma 2 27" xfId="7084" xr:uid="{49545215-759D-4604-9A63-B299C314578C}"/>
    <cellStyle name="Comma 2 28" xfId="7085" xr:uid="{DF0310B8-6FB5-4AC8-BDA8-721DE63B2A9B}"/>
    <cellStyle name="Comma 2 28 2" xfId="27701" xr:uid="{82F524AD-C062-4136-A749-D293344F772D}"/>
    <cellStyle name="Comma 2 28 2 2" xfId="27702" xr:uid="{CDFB3ED8-A0B7-4526-BBBF-D7FC5E723757}"/>
    <cellStyle name="Comma 2 28 3" xfId="27703" xr:uid="{736F73C0-C141-447F-8538-C807D6396F99}"/>
    <cellStyle name="Comma 2 29" xfId="7086" xr:uid="{E54BA027-E117-4515-80EF-20C5CFB9D643}"/>
    <cellStyle name="Comma 2 29 2" xfId="27704" xr:uid="{92D1614D-7912-40C9-A9C5-A6E9444EC43A}"/>
    <cellStyle name="Comma 2 3" xfId="31" xr:uid="{65AD1A07-A6CA-4193-8816-4BC62FD2FF19}"/>
    <cellStyle name="Comma 2 3 10" xfId="7088" xr:uid="{C5A7D7E6-D040-4A0B-B363-41ED293176BD}"/>
    <cellStyle name="Comma 2 3 10 2" xfId="7089" xr:uid="{6CE82C50-AF0E-45A8-9922-9EE750A581B0}"/>
    <cellStyle name="Comma 2 3 10 2 2" xfId="7090" xr:uid="{4B758E00-7701-41E4-815D-51E12AE769E3}"/>
    <cellStyle name="Comma 2 3 10 2 2 2" xfId="27705" xr:uid="{04B1AAEF-A991-4034-A3CF-A76C10969CD8}"/>
    <cellStyle name="Comma 2 3 10 2 3" xfId="27706" xr:uid="{EFF9285B-0992-403B-8B7B-8F7FCACD4EAC}"/>
    <cellStyle name="Comma 2 3 10 3" xfId="7091" xr:uid="{51324CDC-93E9-4429-910A-8005C28EFB6D}"/>
    <cellStyle name="Comma 2 3 10 3 2" xfId="7092" xr:uid="{10D0630D-F688-40DC-ABFA-1925C288F06A}"/>
    <cellStyle name="Comma 2 3 10 4" xfId="7093" xr:uid="{908F0033-7A39-4EE0-8DE4-3E50701E8157}"/>
    <cellStyle name="Comma 2 3 10 5" xfId="27707" xr:uid="{3F53EAFF-69C4-4CE0-A912-1FBE7B1D4565}"/>
    <cellStyle name="Comma 2 3 11" xfId="7094" xr:uid="{BC93B997-0AB5-4971-9550-326B9EBD4DC7}"/>
    <cellStyle name="Comma 2 3 11 2" xfId="7095" xr:uid="{2F6FD97B-9BD1-435D-8A30-FB55BE034442}"/>
    <cellStyle name="Comma 2 3 11 2 2" xfId="7096" xr:uid="{9F5CD462-FAAD-4673-A5CD-CC5403160D39}"/>
    <cellStyle name="Comma 2 3 11 3" xfId="7097" xr:uid="{80BB004F-DA1D-49E2-B83A-BDB149C8B125}"/>
    <cellStyle name="Comma 2 3 11 4" xfId="27708" xr:uid="{335C181F-1013-4F83-B84D-FE4AA154A437}"/>
    <cellStyle name="Comma 2 3 12" xfId="7098" xr:uid="{05A50B6E-8EAE-4681-96B4-FBE619657989}"/>
    <cellStyle name="Comma 2 3 12 2" xfId="7099" xr:uid="{AD074FE3-CD75-4EE5-A96A-4816EE7B81EA}"/>
    <cellStyle name="Comma 2 3 12 2 2" xfId="7100" xr:uid="{619947F6-B924-4075-989C-E55FE4479632}"/>
    <cellStyle name="Comma 2 3 12 3" xfId="7101" xr:uid="{1666C153-605F-4412-80B1-45CC06E4B917}"/>
    <cellStyle name="Comma 2 3 12 4" xfId="27709" xr:uid="{3DE57DFB-4EF6-4610-9F71-D508C3F88FF7}"/>
    <cellStyle name="Comma 2 3 13" xfId="7102" xr:uid="{42BEFDCD-7449-4C8A-8E74-CFD8F909C4AC}"/>
    <cellStyle name="Comma 2 3 13 2" xfId="7103" xr:uid="{7B129253-6C41-4910-B25A-1D8D2029374F}"/>
    <cellStyle name="Comma 2 3 13 2 2" xfId="7104" xr:uid="{E728D768-ED49-4B65-9509-E081E27A83A4}"/>
    <cellStyle name="Comma 2 3 13 3" xfId="7105" xr:uid="{6026EE67-7AB5-4C7E-9CC4-5604D76C7D22}"/>
    <cellStyle name="Comma 2 3 13 4" xfId="27710" xr:uid="{DABA7F16-E36E-49D9-9CA4-788DEE5C12D9}"/>
    <cellStyle name="Comma 2 3 14" xfId="7106" xr:uid="{D50B7CE7-1FA6-4649-9A39-A65813636772}"/>
    <cellStyle name="Comma 2 3 14 2" xfId="7107" xr:uid="{D1F19705-58D1-4440-AFAA-308FC0D1BC44}"/>
    <cellStyle name="Comma 2 3 14 2 2" xfId="7108" xr:uid="{2943FD86-66C6-4188-BD04-788790D1838D}"/>
    <cellStyle name="Comma 2 3 14 3" xfId="7109" xr:uid="{4C5DC272-EFDB-48AC-A611-BED041CC6A3A}"/>
    <cellStyle name="Comma 2 3 14 4" xfId="27711" xr:uid="{4CE4F1CE-B72C-43E3-99B5-C1C48D88BB23}"/>
    <cellStyle name="Comma 2 3 15" xfId="7110" xr:uid="{BD511910-5FC9-442E-9C99-E9883E4B913B}"/>
    <cellStyle name="Comma 2 3 15 2" xfId="7111" xr:uid="{E460F277-F686-4A6C-B743-0E9E18A99890}"/>
    <cellStyle name="Comma 2 3 15 2 2" xfId="27712" xr:uid="{2DAF469D-50FA-4995-BBB9-C8BF605D9152}"/>
    <cellStyle name="Comma 2 3 15 3" xfId="27713" xr:uid="{831C5763-74A8-4BD7-91F6-24112894D321}"/>
    <cellStyle name="Comma 2 3 16" xfId="7112" xr:uid="{7125D954-00BC-43CC-A7CD-C662089A6E4D}"/>
    <cellStyle name="Comma 2 3 16 2" xfId="27714" xr:uid="{BA3F3CE2-B289-431A-9B57-EC99E3DE08D7}"/>
    <cellStyle name="Comma 2 3 16 2 2" xfId="27715" xr:uid="{1EFE0AA9-0D99-4884-9B4E-4CF878CF4FCC}"/>
    <cellStyle name="Comma 2 3 16 3" xfId="27716" xr:uid="{3C9B4D51-1008-476A-BB2E-3A78B907DC77}"/>
    <cellStyle name="Comma 2 3 17" xfId="7113" xr:uid="{401F661C-A652-4C60-BA20-DA451FC4C876}"/>
    <cellStyle name="Comma 2 3 17 2" xfId="27717" xr:uid="{43F321A1-B709-419F-9370-D84AB7914B7D}"/>
    <cellStyle name="Comma 2 3 18" xfId="7114" xr:uid="{DEDAA3D9-76A7-46FA-BF75-5F7F96FA4775}"/>
    <cellStyle name="Comma 2 3 18 2" xfId="27718" xr:uid="{E39B8E3C-1284-4F02-94D2-754A157484CF}"/>
    <cellStyle name="Comma 2 3 19" xfId="27719" xr:uid="{F61EF817-7382-4BAB-850A-94045CABF56E}"/>
    <cellStyle name="Comma 2 3 2" xfId="7115" xr:uid="{D5AC7CC1-DEE4-4B5E-A3A3-798D5BE4E735}"/>
    <cellStyle name="Comma 2 3 2 10" xfId="7116" xr:uid="{4FF54A24-5DAA-453C-A843-00269ADFE9B3}"/>
    <cellStyle name="Comma 2 3 2 10 2" xfId="7117" xr:uid="{1911A424-6100-4037-8065-D2E919041564}"/>
    <cellStyle name="Comma 2 3 2 11" xfId="7118" xr:uid="{D7EE403F-7E48-4697-9847-765509F1DBB4}"/>
    <cellStyle name="Comma 2 3 2 11 2" xfId="7119" xr:uid="{69C0C41B-913D-4262-A92D-955F5187E045}"/>
    <cellStyle name="Comma 2 3 2 12" xfId="7120" xr:uid="{8A97EC79-820E-4EEF-A532-14BCF29B0774}"/>
    <cellStyle name="Comma 2 3 2 13" xfId="7121" xr:uid="{7677F84C-E43B-4A81-88EB-0B22FF0741EE}"/>
    <cellStyle name="Comma 2 3 2 14" xfId="7122" xr:uid="{FF6D0FF2-D97A-47A6-A5E0-D3ADD0FB2301}"/>
    <cellStyle name="Comma 2 3 2 15" xfId="27720" xr:uid="{68C0D41A-016D-4EDF-9409-8AF932E984E7}"/>
    <cellStyle name="Comma 2 3 2 16" xfId="42567" xr:uid="{4B4BF41C-4B6C-4E0B-8801-0E0AF8E76B9C}"/>
    <cellStyle name="Comma 2 3 2 17" xfId="43722" xr:uid="{79AAC202-7EA0-4C50-A2FA-711D8CB546D6}"/>
    <cellStyle name="Comma 2 3 2 18" xfId="45933" xr:uid="{4365EACC-0828-4761-8B4E-DF5B7E871912}"/>
    <cellStyle name="Comma 2 3 2 2" xfId="7123" xr:uid="{2E939386-5545-42CF-99CA-4441740EADC4}"/>
    <cellStyle name="Comma 2 3 2 2 10" xfId="42568" xr:uid="{7F94F7E3-E448-4754-BCF4-17C1EF30022A}"/>
    <cellStyle name="Comma 2 3 2 2 11" xfId="43723" xr:uid="{ABD8E753-B616-4005-BDCB-F210342016CC}"/>
    <cellStyle name="Comma 2 3 2 2 2" xfId="7124" xr:uid="{7CFB57EC-655E-4D0B-BD3F-7B844777DE8A}"/>
    <cellStyle name="Comma 2 3 2 2 2 2" xfId="7125" xr:uid="{1CF7E51C-921A-4231-95CC-0FA210165D38}"/>
    <cellStyle name="Comma 2 3 2 2 2 2 2" xfId="7126" xr:uid="{8789B7A4-1583-4B98-B645-B69541880782}"/>
    <cellStyle name="Comma 2 3 2 2 2 2 2 2" xfId="7127" xr:uid="{F45303C9-A299-428A-974D-7B38C58D21A2}"/>
    <cellStyle name="Comma 2 3 2 2 2 2 3" xfId="7128" xr:uid="{9300949C-7543-43B2-9C01-B99B24E5AF07}"/>
    <cellStyle name="Comma 2 3 2 2 2 2 4" xfId="27721" xr:uid="{CAAD36D1-8671-4682-BE70-F61901089A1A}"/>
    <cellStyle name="Comma 2 3 2 2 2 3" xfId="7129" xr:uid="{94149886-3B23-4D1A-8D08-AB9E061E4F63}"/>
    <cellStyle name="Comma 2 3 2 2 2 3 2" xfId="7130" xr:uid="{4E1F155F-5192-4CC0-B6F1-219BFAB66545}"/>
    <cellStyle name="Comma 2 3 2 2 2 3 3" xfId="27722" xr:uid="{616CE34E-E261-4C44-98EC-E5D5B918A57F}"/>
    <cellStyle name="Comma 2 3 2 2 2 4" xfId="7131" xr:uid="{D6F46C78-BCF0-4AB1-B1F9-6CC295481FCD}"/>
    <cellStyle name="Comma 2 3 2 2 2 4 2" xfId="7132" xr:uid="{E063BD43-AB6B-4838-A189-0F009771A62A}"/>
    <cellStyle name="Comma 2 3 2 2 2 5" xfId="7133" xr:uid="{33A83367-1CBC-43AF-B2FB-0AA8B1C4B414}"/>
    <cellStyle name="Comma 2 3 2 2 2 5 2" xfId="7134" xr:uid="{F5353F58-7083-4DF6-A2B4-119F3C7B76AC}"/>
    <cellStyle name="Comma 2 3 2 2 2 6" xfId="7135" xr:uid="{F929B7F1-7114-432C-B8E6-9CCCBB7072F0}"/>
    <cellStyle name="Comma 2 3 2 2 2 7" xfId="27723" xr:uid="{6A3CF6FF-6527-4B75-A60A-2395C3387D1F}"/>
    <cellStyle name="Comma 2 3 2 2 3" xfId="7136" xr:uid="{808D0942-B63B-4D1D-BE5F-38A619F2E942}"/>
    <cellStyle name="Comma 2 3 2 2 3 2" xfId="7137" xr:uid="{FEC29EFE-9EB5-4E7A-8713-620370D97806}"/>
    <cellStyle name="Comma 2 3 2 2 3 2 2" xfId="7138" xr:uid="{FBA1299B-10AA-486E-9E72-F307E8099716}"/>
    <cellStyle name="Comma 2 3 2 2 3 3" xfId="7139" xr:uid="{2C7F740A-D0F5-43E9-9691-8AC7ED5E290F}"/>
    <cellStyle name="Comma 2 3 2 2 3 4" xfId="27724" xr:uid="{C3AF9C0A-E077-49B3-89FE-4AD9CFC44147}"/>
    <cellStyle name="Comma 2 3 2 2 4" xfId="7140" xr:uid="{9557F660-6EB5-43D3-B34C-8D838C191CDB}"/>
    <cellStyle name="Comma 2 3 2 2 4 2" xfId="7141" xr:uid="{FCFB5D26-9935-4A40-971D-5EE6FB173A3A}"/>
    <cellStyle name="Comma 2 3 2 2 4 3" xfId="27725" xr:uid="{AFF37F9E-AAF0-4AE1-A20D-94868A3D8E0E}"/>
    <cellStyle name="Comma 2 3 2 2 5" xfId="7142" xr:uid="{0EB34DBE-4BCE-474B-B41D-5BDC51975905}"/>
    <cellStyle name="Comma 2 3 2 2 5 2" xfId="7143" xr:uid="{AB9F3A0D-3D00-415B-AB60-6D55DF5CE74B}"/>
    <cellStyle name="Comma 2 3 2 2 6" xfId="7144" xr:uid="{74F72CE7-F572-42FA-874A-1399853B9AAC}"/>
    <cellStyle name="Comma 2 3 2 2 6 2" xfId="7145" xr:uid="{C5BDF67E-7F5A-46C1-914F-3B687C2B2CA6}"/>
    <cellStyle name="Comma 2 3 2 2 7" xfId="7146" xr:uid="{9F9C2DF4-9FF4-4B36-A230-C7F66E910840}"/>
    <cellStyle name="Comma 2 3 2 2 7 2" xfId="7147" xr:uid="{FC004F41-1D4E-4688-9500-A40527000302}"/>
    <cellStyle name="Comma 2 3 2 2 8" xfId="7148" xr:uid="{F324CCE5-61BF-4063-AE02-985FCB017DAC}"/>
    <cellStyle name="Comma 2 3 2 2 9" xfId="7149" xr:uid="{DDF95D5B-06A4-40B5-80F8-10A9C55ECEA6}"/>
    <cellStyle name="Comma 2 3 2 3" xfId="7150" xr:uid="{717F1F45-BD58-4B57-BE47-152DDD307039}"/>
    <cellStyle name="Comma 2 3 2 3 10" xfId="42569" xr:uid="{B7B9FA99-074A-45B4-9A99-7D6F62BD66BB}"/>
    <cellStyle name="Comma 2 3 2 3 11" xfId="43724" xr:uid="{B40583E6-C606-4B52-98AD-1E486E891060}"/>
    <cellStyle name="Comma 2 3 2 3 2" xfId="7151" xr:uid="{E6A766A7-0B88-4B54-B39E-34635EAD4634}"/>
    <cellStyle name="Comma 2 3 2 3 2 2" xfId="7152" xr:uid="{D1D5C52A-E37B-4CFA-AE32-D59A13F682E8}"/>
    <cellStyle name="Comma 2 3 2 3 2 2 2" xfId="7153" xr:uid="{460EE864-BE9D-4A2B-8EE6-DF1133779DBE}"/>
    <cellStyle name="Comma 2 3 2 3 2 2 2 2" xfId="7154" xr:uid="{134578DB-D211-4DDD-A355-6B34D3B7B720}"/>
    <cellStyle name="Comma 2 3 2 3 2 2 3" xfId="7155" xr:uid="{5A67F8CE-BCAA-448E-9496-9246C651F92A}"/>
    <cellStyle name="Comma 2 3 2 3 2 2 4" xfId="27726" xr:uid="{BE8958C3-F590-4845-B081-DDA5AFD04E06}"/>
    <cellStyle name="Comma 2 3 2 3 2 3" xfId="7156" xr:uid="{5E78843F-481E-4778-9671-034F5E28B93D}"/>
    <cellStyle name="Comma 2 3 2 3 2 3 2" xfId="7157" xr:uid="{B79D1E9C-5AD3-49F9-A416-2B5E826E577E}"/>
    <cellStyle name="Comma 2 3 2 3 2 3 3" xfId="27727" xr:uid="{467ED246-7012-4AC4-B9DE-829C735FB19F}"/>
    <cellStyle name="Comma 2 3 2 3 2 4" xfId="7158" xr:uid="{AA9BC352-21D6-420B-9A03-14BFB2E1EFA8}"/>
    <cellStyle name="Comma 2 3 2 3 2 4 2" xfId="7159" xr:uid="{3F886EB0-27AE-43AA-9267-40E57264437E}"/>
    <cellStyle name="Comma 2 3 2 3 2 5" xfId="7160" xr:uid="{E8DBDCBA-41C1-41A4-96FF-E6FE24FA8E33}"/>
    <cellStyle name="Comma 2 3 2 3 2 5 2" xfId="7161" xr:uid="{8913ECA1-7A65-461F-9215-2AFD5AB682A6}"/>
    <cellStyle name="Comma 2 3 2 3 2 6" xfId="7162" xr:uid="{153D9308-7543-41AE-8CE5-FAC68780B47C}"/>
    <cellStyle name="Comma 2 3 2 3 2 7" xfId="27728" xr:uid="{0EC992E3-FA6E-4A69-BA4B-6D0ED6FA5AA0}"/>
    <cellStyle name="Comma 2 3 2 3 3" xfId="7163" xr:uid="{59FCA12F-E5B8-43BE-9410-846E465844D0}"/>
    <cellStyle name="Comma 2 3 2 3 3 2" xfId="7164" xr:uid="{D056002C-4EF8-4D1A-A5A5-6FB6E0A4B190}"/>
    <cellStyle name="Comma 2 3 2 3 3 2 2" xfId="7165" xr:uid="{AA8164FA-D200-4EDC-93A9-235D847E22A8}"/>
    <cellStyle name="Comma 2 3 2 3 3 3" xfId="7166" xr:uid="{B15FAA0D-CBC5-413B-949C-C481F63C37D5}"/>
    <cellStyle name="Comma 2 3 2 3 3 4" xfId="27729" xr:uid="{32713183-5C6A-454C-8492-656011ED1601}"/>
    <cellStyle name="Comma 2 3 2 3 4" xfId="7167" xr:uid="{944E2273-757E-4DC6-8591-BD2B1C7D5313}"/>
    <cellStyle name="Comma 2 3 2 3 4 2" xfId="7168" xr:uid="{55823CA2-282D-4EB3-A05B-DB1D5387536E}"/>
    <cellStyle name="Comma 2 3 2 3 4 3" xfId="27730" xr:uid="{96F97230-9F8A-4CF9-8211-81107648BC49}"/>
    <cellStyle name="Comma 2 3 2 3 5" xfId="7169" xr:uid="{7F44B8C0-749D-4791-A008-10E133D57301}"/>
    <cellStyle name="Comma 2 3 2 3 5 2" xfId="7170" xr:uid="{958BFCBE-7065-4344-A743-8C1B49A6F6FF}"/>
    <cellStyle name="Comma 2 3 2 3 6" xfId="7171" xr:uid="{AA6B4785-480E-495C-90C9-293C42E49DF1}"/>
    <cellStyle name="Comma 2 3 2 3 6 2" xfId="7172" xr:uid="{5A6A5FC1-3502-42C6-A021-BFF34A7B6432}"/>
    <cellStyle name="Comma 2 3 2 3 7" xfId="7173" xr:uid="{1985A5D9-9E2E-41DA-BF50-A50D3DDB1A4D}"/>
    <cellStyle name="Comma 2 3 2 3 7 2" xfId="7174" xr:uid="{1DCE09D0-4858-4DC6-A7DB-A5AF46F790C5}"/>
    <cellStyle name="Comma 2 3 2 3 8" xfId="7175" xr:uid="{A8C3F7BF-7915-48CA-A864-BC73B43BA866}"/>
    <cellStyle name="Comma 2 3 2 3 9" xfId="27731" xr:uid="{C4A57178-5590-45E9-BE24-3B9076C9D43C}"/>
    <cellStyle name="Comma 2 3 2 4" xfId="7176" xr:uid="{2857F647-B2A2-4165-916D-063BF44426A1}"/>
    <cellStyle name="Comma 2 3 2 4 10" xfId="43725" xr:uid="{61CE352C-A809-41B8-BC21-FDC3E6D88B3C}"/>
    <cellStyle name="Comma 2 3 2 4 2" xfId="7177" xr:uid="{EE51972C-D47A-4AF9-A152-DC71031EB69D}"/>
    <cellStyle name="Comma 2 3 2 4 2 2" xfId="7178" xr:uid="{77EF3947-29E9-4761-8FD5-D70965E74A49}"/>
    <cellStyle name="Comma 2 3 2 4 2 2 2" xfId="7179" xr:uid="{75DF0584-5133-429B-A11C-DC4E8F4B36A4}"/>
    <cellStyle name="Comma 2 3 2 4 2 2 3" xfId="27732" xr:uid="{318B37E3-2CFB-4895-86B5-C60EED4AAD43}"/>
    <cellStyle name="Comma 2 3 2 4 2 3" xfId="7180" xr:uid="{E9CAB465-7651-47D3-9615-2C08135FEF1F}"/>
    <cellStyle name="Comma 2 3 2 4 2 3 2" xfId="7181" xr:uid="{3CC5E008-16C4-47D1-ACA2-6A1A20396B91}"/>
    <cellStyle name="Comma 2 3 2 4 2 4" xfId="7182" xr:uid="{326E3E3E-5BD5-4A0E-B3F5-27361DD69326}"/>
    <cellStyle name="Comma 2 3 2 4 2 4 2" xfId="7183" xr:uid="{D0520F3F-B6FB-4F88-A2CD-F7DD249A9F92}"/>
    <cellStyle name="Comma 2 3 2 4 2 5" xfId="7184" xr:uid="{022ABC54-A926-43E2-8DCF-C4680BBADCDD}"/>
    <cellStyle name="Comma 2 3 2 4 2 6" xfId="42571" xr:uid="{81337BFB-7C99-4A5E-837C-2E3174A283AD}"/>
    <cellStyle name="Comma 2 3 2 4 2 7" xfId="43726" xr:uid="{2896B34F-B9C1-4F2B-A8BE-655C00A11A27}"/>
    <cellStyle name="Comma 2 3 2 4 3" xfId="7185" xr:uid="{07F77DF3-CF66-4BAF-9677-F53BDDFDB6F1}"/>
    <cellStyle name="Comma 2 3 2 4 3 2" xfId="7186" xr:uid="{DA4E6EE8-22CA-4F75-8FF3-6BE7922E079E}"/>
    <cellStyle name="Comma 2 3 2 4 3 3" xfId="27733" xr:uid="{5741925F-7EA5-4B2B-9F4D-2E9B1274A13E}"/>
    <cellStyle name="Comma 2 3 2 4 3 4" xfId="42572" xr:uid="{52099C7A-3D91-4AD2-811C-4C44FFC65883}"/>
    <cellStyle name="Comma 2 3 2 4 3 5" xfId="43727" xr:uid="{C872B629-6912-41F7-B2E3-F752387404BE}"/>
    <cellStyle name="Comma 2 3 2 4 4" xfId="7187" xr:uid="{52DB67CD-1E9C-4457-B8D7-6F298EADDF54}"/>
    <cellStyle name="Comma 2 3 2 4 4 2" xfId="7188" xr:uid="{1DA433F5-4D2A-4B3C-86EF-D3C9C789DB7A}"/>
    <cellStyle name="Comma 2 3 2 4 4 3" xfId="42573" xr:uid="{D721D210-ECA4-4978-90BB-97AB8DAE0335}"/>
    <cellStyle name="Comma 2 3 2 4 4 4" xfId="43728" xr:uid="{13725C22-EC12-4916-A2DC-C94EC56D4FEC}"/>
    <cellStyle name="Comma 2 3 2 4 5" xfId="7189" xr:uid="{1A8151FE-55BF-4774-AF0B-49FAFCFF9687}"/>
    <cellStyle name="Comma 2 3 2 4 5 2" xfId="7190" xr:uid="{B42E68E7-4E1C-4583-BF4C-EA89AF9D2646}"/>
    <cellStyle name="Comma 2 3 2 4 6" xfId="7191" xr:uid="{91C90CFA-76F9-4641-9806-398102DAF399}"/>
    <cellStyle name="Comma 2 3 2 4 6 2" xfId="7192" xr:uid="{4E4BB336-BA1A-4E3E-ABD0-E85980BCFA74}"/>
    <cellStyle name="Comma 2 3 2 4 7" xfId="7193" xr:uid="{2D7F7532-100D-4429-A59D-3F296A0BFFC5}"/>
    <cellStyle name="Comma 2 3 2 4 8" xfId="27734" xr:uid="{4663F9EE-4A1B-413C-BE52-7BA38C79C303}"/>
    <cellStyle name="Comma 2 3 2 4 9" xfId="42570" xr:uid="{C5C85DAD-2184-489E-9DDA-907DB9270FE0}"/>
    <cellStyle name="Comma 2 3 2 5" xfId="7194" xr:uid="{FB9D7EBF-2699-4674-BC91-70C1C7F1D277}"/>
    <cellStyle name="Comma 2 3 2 5 2" xfId="7195" xr:uid="{EB8EC76C-59FD-41F3-A553-C1F457782BE9}"/>
    <cellStyle name="Comma 2 3 2 5 2 2" xfId="7196" xr:uid="{CAC71F53-86B5-4756-9EB9-5817B4B3B1F5}"/>
    <cellStyle name="Comma 2 3 2 5 2 3" xfId="27735" xr:uid="{762F637E-7830-4AD0-9AC8-CD7316EF457E}"/>
    <cellStyle name="Comma 2 3 2 5 3" xfId="7197" xr:uid="{9D8A3455-09C5-4336-9B95-9F10992D6289}"/>
    <cellStyle name="Comma 2 3 2 5 3 2" xfId="7198" xr:uid="{C59F4577-047F-486B-BAE7-2C792F1C7B0E}"/>
    <cellStyle name="Comma 2 3 2 5 4" xfId="7199" xr:uid="{81894FB7-6BD2-4FFE-9567-61FF006A6B69}"/>
    <cellStyle name="Comma 2 3 2 5 4 2" xfId="7200" xr:uid="{096445EE-372D-4FFB-915A-B9A32E68537C}"/>
    <cellStyle name="Comma 2 3 2 5 5" xfId="7201" xr:uid="{494FF375-2D2F-442B-B2E3-578A346AD3EA}"/>
    <cellStyle name="Comma 2 3 2 5 6" xfId="42574" xr:uid="{115F262F-570C-4F95-B44E-135A2DE9F801}"/>
    <cellStyle name="Comma 2 3 2 5 7" xfId="43729" xr:uid="{410DE292-E829-4F0F-8FFA-81EB671880DE}"/>
    <cellStyle name="Comma 2 3 2 6" xfId="7202" xr:uid="{333A7655-8884-44AD-8830-8CD521C6F227}"/>
    <cellStyle name="Comma 2 3 2 6 2" xfId="7203" xr:uid="{A9ED7298-C5DE-4B4D-B224-2F87C21F2D19}"/>
    <cellStyle name="Comma 2 3 2 6 3" xfId="27736" xr:uid="{0C6AAF4F-2B57-4BE1-94E2-8439AB14831C}"/>
    <cellStyle name="Comma 2 3 2 6 4" xfId="42575" xr:uid="{E7469281-D55E-43D3-83C7-9CA221FF2500}"/>
    <cellStyle name="Comma 2 3 2 6 5" xfId="43730" xr:uid="{D805642B-85FA-43E5-B5DB-453E4568D0E5}"/>
    <cellStyle name="Comma 2 3 2 7" xfId="7204" xr:uid="{F85E5638-0B96-4DC6-B89A-5879A4478B5B}"/>
    <cellStyle name="Comma 2 3 2 7 2" xfId="7205" xr:uid="{3DBA24E8-DC22-4F4A-B108-4FA5277F1B95}"/>
    <cellStyle name="Comma 2 3 2 7 3" xfId="27737" xr:uid="{E4BB97AF-AA56-45B0-B573-43EC084114DC}"/>
    <cellStyle name="Comma 2 3 2 8" xfId="7206" xr:uid="{0B7C8937-A88B-4958-AFB9-CF6888A1EAA8}"/>
    <cellStyle name="Comma 2 3 2 8 2" xfId="7207" xr:uid="{44956715-A4BC-4D64-A60A-811ABEDF2247}"/>
    <cellStyle name="Comma 2 3 2 9" xfId="7208" xr:uid="{62B5873C-248E-453E-AE14-8D2DCDF4BB23}"/>
    <cellStyle name="Comma 2 3 2 9 2" xfId="7209" xr:uid="{75532014-8035-4862-A809-867E2E2B81B7}"/>
    <cellStyle name="Comma 2 3 20" xfId="27738" xr:uid="{479E5D65-35FD-47C7-B1D4-29C4B35F8D50}"/>
    <cellStyle name="Comma 2 3 21" xfId="27739" xr:uid="{D9D25813-F2AB-4525-A6F3-A5288B69D8E3}"/>
    <cellStyle name="Comma 2 3 22" xfId="42566" xr:uid="{B9CCCCAF-01E6-4D1F-9117-C09E769D89BB}"/>
    <cellStyle name="Comma 2 3 23" xfId="43721" xr:uid="{E62F37E6-985B-4F20-B692-724E15D52308}"/>
    <cellStyle name="Comma 2 3 24" xfId="7087" xr:uid="{113BA6BA-EF11-4847-A33B-9F4671202533}"/>
    <cellStyle name="Comma 2 3 25" xfId="45923" xr:uid="{7095F67C-336A-4154-9FE4-510F10FF7439}"/>
    <cellStyle name="Comma 2 3 3" xfId="7210" xr:uid="{F91538F6-5690-4E86-A8D2-0A5B13151184}"/>
    <cellStyle name="Comma 2 3 3 10" xfId="7211" xr:uid="{0B51C7C0-8DD4-4515-8396-1DAB61E0F195}"/>
    <cellStyle name="Comma 2 3 3 11" xfId="27740" xr:uid="{2B84FDFC-2730-4890-8DA8-49E9C3ABFB3C}"/>
    <cellStyle name="Comma 2 3 3 12" xfId="27741" xr:uid="{8C9C464A-5B08-4255-8BEB-BD360410DF47}"/>
    <cellStyle name="Comma 2 3 3 13" xfId="42576" xr:uid="{12CE5DD7-153D-43CC-AF94-FA1CFEF046C5}"/>
    <cellStyle name="Comma 2 3 3 14" xfId="43731" xr:uid="{2C055AF5-CB40-4D6A-9A3E-98BCBD13D97F}"/>
    <cellStyle name="Comma 2 3 3 2" xfId="7212" xr:uid="{4EBCBB80-196D-48AC-925B-04F276759FFC}"/>
    <cellStyle name="Comma 2 3 3 2 10" xfId="43732" xr:uid="{B9ED1694-3D6F-4DDA-AAA3-C2A038A20FE2}"/>
    <cellStyle name="Comma 2 3 3 2 2" xfId="7213" xr:uid="{081F4994-B87F-4358-B1BE-1E4164F7EEB6}"/>
    <cellStyle name="Comma 2 3 3 2 2 2" xfId="7214" xr:uid="{3419E1BA-9676-4997-AC3F-4D236651CAF3}"/>
    <cellStyle name="Comma 2 3 3 2 2 2 2" xfId="7215" xr:uid="{B2FFFA4C-438C-4E80-875A-C2C7FA75B39E}"/>
    <cellStyle name="Comma 2 3 3 2 2 2 2 2" xfId="7216" xr:uid="{FC6936F7-B249-49C3-B3D9-D388332BEC99}"/>
    <cellStyle name="Comma 2 3 3 2 2 2 3" xfId="7217" xr:uid="{A1FBF033-BE02-439B-8B04-A0D3512A3662}"/>
    <cellStyle name="Comma 2 3 3 2 2 2 4" xfId="27742" xr:uid="{93FE4773-298B-40BE-822F-605EFFA78001}"/>
    <cellStyle name="Comma 2 3 3 2 2 3" xfId="7218" xr:uid="{6D81429C-A32F-49F1-82D7-A341F7507502}"/>
    <cellStyle name="Comma 2 3 3 2 2 3 2" xfId="7219" xr:uid="{FCC6103A-67DA-4ED2-90DC-D69CB5E97E2A}"/>
    <cellStyle name="Comma 2 3 3 2 2 3 3" xfId="27743" xr:uid="{58DB17A8-C4B8-4D3F-9005-FFBAEDBEBC9B}"/>
    <cellStyle name="Comma 2 3 3 2 2 4" xfId="7220" xr:uid="{51E18665-668E-4ED7-80F4-4B8E69FCE211}"/>
    <cellStyle name="Comma 2 3 3 2 2 5" xfId="27744" xr:uid="{45D3CF3B-CC19-4C83-BCF6-13EB475EF590}"/>
    <cellStyle name="Comma 2 3 3 2 3" xfId="7221" xr:uid="{7F684E7C-2795-49CC-989A-D86056F316FF}"/>
    <cellStyle name="Comma 2 3 3 2 3 2" xfId="7222" xr:uid="{58DE2FDB-419A-4454-9C98-0FE3428F6975}"/>
    <cellStyle name="Comma 2 3 3 2 3 2 2" xfId="7223" xr:uid="{28B665A2-FE1F-48E5-A0B6-816B9685AA4F}"/>
    <cellStyle name="Comma 2 3 3 2 3 3" xfId="7224" xr:uid="{C654A71F-3A5D-4E4A-BFC3-65BDBAA63D90}"/>
    <cellStyle name="Comma 2 3 3 2 3 4" xfId="27745" xr:uid="{CFF22B21-54EC-43A8-AFC0-7B2EED77C911}"/>
    <cellStyle name="Comma 2 3 3 2 4" xfId="7225" xr:uid="{7B92189A-2670-4D8F-B76D-09D97460C08F}"/>
    <cellStyle name="Comma 2 3 3 2 4 2" xfId="7226" xr:uid="{739925B0-C6F8-4A11-8DCC-755FD16087C3}"/>
    <cellStyle name="Comma 2 3 3 2 4 3" xfId="27746" xr:uid="{98FC2914-B65D-4D1B-B054-08327EAA79D4}"/>
    <cellStyle name="Comma 2 3 3 2 5" xfId="7227" xr:uid="{AC8B0922-1920-4D7B-85C2-4B600BB42760}"/>
    <cellStyle name="Comma 2 3 3 2 5 2" xfId="7228" xr:uid="{4DF783DD-64E3-4DE1-A82C-5ADA95D97C0C}"/>
    <cellStyle name="Comma 2 3 3 2 6" xfId="7229" xr:uid="{0633EF6E-418D-4695-8025-0349D9DEEBDC}"/>
    <cellStyle name="Comma 2 3 3 2 6 2" xfId="7230" xr:uid="{906433AD-8364-415C-A675-FFAFB166AAA1}"/>
    <cellStyle name="Comma 2 3 3 2 7" xfId="7231" xr:uid="{1CB5ADF5-645A-4BB2-9CD6-6D03A76C2C33}"/>
    <cellStyle name="Comma 2 3 3 2 8" xfId="27747" xr:uid="{0B9D6430-B6AA-4DAC-87D3-E2EE6A9714A1}"/>
    <cellStyle name="Comma 2 3 3 2 9" xfId="42577" xr:uid="{146173FC-09DD-4465-9FBD-6BA29608CBE0}"/>
    <cellStyle name="Comma 2 3 3 3" xfId="7232" xr:uid="{F3DE44F7-CA5B-428D-BB98-E0DEC8877693}"/>
    <cellStyle name="Comma 2 3 3 3 2" xfId="7233" xr:uid="{C0A4D096-AEB3-443F-AFE9-FB4096E08B58}"/>
    <cellStyle name="Comma 2 3 3 3 2 2" xfId="7234" xr:uid="{DA7D0B91-D116-4BFF-BC3F-C2C8284FE89A}"/>
    <cellStyle name="Comma 2 3 3 3 2 2 2" xfId="7235" xr:uid="{DCC2E5F2-A1FD-45C2-B194-1077D4BE65CC}"/>
    <cellStyle name="Comma 2 3 3 3 2 2 2 2" xfId="7236" xr:uid="{7063B64A-80D4-476E-B0E2-496CADE3DE3C}"/>
    <cellStyle name="Comma 2 3 3 3 2 2 3" xfId="7237" xr:uid="{7C55E60A-EEBB-4E48-B1BD-B65879F03881}"/>
    <cellStyle name="Comma 2 3 3 3 2 2 4" xfId="27748" xr:uid="{6814106B-CFAD-4B27-8E1F-7C07AD00061A}"/>
    <cellStyle name="Comma 2 3 3 3 2 3" xfId="7238" xr:uid="{AECD3D78-D2CC-4B07-8E52-39FBCA05B2E8}"/>
    <cellStyle name="Comma 2 3 3 3 2 3 2" xfId="7239" xr:uid="{5B745080-5BC2-465B-9BBC-2448D3AD112D}"/>
    <cellStyle name="Comma 2 3 3 3 2 3 3" xfId="27749" xr:uid="{7D852728-D6C3-481E-8B09-69AEA59B3438}"/>
    <cellStyle name="Comma 2 3 3 3 2 4" xfId="7240" xr:uid="{422E9779-A9BA-4BBE-9264-22880689C6BF}"/>
    <cellStyle name="Comma 2 3 3 3 2 5" xfId="27750" xr:uid="{1FB730B7-23FA-4771-86A5-2B776348158C}"/>
    <cellStyle name="Comma 2 3 3 3 3" xfId="7241" xr:uid="{7CE56642-C0FB-41BF-8259-88289AC0DDAC}"/>
    <cellStyle name="Comma 2 3 3 3 3 2" xfId="7242" xr:uid="{3B526DED-1EB4-4EA6-8B32-6B2955F43128}"/>
    <cellStyle name="Comma 2 3 3 3 3 2 2" xfId="7243" xr:uid="{9FA4061C-B486-493B-BF42-5ABD52E1BF62}"/>
    <cellStyle name="Comma 2 3 3 3 3 3" xfId="7244" xr:uid="{EB95B97B-0E92-42AB-9190-4C52C64714B2}"/>
    <cellStyle name="Comma 2 3 3 3 3 4" xfId="27751" xr:uid="{184E9770-6ECC-4C70-AD14-76AACF38F8F3}"/>
    <cellStyle name="Comma 2 3 3 3 4" xfId="7245" xr:uid="{39B4DCCE-B04F-4C7D-AE54-E7CB65992444}"/>
    <cellStyle name="Comma 2 3 3 3 4 2" xfId="7246" xr:uid="{49B08D07-182C-45C6-B279-818F78C47E78}"/>
    <cellStyle name="Comma 2 3 3 3 4 3" xfId="27752" xr:uid="{D34F99A1-B0A1-4FA2-B9E0-564FC596C9C1}"/>
    <cellStyle name="Comma 2 3 3 3 5" xfId="7247" xr:uid="{E9F8B807-AC25-4008-BC4C-4527D3BB7CE9}"/>
    <cellStyle name="Comma 2 3 3 3 6" xfId="27753" xr:uid="{AA88ED94-5D49-42BF-8AE2-B3DB1A0B6840}"/>
    <cellStyle name="Comma 2 3 3 3 7" xfId="42578" xr:uid="{226E5909-E386-42BB-A5C7-8460D4683184}"/>
    <cellStyle name="Comma 2 3 3 3 8" xfId="43733" xr:uid="{662BF650-7728-43D6-9126-316905252CDD}"/>
    <cellStyle name="Comma 2 3 3 4" xfId="7248" xr:uid="{08E84FAD-FADD-4A83-9332-A854ED24DAE5}"/>
    <cellStyle name="Comma 2 3 3 4 2" xfId="7249" xr:uid="{FFCCBA16-A31F-4EEB-978A-9076EE88047E}"/>
    <cellStyle name="Comma 2 3 3 4 2 2" xfId="7250" xr:uid="{7206235C-7E14-493B-98AE-3C2C4A3CA4F8}"/>
    <cellStyle name="Comma 2 3 3 4 2 2 2" xfId="7251" xr:uid="{E0BFDF62-40A9-4144-AC2D-8D115E1C20E8}"/>
    <cellStyle name="Comma 2 3 3 4 2 3" xfId="7252" xr:uid="{71A93E26-2F22-4DCE-99E6-65061FF55FBC}"/>
    <cellStyle name="Comma 2 3 3 4 2 4" xfId="27754" xr:uid="{45DF2D61-1E57-42F4-B0DF-42AE3DCB9E53}"/>
    <cellStyle name="Comma 2 3 3 4 2 5" xfId="42580" xr:uid="{7AAAD81F-B3D3-4E5D-ACB9-AC40ECA34F06}"/>
    <cellStyle name="Comma 2 3 3 4 2 6" xfId="43735" xr:uid="{96AA8A4D-22D7-4806-BA95-4CC07D084708}"/>
    <cellStyle name="Comma 2 3 3 4 3" xfId="7253" xr:uid="{0DFE31FF-ECEB-4E1E-9743-A7C2049CDA0D}"/>
    <cellStyle name="Comma 2 3 3 4 3 2" xfId="7254" xr:uid="{AFEF23E1-A8C8-4A84-8712-3CC3CE622E7C}"/>
    <cellStyle name="Comma 2 3 3 4 3 3" xfId="27755" xr:uid="{16C1C4C5-26A4-49A3-88BB-5AED3C56F775}"/>
    <cellStyle name="Comma 2 3 3 4 4" xfId="7255" xr:uid="{1A48AE94-5B77-47E5-95F6-5A35F48EAE34}"/>
    <cellStyle name="Comma 2 3 3 4 5" xfId="27756" xr:uid="{9B5B01E2-AFAD-42FA-9D3D-6A27F40ED87F}"/>
    <cellStyle name="Comma 2 3 3 4 6" xfId="42579" xr:uid="{E0420E03-4A43-4A35-9FF8-89BD60F7EF3B}"/>
    <cellStyle name="Comma 2 3 3 4 7" xfId="43734" xr:uid="{FFE12A52-6E20-4500-A1D7-E36C9973FFE5}"/>
    <cellStyle name="Comma 2 3 3 5" xfId="7256" xr:uid="{A11D9C2E-BE22-4096-A714-AD1FECBE6C26}"/>
    <cellStyle name="Comma 2 3 3 5 2" xfId="7257" xr:uid="{16256C82-281A-4B0A-981A-6783092C9012}"/>
    <cellStyle name="Comma 2 3 3 5 2 2" xfId="7258" xr:uid="{64B49781-45C9-4B7B-BDD9-6B475C1C30ED}"/>
    <cellStyle name="Comma 2 3 3 5 3" xfId="7259" xr:uid="{DBC869E2-CB1C-43EE-AE7A-10F93D84EED8}"/>
    <cellStyle name="Comma 2 3 3 5 4" xfId="27757" xr:uid="{059EEDEF-21F0-4357-8A6A-E343A259B1FC}"/>
    <cellStyle name="Comma 2 3 3 6" xfId="7260" xr:uid="{6540DDD5-1F1E-48BF-B551-AAEFB950FED9}"/>
    <cellStyle name="Comma 2 3 3 6 2" xfId="7261" xr:uid="{4C7581BB-0DEE-4222-A692-811C9CAE0A60}"/>
    <cellStyle name="Comma 2 3 3 6 3" xfId="27758" xr:uid="{B4E22796-BA66-455F-85D6-ABA0051163B9}"/>
    <cellStyle name="Comma 2 3 3 7" xfId="7262" xr:uid="{0B146F82-8250-405B-B834-0B33308847F5}"/>
    <cellStyle name="Comma 2 3 3 7 2" xfId="7263" xr:uid="{513FF50C-F368-4B41-B364-82AD83E67B3C}"/>
    <cellStyle name="Comma 2 3 3 7 3" xfId="27759" xr:uid="{65DB8455-FD88-4C34-A8E2-F47128E18B9F}"/>
    <cellStyle name="Comma 2 3 3 8" xfId="7264" xr:uid="{85E43627-9915-4D94-BE66-CB4D3B7FD0B0}"/>
    <cellStyle name="Comma 2 3 3 9" xfId="7265" xr:uid="{AC4D92AA-D96E-4258-B2AE-2681BDA7151E}"/>
    <cellStyle name="Comma 2 3 4" xfId="7266" xr:uid="{92AC6CC7-C2AB-43B3-ADD8-40D3BB6CA6A3}"/>
    <cellStyle name="Comma 2 3 4 10" xfId="27760" xr:uid="{2D20C712-B4DB-4850-9D8E-D436A33FCC31}"/>
    <cellStyle name="Comma 2 3 4 11" xfId="42581" xr:uid="{13CDA6E6-9905-4408-B728-01AFB113BF3E}"/>
    <cellStyle name="Comma 2 3 4 12" xfId="43736" xr:uid="{812D0CC1-1BE0-4580-BE4C-087CB5417A0D}"/>
    <cellStyle name="Comma 2 3 4 2" xfId="7267" xr:uid="{551F4AD3-1006-4014-83F1-9BC78CF789AF}"/>
    <cellStyle name="Comma 2 3 4 2 2" xfId="7268" xr:uid="{497B4678-5339-4CEB-B3E7-168D6A0933C3}"/>
    <cellStyle name="Comma 2 3 4 2 2 2" xfId="7269" xr:uid="{A665A6F0-41CF-4806-8FBF-2D6C959A7FAF}"/>
    <cellStyle name="Comma 2 3 4 2 2 2 2" xfId="7270" xr:uid="{3750C9AB-2384-4061-B736-62CAD5935605}"/>
    <cellStyle name="Comma 2 3 4 2 2 3" xfId="7271" xr:uid="{37DBCB7C-9043-417C-B59D-F3AFD9F433DC}"/>
    <cellStyle name="Comma 2 3 4 2 2 4" xfId="27761" xr:uid="{A75B28BE-E39E-487D-A837-34FB8DBE055F}"/>
    <cellStyle name="Comma 2 3 4 2 3" xfId="7272" xr:uid="{914893CB-FE88-4982-B879-11F692D9F862}"/>
    <cellStyle name="Comma 2 3 4 2 3 2" xfId="7273" xr:uid="{883179D2-0202-4C2D-99F3-9D8DB6DA65D0}"/>
    <cellStyle name="Comma 2 3 4 2 3 3" xfId="27762" xr:uid="{57F70E92-86E1-4F8D-BC01-FE558D61F1EA}"/>
    <cellStyle name="Comma 2 3 4 2 4" xfId="7274" xr:uid="{40DE5161-0381-4A51-8DA5-BB264689948C}"/>
    <cellStyle name="Comma 2 3 4 2 4 2" xfId="7275" xr:uid="{F173BB96-8CCA-4E31-8EFB-CEAD38B162AD}"/>
    <cellStyle name="Comma 2 3 4 2 5" xfId="7276" xr:uid="{627E5C5D-C968-4055-884A-5410A7A18657}"/>
    <cellStyle name="Comma 2 3 4 2 5 2" xfId="7277" xr:uid="{7F6796AB-9855-4960-9399-91790A9F63FE}"/>
    <cellStyle name="Comma 2 3 4 2 6" xfId="7278" xr:uid="{546B0461-0A67-4D50-A9A1-B38C7D33600C}"/>
    <cellStyle name="Comma 2 3 4 2 7" xfId="27763" xr:uid="{31A1329E-EE1E-4985-B746-26396EF07BF3}"/>
    <cellStyle name="Comma 2 3 4 2 8" xfId="42582" xr:uid="{490B5E6A-7E8A-46A5-8AC0-174962604E8E}"/>
    <cellStyle name="Comma 2 3 4 2 9" xfId="43737" xr:uid="{B56AA609-8527-42EC-8FB5-DA4132EFFFA3}"/>
    <cellStyle name="Comma 2 3 4 3" xfId="7279" xr:uid="{5583E578-B3C6-4A18-A828-EE8EFF3B9C14}"/>
    <cellStyle name="Comma 2 3 4 3 2" xfId="7280" xr:uid="{649435FC-48FB-45DB-A6A6-F148F6111CCD}"/>
    <cellStyle name="Comma 2 3 4 3 2 2" xfId="7281" xr:uid="{31BE9CD8-1320-4FAB-AEF5-C0D5B1B7E72D}"/>
    <cellStyle name="Comma 2 3 4 3 3" xfId="7282" xr:uid="{2A5FED6E-4041-457C-8480-AFEBC3CF4DFD}"/>
    <cellStyle name="Comma 2 3 4 3 4" xfId="27764" xr:uid="{E8B6F988-FC69-407B-B74C-C7B5AF98F705}"/>
    <cellStyle name="Comma 2 3 4 4" xfId="7283" xr:uid="{21974749-200A-407E-8D67-69F2C62267CD}"/>
    <cellStyle name="Comma 2 3 4 4 2" xfId="7284" xr:uid="{6C681C99-FBF6-430A-95EB-F93D23CBE341}"/>
    <cellStyle name="Comma 2 3 4 4 3" xfId="27765" xr:uid="{269787F7-397D-4365-9D6A-B968E078589E}"/>
    <cellStyle name="Comma 2 3 4 5" xfId="7285" xr:uid="{D426BB4E-B672-4395-A12C-FAEF00130800}"/>
    <cellStyle name="Comma 2 3 4 5 2" xfId="7286" xr:uid="{E595AED8-8440-454E-AA80-A5558FD88057}"/>
    <cellStyle name="Comma 2 3 4 5 3" xfId="27766" xr:uid="{304DA500-CE63-4E20-B6AC-BD1CBB784099}"/>
    <cellStyle name="Comma 2 3 4 6" xfId="7287" xr:uid="{C16FA620-461F-4883-904D-29CD8B70C2A1}"/>
    <cellStyle name="Comma 2 3 4 6 2" xfId="7288" xr:uid="{C0EEAD19-086A-4C8D-BD65-A67F3B30B55A}"/>
    <cellStyle name="Comma 2 3 4 7" xfId="7289" xr:uid="{56ED388D-9EBE-4588-9AB1-69BF6E56BA83}"/>
    <cellStyle name="Comma 2 3 4 7 2" xfId="7290" xr:uid="{F46F8FCB-23E3-4153-B196-5BB5D2F8E816}"/>
    <cellStyle name="Comma 2 3 4 8" xfId="7291" xr:uid="{BEEA2B01-931E-4F6D-B35A-8C1A16DD5B87}"/>
    <cellStyle name="Comma 2 3 4 9" xfId="7292" xr:uid="{B4830BE0-BA42-44CF-BEB1-86E20A8C4E42}"/>
    <cellStyle name="Comma 2 3 5" xfId="7293" xr:uid="{2E109063-A229-4E46-BC29-5950896F5097}"/>
    <cellStyle name="Comma 2 3 5 10" xfId="27767" xr:uid="{52DA052C-E306-478D-809C-0F4A298D665D}"/>
    <cellStyle name="Comma 2 3 5 11" xfId="42583" xr:uid="{984639C0-5C9D-40C9-8565-2BEABCEE43FB}"/>
    <cellStyle name="Comma 2 3 5 12" xfId="43738" xr:uid="{3AD07588-9126-417D-B0D3-B0F0B23449C1}"/>
    <cellStyle name="Comma 2 3 5 2" xfId="7294" xr:uid="{E896A289-0733-4CD8-B869-727D1035D449}"/>
    <cellStyle name="Comma 2 3 5 2 2" xfId="7295" xr:uid="{9E84C352-9DFF-45F2-BD21-60C914C22B65}"/>
    <cellStyle name="Comma 2 3 5 2 2 2" xfId="7296" xr:uid="{92B704B7-8C6F-4845-9020-285252385F8D}"/>
    <cellStyle name="Comma 2 3 5 2 2 2 2" xfId="7297" xr:uid="{78F2F4CB-D6D9-4CB3-A31F-B5AB52E46E6D}"/>
    <cellStyle name="Comma 2 3 5 2 2 3" xfId="7298" xr:uid="{EE7AF336-1212-4C48-9A5A-1179B9B33F03}"/>
    <cellStyle name="Comma 2 3 5 2 2 4" xfId="27768" xr:uid="{2FA55613-2B23-41A9-B1C9-63B869D04D5B}"/>
    <cellStyle name="Comma 2 3 5 2 3" xfId="7299" xr:uid="{D18707D2-BAF3-4B2D-98BE-ADA14C7722B4}"/>
    <cellStyle name="Comma 2 3 5 2 3 2" xfId="7300" xr:uid="{8095BABC-05E6-4C13-9FD7-FF93DC7DB3B5}"/>
    <cellStyle name="Comma 2 3 5 2 3 3" xfId="27769" xr:uid="{E4CBEA03-93F4-4356-86D6-56FF574E0967}"/>
    <cellStyle name="Comma 2 3 5 2 4" xfId="7301" xr:uid="{F35346D3-3CB2-4D8F-9652-B3D481CDF06B}"/>
    <cellStyle name="Comma 2 3 5 2 4 2" xfId="7302" xr:uid="{AB22F78D-F018-45DE-992E-B857175904E7}"/>
    <cellStyle name="Comma 2 3 5 2 5" xfId="7303" xr:uid="{84CD2EAD-5667-4BCE-8AC0-9FC4130B5D3E}"/>
    <cellStyle name="Comma 2 3 5 2 5 2" xfId="7304" xr:uid="{4F4AC29E-3074-4E97-AF0C-D0096BE69986}"/>
    <cellStyle name="Comma 2 3 5 2 6" xfId="7305" xr:uid="{7FFCA896-5F6A-4F6B-B828-1F2C57C1FC2E}"/>
    <cellStyle name="Comma 2 3 5 2 7" xfId="27770" xr:uid="{DB7B1403-9FB3-4202-BB54-6D098A73DB79}"/>
    <cellStyle name="Comma 2 3 5 3" xfId="7306" xr:uid="{46C32D75-269F-4F02-A10E-98D91046B4F2}"/>
    <cellStyle name="Comma 2 3 5 3 2" xfId="7307" xr:uid="{E6D17E37-16F4-498D-895C-76010D381CE0}"/>
    <cellStyle name="Comma 2 3 5 3 2 2" xfId="7308" xr:uid="{B215E0E8-E989-443C-A9F1-A305C3149342}"/>
    <cellStyle name="Comma 2 3 5 3 3" xfId="7309" xr:uid="{46498A50-4EFB-43A5-9A18-E2328BBBE396}"/>
    <cellStyle name="Comma 2 3 5 3 4" xfId="27771" xr:uid="{F736A615-FBD4-45A5-9A61-13B46FBBF266}"/>
    <cellStyle name="Comma 2 3 5 4" xfId="7310" xr:uid="{ACC5F1DB-025D-4A33-9612-6104A055BC3C}"/>
    <cellStyle name="Comma 2 3 5 4 2" xfId="7311" xr:uid="{8965136C-3667-4B19-B751-04A79510B583}"/>
    <cellStyle name="Comma 2 3 5 4 3" xfId="27772" xr:uid="{88F425A1-E3D9-4B52-B44A-6C82B203522A}"/>
    <cellStyle name="Comma 2 3 5 5" xfId="7312" xr:uid="{EC6AC95B-BCA3-491A-814C-FA14DB35AE79}"/>
    <cellStyle name="Comma 2 3 5 5 2" xfId="7313" xr:uid="{583BE52C-7F82-4B23-A35B-17839F30985F}"/>
    <cellStyle name="Comma 2 3 5 6" xfId="7314" xr:uid="{6C5324D9-3431-4EF5-B580-0F966A82551F}"/>
    <cellStyle name="Comma 2 3 5 6 2" xfId="7315" xr:uid="{EF7ED308-31F8-480B-B963-AE77859FB5AE}"/>
    <cellStyle name="Comma 2 3 5 7" xfId="7316" xr:uid="{D0EC1D23-6D52-4CAC-A868-E676C3287B9B}"/>
    <cellStyle name="Comma 2 3 5 7 2" xfId="7317" xr:uid="{A7AE4928-12EF-4D40-9E74-785C6798D3D9}"/>
    <cellStyle name="Comma 2 3 5 8" xfId="7318" xr:uid="{28668D4D-21A3-4D0F-8F38-19EC00B5ACC1}"/>
    <cellStyle name="Comma 2 3 5 9" xfId="7319" xr:uid="{98B2F4AB-4779-474D-8F6A-154934F608E6}"/>
    <cellStyle name="Comma 2 3 6" xfId="7320" xr:uid="{A6F543FC-0930-4C60-8F23-D841E3C2EDBE}"/>
    <cellStyle name="Comma 2 3 6 10" xfId="42584" xr:uid="{61CB1DBD-3DB0-44F6-9744-FFC548545096}"/>
    <cellStyle name="Comma 2 3 6 11" xfId="43739" xr:uid="{801EECAC-D25D-47E5-9CAE-01F4C1F7210D}"/>
    <cellStyle name="Comma 2 3 6 2" xfId="7321" xr:uid="{0CC6E4FF-A8E5-423A-9A4A-22CB5A03BDDB}"/>
    <cellStyle name="Comma 2 3 6 2 2" xfId="7322" xr:uid="{2116D3B7-6342-492D-9D09-8D8D71BEBFA5}"/>
    <cellStyle name="Comma 2 3 6 2 2 2" xfId="7323" xr:uid="{DCF03EF1-4ABE-4E56-B001-441CA02B49C7}"/>
    <cellStyle name="Comma 2 3 6 2 2 2 2" xfId="7324" xr:uid="{BF8C5037-25C2-433B-8777-5286324D51DB}"/>
    <cellStyle name="Comma 2 3 6 2 2 3" xfId="7325" xr:uid="{33333004-9C02-49F0-BE65-9DF265C986CC}"/>
    <cellStyle name="Comma 2 3 6 2 2 4" xfId="27773" xr:uid="{4085CA48-FAC2-4525-BF06-D48A7C91A66F}"/>
    <cellStyle name="Comma 2 3 6 2 3" xfId="7326" xr:uid="{25DAF2D7-70EC-4FE3-BA13-F322B5A10677}"/>
    <cellStyle name="Comma 2 3 6 2 3 2" xfId="7327" xr:uid="{BE846B48-BB31-4FB1-8378-75E2CD8DAB56}"/>
    <cellStyle name="Comma 2 3 6 2 3 3" xfId="27774" xr:uid="{99403F2A-0E65-474E-94D8-E638D6AEBDA3}"/>
    <cellStyle name="Comma 2 3 6 2 4" xfId="7328" xr:uid="{9A3253DF-3467-4A4C-A09B-6EF6FFEF8D04}"/>
    <cellStyle name="Comma 2 3 6 2 4 2" xfId="7329" xr:uid="{5B8B019C-CEC7-4EE5-85F0-2C9AEC3F9D9E}"/>
    <cellStyle name="Comma 2 3 6 2 5" xfId="7330" xr:uid="{0921DC14-EFC8-4050-BEEF-9245D8583782}"/>
    <cellStyle name="Comma 2 3 6 2 5 2" xfId="7331" xr:uid="{67E15E28-1288-4128-AB18-49716C4612F0}"/>
    <cellStyle name="Comma 2 3 6 2 6" xfId="7332" xr:uid="{63E14F5A-B9C3-4201-90C7-C55EB21FDD28}"/>
    <cellStyle name="Comma 2 3 6 2 7" xfId="27775" xr:uid="{D2C68CD2-158F-4E0A-8C64-CE82E0E50AA0}"/>
    <cellStyle name="Comma 2 3 6 2 8" xfId="42585" xr:uid="{2B65F57A-E27E-4150-A480-7DCB07E32E12}"/>
    <cellStyle name="Comma 2 3 6 2 9" xfId="43740" xr:uid="{98EC92D4-CACD-4C03-B6B1-72C7AE3FC611}"/>
    <cellStyle name="Comma 2 3 6 3" xfId="7333" xr:uid="{C8130665-34B4-4FA3-8584-2E315FC3996E}"/>
    <cellStyle name="Comma 2 3 6 3 2" xfId="7334" xr:uid="{E1BF2512-FD84-4C17-8B1E-1C726C71C24F}"/>
    <cellStyle name="Comma 2 3 6 3 2 2" xfId="7335" xr:uid="{D39E84A7-1573-4182-8D8E-458181BD1FDC}"/>
    <cellStyle name="Comma 2 3 6 3 3" xfId="7336" xr:uid="{AC3CD46B-4B57-43F7-93E1-68FA69739144}"/>
    <cellStyle name="Comma 2 3 6 3 4" xfId="27776" xr:uid="{C97868DF-FA06-4FD8-A889-4FF96BA60C7A}"/>
    <cellStyle name="Comma 2 3 6 4" xfId="7337" xr:uid="{DC899A84-EA55-4F23-AD21-4B259FE3826A}"/>
    <cellStyle name="Comma 2 3 6 4 2" xfId="7338" xr:uid="{BA469A0D-EBDB-41C3-A058-ADD80BCE2249}"/>
    <cellStyle name="Comma 2 3 6 4 3" xfId="27777" xr:uid="{1ED5324D-214F-4C39-97FA-F3CBF456F16C}"/>
    <cellStyle name="Comma 2 3 6 5" xfId="7339" xr:uid="{F2A4476B-DA69-4475-95F3-6EA14E03131B}"/>
    <cellStyle name="Comma 2 3 6 5 2" xfId="7340" xr:uid="{F412F668-5837-43E6-8D87-B664C7EE319C}"/>
    <cellStyle name="Comma 2 3 6 6" xfId="7341" xr:uid="{CAAEB0CC-A679-434C-95F0-59F820F02EC1}"/>
    <cellStyle name="Comma 2 3 6 6 2" xfId="7342" xr:uid="{B1E52654-4092-4DC0-9D15-48948394498D}"/>
    <cellStyle name="Comma 2 3 6 7" xfId="7343" xr:uid="{5932055C-3230-47F2-BF6C-84ADA0360763}"/>
    <cellStyle name="Comma 2 3 6 7 2" xfId="7344" xr:uid="{9109D4B4-9C54-4A4A-A9B3-372941DC0813}"/>
    <cellStyle name="Comma 2 3 6 8" xfId="7345" xr:uid="{BD593137-1A59-4F42-B458-346722CD5378}"/>
    <cellStyle name="Comma 2 3 6 9" xfId="27778" xr:uid="{CD6B3B76-D8F6-4805-8FF9-8D0DD6ADCAEE}"/>
    <cellStyle name="Comma 2 3 7" xfId="7346" xr:uid="{2CC6A7B7-0160-497B-99F6-427199D16907}"/>
    <cellStyle name="Comma 2 3 7 2" xfId="7347" xr:uid="{E72D3B06-3ED2-4766-A24C-03A14A45734D}"/>
    <cellStyle name="Comma 2 3 7 2 2" xfId="7348" xr:uid="{51C7F631-EF1F-48D9-871E-3754EE823670}"/>
    <cellStyle name="Comma 2 3 7 2 2 2" xfId="7349" xr:uid="{2FE27976-F2C8-43D4-99F8-EA724A39512C}"/>
    <cellStyle name="Comma 2 3 7 2 2 2 2" xfId="7350" xr:uid="{F990A994-08C4-45E5-9F3B-A607D24F340E}"/>
    <cellStyle name="Comma 2 3 7 2 2 3" xfId="7351" xr:uid="{A93C4B1A-D614-4DAA-B060-A810A8C635E2}"/>
    <cellStyle name="Comma 2 3 7 2 2 4" xfId="27779" xr:uid="{6D2B6244-8BC6-47BD-BC3A-CEF42FD9A9D6}"/>
    <cellStyle name="Comma 2 3 7 2 3" xfId="7352" xr:uid="{E7AAAD15-950C-4748-864F-A656F18E671D}"/>
    <cellStyle name="Comma 2 3 7 2 3 2" xfId="7353" xr:uid="{19578092-175F-4E42-A7C8-D181529633CD}"/>
    <cellStyle name="Comma 2 3 7 2 3 3" xfId="27780" xr:uid="{8F560004-46CB-4EA2-9DF1-96065C0DA748}"/>
    <cellStyle name="Comma 2 3 7 2 4" xfId="7354" xr:uid="{EA514A14-A578-4FE5-BBD0-5BD7D7B59F5A}"/>
    <cellStyle name="Comma 2 3 7 2 5" xfId="27781" xr:uid="{0641D6B3-C1F4-48D7-9F72-A69C940A281C}"/>
    <cellStyle name="Comma 2 3 7 3" xfId="7355" xr:uid="{3AF03F40-5E4C-40B5-9430-AAD2C892655B}"/>
    <cellStyle name="Comma 2 3 7 3 2" xfId="7356" xr:uid="{3030E76C-45BB-43E3-B956-CDCE7340BAB0}"/>
    <cellStyle name="Comma 2 3 7 3 2 2" xfId="7357" xr:uid="{FC74BA6C-74B0-4C11-BA88-787B408FC294}"/>
    <cellStyle name="Comma 2 3 7 3 3" xfId="7358" xr:uid="{35984B02-58B7-4412-B2FC-2D0B65D77BD5}"/>
    <cellStyle name="Comma 2 3 7 3 4" xfId="27782" xr:uid="{796B5807-BDB5-4ACE-BD11-D2DBB41DE87A}"/>
    <cellStyle name="Comma 2 3 7 4" xfId="7359" xr:uid="{3C1758A8-06BE-4F4F-81AD-1DB59D376A47}"/>
    <cellStyle name="Comma 2 3 7 4 2" xfId="7360" xr:uid="{B0717594-B8CA-400E-AE70-AE5EE1E937A3}"/>
    <cellStyle name="Comma 2 3 7 4 3" xfId="27783" xr:uid="{1CD01985-1F10-48EB-94E0-DBD42BC2A5F5}"/>
    <cellStyle name="Comma 2 3 7 5" xfId="7361" xr:uid="{A6E20854-223E-4485-9298-935360FB805E}"/>
    <cellStyle name="Comma 2 3 7 5 2" xfId="7362" xr:uid="{9BE0A8B7-8954-42DB-A9B9-809A22B96EB1}"/>
    <cellStyle name="Comma 2 3 7 6" xfId="7363" xr:uid="{2C74FE06-6FCA-4A1F-8FC9-E7D940970136}"/>
    <cellStyle name="Comma 2 3 7 7" xfId="27784" xr:uid="{B946F8BB-584F-4809-A6FB-BB3191BB6319}"/>
    <cellStyle name="Comma 2 3 7 8" xfId="42586" xr:uid="{2CB82DD8-6DDB-4EBE-867F-EF663979ABF0}"/>
    <cellStyle name="Comma 2 3 8" xfId="7364" xr:uid="{297A21B6-412F-4E3B-BB5F-D431F5C3FBB5}"/>
    <cellStyle name="Comma 2 3 8 2" xfId="7365" xr:uid="{52383271-7F42-4BB0-A6DF-86599244E40B}"/>
    <cellStyle name="Comma 2 3 8 2 2" xfId="7366" xr:uid="{D50A35FC-6719-4777-A515-4FFA8A92334B}"/>
    <cellStyle name="Comma 2 3 8 2 2 2" xfId="7367" xr:uid="{E40223B5-3A35-4CD3-AC55-BC492B581C6B}"/>
    <cellStyle name="Comma 2 3 8 2 2 2 2" xfId="27785" xr:uid="{4ECA2A32-F478-46EB-B5F9-2865A5D1945B}"/>
    <cellStyle name="Comma 2 3 8 2 2 3" xfId="27786" xr:uid="{9C2E1EB2-9E97-486B-8FC3-12B53B4D675E}"/>
    <cellStyle name="Comma 2 3 8 2 3" xfId="7368" xr:uid="{79405224-9AC2-4013-8DC0-1FD0042EC925}"/>
    <cellStyle name="Comma 2 3 8 2 3 2" xfId="7369" xr:uid="{98C19806-8A35-47F4-A6B4-F3D6576EAD51}"/>
    <cellStyle name="Comma 2 3 8 2 4" xfId="7370" xr:uid="{D7D27BB0-5302-439D-A8C8-AFF01E6BA5E2}"/>
    <cellStyle name="Comma 2 3 8 2 5" xfId="27787" xr:uid="{C11FA2BD-DFAE-427A-8A69-D9E1A38F291B}"/>
    <cellStyle name="Comma 2 3 8 3" xfId="7371" xr:uid="{1F0F172B-79EC-43FA-8231-9A322824AA96}"/>
    <cellStyle name="Comma 2 3 8 3 2" xfId="7372" xr:uid="{587C465C-1BCF-454F-8E50-7896EF645F97}"/>
    <cellStyle name="Comma 2 3 8 3 2 2" xfId="7373" xr:uid="{36BFE44C-6FCE-4BCC-BA02-357B374603F0}"/>
    <cellStyle name="Comma 2 3 8 3 3" xfId="7374" xr:uid="{AAA18AE5-7F0E-4F32-A20D-7F3AA88595DA}"/>
    <cellStyle name="Comma 2 3 8 3 4" xfId="27788" xr:uid="{CA535865-CD6B-42C6-9EEF-39D9C8A4CEBD}"/>
    <cellStyle name="Comma 2 3 8 4" xfId="7375" xr:uid="{D65181D4-72D2-4CF9-B23D-3DCFD4A53463}"/>
    <cellStyle name="Comma 2 3 8 4 2" xfId="7376" xr:uid="{27789B97-F2AF-4C2A-B563-9E1B757E8217}"/>
    <cellStyle name="Comma 2 3 8 4 3" xfId="27789" xr:uid="{715D63E8-0210-4319-B053-5E87D8511118}"/>
    <cellStyle name="Comma 2 3 8 5" xfId="7377" xr:uid="{FDA54806-0EF5-4F84-B73A-801036A88420}"/>
    <cellStyle name="Comma 2 3 8 6" xfId="27790" xr:uid="{974E50F9-8806-4FA4-8B31-B527D12966F8}"/>
    <cellStyle name="Comma 2 3 8 7" xfId="42587" xr:uid="{BD2ECE86-1ECA-4B56-85BA-1DA0BC9D78EB}"/>
    <cellStyle name="Comma 2 3 8 8" xfId="43741" xr:uid="{D8F4E4D6-6B61-4136-98A2-D89C8BA16289}"/>
    <cellStyle name="Comma 2 3 9" xfId="7378" xr:uid="{8C4D8CCE-D915-408F-963A-34C159B66B5B}"/>
    <cellStyle name="Comma 2 3 9 2" xfId="7379" xr:uid="{9F8A6537-29F1-485C-8216-8EA18BB4A5A4}"/>
    <cellStyle name="Comma 2 3 9 2 2" xfId="7380" xr:uid="{2CCA8F78-D995-4E28-85A6-92A374BD3C45}"/>
    <cellStyle name="Comma 2 3 9 2 2 2" xfId="7381" xr:uid="{9CACD029-073F-49FA-8843-28C017CA0103}"/>
    <cellStyle name="Comma 2 3 9 2 2 2 2" xfId="27791" xr:uid="{0512549F-F0AA-45EE-BAFF-F045DC7A7D59}"/>
    <cellStyle name="Comma 2 3 9 2 2 3" xfId="27792" xr:uid="{E891438A-1BB6-45B1-9F0F-F87F569BD9AC}"/>
    <cellStyle name="Comma 2 3 9 2 3" xfId="7382" xr:uid="{65D335A3-5FBF-4C83-9B4A-8640F6F9CC12}"/>
    <cellStyle name="Comma 2 3 9 2 3 2" xfId="7383" xr:uid="{F3FC78A4-FB45-41ED-8C18-32ACF688CC73}"/>
    <cellStyle name="Comma 2 3 9 2 4" xfId="7384" xr:uid="{8131353F-1508-43AD-8BBE-48FC9BA050E1}"/>
    <cellStyle name="Comma 2 3 9 2 5" xfId="27793" xr:uid="{FC6D75F4-188C-4AF7-A166-D501E95C3D48}"/>
    <cellStyle name="Comma 2 3 9 3" xfId="7385" xr:uid="{FE388E20-502F-4D33-8445-9A0D5AB12740}"/>
    <cellStyle name="Comma 2 3 9 3 2" xfId="7386" xr:uid="{9DDF04C4-186B-4B41-9E5A-5BAFDE2E6018}"/>
    <cellStyle name="Comma 2 3 9 3 2 2" xfId="7387" xr:uid="{F3A98420-722D-40C0-800C-11056100D251}"/>
    <cellStyle name="Comma 2 3 9 3 3" xfId="7388" xr:uid="{582FC2D0-D212-45E6-A2E2-2FB08A9D9303}"/>
    <cellStyle name="Comma 2 3 9 3 4" xfId="27794" xr:uid="{E994DDD6-BCC1-48BD-9644-36F15DA4CD95}"/>
    <cellStyle name="Comma 2 3 9 4" xfId="7389" xr:uid="{F3731DE1-1779-45D6-AB0E-3444DEDABFBA}"/>
    <cellStyle name="Comma 2 3 9 4 2" xfId="27795" xr:uid="{876F4F47-FFC4-4CEC-B9B2-7FD568C892E2}"/>
    <cellStyle name="Comma 2 3 9 4 3" xfId="27796" xr:uid="{B9E86A48-7B1C-4D12-9600-4CA2E07F929A}"/>
    <cellStyle name="Comma 2 3 9 5" xfId="7390" xr:uid="{308B95D6-DD97-44C9-9CA6-94EB69AC0427}"/>
    <cellStyle name="Comma 2 3 9 5 2" xfId="7391" xr:uid="{4089E2D6-39D2-4CF1-9768-D2D7A0375A32}"/>
    <cellStyle name="Comma 2 3 9 6" xfId="7392" xr:uid="{F360FD5D-6D0C-4DE6-82A2-7BA8FD4A5E7A}"/>
    <cellStyle name="Comma 2 30" xfId="7393" xr:uid="{1567F703-38F7-4C21-93D1-D7A39B9D0811}"/>
    <cellStyle name="Comma 2 30 2" xfId="27797" xr:uid="{B48FE8EA-D4FC-4B2F-A41E-E513D93E4241}"/>
    <cellStyle name="Comma 2 31" xfId="27798" xr:uid="{3A61553E-404A-4D23-8D95-F1A98F173A79}"/>
    <cellStyle name="Comma 2 32" xfId="27799" xr:uid="{D8D47867-3DDD-46DD-A22C-D214188AA6FC}"/>
    <cellStyle name="Comma 2 33" xfId="27800" xr:uid="{E68DD4F7-D7E8-4AFA-9991-89A72175515B}"/>
    <cellStyle name="Comma 2 34" xfId="27801" xr:uid="{A018F4B0-2842-4E7C-9A1B-A43C62AF7513}"/>
    <cellStyle name="Comma 2 35" xfId="27802" xr:uid="{8C04B2C6-6FC0-46F0-AA0B-72BABB094026}"/>
    <cellStyle name="Comma 2 36" xfId="42202" xr:uid="{1A24BA72-85C3-4556-87E0-45D11F451182}"/>
    <cellStyle name="Comma 2 37" xfId="43492" xr:uid="{05F32317-142A-44CB-92FF-363351480B3C}"/>
    <cellStyle name="Comma 2 38" xfId="6488" xr:uid="{94919F4A-19FE-47EF-BCED-EE199D45DA79}"/>
    <cellStyle name="Comma 2 39" xfId="45765" xr:uid="{D5CD0658-AE78-422F-881C-C24752B60654}"/>
    <cellStyle name="Comma 2 4" xfId="7394" xr:uid="{97C6E7A3-D9D5-4CF6-A204-82A8ACC39CD6}"/>
    <cellStyle name="Comma 2 4 10" xfId="7395" xr:uid="{77D4ABFE-AE3A-4C4A-9F12-119F2E67D273}"/>
    <cellStyle name="Comma 2 4 10 2" xfId="7396" xr:uid="{B0BB06A6-A2A1-4730-B9C6-EDD8AC0F3EF6}"/>
    <cellStyle name="Comma 2 4 10 2 2" xfId="27803" xr:uid="{2D49AB09-CE1A-49FC-914B-FCBD16749AF9}"/>
    <cellStyle name="Comma 2 4 10 3" xfId="27804" xr:uid="{F9BFD961-F7D5-4233-AD55-F5F33EC4926C}"/>
    <cellStyle name="Comma 2 4 10 4" xfId="27805" xr:uid="{AD4BE089-DFAA-4DCD-8BFA-D6C3A0593448}"/>
    <cellStyle name="Comma 2 4 11" xfId="7397" xr:uid="{11329CD2-89B8-4AEA-9303-15F2B3872201}"/>
    <cellStyle name="Comma 2 4 11 2" xfId="7398" xr:uid="{D5C20402-65EF-49EE-9B99-54449D57A83F}"/>
    <cellStyle name="Comma 2 4 11 2 2" xfId="27806" xr:uid="{D4425C34-DFC6-4DA3-9AF0-4316250E84AA}"/>
    <cellStyle name="Comma 2 4 11 3" xfId="27807" xr:uid="{1C4F0543-B201-4EDE-B59A-C35FCF9B9D9A}"/>
    <cellStyle name="Comma 2 4 11 4" xfId="27808" xr:uid="{1BAF1F38-9E73-4A0B-8703-E8FE9FDF9BF7}"/>
    <cellStyle name="Comma 2 4 12" xfId="7399" xr:uid="{60ACFC74-14C8-49DF-9BC1-32A78B457436}"/>
    <cellStyle name="Comma 2 4 12 2" xfId="7400" xr:uid="{530D69B3-9C46-48AF-B621-B9AB4EC817DB}"/>
    <cellStyle name="Comma 2 4 12 3" xfId="27809" xr:uid="{0E157EB9-B671-4526-A288-7635B3C73DF3}"/>
    <cellStyle name="Comma 2 4 13" xfId="7401" xr:uid="{F41D68B0-640D-4D17-8704-683D4AE0A6D2}"/>
    <cellStyle name="Comma 2 4 13 2" xfId="7402" xr:uid="{4ADB3E96-FA54-42B4-9510-3E7F642E22F2}"/>
    <cellStyle name="Comma 2 4 13 3" xfId="27810" xr:uid="{81BDFEB7-2534-4946-BA88-0F4E5109C370}"/>
    <cellStyle name="Comma 2 4 14" xfId="7403" xr:uid="{875AB0F2-6070-4AFC-8E16-3082AFC7D473}"/>
    <cellStyle name="Comma 2 4 14 2" xfId="7404" xr:uid="{E0BBAF2C-0387-4D3C-82C9-E04F4DC70E0D}"/>
    <cellStyle name="Comma 2 4 15" xfId="7405" xr:uid="{188AEED7-2D99-4808-A3B8-3E8C4C25C474}"/>
    <cellStyle name="Comma 2 4 15 2" xfId="7406" xr:uid="{05BFB09C-E5CC-478D-AA11-C2425D5AB69C}"/>
    <cellStyle name="Comma 2 4 16" xfId="7407" xr:uid="{FB314F6C-8244-48F9-9600-BA2B084FF484}"/>
    <cellStyle name="Comma 2 4 17" xfId="7408" xr:uid="{6415D8B9-1458-481C-AC6F-FD04E516E45F}"/>
    <cellStyle name="Comma 2 4 18" xfId="7409" xr:uid="{BA8BE4DA-C27A-47D5-A5AA-15BF3076A313}"/>
    <cellStyle name="Comma 2 4 19" xfId="42588" xr:uid="{D3BAD02E-6714-492E-9691-0D98016FC0AE}"/>
    <cellStyle name="Comma 2 4 2" xfId="7410" xr:uid="{21FF07C2-B976-4D4B-A177-F9552FD5B3A7}"/>
    <cellStyle name="Comma 2 4 2 10" xfId="7411" xr:uid="{3B5D82DA-A4FD-46A4-8CB4-A920705B0791}"/>
    <cellStyle name="Comma 2 4 2 10 2" xfId="7412" xr:uid="{D6E2C9C6-0429-479A-9DA4-962A50193421}"/>
    <cellStyle name="Comma 2 4 2 11" xfId="7413" xr:uid="{2BE9291E-FDD1-4E7C-9910-EA990C291245}"/>
    <cellStyle name="Comma 2 4 2 11 2" xfId="7414" xr:uid="{485185B0-9ED3-48B2-A6F4-D89AA208B0AC}"/>
    <cellStyle name="Comma 2 4 2 12" xfId="7415" xr:uid="{1B80EE09-5640-4A02-A19F-FDAE8718BBD9}"/>
    <cellStyle name="Comma 2 4 2 13" xfId="7416" xr:uid="{08C61078-F1F0-49AD-AD89-B544B08DC828}"/>
    <cellStyle name="Comma 2 4 2 14" xfId="7417" xr:uid="{90A00A97-A4EF-4C38-95C3-7A96E565F27C}"/>
    <cellStyle name="Comma 2 4 2 15" xfId="27811" xr:uid="{BC744FFF-6929-44E9-A11F-1D1088BDD82D}"/>
    <cellStyle name="Comma 2 4 2 16" xfId="42589" xr:uid="{112160F3-DC1C-4846-AF4D-6539B405BB0F}"/>
    <cellStyle name="Comma 2 4 2 17" xfId="43743" xr:uid="{F9ABD151-32CE-4541-80C5-16EB9C910899}"/>
    <cellStyle name="Comma 2 4 2 18" xfId="45937" xr:uid="{6F9AA29B-6EAD-4303-A8D1-0340238D24C9}"/>
    <cellStyle name="Comma 2 4 2 2" xfId="7418" xr:uid="{DB09560A-674D-46D5-AD2D-B9046BFECE3E}"/>
    <cellStyle name="Comma 2 4 2 2 10" xfId="43744" xr:uid="{EBF4055C-3EAF-4C11-8FA9-8449F3DC59FD}"/>
    <cellStyle name="Comma 2 4 2 2 2" xfId="7419" xr:uid="{62849340-9541-44A7-BD4F-3DE6075EDF8A}"/>
    <cellStyle name="Comma 2 4 2 2 2 2" xfId="7420" xr:uid="{931E14CF-1641-4690-BAB1-72FAFB9D0FE7}"/>
    <cellStyle name="Comma 2 4 2 2 2 2 2" xfId="7421" xr:uid="{437C4E71-4376-46A4-9C92-BBEF5B5CBAAE}"/>
    <cellStyle name="Comma 2 4 2 2 2 2 3" xfId="27812" xr:uid="{CA407159-9EDE-4236-B0BD-05F98AF5973F}"/>
    <cellStyle name="Comma 2 4 2 2 2 3" xfId="7422" xr:uid="{5C1936C7-6F10-4ACE-8F45-A18B1515A850}"/>
    <cellStyle name="Comma 2 4 2 2 2 3 2" xfId="7423" xr:uid="{643FFCF6-481E-41B9-BE31-39AEA84A5F9F}"/>
    <cellStyle name="Comma 2 4 2 2 2 4" xfId="7424" xr:uid="{F3C249CF-A0C1-4678-A4F6-FDAB877C5AE6}"/>
    <cellStyle name="Comma 2 4 2 2 2 4 2" xfId="7425" xr:uid="{6FE6C9D8-2849-4818-B00E-F1E3BF8050FA}"/>
    <cellStyle name="Comma 2 4 2 2 2 5" xfId="7426" xr:uid="{F5D0F810-C299-4834-B7BB-A7B7B0EE7EF9}"/>
    <cellStyle name="Comma 2 4 2 2 3" xfId="7427" xr:uid="{247DCA7B-BE54-4DD9-A08F-4B9151F9AEB1}"/>
    <cellStyle name="Comma 2 4 2 2 3 2" xfId="7428" xr:uid="{81187C0C-F9B2-4893-88E2-DD940E8CCC9E}"/>
    <cellStyle name="Comma 2 4 2 2 3 3" xfId="27813" xr:uid="{018C72D9-700E-4D6B-BB32-AA8B3D299D8B}"/>
    <cellStyle name="Comma 2 4 2 2 4" xfId="7429" xr:uid="{A25C94B1-2468-4A18-8A82-62FA5EF5CA73}"/>
    <cellStyle name="Comma 2 4 2 2 4 2" xfId="7430" xr:uid="{0D33B48C-0ED0-4FDD-85FD-5C2A076BD783}"/>
    <cellStyle name="Comma 2 4 2 2 5" xfId="7431" xr:uid="{3F980082-F9D7-4B5E-BD35-7B4A32F7254E}"/>
    <cellStyle name="Comma 2 4 2 2 5 2" xfId="7432" xr:uid="{C1600C1D-77B9-4CF3-AAE0-60385FDEE11C}"/>
    <cellStyle name="Comma 2 4 2 2 6" xfId="7433" xr:uid="{A0C2354E-A310-450B-B138-7568176748A5}"/>
    <cellStyle name="Comma 2 4 2 2 6 2" xfId="7434" xr:uid="{6DB34EF0-897B-4054-A52A-FDB8D81EF8C9}"/>
    <cellStyle name="Comma 2 4 2 2 7" xfId="7435" xr:uid="{B9CBB484-8D63-4C53-B6AE-E673DE2A96F2}"/>
    <cellStyle name="Comma 2 4 2 2 8" xfId="7436" xr:uid="{6A6F1AE9-E708-423B-B46B-33CB37B39BA3}"/>
    <cellStyle name="Comma 2 4 2 2 9" xfId="42590" xr:uid="{37DFA1D9-0B81-4894-BABE-4B751097A596}"/>
    <cellStyle name="Comma 2 4 2 3" xfId="7437" xr:uid="{48EEFBB1-C2AB-4E9A-B1C1-33B5EF346FE1}"/>
    <cellStyle name="Comma 2 4 2 3 2" xfId="7438" xr:uid="{7962F259-ECB7-4C12-A037-71E35A72B404}"/>
    <cellStyle name="Comma 2 4 2 3 2 2" xfId="7439" xr:uid="{1BBF6977-68ED-4C45-8013-01D8AF7E816E}"/>
    <cellStyle name="Comma 2 4 2 3 2 2 2" xfId="7440" xr:uid="{C1C6BE17-B0E5-4711-AABF-E300A0D6395B}"/>
    <cellStyle name="Comma 2 4 2 3 2 3" xfId="7441" xr:uid="{B2E5A727-C67E-4E36-873F-72F8C68E01FB}"/>
    <cellStyle name="Comma 2 4 2 3 2 3 2" xfId="7442" xr:uid="{C3109499-23D1-401A-AB8E-30A0AC8AC95F}"/>
    <cellStyle name="Comma 2 4 2 3 2 4" xfId="7443" xr:uid="{696117C9-9CB6-4A0C-AE39-0E3BC24A0435}"/>
    <cellStyle name="Comma 2 4 2 3 2 5" xfId="27814" xr:uid="{BF81278A-FC3A-48B3-8EC1-E51E276A6761}"/>
    <cellStyle name="Comma 2 4 2 3 3" xfId="7444" xr:uid="{380CAF33-14BC-4F5D-98A3-1673CE7046CF}"/>
    <cellStyle name="Comma 2 4 2 3 3 2" xfId="7445" xr:uid="{A5ECE618-CCE8-49F7-B80A-7E141356D130}"/>
    <cellStyle name="Comma 2 4 2 3 4" xfId="7446" xr:uid="{433AFD43-87A1-4985-A295-BDD1BB2018D9}"/>
    <cellStyle name="Comma 2 4 2 3 4 2" xfId="7447" xr:uid="{469A85A0-5969-4451-9344-A09877969224}"/>
    <cellStyle name="Comma 2 4 2 3 5" xfId="7448" xr:uid="{35B733C2-BBF4-4E33-872D-D9F2111940FA}"/>
    <cellStyle name="Comma 2 4 2 3 5 2" xfId="7449" xr:uid="{CCCA5DB6-B4B4-4CAA-889A-CBC306377795}"/>
    <cellStyle name="Comma 2 4 2 3 6" xfId="7450" xr:uid="{64632948-2763-425E-BACA-732745A9B591}"/>
    <cellStyle name="Comma 2 4 2 4" xfId="7451" xr:uid="{04F223FE-EA87-4E27-B270-81F99AB2137D}"/>
    <cellStyle name="Comma 2 4 2 4 2" xfId="7452" xr:uid="{B98A90D8-CD5C-4B50-B1D0-A56DB8314291}"/>
    <cellStyle name="Comma 2 4 2 4 2 2" xfId="7453" xr:uid="{B944744A-7381-4162-BCA8-0A547FF9231A}"/>
    <cellStyle name="Comma 2 4 2 4 2 2 2" xfId="7454" xr:uid="{9A5D5571-9026-4A81-85B0-3E4527BC9BEC}"/>
    <cellStyle name="Comma 2 4 2 4 2 3" xfId="7455" xr:uid="{DBBEF1A4-4AD0-4460-BDE7-368D641A3ADC}"/>
    <cellStyle name="Comma 2 4 2 4 2 3 2" xfId="7456" xr:uid="{81B6563B-1D1A-476C-BCDE-C57D09228012}"/>
    <cellStyle name="Comma 2 4 2 4 2 4" xfId="7457" xr:uid="{1789252D-0599-4AC7-8115-4AF0772528BB}"/>
    <cellStyle name="Comma 2 4 2 4 3" xfId="7458" xr:uid="{C22FB897-B62A-4101-AE7E-2206F059379F}"/>
    <cellStyle name="Comma 2 4 2 4 3 2" xfId="7459" xr:uid="{90069D09-F765-4641-BE34-05FAE76B2529}"/>
    <cellStyle name="Comma 2 4 2 4 4" xfId="7460" xr:uid="{B1BB312D-D578-4D29-9DC8-4B04FAD07F27}"/>
    <cellStyle name="Comma 2 4 2 4 4 2" xfId="7461" xr:uid="{928C3EDF-11D1-4C44-9F1E-DA9D928414F5}"/>
    <cellStyle name="Comma 2 4 2 4 5" xfId="7462" xr:uid="{10E08129-6BB4-4003-B1D5-73EBC9230BEC}"/>
    <cellStyle name="Comma 2 4 2 4 6" xfId="27815" xr:uid="{2A26ADE3-B047-4045-AEF8-51DEFCB8845F}"/>
    <cellStyle name="Comma 2 4 2 5" xfId="7463" xr:uid="{D5FCCC94-E7B1-40E1-A2AE-EAA176A46F25}"/>
    <cellStyle name="Comma 2 4 2 5 2" xfId="7464" xr:uid="{A1632772-669B-4100-9864-04D60DEB1502}"/>
    <cellStyle name="Comma 2 4 2 5 2 2" xfId="7465" xr:uid="{38405460-FCC4-41DA-9209-DDECC8CC163D}"/>
    <cellStyle name="Comma 2 4 2 5 3" xfId="7466" xr:uid="{E1A3DC71-D318-40AC-92BA-1C5596FD006E}"/>
    <cellStyle name="Comma 2 4 2 5 3 2" xfId="7467" xr:uid="{A155BF14-C5AF-4868-B1CB-1C1388727637}"/>
    <cellStyle name="Comma 2 4 2 5 4" xfId="7468" xr:uid="{0EEE073F-8ED6-4399-A35E-7C0F4E1E9ADF}"/>
    <cellStyle name="Comma 2 4 2 5 5" xfId="27816" xr:uid="{FD7E45A2-7AB5-4D7C-950C-B41CB6A3216F}"/>
    <cellStyle name="Comma 2 4 2 6" xfId="7469" xr:uid="{6239FD65-8B9C-4C10-8844-DD4929A36C59}"/>
    <cellStyle name="Comma 2 4 2 6 2" xfId="7470" xr:uid="{F7CA6C73-0ED2-4349-B154-01694AAB4B2E}"/>
    <cellStyle name="Comma 2 4 2 7" xfId="7471" xr:uid="{773D6CC5-4729-4AE7-AE74-A9DBBAF0FCE8}"/>
    <cellStyle name="Comma 2 4 2 7 2" xfId="7472" xr:uid="{0C564749-FBDB-454E-8D2A-47C2C77750F5}"/>
    <cellStyle name="Comma 2 4 2 8" xfId="7473" xr:uid="{D4DD6F0C-ADDA-4F81-BE90-1962FF144378}"/>
    <cellStyle name="Comma 2 4 2 8 2" xfId="7474" xr:uid="{3DDCD49B-3355-4142-A5C1-C6245F7CAF38}"/>
    <cellStyle name="Comma 2 4 2 9" xfId="7475" xr:uid="{C7056C90-BDA4-4F85-AE6F-0E774D673797}"/>
    <cellStyle name="Comma 2 4 2 9 2" xfId="7476" xr:uid="{26C3B4B3-97D4-4838-84DA-DEB65C475D78}"/>
    <cellStyle name="Comma 2 4 20" xfId="43742" xr:uid="{6EC414E6-A56B-4EE8-AF50-EC1AD90F5ECE}"/>
    <cellStyle name="Comma 2 4 21" xfId="45927" xr:uid="{70FC337D-A51D-439C-BAFE-0A7F1053B4C8}"/>
    <cellStyle name="Comma 2 4 3" xfId="7477" xr:uid="{349F325F-187A-40C8-9E45-A3E54F517247}"/>
    <cellStyle name="Comma 2 4 3 10" xfId="7478" xr:uid="{7C8CE3F1-E6CD-4B10-9F50-BE273DAC0C88}"/>
    <cellStyle name="Comma 2 4 3 11" xfId="27817" xr:uid="{25FC4708-ADB7-432E-BAB1-290C7F28CDD9}"/>
    <cellStyle name="Comma 2 4 3 12" xfId="27818" xr:uid="{06A9EE0F-BE07-4162-81A9-D4ED6CA072A3}"/>
    <cellStyle name="Comma 2 4 3 13" xfId="42591" xr:uid="{2C8D5555-A09C-45CD-A31B-0FE15F59FA17}"/>
    <cellStyle name="Comma 2 4 3 14" xfId="43745" xr:uid="{21B36294-818F-44F4-B59C-963CDDD83189}"/>
    <cellStyle name="Comma 2 4 3 2" xfId="7479" xr:uid="{0121730A-228D-4182-A0D6-47874B63C269}"/>
    <cellStyle name="Comma 2 4 3 2 2" xfId="7480" xr:uid="{F4BF430C-1312-4360-BF50-BB0DA30F0B7A}"/>
    <cellStyle name="Comma 2 4 3 2 2 2" xfId="7481" xr:uid="{E5993ECF-E3DC-4705-83ED-9A2A417F9D32}"/>
    <cellStyle name="Comma 2 4 3 2 2 2 2" xfId="7482" xr:uid="{43E561C4-B2B9-46F6-9F2C-DA57CFEACA63}"/>
    <cellStyle name="Comma 2 4 3 2 2 3" xfId="7483" xr:uid="{82371EFC-F5F7-4EDA-A57D-BD18C9AC2B67}"/>
    <cellStyle name="Comma 2 4 3 2 2 4" xfId="27819" xr:uid="{F5F29680-A4DE-4F96-BAD0-DD0987DEF21B}"/>
    <cellStyle name="Comma 2 4 3 2 3" xfId="7484" xr:uid="{DFE910B9-E154-43EC-ACD2-31A6E35CDC4F}"/>
    <cellStyle name="Comma 2 4 3 2 3 2" xfId="7485" xr:uid="{C73C208E-D146-4818-8FB4-3014272EFB5B}"/>
    <cellStyle name="Comma 2 4 3 2 3 3" xfId="27820" xr:uid="{903C7C70-28B2-4E8F-8D19-8067541968F2}"/>
    <cellStyle name="Comma 2 4 3 2 4" xfId="7486" xr:uid="{7F21EA59-1558-48E6-BF14-BFE146A63994}"/>
    <cellStyle name="Comma 2 4 3 2 4 2" xfId="7487" xr:uid="{3F19D24E-A618-46FD-8727-966E269718DF}"/>
    <cellStyle name="Comma 2 4 3 2 5" xfId="7488" xr:uid="{FE038807-0495-4343-A164-95E7FDBF4916}"/>
    <cellStyle name="Comma 2 4 3 2 5 2" xfId="7489" xr:uid="{4E88E788-CF15-408E-908E-4B2B0822FE4F}"/>
    <cellStyle name="Comma 2 4 3 2 6" xfId="7490" xr:uid="{345D2B14-EC40-448A-9BAF-8CA22FF3BF45}"/>
    <cellStyle name="Comma 2 4 3 2 7" xfId="27821" xr:uid="{46340FF3-F51C-4BC7-86F0-F613F5FCB39F}"/>
    <cellStyle name="Comma 2 4 3 2 8" xfId="42592" xr:uid="{842C56D2-C4FD-4153-8B8C-44BDCF79C55C}"/>
    <cellStyle name="Comma 2 4 3 2 9" xfId="43746" xr:uid="{D71C07D1-EE9C-41BD-9006-0A348F08BA65}"/>
    <cellStyle name="Comma 2 4 3 3" xfId="7491" xr:uid="{40FB0A8D-19DB-4D9C-8469-FAF458AF79EB}"/>
    <cellStyle name="Comma 2 4 3 3 2" xfId="7492" xr:uid="{3150553C-F940-4C9B-9CF5-85C136DF7C09}"/>
    <cellStyle name="Comma 2 4 3 3 2 2" xfId="7493" xr:uid="{E895264F-E47E-428D-95D8-2887A5F5A50D}"/>
    <cellStyle name="Comma 2 4 3 3 3" xfId="7494" xr:uid="{A5EEF7AC-A083-4192-9AC8-C14CF96B0D43}"/>
    <cellStyle name="Comma 2 4 3 3 4" xfId="27822" xr:uid="{845D6340-09B1-4FED-8E6A-474384ACEBB7}"/>
    <cellStyle name="Comma 2 4 3 4" xfId="7495" xr:uid="{0F10444B-DDEE-43FD-8A70-B248E284F664}"/>
    <cellStyle name="Comma 2 4 3 4 2" xfId="7496" xr:uid="{B4C425B8-0858-4692-9B44-A0C79E0731D0}"/>
    <cellStyle name="Comma 2 4 3 4 3" xfId="27823" xr:uid="{E39205C3-FA6E-4C0F-8FAB-3E39DD003ADF}"/>
    <cellStyle name="Comma 2 4 3 5" xfId="7497" xr:uid="{168B8EF4-79CA-46AA-AF3F-C3E09B994941}"/>
    <cellStyle name="Comma 2 4 3 5 2" xfId="7498" xr:uid="{BB673B81-E4A9-431F-91A7-7E244646972B}"/>
    <cellStyle name="Comma 2 4 3 5 3" xfId="27824" xr:uid="{CEE0F6A0-61C0-4D53-9FC9-367EEB51EE46}"/>
    <cellStyle name="Comma 2 4 3 6" xfId="7499" xr:uid="{DF91AE72-53C1-43C6-87A0-0473A2805760}"/>
    <cellStyle name="Comma 2 4 3 6 2" xfId="7500" xr:uid="{D61EC3FD-9BDB-4E72-A0EF-8F518AAB6C1A}"/>
    <cellStyle name="Comma 2 4 3 7" xfId="7501" xr:uid="{E91C1AE5-2711-4E0F-9D5B-8F5210A2F24C}"/>
    <cellStyle name="Comma 2 4 3 7 2" xfId="7502" xr:uid="{DECD2BD5-8F32-4600-903F-51DCCB6C333D}"/>
    <cellStyle name="Comma 2 4 3 8" xfId="7503" xr:uid="{CD14A977-420B-4049-99B4-4E2DB569AC77}"/>
    <cellStyle name="Comma 2 4 3 9" xfId="7504" xr:uid="{249FAF15-6BF6-4755-A352-5195835D83B8}"/>
    <cellStyle name="Comma 2 4 4" xfId="7505" xr:uid="{6FE76B3A-5067-4F1B-8CA5-573B99D35CC8}"/>
    <cellStyle name="Comma 2 4 4 10" xfId="27825" xr:uid="{96FAB005-3E8C-4CA9-9E0F-E5A5E35663B5}"/>
    <cellStyle name="Comma 2 4 4 11" xfId="27826" xr:uid="{311DF7DA-12CB-4427-91FF-053CF060A65A}"/>
    <cellStyle name="Comma 2 4 4 12" xfId="27827" xr:uid="{B521E39E-619F-4152-AFEC-41A3CA79C20A}"/>
    <cellStyle name="Comma 2 4 4 13" xfId="42593" xr:uid="{9BEFCFCD-770B-49A2-8BDC-99737F142C3B}"/>
    <cellStyle name="Comma 2 4 4 14" xfId="43747" xr:uid="{57C96799-4A0D-4F7F-9785-6C552BA6ACE9}"/>
    <cellStyle name="Comma 2 4 4 2" xfId="7506" xr:uid="{1E5AE6C7-2C25-4DE1-AB56-4DBBDA07E705}"/>
    <cellStyle name="Comma 2 4 4 2 2" xfId="7507" xr:uid="{791877FD-32DA-47BB-A991-605F491D246A}"/>
    <cellStyle name="Comma 2 4 4 2 2 2" xfId="7508" xr:uid="{AE35B719-3A1E-431E-96CF-BAC0F1B0DB8D}"/>
    <cellStyle name="Comma 2 4 4 2 2 2 2" xfId="7509" xr:uid="{4459AB19-15BF-49F5-B44F-454105229763}"/>
    <cellStyle name="Comma 2 4 4 2 2 3" xfId="7510" xr:uid="{3DE646E7-EB7D-470B-9DBE-E8C3874783AB}"/>
    <cellStyle name="Comma 2 4 4 2 2 4" xfId="27828" xr:uid="{D6BCC6D1-2490-4E16-9492-E73B70494295}"/>
    <cellStyle name="Comma 2 4 4 2 3" xfId="7511" xr:uid="{08BF4C56-DBC0-419A-BCF6-1D6F33F3A88B}"/>
    <cellStyle name="Comma 2 4 4 2 3 2" xfId="7512" xr:uid="{BD2C4D8A-C085-493C-B731-C0D8937F8C3D}"/>
    <cellStyle name="Comma 2 4 4 2 3 3" xfId="27829" xr:uid="{20CBB646-AE8C-4C8A-9F82-DA92E5E16951}"/>
    <cellStyle name="Comma 2 4 4 2 4" xfId="7513" xr:uid="{0B6535A2-3578-447D-A0B6-A9AF6AE8C42C}"/>
    <cellStyle name="Comma 2 4 4 2 4 2" xfId="7514" xr:uid="{39B8A258-833A-46A7-B029-685BA209386E}"/>
    <cellStyle name="Comma 2 4 4 2 5" xfId="7515" xr:uid="{280B86F7-C0B3-49B0-A8AF-7A106D2E8808}"/>
    <cellStyle name="Comma 2 4 4 2 5 2" xfId="7516" xr:uid="{C57F7203-7F5D-4789-9C8F-BDADDA0F598E}"/>
    <cellStyle name="Comma 2 4 4 2 6" xfId="7517" xr:uid="{CEDB240A-65F9-4A04-87DB-6ED5E5AFA5DF}"/>
    <cellStyle name="Comma 2 4 4 2 7" xfId="27830" xr:uid="{E7C906D8-0EF6-4FBA-815B-D1C5725434FD}"/>
    <cellStyle name="Comma 2 4 4 2 8" xfId="42594" xr:uid="{2F185D6E-10D3-44F6-9999-CCC65FBD24E2}"/>
    <cellStyle name="Comma 2 4 4 2 9" xfId="43748" xr:uid="{19707439-7D3E-4F53-B746-7473D1EDDB7F}"/>
    <cellStyle name="Comma 2 4 4 3" xfId="7518" xr:uid="{8FE99738-0A15-494F-801D-6031AB27609C}"/>
    <cellStyle name="Comma 2 4 4 3 2" xfId="7519" xr:uid="{F653D55B-0DDA-4CB6-828B-1624EE647D8C}"/>
    <cellStyle name="Comma 2 4 4 3 2 2" xfId="7520" xr:uid="{35958003-E3B8-42AC-8DB8-CDB48BD50625}"/>
    <cellStyle name="Comma 2 4 4 3 3" xfId="7521" xr:uid="{619E484A-E683-412F-991A-04C35B4E371A}"/>
    <cellStyle name="Comma 2 4 4 3 4" xfId="27831" xr:uid="{9AED29C6-2023-4A7E-9D4A-0107985A2D8B}"/>
    <cellStyle name="Comma 2 4 4 3 5" xfId="42595" xr:uid="{CC701045-60BA-455B-A0A2-B4D7A4804A7C}"/>
    <cellStyle name="Comma 2 4 4 3 6" xfId="43749" xr:uid="{90707E98-B16B-4757-84F5-4E0CEC7A19CD}"/>
    <cellStyle name="Comma 2 4 4 4" xfId="7522" xr:uid="{544240CB-B125-4A80-ABA8-DD8FEE1AA7A8}"/>
    <cellStyle name="Comma 2 4 4 4 2" xfId="7523" xr:uid="{23170839-5C9E-437E-AF33-0E5E2FF13F98}"/>
    <cellStyle name="Comma 2 4 4 4 3" xfId="27832" xr:uid="{F19C8A79-F65F-480C-94FA-B4630F5F4EC2}"/>
    <cellStyle name="Comma 2 4 4 4 4" xfId="42596" xr:uid="{546564A5-1474-4E6C-B302-A98C9E9A9756}"/>
    <cellStyle name="Comma 2 4 4 4 5" xfId="43750" xr:uid="{E9F3F3E5-1413-4233-9973-3D09A80C71F8}"/>
    <cellStyle name="Comma 2 4 4 5" xfId="7524" xr:uid="{525EBF45-6654-446A-BC48-D909B409AC5F}"/>
    <cellStyle name="Comma 2 4 4 5 2" xfId="7525" xr:uid="{306577F6-8289-48CF-BDB5-C707DEE6A8E8}"/>
    <cellStyle name="Comma 2 4 4 5 3" xfId="27833" xr:uid="{FCBCC23B-4C42-42EF-B2A9-CD4013260C3D}"/>
    <cellStyle name="Comma 2 4 4 6" xfId="7526" xr:uid="{BB1661F9-B0F7-4CD8-A20D-21C8AE900531}"/>
    <cellStyle name="Comma 2 4 4 6 2" xfId="7527" xr:uid="{4C698A39-EB4C-47D0-A7C4-D3D7EA9C2FB1}"/>
    <cellStyle name="Comma 2 4 4 7" xfId="7528" xr:uid="{8FC9B7E5-253C-425B-B697-689E1A82FA4E}"/>
    <cellStyle name="Comma 2 4 4 7 2" xfId="7529" xr:uid="{BAEB4EB3-E136-4B59-A2F8-2F0F261B7048}"/>
    <cellStyle name="Comma 2 4 4 8" xfId="7530" xr:uid="{947A0D1A-42EF-44C1-BF78-6D038560EE77}"/>
    <cellStyle name="Comma 2 4 4 9" xfId="7531" xr:uid="{97F95FB8-495C-4283-A336-36FD9078B91C}"/>
    <cellStyle name="Comma 2 4 5" xfId="7532" xr:uid="{DFFF14DF-73D9-4912-982B-75F20A994729}"/>
    <cellStyle name="Comma 2 4 5 10" xfId="42597" xr:uid="{7F3AD6B3-715A-4192-85A1-7875A8FB4EEE}"/>
    <cellStyle name="Comma 2 4 5 11" xfId="43751" xr:uid="{04F32DFD-49AA-4626-AC36-B56E07E7FE72}"/>
    <cellStyle name="Comma 2 4 5 2" xfId="7533" xr:uid="{D2F398D2-71F6-4E8F-BB02-7E4759D0D7B0}"/>
    <cellStyle name="Comma 2 4 5 2 2" xfId="7534" xr:uid="{960331CD-95C7-438C-9292-B94B7625A6F8}"/>
    <cellStyle name="Comma 2 4 5 2 2 2" xfId="7535" xr:uid="{588AB0E5-1303-4323-873F-B5A2203CC03E}"/>
    <cellStyle name="Comma 2 4 5 2 2 2 2" xfId="7536" xr:uid="{911EE593-1B17-4F38-9B2D-99EDEBA501AE}"/>
    <cellStyle name="Comma 2 4 5 2 2 3" xfId="7537" xr:uid="{0DD9ED01-6D34-45A2-863F-5FA24727D4D6}"/>
    <cellStyle name="Comma 2 4 5 2 2 4" xfId="27834" xr:uid="{48D23D1F-45C9-4585-809E-4FCDAF0F6D23}"/>
    <cellStyle name="Comma 2 4 5 2 3" xfId="7538" xr:uid="{E13AA19D-2E47-49C1-AB3E-3EE622C8460C}"/>
    <cellStyle name="Comma 2 4 5 2 3 2" xfId="7539" xr:uid="{BCDFB9DB-4788-444E-9AA6-9C24087B43A6}"/>
    <cellStyle name="Comma 2 4 5 2 3 3" xfId="27835" xr:uid="{6FF427AA-F497-408F-820F-46D4A3EC5FEA}"/>
    <cellStyle name="Comma 2 4 5 2 4" xfId="7540" xr:uid="{8775E58E-D8E9-4204-B92A-2E20AB161DD2}"/>
    <cellStyle name="Comma 2 4 5 2 4 2" xfId="7541" xr:uid="{51399A50-E7F3-47A5-A184-C7088E5F18DB}"/>
    <cellStyle name="Comma 2 4 5 2 5" xfId="7542" xr:uid="{1104B274-405E-48B4-8C04-6EBBD42FC87F}"/>
    <cellStyle name="Comma 2 4 5 2 5 2" xfId="7543" xr:uid="{E2FD314D-06F7-4013-8A31-30BFD107DCD1}"/>
    <cellStyle name="Comma 2 4 5 2 6" xfId="7544" xr:uid="{876ACAD5-99F9-442A-8B55-C2227C655CE8}"/>
    <cellStyle name="Comma 2 4 5 2 7" xfId="27836" xr:uid="{DB66C57F-190A-423E-A337-A38C7C3DBC53}"/>
    <cellStyle name="Comma 2 4 5 3" xfId="7545" xr:uid="{A7DE5887-6AB2-4E86-BD1D-59620C3503FA}"/>
    <cellStyle name="Comma 2 4 5 3 2" xfId="7546" xr:uid="{71F035B9-FDAD-473D-9BF9-38D02B6CF3F2}"/>
    <cellStyle name="Comma 2 4 5 3 2 2" xfId="7547" xr:uid="{4ED2200B-8A75-41B9-A305-CBF20C35AAE9}"/>
    <cellStyle name="Comma 2 4 5 3 3" xfId="7548" xr:uid="{2A46FF79-3D7A-45B0-B9F8-747C721DF74D}"/>
    <cellStyle name="Comma 2 4 5 3 4" xfId="27837" xr:uid="{53CB3B1D-70FC-4448-849B-FC4EA106824F}"/>
    <cellStyle name="Comma 2 4 5 4" xfId="7549" xr:uid="{5815B5C1-FF4D-4B71-B0F6-94E5E14AA798}"/>
    <cellStyle name="Comma 2 4 5 4 2" xfId="7550" xr:uid="{65371A17-1EDD-4F34-A015-E6609E0E7467}"/>
    <cellStyle name="Comma 2 4 5 4 3" xfId="27838" xr:uid="{B9EAC8F7-AB29-46BE-9416-FD8D355BAABE}"/>
    <cellStyle name="Comma 2 4 5 5" xfId="7551" xr:uid="{545FB833-ED26-477C-AB33-35AF3201A114}"/>
    <cellStyle name="Comma 2 4 5 5 2" xfId="7552" xr:uid="{845CD20A-509F-4D15-9366-32BC8315BFF9}"/>
    <cellStyle name="Comma 2 4 5 6" xfId="7553" xr:uid="{8018D701-48AA-417B-89D4-F54CC67945DF}"/>
    <cellStyle name="Comma 2 4 5 6 2" xfId="7554" xr:uid="{FDB014AB-DFC0-4D23-9A0C-E7D7648BE24A}"/>
    <cellStyle name="Comma 2 4 5 7" xfId="7555" xr:uid="{051E81EF-CA8E-48F6-8DBA-45294A99B06B}"/>
    <cellStyle name="Comma 2 4 5 8" xfId="7556" xr:uid="{8FD5F86F-AD5F-4231-AD64-6D014B9A37FF}"/>
    <cellStyle name="Comma 2 4 5 9" xfId="27839" xr:uid="{27AD7D62-9A27-4490-9637-A48546C42666}"/>
    <cellStyle name="Comma 2 4 6" xfId="7557" xr:uid="{8D15A344-A8F4-465F-A35E-7F75DD258DD5}"/>
    <cellStyle name="Comma 2 4 6 2" xfId="7558" xr:uid="{989B4BD7-179C-4EC8-B204-236DF46EDD7B}"/>
    <cellStyle name="Comma 2 4 6 2 2" xfId="7559" xr:uid="{B9ACFF87-CBB5-4D16-AF57-DF540DBEADB8}"/>
    <cellStyle name="Comma 2 4 6 2 2 2" xfId="7560" xr:uid="{52C2F722-A7C2-4529-A69C-530F843B0E5A}"/>
    <cellStyle name="Comma 2 4 6 2 2 2 2" xfId="7561" xr:uid="{46B7ED7A-2543-4319-850A-EC8B7F05C44B}"/>
    <cellStyle name="Comma 2 4 6 2 2 3" xfId="7562" xr:uid="{74C8018F-14FB-48E0-A3B8-4FF20D27ED2C}"/>
    <cellStyle name="Comma 2 4 6 2 2 4" xfId="27840" xr:uid="{6CD1A329-1FCA-4D27-881F-D417B3EA6FFB}"/>
    <cellStyle name="Comma 2 4 6 2 3" xfId="7563" xr:uid="{FAF51949-6AD1-448B-AAD5-A414A2CF186B}"/>
    <cellStyle name="Comma 2 4 6 2 3 2" xfId="7564" xr:uid="{6D082069-C6D5-488A-9057-BAFB9838461B}"/>
    <cellStyle name="Comma 2 4 6 2 3 3" xfId="27841" xr:uid="{A8ADC10D-E59E-4499-A2EE-732853F688DB}"/>
    <cellStyle name="Comma 2 4 6 2 4" xfId="7565" xr:uid="{85835028-3ECF-4972-B19E-C9D6C93D6120}"/>
    <cellStyle name="Comma 2 4 6 2 4 2" xfId="7566" xr:uid="{32BB7180-C5E3-49E4-A0C2-A6BF60D5EA10}"/>
    <cellStyle name="Comma 2 4 6 2 5" xfId="7567" xr:uid="{BC3D78C7-2E51-4620-AC43-78EC9F447BBF}"/>
    <cellStyle name="Comma 2 4 6 3" xfId="7568" xr:uid="{5FC78481-AD9B-4231-A811-1932177A4D23}"/>
    <cellStyle name="Comma 2 4 6 3 2" xfId="7569" xr:uid="{7BD04EE4-E829-47B3-A249-BC9CF4749516}"/>
    <cellStyle name="Comma 2 4 6 3 2 2" xfId="7570" xr:uid="{879DA106-0E34-4CF0-8C59-A0282912CC02}"/>
    <cellStyle name="Comma 2 4 6 3 3" xfId="7571" xr:uid="{B5CF3668-D728-479F-986A-9CDA532681E8}"/>
    <cellStyle name="Comma 2 4 6 3 4" xfId="27842" xr:uid="{2F825E48-EBCA-4B0C-9CFD-8907152CCD7E}"/>
    <cellStyle name="Comma 2 4 6 4" xfId="7572" xr:uid="{BE45ACFE-774B-4104-8DF8-05EBE7AD8E2B}"/>
    <cellStyle name="Comma 2 4 6 4 2" xfId="7573" xr:uid="{99FA26C2-D981-427D-9384-B06CF5CB0CBA}"/>
    <cellStyle name="Comma 2 4 6 4 3" xfId="27843" xr:uid="{3BA20F26-DA85-4BF6-B97B-5FF8B8EEB8AE}"/>
    <cellStyle name="Comma 2 4 6 5" xfId="7574" xr:uid="{B88B0E55-E446-453F-AD22-2589B247F58C}"/>
    <cellStyle name="Comma 2 4 6 5 2" xfId="7575" xr:uid="{B7A262E3-E003-4DF8-8267-014EF27E1111}"/>
    <cellStyle name="Comma 2 4 6 6" xfId="7576" xr:uid="{286D9A93-0A65-49BD-B1E7-576C1D107105}"/>
    <cellStyle name="Comma 2 4 6 6 2" xfId="7577" xr:uid="{08671280-D6DB-4002-BD12-966C2712776D}"/>
    <cellStyle name="Comma 2 4 6 7" xfId="7578" xr:uid="{4EDD3169-7B2E-4429-AC7F-5BF97DA117D1}"/>
    <cellStyle name="Comma 2 4 6 8" xfId="27844" xr:uid="{4D4D31BD-EF3C-4081-BFFA-17A7B9EB2147}"/>
    <cellStyle name="Comma 2 4 6 9" xfId="42598" xr:uid="{15721F02-5377-4C01-834A-67E33C165E67}"/>
    <cellStyle name="Comma 2 4 7" xfId="7579" xr:uid="{7D8495CC-94B6-4D50-BBC5-9DEC1152CF80}"/>
    <cellStyle name="Comma 2 4 7 2" xfId="7580" xr:uid="{08752BA4-50B1-438B-B47C-A234E217B433}"/>
    <cellStyle name="Comma 2 4 7 2 2" xfId="7581" xr:uid="{2763CA4F-97E0-49CE-AD53-443D2D006891}"/>
    <cellStyle name="Comma 2 4 7 2 2 2" xfId="7582" xr:uid="{65A6C43B-0214-4E1D-B9DF-AE0C3F7E86C8}"/>
    <cellStyle name="Comma 2 4 7 2 2 2 2" xfId="27845" xr:uid="{9F188C44-BC09-4746-91FA-944EF5A74B80}"/>
    <cellStyle name="Comma 2 4 7 2 2 3" xfId="27846" xr:uid="{1F72899A-D5EE-4640-8430-4A9A51701AE5}"/>
    <cellStyle name="Comma 2 4 7 2 3" xfId="7583" xr:uid="{5B0AFE66-3E27-4EDB-AD8D-C5228F9084F2}"/>
    <cellStyle name="Comma 2 4 7 2 3 2" xfId="7584" xr:uid="{C64EDCAB-E3DC-4748-891C-C1F3681B2A9B}"/>
    <cellStyle name="Comma 2 4 7 2 4" xfId="7585" xr:uid="{11E7FB08-B049-484C-BE00-81F252768A3F}"/>
    <cellStyle name="Comma 2 4 7 2 5" xfId="27847" xr:uid="{D36C05A9-1976-45D0-B74D-0DCEBBABBB7B}"/>
    <cellStyle name="Comma 2 4 7 3" xfId="7586" xr:uid="{F07E8CFB-1443-4076-B35D-56A556F5354F}"/>
    <cellStyle name="Comma 2 4 7 3 2" xfId="7587" xr:uid="{0E74D6C1-BE90-4B84-827F-F4E22BD40B11}"/>
    <cellStyle name="Comma 2 4 7 3 2 2" xfId="7588" xr:uid="{AF0FF32B-4757-4B78-BBAC-155940456558}"/>
    <cellStyle name="Comma 2 4 7 3 3" xfId="7589" xr:uid="{30DF37C2-B5EA-4358-8B19-F1643270974D}"/>
    <cellStyle name="Comma 2 4 7 3 4" xfId="27848" xr:uid="{817A7F8C-8DB0-456A-AC36-B157803AA82A}"/>
    <cellStyle name="Comma 2 4 7 4" xfId="7590" xr:uid="{B1B23397-C3F7-4598-B14C-80FA60CC0AE8}"/>
    <cellStyle name="Comma 2 4 7 5" xfId="7591" xr:uid="{A1AB36B3-1CB1-4BCE-911E-3EC9F303C476}"/>
    <cellStyle name="Comma 2 4 7 5 2" xfId="7592" xr:uid="{7BD7D891-6204-4CDA-883A-C93AED82F677}"/>
    <cellStyle name="Comma 2 4 7 5 3" xfId="27849" xr:uid="{28912C35-741A-44BF-9838-2EADDEE14485}"/>
    <cellStyle name="Comma 2 4 7 6" xfId="7593" xr:uid="{1F91A367-27EB-47AC-A6EC-557866807109}"/>
    <cellStyle name="Comma 2 4 7 7" xfId="42599" xr:uid="{1F467C8E-8D65-49DB-BDBD-15E41BF37EB1}"/>
    <cellStyle name="Comma 2 4 7 8" xfId="43752" xr:uid="{6C6768D2-9930-4258-B1C4-D93C72860F7D}"/>
    <cellStyle name="Comma 2 4 8" xfId="7594" xr:uid="{AAA030FB-C1EE-4B3E-844A-C42FA8F2E301}"/>
    <cellStyle name="Comma 2 4 8 2" xfId="7595" xr:uid="{39A6E9E1-961B-4577-A98F-0E50109356EF}"/>
    <cellStyle name="Comma 2 4 8 2 2" xfId="7596" xr:uid="{07A00FEF-F067-4E58-8312-64DD5A26494D}"/>
    <cellStyle name="Comma 2 4 8 2 2 2" xfId="27850" xr:uid="{0F16138E-5EE6-4C58-A9A6-CC728CC0103B}"/>
    <cellStyle name="Comma 2 4 8 2 3" xfId="27851" xr:uid="{7432B745-5BCD-4249-88F4-A02CE29CF49C}"/>
    <cellStyle name="Comma 2 4 8 3" xfId="7597" xr:uid="{60765D74-07E8-4295-ACF4-6EB7617E4335}"/>
    <cellStyle name="Comma 2 4 8 3 2" xfId="7598" xr:uid="{D2AC7D5A-5AC1-4E41-AE5A-3603575F3EB1}"/>
    <cellStyle name="Comma 2 4 8 4" xfId="7599" xr:uid="{2FF34777-91C8-4FE6-A90B-1213119072C3}"/>
    <cellStyle name="Comma 2 4 8 5" xfId="27852" xr:uid="{E55CE4EC-D59C-49CC-9367-A6EC152F84C8}"/>
    <cellStyle name="Comma 2 4 8 6" xfId="42600" xr:uid="{93085A54-00DF-4A14-9C73-BDB3E5B262FB}"/>
    <cellStyle name="Comma 2 4 8 7" xfId="43753" xr:uid="{0F299CAA-FB9E-4322-B8FE-3EC2464FD90E}"/>
    <cellStyle name="Comma 2 4 9" xfId="7600" xr:uid="{F88A339C-60B8-4FB8-BEC1-2AD4FE6DF86F}"/>
    <cellStyle name="Comma 2 4 9 2" xfId="7601" xr:uid="{6E650D1A-3351-4CBA-B513-9A7BD369FFBA}"/>
    <cellStyle name="Comma 2 4 9 2 2" xfId="7602" xr:uid="{46268D20-0DA4-4BE1-A951-BB8CDA84A49A}"/>
    <cellStyle name="Comma 2 4 9 3" xfId="7603" xr:uid="{547D0F57-99E7-4439-942B-8BA0726459CC}"/>
    <cellStyle name="Comma 2 4 9 4" xfId="27853" xr:uid="{941E092C-9878-4840-B7EC-90E4FF11F888}"/>
    <cellStyle name="Comma 2 40" xfId="45769" xr:uid="{C3724480-7635-47B5-93DC-66DEE3B6625E}"/>
    <cellStyle name="Comma 2 41" xfId="82" xr:uid="{0C1EDBF7-4A61-472F-95D2-D5F71DD0432E}"/>
    <cellStyle name="Comma 2 42" xfId="45780" xr:uid="{86126F77-E42E-4E6C-A01D-5564D3538EF2}"/>
    <cellStyle name="Comma 2 43" xfId="45831" xr:uid="{9F07BEA4-4A74-4B69-B724-B133E29F211B}"/>
    <cellStyle name="Comma 2 44" xfId="45907" xr:uid="{ACED5605-4768-4323-9A93-FE873506CFFD}"/>
    <cellStyle name="Comma 2 5" xfId="7604" xr:uid="{A44FD123-176D-4310-A44B-736E6EEC4009}"/>
    <cellStyle name="Comma 2 5 10" xfId="7605" xr:uid="{A63A3A79-F0C2-4AD7-B8EB-E52A30B82DDC}"/>
    <cellStyle name="Comma 2 5 10 2" xfId="7606" xr:uid="{92E5A36B-156E-4605-B885-20E6D5E3DFCC}"/>
    <cellStyle name="Comma 2 5 11" xfId="7607" xr:uid="{9EA28416-F3E0-410E-BB26-DD488001B94E}"/>
    <cellStyle name="Comma 2 5 11 2" xfId="7608" xr:uid="{F7BA62EC-D863-4F86-A626-223BE05EDCAE}"/>
    <cellStyle name="Comma 2 5 12" xfId="7609" xr:uid="{E1C5FF9B-F7D3-46F6-8BEF-2EE17EA40D16}"/>
    <cellStyle name="Comma 2 5 13" xfId="7610" xr:uid="{A6D1DFE7-2107-4CC8-8571-C01C4C810BE1}"/>
    <cellStyle name="Comma 2 5 14" xfId="7611" xr:uid="{CDD09A7A-8000-4EBB-9B93-87D51E826C64}"/>
    <cellStyle name="Comma 2 5 15" xfId="42601" xr:uid="{9895D093-C113-41DB-88B2-0C09FAAE2F94}"/>
    <cellStyle name="Comma 2 5 16" xfId="43754" xr:uid="{D0580629-52C9-41D2-8739-85990786EE0A}"/>
    <cellStyle name="Comma 2 5 17" xfId="45930" xr:uid="{53EEC871-42F7-443D-B998-6E2AFF7058FE}"/>
    <cellStyle name="Comma 2 5 2" xfId="7612" xr:uid="{924BAE43-E5A5-41BC-9D9B-0D52E323A56C}"/>
    <cellStyle name="Comma 2 5 2 10" xfId="7613" xr:uid="{58128053-31F4-49E5-A51D-B28C951BB0EA}"/>
    <cellStyle name="Comma 2 5 2 11" xfId="42602" xr:uid="{05ADCBCE-C5DB-49F8-80CD-A5B9549FC98C}"/>
    <cellStyle name="Comma 2 5 2 12" xfId="43755" xr:uid="{A1FE5FDB-6291-4256-B4D1-4A3D6ED96BAD}"/>
    <cellStyle name="Comma 2 5 2 2" xfId="7614" xr:uid="{54973603-76F4-435C-B994-13C5CB9A38C1}"/>
    <cellStyle name="Comma 2 5 2 2 2" xfId="7615" xr:uid="{2D63A5D0-F8B4-4722-BFA4-88B39E3B63F8}"/>
    <cellStyle name="Comma 2 5 2 2 2 2" xfId="7616" xr:uid="{484A4605-1CDF-4A36-82AE-368824877F54}"/>
    <cellStyle name="Comma 2 5 2 2 2 2 2" xfId="7617" xr:uid="{F96EF227-A6BD-4BAB-923A-CDDD4942B89C}"/>
    <cellStyle name="Comma 2 5 2 2 2 3" xfId="7618" xr:uid="{F1FE5E3A-D6EE-4737-864B-562F83270BED}"/>
    <cellStyle name="Comma 2 5 2 2 2 4" xfId="27854" xr:uid="{654ECE75-AB63-4842-9559-8CF1ACFB517C}"/>
    <cellStyle name="Comma 2 5 2 2 3" xfId="7619" xr:uid="{12C6D9B4-9D58-4B81-9AEF-0EFE326A99FB}"/>
    <cellStyle name="Comma 2 5 2 2 3 2" xfId="7620" xr:uid="{CBD16556-6DBA-4362-AAC9-EECCA5218133}"/>
    <cellStyle name="Comma 2 5 2 2 3 3" xfId="27855" xr:uid="{C736135F-0B9C-4147-9A98-065F51A147B5}"/>
    <cellStyle name="Comma 2 5 2 2 4" xfId="7621" xr:uid="{4F540968-68F8-48E0-8304-C0E278730735}"/>
    <cellStyle name="Comma 2 5 2 2 4 2" xfId="7622" xr:uid="{9A7A6487-C2E8-40FD-95E5-BC66EB3D8E12}"/>
    <cellStyle name="Comma 2 5 2 2 5" xfId="7623" xr:uid="{65BC285E-01E8-4BE8-B769-3A79AB7FCAB4}"/>
    <cellStyle name="Comma 2 5 2 2 5 2" xfId="7624" xr:uid="{D6C1C431-2D54-4F5B-AAAE-D29F4F59837C}"/>
    <cellStyle name="Comma 2 5 2 2 6" xfId="7625" xr:uid="{ADD00DDD-EEDB-4735-AB2B-7806E91D4A36}"/>
    <cellStyle name="Comma 2 5 2 2 7" xfId="27856" xr:uid="{3A004254-6130-4CA2-A1B4-0CA63385B47C}"/>
    <cellStyle name="Comma 2 5 2 3" xfId="7626" xr:uid="{CDD8A5B0-9403-429D-8267-781E51E139D6}"/>
    <cellStyle name="Comma 2 5 2 3 2" xfId="7627" xr:uid="{E5A4AD75-E615-40D8-B50E-31FAEE5DCCB4}"/>
    <cellStyle name="Comma 2 5 2 3 2 2" xfId="7628" xr:uid="{76E3FE54-0132-44D5-AB80-80D630345E0A}"/>
    <cellStyle name="Comma 2 5 2 3 3" xfId="7629" xr:uid="{F6CBDE94-7C3B-47E7-93D7-305DAB1E2703}"/>
    <cellStyle name="Comma 2 5 2 3 4" xfId="27857" xr:uid="{BDCB1F06-B7F0-42AC-A12A-82C008B3338A}"/>
    <cellStyle name="Comma 2 5 2 4" xfId="7630" xr:uid="{392836D0-0080-41BF-A9B9-2A9B1C477FC4}"/>
    <cellStyle name="Comma 2 5 2 4 2" xfId="7631" xr:uid="{A7B3A793-925E-40BE-84B6-75265D9831A2}"/>
    <cellStyle name="Comma 2 5 2 4 3" xfId="27858" xr:uid="{36045709-34B5-4F38-9C88-9A4B029AC3A2}"/>
    <cellStyle name="Comma 2 5 2 5" xfId="7632" xr:uid="{04F731A1-9A3A-45EB-BE6F-5FB4C001B95D}"/>
    <cellStyle name="Comma 2 5 2 5 2" xfId="7633" xr:uid="{10D307F3-DB22-4606-8B21-995D999743C1}"/>
    <cellStyle name="Comma 2 5 2 5 3" xfId="27859" xr:uid="{7381EF9F-AFD2-4D5A-B828-6F52802FC3D8}"/>
    <cellStyle name="Comma 2 5 2 6" xfId="7634" xr:uid="{355C5D1D-FEB9-4F9F-9D73-F4C65EE6C603}"/>
    <cellStyle name="Comma 2 5 2 6 2" xfId="7635" xr:uid="{7CD7D8CC-E199-4147-97AA-610A3423D940}"/>
    <cellStyle name="Comma 2 5 2 7" xfId="7636" xr:uid="{CB50D4DF-E864-4EB8-96FC-4095C643EEAE}"/>
    <cellStyle name="Comma 2 5 2 7 2" xfId="7637" xr:uid="{5B3B918B-B39C-484B-9DB2-7258BB757EAB}"/>
    <cellStyle name="Comma 2 5 2 8" xfId="7638" xr:uid="{59B5AEF6-84BF-4900-84FE-1D7770CFA00D}"/>
    <cellStyle name="Comma 2 5 2 9" xfId="7639" xr:uid="{E6D6580C-3132-4C4C-93AF-765094801638}"/>
    <cellStyle name="Comma 2 5 3" xfId="7640" xr:uid="{ED01069C-80D0-42DB-B59C-581ABEF41D70}"/>
    <cellStyle name="Comma 2 5 3 10" xfId="27860" xr:uid="{B2E0A7A4-0DEE-4BBA-B302-E0D0E1773249}"/>
    <cellStyle name="Comma 2 5 3 11" xfId="42603" xr:uid="{96481544-458D-4F8F-B121-761E408C7D1C}"/>
    <cellStyle name="Comma 2 5 3 12" xfId="43756" xr:uid="{6810DF09-0225-4A76-8630-4005098547C5}"/>
    <cellStyle name="Comma 2 5 3 2" xfId="7641" xr:uid="{6D89F1BB-9B05-4B2A-8492-6F4EB6D5B1B0}"/>
    <cellStyle name="Comma 2 5 3 2 2" xfId="7642" xr:uid="{90B7AC78-CBF3-490A-B89D-CC93D276D56A}"/>
    <cellStyle name="Comma 2 5 3 2 2 2" xfId="7643" xr:uid="{C7A17D74-6B31-464E-916B-392E2B9399A8}"/>
    <cellStyle name="Comma 2 5 3 2 2 2 2" xfId="7644" xr:uid="{92C05585-109D-4A64-981B-8A67C840297D}"/>
    <cellStyle name="Comma 2 5 3 2 2 3" xfId="7645" xr:uid="{1A211F16-E89A-42E2-A455-68806361A93B}"/>
    <cellStyle name="Comma 2 5 3 2 2 4" xfId="27861" xr:uid="{DA8FD5FB-0CAE-43A5-9044-6D15F76C9513}"/>
    <cellStyle name="Comma 2 5 3 2 3" xfId="7646" xr:uid="{02D2FAF1-2F23-4B90-8CFD-7F453DC29738}"/>
    <cellStyle name="Comma 2 5 3 2 3 2" xfId="7647" xr:uid="{7DD0D320-9059-4E3D-931C-8BB0BFF1355B}"/>
    <cellStyle name="Comma 2 5 3 2 3 3" xfId="27862" xr:uid="{9D2BDEBF-58ED-4E5D-ACC5-2AB8C7AC439B}"/>
    <cellStyle name="Comma 2 5 3 2 4" xfId="7648" xr:uid="{FAB2EDAE-E080-4F1F-8511-801C7D95AA67}"/>
    <cellStyle name="Comma 2 5 3 2 4 2" xfId="7649" xr:uid="{6FDC06C0-F4AD-4B48-B862-9C5CFFB4408C}"/>
    <cellStyle name="Comma 2 5 3 2 5" xfId="7650" xr:uid="{E58A3C2F-A577-47C8-A03D-6D0230408187}"/>
    <cellStyle name="Comma 2 5 3 2 5 2" xfId="7651" xr:uid="{AD041EF2-36ED-45FA-919E-C10736D01020}"/>
    <cellStyle name="Comma 2 5 3 2 6" xfId="7652" xr:uid="{BBA26148-A45A-452F-9C64-CC9E4E679AC9}"/>
    <cellStyle name="Comma 2 5 3 2 7" xfId="27863" xr:uid="{18EFC32E-7CF0-4500-B588-569D3FBF6CD1}"/>
    <cellStyle name="Comma 2 5 3 3" xfId="7653" xr:uid="{350C9EFF-4737-4200-B947-1A8DA6E814AA}"/>
    <cellStyle name="Comma 2 5 3 3 2" xfId="7654" xr:uid="{9FAE28DD-733A-4AD9-B17F-5898F6224706}"/>
    <cellStyle name="Comma 2 5 3 3 2 2" xfId="7655" xr:uid="{5F6BB17B-C185-4A5D-93B9-75E536C57D88}"/>
    <cellStyle name="Comma 2 5 3 3 3" xfId="7656" xr:uid="{1F610165-F502-4299-B9CF-1AB8D4A794A5}"/>
    <cellStyle name="Comma 2 5 3 3 4" xfId="27864" xr:uid="{69D2C6E6-6D75-4D6A-B2BC-CAD53946E6CB}"/>
    <cellStyle name="Comma 2 5 3 4" xfId="7657" xr:uid="{DF412E01-3387-4098-88C8-A9E6B2EBD130}"/>
    <cellStyle name="Comma 2 5 3 4 2" xfId="7658" xr:uid="{BBE7F214-4680-4CB7-A8CD-F2793B4378A6}"/>
    <cellStyle name="Comma 2 5 3 4 3" xfId="27865" xr:uid="{F4FA5EDF-DB0D-4CCC-B614-B7C25EC6251B}"/>
    <cellStyle name="Comma 2 5 3 5" xfId="7659" xr:uid="{523974F8-852F-412C-9A2C-4ACE0ABEC62F}"/>
    <cellStyle name="Comma 2 5 3 5 2" xfId="7660" xr:uid="{2F3E6992-388B-4B9F-BCEE-D743709DA980}"/>
    <cellStyle name="Comma 2 5 3 5 3" xfId="27866" xr:uid="{E8D08E3E-1A86-424D-A625-69F43DB9FE34}"/>
    <cellStyle name="Comma 2 5 3 6" xfId="7661" xr:uid="{F9082D2B-B415-44CC-BE18-F732E567AF87}"/>
    <cellStyle name="Comma 2 5 3 6 2" xfId="7662" xr:uid="{B95F7147-EC62-461F-8928-42543B8ED8BB}"/>
    <cellStyle name="Comma 2 5 3 7" xfId="7663" xr:uid="{1091C13B-FDCA-4ECA-8BBE-A32410C73058}"/>
    <cellStyle name="Comma 2 5 3 7 2" xfId="7664" xr:uid="{9B4559DD-5C09-4A54-8A22-F089EC4546F8}"/>
    <cellStyle name="Comma 2 5 3 8" xfId="7665" xr:uid="{7C886E47-0C31-41CC-BA4C-CD22B5048CF4}"/>
    <cellStyle name="Comma 2 5 3 9" xfId="7666" xr:uid="{C3DD5E0C-FEE2-483B-98B3-678352148527}"/>
    <cellStyle name="Comma 2 5 4" xfId="7667" xr:uid="{0F0B37AB-800A-475C-A99E-EBC3F25CE65B}"/>
    <cellStyle name="Comma 2 5 4 10" xfId="42604" xr:uid="{D367E91B-4B6D-4F01-8D7F-7BC551526E31}"/>
    <cellStyle name="Comma 2 5 4 11" xfId="43757" xr:uid="{1AD598B7-1F4A-4103-87EA-53A4161FE61C}"/>
    <cellStyle name="Comma 2 5 4 2" xfId="7668" xr:uid="{011E88BD-E7FA-4BD5-AFBA-EB6E2C658541}"/>
    <cellStyle name="Comma 2 5 4 2 2" xfId="7669" xr:uid="{63066578-48FA-4D20-8C15-51547178FACE}"/>
    <cellStyle name="Comma 2 5 4 2 2 2" xfId="7670" xr:uid="{05CCD75D-63CA-47E8-AB32-ADE0AD1E05A8}"/>
    <cellStyle name="Comma 2 5 4 2 2 3" xfId="27867" xr:uid="{E3420EE8-F4BB-42C6-AEA5-1BBA49726F4D}"/>
    <cellStyle name="Comma 2 5 4 2 3" xfId="7671" xr:uid="{C7110571-838F-491A-9CE0-8D38D574946D}"/>
    <cellStyle name="Comma 2 5 4 2 3 2" xfId="7672" xr:uid="{4BC34140-D35C-4F14-9A4F-D623C1C1C24C}"/>
    <cellStyle name="Comma 2 5 4 2 4" xfId="7673" xr:uid="{01462ADB-BD0A-4C2D-BFC4-945727032EB3}"/>
    <cellStyle name="Comma 2 5 4 2 4 2" xfId="7674" xr:uid="{F1CD3F19-5081-4128-8572-A90DF825DA88}"/>
    <cellStyle name="Comma 2 5 4 2 5" xfId="7675" xr:uid="{D024634B-CDA0-494C-85F9-59DAC1F8F58C}"/>
    <cellStyle name="Comma 2 5 4 2 6" xfId="42605" xr:uid="{D7ABFFC5-053A-48D3-9586-E6648EE26DCC}"/>
    <cellStyle name="Comma 2 5 4 2 7" xfId="43758" xr:uid="{EBD02171-12C6-4EB8-9769-ABAC913C8333}"/>
    <cellStyle name="Comma 2 5 4 3" xfId="7676" xr:uid="{EF065D3E-86D5-4803-9AF9-CAECA5D2EA7B}"/>
    <cellStyle name="Comma 2 5 4 3 2" xfId="7677" xr:uid="{C71F761A-EEBC-4288-A82D-79CD83ED4827}"/>
    <cellStyle name="Comma 2 5 4 3 3" xfId="27868" xr:uid="{DC051378-60B5-4C11-9B6B-595CAEB8A1F4}"/>
    <cellStyle name="Comma 2 5 4 4" xfId="7678" xr:uid="{ACDBF847-6389-40A7-AC4D-756AA8024A08}"/>
    <cellStyle name="Comma 2 5 4 4 2" xfId="7679" xr:uid="{01BEA8AC-2EB3-473E-A710-B313BCD79373}"/>
    <cellStyle name="Comma 2 5 4 4 3" xfId="27869" xr:uid="{1EF04F61-7E60-4430-A2E6-3D9A39310A5F}"/>
    <cellStyle name="Comma 2 5 4 5" xfId="7680" xr:uid="{FDAF7327-01B9-4769-8DAD-7B727738A7EC}"/>
    <cellStyle name="Comma 2 5 4 5 2" xfId="7681" xr:uid="{07F32F98-D494-4233-A2DD-EA3D507E7C3D}"/>
    <cellStyle name="Comma 2 5 4 6" xfId="7682" xr:uid="{393901DE-2162-4F22-A04E-106A9055A61D}"/>
    <cellStyle name="Comma 2 5 4 6 2" xfId="7683" xr:uid="{CB92DF8B-5258-490C-A669-ABD2BAA5D3E8}"/>
    <cellStyle name="Comma 2 5 4 7" xfId="7684" xr:uid="{0848CD37-F5AE-4006-B8E7-A3D2E913DD7A}"/>
    <cellStyle name="Comma 2 5 4 8" xfId="7685" xr:uid="{A82D1920-B64E-4B9B-BEF5-E70A707DA76A}"/>
    <cellStyle name="Comma 2 5 4 9" xfId="27870" xr:uid="{B277C130-EEB4-4C18-BAD6-CA58A112B98E}"/>
    <cellStyle name="Comma 2 5 5" xfId="7686" xr:uid="{D9E95F4C-DFFF-41FD-A5BE-B3D5B99A8AD0}"/>
    <cellStyle name="Comma 2 5 5 2" xfId="7687" xr:uid="{316AEB0B-E305-4442-8B87-0C60D0BE2142}"/>
    <cellStyle name="Comma 2 5 5 2 2" xfId="7688" xr:uid="{93CF37A9-0172-46C9-B823-00B206A58C7B}"/>
    <cellStyle name="Comma 2 5 5 2 2 2" xfId="7689" xr:uid="{594294DF-92AB-4D89-806A-96F3DBBA1769}"/>
    <cellStyle name="Comma 2 5 5 2 3" xfId="27871" xr:uid="{2DBCA114-BD0B-4BB1-A67A-ED3308366690}"/>
    <cellStyle name="Comma 2 5 5 3" xfId="7690" xr:uid="{81BB3500-658E-495B-91DB-264BFD37262D}"/>
    <cellStyle name="Comma 2 5 5 3 2" xfId="7691" xr:uid="{21D25D59-27E5-4E27-80B5-22CAC82944C4}"/>
    <cellStyle name="Comma 2 5 5 3 3" xfId="27872" xr:uid="{871F2518-5C38-4BBB-AF62-A023C12DDC3C}"/>
    <cellStyle name="Comma 2 5 5 4" xfId="7692" xr:uid="{851A7BD1-3E45-46B3-87F3-BF874CF6CD11}"/>
    <cellStyle name="Comma 2 5 5 5" xfId="7693" xr:uid="{27B41C64-3658-48C1-8041-80672E7BD7FD}"/>
    <cellStyle name="Comma 2 5 5 5 2" xfId="7694" xr:uid="{8764F563-77F8-4A1B-9621-9905DC7687B2}"/>
    <cellStyle name="Comma 2 5 5 6" xfId="7695" xr:uid="{3D45C685-412C-478E-A944-104D32FC19A9}"/>
    <cellStyle name="Comma 2 5 6" xfId="7696" xr:uid="{F1C03EF7-72BC-45FA-B792-8056FC23284C}"/>
    <cellStyle name="Comma 2 5 6 2" xfId="7697" xr:uid="{ECF6FAC2-F174-4138-8DD4-E7D52A197AE4}"/>
    <cellStyle name="Comma 2 5 6 3" xfId="27873" xr:uid="{D88420FD-9995-4932-B4F6-409A9F477558}"/>
    <cellStyle name="Comma 2 5 7" xfId="7698" xr:uid="{FB1FADD2-97D4-4311-96E0-A38C984AE761}"/>
    <cellStyle name="Comma 2 5 7 2" xfId="7699" xr:uid="{39B2CE64-75DC-44C7-A22A-F3BC83D614E1}"/>
    <cellStyle name="Comma 2 5 7 3" xfId="27874" xr:uid="{670AE58A-561F-4BF4-BA99-687F958E9655}"/>
    <cellStyle name="Comma 2 5 8" xfId="7700" xr:uid="{C7993221-2EFC-40E1-B6A9-A4E4DD93835F}"/>
    <cellStyle name="Comma 2 5 8 2" xfId="7701" xr:uid="{DD32543F-B663-4BCF-97A0-1EFFAEFFADDD}"/>
    <cellStyle name="Comma 2 5 8 3" xfId="27875" xr:uid="{5022F234-3C39-4EAE-9D89-AC119548464C}"/>
    <cellStyle name="Comma 2 5 9" xfId="7702" xr:uid="{BA719FC1-0435-4D29-9CFB-8C515520D787}"/>
    <cellStyle name="Comma 2 5 9 2" xfId="7703" xr:uid="{61AED4E9-EB8C-4253-A96B-24475F8820CE}"/>
    <cellStyle name="Comma 2 6" xfId="7704" xr:uid="{5E51967A-C125-4AD4-B81E-F417078579D1}"/>
    <cellStyle name="Comma 2 6 10" xfId="7705" xr:uid="{473AC75A-A908-49C5-B33E-F79C922C9AFE}"/>
    <cellStyle name="Comma 2 6 11" xfId="7706" xr:uid="{CCE63305-3E53-4616-9D45-37F2CD8A9CB9}"/>
    <cellStyle name="Comma 2 6 12" xfId="42606" xr:uid="{9E0ED3AA-1506-4B9B-A6D9-C3AE00AF8B6F}"/>
    <cellStyle name="Comma 2 6 13" xfId="43759" xr:uid="{0054260C-BC8F-44D2-8D29-98148C884DB2}"/>
    <cellStyle name="Comma 2 6 2" xfId="7707" xr:uid="{286D3CE3-B4C8-4FBB-A9ED-F16258DF3607}"/>
    <cellStyle name="Comma 2 6 2 10" xfId="43760" xr:uid="{A9AACA08-C204-4141-A88F-C33D29FD572A}"/>
    <cellStyle name="Comma 2 6 2 2" xfId="7708" xr:uid="{2512D1D7-E4E7-42D1-A70D-9CD03979172D}"/>
    <cellStyle name="Comma 2 6 2 2 2" xfId="7709" xr:uid="{72EFE258-A338-4FDD-8961-AE6AEC4F5EE4}"/>
    <cellStyle name="Comma 2 6 2 2 2 2" xfId="7710" xr:uid="{0C0A0AB2-2547-420C-AD69-069DB7A97BAC}"/>
    <cellStyle name="Comma 2 6 2 2 2 3" xfId="27876" xr:uid="{2D065A13-17BF-4AF9-B32B-67DDD5656894}"/>
    <cellStyle name="Comma 2 6 2 2 3" xfId="7711" xr:uid="{77EBB2D4-C799-47E1-B982-E9657B8C1CAD}"/>
    <cellStyle name="Comma 2 6 2 2 3 2" xfId="7712" xr:uid="{CEA31FAD-E9B5-40A9-9327-43998E95D6A9}"/>
    <cellStyle name="Comma 2 6 2 2 4" xfId="7713" xr:uid="{C9AC8B1D-1E8A-4D12-8EE2-7B182A594D83}"/>
    <cellStyle name="Comma 2 6 2 2 4 2" xfId="7714" xr:uid="{75C51B76-E27A-4CA4-8A4C-DA2EF6FB9845}"/>
    <cellStyle name="Comma 2 6 2 2 5" xfId="7715" xr:uid="{160D5302-A929-4FD5-A947-79E27CB96092}"/>
    <cellStyle name="Comma 2 6 2 2 6" xfId="42608" xr:uid="{FF159106-3759-468A-BDAC-C6F1AA027759}"/>
    <cellStyle name="Comma 2 6 2 2 7" xfId="43761" xr:uid="{57F68049-CB99-405A-B6AF-34EF6B0435EE}"/>
    <cellStyle name="Comma 2 6 2 3" xfId="7716" xr:uid="{0F845FB8-DBE1-44E5-A0DE-D16C45DD8440}"/>
    <cellStyle name="Comma 2 6 2 3 2" xfId="7717" xr:uid="{12BD48D2-F9FD-4E0B-9866-BCF0C098D242}"/>
    <cellStyle name="Comma 2 6 2 3 3" xfId="27877" xr:uid="{142424CB-9AD2-426A-8404-E33F9F4C4773}"/>
    <cellStyle name="Comma 2 6 2 4" xfId="7718" xr:uid="{324A85E5-FDB7-4CC8-ABA5-18A5C114A635}"/>
    <cellStyle name="Comma 2 6 2 4 2" xfId="7719" xr:uid="{F7495B4D-D21F-4CCB-81EA-792E9BD87F39}"/>
    <cellStyle name="Comma 2 6 2 5" xfId="7720" xr:uid="{A3778756-5145-4AB9-A6C1-80D71CB520CC}"/>
    <cellStyle name="Comma 2 6 2 5 2" xfId="7721" xr:uid="{E058B724-8B02-4468-85D8-CCBEB63337D5}"/>
    <cellStyle name="Comma 2 6 2 6" xfId="7722" xr:uid="{B438EEC6-DE1F-4BD2-8983-CECB018B1478}"/>
    <cellStyle name="Comma 2 6 2 6 2" xfId="7723" xr:uid="{B21395E3-5E3F-4B85-B6C7-F04569C15107}"/>
    <cellStyle name="Comma 2 6 2 7" xfId="7724" xr:uid="{76849F6F-7A63-4DFF-B333-5B1B3F330FD6}"/>
    <cellStyle name="Comma 2 6 2 8" xfId="27878" xr:uid="{560C2350-325F-4763-B200-7714AA9B8DAC}"/>
    <cellStyle name="Comma 2 6 2 9" xfId="42607" xr:uid="{1A78ED22-19C1-4AF6-99EA-F0E77FA5DBF5}"/>
    <cellStyle name="Comma 2 6 3" xfId="7725" xr:uid="{1B4778FB-C412-48EA-A1FC-7694B2CB6340}"/>
    <cellStyle name="Comma 2 6 3 2" xfId="7726" xr:uid="{EED91D23-7D53-4338-B23C-385762748EA4}"/>
    <cellStyle name="Comma 2 6 3 2 2" xfId="7727" xr:uid="{52D22ED1-4319-47E5-8B00-5C62CACB6EEF}"/>
    <cellStyle name="Comma 2 6 3 2 2 2" xfId="7728" xr:uid="{6C91F735-E96D-4532-9B63-8989C4C436C9}"/>
    <cellStyle name="Comma 2 6 3 2 3" xfId="27879" xr:uid="{22F9D517-464F-49D9-8257-9AD2564DC9FE}"/>
    <cellStyle name="Comma 2 6 3 3" xfId="7729" xr:uid="{182B0387-5A2C-43BD-95BD-F5F56437270D}"/>
    <cellStyle name="Comma 2 6 3 3 2" xfId="7730" xr:uid="{3219D134-B0F3-48C6-87AC-1DE45AB43123}"/>
    <cellStyle name="Comma 2 6 3 3 3" xfId="27880" xr:uid="{191E811D-2532-4714-819E-AF1D6B71DC0F}"/>
    <cellStyle name="Comma 2 6 3 4" xfId="7731" xr:uid="{2E2CEB07-02BB-4616-AC3C-39A6C8FB0696}"/>
    <cellStyle name="Comma 2 6 3 5" xfId="7732" xr:uid="{0125EE99-77EE-4987-A9B0-7BB64F6C3E6A}"/>
    <cellStyle name="Comma 2 6 3 5 2" xfId="7733" xr:uid="{219188A4-BA26-4BF0-A19A-7D3CB39F4189}"/>
    <cellStyle name="Comma 2 6 3 6" xfId="7734" xr:uid="{222C8B95-5B83-4710-8008-3AA1CE583295}"/>
    <cellStyle name="Comma 2 6 4" xfId="7735" xr:uid="{04D4E2E8-7EE5-4D70-8B93-3E706BBD4009}"/>
    <cellStyle name="Comma 2 6 4 2" xfId="7736" xr:uid="{A905D671-B262-4D8F-BC94-C4AA580676AD}"/>
    <cellStyle name="Comma 2 6 4 3" xfId="27881" xr:uid="{7CF1E43F-61BE-4C67-BB4B-804CCE7660D6}"/>
    <cellStyle name="Comma 2 6 5" xfId="7737" xr:uid="{556428F5-B35E-4CCE-9624-F705A1629EB5}"/>
    <cellStyle name="Comma 2 6 5 2" xfId="7738" xr:uid="{695AE6B0-3C9D-4E5C-AB52-D2F2591EFDAF}"/>
    <cellStyle name="Comma 2 6 5 3" xfId="27882" xr:uid="{037E65EA-F6D4-403B-82A7-AF0A532053D0}"/>
    <cellStyle name="Comma 2 6 6" xfId="7739" xr:uid="{08CAC1FE-8D53-4B8F-AE84-CE6A334F87F6}"/>
    <cellStyle name="Comma 2 6 6 2" xfId="7740" xr:uid="{B1FBAB0C-7FBA-4EF2-B880-FD126DAD9E38}"/>
    <cellStyle name="Comma 2 6 6 3" xfId="27883" xr:uid="{4F935F7F-710E-4F84-B338-39065D494A0F}"/>
    <cellStyle name="Comma 2 6 7" xfId="7741" xr:uid="{5CF1EFCA-BB2F-41B7-9F71-5A6FA0626F2E}"/>
    <cellStyle name="Comma 2 6 7 2" xfId="7742" xr:uid="{36469F99-A743-472C-9203-089A33ADA984}"/>
    <cellStyle name="Comma 2 6 8" xfId="7743" xr:uid="{13AA5F53-41D5-4EC1-AB9E-BD3025FAFA83}"/>
    <cellStyle name="Comma 2 6 8 2" xfId="7744" xr:uid="{4B5483F7-CBFD-4A03-8968-33C2B4C6463F}"/>
    <cellStyle name="Comma 2 6 9" xfId="7745" xr:uid="{AD87F187-4695-4541-94DD-A1E9C375E336}"/>
    <cellStyle name="Comma 2 7" xfId="7746" xr:uid="{66CE6162-CCA0-4FEB-BAEB-1C88F41FCC4B}"/>
    <cellStyle name="Comma 2 7 10" xfId="27884" xr:uid="{D75CDA33-75F3-4D55-BBA3-C6DCB93C87B7}"/>
    <cellStyle name="Comma 2 7 11" xfId="42609" xr:uid="{6844AC23-52BF-498A-A14A-36C36969C1D7}"/>
    <cellStyle name="Comma 2 7 12" xfId="43762" xr:uid="{D1BBD8FC-D1A4-4A53-BF77-6B30319FBD93}"/>
    <cellStyle name="Comma 2 7 2" xfId="7747" xr:uid="{5214A8B8-ACD9-42E1-92AB-8A2C8D9358B9}"/>
    <cellStyle name="Comma 2 7 2 2" xfId="7748" xr:uid="{CA7656DA-8EA3-4196-8A7C-97B194F49632}"/>
    <cellStyle name="Comma 2 7 2 2 2" xfId="7749" xr:uid="{B44E9EB0-B25F-4824-BEFF-9ED94C48FB25}"/>
    <cellStyle name="Comma 2 7 2 2 2 2" xfId="7750" xr:uid="{AB0AE756-89FF-4ACF-9E05-1224934AE296}"/>
    <cellStyle name="Comma 2 7 2 2 3" xfId="7751" xr:uid="{CB1F61F5-92B6-4172-8A4E-D46C0563DD04}"/>
    <cellStyle name="Comma 2 7 2 2 4" xfId="27885" xr:uid="{8C53B4EC-6E7F-4370-AB85-463EA4F4AD3C}"/>
    <cellStyle name="Comma 2 7 2 2 5" xfId="42611" xr:uid="{FEC82D0F-5260-48DB-B255-A852282E6EB4}"/>
    <cellStyle name="Comma 2 7 2 2 6" xfId="43764" xr:uid="{30E4D94D-15A4-4015-AC9F-DD77ADDA5234}"/>
    <cellStyle name="Comma 2 7 2 3" xfId="7752" xr:uid="{5BD2B58F-8D3D-4BF2-8458-3099249DCF17}"/>
    <cellStyle name="Comma 2 7 2 3 2" xfId="7753" xr:uid="{78F4549E-E8B3-4A95-9D24-5A7E4BECACA8}"/>
    <cellStyle name="Comma 2 7 2 3 3" xfId="27886" xr:uid="{374D9DF7-0CA0-43D5-98CA-9010D837EF6D}"/>
    <cellStyle name="Comma 2 7 2 4" xfId="7754" xr:uid="{DB508498-47A5-4D32-9C2F-5CB79427A7D1}"/>
    <cellStyle name="Comma 2 7 2 4 2" xfId="7755" xr:uid="{1C3193C9-6904-49FA-A903-498BB8D45A1B}"/>
    <cellStyle name="Comma 2 7 2 5" xfId="7756" xr:uid="{B95FB736-FC3F-4272-9628-200588465DC2}"/>
    <cellStyle name="Comma 2 7 2 5 2" xfId="7757" xr:uid="{1435A557-3785-4AD5-8741-3B1AB5B9CCED}"/>
    <cellStyle name="Comma 2 7 2 6" xfId="7758" xr:uid="{CB3A9801-F265-471A-AA28-D8408977FB9E}"/>
    <cellStyle name="Comma 2 7 2 7" xfId="27887" xr:uid="{3BC34E17-B9DB-4F14-984C-FB92DD5E335D}"/>
    <cellStyle name="Comma 2 7 2 8" xfId="42610" xr:uid="{C4517D8D-AC85-4E8E-9FEB-C81F2F85819A}"/>
    <cellStyle name="Comma 2 7 2 9" xfId="43763" xr:uid="{E11F5418-35E7-47AD-90CC-CFEA4E63097A}"/>
    <cellStyle name="Comma 2 7 3" xfId="7759" xr:uid="{1E8348FF-8742-4D61-89F6-C3575034DA01}"/>
    <cellStyle name="Comma 2 7 3 2" xfId="7760" xr:uid="{97B117B3-21B9-4F88-B240-537D9E815D92}"/>
    <cellStyle name="Comma 2 7 3 3" xfId="7761" xr:uid="{87FB6151-5C39-427F-9624-AD1A4EFC87C8}"/>
    <cellStyle name="Comma 2 7 3 3 2" xfId="7762" xr:uid="{8C397984-4F31-4094-BACF-96146D629D3C}"/>
    <cellStyle name="Comma 2 7 3 3 3" xfId="27888" xr:uid="{822B3E8C-59E1-4AB7-8931-CB49A294B2CD}"/>
    <cellStyle name="Comma 2 7 3 4" xfId="7763" xr:uid="{BC2E8489-39B8-4549-8470-6D142229A45E}"/>
    <cellStyle name="Comma 2 7 4" xfId="7764" xr:uid="{E603EFE9-0FAE-48EE-BF4A-434F8B841758}"/>
    <cellStyle name="Comma 2 7 4 2" xfId="7765" xr:uid="{B43C9E16-D8ED-40DB-A567-0B172BBFEA93}"/>
    <cellStyle name="Comma 2 7 4 3" xfId="27889" xr:uid="{85DA379A-51C1-4D2E-B6E0-3C003F1E81D4}"/>
    <cellStyle name="Comma 2 7 5" xfId="7766" xr:uid="{F837AE7A-D3AA-4F55-8CA4-00CD131C36AE}"/>
    <cellStyle name="Comma 2 7 5 2" xfId="7767" xr:uid="{EEAEBFC0-DEA8-450B-B95C-C2B6CDDD66A5}"/>
    <cellStyle name="Comma 2 7 5 3" xfId="27890" xr:uid="{4494CE6E-7864-44A2-A791-12D4E4476D3D}"/>
    <cellStyle name="Comma 2 7 6" xfId="7768" xr:uid="{04C0DEB0-547A-4B12-9E52-FA58E71CEC3C}"/>
    <cellStyle name="Comma 2 7 6 2" xfId="7769" xr:uid="{08F7A013-EF09-4929-ADFA-FA71E9D18168}"/>
    <cellStyle name="Comma 2 7 7" xfId="7770" xr:uid="{03B11714-CA7E-4185-8F91-43D20C84D5E7}"/>
    <cellStyle name="Comma 2 7 7 2" xfId="7771" xr:uid="{66422E36-CDF3-477E-8AE4-3211B6391CF8}"/>
    <cellStyle name="Comma 2 7 8" xfId="7772" xr:uid="{114E7F04-0956-4F21-B859-F73091558F0D}"/>
    <cellStyle name="Comma 2 7 9" xfId="7773" xr:uid="{6A31A4A4-BBB4-44E1-86D1-B55492D33B1C}"/>
    <cellStyle name="Comma 2 8" xfId="7774" xr:uid="{43F2BE93-038D-4B5C-A680-48E1FEF222BB}"/>
    <cellStyle name="Comma 2 8 10" xfId="27891" xr:uid="{547E4A4D-C4DB-4078-82F5-6C886CB9991D}"/>
    <cellStyle name="Comma 2 8 11" xfId="42612" xr:uid="{939A89B3-481B-4223-9505-10DD976024DA}"/>
    <cellStyle name="Comma 2 8 12" xfId="43765" xr:uid="{018D9909-61A3-4125-8EB8-34DC6F4F1D33}"/>
    <cellStyle name="Comma 2 8 2" xfId="7775" xr:uid="{569D40ED-C5D8-4DE4-B7EA-0931A281095E}"/>
    <cellStyle name="Comma 2 8 2 2" xfId="7776" xr:uid="{60955286-57DB-4BA3-AC73-6210B99B3896}"/>
    <cellStyle name="Comma 2 8 2 2 2" xfId="7777" xr:uid="{56F001E9-BCBC-4CF8-AA66-36FB000D020C}"/>
    <cellStyle name="Comma 2 8 2 2 2 2" xfId="7778" xr:uid="{163689AA-3BB0-4250-BF57-D7AE40B8C27A}"/>
    <cellStyle name="Comma 2 8 2 2 3" xfId="7779" xr:uid="{B9F7EA36-F80A-4F28-93BE-5E4251F72470}"/>
    <cellStyle name="Comma 2 8 2 2 4" xfId="27892" xr:uid="{55BF4575-1FC2-449B-BAF9-A1C665D13F55}"/>
    <cellStyle name="Comma 2 8 2 3" xfId="7780" xr:uid="{24A9FE36-8962-4AD8-BAF3-DF4ECE2FE680}"/>
    <cellStyle name="Comma 2 8 2 3 2" xfId="7781" xr:uid="{73781D96-69F8-4FA4-9147-EDD0D94DD2A4}"/>
    <cellStyle name="Comma 2 8 2 3 3" xfId="27893" xr:uid="{8D376A49-7EC2-4A71-8899-99F2B94D09FC}"/>
    <cellStyle name="Comma 2 8 2 4" xfId="7782" xr:uid="{9F4B38E8-75F0-4715-BC96-D16F2EF3D302}"/>
    <cellStyle name="Comma 2 8 2 4 2" xfId="7783" xr:uid="{443A94E8-7EA0-4EA0-BF1E-BA273C5B34D9}"/>
    <cellStyle name="Comma 2 8 2 5" xfId="7784" xr:uid="{96E83EF9-2568-46B7-99D1-86DC1F4C5E65}"/>
    <cellStyle name="Comma 2 8 2 5 2" xfId="7785" xr:uid="{FF4D0365-6249-47B9-A5FF-D87CA60E470E}"/>
    <cellStyle name="Comma 2 8 2 6" xfId="7786" xr:uid="{4E1C4098-0DEC-4142-9D78-242915ED2460}"/>
    <cellStyle name="Comma 2 8 2 7" xfId="27894" xr:uid="{6B5ED898-A918-4B16-ABF3-C1CADFCBD3D2}"/>
    <cellStyle name="Comma 2 8 2 8" xfId="42613" xr:uid="{1846E136-F6E4-4034-A51B-30B1179A050E}"/>
    <cellStyle name="Comma 2 8 2 9" xfId="43766" xr:uid="{DE5966DB-F9EA-4517-ACF6-5DE1174AC75B}"/>
    <cellStyle name="Comma 2 8 3" xfId="7787" xr:uid="{28333655-DBA4-4AD4-A7EA-7B49C89AC6B0}"/>
    <cellStyle name="Comma 2 8 3 2" xfId="7788" xr:uid="{26102909-DD2D-471F-A9F5-4B11DECB7421}"/>
    <cellStyle name="Comma 2 8 3 3" xfId="7789" xr:uid="{1E0AB01C-0E51-41E3-A96A-97BA31DCE422}"/>
    <cellStyle name="Comma 2 8 3 3 2" xfId="7790" xr:uid="{5ADD5875-BABB-4BDE-A2E3-2AA718A83729}"/>
    <cellStyle name="Comma 2 8 3 3 3" xfId="27895" xr:uid="{67FA4A36-F8DB-4E20-A025-47FEC2568429}"/>
    <cellStyle name="Comma 2 8 3 4" xfId="7791" xr:uid="{D8BBB589-C978-4ADE-8C3B-930CF23C0508}"/>
    <cellStyle name="Comma 2 8 3 5" xfId="42614" xr:uid="{2C594F4C-0843-4413-ADEB-0D56356C9477}"/>
    <cellStyle name="Comma 2 8 3 6" xfId="43767" xr:uid="{BC5D8123-1EA6-426E-B4E1-55A262B6BF43}"/>
    <cellStyle name="Comma 2 8 4" xfId="7792" xr:uid="{9EAEFA95-AA92-4CDF-8CA8-5A15D7952A6E}"/>
    <cellStyle name="Comma 2 8 4 2" xfId="7793" xr:uid="{EF91D7CC-A134-47AB-81F1-172975C7D09E}"/>
    <cellStyle name="Comma 2 8 4 3" xfId="27896" xr:uid="{10A8BB05-3AD0-46E6-82D5-4851714D297D}"/>
    <cellStyle name="Comma 2 8 4 4" xfId="42615" xr:uid="{84231D16-E71B-47C5-9239-EE9991886873}"/>
    <cellStyle name="Comma 2 8 4 5" xfId="43768" xr:uid="{2FFC1695-6559-4F07-9319-15F995195BE0}"/>
    <cellStyle name="Comma 2 8 5" xfId="7794" xr:uid="{CAEABADD-5CF9-4A64-A7F5-02FBCE6B239C}"/>
    <cellStyle name="Comma 2 8 5 2" xfId="7795" xr:uid="{5349432D-B564-4844-A243-D51A3D77F51F}"/>
    <cellStyle name="Comma 2 8 5 3" xfId="27897" xr:uid="{17366E60-ED52-4237-BE65-DBA693BD3FD7}"/>
    <cellStyle name="Comma 2 8 5 4" xfId="42616" xr:uid="{F589727D-2CFF-4CBD-B3D8-7EF9C57C833B}"/>
    <cellStyle name="Comma 2 8 6" xfId="7796" xr:uid="{18AC2522-B38C-450B-90F3-2009B8C7BFF8}"/>
    <cellStyle name="Comma 2 8 6 2" xfId="7797" xr:uid="{EDF8FA43-E176-4F1B-AA2F-C07ADA98F84F}"/>
    <cellStyle name="Comma 2 8 7" xfId="7798" xr:uid="{ADDFFA6D-B4A4-49DB-8FA1-EF10D6947056}"/>
    <cellStyle name="Comma 2 8 7 2" xfId="7799" xr:uid="{1580668B-6276-4669-967B-EB7403B529E8}"/>
    <cellStyle name="Comma 2 8 8" xfId="7800" xr:uid="{103F56A2-258B-44BF-85F3-1758B8E9A36A}"/>
    <cellStyle name="Comma 2 8 9" xfId="7801" xr:uid="{51D09794-954A-46C5-B0C5-350C3E505536}"/>
    <cellStyle name="Comma 2 9" xfId="7802" xr:uid="{601D9525-2205-41A1-853B-13AAD4990139}"/>
    <cellStyle name="Comma 2 9 10" xfId="42617" xr:uid="{90111B51-25A0-4C73-930F-01B2E821AC50}"/>
    <cellStyle name="Comma 2 9 11" xfId="43769" xr:uid="{B5AAB208-9F44-4B92-8971-74D3EA3C4492}"/>
    <cellStyle name="Comma 2 9 2" xfId="7803" xr:uid="{FEB95191-9BD4-4B51-B1A4-44B0AA5BB69B}"/>
    <cellStyle name="Comma 2 9 2 2" xfId="7804" xr:uid="{E6E13ED5-3169-418E-B8B0-CD717F5185B9}"/>
    <cellStyle name="Comma 2 9 2 2 2" xfId="7805" xr:uid="{CB737B45-4B9A-4D73-B5BD-9F485E38C5AC}"/>
    <cellStyle name="Comma 2 9 2 2 2 2" xfId="7806" xr:uid="{7B674518-044B-4E24-9027-760F3CBF33ED}"/>
    <cellStyle name="Comma 2 9 2 2 3" xfId="7807" xr:uid="{7C27BA4B-6A11-4FDD-AA01-AA06B5E8E61A}"/>
    <cellStyle name="Comma 2 9 2 2 4" xfId="27898" xr:uid="{2DF819B9-974C-4CAB-8F74-71EEDD30C33B}"/>
    <cellStyle name="Comma 2 9 2 3" xfId="7808" xr:uid="{D330A467-CDD5-454A-A2A6-C816C505AD78}"/>
    <cellStyle name="Comma 2 9 2 3 2" xfId="7809" xr:uid="{EEF7B3B6-D2B2-4FAB-8EDE-A1C1C983F945}"/>
    <cellStyle name="Comma 2 9 2 3 3" xfId="27899" xr:uid="{5CD1396D-E843-443F-B9B8-81ED5F5C9D47}"/>
    <cellStyle name="Comma 2 9 2 4" xfId="7810" xr:uid="{7591B068-2595-477D-910C-9CEB05DFC3B3}"/>
    <cellStyle name="Comma 2 9 2 4 2" xfId="7811" xr:uid="{35EC5621-81F9-4591-A617-497C8EE1B52F}"/>
    <cellStyle name="Comma 2 9 2 5" xfId="7812" xr:uid="{6CEB7C75-FDE5-45AF-81CF-452A7AE9CE0E}"/>
    <cellStyle name="Comma 2 9 2 5 2" xfId="7813" xr:uid="{729A884D-9B76-4257-B065-0556ED6A3E62}"/>
    <cellStyle name="Comma 2 9 2 6" xfId="7814" xr:uid="{E60144A7-356F-4B59-A9E5-D296E88B299D}"/>
    <cellStyle name="Comma 2 9 2 7" xfId="27900" xr:uid="{1947BA90-C6CA-47CD-A05F-653B243AB70E}"/>
    <cellStyle name="Comma 2 9 2 8" xfId="42618" xr:uid="{9963C72C-38A6-4E0E-B1B3-2A6645E22922}"/>
    <cellStyle name="Comma 2 9 3" xfId="7815" xr:uid="{69A80843-E813-4DD3-AB34-26BF7223DFCE}"/>
    <cellStyle name="Comma 2 9 3 2" xfId="7816" xr:uid="{E3398D2D-6EC8-4321-86B3-31612F8EF2BE}"/>
    <cellStyle name="Comma 2 9 3 3" xfId="7817" xr:uid="{2653E6C9-7175-4EA7-8DAB-F31D7336AA72}"/>
    <cellStyle name="Comma 2 9 3 3 2" xfId="7818" xr:uid="{6E6269CB-1860-4048-89D1-51AD2E3A96FC}"/>
    <cellStyle name="Comma 2 9 3 3 3" xfId="27901" xr:uid="{058BC962-BEF3-49CE-8F6B-84DAC69A68C1}"/>
    <cellStyle name="Comma 2 9 3 4" xfId="7819" xr:uid="{BA7A4DC0-194B-4905-8F8D-3C5612010DFC}"/>
    <cellStyle name="Comma 2 9 4" xfId="7820" xr:uid="{93B185CE-B0EE-4B31-90B4-0F904F491743}"/>
    <cellStyle name="Comma 2 9 4 2" xfId="7821" xr:uid="{F89F3A4A-6906-4FB0-B1C0-CE86EF3D11B8}"/>
    <cellStyle name="Comma 2 9 4 3" xfId="27902" xr:uid="{6ECD010A-A13B-4173-B823-8BEEBD412921}"/>
    <cellStyle name="Comma 2 9 5" xfId="7822" xr:uid="{3B7BFEE0-8834-45B5-9A3D-99A010EDD06A}"/>
    <cellStyle name="Comma 2 9 5 2" xfId="7823" xr:uid="{50FF644D-32C6-4164-A9B3-DF4BFFD2644C}"/>
    <cellStyle name="Comma 2 9 6" xfId="7824" xr:uid="{EC687EA4-1F9B-43D6-AD8A-FE3B267A9B7E}"/>
    <cellStyle name="Comma 2 9 6 2" xfId="7825" xr:uid="{633EE903-914D-4BA5-9546-C8A02B525C25}"/>
    <cellStyle name="Comma 2 9 7" xfId="7826" xr:uid="{1329CCC5-F36C-4C26-8CEF-F5B8EAF41C81}"/>
    <cellStyle name="Comma 2 9 8" xfId="7827" xr:uid="{ED912B22-FC84-4440-AAB2-019219116198}"/>
    <cellStyle name="Comma 2 9 9" xfId="27903" xr:uid="{EC28BD10-3A48-4A8D-8483-8F4F40780220}"/>
    <cellStyle name="Comma 2_PrimaryEnergyPrices_TIMES" xfId="27904" xr:uid="{28B4CD68-46F5-4153-9005-BA7BEE87C795}"/>
    <cellStyle name="Comma 20" xfId="7828" xr:uid="{C9CB4403-0A90-44E9-8F1A-F1732FCEB2BC}"/>
    <cellStyle name="Comma 20 2" xfId="7829" xr:uid="{192E2297-F72C-46F0-B686-60279E0F59E7}"/>
    <cellStyle name="Comma 20 2 2" xfId="7830" xr:uid="{DA5C0D7A-8B4C-4833-B8E2-A4CC560858D1}"/>
    <cellStyle name="Comma 20 2 3" xfId="27905" xr:uid="{5B0AFEDD-D194-426C-A53D-604F8919043E}"/>
    <cellStyle name="Comma 20 3" xfId="7831" xr:uid="{3CCE9437-9FA6-49A3-831E-35D4F58F9531}"/>
    <cellStyle name="Comma 20 4" xfId="27906" xr:uid="{0242C38C-F90D-49FB-8C43-761519725D61}"/>
    <cellStyle name="Comma 21" xfId="7832" xr:uid="{02CD2991-EB6A-4202-B65D-B6E674346F6A}"/>
    <cellStyle name="Comma 21 2" xfId="7833" xr:uid="{F557E030-F8DF-41B0-945A-9031765602B7}"/>
    <cellStyle name="Comma 21 2 2" xfId="7834" xr:uid="{61E923AE-47B7-440A-80DB-663523F14596}"/>
    <cellStyle name="Comma 21 2 3" xfId="27907" xr:uid="{F5A958B3-8B06-4566-B7D7-AAB536DD767A}"/>
    <cellStyle name="Comma 21 3" xfId="7835" xr:uid="{03DF4F7F-062A-46A8-BA9A-71596390C40D}"/>
    <cellStyle name="Comma 21 4" xfId="27908" xr:uid="{EC90EE34-AAA4-4046-BDD3-67BDD4D7D096}"/>
    <cellStyle name="Comma 22" xfId="7836" xr:uid="{D3AED116-7956-452E-92FE-588BD64DD76C}"/>
    <cellStyle name="Comma 22 2" xfId="7837" xr:uid="{EB3A11B2-AEDC-4EBB-8B76-00BD618FCDBC}"/>
    <cellStyle name="Comma 22 2 2" xfId="7838" xr:uid="{C489D5EA-D35F-4A00-B6D8-60DCB2E4B52F}"/>
    <cellStyle name="Comma 22 2 3" xfId="27909" xr:uid="{24C4B284-85CA-4299-BE8C-27993882CDC5}"/>
    <cellStyle name="Comma 22 3" xfId="7839" xr:uid="{31457059-7E21-41EC-B358-F8589E98631C}"/>
    <cellStyle name="Comma 22 4" xfId="27910" xr:uid="{64B80157-426F-4011-9212-073BC4F0B632}"/>
    <cellStyle name="Comma 23" xfId="7840" xr:uid="{2C84685A-36E2-4261-81B9-83DCD54492B4}"/>
    <cellStyle name="Comma 23 2" xfId="7841" xr:uid="{FB3799B9-23A5-458E-AA25-C3C22A497803}"/>
    <cellStyle name="Comma 23 2 2" xfId="7842" xr:uid="{1695B268-3CFA-404D-8FFA-1E8A46C3153D}"/>
    <cellStyle name="Comma 23 3" xfId="7843" xr:uid="{ACBD747D-E7B4-4FCF-8770-10C0999D5ED8}"/>
    <cellStyle name="Comma 23 4" xfId="27911" xr:uid="{853E84A0-2F64-44CB-909F-4D8FE359FBDD}"/>
    <cellStyle name="Comma 24" xfId="7844" xr:uid="{53723C7A-F921-4DD5-914A-8434C84A617E}"/>
    <cellStyle name="Comma 24 2" xfId="7845" xr:uid="{FAC7E761-1EC7-4F56-BCD4-354B8DB6571B}"/>
    <cellStyle name="Comma 24 2 2" xfId="7846" xr:uid="{62C855DE-331E-445B-A8C5-5EAEBA70B7A3}"/>
    <cellStyle name="Comma 24 3" xfId="7847" xr:uid="{CF8FE279-850A-4A45-8183-04728F894BC9}"/>
    <cellStyle name="Comma 24 4" xfId="27912" xr:uid="{478D5647-614D-41E6-8BD9-B59FFF03D4EC}"/>
    <cellStyle name="Comma 25" xfId="7848" xr:uid="{E0905ACA-2B58-4A55-9DEA-6C977AA1B7B3}"/>
    <cellStyle name="Comma 25 2" xfId="7849" xr:uid="{C1941F1D-EFE3-4120-9A41-AACAF6EC6046}"/>
    <cellStyle name="Comma 25 2 2" xfId="7850" xr:uid="{87790BB6-7190-4B57-A2B7-1CD629E2BD73}"/>
    <cellStyle name="Comma 25 3" xfId="7851" xr:uid="{B0B955E1-7FDA-479B-96F8-83CEFC79F499}"/>
    <cellStyle name="Comma 25 4" xfId="27913" xr:uid="{A6CC72EE-414E-4377-9898-356504E0B88F}"/>
    <cellStyle name="Comma 26" xfId="7852" xr:uid="{5396FE8F-5B2A-44C3-91F2-84ADCB6638EF}"/>
    <cellStyle name="Comma 26 2" xfId="7853" xr:uid="{D4853FB7-633A-44B9-A9FA-60D5906C7241}"/>
    <cellStyle name="Comma 26 2 2" xfId="27914" xr:uid="{ECC5FDDD-DF25-41E5-B9E0-7847D536CB92}"/>
    <cellStyle name="Comma 26 3" xfId="27915" xr:uid="{49ED7917-C314-4FC1-B43E-0C240AE3B7BB}"/>
    <cellStyle name="Comma 27" xfId="7854" xr:uid="{AFA5DAEA-5506-4F00-BAC2-67921E513174}"/>
    <cellStyle name="Comma 27 2" xfId="7855" xr:uid="{A29BF50B-19DD-49A0-AEF5-6B71B4FDA557}"/>
    <cellStyle name="Comma 27 2 2" xfId="27916" xr:uid="{EED3BD78-A45B-4CD5-B2B1-9CC74E2A88B4}"/>
    <cellStyle name="Comma 27 3" xfId="27917" xr:uid="{63DB549F-D1FC-4C8E-AB88-7255E45D88D0}"/>
    <cellStyle name="Comma 28" xfId="7856" xr:uid="{8A0F626A-2932-4D6D-9B33-F200C8045913}"/>
    <cellStyle name="Comma 28 2" xfId="7857" xr:uid="{CFCF846B-1F3E-4D44-BCA7-AB8B49AB1903}"/>
    <cellStyle name="Comma 28 2 2" xfId="27918" xr:uid="{7C7196D8-13DC-40C5-B1A3-67E7036E5601}"/>
    <cellStyle name="Comma 28 3" xfId="27919" xr:uid="{FDA4E6AA-EBCE-4154-B354-C93D6004F6BA}"/>
    <cellStyle name="Comma 29" xfId="7858" xr:uid="{40C61E2F-5DF3-48E6-A769-E8D9C420A08C}"/>
    <cellStyle name="Comma 29 2" xfId="7859" xr:uid="{39B3EA01-A679-4CBB-87E4-20072526BB36}"/>
    <cellStyle name="Comma 29 2 2" xfId="27920" xr:uid="{DD6D835B-9CFB-489C-B7B5-6E8008F00C1C}"/>
    <cellStyle name="Comma 29 3" xfId="27921" xr:uid="{D3362A37-2EC1-4528-B4FA-17F131E22B1B}"/>
    <cellStyle name="Comma 3" xfId="26" xr:uid="{00000000-0005-0000-0000-000003000000}"/>
    <cellStyle name="Comma 3 10" xfId="7861" xr:uid="{A940EBCA-9E3A-4261-9E5E-453A6DE732D7}"/>
    <cellStyle name="Comma 3 10 2" xfId="7862" xr:uid="{B46CCFDB-230C-4E06-9E3A-1F746884FF3A}"/>
    <cellStyle name="Comma 3 10 2 2" xfId="7863" xr:uid="{0BCA48B4-591A-45D4-AC67-C86F1F2606FD}"/>
    <cellStyle name="Comma 3 10 2 3" xfId="27922" xr:uid="{951C338B-1FE7-4982-9489-E692490FA13A}"/>
    <cellStyle name="Comma 3 10 3" xfId="7864" xr:uid="{A1AEE132-B87C-435E-9D35-7D35B0B95201}"/>
    <cellStyle name="Comma 3 10 4" xfId="27923" xr:uid="{23D2029B-B65B-4B92-A66C-C306271C9A0F}"/>
    <cellStyle name="Comma 3 10 5" xfId="27924" xr:uid="{D8783AAA-39DB-4682-B843-B5511DF71C2F}"/>
    <cellStyle name="Comma 3 10 6" xfId="27925" xr:uid="{5FA5BA0A-926D-41F0-991F-54E8D5A4DABC}"/>
    <cellStyle name="Comma 3 10 7" xfId="42620" xr:uid="{87E5B77F-DFAF-47F2-B14E-64D1FFC53C43}"/>
    <cellStyle name="Comma 3 10 8" xfId="43770" xr:uid="{7A25BA26-6021-4B63-A0BB-BFD45DBCC195}"/>
    <cellStyle name="Comma 3 11" xfId="7865" xr:uid="{64AEA669-C9C5-4035-938F-D7597ABDAD38}"/>
    <cellStyle name="Comma 3 11 2" xfId="7866" xr:uid="{18EE24FA-C33A-4415-BA77-0329897E4A31}"/>
    <cellStyle name="Comma 3 11 2 2" xfId="7867" xr:uid="{3C4FCEAB-D022-41A0-A612-469CA257BAFC}"/>
    <cellStyle name="Comma 3 11 2 3" xfId="27926" xr:uid="{15FE7F73-D364-459C-8412-7BC239287D8C}"/>
    <cellStyle name="Comma 3 11 3" xfId="7868" xr:uid="{9BAF8C11-E229-46C0-8005-8BAE2C7205FB}"/>
    <cellStyle name="Comma 3 11 4" xfId="27927" xr:uid="{717C58F3-F1A6-4EBD-9DCC-12E66A999D58}"/>
    <cellStyle name="Comma 3 11 5" xfId="42621" xr:uid="{36B60077-C6F9-4605-BB78-509CFEC347B7}"/>
    <cellStyle name="Comma 3 11 6" xfId="43771" xr:uid="{4A05CA30-4E23-4CBB-9133-741ED36DC74F}"/>
    <cellStyle name="Comma 3 12" xfId="7869" xr:uid="{CF9AF556-5F50-4556-8345-E1161D6DE60D}"/>
    <cellStyle name="Comma 3 12 2" xfId="7870" xr:uid="{650AE581-27EE-4B23-B626-A68784143F30}"/>
    <cellStyle name="Comma 3 12 2 2" xfId="7871" xr:uid="{00031570-8E9C-4ED9-83CA-5BB175EDD9D9}"/>
    <cellStyle name="Comma 3 12 2 3" xfId="27928" xr:uid="{3783BEC0-91B6-462A-A6EC-C05E0A69F944}"/>
    <cellStyle name="Comma 3 12 3" xfId="7872" xr:uid="{B6FFC275-D8F2-4095-BECA-1685829353A0}"/>
    <cellStyle name="Comma 3 12 4" xfId="27929" xr:uid="{506ADF2A-C57C-4124-BAC2-8F117C5B595B}"/>
    <cellStyle name="Comma 3 13" xfId="7873" xr:uid="{D727DADC-B9F4-4D3C-AE61-A6E08F89EE72}"/>
    <cellStyle name="Comma 3 13 2" xfId="7874" xr:uid="{F2C46792-C1E2-4E11-94E6-3CF5EC8EA79C}"/>
    <cellStyle name="Comma 3 13 2 2" xfId="7875" xr:uid="{9DC4F2D2-B2DB-439E-A390-B66A3FCCC563}"/>
    <cellStyle name="Comma 3 13 2 3" xfId="27930" xr:uid="{136AAC24-0A63-4828-8F7A-78CD0317D866}"/>
    <cellStyle name="Comma 3 13 3" xfId="7876" xr:uid="{7BE329FD-B2EF-4E51-88C7-250D126D32E5}"/>
    <cellStyle name="Comma 3 13 4" xfId="27931" xr:uid="{3F0689E5-8BF7-4595-9D2C-A3D9D91722C4}"/>
    <cellStyle name="Comma 3 14" xfId="7877" xr:uid="{9620398B-730E-437D-A595-4F47532D785D}"/>
    <cellStyle name="Comma 3 14 2" xfId="7878" xr:uid="{B89C9EFE-B277-4644-8D12-C26E842CB77C}"/>
    <cellStyle name="Comma 3 14 2 2" xfId="7879" xr:uid="{2E4FA70D-F430-43BC-AA4D-0C91DA571A64}"/>
    <cellStyle name="Comma 3 14 2 3" xfId="27932" xr:uid="{7051AB05-C547-4A8B-8E8A-883E0E37C4B9}"/>
    <cellStyle name="Comma 3 14 3" xfId="7880" xr:uid="{48AFE0B8-93C3-4A1D-9602-D2E458F7AB31}"/>
    <cellStyle name="Comma 3 14 4" xfId="27933" xr:uid="{FBA741D7-C706-459B-8CC8-17A4E4E8BC30}"/>
    <cellStyle name="Comma 3 15" xfId="7881" xr:uid="{9247F917-8E2D-4CD9-845D-6E6826DB834E}"/>
    <cellStyle name="Comma 3 15 2" xfId="7882" xr:uid="{3DFD8865-DD56-4633-848E-EA741A2E9508}"/>
    <cellStyle name="Comma 3 15 2 2" xfId="7883" xr:uid="{3FC696D4-27D8-48C7-BDD2-FA6432EBED49}"/>
    <cellStyle name="Comma 3 15 3" xfId="7884" xr:uid="{B9F1520C-E2F0-4B2A-A161-D1F003357A98}"/>
    <cellStyle name="Comma 3 15 4" xfId="27934" xr:uid="{8EFAB0FB-B724-45A8-9C25-F5BFF86D5CA8}"/>
    <cellStyle name="Comma 3 16" xfId="7885" xr:uid="{FCCCC054-5FBF-40B1-BCA5-CAA5227A6DE8}"/>
    <cellStyle name="Comma 3 16 2" xfId="7886" xr:uid="{E19E16FF-46C0-4FC7-8061-9DF1A3966581}"/>
    <cellStyle name="Comma 3 16 2 2" xfId="7887" xr:uid="{CFA28AD3-0CCF-4211-B309-17FBD782187A}"/>
    <cellStyle name="Comma 3 16 3" xfId="7888" xr:uid="{2B780EE4-A020-40F3-A907-E52B334FF92F}"/>
    <cellStyle name="Comma 3 16 4" xfId="27935" xr:uid="{7A3B37E5-32F5-40C1-A464-9C98C8AF281F}"/>
    <cellStyle name="Comma 3 17" xfId="7889" xr:uid="{97636F1B-C614-4C17-99C9-18EF3AE735D7}"/>
    <cellStyle name="Comma 3 17 2" xfId="7890" xr:uid="{C83DEA0C-DB12-4DF8-BE7F-EC1CF6995109}"/>
    <cellStyle name="Comma 3 17 2 2" xfId="27936" xr:uid="{3BB3E7D7-E2C2-4E1A-B4B9-62886551C40C}"/>
    <cellStyle name="Comma 3 17 3" xfId="27937" xr:uid="{40CB7A43-B7C6-4673-8ECA-DF606A573558}"/>
    <cellStyle name="Comma 3 18" xfId="7891" xr:uid="{0242B41A-9D81-4A7D-86FB-1F5FF57DC8D0}"/>
    <cellStyle name="Comma 3 18 2" xfId="7892" xr:uid="{04704B73-309A-475D-8119-B8C630CE63B0}"/>
    <cellStyle name="Comma 3 18 2 2" xfId="27938" xr:uid="{946BF4FF-F161-4379-AAE1-96144B3C036B}"/>
    <cellStyle name="Comma 3 18 3" xfId="27939" xr:uid="{E0E415EE-6190-4CDA-B756-499B52D7CD56}"/>
    <cellStyle name="Comma 3 19" xfId="7893" xr:uid="{BB2A819E-3B24-460A-82AB-5AD93A00BA96}"/>
    <cellStyle name="Comma 3 19 2" xfId="27940" xr:uid="{DCF5B890-4A6F-4515-902E-FDE2E3F3E9E9}"/>
    <cellStyle name="Comma 3 19 2 2" xfId="27941" xr:uid="{1D3A7F55-55B9-4B35-B131-C86836EDC378}"/>
    <cellStyle name="Comma 3 19 3" xfId="27942" xr:uid="{CA6B0D52-991F-4727-B034-D953FB105F28}"/>
    <cellStyle name="Comma 3 2" xfId="49" xr:uid="{C4E151D8-63D6-4BF7-94FD-74029BA9678D}"/>
    <cellStyle name="Comma 3 2 10" xfId="27943" xr:uid="{ADD4FA1E-8A76-48B6-9ED9-6C6CFCBAF711}"/>
    <cellStyle name="Comma 3 2 11" xfId="27944" xr:uid="{A992108A-3497-4B9B-AE51-1A51A7CBBB60}"/>
    <cellStyle name="Comma 3 2 12" xfId="27945" xr:uid="{FE954F1B-A03D-462C-BE51-D67489E85FE2}"/>
    <cellStyle name="Comma 3 2 13" xfId="42622" xr:uid="{0AEFCBB3-C69A-44DF-B8B2-2C907780D5A9}"/>
    <cellStyle name="Comma 3 2 14" xfId="7894" xr:uid="{2F4FB30D-CCED-4B02-B881-2DB777F57CE7}"/>
    <cellStyle name="Comma 3 2 15" xfId="45835" xr:uid="{4D0DD0BE-C633-4E00-9965-8D660E473943}"/>
    <cellStyle name="Comma 3 2 16" xfId="45936" xr:uid="{28AEF85D-EC08-40BB-9BD9-B0CE7921FCF3}"/>
    <cellStyle name="Comma 3 2 2" xfId="7895" xr:uid="{010E1D67-79B4-411C-A03D-B06212F8F228}"/>
    <cellStyle name="Comma 3 2 2 2" xfId="7896" xr:uid="{7031C493-F2A6-4698-9567-018193EA5649}"/>
    <cellStyle name="Comma 3 2 2 2 2" xfId="7897" xr:uid="{CDCDAE9F-30FB-4E39-8598-860908E0C561}"/>
    <cellStyle name="Comma 3 2 2 2 2 2" xfId="27946" xr:uid="{B5184DAA-C7FC-4E61-B221-7BF6FD83AD1F}"/>
    <cellStyle name="Comma 3 2 2 2 3" xfId="27947" xr:uid="{107516F9-0F8F-4AFC-B28D-73C43FF7F204}"/>
    <cellStyle name="Comma 3 2 2 2 4" xfId="27948" xr:uid="{88778757-4D04-4C1A-94EA-FD270F69B9D4}"/>
    <cellStyle name="Comma 3 2 2 3" xfId="7898" xr:uid="{5EF0082A-C9EE-4FE9-BC90-2F4621D85F89}"/>
    <cellStyle name="Comma 3 2 2 3 2" xfId="27949" xr:uid="{FD365C5C-485F-4446-8A8C-5505BD84C50F}"/>
    <cellStyle name="Comma 3 2 2 4" xfId="7899" xr:uid="{37FD7F61-EB86-45B2-BC9B-864928913EB4}"/>
    <cellStyle name="Comma 3 2 2 5" xfId="27950" xr:uid="{D282C118-D436-423E-A05D-04E76B4D46AF}"/>
    <cellStyle name="Comma 3 2 2 6" xfId="27951" xr:uid="{14EE22E3-946E-478E-9F2A-696A8FD8DDE4}"/>
    <cellStyle name="Comma 3 2 2 7" xfId="27952" xr:uid="{63A648DE-425D-460F-AC44-BB16C23817BF}"/>
    <cellStyle name="Comma 3 2 2 8" xfId="42623" xr:uid="{26051ED7-AE3A-45A0-93A3-0E8D7867B2D2}"/>
    <cellStyle name="Comma 3 2 2 9" xfId="43772" xr:uid="{95BCCF03-F482-42E8-9402-EC505B540C43}"/>
    <cellStyle name="Comma 3 2 3" xfId="7900" xr:uid="{D2EDB828-211A-45DE-9F0E-19D473520E39}"/>
    <cellStyle name="Comma 3 2 3 2" xfId="7901" xr:uid="{7A598696-5AE0-494A-8A76-D60677589421}"/>
    <cellStyle name="Comma 3 2 3 2 2" xfId="7902" xr:uid="{DCADB940-54F4-495B-891D-6CFEDBA9DBBB}"/>
    <cellStyle name="Comma 3 2 3 2 2 2" xfId="27953" xr:uid="{A2C34424-DE2C-4E16-94A7-A781C51A8A10}"/>
    <cellStyle name="Comma 3 2 3 2 3" xfId="27954" xr:uid="{885A3082-5B5C-45E1-8ABB-A144B48E3991}"/>
    <cellStyle name="Comma 3 2 3 3" xfId="7903" xr:uid="{506B12E8-DE06-44EE-AD7B-F1A08EF251F1}"/>
    <cellStyle name="Comma 3 2 3 3 2" xfId="27955" xr:uid="{E8564E1E-4D30-464E-BA1A-CBE2CB184B12}"/>
    <cellStyle name="Comma 3 2 3 4" xfId="27956" xr:uid="{E6D8EBA2-2348-4234-AF75-41E855747EDE}"/>
    <cellStyle name="Comma 3 2 3 5" xfId="27957" xr:uid="{2340B8EE-37C2-4B5B-8103-B5BF716DEEC5}"/>
    <cellStyle name="Comma 3 2 3 6" xfId="27958" xr:uid="{ACF18396-6356-4143-9FE8-7C3C92B2CE43}"/>
    <cellStyle name="Comma 3 2 3 7" xfId="27959" xr:uid="{3403DA1B-1438-48E7-AB64-B36845D75EEA}"/>
    <cellStyle name="Comma 3 2 3 8" xfId="42624" xr:uid="{C6EBD591-1612-4F7D-A711-96F157DAA50D}"/>
    <cellStyle name="Comma 3 2 3 9" xfId="43773" xr:uid="{FE48B20E-CE7C-4BF3-942D-88E7C7B74362}"/>
    <cellStyle name="Comma 3 2 4" xfId="7904" xr:uid="{F01B6276-D6E6-4E2C-B07C-B3F5E351E094}"/>
    <cellStyle name="Comma 3 2 4 2" xfId="7905" xr:uid="{81F636E3-82F2-4791-AC7D-2C456A4B0C64}"/>
    <cellStyle name="Comma 3 2 4 2 2" xfId="27960" xr:uid="{32FC0110-51E5-46BA-9772-4642828C74D5}"/>
    <cellStyle name="Comma 3 2 4 2 2 2" xfId="27961" xr:uid="{3D5DF886-22E8-4F4D-99B4-FF15155C5386}"/>
    <cellStyle name="Comma 3 2 4 2 3" xfId="27962" xr:uid="{60ED1F7F-9A44-4740-BDA4-13F18A0C9865}"/>
    <cellStyle name="Comma 3 2 4 3" xfId="27963" xr:uid="{3FFF90CE-954F-4BCB-BB17-EA168153D797}"/>
    <cellStyle name="Comma 3 2 4 3 2" xfId="27964" xr:uid="{FDF4DFF6-7CA2-4406-B709-8CF01D2885F5}"/>
    <cellStyle name="Comma 3 2 4 4" xfId="27965" xr:uid="{59F4674A-7A7F-47DD-B488-90F9A52F269C}"/>
    <cellStyle name="Comma 3 2 4 5" xfId="27966" xr:uid="{6CCCFECC-8660-4713-80C0-7DBB2B160C90}"/>
    <cellStyle name="Comma 3 2 5" xfId="7906" xr:uid="{9D659D8F-438D-4C4A-A483-38DB3A2DF80F}"/>
    <cellStyle name="Comma 3 2 5 2" xfId="7907" xr:uid="{BC8B677D-C823-44BB-9AF2-92745041BFB4}"/>
    <cellStyle name="Comma 3 2 5 2 2" xfId="27967" xr:uid="{349C6E4C-3B07-41D3-972C-8B4202EB1BF1}"/>
    <cellStyle name="Comma 3 2 5 3" xfId="27968" xr:uid="{891F1F2D-C68E-4913-B62A-F47F4EA12BC3}"/>
    <cellStyle name="Comma 3 2 6" xfId="7908" xr:uid="{EF49ACE6-EC21-4620-BAA1-BB9D7C41D9B3}"/>
    <cellStyle name="Comma 3 2 6 2" xfId="7909" xr:uid="{841BEF2B-6B30-4E5B-B7FA-B5F3380181E0}"/>
    <cellStyle name="Comma 3 2 7" xfId="7910" xr:uid="{46C553ED-BA23-41AB-A67A-0C7F4B95C758}"/>
    <cellStyle name="Comma 3 2 7 2" xfId="27969" xr:uid="{E1228539-5BA1-446C-AEBD-9FDD525BD240}"/>
    <cellStyle name="Comma 3 2 8" xfId="7911" xr:uid="{85B99634-D2DF-4624-A506-FB42290DEC01}"/>
    <cellStyle name="Comma 3 2 9" xfId="7912" xr:uid="{6BA36E54-B21F-4910-8B50-9B96A50C02DF}"/>
    <cellStyle name="Comma 3 20" xfId="7913" xr:uid="{94BE0A0C-B7D3-4A67-AF5C-EE97B65BF142}"/>
    <cellStyle name="Comma 3 20 2" xfId="27970" xr:uid="{E66C5600-9826-445A-A630-439B560B5390}"/>
    <cellStyle name="Comma 3 21" xfId="7914" xr:uid="{CE984164-AE32-42E8-AF32-BC5CFF6BF30C}"/>
    <cellStyle name="Comma 3 21 2" xfId="27971" xr:uid="{4F3AB827-4206-4780-BB76-AB908ED4DD73}"/>
    <cellStyle name="Comma 3 22" xfId="27972" xr:uid="{900CD726-CB2E-4F8C-899C-7C7F35513B91}"/>
    <cellStyle name="Comma 3 23" xfId="27973" xr:uid="{3E475560-86A6-4746-9818-FAEAEA04B38F}"/>
    <cellStyle name="Comma 3 24" xfId="27974" xr:uid="{A0197944-38D0-48FF-B9A1-39A940C2E245}"/>
    <cellStyle name="Comma 3 25" xfId="27975" xr:uid="{D6BB90AE-2341-4BB4-995A-0469F9D9D622}"/>
    <cellStyle name="Comma 3 26" xfId="27976" xr:uid="{D4D3955A-8828-47A9-9463-33C367D3F5B9}"/>
    <cellStyle name="Comma 3 27" xfId="42619" xr:uid="{B9964227-1700-4294-9774-0224BCC71135}"/>
    <cellStyle name="Comma 3 28" xfId="7860" xr:uid="{638BDFDE-F8BF-4256-870C-F630F43F9DD5}"/>
    <cellStyle name="Comma 3 29" xfId="88" xr:uid="{022E93C7-2B54-4B0A-AFF4-081F135995E9}"/>
    <cellStyle name="Comma 3 3" xfId="7915" xr:uid="{D42CE61F-AA27-4EDD-B520-DDEFF93D4651}"/>
    <cellStyle name="Comma 3 3 10" xfId="42625" xr:uid="{4BB355D1-B610-475D-91CC-64D8D79BF257}"/>
    <cellStyle name="Comma 3 3 11" xfId="43774" xr:uid="{2A245352-2B6E-4EE1-AFD8-73DBF9596253}"/>
    <cellStyle name="Comma 3 3 2" xfId="7916" xr:uid="{C298F277-CB06-44B3-86E7-8170338B0068}"/>
    <cellStyle name="Comma 3 3 2 2" xfId="7917" xr:uid="{88E462DA-653B-4B23-9D09-DB07BEA0E5E0}"/>
    <cellStyle name="Comma 3 3 2 2 2" xfId="7918" xr:uid="{EDC286F0-D311-41EE-9C45-CC0E7AD6FF86}"/>
    <cellStyle name="Comma 3 3 2 2 3" xfId="27977" xr:uid="{6A4D8127-9016-41F8-96F6-CE814442594A}"/>
    <cellStyle name="Comma 3 3 2 3" xfId="7919" xr:uid="{BAA05C05-6BC6-458A-ABEF-8A7FC0085EAE}"/>
    <cellStyle name="Comma 3 3 2 4" xfId="27978" xr:uid="{2EB65071-CA85-4B3F-B36D-76D7045F03F7}"/>
    <cellStyle name="Comma 3 3 2 5" xfId="27979" xr:uid="{B4F40E8D-1FEE-428E-BBED-286D93CF6B85}"/>
    <cellStyle name="Comma 3 3 2 6" xfId="27980" xr:uid="{0D38CF60-5D03-4368-803F-8A1DA12BEF14}"/>
    <cellStyle name="Comma 3 3 2 7" xfId="42626" xr:uid="{E4473E02-50A7-4835-AA03-603512709022}"/>
    <cellStyle name="Comma 3 3 2 8" xfId="43775" xr:uid="{40A2BD66-AF52-490C-B693-6173471320D9}"/>
    <cellStyle name="Comma 3 3 3" xfId="7920" xr:uid="{93BB0317-7BE7-4787-84A3-CE36D643E9A0}"/>
    <cellStyle name="Comma 3 3 3 2" xfId="7921" xr:uid="{2BA05F45-A1A8-4D39-A5F7-3A782559DA9E}"/>
    <cellStyle name="Comma 3 3 3 3" xfId="27981" xr:uid="{B77B9129-C36E-41DD-B91C-387D773C1E61}"/>
    <cellStyle name="Comma 3 3 4" xfId="7922" xr:uid="{09E5406E-59F2-4AF2-867D-029769134DA5}"/>
    <cellStyle name="Comma 3 3 4 2" xfId="27982" xr:uid="{33406225-F77B-4CA4-8F96-FA1119EA839E}"/>
    <cellStyle name="Comma 3 3 5" xfId="7923" xr:uid="{DBCF58EE-CBB8-4259-9687-2646EA0D040A}"/>
    <cellStyle name="Comma 3 3 6" xfId="7924" xr:uid="{A51595D9-00AA-4805-97B8-02EC01E802B2}"/>
    <cellStyle name="Comma 3 3 7" xfId="27983" xr:uid="{027802B9-2250-438A-9CEC-A0E9E355BB32}"/>
    <cellStyle name="Comma 3 3 8" xfId="27984" xr:uid="{1B3F96D9-6054-45CD-B2CE-CA7C86881852}"/>
    <cellStyle name="Comma 3 3 9" xfId="27985" xr:uid="{6F8FAE61-6920-4704-AD68-D97EC3629530}"/>
    <cellStyle name="Comma 3 30" xfId="45926" xr:uid="{F76C7897-DB88-41D5-8686-C30BAEF17478}"/>
    <cellStyle name="Comma 3 4" xfId="7925" xr:uid="{BCD4A175-9FB1-44EE-A9A4-4BDEA014ABA5}"/>
    <cellStyle name="Comma 3 4 10" xfId="42627" xr:uid="{C39F6429-653C-4F85-BEF0-4DCE1F1F0E73}"/>
    <cellStyle name="Comma 3 4 11" xfId="43776" xr:uid="{3D378A44-AA48-43B2-BE3B-0D2AECF08FCE}"/>
    <cellStyle name="Comma 3 4 2" xfId="7926" xr:uid="{754D3308-8116-439E-B9C2-3D9808B75DAC}"/>
    <cellStyle name="Comma 3 4 2 2" xfId="7927" xr:uid="{78B9A06D-8693-4B20-8EEE-6539F37A89EE}"/>
    <cellStyle name="Comma 3 4 2 2 2" xfId="7928" xr:uid="{810D4CEC-9ED1-48F8-9190-7826615926E4}"/>
    <cellStyle name="Comma 3 4 2 2 2 2" xfId="27986" xr:uid="{C8A595C6-2FD3-467A-9C47-0EB0150CAA77}"/>
    <cellStyle name="Comma 3 4 2 2 3" xfId="27987" xr:uid="{A00E9E69-4FAE-4DF1-926E-04FE28867179}"/>
    <cellStyle name="Comma 3 4 2 2 4" xfId="27988" xr:uid="{CB45E9A9-A399-4833-BF1F-D841AE03A14C}"/>
    <cellStyle name="Comma 3 4 2 3" xfId="7929" xr:uid="{749FC7E6-0223-4FA9-97C6-16EBFF2DEF0F}"/>
    <cellStyle name="Comma 3 4 2 3 2" xfId="27989" xr:uid="{3DD4B107-6896-4C61-852B-5EEE3264D5D1}"/>
    <cellStyle name="Comma 3 4 2 4" xfId="27990" xr:uid="{F204D379-87F5-49FC-8031-2AB52721BAF8}"/>
    <cellStyle name="Comma 3 4 2 5" xfId="27991" xr:uid="{7FC920FD-BEC3-4A4E-A014-BAE83673DC8B}"/>
    <cellStyle name="Comma 3 4 2 6" xfId="27992" xr:uid="{485D973D-8FAF-4F0B-B529-F8ADF72A54B1}"/>
    <cellStyle name="Comma 3 4 2 7" xfId="27993" xr:uid="{1123D3EA-2C0B-41A0-B320-53656B9D8D42}"/>
    <cellStyle name="Comma 3 4 2 8" xfId="42628" xr:uid="{BEF0489C-46F8-4A94-BC7A-529CB5056E65}"/>
    <cellStyle name="Comma 3 4 2 9" xfId="43777" xr:uid="{A986994B-2229-4954-AFD2-2BC7CC524E75}"/>
    <cellStyle name="Comma 3 4 3" xfId="7930" xr:uid="{2F571E2A-9DE4-41CC-9B14-6FD463FD55AE}"/>
    <cellStyle name="Comma 3 4 3 2" xfId="7931" xr:uid="{6FC85CD0-1522-4475-8D52-1775D5889A03}"/>
    <cellStyle name="Comma 3 4 3 3" xfId="27994" xr:uid="{45DBE84A-F2D6-4502-B9E7-27EB9207DD7B}"/>
    <cellStyle name="Comma 3 4 4" xfId="7932" xr:uid="{FA4493BC-9F5C-41C4-9889-170F16ADCF89}"/>
    <cellStyle name="Comma 3 4 4 2" xfId="27995" xr:uid="{C2ED5B75-7B02-4DB7-9A2C-0F418EA494EB}"/>
    <cellStyle name="Comma 3 4 5" xfId="7933" xr:uid="{4FC39343-425F-4860-B830-10E8E2257359}"/>
    <cellStyle name="Comma 3 4 6" xfId="27996" xr:uid="{4A5C1611-1F63-4C8E-B134-0E8F120F251E}"/>
    <cellStyle name="Comma 3 4 7" xfId="27997" xr:uid="{F1824A19-DBFD-41DB-9780-5F9FBCB4F898}"/>
    <cellStyle name="Comma 3 4 8" xfId="27998" xr:uid="{C020BD75-BB46-4B94-9363-FF492F9852EF}"/>
    <cellStyle name="Comma 3 4 9" xfId="27999" xr:uid="{98B85AE1-0EBC-4C90-B094-80D8C5462A2E}"/>
    <cellStyle name="Comma 3 5" xfId="7934" xr:uid="{64790CF6-589A-4B5C-9D7D-97B1D9F3BA3F}"/>
    <cellStyle name="Comma 3 5 10" xfId="42629" xr:uid="{C989984B-75B3-4362-8503-84D4A8CC3BE1}"/>
    <cellStyle name="Comma 3 5 11" xfId="43778" xr:uid="{5A64C207-D0AD-406D-ADD0-967D414146D0}"/>
    <cellStyle name="Comma 3 5 2" xfId="7935" xr:uid="{FBD25897-F387-43AD-A0C9-A093709739DE}"/>
    <cellStyle name="Comma 3 5 2 2" xfId="7936" xr:uid="{0DD12163-BD5F-4CD6-9EFE-00A385D21613}"/>
    <cellStyle name="Comma 3 5 2 2 2" xfId="7937" xr:uid="{8C567986-EB41-470C-BCA2-6C54AB700ECE}"/>
    <cellStyle name="Comma 3 5 2 2 3" xfId="28000" xr:uid="{77B7F415-259A-4693-A96E-6AAC09317483}"/>
    <cellStyle name="Comma 3 5 2 3" xfId="7938" xr:uid="{EA69D483-E0E3-477B-A52A-A20BE5C0F2CE}"/>
    <cellStyle name="Comma 3 5 2 4" xfId="28001" xr:uid="{172927C1-8FEE-4972-909C-4BB67BECFF66}"/>
    <cellStyle name="Comma 3 5 2 5" xfId="28002" xr:uid="{B8785B4C-1266-4161-B23F-FB9E3D7D25CE}"/>
    <cellStyle name="Comma 3 5 2 6" xfId="28003" xr:uid="{CF29144C-A12F-4DE7-9540-685EE3B3D2E1}"/>
    <cellStyle name="Comma 3 5 3" xfId="7939" xr:uid="{41F1F067-6313-4CED-A759-C1B371625B2A}"/>
    <cellStyle name="Comma 3 5 3 2" xfId="7940" xr:uid="{C1EFBB88-BF1A-4A2E-AB21-060185884FAB}"/>
    <cellStyle name="Comma 3 5 3 2 2" xfId="28004" xr:uid="{EB6DB5F8-4B09-4546-84E0-57BE503E9912}"/>
    <cellStyle name="Comma 3 5 3 3" xfId="28005" xr:uid="{F5FD2E2C-FAA6-46CA-BD3A-4E1A960CCDEF}"/>
    <cellStyle name="Comma 3 5 3 4" xfId="28006" xr:uid="{14A10590-752A-403E-9DB7-3B5C3D6ED591}"/>
    <cellStyle name="Comma 3 5 4" xfId="7941" xr:uid="{7EDE7C00-D542-48D8-B88E-39D5D3F6F777}"/>
    <cellStyle name="Comma 3 5 4 2" xfId="28007" xr:uid="{2BF2A37A-754E-44B0-AB4B-8FCA9A00B3CD}"/>
    <cellStyle name="Comma 3 5 5" xfId="7942" xr:uid="{FFD41163-5E9A-4003-BCDC-A3D4A04A23FC}"/>
    <cellStyle name="Comma 3 5 6" xfId="28008" xr:uid="{0515E53D-2051-48E8-83EC-F5E7F43470E2}"/>
    <cellStyle name="Comma 3 5 7" xfId="28009" xr:uid="{CF28ED3F-783E-44F5-9DD4-58E71ADF1453}"/>
    <cellStyle name="Comma 3 5 8" xfId="28010" xr:uid="{E9E8E68B-A197-4DE0-966B-09703DD65FCA}"/>
    <cellStyle name="Comma 3 5 9" xfId="28011" xr:uid="{FF08715E-321E-4BA1-A62C-B25348580DB7}"/>
    <cellStyle name="Comma 3 6" xfId="7943" xr:uid="{E8723DB2-B7D1-4BBC-9145-C778CA24AA49}"/>
    <cellStyle name="Comma 3 6 2" xfId="7944" xr:uid="{978A65E4-724F-4F27-B198-6952513C5531}"/>
    <cellStyle name="Comma 3 6 2 2" xfId="7945" xr:uid="{C3A00D10-2B83-4BB8-AE78-1EF285A48869}"/>
    <cellStyle name="Comma 3 6 2 3" xfId="28012" xr:uid="{0A97B4E1-8D0D-4DA7-A51A-7BCF9E0DBCB9}"/>
    <cellStyle name="Comma 3 6 2 4" xfId="28013" xr:uid="{42FE7826-F2A9-4FA9-83DC-4354F6B5C1AF}"/>
    <cellStyle name="Comma 3 6 2 5" xfId="28014" xr:uid="{E3586C3C-8FEB-46FC-B829-DA60D54BD017}"/>
    <cellStyle name="Comma 3 6 3" xfId="7946" xr:uid="{9ED449B6-D3BA-4155-A9F8-A3F5CBF2A498}"/>
    <cellStyle name="Comma 3 6 4" xfId="28015" xr:uid="{0E9DAA15-AD8D-4163-9B6B-ECF70B92830D}"/>
    <cellStyle name="Comma 3 6 5" xfId="28016" xr:uid="{BBCF0285-2A1F-48CB-928A-BF88DB06F02F}"/>
    <cellStyle name="Comma 3 6 6" xfId="28017" xr:uid="{04B9F826-7C82-4069-9772-15EDD42E9A0F}"/>
    <cellStyle name="Comma 3 6 7" xfId="42630" xr:uid="{0A8A7538-3DB1-4E1E-B178-2C4192595485}"/>
    <cellStyle name="Comma 3 6 8" xfId="43779" xr:uid="{BC9D91BB-1C14-4BEC-BF60-B6F10BD69423}"/>
    <cellStyle name="Comma 3 7" xfId="7947" xr:uid="{36E09458-6EBA-40FB-8CCE-16A454A18F5A}"/>
    <cellStyle name="Comma 3 7 2" xfId="7948" xr:uid="{B0EEA0C7-2F75-4810-95C9-21D9B868FDEB}"/>
    <cellStyle name="Comma 3 7 2 2" xfId="7949" xr:uid="{E009BB4A-742F-4F49-8185-F2091B29BDC6}"/>
    <cellStyle name="Comma 3 7 2 3" xfId="28018" xr:uid="{4409C9FB-6E16-406B-A616-7A43132E5D58}"/>
    <cellStyle name="Comma 3 7 2 4" xfId="28019" xr:uid="{55EE0CEC-A5EA-487D-8B1E-5F9C15092182}"/>
    <cellStyle name="Comma 3 7 2 5" xfId="28020" xr:uid="{4265131D-A013-4435-B0A9-6F6A7A894F34}"/>
    <cellStyle name="Comma 3 7 3" xfId="7950" xr:uid="{997FED4D-29ED-4003-87F0-CBE2868E9547}"/>
    <cellStyle name="Comma 3 7 4" xfId="28021" xr:uid="{236110F8-7730-4F2E-BB2C-00E68EB7EC3F}"/>
    <cellStyle name="Comma 3 7 5" xfId="28022" xr:uid="{DF76EA78-AE03-44B6-A7AB-16558F879C9E}"/>
    <cellStyle name="Comma 3 7 6" xfId="28023" xr:uid="{C0CD1503-EC14-40FC-9CCC-BA10DA8A4BE2}"/>
    <cellStyle name="Comma 3 7 7" xfId="42631" xr:uid="{924A7987-3909-4586-B2CC-5FF1E28AD27B}"/>
    <cellStyle name="Comma 3 7 8" xfId="43780" xr:uid="{0CADCA79-780E-4E44-9EAF-F93826638EDE}"/>
    <cellStyle name="Comma 3 8" xfId="7951" xr:uid="{137782E1-ED8D-4B8F-AC5A-9B3AB71A93A4}"/>
    <cellStyle name="Comma 3 8 2" xfId="7952" xr:uid="{529D511A-191E-4419-BACB-CFF35716B3B9}"/>
    <cellStyle name="Comma 3 8 2 2" xfId="7953" xr:uid="{6B1841DB-DF2C-49E8-A9DA-0202F8B9C68D}"/>
    <cellStyle name="Comma 3 8 2 3" xfId="28024" xr:uid="{2FD69239-9C04-4D70-8AD5-FB96585A4508}"/>
    <cellStyle name="Comma 3 8 2 4" xfId="28025" xr:uid="{7477AC9E-D36A-4A97-A45F-628BF4E4E1A0}"/>
    <cellStyle name="Comma 3 8 2 5" xfId="28026" xr:uid="{D9593811-5499-4282-A877-B004FF3C3FA1}"/>
    <cellStyle name="Comma 3 8 3" xfId="7954" xr:uid="{80C91E16-3440-45EE-9877-1391974BA681}"/>
    <cellStyle name="Comma 3 8 4" xfId="28027" xr:uid="{EB47E992-8611-48EC-ABC2-FB629086B838}"/>
    <cellStyle name="Comma 3 8 5" xfId="28028" xr:uid="{0591044A-39B6-473D-ACF9-9B9C0F9FF86A}"/>
    <cellStyle name="Comma 3 8 6" xfId="28029" xr:uid="{CF3BC2F2-7F54-4EA1-B90D-8FEE19794D68}"/>
    <cellStyle name="Comma 3 8 7" xfId="42632" xr:uid="{44A37FFD-C551-43F0-8320-84745232263C}"/>
    <cellStyle name="Comma 3 8 8" xfId="43781" xr:uid="{403DAEC3-F567-4C04-A2A3-58410976AB8F}"/>
    <cellStyle name="Comma 3 9" xfId="7955" xr:uid="{B3CDADC4-1573-498C-8F89-DCE4143CA3FE}"/>
    <cellStyle name="Comma 3 9 2" xfId="7956" xr:uid="{AE17EA1A-7FF7-4815-AE20-EBF34AA2669A}"/>
    <cellStyle name="Comma 3 9 2 2" xfId="7957" xr:uid="{D50FD563-7E20-4CAA-AF42-495594DFDB02}"/>
    <cellStyle name="Comma 3 9 2 3" xfId="28030" xr:uid="{20FF9D18-4813-4F60-8897-82F4279CC807}"/>
    <cellStyle name="Comma 3 9 3" xfId="7958" xr:uid="{3500FFA9-2462-47D0-A498-5F956EB010CB}"/>
    <cellStyle name="Comma 3 9 4" xfId="28031" xr:uid="{1CA7EBFE-806E-43E7-BB85-9747ADC3D8A3}"/>
    <cellStyle name="Comma 3 9 5" xfId="28032" xr:uid="{B061A106-C39A-4324-A7FC-989493F1FA87}"/>
    <cellStyle name="Comma 3 9 6" xfId="28033" xr:uid="{60C6A9F4-2B94-452D-B51B-F863249FBC15}"/>
    <cellStyle name="Comma 3 9 7" xfId="42633" xr:uid="{93E8C51E-82DE-4517-A98B-C7EBA34A730C}"/>
    <cellStyle name="Comma 3 9 8" xfId="43782" xr:uid="{3AE87024-1842-436B-B49C-4839ACCE2D9F}"/>
    <cellStyle name="Comma 30" xfId="7959" xr:uid="{F24DDD46-532A-4888-A99A-CF1C15917183}"/>
    <cellStyle name="Comma 30 2" xfId="7960" xr:uid="{CFB5034B-E8E3-40A3-A3D7-A4E098BBEE0D}"/>
    <cellStyle name="Comma 30 2 2" xfId="28034" xr:uid="{0430336F-C2AE-437F-A004-C3ABA7FCB6DA}"/>
    <cellStyle name="Comma 30 3" xfId="28035" xr:uid="{6C6A51D4-FE48-4E4C-A775-BB4D72A96D25}"/>
    <cellStyle name="Comma 31" xfId="7961" xr:uid="{5AE5DD7D-FC0C-4E83-AFA6-38EFC3DCAA95}"/>
    <cellStyle name="Comma 31 2" xfId="7962" xr:uid="{A70AAF9E-71E5-48C2-AB47-5E47793E1106}"/>
    <cellStyle name="Comma 31 2 2" xfId="28036" xr:uid="{9D1D1EC2-9F7D-4269-8A0F-A6A31D4F8BC1}"/>
    <cellStyle name="Comma 31 3" xfId="28037" xr:uid="{C610B6A3-1FCA-4050-8127-37AFCE77303B}"/>
    <cellStyle name="Comma 32" xfId="7963" xr:uid="{26E8A376-0280-4CA8-B5D6-5B4C7F31B13F}"/>
    <cellStyle name="Comma 33" xfId="43491" xr:uid="{F40A2FEB-E15B-48F1-861C-1AB0EACE74AA}"/>
    <cellStyle name="Comma 34" xfId="43969" xr:uid="{504540F8-9CCC-47EA-B617-AA03FD494BBB}"/>
    <cellStyle name="Comma 35" xfId="45766" xr:uid="{435B7195-D63C-47B9-B7B2-A55A6FCE4C58}"/>
    <cellStyle name="Comma 36" xfId="45787" xr:uid="{78F90343-5AFA-4EFA-880F-B73E79303A37}"/>
    <cellStyle name="Comma 37" xfId="45811" xr:uid="{929471AD-9DB3-4083-82DA-FEF2C568E07A}"/>
    <cellStyle name="Comma 38" xfId="45953" xr:uid="{65887162-5C18-4442-A17C-04EA6F784866}"/>
    <cellStyle name="Comma 39" xfId="45955" xr:uid="{9A589239-30BC-4170-A799-6187B525CFA1}"/>
    <cellStyle name="Comma 4" xfId="34" xr:uid="{011B4DE9-D370-4976-8613-B816C8A00FB9}"/>
    <cellStyle name="Comma 4 10" xfId="7965" xr:uid="{6961C7E4-1CD1-436F-B8DE-FD941D0189CC}"/>
    <cellStyle name="Comma 4 10 2" xfId="7966" xr:uid="{6F11325D-6BFC-4675-8D1F-D0EFF3BC0B3C}"/>
    <cellStyle name="Comma 4 10 2 2" xfId="7967" xr:uid="{AB4D861F-D252-49D8-BB24-289B507DAC74}"/>
    <cellStyle name="Comma 4 10 3" xfId="7968" xr:uid="{0C426CBC-F915-4E30-B41A-237C9F1DD1D5}"/>
    <cellStyle name="Comma 4 10 4" xfId="28038" xr:uid="{65DA686D-0015-4346-9662-D25B6247A5CA}"/>
    <cellStyle name="Comma 4 10 5" xfId="28039" xr:uid="{1AB8CC10-37FD-434F-81E1-7069601B28AC}"/>
    <cellStyle name="Comma 4 11" xfId="7969" xr:uid="{E746D76D-C9BB-441A-ACA0-91ECB12600FB}"/>
    <cellStyle name="Comma 4 11 2" xfId="7970" xr:uid="{280A8382-A4FF-4950-9669-9EDBC7749DC4}"/>
    <cellStyle name="Comma 4 11 2 2" xfId="7971" xr:uid="{3F501FD8-860D-46C4-B7AE-47FE72A316B3}"/>
    <cellStyle name="Comma 4 11 3" xfId="7972" xr:uid="{02FEC6B8-53C5-465E-8300-0AF60A28638F}"/>
    <cellStyle name="Comma 4 11 4" xfId="28040" xr:uid="{92A6B47C-CCB8-418B-9810-C628C46B1C67}"/>
    <cellStyle name="Comma 4 12" xfId="7973" xr:uid="{66B90113-90D9-48A5-9F24-DEBBA73A1476}"/>
    <cellStyle name="Comma 4 12 2" xfId="7974" xr:uid="{7094E0ED-FB68-42B3-BD2C-CCBB3D689C89}"/>
    <cellStyle name="Comma 4 12 2 2" xfId="28041" xr:uid="{73781672-B326-4EA6-8C5A-3F65878AD52F}"/>
    <cellStyle name="Comma 4 12 3" xfId="28042" xr:uid="{FF7B12D5-F5A9-4AA6-9ACF-293C630B46CD}"/>
    <cellStyle name="Comma 4 13" xfId="7975" xr:uid="{73F250B2-AE1C-464F-9C1D-55AB61D48942}"/>
    <cellStyle name="Comma 4 13 2" xfId="7976" xr:uid="{7E7129EA-0C51-4580-8CD3-2CE21228DD1B}"/>
    <cellStyle name="Comma 4 14" xfId="7977" xr:uid="{BF217E9A-888E-437B-B302-7D5E108121F1}"/>
    <cellStyle name="Comma 4 14 2" xfId="28043" xr:uid="{4BA165E5-3B0F-4EBA-872F-BFFAB239D7E2}"/>
    <cellStyle name="Comma 4 15" xfId="7978" xr:uid="{83B98C2A-6164-4F89-BACD-4D0DD25534F8}"/>
    <cellStyle name="Comma 4 16" xfId="7979" xr:uid="{B63DB12E-E215-4B3D-B4CF-683FF5AFA2FB}"/>
    <cellStyle name="Comma 4 17" xfId="28044" xr:uid="{DEEF9AEF-19D3-40A4-98C6-8A9C3594433D}"/>
    <cellStyle name="Comma 4 18" xfId="28045" xr:uid="{ED33D981-6A8A-4586-BDD4-9A497CC4DD0D}"/>
    <cellStyle name="Comma 4 19" xfId="28046" xr:uid="{7656FB4B-685A-4D75-AE7C-E431D46DC4B4}"/>
    <cellStyle name="Comma 4 2" xfId="7980" xr:uid="{A26581E5-D064-4EA7-A5A3-449815F87328}"/>
    <cellStyle name="Comma 4 2 10" xfId="28047" xr:uid="{470575BA-38C5-472B-86CE-5CEE3AEEC5D2}"/>
    <cellStyle name="Comma 4 2 11" xfId="42635" xr:uid="{9422E593-25B7-4D02-A40F-EF801B3D861E}"/>
    <cellStyle name="Comma 4 2 12" xfId="45924" xr:uid="{23922792-5E98-48F9-BB98-2C46F5523021}"/>
    <cellStyle name="Comma 4 2 2" xfId="7981" xr:uid="{0198AE33-E61E-4195-9251-AD43B1345CED}"/>
    <cellStyle name="Comma 4 2 2 2" xfId="7982" xr:uid="{34E58391-1603-4A1F-8734-0BC0EF74B118}"/>
    <cellStyle name="Comma 4 2 2 2 2" xfId="28048" xr:uid="{62F720F1-1AAF-4715-A490-5C593DD25CF7}"/>
    <cellStyle name="Comma 4 2 2 3" xfId="28049" xr:uid="{812B688C-7ECE-42DB-BF17-EF16ABF0D653}"/>
    <cellStyle name="Comma 4 2 2 4" xfId="28050" xr:uid="{D7EED479-59E0-449A-BD00-81D703C87455}"/>
    <cellStyle name="Comma 4 2 2 5" xfId="28051" xr:uid="{A24F3C85-E1A5-4747-9113-AE76D81B5E83}"/>
    <cellStyle name="Comma 4 2 2 6" xfId="28052" xr:uid="{B1F130A1-4D8F-4AB0-8732-5597A52DB060}"/>
    <cellStyle name="Comma 4 2 2 7" xfId="42636" xr:uid="{09EB39E3-77EE-4634-80FF-0FD79A28DCDC}"/>
    <cellStyle name="Comma 4 2 2 8" xfId="43784" xr:uid="{B317663D-0462-4C2B-86ED-D9495FE9FE99}"/>
    <cellStyle name="Comma 4 2 2 9" xfId="45934" xr:uid="{6CE76194-C9F0-41F4-8B94-3DF2E651F122}"/>
    <cellStyle name="Comma 4 2 3" xfId="7983" xr:uid="{A32031A3-5E35-4288-9E52-921680E901BF}"/>
    <cellStyle name="Comma 4 2 3 2" xfId="28053" xr:uid="{6AAA3F56-2854-4C9A-B42A-3AB8189F21C9}"/>
    <cellStyle name="Comma 4 2 3 2 2" xfId="28054" xr:uid="{D40060C9-311B-413A-9CD2-271819870B63}"/>
    <cellStyle name="Comma 4 2 3 3" xfId="28055" xr:uid="{3F98B120-1E12-430E-82A9-211C03B6E9D9}"/>
    <cellStyle name="Comma 4 2 4" xfId="7984" xr:uid="{4B446457-2264-40B2-BBF7-AFA26A14F996}"/>
    <cellStyle name="Comma 4 2 4 2" xfId="28056" xr:uid="{824A1F4C-F75E-405E-8225-F56B1B3267C3}"/>
    <cellStyle name="Comma 4 2 5" xfId="7985" xr:uid="{9042473B-1A76-49AB-947C-6A2FCC683E5D}"/>
    <cellStyle name="Comma 4 2 5 2" xfId="28057" xr:uid="{DEBBB03A-4BFF-41A2-8720-64598B54D32F}"/>
    <cellStyle name="Comma 4 2 6" xfId="28058" xr:uid="{4479C9F0-510A-492F-A3E8-3C41D19D7B08}"/>
    <cellStyle name="Comma 4 2 7" xfId="28059" xr:uid="{061F04E3-4BBF-47EB-A486-277FDEDE29E4}"/>
    <cellStyle name="Comma 4 2 8" xfId="28060" xr:uid="{90A7CEA7-2EA4-4728-AA5D-3970E56D4FA9}"/>
    <cellStyle name="Comma 4 2 9" xfId="28061" xr:uid="{345CD78E-B314-4A87-992B-1EFB9612AEE6}"/>
    <cellStyle name="Comma 4 20" xfId="42634" xr:uid="{331671EE-8CAE-4AA2-90CD-274234099AD6}"/>
    <cellStyle name="Comma 4 21" xfId="43783" xr:uid="{BA1B3E8E-8E0A-45D5-9D08-EBBCCA64D05A}"/>
    <cellStyle name="Comma 4 22" xfId="7964" xr:uid="{1BB3B2AB-877A-421B-9B01-2B6233EE6612}"/>
    <cellStyle name="Comma 4 23" xfId="45913" xr:uid="{C1088635-4317-4460-B889-FB15623B777E}"/>
    <cellStyle name="Comma 4 3" xfId="7986" xr:uid="{85C92CF1-21F6-4FEE-988C-ABEABBFFDF37}"/>
    <cellStyle name="Comma 4 3 10" xfId="42637" xr:uid="{77B594D4-4E4E-4AC7-BD14-E7F7EE0B5E02}"/>
    <cellStyle name="Comma 4 3 11" xfId="43785" xr:uid="{51790817-975B-44A2-A2BE-24C1BC0CEBBE}"/>
    <cellStyle name="Comma 4 3 2" xfId="7987" xr:uid="{5F97CE80-D25D-4853-B2A6-0A8886AD0314}"/>
    <cellStyle name="Comma 4 3 2 2" xfId="7988" xr:uid="{7DD8152B-5284-4F76-86D0-6C183CED82AD}"/>
    <cellStyle name="Comma 4 3 2 2 2" xfId="28062" xr:uid="{200815B9-AAC4-4944-BA3C-7A5927FDB2BA}"/>
    <cellStyle name="Comma 4 3 2 3" xfId="28063" xr:uid="{B346F09F-287E-46C7-B734-BB5BDB1F692E}"/>
    <cellStyle name="Comma 4 3 2 4" xfId="28064" xr:uid="{D2F14EDD-FF5E-4FBB-AADD-9B49396B373C}"/>
    <cellStyle name="Comma 4 3 2 5" xfId="28065" xr:uid="{C240EA4F-7504-4BEA-93CA-3D69DF64CE17}"/>
    <cellStyle name="Comma 4 3 2 6" xfId="28066" xr:uid="{B4881621-3DBA-49DE-8328-43A4ED2EAE3D}"/>
    <cellStyle name="Comma 4 3 3" xfId="7989" xr:uid="{76E4C4F7-E758-427C-8575-B6C04EF286D8}"/>
    <cellStyle name="Comma 4 3 3 2" xfId="28067" xr:uid="{CB6C65D2-CD18-46CF-A427-DD325BA0C974}"/>
    <cellStyle name="Comma 4 3 4" xfId="7990" xr:uid="{07512532-82EB-43DF-8FE4-055917C6A1D1}"/>
    <cellStyle name="Comma 4 3 4 2" xfId="28068" xr:uid="{37F3A426-0606-4B52-8442-F79F46480112}"/>
    <cellStyle name="Comma 4 3 5" xfId="28069" xr:uid="{3C534E53-6B03-4E17-9E4A-E9A383941B57}"/>
    <cellStyle name="Comma 4 3 6" xfId="28070" xr:uid="{4033EDFB-B886-4E3E-A3BE-3652B359D68B}"/>
    <cellStyle name="Comma 4 3 7" xfId="28071" xr:uid="{55940B53-5574-4C66-8151-3B8A5CFA41D6}"/>
    <cellStyle name="Comma 4 3 8" xfId="28072" xr:uid="{9B9BCAE0-75C8-4B4D-B126-23C0048ACCD4}"/>
    <cellStyle name="Comma 4 3 9" xfId="28073" xr:uid="{7C6781B8-8818-469E-92BD-EB8DF304E2BC}"/>
    <cellStyle name="Comma 4 4" xfId="7991" xr:uid="{D9DD9ECB-60EF-4C44-8B8F-72919FA826A7}"/>
    <cellStyle name="Comma 4 4 10" xfId="42638" xr:uid="{71F8E711-5D8E-43ED-B545-5150CA541256}"/>
    <cellStyle name="Comma 4 4 11" xfId="43786" xr:uid="{EC995E37-68FC-464B-B615-A303379F2395}"/>
    <cellStyle name="Comma 4 4 2" xfId="7992" xr:uid="{80B6488B-4919-4150-A20D-E15CED79F9DF}"/>
    <cellStyle name="Comma 4 4 2 2" xfId="7993" xr:uid="{3E119AC8-8312-4672-95AF-3F447CB4B943}"/>
    <cellStyle name="Comma 4 4 2 2 2" xfId="28074" xr:uid="{3516D669-8A42-4081-A38E-4E03FA86CC05}"/>
    <cellStyle name="Comma 4 4 2 3" xfId="28075" xr:uid="{9B8970C3-D380-4337-A968-6478587BAB24}"/>
    <cellStyle name="Comma 4 4 2 4" xfId="28076" xr:uid="{1C29D716-2E20-408C-95F6-AFBA405CCE48}"/>
    <cellStyle name="Comma 4 4 2 5" xfId="28077" xr:uid="{11ED965A-9EB1-4100-A6DC-9F95196BDB35}"/>
    <cellStyle name="Comma 4 4 2 6" xfId="28078" xr:uid="{1A6E8352-F940-401A-B4C3-B974D1BBBB5C}"/>
    <cellStyle name="Comma 4 4 3" xfId="7994" xr:uid="{764E01D0-07FD-4909-AADD-D2018D0343F1}"/>
    <cellStyle name="Comma 4 4 3 2" xfId="28079" xr:uid="{C435E0B4-8794-443E-80EA-8E7710DAA88C}"/>
    <cellStyle name="Comma 4 4 4" xfId="7995" xr:uid="{746A58A7-AE9A-470C-B533-EFD53FD6685B}"/>
    <cellStyle name="Comma 4 4 4 2" xfId="28080" xr:uid="{07E24D90-91EE-4240-919B-DC5DB355293E}"/>
    <cellStyle name="Comma 4 4 5" xfId="28081" xr:uid="{D01B11E3-E421-40C1-821A-55873A25109C}"/>
    <cellStyle name="Comma 4 4 6" xfId="28082" xr:uid="{6D4A16FC-9971-4179-BD33-331B09789795}"/>
    <cellStyle name="Comma 4 4 7" xfId="28083" xr:uid="{1C0F0722-D6B0-4B78-A8F0-1FE8BB6E05FA}"/>
    <cellStyle name="Comma 4 4 8" xfId="28084" xr:uid="{99278819-7881-4F60-BDB7-EEF4557CE008}"/>
    <cellStyle name="Comma 4 4 9" xfId="28085" xr:uid="{6D6B0B87-8F86-4B38-93BE-2372773364A7}"/>
    <cellStyle name="Comma 4 5" xfId="7996" xr:uid="{FA93496D-B855-4E83-B7E4-A21862E261A9}"/>
    <cellStyle name="Comma 4 5 10" xfId="43787" xr:uid="{B0F63B45-2F00-4730-A0EF-7781EA1F116C}"/>
    <cellStyle name="Comma 4 5 2" xfId="7997" xr:uid="{B58761AB-1B68-4642-B387-C4D28A54CC8F}"/>
    <cellStyle name="Comma 4 5 2 2" xfId="7998" xr:uid="{FD411B80-D9E6-4D7B-9368-A562CF862DCB}"/>
    <cellStyle name="Comma 4 5 2 2 2" xfId="28086" xr:uid="{BE19301E-BFAF-4024-87A9-D4D5B34D0BCB}"/>
    <cellStyle name="Comma 4 5 2 3" xfId="28087" xr:uid="{55EAE0A8-0010-4212-A348-1B4B8D133395}"/>
    <cellStyle name="Comma 4 5 2 4" xfId="28088" xr:uid="{15F382D5-FCEC-4765-9EC7-90369365D895}"/>
    <cellStyle name="Comma 4 5 2 5" xfId="28089" xr:uid="{625D129A-5191-4CDF-881B-C9BEA09D3243}"/>
    <cellStyle name="Comma 4 5 2 6" xfId="28090" xr:uid="{85A90853-7065-42E6-BF05-88932E19D89C}"/>
    <cellStyle name="Comma 4 5 3" xfId="7999" xr:uid="{6A12F381-760A-4168-8781-0B766D6CB964}"/>
    <cellStyle name="Comma 4 5 3 2" xfId="28091" xr:uid="{CA55F9B0-DBA0-4B92-938F-3AC85D0B7931}"/>
    <cellStyle name="Comma 4 5 4" xfId="8000" xr:uid="{7EE18AC6-AF06-4CDD-8E77-C120B8A80D68}"/>
    <cellStyle name="Comma 4 5 5" xfId="28092" xr:uid="{0BC3B884-945C-4835-BD5D-5A99C1E496F0}"/>
    <cellStyle name="Comma 4 5 6" xfId="28093" xr:uid="{0238B225-2B50-4760-A86B-9A2BF8862E31}"/>
    <cellStyle name="Comma 4 5 7" xfId="28094" xr:uid="{A8CC591C-E65E-4F36-8D6C-05EB3E2206AA}"/>
    <cellStyle name="Comma 4 5 8" xfId="28095" xr:uid="{A6FCE04D-2895-4408-90E2-B64EFDD8676E}"/>
    <cellStyle name="Comma 4 5 9" xfId="42639" xr:uid="{F982B046-AA4E-417B-BE4E-07612C90E999}"/>
    <cellStyle name="Comma 4 6" xfId="8001" xr:uid="{6F8C2660-B44A-43D2-BED2-556BF25DD717}"/>
    <cellStyle name="Comma 4 6 2" xfId="8002" xr:uid="{4A12D612-6A3A-4FAB-9240-24DB249BE5F9}"/>
    <cellStyle name="Comma 4 6 2 2" xfId="8003" xr:uid="{5CAAE66B-8CB5-49C3-9C02-00284E8238A6}"/>
    <cellStyle name="Comma 4 6 2 2 2" xfId="28096" xr:uid="{5EBAD690-E850-41CE-BC8B-3730B34B06ED}"/>
    <cellStyle name="Comma 4 6 2 3" xfId="28097" xr:uid="{C547DC4E-3BDE-4D52-BA6B-2A37F44A83A6}"/>
    <cellStyle name="Comma 4 6 2 4" xfId="28098" xr:uid="{332D38F2-975F-4F40-ADA8-3E90581BDFEF}"/>
    <cellStyle name="Comma 4 6 2 5" xfId="28099" xr:uid="{D0F4FF9F-15B8-476A-9953-92A8DEA025DF}"/>
    <cellStyle name="Comma 4 6 2 6" xfId="28100" xr:uid="{AD3AE75B-7C90-4D71-9CF9-69F56487469B}"/>
    <cellStyle name="Comma 4 6 3" xfId="8004" xr:uid="{29159F8F-24CC-4830-A21D-74BD27F769C7}"/>
    <cellStyle name="Comma 4 6 3 2" xfId="28101" xr:uid="{4C7461CD-0101-46EB-A0BD-9E5B78B38FFB}"/>
    <cellStyle name="Comma 4 6 4" xfId="28102" xr:uid="{744116B0-FE49-41B7-A2A4-9A698D0737A8}"/>
    <cellStyle name="Comma 4 6 5" xfId="28103" xr:uid="{6A394A04-2203-42F8-8F87-038763E43A30}"/>
    <cellStyle name="Comma 4 6 6" xfId="28104" xr:uid="{6AE63287-241F-4D53-B5CE-078BF3AAAF1E}"/>
    <cellStyle name="Comma 4 6 7" xfId="28105" xr:uid="{DE9E972C-CF16-4E7F-8F5C-0EB3B203FD0C}"/>
    <cellStyle name="Comma 4 6 8" xfId="42640" xr:uid="{C60122A7-8FA1-4621-8B95-A3E4FE295541}"/>
    <cellStyle name="Comma 4 6 9" xfId="43788" xr:uid="{548F4CFC-4478-46C8-A0AE-EF50C0CC4F70}"/>
    <cellStyle name="Comma 4 7" xfId="8005" xr:uid="{937A1047-2CBC-4507-8448-54A23E73A9AD}"/>
    <cellStyle name="Comma 4 7 2" xfId="8006" xr:uid="{1C43A07D-436A-4E9E-A12D-90CBB097BF30}"/>
    <cellStyle name="Comma 4 7 2 2" xfId="8007" xr:uid="{159F791E-6C26-41B5-A178-5709B285BA83}"/>
    <cellStyle name="Comma 4 7 2 3" xfId="28106" xr:uid="{DC89D414-EEFF-4E99-8E71-FF5BC321FEFA}"/>
    <cellStyle name="Comma 4 7 2 4" xfId="28107" xr:uid="{6C1A0258-7B43-4AF6-85BD-B24B0812B024}"/>
    <cellStyle name="Comma 4 7 2 5" xfId="28108" xr:uid="{4AABA208-8C69-4AC0-8C53-5B123F9B1E18}"/>
    <cellStyle name="Comma 4 7 3" xfId="8008" xr:uid="{E3961B52-79D2-439E-8FCB-1EAD05B2EBFF}"/>
    <cellStyle name="Comma 4 7 4" xfId="28109" xr:uid="{AF09A7A3-F15C-4EA7-A810-D32AC0339811}"/>
    <cellStyle name="Comma 4 7 5" xfId="28110" xr:uid="{372B979D-A2EB-4393-8E8E-5130742B6B38}"/>
    <cellStyle name="Comma 4 7 6" xfId="28111" xr:uid="{03E0A4EB-846E-49B3-B6BE-058984DB6480}"/>
    <cellStyle name="Comma 4 7 7" xfId="42641" xr:uid="{E5361C17-59F7-4BBE-906B-40B69FB5D8F8}"/>
    <cellStyle name="Comma 4 7 8" xfId="43789" xr:uid="{4EC7066F-A90E-405E-8221-646D7EB4975B}"/>
    <cellStyle name="Comma 4 8" xfId="8009" xr:uid="{6CE07FA0-A465-4352-ACC4-DBE63D5BA510}"/>
    <cellStyle name="Comma 4 8 2" xfId="8010" xr:uid="{F0B10B95-29B9-4AA8-A1EF-0EED7988246C}"/>
    <cellStyle name="Comma 4 8 2 2" xfId="8011" xr:uid="{E1253475-0247-4813-A423-AAA3BB8C22E2}"/>
    <cellStyle name="Comma 4 8 2 3" xfId="28112" xr:uid="{D0EB757B-9443-456E-9C7A-EAFED1784A3D}"/>
    <cellStyle name="Comma 4 8 2 4" xfId="28113" xr:uid="{BED1B974-AB27-4687-8986-56E263E0F827}"/>
    <cellStyle name="Comma 4 8 2 5" xfId="28114" xr:uid="{BC54E906-B219-43A9-8075-BC1869C31E54}"/>
    <cellStyle name="Comma 4 8 3" xfId="8012" xr:uid="{55D81630-1FA1-4C24-B0AA-CFC51B8BF1A2}"/>
    <cellStyle name="Comma 4 8 4" xfId="28115" xr:uid="{323D97AF-7688-4692-9650-D99B274AEFC7}"/>
    <cellStyle name="Comma 4 8 5" xfId="28116" xr:uid="{7F276C2E-AC91-4B67-8017-9D88BF9E0A5C}"/>
    <cellStyle name="Comma 4 8 6" xfId="28117" xr:uid="{04AF230F-DC1E-402D-A9FF-C2D301D13CAE}"/>
    <cellStyle name="Comma 4 8 7" xfId="42642" xr:uid="{05823859-F32E-41D7-AB32-ADEA33E0A8B2}"/>
    <cellStyle name="Comma 4 8 8" xfId="43790" xr:uid="{4F676570-754B-4B0E-A87B-C12B2800207D}"/>
    <cellStyle name="Comma 4 9" xfId="8013" xr:uid="{1E0859B7-DFF7-47A8-9246-7AAA470A049C}"/>
    <cellStyle name="Comma 4 9 2" xfId="8014" xr:uid="{CC283B41-4F60-469E-B3AC-691F45C854CC}"/>
    <cellStyle name="Comma 4 9 2 2" xfId="8015" xr:uid="{6AF1FF50-9BAC-4F1E-B153-AC61C3434897}"/>
    <cellStyle name="Comma 4 9 2 3" xfId="28118" xr:uid="{F61CD9B2-2302-4A05-838E-0EF2950AA312}"/>
    <cellStyle name="Comma 4 9 3" xfId="8016" xr:uid="{EF5C76EB-CB12-4D28-BBC9-8DAE631B2110}"/>
    <cellStyle name="Comma 4 9 4" xfId="28119" xr:uid="{6B30232B-3BA3-47C1-BFE0-DEC140DD9CD9}"/>
    <cellStyle name="Comma 4 9 5" xfId="28120" xr:uid="{607FD39B-4FFE-4F75-9D6E-F95DB2001335}"/>
    <cellStyle name="Comma 4 9 6" xfId="28121" xr:uid="{8EE2017C-1C0F-423E-9E50-58B1C0DDB99C}"/>
    <cellStyle name="Comma 4 9 7" xfId="42643" xr:uid="{7819FDAC-3D9B-4F20-A21C-AA8DD334038E}"/>
    <cellStyle name="Comma 4 9 8" xfId="43791" xr:uid="{B65D48F1-7FF7-4CF8-8946-B9FE585A4C36}"/>
    <cellStyle name="Comma 40" xfId="45958" xr:uid="{C450AD56-92F7-4D1A-9A1D-9FCE4D99CA2B}"/>
    <cellStyle name="Comma 5" xfId="63" xr:uid="{432C80B1-5EED-4B75-A3A4-9809B4EB9307}"/>
    <cellStyle name="Comma 5 10" xfId="8018" xr:uid="{7443011E-4F4C-4F48-A0D6-726487238B6F}"/>
    <cellStyle name="Comma 5 10 2" xfId="8019" xr:uid="{660514BE-963E-40F3-B0D7-9041877CE94D}"/>
    <cellStyle name="Comma 5 10 2 2" xfId="8020" xr:uid="{948947D8-324B-47E1-9369-AA2FD3F61243}"/>
    <cellStyle name="Comma 5 10 3" xfId="8021" xr:uid="{6B613FB7-6369-4407-BBD3-E166585C011D}"/>
    <cellStyle name="Comma 5 10 4" xfId="28122" xr:uid="{4AB229C4-2DAE-441D-A3BE-7D8A5C4DD37C}"/>
    <cellStyle name="Comma 5 11" xfId="8022" xr:uid="{B9F15F1F-8A8D-4385-B98F-0E31ABA13402}"/>
    <cellStyle name="Comma 5 11 2" xfId="8023" xr:uid="{EFF19495-2C91-48DB-BFA5-1D8F97A94C98}"/>
    <cellStyle name="Comma 5 11 2 2" xfId="28123" xr:uid="{0DE41293-695E-4A86-94D3-9557984C8867}"/>
    <cellStyle name="Comma 5 11 3" xfId="28124" xr:uid="{9925A87E-2D88-4E60-9787-E5B316AF9E56}"/>
    <cellStyle name="Comma 5 11 4" xfId="28125" xr:uid="{2F15A35B-6DE2-477D-9550-385B446AAF90}"/>
    <cellStyle name="Comma 5 12" xfId="8024" xr:uid="{5156FA8C-1611-477C-8DAE-A4CFF0A79F38}"/>
    <cellStyle name="Comma 5 12 2" xfId="8025" xr:uid="{6E247AAF-D14D-44C8-B620-74E34994CFCE}"/>
    <cellStyle name="Comma 5 13" xfId="8026" xr:uid="{1054F0B9-8571-46A9-B6CB-99FDD9E35635}"/>
    <cellStyle name="Comma 5 13 2" xfId="28126" xr:uid="{5003B901-5C91-4A43-9B1A-F8D52BF64531}"/>
    <cellStyle name="Comma 5 14" xfId="8027" xr:uid="{A4851B69-CA3A-4FAB-A2F7-C7C0CA49C811}"/>
    <cellStyle name="Comma 5 15" xfId="8028" xr:uid="{0E05CF83-8B6F-41C0-8EF9-AAE70129A65F}"/>
    <cellStyle name="Comma 5 16" xfId="28127" xr:uid="{5BDB9CD2-B552-42F6-870A-A569FA901E58}"/>
    <cellStyle name="Comma 5 17" xfId="28128" xr:uid="{BDC85B09-793C-4169-ADA1-7C6710C5759E}"/>
    <cellStyle name="Comma 5 18" xfId="28129" xr:uid="{ED37E7E2-EC18-4C27-85F5-CD48380579CC}"/>
    <cellStyle name="Comma 5 19" xfId="42644" xr:uid="{B826D61D-E109-418E-A212-F175DA80195B}"/>
    <cellStyle name="Comma 5 2" xfId="8029" xr:uid="{07DF31D7-9ACC-4EC1-B307-EAC2C464BA32}"/>
    <cellStyle name="Comma 5 2 10" xfId="43793" xr:uid="{63F5127F-A53A-4B38-8A69-04D7E5640914}"/>
    <cellStyle name="Comma 5 2 2" xfId="8030" xr:uid="{C855D4B6-C845-4FE4-B02A-4C4CA8C39E6E}"/>
    <cellStyle name="Comma 5 2 2 2" xfId="8031" xr:uid="{DF5A4431-2887-4CBA-A50A-5E43966E755B}"/>
    <cellStyle name="Comma 5 2 2 3" xfId="28130" xr:uid="{486D7055-3A3D-47D3-B0BF-212B87017325}"/>
    <cellStyle name="Comma 5 2 2 4" xfId="28131" xr:uid="{DBD5714D-5BE1-41B1-B505-80D55A453E7C}"/>
    <cellStyle name="Comma 5 2 2 5" xfId="28132" xr:uid="{8D627431-4261-44D3-BBD1-DD477C3CE3BA}"/>
    <cellStyle name="Comma 5 2 3" xfId="8032" xr:uid="{11B45977-4A6F-41AF-9904-2894DB16403D}"/>
    <cellStyle name="Comma 5 2 3 2" xfId="28133" xr:uid="{1F5147BC-07BF-4083-B665-5397EB0D0CCE}"/>
    <cellStyle name="Comma 5 2 4" xfId="8033" xr:uid="{4277962A-5A4C-4152-9B63-A3D304AB88C9}"/>
    <cellStyle name="Comma 5 2 5" xfId="8034" xr:uid="{36553DC5-6F3E-4D27-A28C-D9B66B3BA756}"/>
    <cellStyle name="Comma 5 2 6" xfId="28134" xr:uid="{05D03D3E-0FB9-4F8D-AD38-AF000206ACB7}"/>
    <cellStyle name="Comma 5 2 7" xfId="28135" xr:uid="{A4F321F0-53E2-47BA-B412-AFD864282AC6}"/>
    <cellStyle name="Comma 5 2 8" xfId="28136" xr:uid="{33982384-4F5F-4F6B-97AC-B981783DC68A}"/>
    <cellStyle name="Comma 5 2 9" xfId="42645" xr:uid="{D925AE69-C953-45DF-8F4F-D1E5350BD798}"/>
    <cellStyle name="Comma 5 20" xfId="43792" xr:uid="{6E269035-A183-4480-8732-D3FFDF0D1689}"/>
    <cellStyle name="Comma 5 21" xfId="8017" xr:uid="{40B9FD22-E586-4B91-88D3-1DF851F9743B}"/>
    <cellStyle name="Comma 5 22" xfId="45905" xr:uid="{47EE3158-31F7-4967-9164-5D3FE393FD19}"/>
    <cellStyle name="Comma 5 3" xfId="8035" xr:uid="{2655F07F-6458-456C-9043-0217770A78B8}"/>
    <cellStyle name="Comma 5 3 10" xfId="43794" xr:uid="{A4555D95-9BFF-4FF5-990D-833C88A3318E}"/>
    <cellStyle name="Comma 5 3 2" xfId="8036" xr:uid="{D72B2D0B-F84E-42C8-B421-6693F49465D0}"/>
    <cellStyle name="Comma 5 3 2 2" xfId="8037" xr:uid="{F388CA5B-AE65-4030-BC62-BB57C4AC80BD}"/>
    <cellStyle name="Comma 5 3 2 3" xfId="28137" xr:uid="{CCAFECF6-0667-47E2-B775-C9255BF931DB}"/>
    <cellStyle name="Comma 5 3 2 4" xfId="28138" xr:uid="{816D6498-882C-4E4E-84AE-9AC8CD9E82E3}"/>
    <cellStyle name="Comma 5 3 2 5" xfId="28139" xr:uid="{138D9D3C-8BAF-4018-82AD-8031B97A4755}"/>
    <cellStyle name="Comma 5 3 2 6" xfId="42647" xr:uid="{F091D378-F1EA-4C23-AAA9-6A5A56A1B47F}"/>
    <cellStyle name="Comma 5 3 2 7" xfId="43795" xr:uid="{F4F4A0F2-3CBA-4775-8C1E-9031672CE918}"/>
    <cellStyle name="Comma 5 3 3" xfId="8038" xr:uid="{5234D652-4BF6-42D0-83D5-8120CC532CC7}"/>
    <cellStyle name="Comma 5 3 3 2" xfId="28140" xr:uid="{4AAF7DFB-20C3-4CB9-98BB-D7379ACD7970}"/>
    <cellStyle name="Comma 5 3 3 3" xfId="28141" xr:uid="{4E6820A9-78F4-48F1-8215-986747A158F9}"/>
    <cellStyle name="Comma 5 3 3 4" xfId="28142" xr:uid="{E9718918-1A12-4379-8834-724C0CF59050}"/>
    <cellStyle name="Comma 5 3 4" xfId="8039" xr:uid="{47F65B12-7A96-4CA4-9E03-1D9294F6D21D}"/>
    <cellStyle name="Comma 5 3 5" xfId="28143" xr:uid="{683EA9AC-D6A3-41C5-BCFB-3CFF300D2CBC}"/>
    <cellStyle name="Comma 5 3 6" xfId="28144" xr:uid="{D6920214-DFC7-444C-8CAD-32604577519A}"/>
    <cellStyle name="Comma 5 3 7" xfId="28145" xr:uid="{669E6DE2-7B40-4CBD-865B-26384635D0A6}"/>
    <cellStyle name="Comma 5 3 8" xfId="28146" xr:uid="{BC0877DD-BD5B-42C5-BFCB-69408E971E1C}"/>
    <cellStyle name="Comma 5 3 9" xfId="42646" xr:uid="{B6E9AB74-13E9-4DDC-B6EE-F853F4B54028}"/>
    <cellStyle name="Comma 5 4" xfId="8040" xr:uid="{AB29A83F-F94A-41FB-964F-B78D4293B35B}"/>
    <cellStyle name="Comma 5 4 10" xfId="43796" xr:uid="{A707CC40-6A35-4007-9DCA-BA3453EF92AD}"/>
    <cellStyle name="Comma 5 4 2" xfId="8041" xr:uid="{534F77C2-1967-4D91-B90B-FF2C1B39CF4C}"/>
    <cellStyle name="Comma 5 4 2 2" xfId="8042" xr:uid="{9756ED15-8F0C-43B4-9201-9A5A49849DA7}"/>
    <cellStyle name="Comma 5 4 2 3" xfId="28147" xr:uid="{57C7BEAB-6A4D-4F15-B219-869A16244029}"/>
    <cellStyle name="Comma 5 4 2 4" xfId="28148" xr:uid="{11F35833-C17E-43A6-B46E-B15436DAA4CB}"/>
    <cellStyle name="Comma 5 4 2 5" xfId="28149" xr:uid="{B39973EB-1BC8-46BA-B951-79365108743E}"/>
    <cellStyle name="Comma 5 4 3" xfId="8043" xr:uid="{126BCAFA-F264-4222-85AF-6EAB8F3F2A98}"/>
    <cellStyle name="Comma 5 4 3 2" xfId="28150" xr:uid="{90E16159-5C00-43ED-831E-1AE3C56A471B}"/>
    <cellStyle name="Comma 5 4 4" xfId="8044" xr:uid="{4C2ABA55-345B-4C6F-BB65-2CC576F1616F}"/>
    <cellStyle name="Comma 5 4 5" xfId="28151" xr:uid="{16A358B0-D493-4239-BD31-BEE5650A3D79}"/>
    <cellStyle name="Comma 5 4 6" xfId="28152" xr:uid="{78FA0059-012E-4A3B-B8A0-7E321626124E}"/>
    <cellStyle name="Comma 5 4 7" xfId="28153" xr:uid="{778AB768-6219-43AF-A733-7EA7C86C2BED}"/>
    <cellStyle name="Comma 5 4 8" xfId="28154" xr:uid="{37AE5B36-3282-4579-A539-10D4DF59E126}"/>
    <cellStyle name="Comma 5 4 9" xfId="42648" xr:uid="{89CF3639-9078-4EC4-A46B-1A5F55E00FF0}"/>
    <cellStyle name="Comma 5 5" xfId="8045" xr:uid="{D15D47CD-D3E3-4267-A3A8-311361194C58}"/>
    <cellStyle name="Comma 5 5 2" xfId="8046" xr:uid="{9EE9EF90-CB50-4851-8632-0B1AB57F08CE}"/>
    <cellStyle name="Comma 5 5 2 2" xfId="8047" xr:uid="{BB0153C7-669D-4097-A02D-20A639C0B40A}"/>
    <cellStyle name="Comma 5 5 2 3" xfId="28155" xr:uid="{4A349D6B-E0A2-42B4-9E4C-86DF25597E4B}"/>
    <cellStyle name="Comma 5 5 2 4" xfId="28156" xr:uid="{224B302D-52C0-42F0-AF95-63E3DE71DD28}"/>
    <cellStyle name="Comma 5 5 2 5" xfId="28157" xr:uid="{234D94B9-10F5-4F30-8CE1-C8646D7FA193}"/>
    <cellStyle name="Comma 5 5 3" xfId="8048" xr:uid="{41EE350B-F15A-48A1-8243-FBF546A612A9}"/>
    <cellStyle name="Comma 5 5 4" xfId="8049" xr:uid="{82586E50-3254-4B25-B261-A98EF289257B}"/>
    <cellStyle name="Comma 5 5 5" xfId="28158" xr:uid="{A5D16045-D585-4A91-8FDC-817FDD319B8D}"/>
    <cellStyle name="Comma 5 5 6" xfId="28159" xr:uid="{EBCEA2BF-2311-4173-AAB7-ACB6E8DE9019}"/>
    <cellStyle name="Comma 5 5 7" xfId="28160" xr:uid="{F6558ED9-8367-4289-8129-5E341056E282}"/>
    <cellStyle name="Comma 5 5 8" xfId="42649" xr:uid="{F26ECF6D-26BD-4FF4-A129-313F0FBC5670}"/>
    <cellStyle name="Comma 5 5 9" xfId="43797" xr:uid="{A8CC884C-5F47-4CDA-92D0-1C939C5BBB77}"/>
    <cellStyle name="Comma 5 6" xfId="8050" xr:uid="{6394E617-52C7-4B9D-AE29-4F9B28848C9E}"/>
    <cellStyle name="Comma 5 6 2" xfId="8051" xr:uid="{332B1B36-DC3A-44D0-BC0C-087CDFA3EE3A}"/>
    <cellStyle name="Comma 5 6 2 2" xfId="8052" xr:uid="{EAFAD83A-C940-4AAA-83E6-64A6D94E0AA0}"/>
    <cellStyle name="Comma 5 6 2 3" xfId="28161" xr:uid="{F6DAA5E4-C6ED-4661-A95E-87A2E2DDC429}"/>
    <cellStyle name="Comma 5 6 2 4" xfId="28162" xr:uid="{D345D2E2-FC56-4358-BAEF-0EA64B011F2D}"/>
    <cellStyle name="Comma 5 6 2 5" xfId="28163" xr:uid="{27A08D59-3717-4364-9040-5F45D6D4911C}"/>
    <cellStyle name="Comma 5 6 3" xfId="8053" xr:uid="{A968CF75-F459-4890-84B3-2D8FC70006B6}"/>
    <cellStyle name="Comma 5 6 4" xfId="28164" xr:uid="{FFD84A65-E1BA-45F3-9E28-0D9F34492D7A}"/>
    <cellStyle name="Comma 5 6 5" xfId="28165" xr:uid="{0FAE9CD6-0F09-489B-B973-1236F7197B11}"/>
    <cellStyle name="Comma 5 6 6" xfId="28166" xr:uid="{82C91940-8B05-4195-A4BC-7F5205A9DD41}"/>
    <cellStyle name="Comma 5 6 7" xfId="42650" xr:uid="{4D6E0091-BA0A-43C5-8CC5-3E240CAE4300}"/>
    <cellStyle name="Comma 5 6 8" xfId="43798" xr:uid="{89DE4834-9A80-4B5F-9961-4DB688ABC606}"/>
    <cellStyle name="Comma 5 7" xfId="8054" xr:uid="{AFCA86D6-31E8-44AD-956F-EEBD5062C157}"/>
    <cellStyle name="Comma 5 7 2" xfId="8055" xr:uid="{AAA360DA-05C4-47D5-9C72-8F5859110862}"/>
    <cellStyle name="Comma 5 7 2 2" xfId="8056" xr:uid="{F78E291F-F05D-44DE-A1F1-16E436D21199}"/>
    <cellStyle name="Comma 5 7 2 3" xfId="28167" xr:uid="{C14FF404-566B-4FBC-B7CE-8FC886BE6163}"/>
    <cellStyle name="Comma 5 7 2 4" xfId="28168" xr:uid="{AEBD6C1F-C285-4135-B6A5-68F893010B09}"/>
    <cellStyle name="Comma 5 7 2 5" xfId="28169" xr:uid="{5CA3B6D8-F58C-4F6C-8375-6A8DCB7B7F4E}"/>
    <cellStyle name="Comma 5 7 3" xfId="8057" xr:uid="{4A632F01-5E2E-4F0E-A490-A8907021A3D6}"/>
    <cellStyle name="Comma 5 7 4" xfId="28170" xr:uid="{5545329D-635B-4745-A2D2-CF94476F18B7}"/>
    <cellStyle name="Comma 5 7 5" xfId="28171" xr:uid="{A256625B-CA4F-4AAF-884F-45F2892E8499}"/>
    <cellStyle name="Comma 5 7 6" xfId="28172" xr:uid="{4514A3A1-E154-4805-AA0D-3595DFAA53D1}"/>
    <cellStyle name="Comma 5 7 7" xfId="42651" xr:uid="{3962695B-59AA-4FE4-B89F-63962C775108}"/>
    <cellStyle name="Comma 5 7 8" xfId="43799" xr:uid="{D7442AEE-7D6C-4A5C-9CE1-E0D964D1AC49}"/>
    <cellStyle name="Comma 5 8" xfId="8058" xr:uid="{CF85A2B0-B59D-41F5-B367-5EAD73E497AC}"/>
    <cellStyle name="Comma 5 8 2" xfId="8059" xr:uid="{197EB90F-5525-4B87-BF7C-7A44806A0735}"/>
    <cellStyle name="Comma 5 8 2 2" xfId="8060" xr:uid="{34BA233D-126A-4E91-AB09-FCF9086245AB}"/>
    <cellStyle name="Comma 5 8 2 3" xfId="28173" xr:uid="{5DDFCFC5-1A45-42C8-A485-19769F2C8A0F}"/>
    <cellStyle name="Comma 5 8 2 4" xfId="28174" xr:uid="{7B1AAC00-FE16-4D06-9C1C-7742D0EBAEC9}"/>
    <cellStyle name="Comma 5 8 2 5" xfId="28175" xr:uid="{F101AEF0-EC99-460F-AA74-D94F8E73826E}"/>
    <cellStyle name="Comma 5 8 3" xfId="8061" xr:uid="{0A27168B-CFB2-4566-9F0E-5FBDC4F4493D}"/>
    <cellStyle name="Comma 5 8 4" xfId="28176" xr:uid="{0388094A-D98D-456B-AD79-0D2807770BB2}"/>
    <cellStyle name="Comma 5 8 5" xfId="28177" xr:uid="{62AC2D31-0ADE-4036-8EF5-D205D3438282}"/>
    <cellStyle name="Comma 5 8 6" xfId="28178" xr:uid="{F3B565EF-C0DA-45C8-B892-4D72F79546E8}"/>
    <cellStyle name="Comma 5 8 7" xfId="42652" xr:uid="{9CE66BD6-C877-432E-A8DD-4F19006192DC}"/>
    <cellStyle name="Comma 5 8 8" xfId="43800" xr:uid="{E4BC0785-F920-4CE4-B77B-6E2695311D2B}"/>
    <cellStyle name="Comma 5 9" xfId="8062" xr:uid="{EC934717-DF4C-4ACF-88CF-A7A62A4C0A32}"/>
    <cellStyle name="Comma 5 9 2" xfId="8063" xr:uid="{FD23503D-A445-4303-BCCF-19AF8EB18048}"/>
    <cellStyle name="Comma 5 9 2 2" xfId="8064" xr:uid="{E31DE2FE-F136-4FD5-A056-6EF77CA2757E}"/>
    <cellStyle name="Comma 5 9 2 3" xfId="28179" xr:uid="{6325CB73-4A3D-426A-B9B1-24DAAC71CE53}"/>
    <cellStyle name="Comma 5 9 3" xfId="8065" xr:uid="{85420CDB-E8B3-4623-A82B-DE6E04AADBD5}"/>
    <cellStyle name="Comma 5 9 4" xfId="28180" xr:uid="{0AC73CB5-5969-4565-A074-03F779AAF6F7}"/>
    <cellStyle name="Comma 5 9 5" xfId="28181" xr:uid="{7538AA54-E722-4DF7-A827-9B27F8A462F9}"/>
    <cellStyle name="Comma 5 9 6" xfId="28182" xr:uid="{C8BBD757-DCBB-432D-A283-C2D4C6A8FC17}"/>
    <cellStyle name="Comma 6" xfId="8066" xr:uid="{BA6D4D70-7C74-495E-A1AA-536ECEEE426E}"/>
    <cellStyle name="Comma 6 10" xfId="8067" xr:uid="{CDE4A9F4-16A0-4A6A-85CF-0130535991D9}"/>
    <cellStyle name="Comma 6 10 2" xfId="8068" xr:uid="{043397ED-E84F-4BCC-ACCB-17BEBE06F58C}"/>
    <cellStyle name="Comma 6 10 2 2" xfId="8069" xr:uid="{C2273111-79DE-4FF5-84B4-F82843D89A10}"/>
    <cellStyle name="Comma 6 10 3" xfId="8070" xr:uid="{0A52D1A2-8281-47D1-9951-847800D60C92}"/>
    <cellStyle name="Comma 6 10 4" xfId="28183" xr:uid="{6F0FD96B-BD7B-4038-B720-7CDAB537C4BF}"/>
    <cellStyle name="Comma 6 11" xfId="8071" xr:uid="{1D49EBC3-06C8-47FF-9053-A0FCC2C9EE0E}"/>
    <cellStyle name="Comma 6 11 2" xfId="8072" xr:uid="{593F64DE-6722-403C-9490-17F2A8729575}"/>
    <cellStyle name="Comma 6 12" xfId="8073" xr:uid="{A5A0D6D8-0894-49ED-A53E-22297F93CF56}"/>
    <cellStyle name="Comma 6 12 2" xfId="28184" xr:uid="{9612B297-15B7-444E-9D76-837BB6FBB1F6}"/>
    <cellStyle name="Comma 6 13" xfId="8074" xr:uid="{42A91AD3-CC72-4211-9604-0219ABAECF3B}"/>
    <cellStyle name="Comma 6 14" xfId="8075" xr:uid="{16339B18-170A-4169-851A-8FCD871914A4}"/>
    <cellStyle name="Comma 6 15" xfId="28185" xr:uid="{1135968A-D9FC-4804-B203-662B14C76C45}"/>
    <cellStyle name="Comma 6 16" xfId="28186" xr:uid="{F59EF1D6-366E-42D7-9121-F1E50C2937B7}"/>
    <cellStyle name="Comma 6 17" xfId="28187" xr:uid="{6FC3FFD4-1395-46BD-ABA5-8EE7FFA7924F}"/>
    <cellStyle name="Comma 6 18" xfId="42653" xr:uid="{2A8A9611-88B6-4B26-A408-15E6E73EC642}"/>
    <cellStyle name="Comma 6 19" xfId="43801" xr:uid="{717365F1-74AB-49F1-8613-7F575E2FB72E}"/>
    <cellStyle name="Comma 6 2" xfId="8076" xr:uid="{B15957BF-2A79-469D-A535-550A9CE55B51}"/>
    <cellStyle name="Comma 6 2 10" xfId="42654" xr:uid="{0FF011C1-9E07-4C0B-9550-4E20488F5A65}"/>
    <cellStyle name="Comma 6 2 11" xfId="43802" xr:uid="{FA0F3ABD-F94F-4E32-A440-B16CD7DA2D73}"/>
    <cellStyle name="Comma 6 2 2" xfId="8077" xr:uid="{50D5B2BF-1722-46C3-9C3D-774CA456383B}"/>
    <cellStyle name="Comma 6 2 2 2" xfId="8078" xr:uid="{56EFBCC3-4D67-4712-AEC9-FF056DF9B46D}"/>
    <cellStyle name="Comma 6 2 2 2 2" xfId="28188" xr:uid="{19D175C9-37F5-4FC5-90F2-CD9B57E3BBC6}"/>
    <cellStyle name="Comma 6 2 2 3" xfId="28189" xr:uid="{FB2D345A-AC5B-45C9-868B-4C370C696CF5}"/>
    <cellStyle name="Comma 6 2 2 4" xfId="28190" xr:uid="{938BD6F7-C30A-4C37-93BB-98B58236128E}"/>
    <cellStyle name="Comma 6 2 2 5" xfId="28191" xr:uid="{22CBFF95-CB6F-4E4D-BEEE-D6202B08D658}"/>
    <cellStyle name="Comma 6 2 2 6" xfId="28192" xr:uid="{80105F2C-7058-4C80-AB71-B056CD3814DB}"/>
    <cellStyle name="Comma 6 2 3" xfId="8079" xr:uid="{938AA582-428C-459E-89FD-2C1C83EDF923}"/>
    <cellStyle name="Comma 6 2 3 2" xfId="28193" xr:uid="{04EE3AC8-D4F6-46C7-A610-B13C470427EA}"/>
    <cellStyle name="Comma 6 2 4" xfId="8080" xr:uid="{6F9B6CE6-941E-4AA7-A44F-11AC74B7BAFB}"/>
    <cellStyle name="Comma 6 2 4 2" xfId="28194" xr:uid="{12D50E0F-514B-477E-AA7F-D6AAE829B7AA}"/>
    <cellStyle name="Comma 6 2 5" xfId="8081" xr:uid="{B8D06191-549F-4D36-AF32-1C7E5CF564B6}"/>
    <cellStyle name="Comma 6 2 6" xfId="28195" xr:uid="{46613EF3-52B9-4A3D-AFAE-7B243966BF53}"/>
    <cellStyle name="Comma 6 2 7" xfId="28196" xr:uid="{9EC5D852-CFC2-45D8-8C9D-52A7209502A0}"/>
    <cellStyle name="Comma 6 2 8" xfId="28197" xr:uid="{A68E50E1-E1B4-441E-AD5A-9047189477FB}"/>
    <cellStyle name="Comma 6 2 9" xfId="28198" xr:uid="{3C8FF9B2-8116-4C6B-872D-255F9CFA4793}"/>
    <cellStyle name="Comma 6 3" xfId="8082" xr:uid="{B534C6F1-6128-4938-BE83-8BD7EC89EC98}"/>
    <cellStyle name="Comma 6 3 10" xfId="43803" xr:uid="{D2B9ABB7-5177-45C7-A42E-C903D59ACE1A}"/>
    <cellStyle name="Comma 6 3 2" xfId="8083" xr:uid="{A1940BBE-13AC-4C6C-B8CA-8D399693313A}"/>
    <cellStyle name="Comma 6 3 2 2" xfId="8084" xr:uid="{E5BE8D1B-2CC4-4634-BFC0-E8EFC767E600}"/>
    <cellStyle name="Comma 6 3 2 3" xfId="28199" xr:uid="{E42817DE-7160-459B-A102-CF0B070562B1}"/>
    <cellStyle name="Comma 6 3 2 4" xfId="28200" xr:uid="{9831AFC1-5352-4C1D-9EA0-961BA190E35C}"/>
    <cellStyle name="Comma 6 3 2 5" xfId="28201" xr:uid="{164A0BB3-C917-4C21-A085-F4E54DAA2F1E}"/>
    <cellStyle name="Comma 6 3 3" xfId="8085" xr:uid="{250F95D9-D63E-4B8F-A0C8-2C9D3083DDF2}"/>
    <cellStyle name="Comma 6 3 3 2" xfId="28202" xr:uid="{CDA33831-4767-4FAA-B985-F252EFCF39D4}"/>
    <cellStyle name="Comma 6 3 4" xfId="8086" xr:uid="{F89656A6-8D36-49BE-8501-42FF13FC8050}"/>
    <cellStyle name="Comma 6 3 5" xfId="28203" xr:uid="{00F8C1B6-A88E-4052-8800-A192BED10233}"/>
    <cellStyle name="Comma 6 3 6" xfId="28204" xr:uid="{17041C39-2BF3-458A-8B46-00416F940400}"/>
    <cellStyle name="Comma 6 3 7" xfId="28205" xr:uid="{32911E1B-520C-4CF7-AB5A-A52581D83388}"/>
    <cellStyle name="Comma 6 3 8" xfId="28206" xr:uid="{C6E9281D-2375-41AD-98AD-8415539041D8}"/>
    <cellStyle name="Comma 6 3 9" xfId="42655" xr:uid="{66137384-09AB-4409-A48C-5EBFD693C689}"/>
    <cellStyle name="Comma 6 4" xfId="8087" xr:uid="{0B18078F-3531-4868-BBD9-647CDF328D13}"/>
    <cellStyle name="Comma 6 4 10" xfId="43804" xr:uid="{5C59C575-FCCD-4F75-8887-35FC6D5E8F1B}"/>
    <cellStyle name="Comma 6 4 2" xfId="8088" xr:uid="{EF7EE625-79AA-42A7-8948-CA688AA25D03}"/>
    <cellStyle name="Comma 6 4 2 2" xfId="8089" xr:uid="{2AC58DCA-0458-4377-BA14-65B8D357483A}"/>
    <cellStyle name="Comma 6 4 2 3" xfId="28207" xr:uid="{65D609B5-5BD5-4BCE-936E-27C651FD0103}"/>
    <cellStyle name="Comma 6 4 2 4" xfId="28208" xr:uid="{DBDA9E97-3431-4568-BADA-544173FF1864}"/>
    <cellStyle name="Comma 6 4 2 5" xfId="28209" xr:uid="{ED1FBA5A-3642-4B97-B24F-5BF9BB84831D}"/>
    <cellStyle name="Comma 6 4 3" xfId="8090" xr:uid="{C9328738-A86C-4969-9A0A-6875AF2C5EEE}"/>
    <cellStyle name="Comma 6 4 3 2" xfId="28210" xr:uid="{46FB8F8C-C1BA-4012-BB6A-4F6D9DFE0277}"/>
    <cellStyle name="Comma 6 4 4" xfId="8091" xr:uid="{1B9497B8-53A3-4086-ABF7-0E70A7137EB9}"/>
    <cellStyle name="Comma 6 4 5" xfId="28211" xr:uid="{5A2E2C56-7747-4F83-B773-7D0EBCC04A39}"/>
    <cellStyle name="Comma 6 4 6" xfId="28212" xr:uid="{8753EC2D-E114-4CF0-B9CA-C2F570816DA4}"/>
    <cellStyle name="Comma 6 4 7" xfId="28213" xr:uid="{2515E816-EF69-4B9C-87E4-B82634180637}"/>
    <cellStyle name="Comma 6 4 8" xfId="28214" xr:uid="{92ECB61D-9616-48BF-B3C9-DFC67488D1A9}"/>
    <cellStyle name="Comma 6 4 9" xfId="42656" xr:uid="{A9DECE47-A92D-4C16-8BD5-BAE8E7828E0A}"/>
    <cellStyle name="Comma 6 5" xfId="8092" xr:uid="{5E557D9C-76F4-429D-98E6-B113F59A8C3E}"/>
    <cellStyle name="Comma 6 5 2" xfId="8093" xr:uid="{4F29BF13-2D93-4C19-8EED-95093C18A5BF}"/>
    <cellStyle name="Comma 6 5 2 2" xfId="8094" xr:uid="{C147334E-3EC5-4507-A2ED-3DF35C0AA632}"/>
    <cellStyle name="Comma 6 5 2 3" xfId="28215" xr:uid="{9C8DE7DF-6167-4CF9-8B4A-6630A1E33D68}"/>
    <cellStyle name="Comma 6 5 2 4" xfId="28216" xr:uid="{DC0CA8CF-AF4B-46C1-A6FD-F46F00D5A6B9}"/>
    <cellStyle name="Comma 6 5 2 5" xfId="28217" xr:uid="{E4476D95-19EA-460D-9516-5F2019716681}"/>
    <cellStyle name="Comma 6 5 3" xfId="8095" xr:uid="{FE4192FE-5C11-46AB-AF37-7C49F2B34B42}"/>
    <cellStyle name="Comma 6 5 4" xfId="8096" xr:uid="{98BF4148-401A-4F9A-9F22-65D9E05F26DF}"/>
    <cellStyle name="Comma 6 5 5" xfId="28218" xr:uid="{806772F7-4663-4451-9050-C6A2034C4917}"/>
    <cellStyle name="Comma 6 5 6" xfId="28219" xr:uid="{F6C0AB8B-5BC6-41E4-8954-62DEE7B56C94}"/>
    <cellStyle name="Comma 6 5 7" xfId="28220" xr:uid="{649DE840-B8E3-42A3-A5C8-A7B4E6BBD9AA}"/>
    <cellStyle name="Comma 6 5 8" xfId="42657" xr:uid="{B2B3ED57-CEA7-4483-A6A5-C25217EC562B}"/>
    <cellStyle name="Comma 6 5 9" xfId="43805" xr:uid="{D4CB0653-65BA-4977-A2BF-EFF01AB98F20}"/>
    <cellStyle name="Comma 6 6" xfId="8097" xr:uid="{4EB2772B-4F28-40C3-9158-2E2EEFD44A1A}"/>
    <cellStyle name="Comma 6 6 2" xfId="8098" xr:uid="{A6FAF4B3-8073-4539-B42F-DA8638388AB4}"/>
    <cellStyle name="Comma 6 6 2 2" xfId="8099" xr:uid="{3000599E-5FF1-4358-A688-32FAE40F7F8A}"/>
    <cellStyle name="Comma 6 6 2 3" xfId="28221" xr:uid="{4FC844EB-5E8D-48D9-A2E2-679960B9B074}"/>
    <cellStyle name="Comma 6 6 2 4" xfId="28222" xr:uid="{3802BE6E-A7EA-4BBC-9060-96D82386338E}"/>
    <cellStyle name="Comma 6 6 2 5" xfId="28223" xr:uid="{9271AF35-F4FE-409A-8B5F-6ABC33D5B87A}"/>
    <cellStyle name="Comma 6 6 3" xfId="8100" xr:uid="{403A61E0-5BA4-402B-84A0-D95736EFEB6A}"/>
    <cellStyle name="Comma 6 6 4" xfId="28224" xr:uid="{797A0B7D-6AAC-44DD-ADE9-B50F2C1648FE}"/>
    <cellStyle name="Comma 6 6 5" xfId="28225" xr:uid="{3AECE32F-F180-4F22-871C-638B9894E1A7}"/>
    <cellStyle name="Comma 6 6 6" xfId="28226" xr:uid="{33993FBD-1C2B-490E-8BF9-7F581D44CA6D}"/>
    <cellStyle name="Comma 6 6 7" xfId="42658" xr:uid="{2C91EAC7-1507-40C6-892F-3F0689D83A04}"/>
    <cellStyle name="Comma 6 6 8" xfId="43806" xr:uid="{9B40E087-AAEC-4018-93F6-747D236C2BA7}"/>
    <cellStyle name="Comma 6 7" xfId="8101" xr:uid="{F3BE38F3-0823-4796-AF62-30CCFE9946E0}"/>
    <cellStyle name="Comma 6 7 2" xfId="8102" xr:uid="{9034DD8A-2D2D-42A0-8260-703CA4FB0ADA}"/>
    <cellStyle name="Comma 6 7 2 2" xfId="8103" xr:uid="{7BBE87D7-34AE-4686-9110-BBDE77ACE090}"/>
    <cellStyle name="Comma 6 7 2 3" xfId="28227" xr:uid="{F697046C-BEF2-4A8D-BE0D-9A7CFA0AF3A5}"/>
    <cellStyle name="Comma 6 7 2 4" xfId="28228" xr:uid="{B229AFDA-6953-4FD1-8848-0BD473B56ABA}"/>
    <cellStyle name="Comma 6 7 2 5" xfId="28229" xr:uid="{F4329602-77CC-4A3A-B59D-8C5F5EA46B20}"/>
    <cellStyle name="Comma 6 7 3" xfId="8104" xr:uid="{8FF53289-CCA8-4135-ADB7-79ED0493775B}"/>
    <cellStyle name="Comma 6 7 4" xfId="28230" xr:uid="{762880F5-9235-4C6D-ABC6-F7C6DA7A9791}"/>
    <cellStyle name="Comma 6 7 5" xfId="28231" xr:uid="{48E760EC-D75D-4EE4-94BC-2AEE8ADA025E}"/>
    <cellStyle name="Comma 6 7 6" xfId="28232" xr:uid="{96F288AE-21C8-496B-94BD-5CFE5A2FEC03}"/>
    <cellStyle name="Comma 6 7 7" xfId="42659" xr:uid="{C045F290-3EA8-4763-95C0-F114876039EF}"/>
    <cellStyle name="Comma 6 7 8" xfId="43807" xr:uid="{07001E98-D96E-4CCE-AA9B-0CFCDAD01BFC}"/>
    <cellStyle name="Comma 6 8" xfId="8105" xr:uid="{9C205305-B87B-4A10-8B07-707260C4A186}"/>
    <cellStyle name="Comma 6 8 2" xfId="8106" xr:uid="{B6E2367F-34C4-454A-8773-FE2B0C952E20}"/>
    <cellStyle name="Comma 6 8 2 2" xfId="8107" xr:uid="{9FE53C81-6700-43E8-B511-3B055B0B3283}"/>
    <cellStyle name="Comma 6 8 2 3" xfId="28233" xr:uid="{90B7CFCD-D275-4335-9609-2460D132C323}"/>
    <cellStyle name="Comma 6 8 2 4" xfId="28234" xr:uid="{3073CE02-4099-4F93-BC4F-D55E92BD3472}"/>
    <cellStyle name="Comma 6 8 2 5" xfId="28235" xr:uid="{419B5E1F-B4DA-41B4-A80B-FBBD9803A52F}"/>
    <cellStyle name="Comma 6 8 3" xfId="8108" xr:uid="{7DBF7293-15F8-457E-999E-116B73289E09}"/>
    <cellStyle name="Comma 6 8 4" xfId="28236" xr:uid="{3A238787-EC30-411D-9A71-705D49D8801B}"/>
    <cellStyle name="Comma 6 8 5" xfId="28237" xr:uid="{9E72DCBF-36FE-4783-8B26-E2F00DAA4E25}"/>
    <cellStyle name="Comma 6 8 6" xfId="28238" xr:uid="{1EB13A75-EEF9-4FBA-ABA2-8805E130A690}"/>
    <cellStyle name="Comma 6 8 7" xfId="42660" xr:uid="{2D7C7FE8-593A-46EB-8A65-56D3F1B54B96}"/>
    <cellStyle name="Comma 6 8 8" xfId="43808" xr:uid="{1CB6CCB7-3099-4E3A-88EA-BC0F3E1088DF}"/>
    <cellStyle name="Comma 6 9" xfId="8109" xr:uid="{F4E94C6C-8896-4D2C-ACF6-3C6F3718236D}"/>
    <cellStyle name="Comma 6 9 2" xfId="8110" xr:uid="{67BE7418-621C-4F2A-9942-65F77A9C0699}"/>
    <cellStyle name="Comma 6 9 2 2" xfId="8111" xr:uid="{55457505-BC5A-4497-85CD-C34A2A47E366}"/>
    <cellStyle name="Comma 6 9 2 3" xfId="28239" xr:uid="{8C7E6313-2727-4020-81ED-887078B75E50}"/>
    <cellStyle name="Comma 6 9 3" xfId="8112" xr:uid="{34FE58FD-0A9D-42F2-80C2-E39DFDA26844}"/>
    <cellStyle name="Comma 6 9 4" xfId="28240" xr:uid="{0318ADBD-5ABC-4541-BCA0-CC976540FC09}"/>
    <cellStyle name="Comma 6 9 5" xfId="28241" xr:uid="{83912992-7339-4A63-A09C-07859C97D408}"/>
    <cellStyle name="Comma 6 9 6" xfId="28242" xr:uid="{797DF443-D107-4069-856C-53CC52FF1EC8}"/>
    <cellStyle name="Comma 7" xfId="8113" xr:uid="{73E202CF-C61D-4E80-BE88-06CF1AC1CB13}"/>
    <cellStyle name="Comma 7 10" xfId="8114" xr:uid="{305AB8B5-9EE5-4D74-B44F-164B9C88EF02}"/>
    <cellStyle name="Comma 7 10 2" xfId="8115" xr:uid="{59872D9A-0C67-49D7-9D5C-1F42F0612054}"/>
    <cellStyle name="Comma 7 10 2 2" xfId="8116" xr:uid="{21724844-6CEC-4C05-9309-BCEE2E1D7BFF}"/>
    <cellStyle name="Comma 7 10 2 3" xfId="28243" xr:uid="{82C0AC63-66E5-45F6-8A00-12A3DF9620C8}"/>
    <cellStyle name="Comma 7 10 2 4" xfId="28244" xr:uid="{8E8BD906-D116-4E5B-BC75-BAFD7600435B}"/>
    <cellStyle name="Comma 7 10 2 5" xfId="28245" xr:uid="{C9B29C12-352E-482B-8EC0-BC3CB7CF918D}"/>
    <cellStyle name="Comma 7 10 3" xfId="8117" xr:uid="{EFBB49B2-1E21-468B-9425-1F05A2155B97}"/>
    <cellStyle name="Comma 7 10 4" xfId="28246" xr:uid="{20637B71-E021-47DB-99FC-1B207577EC61}"/>
    <cellStyle name="Comma 7 10 5" xfId="28247" xr:uid="{3A6AF942-112A-4EC8-8FDC-CFBB7C58A08D}"/>
    <cellStyle name="Comma 7 10 6" xfId="28248" xr:uid="{E9A1171E-E8A5-4C96-B3EB-4558EA776FF9}"/>
    <cellStyle name="Comma 7 10 7" xfId="42661" xr:uid="{E25D1B27-DD9C-411C-B6FF-771EAAD4312A}"/>
    <cellStyle name="Comma 7 10 8" xfId="43809" xr:uid="{9AE4C11B-E450-43B5-A512-9E2F14210FAD}"/>
    <cellStyle name="Comma 7 11" xfId="8118" xr:uid="{E1F477BB-0B8C-4265-A21A-C9D733CE3893}"/>
    <cellStyle name="Comma 7 11 2" xfId="8119" xr:uid="{5D32C43C-E347-4C64-A7BE-7D843F7419FA}"/>
    <cellStyle name="Comma 7 11 2 2" xfId="8120" xr:uid="{B031A46E-E65B-4439-A6EF-E35F1FA2999C}"/>
    <cellStyle name="Comma 7 11 2 3" xfId="28249" xr:uid="{043B6D48-5E87-48EB-A30D-C083DE14E2C1}"/>
    <cellStyle name="Comma 7 11 2 4" xfId="28250" xr:uid="{6A6EE063-FBFC-47C1-9221-34E5F2AC0E6F}"/>
    <cellStyle name="Comma 7 11 2 5" xfId="28251" xr:uid="{E76CDE73-19A5-492E-94E0-203B04632E77}"/>
    <cellStyle name="Comma 7 11 3" xfId="8121" xr:uid="{694BA977-ED00-4B7D-8FAD-74805B316B9C}"/>
    <cellStyle name="Comma 7 11 4" xfId="28252" xr:uid="{4109035B-5259-4CA9-8668-A87AE93B27D1}"/>
    <cellStyle name="Comma 7 11 5" xfId="28253" xr:uid="{3164E6F7-300A-4AFA-92DE-A792E1AB058A}"/>
    <cellStyle name="Comma 7 11 6" xfId="28254" xr:uid="{735F43DF-967C-457D-BD50-5EF9F2347E26}"/>
    <cellStyle name="Comma 7 11 7" xfId="42662" xr:uid="{EB4EED50-579A-46F1-83F7-270AC3A6915D}"/>
    <cellStyle name="Comma 7 11 8" xfId="43810" xr:uid="{3D8756D4-C0F3-4BDC-9C56-2BE64A7D863E}"/>
    <cellStyle name="Comma 7 12" xfId="8122" xr:uid="{ED269C50-05E6-4322-85A9-8B6A10EA28A8}"/>
    <cellStyle name="Comma 7 12 2" xfId="8123" xr:uid="{B2EED7FA-46F0-4EFF-AE28-8FB0206088B9}"/>
    <cellStyle name="Comma 7 12 2 2" xfId="8124" xr:uid="{57DBC036-4DA1-4A46-8FA3-203E68939BBD}"/>
    <cellStyle name="Comma 7 12 2 3" xfId="28255" xr:uid="{324BB1C9-1186-4187-9FFC-835E8D5C2DD1}"/>
    <cellStyle name="Comma 7 12 2 4" xfId="28256" xr:uid="{291232B5-2098-40E2-8FB3-3D1F7016FC64}"/>
    <cellStyle name="Comma 7 12 2 5" xfId="28257" xr:uid="{0CD74711-9BC5-4102-A3D0-1EEDCEECD5F1}"/>
    <cellStyle name="Comma 7 12 3" xfId="8125" xr:uid="{2D249C51-C237-49BE-AE2C-A56DB8ADACB1}"/>
    <cellStyle name="Comma 7 12 4" xfId="28258" xr:uid="{3E126664-A291-4AC5-A8B7-D340AF57ECE4}"/>
    <cellStyle name="Comma 7 12 5" xfId="28259" xr:uid="{93C2A557-0B38-4687-A1CC-64978D18D0F7}"/>
    <cellStyle name="Comma 7 12 6" xfId="28260" xr:uid="{E7E4304D-2E04-40A6-BA97-F073CB45FFC8}"/>
    <cellStyle name="Comma 7 12 7" xfId="42663" xr:uid="{4B28F6E3-A5D4-47EF-9135-B8881FDCDDCE}"/>
    <cellStyle name="Comma 7 12 8" xfId="43811" xr:uid="{027A1366-B974-47A9-B960-E463AAFB3A09}"/>
    <cellStyle name="Comma 7 13" xfId="8126" xr:uid="{6CEB31B3-D85D-4981-A1A8-F4F3B2CD7003}"/>
    <cellStyle name="Comma 7 13 2" xfId="8127" xr:uid="{47516391-2BA5-45CA-9D8D-4B883D39CA17}"/>
    <cellStyle name="Comma 7 13 2 2" xfId="8128" xr:uid="{4C6AC1D9-6578-488E-B75F-A23AD65C52EB}"/>
    <cellStyle name="Comma 7 13 2 3" xfId="28261" xr:uid="{70DB3496-973C-49F6-883F-BB037158C419}"/>
    <cellStyle name="Comma 7 13 2 4" xfId="28262" xr:uid="{88EE2424-EE4B-4AD7-B65F-7E8C25535720}"/>
    <cellStyle name="Comma 7 13 2 5" xfId="28263" xr:uid="{E10C244E-CD5C-4253-8EA3-B9105FD10080}"/>
    <cellStyle name="Comma 7 13 3" xfId="8129" xr:uid="{716E1D9F-ECD7-463F-86F4-992B9C026D91}"/>
    <cellStyle name="Comma 7 13 4" xfId="28264" xr:uid="{86128918-3D02-4F29-A640-C9E2883FACFA}"/>
    <cellStyle name="Comma 7 13 5" xfId="28265" xr:uid="{FE78014A-F3FF-450D-BC71-A8A5091EDC7E}"/>
    <cellStyle name="Comma 7 13 6" xfId="28266" xr:uid="{FCB92282-C0BB-42C3-BF4E-A30A5F5BC5B5}"/>
    <cellStyle name="Comma 7 13 7" xfId="42664" xr:uid="{5A26172A-7C67-4D78-918E-3ACE14328DB9}"/>
    <cellStyle name="Comma 7 13 8" xfId="43812" xr:uid="{612A3AA6-9066-471F-A5A5-E7DDDC8D3279}"/>
    <cellStyle name="Comma 7 14" xfId="8130" xr:uid="{F9A2D298-D355-447C-999F-64DC21EABB92}"/>
    <cellStyle name="Comma 7 14 2" xfId="8131" xr:uid="{2670F5E5-3ED0-4D24-81F1-51DE14716E26}"/>
    <cellStyle name="Comma 7 14 2 2" xfId="8132" xr:uid="{E9CD3BB8-3CEB-4532-9105-2C76E64CA19F}"/>
    <cellStyle name="Comma 7 14 2 3" xfId="28267" xr:uid="{1B6244C7-F4DD-42C0-B154-F76F538CABA2}"/>
    <cellStyle name="Comma 7 14 2 4" xfId="28268" xr:uid="{5BD63EBA-3971-405D-AB9F-B9160C549D81}"/>
    <cellStyle name="Comma 7 14 2 5" xfId="28269" xr:uid="{8D7A05E4-2D4D-4ABF-911F-39A840CB1642}"/>
    <cellStyle name="Comma 7 14 3" xfId="8133" xr:uid="{C54E89B3-6F65-4B9B-9E04-25B63B6C5C3F}"/>
    <cellStyle name="Comma 7 14 4" xfId="28270" xr:uid="{78CAF261-4AB3-427F-B509-C845A62DB077}"/>
    <cellStyle name="Comma 7 14 5" xfId="28271" xr:uid="{85593F90-6474-4B7D-AE4A-97D6138C35E9}"/>
    <cellStyle name="Comma 7 14 6" xfId="28272" xr:uid="{DEAE4127-C03B-4226-85CE-9ABAC9AA3AFF}"/>
    <cellStyle name="Comma 7 14 7" xfId="42665" xr:uid="{C1310C82-BBA2-41E5-A352-FBDD711216C5}"/>
    <cellStyle name="Comma 7 14 8" xfId="43813" xr:uid="{19440586-0C33-4577-8D41-412A49C48DFD}"/>
    <cellStyle name="Comma 7 15" xfId="8134" xr:uid="{712D50A2-15A5-441E-9F32-30A89A3AAFD4}"/>
    <cellStyle name="Comma 7 15 2" xfId="8135" xr:uid="{5547F035-A58B-4ED3-BA13-CD2ABA6A1E9F}"/>
    <cellStyle name="Comma 7 15 2 2" xfId="8136" xr:uid="{5182DEF4-4C93-4AD4-8B68-2100B536F419}"/>
    <cellStyle name="Comma 7 15 2 3" xfId="28273" xr:uid="{E7C5A3CD-82F0-4F7E-8E92-935751AEAC94}"/>
    <cellStyle name="Comma 7 15 2 4" xfId="28274" xr:uid="{8D5B6C4B-235E-49C9-B8F4-91370F9B2FD6}"/>
    <cellStyle name="Comma 7 15 2 5" xfId="28275" xr:uid="{54203F81-F1C8-4369-84C9-8612D22ECB89}"/>
    <cellStyle name="Comma 7 15 3" xfId="8137" xr:uid="{F1ADD146-198C-46AE-9099-24EB87285DA8}"/>
    <cellStyle name="Comma 7 15 4" xfId="28276" xr:uid="{0CDA9743-9AF4-4F76-96DF-AEC0EC859D5E}"/>
    <cellStyle name="Comma 7 15 5" xfId="28277" xr:uid="{D2F1B73C-5ED4-414C-85A3-2FDAB635EF81}"/>
    <cellStyle name="Comma 7 15 6" xfId="28278" xr:uid="{B7990D63-8A1C-4AAF-B60E-9CC9CFAF81B0}"/>
    <cellStyle name="Comma 7 15 7" xfId="42666" xr:uid="{ACB915C2-DC27-4C85-953B-C024BCDFE2B6}"/>
    <cellStyle name="Comma 7 15 8" xfId="43814" xr:uid="{22AE4F16-48DF-4E73-9A14-2C9FB32263C5}"/>
    <cellStyle name="Comma 7 16" xfId="8138" xr:uid="{CD1B607E-38B6-412D-9A57-5875BD10FB8D}"/>
    <cellStyle name="Comma 7 16 2" xfId="8139" xr:uid="{A7CC7D24-7211-4445-B54B-5C0CEE5312EE}"/>
    <cellStyle name="Comma 7 16 2 2" xfId="8140" xr:uid="{A5AC96F5-4EAA-4976-921D-ECA5F91B4E96}"/>
    <cellStyle name="Comma 7 16 2 3" xfId="28279" xr:uid="{D658BB79-587B-4F63-A0B3-32A852F4AA10}"/>
    <cellStyle name="Comma 7 16 2 4" xfId="28280" xr:uid="{803883AA-AECF-4F36-80A3-B4D9946E25B9}"/>
    <cellStyle name="Comma 7 16 2 5" xfId="28281" xr:uid="{EC93883C-9EBB-499E-8088-E66D62095843}"/>
    <cellStyle name="Comma 7 16 3" xfId="8141" xr:uid="{1FEAB8F0-0F1F-4167-854C-333AD793DE81}"/>
    <cellStyle name="Comma 7 16 4" xfId="28282" xr:uid="{A9D45AD0-143F-4202-BB3E-EA5F4A4A46FF}"/>
    <cellStyle name="Comma 7 16 5" xfId="28283" xr:uid="{5471EC27-9028-4569-BD27-BE65B727A01E}"/>
    <cellStyle name="Comma 7 16 6" xfId="28284" xr:uid="{FCA9C700-82FB-4400-A399-AF294397C64B}"/>
    <cellStyle name="Comma 7 16 7" xfId="42667" xr:uid="{4BC164F9-C8D8-417F-8601-52D777920080}"/>
    <cellStyle name="Comma 7 16 8" xfId="43815" xr:uid="{D568BA7D-D2A0-4F1A-B9ED-F45D3A28523D}"/>
    <cellStyle name="Comma 7 17" xfId="8142" xr:uid="{449D5BAD-5D41-4C7E-A9CE-8740BA5A9C79}"/>
    <cellStyle name="Comma 7 17 2" xfId="8143" xr:uid="{2D5FA2CF-54B6-4C0B-9411-8A868664BBC6}"/>
    <cellStyle name="Comma 7 17 2 2" xfId="8144" xr:uid="{5D95D1E0-DC00-40AA-8E32-33F9C8C40EAD}"/>
    <cellStyle name="Comma 7 17 2 3" xfId="28285" xr:uid="{E4D552B8-F819-4CDD-8BF9-11DBA025F6C8}"/>
    <cellStyle name="Comma 7 17 2 4" xfId="28286" xr:uid="{464B37A6-2B0E-4675-8949-7EBF80DB47B5}"/>
    <cellStyle name="Comma 7 17 2 5" xfId="28287" xr:uid="{49CE134D-21E8-4A53-B6E3-0B88AEAC5B06}"/>
    <cellStyle name="Comma 7 17 3" xfId="8145" xr:uid="{737EA47E-04A3-4B93-81A3-58C1FBB57C51}"/>
    <cellStyle name="Comma 7 17 4" xfId="28288" xr:uid="{A78FE56D-636D-4D71-8DC8-65EDDBA7FAAF}"/>
    <cellStyle name="Comma 7 17 5" xfId="28289" xr:uid="{187ED8B0-5C11-44ED-A980-8D8D40CD91D6}"/>
    <cellStyle name="Comma 7 17 6" xfId="28290" xr:uid="{4425559B-5EE1-4B16-A530-49128CA5CFF1}"/>
    <cellStyle name="Comma 7 17 7" xfId="42668" xr:uid="{D58D1D25-ADD1-4049-BE33-04782E80014D}"/>
    <cellStyle name="Comma 7 17 8" xfId="43816" xr:uid="{FDEA2505-D58B-453A-9365-60A9D13B7036}"/>
    <cellStyle name="Comma 7 18" xfId="8146" xr:uid="{B4DB270C-E5ED-48D6-85A5-99876BEDAD92}"/>
    <cellStyle name="Comma 7 18 2" xfId="8147" xr:uid="{73FA576D-032A-44C3-9B99-5D9CA72529E2}"/>
    <cellStyle name="Comma 7 18 2 2" xfId="8148" xr:uid="{AC36C90A-D9FB-4AD3-9A03-E89305B1AEA1}"/>
    <cellStyle name="Comma 7 18 2 3" xfId="28291" xr:uid="{70480AD0-433C-40BE-A525-546F14CA7B46}"/>
    <cellStyle name="Comma 7 18 2 4" xfId="28292" xr:uid="{110D81D7-90AE-4E90-B20A-6D48FAC0A3E5}"/>
    <cellStyle name="Comma 7 18 2 5" xfId="28293" xr:uid="{9CCB19D3-E36F-4926-92A9-A64D2AD58DC3}"/>
    <cellStyle name="Comma 7 18 3" xfId="8149" xr:uid="{C3100F9B-A585-4467-8D3A-287E4D5D70F4}"/>
    <cellStyle name="Comma 7 18 4" xfId="28294" xr:uid="{3C5EDF0A-F0AC-44C5-9E4D-34FCE5D53392}"/>
    <cellStyle name="Comma 7 18 5" xfId="28295" xr:uid="{AD850530-2692-4CC5-9432-2466EF24DF70}"/>
    <cellStyle name="Comma 7 18 6" xfId="28296" xr:uid="{A440A521-AB31-4B01-8550-C27773B5D0BE}"/>
    <cellStyle name="Comma 7 18 7" xfId="42669" xr:uid="{18545084-4711-43DF-80FD-B0C3694E56AC}"/>
    <cellStyle name="Comma 7 18 8" xfId="43817" xr:uid="{25CB2768-5CAA-462F-A77F-9D899A11D1D4}"/>
    <cellStyle name="Comma 7 19" xfId="8150" xr:uid="{AD00D0AF-667F-4D72-B585-05D4ED56DDA3}"/>
    <cellStyle name="Comma 7 19 2" xfId="8151" xr:uid="{BF6237B6-F250-4367-ACCA-AE8AE99E425E}"/>
    <cellStyle name="Comma 7 19 2 2" xfId="8152" xr:uid="{F4E3BD34-8185-4449-A34E-0EB506C4C706}"/>
    <cellStyle name="Comma 7 19 2 3" xfId="28297" xr:uid="{FA1397E5-6ABA-4662-BBB8-70AFBB544CEA}"/>
    <cellStyle name="Comma 7 19 2 4" xfId="28298" xr:uid="{9525907A-8CCC-42F3-8C80-EAF51F517E67}"/>
    <cellStyle name="Comma 7 19 2 5" xfId="28299" xr:uid="{549BAD7C-3F64-4731-838B-91464174FF83}"/>
    <cellStyle name="Comma 7 19 3" xfId="8153" xr:uid="{4C29B025-10B5-458E-AEE5-B0BA213C4276}"/>
    <cellStyle name="Comma 7 19 4" xfId="28300" xr:uid="{FACA33F5-BC40-40B4-B326-81F09C7F39AE}"/>
    <cellStyle name="Comma 7 19 5" xfId="28301" xr:uid="{171893DC-54D7-4224-88C2-BB0C8B43431F}"/>
    <cellStyle name="Comma 7 19 6" xfId="28302" xr:uid="{722045D9-3D47-427E-B1F8-F963E53D53D9}"/>
    <cellStyle name="Comma 7 19 7" xfId="42670" xr:uid="{E1335E0F-F37A-4F6B-AC1C-5E50A731D056}"/>
    <cellStyle name="Comma 7 19 8" xfId="43818" xr:uid="{7A0195E1-3FBA-416C-901F-FAEF82A20973}"/>
    <cellStyle name="Comma 7 2" xfId="8154" xr:uid="{CA28FD95-B758-431C-8B48-2F6630030920}"/>
    <cellStyle name="Comma 7 2 10" xfId="43819" xr:uid="{A8C7DE5B-05F5-4BF4-B5E6-1B75A8CF2835}"/>
    <cellStyle name="Comma 7 2 2" xfId="8155" xr:uid="{80BA8438-E2E5-4C9C-9131-7BDEF8207900}"/>
    <cellStyle name="Comma 7 2 2 2" xfId="8156" xr:uid="{15FCC0D5-EC79-436F-BFFC-BAEE39A6A42C}"/>
    <cellStyle name="Comma 7 2 2 3" xfId="28303" xr:uid="{7EABE78A-2678-497D-962E-6153B252199F}"/>
    <cellStyle name="Comma 7 2 2 4" xfId="28304" xr:uid="{CB19CF61-E415-44F8-997B-502E81D5F439}"/>
    <cellStyle name="Comma 7 2 2 5" xfId="28305" xr:uid="{DBBE612F-F1CE-4A73-AB18-E76F783785D9}"/>
    <cellStyle name="Comma 7 2 3" xfId="8157" xr:uid="{F0D8B112-D763-4E0D-B7AD-D95CDD89D7BD}"/>
    <cellStyle name="Comma 7 2 3 2" xfId="28306" xr:uid="{F9121553-41CD-45AB-A8BD-7696AB358FAF}"/>
    <cellStyle name="Comma 7 2 4" xfId="8158" xr:uid="{B7C22C9F-0C4F-4933-A438-D24F92E5A4FB}"/>
    <cellStyle name="Comma 7 2 5" xfId="8159" xr:uid="{7E4F7EA6-E68D-4571-8316-C6075540D032}"/>
    <cellStyle name="Comma 7 2 6" xfId="28307" xr:uid="{C72CF99B-4EDD-42D8-94AA-CB2E2E5DC085}"/>
    <cellStyle name="Comma 7 2 7" xfId="28308" xr:uid="{D7834659-8D25-4C79-9B0C-4F04D7A506BA}"/>
    <cellStyle name="Comma 7 2 8" xfId="28309" xr:uid="{C3B8DE39-AA2C-41F0-8A64-3EE00C8AC6B6}"/>
    <cellStyle name="Comma 7 2 9" xfId="42671" xr:uid="{70E0F648-3C7A-4954-AF92-78B58D0CE1FE}"/>
    <cellStyle name="Comma 7 20" xfId="8160" xr:uid="{B9740780-3484-4426-AC84-EF2F5E51765B}"/>
    <cellStyle name="Comma 7 20 2" xfId="8161" xr:uid="{2C292DA9-80B8-4930-8D06-1A3D9E034A6C}"/>
    <cellStyle name="Comma 7 20 2 2" xfId="8162" xr:uid="{296071D2-2CC2-42E7-8413-51DEC59D7D01}"/>
    <cellStyle name="Comma 7 20 2 3" xfId="28310" xr:uid="{BA1CD5CD-F56F-49F1-BBB2-D33F6038CE26}"/>
    <cellStyle name="Comma 7 20 2 4" xfId="28311" xr:uid="{DA4D8306-93F9-4739-8036-0A2DA8B3AADA}"/>
    <cellStyle name="Comma 7 20 2 5" xfId="28312" xr:uid="{19424518-1AD2-4A9F-9597-0DDD0B35789F}"/>
    <cellStyle name="Comma 7 20 3" xfId="8163" xr:uid="{66A9A215-4DE7-47BE-812E-85B2B55B4728}"/>
    <cellStyle name="Comma 7 20 4" xfId="28313" xr:uid="{D7143095-0F6B-4183-B927-628E7EE0A66C}"/>
    <cellStyle name="Comma 7 20 5" xfId="28314" xr:uid="{2DC94C1A-E3C4-42A8-B76D-1C05C86F0C25}"/>
    <cellStyle name="Comma 7 20 6" xfId="28315" xr:uid="{DE6D78A8-E180-4929-BB8F-98D6B8AE4A10}"/>
    <cellStyle name="Comma 7 20 7" xfId="42672" xr:uid="{F25D94F8-EF67-4D61-86E0-03AA04542617}"/>
    <cellStyle name="Comma 7 20 8" xfId="43820" xr:uid="{1E15A237-223E-4744-B6AA-78D8CCE492B9}"/>
    <cellStyle name="Comma 7 21" xfId="8164" xr:uid="{33897DDD-F463-4C61-9624-57B9D2E95CA8}"/>
    <cellStyle name="Comma 7 21 2" xfId="8165" xr:uid="{2B4E6AB1-87C4-4CEB-8313-815DF194881D}"/>
    <cellStyle name="Comma 7 21 2 2" xfId="8166" xr:uid="{42EDF085-4DE3-49C0-8119-8B6A2780ED4A}"/>
    <cellStyle name="Comma 7 21 2 3" xfId="28316" xr:uid="{5D7E2C47-E9C0-4F7D-B16E-CF25F8C45429}"/>
    <cellStyle name="Comma 7 21 2 4" xfId="28317" xr:uid="{D1953893-4955-4F6E-965F-B272F9E41F52}"/>
    <cellStyle name="Comma 7 21 2 5" xfId="28318" xr:uid="{72A80B74-A5BE-48ED-8C63-7686E6088D1B}"/>
    <cellStyle name="Comma 7 21 3" xfId="8167" xr:uid="{31BFA310-A8E1-41E9-AD12-C2D4251BC5A8}"/>
    <cellStyle name="Comma 7 21 4" xfId="28319" xr:uid="{39ADA0DA-458D-4B66-9A70-17913949D6FB}"/>
    <cellStyle name="Comma 7 21 5" xfId="28320" xr:uid="{7D6084B3-60B7-41C5-B9C4-1D58B3068854}"/>
    <cellStyle name="Comma 7 21 6" xfId="28321" xr:uid="{2C8FF007-8D0E-4E25-8E2B-4CD75D934151}"/>
    <cellStyle name="Comma 7 21 7" xfId="42673" xr:uid="{B0D0E139-1E54-4195-A6D1-1979F5B448E0}"/>
    <cellStyle name="Comma 7 21 8" xfId="43821" xr:uid="{42744478-055E-4576-8B2E-F9C061CEB2E9}"/>
    <cellStyle name="Comma 7 22" xfId="8168" xr:uid="{CC9AEDF5-69A5-427B-9F1C-6AFE0A3EF7D4}"/>
    <cellStyle name="Comma 7 23" xfId="8169" xr:uid="{875500E3-001B-406D-BDD6-7AF63ED6FD4D}"/>
    <cellStyle name="Comma 7 23 2" xfId="8170" xr:uid="{C38D43D1-60C1-4501-ADB7-5836E9D7E98D}"/>
    <cellStyle name="Comma 7 23 3" xfId="28322" xr:uid="{6AAB3CF7-661F-4125-9F93-6EF0773DC7D4}"/>
    <cellStyle name="Comma 7 24" xfId="8171" xr:uid="{B3472404-4D45-49DA-BBB0-4CED1CDCD2AA}"/>
    <cellStyle name="Comma 7 24 2" xfId="8172" xr:uid="{37107B5D-3951-46D2-90FB-CCE8CFDE096C}"/>
    <cellStyle name="Comma 7 25" xfId="8173" xr:uid="{6F9D04FD-E6E2-4086-8777-176EC346FDCA}"/>
    <cellStyle name="Comma 7 26" xfId="8174" xr:uid="{04DB2B38-FE18-4ECE-913E-54F3258A566B}"/>
    <cellStyle name="Comma 7 27" xfId="8175" xr:uid="{BABAC101-EF6D-4E20-81D3-28EB8F23A16D}"/>
    <cellStyle name="Comma 7 3" xfId="8176" xr:uid="{DC5899C8-167B-4CD9-9CEF-9C3958757CF9}"/>
    <cellStyle name="Comma 7 3 10" xfId="8177" xr:uid="{5AE77BB4-EF73-4356-9929-B042CAF18F24}"/>
    <cellStyle name="Comma 7 3 10 2" xfId="8178" xr:uid="{0B993561-3087-4A1E-97B6-6A5B314A9B48}"/>
    <cellStyle name="Comma 7 3 10 2 2" xfId="8179" xr:uid="{EBAF13FA-AA52-49D8-AB2C-7074DEC6A47A}"/>
    <cellStyle name="Comma 7 3 10 2 3" xfId="28323" xr:uid="{6BF34993-93D2-4195-92BE-28B0AC19F53C}"/>
    <cellStyle name="Comma 7 3 10 2 4" xfId="28324" xr:uid="{DDA9DAA6-563B-4267-ACF7-47B1560285D8}"/>
    <cellStyle name="Comma 7 3 10 2 5" xfId="28325" xr:uid="{C28B01D5-2CC4-47A7-9CFC-F0549BABBAE1}"/>
    <cellStyle name="Comma 7 3 10 3" xfId="8180" xr:uid="{0FB717FC-56E2-4B69-8C7E-E07CEEEE9DE8}"/>
    <cellStyle name="Comma 7 3 10 4" xfId="28326" xr:uid="{A3997F1B-73DD-49C9-8E42-00DDD2544CBE}"/>
    <cellStyle name="Comma 7 3 10 5" xfId="28327" xr:uid="{C786DC51-5674-476E-A860-2BE3702B5EF2}"/>
    <cellStyle name="Comma 7 3 10 6" xfId="28328" xr:uid="{EF46789C-BD90-4649-AAC2-FDE8AD560EBF}"/>
    <cellStyle name="Comma 7 3 10 7" xfId="42675" xr:uid="{A20A721C-47A8-453A-A355-F8F36ED090B9}"/>
    <cellStyle name="Comma 7 3 10 8" xfId="43823" xr:uid="{59B6BC6D-B194-4C2A-A56D-EDCDD0CBE286}"/>
    <cellStyle name="Comma 7 3 11" xfId="8181" xr:uid="{4F7F0CF8-6C5B-4625-9344-C3D2610B5557}"/>
    <cellStyle name="Comma 7 3 11 2" xfId="8182" xr:uid="{FAE90587-89E8-435D-8993-FBB0FEA7A0A8}"/>
    <cellStyle name="Comma 7 3 11 2 2" xfId="8183" xr:uid="{FCDA8D81-A633-440B-97B5-B1F3CDE9ECBE}"/>
    <cellStyle name="Comma 7 3 11 2 3" xfId="28329" xr:uid="{B65D0045-2ACC-461C-9FC5-A25C62EFA253}"/>
    <cellStyle name="Comma 7 3 11 2 4" xfId="28330" xr:uid="{7EB378ED-74C3-488A-9E52-50D32A1B6462}"/>
    <cellStyle name="Comma 7 3 11 2 5" xfId="28331" xr:uid="{CB44D225-9F80-49C4-871C-B4C36281AE22}"/>
    <cellStyle name="Comma 7 3 11 3" xfId="8184" xr:uid="{663496D4-2A61-4203-9CD6-2676B24F72EC}"/>
    <cellStyle name="Comma 7 3 11 4" xfId="28332" xr:uid="{EB30F780-747E-41F6-9078-5AFB3534A752}"/>
    <cellStyle name="Comma 7 3 11 5" xfId="28333" xr:uid="{1A755B87-1D6B-4854-82FF-2CAB6114C8EC}"/>
    <cellStyle name="Comma 7 3 11 6" xfId="28334" xr:uid="{4A7C6542-4A0F-41F7-BEAE-7CB4EDBBA6D2}"/>
    <cellStyle name="Comma 7 3 11 7" xfId="42676" xr:uid="{E572FBC5-05C6-4F68-B6F4-E3B9C82F0A3E}"/>
    <cellStyle name="Comma 7 3 11 8" xfId="43824" xr:uid="{884B430B-3728-4625-9A66-027DB9439851}"/>
    <cellStyle name="Comma 7 3 12" xfId="8185" xr:uid="{6191C8EF-7827-45EE-98E9-8DAA3EE7D5FE}"/>
    <cellStyle name="Comma 7 3 12 2" xfId="8186" xr:uid="{35BE8266-8C9B-457D-923D-A0BB0573541C}"/>
    <cellStyle name="Comma 7 3 12 2 2" xfId="8187" xr:uid="{F564998A-37D6-4EDE-A4DA-9224E7C0F9CF}"/>
    <cellStyle name="Comma 7 3 12 2 3" xfId="28335" xr:uid="{AC778C95-46BC-4A7C-A88F-5F4030F8E922}"/>
    <cellStyle name="Comma 7 3 12 2 4" xfId="28336" xr:uid="{450544C0-F497-41FC-B1FA-D64CC9282B1A}"/>
    <cellStyle name="Comma 7 3 12 2 5" xfId="28337" xr:uid="{8041ED14-1A9E-416F-8966-B5540C2AA1A7}"/>
    <cellStyle name="Comma 7 3 12 3" xfId="8188" xr:uid="{3AE9B69A-4AF4-4A51-868A-717583183040}"/>
    <cellStyle name="Comma 7 3 12 4" xfId="28338" xr:uid="{B706F9B4-12FF-434A-B084-91F5349BD38C}"/>
    <cellStyle name="Comma 7 3 12 5" xfId="28339" xr:uid="{94A93CF2-DF58-4767-9501-ED300864B769}"/>
    <cellStyle name="Comma 7 3 12 6" xfId="28340" xr:uid="{6450A68E-DCC6-4378-B6C2-88F49D4308DB}"/>
    <cellStyle name="Comma 7 3 12 7" xfId="42677" xr:uid="{EE1872F8-2098-4E16-B35D-11E52962C884}"/>
    <cellStyle name="Comma 7 3 12 8" xfId="43825" xr:uid="{E803A209-3F52-4A1F-80CE-5B404CF16F5F}"/>
    <cellStyle name="Comma 7 3 13" xfId="8189" xr:uid="{97B0FD04-2BA8-40AD-BA29-7A8610DAA212}"/>
    <cellStyle name="Comma 7 3 13 2" xfId="8190" xr:uid="{125E3A3E-1115-489C-9367-F260BAC8F981}"/>
    <cellStyle name="Comma 7 3 13 2 2" xfId="8191" xr:uid="{28640D22-CCD7-41D4-91E5-3D2D59471A20}"/>
    <cellStyle name="Comma 7 3 13 2 3" xfId="28341" xr:uid="{FD938B2D-E334-4245-B9E1-E496C883E5CD}"/>
    <cellStyle name="Comma 7 3 13 2 4" xfId="28342" xr:uid="{25860F67-F5E4-4A38-AFAB-B05E1D3C8717}"/>
    <cellStyle name="Comma 7 3 13 2 5" xfId="28343" xr:uid="{458E787F-7566-4B86-9079-835CD65695AD}"/>
    <cellStyle name="Comma 7 3 13 3" xfId="8192" xr:uid="{CC2E847B-D0D2-44AC-9041-BC552D0BFB20}"/>
    <cellStyle name="Comma 7 3 13 4" xfId="28344" xr:uid="{083BB66A-054F-4397-ADCC-BFF14DE7B1C9}"/>
    <cellStyle name="Comma 7 3 13 5" xfId="28345" xr:uid="{4B7982CE-D150-4905-8100-48C7240AAC19}"/>
    <cellStyle name="Comma 7 3 13 6" xfId="28346" xr:uid="{46391475-A284-4F72-8BB8-D580E15103BF}"/>
    <cellStyle name="Comma 7 3 13 7" xfId="42678" xr:uid="{EB756AFB-F086-4049-B1B3-F43B5DE93CD2}"/>
    <cellStyle name="Comma 7 3 13 8" xfId="43826" xr:uid="{48BB96AE-9FE3-4B2F-9B6E-2FDB21D367A5}"/>
    <cellStyle name="Comma 7 3 14" xfId="8193" xr:uid="{B3012C6F-EB49-42DF-9696-D1BBE3328627}"/>
    <cellStyle name="Comma 7 3 14 2" xfId="8194" xr:uid="{F1A9F47D-BF7C-4FF9-BCE3-B34E3D4E7647}"/>
    <cellStyle name="Comma 7 3 14 2 2" xfId="8195" xr:uid="{1488D751-0A50-4234-B120-1531209C2131}"/>
    <cellStyle name="Comma 7 3 14 2 3" xfId="28347" xr:uid="{3A22C568-C12A-4328-AE2D-BF27D355785C}"/>
    <cellStyle name="Comma 7 3 14 2 4" xfId="28348" xr:uid="{E29C9CD6-6305-4400-B2C7-2E7DFE17E0CA}"/>
    <cellStyle name="Comma 7 3 14 2 5" xfId="28349" xr:uid="{CBF46AD6-0E5B-438A-A3D9-B97FDB926745}"/>
    <cellStyle name="Comma 7 3 14 3" xfId="8196" xr:uid="{8DF10F4C-3938-4CC9-9BAE-5F3CEF7C90EE}"/>
    <cellStyle name="Comma 7 3 14 4" xfId="28350" xr:uid="{7263A84D-5D1B-4559-9B85-626B7097FB39}"/>
    <cellStyle name="Comma 7 3 14 5" xfId="28351" xr:uid="{D46AF9C4-C38B-4D05-8E6B-85015CC82B55}"/>
    <cellStyle name="Comma 7 3 14 6" xfId="28352" xr:uid="{5B957D48-9234-4C1C-AF8C-DE87D583FA08}"/>
    <cellStyle name="Comma 7 3 14 7" xfId="42679" xr:uid="{3F558EED-8B49-4220-AAAB-8BCBD2049120}"/>
    <cellStyle name="Comma 7 3 14 8" xfId="43827" xr:uid="{E61D3ABE-0799-434E-A2D1-ACE9851E49E8}"/>
    <cellStyle name="Comma 7 3 15" xfId="8197" xr:uid="{ABD04718-BF9B-4FBC-BF04-BA45419AD84F}"/>
    <cellStyle name="Comma 7 3 15 2" xfId="8198" xr:uid="{058DA8B0-4972-42DF-855A-F3363D97975F}"/>
    <cellStyle name="Comma 7 3 15 2 2" xfId="8199" xr:uid="{FFECC55A-C381-4F20-91D9-6145614E0BAF}"/>
    <cellStyle name="Comma 7 3 15 2 3" xfId="28353" xr:uid="{D527DA4F-358A-4A68-8C35-DEFF8E2A9796}"/>
    <cellStyle name="Comma 7 3 15 2 4" xfId="28354" xr:uid="{51A5DA9A-0E89-4D93-9435-53B78B221943}"/>
    <cellStyle name="Comma 7 3 15 2 5" xfId="28355" xr:uid="{4B482F00-723B-444C-B077-CD0278EBE79B}"/>
    <cellStyle name="Comma 7 3 15 3" xfId="8200" xr:uid="{D92E0E84-B532-42D7-BD14-35D9FEC3EA2B}"/>
    <cellStyle name="Comma 7 3 15 4" xfId="28356" xr:uid="{A241BC74-67D5-46D9-ABF3-448A56EA7881}"/>
    <cellStyle name="Comma 7 3 15 5" xfId="28357" xr:uid="{7DF20E3D-8AD8-4CFB-AFEC-0F3284FB575C}"/>
    <cellStyle name="Comma 7 3 15 6" xfId="28358" xr:uid="{A294F50C-92FE-46E5-B516-B332A8BE7DAA}"/>
    <cellStyle name="Comma 7 3 15 7" xfId="42680" xr:uid="{D2879021-3695-4B47-B78E-98A41D8BB87E}"/>
    <cellStyle name="Comma 7 3 15 8" xfId="43828" xr:uid="{462BC425-E206-4386-A3B3-378473C38CED}"/>
    <cellStyle name="Comma 7 3 16" xfId="8201" xr:uid="{741026EE-7AB6-4FCF-ACC6-2004A6C88C14}"/>
    <cellStyle name="Comma 7 3 16 2" xfId="8202" xr:uid="{259CD7FC-3229-4A45-B893-C6C9F49BC309}"/>
    <cellStyle name="Comma 7 3 16 3" xfId="28359" xr:uid="{CC119514-02AE-4CA9-9A2A-902115B76975}"/>
    <cellStyle name="Comma 7 3 16 4" xfId="28360" xr:uid="{D5062F8F-F987-46D4-864C-6CDC06038CA6}"/>
    <cellStyle name="Comma 7 3 16 5" xfId="28361" xr:uid="{1A0D5C55-6F31-4EC9-80E8-A2D70FA728C9}"/>
    <cellStyle name="Comma 7 3 17" xfId="8203" xr:uid="{68D63041-D1A6-4DA0-A237-92C4597DDA66}"/>
    <cellStyle name="Comma 7 3 17 2" xfId="28362" xr:uid="{A0710B0C-AA55-4910-9DC0-1B9BF9FBA583}"/>
    <cellStyle name="Comma 7 3 18" xfId="8204" xr:uid="{2FEA4C44-825A-47C1-A650-E5E33FBBF3FD}"/>
    <cellStyle name="Comma 7 3 19" xfId="28363" xr:uid="{D5BF7E29-03BE-4E6C-BFDE-9B545A5BC788}"/>
    <cellStyle name="Comma 7 3 2" xfId="8205" xr:uid="{C7429067-117B-4518-8FA0-266B92099557}"/>
    <cellStyle name="Comma 7 3 2 2" xfId="8206" xr:uid="{95156B21-1BA0-4CCC-81A3-A052D2612C2B}"/>
    <cellStyle name="Comma 7 3 2 2 2" xfId="8207" xr:uid="{2F5CC8FF-B284-4519-9A1A-3F8C22FFA025}"/>
    <cellStyle name="Comma 7 3 2 2 3" xfId="28364" xr:uid="{8A6D3D8F-9332-4E7D-BE04-E7942865F788}"/>
    <cellStyle name="Comma 7 3 2 2 4" xfId="28365" xr:uid="{B0F5FD0D-A207-4F06-B108-742F1F51D51A}"/>
    <cellStyle name="Comma 7 3 2 2 5" xfId="28366" xr:uid="{F9A80BF9-2292-4AB1-B78B-80EB93262252}"/>
    <cellStyle name="Comma 7 3 2 3" xfId="8208" xr:uid="{3C79A965-D7C8-4274-8994-E0DE07DD53A7}"/>
    <cellStyle name="Comma 7 3 2 4" xfId="28367" xr:uid="{B83DDD1E-3F75-4641-A7A0-DA676F19E7FE}"/>
    <cellStyle name="Comma 7 3 2 5" xfId="28368" xr:uid="{6F1A50D5-11B2-4394-8D4D-FEC807D5D17F}"/>
    <cellStyle name="Comma 7 3 2 6" xfId="28369" xr:uid="{07C16394-1D66-46EB-A2EE-BC97A3C4A41B}"/>
    <cellStyle name="Comma 7 3 2 7" xfId="42681" xr:uid="{E5490AA8-1DCD-4FEF-9709-88E49A5AF3E5}"/>
    <cellStyle name="Comma 7 3 2 8" xfId="43829" xr:uid="{36849E12-8C95-4EF9-A683-E204AE2698E4}"/>
    <cellStyle name="Comma 7 3 20" xfId="28370" xr:uid="{CD7D9FE6-2716-4EDC-AF54-23367ED08868}"/>
    <cellStyle name="Comma 7 3 21" xfId="28371" xr:uid="{E9E61299-D6A3-4FCD-8BEA-47F9BB20FB4C}"/>
    <cellStyle name="Comma 7 3 22" xfId="28372" xr:uid="{175D5B1A-85AD-400E-B1D4-263DD780BBE1}"/>
    <cellStyle name="Comma 7 3 23" xfId="42674" xr:uid="{2217BD60-543A-44EB-98C4-336167E9BCD1}"/>
    <cellStyle name="Comma 7 3 24" xfId="43822" xr:uid="{8849DAD7-015F-4417-9E66-5E3C49A3A3A8}"/>
    <cellStyle name="Comma 7 3 3" xfId="8209" xr:uid="{64987CAA-AB6B-4865-BB9E-6A0664AACC09}"/>
    <cellStyle name="Comma 7 3 3 2" xfId="8210" xr:uid="{2B7A7E4E-1540-4D20-A0B5-EF181AA8F6AD}"/>
    <cellStyle name="Comma 7 3 3 2 2" xfId="8211" xr:uid="{E5552C87-3E08-4B5B-AECF-731AE1BEC944}"/>
    <cellStyle name="Comma 7 3 3 2 3" xfId="28373" xr:uid="{B2B96606-8872-4E8A-A244-444B57F4EF1F}"/>
    <cellStyle name="Comma 7 3 3 2 4" xfId="28374" xr:uid="{006444C3-55A5-40F2-9B67-70427F220D1B}"/>
    <cellStyle name="Comma 7 3 3 2 5" xfId="28375" xr:uid="{F6504CB1-9497-4F0F-A1EC-04C7FCE7FB81}"/>
    <cellStyle name="Comma 7 3 3 3" xfId="8212" xr:uid="{D598B7D5-1522-466E-91D5-09D2C4A0A66A}"/>
    <cellStyle name="Comma 7 3 3 4" xfId="28376" xr:uid="{92CD1DAA-0279-4F81-8D4C-888CAC803F3A}"/>
    <cellStyle name="Comma 7 3 3 5" xfId="28377" xr:uid="{FEB069DF-C1FD-4E71-97C2-BABD9311580A}"/>
    <cellStyle name="Comma 7 3 3 6" xfId="28378" xr:uid="{83F6387B-10AF-40A2-AB5C-6AC58577C286}"/>
    <cellStyle name="Comma 7 3 3 7" xfId="42682" xr:uid="{736AC06F-2DF5-464F-8CE2-FEA2C626D1A9}"/>
    <cellStyle name="Comma 7 3 3 8" xfId="43830" xr:uid="{77F0FCDF-7BCD-4EB1-852F-3A3AB39C856A}"/>
    <cellStyle name="Comma 7 3 4" xfId="8213" xr:uid="{E2DC0753-42E3-4466-9617-D162F722BC90}"/>
    <cellStyle name="Comma 7 3 4 2" xfId="8214" xr:uid="{BA1EF289-D098-411F-9415-5D06B3E2C7DE}"/>
    <cellStyle name="Comma 7 3 4 2 2" xfId="8215" xr:uid="{BADEA573-0E93-4194-A0C9-76DB6374FB17}"/>
    <cellStyle name="Comma 7 3 4 2 3" xfId="28379" xr:uid="{F0C7A082-CA6A-425C-BDAF-F5D3B2705D5E}"/>
    <cellStyle name="Comma 7 3 4 2 4" xfId="28380" xr:uid="{05395B23-0BDA-4644-9E19-B01AFA4CA7F6}"/>
    <cellStyle name="Comma 7 3 4 2 5" xfId="28381" xr:uid="{DB0D9DF6-DEEA-4856-A317-75C814A16E07}"/>
    <cellStyle name="Comma 7 3 4 3" xfId="8216" xr:uid="{AF8D5485-4FD3-4980-A9DA-F9F3F217923E}"/>
    <cellStyle name="Comma 7 3 4 4" xfId="28382" xr:uid="{62736C01-491E-4F34-9CA7-BF40E9283FB1}"/>
    <cellStyle name="Comma 7 3 4 5" xfId="28383" xr:uid="{C5A78482-9776-434A-9A66-91A4A7643686}"/>
    <cellStyle name="Comma 7 3 4 6" xfId="28384" xr:uid="{E6978D13-5757-4F1E-8CDA-E8EB0880CDDE}"/>
    <cellStyle name="Comma 7 3 4 7" xfId="42683" xr:uid="{A0CCBF10-64EE-4DFB-BE8E-034A88E01424}"/>
    <cellStyle name="Comma 7 3 4 8" xfId="43831" xr:uid="{C03C2D83-13E2-47A3-A715-C9CD0DD17D1D}"/>
    <cellStyle name="Comma 7 3 5" xfId="8217" xr:uid="{21911465-B781-4798-AEFD-AABA8AD4BBE5}"/>
    <cellStyle name="Comma 7 3 5 2" xfId="8218" xr:uid="{883A90CC-80E7-475B-A267-364A727535AF}"/>
    <cellStyle name="Comma 7 3 5 2 2" xfId="8219" xr:uid="{19D9922C-4709-473D-8D5C-FBC7A350DA2F}"/>
    <cellStyle name="Comma 7 3 5 2 3" xfId="28385" xr:uid="{4AA382C0-0FD5-4B33-924D-2DD917E318A6}"/>
    <cellStyle name="Comma 7 3 5 2 4" xfId="28386" xr:uid="{5933423A-4EEC-4BAA-8DC3-948216AAB91E}"/>
    <cellStyle name="Comma 7 3 5 2 5" xfId="28387" xr:uid="{E79CE92E-38F6-497D-ADBF-B390657EAE7E}"/>
    <cellStyle name="Comma 7 3 5 3" xfId="8220" xr:uid="{98DDDB2C-296F-46CA-8A59-DBE5144F7BBF}"/>
    <cellStyle name="Comma 7 3 5 4" xfId="28388" xr:uid="{D89DF584-56E5-47A5-BE24-42E7BD551D8F}"/>
    <cellStyle name="Comma 7 3 5 5" xfId="28389" xr:uid="{4CF6DEB3-F4FF-4D8A-8B31-C6818D652A20}"/>
    <cellStyle name="Comma 7 3 5 6" xfId="28390" xr:uid="{08AA4302-902F-46F5-92C6-AEC14C24345E}"/>
    <cellStyle name="Comma 7 3 5 7" xfId="42684" xr:uid="{25E70215-0D28-4A56-BC47-62C61C6ECEA2}"/>
    <cellStyle name="Comma 7 3 5 8" xfId="43832" xr:uid="{FE0F1FFE-B312-43E1-93F9-32EDA0906C8E}"/>
    <cellStyle name="Comma 7 3 6" xfId="8221" xr:uid="{5BF975DF-5D2F-42E8-8A84-A509D0620EFC}"/>
    <cellStyle name="Comma 7 3 6 2" xfId="8222" xr:uid="{5A64C936-8210-4C07-9855-E4106D5BB1C6}"/>
    <cellStyle name="Comma 7 3 6 2 2" xfId="8223" xr:uid="{00F6E94F-F0D5-44B7-8BFF-32DF21C0B6DA}"/>
    <cellStyle name="Comma 7 3 6 2 3" xfId="28391" xr:uid="{A947732A-D75B-4633-99BB-7FEAF2DDBBA9}"/>
    <cellStyle name="Comma 7 3 6 2 4" xfId="28392" xr:uid="{2147A433-C30F-4A59-BCD5-613BE82FDA03}"/>
    <cellStyle name="Comma 7 3 6 2 5" xfId="28393" xr:uid="{4EE913B4-CEF7-4DB7-A136-6AF0B72542C2}"/>
    <cellStyle name="Comma 7 3 6 3" xfId="8224" xr:uid="{6491F204-A019-4876-94C7-B5194D293ED7}"/>
    <cellStyle name="Comma 7 3 6 4" xfId="28394" xr:uid="{66CB603D-ECB4-461C-8572-CA4A960EA7DD}"/>
    <cellStyle name="Comma 7 3 6 5" xfId="28395" xr:uid="{36C95710-9A22-4222-B3FF-A5E70CDAEE58}"/>
    <cellStyle name="Comma 7 3 6 6" xfId="28396" xr:uid="{15570EC6-1796-42D4-9D46-870CD1031F62}"/>
    <cellStyle name="Comma 7 3 6 7" xfId="42685" xr:uid="{F66CE99C-F5F4-43B9-ACA3-397C90206950}"/>
    <cellStyle name="Comma 7 3 6 8" xfId="43833" xr:uid="{468B2F3E-8C38-46A3-8AB1-3809727680C2}"/>
    <cellStyle name="Comma 7 3 7" xfId="8225" xr:uid="{BA68FE4B-3A2F-4FDC-B9F1-75845C85FD67}"/>
    <cellStyle name="Comma 7 3 7 2" xfId="8226" xr:uid="{2001FEE1-C2BC-4912-BBE9-FE56B7CCB022}"/>
    <cellStyle name="Comma 7 3 7 2 2" xfId="8227" xr:uid="{311C466F-74AA-48A0-B28C-0C34A5FDD9D3}"/>
    <cellStyle name="Comma 7 3 7 2 3" xfId="28397" xr:uid="{9B2FA6EE-F278-4D9B-95E5-52F6C57FD07B}"/>
    <cellStyle name="Comma 7 3 7 2 4" xfId="28398" xr:uid="{8282DC0F-9C94-437C-A74B-4924B35B7396}"/>
    <cellStyle name="Comma 7 3 7 2 5" xfId="28399" xr:uid="{9177C6C8-4046-444D-ADE6-B9EB82FFF6E9}"/>
    <cellStyle name="Comma 7 3 7 3" xfId="8228" xr:uid="{78BF4758-7941-4DA6-B370-D9EC3CA98E6E}"/>
    <cellStyle name="Comma 7 3 7 4" xfId="28400" xr:uid="{709289F0-033E-4861-A358-E45304A07FAB}"/>
    <cellStyle name="Comma 7 3 7 5" xfId="28401" xr:uid="{FDC67B1F-181F-4886-A2A5-0B9786EDE1DF}"/>
    <cellStyle name="Comma 7 3 7 6" xfId="28402" xr:uid="{FAE4D40D-61F1-4B9A-B282-CB7A8AD3082C}"/>
    <cellStyle name="Comma 7 3 7 7" xfId="42686" xr:uid="{F2FAC0F5-8AC4-4F22-9977-FD4A825FA818}"/>
    <cellStyle name="Comma 7 3 7 8" xfId="43834" xr:uid="{2FB5755D-E965-4DAF-88DA-A2FC61D7DD34}"/>
    <cellStyle name="Comma 7 3 8" xfId="8229" xr:uid="{BB5E30C0-AF75-4514-82AB-9258AB0AB4F7}"/>
    <cellStyle name="Comma 7 3 8 2" xfId="8230" xr:uid="{D2B802B4-FA31-4D69-B4EB-3885C1731EF1}"/>
    <cellStyle name="Comma 7 3 8 2 2" xfId="8231" xr:uid="{318E6188-3C30-4F33-BCD1-84EB1731B710}"/>
    <cellStyle name="Comma 7 3 8 2 3" xfId="28403" xr:uid="{7B1886B7-7B5F-4DB4-BF6B-E908606C2177}"/>
    <cellStyle name="Comma 7 3 8 2 4" xfId="28404" xr:uid="{125AFB03-81F8-4487-AAC9-571F15700C96}"/>
    <cellStyle name="Comma 7 3 8 2 5" xfId="28405" xr:uid="{D2AEE856-8473-4D19-8D61-821F6791E08F}"/>
    <cellStyle name="Comma 7 3 8 3" xfId="8232" xr:uid="{F23540B9-0748-4230-AED2-8B32AB3A48BE}"/>
    <cellStyle name="Comma 7 3 8 4" xfId="28406" xr:uid="{2429B72C-7441-48DF-8754-BF6E7FE74066}"/>
    <cellStyle name="Comma 7 3 8 5" xfId="28407" xr:uid="{9C9D9D36-9886-48BC-9211-2F687F70CE08}"/>
    <cellStyle name="Comma 7 3 8 6" xfId="28408" xr:uid="{A63EC0E2-9F42-4206-B4F0-8FEF9E11C052}"/>
    <cellStyle name="Comma 7 3 8 7" xfId="42687" xr:uid="{6CD19FC5-9C44-4800-AB81-864C7FD11B34}"/>
    <cellStyle name="Comma 7 3 8 8" xfId="43835" xr:uid="{A332EF45-5734-46B1-A947-045AFD6DC14D}"/>
    <cellStyle name="Comma 7 3 9" xfId="8233" xr:uid="{02B657C1-7369-4CCD-8989-216054296A7E}"/>
    <cellStyle name="Comma 7 3 9 2" xfId="8234" xr:uid="{67EAE0FD-B0A2-477B-A45F-AD34D986A3E3}"/>
    <cellStyle name="Comma 7 3 9 2 2" xfId="8235" xr:uid="{153F5FDA-FB20-4F87-9D36-9B14BB57EABD}"/>
    <cellStyle name="Comma 7 3 9 2 3" xfId="28409" xr:uid="{C0A068D2-F4CD-4B88-A4C4-54B1C9A1B462}"/>
    <cellStyle name="Comma 7 3 9 2 4" xfId="28410" xr:uid="{4AAECAF8-3FEB-42C3-BB96-38D71C164E61}"/>
    <cellStyle name="Comma 7 3 9 2 5" xfId="28411" xr:uid="{2FA904A1-DF02-43CD-B6C5-254EF4894120}"/>
    <cellStyle name="Comma 7 3 9 3" xfId="8236" xr:uid="{DD8CF439-A5F6-4AFD-9513-4A6BF6DE5264}"/>
    <cellStyle name="Comma 7 3 9 4" xfId="28412" xr:uid="{BAE6B94E-3462-4BFE-AB4A-BE1BD9A73018}"/>
    <cellStyle name="Comma 7 3 9 5" xfId="28413" xr:uid="{F8AA76ED-7E75-422A-BD9E-3D65CD759252}"/>
    <cellStyle name="Comma 7 3 9 6" xfId="28414" xr:uid="{1A7ABDB3-F78D-45E0-9DB4-B6FC4D226C12}"/>
    <cellStyle name="Comma 7 3 9 7" xfId="42688" xr:uid="{C22D4E9F-ED90-4743-B842-0B1A2B4D5AC6}"/>
    <cellStyle name="Comma 7 3 9 8" xfId="43836" xr:uid="{C1092E74-F90A-4463-B964-1160FF52C74D}"/>
    <cellStyle name="Comma 7 4" xfId="8237" xr:uid="{8D7CC8E9-E6A5-4F0B-ACF1-FA9D81488EF3}"/>
    <cellStyle name="Comma 7 4 10" xfId="43837" xr:uid="{895FCBA1-B562-4181-9265-0073A82F2BB8}"/>
    <cellStyle name="Comma 7 4 2" xfId="8238" xr:uid="{D90DCD70-80E9-40DF-A3BE-370F712027D5}"/>
    <cellStyle name="Comma 7 4 2 2" xfId="8239" xr:uid="{1CEA2A3A-4675-4783-8112-89DE449F1026}"/>
    <cellStyle name="Comma 7 4 2 3" xfId="28415" xr:uid="{4C99D491-89EE-4CDE-A1B9-8001C77F36EE}"/>
    <cellStyle name="Comma 7 4 2 4" xfId="28416" xr:uid="{96112BE2-70A1-49E1-AD41-6F55BEF71020}"/>
    <cellStyle name="Comma 7 4 2 5" xfId="28417" xr:uid="{48F20424-6BF3-47DD-A42B-1398D964E685}"/>
    <cellStyle name="Comma 7 4 3" xfId="8240" xr:uid="{C0F6FF61-6877-4BF2-9512-496F3455FA65}"/>
    <cellStyle name="Comma 7 4 3 2" xfId="28418" xr:uid="{65D82141-14E8-463B-9F9E-3CF636D68E99}"/>
    <cellStyle name="Comma 7 4 4" xfId="8241" xr:uid="{24CB5D19-8807-420D-A15D-E73F1DCBC559}"/>
    <cellStyle name="Comma 7 4 5" xfId="28419" xr:uid="{6A977445-9425-4486-B4EB-BA343FDDDC58}"/>
    <cellStyle name="Comma 7 4 6" xfId="28420" xr:uid="{6F83BF13-1D9B-4E6E-BAE3-8420F77E4795}"/>
    <cellStyle name="Comma 7 4 7" xfId="28421" xr:uid="{2B5FC161-7345-4849-90A8-BC770EEF186A}"/>
    <cellStyle name="Comma 7 4 8" xfId="28422" xr:uid="{78CEDD4C-B5BE-4978-B369-6D8FB77A8ED1}"/>
    <cellStyle name="Comma 7 4 9" xfId="42689" xr:uid="{7FA53B1C-63D0-465E-9E89-2C6FD657B51D}"/>
    <cellStyle name="Comma 7 5" xfId="8242" xr:uid="{C33DEF5D-F429-4034-8DBA-0303D0954212}"/>
    <cellStyle name="Comma 7 5 2" xfId="8243" xr:uid="{E10A0D03-0A36-43F4-ABBE-2EC15F0E4A1B}"/>
    <cellStyle name="Comma 7 5 2 2" xfId="8244" xr:uid="{4D6D8EF7-08B3-4CC8-A21E-0FAB8435A904}"/>
    <cellStyle name="Comma 7 5 2 3" xfId="28423" xr:uid="{394F68A2-7A80-43E9-92BC-3D5517C78223}"/>
    <cellStyle name="Comma 7 5 2 4" xfId="28424" xr:uid="{DBA501A2-93B0-4A34-B95F-CD58D95D6485}"/>
    <cellStyle name="Comma 7 5 2 5" xfId="28425" xr:uid="{E089888D-E468-4F8E-BAA7-54FC23B9AE04}"/>
    <cellStyle name="Comma 7 5 3" xfId="8245" xr:uid="{8726D500-2ECE-437B-B1B7-377C75447F2E}"/>
    <cellStyle name="Comma 7 5 4" xfId="8246" xr:uid="{4BA2D802-7EEC-47B0-9025-733B990315CE}"/>
    <cellStyle name="Comma 7 5 5" xfId="28426" xr:uid="{0ED136D2-71B8-4C27-A933-5EDA1E23BC1F}"/>
    <cellStyle name="Comma 7 5 6" xfId="28427" xr:uid="{5FC6041F-0190-4E64-BA48-BFFEA5DC1D2B}"/>
    <cellStyle name="Comma 7 5 7" xfId="28428" xr:uid="{4AC8E6C5-E59E-4756-9E15-B617AABD5A6B}"/>
    <cellStyle name="Comma 7 5 8" xfId="42690" xr:uid="{2155C777-3FE0-4F40-8CA3-CC7947FCACB4}"/>
    <cellStyle name="Comma 7 5 9" xfId="43838" xr:uid="{E5AC7DCE-B6BC-44A6-AE2D-24014E5FFD0E}"/>
    <cellStyle name="Comma 7 6" xfId="8247" xr:uid="{C8DCA168-5D7E-472C-8420-C4D5AF90F634}"/>
    <cellStyle name="Comma 7 6 2" xfId="8248" xr:uid="{F730C5DD-913A-41C9-BFBE-66B3D806EECB}"/>
    <cellStyle name="Comma 7 6 2 2" xfId="8249" xr:uid="{BAA4BB9A-6276-4586-B4F4-5D5BC5FC26A1}"/>
    <cellStyle name="Comma 7 6 2 3" xfId="28429" xr:uid="{AB8847D2-9006-4F9C-A10C-6F60E3838F57}"/>
    <cellStyle name="Comma 7 6 2 4" xfId="28430" xr:uid="{9B46F987-DAB5-45DD-BB10-D01B3EE3146C}"/>
    <cellStyle name="Comma 7 6 2 5" xfId="28431" xr:uid="{52750057-61FB-4105-8B54-BD61D6B0FD57}"/>
    <cellStyle name="Comma 7 6 3" xfId="8250" xr:uid="{112B9745-BA5E-4C85-8ACB-A5B21F8CC0C3}"/>
    <cellStyle name="Comma 7 6 4" xfId="28432" xr:uid="{0066B281-6830-4873-BBDD-BD39CF290F11}"/>
    <cellStyle name="Comma 7 6 5" xfId="28433" xr:uid="{7C887EAE-1B46-4263-BEA9-4319FC32A354}"/>
    <cellStyle name="Comma 7 6 6" xfId="28434" xr:uid="{E0C95B95-9899-4E6B-ADDB-83810EDCF713}"/>
    <cellStyle name="Comma 7 6 7" xfId="42691" xr:uid="{A51913C2-74D3-497E-B712-90C865CAAA0D}"/>
    <cellStyle name="Comma 7 6 8" xfId="43839" xr:uid="{656E5673-9FC8-4E87-B1F9-D9A999C51798}"/>
    <cellStyle name="Comma 7 7" xfId="8251" xr:uid="{540493C6-647C-444F-9FCE-B2C5D1116E2F}"/>
    <cellStyle name="Comma 7 7 2" xfId="8252" xr:uid="{43603560-7B05-4F05-9F1A-1775492FAB59}"/>
    <cellStyle name="Comma 7 7 2 2" xfId="8253" xr:uid="{3953E960-88B3-4E62-B73C-887EA5019854}"/>
    <cellStyle name="Comma 7 7 2 3" xfId="28435" xr:uid="{98A116DC-B320-4AB8-AC75-81804B82CC63}"/>
    <cellStyle name="Comma 7 7 2 4" xfId="28436" xr:uid="{9E69DE14-DA74-480C-ADCC-F6E74A577B32}"/>
    <cellStyle name="Comma 7 7 2 5" xfId="28437" xr:uid="{5796B592-86EF-4779-AE0F-C8B1E8AAB908}"/>
    <cellStyle name="Comma 7 7 3" xfId="8254" xr:uid="{B8E88597-3681-41F5-A158-0E86DBCDCEEC}"/>
    <cellStyle name="Comma 7 7 4" xfId="28438" xr:uid="{5FABBA76-C2E8-409C-806E-A713576CC761}"/>
    <cellStyle name="Comma 7 7 5" xfId="28439" xr:uid="{F09603CD-43C9-4EB3-8C44-7A302CBB13CD}"/>
    <cellStyle name="Comma 7 7 6" xfId="28440" xr:uid="{536D7A0E-0132-48CB-977B-FDD72C979241}"/>
    <cellStyle name="Comma 7 7 7" xfId="42692" xr:uid="{09BA391B-014D-44E9-93F0-0C9B0915E9B5}"/>
    <cellStyle name="Comma 7 7 8" xfId="43840" xr:uid="{41970E6F-6FBB-4526-820D-AE4C1B027506}"/>
    <cellStyle name="Comma 7 8" xfId="8255" xr:uid="{1EB66BC6-033B-4140-8D6C-FA9FAEE28386}"/>
    <cellStyle name="Comma 7 8 2" xfId="8256" xr:uid="{9957EF37-747E-4901-941A-3D1AEFF10615}"/>
    <cellStyle name="Comma 7 8 2 2" xfId="8257" xr:uid="{F87338CD-CAA8-40D7-9E65-C760F2C06CF3}"/>
    <cellStyle name="Comma 7 8 2 3" xfId="28441" xr:uid="{3BE21664-B966-4780-867D-0D7BEDFFE53D}"/>
    <cellStyle name="Comma 7 8 2 4" xfId="28442" xr:uid="{465F4018-BCB5-4566-91ED-04F2550013E2}"/>
    <cellStyle name="Comma 7 8 2 5" xfId="28443" xr:uid="{EB000A1A-BB54-4619-AD4E-98211493BCA1}"/>
    <cellStyle name="Comma 7 8 3" xfId="8258" xr:uid="{3D5F6B6D-AC8E-49C6-A783-F6ABD4C4978A}"/>
    <cellStyle name="Comma 7 8 4" xfId="28444" xr:uid="{C7833CD4-C17B-499F-AB14-EE41E8BF36EB}"/>
    <cellStyle name="Comma 7 8 5" xfId="28445" xr:uid="{F62496F5-84E7-4234-B495-66402D39280C}"/>
    <cellStyle name="Comma 7 8 6" xfId="28446" xr:uid="{22D6F045-EA3E-4E1E-B70C-3CD8E6885EC5}"/>
    <cellStyle name="Comma 7 8 7" xfId="42693" xr:uid="{A0F2DBF4-D2B9-4B0A-87C7-A6102CF84DDA}"/>
    <cellStyle name="Comma 7 8 8" xfId="43841" xr:uid="{ED950313-047A-4E01-8C72-60449327A999}"/>
    <cellStyle name="Comma 7 9" xfId="8259" xr:uid="{540E3F43-2A9D-4869-8902-0EF4C82B411B}"/>
    <cellStyle name="Comma 7 9 2" xfId="8260" xr:uid="{3B201C76-C426-413F-9C98-BE23F29B6E90}"/>
    <cellStyle name="Comma 7 9 2 2" xfId="8261" xr:uid="{20A03AD3-C67C-4D29-BD3D-BCA5F75B87AB}"/>
    <cellStyle name="Comma 7 9 2 3" xfId="28447" xr:uid="{596C0318-93E1-438A-AB24-6CED61A03994}"/>
    <cellStyle name="Comma 7 9 2 4" xfId="28448" xr:uid="{2A8353DD-DDD2-423B-8B67-526FAD82987B}"/>
    <cellStyle name="Comma 7 9 2 5" xfId="28449" xr:uid="{0083DD57-6342-4292-A3BF-E7DD539A9526}"/>
    <cellStyle name="Comma 7 9 3" xfId="8262" xr:uid="{F2768D9F-88C8-47C6-9808-275355368AEF}"/>
    <cellStyle name="Comma 7 9 4" xfId="28450" xr:uid="{B934A3C8-B983-4522-AA59-367B45ABCD77}"/>
    <cellStyle name="Comma 7 9 5" xfId="28451" xr:uid="{04D855C5-2681-40C7-9E9B-428B5D46C816}"/>
    <cellStyle name="Comma 7 9 6" xfId="28452" xr:uid="{0E6D068E-2A61-44CC-969C-90AA5C503A61}"/>
    <cellStyle name="Comma 7 9 7" xfId="42694" xr:uid="{047F4737-6C7E-4884-9738-C0C29559AF6D}"/>
    <cellStyle name="Comma 7 9 8" xfId="43842" xr:uid="{11B2EF7B-2C1C-4015-A879-1EBC690CFA4B}"/>
    <cellStyle name="Comma 8" xfId="8263" xr:uid="{FEF3FDF6-75AB-4A9F-9681-F47F127A6B85}"/>
    <cellStyle name="Comma 8 10" xfId="28453" xr:uid="{036BD66B-2C63-4FFD-BBA8-215A53F29B70}"/>
    <cellStyle name="Comma 8 11" xfId="28454" xr:uid="{B643A50B-1156-474F-A757-78D48DEF71FC}"/>
    <cellStyle name="Comma 8 12" xfId="28455" xr:uid="{891B44A7-E0FB-4681-ABB2-0A24682B7ECB}"/>
    <cellStyle name="Comma 8 2" xfId="8264" xr:uid="{2705FA38-0EB2-4E60-95E3-8D65DDB4893A}"/>
    <cellStyle name="Comma 8 2 2" xfId="8265" xr:uid="{02EC0B34-46AD-46AE-B971-53E6F64325F8}"/>
    <cellStyle name="Comma 8 2 2 2" xfId="8266" xr:uid="{F36930BE-55AF-4C2A-96E4-053E58159BB8}"/>
    <cellStyle name="Comma 8 2 2 3" xfId="28456" xr:uid="{EBA57152-A68F-4292-8869-0F3B9DC72204}"/>
    <cellStyle name="Comma 8 2 2 4" xfId="28457" xr:uid="{F1C5197F-41E9-4A1C-8296-CDBB0B761B25}"/>
    <cellStyle name="Comma 8 2 2 5" xfId="28458" xr:uid="{F2624E07-7056-4818-801D-430AC8EF4437}"/>
    <cellStyle name="Comma 8 2 2 6" xfId="42696" xr:uid="{1E2649A8-770F-4CFE-9CC0-174F4F8B2444}"/>
    <cellStyle name="Comma 8 2 2 7" xfId="43844" xr:uid="{AA203CBE-9FBC-4C08-B57C-60D229BE1C0A}"/>
    <cellStyle name="Comma 8 2 3" xfId="8267" xr:uid="{E5F57F98-54C5-4C7A-A643-72C8E46E4CF6}"/>
    <cellStyle name="Comma 8 2 3 2" xfId="28459" xr:uid="{3A00D02A-1911-40B0-8CBC-52DE016251FB}"/>
    <cellStyle name="Comma 8 2 3 3" xfId="28460" xr:uid="{1C975B4D-3829-4D31-98F0-5C6ED36C6E2A}"/>
    <cellStyle name="Comma 8 2 4" xfId="28461" xr:uid="{415F6AAC-1FE1-4807-84FA-B77A56A2AE77}"/>
    <cellStyle name="Comma 8 2 5" xfId="28462" xr:uid="{785E174C-3EC2-44FC-952E-F976E3EC0800}"/>
    <cellStyle name="Comma 8 2 6" xfId="28463" xr:uid="{F95D3612-1AC7-4232-A6BD-59BAFF42E9D3}"/>
    <cellStyle name="Comma 8 2 7" xfId="42695" xr:uid="{62AFF22E-8843-4989-8234-8D3FF9B70B70}"/>
    <cellStyle name="Comma 8 2 8" xfId="43843" xr:uid="{05C5C6F3-78F1-4B3B-A205-6BEF38953DED}"/>
    <cellStyle name="Comma 8 3" xfId="8268" xr:uid="{DC33BF01-E918-4ED3-AB0D-DE6698F413F7}"/>
    <cellStyle name="Comma 8 3 2" xfId="8269" xr:uid="{67733151-8B1B-4BC5-BE02-76A16F3B64EC}"/>
    <cellStyle name="Comma 8 3 2 2" xfId="8270" xr:uid="{F4912EA4-0C0A-4133-82CE-43C111349B19}"/>
    <cellStyle name="Comma 8 3 2 3" xfId="28464" xr:uid="{10B4C0A5-196F-4B73-AF73-3AE733B4E55A}"/>
    <cellStyle name="Comma 8 3 2 4" xfId="28465" xr:uid="{40FDC79D-AB4C-4F80-898C-D6E5E35F351C}"/>
    <cellStyle name="Comma 8 3 2 5" xfId="28466" xr:uid="{63EE5B3A-6D0E-43EC-A84F-51FF3604DEE3}"/>
    <cellStyle name="Comma 8 3 3" xfId="8271" xr:uid="{AEA1DD2C-EEB1-40A5-8F4C-7A7B05FBE9D9}"/>
    <cellStyle name="Comma 8 3 4" xfId="28467" xr:uid="{62AAA505-7350-430F-8723-5EEED26F0788}"/>
    <cellStyle name="Comma 8 3 5" xfId="28468" xr:uid="{0BB871D5-BD36-4731-9EB2-388F4BBAAAAB}"/>
    <cellStyle name="Comma 8 3 6" xfId="28469" xr:uid="{E32DD5ED-83C9-4992-AAF1-6FD944071515}"/>
    <cellStyle name="Comma 8 3 7" xfId="42697" xr:uid="{FF13DE9D-DE8A-4945-9535-BE2E70F3E96E}"/>
    <cellStyle name="Comma 8 3 8" xfId="43845" xr:uid="{B8BD7675-3952-485E-B854-AACF8046C7AD}"/>
    <cellStyle name="Comma 8 4" xfId="8272" xr:uid="{A1605A43-D042-46F3-8651-4066EAC38816}"/>
    <cellStyle name="Comma 8 4 2" xfId="8273" xr:uid="{11C167A7-2E0A-425B-B3A0-678FE49DEE7E}"/>
    <cellStyle name="Comma 8 4 2 2" xfId="8274" xr:uid="{970EB754-DD93-4EF8-B0B8-8E22F7624AF3}"/>
    <cellStyle name="Comma 8 4 2 3" xfId="28470" xr:uid="{576B4F57-FCAD-453D-9934-2495A52682F7}"/>
    <cellStyle name="Comma 8 4 2 4" xfId="28471" xr:uid="{50D62BC9-3686-451D-A24B-59C554F52274}"/>
    <cellStyle name="Comma 8 4 2 5" xfId="28472" xr:uid="{430F8360-DC95-4640-85C7-D7B8C4FE016C}"/>
    <cellStyle name="Comma 8 4 3" xfId="8275" xr:uid="{676F97CF-F2D1-4B5F-BE93-F0496EC0A1DD}"/>
    <cellStyle name="Comma 8 4 4" xfId="28473" xr:uid="{ACCB720A-E2E4-4A74-A34D-1350ADB14F92}"/>
    <cellStyle name="Comma 8 4 5" xfId="28474" xr:uid="{4F928414-C764-431E-9549-A523B118C935}"/>
    <cellStyle name="Comma 8 4 6" xfId="28475" xr:uid="{4B322A2B-8F9C-4F7F-9D81-38369DBBBA99}"/>
    <cellStyle name="Comma 8 4 7" xfId="42698" xr:uid="{599E715F-24FC-4696-BA57-48C63FAC8BD5}"/>
    <cellStyle name="Comma 8 4 8" xfId="43846" xr:uid="{2977A84F-73B3-461A-B143-519FE3AD5741}"/>
    <cellStyle name="Comma 8 5" xfId="8276" xr:uid="{26142E9E-B818-42FE-B66C-9B470075EF35}"/>
    <cellStyle name="Comma 8 5 2" xfId="8277" xr:uid="{38333706-5F92-4A5A-B275-D8CBA3386FD2}"/>
    <cellStyle name="Comma 8 5 2 2" xfId="8278" xr:uid="{E0701425-F8E8-430C-8AE2-46AA3375871B}"/>
    <cellStyle name="Comma 8 5 2 3" xfId="28476" xr:uid="{5911AF4D-F362-4EDA-9B20-36720D06DEF3}"/>
    <cellStyle name="Comma 8 5 2 4" xfId="28477" xr:uid="{63873A8B-23AE-46A6-A25F-F8F8F0A7E0C2}"/>
    <cellStyle name="Comma 8 5 2 5" xfId="28478" xr:uid="{4317647D-6795-47A8-9334-7BC9FD4E3705}"/>
    <cellStyle name="Comma 8 5 3" xfId="8279" xr:uid="{AB4F439B-90A4-4534-97A4-B00F8874264B}"/>
    <cellStyle name="Comma 8 5 4" xfId="28479" xr:uid="{1FD60939-00BD-4393-ADB7-32DD92F61802}"/>
    <cellStyle name="Comma 8 5 5" xfId="28480" xr:uid="{A096A9AE-1A0E-4DC7-A027-D97623E6795D}"/>
    <cellStyle name="Comma 8 5 6" xfId="28481" xr:uid="{8B91376F-9C0C-4980-8CB0-A1A981661918}"/>
    <cellStyle name="Comma 8 5 7" xfId="42699" xr:uid="{7796F5B8-98EE-42A2-8F4F-6DBE01E26D27}"/>
    <cellStyle name="Comma 8 5 8" xfId="43847" xr:uid="{83CF6AAC-9E88-42DE-AA62-DDADDEBE77AB}"/>
    <cellStyle name="Comma 8 6" xfId="8280" xr:uid="{22AA12CB-7DC6-424F-8C7E-87E1AC82B6D0}"/>
    <cellStyle name="Comma 8 6 2" xfId="8281" xr:uid="{5552AA01-F9A9-424C-BF57-EA5A60EFC7E1}"/>
    <cellStyle name="Comma 8 6 2 2" xfId="8282" xr:uid="{0E8C0D43-4F7F-404B-A629-F9DCFDCDC448}"/>
    <cellStyle name="Comma 8 6 2 3" xfId="28482" xr:uid="{175BE97F-8718-4D3B-92AA-F35ECA3882D7}"/>
    <cellStyle name="Comma 8 6 2 4" xfId="28483" xr:uid="{AF942AF3-20C0-4512-947F-B492FAD151A1}"/>
    <cellStyle name="Comma 8 6 2 5" xfId="28484" xr:uid="{B9D5E953-EFBA-4AB2-9C36-4B9B2DADB894}"/>
    <cellStyle name="Comma 8 6 3" xfId="8283" xr:uid="{3ECCB9C6-4CEF-4828-8B0F-0A71D5F32174}"/>
    <cellStyle name="Comma 8 6 4" xfId="28485" xr:uid="{44F8A525-1829-427D-8C09-3BF3F08908AD}"/>
    <cellStyle name="Comma 8 6 5" xfId="28486" xr:uid="{CF727D69-9997-45AF-B8E9-0862102D7CD2}"/>
    <cellStyle name="Comma 8 6 6" xfId="28487" xr:uid="{15CE9150-BBE9-4895-BC23-D53ECBF9C4DC}"/>
    <cellStyle name="Comma 8 6 7" xfId="42700" xr:uid="{B3B1B070-E826-4199-8C65-9A876DE0E1D7}"/>
    <cellStyle name="Comma 8 6 8" xfId="43848" xr:uid="{CA716354-AC8C-47E7-A343-053355D749BE}"/>
    <cellStyle name="Comma 8 7" xfId="8284" xr:uid="{E1F5ABEF-043D-4341-AF3E-3BE8C290C32C}"/>
    <cellStyle name="Comma 8 7 2" xfId="8285" xr:uid="{7502B893-EFA5-4D85-B01D-2FD75442699A}"/>
    <cellStyle name="Comma 8 7 2 2" xfId="8286" xr:uid="{5171B3DB-90DE-4E72-8B30-26E90031782A}"/>
    <cellStyle name="Comma 8 7 2 3" xfId="28488" xr:uid="{49957646-3B5C-4266-A14E-CF859BF2DF72}"/>
    <cellStyle name="Comma 8 7 2 4" xfId="28489" xr:uid="{8F7A06E7-73B9-43BC-95CC-BB1CFCA2C1AD}"/>
    <cellStyle name="Comma 8 7 2 5" xfId="28490" xr:uid="{2B17A307-56D4-4F69-91A2-C2E58BFADED4}"/>
    <cellStyle name="Comma 8 7 3" xfId="8287" xr:uid="{662D9940-1CE8-4185-8BC3-61147073C01A}"/>
    <cellStyle name="Comma 8 7 4" xfId="28491" xr:uid="{E154918F-B732-4D3D-A884-1BB9A1E60922}"/>
    <cellStyle name="Comma 8 7 5" xfId="28492" xr:uid="{1F35CDC4-CA95-4112-97D0-0C89868DBE68}"/>
    <cellStyle name="Comma 8 7 6" xfId="28493" xr:uid="{6031B957-9A95-41EF-913E-42460622E38C}"/>
    <cellStyle name="Comma 8 7 7" xfId="42701" xr:uid="{D84176E7-BE99-476D-A787-6141B98CF1F9}"/>
    <cellStyle name="Comma 8 7 8" xfId="43849" xr:uid="{7100FF23-2FE5-427A-AE5B-0FE793BCBE61}"/>
    <cellStyle name="Comma 8 8" xfId="8288" xr:uid="{28C528EF-874F-47E8-AC59-B44717791E17}"/>
    <cellStyle name="Comma 8 8 2" xfId="8289" xr:uid="{5C8A76E3-18D5-42BA-BC51-4C7EA25BC100}"/>
    <cellStyle name="Comma 8 8 2 2" xfId="8290" xr:uid="{40117953-AAF9-4B6E-A8F4-B1A931074A21}"/>
    <cellStyle name="Comma 8 8 2 3" xfId="28494" xr:uid="{7453CFE2-D339-4879-92FD-885709FB83E9}"/>
    <cellStyle name="Comma 8 8 2 4" xfId="28495" xr:uid="{8729D2AC-EA1B-4A1F-A44C-8A4ACAAEE572}"/>
    <cellStyle name="Comma 8 8 2 5" xfId="28496" xr:uid="{DF804E7E-9356-4EB6-9705-3754A2942320}"/>
    <cellStyle name="Comma 8 8 3" xfId="8291" xr:uid="{2B7B9F24-7E01-4E5E-96C5-B68BF7EAF7BD}"/>
    <cellStyle name="Comma 8 8 4" xfId="28497" xr:uid="{DA82E56D-3D65-450A-BD2B-6B3263FE8D36}"/>
    <cellStyle name="Comma 8 8 5" xfId="28498" xr:uid="{D34D4DAD-1D35-4201-B837-1D1E47DB82BC}"/>
    <cellStyle name="Comma 8 8 6" xfId="28499" xr:uid="{9A851E21-393C-40F4-BD9D-D8B2FEE65FA7}"/>
    <cellStyle name="Comma 8 8 7" xfId="42702" xr:uid="{979055C8-5C8B-4C76-842E-2A941FAA1885}"/>
    <cellStyle name="Comma 8 8 8" xfId="43850" xr:uid="{389A9A07-6C32-47DD-9D01-1CFDB6DD4C23}"/>
    <cellStyle name="Comma 8 9" xfId="8292" xr:uid="{ABBFA0DC-46A4-4D92-81DC-98B5392F41AB}"/>
    <cellStyle name="Comma 9" xfId="8293" xr:uid="{AFEF1B1D-8753-4563-BE52-9882630930D9}"/>
    <cellStyle name="Comma 9 10" xfId="8294" xr:uid="{F0B9709A-1C85-4CDA-8E68-ED82142BD2E2}"/>
    <cellStyle name="Comma 9 10 2" xfId="8295" xr:uid="{0C2C9C58-9557-422D-B939-2C4D9B1C99A7}"/>
    <cellStyle name="Comma 9 10 3" xfId="28500" xr:uid="{C7737AD0-C665-41C7-8B15-75744828BD61}"/>
    <cellStyle name="Comma 9 10 4" xfId="28501" xr:uid="{6863458E-294A-4320-88DC-92E209D11C02}"/>
    <cellStyle name="Comma 9 10 5" xfId="28502" xr:uid="{DF242D9E-9966-4E6B-B225-C16346A27572}"/>
    <cellStyle name="Comma 9 11" xfId="8296" xr:uid="{6E903C77-47F8-43CF-A0D9-DC2C188F0839}"/>
    <cellStyle name="Comma 9 11 2" xfId="28503" xr:uid="{6B58397C-5896-4718-A646-7F08C9AB99FB}"/>
    <cellStyle name="Comma 9 12" xfId="8297" xr:uid="{79D2866A-56EF-4D9D-8528-EECCD8346F8C}"/>
    <cellStyle name="Comma 9 13" xfId="28504" xr:uid="{1692C669-1A2C-438B-AA2F-7FFC5940B17C}"/>
    <cellStyle name="Comma 9 14" xfId="28505" xr:uid="{83B26E31-100C-4D09-888B-8422BDE53FBD}"/>
    <cellStyle name="Comma 9 15" xfId="28506" xr:uid="{7B3507F5-FC76-4FC1-BA2B-ACE01D4CF1C0}"/>
    <cellStyle name="Comma 9 16" xfId="28507" xr:uid="{A0365528-2733-470D-A4F7-4F0B8BCED65D}"/>
    <cellStyle name="Comma 9 17" xfId="42703" xr:uid="{4AEFDA3B-85CF-4F5E-AD9C-D6AD6FF78E44}"/>
    <cellStyle name="Comma 9 18" xfId="43851" xr:uid="{88968076-ED53-4813-8D78-DE8C07FDB039}"/>
    <cellStyle name="Comma 9 2" xfId="8298" xr:uid="{7A25E8EB-D42E-490E-BCF1-944518C2CDE0}"/>
    <cellStyle name="Comma 9 2 2" xfId="8299" xr:uid="{C375E527-CC25-4673-8A0E-26B14F073413}"/>
    <cellStyle name="Comma 9 2 2 2" xfId="8300" xr:uid="{267972B6-C0FC-44EE-8FD3-785317AEB30A}"/>
    <cellStyle name="Comma 9 2 2 3" xfId="28508" xr:uid="{BD6EB0BF-0BDA-48C4-AAAF-9E9E82E0E0E6}"/>
    <cellStyle name="Comma 9 2 2 4" xfId="28509" xr:uid="{47F9D016-0A5F-4CA8-ADEE-A927743CB5A4}"/>
    <cellStyle name="Comma 9 2 2 5" xfId="28510" xr:uid="{D828692E-D474-456E-B965-36C31B5A5FC9}"/>
    <cellStyle name="Comma 9 2 3" xfId="8301" xr:uid="{6FCF407E-DB37-4CBE-86DA-7D19D98D9943}"/>
    <cellStyle name="Comma 9 2 4" xfId="28511" xr:uid="{2037F239-EFF5-4190-96D3-66FB64983DA7}"/>
    <cellStyle name="Comma 9 2 5" xfId="28512" xr:uid="{F5FF8876-6F44-480A-A626-C39CC451A39B}"/>
    <cellStyle name="Comma 9 2 6" xfId="28513" xr:uid="{57FC96FA-A251-41B1-98FE-78D201B32D60}"/>
    <cellStyle name="Comma 9 2 7" xfId="42704" xr:uid="{A61F6EA1-3DB7-4F51-AE91-D75672CB5B61}"/>
    <cellStyle name="Comma 9 2 8" xfId="43852" xr:uid="{DB5670DD-DF25-4576-AA04-C84744302E8C}"/>
    <cellStyle name="Comma 9 3" xfId="8302" xr:uid="{7BDF9DBC-E1BC-4446-B4CD-F7C753EE9CB3}"/>
    <cellStyle name="Comma 9 3 2" xfId="8303" xr:uid="{23669249-C4FC-454F-9038-8253AF2DDBA6}"/>
    <cellStyle name="Comma 9 3 2 2" xfId="8304" xr:uid="{17A8A5F8-C154-44D0-9A6A-DDF8E5082977}"/>
    <cellStyle name="Comma 9 3 2 3" xfId="28514" xr:uid="{8ABF6261-0B3B-4050-B42B-C908F0F6202A}"/>
    <cellStyle name="Comma 9 3 2 4" xfId="28515" xr:uid="{A8F1DF82-F703-4D55-8D1E-08D01A20A8DB}"/>
    <cellStyle name="Comma 9 3 2 5" xfId="28516" xr:uid="{5A05059F-AAF2-4AD0-B7DC-0657AE890632}"/>
    <cellStyle name="Comma 9 3 3" xfId="8305" xr:uid="{692617FD-B319-497E-AFA0-78D368040F5E}"/>
    <cellStyle name="Comma 9 3 4" xfId="28517" xr:uid="{90B97F76-D48B-49AF-AA04-AC60C1390973}"/>
    <cellStyle name="Comma 9 3 5" xfId="28518" xr:uid="{A378196E-A342-4368-969B-3652BE655872}"/>
    <cellStyle name="Comma 9 3 6" xfId="28519" xr:uid="{50F3DD03-4746-4C79-A1B5-541C4E75EFE4}"/>
    <cellStyle name="Comma 9 3 7" xfId="42705" xr:uid="{2A8413A8-C395-4370-B661-EAF295830325}"/>
    <cellStyle name="Comma 9 3 8" xfId="43853" xr:uid="{7E0D501D-CCDD-41F8-B7B4-A37DE727E220}"/>
    <cellStyle name="Comma 9 4" xfId="8306" xr:uid="{D2C58BF6-3613-4827-9C78-E4EAFBAEDAC1}"/>
    <cellStyle name="Comma 9 4 2" xfId="8307" xr:uid="{F696F638-B65C-4A7F-A0A3-F535BE278A4D}"/>
    <cellStyle name="Comma 9 4 2 2" xfId="8308" xr:uid="{185346FC-65B7-4A86-AE3F-BEA867DB3FE0}"/>
    <cellStyle name="Comma 9 4 2 3" xfId="28520" xr:uid="{A839C0D1-2267-42DF-A4D5-91ECE24D0D82}"/>
    <cellStyle name="Comma 9 4 2 4" xfId="28521" xr:uid="{EC0AE7EE-3B04-4ACE-AADE-ADAB4B544BC1}"/>
    <cellStyle name="Comma 9 4 2 5" xfId="28522" xr:uid="{9DB2D8C4-B4AB-449A-9CEA-B38D05E9FAD1}"/>
    <cellStyle name="Comma 9 4 3" xfId="8309" xr:uid="{E8FB5A70-4DE2-447F-89D6-0FABDE75D53D}"/>
    <cellStyle name="Comma 9 4 4" xfId="28523" xr:uid="{761F8DB9-CBF6-45D5-A217-7023E136B9F3}"/>
    <cellStyle name="Comma 9 4 5" xfId="28524" xr:uid="{9A14CE5B-16B8-4DCE-9B77-59C57CE122E3}"/>
    <cellStyle name="Comma 9 4 6" xfId="28525" xr:uid="{AAE2E7FA-7620-4534-B48D-98610AF29303}"/>
    <cellStyle name="Comma 9 4 7" xfId="42706" xr:uid="{4CAF60A3-BEB2-4C73-A103-A18B877E2875}"/>
    <cellStyle name="Comma 9 4 8" xfId="43854" xr:uid="{6A9DAB52-9065-4C8A-BCB1-7144DD783F58}"/>
    <cellStyle name="Comma 9 5" xfId="8310" xr:uid="{2ADABA8E-8BBD-4C72-B9B0-E138F53C4CAB}"/>
    <cellStyle name="Comma 9 5 2" xfId="8311" xr:uid="{88CA1333-9D75-4F57-85F1-EBDE66DA22CB}"/>
    <cellStyle name="Comma 9 5 2 2" xfId="8312" xr:uid="{B639BE88-6A97-426C-8BC1-06843639077E}"/>
    <cellStyle name="Comma 9 5 2 3" xfId="28526" xr:uid="{E2644214-FD5A-4200-893B-2F7F42D83D40}"/>
    <cellStyle name="Comma 9 5 2 4" xfId="28527" xr:uid="{87BBB6B8-DD8F-4779-9C5A-BAA1723A3F96}"/>
    <cellStyle name="Comma 9 5 2 5" xfId="28528" xr:uid="{31FEF4EF-C09E-4C4A-8914-D4D7C198A79C}"/>
    <cellStyle name="Comma 9 5 3" xfId="8313" xr:uid="{A6D9FA3F-E253-431B-90F4-2B36F5EA2782}"/>
    <cellStyle name="Comma 9 5 4" xfId="28529" xr:uid="{DF9CF05D-0A0F-4C99-8015-542B7782E764}"/>
    <cellStyle name="Comma 9 5 5" xfId="28530" xr:uid="{789130E4-E6AF-4911-9F09-05F15519DAD0}"/>
    <cellStyle name="Comma 9 5 6" xfId="28531" xr:uid="{11241CCA-6097-4A0A-80D4-8E00C2C23D73}"/>
    <cellStyle name="Comma 9 5 7" xfId="42707" xr:uid="{31406727-D8D8-4A70-A7AD-4351EE18F2C8}"/>
    <cellStyle name="Comma 9 5 8" xfId="43855" xr:uid="{5AADE0F0-2E3D-4FC6-AC3D-969F8EABA1C6}"/>
    <cellStyle name="Comma 9 6" xfId="8314" xr:uid="{DD740536-AC78-4160-85DB-2BF660CC23FF}"/>
    <cellStyle name="Comma 9 6 2" xfId="8315" xr:uid="{9DD69E5F-F8BE-4096-8F70-9FCAC3CEF01A}"/>
    <cellStyle name="Comma 9 6 2 2" xfId="8316" xr:uid="{C50CFF46-EEF7-445C-AA60-FD5CDA81D93D}"/>
    <cellStyle name="Comma 9 6 2 3" xfId="28532" xr:uid="{D8FA5263-C00E-4C6F-9469-4DC7FA67114F}"/>
    <cellStyle name="Comma 9 6 2 4" xfId="28533" xr:uid="{ADB9D3E9-9BE8-4434-AFC9-D184557AC182}"/>
    <cellStyle name="Comma 9 6 2 5" xfId="28534" xr:uid="{1AC50D36-A5A8-41D2-B572-6ED8EAEF0825}"/>
    <cellStyle name="Comma 9 6 3" xfId="8317" xr:uid="{2248D83D-54C6-4883-A95D-C90CB445CE40}"/>
    <cellStyle name="Comma 9 6 4" xfId="28535" xr:uid="{6E1C4A5F-4EBC-4359-9229-B966299EBF35}"/>
    <cellStyle name="Comma 9 6 5" xfId="28536" xr:uid="{E22B7BE5-F5A2-4213-BC39-1072FFEF7BF8}"/>
    <cellStyle name="Comma 9 6 6" xfId="28537" xr:uid="{F2B688CC-05F3-476F-9B5C-3F50C8B8CC4F}"/>
    <cellStyle name="Comma 9 6 7" xfId="42708" xr:uid="{4234F6E1-C471-4112-8612-911277F894C8}"/>
    <cellStyle name="Comma 9 6 8" xfId="43856" xr:uid="{9173EE17-2E53-4C10-84A1-AC552FDE875B}"/>
    <cellStyle name="Comma 9 7" xfId="8318" xr:uid="{CCB80B7E-B907-42EB-B120-7CA4F2D4BBB3}"/>
    <cellStyle name="Comma 9 7 2" xfId="8319" xr:uid="{0DF6BF9A-F85A-43F2-9438-030DF2303102}"/>
    <cellStyle name="Comma 9 7 2 2" xfId="8320" xr:uid="{7DCEF67E-47EF-4EB3-9325-5581D5CD494B}"/>
    <cellStyle name="Comma 9 7 2 3" xfId="28538" xr:uid="{067A6DC3-6D13-45BA-93BD-2FECE33C973C}"/>
    <cellStyle name="Comma 9 7 2 4" xfId="28539" xr:uid="{2A707FE1-CD96-495D-89DB-AB811529C5F3}"/>
    <cellStyle name="Comma 9 7 2 5" xfId="28540" xr:uid="{1C464E7E-8064-4A56-B3C4-9BE9BE4059F8}"/>
    <cellStyle name="Comma 9 7 3" xfId="8321" xr:uid="{137AB908-C17D-4374-81A2-F4A0E4A9E139}"/>
    <cellStyle name="Comma 9 7 4" xfId="28541" xr:uid="{B66534F0-154E-49B3-A8D4-862656ABCDC6}"/>
    <cellStyle name="Comma 9 7 5" xfId="28542" xr:uid="{8FF4B3CD-EE12-46A4-A58F-A3A7A6C08758}"/>
    <cellStyle name="Comma 9 7 6" xfId="28543" xr:uid="{FC11A5B6-BEEA-4C0C-9C75-426256FF00E5}"/>
    <cellStyle name="Comma 9 7 7" xfId="42709" xr:uid="{886D40A6-57D6-49E2-B440-6DFDBD59BE3F}"/>
    <cellStyle name="Comma 9 7 8" xfId="43857" xr:uid="{DC6070E2-321E-420C-8C0E-AAB9D0A652D7}"/>
    <cellStyle name="Comma 9 8" xfId="8322" xr:uid="{A53F34B2-8820-422A-B475-C7862ED7D914}"/>
    <cellStyle name="Comma 9 8 2" xfId="8323" xr:uid="{CD839F20-883A-43D2-811F-D7FF5993F43B}"/>
    <cellStyle name="Comma 9 8 2 2" xfId="8324" xr:uid="{1AC678E5-A68E-4893-B143-D1E94548B4D6}"/>
    <cellStyle name="Comma 9 8 2 3" xfId="28544" xr:uid="{6DDA5413-C5C5-4CAA-AAE4-DF2702DB16C4}"/>
    <cellStyle name="Comma 9 8 2 4" xfId="28545" xr:uid="{E5B5C07C-A1BC-4031-92D0-29329242D53A}"/>
    <cellStyle name="Comma 9 8 2 5" xfId="28546" xr:uid="{EF579270-8FA2-4D6B-A87B-C5276F0C32D4}"/>
    <cellStyle name="Comma 9 8 3" xfId="8325" xr:uid="{373A9078-4E7F-48DB-A0C5-77E4E461BFB1}"/>
    <cellStyle name="Comma 9 8 4" xfId="28547" xr:uid="{B7A51D3D-AF54-4035-8094-9CE82D8912C9}"/>
    <cellStyle name="Comma 9 8 5" xfId="28548" xr:uid="{1A6EB0D6-21AF-4ADF-85C4-62C5B410ECB2}"/>
    <cellStyle name="Comma 9 8 6" xfId="28549" xr:uid="{1930E64F-406B-4E6B-9699-C4DFF67E37CC}"/>
    <cellStyle name="Comma 9 8 7" xfId="42710" xr:uid="{29F128DE-2B5E-4AB8-945C-CA7D89484FFB}"/>
    <cellStyle name="Comma 9 8 8" xfId="43858" xr:uid="{406A0DF6-EA30-44C8-809F-1E1D98456832}"/>
    <cellStyle name="Comma 9 9" xfId="8326" xr:uid="{20C29CB9-6146-4287-9F3C-058A846182EA}"/>
    <cellStyle name="Comma 9 9 2" xfId="8327" xr:uid="{008937A7-7923-48B3-A979-C222800E5098}"/>
    <cellStyle name="Comma 9 9 2 2" xfId="8328" xr:uid="{54A057E2-FF88-46CC-A430-3D01C2D80455}"/>
    <cellStyle name="Comma 9 9 2 3" xfId="28550" xr:uid="{26FDB606-2288-415C-8822-FD4CC0360065}"/>
    <cellStyle name="Comma 9 9 2 4" xfId="28551" xr:uid="{C9788991-8090-4786-94A7-565F2FBFF64C}"/>
    <cellStyle name="Comma 9 9 2 5" xfId="28552" xr:uid="{06AD6AEE-9C49-4BB5-97F2-50A569EC47C5}"/>
    <cellStyle name="Comma 9 9 3" xfId="8329" xr:uid="{67769DE5-703E-49BD-B4C1-856D74082A9B}"/>
    <cellStyle name="Comma 9 9 4" xfId="28553" xr:uid="{28D2EFD4-C3A0-4A5D-8DDE-F689B594B4BF}"/>
    <cellStyle name="Comma 9 9 5" xfId="28554" xr:uid="{D9DC5EDC-A612-4D3D-A3DF-35BDDB2F422C}"/>
    <cellStyle name="Comma 9 9 6" xfId="28555" xr:uid="{EA55E938-C726-4EF3-93B4-BDA6F01F35CF}"/>
    <cellStyle name="Comma 9 9 7" xfId="42711" xr:uid="{CED60489-AD09-45FD-9B00-3E38D53008A7}"/>
    <cellStyle name="Comma 9 9 8" xfId="43859" xr:uid="{A9190519-1834-4504-97A8-8B4D4B04837F}"/>
    <cellStyle name="Commentaire" xfId="8330" xr:uid="{EBAFCA80-FB11-4F97-979C-DD71BB3896D5}"/>
    <cellStyle name="Commentaire 10" xfId="8331" xr:uid="{F158D99E-190B-45A0-9F7E-3C9D2398861B}"/>
    <cellStyle name="Commentaire 10 2" xfId="8332" xr:uid="{EA3EE3B5-D494-4587-86B2-6321AF47AA04}"/>
    <cellStyle name="Commentaire 10 3" xfId="28556" xr:uid="{2ED8FCDB-C3AA-46E8-A241-90C16B1CAED5}"/>
    <cellStyle name="Commentaire 10 4" xfId="28557" xr:uid="{2F727E03-9D40-4E82-9267-BE00019C50E8}"/>
    <cellStyle name="Commentaire 11" xfId="8333" xr:uid="{96053786-2ADD-4ADD-8CD1-2226B425FF6C}"/>
    <cellStyle name="Commentaire 12" xfId="28558" xr:uid="{BE4A6AFC-DC2A-4805-871C-16468D015FC3}"/>
    <cellStyle name="Commentaire 13" xfId="28559" xr:uid="{2FF10681-180A-4A1B-A0A8-B17069CF4B35}"/>
    <cellStyle name="Commentaire 2" xfId="8334" xr:uid="{81708471-BEEB-4F86-892F-862C43619033}"/>
    <cellStyle name="Commentaire 2 10" xfId="8335" xr:uid="{4C8E430E-C9E7-47CF-BB4E-FA19DF56302C}"/>
    <cellStyle name="Commentaire 2 11" xfId="28560" xr:uid="{00540B31-3F27-4AD9-9D80-52981FFDEC50}"/>
    <cellStyle name="Commentaire 2 12" xfId="28561" xr:uid="{FDDE4E4F-3A65-4AC1-BA4A-9BEEEEF36368}"/>
    <cellStyle name="Commentaire 2 2" xfId="8336" xr:uid="{9FA2EF11-9EBE-467A-8D20-0F635E31E716}"/>
    <cellStyle name="Commentaire 2 2 2" xfId="8337" xr:uid="{BE393494-F7EE-442A-9A09-1F379E1AE139}"/>
    <cellStyle name="Commentaire 2 2 3" xfId="28562" xr:uid="{46E376F4-B12A-4A64-8A42-217C9FBCCF92}"/>
    <cellStyle name="Commentaire 2 2 4" xfId="28563" xr:uid="{8F3C3E0C-21E7-428D-B894-10CBB25BFB29}"/>
    <cellStyle name="Commentaire 2 3" xfId="8338" xr:uid="{1DBDDAC9-EB40-4E3A-A176-E10D95617823}"/>
    <cellStyle name="Commentaire 2 3 2" xfId="8339" xr:uid="{88CA27D4-5F18-42CF-A67B-EF6E76B066DC}"/>
    <cellStyle name="Commentaire 2 3 3" xfId="28564" xr:uid="{27D6E42B-2013-429F-8A3A-F0C83EE2AA3D}"/>
    <cellStyle name="Commentaire 2 3 4" xfId="28565" xr:uid="{D704AEE8-F391-4C57-A80A-63EA33DEE293}"/>
    <cellStyle name="Commentaire 2 4" xfId="8340" xr:uid="{9B10B2B2-A878-4A45-9E20-7910D8DA469C}"/>
    <cellStyle name="Commentaire 2 4 2" xfId="8341" xr:uid="{509D0773-6873-494A-8ED2-F105F940C9E1}"/>
    <cellStyle name="Commentaire 2 4 3" xfId="28566" xr:uid="{D13B6B0E-A474-4139-B25F-9C9692DC1C71}"/>
    <cellStyle name="Commentaire 2 4 4" xfId="28567" xr:uid="{0B8CE9C5-D9F6-46D2-8947-093740E6AC1A}"/>
    <cellStyle name="Commentaire 2 5" xfId="8342" xr:uid="{2B53F5EF-147F-4026-906F-705437C68473}"/>
    <cellStyle name="Commentaire 2 5 2" xfId="8343" xr:uid="{F2B6346E-16BE-4576-8C44-84B9FE821316}"/>
    <cellStyle name="Commentaire 2 5 3" xfId="28568" xr:uid="{D6C26B0F-993F-4B93-99E4-2EB0B9336281}"/>
    <cellStyle name="Commentaire 2 5 4" xfId="28569" xr:uid="{EB673FB2-0A6A-4668-8BFC-9AE7D8EEB4D9}"/>
    <cellStyle name="Commentaire 2 6" xfId="8344" xr:uid="{F4375A83-A8DA-433D-96EA-51C3EF88A3E3}"/>
    <cellStyle name="Commentaire 2 6 2" xfId="8345" xr:uid="{95E8A4CC-DDAC-4E3F-8DA8-BC60862FA43E}"/>
    <cellStyle name="Commentaire 2 6 3" xfId="28570" xr:uid="{D6097FD6-8659-4FC1-9971-1773B46FC2E3}"/>
    <cellStyle name="Commentaire 2 6 4" xfId="28571" xr:uid="{210354C8-3B6C-4563-9337-6D5FF0B2E4CD}"/>
    <cellStyle name="Commentaire 2 7" xfId="8346" xr:uid="{DA4FB861-F899-47B6-8E5A-531329F97D7B}"/>
    <cellStyle name="Commentaire 2 7 2" xfId="8347" xr:uid="{A00E6D1C-3C0B-45DC-B860-ABC32B4D35FD}"/>
    <cellStyle name="Commentaire 2 7 3" xfId="28572" xr:uid="{C7243863-D82B-4281-9427-68393A1D9DE6}"/>
    <cellStyle name="Commentaire 2 7 4" xfId="28573" xr:uid="{98F952E2-B01E-400D-8560-C32F4FDE8BEF}"/>
    <cellStyle name="Commentaire 2 8" xfId="8348" xr:uid="{0C89384F-8176-4680-B386-90FAB6488FED}"/>
    <cellStyle name="Commentaire 2 8 2" xfId="8349" xr:uid="{3EEEAE06-3B6C-4D1A-9EA3-869B28A5BF63}"/>
    <cellStyle name="Commentaire 2 8 3" xfId="28574" xr:uid="{3AAD3939-AA7F-4D78-BA48-6F772B8A3894}"/>
    <cellStyle name="Commentaire 2 8 4" xfId="28575" xr:uid="{428676A0-E2C9-4713-96D9-4F31CFF6626A}"/>
    <cellStyle name="Commentaire 2 9" xfId="8350" xr:uid="{E67A08C5-086F-4630-A897-759DF8C0CF49}"/>
    <cellStyle name="Commentaire 2 9 2" xfId="8351" xr:uid="{01F60E21-0390-40A4-8507-A698FACC7CC4}"/>
    <cellStyle name="Commentaire 2 9 3" xfId="28576" xr:uid="{16357917-D386-44DA-B2BB-3AD5FB159797}"/>
    <cellStyle name="Commentaire 2 9 4" xfId="28577" xr:uid="{D4FB8061-7938-4E15-A1CE-35417A26D39B}"/>
    <cellStyle name="Commentaire 3" xfId="8352" xr:uid="{45CF1B71-9278-443F-9E65-7A51554A64D9}"/>
    <cellStyle name="Commentaire 3 2" xfId="8353" xr:uid="{63570371-ED6E-4A1D-AF2C-25B12524163C}"/>
    <cellStyle name="Commentaire 3 3" xfId="28578" xr:uid="{788050C1-E2D8-4412-A0DB-512445EAAFB2}"/>
    <cellStyle name="Commentaire 3 4" xfId="28579" xr:uid="{73E5BAC2-7DB3-4353-9AEA-76D1132A198C}"/>
    <cellStyle name="Commentaire 4" xfId="8354" xr:uid="{8478B86C-EC5B-4A69-9607-E12BFD61A069}"/>
    <cellStyle name="Commentaire 4 2" xfId="8355" xr:uid="{13F55E59-A314-48CB-A329-0AC1D7CF2B8A}"/>
    <cellStyle name="Commentaire 4 3" xfId="28580" xr:uid="{3348D2A2-D8EE-488F-9F2D-91B83582B8F3}"/>
    <cellStyle name="Commentaire 4 4" xfId="28581" xr:uid="{33685448-1D85-49C4-B7F8-5DC8179A57B4}"/>
    <cellStyle name="Commentaire 5" xfId="8356" xr:uid="{E0517329-7182-43F9-958E-C4DE8B957C01}"/>
    <cellStyle name="Commentaire 5 2" xfId="8357" xr:uid="{9351B09C-792E-4ACE-8AD8-CDA6AF1D2D57}"/>
    <cellStyle name="Commentaire 5 3" xfId="28582" xr:uid="{C766DD7F-DEE9-406F-B620-E5BA527F6219}"/>
    <cellStyle name="Commentaire 5 4" xfId="28583" xr:uid="{F4100191-FF79-4489-AC8B-3A5A184413F3}"/>
    <cellStyle name="Commentaire 6" xfId="8358" xr:uid="{38870D79-5E8F-419A-BFDF-CAE734BE0CF7}"/>
    <cellStyle name="Commentaire 6 2" xfId="8359" xr:uid="{CA7C354B-41B7-4DE5-A4A3-90DC9AE4C704}"/>
    <cellStyle name="Commentaire 6 3" xfId="28584" xr:uid="{AD675DD6-F305-4F35-899B-9A0457F68E95}"/>
    <cellStyle name="Commentaire 6 4" xfId="28585" xr:uid="{BF6EE9E1-AFEB-4535-8C2C-1688F0281AD2}"/>
    <cellStyle name="Commentaire 7" xfId="8360" xr:uid="{3F9771B7-B58D-4518-B1FE-B4AD486FB054}"/>
    <cellStyle name="Commentaire 7 2" xfId="8361" xr:uid="{1C5CF897-AAFF-4E2F-94D7-7CF89BECE1F6}"/>
    <cellStyle name="Commentaire 7 3" xfId="28586" xr:uid="{CD2EC89B-5EF8-47DA-8425-22002586590D}"/>
    <cellStyle name="Commentaire 7 4" xfId="28587" xr:uid="{ED39AD8A-D8CD-48FE-BF42-5B8AC8B77FC6}"/>
    <cellStyle name="Commentaire 8" xfId="8362" xr:uid="{88B0196C-275A-4C69-860D-C627D8232E16}"/>
    <cellStyle name="Commentaire 8 2" xfId="8363" xr:uid="{D17F542E-66F8-4A4C-A7FE-9F5BA117F694}"/>
    <cellStyle name="Commentaire 8 3" xfId="28588" xr:uid="{B27AD362-4752-4CDF-81ED-B2CE5E3AFB1D}"/>
    <cellStyle name="Commentaire 8 4" xfId="28589" xr:uid="{C19D584E-582E-4D28-A65A-B0887B9A6592}"/>
    <cellStyle name="Commentaire 9" xfId="8364" xr:uid="{B3A348D4-9CE7-4D85-B240-F7571AF29878}"/>
    <cellStyle name="Commentaire 9 2" xfId="8365" xr:uid="{3DB2D58E-1A32-46FC-859C-37714FF1DE08}"/>
    <cellStyle name="Commentaire 9 3" xfId="28590" xr:uid="{393D471F-1B94-4A08-90E1-3A1299D96552}"/>
    <cellStyle name="Commentaire 9 4" xfId="28591" xr:uid="{C4FB57D8-CFE5-4D8B-8D1C-E8E636834901}"/>
    <cellStyle name="Constants" xfId="8366" xr:uid="{553D09DE-5FC0-4923-B151-7538CEFAC3B0}"/>
    <cellStyle name="ContentsHyperlink" xfId="44212" xr:uid="{7AB6D833-CD2E-4F3D-8143-CDD186E35F2D}"/>
    <cellStyle name="Currency 2" xfId="28592" xr:uid="{651BE6FE-E0B9-48D5-A05A-51C89C35B810}"/>
    <cellStyle name="Currency 2 2" xfId="8367" xr:uid="{1DA81ABD-53E1-466C-BCC1-09362D1117E0}"/>
    <cellStyle name="Currency 2 2 2" xfId="28593" xr:uid="{01EA5AAF-D1B7-43B2-82A2-746ADF8F334A}"/>
    <cellStyle name="Currency 2 2 2 2" xfId="28594" xr:uid="{D69CAFC6-3C57-4C1D-AB44-5116AAE678E0}"/>
    <cellStyle name="Currency 2 2 2 2 2" xfId="28595" xr:uid="{B0C7C0A4-7021-47D4-B07B-B41CE20BE3AC}"/>
    <cellStyle name="Currency 2 2 2 3" xfId="28596" xr:uid="{DE684850-477F-4892-A0C6-55D3D10741B0}"/>
    <cellStyle name="Currency 2 3" xfId="28597" xr:uid="{F51D5229-0D31-4F52-B790-34250EBB93F9}"/>
    <cellStyle name="Currency 2 3 2" xfId="28598" xr:uid="{7E20AE5B-477D-43F9-9AC6-805033CA1292}"/>
    <cellStyle name="Currency 2 3 3" xfId="42713" xr:uid="{906C0C49-1AFD-40B8-9399-C6F61BB2260A}"/>
    <cellStyle name="Currency 2 4" xfId="28599" xr:uid="{BB346EE7-96D2-456D-B3D4-5546521DE2DF}"/>
    <cellStyle name="Currency 2 5" xfId="28600" xr:uid="{F70374A6-122C-4F3B-9946-BDC348C1D9DA}"/>
    <cellStyle name="Currency 2 6" xfId="42712" xr:uid="{11E022E5-006F-41D9-BC5E-86E76D56ED66}"/>
    <cellStyle name="Currency 2 7" xfId="43860" xr:uid="{7CDBAB68-CC17-47EE-8AFF-0CE98C8C0C0D}"/>
    <cellStyle name="CustomCellsOrange" xfId="8368" xr:uid="{C997A383-3A41-4502-A981-D3E50D800424}"/>
    <cellStyle name="CustomCellsOrange 2" xfId="28601" xr:uid="{6C86ED41-9A46-40FA-A082-38098FF622A4}"/>
    <cellStyle name="CustomCellsOrange 2 2" xfId="28602" xr:uid="{503E9011-F8B4-430A-B5FB-C62DB4DD6062}"/>
    <cellStyle name="CustomCellsOrange 2 2 2" xfId="44458" xr:uid="{FF52F755-B2E1-441E-A83B-9E423B52A5A8}"/>
    <cellStyle name="CustomCellsOrange 2 2 2 2" xfId="44620" xr:uid="{DE637585-863A-4512-A4D6-187F0FA68A4B}"/>
    <cellStyle name="CustomCellsOrange 2 2 2 2 2" xfId="44833" xr:uid="{D22F4321-AE1A-4267-B8D8-6215D64EBD80}"/>
    <cellStyle name="CustomCellsOrange 2 2 2 2 2 2" xfId="45388" xr:uid="{CC9757CE-6DA6-440A-9256-69D25885D3B5}"/>
    <cellStyle name="CustomCellsOrange 2 2 2 2 2 3" xfId="45602" xr:uid="{0245AC5E-1622-40BD-852D-FDAF309D81FF}"/>
    <cellStyle name="CustomCellsOrange 2 2 2 2 2 4" xfId="45757" xr:uid="{203D9F44-4D92-4DD3-B3B8-3C1C09C98046}"/>
    <cellStyle name="CustomCellsOrange 2 2 2 2 3" xfId="45251" xr:uid="{0DAD27B8-8902-4AED-80F3-8D1C4857001E}"/>
    <cellStyle name="CustomCellsOrange 2 2 2 2 4" xfId="45506" xr:uid="{D16FB1A3-92F8-488B-8351-63F380B96B62}"/>
    <cellStyle name="CustomCellsOrange 2 2 2 2 5" xfId="45706" xr:uid="{2AC954E8-3A3A-4E6E-857B-CEC2D49BDD28}"/>
    <cellStyle name="CustomCellsOrange 2 2 3" xfId="44604" xr:uid="{82BD97CE-58D1-413E-8D77-77BAF6C2FAB3}"/>
    <cellStyle name="CustomCellsOrange 2 2 3 2" xfId="44817" xr:uid="{38D0AB95-2765-415E-AEE4-BA2354A0C269}"/>
    <cellStyle name="CustomCellsOrange 2 2 3 2 2" xfId="44264" xr:uid="{D7182272-61F5-4FDE-9C1A-2ADC0DB2D642}"/>
    <cellStyle name="CustomCellsOrange 2 2 3 2 3" xfId="45297" xr:uid="{38772F68-4013-482E-BFDB-CCC06329D144}"/>
    <cellStyle name="CustomCellsOrange 2 2 3 2 4" xfId="45753" xr:uid="{C42CA956-10D3-48AA-9CEF-76889B29C52B}"/>
    <cellStyle name="CustomCellsOrange 2 2 3 3" xfId="44484" xr:uid="{7341AD42-C707-4B5D-A0DD-EF49899FCCA4}"/>
    <cellStyle name="CustomCellsOrange 2 2 3 4" xfId="45107" xr:uid="{11346609-D0B0-4067-8DDB-FAAB8998C0C6}"/>
    <cellStyle name="CustomCellsOrange 2 2 3 5" xfId="45701" xr:uid="{FF4BB312-87FC-4538-86C6-9A86D8D04B46}"/>
    <cellStyle name="CustomCellsOrange 2 2 4" xfId="44524" xr:uid="{A26CC349-953F-45DA-9E85-68CAD482F964}"/>
    <cellStyle name="CustomCellsOrange 2 2 4 2" xfId="44736" xr:uid="{13026A7D-C02E-4915-A485-7795FECFBE08}"/>
    <cellStyle name="CustomCellsOrange 2 2 4 2 2" xfId="45001" xr:uid="{0DAD1417-2D07-4945-BC5E-A3F583959E65}"/>
    <cellStyle name="CustomCellsOrange 2 2 4 2 3" xfId="44983" xr:uid="{6E2E15D6-D2BC-42B8-8A98-D3467E06044C}"/>
    <cellStyle name="CustomCellsOrange 2 2 4 2 4" xfId="45734" xr:uid="{F1EEFFB1-D1B8-4BD0-9738-8A1C8BE8DE05}"/>
    <cellStyle name="CustomCellsOrange 2 2 4 3" xfId="43987" xr:uid="{931F1FFC-73DA-4DFF-AC66-41B1EB90E4F9}"/>
    <cellStyle name="CustomCellsOrange 2 2 4 4" xfId="45165" xr:uid="{B789A2D8-FB57-41A2-81C3-56DC03B93C65}"/>
    <cellStyle name="CustomCellsOrange 2 2 4 5" xfId="45680" xr:uid="{0D3C3448-1B2F-4DF0-80DC-3B243DDD1B1D}"/>
    <cellStyle name="CustomCellsOrange 2 2 5" xfId="44622" xr:uid="{D1F82F1C-C36A-48B7-93C3-422EC2062D30}"/>
    <cellStyle name="CustomCellsOrange 2 2 5 2" xfId="44835" xr:uid="{84135022-403F-4F0F-B401-A4D67DB97108}"/>
    <cellStyle name="CustomCellsOrange 2 2 5 2 2" xfId="45390" xr:uid="{4BE7E557-F03B-45F3-A2A3-9CD54BE1EA25}"/>
    <cellStyle name="CustomCellsOrange 2 2 5 2 3" xfId="45604" xr:uid="{7DB1D460-437A-49EA-93FF-5225BB064AE7}"/>
    <cellStyle name="CustomCellsOrange 2 2 5 2 4" xfId="45759" xr:uid="{9206CBDD-10AE-49C5-98CC-4F9FD91273BA}"/>
    <cellStyle name="CustomCellsOrange 2 2 5 3" xfId="45317" xr:uid="{14023CBE-A84F-485E-AD94-3AEF83BA68F7}"/>
    <cellStyle name="CustomCellsOrange 2 2 5 4" xfId="45550" xr:uid="{9EA4DD2B-E15B-4533-84B0-58F4434D2C41}"/>
    <cellStyle name="CustomCellsOrange 2 2 5 5" xfId="45708" xr:uid="{785AD85A-C3C7-4B7E-9F66-0631F401C9A2}"/>
    <cellStyle name="CustomCellsOrange 2 2 6" xfId="44395" xr:uid="{4918E391-6C56-4266-86D7-56E9704FD03F}"/>
    <cellStyle name="CustomCellsOrange 2 2 7" xfId="45166" xr:uid="{3A9CB7E8-A766-4CF2-8E5D-24CEF9EC24D4}"/>
    <cellStyle name="CustomCellsOrange 2 2 8" xfId="45456" xr:uid="{C32F8811-9F52-49C7-B384-4E93129A446C}"/>
    <cellStyle name="CustomCellsOrange 2 2 9" xfId="45664" xr:uid="{9E782B06-90DE-4E36-9FC0-6A55892369CD}"/>
    <cellStyle name="CustomCellsOrange 2 3" xfId="44373" xr:uid="{2A5A2149-1F29-4A26-A025-41E2640528AF}"/>
    <cellStyle name="CustomCellsOrange 3" xfId="42714" xr:uid="{96C1B9DE-1760-4B9C-B013-DE4838285E72}"/>
    <cellStyle name="CustomCellsOrange 3 2" xfId="44560" xr:uid="{F6915985-9B70-4308-B211-410F447E0BF4}"/>
    <cellStyle name="CustomCellsOrange 3 2 2" xfId="44772" xr:uid="{305B87C1-4224-4AFC-821F-6D7C864C5546}"/>
    <cellStyle name="CustomCellsOrange 3 2 2 2" xfId="44907" xr:uid="{7D84705E-C9F5-47B4-8994-6854A66937E7}"/>
    <cellStyle name="CustomCellsOrange 3 2 2 3" xfId="44856" xr:uid="{22A9E6E0-C066-4A31-9FEB-B9FAA79D71B4}"/>
    <cellStyle name="CustomCellsOrange 3 2 2 4" xfId="45744" xr:uid="{4A29990A-137A-4BF9-9E52-08DCC6F185FE}"/>
    <cellStyle name="CustomCellsOrange 3 2 3" xfId="45320" xr:uid="{B78050B3-5FFC-4938-A1FD-2D3BF0CEE809}"/>
    <cellStyle name="CustomCellsOrange 3 2 4" xfId="45553" xr:uid="{902AD726-EE45-4A05-8B8D-9797CD1C46CD}"/>
    <cellStyle name="CustomCellsOrange 3 2 5" xfId="45691" xr:uid="{07EC973E-FFAF-4F6B-952F-DE8059B3ED62}"/>
    <cellStyle name="CustomCellsOrange 3 3" xfId="44494" xr:uid="{9F454536-24A7-4D7B-9264-53F30EF2A268}"/>
    <cellStyle name="CustomCellsOrange 3 3 2" xfId="44706" xr:uid="{52D69A25-1532-49C0-80EB-EDD7D2BC804A}"/>
    <cellStyle name="CustomCellsOrange 3 3 2 2" xfId="44886" xr:uid="{959DCF06-9215-45E2-8CAE-30AF9B127EA5}"/>
    <cellStyle name="CustomCellsOrange 3 3 2 3" xfId="45269" xr:uid="{482111F1-30D6-4F09-BDD9-8EA63A1BF73C}"/>
    <cellStyle name="CustomCellsOrange 3 3 2 4" xfId="45724" xr:uid="{48BFF3A1-22B5-45F6-B460-F61E1139DFD5}"/>
    <cellStyle name="CustomCellsOrange 3 3 3" xfId="45130" xr:uid="{BBFC2321-0801-47FD-8D9E-0295EB0FA931}"/>
    <cellStyle name="CustomCellsOrange 3 3 4" xfId="45429" xr:uid="{4F240FB4-973B-45FC-B804-03315D4C5A94}"/>
    <cellStyle name="CustomCellsOrange 3 3 5" xfId="45670" xr:uid="{F393F7C1-3D2C-44AC-8D83-01C2AE4401C2}"/>
    <cellStyle name="CustomCellsOrange 3 4" xfId="44507" xr:uid="{C7C4FFA1-E5E9-4D43-A0E1-20C485AE7363}"/>
    <cellStyle name="CustomCellsOrange 3 4 2" xfId="44719" xr:uid="{20FB03F5-5A99-4089-82F1-666E1635DF82}"/>
    <cellStyle name="CustomCellsOrange 3 4 2 2" xfId="44881" xr:uid="{12DA6C68-7EB4-4C28-9C68-DF2494B94264}"/>
    <cellStyle name="CustomCellsOrange 3 4 2 3" xfId="45124" xr:uid="{A4123113-472C-42E9-8B5F-5183D4FF4602}"/>
    <cellStyle name="CustomCellsOrange 3 4 2 4" xfId="45727" xr:uid="{42929E31-B97D-4578-B9AD-5EF6AEFD123D}"/>
    <cellStyle name="CustomCellsOrange 3 4 3" xfId="45274" xr:uid="{24CF7BEE-B83A-4C44-9F33-DF6C513DE816}"/>
    <cellStyle name="CustomCellsOrange 3 4 4" xfId="45520" xr:uid="{A3B89CB8-A5CE-48DD-890D-A6685143CAC1}"/>
    <cellStyle name="CustomCellsOrange 3 4 5" xfId="45673" xr:uid="{F6DC512D-606C-4299-846E-37FCB0874393}"/>
    <cellStyle name="CustomCellsOrange 3 5" xfId="44644" xr:uid="{59DF9F00-4664-4B46-838C-0488BCC140EF}"/>
    <cellStyle name="CustomCellsOrange 3 5 2" xfId="45717" xr:uid="{BA4C47A2-F74C-4618-87D3-9E863A9EC754}"/>
    <cellStyle name="CustomCellsOrange 3 6" xfId="44244" xr:uid="{3AB1EBC1-1C8D-4D79-A84B-530CFD4B3003}"/>
    <cellStyle name="CustomCellsOrange 3 7" xfId="45048" xr:uid="{23B3A3FD-7999-4DFF-B292-281445F13DD8}"/>
    <cellStyle name="CustomCellsOrange 3 8" xfId="44135" xr:uid="{42C9D946-1A16-4292-9EF2-BBC750C898B7}"/>
    <cellStyle name="CustomCellsOrange 3 9" xfId="45654" xr:uid="{A3084A39-2E7B-4278-A110-6D22A36A60E6}"/>
    <cellStyle name="CustomizationCells" xfId="8369" xr:uid="{8E2E920C-76CA-446E-AEAF-D9517CF48F81}"/>
    <cellStyle name="CustomizationCells 10" xfId="8370" xr:uid="{074978D9-27FF-49BC-AE6F-DC231B1C9E4F}"/>
    <cellStyle name="CustomizationCells 10 2" xfId="28603" xr:uid="{15F8FA22-4742-460E-85E9-95EABBD11C77}"/>
    <cellStyle name="CustomizationCells 10 3" xfId="28604" xr:uid="{C424D2E1-FB23-4135-8A40-7D6F18F497EB}"/>
    <cellStyle name="CustomizationCells 11" xfId="8371" xr:uid="{FAD1FC34-9CBF-47B2-B1CC-4C1BFD0A900A}"/>
    <cellStyle name="CustomizationCells 12" xfId="42715" xr:uid="{829C73E1-D416-4F88-972C-FB9CCC46447A}"/>
    <cellStyle name="CustomizationCells 13" xfId="45608" xr:uid="{3DE5DB0E-BD57-4B37-B650-89B62CEDB00C}"/>
    <cellStyle name="CustomizationCells 2" xfId="8372" xr:uid="{5DD8509D-6F3D-4428-96C3-6AD5FB1E928D}"/>
    <cellStyle name="CustomizationCells 2 2" xfId="8373" xr:uid="{F6CA88D2-5CDF-4891-8A9E-8FA3729CEA92}"/>
    <cellStyle name="CustomizationCells 2 2 2" xfId="44459" xr:uid="{A67291A2-99FC-4AB5-8785-83638FF5904F}"/>
    <cellStyle name="CustomizationCells 2 2 2 2" xfId="44621" xr:uid="{2FC7D2AA-0C03-421B-95C1-2C6FED1FFF19}"/>
    <cellStyle name="CustomizationCells 2 2 2 2 2" xfId="44834" xr:uid="{54AB8911-2D7E-4BEB-8CC3-FEFAFD172B05}"/>
    <cellStyle name="CustomizationCells 2 2 2 2 2 2" xfId="45389" xr:uid="{A9F99419-7CF9-4646-9074-3DB97293803A}"/>
    <cellStyle name="CustomizationCells 2 2 2 2 2 3" xfId="45603" xr:uid="{C26BBE6A-4734-4501-946D-69D27BB25B59}"/>
    <cellStyle name="CustomizationCells 2 2 2 2 2 4" xfId="45758" xr:uid="{E1072DDA-8907-493D-B26C-0AB8DD0C5ECA}"/>
    <cellStyle name="CustomizationCells 2 2 2 2 3" xfId="45084" xr:uid="{9460595A-117D-471A-9AA1-8C6F1E67F65A}"/>
    <cellStyle name="CustomizationCells 2 2 2 2 4" xfId="45403" xr:uid="{46CF86FC-40DE-48CC-A175-5FD683D0AF18}"/>
    <cellStyle name="CustomizationCells 2 2 2 2 5" xfId="45707" xr:uid="{7ACA3438-CDAC-4182-BD89-9DC8D00260C3}"/>
    <cellStyle name="CustomizationCells 2 2 3" xfId="44605" xr:uid="{2B1B539D-23B4-4500-8E67-8BB1A08B6F41}"/>
    <cellStyle name="CustomizationCells 2 2 3 2" xfId="44818" xr:uid="{76961A96-7C14-48E7-98A1-925271F7ABBB}"/>
    <cellStyle name="CustomizationCells 2 2 3 2 2" xfId="44279" xr:uid="{666168AD-E996-4317-B86F-D2B246380EAE}"/>
    <cellStyle name="CustomizationCells 2 2 3 2 3" xfId="44852" xr:uid="{5536CEF1-21C5-4A49-9194-07FD386D1D0E}"/>
    <cellStyle name="CustomizationCells 2 2 3 2 4" xfId="45754" xr:uid="{2E5117C9-9909-4693-B68E-47E5C6B19868}"/>
    <cellStyle name="CustomizationCells 2 2 3 3" xfId="44155" xr:uid="{007A78D4-5E66-4FC2-A745-D7D9C180315B}"/>
    <cellStyle name="CustomizationCells 2 2 3 4" xfId="45358" xr:uid="{C2251001-6969-41CB-A37A-9ADB6FA16ACA}"/>
    <cellStyle name="CustomizationCells 2 2 3 5" xfId="45702" xr:uid="{02DC1B7C-B465-444C-B106-9EC440E6EB37}"/>
    <cellStyle name="CustomizationCells 2 2 4" xfId="44471" xr:uid="{7942369C-3586-4C49-897E-29D4210C0318}"/>
    <cellStyle name="CustomizationCells 2 2 4 2" xfId="44682" xr:uid="{855D117A-9CDB-45BE-AFBC-C4B5BDFBD719}"/>
    <cellStyle name="CustomizationCells 2 2 4 2 2" xfId="44571" xr:uid="{61735270-E1D1-4D42-BEDB-C2141960AD73}"/>
    <cellStyle name="CustomizationCells 2 2 4 2 3" xfId="44962" xr:uid="{DE112FAD-21B2-4F64-B915-A44098DFABCD}"/>
    <cellStyle name="CustomizationCells 2 2 4 2 4" xfId="45722" xr:uid="{51C40765-CB9B-4B5C-A006-E76503A2A253}"/>
    <cellStyle name="CustomizationCells 2 2 4 3" xfId="45103" xr:uid="{BD3E0101-CF7C-49FD-B09C-935C45746FE5}"/>
    <cellStyle name="CustomizationCells 2 2 4 4" xfId="45415" xr:uid="{B5E322D4-8111-4F68-BA21-BDB2034FFEED}"/>
    <cellStyle name="CustomizationCells 2 2 4 5" xfId="45668" xr:uid="{E902C5D0-262B-4CE5-9DF7-B8FE2B320C98}"/>
    <cellStyle name="CustomizationCells 2 2 5" xfId="44623" xr:uid="{75D6B4F4-5041-437A-AE54-9A865AD3FAF1}"/>
    <cellStyle name="CustomizationCells 2 2 5 2" xfId="44836" xr:uid="{4F252F1B-7150-484E-8129-8243F9C2A44E}"/>
    <cellStyle name="CustomizationCells 2 2 5 3" xfId="45156" xr:uid="{DEE242CF-1722-41AC-8195-98896D133402}"/>
    <cellStyle name="CustomizationCells 2 2 5 4" xfId="45448" xr:uid="{04CB1C55-65BA-4A66-9CA1-A25310440E49}"/>
    <cellStyle name="CustomizationCells 2 2 5 5" xfId="45709" xr:uid="{708D1B9E-58AD-4379-B9DB-462715716369}"/>
    <cellStyle name="CustomizationCells 2 2 6" xfId="44396" xr:uid="{3C53E7F4-AF23-4A9D-89C6-0AE314E05651}"/>
    <cellStyle name="CustomizationCells 2 2 7" xfId="44933" xr:uid="{8B280086-1B17-4D38-87FF-22E128A4157F}"/>
    <cellStyle name="CustomizationCells 2 2 8" xfId="45143" xr:uid="{13B34781-1F6D-4A73-A2C5-725A09C5EA91}"/>
    <cellStyle name="CustomizationCells 2 2 9" xfId="45665" xr:uid="{B1612438-0AC7-4EF7-BAD6-09822D1B8FDC}"/>
    <cellStyle name="CustomizationCells 2 3" xfId="44374" xr:uid="{736F5BE0-20C9-4274-8B5B-DF501E09F829}"/>
    <cellStyle name="CustomizationCells 3" xfId="8374" xr:uid="{68E2AE5A-4CC3-499C-B229-BAFE13D63056}"/>
    <cellStyle name="CustomizationCells 3 2" xfId="8375" xr:uid="{4CE98AA0-DD05-4AD7-84EE-BA3978926BF0}"/>
    <cellStyle name="CustomizationCells 3 2 2" xfId="44773" xr:uid="{B344A3FE-BA04-45E1-8637-53C1E0F68C77}"/>
    <cellStyle name="CustomizationCells 3 2 2 2" xfId="44995" xr:uid="{FDCCAC52-B409-438C-8F39-6851CE480993}"/>
    <cellStyle name="CustomizationCells 3 2 2 3" xfId="44311" xr:uid="{B2E1985C-1664-4D0D-81FD-0BC4405B3629}"/>
    <cellStyle name="CustomizationCells 3 2 2 4" xfId="45745" xr:uid="{9706A994-1A0E-4628-A2B7-A169383AC4EA}"/>
    <cellStyle name="CustomizationCells 3 2 3" xfId="44561" xr:uid="{532E4E33-7B17-4941-A922-01839FBC77AD}"/>
    <cellStyle name="CustomizationCells 3 2 4" xfId="45159" xr:uid="{EC0832A1-038E-4B81-9D32-0B3E4800EB85}"/>
    <cellStyle name="CustomizationCells 3 2 5" xfId="45451" xr:uid="{9AD7F4FC-584F-4B6C-B9E0-D3B89E12FCB0}"/>
    <cellStyle name="CustomizationCells 3 2 6" xfId="45692" xr:uid="{770734FA-3D51-460E-B7FF-10F5F0F5304F}"/>
    <cellStyle name="CustomizationCells 3 3" xfId="44587" xr:uid="{F621DEFC-CA2F-4B6F-8B61-CE5728EDE828}"/>
    <cellStyle name="CustomizationCells 3 3 2" xfId="44800" xr:uid="{0D91515A-666F-47AC-B9E7-193E665D6A5A}"/>
    <cellStyle name="CustomizationCells 3 3 2 2" xfId="44616" xr:uid="{0445CE81-9B3E-43E3-8ED3-F394491D8AC7}"/>
    <cellStyle name="CustomizationCells 3 3 2 3" xfId="44862" xr:uid="{3CA52028-67E8-4114-BE6F-CB0E46F7B802}"/>
    <cellStyle name="CustomizationCells 3 3 2 4" xfId="45749" xr:uid="{52984FA1-437E-4968-8CBE-2C7DB754676F}"/>
    <cellStyle name="CustomizationCells 3 3 3" xfId="45364" xr:uid="{04C7C76E-461A-4F54-A622-B22A76CDF258}"/>
    <cellStyle name="CustomizationCells 3 3 4" xfId="45583" xr:uid="{117D7267-1829-4D8B-98DC-431E9F45F6C4}"/>
    <cellStyle name="CustomizationCells 3 3 5" xfId="45697" xr:uid="{7FBED92F-5DDB-4AF7-9E8B-5C056E831E35}"/>
    <cellStyle name="CustomizationCells 3 4" xfId="44509" xr:uid="{C94E5542-F107-49F1-9E35-F056A63534C1}"/>
    <cellStyle name="CustomizationCells 3 4 2" xfId="44721" xr:uid="{A04D7F65-0973-4538-8C4C-9767EDB1EE04}"/>
    <cellStyle name="CustomizationCells 3 4 2 2" xfId="44880" xr:uid="{1E2F82D6-0A63-47E0-9822-CE55708A7695}"/>
    <cellStyle name="CustomizationCells 3 4 2 3" xfId="44854" xr:uid="{36090225-CDF7-41F3-B0E1-3AA7B66E48D0}"/>
    <cellStyle name="CustomizationCells 3 4 2 4" xfId="45728" xr:uid="{8FC090A7-A908-492B-8AF4-5781B109E0F7}"/>
    <cellStyle name="CustomizationCells 3 4 3" xfId="45231" xr:uid="{ACAD1A0B-D641-43A5-8F40-E5991059DA7D}"/>
    <cellStyle name="CustomizationCells 3 4 4" xfId="45494" xr:uid="{C5E9E3F3-1DFD-4D96-AA1C-662AE8444EFA}"/>
    <cellStyle name="CustomizationCells 3 4 5" xfId="45674" xr:uid="{BFE0DF84-AF65-494C-8AAE-1F7FF2F07A02}"/>
    <cellStyle name="CustomizationCells 3 5" xfId="44645" xr:uid="{157F0C19-0435-4590-852C-4C34451D7FD3}"/>
    <cellStyle name="CustomizationCells 3 5 2" xfId="45718" xr:uid="{6B0E1594-DBAD-402D-A7AB-76C8FEDA3814}"/>
    <cellStyle name="CustomizationCells 3 6" xfId="44245" xr:uid="{B3A4384D-6BFB-459E-BB5D-53454BC4BACC}"/>
    <cellStyle name="CustomizationCells 3 7" xfId="45028" xr:uid="{38C9A9C8-F607-4C1E-A820-223A2583E3F7}"/>
    <cellStyle name="CustomizationCells 3 8" xfId="45090" xr:uid="{CDC9A60B-2FD9-49D1-B1DD-33ABD7AB2043}"/>
    <cellStyle name="CustomizationCells 3 9" xfId="45655" xr:uid="{C98F1DA0-C4F1-49FA-9272-19D1F6F24708}"/>
    <cellStyle name="CustomizationCells 4" xfId="8376" xr:uid="{DF54B2D2-12AA-4D3E-AA91-3884CF992C94}"/>
    <cellStyle name="CustomizationCells 4 2" xfId="8377" xr:uid="{368573F9-54B3-4359-9DF0-09E1CD505881}"/>
    <cellStyle name="CustomizationCells 4 3" xfId="44049" xr:uid="{83197DDA-59B8-4345-A390-2818D2E29FAE}"/>
    <cellStyle name="CustomizationCells 4 4" xfId="45637" xr:uid="{3E184952-80C8-42F2-B5EA-AD35C258C236}"/>
    <cellStyle name="CustomizationCells 5" xfId="8378" xr:uid="{F9EEA1A2-59CD-46F0-B416-22D223F0389B}"/>
    <cellStyle name="CustomizationCells 5 2" xfId="8379" xr:uid="{46B55EAE-223B-41E3-BCB3-1C21FAC2E326}"/>
    <cellStyle name="CustomizationCells 6" xfId="8380" xr:uid="{5564327C-C08D-49B6-B29A-2E1C6E9B1313}"/>
    <cellStyle name="CustomizationCells 6 2" xfId="8381" xr:uid="{56BE7E26-F238-4F82-A978-3BEFFC2F4EB8}"/>
    <cellStyle name="CustomizationCells 7" xfId="8382" xr:uid="{3543D567-C550-4853-BE5F-6741B98F5FCF}"/>
    <cellStyle name="CustomizationCells 7 2" xfId="8383" xr:uid="{15D0D6C8-08FB-435D-87C2-DD6CFBBD61DE}"/>
    <cellStyle name="CustomizationCells 8" xfId="8384" xr:uid="{4AFF634D-DAB2-4FED-8DAA-146741D73213}"/>
    <cellStyle name="CustomizationCells 8 2" xfId="8385" xr:uid="{35D31B1B-125E-41A0-BA1A-DE6AEA799994}"/>
    <cellStyle name="CustomizationCells 9" xfId="8386" xr:uid="{5C1E1056-70AD-4055-8404-F64AF19428E0}"/>
    <cellStyle name="CustomizationCells 9 2" xfId="8387" xr:uid="{EEF09800-0EBD-4496-B3FB-00B17FE73006}"/>
    <cellStyle name="CustomizationGreenCells" xfId="8388" xr:uid="{152756B1-FC81-4E1F-9B0F-3559AA0B2AE4}"/>
    <cellStyle name="CustomizationGreenCells 2" xfId="42716" xr:uid="{1232CE35-1E4C-4D3D-A1BE-C97553DB424D}"/>
    <cellStyle name="CustomizationGreenCells 2 2" xfId="45662" xr:uid="{D139988D-FEAE-47F1-81C2-498DCC02C3A6}"/>
    <cellStyle name="CustomizationGreenCells 3" xfId="44246" xr:uid="{50F0DC8A-4374-4620-B1BB-4C7CEF9E84DB}"/>
    <cellStyle name="CustomizationGreenCells 3 2" xfId="44562" xr:uid="{655C1C25-4D77-468F-89EB-24ED212AB37D}"/>
    <cellStyle name="CustomizationGreenCells 3 2 2" xfId="44774" xr:uid="{FA2C0C04-73FB-46BC-BF07-F8F7B8E033EA}"/>
    <cellStyle name="CustomizationGreenCells 3 2 2 2" xfId="44906" xr:uid="{669C4CA6-A738-4984-836E-5E224C12BB15}"/>
    <cellStyle name="CustomizationGreenCells 3 2 2 3" xfId="44295" xr:uid="{9538CE2E-CF97-4C1E-A0FF-D75F2358CE65}"/>
    <cellStyle name="CustomizationGreenCells 3 2 2 4" xfId="45746" xr:uid="{E99D1FA9-53D8-45E0-B6F4-0BE23D0D4DC8}"/>
    <cellStyle name="CustomizationGreenCells 3 2 3" xfId="44925" xr:uid="{D25DF589-AE4E-4CE2-835C-6463E6BB5D2D}"/>
    <cellStyle name="CustomizationGreenCells 3 2 4" xfId="44418" xr:uid="{08701719-9485-4169-A947-2024904C8C04}"/>
    <cellStyle name="CustomizationGreenCells 3 2 5" xfId="45693" xr:uid="{23628AD0-CA9E-4B94-BA2F-023EA13F49E3}"/>
    <cellStyle name="CustomizationGreenCells 3 3" xfId="44532" xr:uid="{94994223-3C18-473C-B87A-2472A789180B}"/>
    <cellStyle name="CustomizationGreenCells 3 3 2" xfId="44745" xr:uid="{B919FDD1-C5C1-4529-9B70-82DA8DE42042}"/>
    <cellStyle name="CustomizationGreenCells 3 3 2 2" xfId="45303" xr:uid="{64A7586A-3EC0-4AFE-918E-FE92F84F7962}"/>
    <cellStyle name="CustomizationGreenCells 3 3 2 3" xfId="45536" xr:uid="{3BFFEB50-80E0-469A-ADD0-C31FED887F63}"/>
    <cellStyle name="CustomizationGreenCells 3 3 2 4" xfId="45737" xr:uid="{F771022A-8165-4331-9A16-2D478BF0EE5F}"/>
    <cellStyle name="CustomizationGreenCells 3 3 3" xfId="45344" xr:uid="{54002C51-3743-49DD-8AE5-251E8C1DA312}"/>
    <cellStyle name="CustomizationGreenCells 3 3 4" xfId="45567" xr:uid="{D79ADB6B-A7BF-4E71-B093-568CCA051B00}"/>
    <cellStyle name="CustomizationGreenCells 3 3 5" xfId="45683" xr:uid="{A97542DC-91FE-4BA1-913B-58B60747B007}"/>
    <cellStyle name="CustomizationGreenCells 3 4" xfId="44467" xr:uid="{C886F576-387E-495E-9B2B-CBF24AB9244E}"/>
    <cellStyle name="CustomizationGreenCells 3 4 2" xfId="44678" xr:uid="{97947B8E-11D0-4E59-A7D4-0330719E41DE}"/>
    <cellStyle name="CustomizationGreenCells 3 4 2 2" xfId="45301" xr:uid="{6000ACC0-4A7D-47F7-B7E0-202E155FB8F7}"/>
    <cellStyle name="CustomizationGreenCells 3 4 2 3" xfId="45535" xr:uid="{F0173116-B450-4BA2-A46E-3C1C496E331A}"/>
    <cellStyle name="CustomizationGreenCells 3 4 2 4" xfId="45721" xr:uid="{E103C4E2-9C61-44EE-80A5-D0585E6FAE5B}"/>
    <cellStyle name="CustomizationGreenCells 3 4 3" xfId="45141" xr:uid="{1D990F9F-9A69-43A7-B5CC-049A8F7E3D35}"/>
    <cellStyle name="CustomizationGreenCells 3 4 4" xfId="45435" xr:uid="{FE19AB5E-D55F-4646-AE8A-29F34F7831A6}"/>
    <cellStyle name="CustomizationGreenCells 3 4 5" xfId="45666" xr:uid="{25B804E6-BAA6-4CBE-B8DF-167769B5A118}"/>
    <cellStyle name="CustomizationGreenCells 3 5" xfId="44646" xr:uid="{09557CE5-0ADC-4277-8840-21985E587CBB}"/>
    <cellStyle name="CustomizationGreenCells 3 5 2" xfId="45719" xr:uid="{E6193FD9-527F-4C72-9382-C2E2A1A408E6}"/>
    <cellStyle name="CustomizationGreenCells 3 6" xfId="45047" xr:uid="{A33F1EAE-488C-4196-ACA4-A27278B34425}"/>
    <cellStyle name="CustomizationGreenCells 3 7" xfId="45252" xr:uid="{FD9797C4-A115-42C0-B525-FC956CC4F14F}"/>
    <cellStyle name="CustomizationGreenCells 3 8" xfId="45656" xr:uid="{C7275930-445C-4EBA-916E-5CB2D45BAA37}"/>
    <cellStyle name="CustomizationGreenCells 4" xfId="45646" xr:uid="{242C586E-E8FF-4238-8039-5D1093201E5A}"/>
    <cellStyle name="Data" xfId="8389" xr:uid="{49C65278-49A9-4709-AC38-EA1C0D93D734}"/>
    <cellStyle name="Data 2" xfId="28605" xr:uid="{E6C38827-2097-46FF-BFD8-C089F2A3F3A2}"/>
    <cellStyle name="Defn" xfId="8390" xr:uid="{8B4E4158-BBF6-4292-824C-0420D4B0BD4F}"/>
    <cellStyle name="Defn 2" xfId="28606" xr:uid="{3BB32657-75FF-4248-B8D1-C449F807B444}"/>
    <cellStyle name="Desc" xfId="8391" xr:uid="{AFD2566D-1873-443A-BD81-1B818D2A4625}"/>
    <cellStyle name="Desc 10" xfId="28607" xr:uid="{F0E04B27-02CE-4C9F-BBBD-6110719DAEA9}"/>
    <cellStyle name="Desc 2" xfId="8392" xr:uid="{ACA587A0-26B9-4FE6-9D92-1F0744D5681E}"/>
    <cellStyle name="Desc 2 2" xfId="28608" xr:uid="{F70CE986-D389-427D-A815-894ACA6B88FC}"/>
    <cellStyle name="Desc 2 2 2" xfId="28609" xr:uid="{6009A210-9937-4515-B8D6-47712DBBEB3B}"/>
    <cellStyle name="Desc 2 2 2 2" xfId="28610" xr:uid="{E743369F-AB5C-425B-97C9-1F1116AF32A7}"/>
    <cellStyle name="Desc 2 2 3" xfId="28611" xr:uid="{90E47513-DB80-40DC-95B0-3FF584FDE198}"/>
    <cellStyle name="Desc 2 2 3 2" xfId="28612" xr:uid="{430DED6F-0110-4C0E-BF7D-BAB0479A474D}"/>
    <cellStyle name="Desc 2 2 4" xfId="28613" xr:uid="{7C2086C7-0B7B-4D23-BDEB-3CE7F949C28D}"/>
    <cellStyle name="Desc 2 2 4 2" xfId="28614" xr:uid="{40F829B8-87F6-4A82-A3DC-B65B66C4B55F}"/>
    <cellStyle name="Desc 2 2 5" xfId="28615" xr:uid="{0CB50AFA-EF95-418D-A256-2EE1498BD95D}"/>
    <cellStyle name="Desc 2 3" xfId="28616" xr:uid="{74179428-C6C9-4DEA-A44A-B4FB67DB74B1}"/>
    <cellStyle name="Desc 2 3 2" xfId="28617" xr:uid="{161513D1-EAC6-4539-9141-BC1FE04EAC22}"/>
    <cellStyle name="Desc 2 4" xfId="28618" xr:uid="{0C7626FE-D384-40D2-BAEB-B6FECD59514D}"/>
    <cellStyle name="Desc 2 4 2" xfId="28619" xr:uid="{2EE0D894-4845-4C1B-85AB-16DA745AD11A}"/>
    <cellStyle name="Desc 2 5" xfId="28620" xr:uid="{19845784-8550-45D0-ACA5-7427F5A8BF33}"/>
    <cellStyle name="Desc 2 5 2" xfId="28621" xr:uid="{68E3CC54-4B4C-41D9-894A-6EF4FD5FED67}"/>
    <cellStyle name="Desc 2 6" xfId="28622" xr:uid="{DF583B11-9783-4790-BF14-56143D18A321}"/>
    <cellStyle name="Desc 2 7" xfId="28623" xr:uid="{E5DEFDEA-1214-46B9-BD45-596D15FE31E5}"/>
    <cellStyle name="Desc 3" xfId="28624" xr:uid="{E417F3F4-A7D1-49CF-B9D3-BF1172CB51D5}"/>
    <cellStyle name="Desc 3 2" xfId="28625" xr:uid="{AAA60060-6BC9-4834-82B4-226D37319BB4}"/>
    <cellStyle name="Desc 4" xfId="28626" xr:uid="{B6DD14AE-742A-41D9-A22D-2A94D5ED4C9D}"/>
    <cellStyle name="Desc 5" xfId="28627" xr:uid="{8E235CF2-5973-4DB3-AE31-CC37512EA563}"/>
    <cellStyle name="Desc 5 2" xfId="28628" xr:uid="{F4C000DC-BC7F-4F96-B202-137B1DB64C39}"/>
    <cellStyle name="Desc 5 2 2" xfId="28629" xr:uid="{2B93C25B-E250-451D-AB6E-42D402F7D209}"/>
    <cellStyle name="Desc 5 3" xfId="28630" xr:uid="{18AB025D-7F3C-4CF8-8AE1-CAE14116BA35}"/>
    <cellStyle name="Desc 5 3 2" xfId="28631" xr:uid="{971C240A-AB8A-4ED5-917B-51C1E02BCEAD}"/>
    <cellStyle name="Desc 5 4" xfId="28632" xr:uid="{56F01583-9265-4966-93F0-90509FCD4516}"/>
    <cellStyle name="Desc 5 4 2" xfId="28633" xr:uid="{5833CE05-DB9D-4E5F-B71D-A5B47B705253}"/>
    <cellStyle name="Desc 5 5" xfId="28634" xr:uid="{D785542E-1A4C-4483-9DBF-CA3A90C8B1FA}"/>
    <cellStyle name="Desc 6" xfId="28635" xr:uid="{E4C76C9B-A642-4E25-B443-67E6042C6333}"/>
    <cellStyle name="Desc 6 2" xfId="28636" xr:uid="{628FA1DF-D760-4746-AF10-F9D995507206}"/>
    <cellStyle name="Desc 7" xfId="28637" xr:uid="{9CF4DB78-5D88-417D-B044-5D7ED0C1CC4E}"/>
    <cellStyle name="Desc 7 2" xfId="28638" xr:uid="{916665D5-E73F-4356-8818-10B384E83D43}"/>
    <cellStyle name="Desc 8" xfId="28639" xr:uid="{126BFFA3-3837-4B48-B92D-AA4CD99D1BED}"/>
    <cellStyle name="Desc 8 2" xfId="28640" xr:uid="{9104CBDA-1FAD-45E5-BEAC-B5475662CD3B}"/>
    <cellStyle name="Desc 9" xfId="28641" xr:uid="{6F7E3F63-C577-4D46-8F87-A1FE28CDA6C0}"/>
    <cellStyle name="Description" xfId="28642" xr:uid="{E3F61078-280A-4C66-BE87-3989D3DCC848}"/>
    <cellStyle name="DocBox_EmptyRow" xfId="8393" xr:uid="{AD657AB3-B675-46D0-9485-2872AF0F1D8A}"/>
    <cellStyle name="donn_normal" xfId="8394" xr:uid="{C5472248-4CFF-4AC1-AF49-268FF70587A0}"/>
    <cellStyle name="EEMS Header" xfId="8395" xr:uid="{603B4C64-1AD1-4AC0-9A48-3C12B63C597F}"/>
    <cellStyle name="EEMS row" xfId="8396" xr:uid="{C3DD7F31-9C78-45E8-A878-F00732D907DC}"/>
    <cellStyle name="Eingabe" xfId="8397" xr:uid="{E5F45734-EE20-4EC6-84EC-BE7825B46E8E}"/>
    <cellStyle name="Eingabe 10" xfId="43974" xr:uid="{3E986079-B266-43C8-B681-E037614218FB}"/>
    <cellStyle name="Eingabe 2" xfId="28643" xr:uid="{BD44E58C-7A6B-4B79-8304-E942A8D90D48}"/>
    <cellStyle name="Eingabe 2 2" xfId="28644" xr:uid="{239656F7-37C4-40EB-8DB4-5C48A140C64C}"/>
    <cellStyle name="Eingabe 2 3" xfId="44331" xr:uid="{C5EDD3D0-A407-467F-9F6D-1CD503BE2E2B}"/>
    <cellStyle name="Eingabe 3" xfId="28645" xr:uid="{D8361086-33DF-46C7-8BBD-0124E32CF586}"/>
    <cellStyle name="Eingabe 3 2" xfId="28646" xr:uid="{5666EF75-A774-43C7-81B8-8988016D6194}"/>
    <cellStyle name="Eingabe 3 2 2" xfId="44814" xr:uid="{8B42ABD3-A3D7-4C5C-975B-18A03F68C2C5}"/>
    <cellStyle name="Eingabe 3 2 2 2" xfId="44988" xr:uid="{71C3AECF-F4A4-46BC-8C7D-35C595CDEC12}"/>
    <cellStyle name="Eingabe 3 2 2 3" xfId="45068" xr:uid="{A4621481-17F5-44E4-AD95-8A8E0248DB07}"/>
    <cellStyle name="Eingabe 3 2 3" xfId="44601" xr:uid="{F21E2FA1-51EA-40BF-85A9-D806A35C02ED}"/>
    <cellStyle name="Eingabe 3 2 4" xfId="43984" xr:uid="{47527157-9DD7-4DCF-840A-FE02210486F3}"/>
    <cellStyle name="Eingabe 3 2 5" xfId="45071" xr:uid="{B5E30950-1C13-4F70-9E53-A3062ECF2F8F}"/>
    <cellStyle name="Eingabe 3 3" xfId="44590" xr:uid="{7146B82C-24A5-48A3-A4F5-4A6097FABB93}"/>
    <cellStyle name="Eingabe 3 3 2" xfId="44803" xr:uid="{543C35EC-BEF6-4CFD-94C5-519F89CA6992}"/>
    <cellStyle name="Eingabe 3 3 2 2" xfId="44865" xr:uid="{E67069C7-37E3-4515-828C-AF5FB5B3CC9C}"/>
    <cellStyle name="Eingabe 3 3 2 3" xfId="45244" xr:uid="{5EBEC5F6-429D-4A3A-9795-A247FE5F7191}"/>
    <cellStyle name="Eingabe 3 3 3" xfId="45192" xr:uid="{7FCDD09C-B522-48E7-BE58-C3DB35F4E5D6}"/>
    <cellStyle name="Eingabe 3 3 4" xfId="45469" xr:uid="{42ED03ED-4229-40F4-96B4-ADAB64122E2B}"/>
    <cellStyle name="Eingabe 3 4" xfId="44483" xr:uid="{DE796404-2EC2-4740-94B2-E60F8FBB11CF}"/>
    <cellStyle name="Eingabe 3 4 2" xfId="44695" xr:uid="{6A982715-59F5-47D0-B7CC-662F249E0278}"/>
    <cellStyle name="Eingabe 3 4 2 2" xfId="44103" xr:uid="{537D8E51-8138-4C77-AA44-B3BF46EA064A}"/>
    <cellStyle name="Eingabe 3 4 2 3" xfId="45214" xr:uid="{745B2103-0555-4391-A55C-67918B790E3B}"/>
    <cellStyle name="Eingabe 3 4 3" xfId="45109" xr:uid="{A07E1C02-131D-4082-8B7A-864643FBAC8D}"/>
    <cellStyle name="Eingabe 3 4 4" xfId="45418" xr:uid="{BED392AE-BAA0-425B-9733-D5E32EF4AA5B}"/>
    <cellStyle name="Eingabe 3 5" xfId="44663" xr:uid="{2384B74C-7518-4CE2-8C1F-668B0F17220C}"/>
    <cellStyle name="Eingabe 3 5 2" xfId="45312" xr:uid="{C486250A-7616-4E47-9857-D94BFF5FDFB3}"/>
    <cellStyle name="Eingabe 3 5 3" xfId="45545" xr:uid="{65C16178-89E4-41E9-8103-0B911742525D}"/>
    <cellStyle name="Eingabe 3 6" xfId="44376" xr:uid="{9AD8AC25-56A8-4DB1-B42F-D8D0F653E8BF}"/>
    <cellStyle name="Eingabe 3 7" xfId="45350" xr:uid="{2ACB2AC3-2377-488B-9AD9-BACE27452631}"/>
    <cellStyle name="Eingabe 3 8" xfId="45573" xr:uid="{15FCDA77-BBAE-497C-AAC6-95EFC8075982}"/>
    <cellStyle name="Eingabe 4" xfId="28647" xr:uid="{FF24997C-395F-4D1D-9108-A6D3441EE8DF}"/>
    <cellStyle name="Eingabe 4 2" xfId="44563" xr:uid="{9EFFADD1-923F-4BEF-861B-8F0794189872}"/>
    <cellStyle name="Eingabe 4 2 2" xfId="44775" xr:uid="{A4C8549C-27AE-47C6-B38C-23250156FBB5}"/>
    <cellStyle name="Eingabe 4 2 2 2" xfId="44994" xr:uid="{3C23C330-4F9F-46C2-B104-F5DB6BC9A63B}"/>
    <cellStyle name="Eingabe 4 2 2 3" xfId="45055" xr:uid="{8572E67F-F26F-4030-8E70-ECA58BF087A5}"/>
    <cellStyle name="Eingabe 4 2 3" xfId="45019" xr:uid="{4994098C-CF7D-4C2A-BE17-CEB5B0566867}"/>
    <cellStyle name="Eingabe 4 2 4" xfId="44895" xr:uid="{725ADA3B-296D-40F6-8051-4FC5F50F3A72}"/>
    <cellStyle name="Eingabe 4 3" xfId="44491" xr:uid="{B4F24B9D-96F7-4B83-95DB-FBF9A0D150CB}"/>
    <cellStyle name="Eingabe 4 3 2" xfId="44703" xr:uid="{B5E982E3-575B-423B-BFDA-D79ACEED56E2}"/>
    <cellStyle name="Eingabe 4 3 2 2" xfId="44887" xr:uid="{312960D0-7218-4DB9-A66D-8E0AB2E0A049}"/>
    <cellStyle name="Eingabe 4 3 2 3" xfId="44935" xr:uid="{E61DBDF8-45DD-448D-890B-E18D7E867777}"/>
    <cellStyle name="Eingabe 4 3 3" xfId="44929" xr:uid="{FDCC2AC5-C815-4B34-834F-520395CADC99}"/>
    <cellStyle name="Eingabe 4 3 4" xfId="45139" xr:uid="{6E9F2B65-63A4-4B24-9CE8-BE2796DA5167}"/>
    <cellStyle name="Eingabe 4 4" xfId="44468" xr:uid="{6C4294C6-2BAF-4933-8006-B5E44346F4C7}"/>
    <cellStyle name="Eingabe 4 4 2" xfId="44679" xr:uid="{9FB2D7E5-D1B2-41D1-8F14-7CFBF6B5D10E}"/>
    <cellStyle name="Eingabe 4 4 2 2" xfId="45137" xr:uid="{530FFA4C-BB22-442F-B120-C9BC65E727BF}"/>
    <cellStyle name="Eingabe 4 4 2 3" xfId="45433" xr:uid="{F146D15B-95B2-45DC-9658-71A96ACED419}"/>
    <cellStyle name="Eingabe 4 4 3" xfId="44890" xr:uid="{F2ABD26C-6C95-4A38-92F5-9877DB9C3564}"/>
    <cellStyle name="Eingabe 4 4 4" xfId="44276" xr:uid="{BCEA19E1-8E8E-47A0-A23C-0CA58DFD31C4}"/>
    <cellStyle name="Eingabe 4 5" xfId="44647" xr:uid="{468B8948-A058-44EA-8433-3D9697D85FA4}"/>
    <cellStyle name="Eingabe 4 5 2" xfId="45315" xr:uid="{577206BD-58ED-453C-8D9E-5067889DCDFB}"/>
    <cellStyle name="Eingabe 4 5 3" xfId="45548" xr:uid="{2C2EA430-F59D-4A7A-A2FC-80F998138B30}"/>
    <cellStyle name="Eingabe 4 6" xfId="44248" xr:uid="{D8F60D11-65A4-4FD2-9930-1F72F463C66D}"/>
    <cellStyle name="Eingabe 4 7" xfId="45045" xr:uid="{8133CB78-945B-4F9D-B7A8-B58BD956B698}"/>
    <cellStyle name="Eingabe 4 8" xfId="45059" xr:uid="{124643F0-4D43-4A68-A418-C49CBE95E0AE}"/>
    <cellStyle name="Eingabe 5" xfId="28648" xr:uid="{C96D2F65-F240-4CC8-A7F1-EDDFFD009F3D}"/>
    <cellStyle name="Eingabe 5 2" xfId="44713" xr:uid="{DDE72377-867C-45A1-B85E-28DF745B4F84}"/>
    <cellStyle name="Eingabe 5 2 2" xfId="44111" xr:uid="{940364A0-3B13-4A7E-A4E1-98027F68E998}"/>
    <cellStyle name="Eingabe 5 2 3" xfId="45373" xr:uid="{0179999C-D59D-4123-A4A9-C0B8E5AECB62}"/>
    <cellStyle name="Eingabe 5 3" xfId="44501" xr:uid="{8AADE166-2A17-4462-9A10-FB20CC181745}"/>
    <cellStyle name="Eingabe 5 4" xfId="44982" xr:uid="{C3980C3D-63D2-4B55-9A78-390D7683A104}"/>
    <cellStyle name="Eingabe 5 5" xfId="45026" xr:uid="{C2BE7C27-E155-4185-A7FB-3BB5ECFBD266}"/>
    <cellStyle name="Eingabe 6" xfId="28649" xr:uid="{A5B702BE-544E-4734-B3F7-AE988A3CD0DC}"/>
    <cellStyle name="Eingabe 6 2" xfId="44789" xr:uid="{F5C44728-A627-43F2-9A0C-8405EB474B34}"/>
    <cellStyle name="Eingabe 6 2 2" xfId="43973" xr:uid="{76FC0893-0DA9-4984-AC69-156BEBC1EB7B}"/>
    <cellStyle name="Eingabe 6 2 3" xfId="44932" xr:uid="{AA016947-96A6-4FC1-BE96-6C0B15D49E46}"/>
    <cellStyle name="Eingabe 6 3" xfId="44576" xr:uid="{99D3CE0B-65F4-4763-8D57-17CC83B075A4}"/>
    <cellStyle name="Eingabe 6 4" xfId="45309" xr:uid="{347BA3E0-C3E1-481A-805D-917067769B4D}"/>
    <cellStyle name="Eingabe 6 5" xfId="45542" xr:uid="{FE70B198-322D-4978-9D8E-325C15BE2B7A}"/>
    <cellStyle name="Eingabe 7" xfId="42717" xr:uid="{E0E8AAFA-5AE5-4D28-BE19-C063F21E38D2}"/>
    <cellStyle name="Eingabe 7 2" xfId="44831" xr:uid="{78C487DB-2711-40EA-84E8-8E8036F2CFCD}"/>
    <cellStyle name="Eingabe 7 2 2" xfId="45386" xr:uid="{64BB28A0-B6F7-4D97-8D40-7E915C65B5F8}"/>
    <cellStyle name="Eingabe 7 2 3" xfId="45600" xr:uid="{C876AC5C-ED43-49C1-8D49-7C69BF7D20B2}"/>
    <cellStyle name="Eingabe 7 3" xfId="44618" xr:uid="{EDF6171D-8FE0-4109-A28D-F97FA5E05512}"/>
    <cellStyle name="Eingabe 7 4" xfId="45262" xr:uid="{7AFEA569-B01C-4651-A1B3-7E07FC69A795}"/>
    <cellStyle name="Eingabe 7 5" xfId="45511" xr:uid="{25BC02C0-2F9F-4072-A7C5-7B4B22780630}"/>
    <cellStyle name="Eingabe 8" xfId="42756" xr:uid="{69FFBF98-6CBF-40BF-A1FB-AD85CD73EE3D}"/>
    <cellStyle name="Eingabe 8 2" xfId="44627" xr:uid="{9CBDC55E-71DF-4FC6-A77C-78FC19B83205}"/>
    <cellStyle name="Eingabe 8 3" xfId="45096" xr:uid="{FCD6A227-761A-4BCC-B520-9DB5EAA5220C}"/>
    <cellStyle name="Eingabe 8 4" xfId="45409" xr:uid="{AC601008-35A2-4E29-94C0-8DFC40936642}"/>
    <cellStyle name="Eingabe 9" xfId="43861" xr:uid="{C4A6C9E7-8AB3-47A4-8BAB-CBE9F1E2A22D}"/>
    <cellStyle name="Ellenőrzőcella" xfId="8398" xr:uid="{4D86E397-93FD-4889-A4E4-DAD517C0CEF5}"/>
    <cellStyle name="Ellenőrzőcella 2" xfId="8399" xr:uid="{BA234DFD-1B25-415F-8C72-513CE5CEE8D2}"/>
    <cellStyle name="Ellenőrzőcella 2 2" xfId="8400" xr:uid="{B71D949B-D96D-4A45-A612-210FED56029F}"/>
    <cellStyle name="Ellenőrzőcella 3" xfId="8401" xr:uid="{3E6F215B-2FFD-4D50-9688-87FAB208A1B3}"/>
    <cellStyle name="Ellenőrzőcella 3 2" xfId="8402" xr:uid="{646CF9DA-20CC-47FD-8738-4E481CDDA150}"/>
    <cellStyle name="Ellenőrzőcella 4" xfId="8403" xr:uid="{64462D3B-7BE0-4B94-8448-4208CD837E1C}"/>
    <cellStyle name="Ellenőrzőcella 4 2" xfId="8404" xr:uid="{55039D8D-036E-43D6-B835-FB1A3F91ED2D}"/>
    <cellStyle name="Ellenőrzőcella 5" xfId="8405" xr:uid="{328EC2F4-FEA7-489B-9A4A-90D5F2DF454E}"/>
    <cellStyle name="Ellenőrzőcella 5 2" xfId="8406" xr:uid="{1D197F90-B302-4B2B-B650-33B8652C1290}"/>
    <cellStyle name="Ellenőrzőcella 6" xfId="8407" xr:uid="{A684276E-CAB9-4AE1-906D-6B6BFDF17903}"/>
    <cellStyle name="Ellenőrzőcella 6 2" xfId="8408" xr:uid="{D1D2288F-EF19-40CB-8FB3-0BA59A85E0FD}"/>
    <cellStyle name="Ellenőrzőcella 7" xfId="8409" xr:uid="{F87E2274-EA87-466E-BCD3-7C115A5B8EB5}"/>
    <cellStyle name="Empty_B_border" xfId="8410" xr:uid="{736CECCB-752F-461A-8CCC-F2596E90F7EE}"/>
    <cellStyle name="ent_col_ser" xfId="8411" xr:uid="{2CE546CF-05B5-4C12-B756-F36C7FADA2DB}"/>
    <cellStyle name="entete_source" xfId="8412" xr:uid="{4955B01C-D6F7-4089-B017-1CF9B1A9F3E8}"/>
    <cellStyle name="Entrée" xfId="8413" xr:uid="{DAF8B460-D62C-4B66-ACFB-28438B8F044F}"/>
    <cellStyle name="Entrée 10" xfId="8414" xr:uid="{BEE738D6-10D4-4928-AA58-97334855049D}"/>
    <cellStyle name="Entrée 10 2" xfId="8415" xr:uid="{3427BABD-E8C7-41A9-A644-8692E17758DE}"/>
    <cellStyle name="Entrée 10 3" xfId="28650" xr:uid="{292D69DD-F96A-4A59-BBB2-5C8A1B0785AC}"/>
    <cellStyle name="Entrée 11" xfId="8416" xr:uid="{C2625E9B-1FAB-417F-9534-4520A1E8649E}"/>
    <cellStyle name="Entrée 12" xfId="28651" xr:uid="{9BA56664-2AE3-40F8-8723-778FDD5B5C0C}"/>
    <cellStyle name="Entrée 2" xfId="8417" xr:uid="{9351BA9D-9405-4D63-8A2D-AF6E3968D0D4}"/>
    <cellStyle name="Entrée 2 10" xfId="8418" xr:uid="{10BC73D4-5856-4ADD-B63B-3A77CFF23782}"/>
    <cellStyle name="Entrée 2 11" xfId="28652" xr:uid="{CDE0E60E-B8FD-446E-AA8D-6F41DE0CFCA6}"/>
    <cellStyle name="Entrée 2 2" xfId="8419" xr:uid="{B183851D-11A7-4924-834E-7BF9E0F7B714}"/>
    <cellStyle name="Entrée 2 2 2" xfId="8420" xr:uid="{3AC10322-649B-4014-B03A-C87453CD27A9}"/>
    <cellStyle name="Entrée 2 2 3" xfId="28653" xr:uid="{9DCE516A-E194-4D86-98A8-A1E1993A4128}"/>
    <cellStyle name="Entrée 2 3" xfId="8421" xr:uid="{89C6DF74-650D-4549-9C1E-0864562D8410}"/>
    <cellStyle name="Entrée 2 3 2" xfId="8422" xr:uid="{F4384E34-5726-4F0F-8205-6C3AC179676C}"/>
    <cellStyle name="Entrée 2 3 3" xfId="28654" xr:uid="{0382B342-0B81-4844-B111-16CD458F37E4}"/>
    <cellStyle name="Entrée 2 4" xfId="8423" xr:uid="{E4342F5D-BFBC-4DB4-9AF4-03BB1602C47C}"/>
    <cellStyle name="Entrée 2 4 2" xfId="8424" xr:uid="{5F2268F3-AB69-44D4-8F24-E7C990980C2C}"/>
    <cellStyle name="Entrée 2 4 3" xfId="28655" xr:uid="{EAF0249D-94C6-4BAF-8186-725418B7B38A}"/>
    <cellStyle name="Entrée 2 5" xfId="8425" xr:uid="{6D9BD371-A611-4FC3-B65A-FAAC323902FE}"/>
    <cellStyle name="Entrée 2 5 2" xfId="8426" xr:uid="{6E923838-750D-439F-92C2-B6FFCF61EA72}"/>
    <cellStyle name="Entrée 2 5 3" xfId="28656" xr:uid="{0F13D74C-BF70-45B8-AD56-B13FE93F07A2}"/>
    <cellStyle name="Entrée 2 6" xfId="8427" xr:uid="{06CED448-7780-4B80-B8FC-DBA9936CCAD2}"/>
    <cellStyle name="Entrée 2 6 2" xfId="8428" xr:uid="{D9BFB490-FBE2-46CD-B981-F74DB8D6C47E}"/>
    <cellStyle name="Entrée 2 6 3" xfId="28657" xr:uid="{A50544C2-C621-49FB-89F3-7427076D695A}"/>
    <cellStyle name="Entrée 2 7" xfId="8429" xr:uid="{27E9D26F-ED3B-4646-A7DD-4782B8B0B4A7}"/>
    <cellStyle name="Entrée 2 7 2" xfId="8430" xr:uid="{3F03B75F-7358-4D43-ADA0-6FF50AA82B78}"/>
    <cellStyle name="Entrée 2 7 3" xfId="28658" xr:uid="{F0AAA9A3-C05A-4F58-BBD7-D49AF5F279B4}"/>
    <cellStyle name="Entrée 2 8" xfId="8431" xr:uid="{EE67DD80-6F14-4EC1-9186-D02CAA70399D}"/>
    <cellStyle name="Entrée 2 8 2" xfId="8432" xr:uid="{F4C0C92D-5B08-48D0-9CAB-48C530F69C3F}"/>
    <cellStyle name="Entrée 2 8 3" xfId="28659" xr:uid="{F10053E5-4F3C-4B2A-A9C8-0D2E1DA05EE1}"/>
    <cellStyle name="Entrée 2 9" xfId="8433" xr:uid="{C1F0D5AC-B1F3-4F0B-B1CE-2A1CBEC3FBCB}"/>
    <cellStyle name="Entrée 2 9 2" xfId="8434" xr:uid="{DFE620B9-DD25-40A4-917C-D5A354F3B17E}"/>
    <cellStyle name="Entrée 2 9 3" xfId="28660" xr:uid="{5DCC6ECE-10B4-4F7D-91B0-6B5DEB79043C}"/>
    <cellStyle name="Entrée 3" xfId="8435" xr:uid="{CE8452D2-5688-48D8-AD5D-87569CF230D5}"/>
    <cellStyle name="Entrée 3 2" xfId="8436" xr:uid="{FEC57517-6C3C-4A9B-8184-F3D1BB1EF47B}"/>
    <cellStyle name="Entrée 3 3" xfId="28661" xr:uid="{80740948-E9E3-4E5C-BAB8-A462AB57E57B}"/>
    <cellStyle name="Entrée 4" xfId="8437" xr:uid="{DA3251EA-46FE-4244-948E-8B9AE4871BFC}"/>
    <cellStyle name="Entrée 4 2" xfId="8438" xr:uid="{30C9B95B-BBB8-46BC-B97B-0A1B84B2B92D}"/>
    <cellStyle name="Entrée 4 3" xfId="28662" xr:uid="{50E675FD-4BB4-4F45-956C-EA6292D8F1E8}"/>
    <cellStyle name="Entrée 5" xfId="8439" xr:uid="{122D1AFC-8492-480A-A58A-4BB1482F3BD8}"/>
    <cellStyle name="Entrée 5 2" xfId="8440" xr:uid="{5F412906-08EE-44D8-8497-734CA26BFA8F}"/>
    <cellStyle name="Entrée 5 3" xfId="28663" xr:uid="{F4E0054D-4B9A-4ED0-B957-07B43FC48DDB}"/>
    <cellStyle name="Entrée 6" xfId="8441" xr:uid="{31411662-B24F-459B-967A-CC58A6A426EE}"/>
    <cellStyle name="Entrée 6 2" xfId="8442" xr:uid="{BAD431F3-0DA5-40A2-99C3-447CFB4E4B46}"/>
    <cellStyle name="Entrée 6 3" xfId="28664" xr:uid="{FA97FD9A-2454-4E32-86B8-014F6CB49F5F}"/>
    <cellStyle name="Entrée 7" xfId="8443" xr:uid="{17868CA9-8191-4EAF-B105-13A9FB8BD567}"/>
    <cellStyle name="Entrée 7 2" xfId="8444" xr:uid="{10C9DA0B-BC9F-42D7-AD13-8C0516CEB0B7}"/>
    <cellStyle name="Entrée 7 3" xfId="28665" xr:uid="{80D83EBF-4DA8-4370-88EC-6F8BCDE6B638}"/>
    <cellStyle name="Entrée 8" xfId="8445" xr:uid="{97081432-16F4-47F9-BA77-702B8C0E5244}"/>
    <cellStyle name="Entrée 8 2" xfId="8446" xr:uid="{6AB55DF5-BE03-4633-B5DD-282BD5516DB6}"/>
    <cellStyle name="Entrée 8 3" xfId="28666" xr:uid="{7455F91A-DBCB-4FE3-8CB9-68E048ABEDEE}"/>
    <cellStyle name="Entrée 9" xfId="8447" xr:uid="{637C5B44-E0E3-4AB3-BA7E-BD58DFF46314}"/>
    <cellStyle name="Entrée 9 2" xfId="8448" xr:uid="{99A2B361-3BE1-42F9-9A5B-55D70DEF7FFA}"/>
    <cellStyle name="Entrée 9 3" xfId="28667" xr:uid="{84D56E4C-7960-4AA4-8EEC-19B039D6748E}"/>
    <cellStyle name="Ergebnis" xfId="8449" xr:uid="{2B444CA2-854A-4990-9013-4DD339CB7E0C}"/>
    <cellStyle name="Ergebnis 2" xfId="28668" xr:uid="{75E23799-364B-4250-86EA-2CBCC17C69AB}"/>
    <cellStyle name="Ergebnis 2 2" xfId="28669" xr:uid="{F8A13A8C-9667-435A-9E05-1E6B89857700}"/>
    <cellStyle name="Ergebnis 2 2 2" xfId="44809" xr:uid="{9D63AFB5-B2E6-4678-BF59-93015C996202}"/>
    <cellStyle name="Ergebnis 2 2 2 2" xfId="44902" xr:uid="{03FD9134-56BB-4956-A56D-01ACE74CADF2}"/>
    <cellStyle name="Ergebnis 2 2 2 3" xfId="45259" xr:uid="{D45BC605-7BC8-4E7F-B142-4503A2A3808A}"/>
    <cellStyle name="Ergebnis 2 2 3" xfId="44596" xr:uid="{57FC2A1B-7A4B-43D8-A81D-A32222CECD00}"/>
    <cellStyle name="Ergebnis 2 2 4" xfId="45186" xr:uid="{39CDA11E-F93D-445E-8E3E-6056DA8734AB}"/>
    <cellStyle name="Ergebnis 2 2 5" xfId="45466" xr:uid="{9ECFC2FC-BC82-4B0D-BCCE-403DF1AE7BA7}"/>
    <cellStyle name="Ergebnis 2 3" xfId="44529" xr:uid="{7C67290B-22C3-4A21-A460-87855393D0E5}"/>
    <cellStyle name="Ergebnis 2 3 2" xfId="44742" xr:uid="{CCC50975-F859-4F7A-BB59-33F0E56527C1}"/>
    <cellStyle name="Ergebnis 2 3 2 2" xfId="45232" xr:uid="{70520634-C3BF-44A1-8455-9A0BD4E22687}"/>
    <cellStyle name="Ergebnis 2 3 2 3" xfId="45495" xr:uid="{7FC045EF-97F3-41AF-ABFE-A118C6AFF8FB}"/>
    <cellStyle name="Ergebnis 2 3 3" xfId="45227" xr:uid="{4B4DBBE0-77E1-4633-B700-ACB617AB735C}"/>
    <cellStyle name="Ergebnis 2 3 4" xfId="45491" xr:uid="{70F46727-E388-4B96-90FD-596C24EBB0F6}"/>
    <cellStyle name="Ergebnis 2 4" xfId="44521" xr:uid="{B75C6F74-59B6-4BB1-A569-DDD4D7B7B040}"/>
    <cellStyle name="Ergebnis 2 4 2" xfId="44733" xr:uid="{43D4FC31-7284-4D6D-999A-1BB74E043F68}"/>
    <cellStyle name="Ergebnis 2 4 2 2" xfId="44914" xr:uid="{0A2FB545-25BE-4047-AB7B-39CBBCD96C0D}"/>
    <cellStyle name="Ergebnis 2 4 2 3" xfId="45169" xr:uid="{23553074-386B-4E2E-862C-B4E7CA28975A}"/>
    <cellStyle name="Ergebnis 2 4 3" xfId="44293" xr:uid="{C74671F4-E238-4D72-A60F-7FBA3E672D82}"/>
    <cellStyle name="Ergebnis 2 4 4" xfId="44967" xr:uid="{94B5DA1F-09C4-4EA4-8642-50CA208E361A}"/>
    <cellStyle name="Ergebnis 2 5" xfId="44653" xr:uid="{6DCA5349-F21D-4BDC-963A-5FD78C1C58AE}"/>
    <cellStyle name="Ergebnis 2 5 2" xfId="45014" xr:uid="{53D5A5AD-AA46-4A4C-AFFB-A0D4F96CED5A}"/>
    <cellStyle name="Ergebnis 2 5 3" xfId="45070" xr:uid="{B1A33EB4-68BB-4A0B-B792-05C4D705EF6D}"/>
    <cellStyle name="Ergebnis 2 6" xfId="44352" xr:uid="{0331D4A6-7837-4B02-9D93-5C045DCD0648}"/>
    <cellStyle name="Ergebnis 2 7" xfId="44892" xr:uid="{BA51D19A-3B48-4D25-9DD3-2F37E27FDBE1}"/>
    <cellStyle name="Ergebnis 2 8" xfId="45035" xr:uid="{33E5549B-8E86-4E45-8E93-B3B7EAC5A896}"/>
    <cellStyle name="Ergebnis 3" xfId="28670" xr:uid="{78383F3C-1359-4F9F-BDD6-A25DB282EA4A}"/>
    <cellStyle name="Ergebnis 3 2" xfId="44570" xr:uid="{4C9196D0-7A97-4739-B045-E1E9CC3E84AE}"/>
    <cellStyle name="Ergebnis 3 2 2" xfId="44783" xr:uid="{CDDB4F12-E33D-42E9-BF90-AF0DD490B5BD}"/>
    <cellStyle name="Ergebnis 3 2 2 2" xfId="45177" xr:uid="{4011DC03-2F92-4B4F-BA3E-5B1816AAE086}"/>
    <cellStyle name="Ergebnis 3 2 2 3" xfId="45460" xr:uid="{D028A903-53E2-4342-9C45-F437C71089BF}"/>
    <cellStyle name="Ergebnis 3 2 3" xfId="44926" xr:uid="{708D9D2D-7516-4277-82FE-F1A3C7A9A59B}"/>
    <cellStyle name="Ergebnis 3 2 4" xfId="45181" xr:uid="{E639234F-062B-44F2-B11D-FCF0D2D3E37F}"/>
    <cellStyle name="Ergebnis 3 3" xfId="44486" xr:uid="{8EEDE2D9-FBAF-4685-9FEE-F16E3AA8C49C}"/>
    <cellStyle name="Ergebnis 3 3 2" xfId="44698" xr:uid="{B9714954-C96D-4058-8741-D819D84FAC2A}"/>
    <cellStyle name="Ergebnis 3 3 2 2" xfId="44105" xr:uid="{03B896AC-DF8B-430F-8DA6-F53A9AF95313}"/>
    <cellStyle name="Ergebnis 3 3 2 3" xfId="45087" xr:uid="{623A0815-7F88-470E-9BD7-BE2CCCEC3B21}"/>
    <cellStyle name="Ergebnis 3 3 3" xfId="45122" xr:uid="{22F0D3EB-2547-4885-8F58-E5C6AD684B31}"/>
    <cellStyle name="Ergebnis 3 3 4" xfId="45425" xr:uid="{F62A2C2B-762F-40B7-82A2-36D559330F20}"/>
    <cellStyle name="Ergebnis 3 4" xfId="44513" xr:uid="{2CFDE71A-6EED-4932-B50A-D127328CE433}"/>
    <cellStyle name="Ergebnis 3 4 2" xfId="44725" xr:uid="{D5A2FAB4-078F-438C-A5A4-9DEC67837DAF}"/>
    <cellStyle name="Ergebnis 3 4 2 2" xfId="44878" xr:uid="{90113B62-BE69-45C1-AC31-E4551EC29439}"/>
    <cellStyle name="Ergebnis 3 4 2 3" xfId="45342" xr:uid="{C1796B70-EA17-4449-9A84-F2BA2616ECF0}"/>
    <cellStyle name="Ergebnis 3 4 3" xfId="45167" xr:uid="{9D322C2E-4155-4483-BC8E-3B19E42203AB}"/>
    <cellStyle name="Ergebnis 3 4 4" xfId="45457" xr:uid="{E1341422-C79F-4EE3-B857-120DB23BCD65}"/>
    <cellStyle name="Ergebnis 3 5" xfId="44649" xr:uid="{F9E72F17-DE66-4F1B-B3F5-6370C2189D8F}"/>
    <cellStyle name="Ergebnis 3 5 2" xfId="44920" xr:uid="{3E2E4692-A52E-4C63-B8EC-8C02C719D366}"/>
    <cellStyle name="Ergebnis 3 5 3" xfId="45174" xr:uid="{41535D8E-9D96-409F-92F0-E77C01321558}"/>
    <cellStyle name="Ergebnis 3 6" xfId="44257" xr:uid="{1FA52B43-ADF6-482F-9D34-59F66EC445BD}"/>
    <cellStyle name="Ergebnis 3 7" xfId="44951" xr:uid="{9F045485-2AAA-425C-92AC-19C099E525D3}"/>
    <cellStyle name="Ergebnis 3 8" xfId="45126" xr:uid="{87D70699-B46A-4C6B-941B-3700DF982EAA}"/>
    <cellStyle name="Ergebnis 4" xfId="28671" xr:uid="{A778CB03-2FF0-4C96-946A-F8D47A7A5FE9}"/>
    <cellStyle name="Ergebnis 4 2" xfId="44714" xr:uid="{34CD0B83-9277-4DF5-A8F9-D21B23EC5281}"/>
    <cellStyle name="Ergebnis 4 2 2" xfId="44970" xr:uid="{B9E418D1-9562-4BA2-9302-2A623E9DBAEA}"/>
    <cellStyle name="Ergebnis 4 2 3" xfId="44981" xr:uid="{9A60DC9E-AD67-4FDF-B543-17745DA3D128}"/>
    <cellStyle name="Ergebnis 4 3" xfId="44502" xr:uid="{98CE5738-EF13-4136-B9D4-EEFBC733C9DB}"/>
    <cellStyle name="Ergebnis 4 4" xfId="44889" xr:uid="{C25D88EA-BB11-4AB2-B06B-8D97C1FF42F2}"/>
    <cellStyle name="Ergebnis 4 5" xfId="45206" xr:uid="{13997761-57C1-4902-B30F-D3A583FA5E46}"/>
    <cellStyle name="Ergebnis 5" xfId="42718" xr:uid="{1BFDD667-A7B4-4133-AFC8-3A30DBFCB7A6}"/>
    <cellStyle name="Ergebnis 5 2" xfId="44787" xr:uid="{25938397-87DB-4E2E-B374-6757C920CDD4}"/>
    <cellStyle name="Ergebnis 5 2 2" xfId="45098" xr:uid="{0745A2A1-5D91-4C08-A40A-2013D70E70A2}"/>
    <cellStyle name="Ergebnis 5 2 3" xfId="45411" xr:uid="{FF2099F1-37D6-42DF-AAA0-4235D993ACDC}"/>
    <cellStyle name="Ergebnis 5 3" xfId="44574" xr:uid="{5226649D-08CB-4D8D-A784-8B8927808C6D}"/>
    <cellStyle name="Ergebnis 5 4" xfId="44252" xr:uid="{F84D3E3E-4468-4859-8F21-41E53B5A1D5A}"/>
    <cellStyle name="Ergebnis 5 5" xfId="44087" xr:uid="{2E723985-68F0-4043-BF36-8065BDBD1FBF}"/>
    <cellStyle name="Ergebnis 6" xfId="42754" xr:uid="{80090584-5ACC-4F32-A297-26ECAA5EF640}"/>
    <cellStyle name="Ergebnis 6 2" xfId="44794" xr:uid="{2A587993-F5D2-42D2-8E49-03F38AED99AC}"/>
    <cellStyle name="Ergebnis 6 2 2" xfId="44357" xr:uid="{28CDF908-B0A4-4EE7-8654-A03380837409}"/>
    <cellStyle name="Ergebnis 6 2 3" xfId="45325" xr:uid="{287FE3E0-F2A5-4406-96D5-43003DB828C9}"/>
    <cellStyle name="Ergebnis 6 3" xfId="44581" xr:uid="{A893AA59-A435-48AB-85EB-D12169CDB5E5}"/>
    <cellStyle name="Ergebnis 6 4" xfId="45157" xr:uid="{ACE0E6B4-BE41-488F-A5CE-2E439510438F}"/>
    <cellStyle name="Ergebnis 6 5" xfId="45449" xr:uid="{36339AB6-AA47-41AA-B84B-AB2DBE76F061}"/>
    <cellStyle name="Ergebnis 7" xfId="43862" xr:uid="{E213FF8C-7DCF-47C3-AF2A-2792982BCF3D}"/>
    <cellStyle name="Ergebnis 7 2" xfId="45016" xr:uid="{942ED9BF-A3E3-4408-882C-9ED25AEA7370}"/>
    <cellStyle name="Ergebnis 7 3" xfId="45069" xr:uid="{D82DACE5-DDBF-4CC5-A614-D142483F77C8}"/>
    <cellStyle name="Ergebnis 8" xfId="45563" hidden="1" xr:uid="{FAC2B1B7-AD86-4CC2-94CA-B93DD7F5C0B4}"/>
    <cellStyle name="Ergebnis 8" xfId="44024" hidden="1" xr:uid="{BB50C337-470D-4BB5-887B-7B2459F329D8}"/>
    <cellStyle name="Ergebnis 8" xfId="45338" hidden="1" xr:uid="{7D5E3A77-3D74-4104-9F66-A9338D2F1DCC}"/>
    <cellStyle name="Ergebnis 8" xfId="45657" xr:uid="{3CF0FCCE-4F96-477A-A428-92AE88474EA4}"/>
    <cellStyle name="Erklärender Text" xfId="8450" xr:uid="{7F2D8406-43BD-4FF0-9C1B-21F064896102}"/>
    <cellStyle name="Erklärender Text 2" xfId="44353" xr:uid="{8B5C4743-CBD6-4208-8266-37F6019012D0}"/>
    <cellStyle name="Erklärender Text 3" xfId="44247" xr:uid="{D51E9C10-B559-4E53-8D94-6ABCB5ED5C06}"/>
    <cellStyle name="Erklärender Text 4" xfId="44840" hidden="1" xr:uid="{D2089CD4-6CC1-4BBA-8078-7AAF6274AB8D}"/>
    <cellStyle name="Erklärender Text 4" xfId="44023" hidden="1" xr:uid="{570BDCC1-0FAA-43C2-8451-32BBE8A9C242}"/>
    <cellStyle name="Erklärender Text 4" xfId="44849" hidden="1" xr:uid="{4C071358-AB20-49DA-8B98-27F73889E1E5}"/>
    <cellStyle name="Erklärender Text 4" xfId="45694" xr:uid="{56725AB9-7FAA-451D-97B7-AA3F3B28684E}"/>
    <cellStyle name="Estilo 1" xfId="28672" xr:uid="{C670E8A0-2ED1-4347-BC39-A63CC7AD1986}"/>
    <cellStyle name="Euro" xfId="8451" xr:uid="{71B8C0AB-3B48-4705-A942-26C0DEB6FB55}"/>
    <cellStyle name="Euro 10" xfId="8452" xr:uid="{4F810146-F186-44DB-946C-4C279293C43A}"/>
    <cellStyle name="Euro 10 2" xfId="8453" xr:uid="{1A798421-3BD6-4F4B-9F81-7FC3080D42A9}"/>
    <cellStyle name="Euro 10 2 2" xfId="28673" xr:uid="{2C4A8F88-904B-4F21-B744-CD0533B62564}"/>
    <cellStyle name="Euro 10 2 3" xfId="28674" xr:uid="{AC9D70FE-1E4E-49C2-AA69-87C20BB30D1C}"/>
    <cellStyle name="Euro 10 2 4" xfId="28675" xr:uid="{B641105A-48DD-44E0-9ACD-EFA13C480ACC}"/>
    <cellStyle name="Euro 10 2 5" xfId="28676" xr:uid="{6DCCFE2F-03E4-409D-B81D-02A1A48E8D0F}"/>
    <cellStyle name="Euro 10 3" xfId="8454" xr:uid="{CE236F0B-7AE0-4AF0-B3AF-8F130982FC2C}"/>
    <cellStyle name="Euro 10 3 2" xfId="28677" xr:uid="{2188EF13-A06A-449E-B79C-1B9EF852A2B3}"/>
    <cellStyle name="Euro 10 4" xfId="8455" xr:uid="{4D9527B6-8D30-4A76-9BE1-09C986209FE6}"/>
    <cellStyle name="Euro 10 5" xfId="8456" xr:uid="{0114469C-7824-4085-B808-9C8EF980E17C}"/>
    <cellStyle name="Euro 10 6" xfId="28678" xr:uid="{FCF1EB9F-D214-4938-BC1E-FAFADDDD34F8}"/>
    <cellStyle name="Euro 11" xfId="8457" xr:uid="{EDAB5731-808F-4462-9922-5F51F868C40F}"/>
    <cellStyle name="Euro 11 2" xfId="8458" xr:uid="{F0B21782-5FA6-4FFE-95A5-595E5841DB3C}"/>
    <cellStyle name="Euro 11 2 2" xfId="28679" xr:uid="{E9FE7A8D-E5CE-4467-AE76-F66BCE8DCE4D}"/>
    <cellStyle name="Euro 11 2 3" xfId="28680" xr:uid="{B06A8979-B89D-452B-92A1-0A09CF29C98D}"/>
    <cellStyle name="Euro 11 2 4" xfId="28681" xr:uid="{B88A879F-7544-439D-94BF-43F722009805}"/>
    <cellStyle name="Euro 11 2 5" xfId="28682" xr:uid="{F50DF5DF-3333-4021-8737-69D32847C473}"/>
    <cellStyle name="Euro 11 3" xfId="8459" xr:uid="{FE483C40-75F1-4BF9-A300-34EDE4C2529D}"/>
    <cellStyle name="Euro 11 3 2" xfId="28683" xr:uid="{68A58245-3229-4450-A8AB-A99390F0F2A0}"/>
    <cellStyle name="Euro 11 4" xfId="8460" xr:uid="{7747AD01-EE72-41CD-992A-49AD37F0E69F}"/>
    <cellStyle name="Euro 11 5" xfId="8461" xr:uid="{62D9A215-9419-4042-A47F-226B5B6F8C8B}"/>
    <cellStyle name="Euro 11 6" xfId="28684" xr:uid="{95384827-6203-4F16-A7DC-964F828CD456}"/>
    <cellStyle name="Euro 12" xfId="8462" xr:uid="{A0D6C6FC-DA9B-4E85-B969-A5F8308DDB4B}"/>
    <cellStyle name="Euro 12 2" xfId="8463" xr:uid="{7F9BECA9-BB3B-4C5C-A9C7-16CAB14AA2B6}"/>
    <cellStyle name="Euro 12 2 2" xfId="28685" xr:uid="{4C992DFE-7012-40B2-A665-E5CD2CAB203B}"/>
    <cellStyle name="Euro 12 2 3" xfId="28686" xr:uid="{B4CAD134-E42D-4F05-AAF1-138FC7D76D90}"/>
    <cellStyle name="Euro 12 2 4" xfId="28687" xr:uid="{9945A837-54B5-40D9-B46B-F0F87F5791DE}"/>
    <cellStyle name="Euro 12 3" xfId="8464" xr:uid="{1D5ED0E8-11CF-4B9D-A7AF-8C1CFB533B35}"/>
    <cellStyle name="Euro 12 4" xfId="28688" xr:uid="{C05496B4-9EB2-4EF0-BCA2-86F47C281EA0}"/>
    <cellStyle name="Euro 13" xfId="8465" xr:uid="{FE9E9533-44B8-4BCC-A10B-7CC66E53FE1F}"/>
    <cellStyle name="Euro 13 2" xfId="28689" xr:uid="{A9338151-6851-4449-976C-3229F500F391}"/>
    <cellStyle name="Euro 13 3" xfId="28690" xr:uid="{63AF94A7-CA53-4FA1-9580-F6EAF4898EF0}"/>
    <cellStyle name="Euro 13 4" xfId="28691" xr:uid="{264DB35D-288E-4526-9AD2-896E87193DC9}"/>
    <cellStyle name="Euro 13 5" xfId="28692" xr:uid="{31C85FDC-E90C-48F8-9851-415CB8DD1123}"/>
    <cellStyle name="Euro 14" xfId="8466" xr:uid="{004D52DA-1776-49F7-ACEE-F2B4788CC5D8}"/>
    <cellStyle name="Euro 14 2" xfId="8467" xr:uid="{33C86FDA-6D7B-46F9-9153-910A2E7B6879}"/>
    <cellStyle name="Euro 14 2 2" xfId="28693" xr:uid="{ED8C7C9F-90E0-42BE-AC58-73CEACE7B99B}"/>
    <cellStyle name="Euro 14 3" xfId="8468" xr:uid="{5CE457E4-73AA-484E-9EBC-88C4FF83BD24}"/>
    <cellStyle name="Euro 14 4" xfId="28694" xr:uid="{6D57B520-0180-45CA-8DF7-61765BEAC4DF}"/>
    <cellStyle name="Euro 15" xfId="8469" xr:uid="{DA0C8C65-F71E-4A23-A043-EC9E876D98A8}"/>
    <cellStyle name="Euro 15 2" xfId="8470" xr:uid="{B0DFCBBB-32F5-4295-A9A3-7EC758C0CA20}"/>
    <cellStyle name="Euro 15 3" xfId="8471" xr:uid="{62421F08-BDA1-486D-AE4A-D71D410B2D0C}"/>
    <cellStyle name="Euro 15 4" xfId="28695" xr:uid="{B9B29250-BAD5-48CA-A665-77A8E783434A}"/>
    <cellStyle name="Euro 16" xfId="8472" xr:uid="{AF94C3CF-5CB5-41B1-BF9A-2BDEC86C7105}"/>
    <cellStyle name="Euro 17" xfId="8473" xr:uid="{6A474BC5-2783-4C69-8143-A26720AB4BDC}"/>
    <cellStyle name="Euro 18" xfId="8474" xr:uid="{95FAB1C9-A299-444E-A741-B40D26A03146}"/>
    <cellStyle name="Euro 19" xfId="8475" xr:uid="{34AB3856-6307-41FE-9F3B-692DB623531C}"/>
    <cellStyle name="Euro 19 2" xfId="8476" xr:uid="{0444C9E4-6ACD-435E-9078-807969162A5C}"/>
    <cellStyle name="Euro 19 3" xfId="28696" xr:uid="{0F4F8B9C-BFD9-4417-B0A0-3075FA3B6597}"/>
    <cellStyle name="Euro 2" xfId="8477" xr:uid="{429213B2-72BB-4C77-8713-A190CA2EF338}"/>
    <cellStyle name="Euro 2 2" xfId="8478" xr:uid="{9304F8E7-9F55-4BD7-B395-808C1775E40B}"/>
    <cellStyle name="Euro 2 2 2" xfId="8479" xr:uid="{8E250328-48BB-494B-B9FE-3C0D54CBD51D}"/>
    <cellStyle name="Euro 2 2 2 2" xfId="8480" xr:uid="{BE1F2A22-0206-4DE4-A82D-2F872B5DF271}"/>
    <cellStyle name="Euro 2 2 2 2 2" xfId="28697" xr:uid="{D55F385A-21BA-4219-A8F5-5CB694771DB0}"/>
    <cellStyle name="Euro 2 2 2 2 3" xfId="28698" xr:uid="{70D388B0-F28A-4ED1-AF6F-BB8AB12F62E8}"/>
    <cellStyle name="Euro 2 2 2 3" xfId="8481" xr:uid="{D8342971-A8BA-4B55-B94D-13B725C8CDFF}"/>
    <cellStyle name="Euro 2 2 2 3 2" xfId="28699" xr:uid="{A73F6B6E-DC9E-4A84-BC2A-C6737DF69AD5}"/>
    <cellStyle name="Euro 2 2 2 3 3" xfId="28700" xr:uid="{C65D888B-5BEF-4838-8F4C-4F6B96BE5C56}"/>
    <cellStyle name="Euro 2 2 2 4" xfId="28701" xr:uid="{5493E850-617A-4139-AC26-9FDD33B38331}"/>
    <cellStyle name="Euro 2 2 3" xfId="8482" xr:uid="{33229E9D-8CD7-4E4D-A065-BD316AAFF9EC}"/>
    <cellStyle name="Euro 2 2 3 2" xfId="28702" xr:uid="{912018DC-3C9B-4A25-976E-D5E8639717C5}"/>
    <cellStyle name="Euro 2 2 4" xfId="8483" xr:uid="{644043D8-11C9-4AF7-AC62-B3151E7CBA5C}"/>
    <cellStyle name="Euro 2 2 4 2" xfId="42720" xr:uid="{B7F3E6A3-80C1-4A65-AA16-088ED025479D}"/>
    <cellStyle name="Euro 2 2 4 3" xfId="42719" xr:uid="{6239DF63-7AE2-434A-A241-CAFA6B095375}"/>
    <cellStyle name="Euro 2 2 5" xfId="28703" xr:uid="{666AF34B-C4BE-4906-8D01-5D3CF9262F99}"/>
    <cellStyle name="Euro 2 2 5 2" xfId="42721" xr:uid="{79A86FF5-D089-4FFF-A724-4F2703491CEB}"/>
    <cellStyle name="Euro 2 2 6" xfId="42722" xr:uid="{11337AC0-C3A7-4F21-AED6-B71C53BF3A48}"/>
    <cellStyle name="Euro 2 3" xfId="8484" xr:uid="{2D7826E9-70DC-4516-8986-ECCCD99F271D}"/>
    <cellStyle name="Euro 2 3 2" xfId="8485" xr:uid="{40C3D005-4B3D-41EA-A847-7ABC847F0F3C}"/>
    <cellStyle name="Euro 2 3 2 2" xfId="28704" xr:uid="{A0B251B1-ADB1-47D9-BB05-774FA64621BE}"/>
    <cellStyle name="Euro 2 3 2 3" xfId="28705" xr:uid="{F6CED892-3EAF-418C-81C5-43F9AEEFF70E}"/>
    <cellStyle name="Euro 2 3 3" xfId="28706" xr:uid="{79CE3165-48BB-470F-96EB-5B206C70A170}"/>
    <cellStyle name="Euro 2 4" xfId="8486" xr:uid="{7B4EC658-00C6-4AFF-B327-B94F3724A595}"/>
    <cellStyle name="Euro 2 4 2" xfId="8487" xr:uid="{94C6CA0E-CA28-427C-B300-2C229D3EE4F4}"/>
    <cellStyle name="Euro 2 4 3" xfId="28707" xr:uid="{2942572F-2B09-40AA-B425-2FBCDC159CE4}"/>
    <cellStyle name="Euro 2 5" xfId="8488" xr:uid="{EE68BDED-96D4-4C05-8F94-5E3D36A9B96D}"/>
    <cellStyle name="Euro 2 5 2" xfId="28708" xr:uid="{6AAC6BC5-A6F7-4AF6-A99D-936D58CC3672}"/>
    <cellStyle name="Euro 2 6" xfId="8489" xr:uid="{38A9C8F9-D782-47DF-8FB7-DEEF4D62FF96}"/>
    <cellStyle name="Euro 2 6 2" xfId="8490" xr:uid="{7D53C85B-4E10-4CF5-8995-58E27B689A65}"/>
    <cellStyle name="Euro 2 6 2 2" xfId="8491" xr:uid="{C69DED7C-5A6D-49E2-8846-78CD4BF5E9C0}"/>
    <cellStyle name="Euro 2 6 3" xfId="42723" xr:uid="{C98229E0-6C06-4D5A-91D2-96748C3F853F}"/>
    <cellStyle name="Euro 2 7" xfId="8492" xr:uid="{A3F46E0D-17AE-4827-B5FC-35382410689B}"/>
    <cellStyle name="Euro 2 7 2" xfId="42724" xr:uid="{12635C03-9D73-459D-B77F-507C85803C80}"/>
    <cellStyle name="Euro 2 8" xfId="8493" xr:uid="{0443C8FB-E852-411D-A419-1E8E94F199DB}"/>
    <cellStyle name="Euro 20" xfId="8494" xr:uid="{503C437E-4360-47B0-BB7B-8566977238A1}"/>
    <cellStyle name="Euro 20 2" xfId="28709" xr:uid="{877415C3-D08B-400C-BF26-223A6C45660A}"/>
    <cellStyle name="Euro 21" xfId="8495" xr:uid="{020FECF9-C0E7-4ACA-A385-67DF1389F055}"/>
    <cellStyle name="Euro 21 2" xfId="8496" xr:uid="{169C6770-3FE4-47A3-8CCB-7935BFBC5EF4}"/>
    <cellStyle name="Euro 21 3" xfId="28710" xr:uid="{46E866B8-CCFC-49EB-A230-91DC05ABB2E6}"/>
    <cellStyle name="Euro 22" xfId="8497" xr:uid="{D5011250-7766-47AB-AD4E-97C57A15B220}"/>
    <cellStyle name="Euro 22 2" xfId="8498" xr:uid="{BA4EEFF6-01B4-417E-8683-7E7E9B92A013}"/>
    <cellStyle name="Euro 22 3" xfId="8499" xr:uid="{E3AD571F-C72C-4EED-A332-187B5241B5F0}"/>
    <cellStyle name="Euro 22 4" xfId="8500" xr:uid="{2C9780E2-E7C5-466E-9AEE-5DFBAD8356D9}"/>
    <cellStyle name="Euro 22 5" xfId="28711" xr:uid="{414E238B-C96E-4E83-8A2F-514A8871E21A}"/>
    <cellStyle name="Euro 22 6" xfId="28712" xr:uid="{31176AE5-1EAF-4AED-BB81-8129A547DE01}"/>
    <cellStyle name="Euro 23" xfId="8501" xr:uid="{F89C21D2-1B01-44F8-9A2D-F37B20F2F7D2}"/>
    <cellStyle name="Euro 23 2" xfId="8502" xr:uid="{224BDF71-DB40-4FAE-B472-EE340BD51F7E}"/>
    <cellStyle name="Euro 24" xfId="8503" xr:uid="{0B7381A3-A495-4E07-954C-4B7870C222A2}"/>
    <cellStyle name="Euro 24 2" xfId="28713" xr:uid="{18692806-1B5D-4468-856C-12D227BCB0E0}"/>
    <cellStyle name="Euro 24 3" xfId="28714" xr:uid="{1B87E1D6-5F40-4912-842B-F46D91AF97BA}"/>
    <cellStyle name="Euro 25" xfId="8504" xr:uid="{DD7AA741-1CD9-4603-B749-93D992CC5D81}"/>
    <cellStyle name="Euro 25 2" xfId="42725" xr:uid="{4B2699B3-117C-4663-A142-7E03B9233505}"/>
    <cellStyle name="Euro 26" xfId="28715" xr:uid="{A877FE65-D40E-4DA5-9F6B-D912B53A4BB4}"/>
    <cellStyle name="Euro 27" xfId="28716" xr:uid="{6729ED04-1006-4814-89E4-9170E9E604C4}"/>
    <cellStyle name="Euro 28" xfId="28717" xr:uid="{6FA499BA-16CB-4902-B9E4-30ACCA59B21E}"/>
    <cellStyle name="Euro 29" xfId="28718" xr:uid="{393324D4-820A-44F6-83E9-4F2A9E8E1BE9}"/>
    <cellStyle name="Euro 3" xfId="8505" xr:uid="{A233627E-868A-4B5B-9673-C124841100A7}"/>
    <cellStyle name="Euro 3 10" xfId="42726" xr:uid="{D9C91E46-F99E-4C5C-8926-F02302D4C54D}"/>
    <cellStyle name="Euro 3 11" xfId="42727" xr:uid="{E943CE1F-D620-43BE-BE5A-7594000162A7}"/>
    <cellStyle name="Euro 3 2" xfId="8506" xr:uid="{FE371D54-AC41-41A4-8260-03C1712C1F0F}"/>
    <cellStyle name="Euro 3 2 2" xfId="28719" xr:uid="{729F8092-607D-4042-96E5-667E48F08E6E}"/>
    <cellStyle name="Euro 3 2 2 2" xfId="28720" xr:uid="{4FBF2A40-1AD0-44DC-9DF7-D3588EA664CF}"/>
    <cellStyle name="Euro 3 2 2 3" xfId="42728" xr:uid="{38847D5C-CEA8-4E9D-BC83-BBFA29D8B6C7}"/>
    <cellStyle name="Euro 3 2 3" xfId="28721" xr:uid="{6609B5DE-1EA3-4319-9E03-C1AC54090A22}"/>
    <cellStyle name="Euro 3 2 4" xfId="28722" xr:uid="{955523AF-8763-4732-8BD7-16FC8C53C0EB}"/>
    <cellStyle name="Euro 3 2 5" xfId="28723" xr:uid="{3AF8E8F7-632B-4E8F-A0FA-A0667A5860F5}"/>
    <cellStyle name="Euro 3 3" xfId="8507" xr:uid="{869090C1-4F39-4001-8482-DCEA6B913960}"/>
    <cellStyle name="Euro 3 3 2" xfId="8508" xr:uid="{E7746C8B-BB10-4B7D-9CB1-69DD17BF3AF0}"/>
    <cellStyle name="Euro 3 3 3" xfId="8509" xr:uid="{8FFFE11E-83FA-4D8C-A86B-0F40019F002F}"/>
    <cellStyle name="Euro 3 3 4" xfId="8510" xr:uid="{14E40F4A-2F64-4785-A472-1492F3608C4F}"/>
    <cellStyle name="Euro 3 3 4 2" xfId="42729" xr:uid="{FCEBBFAF-650A-405D-9E38-694AB5A94906}"/>
    <cellStyle name="Euro 3 3 5" xfId="28724" xr:uid="{ED7FD8E5-F74D-4560-9D44-C029EA661096}"/>
    <cellStyle name="Euro 3 3 6" xfId="28725" xr:uid="{D2A60379-FF9E-47FB-9AD1-B93D9D5003F3}"/>
    <cellStyle name="Euro 3 4" xfId="8511" xr:uid="{BE8BDAAF-B93E-4F30-93EF-9AF2E08F0274}"/>
    <cellStyle name="Euro 3 4 2" xfId="8512" xr:uid="{83EB6E95-EB39-4CCE-971F-A1FDF402848C}"/>
    <cellStyle name="Euro 3 5" xfId="8513" xr:uid="{4A251F19-D744-4A01-89E6-14B711552F62}"/>
    <cellStyle name="Euro 3 5 2" xfId="42730" xr:uid="{3AB2A5B4-23BE-4944-B433-5BFF877BF1B7}"/>
    <cellStyle name="Euro 3 6" xfId="8514" xr:uid="{0BD420B9-9D83-4526-877F-E0C79037F86B}"/>
    <cellStyle name="Euro 3 6 2" xfId="42731" xr:uid="{6C1CFD36-E594-489F-AFEC-621C1FD3F921}"/>
    <cellStyle name="Euro 3 7" xfId="8515" xr:uid="{E02303A3-7F32-41CB-AAFB-CF758CB791B3}"/>
    <cellStyle name="Euro 3 7 2" xfId="8516" xr:uid="{57A9DF04-FDEF-45E8-BC7C-41D3AFB93F9B}"/>
    <cellStyle name="Euro 3 7 3" xfId="8517" xr:uid="{3EA1DAD0-0788-442F-8188-67B302B94E9E}"/>
    <cellStyle name="Euro 3 7 4" xfId="28726" xr:uid="{E89AA065-1ED4-441B-BB4E-E90DBAD23AA8}"/>
    <cellStyle name="Euro 3 8" xfId="8518" xr:uid="{663D93F9-82C7-4097-B6B6-3071A8EBB78E}"/>
    <cellStyle name="Euro 3 8 2" xfId="42732" xr:uid="{98036AD9-FCBB-4090-A6C4-D15AAC8B807A}"/>
    <cellStyle name="Euro 3 9" xfId="42733" xr:uid="{741A9393-5068-4EB4-A9E3-1BED3A60CCBB}"/>
    <cellStyle name="Euro 3_PrimaryEnergyPrices_TIMES" xfId="28727" xr:uid="{CC839954-1722-4042-8D9C-773044117FF6}"/>
    <cellStyle name="Euro 30" xfId="28728" xr:uid="{025097B3-66EA-458B-BD22-AEA78F0DE2DA}"/>
    <cellStyle name="Euro 31" xfId="28729" xr:uid="{49CFD86C-E0AC-427E-BBF3-58F3CB193267}"/>
    <cellStyle name="Euro 32" xfId="28730" xr:uid="{69D75732-E13C-404E-BC1C-4BFFB8D179E1}"/>
    <cellStyle name="Euro 33" xfId="28731" xr:uid="{15AB3C12-2C70-4EF3-BFD5-C6361E60EEC8}"/>
    <cellStyle name="Euro 34" xfId="28732" xr:uid="{BF6677D1-DAD5-43BF-9D79-334079273352}"/>
    <cellStyle name="Euro 35" xfId="28733" xr:uid="{D12EFD02-FACE-4A22-843F-62D82752C0B9}"/>
    <cellStyle name="Euro 36" xfId="28734" xr:uid="{8F270E15-5A9E-42D4-BE46-74AD464E61EF}"/>
    <cellStyle name="Euro 37" xfId="28735" xr:uid="{5096EF3F-49CC-4656-93B6-42FC403E64A3}"/>
    <cellStyle name="Euro 38" xfId="28736" xr:uid="{6C753BD4-647E-49C1-9672-B3F76CFC6493}"/>
    <cellStyle name="Euro 39" xfId="28737" xr:uid="{BB79549E-E5D9-420E-8C66-F4045F4CDF28}"/>
    <cellStyle name="Euro 4" xfId="8519" xr:uid="{AC6EBFF7-8A0C-4758-9813-4E7EA32985FF}"/>
    <cellStyle name="Euro 4 2" xfId="8520" xr:uid="{C3BB94D7-9564-460E-A5B9-8744E8205A0E}"/>
    <cellStyle name="Euro 4 2 2" xfId="8521" xr:uid="{53BA65FE-9F4E-4671-902C-363054D83942}"/>
    <cellStyle name="Euro 4 2 2 2" xfId="28738" xr:uid="{27D39C6C-E535-4223-9342-36DD44EF07DB}"/>
    <cellStyle name="Euro 4 2 2 3" xfId="42734" xr:uid="{2C763E09-1E67-4C19-9226-C1B6D2EBDCBA}"/>
    <cellStyle name="Euro 4 2 3" xfId="28739" xr:uid="{51B652A5-65DA-4157-8108-D97FF81F2698}"/>
    <cellStyle name="Euro 4 2 4" xfId="28740" xr:uid="{5B8302EA-20A5-409A-87AC-1A3E5898B503}"/>
    <cellStyle name="Euro 4 3" xfId="8522" xr:uid="{05D48FE2-CBAA-4DE2-BC61-F1B5A3200587}"/>
    <cellStyle name="Euro 4 3 2" xfId="8523" xr:uid="{04284F2E-C897-421B-86FB-DDF2281B43F4}"/>
    <cellStyle name="Euro 4 3 3" xfId="8524" xr:uid="{F007D146-B78F-48B4-94B0-0CEF27D74829}"/>
    <cellStyle name="Euro 4 3 4" xfId="8525" xr:uid="{B8E36729-B0DF-4DFB-8248-88C7BF49C093}"/>
    <cellStyle name="Euro 4 3 4 2" xfId="42735" xr:uid="{FB8F54F9-69F4-4573-A538-DD2E2CCEB548}"/>
    <cellStyle name="Euro 4 3 5" xfId="28741" xr:uid="{BF8BDDA1-18B7-4125-9E4E-830C4B176959}"/>
    <cellStyle name="Euro 4 4" xfId="8526" xr:uid="{B9ECC0E1-B56B-4E8E-91C0-D390D72BDD6D}"/>
    <cellStyle name="Euro 4 4 2" xfId="8527" xr:uid="{3F80EFF7-FE09-4320-B770-90152178F136}"/>
    <cellStyle name="Euro 4 4 2 2" xfId="42736" xr:uid="{BE8AF438-936E-4C01-BDC6-9ECC69A2E033}"/>
    <cellStyle name="Euro 4 5" xfId="8528" xr:uid="{3EB4828F-2586-4668-9117-AC4A320191ED}"/>
    <cellStyle name="Euro 4 5 2" xfId="42737" xr:uid="{22E5B53D-5B34-4E5D-BB73-075DE2F7C938}"/>
    <cellStyle name="Euro 4 6" xfId="8529" xr:uid="{AAA96DAA-6AAB-438C-8356-C35DC735A3C8}"/>
    <cellStyle name="Euro 40" xfId="28742" xr:uid="{0BEFED25-134C-4ABE-ABD2-211F3B847CD1}"/>
    <cellStyle name="Euro 41" xfId="28743" xr:uid="{8ADE17E8-BBD0-4F01-96EA-4082AB4CF55C}"/>
    <cellStyle name="Euro 42" xfId="28744" xr:uid="{42A0A2CE-521F-4397-93D2-81FCAD5EA462}"/>
    <cellStyle name="Euro 43" xfId="28745" xr:uid="{CFD4186A-94DD-45DE-9D7B-36EAB411808B}"/>
    <cellStyle name="Euro 44" xfId="28746" xr:uid="{B0E97971-4A11-4D51-BA97-3AA5896FDCAF}"/>
    <cellStyle name="Euro 45" xfId="28747" xr:uid="{BFAC8C95-218C-4CF4-B0E7-09EB4E1F346F}"/>
    <cellStyle name="Euro 46" xfId="28748" xr:uid="{639BC58F-49BB-42CA-9885-15CCA872DCEC}"/>
    <cellStyle name="Euro 47" xfId="28749" xr:uid="{47CF9FA5-1C6C-4F4D-8565-0DA0FFD3C25F}"/>
    <cellStyle name="Euro 48" xfId="28750" xr:uid="{305895DE-02B9-479D-B28C-9BF8DDDA712B}"/>
    <cellStyle name="Euro 48 2" xfId="28751" xr:uid="{F43DAAAD-CECB-4FC5-B919-EABC1E8DB801}"/>
    <cellStyle name="Euro 49" xfId="28752" xr:uid="{2FA081C3-BFC3-4659-9CB9-D8C49534485C}"/>
    <cellStyle name="Euro 49 2" xfId="28753" xr:uid="{6D5B3EC5-2A2D-46D6-80CA-6E3207108726}"/>
    <cellStyle name="Euro 5" xfId="8530" xr:uid="{A6EADD49-1CE7-4596-9464-404793168FB3}"/>
    <cellStyle name="Euro 5 2" xfId="8531" xr:uid="{11C06A75-68BC-4DA1-B93B-6CDFC51DBD53}"/>
    <cellStyle name="Euro 5 2 2" xfId="8532" xr:uid="{0C96C083-4E81-4040-A889-3F871020AB73}"/>
    <cellStyle name="Euro 5 2 2 2" xfId="28754" xr:uid="{E594F27F-0163-4416-AB0B-4B7723F2A1E6}"/>
    <cellStyle name="Euro 5 2 2 3" xfId="28755" xr:uid="{EB0270D7-4773-4C81-99F0-2A5C33DDC2EB}"/>
    <cellStyle name="Euro 5 2 3" xfId="28756" xr:uid="{AE009203-EEB5-42C5-B2EE-FF91923F891B}"/>
    <cellStyle name="Euro 5 2 4" xfId="28757" xr:uid="{3E71F0EA-0380-4399-B034-F518D01EDE41}"/>
    <cellStyle name="Euro 5 3" xfId="8533" xr:uid="{6C1A09C8-CB6A-4259-9FA3-1309C85D07C4}"/>
    <cellStyle name="Euro 5 3 2" xfId="8534" xr:uid="{5459E3DC-E37A-42B4-AFA0-9CA76FE353D5}"/>
    <cellStyle name="Euro 5 3 3" xfId="28758" xr:uid="{9B43FE8D-8D42-460F-9019-53DAAA492324}"/>
    <cellStyle name="Euro 5 4" xfId="8535" xr:uid="{46951EE6-3B30-4B56-B537-D316126EEB19}"/>
    <cellStyle name="Euro 5 4 2" xfId="42739" xr:uid="{781A4973-B4E2-4B0C-954E-63E1772FD89B}"/>
    <cellStyle name="Euro 5 4 3" xfId="42738" xr:uid="{7F819D5E-4D03-474B-82A0-E91396719764}"/>
    <cellStyle name="Euro 5 5" xfId="8536" xr:uid="{92C7A82B-3B5B-428C-8F54-5CCC7BFB49C6}"/>
    <cellStyle name="Euro 5 5 2" xfId="42740" xr:uid="{887E2D3D-5B0A-45FF-9ECB-D77DFA3309FC}"/>
    <cellStyle name="Euro 5 6" xfId="8537" xr:uid="{5948152A-D73C-496C-9AD7-E14631A0344E}"/>
    <cellStyle name="Euro 50" xfId="28759" xr:uid="{61082E7E-B0C0-49DA-BE95-BD9C99FF3A57}"/>
    <cellStyle name="Euro 50 2" xfId="28760" xr:uid="{5A26059F-60CC-41A5-93AE-BC4E39ACA2A3}"/>
    <cellStyle name="Euro 51" xfId="28761" xr:uid="{1A3BD8AF-8B60-485A-A600-EDDD5F7D348E}"/>
    <cellStyle name="Euro 51 2" xfId="28762" xr:uid="{E759CF93-1020-4956-BA83-443FAFE8CD3C}"/>
    <cellStyle name="Euro 52" xfId="28763" xr:uid="{C3A99378-66C9-41A8-B872-397F4A953737}"/>
    <cellStyle name="Euro 52 2" xfId="28764" xr:uid="{4869A939-C7FB-4698-A55A-A9E0368A66F4}"/>
    <cellStyle name="Euro 53" xfId="28765" xr:uid="{CE71839D-4837-4A56-B92D-0136B1C89475}"/>
    <cellStyle name="Euro 53 2" xfId="28766" xr:uid="{3EEF1D66-1AF2-4B08-B193-94E24CF64420}"/>
    <cellStyle name="Euro 54" xfId="28767" xr:uid="{B5BD43DD-3CF4-4D92-93DD-F49644F97A9F}"/>
    <cellStyle name="Euro 54 2" xfId="28768" xr:uid="{1D9627F3-7CD4-473D-BDFD-92122F6312E8}"/>
    <cellStyle name="Euro 55" xfId="28769" xr:uid="{13168D2A-C535-45A7-A679-38D3EE335052}"/>
    <cellStyle name="Euro 55 2" xfId="28770" xr:uid="{500D3187-3748-4A1C-B8CC-EA3082C89A5B}"/>
    <cellStyle name="Euro 56" xfId="28771" xr:uid="{754A1B2F-A44B-4FB0-B977-035BAEAFD36D}"/>
    <cellStyle name="Euro 56 2" xfId="28772" xr:uid="{5CA766FA-6F6F-49CD-893E-0C3B957BCEE6}"/>
    <cellStyle name="Euro 57" xfId="28773" xr:uid="{01C9B86E-B017-430C-8C4A-4399673E6A7C}"/>
    <cellStyle name="Euro 58" xfId="28774" xr:uid="{8B17E055-33DD-48F4-BC91-805348DA9CD3}"/>
    <cellStyle name="Euro 58 2" xfId="42741" xr:uid="{F74C3B5F-EACB-4167-A70C-3BD35178C5DA}"/>
    <cellStyle name="Euro 59" xfId="28775" xr:uid="{31296A09-BFB7-4735-8547-9FC52553B956}"/>
    <cellStyle name="Euro 59 2" xfId="42742" xr:uid="{093D45E2-3098-475D-A000-2152A5961733}"/>
    <cellStyle name="Euro 6" xfId="8538" xr:uid="{51BEC70F-AD93-4A24-8049-3986DC726A20}"/>
    <cellStyle name="Euro 6 2" xfId="8539" xr:uid="{9F5310E7-BD43-4D83-B34B-74E53FFE6386}"/>
    <cellStyle name="Euro 6 2 2" xfId="28776" xr:uid="{A4DB133D-0A60-4474-99C1-1D32B3ADC268}"/>
    <cellStyle name="Euro 6 2 2 2" xfId="28777" xr:uid="{6FC0D714-FB89-476E-BFCF-B7416635F508}"/>
    <cellStyle name="Euro 6 2 3" xfId="28778" xr:uid="{5C3A97ED-A788-4F51-975C-676A0ABF0495}"/>
    <cellStyle name="Euro 6 2 4" xfId="28779" xr:uid="{C7C457C7-6DD6-469A-9F34-0A7FC369682F}"/>
    <cellStyle name="Euro 6 2 5" xfId="28780" xr:uid="{9FD20DB1-65A3-4AC1-9C6D-70F8F5BEBCE8}"/>
    <cellStyle name="Euro 6 3" xfId="8540" xr:uid="{4602985B-F960-4815-9130-E70B12ACFD00}"/>
    <cellStyle name="Euro 6 3 2" xfId="28781" xr:uid="{C11410BE-1BD0-4B85-B17D-8439F0C1379C}"/>
    <cellStyle name="Euro 6 3 3" xfId="42743" xr:uid="{AAA49BA8-88FE-4A16-A143-6CE07B855317}"/>
    <cellStyle name="Euro 6 4" xfId="8541" xr:uid="{A3798D01-D5BD-4884-8187-E727D82DEAA0}"/>
    <cellStyle name="Euro 6 4 2" xfId="42744" xr:uid="{A94F57F5-8DA5-41E6-BFC2-52CC667E496A}"/>
    <cellStyle name="Euro 6 5" xfId="8542" xr:uid="{068128EF-899C-453B-8D0F-E2A8E57A23E1}"/>
    <cellStyle name="Euro 6 6" xfId="8543" xr:uid="{1E8981BA-5C66-4B73-B678-4133B9091665}"/>
    <cellStyle name="Euro 6 7" xfId="28782" xr:uid="{81B804E1-A864-4D49-A81F-D2F24306B173}"/>
    <cellStyle name="Euro 60" xfId="42745" xr:uid="{8A0A1BFE-5E14-44D5-9D9B-0F7C9BF346FE}"/>
    <cellStyle name="Euro 7" xfId="8544" xr:uid="{10F009E8-6C4A-4A82-B2FE-37D98A4A000D}"/>
    <cellStyle name="Euro 7 2" xfId="8545" xr:uid="{CAB93FC8-0EF0-435A-BA0D-C9F669E2BE6E}"/>
    <cellStyle name="Euro 7 2 2" xfId="28783" xr:uid="{F17FF820-19AC-416F-A572-FDDD37F42789}"/>
    <cellStyle name="Euro 7 2 3" xfId="28784" xr:uid="{FF00F333-4FE3-4B26-9F11-EA1A6A999E25}"/>
    <cellStyle name="Euro 7 2 4" xfId="28785" xr:uid="{28F6A806-C8B6-43E9-960E-BBFA7FFBE73A}"/>
    <cellStyle name="Euro 7 2 5" xfId="28786" xr:uid="{2EA553B6-37AD-4401-8351-E954DB5E993C}"/>
    <cellStyle name="Euro 7 3" xfId="8546" xr:uid="{8AA3AF40-BDBB-4850-8C77-E01A001C4BF3}"/>
    <cellStyle name="Euro 7 3 2" xfId="28787" xr:uid="{7A444CAB-FBA8-463A-A092-7861816DE1E0}"/>
    <cellStyle name="Euro 7 3 3" xfId="42746" xr:uid="{983A2C71-8885-44DF-A94E-EAD6FCD3E369}"/>
    <cellStyle name="Euro 7 4" xfId="8547" xr:uid="{B58AAEB5-44C3-4129-817D-C77F76C0E149}"/>
    <cellStyle name="Euro 7 5" xfId="8548" xr:uid="{F7E1EC21-97AA-48B1-B928-8F0D6377F65D}"/>
    <cellStyle name="Euro 7 6" xfId="28788" xr:uid="{DBCD2DCE-4BDE-4701-BAF9-CD4C89ED154F}"/>
    <cellStyle name="Euro 8" xfId="8549" xr:uid="{540FD7E0-FCC1-4ABE-ABD6-672EB9E2BABA}"/>
    <cellStyle name="Euro 8 2" xfId="8550" xr:uid="{EA16711F-7958-4CA2-90EF-527BF35CF3C8}"/>
    <cellStyle name="Euro 8 2 2" xfId="28789" xr:uid="{DBE9274A-4B13-415E-9EA4-5E82F484CD2F}"/>
    <cellStyle name="Euro 8 2 3" xfId="28790" xr:uid="{A258B154-B9CC-43AF-B284-F7A760C21A50}"/>
    <cellStyle name="Euro 8 2 4" xfId="28791" xr:uid="{E58F63C9-FFBD-4A12-A18D-5738A97985D8}"/>
    <cellStyle name="Euro 8 2 5" xfId="28792" xr:uid="{7A39EEE3-BF8C-4565-940F-A678C324478D}"/>
    <cellStyle name="Euro 8 3" xfId="8551" xr:uid="{90531E0C-0354-43F2-841E-C8093F7CAA37}"/>
    <cellStyle name="Euro 8 3 2" xfId="28793" xr:uid="{2FD520D5-FF74-417B-B78F-5664F557BC8B}"/>
    <cellStyle name="Euro 8 4" xfId="8552" xr:uid="{DB4E3C84-8096-45DC-94F7-1F5375684DDF}"/>
    <cellStyle name="Euro 8 5" xfId="8553" xr:uid="{639DD8A7-7813-4BFB-89CD-1406621DB395}"/>
    <cellStyle name="Euro 8 6" xfId="28794" xr:uid="{CA331EC7-33C1-45DE-8E4A-3DA5FEBD9517}"/>
    <cellStyle name="Euro 9" xfId="8554" xr:uid="{CE0AF6ED-88B0-4824-83EE-E3A002759063}"/>
    <cellStyle name="Euro 9 2" xfId="8555" xr:uid="{8FB0DBDA-B803-46EA-AD02-065179E1B5CC}"/>
    <cellStyle name="Euro 9 2 2" xfId="28795" xr:uid="{CA73DBB3-4DB4-4876-86F5-1C85CBC8B23F}"/>
    <cellStyle name="Euro 9 2 3" xfId="28796" xr:uid="{1383E287-BA62-46A4-BAF4-15A4F0E88BC4}"/>
    <cellStyle name="Euro 9 2 4" xfId="28797" xr:uid="{2AE06443-5CCC-42D7-ABD8-59E4AD8D9272}"/>
    <cellStyle name="Euro 9 2 5" xfId="28798" xr:uid="{932118C7-2024-45BA-B4B5-9141A9BA8BF9}"/>
    <cellStyle name="Euro 9 3" xfId="8556" xr:uid="{478C6542-261D-4D66-9EBC-B07CA1B5E960}"/>
    <cellStyle name="Euro 9 3 2" xfId="28799" xr:uid="{C63DCF9A-E4F8-48EC-9C6F-0B1BBC89B421}"/>
    <cellStyle name="Euro 9 4" xfId="8557" xr:uid="{1D8E1D75-043A-4F45-8BE8-6BA57B00C9DD}"/>
    <cellStyle name="Euro 9 5" xfId="8558" xr:uid="{A78B17A8-C9E9-43F9-95D9-87B7659C9E59}"/>
    <cellStyle name="Euro 9 6" xfId="28800" xr:uid="{375164C6-F95A-4FF3-B22E-445B4E77BB5E}"/>
    <cellStyle name="Euro_Potentials in TIMES" xfId="8559" xr:uid="{0B6CDFDA-6A28-40A3-9F90-B3BB9DD0754D}"/>
    <cellStyle name="Excel Built-in Normal" xfId="8560" xr:uid="{DF9ED0DF-049B-4F12-AF48-404B8D3E76D8}"/>
    <cellStyle name="Explanatory Text" xfId="21014" builtinId="53" customBuiltin="1"/>
    <cellStyle name="Explanatory Text 10" xfId="8561" xr:uid="{BAF2298B-CE82-4C81-9501-70020619B0A9}"/>
    <cellStyle name="Explanatory Text 11" xfId="28801" xr:uid="{388503D1-9A1E-4E09-9C29-B1BBBF2F887E}"/>
    <cellStyle name="Explanatory Text 12" xfId="28802" xr:uid="{92F45EF5-72A6-4711-AA03-5ED7F574AEE3}"/>
    <cellStyle name="Explanatory Text 13" xfId="28803" xr:uid="{2EE84115-9026-441B-9906-4B2C47C7BB77}"/>
    <cellStyle name="Explanatory Text 14" xfId="28804" xr:uid="{9EA05F73-9E3C-42EF-94C8-44017F9D860A}"/>
    <cellStyle name="Explanatory Text 15" xfId="28805" xr:uid="{4D73D722-FA60-4F75-A68B-F303A9819854}"/>
    <cellStyle name="Explanatory Text 16" xfId="28806" xr:uid="{D07C05A5-DA00-4136-A075-F847322FF73C}"/>
    <cellStyle name="Explanatory Text 17" xfId="28807" xr:uid="{4D75A540-016D-4746-AD5D-03A74E17DD48}"/>
    <cellStyle name="Explanatory Text 18" xfId="28808" xr:uid="{B303A022-1163-46F8-BA47-D16A203207E0}"/>
    <cellStyle name="Explanatory Text 19" xfId="28809" xr:uid="{14C078E6-35C6-415B-8FB3-66EB6B0B3202}"/>
    <cellStyle name="Explanatory Text 2" xfId="8562" xr:uid="{F2CA980C-2D3A-4C92-B267-3C1F0B6A4458}"/>
    <cellStyle name="Explanatory Text 2 10" xfId="8563" xr:uid="{80768982-987B-42B4-9694-1FD37DB4D23B}"/>
    <cellStyle name="Explanatory Text 2 11" xfId="8564" xr:uid="{666A34B6-4632-44EA-98CD-D71E15DCA1C9}"/>
    <cellStyle name="Explanatory Text 2 12" xfId="42195" xr:uid="{E2696D66-C245-4423-BA68-1C5444BA1DE3}"/>
    <cellStyle name="Explanatory Text 2 13" xfId="44113" xr:uid="{F2C65ABB-E10E-4B5A-B06E-C1E3E1D8211A}"/>
    <cellStyle name="Explanatory Text 2 2" xfId="8565" xr:uid="{D5A564B1-3673-49AF-A4FA-72A2991EE218}"/>
    <cellStyle name="Explanatory Text 2 3" xfId="8566" xr:uid="{18A83DB3-664A-4851-AFDF-482DBC5DC79F}"/>
    <cellStyle name="Explanatory Text 2 4" xfId="8567" xr:uid="{6D6AC453-A30F-4240-AC14-43707232AA71}"/>
    <cellStyle name="Explanatory Text 2 5" xfId="8568" xr:uid="{D53E6765-924D-4139-9F23-D6BE8AD0A6F6}"/>
    <cellStyle name="Explanatory Text 2 6" xfId="8569" xr:uid="{E21406CA-2B9A-4968-A3E5-59725F1D98DE}"/>
    <cellStyle name="Explanatory Text 2 7" xfId="8570" xr:uid="{5BBF5E85-6948-4022-9F13-D0F859AAB832}"/>
    <cellStyle name="Explanatory Text 2 8" xfId="8571" xr:uid="{E73C8761-CE00-449D-A4EE-CA79AE9AF5F2}"/>
    <cellStyle name="Explanatory Text 2 9" xfId="8572" xr:uid="{100217E9-4132-4B70-BAB4-19B74FB42D7A}"/>
    <cellStyle name="Explanatory Text 20" xfId="28810" xr:uid="{1F8193CC-3770-4423-98A7-F7697FA34742}"/>
    <cellStyle name="Explanatory Text 21" xfId="28811" xr:uid="{191EB81B-3676-4337-94CB-541D43EB044E}"/>
    <cellStyle name="Explanatory Text 22" xfId="28812" xr:uid="{FE3D6192-5B5F-456C-AB47-FF096BC32481}"/>
    <cellStyle name="Explanatory Text 23" xfId="28813" xr:uid="{4228A9DE-0728-4F1E-BAD5-2312A1D55B79}"/>
    <cellStyle name="Explanatory Text 24" xfId="28814" xr:uid="{ED1D9358-6F74-4124-B051-861F31C31AE3}"/>
    <cellStyle name="Explanatory Text 25" xfId="28815" xr:uid="{A6E5B764-1560-4326-B898-F2CB2C779594}"/>
    <cellStyle name="Explanatory Text 26" xfId="28816" xr:uid="{65E1B437-989F-4DDE-B1A4-01074B99A0D8}"/>
    <cellStyle name="Explanatory Text 27" xfId="28817" xr:uid="{3EA28F72-435F-40E6-8E29-17D0B2F191C1}"/>
    <cellStyle name="Explanatory Text 28" xfId="28818" xr:uid="{8331A962-0345-49C8-8210-09B94E00616C}"/>
    <cellStyle name="Explanatory Text 29" xfId="28819" xr:uid="{82D673F9-AE74-4570-9C35-FE4EF36FCA1C}"/>
    <cellStyle name="Explanatory Text 3" xfId="8573" xr:uid="{20E6133E-9EFB-4ACD-B330-14D8A85AFDBC}"/>
    <cellStyle name="Explanatory Text 3 10" xfId="8574" xr:uid="{98402BC2-D8CD-4F9B-8A92-8AA107665F33}"/>
    <cellStyle name="Explanatory Text 3 11" xfId="8575" xr:uid="{2903E968-16A6-459D-B856-06F321EE1BF9}"/>
    <cellStyle name="Explanatory Text 3 12" xfId="44197" xr:uid="{C00376E6-85C6-496A-B3C5-C93CD330967F}"/>
    <cellStyle name="Explanatory Text 3 2" xfId="8576" xr:uid="{B5B54A52-DC40-43F0-BCF2-1AD579811A29}"/>
    <cellStyle name="Explanatory Text 3 3" xfId="8577" xr:uid="{603D7E49-496B-4252-8DF3-DD71D5BA774F}"/>
    <cellStyle name="Explanatory Text 3 4" xfId="8578" xr:uid="{A9241E87-2AD8-42EB-808E-5A2F01B02AF4}"/>
    <cellStyle name="Explanatory Text 3 5" xfId="8579" xr:uid="{5A29ABFC-0DA6-413F-AA87-6886FFD21975}"/>
    <cellStyle name="Explanatory Text 3 6" xfId="8580" xr:uid="{9D8489CB-74C0-4DAE-901D-F743332E5EDC}"/>
    <cellStyle name="Explanatory Text 3 7" xfId="8581" xr:uid="{8B3974E5-12D2-4BE8-B40D-720EA6DF9AFE}"/>
    <cellStyle name="Explanatory Text 3 8" xfId="8582" xr:uid="{49353273-5BBD-4F34-8F7D-91E88D1D182B}"/>
    <cellStyle name="Explanatory Text 3 9" xfId="8583" xr:uid="{D7D8B1E1-2889-42B1-9019-05911A63316C}"/>
    <cellStyle name="Explanatory Text 30" xfId="28820" xr:uid="{48AF57BC-2CE0-42B1-8B89-763BFCA8A9F0}"/>
    <cellStyle name="Explanatory Text 31" xfId="28821" xr:uid="{32C42EC2-8F5B-4486-8101-D0E4266C1D0B}"/>
    <cellStyle name="Explanatory Text 32" xfId="28822" xr:uid="{88E30269-2B88-4676-9374-356098E9DE68}"/>
    <cellStyle name="Explanatory Text 33" xfId="28823" xr:uid="{430BA9B7-69E3-4C30-8DE0-CC7E0B5CC426}"/>
    <cellStyle name="Explanatory Text 34" xfId="28824" xr:uid="{FD17BF77-D7B0-4904-BB04-7A3848422FF9}"/>
    <cellStyle name="Explanatory Text 35" xfId="28825" xr:uid="{A3F66C96-01A6-4827-9808-1BC3A96C109C}"/>
    <cellStyle name="Explanatory Text 36" xfId="28826" xr:uid="{E22E36A3-0054-420B-872C-F0107225F69D}"/>
    <cellStyle name="Explanatory Text 37" xfId="28827" xr:uid="{E1761224-25AF-474A-8451-46CB58EC2E8A}"/>
    <cellStyle name="Explanatory Text 38" xfId="28828" xr:uid="{73406A2E-3F34-4692-BA0B-75B1DB395560}"/>
    <cellStyle name="Explanatory Text 39" xfId="28829" xr:uid="{4B39B608-94B8-4B51-BB02-A62F7A3030DC}"/>
    <cellStyle name="Explanatory Text 4" xfId="8584" xr:uid="{C8EAB0AC-8182-403D-9F72-E8BCF2F7701C}"/>
    <cellStyle name="Explanatory Text 4 10" xfId="8585" xr:uid="{040597C1-5740-4B1C-9164-99D17344692C}"/>
    <cellStyle name="Explanatory Text 4 11" xfId="8586" xr:uid="{B731293E-FF9C-4E05-9C39-726BD0210837}"/>
    <cellStyle name="Explanatory Text 4 2" xfId="8587" xr:uid="{8B2210C6-B97B-4D57-B409-3D0D06CC6D3D}"/>
    <cellStyle name="Explanatory Text 4 3" xfId="8588" xr:uid="{F74D0388-E090-46EF-9C49-5A2DB35DB610}"/>
    <cellStyle name="Explanatory Text 4 4" xfId="8589" xr:uid="{3F060F2F-7FDF-4DC6-BB0F-2FE8BC4F9A37}"/>
    <cellStyle name="Explanatory Text 4 5" xfId="8590" xr:uid="{2237D6AE-2D3F-4409-A058-6DA6E1F20D2A}"/>
    <cellStyle name="Explanatory Text 4 6" xfId="8591" xr:uid="{4E1BC1FD-059E-45A3-BC3E-B919DA3286FA}"/>
    <cellStyle name="Explanatory Text 4 7" xfId="8592" xr:uid="{A3F70E65-BDCA-4C74-9F1E-086D4778C5C9}"/>
    <cellStyle name="Explanatory Text 4 8" xfId="8593" xr:uid="{CC8FAF3E-ADF3-48AE-A3BB-A658E7BA7597}"/>
    <cellStyle name="Explanatory Text 4 9" xfId="8594" xr:uid="{4F6CA294-EC7E-41F9-A956-37DA807FBA9F}"/>
    <cellStyle name="Explanatory Text 40" xfId="28830" xr:uid="{2FAE81CE-2739-427D-96B3-407FCB141481}"/>
    <cellStyle name="Explanatory Text 41" xfId="28831" xr:uid="{7D4154D9-B294-4D01-9970-3B5834167132}"/>
    <cellStyle name="Explanatory Text 42" xfId="28832" xr:uid="{390B1E24-07C9-4CA1-9788-7488BAF976CB}"/>
    <cellStyle name="Explanatory Text 43" xfId="28833" xr:uid="{1C4F1B25-0E83-45FD-89A5-22B310C16C1E}"/>
    <cellStyle name="Explanatory Text 44" xfId="45856" xr:uid="{06A117E9-ACAD-48FD-A684-C5B1D10E7838}"/>
    <cellStyle name="Explanatory Text 5" xfId="8595" xr:uid="{0F344035-D5E5-4DC6-BE13-2F16783F3200}"/>
    <cellStyle name="Explanatory Text 5 10" xfId="8596" xr:uid="{577726D7-DF47-40FC-9220-EEF37549E5BD}"/>
    <cellStyle name="Explanatory Text 5 11" xfId="8597" xr:uid="{F2FB9F80-6820-494A-940C-0D5151F033F9}"/>
    <cellStyle name="Explanatory Text 5 2" xfId="8598" xr:uid="{4787D4B4-B9B9-4286-90EB-7CEF713DA468}"/>
    <cellStyle name="Explanatory Text 5 3" xfId="8599" xr:uid="{D50103C4-7219-44F1-9378-42D128DED3B2}"/>
    <cellStyle name="Explanatory Text 5 4" xfId="8600" xr:uid="{C9F95F26-CFC1-449B-B8F6-1891975E2554}"/>
    <cellStyle name="Explanatory Text 5 5" xfId="8601" xr:uid="{BCF4F520-1A0A-4C0A-8D79-5FB12A07AAC7}"/>
    <cellStyle name="Explanatory Text 5 6" xfId="8602" xr:uid="{569D8C76-E961-47AC-842F-568101D58BD4}"/>
    <cellStyle name="Explanatory Text 5 7" xfId="8603" xr:uid="{9098E927-09EA-4F26-BB59-FB2F794770F6}"/>
    <cellStyle name="Explanatory Text 5 8" xfId="8604" xr:uid="{ADB56120-EACF-4159-B6E4-6EFAD92E90D0}"/>
    <cellStyle name="Explanatory Text 5 9" xfId="8605" xr:uid="{1E41AA1D-ACD1-4E3A-8264-51B3B10DB531}"/>
    <cellStyle name="Explanatory Text 6" xfId="8606" xr:uid="{F387D344-28DE-4B60-BCDC-A359190F8247}"/>
    <cellStyle name="Explanatory Text 6 10" xfId="8607" xr:uid="{FB21A3C4-D04E-4180-B9F2-8D2F6D67B01B}"/>
    <cellStyle name="Explanatory Text 6 11" xfId="8608" xr:uid="{9A4E7E76-E5BF-4AB3-9BE8-567FD45724BC}"/>
    <cellStyle name="Explanatory Text 6 2" xfId="8609" xr:uid="{68883B2B-5B49-4C69-916D-DE01ABD2568C}"/>
    <cellStyle name="Explanatory Text 6 3" xfId="8610" xr:uid="{80A1A94E-E65A-4E12-9278-16FA00341F45}"/>
    <cellStyle name="Explanatory Text 6 4" xfId="8611" xr:uid="{7C16602A-FD78-4594-ABE5-61BFB05FA32F}"/>
    <cellStyle name="Explanatory Text 6 5" xfId="8612" xr:uid="{9BCB4DF1-BAE7-400A-B65D-51EB8E7B40AE}"/>
    <cellStyle name="Explanatory Text 6 6" xfId="8613" xr:uid="{E0D240C6-C286-472B-812B-FF00A140AA40}"/>
    <cellStyle name="Explanatory Text 6 7" xfId="8614" xr:uid="{D35DC27D-4386-4D48-B12D-B47C268077FE}"/>
    <cellStyle name="Explanatory Text 6 8" xfId="8615" xr:uid="{4BF58F4B-D0B3-43AC-BCEF-380D95CE7C98}"/>
    <cellStyle name="Explanatory Text 6 9" xfId="8616" xr:uid="{885EBFDD-9102-41BF-A853-046C6D46B518}"/>
    <cellStyle name="Explanatory Text 7" xfId="8617" xr:uid="{EACE5C2A-0E2E-4499-BAB4-AAD578824B69}"/>
    <cellStyle name="Explanatory Text 8" xfId="8618" xr:uid="{8D657E8C-A64B-4613-973D-ABDAD25917E2}"/>
    <cellStyle name="Explanatory Text 9" xfId="8619" xr:uid="{EC1FDA05-EEE6-4067-95CA-719C9F836F0A}"/>
    <cellStyle name="Ezres_vegleges_en" xfId="8620" xr:uid="{2AC649BA-C67E-4E43-99AC-C1CB8DC16A33}"/>
    <cellStyle name="Figyelmeztetés" xfId="8621" xr:uid="{C7328B9E-7912-4AA5-B6D3-5E864BC58500}"/>
    <cellStyle name="Float" xfId="8622" xr:uid="{9B0470B3-F9B2-49F4-9913-574EE9F0544E}"/>
    <cellStyle name="Float 2" xfId="8623" xr:uid="{909A0A1C-AD0D-444D-94D5-9BC1DAB0C4D3}"/>
    <cellStyle name="Float 2 2" xfId="8624" xr:uid="{94502056-2125-45F0-8872-3C3D7CA7E75D}"/>
    <cellStyle name="Float 2 2 2" xfId="28834" xr:uid="{8EBB32C5-C612-46D4-86A2-B3182B2166A1}"/>
    <cellStyle name="Float 2 2 3" xfId="28835" xr:uid="{FA253AF8-C0CF-4158-8E38-4A756BB31890}"/>
    <cellStyle name="Float 2 3" xfId="28836" xr:uid="{0F9EC2F7-712A-4C36-8749-6C9F55BD52F2}"/>
    <cellStyle name="Float 3" xfId="8625" xr:uid="{1CA276B5-3EF8-4F8C-950C-10FE60EE8F38}"/>
    <cellStyle name="Float 3 2" xfId="28837" xr:uid="{B5A45856-FB49-4153-B670-C5F0A7AB5A33}"/>
    <cellStyle name="Float 3 3" xfId="28838" xr:uid="{83601F77-CBAB-4DB0-997C-6FE898517296}"/>
    <cellStyle name="Float 3 4" xfId="42747" xr:uid="{DEFD5E94-7BCE-4D4F-908C-DAF4559F50DA}"/>
    <cellStyle name="Float 4" xfId="28839" xr:uid="{ADB8E657-8B3C-46A9-89E9-4B0E6A167354}"/>
    <cellStyle name="Float 4 2" xfId="42748" xr:uid="{06A50B6D-53B1-4FD7-BAD6-D35F62C2EF81}"/>
    <cellStyle name="Good" xfId="23815" builtinId="26" customBuiltin="1"/>
    <cellStyle name="Good 10" xfId="8626" xr:uid="{544243C7-3DDC-4BCF-B72D-60B830A3ED8C}"/>
    <cellStyle name="Good 11" xfId="28840" xr:uid="{E56108C1-72BA-447C-8153-3FE0FE158BBC}"/>
    <cellStyle name="Good 12" xfId="28841" xr:uid="{2F9BDC9B-9609-4678-96B1-13DA3E65F631}"/>
    <cellStyle name="Good 13" xfId="28842" xr:uid="{6FEA8687-10D8-4E16-B98B-770E9684CF5B}"/>
    <cellStyle name="Good 14" xfId="28843" xr:uid="{0DCA4D38-E2D9-449B-A8BC-7B7C5BA58C47}"/>
    <cellStyle name="Good 15" xfId="28844" xr:uid="{5706C5B0-4D49-4A3B-8004-4AB284D0C79E}"/>
    <cellStyle name="Good 16" xfId="28845" xr:uid="{669CB9D4-F615-467C-B139-17467A0C7FA9}"/>
    <cellStyle name="Good 17" xfId="28846" xr:uid="{185B833C-8611-4540-A5FF-E28690CF421F}"/>
    <cellStyle name="Good 18" xfId="28847" xr:uid="{A11A1253-2361-438A-8B27-BC3A54627BFC}"/>
    <cellStyle name="Good 19" xfId="28848" xr:uid="{E0A355EE-0D63-4371-924F-E6C624ACCD81}"/>
    <cellStyle name="Good 2" xfId="8627" xr:uid="{BE3BAD76-53EF-4180-B404-30B8508BEB29}"/>
    <cellStyle name="Good 2 10" xfId="8628" xr:uid="{3ED549A2-2C42-41E1-9B8E-83B06EC5B9BA}"/>
    <cellStyle name="Good 2 10 2" xfId="8629" xr:uid="{7A2473F8-93D5-4F26-83AC-1DC79C4679EA}"/>
    <cellStyle name="Good 2 11" xfId="8630" xr:uid="{8EDBEE56-6638-40F0-BBE4-31B77A8EF5C8}"/>
    <cellStyle name="Good 2 12" xfId="42192" xr:uid="{E6F84283-5676-478D-A1AF-19687AB20655}"/>
    <cellStyle name="Good 2 13" xfId="44114" xr:uid="{08026649-B194-44FC-87C2-F5C0CFCBDF00}"/>
    <cellStyle name="Good 2 2" xfId="8631" xr:uid="{4F420A09-06C8-4F6B-AA20-9E31D8CB3F16}"/>
    <cellStyle name="Good 2 2 2" xfId="8632" xr:uid="{B2959E36-219F-4967-B7EC-E86871F43F05}"/>
    <cellStyle name="Good 2 3" xfId="8633" xr:uid="{C02055A8-0388-4114-AC7A-7AD8EE68DC59}"/>
    <cellStyle name="Good 2 3 2" xfId="8634" xr:uid="{3E9A3DF6-FCFA-4636-A363-3245E85849C2}"/>
    <cellStyle name="Good 2 3 3" xfId="42749" xr:uid="{62DBA518-C0E5-4583-8FB3-33E191740981}"/>
    <cellStyle name="Good 2 4" xfId="8635" xr:uid="{FF654D4B-0325-4ECF-BB8F-22E3A60D6ECE}"/>
    <cellStyle name="Good 2 4 2" xfId="8636" xr:uid="{D90588F6-C67D-4DCC-ACE0-36C2AF39706C}"/>
    <cellStyle name="Good 2 5" xfId="8637" xr:uid="{D76E819F-0FAF-4E30-8306-3265970EB3EA}"/>
    <cellStyle name="Good 2 5 2" xfId="8638" xr:uid="{8A17A627-E141-4236-9E5C-B5CC5D182B83}"/>
    <cellStyle name="Good 2 6" xfId="8639" xr:uid="{89DD3A75-3D92-4926-8413-072DFC9A0A65}"/>
    <cellStyle name="Good 2 6 2" xfId="8640" xr:uid="{88E90DAE-B5DC-4876-BD61-C999DA406707}"/>
    <cellStyle name="Good 2 7" xfId="8641" xr:uid="{F0B92919-AD69-4890-A605-241AAF7ADDE3}"/>
    <cellStyle name="Good 2 7 2" xfId="8642" xr:uid="{A739431D-842D-4EC8-9E4B-4228AA5290AB}"/>
    <cellStyle name="Good 2 8" xfId="8643" xr:uid="{149FBE47-4302-47DC-85C3-CEBA16437EC8}"/>
    <cellStyle name="Good 2 8 2" xfId="8644" xr:uid="{C2009244-51AC-426C-AC76-0E9983F1F8E5}"/>
    <cellStyle name="Good 2 9" xfId="8645" xr:uid="{99C838AB-3DD7-4A79-B270-3CB2C24C1432}"/>
    <cellStyle name="Good 2 9 2" xfId="8646" xr:uid="{723D6EE6-8635-441C-8819-0EBBFAF24857}"/>
    <cellStyle name="Good 20" xfId="28849" xr:uid="{F0764CFD-3DE1-40E2-86EE-90C09D22B572}"/>
    <cellStyle name="Good 21" xfId="28850" xr:uid="{10F06670-45A6-4B39-A186-876449084C6A}"/>
    <cellStyle name="Good 22" xfId="28851" xr:uid="{08AE7F59-F898-48AE-B3E8-35A38FE36421}"/>
    <cellStyle name="Good 23" xfId="28852" xr:uid="{5C18D63A-7C30-4B03-96ED-49FD697EA521}"/>
    <cellStyle name="Good 24" xfId="28853" xr:uid="{F48ED003-777F-49C7-A074-4421DA14B2FC}"/>
    <cellStyle name="Good 25" xfId="28854" xr:uid="{23B75381-88BA-4DF3-915B-D4764D711F6A}"/>
    <cellStyle name="Good 26" xfId="28855" xr:uid="{A23189CE-301E-4B7B-B820-2CF268394D55}"/>
    <cellStyle name="Good 27" xfId="28856" xr:uid="{D3927BFB-0F19-4A3F-9214-FF5732487218}"/>
    <cellStyle name="Good 28" xfId="28857" xr:uid="{4811FCB6-9600-4E86-B2D4-DA67079170E4}"/>
    <cellStyle name="Good 29" xfId="28858" xr:uid="{E970544F-3CF0-423E-BA60-1AC630C9C7AC}"/>
    <cellStyle name="Good 3" xfId="8647" xr:uid="{C65CF0F6-F512-459A-9CA2-AAB91FDFD997}"/>
    <cellStyle name="Good 3 10" xfId="8648" xr:uid="{A61C8429-2219-4E0D-8A48-FC6E55BB0AE1}"/>
    <cellStyle name="Good 3 11" xfId="8649" xr:uid="{4DD7A07B-3F6D-4999-A6E3-6D0B539E98F8}"/>
    <cellStyle name="Good 3 12" xfId="8650" xr:uid="{0B4C45EA-231C-4B2F-A786-32FB27D76C52}"/>
    <cellStyle name="Good 3 13" xfId="44198" xr:uid="{597AA919-5422-4D40-AADD-134DFDB2B545}"/>
    <cellStyle name="Good 3 2" xfId="8651" xr:uid="{927F03F3-8182-4270-952A-C1266219B21C}"/>
    <cellStyle name="Good 3 2 2" xfId="28859" xr:uid="{C923BBF0-106B-4D23-B927-961BDF01157F}"/>
    <cellStyle name="Good 3 3" xfId="8652" xr:uid="{9FD53E15-72F7-42AF-A8B4-A7790DD94BD6}"/>
    <cellStyle name="Good 3 3 2" xfId="42750" xr:uid="{AD8E9860-F3EF-42C7-B8AC-798BC34F8D09}"/>
    <cellStyle name="Good 3 4" xfId="8653" xr:uid="{6C836B86-5424-470B-A7FC-583B57065061}"/>
    <cellStyle name="Good 3 5" xfId="8654" xr:uid="{870E572A-C380-4A3E-9193-577CF3D49311}"/>
    <cellStyle name="Good 3 6" xfId="8655" xr:uid="{723B1DC2-2222-4DE0-9A76-24A37558405B}"/>
    <cellStyle name="Good 3 7" xfId="8656" xr:uid="{1B428601-3FB9-4EDB-9618-7E6AA6B4EDC9}"/>
    <cellStyle name="Good 3 8" xfId="8657" xr:uid="{95ABB14B-5AFE-41E4-988E-E421DBAF7EB6}"/>
    <cellStyle name="Good 3 9" xfId="8658" xr:uid="{9C5143B8-A349-4333-8986-59553ABC3989}"/>
    <cellStyle name="Good 30" xfId="28860" xr:uid="{689A681C-BFBC-456A-BD4A-13F5D2AC8AB2}"/>
    <cellStyle name="Good 31" xfId="28861" xr:uid="{B2A4BCA0-A187-4550-9A8A-51CECEB6F168}"/>
    <cellStyle name="Good 32" xfId="28862" xr:uid="{3B238AEE-8216-4299-8362-A7F3290E7350}"/>
    <cellStyle name="Good 33" xfId="28863" xr:uid="{475CBFD7-188E-450C-95D1-ECDCFB963CBF}"/>
    <cellStyle name="Good 34" xfId="28864" xr:uid="{C2E7037B-A254-4879-AED5-49075C22C176}"/>
    <cellStyle name="Good 35" xfId="28865" xr:uid="{5D94228F-CED9-4417-AFCD-32CB02C01638}"/>
    <cellStyle name="Good 36" xfId="28866" xr:uid="{F3348FA1-CD6A-40B0-9820-297DC7FDEEFC}"/>
    <cellStyle name="Good 37" xfId="28867" xr:uid="{B848A938-0B4E-4B36-822D-FCF4BAC80BD0}"/>
    <cellStyle name="Good 38" xfId="28868" xr:uid="{8944ADBD-F5AF-49E8-AB5C-75D0B59DE55D}"/>
    <cellStyle name="Good 39" xfId="28869" xr:uid="{0C56F508-8EFA-44EE-9155-5D2193AA05C2}"/>
    <cellStyle name="Good 4" xfId="8659" xr:uid="{FB04EFA0-502A-44C1-A18F-C2ADED147964}"/>
    <cellStyle name="Good 4 10" xfId="8660" xr:uid="{892AF273-BB03-4FED-8595-4DA76656D09A}"/>
    <cellStyle name="Good 4 11" xfId="8661" xr:uid="{C60CE17A-6C74-4666-BF5C-4EFAC13C22DC}"/>
    <cellStyle name="Good 4 2" xfId="8662" xr:uid="{D83A8322-B5DB-4FA0-935D-C8796CEAC7EA}"/>
    <cellStyle name="Good 4 3" xfId="8663" xr:uid="{F176C3CC-82E3-4F1F-8506-ECCC2057A8C3}"/>
    <cellStyle name="Good 4 4" xfId="8664" xr:uid="{B57895AD-961C-4A9F-81EA-B9EC379495A7}"/>
    <cellStyle name="Good 4 5" xfId="8665" xr:uid="{FF86697A-ED8A-41D7-82B0-19CE66E87FEE}"/>
    <cellStyle name="Good 4 6" xfId="8666" xr:uid="{BE6B735C-1DEE-4F47-86CA-2F9A833C65A4}"/>
    <cellStyle name="Good 4 7" xfId="8667" xr:uid="{27760710-6234-48B3-90CF-D592C8DDFE92}"/>
    <cellStyle name="Good 4 8" xfId="8668" xr:uid="{4E271F3C-5820-448F-A6C0-7456DBD0C9A4}"/>
    <cellStyle name="Good 4 9" xfId="8669" xr:uid="{2B073DE2-B987-441E-A3C9-FC3B85ECBC68}"/>
    <cellStyle name="Good 40" xfId="28870" xr:uid="{F0FEB1F3-98F5-4E8B-885D-462648C3E83C}"/>
    <cellStyle name="Good 41" xfId="28871" xr:uid="{C40F11BE-CEB9-414E-BD23-0F9B1EE82437}"/>
    <cellStyle name="Good 42" xfId="42751" xr:uid="{A81DB9DB-281F-4CBE-85AF-F542C986E727}"/>
    <cellStyle name="Good 5" xfId="8670" xr:uid="{D8CAD08F-FF9E-4971-9D67-EAB17CBDE4ED}"/>
    <cellStyle name="Good 5 10" xfId="8671" xr:uid="{4FA19AD4-262F-4FF5-8512-F7B2A8536B61}"/>
    <cellStyle name="Good 5 11" xfId="8672" xr:uid="{51F07823-AB76-4EBD-9532-2C89D51DEA60}"/>
    <cellStyle name="Good 5 12" xfId="42752" xr:uid="{34E52646-D733-4144-BDE3-B147E0C815AC}"/>
    <cellStyle name="Good 5 2" xfId="8673" xr:uid="{96DDFD80-A121-4209-92BA-BCD7C9A0A2F7}"/>
    <cellStyle name="Good 5 3" xfId="8674" xr:uid="{5879A362-F783-4443-AA72-9884DCC4DB8F}"/>
    <cellStyle name="Good 5 4" xfId="8675" xr:uid="{2A0E2881-E1F7-48CB-B4D9-7BBC9C62770B}"/>
    <cellStyle name="Good 5 5" xfId="8676" xr:uid="{8C24BDE9-1D49-4837-A8FE-97F04B6E2551}"/>
    <cellStyle name="Good 5 6" xfId="8677" xr:uid="{6BC3893F-DB0E-41A4-B54D-77299A4F426A}"/>
    <cellStyle name="Good 5 7" xfId="8678" xr:uid="{27590265-80C6-4FFC-B86F-2DAB7AD9EDD0}"/>
    <cellStyle name="Good 5 8" xfId="8679" xr:uid="{21B6726C-6947-488E-AE25-92B27CCB73A3}"/>
    <cellStyle name="Good 5 9" xfId="8680" xr:uid="{5EEAD33C-4350-44A7-9FCC-135E3F7D35B7}"/>
    <cellStyle name="Good 6" xfId="8681" xr:uid="{E3A3E85E-4262-4568-8165-020F01D0B171}"/>
    <cellStyle name="Good 6 10" xfId="8682" xr:uid="{08640AB2-19B2-40B1-A6FB-383D3F32C1B3}"/>
    <cellStyle name="Good 6 11" xfId="8683" xr:uid="{5EB21E10-065D-4FFC-B793-6187E18BD5AC}"/>
    <cellStyle name="Good 6 2" xfId="8684" xr:uid="{BD4126DB-0F18-4946-8898-5EB2A852B6D5}"/>
    <cellStyle name="Good 6 3" xfId="8685" xr:uid="{980C5437-5230-4AA0-935F-C81198BCB123}"/>
    <cellStyle name="Good 6 4" xfId="8686" xr:uid="{E8B6676E-AF5F-4905-A33B-C487DA38DF59}"/>
    <cellStyle name="Good 6 5" xfId="8687" xr:uid="{319DA0B9-D511-4A6E-A854-8C5FC8155B81}"/>
    <cellStyle name="Good 6 6" xfId="8688" xr:uid="{9B3786A2-6DA7-4201-AB5C-DD2034D1DE0C}"/>
    <cellStyle name="Good 6 7" xfId="8689" xr:uid="{AB5E135D-B86E-45CA-95AD-E8E5DF5C98ED}"/>
    <cellStyle name="Good 6 8" xfId="8690" xr:uid="{3E312563-CF06-4452-B9E1-B46EB8CE8F0B}"/>
    <cellStyle name="Good 6 9" xfId="8691" xr:uid="{0F82D93D-9DC0-48FC-9F28-9BE9BE130BDC}"/>
    <cellStyle name="Good 7" xfId="8692" xr:uid="{2CD9EC2C-B09A-4B80-9226-2EB793337729}"/>
    <cellStyle name="Good 8" xfId="8693" xr:uid="{0DC6BB87-05F9-4347-B786-BCDFC864F1AF}"/>
    <cellStyle name="Good 9" xfId="8694" xr:uid="{3B258C87-78FA-49E1-877F-DB5E5E14781C}"/>
    <cellStyle name="Gut" xfId="8695" xr:uid="{2D83A792-F16A-4B86-96A6-F209C9ADF2DE}"/>
    <cellStyle name="Heading" xfId="8696" xr:uid="{B970978F-D616-4918-80EC-51D985F75B5C}"/>
    <cellStyle name="Heading 1" xfId="21323" builtinId="16" customBuiltin="1"/>
    <cellStyle name="Heading 1 10" xfId="8697" xr:uid="{129FE9BE-8E81-4938-9E86-0B5E924FA94C}"/>
    <cellStyle name="Heading 1 11" xfId="28872" xr:uid="{B63A63B1-98A4-4214-9170-FF742BBD81D4}"/>
    <cellStyle name="Heading 1 12" xfId="28873" xr:uid="{D5620FF3-5DA0-4E21-9C96-85193821C2C9}"/>
    <cellStyle name="Heading 1 13" xfId="28874" xr:uid="{AD08C2F4-E5DD-471B-9FD4-1E10161B5120}"/>
    <cellStyle name="Heading 1 14" xfId="28875" xr:uid="{86F68627-1258-4B39-8FFB-1A42675F938E}"/>
    <cellStyle name="Heading 1 15" xfId="28876" xr:uid="{734BEAD1-C0E3-40A7-A71C-145CACE893EE}"/>
    <cellStyle name="Heading 1 16" xfId="28877" xr:uid="{535413C2-8D97-4A58-8382-CBDA79EDE7CB}"/>
    <cellStyle name="Heading 1 17" xfId="28878" xr:uid="{A8BEC995-7ECC-4785-B51B-A80F36DAC3CB}"/>
    <cellStyle name="Heading 1 18" xfId="28879" xr:uid="{1DFFBFB0-AC48-4A53-AFDE-433A4A445BCE}"/>
    <cellStyle name="Heading 1 19" xfId="28880" xr:uid="{C2829330-DEF7-4EA4-B06C-17D76A491FED}"/>
    <cellStyle name="Heading 1 2" xfId="8698" xr:uid="{EBC6109C-85D0-4FBA-92E8-4DA03473C603}"/>
    <cellStyle name="Heading 1 2 10" xfId="8699" xr:uid="{4B9D8D97-B775-435D-B7B4-F73B0CEF6DBF}"/>
    <cellStyle name="Heading 1 2 10 2" xfId="8700" xr:uid="{1C814F13-B1CB-43EE-AB1A-5A7AB691DB3C}"/>
    <cellStyle name="Heading 1 2 11" xfId="8701" xr:uid="{F48E03B0-4FEF-4B2B-BB0B-856ED0F38A35}"/>
    <cellStyle name="Heading 1 2 12" xfId="44116" xr:uid="{7B7CD48A-D083-4280-883D-58773682A161}"/>
    <cellStyle name="Heading 1 2 2" xfId="8702" xr:uid="{470D8A28-534D-498C-8384-AEC9882735C4}"/>
    <cellStyle name="Heading 1 2 2 2" xfId="8703" xr:uid="{68E57037-7857-4C6B-A0E6-973869ED9DD9}"/>
    <cellStyle name="Heading 1 2 3" xfId="8704" xr:uid="{4E89AA34-52F7-495D-A78C-569BA4976F52}"/>
    <cellStyle name="Heading 1 2 3 2" xfId="8705" xr:uid="{E07CF842-2E00-4A1D-ADA9-4C18F03C16C1}"/>
    <cellStyle name="Heading 1 2 4" xfId="8706" xr:uid="{858F0870-9CFB-4A0F-A6C8-A7D31FBD5428}"/>
    <cellStyle name="Heading 1 2 4 2" xfId="8707" xr:uid="{DD580572-F578-4C46-BC10-FB39C9DF1967}"/>
    <cellStyle name="Heading 1 2 5" xfId="8708" xr:uid="{C9704DFA-22EA-48A6-A7EE-097030951566}"/>
    <cellStyle name="Heading 1 2 5 2" xfId="8709" xr:uid="{B0198E3E-C75E-4D03-AA1D-C90B93240F6B}"/>
    <cellStyle name="Heading 1 2 6" xfId="8710" xr:uid="{698A79C1-438A-471D-95D9-CE45DD7FB52C}"/>
    <cellStyle name="Heading 1 2 6 2" xfId="8711" xr:uid="{8BE25BE3-7D3C-413D-A6DB-DD03C286A638}"/>
    <cellStyle name="Heading 1 2 7" xfId="8712" xr:uid="{7F088452-84F9-409F-8F82-B3B027843472}"/>
    <cellStyle name="Heading 1 2 7 2" xfId="8713" xr:uid="{E33BFA54-2C0E-4BB0-B0A8-FC223C9422CA}"/>
    <cellStyle name="Heading 1 2 8" xfId="8714" xr:uid="{0C23F4A6-59C8-4ADE-95C7-C49853FEA8BE}"/>
    <cellStyle name="Heading 1 2 8 2" xfId="8715" xr:uid="{DF9E3833-5AFE-42BC-A3DE-239F104AE0DE}"/>
    <cellStyle name="Heading 1 2 9" xfId="8716" xr:uid="{47C70106-0B4D-4467-80AE-B9909C7F105E}"/>
    <cellStyle name="Heading 1 2 9 2" xfId="8717" xr:uid="{74E78D09-4B0B-4469-8915-8ECD606EA285}"/>
    <cellStyle name="Heading 1 20" xfId="28881" xr:uid="{D4202D3E-45D1-4FEC-B05A-E3AD2228D8A1}"/>
    <cellStyle name="Heading 1 21" xfId="28882" xr:uid="{C79E1B64-9108-4282-94E3-AC965B48865D}"/>
    <cellStyle name="Heading 1 22" xfId="28883" xr:uid="{9C28DCED-5029-4564-925C-AFFCB9DADBA6}"/>
    <cellStyle name="Heading 1 23" xfId="28884" xr:uid="{141F8A7A-AA5D-44C2-B3F7-9847C8AFB078}"/>
    <cellStyle name="Heading 1 24" xfId="28885" xr:uid="{3002D7F9-DEAB-432F-A936-9CDFBA2F0D3D}"/>
    <cellStyle name="Heading 1 25" xfId="28886" xr:uid="{EC1212F4-B3F1-462B-B650-193AF9697522}"/>
    <cellStyle name="Heading 1 26" xfId="28887" xr:uid="{0C1A16AD-7937-4AF0-A278-5DBDA49AEBDA}"/>
    <cellStyle name="Heading 1 27" xfId="28888" xr:uid="{A764E5D6-074E-48E6-9C5E-5FCFAB25FDCE}"/>
    <cellStyle name="Heading 1 28" xfId="28889" xr:uid="{3301F46F-2FB4-4350-BE2C-9EA9EB5A81DE}"/>
    <cellStyle name="Heading 1 29" xfId="28890" xr:uid="{CA5C650A-C0FC-420C-911B-B60F8D6EAB87}"/>
    <cellStyle name="Heading 1 3" xfId="8718" xr:uid="{78DCC8D3-4E88-47B5-9300-88D617550D18}"/>
    <cellStyle name="Heading 1 3 10" xfId="8719" xr:uid="{0547F85E-48F9-4EFB-A360-CE395A8E3006}"/>
    <cellStyle name="Heading 1 3 11" xfId="8720" xr:uid="{5BCA2D89-7FDF-42F2-9683-97C9CD117B4F}"/>
    <cellStyle name="Heading 1 3 12" xfId="8721" xr:uid="{B59570A3-2F2F-4320-8FFD-CD7DB8BAEBD0}"/>
    <cellStyle name="Heading 1 3 13" xfId="44199" xr:uid="{606552B3-2FA9-4B13-8716-48D34ECCF35A}"/>
    <cellStyle name="Heading 1 3 2" xfId="8722" xr:uid="{5F5137AE-F10B-4671-967D-A870D4F9282B}"/>
    <cellStyle name="Heading 1 3 2 2" xfId="28891" xr:uid="{9BB2C2CC-618C-40C9-B727-188EEDF00866}"/>
    <cellStyle name="Heading 1 3 3" xfId="8723" xr:uid="{2B7BB3E9-AA40-41E7-ADC8-958D381EF2C6}"/>
    <cellStyle name="Heading 1 3 3 2" xfId="42753" xr:uid="{1E63CA87-9214-44D3-BA26-135193E0FCA9}"/>
    <cellStyle name="Heading 1 3 4" xfId="8724" xr:uid="{E82FFF64-C7A8-4EE2-94B5-9855D1603E28}"/>
    <cellStyle name="Heading 1 3 5" xfId="8725" xr:uid="{37D297FB-8DA2-4332-9317-D51F2F0E274E}"/>
    <cellStyle name="Heading 1 3 6" xfId="8726" xr:uid="{400FE66F-4569-43F6-9905-3A42FD823E5A}"/>
    <cellStyle name="Heading 1 3 7" xfId="8727" xr:uid="{C2F621FB-198B-4C27-ADDB-B024D16FB5AF}"/>
    <cellStyle name="Heading 1 3 8" xfId="8728" xr:uid="{3379C01E-E695-4AD6-937C-F97BC6938286}"/>
    <cellStyle name="Heading 1 3 9" xfId="8729" xr:uid="{68649009-223C-46F7-86EF-BB812EFF2F3C}"/>
    <cellStyle name="Heading 1 30" xfId="28892" xr:uid="{1E5A4EC4-9B04-4E4C-91ED-DD4DDF315DF5}"/>
    <cellStyle name="Heading 1 31" xfId="28893" xr:uid="{BE6966D3-2029-4B94-9774-0C70087DC23A}"/>
    <cellStyle name="Heading 1 32" xfId="28894" xr:uid="{0516B5D6-77DC-4BB1-B83D-AF84D5DEC7AB}"/>
    <cellStyle name="Heading 1 33" xfId="28895" xr:uid="{2DAAE1DB-2CBF-441D-B756-0D5C8EA54D83}"/>
    <cellStyle name="Heading 1 34" xfId="28896" xr:uid="{409495DB-6515-4439-A151-17AD41DA44DD}"/>
    <cellStyle name="Heading 1 35" xfId="28897" xr:uid="{CCD54AAE-B5E0-416C-9642-1F681AB32A43}"/>
    <cellStyle name="Heading 1 36" xfId="28898" xr:uid="{9A463D14-3AE9-41D0-B029-574C3656DA0F}"/>
    <cellStyle name="Heading 1 37" xfId="28899" xr:uid="{8B4A4070-83C9-4377-9A1D-5619CB34B3FA}"/>
    <cellStyle name="Heading 1 38" xfId="28900" xr:uid="{BB19BDA9-C22C-4BD5-9990-6CC061F611A2}"/>
    <cellStyle name="Heading 1 39" xfId="28901" xr:uid="{F2C5E34E-FA04-4E04-86B8-9F3F62F68876}"/>
    <cellStyle name="Heading 1 4" xfId="8730" xr:uid="{6CB66F47-F9BD-44DA-9658-8B13C6388448}"/>
    <cellStyle name="Heading 1 4 10" xfId="8731" xr:uid="{CA25BE3B-074A-468B-8948-A651C365A610}"/>
    <cellStyle name="Heading 1 4 11" xfId="8732" xr:uid="{AFE9F44C-22D8-4F71-B8BD-84368D68246A}"/>
    <cellStyle name="Heading 1 4 2" xfId="8733" xr:uid="{DDABB8C7-7ED5-4AE1-AC5D-8708C768F32B}"/>
    <cellStyle name="Heading 1 4 3" xfId="8734" xr:uid="{BB7283A6-1D54-4D6B-8E25-85B667417B7D}"/>
    <cellStyle name="Heading 1 4 4" xfId="8735" xr:uid="{7DE642BF-CDAF-4F3F-ABAA-68C10FA81549}"/>
    <cellStyle name="Heading 1 4 5" xfId="8736" xr:uid="{BFB44910-B9AD-44FC-BC88-C3AC612561DB}"/>
    <cellStyle name="Heading 1 4 6" xfId="8737" xr:uid="{7F47F58D-2340-42BD-AFDA-ACB9C60BE9EC}"/>
    <cellStyle name="Heading 1 4 7" xfId="8738" xr:uid="{184674C5-BBFA-4FB3-BB36-69EBB8655D3B}"/>
    <cellStyle name="Heading 1 4 8" xfId="8739" xr:uid="{DE07A6B2-D7F1-4D9A-A5E7-E8EED7BA1FD9}"/>
    <cellStyle name="Heading 1 4 9" xfId="8740" xr:uid="{76D08A2B-8EE2-4119-B32F-33A0A8A69F80}"/>
    <cellStyle name="Heading 1 40" xfId="28902" xr:uid="{E25F091F-4C8D-440A-9531-61968263CC0E}"/>
    <cellStyle name="Heading 1 41" xfId="28903" xr:uid="{4701A345-5834-4E4A-A0E4-391E7CD39092}"/>
    <cellStyle name="Heading 1 42" xfId="45851" xr:uid="{CE2D7655-60B4-4889-90DF-7F2F3A87CD5C}"/>
    <cellStyle name="Heading 1 5" xfId="8741" xr:uid="{8DAA7643-FC7A-47B9-BD39-8CD20B65243B}"/>
    <cellStyle name="Heading 1 5 10" xfId="8742" xr:uid="{FF8CFEA7-10C5-4404-A5A6-77BF3458EBAC}"/>
    <cellStyle name="Heading 1 5 11" xfId="8743" xr:uid="{4400FE34-1AE4-4ECC-863D-A301352D222A}"/>
    <cellStyle name="Heading 1 5 2" xfId="8744" xr:uid="{5D99F088-E166-4A60-9504-ED319E1104BC}"/>
    <cellStyle name="Heading 1 5 3" xfId="8745" xr:uid="{7846997A-F0FB-4345-82B0-E373957300BC}"/>
    <cellStyle name="Heading 1 5 4" xfId="8746" xr:uid="{3F6E415B-EC08-40D5-946E-EB94C7D3D7BC}"/>
    <cellStyle name="Heading 1 5 5" xfId="8747" xr:uid="{3C26D4B6-6DB9-4189-BF8F-792B7D8433DB}"/>
    <cellStyle name="Heading 1 5 6" xfId="8748" xr:uid="{7C514B13-CDB3-4B45-8DE5-77BA73CBB271}"/>
    <cellStyle name="Heading 1 5 7" xfId="8749" xr:uid="{6A0228D1-A51F-45CA-B016-01BCA48C7F55}"/>
    <cellStyle name="Heading 1 5 8" xfId="8750" xr:uid="{43F94981-D90B-41AF-A904-367ABA5DA3E9}"/>
    <cellStyle name="Heading 1 5 9" xfId="8751" xr:uid="{B822615F-C708-43C5-8D87-C8BBF51EF0D1}"/>
    <cellStyle name="Heading 1 6" xfId="8752" xr:uid="{364DB6FC-2C45-48FC-99D9-95573FA0D914}"/>
    <cellStyle name="Heading 1 6 10" xfId="8753" xr:uid="{FAD1E2D1-3C38-40CA-8604-60EAD3730DB0}"/>
    <cellStyle name="Heading 1 6 11" xfId="8754" xr:uid="{0661C02C-54B0-4A5D-BE88-967105C5A2C4}"/>
    <cellStyle name="Heading 1 6 2" xfId="8755" xr:uid="{4AC74298-1B42-4A60-9D94-5BECDBE51E57}"/>
    <cellStyle name="Heading 1 6 3" xfId="8756" xr:uid="{6FABF880-18CF-4467-B602-DD1E0BA087D6}"/>
    <cellStyle name="Heading 1 6 4" xfId="8757" xr:uid="{80DE8731-8C06-4936-8545-B866DD4F930A}"/>
    <cellStyle name="Heading 1 6 5" xfId="8758" xr:uid="{F2CB6D70-50E7-4755-9148-95A7D9073D11}"/>
    <cellStyle name="Heading 1 6 6" xfId="8759" xr:uid="{4CE2D926-1361-4AB1-9339-AA3182DA5214}"/>
    <cellStyle name="Heading 1 6 7" xfId="8760" xr:uid="{F721304B-1861-48B6-987C-DF17E19B5E36}"/>
    <cellStyle name="Heading 1 6 8" xfId="8761" xr:uid="{AB7F0279-A5D9-4D9D-87D8-7FF008AC5E56}"/>
    <cellStyle name="Heading 1 6 9" xfId="8762" xr:uid="{4B0B04DA-C42B-48D9-8A2F-1EF4904E8771}"/>
    <cellStyle name="Heading 1 7" xfId="8763" xr:uid="{9DF550F8-79F1-494C-AE48-A9340A6EE163}"/>
    <cellStyle name="Heading 1 8" xfId="8764" xr:uid="{8AD5F5DA-AE31-4356-81BC-76179F73C155}"/>
    <cellStyle name="Heading 1 9" xfId="8765" xr:uid="{A24A3BA7-6933-4AAE-A8BA-51E7EA74C428}"/>
    <cellStyle name="Heading 2" xfId="21324" builtinId="17" customBuiltin="1"/>
    <cellStyle name="Heading 2 10" xfId="8766" xr:uid="{597C87CB-8EC8-4E62-9FD2-FB39E3063F53}"/>
    <cellStyle name="Heading 2 11" xfId="28904" xr:uid="{BA19FE1E-792C-4FD2-A713-AD1133BAD844}"/>
    <cellStyle name="Heading 2 12" xfId="28905" xr:uid="{D58FEDA3-F3DF-428D-98F0-D060D1FB83D8}"/>
    <cellStyle name="Heading 2 13" xfId="28906" xr:uid="{92C99263-8BB4-461F-9FA7-6B27A3ED75F0}"/>
    <cellStyle name="Heading 2 14" xfId="28907" xr:uid="{BCD8D519-0686-46D2-B70F-C35E10F6361E}"/>
    <cellStyle name="Heading 2 15" xfId="28908" xr:uid="{8870E4E1-7E51-408B-ACF0-626EED2C1D0A}"/>
    <cellStyle name="Heading 2 16" xfId="28909" xr:uid="{DF21C423-3FBD-499D-A36D-121BDD14B2AC}"/>
    <cellStyle name="Heading 2 17" xfId="28910" xr:uid="{121A4034-855B-4EE7-A251-5C99793E1CD5}"/>
    <cellStyle name="Heading 2 18" xfId="28911" xr:uid="{42447187-AEB1-4EFF-8C8D-CF2D91F8EEE6}"/>
    <cellStyle name="Heading 2 19" xfId="28912" xr:uid="{4A9CFA21-3AE2-4A98-A193-AD01BEA97050}"/>
    <cellStyle name="Heading 2 2" xfId="8767" xr:uid="{68ED9E37-70B7-4C51-8593-D13030C5EBD0}"/>
    <cellStyle name="Heading 2 2 10" xfId="8768" xr:uid="{E9D4A00B-D73A-4F90-AD89-3CB0BD9DC857}"/>
    <cellStyle name="Heading 2 2 10 2" xfId="8769" xr:uid="{28FD9C1C-FB61-4BE8-894C-A1F3DB818453}"/>
    <cellStyle name="Heading 2 2 11" xfId="8770" xr:uid="{08250A5F-8A34-4D32-A7A3-C99204706DC7}"/>
    <cellStyle name="Heading 2 2 12" xfId="44117" xr:uid="{5F6A4674-C9CC-4071-918D-9DC74C0B4150}"/>
    <cellStyle name="Heading 2 2 2" xfId="8771" xr:uid="{460BDFA6-6459-40FD-95AC-246AF3346D00}"/>
    <cellStyle name="Heading 2 2 2 2" xfId="8772" xr:uid="{B94EF0C8-12E6-458C-A3C8-0E09B8AF6276}"/>
    <cellStyle name="Heading 2 2 3" xfId="8773" xr:uid="{062CB52C-B25E-45C0-880C-B962A7158166}"/>
    <cellStyle name="Heading 2 2 3 2" xfId="8774" xr:uid="{C70B0286-55F6-4FDE-874F-FA874BB41644}"/>
    <cellStyle name="Heading 2 2 4" xfId="8775" xr:uid="{B5B2E042-4276-47F8-98C7-875F3613FDB0}"/>
    <cellStyle name="Heading 2 2 4 2" xfId="8776" xr:uid="{866EAE92-2DC0-448C-AA89-D93FC32DA221}"/>
    <cellStyle name="Heading 2 2 5" xfId="8777" xr:uid="{D5B783F2-B295-4E1D-8EF9-788671081EDB}"/>
    <cellStyle name="Heading 2 2 5 2" xfId="8778" xr:uid="{1F652EC7-D851-46AC-A8C3-FB5A0AE562A9}"/>
    <cellStyle name="Heading 2 2 6" xfId="8779" xr:uid="{2F0A0679-D19D-487C-8D01-37EBECD4DC40}"/>
    <cellStyle name="Heading 2 2 6 2" xfId="8780" xr:uid="{05E70403-C4B7-4863-B397-292FDED7D3E8}"/>
    <cellStyle name="Heading 2 2 7" xfId="8781" xr:uid="{7CA9C4D4-9C73-4D6C-B97C-1F0A1727BB95}"/>
    <cellStyle name="Heading 2 2 7 2" xfId="8782" xr:uid="{904510A7-148A-48EB-B435-E8286839BC73}"/>
    <cellStyle name="Heading 2 2 8" xfId="8783" xr:uid="{A8BE88FE-9AA5-46A1-93DA-CC25EBD31173}"/>
    <cellStyle name="Heading 2 2 8 2" xfId="8784" xr:uid="{BDE9203A-7594-4E05-8575-C3A88DCF7D6D}"/>
    <cellStyle name="Heading 2 2 9" xfId="8785" xr:uid="{9A783476-CF1D-4518-89A8-40CA14C5C554}"/>
    <cellStyle name="Heading 2 2 9 2" xfId="8786" xr:uid="{F6288DBF-D1F7-4AAA-9A89-1CAB99EDB597}"/>
    <cellStyle name="Heading 2 20" xfId="28913" xr:uid="{19434C4B-A5C9-4512-8F33-92CE6FDE611E}"/>
    <cellStyle name="Heading 2 21" xfId="28914" xr:uid="{83C73D03-7FC4-4EA1-B0E8-849108388F56}"/>
    <cellStyle name="Heading 2 22" xfId="28915" xr:uid="{0E587526-E42E-4BB9-A5D3-0E19033DDE67}"/>
    <cellStyle name="Heading 2 23" xfId="28916" xr:uid="{4C5B5685-0986-4E8D-8189-844414DEB40D}"/>
    <cellStyle name="Heading 2 24" xfId="28917" xr:uid="{435C7D63-5A24-4C64-84B3-470613635C8B}"/>
    <cellStyle name="Heading 2 25" xfId="28918" xr:uid="{CC9E4D50-F10D-4CB0-90C9-06DCDD0DFA49}"/>
    <cellStyle name="Heading 2 26" xfId="28919" xr:uid="{0F3C90C6-7C38-4045-A4F4-5D85AD27FFB9}"/>
    <cellStyle name="Heading 2 27" xfId="28920" xr:uid="{A4E354C5-9F9A-4942-9724-C1BD993C4718}"/>
    <cellStyle name="Heading 2 28" xfId="28921" xr:uid="{59C1F678-8096-40BE-9529-6D57FA33ACFA}"/>
    <cellStyle name="Heading 2 29" xfId="28922" xr:uid="{6FF31C4E-3F2A-4C6C-8CCE-9909079C0574}"/>
    <cellStyle name="Heading 2 3" xfId="8787" xr:uid="{743971D7-4462-4F4E-B6DE-EB39A861E13C}"/>
    <cellStyle name="Heading 2 3 10" xfId="8788" xr:uid="{2B3C8907-3717-44B2-8A0B-56D02735C97F}"/>
    <cellStyle name="Heading 2 3 11" xfId="8789" xr:uid="{106288BC-4407-475D-BFD3-EBD46F16AA04}"/>
    <cellStyle name="Heading 2 3 12" xfId="8790" xr:uid="{E66D50D5-3808-4955-9D24-0AEAED87E719}"/>
    <cellStyle name="Heading 2 3 13" xfId="44200" xr:uid="{94211BA2-71C4-462C-82A0-2BAECD00FEDD}"/>
    <cellStyle name="Heading 2 3 2" xfId="8791" xr:uid="{A540BB3D-3D1B-40EC-99FD-BFE9983243A8}"/>
    <cellStyle name="Heading 2 3 2 2" xfId="28923" xr:uid="{F90E20C0-42A4-4FC7-8019-D940764F2BB4}"/>
    <cellStyle name="Heading 2 3 3" xfId="8792" xr:uid="{BCD71B24-D1C9-4813-AC34-75FC4962B74C}"/>
    <cellStyle name="Heading 2 3 3 2" xfId="42755" xr:uid="{5BF30F95-C0AA-44EA-B4C1-A76E53F30768}"/>
    <cellStyle name="Heading 2 3 4" xfId="8793" xr:uid="{50C95C77-B23E-4598-992A-5F3FAD88315B}"/>
    <cellStyle name="Heading 2 3 5" xfId="8794" xr:uid="{33FB7882-888C-482A-8BAE-C93DBD7C1157}"/>
    <cellStyle name="Heading 2 3 6" xfId="8795" xr:uid="{604F0051-47DE-485D-B1D9-F4E7C61AAAD6}"/>
    <cellStyle name="Heading 2 3 7" xfId="8796" xr:uid="{5CCBB1FC-6F95-4623-9676-09CB88E5DFA9}"/>
    <cellStyle name="Heading 2 3 8" xfId="8797" xr:uid="{66882761-3D0F-4846-95C6-B756716AB84A}"/>
    <cellStyle name="Heading 2 3 9" xfId="8798" xr:uid="{41056990-DB38-4665-8BC9-37B4D95F9092}"/>
    <cellStyle name="Heading 2 30" xfId="28924" xr:uid="{4D26E52C-6D4F-444E-9FC4-CF12C24A84D5}"/>
    <cellStyle name="Heading 2 31" xfId="28925" xr:uid="{A6D2EA47-17B7-40FF-A5DE-B51400E105B1}"/>
    <cellStyle name="Heading 2 32" xfId="28926" xr:uid="{3A16EF4A-03F4-478C-B3FD-93F39833B50D}"/>
    <cellStyle name="Heading 2 33" xfId="28927" xr:uid="{7414CB92-750C-432D-9020-A8C9617297A3}"/>
    <cellStyle name="Heading 2 34" xfId="28928" xr:uid="{A2F5765E-5932-4A46-81B6-5886798BA5D0}"/>
    <cellStyle name="Heading 2 35" xfId="28929" xr:uid="{FF7D01FB-9753-47A8-986B-A548954B377C}"/>
    <cellStyle name="Heading 2 36" xfId="28930" xr:uid="{13CC604C-718C-4ADD-BE15-DA23FCE40FB9}"/>
    <cellStyle name="Heading 2 37" xfId="28931" xr:uid="{FB289992-9509-455B-98BB-E04E9A901293}"/>
    <cellStyle name="Heading 2 38" xfId="28932" xr:uid="{FFFFCC3B-839B-43F2-BD82-62070A2BA641}"/>
    <cellStyle name="Heading 2 39" xfId="28933" xr:uid="{A5F29EF1-1F3D-4DBF-9B7E-7F331E6FF7F6}"/>
    <cellStyle name="Heading 2 4" xfId="8799" xr:uid="{850BC825-74E2-4A1C-A3AE-EA0ED1884B5D}"/>
    <cellStyle name="Heading 2 4 10" xfId="8800" xr:uid="{82634A19-1770-4CB8-9AD2-8BAD4B8E1C15}"/>
    <cellStyle name="Heading 2 4 11" xfId="8801" xr:uid="{219D5648-D53F-4CD4-8E38-75250E8D0C42}"/>
    <cellStyle name="Heading 2 4 2" xfId="8802" xr:uid="{B98E24F4-7BB7-4F3F-8340-6E94091A0432}"/>
    <cellStyle name="Heading 2 4 3" xfId="8803" xr:uid="{37C5FD40-F963-4B8F-893A-0A78F08F6994}"/>
    <cellStyle name="Heading 2 4 4" xfId="8804" xr:uid="{CE0E965E-E202-4026-B874-5921EC83DD12}"/>
    <cellStyle name="Heading 2 4 5" xfId="8805" xr:uid="{505773AE-CA82-4363-A2DB-397A6BB44A85}"/>
    <cellStyle name="Heading 2 4 6" xfId="8806" xr:uid="{2EB7685B-FDA2-46B3-AB9C-D816B9F9AF0A}"/>
    <cellStyle name="Heading 2 4 7" xfId="8807" xr:uid="{5B884121-B082-4A89-8916-BB85BECF9693}"/>
    <cellStyle name="Heading 2 4 8" xfId="8808" xr:uid="{416F7F9B-5445-4DD7-9719-B18D37599DD4}"/>
    <cellStyle name="Heading 2 4 9" xfId="8809" xr:uid="{17D6BF31-6EE1-4A24-81CC-F9ED26355F71}"/>
    <cellStyle name="Heading 2 40" xfId="28934" xr:uid="{7F058D21-B92F-46D8-A090-2A24C2607BDD}"/>
    <cellStyle name="Heading 2 41" xfId="28935" xr:uid="{435C8989-1776-42B1-9453-226796085850}"/>
    <cellStyle name="Heading 2 42" xfId="45852" xr:uid="{559AB7CD-840C-4814-A94D-F5ACDFC849DF}"/>
    <cellStyle name="Heading 2 5" xfId="8810" xr:uid="{4B9A274E-FB75-43EA-8412-AC6B029E5AE4}"/>
    <cellStyle name="Heading 2 5 10" xfId="8811" xr:uid="{859FDE3F-DCE6-4BAE-A159-7B813EBF9FF9}"/>
    <cellStyle name="Heading 2 5 11" xfId="8812" xr:uid="{A9B9876E-25D9-4271-87A9-D339FF217CF2}"/>
    <cellStyle name="Heading 2 5 2" xfId="8813" xr:uid="{30BDCD07-ED50-49EF-AD1C-A7FF8E1B966A}"/>
    <cellStyle name="Heading 2 5 3" xfId="8814" xr:uid="{74B5A8FA-C04A-412C-A0BC-48B185B1A12C}"/>
    <cellStyle name="Heading 2 5 4" xfId="8815" xr:uid="{75B948A1-EA8F-4639-B0CA-96AD4E3CEAFC}"/>
    <cellStyle name="Heading 2 5 5" xfId="8816" xr:uid="{C401D865-C05C-4815-9CF4-23D7893FD9DE}"/>
    <cellStyle name="Heading 2 5 6" xfId="8817" xr:uid="{7F9ABCC5-E48F-4091-9A63-FD6CE3E461DE}"/>
    <cellStyle name="Heading 2 5 7" xfId="8818" xr:uid="{82B9703B-75E4-4D8A-88AE-C73D67610942}"/>
    <cellStyle name="Heading 2 5 8" xfId="8819" xr:uid="{B90140E2-576E-4509-BCBA-33A658E98560}"/>
    <cellStyle name="Heading 2 5 9" xfId="8820" xr:uid="{524D8A96-96F2-4341-A0B1-AB319B219FC4}"/>
    <cellStyle name="Heading 2 6" xfId="8821" xr:uid="{A9059C89-7BBA-4156-898A-CB85DD87C427}"/>
    <cellStyle name="Heading 2 6 10" xfId="8822" xr:uid="{96F2A46C-C9EA-4E14-8339-6326CDA20DFC}"/>
    <cellStyle name="Heading 2 6 11" xfId="8823" xr:uid="{E571E0AA-7920-42E8-9188-6B69F0EFFFE8}"/>
    <cellStyle name="Heading 2 6 2" xfId="8824" xr:uid="{215D60A5-6C22-47C7-BF5E-351BB901707E}"/>
    <cellStyle name="Heading 2 6 3" xfId="8825" xr:uid="{E84249B4-3131-4115-9896-6B8E233768E8}"/>
    <cellStyle name="Heading 2 6 4" xfId="8826" xr:uid="{A2BCBD22-9AC5-4F42-B60A-D5641FC40A73}"/>
    <cellStyle name="Heading 2 6 5" xfId="8827" xr:uid="{A1BC93F4-48D5-49DD-8063-2609D4D64930}"/>
    <cellStyle name="Heading 2 6 6" xfId="8828" xr:uid="{0FD86E96-B069-4C83-B37F-988BA37CB25F}"/>
    <cellStyle name="Heading 2 6 7" xfId="8829" xr:uid="{956692BD-A439-4EC0-AE03-1A02E0E2C939}"/>
    <cellStyle name="Heading 2 6 8" xfId="8830" xr:uid="{7025D01A-2F82-494C-82CE-74782E8BE0FA}"/>
    <cellStyle name="Heading 2 6 9" xfId="8831" xr:uid="{BF107231-E962-417F-A399-843F1C7D56E8}"/>
    <cellStyle name="Heading 2 7" xfId="8832" xr:uid="{6825F8A8-B29C-468E-ACEC-323749875300}"/>
    <cellStyle name="Heading 2 8" xfId="8833" xr:uid="{FA84356E-FD1F-4F2F-BF9F-46D69A5C67EA}"/>
    <cellStyle name="Heading 2 9" xfId="8834" xr:uid="{F82D01D0-D845-4C0D-99AE-E9DB7B3A59BC}"/>
    <cellStyle name="Heading 3" xfId="21325" builtinId="18" customBuiltin="1"/>
    <cellStyle name="Heading 3 10" xfId="8835" xr:uid="{49D19748-695A-4FD3-A9A8-3435BCBC83E6}"/>
    <cellStyle name="Heading 3 10 2" xfId="8836" xr:uid="{53E3C88F-AA91-4536-AFA6-BC0FCF059DB9}"/>
    <cellStyle name="Heading 3 10 2 2" xfId="8837" xr:uid="{890AEFC6-A913-49F0-8474-3A8516D28C65}"/>
    <cellStyle name="Heading 3 10 2 3" xfId="28936" xr:uid="{73FB2BBD-BDD2-4054-997A-49A24AF8B89F}"/>
    <cellStyle name="Heading 3 10 3" xfId="8838" xr:uid="{17025DCC-3CCB-478B-86DA-08A943421EA8}"/>
    <cellStyle name="Heading 3 10 3 2" xfId="8839" xr:uid="{077220C2-1372-474D-9C43-4A171C62B221}"/>
    <cellStyle name="Heading 3 10 3 3" xfId="28937" xr:uid="{E6373EEE-5BE7-4A4B-8558-482780E1A09B}"/>
    <cellStyle name="Heading 3 10 4" xfId="8840" xr:uid="{6703F472-0EA0-4FC3-8C4E-8B2AD29D0A2B}"/>
    <cellStyle name="Heading 3 10 4 2" xfId="8841" xr:uid="{3E3FFEA6-5B1A-4A8A-A8FB-67066BA35511}"/>
    <cellStyle name="Heading 3 10 4 3" xfId="28938" xr:uid="{CA84FF84-9A7C-4EAC-AC92-85183371C0F7}"/>
    <cellStyle name="Heading 3 10 5" xfId="8842" xr:uid="{1EA44BD5-4453-4E18-A586-5B8955D25BE8}"/>
    <cellStyle name="Heading 3 10 5 2" xfId="8843" xr:uid="{773A15E6-43DF-4B63-BD3A-E7599B8690D8}"/>
    <cellStyle name="Heading 3 10 5 3" xfId="28939" xr:uid="{5F0CC8D6-10DA-4652-B492-A5223EA2344D}"/>
    <cellStyle name="Heading 3 10 6" xfId="8844" xr:uid="{E04B2CCB-AAE5-4688-B512-9E1542DCC94C}"/>
    <cellStyle name="Heading 3 10 6 2" xfId="28940" xr:uid="{36491316-BE78-49EE-BBF2-5F0121156294}"/>
    <cellStyle name="Heading 3 10 7" xfId="8845" xr:uid="{D587EA87-E902-4594-BC7A-EEEE4BF1F118}"/>
    <cellStyle name="Heading 3 11" xfId="28941" xr:uid="{2C46ADDC-6FB0-4ECC-B238-C4BFFEB885B3}"/>
    <cellStyle name="Heading 3 12" xfId="28942" xr:uid="{9FD4C67D-E94A-4EAE-A337-B67B6C9D632B}"/>
    <cellStyle name="Heading 3 13" xfId="28943" xr:uid="{BA6B8236-68FC-43E9-A229-A16CBC7348D2}"/>
    <cellStyle name="Heading 3 14" xfId="28944" xr:uid="{DD6347B6-6199-47F1-B3C8-5F212F848968}"/>
    <cellStyle name="Heading 3 15" xfId="28945" xr:uid="{D2AC8ABA-FEA3-4689-81B2-34D7B2A6CCE5}"/>
    <cellStyle name="Heading 3 16" xfId="28946" xr:uid="{11EF29E1-209D-482C-95D8-7D454F2DE2DB}"/>
    <cellStyle name="Heading 3 17" xfId="28947" xr:uid="{4ED6B87E-0D29-433B-A018-14371859AA0A}"/>
    <cellStyle name="Heading 3 18" xfId="28948" xr:uid="{62190474-737A-447C-9233-992A5F1A58A9}"/>
    <cellStyle name="Heading 3 19" xfId="28949" xr:uid="{55D34A74-0353-4C7D-874E-7C7919096756}"/>
    <cellStyle name="Heading 3 2" xfId="8846" xr:uid="{5786C805-A8AB-4974-AD0C-7F88CF6CD410}"/>
    <cellStyle name="Heading 3 2 10" xfId="8847" xr:uid="{142B937E-3D94-456E-B3FB-F1FA8BD6931F}"/>
    <cellStyle name="Heading 3 2 10 2" xfId="8848" xr:uid="{CA57DA0A-33B5-42AB-8712-C355C2B5B4CA}"/>
    <cellStyle name="Heading 3 2 10 2 2" xfId="8849" xr:uid="{34BD5304-2B29-450F-9230-86CBE4D3629C}"/>
    <cellStyle name="Heading 3 2 10 2 2 2" xfId="28950" xr:uid="{46AE4247-8155-452D-B398-DDD7F03553F5}"/>
    <cellStyle name="Heading 3 2 10 2 2 3" xfId="28951" xr:uid="{D8861462-5FB0-4F91-A446-8B3BEB68BC7C}"/>
    <cellStyle name="Heading 3 2 10 2 3" xfId="8850" xr:uid="{0AAA5A1A-16E4-47C7-BD25-1E656CC9C6E7}"/>
    <cellStyle name="Heading 3 2 10 2 4" xfId="28952" xr:uid="{24A06EAC-42E6-429F-A0BE-29C6C6053E24}"/>
    <cellStyle name="Heading 3 2 10 2 5" xfId="28953" xr:uid="{49DB2AF6-62E0-4329-B9AA-C5E3ED2D3C77}"/>
    <cellStyle name="Heading 3 2 10 3" xfId="8851" xr:uid="{7105CDB9-10FB-4BAF-BE2E-24ADFB3F5766}"/>
    <cellStyle name="Heading 3 2 10 3 2" xfId="8852" xr:uid="{BC108578-F244-4701-BC59-FC33FD845C6A}"/>
    <cellStyle name="Heading 3 2 10 3 3" xfId="28954" xr:uid="{6C1069CB-FB60-40CF-8751-3F29DD2BD93B}"/>
    <cellStyle name="Heading 3 2 10 4" xfId="8853" xr:uid="{4984E642-840C-487B-92D7-61C1D3DC7C03}"/>
    <cellStyle name="Heading 3 2 10 4 2" xfId="8854" xr:uid="{E956AFB8-1F38-4B79-999D-6F1F108CD3CA}"/>
    <cellStyle name="Heading 3 2 10 4 3" xfId="28955" xr:uid="{30A3BBE0-3EB1-4491-A9D3-46C7D8D253B9}"/>
    <cellStyle name="Heading 3 2 10 5" xfId="8855" xr:uid="{F4E5FC20-DEFC-47D4-8B0B-98DD6E15D087}"/>
    <cellStyle name="Heading 3 2 10 5 2" xfId="8856" xr:uid="{F74BF5CF-5647-421F-8A2B-2E30F6C70393}"/>
    <cellStyle name="Heading 3 2 10 5 3" xfId="28956" xr:uid="{23AEECEC-F37A-4E3C-8092-DFCBDE6E4E18}"/>
    <cellStyle name="Heading 3 2 10 6" xfId="8857" xr:uid="{CA2BD317-0F5D-4701-9CA4-9E7118EC5B25}"/>
    <cellStyle name="Heading 3 2 10 6 2" xfId="28957" xr:uid="{0F6F7FC9-9AC8-465A-AF4E-B458DA36564E}"/>
    <cellStyle name="Heading 3 2 10 7" xfId="8858" xr:uid="{8E9B0901-EC8C-4C83-8B59-46321D4BB576}"/>
    <cellStyle name="Heading 3 2 11" xfId="8859" xr:uid="{84F1C471-6FB2-4207-A0B1-B043BA51E760}"/>
    <cellStyle name="Heading 3 2 11 2" xfId="8860" xr:uid="{B1C80945-7304-45D9-BC4B-6C58FA2784FE}"/>
    <cellStyle name="Heading 3 2 11 2 2" xfId="8861" xr:uid="{32D67F17-18F1-49BE-B2AC-93C37BB49350}"/>
    <cellStyle name="Heading 3 2 11 2 3" xfId="28958" xr:uid="{AC9BF5BF-B8DB-4965-B7D2-CCB16E9447B3}"/>
    <cellStyle name="Heading 3 2 11 3" xfId="8862" xr:uid="{A307FB78-8825-467A-9B55-28D11E4D75C6}"/>
    <cellStyle name="Heading 3 2 11 3 2" xfId="8863" xr:uid="{9441D014-797F-431E-AE3A-A143059C07F9}"/>
    <cellStyle name="Heading 3 2 11 3 3" xfId="28959" xr:uid="{93D7E3E4-D355-4407-8889-C6119DDB83FB}"/>
    <cellStyle name="Heading 3 2 11 4" xfId="8864" xr:uid="{20380E1F-2D8F-4B6B-968B-E651574B652A}"/>
    <cellStyle name="Heading 3 2 11 4 2" xfId="8865" xr:uid="{B1FF265F-7730-4CBF-A122-4CE574E06A3A}"/>
    <cellStyle name="Heading 3 2 11 4 3" xfId="28960" xr:uid="{FF01AE0A-C1E5-424B-8EF7-D7B20EFBE37C}"/>
    <cellStyle name="Heading 3 2 11 5" xfId="8866" xr:uid="{56B68516-E380-4A19-8DDA-28C2EB70DC42}"/>
    <cellStyle name="Heading 3 2 11 5 2" xfId="8867" xr:uid="{2422C33F-C3A5-4B63-8126-7BE6C28F120D}"/>
    <cellStyle name="Heading 3 2 11 5 3" xfId="28961" xr:uid="{122321E5-EDA8-4097-A209-6BC69F4A4354}"/>
    <cellStyle name="Heading 3 2 11 6" xfId="8868" xr:uid="{85DD8FD2-08CD-4DB2-93E6-41664EBE3F77}"/>
    <cellStyle name="Heading 3 2 11 6 2" xfId="28962" xr:uid="{DD2A7A19-0904-49F0-9522-DD864531B0FE}"/>
    <cellStyle name="Heading 3 2 11 7" xfId="8869" xr:uid="{D025D983-83B3-4BD6-83EB-05376807B4D6}"/>
    <cellStyle name="Heading 3 2 12" xfId="8870" xr:uid="{B4556EC5-9E9C-4ED6-9D4A-A8D78C5E4544}"/>
    <cellStyle name="Heading 3 2 12 2" xfId="8871" xr:uid="{0756005E-746E-46D6-9DD7-E2E75563CE27}"/>
    <cellStyle name="Heading 3 2 12 3" xfId="28963" xr:uid="{C3936A31-EF87-47BC-8B76-70D75977578C}"/>
    <cellStyle name="Heading 3 2 13" xfId="8872" xr:uid="{BD49EDDD-00C5-4907-8805-C1BA31966E0F}"/>
    <cellStyle name="Heading 3 2 13 2" xfId="8873" xr:uid="{415CE01E-DC6F-4A28-8405-66673A03B70E}"/>
    <cellStyle name="Heading 3 2 13 3" xfId="28964" xr:uid="{270D3BB0-DEDA-4265-9BE4-C34F07E46657}"/>
    <cellStyle name="Heading 3 2 14" xfId="8874" xr:uid="{A2CAF1CC-71D7-4A89-BEB1-C2B15E71152E}"/>
    <cellStyle name="Heading 3 2 14 2" xfId="8875" xr:uid="{1F903D07-0D0D-4BAF-B123-B5985062A9FF}"/>
    <cellStyle name="Heading 3 2 14 3" xfId="28965" xr:uid="{5EA43370-060B-472B-A5A7-6E6160740873}"/>
    <cellStyle name="Heading 3 2 15" xfId="8876" xr:uid="{8DB185E4-0C63-4CFF-A18B-2DC4CD7A0CC5}"/>
    <cellStyle name="Heading 3 2 15 2" xfId="8877" xr:uid="{931F09B1-ACBE-4AC0-A750-8D29DBE4DBD1}"/>
    <cellStyle name="Heading 3 2 15 3" xfId="28966" xr:uid="{EAF85FB5-11DD-4555-95E4-66F5C30781D2}"/>
    <cellStyle name="Heading 3 2 16" xfId="8878" xr:uid="{F25EBE8A-F137-4BE5-A090-FE5DD108E74A}"/>
    <cellStyle name="Heading 3 2 16 2" xfId="28967" xr:uid="{98E38FB7-4593-4336-9FD9-AA2756AECC36}"/>
    <cellStyle name="Heading 3 2 17" xfId="8879" xr:uid="{0BAAA8A3-137E-40E6-8EF6-BC8171327A57}"/>
    <cellStyle name="Heading 3 2 18" xfId="44118" xr:uid="{0D2B2230-6FC9-4283-8BFF-1EE48001BF8C}"/>
    <cellStyle name="Heading 3 2 2" xfId="8880" xr:uid="{1B4547DD-D55F-49EA-9A57-4EB18FF069A6}"/>
    <cellStyle name="Heading 3 2 2 2" xfId="8881" xr:uid="{34FFCFCB-9067-45C6-B561-B54BF907D2C1}"/>
    <cellStyle name="Heading 3 2 2 2 2" xfId="8882" xr:uid="{46BBD658-9318-4ABA-B871-DB09A540D99D}"/>
    <cellStyle name="Heading 3 2 2 2 2 2" xfId="28968" xr:uid="{58E03C23-D718-4E42-BA09-60E62E6F268E}"/>
    <cellStyle name="Heading 3 2 2 2 2 3" xfId="28969" xr:uid="{D4C75EAB-B2A9-4334-89B8-99E55DFCF646}"/>
    <cellStyle name="Heading 3 2 2 2 3" xfId="8883" xr:uid="{E646CF27-38A9-43A5-B4C4-DC0EDB205E53}"/>
    <cellStyle name="Heading 3 2 2 2 4" xfId="28970" xr:uid="{3C27ECBF-24CF-4023-B1B7-BB0B58F02C4C}"/>
    <cellStyle name="Heading 3 2 2 2 5" xfId="28971" xr:uid="{E811463D-95E1-473B-939D-F1ADC73A6B2C}"/>
    <cellStyle name="Heading 3 2 2 3" xfId="8884" xr:uid="{63727563-1A07-43B0-93D8-F12E09640C63}"/>
    <cellStyle name="Heading 3 2 2 3 2" xfId="8885" xr:uid="{113756DF-61EA-4AB1-945E-D4FB57A54561}"/>
    <cellStyle name="Heading 3 2 2 3 3" xfId="28972" xr:uid="{E491A34D-DAF9-4351-86D7-87FF57C569BF}"/>
    <cellStyle name="Heading 3 2 2 4" xfId="8886" xr:uid="{ACD07EA7-C54A-4B91-8475-DD6F1FC6EF88}"/>
    <cellStyle name="Heading 3 2 2 4 2" xfId="8887" xr:uid="{5A6FD04E-EA69-43E6-ADDB-4BE3CD8D8294}"/>
    <cellStyle name="Heading 3 2 2 4 3" xfId="28973" xr:uid="{D4A19D10-D080-4965-AB7B-F9846D0CCAAD}"/>
    <cellStyle name="Heading 3 2 2 5" xfId="8888" xr:uid="{7B5AA33C-1425-4043-8966-CFCCAC04B4B4}"/>
    <cellStyle name="Heading 3 2 2 5 2" xfId="8889" xr:uid="{DF7F72CA-01A6-44B1-80D1-2C9B12029FE3}"/>
    <cellStyle name="Heading 3 2 2 5 3" xfId="28974" xr:uid="{89A8F274-04D7-4183-B3F1-D461E94A7DB6}"/>
    <cellStyle name="Heading 3 2 2 6" xfId="8890" xr:uid="{510B7635-41F3-4A12-B5E9-A1E602A8ACAB}"/>
    <cellStyle name="Heading 3 2 2 6 2" xfId="28975" xr:uid="{43A94E39-43AC-420C-A780-298D41E70622}"/>
    <cellStyle name="Heading 3 2 2 7" xfId="8891" xr:uid="{6C4937E0-A56D-4324-9C80-43536F33666D}"/>
    <cellStyle name="Heading 3 2 3" xfId="8892" xr:uid="{509F7AA9-EF24-4EAC-97E0-EDB49330E706}"/>
    <cellStyle name="Heading 3 2 3 2" xfId="8893" xr:uid="{E7B4A246-580B-4E40-81B0-DFF05E0CEB21}"/>
    <cellStyle name="Heading 3 2 3 2 2" xfId="8894" xr:uid="{E7D154F8-B4D0-4A4F-A0F3-80007E998584}"/>
    <cellStyle name="Heading 3 2 3 2 2 2" xfId="28976" xr:uid="{46AE0598-27E1-44AA-B080-67002654EE69}"/>
    <cellStyle name="Heading 3 2 3 2 2 3" xfId="28977" xr:uid="{2BC06E41-3B04-4768-A1D8-7F2AB7A83F3B}"/>
    <cellStyle name="Heading 3 2 3 2 3" xfId="8895" xr:uid="{A981AF62-E8B0-4681-B59A-C3E4D7028FA2}"/>
    <cellStyle name="Heading 3 2 3 2 4" xfId="28978" xr:uid="{B92CB554-EA28-4C6D-8A34-CC0AE1F27FA2}"/>
    <cellStyle name="Heading 3 2 3 2 5" xfId="28979" xr:uid="{16619FBB-8281-4A52-BF29-F17D5A3A6DAF}"/>
    <cellStyle name="Heading 3 2 3 3" xfId="8896" xr:uid="{F935D135-D12C-4A1C-AC44-B6230D0575EF}"/>
    <cellStyle name="Heading 3 2 3 3 2" xfId="8897" xr:uid="{00A6E9E3-7697-4E3A-85EC-C0616160BC97}"/>
    <cellStyle name="Heading 3 2 3 3 3" xfId="28980" xr:uid="{E2740F90-F0B6-437E-9A6B-5D543F0D92F1}"/>
    <cellStyle name="Heading 3 2 3 4" xfId="8898" xr:uid="{A929BCD1-3543-454A-A8BC-73C5EFE3ACBE}"/>
    <cellStyle name="Heading 3 2 3 4 2" xfId="8899" xr:uid="{507D0829-78CB-4988-A783-4E014C3905DD}"/>
    <cellStyle name="Heading 3 2 3 4 3" xfId="28981" xr:uid="{FC237E11-AB71-4F81-845F-B009CF72F228}"/>
    <cellStyle name="Heading 3 2 3 5" xfId="8900" xr:uid="{B8B75E3B-D601-4346-B567-36CB08AD8429}"/>
    <cellStyle name="Heading 3 2 3 5 2" xfId="8901" xr:uid="{F0FEA178-9764-46BD-8465-E78EE933C3E5}"/>
    <cellStyle name="Heading 3 2 3 5 3" xfId="28982" xr:uid="{8EE6CBB7-EF2C-4B32-B108-1E208980B432}"/>
    <cellStyle name="Heading 3 2 3 6" xfId="8902" xr:uid="{616A8B5E-3CEB-4A5D-BBC9-6EEB33A46028}"/>
    <cellStyle name="Heading 3 2 3 6 2" xfId="28983" xr:uid="{8A91555B-CC1C-4DD8-ACAC-CBBB2A2D361E}"/>
    <cellStyle name="Heading 3 2 3 7" xfId="8903" xr:uid="{8B9A9C68-D9B0-4AED-9ECC-07CD64C29750}"/>
    <cellStyle name="Heading 3 2 4" xfId="8904" xr:uid="{106D5A20-C991-4ECC-95FC-17D2AD2AFABD}"/>
    <cellStyle name="Heading 3 2 4 2" xfId="8905" xr:uid="{36100775-D985-4354-BD7B-0D76F76FD13B}"/>
    <cellStyle name="Heading 3 2 4 2 2" xfId="8906" xr:uid="{6A856131-B87C-4213-929C-611362C6870F}"/>
    <cellStyle name="Heading 3 2 4 2 2 2" xfId="28984" xr:uid="{EC49908E-D467-41C1-86E8-98B7FACCB2C2}"/>
    <cellStyle name="Heading 3 2 4 2 2 3" xfId="28985" xr:uid="{CF8146A0-DFF9-4BD4-9A54-11A0367E39EE}"/>
    <cellStyle name="Heading 3 2 4 2 3" xfId="8907" xr:uid="{BFC70835-DBFB-4AA3-9527-7866C70919BC}"/>
    <cellStyle name="Heading 3 2 4 2 4" xfId="28986" xr:uid="{EBFEE4E8-EF45-4294-B62E-347EE85E415F}"/>
    <cellStyle name="Heading 3 2 4 2 5" xfId="28987" xr:uid="{297B37B5-AF66-4766-A0E3-13E88C9DDD45}"/>
    <cellStyle name="Heading 3 2 4 3" xfId="8908" xr:uid="{8BBEE5B3-A11C-4A63-8B02-38A2FA1F10D7}"/>
    <cellStyle name="Heading 3 2 4 3 2" xfId="8909" xr:uid="{3C69781D-72DA-4CAF-9B8D-CCDB20055694}"/>
    <cellStyle name="Heading 3 2 4 3 3" xfId="28988" xr:uid="{C28A3AFB-1580-47C6-ACCD-13BAB7B8E661}"/>
    <cellStyle name="Heading 3 2 4 4" xfId="8910" xr:uid="{10E169C7-56F2-4C3B-81EF-34D1B24CF17F}"/>
    <cellStyle name="Heading 3 2 4 4 2" xfId="8911" xr:uid="{EFC30135-00AF-4551-AC12-2F08A860F19F}"/>
    <cellStyle name="Heading 3 2 4 4 3" xfId="28989" xr:uid="{96025A8E-E679-4637-9171-422940DDE2E1}"/>
    <cellStyle name="Heading 3 2 4 5" xfId="8912" xr:uid="{E15AC076-CF52-48C0-9284-EA4F886238E4}"/>
    <cellStyle name="Heading 3 2 4 5 2" xfId="8913" xr:uid="{C1EDA329-6117-44E1-BEB9-2F56CEB000BF}"/>
    <cellStyle name="Heading 3 2 4 5 3" xfId="28990" xr:uid="{E3F3D406-0DED-459F-A7F4-33FADD37E5B5}"/>
    <cellStyle name="Heading 3 2 4 6" xfId="8914" xr:uid="{35752A2B-DCD3-4D2C-9D31-6B94F837492C}"/>
    <cellStyle name="Heading 3 2 4 6 2" xfId="28991" xr:uid="{5EB27098-B8D6-4CA2-B7D0-4DD8820939C4}"/>
    <cellStyle name="Heading 3 2 4 7" xfId="8915" xr:uid="{F27F8290-29D6-4825-8C42-74315216CC4D}"/>
    <cellStyle name="Heading 3 2 5" xfId="8916" xr:uid="{0D21A7BB-6719-41AD-8E78-1BE290B954FB}"/>
    <cellStyle name="Heading 3 2 5 2" xfId="8917" xr:uid="{F91CB756-3E6A-459E-93C1-9A0F1B79CDB2}"/>
    <cellStyle name="Heading 3 2 5 2 2" xfId="8918" xr:uid="{7B1A9886-934F-4C1E-BAE1-602214FFA6AC}"/>
    <cellStyle name="Heading 3 2 5 2 2 2" xfId="28992" xr:uid="{E4C2EC13-16F9-41E8-A683-050194D12940}"/>
    <cellStyle name="Heading 3 2 5 2 2 3" xfId="28993" xr:uid="{C86F10A1-BDE6-49C5-9C62-8270230780B9}"/>
    <cellStyle name="Heading 3 2 5 2 3" xfId="8919" xr:uid="{785D8118-2B89-4DB4-83AD-FF38EB8071EC}"/>
    <cellStyle name="Heading 3 2 5 2 4" xfId="28994" xr:uid="{F3120347-6B35-4913-BC28-F693A934592F}"/>
    <cellStyle name="Heading 3 2 5 2 5" xfId="28995" xr:uid="{116A7A2A-2B48-48F2-8B1F-E1EA7E90F5CE}"/>
    <cellStyle name="Heading 3 2 5 3" xfId="8920" xr:uid="{7597B919-582C-4161-A88C-33AD7C82E032}"/>
    <cellStyle name="Heading 3 2 5 3 2" xfId="8921" xr:uid="{5D8DE6AA-D48E-494E-8D57-A951DE37EC74}"/>
    <cellStyle name="Heading 3 2 5 3 3" xfId="28996" xr:uid="{7A9ABD55-B073-4E4C-8616-E436F9E5B75B}"/>
    <cellStyle name="Heading 3 2 5 4" xfId="8922" xr:uid="{E0995669-78EA-4B0B-A8C3-9C9A04CD4166}"/>
    <cellStyle name="Heading 3 2 5 4 2" xfId="8923" xr:uid="{8246E4CC-083B-477C-95D2-EB27DD1A8D0B}"/>
    <cellStyle name="Heading 3 2 5 4 3" xfId="28997" xr:uid="{BF0D00FB-9A01-4D68-9904-37957E4D780F}"/>
    <cellStyle name="Heading 3 2 5 5" xfId="8924" xr:uid="{52662000-07CC-4E97-9B34-B391B0A1CEBC}"/>
    <cellStyle name="Heading 3 2 5 5 2" xfId="8925" xr:uid="{73A078A8-5070-4F84-8BBD-DA723F7E2BE2}"/>
    <cellStyle name="Heading 3 2 5 5 3" xfId="28998" xr:uid="{61C7F753-40C1-479C-BAC3-CC36812D01E9}"/>
    <cellStyle name="Heading 3 2 5 6" xfId="8926" xr:uid="{1084950D-15FD-4029-A02F-A8F51F800079}"/>
    <cellStyle name="Heading 3 2 5 6 2" xfId="28999" xr:uid="{D17BA608-F092-4EEF-BF8D-D88D39C3B860}"/>
    <cellStyle name="Heading 3 2 5 7" xfId="8927" xr:uid="{0DD1B702-93E7-4780-9BF4-A58E5AC3F554}"/>
    <cellStyle name="Heading 3 2 6" xfId="8928" xr:uid="{BE20D23F-CED7-482A-8844-2DB0852C240A}"/>
    <cellStyle name="Heading 3 2 6 2" xfId="8929" xr:uid="{64838CC1-C0C6-4933-AF0F-3437A7ED9468}"/>
    <cellStyle name="Heading 3 2 6 2 2" xfId="8930" xr:uid="{000B633B-CB0D-471A-8A21-BB6F74F5C310}"/>
    <cellStyle name="Heading 3 2 6 2 2 2" xfId="29000" xr:uid="{CF7A555F-C9F3-4D88-96A4-4B21EA352FEF}"/>
    <cellStyle name="Heading 3 2 6 2 2 3" xfId="29001" xr:uid="{93853647-7272-49D4-AEFE-CAA0CFC36C88}"/>
    <cellStyle name="Heading 3 2 6 2 3" xfId="8931" xr:uid="{D8B38D0C-BFF6-4522-8297-4B71E9FF1E0C}"/>
    <cellStyle name="Heading 3 2 6 2 4" xfId="29002" xr:uid="{4DF571CE-1206-4FA1-B72B-F15D288BB9E5}"/>
    <cellStyle name="Heading 3 2 6 2 5" xfId="29003" xr:uid="{8A0D6224-FEC7-4CDF-8A2D-BAFCAC12749D}"/>
    <cellStyle name="Heading 3 2 6 3" xfId="8932" xr:uid="{D81E5BCA-EA6D-458B-A0D4-1CDE6CAD653A}"/>
    <cellStyle name="Heading 3 2 6 3 2" xfId="8933" xr:uid="{974637E7-3C55-47EB-A79A-A58DC8158D7F}"/>
    <cellStyle name="Heading 3 2 6 3 3" xfId="29004" xr:uid="{523C5388-32D7-4828-9983-6578CA37C9D6}"/>
    <cellStyle name="Heading 3 2 6 4" xfId="8934" xr:uid="{8295A85C-24BE-4F73-9083-C6D3B5E56015}"/>
    <cellStyle name="Heading 3 2 6 4 2" xfId="8935" xr:uid="{C29590E8-49C5-4BAE-B5D7-E43626744D00}"/>
    <cellStyle name="Heading 3 2 6 4 3" xfId="29005" xr:uid="{22468847-467B-4879-BC97-B7973D9FCF9F}"/>
    <cellStyle name="Heading 3 2 6 5" xfId="8936" xr:uid="{BDF5A033-A7CB-4E04-8F60-E2490BE787EC}"/>
    <cellStyle name="Heading 3 2 6 5 2" xfId="8937" xr:uid="{8FB3FE7B-C0F0-4B97-9C46-47674EBE4A44}"/>
    <cellStyle name="Heading 3 2 6 5 3" xfId="29006" xr:uid="{F0F48CA1-1AD4-4F49-8943-1C10B17A0277}"/>
    <cellStyle name="Heading 3 2 6 6" xfId="8938" xr:uid="{59775CB2-38A5-41F2-9797-6834778CA2E9}"/>
    <cellStyle name="Heading 3 2 6 6 2" xfId="29007" xr:uid="{FEBFAB51-69E8-421A-B9C3-6AA2840B0798}"/>
    <cellStyle name="Heading 3 2 6 7" xfId="8939" xr:uid="{D715E6B5-0F0A-4568-AA95-D43BC9195C5D}"/>
    <cellStyle name="Heading 3 2 7" xfId="8940" xr:uid="{5327F28F-AAB1-4396-9921-D7856E3ABAE5}"/>
    <cellStyle name="Heading 3 2 7 2" xfId="8941" xr:uid="{3515A1BA-E5FD-4AF9-983E-11E8A42EB5EC}"/>
    <cellStyle name="Heading 3 2 7 2 2" xfId="8942" xr:uid="{120A1FB7-B35C-455C-B6AE-225E42F599CF}"/>
    <cellStyle name="Heading 3 2 7 2 2 2" xfId="29008" xr:uid="{1EE8F7AF-9056-4851-BFDC-F850F0D55D9B}"/>
    <cellStyle name="Heading 3 2 7 2 2 3" xfId="29009" xr:uid="{7C077109-3BB7-4E2A-A292-1720FDD689E7}"/>
    <cellStyle name="Heading 3 2 7 2 3" xfId="8943" xr:uid="{F06B1885-BB39-4376-9B53-71930823BFFA}"/>
    <cellStyle name="Heading 3 2 7 2 4" xfId="29010" xr:uid="{5AB51A99-8080-41ED-9940-D05E67C3F6AC}"/>
    <cellStyle name="Heading 3 2 7 2 5" xfId="29011" xr:uid="{AC9FFC97-93DF-4121-A22D-AE2F801B0FEA}"/>
    <cellStyle name="Heading 3 2 7 3" xfId="8944" xr:uid="{591C73DB-D6D6-4027-9C25-8D82A9A9F642}"/>
    <cellStyle name="Heading 3 2 7 3 2" xfId="8945" xr:uid="{BAB7B44E-463B-46F7-8CE0-4051A7F08021}"/>
    <cellStyle name="Heading 3 2 7 3 3" xfId="29012" xr:uid="{B11191F7-60E1-4CD3-9134-8233ADA2F1A3}"/>
    <cellStyle name="Heading 3 2 7 4" xfId="8946" xr:uid="{E5129A16-715F-49A6-BFA7-7095817BED23}"/>
    <cellStyle name="Heading 3 2 7 4 2" xfId="8947" xr:uid="{131FC272-5AF8-4E26-BBAC-199679145D92}"/>
    <cellStyle name="Heading 3 2 7 4 3" xfId="29013" xr:uid="{99C0F184-8D96-4FF9-B216-77F4D7026C43}"/>
    <cellStyle name="Heading 3 2 7 5" xfId="8948" xr:uid="{160FC677-E656-45E4-BF96-F2720D162095}"/>
    <cellStyle name="Heading 3 2 7 5 2" xfId="8949" xr:uid="{BE10A679-8359-4A40-811A-105823640978}"/>
    <cellStyle name="Heading 3 2 7 5 3" xfId="29014" xr:uid="{2A5E6103-F10E-4F77-9862-B3A158252B63}"/>
    <cellStyle name="Heading 3 2 7 6" xfId="8950" xr:uid="{4AD8822A-10A1-4F18-A793-1106C7C20631}"/>
    <cellStyle name="Heading 3 2 7 6 2" xfId="29015" xr:uid="{C54C4050-C0C8-4D27-9CE1-38F1BD59F25B}"/>
    <cellStyle name="Heading 3 2 7 7" xfId="8951" xr:uid="{85F76C6F-B6BB-4251-A041-8212C66C055B}"/>
    <cellStyle name="Heading 3 2 8" xfId="8952" xr:uid="{21B61A7E-3E91-43C4-A59D-6CC8D3ABA483}"/>
    <cellStyle name="Heading 3 2 8 2" xfId="8953" xr:uid="{1C4FF50D-0CB6-4558-8951-3D3605869117}"/>
    <cellStyle name="Heading 3 2 8 2 2" xfId="8954" xr:uid="{DE24D494-437D-458F-A8EB-0455CCCE9234}"/>
    <cellStyle name="Heading 3 2 8 2 2 2" xfId="29016" xr:uid="{0AE2A3D1-62EB-4FF6-B210-71C8A50B5E11}"/>
    <cellStyle name="Heading 3 2 8 2 2 3" xfId="29017" xr:uid="{CB813DD1-E6B5-432F-9122-084636B4F685}"/>
    <cellStyle name="Heading 3 2 8 2 3" xfId="8955" xr:uid="{0C88BE07-2DE5-4F02-A6B0-765EA08AF9D6}"/>
    <cellStyle name="Heading 3 2 8 2 4" xfId="29018" xr:uid="{C5C2580B-82F1-4014-BAFA-C4B052383FB3}"/>
    <cellStyle name="Heading 3 2 8 2 5" xfId="29019" xr:uid="{DF936F65-F150-4A45-94E8-F0CE9EA8752C}"/>
    <cellStyle name="Heading 3 2 8 3" xfId="8956" xr:uid="{B1AB53C4-C86C-43DA-86D7-DF8A4678D337}"/>
    <cellStyle name="Heading 3 2 8 3 2" xfId="8957" xr:uid="{AF6653D8-F311-4DF1-8572-CF711E63567D}"/>
    <cellStyle name="Heading 3 2 8 3 3" xfId="29020" xr:uid="{0E5452BC-5515-45B3-9A76-8D6811CEA415}"/>
    <cellStyle name="Heading 3 2 8 4" xfId="8958" xr:uid="{10204C95-86D9-4549-8CF4-612624166FA6}"/>
    <cellStyle name="Heading 3 2 8 4 2" xfId="8959" xr:uid="{D1AF9B74-7815-4964-945A-B94C5FA6E84E}"/>
    <cellStyle name="Heading 3 2 8 4 3" xfId="29021" xr:uid="{4E93A9BA-DEFD-41A4-809A-6BFEF4001016}"/>
    <cellStyle name="Heading 3 2 8 5" xfId="8960" xr:uid="{546DC70F-CAB8-4B35-B0C2-DCC4E3CC3907}"/>
    <cellStyle name="Heading 3 2 8 5 2" xfId="8961" xr:uid="{E7FFBCF8-283A-439A-A10E-86AAF41C9ED9}"/>
    <cellStyle name="Heading 3 2 8 5 3" xfId="29022" xr:uid="{C5D3A2FE-7A57-47B7-B850-4A909194E0CC}"/>
    <cellStyle name="Heading 3 2 8 6" xfId="8962" xr:uid="{AB8916B5-5B7A-4721-A39B-1F7235C60EA4}"/>
    <cellStyle name="Heading 3 2 8 6 2" xfId="29023" xr:uid="{E12A75F6-6939-48F1-B1F5-57B7DEB75027}"/>
    <cellStyle name="Heading 3 2 8 7" xfId="8963" xr:uid="{14B6AE0E-9F8A-4366-8395-36625A5B49D6}"/>
    <cellStyle name="Heading 3 2 9" xfId="8964" xr:uid="{CED8B04C-FF71-4C78-B2E8-E164C07240D3}"/>
    <cellStyle name="Heading 3 2 9 2" xfId="8965" xr:uid="{EE09398A-AA76-435F-89A1-01B220CFA149}"/>
    <cellStyle name="Heading 3 2 9 2 2" xfId="8966" xr:uid="{ABB1A15D-3DFF-4EFC-B7BD-4B61B2A07A41}"/>
    <cellStyle name="Heading 3 2 9 2 2 2" xfId="29024" xr:uid="{3B601512-5D8A-4F80-9A10-3C1EC699996D}"/>
    <cellStyle name="Heading 3 2 9 2 2 3" xfId="29025" xr:uid="{A2AF65F4-9E27-4543-AA35-E5B6216180B7}"/>
    <cellStyle name="Heading 3 2 9 2 3" xfId="8967" xr:uid="{E566B797-EB2F-427A-A69F-A87D5170F4CD}"/>
    <cellStyle name="Heading 3 2 9 2 4" xfId="29026" xr:uid="{91D75749-7A0B-4754-AD44-0AA486D33A27}"/>
    <cellStyle name="Heading 3 2 9 2 5" xfId="29027" xr:uid="{C0B4294F-D065-410A-A8C1-54BF73E86200}"/>
    <cellStyle name="Heading 3 2 9 3" xfId="8968" xr:uid="{F7B7B282-0258-4CEF-8EBA-C0E9830636C6}"/>
    <cellStyle name="Heading 3 2 9 3 2" xfId="8969" xr:uid="{9C1C3FC6-1528-4EB4-971F-AFB23B4F5375}"/>
    <cellStyle name="Heading 3 2 9 3 3" xfId="29028" xr:uid="{674FB8AE-CCC3-4925-8E3F-5FBA3C6703C0}"/>
    <cellStyle name="Heading 3 2 9 4" xfId="8970" xr:uid="{9E7E211A-0194-4BBF-9369-6B408ED86CA3}"/>
    <cellStyle name="Heading 3 2 9 4 2" xfId="8971" xr:uid="{C172D1E3-4B24-419D-AE40-92E1B8A4592E}"/>
    <cellStyle name="Heading 3 2 9 4 3" xfId="29029" xr:uid="{49E10C7E-BF87-4D22-ABC8-375B9930115D}"/>
    <cellStyle name="Heading 3 2 9 5" xfId="8972" xr:uid="{8A86E4E8-D953-4597-B7B6-CA4265A5FC72}"/>
    <cellStyle name="Heading 3 2 9 5 2" xfId="8973" xr:uid="{54E9505D-C989-462E-9590-726DEAF7E4F0}"/>
    <cellStyle name="Heading 3 2 9 5 3" xfId="29030" xr:uid="{4A7DD173-C33B-4552-8EBC-B6A55F8C3032}"/>
    <cellStyle name="Heading 3 2 9 6" xfId="8974" xr:uid="{DB9BF55D-839A-4D63-A8FD-212E6F435688}"/>
    <cellStyle name="Heading 3 2 9 6 2" xfId="29031" xr:uid="{FFD03922-B8CE-4E4B-9B62-E36015B90D22}"/>
    <cellStyle name="Heading 3 2 9 7" xfId="8975" xr:uid="{8573DF23-1F94-4A9D-9455-2FCDD8F7DBC1}"/>
    <cellStyle name="Heading 3 20" xfId="29032" xr:uid="{A51DD337-0189-41A2-B56C-5D244E33BE1E}"/>
    <cellStyle name="Heading 3 21" xfId="29033" xr:uid="{A80FD242-D65A-4B5A-AC2D-55C12651CAEF}"/>
    <cellStyle name="Heading 3 22" xfId="29034" xr:uid="{9A4748B7-67F0-4B6F-B469-6DE98C785F43}"/>
    <cellStyle name="Heading 3 23" xfId="29035" xr:uid="{45F65937-5B83-468E-BC07-F78D135CF0C3}"/>
    <cellStyle name="Heading 3 24" xfId="29036" xr:uid="{F7374C28-8467-42CB-9E5F-61DE637ECCB7}"/>
    <cellStyle name="Heading 3 25" xfId="29037" xr:uid="{C057A343-E745-43A3-B036-94049D137A8C}"/>
    <cellStyle name="Heading 3 26" xfId="29038" xr:uid="{C5EF4DFB-540B-417B-8296-FCB650BEC9A5}"/>
    <cellStyle name="Heading 3 27" xfId="29039" xr:uid="{51BB478A-237C-40EE-89C5-46A69AB45F83}"/>
    <cellStyle name="Heading 3 28" xfId="29040" xr:uid="{5E495536-2B17-4095-8534-63274284B0A2}"/>
    <cellStyle name="Heading 3 29" xfId="29041" xr:uid="{7A9D2FB4-9DE7-4238-A411-998F8601375B}"/>
    <cellStyle name="Heading 3 3" xfId="8976" xr:uid="{DF57BCD1-C37A-4210-8CFF-DD43B6059144}"/>
    <cellStyle name="Heading 3 3 10" xfId="8977" xr:uid="{3C289E1D-0F30-4917-8F0C-0BF7CDC5E00E}"/>
    <cellStyle name="Heading 3 3 10 2" xfId="8978" xr:uid="{1F3A5A5F-D37F-486A-98EE-0D49C06F594F}"/>
    <cellStyle name="Heading 3 3 10 2 2" xfId="8979" xr:uid="{0E1C0F7D-D613-47FA-9FE4-0491D8C33701}"/>
    <cellStyle name="Heading 3 3 10 2 3" xfId="29042" xr:uid="{8177AB27-28DF-4F19-89AC-107FDA1AC83A}"/>
    <cellStyle name="Heading 3 3 10 3" xfId="8980" xr:uid="{09F9D354-538B-4CF5-B407-8DCE80AECDCA}"/>
    <cellStyle name="Heading 3 3 10 3 2" xfId="8981" xr:uid="{EE450365-D930-4529-BACA-962745311A8C}"/>
    <cellStyle name="Heading 3 3 10 3 3" xfId="29043" xr:uid="{3A7EDC57-2C9A-402F-BDFE-02DE7D50C5D3}"/>
    <cellStyle name="Heading 3 3 10 4" xfId="8982" xr:uid="{A66B37CD-0545-4E87-A78B-B2DABB2527A6}"/>
    <cellStyle name="Heading 3 3 10 4 2" xfId="8983" xr:uid="{A4027790-17EA-4AA4-B84B-BEB1DC5AE2C1}"/>
    <cellStyle name="Heading 3 3 10 4 3" xfId="29044" xr:uid="{F257983E-9F35-4FD3-B564-EABCD989FF8F}"/>
    <cellStyle name="Heading 3 3 10 5" xfId="8984" xr:uid="{99A01371-8BFE-4878-9327-334AC89C174F}"/>
    <cellStyle name="Heading 3 3 10 5 2" xfId="8985" xr:uid="{8861E4D7-F844-4E2A-B7EA-9815D408DB84}"/>
    <cellStyle name="Heading 3 3 10 5 3" xfId="29045" xr:uid="{D54D528C-6F47-4E13-9B41-70288BA4E6BB}"/>
    <cellStyle name="Heading 3 3 10 6" xfId="8986" xr:uid="{5F1C9AC9-B45E-4267-B5BA-C5F7309CA4BC}"/>
    <cellStyle name="Heading 3 3 10 6 2" xfId="29046" xr:uid="{423FC531-6158-4F4D-B73D-659252EE0F2D}"/>
    <cellStyle name="Heading 3 3 10 7" xfId="8987" xr:uid="{379E0F40-EF53-4CF5-A2AD-BFF7E987B9B9}"/>
    <cellStyle name="Heading 3 3 11" xfId="8988" xr:uid="{6B95F652-DB28-4AEE-B703-678E64977418}"/>
    <cellStyle name="Heading 3 3 11 2" xfId="8989" xr:uid="{415E745B-9E95-4701-87D0-8C2F80A8005D}"/>
    <cellStyle name="Heading 3 3 11 2 2" xfId="8990" xr:uid="{65922793-8960-4278-8CB5-5F226A3B9082}"/>
    <cellStyle name="Heading 3 3 11 2 3" xfId="29047" xr:uid="{681F4170-3D91-4EE7-821E-F6C48526AA3A}"/>
    <cellStyle name="Heading 3 3 11 3" xfId="8991" xr:uid="{B692562F-8565-4129-9115-8853E3A81BB0}"/>
    <cellStyle name="Heading 3 3 11 3 2" xfId="8992" xr:uid="{F6BDFCC4-6E6A-4AC9-B667-C0E2CEE703CA}"/>
    <cellStyle name="Heading 3 3 11 3 3" xfId="29048" xr:uid="{53DDA669-D30B-446D-B24D-CEA4812366D9}"/>
    <cellStyle name="Heading 3 3 11 4" xfId="8993" xr:uid="{7959881F-C557-4819-AEB3-F728D32FD1E6}"/>
    <cellStyle name="Heading 3 3 11 4 2" xfId="8994" xr:uid="{6FAFB69A-9CE9-43C6-93AC-BC1833CF1079}"/>
    <cellStyle name="Heading 3 3 11 4 3" xfId="29049" xr:uid="{E71C1A8B-1758-41E9-BACF-25F625D0EA8B}"/>
    <cellStyle name="Heading 3 3 11 5" xfId="8995" xr:uid="{EC7B4685-7A0E-4D7E-B7F7-7B07E7AF6B90}"/>
    <cellStyle name="Heading 3 3 11 5 2" xfId="8996" xr:uid="{96D4EBA2-6642-43C4-AA7D-C7EC62CAA41C}"/>
    <cellStyle name="Heading 3 3 11 5 3" xfId="29050" xr:uid="{927258C6-2C76-450F-A278-D77146D8872A}"/>
    <cellStyle name="Heading 3 3 11 6" xfId="8997" xr:uid="{5FE5C4C8-9492-4738-A11F-D62DAC318933}"/>
    <cellStyle name="Heading 3 3 11 6 2" xfId="29051" xr:uid="{B18A8B8B-A4EA-433B-9464-F43255BF7D86}"/>
    <cellStyle name="Heading 3 3 11 7" xfId="8998" xr:uid="{332D73DE-7F6F-4CB9-A0D1-784BC3827CC8}"/>
    <cellStyle name="Heading 3 3 12" xfId="8999" xr:uid="{B4AE047C-851D-4080-A91E-89A102A3AF20}"/>
    <cellStyle name="Heading 3 3 12 2" xfId="9000" xr:uid="{251BC965-338C-4593-809E-896E7C03BE11}"/>
    <cellStyle name="Heading 3 3 12 2 2" xfId="29052" xr:uid="{0D9FFB93-C916-4155-A55F-45E6AD286F5A}"/>
    <cellStyle name="Heading 3 3 12 2 3" xfId="29053" xr:uid="{7118703B-6289-430C-99C0-71C6DBD30DC7}"/>
    <cellStyle name="Heading 3 3 12 3" xfId="9001" xr:uid="{7536AA7A-D6C6-422F-B7DD-D9F4ED8BD50E}"/>
    <cellStyle name="Heading 3 3 12 4" xfId="29054" xr:uid="{D72F5750-B023-4DD4-AB7E-D1C04872A5DC}"/>
    <cellStyle name="Heading 3 3 12 5" xfId="29055" xr:uid="{97359968-5CD3-4751-9B48-070004CE561A}"/>
    <cellStyle name="Heading 3 3 13" xfId="9002" xr:uid="{D560A0A1-843F-46BC-ACA2-2EF8A6013AEA}"/>
    <cellStyle name="Heading 3 3 13 2" xfId="9003" xr:uid="{A8F8A071-A3F5-43B5-9F20-A886CDF18571}"/>
    <cellStyle name="Heading 3 3 13 3" xfId="29056" xr:uid="{8B26C409-9249-404B-B39C-7A29F2362D68}"/>
    <cellStyle name="Heading 3 3 14" xfId="9004" xr:uid="{07E4F7AB-83D6-4BBC-9626-BCCB5681B247}"/>
    <cellStyle name="Heading 3 3 14 2" xfId="9005" xr:uid="{B9D6965D-9C29-4756-B313-681FA70E0D10}"/>
    <cellStyle name="Heading 3 3 14 3" xfId="29057" xr:uid="{E65819B5-217D-4A9B-955B-3A8DAC1E24D9}"/>
    <cellStyle name="Heading 3 3 15" xfId="9006" xr:uid="{6628BD17-58FC-41D3-A701-3DCCF5B30935}"/>
    <cellStyle name="Heading 3 3 15 2" xfId="9007" xr:uid="{46D71580-8D2A-45A8-ABA7-E98BA2F4E53F}"/>
    <cellStyle name="Heading 3 3 15 3" xfId="29058" xr:uid="{330CEA5D-A5CA-4B3C-B040-E607AC79FB7F}"/>
    <cellStyle name="Heading 3 3 16" xfId="9008" xr:uid="{D6B39108-D80B-42FE-A719-EC043190269E}"/>
    <cellStyle name="Heading 3 3 16 2" xfId="29059" xr:uid="{0DC6BC61-FAE1-44DC-B6B9-E8DF6F75A906}"/>
    <cellStyle name="Heading 3 3 17" xfId="9009" xr:uid="{0439FF04-B019-4FB2-8F6A-F2F740122A10}"/>
    <cellStyle name="Heading 3 3 18" xfId="44201" xr:uid="{F40F29C3-D4C7-48BB-B057-949E50811444}"/>
    <cellStyle name="Heading 3 3 2" xfId="9010" xr:uid="{07FB4042-0BE4-43F4-B60B-36E37C35B93D}"/>
    <cellStyle name="Heading 3 3 2 2" xfId="9011" xr:uid="{E7782EA5-4828-4EB6-853C-EB8869600FD4}"/>
    <cellStyle name="Heading 3 3 2 2 2" xfId="9012" xr:uid="{56D3EFEE-2DEC-4ED6-9A3B-1DC6BD36A6EC}"/>
    <cellStyle name="Heading 3 3 2 2 3" xfId="29060" xr:uid="{9CF5FA4F-8EC7-4A4D-9809-8AF727B6A12B}"/>
    <cellStyle name="Heading 3 3 2 3" xfId="9013" xr:uid="{510BC842-32D3-4C6D-976C-F48E91FEB80F}"/>
    <cellStyle name="Heading 3 3 2 3 2" xfId="9014" xr:uid="{6279E8C2-B6BB-49F1-BA2B-EBBCE68AB4CF}"/>
    <cellStyle name="Heading 3 3 2 3 3" xfId="29061" xr:uid="{442EE915-BFD0-4D1E-8814-1B219E347A70}"/>
    <cellStyle name="Heading 3 3 2 4" xfId="9015" xr:uid="{A2FE04D2-4937-4A36-9E4E-F72EE06A2D37}"/>
    <cellStyle name="Heading 3 3 2 4 2" xfId="9016" xr:uid="{392894B4-1AD9-4CAE-89D3-A9772A902348}"/>
    <cellStyle name="Heading 3 3 2 4 3" xfId="29062" xr:uid="{22F98F89-28D5-4CC6-B036-B4FC16B52BD0}"/>
    <cellStyle name="Heading 3 3 2 5" xfId="9017" xr:uid="{432055D4-669F-41B3-ADE1-ADEB378B18A5}"/>
    <cellStyle name="Heading 3 3 2 5 2" xfId="9018" xr:uid="{03D1FB4D-58E3-490D-A78F-D1EFC0DA0271}"/>
    <cellStyle name="Heading 3 3 2 5 3" xfId="29063" xr:uid="{9D1CAEA3-A236-4CF8-924A-91E796DF2FB1}"/>
    <cellStyle name="Heading 3 3 2 6" xfId="9019" xr:uid="{B7D13A3C-1A21-439E-A6AC-5C4513840743}"/>
    <cellStyle name="Heading 3 3 2 6 2" xfId="29064" xr:uid="{B3F15494-5E7B-472D-B9D7-D3E8971504F7}"/>
    <cellStyle name="Heading 3 3 2 7" xfId="9020" xr:uid="{843973D0-5D14-40A4-A60E-E41434184078}"/>
    <cellStyle name="Heading 3 3 2 8" xfId="29065" xr:uid="{CB8A972E-6C9E-484A-AE7D-89191F7A89C2}"/>
    <cellStyle name="Heading 3 3 3" xfId="9021" xr:uid="{0F460C9E-F536-49B9-9E70-A26971E56D85}"/>
    <cellStyle name="Heading 3 3 3 2" xfId="9022" xr:uid="{DD2853A6-DE46-481C-8146-5E26D152A3AB}"/>
    <cellStyle name="Heading 3 3 3 2 2" xfId="9023" xr:uid="{EE996422-9DB1-421B-85B6-BBC9C36A5624}"/>
    <cellStyle name="Heading 3 3 3 2 3" xfId="29066" xr:uid="{F5C5A4D3-4EA5-4BC7-A1E7-FA9A99AF2505}"/>
    <cellStyle name="Heading 3 3 3 3" xfId="9024" xr:uid="{02191B9C-58D9-4132-8C18-214CC9B2738B}"/>
    <cellStyle name="Heading 3 3 3 3 2" xfId="9025" xr:uid="{AF818A3B-AB59-419F-8C47-E7CCF1D9F5FB}"/>
    <cellStyle name="Heading 3 3 3 3 3" xfId="29067" xr:uid="{B305AF7F-D358-4B23-8411-8D5103894964}"/>
    <cellStyle name="Heading 3 3 3 4" xfId="9026" xr:uid="{756CE15E-BCDA-4E93-B458-71002D7D0CBD}"/>
    <cellStyle name="Heading 3 3 3 4 2" xfId="9027" xr:uid="{8842629E-E71E-4DE9-BAFE-23254565E0C8}"/>
    <cellStyle name="Heading 3 3 3 4 3" xfId="29068" xr:uid="{4D0AD370-490C-4FF2-9015-F21ECC15CE2D}"/>
    <cellStyle name="Heading 3 3 3 5" xfId="9028" xr:uid="{0BB6609A-70EF-4C0A-99A0-160B04FB36A3}"/>
    <cellStyle name="Heading 3 3 3 5 2" xfId="9029" xr:uid="{2B0AD128-250C-4860-B47F-E6611B461558}"/>
    <cellStyle name="Heading 3 3 3 5 3" xfId="29069" xr:uid="{392DCF89-4093-4310-8C86-8F43B90D14DE}"/>
    <cellStyle name="Heading 3 3 3 6" xfId="9030" xr:uid="{953866D9-F9CB-4244-BD55-2ACCF32B50C5}"/>
    <cellStyle name="Heading 3 3 3 6 2" xfId="29070" xr:uid="{08A81E1D-F51B-4EBB-965F-93C9EC3DB334}"/>
    <cellStyle name="Heading 3 3 3 7" xfId="9031" xr:uid="{73C925BE-93E1-47C1-959F-15BA30BA3E22}"/>
    <cellStyle name="Heading 3 3 3 8" xfId="42757" xr:uid="{870553E4-7214-4F42-A5BC-1163813DD8CF}"/>
    <cellStyle name="Heading 3 3 4" xfId="9032" xr:uid="{F82055D1-8660-4D1B-889A-73B8664B3DB7}"/>
    <cellStyle name="Heading 3 3 4 2" xfId="9033" xr:uid="{2F21E023-B77E-46BF-A21B-EBB0AC74F544}"/>
    <cellStyle name="Heading 3 3 4 2 2" xfId="9034" xr:uid="{C92DE82F-A5A0-45BE-BD83-B2ED5DC26644}"/>
    <cellStyle name="Heading 3 3 4 2 3" xfId="29071" xr:uid="{2EE91F11-4717-48F6-8B7E-BC499F9C1E68}"/>
    <cellStyle name="Heading 3 3 4 3" xfId="9035" xr:uid="{996EFF4D-5108-4153-8741-B73A6E6F4DA9}"/>
    <cellStyle name="Heading 3 3 4 3 2" xfId="9036" xr:uid="{8A3C7F17-46D4-4E81-875B-884D77F6EFA2}"/>
    <cellStyle name="Heading 3 3 4 3 3" xfId="29072" xr:uid="{86AFE6FC-69D1-4E20-8C50-FC9644C45FF2}"/>
    <cellStyle name="Heading 3 3 4 4" xfId="9037" xr:uid="{FFB236DF-7EC7-4C05-86F4-AC18F93418AE}"/>
    <cellStyle name="Heading 3 3 4 4 2" xfId="9038" xr:uid="{6ADDCECE-9B06-4FA7-BD52-491607D59BFF}"/>
    <cellStyle name="Heading 3 3 4 4 3" xfId="29073" xr:uid="{532BA365-9541-4526-9056-AA18184FB753}"/>
    <cellStyle name="Heading 3 3 4 5" xfId="9039" xr:uid="{0CA84FAB-5C95-43A3-B9CD-DF032AA78EDC}"/>
    <cellStyle name="Heading 3 3 4 5 2" xfId="9040" xr:uid="{4D56A65B-B53D-45ED-B33D-FA29F4671903}"/>
    <cellStyle name="Heading 3 3 4 5 3" xfId="29074" xr:uid="{C2C74EF9-0C0D-4FA0-93D5-A1C0932C6B55}"/>
    <cellStyle name="Heading 3 3 4 6" xfId="9041" xr:uid="{906B7719-7331-424C-81A3-CC7F716E9C2C}"/>
    <cellStyle name="Heading 3 3 4 6 2" xfId="29075" xr:uid="{CE45B739-04FE-45C0-97ED-3784FF4875C6}"/>
    <cellStyle name="Heading 3 3 4 7" xfId="9042" xr:uid="{C40949F7-5F7D-43BC-A23B-C12D030CBAAB}"/>
    <cellStyle name="Heading 3 3 5" xfId="9043" xr:uid="{CBE477A5-F707-4230-89FA-54CCF46983DA}"/>
    <cellStyle name="Heading 3 3 5 2" xfId="9044" xr:uid="{E39D3650-AAC0-480E-B2B6-D28314A5A5A4}"/>
    <cellStyle name="Heading 3 3 5 2 2" xfId="9045" xr:uid="{0D32B719-8C51-4E87-946D-CE7F8FE91FB9}"/>
    <cellStyle name="Heading 3 3 5 2 3" xfId="29076" xr:uid="{B504F576-08C4-464E-AB6D-A8E4D17F7DF4}"/>
    <cellStyle name="Heading 3 3 5 3" xfId="9046" xr:uid="{56CAE96E-C57A-44A7-A826-5536ECCE4351}"/>
    <cellStyle name="Heading 3 3 5 3 2" xfId="9047" xr:uid="{2F1CFC05-72A6-4A40-A7C7-72677BC60457}"/>
    <cellStyle name="Heading 3 3 5 3 3" xfId="29077" xr:uid="{609F7EE6-1A5A-4662-88C0-D532D3EA0FBE}"/>
    <cellStyle name="Heading 3 3 5 4" xfId="9048" xr:uid="{4DE7213B-A442-48D1-ACCC-372724BE5485}"/>
    <cellStyle name="Heading 3 3 5 4 2" xfId="9049" xr:uid="{D7CC51B9-AA86-4AD7-AEE3-7DCE7B3D0E9C}"/>
    <cellStyle name="Heading 3 3 5 4 3" xfId="29078" xr:uid="{482BD44B-932D-4B24-8AAA-6CF35C58DA3C}"/>
    <cellStyle name="Heading 3 3 5 5" xfId="9050" xr:uid="{E69C4539-54E8-49ED-8A6F-FB47603FD477}"/>
    <cellStyle name="Heading 3 3 5 5 2" xfId="9051" xr:uid="{019A6B57-F4E4-4F90-9C90-1331FCD812A9}"/>
    <cellStyle name="Heading 3 3 5 5 3" xfId="29079" xr:uid="{EBD68EA5-DC1C-42E7-8FE2-0B05FA20E364}"/>
    <cellStyle name="Heading 3 3 5 6" xfId="9052" xr:uid="{09556820-FBB2-4F76-99AE-67938EAA4BB5}"/>
    <cellStyle name="Heading 3 3 5 6 2" xfId="29080" xr:uid="{F466E701-72D4-4D6C-AF3C-2C2146D89903}"/>
    <cellStyle name="Heading 3 3 5 7" xfId="9053" xr:uid="{5A775DFB-2B5A-459C-B025-1F5D9B35E8A9}"/>
    <cellStyle name="Heading 3 3 6" xfId="9054" xr:uid="{798DFCEF-1AE7-4AA4-8F49-0713CE4EEC1B}"/>
    <cellStyle name="Heading 3 3 6 2" xfId="9055" xr:uid="{7B372945-267C-4BE8-AED8-0A112E36E10A}"/>
    <cellStyle name="Heading 3 3 6 2 2" xfId="9056" xr:uid="{416DA06B-899E-4D06-B697-8656ECFE610D}"/>
    <cellStyle name="Heading 3 3 6 2 3" xfId="29081" xr:uid="{6201DDD0-BA61-470C-9AFA-9E9620BC6CDE}"/>
    <cellStyle name="Heading 3 3 6 3" xfId="9057" xr:uid="{E7BCEACE-5F56-45B8-AA7A-8B8C2A003413}"/>
    <cellStyle name="Heading 3 3 6 3 2" xfId="9058" xr:uid="{1CF43F5B-FB7F-4C4F-A516-BA0529411FB4}"/>
    <cellStyle name="Heading 3 3 6 3 3" xfId="29082" xr:uid="{12807CFE-F9C7-4B39-B5F7-5459046699F5}"/>
    <cellStyle name="Heading 3 3 6 4" xfId="9059" xr:uid="{97DA95D4-5AF5-4606-90DB-776E1C4935C8}"/>
    <cellStyle name="Heading 3 3 6 4 2" xfId="9060" xr:uid="{458D3F57-AAF8-4D60-AEA3-91174974B6D8}"/>
    <cellStyle name="Heading 3 3 6 4 3" xfId="29083" xr:uid="{E6C0F973-380F-4781-8D3E-8C1E43BF7D83}"/>
    <cellStyle name="Heading 3 3 6 5" xfId="9061" xr:uid="{B01246F1-F244-4CD6-A52B-C20584017977}"/>
    <cellStyle name="Heading 3 3 6 5 2" xfId="9062" xr:uid="{22E04E8C-B175-46F7-8A4B-14F890F9037D}"/>
    <cellStyle name="Heading 3 3 6 5 3" xfId="29084" xr:uid="{4B49A426-A37F-4C81-9A78-468D9F8ABAFE}"/>
    <cellStyle name="Heading 3 3 6 6" xfId="9063" xr:uid="{1D63885E-E143-44A2-ABDB-D7A4B6E3F8FE}"/>
    <cellStyle name="Heading 3 3 6 6 2" xfId="29085" xr:uid="{BD6EC8D5-F944-4FEB-89C7-97C8A1765D8A}"/>
    <cellStyle name="Heading 3 3 6 7" xfId="9064" xr:uid="{B9480962-D380-428D-9820-FDE03C07DBB0}"/>
    <cellStyle name="Heading 3 3 7" xfId="9065" xr:uid="{220221EE-428E-4C29-AAEF-27E4316468AC}"/>
    <cellStyle name="Heading 3 3 7 2" xfId="9066" xr:uid="{06EFEA15-A564-43A7-834F-D653AAE8E4EA}"/>
    <cellStyle name="Heading 3 3 7 2 2" xfId="9067" xr:uid="{AC9B3A6F-65AF-4731-B707-DD7CC67B4108}"/>
    <cellStyle name="Heading 3 3 7 2 3" xfId="29086" xr:uid="{05384712-BD71-4C6E-B485-CE5A7B65C5BE}"/>
    <cellStyle name="Heading 3 3 7 3" xfId="9068" xr:uid="{649A4950-7AA4-479B-BDFB-A4B89DB6F415}"/>
    <cellStyle name="Heading 3 3 7 3 2" xfId="9069" xr:uid="{B4A950D9-109B-4A23-B80C-6289F05B2C7E}"/>
    <cellStyle name="Heading 3 3 7 3 3" xfId="29087" xr:uid="{36D155EE-C6A2-4058-A479-A2F1913B7E8D}"/>
    <cellStyle name="Heading 3 3 7 4" xfId="9070" xr:uid="{70A1D1C4-3187-4D92-92D7-AACD92B30929}"/>
    <cellStyle name="Heading 3 3 7 4 2" xfId="9071" xr:uid="{8AD256B5-7501-4E70-B015-867A66F3F54E}"/>
    <cellStyle name="Heading 3 3 7 4 3" xfId="29088" xr:uid="{C08AD2E3-46C0-4ED8-B2F6-9A2E34EE08B2}"/>
    <cellStyle name="Heading 3 3 7 5" xfId="9072" xr:uid="{4FACFFE4-8242-44F6-90F6-E78CE32D14B1}"/>
    <cellStyle name="Heading 3 3 7 5 2" xfId="9073" xr:uid="{8C4A9E3E-F64D-4920-A9AE-E4CE6614C5CC}"/>
    <cellStyle name="Heading 3 3 7 5 3" xfId="29089" xr:uid="{FB5D5C4E-BB12-405A-BF81-2C79638CDA52}"/>
    <cellStyle name="Heading 3 3 7 6" xfId="9074" xr:uid="{7942E013-4ABD-42D1-9ED4-C9F88F559FB6}"/>
    <cellStyle name="Heading 3 3 7 6 2" xfId="29090" xr:uid="{62460336-9F70-4E09-8971-1C6F340D3FBA}"/>
    <cellStyle name="Heading 3 3 7 7" xfId="9075" xr:uid="{6BE53843-4659-49E2-B581-9669BDBDF283}"/>
    <cellStyle name="Heading 3 3 8" xfId="9076" xr:uid="{E24F6349-5C95-4E9E-A06D-5FC926AEFD75}"/>
    <cellStyle name="Heading 3 3 8 2" xfId="9077" xr:uid="{F10E2879-C505-4428-8BAE-DE8B09B47731}"/>
    <cellStyle name="Heading 3 3 8 2 2" xfId="9078" xr:uid="{6867AC32-1CB6-47FD-9D75-7A30BFAD1363}"/>
    <cellStyle name="Heading 3 3 8 2 3" xfId="29091" xr:uid="{F0A9943B-D8F7-4F27-94B1-7423CBFC0C26}"/>
    <cellStyle name="Heading 3 3 8 3" xfId="9079" xr:uid="{2BEC9CC8-0174-410C-8642-7F15B4733396}"/>
    <cellStyle name="Heading 3 3 8 3 2" xfId="9080" xr:uid="{D06C5CA0-6C87-4F0C-B765-B78EBEDA664A}"/>
    <cellStyle name="Heading 3 3 8 3 3" xfId="29092" xr:uid="{B2B41A24-4B21-454F-87F8-6A716C346156}"/>
    <cellStyle name="Heading 3 3 8 4" xfId="9081" xr:uid="{D99D3FBD-3C7D-4BFA-B3EA-7DF2D785E399}"/>
    <cellStyle name="Heading 3 3 8 4 2" xfId="9082" xr:uid="{C1926309-8359-43D3-A0FA-20E0E899C6F8}"/>
    <cellStyle name="Heading 3 3 8 4 3" xfId="29093" xr:uid="{BC840EC0-0E07-402E-8351-77C1ED2C270F}"/>
    <cellStyle name="Heading 3 3 8 5" xfId="9083" xr:uid="{0C8C42A5-7D1B-4276-87A8-AFB4532E3E1B}"/>
    <cellStyle name="Heading 3 3 8 5 2" xfId="9084" xr:uid="{9C729D40-2E6F-46D4-91F4-E0CE9E2DD186}"/>
    <cellStyle name="Heading 3 3 8 5 3" xfId="29094" xr:uid="{4D124636-E765-43B5-A847-AC507650FA67}"/>
    <cellStyle name="Heading 3 3 8 6" xfId="9085" xr:uid="{E49AA9AD-0CBD-45F9-8B67-EF9F7AC8DC6D}"/>
    <cellStyle name="Heading 3 3 8 6 2" xfId="29095" xr:uid="{15AD6A11-682C-41A2-A4E3-530E3E143970}"/>
    <cellStyle name="Heading 3 3 8 7" xfId="9086" xr:uid="{2DCD2213-E7C5-4755-8CE8-8D37455F0963}"/>
    <cellStyle name="Heading 3 3 9" xfId="9087" xr:uid="{643AA8DF-3578-4D2B-A785-FD7D64312974}"/>
    <cellStyle name="Heading 3 3 9 2" xfId="9088" xr:uid="{628DF1D1-F8BD-43F5-90D5-A89E63D25E6F}"/>
    <cellStyle name="Heading 3 3 9 2 2" xfId="9089" xr:uid="{D50ED70A-104E-43FC-91EF-F642CCFCC427}"/>
    <cellStyle name="Heading 3 3 9 2 3" xfId="29096" xr:uid="{1D9FC96A-482C-4E7B-B6DC-CC55C2B1F199}"/>
    <cellStyle name="Heading 3 3 9 3" xfId="9090" xr:uid="{DAF54928-A928-4AA0-925B-C32D2E37299F}"/>
    <cellStyle name="Heading 3 3 9 3 2" xfId="9091" xr:uid="{0D94655F-CA78-44D8-9027-32F28E735541}"/>
    <cellStyle name="Heading 3 3 9 3 3" xfId="29097" xr:uid="{C2F6E94E-2291-40A5-B679-B0D799BCCB91}"/>
    <cellStyle name="Heading 3 3 9 4" xfId="9092" xr:uid="{9EA17278-9447-4E78-966D-066026B2F4BB}"/>
    <cellStyle name="Heading 3 3 9 4 2" xfId="9093" xr:uid="{EDCD59A8-289F-4B8D-B9E0-837C7B1779F7}"/>
    <cellStyle name="Heading 3 3 9 4 3" xfId="29098" xr:uid="{F6CCD922-566F-4B57-88E6-15783263168E}"/>
    <cellStyle name="Heading 3 3 9 5" xfId="9094" xr:uid="{0EA3BDEB-E9C5-4A41-8830-F2901C2E67AC}"/>
    <cellStyle name="Heading 3 3 9 5 2" xfId="9095" xr:uid="{6B0103AE-6263-47CF-896B-625CF6B345D7}"/>
    <cellStyle name="Heading 3 3 9 5 3" xfId="29099" xr:uid="{5674E37E-302D-4ABA-803B-D4E9AB4A52BC}"/>
    <cellStyle name="Heading 3 3 9 6" xfId="9096" xr:uid="{D3FEA5EF-F1E9-4158-989C-224FE063F0A5}"/>
    <cellStyle name="Heading 3 3 9 6 2" xfId="29100" xr:uid="{781917C5-6285-4093-979C-1774BBBE8C4F}"/>
    <cellStyle name="Heading 3 3 9 7" xfId="9097" xr:uid="{BBF535C4-5480-46FF-B239-EDB1B014E552}"/>
    <cellStyle name="Heading 3 30" xfId="29101" xr:uid="{24860DA6-D792-486E-B3B5-5D8A01EF027B}"/>
    <cellStyle name="Heading 3 31" xfId="29102" xr:uid="{440E36EE-A450-48EB-A283-56D28C9C8874}"/>
    <cellStyle name="Heading 3 32" xfId="29103" xr:uid="{BED9C7BF-8F00-43E6-AC25-BE84256E3762}"/>
    <cellStyle name="Heading 3 33" xfId="29104" xr:uid="{E1ECF7E6-BF89-403F-8158-D1AEF66D5A39}"/>
    <cellStyle name="Heading 3 34" xfId="29105" xr:uid="{64B82133-1773-45E3-B6CB-C3F99289D0D2}"/>
    <cellStyle name="Heading 3 35" xfId="29106" xr:uid="{5E680154-001F-414B-B615-BE005C5FEC6C}"/>
    <cellStyle name="Heading 3 36" xfId="29107" xr:uid="{F354DF9A-3E50-4152-947F-AF4E658F9234}"/>
    <cellStyle name="Heading 3 37" xfId="29108" xr:uid="{3B5F577E-3E3F-47EF-A6D3-BCB7BE9528C2}"/>
    <cellStyle name="Heading 3 38" xfId="29109" xr:uid="{53F56A62-9E13-4BA4-AC0D-86EB17067A2A}"/>
    <cellStyle name="Heading 3 39" xfId="29110" xr:uid="{713F4AFD-E1FF-4FC1-84DA-9161503E7350}"/>
    <cellStyle name="Heading 3 4" xfId="9098" xr:uid="{6516C0DA-A991-47BC-9A1D-A31C9752B51F}"/>
    <cellStyle name="Heading 3 4 10" xfId="9099" xr:uid="{4B75E217-B52B-492A-8356-DF744E4978FD}"/>
    <cellStyle name="Heading 3 4 10 2" xfId="9100" xr:uid="{9B79649E-A3CB-41A8-924E-47D80182142A}"/>
    <cellStyle name="Heading 3 4 10 2 2" xfId="9101" xr:uid="{C136E3A5-34D9-4394-BD94-B9D41D1E0E69}"/>
    <cellStyle name="Heading 3 4 10 2 3" xfId="29111" xr:uid="{2E64A501-955D-4420-AD3A-F37EC19DBF01}"/>
    <cellStyle name="Heading 3 4 10 3" xfId="9102" xr:uid="{365FDB80-9BD1-4065-82B2-567F132A1F78}"/>
    <cellStyle name="Heading 3 4 10 3 2" xfId="9103" xr:uid="{C2E90D49-80CB-4022-927C-F979E890B5B2}"/>
    <cellStyle name="Heading 3 4 10 3 3" xfId="29112" xr:uid="{DD44004D-8718-4574-86C6-B493BB8A8AFF}"/>
    <cellStyle name="Heading 3 4 10 4" xfId="9104" xr:uid="{E7F707AB-54AD-4249-938C-7A95AAF702EE}"/>
    <cellStyle name="Heading 3 4 10 4 2" xfId="9105" xr:uid="{F3CC11F7-7131-4867-8452-8CF8A1E012A6}"/>
    <cellStyle name="Heading 3 4 10 4 3" xfId="29113" xr:uid="{DE69546F-153D-4DE0-BBD5-242CC43679A4}"/>
    <cellStyle name="Heading 3 4 10 5" xfId="9106" xr:uid="{EFF11937-5528-49E1-BCF2-52A22440BA5D}"/>
    <cellStyle name="Heading 3 4 10 5 2" xfId="9107" xr:uid="{B6DAE51E-962D-42BC-A88C-D3E30C14191F}"/>
    <cellStyle name="Heading 3 4 10 5 3" xfId="29114" xr:uid="{3D39281F-564B-42E1-9DBF-341A1254B70B}"/>
    <cellStyle name="Heading 3 4 10 6" xfId="9108" xr:uid="{1F73919A-B519-4793-84A0-C6C669E3B578}"/>
    <cellStyle name="Heading 3 4 10 6 2" xfId="29115" xr:uid="{54E0F0A9-052E-4887-B8BC-E7C4B0AD9203}"/>
    <cellStyle name="Heading 3 4 10 7" xfId="9109" xr:uid="{5ADFF73F-5189-4B4A-B9E4-77B50D0B5AC8}"/>
    <cellStyle name="Heading 3 4 11" xfId="9110" xr:uid="{AC943BD2-1A54-4E99-8036-96B952A13483}"/>
    <cellStyle name="Heading 3 4 11 2" xfId="9111" xr:uid="{02D2CBEF-9826-461E-AAC9-713002B4D105}"/>
    <cellStyle name="Heading 3 4 11 2 2" xfId="9112" xr:uid="{7211FB13-04C6-4A23-92CE-54DE588042C4}"/>
    <cellStyle name="Heading 3 4 11 2 3" xfId="29116" xr:uid="{29E702A1-BD4E-47CF-838B-913486419F83}"/>
    <cellStyle name="Heading 3 4 11 3" xfId="9113" xr:uid="{C0032D60-9344-4A38-8059-900902FFA5FD}"/>
    <cellStyle name="Heading 3 4 11 3 2" xfId="9114" xr:uid="{A6848030-1110-470E-AE36-F966239E3C7C}"/>
    <cellStyle name="Heading 3 4 11 3 3" xfId="29117" xr:uid="{81BFB58B-86DE-40CD-96BF-C456BF89C6EA}"/>
    <cellStyle name="Heading 3 4 11 4" xfId="9115" xr:uid="{10DA6985-A169-46CC-B7DB-B6823C458DD4}"/>
    <cellStyle name="Heading 3 4 11 4 2" xfId="9116" xr:uid="{20A3F687-F6CF-4C22-B656-CAC0F3052D59}"/>
    <cellStyle name="Heading 3 4 11 4 3" xfId="29118" xr:uid="{04FF479D-F536-4A04-AB7D-119B6E7154CE}"/>
    <cellStyle name="Heading 3 4 11 5" xfId="9117" xr:uid="{60B7932A-B808-49C7-B747-5989553ACE4D}"/>
    <cellStyle name="Heading 3 4 11 5 2" xfId="9118" xr:uid="{22633FF7-FB9E-45D3-B552-D3329CB0E59C}"/>
    <cellStyle name="Heading 3 4 11 5 3" xfId="29119" xr:uid="{B53997B9-D41D-4D2A-AF6E-8326D43EA697}"/>
    <cellStyle name="Heading 3 4 11 6" xfId="9119" xr:uid="{027F6F3B-3D48-4622-8DC3-CBEB7E3B519D}"/>
    <cellStyle name="Heading 3 4 11 6 2" xfId="29120" xr:uid="{74A86C6E-7E74-46EC-AACD-A3F7186F7480}"/>
    <cellStyle name="Heading 3 4 11 7" xfId="9120" xr:uid="{D7B0F6E9-6F84-41AA-AF94-F0FBC8FF8E41}"/>
    <cellStyle name="Heading 3 4 12" xfId="9121" xr:uid="{D772A6F2-8832-4631-820F-E4D2B179BF56}"/>
    <cellStyle name="Heading 3 4 12 2" xfId="9122" xr:uid="{68C9238B-D488-471E-BEE0-1E0998ABBA0B}"/>
    <cellStyle name="Heading 3 4 12 3" xfId="29121" xr:uid="{986403B0-B067-4B09-99B3-35F6DD51C8B0}"/>
    <cellStyle name="Heading 3 4 13" xfId="9123" xr:uid="{7682919E-8B1F-4875-91A1-F56634C8DC2E}"/>
    <cellStyle name="Heading 3 4 13 2" xfId="9124" xr:uid="{BE8A734B-1E96-41E3-855F-84E4B6D74D80}"/>
    <cellStyle name="Heading 3 4 13 3" xfId="29122" xr:uid="{CC85C337-0B28-4AEB-8412-A119D1564AD6}"/>
    <cellStyle name="Heading 3 4 14" xfId="9125" xr:uid="{A9D66530-46CD-474A-814E-64A948247ABF}"/>
    <cellStyle name="Heading 3 4 14 2" xfId="9126" xr:uid="{C5AFF72A-B618-4C67-BDD9-35904C7307AA}"/>
    <cellStyle name="Heading 3 4 14 3" xfId="29123" xr:uid="{E7AA0570-59EF-4A15-B067-F16DE725F6E2}"/>
    <cellStyle name="Heading 3 4 15" xfId="9127" xr:uid="{4733DD02-209E-41E1-9CE8-615F27CD0724}"/>
    <cellStyle name="Heading 3 4 15 2" xfId="9128" xr:uid="{AF7EE425-29A5-40F1-92B6-BC2B012E0633}"/>
    <cellStyle name="Heading 3 4 15 3" xfId="29124" xr:uid="{D474184F-9776-4FA3-86B6-76239A81B42F}"/>
    <cellStyle name="Heading 3 4 16" xfId="9129" xr:uid="{6ADEA61E-DBE0-4A16-8AB4-8AAAD32D0CDE}"/>
    <cellStyle name="Heading 3 4 16 2" xfId="29125" xr:uid="{A95B88C6-9D87-486D-886C-0147B2C70C1E}"/>
    <cellStyle name="Heading 3 4 17" xfId="9130" xr:uid="{8934FAD5-63AE-4C90-AA7A-B0383F96F131}"/>
    <cellStyle name="Heading 3 4 2" xfId="9131" xr:uid="{819AE2B8-3727-459C-8657-D8159C00EB63}"/>
    <cellStyle name="Heading 3 4 2 2" xfId="9132" xr:uid="{27BD0088-07C1-4301-AFC1-44CF7C0B72D5}"/>
    <cellStyle name="Heading 3 4 2 2 2" xfId="9133" xr:uid="{0C5B38C7-B146-4D9A-9AAD-9A10E3F0B61B}"/>
    <cellStyle name="Heading 3 4 2 2 3" xfId="29126" xr:uid="{94643C6C-729F-4991-847F-037FA16FB16B}"/>
    <cellStyle name="Heading 3 4 2 3" xfId="9134" xr:uid="{01BAC45E-6A59-45EA-AC71-C2B4AE8736BF}"/>
    <cellStyle name="Heading 3 4 2 3 2" xfId="9135" xr:uid="{22F390CC-2026-4F1A-A019-988D24DBA222}"/>
    <cellStyle name="Heading 3 4 2 3 3" xfId="29127" xr:uid="{B2304108-EA3A-40D0-A7AE-2EA81FE0E5C0}"/>
    <cellStyle name="Heading 3 4 2 4" xfId="9136" xr:uid="{07286A52-FF78-49F3-8A2E-2E1DDD7EBCE8}"/>
    <cellStyle name="Heading 3 4 2 4 2" xfId="9137" xr:uid="{6AFCC8F4-3A95-4AC3-9994-CA913B720E6B}"/>
    <cellStyle name="Heading 3 4 2 4 3" xfId="29128" xr:uid="{F8E42D0F-BCE8-4E72-B055-C958597B3D8C}"/>
    <cellStyle name="Heading 3 4 2 5" xfId="9138" xr:uid="{CE7E3B73-AF2A-4FD0-8638-234F7E1066CC}"/>
    <cellStyle name="Heading 3 4 2 5 2" xfId="9139" xr:uid="{8FC3B478-9202-45C9-A9B2-2C4259F8A975}"/>
    <cellStyle name="Heading 3 4 2 5 3" xfId="29129" xr:uid="{928308CF-3901-437C-AC9F-C3C7CE9F5F6F}"/>
    <cellStyle name="Heading 3 4 2 6" xfId="9140" xr:uid="{37A12B7E-4294-491A-8FEC-20D373FB1040}"/>
    <cellStyle name="Heading 3 4 2 6 2" xfId="29130" xr:uid="{C8E244EE-27F2-4684-A09A-8655BE372DFF}"/>
    <cellStyle name="Heading 3 4 2 7" xfId="9141" xr:uid="{01ADE672-1A16-45EB-A5AF-50FF30B0DDB4}"/>
    <cellStyle name="Heading 3 4 3" xfId="9142" xr:uid="{71A26528-8F82-4D29-948B-ED84113D31D7}"/>
    <cellStyle name="Heading 3 4 3 2" xfId="9143" xr:uid="{2B6DF29D-A67E-4C47-B3EA-6C8038E4B28F}"/>
    <cellStyle name="Heading 3 4 3 2 2" xfId="9144" xr:uid="{2BFABDD8-73E3-4C86-B938-AD23B4405C0F}"/>
    <cellStyle name="Heading 3 4 3 2 3" xfId="29131" xr:uid="{D04492B2-DC4F-4E48-95C3-DA83D7F091F8}"/>
    <cellStyle name="Heading 3 4 3 3" xfId="9145" xr:uid="{EB2E08E6-A23E-4412-80DB-713E0565754E}"/>
    <cellStyle name="Heading 3 4 3 3 2" xfId="9146" xr:uid="{0FD9D60A-A9B8-4036-A506-E916C4B24B0D}"/>
    <cellStyle name="Heading 3 4 3 3 3" xfId="29132" xr:uid="{98F848E0-7B82-4CB3-A9C0-2B0F27B2E2EB}"/>
    <cellStyle name="Heading 3 4 3 4" xfId="9147" xr:uid="{15D20611-6B96-46F7-8571-5A7AD445F28D}"/>
    <cellStyle name="Heading 3 4 3 4 2" xfId="9148" xr:uid="{2099371D-E22E-4DE2-B68E-ABFE7B22240C}"/>
    <cellStyle name="Heading 3 4 3 4 3" xfId="29133" xr:uid="{92F836BC-48FA-433E-B20B-C4AC48203DA0}"/>
    <cellStyle name="Heading 3 4 3 5" xfId="9149" xr:uid="{F40120C5-7BF7-40E4-B873-50367DC10158}"/>
    <cellStyle name="Heading 3 4 3 5 2" xfId="9150" xr:uid="{2B07AF4E-6B7B-4AA8-B7E0-F69C21E289BE}"/>
    <cellStyle name="Heading 3 4 3 5 3" xfId="29134" xr:uid="{C971CDE5-3996-41B2-8760-1693890B0DF7}"/>
    <cellStyle name="Heading 3 4 3 6" xfId="9151" xr:uid="{0AF6EECA-21DD-4CDE-9598-918FFCE7BB02}"/>
    <cellStyle name="Heading 3 4 3 6 2" xfId="29135" xr:uid="{E04D39B6-F0CF-4257-8A9A-FB10E3DBAC14}"/>
    <cellStyle name="Heading 3 4 3 7" xfId="9152" xr:uid="{D7C7A0FA-66B4-4E23-A551-6B300DF82735}"/>
    <cellStyle name="Heading 3 4 4" xfId="9153" xr:uid="{424A25BA-1498-4A22-8C2D-30EA3ABB125D}"/>
    <cellStyle name="Heading 3 4 4 2" xfId="9154" xr:uid="{11B3DCAE-DA9E-445D-A828-FD89ED94EBB0}"/>
    <cellStyle name="Heading 3 4 4 2 2" xfId="9155" xr:uid="{AD376906-13F3-4DD8-B6F9-9BB43DCCA062}"/>
    <cellStyle name="Heading 3 4 4 2 3" xfId="29136" xr:uid="{7DB7F4E8-2541-469E-8AF1-9882A0335DE0}"/>
    <cellStyle name="Heading 3 4 4 3" xfId="9156" xr:uid="{E07F199B-7AE8-4EB3-8A71-812AA19B932C}"/>
    <cellStyle name="Heading 3 4 4 3 2" xfId="9157" xr:uid="{9BC9E9EA-9B7D-4F3F-9AF3-D87361DEDB63}"/>
    <cellStyle name="Heading 3 4 4 3 3" xfId="29137" xr:uid="{DADF748A-85CF-473B-ADAA-DC3B6C89FFC4}"/>
    <cellStyle name="Heading 3 4 4 4" xfId="9158" xr:uid="{A1BCA186-AFA0-4463-97DF-EC3F07D52C07}"/>
    <cellStyle name="Heading 3 4 4 4 2" xfId="9159" xr:uid="{1BE90013-7418-465C-82E4-ED2F9CCB547B}"/>
    <cellStyle name="Heading 3 4 4 4 3" xfId="29138" xr:uid="{AB44A5E2-1C7A-4976-B05C-4CB583D39ACD}"/>
    <cellStyle name="Heading 3 4 4 5" xfId="9160" xr:uid="{674A85B6-C025-4246-AF4E-63C6A8882157}"/>
    <cellStyle name="Heading 3 4 4 5 2" xfId="9161" xr:uid="{62BC569C-2DBC-406C-91CA-BAA655AE7928}"/>
    <cellStyle name="Heading 3 4 4 5 3" xfId="29139" xr:uid="{78CA2D6F-72F0-4A05-BC32-1D0FDDBA02F5}"/>
    <cellStyle name="Heading 3 4 4 6" xfId="9162" xr:uid="{4442EE23-29FC-4971-ADE4-A13C4C57730F}"/>
    <cellStyle name="Heading 3 4 4 6 2" xfId="29140" xr:uid="{4F577BAD-50B8-4A03-AC3B-7051E5DDFEEB}"/>
    <cellStyle name="Heading 3 4 4 7" xfId="9163" xr:uid="{108EFD7B-093D-4555-8E35-D62AB492C4C1}"/>
    <cellStyle name="Heading 3 4 5" xfId="9164" xr:uid="{DE0855BD-DF43-44B6-BEF6-FE6E551A69C0}"/>
    <cellStyle name="Heading 3 4 5 2" xfId="9165" xr:uid="{A9272DCF-8156-4EEB-9B6A-1E237820F438}"/>
    <cellStyle name="Heading 3 4 5 2 2" xfId="9166" xr:uid="{0855AE3A-ACFE-43B2-8535-737E39F48CCD}"/>
    <cellStyle name="Heading 3 4 5 2 3" xfId="29141" xr:uid="{4EF0115C-FB8C-46EE-AA95-4379CD4B60F1}"/>
    <cellStyle name="Heading 3 4 5 3" xfId="9167" xr:uid="{76299FB5-3032-4CDF-9FAC-0CB15EC4E15F}"/>
    <cellStyle name="Heading 3 4 5 3 2" xfId="9168" xr:uid="{EC4AE2C6-C14F-4FCF-99F9-24905C2545EB}"/>
    <cellStyle name="Heading 3 4 5 3 3" xfId="29142" xr:uid="{F9A6DEF7-1295-430F-9064-CD9C9CF68089}"/>
    <cellStyle name="Heading 3 4 5 4" xfId="9169" xr:uid="{BD490DE4-2553-44F8-8890-F4BD53B3FCE7}"/>
    <cellStyle name="Heading 3 4 5 4 2" xfId="9170" xr:uid="{1FA07687-99B0-4F97-A1FA-FF84C69E58D8}"/>
    <cellStyle name="Heading 3 4 5 4 3" xfId="29143" xr:uid="{E08E5B1C-82A5-46F1-98EA-B5E5A116D18C}"/>
    <cellStyle name="Heading 3 4 5 5" xfId="9171" xr:uid="{94038040-06EC-4030-B423-874D82DD8B5A}"/>
    <cellStyle name="Heading 3 4 5 5 2" xfId="9172" xr:uid="{F0CB822C-88ED-44E3-914A-9C376171DB8E}"/>
    <cellStyle name="Heading 3 4 5 5 3" xfId="29144" xr:uid="{C1673317-CD6D-4C60-AFDE-4F9D5375737D}"/>
    <cellStyle name="Heading 3 4 5 6" xfId="9173" xr:uid="{60D18D1F-762E-4192-A10F-5BDAC4358439}"/>
    <cellStyle name="Heading 3 4 5 6 2" xfId="29145" xr:uid="{7E8A634A-87FF-4E07-9300-610B83D8D453}"/>
    <cellStyle name="Heading 3 4 5 7" xfId="9174" xr:uid="{4B107CEC-9511-4517-807D-CCA38BB1DC59}"/>
    <cellStyle name="Heading 3 4 6" xfId="9175" xr:uid="{1AFBDF63-B0EA-4865-9655-B1378C00FB1F}"/>
    <cellStyle name="Heading 3 4 6 2" xfId="9176" xr:uid="{63ED5F5A-350F-42BD-87D6-C638EDF6D6B5}"/>
    <cellStyle name="Heading 3 4 6 2 2" xfId="9177" xr:uid="{63CADA51-3128-4184-9BF2-5B988957704A}"/>
    <cellStyle name="Heading 3 4 6 2 3" xfId="29146" xr:uid="{B45CBDC7-5172-4CE4-B472-C8DCE70575F5}"/>
    <cellStyle name="Heading 3 4 6 3" xfId="9178" xr:uid="{80937839-63F2-442D-B1CB-9144819072D5}"/>
    <cellStyle name="Heading 3 4 6 3 2" xfId="9179" xr:uid="{70859F10-CF47-4CFD-BFD2-BA5A56B678B7}"/>
    <cellStyle name="Heading 3 4 6 3 3" xfId="29147" xr:uid="{AC99C5DA-2E6F-4E4A-B442-8F4CA70D9749}"/>
    <cellStyle name="Heading 3 4 6 4" xfId="9180" xr:uid="{63C3A80A-0831-4C75-8497-05381F14845B}"/>
    <cellStyle name="Heading 3 4 6 4 2" xfId="9181" xr:uid="{603CA3A3-E5F3-4008-93C6-2A27FE85ED1F}"/>
    <cellStyle name="Heading 3 4 6 4 3" xfId="29148" xr:uid="{A863B14F-9163-44AB-9968-9F42B692B564}"/>
    <cellStyle name="Heading 3 4 6 5" xfId="9182" xr:uid="{70D44410-2C01-4EFF-BB95-DB451FFEC96E}"/>
    <cellStyle name="Heading 3 4 6 5 2" xfId="9183" xr:uid="{D01DC340-000A-4827-902E-378614E848FF}"/>
    <cellStyle name="Heading 3 4 6 5 3" xfId="29149" xr:uid="{C2709D5E-AAFA-48D7-ADB7-48790BC10F2C}"/>
    <cellStyle name="Heading 3 4 6 6" xfId="9184" xr:uid="{1464E833-2011-4F22-8B96-5219C412CE70}"/>
    <cellStyle name="Heading 3 4 6 6 2" xfId="29150" xr:uid="{AA716696-63CE-4041-8F96-FB5529AEFD8C}"/>
    <cellStyle name="Heading 3 4 6 7" xfId="9185" xr:uid="{3D3DAAF3-2548-40A0-AB53-7377574A599F}"/>
    <cellStyle name="Heading 3 4 7" xfId="9186" xr:uid="{B94497B3-C051-4941-B9CA-0D61587248F6}"/>
    <cellStyle name="Heading 3 4 7 2" xfId="9187" xr:uid="{2D4A9A9A-CFAD-4D95-9AB0-4C1EA07F447C}"/>
    <cellStyle name="Heading 3 4 7 2 2" xfId="9188" xr:uid="{4F46CA14-0028-40BF-AA70-DA92330D9CE2}"/>
    <cellStyle name="Heading 3 4 7 2 3" xfId="29151" xr:uid="{4983ADF0-9187-4B46-B4DD-D3E4D97F55DB}"/>
    <cellStyle name="Heading 3 4 7 3" xfId="9189" xr:uid="{A0457273-BFBD-42CC-99FE-1D7EEEE59C71}"/>
    <cellStyle name="Heading 3 4 7 3 2" xfId="9190" xr:uid="{36025AC8-2C75-4031-A0E2-B861C655E9DA}"/>
    <cellStyle name="Heading 3 4 7 3 3" xfId="29152" xr:uid="{FA968438-B12D-4E13-860B-C067BD3D7466}"/>
    <cellStyle name="Heading 3 4 7 4" xfId="9191" xr:uid="{692B04DE-E582-4168-8E0F-CD4FB0DF14FE}"/>
    <cellStyle name="Heading 3 4 7 4 2" xfId="9192" xr:uid="{C1A443F0-7663-44C0-B049-E4E9C2646D75}"/>
    <cellStyle name="Heading 3 4 7 4 3" xfId="29153" xr:uid="{14F459AF-2524-4BED-A1A8-7E1E8CE39FED}"/>
    <cellStyle name="Heading 3 4 7 5" xfId="9193" xr:uid="{65C189B6-ABF2-4474-8E5B-F902036EDD78}"/>
    <cellStyle name="Heading 3 4 7 5 2" xfId="9194" xr:uid="{0552C23A-183A-4510-839E-F5B62848A174}"/>
    <cellStyle name="Heading 3 4 7 5 3" xfId="29154" xr:uid="{D256686B-782D-4080-8061-63FC50BEDB85}"/>
    <cellStyle name="Heading 3 4 7 6" xfId="9195" xr:uid="{C3EC0091-CEF8-47AC-B8B6-3B652E93FDF5}"/>
    <cellStyle name="Heading 3 4 7 6 2" xfId="29155" xr:uid="{68AC086D-C9AA-4A0F-9892-938A8336005D}"/>
    <cellStyle name="Heading 3 4 7 7" xfId="9196" xr:uid="{32659455-FF66-44B2-8AD9-C99064DDAEA3}"/>
    <cellStyle name="Heading 3 4 8" xfId="9197" xr:uid="{DEDDE58B-7AA2-48B4-9247-5D496E3051A1}"/>
    <cellStyle name="Heading 3 4 8 2" xfId="9198" xr:uid="{E0BEE064-DF9B-44D3-962B-35E5BAB465CF}"/>
    <cellStyle name="Heading 3 4 8 2 2" xfId="9199" xr:uid="{3D3952CC-AA18-4B10-BCE8-7B70C35B76B8}"/>
    <cellStyle name="Heading 3 4 8 2 3" xfId="29156" xr:uid="{7BAF236C-6CB5-4744-943A-56739220594E}"/>
    <cellStyle name="Heading 3 4 8 3" xfId="9200" xr:uid="{366C8235-CAC5-48F8-99AD-E45E8A609985}"/>
    <cellStyle name="Heading 3 4 8 3 2" xfId="9201" xr:uid="{1BC213F6-F018-48AE-9A37-11DAC0285971}"/>
    <cellStyle name="Heading 3 4 8 3 3" xfId="29157" xr:uid="{27107AFC-D0E6-4743-9A43-760B40D62D24}"/>
    <cellStyle name="Heading 3 4 8 4" xfId="9202" xr:uid="{8E4B5BAA-1867-4143-8E94-5862F9551876}"/>
    <cellStyle name="Heading 3 4 8 4 2" xfId="9203" xr:uid="{D37E1DEF-B15F-4F3A-9BC0-CC4D0B5F2E25}"/>
    <cellStyle name="Heading 3 4 8 4 3" xfId="29158" xr:uid="{78FF822E-23C8-45C6-BEB4-10EEABFC03BF}"/>
    <cellStyle name="Heading 3 4 8 5" xfId="9204" xr:uid="{442D91AC-DFE4-42BC-84EC-023E4F4FB00C}"/>
    <cellStyle name="Heading 3 4 8 5 2" xfId="9205" xr:uid="{7A81EDFC-AEBA-4108-B766-52C868F74AFB}"/>
    <cellStyle name="Heading 3 4 8 5 3" xfId="29159" xr:uid="{B2B33763-1DCF-463F-B90A-83E81C90D675}"/>
    <cellStyle name="Heading 3 4 8 6" xfId="9206" xr:uid="{8276B9B0-416A-471B-BD55-965E0866C712}"/>
    <cellStyle name="Heading 3 4 8 6 2" xfId="29160" xr:uid="{C63FFCDB-010A-48DB-B59B-463A3E1136E0}"/>
    <cellStyle name="Heading 3 4 8 7" xfId="9207" xr:uid="{68B38CEF-B7D6-46AD-B75C-9E52A4D2A615}"/>
    <cellStyle name="Heading 3 4 9" xfId="9208" xr:uid="{5F1E1449-C428-4638-B00A-89B37AF03F69}"/>
    <cellStyle name="Heading 3 4 9 2" xfId="9209" xr:uid="{E07B2355-3B4E-4AF1-9EC6-9A2FF9EEB6BF}"/>
    <cellStyle name="Heading 3 4 9 2 2" xfId="9210" xr:uid="{B5A03FD5-34B5-4E99-8239-1E220D13B945}"/>
    <cellStyle name="Heading 3 4 9 2 3" xfId="29161" xr:uid="{EC54D8BD-06A2-43A2-BB58-848BC8F9354A}"/>
    <cellStyle name="Heading 3 4 9 3" xfId="9211" xr:uid="{7DA93E82-ACA2-4538-BA54-23C66462AA00}"/>
    <cellStyle name="Heading 3 4 9 3 2" xfId="9212" xr:uid="{28840B59-B6FD-400E-A7AD-B9ACF7AFB1C6}"/>
    <cellStyle name="Heading 3 4 9 3 3" xfId="29162" xr:uid="{365A3E93-2993-4877-8854-3D44E52C1B58}"/>
    <cellStyle name="Heading 3 4 9 4" xfId="9213" xr:uid="{6057EF07-1708-438C-BEF0-FF31C77560B1}"/>
    <cellStyle name="Heading 3 4 9 4 2" xfId="9214" xr:uid="{4CC31385-A8F7-48C4-8732-807A85D61037}"/>
    <cellStyle name="Heading 3 4 9 4 3" xfId="29163" xr:uid="{88095887-AE5A-40BC-95DC-F0E72AFF6747}"/>
    <cellStyle name="Heading 3 4 9 5" xfId="9215" xr:uid="{AD8D843E-AC79-44CA-8523-6F42B23D775F}"/>
    <cellStyle name="Heading 3 4 9 5 2" xfId="9216" xr:uid="{698ACDCC-F2D0-45E5-9168-41AC7B146BEA}"/>
    <cellStyle name="Heading 3 4 9 5 3" xfId="29164" xr:uid="{63B2C6D0-5876-44C5-A517-D4FB25128EAF}"/>
    <cellStyle name="Heading 3 4 9 6" xfId="9217" xr:uid="{EA33DA5E-A029-4A63-B054-B358A728A5FA}"/>
    <cellStyle name="Heading 3 4 9 6 2" xfId="29165" xr:uid="{1F842FD8-BA57-4CB9-AFC9-037A597336C7}"/>
    <cellStyle name="Heading 3 4 9 7" xfId="9218" xr:uid="{C1B3452F-E018-43EC-914E-0D69F8C90387}"/>
    <cellStyle name="Heading 3 40" xfId="29166" xr:uid="{9ABF0747-F72B-4ED3-9AD9-48B207559C54}"/>
    <cellStyle name="Heading 3 41" xfId="29167" xr:uid="{00A74711-729B-43E5-A096-F2684D037BD1}"/>
    <cellStyle name="Heading 3 42" xfId="45853" xr:uid="{54D9D1D7-78F9-4896-88A4-E36CC13641A2}"/>
    <cellStyle name="Heading 3 5" xfId="9219" xr:uid="{E40CDFFB-31B9-41E2-A834-33EA0599E665}"/>
    <cellStyle name="Heading 3 5 10" xfId="9220" xr:uid="{831DB28B-8E51-4FF6-9D7F-EEBEE91504B8}"/>
    <cellStyle name="Heading 3 5 10 2" xfId="9221" xr:uid="{A490F358-CC68-4C76-8E88-0AA1EED804E9}"/>
    <cellStyle name="Heading 3 5 10 2 2" xfId="9222" xr:uid="{48BE8A30-CB3A-4A28-AF58-BF4298C81B64}"/>
    <cellStyle name="Heading 3 5 10 2 3" xfId="29168" xr:uid="{2FB0ED8A-38F9-4C58-B847-B288D7F160E7}"/>
    <cellStyle name="Heading 3 5 10 3" xfId="9223" xr:uid="{2ABF4358-BC79-4DAC-BD23-6D06835265C8}"/>
    <cellStyle name="Heading 3 5 10 3 2" xfId="9224" xr:uid="{64FB6D15-D058-42F5-A97F-B0DE6FC9943B}"/>
    <cellStyle name="Heading 3 5 10 3 3" xfId="29169" xr:uid="{52692792-6E7F-49D1-BBAE-6A6AC5581D5E}"/>
    <cellStyle name="Heading 3 5 10 4" xfId="9225" xr:uid="{30512DF4-90FC-468D-8FCB-8CC80406EE55}"/>
    <cellStyle name="Heading 3 5 10 4 2" xfId="9226" xr:uid="{E595F25B-9152-4978-872D-6F83E72C1279}"/>
    <cellStyle name="Heading 3 5 10 4 3" xfId="29170" xr:uid="{6B9C70F1-0B09-4183-B605-7D786386D062}"/>
    <cellStyle name="Heading 3 5 10 5" xfId="9227" xr:uid="{64C39D6A-2EB2-48EA-B437-3E11370951D3}"/>
    <cellStyle name="Heading 3 5 10 5 2" xfId="9228" xr:uid="{EA28A465-97F2-4E38-AFA4-F07511AD7AB4}"/>
    <cellStyle name="Heading 3 5 10 5 3" xfId="29171" xr:uid="{0803D37F-AA9A-40AE-BB8D-617BFF3AF601}"/>
    <cellStyle name="Heading 3 5 10 6" xfId="9229" xr:uid="{4FEBC78A-55B8-4011-AED8-49E84E9E7B9E}"/>
    <cellStyle name="Heading 3 5 10 6 2" xfId="29172" xr:uid="{DA5BBF59-BA10-4E63-9E8A-E66F9AFF6F8B}"/>
    <cellStyle name="Heading 3 5 10 7" xfId="9230" xr:uid="{9CD62AB9-CF6C-4B0E-B217-DD7CBA3A7673}"/>
    <cellStyle name="Heading 3 5 11" xfId="9231" xr:uid="{BC488A67-0254-4DF8-8016-679A4F6E3B56}"/>
    <cellStyle name="Heading 3 5 11 2" xfId="9232" xr:uid="{C550469A-4328-4A5F-A536-C0D49E15ACD7}"/>
    <cellStyle name="Heading 3 5 11 2 2" xfId="9233" xr:uid="{3398B806-73C7-42CE-BFD9-C9FCFC9C1384}"/>
    <cellStyle name="Heading 3 5 11 2 3" xfId="29173" xr:uid="{1184BA9C-627A-4F33-B8FB-972B63EC4F90}"/>
    <cellStyle name="Heading 3 5 11 3" xfId="9234" xr:uid="{4A365A8C-89F7-461D-88CA-E4DAB493C505}"/>
    <cellStyle name="Heading 3 5 11 3 2" xfId="9235" xr:uid="{43645882-4110-4F77-984A-664A0356EAD4}"/>
    <cellStyle name="Heading 3 5 11 3 3" xfId="29174" xr:uid="{40D88943-EAC7-46B4-A1D6-5669DE277304}"/>
    <cellStyle name="Heading 3 5 11 4" xfId="9236" xr:uid="{04EB8826-FAD6-4E39-A0B0-CD3048EAFE73}"/>
    <cellStyle name="Heading 3 5 11 4 2" xfId="9237" xr:uid="{30A15D39-7C70-4BDD-B3FD-8137D69A7713}"/>
    <cellStyle name="Heading 3 5 11 4 3" xfId="29175" xr:uid="{1116EE53-B8D2-4F19-A69A-772551CAE456}"/>
    <cellStyle name="Heading 3 5 11 5" xfId="9238" xr:uid="{4636798E-D801-438B-9851-E9F5E24274F9}"/>
    <cellStyle name="Heading 3 5 11 5 2" xfId="9239" xr:uid="{F7C477E5-354F-4CF4-9C46-88E4996A0962}"/>
    <cellStyle name="Heading 3 5 11 5 3" xfId="29176" xr:uid="{5063DF09-C561-4DDB-B485-A80B0833D609}"/>
    <cellStyle name="Heading 3 5 11 6" xfId="9240" xr:uid="{C6EADCD6-EFDA-4395-9434-F5F62998E2C6}"/>
    <cellStyle name="Heading 3 5 11 6 2" xfId="29177" xr:uid="{EFDC8DF0-0DA9-4D4B-86CE-84130619B36E}"/>
    <cellStyle name="Heading 3 5 11 7" xfId="9241" xr:uid="{782B48AF-6478-4493-B01F-3CCBDB848EAA}"/>
    <cellStyle name="Heading 3 5 12" xfId="9242" xr:uid="{E730E21B-EE83-4C9C-BB90-D16DA8AAFF06}"/>
    <cellStyle name="Heading 3 5 12 2" xfId="9243" xr:uid="{F54ED76D-478F-4938-AF19-C4542EC2F7AB}"/>
    <cellStyle name="Heading 3 5 12 3" xfId="29178" xr:uid="{9AF22784-A4A4-45D7-8A36-BD84E5F7E428}"/>
    <cellStyle name="Heading 3 5 13" xfId="9244" xr:uid="{B0F19844-1D71-4D51-8007-1EE37CA389D8}"/>
    <cellStyle name="Heading 3 5 13 2" xfId="9245" xr:uid="{B2CE11F7-6BDD-462A-86E8-F64939DDC231}"/>
    <cellStyle name="Heading 3 5 13 3" xfId="29179" xr:uid="{5D0DADFF-F707-4932-9960-B40DF50837A2}"/>
    <cellStyle name="Heading 3 5 14" xfId="9246" xr:uid="{CF118215-2A72-4291-8AFA-A75B8250E78C}"/>
    <cellStyle name="Heading 3 5 14 2" xfId="9247" xr:uid="{5B1D391F-FA3E-48FB-96F6-DFBAFBD832F4}"/>
    <cellStyle name="Heading 3 5 14 3" xfId="29180" xr:uid="{59D383D9-116D-46EF-993B-81E28B5901BE}"/>
    <cellStyle name="Heading 3 5 15" xfId="9248" xr:uid="{6E2C66BF-248E-438A-9A17-B6B8267839E3}"/>
    <cellStyle name="Heading 3 5 15 2" xfId="9249" xr:uid="{DA6ED2CF-E38B-4E86-B202-10F9698D308B}"/>
    <cellStyle name="Heading 3 5 15 3" xfId="29181" xr:uid="{E6D6F047-185E-40A4-B76B-F65337175E19}"/>
    <cellStyle name="Heading 3 5 16" xfId="9250" xr:uid="{5D3E1877-E128-4D77-ADB9-FCD2E12647D9}"/>
    <cellStyle name="Heading 3 5 16 2" xfId="29182" xr:uid="{74B71DCB-BD5E-4A20-BFB1-F0F11CA1D605}"/>
    <cellStyle name="Heading 3 5 17" xfId="9251" xr:uid="{163D45B0-209E-47D6-8A46-9AFE6002AFC2}"/>
    <cellStyle name="Heading 3 5 2" xfId="9252" xr:uid="{86AE7947-E802-44C8-926B-D8284FF4B7EF}"/>
    <cellStyle name="Heading 3 5 2 2" xfId="9253" xr:uid="{B7B0A2FF-FBA1-4C7A-B6B0-1CD33D139B95}"/>
    <cellStyle name="Heading 3 5 2 2 2" xfId="9254" xr:uid="{291DE885-4811-462A-AA61-51A0130221C0}"/>
    <cellStyle name="Heading 3 5 2 2 3" xfId="29183" xr:uid="{AAC15938-8A8E-4583-8E84-42BC4040AAAF}"/>
    <cellStyle name="Heading 3 5 2 3" xfId="9255" xr:uid="{AE0E99B1-3508-4912-8814-D3E217A00C81}"/>
    <cellStyle name="Heading 3 5 2 3 2" xfId="9256" xr:uid="{C14CE7AB-C1AB-414E-BDEA-F5834EB69C26}"/>
    <cellStyle name="Heading 3 5 2 3 3" xfId="29184" xr:uid="{071A376D-6FB2-450B-9108-29DEF0848AB3}"/>
    <cellStyle name="Heading 3 5 2 4" xfId="9257" xr:uid="{4C40AAA4-BFB8-4388-A5D0-3F02BD72F149}"/>
    <cellStyle name="Heading 3 5 2 4 2" xfId="9258" xr:uid="{ED76039B-D38B-4610-AC56-03F274DB6F74}"/>
    <cellStyle name="Heading 3 5 2 4 3" xfId="29185" xr:uid="{93C22B8E-3AA7-4C30-B5BA-2DDF6032280B}"/>
    <cellStyle name="Heading 3 5 2 5" xfId="9259" xr:uid="{ADBEA970-08F1-492F-AB71-2A5FB2086F5D}"/>
    <cellStyle name="Heading 3 5 2 5 2" xfId="9260" xr:uid="{F9CDC8F0-7AF7-40CB-8704-1DFC96770EFF}"/>
    <cellStyle name="Heading 3 5 2 5 3" xfId="29186" xr:uid="{46F61311-A9C3-4162-9A3B-2A9487C9E6A2}"/>
    <cellStyle name="Heading 3 5 2 6" xfId="9261" xr:uid="{32F6FF94-B3C4-4166-B053-5EF2ACA0A80C}"/>
    <cellStyle name="Heading 3 5 2 6 2" xfId="29187" xr:uid="{B66CE1AA-1528-46B3-99D6-646EFC795AFD}"/>
    <cellStyle name="Heading 3 5 2 7" xfId="9262" xr:uid="{A64203F3-F48F-4B94-82BF-9059DE6349CF}"/>
    <cellStyle name="Heading 3 5 3" xfId="9263" xr:uid="{D3F815F4-216F-4FCF-8072-882C583A15A3}"/>
    <cellStyle name="Heading 3 5 3 2" xfId="9264" xr:uid="{2E245D88-6BD4-4C7B-B196-B2C1CAE5E778}"/>
    <cellStyle name="Heading 3 5 3 2 2" xfId="9265" xr:uid="{2484371B-A032-4589-83BA-CBA9DD78DF01}"/>
    <cellStyle name="Heading 3 5 3 2 3" xfId="29188" xr:uid="{819EAF0C-8277-4B8B-8738-9A74A99101D3}"/>
    <cellStyle name="Heading 3 5 3 3" xfId="9266" xr:uid="{F6F83F34-224A-4609-871A-D5FC03772FD9}"/>
    <cellStyle name="Heading 3 5 3 3 2" xfId="9267" xr:uid="{25A597E6-2EAD-44D7-89D0-9933B969435E}"/>
    <cellStyle name="Heading 3 5 3 3 3" xfId="29189" xr:uid="{F329D5BB-0DC1-485C-B72F-40CDC971A64E}"/>
    <cellStyle name="Heading 3 5 3 4" xfId="9268" xr:uid="{4D49A5CE-3E2B-4E06-AA37-E306571978E8}"/>
    <cellStyle name="Heading 3 5 3 4 2" xfId="9269" xr:uid="{D1955B23-C02E-408F-8D3A-995972DD1B4D}"/>
    <cellStyle name="Heading 3 5 3 4 3" xfId="29190" xr:uid="{AFAADCEE-A953-4120-A8F3-464E7259EC30}"/>
    <cellStyle name="Heading 3 5 3 5" xfId="9270" xr:uid="{E1E78356-09AB-4297-8355-BE932726D053}"/>
    <cellStyle name="Heading 3 5 3 5 2" xfId="9271" xr:uid="{B5E14806-718F-4453-9F06-934A7E767A5E}"/>
    <cellStyle name="Heading 3 5 3 5 3" xfId="29191" xr:uid="{1673FA65-BA93-40DD-8079-D104958024A2}"/>
    <cellStyle name="Heading 3 5 3 6" xfId="9272" xr:uid="{F6615041-1645-4838-A9BF-8446623330B8}"/>
    <cellStyle name="Heading 3 5 3 6 2" xfId="29192" xr:uid="{37D3D1C4-9429-4104-A389-D63B6E7EB9DF}"/>
    <cellStyle name="Heading 3 5 3 7" xfId="9273" xr:uid="{A033B8A9-1C35-47B5-8E0F-35B58137DFD2}"/>
    <cellStyle name="Heading 3 5 4" xfId="9274" xr:uid="{E7C6C321-A916-4B38-9FE0-35B7325E3B00}"/>
    <cellStyle name="Heading 3 5 4 2" xfId="9275" xr:uid="{E19273E6-A166-4F97-8DF4-C3D0C450C804}"/>
    <cellStyle name="Heading 3 5 4 2 2" xfId="9276" xr:uid="{5EAF3012-16F0-453B-AA7F-A512058551B2}"/>
    <cellStyle name="Heading 3 5 4 2 3" xfId="29193" xr:uid="{E29FDF74-4DDB-4EF7-9716-D4C7A5BD70CA}"/>
    <cellStyle name="Heading 3 5 4 3" xfId="9277" xr:uid="{7D5C5B3F-7EAF-4575-BEF5-AD36A671A5E1}"/>
    <cellStyle name="Heading 3 5 4 3 2" xfId="9278" xr:uid="{69D2E6EC-65E0-452A-9577-E05FD23775DB}"/>
    <cellStyle name="Heading 3 5 4 3 3" xfId="29194" xr:uid="{2AA154E3-2D5F-4E8C-9853-DAABAE1545C3}"/>
    <cellStyle name="Heading 3 5 4 4" xfId="9279" xr:uid="{1339271A-4730-4D47-8E88-2528E5964E12}"/>
    <cellStyle name="Heading 3 5 4 4 2" xfId="9280" xr:uid="{D04EF608-1F00-4A8D-BC34-BA708BE281F1}"/>
    <cellStyle name="Heading 3 5 4 4 3" xfId="29195" xr:uid="{97A23F2C-6982-40BE-A4F8-ADB912D93200}"/>
    <cellStyle name="Heading 3 5 4 5" xfId="9281" xr:uid="{9151A8D5-5594-4E83-A654-5AED204F83F3}"/>
    <cellStyle name="Heading 3 5 4 5 2" xfId="9282" xr:uid="{EEC7CFAB-BA76-47DC-8B19-2E503D674F76}"/>
    <cellStyle name="Heading 3 5 4 5 3" xfId="29196" xr:uid="{BEBC1714-7151-49C3-B002-71141C56762A}"/>
    <cellStyle name="Heading 3 5 4 6" xfId="9283" xr:uid="{2E063BE8-482F-46DF-835B-4EDC1D76A17D}"/>
    <cellStyle name="Heading 3 5 4 6 2" xfId="29197" xr:uid="{B78AF1F4-CF8A-4825-A678-8FDC1B312F1C}"/>
    <cellStyle name="Heading 3 5 4 7" xfId="9284" xr:uid="{9A46E32B-CAB3-4537-AB58-19D608FDE02A}"/>
    <cellStyle name="Heading 3 5 5" xfId="9285" xr:uid="{FFBEEE3A-0247-48D1-ADF3-ACCF56C8EEE3}"/>
    <cellStyle name="Heading 3 5 5 2" xfId="9286" xr:uid="{4B392696-893C-43B4-8DBD-6478C9D1FEFB}"/>
    <cellStyle name="Heading 3 5 5 2 2" xfId="9287" xr:uid="{DE2AEC15-D71D-4EB4-852E-F6B53B0D8C57}"/>
    <cellStyle name="Heading 3 5 5 2 3" xfId="29198" xr:uid="{94A18331-8361-4DD8-BDEF-F96CEA28DD69}"/>
    <cellStyle name="Heading 3 5 5 3" xfId="9288" xr:uid="{BAD082CC-9C30-4FE6-B74E-942A6E7A8286}"/>
    <cellStyle name="Heading 3 5 5 3 2" xfId="9289" xr:uid="{651A8836-5DD5-4F38-A027-9E384999ECBC}"/>
    <cellStyle name="Heading 3 5 5 3 3" xfId="29199" xr:uid="{F5069BFB-E8C4-41AF-BBC2-BFFE3B1CD89F}"/>
    <cellStyle name="Heading 3 5 5 4" xfId="9290" xr:uid="{783C6AC8-4B1B-44F3-91E2-1083C8894210}"/>
    <cellStyle name="Heading 3 5 5 4 2" xfId="9291" xr:uid="{2C1CE777-29F8-4E6B-9627-DB169FB50342}"/>
    <cellStyle name="Heading 3 5 5 4 3" xfId="29200" xr:uid="{9B38E460-9979-4ED1-9269-EC10E600BCAD}"/>
    <cellStyle name="Heading 3 5 5 5" xfId="9292" xr:uid="{3A3D1727-ED72-4F91-AA4F-569B79F6DF78}"/>
    <cellStyle name="Heading 3 5 5 5 2" xfId="9293" xr:uid="{4E398519-B77D-4BF9-A4BA-2AFC1990CE81}"/>
    <cellStyle name="Heading 3 5 5 5 3" xfId="29201" xr:uid="{8D9D97C6-2059-495D-B022-E4855BA3CB74}"/>
    <cellStyle name="Heading 3 5 5 6" xfId="9294" xr:uid="{B3F5B84C-CDC6-403B-B3CE-2E7DB6D1E37E}"/>
    <cellStyle name="Heading 3 5 5 6 2" xfId="29202" xr:uid="{B8022E0C-4B9F-4774-8A69-6FC6C9BF8C65}"/>
    <cellStyle name="Heading 3 5 5 7" xfId="9295" xr:uid="{4BA93941-3ED7-44F2-A05A-FDE4976E9DFB}"/>
    <cellStyle name="Heading 3 5 6" xfId="9296" xr:uid="{5D13ED81-F68C-491F-9439-24C156E27652}"/>
    <cellStyle name="Heading 3 5 6 2" xfId="9297" xr:uid="{B68B3682-EE0B-4860-B958-411DE6CB5F64}"/>
    <cellStyle name="Heading 3 5 6 2 2" xfId="9298" xr:uid="{1B01D968-7E8C-4CFB-8D90-3E386B68D102}"/>
    <cellStyle name="Heading 3 5 6 2 3" xfId="29203" xr:uid="{C351A3EE-2471-45FE-A794-0E453138C8C0}"/>
    <cellStyle name="Heading 3 5 6 3" xfId="9299" xr:uid="{3FE354AD-652F-427F-AB2B-537BF346C83A}"/>
    <cellStyle name="Heading 3 5 6 3 2" xfId="9300" xr:uid="{161A9BC0-1112-4305-9D0A-833B21B78F6F}"/>
    <cellStyle name="Heading 3 5 6 3 3" xfId="29204" xr:uid="{B5BBC918-6DCC-4D19-B8DB-F716D6AE8488}"/>
    <cellStyle name="Heading 3 5 6 4" xfId="9301" xr:uid="{29945596-8816-42CC-A606-F2C2E2CD9529}"/>
    <cellStyle name="Heading 3 5 6 4 2" xfId="9302" xr:uid="{B369B8F9-2F09-4879-90C0-7466B6130BBB}"/>
    <cellStyle name="Heading 3 5 6 4 3" xfId="29205" xr:uid="{6673D7FF-79DE-412A-8E49-607C049F461C}"/>
    <cellStyle name="Heading 3 5 6 5" xfId="9303" xr:uid="{9B9BC91C-9D92-449C-9BB7-E9C7C1293E00}"/>
    <cellStyle name="Heading 3 5 6 5 2" xfId="9304" xr:uid="{D76013AB-0057-4310-91E8-49237FD21837}"/>
    <cellStyle name="Heading 3 5 6 5 3" xfId="29206" xr:uid="{4FA524B9-7575-4EAD-83DF-5EB695C9F161}"/>
    <cellStyle name="Heading 3 5 6 6" xfId="9305" xr:uid="{C8766A0F-9BE9-4822-BA67-4F4F658FEF26}"/>
    <cellStyle name="Heading 3 5 6 6 2" xfId="29207" xr:uid="{0611DBC0-76C6-4C5A-A928-B057302AE035}"/>
    <cellStyle name="Heading 3 5 6 7" xfId="9306" xr:uid="{D4946F16-7907-474B-8039-97E0D43AE837}"/>
    <cellStyle name="Heading 3 5 7" xfId="9307" xr:uid="{30217B29-EA50-47ED-86C8-E31DEEC2FDA6}"/>
    <cellStyle name="Heading 3 5 7 2" xfId="9308" xr:uid="{780700D6-0E5C-4005-A94A-A68544343742}"/>
    <cellStyle name="Heading 3 5 7 2 2" xfId="9309" xr:uid="{69753A2E-6946-47C9-8700-235B80A7E7C1}"/>
    <cellStyle name="Heading 3 5 7 2 3" xfId="29208" xr:uid="{F9C079E5-8186-4E4A-8E42-21EB77CEAB41}"/>
    <cellStyle name="Heading 3 5 7 3" xfId="9310" xr:uid="{2C2EC465-9523-4A3E-BEFA-4FE873E99285}"/>
    <cellStyle name="Heading 3 5 7 3 2" xfId="9311" xr:uid="{B9A0855C-C971-4038-A092-202D3449F6C9}"/>
    <cellStyle name="Heading 3 5 7 3 3" xfId="29209" xr:uid="{AADA910F-0336-4775-BECC-6C010EE9EFF1}"/>
    <cellStyle name="Heading 3 5 7 4" xfId="9312" xr:uid="{5CABAE41-4D2E-4D2F-B024-95820ED0C920}"/>
    <cellStyle name="Heading 3 5 7 4 2" xfId="9313" xr:uid="{BC3DE28D-C887-48AA-AA56-3B09124DEFA3}"/>
    <cellStyle name="Heading 3 5 7 4 3" xfId="29210" xr:uid="{C6C1870D-E38A-4CEB-A074-FE8FEC0F59F2}"/>
    <cellStyle name="Heading 3 5 7 5" xfId="9314" xr:uid="{117FD8D6-26DC-4AB3-B231-5F13DC25718C}"/>
    <cellStyle name="Heading 3 5 7 5 2" xfId="9315" xr:uid="{FFBA6663-1BCB-440D-B4D4-8CE986B77944}"/>
    <cellStyle name="Heading 3 5 7 5 3" xfId="29211" xr:uid="{044A982D-9A04-4C7E-BF02-9F2CC388B9F0}"/>
    <cellStyle name="Heading 3 5 7 6" xfId="9316" xr:uid="{AA1FBD4D-6C9E-434E-A793-6B692B57B13C}"/>
    <cellStyle name="Heading 3 5 7 6 2" xfId="29212" xr:uid="{CAEC218E-9979-424D-BC21-E41FF411FF10}"/>
    <cellStyle name="Heading 3 5 7 7" xfId="9317" xr:uid="{2ECD141A-D38D-4446-93D5-FE31ECF5DCA1}"/>
    <cellStyle name="Heading 3 5 8" xfId="9318" xr:uid="{3AE82B7D-4CF7-409C-9079-0E3B3E7A5587}"/>
    <cellStyle name="Heading 3 5 8 2" xfId="9319" xr:uid="{8B3C40AC-3370-49E5-B8BC-8B0D7056C36F}"/>
    <cellStyle name="Heading 3 5 8 2 2" xfId="9320" xr:uid="{148F6F50-19D3-418B-AD1C-48FA17796A7D}"/>
    <cellStyle name="Heading 3 5 8 2 3" xfId="29213" xr:uid="{7C77294A-79F5-49F7-A6E6-F69322D450A5}"/>
    <cellStyle name="Heading 3 5 8 3" xfId="9321" xr:uid="{5CC124C6-11C5-4F60-BBC3-97B90BAF5EF1}"/>
    <cellStyle name="Heading 3 5 8 3 2" xfId="9322" xr:uid="{3172C5E4-FCFD-413C-98D2-3570320FD779}"/>
    <cellStyle name="Heading 3 5 8 3 3" xfId="29214" xr:uid="{8F37148B-06D0-484A-89CC-72528C5803D0}"/>
    <cellStyle name="Heading 3 5 8 4" xfId="9323" xr:uid="{C18A1D6C-3FDC-4DA0-94DB-5DC86A86CB18}"/>
    <cellStyle name="Heading 3 5 8 4 2" xfId="9324" xr:uid="{A6EEF992-36C2-4847-8D0B-3F23A4C02E4D}"/>
    <cellStyle name="Heading 3 5 8 4 3" xfId="29215" xr:uid="{C1B55F83-2625-4482-86C5-8283B31C9C04}"/>
    <cellStyle name="Heading 3 5 8 5" xfId="9325" xr:uid="{7B034CA6-A7CF-41FD-8382-37E0E21C824A}"/>
    <cellStyle name="Heading 3 5 8 5 2" xfId="9326" xr:uid="{35ECD33B-F473-4BCF-BC2E-23DC3979C3F4}"/>
    <cellStyle name="Heading 3 5 8 5 3" xfId="29216" xr:uid="{46C515E1-09FB-41CF-B7AA-7B68D2B2F10D}"/>
    <cellStyle name="Heading 3 5 8 6" xfId="9327" xr:uid="{8350BF83-C8DC-4928-9AF9-DDACE3137CBF}"/>
    <cellStyle name="Heading 3 5 8 6 2" xfId="29217" xr:uid="{09D7FBC0-BE49-48B1-B703-2A5FA715F25C}"/>
    <cellStyle name="Heading 3 5 8 7" xfId="9328" xr:uid="{57D8C4E9-1527-452F-B4B7-FF26F0A5001B}"/>
    <cellStyle name="Heading 3 5 9" xfId="9329" xr:uid="{98FC09D1-CE3B-4C13-84BA-0407518029FE}"/>
    <cellStyle name="Heading 3 5 9 2" xfId="9330" xr:uid="{AB651367-70F8-471F-A68D-3AB0E2BB1069}"/>
    <cellStyle name="Heading 3 5 9 2 2" xfId="9331" xr:uid="{45BCF6DB-7D3A-47E8-B066-B39B37FDD626}"/>
    <cellStyle name="Heading 3 5 9 2 3" xfId="29218" xr:uid="{EAC58914-A31A-4E30-8898-A007CDEB09DF}"/>
    <cellStyle name="Heading 3 5 9 3" xfId="9332" xr:uid="{6062FD2E-701A-4F6B-9FAE-D4CC8C558899}"/>
    <cellStyle name="Heading 3 5 9 3 2" xfId="9333" xr:uid="{5251B323-B63F-4CAC-BCEA-1AF339106F3F}"/>
    <cellStyle name="Heading 3 5 9 3 3" xfId="29219" xr:uid="{A82BDB68-BA43-4452-A951-BED24D153934}"/>
    <cellStyle name="Heading 3 5 9 4" xfId="9334" xr:uid="{9F7D8ACA-D83B-4241-BE5A-D7C2E89A0465}"/>
    <cellStyle name="Heading 3 5 9 4 2" xfId="9335" xr:uid="{13166DB9-B87B-4FFE-9ECF-EF2529CC0CB8}"/>
    <cellStyle name="Heading 3 5 9 4 3" xfId="29220" xr:uid="{133662B0-5051-4512-BDBA-97289B7A1B53}"/>
    <cellStyle name="Heading 3 5 9 5" xfId="9336" xr:uid="{61ADE7DF-C2B6-4381-966C-7A74A5505284}"/>
    <cellStyle name="Heading 3 5 9 5 2" xfId="9337" xr:uid="{8E68BC20-D3F9-4FAA-AE84-D51F917BDD26}"/>
    <cellStyle name="Heading 3 5 9 5 3" xfId="29221" xr:uid="{AEACB513-8B67-41A9-927C-CC8C026BFC70}"/>
    <cellStyle name="Heading 3 5 9 6" xfId="9338" xr:uid="{5674F85A-DEAE-439C-8124-9918E72A917E}"/>
    <cellStyle name="Heading 3 5 9 6 2" xfId="29222" xr:uid="{E21956D6-A535-406B-B55C-72DCB8AE1C12}"/>
    <cellStyle name="Heading 3 5 9 7" xfId="9339" xr:uid="{6000A95F-3677-4F3C-8870-A41340317E6A}"/>
    <cellStyle name="Heading 3 6" xfId="9340" xr:uid="{2EBE9C1C-EF44-4C7E-BD59-E9E558952F59}"/>
    <cellStyle name="Heading 3 6 10" xfId="9341" xr:uid="{44313AD7-B952-4736-92F3-0D34B28FB82E}"/>
    <cellStyle name="Heading 3 6 10 2" xfId="9342" xr:uid="{2889F44E-D7E3-4E9E-A087-76DD5EC6C05E}"/>
    <cellStyle name="Heading 3 6 10 2 2" xfId="9343" xr:uid="{961A6614-95C2-40A5-8587-FE3020448D76}"/>
    <cellStyle name="Heading 3 6 10 2 3" xfId="29223" xr:uid="{F21F1260-438C-4D63-A30A-395F83DA7201}"/>
    <cellStyle name="Heading 3 6 10 3" xfId="9344" xr:uid="{EA6F0030-FC70-4059-B9BA-02A3BD4B83DB}"/>
    <cellStyle name="Heading 3 6 10 3 2" xfId="9345" xr:uid="{B86902A1-9CE1-470E-8035-C49DD370B098}"/>
    <cellStyle name="Heading 3 6 10 3 3" xfId="29224" xr:uid="{430BC85C-7667-43C6-882F-C70302F9C098}"/>
    <cellStyle name="Heading 3 6 10 4" xfId="9346" xr:uid="{F92E0376-C321-4650-8316-7210B9BE23AF}"/>
    <cellStyle name="Heading 3 6 10 4 2" xfId="9347" xr:uid="{F38F22D1-CF2A-4B95-BAAB-8075F5C00E8B}"/>
    <cellStyle name="Heading 3 6 10 4 3" xfId="29225" xr:uid="{208D4655-051E-49AA-9F3E-C3190BFD3712}"/>
    <cellStyle name="Heading 3 6 10 5" xfId="9348" xr:uid="{C443BD80-B3CB-4727-9AB2-0C719C0BFCA8}"/>
    <cellStyle name="Heading 3 6 10 5 2" xfId="9349" xr:uid="{997C359B-ADC7-4515-AB33-CEEFFFD9E1C7}"/>
    <cellStyle name="Heading 3 6 10 5 3" xfId="29226" xr:uid="{980BFDF1-3372-426B-994C-2378BA5948F8}"/>
    <cellStyle name="Heading 3 6 10 6" xfId="9350" xr:uid="{CF2C6B74-3C65-4817-9ED7-5702D9700077}"/>
    <cellStyle name="Heading 3 6 10 6 2" xfId="29227" xr:uid="{5A5745B6-F359-4868-9ECB-D3F4C1404F31}"/>
    <cellStyle name="Heading 3 6 10 7" xfId="9351" xr:uid="{C375C5F0-5ACA-4C17-92E1-CA3CFF131180}"/>
    <cellStyle name="Heading 3 6 11" xfId="9352" xr:uid="{51ED75DE-85ED-4786-97E9-FCE863FE89F7}"/>
    <cellStyle name="Heading 3 6 11 2" xfId="9353" xr:uid="{CA621044-94FC-4ABD-86C5-6C8669BF0995}"/>
    <cellStyle name="Heading 3 6 11 2 2" xfId="9354" xr:uid="{5E27507D-8D26-450E-A05F-258C72C7C20B}"/>
    <cellStyle name="Heading 3 6 11 2 3" xfId="29228" xr:uid="{EAF8A0BF-45F7-45D4-B524-17859B07EB81}"/>
    <cellStyle name="Heading 3 6 11 3" xfId="9355" xr:uid="{917BBE8F-3BAA-4F35-AAAD-6104F9028361}"/>
    <cellStyle name="Heading 3 6 11 3 2" xfId="9356" xr:uid="{572B7010-B8EC-44AE-9AC9-61C7EA3B106E}"/>
    <cellStyle name="Heading 3 6 11 3 3" xfId="29229" xr:uid="{A973E87B-5D3A-40EB-8481-67BADBC9BD6F}"/>
    <cellStyle name="Heading 3 6 11 4" xfId="9357" xr:uid="{43A8339B-84B5-463F-B4DC-C449E67F5B69}"/>
    <cellStyle name="Heading 3 6 11 4 2" xfId="9358" xr:uid="{E47F53CB-C69B-487C-B74C-4BBA4239BA6C}"/>
    <cellStyle name="Heading 3 6 11 4 3" xfId="29230" xr:uid="{BCB1AB16-C8E8-4C8E-B072-3D58BDE59951}"/>
    <cellStyle name="Heading 3 6 11 5" xfId="9359" xr:uid="{97FE032B-E031-4BBF-811C-F1567AD3BB90}"/>
    <cellStyle name="Heading 3 6 11 5 2" xfId="9360" xr:uid="{71293248-C69B-4B97-8882-5E88C53EFA50}"/>
    <cellStyle name="Heading 3 6 11 5 3" xfId="29231" xr:uid="{4B882D22-4872-4734-9E53-81C38866977D}"/>
    <cellStyle name="Heading 3 6 11 6" xfId="9361" xr:uid="{4FF834C1-37E2-46D2-839D-52BC52BE6745}"/>
    <cellStyle name="Heading 3 6 11 6 2" xfId="29232" xr:uid="{7644677A-0F0A-4EBE-B1F3-0FFC8D29748F}"/>
    <cellStyle name="Heading 3 6 11 7" xfId="9362" xr:uid="{A1DA27E7-346C-4EAB-89D7-F4F06EB2C1AF}"/>
    <cellStyle name="Heading 3 6 12" xfId="9363" xr:uid="{CE0085CE-BBF8-42BB-89C7-EBF35D90EFDE}"/>
    <cellStyle name="Heading 3 6 12 2" xfId="9364" xr:uid="{0BC114AF-5BF0-4C14-B9EB-7D32E49503DC}"/>
    <cellStyle name="Heading 3 6 12 3" xfId="29233" xr:uid="{C5E544F3-5EB5-4860-938E-D68B8A5913E2}"/>
    <cellStyle name="Heading 3 6 13" xfId="9365" xr:uid="{77FBDCA7-90A9-4BDF-823A-B999B95C5EC9}"/>
    <cellStyle name="Heading 3 6 13 2" xfId="9366" xr:uid="{2AD254CE-35A9-487B-B515-688586BF3AFD}"/>
    <cellStyle name="Heading 3 6 13 3" xfId="29234" xr:uid="{11DB3A87-0B51-4CFE-9EE8-AC78E81A953A}"/>
    <cellStyle name="Heading 3 6 14" xfId="9367" xr:uid="{9A816697-B37E-48F8-9F5F-C89EEC0A840F}"/>
    <cellStyle name="Heading 3 6 14 2" xfId="9368" xr:uid="{9FAF0987-E143-470A-85C2-376A456F97D7}"/>
    <cellStyle name="Heading 3 6 14 3" xfId="29235" xr:uid="{7202D50E-0C98-4B18-9A75-914096E5DC9D}"/>
    <cellStyle name="Heading 3 6 15" xfId="9369" xr:uid="{C0F3B027-B912-48B0-A983-9B06D726CE42}"/>
    <cellStyle name="Heading 3 6 15 2" xfId="9370" xr:uid="{2375374F-99FE-4FFD-86B5-3154492D032E}"/>
    <cellStyle name="Heading 3 6 15 3" xfId="29236" xr:uid="{5B8A111D-5C02-4D1A-98D0-F77E266AC82F}"/>
    <cellStyle name="Heading 3 6 16" xfId="9371" xr:uid="{3008AB18-61E7-4EBA-AD44-3D42EFD91184}"/>
    <cellStyle name="Heading 3 6 16 2" xfId="29237" xr:uid="{EF019BAD-92A0-481F-AB20-2733A403A800}"/>
    <cellStyle name="Heading 3 6 17" xfId="9372" xr:uid="{94188697-BE53-473C-BDE0-49B6F398FA04}"/>
    <cellStyle name="Heading 3 6 2" xfId="9373" xr:uid="{134DA180-6461-4550-8C95-3A25A41BD2D8}"/>
    <cellStyle name="Heading 3 6 2 2" xfId="9374" xr:uid="{39A9B565-404D-489C-803E-E305CF818C05}"/>
    <cellStyle name="Heading 3 6 2 2 2" xfId="9375" xr:uid="{997B31FE-F369-4008-B742-918075DE0D73}"/>
    <cellStyle name="Heading 3 6 2 2 3" xfId="29238" xr:uid="{73129FF6-15F5-4413-AA72-BBB43B6AAF10}"/>
    <cellStyle name="Heading 3 6 2 3" xfId="9376" xr:uid="{6946E429-615B-49E2-915D-FD1EF94FB642}"/>
    <cellStyle name="Heading 3 6 2 3 2" xfId="9377" xr:uid="{4F20DD31-7D4D-452F-A856-3B9E71F5FDE0}"/>
    <cellStyle name="Heading 3 6 2 3 3" xfId="29239" xr:uid="{4ED803BC-0A20-48B0-A580-3E0D0A0883CA}"/>
    <cellStyle name="Heading 3 6 2 4" xfId="9378" xr:uid="{918DD04F-6126-4334-B130-F6804CE739FC}"/>
    <cellStyle name="Heading 3 6 2 4 2" xfId="9379" xr:uid="{A9E1E6FE-6044-4A33-9633-3E5AC3A9F341}"/>
    <cellStyle name="Heading 3 6 2 4 3" xfId="29240" xr:uid="{47374FED-BBAB-4557-B4BD-70B4F9F07CCC}"/>
    <cellStyle name="Heading 3 6 2 5" xfId="9380" xr:uid="{EBAA7CBB-10BA-40DF-B006-47BDEBD611D4}"/>
    <cellStyle name="Heading 3 6 2 5 2" xfId="9381" xr:uid="{70FB7163-9A10-405B-8383-9ABB1DAC03BC}"/>
    <cellStyle name="Heading 3 6 2 5 3" xfId="29241" xr:uid="{1E6A53FE-E702-44D6-9895-290644AE03AB}"/>
    <cellStyle name="Heading 3 6 2 6" xfId="9382" xr:uid="{E61C9C73-7CCE-4AD0-9191-EF6D14E7ACA9}"/>
    <cellStyle name="Heading 3 6 2 6 2" xfId="29242" xr:uid="{BD587308-2DD0-4420-BA4A-D1A7FFAED3FC}"/>
    <cellStyle name="Heading 3 6 2 7" xfId="9383" xr:uid="{0996454C-DBCD-4D76-BDD3-0DCCBF0CD3A6}"/>
    <cellStyle name="Heading 3 6 3" xfId="9384" xr:uid="{1B243AEE-BF63-4093-9CCD-8C6AC7151D96}"/>
    <cellStyle name="Heading 3 6 3 2" xfId="9385" xr:uid="{FB2AF387-25AE-4600-9167-4C7928D03663}"/>
    <cellStyle name="Heading 3 6 3 2 2" xfId="9386" xr:uid="{BC9D1F72-536A-43B2-A1C1-4ADB60A15383}"/>
    <cellStyle name="Heading 3 6 3 2 3" xfId="29243" xr:uid="{46727880-DAA9-4958-B106-FE15FDDD90B4}"/>
    <cellStyle name="Heading 3 6 3 3" xfId="9387" xr:uid="{40FE0CD7-F8E5-4FEE-8846-4DBBC673A809}"/>
    <cellStyle name="Heading 3 6 3 3 2" xfId="9388" xr:uid="{DC92609D-F2D5-48D5-9943-B9CA1ED46E8D}"/>
    <cellStyle name="Heading 3 6 3 3 3" xfId="29244" xr:uid="{450C8E53-6887-4B35-8F06-D4A02E579BB1}"/>
    <cellStyle name="Heading 3 6 3 4" xfId="9389" xr:uid="{86C9E1A1-B98F-4361-8BC8-79337A32E1DC}"/>
    <cellStyle name="Heading 3 6 3 4 2" xfId="9390" xr:uid="{38118EC6-658F-44C0-8904-0574859A9085}"/>
    <cellStyle name="Heading 3 6 3 4 3" xfId="29245" xr:uid="{AA14F320-8BFF-487F-A6E0-4191DA6FC443}"/>
    <cellStyle name="Heading 3 6 3 5" xfId="9391" xr:uid="{BC1958DB-797B-42AE-99EA-F60A15682558}"/>
    <cellStyle name="Heading 3 6 3 5 2" xfId="9392" xr:uid="{06076574-B021-48BE-9842-A10816ED069F}"/>
    <cellStyle name="Heading 3 6 3 5 3" xfId="29246" xr:uid="{DCCBE09A-F196-4999-9866-B3E69AE359BE}"/>
    <cellStyle name="Heading 3 6 3 6" xfId="9393" xr:uid="{792AB2C4-DE3E-4817-B503-81EF80B6AB26}"/>
    <cellStyle name="Heading 3 6 3 6 2" xfId="29247" xr:uid="{EB3393AF-DD85-4D8D-A818-999D92BC7669}"/>
    <cellStyle name="Heading 3 6 3 7" xfId="9394" xr:uid="{2036CCC2-2D92-4576-8F46-6945589A912A}"/>
    <cellStyle name="Heading 3 6 4" xfId="9395" xr:uid="{9B42EEBB-F7EB-4257-AA82-FB8C57141E63}"/>
    <cellStyle name="Heading 3 6 4 2" xfId="9396" xr:uid="{D60FAB97-2EB1-4385-BB43-F4F12CDB3E6F}"/>
    <cellStyle name="Heading 3 6 4 2 2" xfId="9397" xr:uid="{D7D84F7E-6978-4DD8-B092-6AD4A819F4EE}"/>
    <cellStyle name="Heading 3 6 4 2 3" xfId="29248" xr:uid="{B2130C6A-3C50-4791-9CE6-6BD35BBDE9EB}"/>
    <cellStyle name="Heading 3 6 4 3" xfId="9398" xr:uid="{C0B95BDB-DA67-41D9-9E9C-08B56AA40DA9}"/>
    <cellStyle name="Heading 3 6 4 3 2" xfId="9399" xr:uid="{F9D2D669-0FB7-431A-8784-8A4861478D80}"/>
    <cellStyle name="Heading 3 6 4 3 3" xfId="29249" xr:uid="{1E7E936F-6986-42B4-B0E0-72687DCABF6E}"/>
    <cellStyle name="Heading 3 6 4 4" xfId="9400" xr:uid="{5FDE97EC-7F07-46DA-B35F-E902263CBDDE}"/>
    <cellStyle name="Heading 3 6 4 4 2" xfId="9401" xr:uid="{2B656D5B-E876-4AC2-A3A1-97C43750800C}"/>
    <cellStyle name="Heading 3 6 4 4 3" xfId="29250" xr:uid="{EE7CB0CC-D6F3-48D7-B1B3-C58172B8586C}"/>
    <cellStyle name="Heading 3 6 4 5" xfId="9402" xr:uid="{F3527D08-66F0-4A19-ABA7-D9647D702FE9}"/>
    <cellStyle name="Heading 3 6 4 5 2" xfId="9403" xr:uid="{48303F23-5531-4D93-AFD2-2C24A452D126}"/>
    <cellStyle name="Heading 3 6 4 5 3" xfId="29251" xr:uid="{3AAD685A-EB3F-4B57-B209-8EF161C80AA2}"/>
    <cellStyle name="Heading 3 6 4 6" xfId="9404" xr:uid="{839E0A89-A2DA-4016-ADFC-B98E64C73F5D}"/>
    <cellStyle name="Heading 3 6 4 6 2" xfId="29252" xr:uid="{A0EEB647-ADA6-4C57-84AC-0D7300F9F2F8}"/>
    <cellStyle name="Heading 3 6 4 7" xfId="9405" xr:uid="{EFEED0D3-BB8A-4650-B44A-4CD8ECA15709}"/>
    <cellStyle name="Heading 3 6 5" xfId="9406" xr:uid="{99599924-174F-481B-AC17-D227DF61F0AF}"/>
    <cellStyle name="Heading 3 6 5 2" xfId="9407" xr:uid="{940EC674-3B03-4CEA-9782-C2FF903F20A3}"/>
    <cellStyle name="Heading 3 6 5 2 2" xfId="9408" xr:uid="{174E818F-9431-4FAC-B2F8-0A45BF4320EF}"/>
    <cellStyle name="Heading 3 6 5 2 3" xfId="29253" xr:uid="{1CB018FF-BAA9-4817-AEF4-AF9611538F9F}"/>
    <cellStyle name="Heading 3 6 5 3" xfId="9409" xr:uid="{79F334FB-7290-4B07-A912-BD73EE0EAFC9}"/>
    <cellStyle name="Heading 3 6 5 3 2" xfId="9410" xr:uid="{82BDD4E1-A56B-4DA7-85F7-06C25DFE2166}"/>
    <cellStyle name="Heading 3 6 5 3 3" xfId="29254" xr:uid="{443FBDE3-CC18-4DDC-B8DE-9B4A47790C70}"/>
    <cellStyle name="Heading 3 6 5 4" xfId="9411" xr:uid="{A07B5445-9ABC-4BC2-B09A-C44FE220B187}"/>
    <cellStyle name="Heading 3 6 5 4 2" xfId="9412" xr:uid="{77140065-209B-4B25-BCA7-DC27E64012C4}"/>
    <cellStyle name="Heading 3 6 5 4 3" xfId="29255" xr:uid="{B090C65E-14A0-4E48-A879-129A346505C3}"/>
    <cellStyle name="Heading 3 6 5 5" xfId="9413" xr:uid="{EBB0024E-2419-4EE0-8E9F-895B0FED9FEE}"/>
    <cellStyle name="Heading 3 6 5 5 2" xfId="9414" xr:uid="{10ACC1F8-28FA-47C3-B42D-E51A432EA6C9}"/>
    <cellStyle name="Heading 3 6 5 5 3" xfId="29256" xr:uid="{DC51A4DB-77A8-4AF8-AAD2-9F920088C7AF}"/>
    <cellStyle name="Heading 3 6 5 6" xfId="9415" xr:uid="{37F6A66F-28B9-4355-BF93-845888D5F742}"/>
    <cellStyle name="Heading 3 6 5 6 2" xfId="29257" xr:uid="{7DA42EB1-9272-42D5-BFD6-4AAF9390FB71}"/>
    <cellStyle name="Heading 3 6 5 7" xfId="9416" xr:uid="{19E7CA7A-D175-47A0-84D6-9E4C64637A2B}"/>
    <cellStyle name="Heading 3 6 6" xfId="9417" xr:uid="{835BEACB-7339-4F0A-AE0A-FEAD1311AF54}"/>
    <cellStyle name="Heading 3 6 6 2" xfId="9418" xr:uid="{37EE20CC-DFAC-48FE-B98E-587DF82CF027}"/>
    <cellStyle name="Heading 3 6 6 2 2" xfId="9419" xr:uid="{67C08594-B3FD-4D45-80BB-BEF68536C662}"/>
    <cellStyle name="Heading 3 6 6 2 3" xfId="29258" xr:uid="{ADBAC37F-9C7C-4951-9D5B-70B57B0A0725}"/>
    <cellStyle name="Heading 3 6 6 3" xfId="9420" xr:uid="{7B3666AD-5E92-4688-BCDC-3F8E75E36471}"/>
    <cellStyle name="Heading 3 6 6 3 2" xfId="9421" xr:uid="{CF181402-FB50-4D12-893D-7459B88A1EB0}"/>
    <cellStyle name="Heading 3 6 6 3 3" xfId="29259" xr:uid="{82F9CC66-C851-4530-B0F2-E92C047E76B2}"/>
    <cellStyle name="Heading 3 6 6 4" xfId="9422" xr:uid="{5E6E347B-6B90-4E58-A10F-24E74DD5A612}"/>
    <cellStyle name="Heading 3 6 6 4 2" xfId="9423" xr:uid="{B3E9FF97-1B0D-4FA7-9F06-0D6D088DC9BF}"/>
    <cellStyle name="Heading 3 6 6 4 3" xfId="29260" xr:uid="{E28D7BB2-E0CF-4847-84C7-12C12B09A150}"/>
    <cellStyle name="Heading 3 6 6 5" xfId="9424" xr:uid="{042A56BB-1DA7-462E-A89B-49BDD68DE237}"/>
    <cellStyle name="Heading 3 6 6 5 2" xfId="9425" xr:uid="{AE120827-616D-4A2A-A792-4EA08E32FB41}"/>
    <cellStyle name="Heading 3 6 6 5 3" xfId="29261" xr:uid="{4BDF2918-46E0-43BC-B917-11C462B64BF5}"/>
    <cellStyle name="Heading 3 6 6 6" xfId="9426" xr:uid="{D7538561-EFD3-44EF-A613-8111C874FE69}"/>
    <cellStyle name="Heading 3 6 6 6 2" xfId="29262" xr:uid="{337BC3AE-29F3-4C6C-865A-8613AA87FB27}"/>
    <cellStyle name="Heading 3 6 6 7" xfId="9427" xr:uid="{152F3EBD-D5F0-4613-8E2A-826F981B8D5F}"/>
    <cellStyle name="Heading 3 6 7" xfId="9428" xr:uid="{D3CA977A-E541-4CB9-A122-0015B58E0853}"/>
    <cellStyle name="Heading 3 6 7 2" xfId="9429" xr:uid="{A48D5A0C-6240-4BA6-9DFA-9D0B21E121A0}"/>
    <cellStyle name="Heading 3 6 7 2 2" xfId="9430" xr:uid="{FC88FCC3-396C-4217-9937-1081EF1DDA24}"/>
    <cellStyle name="Heading 3 6 7 2 3" xfId="29263" xr:uid="{E56453CE-01C2-4228-90D1-A01FE7422557}"/>
    <cellStyle name="Heading 3 6 7 3" xfId="9431" xr:uid="{DEB96FA9-BF55-4701-ADF1-6AC207AA17B0}"/>
    <cellStyle name="Heading 3 6 7 3 2" xfId="9432" xr:uid="{10A74EB1-A172-4600-9B55-D17C3EA0D920}"/>
    <cellStyle name="Heading 3 6 7 3 3" xfId="29264" xr:uid="{15F11974-FEC9-4DD9-B706-20C6484EFC82}"/>
    <cellStyle name="Heading 3 6 7 4" xfId="9433" xr:uid="{3A437D4E-FBB2-4914-97C8-4DDEA8D403A5}"/>
    <cellStyle name="Heading 3 6 7 4 2" xfId="9434" xr:uid="{2741840B-F32C-4ED1-86CC-499C88A25E7E}"/>
    <cellStyle name="Heading 3 6 7 4 3" xfId="29265" xr:uid="{C6A3939D-D88B-4192-9804-D431C59A26CB}"/>
    <cellStyle name="Heading 3 6 7 5" xfId="9435" xr:uid="{C647C237-AC95-4845-944B-ED6783DB759F}"/>
    <cellStyle name="Heading 3 6 7 5 2" xfId="9436" xr:uid="{B21958F1-99B7-4A91-B799-7D1A82C25D35}"/>
    <cellStyle name="Heading 3 6 7 5 3" xfId="29266" xr:uid="{27E8CE1B-AF43-4757-A73E-0A944E33FC2C}"/>
    <cellStyle name="Heading 3 6 7 6" xfId="9437" xr:uid="{EADECC04-F521-42A7-9931-B527294240AC}"/>
    <cellStyle name="Heading 3 6 7 6 2" xfId="29267" xr:uid="{909FABD3-5A84-4000-A226-041CCA195AB2}"/>
    <cellStyle name="Heading 3 6 7 7" xfId="9438" xr:uid="{392BEF9B-50C4-49EE-85CB-0BE4B261CCCD}"/>
    <cellStyle name="Heading 3 6 8" xfId="9439" xr:uid="{85EA7BF6-BEE5-4ED7-AFEA-6B3EC800BFB4}"/>
    <cellStyle name="Heading 3 6 8 2" xfId="9440" xr:uid="{F13D34F0-F312-4AFA-8D63-7334E6C63503}"/>
    <cellStyle name="Heading 3 6 8 2 2" xfId="9441" xr:uid="{3EC813D5-7AC5-4B84-8432-0FD872BCE666}"/>
    <cellStyle name="Heading 3 6 8 2 3" xfId="29268" xr:uid="{8155B3FE-1195-4C14-B839-AF9BABEC276A}"/>
    <cellStyle name="Heading 3 6 8 3" xfId="9442" xr:uid="{8A41C80E-3883-4670-BA30-832CFFEEA2F0}"/>
    <cellStyle name="Heading 3 6 8 3 2" xfId="9443" xr:uid="{3A92C686-B4D2-41FB-8054-A1E15BECA565}"/>
    <cellStyle name="Heading 3 6 8 3 3" xfId="29269" xr:uid="{357D4399-1713-460F-B171-0C32259265B7}"/>
    <cellStyle name="Heading 3 6 8 4" xfId="9444" xr:uid="{D49E451B-136E-4968-8D15-6725F0747820}"/>
    <cellStyle name="Heading 3 6 8 4 2" xfId="9445" xr:uid="{91B2B1C7-8535-4ACF-8664-D6CAA13AEF75}"/>
    <cellStyle name="Heading 3 6 8 4 3" xfId="29270" xr:uid="{386A9D93-08F4-4762-AE4E-2079984643AF}"/>
    <cellStyle name="Heading 3 6 8 5" xfId="9446" xr:uid="{F3138B85-3CC0-4D03-ADAF-D26A3B5DB064}"/>
    <cellStyle name="Heading 3 6 8 5 2" xfId="9447" xr:uid="{02FCB242-FDC4-4FFA-AB5D-A262B9534C9C}"/>
    <cellStyle name="Heading 3 6 8 5 3" xfId="29271" xr:uid="{1A876C28-6037-4377-ACFB-528F47A3FB21}"/>
    <cellStyle name="Heading 3 6 8 6" xfId="9448" xr:uid="{9A25E465-1028-43ED-9BE2-BB7FEF0338DF}"/>
    <cellStyle name="Heading 3 6 8 6 2" xfId="29272" xr:uid="{49ED8CEF-BCE9-43FC-AFE4-627C1632AF3F}"/>
    <cellStyle name="Heading 3 6 8 7" xfId="9449" xr:uid="{E3B7E4A3-73B0-4D12-AF99-95DFDD16D712}"/>
    <cellStyle name="Heading 3 6 9" xfId="9450" xr:uid="{C4E3D1D2-0A59-4E86-AEB9-E0AE45108854}"/>
    <cellStyle name="Heading 3 6 9 2" xfId="9451" xr:uid="{5D97E69E-5A71-43EE-A11A-9224DDE1BFCA}"/>
    <cellStyle name="Heading 3 6 9 2 2" xfId="9452" xr:uid="{53A68A22-FF10-4DB3-AA4E-32337DB8B773}"/>
    <cellStyle name="Heading 3 6 9 2 3" xfId="29273" xr:uid="{8E01DC58-7A65-4AD7-95C6-BB612A69A66A}"/>
    <cellStyle name="Heading 3 6 9 3" xfId="9453" xr:uid="{85138CE5-9795-46B8-9436-FA44A2628BEF}"/>
    <cellStyle name="Heading 3 6 9 3 2" xfId="9454" xr:uid="{F4D49B0D-FC1E-4C70-A16E-9EB3A9AE2481}"/>
    <cellStyle name="Heading 3 6 9 3 3" xfId="29274" xr:uid="{892AEDF8-97D0-445D-86C6-A3C8CBE9BB30}"/>
    <cellStyle name="Heading 3 6 9 4" xfId="9455" xr:uid="{08C62421-2ACE-44CE-9983-4767A4642F7E}"/>
    <cellStyle name="Heading 3 6 9 4 2" xfId="9456" xr:uid="{554FAE01-A512-4F55-A58A-9596F742AE5F}"/>
    <cellStyle name="Heading 3 6 9 4 3" xfId="29275" xr:uid="{8FE1B5CF-DA7E-4EDE-B2F5-D56E6CEC90D1}"/>
    <cellStyle name="Heading 3 6 9 5" xfId="9457" xr:uid="{A2173742-F6EA-48F2-96C1-0F0F3CF8FC06}"/>
    <cellStyle name="Heading 3 6 9 5 2" xfId="9458" xr:uid="{150C86CD-87A7-4D08-A8DB-917573C60C58}"/>
    <cellStyle name="Heading 3 6 9 5 3" xfId="29276" xr:uid="{668DE7C7-1BFD-4829-A1EB-CA6DD7A04EB2}"/>
    <cellStyle name="Heading 3 6 9 6" xfId="9459" xr:uid="{3D379DB7-C81A-49E6-ABB7-1ED8B63D1FE6}"/>
    <cellStyle name="Heading 3 6 9 6 2" xfId="29277" xr:uid="{67715003-519E-4672-A4FD-1BFC3528E273}"/>
    <cellStyle name="Heading 3 6 9 7" xfId="9460" xr:uid="{1CD7CDC2-A20C-4741-8203-8A4005BABC22}"/>
    <cellStyle name="Heading 3 7" xfId="9461" xr:uid="{489485BA-7BB4-4D95-91E6-0841D63DE1B8}"/>
    <cellStyle name="Heading 3 7 2" xfId="9462" xr:uid="{A42234F3-A8EF-411C-8B8E-D497E79A637E}"/>
    <cellStyle name="Heading 3 7 2 2" xfId="9463" xr:uid="{BFBE61BC-9FA0-4B26-81EF-147305584A62}"/>
    <cellStyle name="Heading 3 7 2 3" xfId="29278" xr:uid="{5E205898-5BF4-4BDF-8A72-E68181DEE160}"/>
    <cellStyle name="Heading 3 7 3" xfId="9464" xr:uid="{8D15B274-8961-40CC-BE35-10BEA1548487}"/>
    <cellStyle name="Heading 3 7 3 2" xfId="9465" xr:uid="{39BE6B47-3066-4384-A7D2-C56450BBE32A}"/>
    <cellStyle name="Heading 3 7 3 3" xfId="29279" xr:uid="{BDB6BFAE-42A5-47F0-A48D-0EFF188BBA4D}"/>
    <cellStyle name="Heading 3 7 4" xfId="9466" xr:uid="{E9C152FA-10F8-4E96-AD35-5E5D2D77982B}"/>
    <cellStyle name="Heading 3 7 4 2" xfId="9467" xr:uid="{2E719496-14FB-48BC-8118-DED1ED03E527}"/>
    <cellStyle name="Heading 3 7 4 3" xfId="29280" xr:uid="{F1FADCE1-5F90-4C2E-AA31-66458280054D}"/>
    <cellStyle name="Heading 3 7 5" xfId="9468" xr:uid="{2C56925D-12D4-47AF-832D-9E8A6DEDF860}"/>
    <cellStyle name="Heading 3 7 5 2" xfId="9469" xr:uid="{8D284A99-8D14-4E6D-A0D3-4EC30F2952D8}"/>
    <cellStyle name="Heading 3 7 5 3" xfId="29281" xr:uid="{C215E0F7-C1CE-4BCE-BAB9-8510D1822FAA}"/>
    <cellStyle name="Heading 3 7 6" xfId="9470" xr:uid="{6EF9C60D-43A2-4C16-9E08-0BD570F8D42F}"/>
    <cellStyle name="Heading 3 7 6 2" xfId="29282" xr:uid="{6D7A7187-3ABE-4530-A6D0-2F0AC7101AFF}"/>
    <cellStyle name="Heading 3 7 7" xfId="9471" xr:uid="{5F9B10A3-9ABC-426B-812C-4B667A0BE711}"/>
    <cellStyle name="Heading 3 8" xfId="9472" xr:uid="{5FC762C7-2C80-43CB-B72C-A8674DEB345C}"/>
    <cellStyle name="Heading 3 8 2" xfId="9473" xr:uid="{D240CFB3-A369-451D-96D9-AE3DCEFE2FE5}"/>
    <cellStyle name="Heading 3 8 2 2" xfId="9474" xr:uid="{E79E706C-2908-46C1-8263-3A793D681A7C}"/>
    <cellStyle name="Heading 3 8 2 3" xfId="29283" xr:uid="{CB10AE98-5B83-4444-B456-2D3B5C0A5F4C}"/>
    <cellStyle name="Heading 3 8 3" xfId="9475" xr:uid="{9EB7E37F-1879-4CF8-82EB-1CEC1E2E91F2}"/>
    <cellStyle name="Heading 3 8 3 2" xfId="9476" xr:uid="{69480BE4-BED4-43F5-8AD1-33B865092126}"/>
    <cellStyle name="Heading 3 8 3 3" xfId="29284" xr:uid="{2F03F9E4-2F77-4264-A717-3CD0B0C90691}"/>
    <cellStyle name="Heading 3 8 4" xfId="9477" xr:uid="{628D0E08-066D-4934-8000-764782FBBEA7}"/>
    <cellStyle name="Heading 3 8 4 2" xfId="9478" xr:uid="{234F1ACA-CC1F-4B3A-BCAE-FA723FF338E3}"/>
    <cellStyle name="Heading 3 8 4 3" xfId="29285" xr:uid="{A4B06B5D-58FC-4806-A5BE-1F946E774F01}"/>
    <cellStyle name="Heading 3 8 5" xfId="9479" xr:uid="{9A87FFA1-E395-4A3D-8711-4FFEDE69377F}"/>
    <cellStyle name="Heading 3 8 5 2" xfId="9480" xr:uid="{91A34B2B-0A2F-4042-96A9-FE51D3689145}"/>
    <cellStyle name="Heading 3 8 5 3" xfId="29286" xr:uid="{E56794D7-A587-4812-86B2-8DC7AD2C8BB9}"/>
    <cellStyle name="Heading 3 8 6" xfId="9481" xr:uid="{31F9980D-5143-4F5A-A1C6-34B3AEBD14E6}"/>
    <cellStyle name="Heading 3 8 6 2" xfId="29287" xr:uid="{8FB24D27-F116-4952-89F9-926FD69D6363}"/>
    <cellStyle name="Heading 3 8 7" xfId="9482" xr:uid="{6ECCCA44-FFA3-4C41-B0C9-F7C2E7F9870D}"/>
    <cellStyle name="Heading 3 9" xfId="9483" xr:uid="{23E8560C-6EC0-4D20-BC2C-12AA2493BBBE}"/>
    <cellStyle name="Heading 3 9 2" xfId="9484" xr:uid="{CDF93D1B-E35E-4012-9DAE-A99F324CEC03}"/>
    <cellStyle name="Heading 3 9 2 2" xfId="9485" xr:uid="{0A637C9E-D0DF-441F-A9AA-0C6385247941}"/>
    <cellStyle name="Heading 3 9 2 3" xfId="29288" xr:uid="{FA2F9C40-67F9-46D9-8F21-27396E313913}"/>
    <cellStyle name="Heading 3 9 3" xfId="9486" xr:uid="{55C90F6D-8598-4305-89B0-13F3A93A1237}"/>
    <cellStyle name="Heading 3 9 3 2" xfId="9487" xr:uid="{EF3DA55D-EA57-4F37-8658-8F604D88AE9D}"/>
    <cellStyle name="Heading 3 9 3 3" xfId="29289" xr:uid="{8A662F15-A84F-448B-88D3-61793B68AAFB}"/>
    <cellStyle name="Heading 3 9 4" xfId="9488" xr:uid="{8B1A1FF1-D3CE-4962-A57C-45E7D06E9EE3}"/>
    <cellStyle name="Heading 3 9 4 2" xfId="9489" xr:uid="{C75F4E7A-4DCA-441C-B46B-E4569554102E}"/>
    <cellStyle name="Heading 3 9 4 3" xfId="29290" xr:uid="{56CB3C5A-6297-434D-A1A7-F49E7C287C30}"/>
    <cellStyle name="Heading 3 9 5" xfId="9490" xr:uid="{98F73311-D4B2-43FC-8934-581AD4550A80}"/>
    <cellStyle name="Heading 3 9 5 2" xfId="9491" xr:uid="{9D794935-7670-451A-8652-7C25ADE7008D}"/>
    <cellStyle name="Heading 3 9 5 3" xfId="29291" xr:uid="{EABF17FB-03A7-42AE-A1CB-F748BE7A2079}"/>
    <cellStyle name="Heading 3 9 6" xfId="9492" xr:uid="{76B30653-FE96-4A2B-9404-3122EB16BA22}"/>
    <cellStyle name="Heading 3 9 6 2" xfId="29292" xr:uid="{63291BAF-FF2D-4B60-9AAD-1AC7896D209F}"/>
    <cellStyle name="Heading 3 9 7" xfId="9493" xr:uid="{5456CE35-E3F5-4E5E-B382-9F83D0378559}"/>
    <cellStyle name="Heading 4" xfId="21336" builtinId="19" customBuiltin="1"/>
    <cellStyle name="Heading 4 10" xfId="9494" xr:uid="{A102D894-2629-4997-9082-C71D6F8C2868}"/>
    <cellStyle name="Heading 4 11" xfId="29293" xr:uid="{E61C935B-708B-49FD-BB10-2EB7F23B6C2A}"/>
    <cellStyle name="Heading 4 12" xfId="29294" xr:uid="{82BAFA6F-3D7A-4045-87FA-BACF729AB638}"/>
    <cellStyle name="Heading 4 13" xfId="29295" xr:uid="{E4654E85-1E73-4DA5-ABE1-9F06B42D0BC9}"/>
    <cellStyle name="Heading 4 14" xfId="29296" xr:uid="{B96FF3FB-72F2-407A-BD50-703E11D33BC8}"/>
    <cellStyle name="Heading 4 15" xfId="29297" xr:uid="{45EACF5D-D1DD-4717-8D4E-DCC941FACCDB}"/>
    <cellStyle name="Heading 4 16" xfId="29298" xr:uid="{2DED4125-52D5-4F23-9934-1ABA2E93D9F2}"/>
    <cellStyle name="Heading 4 17" xfId="29299" xr:uid="{DA593B5A-4FF7-45FC-AF5E-CE07757BAB74}"/>
    <cellStyle name="Heading 4 18" xfId="29300" xr:uid="{4804E591-6E38-49C6-8400-8B1ED9B6F0A1}"/>
    <cellStyle name="Heading 4 19" xfId="29301" xr:uid="{819257FB-6DC0-47C4-8159-18B6153F7116}"/>
    <cellStyle name="Heading 4 2" xfId="9495" xr:uid="{91DE4AC1-FCDE-4E36-A9C1-A1B35C1EA141}"/>
    <cellStyle name="Heading 4 2 10" xfId="9496" xr:uid="{75E262D3-158C-4C75-8574-815BEAE3579D}"/>
    <cellStyle name="Heading 4 2 10 2" xfId="9497" xr:uid="{C549E908-5CFE-476F-AAA5-70067176464F}"/>
    <cellStyle name="Heading 4 2 11" xfId="9498" xr:uid="{B549ECD5-F03E-456B-9F55-0B9DE10C8C3E}"/>
    <cellStyle name="Heading 4 2 12" xfId="44119" xr:uid="{9406A432-4203-4D92-8C1D-ACB5E3F80E8B}"/>
    <cellStyle name="Heading 4 2 2" xfId="9499" xr:uid="{F8D238B4-5335-4B68-8E8E-92758187CF66}"/>
    <cellStyle name="Heading 4 2 2 2" xfId="9500" xr:uid="{70EAA6E9-1051-4307-9D63-5E27E4BD22CE}"/>
    <cellStyle name="Heading 4 2 3" xfId="9501" xr:uid="{166ABA2A-4222-4791-8B87-330F42B47057}"/>
    <cellStyle name="Heading 4 2 3 2" xfId="9502" xr:uid="{422BC088-1E22-408E-9CAE-9D27967CAF45}"/>
    <cellStyle name="Heading 4 2 4" xfId="9503" xr:uid="{A54157A0-C8E4-4B59-AEC7-D907009E27B0}"/>
    <cellStyle name="Heading 4 2 4 2" xfId="9504" xr:uid="{F3F92E96-B3E1-42D9-B43E-2CB96BBF5084}"/>
    <cellStyle name="Heading 4 2 5" xfId="9505" xr:uid="{F5F32CBC-499D-45A3-9AF8-4B31899C2A16}"/>
    <cellStyle name="Heading 4 2 5 2" xfId="9506" xr:uid="{A8C094F5-9F5F-4FB3-B83F-2FB83DEFA698}"/>
    <cellStyle name="Heading 4 2 6" xfId="9507" xr:uid="{D534BD8D-868F-4EF6-A6BD-07DFCA8CD128}"/>
    <cellStyle name="Heading 4 2 6 2" xfId="9508" xr:uid="{0495F6C6-07C6-4753-9FB2-D96008D49B10}"/>
    <cellStyle name="Heading 4 2 7" xfId="9509" xr:uid="{A89179B8-AA4A-430A-984E-6FF0BB0FC6A3}"/>
    <cellStyle name="Heading 4 2 7 2" xfId="9510" xr:uid="{461B918F-C732-487A-A811-7D540287B868}"/>
    <cellStyle name="Heading 4 2 8" xfId="9511" xr:uid="{6D963EDC-2F64-4864-ABC2-EBC51D193BE9}"/>
    <cellStyle name="Heading 4 2 8 2" xfId="9512" xr:uid="{66254E83-9462-41F8-BF84-89CAF6A3F99D}"/>
    <cellStyle name="Heading 4 2 9" xfId="9513" xr:uid="{9B159338-2B82-4108-8C9E-139BE2D8516D}"/>
    <cellStyle name="Heading 4 2 9 2" xfId="9514" xr:uid="{C2245DC4-9FC2-4510-A9A9-78D230D24239}"/>
    <cellStyle name="Heading 4 20" xfId="29302" xr:uid="{AC1B05C2-ED61-4B6B-AED2-BB802D415E05}"/>
    <cellStyle name="Heading 4 21" xfId="29303" xr:uid="{80F15925-C975-4435-94A0-7AE3509E391E}"/>
    <cellStyle name="Heading 4 22" xfId="29304" xr:uid="{DACF8771-B80B-428A-A3B6-B56E926AC5B1}"/>
    <cellStyle name="Heading 4 23" xfId="29305" xr:uid="{62B593C5-45EF-49CF-A675-4BAAAA760666}"/>
    <cellStyle name="Heading 4 24" xfId="29306" xr:uid="{C921051F-F5F0-4773-8570-0CF296182557}"/>
    <cellStyle name="Heading 4 25" xfId="29307" xr:uid="{DBA60743-F83D-4DFF-850A-F67034334D2F}"/>
    <cellStyle name="Heading 4 26" xfId="29308" xr:uid="{2043FB66-8BDD-4BD0-9DDD-BB298709437A}"/>
    <cellStyle name="Heading 4 27" xfId="29309" xr:uid="{0CC55BDF-7CCA-4F24-A898-793A9DC3F117}"/>
    <cellStyle name="Heading 4 28" xfId="29310" xr:uid="{72F58388-0B87-4707-A1C9-43151D9E895A}"/>
    <cellStyle name="Heading 4 29" xfId="29311" xr:uid="{99CDAB18-9970-457F-86B8-DA0DF519A12D}"/>
    <cellStyle name="Heading 4 3" xfId="9515" xr:uid="{CF55269E-6A61-4B85-8F13-871A7A4757C4}"/>
    <cellStyle name="Heading 4 3 10" xfId="9516" xr:uid="{1F30A415-5DEA-4F35-918B-10A1A68746C1}"/>
    <cellStyle name="Heading 4 3 11" xfId="9517" xr:uid="{F5DEA2AA-7938-4EBB-BB46-D7FD31686F35}"/>
    <cellStyle name="Heading 4 3 12" xfId="9518" xr:uid="{74326791-57BE-4BF4-91A9-947D8076DCA6}"/>
    <cellStyle name="Heading 4 3 13" xfId="44202" xr:uid="{1CF01229-7508-4100-9AE1-60E5E954B582}"/>
    <cellStyle name="Heading 4 3 2" xfId="9519" xr:uid="{A69FAF6D-90BA-4778-90EA-D2530EE10057}"/>
    <cellStyle name="Heading 4 3 2 2" xfId="29312" xr:uid="{C0D0F44C-885B-4055-AB05-3EC20C22E843}"/>
    <cellStyle name="Heading 4 3 3" xfId="9520" xr:uid="{C4A8C366-E091-44A1-ABED-98C8908FE1F6}"/>
    <cellStyle name="Heading 4 3 3 2" xfId="42758" xr:uid="{DBF2D65D-A348-4270-8E77-C9788D6C4BB8}"/>
    <cellStyle name="Heading 4 3 4" xfId="9521" xr:uid="{0BF4CB95-C97A-4D49-8C85-DBBCBDEA2F43}"/>
    <cellStyle name="Heading 4 3 5" xfId="9522" xr:uid="{788EBFC7-7189-4D9A-B6D8-4BF488E92F52}"/>
    <cellStyle name="Heading 4 3 6" xfId="9523" xr:uid="{53FECA3E-882E-4256-AFAC-A7331794DE0D}"/>
    <cellStyle name="Heading 4 3 7" xfId="9524" xr:uid="{4D12AC70-ADC1-4D1D-937C-1383C92B54C9}"/>
    <cellStyle name="Heading 4 3 8" xfId="9525" xr:uid="{6A59AE5D-62EA-434B-93BE-B8617D8DA101}"/>
    <cellStyle name="Heading 4 3 9" xfId="9526" xr:uid="{640B4F12-BD19-430D-ACA0-2FFFEF273077}"/>
    <cellStyle name="Heading 4 30" xfId="29313" xr:uid="{C745E080-0F77-4352-9C9A-71A1BC06E130}"/>
    <cellStyle name="Heading 4 31" xfId="29314" xr:uid="{A573FF56-6CAB-4BBA-BE26-73C250931B1B}"/>
    <cellStyle name="Heading 4 32" xfId="29315" xr:uid="{E9DCDE40-15A7-4847-8E83-F6D708007A53}"/>
    <cellStyle name="Heading 4 33" xfId="29316" xr:uid="{552FBED4-65C7-46F1-A59E-3F5F4197C924}"/>
    <cellStyle name="Heading 4 34" xfId="29317" xr:uid="{08038685-3B65-4AE9-8293-05ACA3BDDE75}"/>
    <cellStyle name="Heading 4 35" xfId="29318" xr:uid="{8227DF95-01D9-47FB-8E07-3A47F3853C1B}"/>
    <cellStyle name="Heading 4 36" xfId="29319" xr:uid="{E37C799C-2963-4042-863F-F9E40B2ED4E4}"/>
    <cellStyle name="Heading 4 37" xfId="29320" xr:uid="{17C544D5-C4AE-494E-9555-67077025E4A9}"/>
    <cellStyle name="Heading 4 38" xfId="29321" xr:uid="{950E4CE4-D62A-44AB-B518-0DB69762129A}"/>
    <cellStyle name="Heading 4 39" xfId="29322" xr:uid="{04A3834D-0CD4-4169-96BE-4FD271EE417F}"/>
    <cellStyle name="Heading 4 4" xfId="9527" xr:uid="{E7668970-711F-48BF-A6EA-136A687AE0CB}"/>
    <cellStyle name="Heading 4 4 10" xfId="9528" xr:uid="{D4FC502D-EC13-4B23-8246-22FFDC1F4482}"/>
    <cellStyle name="Heading 4 4 11" xfId="9529" xr:uid="{00AC0EF6-75E3-4F3C-B6BC-B47F2AD471F4}"/>
    <cellStyle name="Heading 4 4 2" xfId="9530" xr:uid="{437C8C7D-A10C-4BCF-9380-B3515CEFBAA9}"/>
    <cellStyle name="Heading 4 4 3" xfId="9531" xr:uid="{C95A4A76-DEEB-475D-938D-97AE25E414B1}"/>
    <cellStyle name="Heading 4 4 4" xfId="9532" xr:uid="{0F99ADDE-B58C-471C-9B71-E3290F8EF248}"/>
    <cellStyle name="Heading 4 4 5" xfId="9533" xr:uid="{A86C887F-30AB-4E56-9327-8061FF7CBC18}"/>
    <cellStyle name="Heading 4 4 6" xfId="9534" xr:uid="{BA438FE0-9179-4454-8C45-26A79B874A3F}"/>
    <cellStyle name="Heading 4 4 7" xfId="9535" xr:uid="{B45C4ED5-FB74-4D46-970B-7698C27324B1}"/>
    <cellStyle name="Heading 4 4 8" xfId="9536" xr:uid="{28E050E6-543D-433E-B52A-42350A345BE7}"/>
    <cellStyle name="Heading 4 4 9" xfId="9537" xr:uid="{8E44272C-B1DF-4F69-A6AC-C3BA583F7CAD}"/>
    <cellStyle name="Heading 4 40" xfId="29323" xr:uid="{9F085515-FBD1-4BE5-9F21-61543D027C36}"/>
    <cellStyle name="Heading 4 41" xfId="29324" xr:uid="{D40AB2F9-8944-411D-A6D0-B142FF94A8D7}"/>
    <cellStyle name="Heading 4 42" xfId="45854" xr:uid="{AE66C42A-9781-4ECE-B8CF-59FC37B7B0E6}"/>
    <cellStyle name="Heading 4 5" xfId="9538" xr:uid="{A63FE330-4706-4EB5-9197-022D604E99D1}"/>
    <cellStyle name="Heading 4 5 10" xfId="9539" xr:uid="{9918F5EE-46B4-405E-BCD9-BC0AF4E85B59}"/>
    <cellStyle name="Heading 4 5 11" xfId="9540" xr:uid="{14C389FE-BB63-4341-8D9A-571A43BF880B}"/>
    <cellStyle name="Heading 4 5 2" xfId="9541" xr:uid="{4C9A1B2F-2374-4337-B081-08770497A987}"/>
    <cellStyle name="Heading 4 5 3" xfId="9542" xr:uid="{DC8A7F1E-8E87-4E7A-9532-4174D11913A3}"/>
    <cellStyle name="Heading 4 5 4" xfId="9543" xr:uid="{B936EDCD-19D3-4AC5-A087-7825C820130C}"/>
    <cellStyle name="Heading 4 5 5" xfId="9544" xr:uid="{2EDB42D7-F44C-4A60-B412-338434D4F215}"/>
    <cellStyle name="Heading 4 5 6" xfId="9545" xr:uid="{B0EA7143-BBC1-4CE8-BF56-571CFCEF7824}"/>
    <cellStyle name="Heading 4 5 7" xfId="9546" xr:uid="{E272A8A3-D9BD-4F78-87A5-215C14BD808F}"/>
    <cellStyle name="Heading 4 5 8" xfId="9547" xr:uid="{02D77F60-FCC0-4117-AEBA-00C07EC3567D}"/>
    <cellStyle name="Heading 4 5 9" xfId="9548" xr:uid="{D97883EA-C3C1-4092-A176-04F52D76EC69}"/>
    <cellStyle name="Heading 4 6" xfId="9549" xr:uid="{BC9343EE-21D2-4D3D-BC7D-F28E3D231E44}"/>
    <cellStyle name="Heading 4 6 10" xfId="9550" xr:uid="{DA76D644-BC1E-4022-9AF8-CCA2C1CA0F8B}"/>
    <cellStyle name="Heading 4 6 11" xfId="9551" xr:uid="{08B177E9-38E9-4185-AF9E-D89F9678AD3A}"/>
    <cellStyle name="Heading 4 6 2" xfId="9552" xr:uid="{9D8ACB29-D50C-4B00-BEF6-D5283A69D70A}"/>
    <cellStyle name="Heading 4 6 3" xfId="9553" xr:uid="{86E69B73-EDF6-4A9F-87A3-36E1900F40A1}"/>
    <cellStyle name="Heading 4 6 4" xfId="9554" xr:uid="{CC10440E-2F7B-4071-A8FA-1FEE843114C8}"/>
    <cellStyle name="Heading 4 6 5" xfId="9555" xr:uid="{C9A40D7F-89C9-4C0B-9CC8-0FC3CB2E78F7}"/>
    <cellStyle name="Heading 4 6 6" xfId="9556" xr:uid="{915BE0A6-803B-4C0C-9C62-671BD907B54A}"/>
    <cellStyle name="Heading 4 6 7" xfId="9557" xr:uid="{A13CD6D2-CB65-40B1-BA85-2C553A6F596A}"/>
    <cellStyle name="Heading 4 6 8" xfId="9558" xr:uid="{D18849E9-30F8-478E-8ADE-492152AD2096}"/>
    <cellStyle name="Heading 4 6 9" xfId="9559" xr:uid="{D7BEE1B7-8F8A-4C86-883E-8554A71B8B94}"/>
    <cellStyle name="Heading 4 7" xfId="9560" xr:uid="{1C09105A-0ADC-46C4-A945-AEAD94DC2202}"/>
    <cellStyle name="Heading 4 8" xfId="9561" xr:uid="{8932D53A-D025-47DE-A18E-FFE2D9580F05}"/>
    <cellStyle name="Heading 4 9" xfId="9562" xr:uid="{D3C5B5AF-ED90-4BAD-915B-CC8C6BDB936D}"/>
    <cellStyle name="Heading 5" xfId="29325" xr:uid="{C8C90B5A-93C6-48C0-87C5-116B92BA05A9}"/>
    <cellStyle name="Heading 5 2" xfId="29326" xr:uid="{0A0755DF-AA23-4DA7-8FC8-6F5F11A990A2}"/>
    <cellStyle name="Heading 5 2 2" xfId="29327" xr:uid="{78B6AA2F-A302-4E92-955B-3B9381C2E912}"/>
    <cellStyle name="Heading 5 3" xfId="29328" xr:uid="{D9C46726-8188-4406-93A3-9A7D50692D62}"/>
    <cellStyle name="Heading 5 3 2" xfId="29329" xr:uid="{47684D0E-7B17-4006-9B49-DD25A8D96DA7}"/>
    <cellStyle name="Heading 5 4" xfId="29330" xr:uid="{EFA2DB05-71B3-433D-BCAC-DDE8C2170E1B}"/>
    <cellStyle name="Heading 6" xfId="29331" xr:uid="{B22E6AAD-4D8E-4F30-A0B8-E0F9F67F991A}"/>
    <cellStyle name="Heading 7" xfId="29332" xr:uid="{CC83B23E-6E2D-441D-AE41-AEB5CFD82B15}"/>
    <cellStyle name="Heading 8" xfId="29333" xr:uid="{0BED2085-9E7E-4089-8866-3561D1202CC5}"/>
    <cellStyle name="Headline" xfId="102" xr:uid="{B6A7D73E-D0A8-40BD-B2F0-738B7565771A}"/>
    <cellStyle name="Hivatkozott cella" xfId="9563" xr:uid="{C791AC89-B2B4-4026-B68A-2AE84C821FE7}"/>
    <cellStyle name="Hyperlink" xfId="50" builtinId="8"/>
    <cellStyle name="Hyperlink 2" xfId="9564" xr:uid="{5D2453D7-BEB0-4447-A98C-75FFCC14DDCF}"/>
    <cellStyle name="Hyperlink 2 2" xfId="9565" xr:uid="{CA4DCA05-8F43-4B9B-98A8-860D2D5EB6AD}"/>
    <cellStyle name="Hyperlink 2 2 2" xfId="45773" xr:uid="{1E501F20-5B54-404B-AD46-D97BD532BA00}"/>
    <cellStyle name="Hyperlink 2 3" xfId="9566" xr:uid="{9AE13B78-0B93-425E-BB84-279F20539CA8}"/>
    <cellStyle name="Hyperlink 2 3 2" xfId="29334" xr:uid="{9BD8E497-4E77-42CC-9087-6DF85DF13228}"/>
    <cellStyle name="Hyperlink 2 3 3" xfId="29335" xr:uid="{634932CB-F44D-4C83-AE5E-4BBF9CC4BB14}"/>
    <cellStyle name="Hyperlink 2 4" xfId="29336" xr:uid="{02C87B3A-66B4-4AA0-BA0F-2CE5BEEE0E69}"/>
    <cellStyle name="Hyperlink 2 5" xfId="42201" xr:uid="{656447F2-4849-47F3-9B76-FAE77A33BFE6}"/>
    <cellStyle name="Hyperlink 2 6" xfId="45848" xr:uid="{DEF7D305-7B00-4CC9-A635-DC0F41A0DEE1}"/>
    <cellStyle name="Hyperlink 3" xfId="9567" xr:uid="{FD3FFEB1-B906-459B-8955-E251360EBC84}"/>
    <cellStyle name="Hyperlink 3 2" xfId="29337" xr:uid="{C1E72077-7A95-4DE2-AACB-574A43539879}"/>
    <cellStyle name="Hyperlink 3 3" xfId="29338" xr:uid="{8F40FDFE-DAC4-4F58-8329-17E2075C46A9}"/>
    <cellStyle name="Hyperlink 3 4" xfId="29339" xr:uid="{ADC6AB38-1C7F-4D55-8876-FED2F703B470}"/>
    <cellStyle name="Hyperlink 3 5" xfId="45832" xr:uid="{F44BD32E-084F-4EF1-B895-21B95C289085}"/>
    <cellStyle name="Hyperlink 4" xfId="29340" xr:uid="{7814CFD8-7109-4008-9E08-040F5F772064}"/>
    <cellStyle name="Hyperlink 5" xfId="29341" xr:uid="{F770D3E8-F431-47D0-BB92-705B014898F8}"/>
    <cellStyle name="Input" xfId="64" builtinId="20" customBuiltin="1"/>
    <cellStyle name="Input 10" xfId="9568" xr:uid="{38840AB6-A599-4C96-A493-11CDAA90EEA4}"/>
    <cellStyle name="Input 10 10" xfId="9569" xr:uid="{6A4283F4-EF4F-4A1A-9707-C1D6D6D75CC7}"/>
    <cellStyle name="Input 10 10 2" xfId="29342" xr:uid="{FA5ACE70-3A58-4DA6-97D9-F5552595B20E}"/>
    <cellStyle name="Input 10 10 3" xfId="29343" xr:uid="{EBCDE7D1-5814-49F1-925E-D151989E1303}"/>
    <cellStyle name="Input 10 11" xfId="9570" xr:uid="{2AF8DF96-A90B-4466-9FCB-583EE8B732D9}"/>
    <cellStyle name="Input 10 11 2" xfId="29344" xr:uid="{99876DA1-4D9D-4FF4-AC17-879C748A536F}"/>
    <cellStyle name="Input 10 12" xfId="29345" xr:uid="{635A83A1-7049-4FA2-A1F0-1EA503C47006}"/>
    <cellStyle name="Input 10 2" xfId="9571" xr:uid="{8DA45BDE-6FD8-49CD-81DC-96DEBFF05ED6}"/>
    <cellStyle name="Input 10 2 10" xfId="9572" xr:uid="{81E20600-D180-49F2-AA9F-4CD162836B24}"/>
    <cellStyle name="Input 10 2 10 2" xfId="29346" xr:uid="{1CE9D40C-AB74-410B-A001-AFA0DF82EB8C}"/>
    <cellStyle name="Input 10 2 11" xfId="29347" xr:uid="{79802A87-864D-494F-A5AE-3E764A371B71}"/>
    <cellStyle name="Input 10 2 12" xfId="29348" xr:uid="{7A71C915-5805-46B0-8569-556D7010E559}"/>
    <cellStyle name="Input 10 2 13" xfId="29349" xr:uid="{D5E1450D-32E2-436E-A7B0-6FEE6BC2D4F2}"/>
    <cellStyle name="Input 10 2 14" xfId="42759" xr:uid="{F5163E81-1AC7-4542-BFBA-6C8AC180836F}"/>
    <cellStyle name="Input 10 2 15" xfId="42331" xr:uid="{CBD2F17F-9097-4D2B-A3C6-AFBEBEA2CF4C}"/>
    <cellStyle name="Input 10 2 16" xfId="43863" xr:uid="{1E947A6D-5974-4D67-83E3-B4E33FC71FF0}"/>
    <cellStyle name="Input 10 2 2" xfId="9573" xr:uid="{A14A5D58-2D31-4335-8447-7C1C94358E7C}"/>
    <cellStyle name="Input 10 2 2 2" xfId="9574" xr:uid="{9475FF95-F81E-45CF-AD68-896A2DEA1FFC}"/>
    <cellStyle name="Input 10 2 2 3" xfId="9575" xr:uid="{9D3DA7B8-A177-445E-82A1-DABFF6D17DEF}"/>
    <cellStyle name="Input 10 2 2 4" xfId="9576" xr:uid="{CBF0EB4F-EB95-4571-8E7B-6EE5A00F19EA}"/>
    <cellStyle name="Input 10 2 3" xfId="9577" xr:uid="{43ACBF26-A504-4644-BEDB-9A205F3D9EC1}"/>
    <cellStyle name="Input 10 2 3 2" xfId="9578" xr:uid="{00DF69F1-910C-40C6-93A0-740D260B8C17}"/>
    <cellStyle name="Input 10 2 3 3" xfId="29350" xr:uid="{7E6BFD7F-8961-4C93-AAC3-9A5A83DB5BCB}"/>
    <cellStyle name="Input 10 2 4" xfId="9579" xr:uid="{3C7FA68F-609D-4197-B860-D665A1D79204}"/>
    <cellStyle name="Input 10 2 4 2" xfId="9580" xr:uid="{00B980F0-D44C-42DE-B259-68DF7E316511}"/>
    <cellStyle name="Input 10 2 4 3" xfId="29351" xr:uid="{7E993922-88CE-44F8-BAF1-C06FA998062D}"/>
    <cellStyle name="Input 10 2 5" xfId="9581" xr:uid="{0EA3E19F-4B25-459A-BA41-F7F6686EA4F8}"/>
    <cellStyle name="Input 10 2 5 2" xfId="9582" xr:uid="{F6119EE2-B798-4F3F-85F3-EC0B95F7DE17}"/>
    <cellStyle name="Input 10 2 5 3" xfId="29352" xr:uid="{43FD3234-14CF-4404-A540-F83F09386290}"/>
    <cellStyle name="Input 10 2 6" xfId="9583" xr:uid="{A7FEB01F-69F2-4B31-B3DC-E6343363E8FA}"/>
    <cellStyle name="Input 10 2 6 2" xfId="9584" xr:uid="{C598743A-295B-4138-9EA2-5D160B3FBCAE}"/>
    <cellStyle name="Input 10 2 6 3" xfId="29353" xr:uid="{C16D302B-629B-4CCE-8A30-45BCE75904E5}"/>
    <cellStyle name="Input 10 2 7" xfId="9585" xr:uid="{C31EACC1-842E-4810-A8AF-A28A5F2BE203}"/>
    <cellStyle name="Input 10 2 7 2" xfId="9586" xr:uid="{C5D57423-57A6-4004-BAF0-592ED91F70E5}"/>
    <cellStyle name="Input 10 2 7 3" xfId="29354" xr:uid="{72C56CAA-434F-454C-A785-D86A1D231882}"/>
    <cellStyle name="Input 10 2 8" xfId="9587" xr:uid="{EFCE22C7-E8BB-4252-AFAD-7110EB7755F6}"/>
    <cellStyle name="Input 10 2 8 2" xfId="9588" xr:uid="{071420EC-A188-4D8E-8008-CC0506FC7F8E}"/>
    <cellStyle name="Input 10 2 8 3" xfId="29355" xr:uid="{EB1673A2-CDA6-4092-938A-79621BDB3C4F}"/>
    <cellStyle name="Input 10 2 9" xfId="9589" xr:uid="{0D250412-A74F-40B4-894D-02DFB0DE01F7}"/>
    <cellStyle name="Input 10 2 9 2" xfId="29356" xr:uid="{8D13286F-8A04-49A1-A205-A330F4ED8007}"/>
    <cellStyle name="Input 10 2 9 3" xfId="29357" xr:uid="{92860808-F4F3-4CD4-94A0-E1A033F124AE}"/>
    <cellStyle name="Input 10 3" xfId="9590" xr:uid="{9B50D10F-C363-41E0-9D4E-AC2690576CC5}"/>
    <cellStyle name="Input 10 3 2" xfId="9591" xr:uid="{5DDB631A-7543-431D-95D5-DC98EDD4E474}"/>
    <cellStyle name="Input 10 3 3" xfId="9592" xr:uid="{5D3C4900-EF57-45E2-870D-8C7480793BA4}"/>
    <cellStyle name="Input 10 3 4" xfId="9593" xr:uid="{E2DA8D80-8F51-4BB8-A451-018518614690}"/>
    <cellStyle name="Input 10 4" xfId="9594" xr:uid="{2152F031-7917-4BCB-B5DD-F92FE480AF23}"/>
    <cellStyle name="Input 10 4 2" xfId="9595" xr:uid="{DC4CF99A-A87C-415A-8FB7-0CE91BE60DA9}"/>
    <cellStyle name="Input 10 4 3" xfId="29358" xr:uid="{60E8EBE2-78E3-4226-8FE9-A0C13D70FE58}"/>
    <cellStyle name="Input 10 5" xfId="9596" xr:uid="{908A3F75-C331-49F9-9AA7-E1A604A40E14}"/>
    <cellStyle name="Input 10 5 2" xfId="9597" xr:uid="{5EFA0307-6E68-441A-83CD-D4ECF6E1E4EB}"/>
    <cellStyle name="Input 10 5 3" xfId="29359" xr:uid="{900D2871-6BD7-44E3-89B6-70F56E0611A7}"/>
    <cellStyle name="Input 10 6" xfId="9598" xr:uid="{987F4EF9-C460-4AEA-A742-4230155ABAF4}"/>
    <cellStyle name="Input 10 6 2" xfId="9599" xr:uid="{0627609E-DEE2-48A3-94AC-70FFF0C7E838}"/>
    <cellStyle name="Input 10 6 3" xfId="29360" xr:uid="{00C5A6B1-0536-437B-9FC1-454A274CF5EC}"/>
    <cellStyle name="Input 10 7" xfId="9600" xr:uid="{DBC3EF6F-04BF-45EC-A0BE-DC6E19367E1B}"/>
    <cellStyle name="Input 10 7 2" xfId="9601" xr:uid="{3497C706-BB8F-43BD-9EFC-3B99CE31DC38}"/>
    <cellStyle name="Input 10 7 3" xfId="29361" xr:uid="{73C6EB64-2540-4F5A-B787-F3F84B692974}"/>
    <cellStyle name="Input 10 8" xfId="9602" xr:uid="{1B79F5B3-BF63-41CD-A777-838A065FD447}"/>
    <cellStyle name="Input 10 8 2" xfId="9603" xr:uid="{353D9713-ECF4-4D9C-83C1-F83E8B68154C}"/>
    <cellStyle name="Input 10 8 3" xfId="29362" xr:uid="{A21BF374-21B4-47DC-98F5-0E93B9F61865}"/>
    <cellStyle name="Input 10 9" xfId="9604" xr:uid="{ADB22B3E-8E02-49F7-B932-43584EEDF4E5}"/>
    <cellStyle name="Input 10 9 2" xfId="9605" xr:uid="{8DAAD892-2473-45F6-9542-20E48F4C1537}"/>
    <cellStyle name="Input 10 9 3" xfId="29363" xr:uid="{4AB50A68-8046-43A3-BF0C-EF4F35C99A53}"/>
    <cellStyle name="Input 11 2" xfId="29364" xr:uid="{AAAB6E9E-0C27-4459-B82B-F72FCB7A731C}"/>
    <cellStyle name="Input 11 2 2" xfId="29365" xr:uid="{AB7AAE57-A27A-4292-BCA6-B63A5705964B}"/>
    <cellStyle name="Input 11 2 3" xfId="42760" xr:uid="{474B0222-BB91-40E9-9B05-B991CA0FB23B}"/>
    <cellStyle name="Input 11 2 4" xfId="42330" xr:uid="{6E27A38A-7D1B-4570-B017-5601A9ECC767}"/>
    <cellStyle name="Input 11 2 5" xfId="43864" xr:uid="{8E13AD4A-78E3-4A86-89D8-1A01ACFBE80A}"/>
    <cellStyle name="Input 12 2" xfId="29366" xr:uid="{DB367700-A033-4374-903B-BEDE2ABC07D0}"/>
    <cellStyle name="Input 12 2 2" xfId="29367" xr:uid="{5D90FA14-E287-4A19-8EB6-414E927FE633}"/>
    <cellStyle name="Input 12 2 3" xfId="42761" xr:uid="{FDD23554-F19E-4F9A-A1E5-30F544B55942}"/>
    <cellStyle name="Input 12 2 4" xfId="42329" xr:uid="{A7CC547F-BE97-4A2D-AC0B-32CCBEB6FC11}"/>
    <cellStyle name="Input 12 2 5" xfId="43865" xr:uid="{B1CDC666-8F1F-4985-A331-CDF537AA4F0F}"/>
    <cellStyle name="Input 13 2" xfId="29368" xr:uid="{A653ABFE-E1A9-461A-81BE-8450F9D77AB8}"/>
    <cellStyle name="Input 13 2 2" xfId="29369" xr:uid="{14E00B1C-DC48-43D8-AE7D-7129B76EA335}"/>
    <cellStyle name="Input 13 2 3" xfId="42762" xr:uid="{A1DA300C-C82B-4329-92A8-638559808501}"/>
    <cellStyle name="Input 13 2 4" xfId="42328" xr:uid="{B381041E-259B-4E52-B243-325B29EC32D3}"/>
    <cellStyle name="Input 13 2 5" xfId="43866" xr:uid="{50528CD0-E99C-4295-BEA7-40C1CA82850F}"/>
    <cellStyle name="Input 14 2" xfId="29370" xr:uid="{6F0AD6D6-2C72-4A43-98CB-35AE90ED848B}"/>
    <cellStyle name="Input 14 2 2" xfId="29371" xr:uid="{9C3CC9CD-363B-408B-A026-B2514354339A}"/>
    <cellStyle name="Input 14 2 3" xfId="42763" xr:uid="{0F598DCB-BE42-4154-96A9-066C1F5394BD}"/>
    <cellStyle name="Input 14 2 4" xfId="42327" xr:uid="{18C1027E-F97E-4D1B-8D3B-BE39883E1F51}"/>
    <cellStyle name="Input 14 2 5" xfId="43867" xr:uid="{C6E2CE14-A877-41D4-A16D-B9FA149A4289}"/>
    <cellStyle name="Input 15 2" xfId="29372" xr:uid="{92772983-E5FB-4858-89E0-333583EC2413}"/>
    <cellStyle name="Input 15 2 2" xfId="29373" xr:uid="{96C473CA-172F-4715-B8BB-D6E29EEE6135}"/>
    <cellStyle name="Input 15 2 3" xfId="42764" xr:uid="{11DE82DE-3427-45D8-8F94-FB5D89507DAA}"/>
    <cellStyle name="Input 15 2 4" xfId="42326" xr:uid="{DF6587CB-CD21-4715-A0D3-14340EF04620}"/>
    <cellStyle name="Input 15 2 5" xfId="43868" xr:uid="{8C831C7F-BFBE-4120-8C4E-E9C072A737D2}"/>
    <cellStyle name="Input 16 2" xfId="29374" xr:uid="{CB80893B-6E7C-4198-B954-2255ABE7DB9D}"/>
    <cellStyle name="Input 16 2 2" xfId="29375" xr:uid="{D6232173-3FCF-4991-9036-7F415B0BD06A}"/>
    <cellStyle name="Input 16 2 3" xfId="42765" xr:uid="{EBD0F623-615C-4FEA-967E-4B142AEC4CC8}"/>
    <cellStyle name="Input 16 2 4" xfId="42324" xr:uid="{5B9BB24B-D422-4AEF-9AA9-A9C268F06C80}"/>
    <cellStyle name="Input 16 2 5" xfId="43869" xr:uid="{53C594C2-888B-4FE5-AB1A-A8A857AACFD0}"/>
    <cellStyle name="Input 17 2" xfId="29376" xr:uid="{5C455B35-7611-4218-8B4B-9FAAF0C24AED}"/>
    <cellStyle name="Input 17 2 2" xfId="29377" xr:uid="{7D71E8D2-D5EB-47D2-8204-18B43B552BB8}"/>
    <cellStyle name="Input 17 2 3" xfId="42766" xr:uid="{6DC818D4-7308-44D0-B5B7-E3474583830A}"/>
    <cellStyle name="Input 17 2 4" xfId="42323" xr:uid="{CB0B17D0-5DDD-4F22-B5AD-660BD0E82DF9}"/>
    <cellStyle name="Input 17 2 5" xfId="43870" xr:uid="{8A96A042-03E8-4115-B7D3-B4F837215D29}"/>
    <cellStyle name="Input 18 2" xfId="29378" xr:uid="{48052545-6802-496D-B020-8AE12AFB360C}"/>
    <cellStyle name="Input 18 2 2" xfId="29379" xr:uid="{474AE575-0888-40AC-9E25-5B2491A87827}"/>
    <cellStyle name="Input 18 2 3" xfId="42767" xr:uid="{38E575D1-5413-40B4-A43B-5261BED2E499}"/>
    <cellStyle name="Input 18 2 4" xfId="42322" xr:uid="{98ABB97D-426D-42E4-ADD1-5AA38A90540B}"/>
    <cellStyle name="Input 18 2 5" xfId="43871" xr:uid="{31E9BD3F-4D58-4CF8-872B-B46546AE601F}"/>
    <cellStyle name="Input 19 2" xfId="29380" xr:uid="{3C796B3E-AC66-4F0A-940E-E2D038BB019D}"/>
    <cellStyle name="Input 19 2 2" xfId="29381" xr:uid="{8BB36EB3-189B-48E4-BCF8-A1345C052870}"/>
    <cellStyle name="Input 19 2 3" xfId="42768" xr:uid="{08FFD6A6-CEEC-4020-9790-3060917DB879}"/>
    <cellStyle name="Input 19 2 4" xfId="42321" xr:uid="{EFF50AEB-8A28-4538-A8A3-D72ED3766658}"/>
    <cellStyle name="Input 19 2 5" xfId="43872" xr:uid="{82911A66-0630-4456-8FA1-602F8617A718}"/>
    <cellStyle name="Input 2" xfId="9606" xr:uid="{BC58F100-68B6-43FA-B4A5-C7FD55F8DA06}"/>
    <cellStyle name="Input 2 10" xfId="9607" xr:uid="{17EABDCD-922A-433A-9E42-001AB6CD4DC9}"/>
    <cellStyle name="Input 2 10 10" xfId="9608" xr:uid="{ABBBD432-D63B-471C-AE00-ACD2D2FD9A75}"/>
    <cellStyle name="Input 2 10 10 2" xfId="29382" xr:uid="{E3363175-364C-457A-9D7C-2072EA9F4826}"/>
    <cellStyle name="Input 2 10 10 3" xfId="29383" xr:uid="{1E260532-9514-4311-96F4-7194843B95D8}"/>
    <cellStyle name="Input 2 10 11" xfId="9609" xr:uid="{EB83BFC1-93AE-4982-AA80-9E1B721BC14B}"/>
    <cellStyle name="Input 2 10 11 2" xfId="29384" xr:uid="{B5A6264C-B124-4D88-B56E-2E2ACF74717E}"/>
    <cellStyle name="Input 2 10 12" xfId="29385" xr:uid="{E5F91365-CEB5-48AD-A6E0-9C6248ED604D}"/>
    <cellStyle name="Input 2 10 13" xfId="29386" xr:uid="{DC9E7F81-9221-40E7-9634-D7ECF4978B49}"/>
    <cellStyle name="Input 2 10 14" xfId="29387" xr:uid="{66F423A0-4E5B-4C3B-8749-F02F69B57982}"/>
    <cellStyle name="Input 2 10 15" xfId="42769" xr:uid="{C133B80D-5C3F-4CED-A5E5-4EC29FB1CFBE}"/>
    <cellStyle name="Input 2 10 16" xfId="43474" xr:uid="{E4E56B32-FB17-4248-A56C-5AA2EC6F84C8}"/>
    <cellStyle name="Input 2 10 17" xfId="43873" xr:uid="{AA78DD7B-0335-434A-9042-3A3AA08E8BFE}"/>
    <cellStyle name="Input 2 10 2" xfId="9610" xr:uid="{D7FAD5F3-B08A-4C00-83B4-D0246BAD009A}"/>
    <cellStyle name="Input 2 10 2 10" xfId="9611" xr:uid="{8290DBD1-40BF-4602-A0AD-ED624FC6A5EB}"/>
    <cellStyle name="Input 2 10 2 10 2" xfId="29388" xr:uid="{23CBD717-8038-415E-8BD1-A6376AE41243}"/>
    <cellStyle name="Input 2 10 2 11" xfId="29389" xr:uid="{D2E637A0-EA4F-4704-AAD8-C3A8C5051EB1}"/>
    <cellStyle name="Input 2 10 2 12" xfId="29390" xr:uid="{DDA1CF2F-2CE3-4441-B0AB-C904B50D763C}"/>
    <cellStyle name="Input 2 10 2 2" xfId="9612" xr:uid="{1506A66B-774D-4284-BA22-49A8193ACFF8}"/>
    <cellStyle name="Input 2 10 2 2 2" xfId="9613" xr:uid="{970A8F55-650D-41D5-BD56-9E1F3DD1192C}"/>
    <cellStyle name="Input 2 10 2 2 2 2" xfId="29391" xr:uid="{6758F003-8EE9-4AE0-A1B1-FE682A276EB3}"/>
    <cellStyle name="Input 2 10 2 2 2 3" xfId="29392" xr:uid="{1C7548B8-008E-43DA-A7C8-68236EDB5385}"/>
    <cellStyle name="Input 2 10 2 2 3" xfId="9614" xr:uid="{C5719DC9-5FA8-4223-AA69-EEC3CC2548E9}"/>
    <cellStyle name="Input 2 10 2 2 3 2" xfId="9615" xr:uid="{8241A75D-5DED-4177-9B88-E616CB421A1D}"/>
    <cellStyle name="Input 2 10 2 2 4" xfId="9616" xr:uid="{283686F6-BA5D-4F46-A4A8-43561BFA19AE}"/>
    <cellStyle name="Input 2 10 2 2 4 2" xfId="29393" xr:uid="{8A658170-455A-45BB-B5C2-02BE3D1C1029}"/>
    <cellStyle name="Input 2 10 2 2 5" xfId="29394" xr:uid="{E7AF06B2-5F7D-4C79-8912-7C588FF2F179}"/>
    <cellStyle name="Input 2 10 2 2 6" xfId="29395" xr:uid="{FE3B1706-547A-42CF-B9D2-50FA3311BB70}"/>
    <cellStyle name="Input 2 10 2 2 7" xfId="29396" xr:uid="{E7C2ACA0-A82E-40C8-9C1A-27A67E55BC24}"/>
    <cellStyle name="Input 2 10 2 2 8" xfId="29397" xr:uid="{456D781A-9F86-4C36-8F0E-AC13DC1910B5}"/>
    <cellStyle name="Input 2 10 2 3" xfId="9617" xr:uid="{4F0CCAB2-BDFC-4F70-B814-9A869285ACE2}"/>
    <cellStyle name="Input 2 10 2 3 2" xfId="9618" xr:uid="{C1387F75-1FCE-4F0F-A143-204B30355D6F}"/>
    <cellStyle name="Input 2 10 2 3 3" xfId="29398" xr:uid="{3C837C53-7F2D-4FD1-8B30-8AFD7F8F597D}"/>
    <cellStyle name="Input 2 10 2 4" xfId="9619" xr:uid="{077B8B38-B247-43E6-8F8E-FE73598A2288}"/>
    <cellStyle name="Input 2 10 2 4 2" xfId="9620" xr:uid="{1E4020F1-03CB-4BB9-BD23-4B570E0A0C23}"/>
    <cellStyle name="Input 2 10 2 4 3" xfId="29399" xr:uid="{E783E2A8-A1EF-4947-8496-62FC05FE4021}"/>
    <cellStyle name="Input 2 10 2 5" xfId="9621" xr:uid="{97B6AE1C-3CE1-459A-806B-E8F9DF95B984}"/>
    <cellStyle name="Input 2 10 2 5 2" xfId="9622" xr:uid="{51CEEB07-2572-4256-AC79-04DB66B662C3}"/>
    <cellStyle name="Input 2 10 2 5 3" xfId="29400" xr:uid="{56089C72-556B-4BAA-A707-7574C36622E7}"/>
    <cellStyle name="Input 2 10 2 6" xfId="9623" xr:uid="{DECDCCD3-F5BF-491E-A319-D6A0C97D5014}"/>
    <cellStyle name="Input 2 10 2 6 2" xfId="9624" xr:uid="{C088D29F-6FF7-4000-9995-219E1DD28CA6}"/>
    <cellStyle name="Input 2 10 2 6 3" xfId="29401" xr:uid="{5791D3F2-3F7B-421F-A907-80906779A260}"/>
    <cellStyle name="Input 2 10 2 7" xfId="9625" xr:uid="{FC83D21F-9F7F-41B8-9161-3A2825F5DE85}"/>
    <cellStyle name="Input 2 10 2 7 2" xfId="9626" xr:uid="{BC937CBF-24BF-4CF2-A0F4-C869F6A24ADD}"/>
    <cellStyle name="Input 2 10 2 7 3" xfId="29402" xr:uid="{BB048A19-4B91-467C-8452-3E2E3871235E}"/>
    <cellStyle name="Input 2 10 2 8" xfId="9627" xr:uid="{EDA999DD-6CC5-4D09-82F6-F113002F4C6E}"/>
    <cellStyle name="Input 2 10 2 8 2" xfId="9628" xr:uid="{3C901A7D-E639-47EB-8755-30B9FC94B054}"/>
    <cellStyle name="Input 2 10 2 8 3" xfId="29403" xr:uid="{FF007AE6-0888-4A7A-A508-E2BB3C0B18E6}"/>
    <cellStyle name="Input 2 10 2 9" xfId="9629" xr:uid="{6E71053F-4402-4420-8D98-FDD597F08D19}"/>
    <cellStyle name="Input 2 10 2 9 2" xfId="29404" xr:uid="{353F5ABD-C360-44A6-A00B-C17EC5215A59}"/>
    <cellStyle name="Input 2 10 2 9 3" xfId="29405" xr:uid="{73D942CA-48DD-4419-A038-4656A755C373}"/>
    <cellStyle name="Input 2 10 3" xfId="9630" xr:uid="{EE7D2B00-0E53-4E45-8B16-CFFE8F7F1D06}"/>
    <cellStyle name="Input 2 10 3 2" xfId="9631" xr:uid="{40ADD6E7-98A2-47E7-8A7F-8DBBDEF0C46A}"/>
    <cellStyle name="Input 2 10 3 3" xfId="9632" xr:uid="{E6659F53-655B-4F5F-AA19-7B0D4987B4E8}"/>
    <cellStyle name="Input 2 10 3 4" xfId="9633" xr:uid="{1D78BEB1-FF5D-493A-9748-1C09E4C7CADD}"/>
    <cellStyle name="Input 2 10 4" xfId="9634" xr:uid="{44AB35D4-FC6D-4263-90C1-A2A6429EEF97}"/>
    <cellStyle name="Input 2 10 4 2" xfId="9635" xr:uid="{DC929BD1-A4BF-4E28-9C62-CB13A4AFADF6}"/>
    <cellStyle name="Input 2 10 4 3" xfId="29406" xr:uid="{D11493B8-38F6-4624-8D48-3D9A31A14FE2}"/>
    <cellStyle name="Input 2 10 5" xfId="9636" xr:uid="{E7590F5D-1B24-4A8E-9229-F399BFF0F766}"/>
    <cellStyle name="Input 2 10 5 2" xfId="9637" xr:uid="{173AE074-5913-462B-BE43-5F0026B87235}"/>
    <cellStyle name="Input 2 10 5 3" xfId="29407" xr:uid="{368FB3E1-395F-4147-A71D-8DF89A9A0515}"/>
    <cellStyle name="Input 2 10 6" xfId="9638" xr:uid="{157EF5F5-F257-43BF-8662-A9BE2FB1B510}"/>
    <cellStyle name="Input 2 10 6 2" xfId="9639" xr:uid="{2AFBA4F9-49D2-4F64-B476-34742F389160}"/>
    <cellStyle name="Input 2 10 6 3" xfId="29408" xr:uid="{BD374005-260F-4FAE-A6F1-B6507CE8DB8E}"/>
    <cellStyle name="Input 2 10 7" xfId="9640" xr:uid="{91A517D1-60B3-467C-A2DA-BD1D5F1AD922}"/>
    <cellStyle name="Input 2 10 7 2" xfId="9641" xr:uid="{88837F50-E461-4BCE-82EF-4B5F49E9931D}"/>
    <cellStyle name="Input 2 10 7 3" xfId="29409" xr:uid="{CB0A4F7F-DC8D-40D5-9BC5-C6D271A77883}"/>
    <cellStyle name="Input 2 10 8" xfId="9642" xr:uid="{FE5E78DD-C84F-46E9-A77C-795AF2A758CF}"/>
    <cellStyle name="Input 2 10 8 2" xfId="9643" xr:uid="{D61FFA71-C92E-4733-8169-A6D210EDF2E5}"/>
    <cellStyle name="Input 2 10 8 3" xfId="29410" xr:uid="{BE6B2D27-2929-46B2-8A61-127DD9E5BB1F}"/>
    <cellStyle name="Input 2 10 9" xfId="9644" xr:uid="{75B80401-1D1E-4CEB-B165-2D48DAB5DE3C}"/>
    <cellStyle name="Input 2 10 9 2" xfId="9645" xr:uid="{10E28C59-67CA-41FE-BE6F-16034C897BE8}"/>
    <cellStyle name="Input 2 10 9 3" xfId="29411" xr:uid="{C6BE83D2-C3E0-4838-B637-428E9AC9EFB2}"/>
    <cellStyle name="Input 2 11" xfId="9646" xr:uid="{A8D2642C-C447-4501-AA9E-4CBD0D380169}"/>
    <cellStyle name="Input 2 11 10" xfId="9647" xr:uid="{1BC9AB80-4976-4C7D-8884-EA472036AF15}"/>
    <cellStyle name="Input 2 11 10 2" xfId="29412" xr:uid="{EE6CEBC8-E54C-47D3-BF78-25997BAA3154}"/>
    <cellStyle name="Input 2 11 10 3" xfId="29413" xr:uid="{5C77F3FC-D29D-48AB-B9DE-C80716905E02}"/>
    <cellStyle name="Input 2 11 11" xfId="9648" xr:uid="{0EB3B1D3-6794-4B4F-9717-9D558C742211}"/>
    <cellStyle name="Input 2 11 11 2" xfId="29414" xr:uid="{716A3F2A-CA67-41B6-BF2C-949DF3556FBC}"/>
    <cellStyle name="Input 2 11 12" xfId="29415" xr:uid="{E9BF5709-A0BC-47C6-B09C-F412D858B4C5}"/>
    <cellStyle name="Input 2 11 13" xfId="29416" xr:uid="{3482384F-D2BE-4792-BCB2-11930C285A5B}"/>
    <cellStyle name="Input 2 11 14" xfId="29417" xr:uid="{D3E8A14E-53D3-4635-9BB4-99C2D9437995}"/>
    <cellStyle name="Input 2 11 2" xfId="9649" xr:uid="{28D8E624-1A0B-41AF-B1FB-483AA6277CE4}"/>
    <cellStyle name="Input 2 11 2 10" xfId="9650" xr:uid="{5B49F889-10E7-4EB6-9AF2-6AFBB1B31382}"/>
    <cellStyle name="Input 2 11 2 10 2" xfId="29418" xr:uid="{13D2B866-79C7-435C-9F48-B30AD12C5994}"/>
    <cellStyle name="Input 2 11 2 11" xfId="29419" xr:uid="{B24ADBAD-4481-436A-B080-9E15D8D33A24}"/>
    <cellStyle name="Input 2 11 2 2" xfId="9651" xr:uid="{7BB83DDF-4DA0-461C-B59B-ECFBCFAF5EB8}"/>
    <cellStyle name="Input 2 11 2 2 2" xfId="9652" xr:uid="{84EEE33A-AAA5-45CF-8E20-24022A46B067}"/>
    <cellStyle name="Input 2 11 2 2 3" xfId="9653" xr:uid="{6897478D-3554-4F14-9E26-2957831F8C33}"/>
    <cellStyle name="Input 2 11 2 2 4" xfId="9654" xr:uid="{0A7C7CCC-84A0-44F7-A7E6-B21CA05A5059}"/>
    <cellStyle name="Input 2 11 2 3" xfId="9655" xr:uid="{8C0C74D1-42D0-42BD-BA26-EADC1548F49E}"/>
    <cellStyle name="Input 2 11 2 3 2" xfId="9656" xr:uid="{4BD87AE4-FD89-4E95-B0CD-433EF8C1123D}"/>
    <cellStyle name="Input 2 11 2 3 3" xfId="29420" xr:uid="{51C9C1C6-8B19-48CC-9FD7-10A8574C0147}"/>
    <cellStyle name="Input 2 11 2 4" xfId="9657" xr:uid="{3D2CC911-DDC0-4F36-9E8C-EE5B9682755D}"/>
    <cellStyle name="Input 2 11 2 4 2" xfId="9658" xr:uid="{E1FA3BE0-1525-45FD-A495-72BC50B3796D}"/>
    <cellStyle name="Input 2 11 2 4 3" xfId="29421" xr:uid="{59C9D991-34AD-42E4-92DA-A46A24C18245}"/>
    <cellStyle name="Input 2 11 2 5" xfId="9659" xr:uid="{40FB0160-84E9-4D2E-850D-112E203E76BF}"/>
    <cellStyle name="Input 2 11 2 5 2" xfId="9660" xr:uid="{A7ABA236-0A76-4A30-8D22-8712C76A5BDB}"/>
    <cellStyle name="Input 2 11 2 5 3" xfId="29422" xr:uid="{CB9CFCED-0E39-4116-A2EB-DC09D0D08943}"/>
    <cellStyle name="Input 2 11 2 6" xfId="9661" xr:uid="{8A6B55CD-0FD3-4BC8-939E-D5E5E5666074}"/>
    <cellStyle name="Input 2 11 2 6 2" xfId="9662" xr:uid="{F6955B44-1EC1-42A2-9520-85E279D7BB34}"/>
    <cellStyle name="Input 2 11 2 6 3" xfId="29423" xr:uid="{47FF25D3-A784-4F8C-B852-037C867280D6}"/>
    <cellStyle name="Input 2 11 2 7" xfId="9663" xr:uid="{D52A0398-D390-4B63-9243-EA4F4D182671}"/>
    <cellStyle name="Input 2 11 2 7 2" xfId="9664" xr:uid="{0049C578-7611-4CD1-B66E-BAF06CA88FE9}"/>
    <cellStyle name="Input 2 11 2 7 3" xfId="29424" xr:uid="{9BC589FC-08F9-4F9A-848D-A40B31DE2D42}"/>
    <cellStyle name="Input 2 11 2 8" xfId="9665" xr:uid="{8C82E653-0080-47F8-AD52-A6EC96CA8C29}"/>
    <cellStyle name="Input 2 11 2 8 2" xfId="9666" xr:uid="{0232B51A-EDD7-4E57-9883-B32DC305456D}"/>
    <cellStyle name="Input 2 11 2 8 3" xfId="29425" xr:uid="{51FB74F3-6648-4BB9-B6F6-67631F457828}"/>
    <cellStyle name="Input 2 11 2 9" xfId="9667" xr:uid="{E9B7F7D9-213B-4903-A9E9-1105273D85A9}"/>
    <cellStyle name="Input 2 11 2 9 2" xfId="29426" xr:uid="{ED89AE53-5412-470D-85BF-9CB0BBD25247}"/>
    <cellStyle name="Input 2 11 2 9 3" xfId="29427" xr:uid="{4E0AD436-B23A-4DD3-887F-1B6E108EBAFB}"/>
    <cellStyle name="Input 2 11 3" xfId="9668" xr:uid="{D2480899-11A9-4C65-A2C5-277AA39830F8}"/>
    <cellStyle name="Input 2 11 3 2" xfId="9669" xr:uid="{4BF1400A-8EB5-4057-AB34-B2E13187DCC6}"/>
    <cellStyle name="Input 2 11 3 3" xfId="9670" xr:uid="{4D5496FB-B628-47CA-ADF4-D60DB0D83157}"/>
    <cellStyle name="Input 2 11 3 4" xfId="9671" xr:uid="{9E4FD72B-982D-4532-A3DC-DB8B9C372698}"/>
    <cellStyle name="Input 2 11 4" xfId="9672" xr:uid="{067CCFC8-9F6B-4D68-B372-A8D2CC5C86EC}"/>
    <cellStyle name="Input 2 11 4 2" xfId="9673" xr:uid="{AD9983AE-20EA-490A-BDCF-A613FA553E4C}"/>
    <cellStyle name="Input 2 11 4 3" xfId="29428" xr:uid="{2BE12258-798E-48FC-BCF7-868F3EDA4294}"/>
    <cellStyle name="Input 2 11 5" xfId="9674" xr:uid="{C4E959CF-6172-465D-BA64-D6CDB98D62DA}"/>
    <cellStyle name="Input 2 11 5 2" xfId="9675" xr:uid="{C582AF36-7EE0-4AEA-B7C5-E9C5A8D9F099}"/>
    <cellStyle name="Input 2 11 5 3" xfId="29429" xr:uid="{58AC048C-990D-41ED-9382-850AF04A70AE}"/>
    <cellStyle name="Input 2 11 6" xfId="9676" xr:uid="{D1AEFEF3-C000-497F-97D0-1CF51DF79816}"/>
    <cellStyle name="Input 2 11 6 2" xfId="9677" xr:uid="{AE7E13AC-1AA0-4E22-8209-88FAD84F00F3}"/>
    <cellStyle name="Input 2 11 6 3" xfId="29430" xr:uid="{AC2FAE54-0287-4D2E-B90A-A0AED205B300}"/>
    <cellStyle name="Input 2 11 7" xfId="9678" xr:uid="{F6A6E822-8110-4575-9517-B758ACE6FDAF}"/>
    <cellStyle name="Input 2 11 7 2" xfId="9679" xr:uid="{317A38FE-DB6B-4E84-89C8-E17265B41DE3}"/>
    <cellStyle name="Input 2 11 7 3" xfId="29431" xr:uid="{E3C45F5B-7817-482D-91F0-8FBDF7ADF791}"/>
    <cellStyle name="Input 2 11 8" xfId="9680" xr:uid="{DEE86F3D-9332-4BCF-9304-D8773DF0BC86}"/>
    <cellStyle name="Input 2 11 8 2" xfId="9681" xr:uid="{872C32EC-C39A-4130-BA7E-5E77716428C8}"/>
    <cellStyle name="Input 2 11 8 3" xfId="29432" xr:uid="{48162F6A-2A1F-4DCF-A19A-93C0D66F43C8}"/>
    <cellStyle name="Input 2 11 9" xfId="9682" xr:uid="{770DE995-09BB-479B-89A5-38B39016F79B}"/>
    <cellStyle name="Input 2 11 9 2" xfId="9683" xr:uid="{6EF0BC27-3FF4-4ADD-9D70-334E2531F9DE}"/>
    <cellStyle name="Input 2 11 9 3" xfId="29433" xr:uid="{2D7B4DC4-1C8A-4882-869B-09B1EB87CC2F}"/>
    <cellStyle name="Input 2 12" xfId="9684" xr:uid="{FF8E70C9-B344-457B-9C44-1603783A47BF}"/>
    <cellStyle name="Input 2 12 10" xfId="9685" xr:uid="{3DF59E58-8B89-40B3-A8B1-5FAA36446682}"/>
    <cellStyle name="Input 2 12 10 2" xfId="29434" xr:uid="{713E6E41-01A7-4378-BF01-D4CEAF1A34ED}"/>
    <cellStyle name="Input 2 12 11" xfId="29435" xr:uid="{CA92FF94-1BBE-4027-BB83-EFA2B1FB3084}"/>
    <cellStyle name="Input 2 12 2" xfId="9686" xr:uid="{3048321B-234F-44F6-82CC-EAC4AE79FFD6}"/>
    <cellStyle name="Input 2 12 2 2" xfId="9687" xr:uid="{5C905A40-93E5-40CB-97B5-9B762A5F0D31}"/>
    <cellStyle name="Input 2 12 2 3" xfId="9688" xr:uid="{4D3EE95F-4BD2-4386-8FC5-9A0C2F0304E3}"/>
    <cellStyle name="Input 2 12 2 4" xfId="9689" xr:uid="{EC398441-A1A7-4EC4-B5F5-194997241A97}"/>
    <cellStyle name="Input 2 12 3" xfId="9690" xr:uid="{DCD45D06-3206-4355-BF07-AFC947F64CD5}"/>
    <cellStyle name="Input 2 12 3 2" xfId="9691" xr:uid="{F541BE0D-643F-4ECF-BDD8-B09EA5F43A8D}"/>
    <cellStyle name="Input 2 12 3 3" xfId="29436" xr:uid="{107A2989-2F84-4C80-80BF-104F272A0296}"/>
    <cellStyle name="Input 2 12 4" xfId="9692" xr:uid="{3B9391CD-F011-484B-A35F-15A89CA2F111}"/>
    <cellStyle name="Input 2 12 4 2" xfId="9693" xr:uid="{32B474FF-F793-48E2-8E77-B08EE42200DE}"/>
    <cellStyle name="Input 2 12 4 3" xfId="29437" xr:uid="{74B8F24D-2D2C-46E9-A0B9-6BF2713B0E64}"/>
    <cellStyle name="Input 2 12 5" xfId="9694" xr:uid="{4C64D248-7143-479A-A468-BA0F45E4F44B}"/>
    <cellStyle name="Input 2 12 5 2" xfId="9695" xr:uid="{E00369AE-98F8-4904-8A35-F099F2820059}"/>
    <cellStyle name="Input 2 12 5 3" xfId="29438" xr:uid="{55526184-6CF2-45B1-9B9B-0A612ABE9AB3}"/>
    <cellStyle name="Input 2 12 6" xfId="9696" xr:uid="{06B98A91-29B2-4A7F-AC8F-9CC374821A10}"/>
    <cellStyle name="Input 2 12 6 2" xfId="9697" xr:uid="{4DFDA1FE-908C-494E-ABC9-5C21C618A9ED}"/>
    <cellStyle name="Input 2 12 6 3" xfId="29439" xr:uid="{A44941CE-0E23-49C4-B3F7-33209B63BEE7}"/>
    <cellStyle name="Input 2 12 7" xfId="9698" xr:uid="{41FB56F2-2C4A-41D0-B9C7-0A11E021127B}"/>
    <cellStyle name="Input 2 12 7 2" xfId="9699" xr:uid="{67C43B11-C9F0-4915-A1DE-7433A33F9DCD}"/>
    <cellStyle name="Input 2 12 7 3" xfId="29440" xr:uid="{D4B41C51-19DD-4549-8B53-C1AD3FE239C8}"/>
    <cellStyle name="Input 2 12 8" xfId="9700" xr:uid="{BD2E6627-631F-4A63-93EF-3DE2664DFB3C}"/>
    <cellStyle name="Input 2 12 8 2" xfId="9701" xr:uid="{2E92EC22-B5B5-4D82-A3A3-065985099BB6}"/>
    <cellStyle name="Input 2 12 8 3" xfId="29441" xr:uid="{DC4092A5-E0A7-4FBD-A1FF-4714790A5905}"/>
    <cellStyle name="Input 2 12 9" xfId="9702" xr:uid="{A552E81C-F911-4F73-A2F3-A48FF8235C3C}"/>
    <cellStyle name="Input 2 12 9 2" xfId="29442" xr:uid="{292ADEE7-FAB7-4B8B-A1E2-20456877A559}"/>
    <cellStyle name="Input 2 12 9 3" xfId="29443" xr:uid="{0554AE4A-8846-4A4D-98A2-3663453104F9}"/>
    <cellStyle name="Input 2 13" xfId="9703" xr:uid="{C5508574-B972-4D1A-B946-4CF80314B537}"/>
    <cellStyle name="Input 2 13 2" xfId="9704" xr:uid="{AEDF8973-48BA-4688-9AE0-257A6A244D94}"/>
    <cellStyle name="Input 2 13 2 2" xfId="29444" xr:uid="{25A55135-C2D8-4F29-A8F1-5334BCE4A96B}"/>
    <cellStyle name="Input 2 13 3" xfId="9705" xr:uid="{3EDCBE96-28CC-433D-A393-504EC691B655}"/>
    <cellStyle name="Input 2 13 3 2" xfId="29445" xr:uid="{6371E91D-3304-452B-9231-98DD0AE9FCFE}"/>
    <cellStyle name="Input 2 13 4" xfId="9706" xr:uid="{36E3EA3F-AE12-4F38-8FB3-5813050D44CE}"/>
    <cellStyle name="Input 2 14" xfId="9707" xr:uid="{8D678B2B-1766-4F6D-BD64-21AB8E63F897}"/>
    <cellStyle name="Input 2 14 2" xfId="9708" xr:uid="{80D0B75B-4025-4150-8113-94FF30039DD5}"/>
    <cellStyle name="Input 2 14 3" xfId="29446" xr:uid="{A83518DA-698E-47C2-B147-8ED1F1BB7C82}"/>
    <cellStyle name="Input 2 15" xfId="9709" xr:uid="{EE090AC2-A27C-4664-ACA4-D35F7F11F739}"/>
    <cellStyle name="Input 2 15 2" xfId="9710" xr:uid="{F6615FC3-93FF-427B-B819-CF1C74DDAEE7}"/>
    <cellStyle name="Input 2 15 3" xfId="29447" xr:uid="{0E4F5898-BC0F-401C-A048-56D1449CEE01}"/>
    <cellStyle name="Input 2 16" xfId="9711" xr:uid="{A9C3918E-F5E1-4CAB-A13D-1C0C32786B24}"/>
    <cellStyle name="Input 2 16 2" xfId="9712" xr:uid="{0696D0E7-7AE0-4106-BB1E-47BB9B99C03B}"/>
    <cellStyle name="Input 2 16 3" xfId="29448" xr:uid="{D5A4B8D2-19A7-48AB-B899-505CAE5AD379}"/>
    <cellStyle name="Input 2 17" xfId="9713" xr:uid="{C7A59A92-B0D5-4995-80E4-3CF52D00A1C6}"/>
    <cellStyle name="Input 2 17 2" xfId="9714" xr:uid="{A1168365-E248-4049-BF48-CE15F9B11E3D}"/>
    <cellStyle name="Input 2 17 3" xfId="29449" xr:uid="{301D054C-D406-46D8-925B-B586C5AADD1D}"/>
    <cellStyle name="Input 2 18" xfId="9715" xr:uid="{CFC08DC8-4C65-4246-8F37-0F1AD82E3AF6}"/>
    <cellStyle name="Input 2 18 2" xfId="9716" xr:uid="{EFA0F09A-FF4C-419D-A6E2-B3FEC5698AD8}"/>
    <cellStyle name="Input 2 18 3" xfId="29450" xr:uid="{D6178DCB-31DB-42E4-91D8-B407CF2EE30A}"/>
    <cellStyle name="Input 2 19" xfId="9717" xr:uid="{BEFBAAF2-9795-421A-8A87-834F1F58B904}"/>
    <cellStyle name="Input 2 19 2" xfId="9718" xr:uid="{6F3070E0-9BD7-46CD-993A-7F898A3051E6}"/>
    <cellStyle name="Input 2 19 3" xfId="29451" xr:uid="{1586DDC6-9242-441C-9581-31957BA792EB}"/>
    <cellStyle name="Input 2 2" xfId="9719" xr:uid="{12612D38-45BD-4C9C-813A-40FADE2E3F03}"/>
    <cellStyle name="Input 2 2 10" xfId="9720" xr:uid="{5CBF46D8-15D3-42AC-9776-374B309BED25}"/>
    <cellStyle name="Input 2 2 10 2" xfId="29452" xr:uid="{B4BF912A-36CC-4DD5-8BCC-3B8B4BE7F9B1}"/>
    <cellStyle name="Input 2 2 10 3" xfId="29453" xr:uid="{BA8A592E-78B9-4AF5-BC6F-EE963FF694CD}"/>
    <cellStyle name="Input 2 2 11" xfId="9721" xr:uid="{DCE49108-B581-4C28-BAB1-AF01EE4D1843}"/>
    <cellStyle name="Input 2 2 11 2" xfId="29454" xr:uid="{EE42CE4E-FC14-420E-B4AE-F4BA2478C232}"/>
    <cellStyle name="Input 2 2 12" xfId="29455" xr:uid="{DAF2B562-BC36-4B0B-AAFA-DBCA5E8711D3}"/>
    <cellStyle name="Input 2 2 13" xfId="29456" xr:uid="{B99C4723-8B35-465F-BA04-B3FFFDBCDFE9}"/>
    <cellStyle name="Input 2 2 14" xfId="29457" xr:uid="{C15830AC-17FC-482F-89AA-916F1C315309}"/>
    <cellStyle name="Input 2 2 15" xfId="42770" xr:uid="{FBAEAC6C-6592-44D1-AFD4-B62E9225EBD3}"/>
    <cellStyle name="Input 2 2 16" xfId="42320" xr:uid="{28FD18EE-7A9A-42BF-9544-079029777562}"/>
    <cellStyle name="Input 2 2 17" xfId="43874" xr:uid="{08280390-63DA-4B65-BD1E-229E69A1AA05}"/>
    <cellStyle name="Input 2 2 18" xfId="44505" xr:uid="{C7842921-B680-4574-B33F-FBCB6434E40D}"/>
    <cellStyle name="Input 2 2 19" xfId="45360" xr:uid="{C498554A-8D3F-44A5-82E0-2F8CBB06397C}"/>
    <cellStyle name="Input 2 2 2" xfId="9722" xr:uid="{0CDC741B-A057-4DE2-A4D7-0E6569303723}"/>
    <cellStyle name="Input 2 2 2 10" xfId="9723" xr:uid="{A5910B5B-7CAE-4CAE-84A5-DC271073FBE0}"/>
    <cellStyle name="Input 2 2 2 10 2" xfId="29458" xr:uid="{9ECEB457-FCDD-4056-A635-221E221B7F99}"/>
    <cellStyle name="Input 2 2 2 11" xfId="29459" xr:uid="{CFEF1D43-0880-4CB2-A962-E5C3BA8FAAAB}"/>
    <cellStyle name="Input 2 2 2 12" xfId="29460" xr:uid="{94CCCA80-96DE-4A28-8AF0-83637DE66FE8}"/>
    <cellStyle name="Input 2 2 2 13" xfId="29461" xr:uid="{C232B80F-1BAD-488A-8960-13DB2CE66FAC}"/>
    <cellStyle name="Input 2 2 2 14" xfId="29462" xr:uid="{54DBECD6-A62E-4FF8-BB2C-87555D327862}"/>
    <cellStyle name="Input 2 2 2 15" xfId="42771" xr:uid="{07A58516-BB17-4BCB-AB88-CE6AF89C0E09}"/>
    <cellStyle name="Input 2 2 2 16" xfId="42319" xr:uid="{729A27B2-7C0F-4465-9940-5D310306694A}"/>
    <cellStyle name="Input 2 2 2 17" xfId="43875" xr:uid="{DF736AAD-0951-47B7-B295-05E052B32177}"/>
    <cellStyle name="Input 2 2 2 18" xfId="44717" xr:uid="{6941FB3E-C70A-4930-B34E-488153E5D81F}"/>
    <cellStyle name="Input 2 2 2 19" xfId="44882" xr:uid="{8C4A1AB4-64BF-4DB7-9FBA-B41B4A6E901C}"/>
    <cellStyle name="Input 2 2 2 2" xfId="9724" xr:uid="{4A4F76F5-E03D-4938-AE9E-DB736B6505BC}"/>
    <cellStyle name="Input 2 2 2 2 2" xfId="9725" xr:uid="{B07478A3-B7F7-43B3-81BF-DE32EB46BE24}"/>
    <cellStyle name="Input 2 2 2 2 2 2" xfId="29463" xr:uid="{8D596776-5B98-41EE-9D5A-0D9E6C29EB0D}"/>
    <cellStyle name="Input 2 2 2 2 2 3" xfId="29464" xr:uid="{CF878368-AAAB-4C80-932F-47D79D33F3DD}"/>
    <cellStyle name="Input 2 2 2 2 3" xfId="9726" xr:uid="{D329DBE6-1F34-4E7A-B663-4674B36D983F}"/>
    <cellStyle name="Input 2 2 2 2 3 2" xfId="9727" xr:uid="{62982741-928C-48E1-899F-2514D4294468}"/>
    <cellStyle name="Input 2 2 2 2 4" xfId="9728" xr:uid="{CA5B9419-F30B-4275-BE2A-6EFA2CD860A7}"/>
    <cellStyle name="Input 2 2 2 2 4 2" xfId="29465" xr:uid="{62B5C3B3-D803-4016-8358-764A3CDCB5EB}"/>
    <cellStyle name="Input 2 2 2 2 5" xfId="29466" xr:uid="{729012CD-6BDD-445D-83A5-EAA3A7F48FAB}"/>
    <cellStyle name="Input 2 2 2 2 6" xfId="29467" xr:uid="{A418AE5F-9EAC-4B62-8C6B-C960E9BB5DEC}"/>
    <cellStyle name="Input 2 2 2 2 7" xfId="29468" xr:uid="{6D489420-4A78-4DD3-9530-1FF265B658C1}"/>
    <cellStyle name="Input 2 2 2 2 8" xfId="29469" xr:uid="{004C804A-0C90-4F3E-AD5A-E71926A237E8}"/>
    <cellStyle name="Input 2 2 2 20" xfId="45189" xr:uid="{D1E1D8B6-9BF8-4A73-8F5F-820914C3CDBC}"/>
    <cellStyle name="Input 2 2 2 3" xfId="9729" xr:uid="{01A7804D-9126-4127-8D3B-369BB5BDE57B}"/>
    <cellStyle name="Input 2 2 2 3 2" xfId="9730" xr:uid="{A36B8095-01CD-4B65-828F-4B7236AEB072}"/>
    <cellStyle name="Input 2 2 2 3 3" xfId="29470" xr:uid="{1E18DA78-1FF9-4178-B892-D678B1F9ED60}"/>
    <cellStyle name="Input 2 2 2 4" xfId="9731" xr:uid="{044ABC4E-955D-45B4-958A-2A2A8B9660BB}"/>
    <cellStyle name="Input 2 2 2 4 2" xfId="9732" xr:uid="{10F16E06-4586-4D32-BE41-905236FF4522}"/>
    <cellStyle name="Input 2 2 2 4 3" xfId="29471" xr:uid="{770A46DC-8C98-4B74-B92F-6EA0B3A2922A}"/>
    <cellStyle name="Input 2 2 2 5" xfId="9733" xr:uid="{8D2793FB-3E8E-45D8-B16D-BCF7DC0AF12B}"/>
    <cellStyle name="Input 2 2 2 5 2" xfId="9734" xr:uid="{FCFD9F22-8282-4784-9536-80F7FD9CC045}"/>
    <cellStyle name="Input 2 2 2 5 3" xfId="29472" xr:uid="{20C6A706-B902-4938-846A-6A18BC77D7FF}"/>
    <cellStyle name="Input 2 2 2 6" xfId="9735" xr:uid="{5022C2C3-511D-47C8-9ADB-C3C42EB97569}"/>
    <cellStyle name="Input 2 2 2 6 2" xfId="9736" xr:uid="{4DC8E11F-213B-411D-AC21-5F0967F85656}"/>
    <cellStyle name="Input 2 2 2 6 3" xfId="29473" xr:uid="{91577EA0-870F-47A0-97BA-DA841D6C68BD}"/>
    <cellStyle name="Input 2 2 2 7" xfId="9737" xr:uid="{BD3C2DA6-9ED9-4CB9-9A98-942E79C187F4}"/>
    <cellStyle name="Input 2 2 2 7 2" xfId="9738" xr:uid="{9FF46B17-ACEA-4B2E-8019-83BE8ACD8755}"/>
    <cellStyle name="Input 2 2 2 7 3" xfId="29474" xr:uid="{63FC6291-FD45-439E-B25F-68DBCEBC715B}"/>
    <cellStyle name="Input 2 2 2 8" xfId="9739" xr:uid="{41F7074F-E1DE-453F-ADB3-9799B5A567B0}"/>
    <cellStyle name="Input 2 2 2 8 2" xfId="9740" xr:uid="{3DA43F5F-A26A-4214-AF4A-F35D2005383E}"/>
    <cellStyle name="Input 2 2 2 8 3" xfId="29475" xr:uid="{69E92B80-2FA9-41DA-AF60-A1562E032D4C}"/>
    <cellStyle name="Input 2 2 2 9" xfId="9741" xr:uid="{066DE96C-FC80-4EC9-8736-308F18F7B50E}"/>
    <cellStyle name="Input 2 2 2 9 2" xfId="29476" xr:uid="{456D8C30-7AF5-496B-B1C6-17ADF4060A68}"/>
    <cellStyle name="Input 2 2 2 9 3" xfId="29477" xr:uid="{77000966-6CC6-472D-A791-F7ABA94C988B}"/>
    <cellStyle name="Input 2 2 20" xfId="45579" xr:uid="{E348E0F3-88F1-4976-B7B2-AE915A19E717}"/>
    <cellStyle name="Input 2 2 3" xfId="9742" xr:uid="{71744257-AA00-4BAD-875B-D30CF2879087}"/>
    <cellStyle name="Input 2 2 3 2" xfId="9743" xr:uid="{7F077FB3-F805-4A5B-88A7-80B83432FE6B}"/>
    <cellStyle name="Input 2 2 3 3" xfId="9744" xr:uid="{293AE795-E51B-487E-AD24-5FD0543BF48F}"/>
    <cellStyle name="Input 2 2 3 4" xfId="9745" xr:uid="{F02ACC36-80E8-49E9-87B7-E1FC170F11DD}"/>
    <cellStyle name="Input 2 2 3 5" xfId="29478" xr:uid="{F81AB29C-6693-4CA5-A914-1CDD805119FC}"/>
    <cellStyle name="Input 2 2 4" xfId="9746" xr:uid="{77C888E0-1B84-4749-915B-1279D92BB517}"/>
    <cellStyle name="Input 2 2 4 2" xfId="9747" xr:uid="{61D2B516-1558-41E9-A666-F29750FFED32}"/>
    <cellStyle name="Input 2 2 4 3" xfId="29479" xr:uid="{C2BCE389-DD15-4118-B702-F544195BDAEB}"/>
    <cellStyle name="Input 2 2 5" xfId="9748" xr:uid="{6A2995F8-7E62-4FBA-9CE7-9D66894B8F02}"/>
    <cellStyle name="Input 2 2 5 2" xfId="9749" xr:uid="{42832E43-B5B0-44F5-BEAB-C8D5F6D83EB2}"/>
    <cellStyle name="Input 2 2 5 3" xfId="29480" xr:uid="{E760B0D1-DDF5-4862-A78E-CB621701C39B}"/>
    <cellStyle name="Input 2 2 6" xfId="9750" xr:uid="{3B814BEC-C380-404E-89D8-4255987B8B45}"/>
    <cellStyle name="Input 2 2 6 2" xfId="9751" xr:uid="{B2D4217B-B7FC-486C-AFEB-DA91BA128DB1}"/>
    <cellStyle name="Input 2 2 6 3" xfId="29481" xr:uid="{6A818AEE-FF32-4B15-B3D5-82E63B0125EE}"/>
    <cellStyle name="Input 2 2 7" xfId="9752" xr:uid="{6FC6EC23-D557-4793-8EAD-CC6EF681F88A}"/>
    <cellStyle name="Input 2 2 7 2" xfId="9753" xr:uid="{D13788C5-B498-4BCA-A490-B7108025097D}"/>
    <cellStyle name="Input 2 2 7 3" xfId="29482" xr:uid="{2557F690-17B6-4E00-A221-1E29F119CEA6}"/>
    <cellStyle name="Input 2 2 8" xfId="9754" xr:uid="{E6CD2D43-9CD8-4C87-B2BF-1EB55DF62A9C}"/>
    <cellStyle name="Input 2 2 8 2" xfId="9755" xr:uid="{9DEC3A59-5A7C-4B31-A6AC-569DD3E8E865}"/>
    <cellStyle name="Input 2 2 8 3" xfId="29483" xr:uid="{1B6A6310-FFFE-44D7-919B-8E2F0775191B}"/>
    <cellStyle name="Input 2 2 9" xfId="9756" xr:uid="{BBCDC929-D4B2-4642-86AA-2348C87355F1}"/>
    <cellStyle name="Input 2 2 9 2" xfId="9757" xr:uid="{CFA7620B-9EE8-4EFD-9389-B32E94117425}"/>
    <cellStyle name="Input 2 2 9 3" xfId="29484" xr:uid="{D70FAF5B-9D76-4715-AB71-ED28323A8450}"/>
    <cellStyle name="Input 2 20" xfId="9758" xr:uid="{F8F499BB-4A32-42B1-B270-BA5900E6C591}"/>
    <cellStyle name="Input 2 20 2" xfId="29485" xr:uid="{AD687AFF-01F4-4AB7-9E1E-3BCB7F7BECE1}"/>
    <cellStyle name="Input 2 20 3" xfId="29486" xr:uid="{E5FEF21F-08CC-4DE6-BB50-97FD87737F7D}"/>
    <cellStyle name="Input 2 21" xfId="9759" xr:uid="{9B400A55-3B92-4089-8B0D-D02E15F68F35}"/>
    <cellStyle name="Input 2 21 2" xfId="29487" xr:uid="{AC06BB48-967E-46FA-88A3-5B377DBC35E9}"/>
    <cellStyle name="Input 2 22" xfId="29488" xr:uid="{988E8AD9-1C88-4BF7-8177-401F03BF51F8}"/>
    <cellStyle name="Input 2 23" xfId="29489" xr:uid="{7466F485-9CC1-4662-BD7B-390397205D0E}"/>
    <cellStyle name="Input 2 24" xfId="29490" xr:uid="{C0B80FE7-5A1A-48F6-92CC-4F978D2F9003}"/>
    <cellStyle name="Input 2 25" xfId="42198" xr:uid="{ED840A36-B818-4B5F-96AC-972499537E0A}"/>
    <cellStyle name="Input 2 26" xfId="44120" xr:uid="{6AC99F62-3ED5-4532-8904-E8739C13A7C1}"/>
    <cellStyle name="Input 2 27" xfId="45366" xr:uid="{FE7B7B33-EB52-4726-B532-508626C3EA49}"/>
    <cellStyle name="Input 2 28" xfId="45585" xr:uid="{63C74F58-D654-4B22-B702-5937B21259A8}"/>
    <cellStyle name="Input 2 3" xfId="9760" xr:uid="{8FA7C12D-CAEE-4D20-BD46-0F31AC32569A}"/>
    <cellStyle name="Input 2 3 10" xfId="9761" xr:uid="{46065802-3ED6-4507-A538-CEDEE8E35D48}"/>
    <cellStyle name="Input 2 3 10 2" xfId="29491" xr:uid="{1D15BD59-21F4-4C71-9882-217C07B8CECD}"/>
    <cellStyle name="Input 2 3 10 3" xfId="29492" xr:uid="{0454554B-3ED7-4E85-9FC8-AD9225B319E4}"/>
    <cellStyle name="Input 2 3 11" xfId="9762" xr:uid="{6B5E1B76-776E-4320-960D-FEC53D40EE6C}"/>
    <cellStyle name="Input 2 3 11 2" xfId="29493" xr:uid="{8EA73AC0-27D0-44C3-BA29-9C77B9F64251}"/>
    <cellStyle name="Input 2 3 12" xfId="29494" xr:uid="{CC409DA4-0741-4F83-A179-E32313FF9E48}"/>
    <cellStyle name="Input 2 3 13" xfId="29495" xr:uid="{78B9F332-EF3B-4635-9BC2-4B9EA520EE8B}"/>
    <cellStyle name="Input 2 3 14" xfId="29496" xr:uid="{8EF7C8B6-9003-4842-B6F9-C93EB75364E2}"/>
    <cellStyle name="Input 2 3 15" xfId="42772" xr:uid="{EA7846C2-2554-44DC-BC42-C848DA8A3A8A}"/>
    <cellStyle name="Input 2 3 16" xfId="44607" xr:uid="{9A07A77A-2C36-4AAE-8A10-2A05C319B1CA}"/>
    <cellStyle name="Input 2 3 17" xfId="44282" xr:uid="{DEA0A6C0-FDBF-4020-BAC8-1897BA91EEF4}"/>
    <cellStyle name="Input 2 3 18" xfId="45355" xr:uid="{9FF5B168-0379-4B2B-B701-1ADE2B0831C3}"/>
    <cellStyle name="Input 2 3 2" xfId="9763" xr:uid="{0C543989-DD9F-4172-A618-626A118F17E6}"/>
    <cellStyle name="Input 2 3 2 10" xfId="9764" xr:uid="{FFB6F25F-86DB-4388-AED3-A5ACCC210DC1}"/>
    <cellStyle name="Input 2 3 2 10 2" xfId="29497" xr:uid="{3928597E-17E4-40EB-89AF-022F55F8F275}"/>
    <cellStyle name="Input 2 3 2 11" xfId="29498" xr:uid="{9188A012-D7FD-4959-BFFA-3902FE7142F9}"/>
    <cellStyle name="Input 2 3 2 12" xfId="29499" xr:uid="{8B84B966-F402-4F98-A4C9-3CD02299D40D}"/>
    <cellStyle name="Input 2 3 2 13" xfId="42773" xr:uid="{72B80D58-69C2-49BD-9ADB-3734C47D99ED}"/>
    <cellStyle name="Input 2 3 2 14" xfId="42318" xr:uid="{7CA4464D-8D84-42A4-AA2D-5B19BF1FAC4F}"/>
    <cellStyle name="Input 2 3 2 15" xfId="43876" xr:uid="{5AC87565-11EE-4FFD-8645-69E58A8F1AA9}"/>
    <cellStyle name="Input 2 3 2 16" xfId="44820" xr:uid="{04742751-08AB-411F-85FD-25E90D78B8AE}"/>
    <cellStyle name="Input 2 3 2 17" xfId="45375" xr:uid="{3BB4F6F1-2A9D-4517-91B2-752C0BC3F275}"/>
    <cellStyle name="Input 2 3 2 18" xfId="45589" xr:uid="{84C3FCE3-52ED-49AE-8882-0192A3A49FB7}"/>
    <cellStyle name="Input 2 3 2 2" xfId="9765" xr:uid="{A25E357E-72B5-42CC-8674-448F4BC9370B}"/>
    <cellStyle name="Input 2 3 2 2 2" xfId="9766" xr:uid="{DE94BC55-3D63-4190-9C33-8E897AB28FF0}"/>
    <cellStyle name="Input 2 3 2 2 2 2" xfId="29500" xr:uid="{C4CD5862-5982-4C67-A7ED-CD711999E36F}"/>
    <cellStyle name="Input 2 3 2 2 2 3" xfId="29501" xr:uid="{8A850FC8-1364-4E5A-A45E-407B096EF41A}"/>
    <cellStyle name="Input 2 3 2 2 3" xfId="9767" xr:uid="{0D677861-F271-461E-AF9B-F3D4F7455D2F}"/>
    <cellStyle name="Input 2 3 2 2 3 2" xfId="9768" xr:uid="{87D46B67-69A3-4ACC-9843-B9694389D88E}"/>
    <cellStyle name="Input 2 3 2 2 4" xfId="9769" xr:uid="{0C848D9E-09B2-4A1F-8CCE-19356C7F5B12}"/>
    <cellStyle name="Input 2 3 2 2 4 2" xfId="29502" xr:uid="{09BDAD70-87A5-4F98-BC31-AF9AD2023CDE}"/>
    <cellStyle name="Input 2 3 2 2 5" xfId="29503" xr:uid="{F6C1E996-005A-43B5-A8BD-D8048018D58F}"/>
    <cellStyle name="Input 2 3 2 2 6" xfId="29504" xr:uid="{6B1A606E-4625-4AF7-BD0D-9827A81EF3CA}"/>
    <cellStyle name="Input 2 3 2 2 7" xfId="29505" xr:uid="{33B71CC1-B290-4578-BFD4-9E49CFADD922}"/>
    <cellStyle name="Input 2 3 2 2 8" xfId="29506" xr:uid="{BC0ACFDB-77E3-4008-B8FA-789E502E2D54}"/>
    <cellStyle name="Input 2 3 2 3" xfId="9770" xr:uid="{562E8330-1DD0-40CD-96E3-7355C10F69EA}"/>
    <cellStyle name="Input 2 3 2 3 2" xfId="9771" xr:uid="{B0723879-1758-470D-9F40-090EA9BFCBAB}"/>
    <cellStyle name="Input 2 3 2 3 3" xfId="29507" xr:uid="{7D7E4960-ED5B-497D-BC57-B3141C6569E7}"/>
    <cellStyle name="Input 2 3 2 4" xfId="9772" xr:uid="{18BA2319-A90A-4F05-99B0-20FA2876F7DE}"/>
    <cellStyle name="Input 2 3 2 4 2" xfId="9773" xr:uid="{963B8C12-67EE-479D-BB06-89B350A2C6CF}"/>
    <cellStyle name="Input 2 3 2 4 3" xfId="29508" xr:uid="{CF15F8E3-9784-40D7-A4C6-EC42D0F301FD}"/>
    <cellStyle name="Input 2 3 2 5" xfId="9774" xr:uid="{A361309A-8797-49F1-9F14-9FA91B11A4B8}"/>
    <cellStyle name="Input 2 3 2 5 2" xfId="9775" xr:uid="{6ACC0208-48F7-4DC8-AA48-A71C0DB7A6F6}"/>
    <cellStyle name="Input 2 3 2 5 3" xfId="29509" xr:uid="{D60785F4-004C-45ED-9400-925115696552}"/>
    <cellStyle name="Input 2 3 2 6" xfId="9776" xr:uid="{A30F0C1F-4313-4BC4-8020-3895A4FAB786}"/>
    <cellStyle name="Input 2 3 2 6 2" xfId="9777" xr:uid="{844440DA-4170-4CF1-9340-535ECD22D44E}"/>
    <cellStyle name="Input 2 3 2 6 3" xfId="29510" xr:uid="{F986C32C-E668-47A7-9EC4-B1261F70B523}"/>
    <cellStyle name="Input 2 3 2 7" xfId="9778" xr:uid="{814B8B55-65D7-412C-B848-89246A38871E}"/>
    <cellStyle name="Input 2 3 2 7 2" xfId="9779" xr:uid="{040718A9-7D8B-436C-B50A-4941C4B38D3A}"/>
    <cellStyle name="Input 2 3 2 7 3" xfId="29511" xr:uid="{7C174752-9F8E-4A13-9ECB-58AC8D541842}"/>
    <cellStyle name="Input 2 3 2 8" xfId="9780" xr:uid="{CF4B38DE-4BD1-4F20-B06C-8E8276588C02}"/>
    <cellStyle name="Input 2 3 2 8 2" xfId="9781" xr:uid="{C904E283-E285-4C4A-B2C4-1663A9E22154}"/>
    <cellStyle name="Input 2 3 2 8 3" xfId="29512" xr:uid="{8243C351-FAD6-472A-B792-E702F55F9E69}"/>
    <cellStyle name="Input 2 3 2 9" xfId="9782" xr:uid="{B79B9FD9-57DE-46CB-95B4-DFF28169AB0B}"/>
    <cellStyle name="Input 2 3 2 9 2" xfId="29513" xr:uid="{C843E464-8E1F-408E-9B24-9D181B1D8E63}"/>
    <cellStyle name="Input 2 3 2 9 3" xfId="29514" xr:uid="{6C918691-0FF7-45DB-806D-8F1A5542E9C8}"/>
    <cellStyle name="Input 2 3 3" xfId="9783" xr:uid="{0946FECB-9BF6-4628-9535-527E26929387}"/>
    <cellStyle name="Input 2 3 3 2" xfId="9784" xr:uid="{7156A783-B3B6-4930-BBA2-A8EF704536BE}"/>
    <cellStyle name="Input 2 3 3 3" xfId="9785" xr:uid="{7951E411-642B-47D0-8E56-4166367268D5}"/>
    <cellStyle name="Input 2 3 3 4" xfId="9786" xr:uid="{A9F4A163-0FF8-49EA-860A-7194A14DE9CA}"/>
    <cellStyle name="Input 2 3 4" xfId="9787" xr:uid="{8BBFA742-22BA-4217-85BC-DCD0A9C80212}"/>
    <cellStyle name="Input 2 3 4 2" xfId="9788" xr:uid="{C8D04F1B-7930-4AF7-A3F5-36D79A96C940}"/>
    <cellStyle name="Input 2 3 4 3" xfId="29515" xr:uid="{86250804-4EAE-4A7D-A3B3-CD30FFE21D7C}"/>
    <cellStyle name="Input 2 3 5" xfId="9789" xr:uid="{D6701F1D-83BA-4907-AF48-480DD7A48127}"/>
    <cellStyle name="Input 2 3 5 2" xfId="9790" xr:uid="{93ADC000-4389-4C04-97F1-C8B6FF9607C8}"/>
    <cellStyle name="Input 2 3 5 3" xfId="29516" xr:uid="{499840D2-31A2-4F51-9A91-BD0712DA70D4}"/>
    <cellStyle name="Input 2 3 6" xfId="9791" xr:uid="{D767853C-EBA4-46B6-95C7-2666D3F34C18}"/>
    <cellStyle name="Input 2 3 6 2" xfId="9792" xr:uid="{21221BB1-7470-4D9D-8F6D-51B9B57BA7C8}"/>
    <cellStyle name="Input 2 3 6 3" xfId="29517" xr:uid="{2019347A-EE9C-4B27-A199-CEFFBEA99F11}"/>
    <cellStyle name="Input 2 3 7" xfId="9793" xr:uid="{F815E227-2C65-4AE1-9C26-4D91E97FB12B}"/>
    <cellStyle name="Input 2 3 7 2" xfId="9794" xr:uid="{6B5E4134-EF45-44F0-AF67-6CFEDA15390F}"/>
    <cellStyle name="Input 2 3 7 3" xfId="29518" xr:uid="{1DF4CE89-0D8E-4F4F-B45A-F06D4F6EDCAA}"/>
    <cellStyle name="Input 2 3 8" xfId="9795" xr:uid="{2B55C240-6579-42EE-983F-8C5D4958D83D}"/>
    <cellStyle name="Input 2 3 8 2" xfId="9796" xr:uid="{072AF6D3-7474-4959-AC7D-E66041E55706}"/>
    <cellStyle name="Input 2 3 8 3" xfId="29519" xr:uid="{F1C6FCFE-31C6-4560-ABEA-6D91B1E537A1}"/>
    <cellStyle name="Input 2 3 9" xfId="9797" xr:uid="{AE068BA0-AC8A-4B2E-A91F-F18AEDF7F5A7}"/>
    <cellStyle name="Input 2 3 9 2" xfId="9798" xr:uid="{93E623BC-2F6A-4FF1-ACF3-930CF13D710B}"/>
    <cellStyle name="Input 2 3 9 3" xfId="29520" xr:uid="{85B3213A-FA26-43DE-BC3A-8CA8E5242018}"/>
    <cellStyle name="Input 2 4" xfId="9799" xr:uid="{7BC36CDA-4287-41E0-A3F7-AC7C721C5E01}"/>
    <cellStyle name="Input 2 4 10" xfId="9800" xr:uid="{B2583434-0153-4475-BA13-0E8F5888F752}"/>
    <cellStyle name="Input 2 4 10 2" xfId="29521" xr:uid="{7993CB93-046D-43E5-97DD-5F79B3D7170E}"/>
    <cellStyle name="Input 2 4 10 3" xfId="29522" xr:uid="{8549888C-8E22-4CB7-81E4-3F1828CA4833}"/>
    <cellStyle name="Input 2 4 11" xfId="9801" xr:uid="{C8D2B0D7-61C1-49C5-A0A6-4ECFDA60EA7A}"/>
    <cellStyle name="Input 2 4 11 2" xfId="29523" xr:uid="{95F4FA8E-99CE-441F-B4AB-F65CCF3FC216}"/>
    <cellStyle name="Input 2 4 12" xfId="29524" xr:uid="{60338303-47F7-4642-96B5-094F2C13FA4A}"/>
    <cellStyle name="Input 2 4 13" xfId="29525" xr:uid="{7698AC8A-ED1B-439F-BAEF-E8BBA468829A}"/>
    <cellStyle name="Input 2 4 14" xfId="29526" xr:uid="{340D3F3A-F474-42E9-8622-A5FCFA2A4D75}"/>
    <cellStyle name="Input 2 4 15" xfId="42774" xr:uid="{2A194362-9388-4A8C-83C6-D98968B19857}"/>
    <cellStyle name="Input 2 4 16" xfId="42317" xr:uid="{D632DBEE-D687-48FD-A279-9E0D50F23F97}"/>
    <cellStyle name="Input 2 4 17" xfId="43877" xr:uid="{EECA708C-7F90-436C-B942-48C16E083C3C}"/>
    <cellStyle name="Input 2 4 18" xfId="44617" xr:uid="{2D308F4A-AF73-4DDD-B99B-9136DA625677}"/>
    <cellStyle name="Input 2 4 19" xfId="45015" xr:uid="{C8E29112-DB8F-4EC9-9959-034646D91E99}"/>
    <cellStyle name="Input 2 4 2" xfId="9802" xr:uid="{074B5AFB-5372-4541-AACA-81955EF86037}"/>
    <cellStyle name="Input 2 4 2 10" xfId="9803" xr:uid="{7BACD318-8F7B-4C12-9354-9AAFCCF7AE2A}"/>
    <cellStyle name="Input 2 4 2 10 2" xfId="29527" xr:uid="{9C30AA86-4EA7-4D83-9A17-CA3E1B593908}"/>
    <cellStyle name="Input 2 4 2 11" xfId="29528" xr:uid="{036A3EA0-4449-4B9C-A662-C5B758936F36}"/>
    <cellStyle name="Input 2 4 2 12" xfId="29529" xr:uid="{C04CECDE-F57A-4ABB-A8B7-CC3A10E23212}"/>
    <cellStyle name="Input 2 4 2 13" xfId="44830" xr:uid="{2478289E-6A96-4D13-A459-659AC0C0FFA5}"/>
    <cellStyle name="Input 2 4 2 14" xfId="45385" xr:uid="{EA716E5A-C86A-4876-A74C-42A242F33A69}"/>
    <cellStyle name="Input 2 4 2 15" xfId="45599" xr:uid="{306230C6-D316-482E-A1BE-0D478571C2A6}"/>
    <cellStyle name="Input 2 4 2 2" xfId="9804" xr:uid="{5C1B8D8B-EE2F-400D-A319-122DE6D66006}"/>
    <cellStyle name="Input 2 4 2 2 2" xfId="9805" xr:uid="{5DD2D851-92E5-4AFC-A5D4-603F0673EEDA}"/>
    <cellStyle name="Input 2 4 2 2 2 2" xfId="29530" xr:uid="{24CA2502-4AA8-4DB5-8EC2-8D7DDD4124B2}"/>
    <cellStyle name="Input 2 4 2 2 2 3" xfId="29531" xr:uid="{493942A2-E792-47A4-8B41-2D149A5C4C65}"/>
    <cellStyle name="Input 2 4 2 2 3" xfId="9806" xr:uid="{4F1613B7-5742-4F96-A6CA-B0F19A179FAB}"/>
    <cellStyle name="Input 2 4 2 2 3 2" xfId="9807" xr:uid="{9A05E345-0621-4CE8-A3D9-E1890DA39F99}"/>
    <cellStyle name="Input 2 4 2 2 4" xfId="9808" xr:uid="{A9A077DC-E7A2-4CED-95D4-BEFF217B6AD0}"/>
    <cellStyle name="Input 2 4 2 2 4 2" xfId="29532" xr:uid="{1A8CD9B4-C492-4D04-9417-8A20C5083ECF}"/>
    <cellStyle name="Input 2 4 2 2 5" xfId="29533" xr:uid="{D2E5138B-22A0-4265-8AE1-585D93A84B94}"/>
    <cellStyle name="Input 2 4 2 2 6" xfId="29534" xr:uid="{47C8FD96-F9F6-4747-8D11-B9CCD6F85D27}"/>
    <cellStyle name="Input 2 4 2 2 7" xfId="29535" xr:uid="{5546AA27-DDBA-4A36-AE46-866F45B1E720}"/>
    <cellStyle name="Input 2 4 2 2 8" xfId="29536" xr:uid="{EFD0A42C-166B-4727-857B-3F790EB2616A}"/>
    <cellStyle name="Input 2 4 2 3" xfId="9809" xr:uid="{6337CA26-25C3-4A0F-8F0B-42BD7E2E0D7B}"/>
    <cellStyle name="Input 2 4 2 3 2" xfId="9810" xr:uid="{C0D24EB0-64EE-4EC4-8160-AA650348FD23}"/>
    <cellStyle name="Input 2 4 2 3 3" xfId="29537" xr:uid="{A5EB6CC9-4884-46D2-A786-CA87908A77E1}"/>
    <cellStyle name="Input 2 4 2 4" xfId="9811" xr:uid="{657EE08A-6457-4969-A65E-78ADFC7AF89B}"/>
    <cellStyle name="Input 2 4 2 4 2" xfId="9812" xr:uid="{9C12E68A-F4D1-43C1-B2D6-2B1BFCD66C37}"/>
    <cellStyle name="Input 2 4 2 4 3" xfId="29538" xr:uid="{2D54CD74-419F-4728-8052-0A94C09FD302}"/>
    <cellStyle name="Input 2 4 2 5" xfId="9813" xr:uid="{85C59C9B-F95C-4F8F-B893-6B2BE7E65021}"/>
    <cellStyle name="Input 2 4 2 5 2" xfId="9814" xr:uid="{9C0D7C93-0194-4C7C-B40D-36FC78FCA1FC}"/>
    <cellStyle name="Input 2 4 2 5 3" xfId="29539" xr:uid="{A58930E4-E291-4FD1-B4AF-08D514846F2F}"/>
    <cellStyle name="Input 2 4 2 6" xfId="9815" xr:uid="{A1DE7165-47C0-4E25-AF83-F9EAC3B6DFD5}"/>
    <cellStyle name="Input 2 4 2 6 2" xfId="9816" xr:uid="{306956AD-D30A-4382-90D3-1406C96F20BA}"/>
    <cellStyle name="Input 2 4 2 6 3" xfId="29540" xr:uid="{8982C995-1EBB-4CC7-A41D-CBF63D015760}"/>
    <cellStyle name="Input 2 4 2 7" xfId="9817" xr:uid="{BEE1F1CB-5FC9-451A-B47E-A9154757A6C4}"/>
    <cellStyle name="Input 2 4 2 7 2" xfId="9818" xr:uid="{ED83BCD6-352C-4823-9536-9BC73914A963}"/>
    <cellStyle name="Input 2 4 2 7 3" xfId="29541" xr:uid="{E790E8A0-497E-4AF7-866D-A9BD93D97AF1}"/>
    <cellStyle name="Input 2 4 2 8" xfId="9819" xr:uid="{9D1F93DE-32F9-4CFB-9A8E-F4AA5856130D}"/>
    <cellStyle name="Input 2 4 2 8 2" xfId="9820" xr:uid="{861017F5-BA66-4DC2-A85C-85C5EEB649CD}"/>
    <cellStyle name="Input 2 4 2 8 3" xfId="29542" xr:uid="{C2CE583F-6D66-4745-A886-5FC2C4A76A5C}"/>
    <cellStyle name="Input 2 4 2 9" xfId="9821" xr:uid="{3F4841B6-C2AA-4A2A-A160-1014BFCF49DF}"/>
    <cellStyle name="Input 2 4 2 9 2" xfId="29543" xr:uid="{C706319F-F3D7-49B4-96E0-70948E6B11A3}"/>
    <cellStyle name="Input 2 4 2 9 3" xfId="29544" xr:uid="{9117DAE9-8947-4F83-BC3A-8A00D31930C8}"/>
    <cellStyle name="Input 2 4 20" xfId="45123" xr:uid="{F2CAC0B2-1348-47F6-A270-D90F558F1380}"/>
    <cellStyle name="Input 2 4 3" xfId="9822" xr:uid="{7D40F978-AF85-40CB-B6B8-EB0C37D6D7DA}"/>
    <cellStyle name="Input 2 4 3 2" xfId="9823" xr:uid="{4D423079-F5AB-4E45-B845-CAFA44EACDA4}"/>
    <cellStyle name="Input 2 4 3 3" xfId="9824" xr:uid="{37BBB01C-1410-4D7D-A7F2-8954AF7EF119}"/>
    <cellStyle name="Input 2 4 3 4" xfId="9825" xr:uid="{177E4E81-8C10-40BD-B7F9-E4CE9B768614}"/>
    <cellStyle name="Input 2 4 4" xfId="9826" xr:uid="{96D043D6-6C2E-4069-A4EB-7C69DF5CABE4}"/>
    <cellStyle name="Input 2 4 4 2" xfId="9827" xr:uid="{7371B6B2-F77C-4E65-AED3-296D956939A5}"/>
    <cellStyle name="Input 2 4 4 3" xfId="29545" xr:uid="{1509AC24-DE61-4ED5-8761-961C760D9911}"/>
    <cellStyle name="Input 2 4 5" xfId="9828" xr:uid="{A0C0361E-E856-48F6-9FCE-46563EA57C1F}"/>
    <cellStyle name="Input 2 4 5 2" xfId="9829" xr:uid="{B23F63F5-D147-4565-AE69-1E1E68E6640B}"/>
    <cellStyle name="Input 2 4 5 3" xfId="29546" xr:uid="{87A2DA38-1A6C-4DFC-93BD-EBC296B0E9A8}"/>
    <cellStyle name="Input 2 4 6" xfId="9830" xr:uid="{58041A66-714E-4E2A-9CB1-263DEB67C5F3}"/>
    <cellStyle name="Input 2 4 6 2" xfId="9831" xr:uid="{8E04237E-7132-46B9-9631-616B271D6357}"/>
    <cellStyle name="Input 2 4 6 3" xfId="29547" xr:uid="{D9C80379-C2DF-404F-88FF-B3B95205A5C0}"/>
    <cellStyle name="Input 2 4 7" xfId="9832" xr:uid="{833829C1-93A3-4533-890E-474EEA3AF39F}"/>
    <cellStyle name="Input 2 4 7 2" xfId="9833" xr:uid="{40F59117-AB30-4691-8880-0E2C12BC5787}"/>
    <cellStyle name="Input 2 4 7 3" xfId="29548" xr:uid="{5DABD0BE-32A2-44DB-BFBC-EF9C50F1E7AF}"/>
    <cellStyle name="Input 2 4 8" xfId="9834" xr:uid="{9BF93E7C-6233-47CC-939D-FFDC24583A38}"/>
    <cellStyle name="Input 2 4 8 2" xfId="9835" xr:uid="{0C3957C3-707E-49FC-BE5F-CD5065D2894F}"/>
    <cellStyle name="Input 2 4 8 3" xfId="29549" xr:uid="{9FABC8B1-62C9-4299-BA6F-B5426F7A221C}"/>
    <cellStyle name="Input 2 4 9" xfId="9836" xr:uid="{82BA082E-A7F5-4767-B8C2-14B7CBD24713}"/>
    <cellStyle name="Input 2 4 9 2" xfId="9837" xr:uid="{3A3BE64A-6873-4A64-A086-7B2B9662137B}"/>
    <cellStyle name="Input 2 4 9 3" xfId="29550" xr:uid="{9D004906-20B8-42BA-AA25-F9DD03BF35F6}"/>
    <cellStyle name="Input 2 5" xfId="9838" xr:uid="{850604E2-4CF5-447B-BC68-E10EEC3B6378}"/>
    <cellStyle name="Input 2 5 10" xfId="9839" xr:uid="{1CA1D1AA-09FD-44EE-BDA7-49E2F27460A0}"/>
    <cellStyle name="Input 2 5 10 2" xfId="29551" xr:uid="{E69D38DD-450C-402D-AD50-8CB9F654763B}"/>
    <cellStyle name="Input 2 5 10 3" xfId="29552" xr:uid="{69D89411-C3C2-444A-8F8E-09ED4F1CF1F9}"/>
    <cellStyle name="Input 2 5 11" xfId="9840" xr:uid="{72AD6927-3333-49C4-BCD5-13FB836A59F9}"/>
    <cellStyle name="Input 2 5 11 2" xfId="29553" xr:uid="{A151FF9F-258A-4EE9-9182-80ABFB4A338B}"/>
    <cellStyle name="Input 2 5 12" xfId="29554" xr:uid="{3F3C8F42-9270-4267-97F8-B71ADEC71262}"/>
    <cellStyle name="Input 2 5 13" xfId="29555" xr:uid="{21BB3D6C-A186-4573-8560-E67C281E8975}"/>
    <cellStyle name="Input 2 5 14" xfId="29556" xr:uid="{A5972F91-ED50-46FD-9BC0-0FBEC5BE61BE}"/>
    <cellStyle name="Input 2 5 15" xfId="42775" xr:uid="{BB234A46-6454-4F31-9FCA-4A22BF2901BD}"/>
    <cellStyle name="Input 2 5 16" xfId="42316" xr:uid="{8C404F5C-0619-4092-A6CE-8D4FD8743187}"/>
    <cellStyle name="Input 2 5 17" xfId="43878" xr:uid="{FA31D661-81B3-4D9E-B1E4-AFADE6428837}"/>
    <cellStyle name="Input 2 5 18" xfId="44629" xr:uid="{00F0E900-314F-4B9F-AF95-6AAD8BB26544}"/>
    <cellStyle name="Input 2 5 19" xfId="44098" xr:uid="{D539A34D-F421-4CB2-9A50-197D9B8C9471}"/>
    <cellStyle name="Input 2 5 2" xfId="9841" xr:uid="{7EA86D8A-E119-4D44-BB74-04CDB3712A1A}"/>
    <cellStyle name="Input 2 5 2 10" xfId="9842" xr:uid="{9BD8568A-66D0-4C74-852C-55B761AE2186}"/>
    <cellStyle name="Input 2 5 2 10 2" xfId="29557" xr:uid="{CE104688-831E-4245-AC68-82443B4AA273}"/>
    <cellStyle name="Input 2 5 2 11" xfId="29558" xr:uid="{B5915E57-31F3-4706-B63B-A4D9D40DB621}"/>
    <cellStyle name="Input 2 5 2 12" xfId="29559" xr:uid="{8500D65C-1554-4B83-BF25-12556E639051}"/>
    <cellStyle name="Input 2 5 2 2" xfId="9843" xr:uid="{BD1F8B51-6AEE-4129-839C-9050B387E7D8}"/>
    <cellStyle name="Input 2 5 2 2 2" xfId="9844" xr:uid="{D314A541-E195-44B1-B7A2-00DDFBDF8435}"/>
    <cellStyle name="Input 2 5 2 2 2 2" xfId="29560" xr:uid="{AFD5282F-EE56-494E-A539-EFB67E04AE70}"/>
    <cellStyle name="Input 2 5 2 2 2 3" xfId="29561" xr:uid="{1FB68AC5-860B-4AD3-8FF7-339A453E5547}"/>
    <cellStyle name="Input 2 5 2 2 3" xfId="9845" xr:uid="{90692FE8-45F6-404E-A3B6-D21C164108F9}"/>
    <cellStyle name="Input 2 5 2 2 3 2" xfId="9846" xr:uid="{432C033F-5B8B-4B92-86C0-AB51462F2817}"/>
    <cellStyle name="Input 2 5 2 2 4" xfId="9847" xr:uid="{BF815324-D35A-49FC-AA70-DAA6DDDC8BFF}"/>
    <cellStyle name="Input 2 5 2 2 4 2" xfId="29562" xr:uid="{26848C77-EFAC-4BF9-8AFC-7FDCAE48D64C}"/>
    <cellStyle name="Input 2 5 2 2 5" xfId="29563" xr:uid="{931F3B9A-79EF-4D28-BB96-44882428F66E}"/>
    <cellStyle name="Input 2 5 2 2 6" xfId="29564" xr:uid="{FFBCD919-E13D-44F2-B4D3-C6A0F32BE566}"/>
    <cellStyle name="Input 2 5 2 2 7" xfId="29565" xr:uid="{8807589B-63AA-4B04-AC93-FE858D2A63B0}"/>
    <cellStyle name="Input 2 5 2 2 8" xfId="29566" xr:uid="{2C4F90C1-4877-431C-A0C2-DDD22544D939}"/>
    <cellStyle name="Input 2 5 2 3" xfId="9848" xr:uid="{338F8F4C-557F-4AAE-9DA1-D085EB401046}"/>
    <cellStyle name="Input 2 5 2 3 2" xfId="9849" xr:uid="{678B041B-A772-4B4A-87AB-EE286C6EC1D9}"/>
    <cellStyle name="Input 2 5 2 3 3" xfId="29567" xr:uid="{83576930-D029-42C1-B3E1-2105D32CDBB2}"/>
    <cellStyle name="Input 2 5 2 4" xfId="9850" xr:uid="{2ABC2DF7-28D0-4927-82E8-CC25824D63A0}"/>
    <cellStyle name="Input 2 5 2 4 2" xfId="9851" xr:uid="{51F94CE2-207C-482C-B2BB-E8079FBA8371}"/>
    <cellStyle name="Input 2 5 2 4 3" xfId="29568" xr:uid="{DF729ABB-3264-4B07-A3EA-11F191DBAA05}"/>
    <cellStyle name="Input 2 5 2 5" xfId="9852" xr:uid="{C479C737-F957-45C9-80B7-8B3FB0B58F7A}"/>
    <cellStyle name="Input 2 5 2 5 2" xfId="9853" xr:uid="{36EB45A4-2F95-4F58-AC69-76DF06FBB9F6}"/>
    <cellStyle name="Input 2 5 2 5 3" xfId="29569" xr:uid="{01677E28-76AE-47D1-9DC1-1471939E5A81}"/>
    <cellStyle name="Input 2 5 2 6" xfId="9854" xr:uid="{5450D16C-F78A-4E06-96E1-CB9A9BACD782}"/>
    <cellStyle name="Input 2 5 2 6 2" xfId="9855" xr:uid="{BB4444EC-B076-4DF0-9C50-F0BB298E0EA0}"/>
    <cellStyle name="Input 2 5 2 6 3" xfId="29570" xr:uid="{ED95294C-DAE6-4E4A-97B7-E07368FD193B}"/>
    <cellStyle name="Input 2 5 2 7" xfId="9856" xr:uid="{AAD22800-2A27-4F61-B3F2-FBF19C76FE94}"/>
    <cellStyle name="Input 2 5 2 7 2" xfId="9857" xr:uid="{C33D10B0-DC22-4920-8D08-136825EFB3A8}"/>
    <cellStyle name="Input 2 5 2 7 3" xfId="29571" xr:uid="{950CE988-B4E1-4BE0-9E81-2AC72EED4FD4}"/>
    <cellStyle name="Input 2 5 2 8" xfId="9858" xr:uid="{7B02CCA3-1564-4981-ACF1-2F9D87C0AC9E}"/>
    <cellStyle name="Input 2 5 2 8 2" xfId="9859" xr:uid="{136F6D5F-662E-47B5-BD8B-8A4A37514745}"/>
    <cellStyle name="Input 2 5 2 8 3" xfId="29572" xr:uid="{A7C2C180-7D19-4E0C-8B8A-EF32CAB15BE4}"/>
    <cellStyle name="Input 2 5 2 9" xfId="9860" xr:uid="{DD7D7B2F-9BC9-42EE-9B04-EABE1AC10866}"/>
    <cellStyle name="Input 2 5 2 9 2" xfId="29573" xr:uid="{D11470F2-A0DE-4192-A159-26E693BC07A7}"/>
    <cellStyle name="Input 2 5 2 9 3" xfId="29574" xr:uid="{99E5A9FC-E130-4A26-9799-1AF9FFAC00A0}"/>
    <cellStyle name="Input 2 5 20" xfId="45255" xr:uid="{D8216A59-45C7-457C-9EF7-EB1CDCF77FDB}"/>
    <cellStyle name="Input 2 5 3" xfId="9861" xr:uid="{DAF98F3C-8090-4DDD-9C0C-688508DF557E}"/>
    <cellStyle name="Input 2 5 3 2" xfId="9862" xr:uid="{8856E9E1-E836-4521-A31D-D727DABB13D5}"/>
    <cellStyle name="Input 2 5 3 3" xfId="9863" xr:uid="{45E65BDF-8B97-4E2E-8D5D-CCB7ACAB5FE3}"/>
    <cellStyle name="Input 2 5 3 4" xfId="9864" xr:uid="{622565F7-4DA7-4043-8EB8-EBFE3D05CDB9}"/>
    <cellStyle name="Input 2 5 4" xfId="9865" xr:uid="{88C958D8-A299-4288-8158-944B142F6B71}"/>
    <cellStyle name="Input 2 5 4 2" xfId="9866" xr:uid="{6D47D095-88A3-48C2-B4BF-70C52730EE27}"/>
    <cellStyle name="Input 2 5 4 3" xfId="29575" xr:uid="{B42D2543-B529-47C7-9369-DE5A61F797EE}"/>
    <cellStyle name="Input 2 5 5" xfId="9867" xr:uid="{3B664C5D-8AA9-417C-8BF5-BD00BC014481}"/>
    <cellStyle name="Input 2 5 5 2" xfId="9868" xr:uid="{956CE619-0C7B-4499-98E5-3FC058C22096}"/>
    <cellStyle name="Input 2 5 5 3" xfId="29576" xr:uid="{6702C4F2-34A8-4F5F-B067-9FF39B579F2B}"/>
    <cellStyle name="Input 2 5 6" xfId="9869" xr:uid="{DC2659E9-7125-48F5-A207-1A9401BAA452}"/>
    <cellStyle name="Input 2 5 6 2" xfId="9870" xr:uid="{3A17833D-FE8F-4B7F-AE8C-CE8F766E1E4B}"/>
    <cellStyle name="Input 2 5 6 3" xfId="29577" xr:uid="{BBBDAD5E-C1C6-4A4B-A233-2FEFEFA050AF}"/>
    <cellStyle name="Input 2 5 7" xfId="9871" xr:uid="{5374216C-FEF0-469D-AEA3-6D182E917D18}"/>
    <cellStyle name="Input 2 5 7 2" xfId="9872" xr:uid="{1B6F1DDB-85BB-40AB-8B68-43CF9EBB0F23}"/>
    <cellStyle name="Input 2 5 7 3" xfId="29578" xr:uid="{5FBA9179-4CB6-4166-A87C-B9E9B1B68612}"/>
    <cellStyle name="Input 2 5 8" xfId="9873" xr:uid="{7AA0EDF3-92AE-4906-83D2-BF51C0AD03F2}"/>
    <cellStyle name="Input 2 5 8 2" xfId="9874" xr:uid="{786FE320-0F3A-4482-9824-B98D52036C41}"/>
    <cellStyle name="Input 2 5 8 3" xfId="29579" xr:uid="{7C1B1754-F52D-42E8-A720-C01D3A174E33}"/>
    <cellStyle name="Input 2 5 9" xfId="9875" xr:uid="{5C2FCDFC-1AB3-4ED8-A750-01751B55A32E}"/>
    <cellStyle name="Input 2 5 9 2" xfId="9876" xr:uid="{A7F2DEC0-D950-4C97-B7D1-CD719073BE3B}"/>
    <cellStyle name="Input 2 5 9 3" xfId="29580" xr:uid="{E45D5DE9-0039-40D2-B8EA-1E8316CB6265}"/>
    <cellStyle name="Input 2 6" xfId="9877" xr:uid="{8E196BF8-D490-42F5-8788-F59EDF85F896}"/>
    <cellStyle name="Input 2 6 10" xfId="9878" xr:uid="{B068DFF4-C232-482C-B190-32A83356C94A}"/>
    <cellStyle name="Input 2 6 10 2" xfId="29581" xr:uid="{DDA21951-8383-4588-9CCD-64A948BB323E}"/>
    <cellStyle name="Input 2 6 10 3" xfId="29582" xr:uid="{8223360A-31C4-4159-91A0-46957563E01A}"/>
    <cellStyle name="Input 2 6 11" xfId="9879" xr:uid="{18782DAA-4009-43F1-B3F6-D1B403275665}"/>
    <cellStyle name="Input 2 6 11 2" xfId="29583" xr:uid="{C9EBC267-51B6-4C09-B097-0F0A9DC037FF}"/>
    <cellStyle name="Input 2 6 12" xfId="29584" xr:uid="{2F7055FF-E2D3-4DCA-AF2D-7891FFF64C89}"/>
    <cellStyle name="Input 2 6 13" xfId="29585" xr:uid="{F24FC2B0-EC4F-4C01-80CD-E910CB06AA2F}"/>
    <cellStyle name="Input 2 6 14" xfId="29586" xr:uid="{BE4E9E91-7A78-4B52-976A-5F182A65DCB1}"/>
    <cellStyle name="Input 2 6 15" xfId="42776" xr:uid="{FEED2472-5017-4ED4-A516-EE0FD6661695}"/>
    <cellStyle name="Input 2 6 16" xfId="42315" xr:uid="{92BA2418-1DF5-4F2B-98BB-86F42CF02F4C}"/>
    <cellStyle name="Input 2 6 17" xfId="43879" xr:uid="{A91D0C90-ED93-47F8-90A5-CDBC90EC7A4F}"/>
    <cellStyle name="Input 2 6 2" xfId="9880" xr:uid="{01C7108F-2434-4EB2-A93F-28D05288DE93}"/>
    <cellStyle name="Input 2 6 2 10" xfId="9881" xr:uid="{3523A2FD-EB48-4091-B12A-3E5EFA363BC4}"/>
    <cellStyle name="Input 2 6 2 10 2" xfId="29587" xr:uid="{451B3D80-4E0E-45AA-B671-9EA9ADC16545}"/>
    <cellStyle name="Input 2 6 2 11" xfId="29588" xr:uid="{3068CCA2-A0FD-44B4-9C62-A013AEAF87A4}"/>
    <cellStyle name="Input 2 6 2 12" xfId="29589" xr:uid="{E5E70BA4-C44C-4931-95BC-66005C441E41}"/>
    <cellStyle name="Input 2 6 2 2" xfId="9882" xr:uid="{4258DB2B-37E2-4CCD-90A2-14D8BAD02636}"/>
    <cellStyle name="Input 2 6 2 2 2" xfId="9883" xr:uid="{0D037769-E0C6-43DC-A0DA-2B82DA1EB7EE}"/>
    <cellStyle name="Input 2 6 2 2 2 2" xfId="29590" xr:uid="{B2DF8EF0-A8A8-4916-9EA1-CC7468FDC60C}"/>
    <cellStyle name="Input 2 6 2 2 2 3" xfId="29591" xr:uid="{A05748AA-FE16-4C9E-8E62-70D8B33A547F}"/>
    <cellStyle name="Input 2 6 2 2 3" xfId="9884" xr:uid="{20F69182-4EB3-4882-8ACD-4CBBFA3E5E1D}"/>
    <cellStyle name="Input 2 6 2 2 3 2" xfId="9885" xr:uid="{9F5D30D4-7431-4E61-BAEA-12D68B1B0E1F}"/>
    <cellStyle name="Input 2 6 2 2 4" xfId="9886" xr:uid="{686ED9C8-9F6F-45E5-8128-0030E98E2D9B}"/>
    <cellStyle name="Input 2 6 2 2 4 2" xfId="29592" xr:uid="{84AD526E-7B57-43C4-BE32-A811FE7E08BB}"/>
    <cellStyle name="Input 2 6 2 2 5" xfId="29593" xr:uid="{8F3A3B87-9936-4DFA-820E-AF29B8CAD7DD}"/>
    <cellStyle name="Input 2 6 2 2 6" xfId="29594" xr:uid="{F847E426-4417-4297-BD72-811926AC3336}"/>
    <cellStyle name="Input 2 6 2 2 7" xfId="29595" xr:uid="{3A9A815D-ADD0-4058-AFB8-59395CB034D3}"/>
    <cellStyle name="Input 2 6 2 2 8" xfId="29596" xr:uid="{B54DAE94-5AEA-4780-BF2B-C7703FE5E0C8}"/>
    <cellStyle name="Input 2 6 2 3" xfId="9887" xr:uid="{1E043F13-C27B-486B-865F-AD135BED9418}"/>
    <cellStyle name="Input 2 6 2 3 2" xfId="9888" xr:uid="{4ABCA0D9-49D3-4F2D-8105-A35D4DB07163}"/>
    <cellStyle name="Input 2 6 2 3 3" xfId="29597" xr:uid="{F1BFD181-9DDB-416F-89E2-28462BF74FCF}"/>
    <cellStyle name="Input 2 6 2 4" xfId="9889" xr:uid="{67E49CF3-04D5-426A-89E9-9A68A680E438}"/>
    <cellStyle name="Input 2 6 2 4 2" xfId="9890" xr:uid="{89C28E0C-529C-4000-AF6A-30061173B1D6}"/>
    <cellStyle name="Input 2 6 2 4 3" xfId="29598" xr:uid="{2FDF6624-314A-4FA4-AB71-0DC80B0FA736}"/>
    <cellStyle name="Input 2 6 2 5" xfId="9891" xr:uid="{1D271270-83BD-49DB-B605-9B380AB3721F}"/>
    <cellStyle name="Input 2 6 2 5 2" xfId="9892" xr:uid="{FC1CD95F-5965-4264-8385-9CBDA46D9488}"/>
    <cellStyle name="Input 2 6 2 5 3" xfId="29599" xr:uid="{3004A090-7935-4A2B-8500-C5395385CB4C}"/>
    <cellStyle name="Input 2 6 2 6" xfId="9893" xr:uid="{2112A731-FD67-4CDD-B773-3AEA2566F6ED}"/>
    <cellStyle name="Input 2 6 2 6 2" xfId="9894" xr:uid="{5E39D319-3676-42A9-8892-E3FF7C0A7326}"/>
    <cellStyle name="Input 2 6 2 6 3" xfId="29600" xr:uid="{6C4F9540-5E62-4EEB-84C3-10E62E8BCD6C}"/>
    <cellStyle name="Input 2 6 2 7" xfId="9895" xr:uid="{31BFA2B4-6788-4488-BAFA-EB7509670BAE}"/>
    <cellStyle name="Input 2 6 2 7 2" xfId="9896" xr:uid="{F47D1D60-5272-4E38-9306-5444E92138AD}"/>
    <cellStyle name="Input 2 6 2 7 3" xfId="29601" xr:uid="{90A93969-6FC1-4803-9D22-EA2D2BDB86AA}"/>
    <cellStyle name="Input 2 6 2 8" xfId="9897" xr:uid="{546FC9FE-A8D7-46CE-8EEA-9201672C8E0E}"/>
    <cellStyle name="Input 2 6 2 8 2" xfId="9898" xr:uid="{032EC364-A3E5-4AC7-87D4-C4C6227B0196}"/>
    <cellStyle name="Input 2 6 2 8 3" xfId="29602" xr:uid="{44EFF8F0-5982-4AB7-9F2B-DA157C90EA03}"/>
    <cellStyle name="Input 2 6 2 9" xfId="9899" xr:uid="{7B54F8AF-CEE6-4064-A4EB-9B8A6D33BB06}"/>
    <cellStyle name="Input 2 6 2 9 2" xfId="29603" xr:uid="{6D568915-BDC2-4FDA-A398-52B2A470E21C}"/>
    <cellStyle name="Input 2 6 2 9 3" xfId="29604" xr:uid="{2BB5A5BC-C5DD-4AA2-A33D-14263AE777E9}"/>
    <cellStyle name="Input 2 6 3" xfId="9900" xr:uid="{EFEC59C6-8A3F-4BAC-911B-288B0E71A57A}"/>
    <cellStyle name="Input 2 6 3 2" xfId="9901" xr:uid="{DFC09379-8A8F-4F4F-93FD-09602D5E6E7E}"/>
    <cellStyle name="Input 2 6 3 3" xfId="9902" xr:uid="{D2675236-E72A-47FF-8E1B-35372210BFD1}"/>
    <cellStyle name="Input 2 6 3 4" xfId="9903" xr:uid="{E7DE5E9F-29DF-4A34-9543-6030ED2B3C35}"/>
    <cellStyle name="Input 2 6 4" xfId="9904" xr:uid="{5D47F447-D032-487F-9CE3-C79B99757585}"/>
    <cellStyle name="Input 2 6 4 2" xfId="9905" xr:uid="{94B200BC-E2AF-46BF-A7A0-E65F48BDF292}"/>
    <cellStyle name="Input 2 6 4 3" xfId="29605" xr:uid="{487CB80A-CA58-4664-B12A-7939C7C07C85}"/>
    <cellStyle name="Input 2 6 5" xfId="9906" xr:uid="{5CD5BF95-540F-4EA1-BADA-B93FF93D15EF}"/>
    <cellStyle name="Input 2 6 5 2" xfId="9907" xr:uid="{E1B1EC1E-6AD8-4DBF-9690-7184E39A112A}"/>
    <cellStyle name="Input 2 6 5 3" xfId="29606" xr:uid="{FBA2250B-AA3B-44BE-8B5F-E49AB0BFAAD0}"/>
    <cellStyle name="Input 2 6 6" xfId="9908" xr:uid="{56AA8850-677C-451D-93AD-B3B123DCF1D2}"/>
    <cellStyle name="Input 2 6 6 2" xfId="9909" xr:uid="{E2C33FA9-D9B9-4CE4-8493-21DD12B0835D}"/>
    <cellStyle name="Input 2 6 6 3" xfId="29607" xr:uid="{73EB6979-2F65-40D2-9C58-353084CE54D5}"/>
    <cellStyle name="Input 2 6 7" xfId="9910" xr:uid="{C5595A4A-F562-4D61-BEC4-BD428198F2ED}"/>
    <cellStyle name="Input 2 6 7 2" xfId="9911" xr:uid="{FA33DF6E-8A1A-4EBB-8B0B-97A6DFF61080}"/>
    <cellStyle name="Input 2 6 7 3" xfId="29608" xr:uid="{EBC4993F-A60F-4CA9-AE00-8E934909D372}"/>
    <cellStyle name="Input 2 6 8" xfId="9912" xr:uid="{A3C0A27C-88A1-4D75-9C64-13280FD506EF}"/>
    <cellStyle name="Input 2 6 8 2" xfId="9913" xr:uid="{253D6F94-BB58-4E20-A67D-0F16F8BB919D}"/>
    <cellStyle name="Input 2 6 8 3" xfId="29609" xr:uid="{555304F2-886C-4469-B251-9645A6398EF8}"/>
    <cellStyle name="Input 2 6 9" xfId="9914" xr:uid="{9BD5A158-9DEB-4A06-A6D3-D94F89D32FB0}"/>
    <cellStyle name="Input 2 6 9 2" xfId="9915" xr:uid="{6C6C09BD-0027-4EA8-9ED1-FACCF3BC0AC1}"/>
    <cellStyle name="Input 2 6 9 3" xfId="29610" xr:uid="{50DAD99A-F34A-4B55-B5C1-E14D4C03528E}"/>
    <cellStyle name="Input 2 7" xfId="9916" xr:uid="{8891608B-E1D5-4F53-807F-61D0A1C9EAA8}"/>
    <cellStyle name="Input 2 7 10" xfId="9917" xr:uid="{52CEA214-5CCE-410A-83C2-066F978EAAAD}"/>
    <cellStyle name="Input 2 7 10 2" xfId="29611" xr:uid="{0469922A-7A1D-4C3B-80C0-99DCDCAE7A2C}"/>
    <cellStyle name="Input 2 7 10 3" xfId="29612" xr:uid="{C19CD04A-DBBB-497D-9EF2-A748D68AA256}"/>
    <cellStyle name="Input 2 7 11" xfId="9918" xr:uid="{4F96BAF7-4FB8-46EE-82DC-3D90963EFCF1}"/>
    <cellStyle name="Input 2 7 11 2" xfId="29613" xr:uid="{7A95529B-85AD-4F15-9425-0B8A0638229A}"/>
    <cellStyle name="Input 2 7 12" xfId="29614" xr:uid="{8DA04B87-CB15-47BA-83B7-BC29783430CB}"/>
    <cellStyle name="Input 2 7 13" xfId="29615" xr:uid="{26CA2D6C-8C12-4CE8-B4B3-93487D0D7BB9}"/>
    <cellStyle name="Input 2 7 14" xfId="29616" xr:uid="{AE2591B4-D782-4872-B57D-B7D9A3F3B939}"/>
    <cellStyle name="Input 2 7 15" xfId="42777" xr:uid="{F824412B-24D6-4961-BCDB-AC297FDB8B7A}"/>
    <cellStyle name="Input 2 7 16" xfId="42314" xr:uid="{D854C882-F619-4AD9-A87A-68C5344FFC67}"/>
    <cellStyle name="Input 2 7 17" xfId="43880" xr:uid="{05CAC1DA-1DAD-4AB0-998F-6305F8F88A88}"/>
    <cellStyle name="Input 2 7 2" xfId="9919" xr:uid="{7E5200EF-B044-41EC-9BE5-B11D9A6C90DB}"/>
    <cellStyle name="Input 2 7 2 10" xfId="9920" xr:uid="{4C654F14-6A01-4BAE-B87A-A9759EEDA6B6}"/>
    <cellStyle name="Input 2 7 2 10 2" xfId="29617" xr:uid="{32DD1D2F-C8DF-4A30-B36E-6F19A54FB069}"/>
    <cellStyle name="Input 2 7 2 11" xfId="29618" xr:uid="{36EC7FBF-AB62-4D61-8CD1-4940D3164A05}"/>
    <cellStyle name="Input 2 7 2 12" xfId="29619" xr:uid="{ABF035B9-DE1A-447D-9B04-EA20483B514D}"/>
    <cellStyle name="Input 2 7 2 2" xfId="9921" xr:uid="{6E697A80-D933-4A27-B9F6-B69C3A976B8C}"/>
    <cellStyle name="Input 2 7 2 2 2" xfId="9922" xr:uid="{CF5C5689-9F22-4DFD-B01D-23BD40696ED6}"/>
    <cellStyle name="Input 2 7 2 2 2 2" xfId="29620" xr:uid="{441A1873-C812-4C42-A779-4E6ED496F576}"/>
    <cellStyle name="Input 2 7 2 2 2 3" xfId="29621" xr:uid="{E079DE13-7BCD-4B7C-8CB1-679AC79E85C0}"/>
    <cellStyle name="Input 2 7 2 2 3" xfId="9923" xr:uid="{9188B687-B20C-4EAD-AAE6-F1FD160327E6}"/>
    <cellStyle name="Input 2 7 2 2 3 2" xfId="9924" xr:uid="{B83365F0-8604-465B-9B0E-2A1578F4F7A1}"/>
    <cellStyle name="Input 2 7 2 2 4" xfId="9925" xr:uid="{4FFE3BC5-5AD1-4E22-90CF-53AEEDD830F8}"/>
    <cellStyle name="Input 2 7 2 2 4 2" xfId="29622" xr:uid="{189E89A1-B823-4F5E-9B89-CABAD776FBB8}"/>
    <cellStyle name="Input 2 7 2 2 5" xfId="29623" xr:uid="{991729AD-6399-4BB2-9016-EC71D8BAB2F7}"/>
    <cellStyle name="Input 2 7 2 2 6" xfId="29624" xr:uid="{610BA07B-85DE-4098-8DBA-A77D06469A2C}"/>
    <cellStyle name="Input 2 7 2 2 7" xfId="29625" xr:uid="{59B6AC79-AFC3-4C7A-84B2-AFBACC0CB254}"/>
    <cellStyle name="Input 2 7 2 2 8" xfId="29626" xr:uid="{CAF10E4C-5A9E-4DC7-88A3-D3A1E7ABA5B6}"/>
    <cellStyle name="Input 2 7 2 3" xfId="9926" xr:uid="{D8649066-5EA0-4FC7-AF92-D66D789414E0}"/>
    <cellStyle name="Input 2 7 2 3 2" xfId="9927" xr:uid="{E0AD63C0-BA51-4612-A5BD-EA4B2092FFCE}"/>
    <cellStyle name="Input 2 7 2 3 3" xfId="29627" xr:uid="{AE4E40A7-24F8-4FE8-99E1-BACEB7E9D569}"/>
    <cellStyle name="Input 2 7 2 4" xfId="9928" xr:uid="{765F4018-99AA-47D7-ACB2-DC249F59E4D4}"/>
    <cellStyle name="Input 2 7 2 4 2" xfId="9929" xr:uid="{3EB93053-2D2F-4958-A900-12D5D9CB84E8}"/>
    <cellStyle name="Input 2 7 2 4 3" xfId="29628" xr:uid="{D7AA4A52-87BF-4091-83C4-BD160C365683}"/>
    <cellStyle name="Input 2 7 2 5" xfId="9930" xr:uid="{1D18368B-D414-40F2-BEB9-F9EF467EE3A6}"/>
    <cellStyle name="Input 2 7 2 5 2" xfId="9931" xr:uid="{250C175F-5C13-4AC6-85BF-B22F8F1117C1}"/>
    <cellStyle name="Input 2 7 2 5 3" xfId="29629" xr:uid="{BC645193-90A9-4236-A8FF-46153680E730}"/>
    <cellStyle name="Input 2 7 2 6" xfId="9932" xr:uid="{5181FC8D-5594-465D-B5DA-EA07F83C2299}"/>
    <cellStyle name="Input 2 7 2 6 2" xfId="9933" xr:uid="{0E3AA55B-C6E3-4421-B247-79B6177673EB}"/>
    <cellStyle name="Input 2 7 2 6 3" xfId="29630" xr:uid="{848226B3-52B8-4920-BBE9-7986758B09BC}"/>
    <cellStyle name="Input 2 7 2 7" xfId="9934" xr:uid="{F1642BDA-29CF-40D0-AADA-1909A5CC495C}"/>
    <cellStyle name="Input 2 7 2 7 2" xfId="9935" xr:uid="{9CFF94B2-2E77-4387-9070-F4A796FA82A4}"/>
    <cellStyle name="Input 2 7 2 7 3" xfId="29631" xr:uid="{ADF3D79A-4C4C-4BAF-A169-CAAB2A10E2A8}"/>
    <cellStyle name="Input 2 7 2 8" xfId="9936" xr:uid="{D5DC83C4-A88C-48AC-8B81-499E4593EBD2}"/>
    <cellStyle name="Input 2 7 2 8 2" xfId="9937" xr:uid="{13E8175D-E10A-4FFB-A862-39FCDFF1BC4B}"/>
    <cellStyle name="Input 2 7 2 8 3" xfId="29632" xr:uid="{351A8F52-FCF6-409A-9EFB-5D45929ABB85}"/>
    <cellStyle name="Input 2 7 2 9" xfId="9938" xr:uid="{814243C8-D4E0-4E54-95C7-D8FB5BD793CA}"/>
    <cellStyle name="Input 2 7 2 9 2" xfId="29633" xr:uid="{8DE76D04-85B4-4225-9DFD-C0B94F99B9B2}"/>
    <cellStyle name="Input 2 7 2 9 3" xfId="29634" xr:uid="{02A88F63-2CBC-464E-BB1F-4AF6A5D1B282}"/>
    <cellStyle name="Input 2 7 3" xfId="9939" xr:uid="{9945F2DB-A737-4DA5-8EC7-C870F2D2D93C}"/>
    <cellStyle name="Input 2 7 3 2" xfId="9940" xr:uid="{500A04B5-A07B-488E-B598-0F5B2A09CE10}"/>
    <cellStyle name="Input 2 7 3 3" xfId="9941" xr:uid="{29F69B9B-3932-4E50-8DDB-46F40C29B715}"/>
    <cellStyle name="Input 2 7 3 4" xfId="9942" xr:uid="{CA2D0002-5C02-4CCD-B6C9-33C96FB5DE49}"/>
    <cellStyle name="Input 2 7 4" xfId="9943" xr:uid="{7DA552A5-EFA1-4C50-8E90-06C125D67F3B}"/>
    <cellStyle name="Input 2 7 4 2" xfId="9944" xr:uid="{EE7A9167-AEF1-4E1B-A871-EAF69B731598}"/>
    <cellStyle name="Input 2 7 4 3" xfId="29635" xr:uid="{2016B7C4-C94F-4A79-8E9A-AAC67278C402}"/>
    <cellStyle name="Input 2 7 5" xfId="9945" xr:uid="{160F7E64-9889-4928-B68E-8C374C61CFB1}"/>
    <cellStyle name="Input 2 7 5 2" xfId="9946" xr:uid="{0263674E-5892-4749-BD6E-D50E4B20A5C5}"/>
    <cellStyle name="Input 2 7 5 3" xfId="29636" xr:uid="{F0A93C15-BD5C-4017-A0B0-4B48012B6614}"/>
    <cellStyle name="Input 2 7 6" xfId="9947" xr:uid="{C4C61DE3-0952-47CE-B329-7837F6376083}"/>
    <cellStyle name="Input 2 7 6 2" xfId="9948" xr:uid="{A12097FC-D8DE-489A-80D9-B445923C7D36}"/>
    <cellStyle name="Input 2 7 6 3" xfId="29637" xr:uid="{6DAC5A08-9E01-4372-9800-824245697AD6}"/>
    <cellStyle name="Input 2 7 7" xfId="9949" xr:uid="{8787436B-E36D-4734-A048-A0F29CD5FA25}"/>
    <cellStyle name="Input 2 7 7 2" xfId="9950" xr:uid="{D9A5726B-421A-4AF8-A679-93C067247EC6}"/>
    <cellStyle name="Input 2 7 7 3" xfId="29638" xr:uid="{4565BCAE-9B9D-47CE-95FB-40A6E73055CF}"/>
    <cellStyle name="Input 2 7 8" xfId="9951" xr:uid="{0AC17EFB-5478-442E-BA6C-EAC88B59016A}"/>
    <cellStyle name="Input 2 7 8 2" xfId="9952" xr:uid="{AB692DA7-D1C1-4121-9C98-AFB3777B0B8C}"/>
    <cellStyle name="Input 2 7 8 3" xfId="29639" xr:uid="{53855E9B-D676-4D43-AE55-D33F15624633}"/>
    <cellStyle name="Input 2 7 9" xfId="9953" xr:uid="{5F2E9F43-A8E1-494B-B117-3CC864235776}"/>
    <cellStyle name="Input 2 7 9 2" xfId="9954" xr:uid="{4E4B2D9F-A65F-4966-B800-9582AC05D99C}"/>
    <cellStyle name="Input 2 7 9 3" xfId="29640" xr:uid="{19F313CF-CE44-4869-BE8D-B7B21669A5E0}"/>
    <cellStyle name="Input 2 8" xfId="9955" xr:uid="{9426F343-9CE9-419E-BCC5-AF32E53C5031}"/>
    <cellStyle name="Input 2 8 10" xfId="9956" xr:uid="{99F33830-CA52-43DC-87A9-C81BFF86EAD7}"/>
    <cellStyle name="Input 2 8 10 2" xfId="29641" xr:uid="{C01992E1-D898-48D2-9451-A1A631CFD275}"/>
    <cellStyle name="Input 2 8 10 3" xfId="29642" xr:uid="{1829ED83-0003-4709-B0F4-49D837E78380}"/>
    <cellStyle name="Input 2 8 11" xfId="9957" xr:uid="{C684BFF6-E1DA-4BDE-BA5C-3BDEE06BC2E0}"/>
    <cellStyle name="Input 2 8 11 2" xfId="29643" xr:uid="{8E3E2E0C-2315-4276-97DD-24636DAB5B60}"/>
    <cellStyle name="Input 2 8 12" xfId="29644" xr:uid="{D298FBEF-04F3-455D-9C23-09ABF45B3435}"/>
    <cellStyle name="Input 2 8 13" xfId="29645" xr:uid="{48363E81-1671-4827-B63A-660736748BE0}"/>
    <cellStyle name="Input 2 8 14" xfId="29646" xr:uid="{28864E67-8C51-4F9B-AE8D-8DBB4ABCF9CF}"/>
    <cellStyle name="Input 2 8 15" xfId="42778" xr:uid="{3A9583DE-E8FD-4B6A-B88A-96222BFB6E14}"/>
    <cellStyle name="Input 2 8 16" xfId="42313" xr:uid="{1BB73D97-B4DA-4849-B840-31CA978C57E3}"/>
    <cellStyle name="Input 2 8 17" xfId="43881" xr:uid="{A9F8CEC9-777B-488D-B7C5-0F61EE956DAB}"/>
    <cellStyle name="Input 2 8 2" xfId="9958" xr:uid="{6BBD6690-3D88-4AAC-8C08-D1AAF7A800EE}"/>
    <cellStyle name="Input 2 8 2 10" xfId="9959" xr:uid="{E5C73BFC-E646-4CB6-9D24-79E50C8DAF9A}"/>
    <cellStyle name="Input 2 8 2 10 2" xfId="29647" xr:uid="{409C3BE5-E5D8-471B-AB88-4341BE5FD63A}"/>
    <cellStyle name="Input 2 8 2 11" xfId="29648" xr:uid="{EA0306AC-4CAD-479B-A535-A1F54EABE236}"/>
    <cellStyle name="Input 2 8 2 12" xfId="29649" xr:uid="{115F4710-5132-4782-87D5-755D523B0474}"/>
    <cellStyle name="Input 2 8 2 2" xfId="9960" xr:uid="{933DBA1F-3F3B-4846-8EC2-21E9E8951BC9}"/>
    <cellStyle name="Input 2 8 2 2 2" xfId="9961" xr:uid="{099918B4-4FEB-4244-B35C-5F5063BFA975}"/>
    <cellStyle name="Input 2 8 2 2 2 2" xfId="29650" xr:uid="{07BE880F-4274-40FC-AD57-D49D39D954DD}"/>
    <cellStyle name="Input 2 8 2 2 2 3" xfId="29651" xr:uid="{B1CB1B44-A63C-4BDA-AF9B-7DA067DF2129}"/>
    <cellStyle name="Input 2 8 2 2 3" xfId="9962" xr:uid="{CF321DFE-3C39-409D-9E6A-80843873095A}"/>
    <cellStyle name="Input 2 8 2 2 3 2" xfId="9963" xr:uid="{309082A6-12D1-40C8-B308-8E63D0A6FC8D}"/>
    <cellStyle name="Input 2 8 2 2 4" xfId="9964" xr:uid="{BB01CE88-702D-4DD1-A565-D87AFF01E3A1}"/>
    <cellStyle name="Input 2 8 2 2 4 2" xfId="29652" xr:uid="{C1AF473A-5455-4EF9-9C41-696E8D5C152F}"/>
    <cellStyle name="Input 2 8 2 2 5" xfId="29653" xr:uid="{727F85D1-565A-4BCB-A117-B2C7F9BD19BE}"/>
    <cellStyle name="Input 2 8 2 2 6" xfId="29654" xr:uid="{493646C3-4A68-435A-AE55-6B3D07FA084D}"/>
    <cellStyle name="Input 2 8 2 2 7" xfId="29655" xr:uid="{49A8DE4F-E716-4C24-94F3-48DDEBD7CC87}"/>
    <cellStyle name="Input 2 8 2 2 8" xfId="29656" xr:uid="{7279EB2E-4DF8-4FD6-80A6-BDF5B113E0E8}"/>
    <cellStyle name="Input 2 8 2 3" xfId="9965" xr:uid="{8D237C6D-D460-45F9-A373-78C1AF5154F7}"/>
    <cellStyle name="Input 2 8 2 3 2" xfId="9966" xr:uid="{079CB37D-D773-47BA-8C79-00F6836191E4}"/>
    <cellStyle name="Input 2 8 2 3 3" xfId="29657" xr:uid="{A832DF6A-E9C3-484D-80A6-9FC65292CB57}"/>
    <cellStyle name="Input 2 8 2 4" xfId="9967" xr:uid="{78F55ACA-8934-4112-B7D8-F00885E9FB09}"/>
    <cellStyle name="Input 2 8 2 4 2" xfId="9968" xr:uid="{F2C7026C-ABB6-4BC0-89E2-012F8E406FD4}"/>
    <cellStyle name="Input 2 8 2 4 3" xfId="29658" xr:uid="{755BD59F-594D-42B8-9DF2-A7A2E1EF9278}"/>
    <cellStyle name="Input 2 8 2 5" xfId="9969" xr:uid="{68029B14-7E8B-4B1C-8211-1C5A6E90E51E}"/>
    <cellStyle name="Input 2 8 2 5 2" xfId="9970" xr:uid="{5B8B7B5E-3A7F-4285-9A46-83DDA9E1C8FD}"/>
    <cellStyle name="Input 2 8 2 5 3" xfId="29659" xr:uid="{DC6DB1C8-ED5B-4ED7-85C6-717E8135EE64}"/>
    <cellStyle name="Input 2 8 2 6" xfId="9971" xr:uid="{28EAC290-41B9-4CFB-B1F1-FD2917D19D6F}"/>
    <cellStyle name="Input 2 8 2 6 2" xfId="9972" xr:uid="{EE421C8B-D90B-4BB7-910F-FDF84F7A0C26}"/>
    <cellStyle name="Input 2 8 2 6 3" xfId="29660" xr:uid="{83BD9248-DBA0-45EF-A5F5-925E57543A8B}"/>
    <cellStyle name="Input 2 8 2 7" xfId="9973" xr:uid="{7A049C4B-7B0C-483B-AE12-2B996949A71E}"/>
    <cellStyle name="Input 2 8 2 7 2" xfId="9974" xr:uid="{DCB4DAA1-3157-4EAE-A45F-8C4E5BDD7464}"/>
    <cellStyle name="Input 2 8 2 7 3" xfId="29661" xr:uid="{40057B55-8B75-4AFD-8716-E7299E99CD25}"/>
    <cellStyle name="Input 2 8 2 8" xfId="9975" xr:uid="{609621C8-A812-4FB6-AA70-7C8E47E7E90A}"/>
    <cellStyle name="Input 2 8 2 8 2" xfId="9976" xr:uid="{24636314-9602-4D77-9417-8E19CDE56EC7}"/>
    <cellStyle name="Input 2 8 2 8 3" xfId="29662" xr:uid="{4379B47B-45E5-4A4E-BEF5-F1C7B904751E}"/>
    <cellStyle name="Input 2 8 2 9" xfId="9977" xr:uid="{EACF7CE5-D139-4082-A8C4-46DC134A4602}"/>
    <cellStyle name="Input 2 8 2 9 2" xfId="29663" xr:uid="{66139D83-34D3-43EB-BE72-5751FBB94770}"/>
    <cellStyle name="Input 2 8 2 9 3" xfId="29664" xr:uid="{1A613609-7DA7-40BF-9D6A-E9AEE0E00026}"/>
    <cellStyle name="Input 2 8 3" xfId="9978" xr:uid="{5806C779-E009-484B-B6A1-6D101498B489}"/>
    <cellStyle name="Input 2 8 3 2" xfId="9979" xr:uid="{01E39DE3-2490-4820-A007-434AF4C083CA}"/>
    <cellStyle name="Input 2 8 3 3" xfId="9980" xr:uid="{DF2F3938-D244-4C9B-9CFC-755650EF703C}"/>
    <cellStyle name="Input 2 8 3 4" xfId="9981" xr:uid="{B964CD2E-4F60-4961-80BE-26026C47E9CB}"/>
    <cellStyle name="Input 2 8 4" xfId="9982" xr:uid="{C551E01D-650F-468A-A15C-7FEC475F3F40}"/>
    <cellStyle name="Input 2 8 4 2" xfId="9983" xr:uid="{0DF966B9-A2CF-4C09-8A59-AEC22FE74A2F}"/>
    <cellStyle name="Input 2 8 4 3" xfId="29665" xr:uid="{B130273A-E5AE-4A9A-A2CF-45DD2E14B978}"/>
    <cellStyle name="Input 2 8 5" xfId="9984" xr:uid="{440E4B2A-D15E-4A6B-9966-E423D4EDFCC2}"/>
    <cellStyle name="Input 2 8 5 2" xfId="9985" xr:uid="{643C7B95-A5BB-4377-B886-9A117EAE6D4E}"/>
    <cellStyle name="Input 2 8 5 3" xfId="29666" xr:uid="{755A7F30-A55E-428B-8CFB-5B643E33923E}"/>
    <cellStyle name="Input 2 8 6" xfId="9986" xr:uid="{55F26BAF-C66A-4ED1-9A9B-4668C5830006}"/>
    <cellStyle name="Input 2 8 6 2" xfId="9987" xr:uid="{A9AC7015-D32A-475E-9CFE-01CB9CAA503E}"/>
    <cellStyle name="Input 2 8 6 3" xfId="29667" xr:uid="{902552E8-DEB9-459B-8BED-56F4101D0176}"/>
    <cellStyle name="Input 2 8 7" xfId="9988" xr:uid="{FD94E877-0197-4903-8A2D-12F4A7CF0012}"/>
    <cellStyle name="Input 2 8 7 2" xfId="9989" xr:uid="{58B892AC-06C6-48B7-991E-640E6609290F}"/>
    <cellStyle name="Input 2 8 7 3" xfId="29668" xr:uid="{D43DA0FD-58D9-45F3-8A23-43F9FC4E54C9}"/>
    <cellStyle name="Input 2 8 8" xfId="9990" xr:uid="{38A9B72C-F873-4CCD-92BC-1C3974C014C8}"/>
    <cellStyle name="Input 2 8 8 2" xfId="9991" xr:uid="{525EEF7A-FA17-4D63-8C92-3EED35CBB7AB}"/>
    <cellStyle name="Input 2 8 8 3" xfId="29669" xr:uid="{2E19DAE5-3716-46F0-B23E-15B47E2D9834}"/>
    <cellStyle name="Input 2 8 9" xfId="9992" xr:uid="{A0F1F6A5-27C3-4900-9329-404FBC5EDE79}"/>
    <cellStyle name="Input 2 8 9 2" xfId="9993" xr:uid="{2A34FC0F-7F4D-47BE-84EB-1181D3625680}"/>
    <cellStyle name="Input 2 8 9 3" xfId="29670" xr:uid="{C04F2DF3-2A65-4821-9871-8D944043344B}"/>
    <cellStyle name="Input 2 9" xfId="9994" xr:uid="{EEE6EB98-AE37-492A-AC71-3BF65CB9CAF7}"/>
    <cellStyle name="Input 2 9 10" xfId="9995" xr:uid="{C2E6F4DE-F71E-48FC-8FFD-C191B49FBDF8}"/>
    <cellStyle name="Input 2 9 10 2" xfId="29671" xr:uid="{CCF00562-3F0F-4B7E-A102-6CF2E8D576CC}"/>
    <cellStyle name="Input 2 9 10 3" xfId="29672" xr:uid="{A443EAE0-DAA9-4108-85D9-AA60CE2FE659}"/>
    <cellStyle name="Input 2 9 11" xfId="9996" xr:uid="{CEAFD311-A014-46E9-8CFE-C49246FB7A72}"/>
    <cellStyle name="Input 2 9 11 2" xfId="29673" xr:uid="{6F3118CC-D1A5-4F51-8C74-6B3C961A05FA}"/>
    <cellStyle name="Input 2 9 12" xfId="29674" xr:uid="{FBA47118-B664-469C-8651-5B0309660FF5}"/>
    <cellStyle name="Input 2 9 13" xfId="29675" xr:uid="{34AEA213-4515-429D-B5AF-BA752D37F910}"/>
    <cellStyle name="Input 2 9 14" xfId="29676" xr:uid="{F8368DD3-7E27-437A-876D-452962E2DFEC}"/>
    <cellStyle name="Input 2 9 15" xfId="42779" xr:uid="{925A348C-9322-47C9-B73C-D6781A53018C}"/>
    <cellStyle name="Input 2 9 16" xfId="42312" xr:uid="{82088A2F-7AB8-42C1-BF8D-E536AED0B316}"/>
    <cellStyle name="Input 2 9 17" xfId="43882" xr:uid="{0B586DAB-6569-466E-BBB6-F18E2EDA455A}"/>
    <cellStyle name="Input 2 9 2" xfId="9997" xr:uid="{9F799DB9-C76A-412E-87C9-47B43AAD1CE6}"/>
    <cellStyle name="Input 2 9 2 10" xfId="9998" xr:uid="{4A86BDEC-E25E-442C-8EE1-7B31AE2DAEC4}"/>
    <cellStyle name="Input 2 9 2 10 2" xfId="29677" xr:uid="{61DCA4E8-6983-47AD-B1C4-0EE09F48036D}"/>
    <cellStyle name="Input 2 9 2 11" xfId="29678" xr:uid="{7BC2EF98-21EB-49A6-89C9-CDB198844227}"/>
    <cellStyle name="Input 2 9 2 12" xfId="29679" xr:uid="{F610E6A4-63D3-408B-8D87-2A8C7702E1B7}"/>
    <cellStyle name="Input 2 9 2 2" xfId="9999" xr:uid="{905C0BCE-1299-46BA-AB67-BA0B74F789BC}"/>
    <cellStyle name="Input 2 9 2 2 2" xfId="10000" xr:uid="{91D249E6-FD00-4FBA-A218-3CAAF7A21D1D}"/>
    <cellStyle name="Input 2 9 2 2 2 2" xfId="29680" xr:uid="{11374030-E183-4F7B-A2E8-755326F17E2F}"/>
    <cellStyle name="Input 2 9 2 2 2 3" xfId="29681" xr:uid="{07E5B0C6-2215-4D0F-B59A-7F00D969029C}"/>
    <cellStyle name="Input 2 9 2 2 3" xfId="10001" xr:uid="{148D51E2-D86D-4EAE-9983-C749CD79ABCD}"/>
    <cellStyle name="Input 2 9 2 2 3 2" xfId="10002" xr:uid="{B9EBD6C3-1F0B-4086-A1FC-4CFB92FB33BD}"/>
    <cellStyle name="Input 2 9 2 2 4" xfId="10003" xr:uid="{ABF4D890-33B0-48B6-8032-23FC226D4592}"/>
    <cellStyle name="Input 2 9 2 2 4 2" xfId="29682" xr:uid="{A521E7A2-2FEB-48F0-99A1-7686F49957D5}"/>
    <cellStyle name="Input 2 9 2 2 5" xfId="29683" xr:uid="{8418D0D8-4703-43C6-99F3-3971DCC62861}"/>
    <cellStyle name="Input 2 9 2 2 6" xfId="29684" xr:uid="{C5651539-FC84-4972-AE59-68FCD8B014B4}"/>
    <cellStyle name="Input 2 9 2 2 7" xfId="29685" xr:uid="{FF71D06C-75FB-4181-9FC1-2A1764DD7CBA}"/>
    <cellStyle name="Input 2 9 2 2 8" xfId="29686" xr:uid="{8442D41F-F3CF-46AF-9727-358E5BB2DABB}"/>
    <cellStyle name="Input 2 9 2 3" xfId="10004" xr:uid="{6FCFA0FF-D6DB-46FD-9376-97D9824E52BB}"/>
    <cellStyle name="Input 2 9 2 3 2" xfId="10005" xr:uid="{D99AAFD1-8AF1-4374-BFA9-F0AA0D8602D9}"/>
    <cellStyle name="Input 2 9 2 3 3" xfId="29687" xr:uid="{84DBE650-C232-4FF3-BEB4-703F98A62D58}"/>
    <cellStyle name="Input 2 9 2 4" xfId="10006" xr:uid="{50897F10-CD38-4B5A-8BA3-7402332BE012}"/>
    <cellStyle name="Input 2 9 2 4 2" xfId="10007" xr:uid="{65673222-70CC-4A43-BDAD-BF895CF135AB}"/>
    <cellStyle name="Input 2 9 2 4 3" xfId="29688" xr:uid="{2CD550E3-C79E-4B4D-9760-D287C3624AE6}"/>
    <cellStyle name="Input 2 9 2 5" xfId="10008" xr:uid="{9A863B68-F072-45AA-80B6-B51914327063}"/>
    <cellStyle name="Input 2 9 2 5 2" xfId="10009" xr:uid="{EF1CB14D-7CD6-4010-858D-1FC9B0375C73}"/>
    <cellStyle name="Input 2 9 2 5 3" xfId="29689" xr:uid="{2698A73C-BC75-4F77-9D4D-32E12787757B}"/>
    <cellStyle name="Input 2 9 2 6" xfId="10010" xr:uid="{11BDE2D9-F4EE-4DAD-A30D-A635981C015F}"/>
    <cellStyle name="Input 2 9 2 6 2" xfId="10011" xr:uid="{0301CEE5-60DB-462E-8437-E6526CD8BB1F}"/>
    <cellStyle name="Input 2 9 2 6 3" xfId="29690" xr:uid="{A409D8C3-49DF-4F38-B96C-54DE687F97B3}"/>
    <cellStyle name="Input 2 9 2 7" xfId="10012" xr:uid="{AE2C5E01-EEAE-4272-94A9-CBCDC8072E38}"/>
    <cellStyle name="Input 2 9 2 7 2" xfId="10013" xr:uid="{F2402975-856D-471F-B363-D9ABE5046598}"/>
    <cellStyle name="Input 2 9 2 7 3" xfId="29691" xr:uid="{6E1ED952-107C-47F4-B54E-526BB4922D00}"/>
    <cellStyle name="Input 2 9 2 8" xfId="10014" xr:uid="{6EBA6B5E-0152-43F8-967F-C995BED289FF}"/>
    <cellStyle name="Input 2 9 2 8 2" xfId="10015" xr:uid="{EA29A006-2206-4341-AC48-B28B16F9253D}"/>
    <cellStyle name="Input 2 9 2 8 3" xfId="29692" xr:uid="{14BCC0C8-1696-474B-8220-7B656B98C268}"/>
    <cellStyle name="Input 2 9 2 9" xfId="10016" xr:uid="{8E3EAA83-9137-468D-A30D-ADEDE2380170}"/>
    <cellStyle name="Input 2 9 2 9 2" xfId="29693" xr:uid="{1F80A24E-C0E1-446A-88D0-CA0E47F9BC2C}"/>
    <cellStyle name="Input 2 9 2 9 3" xfId="29694" xr:uid="{3A545B10-0AD0-427D-B582-98D69CBA524D}"/>
    <cellStyle name="Input 2 9 3" xfId="10017" xr:uid="{634C3DED-6162-4D64-B0C7-2B2F510CF192}"/>
    <cellStyle name="Input 2 9 3 2" xfId="10018" xr:uid="{66868D99-3FA6-466A-8070-501F4EE6CFC1}"/>
    <cellStyle name="Input 2 9 3 3" xfId="10019" xr:uid="{BD452298-9CAE-4D61-940C-AC5C3352F9F2}"/>
    <cellStyle name="Input 2 9 3 4" xfId="10020" xr:uid="{6B326385-0968-450F-A960-EE1D59346433}"/>
    <cellStyle name="Input 2 9 4" xfId="10021" xr:uid="{708CF733-A2E9-4F14-B830-1D0B006ED60C}"/>
    <cellStyle name="Input 2 9 4 2" xfId="10022" xr:uid="{5BA5604F-6952-4AD7-B837-A0EA894FA428}"/>
    <cellStyle name="Input 2 9 4 3" xfId="29695" xr:uid="{C544B270-D874-45FB-8DF7-890D538B4E40}"/>
    <cellStyle name="Input 2 9 5" xfId="10023" xr:uid="{A851D0A3-7DDF-4F4F-A961-AFF0948A14C2}"/>
    <cellStyle name="Input 2 9 5 2" xfId="10024" xr:uid="{36F0596D-233B-48FB-A4BF-F3DD30184D2F}"/>
    <cellStyle name="Input 2 9 5 3" xfId="29696" xr:uid="{8CB3E84E-4CF2-44BE-97A8-5BF1A09ABD7F}"/>
    <cellStyle name="Input 2 9 6" xfId="10025" xr:uid="{FF957E9D-017F-4AA7-9F3B-303674114231}"/>
    <cellStyle name="Input 2 9 6 2" xfId="10026" xr:uid="{2FE095FC-253B-4663-8AF5-33AE95C17F5A}"/>
    <cellStyle name="Input 2 9 6 3" xfId="29697" xr:uid="{EDAEB96B-26D7-4805-9CC3-1509FF86ED65}"/>
    <cellStyle name="Input 2 9 7" xfId="10027" xr:uid="{8662706B-7B95-4DB8-8DCB-8F4A9DDFBFF4}"/>
    <cellStyle name="Input 2 9 7 2" xfId="10028" xr:uid="{B42628B0-D475-47E9-AAF6-85FC1B4EA029}"/>
    <cellStyle name="Input 2 9 7 3" xfId="29698" xr:uid="{0670BCC3-8004-4411-9C77-C6B5B3459BAD}"/>
    <cellStyle name="Input 2 9 8" xfId="10029" xr:uid="{3782355C-C317-4E05-B022-3F562ABEDA0D}"/>
    <cellStyle name="Input 2 9 8 2" xfId="10030" xr:uid="{DDDECBD1-3A03-4301-8CB5-4184FA820B41}"/>
    <cellStyle name="Input 2 9 8 3" xfId="29699" xr:uid="{8D590D92-6C20-4E59-A3C4-D6116ACE3E35}"/>
    <cellStyle name="Input 2 9 9" xfId="10031" xr:uid="{C4DDC879-D1D5-450E-B6AE-CE11CE74EDA9}"/>
    <cellStyle name="Input 2 9 9 2" xfId="10032" xr:uid="{2A89D66A-4250-41E3-8461-A8FA58C91BF3}"/>
    <cellStyle name="Input 2 9 9 3" xfId="29700" xr:uid="{43735678-813B-43D8-BD7E-65E144ECDBB8}"/>
    <cellStyle name="Input 2_PrimaryEnergyPrices_TIMES" xfId="29701" xr:uid="{26C15E0D-68CA-4DDE-8E4E-8E2019BE2C91}"/>
    <cellStyle name="Input 20 2" xfId="29702" xr:uid="{09E3E499-F737-46F6-A684-95BE88A951DE}"/>
    <cellStyle name="Input 20 2 2" xfId="29703" xr:uid="{78395DA7-1E9C-4EC2-8A18-B709805545DD}"/>
    <cellStyle name="Input 20 2 3" xfId="42780" xr:uid="{2ADB2C66-5653-423E-A0C9-BC9FAF2CBD8E}"/>
    <cellStyle name="Input 20 2 4" xfId="42311" xr:uid="{3BBD6EED-8511-43C7-91DA-04C3B66610BC}"/>
    <cellStyle name="Input 20 2 5" xfId="43883" xr:uid="{417460D5-FE4A-4BFE-B321-6A18B95D1EB4}"/>
    <cellStyle name="Input 21 2" xfId="29704" xr:uid="{13415E8A-F8F1-4D43-8F9E-751CAA7B4F88}"/>
    <cellStyle name="Input 21 2 2" xfId="29705" xr:uid="{1C9E1A4C-D0D5-412E-852A-8258E4D27D98}"/>
    <cellStyle name="Input 21 2 3" xfId="42781" xr:uid="{ED3CB897-6158-4F54-A190-3F4070814C55}"/>
    <cellStyle name="Input 21 2 4" xfId="42310" xr:uid="{3F725C96-67CE-4914-872C-AF5042C0F07F}"/>
    <cellStyle name="Input 21 2 5" xfId="43884" xr:uid="{D87A4933-7F1B-4109-A07C-642250DE0934}"/>
    <cellStyle name="Input 22 2" xfId="29706" xr:uid="{C1749BB1-5C1E-4D7F-A03D-D571A59A5BAB}"/>
    <cellStyle name="Input 22 2 2" xfId="29707" xr:uid="{85FDDF1E-C283-4017-B14F-BD1FC020CAED}"/>
    <cellStyle name="Input 22 2 3" xfId="42782" xr:uid="{0D494DAE-263A-49EE-90D7-22CA1A7D0242}"/>
    <cellStyle name="Input 22 2 4" xfId="42309" xr:uid="{A59500EC-0F1C-4A6E-987E-EB465AE859E8}"/>
    <cellStyle name="Input 22 2 5" xfId="43885" xr:uid="{0AFD91D8-FB41-4C22-B588-026E84D2E948}"/>
    <cellStyle name="Input 23 2" xfId="29708" xr:uid="{FF224DC5-265B-422E-9114-014C8D9A403C}"/>
    <cellStyle name="Input 23 2 2" xfId="29709" xr:uid="{FE51DCCB-5066-4004-B0EE-718F7ACB5658}"/>
    <cellStyle name="Input 23 2 3" xfId="42783" xr:uid="{79D04B10-B986-4BBB-A2BD-3286524574DA}"/>
    <cellStyle name="Input 23 2 4" xfId="42308" xr:uid="{0A47D82B-17B8-4626-B2C0-33F8D5E1650C}"/>
    <cellStyle name="Input 23 2 5" xfId="43886" xr:uid="{7E279411-982C-4B2F-8F3E-E37F2744F91B}"/>
    <cellStyle name="Input 24 2" xfId="29710" xr:uid="{B35AC02B-E30F-45F7-9C15-BA99C57B99B8}"/>
    <cellStyle name="Input 24 2 2" xfId="29711" xr:uid="{538AC3D3-0A6E-4B67-B868-04C499B72B8A}"/>
    <cellStyle name="Input 24 2 3" xfId="42784" xr:uid="{E4682F17-8B06-44C2-B45D-478A0B322AEE}"/>
    <cellStyle name="Input 24 2 4" xfId="42307" xr:uid="{D16AA321-7D3C-4029-91CC-B3321760F4DA}"/>
    <cellStyle name="Input 24 2 5" xfId="43887" xr:uid="{F4BCCFB8-0527-4F4F-AF82-C821A4BBF0FA}"/>
    <cellStyle name="Input 25 2" xfId="29712" xr:uid="{A8992040-AEB4-482F-A70E-9DB47E2432E6}"/>
    <cellStyle name="Input 25 2 2" xfId="29713" xr:uid="{3F41DE7A-CD5C-4DB8-BC22-0AD7145E009A}"/>
    <cellStyle name="Input 25 2 3" xfId="42785" xr:uid="{6FFDCE59-2983-4387-B965-AD80960D0568}"/>
    <cellStyle name="Input 25 2 4" xfId="42306" xr:uid="{56FE84B5-91BE-44B8-ACCA-E2BB8BAB7A35}"/>
    <cellStyle name="Input 25 2 5" xfId="43888" xr:uid="{BAF0A5B1-44A8-4D85-A85E-3501F9EF2623}"/>
    <cellStyle name="Input 26 2" xfId="29714" xr:uid="{B9C24AA5-FFF9-4BA8-8DD1-4CAB02A1B3F9}"/>
    <cellStyle name="Input 26 2 2" xfId="29715" xr:uid="{8407B4D0-35B1-4C7C-A342-6014E9780442}"/>
    <cellStyle name="Input 26 2 3" xfId="42786" xr:uid="{90A040F7-04BA-4BF8-B698-B4C690CA49EE}"/>
    <cellStyle name="Input 26 2 4" xfId="42305" xr:uid="{6C9E2D15-5963-4ACA-B327-BD9ED76C7EE3}"/>
    <cellStyle name="Input 26 2 5" xfId="43889" xr:uid="{9F4A858F-93FB-4920-9C0A-1D599E0B4F50}"/>
    <cellStyle name="Input 27 2" xfId="29716" xr:uid="{3DED3D6C-7BEF-4607-AE11-AF5C6D414503}"/>
    <cellStyle name="Input 27 2 2" xfId="29717" xr:uid="{FD326C39-C16B-47C7-B8EB-1570869F95F7}"/>
    <cellStyle name="Input 27 2 3" xfId="42787" xr:uid="{FA2BBCEB-731D-4CE1-A7E2-74147093BA67}"/>
    <cellStyle name="Input 27 2 4" xfId="42304" xr:uid="{76AFF533-13FC-48E2-ABC2-846468323302}"/>
    <cellStyle name="Input 27 2 5" xfId="43890" xr:uid="{2F5D8810-5462-4BF0-A6E9-0E3C56008122}"/>
    <cellStyle name="Input 28 2" xfId="29718" xr:uid="{34ED88AE-7E16-4AD7-AF46-183342F3E3E6}"/>
    <cellStyle name="Input 28 2 2" xfId="29719" xr:uid="{FD562F75-A746-4FF8-B12C-F10CB0C40824}"/>
    <cellStyle name="Input 28 2 3" xfId="42788" xr:uid="{DC716B3D-DE5A-47E8-87CD-8F06B8DDA65A}"/>
    <cellStyle name="Input 28 2 4" xfId="42303" xr:uid="{2BC75213-9B1A-4C9F-8D86-218BE9D7FFEF}"/>
    <cellStyle name="Input 28 2 5" xfId="43891" xr:uid="{9733FB4D-9F0C-4AB8-AAD6-E14EE652D0A8}"/>
    <cellStyle name="Input 29 2" xfId="29720" xr:uid="{3015C039-E2F2-42D8-9871-133AF9A6AF64}"/>
    <cellStyle name="Input 29 2 2" xfId="29721" xr:uid="{955601F1-126E-41FB-B39F-51809E2FBEDC}"/>
    <cellStyle name="Input 29 2 3" xfId="42789" xr:uid="{8BCBA8CB-41C3-4A34-9617-AFCFB395E421}"/>
    <cellStyle name="Input 29 2 4" xfId="42302" xr:uid="{BBF55826-D16B-4E0F-8E4F-B175340C99A8}"/>
    <cellStyle name="Input 29 2 5" xfId="43892" xr:uid="{A99B244D-71D0-4C87-8C7B-FEAD7D40A21C}"/>
    <cellStyle name="Input 3" xfId="10033" xr:uid="{61BF58E1-4681-424B-88AD-669E0887BD26}"/>
    <cellStyle name="Input 3 10" xfId="10034" xr:uid="{4C9740C8-B19D-43B0-A20B-6E45D67C0876}"/>
    <cellStyle name="Input 3 10 10" xfId="10035" xr:uid="{8E8DD5F0-BC84-4D89-B27A-61ECD7A2A594}"/>
    <cellStyle name="Input 3 10 10 2" xfId="29722" xr:uid="{D292F7B8-BAC2-45CE-B7CA-4E16B23325ED}"/>
    <cellStyle name="Input 3 10 10 3" xfId="29723" xr:uid="{70857120-87FF-4953-8C3C-A9891D63AB40}"/>
    <cellStyle name="Input 3 10 11" xfId="10036" xr:uid="{F2AADCC8-54B2-46AE-98AC-5E486B5A660F}"/>
    <cellStyle name="Input 3 10 11 2" xfId="29724" xr:uid="{CA50C8CE-8F7A-49E7-A24B-772A79C8936E}"/>
    <cellStyle name="Input 3 10 12" xfId="29725" xr:uid="{6BC31502-EC5B-42F3-BC45-694FF9DEA16C}"/>
    <cellStyle name="Input 3 10 2" xfId="10037" xr:uid="{3122CD59-44F3-4846-84D4-DA67B464DEFB}"/>
    <cellStyle name="Input 3 10 2 10" xfId="10038" xr:uid="{1E3305BD-54C5-403F-B85D-597D449A8A98}"/>
    <cellStyle name="Input 3 10 2 10 2" xfId="29726" xr:uid="{71C1235C-A00B-469B-B96D-70DA4FDF99F5}"/>
    <cellStyle name="Input 3 10 2 11" xfId="29727" xr:uid="{CBA89659-4EE3-43E2-B736-3E069985A071}"/>
    <cellStyle name="Input 3 10 2 2" xfId="10039" xr:uid="{B75DF405-AD77-41F2-B3D4-D3345F374CEB}"/>
    <cellStyle name="Input 3 10 2 2 2" xfId="10040" xr:uid="{C840C5DB-06AC-4E8C-ABF7-AA3C73B144D4}"/>
    <cellStyle name="Input 3 10 2 2 3" xfId="10041" xr:uid="{798CE6A5-1F6A-4E66-871F-950559178E97}"/>
    <cellStyle name="Input 3 10 2 2 4" xfId="10042" xr:uid="{FC814BA8-5020-442A-AC30-D25A328410A1}"/>
    <cellStyle name="Input 3 10 2 3" xfId="10043" xr:uid="{5D24E39C-BD1B-44DB-BF42-EF00A2FE9690}"/>
    <cellStyle name="Input 3 10 2 3 2" xfId="10044" xr:uid="{48F4A316-7F9B-479B-AF31-EDE19CC81EB2}"/>
    <cellStyle name="Input 3 10 2 3 3" xfId="29728" xr:uid="{8411E1F8-1352-45F1-9629-9C56E6FB3594}"/>
    <cellStyle name="Input 3 10 2 4" xfId="10045" xr:uid="{F6AC9A0D-B27F-4BD6-BC59-FA4D56FD07DE}"/>
    <cellStyle name="Input 3 10 2 4 2" xfId="10046" xr:uid="{E183038C-CF03-4FDD-82C3-E37E3CC2D44F}"/>
    <cellStyle name="Input 3 10 2 4 3" xfId="29729" xr:uid="{89FB1DB0-6AB6-49C0-95EC-0D47F7266A2A}"/>
    <cellStyle name="Input 3 10 2 5" xfId="10047" xr:uid="{55F45368-6033-4E11-86AB-DA59BDDE1103}"/>
    <cellStyle name="Input 3 10 2 5 2" xfId="10048" xr:uid="{017DB466-8E0F-40AA-BC06-C154BC5DFEE6}"/>
    <cellStyle name="Input 3 10 2 5 3" xfId="29730" xr:uid="{52C0C5ED-BCE0-4F3B-B84C-CB95BFF95E88}"/>
    <cellStyle name="Input 3 10 2 6" xfId="10049" xr:uid="{92E070B7-A932-40A6-9461-87B57F2207F1}"/>
    <cellStyle name="Input 3 10 2 6 2" xfId="10050" xr:uid="{F38E4031-043C-419E-9527-6D1053F5571F}"/>
    <cellStyle name="Input 3 10 2 6 3" xfId="29731" xr:uid="{D9533981-2084-4467-A133-D6ACE993E3AE}"/>
    <cellStyle name="Input 3 10 2 7" xfId="10051" xr:uid="{9FC3EC84-69D7-4F45-8F93-1D23B0FC7C62}"/>
    <cellStyle name="Input 3 10 2 7 2" xfId="10052" xr:uid="{55C40FBE-0D49-4A55-93DF-CDB130D9EBC5}"/>
    <cellStyle name="Input 3 10 2 7 3" xfId="29732" xr:uid="{6C957214-C11B-4755-9EC7-EA72B4161F39}"/>
    <cellStyle name="Input 3 10 2 8" xfId="10053" xr:uid="{636C0019-95AF-42EC-9CE6-62C2C6BAE3DA}"/>
    <cellStyle name="Input 3 10 2 8 2" xfId="10054" xr:uid="{E2298503-DEDC-421D-BA5E-4550932860E0}"/>
    <cellStyle name="Input 3 10 2 8 3" xfId="29733" xr:uid="{C1FB7FD7-7B6D-4507-8CF4-AE266A69C4E1}"/>
    <cellStyle name="Input 3 10 2 9" xfId="10055" xr:uid="{9F5AF57C-78DC-4DDD-834C-0A9BC803628F}"/>
    <cellStyle name="Input 3 10 2 9 2" xfId="29734" xr:uid="{E637EE22-B188-43C3-8A38-79293C70BC75}"/>
    <cellStyle name="Input 3 10 2 9 3" xfId="29735" xr:uid="{D9B30EFE-D3F8-40A6-BAE4-A212C91692CB}"/>
    <cellStyle name="Input 3 10 3" xfId="10056" xr:uid="{0659092D-1B8F-4D09-A8D4-C6EC2E96329F}"/>
    <cellStyle name="Input 3 10 3 2" xfId="10057" xr:uid="{BAF0EC62-D891-46E7-9E85-E2BFCBA5E74C}"/>
    <cellStyle name="Input 3 10 3 3" xfId="10058" xr:uid="{6F616AEF-C702-4FE6-8883-13EC466287A0}"/>
    <cellStyle name="Input 3 10 3 4" xfId="10059" xr:uid="{E94B506F-8F89-4FB1-8387-F209364B77E1}"/>
    <cellStyle name="Input 3 10 4" xfId="10060" xr:uid="{DAD3EEBA-CF38-4CE4-B37E-8D42B440141A}"/>
    <cellStyle name="Input 3 10 4 2" xfId="10061" xr:uid="{9286A96E-4F2F-4F9F-A24D-B8C3233C195A}"/>
    <cellStyle name="Input 3 10 4 3" xfId="29736" xr:uid="{8B9D9DEE-6A78-4E9F-AB16-2CF01C2592DF}"/>
    <cellStyle name="Input 3 10 5" xfId="10062" xr:uid="{179B9755-870C-4984-A909-EB75655B3E82}"/>
    <cellStyle name="Input 3 10 5 2" xfId="10063" xr:uid="{1811B47D-F499-4115-8F2C-F9A18DBDA28F}"/>
    <cellStyle name="Input 3 10 5 3" xfId="29737" xr:uid="{664E33DD-323F-4746-B74A-14B9D8B278CD}"/>
    <cellStyle name="Input 3 10 6" xfId="10064" xr:uid="{D4B9AF94-BA09-444B-A77B-C8DC7EC58E59}"/>
    <cellStyle name="Input 3 10 6 2" xfId="10065" xr:uid="{FB9178FD-F96C-47DA-9E64-2A7898A56D1B}"/>
    <cellStyle name="Input 3 10 6 3" xfId="29738" xr:uid="{DB10AC32-8F78-4A24-A09E-79E5AF97A7F7}"/>
    <cellStyle name="Input 3 10 7" xfId="10066" xr:uid="{2AFAAF43-31AE-4A6F-9F4E-6E74B16BFF44}"/>
    <cellStyle name="Input 3 10 7 2" xfId="10067" xr:uid="{ADA22DE8-AD49-4942-93EF-E1470BF64282}"/>
    <cellStyle name="Input 3 10 7 3" xfId="29739" xr:uid="{A08D100A-B1DA-4DD1-9862-9D3D75996580}"/>
    <cellStyle name="Input 3 10 8" xfId="10068" xr:uid="{7A8C6905-CA28-4BBA-B626-A0D1E1B9CAC2}"/>
    <cellStyle name="Input 3 10 8 2" xfId="10069" xr:uid="{DEBE8BF9-EC4C-46DF-B25E-9CE18A134B4E}"/>
    <cellStyle name="Input 3 10 8 3" xfId="29740" xr:uid="{6C2D5D16-F61D-4299-845C-6EE6734DFB24}"/>
    <cellStyle name="Input 3 10 9" xfId="10070" xr:uid="{12375EF4-726C-4EF3-B739-6446A49EBA74}"/>
    <cellStyle name="Input 3 10 9 2" xfId="10071" xr:uid="{4914DE7B-9BA1-4D07-AB80-FBCAA77E2F71}"/>
    <cellStyle name="Input 3 10 9 3" xfId="29741" xr:uid="{C9883954-8D69-42EF-AC48-5D578468F3D1}"/>
    <cellStyle name="Input 3 11" xfId="10072" xr:uid="{004C9E30-BE2B-4DE4-996E-1B9D22159B44}"/>
    <cellStyle name="Input 3 11 10" xfId="10073" xr:uid="{2D8EC845-5F78-4F92-904D-820E5AA9A516}"/>
    <cellStyle name="Input 3 11 10 2" xfId="29742" xr:uid="{CB3F4092-686C-4997-B686-F3E600FAAFEB}"/>
    <cellStyle name="Input 3 11 10 3" xfId="29743" xr:uid="{64E31609-A326-4C71-9260-FBFB7C36B9E2}"/>
    <cellStyle name="Input 3 11 11" xfId="10074" xr:uid="{EEF747DA-3FE0-42FB-8019-202EC61304D7}"/>
    <cellStyle name="Input 3 11 11 2" xfId="29744" xr:uid="{1CFC97D1-57A2-45E0-A06A-A64A773E51BD}"/>
    <cellStyle name="Input 3 11 12" xfId="29745" xr:uid="{506D436A-17FC-489F-83C8-D62A45CBC183}"/>
    <cellStyle name="Input 3 11 2" xfId="10075" xr:uid="{1F87F1D4-0A9D-49B4-843F-D1E3E9272108}"/>
    <cellStyle name="Input 3 11 2 10" xfId="10076" xr:uid="{02C507D9-2D61-4172-A3AB-B48DEBE57CB9}"/>
    <cellStyle name="Input 3 11 2 10 2" xfId="29746" xr:uid="{13415E56-3B09-44C0-8A06-795F6434B1BC}"/>
    <cellStyle name="Input 3 11 2 11" xfId="29747" xr:uid="{DD7BE8DE-78B6-4F64-9BA6-B825EC5CBD89}"/>
    <cellStyle name="Input 3 11 2 2" xfId="10077" xr:uid="{B8BDE4F7-2B61-4303-BDFE-D053FD9E6165}"/>
    <cellStyle name="Input 3 11 2 2 2" xfId="10078" xr:uid="{C35F4226-A67C-4C1A-9CF3-D3A6AA5B9028}"/>
    <cellStyle name="Input 3 11 2 2 3" xfId="10079" xr:uid="{F444641A-A794-43CC-B7A0-6553C4C1460D}"/>
    <cellStyle name="Input 3 11 2 2 4" xfId="10080" xr:uid="{4E459976-D141-4EC6-A0C3-C5FA78E4E63D}"/>
    <cellStyle name="Input 3 11 2 3" xfId="10081" xr:uid="{66697554-E34A-44FB-8045-2FFB49570D6B}"/>
    <cellStyle name="Input 3 11 2 3 2" xfId="10082" xr:uid="{0F82E8F6-B96B-46EE-9279-98A5BAC98822}"/>
    <cellStyle name="Input 3 11 2 3 3" xfId="29748" xr:uid="{CCF7E744-8F75-4AAF-A1EC-C94D4F887321}"/>
    <cellStyle name="Input 3 11 2 4" xfId="10083" xr:uid="{B40904CF-CECF-43E3-B7C0-A004FC5A767A}"/>
    <cellStyle name="Input 3 11 2 4 2" xfId="10084" xr:uid="{020E37DA-DE4B-434A-802D-39FBCA7364B6}"/>
    <cellStyle name="Input 3 11 2 4 3" xfId="29749" xr:uid="{19D7BD86-FC2D-4458-A05C-3829D235F7B7}"/>
    <cellStyle name="Input 3 11 2 5" xfId="10085" xr:uid="{500FB0DD-1514-40B1-B11F-E2F9AC8D8F19}"/>
    <cellStyle name="Input 3 11 2 5 2" xfId="10086" xr:uid="{A7CFB134-B3BA-40DC-BD6A-6754DFD8086B}"/>
    <cellStyle name="Input 3 11 2 5 3" xfId="29750" xr:uid="{5DFC4FC2-F923-48A7-BB46-7FED0962E5FF}"/>
    <cellStyle name="Input 3 11 2 6" xfId="10087" xr:uid="{A4A02574-E418-4448-919D-D9ABC573E737}"/>
    <cellStyle name="Input 3 11 2 6 2" xfId="10088" xr:uid="{D1A3BB8C-8C99-4A0D-BE1B-06185FF04EC0}"/>
    <cellStyle name="Input 3 11 2 6 3" xfId="29751" xr:uid="{12C44C7E-9A00-4C4C-8375-EE9CA84D4FA6}"/>
    <cellStyle name="Input 3 11 2 7" xfId="10089" xr:uid="{9B6F3070-F733-4272-B6FD-03E796FC5C85}"/>
    <cellStyle name="Input 3 11 2 7 2" xfId="10090" xr:uid="{02E8A29B-90A9-447C-A1C6-1FB1772782FD}"/>
    <cellStyle name="Input 3 11 2 7 3" xfId="29752" xr:uid="{9D70FF9C-3748-46C9-9AA4-4FDE167BC433}"/>
    <cellStyle name="Input 3 11 2 8" xfId="10091" xr:uid="{F5D6D0CE-2903-46B5-983B-B9E01820D327}"/>
    <cellStyle name="Input 3 11 2 8 2" xfId="10092" xr:uid="{8C897A61-193E-48D8-B74E-846EDA3FEDF9}"/>
    <cellStyle name="Input 3 11 2 8 3" xfId="29753" xr:uid="{84FCD98D-9BE7-4CA3-B885-7951D716ECBC}"/>
    <cellStyle name="Input 3 11 2 9" xfId="10093" xr:uid="{B583037E-77B3-4FCF-9207-AA0FCC9E4AFF}"/>
    <cellStyle name="Input 3 11 2 9 2" xfId="29754" xr:uid="{A9D1DA1D-41D4-4322-8400-FCE3D2500139}"/>
    <cellStyle name="Input 3 11 2 9 3" xfId="29755" xr:uid="{882AC76B-9A2E-4CCC-88CA-2A1901BD8C3B}"/>
    <cellStyle name="Input 3 11 3" xfId="10094" xr:uid="{666D294A-9320-418B-9E12-A93451052057}"/>
    <cellStyle name="Input 3 11 3 2" xfId="10095" xr:uid="{A9829018-A42F-490E-8539-0A8499605E8B}"/>
    <cellStyle name="Input 3 11 3 3" xfId="10096" xr:uid="{A53B4912-6651-499C-88B7-E1B2096A6BAD}"/>
    <cellStyle name="Input 3 11 3 4" xfId="10097" xr:uid="{C8BB6A88-ACAA-47A2-9291-10CDFD67B08F}"/>
    <cellStyle name="Input 3 11 4" xfId="10098" xr:uid="{E2CED144-D78B-4EE2-A870-145F012B38D0}"/>
    <cellStyle name="Input 3 11 4 2" xfId="10099" xr:uid="{64FB374D-C01F-4037-AABE-0BA41E894BE5}"/>
    <cellStyle name="Input 3 11 4 3" xfId="29756" xr:uid="{39DB8E2C-1DCB-4AC1-AAB4-50A2A0BC8348}"/>
    <cellStyle name="Input 3 11 5" xfId="10100" xr:uid="{5B94BE5C-B998-43AF-84BC-2717960E3373}"/>
    <cellStyle name="Input 3 11 5 2" xfId="10101" xr:uid="{64191D0F-E017-4A03-B739-64715CFD8F88}"/>
    <cellStyle name="Input 3 11 5 3" xfId="29757" xr:uid="{077B0819-B7ED-49DB-99F3-ED308DF6685D}"/>
    <cellStyle name="Input 3 11 6" xfId="10102" xr:uid="{828B815E-189C-4E36-B2AF-C8572BF7CE6A}"/>
    <cellStyle name="Input 3 11 6 2" xfId="10103" xr:uid="{6412117C-7A31-417E-8390-57B84248289E}"/>
    <cellStyle name="Input 3 11 6 3" xfId="29758" xr:uid="{BCC23EAA-444D-4A5A-9D58-D57795CD8B8A}"/>
    <cellStyle name="Input 3 11 7" xfId="10104" xr:uid="{06F30364-AA39-46F1-80C9-609BA1C407F2}"/>
    <cellStyle name="Input 3 11 7 2" xfId="10105" xr:uid="{E1119893-0089-4885-8604-1EAD2207B9AB}"/>
    <cellStyle name="Input 3 11 7 3" xfId="29759" xr:uid="{37FE5E9A-E511-4879-A09F-38DC1247471B}"/>
    <cellStyle name="Input 3 11 8" xfId="10106" xr:uid="{8BFA6263-A4BC-4BC9-AE29-CED68726C63A}"/>
    <cellStyle name="Input 3 11 8 2" xfId="10107" xr:uid="{FA2A0A1E-3900-4792-B3CB-A8559BC26BE8}"/>
    <cellStyle name="Input 3 11 8 3" xfId="29760" xr:uid="{DA77F2C0-7595-4A07-BB25-0870CCC65D75}"/>
    <cellStyle name="Input 3 11 9" xfId="10108" xr:uid="{8F2CF1BB-0144-4266-BD96-1FB441BE5530}"/>
    <cellStyle name="Input 3 11 9 2" xfId="10109" xr:uid="{6AF91483-FDED-4CBF-AA3F-CF815AD7772C}"/>
    <cellStyle name="Input 3 11 9 3" xfId="29761" xr:uid="{376D6907-C279-4432-912C-179E23F1AA7A}"/>
    <cellStyle name="Input 3 12" xfId="10110" xr:uid="{CFF701B1-DEA1-401B-9CC9-B76B7612C491}"/>
    <cellStyle name="Input 3 12 10" xfId="10111" xr:uid="{0998E8E3-AFEF-49E8-AC2C-49D135535012}"/>
    <cellStyle name="Input 3 12 10 2" xfId="29762" xr:uid="{89049042-1FF2-42B6-846F-1CCE672F924A}"/>
    <cellStyle name="Input 3 12 11" xfId="29763" xr:uid="{C97E0685-AFD4-4E4C-BA8E-A3328A6BEC0D}"/>
    <cellStyle name="Input 3 12 12" xfId="29764" xr:uid="{5865C9D4-2069-46D1-BBBB-E85E03B9E8D7}"/>
    <cellStyle name="Input 3 12 2" xfId="10112" xr:uid="{72152C96-0770-40F2-ACD4-1A2080F7CDA6}"/>
    <cellStyle name="Input 3 12 2 2" xfId="10113" xr:uid="{982728D7-2E15-4736-9C1A-11EFE590F227}"/>
    <cellStyle name="Input 3 12 2 2 2" xfId="29765" xr:uid="{B4D7AD48-4D80-44CF-8090-AE07B09702EC}"/>
    <cellStyle name="Input 3 12 2 2 3" xfId="29766" xr:uid="{688873F9-0325-47A2-968A-4E8EDBA08C1E}"/>
    <cellStyle name="Input 3 12 2 3" xfId="10114" xr:uid="{4461BEF5-416E-4B99-98E0-787D54D497E6}"/>
    <cellStyle name="Input 3 12 2 3 2" xfId="10115" xr:uid="{A66D30D4-CFEE-41D9-A1F1-6E43A90F5C9A}"/>
    <cellStyle name="Input 3 12 2 4" xfId="10116" xr:uid="{C5208184-67DD-482F-81AC-B197B189FB98}"/>
    <cellStyle name="Input 3 12 2 4 2" xfId="29767" xr:uid="{16754E4A-23C7-4901-B7A8-47E9A9407C05}"/>
    <cellStyle name="Input 3 12 2 5" xfId="29768" xr:uid="{7C275AAC-8D24-4D1A-B10A-C794E02E35BD}"/>
    <cellStyle name="Input 3 12 2 6" xfId="29769" xr:uid="{2F645D2A-38EA-4D37-A942-0F45E6B8DE59}"/>
    <cellStyle name="Input 3 12 2 7" xfId="29770" xr:uid="{0BB84153-B3BC-42B7-8559-529195BE528B}"/>
    <cellStyle name="Input 3 12 2 8" xfId="29771" xr:uid="{81492815-3F98-4684-A92B-16AB7A655F32}"/>
    <cellStyle name="Input 3 12 3" xfId="10117" xr:uid="{40B57426-3804-467B-B4D4-066474A391AA}"/>
    <cellStyle name="Input 3 12 3 2" xfId="10118" xr:uid="{46E29C36-F298-4C8F-8F23-CEC59281508C}"/>
    <cellStyle name="Input 3 12 3 3" xfId="29772" xr:uid="{8F6F248F-73F1-42D7-B145-5EC4BE0806EB}"/>
    <cellStyle name="Input 3 12 4" xfId="10119" xr:uid="{F90C5720-699C-478B-AC15-3C5E70EE9372}"/>
    <cellStyle name="Input 3 12 4 2" xfId="10120" xr:uid="{29729C80-3276-4236-A1C2-87AC8A9B7F5D}"/>
    <cellStyle name="Input 3 12 4 3" xfId="29773" xr:uid="{C0D1E0F8-9474-4490-9599-7E6369591B32}"/>
    <cellStyle name="Input 3 12 5" xfId="10121" xr:uid="{8F2E32F6-76FD-42D1-9AA1-9482C21D94D8}"/>
    <cellStyle name="Input 3 12 5 2" xfId="10122" xr:uid="{063BF8D3-4A8B-432B-85AF-4B7923C5884B}"/>
    <cellStyle name="Input 3 12 5 3" xfId="29774" xr:uid="{EAF4A3AE-FEB5-416B-B9C0-F75128E076D1}"/>
    <cellStyle name="Input 3 12 6" xfId="10123" xr:uid="{D128C628-C8B1-4791-8F6B-4B65CE2E569B}"/>
    <cellStyle name="Input 3 12 6 2" xfId="10124" xr:uid="{8F4A50B2-D335-476D-8B22-4D166406AB8B}"/>
    <cellStyle name="Input 3 12 6 3" xfId="29775" xr:uid="{A6FA35F0-4601-4612-814B-651AED9E6485}"/>
    <cellStyle name="Input 3 12 7" xfId="10125" xr:uid="{0F24846F-85DC-4087-B9D1-41AD6334038C}"/>
    <cellStyle name="Input 3 12 7 2" xfId="10126" xr:uid="{74E3BB5E-4712-40EE-9837-C8295F52E57D}"/>
    <cellStyle name="Input 3 12 7 3" xfId="29776" xr:uid="{D2311422-414F-4713-B1F4-3A1EA7EC6980}"/>
    <cellStyle name="Input 3 12 8" xfId="10127" xr:uid="{15F1EB00-5E97-47CD-A150-F1243E296AB1}"/>
    <cellStyle name="Input 3 12 8 2" xfId="10128" xr:uid="{EC034B81-C8F9-4D9B-B916-F6F879AF8494}"/>
    <cellStyle name="Input 3 12 8 3" xfId="29777" xr:uid="{38661F7F-5D44-4302-B2A6-2ECC213C7C82}"/>
    <cellStyle name="Input 3 12 9" xfId="10129" xr:uid="{1C5A5343-903D-412D-9A2A-9B5EC2D36728}"/>
    <cellStyle name="Input 3 12 9 2" xfId="29778" xr:uid="{BFC61FB3-658F-4D25-ADE3-839D1ABA5A3C}"/>
    <cellStyle name="Input 3 12 9 3" xfId="29779" xr:uid="{5C7A2778-3F10-4017-AD24-5C941FC2E877}"/>
    <cellStyle name="Input 3 13" xfId="10130" xr:uid="{89FA544F-95AC-4B6E-A762-144CA8667133}"/>
    <cellStyle name="Input 3 13 2" xfId="10131" xr:uid="{CBFEC0F8-6FEE-434D-BF42-DAB55F5B46EF}"/>
    <cellStyle name="Input 3 13 3" xfId="10132" xr:uid="{875DE108-7F34-4A81-A131-06D9CDDB2EC4}"/>
    <cellStyle name="Input 3 13 4" xfId="10133" xr:uid="{64C6F6C0-C778-44B4-92FF-8D124F5F9405}"/>
    <cellStyle name="Input 3 14" xfId="10134" xr:uid="{FE92CF55-753C-4AC2-8876-73279B8B302B}"/>
    <cellStyle name="Input 3 14 2" xfId="10135" xr:uid="{B1A5C75F-74A8-41E7-B575-903D8F3E6BFE}"/>
    <cellStyle name="Input 3 14 3" xfId="29780" xr:uid="{8EF08844-F9CE-42A9-8909-E3E10AD583D6}"/>
    <cellStyle name="Input 3 15" xfId="10136" xr:uid="{29E71603-6E8C-44F8-80A3-1836A937A7A1}"/>
    <cellStyle name="Input 3 15 2" xfId="10137" xr:uid="{95683450-6E79-4EF3-B4F7-2544D94C9429}"/>
    <cellStyle name="Input 3 15 3" xfId="29781" xr:uid="{C83C048F-796E-4AF2-BBF4-28ADD11BDB09}"/>
    <cellStyle name="Input 3 16" xfId="10138" xr:uid="{51DA1B82-E767-476E-9C96-E4C9ADE5E1FE}"/>
    <cellStyle name="Input 3 16 2" xfId="10139" xr:uid="{9BE6F7BF-A947-4F34-A308-A746588A16C7}"/>
    <cellStyle name="Input 3 16 3" xfId="29782" xr:uid="{03EF4D60-E44C-4FE3-8BD1-BB162E553744}"/>
    <cellStyle name="Input 3 17" xfId="10140" xr:uid="{84F24442-D7BC-400D-9C23-A2E531D74FAF}"/>
    <cellStyle name="Input 3 17 2" xfId="10141" xr:uid="{7D3A7C21-482D-4F13-87B2-00116B229587}"/>
    <cellStyle name="Input 3 17 3" xfId="29783" xr:uid="{D3FFE020-7758-49FB-AAFF-26667B3EBD89}"/>
    <cellStyle name="Input 3 18" xfId="10142" xr:uid="{21614C2C-0B6E-4A19-8406-C073005F0FF9}"/>
    <cellStyle name="Input 3 18 2" xfId="10143" xr:uid="{CC6054E7-76E6-4D20-B488-8E41ECE981F5}"/>
    <cellStyle name="Input 3 18 3" xfId="29784" xr:uid="{DAF87E8D-7A73-4886-B93B-A1288BD0E996}"/>
    <cellStyle name="Input 3 19" xfId="10144" xr:uid="{54EA8811-A867-4B90-A53B-0B8D0BD7138B}"/>
    <cellStyle name="Input 3 19 2" xfId="10145" xr:uid="{310CEC28-A108-49FF-9F0E-D1E92C50688B}"/>
    <cellStyle name="Input 3 19 3" xfId="29785" xr:uid="{1512C68C-552C-49D7-ADEF-8DE377C930C3}"/>
    <cellStyle name="Input 3 2" xfId="10146" xr:uid="{331B11F8-F12E-4C77-8E52-25D7563CAC34}"/>
    <cellStyle name="Input 3 2 10" xfId="10147" xr:uid="{39E30989-5C42-49FE-8558-435A48ED03DA}"/>
    <cellStyle name="Input 3 2 10 2" xfId="29786" xr:uid="{E0566E90-6AF9-41E6-9A68-DB745A08EB26}"/>
    <cellStyle name="Input 3 2 10 3" xfId="29787" xr:uid="{03134930-5717-402E-A553-E217E1A481E6}"/>
    <cellStyle name="Input 3 2 11" xfId="10148" xr:uid="{12D00405-9B4F-444C-9DC3-37D7E0874E06}"/>
    <cellStyle name="Input 3 2 11 2" xfId="29788" xr:uid="{316DB4ED-57D2-423B-BD5B-04E55138556D}"/>
    <cellStyle name="Input 3 2 12" xfId="29789" xr:uid="{7281E977-1D23-45E1-8E21-01FFB7837EBE}"/>
    <cellStyle name="Input 3 2 13" xfId="29790" xr:uid="{2F9763BB-4C02-4559-90E7-5B3607D0907D}"/>
    <cellStyle name="Input 3 2 14" xfId="29791" xr:uid="{62697CA5-0150-4C93-BB48-90C040AEBF46}"/>
    <cellStyle name="Input 3 2 15" xfId="42791" xr:uid="{7139CEBE-CBD9-43D1-BAF9-3E54E1B9C2C9}"/>
    <cellStyle name="Input 3 2 16" xfId="42301" xr:uid="{87D72109-8ED3-4FC1-993B-F0FE52D1BD37}"/>
    <cellStyle name="Input 3 2 17" xfId="43893" xr:uid="{DF79AF2F-6C7A-4BA6-9276-E98936E08BC4}"/>
    <cellStyle name="Input 3 2 18" xfId="44536" xr:uid="{21EDD5B1-A4B1-4187-920F-3A9C0A202006}"/>
    <cellStyle name="Input 3 2 19" xfId="44927" xr:uid="{81B718D2-7A91-4D9D-84AE-3CB8A5D69A06}"/>
    <cellStyle name="Input 3 2 2" xfId="10149" xr:uid="{1D65E5E3-1CEA-4765-8BA7-7D80AE6FA937}"/>
    <cellStyle name="Input 3 2 2 10" xfId="10150" xr:uid="{D4D7CBCC-B87A-4034-82DF-D374EE3601E9}"/>
    <cellStyle name="Input 3 2 2 10 2" xfId="29792" xr:uid="{9ED12D61-400A-40DF-9A32-CC1E03BE7030}"/>
    <cellStyle name="Input 3 2 2 11" xfId="29793" xr:uid="{C5B0F5A2-221B-4F95-AA2F-E1DC25043815}"/>
    <cellStyle name="Input 3 2 2 12" xfId="44749" xr:uid="{F41A68AA-AC24-43B1-9421-866FFCABF47D}"/>
    <cellStyle name="Input 3 2 2 13" xfId="44969" xr:uid="{FFCD97AB-FC97-4E13-ACB5-4FC5305E6723}"/>
    <cellStyle name="Input 3 2 2 14" xfId="44959" xr:uid="{44A677F3-63C8-4568-B99B-F3C131C747D4}"/>
    <cellStyle name="Input 3 2 2 2" xfId="10151" xr:uid="{B892D52E-E7FE-4980-8343-779F25EC2FB5}"/>
    <cellStyle name="Input 3 2 2 2 2" xfId="10152" xr:uid="{1AAEEF8A-EBCA-4AE4-8B8E-CBA8850B43AC}"/>
    <cellStyle name="Input 3 2 2 2 3" xfId="10153" xr:uid="{47807EFE-973F-4720-8A0F-E1E0DFAF4F82}"/>
    <cellStyle name="Input 3 2 2 2 4" xfId="10154" xr:uid="{975C6902-3A5A-4535-A44F-B75B463B05F6}"/>
    <cellStyle name="Input 3 2 2 3" xfId="10155" xr:uid="{27BD851F-B408-47BE-A21D-C53A2F4F103F}"/>
    <cellStyle name="Input 3 2 2 3 2" xfId="10156" xr:uid="{AD037A1D-59EE-45DF-881C-120E8C90CA2B}"/>
    <cellStyle name="Input 3 2 2 3 3" xfId="29794" xr:uid="{263BE04B-9BA6-45A8-805C-4943803E546B}"/>
    <cellStyle name="Input 3 2 2 4" xfId="10157" xr:uid="{18E4F2AE-21A6-4DE8-95F9-984504B3BA8E}"/>
    <cellStyle name="Input 3 2 2 4 2" xfId="10158" xr:uid="{8D0144F1-DC2C-4F8C-9789-59994DB1BD9F}"/>
    <cellStyle name="Input 3 2 2 4 3" xfId="29795" xr:uid="{5F25F510-A5F8-43E9-9D2B-D266D266DF3F}"/>
    <cellStyle name="Input 3 2 2 5" xfId="10159" xr:uid="{C6C98324-27B2-4A99-87D1-AD01FF7DE6C8}"/>
    <cellStyle name="Input 3 2 2 5 2" xfId="10160" xr:uid="{4D168413-B6EE-4DB8-A943-B3ACC4699F4C}"/>
    <cellStyle name="Input 3 2 2 5 3" xfId="29796" xr:uid="{40674C4B-90FB-4DF9-A11D-647BAC43150E}"/>
    <cellStyle name="Input 3 2 2 6" xfId="10161" xr:uid="{A7C53F30-3C5A-4185-9FA4-A2A21C186478}"/>
    <cellStyle name="Input 3 2 2 6 2" xfId="10162" xr:uid="{D32D3108-0569-4BEE-BD49-C3F921865DFC}"/>
    <cellStyle name="Input 3 2 2 6 3" xfId="29797" xr:uid="{712D3E45-3F0F-4AC6-B754-C02BE2026727}"/>
    <cellStyle name="Input 3 2 2 7" xfId="10163" xr:uid="{AB52C20B-7CB7-4ACB-BCF4-B315D240673F}"/>
    <cellStyle name="Input 3 2 2 7 2" xfId="10164" xr:uid="{8858CACD-89E8-433D-B766-2702E940D219}"/>
    <cellStyle name="Input 3 2 2 7 3" xfId="29798" xr:uid="{C1EF1843-BD39-4C44-87F9-6A63204228FB}"/>
    <cellStyle name="Input 3 2 2 8" xfId="10165" xr:uid="{9CE5EBDD-F5C6-4D56-A1BE-F0A3734B2512}"/>
    <cellStyle name="Input 3 2 2 8 2" xfId="10166" xr:uid="{B469E839-692E-40AC-8ABD-313DF8108FDA}"/>
    <cellStyle name="Input 3 2 2 8 3" xfId="29799" xr:uid="{035FA857-DDD9-430A-9D4E-98A07E44E2CB}"/>
    <cellStyle name="Input 3 2 2 9" xfId="10167" xr:uid="{354D37A7-292D-4751-B46D-966C9A60F84D}"/>
    <cellStyle name="Input 3 2 2 9 2" xfId="29800" xr:uid="{B2E9036D-B25D-4F38-BA96-71F596CE84BA}"/>
    <cellStyle name="Input 3 2 2 9 3" xfId="29801" xr:uid="{C38D0B27-5228-4DF4-9317-1E857094621A}"/>
    <cellStyle name="Input 3 2 20" xfId="45294" xr:uid="{81ACB42C-5215-470F-856E-3E6C0B15CF37}"/>
    <cellStyle name="Input 3 2 3" xfId="10168" xr:uid="{D1352FA8-3844-48CD-9BB8-DE3ABA34174D}"/>
    <cellStyle name="Input 3 2 3 2" xfId="10169" xr:uid="{7E7A603E-B319-4C1A-B80D-3D4C0DB1440E}"/>
    <cellStyle name="Input 3 2 3 3" xfId="10170" xr:uid="{D2EA1C5F-8F2C-4A50-BA52-A294DB1E9FE0}"/>
    <cellStyle name="Input 3 2 3 4" xfId="10171" xr:uid="{C6894292-7709-44BA-9B7A-5B3089C1BAAC}"/>
    <cellStyle name="Input 3 2 4" xfId="10172" xr:uid="{C688CDC7-71A6-46E0-BDC7-AEF80E7369E0}"/>
    <cellStyle name="Input 3 2 4 2" xfId="10173" xr:uid="{88219004-749B-4495-8252-E308B87C7EBB}"/>
    <cellStyle name="Input 3 2 4 3" xfId="29802" xr:uid="{4638B070-1562-473A-A79D-6730DDE1E130}"/>
    <cellStyle name="Input 3 2 5" xfId="10174" xr:uid="{1BCF571D-FDA3-4DCB-A6F0-F4B0E0D3A5B8}"/>
    <cellStyle name="Input 3 2 5 2" xfId="10175" xr:uid="{9F977909-39BD-4967-86D9-E71C0EDD54FF}"/>
    <cellStyle name="Input 3 2 5 3" xfId="29803" xr:uid="{21768FB5-5BF5-4EAA-A1C0-F1510519DF0E}"/>
    <cellStyle name="Input 3 2 6" xfId="10176" xr:uid="{6F38D717-2137-47A9-8D06-4D88BC19A037}"/>
    <cellStyle name="Input 3 2 6 2" xfId="10177" xr:uid="{E6F7093F-B15A-4CE7-80BD-1A1530A941E2}"/>
    <cellStyle name="Input 3 2 6 3" xfId="29804" xr:uid="{E5C82D24-1440-4FD6-8C5E-8973C3C2280F}"/>
    <cellStyle name="Input 3 2 7" xfId="10178" xr:uid="{4D3DD397-685D-481C-9F34-CE8B3E303DB9}"/>
    <cellStyle name="Input 3 2 7 2" xfId="10179" xr:uid="{45C1081C-C8AD-4CAB-BF0A-F40F5BEFFDAF}"/>
    <cellStyle name="Input 3 2 7 3" xfId="29805" xr:uid="{62A15557-9CB4-4C9D-B57A-110ADFA68CCE}"/>
    <cellStyle name="Input 3 2 8" xfId="10180" xr:uid="{5B18D76A-373F-47AB-A6C9-40BCAA8B80C5}"/>
    <cellStyle name="Input 3 2 8 2" xfId="10181" xr:uid="{EB578A75-F3DA-4963-96EF-403DB53A1F1A}"/>
    <cellStyle name="Input 3 2 8 3" xfId="29806" xr:uid="{AD7F9842-FFA9-4A17-9D63-78F9A7BC0D65}"/>
    <cellStyle name="Input 3 2 9" xfId="10182" xr:uid="{6424B436-F521-498B-B241-3EC53159D642}"/>
    <cellStyle name="Input 3 2 9 2" xfId="10183" xr:uid="{0BE1631D-ACB6-4802-869F-F1425448F567}"/>
    <cellStyle name="Input 3 2 9 3" xfId="29807" xr:uid="{7FB176B2-0915-43EF-A700-B2D50692FD99}"/>
    <cellStyle name="Input 3 20" xfId="10184" xr:uid="{F0F0C5BF-9A90-4A1E-9F51-98885BC13C4B}"/>
    <cellStyle name="Input 3 20 2" xfId="29808" xr:uid="{28405596-E043-41B3-8165-809A150F4045}"/>
    <cellStyle name="Input 3 20 3" xfId="29809" xr:uid="{784D60AD-E4CF-4F7D-A793-0190353D810A}"/>
    <cellStyle name="Input 3 21" xfId="10185" xr:uid="{68DF3555-ABD9-4389-825E-B306F896D726}"/>
    <cellStyle name="Input 3 21 2" xfId="29810" xr:uid="{2842E91E-DCAA-4283-9536-9DC631A6AA1A}"/>
    <cellStyle name="Input 3 22" xfId="29811" xr:uid="{FF743EE1-AC3A-4DC1-9402-567A4CEBDB16}"/>
    <cellStyle name="Input 3 23" xfId="29812" xr:uid="{C8F484A6-F6A5-4E7E-856E-C84FE5C878B2}"/>
    <cellStyle name="Input 3 24" xfId="29813" xr:uid="{79966D05-2B7B-4CF7-B5BF-1DF9A6977B5F}"/>
    <cellStyle name="Input 3 25" xfId="42790" xr:uid="{861EE48E-E169-4B4C-BE67-2D036D493242}"/>
    <cellStyle name="Input 3 26" xfId="44203" xr:uid="{F5E4C029-5CB8-40FC-A370-737EA9D2B594}"/>
    <cellStyle name="Input 3 27" xfId="44940" xr:uid="{16CEAE7D-97B2-4457-B027-974BD7AB3370}"/>
    <cellStyle name="Input 3 28" xfId="45235" xr:uid="{7581AA65-C12E-469E-936F-0F92E7D3A9F7}"/>
    <cellStyle name="Input 3 3" xfId="10186" xr:uid="{A632C215-3DA2-48BE-B062-08161372DE83}"/>
    <cellStyle name="Input 3 3 10" xfId="10187" xr:uid="{CFC604E9-5656-42B5-BE9C-35104EE42603}"/>
    <cellStyle name="Input 3 3 10 2" xfId="29814" xr:uid="{B0F64DF6-D166-4D91-8BDB-3DBF2B8CB949}"/>
    <cellStyle name="Input 3 3 10 3" xfId="29815" xr:uid="{AD03E190-E6D4-4A7F-8757-E8B114A9A515}"/>
    <cellStyle name="Input 3 3 11" xfId="10188" xr:uid="{7202162D-660A-467F-A64E-4B27BB539B68}"/>
    <cellStyle name="Input 3 3 11 2" xfId="29816" xr:uid="{74D03203-F03B-4E6C-A6DC-B56FB41A0970}"/>
    <cellStyle name="Input 3 3 12" xfId="29817" xr:uid="{2DC0E6CA-85A9-418A-9628-586DD700F6CB}"/>
    <cellStyle name="Input 3 3 13" xfId="29818" xr:uid="{3602DF24-9B18-49E8-9450-CD3477DCB3D1}"/>
    <cellStyle name="Input 3 3 14" xfId="29819" xr:uid="{114A1D25-DE5A-4BDF-B1BD-0864F9B1EE40}"/>
    <cellStyle name="Input 3 3 15" xfId="42792" xr:uid="{79316865-5A78-4070-AC14-7BE1CCDA83C4}"/>
    <cellStyle name="Input 3 3 16" xfId="42300" xr:uid="{7D6A6591-60BE-4BC4-B60C-66D5D5C688B2}"/>
    <cellStyle name="Input 3 3 17" xfId="43894" xr:uid="{D50B32B7-BCDD-4950-9A0A-5D2D3A5DA6E0}"/>
    <cellStyle name="Input 3 3 18" xfId="44535" xr:uid="{7AAEEC11-8577-41C0-B299-B37E0931C61E}"/>
    <cellStyle name="Input 3 3 19" xfId="45161" xr:uid="{1B3262DA-A003-4874-B64E-90AE64090C43}"/>
    <cellStyle name="Input 3 3 2" xfId="10189" xr:uid="{1CEAD8A4-B462-4715-BF00-996839B900A4}"/>
    <cellStyle name="Input 3 3 2 10" xfId="10190" xr:uid="{05C81E43-0596-47EF-8BEB-1C4EF5A86660}"/>
    <cellStyle name="Input 3 3 2 10 2" xfId="29820" xr:uid="{4D2538D2-0B1F-45F2-AD42-435F8776CA35}"/>
    <cellStyle name="Input 3 3 2 11" xfId="29821" xr:uid="{0BDBF2D1-2357-4BC1-858B-A60623A23473}"/>
    <cellStyle name="Input 3 3 2 12" xfId="44748" xr:uid="{1F11F2D9-EB22-4F20-84AA-D656C0B8FD29}"/>
    <cellStyle name="Input 3 3 2 13" xfId="45178" xr:uid="{0D537A68-34C8-4238-A0E1-BB7169107E6E}"/>
    <cellStyle name="Input 3 3 2 14" xfId="45461" xr:uid="{6D42A044-5BD1-4725-A344-FACCA60AD417}"/>
    <cellStyle name="Input 3 3 2 2" xfId="10191" xr:uid="{7AFBABDD-C123-4568-81B9-AE8F8B78FEE4}"/>
    <cellStyle name="Input 3 3 2 2 2" xfId="10192" xr:uid="{CAACBC1A-55C8-49CE-A567-A68077F3C87F}"/>
    <cellStyle name="Input 3 3 2 2 3" xfId="10193" xr:uid="{843EF1DE-3A5A-4E79-BE3C-2814E80E1833}"/>
    <cellStyle name="Input 3 3 2 2 4" xfId="10194" xr:uid="{2E919A9C-969F-47EB-8414-E78BE329F945}"/>
    <cellStyle name="Input 3 3 2 3" xfId="10195" xr:uid="{371872C6-6822-4AC7-AE47-248340015EA5}"/>
    <cellStyle name="Input 3 3 2 3 2" xfId="10196" xr:uid="{FF2AB619-1E4D-41FD-A6CC-5C14CDA160EA}"/>
    <cellStyle name="Input 3 3 2 3 3" xfId="29822" xr:uid="{0624DA94-54BE-4BB7-B8C3-78A740808D09}"/>
    <cellStyle name="Input 3 3 2 4" xfId="10197" xr:uid="{C3E155B7-CA52-48C4-8DC9-B5D889D4F244}"/>
    <cellStyle name="Input 3 3 2 4 2" xfId="10198" xr:uid="{FBFE6FCB-A543-4AAE-90EE-5AE7A58EE521}"/>
    <cellStyle name="Input 3 3 2 4 3" xfId="29823" xr:uid="{56ADCB60-74B3-46BA-B56A-6F3575A2FBA7}"/>
    <cellStyle name="Input 3 3 2 5" xfId="10199" xr:uid="{BFE4ED8D-668F-4F22-A4C1-8974D042CDCE}"/>
    <cellStyle name="Input 3 3 2 5 2" xfId="10200" xr:uid="{1C860CC3-6017-4D80-8BCC-D84A29809705}"/>
    <cellStyle name="Input 3 3 2 5 3" xfId="29824" xr:uid="{D0E68955-D3A3-462A-A9B1-10F1087499A4}"/>
    <cellStyle name="Input 3 3 2 6" xfId="10201" xr:uid="{80667C03-3FDE-43E7-9A4D-29A6FF02F9A5}"/>
    <cellStyle name="Input 3 3 2 6 2" xfId="10202" xr:uid="{E39DD4A5-AC28-4157-8E8B-F585E6D5117C}"/>
    <cellStyle name="Input 3 3 2 6 3" xfId="29825" xr:uid="{88715100-5F1B-4C1F-802B-DA3898E30702}"/>
    <cellStyle name="Input 3 3 2 7" xfId="10203" xr:uid="{0704D540-9472-4EF1-A412-CF24CD01CC19}"/>
    <cellStyle name="Input 3 3 2 7 2" xfId="10204" xr:uid="{FD6F796B-02C2-49F1-A135-A1C23D0D44A4}"/>
    <cellStyle name="Input 3 3 2 7 3" xfId="29826" xr:uid="{3BDB205B-3B0D-4144-AE66-F3597590BE82}"/>
    <cellStyle name="Input 3 3 2 8" xfId="10205" xr:uid="{0384FADA-3957-4E8D-8075-2C3DD76A3446}"/>
    <cellStyle name="Input 3 3 2 8 2" xfId="10206" xr:uid="{0C354DC1-7821-46A6-AF88-AB26CCB3E1E3}"/>
    <cellStyle name="Input 3 3 2 8 3" xfId="29827" xr:uid="{F3D52684-2423-4C1B-8E41-AABD31AC9E47}"/>
    <cellStyle name="Input 3 3 2 9" xfId="10207" xr:uid="{5FDB707B-C0FA-4692-8F97-9071A4DFA392}"/>
    <cellStyle name="Input 3 3 2 9 2" xfId="29828" xr:uid="{E0294DEE-5FD9-4EE8-AA22-026A7DA27BA6}"/>
    <cellStyle name="Input 3 3 2 9 3" xfId="29829" xr:uid="{78A63C26-8DB8-498B-A9AA-1E18B752A1CB}"/>
    <cellStyle name="Input 3 3 20" xfId="45453" xr:uid="{91FAE1AC-6E9D-4CCC-B418-385D4BCF2722}"/>
    <cellStyle name="Input 3 3 3" xfId="10208" xr:uid="{375562CA-EB23-40E8-B167-7D942827BB75}"/>
    <cellStyle name="Input 3 3 3 2" xfId="10209" xr:uid="{109F3FD8-04C7-47AF-8B34-E03247474019}"/>
    <cellStyle name="Input 3 3 3 3" xfId="10210" xr:uid="{54BEF975-8FB2-487D-A89F-1154598D75B3}"/>
    <cellStyle name="Input 3 3 3 4" xfId="10211" xr:uid="{4F917288-ADD1-43ED-95DF-A57F5AE314E1}"/>
    <cellStyle name="Input 3 3 4" xfId="10212" xr:uid="{68A50C0F-2815-4B7F-A134-4858B511F33F}"/>
    <cellStyle name="Input 3 3 4 2" xfId="10213" xr:uid="{EB33E037-A046-4F9A-AC6C-7A4E0E390102}"/>
    <cellStyle name="Input 3 3 4 3" xfId="29830" xr:uid="{4D76D183-54AE-4A09-BD65-9B842A3479D8}"/>
    <cellStyle name="Input 3 3 5" xfId="10214" xr:uid="{830B61C4-E65C-4E3F-9804-22662205F413}"/>
    <cellStyle name="Input 3 3 5 2" xfId="10215" xr:uid="{5E32AF5B-A99C-453E-B789-FDFC92557F32}"/>
    <cellStyle name="Input 3 3 5 3" xfId="29831" xr:uid="{E78A21F6-F99E-40E8-ABF0-1A96483B6575}"/>
    <cellStyle name="Input 3 3 6" xfId="10216" xr:uid="{3ACAB81C-FC25-49FF-A44D-A4EE0BF4C4C1}"/>
    <cellStyle name="Input 3 3 6 2" xfId="10217" xr:uid="{B3B66E82-C510-4B2F-BD51-FB99D348D5EF}"/>
    <cellStyle name="Input 3 3 6 3" xfId="29832" xr:uid="{87B1E64F-BA73-4D9F-B016-F588B4752EB4}"/>
    <cellStyle name="Input 3 3 7" xfId="10218" xr:uid="{802A1AEA-9387-49C6-A663-63698187D47E}"/>
    <cellStyle name="Input 3 3 7 2" xfId="10219" xr:uid="{92E6A600-2FB8-452C-939A-C742D76EC0EA}"/>
    <cellStyle name="Input 3 3 7 3" xfId="29833" xr:uid="{55EE1BAD-CCD8-4A0E-99ED-45EACE01D0DA}"/>
    <cellStyle name="Input 3 3 8" xfId="10220" xr:uid="{BC95CD51-3283-46C0-9694-2A2C0432DF4C}"/>
    <cellStyle name="Input 3 3 8 2" xfId="10221" xr:uid="{1DFCD410-47AB-445E-83BD-81BF166E9662}"/>
    <cellStyle name="Input 3 3 8 3" xfId="29834" xr:uid="{7298C60D-0916-4C86-A701-252D933626FF}"/>
    <cellStyle name="Input 3 3 9" xfId="10222" xr:uid="{25279A25-470F-4AC0-8799-79663BEE01E7}"/>
    <cellStyle name="Input 3 3 9 2" xfId="10223" xr:uid="{654C4BF8-39B5-4062-91A0-80B1EB5ED5D6}"/>
    <cellStyle name="Input 3 3 9 3" xfId="29835" xr:uid="{6824E04B-CD10-4ED6-9566-85B35704CD83}"/>
    <cellStyle name="Input 3 4" xfId="10224" xr:uid="{87133523-BC9B-4340-B1F2-98C9A47611AE}"/>
    <cellStyle name="Input 3 4 10" xfId="10225" xr:uid="{EDCE54B4-C9A1-4943-8B99-F5ACEC96BA60}"/>
    <cellStyle name="Input 3 4 10 2" xfId="29836" xr:uid="{5E1F3BEF-3420-4931-B90C-3B091991EEB9}"/>
    <cellStyle name="Input 3 4 10 3" xfId="29837" xr:uid="{F79A225F-115A-40C1-B26F-9E209BECE3A7}"/>
    <cellStyle name="Input 3 4 11" xfId="10226" xr:uid="{31062713-5EB5-42B0-A876-2D5E73D663B6}"/>
    <cellStyle name="Input 3 4 11 2" xfId="29838" xr:uid="{F13CD132-999B-471B-A143-522F1A0C4DFC}"/>
    <cellStyle name="Input 3 4 12" xfId="29839" xr:uid="{09CA801E-014D-4EF0-869E-0B7B644D0A0C}"/>
    <cellStyle name="Input 3 4 13" xfId="29840" xr:uid="{AF43F51B-76B8-4BB1-869A-E3ED11195E17}"/>
    <cellStyle name="Input 3 4 14" xfId="29841" xr:uid="{B75C90E7-B55C-4AE9-9A51-72DDFCC38253}"/>
    <cellStyle name="Input 3 4 15" xfId="42793" xr:uid="{76497D32-0383-4C0F-96C8-09BEF31952B6}"/>
    <cellStyle name="Input 3 4 16" xfId="42298" xr:uid="{D29B77C7-7625-48A2-B29F-743D627962C6}"/>
    <cellStyle name="Input 3 4 17" xfId="42299" xr:uid="{508CACD2-3C79-47DF-A795-F0A84FDE5301}"/>
    <cellStyle name="Input 3 4 18" xfId="43895" xr:uid="{2F8E95E6-A8AC-4137-9639-2522AB6E55CE}"/>
    <cellStyle name="Input 3 4 19" xfId="44480" xr:uid="{B1FCC3AE-9829-45A8-A4C4-9576595EA7B1}"/>
    <cellStyle name="Input 3 4 2" xfId="10227" xr:uid="{51E3D88B-34F1-485E-BA78-D9749D501CDA}"/>
    <cellStyle name="Input 3 4 2 10" xfId="10228" xr:uid="{6DC95C61-6C30-4A6C-B41E-F2BB345A7FE4}"/>
    <cellStyle name="Input 3 4 2 10 2" xfId="29842" xr:uid="{53343C73-4AD9-4201-8EFE-CABF349B821D}"/>
    <cellStyle name="Input 3 4 2 11" xfId="29843" xr:uid="{AEAB8F7F-D8F4-4A88-B339-50EEECE98770}"/>
    <cellStyle name="Input 3 4 2 12" xfId="44692" xr:uid="{0ACD5B81-5105-43C4-9E01-2D55478E5EA0}"/>
    <cellStyle name="Input 3 4 2 13" xfId="44309" xr:uid="{3213979B-6505-4B84-8B3A-89809EC48E4F}"/>
    <cellStyle name="Input 3 4 2 14" xfId="45076" xr:uid="{99E114CC-FB3C-416D-A6A0-31C1D862237C}"/>
    <cellStyle name="Input 3 4 2 2" xfId="10229" xr:uid="{65E1785A-390D-431A-B688-AD1EA709D9F1}"/>
    <cellStyle name="Input 3 4 2 2 2" xfId="10230" xr:uid="{56C9D313-14A0-4112-875C-DBEAB8C8E277}"/>
    <cellStyle name="Input 3 4 2 2 3" xfId="10231" xr:uid="{D177548B-87B3-4E63-88CC-BF981E4D5926}"/>
    <cellStyle name="Input 3 4 2 2 4" xfId="10232" xr:uid="{7B8EA8EE-809A-4512-B7C9-C9E0F3523BA6}"/>
    <cellStyle name="Input 3 4 2 3" xfId="10233" xr:uid="{D3BFDBAD-DA60-4EC5-B1BC-0532DDCE1FE9}"/>
    <cellStyle name="Input 3 4 2 3 2" xfId="10234" xr:uid="{58D65E95-37E3-419D-AE5C-36FB61ADE556}"/>
    <cellStyle name="Input 3 4 2 3 3" xfId="29844" xr:uid="{6B1A77E0-9471-4B71-BC76-8A2C6BBD0AFB}"/>
    <cellStyle name="Input 3 4 2 4" xfId="10235" xr:uid="{7DDD529E-1AE9-4695-969C-C011D7A3AA46}"/>
    <cellStyle name="Input 3 4 2 4 2" xfId="10236" xr:uid="{A0C4828B-E32B-409E-BF8C-A41FB111C6FA}"/>
    <cellStyle name="Input 3 4 2 4 3" xfId="29845" xr:uid="{C246AE2B-1EE1-4479-93B2-01D79D1F74B6}"/>
    <cellStyle name="Input 3 4 2 5" xfId="10237" xr:uid="{28AB421F-C710-456C-A6A5-C5ABFCDEAE0F}"/>
    <cellStyle name="Input 3 4 2 5 2" xfId="10238" xr:uid="{D317E408-C188-4FB9-8BFD-A575EF57264A}"/>
    <cellStyle name="Input 3 4 2 5 3" xfId="29846" xr:uid="{0E256D71-BF17-4990-B789-B97370CF8713}"/>
    <cellStyle name="Input 3 4 2 6" xfId="10239" xr:uid="{668FC082-EB6C-4B23-AB24-FB06D2CB7075}"/>
    <cellStyle name="Input 3 4 2 6 2" xfId="10240" xr:uid="{43498F48-47AB-499F-A4D8-158E91F273AE}"/>
    <cellStyle name="Input 3 4 2 6 3" xfId="29847" xr:uid="{B5908BF6-1498-41DB-870D-850F94573B69}"/>
    <cellStyle name="Input 3 4 2 7" xfId="10241" xr:uid="{6E71F51C-53DD-46E7-A7BB-39F65F62920A}"/>
    <cellStyle name="Input 3 4 2 7 2" xfId="10242" xr:uid="{87712AAA-A961-4131-9155-F533C10BCE01}"/>
    <cellStyle name="Input 3 4 2 7 3" xfId="29848" xr:uid="{7407EA55-F241-4D24-B8EA-C89AAE59A953}"/>
    <cellStyle name="Input 3 4 2 8" xfId="10243" xr:uid="{E0D930AA-3C82-4E97-B1B4-86D1DE5FAE7E}"/>
    <cellStyle name="Input 3 4 2 8 2" xfId="10244" xr:uid="{F6A9F36D-CD25-414F-9067-1E65B41613D7}"/>
    <cellStyle name="Input 3 4 2 8 3" xfId="29849" xr:uid="{EC1AB330-EB0C-4005-8061-414D75DCAF03}"/>
    <cellStyle name="Input 3 4 2 9" xfId="10245" xr:uid="{AD272021-F639-472D-B8C6-243AA25A1DEA}"/>
    <cellStyle name="Input 3 4 2 9 2" xfId="29850" xr:uid="{18CF4572-3C65-4F25-922A-DC902E62C003}"/>
    <cellStyle name="Input 3 4 2 9 3" xfId="29851" xr:uid="{1CCA9D66-CB2E-4574-8AC0-599C124C16F6}"/>
    <cellStyle name="Input 3 4 20" xfId="45359" xr:uid="{089FFA82-F871-435B-9CCC-9B9278A3FE54}"/>
    <cellStyle name="Input 3 4 21" xfId="45578" xr:uid="{E5F3680D-E085-42D5-836E-1779149FBECC}"/>
    <cellStyle name="Input 3 4 3" xfId="10246" xr:uid="{C407F757-2C53-4104-8686-0E2AB6A9DDF6}"/>
    <cellStyle name="Input 3 4 3 2" xfId="10247" xr:uid="{B4ECF821-2338-451F-917A-35619D248CE7}"/>
    <cellStyle name="Input 3 4 3 3" xfId="10248" xr:uid="{8712F413-70B5-4626-A007-E75623621F2C}"/>
    <cellStyle name="Input 3 4 3 4" xfId="10249" xr:uid="{6A7239A8-6601-46C7-A94E-CD73F2BDAAB5}"/>
    <cellStyle name="Input 3 4 4" xfId="10250" xr:uid="{A3DA6F8D-934F-4FA2-8734-C57CE751BFA9}"/>
    <cellStyle name="Input 3 4 4 2" xfId="10251" xr:uid="{4A6D1D7A-A50D-4729-B29C-C4BFB0C1966F}"/>
    <cellStyle name="Input 3 4 4 3" xfId="29852" xr:uid="{9449EC16-380E-4B18-A695-05E0170F6C6A}"/>
    <cellStyle name="Input 3 4 5" xfId="10252" xr:uid="{3F428577-A731-44E7-B638-35234E451522}"/>
    <cellStyle name="Input 3 4 5 2" xfId="10253" xr:uid="{4EEEAA56-54AC-4895-B033-9B4B5148966D}"/>
    <cellStyle name="Input 3 4 5 3" xfId="29853" xr:uid="{1AAD7313-E2CD-4696-9860-21946A59E7DD}"/>
    <cellStyle name="Input 3 4 6" xfId="10254" xr:uid="{0FA166DB-4C4C-4785-BE4F-7F0E0C828B64}"/>
    <cellStyle name="Input 3 4 6 2" xfId="10255" xr:uid="{2386C9C6-88D6-44CE-BFD4-8613B664C721}"/>
    <cellStyle name="Input 3 4 6 3" xfId="29854" xr:uid="{46C114FD-5892-4D79-8B91-31C50E3A3F50}"/>
    <cellStyle name="Input 3 4 7" xfId="10256" xr:uid="{2AC61B83-B69E-44B6-A682-C223E57295D6}"/>
    <cellStyle name="Input 3 4 7 2" xfId="10257" xr:uid="{6A42DFFF-2BF2-45A2-8B1C-9A4CAEA03E4C}"/>
    <cellStyle name="Input 3 4 7 3" xfId="29855" xr:uid="{510558FA-1479-49C3-B33D-F89AE31CB4E5}"/>
    <cellStyle name="Input 3 4 8" xfId="10258" xr:uid="{CFE6E049-DF0A-45AC-963D-3FD3F3928E69}"/>
    <cellStyle name="Input 3 4 8 2" xfId="10259" xr:uid="{E2E9042D-2012-4102-96B4-EB9A6A9691F3}"/>
    <cellStyle name="Input 3 4 8 3" xfId="29856" xr:uid="{4C766713-96E0-4A36-9633-C72E00C46377}"/>
    <cellStyle name="Input 3 4 9" xfId="10260" xr:uid="{955C6B23-E475-4840-8E9E-09FBDC0E2902}"/>
    <cellStyle name="Input 3 4 9 2" xfId="10261" xr:uid="{A18425B8-9AF5-4753-AEA1-C0FDB0B215C1}"/>
    <cellStyle name="Input 3 4 9 3" xfId="29857" xr:uid="{D45E1191-C7C3-45DA-80FB-313E5EDE6E6B}"/>
    <cellStyle name="Input 3 5" xfId="10262" xr:uid="{408A4C39-8E9E-49B5-98B3-4FF92748A132}"/>
    <cellStyle name="Input 3 5 10" xfId="10263" xr:uid="{59D8EE58-5F5C-4F87-A947-7B64CAB5F9D3}"/>
    <cellStyle name="Input 3 5 10 2" xfId="29858" xr:uid="{F47D1547-BBE3-49F2-894E-2D9ADBF148C0}"/>
    <cellStyle name="Input 3 5 10 3" xfId="29859" xr:uid="{342D5F30-40B7-4E58-B928-B0F703C74C11}"/>
    <cellStyle name="Input 3 5 11" xfId="10264" xr:uid="{533CF14B-79A7-48DB-B1E8-53EC7B444C3C}"/>
    <cellStyle name="Input 3 5 11 2" xfId="29860" xr:uid="{5DE0B235-6480-4228-836E-7A470DE5B9BF}"/>
    <cellStyle name="Input 3 5 12" xfId="29861" xr:uid="{5FF1F7BB-EF55-4EF1-A0B6-880912D57FF8}"/>
    <cellStyle name="Input 3 5 13" xfId="44635" xr:uid="{CFCDA8BB-6830-4054-8BFB-D447C034F648}"/>
    <cellStyle name="Input 3 5 14" xfId="45193" xr:uid="{AEE07F3F-904C-4A01-AB4F-FA6F8579734F}"/>
    <cellStyle name="Input 3 5 15" xfId="45470" xr:uid="{8E821EAE-A2EC-49A9-B80F-5E85416EEC7D}"/>
    <cellStyle name="Input 3 5 2" xfId="10265" xr:uid="{A62AA232-D1A2-43B2-8356-B6FEBB07D80A}"/>
    <cellStyle name="Input 3 5 2 10" xfId="10266" xr:uid="{67B3F438-9014-4161-B1E4-13425D4F26AC}"/>
    <cellStyle name="Input 3 5 2 10 2" xfId="29862" xr:uid="{5F06EB84-64B3-4711-B84F-458E387BA8A2}"/>
    <cellStyle name="Input 3 5 2 11" xfId="29863" xr:uid="{17503A1A-A2BB-4245-8E96-99DD71184181}"/>
    <cellStyle name="Input 3 5 2 2" xfId="10267" xr:uid="{9F0294D1-981E-4226-A6FA-063653006BE0}"/>
    <cellStyle name="Input 3 5 2 2 2" xfId="10268" xr:uid="{A22AAD61-70C1-4AC8-8021-A710D175B48D}"/>
    <cellStyle name="Input 3 5 2 2 3" xfId="10269" xr:uid="{6D0849E7-62A4-4863-8785-FA53A828DEA3}"/>
    <cellStyle name="Input 3 5 2 2 4" xfId="10270" xr:uid="{236F990F-2203-48A3-AB00-5B7656B590C0}"/>
    <cellStyle name="Input 3 5 2 3" xfId="10271" xr:uid="{976EFE88-DD4B-4150-81C4-090CBFABD4AC}"/>
    <cellStyle name="Input 3 5 2 3 2" xfId="10272" xr:uid="{F340C9D1-1D20-4CFC-AD58-15403BDBA4B9}"/>
    <cellStyle name="Input 3 5 2 3 3" xfId="29864" xr:uid="{A3E94ED8-400E-47F5-AC86-9E53B2C26E96}"/>
    <cellStyle name="Input 3 5 2 4" xfId="10273" xr:uid="{ABA48A78-E3C5-4362-98F5-058A80F985CA}"/>
    <cellStyle name="Input 3 5 2 4 2" xfId="10274" xr:uid="{38ACE9A3-5393-42A7-85D7-D1F51FA8E2EF}"/>
    <cellStyle name="Input 3 5 2 4 3" xfId="29865" xr:uid="{078D3344-71AA-4B00-A9CC-C1F9BED71EC9}"/>
    <cellStyle name="Input 3 5 2 5" xfId="10275" xr:uid="{32315A13-AB85-4030-ABCB-E729C67F5240}"/>
    <cellStyle name="Input 3 5 2 5 2" xfId="10276" xr:uid="{7C068401-AF39-46E7-A160-63DF4D959381}"/>
    <cellStyle name="Input 3 5 2 5 3" xfId="29866" xr:uid="{93FE726B-A961-43F7-BFB5-94757EFDFE4F}"/>
    <cellStyle name="Input 3 5 2 6" xfId="10277" xr:uid="{D431B9FC-0117-4CCB-A251-D9BA15CAB26A}"/>
    <cellStyle name="Input 3 5 2 6 2" xfId="10278" xr:uid="{38E3809A-4B32-466B-BCB6-C6C35970BADC}"/>
    <cellStyle name="Input 3 5 2 6 3" xfId="29867" xr:uid="{BBC559FE-EF26-4B02-91EC-6FB6120157B5}"/>
    <cellStyle name="Input 3 5 2 7" xfId="10279" xr:uid="{BD062C25-F900-41BD-AA79-56B44F7D7FF5}"/>
    <cellStyle name="Input 3 5 2 7 2" xfId="10280" xr:uid="{A67EBD8B-F02D-4FCD-A54F-9A2BCF79BBC1}"/>
    <cellStyle name="Input 3 5 2 7 3" xfId="29868" xr:uid="{B7D9258C-E453-485B-963E-C01342E41FF6}"/>
    <cellStyle name="Input 3 5 2 8" xfId="10281" xr:uid="{F1E2297D-8CB0-4840-A369-687F2113DECD}"/>
    <cellStyle name="Input 3 5 2 8 2" xfId="10282" xr:uid="{F839AEF1-DA6D-4C32-B1C4-75FF87A003CD}"/>
    <cellStyle name="Input 3 5 2 8 3" xfId="29869" xr:uid="{DD368CF1-0077-4B7E-A969-92F582249590}"/>
    <cellStyle name="Input 3 5 2 9" xfId="10283" xr:uid="{E83367BA-8AED-4675-B23D-0B51B2BFF951}"/>
    <cellStyle name="Input 3 5 2 9 2" xfId="29870" xr:uid="{077DCBA2-A74A-411E-B601-15C24D4FA294}"/>
    <cellStyle name="Input 3 5 2 9 3" xfId="29871" xr:uid="{33994442-EB00-4093-9E7A-12E4C165B7E7}"/>
    <cellStyle name="Input 3 5 3" xfId="10284" xr:uid="{96DEDF45-A469-4EFB-B748-C1D6C04BAEE5}"/>
    <cellStyle name="Input 3 5 3 2" xfId="10285" xr:uid="{3042E8B2-F7F6-4573-96E2-4E19BB57FD1C}"/>
    <cellStyle name="Input 3 5 3 3" xfId="10286" xr:uid="{8D4C3858-30A9-41C2-BC1F-7E076E90801C}"/>
    <cellStyle name="Input 3 5 3 4" xfId="10287" xr:uid="{5E436C04-3780-4E4F-B776-9C5781657119}"/>
    <cellStyle name="Input 3 5 4" xfId="10288" xr:uid="{237E7560-2687-4B8A-9DAD-7CA16C0A8D46}"/>
    <cellStyle name="Input 3 5 4 2" xfId="10289" xr:uid="{64D8E24C-371F-41C2-BC61-FCDEE0FD5740}"/>
    <cellStyle name="Input 3 5 4 3" xfId="29872" xr:uid="{BC39AFB4-3EF8-4214-8938-6FE08F6F2C43}"/>
    <cellStyle name="Input 3 5 5" xfId="10290" xr:uid="{22E69505-F3D0-4B29-9E04-9EDF74DA864B}"/>
    <cellStyle name="Input 3 5 5 2" xfId="10291" xr:uid="{B4342A8E-E626-4DAF-BB85-F81BFC3D897F}"/>
    <cellStyle name="Input 3 5 5 3" xfId="29873" xr:uid="{3DCFE367-A992-4296-8A26-E845057431A4}"/>
    <cellStyle name="Input 3 5 6" xfId="10292" xr:uid="{7AB6C765-9BE6-4163-9E54-4CE56E2FB183}"/>
    <cellStyle name="Input 3 5 6 2" xfId="10293" xr:uid="{9F1AC149-35FC-4F1A-B873-2E00F8CA9C54}"/>
    <cellStyle name="Input 3 5 6 3" xfId="29874" xr:uid="{D214F125-E618-4CCE-8137-4923FCFDF027}"/>
    <cellStyle name="Input 3 5 7" xfId="10294" xr:uid="{CB1CFAF4-4DFE-4EC5-8B95-03D3FD96447D}"/>
    <cellStyle name="Input 3 5 7 2" xfId="10295" xr:uid="{69753741-7C5A-4C35-95DC-D8D562150AC9}"/>
    <cellStyle name="Input 3 5 7 3" xfId="29875" xr:uid="{B192937B-8F9B-45F1-9308-38F3A74B1093}"/>
    <cellStyle name="Input 3 5 8" xfId="10296" xr:uid="{2043DABB-48C9-417E-AE26-5BE94F93B32B}"/>
    <cellStyle name="Input 3 5 8 2" xfId="10297" xr:uid="{4673949C-2E8A-4AB8-A16E-2AA84FFC7F8B}"/>
    <cellStyle name="Input 3 5 8 3" xfId="29876" xr:uid="{C65822D6-B751-42CD-B411-8E58FE032559}"/>
    <cellStyle name="Input 3 5 9" xfId="10298" xr:uid="{6F7E31F0-C94E-4219-A6F5-9A2ED60DC25C}"/>
    <cellStyle name="Input 3 5 9 2" xfId="10299" xr:uid="{F1CDA154-9155-4C54-ACF0-C02B25B55BA5}"/>
    <cellStyle name="Input 3 5 9 3" xfId="29877" xr:uid="{1A677E98-D3DD-443A-9699-D6DA42C56D47}"/>
    <cellStyle name="Input 3 6" xfId="10300" xr:uid="{9A32CEE5-1BBE-4026-877F-B18DDE746C8E}"/>
    <cellStyle name="Input 3 6 10" xfId="10301" xr:uid="{D891B963-1A91-4B88-B675-D2D437C32873}"/>
    <cellStyle name="Input 3 6 10 2" xfId="29878" xr:uid="{FDF05963-F6D8-4A36-BBCA-699C8485DEB1}"/>
    <cellStyle name="Input 3 6 10 3" xfId="29879" xr:uid="{6FCCB46F-E6EE-445B-A997-30812931A0C6}"/>
    <cellStyle name="Input 3 6 11" xfId="10302" xr:uid="{162E6A3A-CCE9-4233-8D2D-A14C704EFF79}"/>
    <cellStyle name="Input 3 6 11 2" xfId="29880" xr:uid="{820725F8-200B-4920-9F13-FDEFAFB4D89E}"/>
    <cellStyle name="Input 3 6 12" xfId="29881" xr:uid="{713A5D17-5E83-435F-9794-3DED4E493026}"/>
    <cellStyle name="Input 3 6 2" xfId="10303" xr:uid="{609DA286-37C9-4972-91AA-2292B6E6CB1A}"/>
    <cellStyle name="Input 3 6 2 10" xfId="10304" xr:uid="{1BA50722-7ECC-49B6-A180-26371F9C7964}"/>
    <cellStyle name="Input 3 6 2 10 2" xfId="29882" xr:uid="{579C43C2-E614-4F13-B316-B757D6D5549B}"/>
    <cellStyle name="Input 3 6 2 11" xfId="29883" xr:uid="{B1E1F92B-70A7-497B-A59B-3EDCF3195EDE}"/>
    <cellStyle name="Input 3 6 2 2" xfId="10305" xr:uid="{EA53D7E6-5AA3-469A-A4D1-7138E5384E0A}"/>
    <cellStyle name="Input 3 6 2 2 2" xfId="10306" xr:uid="{893458E4-34C3-4115-AF77-D10F1347D20B}"/>
    <cellStyle name="Input 3 6 2 2 3" xfId="10307" xr:uid="{DC3BDD8C-0735-41C4-A814-C1DC439EA0E8}"/>
    <cellStyle name="Input 3 6 2 2 4" xfId="10308" xr:uid="{1F1269D2-BDB0-4915-8CD6-BF3A89DCC981}"/>
    <cellStyle name="Input 3 6 2 3" xfId="10309" xr:uid="{12574B6D-2B16-4D49-9967-42DBC1CEDEA6}"/>
    <cellStyle name="Input 3 6 2 3 2" xfId="10310" xr:uid="{2BA96AB5-C213-4288-835B-8246DDDAEAD6}"/>
    <cellStyle name="Input 3 6 2 3 3" xfId="29884" xr:uid="{675BAB0C-0507-4E2A-B572-E231225D5FB7}"/>
    <cellStyle name="Input 3 6 2 4" xfId="10311" xr:uid="{335E499D-331A-40BA-9040-2D8C1F698AB9}"/>
    <cellStyle name="Input 3 6 2 4 2" xfId="10312" xr:uid="{CC0382D7-6FDC-4958-A9A1-5BA81B6C26E6}"/>
    <cellStyle name="Input 3 6 2 4 3" xfId="29885" xr:uid="{0CED4A52-ABF5-49D5-9780-A15116C0D141}"/>
    <cellStyle name="Input 3 6 2 5" xfId="10313" xr:uid="{7A8A1A43-5EA0-4C62-8CEB-0F37CAC964BC}"/>
    <cellStyle name="Input 3 6 2 5 2" xfId="10314" xr:uid="{488B28FC-E664-41B1-89C2-A3A015D19030}"/>
    <cellStyle name="Input 3 6 2 5 3" xfId="29886" xr:uid="{AFF54A5F-1DCD-4FDE-B3C4-6AC228C6AB5C}"/>
    <cellStyle name="Input 3 6 2 6" xfId="10315" xr:uid="{DB811017-8CE2-40E4-BCF1-B88F575843F0}"/>
    <cellStyle name="Input 3 6 2 6 2" xfId="10316" xr:uid="{F4DF56D6-7C2E-43A5-B6CD-A535BA885DB9}"/>
    <cellStyle name="Input 3 6 2 6 3" xfId="29887" xr:uid="{0EA5426F-F7B5-4477-AEB3-741B4624D4A1}"/>
    <cellStyle name="Input 3 6 2 7" xfId="10317" xr:uid="{DF2F8202-9D91-4C4F-912C-23C76C886BCB}"/>
    <cellStyle name="Input 3 6 2 7 2" xfId="10318" xr:uid="{0B69E1C4-D1F4-42A4-99B9-CACC39EF59DD}"/>
    <cellStyle name="Input 3 6 2 7 3" xfId="29888" xr:uid="{32106153-C2EC-4D97-B0C0-A13E769A1F30}"/>
    <cellStyle name="Input 3 6 2 8" xfId="10319" xr:uid="{F666CD96-6369-4581-924C-C1762BFFD1E3}"/>
    <cellStyle name="Input 3 6 2 8 2" xfId="10320" xr:uid="{F8F6819C-3D0E-4C76-85DF-69EE5F184470}"/>
    <cellStyle name="Input 3 6 2 8 3" xfId="29889" xr:uid="{E8732BC4-B971-4B46-83B4-4D23C9C2D6EE}"/>
    <cellStyle name="Input 3 6 2 9" xfId="10321" xr:uid="{E1151619-D901-45FB-9916-8A4B5764C28A}"/>
    <cellStyle name="Input 3 6 2 9 2" xfId="29890" xr:uid="{DE3F9175-5DEF-46D4-A18E-F5D0F269A4FE}"/>
    <cellStyle name="Input 3 6 2 9 3" xfId="29891" xr:uid="{D7786F2C-7E68-4CD6-AB50-E541B3A6F69D}"/>
    <cellStyle name="Input 3 6 3" xfId="10322" xr:uid="{985D6F7C-C6A6-4822-97B6-3B355E13A143}"/>
    <cellStyle name="Input 3 6 3 2" xfId="10323" xr:uid="{8885531A-29DA-4278-AAB9-505EA02AD876}"/>
    <cellStyle name="Input 3 6 3 3" xfId="10324" xr:uid="{D7B0ADED-54CF-4909-A9B7-C576B34E9D21}"/>
    <cellStyle name="Input 3 6 3 4" xfId="10325" xr:uid="{335C4F14-F55B-41EA-90BA-9ACBE9D18FCF}"/>
    <cellStyle name="Input 3 6 4" xfId="10326" xr:uid="{4A87360F-8849-48EB-9F1B-FC9D540F2391}"/>
    <cellStyle name="Input 3 6 4 2" xfId="10327" xr:uid="{CC667E2A-C797-4ACA-B1BE-2338035EE5CC}"/>
    <cellStyle name="Input 3 6 4 3" xfId="29892" xr:uid="{EB6E28AE-52E8-4315-993A-95BCE5874D95}"/>
    <cellStyle name="Input 3 6 5" xfId="10328" xr:uid="{1B76645D-8674-4608-9367-379E186FCDF5}"/>
    <cellStyle name="Input 3 6 5 2" xfId="10329" xr:uid="{9CD29B9A-948A-4CCF-BC5E-DDA2DC5D2A2F}"/>
    <cellStyle name="Input 3 6 5 3" xfId="29893" xr:uid="{D7FB0036-6832-4A10-98B0-14854EBD4FE8}"/>
    <cellStyle name="Input 3 6 6" xfId="10330" xr:uid="{EDDEDF1A-7D48-4890-BFFE-19182DA363EC}"/>
    <cellStyle name="Input 3 6 6 2" xfId="10331" xr:uid="{E85EA58D-5B43-4955-943E-9474885D440F}"/>
    <cellStyle name="Input 3 6 6 3" xfId="29894" xr:uid="{BB859050-9DA8-41A4-B356-806EE81AA384}"/>
    <cellStyle name="Input 3 6 7" xfId="10332" xr:uid="{920D849F-4C3A-453C-97BF-0F1EEB316708}"/>
    <cellStyle name="Input 3 6 7 2" xfId="10333" xr:uid="{732C232E-BBD1-414E-910A-981AB84A0AF3}"/>
    <cellStyle name="Input 3 6 7 3" xfId="29895" xr:uid="{7ED666FC-4760-40EF-ABFF-96BEBD0510F8}"/>
    <cellStyle name="Input 3 6 8" xfId="10334" xr:uid="{CFEE077B-D4ED-4332-BD34-ABB654D9876B}"/>
    <cellStyle name="Input 3 6 8 2" xfId="10335" xr:uid="{D01F3CE0-CD51-4BA3-B20B-26991BF32E85}"/>
    <cellStyle name="Input 3 6 8 3" xfId="29896" xr:uid="{9B7A8D0D-5A15-4D14-8902-EC4C9BB44A9E}"/>
    <cellStyle name="Input 3 6 9" xfId="10336" xr:uid="{C6755788-7FBA-4C05-B7C4-9F06392A849B}"/>
    <cellStyle name="Input 3 6 9 2" xfId="10337" xr:uid="{42B01A35-06DB-4BFC-9B59-3892291D530E}"/>
    <cellStyle name="Input 3 6 9 3" xfId="29897" xr:uid="{C5FB3822-7E0D-41F5-B95D-680C129B0CA8}"/>
    <cellStyle name="Input 3 7" xfId="10338" xr:uid="{C9C2ACA3-1028-4FDB-89E9-12B819E13D5C}"/>
    <cellStyle name="Input 3 7 10" xfId="10339" xr:uid="{61A1320A-73AB-4FFC-B851-5BD0CBEE5B1F}"/>
    <cellStyle name="Input 3 7 10 2" xfId="29898" xr:uid="{6F7319D4-086C-4E52-8D96-0C52C8E1C88A}"/>
    <cellStyle name="Input 3 7 10 3" xfId="29899" xr:uid="{779C9145-C174-4381-B455-44D3DBD1101C}"/>
    <cellStyle name="Input 3 7 11" xfId="10340" xr:uid="{0B142943-8D77-4EEC-A97C-9764A8665AE5}"/>
    <cellStyle name="Input 3 7 11 2" xfId="29900" xr:uid="{8E6C713F-2515-4DE6-80B0-3E868264D8D2}"/>
    <cellStyle name="Input 3 7 12" xfId="29901" xr:uid="{F2F3643C-2CA3-48C0-860E-91BC0712AE00}"/>
    <cellStyle name="Input 3 7 2" xfId="10341" xr:uid="{EBFA3815-8216-4E9F-A6BB-6EE647EB2B0E}"/>
    <cellStyle name="Input 3 7 2 10" xfId="10342" xr:uid="{9326E050-E4CA-487B-BCA2-E2E656EDD99F}"/>
    <cellStyle name="Input 3 7 2 10 2" xfId="29902" xr:uid="{1FCAED60-15D3-432D-9CA3-E2E77363786C}"/>
    <cellStyle name="Input 3 7 2 11" xfId="29903" xr:uid="{E6CE6F64-CA99-4A16-8161-3EF2C373AF42}"/>
    <cellStyle name="Input 3 7 2 2" xfId="10343" xr:uid="{7DB0B16D-85B6-4A6A-93DD-1A57083A6BF8}"/>
    <cellStyle name="Input 3 7 2 2 2" xfId="10344" xr:uid="{6EBEA8FD-4D9D-43EC-A333-D9CC8CF02287}"/>
    <cellStyle name="Input 3 7 2 2 3" xfId="10345" xr:uid="{D09D489B-C5FE-4536-89B8-1C607ADA609E}"/>
    <cellStyle name="Input 3 7 2 2 4" xfId="10346" xr:uid="{017FAB6E-E2C9-4985-A65B-396E6E27360F}"/>
    <cellStyle name="Input 3 7 2 3" xfId="10347" xr:uid="{154C3967-36ED-4FAD-ACDC-2B617393B5FE}"/>
    <cellStyle name="Input 3 7 2 3 2" xfId="10348" xr:uid="{DAAE431A-79DE-4AF6-9381-F60F7F3A4F7A}"/>
    <cellStyle name="Input 3 7 2 3 3" xfId="29904" xr:uid="{D3AB254B-0E38-41AB-A734-4491926BD597}"/>
    <cellStyle name="Input 3 7 2 4" xfId="10349" xr:uid="{7DCC0225-8DE5-42CD-B0D5-11DDDF6DA326}"/>
    <cellStyle name="Input 3 7 2 4 2" xfId="10350" xr:uid="{98444871-3104-4EED-9132-0FE9243013BC}"/>
    <cellStyle name="Input 3 7 2 4 3" xfId="29905" xr:uid="{E678FDDD-BA9C-476D-A5DF-11F040B814D7}"/>
    <cellStyle name="Input 3 7 2 5" xfId="10351" xr:uid="{D65A7281-ACB2-4829-8554-6B58285CB25B}"/>
    <cellStyle name="Input 3 7 2 5 2" xfId="10352" xr:uid="{DF555C3C-12F9-4A12-BC25-05147AA134DB}"/>
    <cellStyle name="Input 3 7 2 5 3" xfId="29906" xr:uid="{53F67510-8419-46BC-A49A-5C77DFD7DF61}"/>
    <cellStyle name="Input 3 7 2 6" xfId="10353" xr:uid="{E0CE340F-556E-4A83-B6CA-1231B02CC2F3}"/>
    <cellStyle name="Input 3 7 2 6 2" xfId="10354" xr:uid="{FAB6F64A-CA84-447C-B70E-531B18957600}"/>
    <cellStyle name="Input 3 7 2 6 3" xfId="29907" xr:uid="{443031DD-3B72-4315-A175-CEB1B993E25C}"/>
    <cellStyle name="Input 3 7 2 7" xfId="10355" xr:uid="{BCE00E90-BD93-4755-8E8B-E4068AAB90F2}"/>
    <cellStyle name="Input 3 7 2 7 2" xfId="10356" xr:uid="{00A54C30-D7F8-4B57-A530-65DB94D5D602}"/>
    <cellStyle name="Input 3 7 2 7 3" xfId="29908" xr:uid="{C5483D0F-A570-47D2-817F-8C5EDA90D2AD}"/>
    <cellStyle name="Input 3 7 2 8" xfId="10357" xr:uid="{D09B46C9-A9FB-435B-94FB-8D5DE1D070C2}"/>
    <cellStyle name="Input 3 7 2 8 2" xfId="10358" xr:uid="{45107CAB-A5E2-4548-9B46-FE819B265387}"/>
    <cellStyle name="Input 3 7 2 8 3" xfId="29909" xr:uid="{BD7CBEFF-0BF1-40A2-9482-97E91E4774DF}"/>
    <cellStyle name="Input 3 7 2 9" xfId="10359" xr:uid="{8C4FBEC3-E45D-473F-BB20-7F3B1CC3730C}"/>
    <cellStyle name="Input 3 7 2 9 2" xfId="29910" xr:uid="{50361E8F-9ED5-48D0-930F-E4DE68E19A13}"/>
    <cellStyle name="Input 3 7 2 9 3" xfId="29911" xr:uid="{A3BF54B2-E54A-492A-9882-01FB03DC7411}"/>
    <cellStyle name="Input 3 7 3" xfId="10360" xr:uid="{BC32AE9D-C1BE-490B-8DBA-F7C53112E49B}"/>
    <cellStyle name="Input 3 7 3 2" xfId="10361" xr:uid="{55F8BF7F-374E-4826-9AAC-6C09D5E5BA7A}"/>
    <cellStyle name="Input 3 7 3 3" xfId="10362" xr:uid="{E3CF7FFF-3DC4-4412-B567-AB294CCE6E46}"/>
    <cellStyle name="Input 3 7 3 4" xfId="10363" xr:uid="{F8C4D3C7-927D-4D5C-8FD9-0330FEE46941}"/>
    <cellStyle name="Input 3 7 4" xfId="10364" xr:uid="{E7DF084E-F6D0-42F2-8EFC-E2666B65EBB1}"/>
    <cellStyle name="Input 3 7 4 2" xfId="10365" xr:uid="{424008B0-697D-4EB2-A172-6913F0F68031}"/>
    <cellStyle name="Input 3 7 4 3" xfId="29912" xr:uid="{0662FAEB-4435-4D76-95D5-4BA60EC7AA8C}"/>
    <cellStyle name="Input 3 7 5" xfId="10366" xr:uid="{3C839796-F913-49F2-AB62-3E53150A939F}"/>
    <cellStyle name="Input 3 7 5 2" xfId="10367" xr:uid="{4F6DFE1D-9E9D-413B-A357-832264703B25}"/>
    <cellStyle name="Input 3 7 5 3" xfId="29913" xr:uid="{F8A222D3-CA61-4E4D-B777-276607D06059}"/>
    <cellStyle name="Input 3 7 6" xfId="10368" xr:uid="{505814A4-FD9A-49A9-B28B-143E1A68D80F}"/>
    <cellStyle name="Input 3 7 6 2" xfId="10369" xr:uid="{FE1006D3-DE0A-41E0-B5C7-F87A44879250}"/>
    <cellStyle name="Input 3 7 6 3" xfId="29914" xr:uid="{1A96EB79-C5DF-43A6-AD5E-2116DC731066}"/>
    <cellStyle name="Input 3 7 7" xfId="10370" xr:uid="{39EAC69B-9DB8-453D-A976-2F57B696B6CE}"/>
    <cellStyle name="Input 3 7 7 2" xfId="10371" xr:uid="{43959C88-3F95-4BDA-AC24-3E72AD1500C0}"/>
    <cellStyle name="Input 3 7 7 3" xfId="29915" xr:uid="{BFB00ED9-9AF8-4336-91A0-98E5E77AA362}"/>
    <cellStyle name="Input 3 7 8" xfId="10372" xr:uid="{D1AABD58-EA2D-4D5E-A073-1758148866E5}"/>
    <cellStyle name="Input 3 7 8 2" xfId="10373" xr:uid="{73661A0A-7388-4CB7-BFB9-9A49FA3CF221}"/>
    <cellStyle name="Input 3 7 8 3" xfId="29916" xr:uid="{FE4A3793-7C5D-4549-965E-D0522F9D918C}"/>
    <cellStyle name="Input 3 7 9" xfId="10374" xr:uid="{E17730BE-4672-4A36-8913-A8444988292C}"/>
    <cellStyle name="Input 3 7 9 2" xfId="10375" xr:uid="{C6E7725D-7A60-4B80-9A1D-B5C80FDA1DFD}"/>
    <cellStyle name="Input 3 7 9 3" xfId="29917" xr:uid="{ACF71C34-4EC4-4314-9505-6E7B188F0712}"/>
    <cellStyle name="Input 3 8" xfId="10376" xr:uid="{FAE5360B-5E1C-4578-9F81-043BB26BB097}"/>
    <cellStyle name="Input 3 8 10" xfId="10377" xr:uid="{7D5EDA96-5FCE-4927-AD01-C0E1B1668C80}"/>
    <cellStyle name="Input 3 8 10 2" xfId="29918" xr:uid="{9F9ECBEC-D044-40B1-8054-78F2D65AC041}"/>
    <cellStyle name="Input 3 8 10 3" xfId="29919" xr:uid="{A4C60F49-0D00-484F-B4A9-54B9A7BE5859}"/>
    <cellStyle name="Input 3 8 11" xfId="10378" xr:uid="{AD985796-F0CD-450A-82C4-7AEA73219D97}"/>
    <cellStyle name="Input 3 8 11 2" xfId="29920" xr:uid="{F305C3F9-BF85-4AF7-80C7-21E4FAAFF836}"/>
    <cellStyle name="Input 3 8 12" xfId="29921" xr:uid="{2E5B37AC-AD68-4E5B-9F22-C0C232030C46}"/>
    <cellStyle name="Input 3 8 2" xfId="10379" xr:uid="{D2950DA8-5270-4F24-B5A2-DB07DA413539}"/>
    <cellStyle name="Input 3 8 2 10" xfId="10380" xr:uid="{E678CC28-69C2-4998-AB4C-549327CEDC91}"/>
    <cellStyle name="Input 3 8 2 10 2" xfId="29922" xr:uid="{075BD957-2AC1-4418-80A8-200AAAA09D1F}"/>
    <cellStyle name="Input 3 8 2 11" xfId="29923" xr:uid="{70636AF0-0219-4857-AD92-DDBAD27B727A}"/>
    <cellStyle name="Input 3 8 2 2" xfId="10381" xr:uid="{7B196D75-C819-4243-86CF-BCE8AC96EC54}"/>
    <cellStyle name="Input 3 8 2 2 2" xfId="10382" xr:uid="{75A00ED6-5772-40DE-8985-86EDE94CDADE}"/>
    <cellStyle name="Input 3 8 2 2 3" xfId="10383" xr:uid="{40A9843F-140A-4B40-B62F-25F3D27EFB3B}"/>
    <cellStyle name="Input 3 8 2 2 4" xfId="10384" xr:uid="{B1CAD273-3A91-4471-913D-5C6EAAEBB4FC}"/>
    <cellStyle name="Input 3 8 2 3" xfId="10385" xr:uid="{61357799-2E93-4F62-875F-B07C94E80D39}"/>
    <cellStyle name="Input 3 8 2 3 2" xfId="10386" xr:uid="{4311A555-7953-4695-8FF9-773484D9093B}"/>
    <cellStyle name="Input 3 8 2 3 3" xfId="29924" xr:uid="{6224B7A4-FE1C-45FC-90CE-A07BD0178A2A}"/>
    <cellStyle name="Input 3 8 2 4" xfId="10387" xr:uid="{A22635DD-AB9D-4F66-82DD-C31508464DB4}"/>
    <cellStyle name="Input 3 8 2 4 2" xfId="10388" xr:uid="{760E88B6-CB25-4E3F-A69D-D28F9D3C8AD9}"/>
    <cellStyle name="Input 3 8 2 4 3" xfId="29925" xr:uid="{2423CAAC-62EE-404E-90B5-C3EC7ED0010A}"/>
    <cellStyle name="Input 3 8 2 5" xfId="10389" xr:uid="{A44646CE-6FD7-4E2F-81D6-F3A84D50BD6F}"/>
    <cellStyle name="Input 3 8 2 5 2" xfId="10390" xr:uid="{BED279C8-7D06-4BE6-8628-9A6FE83A5EF2}"/>
    <cellStyle name="Input 3 8 2 5 3" xfId="29926" xr:uid="{2996DB42-1BC2-4F73-8210-DAB85145E943}"/>
    <cellStyle name="Input 3 8 2 6" xfId="10391" xr:uid="{D819AD6D-B521-4B74-90DE-2EB28DDDB514}"/>
    <cellStyle name="Input 3 8 2 6 2" xfId="10392" xr:uid="{E1CE239D-FC49-420D-A74F-B6D18CBEF788}"/>
    <cellStyle name="Input 3 8 2 6 3" xfId="29927" xr:uid="{C143020E-0EF4-40D5-BD49-B879D99482FA}"/>
    <cellStyle name="Input 3 8 2 7" xfId="10393" xr:uid="{841199EC-289C-40E7-B288-F36AFCAAA368}"/>
    <cellStyle name="Input 3 8 2 7 2" xfId="10394" xr:uid="{6E7CCC49-F7D0-484C-AA94-E19115FD6F6F}"/>
    <cellStyle name="Input 3 8 2 7 3" xfId="29928" xr:uid="{8FB27D64-D7D9-4E3A-B99F-3612C6A9A5E3}"/>
    <cellStyle name="Input 3 8 2 8" xfId="10395" xr:uid="{7BBCD0A2-EAB3-496F-9858-0D8FC0461D28}"/>
    <cellStyle name="Input 3 8 2 8 2" xfId="10396" xr:uid="{5A16151B-3654-4837-A05D-97AF1B9DD9EB}"/>
    <cellStyle name="Input 3 8 2 8 3" xfId="29929" xr:uid="{09E23E62-F6E9-42CE-8E27-E4C34A597FD6}"/>
    <cellStyle name="Input 3 8 2 9" xfId="10397" xr:uid="{A481ABC4-DEFF-4721-B009-39443BB14A96}"/>
    <cellStyle name="Input 3 8 2 9 2" xfId="29930" xr:uid="{22545376-E1C3-4777-93B4-77C47E728637}"/>
    <cellStyle name="Input 3 8 2 9 3" xfId="29931" xr:uid="{976B98A1-60EA-40D2-884D-0D4A9E182C8B}"/>
    <cellStyle name="Input 3 8 3" xfId="10398" xr:uid="{C1AB581B-977E-440F-A748-975C19C2849B}"/>
    <cellStyle name="Input 3 8 3 2" xfId="10399" xr:uid="{E977CFFD-3198-4B5A-8F85-EC51BE6CE77C}"/>
    <cellStyle name="Input 3 8 3 3" xfId="10400" xr:uid="{A7BC927A-F942-4D69-AA53-301E862DBE99}"/>
    <cellStyle name="Input 3 8 3 4" xfId="10401" xr:uid="{3606F84E-4DE1-4DA6-A224-A6627A5DB069}"/>
    <cellStyle name="Input 3 8 4" xfId="10402" xr:uid="{3C82BAA1-E0B5-4BE3-B340-2AF8F9B43AD6}"/>
    <cellStyle name="Input 3 8 4 2" xfId="10403" xr:uid="{5C3C55F5-84B8-4605-9AD0-7DC016F2E9A4}"/>
    <cellStyle name="Input 3 8 4 3" xfId="29932" xr:uid="{42B405AB-EE31-4727-885F-436A9BE925A6}"/>
    <cellStyle name="Input 3 8 5" xfId="10404" xr:uid="{9427222F-938C-40B4-82C4-FD8B31388C3B}"/>
    <cellStyle name="Input 3 8 5 2" xfId="10405" xr:uid="{3E51D1A4-78F3-4FDC-872A-A47F7047AD3A}"/>
    <cellStyle name="Input 3 8 5 3" xfId="29933" xr:uid="{8FDA85C2-5337-4BD8-947D-BAA7A1A701E0}"/>
    <cellStyle name="Input 3 8 6" xfId="10406" xr:uid="{B6F4B2F7-3E83-4F06-927F-B7D0CA938E33}"/>
    <cellStyle name="Input 3 8 6 2" xfId="10407" xr:uid="{316A58BA-0BC1-40FF-A82C-4B5D56B6BA93}"/>
    <cellStyle name="Input 3 8 6 3" xfId="29934" xr:uid="{AB111894-68BC-45B3-9000-A47A7C2C2C67}"/>
    <cellStyle name="Input 3 8 7" xfId="10408" xr:uid="{96BE04DA-8DC6-4FA9-ACCC-B6C692E21F88}"/>
    <cellStyle name="Input 3 8 7 2" xfId="10409" xr:uid="{69CED3F8-865A-442F-8BB4-E21EE3EC1EBB}"/>
    <cellStyle name="Input 3 8 7 3" xfId="29935" xr:uid="{039F3D43-34CE-4415-98F8-B8B56CF6000A}"/>
    <cellStyle name="Input 3 8 8" xfId="10410" xr:uid="{6BB4F564-70C1-48ED-877B-831BBBA0EBB0}"/>
    <cellStyle name="Input 3 8 8 2" xfId="10411" xr:uid="{C055F413-8FD6-45C6-9B73-0CA5979E757F}"/>
    <cellStyle name="Input 3 8 8 3" xfId="29936" xr:uid="{89AFFD15-6773-41D2-9891-4506E12336ED}"/>
    <cellStyle name="Input 3 8 9" xfId="10412" xr:uid="{78D71BB8-C22E-473B-AA48-526223632E43}"/>
    <cellStyle name="Input 3 8 9 2" xfId="10413" xr:uid="{DF2BC432-89EF-4E53-ADE8-B3FF88DFCDCE}"/>
    <cellStyle name="Input 3 8 9 3" xfId="29937" xr:uid="{854674AE-BF9C-474B-89B9-A9AE991B51DA}"/>
    <cellStyle name="Input 3 9" xfId="10414" xr:uid="{76F909E2-A8DD-48A3-B5F1-28830E7CDD1D}"/>
    <cellStyle name="Input 3 9 10" xfId="10415" xr:uid="{28D1A491-AE0F-4A95-B282-20B6CE097F78}"/>
    <cellStyle name="Input 3 9 10 2" xfId="29938" xr:uid="{C35CFA30-8232-4323-9BA1-71C9CE6B45A9}"/>
    <cellStyle name="Input 3 9 10 3" xfId="29939" xr:uid="{44AD17A7-1589-4B34-89DE-277FFC9EAC20}"/>
    <cellStyle name="Input 3 9 11" xfId="10416" xr:uid="{0F882BFE-605B-4C77-9ECD-0B39D5912C13}"/>
    <cellStyle name="Input 3 9 11 2" xfId="29940" xr:uid="{12679F38-F86A-4011-91EF-3BCAE3DB1FAA}"/>
    <cellStyle name="Input 3 9 12" xfId="29941" xr:uid="{7CEC6C04-0533-4B0A-9DCE-7CAE113F3140}"/>
    <cellStyle name="Input 3 9 2" xfId="10417" xr:uid="{17646467-D389-432B-94DA-E37C1B788B01}"/>
    <cellStyle name="Input 3 9 2 10" xfId="10418" xr:uid="{FBFE87E7-73E8-49B1-B7DD-EF9529E4E279}"/>
    <cellStyle name="Input 3 9 2 10 2" xfId="29942" xr:uid="{18D6648A-3658-40BE-A914-8D0C544EE2B4}"/>
    <cellStyle name="Input 3 9 2 11" xfId="29943" xr:uid="{F7BEC4FB-32D3-44F7-9AEF-3F76EE4C59C5}"/>
    <cellStyle name="Input 3 9 2 2" xfId="10419" xr:uid="{EFD1BA1F-84E1-49B9-9C83-2A9A2B2DF5C4}"/>
    <cellStyle name="Input 3 9 2 2 2" xfId="10420" xr:uid="{0A2C3015-4A7A-4365-B799-1C780F43B261}"/>
    <cellStyle name="Input 3 9 2 2 3" xfId="10421" xr:uid="{5E1E45D2-1D2B-4243-A31E-6D529E7A4811}"/>
    <cellStyle name="Input 3 9 2 2 4" xfId="10422" xr:uid="{36852E68-939A-4B2E-B28C-2741E5C72237}"/>
    <cellStyle name="Input 3 9 2 3" xfId="10423" xr:uid="{CD959265-947A-49D2-8F83-F786E8357ED8}"/>
    <cellStyle name="Input 3 9 2 3 2" xfId="10424" xr:uid="{5B7C0924-80F6-4664-A7B9-D54C922D4022}"/>
    <cellStyle name="Input 3 9 2 3 3" xfId="29944" xr:uid="{630D18B7-186B-469A-A315-5673BC5A395C}"/>
    <cellStyle name="Input 3 9 2 4" xfId="10425" xr:uid="{5C164A83-FAF5-42BD-A5D0-B71BD8D75DAC}"/>
    <cellStyle name="Input 3 9 2 4 2" xfId="10426" xr:uid="{ACCD4D95-5E17-4612-8517-ADDFEFA42579}"/>
    <cellStyle name="Input 3 9 2 4 3" xfId="29945" xr:uid="{1709A7F6-C300-4631-911A-433A33FE62F6}"/>
    <cellStyle name="Input 3 9 2 5" xfId="10427" xr:uid="{1BA22C9C-C9D7-4482-BFAF-0B76F092DD6E}"/>
    <cellStyle name="Input 3 9 2 5 2" xfId="10428" xr:uid="{36CC1148-1EDE-490A-9F8D-DD22854815B9}"/>
    <cellStyle name="Input 3 9 2 5 3" xfId="29946" xr:uid="{5A86E31B-D1DF-49B9-8560-A7C755C2BDA2}"/>
    <cellStyle name="Input 3 9 2 6" xfId="10429" xr:uid="{CAA0A2D8-2FF0-4C85-9E4D-ED07CBFF45F0}"/>
    <cellStyle name="Input 3 9 2 6 2" xfId="10430" xr:uid="{43EB9F15-456E-4DAC-A457-00142650D763}"/>
    <cellStyle name="Input 3 9 2 6 3" xfId="29947" xr:uid="{0DAD861B-BF33-4762-8EB2-0A6CF7B2A775}"/>
    <cellStyle name="Input 3 9 2 7" xfId="10431" xr:uid="{44FA095B-CB30-4A13-B836-0BACE5A772D3}"/>
    <cellStyle name="Input 3 9 2 7 2" xfId="10432" xr:uid="{0E328DA1-F3CC-43CD-914C-1FDC2480EE17}"/>
    <cellStyle name="Input 3 9 2 7 3" xfId="29948" xr:uid="{695BB057-BFC0-4824-BD15-D7093E99747A}"/>
    <cellStyle name="Input 3 9 2 8" xfId="10433" xr:uid="{00E0A17F-3284-4180-8E8C-C9C821E1308F}"/>
    <cellStyle name="Input 3 9 2 8 2" xfId="10434" xr:uid="{47DB8A68-A765-4579-AF26-10121F2BDE3F}"/>
    <cellStyle name="Input 3 9 2 8 3" xfId="29949" xr:uid="{9C38212F-4188-430C-9E91-99CA77860618}"/>
    <cellStyle name="Input 3 9 2 9" xfId="10435" xr:uid="{B59EB4EC-A71F-41E2-8212-C281FDBCC4B6}"/>
    <cellStyle name="Input 3 9 2 9 2" xfId="29950" xr:uid="{406E7B56-8C58-4558-8A78-E6BE99D58C18}"/>
    <cellStyle name="Input 3 9 2 9 3" xfId="29951" xr:uid="{79BBD10E-ECAE-4F5F-90D8-4B00522114CB}"/>
    <cellStyle name="Input 3 9 3" xfId="10436" xr:uid="{FC440931-E6FB-411D-9C3A-0DBB4CD65098}"/>
    <cellStyle name="Input 3 9 3 2" xfId="10437" xr:uid="{E507925D-CB0E-404B-9764-7C5E96B2010B}"/>
    <cellStyle name="Input 3 9 3 3" xfId="10438" xr:uid="{48CD8B4E-63C6-4AAC-87C5-671A37EDA8D2}"/>
    <cellStyle name="Input 3 9 3 4" xfId="10439" xr:uid="{AA9DB661-C1DF-49DB-B602-0A092B08A90C}"/>
    <cellStyle name="Input 3 9 4" xfId="10440" xr:uid="{8A445AF4-E5CE-4EDD-AE6E-9ADE46453326}"/>
    <cellStyle name="Input 3 9 4 2" xfId="10441" xr:uid="{4F2F42B7-3F84-47BD-B83D-919BD00A90A6}"/>
    <cellStyle name="Input 3 9 4 3" xfId="29952" xr:uid="{188F7E4E-6A5B-4307-87C7-8ED1ADE82CCA}"/>
    <cellStyle name="Input 3 9 5" xfId="10442" xr:uid="{580E4152-15DC-4C03-8467-EC2874C60277}"/>
    <cellStyle name="Input 3 9 5 2" xfId="10443" xr:uid="{E1779D32-E820-42A3-A330-A3743A0F6ABD}"/>
    <cellStyle name="Input 3 9 5 3" xfId="29953" xr:uid="{4C5ACF1E-1D19-48C1-9D47-CB969444D262}"/>
    <cellStyle name="Input 3 9 6" xfId="10444" xr:uid="{19E72EAC-D5A2-44D5-B155-522C5BD8869B}"/>
    <cellStyle name="Input 3 9 6 2" xfId="10445" xr:uid="{AC5135F0-DDA8-4A1A-BF00-85EEFD964945}"/>
    <cellStyle name="Input 3 9 6 3" xfId="29954" xr:uid="{775B99FA-7021-448B-B7BE-EDBF6301B9DA}"/>
    <cellStyle name="Input 3 9 7" xfId="10446" xr:uid="{36CF9E8D-D249-491C-8005-970C3DA907B2}"/>
    <cellStyle name="Input 3 9 7 2" xfId="10447" xr:uid="{D179B3E8-194A-43BD-9E3C-85B7AE9E6B36}"/>
    <cellStyle name="Input 3 9 7 3" xfId="29955" xr:uid="{9056B776-AAC1-48FA-B644-C1BF65A9D030}"/>
    <cellStyle name="Input 3 9 8" xfId="10448" xr:uid="{D31E9C3A-B35D-434A-9B22-13163F915839}"/>
    <cellStyle name="Input 3 9 8 2" xfId="10449" xr:uid="{9B99E4B6-2878-4D14-844C-D517B834FFE4}"/>
    <cellStyle name="Input 3 9 8 3" xfId="29956" xr:uid="{6071854E-F8D8-426E-82B5-8FD3FE1EAB5C}"/>
    <cellStyle name="Input 3 9 9" xfId="10450" xr:uid="{CE22E34D-FF86-4155-8912-0C57A5FB7E3F}"/>
    <cellStyle name="Input 3 9 9 2" xfId="10451" xr:uid="{BDE1D0C2-94BC-48C3-A83E-6FE79318BB74}"/>
    <cellStyle name="Input 3 9 9 3" xfId="29957" xr:uid="{503CD717-E8C6-4441-AA74-9D41666A045E}"/>
    <cellStyle name="Input 30 2" xfId="29958" xr:uid="{7B36AA09-BB4B-4712-91C0-933C69739434}"/>
    <cellStyle name="Input 30 2 2" xfId="29959" xr:uid="{13BB8352-9147-4E61-A9DD-55EA2FC01B3A}"/>
    <cellStyle name="Input 30 2 3" xfId="42794" xr:uid="{338BE4D6-31FE-47DF-BF1C-0ABF17B17FA5}"/>
    <cellStyle name="Input 30 2 4" xfId="42297" xr:uid="{DA1FEFC3-CDF0-444C-805A-F30093D9D6D7}"/>
    <cellStyle name="Input 30 2 5" xfId="43896" xr:uid="{362748D3-F83B-4617-90EE-C383377DEE2D}"/>
    <cellStyle name="Input 31 2" xfId="29960" xr:uid="{C9B37A42-FDE0-4495-A2EE-58989695BC69}"/>
    <cellStyle name="Input 31 2 2" xfId="29961" xr:uid="{3559FB8B-6419-46DB-9209-31208BAC4FB1}"/>
    <cellStyle name="Input 31 2 3" xfId="42795" xr:uid="{96F0670E-C038-43B1-889C-5F1BD6A202F9}"/>
    <cellStyle name="Input 31 2 4" xfId="42296" xr:uid="{D2075DDD-D8CD-4CBC-BBCA-5C40E5D64DC0}"/>
    <cellStyle name="Input 31 2 5" xfId="43897" xr:uid="{C3739656-2077-474B-92DA-23F9D56A52DE}"/>
    <cellStyle name="Input 32 2" xfId="29962" xr:uid="{1F3CD0F7-3ACD-4E22-9B8E-9749E71E8AD3}"/>
    <cellStyle name="Input 32 2 2" xfId="29963" xr:uid="{C28953A8-3DBA-4A1E-87F5-C658BA7F108B}"/>
    <cellStyle name="Input 32 2 3" xfId="42796" xr:uid="{0F51F335-6B60-4AEB-BF38-F4939F924EFC}"/>
    <cellStyle name="Input 32 2 4" xfId="42295" xr:uid="{CB142692-7D62-459A-84B5-A17FF8C7C48C}"/>
    <cellStyle name="Input 32 2 5" xfId="43898" xr:uid="{7A6B8033-473B-4EB2-AC1B-C99B43437EB2}"/>
    <cellStyle name="Input 33 2" xfId="29964" xr:uid="{4FA30CC6-2A02-4D42-B962-8BA4B7816AE4}"/>
    <cellStyle name="Input 33 2 2" xfId="29965" xr:uid="{7AB55A4A-0E26-452B-A1BC-2DFF694B0E88}"/>
    <cellStyle name="Input 33 2 3" xfId="42797" xr:uid="{4276EDBF-1808-4184-AFF9-882E06BD6B4C}"/>
    <cellStyle name="Input 33 2 4" xfId="42294" xr:uid="{539E927C-42F3-4B42-AFE4-B9F1630DDEBB}"/>
    <cellStyle name="Input 33 2 5" xfId="43899" xr:uid="{C87DA2E3-05B6-4A23-A489-C91E79FE7E09}"/>
    <cellStyle name="Input 34" xfId="29966" xr:uid="{424FFD60-81D9-4690-A544-922B9DBD9B9C}"/>
    <cellStyle name="Input 34 2" xfId="29967" xr:uid="{74947E7D-A17B-4E8F-A4D2-B30A246542D0}"/>
    <cellStyle name="Input 34 2 2" xfId="29968" xr:uid="{2B39083F-D84F-47A5-9DAB-19B037890857}"/>
    <cellStyle name="Input 34 2 3" xfId="42799" xr:uid="{741DEDC9-9881-4E69-96D7-9567A1F0F73C}"/>
    <cellStyle name="Input 34 2 4" xfId="42292" xr:uid="{5439E37E-FB1D-4DDA-81F9-490B4967C4E4}"/>
    <cellStyle name="Input 34 2 5" xfId="43901" xr:uid="{EDB1A392-9D19-45FB-B989-0E507ECF6C96}"/>
    <cellStyle name="Input 34 3" xfId="29969" xr:uid="{7DC81058-17E4-4E72-AC9A-2BDBA065BD32}"/>
    <cellStyle name="Input 34 4" xfId="42798" xr:uid="{C362F762-F08D-4A9D-8BD0-9D243973D27A}"/>
    <cellStyle name="Input 34 5" xfId="42293" xr:uid="{234975DC-8DEF-4D28-8AB8-83C1902D5DC5}"/>
    <cellStyle name="Input 34 6" xfId="43900" xr:uid="{21F2639E-2674-4C89-B640-1B75FEC38009}"/>
    <cellStyle name="Input 34_ELC_final" xfId="29970" xr:uid="{49F3ACBA-44CA-40BB-A007-B52335AB5395}"/>
    <cellStyle name="Input 35" xfId="29971" xr:uid="{23687C5A-033A-4AC2-BD12-8C34F5CFA33F}"/>
    <cellStyle name="Input 35 2" xfId="29972" xr:uid="{03C1B7A7-0264-45D1-A1BE-3C944198CFFE}"/>
    <cellStyle name="Input 35 3" xfId="42800" xr:uid="{005CD940-EC07-499B-8476-374EDA6ACA22}"/>
    <cellStyle name="Input 35 4" xfId="42291" xr:uid="{BC33418D-8F38-43E3-B722-62F68BD6FF08}"/>
    <cellStyle name="Input 35 5" xfId="43902" xr:uid="{B073F9AA-9C03-4C96-B484-53B3E704F3D0}"/>
    <cellStyle name="Input 36" xfId="29973" xr:uid="{C1934338-73D1-4037-9E97-FA7B3779DAB7}"/>
    <cellStyle name="Input 36 2" xfId="29974" xr:uid="{37257C14-FF64-499C-88E0-06B31AF18722}"/>
    <cellStyle name="Input 36 3" xfId="42801" xr:uid="{6F650B06-41B9-4770-9EA6-6D1F3E9C2958}"/>
    <cellStyle name="Input 36 4" xfId="42290" xr:uid="{A9809F0D-B8F1-4779-87FD-490A421EE4C7}"/>
    <cellStyle name="Input 36 5" xfId="43903" xr:uid="{3D9A6779-C469-475B-B4D3-4572FCA7004E}"/>
    <cellStyle name="Input 37" xfId="29975" xr:uid="{814231E8-8051-4349-A89F-C82FA38BC458}"/>
    <cellStyle name="Input 37 2" xfId="29976" xr:uid="{0156461A-6FDC-463F-9719-E9F372E88035}"/>
    <cellStyle name="Input 37 3" xfId="42802" xr:uid="{7E078A1C-B7D9-4F5D-BF81-ACEE21E618F3}"/>
    <cellStyle name="Input 37 4" xfId="42289" xr:uid="{D2B4B27A-819D-4F10-BCFC-38317219762F}"/>
    <cellStyle name="Input 37 5" xfId="43904" xr:uid="{0193E40C-6ECB-4E52-9581-8BE5E772D640}"/>
    <cellStyle name="Input 38" xfId="29977" xr:uid="{D82C85B1-426D-4324-89B5-04DC81DC1541}"/>
    <cellStyle name="Input 38 2" xfId="29978" xr:uid="{242CC10B-BC83-4B90-B27E-37D20C942EAE}"/>
    <cellStyle name="Input 38 3" xfId="42803" xr:uid="{B7C68C7A-5D02-4F7D-B429-448DE0619D0C}"/>
    <cellStyle name="Input 38 4" xfId="42288" xr:uid="{F6E717F3-B957-42E6-9658-B330CCFACCF5}"/>
    <cellStyle name="Input 38 5" xfId="43905" xr:uid="{A15DB401-3614-4824-A29C-AFE6354BDAA7}"/>
    <cellStyle name="Input 39" xfId="29979" xr:uid="{FB545370-0E87-47CE-8908-B822B5E325A4}"/>
    <cellStyle name="Input 39 2" xfId="29980" xr:uid="{98C3C717-0082-4D9A-ABD2-04064E4DCA96}"/>
    <cellStyle name="Input 39 3" xfId="42804" xr:uid="{C1612A13-5001-4BEC-BED8-A63CAA7CDD9C}"/>
    <cellStyle name="Input 39 4" xfId="42287" xr:uid="{5C0BBB4B-9F82-4E5B-807A-2F55C55EEECB}"/>
    <cellStyle name="Input 39 5" xfId="43906" xr:uid="{1042A655-6EAD-432C-BB6F-6879C2A6781C}"/>
    <cellStyle name="Input 4" xfId="10452" xr:uid="{CDEF9B43-8346-41CE-BA76-F900AAAAD76C}"/>
    <cellStyle name="Input 4 10" xfId="10453" xr:uid="{F8EA3810-43DF-4978-B15D-091EB86EC952}"/>
    <cellStyle name="Input 4 10 10" xfId="10454" xr:uid="{8FAFEC41-5E86-486C-8637-68FD3E074204}"/>
    <cellStyle name="Input 4 10 10 2" xfId="29981" xr:uid="{845C1443-65B0-43A0-B5CD-04A9E31870C9}"/>
    <cellStyle name="Input 4 10 10 3" xfId="29982" xr:uid="{DCE57464-42AD-4C0E-A07F-EF6A72A102E1}"/>
    <cellStyle name="Input 4 10 11" xfId="10455" xr:uid="{D4ACC816-B057-469C-9181-D3614D12BB25}"/>
    <cellStyle name="Input 4 10 11 2" xfId="29983" xr:uid="{ED66718A-AABC-461C-BD31-E338939257AA}"/>
    <cellStyle name="Input 4 10 12" xfId="29984" xr:uid="{81D9C59A-7643-4183-AE0A-5DAB71A77CFB}"/>
    <cellStyle name="Input 4 10 2" xfId="10456" xr:uid="{855960F6-1835-4276-B1B0-894D2E8562B6}"/>
    <cellStyle name="Input 4 10 2 10" xfId="10457" xr:uid="{D05821BE-78A0-454F-8D02-F2362B52FBFF}"/>
    <cellStyle name="Input 4 10 2 10 2" xfId="29985" xr:uid="{17D2791D-B929-4DBA-8E82-01D5DA3F5145}"/>
    <cellStyle name="Input 4 10 2 11" xfId="29986" xr:uid="{B1C01B0F-BBE4-4BBC-A11E-5A570332B724}"/>
    <cellStyle name="Input 4 10 2 2" xfId="10458" xr:uid="{F158DF07-B1F6-4281-B680-3F1F8C2DA3D7}"/>
    <cellStyle name="Input 4 10 2 2 2" xfId="10459" xr:uid="{264A5C64-F8B4-4BBF-A206-3CA6D4B5C993}"/>
    <cellStyle name="Input 4 10 2 2 3" xfId="10460" xr:uid="{7D17196F-A954-4418-AA15-F7BE82583366}"/>
    <cellStyle name="Input 4 10 2 2 4" xfId="10461" xr:uid="{C3D8605E-89F5-406D-A0BD-274E5FA41FB3}"/>
    <cellStyle name="Input 4 10 2 3" xfId="10462" xr:uid="{82E91B37-83DD-4268-B0E0-3FB573CF1720}"/>
    <cellStyle name="Input 4 10 2 3 2" xfId="10463" xr:uid="{F79CF925-D8B1-406C-8653-0C2B50EE3FBE}"/>
    <cellStyle name="Input 4 10 2 3 3" xfId="29987" xr:uid="{29ED3270-0FBA-4A39-802C-E898E3DC0AD3}"/>
    <cellStyle name="Input 4 10 2 4" xfId="10464" xr:uid="{425C9796-5C82-464B-B4B8-09A736930E6C}"/>
    <cellStyle name="Input 4 10 2 4 2" xfId="10465" xr:uid="{AB05FC11-9C3A-4ABD-A42A-AC2FCD96A90D}"/>
    <cellStyle name="Input 4 10 2 4 3" xfId="29988" xr:uid="{13A0FB9E-8CA9-4098-A5FF-FEF9A56ED55F}"/>
    <cellStyle name="Input 4 10 2 5" xfId="10466" xr:uid="{92A39904-D8ED-40E7-BC5D-6C6C876EA40C}"/>
    <cellStyle name="Input 4 10 2 5 2" xfId="10467" xr:uid="{4D113EE2-9D01-4FEA-ABEA-4D09A2487039}"/>
    <cellStyle name="Input 4 10 2 5 3" xfId="29989" xr:uid="{926E955C-3657-409E-9C26-6C3C06382135}"/>
    <cellStyle name="Input 4 10 2 6" xfId="10468" xr:uid="{52CC0718-83BF-476D-929A-A8D4665B5EFE}"/>
    <cellStyle name="Input 4 10 2 6 2" xfId="10469" xr:uid="{A448080A-CA39-4EE7-8DE1-D72051D78EC2}"/>
    <cellStyle name="Input 4 10 2 6 3" xfId="29990" xr:uid="{23DEBB75-4BD4-44D3-BC04-B7CA9019D7B1}"/>
    <cellStyle name="Input 4 10 2 7" xfId="10470" xr:uid="{A881E6D8-DD58-4B3C-819F-8FF8726C5BC7}"/>
    <cellStyle name="Input 4 10 2 7 2" xfId="10471" xr:uid="{80EF134B-762B-487A-BFDA-036AF6B95BC4}"/>
    <cellStyle name="Input 4 10 2 7 3" xfId="29991" xr:uid="{FF01CDDA-0BB8-42F5-AB05-D5E3D1F099BE}"/>
    <cellStyle name="Input 4 10 2 8" xfId="10472" xr:uid="{2508E45C-FD7F-42D5-98C5-37DDC466F716}"/>
    <cellStyle name="Input 4 10 2 8 2" xfId="10473" xr:uid="{B066345F-9B35-41CC-8C0D-D17B61D422A8}"/>
    <cellStyle name="Input 4 10 2 8 3" xfId="29992" xr:uid="{9B0BCF0A-CEAD-4278-9B52-47707166D77B}"/>
    <cellStyle name="Input 4 10 2 9" xfId="10474" xr:uid="{6A9AF11E-2333-446E-8F98-7B278F0BBEDA}"/>
    <cellStyle name="Input 4 10 2 9 2" xfId="29993" xr:uid="{2FDA978F-0215-4814-9B2A-E30E62348D73}"/>
    <cellStyle name="Input 4 10 2 9 3" xfId="29994" xr:uid="{ACD053BB-1ABD-4912-858C-3196BAA7E858}"/>
    <cellStyle name="Input 4 10 3" xfId="10475" xr:uid="{96081705-945D-4AD3-AA17-1EF14EEC41FB}"/>
    <cellStyle name="Input 4 10 3 2" xfId="10476" xr:uid="{D9975E1A-CCEA-4C83-9F48-77FD01FC0991}"/>
    <cellStyle name="Input 4 10 3 3" xfId="10477" xr:uid="{5154E346-5572-4BD2-8F9E-3314811395E5}"/>
    <cellStyle name="Input 4 10 3 4" xfId="10478" xr:uid="{FDDE4867-BB5C-4D6E-9376-8E1196A9BAA5}"/>
    <cellStyle name="Input 4 10 4" xfId="10479" xr:uid="{911CEA79-79F0-487C-9275-C65F38FF072E}"/>
    <cellStyle name="Input 4 10 4 2" xfId="10480" xr:uid="{E56F0DB7-4951-4466-AB8F-1609DF1151A6}"/>
    <cellStyle name="Input 4 10 4 3" xfId="29995" xr:uid="{963F5895-585B-4ED4-83FF-1587736229A2}"/>
    <cellStyle name="Input 4 10 5" xfId="10481" xr:uid="{7EFB6022-7133-47AB-8237-2DED68613D07}"/>
    <cellStyle name="Input 4 10 5 2" xfId="10482" xr:uid="{28B3FC4B-5557-4CBD-AFEF-36936495DB7A}"/>
    <cellStyle name="Input 4 10 5 3" xfId="29996" xr:uid="{6581D5E6-B967-482C-A0E6-28AC5FED1068}"/>
    <cellStyle name="Input 4 10 6" xfId="10483" xr:uid="{8FB6E2F9-13D4-4669-B8E4-AF4E5345FC27}"/>
    <cellStyle name="Input 4 10 6 2" xfId="10484" xr:uid="{D06AE991-9134-41DD-8BC3-593193E31520}"/>
    <cellStyle name="Input 4 10 6 3" xfId="29997" xr:uid="{7D0933AB-3DEE-4D8A-9342-0C65293F6E70}"/>
    <cellStyle name="Input 4 10 7" xfId="10485" xr:uid="{938225F4-0D0C-4EC2-98BC-6216465B05E7}"/>
    <cellStyle name="Input 4 10 7 2" xfId="10486" xr:uid="{0A98B4D7-655D-4899-AA4B-AC41BB7F7D63}"/>
    <cellStyle name="Input 4 10 7 3" xfId="29998" xr:uid="{FDA43258-F168-467A-9815-2B339F5C8375}"/>
    <cellStyle name="Input 4 10 8" xfId="10487" xr:uid="{8AC69089-1A66-438F-B29E-4E6FD9AF5F9B}"/>
    <cellStyle name="Input 4 10 8 2" xfId="10488" xr:uid="{8F8223ED-6756-4F02-BA9E-48E017FA7B7D}"/>
    <cellStyle name="Input 4 10 8 3" xfId="29999" xr:uid="{F6FC3446-8AF8-400A-8252-7A08CD1D2A97}"/>
    <cellStyle name="Input 4 10 9" xfId="10489" xr:uid="{8E1E219A-B30E-479D-BC3A-FC1280D4F61E}"/>
    <cellStyle name="Input 4 10 9 2" xfId="10490" xr:uid="{CD01C6DA-9797-4247-8581-7E335D175A4E}"/>
    <cellStyle name="Input 4 10 9 3" xfId="30000" xr:uid="{4AE4BBF3-FA9D-4859-9C85-30C745B6B6E8}"/>
    <cellStyle name="Input 4 11" xfId="10491" xr:uid="{3746A649-390B-44B2-8142-3DCBA5E3FFB8}"/>
    <cellStyle name="Input 4 11 10" xfId="10492" xr:uid="{6127B0D8-F936-46EF-BC29-1F0487009161}"/>
    <cellStyle name="Input 4 11 10 2" xfId="30001" xr:uid="{4F0E21BC-FE48-458C-8043-A7B247556D16}"/>
    <cellStyle name="Input 4 11 10 3" xfId="30002" xr:uid="{9C975682-30A7-4637-80CF-610CE0170291}"/>
    <cellStyle name="Input 4 11 11" xfId="10493" xr:uid="{5A2A6F49-2501-4289-9C16-67953A83498B}"/>
    <cellStyle name="Input 4 11 11 2" xfId="30003" xr:uid="{5BB114EB-E577-4A6D-8A95-C1269544CE6A}"/>
    <cellStyle name="Input 4 11 12" xfId="30004" xr:uid="{7BD6DA26-F6CD-476E-A97D-63034070453C}"/>
    <cellStyle name="Input 4 11 2" xfId="10494" xr:uid="{FED991F3-24B2-4D78-B37D-6486139B0726}"/>
    <cellStyle name="Input 4 11 2 10" xfId="10495" xr:uid="{B0E741D2-8E49-43B1-89E2-76C56216781A}"/>
    <cellStyle name="Input 4 11 2 10 2" xfId="30005" xr:uid="{A524117C-2305-4B5D-9D25-7842000AC778}"/>
    <cellStyle name="Input 4 11 2 11" xfId="30006" xr:uid="{0651AD8D-9243-4E15-8729-F82EEEE0E12B}"/>
    <cellStyle name="Input 4 11 2 2" xfId="10496" xr:uid="{4FD6EE37-DB9B-4669-9AA8-A61CDCCA6CCA}"/>
    <cellStyle name="Input 4 11 2 2 2" xfId="10497" xr:uid="{55D35FF6-B765-4EF7-9230-EB030AF8BE39}"/>
    <cellStyle name="Input 4 11 2 2 3" xfId="10498" xr:uid="{DC4F11F0-68A9-4044-BF75-AA0BE339A8D6}"/>
    <cellStyle name="Input 4 11 2 2 4" xfId="10499" xr:uid="{432598F4-2942-4CA3-8882-DCFAC0EFB7B6}"/>
    <cellStyle name="Input 4 11 2 3" xfId="10500" xr:uid="{F6AFCEBC-1FD9-46DF-82CA-8FE47E8F0189}"/>
    <cellStyle name="Input 4 11 2 3 2" xfId="10501" xr:uid="{044DED5E-1202-4FE3-8497-91470997F779}"/>
    <cellStyle name="Input 4 11 2 3 3" xfId="30007" xr:uid="{5169C728-35B7-4FD0-8F66-C40E9C6EE0AB}"/>
    <cellStyle name="Input 4 11 2 4" xfId="10502" xr:uid="{C3F345CE-6C29-48F2-9EDC-F6760BC53C6A}"/>
    <cellStyle name="Input 4 11 2 4 2" xfId="10503" xr:uid="{3EBD2AAE-F43E-49E3-A874-B984A5F7A9F9}"/>
    <cellStyle name="Input 4 11 2 4 3" xfId="30008" xr:uid="{04577958-D1F1-449D-AEE2-26BA86BADC68}"/>
    <cellStyle name="Input 4 11 2 5" xfId="10504" xr:uid="{216BBEC2-FC72-448A-9676-65874F8FF077}"/>
    <cellStyle name="Input 4 11 2 5 2" xfId="10505" xr:uid="{54C31959-A935-4C36-BBE6-2CB4D03FB7A2}"/>
    <cellStyle name="Input 4 11 2 5 3" xfId="30009" xr:uid="{5F6A0407-4A57-4DB2-B2C4-3785E8E11367}"/>
    <cellStyle name="Input 4 11 2 6" xfId="10506" xr:uid="{5005AF28-3A06-4108-8591-8D2305815AA6}"/>
    <cellStyle name="Input 4 11 2 6 2" xfId="10507" xr:uid="{54200982-C62E-4F32-9B7B-D77015E4BF60}"/>
    <cellStyle name="Input 4 11 2 6 3" xfId="30010" xr:uid="{99790E9D-3AAD-4EAE-9249-F75D71D0CA9C}"/>
    <cellStyle name="Input 4 11 2 7" xfId="10508" xr:uid="{2D1B1F57-BEEA-413B-87B2-E9A2D2A9FDFD}"/>
    <cellStyle name="Input 4 11 2 7 2" xfId="10509" xr:uid="{7842E041-14FC-4BE2-AA27-778263066C44}"/>
    <cellStyle name="Input 4 11 2 7 3" xfId="30011" xr:uid="{B821E4A1-1520-495E-8DAB-34D9CC537333}"/>
    <cellStyle name="Input 4 11 2 8" xfId="10510" xr:uid="{627871C1-E3CB-4F04-8612-39734D2C4E1D}"/>
    <cellStyle name="Input 4 11 2 8 2" xfId="10511" xr:uid="{9DABEA76-F49F-4653-995A-4D2703A13F3B}"/>
    <cellStyle name="Input 4 11 2 8 3" xfId="30012" xr:uid="{D5F19BB4-A2C8-4B4F-A484-2F628CC12AA3}"/>
    <cellStyle name="Input 4 11 2 9" xfId="10512" xr:uid="{CCA8DDFD-5F1E-4879-8F1E-463CB90D7687}"/>
    <cellStyle name="Input 4 11 2 9 2" xfId="30013" xr:uid="{E15A43D1-4599-4626-A40A-5A2D6B0888B4}"/>
    <cellStyle name="Input 4 11 2 9 3" xfId="30014" xr:uid="{F3B89AA8-0558-40A8-B588-FBA1B3B985C5}"/>
    <cellStyle name="Input 4 11 3" xfId="10513" xr:uid="{EBD78BA7-807F-4899-9BC6-C5A90876558D}"/>
    <cellStyle name="Input 4 11 3 2" xfId="10514" xr:uid="{7E630A9C-D90A-4A97-A476-8BC6F19883D0}"/>
    <cellStyle name="Input 4 11 3 3" xfId="10515" xr:uid="{E3EF5AB4-5EA7-4FA9-A359-472D00C25D48}"/>
    <cellStyle name="Input 4 11 3 4" xfId="10516" xr:uid="{9C8AF69D-7A17-4629-B4B1-208D7A0EF5B5}"/>
    <cellStyle name="Input 4 11 4" xfId="10517" xr:uid="{BB6E9308-FC51-41CD-938B-4BE4DE81969E}"/>
    <cellStyle name="Input 4 11 4 2" xfId="10518" xr:uid="{793F731A-1B1D-44E5-9E26-CC7ED3E17096}"/>
    <cellStyle name="Input 4 11 4 3" xfId="30015" xr:uid="{B20DB7ED-F969-4755-ABD7-95121CF8A657}"/>
    <cellStyle name="Input 4 11 5" xfId="10519" xr:uid="{16E1A0A7-C83D-4054-A8D1-3234A0A8063B}"/>
    <cellStyle name="Input 4 11 5 2" xfId="10520" xr:uid="{C3FCC833-2D00-447C-9F20-08A416C2829F}"/>
    <cellStyle name="Input 4 11 5 3" xfId="30016" xr:uid="{24D14F5C-B43D-4EC1-B296-C2F625053A2E}"/>
    <cellStyle name="Input 4 11 6" xfId="10521" xr:uid="{FB6757A4-78DC-45E7-BE32-4298CE916D21}"/>
    <cellStyle name="Input 4 11 6 2" xfId="10522" xr:uid="{7B012A02-EA70-4124-A915-F257A5476703}"/>
    <cellStyle name="Input 4 11 6 3" xfId="30017" xr:uid="{8D65CDEF-DB53-4C29-AB60-4F8B8696EF54}"/>
    <cellStyle name="Input 4 11 7" xfId="10523" xr:uid="{3F2391E9-7B74-4226-A265-C07BAEE9ED8B}"/>
    <cellStyle name="Input 4 11 7 2" xfId="10524" xr:uid="{38379E6A-F682-49C9-99A0-BEAC46001896}"/>
    <cellStyle name="Input 4 11 7 3" xfId="30018" xr:uid="{C3E0B138-1C26-47B7-9982-98D293D79799}"/>
    <cellStyle name="Input 4 11 8" xfId="10525" xr:uid="{A0A65CAA-2A5F-4034-8673-0FB57C59C7EC}"/>
    <cellStyle name="Input 4 11 8 2" xfId="10526" xr:uid="{82DBB685-F45B-4C4A-B437-D171A6EB5FD9}"/>
    <cellStyle name="Input 4 11 8 3" xfId="30019" xr:uid="{4BDBB20D-FD19-49AE-9090-04A95A795880}"/>
    <cellStyle name="Input 4 11 9" xfId="10527" xr:uid="{579AF546-1EAF-45DC-8916-010085B9F049}"/>
    <cellStyle name="Input 4 11 9 2" xfId="10528" xr:uid="{217594A0-F802-4229-BCDE-31F05F7C4059}"/>
    <cellStyle name="Input 4 11 9 3" xfId="30020" xr:uid="{1D098BE6-FEFD-422D-9A32-CEE772A0FF5D}"/>
    <cellStyle name="Input 4 12" xfId="10529" xr:uid="{E7F1B630-0663-4543-A3B3-6C6B7D8332A5}"/>
    <cellStyle name="Input 4 12 10" xfId="10530" xr:uid="{C5EC311E-3A36-45FD-82E3-9325F51325FD}"/>
    <cellStyle name="Input 4 12 10 2" xfId="30021" xr:uid="{F1DA650E-0B23-499F-B994-BC57D1CFC7D8}"/>
    <cellStyle name="Input 4 12 11" xfId="30022" xr:uid="{4115C90F-3D97-4460-8DCC-994107B684A8}"/>
    <cellStyle name="Input 4 12 2" xfId="10531" xr:uid="{5FB89B7A-2DD9-4A24-ABBC-38E5E9643FF9}"/>
    <cellStyle name="Input 4 12 2 2" xfId="10532" xr:uid="{77E9A3C3-85EC-40CD-9B99-16AB4006D748}"/>
    <cellStyle name="Input 4 12 2 3" xfId="10533" xr:uid="{9FCA7EE4-7622-434A-88B9-7F054D9AAD04}"/>
    <cellStyle name="Input 4 12 2 4" xfId="10534" xr:uid="{DAF0C80C-6E0E-4177-909A-4D948865032C}"/>
    <cellStyle name="Input 4 12 3" xfId="10535" xr:uid="{A5567443-ED3E-47F4-A038-F9CD1EE763F4}"/>
    <cellStyle name="Input 4 12 3 2" xfId="10536" xr:uid="{4830A75F-103D-4AF2-AFB9-9335D0BCB880}"/>
    <cellStyle name="Input 4 12 3 3" xfId="30023" xr:uid="{44E37472-D033-42CE-ACCB-8D0C164369AD}"/>
    <cellStyle name="Input 4 12 4" xfId="10537" xr:uid="{B0E6A6EF-7380-414B-AF8F-5C88799D0658}"/>
    <cellStyle name="Input 4 12 4 2" xfId="10538" xr:uid="{616ABC3E-807D-4BD9-89A6-7E3750612518}"/>
    <cellStyle name="Input 4 12 4 3" xfId="30024" xr:uid="{D526650B-F311-4914-B30E-E6D76030102D}"/>
    <cellStyle name="Input 4 12 5" xfId="10539" xr:uid="{B0EE5312-DD85-4118-A82B-86E1841D01AC}"/>
    <cellStyle name="Input 4 12 5 2" xfId="10540" xr:uid="{94D339F4-70AD-49B5-AEE2-B2342466A7BB}"/>
    <cellStyle name="Input 4 12 5 3" xfId="30025" xr:uid="{1DF848D4-F0BE-45B1-BB9E-AD78343630B7}"/>
    <cellStyle name="Input 4 12 6" xfId="10541" xr:uid="{9A9488C6-59B2-4B03-B87A-E7228EC1926F}"/>
    <cellStyle name="Input 4 12 6 2" xfId="10542" xr:uid="{CCA00323-BB97-46B0-8498-6259BA68B895}"/>
    <cellStyle name="Input 4 12 6 3" xfId="30026" xr:uid="{188E0020-F51D-4CA6-8902-36A00576C418}"/>
    <cellStyle name="Input 4 12 7" xfId="10543" xr:uid="{5B9F40FA-905A-4894-90D3-EF64A990536B}"/>
    <cellStyle name="Input 4 12 7 2" xfId="10544" xr:uid="{4B385B2C-2690-4544-9B40-60893894665D}"/>
    <cellStyle name="Input 4 12 7 3" xfId="30027" xr:uid="{C529034A-9886-4E5A-9FA8-6209D19A2E0E}"/>
    <cellStyle name="Input 4 12 8" xfId="10545" xr:uid="{64638555-BA43-498C-8431-76140923E3A1}"/>
    <cellStyle name="Input 4 12 8 2" xfId="10546" xr:uid="{078BD222-8BEC-4BB7-98FA-850DF03B19A2}"/>
    <cellStyle name="Input 4 12 8 3" xfId="30028" xr:uid="{06114C53-B286-4541-BB0A-22A4CAFE9E21}"/>
    <cellStyle name="Input 4 12 9" xfId="10547" xr:uid="{A446556B-66A0-4D53-8B08-D4B409D26A2B}"/>
    <cellStyle name="Input 4 12 9 2" xfId="30029" xr:uid="{83C0A984-9F83-4DF9-9139-B86926B49618}"/>
    <cellStyle name="Input 4 12 9 3" xfId="30030" xr:uid="{75FC6231-1A4B-4E27-95A2-41092F32CE2F}"/>
    <cellStyle name="Input 4 13" xfId="10548" xr:uid="{B9348D2E-66B4-47A5-96CB-275D69A79BF6}"/>
    <cellStyle name="Input 4 13 2" xfId="10549" xr:uid="{7873C269-CD62-4AA3-8D18-B76AC7AB939E}"/>
    <cellStyle name="Input 4 13 3" xfId="10550" xr:uid="{305782D1-8FFA-44F4-9CA8-9484817E655D}"/>
    <cellStyle name="Input 4 13 4" xfId="10551" xr:uid="{0ED27A63-F37B-4397-95D9-CFF42B7ECAF6}"/>
    <cellStyle name="Input 4 14" xfId="10552" xr:uid="{5C2E9AA3-17B1-4A13-A98A-3EE2ADDF0040}"/>
    <cellStyle name="Input 4 14 2" xfId="10553" xr:uid="{F271DF18-512D-4BCE-A7EB-04C05C0E22B9}"/>
    <cellStyle name="Input 4 14 3" xfId="30031" xr:uid="{FEE1A42E-0AA9-413A-B551-6E225C69F7A0}"/>
    <cellStyle name="Input 4 15" xfId="10554" xr:uid="{68B4E8F8-05E5-434F-93AE-1535B01EF202}"/>
    <cellStyle name="Input 4 15 2" xfId="10555" xr:uid="{152E4BA1-8961-4AB3-8915-E0D068F619BC}"/>
    <cellStyle name="Input 4 15 3" xfId="30032" xr:uid="{BB951FC0-3E09-4979-A594-81369E9174C3}"/>
    <cellStyle name="Input 4 16" xfId="10556" xr:uid="{8AAE07B2-1F86-44EC-A368-42BC6AB7A44E}"/>
    <cellStyle name="Input 4 16 2" xfId="10557" xr:uid="{583CB981-D2FD-457C-AF38-D61E9A8C9167}"/>
    <cellStyle name="Input 4 16 3" xfId="30033" xr:uid="{550734D0-D8ED-4A0B-A341-9951ED3BE6D3}"/>
    <cellStyle name="Input 4 17" xfId="10558" xr:uid="{31403931-48F8-4B99-83F2-96AC2D4A0D3E}"/>
    <cellStyle name="Input 4 17 2" xfId="10559" xr:uid="{0EB19CAC-B710-4F22-A547-873A9F9E6ED3}"/>
    <cellStyle name="Input 4 17 3" xfId="30034" xr:uid="{9EA63E26-D511-4319-B270-2AA93459DC22}"/>
    <cellStyle name="Input 4 18" xfId="10560" xr:uid="{773A533D-8817-4476-B090-0C48A6A8BE8D}"/>
    <cellStyle name="Input 4 18 2" xfId="10561" xr:uid="{9AEFC442-A118-4FA2-99C8-EBECFE886E54}"/>
    <cellStyle name="Input 4 18 3" xfId="30035" xr:uid="{3A2172D9-7841-4CA0-9615-9B503F619E18}"/>
    <cellStyle name="Input 4 19" xfId="10562" xr:uid="{FD138DA5-CC9E-46EB-A066-06A7D8F2226E}"/>
    <cellStyle name="Input 4 19 2" xfId="10563" xr:uid="{42CDFFDF-EE36-45A4-A8B0-2940776F9A3C}"/>
    <cellStyle name="Input 4 19 3" xfId="30036" xr:uid="{B9BCD076-06DA-413F-AD2E-4FCD9A2A3977}"/>
    <cellStyle name="Input 4 2" xfId="10564" xr:uid="{080BE9EB-C9B5-49A5-84E9-61CB937A6A40}"/>
    <cellStyle name="Input 4 2 10" xfId="10565" xr:uid="{0333DA44-67F6-4037-B5DA-682A69388303}"/>
    <cellStyle name="Input 4 2 10 2" xfId="30037" xr:uid="{A00DC043-5AC8-4EE0-A51B-D117F311DF9A}"/>
    <cellStyle name="Input 4 2 10 3" xfId="30038" xr:uid="{EF4B7E74-C1C7-4574-95FA-CF0F34F6DA74}"/>
    <cellStyle name="Input 4 2 11" xfId="10566" xr:uid="{32D915FE-0217-4185-BF3F-4DBD904BEA37}"/>
    <cellStyle name="Input 4 2 11 2" xfId="30039" xr:uid="{C12E6430-FE0A-4447-9768-169908A4E9B5}"/>
    <cellStyle name="Input 4 2 12" xfId="30040" xr:uid="{A585FB0F-0D94-4ADF-B22A-B6EE15CD180C}"/>
    <cellStyle name="Input 4 2 13" xfId="30041" xr:uid="{052D9475-7DE5-44D9-AE2E-3941EA887BA1}"/>
    <cellStyle name="Input 4 2 14" xfId="30042" xr:uid="{C494410F-B614-4AC3-97C3-5C8D168B7F0E}"/>
    <cellStyle name="Input 4 2 15" xfId="42806" xr:uid="{45695560-1AD6-4E64-ACE8-99333846DE2D}"/>
    <cellStyle name="Input 4 2 16" xfId="42285" xr:uid="{6C815B92-2848-449F-8E4C-2749403C8B95}"/>
    <cellStyle name="Input 4 2 17" xfId="43908" xr:uid="{8AFC1323-E5B9-4E12-B382-F79B81A24628}"/>
    <cellStyle name="Input 4 2 2" xfId="10567" xr:uid="{39006333-D373-47B0-9D80-AD3003C989D6}"/>
    <cellStyle name="Input 4 2 2 10" xfId="10568" xr:uid="{076FD12A-28A4-486F-9451-30D744AC72EA}"/>
    <cellStyle name="Input 4 2 2 10 2" xfId="30043" xr:uid="{AB428559-E546-484B-A0DF-DF5CBC809B38}"/>
    <cellStyle name="Input 4 2 2 11" xfId="30044" xr:uid="{88BE48AD-F0CA-4836-8300-6125E78819E2}"/>
    <cellStyle name="Input 4 2 2 2" xfId="10569" xr:uid="{453A0E75-0057-444A-8DB8-79E6944A1A08}"/>
    <cellStyle name="Input 4 2 2 2 2" xfId="10570" xr:uid="{12084B42-038C-440B-81D0-69DD55233AEC}"/>
    <cellStyle name="Input 4 2 2 2 3" xfId="10571" xr:uid="{A8F9B7E8-9F57-449F-BE9E-3791A6BECB02}"/>
    <cellStyle name="Input 4 2 2 2 4" xfId="10572" xr:uid="{39F8E02D-FD14-499B-852F-AD7EAEDD3F15}"/>
    <cellStyle name="Input 4 2 2 3" xfId="10573" xr:uid="{B002089C-60A4-41F0-9979-14E5AB185463}"/>
    <cellStyle name="Input 4 2 2 3 2" xfId="10574" xr:uid="{D67B5999-9170-4F70-B258-0099046E3DF6}"/>
    <cellStyle name="Input 4 2 2 3 3" xfId="30045" xr:uid="{99354723-E944-4DE8-B821-079C7060AAEB}"/>
    <cellStyle name="Input 4 2 2 4" xfId="10575" xr:uid="{BB93DF5B-88DD-44E5-A460-D96EB26CC6C3}"/>
    <cellStyle name="Input 4 2 2 4 2" xfId="10576" xr:uid="{63F1A922-AAD7-4FE8-A22C-9CB991642382}"/>
    <cellStyle name="Input 4 2 2 4 3" xfId="30046" xr:uid="{4AF85AC7-1ABF-4D87-A345-6B0B72FE4DE1}"/>
    <cellStyle name="Input 4 2 2 5" xfId="10577" xr:uid="{45351A4E-F0B6-42D8-9467-7CA4DD510939}"/>
    <cellStyle name="Input 4 2 2 5 2" xfId="10578" xr:uid="{8E02D899-8ABD-4EA2-8A5D-557284726F01}"/>
    <cellStyle name="Input 4 2 2 5 3" xfId="30047" xr:uid="{69A4A5FC-1D33-4A46-A4D8-956D0966427F}"/>
    <cellStyle name="Input 4 2 2 6" xfId="10579" xr:uid="{C3BDA8F1-FF03-4F17-ADF3-BCAD2DC435C4}"/>
    <cellStyle name="Input 4 2 2 6 2" xfId="10580" xr:uid="{DCE6F875-506E-4A08-86A2-7F0CA5D43231}"/>
    <cellStyle name="Input 4 2 2 6 3" xfId="30048" xr:uid="{B6EC5CAC-A5FF-4460-AEDF-3A0084E20C59}"/>
    <cellStyle name="Input 4 2 2 7" xfId="10581" xr:uid="{B18D9392-5179-43FD-8456-70B4DDC5DDCD}"/>
    <cellStyle name="Input 4 2 2 7 2" xfId="10582" xr:uid="{E79D22DD-2A7E-4C3B-AF38-701718C0B626}"/>
    <cellStyle name="Input 4 2 2 7 3" xfId="30049" xr:uid="{BB51CDDA-B3D1-4F0A-88FF-5D550467D342}"/>
    <cellStyle name="Input 4 2 2 8" xfId="10583" xr:uid="{A5A8BEA3-F269-4F3A-B91E-B225D6997FB4}"/>
    <cellStyle name="Input 4 2 2 8 2" xfId="10584" xr:uid="{59ED593E-7564-40A5-83BA-16A50239A490}"/>
    <cellStyle name="Input 4 2 2 8 3" xfId="30050" xr:uid="{AB2458E2-E90D-4BBF-A89B-CE606729ED99}"/>
    <cellStyle name="Input 4 2 2 9" xfId="10585" xr:uid="{629D6878-FC12-420E-8D79-BF10C1AC7BEC}"/>
    <cellStyle name="Input 4 2 2 9 2" xfId="30051" xr:uid="{26E4ED8C-D6E4-4BB4-8778-D60A6C21565B}"/>
    <cellStyle name="Input 4 2 2 9 3" xfId="30052" xr:uid="{6206F5DC-0AB0-4820-846D-D72A90689E2C}"/>
    <cellStyle name="Input 4 2 3" xfId="10586" xr:uid="{4C7EF509-498D-456A-9447-2336C523634D}"/>
    <cellStyle name="Input 4 2 3 2" xfId="10587" xr:uid="{2FFC1ADB-C2A3-4137-A825-918C21F61A93}"/>
    <cellStyle name="Input 4 2 3 3" xfId="10588" xr:uid="{AE8C6E9C-787B-4D67-A9C8-6716C40231CF}"/>
    <cellStyle name="Input 4 2 3 4" xfId="10589" xr:uid="{D406C5CD-28E4-40BB-995A-46564431DC87}"/>
    <cellStyle name="Input 4 2 4" xfId="10590" xr:uid="{E2B20B23-96BB-4F4C-8C5A-BB80A18A5D33}"/>
    <cellStyle name="Input 4 2 4 2" xfId="10591" xr:uid="{185B9324-C015-48E0-8A19-38F4F0479CAC}"/>
    <cellStyle name="Input 4 2 4 3" xfId="30053" xr:uid="{7B90A6E2-31AA-49E5-B296-2DA389AF76CE}"/>
    <cellStyle name="Input 4 2 5" xfId="10592" xr:uid="{15D1D18B-7250-48FE-8037-B68A8E992B1F}"/>
    <cellStyle name="Input 4 2 5 2" xfId="10593" xr:uid="{590B1345-4859-4D51-AA56-552659488BC3}"/>
    <cellStyle name="Input 4 2 5 3" xfId="30054" xr:uid="{55A4D7C0-5644-4606-99D2-345FFAEEBC4C}"/>
    <cellStyle name="Input 4 2 6" xfId="10594" xr:uid="{39C59F58-6D5B-478D-917B-ED81DA67DDB4}"/>
    <cellStyle name="Input 4 2 6 2" xfId="10595" xr:uid="{9B444B7C-5825-4756-95E0-DDA60761CA08}"/>
    <cellStyle name="Input 4 2 6 3" xfId="30055" xr:uid="{8DFCF28A-C638-4DAE-A762-C2869CFAE90F}"/>
    <cellStyle name="Input 4 2 7" xfId="10596" xr:uid="{7F3C1C7E-D7F0-434F-8297-0AFBD0AF585E}"/>
    <cellStyle name="Input 4 2 7 2" xfId="10597" xr:uid="{99D63EF5-CD1F-419C-BB1D-557463D11D83}"/>
    <cellStyle name="Input 4 2 7 3" xfId="30056" xr:uid="{B5623B63-E617-43F9-9579-48F4A2FD1729}"/>
    <cellStyle name="Input 4 2 8" xfId="10598" xr:uid="{0B00C41F-BF03-4D7F-A845-2CD41DC39AA7}"/>
    <cellStyle name="Input 4 2 8 2" xfId="10599" xr:uid="{0E900BD3-2781-4810-91FE-0157F8AE4248}"/>
    <cellStyle name="Input 4 2 8 3" xfId="30057" xr:uid="{5B2F5536-6D29-42F4-AF08-1522A66618D3}"/>
    <cellStyle name="Input 4 2 9" xfId="10600" xr:uid="{F1E2C20C-EC72-4251-A1CD-0DDB4C1C15B0}"/>
    <cellStyle name="Input 4 2 9 2" xfId="10601" xr:uid="{670D769E-28D0-4C22-BC46-EE7D560D98D1}"/>
    <cellStyle name="Input 4 2 9 3" xfId="30058" xr:uid="{B3548B1C-B24F-488E-9305-FD6D707624EB}"/>
    <cellStyle name="Input 4 20" xfId="10602" xr:uid="{F54F9422-E537-4EF5-B7FE-6E227580150D}"/>
    <cellStyle name="Input 4 20 2" xfId="30059" xr:uid="{10F6B6BC-B6C3-485E-9080-CDA8E7D6734F}"/>
    <cellStyle name="Input 4 20 3" xfId="30060" xr:uid="{D2858428-2719-4417-B912-6B1BBBE1E84E}"/>
    <cellStyle name="Input 4 21" xfId="10603" xr:uid="{C9C9B33A-77DB-47E7-8821-EBA5186BA7A0}"/>
    <cellStyle name="Input 4 21 2" xfId="30061" xr:uid="{1C1DC5A7-4FC9-416B-ABE9-9F93718FF110}"/>
    <cellStyle name="Input 4 22" xfId="30062" xr:uid="{D217934E-0763-4979-8B23-023DCFBAC260}"/>
    <cellStyle name="Input 4 23" xfId="30063" xr:uid="{73A40756-FC98-49C8-A7A8-611AC48D9C04}"/>
    <cellStyle name="Input 4 24" xfId="30064" xr:uid="{32A481ED-A13A-4525-B805-E92049E10DA6}"/>
    <cellStyle name="Input 4 25" xfId="42805" xr:uid="{B3E53EB6-28DB-4C3C-9213-72753A266E23}"/>
    <cellStyle name="Input 4 26" xfId="42286" xr:uid="{19E6A693-2434-4F1A-A7B2-1D29447D525D}"/>
    <cellStyle name="Input 4 27" xfId="43907" xr:uid="{5FCD2983-3C7F-41B8-9626-E49CADBACBC4}"/>
    <cellStyle name="Input 4 28" xfId="44305" xr:uid="{68B9933C-8006-45D9-96A6-DCDF5B4DF3D0}"/>
    <cellStyle name="Input 4 3" xfId="10604" xr:uid="{79C3749E-8554-404D-93E3-98C8DC7D682E}"/>
    <cellStyle name="Input 4 3 10" xfId="10605" xr:uid="{27206BB9-0E91-4E3A-921B-85E25DA4273C}"/>
    <cellStyle name="Input 4 3 10 2" xfId="30065" xr:uid="{E2ACA8DB-BF2D-45D2-A080-E7BA864C9AAA}"/>
    <cellStyle name="Input 4 3 10 3" xfId="30066" xr:uid="{EAC6382A-C6AF-4E11-AA82-15BB38529CD5}"/>
    <cellStyle name="Input 4 3 11" xfId="10606" xr:uid="{38E9FD7D-6438-4302-90DD-E2BD3445641F}"/>
    <cellStyle name="Input 4 3 11 2" xfId="30067" xr:uid="{EDE87350-46DC-444D-9D4C-66C5D6658EB9}"/>
    <cellStyle name="Input 4 3 12" xfId="30068" xr:uid="{7A1ED4F6-CD39-4369-992C-A87E6B872CA0}"/>
    <cellStyle name="Input 4 3 2" xfId="10607" xr:uid="{DE4DBC3D-D045-4895-8577-A612F27BDC02}"/>
    <cellStyle name="Input 4 3 2 10" xfId="10608" xr:uid="{6E7A9D32-1955-4AB7-8BA5-FA5459E1631C}"/>
    <cellStyle name="Input 4 3 2 10 2" xfId="30069" xr:uid="{DD5FE184-BE32-437F-B146-DA4A4BB03276}"/>
    <cellStyle name="Input 4 3 2 11" xfId="30070" xr:uid="{330E3A56-3C7E-4084-BA7E-701025E54836}"/>
    <cellStyle name="Input 4 3 2 2" xfId="10609" xr:uid="{4D20484C-5AC8-4F81-87ED-551EF02DE5F8}"/>
    <cellStyle name="Input 4 3 2 2 2" xfId="10610" xr:uid="{9C645409-261F-42D0-A614-41BDADA04A75}"/>
    <cellStyle name="Input 4 3 2 2 3" xfId="10611" xr:uid="{49AA34E5-3B1A-451B-900D-DA7CFB7496D2}"/>
    <cellStyle name="Input 4 3 2 2 4" xfId="10612" xr:uid="{87362DA2-F7B2-45A5-A2BD-4D74177BDFBC}"/>
    <cellStyle name="Input 4 3 2 3" xfId="10613" xr:uid="{CED1196C-D516-4E70-806E-F99A778E3A1D}"/>
    <cellStyle name="Input 4 3 2 3 2" xfId="10614" xr:uid="{DDB1346D-86A3-46DB-A85D-1BE23E5D4393}"/>
    <cellStyle name="Input 4 3 2 3 3" xfId="30071" xr:uid="{4358E272-F03A-4452-B0B1-0E52870D7A00}"/>
    <cellStyle name="Input 4 3 2 4" xfId="10615" xr:uid="{BD90C12E-E05C-4AA0-8F08-7C57C36200CA}"/>
    <cellStyle name="Input 4 3 2 4 2" xfId="10616" xr:uid="{F5EA7309-95A2-4249-883F-AE68202490E8}"/>
    <cellStyle name="Input 4 3 2 4 3" xfId="30072" xr:uid="{B26704BE-2BE8-403A-839A-906BE2DCD6D5}"/>
    <cellStyle name="Input 4 3 2 5" xfId="10617" xr:uid="{92BCD0AD-2818-4081-BC00-5706CEC49806}"/>
    <cellStyle name="Input 4 3 2 5 2" xfId="10618" xr:uid="{DF52B085-CAC2-4637-928C-72EC104079AF}"/>
    <cellStyle name="Input 4 3 2 5 3" xfId="30073" xr:uid="{FEA11D7D-A5D5-4BC0-A2A8-34B05CA5DED6}"/>
    <cellStyle name="Input 4 3 2 6" xfId="10619" xr:uid="{9FB70ADC-3BE1-4DFB-BEF9-9AB7E521EE60}"/>
    <cellStyle name="Input 4 3 2 6 2" xfId="10620" xr:uid="{5617EC04-7734-4255-8824-15AEB52D931C}"/>
    <cellStyle name="Input 4 3 2 6 3" xfId="30074" xr:uid="{3900B745-B7A6-4D9B-B5D7-BBC068D0EFCE}"/>
    <cellStyle name="Input 4 3 2 7" xfId="10621" xr:uid="{C53D2ACF-19C5-4A91-B5B8-0DDB2F700F90}"/>
    <cellStyle name="Input 4 3 2 7 2" xfId="10622" xr:uid="{6F504578-C25C-419D-9F51-3E8730FD317C}"/>
    <cellStyle name="Input 4 3 2 7 3" xfId="30075" xr:uid="{649B656F-7969-43FE-8AF7-899405ADCF8B}"/>
    <cellStyle name="Input 4 3 2 8" xfId="10623" xr:uid="{523CF05E-EDA9-4540-9CF8-744E0B39C993}"/>
    <cellStyle name="Input 4 3 2 8 2" xfId="10624" xr:uid="{F1FB49FA-ADDD-4510-ADEB-E824255B0FD7}"/>
    <cellStyle name="Input 4 3 2 8 3" xfId="30076" xr:uid="{997BEC03-BD6C-4B82-9D3C-403B28219090}"/>
    <cellStyle name="Input 4 3 2 9" xfId="10625" xr:uid="{E41B3354-53DD-4857-AB26-ECBDB2E934B3}"/>
    <cellStyle name="Input 4 3 2 9 2" xfId="30077" xr:uid="{98653BB5-07DA-4573-BD6A-71921C0B50A2}"/>
    <cellStyle name="Input 4 3 2 9 3" xfId="30078" xr:uid="{AA2920EA-1434-4789-9570-660F23732AE7}"/>
    <cellStyle name="Input 4 3 3" xfId="10626" xr:uid="{5318C4EB-7633-4A30-9419-88132D57C406}"/>
    <cellStyle name="Input 4 3 3 2" xfId="10627" xr:uid="{54FB1855-F3B0-4676-874E-BE6A7B8908B7}"/>
    <cellStyle name="Input 4 3 3 3" xfId="10628" xr:uid="{0C1B042F-741A-4856-929C-13D70382EC11}"/>
    <cellStyle name="Input 4 3 3 4" xfId="10629" xr:uid="{7DECB12D-3B45-4239-BD6B-55C539B2975F}"/>
    <cellStyle name="Input 4 3 4" xfId="10630" xr:uid="{C4B841EB-A443-441B-9053-75747DE3BBDA}"/>
    <cellStyle name="Input 4 3 4 2" xfId="10631" xr:uid="{E08A6EA2-7B92-4A7D-B6C8-F27D57E9F79C}"/>
    <cellStyle name="Input 4 3 4 3" xfId="30079" xr:uid="{B868337F-1AEB-4A1D-B7E0-DAE011C23D8E}"/>
    <cellStyle name="Input 4 3 5" xfId="10632" xr:uid="{06492D0A-AC57-4588-AEBC-4EC62EDCFD15}"/>
    <cellStyle name="Input 4 3 5 2" xfId="10633" xr:uid="{1CE3CBDF-6690-467F-839E-095BA7BA64A1}"/>
    <cellStyle name="Input 4 3 5 3" xfId="30080" xr:uid="{C00BEF13-2016-4EAE-9D27-1F3770DED22F}"/>
    <cellStyle name="Input 4 3 6" xfId="10634" xr:uid="{51D2F3A4-16F5-46E5-8B23-6D90071A559B}"/>
    <cellStyle name="Input 4 3 6 2" xfId="10635" xr:uid="{85BA5BA4-BFA0-4EFD-A9C6-7B5A80736D93}"/>
    <cellStyle name="Input 4 3 6 3" xfId="30081" xr:uid="{0C4FE1E6-8CF2-46BA-8324-1AA6B807ED81}"/>
    <cellStyle name="Input 4 3 7" xfId="10636" xr:uid="{9A6849B4-7F5F-4C68-87C0-5EBC547F04E6}"/>
    <cellStyle name="Input 4 3 7 2" xfId="10637" xr:uid="{E15C0BF5-9C7F-464E-AE35-41214166CC0D}"/>
    <cellStyle name="Input 4 3 7 3" xfId="30082" xr:uid="{4BCBF842-A1D2-4E8E-B20F-66FB5F465490}"/>
    <cellStyle name="Input 4 3 8" xfId="10638" xr:uid="{2BE7E0AE-6F14-4D8D-A8AB-218359ECE1B0}"/>
    <cellStyle name="Input 4 3 8 2" xfId="10639" xr:uid="{1C3B17FB-FBE2-4B88-A60D-43366F043FEF}"/>
    <cellStyle name="Input 4 3 8 3" xfId="30083" xr:uid="{D14137CE-BB55-4BAE-9749-2D3611A48688}"/>
    <cellStyle name="Input 4 3 9" xfId="10640" xr:uid="{BECE1AEA-FAAB-4A4A-9CB0-794D5A3AB8AF}"/>
    <cellStyle name="Input 4 3 9 2" xfId="10641" xr:uid="{59A55029-0828-4E64-9673-6A8D4DAAD401}"/>
    <cellStyle name="Input 4 3 9 3" xfId="30084" xr:uid="{BFA12E18-5BBD-4E32-8E60-7C3CD1EB203A}"/>
    <cellStyle name="Input 4 4" xfId="10642" xr:uid="{8E7B3161-58C5-4DA5-8FD4-12F7EA35446D}"/>
    <cellStyle name="Input 4 4 10" xfId="10643" xr:uid="{7B203E3A-A644-40B7-9690-A1C881E1EDD6}"/>
    <cellStyle name="Input 4 4 10 2" xfId="30085" xr:uid="{2F956F36-3D68-464A-AABD-8B567E474EBA}"/>
    <cellStyle name="Input 4 4 10 3" xfId="30086" xr:uid="{E47F70C9-CB7F-496B-9005-6581D81D0FB5}"/>
    <cellStyle name="Input 4 4 11" xfId="10644" xr:uid="{371ACE16-DEC3-4EF3-BC4E-38908E19E11D}"/>
    <cellStyle name="Input 4 4 11 2" xfId="30087" xr:uid="{B0285EFD-3720-4B84-A2B7-770D6C61299E}"/>
    <cellStyle name="Input 4 4 12" xfId="30088" xr:uid="{193E4300-565C-4AD0-B2F9-5DAF22DA21D9}"/>
    <cellStyle name="Input 4 4 2" xfId="10645" xr:uid="{0518B4A7-1776-4B37-8BDD-6A01BBFDD9ED}"/>
    <cellStyle name="Input 4 4 2 10" xfId="10646" xr:uid="{FFEE64EF-C60B-4765-BD8C-0B23D4E5A9A1}"/>
    <cellStyle name="Input 4 4 2 10 2" xfId="30089" xr:uid="{592F376A-AE5E-42E1-B493-B45FDF3F2F64}"/>
    <cellStyle name="Input 4 4 2 11" xfId="30090" xr:uid="{F736EA88-61AC-43C2-8F82-73AAAA10EBCB}"/>
    <cellStyle name="Input 4 4 2 2" xfId="10647" xr:uid="{6B23D9D3-AED3-435D-A598-5306C2704DDB}"/>
    <cellStyle name="Input 4 4 2 2 2" xfId="10648" xr:uid="{0C040450-B22D-4C76-8EB4-7EF94D21BFEE}"/>
    <cellStyle name="Input 4 4 2 2 3" xfId="10649" xr:uid="{4AC05C47-E260-4D4D-AE46-A720570DF0E6}"/>
    <cellStyle name="Input 4 4 2 2 4" xfId="10650" xr:uid="{9A9721D6-7C14-483C-B1C7-27D7E2B17290}"/>
    <cellStyle name="Input 4 4 2 3" xfId="10651" xr:uid="{76C7CD73-2E94-45C2-840E-146768C5D311}"/>
    <cellStyle name="Input 4 4 2 3 2" xfId="10652" xr:uid="{8CC9399B-CCD0-40F4-9CDA-4945A2E1074B}"/>
    <cellStyle name="Input 4 4 2 3 3" xfId="30091" xr:uid="{538EEE18-7681-4BEF-90CF-BAD8127626C8}"/>
    <cellStyle name="Input 4 4 2 4" xfId="10653" xr:uid="{ACAE41AE-6654-4354-A866-B05880C6BE51}"/>
    <cellStyle name="Input 4 4 2 4 2" xfId="10654" xr:uid="{B1A7D2A7-BF8F-4E8A-8329-646D12625A18}"/>
    <cellStyle name="Input 4 4 2 4 3" xfId="30092" xr:uid="{D693D5BA-015F-45C6-B0F2-DF44E9862A3B}"/>
    <cellStyle name="Input 4 4 2 5" xfId="10655" xr:uid="{92AEBEEA-BBB3-4FE8-AB03-BFDAC9285D97}"/>
    <cellStyle name="Input 4 4 2 5 2" xfId="10656" xr:uid="{DE3BE08B-C4A7-4949-A52A-BFCC19298560}"/>
    <cellStyle name="Input 4 4 2 5 3" xfId="30093" xr:uid="{3D259877-11F6-4D4D-A986-B5DF50F5999B}"/>
    <cellStyle name="Input 4 4 2 6" xfId="10657" xr:uid="{2059AD0A-E738-41C4-9CDE-59F4BC48B2AE}"/>
    <cellStyle name="Input 4 4 2 6 2" xfId="10658" xr:uid="{9781347C-B280-42D0-B901-121A31B56E6B}"/>
    <cellStyle name="Input 4 4 2 6 3" xfId="30094" xr:uid="{334E4485-EB5A-423D-85E4-C3649D13BBF2}"/>
    <cellStyle name="Input 4 4 2 7" xfId="10659" xr:uid="{A18FBAF3-346F-45DE-A578-D9392E58C6DF}"/>
    <cellStyle name="Input 4 4 2 7 2" xfId="10660" xr:uid="{F7857455-49A8-4BDF-AEEE-DBACE62288A5}"/>
    <cellStyle name="Input 4 4 2 7 3" xfId="30095" xr:uid="{59B1984C-52E5-455B-995C-EF4527343ABE}"/>
    <cellStyle name="Input 4 4 2 8" xfId="10661" xr:uid="{43C1A26D-A2E2-4FD4-9A65-2AC6A0872651}"/>
    <cellStyle name="Input 4 4 2 8 2" xfId="10662" xr:uid="{8DEE8A26-2EDA-40D7-BE55-7830BB93DB76}"/>
    <cellStyle name="Input 4 4 2 8 3" xfId="30096" xr:uid="{BBDC19D0-C23F-4D0C-B1D6-5A0A3BE6BFB3}"/>
    <cellStyle name="Input 4 4 2 9" xfId="10663" xr:uid="{722C269B-01A0-4F3B-8E28-FDDFCF435BEB}"/>
    <cellStyle name="Input 4 4 2 9 2" xfId="30097" xr:uid="{846D06C2-25A6-4075-A97B-0780B58A22E7}"/>
    <cellStyle name="Input 4 4 2 9 3" xfId="30098" xr:uid="{348A574B-6E11-4A61-806A-B9C78C42D8EB}"/>
    <cellStyle name="Input 4 4 3" xfId="10664" xr:uid="{72050559-56A0-41A5-8C3E-5A857327D83E}"/>
    <cellStyle name="Input 4 4 3 2" xfId="10665" xr:uid="{EA6EBD85-7B79-409C-8596-7EF56DEA9A54}"/>
    <cellStyle name="Input 4 4 3 3" xfId="10666" xr:uid="{C6B5C5A5-6742-4EE9-A422-A89352286F62}"/>
    <cellStyle name="Input 4 4 3 4" xfId="10667" xr:uid="{5759B0B3-484D-4B4C-9556-F1DA9E09B82C}"/>
    <cellStyle name="Input 4 4 4" xfId="10668" xr:uid="{963B7FEF-FB40-47DC-8CBB-9C2B59E58EBD}"/>
    <cellStyle name="Input 4 4 4 2" xfId="10669" xr:uid="{11298D92-548C-421E-916A-07A91245B6C0}"/>
    <cellStyle name="Input 4 4 4 3" xfId="30099" xr:uid="{D2905069-057A-4475-A047-841E91B77E1C}"/>
    <cellStyle name="Input 4 4 5" xfId="10670" xr:uid="{938D7ADE-FAC5-4E8A-8476-FAF63667043F}"/>
    <cellStyle name="Input 4 4 5 2" xfId="10671" xr:uid="{93575DBB-FCC1-406A-B0E1-1FD1628DA092}"/>
    <cellStyle name="Input 4 4 5 3" xfId="30100" xr:uid="{F8B74AEE-E10C-4928-80BA-77BBA1BC4D05}"/>
    <cellStyle name="Input 4 4 6" xfId="10672" xr:uid="{CD7A6489-2A67-48F6-A150-C6EB53D9B92A}"/>
    <cellStyle name="Input 4 4 6 2" xfId="10673" xr:uid="{3811FBA7-F59C-4ECD-9B31-F941C3944660}"/>
    <cellStyle name="Input 4 4 6 3" xfId="30101" xr:uid="{AE5204E0-4B49-4668-B221-8C4C42339C1F}"/>
    <cellStyle name="Input 4 4 7" xfId="10674" xr:uid="{B023B127-8988-4132-B923-6A0073A8BB76}"/>
    <cellStyle name="Input 4 4 7 2" xfId="10675" xr:uid="{449A8EC8-60A4-4896-AFDC-A037AEB98EE9}"/>
    <cellStyle name="Input 4 4 7 3" xfId="30102" xr:uid="{DE5C531F-9798-4145-ADA8-7C09873A0EDF}"/>
    <cellStyle name="Input 4 4 8" xfId="10676" xr:uid="{BBEEFA1B-5A28-4483-B9EA-6F622CBEF4A8}"/>
    <cellStyle name="Input 4 4 8 2" xfId="10677" xr:uid="{55E81970-F452-40B1-BB2A-118889804968}"/>
    <cellStyle name="Input 4 4 8 3" xfId="30103" xr:uid="{8B1EFC4E-CB2C-437B-85A9-74219465C6FD}"/>
    <cellStyle name="Input 4 4 9" xfId="10678" xr:uid="{90D4F47C-DE29-4BD0-B784-1B4E3BC5A072}"/>
    <cellStyle name="Input 4 4 9 2" xfId="10679" xr:uid="{F1742BB2-E367-48E4-9D20-C9FD15BE688D}"/>
    <cellStyle name="Input 4 4 9 3" xfId="30104" xr:uid="{2EFBEEC8-A2EE-407B-9223-2F19B35488C8}"/>
    <cellStyle name="Input 4 5" xfId="10680" xr:uid="{54FA856B-341E-483A-89CA-AC064EDEDD38}"/>
    <cellStyle name="Input 4 5 10" xfId="10681" xr:uid="{CEB401A2-ADA2-41FE-8CE4-73DBED7F3116}"/>
    <cellStyle name="Input 4 5 10 2" xfId="30105" xr:uid="{5B2DE4F6-22CB-4128-A1AF-316A2BA2CD93}"/>
    <cellStyle name="Input 4 5 10 3" xfId="30106" xr:uid="{017B8115-7F06-4EDE-BE4A-F2610459D2F6}"/>
    <cellStyle name="Input 4 5 11" xfId="10682" xr:uid="{525A95A1-CAFB-4E6F-A3AA-E6BA0CE16B67}"/>
    <cellStyle name="Input 4 5 11 2" xfId="30107" xr:uid="{590CDDA6-DADD-49F7-AF9E-926C5970EE34}"/>
    <cellStyle name="Input 4 5 12" xfId="30108" xr:uid="{6BE5A654-FB3A-4DF5-929A-0DB78C1A6390}"/>
    <cellStyle name="Input 4 5 2" xfId="10683" xr:uid="{45DD7A83-524C-4EB5-9C85-F7EC22E5EBD9}"/>
    <cellStyle name="Input 4 5 2 10" xfId="10684" xr:uid="{5261B292-17F2-47E2-AB54-4DBA26AE480A}"/>
    <cellStyle name="Input 4 5 2 10 2" xfId="30109" xr:uid="{6603BFA8-2EC0-4569-8343-4AE84EC843B3}"/>
    <cellStyle name="Input 4 5 2 11" xfId="30110" xr:uid="{B082E4DB-94B2-4119-AD1A-40CB979A4CB6}"/>
    <cellStyle name="Input 4 5 2 2" xfId="10685" xr:uid="{CE351894-C4E7-45E0-B1F3-85FE8F978CBA}"/>
    <cellStyle name="Input 4 5 2 2 2" xfId="10686" xr:uid="{44AEE948-0F12-4AB2-9C25-6D7F7543B187}"/>
    <cellStyle name="Input 4 5 2 2 3" xfId="10687" xr:uid="{5504B3FA-A782-4921-A65A-23B8812AA530}"/>
    <cellStyle name="Input 4 5 2 2 4" xfId="10688" xr:uid="{A0171CFA-70B0-44A0-A67B-A361D0C1912A}"/>
    <cellStyle name="Input 4 5 2 3" xfId="10689" xr:uid="{F13BFF06-C259-4C7D-A240-0F54FE7FF654}"/>
    <cellStyle name="Input 4 5 2 3 2" xfId="10690" xr:uid="{23086983-CD6A-41D0-A42A-175BFDB9D876}"/>
    <cellStyle name="Input 4 5 2 3 3" xfId="30111" xr:uid="{4C1C3E4B-2E2C-4FBB-8909-82E48A1E2424}"/>
    <cellStyle name="Input 4 5 2 4" xfId="10691" xr:uid="{77F07F65-AEB8-4432-8C90-E75ACD934465}"/>
    <cellStyle name="Input 4 5 2 4 2" xfId="10692" xr:uid="{2AAC6CF7-62CE-4045-A7A3-C08EE0D48DF6}"/>
    <cellStyle name="Input 4 5 2 4 3" xfId="30112" xr:uid="{4BE3EA99-8291-41B3-9453-5E7702DCA479}"/>
    <cellStyle name="Input 4 5 2 5" xfId="10693" xr:uid="{98E290A1-25C2-4806-B98F-DFE77B1262CE}"/>
    <cellStyle name="Input 4 5 2 5 2" xfId="10694" xr:uid="{BC2A8075-AA9F-4100-A513-C3507DA29E54}"/>
    <cellStyle name="Input 4 5 2 5 3" xfId="30113" xr:uid="{CB6C6D20-7568-4DF9-83F4-07CEB729EC5B}"/>
    <cellStyle name="Input 4 5 2 6" xfId="10695" xr:uid="{9327EB90-1192-4E44-BE55-1F79AAE662AF}"/>
    <cellStyle name="Input 4 5 2 6 2" xfId="10696" xr:uid="{FEEE7163-D6A5-49B1-9E35-E312A19DD98D}"/>
    <cellStyle name="Input 4 5 2 6 3" xfId="30114" xr:uid="{32D7FDF3-5A44-4974-8BDE-0191A72DD7E0}"/>
    <cellStyle name="Input 4 5 2 7" xfId="10697" xr:uid="{F044C5CA-8C2F-43C4-BB11-6EB487D133A2}"/>
    <cellStyle name="Input 4 5 2 7 2" xfId="10698" xr:uid="{67B9FD83-E216-42AF-9AD4-48E10407AC1B}"/>
    <cellStyle name="Input 4 5 2 7 3" xfId="30115" xr:uid="{0BF576EC-5FB0-4B63-BC61-01985CE17736}"/>
    <cellStyle name="Input 4 5 2 8" xfId="10699" xr:uid="{A11F3349-48F5-42C8-8115-C95AC7F97C5C}"/>
    <cellStyle name="Input 4 5 2 8 2" xfId="10700" xr:uid="{3FC0F72F-7D7F-4761-91AA-CCB39E77DF26}"/>
    <cellStyle name="Input 4 5 2 8 3" xfId="30116" xr:uid="{98057275-940A-497C-BBA8-1752075B51A3}"/>
    <cellStyle name="Input 4 5 2 9" xfId="10701" xr:uid="{8127269E-C387-4FA1-92DA-517F1A0EE54D}"/>
    <cellStyle name="Input 4 5 2 9 2" xfId="30117" xr:uid="{9017AF22-2D22-4909-BCF9-5801BDAB5881}"/>
    <cellStyle name="Input 4 5 2 9 3" xfId="30118" xr:uid="{E8A0178C-6677-4070-90F8-7549AA6BE7C3}"/>
    <cellStyle name="Input 4 5 3" xfId="10702" xr:uid="{8BCEBACE-1E76-47F7-880F-667C9B143BC2}"/>
    <cellStyle name="Input 4 5 3 2" xfId="10703" xr:uid="{127F9461-521B-47B1-8447-224B8B3CE1ED}"/>
    <cellStyle name="Input 4 5 3 3" xfId="10704" xr:uid="{99C4CA06-74EE-4F8A-8E44-CC83E5AF4F7C}"/>
    <cellStyle name="Input 4 5 3 4" xfId="10705" xr:uid="{BA489A85-0BF5-44EF-B847-976409033AFE}"/>
    <cellStyle name="Input 4 5 4" xfId="10706" xr:uid="{B1220CD8-1E9E-4CBB-B61E-873AF13AE183}"/>
    <cellStyle name="Input 4 5 4 2" xfId="10707" xr:uid="{43253318-E03A-459F-9541-B8D19FA81E96}"/>
    <cellStyle name="Input 4 5 4 3" xfId="30119" xr:uid="{0CF58331-9D67-436E-B254-EBE7E49C63CA}"/>
    <cellStyle name="Input 4 5 5" xfId="10708" xr:uid="{B4B5A214-11D0-4317-A913-909BD497F94D}"/>
    <cellStyle name="Input 4 5 5 2" xfId="10709" xr:uid="{776DE855-79D4-40F6-80F6-BF9A665FB999}"/>
    <cellStyle name="Input 4 5 5 3" xfId="30120" xr:uid="{8C1DFE7F-30C3-45CC-B146-358CB314187D}"/>
    <cellStyle name="Input 4 5 6" xfId="10710" xr:uid="{1A5F0C14-113F-4217-8740-14DF98E76613}"/>
    <cellStyle name="Input 4 5 6 2" xfId="10711" xr:uid="{4247AA94-8E80-41F8-B0A6-80A46FA88DE8}"/>
    <cellStyle name="Input 4 5 6 3" xfId="30121" xr:uid="{F03C5C14-3A91-446D-8CF9-F1E39D4AFA10}"/>
    <cellStyle name="Input 4 5 7" xfId="10712" xr:uid="{01159302-FF28-4EC5-98E9-4F7671BDEC82}"/>
    <cellStyle name="Input 4 5 7 2" xfId="10713" xr:uid="{5BE70599-C1C0-4385-AF44-9B40AA1DD7DE}"/>
    <cellStyle name="Input 4 5 7 3" xfId="30122" xr:uid="{E259BEF4-679A-43C0-8E2C-DDD239BD31C0}"/>
    <cellStyle name="Input 4 5 8" xfId="10714" xr:uid="{A8A6A106-4325-4B2A-AB22-34F6B0D6F6DA}"/>
    <cellStyle name="Input 4 5 8 2" xfId="10715" xr:uid="{1AE217EF-CCE2-420D-A775-FAD6BC9671C1}"/>
    <cellStyle name="Input 4 5 8 3" xfId="30123" xr:uid="{471C6261-0F26-4C9A-9F67-3AF987F3BE55}"/>
    <cellStyle name="Input 4 5 9" xfId="10716" xr:uid="{5BA2AA24-29F7-4FC5-ABDE-B7DA88F72879}"/>
    <cellStyle name="Input 4 5 9 2" xfId="10717" xr:uid="{F40964EA-57AF-4223-9D19-AB3750B6507F}"/>
    <cellStyle name="Input 4 5 9 3" xfId="30124" xr:uid="{7A676CB7-8B8D-4C3E-B154-4DB1F28D6A4D}"/>
    <cellStyle name="Input 4 6" xfId="10718" xr:uid="{4095CA73-8B4D-47D2-A117-E9FCF1AA603E}"/>
    <cellStyle name="Input 4 6 10" xfId="10719" xr:uid="{9B921EF2-8ACA-4FCB-ADFF-DCA01773315F}"/>
    <cellStyle name="Input 4 6 10 2" xfId="30125" xr:uid="{085119D7-D815-4D21-BEA0-F485C8859CB9}"/>
    <cellStyle name="Input 4 6 10 3" xfId="30126" xr:uid="{2BB504CA-2717-4044-9159-FB35F1A821CA}"/>
    <cellStyle name="Input 4 6 11" xfId="10720" xr:uid="{0E3210E6-97CB-4879-BCBC-BD85B0EACF02}"/>
    <cellStyle name="Input 4 6 11 2" xfId="30127" xr:uid="{5DB0C9B0-7FBC-46BD-85E0-7416A0A8776A}"/>
    <cellStyle name="Input 4 6 12" xfId="30128" xr:uid="{2C26C3DB-21FB-4766-B603-56D149F4802D}"/>
    <cellStyle name="Input 4 6 2" xfId="10721" xr:uid="{79C36456-9535-4E56-8E57-B4938ED73B7D}"/>
    <cellStyle name="Input 4 6 2 10" xfId="10722" xr:uid="{EBA5845B-7CFD-426C-B612-0C7FE246BC47}"/>
    <cellStyle name="Input 4 6 2 10 2" xfId="30129" xr:uid="{B6924199-18B4-4520-9754-FBA2E23EAA45}"/>
    <cellStyle name="Input 4 6 2 11" xfId="30130" xr:uid="{79562FDD-ECFC-4A3C-9324-A0FCA81A144F}"/>
    <cellStyle name="Input 4 6 2 2" xfId="10723" xr:uid="{D6A03367-D17F-4C0F-B124-4A7EDCAA8963}"/>
    <cellStyle name="Input 4 6 2 2 2" xfId="10724" xr:uid="{8A63A380-38A9-4927-9D8F-61B882CD8732}"/>
    <cellStyle name="Input 4 6 2 2 3" xfId="10725" xr:uid="{FA0D0484-AA81-4679-A41C-840A81F153D2}"/>
    <cellStyle name="Input 4 6 2 2 4" xfId="10726" xr:uid="{385C8942-A284-4246-AB91-7B675033E76C}"/>
    <cellStyle name="Input 4 6 2 3" xfId="10727" xr:uid="{7C5936B9-2994-4FB7-99F9-3C7CB18DB703}"/>
    <cellStyle name="Input 4 6 2 3 2" xfId="10728" xr:uid="{0B45A98E-F50C-4422-9A00-D1E4B9C6C98F}"/>
    <cellStyle name="Input 4 6 2 3 3" xfId="30131" xr:uid="{10A277E2-6AD4-43CF-AC79-406FF1ABF42E}"/>
    <cellStyle name="Input 4 6 2 4" xfId="10729" xr:uid="{15699A02-D241-4BC9-8B29-0FD57266A6DE}"/>
    <cellStyle name="Input 4 6 2 4 2" xfId="10730" xr:uid="{B44E6E9B-46C3-4AA8-9834-A57D685651D3}"/>
    <cellStyle name="Input 4 6 2 4 3" xfId="30132" xr:uid="{66DAD18B-35BE-43EB-8FD7-EC497B7C51D6}"/>
    <cellStyle name="Input 4 6 2 5" xfId="10731" xr:uid="{72FD0DCA-11B6-4689-8C45-C2182EA68842}"/>
    <cellStyle name="Input 4 6 2 5 2" xfId="10732" xr:uid="{BB1CFC54-A0E0-4903-AB80-3832A8F1B894}"/>
    <cellStyle name="Input 4 6 2 5 3" xfId="30133" xr:uid="{3F1EE958-1AAB-4FBF-A7CD-8952935C1969}"/>
    <cellStyle name="Input 4 6 2 6" xfId="10733" xr:uid="{2AFF1B46-FCC3-45A8-B479-5DC23895CEC6}"/>
    <cellStyle name="Input 4 6 2 6 2" xfId="10734" xr:uid="{2E454190-36FA-4974-8876-68E41525BDD6}"/>
    <cellStyle name="Input 4 6 2 6 3" xfId="30134" xr:uid="{4B2CBEA4-DEC5-40AC-94FC-2C5DD845505A}"/>
    <cellStyle name="Input 4 6 2 7" xfId="10735" xr:uid="{D4F70C61-3940-419D-9115-00D4F57B745A}"/>
    <cellStyle name="Input 4 6 2 7 2" xfId="10736" xr:uid="{8C9A7050-5584-4B86-9E36-5344708EBADE}"/>
    <cellStyle name="Input 4 6 2 7 3" xfId="30135" xr:uid="{85D03455-785E-40EF-A5E1-0270AF0F332A}"/>
    <cellStyle name="Input 4 6 2 8" xfId="10737" xr:uid="{7086F84A-6D7E-4EF5-AA20-7F4FDB4FCA65}"/>
    <cellStyle name="Input 4 6 2 8 2" xfId="10738" xr:uid="{27CA40FA-5C6E-4D43-A011-E1EC77A03532}"/>
    <cellStyle name="Input 4 6 2 8 3" xfId="30136" xr:uid="{8EA01F81-74D6-48AD-8ED5-B715D10099B6}"/>
    <cellStyle name="Input 4 6 2 9" xfId="10739" xr:uid="{38E8B115-758E-4BBB-980E-8824FE62C751}"/>
    <cellStyle name="Input 4 6 2 9 2" xfId="30137" xr:uid="{4F475621-9065-4049-AA07-2D7C2F1B3A61}"/>
    <cellStyle name="Input 4 6 2 9 3" xfId="30138" xr:uid="{6E50B70A-0030-4961-B7D0-013C608CEDA2}"/>
    <cellStyle name="Input 4 6 3" xfId="10740" xr:uid="{82C84DB5-D9C4-43B1-9523-C649C34D0DE0}"/>
    <cellStyle name="Input 4 6 3 2" xfId="10741" xr:uid="{1B5263AA-5E24-47C5-AE99-6B8366DD9965}"/>
    <cellStyle name="Input 4 6 3 3" xfId="10742" xr:uid="{660EDFAA-E1D7-41E1-8E80-3D5D263EFE7F}"/>
    <cellStyle name="Input 4 6 3 4" xfId="10743" xr:uid="{5A316AD6-B04A-4840-8CE2-87FA4C80D578}"/>
    <cellStyle name="Input 4 6 4" xfId="10744" xr:uid="{3B40219F-BF7C-4E44-BA1A-EDACEEF71111}"/>
    <cellStyle name="Input 4 6 4 2" xfId="10745" xr:uid="{F512C658-402F-45EF-BE43-7AD989339595}"/>
    <cellStyle name="Input 4 6 4 3" xfId="30139" xr:uid="{FB9BA130-98D8-4A78-B93F-2A4B8F7285B7}"/>
    <cellStyle name="Input 4 6 5" xfId="10746" xr:uid="{0CCBD0BB-F91A-45A5-927C-8D8845592C0D}"/>
    <cellStyle name="Input 4 6 5 2" xfId="10747" xr:uid="{8AF62CD3-D28E-43AA-A4BC-B9D1FF0954B5}"/>
    <cellStyle name="Input 4 6 5 3" xfId="30140" xr:uid="{CDD4A0D1-7508-4BC5-8605-18AD77E92758}"/>
    <cellStyle name="Input 4 6 6" xfId="10748" xr:uid="{34AA2637-E1A3-48B0-83C7-A252F033340C}"/>
    <cellStyle name="Input 4 6 6 2" xfId="10749" xr:uid="{A47E1786-4611-41C4-9748-0EA3949B24F3}"/>
    <cellStyle name="Input 4 6 6 3" xfId="30141" xr:uid="{533DF656-39EE-4368-9EEB-EE4BB62F6EDC}"/>
    <cellStyle name="Input 4 6 7" xfId="10750" xr:uid="{B56F5EE5-859E-4222-AF86-1C582A4C25C6}"/>
    <cellStyle name="Input 4 6 7 2" xfId="10751" xr:uid="{43627E45-4178-4728-93E9-1BD0A83C34C0}"/>
    <cellStyle name="Input 4 6 7 3" xfId="30142" xr:uid="{2396B9D6-08DC-480C-B184-E705EA352F3B}"/>
    <cellStyle name="Input 4 6 8" xfId="10752" xr:uid="{04DF7E21-4471-4A4D-995B-CC9250D442C8}"/>
    <cellStyle name="Input 4 6 8 2" xfId="10753" xr:uid="{26838C91-2744-42FF-B97E-1B987F3D3A3B}"/>
    <cellStyle name="Input 4 6 8 3" xfId="30143" xr:uid="{25EADA80-782F-4B3A-A511-5B077835E757}"/>
    <cellStyle name="Input 4 6 9" xfId="10754" xr:uid="{FFC644D8-0685-4866-AD88-3B2E1344F586}"/>
    <cellStyle name="Input 4 6 9 2" xfId="10755" xr:uid="{D8B5DD5D-DC75-4E75-A37E-4263DAC65119}"/>
    <cellStyle name="Input 4 6 9 3" xfId="30144" xr:uid="{979FAD79-AF2B-4893-B744-8B6FBAFECEC6}"/>
    <cellStyle name="Input 4 7" xfId="10756" xr:uid="{914EA590-0337-468A-A184-C4CE92EB20C8}"/>
    <cellStyle name="Input 4 7 10" xfId="10757" xr:uid="{84FADAEE-7514-4BED-8135-F4D3D1111B8C}"/>
    <cellStyle name="Input 4 7 10 2" xfId="30145" xr:uid="{B64D1367-54AF-498C-956E-F16C2A4B6617}"/>
    <cellStyle name="Input 4 7 10 3" xfId="30146" xr:uid="{A836630E-C79C-4099-B603-BD5ABCDC8D0F}"/>
    <cellStyle name="Input 4 7 11" xfId="10758" xr:uid="{2F0B16F4-8F00-45A6-AF4F-27C363A20849}"/>
    <cellStyle name="Input 4 7 11 2" xfId="30147" xr:uid="{BBAB42F7-14DB-4F57-AD5D-4A9BCBB7F58C}"/>
    <cellStyle name="Input 4 7 12" xfId="30148" xr:uid="{36D7EA69-1373-4436-A1D3-6D13C81C3520}"/>
    <cellStyle name="Input 4 7 2" xfId="10759" xr:uid="{FE90F538-15C2-4641-AA49-20E8FC6AD9E1}"/>
    <cellStyle name="Input 4 7 2 10" xfId="10760" xr:uid="{BDB6F622-E9A2-4E32-8F29-FF125C9F03D3}"/>
    <cellStyle name="Input 4 7 2 10 2" xfId="30149" xr:uid="{3B724C30-2E56-4A15-8147-C4C40A1CD71E}"/>
    <cellStyle name="Input 4 7 2 11" xfId="30150" xr:uid="{C42D3496-4F7E-4D70-AEAE-EEAE0C8DE93D}"/>
    <cellStyle name="Input 4 7 2 2" xfId="10761" xr:uid="{927E3680-3905-45F4-8BED-E359A6E3EDE8}"/>
    <cellStyle name="Input 4 7 2 2 2" xfId="10762" xr:uid="{8AF6FEEF-4F7C-46B7-9C0E-1D8FF4981A6F}"/>
    <cellStyle name="Input 4 7 2 2 3" xfId="10763" xr:uid="{11BCA1C1-921A-46AB-916E-21BDE7DE4AC1}"/>
    <cellStyle name="Input 4 7 2 2 4" xfId="10764" xr:uid="{AA3152CA-800D-4E4D-A749-B33619A36F26}"/>
    <cellStyle name="Input 4 7 2 3" xfId="10765" xr:uid="{6A54E018-8281-4EA3-8212-AD081CCEE392}"/>
    <cellStyle name="Input 4 7 2 3 2" xfId="10766" xr:uid="{CD0439A4-B3D8-44C7-A95B-6147A4FDDEA8}"/>
    <cellStyle name="Input 4 7 2 3 3" xfId="30151" xr:uid="{7D0B5B4B-2F39-421A-B371-6AAB2E47E23A}"/>
    <cellStyle name="Input 4 7 2 4" xfId="10767" xr:uid="{7A35A579-654A-407A-AA40-D0A2CCDF39E4}"/>
    <cellStyle name="Input 4 7 2 4 2" xfId="10768" xr:uid="{3369C171-8A2D-4DA3-B9D2-CD33C7AFAC60}"/>
    <cellStyle name="Input 4 7 2 4 3" xfId="30152" xr:uid="{1B0D7384-DB31-4E96-88B8-E21C4FD65C00}"/>
    <cellStyle name="Input 4 7 2 5" xfId="10769" xr:uid="{FEC4D3B2-B87E-4E9F-BE10-6375F29A5E12}"/>
    <cellStyle name="Input 4 7 2 5 2" xfId="10770" xr:uid="{AD6C056E-5BE8-4C1E-9775-F6D1AFDAB39B}"/>
    <cellStyle name="Input 4 7 2 5 3" xfId="30153" xr:uid="{74E35B72-F3F0-4269-9703-FE9699AA72EE}"/>
    <cellStyle name="Input 4 7 2 6" xfId="10771" xr:uid="{0356B246-2D1E-4A1F-B2FC-9D96E4F26980}"/>
    <cellStyle name="Input 4 7 2 6 2" xfId="10772" xr:uid="{661F30ED-D025-4FA6-AFFD-F6DBDB573CD7}"/>
    <cellStyle name="Input 4 7 2 6 3" xfId="30154" xr:uid="{63AB89D3-E6AC-413B-A55A-8AF40410DF8D}"/>
    <cellStyle name="Input 4 7 2 7" xfId="10773" xr:uid="{71E98E67-9770-4C9B-B786-10A8721DA199}"/>
    <cellStyle name="Input 4 7 2 7 2" xfId="10774" xr:uid="{074F59D2-B485-4CA6-98E3-6807BDAD219C}"/>
    <cellStyle name="Input 4 7 2 7 3" xfId="30155" xr:uid="{1A391F52-D60A-4DC6-A317-648811EE9D26}"/>
    <cellStyle name="Input 4 7 2 8" xfId="10775" xr:uid="{3FDE016C-4AC6-4F48-A67B-E37FC25D7ACE}"/>
    <cellStyle name="Input 4 7 2 8 2" xfId="10776" xr:uid="{5A414EA6-B1A6-423E-92A6-8E8848DB117E}"/>
    <cellStyle name="Input 4 7 2 8 3" xfId="30156" xr:uid="{55B923CB-9D72-4217-9551-CD42A7F26FFC}"/>
    <cellStyle name="Input 4 7 2 9" xfId="10777" xr:uid="{5366732A-D86B-49D6-99A4-FDE979C17945}"/>
    <cellStyle name="Input 4 7 2 9 2" xfId="30157" xr:uid="{EF430ED2-9E96-4F7C-B2D8-12F09967452C}"/>
    <cellStyle name="Input 4 7 2 9 3" xfId="30158" xr:uid="{60EC383F-F791-4F06-A74A-7A711E8BC8D8}"/>
    <cellStyle name="Input 4 7 3" xfId="10778" xr:uid="{DB141398-F4B8-4AC2-A784-3014B0A71551}"/>
    <cellStyle name="Input 4 7 3 2" xfId="10779" xr:uid="{D4B0FF03-1F1F-4138-8B30-0A360D52A404}"/>
    <cellStyle name="Input 4 7 3 3" xfId="10780" xr:uid="{C97B34F5-2E16-41E3-9D0C-3E39CFDDDDD6}"/>
    <cellStyle name="Input 4 7 3 4" xfId="10781" xr:uid="{B2F504C0-B5ED-4C17-B930-87DB2A1879C1}"/>
    <cellStyle name="Input 4 7 4" xfId="10782" xr:uid="{326A9423-0489-4728-A141-F1737F22F0CD}"/>
    <cellStyle name="Input 4 7 4 2" xfId="10783" xr:uid="{5A4B3A3C-3FD3-48D2-980D-3453E4F7D660}"/>
    <cellStyle name="Input 4 7 4 3" xfId="30159" xr:uid="{5553E1B7-7FC6-4022-AE9D-522B4DF31DA2}"/>
    <cellStyle name="Input 4 7 5" xfId="10784" xr:uid="{FEC50EC7-0FC0-438B-97D8-958B0E767E29}"/>
    <cellStyle name="Input 4 7 5 2" xfId="10785" xr:uid="{199AE92F-51AA-46DF-B3EA-376AA72DD248}"/>
    <cellStyle name="Input 4 7 5 3" xfId="30160" xr:uid="{17FDFA6E-9C90-43FE-99FC-35462DAE3DA3}"/>
    <cellStyle name="Input 4 7 6" xfId="10786" xr:uid="{D849835D-98A0-4BBF-8B1F-1D83879BCDA5}"/>
    <cellStyle name="Input 4 7 6 2" xfId="10787" xr:uid="{465628C8-B77C-4DF6-B812-8135D0952713}"/>
    <cellStyle name="Input 4 7 6 3" xfId="30161" xr:uid="{45A2D57F-052B-4368-96FE-4409188BAAC8}"/>
    <cellStyle name="Input 4 7 7" xfId="10788" xr:uid="{31198E57-4922-4CFE-BAD9-79317DE26FD2}"/>
    <cellStyle name="Input 4 7 7 2" xfId="10789" xr:uid="{F664B9CD-C3CE-4A52-8D04-CAD18956F9AD}"/>
    <cellStyle name="Input 4 7 7 3" xfId="30162" xr:uid="{50C2A79E-62A0-4C33-BE3A-F3973158F163}"/>
    <cellStyle name="Input 4 7 8" xfId="10790" xr:uid="{C380F8F4-BB26-4BAA-AE5A-0B5DCF74827C}"/>
    <cellStyle name="Input 4 7 8 2" xfId="10791" xr:uid="{A704E9CA-9C7D-44B6-8E14-296C30508FBA}"/>
    <cellStyle name="Input 4 7 8 3" xfId="30163" xr:uid="{11A63BA3-C189-4E6C-98EA-7703ABCE2F5D}"/>
    <cellStyle name="Input 4 7 9" xfId="10792" xr:uid="{CA888CA6-5CB1-4848-88AC-5B47611E444B}"/>
    <cellStyle name="Input 4 7 9 2" xfId="10793" xr:uid="{8516F2A5-F259-402C-9FB8-6A2737846B89}"/>
    <cellStyle name="Input 4 7 9 3" xfId="30164" xr:uid="{60B3C5B1-692F-4DA5-B337-29466A9F2442}"/>
    <cellStyle name="Input 4 8" xfId="10794" xr:uid="{61E04B73-19A3-4175-93E0-77FE748DA3BF}"/>
    <cellStyle name="Input 4 8 10" xfId="10795" xr:uid="{A1910DCF-BBDC-4667-989F-A9DE16268F87}"/>
    <cellStyle name="Input 4 8 10 2" xfId="30165" xr:uid="{3A83116C-F31E-4036-9DED-FCEF13D6F8E3}"/>
    <cellStyle name="Input 4 8 10 3" xfId="30166" xr:uid="{CBF461E6-ED90-4D4F-BF26-06D4F5FE30B9}"/>
    <cellStyle name="Input 4 8 11" xfId="10796" xr:uid="{DEEA4E6E-7AA1-4586-A863-98D87122F7CF}"/>
    <cellStyle name="Input 4 8 11 2" xfId="30167" xr:uid="{1CA4F713-3912-42CA-A3D0-B50A66229DA8}"/>
    <cellStyle name="Input 4 8 12" xfId="30168" xr:uid="{6D9E1F42-384C-4110-8773-D9047E2D3132}"/>
    <cellStyle name="Input 4 8 2" xfId="10797" xr:uid="{D4163885-8DB2-471E-ACA9-1C396DB13E22}"/>
    <cellStyle name="Input 4 8 2 10" xfId="10798" xr:uid="{6C8009C6-AEB2-4BFE-B866-61EF43FF5CA4}"/>
    <cellStyle name="Input 4 8 2 10 2" xfId="30169" xr:uid="{A90EAC35-59BD-41E7-BD56-50C358056648}"/>
    <cellStyle name="Input 4 8 2 11" xfId="30170" xr:uid="{99898FDA-5145-498E-A0F4-8A8E8A7F4661}"/>
    <cellStyle name="Input 4 8 2 2" xfId="10799" xr:uid="{3B9CE8ED-F6B7-47BD-A476-4C2684BCAC81}"/>
    <cellStyle name="Input 4 8 2 2 2" xfId="10800" xr:uid="{4DC5C39F-3CEE-4FF7-9B1A-137CD77506FB}"/>
    <cellStyle name="Input 4 8 2 2 3" xfId="10801" xr:uid="{C49F6844-54FB-4928-902E-3033AFDC2CAD}"/>
    <cellStyle name="Input 4 8 2 2 4" xfId="10802" xr:uid="{1A521A7A-9DB3-422E-BFD2-0750B16D59F5}"/>
    <cellStyle name="Input 4 8 2 3" xfId="10803" xr:uid="{F8EC9161-34F1-4A57-B202-7C1E534C018B}"/>
    <cellStyle name="Input 4 8 2 3 2" xfId="10804" xr:uid="{68B18D0F-2A69-4572-8622-27A216FD82F9}"/>
    <cellStyle name="Input 4 8 2 3 3" xfId="30171" xr:uid="{ACBD6404-C97F-45D4-8957-F9C5DD189683}"/>
    <cellStyle name="Input 4 8 2 4" xfId="10805" xr:uid="{82CE090B-18F4-4CDF-9678-9196B35328D9}"/>
    <cellStyle name="Input 4 8 2 4 2" xfId="10806" xr:uid="{B5BC8CCD-77FF-4033-B5B4-08A92D5A6C87}"/>
    <cellStyle name="Input 4 8 2 4 3" xfId="30172" xr:uid="{7FE40552-9A21-484C-A4C9-B07E89ECBBD2}"/>
    <cellStyle name="Input 4 8 2 5" xfId="10807" xr:uid="{BACD0926-7938-48EC-BC83-276C371E4AAC}"/>
    <cellStyle name="Input 4 8 2 5 2" xfId="10808" xr:uid="{F6FEF543-7FB5-474F-9EC1-0E3C248FA747}"/>
    <cellStyle name="Input 4 8 2 5 3" xfId="30173" xr:uid="{8FA1AC14-4256-41F1-8D17-8B7E1E34B336}"/>
    <cellStyle name="Input 4 8 2 6" xfId="10809" xr:uid="{75F157F6-B1D4-4147-9D77-34047070661C}"/>
    <cellStyle name="Input 4 8 2 6 2" xfId="10810" xr:uid="{9EE3CA3A-F963-4595-8F54-C994FE00876F}"/>
    <cellStyle name="Input 4 8 2 6 3" xfId="30174" xr:uid="{0FACADB3-2A8F-4D59-A811-F9AD893C9413}"/>
    <cellStyle name="Input 4 8 2 7" xfId="10811" xr:uid="{BF2DB593-64D7-4524-91B9-5D00BC79B10B}"/>
    <cellStyle name="Input 4 8 2 7 2" xfId="10812" xr:uid="{814D4689-26A4-4462-81AB-15A669BB7C4C}"/>
    <cellStyle name="Input 4 8 2 7 3" xfId="30175" xr:uid="{BF832BA3-A8F8-4797-9221-D98C154E69D6}"/>
    <cellStyle name="Input 4 8 2 8" xfId="10813" xr:uid="{529B58C2-232C-4823-939E-EC49F2437914}"/>
    <cellStyle name="Input 4 8 2 8 2" xfId="10814" xr:uid="{83D587B2-88DE-4CCC-BABA-81698A1B356A}"/>
    <cellStyle name="Input 4 8 2 8 3" xfId="30176" xr:uid="{7CF57C77-3F04-4171-A202-B839749AEB1A}"/>
    <cellStyle name="Input 4 8 2 9" xfId="10815" xr:uid="{A0921C82-EC55-4480-A402-716125FCBF29}"/>
    <cellStyle name="Input 4 8 2 9 2" xfId="30177" xr:uid="{09C28C42-F8FB-4D6E-8DF5-FD2D337929F7}"/>
    <cellStyle name="Input 4 8 2 9 3" xfId="30178" xr:uid="{AF9808A6-06C6-41DA-8B91-1BB5C2688641}"/>
    <cellStyle name="Input 4 8 3" xfId="10816" xr:uid="{C45E00B2-9AE5-44E4-97F6-2D9B336DE587}"/>
    <cellStyle name="Input 4 8 3 2" xfId="10817" xr:uid="{B6F612DC-F2AC-4AF7-8B98-009F96C945B0}"/>
    <cellStyle name="Input 4 8 3 3" xfId="10818" xr:uid="{BAFDBAB1-C9D3-4B9E-8494-16265E970C46}"/>
    <cellStyle name="Input 4 8 3 4" xfId="10819" xr:uid="{7A9AEDE2-02E3-4F08-AAF5-7F78623C6160}"/>
    <cellStyle name="Input 4 8 4" xfId="10820" xr:uid="{89FC74BC-7BF8-4324-B166-1EE6FE31552C}"/>
    <cellStyle name="Input 4 8 4 2" xfId="10821" xr:uid="{31F80B80-0FEE-4F94-8413-EF23957B99A4}"/>
    <cellStyle name="Input 4 8 4 3" xfId="30179" xr:uid="{D444E1D6-8EC8-4B7C-8778-1D418CB94FB4}"/>
    <cellStyle name="Input 4 8 5" xfId="10822" xr:uid="{997A21A3-3B9A-4670-9432-C468E1C17250}"/>
    <cellStyle name="Input 4 8 5 2" xfId="10823" xr:uid="{63A13D79-8203-48F3-9315-6F97625F84EE}"/>
    <cellStyle name="Input 4 8 5 3" xfId="30180" xr:uid="{0C9EA1C1-3FC8-4006-BBFF-8EA15C08A850}"/>
    <cellStyle name="Input 4 8 6" xfId="10824" xr:uid="{A990D6BD-063A-4491-880B-492A6536BA40}"/>
    <cellStyle name="Input 4 8 6 2" xfId="10825" xr:uid="{7E504250-B87E-42CB-8D95-AD1B1AC3EFCC}"/>
    <cellStyle name="Input 4 8 6 3" xfId="30181" xr:uid="{163A0150-BE25-494F-BDEE-7AAE99579586}"/>
    <cellStyle name="Input 4 8 7" xfId="10826" xr:uid="{3C65BFAD-1CA2-41C4-BAFE-084683ACF87F}"/>
    <cellStyle name="Input 4 8 7 2" xfId="10827" xr:uid="{BFAFE15B-55B1-4927-8F9D-1FF60FFD6978}"/>
    <cellStyle name="Input 4 8 7 3" xfId="30182" xr:uid="{45DDE376-B5A7-4753-AA04-1E5DBA13C9F9}"/>
    <cellStyle name="Input 4 8 8" xfId="10828" xr:uid="{3A2E7A51-EC64-4643-8664-085C27BA73A2}"/>
    <cellStyle name="Input 4 8 8 2" xfId="10829" xr:uid="{284D855E-4542-401E-B46E-FBD06958EBF0}"/>
    <cellStyle name="Input 4 8 8 3" xfId="30183" xr:uid="{29BE8C13-02A6-45DB-9440-37CF16CFD6A8}"/>
    <cellStyle name="Input 4 8 9" xfId="10830" xr:uid="{94D65569-725F-4563-852D-7BD534725ED7}"/>
    <cellStyle name="Input 4 8 9 2" xfId="10831" xr:uid="{0BE34BB6-2691-476B-B045-EF281AB17E55}"/>
    <cellStyle name="Input 4 8 9 3" xfId="30184" xr:uid="{B192587C-2124-43A5-9C09-C1E30A5442D8}"/>
    <cellStyle name="Input 4 9" xfId="10832" xr:uid="{F4889824-DF4F-42A1-9029-960499347BEF}"/>
    <cellStyle name="Input 4 9 10" xfId="10833" xr:uid="{8A337677-CE00-471D-8C07-2E84258A469A}"/>
    <cellStyle name="Input 4 9 10 2" xfId="30185" xr:uid="{3B7CC870-D0B4-4240-AAFA-DFA4D1E8F85F}"/>
    <cellStyle name="Input 4 9 10 3" xfId="30186" xr:uid="{82147AEC-E768-448D-B9C7-7B657A0DC7FB}"/>
    <cellStyle name="Input 4 9 11" xfId="10834" xr:uid="{9947CF09-25FA-4C67-8745-B96843F42ECE}"/>
    <cellStyle name="Input 4 9 11 2" xfId="30187" xr:uid="{06E912F2-9136-41F2-80A1-B0685F3F70B1}"/>
    <cellStyle name="Input 4 9 12" xfId="30188" xr:uid="{E29C7576-5EF0-4941-97EF-BA0108C8F6BF}"/>
    <cellStyle name="Input 4 9 2" xfId="10835" xr:uid="{6EB60374-C2ED-4FDC-8AB8-56596DA4AEE9}"/>
    <cellStyle name="Input 4 9 2 10" xfId="10836" xr:uid="{2415BA33-EFD2-4713-9C1A-B9629DD752EE}"/>
    <cellStyle name="Input 4 9 2 10 2" xfId="30189" xr:uid="{AC557BA0-3AF3-4E4D-992D-2F5B1D6833A8}"/>
    <cellStyle name="Input 4 9 2 11" xfId="30190" xr:uid="{DA71707C-6F57-4D0E-9FEC-E411A58D1BDD}"/>
    <cellStyle name="Input 4 9 2 2" xfId="10837" xr:uid="{6CEDACCE-CB25-49AF-B5E5-9FB4010D7CEC}"/>
    <cellStyle name="Input 4 9 2 2 2" xfId="10838" xr:uid="{A81DFBC0-A824-496B-B9B6-56E4D9C3A763}"/>
    <cellStyle name="Input 4 9 2 2 3" xfId="10839" xr:uid="{20866F14-7B7A-4EFB-A8CD-8ADDC4E84874}"/>
    <cellStyle name="Input 4 9 2 2 4" xfId="10840" xr:uid="{CE8B1AF2-74E9-4594-9F4C-CCBD1A4AF76C}"/>
    <cellStyle name="Input 4 9 2 3" xfId="10841" xr:uid="{5174AB47-246C-4AC2-85EA-FEE007C3680F}"/>
    <cellStyle name="Input 4 9 2 3 2" xfId="10842" xr:uid="{9C33AE8B-2D89-4C1C-AC4B-0554AC4F2E48}"/>
    <cellStyle name="Input 4 9 2 3 3" xfId="30191" xr:uid="{0C189846-0CFD-40C2-99DA-6BE3F0962AED}"/>
    <cellStyle name="Input 4 9 2 4" xfId="10843" xr:uid="{0EC7B2B1-A092-4161-8D76-B8C22CCB83D2}"/>
    <cellStyle name="Input 4 9 2 4 2" xfId="10844" xr:uid="{E9DD1596-8C56-4B4F-9095-65A12A21A924}"/>
    <cellStyle name="Input 4 9 2 4 3" xfId="30192" xr:uid="{73E0AA48-8B91-4BA5-A6BF-B84EF439289F}"/>
    <cellStyle name="Input 4 9 2 5" xfId="10845" xr:uid="{C1A60DB4-9DEF-445D-9A98-52B539F0B015}"/>
    <cellStyle name="Input 4 9 2 5 2" xfId="10846" xr:uid="{FD8BFF5C-7950-4917-B9AC-0D48FCBE707F}"/>
    <cellStyle name="Input 4 9 2 5 3" xfId="30193" xr:uid="{46CB1008-25CD-4E50-9478-302BD5C34501}"/>
    <cellStyle name="Input 4 9 2 6" xfId="10847" xr:uid="{EF63D474-CB52-4FDC-B3A7-81470288C372}"/>
    <cellStyle name="Input 4 9 2 6 2" xfId="10848" xr:uid="{DBDD7485-D931-4742-A636-ABDCD09CB4D7}"/>
    <cellStyle name="Input 4 9 2 6 3" xfId="30194" xr:uid="{C2E20D26-C8DF-4D9F-B09E-393BDAF710A8}"/>
    <cellStyle name="Input 4 9 2 7" xfId="10849" xr:uid="{0F44D40F-E1D2-4249-9F4A-C276B91D07DF}"/>
    <cellStyle name="Input 4 9 2 7 2" xfId="10850" xr:uid="{C0DAB73C-7EF2-4354-8E21-411920471437}"/>
    <cellStyle name="Input 4 9 2 7 3" xfId="30195" xr:uid="{5C039BF8-72C8-435E-A64A-F4DFB1CAB507}"/>
    <cellStyle name="Input 4 9 2 8" xfId="10851" xr:uid="{C4E0F78A-BFA7-4673-AFBE-6531F75B4D52}"/>
    <cellStyle name="Input 4 9 2 8 2" xfId="10852" xr:uid="{A0D886D5-D232-4B80-A55C-D28A4A55AB60}"/>
    <cellStyle name="Input 4 9 2 8 3" xfId="30196" xr:uid="{8E82FEB9-5218-4F18-A98E-7477ED8FB6F2}"/>
    <cellStyle name="Input 4 9 2 9" xfId="10853" xr:uid="{AA07107A-F237-4423-B919-C5DDCA8D45CB}"/>
    <cellStyle name="Input 4 9 2 9 2" xfId="30197" xr:uid="{23187573-DD10-427B-9C8C-FD96725387FB}"/>
    <cellStyle name="Input 4 9 2 9 3" xfId="30198" xr:uid="{BDF9E7B3-2C90-4D36-938A-20784F1B322F}"/>
    <cellStyle name="Input 4 9 3" xfId="10854" xr:uid="{D9676FB4-E57F-4CB2-8835-E2083D5A2F04}"/>
    <cellStyle name="Input 4 9 3 2" xfId="10855" xr:uid="{4B0A8C91-CF30-4955-AFB0-3DE16B11CE9B}"/>
    <cellStyle name="Input 4 9 3 3" xfId="10856" xr:uid="{5FC2BD5D-F9B0-4190-A749-B39A7393FF24}"/>
    <cellStyle name="Input 4 9 3 4" xfId="10857" xr:uid="{C88E1AEC-FC8A-4670-AC80-0E3D74135E45}"/>
    <cellStyle name="Input 4 9 4" xfId="10858" xr:uid="{6D6B9843-4157-41CB-9983-C55BA759F749}"/>
    <cellStyle name="Input 4 9 4 2" xfId="10859" xr:uid="{CAF650C4-F7CF-49C6-80A0-55DE3C1EC734}"/>
    <cellStyle name="Input 4 9 4 3" xfId="30199" xr:uid="{EA60E62D-22D6-41E4-A5F9-B41C54AC14D2}"/>
    <cellStyle name="Input 4 9 5" xfId="10860" xr:uid="{60B7DC79-4B91-4497-956D-25E3131194B3}"/>
    <cellStyle name="Input 4 9 5 2" xfId="10861" xr:uid="{23D64EC6-6771-41E4-AE46-274696EC3FDE}"/>
    <cellStyle name="Input 4 9 5 3" xfId="30200" xr:uid="{6FEB12CA-5516-403A-B18E-11BFD1ADAB9B}"/>
    <cellStyle name="Input 4 9 6" xfId="10862" xr:uid="{9040B618-A4FA-41F0-9379-1E2719E3C4A3}"/>
    <cellStyle name="Input 4 9 6 2" xfId="10863" xr:uid="{6A1DEC9F-0A1D-47A5-9972-16FA8B816122}"/>
    <cellStyle name="Input 4 9 6 3" xfId="30201" xr:uid="{9EA6ED15-F32E-493D-B9C0-DD48F374454D}"/>
    <cellStyle name="Input 4 9 7" xfId="10864" xr:uid="{4FC919F9-41A3-499A-B4C8-250A586E46A5}"/>
    <cellStyle name="Input 4 9 7 2" xfId="10865" xr:uid="{E0FDA7BD-C51F-4796-8E00-DB1F930EEADF}"/>
    <cellStyle name="Input 4 9 7 3" xfId="30202" xr:uid="{31C548A8-137D-455E-AF47-55BA503D99CE}"/>
    <cellStyle name="Input 4 9 8" xfId="10866" xr:uid="{FBB541A5-9354-436B-A440-1860FA2C56C8}"/>
    <cellStyle name="Input 4 9 8 2" xfId="10867" xr:uid="{C3737375-0C5B-46B7-B258-2A717C8274E5}"/>
    <cellStyle name="Input 4 9 8 3" xfId="30203" xr:uid="{04C56BEC-C579-43D0-A335-83B00BDA1700}"/>
    <cellStyle name="Input 4 9 9" xfId="10868" xr:uid="{4C21E85E-7DF4-4796-B59A-3D04D88F9F4C}"/>
    <cellStyle name="Input 4 9 9 2" xfId="10869" xr:uid="{315D2937-E55B-4CA5-9449-97DF8041D7D3}"/>
    <cellStyle name="Input 4 9 9 3" xfId="30204" xr:uid="{DC99BAD9-BBD4-47B9-AFD8-DC5EE81412D9}"/>
    <cellStyle name="Input 40" xfId="30205" xr:uid="{42C270BC-4B29-4F93-AD55-9E2BDB5E9795}"/>
    <cellStyle name="Input 40 2" xfId="30206" xr:uid="{4E73D9C4-A1AC-4797-AE60-988B460D3351}"/>
    <cellStyle name="Input 40 3" xfId="42807" xr:uid="{60C94FC3-A3A9-45A8-BF02-E00123CAE031}"/>
    <cellStyle name="Input 40 4" xfId="42284" xr:uid="{A1D6AB95-9183-41B7-BE0A-FCAF7B9B0BB4}"/>
    <cellStyle name="Input 40 5" xfId="43909" xr:uid="{390B051D-11BA-4127-8888-E6D34F40A0D6}"/>
    <cellStyle name="Input 5" xfId="10870" xr:uid="{66EEA8D4-CB82-4F83-840C-18216D7D3A96}"/>
    <cellStyle name="Input 5 10" xfId="10871" xr:uid="{68520E23-9F9A-4629-BE50-C9835ED4D65E}"/>
    <cellStyle name="Input 5 10 10" xfId="10872" xr:uid="{1EC74FC5-5B25-4BB4-8B6B-056FAF8224B3}"/>
    <cellStyle name="Input 5 10 10 2" xfId="30207" xr:uid="{D48F991F-7B06-4B8A-B7ED-53DE533124A8}"/>
    <cellStyle name="Input 5 10 10 3" xfId="30208" xr:uid="{6EE971BE-74D5-4BC5-BB06-FC37CF47CCD3}"/>
    <cellStyle name="Input 5 10 11" xfId="10873" xr:uid="{E62F75E0-F937-4610-A97C-69E1DB9916F7}"/>
    <cellStyle name="Input 5 10 11 2" xfId="30209" xr:uid="{CB53135C-CE2C-4447-A5D1-DB546D88D653}"/>
    <cellStyle name="Input 5 10 12" xfId="30210" xr:uid="{6401A504-EA7F-4F70-A6BE-DE3A1FA7FC61}"/>
    <cellStyle name="Input 5 10 2" xfId="10874" xr:uid="{572B355D-907D-4924-B91E-8E35AFA773A5}"/>
    <cellStyle name="Input 5 10 2 10" xfId="10875" xr:uid="{E4BDC53D-3FC5-4762-A31E-CAAC3E24D58D}"/>
    <cellStyle name="Input 5 10 2 10 2" xfId="30211" xr:uid="{B28808A6-6EBE-4338-9239-5F5A18B20D44}"/>
    <cellStyle name="Input 5 10 2 11" xfId="30212" xr:uid="{9770C2D5-2B48-499E-AEE4-DC6265165166}"/>
    <cellStyle name="Input 5 10 2 2" xfId="10876" xr:uid="{7894253B-2732-4D8E-9724-BE9318F0756F}"/>
    <cellStyle name="Input 5 10 2 2 2" xfId="10877" xr:uid="{CE9DBACD-04D0-4BE5-BDBC-D7E66C4C9E80}"/>
    <cellStyle name="Input 5 10 2 2 3" xfId="10878" xr:uid="{9BEE3B81-EC56-4626-8885-37D7C2FE43D0}"/>
    <cellStyle name="Input 5 10 2 2 4" xfId="10879" xr:uid="{DE9F6311-C463-4B01-A0D9-D6215CBD7E24}"/>
    <cellStyle name="Input 5 10 2 3" xfId="10880" xr:uid="{80558ADA-5E17-48B1-9B6E-FD48BCA0D8F5}"/>
    <cellStyle name="Input 5 10 2 3 2" xfId="10881" xr:uid="{A98CFA68-65C4-4962-8149-B0F0CA8BAF75}"/>
    <cellStyle name="Input 5 10 2 3 3" xfId="30213" xr:uid="{421413C7-3889-4CB4-871C-E078870E62DC}"/>
    <cellStyle name="Input 5 10 2 4" xfId="10882" xr:uid="{9722F4E0-4A3D-486C-B773-EDECDA5D5651}"/>
    <cellStyle name="Input 5 10 2 4 2" xfId="10883" xr:uid="{8CC1C45C-6016-4958-AF14-146ED72A450C}"/>
    <cellStyle name="Input 5 10 2 4 3" xfId="30214" xr:uid="{9C94116F-EFC3-4957-BF45-80EE9E09A46F}"/>
    <cellStyle name="Input 5 10 2 5" xfId="10884" xr:uid="{A15C594B-C373-46C3-A0C4-5FF44E2552BF}"/>
    <cellStyle name="Input 5 10 2 5 2" xfId="10885" xr:uid="{0B34D97F-965A-4A84-9A88-52E913688D9B}"/>
    <cellStyle name="Input 5 10 2 5 3" xfId="30215" xr:uid="{062AA75F-5207-44B3-9A78-C656D56CA2C3}"/>
    <cellStyle name="Input 5 10 2 6" xfId="10886" xr:uid="{ECF62EE9-95BA-4D90-A0D4-956E960B38D3}"/>
    <cellStyle name="Input 5 10 2 6 2" xfId="10887" xr:uid="{0B019B97-5216-4A21-AFAF-1692D06BC65B}"/>
    <cellStyle name="Input 5 10 2 6 3" xfId="30216" xr:uid="{B51AF86F-5E7A-4122-BB07-3559338D330F}"/>
    <cellStyle name="Input 5 10 2 7" xfId="10888" xr:uid="{C70D9AE2-91DD-449F-BCE0-8DEB122D1E6C}"/>
    <cellStyle name="Input 5 10 2 7 2" xfId="10889" xr:uid="{FD431DF8-875F-4494-AE58-3EBDE688B573}"/>
    <cellStyle name="Input 5 10 2 7 3" xfId="30217" xr:uid="{582E44C2-7242-4767-ADC4-FAA97CE48EB5}"/>
    <cellStyle name="Input 5 10 2 8" xfId="10890" xr:uid="{E4CDBED2-E1F9-47AF-AB31-E8D0E52A7A7D}"/>
    <cellStyle name="Input 5 10 2 8 2" xfId="10891" xr:uid="{B70075F1-BFE1-4F0B-AC27-26C5EEFC9B2C}"/>
    <cellStyle name="Input 5 10 2 8 3" xfId="30218" xr:uid="{A43C6BC2-3C5C-417D-A1A3-695C6F352EDC}"/>
    <cellStyle name="Input 5 10 2 9" xfId="10892" xr:uid="{9BB4435F-E5B6-4C9C-85EE-97898FA33CD6}"/>
    <cellStyle name="Input 5 10 2 9 2" xfId="30219" xr:uid="{C3649DDB-33C4-410C-919C-05BBE3B5E2A5}"/>
    <cellStyle name="Input 5 10 2 9 3" xfId="30220" xr:uid="{5C0D356C-B90C-4EEE-853E-BF3B2DCFE13E}"/>
    <cellStyle name="Input 5 10 3" xfId="10893" xr:uid="{8D2F66E9-F2E5-4939-A484-BD37E1117943}"/>
    <cellStyle name="Input 5 10 3 2" xfId="10894" xr:uid="{1FB78DDC-2EF6-46BC-BFB0-943F97F39267}"/>
    <cellStyle name="Input 5 10 3 3" xfId="10895" xr:uid="{C44EB367-7738-4B59-ADE1-646AD4CEA092}"/>
    <cellStyle name="Input 5 10 3 4" xfId="10896" xr:uid="{6395B740-8C3F-4E2D-AA4D-C51B1EC2C196}"/>
    <cellStyle name="Input 5 10 4" xfId="10897" xr:uid="{C858D1B1-C9C7-48DE-8A68-08FDDA820E2A}"/>
    <cellStyle name="Input 5 10 4 2" xfId="10898" xr:uid="{7FC1C12F-CDE9-46E2-B687-B15158362CC7}"/>
    <cellStyle name="Input 5 10 4 3" xfId="30221" xr:uid="{27945CD1-D914-47D3-8227-4BD76706B661}"/>
    <cellStyle name="Input 5 10 5" xfId="10899" xr:uid="{0DFD050A-16D1-456C-BB4F-BF0EBA8FDDE9}"/>
    <cellStyle name="Input 5 10 5 2" xfId="10900" xr:uid="{8D702B4B-CDC1-4015-9E2F-62B35E6C7CB8}"/>
    <cellStyle name="Input 5 10 5 3" xfId="30222" xr:uid="{0853AE2F-B409-4E5C-BE61-8B02BDC681CC}"/>
    <cellStyle name="Input 5 10 6" xfId="10901" xr:uid="{CFCD241C-51FB-47A5-8120-3A6FDF1ECB51}"/>
    <cellStyle name="Input 5 10 6 2" xfId="10902" xr:uid="{7735DB5D-2E1A-4C70-83FF-07543657B037}"/>
    <cellStyle name="Input 5 10 6 3" xfId="30223" xr:uid="{36CDDA3F-D1DB-4910-8A53-5DB65452068B}"/>
    <cellStyle name="Input 5 10 7" xfId="10903" xr:uid="{4323178A-CF90-4202-95FE-FCB0FFE2D43B}"/>
    <cellStyle name="Input 5 10 7 2" xfId="10904" xr:uid="{19A74712-DC92-4605-905B-CC03F431FAAD}"/>
    <cellStyle name="Input 5 10 7 3" xfId="30224" xr:uid="{29A0ED25-574B-43D9-A1EC-53021FBD5D30}"/>
    <cellStyle name="Input 5 10 8" xfId="10905" xr:uid="{AE2E6972-9852-4CFE-9902-6CD0117A5E5A}"/>
    <cellStyle name="Input 5 10 8 2" xfId="10906" xr:uid="{06976F25-BAB9-4D84-9B7E-B49324048839}"/>
    <cellStyle name="Input 5 10 8 3" xfId="30225" xr:uid="{4192F9B9-6BB1-4B67-8B10-5FDAD2A9B7AE}"/>
    <cellStyle name="Input 5 10 9" xfId="10907" xr:uid="{EBFB5CDD-FB7C-4925-9349-82970BD0A566}"/>
    <cellStyle name="Input 5 10 9 2" xfId="10908" xr:uid="{D148D2FC-2F02-457D-B56A-EB42CBEB2325}"/>
    <cellStyle name="Input 5 10 9 3" xfId="30226" xr:uid="{BD1DB2DB-8C54-48CA-BBF0-B2865D167590}"/>
    <cellStyle name="Input 5 11" xfId="10909" xr:uid="{7EE04E56-4F15-48F6-9EED-6DF06B3D484D}"/>
    <cellStyle name="Input 5 11 10" xfId="10910" xr:uid="{62ED606C-8F02-45A0-B8DE-03392FD11AA7}"/>
    <cellStyle name="Input 5 11 10 2" xfId="30227" xr:uid="{2311DE76-0D27-4E9E-9C22-0C7124FBE26B}"/>
    <cellStyle name="Input 5 11 10 3" xfId="30228" xr:uid="{B4AB764C-5CCE-4FF1-B5EB-A451F0F33878}"/>
    <cellStyle name="Input 5 11 11" xfId="10911" xr:uid="{12A8E557-83A9-45E3-8368-F10BD5FC92C0}"/>
    <cellStyle name="Input 5 11 11 2" xfId="30229" xr:uid="{63047EE9-EC28-4F45-B4FB-3BCE4C197548}"/>
    <cellStyle name="Input 5 11 12" xfId="30230" xr:uid="{060901B6-7AC0-4AB0-B7F4-1F8C3665663D}"/>
    <cellStyle name="Input 5 11 2" xfId="10912" xr:uid="{8334E01F-D251-4E5E-A176-D39D6CCBAFA2}"/>
    <cellStyle name="Input 5 11 2 10" xfId="10913" xr:uid="{14C8CF41-EDA7-4870-899A-C55CD0C5F02E}"/>
    <cellStyle name="Input 5 11 2 10 2" xfId="30231" xr:uid="{8EA3D166-854C-4CFD-BA13-2D93DA70142E}"/>
    <cellStyle name="Input 5 11 2 11" xfId="30232" xr:uid="{F96FBDEE-F862-4AF5-BBB2-87E55199D75E}"/>
    <cellStyle name="Input 5 11 2 2" xfId="10914" xr:uid="{EB12B791-175E-45F4-8DF0-15289BB24680}"/>
    <cellStyle name="Input 5 11 2 2 2" xfId="10915" xr:uid="{72910777-768C-43D1-A4C6-631AC4F3E179}"/>
    <cellStyle name="Input 5 11 2 2 3" xfId="10916" xr:uid="{EDD0021C-2B3E-4555-9BCF-572A70F3EF15}"/>
    <cellStyle name="Input 5 11 2 2 4" xfId="10917" xr:uid="{3235BBEF-4791-4E42-8F99-E4F6D5DB24E8}"/>
    <cellStyle name="Input 5 11 2 3" xfId="10918" xr:uid="{47EC79AD-ADE2-46E1-90CC-4DAAC95BDB35}"/>
    <cellStyle name="Input 5 11 2 3 2" xfId="10919" xr:uid="{6D1C2DA8-1B08-4570-9F1D-DC33E37E35B7}"/>
    <cellStyle name="Input 5 11 2 3 3" xfId="30233" xr:uid="{4B04E46D-EC52-49EC-B3E1-7813967E7B77}"/>
    <cellStyle name="Input 5 11 2 4" xfId="10920" xr:uid="{F7BA7661-3C61-4744-AF65-6D56260AACCB}"/>
    <cellStyle name="Input 5 11 2 4 2" xfId="10921" xr:uid="{F57C186E-4B5D-45F5-9BDB-917A3FCC666D}"/>
    <cellStyle name="Input 5 11 2 4 3" xfId="30234" xr:uid="{88B948FF-A6A3-4267-B354-34A7FBCEDBDE}"/>
    <cellStyle name="Input 5 11 2 5" xfId="10922" xr:uid="{3E0EF9CB-56D4-4D2B-ADB4-061772CCC81F}"/>
    <cellStyle name="Input 5 11 2 5 2" xfId="10923" xr:uid="{119892DA-41C9-4BF8-80B0-D78CAD770BD0}"/>
    <cellStyle name="Input 5 11 2 5 3" xfId="30235" xr:uid="{44918348-A8A6-4CA6-97A4-3AC443583655}"/>
    <cellStyle name="Input 5 11 2 6" xfId="10924" xr:uid="{2231D8B8-449E-4C85-9BCE-E427AE958C3C}"/>
    <cellStyle name="Input 5 11 2 6 2" xfId="10925" xr:uid="{625183A8-3AFA-4EF8-9B05-265194C6BBA4}"/>
    <cellStyle name="Input 5 11 2 6 3" xfId="30236" xr:uid="{9D32B5DC-009E-4A4F-85A7-E416CFFDF0FD}"/>
    <cellStyle name="Input 5 11 2 7" xfId="10926" xr:uid="{B5622DCE-5F0B-4FBC-91EE-61D051E57ABB}"/>
    <cellStyle name="Input 5 11 2 7 2" xfId="10927" xr:uid="{1C271D45-3756-459F-B3FC-BD6942025CAE}"/>
    <cellStyle name="Input 5 11 2 7 3" xfId="30237" xr:uid="{8CDDC002-EEFE-43DE-BE4B-A35D5F05D35C}"/>
    <cellStyle name="Input 5 11 2 8" xfId="10928" xr:uid="{34CD787A-42FE-4DB6-B3F4-808E2F78CF63}"/>
    <cellStyle name="Input 5 11 2 8 2" xfId="10929" xr:uid="{DAD37757-387F-4964-AE8A-8669D61FFBFD}"/>
    <cellStyle name="Input 5 11 2 8 3" xfId="30238" xr:uid="{DFBECE6F-C07B-4806-AA22-5CA68CB68D16}"/>
    <cellStyle name="Input 5 11 2 9" xfId="10930" xr:uid="{21FE9EFE-764F-4A09-B53E-F88A9C401B85}"/>
    <cellStyle name="Input 5 11 2 9 2" xfId="30239" xr:uid="{9C2699CB-BF55-490B-AE1C-83D3015CFAEB}"/>
    <cellStyle name="Input 5 11 2 9 3" xfId="30240" xr:uid="{F72E1DFB-F88D-4493-9FD2-86B1F3959EB4}"/>
    <cellStyle name="Input 5 11 3" xfId="10931" xr:uid="{5279A2C2-42F3-4DC7-9F7F-AD2B09ED56B4}"/>
    <cellStyle name="Input 5 11 3 2" xfId="10932" xr:uid="{CD055CD4-CB53-42FF-B750-112F119391C5}"/>
    <cellStyle name="Input 5 11 3 3" xfId="10933" xr:uid="{36FCC2A5-00A3-4FAD-9E08-27BE19141689}"/>
    <cellStyle name="Input 5 11 3 4" xfId="10934" xr:uid="{AADFADD4-2796-4736-B0C8-27803BF51A82}"/>
    <cellStyle name="Input 5 11 4" xfId="10935" xr:uid="{C21D3D97-DEDE-48A0-92E6-07693BFD9736}"/>
    <cellStyle name="Input 5 11 4 2" xfId="10936" xr:uid="{42441343-CDEC-46F7-B677-AC8E18BF93C0}"/>
    <cellStyle name="Input 5 11 4 3" xfId="30241" xr:uid="{D436E146-B88C-4798-AD2E-855C440A7D19}"/>
    <cellStyle name="Input 5 11 5" xfId="10937" xr:uid="{DAB437D7-A37F-4B20-86F2-89F1B81246BE}"/>
    <cellStyle name="Input 5 11 5 2" xfId="10938" xr:uid="{8DCE9336-336F-4B54-8151-0ECC2FBB3472}"/>
    <cellStyle name="Input 5 11 5 3" xfId="30242" xr:uid="{7E949AD8-4E17-4B1B-A83F-96539A9C7CBF}"/>
    <cellStyle name="Input 5 11 6" xfId="10939" xr:uid="{F62B752B-2C18-44C4-B7DF-B00F61E27AD2}"/>
    <cellStyle name="Input 5 11 6 2" xfId="10940" xr:uid="{7355B31F-B1C0-4D36-B7C2-65FF73F6BED4}"/>
    <cellStyle name="Input 5 11 6 3" xfId="30243" xr:uid="{6B44AA19-2118-4D8B-9AA9-0A8C9C124010}"/>
    <cellStyle name="Input 5 11 7" xfId="10941" xr:uid="{897AF33B-3C7C-439D-B922-B812490F0D1A}"/>
    <cellStyle name="Input 5 11 7 2" xfId="10942" xr:uid="{3B0715A7-5CC1-4C86-A942-1A9946ECD97F}"/>
    <cellStyle name="Input 5 11 7 3" xfId="30244" xr:uid="{91A2DA4C-137D-49A2-8106-5E2B80F90F68}"/>
    <cellStyle name="Input 5 11 8" xfId="10943" xr:uid="{4079518D-32F9-40EB-A7DE-303BE2D61B7A}"/>
    <cellStyle name="Input 5 11 8 2" xfId="10944" xr:uid="{778CDC0B-FF96-42AA-9499-80AC78C4D100}"/>
    <cellStyle name="Input 5 11 8 3" xfId="30245" xr:uid="{9FA12245-7A44-4697-8367-DD8B5276A8E9}"/>
    <cellStyle name="Input 5 11 9" xfId="10945" xr:uid="{88763DEF-072C-42F7-A907-89044806E9AB}"/>
    <cellStyle name="Input 5 11 9 2" xfId="10946" xr:uid="{4A0DF402-8353-461E-9CE3-46DB4348744C}"/>
    <cellStyle name="Input 5 11 9 3" xfId="30246" xr:uid="{92C99074-38F0-4C4C-9F90-87B6325DC8BE}"/>
    <cellStyle name="Input 5 12" xfId="10947" xr:uid="{55CBA6C9-CCE8-4AAE-BE42-BD3C707656DA}"/>
    <cellStyle name="Input 5 12 10" xfId="10948" xr:uid="{F1A42421-D8E6-47EA-8C6C-0D654FA8EBC8}"/>
    <cellStyle name="Input 5 12 10 2" xfId="30247" xr:uid="{0ABC48C4-AB3E-4DCA-BE7D-B0BC6F5E86F6}"/>
    <cellStyle name="Input 5 12 11" xfId="30248" xr:uid="{C64B1011-3846-47FE-B2F9-0F8C560CBC42}"/>
    <cellStyle name="Input 5 12 2" xfId="10949" xr:uid="{F7A057A8-B00D-45CB-AC99-763D2AE0DF0B}"/>
    <cellStyle name="Input 5 12 2 2" xfId="10950" xr:uid="{6597165B-6511-46FC-8A3E-0E48004004B3}"/>
    <cellStyle name="Input 5 12 2 3" xfId="10951" xr:uid="{4818F243-9A84-4528-98C5-7F3573A22A61}"/>
    <cellStyle name="Input 5 12 2 4" xfId="10952" xr:uid="{96BE5FD3-EF67-4A17-84B9-4636ED07B94F}"/>
    <cellStyle name="Input 5 12 3" xfId="10953" xr:uid="{28F4B89B-A453-44D5-A0F3-EB0E5C5D69D5}"/>
    <cellStyle name="Input 5 12 3 2" xfId="10954" xr:uid="{50E171FF-1D19-4586-9C07-803825773657}"/>
    <cellStyle name="Input 5 12 3 3" xfId="30249" xr:uid="{EA5AE0F4-AF4E-4B64-A849-201F37AEA8BE}"/>
    <cellStyle name="Input 5 12 4" xfId="10955" xr:uid="{9A8D4EDD-1B6B-42CE-A860-B09C5CD3F4BD}"/>
    <cellStyle name="Input 5 12 4 2" xfId="10956" xr:uid="{E7230F9E-024A-4C8A-BE33-ED75846A629E}"/>
    <cellStyle name="Input 5 12 4 3" xfId="30250" xr:uid="{A184DCCD-75A7-4F3A-82B7-EF1325EF8ECE}"/>
    <cellStyle name="Input 5 12 5" xfId="10957" xr:uid="{989ACD68-9C43-46A0-9C0F-3FBE4DC8DCC5}"/>
    <cellStyle name="Input 5 12 5 2" xfId="10958" xr:uid="{138D6548-F496-4960-A655-01202D651F5C}"/>
    <cellStyle name="Input 5 12 5 3" xfId="30251" xr:uid="{498C1F6E-CEBC-4A03-A76A-5E27BC393561}"/>
    <cellStyle name="Input 5 12 6" xfId="10959" xr:uid="{CE598233-47D5-45C7-B3C8-11C34E9F2545}"/>
    <cellStyle name="Input 5 12 6 2" xfId="10960" xr:uid="{D4D2BCAB-2F60-4F6A-9FBA-2D8A369522E8}"/>
    <cellStyle name="Input 5 12 6 3" xfId="30252" xr:uid="{2194CCF4-09D0-47C6-AFA5-E8AE21051B9E}"/>
    <cellStyle name="Input 5 12 7" xfId="10961" xr:uid="{6797B7F9-FCD0-41B7-A6B2-3F95C58F4111}"/>
    <cellStyle name="Input 5 12 7 2" xfId="10962" xr:uid="{52B8A80B-F4E8-49D1-B314-2AA78058EBBE}"/>
    <cellStyle name="Input 5 12 7 3" xfId="30253" xr:uid="{DD0FC95D-BF4A-4330-BB08-1D744ABAECA5}"/>
    <cellStyle name="Input 5 12 8" xfId="10963" xr:uid="{500C6F69-FAAF-41A9-81A7-BE2B00F3A2AC}"/>
    <cellStyle name="Input 5 12 8 2" xfId="10964" xr:uid="{933E38E3-A430-4F3B-932E-D0944E662327}"/>
    <cellStyle name="Input 5 12 8 3" xfId="30254" xr:uid="{60D2B58B-8B18-4F34-9406-4E1F5D8264FE}"/>
    <cellStyle name="Input 5 12 9" xfId="10965" xr:uid="{20E2AAC3-81B4-4EA0-8584-B773DF6A1636}"/>
    <cellStyle name="Input 5 12 9 2" xfId="30255" xr:uid="{6F946CA9-31C7-4C47-AA97-0093DC43810C}"/>
    <cellStyle name="Input 5 12 9 3" xfId="30256" xr:uid="{D476A1A5-D913-4FE2-882A-9FDA61FF6167}"/>
    <cellStyle name="Input 5 13" xfId="10966" xr:uid="{4C63DCB6-C78B-4543-B155-BDA7B9966D0E}"/>
    <cellStyle name="Input 5 13 2" xfId="10967" xr:uid="{18C84CD2-97A2-4707-ABA7-5C3051A01C9F}"/>
    <cellStyle name="Input 5 13 3" xfId="10968" xr:uid="{D3AF2DAA-CC00-4C35-B576-853A526BB60B}"/>
    <cellStyle name="Input 5 13 4" xfId="10969" xr:uid="{E8E60EC5-A075-4052-89B3-F4B7A27E5B3C}"/>
    <cellStyle name="Input 5 14" xfId="10970" xr:uid="{068D4D18-B221-47BC-9563-58D5A82991CA}"/>
    <cellStyle name="Input 5 14 2" xfId="10971" xr:uid="{0F0B5E86-0A04-4C81-AD0B-61497334BAF5}"/>
    <cellStyle name="Input 5 14 3" xfId="30257" xr:uid="{821689F1-92D8-43D8-B32C-851DA0F1168B}"/>
    <cellStyle name="Input 5 15" xfId="10972" xr:uid="{F1136B5F-B5AC-4C76-836B-19A8CA158E8E}"/>
    <cellStyle name="Input 5 15 2" xfId="10973" xr:uid="{9D8AC6EB-3C1B-493D-A7D2-43888846D5AB}"/>
    <cellStyle name="Input 5 15 3" xfId="30258" xr:uid="{C9EC44C4-7DCB-4F0F-82CD-10A0E02B05F4}"/>
    <cellStyle name="Input 5 16" xfId="10974" xr:uid="{1D06F527-D853-4FFD-B8AC-989E1C285319}"/>
    <cellStyle name="Input 5 16 2" xfId="10975" xr:uid="{5C8ED583-0E63-4185-93B2-DE8344BDD7AE}"/>
    <cellStyle name="Input 5 16 3" xfId="30259" xr:uid="{C311FF48-9C9C-43C3-A04B-3707841AF8D9}"/>
    <cellStyle name="Input 5 17" xfId="10976" xr:uid="{5E87A191-51AA-4C04-93D5-2E0B93619546}"/>
    <cellStyle name="Input 5 17 2" xfId="10977" xr:uid="{9E37CCCE-47F0-4CA7-B200-9EECF55EF45B}"/>
    <cellStyle name="Input 5 17 3" xfId="30260" xr:uid="{AD911149-35D9-413F-88B5-C1357AC714F8}"/>
    <cellStyle name="Input 5 18" xfId="10978" xr:uid="{0473D339-8CC8-4251-BC5F-BDC06E3512D3}"/>
    <cellStyle name="Input 5 18 2" xfId="10979" xr:uid="{E3CA5D34-091A-49B9-87F2-F00B26EA9336}"/>
    <cellStyle name="Input 5 18 3" xfId="30261" xr:uid="{C21D987E-561E-4131-9CEB-326A26B3FFDD}"/>
    <cellStyle name="Input 5 19" xfId="10980" xr:uid="{53618B82-033D-490C-8E86-E0C775E71239}"/>
    <cellStyle name="Input 5 19 2" xfId="10981" xr:uid="{BFDBD0E4-4985-4469-AE7C-D9A0ED5B736E}"/>
    <cellStyle name="Input 5 19 3" xfId="30262" xr:uid="{E05C8125-A49D-4AC2-965F-09320496C959}"/>
    <cellStyle name="Input 5 2" xfId="10982" xr:uid="{A4429B85-3103-445B-8834-2A49CD0D8C7B}"/>
    <cellStyle name="Input 5 2 10" xfId="10983" xr:uid="{EB1CA896-7939-4D3C-BAEF-DD90A3D5E136}"/>
    <cellStyle name="Input 5 2 10 2" xfId="30263" xr:uid="{0355B3D5-526F-41FC-83FA-D88705657715}"/>
    <cellStyle name="Input 5 2 10 3" xfId="30264" xr:uid="{0A154883-1CA0-4F87-B321-0EB808130511}"/>
    <cellStyle name="Input 5 2 11" xfId="10984" xr:uid="{98902454-2A4D-4E78-998F-08E28119BA9B}"/>
    <cellStyle name="Input 5 2 11 2" xfId="30265" xr:uid="{22BAF494-A9F6-443B-A9D5-08C2081B2E26}"/>
    <cellStyle name="Input 5 2 12" xfId="30266" xr:uid="{0F3AC7F3-4033-4928-A8B4-C9FC7A94BE27}"/>
    <cellStyle name="Input 5 2 13" xfId="30267" xr:uid="{8A4BE269-CD5E-43E9-BDAF-433479C6753C}"/>
    <cellStyle name="Input 5 2 14" xfId="30268" xr:uid="{975B11CA-2C88-421C-B987-A92DFF387BDE}"/>
    <cellStyle name="Input 5 2 15" xfId="42808" xr:uid="{85963085-4354-443D-B3A2-934D3AE7C548}"/>
    <cellStyle name="Input 5 2 16" xfId="42283" xr:uid="{429131A5-970A-4215-9C37-8C6765EED0AC}"/>
    <cellStyle name="Input 5 2 17" xfId="43910" xr:uid="{5E43AFBD-AF44-450A-B21B-D22E1393429E}"/>
    <cellStyle name="Input 5 2 2" xfId="10985" xr:uid="{18A332B2-E774-4366-A2E5-1E7D9DDA1B1F}"/>
    <cellStyle name="Input 5 2 2 10" xfId="10986" xr:uid="{980F4DFA-A728-4CF0-8781-905A77D47F17}"/>
    <cellStyle name="Input 5 2 2 10 2" xfId="30269" xr:uid="{6C53EA8F-B8F5-493A-B389-7D72FD5988AE}"/>
    <cellStyle name="Input 5 2 2 11" xfId="30270" xr:uid="{90E0A202-05BE-4248-954D-91F6FC65D8D5}"/>
    <cellStyle name="Input 5 2 2 2" xfId="10987" xr:uid="{366DB9D6-6EFD-4906-BD46-BC56B54B2C43}"/>
    <cellStyle name="Input 5 2 2 2 2" xfId="10988" xr:uid="{4AA217BB-EBC2-4010-AC6E-100BD9695216}"/>
    <cellStyle name="Input 5 2 2 2 3" xfId="10989" xr:uid="{C3E0CA17-59EF-44A6-A352-BF16CD1342A6}"/>
    <cellStyle name="Input 5 2 2 2 4" xfId="10990" xr:uid="{43DDBABC-561A-4A28-9D4C-19E487F40EE9}"/>
    <cellStyle name="Input 5 2 2 3" xfId="10991" xr:uid="{384D3D86-E4E3-4F43-99F8-E40B358770CF}"/>
    <cellStyle name="Input 5 2 2 3 2" xfId="10992" xr:uid="{AE2738D6-49DC-45E6-B263-9D58BEBA0259}"/>
    <cellStyle name="Input 5 2 2 3 3" xfId="30271" xr:uid="{FAFA7C14-D35D-412E-9840-BFA80D27CB7F}"/>
    <cellStyle name="Input 5 2 2 4" xfId="10993" xr:uid="{7B82F139-C3FD-43AA-A4B5-20556AE76521}"/>
    <cellStyle name="Input 5 2 2 4 2" xfId="10994" xr:uid="{A745EFA4-DD2A-42EC-92DB-B86017F0480F}"/>
    <cellStyle name="Input 5 2 2 4 3" xfId="30272" xr:uid="{0A414B24-0B01-49FD-A220-8EAEAB5AFB0A}"/>
    <cellStyle name="Input 5 2 2 5" xfId="10995" xr:uid="{513C0CF2-D859-4451-8968-5FC0B9689956}"/>
    <cellStyle name="Input 5 2 2 5 2" xfId="10996" xr:uid="{54F8FD28-BE86-46A0-AD1B-78B206DF1DF9}"/>
    <cellStyle name="Input 5 2 2 5 3" xfId="30273" xr:uid="{ADC22C13-7D49-4E22-A4ED-8240C83991F5}"/>
    <cellStyle name="Input 5 2 2 6" xfId="10997" xr:uid="{EF0A6672-D08D-4352-A452-5843CE1638E5}"/>
    <cellStyle name="Input 5 2 2 6 2" xfId="10998" xr:uid="{330530C2-71E2-46D8-A833-A50CF0884383}"/>
    <cellStyle name="Input 5 2 2 6 3" xfId="30274" xr:uid="{62340F3F-B6A9-4EFE-AAE3-E92CE44D3B86}"/>
    <cellStyle name="Input 5 2 2 7" xfId="10999" xr:uid="{D71310B6-9C94-4905-8663-088313ABA02B}"/>
    <cellStyle name="Input 5 2 2 7 2" xfId="11000" xr:uid="{C5C2AD3F-0626-4147-B01F-35DAA7C18650}"/>
    <cellStyle name="Input 5 2 2 7 3" xfId="30275" xr:uid="{E8064232-6F79-47A4-B28E-39B013BB270B}"/>
    <cellStyle name="Input 5 2 2 8" xfId="11001" xr:uid="{8FB840FA-8973-4A6C-A6C8-040271D7D096}"/>
    <cellStyle name="Input 5 2 2 8 2" xfId="11002" xr:uid="{D95F616B-EAFB-4E3B-830B-A89D1B8166BD}"/>
    <cellStyle name="Input 5 2 2 8 3" xfId="30276" xr:uid="{D4B708A9-E1A0-4A8E-B1DE-9CA79889039F}"/>
    <cellStyle name="Input 5 2 2 9" xfId="11003" xr:uid="{D14FF42D-3DE3-4EC6-9F7D-7AF24363912F}"/>
    <cellStyle name="Input 5 2 2 9 2" xfId="30277" xr:uid="{3CF385F7-B02F-4163-8EDC-B6396BDBA6D7}"/>
    <cellStyle name="Input 5 2 2 9 3" xfId="30278" xr:uid="{15A4D9EE-843B-4C7D-B7AA-536A847D434D}"/>
    <cellStyle name="Input 5 2 3" xfId="11004" xr:uid="{2231D231-50F4-41FF-A8C9-CDA3352E41A5}"/>
    <cellStyle name="Input 5 2 3 2" xfId="11005" xr:uid="{C00625B9-6243-4C08-BF07-070A8E21F419}"/>
    <cellStyle name="Input 5 2 3 3" xfId="11006" xr:uid="{0E029562-A457-4F2D-8D39-7016CAAFD206}"/>
    <cellStyle name="Input 5 2 3 4" xfId="11007" xr:uid="{2EA91643-51F3-4E6F-B064-E29954A8C89C}"/>
    <cellStyle name="Input 5 2 4" xfId="11008" xr:uid="{9312D483-6A97-46D3-8377-EAAABFD2395B}"/>
    <cellStyle name="Input 5 2 4 2" xfId="11009" xr:uid="{31B0ED90-01AD-4003-9E5E-349959E3722B}"/>
    <cellStyle name="Input 5 2 4 3" xfId="30279" xr:uid="{D819C85D-6808-4299-B355-0800CF2E83B8}"/>
    <cellStyle name="Input 5 2 5" xfId="11010" xr:uid="{90D6A2AD-3C8B-4406-BA86-A631A7A1E4EA}"/>
    <cellStyle name="Input 5 2 5 2" xfId="11011" xr:uid="{05112A95-CE2B-4A14-8A41-76EAD38730A2}"/>
    <cellStyle name="Input 5 2 5 3" xfId="30280" xr:uid="{EC5997AA-277E-4E7F-9865-3B11E320316A}"/>
    <cellStyle name="Input 5 2 6" xfId="11012" xr:uid="{9815EB1B-51B8-45B1-A05D-F8C7BA6655E6}"/>
    <cellStyle name="Input 5 2 6 2" xfId="11013" xr:uid="{C3DE0ED0-588B-45CD-A15F-FB25B59ACCD4}"/>
    <cellStyle name="Input 5 2 6 3" xfId="30281" xr:uid="{E1BF5F0F-4246-4006-A39C-7652B725630F}"/>
    <cellStyle name="Input 5 2 7" xfId="11014" xr:uid="{20D32B05-5300-4F3F-950A-9A49E4FE5C1F}"/>
    <cellStyle name="Input 5 2 7 2" xfId="11015" xr:uid="{DB3F97C2-1D05-4D02-AD38-4E03E5A9223D}"/>
    <cellStyle name="Input 5 2 7 3" xfId="30282" xr:uid="{A29D477B-6F5E-4832-A984-1D83D8871B49}"/>
    <cellStyle name="Input 5 2 8" xfId="11016" xr:uid="{F41BD7B2-DBDB-4AAD-8867-0576ECF69D28}"/>
    <cellStyle name="Input 5 2 8 2" xfId="11017" xr:uid="{034F2E79-24DD-4BDB-AD29-65980BF79AE1}"/>
    <cellStyle name="Input 5 2 8 3" xfId="30283" xr:uid="{5520DC65-4E48-4F6A-AA93-14D889A9072C}"/>
    <cellStyle name="Input 5 2 9" xfId="11018" xr:uid="{5E18D5D0-E702-4E18-8DA1-54A6B09A2C2B}"/>
    <cellStyle name="Input 5 2 9 2" xfId="11019" xr:uid="{EE76110E-3719-4B9B-B4BB-F9B22764557F}"/>
    <cellStyle name="Input 5 2 9 3" xfId="30284" xr:uid="{A10131FB-98AD-423E-B0FD-795E8F90F61E}"/>
    <cellStyle name="Input 5 20" xfId="11020" xr:uid="{822E53F8-CD53-47EE-B6EA-C3AFEEC40D44}"/>
    <cellStyle name="Input 5 20 2" xfId="30285" xr:uid="{6AE8A729-8CE5-4135-8EA7-D3D0F6794604}"/>
    <cellStyle name="Input 5 20 3" xfId="30286" xr:uid="{8B578804-CF73-49CD-B878-701005ECDE99}"/>
    <cellStyle name="Input 5 21" xfId="11021" xr:uid="{4F6C6391-D516-4609-B17A-2E37B0536D75}"/>
    <cellStyle name="Input 5 21 2" xfId="30287" xr:uid="{EBC7480A-C3CB-432B-A903-96D5D179C18B}"/>
    <cellStyle name="Input 5 22" xfId="30288" xr:uid="{57B4B7E8-5D13-412C-B34D-83D0878B0FBB}"/>
    <cellStyle name="Input 5 23" xfId="30289" xr:uid="{FFA83F4C-FB9D-4D1B-9AE7-FE85A09586A9}"/>
    <cellStyle name="Input 5 24" xfId="30290" xr:uid="{DD37EDDA-992D-4C99-A0FE-E0BD6AF85F5A}"/>
    <cellStyle name="Input 5 3" xfId="11022" xr:uid="{1A0AC48F-D6E1-4A49-86D8-05A828F8A465}"/>
    <cellStyle name="Input 5 3 10" xfId="11023" xr:uid="{9FB6B28A-E2A7-4DD5-8815-CAB86C685187}"/>
    <cellStyle name="Input 5 3 10 2" xfId="30291" xr:uid="{3A0B8885-323E-4C72-931F-993C62C79A81}"/>
    <cellStyle name="Input 5 3 10 3" xfId="30292" xr:uid="{1FABA9EE-4EA8-4D31-96E7-7B7ACBA70627}"/>
    <cellStyle name="Input 5 3 11" xfId="11024" xr:uid="{B01FEF75-832A-468E-8E9A-CB6AC0E6F84F}"/>
    <cellStyle name="Input 5 3 11 2" xfId="30293" xr:uid="{8DCAEA70-91EE-440E-A667-E33016691174}"/>
    <cellStyle name="Input 5 3 12" xfId="30294" xr:uid="{72BFC221-0509-4810-9828-5419AE10DF5E}"/>
    <cellStyle name="Input 5 3 2" xfId="11025" xr:uid="{0AE15DEC-F937-40F8-BBF0-F1040DB60319}"/>
    <cellStyle name="Input 5 3 2 10" xfId="11026" xr:uid="{60840B98-D71C-4610-8DCF-69316197FE90}"/>
    <cellStyle name="Input 5 3 2 10 2" xfId="30295" xr:uid="{925BE66F-0D09-41C7-96F3-0DEF86BC5A92}"/>
    <cellStyle name="Input 5 3 2 11" xfId="30296" xr:uid="{12196BEE-9E41-4949-8DD9-8A0926434BAD}"/>
    <cellStyle name="Input 5 3 2 2" xfId="11027" xr:uid="{7509B5CB-8DE2-4F29-AEA7-8A412620BF06}"/>
    <cellStyle name="Input 5 3 2 2 2" xfId="11028" xr:uid="{A368DE0A-0E9D-498E-A157-68FA8B1E7F70}"/>
    <cellStyle name="Input 5 3 2 2 3" xfId="11029" xr:uid="{693BE90E-4E8A-4231-ABE6-94674A4B48C9}"/>
    <cellStyle name="Input 5 3 2 2 4" xfId="11030" xr:uid="{3AAD8250-AA1E-4EC4-B5D3-8EDBFA3305C3}"/>
    <cellStyle name="Input 5 3 2 3" xfId="11031" xr:uid="{ED41F0A7-D71F-4E1A-AF98-733550F02B2C}"/>
    <cellStyle name="Input 5 3 2 3 2" xfId="11032" xr:uid="{71DB08F2-ACEA-4945-97C4-DAE24E77FD48}"/>
    <cellStyle name="Input 5 3 2 3 3" xfId="30297" xr:uid="{F079F0D7-2A3F-49E4-BD35-F059CCDE1C60}"/>
    <cellStyle name="Input 5 3 2 4" xfId="11033" xr:uid="{DA66BBDA-AEF4-480F-B55C-E6093BABDCFA}"/>
    <cellStyle name="Input 5 3 2 4 2" xfId="11034" xr:uid="{E3E372D5-0608-4EF3-A1FC-B1D10A63FD8D}"/>
    <cellStyle name="Input 5 3 2 4 3" xfId="30298" xr:uid="{F0EA3AAD-C362-4670-8511-4BB930581C42}"/>
    <cellStyle name="Input 5 3 2 5" xfId="11035" xr:uid="{220BD1AC-84CC-411F-970E-596260C93F05}"/>
    <cellStyle name="Input 5 3 2 5 2" xfId="11036" xr:uid="{53DD35F2-90FF-47FF-847B-D741D60686AA}"/>
    <cellStyle name="Input 5 3 2 5 3" xfId="30299" xr:uid="{D54B43B9-437A-49DD-8E5B-38E37F579F93}"/>
    <cellStyle name="Input 5 3 2 6" xfId="11037" xr:uid="{F8448E83-48A5-48B0-9AA2-52726D22CA78}"/>
    <cellStyle name="Input 5 3 2 6 2" xfId="11038" xr:uid="{87E5454A-5F51-49F7-8031-0A65F8653183}"/>
    <cellStyle name="Input 5 3 2 6 3" xfId="30300" xr:uid="{61EDA2D4-B072-4CD1-B1AF-EE5D34AF5283}"/>
    <cellStyle name="Input 5 3 2 7" xfId="11039" xr:uid="{1B49AF86-62C0-4FBA-A4A6-8A65DF57079F}"/>
    <cellStyle name="Input 5 3 2 7 2" xfId="11040" xr:uid="{F615F9C9-7425-4885-AAC4-63E6D5FEBF5A}"/>
    <cellStyle name="Input 5 3 2 7 3" xfId="30301" xr:uid="{8574AE7E-8CE7-46F6-B6D6-CC4C6FB5C238}"/>
    <cellStyle name="Input 5 3 2 8" xfId="11041" xr:uid="{F9C22541-7DD2-407D-8C9F-1D2A4C1DF673}"/>
    <cellStyle name="Input 5 3 2 8 2" xfId="11042" xr:uid="{2C0C921E-9AC0-4B4B-BD0D-A663770D827B}"/>
    <cellStyle name="Input 5 3 2 8 3" xfId="30302" xr:uid="{217B80D6-29AD-4642-B307-14C38EF938CF}"/>
    <cellStyle name="Input 5 3 2 9" xfId="11043" xr:uid="{B0104F12-F41D-4A18-BB97-638BED4A6910}"/>
    <cellStyle name="Input 5 3 2 9 2" xfId="30303" xr:uid="{1319C4F3-F618-48DE-BC9B-97F4A2AD6917}"/>
    <cellStyle name="Input 5 3 2 9 3" xfId="30304" xr:uid="{7F8FBC68-0328-425B-8405-F06C0C2095D5}"/>
    <cellStyle name="Input 5 3 3" xfId="11044" xr:uid="{97599ADE-FC6A-4647-8070-EC096BC8848F}"/>
    <cellStyle name="Input 5 3 3 2" xfId="11045" xr:uid="{5A67C7C4-4053-4B33-B3F3-6F706AC175B7}"/>
    <cellStyle name="Input 5 3 3 3" xfId="11046" xr:uid="{1C28E9C7-A509-40A6-891A-330E771B142A}"/>
    <cellStyle name="Input 5 3 3 4" xfId="11047" xr:uid="{D361384A-5109-4E4A-AB10-05C741164158}"/>
    <cellStyle name="Input 5 3 4" xfId="11048" xr:uid="{4EDA0CDD-B206-4337-A5EF-EC01EFB80E48}"/>
    <cellStyle name="Input 5 3 4 2" xfId="11049" xr:uid="{1E7FA306-4768-4898-AAB7-3B6BE1B53FEE}"/>
    <cellStyle name="Input 5 3 4 3" xfId="30305" xr:uid="{0AA739B8-7E01-47FB-AD77-9755FF8D513F}"/>
    <cellStyle name="Input 5 3 5" xfId="11050" xr:uid="{83A22BFC-68E3-46A2-995A-B24DCEF6816B}"/>
    <cellStyle name="Input 5 3 5 2" xfId="11051" xr:uid="{340812BC-937A-410B-970C-7ECFCB0DBF16}"/>
    <cellStyle name="Input 5 3 5 3" xfId="30306" xr:uid="{BDCF5D0E-69B7-4B82-8994-954E25277E90}"/>
    <cellStyle name="Input 5 3 6" xfId="11052" xr:uid="{0E97975F-3D81-437B-8A58-42C150D8C231}"/>
    <cellStyle name="Input 5 3 6 2" xfId="11053" xr:uid="{7232FE4C-AA83-4075-A612-2BCDEB0A2619}"/>
    <cellStyle name="Input 5 3 6 3" xfId="30307" xr:uid="{02C438D9-8EE6-449A-9AE8-0D22E2533402}"/>
    <cellStyle name="Input 5 3 7" xfId="11054" xr:uid="{ECB3DB67-992F-4FB3-81B5-48A9FB17AB3D}"/>
    <cellStyle name="Input 5 3 7 2" xfId="11055" xr:uid="{EFA41837-C381-44B4-9B03-9FCEAB865182}"/>
    <cellStyle name="Input 5 3 7 3" xfId="30308" xr:uid="{CA3B8735-8193-4023-AECE-7D507E712385}"/>
    <cellStyle name="Input 5 3 8" xfId="11056" xr:uid="{5467D122-AAA2-40EE-9C82-06ACEB61739E}"/>
    <cellStyle name="Input 5 3 8 2" xfId="11057" xr:uid="{2B6874AC-4187-423C-A3B9-DAF801F930C4}"/>
    <cellStyle name="Input 5 3 8 3" xfId="30309" xr:uid="{3B476DF7-B78D-4FA9-8DDC-538A0DD0DE1E}"/>
    <cellStyle name="Input 5 3 9" xfId="11058" xr:uid="{BDA9141F-895C-4180-B643-FEBEC70D13F5}"/>
    <cellStyle name="Input 5 3 9 2" xfId="11059" xr:uid="{F888624B-0A00-44E3-B879-223E13F2BE24}"/>
    <cellStyle name="Input 5 3 9 3" xfId="30310" xr:uid="{9F10BB6E-1D5B-4B8D-BF13-CE886884D918}"/>
    <cellStyle name="Input 5 4" xfId="11060" xr:uid="{84674892-6F54-4CD8-9BD0-101A32AA6A42}"/>
    <cellStyle name="Input 5 4 10" xfId="11061" xr:uid="{20D1457A-6167-4901-B1DD-FB3F915F4580}"/>
    <cellStyle name="Input 5 4 10 2" xfId="30311" xr:uid="{01B13F7C-AE9A-466E-8EFC-577DA93D3C47}"/>
    <cellStyle name="Input 5 4 10 3" xfId="30312" xr:uid="{B6F62496-D68D-46A5-AD70-9DA3A7E1384D}"/>
    <cellStyle name="Input 5 4 11" xfId="11062" xr:uid="{B4CD6398-99D5-4BDA-8DA4-82F045950092}"/>
    <cellStyle name="Input 5 4 11 2" xfId="30313" xr:uid="{A28949A3-F3CC-4CB9-8A17-4804266C162C}"/>
    <cellStyle name="Input 5 4 12" xfId="30314" xr:uid="{7B6A8642-5543-40CC-894B-FF6813070C8A}"/>
    <cellStyle name="Input 5 4 2" xfId="11063" xr:uid="{6D6C5039-3BE5-425B-ADD8-B6D4FBF148A4}"/>
    <cellStyle name="Input 5 4 2 10" xfId="11064" xr:uid="{BE99056E-9088-4834-9A12-4CCF630A693E}"/>
    <cellStyle name="Input 5 4 2 10 2" xfId="30315" xr:uid="{5549BA72-B46E-4BA9-9609-1567355ACF61}"/>
    <cellStyle name="Input 5 4 2 11" xfId="30316" xr:uid="{4BDDE2E4-6752-4840-A744-D8D93435E5C1}"/>
    <cellStyle name="Input 5 4 2 2" xfId="11065" xr:uid="{FD009B3A-803E-4878-84D6-4A83726D195E}"/>
    <cellStyle name="Input 5 4 2 2 2" xfId="11066" xr:uid="{474D4884-7808-44DC-B0AE-3ABDF4C6FEDA}"/>
    <cellStyle name="Input 5 4 2 2 3" xfId="11067" xr:uid="{D7847C06-50B3-44DA-9A56-3FCF2C39E653}"/>
    <cellStyle name="Input 5 4 2 2 4" xfId="11068" xr:uid="{61B31905-EE30-4B84-8071-74FD2987ADF3}"/>
    <cellStyle name="Input 5 4 2 3" xfId="11069" xr:uid="{6385C534-37B5-41C0-B7DE-4C477396D4F3}"/>
    <cellStyle name="Input 5 4 2 3 2" xfId="11070" xr:uid="{73B0FB52-FB4D-4F29-A88A-19FC51C1C3AB}"/>
    <cellStyle name="Input 5 4 2 3 3" xfId="30317" xr:uid="{C23E57AB-6690-45B7-94DD-5A4C4BEAF9EB}"/>
    <cellStyle name="Input 5 4 2 4" xfId="11071" xr:uid="{19CB644C-0D2A-49A1-A3FA-6EC5814B8F6A}"/>
    <cellStyle name="Input 5 4 2 4 2" xfId="11072" xr:uid="{ACB6EAAA-D498-4FB4-B5DA-B0690EE62726}"/>
    <cellStyle name="Input 5 4 2 4 3" xfId="30318" xr:uid="{0895FC9D-D228-4073-99F7-EAB50CD93026}"/>
    <cellStyle name="Input 5 4 2 5" xfId="11073" xr:uid="{8B9E0D1F-DBF0-425C-9A3A-6C6EF8CBCD5F}"/>
    <cellStyle name="Input 5 4 2 5 2" xfId="11074" xr:uid="{90C5A1A0-1DA7-4D5C-9466-9168E082B0D2}"/>
    <cellStyle name="Input 5 4 2 5 3" xfId="30319" xr:uid="{51E7FB4C-2B5B-4A11-B9CA-95CEEB2623C3}"/>
    <cellStyle name="Input 5 4 2 6" xfId="11075" xr:uid="{5E7313A3-3AEB-4791-8C4D-2B612C5C692D}"/>
    <cellStyle name="Input 5 4 2 6 2" xfId="11076" xr:uid="{8A62287C-E58F-4AF5-BF15-ACCDC505599C}"/>
    <cellStyle name="Input 5 4 2 6 3" xfId="30320" xr:uid="{9FC4A922-BDE5-4637-B3D7-1F63D22D2642}"/>
    <cellStyle name="Input 5 4 2 7" xfId="11077" xr:uid="{D7A908E2-FA8C-4601-A709-BEB3003BEEA2}"/>
    <cellStyle name="Input 5 4 2 7 2" xfId="11078" xr:uid="{68E84726-3AA6-4050-9C8F-B14CCD724776}"/>
    <cellStyle name="Input 5 4 2 7 3" xfId="30321" xr:uid="{8D84A2F5-14EF-4D68-B238-F4C182566629}"/>
    <cellStyle name="Input 5 4 2 8" xfId="11079" xr:uid="{B945E9EE-537A-456D-94EC-B8726F1072D0}"/>
    <cellStyle name="Input 5 4 2 8 2" xfId="11080" xr:uid="{3BD0C6A8-7203-4263-89D8-6145A9E437B1}"/>
    <cellStyle name="Input 5 4 2 8 3" xfId="30322" xr:uid="{5F643318-A496-4549-BEF0-29F78A94AF6A}"/>
    <cellStyle name="Input 5 4 2 9" xfId="11081" xr:uid="{EECE1AC1-6400-4623-A5EF-6C59114AB9BD}"/>
    <cellStyle name="Input 5 4 2 9 2" xfId="30323" xr:uid="{AA2CDD3A-C404-466A-A16A-69B53DC2F49A}"/>
    <cellStyle name="Input 5 4 2 9 3" xfId="30324" xr:uid="{545EF2CB-F766-452E-8E21-686D952A8E39}"/>
    <cellStyle name="Input 5 4 3" xfId="11082" xr:uid="{1955E966-0177-4390-A97F-57ADA4ACDF25}"/>
    <cellStyle name="Input 5 4 3 2" xfId="11083" xr:uid="{E01357D4-E1DB-4093-9FB5-574732751BC5}"/>
    <cellStyle name="Input 5 4 3 3" xfId="11084" xr:uid="{40EB9CF1-653D-4C33-84C8-DFB6DC868E93}"/>
    <cellStyle name="Input 5 4 3 4" xfId="11085" xr:uid="{69A9A22A-46E4-4683-AC05-4D39FE58DEEB}"/>
    <cellStyle name="Input 5 4 4" xfId="11086" xr:uid="{80A30369-4BE1-4F39-BD4B-22751836019E}"/>
    <cellStyle name="Input 5 4 4 2" xfId="11087" xr:uid="{A090CF00-32BB-4991-B8BF-FEB5C16DF19F}"/>
    <cellStyle name="Input 5 4 4 3" xfId="30325" xr:uid="{1B74AF27-1630-4CCF-BB9C-0E39BB55DF68}"/>
    <cellStyle name="Input 5 4 5" xfId="11088" xr:uid="{822A7ACA-21A4-4E49-BF1A-517F353C7D1D}"/>
    <cellStyle name="Input 5 4 5 2" xfId="11089" xr:uid="{15403D16-C172-4838-A07F-B6410FFD5C46}"/>
    <cellStyle name="Input 5 4 5 3" xfId="30326" xr:uid="{C6651BAA-E1AB-469D-A175-CAA15D823B95}"/>
    <cellStyle name="Input 5 4 6" xfId="11090" xr:uid="{AD5091B5-8503-4D3C-B7BA-458E24C671E5}"/>
    <cellStyle name="Input 5 4 6 2" xfId="11091" xr:uid="{C8E46BD0-2FC9-4096-AD63-4AD6A1FB2B8A}"/>
    <cellStyle name="Input 5 4 6 3" xfId="30327" xr:uid="{CE414346-0513-4772-9578-54B2367C8A6A}"/>
    <cellStyle name="Input 5 4 7" xfId="11092" xr:uid="{5B732D3A-671B-4979-BE5C-AF5D67B583C9}"/>
    <cellStyle name="Input 5 4 7 2" xfId="11093" xr:uid="{C6D68CB4-68EE-4452-A960-4366B33C4E1D}"/>
    <cellStyle name="Input 5 4 7 3" xfId="30328" xr:uid="{0221FC5D-1EDA-4060-9CB6-BDE763E8F9A3}"/>
    <cellStyle name="Input 5 4 8" xfId="11094" xr:uid="{AD0E4C94-F3B6-485D-A0A1-A16774C716CB}"/>
    <cellStyle name="Input 5 4 8 2" xfId="11095" xr:uid="{9C4B37D4-8621-420C-8B98-5B701D05350B}"/>
    <cellStyle name="Input 5 4 8 3" xfId="30329" xr:uid="{33B1DB83-4EE9-4E5A-BA6E-F80053E00D85}"/>
    <cellStyle name="Input 5 4 9" xfId="11096" xr:uid="{32AAA289-46E2-42B7-90CA-0F6C2B6F8C4B}"/>
    <cellStyle name="Input 5 4 9 2" xfId="11097" xr:uid="{E62A5BE3-0E5F-4B20-886E-B597FF4EF8D0}"/>
    <cellStyle name="Input 5 4 9 3" xfId="30330" xr:uid="{6A453448-7DE6-4114-8BD7-B172377B5285}"/>
    <cellStyle name="Input 5 5" xfId="11098" xr:uid="{76EA8EA0-3BC7-4518-8F90-6BF56FD5C964}"/>
    <cellStyle name="Input 5 5 10" xfId="11099" xr:uid="{ACB42E3B-544D-4F96-AA6E-73F7E2CD54E8}"/>
    <cellStyle name="Input 5 5 10 2" xfId="30331" xr:uid="{43409167-DE0A-4D69-A390-CBDDC99B2387}"/>
    <cellStyle name="Input 5 5 10 3" xfId="30332" xr:uid="{FA2AFD8F-B96B-477B-AAC8-89170202CB21}"/>
    <cellStyle name="Input 5 5 11" xfId="11100" xr:uid="{D4478539-188D-4687-B95E-1C1A9EACBB6A}"/>
    <cellStyle name="Input 5 5 11 2" xfId="30333" xr:uid="{DAACA169-7EFC-4FD7-B404-4244C33DA2D7}"/>
    <cellStyle name="Input 5 5 12" xfId="30334" xr:uid="{DBAA66E9-7F1F-4241-B70C-493D7E568FB1}"/>
    <cellStyle name="Input 5 5 2" xfId="11101" xr:uid="{9ABCB8DE-DC4D-4C14-897C-0BC8D52AE675}"/>
    <cellStyle name="Input 5 5 2 10" xfId="11102" xr:uid="{F289C117-328B-4D72-AE0C-78D5334CCF2B}"/>
    <cellStyle name="Input 5 5 2 10 2" xfId="30335" xr:uid="{2AC1AF0B-B6D9-478D-B494-FE2D156371C8}"/>
    <cellStyle name="Input 5 5 2 11" xfId="30336" xr:uid="{11B52C3F-D292-4720-9B40-213E75E9BAC7}"/>
    <cellStyle name="Input 5 5 2 2" xfId="11103" xr:uid="{D20BEDE7-3D87-4403-B14C-07CB35AE7B82}"/>
    <cellStyle name="Input 5 5 2 2 2" xfId="11104" xr:uid="{CEE69FAC-F35F-49B7-BD53-8FF2CCADFF94}"/>
    <cellStyle name="Input 5 5 2 2 3" xfId="11105" xr:uid="{8D5523B6-D9B2-4144-A6DA-1F9AB7DA7943}"/>
    <cellStyle name="Input 5 5 2 2 4" xfId="11106" xr:uid="{3FD68914-FC6D-4F84-A0E7-CBF7E2261442}"/>
    <cellStyle name="Input 5 5 2 3" xfId="11107" xr:uid="{E0BAD26D-0A2D-4A75-94C8-6EDF76F711D0}"/>
    <cellStyle name="Input 5 5 2 3 2" xfId="11108" xr:uid="{D1D47780-BAEA-4287-B90E-E832456EECC9}"/>
    <cellStyle name="Input 5 5 2 3 3" xfId="30337" xr:uid="{67327BA9-2AA0-4CCE-9A4B-A6C573F93E51}"/>
    <cellStyle name="Input 5 5 2 4" xfId="11109" xr:uid="{CB004193-1416-4D18-BB14-AE3B589F8A26}"/>
    <cellStyle name="Input 5 5 2 4 2" xfId="11110" xr:uid="{13D8044C-DF1B-4064-A5D7-DEB348918134}"/>
    <cellStyle name="Input 5 5 2 4 3" xfId="30338" xr:uid="{976C63BB-C849-49BE-81D2-27DA0033593C}"/>
    <cellStyle name="Input 5 5 2 5" xfId="11111" xr:uid="{CC71AE26-E37C-409B-911F-066EB2FB9736}"/>
    <cellStyle name="Input 5 5 2 5 2" xfId="11112" xr:uid="{0DFA8F66-89FE-44B5-843B-94D626C46C75}"/>
    <cellStyle name="Input 5 5 2 5 3" xfId="30339" xr:uid="{ABE3DA8A-FCD0-441E-8D4C-F24D92D0829C}"/>
    <cellStyle name="Input 5 5 2 6" xfId="11113" xr:uid="{B84840C7-8F72-4646-ABB1-692DA1CDE538}"/>
    <cellStyle name="Input 5 5 2 6 2" xfId="11114" xr:uid="{9597B9AC-D941-4896-9CBC-EBD3B6CB36F0}"/>
    <cellStyle name="Input 5 5 2 6 3" xfId="30340" xr:uid="{72856279-4D0B-4763-8D42-EA897201E6D8}"/>
    <cellStyle name="Input 5 5 2 7" xfId="11115" xr:uid="{3E2669D0-A871-406C-8376-86991C22D860}"/>
    <cellStyle name="Input 5 5 2 7 2" xfId="11116" xr:uid="{27CDFC9A-DD4F-4F9E-8BFF-7EB2B4B94273}"/>
    <cellStyle name="Input 5 5 2 7 3" xfId="30341" xr:uid="{ABA070B4-8501-4A0A-A287-7350DA1D94D0}"/>
    <cellStyle name="Input 5 5 2 8" xfId="11117" xr:uid="{E381D6B9-7B01-4C90-AB00-823585A2195B}"/>
    <cellStyle name="Input 5 5 2 8 2" xfId="11118" xr:uid="{D26B21DD-71C8-427B-B088-F2979559656B}"/>
    <cellStyle name="Input 5 5 2 8 3" xfId="30342" xr:uid="{D2DEA204-9D1E-439B-A100-8D471DE660B2}"/>
    <cellStyle name="Input 5 5 2 9" xfId="11119" xr:uid="{98F7DB9F-8473-4C2B-B82E-4009EB42ECDA}"/>
    <cellStyle name="Input 5 5 2 9 2" xfId="30343" xr:uid="{A2821317-E8DA-45F5-A0F2-B97E95FBA681}"/>
    <cellStyle name="Input 5 5 2 9 3" xfId="30344" xr:uid="{25BAF026-9EFB-49A2-A952-7C968E0198C9}"/>
    <cellStyle name="Input 5 5 3" xfId="11120" xr:uid="{7CF3FA2D-5855-45D3-9041-7E80612CA249}"/>
    <cellStyle name="Input 5 5 3 2" xfId="11121" xr:uid="{1C98862B-478F-4B63-91DA-70AE69312525}"/>
    <cellStyle name="Input 5 5 3 3" xfId="11122" xr:uid="{3ABEE712-4FBD-44B3-82A1-011D9677A40D}"/>
    <cellStyle name="Input 5 5 3 4" xfId="11123" xr:uid="{707C47AB-8B17-4C7A-AFD9-CCE12030B153}"/>
    <cellStyle name="Input 5 5 4" xfId="11124" xr:uid="{643E1ABC-B880-40DE-93C5-012E89E70132}"/>
    <cellStyle name="Input 5 5 4 2" xfId="11125" xr:uid="{03FA6299-1A49-4E70-B215-A7EDB0FAC0E6}"/>
    <cellStyle name="Input 5 5 4 3" xfId="30345" xr:uid="{9213117C-82B1-4881-AD90-44EA079ED834}"/>
    <cellStyle name="Input 5 5 5" xfId="11126" xr:uid="{63C44CFC-F777-4516-AE52-61B392CFF80F}"/>
    <cellStyle name="Input 5 5 5 2" xfId="11127" xr:uid="{69F93CD8-D55A-46E4-A5B0-73AA6741ABF5}"/>
    <cellStyle name="Input 5 5 5 3" xfId="30346" xr:uid="{4D5132E6-1386-4C9F-BAB6-90617F700949}"/>
    <cellStyle name="Input 5 5 6" xfId="11128" xr:uid="{B1F16F75-F20C-467B-8A18-87B64C652974}"/>
    <cellStyle name="Input 5 5 6 2" xfId="11129" xr:uid="{9DA0F0BB-BD75-43C2-B0F8-A9F884AF9E00}"/>
    <cellStyle name="Input 5 5 6 3" xfId="30347" xr:uid="{A3EF3090-5DD1-46E6-AACE-A4EE7D0EF1CF}"/>
    <cellStyle name="Input 5 5 7" xfId="11130" xr:uid="{D47A92DE-47B6-483A-A9EA-EC36F94B6CA5}"/>
    <cellStyle name="Input 5 5 7 2" xfId="11131" xr:uid="{F3A4F3CA-10F4-43A0-BB87-01F5A1C9B549}"/>
    <cellStyle name="Input 5 5 7 3" xfId="30348" xr:uid="{A615B540-2439-40DA-9777-18182F972018}"/>
    <cellStyle name="Input 5 5 8" xfId="11132" xr:uid="{4A52B632-9451-4A23-969D-8D68A1085C15}"/>
    <cellStyle name="Input 5 5 8 2" xfId="11133" xr:uid="{BABB5BDB-3AEA-4C20-AD28-BE215AC3FAB2}"/>
    <cellStyle name="Input 5 5 8 3" xfId="30349" xr:uid="{EAF910AC-39B5-465A-887C-B70DD0633755}"/>
    <cellStyle name="Input 5 5 9" xfId="11134" xr:uid="{45F80A2C-15DF-4B68-87E5-8EE1789D021C}"/>
    <cellStyle name="Input 5 5 9 2" xfId="11135" xr:uid="{48AB5594-6F1E-4E11-A093-927510DA02BB}"/>
    <cellStyle name="Input 5 5 9 3" xfId="30350" xr:uid="{E0A9B532-5B09-40BB-8EAA-6946975173CD}"/>
    <cellStyle name="Input 5 6" xfId="11136" xr:uid="{ED777089-6F8A-4132-98F8-B79A62939F84}"/>
    <cellStyle name="Input 5 6 10" xfId="11137" xr:uid="{D3426534-1A22-44B3-BC2D-2594278C213D}"/>
    <cellStyle name="Input 5 6 10 2" xfId="30351" xr:uid="{2C6279F9-0278-48B3-9333-EA9FA49D4208}"/>
    <cellStyle name="Input 5 6 10 3" xfId="30352" xr:uid="{831B2E68-7A62-4FAE-8E5D-51B16AD110A9}"/>
    <cellStyle name="Input 5 6 11" xfId="11138" xr:uid="{AA6D76C2-2B01-489E-9B3A-B29B509402CC}"/>
    <cellStyle name="Input 5 6 11 2" xfId="30353" xr:uid="{B90F10DE-8AAD-4E6F-A49D-C2A3F983CD17}"/>
    <cellStyle name="Input 5 6 12" xfId="30354" xr:uid="{D96D7970-6A41-4A6D-8F15-03511338522D}"/>
    <cellStyle name="Input 5 6 2" xfId="11139" xr:uid="{AA2C6B1B-EF82-470B-8B4A-920DD9B3BB22}"/>
    <cellStyle name="Input 5 6 2 10" xfId="11140" xr:uid="{17D72C88-1AF2-4B16-B8D6-D9D6A00E0C31}"/>
    <cellStyle name="Input 5 6 2 10 2" xfId="30355" xr:uid="{0A4CB5F9-0A76-4CA2-A4DF-8EEDA070F8D8}"/>
    <cellStyle name="Input 5 6 2 11" xfId="30356" xr:uid="{25BA16AA-1D85-42E1-BA7E-333405DFA3E1}"/>
    <cellStyle name="Input 5 6 2 2" xfId="11141" xr:uid="{2968FA40-2291-42C3-941C-FCEDA678D291}"/>
    <cellStyle name="Input 5 6 2 2 2" xfId="11142" xr:uid="{62BD878D-5B16-4918-B010-FA8D9869AAD5}"/>
    <cellStyle name="Input 5 6 2 2 3" xfId="11143" xr:uid="{C69F03B9-BB0B-4F2C-8A74-987C7558C6A2}"/>
    <cellStyle name="Input 5 6 2 2 4" xfId="11144" xr:uid="{B56B0481-B812-4417-97EB-EF738F7B4DB0}"/>
    <cellStyle name="Input 5 6 2 3" xfId="11145" xr:uid="{325B089F-0711-4432-87E1-5F835F32FF33}"/>
    <cellStyle name="Input 5 6 2 3 2" xfId="11146" xr:uid="{46819455-D821-4C15-B4C2-32CFC4F426A9}"/>
    <cellStyle name="Input 5 6 2 3 3" xfId="30357" xr:uid="{E48420BE-446B-4305-9B16-7C012A570BDF}"/>
    <cellStyle name="Input 5 6 2 4" xfId="11147" xr:uid="{11C1FFD7-A444-4566-B90F-51C4EC2B1202}"/>
    <cellStyle name="Input 5 6 2 4 2" xfId="11148" xr:uid="{85FCDFFA-5B8B-42C1-A6CF-47611CD9A4A6}"/>
    <cellStyle name="Input 5 6 2 4 3" xfId="30358" xr:uid="{7EA2C951-3C9A-4BB5-909E-9B4ACF3AAD94}"/>
    <cellStyle name="Input 5 6 2 5" xfId="11149" xr:uid="{59414FD8-DD58-4BF3-B165-B5B109970316}"/>
    <cellStyle name="Input 5 6 2 5 2" xfId="11150" xr:uid="{33829013-8D3D-4FE4-8355-9796FE28D074}"/>
    <cellStyle name="Input 5 6 2 5 3" xfId="30359" xr:uid="{718DB58E-5BC8-49C4-BCE0-31FB4E7274F9}"/>
    <cellStyle name="Input 5 6 2 6" xfId="11151" xr:uid="{60F32F68-65F8-4034-BDCC-8B5ACBDC62F9}"/>
    <cellStyle name="Input 5 6 2 6 2" xfId="11152" xr:uid="{FF7FDB4C-99F1-4B89-BD26-D733256F1671}"/>
    <cellStyle name="Input 5 6 2 6 3" xfId="30360" xr:uid="{DC65FD56-1B77-4E20-8D83-32E69321088F}"/>
    <cellStyle name="Input 5 6 2 7" xfId="11153" xr:uid="{1630AEE7-BC73-452C-B8F4-0BD70E86549D}"/>
    <cellStyle name="Input 5 6 2 7 2" xfId="11154" xr:uid="{478FBD6E-8DD4-425B-9907-6BD29E9C8470}"/>
    <cellStyle name="Input 5 6 2 7 3" xfId="30361" xr:uid="{79869CAD-2B05-4470-9A94-501128E6A10B}"/>
    <cellStyle name="Input 5 6 2 8" xfId="11155" xr:uid="{2BA96D0B-A204-41E3-97EF-ACD8E6EBCF41}"/>
    <cellStyle name="Input 5 6 2 8 2" xfId="11156" xr:uid="{BB3BAAB9-12B6-4D87-A2B1-07D09EDE59F2}"/>
    <cellStyle name="Input 5 6 2 8 3" xfId="30362" xr:uid="{F2A5E8D9-A12E-4C6A-B2B3-7DEBB14EEE6C}"/>
    <cellStyle name="Input 5 6 2 9" xfId="11157" xr:uid="{DBBE140F-F364-49D8-A25F-57F120DA854E}"/>
    <cellStyle name="Input 5 6 2 9 2" xfId="30363" xr:uid="{7BEFB463-E818-4A6D-8928-2AAD6928998D}"/>
    <cellStyle name="Input 5 6 2 9 3" xfId="30364" xr:uid="{512F3AC4-AD3C-49AE-BC92-B00320CD4578}"/>
    <cellStyle name="Input 5 6 3" xfId="11158" xr:uid="{DCF71BBE-7936-4145-8B4E-869420141A0E}"/>
    <cellStyle name="Input 5 6 3 2" xfId="11159" xr:uid="{866562E9-CDFA-4BDA-B42C-9E29CFB1B5F3}"/>
    <cellStyle name="Input 5 6 3 3" xfId="11160" xr:uid="{DEA5B2E3-0ED7-4595-A174-2F376FD080AA}"/>
    <cellStyle name="Input 5 6 3 4" xfId="11161" xr:uid="{C058B5FB-CC31-4439-9CAC-265A835C84E8}"/>
    <cellStyle name="Input 5 6 4" xfId="11162" xr:uid="{C18AAC7B-C7BF-4EAD-8726-4330A63BD4C0}"/>
    <cellStyle name="Input 5 6 4 2" xfId="11163" xr:uid="{D94B67D0-AFEB-4FDD-BF0B-976228CF7A8A}"/>
    <cellStyle name="Input 5 6 4 3" xfId="30365" xr:uid="{670FD346-664D-4A74-97B3-492942651231}"/>
    <cellStyle name="Input 5 6 5" xfId="11164" xr:uid="{B282A428-1C9A-48CF-92D6-74E5E7BA367C}"/>
    <cellStyle name="Input 5 6 5 2" xfId="11165" xr:uid="{81C8C27E-CA77-456E-8CFB-5F86C7B00515}"/>
    <cellStyle name="Input 5 6 5 3" xfId="30366" xr:uid="{7851DAF2-A0F4-46B7-AC2F-27C244BEBE17}"/>
    <cellStyle name="Input 5 6 6" xfId="11166" xr:uid="{D8349567-A88C-4FA4-B65B-ADB0089630EA}"/>
    <cellStyle name="Input 5 6 6 2" xfId="11167" xr:uid="{4668049D-4445-4795-AC69-A62B9BFEB689}"/>
    <cellStyle name="Input 5 6 6 3" xfId="30367" xr:uid="{08928A32-E788-456B-B546-9C335AB076D8}"/>
    <cellStyle name="Input 5 6 7" xfId="11168" xr:uid="{C3217740-D4FD-4F78-A09C-2F85AFF54681}"/>
    <cellStyle name="Input 5 6 7 2" xfId="11169" xr:uid="{8F816006-C980-4F46-970A-F900FE7792DB}"/>
    <cellStyle name="Input 5 6 7 3" xfId="30368" xr:uid="{DAE6EB36-1BE5-487D-9D4C-5BFAAD47D5CD}"/>
    <cellStyle name="Input 5 6 8" xfId="11170" xr:uid="{9EE47854-886B-4DFE-B7E9-8264D6952331}"/>
    <cellStyle name="Input 5 6 8 2" xfId="11171" xr:uid="{6838149D-B7FB-49BD-8603-6FABD0738F7F}"/>
    <cellStyle name="Input 5 6 8 3" xfId="30369" xr:uid="{2CC43454-B366-4FF6-8323-F57C73093C2F}"/>
    <cellStyle name="Input 5 6 9" xfId="11172" xr:uid="{5867D6E6-F305-4C41-AC3C-957CC8F33411}"/>
    <cellStyle name="Input 5 6 9 2" xfId="11173" xr:uid="{5355BC9D-1513-4DDC-A2FF-CAD0FD9FE672}"/>
    <cellStyle name="Input 5 6 9 3" xfId="30370" xr:uid="{6C61DF16-CC51-4941-A1FD-67871B0E953E}"/>
    <cellStyle name="Input 5 7" xfId="11174" xr:uid="{E9644103-9974-4F30-A9D1-068F73458437}"/>
    <cellStyle name="Input 5 7 10" xfId="11175" xr:uid="{3BF974D7-0825-44C1-8EF3-7EC546179D7F}"/>
    <cellStyle name="Input 5 7 10 2" xfId="30371" xr:uid="{698E2DCD-6DF4-4046-92E4-214947A502B8}"/>
    <cellStyle name="Input 5 7 10 3" xfId="30372" xr:uid="{BDB4A8B4-E224-4ACC-AA4E-E909160A6C72}"/>
    <cellStyle name="Input 5 7 11" xfId="11176" xr:uid="{69954ED3-B75D-441D-9DFC-324262AD964C}"/>
    <cellStyle name="Input 5 7 11 2" xfId="30373" xr:uid="{77A8C94B-8E00-4FBD-A0ED-26BE16782BFA}"/>
    <cellStyle name="Input 5 7 12" xfId="30374" xr:uid="{7BFFE3A8-0886-42EF-AB84-3FAE42D7FAE5}"/>
    <cellStyle name="Input 5 7 2" xfId="11177" xr:uid="{F4CEA19A-4C13-4F32-8D35-9AD160749407}"/>
    <cellStyle name="Input 5 7 2 10" xfId="11178" xr:uid="{37E3DA58-6769-4A22-8F00-B8FFFAA0D655}"/>
    <cellStyle name="Input 5 7 2 10 2" xfId="30375" xr:uid="{0CB61DF9-74BC-4A21-8AD2-24E3E92A11A4}"/>
    <cellStyle name="Input 5 7 2 11" xfId="30376" xr:uid="{5DF0CCC7-D358-4A8F-8AF0-6A6538D91E6B}"/>
    <cellStyle name="Input 5 7 2 2" xfId="11179" xr:uid="{BFD4F260-8BFC-4A6D-A9FE-DCFD51D71A04}"/>
    <cellStyle name="Input 5 7 2 2 2" xfId="11180" xr:uid="{9B750CE4-03B1-4B60-997E-D09FD50A1B9E}"/>
    <cellStyle name="Input 5 7 2 2 3" xfId="11181" xr:uid="{17B7F6CE-6712-45DE-A520-A88BE1D17FB4}"/>
    <cellStyle name="Input 5 7 2 2 4" xfId="11182" xr:uid="{AAFA08DA-BE38-4B8F-89AC-97D27CD57856}"/>
    <cellStyle name="Input 5 7 2 3" xfId="11183" xr:uid="{2F46F655-9C45-4A5C-99AA-5966DE851AC7}"/>
    <cellStyle name="Input 5 7 2 3 2" xfId="11184" xr:uid="{45986BE2-BC66-4853-82FA-9B06D0AE0F6B}"/>
    <cellStyle name="Input 5 7 2 3 3" xfId="30377" xr:uid="{F649E67E-9E14-4E2F-99FA-C2AAC799D362}"/>
    <cellStyle name="Input 5 7 2 4" xfId="11185" xr:uid="{0460537F-D842-457C-AAD3-6616388DA885}"/>
    <cellStyle name="Input 5 7 2 4 2" xfId="11186" xr:uid="{C36FD365-126F-4F0A-B1CC-FA8F35A8BCF1}"/>
    <cellStyle name="Input 5 7 2 4 3" xfId="30378" xr:uid="{E5B7580E-F103-44F3-8AD2-760475B13AF8}"/>
    <cellStyle name="Input 5 7 2 5" xfId="11187" xr:uid="{0B5C3751-D239-4AA0-BBC8-FF3F4758F8AA}"/>
    <cellStyle name="Input 5 7 2 5 2" xfId="11188" xr:uid="{7DABB028-9A3B-4218-9ECB-0A2FC88AD380}"/>
    <cellStyle name="Input 5 7 2 5 3" xfId="30379" xr:uid="{C6575C2F-E562-4BEF-BF79-3CB3F6B91C84}"/>
    <cellStyle name="Input 5 7 2 6" xfId="11189" xr:uid="{F8659202-0DDE-46F4-8D5B-E886C21A2837}"/>
    <cellStyle name="Input 5 7 2 6 2" xfId="11190" xr:uid="{DEB8A237-2C16-4492-A8F3-24FFE97467EB}"/>
    <cellStyle name="Input 5 7 2 6 3" xfId="30380" xr:uid="{B28766A8-E35A-41D1-8B5A-68D5248937B6}"/>
    <cellStyle name="Input 5 7 2 7" xfId="11191" xr:uid="{F68B3DF6-82CD-40BD-90D3-020285140019}"/>
    <cellStyle name="Input 5 7 2 7 2" xfId="11192" xr:uid="{E4995A10-2D49-4601-8293-4957398E01FD}"/>
    <cellStyle name="Input 5 7 2 7 3" xfId="30381" xr:uid="{6849EA0F-9180-4276-AF30-A66E6786FFAB}"/>
    <cellStyle name="Input 5 7 2 8" xfId="11193" xr:uid="{97F7967A-DD94-463C-AF57-0B8A9A00C599}"/>
    <cellStyle name="Input 5 7 2 8 2" xfId="11194" xr:uid="{3B203D9C-BB4A-43FD-B4B8-EC0FAAC65516}"/>
    <cellStyle name="Input 5 7 2 8 3" xfId="30382" xr:uid="{31AB6409-8516-4D31-BD70-1F825BCDAC6D}"/>
    <cellStyle name="Input 5 7 2 9" xfId="11195" xr:uid="{ABD4B708-5C34-4414-9A6A-7D3BCCFC4DF3}"/>
    <cellStyle name="Input 5 7 2 9 2" xfId="30383" xr:uid="{547E5638-FE3D-4747-80D0-08D8CED518E0}"/>
    <cellStyle name="Input 5 7 2 9 3" xfId="30384" xr:uid="{04B0D5CB-89E2-4312-A544-A3657224637F}"/>
    <cellStyle name="Input 5 7 3" xfId="11196" xr:uid="{D7991AAD-6F7C-45CD-9F30-DF14A6594FC2}"/>
    <cellStyle name="Input 5 7 3 2" xfId="11197" xr:uid="{842C8BDE-6362-43DC-8207-2A63FB1B9049}"/>
    <cellStyle name="Input 5 7 3 3" xfId="11198" xr:uid="{3DD80EE5-CD18-48CC-9B83-4CD3B2F9A873}"/>
    <cellStyle name="Input 5 7 3 4" xfId="11199" xr:uid="{ADEA5C99-0428-4F83-8745-49D6351BBD2D}"/>
    <cellStyle name="Input 5 7 4" xfId="11200" xr:uid="{CE83D9AA-CBD0-4F9D-8AB2-33961BEB555E}"/>
    <cellStyle name="Input 5 7 4 2" xfId="11201" xr:uid="{EDE2094D-AD49-4B6F-8190-71B9B76F9230}"/>
    <cellStyle name="Input 5 7 4 3" xfId="30385" xr:uid="{FCFF3C6F-41C2-48B6-AE8F-BEFE728655BC}"/>
    <cellStyle name="Input 5 7 5" xfId="11202" xr:uid="{BD8CB6F5-D9B5-437B-90AA-A2DC126FDDDE}"/>
    <cellStyle name="Input 5 7 5 2" xfId="11203" xr:uid="{1D89161C-9914-45F4-9AFD-2318B680DE8C}"/>
    <cellStyle name="Input 5 7 5 3" xfId="30386" xr:uid="{F0C72093-264B-435D-9AFB-646F8A6C862A}"/>
    <cellStyle name="Input 5 7 6" xfId="11204" xr:uid="{C4886646-7CB4-46AE-AFE2-AFA13D61BC56}"/>
    <cellStyle name="Input 5 7 6 2" xfId="11205" xr:uid="{34F60C4C-02C7-4131-A4C9-FE358D98240E}"/>
    <cellStyle name="Input 5 7 6 3" xfId="30387" xr:uid="{9CB39C85-09B5-4BB3-A05E-32DC267D682C}"/>
    <cellStyle name="Input 5 7 7" xfId="11206" xr:uid="{428A267C-B45F-46C0-B21E-D2A509748577}"/>
    <cellStyle name="Input 5 7 7 2" xfId="11207" xr:uid="{04041EFC-F36F-402E-8BD8-5D338B2B9E7B}"/>
    <cellStyle name="Input 5 7 7 3" xfId="30388" xr:uid="{0511D105-0E47-4675-A008-4B70B2B00F79}"/>
    <cellStyle name="Input 5 7 8" xfId="11208" xr:uid="{C4A5914E-DF7A-4323-82FB-6E7753D7A4BE}"/>
    <cellStyle name="Input 5 7 8 2" xfId="11209" xr:uid="{1BEDD8EB-93DD-4F05-9260-E7583D4FD548}"/>
    <cellStyle name="Input 5 7 8 3" xfId="30389" xr:uid="{F94DA42C-5F0D-479A-A77A-2161BDFEE68C}"/>
    <cellStyle name="Input 5 7 9" xfId="11210" xr:uid="{5E107FA6-0985-463B-A5A2-55E5241BFADB}"/>
    <cellStyle name="Input 5 7 9 2" xfId="11211" xr:uid="{AA04CA7B-71B9-456A-A763-1B4424B206EC}"/>
    <cellStyle name="Input 5 7 9 3" xfId="30390" xr:uid="{47E51194-CFEF-4FC0-97AD-A18DAB6DDF61}"/>
    <cellStyle name="Input 5 8" xfId="11212" xr:uid="{1BAE3DB1-7FBD-4F93-8713-3AE83B4D7DED}"/>
    <cellStyle name="Input 5 8 10" xfId="11213" xr:uid="{4E9C2C08-1A89-4EDC-AF8C-F0E9EAD162FD}"/>
    <cellStyle name="Input 5 8 10 2" xfId="30391" xr:uid="{A8F1797E-82E9-42A2-A29D-509C785BB1C6}"/>
    <cellStyle name="Input 5 8 10 3" xfId="30392" xr:uid="{17C0FFE3-AB39-4343-9E23-88D8DD50C8E3}"/>
    <cellStyle name="Input 5 8 11" xfId="11214" xr:uid="{AA631757-901C-4AAD-8641-552AEA677FCE}"/>
    <cellStyle name="Input 5 8 11 2" xfId="30393" xr:uid="{22038885-34E7-4F43-9B2A-E012DA54E9AA}"/>
    <cellStyle name="Input 5 8 12" xfId="30394" xr:uid="{10056EA8-4EDF-4516-989B-2D9E14BAE3CE}"/>
    <cellStyle name="Input 5 8 2" xfId="11215" xr:uid="{1B127C44-AFA5-48C4-8FEA-A8F160BF5AB1}"/>
    <cellStyle name="Input 5 8 2 10" xfId="11216" xr:uid="{40B486EE-8DDC-43D9-A9C0-3FAE0AD74080}"/>
    <cellStyle name="Input 5 8 2 10 2" xfId="30395" xr:uid="{FD94D8B0-E5FA-47FC-BC16-9FC491A9DFA5}"/>
    <cellStyle name="Input 5 8 2 11" xfId="30396" xr:uid="{92A14A6D-6FF5-4B08-918B-9D4D261A09E5}"/>
    <cellStyle name="Input 5 8 2 2" xfId="11217" xr:uid="{A05AD1EF-1DC3-4228-839A-6AA6FF9E5883}"/>
    <cellStyle name="Input 5 8 2 2 2" xfId="11218" xr:uid="{B7BCE575-A915-490B-A011-193272BA00D4}"/>
    <cellStyle name="Input 5 8 2 2 3" xfId="11219" xr:uid="{144893C2-D198-4025-9E4C-99F599194238}"/>
    <cellStyle name="Input 5 8 2 2 4" xfId="11220" xr:uid="{AE9883E5-6333-42D5-94AA-F78D369D383E}"/>
    <cellStyle name="Input 5 8 2 3" xfId="11221" xr:uid="{9CC57121-7E12-43B8-A082-D52736DFF943}"/>
    <cellStyle name="Input 5 8 2 3 2" xfId="11222" xr:uid="{B6E49051-8A89-4C76-980C-C64BC254D786}"/>
    <cellStyle name="Input 5 8 2 3 3" xfId="30397" xr:uid="{33D4F913-0DC0-413C-827D-DF24CDEEE4CB}"/>
    <cellStyle name="Input 5 8 2 4" xfId="11223" xr:uid="{93EDB9E7-47F8-429D-9DBA-4A870A0685E4}"/>
    <cellStyle name="Input 5 8 2 4 2" xfId="11224" xr:uid="{765D621A-F94C-4DE0-BB9A-C35F20EBE6C8}"/>
    <cellStyle name="Input 5 8 2 4 3" xfId="30398" xr:uid="{E05E5986-25B8-4D83-8B82-661A8C32AB59}"/>
    <cellStyle name="Input 5 8 2 5" xfId="11225" xr:uid="{96065952-97DA-4957-833F-E8F5C79A8BE5}"/>
    <cellStyle name="Input 5 8 2 5 2" xfId="11226" xr:uid="{C72A65DA-02BD-4A03-AC36-7A5927F43865}"/>
    <cellStyle name="Input 5 8 2 5 3" xfId="30399" xr:uid="{E81FFED9-B1F3-4076-BEEA-B6B06C3FE4EA}"/>
    <cellStyle name="Input 5 8 2 6" xfId="11227" xr:uid="{A5DE2203-9177-44DA-9028-66C264EAAD9B}"/>
    <cellStyle name="Input 5 8 2 6 2" xfId="11228" xr:uid="{351EAF9D-49AA-4FA6-BE6C-4AE63AD767C0}"/>
    <cellStyle name="Input 5 8 2 6 3" xfId="30400" xr:uid="{D023D734-EF97-40CF-AA73-F2A366F671DB}"/>
    <cellStyle name="Input 5 8 2 7" xfId="11229" xr:uid="{8110D657-92B6-49DE-9622-C2E541AA8E02}"/>
    <cellStyle name="Input 5 8 2 7 2" xfId="11230" xr:uid="{31A9FFA3-B2E1-40AA-8284-6E3F76B4BEFC}"/>
    <cellStyle name="Input 5 8 2 7 3" xfId="30401" xr:uid="{353EA73A-F4FC-4A26-984D-65FB38BA66BF}"/>
    <cellStyle name="Input 5 8 2 8" xfId="11231" xr:uid="{74CA965C-8EB1-4EB0-B0B3-89D3683B9AA7}"/>
    <cellStyle name="Input 5 8 2 8 2" xfId="11232" xr:uid="{4B7D9AAB-4C0E-4B88-9916-FD89BCD5FF77}"/>
    <cellStyle name="Input 5 8 2 8 3" xfId="30402" xr:uid="{F1515D00-BD1E-4CD5-BC67-31349F73F41A}"/>
    <cellStyle name="Input 5 8 2 9" xfId="11233" xr:uid="{CA60ACD8-5143-41DE-B8BC-F7A216CF86AF}"/>
    <cellStyle name="Input 5 8 2 9 2" xfId="30403" xr:uid="{C0F42533-C6AD-49AC-B65E-F5FD2B929D40}"/>
    <cellStyle name="Input 5 8 2 9 3" xfId="30404" xr:uid="{10EE496E-BAEF-4337-9DE9-C80073C2E0CA}"/>
    <cellStyle name="Input 5 8 3" xfId="11234" xr:uid="{00D36B26-8394-467C-A047-F41B71F6D2AE}"/>
    <cellStyle name="Input 5 8 3 2" xfId="11235" xr:uid="{2D74E3D3-59D5-477B-B5FE-152B2199DE52}"/>
    <cellStyle name="Input 5 8 3 3" xfId="11236" xr:uid="{2C5B7E0E-86D5-48A9-8276-1344558D042F}"/>
    <cellStyle name="Input 5 8 3 4" xfId="11237" xr:uid="{FCBE90C6-E15F-45A7-BD15-684BA341A235}"/>
    <cellStyle name="Input 5 8 4" xfId="11238" xr:uid="{9DF48ADE-A192-4328-83FE-57889E144608}"/>
    <cellStyle name="Input 5 8 4 2" xfId="11239" xr:uid="{902C0662-4402-410D-A46F-8EFCDF45D8E7}"/>
    <cellStyle name="Input 5 8 4 3" xfId="30405" xr:uid="{78E639E2-0E5C-44C5-A9A5-7591EFA77846}"/>
    <cellStyle name="Input 5 8 5" xfId="11240" xr:uid="{836616D1-0821-4992-BAEE-C2A323E57ED6}"/>
    <cellStyle name="Input 5 8 5 2" xfId="11241" xr:uid="{4BB743B6-D98E-4A1C-86E6-20464439D482}"/>
    <cellStyle name="Input 5 8 5 3" xfId="30406" xr:uid="{836DE3BE-4141-473E-A3E1-529BCB236FDA}"/>
    <cellStyle name="Input 5 8 6" xfId="11242" xr:uid="{D8CF1779-FB63-4F0B-A211-30216E7EE788}"/>
    <cellStyle name="Input 5 8 6 2" xfId="11243" xr:uid="{BFA0C3FD-CA3A-418B-9DFF-1F09EB4650DE}"/>
    <cellStyle name="Input 5 8 6 3" xfId="30407" xr:uid="{1E003C82-3E91-4859-B8C1-2CAE271036FE}"/>
    <cellStyle name="Input 5 8 7" xfId="11244" xr:uid="{71D17696-89FE-488C-8FB4-47AF906FF6FC}"/>
    <cellStyle name="Input 5 8 7 2" xfId="11245" xr:uid="{FE09805C-42B1-46FA-915C-23A6014B1769}"/>
    <cellStyle name="Input 5 8 7 3" xfId="30408" xr:uid="{6966B95C-725C-4A0D-9945-B8ED4388006D}"/>
    <cellStyle name="Input 5 8 8" xfId="11246" xr:uid="{F3BED750-0507-4F7D-8B00-05C83376111C}"/>
    <cellStyle name="Input 5 8 8 2" xfId="11247" xr:uid="{7C6E5C74-8C33-452B-9CEB-E88C0F35391B}"/>
    <cellStyle name="Input 5 8 8 3" xfId="30409" xr:uid="{1C2D8106-6B3A-40CD-BC7C-26402DC8ADEC}"/>
    <cellStyle name="Input 5 8 9" xfId="11248" xr:uid="{5A8E18E7-67A8-420D-82E7-1A76291B1D06}"/>
    <cellStyle name="Input 5 8 9 2" xfId="11249" xr:uid="{26524882-DC67-435A-9CA8-FFB3D94F0183}"/>
    <cellStyle name="Input 5 8 9 3" xfId="30410" xr:uid="{45231DFB-E44C-4AF8-8512-9BFED625ED2A}"/>
    <cellStyle name="Input 5 9" xfId="11250" xr:uid="{A2019988-F0D5-4E40-9DC7-1AA0AC90D4F1}"/>
    <cellStyle name="Input 5 9 10" xfId="11251" xr:uid="{F6F0DC70-1368-4CBC-AE75-445151C1AC68}"/>
    <cellStyle name="Input 5 9 10 2" xfId="30411" xr:uid="{F5873AB3-27E4-456B-AAE9-666F0E639809}"/>
    <cellStyle name="Input 5 9 10 3" xfId="30412" xr:uid="{8465DAAF-1446-4C8D-B7DE-A7F148DF3E2D}"/>
    <cellStyle name="Input 5 9 11" xfId="11252" xr:uid="{641DD89C-91E9-4149-835F-5042EA6E4191}"/>
    <cellStyle name="Input 5 9 11 2" xfId="30413" xr:uid="{929A3B71-A6D8-4DD2-9291-A55493B128FD}"/>
    <cellStyle name="Input 5 9 12" xfId="30414" xr:uid="{87FE08BA-BD3D-4D47-8316-682454C7513D}"/>
    <cellStyle name="Input 5 9 2" xfId="11253" xr:uid="{DC2DDB88-34C1-4F91-9679-5204FFE3694B}"/>
    <cellStyle name="Input 5 9 2 10" xfId="11254" xr:uid="{C8C78984-445F-4B42-B7BB-E36B70CCEEBF}"/>
    <cellStyle name="Input 5 9 2 10 2" xfId="30415" xr:uid="{5556C0E7-1AE9-40BF-BC0D-004235E04982}"/>
    <cellStyle name="Input 5 9 2 11" xfId="30416" xr:uid="{257C9F64-5C00-4008-9E4F-7E38B0B5BEF0}"/>
    <cellStyle name="Input 5 9 2 2" xfId="11255" xr:uid="{4A47BA6C-6BD7-4BB4-9C37-6558771F5904}"/>
    <cellStyle name="Input 5 9 2 2 2" xfId="11256" xr:uid="{521E80EF-7ECC-4932-BC6E-7FA57B94ADCD}"/>
    <cellStyle name="Input 5 9 2 2 3" xfId="11257" xr:uid="{3062AB54-3FAF-461A-AFCB-FBF4124DFEFE}"/>
    <cellStyle name="Input 5 9 2 2 4" xfId="11258" xr:uid="{14B70557-F7A5-41AB-8402-A75E921E6E02}"/>
    <cellStyle name="Input 5 9 2 3" xfId="11259" xr:uid="{DDE6BF21-003F-415C-98FE-38C935D292CC}"/>
    <cellStyle name="Input 5 9 2 3 2" xfId="11260" xr:uid="{AF1C80D4-2450-45C2-9C45-C3C7B47145DF}"/>
    <cellStyle name="Input 5 9 2 3 3" xfId="30417" xr:uid="{1A922A2D-6BC4-41B9-AA9D-F9F1717F6638}"/>
    <cellStyle name="Input 5 9 2 4" xfId="11261" xr:uid="{B438318E-D7BF-476C-A87A-CC83D6823496}"/>
    <cellStyle name="Input 5 9 2 4 2" xfId="11262" xr:uid="{6AFDCAD0-0FDF-457A-9747-8A629BF5C50B}"/>
    <cellStyle name="Input 5 9 2 4 3" xfId="30418" xr:uid="{5F2B0E31-2C26-485E-9BE6-EEF7CD0DBEB7}"/>
    <cellStyle name="Input 5 9 2 5" xfId="11263" xr:uid="{AEF3B289-8444-48E5-9129-64913F20316A}"/>
    <cellStyle name="Input 5 9 2 5 2" xfId="11264" xr:uid="{F9A5FCE9-CFE3-42F7-AE9B-66F0B1FDCA69}"/>
    <cellStyle name="Input 5 9 2 5 3" xfId="30419" xr:uid="{A9577C12-0BDD-4E57-A3FD-77465F54A1D4}"/>
    <cellStyle name="Input 5 9 2 6" xfId="11265" xr:uid="{FCF4DC91-8E20-4C47-ACFE-309BE95C0E2B}"/>
    <cellStyle name="Input 5 9 2 6 2" xfId="11266" xr:uid="{BDD3B591-83AC-4E25-83D9-DE54E6251A0D}"/>
    <cellStyle name="Input 5 9 2 6 3" xfId="30420" xr:uid="{007DE7EE-46C3-4E70-9B41-C4B82BC1565C}"/>
    <cellStyle name="Input 5 9 2 7" xfId="11267" xr:uid="{1613A05F-8885-4340-8300-6D36F815E080}"/>
    <cellStyle name="Input 5 9 2 7 2" xfId="11268" xr:uid="{4A2E3EF3-4B59-4A7B-A294-1CF76B794CB8}"/>
    <cellStyle name="Input 5 9 2 7 3" xfId="30421" xr:uid="{2E0B7E60-C03F-4C41-9892-8682EB1B1DD1}"/>
    <cellStyle name="Input 5 9 2 8" xfId="11269" xr:uid="{949C0472-60D8-4EA4-B2EA-D6D401442B96}"/>
    <cellStyle name="Input 5 9 2 8 2" xfId="11270" xr:uid="{4307DAA8-99D8-46BF-A5DB-44FCE8C9372B}"/>
    <cellStyle name="Input 5 9 2 8 3" xfId="30422" xr:uid="{B49D92AF-1825-421E-B5F8-A9582B987291}"/>
    <cellStyle name="Input 5 9 2 9" xfId="11271" xr:uid="{1D509271-5812-4840-86D5-CAD89FC08877}"/>
    <cellStyle name="Input 5 9 2 9 2" xfId="30423" xr:uid="{D7A4EF5A-43D2-4F13-AE9C-42DC3FCB2D27}"/>
    <cellStyle name="Input 5 9 2 9 3" xfId="30424" xr:uid="{16A961F4-4DD7-45A2-A5C5-44FD4502B233}"/>
    <cellStyle name="Input 5 9 3" xfId="11272" xr:uid="{68D7EE24-14E2-4D2E-85C4-399BCA82D979}"/>
    <cellStyle name="Input 5 9 3 2" xfId="11273" xr:uid="{A91D00AA-CE22-4FB8-8B83-8FFCAAD15D4A}"/>
    <cellStyle name="Input 5 9 3 3" xfId="11274" xr:uid="{4A18BE15-0689-443D-A817-B4AB0998E939}"/>
    <cellStyle name="Input 5 9 3 4" xfId="11275" xr:uid="{7CA36BEF-29E8-4989-8831-8E234B23075B}"/>
    <cellStyle name="Input 5 9 4" xfId="11276" xr:uid="{B52B89BC-824E-48F1-92E1-B09AA72936B6}"/>
    <cellStyle name="Input 5 9 4 2" xfId="11277" xr:uid="{9939FC19-6B18-4556-A168-116E18AA82E5}"/>
    <cellStyle name="Input 5 9 4 3" xfId="30425" xr:uid="{A4BFDE53-363C-4FED-A85C-145EEF2D0658}"/>
    <cellStyle name="Input 5 9 5" xfId="11278" xr:uid="{81681FCC-4E0B-4606-BC5C-B5926FE6B6D3}"/>
    <cellStyle name="Input 5 9 5 2" xfId="11279" xr:uid="{3D07F9F0-FD0C-474E-BF90-9E6B3AB0F102}"/>
    <cellStyle name="Input 5 9 5 3" xfId="30426" xr:uid="{824E7164-35EB-4D20-921A-0D0BCF1697A8}"/>
    <cellStyle name="Input 5 9 6" xfId="11280" xr:uid="{E7AB0E1A-8EEE-4038-84EB-714732A35CB8}"/>
    <cellStyle name="Input 5 9 6 2" xfId="11281" xr:uid="{E511DC8F-A917-432B-AF1E-08D59BC3B3A3}"/>
    <cellStyle name="Input 5 9 6 3" xfId="30427" xr:uid="{4DA20AF0-BF9A-4EBD-A41E-9AF96754F931}"/>
    <cellStyle name="Input 5 9 7" xfId="11282" xr:uid="{05DE7F38-9A6E-4044-81F2-FDC46A5DBF4B}"/>
    <cellStyle name="Input 5 9 7 2" xfId="11283" xr:uid="{7A361BF9-3EDF-4357-A536-CCC3C479777C}"/>
    <cellStyle name="Input 5 9 7 3" xfId="30428" xr:uid="{AC0CCE96-FC13-4836-9621-392A02E599FF}"/>
    <cellStyle name="Input 5 9 8" xfId="11284" xr:uid="{E37083FF-40FD-4E65-BE94-78E0FB6857C2}"/>
    <cellStyle name="Input 5 9 8 2" xfId="11285" xr:uid="{CD3169AD-DF13-4183-ACE1-0ABCEF4355F0}"/>
    <cellStyle name="Input 5 9 8 3" xfId="30429" xr:uid="{4D8ECAD2-30D5-43C2-917A-0DCF9C2F5057}"/>
    <cellStyle name="Input 5 9 9" xfId="11286" xr:uid="{67D87CC2-D80C-4851-BC9E-7F863A36D4AC}"/>
    <cellStyle name="Input 5 9 9 2" xfId="11287" xr:uid="{AED6A5AD-6559-4827-BAB6-C674ABCE78CB}"/>
    <cellStyle name="Input 5 9 9 3" xfId="30430" xr:uid="{41C6745A-6D0F-4A95-B69A-4F7EE434C69A}"/>
    <cellStyle name="Input 6" xfId="11288" xr:uid="{45702FBC-09F4-43B3-B41B-E5050C9B313C}"/>
    <cellStyle name="Input 6 10" xfId="11289" xr:uid="{1C528302-FC58-415E-B6BB-72380D1CA8EF}"/>
    <cellStyle name="Input 6 10 10" xfId="11290" xr:uid="{2C8A336E-88EC-4472-B037-2DF88893B8A4}"/>
    <cellStyle name="Input 6 10 10 2" xfId="30431" xr:uid="{E0FB7DAC-61DB-4612-BFEC-CCE205D9844B}"/>
    <cellStyle name="Input 6 10 10 3" xfId="30432" xr:uid="{E8D81E6B-9B71-4C8C-95E4-0305D0BAE218}"/>
    <cellStyle name="Input 6 10 11" xfId="11291" xr:uid="{B4503CC1-FEB7-43CE-881D-DC5675AD9DE4}"/>
    <cellStyle name="Input 6 10 11 2" xfId="30433" xr:uid="{5AD077E1-F780-4154-98F4-86DDB3461018}"/>
    <cellStyle name="Input 6 10 12" xfId="30434" xr:uid="{138D8BE6-8215-4A67-AE65-3D8EBF896C1C}"/>
    <cellStyle name="Input 6 10 2" xfId="11292" xr:uid="{00D8EE70-DD77-4F9E-A202-FE136C335685}"/>
    <cellStyle name="Input 6 10 2 10" xfId="11293" xr:uid="{A704838A-C339-4F31-8F5D-F722FD214011}"/>
    <cellStyle name="Input 6 10 2 10 2" xfId="30435" xr:uid="{B7C35DAB-6FA0-440C-8173-039E64D31A24}"/>
    <cellStyle name="Input 6 10 2 11" xfId="30436" xr:uid="{0A503D6F-E586-4371-97F1-26AF27DAE37B}"/>
    <cellStyle name="Input 6 10 2 2" xfId="11294" xr:uid="{89EA4756-16BC-4445-B89D-78ECBF428BDB}"/>
    <cellStyle name="Input 6 10 2 2 2" xfId="11295" xr:uid="{392C1219-0D37-44E6-B0E5-4E0D770BBA48}"/>
    <cellStyle name="Input 6 10 2 2 3" xfId="11296" xr:uid="{7ECE7EB9-C8BE-4AA6-A6A4-2AC8C50893B6}"/>
    <cellStyle name="Input 6 10 2 2 4" xfId="11297" xr:uid="{5C392CD3-8E1D-4FDA-AABD-4E6C4B380F75}"/>
    <cellStyle name="Input 6 10 2 3" xfId="11298" xr:uid="{693A9FF9-FC8E-49B9-A61F-2829D6FC3AA3}"/>
    <cellStyle name="Input 6 10 2 3 2" xfId="11299" xr:uid="{DBEE64CC-614A-45E0-9C02-41242EEAC078}"/>
    <cellStyle name="Input 6 10 2 3 3" xfId="30437" xr:uid="{6392C917-9936-47F4-A432-6CB3E10576CF}"/>
    <cellStyle name="Input 6 10 2 4" xfId="11300" xr:uid="{66872907-27F0-4DC4-AC36-06A1341618A3}"/>
    <cellStyle name="Input 6 10 2 4 2" xfId="11301" xr:uid="{2FE5D636-4140-4AA6-A0E3-E5F4E6F120BD}"/>
    <cellStyle name="Input 6 10 2 4 3" xfId="30438" xr:uid="{66A4199D-1DED-48A3-A4BC-BF1EDD4EC615}"/>
    <cellStyle name="Input 6 10 2 5" xfId="11302" xr:uid="{042F2DF1-AADF-4FDF-84BC-351AD7420B03}"/>
    <cellStyle name="Input 6 10 2 5 2" xfId="11303" xr:uid="{F71C7988-066C-410E-A98E-DA01AB136129}"/>
    <cellStyle name="Input 6 10 2 5 3" xfId="30439" xr:uid="{3E9A0685-7FC2-4424-9907-4D9F39E6C8B6}"/>
    <cellStyle name="Input 6 10 2 6" xfId="11304" xr:uid="{B53677FE-64AB-4829-B07F-495D3896BE45}"/>
    <cellStyle name="Input 6 10 2 6 2" xfId="11305" xr:uid="{ED8B9B3A-E6F0-4E50-981A-ED9C28EE5AF5}"/>
    <cellStyle name="Input 6 10 2 6 3" xfId="30440" xr:uid="{8BBACAC9-C8E2-4C45-AD1E-FC0DCDC57D77}"/>
    <cellStyle name="Input 6 10 2 7" xfId="11306" xr:uid="{971D4BD7-3EF4-4498-959B-3D5017121841}"/>
    <cellStyle name="Input 6 10 2 7 2" xfId="11307" xr:uid="{3B9C46CA-EA5B-4D3D-82DC-365D01CC14D9}"/>
    <cellStyle name="Input 6 10 2 7 3" xfId="30441" xr:uid="{B450CE81-77BB-4584-A245-5436CEB33270}"/>
    <cellStyle name="Input 6 10 2 8" xfId="11308" xr:uid="{D947DBA4-6343-4296-84FB-A0ADF01CA078}"/>
    <cellStyle name="Input 6 10 2 8 2" xfId="11309" xr:uid="{3C95463C-C6B7-4C67-A3BE-DC97063F6D17}"/>
    <cellStyle name="Input 6 10 2 8 3" xfId="30442" xr:uid="{09031802-67D5-4878-885F-643144910FA6}"/>
    <cellStyle name="Input 6 10 2 9" xfId="11310" xr:uid="{D505718A-7106-416C-B2EC-523F4DC9130A}"/>
    <cellStyle name="Input 6 10 2 9 2" xfId="30443" xr:uid="{E559A2FA-0146-46FC-B678-6405A3D80E14}"/>
    <cellStyle name="Input 6 10 2 9 3" xfId="30444" xr:uid="{852A236E-E895-44FA-8B52-343342C68D12}"/>
    <cellStyle name="Input 6 10 3" xfId="11311" xr:uid="{DB5FFBC1-F897-4BC8-9AB5-BBFD824F5664}"/>
    <cellStyle name="Input 6 10 3 2" xfId="11312" xr:uid="{AA59C74D-6319-4C1C-A38D-ABE29B2D7D64}"/>
    <cellStyle name="Input 6 10 3 3" xfId="11313" xr:uid="{FBC9B559-EF7A-403C-BD02-46D32962F725}"/>
    <cellStyle name="Input 6 10 3 4" xfId="11314" xr:uid="{B6C3B891-98D7-4FAB-9292-AD08678BA8A0}"/>
    <cellStyle name="Input 6 10 4" xfId="11315" xr:uid="{AD938FFC-1B28-40BF-89FB-CA3FEB5979F6}"/>
    <cellStyle name="Input 6 10 4 2" xfId="11316" xr:uid="{F8CB1012-088E-42EA-B4FC-7442542329A0}"/>
    <cellStyle name="Input 6 10 4 3" xfId="30445" xr:uid="{68E20FA2-0F04-463A-8520-83C68AAC2593}"/>
    <cellStyle name="Input 6 10 5" xfId="11317" xr:uid="{422B5246-26A7-4B0C-A8CB-AB956EA1DA62}"/>
    <cellStyle name="Input 6 10 5 2" xfId="11318" xr:uid="{3D0E7A63-586D-4D75-BA9B-FAC1690A484A}"/>
    <cellStyle name="Input 6 10 5 3" xfId="30446" xr:uid="{78528E72-6180-43A9-8AF5-51D01B1C7788}"/>
    <cellStyle name="Input 6 10 6" xfId="11319" xr:uid="{073B843F-3B56-4357-B30F-8A238FCAAA1D}"/>
    <cellStyle name="Input 6 10 6 2" xfId="11320" xr:uid="{AF349360-78A6-4E6C-BF99-FF564F546F5B}"/>
    <cellStyle name="Input 6 10 6 3" xfId="30447" xr:uid="{E8DBB752-961C-4D57-A65F-4090A0342A79}"/>
    <cellStyle name="Input 6 10 7" xfId="11321" xr:uid="{753FC3FB-4021-421B-951F-318FB0A9CE81}"/>
    <cellStyle name="Input 6 10 7 2" xfId="11322" xr:uid="{48152219-BB38-4CD5-957F-880E81249B49}"/>
    <cellStyle name="Input 6 10 7 3" xfId="30448" xr:uid="{79040A40-2955-466F-A556-695C64FF9A93}"/>
    <cellStyle name="Input 6 10 8" xfId="11323" xr:uid="{43EA6017-58AE-46CF-B6A5-FF321A0A4673}"/>
    <cellStyle name="Input 6 10 8 2" xfId="11324" xr:uid="{AC083F46-E082-4C3C-B0E8-AE5A16D02AC5}"/>
    <cellStyle name="Input 6 10 8 3" xfId="30449" xr:uid="{B8809E83-5715-4885-88CF-88ED95A7ABE5}"/>
    <cellStyle name="Input 6 10 9" xfId="11325" xr:uid="{2B3FD24D-39EA-4D4E-9B06-74E08E133A76}"/>
    <cellStyle name="Input 6 10 9 2" xfId="11326" xr:uid="{B09A48CA-10E8-4ACD-BDD1-1188760D2FFA}"/>
    <cellStyle name="Input 6 10 9 3" xfId="30450" xr:uid="{DCB181AC-BE4F-44B4-8AFF-57C5FF92D8B4}"/>
    <cellStyle name="Input 6 11" xfId="11327" xr:uid="{004F33F5-A7A2-4655-8777-7681D6CE0409}"/>
    <cellStyle name="Input 6 11 10" xfId="11328" xr:uid="{53F6AEA1-EC57-4B15-AB7A-782219B846D9}"/>
    <cellStyle name="Input 6 11 10 2" xfId="30451" xr:uid="{E3CFA44A-FC82-486E-80CB-763AFDA10D45}"/>
    <cellStyle name="Input 6 11 10 3" xfId="30452" xr:uid="{3539EB67-FEF4-4F0B-8B44-517498275847}"/>
    <cellStyle name="Input 6 11 11" xfId="11329" xr:uid="{B4F70A82-7932-49C4-827D-408AA50AB01F}"/>
    <cellStyle name="Input 6 11 11 2" xfId="30453" xr:uid="{7DC12179-0955-4D13-9F08-AAEDB31522CD}"/>
    <cellStyle name="Input 6 11 12" xfId="30454" xr:uid="{04725939-974D-450E-8EAB-B6FE72095358}"/>
    <cellStyle name="Input 6 11 2" xfId="11330" xr:uid="{BDC66481-6EAD-428B-B9B5-CF0E61835708}"/>
    <cellStyle name="Input 6 11 2 10" xfId="11331" xr:uid="{BF0BA9A0-76C1-448A-B2D4-184189D412E7}"/>
    <cellStyle name="Input 6 11 2 10 2" xfId="30455" xr:uid="{D0C1C48C-4A4D-4665-8A53-8A10BA1A579B}"/>
    <cellStyle name="Input 6 11 2 11" xfId="30456" xr:uid="{4B6859B8-E5B0-4C30-9EF6-B34E0CD0E4C3}"/>
    <cellStyle name="Input 6 11 2 2" xfId="11332" xr:uid="{7C5BC4A4-095B-4A4D-8B68-3006CEFA680B}"/>
    <cellStyle name="Input 6 11 2 2 2" xfId="11333" xr:uid="{1FFC1F69-D0CD-41EA-AAFC-3235B25F5259}"/>
    <cellStyle name="Input 6 11 2 2 3" xfId="11334" xr:uid="{BA4857FB-176F-4670-B7AA-78343095939F}"/>
    <cellStyle name="Input 6 11 2 2 4" xfId="11335" xr:uid="{5F30DE3F-342D-4294-90EC-8BA726757474}"/>
    <cellStyle name="Input 6 11 2 3" xfId="11336" xr:uid="{249C938D-AC64-46B5-A9E0-0AC54B9AA9DE}"/>
    <cellStyle name="Input 6 11 2 3 2" xfId="11337" xr:uid="{9F0BC4CB-B653-4D8B-871F-CC33298FC854}"/>
    <cellStyle name="Input 6 11 2 3 3" xfId="30457" xr:uid="{FAF4A47D-CE12-47B5-82BB-227E98B4478E}"/>
    <cellStyle name="Input 6 11 2 4" xfId="11338" xr:uid="{18731D97-D8E7-4C2C-B99E-2AF9764BB712}"/>
    <cellStyle name="Input 6 11 2 4 2" xfId="11339" xr:uid="{F938EC33-2BF4-4BBE-8E47-CBDD0BAF076B}"/>
    <cellStyle name="Input 6 11 2 4 3" xfId="30458" xr:uid="{B646D180-E4E9-4577-8A20-6324800D4708}"/>
    <cellStyle name="Input 6 11 2 5" xfId="11340" xr:uid="{2BC49976-AF0D-451F-954E-1030CE86C5DA}"/>
    <cellStyle name="Input 6 11 2 5 2" xfId="11341" xr:uid="{32F5F90C-EAD6-49AE-9A3D-A2504CF4B64C}"/>
    <cellStyle name="Input 6 11 2 5 3" xfId="30459" xr:uid="{D9E929CF-2709-43FB-AE95-38CA2F98AAD5}"/>
    <cellStyle name="Input 6 11 2 6" xfId="11342" xr:uid="{EACF64B6-DF08-48EA-A3BD-446F8BC1E14D}"/>
    <cellStyle name="Input 6 11 2 6 2" xfId="11343" xr:uid="{D2D75A8A-6A64-4A42-89E0-289289EEB932}"/>
    <cellStyle name="Input 6 11 2 6 3" xfId="30460" xr:uid="{E90D113D-3EC8-4D0F-92AC-A12D146CF7CE}"/>
    <cellStyle name="Input 6 11 2 7" xfId="11344" xr:uid="{CED6C4E1-8C28-4C99-9F2F-61F81E1588E6}"/>
    <cellStyle name="Input 6 11 2 7 2" xfId="11345" xr:uid="{122FC0E1-6B02-4B48-AA8B-F25645D5E229}"/>
    <cellStyle name="Input 6 11 2 7 3" xfId="30461" xr:uid="{CA38EFA2-99D7-4DE5-851F-2CCAA35809FD}"/>
    <cellStyle name="Input 6 11 2 8" xfId="11346" xr:uid="{D122C188-5D85-4176-85E6-6F510FC715EE}"/>
    <cellStyle name="Input 6 11 2 8 2" xfId="11347" xr:uid="{EC06E28A-DFD8-4CE9-9168-2D0C9B3664E1}"/>
    <cellStyle name="Input 6 11 2 8 3" xfId="30462" xr:uid="{FFA9EE29-AB09-43E5-BD80-0A196A7995DE}"/>
    <cellStyle name="Input 6 11 2 9" xfId="11348" xr:uid="{4C4B5E84-F9EE-4F96-9D1D-180B96FA2D6E}"/>
    <cellStyle name="Input 6 11 2 9 2" xfId="30463" xr:uid="{6C61FBE3-D329-4CE4-87DF-34781ADB1357}"/>
    <cellStyle name="Input 6 11 2 9 3" xfId="30464" xr:uid="{17839175-19B8-4E8E-82B1-4AEAA2B87EB3}"/>
    <cellStyle name="Input 6 11 3" xfId="11349" xr:uid="{65349C4F-D436-49AB-A94B-05127EDB4186}"/>
    <cellStyle name="Input 6 11 3 2" xfId="11350" xr:uid="{F1668EB4-7102-4981-909C-34212AFE366A}"/>
    <cellStyle name="Input 6 11 3 3" xfId="11351" xr:uid="{4FEC959F-9CEE-4160-81BA-348E233DF25E}"/>
    <cellStyle name="Input 6 11 3 4" xfId="11352" xr:uid="{10B4B119-5556-4487-AAD1-AD6B989BF7EF}"/>
    <cellStyle name="Input 6 11 4" xfId="11353" xr:uid="{E1806907-1C07-44EA-8ECC-1BBCFDA39159}"/>
    <cellStyle name="Input 6 11 4 2" xfId="11354" xr:uid="{BEE06AA5-40C5-4560-9B09-18402DD9084C}"/>
    <cellStyle name="Input 6 11 4 3" xfId="30465" xr:uid="{20750D92-C4F2-40A1-85C0-BCA5D8F8729A}"/>
    <cellStyle name="Input 6 11 5" xfId="11355" xr:uid="{BD81C71E-C04A-4963-8029-0968F72BBAA3}"/>
    <cellStyle name="Input 6 11 5 2" xfId="11356" xr:uid="{C6BF3AF5-3894-4C24-8A6A-20A112052AB0}"/>
    <cellStyle name="Input 6 11 5 3" xfId="30466" xr:uid="{AD492062-0BA0-4803-A9F6-038B71BC8A0D}"/>
    <cellStyle name="Input 6 11 6" xfId="11357" xr:uid="{309A692A-B3D9-4009-816A-3F0BA10C335C}"/>
    <cellStyle name="Input 6 11 6 2" xfId="11358" xr:uid="{76E45C96-BA70-4D64-9BD8-ACF50D6CA3F0}"/>
    <cellStyle name="Input 6 11 6 3" xfId="30467" xr:uid="{04400517-0752-4589-8083-716EC118FFF7}"/>
    <cellStyle name="Input 6 11 7" xfId="11359" xr:uid="{EE9C4649-0733-4AD7-AF18-81BEF2A3D203}"/>
    <cellStyle name="Input 6 11 7 2" xfId="11360" xr:uid="{6FFC68CC-ED64-43F1-8D93-562BEF27E61F}"/>
    <cellStyle name="Input 6 11 7 3" xfId="30468" xr:uid="{CB75F413-E07C-4068-A547-3C8141A76AD9}"/>
    <cellStyle name="Input 6 11 8" xfId="11361" xr:uid="{E4C952F8-247A-48CA-88DD-68DF1FCE782D}"/>
    <cellStyle name="Input 6 11 8 2" xfId="11362" xr:uid="{44BFDA0A-5EC0-48D2-88EA-46A06448BC33}"/>
    <cellStyle name="Input 6 11 8 3" xfId="30469" xr:uid="{6C1F1E99-B7E1-4A60-A22C-8ADC89F1CCA7}"/>
    <cellStyle name="Input 6 11 9" xfId="11363" xr:uid="{837CC1A7-6BC1-4556-8CDA-2EECBDE923DF}"/>
    <cellStyle name="Input 6 11 9 2" xfId="11364" xr:uid="{41E0C01A-0B79-4F32-9CB4-8411EC831D61}"/>
    <cellStyle name="Input 6 11 9 3" xfId="30470" xr:uid="{ED28F934-514D-4C38-83FB-4EB8DE1FF9A9}"/>
    <cellStyle name="Input 6 12" xfId="11365" xr:uid="{57941481-470B-4792-9CEB-1015508BADA4}"/>
    <cellStyle name="Input 6 12 10" xfId="11366" xr:uid="{4AAA0EF4-6F40-4CDF-B613-77187D2AAEAF}"/>
    <cellStyle name="Input 6 12 10 2" xfId="30471" xr:uid="{B5C7E00D-1DF0-428C-BEAC-9FC13267F5EE}"/>
    <cellStyle name="Input 6 12 11" xfId="30472" xr:uid="{F1DB3A34-750B-43BB-94FF-54B24208529D}"/>
    <cellStyle name="Input 6 12 2" xfId="11367" xr:uid="{FE0AB2CC-49C8-4351-B8C1-DF65670A467A}"/>
    <cellStyle name="Input 6 12 2 2" xfId="11368" xr:uid="{B6BB1170-14DE-488C-AB5E-B59E881DAF39}"/>
    <cellStyle name="Input 6 12 2 3" xfId="11369" xr:uid="{5C6FC800-AF49-4E60-A556-795FA5294172}"/>
    <cellStyle name="Input 6 12 2 4" xfId="11370" xr:uid="{4C64568E-D8F0-4CAC-A370-6A5764B68914}"/>
    <cellStyle name="Input 6 12 3" xfId="11371" xr:uid="{BF66E603-80A7-4F99-8B41-99282C378C32}"/>
    <cellStyle name="Input 6 12 3 2" xfId="11372" xr:uid="{23E42104-18DD-4A2D-9FDB-6A7823B5C49D}"/>
    <cellStyle name="Input 6 12 3 3" xfId="30473" xr:uid="{31EB0931-BB2D-4664-BA25-A38EC6C4DD62}"/>
    <cellStyle name="Input 6 12 4" xfId="11373" xr:uid="{8981E130-A757-45B4-B85C-0144BCCCEDB3}"/>
    <cellStyle name="Input 6 12 4 2" xfId="11374" xr:uid="{57F68244-D7C9-4E04-B137-BCD76CBE2A88}"/>
    <cellStyle name="Input 6 12 4 3" xfId="30474" xr:uid="{08CC86F0-2B4E-468C-BF97-A0B221237E7F}"/>
    <cellStyle name="Input 6 12 5" xfId="11375" xr:uid="{B46EB210-4538-45D5-B17C-E83F17417BFE}"/>
    <cellStyle name="Input 6 12 5 2" xfId="11376" xr:uid="{B88F88B4-098B-40EE-AD5F-48FED4E8DE79}"/>
    <cellStyle name="Input 6 12 5 3" xfId="30475" xr:uid="{A155B486-1E73-4E05-AC6F-3D44748A8A7C}"/>
    <cellStyle name="Input 6 12 6" xfId="11377" xr:uid="{3151C1D2-DDEC-4C3E-8F5F-CDECB86F7F38}"/>
    <cellStyle name="Input 6 12 6 2" xfId="11378" xr:uid="{2C5CAC58-AA1B-4E41-83A3-AD13DDF9DC07}"/>
    <cellStyle name="Input 6 12 6 3" xfId="30476" xr:uid="{97C86094-93E2-45CA-B057-BD285771FECD}"/>
    <cellStyle name="Input 6 12 7" xfId="11379" xr:uid="{8BB9022B-8EFB-484B-A5F7-210926945D44}"/>
    <cellStyle name="Input 6 12 7 2" xfId="11380" xr:uid="{C8E6C24E-4DE8-4649-8267-2FB7673F7ECD}"/>
    <cellStyle name="Input 6 12 7 3" xfId="30477" xr:uid="{D45A65D7-A0DA-42DC-BC16-6417A112A374}"/>
    <cellStyle name="Input 6 12 8" xfId="11381" xr:uid="{28B2F7D3-67D9-43D3-8638-BC46A48FE7D4}"/>
    <cellStyle name="Input 6 12 8 2" xfId="11382" xr:uid="{032EAB21-5F9F-454A-A062-FBCE8B7587FE}"/>
    <cellStyle name="Input 6 12 8 3" xfId="30478" xr:uid="{62A38432-1D1D-40FB-812D-92D2AF6637BF}"/>
    <cellStyle name="Input 6 12 9" xfId="11383" xr:uid="{931540E8-5C63-446C-A8D2-AD6EE60E72AB}"/>
    <cellStyle name="Input 6 12 9 2" xfId="30479" xr:uid="{7C1625C0-6CD7-4DC3-9733-17EA9CBA1FB4}"/>
    <cellStyle name="Input 6 12 9 3" xfId="30480" xr:uid="{505D88E7-E1CB-4DC8-9072-640CA333B343}"/>
    <cellStyle name="Input 6 13" xfId="11384" xr:uid="{16D36F27-EE01-4F36-B4F6-F577BDD1D3DB}"/>
    <cellStyle name="Input 6 13 2" xfId="11385" xr:uid="{B5805379-35C2-4A93-B002-396802A3216A}"/>
    <cellStyle name="Input 6 13 3" xfId="11386" xr:uid="{6F2CFB8E-73BB-4115-9586-7C507F6C1BAE}"/>
    <cellStyle name="Input 6 13 4" xfId="11387" xr:uid="{3F6D0D89-70E2-44FD-B52E-E7A054EAA8A9}"/>
    <cellStyle name="Input 6 14" xfId="11388" xr:uid="{C045AFE3-A1B4-4BD9-BCEE-0EE476E8C310}"/>
    <cellStyle name="Input 6 14 2" xfId="11389" xr:uid="{09943C50-8CD9-4DC8-A456-D3BD92AC89B7}"/>
    <cellStyle name="Input 6 14 3" xfId="30481" xr:uid="{3A180F64-758B-4C81-BEBE-FC75D0E0BAE6}"/>
    <cellStyle name="Input 6 15" xfId="11390" xr:uid="{259ED19E-6961-41D5-A115-580940FE102F}"/>
    <cellStyle name="Input 6 15 2" xfId="11391" xr:uid="{EEF5650F-A6C8-4DFF-B241-F55655FD9A2B}"/>
    <cellStyle name="Input 6 15 3" xfId="30482" xr:uid="{64D729F3-7DF0-4D49-A729-87A7C58758A9}"/>
    <cellStyle name="Input 6 16" xfId="11392" xr:uid="{F30E54A5-5BDD-46CF-A184-B2408584D8AE}"/>
    <cellStyle name="Input 6 16 2" xfId="11393" xr:uid="{BA7B50A9-5FCE-4CE5-A3A1-65AA3676499D}"/>
    <cellStyle name="Input 6 16 3" xfId="30483" xr:uid="{4C721E3C-3AD0-4E84-A6FB-C4839555909B}"/>
    <cellStyle name="Input 6 17" xfId="11394" xr:uid="{AD13A1FF-3AC1-48CE-BF93-433F5EADB26C}"/>
    <cellStyle name="Input 6 17 2" xfId="11395" xr:uid="{6C46A63F-3F93-4723-93C4-0EFF6A5E1252}"/>
    <cellStyle name="Input 6 17 3" xfId="30484" xr:uid="{46AFBAA7-3A1B-4650-A9FD-F5D0168958AB}"/>
    <cellStyle name="Input 6 18" xfId="11396" xr:uid="{B35F96C8-FEB5-4FDD-94EE-A5226226B4A0}"/>
    <cellStyle name="Input 6 18 2" xfId="11397" xr:uid="{E16FD3C5-4EAB-41BB-A7D3-FCE2F6063AD3}"/>
    <cellStyle name="Input 6 18 3" xfId="30485" xr:uid="{49F58A8C-B086-4B75-B8C9-7593ECBE947B}"/>
    <cellStyle name="Input 6 19" xfId="11398" xr:uid="{D0603B03-20D8-4506-9DA4-F9822118D675}"/>
    <cellStyle name="Input 6 19 2" xfId="11399" xr:uid="{F8876CC0-D0F6-41F0-ADC7-969F50916C4B}"/>
    <cellStyle name="Input 6 19 3" xfId="30486" xr:uid="{E9EDD5CD-506C-4E43-86B1-B54F7C6A4B82}"/>
    <cellStyle name="Input 6 2" xfId="11400" xr:uid="{5BE6DCF5-2D43-49B0-9E68-7BE6A7BE830D}"/>
    <cellStyle name="Input 6 2 10" xfId="11401" xr:uid="{0CF2AF2C-9EDE-4086-9660-A949B85DF503}"/>
    <cellStyle name="Input 6 2 10 2" xfId="30487" xr:uid="{D388D581-BE9F-4E31-9400-EAE5D38F5035}"/>
    <cellStyle name="Input 6 2 10 3" xfId="30488" xr:uid="{1C7427F6-7DAE-4C87-8ED4-E18005288E12}"/>
    <cellStyle name="Input 6 2 11" xfId="11402" xr:uid="{48A049F6-7E06-4A94-B622-EB8005ED496B}"/>
    <cellStyle name="Input 6 2 11 2" xfId="30489" xr:uid="{090FFF9F-02FC-41F8-8E71-D932F01714B3}"/>
    <cellStyle name="Input 6 2 12" xfId="30490" xr:uid="{82E516FB-C56C-4CCA-846A-534C7E3B844C}"/>
    <cellStyle name="Input 6 2 13" xfId="30491" xr:uid="{B6F8D35B-E924-46E1-B56B-47D0B3396B9A}"/>
    <cellStyle name="Input 6 2 14" xfId="30492" xr:uid="{1B46D26B-FE08-4DD9-B61D-A4834D1E79DE}"/>
    <cellStyle name="Input 6 2 15" xfId="42809" xr:uid="{807EA879-95FF-45F4-92C1-7F2EA6C24091}"/>
    <cellStyle name="Input 6 2 16" xfId="42282" xr:uid="{F70D08EE-11E2-4E62-9B01-B4D9C4310C2E}"/>
    <cellStyle name="Input 6 2 17" xfId="43911" xr:uid="{D04E88CD-D331-4C94-A1FE-1612FF454D31}"/>
    <cellStyle name="Input 6 2 2" xfId="11403" xr:uid="{C936A117-3968-49AC-8993-D53715CE7BD2}"/>
    <cellStyle name="Input 6 2 2 10" xfId="11404" xr:uid="{88060BBB-98A4-4784-A2E2-3AE42A10295B}"/>
    <cellStyle name="Input 6 2 2 10 2" xfId="30493" xr:uid="{76E916E5-A91A-42A4-A18C-DC9CE50B41CC}"/>
    <cellStyle name="Input 6 2 2 11" xfId="30494" xr:uid="{BD639AC7-47A6-448B-ADF9-4272E52E4DF0}"/>
    <cellStyle name="Input 6 2 2 2" xfId="11405" xr:uid="{B482BD29-8889-4A45-B877-1D4A4ED79529}"/>
    <cellStyle name="Input 6 2 2 2 2" xfId="11406" xr:uid="{AECE0B2A-A66D-4A8C-9BC5-D5DE4A711B13}"/>
    <cellStyle name="Input 6 2 2 2 3" xfId="11407" xr:uid="{C3860A0F-329E-45E2-AD2B-491C62AE06B4}"/>
    <cellStyle name="Input 6 2 2 2 4" xfId="11408" xr:uid="{1695F201-0D7A-40A3-96BB-54B7D0EFC3D0}"/>
    <cellStyle name="Input 6 2 2 3" xfId="11409" xr:uid="{A443D880-F356-4ED7-856B-DB46BF55C0E4}"/>
    <cellStyle name="Input 6 2 2 3 2" xfId="11410" xr:uid="{954A1829-D2FB-48E6-B212-8A238D1FB527}"/>
    <cellStyle name="Input 6 2 2 3 3" xfId="30495" xr:uid="{19E61470-516D-4219-9508-F48B7983A3C8}"/>
    <cellStyle name="Input 6 2 2 4" xfId="11411" xr:uid="{54F36FEA-7202-4B92-8BD6-9ED6D6E3C975}"/>
    <cellStyle name="Input 6 2 2 4 2" xfId="11412" xr:uid="{F506E357-564B-481C-8FD2-DEB2BC001A3F}"/>
    <cellStyle name="Input 6 2 2 4 3" xfId="30496" xr:uid="{B44FA2C7-4BFB-4CE5-ACF5-3CA065F75F53}"/>
    <cellStyle name="Input 6 2 2 5" xfId="11413" xr:uid="{140A038A-0711-4CE5-9D82-A03C9118808F}"/>
    <cellStyle name="Input 6 2 2 5 2" xfId="11414" xr:uid="{4E75E5AD-EB29-459D-AE0C-5F04F0909E17}"/>
    <cellStyle name="Input 6 2 2 5 3" xfId="30497" xr:uid="{C5BB8B1A-D532-4BE8-A213-466142E63F6F}"/>
    <cellStyle name="Input 6 2 2 6" xfId="11415" xr:uid="{7EE46528-1C89-471D-97D6-1CF14FF5AF44}"/>
    <cellStyle name="Input 6 2 2 6 2" xfId="11416" xr:uid="{2C02F067-BF3C-4DCF-901A-5DC129D0E397}"/>
    <cellStyle name="Input 6 2 2 6 3" xfId="30498" xr:uid="{A0117B11-F0EE-4CA2-B3ED-440D59AB3F07}"/>
    <cellStyle name="Input 6 2 2 7" xfId="11417" xr:uid="{215F8CCD-5BCD-496B-9F28-2F2EB41DE9EE}"/>
    <cellStyle name="Input 6 2 2 7 2" xfId="11418" xr:uid="{16E63E22-D939-47C0-B88F-C29612DF7245}"/>
    <cellStyle name="Input 6 2 2 7 3" xfId="30499" xr:uid="{233545BE-A274-4D49-A977-CF44E2BDE3DB}"/>
    <cellStyle name="Input 6 2 2 8" xfId="11419" xr:uid="{0034A8F1-164E-4C7D-AA39-474837D67BDD}"/>
    <cellStyle name="Input 6 2 2 8 2" xfId="11420" xr:uid="{1FC8058F-998C-4BFA-912D-DF5882328783}"/>
    <cellStyle name="Input 6 2 2 8 3" xfId="30500" xr:uid="{7C2F43BC-AEEF-4169-A8B1-A7185C90D2A2}"/>
    <cellStyle name="Input 6 2 2 9" xfId="11421" xr:uid="{394A42D2-4023-40C9-B6ED-38E0A40F4014}"/>
    <cellStyle name="Input 6 2 2 9 2" xfId="30501" xr:uid="{5A26FAE0-67BD-4ED1-B4F6-D7750F1D9CAF}"/>
    <cellStyle name="Input 6 2 2 9 3" xfId="30502" xr:uid="{4A74C751-D158-4FAD-A321-65536494E630}"/>
    <cellStyle name="Input 6 2 3" xfId="11422" xr:uid="{FA42A115-7B3C-4A87-893B-8B97DB018EB3}"/>
    <cellStyle name="Input 6 2 3 2" xfId="11423" xr:uid="{E9269811-20C5-4810-8068-587071C1AA90}"/>
    <cellStyle name="Input 6 2 3 3" xfId="11424" xr:uid="{C254A035-9E12-440F-BCE0-53DD9D13EE70}"/>
    <cellStyle name="Input 6 2 3 4" xfId="11425" xr:uid="{83A761CA-EAC6-4359-9677-58CA0AE8D61A}"/>
    <cellStyle name="Input 6 2 4" xfId="11426" xr:uid="{B5DA9798-F097-4997-B54F-42DA739163C2}"/>
    <cellStyle name="Input 6 2 4 2" xfId="11427" xr:uid="{7B1F3BC8-16F3-46A9-851B-1ED4F3BF5820}"/>
    <cellStyle name="Input 6 2 4 3" xfId="30503" xr:uid="{70BBBA63-D128-499C-B1D5-31A3144FE002}"/>
    <cellStyle name="Input 6 2 5" xfId="11428" xr:uid="{BCA92E97-EA06-47E2-97BA-1526AF8067F6}"/>
    <cellStyle name="Input 6 2 5 2" xfId="11429" xr:uid="{BA9A1E62-5851-4A4B-897E-5022399C8B6B}"/>
    <cellStyle name="Input 6 2 5 3" xfId="30504" xr:uid="{62CA0FF3-B6A6-465A-928C-605AA744FF7E}"/>
    <cellStyle name="Input 6 2 6" xfId="11430" xr:uid="{2959FDDB-06B2-45CC-A4A8-401FC5842CA9}"/>
    <cellStyle name="Input 6 2 6 2" xfId="11431" xr:uid="{77B8BDF6-0F87-4A92-81E0-58C8D5FE9940}"/>
    <cellStyle name="Input 6 2 6 3" xfId="30505" xr:uid="{B1F43975-5227-49EE-8817-6518E1961BA9}"/>
    <cellStyle name="Input 6 2 7" xfId="11432" xr:uid="{E9EC16A9-0FF4-44B1-9EB4-61376C96D46B}"/>
    <cellStyle name="Input 6 2 7 2" xfId="11433" xr:uid="{3489AF78-7CE4-443C-9705-D5F7024C671F}"/>
    <cellStyle name="Input 6 2 7 3" xfId="30506" xr:uid="{876C9C31-256E-4393-8F98-475133ECE9DB}"/>
    <cellStyle name="Input 6 2 8" xfId="11434" xr:uid="{0F6D8A64-E9D4-419F-A93A-F6CCB0997CCE}"/>
    <cellStyle name="Input 6 2 8 2" xfId="11435" xr:uid="{FD1802A5-2C85-4784-B4E0-5CA380085B73}"/>
    <cellStyle name="Input 6 2 8 3" xfId="30507" xr:uid="{3A46CD44-704D-4626-8E1C-7A0BA6D52A4A}"/>
    <cellStyle name="Input 6 2 9" xfId="11436" xr:uid="{14BBFE56-70C9-4C42-8941-D60CD40382B0}"/>
    <cellStyle name="Input 6 2 9 2" xfId="11437" xr:uid="{E5066B4F-9C22-4F99-BFB7-D6417A7CB97E}"/>
    <cellStyle name="Input 6 2 9 3" xfId="30508" xr:uid="{6322D666-4A1F-44F3-ACB2-71B9113420B5}"/>
    <cellStyle name="Input 6 20" xfId="11438" xr:uid="{B7EA906A-83E7-4824-BA70-C3C6C63600D2}"/>
    <cellStyle name="Input 6 20 2" xfId="30509" xr:uid="{3CFACF59-33AE-46DB-AFD5-08E8041EEF7A}"/>
    <cellStyle name="Input 6 20 3" xfId="30510" xr:uid="{C720D4B2-68FA-4D69-8849-838A3A999AE3}"/>
    <cellStyle name="Input 6 21" xfId="11439" xr:uid="{DDCE56F1-09CF-499D-B5B1-71C264784628}"/>
    <cellStyle name="Input 6 21 2" xfId="30511" xr:uid="{6D146F92-69B5-4F91-A552-C3E487B5AF7C}"/>
    <cellStyle name="Input 6 22" xfId="30512" xr:uid="{60BE522D-85A5-4C95-8BE7-BC142BE9CDD7}"/>
    <cellStyle name="Input 6 23" xfId="30513" xr:uid="{E6BA0E8B-C0A3-4B86-8BE8-D04B1D6FE9E9}"/>
    <cellStyle name="Input 6 24" xfId="30514" xr:uid="{2DAD3F26-6F91-4395-B60E-A1232F5F8936}"/>
    <cellStyle name="Input 6 3" xfId="11440" xr:uid="{0EB0317A-AB21-47FA-A261-7EFD0C144C1D}"/>
    <cellStyle name="Input 6 3 10" xfId="11441" xr:uid="{221AEE1F-610B-495D-97A5-6D23918A85E9}"/>
    <cellStyle name="Input 6 3 10 2" xfId="30515" xr:uid="{55CECD54-25AF-4D66-B955-80BD64CD2874}"/>
    <cellStyle name="Input 6 3 10 3" xfId="30516" xr:uid="{431DBD7A-8802-4DF7-814F-12EDAD5DF168}"/>
    <cellStyle name="Input 6 3 11" xfId="11442" xr:uid="{9E1C60EB-D57D-45ED-B911-196A38A94520}"/>
    <cellStyle name="Input 6 3 11 2" xfId="30517" xr:uid="{894A63E5-A74D-42D1-A09A-F56665192A2D}"/>
    <cellStyle name="Input 6 3 12" xfId="30518" xr:uid="{0C5BBB9A-514F-4110-AFF2-9C37351246D1}"/>
    <cellStyle name="Input 6 3 2" xfId="11443" xr:uid="{E86CBC09-0975-4F3A-9023-FE90C223E1A8}"/>
    <cellStyle name="Input 6 3 2 10" xfId="11444" xr:uid="{735866C2-99C6-4866-9B8C-03E9A55D8402}"/>
    <cellStyle name="Input 6 3 2 10 2" xfId="30519" xr:uid="{9E167D4E-76E8-442A-8CF7-AC70B11EAC56}"/>
    <cellStyle name="Input 6 3 2 11" xfId="30520" xr:uid="{93A9E3D8-1335-4FD2-B3A8-3C8E6F404419}"/>
    <cellStyle name="Input 6 3 2 2" xfId="11445" xr:uid="{01AC8818-914A-4842-984E-B0565098D9AB}"/>
    <cellStyle name="Input 6 3 2 2 2" xfId="11446" xr:uid="{C67E0771-C9A1-4A47-B6D2-F1C8ABD0CAEF}"/>
    <cellStyle name="Input 6 3 2 2 3" xfId="11447" xr:uid="{20FEA1C1-6BED-48D0-B07C-5E150AE9CA8B}"/>
    <cellStyle name="Input 6 3 2 2 4" xfId="11448" xr:uid="{0BE5E6BB-85E7-46AE-9A2A-613794741D02}"/>
    <cellStyle name="Input 6 3 2 3" xfId="11449" xr:uid="{E0FC7D0B-757D-44B0-B377-85BB7ED46050}"/>
    <cellStyle name="Input 6 3 2 3 2" xfId="11450" xr:uid="{9C45AB66-3F95-4365-97A4-6630AE3D2EAA}"/>
    <cellStyle name="Input 6 3 2 3 3" xfId="30521" xr:uid="{EBD148E9-5193-4D77-9E5F-DC09F8DEAD66}"/>
    <cellStyle name="Input 6 3 2 4" xfId="11451" xr:uid="{447DF84C-8D2D-44E7-89CD-EBD7AB7ED720}"/>
    <cellStyle name="Input 6 3 2 4 2" xfId="11452" xr:uid="{12265068-00E3-4267-A0B6-21E74333287F}"/>
    <cellStyle name="Input 6 3 2 4 3" xfId="30522" xr:uid="{171E525A-F5FE-4642-AA44-04FAF1943E7C}"/>
    <cellStyle name="Input 6 3 2 5" xfId="11453" xr:uid="{41729079-C51F-41FA-B2B7-9F41B0AEB567}"/>
    <cellStyle name="Input 6 3 2 5 2" xfId="11454" xr:uid="{09D5B632-1AC1-4C32-8CE8-1CBB040AD325}"/>
    <cellStyle name="Input 6 3 2 5 3" xfId="30523" xr:uid="{5184680F-D717-45AD-93C7-EFCC1E3AF568}"/>
    <cellStyle name="Input 6 3 2 6" xfId="11455" xr:uid="{36EDC9CD-2DFA-4315-BF42-469AE89691FF}"/>
    <cellStyle name="Input 6 3 2 6 2" xfId="11456" xr:uid="{61CE8764-B59D-469E-9CC0-9D934A5275EB}"/>
    <cellStyle name="Input 6 3 2 6 3" xfId="30524" xr:uid="{8BC637C2-114F-4052-9B94-CF56BC603E81}"/>
    <cellStyle name="Input 6 3 2 7" xfId="11457" xr:uid="{997446D7-5A23-4DEE-B0C4-2D2DC06158E3}"/>
    <cellStyle name="Input 6 3 2 7 2" xfId="11458" xr:uid="{755E03C9-FF55-413F-BAF3-F62987032B79}"/>
    <cellStyle name="Input 6 3 2 7 3" xfId="30525" xr:uid="{1D6EDD85-0A65-4D6B-A9B6-458012237014}"/>
    <cellStyle name="Input 6 3 2 8" xfId="11459" xr:uid="{C16C5CF1-74E4-4EBC-BAB0-6A026A7CA64A}"/>
    <cellStyle name="Input 6 3 2 8 2" xfId="11460" xr:uid="{29E26872-8DB5-4937-9D24-20FB3D40CDE2}"/>
    <cellStyle name="Input 6 3 2 8 3" xfId="30526" xr:uid="{E6400318-2519-4D95-864C-D8946898114D}"/>
    <cellStyle name="Input 6 3 2 9" xfId="11461" xr:uid="{B5AE331C-E4BF-449B-B1A9-514674691184}"/>
    <cellStyle name="Input 6 3 2 9 2" xfId="30527" xr:uid="{50EEE26A-E9AA-425D-85C7-AB90FDCA050B}"/>
    <cellStyle name="Input 6 3 2 9 3" xfId="30528" xr:uid="{ED94AC0A-3C7C-4206-8C9E-771F9D08400E}"/>
    <cellStyle name="Input 6 3 3" xfId="11462" xr:uid="{622C32B5-3993-44C6-8FC7-73FB54C72034}"/>
    <cellStyle name="Input 6 3 3 2" xfId="11463" xr:uid="{9E129DE9-1B11-424F-BEC2-5543F98204EE}"/>
    <cellStyle name="Input 6 3 3 3" xfId="11464" xr:uid="{38AA4098-796F-4F6D-8366-D77ED455F438}"/>
    <cellStyle name="Input 6 3 3 4" xfId="11465" xr:uid="{98D86DC2-5A5E-4727-898C-254D954BB3C9}"/>
    <cellStyle name="Input 6 3 4" xfId="11466" xr:uid="{4241FC3B-2C70-45A7-8490-B75C6A0BFF60}"/>
    <cellStyle name="Input 6 3 4 2" xfId="11467" xr:uid="{C4465BCC-7DF0-4513-81FD-CBD2543F24BA}"/>
    <cellStyle name="Input 6 3 4 3" xfId="30529" xr:uid="{201FC88E-D4FE-4D2E-A38C-C87CB04437F5}"/>
    <cellStyle name="Input 6 3 5" xfId="11468" xr:uid="{1F394582-A55C-4823-B4D4-5B07C91F5A39}"/>
    <cellStyle name="Input 6 3 5 2" xfId="11469" xr:uid="{EC7440E4-B0CC-470F-BB1E-61F47250F633}"/>
    <cellStyle name="Input 6 3 5 3" xfId="30530" xr:uid="{0D32A06B-71D9-45BF-BAEB-204500CC45BD}"/>
    <cellStyle name="Input 6 3 6" xfId="11470" xr:uid="{BC2D68A8-E846-43D5-B066-504F17F58FA4}"/>
    <cellStyle name="Input 6 3 6 2" xfId="11471" xr:uid="{B2980794-57AA-4906-86EB-3AD7F998EFC7}"/>
    <cellStyle name="Input 6 3 6 3" xfId="30531" xr:uid="{1F14B216-B8C4-4683-ADB2-BA3B9D8FF009}"/>
    <cellStyle name="Input 6 3 7" xfId="11472" xr:uid="{675AC64A-6586-4549-AD0C-4FF006328128}"/>
    <cellStyle name="Input 6 3 7 2" xfId="11473" xr:uid="{488B3BAE-EF4D-4EAA-9A83-2201995D1D30}"/>
    <cellStyle name="Input 6 3 7 3" xfId="30532" xr:uid="{9E6956D6-22C7-45ED-9047-8B28C9F730CF}"/>
    <cellStyle name="Input 6 3 8" xfId="11474" xr:uid="{871B1BA1-68F6-42C7-9E86-24A7DCD8B2F2}"/>
    <cellStyle name="Input 6 3 8 2" xfId="11475" xr:uid="{D1B0F0BD-5300-45B5-87AF-4D7A80065F99}"/>
    <cellStyle name="Input 6 3 8 3" xfId="30533" xr:uid="{75878994-E1FB-4823-96DC-8AA4AF67B6CF}"/>
    <cellStyle name="Input 6 3 9" xfId="11476" xr:uid="{21CD7AD1-9B77-442F-9F44-A6264B8CD40C}"/>
    <cellStyle name="Input 6 3 9 2" xfId="11477" xr:uid="{4FB22693-6E11-4C99-AB9E-52AA840F72C7}"/>
    <cellStyle name="Input 6 3 9 3" xfId="30534" xr:uid="{988B49E9-D094-44A5-BC28-D2FC44AFC105}"/>
    <cellStyle name="Input 6 4" xfId="11478" xr:uid="{3F7DE561-061B-4CD6-8300-129D268F555C}"/>
    <cellStyle name="Input 6 4 10" xfId="11479" xr:uid="{DCCFF219-B14D-4877-BE0B-7C1CF0EAFAD0}"/>
    <cellStyle name="Input 6 4 10 2" xfId="30535" xr:uid="{5A1587FE-C544-4BB9-8EEC-5CD73DCB4149}"/>
    <cellStyle name="Input 6 4 10 3" xfId="30536" xr:uid="{B93714E3-3D7E-4CE8-B5A6-18F871566E6C}"/>
    <cellStyle name="Input 6 4 11" xfId="11480" xr:uid="{2B3A2E17-92C6-49F0-B3B6-A013C73F287A}"/>
    <cellStyle name="Input 6 4 11 2" xfId="30537" xr:uid="{B572EBF1-D759-477F-AFBE-0F972166D703}"/>
    <cellStyle name="Input 6 4 12" xfId="30538" xr:uid="{FD58B9E2-C1B1-4928-BACC-5C9DA012135F}"/>
    <cellStyle name="Input 6 4 2" xfId="11481" xr:uid="{A5A753F0-450A-41DC-817A-D36726BF2656}"/>
    <cellStyle name="Input 6 4 2 10" xfId="11482" xr:uid="{117A3D8C-5109-4191-A5AD-4E8D070D88C5}"/>
    <cellStyle name="Input 6 4 2 10 2" xfId="30539" xr:uid="{FBD109CD-27B4-4C8D-BD61-66FF8BB054B9}"/>
    <cellStyle name="Input 6 4 2 11" xfId="30540" xr:uid="{46B7DDF1-CCC5-4DD9-8158-353240C75198}"/>
    <cellStyle name="Input 6 4 2 2" xfId="11483" xr:uid="{820237EE-23DF-469F-A05C-1172BADAACBD}"/>
    <cellStyle name="Input 6 4 2 2 2" xfId="11484" xr:uid="{A11E3109-EE98-4BC3-B75C-937ED5155101}"/>
    <cellStyle name="Input 6 4 2 2 3" xfId="11485" xr:uid="{20C123F5-DE0F-4393-A376-56FB5E815234}"/>
    <cellStyle name="Input 6 4 2 2 4" xfId="11486" xr:uid="{39911EC7-5194-409E-AAFE-1EDDBBB02169}"/>
    <cellStyle name="Input 6 4 2 3" xfId="11487" xr:uid="{FFEA6FED-1C18-4B6B-A3F8-1A9F2F66FEB7}"/>
    <cellStyle name="Input 6 4 2 3 2" xfId="11488" xr:uid="{0F651E78-4D00-42B6-9364-1A195E93B6A5}"/>
    <cellStyle name="Input 6 4 2 3 3" xfId="30541" xr:uid="{A051DBB6-1EA9-429B-A87E-172A32F2A643}"/>
    <cellStyle name="Input 6 4 2 4" xfId="11489" xr:uid="{AB8A829F-145D-467B-90EB-583FA17B54BC}"/>
    <cellStyle name="Input 6 4 2 4 2" xfId="11490" xr:uid="{C8C8AC33-DEB8-4B8A-B3FA-DF2A2E340411}"/>
    <cellStyle name="Input 6 4 2 4 3" xfId="30542" xr:uid="{2FA85EC8-7427-4DDF-9663-4AABFEC748CE}"/>
    <cellStyle name="Input 6 4 2 5" xfId="11491" xr:uid="{4E33E1CF-5DEF-4936-A8F0-F6003AFCC839}"/>
    <cellStyle name="Input 6 4 2 5 2" xfId="11492" xr:uid="{768EAB23-348D-4227-B8C8-5BA1814488D4}"/>
    <cellStyle name="Input 6 4 2 5 3" xfId="30543" xr:uid="{50844C07-9F6B-4A77-87EA-BE9FAA1C7EA8}"/>
    <cellStyle name="Input 6 4 2 6" xfId="11493" xr:uid="{A90EC901-ACC3-4A5B-A0AF-CA63E06E1F8C}"/>
    <cellStyle name="Input 6 4 2 6 2" xfId="11494" xr:uid="{8A6E2C31-A94E-4416-A1C5-BB1537A2622D}"/>
    <cellStyle name="Input 6 4 2 6 3" xfId="30544" xr:uid="{419D3F80-EFC6-4577-8305-421D6EF91DAB}"/>
    <cellStyle name="Input 6 4 2 7" xfId="11495" xr:uid="{9B18A7E3-7539-4D35-A666-7518F26F2418}"/>
    <cellStyle name="Input 6 4 2 7 2" xfId="11496" xr:uid="{9FE3605B-4365-47DB-B85A-A1EF682E7E80}"/>
    <cellStyle name="Input 6 4 2 7 3" xfId="30545" xr:uid="{FFD09C30-BB3F-43C0-8D3B-454E845B8A23}"/>
    <cellStyle name="Input 6 4 2 8" xfId="11497" xr:uid="{A08A5119-A6C9-4BD7-A9D0-A1814ACEEA42}"/>
    <cellStyle name="Input 6 4 2 8 2" xfId="11498" xr:uid="{C9EDBD7D-E306-4204-AD73-4A6216A45617}"/>
    <cellStyle name="Input 6 4 2 8 3" xfId="30546" xr:uid="{86FA697F-B091-4DB9-87E4-E0E34C36EAF3}"/>
    <cellStyle name="Input 6 4 2 9" xfId="11499" xr:uid="{34D78854-6F17-48C1-BE15-5CC84A54245E}"/>
    <cellStyle name="Input 6 4 2 9 2" xfId="30547" xr:uid="{19BAD503-74AE-49D4-BEAB-7D56131EB33C}"/>
    <cellStyle name="Input 6 4 2 9 3" xfId="30548" xr:uid="{E508C13A-E946-449F-B4B4-FE0FEF9D9AB8}"/>
    <cellStyle name="Input 6 4 3" xfId="11500" xr:uid="{6D093547-CCD1-4D7E-B5AF-C0DF94572F60}"/>
    <cellStyle name="Input 6 4 3 2" xfId="11501" xr:uid="{03FC6E0D-592D-4691-AD2F-D149B56D7752}"/>
    <cellStyle name="Input 6 4 3 3" xfId="11502" xr:uid="{771FD019-375E-49C6-AE11-45081C265058}"/>
    <cellStyle name="Input 6 4 3 4" xfId="11503" xr:uid="{221DE9CA-2422-40A0-B966-C42BD7347791}"/>
    <cellStyle name="Input 6 4 4" xfId="11504" xr:uid="{77DD289D-456F-487E-BBF0-DB8D85DF9C57}"/>
    <cellStyle name="Input 6 4 4 2" xfId="11505" xr:uid="{18FB0C2A-37BF-4618-99B3-68FD1A901007}"/>
    <cellStyle name="Input 6 4 4 3" xfId="30549" xr:uid="{AFA865CD-B24B-440E-B962-4A9C8E0FE42E}"/>
    <cellStyle name="Input 6 4 5" xfId="11506" xr:uid="{2E9BD78A-2F04-4916-956B-7298792CFFC5}"/>
    <cellStyle name="Input 6 4 5 2" xfId="11507" xr:uid="{659680F2-925E-4DCE-85DD-6DB6D9D276A3}"/>
    <cellStyle name="Input 6 4 5 3" xfId="30550" xr:uid="{94692C9A-3E0B-4394-8892-79A4C3852D57}"/>
    <cellStyle name="Input 6 4 6" xfId="11508" xr:uid="{02154F67-B5F7-4427-BD70-96C574C687C3}"/>
    <cellStyle name="Input 6 4 6 2" xfId="11509" xr:uid="{1E96BAC0-11AB-496B-B3C4-EBA9DCF0CCD9}"/>
    <cellStyle name="Input 6 4 6 3" xfId="30551" xr:uid="{2C0E0F87-FE17-4087-9A3A-3C743C7D6E3B}"/>
    <cellStyle name="Input 6 4 7" xfId="11510" xr:uid="{CA20D070-A621-4F62-ACA7-75113AF48F3B}"/>
    <cellStyle name="Input 6 4 7 2" xfId="11511" xr:uid="{E071F840-80C3-4672-8F79-3DC58B45C2AD}"/>
    <cellStyle name="Input 6 4 7 3" xfId="30552" xr:uid="{75495A41-DD47-41B5-9A54-2C0664B544D8}"/>
    <cellStyle name="Input 6 4 8" xfId="11512" xr:uid="{F27C6C1B-8696-47F3-AE6B-C8E16C26FE27}"/>
    <cellStyle name="Input 6 4 8 2" xfId="11513" xr:uid="{49F5E9EC-2B37-4D41-A91F-BF358280DF40}"/>
    <cellStyle name="Input 6 4 8 3" xfId="30553" xr:uid="{C80A4AE0-4209-4606-AD97-8327C22521D1}"/>
    <cellStyle name="Input 6 4 9" xfId="11514" xr:uid="{D391008F-283A-4C43-AEB5-6A83BDDF78A2}"/>
    <cellStyle name="Input 6 4 9 2" xfId="11515" xr:uid="{3D9010AA-5682-4122-8762-D82AA7D49644}"/>
    <cellStyle name="Input 6 4 9 3" xfId="30554" xr:uid="{401AA5C6-3361-41D1-9D55-1494D8229A89}"/>
    <cellStyle name="Input 6 5" xfId="11516" xr:uid="{4A15AE63-9837-48C6-B455-8AE46D2920AD}"/>
    <cellStyle name="Input 6 5 10" xfId="11517" xr:uid="{BCFDDA0C-AB96-49A3-8DC0-7DECCA40157E}"/>
    <cellStyle name="Input 6 5 10 2" xfId="30555" xr:uid="{FF270F79-A21E-471C-9FCE-ABA42241EFE8}"/>
    <cellStyle name="Input 6 5 10 3" xfId="30556" xr:uid="{F697B6AD-B862-4FBD-AA9A-68815B7139B5}"/>
    <cellStyle name="Input 6 5 11" xfId="11518" xr:uid="{1D92BEA8-8BD4-46BF-BB60-3229E15FE572}"/>
    <cellStyle name="Input 6 5 11 2" xfId="30557" xr:uid="{31A34325-B0B9-491C-8A4C-DCB4B574DEEE}"/>
    <cellStyle name="Input 6 5 12" xfId="30558" xr:uid="{E7800F50-309A-489B-9141-0095632CE3CD}"/>
    <cellStyle name="Input 6 5 2" xfId="11519" xr:uid="{01BFB860-4280-48EC-9F88-DB82895B100F}"/>
    <cellStyle name="Input 6 5 2 10" xfId="11520" xr:uid="{8D8BBDBA-5257-48FD-ADA6-F3EB059E5E2D}"/>
    <cellStyle name="Input 6 5 2 10 2" xfId="30559" xr:uid="{7CF8950C-F4A9-4497-B000-69889065ED84}"/>
    <cellStyle name="Input 6 5 2 11" xfId="30560" xr:uid="{A3B06A9A-D56A-4087-AF66-D68E56D8E586}"/>
    <cellStyle name="Input 6 5 2 2" xfId="11521" xr:uid="{1A947515-35D4-4091-8EED-D918F29C2E66}"/>
    <cellStyle name="Input 6 5 2 2 2" xfId="11522" xr:uid="{14E89C10-CED9-4C55-8B5C-4629F9F571F8}"/>
    <cellStyle name="Input 6 5 2 2 3" xfId="11523" xr:uid="{85CB478D-523E-4CB3-BA9F-1A9AEAAF25BC}"/>
    <cellStyle name="Input 6 5 2 2 4" xfId="11524" xr:uid="{D769DC65-4C13-4602-A99E-BFC63CB509B1}"/>
    <cellStyle name="Input 6 5 2 3" xfId="11525" xr:uid="{BFDB2410-99E2-4D2F-BFCF-13295D26FA4B}"/>
    <cellStyle name="Input 6 5 2 3 2" xfId="11526" xr:uid="{330E6931-EC20-41B5-9EE7-99DC228D40DA}"/>
    <cellStyle name="Input 6 5 2 3 3" xfId="30561" xr:uid="{D7C45CC0-23D0-482F-87ED-AD5A9EEF1829}"/>
    <cellStyle name="Input 6 5 2 4" xfId="11527" xr:uid="{2FA0D2DC-3748-42C8-B430-C4A22FBBE3EC}"/>
    <cellStyle name="Input 6 5 2 4 2" xfId="11528" xr:uid="{66397D29-8D73-40E4-8D41-59313A9EA08F}"/>
    <cellStyle name="Input 6 5 2 4 3" xfId="30562" xr:uid="{BA6B904E-5754-416C-AAC0-DF4999F30405}"/>
    <cellStyle name="Input 6 5 2 5" xfId="11529" xr:uid="{E1501A73-B2C9-4250-9ED4-1F0C4BFE221D}"/>
    <cellStyle name="Input 6 5 2 5 2" xfId="11530" xr:uid="{DC5F4B13-3189-49F3-A19F-84B01F1664B3}"/>
    <cellStyle name="Input 6 5 2 5 3" xfId="30563" xr:uid="{3B3273EC-BAD0-41D9-854A-B608A36EEF17}"/>
    <cellStyle name="Input 6 5 2 6" xfId="11531" xr:uid="{F884746A-6372-4344-AEA3-A78B01403E2F}"/>
    <cellStyle name="Input 6 5 2 6 2" xfId="11532" xr:uid="{5AC6E2C9-A99D-45DA-BE55-45BA343459AA}"/>
    <cellStyle name="Input 6 5 2 6 3" xfId="30564" xr:uid="{8FFC2931-227D-4E86-B600-1DB44BE0E708}"/>
    <cellStyle name="Input 6 5 2 7" xfId="11533" xr:uid="{9AE10C37-61E5-4A97-9855-1BD665813CC3}"/>
    <cellStyle name="Input 6 5 2 7 2" xfId="11534" xr:uid="{855F6E61-344C-4B9E-B388-15DF347F99AF}"/>
    <cellStyle name="Input 6 5 2 7 3" xfId="30565" xr:uid="{71DF263D-942D-4313-8EE2-9F077716384D}"/>
    <cellStyle name="Input 6 5 2 8" xfId="11535" xr:uid="{54902516-81BC-4DA6-904A-D6EB4695DA1B}"/>
    <cellStyle name="Input 6 5 2 8 2" xfId="11536" xr:uid="{8D3E7013-069A-4829-943C-44D34458E757}"/>
    <cellStyle name="Input 6 5 2 8 3" xfId="30566" xr:uid="{C56E193A-8FE8-488E-84B2-D4A0C118447E}"/>
    <cellStyle name="Input 6 5 2 9" xfId="11537" xr:uid="{648605C2-62F8-4A48-AFED-CC9C6F48F61F}"/>
    <cellStyle name="Input 6 5 2 9 2" xfId="30567" xr:uid="{470E84FF-AD18-4213-85DD-E4E4C9F9CB1D}"/>
    <cellStyle name="Input 6 5 2 9 3" xfId="30568" xr:uid="{02C1128B-4136-4A75-9A86-6D748C4F5F8B}"/>
    <cellStyle name="Input 6 5 3" xfId="11538" xr:uid="{9EB68007-783A-4E12-8775-61ACDF6A0A86}"/>
    <cellStyle name="Input 6 5 3 2" xfId="11539" xr:uid="{183758E0-5EB2-4C5C-84FD-DC374FD100D3}"/>
    <cellStyle name="Input 6 5 3 3" xfId="11540" xr:uid="{148B4CB3-A158-4717-8578-C320956BED1E}"/>
    <cellStyle name="Input 6 5 3 4" xfId="11541" xr:uid="{03DDDAC3-DB34-4CEF-B52D-CCA8DB4C4C7D}"/>
    <cellStyle name="Input 6 5 4" xfId="11542" xr:uid="{B8941835-5EAA-4FAB-8529-EE50730C15BB}"/>
    <cellStyle name="Input 6 5 4 2" xfId="11543" xr:uid="{BE287240-D9F1-4783-BAF2-11F1A67B0788}"/>
    <cellStyle name="Input 6 5 4 3" xfId="30569" xr:uid="{01532021-62C0-46C6-BB2B-26E641AF49CA}"/>
    <cellStyle name="Input 6 5 5" xfId="11544" xr:uid="{71BC1C61-AB61-4D82-A0B8-4B9F536D8DC7}"/>
    <cellStyle name="Input 6 5 5 2" xfId="11545" xr:uid="{236F3D91-1371-4AFE-895A-A678085205BC}"/>
    <cellStyle name="Input 6 5 5 3" xfId="30570" xr:uid="{4398E8D4-0EE2-412E-81BE-E3F1BDA8CD80}"/>
    <cellStyle name="Input 6 5 6" xfId="11546" xr:uid="{E0799992-5F86-400F-9B76-7B3C562404FA}"/>
    <cellStyle name="Input 6 5 6 2" xfId="11547" xr:uid="{36844DA4-B54C-4148-A152-3A3E296A4132}"/>
    <cellStyle name="Input 6 5 6 3" xfId="30571" xr:uid="{AEFFCED2-0BC2-4452-BF4D-32E3249B2F1C}"/>
    <cellStyle name="Input 6 5 7" xfId="11548" xr:uid="{A7676694-9F84-46FC-BB97-BD9AE1EAAEE2}"/>
    <cellStyle name="Input 6 5 7 2" xfId="11549" xr:uid="{918DA9CF-7314-4AE2-9135-1E07E782333F}"/>
    <cellStyle name="Input 6 5 7 3" xfId="30572" xr:uid="{1C764AFD-A0AD-4FBA-81EA-BD830516AE67}"/>
    <cellStyle name="Input 6 5 8" xfId="11550" xr:uid="{BAF87307-2119-413D-896C-9F6878D65FF5}"/>
    <cellStyle name="Input 6 5 8 2" xfId="11551" xr:uid="{0B0A108D-C4D4-4A22-B724-A81F07A4D546}"/>
    <cellStyle name="Input 6 5 8 3" xfId="30573" xr:uid="{C75C4F5A-9951-4E27-A33D-E42B83AF8703}"/>
    <cellStyle name="Input 6 5 9" xfId="11552" xr:uid="{707B7994-7EA0-4DB9-A486-14E14783EFC5}"/>
    <cellStyle name="Input 6 5 9 2" xfId="11553" xr:uid="{01B6DBD4-2F44-4814-8EB7-BCBF1023C315}"/>
    <cellStyle name="Input 6 5 9 3" xfId="30574" xr:uid="{D8B7AE7F-58C4-46B9-B16D-6D5958A17E72}"/>
    <cellStyle name="Input 6 6" xfId="11554" xr:uid="{43686BA9-886D-4B00-90B7-A239332E14D8}"/>
    <cellStyle name="Input 6 6 10" xfId="11555" xr:uid="{FD938454-FE27-45E2-A235-742026091EE5}"/>
    <cellStyle name="Input 6 6 10 2" xfId="30575" xr:uid="{CD18BB7D-AE6A-44F9-BDAF-B83E28943312}"/>
    <cellStyle name="Input 6 6 10 3" xfId="30576" xr:uid="{90573A4F-B8F2-4058-8C3A-7F31E6F94DA7}"/>
    <cellStyle name="Input 6 6 11" xfId="11556" xr:uid="{5D8538E5-B069-428A-ACB0-F3CDF7FE1C48}"/>
    <cellStyle name="Input 6 6 11 2" xfId="30577" xr:uid="{96E5534C-6C31-4B08-8F9D-52B4CFDFE356}"/>
    <cellStyle name="Input 6 6 12" xfId="30578" xr:uid="{89D66091-F195-48C5-A6C6-3DC3F3F0088F}"/>
    <cellStyle name="Input 6 6 2" xfId="11557" xr:uid="{7E82F4E1-3A74-4B8B-B85A-DE242D6FFDE0}"/>
    <cellStyle name="Input 6 6 2 10" xfId="11558" xr:uid="{FB11663C-3A6B-4459-84E2-EEF6C07FC34D}"/>
    <cellStyle name="Input 6 6 2 10 2" xfId="30579" xr:uid="{E6193E78-039F-450A-A7D8-09B58BCD6B34}"/>
    <cellStyle name="Input 6 6 2 11" xfId="30580" xr:uid="{7A124621-07CE-4411-BEFB-5A8D5ACE9147}"/>
    <cellStyle name="Input 6 6 2 2" xfId="11559" xr:uid="{62A097EC-A4BB-419B-BDD4-AC28BEA652D3}"/>
    <cellStyle name="Input 6 6 2 2 2" xfId="11560" xr:uid="{29836AE6-780B-408B-8028-49087A76F1A8}"/>
    <cellStyle name="Input 6 6 2 2 3" xfId="11561" xr:uid="{E1E9FC0D-2A0F-4164-AEC1-0D0337F93089}"/>
    <cellStyle name="Input 6 6 2 2 4" xfId="11562" xr:uid="{2E42FA3B-4621-4963-93EE-B0BD303A8BEF}"/>
    <cellStyle name="Input 6 6 2 3" xfId="11563" xr:uid="{E27B5809-0991-4221-A66A-C20178F6A7BB}"/>
    <cellStyle name="Input 6 6 2 3 2" xfId="11564" xr:uid="{177E8F27-7911-4748-A580-67B9121F4D08}"/>
    <cellStyle name="Input 6 6 2 3 3" xfId="30581" xr:uid="{79131AD8-C26F-4F46-AE7E-AC94CA1CBBA8}"/>
    <cellStyle name="Input 6 6 2 4" xfId="11565" xr:uid="{E7F13BED-1713-4377-95EC-2F7E191C67D5}"/>
    <cellStyle name="Input 6 6 2 4 2" xfId="11566" xr:uid="{123EDBB3-00B8-4225-AF62-936AD90D53AE}"/>
    <cellStyle name="Input 6 6 2 4 3" xfId="30582" xr:uid="{E294843E-1D6C-444A-96D6-12DC2BBEAE5E}"/>
    <cellStyle name="Input 6 6 2 5" xfId="11567" xr:uid="{95D73BA4-1737-4AD1-8F57-AD3EAD91426E}"/>
    <cellStyle name="Input 6 6 2 5 2" xfId="11568" xr:uid="{E22973E6-3724-496E-8495-E062B9D3AB66}"/>
    <cellStyle name="Input 6 6 2 5 3" xfId="30583" xr:uid="{63A02DE3-A3BE-462F-83FB-4DDBDE43D52A}"/>
    <cellStyle name="Input 6 6 2 6" xfId="11569" xr:uid="{6E9EF218-C4BC-4755-84C9-5A2CB48FEB86}"/>
    <cellStyle name="Input 6 6 2 6 2" xfId="11570" xr:uid="{15362B10-D547-4683-A7E0-9A435A0872CA}"/>
    <cellStyle name="Input 6 6 2 6 3" xfId="30584" xr:uid="{3A3D5A79-0630-4D62-B9B8-9761BA154B7F}"/>
    <cellStyle name="Input 6 6 2 7" xfId="11571" xr:uid="{ACE93833-FD1D-4317-ABD7-368B98163A33}"/>
    <cellStyle name="Input 6 6 2 7 2" xfId="11572" xr:uid="{28308FA1-5EC7-4996-926D-8EECBD02B755}"/>
    <cellStyle name="Input 6 6 2 7 3" xfId="30585" xr:uid="{CF9172C6-B384-445C-8C58-2D0F8EA82B2F}"/>
    <cellStyle name="Input 6 6 2 8" xfId="11573" xr:uid="{FA711CB2-1B98-4730-AEAC-26442C35F0A0}"/>
    <cellStyle name="Input 6 6 2 8 2" xfId="11574" xr:uid="{F690153F-E917-4AD5-80E8-0696AD9800D0}"/>
    <cellStyle name="Input 6 6 2 8 3" xfId="30586" xr:uid="{A20BDE2E-0032-4D6E-A163-057CFBC87B62}"/>
    <cellStyle name="Input 6 6 2 9" xfId="11575" xr:uid="{E84351E7-3B92-43C8-B98A-04D85FAE59C0}"/>
    <cellStyle name="Input 6 6 2 9 2" xfId="30587" xr:uid="{4EDC8641-2BDA-4A03-B1E4-7FEA2484B323}"/>
    <cellStyle name="Input 6 6 2 9 3" xfId="30588" xr:uid="{BDDFBF32-18B1-4861-899C-437FEBC57BF8}"/>
    <cellStyle name="Input 6 6 3" xfId="11576" xr:uid="{44520BBF-913B-495B-A82B-AAC8CC8D9B83}"/>
    <cellStyle name="Input 6 6 3 2" xfId="11577" xr:uid="{D3534011-48F1-4F47-AEBF-7929396196A5}"/>
    <cellStyle name="Input 6 6 3 3" xfId="11578" xr:uid="{455D6FEC-FF14-436D-83FA-A43BAD34F67A}"/>
    <cellStyle name="Input 6 6 3 4" xfId="11579" xr:uid="{F73C63CA-4104-4022-8E3B-C319C9469085}"/>
    <cellStyle name="Input 6 6 4" xfId="11580" xr:uid="{BF51F057-7B45-4109-83AE-C714AFF0D81B}"/>
    <cellStyle name="Input 6 6 4 2" xfId="11581" xr:uid="{377C9383-B96A-4E01-B28E-A7860F72860E}"/>
    <cellStyle name="Input 6 6 4 3" xfId="30589" xr:uid="{5258EAD9-FAF8-4C59-B9C3-F2C81FC983F1}"/>
    <cellStyle name="Input 6 6 5" xfId="11582" xr:uid="{C4196166-4268-4188-9B23-0E2E37A79D43}"/>
    <cellStyle name="Input 6 6 5 2" xfId="11583" xr:uid="{7F5848B4-CC84-4588-BF02-78A4915B24FE}"/>
    <cellStyle name="Input 6 6 5 3" xfId="30590" xr:uid="{0522F15D-1E93-48A0-8128-65D004ECF576}"/>
    <cellStyle name="Input 6 6 6" xfId="11584" xr:uid="{56325056-E1FA-4DD4-98AA-47A9203AA37F}"/>
    <cellStyle name="Input 6 6 6 2" xfId="11585" xr:uid="{25850778-EF66-4897-8F1A-4EA34969DEBB}"/>
    <cellStyle name="Input 6 6 6 3" xfId="30591" xr:uid="{DFA42B44-34B3-4704-B55C-53628147C788}"/>
    <cellStyle name="Input 6 6 7" xfId="11586" xr:uid="{87F130B5-EF72-4D81-9AE0-F8314A2EC4F1}"/>
    <cellStyle name="Input 6 6 7 2" xfId="11587" xr:uid="{3FB2C5CE-CD1E-48D8-BCDA-6EB2E7BF5F77}"/>
    <cellStyle name="Input 6 6 7 3" xfId="30592" xr:uid="{8A753006-5A4F-4509-A961-ED3EBFE6BC6F}"/>
    <cellStyle name="Input 6 6 8" xfId="11588" xr:uid="{772D3369-548E-4D9E-8F15-85EBABD362EF}"/>
    <cellStyle name="Input 6 6 8 2" xfId="11589" xr:uid="{A5C0A8FF-6D84-45DC-A899-27FE84080CCD}"/>
    <cellStyle name="Input 6 6 8 3" xfId="30593" xr:uid="{EBCA7334-E961-4CD0-A36F-F76DE258FB7B}"/>
    <cellStyle name="Input 6 6 9" xfId="11590" xr:uid="{E61E8290-6DB9-443A-8F10-23DD79B6D9A0}"/>
    <cellStyle name="Input 6 6 9 2" xfId="11591" xr:uid="{2B374D15-96C2-4E4F-8970-C94D8B1262FE}"/>
    <cellStyle name="Input 6 6 9 3" xfId="30594" xr:uid="{7A2C6AF4-147F-4748-AC7B-6FC121823B53}"/>
    <cellStyle name="Input 6 7" xfId="11592" xr:uid="{68254141-C6A3-439B-8B86-BD01D04ED68D}"/>
    <cellStyle name="Input 6 7 10" xfId="11593" xr:uid="{E808E736-7721-425A-B01F-DA424B8240DB}"/>
    <cellStyle name="Input 6 7 10 2" xfId="30595" xr:uid="{1247B026-0386-418D-A825-FD107192848A}"/>
    <cellStyle name="Input 6 7 10 3" xfId="30596" xr:uid="{805099C6-2DFA-473D-9B40-5D47DDDAD5E9}"/>
    <cellStyle name="Input 6 7 11" xfId="11594" xr:uid="{9D20169E-84A8-492D-AA7B-88D83303340E}"/>
    <cellStyle name="Input 6 7 11 2" xfId="30597" xr:uid="{495F5214-6E00-4855-984A-6740719AC1A7}"/>
    <cellStyle name="Input 6 7 12" xfId="30598" xr:uid="{EB71DC68-9FD8-4D70-A563-A0DD141A78D8}"/>
    <cellStyle name="Input 6 7 2" xfId="11595" xr:uid="{ACD94266-1781-4C67-9FB5-5A23A76BF51E}"/>
    <cellStyle name="Input 6 7 2 10" xfId="11596" xr:uid="{B71FD51B-224D-4F87-9850-717073636769}"/>
    <cellStyle name="Input 6 7 2 10 2" xfId="30599" xr:uid="{D4AC583E-72B7-4766-AEEE-A01829A1A70B}"/>
    <cellStyle name="Input 6 7 2 11" xfId="30600" xr:uid="{2E917BB7-194C-4C98-AF6D-B41738C1A172}"/>
    <cellStyle name="Input 6 7 2 2" xfId="11597" xr:uid="{FB48308F-B8BF-4939-BF46-468EA9034472}"/>
    <cellStyle name="Input 6 7 2 2 2" xfId="11598" xr:uid="{EE59DE18-696F-4FAF-AB78-846DFC960765}"/>
    <cellStyle name="Input 6 7 2 2 3" xfId="11599" xr:uid="{A2AA4AFB-2407-4395-959C-10BFCF0D5F22}"/>
    <cellStyle name="Input 6 7 2 2 4" xfId="11600" xr:uid="{A919F2F1-07C3-48CF-9738-E63FB26A58F3}"/>
    <cellStyle name="Input 6 7 2 3" xfId="11601" xr:uid="{E059BDDC-269A-4FDB-9B63-62E8149D93F0}"/>
    <cellStyle name="Input 6 7 2 3 2" xfId="11602" xr:uid="{933A2D45-780B-4003-AF86-ACB1812AFC56}"/>
    <cellStyle name="Input 6 7 2 3 3" xfId="30601" xr:uid="{029A9CA9-BE35-4CFF-B0EC-B20D58E0BCE4}"/>
    <cellStyle name="Input 6 7 2 4" xfId="11603" xr:uid="{C286A048-52B0-41B7-A533-75B7B00EBA28}"/>
    <cellStyle name="Input 6 7 2 4 2" xfId="11604" xr:uid="{3F15541D-4C72-4BDC-BF1D-DF06EDE4711B}"/>
    <cellStyle name="Input 6 7 2 4 3" xfId="30602" xr:uid="{3975E95E-A180-4A88-AE0D-FABD3EA4859B}"/>
    <cellStyle name="Input 6 7 2 5" xfId="11605" xr:uid="{A9E0F3A9-357F-411F-B79B-C79920FEEA96}"/>
    <cellStyle name="Input 6 7 2 5 2" xfId="11606" xr:uid="{61959F8E-17D4-449F-B749-D725DCA00755}"/>
    <cellStyle name="Input 6 7 2 5 3" xfId="30603" xr:uid="{7E79A405-051D-446D-9581-C16C9CA98D7B}"/>
    <cellStyle name="Input 6 7 2 6" xfId="11607" xr:uid="{33AA080C-315E-45E7-BFCB-AD2DC46A487A}"/>
    <cellStyle name="Input 6 7 2 6 2" xfId="11608" xr:uid="{14381B48-B7BD-44E0-BCA2-14110D41FBDB}"/>
    <cellStyle name="Input 6 7 2 6 3" xfId="30604" xr:uid="{9C8FC212-1DCC-4796-B568-341D81EA3366}"/>
    <cellStyle name="Input 6 7 2 7" xfId="11609" xr:uid="{A68FC96D-21AB-413A-8638-7F8184EFFF31}"/>
    <cellStyle name="Input 6 7 2 7 2" xfId="11610" xr:uid="{6358BF28-6693-4243-BFA4-17F1ECA5BDC0}"/>
    <cellStyle name="Input 6 7 2 7 3" xfId="30605" xr:uid="{A168B1EE-6CFE-4FD1-9423-7BF34D67A38E}"/>
    <cellStyle name="Input 6 7 2 8" xfId="11611" xr:uid="{33D2AA4C-049B-4F6D-9058-414B0056868F}"/>
    <cellStyle name="Input 6 7 2 8 2" xfId="11612" xr:uid="{124E7E81-C2CF-483A-96F3-818C7536F380}"/>
    <cellStyle name="Input 6 7 2 8 3" xfId="30606" xr:uid="{8CC9FDD7-4CB6-4834-80F0-C98344AB516F}"/>
    <cellStyle name="Input 6 7 2 9" xfId="11613" xr:uid="{9B7C554D-9A35-4361-A077-DA6D2B6695A5}"/>
    <cellStyle name="Input 6 7 2 9 2" xfId="30607" xr:uid="{C40C071F-7B76-448D-9C0E-3AE6F90E6F5D}"/>
    <cellStyle name="Input 6 7 2 9 3" xfId="30608" xr:uid="{217E178F-AF82-42C2-805D-682E8A1B4399}"/>
    <cellStyle name="Input 6 7 3" xfId="11614" xr:uid="{6D38FE56-7EF9-47CE-A32A-672D1CDC525C}"/>
    <cellStyle name="Input 6 7 3 2" xfId="11615" xr:uid="{2053EEFD-1A0D-4F9C-8F6D-CDD170FD219B}"/>
    <cellStyle name="Input 6 7 3 3" xfId="11616" xr:uid="{32377BB7-6EAE-4E62-8DF4-119D2C2CD318}"/>
    <cellStyle name="Input 6 7 3 4" xfId="11617" xr:uid="{CF5F5E1C-2672-4617-A0E3-66184AF87813}"/>
    <cellStyle name="Input 6 7 4" xfId="11618" xr:uid="{F40DC346-717D-4E20-A328-5286FE1D1A0A}"/>
    <cellStyle name="Input 6 7 4 2" xfId="11619" xr:uid="{182764AD-F1AC-4C87-9F58-AEE131CFF235}"/>
    <cellStyle name="Input 6 7 4 3" xfId="30609" xr:uid="{8CB92A7B-E12B-48D9-AED3-3DD03DDA4E65}"/>
    <cellStyle name="Input 6 7 5" xfId="11620" xr:uid="{03FC3792-A1C8-453F-B140-8677DDB56E80}"/>
    <cellStyle name="Input 6 7 5 2" xfId="11621" xr:uid="{483D06F9-5843-4B23-B5E6-8DED539D5EEB}"/>
    <cellStyle name="Input 6 7 5 3" xfId="30610" xr:uid="{EFBA0302-BBC8-4EC2-9FCD-4F25376ED310}"/>
    <cellStyle name="Input 6 7 6" xfId="11622" xr:uid="{479F09A6-8587-429E-AE4A-BD969C361484}"/>
    <cellStyle name="Input 6 7 6 2" xfId="11623" xr:uid="{C44A587E-11B9-4AB9-A5A8-E36E4809EAEC}"/>
    <cellStyle name="Input 6 7 6 3" xfId="30611" xr:uid="{DE8C8E3D-673C-465D-8236-93FCF7025746}"/>
    <cellStyle name="Input 6 7 7" xfId="11624" xr:uid="{F00EBACC-9B6F-47CD-885F-3F93A050A1ED}"/>
    <cellStyle name="Input 6 7 7 2" xfId="11625" xr:uid="{3B939848-671E-41FF-8082-85547B8D20B3}"/>
    <cellStyle name="Input 6 7 7 3" xfId="30612" xr:uid="{38F37998-050E-442B-96CB-3E98132705CE}"/>
    <cellStyle name="Input 6 7 8" xfId="11626" xr:uid="{9D1FB4AE-7129-49EE-81BF-7F3B6AC9ADC3}"/>
    <cellStyle name="Input 6 7 8 2" xfId="11627" xr:uid="{34C09CE1-B966-43FA-B045-33267F68A772}"/>
    <cellStyle name="Input 6 7 8 3" xfId="30613" xr:uid="{2A270A8D-66F2-44BB-A263-BED634E3DC9A}"/>
    <cellStyle name="Input 6 7 9" xfId="11628" xr:uid="{8E687EE9-A4C9-4509-BD21-60C0E028F361}"/>
    <cellStyle name="Input 6 7 9 2" xfId="11629" xr:uid="{3E4C3618-EC4A-4BC3-B197-306BA686E067}"/>
    <cellStyle name="Input 6 7 9 3" xfId="30614" xr:uid="{B4BC1710-DCED-4FD7-953E-727203C0F4C1}"/>
    <cellStyle name="Input 6 8" xfId="11630" xr:uid="{4794ED54-2118-4BFF-98BD-DF282A0BA000}"/>
    <cellStyle name="Input 6 8 10" xfId="11631" xr:uid="{A036EEC1-7819-4DE0-AA81-03A5FEE2E282}"/>
    <cellStyle name="Input 6 8 10 2" xfId="30615" xr:uid="{54C101F4-D304-4DDB-8027-505C40A27F7D}"/>
    <cellStyle name="Input 6 8 10 3" xfId="30616" xr:uid="{2610D178-A33B-4FB8-8136-6476E2B93AC9}"/>
    <cellStyle name="Input 6 8 11" xfId="11632" xr:uid="{3DDF2277-D24E-46F2-839E-AD422E1C0C9A}"/>
    <cellStyle name="Input 6 8 11 2" xfId="30617" xr:uid="{5514191D-C947-4D05-A3D1-6A47C4151A6F}"/>
    <cellStyle name="Input 6 8 12" xfId="30618" xr:uid="{45F4A0E7-9791-4367-822F-A12B3EA538DD}"/>
    <cellStyle name="Input 6 8 2" xfId="11633" xr:uid="{1295332C-8E33-40AA-8CA5-B67B16279B6E}"/>
    <cellStyle name="Input 6 8 2 10" xfId="11634" xr:uid="{FF55E8C7-E0EC-4D47-8D2D-9597601001B8}"/>
    <cellStyle name="Input 6 8 2 10 2" xfId="30619" xr:uid="{70F1D509-4312-46F6-9BAF-C34DEDECA3CC}"/>
    <cellStyle name="Input 6 8 2 11" xfId="30620" xr:uid="{22C3F0EA-5679-43A8-AC83-F66B165EA012}"/>
    <cellStyle name="Input 6 8 2 2" xfId="11635" xr:uid="{C7036F8C-AA8A-4FFB-980F-C19C2D2A5C07}"/>
    <cellStyle name="Input 6 8 2 2 2" xfId="11636" xr:uid="{447A3C58-254C-41FD-8D68-89B899BE264E}"/>
    <cellStyle name="Input 6 8 2 2 3" xfId="11637" xr:uid="{DF7A3B8C-DEB4-4B51-B3CF-CEA2BD41BEFB}"/>
    <cellStyle name="Input 6 8 2 2 4" xfId="11638" xr:uid="{95C04721-6F34-4E9B-8BE4-E12396F899FB}"/>
    <cellStyle name="Input 6 8 2 3" xfId="11639" xr:uid="{B0CE37DE-08E2-42D8-9B49-3DB4E9F28D13}"/>
    <cellStyle name="Input 6 8 2 3 2" xfId="11640" xr:uid="{A0A6373A-9FC1-4573-B52F-646C48CC2ACB}"/>
    <cellStyle name="Input 6 8 2 3 3" xfId="30621" xr:uid="{CEC672F4-547E-4722-8D26-5DF683927A91}"/>
    <cellStyle name="Input 6 8 2 4" xfId="11641" xr:uid="{C26E08AC-045C-4CA2-A7D0-F53D7FE0F199}"/>
    <cellStyle name="Input 6 8 2 4 2" xfId="11642" xr:uid="{0AC6725F-1622-4796-8A48-7EEF6C6F797A}"/>
    <cellStyle name="Input 6 8 2 4 3" xfId="30622" xr:uid="{5701D177-65D2-4DDE-899A-A9FC038E00CA}"/>
    <cellStyle name="Input 6 8 2 5" xfId="11643" xr:uid="{A0C88BD7-B9A8-4742-AEEC-B3AAAE0C7F7D}"/>
    <cellStyle name="Input 6 8 2 5 2" xfId="11644" xr:uid="{2CC7AE91-5E9B-411A-BCC9-FE6886BE4193}"/>
    <cellStyle name="Input 6 8 2 5 3" xfId="30623" xr:uid="{8B059244-A651-49D2-834B-8943C7284FAD}"/>
    <cellStyle name="Input 6 8 2 6" xfId="11645" xr:uid="{2BE114E1-4769-4181-B7B2-C955F9AC0A3B}"/>
    <cellStyle name="Input 6 8 2 6 2" xfId="11646" xr:uid="{DAF4E890-9FB1-4B4C-BB80-465D6D26E772}"/>
    <cellStyle name="Input 6 8 2 6 3" xfId="30624" xr:uid="{E61E5BFA-A5FB-4BA0-B3F7-F4FCAE62F71B}"/>
    <cellStyle name="Input 6 8 2 7" xfId="11647" xr:uid="{1C80389E-9AB1-4F21-BF54-76CD9AD1C732}"/>
    <cellStyle name="Input 6 8 2 7 2" xfId="11648" xr:uid="{E2F7A747-71E4-4F2A-8D53-5335B210A24F}"/>
    <cellStyle name="Input 6 8 2 7 3" xfId="30625" xr:uid="{F704015F-B9C6-4015-9E50-93852B1960A5}"/>
    <cellStyle name="Input 6 8 2 8" xfId="11649" xr:uid="{0647F4CA-C1F9-4F29-995D-4670C0B0AB64}"/>
    <cellStyle name="Input 6 8 2 8 2" xfId="11650" xr:uid="{B872A25F-022F-40AB-88A9-C94EA3E705B2}"/>
    <cellStyle name="Input 6 8 2 8 3" xfId="30626" xr:uid="{57289932-4D99-4A1D-B7F7-F8BEAEF96BC8}"/>
    <cellStyle name="Input 6 8 2 9" xfId="11651" xr:uid="{5BE8FE57-E30D-4CA3-8C15-71B0C3708C96}"/>
    <cellStyle name="Input 6 8 2 9 2" xfId="30627" xr:uid="{258DDE9C-3794-4AB9-A9D9-D31807C2E287}"/>
    <cellStyle name="Input 6 8 2 9 3" xfId="30628" xr:uid="{A774C401-AC20-40B0-A113-1F66BDD874B9}"/>
    <cellStyle name="Input 6 8 3" xfId="11652" xr:uid="{A37DFA9F-C73C-45C3-B901-3B5D9523D846}"/>
    <cellStyle name="Input 6 8 3 2" xfId="11653" xr:uid="{019EF579-BEBF-4EFE-8285-4334E861BB06}"/>
    <cellStyle name="Input 6 8 3 3" xfId="11654" xr:uid="{B99600CF-11A4-4350-AB47-1E04B826463A}"/>
    <cellStyle name="Input 6 8 3 4" xfId="11655" xr:uid="{F06A4755-E265-4360-A3F6-D8B51F0E9AFC}"/>
    <cellStyle name="Input 6 8 4" xfId="11656" xr:uid="{31891FC8-485D-470B-B025-9681A3FB00E0}"/>
    <cellStyle name="Input 6 8 4 2" xfId="11657" xr:uid="{749EC183-290A-4DA0-97C6-6C1A41D954D3}"/>
    <cellStyle name="Input 6 8 4 3" xfId="30629" xr:uid="{8774CF67-6236-4690-8629-B5BED0138F14}"/>
    <cellStyle name="Input 6 8 5" xfId="11658" xr:uid="{2E52241C-977F-49D1-944A-D2834316DA00}"/>
    <cellStyle name="Input 6 8 5 2" xfId="11659" xr:uid="{5B3E6D05-E436-4EE8-9998-131ADACDD7C7}"/>
    <cellStyle name="Input 6 8 5 3" xfId="30630" xr:uid="{F827B774-BA0A-40EB-BB97-21CD611D6F81}"/>
    <cellStyle name="Input 6 8 6" xfId="11660" xr:uid="{F687013A-0A42-4FA2-9A7F-81E3817018E8}"/>
    <cellStyle name="Input 6 8 6 2" xfId="11661" xr:uid="{B8C05CC9-784E-45FE-AAB0-5285CFD71DF4}"/>
    <cellStyle name="Input 6 8 6 3" xfId="30631" xr:uid="{20A044F1-DD4E-47D7-9B42-CF15C1F443CF}"/>
    <cellStyle name="Input 6 8 7" xfId="11662" xr:uid="{75168A40-4B87-4D6C-B06E-E6AC4F183164}"/>
    <cellStyle name="Input 6 8 7 2" xfId="11663" xr:uid="{B2BA5123-A81E-4BEE-A8EC-1D031B7206BF}"/>
    <cellStyle name="Input 6 8 7 3" xfId="30632" xr:uid="{D54246E1-5D00-41AF-8A75-E4FFB7244017}"/>
    <cellStyle name="Input 6 8 8" xfId="11664" xr:uid="{1FE1BD45-664F-415E-8F06-C5963202C98C}"/>
    <cellStyle name="Input 6 8 8 2" xfId="11665" xr:uid="{35C8735B-F29E-452F-A549-8DBBBEE74AA1}"/>
    <cellStyle name="Input 6 8 8 3" xfId="30633" xr:uid="{5C3E0134-6A2F-4BE3-A1EB-A90E3EAB690E}"/>
    <cellStyle name="Input 6 8 9" xfId="11666" xr:uid="{8CCD356F-243F-4852-BD7D-33C7DB52A8FA}"/>
    <cellStyle name="Input 6 8 9 2" xfId="11667" xr:uid="{40B8144E-E817-4301-A687-9D94CB18F08A}"/>
    <cellStyle name="Input 6 8 9 3" xfId="30634" xr:uid="{EA7505C8-35E3-4C2C-B8F3-87E93EB89E8D}"/>
    <cellStyle name="Input 6 9" xfId="11668" xr:uid="{C7EEC957-9EA4-44D3-A1A6-B3635CE5CA5E}"/>
    <cellStyle name="Input 6 9 10" xfId="11669" xr:uid="{9E0619B2-6737-4A9E-9828-BD6CB7506D58}"/>
    <cellStyle name="Input 6 9 10 2" xfId="30635" xr:uid="{AD3F4D63-EB99-41B1-BC79-278F1FA67F74}"/>
    <cellStyle name="Input 6 9 10 3" xfId="30636" xr:uid="{98F32FEF-315D-4944-89A7-DCB840327160}"/>
    <cellStyle name="Input 6 9 11" xfId="11670" xr:uid="{E124CC1A-B582-4E7F-8A17-F99176340085}"/>
    <cellStyle name="Input 6 9 11 2" xfId="30637" xr:uid="{D0B5225D-AA00-43AA-9258-4047FC538B13}"/>
    <cellStyle name="Input 6 9 12" xfId="30638" xr:uid="{A6D10FFF-C938-4845-985D-3E09F16F701F}"/>
    <cellStyle name="Input 6 9 2" xfId="11671" xr:uid="{61C5A7B1-66CB-4C33-B8DA-C50521957486}"/>
    <cellStyle name="Input 6 9 2 10" xfId="11672" xr:uid="{54A4946D-AACD-4F51-8D3C-BD9D95D3BB48}"/>
    <cellStyle name="Input 6 9 2 10 2" xfId="30639" xr:uid="{237B8532-BF81-4515-A582-CEFE257E2A16}"/>
    <cellStyle name="Input 6 9 2 11" xfId="30640" xr:uid="{6C03CE09-944E-4274-AAD4-B6411208315F}"/>
    <cellStyle name="Input 6 9 2 2" xfId="11673" xr:uid="{508E0102-C213-49B8-8088-9FC5633320D8}"/>
    <cellStyle name="Input 6 9 2 2 2" xfId="11674" xr:uid="{5C019118-8789-4669-9E93-37BD7DA98F76}"/>
    <cellStyle name="Input 6 9 2 2 3" xfId="11675" xr:uid="{19267279-925D-44C8-9C25-95254C50D53A}"/>
    <cellStyle name="Input 6 9 2 2 4" xfId="11676" xr:uid="{C791AA02-6E5F-4A3F-BE01-DE0C31CFBE64}"/>
    <cellStyle name="Input 6 9 2 3" xfId="11677" xr:uid="{4B2F358A-D6C9-4620-94AD-4F655F7FB85A}"/>
    <cellStyle name="Input 6 9 2 3 2" xfId="11678" xr:uid="{9D6613DA-8DE8-4F7E-A7E2-371CDE59DA53}"/>
    <cellStyle name="Input 6 9 2 3 3" xfId="30641" xr:uid="{B1F152E4-7EF4-412A-8043-53C157F0839F}"/>
    <cellStyle name="Input 6 9 2 4" xfId="11679" xr:uid="{5FEC7AFD-BC4F-4908-967A-33607BAC9BC1}"/>
    <cellStyle name="Input 6 9 2 4 2" xfId="11680" xr:uid="{4CDDF485-5CC5-4CF4-A647-C7F04A5C7C34}"/>
    <cellStyle name="Input 6 9 2 4 3" xfId="30642" xr:uid="{AF57376C-76FE-445E-8F80-99FD11330581}"/>
    <cellStyle name="Input 6 9 2 5" xfId="11681" xr:uid="{051F90B1-2240-458A-A5A4-AA3393F43883}"/>
    <cellStyle name="Input 6 9 2 5 2" xfId="11682" xr:uid="{CE7B542D-BE24-4C0D-92EA-0177A96FE444}"/>
    <cellStyle name="Input 6 9 2 5 3" xfId="30643" xr:uid="{A56295A8-4DD0-4348-B079-96DA0A8994B9}"/>
    <cellStyle name="Input 6 9 2 6" xfId="11683" xr:uid="{128CE421-FB92-4B79-AFE5-EAA7D1F9003E}"/>
    <cellStyle name="Input 6 9 2 6 2" xfId="11684" xr:uid="{F4A656FC-F1FA-4218-941F-63EA1F917CA2}"/>
    <cellStyle name="Input 6 9 2 6 3" xfId="30644" xr:uid="{630F1C85-8C97-410A-90D4-1229C5B30B78}"/>
    <cellStyle name="Input 6 9 2 7" xfId="11685" xr:uid="{EB23DE7D-116B-40DC-916E-414AB878F9AD}"/>
    <cellStyle name="Input 6 9 2 7 2" xfId="11686" xr:uid="{E20FE4F5-CD09-4E03-BE08-0E24C84630A3}"/>
    <cellStyle name="Input 6 9 2 7 3" xfId="30645" xr:uid="{6347206E-9594-4C22-B93E-645664C081E5}"/>
    <cellStyle name="Input 6 9 2 8" xfId="11687" xr:uid="{4B0A0EFF-A882-445D-8B38-921D0A5FED59}"/>
    <cellStyle name="Input 6 9 2 8 2" xfId="11688" xr:uid="{2F146DDC-8236-4C7E-9D96-0119E582E1A7}"/>
    <cellStyle name="Input 6 9 2 8 3" xfId="30646" xr:uid="{BBEC2133-6CEB-434A-8356-DA86535D4EA1}"/>
    <cellStyle name="Input 6 9 2 9" xfId="11689" xr:uid="{B7E96750-8982-4696-B5A8-9F1978D03A53}"/>
    <cellStyle name="Input 6 9 2 9 2" xfId="30647" xr:uid="{98940C60-FED9-42A3-9E53-929E1161C0FB}"/>
    <cellStyle name="Input 6 9 2 9 3" xfId="30648" xr:uid="{CDAE9692-CE5B-46DB-B6D4-6132A7FB3E70}"/>
    <cellStyle name="Input 6 9 3" xfId="11690" xr:uid="{22964E71-81F5-4683-9D67-3CB4C6B88397}"/>
    <cellStyle name="Input 6 9 3 2" xfId="11691" xr:uid="{DF3B0B21-212B-4ECF-B238-EF393749F5E4}"/>
    <cellStyle name="Input 6 9 3 3" xfId="11692" xr:uid="{44CE61F1-1561-4F59-AB1C-4A0DF02B04E3}"/>
    <cellStyle name="Input 6 9 3 4" xfId="11693" xr:uid="{A45F6B5F-BD6E-4AA2-93F5-93D39B5A5A93}"/>
    <cellStyle name="Input 6 9 4" xfId="11694" xr:uid="{BC7A2280-9809-47FA-8FD6-2CC6AB7409BF}"/>
    <cellStyle name="Input 6 9 4 2" xfId="11695" xr:uid="{6F94D975-B0FB-40ED-954F-DB0C8FFEF8DC}"/>
    <cellStyle name="Input 6 9 4 3" xfId="30649" xr:uid="{73803EBD-7110-43D8-B72E-E4628E1F1824}"/>
    <cellStyle name="Input 6 9 5" xfId="11696" xr:uid="{1327A8B3-D0A0-4F97-BE14-5FAB9CEE8BAC}"/>
    <cellStyle name="Input 6 9 5 2" xfId="11697" xr:uid="{DDCEE4CC-B268-46F8-9357-1A9DCA3C7C87}"/>
    <cellStyle name="Input 6 9 5 3" xfId="30650" xr:uid="{AE56A097-FC7A-4A59-98F3-C9F5B9F72A3C}"/>
    <cellStyle name="Input 6 9 6" xfId="11698" xr:uid="{6B8BB1DE-CB07-461D-B784-49522434101B}"/>
    <cellStyle name="Input 6 9 6 2" xfId="11699" xr:uid="{C6B0868A-78FE-4F4E-BD42-54B64C485E50}"/>
    <cellStyle name="Input 6 9 6 3" xfId="30651" xr:uid="{1CD91D0B-C7C6-4923-909D-F0AD37B4B40A}"/>
    <cellStyle name="Input 6 9 7" xfId="11700" xr:uid="{FDA123A2-8A6D-448F-BBC6-DA55B4C7ADFE}"/>
    <cellStyle name="Input 6 9 7 2" xfId="11701" xr:uid="{7F36A9E4-A008-4EAA-8784-129C900B6DCA}"/>
    <cellStyle name="Input 6 9 7 3" xfId="30652" xr:uid="{F6AEDB7D-7292-45D8-A35C-6A214B7FE54D}"/>
    <cellStyle name="Input 6 9 8" xfId="11702" xr:uid="{69C87B6B-E3EC-4C6C-8358-50FDB2884C02}"/>
    <cellStyle name="Input 6 9 8 2" xfId="11703" xr:uid="{F74D1F44-A9E0-45C5-ADC7-9736A8BEF57F}"/>
    <cellStyle name="Input 6 9 8 3" xfId="30653" xr:uid="{C03E2325-ED2A-4C03-B207-7E3DD2C1425A}"/>
    <cellStyle name="Input 6 9 9" xfId="11704" xr:uid="{2F4D995F-6B35-4067-B50B-8A38EE69EC9A}"/>
    <cellStyle name="Input 6 9 9 2" xfId="11705" xr:uid="{A5D890AA-F854-4771-8109-BCC62A87786A}"/>
    <cellStyle name="Input 6 9 9 3" xfId="30654" xr:uid="{9A466EB4-7992-4CA4-8C38-780A5E8E95AC}"/>
    <cellStyle name="Input 7" xfId="11706" xr:uid="{D95894B4-655E-4D45-8FF7-1BA44226AACD}"/>
    <cellStyle name="Input 7 10" xfId="11707" xr:uid="{2C97EC66-D1D5-4A05-90B9-98C6115E5113}"/>
    <cellStyle name="Input 7 10 2" xfId="30655" xr:uid="{7A90568C-BA6B-4470-A783-F0D378860E7A}"/>
    <cellStyle name="Input 7 10 3" xfId="30656" xr:uid="{DF2D4067-623A-4CEA-BE3F-CF713BE88B77}"/>
    <cellStyle name="Input 7 11" xfId="11708" xr:uid="{BF40C366-C496-40DA-93A8-6088AAFAB4EF}"/>
    <cellStyle name="Input 7 11 2" xfId="30657" xr:uid="{E22BBE73-ED59-4779-B7DA-E7AECB0FD80F}"/>
    <cellStyle name="Input 7 12" xfId="30658" xr:uid="{C8196E1D-9DAC-41C6-937C-530BF24FB67E}"/>
    <cellStyle name="Input 7 2" xfId="11709" xr:uid="{FC364626-FE9C-4743-8939-0DD60081313C}"/>
    <cellStyle name="Input 7 2 10" xfId="11710" xr:uid="{8A3E7605-DB3E-42A7-809B-BB26843AA17E}"/>
    <cellStyle name="Input 7 2 10 2" xfId="30659" xr:uid="{B3FFCD7F-F49D-45FB-A96E-6D7A19EE4685}"/>
    <cellStyle name="Input 7 2 11" xfId="30660" xr:uid="{AC0BC608-EDD7-4FBF-BB65-7EF6682D0CBB}"/>
    <cellStyle name="Input 7 2 12" xfId="30661" xr:uid="{4731E57A-8116-4D4D-A85F-9B9E63BC8D95}"/>
    <cellStyle name="Input 7 2 13" xfId="30662" xr:uid="{B8D81D9B-75AB-4EBA-A72F-648E40544EF3}"/>
    <cellStyle name="Input 7 2 14" xfId="42810" xr:uid="{16C4F029-1233-4D17-9947-57D24572A400}"/>
    <cellStyle name="Input 7 2 15" xfId="42281" xr:uid="{ACE5D52C-40B0-4B80-B6E0-CFF819CBD9BD}"/>
    <cellStyle name="Input 7 2 16" xfId="43912" xr:uid="{10629D64-5FF7-47A2-9128-892AB2A923D0}"/>
    <cellStyle name="Input 7 2 2" xfId="11711" xr:uid="{EDCE8382-BA3A-4436-869F-212CA20927C3}"/>
    <cellStyle name="Input 7 2 2 2" xfId="11712" xr:uid="{58244717-1236-467E-B707-78904BD55D74}"/>
    <cellStyle name="Input 7 2 2 3" xfId="11713" xr:uid="{C4B71FD9-A5B1-4847-9DF0-F683D271CDED}"/>
    <cellStyle name="Input 7 2 2 4" xfId="11714" xr:uid="{6B1D151F-E8CA-4F3A-B263-AAB2F1198579}"/>
    <cellStyle name="Input 7 2 3" xfId="11715" xr:uid="{0F29BF9A-A4BF-4E84-9FC6-43300178DDAF}"/>
    <cellStyle name="Input 7 2 3 2" xfId="11716" xr:uid="{CA99AC69-54AF-421E-953F-40A30DFD2C31}"/>
    <cellStyle name="Input 7 2 3 3" xfId="30663" xr:uid="{EDBF6000-106F-430B-B059-CA8DAA5E7F89}"/>
    <cellStyle name="Input 7 2 4" xfId="11717" xr:uid="{79A87854-0BAC-4257-BC5C-3320F85B42EE}"/>
    <cellStyle name="Input 7 2 4 2" xfId="11718" xr:uid="{691D29C9-6BD0-4EBE-B12D-67130AC58E3E}"/>
    <cellStyle name="Input 7 2 4 3" xfId="30664" xr:uid="{59ABAC6A-2236-457D-BE5D-08D3101D2273}"/>
    <cellStyle name="Input 7 2 5" xfId="11719" xr:uid="{0D7A7F2C-37BD-4877-9421-8D4E6ECFF617}"/>
    <cellStyle name="Input 7 2 5 2" xfId="11720" xr:uid="{1208E8A2-85BE-4CF7-A4A0-71627CF182D0}"/>
    <cellStyle name="Input 7 2 5 3" xfId="30665" xr:uid="{0339DC50-004E-45AD-A5D9-E479AED6B8CC}"/>
    <cellStyle name="Input 7 2 6" xfId="11721" xr:uid="{41EADCB8-E165-4028-B3FF-6F87BCBFEB21}"/>
    <cellStyle name="Input 7 2 6 2" xfId="11722" xr:uid="{2FD39866-39A2-47E6-BD74-1DCFE68D3E20}"/>
    <cellStyle name="Input 7 2 6 3" xfId="30666" xr:uid="{02538FC5-804F-4527-9D85-7657948E3F54}"/>
    <cellStyle name="Input 7 2 7" xfId="11723" xr:uid="{5548C122-13FD-44A6-B0CF-F76EBC4ECDAF}"/>
    <cellStyle name="Input 7 2 7 2" xfId="11724" xr:uid="{1F345AFB-C41A-4CD6-8F3E-4A5061E3BDCE}"/>
    <cellStyle name="Input 7 2 7 3" xfId="30667" xr:uid="{3818C520-1D06-4804-BE13-A48CEB12D8AA}"/>
    <cellStyle name="Input 7 2 8" xfId="11725" xr:uid="{2294AAA8-277B-439B-80D8-337AA84AAAF0}"/>
    <cellStyle name="Input 7 2 8 2" xfId="11726" xr:uid="{766F1022-0F8E-43B0-9E21-99BB199DEE51}"/>
    <cellStyle name="Input 7 2 8 3" xfId="30668" xr:uid="{263ADF19-5C9F-4C39-ACE0-21710407DA72}"/>
    <cellStyle name="Input 7 2 9" xfId="11727" xr:uid="{3259033C-C167-468A-974E-37FE79B8CEE4}"/>
    <cellStyle name="Input 7 2 9 2" xfId="30669" xr:uid="{285FB2A4-55FD-40A1-AE2C-56C91FDE3A23}"/>
    <cellStyle name="Input 7 2 9 3" xfId="30670" xr:uid="{E9DB3197-6F70-4971-986B-4C6BD038E069}"/>
    <cellStyle name="Input 7 3" xfId="11728" xr:uid="{CA5A75C5-21C6-4A0F-9483-31ED6BF00A81}"/>
    <cellStyle name="Input 7 3 2" xfId="11729" xr:uid="{09E6FFF3-B5E4-40B3-AF31-D05D6459CDB0}"/>
    <cellStyle name="Input 7 3 3" xfId="11730" xr:uid="{F96DE2B8-5FC8-4B78-8117-C86C5849B078}"/>
    <cellStyle name="Input 7 3 4" xfId="11731" xr:uid="{4CA34592-83E4-4B5B-9EC8-164B98971D4C}"/>
    <cellStyle name="Input 7 4" xfId="11732" xr:uid="{4C5E740C-3192-4447-AAF0-2F540A1FA4D0}"/>
    <cellStyle name="Input 7 4 2" xfId="11733" xr:uid="{13B353F6-8EC7-41D5-A162-63AAEC73C0E8}"/>
    <cellStyle name="Input 7 4 3" xfId="30671" xr:uid="{8E8DD2A8-82F6-4DDB-8A8F-015EDD8F6E3D}"/>
    <cellStyle name="Input 7 5" xfId="11734" xr:uid="{A3930B7F-6695-4F23-BE89-384EBF2AAA5E}"/>
    <cellStyle name="Input 7 5 2" xfId="11735" xr:uid="{AD699CA9-7B92-4CFA-B95B-DC2CE1C4CE0D}"/>
    <cellStyle name="Input 7 5 3" xfId="30672" xr:uid="{33BD353B-AFB8-4D5B-8736-304F0E0200D7}"/>
    <cellStyle name="Input 7 6" xfId="11736" xr:uid="{AAEE4180-4FD0-4918-87F4-B4B6B6FF64E7}"/>
    <cellStyle name="Input 7 6 2" xfId="11737" xr:uid="{4A98D8F3-B1E2-4E33-B470-1E0A99E1EC96}"/>
    <cellStyle name="Input 7 6 3" xfId="30673" xr:uid="{2C5DEFAE-C1CB-4738-ADAF-A1B66B5D2811}"/>
    <cellStyle name="Input 7 7" xfId="11738" xr:uid="{AFDD9FBB-7B28-42F6-9F50-F8481BB093E6}"/>
    <cellStyle name="Input 7 7 2" xfId="11739" xr:uid="{E21E77F1-EF75-4F8A-B76E-D32278AEF32F}"/>
    <cellStyle name="Input 7 7 3" xfId="30674" xr:uid="{27C7DCBA-7FFC-472B-A7B4-13AB0DC97C48}"/>
    <cellStyle name="Input 7 8" xfId="11740" xr:uid="{E3B52EA9-BE60-43E2-AC87-8EDC15D45DEA}"/>
    <cellStyle name="Input 7 8 2" xfId="11741" xr:uid="{D61DD373-F6DB-459E-9CAD-277FD77558D8}"/>
    <cellStyle name="Input 7 8 3" xfId="30675" xr:uid="{A6D424DE-EB98-4A4A-8F1F-6863E359CE2C}"/>
    <cellStyle name="Input 7 9" xfId="11742" xr:uid="{0ECFAA30-E6FB-4253-A8F7-F9E1F2CE0C7E}"/>
    <cellStyle name="Input 7 9 2" xfId="11743" xr:uid="{23EAE308-FA41-4BD5-80BB-21F0E8A2BD92}"/>
    <cellStyle name="Input 7 9 3" xfId="30676" xr:uid="{81241D31-B590-490C-AEF9-8665292B2147}"/>
    <cellStyle name="Input 8" xfId="11744" xr:uid="{BF5CAB68-BE23-4AF6-B460-E65BA726FF35}"/>
    <cellStyle name="Input 8 10" xfId="11745" xr:uid="{D451BDBA-3322-40BF-A634-A95DB778C760}"/>
    <cellStyle name="Input 8 10 2" xfId="30677" xr:uid="{9F57961D-A402-4AAD-A05C-A24D72F269EF}"/>
    <cellStyle name="Input 8 10 3" xfId="30678" xr:uid="{658636CB-00A9-428B-9626-B89C197DF56E}"/>
    <cellStyle name="Input 8 11" xfId="11746" xr:uid="{E100635B-8677-43ED-957E-5F4451B7129D}"/>
    <cellStyle name="Input 8 11 2" xfId="30679" xr:uid="{C727916D-2A74-4344-8054-D549722C1AF9}"/>
    <cellStyle name="Input 8 12" xfId="30680" xr:uid="{0A90F1BF-AF4E-4402-B100-98B6A8E6EB9C}"/>
    <cellStyle name="Input 8 2" xfId="11747" xr:uid="{E4627918-2A25-4FAA-B71E-B34EEB22BDC3}"/>
    <cellStyle name="Input 8 2 10" xfId="11748" xr:uid="{0F71B185-A080-4BEF-94BB-D561B9707D43}"/>
    <cellStyle name="Input 8 2 10 2" xfId="30681" xr:uid="{9880552B-1F3B-4CDE-8B2D-971F077D0F58}"/>
    <cellStyle name="Input 8 2 11" xfId="30682" xr:uid="{E3FFB2CC-B076-49A9-A898-5EB084303F75}"/>
    <cellStyle name="Input 8 2 12" xfId="30683" xr:uid="{2315F58C-876D-4D3F-8A39-B7B0C2412775}"/>
    <cellStyle name="Input 8 2 13" xfId="30684" xr:uid="{DDCC2877-4310-4D77-B317-9B783BC6225A}"/>
    <cellStyle name="Input 8 2 14" xfId="42811" xr:uid="{2BAC2EC0-29D4-4D7B-B72C-227A6319DD48}"/>
    <cellStyle name="Input 8 2 15" xfId="42280" xr:uid="{72192741-9B9F-4C1C-8E26-6387A9EF4DF9}"/>
    <cellStyle name="Input 8 2 16" xfId="43913" xr:uid="{A2CB7930-1557-463B-BF1B-F2023CF400C8}"/>
    <cellStyle name="Input 8 2 2" xfId="11749" xr:uid="{ADB062FB-4C4B-4A3E-A9EB-7B89E24A2826}"/>
    <cellStyle name="Input 8 2 2 2" xfId="11750" xr:uid="{5356934B-7975-4E26-9953-803C5D0817A8}"/>
    <cellStyle name="Input 8 2 2 3" xfId="11751" xr:uid="{69EBDA4B-4B91-467F-8D2D-0738A24B989C}"/>
    <cellStyle name="Input 8 2 2 4" xfId="11752" xr:uid="{7CBE1977-8884-4954-BBA1-ACA7957BC683}"/>
    <cellStyle name="Input 8 2 3" xfId="11753" xr:uid="{DAD5F0FA-DE6E-41BC-98BC-C80FB718A67D}"/>
    <cellStyle name="Input 8 2 3 2" xfId="11754" xr:uid="{D26921F4-4853-4C72-8EDC-B1E0CF942016}"/>
    <cellStyle name="Input 8 2 3 3" xfId="30685" xr:uid="{86E27C8F-1415-463E-8007-640883913120}"/>
    <cellStyle name="Input 8 2 4" xfId="11755" xr:uid="{0F0097EE-4E3D-4445-8BF1-1E3DDDBCE7F6}"/>
    <cellStyle name="Input 8 2 4 2" xfId="11756" xr:uid="{74A583BD-F91E-4736-ABF4-204202815D95}"/>
    <cellStyle name="Input 8 2 4 3" xfId="30686" xr:uid="{FB7ADBE7-9F77-41F3-8588-A5D99AC28994}"/>
    <cellStyle name="Input 8 2 5" xfId="11757" xr:uid="{58C04BBB-7E4A-4C00-B3AA-6F1D787631E2}"/>
    <cellStyle name="Input 8 2 5 2" xfId="11758" xr:uid="{999E17EB-A70A-4CFC-856A-A1C6067FC8C2}"/>
    <cellStyle name="Input 8 2 5 3" xfId="30687" xr:uid="{2A3CF4C5-398E-4C9A-936C-3E0B46F19C36}"/>
    <cellStyle name="Input 8 2 6" xfId="11759" xr:uid="{17CBE5CE-3F49-4A36-991E-53AAD5FAA477}"/>
    <cellStyle name="Input 8 2 6 2" xfId="11760" xr:uid="{66913DE1-AD56-49DE-8CA5-D90205E37225}"/>
    <cellStyle name="Input 8 2 6 3" xfId="30688" xr:uid="{5CC0713F-8B9D-426E-A5A1-2573ECC75ADE}"/>
    <cellStyle name="Input 8 2 7" xfId="11761" xr:uid="{57C9A48E-7765-404C-9528-898C77B7A632}"/>
    <cellStyle name="Input 8 2 7 2" xfId="11762" xr:uid="{2EE36E47-8477-4A83-A351-044909EC7E06}"/>
    <cellStyle name="Input 8 2 7 3" xfId="30689" xr:uid="{E1B30CFD-FC5B-419B-B082-03E729E8CCB6}"/>
    <cellStyle name="Input 8 2 8" xfId="11763" xr:uid="{F5359AE2-9C43-4894-89C3-7EB11B6A005D}"/>
    <cellStyle name="Input 8 2 8 2" xfId="11764" xr:uid="{AAFB78A5-D480-4473-9B3D-1FEEE20300CE}"/>
    <cellStyle name="Input 8 2 8 3" xfId="30690" xr:uid="{72822E94-281E-4549-B456-90EC6996D484}"/>
    <cellStyle name="Input 8 2 9" xfId="11765" xr:uid="{D46227B9-74CA-4F55-B8C4-BDC9B61C0894}"/>
    <cellStyle name="Input 8 2 9 2" xfId="30691" xr:uid="{732905F3-2689-4907-A981-2D67D91584E1}"/>
    <cellStyle name="Input 8 2 9 3" xfId="30692" xr:uid="{98A006C1-65C3-4531-B909-375A69C87F3F}"/>
    <cellStyle name="Input 8 3" xfId="11766" xr:uid="{D7D77F52-D7E6-46E2-9604-86C2D5FED2C1}"/>
    <cellStyle name="Input 8 3 2" xfId="11767" xr:uid="{DBE8336C-B6C6-4453-8E40-5868C34CB48D}"/>
    <cellStyle name="Input 8 3 3" xfId="11768" xr:uid="{EB53C707-CF93-48F5-9F7E-D47D04B21483}"/>
    <cellStyle name="Input 8 3 4" xfId="11769" xr:uid="{E101FA3C-51DE-424C-82D8-EA8A219E9724}"/>
    <cellStyle name="Input 8 4" xfId="11770" xr:uid="{F42FC72B-1F71-4221-9ED1-79183F2BBC1D}"/>
    <cellStyle name="Input 8 4 2" xfId="11771" xr:uid="{CCB1D542-1930-429B-8200-D55A7A3B9947}"/>
    <cellStyle name="Input 8 4 3" xfId="30693" xr:uid="{D153BF2C-86C4-40AD-BBF9-C9DA07E83211}"/>
    <cellStyle name="Input 8 5" xfId="11772" xr:uid="{862FDCFD-2AFF-4785-A056-F45F2ACBF287}"/>
    <cellStyle name="Input 8 5 2" xfId="11773" xr:uid="{E994F1A5-BE0C-4E5F-B44A-757F5032D29C}"/>
    <cellStyle name="Input 8 5 3" xfId="30694" xr:uid="{2DA00624-F3E1-4455-93A0-BF954BFB564F}"/>
    <cellStyle name="Input 8 6" xfId="11774" xr:uid="{4ABCE453-D192-40AD-9DEE-B45A41A9A9D5}"/>
    <cellStyle name="Input 8 6 2" xfId="11775" xr:uid="{40E6722F-09FA-42FD-A8FF-F438D2472DBD}"/>
    <cellStyle name="Input 8 6 3" xfId="30695" xr:uid="{74444189-66E0-420A-A621-729FE562278C}"/>
    <cellStyle name="Input 8 7" xfId="11776" xr:uid="{2E3F6E61-0EF1-4DDC-9E44-5911E5457AE3}"/>
    <cellStyle name="Input 8 7 2" xfId="11777" xr:uid="{0F6BF05A-B246-4312-9656-462598410D5C}"/>
    <cellStyle name="Input 8 7 3" xfId="30696" xr:uid="{F4813E7E-3EAE-4C03-8604-B5D997E7A6E9}"/>
    <cellStyle name="Input 8 8" xfId="11778" xr:uid="{37711412-70A5-4153-B48B-63B6CCA1E99B}"/>
    <cellStyle name="Input 8 8 2" xfId="11779" xr:uid="{5B15E169-5415-486B-B242-7176201F15A8}"/>
    <cellStyle name="Input 8 8 3" xfId="30697" xr:uid="{08A02CB4-243E-4C36-9020-633D6320BCCD}"/>
    <cellStyle name="Input 8 9" xfId="11780" xr:uid="{8261C87C-8CBC-432D-9951-ADB5524DD627}"/>
    <cellStyle name="Input 8 9 2" xfId="11781" xr:uid="{5F03343A-8D0A-4DB4-A659-ECF56F7BCC61}"/>
    <cellStyle name="Input 8 9 3" xfId="30698" xr:uid="{6A373336-AD18-4134-8146-6B30104ADBFB}"/>
    <cellStyle name="Input 9" xfId="11782" xr:uid="{0B3C5E3C-7D0A-415A-9792-FA3531250808}"/>
    <cellStyle name="Input 9 10" xfId="11783" xr:uid="{879ED064-1C2F-4EF1-97FD-158A8171BD46}"/>
    <cellStyle name="Input 9 10 2" xfId="30699" xr:uid="{B5FEF0D1-E8A4-4D8A-9403-AD270BE6BF51}"/>
    <cellStyle name="Input 9 10 3" xfId="30700" xr:uid="{EDA8014F-81FF-4B21-AF9D-3F24BC8B5870}"/>
    <cellStyle name="Input 9 11" xfId="11784" xr:uid="{DD004D33-A4D8-426E-B0B2-3A667CDBD110}"/>
    <cellStyle name="Input 9 11 2" xfId="30701" xr:uid="{AB22BC47-E73D-4233-8378-AA62E88F6C3D}"/>
    <cellStyle name="Input 9 12" xfId="30702" xr:uid="{AC32D3FE-6F75-4DA3-BAD2-7880DFB9455E}"/>
    <cellStyle name="Input 9 2" xfId="11785" xr:uid="{78989C1C-9D15-4DE3-BBD8-0889CD5C4A3A}"/>
    <cellStyle name="Input 9 2 10" xfId="11786" xr:uid="{65E912EB-66B9-45B1-8D00-F66E0D5767B6}"/>
    <cellStyle name="Input 9 2 10 2" xfId="30703" xr:uid="{4C7CD90B-1EF0-4A27-98C0-1BE82C94D480}"/>
    <cellStyle name="Input 9 2 11" xfId="30704" xr:uid="{064F2436-1A6E-4B05-A4E8-FC3CA03E3CD2}"/>
    <cellStyle name="Input 9 2 12" xfId="30705" xr:uid="{87090FB3-2B7B-4996-B0CF-1D3393514B43}"/>
    <cellStyle name="Input 9 2 13" xfId="30706" xr:uid="{9EFCA163-1A48-43C1-BC2A-5B07C76CAF0F}"/>
    <cellStyle name="Input 9 2 14" xfId="42812" xr:uid="{AB6C1010-5B70-4E99-BFD1-F9A9BC9BEC6C}"/>
    <cellStyle name="Input 9 2 15" xfId="42279" xr:uid="{AF4B3209-4C86-48CA-A566-658DDC6B4192}"/>
    <cellStyle name="Input 9 2 16" xfId="43914" xr:uid="{AB4487EC-2FCF-4571-9F0A-346AADCE17A6}"/>
    <cellStyle name="Input 9 2 2" xfId="11787" xr:uid="{C2B0ECE0-C7A2-442A-A841-DBD8E01FAEB6}"/>
    <cellStyle name="Input 9 2 2 2" xfId="11788" xr:uid="{ED36AC24-0419-4789-B622-585BB54835A1}"/>
    <cellStyle name="Input 9 2 2 3" xfId="11789" xr:uid="{9A45B23F-320E-43CE-9D11-25AE317436B3}"/>
    <cellStyle name="Input 9 2 2 4" xfId="11790" xr:uid="{EC52C3F0-4724-4A74-B65A-233D3D7DAB79}"/>
    <cellStyle name="Input 9 2 3" xfId="11791" xr:uid="{BB6354BA-E7EF-4C30-BE6E-7F1B639779FC}"/>
    <cellStyle name="Input 9 2 3 2" xfId="11792" xr:uid="{2A0B7581-BC08-4C9F-972A-1E485A6C386D}"/>
    <cellStyle name="Input 9 2 3 3" xfId="30707" xr:uid="{37AE2F7D-3D95-441F-968C-EE1F4452403F}"/>
    <cellStyle name="Input 9 2 4" xfId="11793" xr:uid="{1BC70B99-7685-4602-8A16-B172F403240C}"/>
    <cellStyle name="Input 9 2 4 2" xfId="11794" xr:uid="{3CD6806D-4D6B-43CD-A878-9FA679475E60}"/>
    <cellStyle name="Input 9 2 4 3" xfId="30708" xr:uid="{8416D796-E983-43D4-B59B-9F72DEE99ECF}"/>
    <cellStyle name="Input 9 2 5" xfId="11795" xr:uid="{53060C24-871B-4307-8236-0E356146D699}"/>
    <cellStyle name="Input 9 2 5 2" xfId="11796" xr:uid="{ED9CEBDD-04E9-4ED1-82D6-0B1BEFF5B1A2}"/>
    <cellStyle name="Input 9 2 5 3" xfId="30709" xr:uid="{4EC13A3A-0453-4E2F-BEB6-10236444BBDE}"/>
    <cellStyle name="Input 9 2 6" xfId="11797" xr:uid="{A9BCA916-191E-4783-BB16-98EE75BB2CA6}"/>
    <cellStyle name="Input 9 2 6 2" xfId="11798" xr:uid="{A384722A-12BE-492A-BC4F-4D4F10953EA4}"/>
    <cellStyle name="Input 9 2 6 3" xfId="30710" xr:uid="{826FB9C7-A325-4B07-B66A-DEB8E014FB5E}"/>
    <cellStyle name="Input 9 2 7" xfId="11799" xr:uid="{24C5FB23-E235-4B1D-9117-9E0C1DF64FDC}"/>
    <cellStyle name="Input 9 2 7 2" xfId="11800" xr:uid="{2576A7A8-DB2C-4DF5-8F98-F8F7D167AACA}"/>
    <cellStyle name="Input 9 2 7 3" xfId="30711" xr:uid="{D7D87B9F-ED9A-4A33-8517-7289C51E005C}"/>
    <cellStyle name="Input 9 2 8" xfId="11801" xr:uid="{94D1EA8A-6D86-4730-B50D-B36A837F1065}"/>
    <cellStyle name="Input 9 2 8 2" xfId="11802" xr:uid="{331E7B3F-F0FB-4EC3-A3B9-A6B11600FDFA}"/>
    <cellStyle name="Input 9 2 8 3" xfId="30712" xr:uid="{69041973-E48A-483B-9DE2-493E9A473B93}"/>
    <cellStyle name="Input 9 2 9" xfId="11803" xr:uid="{C257A91E-1E60-48A6-80D4-B19E20465079}"/>
    <cellStyle name="Input 9 2 9 2" xfId="30713" xr:uid="{A4A85B8A-2DC2-4CD1-81B8-A558BE0763A4}"/>
    <cellStyle name="Input 9 2 9 3" xfId="30714" xr:uid="{67561481-5C40-43A7-9F6F-58872F7FCECA}"/>
    <cellStyle name="Input 9 3" xfId="11804" xr:uid="{26A8CD28-D760-49F6-8207-E9C65386B54E}"/>
    <cellStyle name="Input 9 3 2" xfId="11805" xr:uid="{3C19291E-ACF2-4F0A-BD77-2685BCD136D2}"/>
    <cellStyle name="Input 9 3 3" xfId="11806" xr:uid="{FED0FE9A-FF13-4CB8-8AB6-ABB28C5301E6}"/>
    <cellStyle name="Input 9 3 4" xfId="11807" xr:uid="{5C57A69D-7BED-4E59-BB63-CF0A4D7A4759}"/>
    <cellStyle name="Input 9 4" xfId="11808" xr:uid="{80C948B7-BC50-4E50-8BE2-5A521FF7F063}"/>
    <cellStyle name="Input 9 4 2" xfId="11809" xr:uid="{680A93BD-DC95-4C9F-A6F5-3A22B492022A}"/>
    <cellStyle name="Input 9 4 3" xfId="30715" xr:uid="{3BFFACCB-63BC-4408-AAF0-D06939DD9570}"/>
    <cellStyle name="Input 9 5" xfId="11810" xr:uid="{BB13CB52-D0A9-438B-99A2-001F566D9CB5}"/>
    <cellStyle name="Input 9 5 2" xfId="11811" xr:uid="{47F8BCAA-9EAA-4D4C-B302-FFF7F9F917C1}"/>
    <cellStyle name="Input 9 5 3" xfId="30716" xr:uid="{15F947E7-8E8A-4178-9CE7-069191A1D794}"/>
    <cellStyle name="Input 9 6" xfId="11812" xr:uid="{55EE06E3-30D7-4845-AC37-EE25CB835516}"/>
    <cellStyle name="Input 9 6 2" xfId="11813" xr:uid="{86ECB9C0-7D5E-4633-B715-4944DD2C4E39}"/>
    <cellStyle name="Input 9 6 3" xfId="30717" xr:uid="{A927BF53-AF07-4DB2-AEFE-CB08DBA77641}"/>
    <cellStyle name="Input 9 7" xfId="11814" xr:uid="{70521213-39B7-4D10-8F21-48BE9CD15B3F}"/>
    <cellStyle name="Input 9 7 2" xfId="11815" xr:uid="{4CAD1A0B-58F2-4631-A012-B33EDA0081BA}"/>
    <cellStyle name="Input 9 7 3" xfId="30718" xr:uid="{20AFC882-F781-4595-A7D1-A8AFCDCC7D79}"/>
    <cellStyle name="Input 9 8" xfId="11816" xr:uid="{DB2871CD-9337-46EB-BD2B-DFA0B77A2735}"/>
    <cellStyle name="Input 9 8 2" xfId="11817" xr:uid="{91B5E942-5008-4906-8A3F-E3BB5710B1C8}"/>
    <cellStyle name="Input 9 8 3" xfId="30719" xr:uid="{8A85A4E4-A832-47C0-B866-9F9E1114A4EE}"/>
    <cellStyle name="Input 9 9" xfId="11818" xr:uid="{7801F1D2-FA66-4535-BC65-CE25F8CC205C}"/>
    <cellStyle name="Input 9 9 2" xfId="11819" xr:uid="{683318C6-A58E-4417-BB84-C1E1CB82F054}"/>
    <cellStyle name="Input 9 9 3" xfId="30720" xr:uid="{EDDDA743-983D-4287-9FF2-4F13C21D1DA1}"/>
    <cellStyle name="InputCells" xfId="11820" xr:uid="{38AC2435-C71C-4B46-AEF6-DB27B322962F}"/>
    <cellStyle name="InputCells 2" xfId="11821" xr:uid="{D7259A5F-5D93-4BB9-8247-D894B356924C}"/>
    <cellStyle name="InputCells 2 2" xfId="44121" xr:uid="{81138DBE-55CB-4F74-80A2-90E615F95FAA}"/>
    <cellStyle name="InputCells 3" xfId="44165" xr:uid="{2558BF91-62B3-4EE0-BA6A-4D18D1970F82}"/>
    <cellStyle name="InputCells 4" xfId="44308" xr:uid="{DCA08386-DAC7-4CA6-8C2D-73178690525C}"/>
    <cellStyle name="InputCells 5" xfId="43981" xr:uid="{5325CD3F-12F4-4C55-AE5D-0301F9EF48C6}"/>
    <cellStyle name="InputCells_Bborder_1" xfId="44122" xr:uid="{8E2A9E2F-8135-458D-A419-214B22DD9A67}"/>
    <cellStyle name="InputCells12" xfId="11822" xr:uid="{044FC748-CDA5-4FF4-AE85-C7B8C9235700}"/>
    <cellStyle name="InputCells12 2" xfId="11823" xr:uid="{F1274FCB-7FCD-44B5-A310-FBF35E4145D6}"/>
    <cellStyle name="InputCells12 2 2" xfId="30721" xr:uid="{8F1619C9-9CFC-4DC5-A9B9-1F1BAFF2DC5C}"/>
    <cellStyle name="InputCells12 2 2 2" xfId="30722" xr:uid="{9CFC7CB9-AC2E-4E24-B524-02392804917C}"/>
    <cellStyle name="InputCells12 2 2 2 2" xfId="44754" xr:uid="{914AA2EA-B2D8-4116-BEA1-5E27321F1563}"/>
    <cellStyle name="InputCells12 2 2 2 2 2" xfId="44876" xr:uid="{D628C401-018A-4EBF-84BC-54C110CD335E}"/>
    <cellStyle name="InputCells12 2 2 2 2 3" xfId="44853" xr:uid="{3334991E-8862-4085-A7B7-C979A1570042}"/>
    <cellStyle name="InputCells12 2 2 2 3" xfId="44542" xr:uid="{88C9352D-976F-4A1C-AFFD-EE3ADB1E268C}"/>
    <cellStyle name="InputCells12 2 2 2 4" xfId="45290" xr:uid="{BFA2B513-A129-43A7-A80A-6EC8236C1AF4}"/>
    <cellStyle name="InputCells12 2 2 2 5" xfId="45529" xr:uid="{D30E09C7-CE48-4334-8164-7E0E5470B646}"/>
    <cellStyle name="InputCells12 2 2 3" xfId="44665" xr:uid="{B1FFF7B7-AE1F-4ABB-BC29-D47612AA6AE2}"/>
    <cellStyle name="InputCells12 2 2 3 2" xfId="44917" xr:uid="{0DFF950E-EBE0-4B99-97C2-0FD8001E74E6}"/>
    <cellStyle name="InputCells12 2 2 3 3" xfId="44891" xr:uid="{0BD7A861-1375-430C-BC85-F04A79E61B5C}"/>
    <cellStyle name="InputCells12 2 2 4" xfId="44378" xr:uid="{11336247-51F3-4470-9CA3-A894200E259C}"/>
    <cellStyle name="InputCells12 2 3" xfId="30723" xr:uid="{96409990-82C9-40AD-9861-C869EF24ED9F}"/>
    <cellStyle name="InputCells12 2 3 2" xfId="44565" xr:uid="{AD7E93FB-79D2-4764-9B9F-A4F8B42F0962}"/>
    <cellStyle name="InputCells12 2 3 2 2" xfId="44777" xr:uid="{99707D5F-113D-4602-9891-3958A331ADE0}"/>
    <cellStyle name="InputCells12 2 3 2 2 2" xfId="44993" xr:uid="{B9F10EC1-8EAA-48EE-BE62-62B0D94F461C}"/>
    <cellStyle name="InputCells12 2 3 2 2 3" xfId="44976" xr:uid="{0F4791E6-87B8-4899-8C97-B8C8BCB6AAEA}"/>
    <cellStyle name="InputCells12 2 3 2 3" xfId="45295" xr:uid="{B2318318-ED16-43AE-8CDF-5EC55313591D}"/>
    <cellStyle name="InputCells12 2 3 2 4" xfId="45533" xr:uid="{304CCE3C-DA93-4221-ABBC-BD914188A1C0}"/>
    <cellStyle name="InputCells12 2 3 3" xfId="44489" xr:uid="{2BABB258-EC02-4821-8A16-0BECE242721F}"/>
    <cellStyle name="InputCells12 2 3 3 2" xfId="44701" xr:uid="{671F7491-2B37-4B39-8112-A7A0E0BA47D9}"/>
    <cellStyle name="InputCells12 2 3 3 2 2" xfId="44328" xr:uid="{DF5697B0-552D-4161-A1CD-C500D03D52E0}"/>
    <cellStyle name="InputCells12 2 3 3 2 3" xfId="45371" xr:uid="{38522220-5AE1-4AF6-AD14-43F5453A0AE8}"/>
    <cellStyle name="InputCells12 2 3 3 3" xfId="45324" xr:uid="{F61681EC-6ECC-42AC-927A-981853A76CE3}"/>
    <cellStyle name="InputCells12 2 3 3 4" xfId="45557" xr:uid="{F024EF2A-1924-486B-A6DE-202A6911E911}"/>
    <cellStyle name="InputCells12 2 3 4" xfId="44603" xr:uid="{A5058470-9830-4A09-9359-A9C33B9A7FE0}"/>
    <cellStyle name="InputCells12 2 3 4 2" xfId="44816" xr:uid="{772F0C37-5051-44E2-9F65-620BF9EABDE2}"/>
    <cellStyle name="InputCells12 2 3 4 2 2" xfId="44987" xr:uid="{D7A2416E-3D08-4129-8020-A5B48201ADB4}"/>
    <cellStyle name="InputCells12 2 3 4 2 3" xfId="44384" xr:uid="{5E6B2F7A-DD04-4D0E-BEEE-911BEA924E41}"/>
    <cellStyle name="InputCells12 2 3 4 3" xfId="44541" xr:uid="{58BE25B1-64C0-49EE-B31E-22973CFBAB94}"/>
    <cellStyle name="InputCells12 2 3 4 4" xfId="45008" xr:uid="{91FDE1ED-E67E-4B6F-BD02-4104414AEF91}"/>
    <cellStyle name="InputCells12 2 3 5" xfId="44250" xr:uid="{49FDF6E1-C930-4774-B0E6-981A4643909B}"/>
    <cellStyle name="InputCells12 2 3 6" xfId="44952" xr:uid="{071EDE24-4F74-4938-ADC2-DBC904EFB4A0}"/>
    <cellStyle name="InputCells12 2 3 7" xfId="45170" xr:uid="{71244C34-5863-4FBB-AB04-FB3990FD88A7}"/>
    <cellStyle name="InputCells12 2 4" xfId="44123" xr:uid="{375F5D83-399A-4C2B-B259-9EEDCAA1266B}"/>
    <cellStyle name="InputCells12 3" xfId="11824" xr:uid="{B3A5C8B0-AAB6-4F6B-B931-86975BAAA607}"/>
    <cellStyle name="InputCells12 3 2" xfId="30724" xr:uid="{565C86E3-5D3D-49D4-8599-AFC8F939827A}"/>
    <cellStyle name="InputCells12 3 2 2" xfId="44685" xr:uid="{4693D177-1773-4C55-B8C5-6C67EDE213F5}"/>
    <cellStyle name="InputCells12 3 2 2 2" xfId="44860" xr:uid="{5D9ADC0A-3F78-46F2-BBCE-836349260C90}"/>
    <cellStyle name="InputCells12 3 2 2 3" xfId="45136" xr:uid="{AFBE076A-1995-4D03-933A-C8B7BAE0CCD1}"/>
    <cellStyle name="InputCells12 3 2 3" xfId="44474" xr:uid="{14322A1C-46CD-4574-926B-EC2BC2525F2D}"/>
    <cellStyle name="InputCells12 3 2 4" xfId="45277" xr:uid="{B37E4309-6D93-49C2-9E9C-77E6AEAE818A}"/>
    <cellStyle name="InputCells12 3 2 5" xfId="45522" xr:uid="{2CC2AF9A-9D60-444C-B1E2-FC0023C86779}"/>
    <cellStyle name="InputCells12 3 3" xfId="44664" xr:uid="{C73324AC-71DC-4E89-8DD4-EE57E6E85F44}"/>
    <cellStyle name="InputCells12 3 3 2" xfId="45151" xr:uid="{EA38A664-97C7-48E7-AC61-5BEA39A998CD}"/>
    <cellStyle name="InputCells12 3 3 3" xfId="45443" xr:uid="{ADB9106F-7BC1-4C22-A0E5-A54D87BBA3D9}"/>
    <cellStyle name="InputCells12 3 4" xfId="44377" xr:uid="{0D114135-E364-4CE6-B9CB-2922E3E37919}"/>
    <cellStyle name="InputCells12 4" xfId="11825" xr:uid="{40812049-5135-42EF-A7CA-537C1FD75DCE}"/>
    <cellStyle name="InputCells12 4 2" xfId="30725" xr:uid="{1003FCAD-C586-45AE-8CC4-B55FC5345D1F}"/>
    <cellStyle name="InputCells12 4 2 2" xfId="44776" xr:uid="{C9CADA98-25A3-4636-965C-2F9AFFEC1058}"/>
    <cellStyle name="InputCells12 4 2 2 2" xfId="44905" xr:uid="{BD2EB95C-9290-4350-9FD7-AA2A67CDCE08}"/>
    <cellStyle name="InputCells12 4 2 2 3" xfId="44267" xr:uid="{2F49EEA5-FB98-4DA7-A1A9-61D1538D31D4}"/>
    <cellStyle name="InputCells12 4 2 3" xfId="44564" xr:uid="{21A19701-3BFF-4E00-8FB2-7E80CEBC0119}"/>
    <cellStyle name="InputCells12 4 2 4" xfId="45226" xr:uid="{91D041D0-949A-4C63-A6FF-F9586AF49ED7}"/>
    <cellStyle name="InputCells12 4 2 5" xfId="45490" xr:uid="{6F21E991-09D2-4D02-97D4-63C352B5DF25}"/>
    <cellStyle name="InputCells12 4 3" xfId="44490" xr:uid="{D2EC37C3-BA15-44E9-9E7C-DB71ACE8C9FF}"/>
    <cellStyle name="InputCells12 4 3 2" xfId="44702" xr:uid="{F95B5443-D592-4806-A574-12C492DE5763}"/>
    <cellStyle name="InputCells12 4 3 2 2" xfId="44974" xr:uid="{7D12FF9E-9D9A-4210-ACB9-91E52025550B}"/>
    <cellStyle name="InputCells12 4 3 2 3" xfId="44837" xr:uid="{FAA077E8-572F-422F-B5F6-72107A7AE5BF}"/>
    <cellStyle name="InputCells12 4 3 3" xfId="45163" xr:uid="{D79B8C97-CF73-40B4-898F-FCE7A8F7A7D4}"/>
    <cellStyle name="InputCells12 4 3 4" xfId="45455" xr:uid="{14E05D86-BB81-4DD8-99A3-F58CE9CF6D5B}"/>
    <cellStyle name="InputCells12 4 4" xfId="44465" xr:uid="{1776D83E-D7D7-454D-845A-DD599AAD4884}"/>
    <cellStyle name="InputCells12 4 4 2" xfId="44676" xr:uid="{128411B5-A713-40D5-B5D6-C6EAEBEC39C5}"/>
    <cellStyle name="InputCells12 4 4 2 2" xfId="44918" xr:uid="{126C66B1-E61B-4E3D-8BDC-7B5670879800}"/>
    <cellStyle name="InputCells12 4 4 2 3" xfId="45302" xr:uid="{509EC6EB-8D91-4CDD-B81F-97F2E97DA32F}"/>
    <cellStyle name="InputCells12 4 4 3" xfId="45132" xr:uid="{D539720F-E6EF-43C9-9DF8-183ABFBDDC0A}"/>
    <cellStyle name="InputCells12 4 4 4" xfId="45431" xr:uid="{6CDFF112-7EA1-4C8F-9F34-21E50ACBB99A}"/>
    <cellStyle name="InputCells12 4 5" xfId="44249" xr:uid="{00F89F99-773F-4BA2-BDE8-2D33D51189E7}"/>
    <cellStyle name="InputCells12 4 6" xfId="45046" xr:uid="{7DC0C074-0918-40DD-8792-1292184E7F35}"/>
    <cellStyle name="InputCells12 4 7" xfId="45119" xr:uid="{F89DA1A6-2450-42D4-8A23-4F05F7DD1D1E}"/>
    <cellStyle name="InputCells12 5" xfId="30726" xr:uid="{AB30E3AD-E882-46FE-AE46-7455D326B16C}"/>
    <cellStyle name="InputCells12 5 2" xfId="44051" xr:uid="{ED099074-5D6F-4E38-BFEE-AB5A8757A18F}"/>
    <cellStyle name="InputCells12 5 3" xfId="45639" xr:uid="{94612D6C-8DAF-46AB-834C-130CE15E9E85}"/>
    <cellStyle name="InputCells12 6" xfId="30727" xr:uid="{9F176C13-4AB5-4E6F-9332-CD2BCAEF83FF}"/>
    <cellStyle name="InputCells12 7" xfId="42813" xr:uid="{A944100F-76F1-4DE3-A3BE-E53DD7990A26}"/>
    <cellStyle name="InputCells12 8" xfId="45610" xr:uid="{CB453375-6A2A-4421-B0BA-29D92DE6E5F9}"/>
    <cellStyle name="InputCells12_BBorder" xfId="43995" xr:uid="{4A85D8B9-7A5F-441D-9C4D-C135BFB7F7F3}"/>
    <cellStyle name="Insatisfaisant" xfId="11826" xr:uid="{769C7267-3D49-496B-BBC5-0A0950796607}"/>
    <cellStyle name="IntCells" xfId="11827" xr:uid="{46EEC37A-0361-46BB-9A12-100F64158A88}"/>
    <cellStyle name="Jegyzet" xfId="11828" xr:uid="{65873C69-0E72-447F-BA6D-53A607B4F8E7}"/>
    <cellStyle name="Jegyzet 10" xfId="11829" xr:uid="{4085D2DE-857A-4A2D-B5A4-10987215DB5C}"/>
    <cellStyle name="Jegyzet 10 2" xfId="30728" xr:uid="{F7020CEA-F123-4896-B286-EBBDDC18ED79}"/>
    <cellStyle name="Jegyzet 11" xfId="30729" xr:uid="{50AAB3F4-4A9C-4412-A5F6-C922345CB9E3}"/>
    <cellStyle name="Jegyzet 2" xfId="11830" xr:uid="{590FA5EF-5FF1-4C2D-9D48-9A3A88A57BB5}"/>
    <cellStyle name="Jegyzet 2 2" xfId="11831" xr:uid="{ACDCA8B9-476F-4FC8-9DCF-A7040EACAC95}"/>
    <cellStyle name="Jegyzet 2 2 2" xfId="11832" xr:uid="{3A626BE4-F90F-449F-8D8D-B116EFF310A6}"/>
    <cellStyle name="Jegyzet 2 3" xfId="11833" xr:uid="{349DAAAF-2468-4789-87A0-1414E379B38D}"/>
    <cellStyle name="Jegyzet 2 4" xfId="30730" xr:uid="{E80F8196-51D3-4573-9F32-575736A518A7}"/>
    <cellStyle name="Jegyzet 3" xfId="11834" xr:uid="{3A2911B7-1BB0-4AC8-B429-1C34ECBA9F8A}"/>
    <cellStyle name="Jegyzet 3 2" xfId="11835" xr:uid="{2C886494-2D5E-4D9F-9D12-B6CC241DBE49}"/>
    <cellStyle name="Jegyzet 3 3" xfId="30731" xr:uid="{9BA9E9E6-77A9-49F8-AC98-AD540FB47693}"/>
    <cellStyle name="Jegyzet 3 4" xfId="30732" xr:uid="{6DD4B0B3-E2F6-4680-AFB3-4F989C1B8C54}"/>
    <cellStyle name="Jegyzet 4" xfId="11836" xr:uid="{B0E28E1C-B07F-4D9F-A2A0-6F28D0313D82}"/>
    <cellStyle name="Jegyzet 4 2" xfId="11837" xr:uid="{AB8C0702-8436-4113-BBA9-6CC6BC12C96F}"/>
    <cellStyle name="Jegyzet 4 3" xfId="30733" xr:uid="{E97F2B2F-8D00-4F34-A0A1-E6D70CF0055E}"/>
    <cellStyle name="Jegyzet 4 4" xfId="30734" xr:uid="{98E4616F-F5B3-4B07-BD61-9DD83DFF0A8E}"/>
    <cellStyle name="Jegyzet 5" xfId="11838" xr:uid="{65179680-2FDF-4176-B44F-051D9AF24267}"/>
    <cellStyle name="Jegyzet 5 2" xfId="11839" xr:uid="{847C5A9C-23A2-494F-92E1-26B26B8F8D2C}"/>
    <cellStyle name="Jegyzet 5 3" xfId="30735" xr:uid="{C0582729-B48F-47E4-962E-0A4C0EB2EE17}"/>
    <cellStyle name="Jegyzet 5 4" xfId="30736" xr:uid="{AEB1894C-C2B0-4359-A2D1-49D9B32D862B}"/>
    <cellStyle name="Jegyzet 6" xfId="11840" xr:uid="{D5A856BD-E2D2-4455-BA62-AAAA6669F946}"/>
    <cellStyle name="Jegyzet 6 2" xfId="11841" xr:uid="{4D7C014D-4A4D-47E6-9916-E147BC1D02A9}"/>
    <cellStyle name="Jegyzet 6 3" xfId="30737" xr:uid="{8DEBE377-FBE7-4ACA-9F05-0A8FC2519446}"/>
    <cellStyle name="Jegyzet 6 4" xfId="30738" xr:uid="{B903B6BD-C51E-438D-BD36-AAAE71BCA2C7}"/>
    <cellStyle name="Jegyzet 7" xfId="11842" xr:uid="{F8569905-4D22-48D6-9843-2A3381E3BF4C}"/>
    <cellStyle name="Jegyzet 7 2" xfId="11843" xr:uid="{E73C532F-2424-4FAA-9219-EEE2699FF8F1}"/>
    <cellStyle name="Jegyzet 7 3" xfId="30739" xr:uid="{1E1D17FF-D43C-4496-B2D9-1D8927280EA9}"/>
    <cellStyle name="Jegyzet 7 4" xfId="30740" xr:uid="{89D06EE7-60C0-4684-B7AB-650591E6C0A9}"/>
    <cellStyle name="Jegyzet 8" xfId="11844" xr:uid="{66AAB226-483F-43F9-B341-417057ED50E2}"/>
    <cellStyle name="Jegyzet 8 2" xfId="11845" xr:uid="{0E3C69AC-E0C8-421D-B4FC-D6FA281A7830}"/>
    <cellStyle name="Jegyzet 8 3" xfId="30741" xr:uid="{F607879B-D581-429A-8A2C-DD333D731CC8}"/>
    <cellStyle name="Jegyzet 8 4" xfId="30742" xr:uid="{4EABFF6A-916B-4F78-BD81-E32E7C18BEBE}"/>
    <cellStyle name="Jegyzet 9" xfId="11846" xr:uid="{FF835967-9E54-4F41-8A5F-6CD55D110AD5}"/>
    <cellStyle name="Jegyzet 9 2" xfId="30743" xr:uid="{A4CDC5E2-050B-4D9E-B34A-F76734CAEBFD}"/>
    <cellStyle name="Jelölőszín (1)" xfId="11847" xr:uid="{7D2600DE-AA10-499A-8C40-461DB96F8123}"/>
    <cellStyle name="Jelölőszín (2)" xfId="11848" xr:uid="{102C9D07-B941-4BB9-893D-097E83BF1E5A}"/>
    <cellStyle name="Jelölőszín (3)" xfId="11849" xr:uid="{5B7AA44B-ADAB-4C37-9862-51A746866F94}"/>
    <cellStyle name="Jelölőszín (4)" xfId="11850" xr:uid="{6988DDD1-D270-40F1-BA51-2E5F42F862A3}"/>
    <cellStyle name="Jelölőszín (5)" xfId="11851" xr:uid="{6B72C888-ACD7-4BA3-8D55-4BFBE9B45FEB}"/>
    <cellStyle name="Jelölőszín (6)" xfId="11852" xr:uid="{71DABDAA-F556-4F88-AFD1-B247A91392DD}"/>
    <cellStyle name="Jó" xfId="11853" xr:uid="{30856184-41D1-425F-98C8-548CBF085350}"/>
    <cellStyle name="Kimenet" xfId="11854" xr:uid="{747FDB8F-CE6E-4EE1-89AF-029385F1A38D}"/>
    <cellStyle name="Kimenet 10" xfId="11855" xr:uid="{8A814D12-3FFE-42D4-81EF-F3E7959C70AE}"/>
    <cellStyle name="Kimenet 10 2" xfId="30744" xr:uid="{23774269-5220-419E-BD49-FC70FE0858D3}"/>
    <cellStyle name="Kimenet 2" xfId="11856" xr:uid="{AFC9992E-CBDB-40D8-91B8-B97E2E9276C1}"/>
    <cellStyle name="Kimenet 2 2" xfId="11857" xr:uid="{BFF2FA05-C8F4-4303-AC56-F99E365766EE}"/>
    <cellStyle name="Kimenet 2 3" xfId="11858" xr:uid="{9322BAAF-320B-400E-B30F-4181EB14FE76}"/>
    <cellStyle name="Kimenet 2 4" xfId="11859" xr:uid="{BDBE15A1-5AB0-4625-8105-C88304C58E2E}"/>
    <cellStyle name="Kimenet 3" xfId="11860" xr:uid="{24F16EEB-CDA1-4786-979D-0DE71E30C240}"/>
    <cellStyle name="Kimenet 3 2" xfId="11861" xr:uid="{920BA39E-B822-42E9-AC19-4D5B7C441A52}"/>
    <cellStyle name="Kimenet 3 3" xfId="30745" xr:uid="{5157A72A-CE4F-4784-81FB-C4D2CFC11B8E}"/>
    <cellStyle name="Kimenet 4" xfId="11862" xr:uid="{0DCCFB0E-6CA0-4014-8074-FA04B1419E19}"/>
    <cellStyle name="Kimenet 4 2" xfId="11863" xr:uid="{E6C96A81-E215-466C-A72A-2E883EEC17B0}"/>
    <cellStyle name="Kimenet 4 3" xfId="30746" xr:uid="{874499D1-2F76-492E-95CA-4F33272A4A90}"/>
    <cellStyle name="Kimenet 5" xfId="11864" xr:uid="{20273C8A-3691-4E15-A784-903FBAA8C953}"/>
    <cellStyle name="Kimenet 5 2" xfId="11865" xr:uid="{FA390F72-DC07-4485-813D-F76653A33B63}"/>
    <cellStyle name="Kimenet 5 3" xfId="30747" xr:uid="{21D2FA7C-0475-4EF6-8107-F773A69AA12A}"/>
    <cellStyle name="Kimenet 6" xfId="11866" xr:uid="{1D81FCD0-9FCD-4A7F-A056-B2039416052C}"/>
    <cellStyle name="Kimenet 6 2" xfId="11867" xr:uid="{071892FF-625D-481E-BBE3-7A78ACEF972E}"/>
    <cellStyle name="Kimenet 6 3" xfId="30748" xr:uid="{32AB67EF-CD16-4885-9613-DD4A1B436561}"/>
    <cellStyle name="Kimenet 7" xfId="11868" xr:uid="{FD7808BA-3272-449E-B9ED-F90788DBB0B8}"/>
    <cellStyle name="Kimenet 7 2" xfId="11869" xr:uid="{BDC3C205-9974-46EF-ABE0-6BB0AECE8193}"/>
    <cellStyle name="Kimenet 7 3" xfId="30749" xr:uid="{77C7FB47-546D-487E-A260-ACAB510A02CE}"/>
    <cellStyle name="Kimenet 8" xfId="11870" xr:uid="{81134B2D-4A11-45DC-AE2C-E3352F85255F}"/>
    <cellStyle name="Kimenet 8 2" xfId="11871" xr:uid="{F9C4AC11-EB4F-4EEB-A72B-84F813F86C0D}"/>
    <cellStyle name="Kimenet 8 3" xfId="30750" xr:uid="{D82C55FB-E449-44B1-9AF3-D0FF582FB31E}"/>
    <cellStyle name="Kimenet 9" xfId="11872" xr:uid="{0AF2F4C4-5172-4D87-A55A-812EBD20CA48}"/>
    <cellStyle name="Kimenet 9 2" xfId="30751" xr:uid="{98C7E1E5-87E1-42A6-8E8E-ACEC69861C8D}"/>
    <cellStyle name="Kimenet 9 3" xfId="30752" xr:uid="{B863D7D5-C1F9-43AD-A82C-AD7CD0806D2C}"/>
    <cellStyle name="KP_thin_border_dark_grey" xfId="44003" xr:uid="{197F90FD-326B-4BF5-8EA1-998666DD7BC4}"/>
    <cellStyle name="ligne_titre_0" xfId="11873" xr:uid="{2457DDB7-ECD3-4DE9-9768-C28767F636F3}"/>
    <cellStyle name="Linked Cell" xfId="45794" builtinId="24" customBuiltin="1"/>
    <cellStyle name="Linked Cell 10" xfId="11874" xr:uid="{DCB6149A-2B0D-4789-B79A-15446F6653F5}"/>
    <cellStyle name="Linked Cell 11" xfId="30753" xr:uid="{9CD7CABA-3CBF-4FE2-BE60-B3F461388E2B}"/>
    <cellStyle name="Linked Cell 12" xfId="30754" xr:uid="{BE194C27-D5C5-4F4A-A102-FCB988BE3341}"/>
    <cellStyle name="Linked Cell 13" xfId="30755" xr:uid="{26A3B5D6-6FCA-443F-82AE-122DAC4212C7}"/>
    <cellStyle name="Linked Cell 14" xfId="30756" xr:uid="{0525EF1F-BB30-4454-86B2-E47EFE1ABDFA}"/>
    <cellStyle name="Linked Cell 15" xfId="30757" xr:uid="{E614E679-D43E-4060-9DDB-933E0E3F917C}"/>
    <cellStyle name="Linked Cell 16" xfId="30758" xr:uid="{A2CDAE81-1AD7-4BED-968C-B26C89B72EA6}"/>
    <cellStyle name="Linked Cell 17" xfId="30759" xr:uid="{D37280DA-3F42-4301-A815-891B435AE4B6}"/>
    <cellStyle name="Linked Cell 18" xfId="30760" xr:uid="{0FD25797-820F-44A2-8870-E174F4A0DF8C}"/>
    <cellStyle name="Linked Cell 19" xfId="30761" xr:uid="{5E02F62F-F4D8-4854-B5C8-DB8FFDC181F3}"/>
    <cellStyle name="Linked Cell 2" xfId="11875" xr:uid="{4519CC15-EBF0-4DCB-A782-63EC25664B66}"/>
    <cellStyle name="Linked Cell 2 10" xfId="11876" xr:uid="{B4A891CD-752D-4975-8A71-40FAD6040960}"/>
    <cellStyle name="Linked Cell 2 10 2" xfId="11877" xr:uid="{B0855CD4-CAF8-4543-A476-F8AE3DD6E910}"/>
    <cellStyle name="Linked Cell 2 11" xfId="11878" xr:uid="{BAED5B83-0CB9-4DBC-B308-4C3023162162}"/>
    <cellStyle name="Linked Cell 2 12" xfId="44125" xr:uid="{60E6A283-0919-45D3-810D-629258915107}"/>
    <cellStyle name="Linked Cell 2 2" xfId="11879" xr:uid="{CA9D3FE4-AB2D-44F5-9899-0824A886546A}"/>
    <cellStyle name="Linked Cell 2 2 2" xfId="11880" xr:uid="{F9076B8F-F1C4-4E4A-8501-FF07D334BCA7}"/>
    <cellStyle name="Linked Cell 2 2 3" xfId="30762" xr:uid="{42F0884E-C12A-4975-9D76-C615B02FB2FB}"/>
    <cellStyle name="Linked Cell 2 3" xfId="11881" xr:uid="{B564C522-019D-4B7B-8755-AF6CAB184192}"/>
    <cellStyle name="Linked Cell 2 3 2" xfId="11882" xr:uid="{C309A5CB-1BE3-4515-830B-7AFBCB96F131}"/>
    <cellStyle name="Linked Cell 2 4" xfId="11883" xr:uid="{9A8460EA-C268-4B01-A46F-899AB50F4D25}"/>
    <cellStyle name="Linked Cell 2 4 2" xfId="11884" xr:uid="{86E06B91-4BC8-4604-BEF2-76849A909635}"/>
    <cellStyle name="Linked Cell 2 5" xfId="11885" xr:uid="{511E9862-AC7B-4B57-AA7A-9FF4B1FF20C4}"/>
    <cellStyle name="Linked Cell 2 5 2" xfId="11886" xr:uid="{93D5C9CC-362B-4BBB-A918-915DD71EF317}"/>
    <cellStyle name="Linked Cell 2 6" xfId="11887" xr:uid="{14FAC801-5968-4C06-B90C-58DFE0CD0A39}"/>
    <cellStyle name="Linked Cell 2 6 2" xfId="11888" xr:uid="{2E305CBA-E931-43D6-BBEC-620623E49352}"/>
    <cellStyle name="Linked Cell 2 7" xfId="11889" xr:uid="{32D656DF-87ED-4263-B6F8-47449C63A5D5}"/>
    <cellStyle name="Linked Cell 2 7 2" xfId="11890" xr:uid="{3ABE5149-688F-404C-B74B-5E606666F2FF}"/>
    <cellStyle name="Linked Cell 2 8" xfId="11891" xr:uid="{9422ABF3-F481-40F7-8BE0-AEBBA892F68E}"/>
    <cellStyle name="Linked Cell 2 8 2" xfId="11892" xr:uid="{74C2459C-F528-498E-9425-4ED4B9F32FE6}"/>
    <cellStyle name="Linked Cell 2 9" xfId="11893" xr:uid="{6C348E09-261C-4EBD-B17F-7D589E45D621}"/>
    <cellStyle name="Linked Cell 2 9 2" xfId="11894" xr:uid="{D8148BE5-B655-4D34-B067-6B9FDF32DCD9}"/>
    <cellStyle name="Linked Cell 20" xfId="30763" xr:uid="{9BF25F08-CD91-4D31-9476-FEE6E4F6AC6E}"/>
    <cellStyle name="Linked Cell 21" xfId="30764" xr:uid="{CAAB2D5A-276E-44ED-A05F-0F7F38173B32}"/>
    <cellStyle name="Linked Cell 22" xfId="30765" xr:uid="{E52EB746-0ED8-495C-B800-B4411CD08116}"/>
    <cellStyle name="Linked Cell 23" xfId="30766" xr:uid="{8DF765D4-AD38-47B0-85DC-9CD06992C74D}"/>
    <cellStyle name="Linked Cell 24" xfId="30767" xr:uid="{173546EA-5362-4A7D-A42F-7694DE4E372E}"/>
    <cellStyle name="Linked Cell 25" xfId="30768" xr:uid="{414CE95B-502B-4C8B-ABB1-9D0D3A71D9B8}"/>
    <cellStyle name="Linked Cell 26" xfId="30769" xr:uid="{5E97BCFF-6CE9-4E06-9FE8-2C0F3B63D82D}"/>
    <cellStyle name="Linked Cell 27" xfId="30770" xr:uid="{54B890AA-AB02-4237-946D-442397652DAC}"/>
    <cellStyle name="Linked Cell 28" xfId="30771" xr:uid="{89E3958D-71D2-48E9-A968-04CA1BD10D59}"/>
    <cellStyle name="Linked Cell 29" xfId="30772" xr:uid="{E2ED0BE5-2F61-4FD3-8F7C-926D7F54ECE2}"/>
    <cellStyle name="Linked Cell 3" xfId="11895" xr:uid="{3EBABEAC-B47C-49CC-AD4B-8BE127398546}"/>
    <cellStyle name="Linked Cell 3 10" xfId="11896" xr:uid="{AFC7750B-42B8-4CBA-9A54-A444DB6A02C4}"/>
    <cellStyle name="Linked Cell 3 11" xfId="11897" xr:uid="{D3B4C16F-17DD-4CF1-B828-188A87983FDC}"/>
    <cellStyle name="Linked Cell 3 12" xfId="11898" xr:uid="{CF48B1EF-FF62-4C98-8A0F-41633318C6AA}"/>
    <cellStyle name="Linked Cell 3 13" xfId="44204" xr:uid="{32354543-ADD9-4EBF-B695-BA90D3E2CA8C}"/>
    <cellStyle name="Linked Cell 3 2" xfId="11899" xr:uid="{191FE61C-A42D-4542-AB88-AFC127BEC0FE}"/>
    <cellStyle name="Linked Cell 3 2 2" xfId="30773" xr:uid="{EBCC5B6F-0DA7-41C2-A1C4-5B6135C22BCA}"/>
    <cellStyle name="Linked Cell 3 3" xfId="11900" xr:uid="{397610B7-47A4-4637-AE27-E92370302D1F}"/>
    <cellStyle name="Linked Cell 3 3 2" xfId="42814" xr:uid="{8147811A-6501-4A9E-9391-037A65A9BF79}"/>
    <cellStyle name="Linked Cell 3 4" xfId="11901" xr:uid="{3F621F45-BCA2-4CA5-BBA4-62E5C184924C}"/>
    <cellStyle name="Linked Cell 3 5" xfId="11902" xr:uid="{EF8EFF4D-F0FA-49F5-901B-CE9575832AA6}"/>
    <cellStyle name="Linked Cell 3 6" xfId="11903" xr:uid="{0363F1CF-9A18-4765-A8B4-0986BD6253C9}"/>
    <cellStyle name="Linked Cell 3 7" xfId="11904" xr:uid="{1A66A1D0-B99F-4F52-A2ED-809910B28418}"/>
    <cellStyle name="Linked Cell 3 8" xfId="11905" xr:uid="{86ADD03E-A61C-4770-B8D3-8F36146D08C8}"/>
    <cellStyle name="Linked Cell 3 9" xfId="11906" xr:uid="{8180AEE8-3ADC-4D50-AC0D-B5D04CFC39F3}"/>
    <cellStyle name="Linked Cell 30" xfId="30774" xr:uid="{505FECC6-177A-4EC2-88F8-32E2538555CD}"/>
    <cellStyle name="Linked Cell 31" xfId="30775" xr:uid="{A0D1D17D-083F-4663-844F-6F7F8EE3F1C0}"/>
    <cellStyle name="Linked Cell 32" xfId="30776" xr:uid="{10BDE6A8-0EDF-4D31-B28E-50932EEF585A}"/>
    <cellStyle name="Linked Cell 33" xfId="30777" xr:uid="{09C97D89-5B5F-4849-B82E-2C4A91CF2DB8}"/>
    <cellStyle name="Linked Cell 34" xfId="30778" xr:uid="{249FF31B-3A1E-4FB2-805B-D789435B3C40}"/>
    <cellStyle name="Linked Cell 35" xfId="30779" xr:uid="{C43740AC-975B-4CF0-A851-33FC732DCE3C}"/>
    <cellStyle name="Linked Cell 36" xfId="30780" xr:uid="{71EF087B-1CAE-4EF3-8D32-656B6BD6899B}"/>
    <cellStyle name="Linked Cell 37" xfId="30781" xr:uid="{80A9998C-A9C7-4D03-B546-D742165100D8}"/>
    <cellStyle name="Linked Cell 38" xfId="30782" xr:uid="{5CA68C4D-9BA0-44DF-95AE-00C453386AE2}"/>
    <cellStyle name="Linked Cell 39" xfId="30783" xr:uid="{01E27687-8682-410E-A9E9-90D513DAEB72}"/>
    <cellStyle name="Linked Cell 4" xfId="11907" xr:uid="{4513DBA0-11E2-4CA5-89E9-14864FAEAC75}"/>
    <cellStyle name="Linked Cell 4 10" xfId="11908" xr:uid="{7DE4B73B-2FCC-4C4D-AB3A-8E58FB391110}"/>
    <cellStyle name="Linked Cell 4 11" xfId="11909" xr:uid="{D14FCD55-7651-42C4-98B5-D78BC6F89063}"/>
    <cellStyle name="Linked Cell 4 2" xfId="11910" xr:uid="{63CCBA96-F70C-4382-8753-66CDA7EF74DA}"/>
    <cellStyle name="Linked Cell 4 3" xfId="11911" xr:uid="{FB8FCA1B-475E-482C-B40C-FD7EEA147D46}"/>
    <cellStyle name="Linked Cell 4 4" xfId="11912" xr:uid="{4598BD88-EC8E-43B6-B532-64CE4039B50A}"/>
    <cellStyle name="Linked Cell 4 5" xfId="11913" xr:uid="{8C784E69-7B67-4F69-9D75-DEE4BCB3132E}"/>
    <cellStyle name="Linked Cell 4 6" xfId="11914" xr:uid="{9901EAF4-8884-470C-B385-4899D69B12AB}"/>
    <cellStyle name="Linked Cell 4 7" xfId="11915" xr:uid="{977EB9F1-D2D4-4F61-9C39-D502D4FD19B3}"/>
    <cellStyle name="Linked Cell 4 8" xfId="11916" xr:uid="{A0193FEC-FA57-49B8-89FC-10C3F41E82B0}"/>
    <cellStyle name="Linked Cell 4 9" xfId="11917" xr:uid="{30A3A9D3-DB6D-4AD1-9F59-9BC5996382F9}"/>
    <cellStyle name="Linked Cell 40" xfId="30784" xr:uid="{583A38B7-A3F1-4D73-86B7-89AF90880330}"/>
    <cellStyle name="Linked Cell 41" xfId="30785" xr:uid="{964AB125-375D-4EAE-A749-FA0FC801C7CC}"/>
    <cellStyle name="Linked Cell 5" xfId="11918" xr:uid="{DB444EF7-FC55-431A-931A-BCE56843D02E}"/>
    <cellStyle name="Linked Cell 5 10" xfId="11919" xr:uid="{BAD77A59-698E-420D-8385-7439862AB720}"/>
    <cellStyle name="Linked Cell 5 11" xfId="11920" xr:uid="{C8CC7836-F068-4258-8C9B-3F58A6CCB681}"/>
    <cellStyle name="Linked Cell 5 2" xfId="11921" xr:uid="{555A7BC0-AA14-4674-AD5C-22AF8318B529}"/>
    <cellStyle name="Linked Cell 5 3" xfId="11922" xr:uid="{2392AC4B-B983-43D8-9696-7326CD539096}"/>
    <cellStyle name="Linked Cell 5 4" xfId="11923" xr:uid="{8C28760F-44B9-4FCC-AE36-38ED2BEA3712}"/>
    <cellStyle name="Linked Cell 5 5" xfId="11924" xr:uid="{47B28824-2742-4080-B0A7-544B81891F66}"/>
    <cellStyle name="Linked Cell 5 6" xfId="11925" xr:uid="{FBA952E2-F7DF-442E-A2D8-B18CD074B48C}"/>
    <cellStyle name="Linked Cell 5 7" xfId="11926" xr:uid="{EF2CE14E-1FC7-43C0-9810-79CC24B4107C}"/>
    <cellStyle name="Linked Cell 5 8" xfId="11927" xr:uid="{4E282AAF-C333-4C7F-AF8B-A9CFCB792979}"/>
    <cellStyle name="Linked Cell 5 9" xfId="11928" xr:uid="{CBF01C9E-CBB5-4AE3-B2C5-C71A752B0B52}"/>
    <cellStyle name="Linked Cell 6" xfId="11929" xr:uid="{45D01006-8004-47C9-B932-F3F1ABD16444}"/>
    <cellStyle name="Linked Cell 6 10" xfId="11930" xr:uid="{31592E1F-86C9-419A-A94F-4DE5686D13D6}"/>
    <cellStyle name="Linked Cell 6 11" xfId="11931" xr:uid="{C3688B52-D09B-447A-B900-04C26208B2BC}"/>
    <cellStyle name="Linked Cell 6 2" xfId="11932" xr:uid="{CC34296F-646B-4C66-A61A-5B919D398A0F}"/>
    <cellStyle name="Linked Cell 6 3" xfId="11933" xr:uid="{BC02D0D5-CC72-4FED-94D3-D0B3A044CF87}"/>
    <cellStyle name="Linked Cell 6 4" xfId="11934" xr:uid="{04E76B15-7185-4994-A2F8-D3B5996974CF}"/>
    <cellStyle name="Linked Cell 6 5" xfId="11935" xr:uid="{D6F0D4BD-2D30-46B1-A23D-382D47043A54}"/>
    <cellStyle name="Linked Cell 6 6" xfId="11936" xr:uid="{B8A92197-F26F-4034-9C41-6DC6D408D2E5}"/>
    <cellStyle name="Linked Cell 6 7" xfId="11937" xr:uid="{82FF1BB5-FB68-4651-953C-FB409A589D31}"/>
    <cellStyle name="Linked Cell 6 8" xfId="11938" xr:uid="{B5ED643B-E591-4286-A6F3-4672D32DF74A}"/>
    <cellStyle name="Linked Cell 6 9" xfId="11939" xr:uid="{FE889EAF-6379-42ED-B46D-D491B029CF79}"/>
    <cellStyle name="Linked Cell 7" xfId="11940" xr:uid="{EE49F6DF-514C-4C11-8095-E8A4D46D0DF3}"/>
    <cellStyle name="Linked Cell 8" xfId="11941" xr:uid="{999F5094-E57E-4F8B-AF18-D2F629DA7AFD}"/>
    <cellStyle name="Linked Cell 9" xfId="11942" xr:uid="{240DDC71-4553-47F8-9014-D54B048317FD}"/>
    <cellStyle name="Magyarázó szöveg" xfId="11943" xr:uid="{1BAB31AE-BAD5-429B-991D-038F4FE74E36}"/>
    <cellStyle name="Migliaia (0)" xfId="108" xr:uid="{29949A85-255F-425B-B3D3-CEDF7E728EA4}"/>
    <cellStyle name="Migliaia 2" xfId="45922" xr:uid="{41A8222E-9F7D-4F41-97C1-D5E6CFDA3ED5}"/>
    <cellStyle name="Migliaia 2 2" xfId="45932" xr:uid="{28A35106-6A12-43B7-A0A6-4DB4DE35F529}"/>
    <cellStyle name="Milliers [0]_03tabmat" xfId="30786" xr:uid="{F3C8AD58-C493-41D4-B1B5-1B9553EAF94F}"/>
    <cellStyle name="Milliers_03tabmat" xfId="30787" xr:uid="{A5C5751B-0EA5-4FB4-8D2A-93DD83C2C8DA}"/>
    <cellStyle name="Monétaire [0]_03tabmat" xfId="30788" xr:uid="{4A2A0F3B-A3E0-46C2-8189-E21877296453}"/>
    <cellStyle name="Monétaire_03tabmat" xfId="30789" xr:uid="{D4A6F37D-BA64-4D97-A362-AC1846AE017A}"/>
    <cellStyle name="Neutral" xfId="45792" builtinId="28" customBuiltin="1"/>
    <cellStyle name="Neutral 10" xfId="11944" xr:uid="{10213EC8-D71C-4FA9-BD5C-44966DD289B2}"/>
    <cellStyle name="Neutral 11" xfId="11945" xr:uid="{1C850CD0-2FCD-40DF-98AB-24FA3CB00667}"/>
    <cellStyle name="Neutral 11 2" xfId="42815" xr:uid="{2EDBFDC3-32B0-40E7-A92D-40EC8EF7C1FC}"/>
    <cellStyle name="Neutral 12" xfId="30790" xr:uid="{B655EA7F-BD2E-4678-B071-1C8F4ECEC927}"/>
    <cellStyle name="Neutral 13" xfId="30791" xr:uid="{60FA99AA-B99E-4603-BB2A-AC62A926BB2D}"/>
    <cellStyle name="Neutral 14" xfId="30792" xr:uid="{453F0012-F30B-468C-B592-A2629285717E}"/>
    <cellStyle name="Neutral 15" xfId="30793" xr:uid="{E8FB7128-E619-4C46-A4DE-13035E7DDEE7}"/>
    <cellStyle name="Neutral 16" xfId="30794" xr:uid="{27C6C120-8893-4F5D-8EAC-CE70710B969F}"/>
    <cellStyle name="Neutral 17" xfId="30795" xr:uid="{D0796B05-08CF-4084-902D-92E955146CCA}"/>
    <cellStyle name="Neutral 18" xfId="30796" xr:uid="{318ED852-B128-4B99-AF84-7C855A677491}"/>
    <cellStyle name="Neutral 19" xfId="30797" xr:uid="{BEE1C8B9-7441-4341-8C30-D57AE9720A25}"/>
    <cellStyle name="Neutral 2" xfId="11946" xr:uid="{E552B1C9-D7D6-4D0C-8014-2D8BE9A5E023}"/>
    <cellStyle name="Neutral 2 10" xfId="11947" xr:uid="{351FC20B-6963-4D03-80BA-9AFFF983EACE}"/>
    <cellStyle name="Neutral 2 10 2" xfId="11948" xr:uid="{FD7C3105-6D6B-49E8-9A92-AE4EB61C6738}"/>
    <cellStyle name="Neutral 2 11" xfId="11949" xr:uid="{6040D945-B785-4ABF-9E59-F8BD6B6AC77B}"/>
    <cellStyle name="Neutral 2 12" xfId="44126" xr:uid="{BFBC27DC-BBAD-476D-9904-90F6E15EBC98}"/>
    <cellStyle name="Neutral 2 2" xfId="11950" xr:uid="{9AA498D2-3968-401A-9800-64E66933543B}"/>
    <cellStyle name="Neutral 2 2 2" xfId="11951" xr:uid="{F266DA4A-E575-4B58-AC57-606F7CFE055D}"/>
    <cellStyle name="Neutral 2 3" xfId="11952" xr:uid="{305F48CB-7B46-4766-AF91-822ECAA685EE}"/>
    <cellStyle name="Neutral 2 3 2" xfId="11953" xr:uid="{96A7062C-9ED7-41E9-B512-61E2E47855C2}"/>
    <cellStyle name="Neutral 2 4" xfId="11954" xr:uid="{6888661F-0BFE-4C05-9513-0F7993D5CB3F}"/>
    <cellStyle name="Neutral 2 4 2" xfId="11955" xr:uid="{94483B26-AD3D-4508-AA56-830B77C4F771}"/>
    <cellStyle name="Neutral 2 5" xfId="11956" xr:uid="{49545281-01E2-43E4-B835-EF6CFBC82946}"/>
    <cellStyle name="Neutral 2 5 2" xfId="11957" xr:uid="{29926DF2-A98F-443E-8143-46C0E7974390}"/>
    <cellStyle name="Neutral 2 6" xfId="11958" xr:uid="{24E1E800-811B-4245-9D83-D736193BD96F}"/>
    <cellStyle name="Neutral 2 6 2" xfId="11959" xr:uid="{397E31A5-6251-41C3-BD56-FC485639839E}"/>
    <cellStyle name="Neutral 2 7" xfId="11960" xr:uid="{2BA26D2C-E2FD-489C-A41C-F445CB462C6A}"/>
    <cellStyle name="Neutral 2 7 2" xfId="11961" xr:uid="{5EC38930-0B70-491F-9EC1-04D3319F46E0}"/>
    <cellStyle name="Neutral 2 8" xfId="11962" xr:uid="{635495DF-66DD-4180-A68C-F2B730CD8675}"/>
    <cellStyle name="Neutral 2 8 2" xfId="11963" xr:uid="{20D5F18E-AA10-4DE4-9C5D-A25FDEFBEFA5}"/>
    <cellStyle name="Neutral 2 9" xfId="11964" xr:uid="{E89DF011-246C-4D26-98C4-1C108F964D5D}"/>
    <cellStyle name="Neutral 2 9 2" xfId="11965" xr:uid="{B7AB8D41-01ED-4C98-AD51-5AA1BC156BA2}"/>
    <cellStyle name="Neutral 20" xfId="30798" xr:uid="{8EFD9063-08D8-45CE-A73B-BA8A8A3001E5}"/>
    <cellStyle name="Neutral 21" xfId="30799" xr:uid="{8D4E76D7-EBDF-4C7F-931D-A12B7169AE0C}"/>
    <cellStyle name="Neutral 22" xfId="30800" xr:uid="{D45490C3-C507-4BDF-9598-B34084B8617C}"/>
    <cellStyle name="Neutral 23" xfId="30801" xr:uid="{BF443CA3-1204-470A-A923-BA8A7866D5AA}"/>
    <cellStyle name="Neutral 24" xfId="30802" xr:uid="{D629EB6D-222A-4E0F-B357-C5F8F5E21B8C}"/>
    <cellStyle name="Neutral 25" xfId="30803" xr:uid="{49E2406A-74D6-4552-9C92-412288EAC8AC}"/>
    <cellStyle name="Neutral 26" xfId="30804" xr:uid="{61BDC846-1B58-434B-AC41-EC289BD837AB}"/>
    <cellStyle name="Neutral 27" xfId="30805" xr:uid="{61356203-C749-4681-9DAC-9FB51251E9C7}"/>
    <cellStyle name="Neutral 28" xfId="30806" xr:uid="{269BD225-68F4-4822-957C-1BEF2DE4AB71}"/>
    <cellStyle name="Neutral 29" xfId="30807" xr:uid="{CD93D40F-C70D-4CCA-BF43-DBC08E37F27A}"/>
    <cellStyle name="Neutral 3" xfId="11966" xr:uid="{B55A8FC9-9B32-4731-941A-52BF4FF938FB}"/>
    <cellStyle name="Neutral 3 10" xfId="11967" xr:uid="{FBBB548E-6A47-41A9-A700-384F560E5E98}"/>
    <cellStyle name="Neutral 3 11" xfId="11968" xr:uid="{2D36093C-BD68-479C-BE37-3E2011EBDDA9}"/>
    <cellStyle name="Neutral 3 12" xfId="11969" xr:uid="{69D5483A-06D2-46C1-BAC2-7E8F83337447}"/>
    <cellStyle name="Neutral 3 13" xfId="11970" xr:uid="{63651930-7634-40C5-96C5-50A42F6CD579}"/>
    <cellStyle name="Neutral 3 14" xfId="44205" xr:uid="{B3934DBA-7960-4604-8401-2EBA1E7EF952}"/>
    <cellStyle name="Neutral 3 2" xfId="11971" xr:uid="{333FE794-CF3F-45ED-AC81-DBD2C4A523DD}"/>
    <cellStyle name="Neutral 3 2 2" xfId="30808" xr:uid="{70BA8D56-7BDD-4C89-8147-0B54FE7B7CB4}"/>
    <cellStyle name="Neutral 3 3" xfId="11972" xr:uid="{EF97B2BA-BA40-48C9-B400-2DFCA0D0F661}"/>
    <cellStyle name="Neutral 3 3 2" xfId="30809" xr:uid="{5BF7B6BF-B92E-48A4-8F31-EBA46F5AE737}"/>
    <cellStyle name="Neutral 3 3 3" xfId="42816" xr:uid="{345187B2-6273-4305-8374-E7FCFAE63CB3}"/>
    <cellStyle name="Neutral 3 4" xfId="11973" xr:uid="{2933B4AD-71C1-4598-A473-98D3E8DB7D67}"/>
    <cellStyle name="Neutral 3 5" xfId="11974" xr:uid="{BB0DCF15-271D-4182-8132-D9DA4684B12F}"/>
    <cellStyle name="Neutral 3 6" xfId="11975" xr:uid="{2DC86F5A-C5FF-4EB8-AA16-EF49A555A35B}"/>
    <cellStyle name="Neutral 3 6 2" xfId="42817" xr:uid="{74D93749-5FD4-478C-BF57-2CE7E3E06D56}"/>
    <cellStyle name="Neutral 3 7" xfId="11976" xr:uid="{39257882-9DC4-4819-9D8E-42C9F2E64530}"/>
    <cellStyle name="Neutral 3 8" xfId="11977" xr:uid="{997A740B-12CD-47BA-A57C-BAB3003450B8}"/>
    <cellStyle name="Neutral 3 9" xfId="11978" xr:uid="{A4BB6062-15D7-4D19-99E0-0EB55E2C94DD}"/>
    <cellStyle name="Neutral 30" xfId="30810" xr:uid="{DDD6B753-A93B-4C72-AA1C-62DC109E27DA}"/>
    <cellStyle name="Neutral 31" xfId="30811" xr:uid="{26A0D6C6-A3FD-4A35-932A-1CD61A42C45C}"/>
    <cellStyle name="Neutral 32" xfId="30812" xr:uid="{3E82C763-551F-4FBF-B2B2-BD562DAB1B11}"/>
    <cellStyle name="Neutral 33" xfId="30813" xr:uid="{DF372E19-A002-4045-8041-D2D80733345B}"/>
    <cellStyle name="Neutral 34" xfId="30814" xr:uid="{C1915988-3D09-4A67-94BF-240DFBE81F9C}"/>
    <cellStyle name="Neutral 35" xfId="30815" xr:uid="{0B260D5D-5494-44EE-9DB0-23E5926A0C0C}"/>
    <cellStyle name="Neutral 36" xfId="30816" xr:uid="{2C13994C-E5EE-414A-8DC0-C369BC419EEB}"/>
    <cellStyle name="Neutral 37" xfId="30817" xr:uid="{85665DD6-7F25-461E-9997-1589876590EB}"/>
    <cellStyle name="Neutral 38" xfId="30818" xr:uid="{B77EFEFE-C7B6-4AA3-A86B-F042E9AA5072}"/>
    <cellStyle name="Neutral 39" xfId="30819" xr:uid="{30107B9F-E762-4163-B123-E45B401BCCE5}"/>
    <cellStyle name="Neutral 4" xfId="11979" xr:uid="{CAA7A862-4111-4349-B8F7-8596ADFEAE2A}"/>
    <cellStyle name="Neutral 4 10" xfId="11980" xr:uid="{D1DFED6B-A9AC-4B2F-8586-5F1C8187616C}"/>
    <cellStyle name="Neutral 4 11" xfId="11981" xr:uid="{0D8D29DE-72F6-4BA0-A75D-85FD78348B9A}"/>
    <cellStyle name="Neutral 4 2" xfId="11982" xr:uid="{9189CFE8-ECAB-42D7-8FD0-E72DA68DCD77}"/>
    <cellStyle name="Neutral 4 3" xfId="11983" xr:uid="{5B700575-6C3F-48FE-9989-2EBAC8BDDE20}"/>
    <cellStyle name="Neutral 4 3 2" xfId="42818" xr:uid="{103AD5BC-9930-4A13-99C3-5D9E1F0F2C4C}"/>
    <cellStyle name="Neutral 4 4" xfId="11984" xr:uid="{E6DC199A-EA41-4F9D-8257-DC2B015F71A3}"/>
    <cellStyle name="Neutral 4 5" xfId="11985" xr:uid="{C235AA51-D371-4BB7-BB1A-25731977C0F1}"/>
    <cellStyle name="Neutral 4 6" xfId="11986" xr:uid="{B9C7895B-D340-4B36-B430-C735707A4AA1}"/>
    <cellStyle name="Neutral 4 7" xfId="11987" xr:uid="{5A7F668C-9149-4048-B8E1-2D8490DB5563}"/>
    <cellStyle name="Neutral 4 8" xfId="11988" xr:uid="{640491EA-F0EE-4261-B50D-CAA76CC3D62B}"/>
    <cellStyle name="Neutral 4 9" xfId="11989" xr:uid="{8235456C-3E27-403E-A6A2-C4566F0803E2}"/>
    <cellStyle name="Neutral 40" xfId="30820" xr:uid="{FDFA1A00-8449-41A0-ACDF-FD5510A19A2A}"/>
    <cellStyle name="Neutral 41" xfId="30821" xr:uid="{D499BBD2-FFCE-4635-96FB-12442E02AB91}"/>
    <cellStyle name="Neutral 42" xfId="30822" xr:uid="{2853917F-0261-47E7-A644-F95BCCB2F82A}"/>
    <cellStyle name="Neutral 43" xfId="30823" xr:uid="{E6291F05-4A1D-46D9-A6D2-05B9B5B6D452}"/>
    <cellStyle name="Neutral 44" xfId="99" xr:uid="{C89552F6-2911-45A0-974D-C89F46C3F080}"/>
    <cellStyle name="Neutral 5" xfId="11990" xr:uid="{E28EEB55-58C3-4A39-85A2-781DD4F563D8}"/>
    <cellStyle name="Neutral 5 10" xfId="11991" xr:uid="{9F68A767-7908-4049-A4E9-FED04174A215}"/>
    <cellStyle name="Neutral 5 11" xfId="11992" xr:uid="{1F4CCBA8-80E6-44A3-BEB2-63B3D40ADA54}"/>
    <cellStyle name="Neutral 5 12" xfId="11993" xr:uid="{7D4BF288-C517-4FED-9A7A-FBFE269628C9}"/>
    <cellStyle name="Neutral 5 2" xfId="11994" xr:uid="{6A4AC7BB-97F9-4D6B-82DC-7B41990B3F9F}"/>
    <cellStyle name="Neutral 5 3" xfId="11995" xr:uid="{122508D5-4E36-4ADA-921D-881677550797}"/>
    <cellStyle name="Neutral 5 4" xfId="11996" xr:uid="{10D40646-317F-4E54-9BF1-7FAA75391670}"/>
    <cellStyle name="Neutral 5 5" xfId="11997" xr:uid="{CE8D822E-B63C-4708-A8EB-6D413AA7165A}"/>
    <cellStyle name="Neutral 5 6" xfId="11998" xr:uid="{79D49CD2-81CC-49FB-B3DA-D4980C4A6715}"/>
    <cellStyle name="Neutral 5 7" xfId="11999" xr:uid="{0079A6B2-2269-4471-92F6-42426C4D0A5E}"/>
    <cellStyle name="Neutral 5 8" xfId="12000" xr:uid="{99E5ACAA-05E0-4FFD-AF84-C7750FA69F6B}"/>
    <cellStyle name="Neutral 5 9" xfId="12001" xr:uid="{1B589F43-AF95-4ED7-B658-2AB5E6BBE576}"/>
    <cellStyle name="Neutral 6" xfId="12002" xr:uid="{CFE94C7E-2D7B-4D8E-9E06-ADA8222AF0DD}"/>
    <cellStyle name="Neutral 6 10" xfId="12003" xr:uid="{71439013-806C-4103-8B15-422FCA6A5670}"/>
    <cellStyle name="Neutral 6 11" xfId="12004" xr:uid="{3ECF1A11-6C98-4D84-9956-40E86D32CC3D}"/>
    <cellStyle name="Neutral 6 2" xfId="12005" xr:uid="{71B1B82E-3E77-4E9B-AC24-89C0546938A4}"/>
    <cellStyle name="Neutral 6 3" xfId="12006" xr:uid="{41E79A43-0702-415A-B40F-57AF541C6D68}"/>
    <cellStyle name="Neutral 6 4" xfId="12007" xr:uid="{DA584538-8739-4583-9ECD-64F74214077C}"/>
    <cellStyle name="Neutral 6 5" xfId="12008" xr:uid="{376D14C8-9691-4960-89E6-D2C821DEA153}"/>
    <cellStyle name="Neutral 6 6" xfId="12009" xr:uid="{28A76C7E-60E2-4429-95F0-AC8A804BCFD5}"/>
    <cellStyle name="Neutral 6 7" xfId="12010" xr:uid="{5473F558-BE00-429E-B814-9875C55013B7}"/>
    <cellStyle name="Neutral 6 8" xfId="12011" xr:uid="{3FDBF845-C46C-4DFA-B71E-694A14E9E2B1}"/>
    <cellStyle name="Neutral 6 9" xfId="12012" xr:uid="{8FC9925C-4D97-4E94-B887-4B63C54C7B3E}"/>
    <cellStyle name="Neutral 7" xfId="12013" xr:uid="{1F225D75-086E-4431-B20B-D8498FD07880}"/>
    <cellStyle name="Neutral 8" xfId="12014" xr:uid="{FD4BF7E1-4880-4355-A7B1-1020A4365C93}"/>
    <cellStyle name="Neutral 9" xfId="12015" xr:uid="{4BE57ADC-548D-4AF5-88AD-F9EE51465D33}"/>
    <cellStyle name="Neutrale" xfId="12016" xr:uid="{DE12743D-531C-4770-B413-5392C4AF7B58}"/>
    <cellStyle name="Neutre" xfId="12017" xr:uid="{383D9374-F917-4647-A8F6-4B4689B247F4}"/>
    <cellStyle name="NewStyle" xfId="12018" xr:uid="{1A078EBA-F2A4-4BA0-A90F-621BA77F8345}"/>
    <cellStyle name="Normaali 2" xfId="44127" xr:uid="{2B0F4DB0-AFE2-4484-9355-71ECB169C916}"/>
    <cellStyle name="Normaali 2 2" xfId="44128" xr:uid="{42B65BBD-4D38-4320-ABE6-288349FE6AF2}"/>
    <cellStyle name="Normal" xfId="0" builtinId="0"/>
    <cellStyle name="Normal 10" xfId="112" xr:uid="{B783C5B6-F1B6-4F52-BFD7-3F8DBBF07B36}"/>
    <cellStyle name="Normal 10 10" xfId="12019" xr:uid="{903CF49A-474D-4BDC-8D18-EC0149520A53}"/>
    <cellStyle name="Normal 10 10 2" xfId="30824" xr:uid="{419ECECC-8F57-49C5-BE0C-AA68F18ED3DD}"/>
    <cellStyle name="Normal 10 10 3" xfId="30825" xr:uid="{3342E8B2-D82A-4EF9-874A-3AA4E63D03CA}"/>
    <cellStyle name="Normal 10 11" xfId="12020" xr:uid="{2542492F-0B79-4C05-A589-BB4B5EDFC162}"/>
    <cellStyle name="Normal 10 11 2" xfId="30826" xr:uid="{5EBDE35A-6D37-4B95-A1D5-63A3683F7514}"/>
    <cellStyle name="Normal 10 11 3" xfId="30827" xr:uid="{F3D30828-8938-4A8F-8928-10D5A17D525E}"/>
    <cellStyle name="Normal 10 12" xfId="12021" xr:uid="{7C2137FA-C6A7-460B-99D1-7683D76CC909}"/>
    <cellStyle name="Normal 10 12 2" xfId="30828" xr:uid="{E38C4212-74C9-4389-83F4-8DAB06BB7DAB}"/>
    <cellStyle name="Normal 10 12 3" xfId="30829" xr:uid="{2E5DF076-4A93-4FD6-8554-9BE36BC5595F}"/>
    <cellStyle name="Normal 10 13" xfId="12022" xr:uid="{98689C1B-5B9E-43B6-8641-2B3F1B167DF9}"/>
    <cellStyle name="Normal 10 13 2" xfId="30830" xr:uid="{21E7DC90-3D4E-47B4-B580-94C2E660AC01}"/>
    <cellStyle name="Normal 10 13 3" xfId="30831" xr:uid="{7B1EF536-78C7-4D9F-9CCC-BBDEC9A5323D}"/>
    <cellStyle name="Normal 10 14" xfId="42190" xr:uid="{8814DE0A-9FCA-403F-90B7-E763DC45C162}"/>
    <cellStyle name="Normal 10 2" xfId="5" xr:uid="{00000000-0005-0000-0000-000006000000}"/>
    <cellStyle name="Normal 10 2 2" xfId="12023" xr:uid="{260C36F4-FB65-4479-87A8-291A9859F072}"/>
    <cellStyle name="Normal 10 2 2 2" xfId="30832" xr:uid="{9E515A4C-BE06-41A0-8EB3-D2ACB9961177}"/>
    <cellStyle name="Normal 10 2 2 2 2" xfId="30833" xr:uid="{E4EEAD6F-FED9-422A-9F60-E18CC4016C05}"/>
    <cellStyle name="Normal 10 2 2 2 3" xfId="30834" xr:uid="{741BC729-6957-48F3-9249-C682659613C6}"/>
    <cellStyle name="Normal 10 2 2 2 4" xfId="42819" xr:uid="{7AE3E78B-07A6-4AF7-84A0-D742CC8FA361}"/>
    <cellStyle name="Normal 10 2 2 3" xfId="30835" xr:uid="{C9CC2018-A001-4872-9F28-759746493118}"/>
    <cellStyle name="Normal 10 2 2 4" xfId="30836" xr:uid="{100FC274-1AAD-43E5-A878-4937E139969C}"/>
    <cellStyle name="Normal 10 2 2 5" xfId="45910" xr:uid="{592A1FF6-B983-4D2C-8791-626C75A7B982}"/>
    <cellStyle name="Normal 10 2 3" xfId="12024" xr:uid="{BC332A99-0AC3-46F3-803C-DBCE8DCBA7C5}"/>
    <cellStyle name="Normal 10 2 3 2" xfId="30837" xr:uid="{DAE12602-7BB0-4947-839C-F15CA2101826}"/>
    <cellStyle name="Normal 10 2 3 3" xfId="42820" xr:uid="{65EFA68F-9674-4D6D-BA6B-B8754C994952}"/>
    <cellStyle name="Normal 10 2 4" xfId="30838" xr:uid="{AE5804BB-5270-4D86-A38F-6D6DE0B598AB}"/>
    <cellStyle name="Normal 10 2 4 2" xfId="42821" xr:uid="{E91FEF94-50FE-4F56-9F99-9AE5EE2EDB07}"/>
    <cellStyle name="Normal 10 2 5" xfId="30839" xr:uid="{8A79BD65-F3D9-4D77-A8A3-03DAC3E418A5}"/>
    <cellStyle name="Normal 10 3" xfId="12025" xr:uid="{A9C3834A-F459-4C31-BCFA-8752D4C3100D}"/>
    <cellStyle name="Normal 10 3 10" xfId="12026" xr:uid="{3D7E5915-21CF-4F13-96C0-65F6D7779917}"/>
    <cellStyle name="Normal 10 3 10 2" xfId="30840" xr:uid="{4E338261-AB1E-4B17-A0CC-F8281EB05876}"/>
    <cellStyle name="Normal 10 3 10 3" xfId="30841" xr:uid="{7E9FC6E5-F9B2-42A1-9BB4-EF62B09DC9BC}"/>
    <cellStyle name="Normal 10 3 11" xfId="30842" xr:uid="{2B1D6047-CC61-49A1-9E69-8B6D7B60F3FE}"/>
    <cellStyle name="Normal 10 3 2" xfId="12027" xr:uid="{FAB51C08-63D8-4101-A1D4-EDBCC64311D3}"/>
    <cellStyle name="Normal 10 3 2 2" xfId="30843" xr:uid="{86570744-4D5D-43FF-A173-9519CB51F9F1}"/>
    <cellStyle name="Normal 10 3 2 3" xfId="30844" xr:uid="{A7136DD6-CD0E-4A37-B13A-BA9AA910173C}"/>
    <cellStyle name="Normal 10 3 3" xfId="12028" xr:uid="{D802C905-A025-4F99-9897-27AB46461820}"/>
    <cellStyle name="Normal 10 3 3 2" xfId="30845" xr:uid="{74A28A62-500E-4C2F-BE9F-9D327A27C67A}"/>
    <cellStyle name="Normal 10 3 3 3" xfId="30846" xr:uid="{A5DA31F2-9397-4109-8B30-E3D3C1B1DC4B}"/>
    <cellStyle name="Normal 10 3 4" xfId="12029" xr:uid="{92BB7F84-1664-4AFD-B0A0-EB514B716AE9}"/>
    <cellStyle name="Normal 10 3 4 2" xfId="30847" xr:uid="{6F68298D-5E75-4B90-982F-12F36D409EC0}"/>
    <cellStyle name="Normal 10 3 4 3" xfId="30848" xr:uid="{7A6606A4-7501-4403-981A-DE3A1023ABFF}"/>
    <cellStyle name="Normal 10 3 5" xfId="12030" xr:uid="{AFFF56E0-1B00-4228-9F0E-9FBD31B46D56}"/>
    <cellStyle name="Normal 10 3 5 2" xfId="30849" xr:uid="{CC0C4C46-0951-417E-A22A-86F0D58F9B99}"/>
    <cellStyle name="Normal 10 3 5 3" xfId="30850" xr:uid="{6A5D9C70-7ADA-4F0C-B805-8EAFB95F6656}"/>
    <cellStyle name="Normal 10 3 6" xfId="12031" xr:uid="{F8076747-36D0-4A66-9EBC-D77BADC40181}"/>
    <cellStyle name="Normal 10 3 6 2" xfId="30851" xr:uid="{007C97CE-E712-45EC-8A59-5181F33FC1D7}"/>
    <cellStyle name="Normal 10 3 6 3" xfId="30852" xr:uid="{37DF80F0-6DB2-4B0D-B045-183D16C6C1C2}"/>
    <cellStyle name="Normal 10 3 7" xfId="12032" xr:uid="{D7088011-115A-41EB-B677-8A2D3E0EEA93}"/>
    <cellStyle name="Normal 10 3 7 2" xfId="30853" xr:uid="{3B5A7B67-E56A-41B9-BF45-8DC38A963C22}"/>
    <cellStyle name="Normal 10 3 7 3" xfId="30854" xr:uid="{1938C1E0-9803-4FEA-B256-91FD8F653CFE}"/>
    <cellStyle name="Normal 10 3 8" xfId="12033" xr:uid="{4FBDCC22-771F-4F26-B06A-7F17562E6549}"/>
    <cellStyle name="Normal 10 3 8 2" xfId="30855" xr:uid="{F198AB78-410D-4F7A-947F-9035AE4D3124}"/>
    <cellStyle name="Normal 10 3 8 3" xfId="30856" xr:uid="{DB9642D8-9AC0-4823-A8EE-95021CE0607A}"/>
    <cellStyle name="Normal 10 3 9" xfId="12034" xr:uid="{4C8B3007-E255-4F52-94B8-0F2A78571102}"/>
    <cellStyle name="Normal 10 3 9 2" xfId="30857" xr:uid="{C6F0B702-5B83-4ECA-B3AE-1F5963E210D0}"/>
    <cellStyle name="Normal 10 3 9 3" xfId="30858" xr:uid="{75DE493A-8F42-4101-AB2B-82BA02855E53}"/>
    <cellStyle name="Normal 10 4" xfId="12035" xr:uid="{6E1E6B6F-2D30-4BEB-B846-7AFF63EC8F55}"/>
    <cellStyle name="Normal 10 4 10" xfId="12036" xr:uid="{3906D862-41C6-4069-B9ED-4107456303B5}"/>
    <cellStyle name="Normal 10 4 10 2" xfId="30859" xr:uid="{6F0E46B8-6989-4D76-B142-02F5BDE9DC01}"/>
    <cellStyle name="Normal 10 4 10 3" xfId="30860" xr:uid="{951887A0-ACCF-4E2F-93BF-ECF28A752A75}"/>
    <cellStyle name="Normal 10 4 11" xfId="12037" xr:uid="{36844940-C7E8-4ACE-ABF9-C774CBFA47CC}"/>
    <cellStyle name="Normal 10 4 11 2" xfId="30861" xr:uid="{3FFCF142-D33E-4B38-AA50-609A67DC8044}"/>
    <cellStyle name="Normal 10 4 11 3" xfId="30862" xr:uid="{01FFA36F-E44B-4CD7-AC46-3ABEDF1D0BD5}"/>
    <cellStyle name="Normal 10 4 12" xfId="30863" xr:uid="{3210CB47-355B-42DB-92F7-CD93A8BBF09D}"/>
    <cellStyle name="Normal 10 4 13" xfId="30864" xr:uid="{8123B3C1-4FEF-49C8-9C36-04EA0B6E9AF8}"/>
    <cellStyle name="Normal 10 4 2" xfId="12038" xr:uid="{4471FC79-03A9-415E-B305-307D2B9A1BCE}"/>
    <cellStyle name="Normal 10 4 2 2" xfId="30865" xr:uid="{866033B1-412E-4522-A052-ECECD85AD525}"/>
    <cellStyle name="Normal 10 4 2 3" xfId="30866" xr:uid="{78516BC7-674C-446B-A6E1-73780C66B096}"/>
    <cellStyle name="Normal 10 4 3" xfId="12039" xr:uid="{5205B17D-B24E-4BA3-B9BD-CE1190F1974E}"/>
    <cellStyle name="Normal 10 4 3 2" xfId="30867" xr:uid="{965CD2ED-3584-406A-A82D-6508B4E9EA89}"/>
    <cellStyle name="Normal 10 4 3 3" xfId="30868" xr:uid="{C46B7220-CDC1-4DA4-A3D7-04FF60B1D19C}"/>
    <cellStyle name="Normal 10 4 4" xfId="12040" xr:uid="{86508C07-546B-4B1F-9B02-5FAD1B9C4353}"/>
    <cellStyle name="Normal 10 4 4 2" xfId="30869" xr:uid="{B47BE14F-8A99-4AE3-A8D9-DD796FE85D89}"/>
    <cellStyle name="Normal 10 4 4 3" xfId="30870" xr:uid="{3904983E-DE11-4B6E-A579-73553E183913}"/>
    <cellStyle name="Normal 10 4 5" xfId="12041" xr:uid="{5CFC5C6B-FF5A-41F3-B15E-EA244102A0CF}"/>
    <cellStyle name="Normal 10 4 5 2" xfId="30871" xr:uid="{F987503D-6ECD-43C3-958B-DDFAB9C29D10}"/>
    <cellStyle name="Normal 10 4 5 3" xfId="30872" xr:uid="{7A92CC9D-ED62-45B8-9052-25DA4CCC58DF}"/>
    <cellStyle name="Normal 10 4 6" xfId="12042" xr:uid="{8CD5EC5D-5A3B-4D20-A3CA-C7182CB3C7BA}"/>
    <cellStyle name="Normal 10 4 7" xfId="12043" xr:uid="{F3606034-B42E-4682-AE57-EE504A8C5CD9}"/>
    <cellStyle name="Normal 10 4 7 2" xfId="30873" xr:uid="{8C46197E-D89A-4801-9EBB-BAB5AC00B8D6}"/>
    <cellStyle name="Normal 10 4 7 3" xfId="30874" xr:uid="{B0A490A5-B3A4-4BFF-ADFA-70E8E6923ABB}"/>
    <cellStyle name="Normal 10 4 8" xfId="12044" xr:uid="{AF14E03A-26F6-47BB-B912-BCB162223DD3}"/>
    <cellStyle name="Normal 10 4 8 2" xfId="30875" xr:uid="{99B2D45B-E02E-42A3-AB10-46777134BB6C}"/>
    <cellStyle name="Normal 10 4 8 3" xfId="30876" xr:uid="{876908F3-6C12-4FF7-96FF-795FACCF07D4}"/>
    <cellStyle name="Normal 10 4 9" xfId="12045" xr:uid="{B3FC3829-B305-46C5-B942-D8886FD5C868}"/>
    <cellStyle name="Normal 10 4 9 2" xfId="30877" xr:uid="{D78F18C7-7D73-4B32-A1C0-2E1A8B881C42}"/>
    <cellStyle name="Normal 10 4 9 3" xfId="30878" xr:uid="{BF041145-8289-4157-A3C3-E707E64A52F4}"/>
    <cellStyle name="Normal 10 5" xfId="12046" xr:uid="{6123AF7E-B962-4128-A1A8-5954D9B2BB5C}"/>
    <cellStyle name="Normal 10 5 2" xfId="12047" xr:uid="{83C26BE7-100E-4952-AA09-57208E6DEC34}"/>
    <cellStyle name="Normal 10 5 3" xfId="30879" xr:uid="{D924AB7E-D781-4B43-BA76-63BB74D0CF07}"/>
    <cellStyle name="Normal 10 5 3 2" xfId="30880" xr:uid="{D037FD96-D6C4-49E6-A2A3-5CF94C3D7E56}"/>
    <cellStyle name="Normal 10 5 3 3" xfId="30881" xr:uid="{19CA6B9F-AEB1-41D3-9F6B-F8A4669A9B39}"/>
    <cellStyle name="Normal 10 5 4" xfId="30882" xr:uid="{CC35C9CC-51E9-42AB-955F-45E0FF0691E6}"/>
    <cellStyle name="Normal 10 6" xfId="12048" xr:uid="{8D7A87B9-567D-4FB2-A13A-2EF115F96DE4}"/>
    <cellStyle name="Normal 10 6 2" xfId="12049" xr:uid="{A1748A86-B889-4D99-AF26-24EE939B1100}"/>
    <cellStyle name="Normal 10 6 3" xfId="30883" xr:uid="{B91649CC-A61F-489E-BD4A-96605541AF5C}"/>
    <cellStyle name="Normal 10 6 3 2" xfId="30884" xr:uid="{DBAE4B30-8328-427B-A6AD-4D9409399595}"/>
    <cellStyle name="Normal 10 6 3 3" xfId="30885" xr:uid="{0D3B8BD8-EA01-4EC7-BED7-64D8DD2F44D6}"/>
    <cellStyle name="Normal 10 6 4" xfId="30886" xr:uid="{511712D4-96E6-41BA-B419-89CD3CDA535B}"/>
    <cellStyle name="Normal 10 7" xfId="12050" xr:uid="{8B818035-E80C-4FEA-A8E1-72CCD4C9183F}"/>
    <cellStyle name="Normal 10 7 2" xfId="12051" xr:uid="{3FF1DB2A-23AF-44B6-8EB1-E96B1912C382}"/>
    <cellStyle name="Normal 10 7 3" xfId="30887" xr:uid="{DE7269D0-12BF-4BF3-945E-AA5FA8891040}"/>
    <cellStyle name="Normal 10 7 3 2" xfId="30888" xr:uid="{278B97DB-8289-4209-BE47-94AB4F8BBD83}"/>
    <cellStyle name="Normal 10 7 3 3" xfId="30889" xr:uid="{9F9AB289-A90B-4526-81A8-ECF5F8B38BB7}"/>
    <cellStyle name="Normal 10 7 4" xfId="30890" xr:uid="{2EC86ABB-A2AD-427B-A71C-50FD761144F7}"/>
    <cellStyle name="Normal 10 8" xfId="12052" xr:uid="{CAAD756C-D4A9-474A-9675-750520B60E01}"/>
    <cellStyle name="Normal 10 8 2" xfId="12053" xr:uid="{388D58EA-795F-4C3D-8B1B-AFCF6B42DCD3}"/>
    <cellStyle name="Normal 10 8 3" xfId="30891" xr:uid="{27A472EE-565B-457F-9DEC-E11269E9C4FE}"/>
    <cellStyle name="Normal 10 8 3 2" xfId="30892" xr:uid="{5162F5C0-B719-4696-A95D-D54B3863B209}"/>
    <cellStyle name="Normal 10 8 4" xfId="30893" xr:uid="{052C0CC2-AA0E-46D8-B960-6A2414D1BFE6}"/>
    <cellStyle name="Normal 10 9" xfId="12054" xr:uid="{50E73B48-9EEF-4440-A9D4-C91C3DFB26B1}"/>
    <cellStyle name="Normal 10 9 2" xfId="30894" xr:uid="{7370F723-8BD7-40CF-93BA-5EA3F4FF8B5E}"/>
    <cellStyle name="Normal 10 9 3" xfId="30895" xr:uid="{D64F0C01-864B-421A-B0BC-4D549820F35B}"/>
    <cellStyle name="Normal 10 9 4" xfId="42822" xr:uid="{E71BB3F1-E1BF-4B55-92B5-C62102CBD0EE}"/>
    <cellStyle name="Normal 105" xfId="85" xr:uid="{C54DF36F-6EBC-409D-86E9-EFF42FDD5D9D}"/>
    <cellStyle name="Normal 107 2" xfId="79" xr:uid="{6AC74514-038D-41A9-B06E-6E050D5F0439}"/>
    <cellStyle name="Normal 108 3" xfId="89" xr:uid="{B3141967-579F-48C7-B92D-06C5B5882CA6}"/>
    <cellStyle name="Normal 11" xfId="80" xr:uid="{890A7144-F2F8-404E-B074-16B13E8667D0}"/>
    <cellStyle name="Normal 11 10" xfId="12056" xr:uid="{3D543A0B-D5CD-4688-B257-B567F2421828}"/>
    <cellStyle name="Normal 11 10 2" xfId="30896" xr:uid="{877C29AE-C8D1-456F-A186-326100B27999}"/>
    <cellStyle name="Normal 11 10 3" xfId="30897" xr:uid="{D6A135C2-6506-408B-8DC7-B41D87483130}"/>
    <cellStyle name="Normal 11 11" xfId="12057" xr:uid="{7AFD675E-AD5A-44EA-A123-518F5523046D}"/>
    <cellStyle name="Normal 11 11 2" xfId="30898" xr:uid="{AEB05EDE-9E07-434F-BF41-41CD78E9859D}"/>
    <cellStyle name="Normal 11 11 3" xfId="30899" xr:uid="{9A347A44-E3E9-4FBE-9E50-279C477B7140}"/>
    <cellStyle name="Normal 11 12" xfId="12058" xr:uid="{CEA92109-CC0F-4D81-99B5-E774555DC4AE}"/>
    <cellStyle name="Normal 11 12 2" xfId="30900" xr:uid="{A61F136A-45FD-4539-B38F-4A7A8491B79B}"/>
    <cellStyle name="Normal 11 12 3" xfId="30901" xr:uid="{6D21A498-7607-40DC-B850-A167C61B6E17}"/>
    <cellStyle name="Normal 11 13" xfId="12059" xr:uid="{119A8F0A-B1E0-4A41-BA2E-28A5C2581188}"/>
    <cellStyle name="Normal 11 13 2" xfId="30902" xr:uid="{E6275A1A-282F-4A9E-8586-A557F89B6E0F}"/>
    <cellStyle name="Normal 11 13 3" xfId="30903" xr:uid="{361B9E7E-DDF0-4742-B4ED-E0F7915EFDF8}"/>
    <cellStyle name="Normal 11 14" xfId="12060" xr:uid="{1339CBE2-81D1-4110-847E-FA9090D469B5}"/>
    <cellStyle name="Normal 11 14 2" xfId="30904" xr:uid="{8373A680-CBCE-4BA4-BDD9-DDA146271A81}"/>
    <cellStyle name="Normal 11 14 3" xfId="30905" xr:uid="{E5626F1F-EA58-48CA-86C6-B2224EE3BBBD}"/>
    <cellStyle name="Normal 11 15" xfId="12061" xr:uid="{B5CA3BE2-30A7-4101-9DA2-3CF9AD3D6087}"/>
    <cellStyle name="Normal 11 15 2" xfId="30906" xr:uid="{7EFC2DEA-547D-46B2-B026-8CBED530A8B5}"/>
    <cellStyle name="Normal 11 15 3" xfId="30907" xr:uid="{47E26550-1F36-4AC3-A277-28087D190723}"/>
    <cellStyle name="Normal 11 16" xfId="12062" xr:uid="{2F2031D1-C3FB-4CCD-BD04-98C4778C9B8D}"/>
    <cellStyle name="Normal 11 16 2" xfId="30908" xr:uid="{87F69CAD-D0C4-4EBC-8781-0B95E4B6BDD1}"/>
    <cellStyle name="Normal 11 17" xfId="12063" xr:uid="{860C52C2-2743-4056-97F5-EE6512948C17}"/>
    <cellStyle name="Normal 11 18" xfId="30909" xr:uid="{B5CADCBF-931F-40EF-9A66-31F42B6AD131}"/>
    <cellStyle name="Normal 11 19" xfId="12055" xr:uid="{88B8FFBE-0D89-4E8D-B350-DDE08743D1A7}"/>
    <cellStyle name="Normal 11 2" xfId="12064" xr:uid="{FEB0CAA9-45EF-433F-BB69-9BDFCEF4291B}"/>
    <cellStyle name="Normal 11 2 10" xfId="12065" xr:uid="{54C47D4C-8D7D-4C35-B7E5-E559EA7DEFFE}"/>
    <cellStyle name="Normal 11 2 10 2" xfId="30910" xr:uid="{1CF43D58-2859-4668-8261-F9ABEAF8B03E}"/>
    <cellStyle name="Normal 11 2 10 3" xfId="30911" xr:uid="{C888AD00-9A87-4652-9E2E-5F9497B7E604}"/>
    <cellStyle name="Normal 11 2 11" xfId="12066" xr:uid="{0F0CDE18-4CAF-49EA-B93D-979DBC73F360}"/>
    <cellStyle name="Normal 11 2 11 2" xfId="30912" xr:uid="{DCF174A6-3E64-4A3F-988B-1AC20A6F6176}"/>
    <cellStyle name="Normal 11 2 11 3" xfId="30913" xr:uid="{74088E83-D09F-4EC0-8215-78F069889ED9}"/>
    <cellStyle name="Normal 11 2 12" xfId="12067" xr:uid="{59ECA7E7-4817-4E23-B14F-3D7935D207BF}"/>
    <cellStyle name="Normal 11 2 12 2" xfId="30914" xr:uid="{96A2704B-AC5A-4F7F-BA8B-77CCEBF71633}"/>
    <cellStyle name="Normal 11 2 12 3" xfId="30915" xr:uid="{073F9E70-9E06-4D51-BFEE-1D90A71E3B8C}"/>
    <cellStyle name="Normal 11 2 13" xfId="12068" xr:uid="{4A5688D0-4D68-4059-ACC6-0589B986396A}"/>
    <cellStyle name="Normal 11 2 13 2" xfId="30916" xr:uid="{51C83EF7-F9CE-411A-9A87-736071C60ABC}"/>
    <cellStyle name="Normal 11 2 14" xfId="12069" xr:uid="{204DA64C-778F-47C4-ADF7-8CE37C4311A8}"/>
    <cellStyle name="Normal 11 2 2" xfId="12070" xr:uid="{919097EB-6F7B-4E68-A0D8-EEF85629DCA0}"/>
    <cellStyle name="Normal 11 2 2 2" xfId="12071" xr:uid="{EFC0B568-DC55-4684-AE83-8B247BE53ABD}"/>
    <cellStyle name="Normal 11 2 2 2 2" xfId="12072" xr:uid="{99CA1EA3-61AB-4DB6-AE05-A698BBB0D418}"/>
    <cellStyle name="Normal 11 2 2 3" xfId="12073" xr:uid="{FFE4539B-0A5B-436F-8EB3-873ACEA2A1A0}"/>
    <cellStyle name="Normal 11 2 2 4" xfId="42823" xr:uid="{F600D549-29A8-4015-BE0E-47D1CA39493B}"/>
    <cellStyle name="Normal 11 2 3" xfId="12074" xr:uid="{6B1A0356-6A47-4DDA-8CF3-B96E582F3B26}"/>
    <cellStyle name="Normal 11 2 3 2" xfId="30917" xr:uid="{C5AEFD70-6471-4AC1-A908-9D1AF7BA817C}"/>
    <cellStyle name="Normal 11 2 3 3" xfId="30918" xr:uid="{B5E026DA-BC3B-4966-BDCD-0CC1D70CEB9D}"/>
    <cellStyle name="Normal 11 2 3 4" xfId="30919" xr:uid="{DCA11A2E-F819-405A-B41C-AD59F44F0593}"/>
    <cellStyle name="Normal 11 2 4" xfId="12075" xr:uid="{F39BE063-EEA7-48CF-8890-4D3B1C11C53D}"/>
    <cellStyle name="Normal 11 2 4 2" xfId="30920" xr:uid="{8B37ED4D-9226-4B97-B701-36738FCD57BD}"/>
    <cellStyle name="Normal 11 2 4 3" xfId="30921" xr:uid="{623A50C0-23DE-4B96-9769-05C2F3C79C30}"/>
    <cellStyle name="Normal 11 2 5" xfId="12076" xr:uid="{0FE1CB22-F552-4901-8FB0-2C9E1104F233}"/>
    <cellStyle name="Normal 11 2 5 2" xfId="30922" xr:uid="{8A47B113-4BD2-43F7-92CD-94D0F32A2E98}"/>
    <cellStyle name="Normal 11 2 5 3" xfId="30923" xr:uid="{CF95D981-6411-4142-8CC2-66C59CB9060A}"/>
    <cellStyle name="Normal 11 2 6" xfId="12077" xr:uid="{BFA9BFE5-936E-4CF7-9F56-597971D107A7}"/>
    <cellStyle name="Normal 11 2 6 2" xfId="30924" xr:uid="{9FC40A05-54CA-4426-9477-95E0461069FF}"/>
    <cellStyle name="Normal 11 2 6 3" xfId="30925" xr:uid="{4A1A4A1C-1E51-43F2-A00C-B5ADC57B20F3}"/>
    <cellStyle name="Normal 11 2 7" xfId="12078" xr:uid="{00782BC0-0129-4F8E-A567-3D9FC607EAD9}"/>
    <cellStyle name="Normal 11 2 7 2" xfId="30926" xr:uid="{71BB5AD8-281C-4ACA-8786-AEA8CC298300}"/>
    <cellStyle name="Normal 11 2 7 3" xfId="30927" xr:uid="{348A3DFD-5EBB-422F-906C-7B489EE36B48}"/>
    <cellStyle name="Normal 11 2 8" xfId="12079" xr:uid="{A9007C2D-63D5-412E-B9AD-C0C4404DCDCC}"/>
    <cellStyle name="Normal 11 2 8 2" xfId="30928" xr:uid="{BA70F274-9B6E-4A59-B1C0-DA29D58CB2BA}"/>
    <cellStyle name="Normal 11 2 8 3" xfId="30929" xr:uid="{DF4D447C-1E3B-4833-8CD7-9594220BB6A0}"/>
    <cellStyle name="Normal 11 2 9" xfId="12080" xr:uid="{387578CF-1E2B-4A61-B413-5312CA4DCFC9}"/>
    <cellStyle name="Normal 11 2 9 2" xfId="30930" xr:uid="{53500999-CB98-49A4-B760-18A8EE4227B4}"/>
    <cellStyle name="Normal 11 2 9 3" xfId="30931" xr:uid="{DE1EE804-B855-48F7-AB76-0C189003A670}"/>
    <cellStyle name="Normal 11 3" xfId="12081" xr:uid="{A64EE41C-55E8-4351-852E-69616AC36F14}"/>
    <cellStyle name="Normal 11 3 10" xfId="12082" xr:uid="{55FD5A0E-42DF-48F6-9D3F-615701460A5D}"/>
    <cellStyle name="Normal 11 3 10 2" xfId="30932" xr:uid="{1555D096-08BC-45B0-8F00-DBCDFA46312B}"/>
    <cellStyle name="Normal 11 3 10 3" xfId="30933" xr:uid="{A7212111-307A-4F9B-B955-CF803A6698AF}"/>
    <cellStyle name="Normal 11 3 11" xfId="30934" xr:uid="{318FC462-7C4C-4DD1-852D-4AD7B5097AC1}"/>
    <cellStyle name="Normal 11 3 2" xfId="12083" xr:uid="{15E27830-92F0-403A-A595-85540C01CD33}"/>
    <cellStyle name="Normal 11 3 2 2" xfId="12084" xr:uid="{BB89545A-5097-4204-9F5A-C5DFBB9CDA6E}"/>
    <cellStyle name="Normal 11 3 2 3" xfId="12085" xr:uid="{99B3875D-0F56-412E-ADF5-ADCA28C7EC0B}"/>
    <cellStyle name="Normal 11 3 2 4" xfId="30935" xr:uid="{938FB9CF-C3AD-4B9E-97A4-27619222561C}"/>
    <cellStyle name="Normal 11 3 3" xfId="12086" xr:uid="{4D3C8EB4-D0EE-414D-9AC7-002BA4BD3D59}"/>
    <cellStyle name="Normal 11 3 3 2" xfId="30936" xr:uid="{9D39780E-F728-407D-90D4-53A9A7500E7A}"/>
    <cellStyle name="Normal 11 3 3 3" xfId="30937" xr:uid="{1389A863-DE3B-4E8F-81B7-E5A41050ABD1}"/>
    <cellStyle name="Normal 11 3 4" xfId="12087" xr:uid="{EA0609F7-0345-4B16-8BF4-A1F1BD590261}"/>
    <cellStyle name="Normal 11 3 4 2" xfId="30938" xr:uid="{CCC7F1E3-9F5C-4E9A-9739-291CDC1AF9A8}"/>
    <cellStyle name="Normal 11 3 4 3" xfId="30939" xr:uid="{5025837B-F705-4D9F-B25A-B6DF3468DC6A}"/>
    <cellStyle name="Normal 11 3 5" xfId="12088" xr:uid="{F83D890A-04F4-4578-B867-3130B92D3801}"/>
    <cellStyle name="Normal 11 3 5 2" xfId="30940" xr:uid="{3CCAD7F7-2382-4357-82E6-FBB942EE3498}"/>
    <cellStyle name="Normal 11 3 5 3" xfId="30941" xr:uid="{F1E20556-A3D3-4E31-B537-935CBFB90D21}"/>
    <cellStyle name="Normal 11 3 6" xfId="12089" xr:uid="{2D168418-315D-4A6D-AD0E-0CC75FF71F07}"/>
    <cellStyle name="Normal 11 3 6 2" xfId="30942" xr:uid="{13B1E08E-E02E-4595-85C0-F070A5CE9500}"/>
    <cellStyle name="Normal 11 3 6 3" xfId="30943" xr:uid="{8A816129-2FB7-4468-BAAD-6854156AB9A1}"/>
    <cellStyle name="Normal 11 3 7" xfId="12090" xr:uid="{AD482E64-E8E0-4AEE-BE46-9ABC13ADAEAA}"/>
    <cellStyle name="Normal 11 3 7 2" xfId="30944" xr:uid="{40F3580E-EE29-4DC5-A672-00843F15231B}"/>
    <cellStyle name="Normal 11 3 7 3" xfId="30945" xr:uid="{571BB2DF-C281-4024-B491-2895A92D88BA}"/>
    <cellStyle name="Normal 11 3 8" xfId="12091" xr:uid="{CE3B570A-7D54-4869-A43D-C0078187D48C}"/>
    <cellStyle name="Normal 11 3 8 2" xfId="30946" xr:uid="{E4F624E1-C30F-45C0-9A71-7ED6AC5BAD64}"/>
    <cellStyle name="Normal 11 3 8 3" xfId="30947" xr:uid="{1DFD8D12-BC20-42AB-8F8F-61D907200011}"/>
    <cellStyle name="Normal 11 3 9" xfId="12092" xr:uid="{48CE7C72-7947-415D-89A1-5AA334DE5C30}"/>
    <cellStyle name="Normal 11 3 9 2" xfId="30948" xr:uid="{1439EBB6-40FC-4882-B4AC-0DDBA229C822}"/>
    <cellStyle name="Normal 11 3 9 3" xfId="30949" xr:uid="{4C17E762-52C1-487A-ADE1-0BBD6B1EA301}"/>
    <cellStyle name="Normal 11 4" xfId="12093" xr:uid="{556F14AF-F787-4277-9056-C4D9DA594750}"/>
    <cellStyle name="Normal 11 4 2" xfId="42824" xr:uid="{512B422A-3626-46C2-A90A-1DB553812CF4}"/>
    <cellStyle name="Normal 11 5" xfId="12094" xr:uid="{ACFA88F6-ED71-4A3D-B6EF-E38A0D96CD2D}"/>
    <cellStyle name="Normal 11 5 2" xfId="12095" xr:uid="{5A24F89C-8119-4B85-83D4-A27C0F771BC6}"/>
    <cellStyle name="Normal 11 5 3" xfId="30950" xr:uid="{5EFE8803-6D20-421E-B0FE-D612C8204B06}"/>
    <cellStyle name="Normal 11 5 4" xfId="30951" xr:uid="{AEB293F4-3F7F-4D90-A948-F26FA6EADC4A}"/>
    <cellStyle name="Normal 11 6" xfId="12096" xr:uid="{856D1F8A-BE09-4405-B252-A6E3BFEB07D9}"/>
    <cellStyle name="Normal 11 6 2" xfId="12097" xr:uid="{BDECD657-EDDC-477B-B2E7-35DB76588023}"/>
    <cellStyle name="Normal 11 6 3" xfId="30952" xr:uid="{82B9CBBD-E135-49F8-8668-78226F12E71C}"/>
    <cellStyle name="Normal 11 6 4" xfId="30953" xr:uid="{692A05C3-E6C4-43C5-AF5D-049C3246B85A}"/>
    <cellStyle name="Normal 11 7" xfId="12098" xr:uid="{96D707CF-9474-43CE-9239-EABB1B537A6B}"/>
    <cellStyle name="Normal 11 7 2" xfId="12099" xr:uid="{C5755139-E4B0-4751-A791-8BD353B91DBC}"/>
    <cellStyle name="Normal 11 7 3" xfId="30954" xr:uid="{9C1FE991-7A2B-4837-BA38-56BD976CB4F9}"/>
    <cellStyle name="Normal 11 7 4" xfId="30955" xr:uid="{86B7DA92-BD58-43F8-BC48-50A1904495EE}"/>
    <cellStyle name="Normal 11 8" xfId="12100" xr:uid="{35AD20C6-EC64-4A1F-BA35-F963BAA93E8F}"/>
    <cellStyle name="Normal 11 8 2" xfId="12101" xr:uid="{BB5E5E47-51BA-49AF-AB37-9397FAC9386C}"/>
    <cellStyle name="Normal 11 8 3" xfId="30956" xr:uid="{6A21B668-0662-4FC5-93E4-2025BC33DCEE}"/>
    <cellStyle name="Normal 11 8 4" xfId="30957" xr:uid="{1537750E-4DA5-41C3-996E-9926E139127E}"/>
    <cellStyle name="Normal 11 9" xfId="12102" xr:uid="{4299321B-3BA9-409A-AE1B-C7C729339E45}"/>
    <cellStyle name="Normal 11 9 2" xfId="30958" xr:uid="{60FFB186-2176-439D-A969-456F0C4CF87B}"/>
    <cellStyle name="Normal 11 9 3" xfId="30959" xr:uid="{12BE253E-C0D0-4AA6-9B45-62F339CB3735}"/>
    <cellStyle name="Normal 11 9 4" xfId="42825" xr:uid="{0904646C-B0FF-49B5-91EE-6FB4EF40EC3A}"/>
    <cellStyle name="Normal 12" xfId="12103" xr:uid="{B212D132-AA88-4734-8E9C-87AFFC85EAB0}"/>
    <cellStyle name="Normal 12 10" xfId="12104" xr:uid="{7CE5275A-3C70-4909-8291-1329FEE828A5}"/>
    <cellStyle name="Normal 12 10 2" xfId="12105" xr:uid="{9BF2D849-EB21-4961-9CED-4AE89800561B}"/>
    <cellStyle name="Normal 12 10 2 2" xfId="30960" xr:uid="{3B54CFB7-77B3-4C77-A4F7-B647BCA8B186}"/>
    <cellStyle name="Normal 12 10 2 3" xfId="30961" xr:uid="{F45B7BB0-20D1-49CA-8BE6-E4B584C76650}"/>
    <cellStyle name="Normal 12 10 3" xfId="12106" xr:uid="{E13F2155-FF68-460B-B597-FB582F2ED5AE}"/>
    <cellStyle name="Normal 12 10 3 2" xfId="30962" xr:uid="{7E51A35D-0DA0-469E-AD5D-096E8286FB8A}"/>
    <cellStyle name="Normal 12 10 4" xfId="12107" xr:uid="{2018ED68-38D8-4E22-A8E6-5A6441C7E66F}"/>
    <cellStyle name="Normal 12 11" xfId="12108" xr:uid="{290B05C2-36B1-4692-8EC0-74964C55EF0B}"/>
    <cellStyle name="Normal 12 11 2" xfId="12109" xr:uid="{3BEC8884-CE02-409C-995D-85641174C5B9}"/>
    <cellStyle name="Normal 12 11 3" xfId="12110" xr:uid="{203008A6-0A35-432B-BBE5-2CDEA8D60560}"/>
    <cellStyle name="Normal 12 11 4" xfId="12111" xr:uid="{E4149315-67C1-4CAB-9E12-D613F520ADE0}"/>
    <cellStyle name="Normal 12 12" xfId="12112" xr:uid="{270E2F94-70E4-4902-B674-98041A996EFA}"/>
    <cellStyle name="Normal 12 12 2" xfId="30963" xr:uid="{D6B02509-5CEF-4604-B0BD-8DC1E1E6A109}"/>
    <cellStyle name="Normal 12 12 3" xfId="30964" xr:uid="{16D2FE57-8ABF-43F7-A40F-BDC96F48970B}"/>
    <cellStyle name="Normal 12 13" xfId="12113" xr:uid="{BA120FCE-8D14-482D-9E66-AD3E06CF3B14}"/>
    <cellStyle name="Normal 12 13 2" xfId="30965" xr:uid="{85B02B8F-D4B5-4B10-B20C-77AF98D96A45}"/>
    <cellStyle name="Normal 12 13 3" xfId="30966" xr:uid="{D85469D8-D75D-4277-AC87-18D9D838364C}"/>
    <cellStyle name="Normal 12 14" xfId="12114" xr:uid="{8BD779E1-61C1-43D1-9746-B9F1935C6469}"/>
    <cellStyle name="Normal 12 14 2" xfId="30967" xr:uid="{B7AA3136-F4AB-478A-A846-F5DE8887FB8B}"/>
    <cellStyle name="Normal 12 14 3" xfId="30968" xr:uid="{9AF470CE-1579-4C84-9D2C-6AC6C0917CF0}"/>
    <cellStyle name="Normal 12 15" xfId="12115" xr:uid="{0D38B612-33E7-44BC-84F9-CB9AC6C5AF89}"/>
    <cellStyle name="Normal 12 15 2" xfId="30969" xr:uid="{996D2D5D-4FDC-4F02-95D1-EC906B1D5144}"/>
    <cellStyle name="Normal 12 15 3" xfId="30970" xr:uid="{DAE5BD02-00C4-4939-B9E2-09048B40CB88}"/>
    <cellStyle name="Normal 12 16" xfId="12116" xr:uid="{D46764A1-CEFC-47A2-B969-0D85C7DFD6D9}"/>
    <cellStyle name="Normal 12 16 2" xfId="30971" xr:uid="{E031F2F1-740A-4C51-B46E-A351532BD2A8}"/>
    <cellStyle name="Normal 12 16 3" xfId="30972" xr:uid="{99625299-C5F3-4AE1-B000-552F9F38833E}"/>
    <cellStyle name="Normal 12 17" xfId="12117" xr:uid="{960E1715-752E-49D2-8DCF-CB8395917C18}"/>
    <cellStyle name="Normal 12 17 2" xfId="30973" xr:uid="{2E1B413B-64FA-42B1-B878-024BD8CE0563}"/>
    <cellStyle name="Normal 12 17 3" xfId="30974" xr:uid="{213EC411-66C5-4E7F-BE7D-8C773C953AEB}"/>
    <cellStyle name="Normal 12 18" xfId="12118" xr:uid="{626CC050-93BF-4EB8-B0A6-1093D20F2EC3}"/>
    <cellStyle name="Normal 12 18 2" xfId="30975" xr:uid="{D73FB299-78C8-49E0-B913-9076038B23CF}"/>
    <cellStyle name="Normal 12 18 3" xfId="30976" xr:uid="{C1BC3874-1BF5-4F3B-ACDD-876189B44982}"/>
    <cellStyle name="Normal 12 19" xfId="12119" xr:uid="{A0204BF1-A6C0-412A-A62A-D32AD424C8EE}"/>
    <cellStyle name="Normal 12 19 2" xfId="30977" xr:uid="{3CBEB650-9141-4B42-B9BD-92695423A049}"/>
    <cellStyle name="Normal 12 19 3" xfId="30978" xr:uid="{D5065BB8-2109-47AD-9F54-3E8D7462CF3C}"/>
    <cellStyle name="Normal 12 2" xfId="12120" xr:uid="{F9F7B51E-5AB6-47CD-A2C0-60BD8C8ED11E}"/>
    <cellStyle name="Normal 12 2 10" xfId="12121" xr:uid="{5D803311-257B-4159-B223-5C590157044A}"/>
    <cellStyle name="Normal 12 2 10 2" xfId="30979" xr:uid="{D10DEFE7-13F5-4BDA-99E5-B5921BED30BA}"/>
    <cellStyle name="Normal 12 2 10 3" xfId="30980" xr:uid="{4DA9E519-0B41-4EFA-8E77-B9B1B681F11C}"/>
    <cellStyle name="Normal 12 2 11" xfId="12122" xr:uid="{A28E14C3-FE9D-4A62-BF90-CA0EF0E25BC4}"/>
    <cellStyle name="Normal 12 2 11 2" xfId="30981" xr:uid="{7BFAE592-8F8D-4DF8-A16F-684C55186111}"/>
    <cellStyle name="Normal 12 2 11 3" xfId="30982" xr:uid="{E346A4B3-34C8-4F47-9A69-1E6C068C90AF}"/>
    <cellStyle name="Normal 12 2 12" xfId="12123" xr:uid="{3166A237-CC10-45CC-AE8D-8231806EAE3F}"/>
    <cellStyle name="Normal 12 2 12 2" xfId="30983" xr:uid="{E7D16A01-681C-4948-B58F-86BF7E65B846}"/>
    <cellStyle name="Normal 12 2 12 3" xfId="30984" xr:uid="{8EFBBF49-C728-485F-84F9-BB06124C09D4}"/>
    <cellStyle name="Normal 12 2 13" xfId="12124" xr:uid="{52704C32-C5B6-48CE-B26F-373AD91AFBBC}"/>
    <cellStyle name="Normal 12 2 13 2" xfId="30985" xr:uid="{8CF4C4E6-3BB4-40A3-9382-A1421D441B6E}"/>
    <cellStyle name="Normal 12 2 13 3" xfId="30986" xr:uid="{347B2530-C2C7-4E88-B8F5-BD2F3A2FBEDD}"/>
    <cellStyle name="Normal 12 2 14" xfId="12125" xr:uid="{C154DB3C-EF63-4E44-9BEE-DAAC5FE63CF0}"/>
    <cellStyle name="Normal 12 2 14 2" xfId="30987" xr:uid="{CE2EC614-BB78-43EE-BA9C-5F362981E481}"/>
    <cellStyle name="Normal 12 2 14 3" xfId="30988" xr:uid="{79D4C599-3A13-4F5E-8810-44C348C5C692}"/>
    <cellStyle name="Normal 12 2 15" xfId="12126" xr:uid="{A7634D5F-0207-47C6-96B4-A0263A99F040}"/>
    <cellStyle name="Normal 12 2 15 2" xfId="30989" xr:uid="{F92FF575-1E82-41D6-88FD-D1B31DCD1CFF}"/>
    <cellStyle name="Normal 12 2 15 3" xfId="30990" xr:uid="{752BA823-35D0-4BDF-B573-A14257AD820E}"/>
    <cellStyle name="Normal 12 2 16" xfId="12127" xr:uid="{FC6673BB-6899-4419-8F51-5C0F27A433C1}"/>
    <cellStyle name="Normal 12 2 16 2" xfId="30991" xr:uid="{41BFAEBF-239A-4B0F-BCA9-387FDED950F5}"/>
    <cellStyle name="Normal 12 2 16 3" xfId="30992" xr:uid="{FF74F7DB-BC53-4E3A-849A-B6BAD45F4336}"/>
    <cellStyle name="Normal 12 2 17" xfId="12128" xr:uid="{EC778355-7FBB-49F5-ABD6-9F3BDD25A0F8}"/>
    <cellStyle name="Normal 12 2 17 2" xfId="30993" xr:uid="{75805622-4640-4974-9BBD-747580D12759}"/>
    <cellStyle name="Normal 12 2 17 3" xfId="30994" xr:uid="{1034B056-D1AD-40C4-A204-8BA910364073}"/>
    <cellStyle name="Normal 12 2 18" xfId="30995" xr:uid="{25D03947-39B0-4D40-9063-817412D8FF11}"/>
    <cellStyle name="Normal 12 2 2" xfId="12129" xr:uid="{D899983A-7193-418D-B788-DFD894304DCB}"/>
    <cellStyle name="Normal 12 2 2 2" xfId="12130" xr:uid="{A3C98753-9EA1-4236-B83D-AF0896D435A2}"/>
    <cellStyle name="Normal 12 2 2 3" xfId="30996" xr:uid="{CCCA54D2-14E3-4748-882A-6805F510CD10}"/>
    <cellStyle name="Normal 12 2 3" xfId="12131" xr:uid="{FBDBEDE1-2236-4F99-81E7-9217D504BFFA}"/>
    <cellStyle name="Normal 12 2 4" xfId="12132" xr:uid="{EBD8CC41-D21D-4F9C-B9BC-D69E2AC03705}"/>
    <cellStyle name="Normal 12 2 5" xfId="12133" xr:uid="{1D221FDF-3FF4-4790-99F2-CFB86AAD0C3B}"/>
    <cellStyle name="Normal 12 2 6" xfId="12134" xr:uid="{3A476836-B8A8-4AF6-9BDB-5C657E74468E}"/>
    <cellStyle name="Normal 12 2 7" xfId="12135" xr:uid="{B0499992-0DC0-45EE-BA01-92DDC153A2A3}"/>
    <cellStyle name="Normal 12 2 8" xfId="12136" xr:uid="{D0D7123B-7A27-41B3-8731-3D7542B0458A}"/>
    <cellStyle name="Normal 12 2 8 2" xfId="12137" xr:uid="{0D6282D9-EA66-4EE6-9AF2-631EDBEA49BA}"/>
    <cellStyle name="Normal 12 2 9" xfId="12138" xr:uid="{0A5DC1BB-8A3D-47A5-86E9-939C55F5CA94}"/>
    <cellStyle name="Normal 12 2 9 2" xfId="30997" xr:uid="{D1EF8B99-A750-4EDE-A12C-626F27B49397}"/>
    <cellStyle name="Normal 12 2 9 3" xfId="30998" xr:uid="{BECCD8BB-17D5-402B-8180-6E6DDA359ACC}"/>
    <cellStyle name="Normal 12 20" xfId="12139" xr:uid="{89F498A7-EE4D-4B84-A47A-C3CD1D2DF428}"/>
    <cellStyle name="Normal 12 20 2" xfId="30999" xr:uid="{1446B45C-CC18-4BBF-9C0D-49578ED5054B}"/>
    <cellStyle name="Normal 12 20 3" xfId="31000" xr:uid="{1A3CF792-3844-4401-A014-124FA4150EB3}"/>
    <cellStyle name="Normal 12 21" xfId="12140" xr:uid="{23E95DEF-B4C5-4B13-BDBF-C6714F463890}"/>
    <cellStyle name="Normal 12 21 2" xfId="31001" xr:uid="{35A2868B-6319-4254-8A17-446B6738E900}"/>
    <cellStyle name="Normal 12 21 3" xfId="31002" xr:uid="{E657F60A-4156-45CD-A0F2-8B1704D3B749}"/>
    <cellStyle name="Normal 12 22" xfId="12141" xr:uid="{4B09F8A3-DA88-43CE-A57E-5C0713B8027D}"/>
    <cellStyle name="Normal 12 22 2" xfId="31003" xr:uid="{274F25C1-5CD6-4EF3-815C-7DC0A9D55099}"/>
    <cellStyle name="Normal 12 23" xfId="12142" xr:uid="{0649A471-F92C-473B-A68E-220E60F0D95D}"/>
    <cellStyle name="Normal 12 24" xfId="31004" xr:uid="{46ABC955-43BD-4ADB-9CC0-E7010EC3FC7F}"/>
    <cellStyle name="Normal 12 3" xfId="12143" xr:uid="{7D7DB94C-AB86-4038-81ED-39037F0B6D32}"/>
    <cellStyle name="Normal 12 3 10" xfId="12144" xr:uid="{D63A0620-B402-4F72-942A-7E404305C712}"/>
    <cellStyle name="Normal 12 3 10 2" xfId="31005" xr:uid="{9191CC73-EF65-4881-9072-E97E17D91DE0}"/>
    <cellStyle name="Normal 12 3 10 3" xfId="31006" xr:uid="{BA75721D-952E-4CF7-8D14-31BC33C65BB2}"/>
    <cellStyle name="Normal 12 3 11" xfId="12145" xr:uid="{5DBD074D-D8F4-44C0-A3D1-7CB35D42E22E}"/>
    <cellStyle name="Normal 12 3 11 2" xfId="31007" xr:uid="{529BB6A2-1894-4FEC-AAA4-3A57D27F45E7}"/>
    <cellStyle name="Normal 12 3 11 3" xfId="31008" xr:uid="{C7186EB4-7448-4A07-BE31-77CFD1BA98EA}"/>
    <cellStyle name="Normal 12 3 12" xfId="12146" xr:uid="{CEC4DF85-65F6-4A6E-A34B-076E5D585B0C}"/>
    <cellStyle name="Normal 12 3 12 2" xfId="31009" xr:uid="{478B6AC5-9495-4416-A6E3-06F54AEA9C45}"/>
    <cellStyle name="Normal 12 3 12 3" xfId="31010" xr:uid="{D7BB5E92-872B-47DE-AD52-D1ECEACA0B6A}"/>
    <cellStyle name="Normal 12 3 13" xfId="12147" xr:uid="{68540960-48E5-4FDF-AD28-B53E7801A9DE}"/>
    <cellStyle name="Normal 12 3 13 2" xfId="31011" xr:uid="{0106B1F1-BA03-4B47-8C0F-D289AC142654}"/>
    <cellStyle name="Normal 12 3 13 3" xfId="31012" xr:uid="{B7FF39A8-C990-4DE4-A2B9-D2B47A7CC648}"/>
    <cellStyle name="Normal 12 3 14" xfId="12148" xr:uid="{750A37F6-B247-42E1-814D-55B42F2039A6}"/>
    <cellStyle name="Normal 12 3 14 2" xfId="31013" xr:uid="{875D48D7-A8C6-4474-AA43-F7903D70DBE0}"/>
    <cellStyle name="Normal 12 3 14 3" xfId="31014" xr:uid="{D960716C-E6DE-46B2-8CC0-B0CA221B5DE1}"/>
    <cellStyle name="Normal 12 3 15" xfId="12149" xr:uid="{9B3CF247-787F-4882-A84C-2C109084600A}"/>
    <cellStyle name="Normal 12 3 15 2" xfId="31015" xr:uid="{5BEE63E8-8783-474C-892E-DFCE7ECFB75F}"/>
    <cellStyle name="Normal 12 3 15 3" xfId="31016" xr:uid="{C27E3D25-62D4-4BB8-843B-8DD24FF800AE}"/>
    <cellStyle name="Normal 12 3 16" xfId="12150" xr:uid="{2B7259B5-40B7-41BB-A823-32104D640014}"/>
    <cellStyle name="Normal 12 3 16 2" xfId="31017" xr:uid="{45E5A1D7-4663-46A7-A7EA-26FA3FA2AA17}"/>
    <cellStyle name="Normal 12 3 16 3" xfId="31018" xr:uid="{0819FC67-22F5-4F24-8864-4501D13573B7}"/>
    <cellStyle name="Normal 12 3 17" xfId="12151" xr:uid="{78C98F4C-24F9-4C5B-953B-A68EF5BB48BF}"/>
    <cellStyle name="Normal 12 3 17 2" xfId="31019" xr:uid="{6088A39F-66D3-4D40-9D07-9E079346A86B}"/>
    <cellStyle name="Normal 12 3 17 3" xfId="31020" xr:uid="{7A9CE0C1-5F21-4511-91EA-264A814FBCE1}"/>
    <cellStyle name="Normal 12 3 18" xfId="31021" xr:uid="{ACDDD5E4-3445-4D09-B5AD-C5BBC9BD0C36}"/>
    <cellStyle name="Normal 12 3 2" xfId="12152" xr:uid="{CCE2B974-30D9-4746-89A6-9B5DDEB6432C}"/>
    <cellStyle name="Normal 12 3 2 2" xfId="12153" xr:uid="{85D4AD78-414F-49FF-9C99-941437F4ED72}"/>
    <cellStyle name="Normal 12 3 3" xfId="12154" xr:uid="{B12B2A93-5D1E-4A7E-80D6-AC59F6080A2B}"/>
    <cellStyle name="Normal 12 3 4" xfId="12155" xr:uid="{68D6E5D8-A4D1-46BF-837E-DA621E816050}"/>
    <cellStyle name="Normal 12 3 5" xfId="12156" xr:uid="{4858FF30-2027-48A8-BE1E-C2B0539EC80B}"/>
    <cellStyle name="Normal 12 3 6" xfId="12157" xr:uid="{B14B60E9-2F0E-4E75-AD9F-F9A1B5D2A051}"/>
    <cellStyle name="Normal 12 3 7" xfId="12158" xr:uid="{24FF6AF2-FAD6-4BBD-ACF6-DEE773097F95}"/>
    <cellStyle name="Normal 12 3 8" xfId="12159" xr:uid="{FC62C5F3-687D-41A5-B818-377910A89092}"/>
    <cellStyle name="Normal 12 3 8 2" xfId="12160" xr:uid="{3C8C3D3E-60CA-4BC1-9967-BC041F8174BC}"/>
    <cellStyle name="Normal 12 3 9" xfId="12161" xr:uid="{A39C8C1B-B20F-40B7-8545-6F7A3CABA7DB}"/>
    <cellStyle name="Normal 12 3 9 2" xfId="31022" xr:uid="{321ADCE8-D0CE-4D3A-A088-872F3742473A}"/>
    <cellStyle name="Normal 12 3 9 3" xfId="31023" xr:uid="{1FAD7783-D769-420F-8F34-FD211CB65B2A}"/>
    <cellStyle name="Normal 12 4" xfId="12162" xr:uid="{4D344B33-D171-4DDF-9619-B5D36447BC48}"/>
    <cellStyle name="Normal 12 4 2" xfId="12163" xr:uid="{7F8CEE17-F78F-47ED-A0FF-2EAADDC5D697}"/>
    <cellStyle name="Normal 12 4 2 2" xfId="12164" xr:uid="{0BD1310C-1B05-45CC-A352-0004D20700DF}"/>
    <cellStyle name="Normal 12 4 3" xfId="12165" xr:uid="{59511BEC-1770-42D7-9E43-21313AFCB563}"/>
    <cellStyle name="Normal 12 4 4" xfId="12166" xr:uid="{B9FF2BE6-5F12-475C-838F-215C41B536A1}"/>
    <cellStyle name="Normal 12 4 5" xfId="12167" xr:uid="{7C2AA336-D429-45D8-9F82-A5DAA8861186}"/>
    <cellStyle name="Normal 12 4 6" xfId="12168" xr:uid="{3D3C0EAA-2496-4DC4-8927-67FE9AEA73B4}"/>
    <cellStyle name="Normal 12 4 7" xfId="12169" xr:uid="{B5572650-41A6-4236-9581-30295E693A1B}"/>
    <cellStyle name="Normal 12 4 8" xfId="12170" xr:uid="{9C064AEF-BF43-45D5-9885-D6B4703E0104}"/>
    <cellStyle name="Normal 12 4 8 2" xfId="12171" xr:uid="{9B7CC967-C076-47C3-95DF-400CBA250C83}"/>
    <cellStyle name="Normal 12 5" xfId="12172" xr:uid="{ACA91C40-DBC2-48B0-8C13-8577CCCFEE41}"/>
    <cellStyle name="Normal 12 5 2" xfId="12173" xr:uid="{FE9C77D2-B35E-4013-8204-18E6DF52F27A}"/>
    <cellStyle name="Normal 12 5 2 2" xfId="12174" xr:uid="{4ECB3FCB-C6B4-46BC-B314-81449AE2BE21}"/>
    <cellStyle name="Normal 12 5 3" xfId="12175" xr:uid="{2D2D64FC-C599-4CA7-96DE-8378AF575CC1}"/>
    <cellStyle name="Normal 12 5 4" xfId="12176" xr:uid="{55F015BC-DF16-42C6-8673-8B20DC18E36E}"/>
    <cellStyle name="Normal 12 5 5" xfId="12177" xr:uid="{7BD21B88-C676-4D83-B27E-086CA66B109D}"/>
    <cellStyle name="Normal 12 5 6" xfId="12178" xr:uid="{FEB35D7D-A8F5-452C-9369-11227AEFA1BC}"/>
    <cellStyle name="Normal 12 5 7" xfId="12179" xr:uid="{BE85EBD0-21BA-49AB-9D14-15B5282B6423}"/>
    <cellStyle name="Normal 12 5 8" xfId="12180" xr:uid="{EE2983DB-EE49-490C-A8DE-16E580ED6F8D}"/>
    <cellStyle name="Normal 12 5 8 2" xfId="12181" xr:uid="{ED1BD077-24C7-4272-9888-D5D668C96F43}"/>
    <cellStyle name="Normal 12 6" xfId="12182" xr:uid="{AFF49B66-9623-460E-A957-C005F2D8B661}"/>
    <cellStyle name="Normal 12 6 2" xfId="12183" xr:uid="{2077B78F-6564-4F78-A50B-D972690F7D37}"/>
    <cellStyle name="Normal 12 6 2 2" xfId="12184" xr:uid="{330E75A4-CAF4-4952-B20E-F21A4B24ED92}"/>
    <cellStyle name="Normal 12 6 3" xfId="12185" xr:uid="{E8D01F3F-E461-4E6B-B1D7-5FAC4E4E2CE3}"/>
    <cellStyle name="Normal 12 6 4" xfId="12186" xr:uid="{E0060654-3419-479D-A7B8-E4509E0FE9B0}"/>
    <cellStyle name="Normal 12 6 5" xfId="12187" xr:uid="{B95B0FB9-A277-461E-9C85-83E509B0736A}"/>
    <cellStyle name="Normal 12 6 6" xfId="12188" xr:uid="{1837FE3B-19B6-4E74-9545-2756DC331CEA}"/>
    <cellStyle name="Normal 12 6 7" xfId="12189" xr:uid="{1F3D6C4D-EDA5-4246-AD05-59A5F1AACE4D}"/>
    <cellStyle name="Normal 12 6 8" xfId="12190" xr:uid="{C47C2DF7-5A89-47D5-9CF0-C0CE63BC6A47}"/>
    <cellStyle name="Normal 12 6 8 2" xfId="12191" xr:uid="{35ADA1EF-036E-4FEE-8B8B-93FCD92246BE}"/>
    <cellStyle name="Normal 12 7" xfId="12192" xr:uid="{1289EFC1-D86B-4538-8D0E-871B3F63BEB5}"/>
    <cellStyle name="Normal 12 8" xfId="12193" xr:uid="{4C167188-789C-4173-8B13-A528A6184432}"/>
    <cellStyle name="Normal 12 9" xfId="12194" xr:uid="{11F2CDAD-4601-445B-AFE5-CBC023282A53}"/>
    <cellStyle name="Normal 13" xfId="12195" xr:uid="{0B80674B-2574-4239-AA71-C24F8BE6AA5F}"/>
    <cellStyle name="Normal 13 10" xfId="12196" xr:uid="{7329BA55-37AA-44CB-90AF-078D9983D012}"/>
    <cellStyle name="Normal 13 10 2" xfId="31024" xr:uid="{77C3708F-2634-498A-B722-940BAC651A91}"/>
    <cellStyle name="Normal 13 10 3" xfId="31025" xr:uid="{CD8DCEDE-E231-4587-837A-5CB5BA6F39DE}"/>
    <cellStyle name="Normal 13 11" xfId="12197" xr:uid="{E76F5603-AA3A-4A9D-8F6C-4118BC144430}"/>
    <cellStyle name="Normal 13 11 2" xfId="31026" xr:uid="{A718C1A7-1EB0-487B-B758-6CAA5CE3B723}"/>
    <cellStyle name="Normal 13 11 3" xfId="31027" xr:uid="{D37222F6-D6FF-420D-B057-52A6CF3B46F4}"/>
    <cellStyle name="Normal 13 12" xfId="12198" xr:uid="{611423C6-8226-48A0-BFAD-EDEF3230DF1C}"/>
    <cellStyle name="Normal 13 13" xfId="12199" xr:uid="{7DBF5A1C-94AA-490D-B637-A99C1B869CDA}"/>
    <cellStyle name="Normal 13 13 2" xfId="31028" xr:uid="{F0BFD038-3F62-4D07-A96E-AE6F0CA4336D}"/>
    <cellStyle name="Normal 13 13 3" xfId="31029" xr:uid="{27064B7F-D493-4764-A877-5F3F27585D83}"/>
    <cellStyle name="Normal 13 14" xfId="12200" xr:uid="{03C67F53-D489-495B-B521-D04CC130491A}"/>
    <cellStyle name="Normal 13 14 2" xfId="31030" xr:uid="{72D1DE1A-C85C-4D72-9FBB-8247DE3227F0}"/>
    <cellStyle name="Normal 13 14 3" xfId="31031" xr:uid="{6CDE44B7-DE38-4827-BE00-01B952ABEC4A}"/>
    <cellStyle name="Normal 13 15" xfId="12201" xr:uid="{6DA504BC-D41B-4D5A-9AE3-190964D69A40}"/>
    <cellStyle name="Normal 13 15 2" xfId="31032" xr:uid="{9C8B261B-C048-4F47-B887-43ADBE81B61C}"/>
    <cellStyle name="Normal 13 15 3" xfId="31033" xr:uid="{CA8EB2A9-56EB-4986-9601-E0C81096FB86}"/>
    <cellStyle name="Normal 13 16" xfId="12202" xr:uid="{32D4D66A-65CA-4F5E-8DB1-2D953020154F}"/>
    <cellStyle name="Normal 13 16 2" xfId="31034" xr:uid="{BF7D0D70-AA3D-444B-995E-95DD6D8DA54B}"/>
    <cellStyle name="Normal 13 16 3" xfId="31035" xr:uid="{3848B116-4C4A-4B18-9F43-89C449F919F3}"/>
    <cellStyle name="Normal 13 17" xfId="12203" xr:uid="{FFE63E89-3CA6-49DF-843C-5DF9D3E9608D}"/>
    <cellStyle name="Normal 13 18" xfId="12204" xr:uid="{13836C3E-0174-411B-83B8-6B012437A47D}"/>
    <cellStyle name="Normal 13 19" xfId="12205" xr:uid="{F5146CC4-6290-4476-AD89-8298F94EDBA6}"/>
    <cellStyle name="Normal 13 2" xfId="12206" xr:uid="{8780686A-4542-418B-AC6B-AD286C34EE45}"/>
    <cellStyle name="Normal 13 2 10" xfId="31036" xr:uid="{D8DC03A9-6D87-431E-AE6D-E227DF665849}"/>
    <cellStyle name="Normal 13 2 2" xfId="12207" xr:uid="{FCCFA1E9-74DA-4402-AEE2-5C03C79F6B0F}"/>
    <cellStyle name="Normal 13 2 2 2" xfId="31037" xr:uid="{19DF5ED6-C73C-471D-96F0-42DB171825BD}"/>
    <cellStyle name="Normal 13 2 2 3" xfId="31038" xr:uid="{0AC1BD26-385F-42F6-AAD0-A5502D992474}"/>
    <cellStyle name="Normal 13 2 3" xfId="12208" xr:uid="{D4B2C8A6-CD21-452F-80C9-C27ADB1A26B1}"/>
    <cellStyle name="Normal 13 2 3 2" xfId="31039" xr:uid="{8192ED79-0CE5-4548-BDF2-40E6B7E81BE0}"/>
    <cellStyle name="Normal 13 2 3 3" xfId="31040" xr:uid="{8510CD17-73E6-4691-947D-980F79922C6C}"/>
    <cellStyle name="Normal 13 2 4" xfId="12209" xr:uid="{5E0E79B6-870F-46F0-94C2-E2F229406DA5}"/>
    <cellStyle name="Normal 13 2 4 2" xfId="31041" xr:uid="{75A81C00-66FC-4134-83A9-F685D923D305}"/>
    <cellStyle name="Normal 13 2 4 3" xfId="31042" xr:uid="{BEE6BD1B-1461-40DA-A949-8F4328A74AC1}"/>
    <cellStyle name="Normal 13 2 5" xfId="12210" xr:uid="{F693A52E-AB8B-4D00-943C-089BE8ED1D85}"/>
    <cellStyle name="Normal 13 2 5 2" xfId="31043" xr:uid="{D964CEC4-CEAA-4927-829D-00310AC44C7B}"/>
    <cellStyle name="Normal 13 2 5 3" xfId="31044" xr:uid="{0340DF56-33ED-4FE7-8538-720A02147665}"/>
    <cellStyle name="Normal 13 2 6" xfId="12211" xr:uid="{6107E946-3636-40BA-9D75-115396F3A78C}"/>
    <cellStyle name="Normal 13 2 6 2" xfId="31045" xr:uid="{D15B21EC-9661-4809-B81B-1DC8070721AD}"/>
    <cellStyle name="Normal 13 2 6 3" xfId="31046" xr:uid="{7F1F55C5-811E-4F50-B793-C11D5E3EBDCE}"/>
    <cellStyle name="Normal 13 2 7" xfId="12212" xr:uid="{4098A409-0F48-4741-B55F-F5F644B07BFE}"/>
    <cellStyle name="Normal 13 2 7 2" xfId="31047" xr:uid="{FFBCBEBE-B46C-4D9A-921C-776CFC936838}"/>
    <cellStyle name="Normal 13 2 7 3" xfId="31048" xr:uid="{F068B07F-4D60-4397-8D3F-7C06988ABB41}"/>
    <cellStyle name="Normal 13 2 8" xfId="12213" xr:uid="{22116B28-9CF4-45E6-8B4A-2232A19BFFEF}"/>
    <cellStyle name="Normal 13 2 8 2" xfId="31049" xr:uid="{8BECFB43-5FBB-4744-9419-B50BCE25E725}"/>
    <cellStyle name="Normal 13 2 8 3" xfId="31050" xr:uid="{255D1491-0BBC-4EF0-A1E7-20198C9A3D4C}"/>
    <cellStyle name="Normal 13 2 9" xfId="12214" xr:uid="{913F3DDE-7FD3-4078-B76F-5839226A7AD6}"/>
    <cellStyle name="Normal 13 20" xfId="12215" xr:uid="{742B16A0-CD46-409E-812B-F85A0EF755F5}"/>
    <cellStyle name="Normal 13 21" xfId="12216" xr:uid="{9700428B-8E47-44AC-B89D-1462F4961BD9}"/>
    <cellStyle name="Normal 13 22" xfId="12217" xr:uid="{C773904B-EAF0-4B30-9DEB-3E1283426849}"/>
    <cellStyle name="Normal 13 23" xfId="12218" xr:uid="{994FDA99-D0BE-4DB0-AC31-0E0D2828A2E8}"/>
    <cellStyle name="Normal 13 24" xfId="12219" xr:uid="{7A4E86AE-7786-44AD-9BBD-56B9B8264746}"/>
    <cellStyle name="Normal 13 25" xfId="12220" xr:uid="{5A296CB2-5299-485B-8641-6C9727700BF4}"/>
    <cellStyle name="Normal 13 26" xfId="12221" xr:uid="{ADF3C8A9-027C-4236-B0B2-28FFFADBD35B}"/>
    <cellStyle name="Normal 13 27" xfId="12222" xr:uid="{56771A0D-BC25-4785-A6AD-C166F97BFF1A}"/>
    <cellStyle name="Normal 13 28" xfId="12223" xr:uid="{C214C215-897C-445C-8842-06A1014F2A2A}"/>
    <cellStyle name="Normal 13 29" xfId="12224" xr:uid="{6C996C38-4EB4-4736-9C9D-277BA1164E5F}"/>
    <cellStyle name="Normal 13 3" xfId="12225" xr:uid="{EDA535E1-9ACE-4114-B159-A40DE568FFE9}"/>
    <cellStyle name="Normal 13 3 2" xfId="12226" xr:uid="{99263825-FDF4-43D4-8E85-31C8C4FD04B1}"/>
    <cellStyle name="Normal 13 3 2 2" xfId="31051" xr:uid="{1DBA1E66-2731-47A6-8FDD-BD1CC4604874}"/>
    <cellStyle name="Normal 13 3 2 3" xfId="31052" xr:uid="{76E77E99-4AAF-411F-A1BD-05134155030F}"/>
    <cellStyle name="Normal 13 30" xfId="12227" xr:uid="{A508DFC8-6AC4-4138-90C4-F69F3E92C98E}"/>
    <cellStyle name="Normal 13 31" xfId="12228" xr:uid="{6AA8CA2A-A0EB-445B-9259-3B6C6263E0A9}"/>
    <cellStyle name="Normal 13 32" xfId="12229" xr:uid="{5E8DDD67-C128-4A5F-87D9-AAEE6CA5138F}"/>
    <cellStyle name="Normal 13 33" xfId="12230" xr:uid="{49633AF3-13DD-4A59-A0EC-56192B3424A8}"/>
    <cellStyle name="Normal 13 34" xfId="12231" xr:uid="{8E6CCD77-9337-4320-A217-2445C6A972F8}"/>
    <cellStyle name="Normal 13 35" xfId="12232" xr:uid="{0F5102B2-1A9A-402C-A85E-DE8501949204}"/>
    <cellStyle name="Normal 13 36" xfId="12233" xr:uid="{524ACB8E-C063-4F58-B391-77AB30628C13}"/>
    <cellStyle name="Normal 13 37" xfId="12234" xr:uid="{0CD1129F-D58B-4F41-8679-48D805C23839}"/>
    <cellStyle name="Normal 13 38" xfId="12235" xr:uid="{C2E83B36-2192-4A02-AC6C-01F28DCA4E65}"/>
    <cellStyle name="Normal 13 39" xfId="31053" xr:uid="{FCDE71CE-8618-4254-91E6-9AEF2C10A97F}"/>
    <cellStyle name="Normal 13 4" xfId="12236" xr:uid="{DC28E871-4E62-4259-B088-E6E85CD81BDA}"/>
    <cellStyle name="Normal 13 4 2" xfId="12237" xr:uid="{DAE9DD97-3A8C-487A-9264-9BEDE631849B}"/>
    <cellStyle name="Normal 13 4 2 2" xfId="31054" xr:uid="{3CA68881-A84E-4A2C-AA49-5CFF9488DDA2}"/>
    <cellStyle name="Normal 13 4 2 3" xfId="31055" xr:uid="{E1B192CF-B35E-4D01-A266-95EA1196853F}"/>
    <cellStyle name="Normal 13 5" xfId="12238" xr:uid="{4A65D879-2DB0-4726-A46E-895DFBF781A9}"/>
    <cellStyle name="Normal 13 6" xfId="12239" xr:uid="{D1E5CB0D-1016-4CCC-8D58-951AF94D8E33}"/>
    <cellStyle name="Normal 13 7" xfId="12240" xr:uid="{C9AED265-6C8C-461D-AD29-DC729B2E4520}"/>
    <cellStyle name="Normal 13 8" xfId="12241" xr:uid="{447019FE-4067-4BA0-8656-2C05C6A671BE}"/>
    <cellStyle name="Normal 13 9" xfId="12242" xr:uid="{4D33A044-FBF1-49AC-9275-8EF20A107DE1}"/>
    <cellStyle name="Normal 13 9 2" xfId="31056" xr:uid="{02D87191-F183-4089-A6E2-86A2C59F878D}"/>
    <cellStyle name="Normal 13 9 3" xfId="31057" xr:uid="{DAB43D66-C107-4D7E-B692-BE84C8BD49BF}"/>
    <cellStyle name="Normal 14" xfId="12243" xr:uid="{41F4FC85-B2A5-4A5B-A0CA-1DFA58F0F0FA}"/>
    <cellStyle name="Normal 14 10" xfId="12244" xr:uid="{2833E897-CFB1-47D8-AE59-A2882641346F}"/>
    <cellStyle name="Normal 14 10 2" xfId="12245" xr:uid="{7107F1FB-E564-49D9-BDAB-A3EA781B42AB}"/>
    <cellStyle name="Normal 14 10 2 2" xfId="12246" xr:uid="{01E5FAD3-4C7B-4EE5-9930-B9B84605EC26}"/>
    <cellStyle name="Normal 14 10 2 2 2" xfId="31058" xr:uid="{D048D5B6-6D90-464C-95D7-FA1F5CC65744}"/>
    <cellStyle name="Normal 14 10 2 3" xfId="12247" xr:uid="{1CF73158-F6E0-4B7D-BD6B-7D67D02F6F5D}"/>
    <cellStyle name="Normal 14 10 2 4" xfId="12248" xr:uid="{DF49CCCD-721F-46EB-AF37-B9B23E9137B7}"/>
    <cellStyle name="Normal 14 10 3" xfId="12249" xr:uid="{DFB6682A-33B0-4ABB-AC52-F566731F02EB}"/>
    <cellStyle name="Normal 14 10 3 2" xfId="31059" xr:uid="{04B495BD-F18A-45A9-835E-7F455E70CE7F}"/>
    <cellStyle name="Normal 14 10 3 3" xfId="31060" xr:uid="{39C3FD2A-18F9-4123-9318-3536586AE0AC}"/>
    <cellStyle name="Normal 14 10 4" xfId="12250" xr:uid="{14322CA8-1A2C-495E-B97F-E08F6B39FFA2}"/>
    <cellStyle name="Normal 14 10 4 2" xfId="31061" xr:uid="{5412D88B-D661-4BD1-B047-943590E8C12C}"/>
    <cellStyle name="Normal 14 10 5" xfId="12251" xr:uid="{C8339D4E-5473-4943-BB45-5B441F67365D}"/>
    <cellStyle name="Normal 14 11" xfId="12252" xr:uid="{0AC0872F-FCCD-4AC3-9FC1-9BC827211A90}"/>
    <cellStyle name="Normal 14 11 2" xfId="12253" xr:uid="{DC527261-D3BA-45D2-A688-5EC5F90819BE}"/>
    <cellStyle name="Normal 14 11 2 2" xfId="31062" xr:uid="{5CC38A73-99B5-454F-8DC7-EC864FD72D3F}"/>
    <cellStyle name="Normal 14 11 2 3" xfId="31063" xr:uid="{755300FA-A582-452A-92CC-65FB8F34DCC8}"/>
    <cellStyle name="Normal 14 11 3" xfId="12254" xr:uid="{352C1F08-95BC-412F-902C-C49BC142A049}"/>
    <cellStyle name="Normal 14 11 3 2" xfId="31064" xr:uid="{D67EEB2D-7AD7-417D-A93D-E0D9A54F7649}"/>
    <cellStyle name="Normal 14 11 3 3" xfId="31065" xr:uid="{8C9ECBCB-BC63-4B27-A8AE-5A662080AC88}"/>
    <cellStyle name="Normal 14 11 4" xfId="12255" xr:uid="{CB37682A-2751-432C-BA11-2ABB4288D783}"/>
    <cellStyle name="Normal 14 11 4 2" xfId="31066" xr:uid="{06B18E5D-ADAC-4EF3-9AE9-193B4720F11D}"/>
    <cellStyle name="Normal 14 11 5" xfId="12256" xr:uid="{8686E61F-9E59-4659-9380-0EE261ABBDDA}"/>
    <cellStyle name="Normal 14 12" xfId="12257" xr:uid="{F6D2683D-BA76-4AC5-B530-16DFE9472267}"/>
    <cellStyle name="Normal 14 12 2" xfId="12258" xr:uid="{4D9F2EC0-F0CE-487D-9B0E-C6C9113C9509}"/>
    <cellStyle name="Normal 14 12 2 2" xfId="12259" xr:uid="{0D473C41-6D70-4C53-B953-8B8BDF6E1042}"/>
    <cellStyle name="Normal 14 12 2 3" xfId="12260" xr:uid="{518710A5-B06E-4E26-8754-45C62029438C}"/>
    <cellStyle name="Normal 14 12 2 4" xfId="31067" xr:uid="{1289D275-9C5C-4DB0-B06A-4FC15CDDEC60}"/>
    <cellStyle name="Normal 14 12 3" xfId="31068" xr:uid="{AAEEE4F8-C485-4A59-8FC7-A398477928B4}"/>
    <cellStyle name="Normal 14 13" xfId="12261" xr:uid="{D2D8671B-8789-4DDE-9239-34D1D6D113D9}"/>
    <cellStyle name="Normal 14 13 2" xfId="12262" xr:uid="{76BC3359-580F-42B4-9694-02C69FF50676}"/>
    <cellStyle name="Normal 14 13 2 2" xfId="12263" xr:uid="{34C94459-DCB3-49AD-8DB7-75306F21E8E7}"/>
    <cellStyle name="Normal 14 13 2 3" xfId="12264" xr:uid="{A7A70264-6318-44B5-9A50-9F289AAD25B0}"/>
    <cellStyle name="Normal 14 13 2 4" xfId="31069" xr:uid="{6E6834A3-7668-4576-B66A-9142B629384B}"/>
    <cellStyle name="Normal 14 14" xfId="12265" xr:uid="{9E3E6D4D-0668-4427-8D63-4E9888E565D5}"/>
    <cellStyle name="Normal 14 14 2" xfId="12266" xr:uid="{4B287D51-2006-4467-8D76-312050E27D12}"/>
    <cellStyle name="Normal 14 14 2 2" xfId="31070" xr:uid="{D0F616D0-8FD0-4FE2-8C67-0A98BFAC15E2}"/>
    <cellStyle name="Normal 14 14 2 3" xfId="31071" xr:uid="{A962B6FD-4FF7-4DF9-947B-0F6EA7AB7A3C}"/>
    <cellStyle name="Normal 14 14 3" xfId="31072" xr:uid="{973E2E3A-8E39-4A85-BBC2-944F8B13AC39}"/>
    <cellStyle name="Normal 14 14 4" xfId="31073" xr:uid="{33150C95-15E7-4C6B-94D8-89CA4D7CADF0}"/>
    <cellStyle name="Normal 14 15" xfId="12267" xr:uid="{17F1038F-BBFC-420B-9BD7-8941427E6370}"/>
    <cellStyle name="Normal 14 15 2" xfId="12268" xr:uid="{DD99D822-26C6-4CD5-BF6F-F384B4A49BCA}"/>
    <cellStyle name="Normal 14 15 2 2" xfId="31074" xr:uid="{0F22C119-7F00-473D-861D-9FACED8EEDD0}"/>
    <cellStyle name="Normal 14 15 2 3" xfId="31075" xr:uid="{869705D8-CBCD-4C30-8111-85D74EB89FF9}"/>
    <cellStyle name="Normal 14 15 3" xfId="31076" xr:uid="{D36955DD-0780-4FDB-96FA-5D5CD99637DF}"/>
    <cellStyle name="Normal 14 15 4" xfId="31077" xr:uid="{C3705316-F81F-4B2E-B15A-6EAAF5F3B539}"/>
    <cellStyle name="Normal 14 16" xfId="12269" xr:uid="{CF5D882C-DF07-44ED-98CC-131D5588A3AC}"/>
    <cellStyle name="Normal 14 16 2" xfId="31078" xr:uid="{C3715DF9-6D74-4273-BED7-71478A08EBE6}"/>
    <cellStyle name="Normal 14 16 3" xfId="31079" xr:uid="{60D84BAF-A65B-445E-A815-1D9CF4EB3F74}"/>
    <cellStyle name="Normal 14 16 4" xfId="31080" xr:uid="{CC1BC2C4-5B1A-44F6-B709-065D354B502D}"/>
    <cellStyle name="Normal 14 17" xfId="12270" xr:uid="{48B83805-9F0D-4AE5-9727-FB60BB81E887}"/>
    <cellStyle name="Normal 14 17 2" xfId="31081" xr:uid="{20A2D1AB-EEFB-4721-8625-19706554DBD7}"/>
    <cellStyle name="Normal 14 17 3" xfId="31082" xr:uid="{605408EE-EAB1-4412-8564-13B67B08230B}"/>
    <cellStyle name="Normal 14 18" xfId="12271" xr:uid="{DF9FEB2E-11FE-43BB-A183-8201D8B4E2CB}"/>
    <cellStyle name="Normal 14 18 2" xfId="31083" xr:uid="{C8D094ED-66B6-4155-9D69-F9540A7727E1}"/>
    <cellStyle name="Normal 14 18 3" xfId="31084" xr:uid="{DBBCC83E-3333-4E3A-8155-16EC4FE0FBF2}"/>
    <cellStyle name="Normal 14 19" xfId="12272" xr:uid="{CDABAD5F-C678-4652-BAC6-8044D07D0E5C}"/>
    <cellStyle name="Normal 14 2" xfId="12273" xr:uid="{985D846B-F8D6-4DCE-8B6C-EED195598F1A}"/>
    <cellStyle name="Normal 14 2 10" xfId="12274" xr:uid="{DD673DF1-8250-48A0-80E6-2D377ADCB85A}"/>
    <cellStyle name="Normal 14 2 10 2" xfId="31085" xr:uid="{EB06D152-7E7A-43AC-AF45-CDF987B041B2}"/>
    <cellStyle name="Normal 14 2 10 3" xfId="31086" xr:uid="{024D9055-7041-4A5A-A9E5-FF92C0871187}"/>
    <cellStyle name="Normal 14 2 11" xfId="12275" xr:uid="{C07543F4-522B-402F-B54E-8B28FF6D29FA}"/>
    <cellStyle name="Normal 14 2 11 2" xfId="31087" xr:uid="{BB9253C1-B888-43C1-9632-1B6414A3ADB3}"/>
    <cellStyle name="Normal 14 2 11 3" xfId="31088" xr:uid="{EA63312A-63CE-43EC-B391-653C476256BE}"/>
    <cellStyle name="Normal 14 2 12" xfId="12276" xr:uid="{7271BC2A-BCC8-4AEE-9CD7-67E34B017316}"/>
    <cellStyle name="Normal 14 2 12 2" xfId="31089" xr:uid="{32F69702-D581-4EC0-A540-4654F4671171}"/>
    <cellStyle name="Normal 14 2 12 3" xfId="31090" xr:uid="{BFF21F6B-78CF-424A-950A-D871788B593D}"/>
    <cellStyle name="Normal 14 2 13" xfId="12277" xr:uid="{2AD5F650-7B35-47D0-84AD-10875AB17B46}"/>
    <cellStyle name="Normal 14 2 13 2" xfId="31091" xr:uid="{D5FDE20B-65C1-4011-985A-E754FF1A40AF}"/>
    <cellStyle name="Normal 14 2 13 3" xfId="31092" xr:uid="{F3D9DB9A-4C8A-4FAF-B2D8-5B7CB9822707}"/>
    <cellStyle name="Normal 14 2 14" xfId="12278" xr:uid="{2C61BC5B-5C62-4ED9-8B0B-B0A7335FBA8B}"/>
    <cellStyle name="Normal 14 2 14 2" xfId="31093" xr:uid="{04C6BEBB-3DA0-48A4-A80B-76B7C134FDC8}"/>
    <cellStyle name="Normal 14 2 14 3" xfId="31094" xr:uid="{CCB35748-C3D2-4408-BAB7-73D16EA5DD7F}"/>
    <cellStyle name="Normal 14 2 15" xfId="12279" xr:uid="{7FB046FA-BE9D-4B76-A4A4-F322E6967201}"/>
    <cellStyle name="Normal 14 2 15 2" xfId="31095" xr:uid="{FB901593-3BB5-4A3C-8AE6-0C0BE2069CD9}"/>
    <cellStyle name="Normal 14 2 15 3" xfId="31096" xr:uid="{22DC350B-DF2E-4689-A04E-C391D3ABE562}"/>
    <cellStyle name="Normal 14 2 16" xfId="12280" xr:uid="{C8E44F39-C79B-4F4D-933F-7E0442648659}"/>
    <cellStyle name="Normal 14 2 16 2" xfId="31097" xr:uid="{288191F7-563A-4F4C-97B8-D95243EAF2D0}"/>
    <cellStyle name="Normal 14 2 16 3" xfId="31098" xr:uid="{6D4C60F3-2F75-4E55-B778-79F392E3B60F}"/>
    <cellStyle name="Normal 14 2 17" xfId="12281" xr:uid="{31D01826-C1B5-419D-A0B8-3592E89C34CA}"/>
    <cellStyle name="Normal 14 2 17 2" xfId="31099" xr:uid="{D918D3F8-B044-4C42-B08C-317B36204823}"/>
    <cellStyle name="Normal 14 2 17 3" xfId="31100" xr:uid="{C65CDB49-DFEB-4EAF-A277-304919A3BDEF}"/>
    <cellStyle name="Normal 14 2 18" xfId="12282" xr:uid="{FDA54240-013A-4F5C-84AF-EAA8EE5CDF7B}"/>
    <cellStyle name="Normal 14 2 18 2" xfId="31101" xr:uid="{549ECE6E-62D4-4B29-8BFB-DB9BB0337E88}"/>
    <cellStyle name="Normal 14 2 18 3" xfId="31102" xr:uid="{1571071B-80E9-4DAA-9D86-071448798F4D}"/>
    <cellStyle name="Normal 14 2 2" xfId="12283" xr:uid="{A4ADEAEB-701E-4FAF-8B9B-9565B7E93920}"/>
    <cellStyle name="Normal 14 2 2 2" xfId="12284" xr:uid="{21B93694-0209-49AF-8C09-E3847E62E6B6}"/>
    <cellStyle name="Normal 14 2 3" xfId="12285" xr:uid="{D868F986-EE7C-4879-AFDB-0D0A4F17B3DD}"/>
    <cellStyle name="Normal 14 2 4" xfId="12286" xr:uid="{46A72D5A-597F-43FF-8F63-CB2F2DDF1531}"/>
    <cellStyle name="Normal 14 2 5" xfId="12287" xr:uid="{BCE7D966-FBF1-49DC-BB2E-A60D8ECDA938}"/>
    <cellStyle name="Normal 14 2 6" xfId="12288" xr:uid="{333BB0C8-3A1B-4E23-99A1-E1C84351E23F}"/>
    <cellStyle name="Normal 14 2 7" xfId="12289" xr:uid="{DB920C06-ADD1-43B8-9C7F-405D487C471B}"/>
    <cellStyle name="Normal 14 2 8" xfId="12290" xr:uid="{3C0BBD89-F166-4F20-8AF0-D59F6CE017DD}"/>
    <cellStyle name="Normal 14 2 8 2" xfId="12291" xr:uid="{870C0040-1973-4975-92D4-67B518C8A70C}"/>
    <cellStyle name="Normal 14 2 8 3" xfId="31103" xr:uid="{4422C99D-A9E9-49FD-9171-ADC8BDF213EF}"/>
    <cellStyle name="Normal 14 2 9" xfId="12292" xr:uid="{2C8B9607-845B-4312-9BAD-C42C9E2F3463}"/>
    <cellStyle name="Normal 14 2 9 2" xfId="31104" xr:uid="{FF3B9552-A134-42D0-9B77-0C55B78D4D09}"/>
    <cellStyle name="Normal 14 2 9 3" xfId="31105" xr:uid="{D5BEC786-AAB6-41AE-BDC7-309E5B99EFD3}"/>
    <cellStyle name="Normal 14 2 9 4" xfId="31106" xr:uid="{A60D3518-0F99-48D3-B57C-F0FBFC259D4A}"/>
    <cellStyle name="Normal 14 20" xfId="12293" xr:uid="{7133403F-9D8B-4500-827B-42B87685862C}"/>
    <cellStyle name="Normal 14 20 2" xfId="31107" xr:uid="{A8DF286D-69F3-4CC4-89C2-804FE5A2DDDD}"/>
    <cellStyle name="Normal 14 20 3" xfId="31108" xr:uid="{583F6EB9-C044-4D7F-A745-8A6C1255674A}"/>
    <cellStyle name="Normal 14 21" xfId="12294" xr:uid="{571EA72C-A27B-4604-8EED-9D842720068F}"/>
    <cellStyle name="Normal 14 21 2" xfId="31109" xr:uid="{CC5B8091-7477-4AE9-9574-434D09C37B0E}"/>
    <cellStyle name="Normal 14 21 3" xfId="31110" xr:uid="{BC8FE393-F1D3-47DF-82D5-A54C00ADCA76}"/>
    <cellStyle name="Normal 14 22" xfId="12295" xr:uid="{7A84D8B0-17C1-4941-83AA-B3EE6105CED0}"/>
    <cellStyle name="Normal 14 22 2" xfId="31111" xr:uid="{7A06910B-F78D-439F-A3EE-7BBDD9340A18}"/>
    <cellStyle name="Normal 14 22 3" xfId="31112" xr:uid="{CD46D4B9-30FF-4655-AD58-936CBC934E15}"/>
    <cellStyle name="Normal 14 23" xfId="12296" xr:uid="{8BDB788F-1802-47AA-A624-399EC76B6395}"/>
    <cellStyle name="Normal 14 23 2" xfId="31113" xr:uid="{C3C1CBDB-BE3D-416F-8BC3-411CF309E041}"/>
    <cellStyle name="Normal 14 23 3" xfId="31114" xr:uid="{513F7A14-23FD-4E74-9178-B88EFAA08E83}"/>
    <cellStyle name="Normal 14 24" xfId="12297" xr:uid="{F954476C-09B3-4364-9706-9194521ABB33}"/>
    <cellStyle name="Normal 14 24 2" xfId="31115" xr:uid="{0BD449DF-57CB-4E5D-814A-225E4BA36F97}"/>
    <cellStyle name="Normal 14 24 3" xfId="31116" xr:uid="{DA822423-9ACF-4016-BC75-184094A9FBA7}"/>
    <cellStyle name="Normal 14 25" xfId="12298" xr:uid="{7D84D40F-0E0E-4639-8F2F-A5492D0B904C}"/>
    <cellStyle name="Normal 14 25 2" xfId="31117" xr:uid="{946F355B-1E4D-4AF0-82A6-9202E6228E80}"/>
    <cellStyle name="Normal 14 26" xfId="12299" xr:uid="{698BFE31-F9CD-4278-B7F2-509A9E6A773A}"/>
    <cellStyle name="Normal 14 27" xfId="31118" xr:uid="{8FD1F9A1-D22C-41D2-BD49-CCE515EB4858}"/>
    <cellStyle name="Normal 14 3" xfId="12300" xr:uid="{FBB00CCD-B418-4303-86FC-41204445CFC0}"/>
    <cellStyle name="Normal 14 3 10" xfId="12301" xr:uid="{9F7901F6-16E0-4CC4-8EB0-FE4D17DB0444}"/>
    <cellStyle name="Normal 14 3 10 2" xfId="31119" xr:uid="{0F728977-0D97-46AB-8A8D-37BDBFEC8A6B}"/>
    <cellStyle name="Normal 14 3 10 3" xfId="31120" xr:uid="{5F75EA10-A8A9-4907-9F50-F7CFE83A7BAF}"/>
    <cellStyle name="Normal 14 3 11" xfId="12302" xr:uid="{AE443436-94DD-459E-AD88-25458ADEBA13}"/>
    <cellStyle name="Normal 14 3 11 2" xfId="31121" xr:uid="{3137518B-78BF-4078-865C-6D12AC76927C}"/>
    <cellStyle name="Normal 14 3 11 3" xfId="31122" xr:uid="{2B778BDF-19D8-4623-A128-ED89C3CC0055}"/>
    <cellStyle name="Normal 14 3 12" xfId="12303" xr:uid="{703D11E5-2D2B-45D7-9128-CED14B60AEFB}"/>
    <cellStyle name="Normal 14 3 12 2" xfId="31123" xr:uid="{D6CB2039-C151-447B-8690-DC1868698276}"/>
    <cellStyle name="Normal 14 3 12 3" xfId="31124" xr:uid="{26AAC6DA-17EF-4C6B-A009-9E56A5780740}"/>
    <cellStyle name="Normal 14 3 13" xfId="12304" xr:uid="{35034F5C-8764-4076-B8B5-FCEFBE19B218}"/>
    <cellStyle name="Normal 14 3 13 2" xfId="31125" xr:uid="{8AD8FE67-0118-48B2-94AF-A5B420A18FA9}"/>
    <cellStyle name="Normal 14 3 13 3" xfId="31126" xr:uid="{12712E15-78A8-43CC-A56A-11D9FDA51D1D}"/>
    <cellStyle name="Normal 14 3 14" xfId="12305" xr:uid="{498E911B-0B11-4E0D-AC8A-BDF431743B08}"/>
    <cellStyle name="Normal 14 3 14 2" xfId="31127" xr:uid="{F2E0DE17-FE1C-4E75-B5AC-F6DFC054AA37}"/>
    <cellStyle name="Normal 14 3 14 3" xfId="31128" xr:uid="{C7795978-DB0A-4F41-8B2F-DC868848EB0E}"/>
    <cellStyle name="Normal 14 3 15" xfId="12306" xr:uid="{5ACA18B7-E2E0-4267-B335-7BADA6D85EAD}"/>
    <cellStyle name="Normal 14 3 15 2" xfId="31129" xr:uid="{1B5414A3-6B5E-4DDF-8434-71796D81533A}"/>
    <cellStyle name="Normal 14 3 15 3" xfId="31130" xr:uid="{24FEDCD2-9824-487C-8A09-DC33037253C9}"/>
    <cellStyle name="Normal 14 3 16" xfId="12307" xr:uid="{F3C5EF66-4174-4FC2-825E-5DB9F7EC0D1E}"/>
    <cellStyle name="Normal 14 3 16 2" xfId="31131" xr:uid="{F6B97BF8-CE78-40A3-B698-EA8D61A89D7D}"/>
    <cellStyle name="Normal 14 3 16 3" xfId="31132" xr:uid="{E691C7FA-65AA-4797-AF99-E922915A8D4F}"/>
    <cellStyle name="Normal 14 3 17" xfId="12308" xr:uid="{579A52D9-9CAC-4297-BE35-61B1DF744526}"/>
    <cellStyle name="Normal 14 3 17 2" xfId="31133" xr:uid="{16E491D3-D5E8-40A4-97E2-20ABF33C2CF7}"/>
    <cellStyle name="Normal 14 3 17 3" xfId="31134" xr:uid="{348DDF37-A63D-48B8-8305-E19248B25E69}"/>
    <cellStyle name="Normal 14 3 2" xfId="12309" xr:uid="{9326B04C-DFB9-43D3-9C59-578D43EC3698}"/>
    <cellStyle name="Normal 14 3 2 2" xfId="12310" xr:uid="{E19CBF34-955F-499D-A421-A001853B29CB}"/>
    <cellStyle name="Normal 14 3 3" xfId="12311" xr:uid="{347F91CD-92F9-46B0-ABE4-A46B33AE563A}"/>
    <cellStyle name="Normal 14 3 4" xfId="12312" xr:uid="{5216F99E-4612-4A6B-8474-1B91170C2461}"/>
    <cellStyle name="Normal 14 3 5" xfId="12313" xr:uid="{09017B44-529F-4D65-85DA-CE3818E1FACE}"/>
    <cellStyle name="Normal 14 3 6" xfId="12314" xr:uid="{0D860ADF-84BF-4C6F-BA24-0BDF79DE1154}"/>
    <cellStyle name="Normal 14 3 7" xfId="12315" xr:uid="{4E0E00D0-9D13-41E1-8C8D-148F301E2F77}"/>
    <cellStyle name="Normal 14 3 8" xfId="12316" xr:uid="{F2F32162-CFE1-4D91-A60C-265C977BD516}"/>
    <cellStyle name="Normal 14 3 8 2" xfId="12317" xr:uid="{32D45783-89F3-40BB-B9A6-934B64DFF8C9}"/>
    <cellStyle name="Normal 14 3 9" xfId="12318" xr:uid="{2740E2D1-25FB-4B7C-A664-DC3E73EA5EEE}"/>
    <cellStyle name="Normal 14 3 9 2" xfId="31135" xr:uid="{86A7C1A7-7769-4A92-A791-99567CD68755}"/>
    <cellStyle name="Normal 14 3 9 3" xfId="31136" xr:uid="{FA17A4CD-FF10-48FE-8CCB-3FEA86472DA4}"/>
    <cellStyle name="Normal 14 4" xfId="12319" xr:uid="{29964099-3646-42A0-B689-4AE1EBADB068}"/>
    <cellStyle name="Normal 14 4 2" xfId="12320" xr:uid="{6BF891BA-DDDD-4FE5-ABD6-29163C8D2574}"/>
    <cellStyle name="Normal 14 4 2 2" xfId="12321" xr:uid="{9305AE53-00F2-48BF-8B28-6D8F7E0888C6}"/>
    <cellStyle name="Normal 14 4 3" xfId="12322" xr:uid="{BD9483A3-A9FC-4CA6-8902-EE75845FA3AA}"/>
    <cellStyle name="Normal 14 4 4" xfId="12323" xr:uid="{6D7A1D07-CF60-4C44-A666-FFAE6FFA84E8}"/>
    <cellStyle name="Normal 14 4 5" xfId="12324" xr:uid="{083D679F-2FDE-467D-ACD2-CBFCBAF3A373}"/>
    <cellStyle name="Normal 14 4 6" xfId="12325" xr:uid="{58A3A0F9-E8C2-4774-8D1B-DB9E73BAF341}"/>
    <cellStyle name="Normal 14 4 7" xfId="12326" xr:uid="{781E587F-AB64-496A-90BA-8E5F7D334F90}"/>
    <cellStyle name="Normal 14 4 8" xfId="12327" xr:uid="{8AE68A58-BDEE-416D-8CF5-3D5455C64DD2}"/>
    <cellStyle name="Normal 14 4 8 2" xfId="12328" xr:uid="{A6A60E24-D6BB-41CA-A986-F866C6C8E0AC}"/>
    <cellStyle name="Normal 14 4 9" xfId="12329" xr:uid="{85878263-5534-4404-9712-CD931DC11445}"/>
    <cellStyle name="Normal 14 4 9 2" xfId="31137" xr:uid="{552BEE81-F081-457E-8B93-2E4D8D00DCBD}"/>
    <cellStyle name="Normal 14 4 9 3" xfId="31138" xr:uid="{60B3E2CF-B21D-4696-97A0-3892E5F70E68}"/>
    <cellStyle name="Normal 14 5" xfId="12330" xr:uid="{DF1F4A29-A135-43E4-90C1-0617D264CF9F}"/>
    <cellStyle name="Normal 14 5 2" xfId="12331" xr:uid="{8F9E7890-1D70-457F-A8F0-5CF83A6B1683}"/>
    <cellStyle name="Normal 14 5 2 2" xfId="12332" xr:uid="{602ADDC4-7312-4732-93F5-1D0C5978B518}"/>
    <cellStyle name="Normal 14 5 3" xfId="12333" xr:uid="{D0CA1C5A-B963-445B-B53F-B068A673C79C}"/>
    <cellStyle name="Normal 14 5 4" xfId="12334" xr:uid="{64AA7235-E5AA-4FEE-9156-B33DE33E4FD7}"/>
    <cellStyle name="Normal 14 5 5" xfId="12335" xr:uid="{F1161AFD-C213-4DE4-9040-B2C9FBE64D35}"/>
    <cellStyle name="Normal 14 5 6" xfId="12336" xr:uid="{BAAE1784-9FCD-4AAC-B247-E7EE8E6EAF17}"/>
    <cellStyle name="Normal 14 5 7" xfId="12337" xr:uid="{F8E807DA-8766-48C3-9361-13D2CE6C93CD}"/>
    <cellStyle name="Normal 14 5 8" xfId="12338" xr:uid="{EF63E492-2A5B-4D4A-9C23-78724DB7B26F}"/>
    <cellStyle name="Normal 14 5 8 2" xfId="12339" xr:uid="{47E6944A-8F0B-48BD-B485-70C25601A66F}"/>
    <cellStyle name="Normal 14 5 9" xfId="12340" xr:uid="{AE8E088B-2E51-463B-B2B5-19DC24EAED6C}"/>
    <cellStyle name="Normal 14 5 9 2" xfId="31139" xr:uid="{A7312061-8E0F-4A37-BF03-ADBF0E97AFEB}"/>
    <cellStyle name="Normal 14 5 9 3" xfId="31140" xr:uid="{555F0559-0EA2-4D26-A64F-D9CD90D8383A}"/>
    <cellStyle name="Normal 14 6" xfId="12341" xr:uid="{1959AAE1-F90D-4B01-B7DE-E252FB3CB29A}"/>
    <cellStyle name="Normal 14 6 2" xfId="12342" xr:uid="{17D12DD0-1451-4DA8-8994-F6099E649B3F}"/>
    <cellStyle name="Normal 14 6 2 2" xfId="12343" xr:uid="{497A81F4-65F9-4F86-806A-029180533A66}"/>
    <cellStyle name="Normal 14 6 3" xfId="12344" xr:uid="{5ADF1FB1-91AF-4DE4-8EE0-6975358F22B6}"/>
    <cellStyle name="Normal 14 6 4" xfId="12345" xr:uid="{A1ABB312-E265-4CE3-B0FC-A200BDF8F864}"/>
    <cellStyle name="Normal 14 6 5" xfId="12346" xr:uid="{FB466788-504C-475B-AFC3-1E7D26B14085}"/>
    <cellStyle name="Normal 14 6 6" xfId="12347" xr:uid="{27E77F93-4A41-42A2-AA44-F51250A90B77}"/>
    <cellStyle name="Normal 14 6 7" xfId="12348" xr:uid="{2BDFA30A-DF00-4034-8F8B-89F66609C8FA}"/>
    <cellStyle name="Normal 14 6 8" xfId="12349" xr:uid="{6A4455B8-109E-4723-9F7B-9518C04D136B}"/>
    <cellStyle name="Normal 14 6 8 2" xfId="12350" xr:uid="{39ACC83B-D2A2-4DC4-B35F-F109C8F24784}"/>
    <cellStyle name="Normal 14 7" xfId="12351" xr:uid="{057A9FDE-B925-496B-8374-F2B3C4761807}"/>
    <cellStyle name="Normal 14 8" xfId="12352" xr:uid="{F83A9EAF-9AC5-4F2D-B125-4C348C8B5F9D}"/>
    <cellStyle name="Normal 14 8 2" xfId="12353" xr:uid="{F69CB15C-5A6B-4B92-952E-FBBB3AE676CE}"/>
    <cellStyle name="Normal 14 8 2 2" xfId="12354" xr:uid="{A3EB0EFC-650A-47E6-AE20-CA72153FC407}"/>
    <cellStyle name="Normal 14 8 2 2 2" xfId="31141" xr:uid="{BA6F7570-CFBB-464F-9ABC-EF13D3BFD1FF}"/>
    <cellStyle name="Normal 14 8 2 3" xfId="12355" xr:uid="{99BCCF4B-EFE4-4793-BE86-D442FE2E2912}"/>
    <cellStyle name="Normal 14 8 2 4" xfId="12356" xr:uid="{5923D11D-1764-445B-8082-0A6B3AD27BDC}"/>
    <cellStyle name="Normal 14 8 3" xfId="12357" xr:uid="{6F62D492-366C-4254-A22A-C1F35C4E5750}"/>
    <cellStyle name="Normal 14 8 3 2" xfId="12358" xr:uid="{BD392262-36EB-4E5D-BB82-A098C434E0B4}"/>
    <cellStyle name="Normal 14 8 3 3" xfId="12359" xr:uid="{DCA44F50-B46F-4A9C-A2C1-B6625859464E}"/>
    <cellStyle name="Normal 14 8 4" xfId="12360" xr:uid="{EBE8E176-6049-422F-AF2E-3B6C9CB0FE2A}"/>
    <cellStyle name="Normal 14 8 4 2" xfId="31142" xr:uid="{69CAD438-99F4-43E0-A261-6925C71F9205}"/>
    <cellStyle name="Normal 14 8 5" xfId="12361" xr:uid="{6FA3D3C8-0997-4829-AE60-260E0A0AE463}"/>
    <cellStyle name="Normal 14 9" xfId="12362" xr:uid="{04CE8964-6D06-4A0F-B0EA-B7BB17F3B840}"/>
    <cellStyle name="Normal 14 9 2" xfId="12363" xr:uid="{F54C054C-D5FA-4089-A2BE-CBCF2F7FD8CD}"/>
    <cellStyle name="Normal 14 9 2 2" xfId="12364" xr:uid="{C65C9476-F5DF-4604-9435-D3E5BB191640}"/>
    <cellStyle name="Normal 14 9 2 2 2" xfId="31143" xr:uid="{88EB1C0B-1987-45BE-9BCC-B8908A5DB347}"/>
    <cellStyle name="Normal 14 9 2 3" xfId="12365" xr:uid="{8F4B9043-41D4-428E-A502-85B6C3E478DD}"/>
    <cellStyle name="Normal 14 9 2 4" xfId="12366" xr:uid="{A1F31DF3-A5FB-426F-AE1B-F08A74343AD5}"/>
    <cellStyle name="Normal 14 9 3" xfId="12367" xr:uid="{9549BC22-9E1F-4802-AE1C-312A4E388AD9}"/>
    <cellStyle name="Normal 14 9 3 2" xfId="12368" xr:uid="{577FC4C1-2470-4420-B521-691A58E0C40A}"/>
    <cellStyle name="Normal 14 9 3 3" xfId="12369" xr:uid="{C11F48BB-9A14-4760-8EAB-38F497F4106E}"/>
    <cellStyle name="Normal 14 9 4" xfId="12370" xr:uid="{344D7C0C-8594-449E-A0D8-679A712C044A}"/>
    <cellStyle name="Normal 14 9 4 2" xfId="31144" xr:uid="{837FE85C-9C80-4590-90F5-32CC526E1A47}"/>
    <cellStyle name="Normal 14 9 5" xfId="12371" xr:uid="{355DC26E-A6DA-4659-A741-1876DDFE628B}"/>
    <cellStyle name="Normal 15" xfId="12372" xr:uid="{F730E507-FC8A-4A0D-A1FD-B88F6777C5B3}"/>
    <cellStyle name="Normal 15 10" xfId="12373" xr:uid="{428D805B-82F6-43D7-B167-2CA2C82856D6}"/>
    <cellStyle name="Normal 15 11" xfId="12374" xr:uid="{7650E717-1102-43A4-B1D5-6DD08CBCA8D2}"/>
    <cellStyle name="Normal 15 12" xfId="12375" xr:uid="{4637762A-0A0A-452A-967C-1F266074BC25}"/>
    <cellStyle name="Normal 15 13" xfId="12376" xr:uid="{AFB80E67-6BF4-47AA-BCDE-ADBF5E4C8895}"/>
    <cellStyle name="Normal 15 13 2" xfId="12377" xr:uid="{6C69CD03-6F97-4939-A70C-B8304B7A83A4}"/>
    <cellStyle name="Normal 15 14" xfId="12378" xr:uid="{43B4D3ED-45BD-475C-9460-7E01B2A7325D}"/>
    <cellStyle name="Normal 15 14 2" xfId="31145" xr:uid="{2F2C9FA2-2722-4BCB-A6D1-49C95AE23E52}"/>
    <cellStyle name="Normal 15 14 3" xfId="31146" xr:uid="{F3001D26-F0ED-46C0-A267-B8CA2DB4BC3F}"/>
    <cellStyle name="Normal 15 15" xfId="12379" xr:uid="{BD8912C2-3D8B-436F-B96C-E2E0ED818BA8}"/>
    <cellStyle name="Normal 15 15 2" xfId="31147" xr:uid="{40F5B127-2401-4348-AB01-CECF618A7A61}"/>
    <cellStyle name="Normal 15 15 3" xfId="31148" xr:uid="{AF52A651-F339-44AB-A4B9-C20CD3877E26}"/>
    <cellStyle name="Normal 15 16" xfId="12380" xr:uid="{58025241-5671-4270-92D8-1E895F6402B2}"/>
    <cellStyle name="Normal 15 16 2" xfId="31149" xr:uid="{E838A1D8-F24E-40B2-9CAE-881B9D2A1E00}"/>
    <cellStyle name="Normal 15 16 3" xfId="31150" xr:uid="{C1E4D7FD-204E-4039-A3D6-4573012803B4}"/>
    <cellStyle name="Normal 15 17" xfId="12381" xr:uid="{F966036C-AF52-452C-8577-D2050CED80F7}"/>
    <cellStyle name="Normal 15 17 2" xfId="31151" xr:uid="{91FD7A20-BE89-49DD-A238-57C0F697D623}"/>
    <cellStyle name="Normal 15 17 3" xfId="31152" xr:uid="{3F9F17A7-9F3B-445F-A91E-0332E9E196C1}"/>
    <cellStyle name="Normal 15 18" xfId="12382" xr:uid="{A9075AE3-A5C9-4ED3-8283-141A54AABCB3}"/>
    <cellStyle name="Normal 15 19" xfId="12383" xr:uid="{D9C361C1-0E56-4BD0-B209-724B3D78BD68}"/>
    <cellStyle name="Normal 15 19 2" xfId="31153" xr:uid="{3F44FDB5-DF08-44B8-8CA1-8F8600C4D929}"/>
    <cellStyle name="Normal 15 19 3" xfId="31154" xr:uid="{24EAF712-F0E3-47B5-8C1E-BBBED65B47AD}"/>
    <cellStyle name="Normal 15 2" xfId="12384" xr:uid="{84AE02F2-0EA1-4A70-B82B-020185C3A8C6}"/>
    <cellStyle name="Normal 15 2 10" xfId="12385" xr:uid="{F56E8D2D-8DAB-44F1-9A32-220DEF660958}"/>
    <cellStyle name="Normal 15 2 10 2" xfId="31155" xr:uid="{22CD42A2-622E-4A2C-B544-D099BAEF57F2}"/>
    <cellStyle name="Normal 15 2 10 3" xfId="31156" xr:uid="{5268727C-4944-484D-A34A-C7945397D4C5}"/>
    <cellStyle name="Normal 15 2 11" xfId="12386" xr:uid="{6A05A481-22A7-40D4-AB44-93893F205838}"/>
    <cellStyle name="Normal 15 2 11 2" xfId="31157" xr:uid="{51784DA8-A765-4CD2-8893-AE5C38B59245}"/>
    <cellStyle name="Normal 15 2 11 3" xfId="31158" xr:uid="{D749AB9E-97DE-446E-876D-2121DBA508E5}"/>
    <cellStyle name="Normal 15 2 12" xfId="12387" xr:uid="{2C7742D9-BFF9-4629-8349-5BC851D42F34}"/>
    <cellStyle name="Normal 15 2 12 2" xfId="31159" xr:uid="{F4ECED07-66A1-4A04-986C-1EDCAC1357C9}"/>
    <cellStyle name="Normal 15 2 12 3" xfId="31160" xr:uid="{087183DD-39DB-48C8-BDB1-E76B0C534575}"/>
    <cellStyle name="Normal 15 2 13" xfId="12388" xr:uid="{04C8C86E-933F-4991-928C-EAAE9FCECF81}"/>
    <cellStyle name="Normal 15 2 13 2" xfId="31161" xr:uid="{18C1F38B-BB8C-4D24-8864-622A58017B81}"/>
    <cellStyle name="Normal 15 2 13 3" xfId="31162" xr:uid="{E5AA24B0-92AA-4747-864D-414036AA346D}"/>
    <cellStyle name="Normal 15 2 14" xfId="12389" xr:uid="{039C8C21-3C95-40A1-B5FA-3AA7C970CDE5}"/>
    <cellStyle name="Normal 15 2 14 2" xfId="31163" xr:uid="{7C069B22-DFD3-4D9A-9D20-E2B165FAF12C}"/>
    <cellStyle name="Normal 15 2 14 3" xfId="31164" xr:uid="{A680AD21-3C34-4756-9ACD-D9C5FD9694DD}"/>
    <cellStyle name="Normal 15 2 15" xfId="12390" xr:uid="{ABBBA856-AFF2-4DBB-A408-3496DF94F976}"/>
    <cellStyle name="Normal 15 2 15 2" xfId="31165" xr:uid="{911C83E8-C134-437A-A459-78A97F296ED5}"/>
    <cellStyle name="Normal 15 2 15 3" xfId="31166" xr:uid="{1BFE3967-9E27-4909-B2C4-65347B076451}"/>
    <cellStyle name="Normal 15 2 16" xfId="12391" xr:uid="{F199740E-1225-4736-BF60-839F2C121636}"/>
    <cellStyle name="Normal 15 2 16 2" xfId="31167" xr:uid="{A17073F3-72E7-45C1-8E46-4F7497E41F34}"/>
    <cellStyle name="Normal 15 2 16 3" xfId="31168" xr:uid="{1B99C9BF-9401-4A0B-950B-BAAA31E3686A}"/>
    <cellStyle name="Normal 15 2 17" xfId="12392" xr:uid="{CF95AA97-8517-449C-B50F-EFAC26FA7867}"/>
    <cellStyle name="Normal 15 2 17 2" xfId="31169" xr:uid="{1A3BB0C4-2A7B-4232-92D3-EB5AF118485D}"/>
    <cellStyle name="Normal 15 2 17 3" xfId="31170" xr:uid="{4783EDD9-B8A6-45EF-BE41-2673368FAB3A}"/>
    <cellStyle name="Normal 15 2 2" xfId="12393" xr:uid="{11974483-4074-4A20-8F5B-3731BAA699FF}"/>
    <cellStyle name="Normal 15 2 2 2" xfId="12394" xr:uid="{CC6891CD-69C1-4D0F-97CC-435BBA856FEE}"/>
    <cellStyle name="Normal 15 2 3" xfId="12395" xr:uid="{B44B16E0-C5F9-40C0-BF97-4B1E4E9BA830}"/>
    <cellStyle name="Normal 15 2 3 2" xfId="31171" xr:uid="{E88FFC3A-AD7E-4925-8ADA-8BF0DA9E085C}"/>
    <cellStyle name="Normal 15 2 4" xfId="12396" xr:uid="{376C4C1C-4CEB-47BF-82CB-ABEBB4D6AF44}"/>
    <cellStyle name="Normal 15 2 5" xfId="12397" xr:uid="{81B9EB1C-A102-42C6-AE75-42B650127E1F}"/>
    <cellStyle name="Normal 15 2 6" xfId="12398" xr:uid="{6FA78410-E56C-40A7-83BD-465D0C64CF1F}"/>
    <cellStyle name="Normal 15 2 7" xfId="12399" xr:uid="{21AFA582-DFAD-4C84-AA8C-9483975CAD4C}"/>
    <cellStyle name="Normal 15 2 8" xfId="12400" xr:uid="{E7734E6B-BDE6-4E9F-BD3C-A121BA6B7689}"/>
    <cellStyle name="Normal 15 2 8 2" xfId="12401" xr:uid="{83522AB1-DE25-4C7D-8502-54721570FD32}"/>
    <cellStyle name="Normal 15 2 9" xfId="12402" xr:uid="{8FC205A7-FFEA-443A-986C-4B718F19AFAF}"/>
    <cellStyle name="Normal 15 2 9 2" xfId="31172" xr:uid="{FB8D0C55-5D9F-4852-AFF5-8D87D1DDD876}"/>
    <cellStyle name="Normal 15 2 9 3" xfId="31173" xr:uid="{61ED1584-5786-418B-BB0C-193D897BB7FC}"/>
    <cellStyle name="Normal 15 20" xfId="12403" xr:uid="{30DA2603-BA74-4EB8-8768-C3C08C43B6EC}"/>
    <cellStyle name="Normal 15 20 2" xfId="31174" xr:uid="{4D83CCEA-EBA3-4CE5-A08B-58E0239C1D89}"/>
    <cellStyle name="Normal 15 20 3" xfId="31175" xr:uid="{5C2A3895-A7DD-4AEE-9B19-FB456E5F5AE9}"/>
    <cellStyle name="Normal 15 21" xfId="12404" xr:uid="{13927C38-291E-41D7-B4A1-214C663DC384}"/>
    <cellStyle name="Normal 15 21 2" xfId="31176" xr:uid="{3B757A96-9677-45D5-9E7E-2A351038E5C6}"/>
    <cellStyle name="Normal 15 21 3" xfId="31177" xr:uid="{B4BCC8D7-AEA0-4E49-A2EE-5458F6E0C55E}"/>
    <cellStyle name="Normal 15 22" xfId="12405" xr:uid="{99E249A4-929D-4BBE-B275-95BD4E45273F}"/>
    <cellStyle name="Normal 15 22 2" xfId="31178" xr:uid="{8583CF44-2590-467A-AE51-12369E2E2962}"/>
    <cellStyle name="Normal 15 22 3" xfId="31179" xr:uid="{C6D40ACA-8CAE-451C-A1CC-9B38307D3F12}"/>
    <cellStyle name="Normal 15 23" xfId="12406" xr:uid="{E60BFA7B-3FCE-4E09-8DE2-8AF61B9F2973}"/>
    <cellStyle name="Normal 15 23 2" xfId="31180" xr:uid="{BAC3CDCB-FC44-43AB-B908-25395843BAFF}"/>
    <cellStyle name="Normal 15 23 3" xfId="31181" xr:uid="{2E5698B8-9DF2-4881-AAC7-8D370864E3A8}"/>
    <cellStyle name="Normal 15 24" xfId="12407" xr:uid="{5B2E67CC-C2B4-4258-928F-A126BBA0DF58}"/>
    <cellStyle name="Normal 15 25" xfId="31182" xr:uid="{E8CCCE38-39DE-480A-9CD1-88DDF159142F}"/>
    <cellStyle name="Normal 15 3" xfId="12408" xr:uid="{325AA087-A284-421F-A475-74509CD1A125}"/>
    <cellStyle name="Normal 15 3 10" xfId="12409" xr:uid="{947D6A9E-07FC-402F-82E0-A8CCD402CB86}"/>
    <cellStyle name="Normal 15 3 10 2" xfId="31183" xr:uid="{038EEE3E-B7A0-4C85-83D2-63196C9F6F7D}"/>
    <cellStyle name="Normal 15 3 10 3" xfId="31184" xr:uid="{6366A36A-9189-4321-958C-03FA13C6F5B6}"/>
    <cellStyle name="Normal 15 3 11" xfId="12410" xr:uid="{A11BF895-BD30-47C7-8C0C-EA1DAF462FF9}"/>
    <cellStyle name="Normal 15 3 11 2" xfId="31185" xr:uid="{6552A634-9DB1-4149-8C71-70E5C5F5675E}"/>
    <cellStyle name="Normal 15 3 11 3" xfId="31186" xr:uid="{4879C407-ECD5-4EA0-ABBB-BF09DED8F053}"/>
    <cellStyle name="Normal 15 3 12" xfId="12411" xr:uid="{602ADADA-5425-4687-A7AC-1F8F3BD60561}"/>
    <cellStyle name="Normal 15 3 12 2" xfId="31187" xr:uid="{3D04F4F2-EE74-4301-87B9-B136FDA1E78A}"/>
    <cellStyle name="Normal 15 3 12 3" xfId="31188" xr:uid="{73A4196A-A293-49F1-8CE3-8F8CDAA771B0}"/>
    <cellStyle name="Normal 15 3 13" xfId="12412" xr:uid="{E34F679B-9614-47F8-A698-E6F0A9A539D0}"/>
    <cellStyle name="Normal 15 3 13 2" xfId="31189" xr:uid="{06423A2A-FA90-4F97-BE3F-65EC39A2F3DF}"/>
    <cellStyle name="Normal 15 3 13 3" xfId="31190" xr:uid="{7AA8EE58-0396-4C17-8CD1-A5C8C15E56CE}"/>
    <cellStyle name="Normal 15 3 14" xfId="12413" xr:uid="{B6336A92-A1ED-42F6-A4BD-4B39ED73CB05}"/>
    <cellStyle name="Normal 15 3 14 2" xfId="31191" xr:uid="{D4AB2204-673A-47A3-ADA6-016BF22AF183}"/>
    <cellStyle name="Normal 15 3 14 3" xfId="31192" xr:uid="{E6A336FC-A68A-4F92-A910-503317FECAA8}"/>
    <cellStyle name="Normal 15 3 15" xfId="12414" xr:uid="{50DC2192-12D7-488D-B2BA-F35F23126397}"/>
    <cellStyle name="Normal 15 3 15 2" xfId="31193" xr:uid="{ADF36160-26D2-4F97-8578-92F622439B03}"/>
    <cellStyle name="Normal 15 3 15 3" xfId="31194" xr:uid="{2FB7667B-F52E-4971-9C1F-2640DDA91E70}"/>
    <cellStyle name="Normal 15 3 16" xfId="12415" xr:uid="{EDBEE154-8326-4577-BA13-F8C8D7380F45}"/>
    <cellStyle name="Normal 15 3 16 2" xfId="31195" xr:uid="{0FCC2F69-1D2B-4462-9C01-F83114F8F1CA}"/>
    <cellStyle name="Normal 15 3 16 3" xfId="31196" xr:uid="{07DCD856-9CD0-416A-A696-074529F6242C}"/>
    <cellStyle name="Normal 15 3 17" xfId="12416" xr:uid="{2DA1BC2E-6D0C-436D-BB0C-8F0F60AA4423}"/>
    <cellStyle name="Normal 15 3 17 2" xfId="31197" xr:uid="{3EDAD225-145E-4002-A4E4-B9682358E723}"/>
    <cellStyle name="Normal 15 3 17 3" xfId="31198" xr:uid="{AEF02A95-4714-4031-A0CB-A50FF8A12E1E}"/>
    <cellStyle name="Normal 15 3 2" xfId="12417" xr:uid="{70960F33-A774-4F56-85BA-D1464CB8044B}"/>
    <cellStyle name="Normal 15 3 2 2" xfId="12418" xr:uid="{2DC28ED4-D0C3-445C-B635-9D4A1524BB23}"/>
    <cellStyle name="Normal 15 3 3" xfId="12419" xr:uid="{EF9606C9-0992-45CA-A7F8-5D10E6340138}"/>
    <cellStyle name="Normal 15 3 4" xfId="12420" xr:uid="{8CC2191C-CAE5-4C9D-A735-AF05218CF3DB}"/>
    <cellStyle name="Normal 15 3 5" xfId="12421" xr:uid="{28622A35-3BFD-43A0-811C-2410DB93E600}"/>
    <cellStyle name="Normal 15 3 6" xfId="12422" xr:uid="{2A2C5053-6095-4021-BA75-3108C2F3123C}"/>
    <cellStyle name="Normal 15 3 7" xfId="12423" xr:uid="{93BD5465-C6CF-4254-804C-409FED20F8B4}"/>
    <cellStyle name="Normal 15 3 8" xfId="12424" xr:uid="{8248CA17-1222-4315-B304-773A9D5B875E}"/>
    <cellStyle name="Normal 15 3 8 2" xfId="12425" xr:uid="{DC16D3F8-7E6B-47F2-8A3A-F9AD6F2DA439}"/>
    <cellStyle name="Normal 15 3 9" xfId="12426" xr:uid="{C5AA566B-F874-4087-B226-15EA2DDD6DD9}"/>
    <cellStyle name="Normal 15 3 9 2" xfId="31199" xr:uid="{E82ECD17-1116-4DCC-B835-EA243AB51C65}"/>
    <cellStyle name="Normal 15 3 9 3" xfId="31200" xr:uid="{ED3EFA64-9EE8-414E-8883-FB66B2B4B58E}"/>
    <cellStyle name="Normal 15 4" xfId="12427" xr:uid="{8B0C5066-5CC0-4411-85AF-03A0483B5EF7}"/>
    <cellStyle name="Normal 15 4 2" xfId="12428" xr:uid="{5AD1AC01-96BE-4B42-A7C8-A64B2D5D7217}"/>
    <cellStyle name="Normal 15 4 2 2" xfId="12429" xr:uid="{825ADFAD-C27B-4C4B-AA49-96A0D3095174}"/>
    <cellStyle name="Normal 15 4 3" xfId="12430" xr:uid="{5DAF6A01-F05D-42B7-85EF-9F3E35603E52}"/>
    <cellStyle name="Normal 15 4 4" xfId="12431" xr:uid="{43B5EDE5-ABAC-4B46-B8EA-75038DC107BD}"/>
    <cellStyle name="Normal 15 4 5" xfId="12432" xr:uid="{45496B85-C214-4594-BE3F-1C02BF009169}"/>
    <cellStyle name="Normal 15 4 6" xfId="12433" xr:uid="{9A1F7BC4-827A-4C4F-B4A8-409CBFA6CF9A}"/>
    <cellStyle name="Normal 15 4 7" xfId="12434" xr:uid="{1B8EA23E-DC5B-461E-9792-8CB12CD86BDC}"/>
    <cellStyle name="Normal 15 4 8" xfId="12435" xr:uid="{879704EE-6E04-47EE-8E7E-BD5F017AE383}"/>
    <cellStyle name="Normal 15 4 8 2" xfId="12436" xr:uid="{4C501686-74DF-409E-A257-D01F6F4A0D1E}"/>
    <cellStyle name="Normal 15 5" xfId="12437" xr:uid="{D2958E71-C787-4948-AC3E-5A028A692181}"/>
    <cellStyle name="Normal 15 5 2" xfId="12438" xr:uid="{F54262ED-2339-415B-856A-690E502921C5}"/>
    <cellStyle name="Normal 15 5 2 2" xfId="12439" xr:uid="{CD020EF9-B3FA-48EB-8C98-6AD82D99E51E}"/>
    <cellStyle name="Normal 15 5 3" xfId="12440" xr:uid="{30DEF9EC-FB81-4316-86DF-4EB31205C94E}"/>
    <cellStyle name="Normal 15 5 4" xfId="12441" xr:uid="{795DB89A-1A37-41DB-8E2D-27F68662A0C5}"/>
    <cellStyle name="Normal 15 5 5" xfId="12442" xr:uid="{08E597FD-A965-47D4-A38C-8BBC4BFD6A00}"/>
    <cellStyle name="Normal 15 5 6" xfId="12443" xr:uid="{4BA5E44A-CC3D-4265-913B-9CED6A581E56}"/>
    <cellStyle name="Normal 15 5 7" xfId="12444" xr:uid="{305B915C-BFD3-475E-BDA9-1D2B5303ADB6}"/>
    <cellStyle name="Normal 15 5 8" xfId="12445" xr:uid="{585A1420-338B-4063-A9F5-649A62A21701}"/>
    <cellStyle name="Normal 15 5 8 2" xfId="12446" xr:uid="{429B600D-5951-483B-A1FC-C9709C1ED736}"/>
    <cellStyle name="Normal 15 6" xfId="12447" xr:uid="{0F3AB122-CFE1-468E-B2A7-7B296B0E5E22}"/>
    <cellStyle name="Normal 15 6 2" xfId="12448" xr:uid="{1DB7DCE3-42B8-4D7C-8D4F-81F8B4B542C3}"/>
    <cellStyle name="Normal 15 6 2 2" xfId="12449" xr:uid="{48073179-3A3F-40B8-B359-5502A50EB12C}"/>
    <cellStyle name="Normal 15 6 3" xfId="12450" xr:uid="{09C67CED-3603-48A0-85BA-A9A5EF221198}"/>
    <cellStyle name="Normal 15 6 4" xfId="12451" xr:uid="{8B4E0EA3-1029-460D-B1B0-85D129CB5E63}"/>
    <cellStyle name="Normal 15 6 5" xfId="12452" xr:uid="{3A09A3EE-1EE6-4967-A2E7-F9AE6BACDD4D}"/>
    <cellStyle name="Normal 15 6 6" xfId="12453" xr:uid="{CDC1AB50-82C2-49D3-8808-1D64F6834C49}"/>
    <cellStyle name="Normal 15 6 7" xfId="12454" xr:uid="{B9629191-6F0C-4186-9798-FCB1749B2A56}"/>
    <cellStyle name="Normal 15 6 8" xfId="12455" xr:uid="{2A8B2CFB-32FE-44AF-9D80-9DF8F32C37EC}"/>
    <cellStyle name="Normal 15 6 8 2" xfId="12456" xr:uid="{FF865F2F-D278-41C2-A111-BD7BFFD4752B}"/>
    <cellStyle name="Normal 15 7" xfId="12457" xr:uid="{DE28AE1A-14F9-4EBD-880B-5356923ECD77}"/>
    <cellStyle name="Normal 15 7 2" xfId="12458" xr:uid="{8C72401A-0456-4BA6-915F-E62E58A1299F}"/>
    <cellStyle name="Normal 15 7 3" xfId="31201" xr:uid="{A4B56E4E-1742-4FDB-AA23-6FE3D679B71E}"/>
    <cellStyle name="Normal 15 8" xfId="12459" xr:uid="{7EE5079B-21A2-445F-B08E-F6F69C322B1C}"/>
    <cellStyle name="Normal 15 9" xfId="12460" xr:uid="{8A8A4B6F-BA0B-4012-8E5A-982DA710DE03}"/>
    <cellStyle name="Normal 16" xfId="12461" xr:uid="{E7A77CB3-646A-472C-BE7B-89AB45E62C42}"/>
    <cellStyle name="Normal 16 10" xfId="12462" xr:uid="{8590DE6B-6C4C-4F53-B6A7-68C79C80FF1F}"/>
    <cellStyle name="Normal 16 11" xfId="12463" xr:uid="{729EF64A-BCD4-4ADC-9916-711A1E36CCF3}"/>
    <cellStyle name="Normal 16 12" xfId="12464" xr:uid="{3B5B1752-22B9-442E-B354-7448D0159B69}"/>
    <cellStyle name="Normal 16 13" xfId="12465" xr:uid="{5BF71C2E-BE67-4B60-9355-9CB9804FB43A}"/>
    <cellStyle name="Normal 16 13 2" xfId="12466" xr:uid="{71CF466B-E118-4AC4-B280-FBE4F1551FB5}"/>
    <cellStyle name="Normal 16 14" xfId="12467" xr:uid="{443FDE8D-16F2-4530-9B91-76712C472AFE}"/>
    <cellStyle name="Normal 16 14 2" xfId="31202" xr:uid="{17FF0388-E73E-4CBA-B801-F86D4E39D282}"/>
    <cellStyle name="Normal 16 14 3" xfId="31203" xr:uid="{121489AA-0187-4F1A-BD42-83CAC131AB33}"/>
    <cellStyle name="Normal 16 15" xfId="12468" xr:uid="{AF86D77E-27D2-42BF-88E1-2CFD432FFD24}"/>
    <cellStyle name="Normal 16 15 2" xfId="31204" xr:uid="{0A02C126-9C34-4AE8-8F36-96592751D810}"/>
    <cellStyle name="Normal 16 15 3" xfId="31205" xr:uid="{0D1C7C58-136A-4FD5-A1DD-1FE40346EEE1}"/>
    <cellStyle name="Normal 16 16" xfId="12469" xr:uid="{C8AF48E5-1B32-454B-9D04-234552C1DA43}"/>
    <cellStyle name="Normal 16 16 2" xfId="31206" xr:uid="{69FFD8D4-2DD3-4909-95CA-A1663228CDA5}"/>
    <cellStyle name="Normal 16 16 3" xfId="31207" xr:uid="{367CC492-74E5-4493-B5FF-C850B4209C44}"/>
    <cellStyle name="Normal 16 17" xfId="12470" xr:uid="{D542CB4D-402B-4E17-A111-EF6B424929F3}"/>
    <cellStyle name="Normal 16 17 2" xfId="31208" xr:uid="{2B311B64-C798-4DFA-B671-CFEF30F4101C}"/>
    <cellStyle name="Normal 16 17 3" xfId="31209" xr:uid="{540FFEFD-C082-4787-AA4E-9E7F4C4415B2}"/>
    <cellStyle name="Normal 16 18" xfId="12471" xr:uid="{2696DFD0-6C26-45D1-AA22-B6D6EA60D2BF}"/>
    <cellStyle name="Normal 16 18 2" xfId="31210" xr:uid="{1BF46A65-7627-461C-9E78-CAE5F7D51914}"/>
    <cellStyle name="Normal 16 18 3" xfId="31211" xr:uid="{E332A084-CD3B-4148-AF7D-FCC36CE45071}"/>
    <cellStyle name="Normal 16 19" xfId="12472" xr:uid="{94B9035B-13A5-401F-8254-5F45733CB40D}"/>
    <cellStyle name="Normal 16 19 2" xfId="31212" xr:uid="{AA3EE370-53C0-4B4F-A5E9-C54D4B7021B9}"/>
    <cellStyle name="Normal 16 19 3" xfId="31213" xr:uid="{75C08D97-D15D-456C-BCC9-E2C87622C5B3}"/>
    <cellStyle name="Normal 16 2" xfId="12473" xr:uid="{D71F36C9-DD0E-4335-B223-368E11C46E38}"/>
    <cellStyle name="Normal 16 2 10" xfId="12474" xr:uid="{0E2CD119-2857-4D3E-A408-B561D5317BC5}"/>
    <cellStyle name="Normal 16 2 10 2" xfId="31214" xr:uid="{0C219873-B6FA-41A4-8926-26254DFC9BCF}"/>
    <cellStyle name="Normal 16 2 10 3" xfId="31215" xr:uid="{C1BF6915-591A-4E36-97BE-87A5EF2D8116}"/>
    <cellStyle name="Normal 16 2 11" xfId="12475" xr:uid="{3EB9500C-EB94-42DD-B294-8D33F23591D9}"/>
    <cellStyle name="Normal 16 2 11 2" xfId="31216" xr:uid="{DD9CB3C4-810D-4E04-9A0C-F154C0E828C9}"/>
    <cellStyle name="Normal 16 2 11 3" xfId="31217" xr:uid="{53EF6E1F-EA09-43CD-AC9D-8796693E42F6}"/>
    <cellStyle name="Normal 16 2 12" xfId="12476" xr:uid="{61D96F5E-F2BC-4841-8AE2-B2438A9D5FB2}"/>
    <cellStyle name="Normal 16 2 12 2" xfId="31218" xr:uid="{205769E3-7108-496D-A219-6678A522C8D6}"/>
    <cellStyle name="Normal 16 2 12 3" xfId="31219" xr:uid="{4A7B1C85-6777-41DD-BD70-6E160505559E}"/>
    <cellStyle name="Normal 16 2 13" xfId="12477" xr:uid="{82234CB9-4131-49DB-A5F3-6B5459926912}"/>
    <cellStyle name="Normal 16 2 13 2" xfId="31220" xr:uid="{D31BAD84-5AF9-4961-9E1A-21F3DBF8EA14}"/>
    <cellStyle name="Normal 16 2 13 3" xfId="31221" xr:uid="{C757A0F4-D4E8-41BE-ADB9-A7FD5FE50A27}"/>
    <cellStyle name="Normal 16 2 14" xfId="12478" xr:uid="{06FEDC19-466C-443B-BFB9-E42B3A789291}"/>
    <cellStyle name="Normal 16 2 14 2" xfId="31222" xr:uid="{7458DD93-FFC0-4D14-A049-CFA4BEEA53F5}"/>
    <cellStyle name="Normal 16 2 14 3" xfId="31223" xr:uid="{46E2B0B3-3B83-49D4-81BB-A07F3D12A3FE}"/>
    <cellStyle name="Normal 16 2 15" xfId="12479" xr:uid="{B81A1F6C-C05A-4EA4-B45E-5E2611D3D8E0}"/>
    <cellStyle name="Normal 16 2 15 2" xfId="31224" xr:uid="{C783116B-70B6-4D51-9BA2-5D1EA64A94EF}"/>
    <cellStyle name="Normal 16 2 15 3" xfId="31225" xr:uid="{D6B319C6-CBA4-459B-AC0B-84A033D058D9}"/>
    <cellStyle name="Normal 16 2 16" xfId="12480" xr:uid="{C383DDED-CE70-4826-8969-13031A631FF0}"/>
    <cellStyle name="Normal 16 2 16 2" xfId="31226" xr:uid="{EF160012-C94D-4D59-ACCC-8D726B043621}"/>
    <cellStyle name="Normal 16 2 16 3" xfId="31227" xr:uid="{C3494F3E-4809-4056-89FB-89E927770D03}"/>
    <cellStyle name="Normal 16 2 17" xfId="12481" xr:uid="{75132FD7-8445-4A96-A7AE-1F5581942E60}"/>
    <cellStyle name="Normal 16 2 17 2" xfId="31228" xr:uid="{6F8D9CB1-F587-4BAE-8A49-C33F4631D908}"/>
    <cellStyle name="Normal 16 2 17 3" xfId="31229" xr:uid="{653474D1-7F2C-4AA4-99E9-D34698ED1B6E}"/>
    <cellStyle name="Normal 16 2 2" xfId="12482" xr:uid="{EB5638A8-8557-4D5C-9085-97657D4FDA00}"/>
    <cellStyle name="Normal 16 2 2 2" xfId="12483" xr:uid="{9C60A02F-690F-42A8-A25F-1FB7224130C3}"/>
    <cellStyle name="Normal 16 2 3" xfId="12484" xr:uid="{626149E2-97D5-4D1E-A589-91E60DC3130F}"/>
    <cellStyle name="Normal 16 2 3 2" xfId="31230" xr:uid="{6B307527-105A-48E1-AC9A-154A216A4E92}"/>
    <cellStyle name="Normal 16 2 4" xfId="12485" xr:uid="{BFA01B5C-D782-4776-81F5-4881776F4F83}"/>
    <cellStyle name="Normal 16 2 5" xfId="12486" xr:uid="{7F15687E-2088-4395-A5D5-2B1B863F5001}"/>
    <cellStyle name="Normal 16 2 6" xfId="12487" xr:uid="{937E4627-D852-4E2B-873B-BCFBA410A313}"/>
    <cellStyle name="Normal 16 2 7" xfId="12488" xr:uid="{7C5ACD51-80BC-4105-8286-033291E88049}"/>
    <cellStyle name="Normal 16 2 8" xfId="12489" xr:uid="{C625480C-38AC-4F27-BE33-4211110DE70D}"/>
    <cellStyle name="Normal 16 2 8 2" xfId="12490" xr:uid="{BA06C231-A3CC-4BCD-88B5-110E172E8D67}"/>
    <cellStyle name="Normal 16 2 9" xfId="12491" xr:uid="{6C3220D9-FC6B-4C1E-BEE3-4F2C97C552FF}"/>
    <cellStyle name="Normal 16 2 9 2" xfId="31231" xr:uid="{A0E1EB0D-6953-4AB3-B815-1F198BF7DA66}"/>
    <cellStyle name="Normal 16 2 9 3" xfId="31232" xr:uid="{40A7313F-3B7E-4E4A-BB70-F46DDC980CB4}"/>
    <cellStyle name="Normal 16 20" xfId="12492" xr:uid="{208EA4B6-EA81-45AF-A07A-164AB54120FB}"/>
    <cellStyle name="Normal 16 20 2" xfId="31233" xr:uid="{0FC7D0CA-0195-49E2-9CB8-1F364C08387B}"/>
    <cellStyle name="Normal 16 20 3" xfId="31234" xr:uid="{A074FFCD-EABF-4CE4-BA02-D26258364CDD}"/>
    <cellStyle name="Normal 16 21" xfId="12493" xr:uid="{297D2729-F820-4903-93E6-1D2381CD9AAF}"/>
    <cellStyle name="Normal 16 21 2" xfId="31235" xr:uid="{13D91F66-28D3-4FE4-98EC-47414F260489}"/>
    <cellStyle name="Normal 16 21 3" xfId="31236" xr:uid="{9B62B10C-6582-4FF5-BA33-60D4DAFFB1D0}"/>
    <cellStyle name="Normal 16 22" xfId="12494" xr:uid="{E5199227-B647-405C-9EC8-BD9D88A1C8A0}"/>
    <cellStyle name="Normal 16 22 2" xfId="31237" xr:uid="{02B3BE2E-F9DA-497A-B43D-18FC9874A25B}"/>
    <cellStyle name="Normal 16 22 3" xfId="31238" xr:uid="{EA558B9C-31F8-46F7-A610-738372CD3B6D}"/>
    <cellStyle name="Normal 16 23" xfId="12495" xr:uid="{6EBE2911-82D0-4DAD-A2DC-CA1602033DC1}"/>
    <cellStyle name="Normal 16 23 2" xfId="31239" xr:uid="{5DC174A0-269A-470F-9D4C-2A32AC87698C}"/>
    <cellStyle name="Normal 16 23 3" xfId="31240" xr:uid="{3306FDC0-655F-4C1C-8E0B-D120D1A86A2D}"/>
    <cellStyle name="Normal 16 24" xfId="12496" xr:uid="{E8246D13-44DB-40AC-AD36-D63A497E9F3B}"/>
    <cellStyle name="Normal 16 25" xfId="31241" xr:uid="{0601DED2-5A31-476D-AE68-E4956DEA3F50}"/>
    <cellStyle name="Normal 16 3" xfId="12497" xr:uid="{5F4BCCF4-4568-4ED0-9E78-B15EDF5741F9}"/>
    <cellStyle name="Normal 16 3 10" xfId="12498" xr:uid="{D0EA3065-454C-4078-B1B5-D7AF86B3B357}"/>
    <cellStyle name="Normal 16 3 10 2" xfId="31242" xr:uid="{DD9630E0-22AA-47CA-A0AD-E2BFFF7BFDA9}"/>
    <cellStyle name="Normal 16 3 10 3" xfId="31243" xr:uid="{B1B98B3A-7B22-4557-9F63-583E66FCDCFA}"/>
    <cellStyle name="Normal 16 3 11" xfId="12499" xr:uid="{3476B2D6-9366-4F6D-BEC0-1C8E05EEE669}"/>
    <cellStyle name="Normal 16 3 11 2" xfId="31244" xr:uid="{C5182827-F641-4D4C-921A-CDA5E3D073FF}"/>
    <cellStyle name="Normal 16 3 11 3" xfId="31245" xr:uid="{C1A46C34-C883-4EBC-B492-C889726A804B}"/>
    <cellStyle name="Normal 16 3 12" xfId="12500" xr:uid="{AA9EFAF7-1EFC-40C8-88BF-5C36678C4510}"/>
    <cellStyle name="Normal 16 3 12 2" xfId="31246" xr:uid="{E87D4243-3D11-4CAB-8796-FC3FE903551F}"/>
    <cellStyle name="Normal 16 3 12 3" xfId="31247" xr:uid="{A73C0E21-711C-4E40-A8CD-761B6F9DA22E}"/>
    <cellStyle name="Normal 16 3 13" xfId="12501" xr:uid="{96914718-FD9E-48FC-A545-2A584103F355}"/>
    <cellStyle name="Normal 16 3 13 2" xfId="31248" xr:uid="{A1C84A99-39C3-43B5-BDE0-62FE4FD57843}"/>
    <cellStyle name="Normal 16 3 13 3" xfId="31249" xr:uid="{AEADAA8D-4CDA-4DE2-8AAD-96BD47C4CD33}"/>
    <cellStyle name="Normal 16 3 14" xfId="12502" xr:uid="{55D5C97F-2009-42C1-96CB-3E927D57F942}"/>
    <cellStyle name="Normal 16 3 14 2" xfId="31250" xr:uid="{3BE443EB-6AA8-4381-ACD8-E38858160F29}"/>
    <cellStyle name="Normal 16 3 14 3" xfId="31251" xr:uid="{E7BCB679-6680-40FE-932A-5A4C432F202C}"/>
    <cellStyle name="Normal 16 3 15" xfId="12503" xr:uid="{9694ED9D-E1B0-4D7A-BA38-CD3B7CAF20BB}"/>
    <cellStyle name="Normal 16 3 15 2" xfId="31252" xr:uid="{EF485139-849B-4B93-A8F9-D0243CC8DEB6}"/>
    <cellStyle name="Normal 16 3 15 3" xfId="31253" xr:uid="{5494E8D6-C6ED-44D7-AF06-15E766D1BAA2}"/>
    <cellStyle name="Normal 16 3 16" xfId="12504" xr:uid="{91F40EFF-47B8-482E-A68F-18098E64F05C}"/>
    <cellStyle name="Normal 16 3 16 2" xfId="31254" xr:uid="{07C7008A-66BC-4351-94DB-4DE0AAA44B32}"/>
    <cellStyle name="Normal 16 3 16 3" xfId="31255" xr:uid="{C1A70EA4-6604-4C28-B292-EB52DDE95E9C}"/>
    <cellStyle name="Normal 16 3 17" xfId="12505" xr:uid="{061970D7-4017-4190-BACB-8B305C9FBAAB}"/>
    <cellStyle name="Normal 16 3 17 2" xfId="31256" xr:uid="{1B234179-CAF6-428A-B75D-89B3729036CC}"/>
    <cellStyle name="Normal 16 3 17 3" xfId="31257" xr:uid="{83008B15-44F9-4767-B92F-AA24F432CA65}"/>
    <cellStyle name="Normal 16 3 2" xfId="12506" xr:uid="{3D2A3A63-31F8-471B-B66B-16F48550CA92}"/>
    <cellStyle name="Normal 16 3 2 2" xfId="12507" xr:uid="{EB895CC5-269B-4C02-91C7-B22EDF5DB928}"/>
    <cellStyle name="Normal 16 3 3" xfId="12508" xr:uid="{AEF48BF2-D55B-4733-8E44-46737DB0E71B}"/>
    <cellStyle name="Normal 16 3 4" xfId="12509" xr:uid="{628DC423-C76C-45DF-8A7D-12F1587C5129}"/>
    <cellStyle name="Normal 16 3 5" xfId="12510" xr:uid="{9347C0B7-AE80-4816-937E-EC3EE6D67C98}"/>
    <cellStyle name="Normal 16 3 6" xfId="12511" xr:uid="{01F1495E-EA4A-46FA-8F91-44EB51DD7F10}"/>
    <cellStyle name="Normal 16 3 7" xfId="12512" xr:uid="{0EFDEFAF-1F91-497B-AFCE-BBCF8F474397}"/>
    <cellStyle name="Normal 16 3 8" xfId="12513" xr:uid="{C4B342D5-A7A4-4A61-9563-2B25BE11C280}"/>
    <cellStyle name="Normal 16 3 8 2" xfId="12514" xr:uid="{EADBA692-44E7-4B91-A487-74BAEF11AF5C}"/>
    <cellStyle name="Normal 16 3 9" xfId="12515" xr:uid="{7228AB74-D515-4498-A16B-C236407F7BA7}"/>
    <cellStyle name="Normal 16 3 9 2" xfId="31258" xr:uid="{E18822F9-FA1D-40C1-AC5C-5883EDAAD878}"/>
    <cellStyle name="Normal 16 3 9 3" xfId="31259" xr:uid="{22597348-6639-4EEA-9CC7-1630B57D6416}"/>
    <cellStyle name="Normal 16 4" xfId="12516" xr:uid="{8A37373F-A7A5-436C-A229-C0AD9C356894}"/>
    <cellStyle name="Normal 16 4 2" xfId="12517" xr:uid="{15A92D45-5C57-4CF6-BF5A-2395C4F12FEF}"/>
    <cellStyle name="Normal 16 4 2 2" xfId="12518" xr:uid="{E8FE5193-A4A7-4D3A-A3EC-58DB81A24571}"/>
    <cellStyle name="Normal 16 4 3" xfId="12519" xr:uid="{C5D93903-3A8D-4478-A344-DFD82058ED9C}"/>
    <cellStyle name="Normal 16 4 4" xfId="12520" xr:uid="{9E8D74EA-D09E-446D-875C-FB8720DF089D}"/>
    <cellStyle name="Normal 16 4 5" xfId="12521" xr:uid="{209C9223-653C-4291-9814-ED5A36175007}"/>
    <cellStyle name="Normal 16 4 6" xfId="12522" xr:uid="{337868FE-2EBC-4080-9F7C-F9430AB529EF}"/>
    <cellStyle name="Normal 16 4 7" xfId="12523" xr:uid="{558FC056-DE3E-4918-9B06-04C5AC152B6B}"/>
    <cellStyle name="Normal 16 4 8" xfId="12524" xr:uid="{85C2D6BA-3063-4428-B3D2-145A4DCFB3CB}"/>
    <cellStyle name="Normal 16 4 8 2" xfId="12525" xr:uid="{80253100-62A9-46E9-9B19-A910B64A4D92}"/>
    <cellStyle name="Normal 16 5" xfId="12526" xr:uid="{ABF4C301-FC9A-452A-9F5C-3E680DD63344}"/>
    <cellStyle name="Normal 16 5 2" xfId="12527" xr:uid="{DCF7B025-5B86-426B-8F63-C4926009FF47}"/>
    <cellStyle name="Normal 16 5 2 2" xfId="12528" xr:uid="{5E289ABF-5033-41DC-B271-4802D0565B9B}"/>
    <cellStyle name="Normal 16 5 3" xfId="12529" xr:uid="{1D811E2E-7831-4E5A-9291-B604E7B0FD0C}"/>
    <cellStyle name="Normal 16 5 4" xfId="12530" xr:uid="{BF1EF73A-BE6E-47EB-AC43-77057B757248}"/>
    <cellStyle name="Normal 16 5 5" xfId="12531" xr:uid="{2E547F19-54B3-4C4E-93DB-896A181284AC}"/>
    <cellStyle name="Normal 16 5 6" xfId="12532" xr:uid="{9C9FB495-9513-433C-BFF5-A9CF56857DED}"/>
    <cellStyle name="Normal 16 5 7" xfId="12533" xr:uid="{95154CA8-02A3-4D47-8D90-1170F5EB704F}"/>
    <cellStyle name="Normal 16 5 8" xfId="12534" xr:uid="{2705AC02-69B9-4D1E-A605-A01E9A712F15}"/>
    <cellStyle name="Normal 16 5 8 2" xfId="12535" xr:uid="{662E0F44-32BD-43E0-9D1E-9860413D8BB9}"/>
    <cellStyle name="Normal 16 6" xfId="12536" xr:uid="{63110924-D925-4DFE-B3A1-370EB226B4B4}"/>
    <cellStyle name="Normal 16 6 2" xfId="12537" xr:uid="{06B70C22-6DEC-4930-B958-DD8BF9F9E7FF}"/>
    <cellStyle name="Normal 16 6 2 2" xfId="12538" xr:uid="{A3B65439-7A8D-49F2-AC62-3773B56B897B}"/>
    <cellStyle name="Normal 16 6 3" xfId="12539" xr:uid="{32C30146-43C4-4AC9-8E53-B75192DD1973}"/>
    <cellStyle name="Normal 16 6 4" xfId="12540" xr:uid="{2AD3FEDE-6DAE-4822-826C-E268CF16864E}"/>
    <cellStyle name="Normal 16 6 5" xfId="12541" xr:uid="{B3F1E0D7-85D1-4881-8581-0B7EA71F7C87}"/>
    <cellStyle name="Normal 16 6 6" xfId="12542" xr:uid="{58F69C2A-792C-442F-A9E4-439C942DF806}"/>
    <cellStyle name="Normal 16 6 7" xfId="12543" xr:uid="{DE2503A8-E32C-4FFE-8328-03C532DA3A1B}"/>
    <cellStyle name="Normal 16 6 8" xfId="12544" xr:uid="{21C782C0-DC80-4D41-9F6C-3F9106D424AD}"/>
    <cellStyle name="Normal 16 6 8 2" xfId="12545" xr:uid="{77036E03-D6BF-4AA5-BEC1-C8092B39A38D}"/>
    <cellStyle name="Normal 16 7" xfId="12546" xr:uid="{0C2805EE-8DBA-4556-AB3B-FE7D8E75BE64}"/>
    <cellStyle name="Normal 16 7 2" xfId="12547" xr:uid="{32CB3D80-F15F-48A8-A5D7-437AE4A46DC6}"/>
    <cellStyle name="Normal 16 7 3" xfId="31260" xr:uid="{869982F8-27F7-4465-A9B5-6DE257F741E0}"/>
    <cellStyle name="Normal 16 8" xfId="12548" xr:uid="{2C56F999-4746-4B36-821F-0764A182A3E5}"/>
    <cellStyle name="Normal 16 9" xfId="12549" xr:uid="{3DA11906-7351-4844-937F-A399FDDAA8DD}"/>
    <cellStyle name="Normal 17" xfId="12550" xr:uid="{D7B0A89D-FA76-4FB1-9224-AA39723A952E}"/>
    <cellStyle name="Normal 17 10" xfId="12551" xr:uid="{EC1797AC-2229-4537-A77D-15E8C439F6BA}"/>
    <cellStyle name="Normal 17 11" xfId="12552" xr:uid="{E06DDA8E-E2BA-4E8E-884E-81AAE58891B5}"/>
    <cellStyle name="Normal 17 12" xfId="12553" xr:uid="{9E846BDC-81EE-4D5F-891E-F3DC93422433}"/>
    <cellStyle name="Normal 17 13" xfId="12554" xr:uid="{EBF02ECA-EA55-4B69-B37F-4D95E2833814}"/>
    <cellStyle name="Normal 17 13 2" xfId="12555" xr:uid="{DC6E858C-9D2A-4C31-A155-1521EB90CDD2}"/>
    <cellStyle name="Normal 17 14" xfId="12556" xr:uid="{DABB34D7-B683-431C-8DA0-73370BCDB9C0}"/>
    <cellStyle name="Normal 17 14 2" xfId="31261" xr:uid="{11514699-1D41-45E6-BEAA-ACEB948C10EF}"/>
    <cellStyle name="Normal 17 14 3" xfId="31262" xr:uid="{B53B94AE-397A-408D-B0C4-222BE1DC2ECA}"/>
    <cellStyle name="Normal 17 15" xfId="12557" xr:uid="{03C9275C-148C-477A-BFBA-F459942C0EEF}"/>
    <cellStyle name="Normal 17 15 2" xfId="31263" xr:uid="{26A73465-17AC-475F-9B76-3117E11F22E3}"/>
    <cellStyle name="Normal 17 15 3" xfId="31264" xr:uid="{0F859C91-D4B3-4AB9-B197-7E41F5DA2FDD}"/>
    <cellStyle name="Normal 17 16" xfId="12558" xr:uid="{77160C37-79A4-4ACD-9579-446B8ED84019}"/>
    <cellStyle name="Normal 17 16 2" xfId="31265" xr:uid="{A84A0966-1777-47D6-97C4-79A221C2DF49}"/>
    <cellStyle name="Normal 17 16 3" xfId="31266" xr:uid="{A0C49FD2-7E6C-4D84-9458-30D819553E27}"/>
    <cellStyle name="Normal 17 17" xfId="12559" xr:uid="{272420BD-C611-4BBC-8FE3-082005394B16}"/>
    <cellStyle name="Normal 17 17 2" xfId="31267" xr:uid="{813ED60A-A84D-4926-83ED-8756819EAACB}"/>
    <cellStyle name="Normal 17 17 3" xfId="31268" xr:uid="{DD18FF23-DFCA-4386-AFED-FF1F6C7F36F3}"/>
    <cellStyle name="Normal 17 18" xfId="12560" xr:uid="{BB922DC8-4886-43F5-8DC2-D7AAC54B83A6}"/>
    <cellStyle name="Normal 17 18 2" xfId="31269" xr:uid="{5275B26F-D3BD-4A57-8C83-B13C98971DBA}"/>
    <cellStyle name="Normal 17 18 3" xfId="31270" xr:uid="{68A960AE-852B-4841-9C92-8E68C9289A95}"/>
    <cellStyle name="Normal 17 19" xfId="12561" xr:uid="{9D185091-AEDF-429B-88F2-0FFF35420F31}"/>
    <cellStyle name="Normal 17 19 2" xfId="31271" xr:uid="{CDC32E2D-64C9-4081-AE13-88271D5E6F5C}"/>
    <cellStyle name="Normal 17 19 3" xfId="31272" xr:uid="{1170882F-8451-4B35-AD8A-4E8DCA4316D0}"/>
    <cellStyle name="Normal 17 2" xfId="12562" xr:uid="{4F6C9BAF-198C-47F6-AB6E-7CB15D9C68F9}"/>
    <cellStyle name="Normal 17 2 10" xfId="12563" xr:uid="{864CCD3B-5CAA-4A57-AC70-EE42C1D42487}"/>
    <cellStyle name="Normal 17 2 10 2" xfId="31273" xr:uid="{00DBA683-E8A0-4931-8764-4E1481C72C72}"/>
    <cellStyle name="Normal 17 2 10 3" xfId="31274" xr:uid="{D7789463-B6D6-4C14-B867-17B398D177EC}"/>
    <cellStyle name="Normal 17 2 11" xfId="12564" xr:uid="{9D0A0A9E-9373-409C-A1D2-0D562F1C9971}"/>
    <cellStyle name="Normal 17 2 11 2" xfId="31275" xr:uid="{120EA902-AE29-42EB-B530-371E5263B4A4}"/>
    <cellStyle name="Normal 17 2 11 3" xfId="31276" xr:uid="{E7A197A8-949A-4606-B379-10A7C1AC689B}"/>
    <cellStyle name="Normal 17 2 12" xfId="12565" xr:uid="{E37E168F-5F3D-471C-B73A-6B565D49BD7B}"/>
    <cellStyle name="Normal 17 2 12 2" xfId="31277" xr:uid="{3AC2DBDA-A1CB-4AD2-B0C2-2086790603D5}"/>
    <cellStyle name="Normal 17 2 12 3" xfId="31278" xr:uid="{9E033E6C-EBB4-46F3-961A-993BE40FC1B1}"/>
    <cellStyle name="Normal 17 2 13" xfId="12566" xr:uid="{BCA0B799-A8FC-406A-A75F-5C98ECEC2B6F}"/>
    <cellStyle name="Normal 17 2 13 2" xfId="31279" xr:uid="{9ACE5488-1CAE-4C81-BECF-908C7DD25B8A}"/>
    <cellStyle name="Normal 17 2 13 3" xfId="31280" xr:uid="{A19C21F1-D1E1-4B26-B087-76AA8D63EB5E}"/>
    <cellStyle name="Normal 17 2 14" xfId="12567" xr:uid="{DA984207-4AE8-417C-9678-68367E2BDEA8}"/>
    <cellStyle name="Normal 17 2 14 2" xfId="31281" xr:uid="{6F1DF8B8-D660-4997-9FBA-3CA1F91EEC11}"/>
    <cellStyle name="Normal 17 2 14 3" xfId="31282" xr:uid="{3A9B34CD-88D6-42CE-8E32-B0130232115D}"/>
    <cellStyle name="Normal 17 2 15" xfId="12568" xr:uid="{D72D192B-1130-432A-B405-AA08953F3788}"/>
    <cellStyle name="Normal 17 2 15 2" xfId="31283" xr:uid="{73E216D4-7AD8-4252-ACE0-459F0924BC24}"/>
    <cellStyle name="Normal 17 2 15 3" xfId="31284" xr:uid="{7FFDEE9E-A92F-47A6-AC04-0B77233B9518}"/>
    <cellStyle name="Normal 17 2 16" xfId="12569" xr:uid="{9196DFDC-47BA-4825-9830-88038AFD1E30}"/>
    <cellStyle name="Normal 17 2 16 2" xfId="31285" xr:uid="{4A0040C1-AAEB-4C31-B5CA-BD71276CA0DF}"/>
    <cellStyle name="Normal 17 2 16 3" xfId="31286" xr:uid="{56CAEC81-075D-4A65-BD10-E2BD394E5935}"/>
    <cellStyle name="Normal 17 2 17" xfId="12570" xr:uid="{42F05614-F56C-4C97-87B7-E4B0FB44A62B}"/>
    <cellStyle name="Normal 17 2 17 2" xfId="31287" xr:uid="{025FA331-9556-40E8-9BB9-F7EBBF0550E6}"/>
    <cellStyle name="Normal 17 2 17 3" xfId="31288" xr:uid="{5C6AE70D-79F8-4547-AFD5-76D705E8F220}"/>
    <cellStyle name="Normal 17 2 2" xfId="12571" xr:uid="{148721E9-D3C0-4F19-8D50-8D8CB12A5F53}"/>
    <cellStyle name="Normal 17 2 2 2" xfId="12572" xr:uid="{B8EDA0C9-3989-4F59-9082-82E48B7A0A32}"/>
    <cellStyle name="Normal 17 2 3" xfId="12573" xr:uid="{369D5076-D854-4D91-988F-C7F35B389829}"/>
    <cellStyle name="Normal 17 2 3 2" xfId="31289" xr:uid="{4E6C1172-C066-4069-9581-D57CA1157C3C}"/>
    <cellStyle name="Normal 17 2 4" xfId="12574" xr:uid="{655E0447-E90F-4097-B9E8-F6E4F2DE19D2}"/>
    <cellStyle name="Normal 17 2 5" xfId="12575" xr:uid="{D3077C4B-F0A9-47CD-961F-6126C19018EE}"/>
    <cellStyle name="Normal 17 2 6" xfId="12576" xr:uid="{C237A9A5-D46F-4B65-9D1C-781A4D78542D}"/>
    <cellStyle name="Normal 17 2 7" xfId="12577" xr:uid="{2D7DCEE6-75B7-4427-BBB0-223263D576FD}"/>
    <cellStyle name="Normal 17 2 8" xfId="12578" xr:uid="{961E6332-F89E-42B4-907D-D82A1983EB7B}"/>
    <cellStyle name="Normal 17 2 8 2" xfId="12579" xr:uid="{E428CF00-AFC2-4F77-AEAF-B97286E0CACE}"/>
    <cellStyle name="Normal 17 2 9" xfId="12580" xr:uid="{7E46C25E-023E-4B90-ABCF-877D79D1D575}"/>
    <cellStyle name="Normal 17 2 9 2" xfId="31290" xr:uid="{D5F8A618-6D4F-4E2E-B30E-67449ADF35FF}"/>
    <cellStyle name="Normal 17 2 9 3" xfId="31291" xr:uid="{EA63FF89-3B58-4E13-9CA1-8AD7C5D38D4F}"/>
    <cellStyle name="Normal 17 20" xfId="12581" xr:uid="{B157DB54-F519-45B1-995C-299C2F0299C4}"/>
    <cellStyle name="Normal 17 20 2" xfId="31292" xr:uid="{F8BE3FBD-D92E-40E8-8F9C-AB3F53CE40DF}"/>
    <cellStyle name="Normal 17 20 3" xfId="31293" xr:uid="{A7CD6A79-5EBC-4501-BF09-CAE444E99730}"/>
    <cellStyle name="Normal 17 21" xfId="12582" xr:uid="{31703487-29DD-413A-A04C-9CCE6D1DDC78}"/>
    <cellStyle name="Normal 17 21 2" xfId="31294" xr:uid="{24EFF4BF-5621-4860-AC87-4155C110FB04}"/>
    <cellStyle name="Normal 17 21 3" xfId="31295" xr:uid="{3BEB04FD-2F05-44D6-8CC3-8F02D2BC8DBB}"/>
    <cellStyle name="Normal 17 22" xfId="12583" xr:uid="{9955CC05-4107-43C3-B454-0AFA198958C3}"/>
    <cellStyle name="Normal 17 22 2" xfId="31296" xr:uid="{192DF5BA-1DE1-46A0-AAC0-666943883F36}"/>
    <cellStyle name="Normal 17 22 3" xfId="31297" xr:uid="{EB2417AE-B619-477E-A88C-CC6BFCAB2582}"/>
    <cellStyle name="Normal 17 23" xfId="12584" xr:uid="{88435DBF-0278-4169-A49A-5689AE437269}"/>
    <cellStyle name="Normal 17 23 2" xfId="31298" xr:uid="{34824F9A-67D5-4FE3-B0EC-946B66FD9E04}"/>
    <cellStyle name="Normal 17 23 3" xfId="31299" xr:uid="{02346D9B-F2D3-4DA9-A8DF-9EAAB380247C}"/>
    <cellStyle name="Normal 17 24" xfId="31300" xr:uid="{44F21746-4EF9-4BB1-A865-A9775AC62892}"/>
    <cellStyle name="Normal 17 3" xfId="12585" xr:uid="{F6959C6F-4637-4B4C-B2C6-9C4C928B3743}"/>
    <cellStyle name="Normal 17 3 10" xfId="12586" xr:uid="{BD7A3E39-59EE-42C2-A236-4A26653582C4}"/>
    <cellStyle name="Normal 17 3 10 2" xfId="31301" xr:uid="{9D76A3DE-7F1C-4645-A0A3-D9FC4148C2CB}"/>
    <cellStyle name="Normal 17 3 10 3" xfId="31302" xr:uid="{942E2401-3F28-44E6-BA4C-0DDF796BECC6}"/>
    <cellStyle name="Normal 17 3 11" xfId="12587" xr:uid="{DFFAA399-B230-4021-BA0E-6DB09195A730}"/>
    <cellStyle name="Normal 17 3 11 2" xfId="31303" xr:uid="{3E3F1A20-2853-4056-9D45-A77F01FCF649}"/>
    <cellStyle name="Normal 17 3 11 3" xfId="31304" xr:uid="{E557EBCE-9372-4FA8-A8A0-986C5EA43CC5}"/>
    <cellStyle name="Normal 17 3 12" xfId="12588" xr:uid="{33B6A98A-F4E5-4631-A290-4E8AF9EAC933}"/>
    <cellStyle name="Normal 17 3 12 2" xfId="31305" xr:uid="{9871F20B-A033-4976-B876-5895689AA96F}"/>
    <cellStyle name="Normal 17 3 12 3" xfId="31306" xr:uid="{9E2DF8FA-164C-4E9B-83B1-378AF3C07CFC}"/>
    <cellStyle name="Normal 17 3 13" xfId="12589" xr:uid="{D9CC05FD-5835-46A2-8CF1-08E6F081F094}"/>
    <cellStyle name="Normal 17 3 13 2" xfId="31307" xr:uid="{83467268-61B2-45E8-A984-8DDFC586ABA8}"/>
    <cellStyle name="Normal 17 3 13 3" xfId="31308" xr:uid="{0B1CAE46-2E6F-41CA-899E-365F136A6E15}"/>
    <cellStyle name="Normal 17 3 14" xfId="12590" xr:uid="{007011EA-CDFE-4F47-AA72-804F5A7BCE8D}"/>
    <cellStyle name="Normal 17 3 14 2" xfId="31309" xr:uid="{D30E464B-61A0-4F39-9B2F-27BEE7C6EF71}"/>
    <cellStyle name="Normal 17 3 14 3" xfId="31310" xr:uid="{8A0CEA8D-257A-4AF4-80DC-9F656E429D52}"/>
    <cellStyle name="Normal 17 3 15" xfId="12591" xr:uid="{093C679C-6BD4-4039-8520-B831A581610D}"/>
    <cellStyle name="Normal 17 3 15 2" xfId="31311" xr:uid="{F79B1585-FFA3-47BE-AD7D-9F4025C9AC1E}"/>
    <cellStyle name="Normal 17 3 15 3" xfId="31312" xr:uid="{A20AAE1E-FAFE-4283-9752-C8C788B1AF30}"/>
    <cellStyle name="Normal 17 3 16" xfId="12592" xr:uid="{F1127EFD-FB30-472E-B81E-A4859D7CA0C8}"/>
    <cellStyle name="Normal 17 3 16 2" xfId="31313" xr:uid="{D9740201-DADD-45FE-8D97-911FDF08FABF}"/>
    <cellStyle name="Normal 17 3 16 3" xfId="31314" xr:uid="{570AEB0C-461B-43D4-8D73-706FEBB4B43D}"/>
    <cellStyle name="Normal 17 3 17" xfId="12593" xr:uid="{1AD0B071-19B8-4355-9779-24E6DBAF8D55}"/>
    <cellStyle name="Normal 17 3 17 2" xfId="31315" xr:uid="{B6B60F63-CE0B-423C-9588-518E6F38221A}"/>
    <cellStyle name="Normal 17 3 17 3" xfId="31316" xr:uid="{35E13043-3239-4B06-A631-6CBFCB6E9E32}"/>
    <cellStyle name="Normal 17 3 2" xfId="12594" xr:uid="{5A3CECF6-9F5B-46FA-9E4E-4EF4B0F71266}"/>
    <cellStyle name="Normal 17 3 2 2" xfId="12595" xr:uid="{BA750141-9972-40DD-90F5-54DAC9139353}"/>
    <cellStyle name="Normal 17 3 3" xfId="12596" xr:uid="{DDE9EC5C-9077-4CD2-B1BB-F57AA03C3638}"/>
    <cellStyle name="Normal 17 3 4" xfId="12597" xr:uid="{9B0F43DC-2AAC-4CB8-A368-41CCD4C08293}"/>
    <cellStyle name="Normal 17 3 5" xfId="12598" xr:uid="{CACF4926-B0E2-4C6B-9020-A8018C12BAC4}"/>
    <cellStyle name="Normal 17 3 6" xfId="12599" xr:uid="{FB0EA141-685C-4BA7-B433-40D5B3DB156E}"/>
    <cellStyle name="Normal 17 3 7" xfId="12600" xr:uid="{F1789F95-FB70-45C8-AD51-1F75D0384E4E}"/>
    <cellStyle name="Normal 17 3 8" xfId="12601" xr:uid="{DDB5ADB2-ECF3-4C12-BF71-329752D6E7C5}"/>
    <cellStyle name="Normal 17 3 8 2" xfId="12602" xr:uid="{C501E692-6358-462A-B553-6C2C6761FB20}"/>
    <cellStyle name="Normal 17 3 9" xfId="12603" xr:uid="{836F9CA1-6D51-4267-89D7-0D2ED75CA57B}"/>
    <cellStyle name="Normal 17 3 9 2" xfId="31317" xr:uid="{AB262E3C-C8C9-405A-9FED-6693281E0DAE}"/>
    <cellStyle name="Normal 17 3 9 3" xfId="31318" xr:uid="{4918B540-4A39-473E-A0E3-10883755B765}"/>
    <cellStyle name="Normal 17 4" xfId="12604" xr:uid="{CCF99B4D-394A-45B9-A76B-C9E7E5BD6D6F}"/>
    <cellStyle name="Normal 17 4 2" xfId="12605" xr:uid="{A1CB5F7E-5B72-4350-BEDB-CE4F81B5D9A2}"/>
    <cellStyle name="Normal 17 4 2 2" xfId="12606" xr:uid="{BA90DA65-FCDD-42C6-AF80-375DD9AB4CCA}"/>
    <cellStyle name="Normal 17 4 3" xfId="12607" xr:uid="{64320917-C308-4146-96CA-109F5B1B8543}"/>
    <cellStyle name="Normal 17 4 4" xfId="12608" xr:uid="{ABCAF98B-9EB6-4AD6-AA62-906C8292E41C}"/>
    <cellStyle name="Normal 17 4 5" xfId="12609" xr:uid="{03BA0E47-4AEF-43E0-B0E5-6C5085146617}"/>
    <cellStyle name="Normal 17 4 6" xfId="12610" xr:uid="{CBC41350-5D1A-4E4E-8C0D-23A083584631}"/>
    <cellStyle name="Normal 17 4 7" xfId="12611" xr:uid="{0405C190-5F66-438F-AD60-A7B84CB12580}"/>
    <cellStyle name="Normal 17 4 8" xfId="12612" xr:uid="{7674B11E-E1B6-4550-8CEF-8FB2E4B9E5D6}"/>
    <cellStyle name="Normal 17 4 8 2" xfId="12613" xr:uid="{5E8F04D4-5232-4A69-B865-761E508078E8}"/>
    <cellStyle name="Normal 17 5" xfId="12614" xr:uid="{71CA99BD-ED01-46F1-B832-26EB251280E3}"/>
    <cellStyle name="Normal 17 5 2" xfId="12615" xr:uid="{F28B4742-2650-40E8-99CC-D854246F3403}"/>
    <cellStyle name="Normal 17 5 2 2" xfId="12616" xr:uid="{7B080CD2-1335-481B-B887-C334BFEC9B4B}"/>
    <cellStyle name="Normal 17 5 3" xfId="12617" xr:uid="{961A5AB6-3C43-4DA2-926E-08B22BC8A6FE}"/>
    <cellStyle name="Normal 17 5 4" xfId="12618" xr:uid="{A0007976-FDAA-453A-AAC1-7078202016B1}"/>
    <cellStyle name="Normal 17 5 5" xfId="12619" xr:uid="{8E94D9B0-65C1-4FDE-850D-690BA8424502}"/>
    <cellStyle name="Normal 17 5 6" xfId="12620" xr:uid="{8645279A-8712-4891-A0C9-0984209B3305}"/>
    <cellStyle name="Normal 17 5 7" xfId="12621" xr:uid="{EE49F46C-BA69-4DDC-AD21-C2E0579ACC5E}"/>
    <cellStyle name="Normal 17 5 8" xfId="12622" xr:uid="{F4BDB78B-68A4-4662-B418-EF4BFB059ECD}"/>
    <cellStyle name="Normal 17 5 8 2" xfId="12623" xr:uid="{164EE721-4786-4B55-A616-E3227B422458}"/>
    <cellStyle name="Normal 17 6" xfId="12624" xr:uid="{71010A58-A531-49C3-8E84-9784A4E60CC5}"/>
    <cellStyle name="Normal 17 6 2" xfId="12625" xr:uid="{9FCE8601-67D4-45BC-AC55-FC352AFA52F2}"/>
    <cellStyle name="Normal 17 6 2 2" xfId="12626" xr:uid="{A41FD1C8-A8F6-4611-AF90-0389C1C39349}"/>
    <cellStyle name="Normal 17 6 3" xfId="12627" xr:uid="{5A40CC2D-33B4-411A-A816-D31BEF134DC7}"/>
    <cellStyle name="Normal 17 6 4" xfId="12628" xr:uid="{1C64AFF7-7B69-4BEA-9C92-07DC763E7EA3}"/>
    <cellStyle name="Normal 17 6 5" xfId="12629" xr:uid="{C75B60A0-0825-48F4-9EA0-C894D1F95C52}"/>
    <cellStyle name="Normal 17 6 6" xfId="12630" xr:uid="{CBEF8C83-4C1D-437F-9FA1-343BDF5DC7DD}"/>
    <cellStyle name="Normal 17 6 7" xfId="12631" xr:uid="{15277C58-B8CC-4AD5-9676-18A00B53747B}"/>
    <cellStyle name="Normal 17 6 8" xfId="12632" xr:uid="{1207BE40-17EE-4462-A54D-E419DC51BE60}"/>
    <cellStyle name="Normal 17 6 8 2" xfId="12633" xr:uid="{687B1C1B-9CA6-4206-95E2-4864314527DE}"/>
    <cellStyle name="Normal 17 7" xfId="12634" xr:uid="{07FA852B-5E04-47EF-8B7F-908EBACF5934}"/>
    <cellStyle name="Normal 17 7 2" xfId="12635" xr:uid="{4B7E5C97-F67E-4E94-85E6-BE3B93F3A66A}"/>
    <cellStyle name="Normal 17 8" xfId="12636" xr:uid="{C1CC87F6-552C-40AB-8817-61D25BE78A09}"/>
    <cellStyle name="Normal 17 9" xfId="12637" xr:uid="{B95D1990-C843-46F5-820C-D449A4750F01}"/>
    <cellStyle name="Normal 18" xfId="54" xr:uid="{5E64E427-9FB9-49C0-AFA5-3BF7AE4E4F8A}"/>
    <cellStyle name="Normal 18 10" xfId="12639" xr:uid="{10CEB247-6404-4A08-A61F-ABD38FBD3701}"/>
    <cellStyle name="Normal 18 10 2" xfId="31319" xr:uid="{7F111ADE-120E-42B8-95D0-4DCA3507FC02}"/>
    <cellStyle name="Normal 18 10 3" xfId="31320" xr:uid="{DB0E8499-89E2-48B0-80C8-9E24AC73A3CB}"/>
    <cellStyle name="Normal 18 11" xfId="12640" xr:uid="{96AF8ED3-991E-47B3-99D4-F33774ABCFBF}"/>
    <cellStyle name="Normal 18 11 2" xfId="31321" xr:uid="{35040DC0-DA36-463D-AF24-88A620E76A71}"/>
    <cellStyle name="Normal 18 11 3" xfId="31322" xr:uid="{870B97AF-E82C-41FC-A0BE-4D06536E9974}"/>
    <cellStyle name="Normal 18 12" xfId="12641" xr:uid="{6151099E-6A92-46CB-BCF2-AD620710D1EF}"/>
    <cellStyle name="Normal 18 12 2" xfId="31323" xr:uid="{3A7E3A4A-9DDF-4E29-9092-61420D762479}"/>
    <cellStyle name="Normal 18 12 3" xfId="31324" xr:uid="{610E4F68-83E4-431E-B58B-8625036D7719}"/>
    <cellStyle name="Normal 18 13" xfId="12642" xr:uid="{9BC56470-A98E-4964-8FDD-25FE204DFDB3}"/>
    <cellStyle name="Normal 18 13 2" xfId="31325" xr:uid="{5930096E-DD6D-42BF-9142-6B07B60F4323}"/>
    <cellStyle name="Normal 18 13 3" xfId="31326" xr:uid="{DE8238DD-52AB-4281-95C0-B79480F0217F}"/>
    <cellStyle name="Normal 18 14" xfId="12643" xr:uid="{8E287B15-E599-41BA-B2C3-9A0961AA0537}"/>
    <cellStyle name="Normal 18 14 2" xfId="31327" xr:uid="{DE6C4B39-3BD3-4C25-AA89-4F037A7733CC}"/>
    <cellStyle name="Normal 18 15" xfId="12644" xr:uid="{F29F0920-CAEF-462F-B9F0-A95543CD29F2}"/>
    <cellStyle name="Normal 18 16" xfId="31328" xr:uid="{51CE0010-3616-49C1-871F-CDAB6850C6E9}"/>
    <cellStyle name="Normal 18 17" xfId="12638" xr:uid="{AAFE1721-E28C-48C7-82B0-79256A7FA7EB}"/>
    <cellStyle name="Normal 18 2" xfId="12645" xr:uid="{B0830052-4B84-49A6-A1C4-0FA404C3C385}"/>
    <cellStyle name="Normal 18 2 10" xfId="12646" xr:uid="{A818CFEF-FBBD-4CC9-83C2-5D5F321E8C6B}"/>
    <cellStyle name="Normal 18 2 10 2" xfId="31329" xr:uid="{987DAD00-394A-4153-9796-5F7D69C13DFB}"/>
    <cellStyle name="Normal 18 2 10 3" xfId="31330" xr:uid="{865435E7-C99E-432D-A029-D5DFABC13006}"/>
    <cellStyle name="Normal 18 2 11" xfId="12647" xr:uid="{4E6E1165-7E54-466E-9138-4BE74B9931AE}"/>
    <cellStyle name="Normal 18 2 11 2" xfId="31331" xr:uid="{553418FE-EE4B-4413-A99F-434F2BA5F769}"/>
    <cellStyle name="Normal 18 2 12" xfId="12648" xr:uid="{9B88012C-E6F1-4990-9A6A-F84EFCCCDB81}"/>
    <cellStyle name="Normal 18 2 13" xfId="31332" xr:uid="{B6A18AEB-6CD0-4FC6-87D2-6F96A8174B7D}"/>
    <cellStyle name="Normal 18 2 2" xfId="12649" xr:uid="{CD14D2B7-7936-41E0-8FEA-5F3427F5BFD7}"/>
    <cellStyle name="Normal 18 2 2 2" xfId="31333" xr:uid="{45244091-FE95-4A25-9ED1-F9E8A23A1758}"/>
    <cellStyle name="Normal 18 2 2 3" xfId="31334" xr:uid="{A39327FD-B908-421A-BF4F-087F7053A318}"/>
    <cellStyle name="Normal 18 2 3" xfId="12650" xr:uid="{0CCA9C89-72CA-4D95-8824-31F4FDCE8648}"/>
    <cellStyle name="Normal 18 2 3 2" xfId="31335" xr:uid="{80B0FB57-9C7D-4CF2-8044-DF235CE31CCA}"/>
    <cellStyle name="Normal 18 2 3 3" xfId="31336" xr:uid="{BBA3BDD3-6684-4CFD-9B30-FDBFE96FCF46}"/>
    <cellStyle name="Normal 18 2 4" xfId="12651" xr:uid="{860FFF34-564A-43DE-BB77-F5B062A333DB}"/>
    <cellStyle name="Normal 18 2 4 2" xfId="31337" xr:uid="{BB149FEE-C1D7-4723-A431-A0F29DCF85EB}"/>
    <cellStyle name="Normal 18 2 4 3" xfId="31338" xr:uid="{EFA04E9B-BBCE-47FE-A236-F7FC3C954AF9}"/>
    <cellStyle name="Normal 18 2 5" xfId="12652" xr:uid="{FAFF4B4A-E2DE-4BC3-92D7-5065726FEF9E}"/>
    <cellStyle name="Normal 18 2 5 2" xfId="31339" xr:uid="{34E36A26-EBF7-4AFA-827C-0B90A14FE512}"/>
    <cellStyle name="Normal 18 2 5 3" xfId="31340" xr:uid="{2A36766E-80A7-4F29-8299-501669A12EF1}"/>
    <cellStyle name="Normal 18 2 6" xfId="12653" xr:uid="{74CAF37A-AA13-452D-BEB9-3E7115BB40AB}"/>
    <cellStyle name="Normal 18 2 6 2" xfId="31341" xr:uid="{82440641-E9C0-4FC7-A089-C033CE3870C7}"/>
    <cellStyle name="Normal 18 2 6 3" xfId="31342" xr:uid="{51667B9F-46A5-43A7-B843-EB5359AA0CF6}"/>
    <cellStyle name="Normal 18 2 7" xfId="12654" xr:uid="{0944FE84-4C64-43CE-87C2-64DC54D3E658}"/>
    <cellStyle name="Normal 18 2 7 2" xfId="31343" xr:uid="{AE019A45-701E-45BD-A04F-09B5ADEA1AE4}"/>
    <cellStyle name="Normal 18 2 7 3" xfId="31344" xr:uid="{F120BE75-B245-4DF4-8AF8-4D654F328983}"/>
    <cellStyle name="Normal 18 2 8" xfId="12655" xr:uid="{6F2C95C7-77AA-40AF-975D-6F7A48E83E1A}"/>
    <cellStyle name="Normal 18 2 8 2" xfId="31345" xr:uid="{5056215E-9AEE-4B63-BD6C-2F8D465A5329}"/>
    <cellStyle name="Normal 18 2 8 3" xfId="31346" xr:uid="{7F7E881D-797A-4AD4-BA09-9CAB9CBA7363}"/>
    <cellStyle name="Normal 18 2 9" xfId="12656" xr:uid="{364BB4C1-775F-429F-A93C-6C492EEA13D4}"/>
    <cellStyle name="Normal 18 2 9 2" xfId="31347" xr:uid="{9CFB7935-8006-4C66-BA00-A0F1EA88A035}"/>
    <cellStyle name="Normal 18 2 9 3" xfId="31348" xr:uid="{036FA674-60D9-4447-8778-42125B4BFF75}"/>
    <cellStyle name="Normal 18 3" xfId="12657" xr:uid="{1D3AEFD3-6439-4733-A759-0D4BC6CD6002}"/>
    <cellStyle name="Normal 18 3 10" xfId="12658" xr:uid="{7A21A40F-FA28-483B-9BE1-AFDCDEE11FF3}"/>
    <cellStyle name="Normal 18 3 10 2" xfId="31349" xr:uid="{A5170F5E-40C9-4960-A4E7-71093893B3EC}"/>
    <cellStyle name="Normal 18 3 10 3" xfId="31350" xr:uid="{CCEB4103-146F-48D4-9387-F8D82914B825}"/>
    <cellStyle name="Normal 18 3 11" xfId="31351" xr:uid="{2736A514-55FA-4B00-B4C6-CA2594D08439}"/>
    <cellStyle name="Normal 18 3 12" xfId="31352" xr:uid="{F23DB598-0665-4DBC-9CB6-3E349851FB46}"/>
    <cellStyle name="Normal 18 3 2" xfId="12659" xr:uid="{68A78AC8-0794-471A-BA5E-6DBA2FA7E2B5}"/>
    <cellStyle name="Normal 18 3 2 2" xfId="31353" xr:uid="{FB0AD42D-4A34-4365-A344-681E389D1DDC}"/>
    <cellStyle name="Normal 18 3 2 3" xfId="31354" xr:uid="{B018CA0D-3546-4BC9-91E3-5DBE77C1BCFE}"/>
    <cellStyle name="Normal 18 3 3" xfId="12660" xr:uid="{84CB7B73-A9F9-4D74-B312-C9E1C413F006}"/>
    <cellStyle name="Normal 18 3 3 2" xfId="31355" xr:uid="{8036CD43-AE86-447F-B509-37983B9D0873}"/>
    <cellStyle name="Normal 18 3 3 3" xfId="31356" xr:uid="{40C993E6-18FD-4B33-B7E5-7363124083A3}"/>
    <cellStyle name="Normal 18 3 4" xfId="12661" xr:uid="{E9B8574F-BEA9-49B0-A811-6F73877995EF}"/>
    <cellStyle name="Normal 18 3 4 2" xfId="31357" xr:uid="{ED47FB75-7586-4D94-A19E-847D6E7FAF3B}"/>
    <cellStyle name="Normal 18 3 4 3" xfId="31358" xr:uid="{EFA0C61A-9047-4683-8F1C-D636C0189177}"/>
    <cellStyle name="Normal 18 3 5" xfId="12662" xr:uid="{2E1B295F-ADFF-4D8E-90DB-05990D1722D9}"/>
    <cellStyle name="Normal 18 3 5 2" xfId="31359" xr:uid="{20555445-1CC1-431F-9DF0-3F6C76C32AD2}"/>
    <cellStyle name="Normal 18 3 5 3" xfId="31360" xr:uid="{4CB2B47F-C456-4DC2-BC50-B4BBDBBC1580}"/>
    <cellStyle name="Normal 18 3 6" xfId="12663" xr:uid="{FB986B6A-FF84-46DE-8DF7-0F0530325111}"/>
    <cellStyle name="Normal 18 3 6 2" xfId="31361" xr:uid="{EB4A578E-B764-4F32-81C6-E993BC9D4E88}"/>
    <cellStyle name="Normal 18 3 6 3" xfId="31362" xr:uid="{B0197617-ECC7-4AB1-AE7D-13BAAEC977BA}"/>
    <cellStyle name="Normal 18 3 7" xfId="12664" xr:uid="{9255BAC5-CCAC-41A8-AE46-F7BD02DA6AC5}"/>
    <cellStyle name="Normal 18 3 7 2" xfId="31363" xr:uid="{28706F4A-4757-420E-B1B1-610045B8B971}"/>
    <cellStyle name="Normal 18 3 7 3" xfId="31364" xr:uid="{37741EB3-E234-4BE4-A685-01DC26033E50}"/>
    <cellStyle name="Normal 18 3 8" xfId="12665" xr:uid="{08DC50F5-A9F6-4CBE-9956-CFB404C6A25F}"/>
    <cellStyle name="Normal 18 3 8 2" xfId="31365" xr:uid="{71AE4783-E7EC-46FA-8A21-FDE014A3566F}"/>
    <cellStyle name="Normal 18 3 8 3" xfId="31366" xr:uid="{4E316D6C-719F-4010-9248-DF49DCE7D861}"/>
    <cellStyle name="Normal 18 3 9" xfId="12666" xr:uid="{B57B9192-FBAC-491D-9EE0-218443E1780B}"/>
    <cellStyle name="Normal 18 3 9 2" xfId="31367" xr:uid="{043E6499-9C23-4D40-8152-355AF0FED006}"/>
    <cellStyle name="Normal 18 3 9 3" xfId="31368" xr:uid="{0DAE8C2D-BA44-4D0E-B45E-364623556C59}"/>
    <cellStyle name="Normal 18 4" xfId="12667" xr:uid="{D0A080AA-811C-4654-A495-A80DE17D9A54}"/>
    <cellStyle name="Normal 18 4 2" xfId="31369" xr:uid="{601C5ADD-D48A-4069-8D31-042676BC1182}"/>
    <cellStyle name="Normal 18 4 3" xfId="31370" xr:uid="{4FDBE29A-89FA-4EF2-8D01-7D7F196F4F98}"/>
    <cellStyle name="Normal 18 4 4" xfId="31371" xr:uid="{ABC0B243-EDDD-42CE-90EB-8BC61F7D726A}"/>
    <cellStyle name="Normal 18 5" xfId="12668" xr:uid="{BD4C7931-E9AB-4490-AF29-F3E905BE3538}"/>
    <cellStyle name="Normal 18 5 2" xfId="31372" xr:uid="{BD886408-6DDB-4F21-92E3-42690FEDB1AA}"/>
    <cellStyle name="Normal 18 5 3" xfId="31373" xr:uid="{DD472CED-7D09-4F03-9808-EE8A20EBE5AB}"/>
    <cellStyle name="Normal 18 6" xfId="12669" xr:uid="{F269C6D3-AC51-4E14-BDF6-B4630200B4FB}"/>
    <cellStyle name="Normal 18 6 2" xfId="31374" xr:uid="{24EB785E-1F1E-4AB3-A35C-0FE4DA127C5E}"/>
    <cellStyle name="Normal 18 6 3" xfId="31375" xr:uid="{33AF1808-9A2A-4554-8093-755349696334}"/>
    <cellStyle name="Normal 18 7" xfId="12670" xr:uid="{0511A039-267B-4D24-B289-533B6831A5FD}"/>
    <cellStyle name="Normal 18 7 2" xfId="31376" xr:uid="{4CD80777-2069-4CBA-B9D6-D74095E6DE8F}"/>
    <cellStyle name="Normal 18 7 3" xfId="31377" xr:uid="{EE885563-CD3B-4EDF-AD18-AF169948B365}"/>
    <cellStyle name="Normal 18 8" xfId="12671" xr:uid="{EB7169D1-5B05-41D6-973B-CEB4D9B81ED2}"/>
    <cellStyle name="Normal 18 8 2" xfId="31378" xr:uid="{CDF27315-8EAA-4039-8575-7BCB8950EDA7}"/>
    <cellStyle name="Normal 18 8 3" xfId="31379" xr:uid="{14B47EDF-CD74-4765-984A-E5EBC401A1CE}"/>
    <cellStyle name="Normal 18 9" xfId="12672" xr:uid="{E686D73F-D153-4ABC-9B63-902DB75FCA2A}"/>
    <cellStyle name="Normal 18 9 2" xfId="31380" xr:uid="{CFD20EA2-1303-474A-8E9A-7F560FE16E28}"/>
    <cellStyle name="Normal 18 9 3" xfId="31381" xr:uid="{62F4FB79-1066-404F-A627-C6C1E5C57404}"/>
    <cellStyle name="Normal 19" xfId="12673" xr:uid="{6ACB108B-E471-435C-A332-2B5C4A979F39}"/>
    <cellStyle name="Normal 19 10" xfId="12674" xr:uid="{DAA0BB5E-B794-46BD-AFBD-3554A9F38E59}"/>
    <cellStyle name="Normal 19 11" xfId="12675" xr:uid="{4D72BE66-EC94-4D0D-A994-D94EC7CCB35D}"/>
    <cellStyle name="Normal 19 12" xfId="12676" xr:uid="{0E1597E0-0378-4A0D-8130-821B49B8D327}"/>
    <cellStyle name="Normal 19 13" xfId="12677" xr:uid="{39BA0C8C-5C61-4A82-8FBB-8AA3F8E182B2}"/>
    <cellStyle name="Normal 19 13 2" xfId="12678" xr:uid="{F948EE7B-7D20-4164-BD36-0D0C322B0AAA}"/>
    <cellStyle name="Normal 19 14" xfId="12679" xr:uid="{7B9D7515-3555-4BB1-A384-A6B73EE3578E}"/>
    <cellStyle name="Normal 19 14 2" xfId="31382" xr:uid="{718CA254-589C-4056-83B0-03F9D4CD7326}"/>
    <cellStyle name="Normal 19 14 3" xfId="31383" xr:uid="{A6544423-AA94-42D1-9720-116409FDF764}"/>
    <cellStyle name="Normal 19 15" xfId="12680" xr:uid="{F3D188F1-9832-4095-AC95-633B3A8C47C1}"/>
    <cellStyle name="Normal 19 15 2" xfId="31384" xr:uid="{AE1F849A-F68A-4E05-A6E0-03E7AE65D33C}"/>
    <cellStyle name="Normal 19 15 3" xfId="31385" xr:uid="{D6ADD409-FBEB-4559-9FBC-4B71C87B1852}"/>
    <cellStyle name="Normal 19 16" xfId="12681" xr:uid="{185FE924-63BA-49A7-8695-6CD65DAAEA94}"/>
    <cellStyle name="Normal 19 16 2" xfId="31386" xr:uid="{7725BBD8-C257-4D8D-A192-947921C7E6AD}"/>
    <cellStyle name="Normal 19 16 3" xfId="31387" xr:uid="{BCF4A418-958E-497B-AC99-4F0A40768267}"/>
    <cellStyle name="Normal 19 17" xfId="12682" xr:uid="{B14FAAD3-1B8E-4FC2-9E7A-F2DC6BC503B9}"/>
    <cellStyle name="Normal 19 17 2" xfId="31388" xr:uid="{931C37CF-952F-497E-869F-F35446914BAD}"/>
    <cellStyle name="Normal 19 17 3" xfId="31389" xr:uid="{1425C5D4-27C6-4350-A230-71B497F75DC0}"/>
    <cellStyle name="Normal 19 18" xfId="12683" xr:uid="{247C0261-B96A-498F-9F94-233066FBA2E7}"/>
    <cellStyle name="Normal 19 18 2" xfId="31390" xr:uid="{B330EA60-1D95-492C-9ED9-20A763C51B1E}"/>
    <cellStyle name="Normal 19 18 3" xfId="31391" xr:uid="{7B3A4B94-63A1-4A57-88AB-812E5757510C}"/>
    <cellStyle name="Normal 19 19" xfId="12684" xr:uid="{21FF046C-5C9C-4F39-88F6-4401C581D4FA}"/>
    <cellStyle name="Normal 19 19 2" xfId="31392" xr:uid="{05D02178-F090-422E-B561-6AD8D5C400EB}"/>
    <cellStyle name="Normal 19 19 3" xfId="31393" xr:uid="{CC816CA0-0CC4-45B0-8F27-952CA07252D6}"/>
    <cellStyle name="Normal 19 2" xfId="12685" xr:uid="{11941333-1D0C-46FD-90D6-802720EC337E}"/>
    <cellStyle name="Normal 19 2 10" xfId="12686" xr:uid="{3BE1E5B3-43DD-4CFC-AECF-60AE3672459A}"/>
    <cellStyle name="Normal 19 2 10 2" xfId="31394" xr:uid="{498B5643-261E-4210-A675-69A81846F102}"/>
    <cellStyle name="Normal 19 2 10 3" xfId="31395" xr:uid="{0F2AE378-FED8-42D4-92CA-F03CAC50DCD5}"/>
    <cellStyle name="Normal 19 2 11" xfId="12687" xr:uid="{8E57BC3C-B59A-4FAC-B60A-CB2881809BD3}"/>
    <cellStyle name="Normal 19 2 11 2" xfId="31396" xr:uid="{CC83B137-7E31-4842-92F0-41C581F5715D}"/>
    <cellStyle name="Normal 19 2 11 3" xfId="31397" xr:uid="{2FB2C36D-CD33-4B27-90C6-44D5967D074F}"/>
    <cellStyle name="Normal 19 2 12" xfId="12688" xr:uid="{ECA76666-E197-4241-9AD9-F7511915494B}"/>
    <cellStyle name="Normal 19 2 12 2" xfId="31398" xr:uid="{AEC6130E-75AF-4FF4-9458-9E1B06692E0F}"/>
    <cellStyle name="Normal 19 2 12 3" xfId="31399" xr:uid="{F7B4C4E1-A3AE-40E8-A34D-12A41E5539C1}"/>
    <cellStyle name="Normal 19 2 13" xfId="12689" xr:uid="{64EA5F9A-DF85-40AA-8C94-4C57A61A5770}"/>
    <cellStyle name="Normal 19 2 13 2" xfId="31400" xr:uid="{67E282BD-29C2-4FA6-9E80-6874B6EFD4C2}"/>
    <cellStyle name="Normal 19 2 13 3" xfId="31401" xr:uid="{B8FA78A9-A94B-4D49-8871-C253F4BA415A}"/>
    <cellStyle name="Normal 19 2 14" xfId="12690" xr:uid="{18BEF63A-057F-4ABB-A4CA-25D64AC24765}"/>
    <cellStyle name="Normal 19 2 14 2" xfId="31402" xr:uid="{9FBB3667-4659-4562-910E-5AC12B85DAE6}"/>
    <cellStyle name="Normal 19 2 14 3" xfId="31403" xr:uid="{C2BD1270-DC2C-46D0-BB68-1144F96B13BB}"/>
    <cellStyle name="Normal 19 2 15" xfId="12691" xr:uid="{CC7021D2-1FC1-42C9-A219-F967716CD7E6}"/>
    <cellStyle name="Normal 19 2 15 2" xfId="31404" xr:uid="{B806CCCD-9E5A-4503-B77A-E10C3D52AFC2}"/>
    <cellStyle name="Normal 19 2 15 3" xfId="31405" xr:uid="{75B0B09A-3E6A-4046-A716-1A36EDDAE02F}"/>
    <cellStyle name="Normal 19 2 16" xfId="12692" xr:uid="{DA4BA1AB-2BA1-49B8-9B65-BA64C7335A9E}"/>
    <cellStyle name="Normal 19 2 16 2" xfId="31406" xr:uid="{1DA9C57D-37BA-4441-AAF8-C45B72FB671B}"/>
    <cellStyle name="Normal 19 2 16 3" xfId="31407" xr:uid="{BF9CC5FD-B2E3-4225-8895-155B3B2B4642}"/>
    <cellStyle name="Normal 19 2 17" xfId="12693" xr:uid="{0AD78C3C-E021-4FB7-8631-CD4F2186DC73}"/>
    <cellStyle name="Normal 19 2 17 2" xfId="31408" xr:uid="{BD39F82A-CECC-44D8-8454-818B3A725D40}"/>
    <cellStyle name="Normal 19 2 17 3" xfId="31409" xr:uid="{9A2C2A96-BD3E-4857-9E84-8F70F6D0D3E4}"/>
    <cellStyle name="Normal 19 2 2" xfId="12694" xr:uid="{F87CB6B5-5D93-40BB-B423-EEBB10522BF1}"/>
    <cellStyle name="Normal 19 2 2 2" xfId="12695" xr:uid="{F5170031-7A53-4350-9203-B11E904CE7E9}"/>
    <cellStyle name="Normal 19 2 3" xfId="12696" xr:uid="{51C9B4DC-6829-4E21-95BD-AABC870C94E8}"/>
    <cellStyle name="Normal 19 2 4" xfId="12697" xr:uid="{3A88DFB1-9941-4860-9B86-0BDAE9542A88}"/>
    <cellStyle name="Normal 19 2 5" xfId="12698" xr:uid="{E783F759-3D15-4221-856A-3672476B0E48}"/>
    <cellStyle name="Normal 19 2 6" xfId="12699" xr:uid="{4EC180E5-0525-42C5-BE28-634896760624}"/>
    <cellStyle name="Normal 19 2 7" xfId="12700" xr:uid="{60AEA8DB-EC16-454E-90CC-FD5A0F9E1776}"/>
    <cellStyle name="Normal 19 2 8" xfId="12701" xr:uid="{60A602CF-786D-4801-AAEC-DEAE301B94CE}"/>
    <cellStyle name="Normal 19 2 8 2" xfId="12702" xr:uid="{A78243E6-337F-4C13-BDB3-F357BF1C37E5}"/>
    <cellStyle name="Normal 19 2 9" xfId="12703" xr:uid="{06829C01-47C7-49F0-ADA2-BAB56AF669BF}"/>
    <cellStyle name="Normal 19 2 9 2" xfId="31410" xr:uid="{6F67CF8C-5AEB-446F-8304-FEC5C372A5A2}"/>
    <cellStyle name="Normal 19 2 9 3" xfId="31411" xr:uid="{68765CA2-1C83-4D61-B7D1-82D846D18176}"/>
    <cellStyle name="Normal 19 20" xfId="12704" xr:uid="{DE3A01A9-854A-41AD-9409-A70395290019}"/>
    <cellStyle name="Normal 19 20 2" xfId="31412" xr:uid="{E3CEE1DC-4825-48E4-BC89-C723A820DFB0}"/>
    <cellStyle name="Normal 19 20 3" xfId="31413" xr:uid="{627352EE-2D89-4E58-96DD-251750FA0E1E}"/>
    <cellStyle name="Normal 19 21" xfId="12705" xr:uid="{A2D78118-11D1-4726-A2FA-C8348688B11A}"/>
    <cellStyle name="Normal 19 21 2" xfId="31414" xr:uid="{6D50886D-2996-4F0D-BF04-34510DB25314}"/>
    <cellStyle name="Normal 19 21 3" xfId="31415" xr:uid="{5F2C05C6-8C90-4705-B91E-0616D303C620}"/>
    <cellStyle name="Normal 19 22" xfId="12706" xr:uid="{A7C54F8D-4360-4C93-94B7-BDC082E6F8DE}"/>
    <cellStyle name="Normal 19 22 2" xfId="31416" xr:uid="{2C356141-F236-4AAF-AFF4-61CBD5C5DEFE}"/>
    <cellStyle name="Normal 19 22 3" xfId="31417" xr:uid="{AE6C1B1E-D09B-4573-9C92-F7C77812DF00}"/>
    <cellStyle name="Normal 19 23" xfId="31418" xr:uid="{84164BD9-F097-43D5-AD90-782D55F3EAA9}"/>
    <cellStyle name="Normal 19 3" xfId="12707" xr:uid="{F14A3E57-3A28-4930-AC27-5B563671159B}"/>
    <cellStyle name="Normal 19 3 10" xfId="12708" xr:uid="{612321E3-1950-4737-9F6E-F4CDD2B8240B}"/>
    <cellStyle name="Normal 19 3 10 2" xfId="31419" xr:uid="{CA07763D-0496-4521-A52F-3C14463592F1}"/>
    <cellStyle name="Normal 19 3 10 3" xfId="31420" xr:uid="{959A16E4-B1F0-44D3-B5CD-ACED23018375}"/>
    <cellStyle name="Normal 19 3 11" xfId="12709" xr:uid="{81CF69E4-BB6E-40E9-AF6A-992C6DA61D1C}"/>
    <cellStyle name="Normal 19 3 11 2" xfId="31421" xr:uid="{B38585BE-46D5-404E-9024-267CA6932F99}"/>
    <cellStyle name="Normal 19 3 11 3" xfId="31422" xr:uid="{47AE09D9-E34F-425D-851F-89BF4435EAC5}"/>
    <cellStyle name="Normal 19 3 12" xfId="12710" xr:uid="{34EB2F64-E798-4D3B-A06F-D256AA71C948}"/>
    <cellStyle name="Normal 19 3 12 2" xfId="31423" xr:uid="{5C0DA60E-C0B3-4436-89BD-98DC93E1AA22}"/>
    <cellStyle name="Normal 19 3 12 3" xfId="31424" xr:uid="{916861ED-BD9A-44C6-BF33-6BD5201F3178}"/>
    <cellStyle name="Normal 19 3 13" xfId="12711" xr:uid="{9D9F0F28-958C-45EA-82BF-AECA4BD5627D}"/>
    <cellStyle name="Normal 19 3 13 2" xfId="31425" xr:uid="{DAD11E82-6C07-4449-9C09-A6EA5C04142C}"/>
    <cellStyle name="Normal 19 3 13 3" xfId="31426" xr:uid="{7081A8AC-FEFB-4706-A9CA-7A35D608F6DF}"/>
    <cellStyle name="Normal 19 3 14" xfId="12712" xr:uid="{E90150AE-9BFD-4D88-A154-8429746963EC}"/>
    <cellStyle name="Normal 19 3 14 2" xfId="31427" xr:uid="{DD38517D-67BD-4F05-AFC0-2CE7ACB71920}"/>
    <cellStyle name="Normal 19 3 14 3" xfId="31428" xr:uid="{AF6C0C85-AECB-454A-8EF7-3F534400925C}"/>
    <cellStyle name="Normal 19 3 15" xfId="12713" xr:uid="{602160C2-CE18-4F94-85FD-74CD23C6E008}"/>
    <cellStyle name="Normal 19 3 15 2" xfId="31429" xr:uid="{1354A111-F248-4BEF-B85F-0607EEA946E2}"/>
    <cellStyle name="Normal 19 3 15 3" xfId="31430" xr:uid="{4014DDB7-1575-411F-A1A1-99C0E637BD75}"/>
    <cellStyle name="Normal 19 3 16" xfId="12714" xr:uid="{0AC9A53A-33ED-4246-829D-0A1E35ECCD67}"/>
    <cellStyle name="Normal 19 3 16 2" xfId="31431" xr:uid="{1CD9FBCE-825A-4CF7-A93D-69C5A7ACF92F}"/>
    <cellStyle name="Normal 19 3 16 3" xfId="31432" xr:uid="{AD7210A2-9059-45A8-ACED-185D2767BBBD}"/>
    <cellStyle name="Normal 19 3 17" xfId="12715" xr:uid="{852BEC10-185C-4753-B0A4-CE3EE3420CC0}"/>
    <cellStyle name="Normal 19 3 17 2" xfId="31433" xr:uid="{4F804278-3406-4666-87C0-86B900E9DA76}"/>
    <cellStyle name="Normal 19 3 17 3" xfId="31434" xr:uid="{C2AEEA0B-8CE1-468C-A164-8C11A0BF905B}"/>
    <cellStyle name="Normal 19 3 2" xfId="12716" xr:uid="{629FA9FA-ED24-449F-8D78-A7434AB11E32}"/>
    <cellStyle name="Normal 19 3 2 2" xfId="12717" xr:uid="{E9BDCF43-D50B-4BD7-A85A-4D5FE89F9331}"/>
    <cellStyle name="Normal 19 3 3" xfId="12718" xr:uid="{B38C9D85-0D9E-49A3-98BB-5331E285D0BF}"/>
    <cellStyle name="Normal 19 3 4" xfId="12719" xr:uid="{5A7C37B2-877F-470A-B8BC-7124548005BF}"/>
    <cellStyle name="Normal 19 3 5" xfId="12720" xr:uid="{1A1B35A1-6253-4DE9-95A4-49870F82A091}"/>
    <cellStyle name="Normal 19 3 6" xfId="12721" xr:uid="{A8F2734D-48B6-409D-8978-BA9C1469DD89}"/>
    <cellStyle name="Normal 19 3 7" xfId="12722" xr:uid="{CEF58A51-ED88-4A1E-80FE-55AC6AFBEF68}"/>
    <cellStyle name="Normal 19 3 8" xfId="12723" xr:uid="{39FCE00B-EE22-4C00-BE09-A1DC1A4868D6}"/>
    <cellStyle name="Normal 19 3 8 2" xfId="12724" xr:uid="{ED9719D4-68ED-470B-B0DD-86C75889C5FB}"/>
    <cellStyle name="Normal 19 3 9" xfId="12725" xr:uid="{7D32E9A1-547D-437C-9209-AF900529EE60}"/>
    <cellStyle name="Normal 19 3 9 2" xfId="31435" xr:uid="{C95690E3-85C6-47BD-AFC2-C3F8F18D9660}"/>
    <cellStyle name="Normal 19 3 9 3" xfId="31436" xr:uid="{C2EC6549-9A55-400A-BF1A-8C294EA19FD2}"/>
    <cellStyle name="Normal 19 4" xfId="12726" xr:uid="{AFDBB02F-3370-4855-A879-2DBF7C2F4639}"/>
    <cellStyle name="Normal 19 4 2" xfId="12727" xr:uid="{95F16E00-EE69-45FE-9686-9B1C2BC2689A}"/>
    <cellStyle name="Normal 19 4 2 2" xfId="12728" xr:uid="{94163340-C0AA-46D1-B916-8EE9746CFB02}"/>
    <cellStyle name="Normal 19 4 3" xfId="12729" xr:uid="{1701E562-B0E8-44FD-B3A4-68D27E152794}"/>
    <cellStyle name="Normal 19 4 4" xfId="12730" xr:uid="{CAF4BAA4-58AB-4CEE-BE79-D3A62EF7BBD2}"/>
    <cellStyle name="Normal 19 4 5" xfId="12731" xr:uid="{B8A17D0C-CDFB-496B-8F78-9CE49B146FB1}"/>
    <cellStyle name="Normal 19 4 6" xfId="12732" xr:uid="{06CC5AF1-72CB-4B05-A160-D2305F1AAD3B}"/>
    <cellStyle name="Normal 19 4 7" xfId="12733" xr:uid="{CA888502-0F97-420A-87B2-A4A1645CEBEB}"/>
    <cellStyle name="Normal 19 4 8" xfId="12734" xr:uid="{0D4FBD95-C2B9-4E6F-9696-9B2A9375028E}"/>
    <cellStyle name="Normal 19 4 8 2" xfId="12735" xr:uid="{06F45AFF-390B-4DA7-9443-6F994944C063}"/>
    <cellStyle name="Normal 19 5" xfId="12736" xr:uid="{A2D11E52-005E-4EE8-A17A-8CA7D96D4359}"/>
    <cellStyle name="Normal 19 5 2" xfId="12737" xr:uid="{E61FEC34-A09D-41C0-888A-498E04D51FA1}"/>
    <cellStyle name="Normal 19 5 2 2" xfId="12738" xr:uid="{BFC65F58-1627-4B15-AB6C-65D923D714AE}"/>
    <cellStyle name="Normal 19 5 3" xfId="12739" xr:uid="{8A66C13C-57A5-4AD2-9310-77DB3B839421}"/>
    <cellStyle name="Normal 19 5 4" xfId="12740" xr:uid="{3168F057-CF6F-4BB1-9027-E7E21ABCA683}"/>
    <cellStyle name="Normal 19 5 5" xfId="12741" xr:uid="{9B77817F-6C84-48C1-8107-C521533E9E77}"/>
    <cellStyle name="Normal 19 5 6" xfId="12742" xr:uid="{34EC4059-DAB1-4B45-843A-0A9154C2FF12}"/>
    <cellStyle name="Normal 19 5 7" xfId="12743" xr:uid="{2DBFEEC9-55FD-41E0-8A6A-3DB660693302}"/>
    <cellStyle name="Normal 19 5 8" xfId="12744" xr:uid="{DEE2DAAC-0585-454B-8ADE-EAFCE08445E8}"/>
    <cellStyle name="Normal 19 5 8 2" xfId="12745" xr:uid="{7C5C076B-4E64-4BA4-9520-C0923E35E025}"/>
    <cellStyle name="Normal 19 6" xfId="12746" xr:uid="{324FE9F7-A65B-4020-8881-40D49887DAF8}"/>
    <cellStyle name="Normal 19 6 2" xfId="12747" xr:uid="{8B0CA613-2284-44AC-9920-005C15C6F90A}"/>
    <cellStyle name="Normal 19 6 2 2" xfId="12748" xr:uid="{3CCEB50D-37D3-4AE2-823B-9086D9F13B58}"/>
    <cellStyle name="Normal 19 6 3" xfId="12749" xr:uid="{3536AE62-24B7-46C7-86BE-9B3554584385}"/>
    <cellStyle name="Normal 19 6 4" xfId="12750" xr:uid="{587D8484-5ECA-4966-91C8-CC2B93C8F027}"/>
    <cellStyle name="Normal 19 6 5" xfId="12751" xr:uid="{51D5ED02-6B2D-4F71-991C-5438524C7B0B}"/>
    <cellStyle name="Normal 19 6 6" xfId="12752" xr:uid="{16BC2A13-8FD2-4471-89B8-D19A3B684CD8}"/>
    <cellStyle name="Normal 19 6 7" xfId="12753" xr:uid="{A72089F8-81C8-4F29-9FE8-47E04F0E9B09}"/>
    <cellStyle name="Normal 19 6 8" xfId="12754" xr:uid="{A4F7A7D3-B442-4650-90CA-511E9FC91153}"/>
    <cellStyle name="Normal 19 6 8 2" xfId="12755" xr:uid="{46F47AF0-9423-4141-A723-337F42183474}"/>
    <cellStyle name="Normal 19 7" xfId="12756" xr:uid="{B36FD4C7-8075-4931-A95B-56E74D3FE30C}"/>
    <cellStyle name="Normal 19 7 2" xfId="12757" xr:uid="{B37F5BE1-F41B-4982-9C39-F210659B26B9}"/>
    <cellStyle name="Normal 19 8" xfId="12758" xr:uid="{1D27F374-9095-4601-A1B5-EAF7027D15FC}"/>
    <cellStyle name="Normal 19 9" xfId="12759" xr:uid="{E8AAF21D-5A47-4206-9C24-E93B19A3806D}"/>
    <cellStyle name="Normal 2" xfId="1" xr:uid="{00000000-0005-0000-0000-000007000000}"/>
    <cellStyle name="Normál 2" xfId="12760" xr:uid="{097EC53C-4B80-41E0-B0BD-D21DC8C69E5B}"/>
    <cellStyle name="Normal 2 10" xfId="78" xr:uid="{115B1B1E-DC29-4B28-8F07-E925490346DF}"/>
    <cellStyle name="Normal 2 10 2" xfId="12761" xr:uid="{00BB23F4-CEA4-4C52-A138-5AE51B5EAD06}"/>
    <cellStyle name="Normal 2 10 2 2" xfId="12762" xr:uid="{E2BC1372-4073-4348-8228-470EC54F594B}"/>
    <cellStyle name="Normal 2 10 2 2 2" xfId="31437" xr:uid="{0AB0C7B1-7206-4319-82F6-4735F199034A}"/>
    <cellStyle name="Normal 2 10 2 2 3" xfId="31438" xr:uid="{94C9E0BD-77F1-4C08-A1A1-9D6C792EEA4A}"/>
    <cellStyle name="Normal 2 10 2 3" xfId="31439" xr:uid="{40CFFB61-E208-4779-A21A-0F1CAAC80EA2}"/>
    <cellStyle name="Normal 2 10 2 4" xfId="31440" xr:uid="{82E05F4A-1531-454A-88A4-5A9632B7BB0C}"/>
    <cellStyle name="Normal 2 10 2 5" xfId="42827" xr:uid="{5D8936D6-D50C-4E66-B7BA-004F4F8B4A59}"/>
    <cellStyle name="Normal 2 10 2 6" xfId="45917" xr:uid="{3F4D43EF-D100-4E31-ABBA-B0317EE0D597}"/>
    <cellStyle name="Normal 2 10 3" xfId="31441" xr:uid="{76BF0E86-F05E-4DEB-B25C-35E0786F2401}"/>
    <cellStyle name="Normal 2 11" xfId="12763" xr:uid="{FE1D66FF-C618-4D70-A67B-372A963F0916}"/>
    <cellStyle name="Normal 2 12" xfId="12764" xr:uid="{5C90A18C-8744-4E0C-99A4-18F591E33B1E}"/>
    <cellStyle name="Normal 2 13" xfId="12765" xr:uid="{DC2144F4-7DB8-415B-99D7-938579949D7D}"/>
    <cellStyle name="Normal 2 14" xfId="12766" xr:uid="{B741F40F-4C42-4374-B023-F23862751B44}"/>
    <cellStyle name="Normal 2 15" xfId="12767" xr:uid="{B8F6A80C-4B12-453C-A892-3218CCA30B39}"/>
    <cellStyle name="Normal 2 16" xfId="12768" xr:uid="{755865A8-C868-48AE-A00D-722219CA35CF}"/>
    <cellStyle name="Normal 2 17" xfId="12769" xr:uid="{6A53262D-473E-45B7-AD00-555598556664}"/>
    <cellStyle name="Normal 2 18" xfId="12770" xr:uid="{4A4740BE-7233-427B-B2F2-351EFE60EE03}"/>
    <cellStyle name="Normal 2 18 2" xfId="12771" xr:uid="{7A38EDAE-2382-4FFB-8679-5D885BDC9144}"/>
    <cellStyle name="Normal 2 18 2 2" xfId="12772" xr:uid="{C12414E2-248F-450C-ADF3-D73789AC0F29}"/>
    <cellStyle name="Normal 2 18 2 3" xfId="12773" xr:uid="{BBF2B480-1F8E-49FD-B83D-E19DE953601A}"/>
    <cellStyle name="Normal 2 18 2 4" xfId="31442" xr:uid="{B91638D0-F24A-4203-8510-8202909A6678}"/>
    <cellStyle name="Normal 2 18 3" xfId="12774" xr:uid="{418AE0E2-D4D3-4313-B12E-B74FADFE4C33}"/>
    <cellStyle name="Normal 2 18 3 2" xfId="31443" xr:uid="{C1BE9756-1B99-448E-9FD0-F46F2E47225F}"/>
    <cellStyle name="Normal 2 18 3 3" xfId="31444" xr:uid="{FE699EC2-1E79-43B5-8188-8812C141D6AC}"/>
    <cellStyle name="Normal 2 18 3 4" xfId="31445" xr:uid="{4F3052D3-0063-49F2-830B-E20EA2FE5C57}"/>
    <cellStyle name="Normal 2 18 4" xfId="31446" xr:uid="{05F79539-6295-4582-AB9C-6995736649E9}"/>
    <cellStyle name="Normal 2 19" xfId="12775" xr:uid="{0670FD09-CB42-4329-BD68-08E58955B859}"/>
    <cellStyle name="Normal 2 19 2" xfId="12776" xr:uid="{702CE5B9-E125-4D9F-912F-2E5FC002BBF5}"/>
    <cellStyle name="Normal 2 19 2 2" xfId="31447" xr:uid="{5850F0D5-F97C-4A90-8848-31B1A68B4949}"/>
    <cellStyle name="Normal 2 19 3" xfId="12777" xr:uid="{3E87EB35-869B-4F77-8DCA-38E7FD41E0C0}"/>
    <cellStyle name="Normal 2 19 4" xfId="31448" xr:uid="{B646DEF7-D312-427B-A0AF-647336D62BE4}"/>
    <cellStyle name="Normal 2 2" xfId="7" xr:uid="{00000000-0005-0000-0000-000008000000}"/>
    <cellStyle name="Normal 2 2 10" xfId="12779" xr:uid="{E591ED15-92C9-49B1-A74A-805D98DED6C0}"/>
    <cellStyle name="Normal 2 2 10 2" xfId="12780" xr:uid="{9CD7C34D-3201-42C5-85BF-0109C9B6A629}"/>
    <cellStyle name="Normal 2 2 10 2 2" xfId="31449" xr:uid="{A4A0C648-EDF7-4D0D-8923-0698E2CD7209}"/>
    <cellStyle name="Normal 2 2 10 2 3" xfId="31450" xr:uid="{7ED1C982-2901-44DF-99A8-3DCFCEBB734F}"/>
    <cellStyle name="Normal 2 2 11" xfId="12781" xr:uid="{95C25DA2-14DE-4996-9B8F-4938D4E5A1E2}"/>
    <cellStyle name="Normal 2 2 11 2" xfId="12782" xr:uid="{9BCB6ACB-BF89-4513-8CF9-B6152C4F143A}"/>
    <cellStyle name="Normal 2 2 11 2 2" xfId="12783" xr:uid="{96DA62E6-8035-4050-8DE3-219166AB717B}"/>
    <cellStyle name="Normal 2 2 11 2 2 2" xfId="31451" xr:uid="{1FED127C-3182-4463-83AC-8294878929D0}"/>
    <cellStyle name="Normal 2 2 11 2 3" xfId="12784" xr:uid="{1F10D800-6564-4252-B1F5-B81204547EB4}"/>
    <cellStyle name="Normal 2 2 11 2 4" xfId="12785" xr:uid="{61224D4A-794A-48C9-AA31-6BC8733266FD}"/>
    <cellStyle name="Normal 2 2 11 3" xfId="12786" xr:uid="{4F41E44E-6350-49A9-A3B4-15CAF5080F89}"/>
    <cellStyle name="Normal 2 2 11 3 2" xfId="31452" xr:uid="{0C6C948D-3353-4C82-A9C8-678AA93DFEFD}"/>
    <cellStyle name="Normal 2 2 11 3 3" xfId="31453" xr:uid="{B4D97D07-8770-4520-A3D3-CCE68D9B1551}"/>
    <cellStyle name="Normal 2 2 11 4" xfId="12787" xr:uid="{93694D95-7F63-45A9-AF20-A6EDDAE204E1}"/>
    <cellStyle name="Normal 2 2 11 4 2" xfId="31454" xr:uid="{EB024494-9EAC-4082-9DD8-C1A4BB931347}"/>
    <cellStyle name="Normal 2 2 11 5" xfId="12788" xr:uid="{79C8E270-C0AC-4CFE-9361-1BE6FA689968}"/>
    <cellStyle name="Normal 2 2 12" xfId="12789" xr:uid="{5B2172BA-F2D2-4A3A-93F4-B5E0DF170492}"/>
    <cellStyle name="Normal 2 2 12 2" xfId="12790" xr:uid="{C771B1EA-2B77-4F0E-BB7E-FD7A5A3AA133}"/>
    <cellStyle name="Normal 2 2 12 2 2" xfId="31455" xr:uid="{D9FCD40C-9524-4BC5-8D86-184A933A5F7F}"/>
    <cellStyle name="Normal 2 2 12 2 3" xfId="31456" xr:uid="{CFAC0226-EDCC-4985-BD06-6A768BED9FB3}"/>
    <cellStyle name="Normal 2 2 13" xfId="12791" xr:uid="{D25E850B-A47C-40C4-ACC1-C78A81735180}"/>
    <cellStyle name="Normal 2 2 13 2" xfId="12792" xr:uid="{266C2FCB-999F-460D-9D08-99B54BCD57DC}"/>
    <cellStyle name="Normal 2 2 13 2 2" xfId="31457" xr:uid="{D1A77025-BCC2-42DA-AC9F-918EBBA50306}"/>
    <cellStyle name="Normal 2 2 13 2 3" xfId="31458" xr:uid="{BE7327AB-97FA-49DF-9B7E-2EC327EE043C}"/>
    <cellStyle name="Normal 2 2 13 3" xfId="12793" xr:uid="{91B1F8C4-6E64-4538-8708-3D6808EB835F}"/>
    <cellStyle name="Normal 2 2 13 3 2" xfId="31459" xr:uid="{D4C39512-1B4A-40C9-AA42-3E4C7DD34939}"/>
    <cellStyle name="Normal 2 2 13 4" xfId="12794" xr:uid="{A20366F5-75D6-4FF4-ADE6-9F1126DA4DFF}"/>
    <cellStyle name="Normal 2 2 14" xfId="12795" xr:uid="{885B7753-F5B7-49F0-8330-687C5558F83B}"/>
    <cellStyle name="Normal 2 2 14 2" xfId="12796" xr:uid="{8450A443-6D12-43A4-AC8A-259ABD6A3407}"/>
    <cellStyle name="Normal 2 2 14 2 2" xfId="31460" xr:uid="{AA00B07D-F2AC-4946-BB78-E4E94BAF2365}"/>
    <cellStyle name="Normal 2 2 14 3" xfId="31461" xr:uid="{90A4E42A-E040-414D-9A13-BF8B72D171CC}"/>
    <cellStyle name="Normal 2 2 14 4" xfId="31462" xr:uid="{E7540219-9FAD-4AB6-818F-75EB1E5C2E8C}"/>
    <cellStyle name="Normal 2 2 15" xfId="12797" xr:uid="{18660BBD-7460-4C22-91FF-F2D93A725870}"/>
    <cellStyle name="Normal 2 2 15 2" xfId="12798" xr:uid="{703978F7-57DB-4673-B726-D283068AE625}"/>
    <cellStyle name="Normal 2 2 15 3" xfId="31463" xr:uid="{90042EC7-7451-48E6-A6B2-B3F8B7D36E56}"/>
    <cellStyle name="Normal 2 2 15 4" xfId="31464" xr:uid="{F7697DBC-72FF-412D-8F58-5F8A07F03DC0}"/>
    <cellStyle name="Normal 2 2 15 5" xfId="31465" xr:uid="{0D022B9F-D8AF-4F2C-9AD4-9BF9308E4D11}"/>
    <cellStyle name="Normal 2 2 15 6" xfId="31466" xr:uid="{7CEE4DB9-AF0A-4BC8-84B5-A2D9989B8134}"/>
    <cellStyle name="Normal 2 2 16" xfId="12799" xr:uid="{7FF59A88-966E-4A71-924F-489D5C160036}"/>
    <cellStyle name="Normal 2 2 16 2" xfId="31467" xr:uid="{1A8C6C75-71F8-438A-B726-24B107B0F6E0}"/>
    <cellStyle name="Normal 2 2 16 3" xfId="31468" xr:uid="{AD4B3C94-3475-4673-9D04-194417EDA8B2}"/>
    <cellStyle name="Normal 2 2 17" xfId="12800" xr:uid="{99CC37CD-011F-4938-A2CE-BD85736D87C9}"/>
    <cellStyle name="Normal 2 2 17 2" xfId="31469" xr:uid="{A7DF0503-F5A0-441B-A2DC-4766C5D3FB06}"/>
    <cellStyle name="Normal 2 2 17 3" xfId="31470" xr:uid="{BE0570C5-CCCB-4D67-A824-99024559F71B}"/>
    <cellStyle name="Normal 2 2 18" xfId="12801" xr:uid="{2ABE3F09-8C6B-42B4-9474-7C7157FCE1BB}"/>
    <cellStyle name="Normal 2 2 18 2" xfId="31471" xr:uid="{1340E5D9-F827-48C3-98C3-3BD12C16A235}"/>
    <cellStyle name="Normal 2 2 18 3" xfId="31472" xr:uid="{2D38DD8A-C7E1-42E7-BAA5-EB221BA3BA80}"/>
    <cellStyle name="Normal 2 2 19" xfId="12802" xr:uid="{6E81A0C3-8B76-4743-A36E-9DB1D18868A2}"/>
    <cellStyle name="Normal 2 2 19 2" xfId="31473" xr:uid="{D689B802-FF0F-4F24-B27C-8F4BAE12A388}"/>
    <cellStyle name="Normal 2 2 19 3" xfId="31474" xr:uid="{FA9D4FCD-FED9-4B70-9564-3A7C9A6ABD96}"/>
    <cellStyle name="Normal 2 2 2" xfId="39" xr:uid="{2448344D-1BF1-4C36-B223-1A1C941503D4}"/>
    <cellStyle name="Normal 2 2 2 2" xfId="12803" xr:uid="{79D6456C-B0B1-4245-8549-6C8F52538771}"/>
    <cellStyle name="Normal 2 2 2 2 10" xfId="12804" xr:uid="{D72BE418-26BB-44FC-BD60-70E0A6AF10BD}"/>
    <cellStyle name="Normal 2 2 2 2 10 2" xfId="31475" xr:uid="{B4AD074F-05A7-4F33-9637-6219A6FA34FA}"/>
    <cellStyle name="Normal 2 2 2 2 10 3" xfId="31476" xr:uid="{5015A384-D34C-4D10-B8A8-29F5084CFF0D}"/>
    <cellStyle name="Normal 2 2 2 2 11" xfId="12805" xr:uid="{0FAA7C43-8FD0-480A-A6B2-A0128FD9D7F4}"/>
    <cellStyle name="Normal 2 2 2 2 11 2" xfId="31477" xr:uid="{7F0C5563-637C-4D62-A3A4-84C88B6AD0C8}"/>
    <cellStyle name="Normal 2 2 2 2 11 3" xfId="31478" xr:uid="{11388108-7769-4DB2-BB38-D01B7C3A7B5D}"/>
    <cellStyle name="Normal 2 2 2 2 12" xfId="12806" xr:uid="{81A2E125-3070-437D-BFA8-5816FDC35676}"/>
    <cellStyle name="Normal 2 2 2 2 12 2" xfId="31479" xr:uid="{7A278BC7-09F4-4DB4-8A14-C0B21F6BCBB0}"/>
    <cellStyle name="Normal 2 2 2 2 12 3" xfId="31480" xr:uid="{79D62768-DD0F-4D0A-8225-DFB0780CEE67}"/>
    <cellStyle name="Normal 2 2 2 2 13" xfId="12807" xr:uid="{8E6898C4-3B8D-4CDA-A850-946417BD2F65}"/>
    <cellStyle name="Normal 2 2 2 2 13 2" xfId="31481" xr:uid="{1F97A24F-0B4E-4691-A3CB-245285FA2966}"/>
    <cellStyle name="Normal 2 2 2 2 14" xfId="12808" xr:uid="{2F801643-4905-4B6B-9852-FA4D18B074CE}"/>
    <cellStyle name="Normal 2 2 2 2 15" xfId="31482" xr:uid="{0D28AA38-86CB-40E1-90CC-9B117E7C1B53}"/>
    <cellStyle name="Normal 2 2 2 2 16" xfId="31483" xr:uid="{31D63895-F6CD-40DB-84FB-D00D424D2D29}"/>
    <cellStyle name="Normal 2 2 2 2 2" xfId="12809" xr:uid="{FCE3759A-91A8-4DEF-B065-B0F00222DD65}"/>
    <cellStyle name="Normal 2 2 2 2 2 2" xfId="12810" xr:uid="{F2CA08A8-8F29-4DC6-9F30-DA333A2F6973}"/>
    <cellStyle name="Normal 2 2 2 2 2 2 2" xfId="31484" xr:uid="{6B108EE3-44DA-4774-9ED7-C9A6A2037AEF}"/>
    <cellStyle name="Normal 2 2 2 2 2 2 3" xfId="31485" xr:uid="{EA063B07-2BEA-4D2F-8C06-74DB38463A6A}"/>
    <cellStyle name="Normal 2 2 2 2 2 3" xfId="12811" xr:uid="{3612CF58-FF62-41C2-A60B-72F3AA8038FC}"/>
    <cellStyle name="Normal 2 2 2 2 2 4" xfId="12812" xr:uid="{22B5BF7D-58CB-4BA1-82CC-852148DEF540}"/>
    <cellStyle name="Normal 2 2 2 2 2 5" xfId="12813" xr:uid="{73BC3D6A-73ED-4331-AE03-3729D8D0600D}"/>
    <cellStyle name="Normal 2 2 2 2 2 6" xfId="12814" xr:uid="{7C5FF542-060B-4EC1-81BE-CBFA0254FD5B}"/>
    <cellStyle name="Normal 2 2 2 2 2 7" xfId="42828" xr:uid="{914593F4-8C1A-4E21-9CE5-ADD849C373E3}"/>
    <cellStyle name="Normal 2 2 2 2 3" xfId="12815" xr:uid="{F972F108-8A9A-4B11-A31E-B814F2146DE3}"/>
    <cellStyle name="Normal 2 2 2 2 3 2" xfId="31486" xr:uid="{9CAA6810-0E46-472C-9AFA-A7FF58FA3502}"/>
    <cellStyle name="Normal 2 2 2 2 3 3" xfId="31487" xr:uid="{D2283FC7-0DDF-4298-A304-87A7ACE7F8CB}"/>
    <cellStyle name="Normal 2 2 2 2 4" xfId="12816" xr:uid="{2ADCFFBB-5AC1-401C-B1CA-7E87F3D8DB74}"/>
    <cellStyle name="Normal 2 2 2 2 4 2" xfId="31488" xr:uid="{02F978C7-FBD0-4A43-BE66-CB66BE5927A5}"/>
    <cellStyle name="Normal 2 2 2 2 4 3" xfId="31489" xr:uid="{B144F660-94D1-4D78-8411-A7E4742D0D27}"/>
    <cellStyle name="Normal 2 2 2 2 5" xfId="12817" xr:uid="{A7B7E199-FD2B-4E29-95AA-711B1C531737}"/>
    <cellStyle name="Normal 2 2 2 2 5 2" xfId="31490" xr:uid="{764347BB-FCF9-425C-83AF-2D0A387251F0}"/>
    <cellStyle name="Normal 2 2 2 2 5 3" xfId="31491" xr:uid="{8CB71293-46B2-4D70-9D81-B21FE7F77D6B}"/>
    <cellStyle name="Normal 2 2 2 2 6" xfId="12818" xr:uid="{502E2C16-5CE0-41C6-97CD-4A6F1C8C3F32}"/>
    <cellStyle name="Normal 2 2 2 2 6 2" xfId="31492" xr:uid="{B8B9F92F-0A39-4A0C-9BD1-CED9FB955D1A}"/>
    <cellStyle name="Normal 2 2 2 2 6 3" xfId="31493" xr:uid="{62F8F835-ED3F-466B-9034-22FBCBA354DB}"/>
    <cellStyle name="Normal 2 2 2 2 7" xfId="12819" xr:uid="{23DB93CE-DB6E-4957-9003-51180A3137FC}"/>
    <cellStyle name="Normal 2 2 2 2 7 2" xfId="31494" xr:uid="{13B97B9A-0229-496B-A130-A053DD9F3C7A}"/>
    <cellStyle name="Normal 2 2 2 2 7 3" xfId="31495" xr:uid="{C757D524-46F2-4AA0-B39B-21EFD791E388}"/>
    <cellStyle name="Normal 2 2 2 2 8" xfId="12820" xr:uid="{E63AA9FF-CED6-4CB2-8D34-8211E3126333}"/>
    <cellStyle name="Normal 2 2 2 2 8 2" xfId="31496" xr:uid="{88829F8D-76E2-4353-ABB2-E030A8AFE70B}"/>
    <cellStyle name="Normal 2 2 2 2 8 3" xfId="31497" xr:uid="{6FB0ECFC-1721-42E4-8C83-C03F8F70D395}"/>
    <cellStyle name="Normal 2 2 2 2 9" xfId="12821" xr:uid="{BA55C814-D090-4447-969F-C09DDA197EB7}"/>
    <cellStyle name="Normal 2 2 2 2 9 2" xfId="31498" xr:uid="{51F6DDE3-FE72-4EE9-B75F-7EBCA3FFDA5C}"/>
    <cellStyle name="Normal 2 2 2 2 9 3" xfId="31499" xr:uid="{97FBFDA1-55DE-4F5C-8FF2-DCB5EBD1F910}"/>
    <cellStyle name="Normal 2 2 2 3" xfId="12822" xr:uid="{1844450F-4BAE-4DD0-8291-96D47651B300}"/>
    <cellStyle name="Normal 2 2 2 3 10" xfId="12823" xr:uid="{5E498ABD-6481-4AB0-8C28-54A922188D90}"/>
    <cellStyle name="Normal 2 2 2 3 10 2" xfId="31500" xr:uid="{B35B4E62-787A-4DFF-8481-DAE087BB97A2}"/>
    <cellStyle name="Normal 2 2 2 3 10 3" xfId="31501" xr:uid="{A890D221-77E1-453B-A942-A00F511F67E9}"/>
    <cellStyle name="Normal 2 2 2 3 11" xfId="12824" xr:uid="{BCC21155-E227-4A3F-B7DE-F646E660A6AC}"/>
    <cellStyle name="Normal 2 2 2 3 11 2" xfId="31502" xr:uid="{E8BABF98-944F-4D25-A38D-FD810E10A005}"/>
    <cellStyle name="Normal 2 2 2 3 11 3" xfId="31503" xr:uid="{589B47FE-2D66-48D0-9C33-708A9F510AF0}"/>
    <cellStyle name="Normal 2 2 2 3 12" xfId="12825" xr:uid="{A921DD33-C354-445E-A712-381D7959794E}"/>
    <cellStyle name="Normal 2 2 2 3 12 2" xfId="31504" xr:uid="{A96C461E-5529-44B9-B31C-97A4665A4141}"/>
    <cellStyle name="Normal 2 2 2 3 13" xfId="12826" xr:uid="{2956A7CB-AD24-414E-BA9A-99F10D59C40D}"/>
    <cellStyle name="Normal 2 2 2 3 14" xfId="31505" xr:uid="{01925105-2EC5-400E-B2B8-84E494AF153D}"/>
    <cellStyle name="Normal 2 2 2 3 15" xfId="42829" xr:uid="{8F0A5488-4C6B-4A89-B548-08E9938F30D0}"/>
    <cellStyle name="Normal 2 2 2 3 2" xfId="12827" xr:uid="{F4718719-753D-4B64-BCAC-5556D9FD7E76}"/>
    <cellStyle name="Normal 2 2 2 3 2 2" xfId="12828" xr:uid="{B63C44AB-F2B1-4BBE-BE85-9E754FDD86A5}"/>
    <cellStyle name="Normal 2 2 2 3 2 2 2" xfId="31506" xr:uid="{3FCC9B9D-F43E-47F5-8B11-5E72EFB6E89A}"/>
    <cellStyle name="Normal 2 2 2 3 2 3" xfId="12829" xr:uid="{651EBA96-C60C-4B4A-9C53-2CC48A8B2E52}"/>
    <cellStyle name="Normal 2 2 2 3 2 4" xfId="12830" xr:uid="{560022B4-6FC3-47AF-9555-826871FBA509}"/>
    <cellStyle name="Normal 2 2 2 3 3" xfId="12831" xr:uid="{35E7049D-3656-41A5-BE8F-DDC4872C058E}"/>
    <cellStyle name="Normal 2 2 2 3 3 2" xfId="31507" xr:uid="{6C1E0F30-E33F-433D-99E3-11339DC39445}"/>
    <cellStyle name="Normal 2 2 2 3 3 3" xfId="31508" xr:uid="{7DDC43D7-2279-419D-8D75-9F18C1EA3E8C}"/>
    <cellStyle name="Normal 2 2 2 3 4" xfId="12832" xr:uid="{2FFB33CF-C8B4-4623-B902-1C827A94217A}"/>
    <cellStyle name="Normal 2 2 2 3 4 2" xfId="31509" xr:uid="{3B134539-584A-4299-81E3-D814C975691F}"/>
    <cellStyle name="Normal 2 2 2 3 4 3" xfId="31510" xr:uid="{8E77EA60-DCD7-4DEF-99D5-5EFDA33325C5}"/>
    <cellStyle name="Normal 2 2 2 3 5" xfId="12833" xr:uid="{D42EC10E-AC98-4428-980E-108BB590C63B}"/>
    <cellStyle name="Normal 2 2 2 3 5 2" xfId="31511" xr:uid="{624F9D2B-45A0-42EC-B03D-273FB56719FE}"/>
    <cellStyle name="Normal 2 2 2 3 5 3" xfId="31512" xr:uid="{2860F7A4-A8D1-4542-9ADD-9F65DBAA2F31}"/>
    <cellStyle name="Normal 2 2 2 3 6" xfId="12834" xr:uid="{F3F165A9-E34D-41CE-8D6B-AF0D987819F9}"/>
    <cellStyle name="Normal 2 2 2 3 6 2" xfId="31513" xr:uid="{4DFC680A-96B8-448A-8409-C673C0CFF540}"/>
    <cellStyle name="Normal 2 2 2 3 6 3" xfId="31514" xr:uid="{DF27CDE3-613D-46F0-BC8D-AC4288995081}"/>
    <cellStyle name="Normal 2 2 2 3 7" xfId="12835" xr:uid="{CD43F3C6-331E-4319-B95C-CEEC76D0735A}"/>
    <cellStyle name="Normal 2 2 2 3 7 2" xfId="31515" xr:uid="{24248B41-37E6-4407-B7B7-06367EDB13CD}"/>
    <cellStyle name="Normal 2 2 2 3 7 3" xfId="31516" xr:uid="{3D90BE61-8587-456E-A9C8-6903161D1722}"/>
    <cellStyle name="Normal 2 2 2 3 8" xfId="12836" xr:uid="{3EF84588-7E2F-40D9-B231-E73D450BF7EA}"/>
    <cellStyle name="Normal 2 2 2 3 8 2" xfId="31517" xr:uid="{DEC13B34-6CB6-42A7-9E8F-A54CC6AF81CD}"/>
    <cellStyle name="Normal 2 2 2 3 8 3" xfId="31518" xr:uid="{FDA2724E-E09B-490F-BCE7-8E0B533D1901}"/>
    <cellStyle name="Normal 2 2 2 3 9" xfId="12837" xr:uid="{4BD0DE02-B38A-464D-AC33-7761AD594661}"/>
    <cellStyle name="Normal 2 2 2 3 9 2" xfId="31519" xr:uid="{AC9CFD70-D622-4477-8F8D-D619F5DA688A}"/>
    <cellStyle name="Normal 2 2 2 3 9 3" xfId="31520" xr:uid="{3496C9EE-F96D-412F-9E42-7E77DC351CB7}"/>
    <cellStyle name="Normal 2 2 2 4" xfId="12838" xr:uid="{C60F3926-1B89-4F8E-8622-C2892A0F4098}"/>
    <cellStyle name="Normal 2 2 2 4 10" xfId="12839" xr:uid="{6A4CC81F-0D30-4914-AA11-201DF1C7E965}"/>
    <cellStyle name="Normal 2 2 2 4 10 2" xfId="31521" xr:uid="{69549301-D0E5-49C2-AC8B-4F98F542008D}"/>
    <cellStyle name="Normal 2 2 2 4 10 3" xfId="31522" xr:uid="{844FBCBA-EA6D-4B3C-AD15-32833149D9FB}"/>
    <cellStyle name="Normal 2 2 2 4 11" xfId="12840" xr:uid="{4CAF222E-DE2E-4F8F-AC1C-C5C5EE930702}"/>
    <cellStyle name="Normal 2 2 2 4 11 2" xfId="31523" xr:uid="{62F76C1F-C631-4392-B4F9-07B88CC9AEB2}"/>
    <cellStyle name="Normal 2 2 2 4 11 3" xfId="31524" xr:uid="{F9416BD1-6D75-48FE-8F62-1D6A61AD52A7}"/>
    <cellStyle name="Normal 2 2 2 4 12" xfId="12841" xr:uid="{A9A7407E-02D3-49D5-BC71-6AD1119C806F}"/>
    <cellStyle name="Normal 2 2 2 4 12 2" xfId="31525" xr:uid="{DE70FB1C-153F-4CFB-9728-2C68DEB2939D}"/>
    <cellStyle name="Normal 2 2 2 4 13" xfId="12842" xr:uid="{226D42E4-78A5-4A61-80A4-14A0585D357E}"/>
    <cellStyle name="Normal 2 2 2 4 14" xfId="31526" xr:uid="{EDF81BF8-3A1E-481B-A104-47C3497C5431}"/>
    <cellStyle name="Normal 2 2 2 4 15" xfId="31527" xr:uid="{CA412E4F-F76D-4D50-9733-3CD23A8BBD20}"/>
    <cellStyle name="Normal 2 2 2 4 16" xfId="42830" xr:uid="{5C92FD06-47EC-4682-9BB8-5EF20BFE8A52}"/>
    <cellStyle name="Normal 2 2 2 4 2" xfId="12843" xr:uid="{314331AD-3F4F-42F7-952A-EC4CAE239D94}"/>
    <cellStyle name="Normal 2 2 2 4 2 2" xfId="12844" xr:uid="{E5E35082-AFB3-4A29-B08D-3CCDBD5F7E1B}"/>
    <cellStyle name="Normal 2 2 2 4 2 2 2" xfId="31528" xr:uid="{2ACE90AD-27F3-422E-B828-895C7E19737A}"/>
    <cellStyle name="Normal 2 2 2 4 2 3" xfId="12845" xr:uid="{12D10C00-B6E0-4F5A-AF1A-552AD898C6E3}"/>
    <cellStyle name="Normal 2 2 2 4 2 4" xfId="12846" xr:uid="{AD3B2A66-8928-48B9-ABF8-1AC09BC651A4}"/>
    <cellStyle name="Normal 2 2 2 4 3" xfId="12847" xr:uid="{A39CDCFD-53DF-418D-948A-F7860FE03321}"/>
    <cellStyle name="Normal 2 2 2 4 3 2" xfId="31529" xr:uid="{DF3F6930-2E08-45A6-A6D2-3E96779CAE85}"/>
    <cellStyle name="Normal 2 2 2 4 3 3" xfId="31530" xr:uid="{739D5FE4-D5EE-42D0-8964-D00541E65D1C}"/>
    <cellStyle name="Normal 2 2 2 4 4" xfId="12848" xr:uid="{0F34EAAD-8668-466C-B5AF-438282EB0E10}"/>
    <cellStyle name="Normal 2 2 2 4 4 2" xfId="31531" xr:uid="{F3C17FFB-F234-48EB-9FB8-6182D4BFDDA1}"/>
    <cellStyle name="Normal 2 2 2 4 4 3" xfId="31532" xr:uid="{53E7F31B-6AD5-4EE1-95EA-299F65E5AC26}"/>
    <cellStyle name="Normal 2 2 2 4 5" xfId="12849" xr:uid="{CAB0CC96-EAA7-4ACD-A163-C0AE4FC31E26}"/>
    <cellStyle name="Normal 2 2 2 4 5 2" xfId="31533" xr:uid="{F0D539C0-F470-47DC-8897-7395826D5990}"/>
    <cellStyle name="Normal 2 2 2 4 5 3" xfId="31534" xr:uid="{BC0F354F-1DAD-41C1-8F6A-92B8D8155B8C}"/>
    <cellStyle name="Normal 2 2 2 4 6" xfId="12850" xr:uid="{1B314E85-07C3-4F45-868C-5126C2F9FE7F}"/>
    <cellStyle name="Normal 2 2 2 4 6 2" xfId="31535" xr:uid="{985F0A82-EE04-4374-8E9B-1AD6E64A033A}"/>
    <cellStyle name="Normal 2 2 2 4 6 3" xfId="31536" xr:uid="{9689C85E-74B9-4BD3-955E-83E1545FC776}"/>
    <cellStyle name="Normal 2 2 2 4 7" xfId="12851" xr:uid="{7B19C87D-AE07-4C77-9507-949FC340E5C5}"/>
    <cellStyle name="Normal 2 2 2 4 7 2" xfId="31537" xr:uid="{E9821D73-BD27-48F0-939A-D7B760D3ECE0}"/>
    <cellStyle name="Normal 2 2 2 4 7 3" xfId="31538" xr:uid="{CF6B6549-87FA-4202-BD3E-CB569FA6D85F}"/>
    <cellStyle name="Normal 2 2 2 4 8" xfId="12852" xr:uid="{39329A55-2549-49B4-82AB-1E80D7295670}"/>
    <cellStyle name="Normal 2 2 2 4 8 2" xfId="31539" xr:uid="{1C00564A-BD05-47AC-B0B3-95FD42FB879A}"/>
    <cellStyle name="Normal 2 2 2 4 8 3" xfId="31540" xr:uid="{C4A9B4D3-CB26-4511-8D11-3678D1BA3015}"/>
    <cellStyle name="Normal 2 2 2 4 9" xfId="12853" xr:uid="{AC5524F5-C427-45A8-B2E7-BE455B332203}"/>
    <cellStyle name="Normal 2 2 2 4 9 2" xfId="31541" xr:uid="{4CAB84BC-DE4E-4798-8A79-4C7A5C565D2A}"/>
    <cellStyle name="Normal 2 2 2 4 9 3" xfId="31542" xr:uid="{C3864A3A-B01D-4896-AED1-FB32EC15DA20}"/>
    <cellStyle name="Normal 2 2 2 5" xfId="12854" xr:uid="{4F4B7079-DFC4-49A2-BF14-B4481B4D431F}"/>
    <cellStyle name="Normal 2 2 2 5 10" xfId="12855" xr:uid="{EA1A268C-59F8-4B41-A69A-B41759A841AE}"/>
    <cellStyle name="Normal 2 2 2 5 10 2" xfId="31543" xr:uid="{0FAD3CBE-3278-4558-A42A-8007BEC7AD81}"/>
    <cellStyle name="Normal 2 2 2 5 10 3" xfId="31544" xr:uid="{38E36D77-C22C-4CF2-B371-CA799896BF7F}"/>
    <cellStyle name="Normal 2 2 2 5 11" xfId="12856" xr:uid="{9B33D75F-95F2-467A-BAE9-2E93C3A2B443}"/>
    <cellStyle name="Normal 2 2 2 5 11 2" xfId="31545" xr:uid="{7E677A53-FEB1-4662-ABF1-595259129041}"/>
    <cellStyle name="Normal 2 2 2 5 11 3" xfId="31546" xr:uid="{C448FF76-602C-49CC-9113-4B2423402D42}"/>
    <cellStyle name="Normal 2 2 2 5 12" xfId="12857" xr:uid="{24E8B09D-675A-4B80-BED6-2B89D2C51FA0}"/>
    <cellStyle name="Normal 2 2 2 5 12 2" xfId="31547" xr:uid="{BD60D677-1557-4A31-A4B5-1161A2730AFF}"/>
    <cellStyle name="Normal 2 2 2 5 13" xfId="12858" xr:uid="{CF51E05C-2A10-4B21-B8AB-DB1F79377348}"/>
    <cellStyle name="Normal 2 2 2 5 14" xfId="31548" xr:uid="{C671AA5A-7381-462F-9849-0779F3374D5D}"/>
    <cellStyle name="Normal 2 2 2 5 2" xfId="12859" xr:uid="{86BE5A81-203F-496B-B3E6-7A72BF01B32E}"/>
    <cellStyle name="Normal 2 2 2 5 2 2" xfId="12860" xr:uid="{56CAFBBF-D927-496D-BA65-92B77F072938}"/>
    <cellStyle name="Normal 2 2 2 5 2 2 2" xfId="31549" xr:uid="{B145E720-504F-45CF-9B6D-B30FF89B285A}"/>
    <cellStyle name="Normal 2 2 2 5 2 3" xfId="12861" xr:uid="{A69DECE1-E6B0-49CB-8BB5-8CDA599AFBBE}"/>
    <cellStyle name="Normal 2 2 2 5 2 4" xfId="12862" xr:uid="{B03AB444-FFB6-41A0-ACC9-1469C05299D4}"/>
    <cellStyle name="Normal 2 2 2 5 3" xfId="12863" xr:uid="{7EF9357E-749C-4ABB-9AEF-A03D8213E465}"/>
    <cellStyle name="Normal 2 2 2 5 3 2" xfId="31550" xr:uid="{3F9BB4D8-B8F8-4184-96D5-4652FD9FB9BA}"/>
    <cellStyle name="Normal 2 2 2 5 3 3" xfId="31551" xr:uid="{935458C6-F2C9-4722-AAE7-2BED0895B3E0}"/>
    <cellStyle name="Normal 2 2 2 5 4" xfId="12864" xr:uid="{BCBD1944-8E70-4BD4-9F60-25513D9A02EE}"/>
    <cellStyle name="Normal 2 2 2 5 4 2" xfId="31552" xr:uid="{0C9A9FDD-612C-460A-8260-7FB62D145A46}"/>
    <cellStyle name="Normal 2 2 2 5 4 3" xfId="31553" xr:uid="{603F2B63-66B0-48DF-ABAF-5ACB82B12E76}"/>
    <cellStyle name="Normal 2 2 2 5 5" xfId="12865" xr:uid="{3A45FCF3-53D8-45C0-8D0A-E0D613522DF3}"/>
    <cellStyle name="Normal 2 2 2 5 5 2" xfId="31554" xr:uid="{E2E54556-51ED-48AD-B34D-A101C91D0B4C}"/>
    <cellStyle name="Normal 2 2 2 5 5 3" xfId="31555" xr:uid="{F9BFED5A-0501-44F4-BF3D-551D2BDBBE7E}"/>
    <cellStyle name="Normal 2 2 2 5 6" xfId="12866" xr:uid="{073BA909-1963-46B8-A6D6-E305270735D8}"/>
    <cellStyle name="Normal 2 2 2 5 6 2" xfId="31556" xr:uid="{B76C6796-CB20-4F8F-AC88-936BCADF6713}"/>
    <cellStyle name="Normal 2 2 2 5 6 3" xfId="31557" xr:uid="{D85BA283-75AF-48DD-B010-B919DC0FA932}"/>
    <cellStyle name="Normal 2 2 2 5 7" xfId="12867" xr:uid="{32B6AB80-E002-4ABC-9A21-67097ECCF754}"/>
    <cellStyle name="Normal 2 2 2 5 7 2" xfId="31558" xr:uid="{565D7297-7CA3-41F7-AD1A-C4EC00355DA3}"/>
    <cellStyle name="Normal 2 2 2 5 7 3" xfId="31559" xr:uid="{1CC67ED6-2B31-45A3-9C61-370027B23333}"/>
    <cellStyle name="Normal 2 2 2 5 8" xfId="12868" xr:uid="{179DAE9F-F370-48D5-88E6-12BF2816A1EE}"/>
    <cellStyle name="Normal 2 2 2 5 8 2" xfId="31560" xr:uid="{6D79E5AB-5E63-442A-B5FF-3DE33DEDC856}"/>
    <cellStyle name="Normal 2 2 2 5 8 3" xfId="31561" xr:uid="{4E68E70B-4C1D-4960-8CE5-C033C5C5BFC1}"/>
    <cellStyle name="Normal 2 2 2 5 9" xfId="12869" xr:uid="{CB0D65EE-DD9A-43D5-BD97-0EB436C62D94}"/>
    <cellStyle name="Normal 2 2 2 5 9 2" xfId="31562" xr:uid="{4B95D651-7703-4261-A3B5-A81CD208B978}"/>
    <cellStyle name="Normal 2 2 2 5 9 3" xfId="31563" xr:uid="{5A667EE8-BF16-4ADB-A4BC-1A57B412C29B}"/>
    <cellStyle name="Normal 2 2 2 6" xfId="12870" xr:uid="{FCF3276B-BBB8-439C-BE5E-9EA5641AA329}"/>
    <cellStyle name="Normal 2 2 2 6 10" xfId="12871" xr:uid="{0F072EC0-6CBE-4112-80ED-CC09B82305F4}"/>
    <cellStyle name="Normal 2 2 2 6 10 2" xfId="31564" xr:uid="{983CC84F-5BE6-41C2-B1F8-6F4FEAB37D62}"/>
    <cellStyle name="Normal 2 2 2 6 10 3" xfId="31565" xr:uid="{0A8B5D9E-25DD-4004-8E28-F3EAB5EB97B3}"/>
    <cellStyle name="Normal 2 2 2 6 11" xfId="12872" xr:uid="{EE155963-18EC-483C-946B-CD4B412046C2}"/>
    <cellStyle name="Normal 2 2 2 6 11 2" xfId="31566" xr:uid="{4302C869-79D7-4D87-A9A4-459C1885A5A8}"/>
    <cellStyle name="Normal 2 2 2 6 11 3" xfId="31567" xr:uid="{CFB43C42-3405-496C-B918-0F178AB13939}"/>
    <cellStyle name="Normal 2 2 2 6 12" xfId="12873" xr:uid="{27118A6C-7089-4747-AA35-D71458FFD034}"/>
    <cellStyle name="Normal 2 2 2 6 12 2" xfId="31568" xr:uid="{E2B1A6DB-2869-4002-A94A-3362246CCAC5}"/>
    <cellStyle name="Normal 2 2 2 6 13" xfId="12874" xr:uid="{E4A46296-E835-4CAD-A860-65833232C37F}"/>
    <cellStyle name="Normal 2 2 2 6 14" xfId="31569" xr:uid="{7FE22B95-7CBA-40B1-986E-3B137AA330AC}"/>
    <cellStyle name="Normal 2 2 2 6 2" xfId="12875" xr:uid="{7B4E8470-3A0C-4229-8DFC-CCD463B488A7}"/>
    <cellStyle name="Normal 2 2 2 6 2 2" xfId="12876" xr:uid="{B465CC6D-7D65-45FA-958A-034A827CD256}"/>
    <cellStyle name="Normal 2 2 2 6 2 2 2" xfId="31570" xr:uid="{1D10629C-F6FA-4028-973F-0542DDCF0170}"/>
    <cellStyle name="Normal 2 2 2 6 2 3" xfId="12877" xr:uid="{14B54AC3-A4E7-4F58-8053-B40268DDB13B}"/>
    <cellStyle name="Normal 2 2 2 6 2 4" xfId="12878" xr:uid="{F68934F9-8461-42B5-AE44-B3276FB1FD69}"/>
    <cellStyle name="Normal 2 2 2 6 3" xfId="12879" xr:uid="{1FEC4412-FA3C-43DE-9473-8FDC6E295642}"/>
    <cellStyle name="Normal 2 2 2 6 3 2" xfId="31571" xr:uid="{732EEAB5-A5FF-48E9-9237-93E95DB4BD44}"/>
    <cellStyle name="Normal 2 2 2 6 3 3" xfId="31572" xr:uid="{C14B811A-FCD9-465E-9E57-FE0C2D2F29C3}"/>
    <cellStyle name="Normal 2 2 2 6 4" xfId="12880" xr:uid="{1767708F-14D5-44D1-8250-09F8DE86C86E}"/>
    <cellStyle name="Normal 2 2 2 6 4 2" xfId="31573" xr:uid="{19D87EC8-B347-4EB5-8918-5470257466E3}"/>
    <cellStyle name="Normal 2 2 2 6 4 3" xfId="31574" xr:uid="{962FA3FE-0EED-49EA-A826-3DF14B796C50}"/>
    <cellStyle name="Normal 2 2 2 6 5" xfId="12881" xr:uid="{D4891FE7-93DC-4650-A3AC-AC17D242596B}"/>
    <cellStyle name="Normal 2 2 2 6 5 2" xfId="31575" xr:uid="{8DFBC652-1BA6-4C24-81E6-5DDE6D7A3BA2}"/>
    <cellStyle name="Normal 2 2 2 6 5 3" xfId="31576" xr:uid="{E02CA3F8-2D8D-44CC-96C4-ECDB5B592210}"/>
    <cellStyle name="Normal 2 2 2 6 6" xfId="12882" xr:uid="{CB538C69-7C12-464E-9B0E-7037D590FEFA}"/>
    <cellStyle name="Normal 2 2 2 6 6 2" xfId="31577" xr:uid="{96673B2D-5A29-485D-88F6-E1814CD4C09F}"/>
    <cellStyle name="Normal 2 2 2 6 6 3" xfId="31578" xr:uid="{ECAF31C2-975F-4E5A-9476-7C697D2C5EB7}"/>
    <cellStyle name="Normal 2 2 2 6 7" xfId="12883" xr:uid="{7C4DDFC4-2296-494F-B86F-B02EA668DE17}"/>
    <cellStyle name="Normal 2 2 2 6 7 2" xfId="31579" xr:uid="{BDFFC8C1-603B-47D5-A14C-7FF9DE58A964}"/>
    <cellStyle name="Normal 2 2 2 6 7 3" xfId="31580" xr:uid="{E8B9D6E2-3D19-467F-BC41-F18CFEFBBF1D}"/>
    <cellStyle name="Normal 2 2 2 6 8" xfId="12884" xr:uid="{6B3E4D7E-5E4A-429C-AD82-97F79AD5B9AF}"/>
    <cellStyle name="Normal 2 2 2 6 8 2" xfId="31581" xr:uid="{1759AB86-CDEF-4C1D-B24E-C8FB7AD564EC}"/>
    <cellStyle name="Normal 2 2 2 6 8 3" xfId="31582" xr:uid="{AF31DC04-428E-4013-A706-5D883ACFE648}"/>
    <cellStyle name="Normal 2 2 2 6 9" xfId="12885" xr:uid="{CE3CA57E-8121-410E-8F5C-E30B3B1A6A24}"/>
    <cellStyle name="Normal 2 2 2 6 9 2" xfId="31583" xr:uid="{6C86C4ED-7C77-4FDA-A245-0B14882E8452}"/>
    <cellStyle name="Normal 2 2 2 6 9 3" xfId="31584" xr:uid="{9D98ED43-E2D9-44FA-8969-F8B94501C340}"/>
    <cellStyle name="Normal 2 2 2 7" xfId="12886" xr:uid="{2E1B0D89-2304-45E3-890D-1BAD047D5727}"/>
    <cellStyle name="Normal 2 2 2 7 2" xfId="12887" xr:uid="{5950F08F-6DDB-4BBC-9C15-43262C642AF0}"/>
    <cellStyle name="Normal 2 2 2 7 2 2" xfId="12888" xr:uid="{80F31BF7-3092-49CE-B7AB-51413152FCA4}"/>
    <cellStyle name="Normal 2 2 2 7 2 2 2" xfId="31585" xr:uid="{C0B43CD7-6E7D-4A81-BCB6-CF67CAE58F31}"/>
    <cellStyle name="Normal 2 2 2 7 2 3" xfId="12889" xr:uid="{E33872B8-5F2C-450C-AEDA-0BBF98F293C2}"/>
    <cellStyle name="Normal 2 2 2 7 2 3 2" xfId="31586" xr:uid="{6662F208-B099-43D6-BBC4-169ABCD8495C}"/>
    <cellStyle name="Normal 2 2 2 7 2 3 3" xfId="31587" xr:uid="{DE690A89-1BE5-4A19-9A15-5F426F943288}"/>
    <cellStyle name="Normal 2 2 2 7 2 4" xfId="12890" xr:uid="{C49D633E-3FB7-445B-ABDB-4143A85D0F3D}"/>
    <cellStyle name="Normal 2 2 2 7 3" xfId="12891" xr:uid="{88D14072-C517-448D-9FEE-B3707A13DA6F}"/>
    <cellStyle name="Normal 2 2 2 7 3 2" xfId="31588" xr:uid="{7A6BC9F7-9D45-43F4-9CFA-E44A606AA3D0}"/>
    <cellStyle name="Normal 2 2 2 7 4" xfId="12892" xr:uid="{1B98A286-F2B3-493B-B1BE-392855F646B0}"/>
    <cellStyle name="Normal 2 2 2 7 4 2" xfId="31589" xr:uid="{724421AF-7F65-491A-AB44-D7438A669384}"/>
    <cellStyle name="Normal 2 2 2 7 4 3" xfId="31590" xr:uid="{B7646437-E2FA-4D63-AC92-3D35348309C6}"/>
    <cellStyle name="Normal 2 2 2 7 5" xfId="12893" xr:uid="{D7F55649-7A0F-4A60-B91B-40A7F744B00C}"/>
    <cellStyle name="Normal 2 2 2 8" xfId="12894" xr:uid="{043225AC-C73E-4678-8D14-7E403F97F1C9}"/>
    <cellStyle name="Normal 2 2 2 8 2" xfId="12895" xr:uid="{25C1BEB0-CE7A-4C8C-8320-4FAE91D4CC71}"/>
    <cellStyle name="Normal 2 2 2 8 2 2" xfId="12896" xr:uid="{94D23383-CA53-4345-8105-08AF7C65ECDC}"/>
    <cellStyle name="Normal 2 2 2 8 2 2 2" xfId="31591" xr:uid="{A9C7A26F-DFD6-4EB6-9901-2193A60CC512}"/>
    <cellStyle name="Normal 2 2 2 8 2 3" xfId="12897" xr:uid="{47643ADF-594E-499B-9D5C-415C559BF65E}"/>
    <cellStyle name="Normal 2 2 2 8 2 4" xfId="12898" xr:uid="{E76B3817-B9F3-4FD4-B361-4E2F473DBEDE}"/>
    <cellStyle name="Normal 2 2 2 8 3" xfId="12899" xr:uid="{4822ABC8-5AE9-48FB-8118-7FC4D4ACA84A}"/>
    <cellStyle name="Normal 2 2 2 8 3 2" xfId="31592" xr:uid="{5E16500E-7FCC-4AC4-948A-A843EBA69B19}"/>
    <cellStyle name="Normal 2 2 2 8 4" xfId="12900" xr:uid="{70E5E4CE-CE72-429D-B4D6-D8612D3CBAB4}"/>
    <cellStyle name="Normal 2 2 2 8 5" xfId="12901" xr:uid="{95DB48ED-1188-4C2C-A752-FDF1A4A25DA6}"/>
    <cellStyle name="Normal 2 2 2 9" xfId="12902" xr:uid="{373F905A-2876-497D-A0D8-5BE63E5E788F}"/>
    <cellStyle name="Normal 2 2 2 9 2" xfId="12903" xr:uid="{C4865550-2ECF-48F4-A1D6-E2E246E2BD99}"/>
    <cellStyle name="Normal 2 2 2 9 2 2" xfId="31593" xr:uid="{B4D09D84-F252-4F70-ACD9-1FE8F7234FFD}"/>
    <cellStyle name="Normal 2 2 2 9 3" xfId="31594" xr:uid="{DDE318DE-BE92-4006-9841-96526B7C404B}"/>
    <cellStyle name="Normal 2 2 2 9 4" xfId="31595" xr:uid="{ECF3F12B-F506-4DD8-A4A6-D32E29A9ED69}"/>
    <cellStyle name="Normal 2 2 20" xfId="12904" xr:uid="{B7742883-DDC3-48B0-B1E5-4E11A7FF0230}"/>
    <cellStyle name="Normal 2 2 20 2" xfId="31596" xr:uid="{9D8B6881-42C1-470D-8D51-776592A0EFAE}"/>
    <cellStyle name="Normal 2 2 20 3" xfId="31597" xr:uid="{E6E605AD-2115-4F2D-88EE-8DA2844934E8}"/>
    <cellStyle name="Normal 2 2 21" xfId="12905" xr:uid="{AF0C09F0-F5A0-4444-92C6-9F3A0821318D}"/>
    <cellStyle name="Normal 2 2 21 2" xfId="31598" xr:uid="{A2F100C5-5B0D-4738-BB7E-3A148BAA23EA}"/>
    <cellStyle name="Normal 2 2 21 3" xfId="31599" xr:uid="{55BFBDC6-BC6E-452D-890E-7A068ECD742D}"/>
    <cellStyle name="Normal 2 2 22" xfId="12906" xr:uid="{397E56ED-3109-49B4-8CFF-2AFD76980559}"/>
    <cellStyle name="Normal 2 2 22 2" xfId="31600" xr:uid="{1B119D91-E51B-4087-A398-87D0A5D2E8FC}"/>
    <cellStyle name="Normal 2 2 22 3" xfId="31601" xr:uid="{7D6F7E41-C434-462F-A47B-6D27E66F0B6E}"/>
    <cellStyle name="Normal 2 2 23" xfId="12907" xr:uid="{E801232B-1B12-458B-99D7-729DB5814215}"/>
    <cellStyle name="Normal 2 2 23 2" xfId="31602" xr:uid="{47CEDD83-A16C-49A8-B3EB-1F3F16B51E5B}"/>
    <cellStyle name="Normal 2 2 23 3" xfId="31603" xr:uid="{8E5A4D27-7AEB-4F74-94DA-A933A8ED4FF4}"/>
    <cellStyle name="Normal 2 2 24" xfId="12908" xr:uid="{B587260F-E368-40D2-A3B3-1D23D37D2E77}"/>
    <cellStyle name="Normal 2 2 25" xfId="31604" xr:uid="{CC9A21C6-6EC2-429D-8C9F-F5FBFE9B637D}"/>
    <cellStyle name="Normal 2 2 26" xfId="12778" xr:uid="{82061353-E48E-4388-9B78-58D4EDF5C06A}"/>
    <cellStyle name="Normal 2 2 27" xfId="81" xr:uid="{3F24482D-C4CE-4B2D-B062-77BA4061A65E}"/>
    <cellStyle name="Normal 2 2 28" xfId="45846" xr:uid="{D962562F-662F-4C60-8B03-114BAF873598}"/>
    <cellStyle name="Normal 2 2 29" xfId="45897" xr:uid="{B7B765A2-1698-4DCB-9EE2-2F3A42747AD8}"/>
    <cellStyle name="Normal 2 2 3" xfId="33" xr:uid="{184A592D-9E20-41A3-AF5A-3AC12FEE00ED}"/>
    <cellStyle name="Normal 2 2 3 2" xfId="12910" xr:uid="{8CF0EFD8-7EAC-43A0-A984-C9C66DD49671}"/>
    <cellStyle name="Normal 2 2 3 2 2" xfId="31605" xr:uid="{861E2B53-3DD0-4F42-AF54-96762715C027}"/>
    <cellStyle name="Normal 2 2 3 2 3" xfId="31606" xr:uid="{1D909CF6-222A-4CA8-B8A9-D8F4EAFA8B3C}"/>
    <cellStyle name="Normal 2 2 3 2 4" xfId="31607" xr:uid="{CD876CC4-30B0-4621-B2B4-2811CFF933A5}"/>
    <cellStyle name="Normal 2 2 3 3" xfId="12911" xr:uid="{E446EE2D-8495-4CB8-A387-56B6D43094C3}"/>
    <cellStyle name="Normal 2 2 3 3 2" xfId="31608" xr:uid="{3CB7541C-C753-4D81-B74A-5FE093E5314B}"/>
    <cellStyle name="Normal 2 2 3 3 3" xfId="31609" xr:uid="{33B04DFF-5E62-466D-B8AE-3D9DE24D6427}"/>
    <cellStyle name="Normal 2 2 3 3 4" xfId="31610" xr:uid="{1B502CA7-4950-40D5-A502-016C05DFBF8E}"/>
    <cellStyle name="Normal 2 2 3 4" xfId="12909" xr:uid="{52C898A0-B4DB-4411-9979-9E5D56EDCB7B}"/>
    <cellStyle name="Normal 2 2 4" xfId="12912" xr:uid="{25A11438-DAC3-4027-90A8-F4DC37B4E131}"/>
    <cellStyle name="Normal 2 2 4 2" xfId="12913" xr:uid="{0DA14076-2219-4032-912B-43DB3A1F3D5A}"/>
    <cellStyle name="Normal 2 2 4 2 2" xfId="31611" xr:uid="{8A43098E-3E93-4C55-9962-84A175D5BC8D}"/>
    <cellStyle name="Normal 2 2 4 2 2 2" xfId="31612" xr:uid="{70EFF221-AC00-479D-B9B5-3A03DA57BB40}"/>
    <cellStyle name="Normal 2 2 4 2 2 3" xfId="31613" xr:uid="{860856A8-8478-43C3-A5CD-8531BC69D455}"/>
    <cellStyle name="Normal 2 2 4 2 3" xfId="31614" xr:uid="{395210A0-2E10-41B6-B98A-F06AC4348E00}"/>
    <cellStyle name="Normal 2 2 4 2 4" xfId="31615" xr:uid="{0320FD71-AAF0-4DAA-9B2D-CAEA4FF3D130}"/>
    <cellStyle name="Normal 2 2 4 2 5" xfId="42831" xr:uid="{6E59EA9E-4F3E-4706-9883-2BC50F4407AF}"/>
    <cellStyle name="Normal 2 2 4 3" xfId="31616" xr:uid="{59B386A8-9134-48C4-8FB2-0265838B43E1}"/>
    <cellStyle name="Normal 2 2 4 3 2" xfId="42832" xr:uid="{FD4E7A6C-7485-4AAB-9EDE-9E9B64084E46}"/>
    <cellStyle name="Normal 2 2 5" xfId="12914" xr:uid="{BA7C1D45-6013-4AB5-8687-190EC947129F}"/>
    <cellStyle name="Normal 2 2 5 2" xfId="12915" xr:uid="{58D170DA-6606-415E-A626-89CC3E818FC2}"/>
    <cellStyle name="Normal 2 2 5 2 2" xfId="31617" xr:uid="{65957914-38C8-47DD-BFFF-0BFBCA7D7E98}"/>
    <cellStyle name="Normal 2 2 5 2 2 2" xfId="31618" xr:uid="{4F96CF11-49CA-4C27-9C7A-9007F6FEB528}"/>
    <cellStyle name="Normal 2 2 5 2 2 3" xfId="31619" xr:uid="{34542369-B443-4FE8-8093-095583838C5D}"/>
    <cellStyle name="Normal 2 2 5 2 3" xfId="31620" xr:uid="{0CEC4E0C-4294-49D5-B2DE-829C8FAFEB2C}"/>
    <cellStyle name="Normal 2 2 5 2 4" xfId="31621" xr:uid="{D57FA22B-8922-4866-8722-D6E962F14B4A}"/>
    <cellStyle name="Normal 2 2 5 3" xfId="42833" xr:uid="{AF803D46-BC67-41A5-8BF8-7D3683E7D1F6}"/>
    <cellStyle name="Normal 2 2 6" xfId="12916" xr:uid="{C4239204-47F1-4EDF-BA1A-6A3FADFF1DD7}"/>
    <cellStyle name="Normal 2 2 6 2" xfId="12917" xr:uid="{93CF3EB2-BCBB-4064-BA43-4700B84C246A}"/>
    <cellStyle name="Normal 2 2 6 2 2" xfId="31622" xr:uid="{033D4B29-E7B1-472A-A3AD-6C690CDFCFB7}"/>
    <cellStyle name="Normal 2 2 6 2 2 2" xfId="31623" xr:uid="{2150D1EC-DA13-453C-BB37-8A6A114562EA}"/>
    <cellStyle name="Normal 2 2 6 2 2 3" xfId="31624" xr:uid="{29A61A1E-718D-43CD-B97A-C05E00A69DC8}"/>
    <cellStyle name="Normal 2 2 6 2 3" xfId="31625" xr:uid="{B2AC5977-3249-4531-A9AB-953BD2D03202}"/>
    <cellStyle name="Normal 2 2 6 2 4" xfId="31626" xr:uid="{46CF132F-EC43-4290-A1AE-D732AC556B91}"/>
    <cellStyle name="Normal 2 2 7" xfId="58" xr:uid="{9EBF19CC-F281-45B9-BB60-215DC5DF81B2}"/>
    <cellStyle name="Normal 2 2 7 2" xfId="12919" xr:uid="{D44B7B17-147E-4C2D-861D-D355B56C255F}"/>
    <cellStyle name="Normal 2 2 7 2 2" xfId="31627" xr:uid="{83F309C9-D6FE-4669-93B9-EA0AAA09E750}"/>
    <cellStyle name="Normal 2 2 7 2 3" xfId="31628" xr:uid="{284DB44D-D650-4234-A9B1-1C55529D6AA6}"/>
    <cellStyle name="Normal 2 2 7 3" xfId="31629" xr:uid="{945BC635-69FD-4999-A89F-DC44B2113AF1}"/>
    <cellStyle name="Normal 2 2 7 4" xfId="12918" xr:uid="{7AF39273-7F75-4987-A054-ED6A3B9F4E52}"/>
    <cellStyle name="Normal 2 2 8" xfId="12920" xr:uid="{AC7067AD-AD91-4BD8-B007-C458D2AF42A2}"/>
    <cellStyle name="Normal 2 2 8 2" xfId="12921" xr:uid="{498E1E69-5A9C-416B-A4C3-CD9CBEF22094}"/>
    <cellStyle name="Normal 2 2 8 2 2" xfId="31630" xr:uid="{D7C37759-9F08-456C-83D8-97B8A2DB6F35}"/>
    <cellStyle name="Normal 2 2 8 2 3" xfId="31631" xr:uid="{1CF4D956-1EA4-4F4E-B8BF-7087394EE99D}"/>
    <cellStyle name="Normal 2 2 8 3" xfId="42834" xr:uid="{000516D7-9D29-4DFD-B1B1-3108ADA632BE}"/>
    <cellStyle name="Normal 2 2 9" xfId="12922" xr:uid="{C9D48A81-4C65-49F7-B202-96DC140BFF5E}"/>
    <cellStyle name="Normal 2 2 9 2" xfId="12923" xr:uid="{284D6D5F-7AD5-4DCF-A70E-19E9DC28357F}"/>
    <cellStyle name="Normal 2 2 9 2 2" xfId="31632" xr:uid="{34120BA9-75FB-430A-9849-3FCBFD397CD6}"/>
    <cellStyle name="Normal 2 2 9 2 3" xfId="31633" xr:uid="{CE2FD350-2942-4C6B-BEE8-DBFEB2E22F2D}"/>
    <cellStyle name="Normal 2 2_Copy of Commissioning date correction" xfId="12924" xr:uid="{0FE84D03-4EA9-4D9A-8079-0A1961344D72}"/>
    <cellStyle name="Normal 2 20" xfId="12925" xr:uid="{AA2DEE5C-47CE-416A-BC07-D8987E181888}"/>
    <cellStyle name="Normal 2 20 2" xfId="12926" xr:uid="{0A52E93C-0589-4B22-8236-07F51395AE3F}"/>
    <cellStyle name="Normal 2 20 3" xfId="12927" xr:uid="{B4F541AE-BB43-499B-973A-A09A6E972E6D}"/>
    <cellStyle name="Normal 2 20 4" xfId="31634" xr:uid="{7842B4EB-CBB5-4E44-BEC1-3F3909E4C79A}"/>
    <cellStyle name="Normal 2 21" xfId="12928" xr:uid="{7291D7A2-D392-48B1-8C34-5D90CAB6F880}"/>
    <cellStyle name="Normal 2 21 2" xfId="12929" xr:uid="{91DC3A13-64B5-4E8B-869C-3655433A6924}"/>
    <cellStyle name="Normal 2 21 3" xfId="12930" xr:uid="{BC1A644E-01B7-4F2E-8D5E-6875DDC65980}"/>
    <cellStyle name="Normal 2 21 4" xfId="12931" xr:uid="{1E4B9B04-A7EF-4D8A-A280-0FAA67468B63}"/>
    <cellStyle name="Normal 2 22" xfId="12932" xr:uid="{85D419B4-4A2C-4EEF-A047-1F3689DAFE65}"/>
    <cellStyle name="Normal 2 22 2" xfId="12933" xr:uid="{47F6625F-2FEF-46AC-BD83-25717071AD1C}"/>
    <cellStyle name="Normal 2 22 3" xfId="31635" xr:uid="{419FF185-DB93-4D5D-B5E8-38A4B0148F71}"/>
    <cellStyle name="Normal 2 22 4" xfId="31636" xr:uid="{75D2A049-24F5-46BE-B595-82E9BDC2A195}"/>
    <cellStyle name="Normal 2 23" xfId="12934" xr:uid="{246BCFC7-F197-4F94-8C87-7F35178D967B}"/>
    <cellStyle name="Normal 2 23 2" xfId="12935" xr:uid="{7D46AA4B-3475-4E2E-82DA-DBDF3DDBDD05}"/>
    <cellStyle name="Normal 2 23 3" xfId="31637" xr:uid="{27AEA396-2F1D-488F-ABEA-0ED66DD3CFFA}"/>
    <cellStyle name="Normal 2 23 4" xfId="31638" xr:uid="{B44C4841-1F82-4949-9D5D-0AF15D228BF1}"/>
    <cellStyle name="Normal 2 24" xfId="12936" xr:uid="{9D47E7DE-3187-40BF-BD65-0349DA3BF832}"/>
    <cellStyle name="Normal 2 24 2" xfId="12937" xr:uid="{7FBDA9D6-4C1A-4160-AF14-0A50299F0CFD}"/>
    <cellStyle name="Normal 2 25" xfId="12938" xr:uid="{03657827-15AC-49A0-A9C3-133C88A442EF}"/>
    <cellStyle name="Normal 2 25 2" xfId="31639" xr:uid="{1BDACE21-D58D-4DFF-B85A-2A3D68BE7DD6}"/>
    <cellStyle name="Normal 2 26" xfId="12939" xr:uid="{C8E408EB-0D0D-47E4-995D-04A131D7159B}"/>
    <cellStyle name="Normal 2 26 2" xfId="31640" xr:uid="{0297CE86-6A7E-41BC-BF05-D03EEC1E3D5E}"/>
    <cellStyle name="Normal 2 27" xfId="12940" xr:uid="{6E587DDB-13D9-45B5-A323-D4BF7A8E9843}"/>
    <cellStyle name="Normal 2 27 2" xfId="31641" xr:uid="{D2D01F8E-4641-4D73-9EB1-E49742E20004}"/>
    <cellStyle name="Normal 2 28" xfId="12941" xr:uid="{EB825B3D-6734-43D6-AE0A-C9A79FED69FB}"/>
    <cellStyle name="Normal 2 28 2" xfId="31642" xr:uid="{7EACEE12-13A4-485F-8E87-C25A915EFF9B}"/>
    <cellStyle name="Normal 2 28 3" xfId="31643" xr:uid="{1B60BD4D-019D-40A3-9330-0306A8269F92}"/>
    <cellStyle name="Normal 2 28 4" xfId="31644" xr:uid="{B9ED552E-F1B8-4F0F-9682-DB0745773D63}"/>
    <cellStyle name="Normal 2 29" xfId="12942" xr:uid="{1603AEA7-A547-4BF8-BC9B-A2F713F69DC3}"/>
    <cellStyle name="Normal 2 29 2" xfId="31645" xr:uid="{FBF0C6AD-F870-4CAC-B5F6-BFB17736457E}"/>
    <cellStyle name="Normal 2 29 3" xfId="31646" xr:uid="{0388FD6B-F0DC-45BA-BFB4-7A4F13CF5842}"/>
    <cellStyle name="Normal 2 29 4" xfId="31647" xr:uid="{0C010328-7005-4F3C-9CC8-2C6FA3953420}"/>
    <cellStyle name="Normal 2 3" xfId="8" xr:uid="{00000000-0005-0000-0000-000009000000}"/>
    <cellStyle name="Normal 2 3 10" xfId="12944" xr:uid="{8C8D04E3-14AC-47D6-81A1-1D2D2773FF63}"/>
    <cellStyle name="Normal 2 3 10 2" xfId="31648" xr:uid="{0F94DCDD-83FC-43E0-AB6F-A998383DFDF7}"/>
    <cellStyle name="Normal 2 3 10 3" xfId="31649" xr:uid="{33EC57D9-3029-45D2-8DD0-595FD2F906E9}"/>
    <cellStyle name="Normal 2 3 11" xfId="12945" xr:uid="{82BE9708-3D49-4121-A480-98CCA08A3EB8}"/>
    <cellStyle name="Normal 2 3 11 2" xfId="31650" xr:uid="{01E3356B-0B6F-4EF8-88C3-5FCAD90D28EE}"/>
    <cellStyle name="Normal 2 3 11 3" xfId="31651" xr:uid="{746D61E5-6242-463B-8D17-731E4D5B3AF0}"/>
    <cellStyle name="Normal 2 3 12" xfId="12946" xr:uid="{2805E629-B066-4FD2-BFB9-4A4D0CCF3431}"/>
    <cellStyle name="Normal 2 3 12 2" xfId="31652" xr:uid="{5E24B2FA-93D2-4A06-AA1F-B5AAC6A83B9F}"/>
    <cellStyle name="Normal 2 3 12 3" xfId="31653" xr:uid="{6B04B582-FFCF-4E12-B384-61FB3A8F6320}"/>
    <cellStyle name="Normal 2 3 13" xfId="12947" xr:uid="{92395D7B-6DF1-481A-B76D-340D4EBB547B}"/>
    <cellStyle name="Normal 2 3 13 2" xfId="31654" xr:uid="{A86D221D-476C-476E-9E45-B4411FA39520}"/>
    <cellStyle name="Normal 2 3 13 3" xfId="31655" xr:uid="{BD351FD4-AA35-4DFC-B30A-83F8F330E004}"/>
    <cellStyle name="Normal 2 3 14" xfId="12948" xr:uid="{E784E7C5-26C9-4D49-B28A-DC853E2733EB}"/>
    <cellStyle name="Normal 2 3 14 2" xfId="31656" xr:uid="{D9D5C72B-8A4E-4F81-9347-6D881FA4A12C}"/>
    <cellStyle name="Normal 2 3 14 3" xfId="31657" xr:uid="{A3B81B48-46FC-4477-A698-41F91E30E418}"/>
    <cellStyle name="Normal 2 3 14 4" xfId="42852" xr:uid="{0487BB2E-E6FF-4986-87AA-406D9B4483D0}"/>
    <cellStyle name="Normal 2 3 15" xfId="12949" xr:uid="{735DA58B-6920-4168-AA1F-227B4CB4A3A0}"/>
    <cellStyle name="Normal 2 3 15 2" xfId="31658" xr:uid="{8AA239C2-D7B4-44A9-A2FD-F92AE8EDBE97}"/>
    <cellStyle name="Normal 2 3 15 3" xfId="31659" xr:uid="{D6B92FBF-7203-468B-AAF3-7826F8C52F98}"/>
    <cellStyle name="Normal 2 3 15 4" xfId="42853" xr:uid="{8F8E8A2D-6E02-4182-98A5-4A743412EFCB}"/>
    <cellStyle name="Normal 2 3 16" xfId="12950" xr:uid="{88A5604F-BE5E-4E93-A892-F88B545CB188}"/>
    <cellStyle name="Normal 2 3 16 2" xfId="31660" xr:uid="{70EDCDF9-7B0F-4EF0-AB9A-44D3F8C7D893}"/>
    <cellStyle name="Normal 2 3 16 3" xfId="31661" xr:uid="{DBAE6C9D-2755-4045-8C8E-E3BC4F7BF1DA}"/>
    <cellStyle name="Normal 2 3 17" xfId="12951" xr:uid="{072F0BD1-6770-4E75-9E7E-94CE033DB81C}"/>
    <cellStyle name="Normal 2 3 17 2" xfId="31662" xr:uid="{D47ACF3F-78DB-44A3-A554-A07A5D169A51}"/>
    <cellStyle name="Normal 2 3 17 3" xfId="31663" xr:uid="{CC68B1BA-AC1F-410B-8A78-339DC2ED9296}"/>
    <cellStyle name="Normal 2 3 18" xfId="12952" xr:uid="{F580BAC8-97F8-46BC-A4BD-55A39FC2E935}"/>
    <cellStyle name="Normal 2 3 18 2" xfId="31664" xr:uid="{920E67D3-F3D0-4886-A69A-4467DA64AFF8}"/>
    <cellStyle name="Normal 2 3 18 3" xfId="31665" xr:uid="{29B495FF-8AF0-498C-B643-11FA6C44EA8E}"/>
    <cellStyle name="Normal 2 3 19" xfId="12953" xr:uid="{F0EDDBB5-6228-4F8E-8413-8D044C0F4A8C}"/>
    <cellStyle name="Normal 2 3 2" xfId="12954" xr:uid="{4E13D27E-2C7B-47CC-B779-F28341C78A2D}"/>
    <cellStyle name="Normal 2 3 2 2" xfId="12955" xr:uid="{9E77BF7C-59AD-410E-BF4B-42543E8ED3A2}"/>
    <cellStyle name="Normal 2 3 2 2 2" xfId="12956" xr:uid="{393FD467-F12F-4966-BAF0-1FC6E021D1FE}"/>
    <cellStyle name="Normal 2 3 2 2 2 2" xfId="31666" xr:uid="{9CBAAED6-00A8-4D66-8D63-110CFDE6E05A}"/>
    <cellStyle name="Normal 2 3 2 2 3" xfId="12957" xr:uid="{A7D8821D-56A5-42B1-AB50-082BBBECC085}"/>
    <cellStyle name="Normal 2 3 2 2 3 2" xfId="31667" xr:uid="{87F13A5A-26A2-4A5E-A4D3-62886E3F4653}"/>
    <cellStyle name="Normal 2 3 2 2 3 3" xfId="31668" xr:uid="{50DE7B2D-7974-4C50-B290-6C5D56C1DE57}"/>
    <cellStyle name="Normal 2 3 2 2 4" xfId="12958" xr:uid="{639E4CB5-E6BB-4DAD-A895-8C12FC26B4D4}"/>
    <cellStyle name="Normal 2 3 2 3" xfId="12959" xr:uid="{E8869808-9877-4BBA-A21D-439E5934A901}"/>
    <cellStyle name="Normal 2 3 2 3 2" xfId="31669" xr:uid="{351134C0-226A-41BC-BBBE-7CE35BB10FB4}"/>
    <cellStyle name="Normal 2 3 2 3 3" xfId="31670" xr:uid="{4560600F-555B-41EB-9AD3-337F1601F760}"/>
    <cellStyle name="Normal 2 3 2 4" xfId="12960" xr:uid="{612A2841-049D-471A-9D2E-9EB9CE02D6C1}"/>
    <cellStyle name="Normal 2 3 2 4 2" xfId="31671" xr:uid="{E682E7CC-6FB2-40E8-A7C9-16091BC5D044}"/>
    <cellStyle name="Normal 2 3 2 4 3" xfId="31672" xr:uid="{DCFDD9F4-ABEF-4ED8-954E-38E03FAE42DF}"/>
    <cellStyle name="Normal 2 3 2 5" xfId="12961" xr:uid="{3923E86A-53EB-496D-A54C-57109D249103}"/>
    <cellStyle name="Normal 2 3 2 6" xfId="12962" xr:uid="{A02BE779-9DE5-4827-9014-F64E7681BAEC}"/>
    <cellStyle name="Normal 2 3 2 7" xfId="44379" xr:uid="{B24F4BA8-1EAB-40CF-ADA4-034A0AF25EE6}"/>
    <cellStyle name="Normal 2 3 2 8" xfId="45918" xr:uid="{737E6829-0596-4D5D-A6BA-81382610CCC7}"/>
    <cellStyle name="Normal 2 3 20" xfId="12963" xr:uid="{36F24460-4527-421D-9011-4A4350434185}"/>
    <cellStyle name="Normal 2 3 21" xfId="12964" xr:uid="{3F157F9F-B814-4AB8-8F9B-E3782122250E}"/>
    <cellStyle name="Normal 2 3 22" xfId="44131" xr:uid="{47C99054-5D9A-4DBE-A32E-5123583A284C}"/>
    <cellStyle name="Normal 2 3 23" xfId="12943" xr:uid="{456A574A-A8D2-4B7B-82ED-65D26E2C2238}"/>
    <cellStyle name="Normal 2 3 24" xfId="83" xr:uid="{7FFB3A07-E900-4B01-B934-959A3D520DA9}"/>
    <cellStyle name="Normal 2 3 25" xfId="45843" xr:uid="{C0B05C14-2B97-4792-BD71-58ADA23C7D7D}"/>
    <cellStyle name="Normal 2 3 26" xfId="45906" xr:uid="{CF2BEE80-E2BB-4411-9F3D-BB8DABB34376}"/>
    <cellStyle name="Normal 2 3 3" xfId="12965" xr:uid="{29B1DBD2-3C61-4404-A7DF-A10FCC18197D}"/>
    <cellStyle name="Normal 2 3 3 2" xfId="12966" xr:uid="{BBAC8D78-A6BB-4686-B30B-35AFF0D231E2}"/>
    <cellStyle name="Normal 2 3 3 2 2" xfId="31673" xr:uid="{758ADBE6-0695-47E0-88CF-65B028CF5347}"/>
    <cellStyle name="Normal 2 3 3 2 3" xfId="31674" xr:uid="{4A7F2142-D28E-4673-9808-A230E47FEF4E}"/>
    <cellStyle name="Normal 2 3 3 3" xfId="31675" xr:uid="{8EA0E1DF-5D6A-47FB-A55E-7E94CD696B69}"/>
    <cellStyle name="Normal 2 3 4" xfId="12967" xr:uid="{8D341313-7B91-4F87-986C-C9CFE69473C1}"/>
    <cellStyle name="Normal 2 3 4 2" xfId="12968" xr:uid="{20B3291A-A4DA-4AD7-A5F0-767E59852471}"/>
    <cellStyle name="Normal 2 3 4 2 2" xfId="31676" xr:uid="{34C60AA4-85B4-45EF-AA83-93986AD66A50}"/>
    <cellStyle name="Normal 2 3 4 2 3" xfId="31677" xr:uid="{26E2C6DF-BEA3-4AF5-B245-9550F921C738}"/>
    <cellStyle name="Normal 2 3 4 3" xfId="12969" xr:uid="{A3CF39C2-9B5A-4CEF-8572-89A83CBD5E0F}"/>
    <cellStyle name="Normal 2 3 4 3 2" xfId="31678" xr:uid="{67C09164-8ADA-48E8-BB36-F2389F274870}"/>
    <cellStyle name="Normal 2 3 4 3 3" xfId="31679" xr:uid="{BD30E0EB-0D47-44E8-9647-1A1498951B08}"/>
    <cellStyle name="Normal 2 3 4 4" xfId="12970" xr:uid="{FFD1F8D1-08A4-4972-9496-F68DF2C1CE7E}"/>
    <cellStyle name="Normal 2 3 4 4 2" xfId="31680" xr:uid="{CDEF78EC-2CE4-4E52-A435-EA075DF054F3}"/>
    <cellStyle name="Normal 2 3 4 5" xfId="12971" xr:uid="{7FA5AEED-5965-49EF-A53B-940A9559DD6D}"/>
    <cellStyle name="Normal 2 3 4 6" xfId="31681" xr:uid="{28B29C27-3E2B-45F0-9D4D-6B772546088B}"/>
    <cellStyle name="Normal 2 3 5" xfId="12972" xr:uid="{28FFE477-A53B-4BE8-BE1D-ABFC2DC228A6}"/>
    <cellStyle name="Normal 2 3 5 2" xfId="12973" xr:uid="{F8614835-881A-48CE-81F8-ED04CB7CD22F}"/>
    <cellStyle name="Normal 2 3 5 2 2" xfId="31682" xr:uid="{90C1FEB9-0454-4F0F-B089-BCE014EA4B6B}"/>
    <cellStyle name="Normal 2 3 5 2 3" xfId="31683" xr:uid="{D47121E9-225E-4CDA-BC55-2C5CDA171189}"/>
    <cellStyle name="Normal 2 3 5 3" xfId="12974" xr:uid="{6EC7B9C6-A7E8-40C0-8B2C-B142ED87D829}"/>
    <cellStyle name="Normal 2 3 5 3 2" xfId="31684" xr:uid="{C7EC9864-633D-4ABF-9BA6-EFBFBCB25FCF}"/>
    <cellStyle name="Normal 2 3 5 3 3" xfId="31685" xr:uid="{B1324EAE-3842-4B3F-99A9-96C818D295F1}"/>
    <cellStyle name="Normal 2 3 5 4" xfId="31686" xr:uid="{74C87B37-82EC-43AA-960C-7E0952883324}"/>
    <cellStyle name="Normal 2 3 6" xfId="12975" xr:uid="{556F3E4C-F8CE-40E1-AB53-9CD25838EEF2}"/>
    <cellStyle name="Normal 2 3 6 2" xfId="12976" xr:uid="{CEF35CB4-ED3C-4BFA-ABB5-4DF369BDCA58}"/>
    <cellStyle name="Normal 2 3 6 2 2" xfId="31687" xr:uid="{7193C939-BABF-4B5E-A985-B89ED8C655F0}"/>
    <cellStyle name="Normal 2 3 6 2 3" xfId="31688" xr:uid="{FCA60FFC-2120-4AA7-A9EC-68F29687E8BF}"/>
    <cellStyle name="Normal 2 3 6 2 4" xfId="42872" xr:uid="{254C22EA-C6BF-470F-AD65-2BC20CEAB5FF}"/>
    <cellStyle name="Normal 2 3 6 3" xfId="31689" xr:uid="{23F7EEA6-409D-400C-8F9F-C741F014214B}"/>
    <cellStyle name="Normal 2 3 6 4" xfId="31690" xr:uid="{D503CDA4-DC3F-425C-93AD-50C4159958EC}"/>
    <cellStyle name="Normal 2 3 7" xfId="12977" xr:uid="{C1F0F72F-D669-4943-A487-3ECAD3E99375}"/>
    <cellStyle name="Normal 2 3 7 2" xfId="12978" xr:uid="{3836D91C-50F1-4079-857A-E506FBDF2984}"/>
    <cellStyle name="Normal 2 3 7 2 2" xfId="31691" xr:uid="{AD970544-6C71-4267-A9B4-6E235D736184}"/>
    <cellStyle name="Normal 2 3 7 2 3" xfId="31692" xr:uid="{2F9A4535-E66E-40AB-B607-B82143F8BDF9}"/>
    <cellStyle name="Normal 2 3 7 3" xfId="31693" xr:uid="{8A3E6762-27F6-4024-A5CD-A3E3ECD68539}"/>
    <cellStyle name="Normal 2 3 7 4" xfId="31694" xr:uid="{333EE39B-12A6-40C6-8638-F1B18EF0C819}"/>
    <cellStyle name="Normal 2 3 8" xfId="12979" xr:uid="{AC7372D0-1EBE-454F-9FB9-EB584417ED50}"/>
    <cellStyle name="Normal 2 3 8 2" xfId="12980" xr:uid="{B900BEBC-EE20-4491-957C-E920523819B4}"/>
    <cellStyle name="Normal 2 3 8 2 2" xfId="31695" xr:uid="{1567CA1E-197F-4390-8C82-DAFB590AE0F9}"/>
    <cellStyle name="Normal 2 3 8 2 3" xfId="31696" xr:uid="{0F3A1953-FD7C-46F3-A278-D254ABD0ED7B}"/>
    <cellStyle name="Normal 2 3 8 3" xfId="31697" xr:uid="{64B07C2D-8F41-433B-A084-CC7D0602183F}"/>
    <cellStyle name="Normal 2 3 8 4" xfId="31698" xr:uid="{1BBFE08D-E29F-4CD9-984C-3522D9EFA178}"/>
    <cellStyle name="Normal 2 3 9" xfId="12981" xr:uid="{CB818B6B-C8A2-467B-8B0F-3E95DA5B5E57}"/>
    <cellStyle name="Normal 2 3 9 2" xfId="31699" xr:uid="{C7A7EE34-8B46-440C-B7F7-BA5743A8AA9B}"/>
    <cellStyle name="Normal 2 3 9 3" xfId="31700" xr:uid="{FB8A66F6-0CE8-4047-B8CB-102EAB79ED45}"/>
    <cellStyle name="Normal 2 30" xfId="12982" xr:uid="{CFEB1D1C-2744-4D7C-B53D-1368EC95B2D3}"/>
    <cellStyle name="Normal 2 30 2" xfId="31701" xr:uid="{5BA347D1-24CB-44C9-9834-DD2F38D65D6A}"/>
    <cellStyle name="Normal 2 30 3" xfId="31702" xr:uid="{358853E2-1E23-4953-A347-3A90D09E3CEE}"/>
    <cellStyle name="Normal 2 30 4" xfId="31703" xr:uid="{F244FA07-9A61-4E99-857F-E37FD3708F76}"/>
    <cellStyle name="Normal 2 31" xfId="12983" xr:uid="{820B5C90-4B28-4D31-A392-04BBC44530BE}"/>
    <cellStyle name="Normal 2 31 2" xfId="31704" xr:uid="{6F3BB6D9-EFC0-4EBC-A67F-0F40971FB4FF}"/>
    <cellStyle name="Normal 2 31 3" xfId="31705" xr:uid="{27A3828D-328C-4A17-B49C-0B11EB405821}"/>
    <cellStyle name="Normal 2 31 4" xfId="31706" xr:uid="{B05EDF65-F050-4F77-833B-F3250B7E949F}"/>
    <cellStyle name="Normal 2 32" xfId="12984" xr:uid="{9B44225F-D0A8-4184-A72A-09F8DFEA0A8B}"/>
    <cellStyle name="Normal 2 32 2" xfId="31707" xr:uid="{B9E8529E-8B6D-4154-9C08-FBC7830FD379}"/>
    <cellStyle name="Normal 2 32 3" xfId="31708" xr:uid="{69F489BF-995D-4301-AE5F-CC0873140D66}"/>
    <cellStyle name="Normal 2 32 4" xfId="31709" xr:uid="{9D6DCCE8-C85B-4968-8FE9-F00AEC41B402}"/>
    <cellStyle name="Normal 2 33" xfId="12985" xr:uid="{281F2C44-2997-4423-A8AF-DE7BED025C02}"/>
    <cellStyle name="Normal 2 33 2" xfId="31710" xr:uid="{AE08D5C5-972E-45F0-81CA-AE3510330FD2}"/>
    <cellStyle name="Normal 2 34" xfId="12986" xr:uid="{9D47319D-F80D-40F8-83DA-1818258C2012}"/>
    <cellStyle name="Normal 2 34 2" xfId="31711" xr:uid="{3E48573A-1301-4CFC-B558-0A904025C397}"/>
    <cellStyle name="Normal 2 34 3" xfId="31712" xr:uid="{404EFD9D-DFCB-48C9-8D0A-28721EC31C61}"/>
    <cellStyle name="Normal 2 35" xfId="12987" xr:uid="{ED78CFA9-BACB-45EA-93F7-9AC0E8B656DC}"/>
    <cellStyle name="Normal 2 35 2" xfId="12988" xr:uid="{5C035C67-7671-41EC-BA46-E749DC03D214}"/>
    <cellStyle name="Normal 2 36" xfId="12989" xr:uid="{0DA8678A-E713-4FE9-AF52-1625F8D3F7D7}"/>
    <cellStyle name="Normal 2 37" xfId="12990" xr:uid="{69C1F021-0352-4F20-8EC0-946FC3A9CC46}"/>
    <cellStyle name="Normal 2 38" xfId="12991" xr:uid="{4CE21B74-6770-4309-A6CD-84905CDE36A2}"/>
    <cellStyle name="Normal 2 38 2" xfId="42885" xr:uid="{CEDD558F-F248-4F69-A116-18699D2E79EC}"/>
    <cellStyle name="Normal 2 39" xfId="12992" xr:uid="{9D8927C1-FB6C-49BA-807F-92C6406DE39F}"/>
    <cellStyle name="Normal 2 4" xfId="6" xr:uid="{00000000-0005-0000-0000-00000A000000}"/>
    <cellStyle name="Normal 2 4 10" xfId="12993" xr:uid="{D7AFBF5E-C7C0-43BB-8AEB-D59AC2A376FB}"/>
    <cellStyle name="Normal 2 4 10 2" xfId="31713" xr:uid="{A8694EC8-BDFB-4323-8055-19034C05BF27}"/>
    <cellStyle name="Normal 2 4 10 3" xfId="31714" xr:uid="{95CD900B-66F4-4B7A-B9AB-1F19B0762C0B}"/>
    <cellStyle name="Normal 2 4 11" xfId="12994" xr:uid="{A15A46B5-2A5B-49EF-957B-3AB0450934D0}"/>
    <cellStyle name="Normal 2 4 11 2" xfId="31715" xr:uid="{8C781D50-A0FD-4017-9642-21F2ABA57493}"/>
    <cellStyle name="Normal 2 4 11 3" xfId="31716" xr:uid="{940A3F44-C0D3-44E8-BC92-6728FB9D883E}"/>
    <cellStyle name="Normal 2 4 12" xfId="12995" xr:uid="{9171D20A-D0C3-4FB6-870C-A3C502721FFD}"/>
    <cellStyle name="Normal 2 4 12 2" xfId="31717" xr:uid="{209536EB-B440-4BB4-8117-D3BBC8F01170}"/>
    <cellStyle name="Normal 2 4 12 3" xfId="31718" xr:uid="{90F4D25A-2BA5-4A9F-9A74-23D4F9B5AA43}"/>
    <cellStyle name="Normal 2 4 13" xfId="12996" xr:uid="{B42ADD2F-250A-47DC-BA0B-35C860DA7939}"/>
    <cellStyle name="Normal 2 4 13 2" xfId="31719" xr:uid="{EC170D44-D6BA-4127-9FFD-C0A20571D6BF}"/>
    <cellStyle name="Normal 2 4 13 3" xfId="31720" xr:uid="{C6697EA7-A9E1-4AA3-80F8-D754D0AE69D6}"/>
    <cellStyle name="Normal 2 4 14" xfId="42892" xr:uid="{C32025ED-BA96-47DC-8548-E9E78238463E}"/>
    <cellStyle name="Normal 2 4 15" xfId="44008" xr:uid="{D913E44B-B891-4E18-8ECD-7A60416055B0}"/>
    <cellStyle name="Normal 2 4 2" xfId="12997" xr:uid="{90240DF3-665C-4918-8657-681AD36AA979}"/>
    <cellStyle name="Normal 2 4 2 2" xfId="12998" xr:uid="{AE547AD6-305D-451B-9FCF-11A9F890F9FB}"/>
    <cellStyle name="Normal 2 4 2 2 2" xfId="31721" xr:uid="{FEAA29C7-7141-4C65-8481-0406C8F5575F}"/>
    <cellStyle name="Normal 2 4 2 2 3" xfId="42893" xr:uid="{34599745-BC86-41BB-8D7C-D2F5197C995D}"/>
    <cellStyle name="Normal 2 4 2 3" xfId="12999" xr:uid="{C067EF14-7A89-4898-AB65-F7C35266F3B0}"/>
    <cellStyle name="Normal 2 4 2 3 2" xfId="31722" xr:uid="{F12A20D3-6591-4A31-9ED0-01B2965D2439}"/>
    <cellStyle name="Normal 2 4 2 3 3" xfId="31723" xr:uid="{A3AB17EC-7D0F-4CD7-9039-CE30D9731B8B}"/>
    <cellStyle name="Normal 2 4 3" xfId="13000" xr:uid="{E5829BF6-AF42-4500-B1AC-DBCFF2945035}"/>
    <cellStyle name="Normal 2 4 3 2" xfId="13001" xr:uid="{EC3C0C73-B23F-4ED0-80C4-B28871D6D09C}"/>
    <cellStyle name="Normal 2 4 3 2 2" xfId="31724" xr:uid="{C2D04A82-C1C4-4D10-B6A8-2E970EA0A017}"/>
    <cellStyle name="Normal 2 4 3 2 3" xfId="31725" xr:uid="{B041E819-42BB-4FBB-A712-3E4283019C6E}"/>
    <cellStyle name="Normal 2 4 4" xfId="13002" xr:uid="{D91D9560-5D46-4E28-9A00-CFA28270EB18}"/>
    <cellStyle name="Normal 2 4 4 2" xfId="13003" xr:uid="{B660FCDA-C0DF-4A15-B539-1678B79F9525}"/>
    <cellStyle name="Normal 2 4 4 2 2" xfId="13004" xr:uid="{34984F55-866A-472C-8B7B-C62D5E1B7525}"/>
    <cellStyle name="Normal 2 4 4 2 3" xfId="13005" xr:uid="{758263FA-088F-4003-9A43-036F59FD7651}"/>
    <cellStyle name="Normal 2 4 4 2 4" xfId="31726" xr:uid="{CAE56597-F0D7-4555-9B0C-CB2334719538}"/>
    <cellStyle name="Normal 2 4 5" xfId="13006" xr:uid="{236BA3C1-D94F-4FE2-A3A1-1B1F89E95958}"/>
    <cellStyle name="Normal 2 4 5 2" xfId="13007" xr:uid="{0DFD08D5-FD01-40EE-818F-255D896810D5}"/>
    <cellStyle name="Normal 2 4 5 2 2" xfId="13008" xr:uid="{B03EA614-D110-4937-AFCE-2745F9EB68EC}"/>
    <cellStyle name="Normal 2 4 5 2 3" xfId="13009" xr:uid="{C763715F-8195-4A29-8C53-7D5A0F58371F}"/>
    <cellStyle name="Normal 2 4 5 2 4" xfId="31727" xr:uid="{5A13E6FB-2C92-4C3D-8132-B72AAC75079C}"/>
    <cellStyle name="Normal 2 4 6" xfId="13010" xr:uid="{1E13DF4B-2769-4DCC-BFC9-0059D7F1770C}"/>
    <cellStyle name="Normal 2 4 6 2" xfId="13011" xr:uid="{49517D13-0BAF-413B-8330-768ECA14C0EB}"/>
    <cellStyle name="Normal 2 4 6 2 2" xfId="13012" xr:uid="{D69819B3-DF09-45DF-9D40-71D39859625D}"/>
    <cellStyle name="Normal 2 4 6 2 3" xfId="13013" xr:uid="{3DCD4CBB-8E03-489C-BC22-1474DE2A0D88}"/>
    <cellStyle name="Normal 2 4 6 2 4" xfId="31728" xr:uid="{0FA8C2A7-B02B-4582-A47F-987C1B1B8D64}"/>
    <cellStyle name="Normal 2 4 7" xfId="13014" xr:uid="{04D7BB87-4482-40D5-ADF3-DE4884D71761}"/>
    <cellStyle name="Normal 2 4 7 2" xfId="13015" xr:uid="{FE97DEA4-34C3-4B90-9D18-C4335F4387BB}"/>
    <cellStyle name="Normal 2 4 7 2 2" xfId="31729" xr:uid="{6F43576C-802B-4D07-A903-579883DEF2A3}"/>
    <cellStyle name="Normal 2 4 7 2 3" xfId="31730" xr:uid="{C04C1F64-796E-4021-9B2D-464D695B00D1}"/>
    <cellStyle name="Normal 2 4 8" xfId="13016" xr:uid="{F231E954-56A9-49DE-974B-C336EFBD3CD8}"/>
    <cellStyle name="Normal 2 4 8 2" xfId="13017" xr:uid="{0D1BF339-83BA-4D96-95C3-99F8AB150694}"/>
    <cellStyle name="Normal 2 4 8 2 2" xfId="31731" xr:uid="{7EA9D81F-E3BA-44A5-8830-F4CAD256CA66}"/>
    <cellStyle name="Normal 2 4 8 2 3" xfId="31732" xr:uid="{DCF0E57C-DC80-40B2-9DB5-226DDC8671FA}"/>
    <cellStyle name="Normal 2 4 9" xfId="13018" xr:uid="{99E5A455-9C11-47C9-A7D4-2991EB55C2EF}"/>
    <cellStyle name="Normal 2 4 9 2" xfId="31733" xr:uid="{7A7C1DFD-5500-4B28-8E60-617D89B93B99}"/>
    <cellStyle name="Normal 2 4 9 3" xfId="31734" xr:uid="{6C733594-92C6-47A6-83CA-6C9A585B4548}"/>
    <cellStyle name="Normal 2 40" xfId="13019" xr:uid="{8CF0EAEF-DACC-4B4B-81A5-34CA88242419}"/>
    <cellStyle name="Normal 2 41" xfId="13020" xr:uid="{935922CD-BE78-4015-83BB-E2EA2F1903C9}"/>
    <cellStyle name="Normal 2 41 2" xfId="31735" xr:uid="{641BB94B-7EF8-466E-82AD-01474AC5C5B4}"/>
    <cellStyle name="Normal 2 42" xfId="13021" xr:uid="{1BF2B78B-6C0D-40F6-8B6C-01EFDC338174}"/>
    <cellStyle name="Normal 2 42 2" xfId="31736" xr:uid="{EDE52B54-E886-442F-949B-73CD227C8764}"/>
    <cellStyle name="Normal 2 43" xfId="13022" xr:uid="{F3C3EE6F-BDC6-4F7A-8B08-0A56798BD331}"/>
    <cellStyle name="Normal 2 43 2" xfId="42895" xr:uid="{18AF1BCB-D8EA-4805-A8A2-FBDC5A72D00E}"/>
    <cellStyle name="Normal 2 44" xfId="31737" xr:uid="{9560D5E0-E186-415E-9871-7F148B369599}"/>
    <cellStyle name="Normal 2 45" xfId="57" xr:uid="{61C158D9-90A7-4A43-A1A4-E190C935EBFC}"/>
    <cellStyle name="Normal 2 45 2" xfId="42896" xr:uid="{7FB60BA0-153B-451E-A2B8-9E52C78489DC}"/>
    <cellStyle name="Normal 2 45 3" xfId="31738" xr:uid="{B542E262-E257-4CA1-B94B-22B4AC0F4735}"/>
    <cellStyle name="Normal 2 46" xfId="31739" xr:uid="{492BB277-65E4-4611-A917-D4750EFC8C1D}"/>
    <cellStyle name="Normal 2 46 2" xfId="42897" xr:uid="{63343EAC-D317-478A-83E6-3BCFD37CB25C}"/>
    <cellStyle name="Normal 2 47" xfId="31740" xr:uid="{D5D1E0AC-77FF-44E1-8C7D-2EAC7684530C}"/>
    <cellStyle name="Normal 2 48" xfId="31741" xr:uid="{A2388EB8-7A30-4D09-8658-59D9F763CBAD}"/>
    <cellStyle name="Normal 2 49" xfId="42191" xr:uid="{CB49068F-988E-44DF-B716-E3CE34EDA53F}"/>
    <cellStyle name="Normal 2 5" xfId="20" xr:uid="{00000000-0005-0000-0000-00000B000000}"/>
    <cellStyle name="Normal 2 5 10" xfId="31742" xr:uid="{8B02348D-6590-43F5-8B75-F7915A5B44BB}"/>
    <cellStyle name="Normal 2 5 11" xfId="31743" xr:uid="{209E2C20-F01A-43AA-BEB5-416FF28E5D08}"/>
    <cellStyle name="Normal 2 5 12" xfId="31744" xr:uid="{4ECA7BCF-D645-4D9D-BC0F-E65B5BE2EFC9}"/>
    <cellStyle name="Normal 2 5 13" xfId="31745" xr:uid="{19649DC5-C18F-4C89-AB7E-3A8424AC7288}"/>
    <cellStyle name="Normal 2 5 14" xfId="31746" xr:uid="{2E4B13BD-340F-4F31-A274-73324FBB7F8A}"/>
    <cellStyle name="Normal 2 5 15" xfId="31747" xr:uid="{9F102B2C-8EA1-48C8-B4E5-66451E6F38E4}"/>
    <cellStyle name="Normal 2 5 16" xfId="31748" xr:uid="{655FA8C1-A275-41BE-A9E2-F4AEEE13622C}"/>
    <cellStyle name="Normal 2 5 17" xfId="13023" xr:uid="{AFC6344A-26E4-4AAD-B621-0C8A46EB709D}"/>
    <cellStyle name="Normal 2 5 2" xfId="43" xr:uid="{36993FC5-2C8C-42CB-B9EA-3E11B6C69621}"/>
    <cellStyle name="Normal 2 5 2 2" xfId="13025" xr:uid="{4EE71BB8-91C0-455C-AA7E-E7704E52DDDB}"/>
    <cellStyle name="Normal 2 5 2 2 2" xfId="13026" xr:uid="{7038FF38-AD4D-4C6D-985E-B3B024BFF841}"/>
    <cellStyle name="Normal 2 5 2 2 2 2" xfId="31749" xr:uid="{92ED3132-82AD-4797-B161-81F60B1D45A1}"/>
    <cellStyle name="Normal 2 5 2 2 2 3" xfId="31750" xr:uid="{70A2C3C9-FDFF-41B2-8AEF-1082EFB18A39}"/>
    <cellStyle name="Normal 2 5 2 2 2 4" xfId="42898" xr:uid="{A065A94E-8BA4-44F5-A361-E487AA9890BC}"/>
    <cellStyle name="Normal 2 5 2 2 3" xfId="13027" xr:uid="{5E8B2B12-4BDB-41EB-AE8F-27536E123563}"/>
    <cellStyle name="Normal 2 5 2 2 4" xfId="31751" xr:uid="{C53269F0-11C7-4F06-B2B9-380AF9B83E20}"/>
    <cellStyle name="Normal 2 5 2 2 5" xfId="31752" xr:uid="{F71707B3-AAE5-460E-AA20-312D91EDBC90}"/>
    <cellStyle name="Normal 2 5 2 3" xfId="13028" xr:uid="{634CD8A6-2A72-4AF6-B603-FF92903D2709}"/>
    <cellStyle name="Normal 2 5 2 3 2" xfId="42899" xr:uid="{6CF92489-46CD-4C06-9122-86E2A5EE8ED0}"/>
    <cellStyle name="Normal 2 5 2 4" xfId="42900" xr:uid="{90D19CC4-9C52-4F20-90B0-9F2BD63F94E2}"/>
    <cellStyle name="Normal 2 5 2 5" xfId="13024" xr:uid="{523A122C-9020-4173-9A4C-1A109BFAE3A6}"/>
    <cellStyle name="Normal 2 5 3" xfId="13029" xr:uid="{07E80CFD-3776-428B-B3B7-8C39BB30E219}"/>
    <cellStyle name="Normal 2 5 4" xfId="13030" xr:uid="{A8662477-9D6A-4F2A-86EE-4AA2AF66EB51}"/>
    <cellStyle name="Normal 2 5 4 2" xfId="13031" xr:uid="{AA9DA443-63D5-4D11-B0B5-963A9A346733}"/>
    <cellStyle name="Normal 2 5 5" xfId="13032" xr:uid="{2D9A8EAA-8AFC-49ED-8400-705CA0D0E162}"/>
    <cellStyle name="Normal 2 5 5 2" xfId="13033" xr:uid="{820E12F3-1C27-403F-82A2-2E6ED25C4541}"/>
    <cellStyle name="Normal 2 5 6" xfId="13034" xr:uid="{EE825E16-2B57-4298-9157-5FB217A2443B}"/>
    <cellStyle name="Normal 2 5 6 2" xfId="13035" xr:uid="{5166EBCD-123E-4EFD-95F1-F580230D95C4}"/>
    <cellStyle name="Normal 2 5 7" xfId="13036" xr:uid="{41121CC9-9CE3-446C-818E-83570A0A700A}"/>
    <cellStyle name="Normal 2 5 8" xfId="13037" xr:uid="{6B471E0F-D951-40EA-B4D8-9431FE8C3F19}"/>
    <cellStyle name="Normal 2 5 8 2" xfId="31753" xr:uid="{5A0D3D6B-2E50-4ED2-8DE3-B813342BD634}"/>
    <cellStyle name="Normal 2 5 9" xfId="31754" xr:uid="{25EBA9EB-FF48-4534-BBFD-FC7AE8CC7AE3}"/>
    <cellStyle name="Normal 2 50" xfId="43477" xr:uid="{FE935C4E-3A0B-4E77-8A67-4B23B6FCE0A5}"/>
    <cellStyle name="Normal 2 51" xfId="43484" xr:uid="{128916B9-094A-4FA2-B0E5-B5F8FFF13705}"/>
    <cellStyle name="Normal 2 52" xfId="43487" xr:uid="{6DA06D1C-1E2C-4482-9F6A-5B70F815E338}"/>
    <cellStyle name="Normal 2 53" xfId="43488" xr:uid="{73FD5C54-5A8F-4C5F-813F-300B4481CC81}"/>
    <cellStyle name="Normal 2 54" xfId="43972" xr:uid="{2EAC6BAB-B36D-47E1-A74A-2226A0A2B66E}"/>
    <cellStyle name="Normal 2 55" xfId="45768" xr:uid="{D27113CF-3849-41C1-B24F-0F362338137C}"/>
    <cellStyle name="Normal 2 56" xfId="71" xr:uid="{15E8EEAD-450E-44CD-BFC8-B3D78CB07F65}"/>
    <cellStyle name="Normal 2 57" xfId="45781" xr:uid="{7C13618C-DF52-4B10-A8FF-2097E1A1030D}"/>
    <cellStyle name="Normal 2 58" xfId="45789" xr:uid="{D80F3474-E62D-459F-A78E-B489EF34E9C7}"/>
    <cellStyle name="Normal 2 59" xfId="45791" xr:uid="{03F33CE9-C2A3-4DA4-B556-1A10A9CC38D8}"/>
    <cellStyle name="Normal 2 6" xfId="35" xr:uid="{C7323120-68E2-40BB-87A9-2F7AB9FD3098}"/>
    <cellStyle name="Normal 2 6 10" xfId="31755" xr:uid="{B7B9ADB2-7AB6-41CB-9DCF-94A1F69E7F5D}"/>
    <cellStyle name="Normal 2 6 11" xfId="31756" xr:uid="{0365CE63-3FE2-46F8-A2A3-BA178201BFBE}"/>
    <cellStyle name="Normal 2 6 12" xfId="31757" xr:uid="{8C0F2D35-A272-4D4C-9769-BA0D2FA24133}"/>
    <cellStyle name="Normal 2 6 13" xfId="31758" xr:uid="{94E193E1-ED0C-4561-83A5-AA0B67226731}"/>
    <cellStyle name="Normal 2 6 14" xfId="31759" xr:uid="{7CD16569-D561-4C6B-87A4-309CA105257F}"/>
    <cellStyle name="Normal 2 6 15" xfId="31760" xr:uid="{F9742E4A-E707-4B66-8FA5-40A59F75B947}"/>
    <cellStyle name="Normal 2 6 16" xfId="31761" xr:uid="{321CD5C8-E6A5-4226-95BE-10DCF1FB0574}"/>
    <cellStyle name="Normal 2 6 17" xfId="42901" xr:uid="{BFE6907E-C85B-4D64-9C73-9FBC0A89A5A0}"/>
    <cellStyle name="Normal 2 6 18" xfId="13038" xr:uid="{149768DE-6E8A-4176-A240-339AFDD2D26E}"/>
    <cellStyle name="Normal 2 6 2" xfId="13039" xr:uid="{0D60CDE7-B949-4040-B248-C0C69AA4A62C}"/>
    <cellStyle name="Normal 2 6 2 2" xfId="31762" xr:uid="{82F12F85-62F0-405D-B257-C51DCC200661}"/>
    <cellStyle name="Normal 2 6 2 3" xfId="42903" xr:uid="{C3EDC261-DDE3-4124-B4DA-40F62AA99D25}"/>
    <cellStyle name="Normal 2 6 2 4" xfId="42904" xr:uid="{63B87041-8E7E-4541-B257-290F563655C4}"/>
    <cellStyle name="Normal 2 6 2 5" xfId="42902" xr:uid="{58E912CD-65D4-4631-9D0B-AB4B5E2FAB81}"/>
    <cellStyle name="Normal 2 6 3" xfId="13040" xr:uid="{9F6618CF-FF55-4473-84D7-538AEA0AE88E}"/>
    <cellStyle name="Normal 2 6 3 2" xfId="42906" xr:uid="{70D982F8-A8E7-4761-872E-26381CA9B934}"/>
    <cellStyle name="Normal 2 6 3 3" xfId="42905" xr:uid="{F286BA90-355A-43E8-9355-2BAB82A65C2C}"/>
    <cellStyle name="Normal 2 6 4" xfId="13041" xr:uid="{DE0AA885-E898-4A4B-84C6-3C2E77343E85}"/>
    <cellStyle name="Normal 2 6 4 2" xfId="13042" xr:uid="{E3C13B0E-1F4A-4DA5-84B9-66F9191F5742}"/>
    <cellStyle name="Normal 2 6 5" xfId="13043" xr:uid="{386A98F1-7985-4953-9D28-947FF3F394A2}"/>
    <cellStyle name="Normal 2 6 5 2" xfId="13044" xr:uid="{5D6DDCB5-C411-46FA-B70B-F395C3DA011C}"/>
    <cellStyle name="Normal 2 6 6" xfId="13045" xr:uid="{C73F6B2C-09D6-4737-845D-00FC9D80C38B}"/>
    <cellStyle name="Normal 2 6 6 2" xfId="13046" xr:uid="{8797AEC2-81AA-44A4-AE0C-486333F72210}"/>
    <cellStyle name="Normal 2 6 7" xfId="13047" xr:uid="{9906BCE6-6708-4072-92D1-98E6F008844E}"/>
    <cellStyle name="Normal 2 6 8" xfId="13048" xr:uid="{B9034FAD-C479-4513-BD2B-3787B28A9A6E}"/>
    <cellStyle name="Normal 2 6 8 2" xfId="13049" xr:uid="{5923A7F1-E22C-4053-A97C-DE72DC30C5E0}"/>
    <cellStyle name="Normal 2 6 8 2 2" xfId="31763" xr:uid="{3BCFC9C7-36A5-49E2-A875-6823D2DDE654}"/>
    <cellStyle name="Normal 2 6 8 2 3" xfId="31764" xr:uid="{A9E50E3C-22A2-41C5-85C4-79B419AA70C3}"/>
    <cellStyle name="Normal 2 6 8 3" xfId="31765" xr:uid="{17822D34-770B-43D0-B6F1-FFB90A099AA4}"/>
    <cellStyle name="Normal 2 6 8 4" xfId="31766" xr:uid="{796472FD-0965-400E-B980-AE769581FA9A}"/>
    <cellStyle name="Normal 2 6 8 5" xfId="31767" xr:uid="{112256E6-8EE0-4B41-B56E-FDA6584D7ADC}"/>
    <cellStyle name="Normal 2 6 9" xfId="13050" xr:uid="{E90CB514-8DDD-445D-90B6-D2BF1319D735}"/>
    <cellStyle name="Normal 2 6 9 2" xfId="31768" xr:uid="{8378A2D7-456E-4E5A-9E47-AB3D4D66074F}"/>
    <cellStyle name="Normal 2 60" xfId="45806" xr:uid="{C294AE57-E9B5-489F-A042-F983495A7374}"/>
    <cellStyle name="Normal 2 61" xfId="45904" xr:uid="{043B68CF-F71A-4C51-A86D-97D688B32C76}"/>
    <cellStyle name="Normal 2 62" xfId="45942" xr:uid="{66CC0FD9-E767-4840-983E-9651BA7CF56B}"/>
    <cellStyle name="Normal 2 63" xfId="45940" xr:uid="{29660EB9-77F2-4504-8C58-AB5675F1057D}"/>
    <cellStyle name="Normal 2 64" xfId="45945" xr:uid="{4D367EC7-DF51-4C63-AEC2-855963EB758E}"/>
    <cellStyle name="Normal 2 65" xfId="45946" xr:uid="{469863E3-C8FA-4AFE-9F39-48000A5E1FE5}"/>
    <cellStyle name="Normal 2 7" xfId="27" xr:uid="{10133F8A-4C02-4FA0-8841-03817F0992E8}"/>
    <cellStyle name="Normal 2 7 2" xfId="13052" xr:uid="{BFEF54CF-DAAA-48E2-8C91-1660432C9DA0}"/>
    <cellStyle name="Normal 2 7 2 2" xfId="31769" xr:uid="{1E4035F5-96BC-46CC-80AB-5F360B2F4D6C}"/>
    <cellStyle name="Normal 2 7 3" xfId="13053" xr:uid="{0FD39069-9C56-4A5F-BF87-DFE00D263D7D}"/>
    <cellStyle name="Normal 2 7 4" xfId="13054" xr:uid="{5263CD17-4A3F-4571-BA21-51B938911ED4}"/>
    <cellStyle name="Normal 2 7 4 2" xfId="13055" xr:uid="{66D93C1D-555B-4906-8ACA-BFDE4ECA02D5}"/>
    <cellStyle name="Normal 2 7 5" xfId="13056" xr:uid="{3E8E3F9F-1929-4CB1-B27E-6EDBE06B2725}"/>
    <cellStyle name="Normal 2 7 5 2" xfId="13057" xr:uid="{0F5A3CA1-F87D-43E8-A48B-CD5172DE35B4}"/>
    <cellStyle name="Normal 2 7 6" xfId="13058" xr:uid="{8B9028C7-2D5A-4BFF-AC9E-2122C0C436F6}"/>
    <cellStyle name="Normal 2 7 6 2" xfId="13059" xr:uid="{869BE0AA-5998-4F92-852B-1E8994D29DDD}"/>
    <cellStyle name="Normal 2 7 7" xfId="13060" xr:uid="{1E5F3333-F175-4A35-894D-DAA6944A371B}"/>
    <cellStyle name="Normal 2 7 8" xfId="13051" xr:uid="{FC5A842C-BB27-4F71-A315-9349E6466D60}"/>
    <cellStyle name="Normal 2 8" xfId="13061" xr:uid="{A2461B97-8079-4457-B930-AD111074F343}"/>
    <cellStyle name="Normal 2 8 2" xfId="13062" xr:uid="{C8A7B08A-ACEF-4B8A-8860-8979DD53FAD2}"/>
    <cellStyle name="Normal 2 8 2 2" xfId="31770" xr:uid="{FBC1E22D-0F56-4301-AB29-53081215C087}"/>
    <cellStyle name="Normal 2 8 3" xfId="13063" xr:uid="{BB66A4F8-14F6-432E-AF5C-D2DCCBDDB454}"/>
    <cellStyle name="Normal 2 8 4" xfId="13064" xr:uid="{B96BA097-6F0D-4B82-B1F6-DA9604431A54}"/>
    <cellStyle name="Normal 2 8 4 2" xfId="13065" xr:uid="{A3063B4E-B02F-49F0-91A5-3F515B46C1B1}"/>
    <cellStyle name="Normal 2 8 5" xfId="13066" xr:uid="{346A78D6-545B-475C-A1E2-4E467ECCCA9D}"/>
    <cellStyle name="Normal 2 8 5 2" xfId="13067" xr:uid="{082C1DC0-F542-4B07-92A9-8EDD6C42C288}"/>
    <cellStyle name="Normal 2 8 6" xfId="13068" xr:uid="{C420DC47-369C-4C07-945A-670BAA99A5B9}"/>
    <cellStyle name="Normal 2 8 6 2" xfId="13069" xr:uid="{75FF48EC-489D-41F4-AAB5-0D7353CF4F9E}"/>
    <cellStyle name="Normal 2 8 7" xfId="13070" xr:uid="{1BFE0130-4FD5-4C71-A3F6-F1EF0810C47A}"/>
    <cellStyle name="Normal 2 9" xfId="13071" xr:uid="{09F11A1A-CA3F-4BD4-B383-80C7343D1F7A}"/>
    <cellStyle name="Normal 2 9 2" xfId="13072" xr:uid="{46C1F71B-659F-43D5-9778-0E2A347A17DA}"/>
    <cellStyle name="Normal 2 9 2 2" xfId="13073" xr:uid="{BC70BDD4-FD80-4383-9221-9D1D3DF11847}"/>
    <cellStyle name="Normal 2 9 2 2 2" xfId="31771" xr:uid="{376DB5AF-07DC-45AC-968F-AEAB9B2C3D4F}"/>
    <cellStyle name="Normal 2 9 2 2 2 2" xfId="31772" xr:uid="{90351DBF-287C-40B8-AEF1-4A668270F233}"/>
    <cellStyle name="Normal 2 9 2 2 2 3" xfId="31773" xr:uid="{48898069-EAC8-4ACE-A23A-FBB5ABFE2EFC}"/>
    <cellStyle name="Normal 2 9 2 2 3" xfId="31774" xr:uid="{20939DFA-A43E-4D79-9142-511292A57D84}"/>
    <cellStyle name="Normal 2 9 2 3" xfId="31775" xr:uid="{FD97A332-0CEB-4AB8-85D0-9808FB7DFEEF}"/>
    <cellStyle name="Normal 2 9 2 3 2" xfId="31776" xr:uid="{9E6E08F7-B097-4174-87B7-33757452C750}"/>
    <cellStyle name="Normal 2 9 2 3 3" xfId="31777" xr:uid="{7C6B94CB-78C2-4837-9AC8-6A3B7C857DF2}"/>
    <cellStyle name="Normal 2 9 2 4" xfId="31778" xr:uid="{8E0805A5-4DC6-4DA5-8312-AD39E6990430}"/>
    <cellStyle name="Normal 2 9 3" xfId="42907" xr:uid="{FCDFB41F-1605-4B4E-927E-AE86827F5522}"/>
    <cellStyle name="Normal 2_Copy of Commissioning date correction" xfId="13074" xr:uid="{660EFDC6-A4CF-408A-8B3C-4B61727F0749}"/>
    <cellStyle name="Normal 20" xfId="13075" xr:uid="{23F7D05E-05B1-41E9-8437-BF84317CADE2}"/>
    <cellStyle name="Normal 20 10" xfId="13076" xr:uid="{8A7B090D-F3E3-4459-A8C2-21C5119DE417}"/>
    <cellStyle name="Normal 20 10 2" xfId="31779" xr:uid="{85253F94-653A-407C-98FD-D516B6970CD2}"/>
    <cellStyle name="Normal 20 10 3" xfId="31780" xr:uid="{FD4E1A45-09CD-4DE8-AE69-CD8E4072857A}"/>
    <cellStyle name="Normal 20 11" xfId="13077" xr:uid="{9E89EDBC-C41E-4CDC-AA3C-96C645A0FFCC}"/>
    <cellStyle name="Normal 20 11 2" xfId="31781" xr:uid="{C1C78BF0-6DDD-4E17-9EA8-648FAEB641D5}"/>
    <cellStyle name="Normal 20 11 3" xfId="31782" xr:uid="{FA90980A-DFC0-4F41-AFF5-D5F08D3B31C0}"/>
    <cellStyle name="Normal 20 12" xfId="13078" xr:uid="{58AA7DBB-AEC2-4740-AB01-3300FF4E85C1}"/>
    <cellStyle name="Normal 20 12 2" xfId="31783" xr:uid="{D7536486-630C-4D1E-B6E4-34A72675D777}"/>
    <cellStyle name="Normal 20 12 3" xfId="31784" xr:uid="{1496EDDB-B9F5-46C1-A383-1E743BA9588B}"/>
    <cellStyle name="Normal 20 13" xfId="13079" xr:uid="{29D85265-6CF9-48F1-A8F2-4C28E58F9E38}"/>
    <cellStyle name="Normal 20 14" xfId="13080" xr:uid="{8663D544-1136-430B-BBA5-56C066E13186}"/>
    <cellStyle name="Normal 20 14 2" xfId="31785" xr:uid="{94AB5755-A2F1-462A-9934-EAF150966E45}"/>
    <cellStyle name="Normal 20 14 3" xfId="31786" xr:uid="{763F020D-F54A-4A73-BD53-A28F4D2A4491}"/>
    <cellStyle name="Normal 20 15" xfId="13081" xr:uid="{021A2DA7-F80B-4E17-BF6D-80D919705BC3}"/>
    <cellStyle name="Normal 20 15 2" xfId="31787" xr:uid="{0A5EA057-7E93-41D0-986B-8547657E1469}"/>
    <cellStyle name="Normal 20 15 3" xfId="31788" xr:uid="{A95C29F3-A840-4F40-B91F-BBF74FA402B6}"/>
    <cellStyle name="Normal 20 16" xfId="13082" xr:uid="{52CF3BB8-BF98-4128-B55F-1847EB40BEAC}"/>
    <cellStyle name="Normal 20 16 2" xfId="31789" xr:uid="{1AF32F40-21D5-4A19-8E8B-4A4AB9458B60}"/>
    <cellStyle name="Normal 20 16 3" xfId="31790" xr:uid="{BE4C1DFE-869D-4C85-9B98-1BFE06578B69}"/>
    <cellStyle name="Normal 20 17" xfId="13083" xr:uid="{7165515E-7DAB-47FD-84FC-2D98203ACA1D}"/>
    <cellStyle name="Normal 20 17 2" xfId="31791" xr:uid="{E2A4D615-22CA-4E95-81AF-08063FC3FD62}"/>
    <cellStyle name="Normal 20 17 3" xfId="31792" xr:uid="{095888D8-F65C-4052-BCEE-6EFA45EEF7EE}"/>
    <cellStyle name="Normal 20 18" xfId="13084" xr:uid="{36370248-AF85-4696-8FDD-2FD0FB96A422}"/>
    <cellStyle name="Normal 20 18 2" xfId="31793" xr:uid="{2A240B26-6D46-47A8-8340-7C631E8C80FD}"/>
    <cellStyle name="Normal 20 18 3" xfId="31794" xr:uid="{FB1EACE0-EE05-46ED-A9FA-775695D940FD}"/>
    <cellStyle name="Normal 20 19" xfId="31795" xr:uid="{57C7F093-89B7-45A7-9A9C-72CFB6866A66}"/>
    <cellStyle name="Normal 20 2" xfId="13085" xr:uid="{71A181F7-3470-4353-86D8-1BAC262A86C9}"/>
    <cellStyle name="Normal 20 2 10" xfId="13086" xr:uid="{CA1861BF-1D5C-47B8-ABC3-B24F94074157}"/>
    <cellStyle name="Normal 20 2 10 2" xfId="31796" xr:uid="{40C8FECD-1083-485E-B65D-4E2380E105C7}"/>
    <cellStyle name="Normal 20 2 10 3" xfId="31797" xr:uid="{7C9F3586-156C-4162-86D8-5B6AC425A5C7}"/>
    <cellStyle name="Normal 20 2 11" xfId="13087" xr:uid="{ABC9A18D-13AE-4F9C-BA15-AC0B8CE7FE6D}"/>
    <cellStyle name="Normal 20 2 11 2" xfId="31798" xr:uid="{225835C7-B5C0-4DC9-B54D-F7A61C00CE07}"/>
    <cellStyle name="Normal 20 2 11 3" xfId="31799" xr:uid="{2B72BFA0-AA50-4207-93D9-FE429BA4D895}"/>
    <cellStyle name="Normal 20 2 12" xfId="13088" xr:uid="{C17047A3-6EE6-4A34-BB46-947B6B7FA390}"/>
    <cellStyle name="Normal 20 2 12 2" xfId="31800" xr:uid="{10626FD2-E934-4A75-A64D-C8DE5CBBA553}"/>
    <cellStyle name="Normal 20 2 12 3" xfId="31801" xr:uid="{99924E24-BF2E-4FD5-8F28-5636505AF075}"/>
    <cellStyle name="Normal 20 2 13" xfId="13089" xr:uid="{E61601C0-7B0F-4FAE-9093-78F9E2F013CB}"/>
    <cellStyle name="Normal 20 2 13 2" xfId="31802" xr:uid="{FD58AF8F-5CDE-4900-BFBE-ECF5568D2F1E}"/>
    <cellStyle name="Normal 20 2 13 3" xfId="31803" xr:uid="{1399CF8D-E7F2-4638-907C-7DE5A021DFCF}"/>
    <cellStyle name="Normal 20 2 14" xfId="13090" xr:uid="{47CF680D-AA7F-4038-9FB3-32F43006D483}"/>
    <cellStyle name="Normal 20 2 14 2" xfId="31804" xr:uid="{06E01D64-6E40-4E6D-8871-E1938F8AB1AA}"/>
    <cellStyle name="Normal 20 2 14 3" xfId="31805" xr:uid="{B6927699-2CF3-425B-8401-2C577F01F1C5}"/>
    <cellStyle name="Normal 20 2 15" xfId="13091" xr:uid="{02746C6A-0C78-4035-80E6-14F2A51561A7}"/>
    <cellStyle name="Normal 20 2 15 2" xfId="31806" xr:uid="{1D9CC791-238C-4838-9F38-869E2A446E41}"/>
    <cellStyle name="Normal 20 2 15 3" xfId="31807" xr:uid="{4837D6F5-1066-4650-810E-FDC7ED7CF26B}"/>
    <cellStyle name="Normal 20 2 16" xfId="13092" xr:uid="{1DAC6D23-0344-43BC-A999-2118EED6B17B}"/>
    <cellStyle name="Normal 20 2 16 2" xfId="31808" xr:uid="{906AFB18-929C-42C9-8177-98BED8B692C2}"/>
    <cellStyle name="Normal 20 2 16 3" xfId="31809" xr:uid="{01C1B4B3-277A-4BFB-AC4D-7F1A21DFE979}"/>
    <cellStyle name="Normal 20 2 17" xfId="13093" xr:uid="{2EB02BC4-01D2-49D5-943F-879F7ADDF368}"/>
    <cellStyle name="Normal 20 2 17 2" xfId="31810" xr:uid="{97F342FE-9867-43C1-B9A6-C87446A39778}"/>
    <cellStyle name="Normal 20 2 17 3" xfId="31811" xr:uid="{69C7433C-4DDA-4232-BBF4-952D183CF54E}"/>
    <cellStyle name="Normal 20 2 18" xfId="31812" xr:uid="{35A554DF-7B84-4341-9FA4-A297C4A9B488}"/>
    <cellStyle name="Normal 20 2 2" xfId="13094" xr:uid="{03D98322-38BE-4867-BA91-4DE949C7DF4E}"/>
    <cellStyle name="Normal 20 2 2 2" xfId="13095" xr:uid="{12746D70-EE9F-4F9C-B66A-8F9FF9CDDCF1}"/>
    <cellStyle name="Normal 20 2 3" xfId="13096" xr:uid="{EB278C82-CB03-43F9-9FE2-E1F0A710935C}"/>
    <cellStyle name="Normal 20 2 4" xfId="13097" xr:uid="{82F25966-4671-476B-AF8D-5C418C98404E}"/>
    <cellStyle name="Normal 20 2 5" xfId="13098" xr:uid="{924D4463-B570-44AC-A4D3-92A8ABDA6B9C}"/>
    <cellStyle name="Normal 20 2 6" xfId="13099" xr:uid="{D91F30CD-31A6-4DEF-9657-AE21A722B189}"/>
    <cellStyle name="Normal 20 2 7" xfId="13100" xr:uid="{0EAA9B83-76F5-402C-A34D-7D03AD476C0B}"/>
    <cellStyle name="Normal 20 2 8" xfId="13101" xr:uid="{D47BE201-91C3-4B54-85BC-4A6A3FA43585}"/>
    <cellStyle name="Normal 20 2 8 2" xfId="13102" xr:uid="{8776B5F3-5A94-4F96-B676-F2D2B24DB85B}"/>
    <cellStyle name="Normal 20 2 9" xfId="13103" xr:uid="{7F75F933-6AB3-4BEA-9EC9-6C94B5D613C7}"/>
    <cellStyle name="Normal 20 2 9 2" xfId="31813" xr:uid="{106420CE-B776-4390-99DB-E4A537DBEB03}"/>
    <cellStyle name="Normal 20 2 9 3" xfId="31814" xr:uid="{F050982E-EB62-46A4-B45A-3414640EA62C}"/>
    <cellStyle name="Normal 20 3" xfId="13104" xr:uid="{A2581BC0-D376-4EA2-886E-9A40698FAEB4}"/>
    <cellStyle name="Normal 20 3 10" xfId="13105" xr:uid="{1128A9AE-FDB2-451D-8BB1-00F7C316DE40}"/>
    <cellStyle name="Normal 20 3 10 2" xfId="31815" xr:uid="{A2EAF033-7F37-4ADE-81EB-DF8020DA8B1F}"/>
    <cellStyle name="Normal 20 3 10 3" xfId="31816" xr:uid="{B85756C7-6330-4A7C-8BB8-F123C18A0B13}"/>
    <cellStyle name="Normal 20 3 11" xfId="13106" xr:uid="{1739C8BC-691F-4714-9722-A869013D0E9A}"/>
    <cellStyle name="Normal 20 3 11 2" xfId="31817" xr:uid="{396D2F00-0F8D-4EF7-B156-8E5188ED99E3}"/>
    <cellStyle name="Normal 20 3 11 3" xfId="31818" xr:uid="{86959467-8D41-4075-9DCD-BF24E96C18A9}"/>
    <cellStyle name="Normal 20 3 12" xfId="13107" xr:uid="{A6E89701-CC41-4A1F-B178-08F1A5057BCD}"/>
    <cellStyle name="Normal 20 3 12 2" xfId="31819" xr:uid="{D7457D2D-FD74-4D75-B32B-58177A7B701F}"/>
    <cellStyle name="Normal 20 3 12 3" xfId="31820" xr:uid="{3FF66796-674E-4E5D-9C58-14C744D909CF}"/>
    <cellStyle name="Normal 20 3 13" xfId="13108" xr:uid="{3ECCCE50-7CA7-48E7-8305-B65070A908D5}"/>
    <cellStyle name="Normal 20 3 13 2" xfId="31821" xr:uid="{DF7C3262-0866-4B50-9C27-88C0D0DB258D}"/>
    <cellStyle name="Normal 20 3 13 3" xfId="31822" xr:uid="{EBD1794E-2AD3-4B62-8091-A3D797B20C98}"/>
    <cellStyle name="Normal 20 3 14" xfId="13109" xr:uid="{8C90B77E-F1F2-4C1F-9F7F-DA23BF4F7989}"/>
    <cellStyle name="Normal 20 3 14 2" xfId="31823" xr:uid="{E0F20B6F-51FB-44F7-8743-567040DD777B}"/>
    <cellStyle name="Normal 20 3 14 3" xfId="31824" xr:uid="{0C4ED3BB-CCC2-41B3-AFE3-558AAF039BEF}"/>
    <cellStyle name="Normal 20 3 15" xfId="13110" xr:uid="{0A1E6AB3-47CB-4F6E-9B5E-8272567D201F}"/>
    <cellStyle name="Normal 20 3 15 2" xfId="31825" xr:uid="{4EE9C431-0231-454E-9300-6A3DED19BE78}"/>
    <cellStyle name="Normal 20 3 15 3" xfId="31826" xr:uid="{E9806E7A-055B-4450-9D5C-567B236C44E7}"/>
    <cellStyle name="Normal 20 3 16" xfId="13111" xr:uid="{21946F2C-7295-4320-855D-99C28BCA7DEA}"/>
    <cellStyle name="Normal 20 3 16 2" xfId="31827" xr:uid="{22A10A8F-CC1D-448D-9D57-D367FAC55E82}"/>
    <cellStyle name="Normal 20 3 16 3" xfId="31828" xr:uid="{BBAFF3CB-A683-4714-A2F3-CA39396A24F4}"/>
    <cellStyle name="Normal 20 3 17" xfId="13112" xr:uid="{E5FADE71-3DB7-4479-84F4-88A1F98BBBE1}"/>
    <cellStyle name="Normal 20 3 17 2" xfId="31829" xr:uid="{3CCD0F0E-BDE2-4A6D-B8E1-E090EAFAD2AB}"/>
    <cellStyle name="Normal 20 3 17 3" xfId="31830" xr:uid="{C5257CA8-061B-4396-A19E-0C877791EF21}"/>
    <cellStyle name="Normal 20 3 18" xfId="31831" xr:uid="{AA0F1759-A628-4DF0-ABC3-8E8CF2BA729F}"/>
    <cellStyle name="Normal 20 3 2" xfId="13113" xr:uid="{CBE6C255-63E3-4AEB-B4C6-3FEB0016B2AE}"/>
    <cellStyle name="Normal 20 3 2 2" xfId="13114" xr:uid="{3C1CB97A-C5C8-4E80-9A38-E0D1787B7BF1}"/>
    <cellStyle name="Normal 20 3 3" xfId="13115" xr:uid="{332EC234-3CA3-43CC-975F-197A00FAB8B3}"/>
    <cellStyle name="Normal 20 3 4" xfId="13116" xr:uid="{8F67654C-D558-4931-A413-068735A9906E}"/>
    <cellStyle name="Normal 20 3 5" xfId="13117" xr:uid="{6D79D1BB-BF67-4471-B701-1AF261D68939}"/>
    <cellStyle name="Normal 20 3 6" xfId="13118" xr:uid="{3A96C742-A2A0-4548-A6EC-968AABCB444A}"/>
    <cellStyle name="Normal 20 3 7" xfId="13119" xr:uid="{17B78FE3-3B25-490C-9184-6A0EB85D3A3D}"/>
    <cellStyle name="Normal 20 3 8" xfId="13120" xr:uid="{D94A4B4A-442E-4E4D-8813-34CF070A765C}"/>
    <cellStyle name="Normal 20 3 8 2" xfId="13121" xr:uid="{5E80CD75-2E7A-4461-AD1B-5DBEA5731C6C}"/>
    <cellStyle name="Normal 20 3 9" xfId="13122" xr:uid="{A5C024D8-D6C5-4472-AF3C-DEC1A4588A8E}"/>
    <cellStyle name="Normal 20 3 9 2" xfId="31832" xr:uid="{423373E8-EF04-4578-A4AE-8288691CBDC7}"/>
    <cellStyle name="Normal 20 3 9 3" xfId="31833" xr:uid="{2772D4D2-C362-40EF-8027-49A2F3C2F781}"/>
    <cellStyle name="Normal 20 4" xfId="13123" xr:uid="{30D332C7-7382-4FAF-8E66-BB4B484F9860}"/>
    <cellStyle name="Normal 20 4 2" xfId="13124" xr:uid="{C48CADA0-B838-4931-9070-171151BFF7CF}"/>
    <cellStyle name="Normal 20 4 2 2" xfId="13125" xr:uid="{F882DE37-7D25-4D82-B43F-2FC60F56E39E}"/>
    <cellStyle name="Normal 20 4 3" xfId="13126" xr:uid="{AAD309BD-F95F-42AA-BF8E-7CBD5A7EC097}"/>
    <cellStyle name="Normal 20 4 4" xfId="13127" xr:uid="{0F8C9397-9C64-4A40-AAC1-364F01456CA1}"/>
    <cellStyle name="Normal 20 4 5" xfId="13128" xr:uid="{49EB4F71-9C35-499D-9B3C-4DC4D2B04765}"/>
    <cellStyle name="Normal 20 4 6" xfId="13129" xr:uid="{C9393626-4493-4E66-ADAB-8301073AD5FA}"/>
    <cellStyle name="Normal 20 4 7" xfId="13130" xr:uid="{11E739A7-73B9-456E-81CB-789A64D2D217}"/>
    <cellStyle name="Normal 20 4 8" xfId="13131" xr:uid="{32F2B518-FFED-4388-87BE-56E959AD5E9B}"/>
    <cellStyle name="Normal 20 4 8 2" xfId="13132" xr:uid="{94BBBD13-BF0D-45DC-B881-547E915D69BD}"/>
    <cellStyle name="Normal 20 5" xfId="13133" xr:uid="{AA2D2FBD-219E-4063-B112-CDDCA20A6B4A}"/>
    <cellStyle name="Normal 20 5 2" xfId="13134" xr:uid="{968B59B9-F4BF-47E7-9751-731485262975}"/>
    <cellStyle name="Normal 20 5 2 2" xfId="13135" xr:uid="{A9B97AC7-D0BD-4A84-93B7-F56FA323C042}"/>
    <cellStyle name="Normal 20 5 3" xfId="13136" xr:uid="{C977C264-C369-4316-A24F-CCC43658A68E}"/>
    <cellStyle name="Normal 20 5 4" xfId="13137" xr:uid="{F37C151F-F8F2-4298-8E88-68C7FCA8B711}"/>
    <cellStyle name="Normal 20 5 5" xfId="13138" xr:uid="{52BD3860-8F86-48BE-A30A-F1F220248A87}"/>
    <cellStyle name="Normal 20 5 6" xfId="13139" xr:uid="{9C9B69CC-B71A-4518-BDD7-61FE59ABEB15}"/>
    <cellStyle name="Normal 20 5 7" xfId="13140" xr:uid="{35D289BB-B67A-4D3E-8752-F0E1BD2D9495}"/>
    <cellStyle name="Normal 20 5 8" xfId="13141" xr:uid="{D4646B62-550D-4C61-9140-BB410C3C230E}"/>
    <cellStyle name="Normal 20 5 8 2" xfId="13142" xr:uid="{379701B0-0EDB-4A55-B9D2-17F4617D04FC}"/>
    <cellStyle name="Normal 20 6" xfId="13143" xr:uid="{457B8389-C2B3-4250-BAB2-010394490DF1}"/>
    <cellStyle name="Normal 20 6 2" xfId="13144" xr:uid="{7A2FC125-A619-470C-AC52-E13DD1257C8B}"/>
    <cellStyle name="Normal 20 6 2 2" xfId="13145" xr:uid="{CBF605B7-DB01-4C32-A241-9CE9B5EC6875}"/>
    <cellStyle name="Normal 20 6 3" xfId="13146" xr:uid="{F14C9818-A6FB-40D6-BBDF-9200524D5A2D}"/>
    <cellStyle name="Normal 20 6 4" xfId="13147" xr:uid="{35F45347-9B60-4B69-BC5E-5F4D019535AF}"/>
    <cellStyle name="Normal 20 6 5" xfId="13148" xr:uid="{75127E03-F147-4258-A437-FC1987A04D53}"/>
    <cellStyle name="Normal 20 6 6" xfId="13149" xr:uid="{7E3E0B19-16E5-42E4-876F-2DA7052A6F4E}"/>
    <cellStyle name="Normal 20 6 7" xfId="13150" xr:uid="{2F130B48-B579-4FE7-AE4E-F3EDA01646D9}"/>
    <cellStyle name="Normal 20 6 8" xfId="13151" xr:uid="{7236851F-37E1-4395-BFE2-68AC7133442C}"/>
    <cellStyle name="Normal 20 6 8 2" xfId="13152" xr:uid="{52C6D396-5B97-488E-8AE4-E4C8944438D0}"/>
    <cellStyle name="Normal 20 7" xfId="13153" xr:uid="{E72D32FA-B0AF-444F-A761-FABBFA3099BA}"/>
    <cellStyle name="Normal 20 8" xfId="13154" xr:uid="{AB1BCA2D-680A-4596-AAB1-F6EE03775A61}"/>
    <cellStyle name="Normal 20 8 2" xfId="13155" xr:uid="{73A5435B-E4A4-46DE-8542-2D6FF55A0335}"/>
    <cellStyle name="Normal 20 9" xfId="13156" xr:uid="{3C1B21C2-954C-46C3-A118-7140350FAB78}"/>
    <cellStyle name="Normal 20 9 2" xfId="31834" xr:uid="{3583AE09-4C97-4444-BB6D-78286F50BAED}"/>
    <cellStyle name="Normal 20 9 3" xfId="31835" xr:uid="{A8677F17-3D3D-4FD9-AE0E-4F9F93DA23B5}"/>
    <cellStyle name="Normal 21" xfId="13157" xr:uid="{132D0987-CAE3-4A65-A184-A3190BECF66F}"/>
    <cellStyle name="Normal 21 10" xfId="13158" xr:uid="{33470EE0-A885-4996-AFAF-34195FE3CCD5}"/>
    <cellStyle name="Normal 21 10 2" xfId="31836" xr:uid="{23801D8D-8971-410B-B0E6-E6E2ED894D1E}"/>
    <cellStyle name="Normal 21 10 3" xfId="31837" xr:uid="{BAC51EE7-3AC5-46D2-87E8-AA7337A0D196}"/>
    <cellStyle name="Normal 21 11" xfId="13159" xr:uid="{5A09337D-9736-4526-B53F-F7F7C7BC5B1D}"/>
    <cellStyle name="Normal 21 11 2" xfId="31838" xr:uid="{F27AA7CE-77AC-4AA1-9D03-814958A7CBA3}"/>
    <cellStyle name="Normal 21 11 3" xfId="31839" xr:uid="{9855D185-BC03-42A9-B76B-16EF27BBA8F8}"/>
    <cellStyle name="Normal 21 12" xfId="13160" xr:uid="{9E619E08-4740-4622-AED6-5AF34337175B}"/>
    <cellStyle name="Normal 21 12 2" xfId="31840" xr:uid="{B3582E61-C430-48BC-9A1A-24E80B71E278}"/>
    <cellStyle name="Normal 21 12 3" xfId="31841" xr:uid="{6C7A96D2-7E23-4F02-B49A-51FBEC8E22F8}"/>
    <cellStyle name="Normal 21 13" xfId="13161" xr:uid="{81157CEF-96F1-4201-8F4B-6F0AD96C6864}"/>
    <cellStyle name="Normal 21 13 2" xfId="31842" xr:uid="{970A6F88-35E1-4190-8E1B-06AECE8B86DD}"/>
    <cellStyle name="Normal 21 13 3" xfId="31843" xr:uid="{FCE8DF43-C840-4DF7-8A7A-7F4134B6E946}"/>
    <cellStyle name="Normal 21 14" xfId="13162" xr:uid="{2247749C-1392-4383-98C6-44A7FA83A8C1}"/>
    <cellStyle name="Normal 21 14 2" xfId="31844" xr:uid="{2007E63E-5108-4CCA-960A-B68081C5644A}"/>
    <cellStyle name="Normal 21 14 3" xfId="31845" xr:uid="{054D3A3F-90F9-4FEE-A57F-44941EE97932}"/>
    <cellStyle name="Normal 21 15" xfId="13163" xr:uid="{E070F6F1-DE65-4A19-A3F0-C95D41B57E10}"/>
    <cellStyle name="Normal 21 15 2" xfId="31846" xr:uid="{E25909C2-5898-4E0F-A8F1-B8D9B464B00E}"/>
    <cellStyle name="Normal 21 15 3" xfId="31847" xr:uid="{D28613C2-509C-496F-BD70-230F23456519}"/>
    <cellStyle name="Normal 21 16" xfId="13164" xr:uid="{019D5E09-D738-491E-920D-F4DD9993ABA3}"/>
    <cellStyle name="Normal 21 16 2" xfId="31848" xr:uid="{95E46A24-44E0-415C-AF09-98E4AE4B024F}"/>
    <cellStyle name="Normal 21 16 3" xfId="31849" xr:uid="{B40EC142-ED6A-446B-9150-42F8F430849E}"/>
    <cellStyle name="Normal 21 17" xfId="13165" xr:uid="{5AE4985C-63AB-4589-8E71-2B59EC787B30}"/>
    <cellStyle name="Normal 21 17 2" xfId="31850" xr:uid="{CE82A999-1A8B-4D68-AE91-C48A58576901}"/>
    <cellStyle name="Normal 21 17 3" xfId="31851" xr:uid="{351C6614-51DB-4A21-B987-FA896CCB51F9}"/>
    <cellStyle name="Normal 21 18" xfId="31852" xr:uid="{B2A4179F-C7A4-44E4-89C8-095FD3ACD565}"/>
    <cellStyle name="Normal 21 2" xfId="13166" xr:uid="{B58DCD08-54C2-4D19-98A9-8E069BE29766}"/>
    <cellStyle name="Normal 21 2 10" xfId="13167" xr:uid="{E7832614-4D18-43C2-8576-BC4FCD663541}"/>
    <cellStyle name="Normal 21 2 10 2" xfId="31853" xr:uid="{1A45494E-72F6-4E79-BD16-20C8DCA72C19}"/>
    <cellStyle name="Normal 21 2 10 3" xfId="31854" xr:uid="{ADACAC83-9336-4D0A-821D-8F6A33A1B2AF}"/>
    <cellStyle name="Normal 21 2 11" xfId="13168" xr:uid="{1EC5DDBC-F6CB-41C1-9D13-C26C2736485C}"/>
    <cellStyle name="Normal 21 2 11 2" xfId="31855" xr:uid="{7788FF28-E977-458F-9937-2C61C24A98EB}"/>
    <cellStyle name="Normal 21 2 11 3" xfId="31856" xr:uid="{E486CE5E-9E40-42E6-9305-2C766227772C}"/>
    <cellStyle name="Normal 21 2 12" xfId="13169" xr:uid="{F6090940-0CD8-4877-8D6E-56A245FCFCBD}"/>
    <cellStyle name="Normal 21 2 12 2" xfId="31857" xr:uid="{2D214096-F9B6-4E88-A599-0C3278034768}"/>
    <cellStyle name="Normal 21 2 12 3" xfId="31858" xr:uid="{84441389-EB83-492B-B6A8-F149FDB55765}"/>
    <cellStyle name="Normal 21 2 13" xfId="13170" xr:uid="{20B8ED3E-5FA2-44E4-A828-085DC1C36541}"/>
    <cellStyle name="Normal 21 2 13 2" xfId="31859" xr:uid="{FB33F9F6-1B09-4F57-B5E9-E0B16E6EA77B}"/>
    <cellStyle name="Normal 21 2 13 3" xfId="31860" xr:uid="{1244DF75-6C0B-4118-9CAB-CCEEE8944733}"/>
    <cellStyle name="Normal 21 2 14" xfId="13171" xr:uid="{2E7E73BB-E3ED-4561-8F04-64E9313F188B}"/>
    <cellStyle name="Normal 21 2 14 2" xfId="31861" xr:uid="{2BD90295-5D43-47C5-B5E4-132E47317E99}"/>
    <cellStyle name="Normal 21 2 14 3" xfId="31862" xr:uid="{6661F09B-EEBD-492A-83D8-F19668CF24E8}"/>
    <cellStyle name="Normal 21 2 15" xfId="13172" xr:uid="{9ED2AC81-ED17-47AC-96A8-4D4D344C616D}"/>
    <cellStyle name="Normal 21 2 15 2" xfId="31863" xr:uid="{AD98265E-9DB4-438F-92B1-0E4875F56C43}"/>
    <cellStyle name="Normal 21 2 15 3" xfId="31864" xr:uid="{4A1046F8-2F4B-45DA-B354-66734526F6C3}"/>
    <cellStyle name="Normal 21 2 16" xfId="13173" xr:uid="{C66EF98D-630F-4EFB-8B25-571A84608006}"/>
    <cellStyle name="Normal 21 2 16 2" xfId="31865" xr:uid="{28804BC2-AE76-4360-80D1-B3D5A44B21E3}"/>
    <cellStyle name="Normal 21 2 16 3" xfId="31866" xr:uid="{6327F074-BC7B-4882-A132-DEADBBC917E9}"/>
    <cellStyle name="Normal 21 2 17" xfId="13174" xr:uid="{BDF29673-729E-4BDF-87CF-4A9E17F381A1}"/>
    <cellStyle name="Normal 21 2 17 2" xfId="31867" xr:uid="{2AFC5200-4CBD-47A7-959E-A09FAB2C0574}"/>
    <cellStyle name="Normal 21 2 17 3" xfId="31868" xr:uid="{28DE194A-6EA3-4D1C-91BC-8BB1DCA56CFA}"/>
    <cellStyle name="Normal 21 2 18" xfId="31869" xr:uid="{2BA908A5-F398-4C15-AB2E-306F5304FF9E}"/>
    <cellStyle name="Normal 21 2 2" xfId="13175" xr:uid="{F5515249-6422-4AE2-9749-46C287E540AD}"/>
    <cellStyle name="Normal 21 2 2 2" xfId="13176" xr:uid="{7F2456CA-75BA-41E2-8B36-D65CD5F3677C}"/>
    <cellStyle name="Normal 21 2 3" xfId="13177" xr:uid="{3FEDA7E7-BFF1-4DA9-B86B-D116DF8B78DA}"/>
    <cellStyle name="Normal 21 2 4" xfId="13178" xr:uid="{FDBA437E-2CB8-46B1-810D-80EB96041C9D}"/>
    <cellStyle name="Normal 21 2 5" xfId="13179" xr:uid="{D8857F2E-02DC-462A-882A-227E22B3CF72}"/>
    <cellStyle name="Normal 21 2 6" xfId="13180" xr:uid="{76994885-D69D-4BD8-A1C4-18ABA5CC84E9}"/>
    <cellStyle name="Normal 21 2 7" xfId="13181" xr:uid="{E6145103-CDA0-4E56-BC4E-E914D2E85FC7}"/>
    <cellStyle name="Normal 21 2 8" xfId="13182" xr:uid="{F230783F-19CF-4A3A-90C9-A1CEBD9A5F00}"/>
    <cellStyle name="Normal 21 2 8 2" xfId="13183" xr:uid="{35535391-C3FA-489A-B4AA-F5E174605DD0}"/>
    <cellStyle name="Normal 21 2 9" xfId="13184" xr:uid="{F097AEBA-0FE6-4667-9FB1-255C65743B38}"/>
    <cellStyle name="Normal 21 2 9 2" xfId="31870" xr:uid="{62F83F9C-1A74-4411-8592-4D58C197DA55}"/>
    <cellStyle name="Normal 21 2 9 3" xfId="31871" xr:uid="{17A5E2EE-6A88-4B65-8C01-A0883D05A4D3}"/>
    <cellStyle name="Normal 21 3" xfId="13185" xr:uid="{E6D2A281-0D6C-470B-AB92-D8F189A00954}"/>
    <cellStyle name="Normal 21 3 10" xfId="13186" xr:uid="{89627BC0-EBFF-455C-AAA4-1D73DE8D2CF7}"/>
    <cellStyle name="Normal 21 3 10 2" xfId="31872" xr:uid="{2F12BEAA-664C-46ED-8040-7D9904C0922A}"/>
    <cellStyle name="Normal 21 3 10 3" xfId="31873" xr:uid="{6E49B2A5-13E3-432B-BB1B-A9427485BCE4}"/>
    <cellStyle name="Normal 21 3 11" xfId="13187" xr:uid="{2A451852-0E56-4B85-9163-9CA074EDC99B}"/>
    <cellStyle name="Normal 21 3 11 2" xfId="31874" xr:uid="{F12A8DCC-39DB-4FC3-A6D6-9BE6FE2A69F2}"/>
    <cellStyle name="Normal 21 3 11 3" xfId="31875" xr:uid="{C5AF1E75-84A2-4C7F-A141-1DB75822C548}"/>
    <cellStyle name="Normal 21 3 12" xfId="13188" xr:uid="{F2E58407-210F-4694-B758-429CE803F327}"/>
    <cellStyle name="Normal 21 3 12 2" xfId="31876" xr:uid="{7DD128B2-DF37-43AF-9A30-5F89FF3E1564}"/>
    <cellStyle name="Normal 21 3 12 3" xfId="31877" xr:uid="{C127F375-E87B-4E53-88A7-17A051C6A790}"/>
    <cellStyle name="Normal 21 3 13" xfId="13189" xr:uid="{FC4B4EC4-9A1B-4572-A579-6445B7F2BF99}"/>
    <cellStyle name="Normal 21 3 13 2" xfId="31878" xr:uid="{8BFE15D7-7F24-44D6-9F31-2208CB22C8FC}"/>
    <cellStyle name="Normal 21 3 13 3" xfId="31879" xr:uid="{9DE079DA-9DBB-4426-A290-5D4AA9AF229C}"/>
    <cellStyle name="Normal 21 3 14" xfId="13190" xr:uid="{D4C36608-F369-4E6D-8EDD-CD2B30F6FF8C}"/>
    <cellStyle name="Normal 21 3 14 2" xfId="31880" xr:uid="{1ECC5D3B-4531-4BA9-94CA-E465C0C98627}"/>
    <cellStyle name="Normal 21 3 14 3" xfId="31881" xr:uid="{0767062F-6697-480A-82CC-5C736F03678B}"/>
    <cellStyle name="Normal 21 3 15" xfId="13191" xr:uid="{FDD6D3EA-D829-4666-A9C3-15CF319344BA}"/>
    <cellStyle name="Normal 21 3 15 2" xfId="31882" xr:uid="{A7BB4002-F181-4EBA-999D-C35AF3431C76}"/>
    <cellStyle name="Normal 21 3 15 3" xfId="31883" xr:uid="{375DE726-3DF5-48B7-93F7-AD917A7E3AF2}"/>
    <cellStyle name="Normal 21 3 16" xfId="13192" xr:uid="{D705C5D9-6F66-4F00-86D3-EC711A5C3D53}"/>
    <cellStyle name="Normal 21 3 16 2" xfId="31884" xr:uid="{B811DCEB-D8A5-46A1-A5AE-D58ED08136D2}"/>
    <cellStyle name="Normal 21 3 16 3" xfId="31885" xr:uid="{07C4CF3C-55C7-4E6F-901F-4D0F871E8B32}"/>
    <cellStyle name="Normal 21 3 17" xfId="13193" xr:uid="{210CB0B2-E5E3-4BC7-BAD4-263C55AC3703}"/>
    <cellStyle name="Normal 21 3 17 2" xfId="31886" xr:uid="{82A4CF66-B409-49CF-A92D-BAE34E38D0FD}"/>
    <cellStyle name="Normal 21 3 17 3" xfId="31887" xr:uid="{01464CAB-4CA0-4957-88F2-A69D1CBF1284}"/>
    <cellStyle name="Normal 21 3 2" xfId="13194" xr:uid="{168954C5-FA94-46E8-9B34-B81121DC26AA}"/>
    <cellStyle name="Normal 21 3 2 2" xfId="13195" xr:uid="{1EBECDF2-CDD2-4B2B-A9BF-B8FBD21D6467}"/>
    <cellStyle name="Normal 21 3 3" xfId="13196" xr:uid="{F10DCC6C-8E74-4775-A5D3-622332AAF7C9}"/>
    <cellStyle name="Normal 21 3 4" xfId="13197" xr:uid="{6F91CE34-3935-4794-A83F-55D173B2B17E}"/>
    <cellStyle name="Normal 21 3 5" xfId="13198" xr:uid="{743FCC1D-91B5-4D4A-8E53-E245854A0D20}"/>
    <cellStyle name="Normal 21 3 6" xfId="13199" xr:uid="{04D3DA8C-6E6F-4D22-A00C-DBE6434784EF}"/>
    <cellStyle name="Normal 21 3 7" xfId="13200" xr:uid="{ADAA611D-116E-4CA1-90F5-18B56FDA064B}"/>
    <cellStyle name="Normal 21 3 8" xfId="13201" xr:uid="{BA62BDCC-C025-4594-861C-79B74EBEF184}"/>
    <cellStyle name="Normal 21 3 8 2" xfId="13202" xr:uid="{0E15CB3C-4A5B-4C10-A4F5-306912087945}"/>
    <cellStyle name="Normal 21 3 9" xfId="13203" xr:uid="{C7922858-0F8C-4EEE-B12D-0576FBCF0075}"/>
    <cellStyle name="Normal 21 3 9 2" xfId="31888" xr:uid="{5859CDE4-7CAC-4835-AC74-A290957C1B02}"/>
    <cellStyle name="Normal 21 3 9 3" xfId="31889" xr:uid="{265615ED-26A0-44BC-B028-D3F67783BA68}"/>
    <cellStyle name="Normal 21 4" xfId="13204" xr:uid="{D6B64A01-90CD-4C8F-A735-008586D9170A}"/>
    <cellStyle name="Normal 21 4 2" xfId="13205" xr:uid="{859B18C1-DD64-4218-AC6B-2E6DB423CC04}"/>
    <cellStyle name="Normal 21 4 2 2" xfId="13206" xr:uid="{3923D4E5-1FA4-49A1-A4D2-8C5122AEC4E2}"/>
    <cellStyle name="Normal 21 4 3" xfId="13207" xr:uid="{2B0432B8-DE75-4DB9-BB0C-6713BCEECE56}"/>
    <cellStyle name="Normal 21 4 4" xfId="13208" xr:uid="{FC6FCA55-91C4-45CC-9B3C-A4433F4BC416}"/>
    <cellStyle name="Normal 21 4 5" xfId="13209" xr:uid="{2EB59773-6FE6-4AB5-84C7-EBF87A2D5866}"/>
    <cellStyle name="Normal 21 4 6" xfId="13210" xr:uid="{A15D5AF6-9B1D-48A8-805A-174DA73DBA0C}"/>
    <cellStyle name="Normal 21 4 7" xfId="13211" xr:uid="{DB19F9E6-FBD9-4F9D-9255-C553CD11BBB3}"/>
    <cellStyle name="Normal 21 4 8" xfId="13212" xr:uid="{E7473D2A-B6E5-427D-927C-364C9E2B6F26}"/>
    <cellStyle name="Normal 21 4 8 2" xfId="13213" xr:uid="{286EECC2-6FE1-452C-B4A3-97480797AAAD}"/>
    <cellStyle name="Normal 21 4 9" xfId="31890" xr:uid="{DA76A3BE-D8FE-4673-B916-F41CE70E1797}"/>
    <cellStyle name="Normal 21 5" xfId="13214" xr:uid="{91E4575B-F638-40FE-A066-24DE140EC686}"/>
    <cellStyle name="Normal 21 5 2" xfId="13215" xr:uid="{CF4B3AC9-A9B0-4F7F-A6F4-8E4D2122A510}"/>
    <cellStyle name="Normal 21 5 2 2" xfId="13216" xr:uid="{2487793D-33F2-4E75-973B-18F33264DFD6}"/>
    <cellStyle name="Normal 21 5 3" xfId="13217" xr:uid="{B6495489-565C-4585-B5B3-B40E4E0C31D8}"/>
    <cellStyle name="Normal 21 5 4" xfId="13218" xr:uid="{084743C3-ABE1-42BE-B30A-21AD6CFB176D}"/>
    <cellStyle name="Normal 21 5 5" xfId="13219" xr:uid="{95AD64F4-21C9-4835-A983-E73555E9B599}"/>
    <cellStyle name="Normal 21 5 6" xfId="13220" xr:uid="{373049D9-679F-40FF-99EF-AC7EBE6B8B66}"/>
    <cellStyle name="Normal 21 5 7" xfId="13221" xr:uid="{5D8CE727-722F-4F6B-9D0A-8D97B67B17BE}"/>
    <cellStyle name="Normal 21 5 8" xfId="13222" xr:uid="{5CE53606-562D-42A6-B163-4E75C897FA29}"/>
    <cellStyle name="Normal 21 5 8 2" xfId="13223" xr:uid="{CDE433F3-4544-44A7-8B13-18215E146E40}"/>
    <cellStyle name="Normal 21 6" xfId="13224" xr:uid="{C966697D-9D7F-4385-A214-F7E536F0FA86}"/>
    <cellStyle name="Normal 21 6 2" xfId="13225" xr:uid="{995B9549-932D-4F83-94ED-5D4CB903B71E}"/>
    <cellStyle name="Normal 21 6 2 2" xfId="13226" xr:uid="{C4526A61-0672-4FE6-9010-D22B7CA6AC66}"/>
    <cellStyle name="Normal 21 6 3" xfId="13227" xr:uid="{2B28DCCC-7959-4E2A-8279-FA3B895E5500}"/>
    <cellStyle name="Normal 21 6 4" xfId="13228" xr:uid="{A8AEB5AF-9279-476E-AAA0-00BDED44E0E7}"/>
    <cellStyle name="Normal 21 6 5" xfId="13229" xr:uid="{E517DA8E-7609-4D7D-94C4-7DC00C7E1D73}"/>
    <cellStyle name="Normal 21 6 6" xfId="13230" xr:uid="{9807702F-4DDE-4175-9D21-EA4AC000597C}"/>
    <cellStyle name="Normal 21 6 7" xfId="13231" xr:uid="{E4E36C24-4BE5-4E7A-8C6C-2908A4B444E6}"/>
    <cellStyle name="Normal 21 6 8" xfId="13232" xr:uid="{69F34769-6089-4C63-B0AC-EC2C9C3546A5}"/>
    <cellStyle name="Normal 21 6 8 2" xfId="13233" xr:uid="{6958D443-9D61-46FC-93AF-B731EE17F908}"/>
    <cellStyle name="Normal 21 7" xfId="13234" xr:uid="{363C73AD-6605-4532-8433-A5628E6E69B3}"/>
    <cellStyle name="Normal 21 8" xfId="13235" xr:uid="{2C88BDCA-34C8-4828-BF4F-439AD90E0D43}"/>
    <cellStyle name="Normal 21 8 2" xfId="13236" xr:uid="{C5B3005B-8780-4E95-AE6B-C3A7D7DB3D72}"/>
    <cellStyle name="Normal 21 9" xfId="13237" xr:uid="{CB458E2F-A9C4-4EEC-BBEE-7D3A1E8D9AC2}"/>
    <cellStyle name="Normal 21 9 2" xfId="31891" xr:uid="{7FABCA31-6F6C-43A6-98DA-0385DA49D2DE}"/>
    <cellStyle name="Normal 21 9 3" xfId="31892" xr:uid="{7C876DD7-C531-4339-ADD7-F1B1BE6E9C2A}"/>
    <cellStyle name="Normal 21_Scen_XBase" xfId="31893" xr:uid="{1E8926CC-855F-4E53-96E1-588DD90A446B}"/>
    <cellStyle name="Normal 22" xfId="13238" xr:uid="{BECB3311-0D81-4955-BEAB-F66F98AEBF9D}"/>
    <cellStyle name="Normal 22 10" xfId="13239" xr:uid="{4B71736D-DF4C-430B-83CF-1FE53993B0FD}"/>
    <cellStyle name="Normal 22 11" xfId="13240" xr:uid="{298E9751-3D4D-4059-82F7-C2FBC6D5C4C5}"/>
    <cellStyle name="Normal 22 12" xfId="13241" xr:uid="{71C1B228-3D0F-49E0-B51D-448C5B35C54E}"/>
    <cellStyle name="Normal 22 12 2" xfId="13242" xr:uid="{847FB25B-B571-438D-8D4D-4C51DF5613E2}"/>
    <cellStyle name="Normal 22 13" xfId="13243" xr:uid="{99B5632E-4957-42B3-BD8D-3794C1F0B272}"/>
    <cellStyle name="Normal 22 13 2" xfId="31894" xr:uid="{62FD6F16-7C8E-44D4-9BA8-6F7057C08C3A}"/>
    <cellStyle name="Normal 22 13 3" xfId="31895" xr:uid="{465D7AE3-D67F-4650-99B6-C8C12E43CBEE}"/>
    <cellStyle name="Normal 22 14" xfId="13244" xr:uid="{B8D38A97-6F29-48D8-8AE6-A2CBCCFB44A9}"/>
    <cellStyle name="Normal 22 14 2" xfId="31896" xr:uid="{8A40E9B5-7B72-4CEF-9DF2-588F83B47B23}"/>
    <cellStyle name="Normal 22 14 3" xfId="31897" xr:uid="{6EEF2C84-F428-4858-8809-53C92AB50B41}"/>
    <cellStyle name="Normal 22 15" xfId="13245" xr:uid="{3F272318-BB22-4590-B972-77AA7F7E0DD0}"/>
    <cellStyle name="Normal 22 15 2" xfId="31898" xr:uid="{AA39BCD2-7224-4626-B971-3552C62F1079}"/>
    <cellStyle name="Normal 22 15 3" xfId="31899" xr:uid="{546D5821-8207-43E1-892B-69D8F00AAB67}"/>
    <cellStyle name="Normal 22 16" xfId="13246" xr:uid="{8AABF4B4-CC8F-428A-908F-2CCDEF6002AF}"/>
    <cellStyle name="Normal 22 16 2" xfId="31900" xr:uid="{4DE1B744-D33C-4B4C-9DE6-4F995ED68129}"/>
    <cellStyle name="Normal 22 16 3" xfId="31901" xr:uid="{2D45F9C9-8654-4A02-9917-6CE1911AB966}"/>
    <cellStyle name="Normal 22 17" xfId="13247" xr:uid="{FC1793EE-36EC-4375-9895-87E9C9F22F0E}"/>
    <cellStyle name="Normal 22 17 2" xfId="31902" xr:uid="{DBA188EB-81FE-41E2-9328-70CDC15B377F}"/>
    <cellStyle name="Normal 22 17 3" xfId="31903" xr:uid="{21664227-5ECC-4DF2-B753-5AF930428109}"/>
    <cellStyle name="Normal 22 18" xfId="13248" xr:uid="{AF823C20-A914-4C1A-A610-668EE8F817F8}"/>
    <cellStyle name="Normal 22 18 2" xfId="31904" xr:uid="{2ABE6F09-85B9-4D3A-BB25-364EC6E62D63}"/>
    <cellStyle name="Normal 22 18 3" xfId="31905" xr:uid="{6F4377F7-8253-4124-A395-5319A2625793}"/>
    <cellStyle name="Normal 22 19" xfId="13249" xr:uid="{3FBFBC25-4CFD-4D54-9037-34BC4FFE96E7}"/>
    <cellStyle name="Normal 22 19 2" xfId="31906" xr:uid="{385ED9DD-EB94-4D70-8D24-F4E4873C33E8}"/>
    <cellStyle name="Normal 22 19 3" xfId="31907" xr:uid="{9FFC45A0-1689-4A56-97E2-82FE1F9A4F07}"/>
    <cellStyle name="Normal 22 2" xfId="13250" xr:uid="{1E17F861-AA63-43CA-93E7-8CF4F2DDD508}"/>
    <cellStyle name="Normal 22 2 10" xfId="13251" xr:uid="{0785BCE9-A8FB-4057-83F7-78EE731421E3}"/>
    <cellStyle name="Normal 22 2 10 2" xfId="31908" xr:uid="{B540B219-7761-44F1-A9C1-2FDE4268BF9C}"/>
    <cellStyle name="Normal 22 2 10 3" xfId="31909" xr:uid="{51FF93D1-55ED-4915-837B-B12DD683801D}"/>
    <cellStyle name="Normal 22 2 11" xfId="13252" xr:uid="{93E1C3AC-4057-4364-9963-B30ACB32267A}"/>
    <cellStyle name="Normal 22 2 11 2" xfId="31910" xr:uid="{3F4C2405-9A3F-4835-9F00-0E3C531A36E5}"/>
    <cellStyle name="Normal 22 2 11 3" xfId="31911" xr:uid="{E7BF684E-881B-4664-95B8-69FAA4B85331}"/>
    <cellStyle name="Normal 22 2 12" xfId="13253" xr:uid="{3C3ACF7D-4A14-4104-84C6-8988042353BE}"/>
    <cellStyle name="Normal 22 2 12 2" xfId="31912" xr:uid="{A44C0437-9ABC-47EA-993D-8B6DB171A690}"/>
    <cellStyle name="Normal 22 2 12 3" xfId="31913" xr:uid="{EC79A422-CB53-4DE5-A7EF-24B6D4694F8A}"/>
    <cellStyle name="Normal 22 2 13" xfId="13254" xr:uid="{A2C8AB73-0897-4EB3-BBBA-E83FDA12FBA8}"/>
    <cellStyle name="Normal 22 2 13 2" xfId="31914" xr:uid="{46D6A82D-1FA9-4891-9312-7E5C94D61204}"/>
    <cellStyle name="Normal 22 2 13 3" xfId="31915" xr:uid="{9EDB4864-48EB-4241-8891-57B3EC9DCB27}"/>
    <cellStyle name="Normal 22 2 14" xfId="13255" xr:uid="{CDB9F420-4B11-4BE0-808F-4284C8B69861}"/>
    <cellStyle name="Normal 22 2 14 2" xfId="31916" xr:uid="{C1C9FF7C-50F1-458F-B460-A980B6347B5A}"/>
    <cellStyle name="Normal 22 2 14 3" xfId="31917" xr:uid="{8A2A46DF-D95C-4ADE-949D-661A67C1A223}"/>
    <cellStyle name="Normal 22 2 15" xfId="13256" xr:uid="{DBEF073B-8C94-48CD-8697-C79B2C51D6C9}"/>
    <cellStyle name="Normal 22 2 15 2" xfId="31918" xr:uid="{5412AA4E-AC12-401D-9D9D-4C0781B1E722}"/>
    <cellStyle name="Normal 22 2 15 3" xfId="31919" xr:uid="{52BD3860-B036-4EBE-B467-2B1269C17FEC}"/>
    <cellStyle name="Normal 22 2 16" xfId="13257" xr:uid="{881E2DCF-99F2-4ECC-8A09-87FFBB7D267D}"/>
    <cellStyle name="Normal 22 2 16 2" xfId="31920" xr:uid="{264345C6-E1D5-4A3D-A68A-1687115BF112}"/>
    <cellStyle name="Normal 22 2 16 3" xfId="31921" xr:uid="{D17C2D64-CA03-4C19-BE95-69131DC63249}"/>
    <cellStyle name="Normal 22 2 17" xfId="13258" xr:uid="{D3F372C2-3A81-4386-B869-D202ADF9244F}"/>
    <cellStyle name="Normal 22 2 17 2" xfId="31922" xr:uid="{ADE2FA40-2103-47D4-B853-546C492A9312}"/>
    <cellStyle name="Normal 22 2 17 3" xfId="31923" xr:uid="{B7C3DF0D-99E9-413C-AFEF-3BA2ABA2B144}"/>
    <cellStyle name="Normal 22 2 2" xfId="13259" xr:uid="{80666549-E5CE-4510-BC4F-A2396D374CF2}"/>
    <cellStyle name="Normal 22 2 2 2" xfId="13260" xr:uid="{56E799D4-B37B-4DAA-90ED-3B41CD94B3CA}"/>
    <cellStyle name="Normal 22 2 3" xfId="13261" xr:uid="{4E77DF94-21C9-4ECA-AC38-401BEEB8A1FA}"/>
    <cellStyle name="Normal 22 2 4" xfId="13262" xr:uid="{8CEE6911-D274-4E33-A85C-214D72C2D4FD}"/>
    <cellStyle name="Normal 22 2 5" xfId="13263" xr:uid="{32450015-BE51-46B4-AB05-587B89A06D03}"/>
    <cellStyle name="Normal 22 2 6" xfId="13264" xr:uid="{99451014-CDEA-49F5-812D-305F5B1172B9}"/>
    <cellStyle name="Normal 22 2 7" xfId="13265" xr:uid="{EAB1A478-49F4-4B88-A347-287F6ADA1371}"/>
    <cellStyle name="Normal 22 2 8" xfId="13266" xr:uid="{F6380FBD-D418-4326-AC6A-8E95FD5C288F}"/>
    <cellStyle name="Normal 22 2 8 2" xfId="13267" xr:uid="{5F8666D7-8235-400C-9235-3306FF94EFEB}"/>
    <cellStyle name="Normal 22 2 9" xfId="13268" xr:uid="{82CCD67F-7F69-4246-AC2D-874B64520A79}"/>
    <cellStyle name="Normal 22 2 9 2" xfId="31924" xr:uid="{552368C5-E562-497A-8053-04EFC0C99002}"/>
    <cellStyle name="Normal 22 2 9 3" xfId="31925" xr:uid="{43872084-17FC-457F-9A97-B4099004C7ED}"/>
    <cellStyle name="Normal 22 20" xfId="13269" xr:uid="{40D0C120-9888-408C-82A5-F31A0B73D5CB}"/>
    <cellStyle name="Normal 22 20 2" xfId="31926" xr:uid="{2F8B607F-A9F9-48A7-8CDE-CC1C619E11D4}"/>
    <cellStyle name="Normal 22 20 3" xfId="31927" xr:uid="{68951905-CF21-4730-9AD0-36C6D8C6C0A4}"/>
    <cellStyle name="Normal 22 21" xfId="13270" xr:uid="{79961762-EFF3-4557-A742-7ED786846B4C}"/>
    <cellStyle name="Normal 22 21 2" xfId="31928" xr:uid="{CDCF2ECC-7CFF-4BED-9DBD-56FE3CC825C2}"/>
    <cellStyle name="Normal 22 21 3" xfId="31929" xr:uid="{B4913477-75CE-4670-9112-EFBC1737EBED}"/>
    <cellStyle name="Normal 22 22" xfId="31930" xr:uid="{4AB572EC-DE37-4DA7-8D01-D21909CB0C17}"/>
    <cellStyle name="Normal 22 3" xfId="13271" xr:uid="{195C1DE4-0DD1-49B0-9586-1F574D9CC3D6}"/>
    <cellStyle name="Normal 22 3 10" xfId="13272" xr:uid="{A880611C-ECCB-49C2-BCD7-591B62C1931E}"/>
    <cellStyle name="Normal 22 3 10 2" xfId="31931" xr:uid="{DD8D974A-14E4-421D-B3FE-E6F1FE5972C0}"/>
    <cellStyle name="Normal 22 3 10 3" xfId="31932" xr:uid="{F06F615A-D9E8-4603-BF36-14DEE954C4DC}"/>
    <cellStyle name="Normal 22 3 11" xfId="13273" xr:uid="{A33AEEC1-81C5-4244-8EE5-6632175A9026}"/>
    <cellStyle name="Normal 22 3 11 2" xfId="31933" xr:uid="{F1EBC87D-84CB-4C4D-BF6D-8ACEB048EDC3}"/>
    <cellStyle name="Normal 22 3 11 3" xfId="31934" xr:uid="{01A88DC8-2988-4E8F-8956-5DE7D0639633}"/>
    <cellStyle name="Normal 22 3 12" xfId="13274" xr:uid="{64DEF29B-4CF1-4AB6-8CE6-E807CC771A89}"/>
    <cellStyle name="Normal 22 3 12 2" xfId="31935" xr:uid="{BCCB87D6-AAB1-4EA9-897D-524787F471B0}"/>
    <cellStyle name="Normal 22 3 12 3" xfId="31936" xr:uid="{D0B8053D-0213-4FD8-96FC-B530574D44EC}"/>
    <cellStyle name="Normal 22 3 13" xfId="13275" xr:uid="{38C68E42-C914-4A9E-8039-284EC0099B2E}"/>
    <cellStyle name="Normal 22 3 13 2" xfId="31937" xr:uid="{BDF05B50-71E0-4CFF-A78A-5F3BB80D2028}"/>
    <cellStyle name="Normal 22 3 13 3" xfId="31938" xr:uid="{90B57658-664D-4AB6-8BA2-E64BF1338705}"/>
    <cellStyle name="Normal 22 3 14" xfId="13276" xr:uid="{2C7A8587-0962-47BA-AD96-F3D83806C089}"/>
    <cellStyle name="Normal 22 3 14 2" xfId="31939" xr:uid="{1DCA9FFA-66F1-4599-9D97-702291E42903}"/>
    <cellStyle name="Normal 22 3 14 3" xfId="31940" xr:uid="{ABD19E6C-EBEE-4D28-B055-8EBA12B37D5B}"/>
    <cellStyle name="Normal 22 3 15" xfId="13277" xr:uid="{24D370A6-061F-48F3-A337-F58AE80636F4}"/>
    <cellStyle name="Normal 22 3 15 2" xfId="31941" xr:uid="{2EBD1C0D-D177-4669-9CB3-620E7879C82B}"/>
    <cellStyle name="Normal 22 3 15 3" xfId="31942" xr:uid="{279CEFA9-BDE3-465D-890D-15BE4D56A5AF}"/>
    <cellStyle name="Normal 22 3 16" xfId="13278" xr:uid="{68BF71B1-D15B-4772-B2F0-D2FFAD71918B}"/>
    <cellStyle name="Normal 22 3 16 2" xfId="31943" xr:uid="{D176061A-4F28-4E76-B4FD-DD560447D8ED}"/>
    <cellStyle name="Normal 22 3 16 3" xfId="31944" xr:uid="{95FC0D7E-9C46-4682-9B7F-2CD7966D1949}"/>
    <cellStyle name="Normal 22 3 17" xfId="13279" xr:uid="{4AE856F2-F79B-456A-B334-BB066128A07F}"/>
    <cellStyle name="Normal 22 3 17 2" xfId="31945" xr:uid="{B9AA129D-8015-4A4E-8B3D-1B03C9601B93}"/>
    <cellStyle name="Normal 22 3 17 3" xfId="31946" xr:uid="{BEDE13D9-BBD4-4458-9D62-89C9F7BD4680}"/>
    <cellStyle name="Normal 22 3 2" xfId="13280" xr:uid="{E0221A43-E4B0-45E6-A8F5-EDE4EE0B12BB}"/>
    <cellStyle name="Normal 22 3 2 2" xfId="13281" xr:uid="{E40661A5-0280-487D-9BA2-6540B53ABBF5}"/>
    <cellStyle name="Normal 22 3 3" xfId="13282" xr:uid="{C1806D28-4742-4556-96A7-22CEECACA3ED}"/>
    <cellStyle name="Normal 22 3 4" xfId="13283" xr:uid="{CD931862-9F9F-4D7A-8D34-5E4B77F6121D}"/>
    <cellStyle name="Normal 22 3 5" xfId="13284" xr:uid="{C04AA5BE-44F8-4E86-A4D7-3AB82DD697A0}"/>
    <cellStyle name="Normal 22 3 6" xfId="13285" xr:uid="{A7AC1A8A-22CE-49BC-A898-93233C83AEB7}"/>
    <cellStyle name="Normal 22 3 7" xfId="13286" xr:uid="{811FADBA-BA7B-45A9-82E5-35E43C091DBE}"/>
    <cellStyle name="Normal 22 3 8" xfId="13287" xr:uid="{777073C8-8AD3-410D-BB17-E99F04D65322}"/>
    <cellStyle name="Normal 22 3 8 2" xfId="13288" xr:uid="{C7CEBCD9-66DD-42D2-B932-2DD4A397C5A7}"/>
    <cellStyle name="Normal 22 3 9" xfId="13289" xr:uid="{5BBD6FEF-0E70-416B-9BC5-0DCD15098374}"/>
    <cellStyle name="Normal 22 3 9 2" xfId="31947" xr:uid="{E6D20B23-A6C8-4D26-8B30-C81785A8BBFA}"/>
    <cellStyle name="Normal 22 3 9 3" xfId="31948" xr:uid="{24A07988-5C3A-474D-83DB-3284DD163B97}"/>
    <cellStyle name="Normal 22 4" xfId="13290" xr:uid="{E5F5B060-FEC5-49C2-B306-D4A7652CA954}"/>
    <cellStyle name="Normal 22 4 2" xfId="13291" xr:uid="{BD0CDFCF-36B0-4748-836F-F4FEC2BC22D1}"/>
    <cellStyle name="Normal 22 4 2 2" xfId="13292" xr:uid="{F5093F41-252D-439B-9F6A-AA291627BBC0}"/>
    <cellStyle name="Normal 22 4 3" xfId="13293" xr:uid="{68C3EB70-500B-4D8B-AA34-F34D1EDCEF2E}"/>
    <cellStyle name="Normal 22 4 4" xfId="13294" xr:uid="{F38D55CC-B639-41EA-859A-E63DF9614B77}"/>
    <cellStyle name="Normal 22 4 5" xfId="13295" xr:uid="{FFC0F026-301E-499B-88E3-8270604A4752}"/>
    <cellStyle name="Normal 22 4 6" xfId="13296" xr:uid="{64940582-B073-49B7-808F-F86A82C0EB46}"/>
    <cellStyle name="Normal 22 4 7" xfId="13297" xr:uid="{A8BBE8F5-B64F-440E-A911-AB494C490653}"/>
    <cellStyle name="Normal 22 4 8" xfId="13298" xr:uid="{DF6A30CE-FB1F-4111-8FF1-86D3A7A2673B}"/>
    <cellStyle name="Normal 22 4 8 2" xfId="13299" xr:uid="{417B2D46-CDE8-4DEB-8D65-448A972CBB62}"/>
    <cellStyle name="Normal 22 5" xfId="13300" xr:uid="{6E4F00C2-B617-487A-958D-1286D668A342}"/>
    <cellStyle name="Normal 22 5 2" xfId="13301" xr:uid="{62225043-B6BD-4F79-B490-C6F29B724FC2}"/>
    <cellStyle name="Normal 22 5 2 2" xfId="13302" xr:uid="{D81818DF-40BA-4B40-8053-5C285B1C02DC}"/>
    <cellStyle name="Normal 22 5 3" xfId="13303" xr:uid="{CA95C392-1253-496F-9DB4-67450ECCC572}"/>
    <cellStyle name="Normal 22 5 4" xfId="13304" xr:uid="{10BF4022-3FC8-4F87-98C2-02C53BA88CDE}"/>
    <cellStyle name="Normal 22 5 5" xfId="13305" xr:uid="{5400463D-711E-433E-A467-ED17744BEC5F}"/>
    <cellStyle name="Normal 22 5 6" xfId="13306" xr:uid="{526F2962-6F14-4C1C-8AA8-6FDF5F170D06}"/>
    <cellStyle name="Normal 22 5 7" xfId="13307" xr:uid="{DBA74C9C-7F14-4D0A-9DE3-9D6732169B52}"/>
    <cellStyle name="Normal 22 5 8" xfId="13308" xr:uid="{B4A0A427-18D7-420C-AA21-F3EF45D59F1C}"/>
    <cellStyle name="Normal 22 5 8 2" xfId="13309" xr:uid="{11C7B9CF-DA2E-4A3B-B214-7E13A4EB2EFF}"/>
    <cellStyle name="Normal 22 6" xfId="13310" xr:uid="{C3502336-37D0-4E15-B468-8119CE4E6E32}"/>
    <cellStyle name="Normal 22 6 2" xfId="13311" xr:uid="{0934330C-3C3B-42D0-842C-091D2B155C8E}"/>
    <cellStyle name="Normal 22 6 2 2" xfId="13312" xr:uid="{5998BBDF-ED7E-4968-B880-379F7D5FBE7C}"/>
    <cellStyle name="Normal 22 6 3" xfId="13313" xr:uid="{2A164079-F74E-4B42-A459-736C49C7213E}"/>
    <cellStyle name="Normal 22 6 4" xfId="13314" xr:uid="{BB00576F-797E-4155-933E-9D04DA4D8860}"/>
    <cellStyle name="Normal 22 6 5" xfId="13315" xr:uid="{3CDDE396-7386-4C3E-84E2-E7EFD57648FA}"/>
    <cellStyle name="Normal 22 6 6" xfId="13316" xr:uid="{95571F06-445D-437E-AB66-CD3255B5C87E}"/>
    <cellStyle name="Normal 22 6 7" xfId="13317" xr:uid="{26BFF84F-7AE5-44FD-8DDC-5ABEF7E960CF}"/>
    <cellStyle name="Normal 22 6 8" xfId="13318" xr:uid="{E0482F68-C059-47A2-92EF-EC719F086896}"/>
    <cellStyle name="Normal 22 6 8 2" xfId="13319" xr:uid="{4F24C5D3-F503-4FDF-A258-D30BE68ECA51}"/>
    <cellStyle name="Normal 22 7" xfId="13320" xr:uid="{F0DE704A-CB29-42FC-A1DB-5A5682DBC94D}"/>
    <cellStyle name="Normal 22 8" xfId="13321" xr:uid="{3A9DFC84-7ABC-4A54-82BF-1615E2B630F5}"/>
    <cellStyle name="Normal 22 9" xfId="13322" xr:uid="{7FC26574-7C9A-4104-AF20-7EE658F04CCA}"/>
    <cellStyle name="Normal 23" xfId="13323" xr:uid="{6F318413-312D-4C9B-A3A5-AF0DFCCF951C}"/>
    <cellStyle name="Normal 23 10" xfId="13324" xr:uid="{51E5FCA6-7BC5-4F30-BC35-9E0A0E9D797B}"/>
    <cellStyle name="Normal 23 10 2" xfId="31949" xr:uid="{0E25478B-84E5-4A0D-9C3B-6DF769EE8F4A}"/>
    <cellStyle name="Normal 23 10 3" xfId="31950" xr:uid="{AE95F89A-7655-42C2-ABFE-795D79AFA9EA}"/>
    <cellStyle name="Normal 23 11" xfId="13325" xr:uid="{C02DB07A-2CA7-415F-8EBA-B356B897B8E3}"/>
    <cellStyle name="Normal 23 11 2" xfId="31951" xr:uid="{134B7207-C56E-4BA7-BDAB-8CA2E37B6045}"/>
    <cellStyle name="Normal 23 11 3" xfId="31952" xr:uid="{C93972A3-807E-4A87-A017-B3DBEEA4691E}"/>
    <cellStyle name="Normal 23 12" xfId="13326" xr:uid="{3268FB31-EAC1-4F4F-8F5E-932FE13D28C5}"/>
    <cellStyle name="Normal 23 12 2" xfId="31953" xr:uid="{4F99F1FD-18BA-4E36-A7C2-B34C29B68992}"/>
    <cellStyle name="Normal 23 12 3" xfId="31954" xr:uid="{6AB1EBCC-D615-4D1A-A0C0-AFB124BFD27C}"/>
    <cellStyle name="Normal 23 13" xfId="13327" xr:uid="{7AE51AB8-AC29-4A28-923A-B6EDBC82F10A}"/>
    <cellStyle name="Normal 23 13 2" xfId="31955" xr:uid="{EAC8898D-E586-4701-A423-6909880BF8B3}"/>
    <cellStyle name="Normal 23 13 3" xfId="31956" xr:uid="{90AF2FEF-182F-4811-9602-401ABC55EDD8}"/>
    <cellStyle name="Normal 23 14" xfId="13328" xr:uid="{0F9132FB-7207-4750-B202-F7BE2F6D4C76}"/>
    <cellStyle name="Normal 23 14 2" xfId="31957" xr:uid="{1F1FD7F9-4CDE-4E82-9E8A-B522C9AEBA9B}"/>
    <cellStyle name="Normal 23 14 3" xfId="31958" xr:uid="{DEEE073D-53D6-4917-A551-65CD68D52D72}"/>
    <cellStyle name="Normal 23 15" xfId="13329" xr:uid="{C6E900D9-1AED-4B03-BE95-94808E1A275B}"/>
    <cellStyle name="Normal 23 15 2" xfId="31959" xr:uid="{AEDFD894-C11D-4A9F-97F4-0148DB600956}"/>
    <cellStyle name="Normal 23 15 3" xfId="31960" xr:uid="{DBBA3616-82AE-4AC8-A6F3-8B276BE60F45}"/>
    <cellStyle name="Normal 23 16" xfId="13330" xr:uid="{DF7A67D2-713F-44E5-8EC4-201EF20AC586}"/>
    <cellStyle name="Normal 23 16 2" xfId="31961" xr:uid="{24A5CD26-716E-4486-B5D2-6A6EB8DA679F}"/>
    <cellStyle name="Normal 23 16 3" xfId="31962" xr:uid="{0DC7ECE5-6298-4FA5-B6F6-93ABDB2640B3}"/>
    <cellStyle name="Normal 23 17" xfId="13331" xr:uid="{74DE6915-CEDB-48F7-AEC7-2A112078F531}"/>
    <cellStyle name="Normal 23 17 2" xfId="31963" xr:uid="{28EF661B-1243-4D05-A3E3-1A664B92210C}"/>
    <cellStyle name="Normal 23 17 3" xfId="31964" xr:uid="{5A28AF22-4647-414A-925F-CA5EACAEE57A}"/>
    <cellStyle name="Normal 23 18" xfId="31965" xr:uid="{4409F76E-F84A-41DA-A287-EB5BCE70AB9C}"/>
    <cellStyle name="Normal 23 2" xfId="13332" xr:uid="{1A37BEBD-E60B-4574-B559-36D2A3E8DCCF}"/>
    <cellStyle name="Normal 23 2 10" xfId="13333" xr:uid="{7C06F2FD-1C34-436E-A4D8-38CE5AD381B5}"/>
    <cellStyle name="Normal 23 2 10 2" xfId="31966" xr:uid="{2AE456FE-B6DE-4A54-BFBE-20F0C8F65743}"/>
    <cellStyle name="Normal 23 2 10 3" xfId="31967" xr:uid="{343B11EC-65CF-4FFA-9A2E-A69CDC9ECED9}"/>
    <cellStyle name="Normal 23 2 11" xfId="13334" xr:uid="{31116376-1A62-4696-924E-2B8074B8473E}"/>
    <cellStyle name="Normal 23 2 11 2" xfId="31968" xr:uid="{8F563DB3-37FE-4197-B2B0-51E02CB545C8}"/>
    <cellStyle name="Normal 23 2 11 3" xfId="31969" xr:uid="{5A8100B1-F9F3-4474-8006-023702456E62}"/>
    <cellStyle name="Normal 23 2 12" xfId="13335" xr:uid="{7BD8AEDC-C084-47A3-900A-8A34D36E29FB}"/>
    <cellStyle name="Normal 23 2 12 2" xfId="31970" xr:uid="{C1A2EB67-A321-40D3-9A34-D4B3364FDA07}"/>
    <cellStyle name="Normal 23 2 12 3" xfId="31971" xr:uid="{90E7688D-F742-4C02-97F3-A2224A03053C}"/>
    <cellStyle name="Normal 23 2 13" xfId="13336" xr:uid="{CCB7CB86-5989-4560-8A93-46BFBF6BA951}"/>
    <cellStyle name="Normal 23 2 13 2" xfId="31972" xr:uid="{00247B17-3312-440D-A68C-DBBE63ABB279}"/>
    <cellStyle name="Normal 23 2 13 3" xfId="31973" xr:uid="{6D710FBC-4130-41BA-B2B3-15462F2F2A04}"/>
    <cellStyle name="Normal 23 2 14" xfId="13337" xr:uid="{7BA5E8E8-0EFC-4C1F-9E26-F769E09353C8}"/>
    <cellStyle name="Normal 23 2 14 2" xfId="31974" xr:uid="{45D9512A-51DC-4C9C-8E27-38FC726367BB}"/>
    <cellStyle name="Normal 23 2 14 3" xfId="31975" xr:uid="{A0C33B7D-C3D5-4258-B723-8AAB967B063A}"/>
    <cellStyle name="Normal 23 2 15" xfId="13338" xr:uid="{820026AF-6481-4147-B059-E17EBF3C2497}"/>
    <cellStyle name="Normal 23 2 15 2" xfId="31976" xr:uid="{765AF9F8-9BF3-45E9-BFC4-6DA0705D3269}"/>
    <cellStyle name="Normal 23 2 15 3" xfId="31977" xr:uid="{374E8F41-1F76-49A3-8BAB-E9124645DE08}"/>
    <cellStyle name="Normal 23 2 16" xfId="13339" xr:uid="{8F8692B0-8D23-40BE-B45C-392155E7737E}"/>
    <cellStyle name="Normal 23 2 16 2" xfId="31978" xr:uid="{C93EFFC9-3817-4266-AB36-301F10E9FDB2}"/>
    <cellStyle name="Normal 23 2 16 3" xfId="31979" xr:uid="{FC5DBF13-D979-4DC1-A9D7-E904C61ACCCA}"/>
    <cellStyle name="Normal 23 2 17" xfId="13340" xr:uid="{CDF6F368-EAF3-48D2-A709-1963DE3CF77B}"/>
    <cellStyle name="Normal 23 2 17 2" xfId="31980" xr:uid="{9AF35A6D-3F76-4557-A437-A7FB30E4F231}"/>
    <cellStyle name="Normal 23 2 17 3" xfId="31981" xr:uid="{C54D9757-447E-4ABF-B889-371644D9B89B}"/>
    <cellStyle name="Normal 23 2 2" xfId="13341" xr:uid="{A284DA92-3EEB-49CF-B895-9C3573C0F33D}"/>
    <cellStyle name="Normal 23 2 2 2" xfId="13342" xr:uid="{9305AE7B-2197-4946-9076-339753AC1412}"/>
    <cellStyle name="Normal 23 2 3" xfId="13343" xr:uid="{4291E571-0E14-47B0-9135-6238BDC0C9F0}"/>
    <cellStyle name="Normal 23 2 4" xfId="13344" xr:uid="{7DB5BC57-5A1C-4806-87B3-2F8EF27B42F8}"/>
    <cellStyle name="Normal 23 2 5" xfId="13345" xr:uid="{05C73C03-315E-4624-9F41-51EC9E1BF327}"/>
    <cellStyle name="Normal 23 2 6" xfId="13346" xr:uid="{D9C35826-7FCD-4D64-9A41-BD39A1809152}"/>
    <cellStyle name="Normal 23 2 7" xfId="13347" xr:uid="{6CA92C9E-E031-455A-94AA-F966EE3606F6}"/>
    <cellStyle name="Normal 23 2 8" xfId="13348" xr:uid="{23EEB00D-A6D0-41F2-9989-41D90B2D05E5}"/>
    <cellStyle name="Normal 23 2 8 2" xfId="13349" xr:uid="{1D9EEF43-3657-45A8-A106-DC75D06E491B}"/>
    <cellStyle name="Normal 23 2 9" xfId="13350" xr:uid="{8C6A8827-121B-40BA-9770-309784A9B7A1}"/>
    <cellStyle name="Normal 23 2 9 2" xfId="31982" xr:uid="{E5C888D2-CBCC-4587-B698-6A39B17D6B65}"/>
    <cellStyle name="Normal 23 2 9 3" xfId="31983" xr:uid="{BDCCB78E-2255-40AD-A99D-1AA4477E7B18}"/>
    <cellStyle name="Normal 23 3" xfId="13351" xr:uid="{43F8BF6E-1DC0-44CF-A02C-43AB9466691A}"/>
    <cellStyle name="Normal 23 3 10" xfId="13352" xr:uid="{483CA08F-CA92-440A-AD48-01E6D86477E2}"/>
    <cellStyle name="Normal 23 3 10 2" xfId="31984" xr:uid="{9B4E82D6-FD1C-4F7F-92C3-E0CE1416BBC6}"/>
    <cellStyle name="Normal 23 3 10 3" xfId="31985" xr:uid="{C9BE82F4-6E62-4EB3-8C3D-C3F3F1A33E13}"/>
    <cellStyle name="Normal 23 3 11" xfId="13353" xr:uid="{0A73BC07-6FC3-4047-907E-AF07F87573EF}"/>
    <cellStyle name="Normal 23 3 11 2" xfId="31986" xr:uid="{2E7988FB-23AC-46D9-BACF-CF49248BE3BA}"/>
    <cellStyle name="Normal 23 3 11 3" xfId="31987" xr:uid="{F611E766-2977-439E-98DA-77D2220E6F39}"/>
    <cellStyle name="Normal 23 3 12" xfId="13354" xr:uid="{69072140-97ED-4DF4-9F5F-96326BEC97B6}"/>
    <cellStyle name="Normal 23 3 12 2" xfId="31988" xr:uid="{E0A7D7D5-A3F1-4ABB-A5A6-FF0571D96374}"/>
    <cellStyle name="Normal 23 3 12 3" xfId="31989" xr:uid="{55A3ECB8-A519-48AF-A02F-2224E8DD14D5}"/>
    <cellStyle name="Normal 23 3 13" xfId="13355" xr:uid="{ED61C26B-1738-4C16-8914-2458624046FE}"/>
    <cellStyle name="Normal 23 3 13 2" xfId="31990" xr:uid="{D2DF7B6C-59F9-489A-BE1F-2CBE25803BB8}"/>
    <cellStyle name="Normal 23 3 13 3" xfId="31991" xr:uid="{82E2CE0D-0DDB-4E7E-A341-44C5DEDBB28A}"/>
    <cellStyle name="Normal 23 3 14" xfId="13356" xr:uid="{0A156132-B262-43B5-8998-4088A3B6CCBE}"/>
    <cellStyle name="Normal 23 3 14 2" xfId="31992" xr:uid="{7C0DB78A-2651-468B-994C-2F78B5CE291C}"/>
    <cellStyle name="Normal 23 3 14 3" xfId="31993" xr:uid="{831D8F6F-721A-4204-A28D-06E62682347F}"/>
    <cellStyle name="Normal 23 3 15" xfId="13357" xr:uid="{2311C63A-349F-4D04-8AA2-37E25A378128}"/>
    <cellStyle name="Normal 23 3 15 2" xfId="31994" xr:uid="{6A83F5E7-2978-4D06-9FCE-DAD67B6C74DC}"/>
    <cellStyle name="Normal 23 3 15 3" xfId="31995" xr:uid="{362D6E7B-57F9-428D-A5B7-C93752B7A84C}"/>
    <cellStyle name="Normal 23 3 16" xfId="13358" xr:uid="{BB4D6362-8155-42C9-8ABA-F47D33AF98C6}"/>
    <cellStyle name="Normal 23 3 16 2" xfId="31996" xr:uid="{0A05079E-551A-4735-BD96-02E45A6951DB}"/>
    <cellStyle name="Normal 23 3 16 3" xfId="31997" xr:uid="{1044CBB9-2EBB-4009-9C09-A7A867B021FE}"/>
    <cellStyle name="Normal 23 3 17" xfId="13359" xr:uid="{6E09F4C6-3496-42C8-BA81-A0DEE22652D9}"/>
    <cellStyle name="Normal 23 3 17 2" xfId="31998" xr:uid="{D5C123D5-8F32-4410-A2F4-BF88FFB11A5F}"/>
    <cellStyle name="Normal 23 3 17 3" xfId="31999" xr:uid="{97CF0B66-D7E1-40B5-A701-559288CCEBFC}"/>
    <cellStyle name="Normal 23 3 2" xfId="13360" xr:uid="{C28145B5-653B-4F8E-9061-796BF72F295D}"/>
    <cellStyle name="Normal 23 3 2 2" xfId="13361" xr:uid="{C30281AC-6AA1-4C66-811E-F62BD91AF96C}"/>
    <cellStyle name="Normal 23 3 3" xfId="13362" xr:uid="{A808272B-2B6D-46B8-B302-9B8403D9633B}"/>
    <cellStyle name="Normal 23 3 4" xfId="13363" xr:uid="{8B2DCEC4-6415-47FA-9DEF-E792D96850D6}"/>
    <cellStyle name="Normal 23 3 5" xfId="13364" xr:uid="{933B95BC-E62F-4330-B52F-6275E2E5F03B}"/>
    <cellStyle name="Normal 23 3 6" xfId="13365" xr:uid="{2F146E90-E5F9-47E0-8AE9-B50186B74FEE}"/>
    <cellStyle name="Normal 23 3 7" xfId="13366" xr:uid="{F0D9E452-6DAE-4EC8-9DFA-7794F8B2F9C1}"/>
    <cellStyle name="Normal 23 3 8" xfId="13367" xr:uid="{4E84C431-DDBD-4180-B3E7-DAFB42A8D232}"/>
    <cellStyle name="Normal 23 3 8 2" xfId="13368" xr:uid="{6425DB38-2CD8-400A-8CB0-E5F43ADC47CF}"/>
    <cellStyle name="Normal 23 3 9" xfId="13369" xr:uid="{12B4376C-5291-4411-806E-9E69D50E6457}"/>
    <cellStyle name="Normal 23 3 9 2" xfId="32000" xr:uid="{B10EC9CE-AE5B-4FE2-8EF9-0D07502FF934}"/>
    <cellStyle name="Normal 23 3 9 3" xfId="32001" xr:uid="{CF5A746E-CC72-47CB-9A07-5276E79037F1}"/>
    <cellStyle name="Normal 23 4" xfId="13370" xr:uid="{B84BB150-026C-4645-9DA8-EC56E978252F}"/>
    <cellStyle name="Normal 23 4 2" xfId="13371" xr:uid="{3B45FB2F-F1AE-41CA-BD5F-0EE0B134A885}"/>
    <cellStyle name="Normal 23 4 2 2" xfId="13372" xr:uid="{74B5941F-452E-4FBB-96A0-80B972E88FFD}"/>
    <cellStyle name="Normal 23 4 3" xfId="13373" xr:uid="{B28CB5F0-B76C-4550-9A2C-2701FDFA0BC3}"/>
    <cellStyle name="Normal 23 4 4" xfId="13374" xr:uid="{F08B76F5-8F79-427A-BB2F-6DAFC8EFC04D}"/>
    <cellStyle name="Normal 23 4 5" xfId="13375" xr:uid="{4037D598-06C2-4F17-9105-9889E4517987}"/>
    <cellStyle name="Normal 23 4 6" xfId="13376" xr:uid="{FCC2EC14-C881-43C9-B46D-EAC3C30C08A0}"/>
    <cellStyle name="Normal 23 4 7" xfId="13377" xr:uid="{B9B12658-4539-4C58-BA6A-2F93C0C3EE45}"/>
    <cellStyle name="Normal 23 4 8" xfId="13378" xr:uid="{ACFE40DB-7C67-469A-AB17-0A964FAE8F7F}"/>
    <cellStyle name="Normal 23 4 8 2" xfId="13379" xr:uid="{59D6C475-BA02-40EC-A049-BE39C5C7C5BD}"/>
    <cellStyle name="Normal 23 5" xfId="13380" xr:uid="{DCB11016-2FE5-4036-9686-F958BCC1C497}"/>
    <cellStyle name="Normal 23 5 2" xfId="13381" xr:uid="{1FD7F338-4C51-40B4-908F-3F78E1EAAC6D}"/>
    <cellStyle name="Normal 23 5 2 2" xfId="13382" xr:uid="{74D2FFA1-B6A4-4041-B598-AFE85539A664}"/>
    <cellStyle name="Normal 23 5 3" xfId="13383" xr:uid="{5C7FC59F-2070-4CB1-AFEA-BBB5F85DCC86}"/>
    <cellStyle name="Normal 23 5 4" xfId="13384" xr:uid="{C95D9E8D-315C-4B5A-BF65-0718AF527F62}"/>
    <cellStyle name="Normal 23 5 5" xfId="13385" xr:uid="{A4610DCE-79A6-403C-B1FA-F93199912DBD}"/>
    <cellStyle name="Normal 23 5 6" xfId="13386" xr:uid="{2D99DA09-7ADE-4D70-830A-38B1C7E8C354}"/>
    <cellStyle name="Normal 23 5 7" xfId="13387" xr:uid="{C824995D-1995-44B6-8542-2B0D8E0F805A}"/>
    <cellStyle name="Normal 23 5 8" xfId="13388" xr:uid="{CB4CA3A6-94DC-432B-BC0D-20ECDFB14C37}"/>
    <cellStyle name="Normal 23 5 8 2" xfId="13389" xr:uid="{8B138165-C7AD-4916-A728-255D87C7F8C7}"/>
    <cellStyle name="Normal 23 6" xfId="13390" xr:uid="{C32C0A57-C629-4610-8A22-334ED3EE00CD}"/>
    <cellStyle name="Normal 23 6 2" xfId="13391" xr:uid="{D4583AE8-057B-476B-8C3A-9C027770A950}"/>
    <cellStyle name="Normal 23 6 2 2" xfId="13392" xr:uid="{FBD5CA40-A3EF-475F-9B54-E921BD02EFA3}"/>
    <cellStyle name="Normal 23 6 3" xfId="13393" xr:uid="{B8CAF75F-2594-48E9-BE87-BA3D8874248C}"/>
    <cellStyle name="Normal 23 6 4" xfId="13394" xr:uid="{5A77104E-9279-4948-9567-8C6630D153E1}"/>
    <cellStyle name="Normal 23 6 5" xfId="13395" xr:uid="{6C4BAA95-E601-40A6-A7EA-E4C954F06491}"/>
    <cellStyle name="Normal 23 6 6" xfId="13396" xr:uid="{4A4E92CC-B86C-41DD-B751-C8E6B2847763}"/>
    <cellStyle name="Normal 23 6 7" xfId="13397" xr:uid="{60C19D98-DA18-4584-A84F-7ED4E54C537E}"/>
    <cellStyle name="Normal 23 6 8" xfId="13398" xr:uid="{5754378C-8F1A-4BBD-AE8C-9006DD029D37}"/>
    <cellStyle name="Normal 23 6 8 2" xfId="13399" xr:uid="{8EA80042-C1DC-4F0D-9009-094A5C9FE609}"/>
    <cellStyle name="Normal 23 7" xfId="13400" xr:uid="{DF31D5E7-89E9-4FAD-9F57-F9BBE0856D7B}"/>
    <cellStyle name="Normal 23 8" xfId="13401" xr:uid="{77A5F2AD-DC6A-4EFA-BD0C-62FC263F08CA}"/>
    <cellStyle name="Normal 23 8 2" xfId="13402" xr:uid="{2086F392-D7F7-48C2-8599-E35589FBD71B}"/>
    <cellStyle name="Normal 23 9" xfId="13403" xr:uid="{86F167D9-6EDB-4C7C-BC17-05898B8A3104}"/>
    <cellStyle name="Normal 23 9 2" xfId="32002" xr:uid="{E364BD78-6ABA-48C7-9441-E9088240F4D1}"/>
    <cellStyle name="Normal 23 9 3" xfId="32003" xr:uid="{4E19D6F3-569E-4E47-B2DA-60E54FA40E62}"/>
    <cellStyle name="Normal 24" xfId="13404" xr:uid="{3FAFB1AA-E20C-4A10-998B-F5A68CFD407E}"/>
    <cellStyle name="Normal 24 10" xfId="13405" xr:uid="{5A5326A3-A10F-4C46-9351-6AADB9257EE8}"/>
    <cellStyle name="Normal 24 10 2" xfId="32004" xr:uid="{8EAA031B-914B-4F11-9B07-B23688EE38C6}"/>
    <cellStyle name="Normal 24 11" xfId="13406" xr:uid="{509199DA-761E-411B-8488-D431C9F9A271}"/>
    <cellStyle name="Normal 24 11 2" xfId="32005" xr:uid="{A89798C4-139F-4B4E-88FE-C8FC20CC7B93}"/>
    <cellStyle name="Normal 24 12" xfId="13407" xr:uid="{FC919684-EEAB-449B-A5C8-3B7BCED90166}"/>
    <cellStyle name="Normal 24 12 2" xfId="32006" xr:uid="{193F5BDE-C8C9-4737-ADB8-179CE72FE232}"/>
    <cellStyle name="Normal 24 13" xfId="13408" xr:uid="{1B556F70-0476-4B33-A2EA-32340055BB4C}"/>
    <cellStyle name="Normal 24 13 2" xfId="13409" xr:uid="{2C5A53C2-DC6C-4BE3-A002-0149C7B9784C}"/>
    <cellStyle name="Normal 24 13 3" xfId="32007" xr:uid="{4E00BAB9-8A20-466C-BBF2-756B6C0D95BB}"/>
    <cellStyle name="Normal 24 14" xfId="13410" xr:uid="{93BE5FE5-D011-47EA-8ABC-66E76AEB3D8A}"/>
    <cellStyle name="Normal 24 14 2" xfId="32008" xr:uid="{8DCE9387-BA74-4970-B25A-E3DA64532AAB}"/>
    <cellStyle name="Normal 24 14 3" xfId="32009" xr:uid="{83DCC1F0-72C0-455B-8FB4-25801CAB77BA}"/>
    <cellStyle name="Normal 24 14 4" xfId="32010" xr:uid="{13675B1F-CEDB-4649-B2F2-9D7E0ADD5F87}"/>
    <cellStyle name="Normal 24 15" xfId="13411" xr:uid="{1ED180F2-325A-48F7-8F3B-C08E77A55CF2}"/>
    <cellStyle name="Normal 24 15 2" xfId="32011" xr:uid="{17572EB1-1204-4B24-9199-A9707A95A4CC}"/>
    <cellStyle name="Normal 24 15 3" xfId="32012" xr:uid="{BC3F75D4-EFC6-4C5B-9043-A3A8D0A6559B}"/>
    <cellStyle name="Normal 24 15 4" xfId="32013" xr:uid="{E99F4047-9836-47FE-9C31-74C3C685D984}"/>
    <cellStyle name="Normal 24 16" xfId="13412" xr:uid="{8A235668-AC17-4A4E-97FD-9E9384D3CDDA}"/>
    <cellStyle name="Normal 24 16 2" xfId="32014" xr:uid="{123CB1C5-B4D8-4152-AB61-F34416026C84}"/>
    <cellStyle name="Normal 24 16 3" xfId="32015" xr:uid="{56E6B045-E50F-4054-A9E6-BE318BD6BF8D}"/>
    <cellStyle name="Normal 24 16 4" xfId="32016" xr:uid="{9530600D-D0AC-4FD3-BBA2-114B61C06C2A}"/>
    <cellStyle name="Normal 24 17" xfId="13413" xr:uid="{E919C1B0-D507-4B57-B0EB-5063FD55B2ED}"/>
    <cellStyle name="Normal 24 17 2" xfId="32017" xr:uid="{93811F32-D06E-4524-80C6-4D36AE9B4D29}"/>
    <cellStyle name="Normal 24 17 3" xfId="32018" xr:uid="{054E5FF8-4E3C-461B-8F25-847DE37B1FA6}"/>
    <cellStyle name="Normal 24 17 4" xfId="32019" xr:uid="{11C83E41-E732-42C4-B361-F2F4DEFB747C}"/>
    <cellStyle name="Normal 24 18" xfId="13414" xr:uid="{709364AF-B9B6-4307-8D4D-EDF9A48462D9}"/>
    <cellStyle name="Normal 24 18 2" xfId="32020" xr:uid="{040D527F-D428-4D27-ABFE-F751DF075D34}"/>
    <cellStyle name="Normal 24 18 3" xfId="32021" xr:uid="{74C7869F-A51D-4B82-83D0-122C026D2FA2}"/>
    <cellStyle name="Normal 24 18 4" xfId="32022" xr:uid="{93B08B76-ECD9-49E6-8A93-3FF675D20F58}"/>
    <cellStyle name="Normal 24 19" xfId="13415" xr:uid="{40362027-A75B-4898-91AB-FFBD29C43435}"/>
    <cellStyle name="Normal 24 19 2" xfId="32023" xr:uid="{306BFF31-B468-4858-BD34-5EF0C6937834}"/>
    <cellStyle name="Normal 24 19 3" xfId="32024" xr:uid="{B6E24944-1231-49D6-9516-FDDD332D5B9D}"/>
    <cellStyle name="Normal 24 19 4" xfId="32025" xr:uid="{D9BE0726-EEF6-417B-897F-D90992AA7B77}"/>
    <cellStyle name="Normal 24 2" xfId="13416" xr:uid="{88D95FB0-2F95-4636-8E47-C1D8C2B4019A}"/>
    <cellStyle name="Normal 24 2 10" xfId="13417" xr:uid="{C4E9C7D6-96FA-4089-812B-079E0D5E98D4}"/>
    <cellStyle name="Normal 24 2 10 2" xfId="32026" xr:uid="{7D07334B-4A19-4CB5-B4BB-95EE2D9AA8AB}"/>
    <cellStyle name="Normal 24 2 10 3" xfId="32027" xr:uid="{0216216B-7DFB-4355-AAE0-ABB022D8D166}"/>
    <cellStyle name="Normal 24 2 11" xfId="13418" xr:uid="{64CEF234-931D-4882-9D30-38A49D05F562}"/>
    <cellStyle name="Normal 24 2 11 2" xfId="32028" xr:uid="{2E8D0A39-D727-451D-87E8-0770477C160D}"/>
    <cellStyle name="Normal 24 2 11 3" xfId="32029" xr:uid="{FAB1E0F2-B34F-46A6-BC4B-AE5FF4335168}"/>
    <cellStyle name="Normal 24 2 12" xfId="13419" xr:uid="{3B59285F-7A45-4430-BA5D-0E5C3F5206DF}"/>
    <cellStyle name="Normal 24 2 12 2" xfId="32030" xr:uid="{5A6A527F-11ED-439D-B7EA-3EC1B9CDA444}"/>
    <cellStyle name="Normal 24 2 12 3" xfId="32031" xr:uid="{CF7C8B92-BC23-4479-B3DE-F80B48F62CB3}"/>
    <cellStyle name="Normal 24 2 13" xfId="13420" xr:uid="{696E4B35-0F82-4C7B-ADD2-CE73B0F87F83}"/>
    <cellStyle name="Normal 24 2 13 2" xfId="32032" xr:uid="{DC04B087-4DB7-4845-B603-5C5DD55E8BFA}"/>
    <cellStyle name="Normal 24 2 13 3" xfId="32033" xr:uid="{3C570FA5-BDD9-4E8C-99AE-2664BAD562A1}"/>
    <cellStyle name="Normal 24 2 14" xfId="13421" xr:uid="{5CF39C6B-261D-4F2B-AE7C-9CEBEBC90268}"/>
    <cellStyle name="Normal 24 2 14 2" xfId="32034" xr:uid="{2666EC91-A911-454F-B26D-28064F56EF8D}"/>
    <cellStyle name="Normal 24 2 14 3" xfId="32035" xr:uid="{C0DCE24D-3044-4D31-82A3-8845CCC18F24}"/>
    <cellStyle name="Normal 24 2 15" xfId="13422" xr:uid="{F41B9EDA-CD55-41A4-B6F2-930E0BF1F2FA}"/>
    <cellStyle name="Normal 24 2 15 2" xfId="32036" xr:uid="{BA466A13-7394-4B33-8A76-C7D1D7E6C30D}"/>
    <cellStyle name="Normal 24 2 15 3" xfId="32037" xr:uid="{A0AEA84A-0509-4C91-87D9-B10853547D12}"/>
    <cellStyle name="Normal 24 2 16" xfId="13423" xr:uid="{3A1F1C62-C3D5-4DA4-AF83-556D3AB2C4AE}"/>
    <cellStyle name="Normal 24 2 16 2" xfId="32038" xr:uid="{6FAE53B0-2E97-4C7D-A38B-4F7B1E66C1EC}"/>
    <cellStyle name="Normal 24 2 16 3" xfId="32039" xr:uid="{D3F5424B-25A5-4614-942A-626EBF25D928}"/>
    <cellStyle name="Normal 24 2 17" xfId="13424" xr:uid="{8D5E1CDF-68A9-43EE-B012-5C4562E5A9EF}"/>
    <cellStyle name="Normal 24 2 17 2" xfId="32040" xr:uid="{0AD5C459-2F05-4E3D-9AFC-00D28F28B0D0}"/>
    <cellStyle name="Normal 24 2 17 3" xfId="32041" xr:uid="{373A2FAC-2FE7-49E0-A36A-6FDE2C807131}"/>
    <cellStyle name="Normal 24 2 18" xfId="32042" xr:uid="{4FC1D5D3-8ADA-47E0-AAC5-A98FC0F1611C}"/>
    <cellStyle name="Normal 24 2 2" xfId="13425" xr:uid="{4A27CE2A-8FDB-456E-B0B8-292FD15BFFB7}"/>
    <cellStyle name="Normal 24 2 2 2" xfId="13426" xr:uid="{E3E66248-5EFC-4844-A764-5441A9B5EBCD}"/>
    <cellStyle name="Normal 24 2 3" xfId="13427" xr:uid="{B212FE0D-2921-4123-AB8A-CD4DD64E24FF}"/>
    <cellStyle name="Normal 24 2 4" xfId="13428" xr:uid="{7B42A79B-D192-463B-84B5-DFC1C50C506A}"/>
    <cellStyle name="Normal 24 2 5" xfId="13429" xr:uid="{392515F7-8D76-4C84-BF1F-5B7419F37A51}"/>
    <cellStyle name="Normal 24 2 6" xfId="13430" xr:uid="{F3704AEB-6889-4BBF-BA8F-9672FDF31395}"/>
    <cellStyle name="Normal 24 2 7" xfId="13431" xr:uid="{B7D93D5A-81E6-4675-8ECC-5CB576E37B8C}"/>
    <cellStyle name="Normal 24 2 8" xfId="13432" xr:uid="{D599A716-FC77-4DDF-9457-96F06D6FC38C}"/>
    <cellStyle name="Normal 24 2 8 2" xfId="13433" xr:uid="{3672CCE5-B2A5-477E-98B1-D5A5950B78B4}"/>
    <cellStyle name="Normal 24 2 9" xfId="13434" xr:uid="{80E17329-30E9-4157-8650-AD59556E7338}"/>
    <cellStyle name="Normal 24 2 9 2" xfId="32043" xr:uid="{5981C148-D014-4618-9A68-3F0A6A2E3984}"/>
    <cellStyle name="Normal 24 2 9 3" xfId="32044" xr:uid="{89B7257B-B042-4CD3-A550-F7724C9AFDD1}"/>
    <cellStyle name="Normal 24 20" xfId="13435" xr:uid="{784F7C6F-71CB-4934-BA90-9AF3B6CC2C8A}"/>
    <cellStyle name="Normal 24 20 2" xfId="32045" xr:uid="{F9E50414-B578-48D2-8976-AE8D13199CB9}"/>
    <cellStyle name="Normal 24 20 3" xfId="32046" xr:uid="{7CA3F00A-0DD1-4AE0-A2EA-CA72E470829F}"/>
    <cellStyle name="Normal 24 20 4" xfId="32047" xr:uid="{AAB8117B-9020-4A0F-9844-C52461AFB561}"/>
    <cellStyle name="Normal 24 21" xfId="13436" xr:uid="{517B74BE-66DF-4886-A684-17E1E25D3460}"/>
    <cellStyle name="Normal 24 21 2" xfId="32048" xr:uid="{0D273212-A67F-43EC-A155-4C51573B2F78}"/>
    <cellStyle name="Normal 24 21 3" xfId="32049" xr:uid="{66986A68-77CA-4002-B652-F604445A65E5}"/>
    <cellStyle name="Normal 24 22" xfId="13437" xr:uid="{6D99C201-FAB1-4A62-986B-F32157F4D583}"/>
    <cellStyle name="Normal 24 22 2" xfId="32050" xr:uid="{3FBF07EA-9BD5-4508-806E-D662B2E8F6BF}"/>
    <cellStyle name="Normal 24 22 3" xfId="32051" xr:uid="{6CB69FD0-D01B-4BFB-8DBA-097010DB905C}"/>
    <cellStyle name="Normal 24 23" xfId="32052" xr:uid="{7EC86C0A-D774-476C-B93E-5742912DF84A}"/>
    <cellStyle name="Normal 24 24" xfId="42909" xr:uid="{F5FD27B8-7F97-4868-828E-B524ADEDB1EC}"/>
    <cellStyle name="Normal 24 3" xfId="13438" xr:uid="{C3ECA3C5-AF27-4594-87DF-C9F5E468ED59}"/>
    <cellStyle name="Normal 24 3 10" xfId="13439" xr:uid="{03A214EB-0FCC-4023-90EE-147400DEF17F}"/>
    <cellStyle name="Normal 24 3 10 2" xfId="32053" xr:uid="{239F4868-3DC5-4D31-A61C-830341F7ADC9}"/>
    <cellStyle name="Normal 24 3 10 3" xfId="32054" xr:uid="{473DDAAB-D9DD-42FA-9FCD-64BC75340489}"/>
    <cellStyle name="Normal 24 3 11" xfId="13440" xr:uid="{3CBFF232-8635-448D-AF33-B6471EB7792C}"/>
    <cellStyle name="Normal 24 3 11 2" xfId="32055" xr:uid="{AD45FF01-CBA1-474F-913A-58A4B8A603FC}"/>
    <cellStyle name="Normal 24 3 11 3" xfId="32056" xr:uid="{C2E0D90F-F4D7-4F56-8596-A8B000509AAD}"/>
    <cellStyle name="Normal 24 3 12" xfId="13441" xr:uid="{CBC168B1-B2A0-46D5-B42C-D8807F9AFCAB}"/>
    <cellStyle name="Normal 24 3 12 2" xfId="32057" xr:uid="{B36822BC-BA9B-4319-9E7A-2F236F7A6E23}"/>
    <cellStyle name="Normal 24 3 12 3" xfId="32058" xr:uid="{07A71119-D8B9-4685-8CB4-B15EA17A4B63}"/>
    <cellStyle name="Normal 24 3 13" xfId="13442" xr:uid="{241A9A80-5AE0-4342-B333-5DE9295BCB1F}"/>
    <cellStyle name="Normal 24 3 13 2" xfId="32059" xr:uid="{350F6B24-11FC-41AC-935B-03E9084990BC}"/>
    <cellStyle name="Normal 24 3 13 3" xfId="32060" xr:uid="{9CFDF6F7-DD3A-4458-A89B-8087E019B73C}"/>
    <cellStyle name="Normal 24 3 14" xfId="13443" xr:uid="{6AD3B961-E959-4C35-9370-D098AD7A4576}"/>
    <cellStyle name="Normal 24 3 14 2" xfId="32061" xr:uid="{CCBF8B27-CB66-4E4B-8C9C-B839E813B91E}"/>
    <cellStyle name="Normal 24 3 14 3" xfId="32062" xr:uid="{650C24A2-4E82-4F5E-BD73-AEA4828A79E0}"/>
    <cellStyle name="Normal 24 3 15" xfId="13444" xr:uid="{8820BAD1-FACB-4849-A97E-EC052002D35E}"/>
    <cellStyle name="Normal 24 3 15 2" xfId="32063" xr:uid="{E4CBB7F5-C80E-42C8-9155-177CE969BEEC}"/>
    <cellStyle name="Normal 24 3 15 3" xfId="32064" xr:uid="{AF7FB14B-18ED-4730-A577-BA9A68DE4152}"/>
    <cellStyle name="Normal 24 3 16" xfId="13445" xr:uid="{DF2080DD-D8DB-4AAF-92AD-31C0FEDB201E}"/>
    <cellStyle name="Normal 24 3 16 2" xfId="32065" xr:uid="{92B71BC9-92AB-4A55-BE51-EE52A8F5A465}"/>
    <cellStyle name="Normal 24 3 16 3" xfId="32066" xr:uid="{4D3411FE-4340-44AF-9F83-05DB58660727}"/>
    <cellStyle name="Normal 24 3 17" xfId="13446" xr:uid="{A5B804AF-B5D9-4EEF-AFEE-51871529BE4F}"/>
    <cellStyle name="Normal 24 3 17 2" xfId="32067" xr:uid="{6809BC56-5B20-4F7A-A6C8-B5E64E1D2EC3}"/>
    <cellStyle name="Normal 24 3 17 3" xfId="32068" xr:uid="{9E4A5009-D01E-4DFA-917C-2CB5196FD388}"/>
    <cellStyle name="Normal 24 3 18" xfId="32069" xr:uid="{C2D21585-390B-4D1D-A339-4361025E2A4F}"/>
    <cellStyle name="Normal 24 3 2" xfId="13447" xr:uid="{D20DFECD-754D-4830-A014-E575AA1DAB15}"/>
    <cellStyle name="Normal 24 3 2 2" xfId="13448" xr:uid="{7FE30303-DCCB-47ED-AD91-C045AEEA399E}"/>
    <cellStyle name="Normal 24 3 3" xfId="13449" xr:uid="{0646471F-52AF-462E-AB6C-5B3638FD872C}"/>
    <cellStyle name="Normal 24 3 4" xfId="13450" xr:uid="{661AB2A0-C098-4B44-B895-0E985E64B1BB}"/>
    <cellStyle name="Normal 24 3 5" xfId="13451" xr:uid="{F0B4E3CE-AE52-4ABB-BF1B-0ACE623122C5}"/>
    <cellStyle name="Normal 24 3 6" xfId="13452" xr:uid="{BF458D04-1FB1-4A65-BEEC-A398B5A0F016}"/>
    <cellStyle name="Normal 24 3 7" xfId="13453" xr:uid="{077C9732-6DBA-40AE-9750-A7AD549C5111}"/>
    <cellStyle name="Normal 24 3 8" xfId="13454" xr:uid="{EDAF4159-5527-4985-A560-5C09A2CA4EB7}"/>
    <cellStyle name="Normal 24 3 8 2" xfId="13455" xr:uid="{5A8EB20E-1E08-4318-8F33-5A3CFAF11D5A}"/>
    <cellStyle name="Normal 24 3 9" xfId="13456" xr:uid="{80395472-B3D6-4A21-9449-C07638007C3D}"/>
    <cellStyle name="Normal 24 3 9 2" xfId="32070" xr:uid="{E31C48DF-1255-4318-8A33-E36DDD3C68DE}"/>
    <cellStyle name="Normal 24 3 9 3" xfId="32071" xr:uid="{BD2463E6-5DB0-4DFB-BB96-D8166C98E4AC}"/>
    <cellStyle name="Normal 24 4" xfId="13457" xr:uid="{B755A882-B352-4CFA-9195-BC4F603A5E16}"/>
    <cellStyle name="Normal 24 4 2" xfId="13458" xr:uid="{18CBB67E-0A45-4590-AC85-50CAC1FBFE22}"/>
    <cellStyle name="Normal 24 4 2 2" xfId="13459" xr:uid="{23687C35-11E3-48D2-B430-66FFBF3515BE}"/>
    <cellStyle name="Normal 24 4 3" xfId="13460" xr:uid="{ED7F382C-2B55-49B4-81FD-F9962C18D5FC}"/>
    <cellStyle name="Normal 24 4 4" xfId="13461" xr:uid="{AF51490D-3698-40E5-ACF4-5AA27AA68D96}"/>
    <cellStyle name="Normal 24 4 5" xfId="13462" xr:uid="{469B32F9-6ECE-473B-9FBC-45E616484795}"/>
    <cellStyle name="Normal 24 4 6" xfId="13463" xr:uid="{6C47DD13-84E4-473A-8AC5-1AB7D0108E58}"/>
    <cellStyle name="Normal 24 4 7" xfId="13464" xr:uid="{F7C54A3D-8B84-4E3A-9F7B-BC754743511A}"/>
    <cellStyle name="Normal 24 4 8" xfId="13465" xr:uid="{01CB77D7-C324-40D5-8BF1-04C86293FC6B}"/>
    <cellStyle name="Normal 24 4 8 2" xfId="13466" xr:uid="{9627B1FF-20A3-41EF-AF57-789A9CCA25B2}"/>
    <cellStyle name="Normal 24 4 9" xfId="32072" xr:uid="{991C5908-9F84-47B3-B94B-73A565787B83}"/>
    <cellStyle name="Normal 24 5" xfId="13467" xr:uid="{B3796832-25C3-47FF-8404-0DD0A7022D08}"/>
    <cellStyle name="Normal 24 5 2" xfId="13468" xr:uid="{91254617-5EAB-4905-B38E-DDC99EC4F025}"/>
    <cellStyle name="Normal 24 5 2 2" xfId="13469" xr:uid="{9B166940-2E17-4D44-8D8F-077A75888D56}"/>
    <cellStyle name="Normal 24 5 3" xfId="13470" xr:uid="{ABCEADD0-4C6F-4EBD-B9C9-C0D574086684}"/>
    <cellStyle name="Normal 24 5 4" xfId="13471" xr:uid="{E36DDC03-A2FE-4A5F-A318-0FC808C47986}"/>
    <cellStyle name="Normal 24 5 5" xfId="13472" xr:uid="{CD785AB6-7EB8-4825-B19F-90AFB4A6FEC1}"/>
    <cellStyle name="Normal 24 5 6" xfId="13473" xr:uid="{AE2BA0CD-3FED-4EAA-904D-ABA4469DC9B8}"/>
    <cellStyle name="Normal 24 5 7" xfId="13474" xr:uid="{A759CBBA-3168-4FA2-A46A-1F4BA619D498}"/>
    <cellStyle name="Normal 24 5 8" xfId="13475" xr:uid="{D011899E-A152-479A-8185-EF8F87702E87}"/>
    <cellStyle name="Normal 24 5 8 2" xfId="13476" xr:uid="{1DD63642-1B42-4E0B-885A-206C40A1A340}"/>
    <cellStyle name="Normal 24 5 9" xfId="32073" xr:uid="{6FF31362-97D1-435A-9293-A0E7237EA05D}"/>
    <cellStyle name="Normal 24 6" xfId="13477" xr:uid="{DB805A85-DAB8-49B2-A382-62485AE332A2}"/>
    <cellStyle name="Normal 24 6 2" xfId="13478" xr:uid="{97E86BD3-EE8A-416C-9A98-17C04CE63DB9}"/>
    <cellStyle name="Normal 24 6 2 2" xfId="13479" xr:uid="{AEB36D54-982C-4367-AB63-AE80D6FC6D11}"/>
    <cellStyle name="Normal 24 6 3" xfId="13480" xr:uid="{B6638F3C-F07D-4B41-B0DF-8CB34411FDDD}"/>
    <cellStyle name="Normal 24 6 4" xfId="13481" xr:uid="{9D0B3D56-3963-4BF4-8D7D-B5101E742CAA}"/>
    <cellStyle name="Normal 24 6 5" xfId="13482" xr:uid="{5D797B44-4328-4A51-8FF4-3986525371BA}"/>
    <cellStyle name="Normal 24 6 6" xfId="13483" xr:uid="{4670166E-C86E-4BA8-953D-CD8C6FBB8E0D}"/>
    <cellStyle name="Normal 24 6 7" xfId="13484" xr:uid="{3011EFE9-9644-46F0-8612-1B35B4F28FE0}"/>
    <cellStyle name="Normal 24 6 8" xfId="13485" xr:uid="{8B14D433-641A-48FF-B282-A92870322CD3}"/>
    <cellStyle name="Normal 24 6 8 2" xfId="13486" xr:uid="{21A60464-2B89-480E-87C6-E88382B7C5B3}"/>
    <cellStyle name="Normal 24 6 9" xfId="32074" xr:uid="{ED0CF366-03E5-4C91-9A84-532893C0778B}"/>
    <cellStyle name="Normal 24 7" xfId="13487" xr:uid="{54A5DA54-8309-4C7E-A287-9AF49AF634F5}"/>
    <cellStyle name="Normal 24 7 2" xfId="13488" xr:uid="{AF31E7A2-F1E3-402E-9030-1A4821A414C2}"/>
    <cellStyle name="Normal 24 7 3" xfId="32075" xr:uid="{BF4492BD-C38C-4A7B-9B75-CDD5900D1176}"/>
    <cellStyle name="Normal 24 8" xfId="13489" xr:uid="{74F67B14-8C97-490C-8392-0E0327070526}"/>
    <cellStyle name="Normal 24 8 2" xfId="32076" xr:uid="{0E0E9D81-8328-4CCE-B642-B883A77EDC8E}"/>
    <cellStyle name="Normal 24 9" xfId="13490" xr:uid="{0E268F62-D222-4B7D-B6AB-8FD4F4482CE1}"/>
    <cellStyle name="Normal 24 9 2" xfId="32077" xr:uid="{30481D96-CB9E-496E-9BF1-F6084A4374DC}"/>
    <cellStyle name="Normal 25" xfId="13491" xr:uid="{72EDCBC1-F673-478D-9CA4-2FC8EB551DBF}"/>
    <cellStyle name="Normal 25 10" xfId="13492" xr:uid="{B323EBBB-16B4-4CB6-B2AD-FC98FD279B34}"/>
    <cellStyle name="Normal 25 10 2" xfId="32078" xr:uid="{9C94FE1C-5D08-4D74-A7C8-A50FE4580ACE}"/>
    <cellStyle name="Normal 25 10 3" xfId="32079" xr:uid="{C14E5B4F-D40D-4193-97EE-E723DD2B7EF1}"/>
    <cellStyle name="Normal 25 11" xfId="13493" xr:uid="{391254E1-9C50-417D-AF56-0D9BAF17477C}"/>
    <cellStyle name="Normal 25 11 2" xfId="32080" xr:uid="{2B6B036B-53B4-46C3-9331-895B996B5F3F}"/>
    <cellStyle name="Normal 25 11 3" xfId="32081" xr:uid="{6A2B5BBB-98ED-4230-8EB6-62D80B2B7057}"/>
    <cellStyle name="Normal 25 12" xfId="13494" xr:uid="{19CA53E2-DA62-42ED-A77D-D33D2B1F0F4C}"/>
    <cellStyle name="Normal 25 12 2" xfId="32082" xr:uid="{DCF33D44-77F3-4D9A-99AB-43C3B3052F80}"/>
    <cellStyle name="Normal 25 12 3" xfId="32083" xr:uid="{C05D22EB-C590-43CB-85F3-0707D936C9E9}"/>
    <cellStyle name="Normal 25 13" xfId="13495" xr:uid="{F4458718-CA97-4BA9-A4A4-47394B59B8BF}"/>
    <cellStyle name="Normal 25 13 2" xfId="32084" xr:uid="{257B3B5D-E284-4445-B046-F73EB1769679}"/>
    <cellStyle name="Normal 25 13 3" xfId="32085" xr:uid="{C886B2DE-C48A-44DC-AE34-50792A185556}"/>
    <cellStyle name="Normal 25 14" xfId="13496" xr:uid="{4842D14F-631D-4FD2-8958-576A58C11E3D}"/>
    <cellStyle name="Normal 25 14 2" xfId="32086" xr:uid="{AD1ACB74-02A8-4E40-906B-6601936C8F17}"/>
    <cellStyle name="Normal 25 14 3" xfId="32087" xr:uid="{B7948BE6-E11F-478E-8A75-980887C39B62}"/>
    <cellStyle name="Normal 25 15" xfId="13497" xr:uid="{EDB2263A-3AD4-43C0-8CB3-BEDC4D55FF91}"/>
    <cellStyle name="Normal 25 15 2" xfId="32088" xr:uid="{8F3F2B36-0BC7-45AF-AD61-19CB5184A7BD}"/>
    <cellStyle name="Normal 25 15 3" xfId="32089" xr:uid="{F18FF1E5-DE64-4D28-9E0C-97ACA5D3B514}"/>
    <cellStyle name="Normal 25 16" xfId="13498" xr:uid="{DF38EA80-DDE8-440F-A1B2-8E4E39ADEF2C}"/>
    <cellStyle name="Normal 25 16 2" xfId="32090" xr:uid="{0467A3C0-0A8B-4202-98C0-AB26234F7904}"/>
    <cellStyle name="Normal 25 16 3" xfId="32091" xr:uid="{3D810677-F2B4-4220-8D16-17ED3DEAA56E}"/>
    <cellStyle name="Normal 25 17" xfId="42915" xr:uid="{D49B1FEB-7597-4164-81E0-BC723485C2DB}"/>
    <cellStyle name="Normal 25 2" xfId="13499" xr:uid="{AAC858B5-1BE1-4FDF-BF1A-C15F149DFAED}"/>
    <cellStyle name="Normal 25 2 10" xfId="13500" xr:uid="{308F43AB-DB03-4326-B56D-82CFE9EAA17C}"/>
    <cellStyle name="Normal 25 2 10 2" xfId="32092" xr:uid="{EE449AC4-05CA-4F36-A2F2-6ADEB53F1ADD}"/>
    <cellStyle name="Normal 25 2 10 3" xfId="32093" xr:uid="{A1D0C389-3582-499E-B974-947DAE38B601}"/>
    <cellStyle name="Normal 25 2 11" xfId="13501" xr:uid="{52D40C56-2A72-4B43-940B-6BDEFC946578}"/>
    <cellStyle name="Normal 25 2 11 2" xfId="32094" xr:uid="{2D4F74BB-614E-4A7D-AE10-CBC77FDBB760}"/>
    <cellStyle name="Normal 25 2 11 3" xfId="32095" xr:uid="{FFA3D320-0FED-4612-A8E0-D18BC5A7F494}"/>
    <cellStyle name="Normal 25 2 2" xfId="13502" xr:uid="{034F071A-5105-4D2D-ADA9-612788A94750}"/>
    <cellStyle name="Normal 25 2 3" xfId="13503" xr:uid="{902904EB-3C87-4425-9101-80E6A11E8205}"/>
    <cellStyle name="Normal 25 2 3 2" xfId="32096" xr:uid="{DCDEB2A4-C6CA-40FB-B9C8-72F79A79B28A}"/>
    <cellStyle name="Normal 25 2 3 3" xfId="32097" xr:uid="{1B83815D-4D6F-45D6-9F8E-069E1BE6C88F}"/>
    <cellStyle name="Normal 25 2 4" xfId="13504" xr:uid="{5DF9F74A-65C5-440D-8086-5B426B37EB61}"/>
    <cellStyle name="Normal 25 2 4 2" xfId="32098" xr:uid="{A5147372-F63F-40C7-92B6-75D4A4BEE69C}"/>
    <cellStyle name="Normal 25 2 4 3" xfId="32099" xr:uid="{8B1838F1-9162-4577-AFD4-72C517175602}"/>
    <cellStyle name="Normal 25 2 5" xfId="13505" xr:uid="{03B7CA1B-E965-4AF5-A5BA-5E81580E6E52}"/>
    <cellStyle name="Normal 25 2 5 2" xfId="32100" xr:uid="{B2FA2B59-3053-4DC0-90FA-D18EDE8956C6}"/>
    <cellStyle name="Normal 25 2 5 3" xfId="32101" xr:uid="{8F7C74E2-83E8-44B3-A242-1BD5E19DA992}"/>
    <cellStyle name="Normal 25 2 6" xfId="13506" xr:uid="{71509D54-6FB4-4966-994B-C426C80B00C6}"/>
    <cellStyle name="Normal 25 2 6 2" xfId="32102" xr:uid="{EB66E102-6494-4C68-A118-AC2E52492324}"/>
    <cellStyle name="Normal 25 2 6 3" xfId="32103" xr:uid="{470D2271-B52E-4F78-94F2-D02F51733ED2}"/>
    <cellStyle name="Normal 25 2 7" xfId="13507" xr:uid="{C28EA40B-7E92-46A7-BB36-A58DD24476D6}"/>
    <cellStyle name="Normal 25 2 7 2" xfId="32104" xr:uid="{A60018AE-A4F3-43DA-A377-C333991A26E9}"/>
    <cellStyle name="Normal 25 2 7 3" xfId="32105" xr:uid="{FD237D38-C6A0-421A-B941-A92D9F3A21B8}"/>
    <cellStyle name="Normal 25 2 8" xfId="13508" xr:uid="{9441CF74-5A75-480A-8970-C880BEFA33A8}"/>
    <cellStyle name="Normal 25 2 8 2" xfId="32106" xr:uid="{0936285E-C3C9-4FD2-B36D-5B97BBF96D00}"/>
    <cellStyle name="Normal 25 2 8 3" xfId="32107" xr:uid="{4FBC4931-CE78-4457-B209-17A92DF4780B}"/>
    <cellStyle name="Normal 25 2 9" xfId="13509" xr:uid="{43D1C755-FCE5-4A98-B33E-99CC98EF97C2}"/>
    <cellStyle name="Normal 25 2 9 2" xfId="32108" xr:uid="{75757D93-63E9-4074-A0C6-40C1FFC95A24}"/>
    <cellStyle name="Normal 25 2 9 3" xfId="32109" xr:uid="{5D54FDC6-E62D-4997-976E-74EE1D648E2E}"/>
    <cellStyle name="Normal 25 3" xfId="13510" xr:uid="{065F47B4-417F-4321-993D-594C61753192}"/>
    <cellStyle name="Normal 25 3 10" xfId="13511" xr:uid="{EA30056D-B31D-4D47-99F6-B5053960F516}"/>
    <cellStyle name="Normal 25 3 10 2" xfId="32110" xr:uid="{09BA532C-056A-48A6-934F-85057005730C}"/>
    <cellStyle name="Normal 25 3 10 3" xfId="32111" xr:uid="{25B4FEDB-1E20-43B8-819B-4F313A9D6E99}"/>
    <cellStyle name="Normal 25 3 2" xfId="13512" xr:uid="{61196B10-B200-48B3-8ED0-B7A5BA070373}"/>
    <cellStyle name="Normal 25 3 2 2" xfId="32112" xr:uid="{C9939537-C82D-49A8-866E-D2FBF18A95BF}"/>
    <cellStyle name="Normal 25 3 2 3" xfId="32113" xr:uid="{971203D1-45C4-449E-B928-FAD69C41E2DC}"/>
    <cellStyle name="Normal 25 3 3" xfId="13513" xr:uid="{24747D94-08D3-4D7A-B791-BD16CAD789E8}"/>
    <cellStyle name="Normal 25 3 3 2" xfId="32114" xr:uid="{8B0AD1CE-708C-47E4-9049-4548633A9207}"/>
    <cellStyle name="Normal 25 3 3 3" xfId="32115" xr:uid="{732A7E9D-CAEC-46C5-B8ED-C0D65F47A82E}"/>
    <cellStyle name="Normal 25 3 4" xfId="13514" xr:uid="{C40C0398-77B2-4F12-9E79-2989CDDE7C35}"/>
    <cellStyle name="Normal 25 3 4 2" xfId="32116" xr:uid="{87C28F22-D272-48AF-B695-350B8813ADC8}"/>
    <cellStyle name="Normal 25 3 4 3" xfId="32117" xr:uid="{1902648C-7510-46F0-81F6-8049FD614F89}"/>
    <cellStyle name="Normal 25 3 5" xfId="13515" xr:uid="{801D9E33-A96A-490E-B06F-6120B7409E1F}"/>
    <cellStyle name="Normal 25 3 5 2" xfId="32118" xr:uid="{DBCA9E2D-E92B-49FB-94ED-F32C8D613C78}"/>
    <cellStyle name="Normal 25 3 5 3" xfId="32119" xr:uid="{742DA3EF-7C8A-4B54-9F9B-C555D377BDAB}"/>
    <cellStyle name="Normal 25 3 6" xfId="13516" xr:uid="{3DEB5AA1-CCC1-476B-B368-AD3368937459}"/>
    <cellStyle name="Normal 25 3 6 2" xfId="32120" xr:uid="{E25B8450-F163-4310-A982-02B62AE0D732}"/>
    <cellStyle name="Normal 25 3 6 3" xfId="32121" xr:uid="{AE077B85-90B6-49F0-A4A6-77E190CFC7FB}"/>
    <cellStyle name="Normal 25 3 7" xfId="13517" xr:uid="{2FD34F92-C2CC-4565-A5D0-EFFCF0090574}"/>
    <cellStyle name="Normal 25 3 7 2" xfId="32122" xr:uid="{4744EBF0-3F65-4FE4-8C55-F34A2036D8E8}"/>
    <cellStyle name="Normal 25 3 7 3" xfId="32123" xr:uid="{20108134-F6D4-4053-A529-F5B8319411B2}"/>
    <cellStyle name="Normal 25 3 8" xfId="13518" xr:uid="{D6B82CED-1CAA-4951-9E19-B9CE244E97AC}"/>
    <cellStyle name="Normal 25 3 8 2" xfId="32124" xr:uid="{8CED6992-321E-4CA4-A429-9DF97E900892}"/>
    <cellStyle name="Normal 25 3 8 3" xfId="32125" xr:uid="{5174F8CB-662D-49E5-9C30-D681E94C7E4C}"/>
    <cellStyle name="Normal 25 3 9" xfId="13519" xr:uid="{6E33D6EC-8DAE-49C5-B156-AC3FEA6F7361}"/>
    <cellStyle name="Normal 25 3 9 2" xfId="32126" xr:uid="{9778BCB0-4612-4DC0-B08E-CE2289715C7E}"/>
    <cellStyle name="Normal 25 3 9 3" xfId="32127" xr:uid="{C2861F9A-FDE2-4FBD-A58E-924BB860581D}"/>
    <cellStyle name="Normal 25 4" xfId="13520" xr:uid="{BE1914C3-CF6A-4096-8FA5-6E80BDC4E2C1}"/>
    <cellStyle name="Normal 25 5" xfId="13521" xr:uid="{26E6989B-CB40-4B95-83A5-9776D57EBD83}"/>
    <cellStyle name="Normal 25 6" xfId="13522" xr:uid="{9A7C7E6D-060C-4B39-9E97-323B2DDB4D88}"/>
    <cellStyle name="Normal 25 7" xfId="13523" xr:uid="{5AA94186-09C5-4783-8186-61BC22C71D60}"/>
    <cellStyle name="Normal 25 7 2" xfId="32128" xr:uid="{E4F911AA-4167-4AE5-8E5A-E098AB6FC140}"/>
    <cellStyle name="Normal 25 7 3" xfId="32129" xr:uid="{70CC2702-9089-4F79-8A5C-FA8337A4C974}"/>
    <cellStyle name="Normal 25 8" xfId="13524" xr:uid="{9BB0F58A-F474-4331-ABFA-0E78F2EDA2A7}"/>
    <cellStyle name="Normal 25 8 2" xfId="32130" xr:uid="{14514407-75B9-4E9D-A969-C895FFDF3688}"/>
    <cellStyle name="Normal 25 8 3" xfId="32131" xr:uid="{36C68C78-4353-44B6-81C2-CB8388368C5F}"/>
    <cellStyle name="Normal 25 9" xfId="13525" xr:uid="{28D148BB-76FE-4EE3-BA04-D7AE3AC3E005}"/>
    <cellStyle name="Normal 25 9 2" xfId="32132" xr:uid="{D20E095B-55F4-4675-9C98-19763F071A7C}"/>
    <cellStyle name="Normal 25 9 3" xfId="32133" xr:uid="{673A4FB7-425B-498F-A895-054DAC27DFD0}"/>
    <cellStyle name="Normal 26" xfId="13526" xr:uid="{44589EB6-EE03-41E1-8CAD-35642E3FF238}"/>
    <cellStyle name="Normal 26 10" xfId="13527" xr:uid="{59D22F1E-F8F3-4262-8B0F-7C0E06F07C87}"/>
    <cellStyle name="Normal 26 10 2" xfId="32134" xr:uid="{F3128350-18A2-4DD2-8975-CD7F0882D14F}"/>
    <cellStyle name="Normal 26 10 3" xfId="32135" xr:uid="{6FCFDFA6-4D62-4AFD-9AC8-F5893AF131F7}"/>
    <cellStyle name="Normal 26 11" xfId="13528" xr:uid="{3D9441C3-B379-4DB6-85E1-B095FAE86E56}"/>
    <cellStyle name="Normal 26 11 2" xfId="32136" xr:uid="{3C104CEE-1DC5-4DF6-9AC4-4D92B32EC1FE}"/>
    <cellStyle name="Normal 26 11 3" xfId="32137" xr:uid="{41C704FC-4977-4729-92A2-D804BD82CA11}"/>
    <cellStyle name="Normal 26 12" xfId="13529" xr:uid="{8B60CF44-54AE-4E61-B158-5F93BB5AAC29}"/>
    <cellStyle name="Normal 26 12 2" xfId="32138" xr:uid="{987C93A6-F24A-4127-9B55-731C82E063CB}"/>
    <cellStyle name="Normal 26 12 3" xfId="32139" xr:uid="{B8F2025D-DCF5-4AFC-AC17-2B4E73BB6E3D}"/>
    <cellStyle name="Normal 26 13" xfId="32140" xr:uid="{949538AE-D2A9-45F6-AAB6-36EC161DC862}"/>
    <cellStyle name="Normal 26 14" xfId="42916" xr:uid="{AC7B611B-A181-4B22-A07B-F678BB95E597}"/>
    <cellStyle name="Normal 26 2" xfId="13530" xr:uid="{8690B93A-EB97-4EDE-ACC3-612E1F377211}"/>
    <cellStyle name="Normal 26 2 10" xfId="13531" xr:uid="{5A77B600-3F4F-4B6D-AF38-F62A1DF68D12}"/>
    <cellStyle name="Normal 26 2 10 2" xfId="32141" xr:uid="{72E4EAD6-457D-4393-9711-4BC393F76B61}"/>
    <cellStyle name="Normal 26 2 10 3" xfId="32142" xr:uid="{669AD8A9-988B-4A5C-A92C-7B592AEF5AAE}"/>
    <cellStyle name="Normal 26 2 11" xfId="32143" xr:uid="{4EF8E3CA-4214-4E0E-90F6-0C6E69D03167}"/>
    <cellStyle name="Normal 26 2 12" xfId="32144" xr:uid="{F8277676-61EB-4F21-8562-D294E69F8A32}"/>
    <cellStyle name="Normal 26 2 13" xfId="32145" xr:uid="{3242B14C-B542-4787-8349-15342246A908}"/>
    <cellStyle name="Normal 26 2 2" xfId="13532" xr:uid="{9A159FAE-5476-4F20-BD4F-9FC7C8F4BCAB}"/>
    <cellStyle name="Normal 26 2 2 2" xfId="32146" xr:uid="{22C5B609-D4F7-4E4F-B8FE-9494A1579801}"/>
    <cellStyle name="Normal 26 2 2 3" xfId="32147" xr:uid="{3285D265-2EB7-46A8-9053-B4E30BAC1D1D}"/>
    <cellStyle name="Normal 26 2 3" xfId="13533" xr:uid="{88CEA28A-845B-49C1-AF3E-2FA7E6924A04}"/>
    <cellStyle name="Normal 26 2 3 2" xfId="32148" xr:uid="{346CBA70-1FE2-4242-925E-8BB847A5C7E3}"/>
    <cellStyle name="Normal 26 2 3 3" xfId="32149" xr:uid="{D2BD19BF-64ED-444D-AA62-368D28489F07}"/>
    <cellStyle name="Normal 26 2 4" xfId="13534" xr:uid="{FCEA7362-614B-4C80-86C1-093569103953}"/>
    <cellStyle name="Normal 26 2 4 2" xfId="32150" xr:uid="{BF6D3B77-43A7-4F71-9A6B-B42B0ACC7FAE}"/>
    <cellStyle name="Normal 26 2 4 3" xfId="32151" xr:uid="{6CC35906-991E-411A-A390-29A839558169}"/>
    <cellStyle name="Normal 26 2 5" xfId="13535" xr:uid="{8DA97794-96A1-40DF-B942-EB0C9B6BC9B9}"/>
    <cellStyle name="Normal 26 2 5 2" xfId="32152" xr:uid="{DCC394F9-3C8E-47D5-B913-32924C7F2F37}"/>
    <cellStyle name="Normal 26 2 5 3" xfId="32153" xr:uid="{22F871AC-5A04-4A79-A566-8C99859425DA}"/>
    <cellStyle name="Normal 26 2 6" xfId="13536" xr:uid="{ACB9EACA-7FB2-402D-987C-4094EB1157DF}"/>
    <cellStyle name="Normal 26 2 6 2" xfId="32154" xr:uid="{E5CF8B48-CD9A-4E67-B6BA-D0F2C63E5236}"/>
    <cellStyle name="Normal 26 2 6 3" xfId="32155" xr:uid="{0B083E2B-1721-4FDF-9046-27D4B302455D}"/>
    <cellStyle name="Normal 26 2 7" xfId="13537" xr:uid="{AE2B4702-472F-4C88-B25F-8CBDD3AF6B4A}"/>
    <cellStyle name="Normal 26 2 7 2" xfId="32156" xr:uid="{95E97EC5-24BC-47DE-88D8-96217B629DCD}"/>
    <cellStyle name="Normal 26 2 7 3" xfId="32157" xr:uid="{9734FA25-5801-40BC-A69E-AC8B1E039F85}"/>
    <cellStyle name="Normal 26 2 8" xfId="13538" xr:uid="{CC94DF1E-D77E-4843-88A5-1644BCB1B936}"/>
    <cellStyle name="Normal 26 2 8 2" xfId="32158" xr:uid="{8D87F2D4-5A21-4CCA-BE63-1BC7CD094B62}"/>
    <cellStyle name="Normal 26 2 8 3" xfId="32159" xr:uid="{123F0D02-2536-452D-B159-74532180DFA2}"/>
    <cellStyle name="Normal 26 2 9" xfId="13539" xr:uid="{206629E6-87CF-41B4-9EEA-02C2AD591BDA}"/>
    <cellStyle name="Normal 26 2 9 2" xfId="32160" xr:uid="{99A4EEDC-CC93-4CE7-A1A8-F525B71D8446}"/>
    <cellStyle name="Normal 26 2 9 3" xfId="32161" xr:uid="{7CDCE03B-1E27-41E8-8D3E-01833D407A35}"/>
    <cellStyle name="Normal 26 3" xfId="13540" xr:uid="{0178984F-4013-455C-BA28-DB469B375C5A}"/>
    <cellStyle name="Normal 26 3 10" xfId="13541" xr:uid="{AAAAB6FB-80DB-420B-AF76-E969617837C8}"/>
    <cellStyle name="Normal 26 3 10 2" xfId="32162" xr:uid="{BCE17F4D-8D65-4698-B767-615FC06FC15A}"/>
    <cellStyle name="Normal 26 3 10 3" xfId="32163" xr:uid="{C850E780-D5AF-4E16-B06D-DC4E621BBCB9}"/>
    <cellStyle name="Normal 26 3 11" xfId="32164" xr:uid="{06BF2C3D-E7ED-4F61-B3FD-A3FC8B818A0F}"/>
    <cellStyle name="Normal 26 3 12" xfId="32165" xr:uid="{2B33A3C6-89BF-4ED5-A53C-E88EBE2C77AC}"/>
    <cellStyle name="Normal 26 3 13" xfId="32166" xr:uid="{C2206997-BF1C-4259-93D6-5D23051F8A48}"/>
    <cellStyle name="Normal 26 3 2" xfId="13542" xr:uid="{C4EED34F-012F-44DD-9B39-5378DFF6403F}"/>
    <cellStyle name="Normal 26 3 2 2" xfId="32167" xr:uid="{42C6A86E-3A1D-4AE6-8B92-50B2587BCD89}"/>
    <cellStyle name="Normal 26 3 2 3" xfId="32168" xr:uid="{65B65E77-7305-4BA1-8E04-6A8AA455003F}"/>
    <cellStyle name="Normal 26 3 3" xfId="13543" xr:uid="{4820C754-A876-428A-9E12-A4DA64CB07F2}"/>
    <cellStyle name="Normal 26 3 3 2" xfId="32169" xr:uid="{7CF444DC-B3E6-47B8-8881-F1C77AC53C1D}"/>
    <cellStyle name="Normal 26 3 3 3" xfId="32170" xr:uid="{E81B19FE-B714-4735-BFC1-A36563241EF6}"/>
    <cellStyle name="Normal 26 3 4" xfId="13544" xr:uid="{06BE6CC8-596F-48F6-9BD4-DE4B510088D4}"/>
    <cellStyle name="Normal 26 3 4 2" xfId="32171" xr:uid="{91C3AD54-5EBC-4A77-94AF-3E565DC1FE8C}"/>
    <cellStyle name="Normal 26 3 4 3" xfId="32172" xr:uid="{B78E5AF1-7201-4621-B6CF-8C48563F0A55}"/>
    <cellStyle name="Normal 26 3 5" xfId="13545" xr:uid="{3C673C89-660F-420C-91CD-5C10F5867102}"/>
    <cellStyle name="Normal 26 3 5 2" xfId="32173" xr:uid="{4B415DAD-62C0-460F-9580-D55440420926}"/>
    <cellStyle name="Normal 26 3 5 3" xfId="32174" xr:uid="{40E9AD7D-C9B6-4DE0-9395-9251B05D6C65}"/>
    <cellStyle name="Normal 26 3 6" xfId="13546" xr:uid="{5A50A9DD-CBBC-47CC-A7C1-9113B180BA0B}"/>
    <cellStyle name="Normal 26 3 6 2" xfId="32175" xr:uid="{C0ECE0AB-67BA-41D0-AF41-07D22DAB6589}"/>
    <cellStyle name="Normal 26 3 6 3" xfId="32176" xr:uid="{979622B0-F27F-42D3-A929-807E4D16B037}"/>
    <cellStyle name="Normal 26 3 7" xfId="13547" xr:uid="{E28DB276-CDE2-4476-B39E-7C8B29BB8BD2}"/>
    <cellStyle name="Normal 26 3 7 2" xfId="32177" xr:uid="{66854ACB-F0E5-4021-915D-A069D6F79BD9}"/>
    <cellStyle name="Normal 26 3 7 3" xfId="32178" xr:uid="{40A3C54C-8A8B-44FF-8EB4-B4BBDC3868FC}"/>
    <cellStyle name="Normal 26 3 8" xfId="13548" xr:uid="{FC2AD315-E0FF-477F-81DA-07F4D2EECF6F}"/>
    <cellStyle name="Normal 26 3 8 2" xfId="32179" xr:uid="{8054A050-F63A-46D8-82C5-BD7179BBD022}"/>
    <cellStyle name="Normal 26 3 8 3" xfId="32180" xr:uid="{194A7DE5-DE9E-4D6F-830A-948F7E6649CA}"/>
    <cellStyle name="Normal 26 3 9" xfId="13549" xr:uid="{1FA9E882-7007-4DE7-AEB7-19E3908B9B7E}"/>
    <cellStyle name="Normal 26 3 9 2" xfId="32181" xr:uid="{9EC06AF4-A0E5-4ADD-91C4-A667D19EEFE9}"/>
    <cellStyle name="Normal 26 3 9 3" xfId="32182" xr:uid="{DC7426E5-DE33-4EDD-8E5B-7229A5FDEB12}"/>
    <cellStyle name="Normal 26 4" xfId="13550" xr:uid="{54BAEFCE-952A-446F-876B-09D0B52914DC}"/>
    <cellStyle name="Normal 26 4 2" xfId="32183" xr:uid="{3524F3EC-AA8A-476F-941B-168562E6A5FD}"/>
    <cellStyle name="Normal 26 4 3" xfId="32184" xr:uid="{F0842585-FDD7-42E7-88EB-252D219B0A56}"/>
    <cellStyle name="Normal 26 5" xfId="13551" xr:uid="{E9576A8E-F4F0-4EC4-BEBA-DDF02FBD2544}"/>
    <cellStyle name="Normal 26 5 2" xfId="32185" xr:uid="{B4240270-86FF-4898-966A-282530C473CF}"/>
    <cellStyle name="Normal 26 5 3" xfId="32186" xr:uid="{F4D4739D-67E8-4845-B74F-39089E7EC44D}"/>
    <cellStyle name="Normal 26 6" xfId="13552" xr:uid="{92398536-6FB5-441E-87EF-0796DAB4F7AC}"/>
    <cellStyle name="Normal 26 6 2" xfId="32187" xr:uid="{00969D25-99B4-47CC-ADE8-A8685D555F6C}"/>
    <cellStyle name="Normal 26 6 3" xfId="32188" xr:uid="{E20E391A-EABD-48D1-93E1-42E234A6DC2D}"/>
    <cellStyle name="Normal 26 7" xfId="13553" xr:uid="{FFCBD477-A7D0-4BDC-99A1-41857A4527D1}"/>
    <cellStyle name="Normal 26 7 2" xfId="32189" xr:uid="{55A1026C-504C-417C-9BAE-85114861C82D}"/>
    <cellStyle name="Normal 26 7 3" xfId="32190" xr:uid="{88DA5B31-7482-4346-938D-5D798B957340}"/>
    <cellStyle name="Normal 26 8" xfId="13554" xr:uid="{3FD9ACB9-AD2A-4155-99F0-62B9B6B6F7D1}"/>
    <cellStyle name="Normal 26 8 2" xfId="32191" xr:uid="{D347D317-49CC-4657-A4AC-08ADBC690059}"/>
    <cellStyle name="Normal 26 8 3" xfId="32192" xr:uid="{530F3748-42B4-4D68-98EE-CAD799F649C1}"/>
    <cellStyle name="Normal 26 9" xfId="13555" xr:uid="{750289E7-8802-426B-9BDE-C8F17D18573E}"/>
    <cellStyle name="Normal 26 9 2" xfId="32193" xr:uid="{836C3902-305E-463F-87BF-58093DDEB49E}"/>
    <cellStyle name="Normal 26 9 3" xfId="32194" xr:uid="{ECB853E8-DD79-4AC7-8CDF-8883783B84F2}"/>
    <cellStyle name="Normal 27" xfId="13556" xr:uid="{8E979930-86E9-4EEA-B209-F4CF0DD72C59}"/>
    <cellStyle name="Normal 27 10" xfId="13557" xr:uid="{04CC56C0-CC92-4871-90AE-270DE5A649D6}"/>
    <cellStyle name="Normal 27 10 2" xfId="32195" xr:uid="{5CCA9401-96D2-40CA-8398-2B7F5455A3ED}"/>
    <cellStyle name="Normal 27 10 3" xfId="32196" xr:uid="{249E492D-3300-4967-9C0F-DBCCC901D577}"/>
    <cellStyle name="Normal 27 11" xfId="13558" xr:uid="{482B3922-B9DE-4F20-9B46-6D0FE358C1CD}"/>
    <cellStyle name="Normal 27 11 2" xfId="32197" xr:uid="{F7DFB66B-F8ED-4B12-B56E-C60869D2EE18}"/>
    <cellStyle name="Normal 27 11 3" xfId="32198" xr:uid="{6DFF79A0-4D05-467C-B97B-CA7FC29FD5FE}"/>
    <cellStyle name="Normal 27 12" xfId="13559" xr:uid="{BB899230-F361-46F3-AFD4-8CED6B2CAE62}"/>
    <cellStyle name="Normal 27 12 2" xfId="32199" xr:uid="{0DD4525E-EDF3-4B9B-872D-86241BBFCED0}"/>
    <cellStyle name="Normal 27 12 3" xfId="32200" xr:uid="{6922EA77-E30F-48F1-9D97-815203FC270F}"/>
    <cellStyle name="Normal 27 13" xfId="32201" xr:uid="{F99A3C1B-FE45-4971-B900-9954534984D3}"/>
    <cellStyle name="Normal 27 2" xfId="13560" xr:uid="{81A0E8C3-D415-494A-90E7-AA526C1FD389}"/>
    <cellStyle name="Normal 27 2 10" xfId="13561" xr:uid="{1F31F945-B111-4EA0-B8A9-AB2E03665376}"/>
    <cellStyle name="Normal 27 2 10 2" xfId="32202" xr:uid="{B65E3C42-DE80-4787-A5E4-DC834DC68C20}"/>
    <cellStyle name="Normal 27 2 10 3" xfId="32203" xr:uid="{460C233F-B0D7-4778-AAD9-27917586D548}"/>
    <cellStyle name="Normal 27 2 11" xfId="32204" xr:uid="{048CC28F-E656-4D34-825D-FEFFA4736C72}"/>
    <cellStyle name="Normal 27 2 12" xfId="32205" xr:uid="{00E36148-429A-4AF2-BEAE-368FBC24FB6C}"/>
    <cellStyle name="Normal 27 2 13" xfId="32206" xr:uid="{6E56EE7C-2E53-4D54-8286-4D38B8A31D9D}"/>
    <cellStyle name="Normal 27 2 2" xfId="13562" xr:uid="{039B6565-AC4C-4CB5-9102-1FB055456BAF}"/>
    <cellStyle name="Normal 27 2 2 2" xfId="32207" xr:uid="{2761758A-E470-4FC3-A4D3-FC7D3A6EB8A0}"/>
    <cellStyle name="Normal 27 2 2 3" xfId="32208" xr:uid="{D9A0D4AB-9542-4F13-8592-43E9F5AE8698}"/>
    <cellStyle name="Normal 27 2 3" xfId="13563" xr:uid="{1ACFECB3-0F60-4F7E-9BB8-5D9D647C9287}"/>
    <cellStyle name="Normal 27 2 3 2" xfId="32209" xr:uid="{1D2596FE-B52B-44B3-8D04-49E883C7C7CF}"/>
    <cellStyle name="Normal 27 2 3 3" xfId="32210" xr:uid="{C73DCCD5-D2E1-4C36-9F63-3CC8DCE609D3}"/>
    <cellStyle name="Normal 27 2 4" xfId="13564" xr:uid="{B94C3A58-C505-4BD9-83A9-46774FE3E983}"/>
    <cellStyle name="Normal 27 2 4 2" xfId="32211" xr:uid="{D38804F9-2450-43B2-894B-F787F4C1F8A6}"/>
    <cellStyle name="Normal 27 2 4 3" xfId="32212" xr:uid="{DE3317ED-ED2B-477C-B114-0B0A32975F2D}"/>
    <cellStyle name="Normal 27 2 5" xfId="13565" xr:uid="{89EBCFED-80FA-4DEF-8BD0-243DF6CA3FAF}"/>
    <cellStyle name="Normal 27 2 5 2" xfId="32213" xr:uid="{BFBAAEA9-CF48-48F8-BC19-9ABF98145CFF}"/>
    <cellStyle name="Normal 27 2 5 3" xfId="32214" xr:uid="{B541F47F-9D54-4CAC-83F3-0A5EC260EB00}"/>
    <cellStyle name="Normal 27 2 6" xfId="13566" xr:uid="{E3A8F2C5-FAF8-47C1-8BE9-CEB1683097AD}"/>
    <cellStyle name="Normal 27 2 6 2" xfId="32215" xr:uid="{5A3B73E0-BDEF-462B-B8E0-0F06D41D6567}"/>
    <cellStyle name="Normal 27 2 6 3" xfId="32216" xr:uid="{79C83D93-0CB9-4E95-A5CD-30EB67814826}"/>
    <cellStyle name="Normal 27 2 7" xfId="13567" xr:uid="{F7D7D26E-035B-4A60-B274-781B665FD57B}"/>
    <cellStyle name="Normal 27 2 7 2" xfId="32217" xr:uid="{2FE10360-421C-4E68-9B78-0ED04188EE5B}"/>
    <cellStyle name="Normal 27 2 7 3" xfId="32218" xr:uid="{F74F1E87-C1C1-4A72-82EC-B7522631485C}"/>
    <cellStyle name="Normal 27 2 8" xfId="13568" xr:uid="{CB8E10F7-A166-4F27-BEAD-E417D917E17E}"/>
    <cellStyle name="Normal 27 2 8 2" xfId="32219" xr:uid="{FA73DD97-D731-43D0-80C6-AAF1A43588C1}"/>
    <cellStyle name="Normal 27 2 8 3" xfId="32220" xr:uid="{81F3330F-6205-4305-A68C-202A1EDB137C}"/>
    <cellStyle name="Normal 27 2 9" xfId="13569" xr:uid="{33548688-3354-4A6C-8D53-1FA776B83AD6}"/>
    <cellStyle name="Normal 27 2 9 2" xfId="32221" xr:uid="{E5A3F468-F0AE-4221-B755-CF85B9D31588}"/>
    <cellStyle name="Normal 27 2 9 3" xfId="32222" xr:uid="{0C335F7F-2E05-4FF1-B279-53D17F8ED47F}"/>
    <cellStyle name="Normal 27 3" xfId="13570" xr:uid="{BA344890-20F1-40B7-BF5A-15C5306FE7A6}"/>
    <cellStyle name="Normal 27 3 10" xfId="13571" xr:uid="{143E6D4D-9402-4A28-8378-F250040D0020}"/>
    <cellStyle name="Normal 27 3 10 2" xfId="32223" xr:uid="{30F5989E-D1EA-482C-A5AC-785569E22646}"/>
    <cellStyle name="Normal 27 3 10 3" xfId="32224" xr:uid="{40B78E8E-D9D2-45BD-AF92-69530E3C4479}"/>
    <cellStyle name="Normal 27 3 11" xfId="32225" xr:uid="{370C8E16-7498-43CA-9125-45C85953E0F1}"/>
    <cellStyle name="Normal 27 3 12" xfId="32226" xr:uid="{590D0E80-921A-4222-8DE7-DFE587D9626E}"/>
    <cellStyle name="Normal 27 3 2" xfId="13572" xr:uid="{48F97D93-7FDD-48AB-A6F2-22B77151F568}"/>
    <cellStyle name="Normal 27 3 2 2" xfId="32227" xr:uid="{F72DB106-F7D6-4306-BFF3-3C349020CBDF}"/>
    <cellStyle name="Normal 27 3 2 3" xfId="32228" xr:uid="{09746E18-03F2-443D-BA9E-FC14FC80B0BD}"/>
    <cellStyle name="Normal 27 3 3" xfId="13573" xr:uid="{3F42B236-D03A-4ED0-8BEC-2BD11ADD9275}"/>
    <cellStyle name="Normal 27 3 3 2" xfId="32229" xr:uid="{84A52CEF-4B46-4190-9AC5-79915864D5BA}"/>
    <cellStyle name="Normal 27 3 3 3" xfId="32230" xr:uid="{B289A7F9-35CD-426B-A5C5-30306141DA04}"/>
    <cellStyle name="Normal 27 3 4" xfId="13574" xr:uid="{14941D80-EEA6-4FE4-B954-03CCB4C9A88C}"/>
    <cellStyle name="Normal 27 3 4 2" xfId="32231" xr:uid="{A63847BC-D5EB-497C-A384-A2C42DAE19B9}"/>
    <cellStyle name="Normal 27 3 4 3" xfId="32232" xr:uid="{C24ADF63-1182-41F7-9A91-7AE79BEA9B38}"/>
    <cellStyle name="Normal 27 3 5" xfId="13575" xr:uid="{92CB5420-819E-4D70-B216-3B21D273886D}"/>
    <cellStyle name="Normal 27 3 5 2" xfId="32233" xr:uid="{DBE338BB-EC43-4A8C-9499-062A42D3F94E}"/>
    <cellStyle name="Normal 27 3 5 3" xfId="32234" xr:uid="{E634981C-1AF0-4038-9192-357BF866153C}"/>
    <cellStyle name="Normal 27 3 6" xfId="13576" xr:uid="{BD1FCC99-E92B-413E-9D2B-2001D91B72B3}"/>
    <cellStyle name="Normal 27 3 6 2" xfId="32235" xr:uid="{A8AA4FCA-C927-4132-A9AB-949BF7D4CAD5}"/>
    <cellStyle name="Normal 27 3 6 3" xfId="32236" xr:uid="{B89FAAF2-6B64-478F-A524-DCD05F6EF00C}"/>
    <cellStyle name="Normal 27 3 7" xfId="13577" xr:uid="{44B37B67-EA7D-4502-B149-334D2E797A65}"/>
    <cellStyle name="Normal 27 3 7 2" xfId="32237" xr:uid="{FAF9A80B-6118-4804-B24D-EE7735FF6933}"/>
    <cellStyle name="Normal 27 3 7 3" xfId="32238" xr:uid="{55783E17-8416-4913-BC7E-EEBA95CAA7B7}"/>
    <cellStyle name="Normal 27 3 8" xfId="13578" xr:uid="{1C5E4C7B-740D-4E46-9214-F7D40E4D09D1}"/>
    <cellStyle name="Normal 27 3 8 2" xfId="32239" xr:uid="{A705E542-04DE-4BC2-88EC-338362ADA616}"/>
    <cellStyle name="Normal 27 3 8 3" xfId="32240" xr:uid="{EB705D33-03D4-47BE-97F4-6F8DD8EEBA1D}"/>
    <cellStyle name="Normal 27 3 9" xfId="13579" xr:uid="{DABCF21D-7232-465C-8A72-DE6246C90159}"/>
    <cellStyle name="Normal 27 3 9 2" xfId="32241" xr:uid="{50E2776E-163A-4828-A06C-FC9A16BA5B12}"/>
    <cellStyle name="Normal 27 3 9 3" xfId="32242" xr:uid="{97EABE7C-EA0E-4673-AC8A-8C9F9DC13E4E}"/>
    <cellStyle name="Normal 27 4" xfId="13580" xr:uid="{89633891-06E6-465E-92E3-511B15072052}"/>
    <cellStyle name="Normal 27 4 2" xfId="32243" xr:uid="{0D09DAF6-4397-4B05-BA73-45148718C99E}"/>
    <cellStyle name="Normal 27 4 3" xfId="32244" xr:uid="{D278BC65-3F4C-48CE-BFAC-F414DA51DA0F}"/>
    <cellStyle name="Normal 27 5" xfId="13581" xr:uid="{6CC0A8DD-42E1-4748-89CF-50762732F543}"/>
    <cellStyle name="Normal 27 5 2" xfId="32245" xr:uid="{1667405C-F089-43BB-9614-14497D6D3CA1}"/>
    <cellStyle name="Normal 27 5 3" xfId="32246" xr:uid="{2E39A1EC-935E-4E15-BB65-65E09DD6E7E9}"/>
    <cellStyle name="Normal 27 6" xfId="13582" xr:uid="{87FFF2B6-4A00-4B2F-B3DD-BC48E6535FA5}"/>
    <cellStyle name="Normal 27 6 2" xfId="32247" xr:uid="{6048EB84-A38E-4403-9052-F5CF241056E9}"/>
    <cellStyle name="Normal 27 6 3" xfId="32248" xr:uid="{CE49100F-76C2-483B-B6D5-BE7891469C65}"/>
    <cellStyle name="Normal 27 7" xfId="13583" xr:uid="{3E9D03FC-D9CD-4900-B626-0E4B50D7D8EE}"/>
    <cellStyle name="Normal 27 7 2" xfId="32249" xr:uid="{3756DE7F-11BD-4C54-A32D-471CD3E1AF16}"/>
    <cellStyle name="Normal 27 7 3" xfId="32250" xr:uid="{5052B242-DB00-4E68-93E9-B58A7C3014F8}"/>
    <cellStyle name="Normal 27 8" xfId="13584" xr:uid="{70B28E20-95D8-4D93-8CA6-542324F56BCC}"/>
    <cellStyle name="Normal 27 8 2" xfId="32251" xr:uid="{2D39B4DF-EB3C-43A3-B425-590227CD83C2}"/>
    <cellStyle name="Normal 27 8 3" xfId="32252" xr:uid="{176C8D27-4DBC-4D65-83D7-AFEAAD967D02}"/>
    <cellStyle name="Normal 27 9" xfId="13585" xr:uid="{D8442E2F-C259-4B74-AD84-1F69201971C0}"/>
    <cellStyle name="Normal 27 9 2" xfId="32253" xr:uid="{46D6C763-CD26-420A-89CA-DA50F0CFBF40}"/>
    <cellStyle name="Normal 27 9 3" xfId="32254" xr:uid="{23D1F7BA-6C2A-41F8-A9B7-9164E9594278}"/>
    <cellStyle name="Normal 28" xfId="13586" xr:uid="{EC708454-C54E-4E1A-AA07-441EF249BB2D}"/>
    <cellStyle name="Normal 28 10" xfId="13587" xr:uid="{68E565DB-2A1A-4C21-BC1C-179682212B30}"/>
    <cellStyle name="Normal 28 10 2" xfId="32255" xr:uid="{A44198BF-CC54-41AB-A1C7-D98B04726FF9}"/>
    <cellStyle name="Normal 28 10 3" xfId="32256" xr:uid="{6FFD6085-1B61-47A2-A98E-84E6853F8404}"/>
    <cellStyle name="Normal 28 11" xfId="13588" xr:uid="{877CD3B0-1E96-47FC-992B-CE1EC1EA67C4}"/>
    <cellStyle name="Normal 28 11 2" xfId="32257" xr:uid="{7BD128F1-5B25-4843-97B7-DA4D05AFE9B9}"/>
    <cellStyle name="Normal 28 11 3" xfId="32258" xr:uid="{46812907-7F69-4EE2-99FE-7C7591366F48}"/>
    <cellStyle name="Normal 28 12" xfId="13589" xr:uid="{ADE94CCC-B64F-48FA-806B-990E28142EE1}"/>
    <cellStyle name="Normal 28 12 2" xfId="32259" xr:uid="{49792255-A54F-4F92-A7D6-2150E7028664}"/>
    <cellStyle name="Normal 28 12 3" xfId="32260" xr:uid="{618E250A-7562-4A5D-AFDE-9647B03ABC0C}"/>
    <cellStyle name="Normal 28 13" xfId="13590" xr:uid="{95402A76-9306-4614-8CD2-0354639DE071}"/>
    <cellStyle name="Normal 28 13 2" xfId="32261" xr:uid="{0C217790-80A2-4EA9-9F3D-930ACF05427F}"/>
    <cellStyle name="Normal 28 13 3" xfId="32262" xr:uid="{EAFBD52F-7572-464C-959B-B802A3F8C356}"/>
    <cellStyle name="Normal 28 14" xfId="32263" xr:uid="{5C5F34D6-87FF-4ABE-8279-0D6D53F891AD}"/>
    <cellStyle name="Normal 28 2" xfId="13591" xr:uid="{4A5F4D63-8663-4B10-8E69-EA086CE44233}"/>
    <cellStyle name="Normal 28 2 10" xfId="13592" xr:uid="{C1D019C7-4425-4077-BE80-671022E27765}"/>
    <cellStyle name="Normal 28 2 10 2" xfId="32264" xr:uid="{E3B30122-CBFB-41DE-9EEB-B6032CEE534F}"/>
    <cellStyle name="Normal 28 2 10 3" xfId="32265" xr:uid="{AF0940C0-D52A-4B5C-916E-2A218A9639A8}"/>
    <cellStyle name="Normal 28 2 11" xfId="13593" xr:uid="{42B292FB-528F-4B66-8E82-F83F25DA586A}"/>
    <cellStyle name="Normal 28 2 11 2" xfId="32266" xr:uid="{B4DE90B7-5BA1-4978-A668-BAC0D7D08E00}"/>
    <cellStyle name="Normal 28 2 11 3" xfId="32267" xr:uid="{1B5A9746-97E7-44CF-9573-9DF2B7D934C0}"/>
    <cellStyle name="Normal 28 2 12" xfId="13594" xr:uid="{F3C53C69-CEEC-404F-866C-20262CB11EBB}"/>
    <cellStyle name="Normal 28 2 13" xfId="32268" xr:uid="{5F1A7521-60F2-44E2-8E16-8659A6EAA9C9}"/>
    <cellStyle name="Normal 28 2 2" xfId="13595" xr:uid="{E87A0972-FF24-4F5C-A982-E9F6A35C77A8}"/>
    <cellStyle name="Normal 28 2 2 2" xfId="32269" xr:uid="{2A60C31E-DC73-46D0-A7A1-66CB3D66E0DD}"/>
    <cellStyle name="Normal 28 2 2 3" xfId="32270" xr:uid="{4C559F98-A0E5-4598-817C-D13D0DAE8E8C}"/>
    <cellStyle name="Normal 28 2 3" xfId="13596" xr:uid="{039BCE00-CC42-4522-9D84-3E7B35BEE183}"/>
    <cellStyle name="Normal 28 2 3 2" xfId="32271" xr:uid="{628AAF9B-345C-4F99-805A-F888692E84AC}"/>
    <cellStyle name="Normal 28 2 3 3" xfId="32272" xr:uid="{84E7F8F2-7CA6-408B-AED7-0573AA1C9C76}"/>
    <cellStyle name="Normal 28 2 4" xfId="13597" xr:uid="{153FED61-953E-41DD-BAF4-9D468210946A}"/>
    <cellStyle name="Normal 28 2 4 2" xfId="32273" xr:uid="{6071122D-9DC5-44BC-83DF-F17E84D32D59}"/>
    <cellStyle name="Normal 28 2 4 3" xfId="32274" xr:uid="{828CA5CB-279A-4718-8E57-E759EBEEFD40}"/>
    <cellStyle name="Normal 28 2 5" xfId="13598" xr:uid="{B32965F2-4CED-424C-AF44-17F03A47AC25}"/>
    <cellStyle name="Normal 28 2 5 2" xfId="32275" xr:uid="{F24FD647-FCE1-450B-AD5B-D65B9AEB9326}"/>
    <cellStyle name="Normal 28 2 5 3" xfId="32276" xr:uid="{75A9C6DE-E3DF-4FAA-8568-4559B5DFE325}"/>
    <cellStyle name="Normal 28 2 6" xfId="13599" xr:uid="{3E433EA3-084F-4AE6-B8ED-ECBAB038CAD8}"/>
    <cellStyle name="Normal 28 2 6 2" xfId="32277" xr:uid="{D4179A5D-3D53-48AD-9CE4-1F59DB2F3A35}"/>
    <cellStyle name="Normal 28 2 6 3" xfId="32278" xr:uid="{6B1A031C-2179-46D2-BEC4-240773D2906D}"/>
    <cellStyle name="Normal 28 2 7" xfId="13600" xr:uid="{E14AA0C4-AB3F-4633-B829-D7B73C1F2FF9}"/>
    <cellStyle name="Normal 28 2 7 2" xfId="32279" xr:uid="{8FDE4A0E-6644-4664-90ED-6BA63CC6D7CC}"/>
    <cellStyle name="Normal 28 2 7 3" xfId="32280" xr:uid="{46E16989-63C9-430E-9DD2-69802CF992AB}"/>
    <cellStyle name="Normal 28 2 8" xfId="13601" xr:uid="{97B2ADBC-6538-4A49-BCEB-EDD101B1F242}"/>
    <cellStyle name="Normal 28 2 8 2" xfId="32281" xr:uid="{2844337A-BDB0-47F5-8E66-F8E1A8820679}"/>
    <cellStyle name="Normal 28 2 8 3" xfId="32282" xr:uid="{47926B91-9085-4C6B-B2E8-3C8D376C9D5E}"/>
    <cellStyle name="Normal 28 2 9" xfId="13602" xr:uid="{3924CB42-FCAE-4197-87E6-90B28472291C}"/>
    <cellStyle name="Normal 28 2 9 2" xfId="32283" xr:uid="{9DDF69C6-3CBA-4977-AAF5-7E7C8DF05660}"/>
    <cellStyle name="Normal 28 2 9 3" xfId="32284" xr:uid="{F4BF528C-0336-4EFA-B911-EAF51CB97F99}"/>
    <cellStyle name="Normal 28 3" xfId="13603" xr:uid="{334433E0-8EAE-42A6-9C70-AA0C38C4CDA1}"/>
    <cellStyle name="Normal 28 3 10" xfId="13604" xr:uid="{BE8A01D0-AC14-4706-BB46-9BED97F1ECF5}"/>
    <cellStyle name="Normal 28 3 10 2" xfId="32285" xr:uid="{9E374FBC-920C-46AA-81C7-A9E3749F8DE6}"/>
    <cellStyle name="Normal 28 3 10 3" xfId="32286" xr:uid="{12443AC1-42FF-4F2A-880C-1889C944E028}"/>
    <cellStyle name="Normal 28 3 11" xfId="13605" xr:uid="{1FB7DDA2-CDC8-47C6-90C3-38453852701F}"/>
    <cellStyle name="Normal 28 3 12" xfId="13606" xr:uid="{A668B536-E143-483F-8F69-480B2F727327}"/>
    <cellStyle name="Normal 28 3 13" xfId="32287" xr:uid="{FA8BCF8E-E84D-47CC-9F1E-499850F82E5C}"/>
    <cellStyle name="Normal 28 3 2" xfId="13607" xr:uid="{FE3EA184-A693-4D61-93A8-18B27EF8C15D}"/>
    <cellStyle name="Normal 28 3 2 2" xfId="32288" xr:uid="{2E9F412E-3308-4C71-9BC4-E8C46580A988}"/>
    <cellStyle name="Normal 28 3 2 3" xfId="32289" xr:uid="{04E1648C-ED61-4678-8609-423007E65E22}"/>
    <cellStyle name="Normal 28 3 3" xfId="13608" xr:uid="{16FFD034-7450-47BB-B162-2D7B8B8BED5C}"/>
    <cellStyle name="Normal 28 3 3 2" xfId="32290" xr:uid="{1A5FB7C6-A1A5-400A-AC9E-710105DDBB2E}"/>
    <cellStyle name="Normal 28 3 3 3" xfId="32291" xr:uid="{4565B05A-97FB-448F-89E6-30B298F51D76}"/>
    <cellStyle name="Normal 28 3 4" xfId="13609" xr:uid="{4194EAEC-5458-49D0-B3AB-66FBDB4267CF}"/>
    <cellStyle name="Normal 28 3 4 2" xfId="32292" xr:uid="{19398C54-4E2B-4458-8CA8-FD924756B5FD}"/>
    <cellStyle name="Normal 28 3 4 3" xfId="32293" xr:uid="{626970DB-7FDC-4611-BD7C-26D6261FD42C}"/>
    <cellStyle name="Normal 28 3 5" xfId="13610" xr:uid="{1D1D503C-27DF-4C2F-8B12-1BDDA3721B6D}"/>
    <cellStyle name="Normal 28 3 5 2" xfId="32294" xr:uid="{3BE28A16-AD9F-41E9-A603-2E5D07C50805}"/>
    <cellStyle name="Normal 28 3 5 3" xfId="32295" xr:uid="{515051C2-6252-43E2-B06B-600557183579}"/>
    <cellStyle name="Normal 28 3 6" xfId="13611" xr:uid="{69FD3DCB-C515-4774-929E-74338251C630}"/>
    <cellStyle name="Normal 28 3 6 2" xfId="32296" xr:uid="{C23637B1-371E-4436-B3AB-70DE2AC64307}"/>
    <cellStyle name="Normal 28 3 6 3" xfId="32297" xr:uid="{0DC953C9-56B6-495E-9429-94C4A2061379}"/>
    <cellStyle name="Normal 28 3 7" xfId="13612" xr:uid="{8858F0B3-12C7-4F1B-8B04-4720D3084B35}"/>
    <cellStyle name="Normal 28 3 7 2" xfId="32298" xr:uid="{03FA891F-F9AD-42DF-B0C1-F31665FA00C3}"/>
    <cellStyle name="Normal 28 3 7 3" xfId="32299" xr:uid="{B1E91BBE-2063-4F88-9DE6-53B3CEABFF40}"/>
    <cellStyle name="Normal 28 3 8" xfId="13613" xr:uid="{ABBAE164-0937-4ECF-AEA3-0DB6BC2CEE54}"/>
    <cellStyle name="Normal 28 3 8 2" xfId="32300" xr:uid="{49994EBA-6DD7-4E75-8C3A-EE5E955C32F8}"/>
    <cellStyle name="Normal 28 3 8 3" xfId="32301" xr:uid="{89F200A3-C2CC-4CE5-81DC-B30C8F9E8F4E}"/>
    <cellStyle name="Normal 28 3 9" xfId="13614" xr:uid="{5F0D5BE4-F410-47EC-8CAC-6AC2DC5DB655}"/>
    <cellStyle name="Normal 28 3 9 2" xfId="32302" xr:uid="{7405403A-9BC8-42B0-AEBD-20C6E0C8A3B7}"/>
    <cellStyle name="Normal 28 3 9 3" xfId="32303" xr:uid="{7E2D460B-5520-4191-82DF-E31CE4278084}"/>
    <cellStyle name="Normal 28 4" xfId="13615" xr:uid="{EB9FED31-6B70-43C1-B793-DC26D22259CB}"/>
    <cellStyle name="Normal 28 4 2" xfId="32304" xr:uid="{BFE5802B-59B6-4DDA-AEBF-81BDB4270199}"/>
    <cellStyle name="Normal 28 4 3" xfId="32305" xr:uid="{338C1F02-7A80-4689-932F-BD2AA3B7474E}"/>
    <cellStyle name="Normal 28 5" xfId="13616" xr:uid="{16C43EBE-9EB8-44A5-9559-AC2F0A8A396E}"/>
    <cellStyle name="Normal 28 5 2" xfId="32306" xr:uid="{6FC099C0-37D5-4654-B18A-0D20E3F1FE70}"/>
    <cellStyle name="Normal 28 5 3" xfId="32307" xr:uid="{9BAE03E1-796F-4FB7-AFE2-E8CEFED26380}"/>
    <cellStyle name="Normal 28 6" xfId="13617" xr:uid="{B775DB15-6C96-4D25-8280-F7D3404CAB32}"/>
    <cellStyle name="Normal 28 6 2" xfId="32308" xr:uid="{17278628-7829-42A6-968C-753EE166326A}"/>
    <cellStyle name="Normal 28 6 3" xfId="32309" xr:uid="{28DF2572-CD55-4CC1-896E-18376AB19558}"/>
    <cellStyle name="Normal 28 7" xfId="13618" xr:uid="{C0D7BD1E-61F8-4852-B2CB-E897F5F085DD}"/>
    <cellStyle name="Normal 28 7 2" xfId="32310" xr:uid="{94CFC634-1615-4946-853F-E9DDDD725555}"/>
    <cellStyle name="Normal 28 7 3" xfId="32311" xr:uid="{D507C7D6-C204-494C-9789-E3F997975530}"/>
    <cellStyle name="Normal 28 8" xfId="13619" xr:uid="{6476AE56-8B92-435F-BE53-A5A298B1FCB3}"/>
    <cellStyle name="Normal 28 8 2" xfId="32312" xr:uid="{804E5B33-ECA5-423B-9292-15F1D38F1D55}"/>
    <cellStyle name="Normal 28 8 3" xfId="32313" xr:uid="{346BC7CF-44CA-4CE3-8BE7-FCA7C39FB939}"/>
    <cellStyle name="Normal 28 9" xfId="13620" xr:uid="{D295D9C8-AA92-409F-A1DE-34C9654DC12A}"/>
    <cellStyle name="Normal 28 9 2" xfId="32314" xr:uid="{DAE5280A-9B04-4940-8585-41808ADE31CE}"/>
    <cellStyle name="Normal 28 9 3" xfId="32315" xr:uid="{F06F5FCD-862A-4CF0-B907-62AC1CEB74F7}"/>
    <cellStyle name="Normal 29" xfId="13621" xr:uid="{AB7EBE51-7170-4198-B798-6CF3DD07EED0}"/>
    <cellStyle name="Normal 29 10" xfId="13622" xr:uid="{9AD38F69-0DD6-4914-8A38-80B99395B40A}"/>
    <cellStyle name="Normal 29 10 2" xfId="32316" xr:uid="{04C1E8A8-9ECD-4BBD-BC41-A40BE3F45F35}"/>
    <cellStyle name="Normal 29 10 3" xfId="32317" xr:uid="{731CF4A6-1D2D-4FA7-802F-50BE21B91BDB}"/>
    <cellStyle name="Normal 29 11" xfId="13623" xr:uid="{04779869-3268-43E5-ADA9-52103D3FD3EE}"/>
    <cellStyle name="Normal 29 11 2" xfId="32318" xr:uid="{14FA5130-A829-4EDE-B655-E6787448E445}"/>
    <cellStyle name="Normal 29 11 3" xfId="32319" xr:uid="{1ACD1B85-39B2-4A24-86E9-304A9D8992A4}"/>
    <cellStyle name="Normal 29 12" xfId="13624" xr:uid="{2465070C-BD43-48B4-994B-3880EB8CCF2F}"/>
    <cellStyle name="Normal 29 12 2" xfId="32320" xr:uid="{4F1BBA43-FF28-4DA7-8015-B8899D628811}"/>
    <cellStyle name="Normal 29 12 3" xfId="32321" xr:uid="{74E22A94-53D8-4611-9CD3-3721EDDB16F3}"/>
    <cellStyle name="Normal 29 13" xfId="13625" xr:uid="{EE21700F-6A45-4103-AD53-EAF17703A304}"/>
    <cellStyle name="Normal 29 13 2" xfId="32322" xr:uid="{6F2A002D-698B-4290-8D01-7D024F18BB34}"/>
    <cellStyle name="Normal 29 13 3" xfId="32323" xr:uid="{7396AA83-AA15-4A3F-8E44-DBD66731E03B}"/>
    <cellStyle name="Normal 29 14" xfId="32324" xr:uid="{EB78EDD8-3F66-4415-A1E5-3B67F455FADD}"/>
    <cellStyle name="Normal 29 2" xfId="13626" xr:uid="{92EB688E-8121-40EC-A4D0-2F9F733AA4D6}"/>
    <cellStyle name="Normal 29 2 10" xfId="13627" xr:uid="{B933C742-7436-4FFE-9E07-4E7481C39486}"/>
    <cellStyle name="Normal 29 2 10 2" xfId="32325" xr:uid="{72389000-3635-48AE-A061-454E94E42297}"/>
    <cellStyle name="Normal 29 2 10 3" xfId="32326" xr:uid="{58FC8FC3-794E-46FB-A6C3-79727B11B7DF}"/>
    <cellStyle name="Normal 29 2 11" xfId="13628" xr:uid="{4D766843-89A6-434F-BB6F-74FDB4B985A0}"/>
    <cellStyle name="Normal 29 2 12" xfId="13629" xr:uid="{D0ACCB4E-B36B-4163-AADD-1EA3F3A4DF3C}"/>
    <cellStyle name="Normal 29 2 13" xfId="32327" xr:uid="{F19105CD-4B60-48CA-87F1-49BE20AF7CD8}"/>
    <cellStyle name="Normal 29 2 2" xfId="13630" xr:uid="{B50BF123-3EF5-437F-A188-4A8FAC8D500E}"/>
    <cellStyle name="Normal 29 2 2 2" xfId="32328" xr:uid="{B65AA86C-4734-46D3-830C-BB8625CF87EB}"/>
    <cellStyle name="Normal 29 2 2 3" xfId="32329" xr:uid="{D78A8D93-8163-455D-A1E8-BE776CA56F5D}"/>
    <cellStyle name="Normal 29 2 3" xfId="13631" xr:uid="{0D64868D-E059-4188-843D-040C53991075}"/>
    <cellStyle name="Normal 29 2 3 2" xfId="32330" xr:uid="{24F0A5BA-01AD-4819-975E-7D7D29C3883C}"/>
    <cellStyle name="Normal 29 2 3 3" xfId="32331" xr:uid="{BEB1B93A-E17A-409F-BC12-16395365B6A5}"/>
    <cellStyle name="Normal 29 2 4" xfId="13632" xr:uid="{1C45DF0A-D23C-45AC-AD2B-8D485F5D1135}"/>
    <cellStyle name="Normal 29 2 4 2" xfId="32332" xr:uid="{5DDF6405-C55B-47E5-9822-1D5F39B2DCDA}"/>
    <cellStyle name="Normal 29 2 4 3" xfId="32333" xr:uid="{BDC19ED6-1492-47B5-A33B-C95620BB90A5}"/>
    <cellStyle name="Normal 29 2 5" xfId="13633" xr:uid="{F8B36B21-974C-4AD1-8266-C4C619FF1A3E}"/>
    <cellStyle name="Normal 29 2 5 2" xfId="32334" xr:uid="{BB2CFA0A-A235-429C-8BC1-30E97BDF4995}"/>
    <cellStyle name="Normal 29 2 5 3" xfId="32335" xr:uid="{46219FB5-5207-4AED-87DB-73ADCF4232BC}"/>
    <cellStyle name="Normal 29 2 6" xfId="13634" xr:uid="{2A964786-51A1-44C9-B68F-47633726DD97}"/>
    <cellStyle name="Normal 29 2 6 2" xfId="32336" xr:uid="{B6907A31-3CAF-492A-A646-2D60679F270F}"/>
    <cellStyle name="Normal 29 2 6 3" xfId="32337" xr:uid="{260C7B3E-2DDD-4823-8668-8F7323EAE973}"/>
    <cellStyle name="Normal 29 2 7" xfId="13635" xr:uid="{DFB34688-7D69-4046-AC98-ECB37D66855B}"/>
    <cellStyle name="Normal 29 2 7 2" xfId="32338" xr:uid="{1AB457CD-6E36-48B6-9A2E-42D1E80B4573}"/>
    <cellStyle name="Normal 29 2 7 3" xfId="32339" xr:uid="{D7868B12-14B1-4E04-99CA-48CFC34B49E4}"/>
    <cellStyle name="Normal 29 2 8" xfId="13636" xr:uid="{42E2B9D4-BC89-4F6D-AED3-1B8BA4E18AA7}"/>
    <cellStyle name="Normal 29 2 8 2" xfId="32340" xr:uid="{FD48509A-C66F-4191-9C95-8C18A181D8DD}"/>
    <cellStyle name="Normal 29 2 8 3" xfId="32341" xr:uid="{F83C9B11-31C9-4B16-83F6-968A4F9102DF}"/>
    <cellStyle name="Normal 29 2 9" xfId="13637" xr:uid="{75389E0D-B655-4E4E-BACC-BE138BCDB0CB}"/>
    <cellStyle name="Normal 29 2 9 2" xfId="32342" xr:uid="{49811EE9-18C0-409D-B891-A32C41137CED}"/>
    <cellStyle name="Normal 29 2 9 3" xfId="32343" xr:uid="{81DF33DE-FA05-4A4A-A7C9-E0734EB1E987}"/>
    <cellStyle name="Normal 29 3" xfId="13638" xr:uid="{AEB26251-FB83-443B-A810-B3B134CB5C3D}"/>
    <cellStyle name="Normal 29 3 10" xfId="13639" xr:uid="{FE733B53-D8A3-4944-B610-C96F31149410}"/>
    <cellStyle name="Normal 29 3 10 2" xfId="32344" xr:uid="{8B7E29D6-A3E2-4994-95AE-244851D27AA9}"/>
    <cellStyle name="Normal 29 3 10 3" xfId="32345" xr:uid="{4D97B20E-A544-46A1-8A90-F2F091B7554B}"/>
    <cellStyle name="Normal 29 3 11" xfId="13640" xr:uid="{76438C14-25E0-4B6B-B974-6977CA74E9C7}"/>
    <cellStyle name="Normal 29 3 12" xfId="13641" xr:uid="{BBAFAC83-B8D3-42A2-AB90-587A98C1602B}"/>
    <cellStyle name="Normal 29 3 13" xfId="32346" xr:uid="{4E28643A-A9AB-4F5E-BA4D-9776F556B2B0}"/>
    <cellStyle name="Normal 29 3 2" xfId="13642" xr:uid="{623BD7C5-E6DB-4FF8-81C2-22350883803C}"/>
    <cellStyle name="Normal 29 3 2 2" xfId="32347" xr:uid="{740AA924-CBA5-43E4-8556-2AF98279BE4E}"/>
    <cellStyle name="Normal 29 3 2 3" xfId="32348" xr:uid="{0ECB4160-CE5E-4407-802C-88E1DF64ED26}"/>
    <cellStyle name="Normal 29 3 3" xfId="13643" xr:uid="{6B9976AF-1AA3-4DCE-811F-19DAB28F91FA}"/>
    <cellStyle name="Normal 29 3 3 2" xfId="32349" xr:uid="{7DEF19F8-88FD-4D70-A292-DC151F645D25}"/>
    <cellStyle name="Normal 29 3 3 3" xfId="32350" xr:uid="{BC769EC5-BB36-4545-8F71-D7439ECF36D8}"/>
    <cellStyle name="Normal 29 3 4" xfId="13644" xr:uid="{274DD340-CB1B-42F3-80F0-3CB0E7240AB4}"/>
    <cellStyle name="Normal 29 3 4 2" xfId="32351" xr:uid="{C95DB1F8-71AF-4D5E-948A-E4FCE13D5E00}"/>
    <cellStyle name="Normal 29 3 4 3" xfId="32352" xr:uid="{DC81CB0D-EECE-4294-9BD0-92B6C1F66819}"/>
    <cellStyle name="Normal 29 3 5" xfId="13645" xr:uid="{C7737ECD-66EE-4E64-9342-2BCFCFABAED2}"/>
    <cellStyle name="Normal 29 3 5 2" xfId="32353" xr:uid="{01ACAA9D-FA97-41F3-AB41-B431A3F4F882}"/>
    <cellStyle name="Normal 29 3 5 3" xfId="32354" xr:uid="{1D9B03FD-F211-4E1C-AA65-6D6834D783CB}"/>
    <cellStyle name="Normal 29 3 6" xfId="13646" xr:uid="{8C969294-83CE-442A-BE33-4FC9885E6911}"/>
    <cellStyle name="Normal 29 3 6 2" xfId="32355" xr:uid="{5926F4E5-9A95-4EE4-B6B2-AF38032CA993}"/>
    <cellStyle name="Normal 29 3 6 3" xfId="32356" xr:uid="{1599DF54-C23C-4C39-8AA7-AF9CC2DE8336}"/>
    <cellStyle name="Normal 29 3 7" xfId="13647" xr:uid="{6DCD4EF0-15DF-4599-A486-C6E2CEFDAD30}"/>
    <cellStyle name="Normal 29 3 7 2" xfId="32357" xr:uid="{94703CE6-1CFD-4A9E-924B-BAAB3D66D1DC}"/>
    <cellStyle name="Normal 29 3 7 3" xfId="32358" xr:uid="{189C7998-7108-4EA6-9187-48A055A34FDC}"/>
    <cellStyle name="Normal 29 3 8" xfId="13648" xr:uid="{0776AD71-CB7B-4B89-8E84-36381966041C}"/>
    <cellStyle name="Normal 29 3 8 2" xfId="32359" xr:uid="{AAA13E1F-CDC4-42BF-98AF-F37B17F781E8}"/>
    <cellStyle name="Normal 29 3 8 3" xfId="32360" xr:uid="{DE822D32-CE38-4EA6-8B5E-A302727AD9CD}"/>
    <cellStyle name="Normal 29 3 9" xfId="13649" xr:uid="{B922BB07-2369-41D5-A1B1-6A3BA60A609F}"/>
    <cellStyle name="Normal 29 3 9 2" xfId="32361" xr:uid="{D521E6CC-BD7B-4B8B-8DC4-68EC43795BA0}"/>
    <cellStyle name="Normal 29 3 9 3" xfId="32362" xr:uid="{3148DCC4-3C61-4D2F-84BD-E97E1B509086}"/>
    <cellStyle name="Normal 29 4" xfId="13650" xr:uid="{F85FC351-F1C9-4352-8FA7-F715EE5DBA81}"/>
    <cellStyle name="Normal 29 4 2" xfId="32363" xr:uid="{22CD0322-7697-4E4E-9108-AE38870F2AF3}"/>
    <cellStyle name="Normal 29 4 3" xfId="32364" xr:uid="{AE0B15D8-B799-4E18-8833-31263093F15B}"/>
    <cellStyle name="Normal 29 5" xfId="13651" xr:uid="{4BAA9CA3-3B64-4F06-9AEE-27C6439D7796}"/>
    <cellStyle name="Normal 29 5 2" xfId="32365" xr:uid="{CD79F2CC-E5F9-4CEC-9E76-9DFB53361DE7}"/>
    <cellStyle name="Normal 29 5 3" xfId="32366" xr:uid="{60D720CA-AD44-4B19-B106-41E91503FC49}"/>
    <cellStyle name="Normal 29 6" xfId="13652" xr:uid="{B3C2ECDC-019F-4CD9-8813-2AFA7EEF5A14}"/>
    <cellStyle name="Normal 29 6 2" xfId="32367" xr:uid="{E9667EF5-5B30-493A-85F0-F1C4CA6C0A88}"/>
    <cellStyle name="Normal 29 6 3" xfId="32368" xr:uid="{1524D4C3-E4A3-4E40-9E3E-2E26485FC0CB}"/>
    <cellStyle name="Normal 29 7" xfId="13653" xr:uid="{D1970A58-BFED-4D6F-A2A8-7B511418B4BF}"/>
    <cellStyle name="Normal 29 7 2" xfId="32369" xr:uid="{9627A397-251A-4CAD-81AF-A976D25C22EB}"/>
    <cellStyle name="Normal 29 7 3" xfId="32370" xr:uid="{D5E36FDC-0CC6-4B80-A6B0-4E4FBE1C6C8F}"/>
    <cellStyle name="Normal 29 8" xfId="13654" xr:uid="{C80DEB82-8A2E-4470-AFA0-DF6BF0BED758}"/>
    <cellStyle name="Normal 29 8 2" xfId="32371" xr:uid="{903FA801-2B74-4F6F-959E-7CB8730487F6}"/>
    <cellStyle name="Normal 29 8 3" xfId="32372" xr:uid="{4E321332-EEC5-4CA8-8F4C-D4E9074EEEA7}"/>
    <cellStyle name="Normal 29 9" xfId="13655" xr:uid="{C7BD5F0D-00B0-4129-A1AF-23594988B654}"/>
    <cellStyle name="Normal 29 9 2" xfId="32373" xr:uid="{7923B0C5-56FA-4BF1-A850-863D3188DB96}"/>
    <cellStyle name="Normal 29 9 3" xfId="32374" xr:uid="{1212CDB0-D165-4FE2-8021-E8B2E59AD7A5}"/>
    <cellStyle name="Normal 3" xfId="9" xr:uid="{00000000-0005-0000-0000-00000C000000}"/>
    <cellStyle name="Normal 3 10" xfId="13656" xr:uid="{F9F59E88-7072-4A2A-A2BC-12EF7C12E33D}"/>
    <cellStyle name="Normal 3 10 2" xfId="13657" xr:uid="{63879761-03E9-4F97-B10E-72FE10440C29}"/>
    <cellStyle name="Normal 3 10 2 2" xfId="13658" xr:uid="{044A8BD0-86B9-4411-A605-F9EF00DA26E5}"/>
    <cellStyle name="Normal 3 10 2 3" xfId="13659" xr:uid="{B34263A7-D34E-441C-BB8C-A1B06DC1B7AE}"/>
    <cellStyle name="Normal 3 10 3" xfId="13660" xr:uid="{F981326A-D25C-451C-9450-794DA2D060E5}"/>
    <cellStyle name="Normal 3 10 3 2" xfId="32375" xr:uid="{E462E412-D108-420F-8E60-A5DBCFB27B84}"/>
    <cellStyle name="Normal 3 10 4" xfId="13661" xr:uid="{DE673111-84EC-4583-8CA3-D516978332C2}"/>
    <cellStyle name="Normal 3 11" xfId="13662" xr:uid="{2AB97EBD-320F-4266-80ED-51674001D37C}"/>
    <cellStyle name="Normal 3 11 2" xfId="13663" xr:uid="{D447313C-420A-4F00-92E9-F63AE4C3B3D8}"/>
    <cellStyle name="Normal 3 11 3" xfId="32376" xr:uid="{0DF9AFB1-CE75-4C2E-B4B0-60929AC136BC}"/>
    <cellStyle name="Normal 3 11 4" xfId="32377" xr:uid="{1148408F-861B-48F6-8284-3A8BB6ACA4BC}"/>
    <cellStyle name="Normal 3 12" xfId="13664" xr:uid="{8AE04901-FF14-4680-9E30-44D2BA01B643}"/>
    <cellStyle name="Normal 3 13" xfId="13665" xr:uid="{B4F15CD0-3497-4CF8-B651-DEDBF66616D3}"/>
    <cellStyle name="Normal 3 13 2" xfId="32378" xr:uid="{3DE7354C-6C1B-4C4C-8AE6-A22D8288CB9D}"/>
    <cellStyle name="Normal 3 14" xfId="13666" xr:uid="{6A41FF9E-8DEE-49B5-880D-E4C9A52BFF95}"/>
    <cellStyle name="Normal 3 14 2" xfId="32379" xr:uid="{21953408-E9C7-4974-A0BB-A30DF2124ADE}"/>
    <cellStyle name="Normal 3 14 3" xfId="32380" xr:uid="{A7716777-C333-4CD2-9A3E-2248FB75E614}"/>
    <cellStyle name="Normal 3 14 4" xfId="32381" xr:uid="{CDFBA6BA-2E34-4CDD-8AE8-31653CD640E4}"/>
    <cellStyle name="Normal 3 15" xfId="13667" xr:uid="{0B3F668B-ED2B-4128-83AB-295288D87832}"/>
    <cellStyle name="Normal 3 15 2" xfId="32382" xr:uid="{CC6E7FFE-9706-4CB6-AB9A-376DF225FE19}"/>
    <cellStyle name="Normal 3 15 3" xfId="32383" xr:uid="{93BFC138-9A85-478A-8359-26273D87C99A}"/>
    <cellStyle name="Normal 3 15 4" xfId="32384" xr:uid="{04B31495-FA95-450E-B58E-C3EECEFFDBEC}"/>
    <cellStyle name="Normal 3 16" xfId="13668" xr:uid="{A3D334BC-382A-4B12-8453-9F776B216413}"/>
    <cellStyle name="Normal 3 16 2" xfId="32385" xr:uid="{CDBF4D8B-017A-4B86-AAF0-91FC8B7815F4}"/>
    <cellStyle name="Normal 3 16 3" xfId="32386" xr:uid="{C9E2A332-7448-4E36-A5D5-987E86C36C3C}"/>
    <cellStyle name="Normal 3 16 4" xfId="32387" xr:uid="{752C91DE-2C72-484D-81A2-D57FC4A4B9CE}"/>
    <cellStyle name="Normal 3 17" xfId="13669" xr:uid="{75CE7683-2B39-4F16-8301-E72AE847BD33}"/>
    <cellStyle name="Normal 3 17 2" xfId="32388" xr:uid="{2FFE0576-6251-4046-92A8-FE1FA8DD543B}"/>
    <cellStyle name="Normal 3 17 3" xfId="32389" xr:uid="{8763D2B0-9D06-4288-8F4E-97F6AEA77FA0}"/>
    <cellStyle name="Normal 3 17 4" xfId="32390" xr:uid="{C8CDEBF5-D9BC-4A00-B9FF-9FAAC59C6512}"/>
    <cellStyle name="Normal 3 18" xfId="13670" xr:uid="{B038ED3F-D98A-46A3-BAAE-E19D5B162369}"/>
    <cellStyle name="Normal 3 18 2" xfId="32391" xr:uid="{162E7003-4C5C-41C0-85BC-0E09D7CF0B3C}"/>
    <cellStyle name="Normal 3 18 3" xfId="32392" xr:uid="{19AC702B-16ED-478A-A20C-DF7FCF4E890D}"/>
    <cellStyle name="Normal 3 18 4" xfId="32393" xr:uid="{0AD3B4D9-6962-468E-B846-6FB72D62C825}"/>
    <cellStyle name="Normal 3 19" xfId="13671" xr:uid="{9ACBD09C-9ADF-4B55-80D9-290E80142472}"/>
    <cellStyle name="Normal 3 19 2" xfId="32394" xr:uid="{DBCCA7AF-D948-4DD1-8C74-225E2C9BC409}"/>
    <cellStyle name="Normal 3 2" xfId="10" xr:uid="{00000000-0005-0000-0000-00000D000000}"/>
    <cellStyle name="Normal 3 2 10" xfId="13672" xr:uid="{070C4766-D00D-4495-9385-EEF32A2F0C76}"/>
    <cellStyle name="Normal 3 2 10 2" xfId="32395" xr:uid="{FAD63F3F-01F1-4982-9EAC-2E380A242742}"/>
    <cellStyle name="Normal 3 2 10 3" xfId="32396" xr:uid="{47371119-01A3-4CF7-9A85-E8ABA0E57A9C}"/>
    <cellStyle name="Normal 3 2 10 4" xfId="32397" xr:uid="{AEED8454-6276-47D7-A3D5-581AE065E6F8}"/>
    <cellStyle name="Normal 3 2 10 5" xfId="42917" xr:uid="{A88460A7-3F3F-455D-840C-E56C6C1FA76C}"/>
    <cellStyle name="Normal 3 2 11" xfId="13673" xr:uid="{62EB0733-932B-4271-9D65-5AA3181E4FC8}"/>
    <cellStyle name="Normal 3 2 11 2" xfId="32398" xr:uid="{C9304863-2517-478E-8A4C-7CB5E3A05A93}"/>
    <cellStyle name="Normal 3 2 11 3" xfId="32399" xr:uid="{04F5962A-E713-4815-8D51-0957794D0E31}"/>
    <cellStyle name="Normal 3 2 12" xfId="13674" xr:uid="{4A0C55D1-C725-495C-B6C2-61DDC39BDC76}"/>
    <cellStyle name="Normal 3 2 12 2" xfId="32400" xr:uid="{97EF6D93-4002-4AD0-AAFB-3948E4E7A712}"/>
    <cellStyle name="Normal 3 2 12 3" xfId="32401" xr:uid="{6C0ADFF5-C7D7-4971-921F-BD6CDFA86E63}"/>
    <cellStyle name="Normal 3 2 13" xfId="13675" xr:uid="{8A7065A5-3E10-4569-BDD4-E45001E5A680}"/>
    <cellStyle name="Normal 3 2 13 2" xfId="32402" xr:uid="{75D918A2-7912-4454-992B-50774E3D02A6}"/>
    <cellStyle name="Normal 3 2 13 3" xfId="32403" xr:uid="{D462AE7C-3FBC-44BF-8ED7-70992B40F3A2}"/>
    <cellStyle name="Normal 3 2 14" xfId="13676" xr:uid="{0EC63ECF-421C-4AD7-812D-8855E5B356DF}"/>
    <cellStyle name="Normal 3 2 14 2" xfId="32404" xr:uid="{3D0A3F8A-4F59-46B7-9DB1-FDB6FD9C2B40}"/>
    <cellStyle name="Normal 3 2 14 3" xfId="32405" xr:uid="{CF154A1E-5C71-40F3-B73A-ACFA22FCE5D2}"/>
    <cellStyle name="Normal 3 2 15" xfId="13677" xr:uid="{2190440D-648F-4690-A3FB-7FD51CDBACED}"/>
    <cellStyle name="Normal 3 2 15 2" xfId="32406" xr:uid="{E83106C2-A533-4691-8F52-FF9DBC9B4F38}"/>
    <cellStyle name="Normal 3 2 15 3" xfId="32407" xr:uid="{165A76DE-21BD-4613-A513-33B83B27BDD0}"/>
    <cellStyle name="Normal 3 2 16" xfId="13678" xr:uid="{73A565EC-808F-413D-A6D3-2BA9E5E37249}"/>
    <cellStyle name="Normal 3 2 16 2" xfId="32408" xr:uid="{0CA6C230-32F5-4CAA-BBCA-1BE35FAAA52B}"/>
    <cellStyle name="Normal 3 2 16 3" xfId="32409" xr:uid="{4F40682C-0A89-41E5-95A8-2C2665589FD5}"/>
    <cellStyle name="Normal 3 2 17" xfId="13679" xr:uid="{5F129C72-E4B0-42F5-8118-BF399ABA21FA}"/>
    <cellStyle name="Normal 3 2 17 2" xfId="32410" xr:uid="{794C43C7-F36A-4B91-8836-47007EBE1BCC}"/>
    <cellStyle name="Normal 3 2 18" xfId="13680" xr:uid="{8AD9081F-AEAD-4C7C-96EA-3D837594B049}"/>
    <cellStyle name="Normal 3 2 19" xfId="13681" xr:uid="{8BEF30BE-9974-42FA-AFC3-7C21D981C975}"/>
    <cellStyle name="Normal 3 2 2" xfId="41" xr:uid="{5D67A071-F207-4233-A34D-4227E0A9DD3E}"/>
    <cellStyle name="Normal 3 2 2 2" xfId="13683" xr:uid="{2FB948DE-641E-4857-8074-03E812168176}"/>
    <cellStyle name="Normal 3 2 2 2 2" xfId="13684" xr:uid="{FBAB642E-F379-42FE-9091-280F04359462}"/>
    <cellStyle name="Normal 3 2 2 3" xfId="13685" xr:uid="{2ECF071E-9C91-465F-A315-98832E661BCE}"/>
    <cellStyle name="Normal 3 2 2 3 2" xfId="32411" xr:uid="{D158642D-32D9-4A64-B000-E34B1D801784}"/>
    <cellStyle name="Normal 3 2 2 4" xfId="42918" xr:uid="{DB13F60D-37DE-4A39-9C44-B47110C3FC69}"/>
    <cellStyle name="Normal 3 2 2 5" xfId="44009" xr:uid="{17881839-531D-4741-8F00-7717F7374BD0}"/>
    <cellStyle name="Normal 3 2 2 6" xfId="13682" xr:uid="{8756EBFD-75EE-4589-A59C-8B95A3ED2BC9}"/>
    <cellStyle name="Normal 3 2 20" xfId="42199" xr:uid="{E7ECA5AB-A76A-403E-8F1B-E940829F8C14}"/>
    <cellStyle name="Normal 3 2 21" xfId="44132" xr:uid="{F33D9894-A5CC-49A4-9EC0-E451A55C1C22}"/>
    <cellStyle name="Normal 3 2 22" xfId="114" xr:uid="{64C2E2D6-D680-4811-AC2C-959A252E7D3A}"/>
    <cellStyle name="Normal 3 2 3" xfId="13686" xr:uid="{8848D201-2751-4A18-B217-D8B9603C4884}"/>
    <cellStyle name="Normal 3 2 3 2" xfId="13687" xr:uid="{64CCE8FC-22D9-432E-A2B2-B763F5C773FE}"/>
    <cellStyle name="Normal 3 2 3 2 2" xfId="13688" xr:uid="{65749055-7C05-4105-9C11-CDBF17A1DB3E}"/>
    <cellStyle name="Normal 3 2 3 2 2 2" xfId="32412" xr:uid="{718D393A-36B5-4801-BF0E-530AF529F9AB}"/>
    <cellStyle name="Normal 3 2 3 2 2 3" xfId="32413" xr:uid="{0DAD1113-7D3A-43CC-9DD1-C2221DE340CE}"/>
    <cellStyle name="Normal 3 2 3 2 3" xfId="32414" xr:uid="{DB5926CB-DCE1-4567-B448-F66B96EBB323}"/>
    <cellStyle name="Normal 3 2 3 2 4" xfId="32415" xr:uid="{5D3D8B02-8F70-471B-B41C-A5C297A055BE}"/>
    <cellStyle name="Normal 3 2 3 2 5" xfId="32416" xr:uid="{15185325-B7B4-4266-BC49-2333BC50C122}"/>
    <cellStyle name="Normal 3 2 3 3" xfId="32417" xr:uid="{1206046F-7851-412C-A91D-6C314E5E6D80}"/>
    <cellStyle name="Normal 3 2 4" xfId="13689" xr:uid="{56737BCD-F72F-4888-9DBD-6C66BDF286DA}"/>
    <cellStyle name="Normal 3 2 4 2" xfId="42920" xr:uid="{D70B9D25-B4B4-42A2-BF72-A9769785A160}"/>
    <cellStyle name="Normal 3 2 4 3" xfId="42919" xr:uid="{5925098F-C1E6-4A5B-8495-63099010CB78}"/>
    <cellStyle name="Normal 3 2 5" xfId="13690" xr:uid="{B32842DB-B5B2-4494-88E3-F2AEF3582CA1}"/>
    <cellStyle name="Normal 3 2 5 2" xfId="13691" xr:uid="{22DD3BCB-55C3-4C4F-84E0-7AE702F3C44D}"/>
    <cellStyle name="Normal 3 2 5 2 2" xfId="13692" xr:uid="{14BD4409-35C8-420E-9826-099B7C896C22}"/>
    <cellStyle name="Normal 3 2 5 2 3" xfId="13693" xr:uid="{932065A7-A786-4486-B70D-2195B205AD42}"/>
    <cellStyle name="Normal 3 2 5 3" xfId="13694" xr:uid="{A6D44C77-8A06-4AB2-9A7B-7946EEC7887B}"/>
    <cellStyle name="Normal 3 2 5 4" xfId="13695" xr:uid="{45D76BA1-7F78-4AA5-A5D6-E258158D9D96}"/>
    <cellStyle name="Normal 3 2 5 4 2" xfId="32418" xr:uid="{B233C7F8-9582-45CE-AC9B-F3AF4B4F8C67}"/>
    <cellStyle name="Normal 3 2 5 5" xfId="13696" xr:uid="{29EDB62B-9288-495C-8B6A-BF43CD9A6936}"/>
    <cellStyle name="Normal 3 2 5 6" xfId="13697" xr:uid="{6FFDCCB1-3FAF-4DD9-ABEA-E921F8184D43}"/>
    <cellStyle name="Normal 3 2 6" xfId="13698" xr:uid="{B12FD1D7-B832-4178-930A-00F715A23135}"/>
    <cellStyle name="Normal 3 2 6 2" xfId="13699" xr:uid="{6726CB50-7AF3-4C4A-B848-3E145B664617}"/>
    <cellStyle name="Normal 3 2 6 3" xfId="32419" xr:uid="{2EDB6080-E0D6-4B11-99A7-FCA39466254C}"/>
    <cellStyle name="Normal 3 2 6 4" xfId="32420" xr:uid="{DBA3CE56-8D7E-4D0C-9EA4-5994726FF25B}"/>
    <cellStyle name="Normal 3 2 7" xfId="13700" xr:uid="{0D21B36E-20EF-4AFD-93CB-FDA120A54194}"/>
    <cellStyle name="Normal 3 2 7 2" xfId="13701" xr:uid="{FB702870-1813-48DC-BC46-B96977539643}"/>
    <cellStyle name="Normal 3 2 7 3" xfId="32421" xr:uid="{E4D33B91-09F7-4324-9EBC-FDFA8D0401F9}"/>
    <cellStyle name="Normal 3 2 7 4" xfId="32422" xr:uid="{89ECDB1E-3988-44A8-B93A-1F90F170ADF0}"/>
    <cellStyle name="Normal 3 2 8" xfId="13702" xr:uid="{6085E8B5-675C-48A7-B891-75FD3CD73A89}"/>
    <cellStyle name="Normal 3 2 8 2" xfId="13703" xr:uid="{B10B5859-4067-44E2-9C02-B736BFEA4B5F}"/>
    <cellStyle name="Normal 3 2 8 3" xfId="32423" xr:uid="{DF482110-0C2F-4031-92A4-C88C60B45195}"/>
    <cellStyle name="Normal 3 2 8 4" xfId="32424" xr:uid="{C234A399-F388-481D-89A9-A16053F35A8F}"/>
    <cellStyle name="Normal 3 2 9" xfId="13704" xr:uid="{A04D4D6F-1C79-465A-A672-1796169752B6}"/>
    <cellStyle name="Normal 3 2 9 2" xfId="32425" xr:uid="{647E7C2D-0661-4A6F-BC21-D92DA0F1F4AD}"/>
    <cellStyle name="Normal 3 2 9 3" xfId="32426" xr:uid="{D6C8061A-5431-4B98-B9D5-DC6C4B5B308A}"/>
    <cellStyle name="Normal 3 2 9 4" xfId="32427" xr:uid="{E1C599DE-2D27-4E04-825B-13224301F21A}"/>
    <cellStyle name="Normal 3 2_ELC" xfId="32428" xr:uid="{9D761C71-12B7-45A4-B1FD-598FEA14E16B}"/>
    <cellStyle name="Normal 3 20" xfId="13705" xr:uid="{21CC34BA-BD8F-46EC-A2C3-D12F11503B21}"/>
    <cellStyle name="Normal 3 20 2" xfId="42921" xr:uid="{EBD4A4FF-C4C7-4BFB-BC41-D8B78B0BB084}"/>
    <cellStyle name="Normal 3 21" xfId="13706" xr:uid="{0CA85C4C-C74A-4842-A06B-2B5EB2599F63}"/>
    <cellStyle name="Normal 3 21 2" xfId="42922" xr:uid="{531E14F8-A5CD-4C9A-BA1C-CC079AED5CD9}"/>
    <cellStyle name="Normal 3 22" xfId="32429" xr:uid="{52C2CA00-B994-4133-90E4-01FAA8883773}"/>
    <cellStyle name="Normal 3 23" xfId="32430" xr:uid="{8EB002FA-6E97-49CF-AE45-E37DD637E5AA}"/>
    <cellStyle name="Normal 3 24" xfId="32431" xr:uid="{5E6F115E-C379-44E5-B584-AD5873AA847C}"/>
    <cellStyle name="Normal 3 25" xfId="32432" xr:uid="{F6A56231-651E-4DE9-B66D-204C5CE556DD}"/>
    <cellStyle name="Normal 3 26" xfId="32433" xr:uid="{381A21E8-279A-49E3-8128-0D0DBB76B65C}"/>
    <cellStyle name="Normal 3 27" xfId="32434" xr:uid="{A17E086A-B46C-478E-8225-52261996BA4F}"/>
    <cellStyle name="Normal 3 28" xfId="4" xr:uid="{00000000-0005-0000-0000-00000E000000}"/>
    <cellStyle name="Normal 3 28 2" xfId="23" xr:uid="{00000000-0005-0000-0000-00000F000000}"/>
    <cellStyle name="Normal 3 28 2 2" xfId="46" xr:uid="{8728D807-A8AB-4BF6-BBD5-91D4BBB2AEF9}"/>
    <cellStyle name="Normal 3 28 2 3" xfId="45762" xr:uid="{1D1BECF6-BB13-48F2-8E59-652715F8CED5}"/>
    <cellStyle name="Normal 3 28 2 4" xfId="45810" xr:uid="{89EDD232-8230-4D60-921E-0C23D1932B73}"/>
    <cellStyle name="Normal 3 28 2 5" xfId="45901" xr:uid="{B6676D06-7F51-4D5B-B458-D72B0447C355}"/>
    <cellStyle name="Normal 3 28 3" xfId="38" xr:uid="{D344D182-09FE-4BEE-9F78-09711BC4C32F}"/>
    <cellStyle name="Normal 3 28 4" xfId="30" xr:uid="{FA4DF8CE-D347-41EB-968D-9B8E2F98AFA2}"/>
    <cellStyle name="Normal 3 28 5" xfId="76" xr:uid="{3C79C4F1-5D0A-4E90-AAF5-F0CD27E6091E}"/>
    <cellStyle name="Normal 3 28 6" xfId="45903" xr:uid="{B3D60200-FEA5-4A1B-9348-78DFA0AA3C68}"/>
    <cellStyle name="Normal 3 29" xfId="42923" xr:uid="{24C9E457-846D-44B1-9392-DF5F4DFF8861}"/>
    <cellStyle name="Normal 3 3" xfId="11" xr:uid="{00000000-0005-0000-0000-000010000000}"/>
    <cellStyle name="Normal 3 3 10" xfId="13708" xr:uid="{B8A76B6E-D825-4BE7-80D2-A26B5198DB0F}"/>
    <cellStyle name="Normal 3 3 10 2" xfId="32435" xr:uid="{DFA2FED4-8FC7-44C9-9B14-826331879220}"/>
    <cellStyle name="Normal 3 3 10 3" xfId="32436" xr:uid="{333807A1-7ED2-46B8-9BC0-494406018A27}"/>
    <cellStyle name="Normal 3 3 11" xfId="13709" xr:uid="{D45BD537-948B-4978-A83C-5E285F4CDF7B}"/>
    <cellStyle name="Normal 3 3 11 2" xfId="32437" xr:uid="{AA4C8B15-2C89-4E92-9906-6F20B49CFA5E}"/>
    <cellStyle name="Normal 3 3 11 3" xfId="32438" xr:uid="{98EE4CE4-D806-4893-8D7C-C54AC3C0970E}"/>
    <cellStyle name="Normal 3 3 12" xfId="13710" xr:uid="{56F52B45-9ABF-404E-8C8E-10619EB2AC21}"/>
    <cellStyle name="Normal 3 3 12 2" xfId="32439" xr:uid="{FA1D55B1-1212-4196-AC6B-4175179BA402}"/>
    <cellStyle name="Normal 3 3 12 3" xfId="32440" xr:uid="{71154195-458C-4C31-9FF7-578A49EF56F9}"/>
    <cellStyle name="Normal 3 3 13" xfId="13711" xr:uid="{8B62D2E2-900B-4335-9C23-9594860F1871}"/>
    <cellStyle name="Normal 3 3 13 2" xfId="32441" xr:uid="{848A5690-FF29-4A1E-8838-2594D8AFA88D}"/>
    <cellStyle name="Normal 3 3 13 3" xfId="32442" xr:uid="{C3BEF495-64B6-4088-8D1D-3084D05C0279}"/>
    <cellStyle name="Normal 3 3 14" xfId="13712" xr:uid="{EF275B68-D79F-4FAC-8F91-39DA431B114F}"/>
    <cellStyle name="Normal 3 3 15" xfId="44166" xr:uid="{3B511FA3-4C6E-4301-ADE8-8FDDF69E9691}"/>
    <cellStyle name="Normal 3 3 16" xfId="13707" xr:uid="{4E7EF4EF-BE01-4E09-8C08-792BFAC3F6D6}"/>
    <cellStyle name="Normal 3 3 17" xfId="77" xr:uid="{EBBD489B-6428-4C42-8635-DF794F3F3B50}"/>
    <cellStyle name="Normal 3 3 2" xfId="13713" xr:uid="{EDD988C7-80E6-4380-BFFE-49847E8033A7}"/>
    <cellStyle name="Normal 3 3 2 2" xfId="13714" xr:uid="{D6202EA3-EEEA-4043-91D6-5AEE629425C7}"/>
    <cellStyle name="Normal 3 3 3" xfId="13715" xr:uid="{AAB80C9B-19CD-4473-8C0F-E5A7E63387C3}"/>
    <cellStyle name="Normal 3 3 3 2" xfId="13716" xr:uid="{389F6B24-F0CB-4716-ADA5-2DE8B82DD8F1}"/>
    <cellStyle name="Normal 3 3 3 3" xfId="32443" xr:uid="{4C8D4703-2D43-495F-BB34-EF0516D02F9E}"/>
    <cellStyle name="Normal 3 3 3 4" xfId="32444" xr:uid="{FD91E5F3-4EE2-47C8-B903-D620D0E138D5}"/>
    <cellStyle name="Normal 3 3 4" xfId="13717" xr:uid="{5869A837-6EE8-4B59-A1D4-298AEC5BA64C}"/>
    <cellStyle name="Normal 3 3 4 2" xfId="13718" xr:uid="{D92218AC-29D3-4AEB-BB15-7CC34300E10F}"/>
    <cellStyle name="Normal 3 3 4 3" xfId="32445" xr:uid="{ACD8EA4A-25A5-4753-B829-62B9AD0E9611}"/>
    <cellStyle name="Normal 3 3 4 4" xfId="32446" xr:uid="{CABC7C11-BE2B-4D2F-B55B-1E578753B536}"/>
    <cellStyle name="Normal 3 3 5" xfId="13719" xr:uid="{0279B3A6-105F-474A-A65D-518EFE38A670}"/>
    <cellStyle name="Normal 3 3 5 2" xfId="13720" xr:uid="{640FE279-F99F-4444-AB21-55EA2A061F62}"/>
    <cellStyle name="Normal 3 3 5 3" xfId="32447" xr:uid="{10E1EBCC-B8A8-49EB-8876-46C6720E0814}"/>
    <cellStyle name="Normal 3 3 5 4" xfId="32448" xr:uid="{B10F22AB-8057-4A22-AC96-1D78EA88237A}"/>
    <cellStyle name="Normal 3 3 6" xfId="13721" xr:uid="{E0BE3080-CDB9-48BC-9CED-3EBCFDDF85E3}"/>
    <cellStyle name="Normal 3 3 6 2" xfId="13722" xr:uid="{0BD51516-C676-407A-9EE3-CC39B24FD6BF}"/>
    <cellStyle name="Normal 3 3 6 3" xfId="32449" xr:uid="{74EFADF1-4B38-40A6-AB7B-6BEE0237F5DC}"/>
    <cellStyle name="Normal 3 3 6 4" xfId="32450" xr:uid="{D2B1A7F4-D555-4292-916F-EB3699D8CA81}"/>
    <cellStyle name="Normal 3 3 7" xfId="13723" xr:uid="{7C7ACEDF-1E57-43EA-AB89-D744007F9404}"/>
    <cellStyle name="Normal 3 3 8" xfId="13724" xr:uid="{56F5921F-8658-424A-B95E-D8AB35F0E406}"/>
    <cellStyle name="Normal 3 3 9" xfId="13725" xr:uid="{4EA19327-D9CE-4C43-B108-FECD15474DD5}"/>
    <cellStyle name="Normal 3 3 9 2" xfId="32451" xr:uid="{C1246EBC-2E17-4D9D-9804-340E1B4A7B3C}"/>
    <cellStyle name="Normal 3 3 9 3" xfId="32452" xr:uid="{44F4B311-E210-4F45-B96A-35C7107EE4AF}"/>
    <cellStyle name="Normal 3 3 9 4" xfId="42924" xr:uid="{AF81DAB5-CD07-4F49-B022-63A1361AC595}"/>
    <cellStyle name="Normal 3 30" xfId="42925" xr:uid="{53FFB10F-20BB-425A-8260-710763799B30}"/>
    <cellStyle name="Normal 3 31" xfId="42193" xr:uid="{EDB7898A-BB96-4585-92F1-C234EC01037C}"/>
    <cellStyle name="Normal 3 32" xfId="43476" xr:uid="{0356DB94-1DFF-4191-B56A-15BD7996DB66}"/>
    <cellStyle name="Normal 3 33" xfId="43483" xr:uid="{C8B15AC2-FDAC-443C-A8F6-C44EA3D1A93C}"/>
    <cellStyle name="Normal 3 34" xfId="43486" xr:uid="{34CCC8CE-A875-430B-B157-3FCCF488BE7B}"/>
    <cellStyle name="Normal 3 35" xfId="43489" xr:uid="{A1F580CC-4A50-4758-85E0-386F680C1A97}"/>
    <cellStyle name="Normal 3 36" xfId="43971" xr:uid="{4E8888F6-C803-4D31-BECC-6EA0A4A50C23}"/>
    <cellStyle name="Normal 3 37" xfId="44004" xr:uid="{864B6606-9D70-42DF-BD8C-4A8985605601}"/>
    <cellStyle name="Normal 3 38" xfId="107" xr:uid="{6CE01533-6C34-422B-AADE-9FD206CC1A53}"/>
    <cellStyle name="Normal 3 39" xfId="45909" xr:uid="{8FA04136-17D9-49C1-BC28-C327F98F7C3A}"/>
    <cellStyle name="Normal 3 4" xfId="12" xr:uid="{00000000-0005-0000-0000-000011000000}"/>
    <cellStyle name="Normal 3 4 10" xfId="44317" xr:uid="{D1473269-1BC5-4ABB-9380-1C6D20798A0C}"/>
    <cellStyle name="Normal 3 4 2" xfId="13726" xr:uid="{E3048D92-E57A-4ACD-BEEB-6D4B95C38E85}"/>
    <cellStyle name="Normal 3 4 2 2" xfId="32453" xr:uid="{7452BF06-3088-4F93-ABC9-BEC366F43758}"/>
    <cellStyle name="Normal 3 4 3" xfId="13727" xr:uid="{1A1B6BCC-F7B0-4EB1-9806-B4C52C7F5B8D}"/>
    <cellStyle name="Normal 3 4 4" xfId="13728" xr:uid="{3A6E9FF6-0C34-4B3A-9742-ACA83432204D}"/>
    <cellStyle name="Normal 3 4 4 2" xfId="42926" xr:uid="{B58D759B-61DF-4FF8-8B47-AA4C09883D80}"/>
    <cellStyle name="Normal 3 4 4 3" xfId="42927" xr:uid="{A79B5FCA-B821-488B-9BDC-5E1C8BF43745}"/>
    <cellStyle name="Normal 3 4 5" xfId="13729" xr:uid="{CC12CAC3-97BA-4B51-80DD-9A47A2F096CE}"/>
    <cellStyle name="Normal 3 4 6" xfId="13730" xr:uid="{C75E9F71-BE20-4066-9C7C-DFDDF828DEC3}"/>
    <cellStyle name="Normal 3 4 7" xfId="13731" xr:uid="{E466F22D-95C1-4311-9596-F80B37A90A1B}"/>
    <cellStyle name="Normal 3 4 8" xfId="13732" xr:uid="{C948803A-3991-409A-922D-DC6D81CC6DE0}"/>
    <cellStyle name="Normal 3 4 9" xfId="13733" xr:uid="{AB66AE4B-4098-49BA-BBBF-A1D5E5E56836}"/>
    <cellStyle name="Normal 3 40" xfId="45944" xr:uid="{168F6AA0-0979-49BF-8261-80399AF62383}"/>
    <cellStyle name="Normal 3 41" xfId="45941" xr:uid="{2DC95F05-407B-480E-84E8-F22C97A35C4B}"/>
    <cellStyle name="Normal 3 42" xfId="45947" xr:uid="{ED04BCF7-874A-4FC5-A091-D3C75E8AE0B2}"/>
    <cellStyle name="Normal 3 43" xfId="45949" xr:uid="{920F187F-9DCF-406E-84C1-45C3057E4090}"/>
    <cellStyle name="Normal 3 5" xfId="40" xr:uid="{9B42145F-57C6-454B-B5F1-324339A9F013}"/>
    <cellStyle name="Normal 3 5 2" xfId="13735" xr:uid="{280E9F83-0A4F-4A00-B682-90BB2772EC18}"/>
    <cellStyle name="Normal 3 5 2 2" xfId="13736" xr:uid="{31B6BED7-EA03-48DB-A6B0-7473D0FF1CEA}"/>
    <cellStyle name="Normal 3 5 3" xfId="13737" xr:uid="{80A34DEB-531A-43BF-93DD-F81AB53B9FB3}"/>
    <cellStyle name="Normal 3 5 3 2" xfId="42929" xr:uid="{8DCFE850-4287-411E-93D8-109D3F24D45F}"/>
    <cellStyle name="Normal 3 5 3 3" xfId="42928" xr:uid="{EBA388F6-A70C-4838-84C1-011454EB0F6D}"/>
    <cellStyle name="Normal 3 5 4" xfId="13738" xr:uid="{E204FBE1-0309-418B-A1E7-565A042A43D3}"/>
    <cellStyle name="Normal 3 5 4 2" xfId="42931" xr:uid="{E7BC6CB1-9451-4377-B8F3-CF50D2CBE15D}"/>
    <cellStyle name="Normal 3 5 4 3" xfId="42930" xr:uid="{2932CD6B-DA12-4759-A243-236F17BCCC53}"/>
    <cellStyle name="Normal 3 5 5" xfId="13739" xr:uid="{D865A0BA-14D8-42A4-BB39-6E3AEEAA209B}"/>
    <cellStyle name="Normal 3 5 6" xfId="13740" xr:uid="{D4CF0E56-4879-4457-8114-145ECF6E68FF}"/>
    <cellStyle name="Normal 3 5 7" xfId="13741" xr:uid="{A673E0C8-AA71-42C8-BC74-A9A704C752A2}"/>
    <cellStyle name="Normal 3 5 8" xfId="13742" xr:uid="{7FEFB717-5735-45DC-962A-C801AE2616CD}"/>
    <cellStyle name="Normal 3 5 9" xfId="13734" xr:uid="{5EFA44E4-0807-46B1-9AD5-14FDDB9B3D2E}"/>
    <cellStyle name="Normal 3 6" xfId="13743" xr:uid="{497CDEB6-F383-494C-887E-A74D4F7D33E6}"/>
    <cellStyle name="Normal 3 6 2" xfId="42932" xr:uid="{FFE0EA5F-CF71-46CD-9B14-0FC2349E8761}"/>
    <cellStyle name="Normal 3 6 3" xfId="42933" xr:uid="{AAB6D24F-2098-461A-BBF2-0AE431145147}"/>
    <cellStyle name="Normal 3 7" xfId="13744" xr:uid="{F00A1766-FBDD-4375-A884-684B9CA51C03}"/>
    <cellStyle name="Normal 3 7 2" xfId="13745" xr:uid="{0396E383-590A-49C0-A3E0-31D0B5012D6F}"/>
    <cellStyle name="Normal 3 7 2 2" xfId="32454" xr:uid="{280CC8E9-8143-495E-946E-41DAE2A3315F}"/>
    <cellStyle name="Normal 3 7 2 3" xfId="32455" xr:uid="{9D7774C6-7206-493F-8B42-18AD3C82998B}"/>
    <cellStyle name="Normal 3 7 2 4" xfId="42934" xr:uid="{DFE3CB86-2674-4C2C-9424-FD79D348B6B2}"/>
    <cellStyle name="Normal 3 7 3" xfId="13746" xr:uid="{FF37D3B8-E5DC-4A7C-80B9-3390B360F969}"/>
    <cellStyle name="Normal 3 7 4" xfId="13747" xr:uid="{18BCC387-48D6-4AE2-A5FF-C1836E077E3D}"/>
    <cellStyle name="Normal 3 7 4 2" xfId="32456" xr:uid="{5881E9C5-879D-49AA-8363-56D26C13F11B}"/>
    <cellStyle name="Normal 3 7 5" xfId="32457" xr:uid="{A15B8960-7FFD-436F-9A1D-2D9568C3A6E4}"/>
    <cellStyle name="Normal 3 7 6" xfId="32458" xr:uid="{FE654E0B-6787-471A-BD94-21EBF508DB8F}"/>
    <cellStyle name="Normal 3 8" xfId="13748" xr:uid="{E3B0839F-6A7B-41EC-A00F-FCAE64BFABF2}"/>
    <cellStyle name="Normal 3 8 2" xfId="13749" xr:uid="{5A90F0B5-196C-44A2-80AF-D5177F9F3E97}"/>
    <cellStyle name="Normal 3 8 2 2" xfId="13750" xr:uid="{4D6EEFCE-F8BA-4F48-90E2-614632F9D206}"/>
    <cellStyle name="Normal 3 8 2 3" xfId="13751" xr:uid="{C90EE4F4-1BEA-4659-A3D0-6DA516020204}"/>
    <cellStyle name="Normal 3 8 3" xfId="13752" xr:uid="{10D084B5-D9CC-499F-A1B9-289CDBEED925}"/>
    <cellStyle name="Normal 3 8 3 2" xfId="32459" xr:uid="{F2961249-C8D9-4244-AC16-C679C12B88C8}"/>
    <cellStyle name="Normal 3 8 4" xfId="13753" xr:uid="{85F5DB64-1809-4212-A414-97A2A815FD94}"/>
    <cellStyle name="Normal 3 9" xfId="13754" xr:uid="{5DEE004D-0407-4E5E-B9A2-888C490383D8}"/>
    <cellStyle name="Normal 3 9 2" xfId="13755" xr:uid="{D20CD9E8-3C59-4705-B71B-50EA77CF5355}"/>
    <cellStyle name="Normal 3 9 2 2" xfId="13756" xr:uid="{7B67F707-46C4-4225-A769-8AA09B72545F}"/>
    <cellStyle name="Normal 3 9 2 3" xfId="13757" xr:uid="{0275E5F3-0150-4339-98A1-FF3307C912A6}"/>
    <cellStyle name="Normal 3 9 3" xfId="13758" xr:uid="{3B8B1FD0-26A9-43A2-9095-4DB5FC6B9EC0}"/>
    <cellStyle name="Normal 3 9 3 2" xfId="32460" xr:uid="{2F24E53A-FFA2-4A20-9667-702647F77E48}"/>
    <cellStyle name="Normal 3 9 4" xfId="13759" xr:uid="{6B36315E-F367-4B4B-BC3F-34FC156D167B}"/>
    <cellStyle name="Normal 3 9 5" xfId="13760" xr:uid="{C33EFE7B-C43C-4601-9365-188F67F89B7C}"/>
    <cellStyle name="Normal 3 9 6" xfId="13761" xr:uid="{B9631FCB-8AED-4639-8B90-FBEFCCB60F3B}"/>
    <cellStyle name="Normal 3_Copy of Commissioning date correction" xfId="13762" xr:uid="{994BC83E-E7A9-41AB-BA66-51F1925ECD0F}"/>
    <cellStyle name="Normal 30" xfId="13763" xr:uid="{F454FDD3-AAD3-4D15-9607-7F491BEA02CE}"/>
    <cellStyle name="Normal 30 10" xfId="13764" xr:uid="{E1AD8661-8C43-4535-8636-F9533A61B64E}"/>
    <cellStyle name="Normal 30 10 2" xfId="32461" xr:uid="{BB5EE131-4BAA-4B86-B2FC-7616F5FA02D5}"/>
    <cellStyle name="Normal 30 10 3" xfId="32462" xr:uid="{898B761E-D84C-40DC-97BC-5DAC429461BD}"/>
    <cellStyle name="Normal 30 11" xfId="13765" xr:uid="{53AAD2E1-2D6B-44C9-8DB4-20D160ECA333}"/>
    <cellStyle name="Normal 30 11 2" xfId="32463" xr:uid="{D3A5C20D-2F94-402F-8DF2-8CE96E4CBFAF}"/>
    <cellStyle name="Normal 30 11 3" xfId="32464" xr:uid="{403A8614-B5EC-42F3-B3A2-94B91AE33AEE}"/>
    <cellStyle name="Normal 30 12" xfId="13766" xr:uid="{190F8C8A-F18D-4906-8A22-68A7654DC9FB}"/>
    <cellStyle name="Normal 30 12 2" xfId="32465" xr:uid="{FFCF1963-3EF1-47CB-B0E3-181AF6C6B44D}"/>
    <cellStyle name="Normal 30 12 3" xfId="32466" xr:uid="{77608588-5E5E-4343-880E-C9A469168FD4}"/>
    <cellStyle name="Normal 30 13" xfId="13767" xr:uid="{45050013-FBA9-4A65-8BA1-F676C3315523}"/>
    <cellStyle name="Normal 30 13 2" xfId="32467" xr:uid="{6E9835E8-92AF-4205-8DAD-837B2BA5A110}"/>
    <cellStyle name="Normal 30 13 3" xfId="32468" xr:uid="{8842579D-C064-4E58-A582-CC844CCB9FE5}"/>
    <cellStyle name="Normal 30 14" xfId="32469" xr:uid="{3277C79B-5905-4114-998D-08808DD03353}"/>
    <cellStyle name="Normal 30 2" xfId="13768" xr:uid="{69FB2958-8298-4352-8556-CE8FBA4EA09C}"/>
    <cellStyle name="Normal 30 2 10" xfId="13769" xr:uid="{215F61F8-EFC9-4DE2-B660-54799EC9F307}"/>
    <cellStyle name="Normal 30 2 10 2" xfId="32470" xr:uid="{FBC7B7A4-0DE8-4558-9835-0FE37644E83C}"/>
    <cellStyle name="Normal 30 2 10 3" xfId="32471" xr:uid="{69F71F71-F144-47F7-BB99-9623C7E9FD4F}"/>
    <cellStyle name="Normal 30 2 11" xfId="13770" xr:uid="{E7FFB66E-B12C-46E1-9A28-07BA0F16864B}"/>
    <cellStyle name="Normal 30 2 12" xfId="13771" xr:uid="{898B95AF-983E-41AF-B0CC-FE203A5B00CB}"/>
    <cellStyle name="Normal 30 2 13" xfId="32472" xr:uid="{5F8ADB34-7A3A-44EC-94D0-FE3406E9AF93}"/>
    <cellStyle name="Normal 30 2 2" xfId="13772" xr:uid="{B9D97A07-421F-43A9-B8E9-7AB882D2678A}"/>
    <cellStyle name="Normal 30 2 2 2" xfId="13773" xr:uid="{641CB0CA-7768-45E7-89DD-244EDC0AD8F7}"/>
    <cellStyle name="Normal 30 2 2 3" xfId="13774" xr:uid="{CA168F2E-45AF-4BA8-B3D5-E724490F2ABC}"/>
    <cellStyle name="Normal 30 2 2 4" xfId="32473" xr:uid="{D2568524-0DB8-463E-B501-03A96C2113BF}"/>
    <cellStyle name="Normal 30 2 3" xfId="13775" xr:uid="{B9F7B9AF-8E47-4759-A283-3A9F6857DF63}"/>
    <cellStyle name="Normal 30 2 3 2" xfId="32474" xr:uid="{B18E6383-F65F-4004-82E3-4F47573B1255}"/>
    <cellStyle name="Normal 30 2 3 3" xfId="32475" xr:uid="{44D495BA-23F3-425A-AF1D-8F193A46ABB2}"/>
    <cellStyle name="Normal 30 2 4" xfId="13776" xr:uid="{0528263E-803E-4649-B048-3C82793D15E6}"/>
    <cellStyle name="Normal 30 2 4 2" xfId="32476" xr:uid="{00331BD8-EE7C-4477-86F5-3CE64EC888A1}"/>
    <cellStyle name="Normal 30 2 4 3" xfId="32477" xr:uid="{BB1FB811-6D04-4D58-83C5-FD890A204E68}"/>
    <cellStyle name="Normal 30 2 5" xfId="13777" xr:uid="{74F0950A-88D5-4840-85CE-B9F8B7B3A7A6}"/>
    <cellStyle name="Normal 30 2 5 2" xfId="32478" xr:uid="{8AC8C5AE-9123-4537-B026-C78347DBDF5A}"/>
    <cellStyle name="Normal 30 2 5 3" xfId="32479" xr:uid="{4A039A97-5565-4400-85B4-818F76F15FD1}"/>
    <cellStyle name="Normal 30 2 6" xfId="13778" xr:uid="{7ECE8E64-6ACB-47AE-AD58-05FF5627E928}"/>
    <cellStyle name="Normal 30 2 6 2" xfId="32480" xr:uid="{4F491C21-9C3F-416D-B9BB-0BE2DA7F76E6}"/>
    <cellStyle name="Normal 30 2 6 3" xfId="32481" xr:uid="{211A859D-8E93-472F-8100-25A08447D7B5}"/>
    <cellStyle name="Normal 30 2 7" xfId="13779" xr:uid="{99BB93C8-0F91-4BA7-80B7-CD5D399C0706}"/>
    <cellStyle name="Normal 30 2 7 2" xfId="32482" xr:uid="{53885762-F03C-437D-B237-3ECD0634D690}"/>
    <cellStyle name="Normal 30 2 7 3" xfId="32483" xr:uid="{00012B04-4578-4742-890B-2CFE47B4F308}"/>
    <cellStyle name="Normal 30 2 8" xfId="13780" xr:uid="{9304BE9A-986A-4243-A0D5-D942D49F75FE}"/>
    <cellStyle name="Normal 30 2 8 2" xfId="32484" xr:uid="{8919CDDC-1873-49CB-AF6C-79E90E8081E8}"/>
    <cellStyle name="Normal 30 2 8 3" xfId="32485" xr:uid="{EF8968BC-BA54-418F-B793-450250643831}"/>
    <cellStyle name="Normal 30 2 9" xfId="13781" xr:uid="{5A796DB9-0E68-454E-94CA-4E169292F6C0}"/>
    <cellStyle name="Normal 30 2 9 2" xfId="32486" xr:uid="{FE815B51-8310-4B46-9B53-C3DA2A970DDF}"/>
    <cellStyle name="Normal 30 2 9 3" xfId="32487" xr:uid="{25055270-76DE-4974-A416-0599E28E2C21}"/>
    <cellStyle name="Normal 30 3" xfId="13782" xr:uid="{79E9E809-B23C-4928-A371-F5507FEDDC82}"/>
    <cellStyle name="Normal 30 3 10" xfId="13783" xr:uid="{F839F6A5-3313-4F86-A02F-2EF349C65156}"/>
    <cellStyle name="Normal 30 3 10 2" xfId="32488" xr:uid="{FB6EF795-CB1A-4BF1-9F28-82969E9FC48E}"/>
    <cellStyle name="Normal 30 3 10 3" xfId="32489" xr:uid="{6DFF6E9D-A68D-4958-9FD1-CF145C31B5D7}"/>
    <cellStyle name="Normal 30 3 11" xfId="13784" xr:uid="{4521B0F4-80EC-41F9-8CD9-F5516B48908D}"/>
    <cellStyle name="Normal 30 3 12" xfId="13785" xr:uid="{E8085B49-B8FC-4C8F-9AF9-266E1B77661A}"/>
    <cellStyle name="Normal 30 3 13" xfId="32490" xr:uid="{1D8B4572-327E-4D44-8C37-4B1615FB95D5}"/>
    <cellStyle name="Normal 30 3 2" xfId="13786" xr:uid="{80CC96A3-2E82-48CD-ABCA-882C9A63CFA6}"/>
    <cellStyle name="Normal 30 3 2 2" xfId="32491" xr:uid="{B54BEED8-4185-4D90-99BB-2F9D0166F07A}"/>
    <cellStyle name="Normal 30 3 2 3" xfId="32492" xr:uid="{99171392-C172-41DB-854D-72FFBA6BC2FE}"/>
    <cellStyle name="Normal 30 3 3" xfId="13787" xr:uid="{B95B7203-0025-4E2D-8203-B99BBAAE4F89}"/>
    <cellStyle name="Normal 30 3 3 2" xfId="32493" xr:uid="{D27F8C33-3819-4A8C-B3EB-B0ABEAF01EC7}"/>
    <cellStyle name="Normal 30 3 3 3" xfId="32494" xr:uid="{31078A15-EADE-4F2E-A24F-18C7084EB75F}"/>
    <cellStyle name="Normal 30 3 4" xfId="13788" xr:uid="{44132A6C-76E7-4718-A438-ECD301C14326}"/>
    <cellStyle name="Normal 30 3 4 2" xfId="32495" xr:uid="{94918B49-F4FB-4B73-8F1B-D7F8E6B9FCD5}"/>
    <cellStyle name="Normal 30 3 4 3" xfId="32496" xr:uid="{C3264CF2-0F17-401F-9CF8-837FD189F5E3}"/>
    <cellStyle name="Normal 30 3 5" xfId="13789" xr:uid="{72C9E976-8EAB-4E41-9025-97EE069A8E0E}"/>
    <cellStyle name="Normal 30 3 5 2" xfId="32497" xr:uid="{E5A1EEF9-3527-43E6-87C6-90A1A1B15DEA}"/>
    <cellStyle name="Normal 30 3 5 3" xfId="32498" xr:uid="{E46B4E03-9021-46C5-B1A3-56EE66E744F2}"/>
    <cellStyle name="Normal 30 3 6" xfId="13790" xr:uid="{F99269F7-3A8C-4A20-9BB8-AC2A5A1D98C1}"/>
    <cellStyle name="Normal 30 3 6 2" xfId="32499" xr:uid="{4B423EC0-2428-4D2E-880C-4363115277A2}"/>
    <cellStyle name="Normal 30 3 6 3" xfId="32500" xr:uid="{A18113E7-F832-4150-B1A1-265E2E1F8CE0}"/>
    <cellStyle name="Normal 30 3 7" xfId="13791" xr:uid="{9356C783-88F7-4074-B67E-F6B4EBC8DF74}"/>
    <cellStyle name="Normal 30 3 7 2" xfId="32501" xr:uid="{DC4DF437-1828-478A-8CA1-3276A0DFB2BB}"/>
    <cellStyle name="Normal 30 3 7 3" xfId="32502" xr:uid="{6FA096B1-9CFB-4A3E-84EF-8B92B4EFCE96}"/>
    <cellStyle name="Normal 30 3 8" xfId="13792" xr:uid="{8FA20A29-EA16-49B3-A6D5-67916F7B7F1E}"/>
    <cellStyle name="Normal 30 3 8 2" xfId="32503" xr:uid="{5633CEBD-5E0B-4B77-8E7C-692C7A26BBAD}"/>
    <cellStyle name="Normal 30 3 8 3" xfId="32504" xr:uid="{16A9718A-FBAC-4E8E-88E0-037752114395}"/>
    <cellStyle name="Normal 30 3 9" xfId="13793" xr:uid="{511101C3-88C6-43B6-9B89-77D09FBF9AF7}"/>
    <cellStyle name="Normal 30 3 9 2" xfId="32505" xr:uid="{5E4F222C-F12D-4FA7-BE39-C10ED8C33175}"/>
    <cellStyle name="Normal 30 3 9 3" xfId="32506" xr:uid="{D7293453-1308-43F2-8C71-AAB96C8B90C6}"/>
    <cellStyle name="Normal 30 4" xfId="13794" xr:uid="{B8C58E26-752F-4C97-8FE8-EF915BFD06B4}"/>
    <cellStyle name="Normal 30 4 2" xfId="13795" xr:uid="{0D3E4B23-637E-4A9C-824F-5ECDDC2193CC}"/>
    <cellStyle name="Normal 30 4 3" xfId="13796" xr:uid="{95F50890-9D57-4C96-825A-2433CCDF24DC}"/>
    <cellStyle name="Normal 30 4 4" xfId="32507" xr:uid="{E255CDAC-D21F-4E0D-B21E-F594BD309146}"/>
    <cellStyle name="Normal 30 5" xfId="13797" xr:uid="{589B4621-4D2D-4E1A-902A-56C4AEE9DF28}"/>
    <cellStyle name="Normal 30 5 2" xfId="32508" xr:uid="{1567E99D-2733-4AB6-B9FD-8EF63BC6FE4F}"/>
    <cellStyle name="Normal 30 5 3" xfId="32509" xr:uid="{A49E796D-732A-4D97-865C-D28BF24EE0BC}"/>
    <cellStyle name="Normal 30 6" xfId="13798" xr:uid="{B0B39B1F-D73A-4CD1-8D9D-A0162E9CD9CE}"/>
    <cellStyle name="Normal 30 6 2" xfId="32510" xr:uid="{4C9BBAFD-4888-4A63-9E4A-FE70F536FDDE}"/>
    <cellStyle name="Normal 30 6 3" xfId="32511" xr:uid="{3F586826-3CDF-4394-B675-DA44DB64072C}"/>
    <cellStyle name="Normal 30 7" xfId="13799" xr:uid="{2E46F261-5DC2-4055-B1D2-166A53999B5B}"/>
    <cellStyle name="Normal 30 7 2" xfId="32512" xr:uid="{F0878CDD-85E6-4F0C-95C0-CCC1069A10F5}"/>
    <cellStyle name="Normal 30 7 3" xfId="32513" xr:uid="{77D402D8-06D3-44B9-958F-943D43792A4B}"/>
    <cellStyle name="Normal 30 8" xfId="13800" xr:uid="{7C2D0CBC-AFBC-4108-8AC1-C923C2698CD3}"/>
    <cellStyle name="Normal 30 8 2" xfId="32514" xr:uid="{2655C26A-A85C-4CF4-BD18-D9DB9D5E61C2}"/>
    <cellStyle name="Normal 30 8 3" xfId="32515" xr:uid="{37E56BB4-A312-44F3-8FE2-8DA8EFA720C0}"/>
    <cellStyle name="Normal 30 9" xfId="13801" xr:uid="{FF5635E1-6951-44A3-9AEF-0B7CCDB75B3C}"/>
    <cellStyle name="Normal 30 9 2" xfId="32516" xr:uid="{43BA69A2-2DB9-4F8C-94B8-84A276556BBC}"/>
    <cellStyle name="Normal 30 9 3" xfId="32517" xr:uid="{F9FA38AF-E5C2-444D-9D36-C7E5C222C7ED}"/>
    <cellStyle name="Normal 31" xfId="13802" xr:uid="{DCA3D2FD-FCCF-4171-A7DD-B1ADE55F80BF}"/>
    <cellStyle name="Normal 31 10" xfId="13803" xr:uid="{79396A76-3B24-4CF4-A5A6-97212B77B9CD}"/>
    <cellStyle name="Normal 31 10 2" xfId="32518" xr:uid="{214F1700-5AD0-4674-A457-F7A1DDC50C31}"/>
    <cellStyle name="Normal 31 10 3" xfId="32519" xr:uid="{59D47965-9265-44F8-A76A-87E9FC85E239}"/>
    <cellStyle name="Normal 31 11" xfId="13804" xr:uid="{9732AE1F-6443-43C2-BEF3-72FCF0C8079D}"/>
    <cellStyle name="Normal 31 11 2" xfId="32520" xr:uid="{D1C20175-068C-4ECB-BB37-CEB4B203BD46}"/>
    <cellStyle name="Normal 31 11 3" xfId="32521" xr:uid="{DAD5E0D6-A690-464F-AC5E-85E88E1AB244}"/>
    <cellStyle name="Normal 31 12" xfId="13805" xr:uid="{6F366CAB-0CA4-44C9-A138-C81DDED3E12D}"/>
    <cellStyle name="Normal 31 12 2" xfId="32522" xr:uid="{A6267C99-DE1B-4D87-80DF-D0B517B0164C}"/>
    <cellStyle name="Normal 31 12 3" xfId="32523" xr:uid="{3AFC9E3E-7BA8-49F2-8DCE-DBAA686D66A4}"/>
    <cellStyle name="Normal 31 13" xfId="13806" xr:uid="{A5DB9D7A-B97F-4889-94E8-1200C8E40433}"/>
    <cellStyle name="Normal 31 13 2" xfId="32524" xr:uid="{C5AD1241-73D2-475D-98EC-F6F9BBAF607E}"/>
    <cellStyle name="Normal 31 13 3" xfId="32525" xr:uid="{26D40902-0CE8-4EC3-9D5D-975A63B93465}"/>
    <cellStyle name="Normal 31 14" xfId="13807" xr:uid="{8299EAC9-F519-4027-8287-4D086F0FB9FE}"/>
    <cellStyle name="Normal 31 14 2" xfId="32526" xr:uid="{DF165A43-5385-422F-902E-522B12CAB872}"/>
    <cellStyle name="Normal 31 14 3" xfId="32527" xr:uid="{563717C3-9F3A-4E1F-B00C-98CC5A5D5837}"/>
    <cellStyle name="Normal 31 15" xfId="32528" xr:uid="{311BD04B-EB5D-476E-A014-1A332D8D339A}"/>
    <cellStyle name="Normal 31 16" xfId="32529" xr:uid="{5918FE59-AE95-4163-8982-45A780FA151B}"/>
    <cellStyle name="Normal 31 17" xfId="42935" xr:uid="{31C32C93-3D80-4105-A4A1-BBD8EEA60457}"/>
    <cellStyle name="Normal 31 2" xfId="13808" xr:uid="{341DC5AD-8699-4C89-87A3-F6062D24DA42}"/>
    <cellStyle name="Normal 31 2 10" xfId="13809" xr:uid="{CEF8D39D-8FEF-4E86-B524-A5004C09D1E0}"/>
    <cellStyle name="Normal 31 2 10 2" xfId="32530" xr:uid="{E7C589CC-18F0-44E1-A32C-FC2823D9ABD1}"/>
    <cellStyle name="Normal 31 2 10 3" xfId="32531" xr:uid="{73BB9C4E-9B5F-496C-9735-331012A83551}"/>
    <cellStyle name="Normal 31 2 11" xfId="13810" xr:uid="{08D1B50F-C7B2-40BE-829C-D3042E5EB871}"/>
    <cellStyle name="Normal 31 2 12" xfId="13811" xr:uid="{53415322-EF77-4AB0-9FD7-57011011DE21}"/>
    <cellStyle name="Normal 31 2 13" xfId="32532" xr:uid="{C5A0256A-A1BF-4BB2-AD71-E013D7912686}"/>
    <cellStyle name="Normal 31 2 14" xfId="32533" xr:uid="{57637277-C9E9-4763-ACA3-CC64D6EBB75F}"/>
    <cellStyle name="Normal 31 2 2" xfId="13812" xr:uid="{DD5E9145-3535-4121-AD61-C1B0595ABB6D}"/>
    <cellStyle name="Normal 31 2 2 2" xfId="32534" xr:uid="{71ABE4FF-C0C6-41DB-A963-27790B2CFE3A}"/>
    <cellStyle name="Normal 31 2 2 3" xfId="32535" xr:uid="{CD742B5E-BCFA-438C-A42E-8DEB0F3B95FD}"/>
    <cellStyle name="Normal 31 2 3" xfId="13813" xr:uid="{7E7ECEA7-29B4-4CBF-8D02-2556E0CC1E6A}"/>
    <cellStyle name="Normal 31 2 3 2" xfId="32536" xr:uid="{18A06A56-853E-4447-A4AF-08B59C84F692}"/>
    <cellStyle name="Normal 31 2 3 3" xfId="32537" xr:uid="{D1B17F00-C52F-4BB9-97E3-77609711AE62}"/>
    <cellStyle name="Normal 31 2 4" xfId="13814" xr:uid="{D0AA806F-FC76-453B-9252-7FCF2F427619}"/>
    <cellStyle name="Normal 31 2 4 2" xfId="32538" xr:uid="{7852C958-6733-4A86-A481-9D0E75EC29ED}"/>
    <cellStyle name="Normal 31 2 4 3" xfId="32539" xr:uid="{87E8952A-A74F-4E98-983D-D6286748B8C6}"/>
    <cellStyle name="Normal 31 2 5" xfId="13815" xr:uid="{BB705A95-37B3-46D1-A3CF-A8FD18F673F2}"/>
    <cellStyle name="Normal 31 2 5 2" xfId="32540" xr:uid="{7F3B5A68-DB70-4F6D-89C7-A8BAA631EF32}"/>
    <cellStyle name="Normal 31 2 5 3" xfId="32541" xr:uid="{3EC0B93C-FFF6-4E4A-99B4-D592EAEF3EF5}"/>
    <cellStyle name="Normal 31 2 6" xfId="13816" xr:uid="{CB9B1C0E-F16F-443D-9006-076708FA0089}"/>
    <cellStyle name="Normal 31 2 6 2" xfId="32542" xr:uid="{C1D244CA-DB13-490A-BE66-C43587F106C5}"/>
    <cellStyle name="Normal 31 2 6 3" xfId="32543" xr:uid="{DDB0D212-5B57-4DC9-8138-630BC01B8718}"/>
    <cellStyle name="Normal 31 2 7" xfId="13817" xr:uid="{D8553A17-E4ED-4A4A-A67B-8EAD05B5AB1A}"/>
    <cellStyle name="Normal 31 2 7 2" xfId="32544" xr:uid="{774039E9-74B8-48AB-84AD-AAB081BAD095}"/>
    <cellStyle name="Normal 31 2 7 3" xfId="32545" xr:uid="{B5D01A88-E6D6-40A8-916D-1E00D871129F}"/>
    <cellStyle name="Normal 31 2 8" xfId="13818" xr:uid="{9A76F79A-5F7D-4CC8-A47C-50CB218D1A78}"/>
    <cellStyle name="Normal 31 2 8 2" xfId="32546" xr:uid="{178219F0-CE7E-4EA1-8280-D08158757DD7}"/>
    <cellStyle name="Normal 31 2 8 3" xfId="32547" xr:uid="{F0558554-345B-48FC-8BF2-4FB240A66994}"/>
    <cellStyle name="Normal 31 2 9" xfId="13819" xr:uid="{25D6042E-0A08-435F-A86A-C15E174BF4A1}"/>
    <cellStyle name="Normal 31 2 9 2" xfId="32548" xr:uid="{65962E26-A276-4B72-96FE-8434869C4612}"/>
    <cellStyle name="Normal 31 2 9 3" xfId="32549" xr:uid="{C92213F0-D4A3-45C2-ADD3-6AB28003DF75}"/>
    <cellStyle name="Normal 31 3" xfId="13820" xr:uid="{AF9A979F-4390-44F3-BD46-382F12EBE92F}"/>
    <cellStyle name="Normal 31 3 10" xfId="13821" xr:uid="{F5BCAB49-45A3-4CFB-AFBC-9F9B556D3E2F}"/>
    <cellStyle name="Normal 31 3 10 2" xfId="32550" xr:uid="{841AC960-D82E-49FE-AD27-AE20A9FDEBDC}"/>
    <cellStyle name="Normal 31 3 10 3" xfId="32551" xr:uid="{C23D7191-CDC7-450C-BF03-6382AA7EECBC}"/>
    <cellStyle name="Normal 31 3 11" xfId="32552" xr:uid="{A223C6FB-BDC8-4492-A8D8-3B50D540FE4C}"/>
    <cellStyle name="Normal 31 3 12" xfId="32553" xr:uid="{77A2AF9A-F9C5-4842-8F61-B4FC0906DD51}"/>
    <cellStyle name="Normal 31 3 2" xfId="13822" xr:uid="{7BB2FDC3-443E-47F9-948F-638BE0EEC61D}"/>
    <cellStyle name="Normal 31 3 2 2" xfId="32554" xr:uid="{B8E5B310-0934-40BA-B61C-B13D173504A5}"/>
    <cellStyle name="Normal 31 3 2 3" xfId="32555" xr:uid="{ED6F1DA8-D4DA-4EED-BCEE-40E9D0C124E9}"/>
    <cellStyle name="Normal 31 3 3" xfId="13823" xr:uid="{F8334551-8E11-45C2-B960-7BBC08774C9C}"/>
    <cellStyle name="Normal 31 3 3 2" xfId="32556" xr:uid="{45B3C2B2-B3EE-41AE-A118-44DA7516C088}"/>
    <cellStyle name="Normal 31 3 3 3" xfId="32557" xr:uid="{EF878DDA-F0AA-43C3-92CA-1BDE1A7B742F}"/>
    <cellStyle name="Normal 31 3 4" xfId="13824" xr:uid="{5960266E-F3E0-4544-8B00-2ADFA78A508D}"/>
    <cellStyle name="Normal 31 3 4 2" xfId="32558" xr:uid="{7A25317F-EE76-4E59-9DBD-303F64CB06B2}"/>
    <cellStyle name="Normal 31 3 4 3" xfId="32559" xr:uid="{646B7939-29CB-4187-9C7B-C1F91FBF8142}"/>
    <cellStyle name="Normal 31 3 5" xfId="13825" xr:uid="{0A74494A-A0EC-4C9A-B0BE-17C650EC8F53}"/>
    <cellStyle name="Normal 31 3 5 2" xfId="32560" xr:uid="{A947D92F-1247-4702-A936-B4B39BCFFB6C}"/>
    <cellStyle name="Normal 31 3 5 3" xfId="32561" xr:uid="{9B2B2028-E33D-4108-A769-BC2E9D12CC90}"/>
    <cellStyle name="Normal 31 3 6" xfId="13826" xr:uid="{7E68E4CE-0994-41D7-BC70-E4402BDEF942}"/>
    <cellStyle name="Normal 31 3 6 2" xfId="32562" xr:uid="{B045063C-4A10-4E74-94EA-60B7C59E8467}"/>
    <cellStyle name="Normal 31 3 6 3" xfId="32563" xr:uid="{8115F740-2408-42ED-A3D2-6A23269C7E63}"/>
    <cellStyle name="Normal 31 3 7" xfId="13827" xr:uid="{AC4E617F-773C-4DD5-A00A-3FD35046BAC0}"/>
    <cellStyle name="Normal 31 3 7 2" xfId="32564" xr:uid="{B58725C4-A232-4C3A-8843-706D239CF82C}"/>
    <cellStyle name="Normal 31 3 7 3" xfId="32565" xr:uid="{C55D1308-F251-4262-A6AB-C75ADF9D9991}"/>
    <cellStyle name="Normal 31 3 8" xfId="13828" xr:uid="{9AE30111-79CD-4737-BDBA-E8EFC6D8B0A9}"/>
    <cellStyle name="Normal 31 3 8 2" xfId="32566" xr:uid="{FDCE99FC-07EF-421E-92C4-B57FF7832F65}"/>
    <cellStyle name="Normal 31 3 8 3" xfId="32567" xr:uid="{2B281C0B-E3B4-4B40-9544-5C58CE59BDB4}"/>
    <cellStyle name="Normal 31 3 9" xfId="13829" xr:uid="{0C05998E-9ADD-4894-A7B5-8E2B2070C30D}"/>
    <cellStyle name="Normal 31 3 9 2" xfId="32568" xr:uid="{A5595AAC-B45A-4973-BC01-DAA3445CF7A7}"/>
    <cellStyle name="Normal 31 3 9 3" xfId="32569" xr:uid="{CA77F691-7EA3-4A68-B196-7D613346999B}"/>
    <cellStyle name="Normal 31 4" xfId="13830" xr:uid="{F8EB2D94-0C05-44DF-90B4-C0943195F935}"/>
    <cellStyle name="Normal 31 4 2" xfId="13831" xr:uid="{36C941CF-4B7B-471F-93FE-E3471CF81BDD}"/>
    <cellStyle name="Normal 31 4 3" xfId="13832" xr:uid="{D5710659-179F-4B82-84E1-8D829BC0B7C2}"/>
    <cellStyle name="Normal 31 4 4" xfId="32570" xr:uid="{0E4A5EFF-5B8F-40A5-A105-D8365DAC1A53}"/>
    <cellStyle name="Normal 31 5" xfId="13833" xr:uid="{7CF8A305-A896-4BAA-8C61-9925533ADC9E}"/>
    <cellStyle name="Normal 31 5 2" xfId="32571" xr:uid="{F3FA78DF-98D1-4C76-A145-CDB655BE3C71}"/>
    <cellStyle name="Normal 31 5 3" xfId="32572" xr:uid="{63AA75F9-EB72-49A5-A393-11FA1ADE4A57}"/>
    <cellStyle name="Normal 31 6" xfId="13834" xr:uid="{B678DDE2-57A2-4695-8567-75793DF6CA5A}"/>
    <cellStyle name="Normal 31 6 2" xfId="32573" xr:uid="{307103C3-F50C-4793-B673-54362D14D175}"/>
    <cellStyle name="Normal 31 6 3" xfId="32574" xr:uid="{F04C394E-4759-4C73-8B6B-30F7085244A2}"/>
    <cellStyle name="Normal 31 7" xfId="13835" xr:uid="{22EED24C-3E50-46F8-B3D0-7AE7FDD17E60}"/>
    <cellStyle name="Normal 31 7 2" xfId="32575" xr:uid="{B845DE74-616B-468F-9BEB-CC6B175AB527}"/>
    <cellStyle name="Normal 31 7 3" xfId="32576" xr:uid="{E09E403E-84B9-432C-8C81-3BB26101DC2A}"/>
    <cellStyle name="Normal 31 8" xfId="13836" xr:uid="{24E6C0A6-623A-4D11-A36B-F664985A65D1}"/>
    <cellStyle name="Normal 31 8 2" xfId="32577" xr:uid="{A25C4A90-17A0-489A-944D-744D6FCE66E8}"/>
    <cellStyle name="Normal 31 8 3" xfId="32578" xr:uid="{39E67DF4-F7F5-4584-AD50-8A0765462DDE}"/>
    <cellStyle name="Normal 31 9" xfId="13837" xr:uid="{02ED7A6F-74A7-422F-BA2A-6C9C6E2FDCCD}"/>
    <cellStyle name="Normal 31 9 2" xfId="32579" xr:uid="{6F1B6861-76FE-4EC4-9AE4-CA083109D23F}"/>
    <cellStyle name="Normal 31 9 3" xfId="32580" xr:uid="{051DE48D-1E74-47DC-A043-D0377498E96C}"/>
    <cellStyle name="Normal 32" xfId="13838" xr:uid="{E5181C71-66B7-4ACB-897A-499BB115AEB2}"/>
    <cellStyle name="Normal 32 10" xfId="13839" xr:uid="{CE43173C-D4AF-48AE-A929-1FAF1FF537C1}"/>
    <cellStyle name="Normal 32 10 2" xfId="32581" xr:uid="{3E84101F-5762-46D5-A4E4-42D8F31EB918}"/>
    <cellStyle name="Normal 32 10 3" xfId="32582" xr:uid="{E7C3EF76-F6BA-4DFF-A351-7257D682D251}"/>
    <cellStyle name="Normal 32 11" xfId="13840" xr:uid="{3B2997FE-5E7C-441C-A94C-810C3BAFF412}"/>
    <cellStyle name="Normal 32 11 2" xfId="32583" xr:uid="{72AD2AB3-FC5A-4717-B7C0-C5601EDD4EA2}"/>
    <cellStyle name="Normal 32 11 3" xfId="32584" xr:uid="{A9D70B17-AC37-469C-B3D1-7D515A22E92C}"/>
    <cellStyle name="Normal 32 12" xfId="13841" xr:uid="{6252356D-507D-42B6-87E7-9E41C0705DB7}"/>
    <cellStyle name="Normal 32 12 2" xfId="32585" xr:uid="{41B2C822-AB57-4791-B238-B7C826768FF3}"/>
    <cellStyle name="Normal 32 12 3" xfId="32586" xr:uid="{69EF67FF-370E-4FFC-94A6-5EB66E32E8CA}"/>
    <cellStyle name="Normal 32 13" xfId="13842" xr:uid="{C8D0B282-ED4A-4FF0-869E-8F03E833DBF8}"/>
    <cellStyle name="Normal 32 13 2" xfId="32587" xr:uid="{63F660DB-23B3-48B4-915F-8942FB6A69EE}"/>
    <cellStyle name="Normal 32 14" xfId="13843" xr:uid="{858410CE-A297-4BF3-9EC8-88B170EFAA67}"/>
    <cellStyle name="Normal 32 14 2" xfId="32588" xr:uid="{B01F1B01-45A0-48FA-A964-2C825ED25CC4}"/>
    <cellStyle name="Normal 32 14 3" xfId="32589" xr:uid="{1BBECE54-C3F0-4604-9EB3-50E40E4057C1}"/>
    <cellStyle name="Normal 32 15" xfId="32590" xr:uid="{12888D65-FC16-4C6E-A709-E98B39CB1621}"/>
    <cellStyle name="Normal 32 2" xfId="13844" xr:uid="{1C703517-FEDF-4BE2-ACEA-878C650F8853}"/>
    <cellStyle name="Normal 32 2 10" xfId="13845" xr:uid="{2E8B9665-7072-49D1-86CE-417E9BFCEBA8}"/>
    <cellStyle name="Normal 32 2 10 2" xfId="32591" xr:uid="{075DFC8E-24EC-406D-91FC-6F0A708F7AA9}"/>
    <cellStyle name="Normal 32 2 10 3" xfId="32592" xr:uid="{A341D3BB-2CAE-4444-9DEF-54CEF0D690B5}"/>
    <cellStyle name="Normal 32 2 11" xfId="13846" xr:uid="{79471EA4-1826-4E34-B8C4-299B031DB863}"/>
    <cellStyle name="Normal 32 2 12" xfId="13847" xr:uid="{8E6C95E9-5C32-44BF-825D-AEC3A973285C}"/>
    <cellStyle name="Normal 32 2 13" xfId="32593" xr:uid="{29E80FC1-3DA5-4CF4-8842-6C6C4DC77DD9}"/>
    <cellStyle name="Normal 32 2 2" xfId="13848" xr:uid="{36B7A9B2-EBEC-49F8-A7BA-62191BC53EEF}"/>
    <cellStyle name="Normal 32 2 2 2" xfId="32594" xr:uid="{26F30C7F-0662-40FA-BFBE-BA2BBFDAE3B2}"/>
    <cellStyle name="Normal 32 2 2 3" xfId="32595" xr:uid="{6C3220EB-C0A1-464E-B5CB-23F4E640F8F5}"/>
    <cellStyle name="Normal 32 2 3" xfId="13849" xr:uid="{F115A0B3-BBB9-4964-A190-6E19B2E141F3}"/>
    <cellStyle name="Normal 32 2 3 2" xfId="32596" xr:uid="{B02DCBAB-F1B9-4213-8D4F-DCB5BE7DCC23}"/>
    <cellStyle name="Normal 32 2 3 3" xfId="32597" xr:uid="{3928211A-8D30-48AC-A4CD-15A53E8B6D31}"/>
    <cellStyle name="Normal 32 2 4" xfId="13850" xr:uid="{7F553212-C3B0-40F2-8C18-59FD0B754F59}"/>
    <cellStyle name="Normal 32 2 4 2" xfId="32598" xr:uid="{33C8F7D0-3E17-4CBC-8438-A156305FD1D3}"/>
    <cellStyle name="Normal 32 2 4 3" xfId="32599" xr:uid="{E5F491EC-1889-4CC2-815C-9788831DDA0A}"/>
    <cellStyle name="Normal 32 2 5" xfId="13851" xr:uid="{C0108945-479F-473B-B336-064A3663880C}"/>
    <cellStyle name="Normal 32 2 5 2" xfId="32600" xr:uid="{77C28516-4039-4AEE-BEB6-23F2B24E170D}"/>
    <cellStyle name="Normal 32 2 5 3" xfId="32601" xr:uid="{CD52831C-0588-47BC-B08E-387D8B99FC54}"/>
    <cellStyle name="Normal 32 2 6" xfId="13852" xr:uid="{12182DD3-FB1B-4691-B7A8-C26F3C21B537}"/>
    <cellStyle name="Normal 32 2 6 2" xfId="32602" xr:uid="{7126E2FC-5422-442B-AD54-271B2A0DA083}"/>
    <cellStyle name="Normal 32 2 6 3" xfId="32603" xr:uid="{2C4961C6-CA46-4033-817D-D51583952CDB}"/>
    <cellStyle name="Normal 32 2 7" xfId="13853" xr:uid="{81975888-1359-40BE-8DA1-87DDFC003A08}"/>
    <cellStyle name="Normal 32 2 7 2" xfId="32604" xr:uid="{769AC280-A2E9-4E56-94E1-56DCA646C282}"/>
    <cellStyle name="Normal 32 2 7 3" xfId="32605" xr:uid="{5961305E-B63B-44CA-B526-F772CDCC28F5}"/>
    <cellStyle name="Normal 32 2 8" xfId="13854" xr:uid="{6B92DB7C-3EAD-4FFD-8A5B-EC9D5C40A7F3}"/>
    <cellStyle name="Normal 32 2 8 2" xfId="32606" xr:uid="{F28B7CD1-64AB-4116-A735-6CD91CFE1726}"/>
    <cellStyle name="Normal 32 2 8 3" xfId="32607" xr:uid="{D78AB5D1-9D9E-40D7-956F-8334B753A91B}"/>
    <cellStyle name="Normal 32 2 9" xfId="13855" xr:uid="{1612F9D7-EF38-40BF-9091-B8EF8BEB44BE}"/>
    <cellStyle name="Normal 32 2 9 2" xfId="32608" xr:uid="{089854AE-8F56-4F04-A012-33076FAB2087}"/>
    <cellStyle name="Normal 32 2 9 3" xfId="32609" xr:uid="{9A43FFD3-1E6B-43E4-B074-8997AC0D59DC}"/>
    <cellStyle name="Normal 32 3" xfId="13856" xr:uid="{EACD48AD-70E9-47E9-9AAA-36C4825A7840}"/>
    <cellStyle name="Normal 32 3 10" xfId="13857" xr:uid="{68A0BBD4-431B-4A94-87ED-1027C44A23C0}"/>
    <cellStyle name="Normal 32 3 10 2" xfId="32610" xr:uid="{35B75225-0108-470D-8572-98F0ABB10353}"/>
    <cellStyle name="Normal 32 3 10 3" xfId="32611" xr:uid="{0E5611FB-B400-4855-9A4D-7BDF90872772}"/>
    <cellStyle name="Normal 32 3 11" xfId="13858" xr:uid="{A4A37916-2399-4D52-B360-233585764CC8}"/>
    <cellStyle name="Normal 32 3 12" xfId="13859" xr:uid="{E900ED36-D057-4908-9BE1-D168E5E38A63}"/>
    <cellStyle name="Normal 32 3 13" xfId="32612" xr:uid="{F512728C-5564-405E-8ECA-B58EEB1F6BCF}"/>
    <cellStyle name="Normal 32 3 2" xfId="13860" xr:uid="{F89B0855-0057-4F98-8312-1276C19BC13E}"/>
    <cellStyle name="Normal 32 3 2 2" xfId="32613" xr:uid="{185F77E8-75E1-4763-AED8-72B63F0EBA45}"/>
    <cellStyle name="Normal 32 3 2 3" xfId="32614" xr:uid="{2EFED80F-717E-4F1F-8A20-16011011CBE2}"/>
    <cellStyle name="Normal 32 3 3" xfId="13861" xr:uid="{2185F6BA-5192-46D1-BE76-8834FA3E03C6}"/>
    <cellStyle name="Normal 32 3 3 2" xfId="32615" xr:uid="{020BB4F8-11D7-4147-BC3D-1DA1EA8E62D5}"/>
    <cellStyle name="Normal 32 3 3 3" xfId="32616" xr:uid="{F4ECAE1D-27D6-4C0B-AE85-D5B6FFD58F95}"/>
    <cellStyle name="Normal 32 3 4" xfId="13862" xr:uid="{C51BFBF1-DE8C-4FEF-8CDF-2F403E7B5D85}"/>
    <cellStyle name="Normal 32 3 4 2" xfId="32617" xr:uid="{86348BAF-A5E7-42CF-B272-9A7264FFB1BD}"/>
    <cellStyle name="Normal 32 3 4 3" xfId="32618" xr:uid="{AB45FD34-A826-4497-B556-75472C8565FD}"/>
    <cellStyle name="Normal 32 3 5" xfId="13863" xr:uid="{9918FE5D-762C-4A48-841C-AE0471BC826C}"/>
    <cellStyle name="Normal 32 3 5 2" xfId="32619" xr:uid="{DF265589-1EDE-4011-B1A0-227655B1CC8F}"/>
    <cellStyle name="Normal 32 3 5 3" xfId="32620" xr:uid="{457683A8-BB35-4438-BDE1-2F271C365D02}"/>
    <cellStyle name="Normal 32 3 6" xfId="13864" xr:uid="{4AB5FC76-FEED-43D5-BF49-34A2C922A484}"/>
    <cellStyle name="Normal 32 3 6 2" xfId="32621" xr:uid="{35F3EC55-E32A-47CC-AC40-95657ECC69DB}"/>
    <cellStyle name="Normal 32 3 6 3" xfId="32622" xr:uid="{98FCC004-AB59-48A5-A5E1-1843530AD3E2}"/>
    <cellStyle name="Normal 32 3 7" xfId="13865" xr:uid="{1D6CAFB8-92ED-40CB-B06B-46165648D7DC}"/>
    <cellStyle name="Normal 32 3 7 2" xfId="32623" xr:uid="{B89713D7-4A77-43BC-B387-E7802DF8E1CA}"/>
    <cellStyle name="Normal 32 3 7 3" xfId="32624" xr:uid="{4956FD82-06D2-422D-B064-9C6D6C68FFF3}"/>
    <cellStyle name="Normal 32 3 8" xfId="13866" xr:uid="{A7925C84-9952-4A5F-B5F1-1E14015A553F}"/>
    <cellStyle name="Normal 32 3 8 2" xfId="32625" xr:uid="{10A42665-7751-4A1A-BE9C-9F1AEE63F6DA}"/>
    <cellStyle name="Normal 32 3 8 3" xfId="32626" xr:uid="{15E2A615-71AC-45E4-B1A6-53A882A80A27}"/>
    <cellStyle name="Normal 32 3 9" xfId="13867" xr:uid="{E793577A-553F-4871-9C4A-64B5745B595C}"/>
    <cellStyle name="Normal 32 3 9 2" xfId="32627" xr:uid="{AD34D399-4D32-4A9A-889F-5DF226915702}"/>
    <cellStyle name="Normal 32 3 9 3" xfId="32628" xr:uid="{8BD415EA-143D-459E-840A-003DAAFF30EE}"/>
    <cellStyle name="Normal 32 4" xfId="13868" xr:uid="{28516807-48B7-40A4-A665-C102C3192BCA}"/>
    <cellStyle name="Normal 32 4 2" xfId="32629" xr:uid="{403A22EC-B8F3-44D5-B638-850EDCF35F76}"/>
    <cellStyle name="Normal 32 4 3" xfId="32630" xr:uid="{7A813E8C-B3BC-49A5-8C3D-0DE175376DE3}"/>
    <cellStyle name="Normal 32 5" xfId="13869" xr:uid="{46E44356-28CD-4AB0-8FC1-6C2F3F502313}"/>
    <cellStyle name="Normal 32 5 2" xfId="32631" xr:uid="{DFC3C148-6703-4CBB-8FD3-433233D6507C}"/>
    <cellStyle name="Normal 32 5 3" xfId="32632" xr:uid="{FEE313F2-AF8F-4B70-8A97-8D449172FA35}"/>
    <cellStyle name="Normal 32 6" xfId="13870" xr:uid="{7BB88517-CFAA-4C30-912A-E5D92153277D}"/>
    <cellStyle name="Normal 32 6 2" xfId="32633" xr:uid="{5444326A-9BEC-4502-9BF2-B690B10BD9B7}"/>
    <cellStyle name="Normal 32 6 3" xfId="32634" xr:uid="{19D2FADA-D77B-4232-B206-4F783FF8BE02}"/>
    <cellStyle name="Normal 32 7" xfId="13871" xr:uid="{A21E1427-DAFC-4B17-8A8E-65F89F52B299}"/>
    <cellStyle name="Normal 32 7 2" xfId="32635" xr:uid="{14672196-5C3E-4301-BC43-090CB462DBB1}"/>
    <cellStyle name="Normal 32 7 3" xfId="32636" xr:uid="{EDA305A7-F5F2-48EE-A308-F50684E202A2}"/>
    <cellStyle name="Normal 32 8" xfId="13872" xr:uid="{40E3A911-3A76-4467-B734-38D194DC00D5}"/>
    <cellStyle name="Normal 32 8 2" xfId="32637" xr:uid="{9C95AB8D-548A-4DA2-A5EB-71ABA525F40F}"/>
    <cellStyle name="Normal 32 8 3" xfId="32638" xr:uid="{992C010F-ED76-4579-80D3-71D99C267A31}"/>
    <cellStyle name="Normal 32 9" xfId="13873" xr:uid="{1FC95923-4925-45F5-B9FE-1D303B3B40F1}"/>
    <cellStyle name="Normal 32 9 2" xfId="32639" xr:uid="{053F2D3B-37D9-40F1-A827-B647CDA6B69C}"/>
    <cellStyle name="Normal 32 9 3" xfId="32640" xr:uid="{F13A3960-80DF-4AB9-9DF5-F7DE7811FCE8}"/>
    <cellStyle name="Normal 33" xfId="13874" xr:uid="{D4B522D4-DAF3-4431-BB00-44B313EB536A}"/>
    <cellStyle name="Normal 33 10" xfId="13875" xr:uid="{2EB75C27-7198-4024-A407-C0F19891E356}"/>
    <cellStyle name="Normal 33 10 2" xfId="32641" xr:uid="{754F3833-D7A0-4839-B627-FD9417006E26}"/>
    <cellStyle name="Normal 33 10 3" xfId="32642" xr:uid="{A3775842-BB02-4D3E-B488-F1D9A8FC367B}"/>
    <cellStyle name="Normal 33 10 4" xfId="32643" xr:uid="{CF1A9C6C-8D8F-4D2B-AA94-EE8ED7A757A4}"/>
    <cellStyle name="Normal 33 11" xfId="13876" xr:uid="{41E561E6-5B29-466D-9F6C-F4DC61B7BF2B}"/>
    <cellStyle name="Normal 33 11 2" xfId="32644" xr:uid="{E6A12577-253E-4026-BC25-568FA060D8D3}"/>
    <cellStyle name="Normal 33 11 3" xfId="32645" xr:uid="{5523F394-D9EB-4151-B046-782088C43423}"/>
    <cellStyle name="Normal 33 12" xfId="13877" xr:uid="{E5C7C7C2-EAE1-4FE0-9375-26BAC8E5228B}"/>
    <cellStyle name="Normal 33 12 2" xfId="32646" xr:uid="{14BC8108-5A0C-41D5-9744-5A485DBFE714}"/>
    <cellStyle name="Normal 33 12 3" xfId="32647" xr:uid="{447827F2-53A1-487A-9D98-A780EDB987A3}"/>
    <cellStyle name="Normal 33 12 4" xfId="32648" xr:uid="{20C43A4F-AC36-45BA-9F9D-DF3404C3B113}"/>
    <cellStyle name="Normal 33 13" xfId="32649" xr:uid="{881024D7-2292-46BF-831C-749D601F8EB4}"/>
    <cellStyle name="Normal 33 13 2" xfId="32650" xr:uid="{714E0BBD-D192-43CD-A5EC-E7BAE87DFCE4}"/>
    <cellStyle name="Normal 33 14" xfId="32651" xr:uid="{AAB17A3D-8263-4D4C-93FB-2AFA90AE334B}"/>
    <cellStyle name="Normal 33 15" xfId="45838" xr:uid="{A93AB842-E6EC-4D0C-885F-0FEB2A67A0A9}"/>
    <cellStyle name="Normal 33 2" xfId="13878" xr:uid="{5161C9C7-A919-4BD6-909D-A79788085825}"/>
    <cellStyle name="Normal 33 2 2" xfId="13879" xr:uid="{CF43CB51-77D6-4DE2-865B-60DA8A491719}"/>
    <cellStyle name="Normal 33 2 3" xfId="13880" xr:uid="{C0D30E22-C758-4089-9245-4819C3D783B6}"/>
    <cellStyle name="Normal 33 2 4" xfId="32652" xr:uid="{E3043966-BBEA-4A58-B596-0F551E129C0E}"/>
    <cellStyle name="Normal 33 2 5" xfId="32653" xr:uid="{DE6CED1E-6DCE-4F81-B21A-A657978BD030}"/>
    <cellStyle name="Normal 33 3" xfId="13881" xr:uid="{878B7FD6-2E43-4178-BF43-DE5E2C5D0366}"/>
    <cellStyle name="Normal 33 3 2" xfId="13882" xr:uid="{5CCBE25C-EFC0-4A1D-AF2D-6B7462C5BE32}"/>
    <cellStyle name="Normal 33 3 3" xfId="13883" xr:uid="{A237E812-46FC-41CA-8DF7-9C35C5F0FABE}"/>
    <cellStyle name="Normal 33 3 4" xfId="32654" xr:uid="{8D9697A0-09E5-4A5C-B7B0-8965ABF8248A}"/>
    <cellStyle name="Normal 33 3 5" xfId="32655" xr:uid="{8246E6AF-3FE1-4784-B95E-855F952CBB95}"/>
    <cellStyle name="Normal 33 4" xfId="13884" xr:uid="{53CE9D5D-897B-4D2E-9E58-73854EDA60C8}"/>
    <cellStyle name="Normal 33 4 2" xfId="32656" xr:uid="{FD7D831F-3424-4A0B-BDF2-43BA1F0154A2}"/>
    <cellStyle name="Normal 33 4 3" xfId="32657" xr:uid="{10A3F96A-24AE-465E-9017-377E6F628A44}"/>
    <cellStyle name="Normal 33 4 4" xfId="32658" xr:uid="{16B8100E-15D5-4CF6-AEF6-E9097AA82FEC}"/>
    <cellStyle name="Normal 33 5" xfId="13885" xr:uid="{274975C5-25D2-4EE2-A237-4D693007A88A}"/>
    <cellStyle name="Normal 33 5 2" xfId="32659" xr:uid="{46DA4C07-C577-4DAC-863B-71D797B8A5E3}"/>
    <cellStyle name="Normal 33 5 3" xfId="32660" xr:uid="{91BB3772-2382-47B9-B45D-8CC9D8F22AED}"/>
    <cellStyle name="Normal 33 5 4" xfId="32661" xr:uid="{100FD974-E25A-4828-98C8-8B23B9991719}"/>
    <cellStyle name="Normal 33 6" xfId="13886" xr:uid="{97724C62-5BAA-4729-9B5D-42DB18B59AB8}"/>
    <cellStyle name="Normal 33 6 2" xfId="32662" xr:uid="{0D75CB0F-B55D-4C3D-94A3-9C8BF3FE9EF6}"/>
    <cellStyle name="Normal 33 6 3" xfId="32663" xr:uid="{0A1A5139-2C50-49FF-95C3-9F0852CBEBD7}"/>
    <cellStyle name="Normal 33 6 4" xfId="32664" xr:uid="{66CFDD02-4111-46BE-834B-482D72CF3A01}"/>
    <cellStyle name="Normal 33 7" xfId="13887" xr:uid="{02E1FCF6-86F3-484A-BBC0-654C3D3A3AA1}"/>
    <cellStyle name="Normal 33 7 2" xfId="32665" xr:uid="{D5711588-5402-43C1-AD1F-3EDF846E574C}"/>
    <cellStyle name="Normal 33 7 3" xfId="32666" xr:uid="{34AD8BD3-6093-4A0E-BC88-35E21DBEF6D5}"/>
    <cellStyle name="Normal 33 7 4" xfId="32667" xr:uid="{71376B7F-CE57-4428-BEAE-B8DA8634EC1A}"/>
    <cellStyle name="Normal 33 8" xfId="13888" xr:uid="{1E725B11-126E-4984-8721-B10B6F649CB4}"/>
    <cellStyle name="Normal 33 8 2" xfId="32668" xr:uid="{E342D8E6-7FA1-422D-ADEE-C34B12882D43}"/>
    <cellStyle name="Normal 33 8 3" xfId="32669" xr:uid="{1CB29F47-DA7B-4A06-991B-3939323DCAFA}"/>
    <cellStyle name="Normal 33 8 4" xfId="32670" xr:uid="{D8379B19-6F54-417B-8D0A-45793129F21F}"/>
    <cellStyle name="Normal 33 9" xfId="13889" xr:uid="{DBC62D6C-35C8-4B56-8D68-354608BA5359}"/>
    <cellStyle name="Normal 33 9 2" xfId="32671" xr:uid="{F505E268-750F-4CF7-9377-9714A4405439}"/>
    <cellStyle name="Normal 33 9 3" xfId="32672" xr:uid="{E335F90C-6FE0-44EB-8BED-B82A4B9DC9B7}"/>
    <cellStyle name="Normal 33 9 4" xfId="32673" xr:uid="{A7E1254B-77DB-4675-96DC-0F61559B44A6}"/>
    <cellStyle name="Normal 33_Scen_XBase" xfId="32674" xr:uid="{0F52BF78-62E3-44E3-812B-07E82D124975}"/>
    <cellStyle name="Normal 34" xfId="13890" xr:uid="{BC11CA20-ECFC-40CC-B243-9DDC6F0A47FF}"/>
    <cellStyle name="Normal 34 10" xfId="13891" xr:uid="{586446F8-63B9-4DA0-A385-654F88484DB5}"/>
    <cellStyle name="Normal 34 10 2" xfId="32675" xr:uid="{B176F5BC-C29D-4091-BB29-19CD0114DFCD}"/>
    <cellStyle name="Normal 34 10 3" xfId="32676" xr:uid="{55548A79-BDAC-448F-A196-E6644A1DF551}"/>
    <cellStyle name="Normal 34 11" xfId="13892" xr:uid="{B2C8FF9B-67CD-4337-AAD6-05FCEA2A1129}"/>
    <cellStyle name="Normal 34 11 2" xfId="32677" xr:uid="{05EAF123-3E5F-4497-B581-BB41037E9CBD}"/>
    <cellStyle name="Normal 34 11 3" xfId="32678" xr:uid="{CF7DB1AC-C574-4229-BE56-E03A474ADE38}"/>
    <cellStyle name="Normal 34 12" xfId="13893" xr:uid="{1F0BF8DF-F339-4475-BAAA-FB58B1C3B5FD}"/>
    <cellStyle name="Normal 34 12 2" xfId="32679" xr:uid="{7C3D512D-CBB2-4AE6-ADB0-F0FB40B6F98A}"/>
    <cellStyle name="Normal 34 12 3" xfId="32680" xr:uid="{15F0589B-6E93-43AD-864A-2EA280B4CA0A}"/>
    <cellStyle name="Normal 34 13" xfId="13894" xr:uid="{CDBC2FFD-D62E-4A63-90B2-D497FE732406}"/>
    <cellStyle name="Normal 34 13 2" xfId="32681" xr:uid="{1305E16F-C7C3-4198-BAAD-BB75022AABCC}"/>
    <cellStyle name="Normal 34 14" xfId="13895" xr:uid="{7797DFE3-635A-423B-A758-4E61BD2E82FF}"/>
    <cellStyle name="Normal 34 14 2" xfId="32682" xr:uid="{3E7C0242-D7BE-4175-8D49-8B095B6892A2}"/>
    <cellStyle name="Normal 34 14 3" xfId="32683" xr:uid="{7813D2CD-3BBD-4834-BD95-77970CEADA55}"/>
    <cellStyle name="Normal 34 15" xfId="32684" xr:uid="{46243C72-A7A9-4DE8-B0AE-349BD07680B5}"/>
    <cellStyle name="Normal 34 16" xfId="42936" xr:uid="{875F8DEC-0FF6-4D53-B0A1-C512FD3E75E4}"/>
    <cellStyle name="Normal 34 2" xfId="13896" xr:uid="{D8C15453-60E7-4F20-9295-A9D3DA436DE8}"/>
    <cellStyle name="Normal 34 2 10" xfId="13897" xr:uid="{3D9A0928-3F5A-4066-A6B1-0EAAB8D82927}"/>
    <cellStyle name="Normal 34 2 10 2" xfId="32685" xr:uid="{52D166D2-A64E-426E-B4F4-39D2DFDF7311}"/>
    <cellStyle name="Normal 34 2 10 3" xfId="32686" xr:uid="{3A40583E-E8AB-4BC8-9BB9-B364B6D21995}"/>
    <cellStyle name="Normal 34 2 11" xfId="13898" xr:uid="{D7597D01-0B5A-4D00-8424-164A0F302F72}"/>
    <cellStyle name="Normal 34 2 12" xfId="13899" xr:uid="{0F9FF64B-D3F8-4005-8EA0-E72D4A58FD33}"/>
    <cellStyle name="Normal 34 2 13" xfId="32687" xr:uid="{BB5C09DF-6B0D-4127-86C5-D9C9BB33DEB1}"/>
    <cellStyle name="Normal 34 2 2" xfId="13900" xr:uid="{7C154361-282E-4FB0-83FE-B7245796D7D1}"/>
    <cellStyle name="Normal 34 2 2 2" xfId="32688" xr:uid="{94AEBC2A-2768-414D-9B04-0C1556B03421}"/>
    <cellStyle name="Normal 34 2 2 3" xfId="32689" xr:uid="{E0B29A3B-D3ED-4BA2-9D9F-8DEBE526741F}"/>
    <cellStyle name="Normal 34 2 3" xfId="13901" xr:uid="{280996CC-E42F-4D08-B823-F417EF206DB4}"/>
    <cellStyle name="Normal 34 2 3 2" xfId="32690" xr:uid="{B3D84FAE-0A76-44EA-9C47-3261C4E464A0}"/>
    <cellStyle name="Normal 34 2 3 3" xfId="32691" xr:uid="{E907BFFE-44BF-419C-BC01-8CE89A978263}"/>
    <cellStyle name="Normal 34 2 4" xfId="13902" xr:uid="{27AC1087-7CDF-4D5B-9BB2-DA0FA9B06450}"/>
    <cellStyle name="Normal 34 2 4 2" xfId="32692" xr:uid="{30CBAB61-AF17-4350-A8C4-B86E53B8C47C}"/>
    <cellStyle name="Normal 34 2 4 3" xfId="32693" xr:uid="{A3F5FC27-2B07-495A-838F-0C3D33E3C1B5}"/>
    <cellStyle name="Normal 34 2 5" xfId="13903" xr:uid="{F4D6FE96-AC8B-41C6-9495-62DF027899EB}"/>
    <cellStyle name="Normal 34 2 5 2" xfId="32694" xr:uid="{128D5E9E-FD20-421E-BDFC-C98C59EF1314}"/>
    <cellStyle name="Normal 34 2 5 3" xfId="32695" xr:uid="{B8CA2D63-C7CF-4806-9E9C-F7E513B59EE2}"/>
    <cellStyle name="Normal 34 2 6" xfId="13904" xr:uid="{6318922D-C858-491A-9F7A-61510B256459}"/>
    <cellStyle name="Normal 34 2 6 2" xfId="32696" xr:uid="{156893A3-D5D4-4CE5-AADF-12255B9F2573}"/>
    <cellStyle name="Normal 34 2 6 3" xfId="32697" xr:uid="{9ED7B0FB-9E4B-40DB-AD49-8D944EFCB6E4}"/>
    <cellStyle name="Normal 34 2 7" xfId="13905" xr:uid="{B2FA5C6A-CB7F-43FD-8F21-E85E499CFEBF}"/>
    <cellStyle name="Normal 34 2 7 2" xfId="32698" xr:uid="{8C278AAB-020E-4B05-A857-E928B5FF2A87}"/>
    <cellStyle name="Normal 34 2 7 3" xfId="32699" xr:uid="{0BFC1DF8-5F65-41CA-92C3-C2EBB6759B49}"/>
    <cellStyle name="Normal 34 2 8" xfId="13906" xr:uid="{0CF5268C-5A3A-4C07-92D3-3B072DBA965B}"/>
    <cellStyle name="Normal 34 2 8 2" xfId="32700" xr:uid="{EC23332F-ACB7-4A82-9E6E-641B97AF12F5}"/>
    <cellStyle name="Normal 34 2 8 3" xfId="32701" xr:uid="{9292204D-3A71-48D3-9F5D-A670F96A7EF2}"/>
    <cellStyle name="Normal 34 2 9" xfId="13907" xr:uid="{E7353C06-5036-45E5-8573-73FE380FF41A}"/>
    <cellStyle name="Normal 34 2 9 2" xfId="32702" xr:uid="{2A9F588B-8C9A-40DB-81EA-5DE455639494}"/>
    <cellStyle name="Normal 34 2 9 3" xfId="32703" xr:uid="{B74DF00D-8011-476E-9016-109AF70280F4}"/>
    <cellStyle name="Normal 34 3" xfId="13908" xr:uid="{36FA084F-8AA2-48C3-868D-687355FDE982}"/>
    <cellStyle name="Normal 34 3 10" xfId="13909" xr:uid="{832F34A9-C2F0-42D9-94B1-B4CE1FA274B1}"/>
    <cellStyle name="Normal 34 3 10 2" xfId="32704" xr:uid="{FB7FB4A4-49EB-408F-B2C0-B9F16F74D522}"/>
    <cellStyle name="Normal 34 3 10 3" xfId="32705" xr:uid="{3E5F0F4A-A87F-4F85-8C97-E2E1118E9C3E}"/>
    <cellStyle name="Normal 34 3 11" xfId="13910" xr:uid="{78953BB4-69F4-4D00-8B35-B716F4236F31}"/>
    <cellStyle name="Normal 34 3 12" xfId="13911" xr:uid="{D0CCCE0A-08F0-4C69-AAA7-A6CEE96BEBB3}"/>
    <cellStyle name="Normal 34 3 13" xfId="32706" xr:uid="{158ABB77-19AC-42FD-B46C-603BFA4AE603}"/>
    <cellStyle name="Normal 34 3 2" xfId="13912" xr:uid="{29C238FA-625F-47B4-B212-64061BF13604}"/>
    <cellStyle name="Normal 34 3 2 2" xfId="32707" xr:uid="{14DD958B-1482-4881-8833-F982E1D88961}"/>
    <cellStyle name="Normal 34 3 2 3" xfId="32708" xr:uid="{DD57C036-B7DD-45DC-99AE-2D12883CA66F}"/>
    <cellStyle name="Normal 34 3 3" xfId="13913" xr:uid="{33E5E5E1-45B4-4FFC-97A9-5551A77883E0}"/>
    <cellStyle name="Normal 34 3 3 2" xfId="32709" xr:uid="{F9B19603-3455-4F5C-A8D2-7D1CB8B1D525}"/>
    <cellStyle name="Normal 34 3 3 3" xfId="32710" xr:uid="{7267A884-7E3D-4431-8922-083BD6539BDB}"/>
    <cellStyle name="Normal 34 3 4" xfId="13914" xr:uid="{2F30FE70-310A-458A-8839-BEB9FE45094A}"/>
    <cellStyle name="Normal 34 3 4 2" xfId="32711" xr:uid="{B4DE6D9C-7739-4B96-9655-62689F8945A3}"/>
    <cellStyle name="Normal 34 3 4 3" xfId="32712" xr:uid="{237847BC-11CB-4F85-856F-A43CE53969E8}"/>
    <cellStyle name="Normal 34 3 5" xfId="13915" xr:uid="{9A0CF106-C30C-4B76-8856-E94C92AD6347}"/>
    <cellStyle name="Normal 34 3 5 2" xfId="32713" xr:uid="{C1FFDB4A-D5EF-4456-AC79-C7837898E74E}"/>
    <cellStyle name="Normal 34 3 5 3" xfId="32714" xr:uid="{F97FDD89-8A8B-424C-B4DC-54E95A9D8C9C}"/>
    <cellStyle name="Normal 34 3 6" xfId="13916" xr:uid="{E8967BB8-C909-4215-9B45-FD823E26ACA5}"/>
    <cellStyle name="Normal 34 3 6 2" xfId="32715" xr:uid="{EB5923F0-FD54-461A-A086-13E3C6704D82}"/>
    <cellStyle name="Normal 34 3 6 3" xfId="32716" xr:uid="{FD0FD9E6-0A7F-4087-8FFF-20BE5503B9A7}"/>
    <cellStyle name="Normal 34 3 7" xfId="13917" xr:uid="{64B0C665-9735-41AB-BE9C-517CD58D2031}"/>
    <cellStyle name="Normal 34 3 7 2" xfId="32717" xr:uid="{3F072A64-4406-4411-A70B-AA00AE836A53}"/>
    <cellStyle name="Normal 34 3 7 3" xfId="32718" xr:uid="{11D4C779-FF03-4D5C-97CD-4D77FBAA2AC4}"/>
    <cellStyle name="Normal 34 3 8" xfId="13918" xr:uid="{0FABFEAC-D1C2-4E0C-98E8-CB9BB8F2F30D}"/>
    <cellStyle name="Normal 34 3 8 2" xfId="32719" xr:uid="{37ABA23D-B987-48E8-A21D-9B4EA301EB01}"/>
    <cellStyle name="Normal 34 3 8 3" xfId="32720" xr:uid="{D0497C67-82FC-40E8-A59D-8119A1CAF39C}"/>
    <cellStyle name="Normal 34 3 9" xfId="13919" xr:uid="{73F74686-9D09-4934-BF83-2C53BDA050B0}"/>
    <cellStyle name="Normal 34 3 9 2" xfId="32721" xr:uid="{92E1DA69-81EF-424F-85C1-D93EC34E49D9}"/>
    <cellStyle name="Normal 34 3 9 3" xfId="32722" xr:uid="{2B6B22D8-438D-408E-ACB8-6356BDE71FE2}"/>
    <cellStyle name="Normal 34 4" xfId="13920" xr:uid="{D87A4CCB-55D8-44F3-88CD-701923B811D3}"/>
    <cellStyle name="Normal 34 4 2" xfId="32723" xr:uid="{7815F6E1-9043-4B38-AAE4-A54774D47206}"/>
    <cellStyle name="Normal 34 4 3" xfId="32724" xr:uid="{844548D4-D441-4A51-A59F-9BE8C3FC0624}"/>
    <cellStyle name="Normal 34 5" xfId="13921" xr:uid="{17F66AC7-DDA7-43B7-BE82-A850FFE3FE33}"/>
    <cellStyle name="Normal 34 5 2" xfId="32725" xr:uid="{2CDB0EDF-7840-4C8F-832D-92582BB95935}"/>
    <cellStyle name="Normal 34 5 3" xfId="32726" xr:uid="{CB67C956-882B-4EE9-8603-F59F337BF37B}"/>
    <cellStyle name="Normal 34 6" xfId="13922" xr:uid="{E7DEF362-DA08-4C2E-9760-EAE67D562E15}"/>
    <cellStyle name="Normal 34 6 2" xfId="32727" xr:uid="{128098C4-71EA-4AD2-AF92-FC44F620FBE6}"/>
    <cellStyle name="Normal 34 6 3" xfId="32728" xr:uid="{0A691B16-979C-4852-93A5-F17539F5F46F}"/>
    <cellStyle name="Normal 34 7" xfId="13923" xr:uid="{9C94F124-596B-43DB-B534-4686E12F3566}"/>
    <cellStyle name="Normal 34 7 2" xfId="32729" xr:uid="{F2EDBF3C-6D8B-454A-81C1-E1AC8D2DED72}"/>
    <cellStyle name="Normal 34 7 3" xfId="32730" xr:uid="{967F0F3B-3476-481C-A425-0A76FD1ADAAB}"/>
    <cellStyle name="Normal 34 8" xfId="13924" xr:uid="{B4C4BA98-ACEA-4EF3-8318-1803BD1AB0F7}"/>
    <cellStyle name="Normal 34 8 2" xfId="32731" xr:uid="{5484224B-D911-4976-B42B-67D0C5B91070}"/>
    <cellStyle name="Normal 34 8 3" xfId="32732" xr:uid="{2AF53D83-275B-427B-980C-36C98775D992}"/>
    <cellStyle name="Normal 34 9" xfId="13925" xr:uid="{9AE88415-A68A-441D-BE85-571C9038F5B1}"/>
    <cellStyle name="Normal 34 9 2" xfId="32733" xr:uid="{118AF4E2-34ED-4B73-A562-5C2D3D4FA439}"/>
    <cellStyle name="Normal 34 9 3" xfId="32734" xr:uid="{42BD5F0D-35DA-47BB-80D9-BBCAFCDA4C95}"/>
    <cellStyle name="Normal 35" xfId="13926" xr:uid="{C0A2AB32-06DF-43C6-8810-C366C42F9FA6}"/>
    <cellStyle name="Normal 35 10" xfId="13927" xr:uid="{99172262-C5E2-4840-AEE8-6E57020FEF01}"/>
    <cellStyle name="Normal 35 10 2" xfId="32735" xr:uid="{838FEDA8-7F68-410E-95FC-CF7599DC44AD}"/>
    <cellStyle name="Normal 35 10 3" xfId="32736" xr:uid="{9B851DD7-F672-4323-9AB4-60FA8A8E693F}"/>
    <cellStyle name="Normal 35 11" xfId="13928" xr:uid="{0144B54C-8FCD-479E-A2F1-967306ACEF09}"/>
    <cellStyle name="Normal 35 11 2" xfId="32737" xr:uid="{FB1C03D5-BDD4-4C08-A62E-0401C2CFD78E}"/>
    <cellStyle name="Normal 35 11 3" xfId="32738" xr:uid="{B4DAA8A6-201E-46EA-85B0-657E8090F2F5}"/>
    <cellStyle name="Normal 35 12" xfId="13929" xr:uid="{18A7B560-395E-4142-BCA6-80864613458C}"/>
    <cellStyle name="Normal 35 12 2" xfId="32739" xr:uid="{A112A2FC-FF4F-476E-89C8-511DC0C49456}"/>
    <cellStyle name="Normal 35 12 3" xfId="32740" xr:uid="{9F69DD97-C201-4175-B8C6-20E0F5747336}"/>
    <cellStyle name="Normal 35 13" xfId="13930" xr:uid="{CF03DC17-2CF9-4094-9A5D-C1F2800DF266}"/>
    <cellStyle name="Normal 35 13 2" xfId="32741" xr:uid="{03C3CD86-7653-4476-9E77-4518A4CCE040}"/>
    <cellStyle name="Normal 35 14" xfId="13931" xr:uid="{490EC057-E6CF-4314-8B10-3EA2D11C16F9}"/>
    <cellStyle name="Normal 35 14 2" xfId="32742" xr:uid="{A62083BD-2CFE-437C-B4CC-B40D9AC5BAC0}"/>
    <cellStyle name="Normal 35 14 3" xfId="32743" xr:uid="{56A495CC-BD5F-4BD1-926D-F6B7577C76CD}"/>
    <cellStyle name="Normal 35 15" xfId="32744" xr:uid="{B7B6726A-DD22-4EE9-AC04-CB9602D69221}"/>
    <cellStyle name="Normal 35 2" xfId="13932" xr:uid="{C9A6CC9E-43B0-466D-A1E1-F800DFF4569B}"/>
    <cellStyle name="Normal 35 2 10" xfId="13933" xr:uid="{65FFE3DD-4186-45DC-BBB7-A6A1F975AB16}"/>
    <cellStyle name="Normal 35 2 10 2" xfId="32745" xr:uid="{6A665BC5-8E81-4FF3-86DD-8AFF9B238325}"/>
    <cellStyle name="Normal 35 2 10 3" xfId="32746" xr:uid="{1CA092AA-095E-42E3-97AB-211682F8FE19}"/>
    <cellStyle name="Normal 35 2 11" xfId="13934" xr:uid="{49DAF91A-17AA-47DA-92C0-0E9B96BE88D0}"/>
    <cellStyle name="Normal 35 2 11 2" xfId="32747" xr:uid="{5F1F8D96-9B08-4683-A806-2DCFB1756420}"/>
    <cellStyle name="Normal 35 2 11 3" xfId="32748" xr:uid="{89B35AB3-8D50-4A1F-ACB4-8F514FE2645D}"/>
    <cellStyle name="Normal 35 2 12" xfId="13935" xr:uid="{32D0652C-5292-4FA3-A793-CD4FC5E93725}"/>
    <cellStyle name="Normal 35 2 13" xfId="32749" xr:uid="{AECC4C9C-1ED9-471F-90E4-5E11D4DCE775}"/>
    <cellStyle name="Normal 35 2 2" xfId="13936" xr:uid="{8779594D-074B-45A8-9707-7E17E5BD0A0F}"/>
    <cellStyle name="Normal 35 2 2 2" xfId="32750" xr:uid="{2424E422-CE47-4E4A-82B0-B197D3D6654E}"/>
    <cellStyle name="Normal 35 2 2 3" xfId="32751" xr:uid="{E4C906EA-E192-447B-94F6-8C0DB1F67171}"/>
    <cellStyle name="Normal 35 2 3" xfId="13937" xr:uid="{F72CA9FF-998A-4019-9ECB-737BBCB792A3}"/>
    <cellStyle name="Normal 35 2 3 2" xfId="32752" xr:uid="{B9325FED-A551-4384-AAB8-D4527F1785DD}"/>
    <cellStyle name="Normal 35 2 3 3" xfId="32753" xr:uid="{65705859-8606-4E1E-A0FB-2225DAEA6DC2}"/>
    <cellStyle name="Normal 35 2 4" xfId="13938" xr:uid="{B12792BB-CA9D-4BE6-A623-9B9829A9B559}"/>
    <cellStyle name="Normal 35 2 4 2" xfId="32754" xr:uid="{DF1597FF-EF28-46CC-93AC-EFAE5E46482B}"/>
    <cellStyle name="Normal 35 2 4 3" xfId="32755" xr:uid="{DA6EA79F-9563-4906-BFA6-4B5556C5767A}"/>
    <cellStyle name="Normal 35 2 5" xfId="13939" xr:uid="{F6F85454-A45B-47A0-8BBF-EB4BC382C0C9}"/>
    <cellStyle name="Normal 35 2 5 2" xfId="32756" xr:uid="{2C5BBEFB-F473-4CA7-94A4-A42BDB79B068}"/>
    <cellStyle name="Normal 35 2 5 3" xfId="32757" xr:uid="{8BAE5FB2-5CBD-4CE7-A395-EE3AB3A1BAF4}"/>
    <cellStyle name="Normal 35 2 6" xfId="13940" xr:uid="{72C8D062-7090-4A95-8EC6-F79A78F688CB}"/>
    <cellStyle name="Normal 35 2 6 2" xfId="32758" xr:uid="{4F5423A9-5102-4C99-A6A5-E555A4C7F207}"/>
    <cellStyle name="Normal 35 2 6 3" xfId="32759" xr:uid="{A8345B65-A960-4E05-82A6-89CDB507B8B9}"/>
    <cellStyle name="Normal 35 2 7" xfId="13941" xr:uid="{71A1A935-2C89-416F-9A35-9082E8FF5D4E}"/>
    <cellStyle name="Normal 35 2 7 2" xfId="32760" xr:uid="{5F3911E1-FDB4-4950-94C3-8939B5D8A1FE}"/>
    <cellStyle name="Normal 35 2 7 3" xfId="32761" xr:uid="{33D2CCD9-0B6B-4222-A19E-AEF2D62709CD}"/>
    <cellStyle name="Normal 35 2 8" xfId="13942" xr:uid="{3B0F493F-D27F-4C36-954D-63E9FEBCF0BD}"/>
    <cellStyle name="Normal 35 2 8 2" xfId="32762" xr:uid="{2365E92A-CDAC-44B1-B1FB-ADFAA43F7136}"/>
    <cellStyle name="Normal 35 2 8 3" xfId="32763" xr:uid="{955A6195-E319-4A79-8D78-B130F0D6C5DA}"/>
    <cellStyle name="Normal 35 2 9" xfId="13943" xr:uid="{16CBA45B-8905-45AC-9854-F631215FAB19}"/>
    <cellStyle name="Normal 35 2 9 2" xfId="32764" xr:uid="{2BEF6ECD-8DCB-45D6-AB85-264090012D1B}"/>
    <cellStyle name="Normal 35 2 9 3" xfId="32765" xr:uid="{623088A8-C0A8-4916-A236-DD7FAD851867}"/>
    <cellStyle name="Normal 35 3" xfId="13944" xr:uid="{8E97F212-050F-4FA3-BC89-4ADBED7B7D98}"/>
    <cellStyle name="Normal 35 3 10" xfId="13945" xr:uid="{E007C2E5-75F5-474E-9121-7A797823EF4E}"/>
    <cellStyle name="Normal 35 3 10 2" xfId="32766" xr:uid="{DE5F8E65-6E66-466E-B0CC-294310AD1E65}"/>
    <cellStyle name="Normal 35 3 10 3" xfId="32767" xr:uid="{D91A97DC-12B0-406B-9845-8541CFE07FC8}"/>
    <cellStyle name="Normal 35 3 11" xfId="13946" xr:uid="{9C1FD58E-E712-423D-8FB1-576E274CC097}"/>
    <cellStyle name="Normal 35 3 12" xfId="13947" xr:uid="{42E4F0DA-C278-4990-9B08-58DC044FEB12}"/>
    <cellStyle name="Normal 35 3 13" xfId="32768" xr:uid="{5E0A0243-9ED8-4186-8A5F-35C9559C6FFA}"/>
    <cellStyle name="Normal 35 3 2" xfId="13948" xr:uid="{EAD499B7-77F4-4B11-A288-B2A0176031DF}"/>
    <cellStyle name="Normal 35 3 2 2" xfId="32769" xr:uid="{F6F89FF8-676E-458A-BA22-3FB09CEF4CD5}"/>
    <cellStyle name="Normal 35 3 2 3" xfId="32770" xr:uid="{87B270B1-328A-46EA-AFFA-83DD2AD23C22}"/>
    <cellStyle name="Normal 35 3 3" xfId="13949" xr:uid="{1DE477AC-CEF6-4C98-8A9C-BE969782EBC5}"/>
    <cellStyle name="Normal 35 3 3 2" xfId="32771" xr:uid="{D51C59CD-683D-44E4-A0AE-F0893E655F60}"/>
    <cellStyle name="Normal 35 3 3 3" xfId="32772" xr:uid="{07339260-4764-4B43-86EB-DDEE26E6F796}"/>
    <cellStyle name="Normal 35 3 4" xfId="13950" xr:uid="{F92D1B19-2C05-4E6E-B6EB-D729EB71380D}"/>
    <cellStyle name="Normal 35 3 4 2" xfId="32773" xr:uid="{7CF881F7-6B88-4869-840D-AAB8D838E9FA}"/>
    <cellStyle name="Normal 35 3 4 3" xfId="32774" xr:uid="{F6AC759B-8A28-4A6F-BDC3-8C00FA89F91E}"/>
    <cellStyle name="Normal 35 3 5" xfId="13951" xr:uid="{EA9D1500-BBD3-4D46-A4A4-D9EC90E2B58F}"/>
    <cellStyle name="Normal 35 3 5 2" xfId="32775" xr:uid="{5D7991FD-36FE-4D71-8CCC-930696D92542}"/>
    <cellStyle name="Normal 35 3 5 3" xfId="32776" xr:uid="{03747144-59E1-4238-86FE-6831ADE2E3E4}"/>
    <cellStyle name="Normal 35 3 6" xfId="13952" xr:uid="{4A59E00A-0A2B-47B1-8157-C3F6EAF152E1}"/>
    <cellStyle name="Normal 35 3 6 2" xfId="32777" xr:uid="{A88E2D5E-4F30-45CD-8D6C-E2A73F1170C7}"/>
    <cellStyle name="Normal 35 3 6 3" xfId="32778" xr:uid="{BFEAF7D3-F0FF-420E-AF66-C4947E875123}"/>
    <cellStyle name="Normal 35 3 7" xfId="13953" xr:uid="{B6C72A29-57BA-4951-8C25-8FE5370F5CAC}"/>
    <cellStyle name="Normal 35 3 7 2" xfId="32779" xr:uid="{02711772-8DFE-4913-A28E-5588F81E3568}"/>
    <cellStyle name="Normal 35 3 7 3" xfId="32780" xr:uid="{738ABE6B-56C2-41EE-B2EE-D59CD86571ED}"/>
    <cellStyle name="Normal 35 3 8" xfId="13954" xr:uid="{B2A79D25-4F06-4264-B99B-935F0F7EC943}"/>
    <cellStyle name="Normal 35 3 8 2" xfId="32781" xr:uid="{B927BA1E-3F9B-42E4-A7B0-0D429B6BA304}"/>
    <cellStyle name="Normal 35 3 8 3" xfId="32782" xr:uid="{35C964FB-59EE-4627-82E2-5767D11E40B2}"/>
    <cellStyle name="Normal 35 3 9" xfId="13955" xr:uid="{1A75D209-B0ED-4F10-ADEA-670F2E8A6966}"/>
    <cellStyle name="Normal 35 3 9 2" xfId="32783" xr:uid="{E834FCC1-6BE8-42A1-B943-AC16BD5DF560}"/>
    <cellStyle name="Normal 35 3 9 3" xfId="32784" xr:uid="{C7DB497D-C251-406D-B56B-03428A33AAD4}"/>
    <cellStyle name="Normal 35 4" xfId="13956" xr:uid="{50D3532A-F7A4-428E-8118-88CFFBB5E8C8}"/>
    <cellStyle name="Normal 35 4 2" xfId="32785" xr:uid="{F323AFE4-847D-4332-85D9-F4CD7914C977}"/>
    <cellStyle name="Normal 35 4 3" xfId="32786" xr:uid="{7CBC5642-1812-4267-B238-A4332BC54996}"/>
    <cellStyle name="Normal 35 5" xfId="13957" xr:uid="{283AB8EC-1DD0-4962-8153-B4788184B8BD}"/>
    <cellStyle name="Normal 35 5 2" xfId="32787" xr:uid="{C830E137-5FF9-4DB6-BE0D-54E46E8631EF}"/>
    <cellStyle name="Normal 35 5 3" xfId="32788" xr:uid="{8DA416EA-E8BC-48F1-9102-2E574A7D763F}"/>
    <cellStyle name="Normal 35 6" xfId="13958" xr:uid="{361937D4-02F5-4E94-8516-BF187A1FCE6C}"/>
    <cellStyle name="Normal 35 6 2" xfId="32789" xr:uid="{57AB6785-F086-4921-AE71-18A3AAF0D594}"/>
    <cellStyle name="Normal 35 6 3" xfId="32790" xr:uid="{A190E396-B80D-4065-B467-B65B104B7550}"/>
    <cellStyle name="Normal 35 7" xfId="13959" xr:uid="{666D12E7-D585-443E-AC26-6DA5646E800A}"/>
    <cellStyle name="Normal 35 7 2" xfId="32791" xr:uid="{167D3C33-DFFA-4955-935B-68B4456F9C33}"/>
    <cellStyle name="Normal 35 7 3" xfId="32792" xr:uid="{7F62712B-00DF-4A03-8ED9-EED1F7F554B7}"/>
    <cellStyle name="Normal 35 8" xfId="13960" xr:uid="{D9FF194A-D720-4091-A8AE-896FCD72B303}"/>
    <cellStyle name="Normal 35 8 2" xfId="32793" xr:uid="{8CDE13B9-5E0D-409E-BE08-A3D4B6443AFB}"/>
    <cellStyle name="Normal 35 8 3" xfId="32794" xr:uid="{AFBFD330-3D23-406B-9F64-1479CCC3F103}"/>
    <cellStyle name="Normal 35 9" xfId="13961" xr:uid="{54F8513E-3F89-478B-9754-82E8BD062BA7}"/>
    <cellStyle name="Normal 35 9 2" xfId="32795" xr:uid="{EAB1EA6F-38E2-41E3-919E-752DD7FF764C}"/>
    <cellStyle name="Normal 35 9 3" xfId="32796" xr:uid="{80EED639-0B5D-4D7A-8BA1-E8481981D47B}"/>
    <cellStyle name="Normal 36" xfId="13962" xr:uid="{E767F41F-669A-44F6-88E6-D418271B9D75}"/>
    <cellStyle name="Normal 36 10" xfId="13963" xr:uid="{624CEBD2-A658-4692-B2FB-5EA12552DB83}"/>
    <cellStyle name="Normal 36 10 2" xfId="32797" xr:uid="{291BA38E-3C77-4AB9-8DA1-13BE0E11F082}"/>
    <cellStyle name="Normal 36 10 3" xfId="32798" xr:uid="{32C5FDA7-02EF-450C-A8BD-8EF42BB2CD37}"/>
    <cellStyle name="Normal 36 11" xfId="13964" xr:uid="{536696C8-E04F-46FB-971A-C37DCA0DFB6C}"/>
    <cellStyle name="Normal 36 11 2" xfId="32799" xr:uid="{2ABF7F6B-1DB1-4EED-A35D-1D93FF4FB645}"/>
    <cellStyle name="Normal 36 11 3" xfId="32800" xr:uid="{816DE526-8E84-4506-B450-C5C18AE4CD57}"/>
    <cellStyle name="Normal 36 12" xfId="13965" xr:uid="{2B7C0E61-C4BB-464A-BA00-9E3E297FE7F8}"/>
    <cellStyle name="Normal 36 12 2" xfId="32801" xr:uid="{3A7DDD22-A8A9-424E-934A-196090565EA9}"/>
    <cellStyle name="Normal 36 13" xfId="13966" xr:uid="{B8AE166A-EFD6-4A09-9AD8-86AC8037D722}"/>
    <cellStyle name="Normal 36 13 2" xfId="32802" xr:uid="{8A92F908-859B-461E-A833-EBC7AA83599D}"/>
    <cellStyle name="Normal 36 13 3" xfId="32803" xr:uid="{F1A12411-07C1-4EB2-837E-2F7607382B46}"/>
    <cellStyle name="Normal 36 14" xfId="32804" xr:uid="{8DD4B392-C7B7-46F0-B91E-407781FF7F17}"/>
    <cellStyle name="Normal 36 15" xfId="32805" xr:uid="{D8E84E16-A769-4356-B1E9-8B0537658D80}"/>
    <cellStyle name="Normal 36 2" xfId="13967" xr:uid="{8B6DE999-83DA-4ACC-AF64-8365CE9E4D7B}"/>
    <cellStyle name="Normal 36 2 10" xfId="13968" xr:uid="{C2F59E17-EE53-4474-B023-06D85100340B}"/>
    <cellStyle name="Normal 36 2 10 2" xfId="32806" xr:uid="{1CE8946A-D986-4C25-BE5B-3AC7F53D159D}"/>
    <cellStyle name="Normal 36 2 10 3" xfId="32807" xr:uid="{7060DDD4-B779-4F8E-B8FF-547C76A6DE04}"/>
    <cellStyle name="Normal 36 2 11" xfId="13969" xr:uid="{9DBF4C20-2643-4645-9B93-258A7F032823}"/>
    <cellStyle name="Normal 36 2 12" xfId="13970" xr:uid="{5788E0C9-9FF7-409C-92A4-222FB833356A}"/>
    <cellStyle name="Normal 36 2 13" xfId="32808" xr:uid="{6A1774B7-58BE-4481-9F9B-028499DDEA6A}"/>
    <cellStyle name="Normal 36 2 14" xfId="32809" xr:uid="{F7E8ED82-EFB2-4664-8C0B-7CFA143E0E84}"/>
    <cellStyle name="Normal 36 2 15" xfId="32810" xr:uid="{C62E84AA-A103-4E9E-AC45-30A4D2E5C862}"/>
    <cellStyle name="Normal 36 2 2" xfId="13971" xr:uid="{9EEC8BA8-6D57-425D-A5E1-C5BFA132BD50}"/>
    <cellStyle name="Normal 36 2 2 2" xfId="32811" xr:uid="{92425F62-C7D9-4267-9FE9-E55D7C32237C}"/>
    <cellStyle name="Normal 36 2 2 3" xfId="32812" xr:uid="{C7B10C9D-8816-45ED-AD23-C87FE01B11FE}"/>
    <cellStyle name="Normal 36 2 3" xfId="13972" xr:uid="{85972D14-3138-4DFC-8BE1-30A702654654}"/>
    <cellStyle name="Normal 36 2 3 2" xfId="32813" xr:uid="{8A40188D-14B1-468E-A22C-4DF4A4B12476}"/>
    <cellStyle name="Normal 36 2 3 3" xfId="32814" xr:uid="{A87EE350-C87C-4BEB-928F-FBFBD72A241F}"/>
    <cellStyle name="Normal 36 2 4" xfId="13973" xr:uid="{22A6A446-F965-41B3-96FF-B4108131BD6D}"/>
    <cellStyle name="Normal 36 2 4 2" xfId="32815" xr:uid="{58721471-9ECD-4227-927A-D7670C1AD0FC}"/>
    <cellStyle name="Normal 36 2 4 3" xfId="32816" xr:uid="{C16EFDE7-FBD3-4995-A364-837903826583}"/>
    <cellStyle name="Normal 36 2 5" xfId="13974" xr:uid="{148CD569-BFB1-4A82-A7CE-F57D15F329B5}"/>
    <cellStyle name="Normal 36 2 5 2" xfId="32817" xr:uid="{4A0515ED-2A52-4EBC-87FC-69AEF5FF5F4C}"/>
    <cellStyle name="Normal 36 2 5 3" xfId="32818" xr:uid="{53CC4BC9-43A9-44AE-97B5-0A7C24AB3AC6}"/>
    <cellStyle name="Normal 36 2 6" xfId="13975" xr:uid="{3E14CCF0-A7D7-4817-B6B6-C6B25F3B5FD8}"/>
    <cellStyle name="Normal 36 2 6 2" xfId="32819" xr:uid="{05204B96-05BE-4406-B286-9103EDA029CD}"/>
    <cellStyle name="Normal 36 2 6 3" xfId="32820" xr:uid="{D5E08513-5546-412E-A86E-F71716F8D39B}"/>
    <cellStyle name="Normal 36 2 7" xfId="13976" xr:uid="{D0562C55-3618-43D2-9C3B-94160A247C8B}"/>
    <cellStyle name="Normal 36 2 7 2" xfId="32821" xr:uid="{D83C774C-7BBB-4EF8-A727-A16C8F9754EF}"/>
    <cellStyle name="Normal 36 2 7 3" xfId="32822" xr:uid="{AB32B16E-FDEC-48E1-AFB6-FF5017D634E2}"/>
    <cellStyle name="Normal 36 2 8" xfId="13977" xr:uid="{3071460D-5F93-41AD-B4B6-A6C977BD6138}"/>
    <cellStyle name="Normal 36 2 8 2" xfId="32823" xr:uid="{F3A51AF8-4FD1-4090-8750-D2299399608C}"/>
    <cellStyle name="Normal 36 2 8 3" xfId="32824" xr:uid="{8F95034A-22DB-41BC-BAA2-6254DAD2910C}"/>
    <cellStyle name="Normal 36 2 9" xfId="13978" xr:uid="{B7493401-409D-452E-B426-B867DCE35AF2}"/>
    <cellStyle name="Normal 36 2 9 2" xfId="32825" xr:uid="{ADB15AF3-D6B3-421B-8B02-3B3A82E15630}"/>
    <cellStyle name="Normal 36 2 9 3" xfId="32826" xr:uid="{7257F5D7-0CF6-44FD-8173-9AFE45C11A7D}"/>
    <cellStyle name="Normal 36 3" xfId="13979" xr:uid="{561DCF57-4A82-4B98-A7F0-8C5077B77FDF}"/>
    <cellStyle name="Normal 36 3 2" xfId="32827" xr:uid="{42879B8A-D446-4C1D-87A1-E90956731A76}"/>
    <cellStyle name="Normal 36 3 3" xfId="32828" xr:uid="{19BD8589-1F06-4EA1-AAD1-34C70B3109EE}"/>
    <cellStyle name="Normal 36 4" xfId="13980" xr:uid="{24867896-D04E-4BEF-A1FD-FE4F8BACD4DE}"/>
    <cellStyle name="Normal 36 4 2" xfId="32829" xr:uid="{B105802F-73B8-4842-8C9A-9C61EE7C6AC7}"/>
    <cellStyle name="Normal 36 4 3" xfId="32830" xr:uid="{A6806E6D-B21D-416D-8FD5-88F20FE07562}"/>
    <cellStyle name="Normal 36 5" xfId="13981" xr:uid="{1EE435DC-4774-4D5A-AFF8-9799B55D51F3}"/>
    <cellStyle name="Normal 36 5 2" xfId="32831" xr:uid="{9C1388B9-795C-48EC-AB91-D791B5B2EA52}"/>
    <cellStyle name="Normal 36 5 3" xfId="32832" xr:uid="{48261708-DF53-44D3-B406-59A49D8A88FF}"/>
    <cellStyle name="Normal 36 6" xfId="13982" xr:uid="{99D8DEDF-673E-4B20-9FCE-008C974D5881}"/>
    <cellStyle name="Normal 36 6 2" xfId="32833" xr:uid="{7D4E673D-44F1-45AF-807D-6AEE0B98D2DD}"/>
    <cellStyle name="Normal 36 6 3" xfId="32834" xr:uid="{632B3676-683E-4610-B60C-DDB3EA0F2D64}"/>
    <cellStyle name="Normal 36 7" xfId="13983" xr:uid="{5BC7C751-A426-4BAD-90A3-2F1A961286B6}"/>
    <cellStyle name="Normal 36 7 2" xfId="32835" xr:uid="{35380C63-40E2-481A-A2B7-70A22017D954}"/>
    <cellStyle name="Normal 36 7 3" xfId="32836" xr:uid="{B5238E83-A52F-49FB-86E4-2640B6F039B8}"/>
    <cellStyle name="Normal 36 8" xfId="13984" xr:uid="{8C1DFC53-A560-41D1-9503-F6819BD90CDE}"/>
    <cellStyle name="Normal 36 8 2" xfId="32837" xr:uid="{BBCFF502-B998-44F9-8DF1-614775CDBBC2}"/>
    <cellStyle name="Normal 36 8 3" xfId="32838" xr:uid="{D4A9B933-E6CB-4F5F-8429-CC3DC47B4FAC}"/>
    <cellStyle name="Normal 36 9" xfId="13985" xr:uid="{3146A783-0AD4-439F-A242-222FAE6938E8}"/>
    <cellStyle name="Normal 36 9 2" xfId="32839" xr:uid="{769D50B5-9919-4626-9705-950092A6C0A7}"/>
    <cellStyle name="Normal 36 9 3" xfId="32840" xr:uid="{C973DF08-1AB9-4F8B-BC96-1790BB353EB2}"/>
    <cellStyle name="Normal 37" xfId="13986" xr:uid="{A7F64AD9-2604-44B0-A9F6-5E3F52B9E7DD}"/>
    <cellStyle name="Normal 37 10" xfId="13987" xr:uid="{5109B394-8B7B-42AD-AAC5-3796B7B44308}"/>
    <cellStyle name="Normal 37 10 2" xfId="32841" xr:uid="{5C43438E-234B-42F0-851B-EDC87BCFAF5B}"/>
    <cellStyle name="Normal 37 10 3" xfId="32842" xr:uid="{E3CD0018-868D-41B2-82CE-DE40569BB3EB}"/>
    <cellStyle name="Normal 37 11" xfId="13988" xr:uid="{E1FC9ADE-D601-4777-8F15-72E3F53D6F87}"/>
    <cellStyle name="Normal 37 11 2" xfId="32843" xr:uid="{963054E8-79F8-4D81-A37D-003D9E5D7B2D}"/>
    <cellStyle name="Normal 37 11 3" xfId="32844" xr:uid="{49F76389-3C38-46A0-9B6E-5B6DFBF90DC6}"/>
    <cellStyle name="Normal 37 12" xfId="13989" xr:uid="{24B235AE-28F1-4E9A-800B-B72FFD556FA7}"/>
    <cellStyle name="Normal 37 12 2" xfId="32845" xr:uid="{DF978044-C465-494E-8552-51154C4FA6BD}"/>
    <cellStyle name="Normal 37 12 3" xfId="32846" xr:uid="{AB7AAA66-3F2D-490D-8A10-BC3EC9FB75C2}"/>
    <cellStyle name="Normal 37 13" xfId="13990" xr:uid="{5B5EBE2B-6D6C-4B20-9688-E49AA0C8E814}"/>
    <cellStyle name="Normal 37 13 2" xfId="32847" xr:uid="{4A713D5F-6289-410F-B390-025E0EA231BD}"/>
    <cellStyle name="Normal 37 14" xfId="13991" xr:uid="{CD7F726A-F049-4CF3-9BED-F81336127A22}"/>
    <cellStyle name="Normal 37 15" xfId="32848" xr:uid="{66E4D1F0-7366-46E5-9554-85AFBD8E6306}"/>
    <cellStyle name="Normal 37 2" xfId="13992" xr:uid="{55C8E304-F7E2-4D3B-90F6-E7343CE67C26}"/>
    <cellStyle name="Normal 37 2 10" xfId="13993" xr:uid="{3E7B153B-8ECD-42DB-A4C6-59EA460C38A8}"/>
    <cellStyle name="Normal 37 2 10 2" xfId="32849" xr:uid="{941E5DF2-6AC0-4473-959C-5BADB0D6029E}"/>
    <cellStyle name="Normal 37 2 10 3" xfId="32850" xr:uid="{756E0170-EDD4-4F91-9B89-9146FACB91BD}"/>
    <cellStyle name="Normal 37 2 11" xfId="13994" xr:uid="{761EE002-50A4-4B4C-BD8C-3C1B6A7EDE75}"/>
    <cellStyle name="Normal 37 2 12" xfId="13995" xr:uid="{A7DD4878-A41F-475F-8EDF-54260EECB42C}"/>
    <cellStyle name="Normal 37 2 13" xfId="32851" xr:uid="{CF0C59C7-5D0B-41CD-8D84-88C667CC9447}"/>
    <cellStyle name="Normal 37 2 14" xfId="32852" xr:uid="{22898CBB-3914-4068-B47B-0C9489444461}"/>
    <cellStyle name="Normal 37 2 15" xfId="32853" xr:uid="{06BA56E5-5515-449C-A5BE-975C16CFB494}"/>
    <cellStyle name="Normal 37 2 2" xfId="13996" xr:uid="{E4202AD2-57E9-49B0-A706-61FC9E00C479}"/>
    <cellStyle name="Normal 37 2 2 2" xfId="32854" xr:uid="{E1AD055D-17B3-4469-8D52-935E0312AC80}"/>
    <cellStyle name="Normal 37 2 2 3" xfId="32855" xr:uid="{6A56334B-309E-4535-B746-F013B7C76057}"/>
    <cellStyle name="Normal 37 2 3" xfId="13997" xr:uid="{84889C72-8A4A-45CB-9BAA-8DD3C76646C1}"/>
    <cellStyle name="Normal 37 2 3 2" xfId="32856" xr:uid="{D594B2BF-A81E-4626-BC3B-8D72FC912084}"/>
    <cellStyle name="Normal 37 2 3 3" xfId="32857" xr:uid="{682E813E-E50D-46A3-8A59-F5D4BEFE11D0}"/>
    <cellStyle name="Normal 37 2 4" xfId="13998" xr:uid="{46DAFB1A-1AA2-4E13-BCFC-2F4758A8F53D}"/>
    <cellStyle name="Normal 37 2 4 2" xfId="32858" xr:uid="{F43E1193-F539-4DCD-B8F6-1BE79D95BFFE}"/>
    <cellStyle name="Normal 37 2 4 3" xfId="32859" xr:uid="{5FC00AD1-32A0-4FD8-BA39-A584B39F9861}"/>
    <cellStyle name="Normal 37 2 5" xfId="13999" xr:uid="{66B8BA96-CC15-4C93-B544-C84B057C6E05}"/>
    <cellStyle name="Normal 37 2 5 2" xfId="32860" xr:uid="{07D12B33-57CE-4932-A29F-3A670482D2A6}"/>
    <cellStyle name="Normal 37 2 5 3" xfId="32861" xr:uid="{B70D4FA0-ADEE-4A8A-8C52-F1E0B7408ECB}"/>
    <cellStyle name="Normal 37 2 6" xfId="14000" xr:uid="{971889EC-F1C9-4FF6-A813-EF48C90135A9}"/>
    <cellStyle name="Normal 37 2 6 2" xfId="32862" xr:uid="{95D4D58F-D58A-4EA6-A7EE-209DE1844D99}"/>
    <cellStyle name="Normal 37 2 6 3" xfId="32863" xr:uid="{112CF22D-F2CC-4633-BFF0-4D5B3EAED3AA}"/>
    <cellStyle name="Normal 37 2 7" xfId="14001" xr:uid="{1D9B8E18-5B60-462B-A1B4-FCF0413F6480}"/>
    <cellStyle name="Normal 37 2 7 2" xfId="32864" xr:uid="{310E9477-9372-435C-B39D-E1C071903977}"/>
    <cellStyle name="Normal 37 2 7 3" xfId="32865" xr:uid="{C06467CC-2999-48A4-AAB9-F7D5A0836854}"/>
    <cellStyle name="Normal 37 2 8" xfId="14002" xr:uid="{86A7E03F-C2DA-417F-866D-264EF816AC0B}"/>
    <cellStyle name="Normal 37 2 8 2" xfId="32866" xr:uid="{5E38F69A-000B-4EE9-A028-74229F841928}"/>
    <cellStyle name="Normal 37 2 8 3" xfId="32867" xr:uid="{BF880745-CD68-49BB-A704-073E01BB1912}"/>
    <cellStyle name="Normal 37 2 9" xfId="14003" xr:uid="{ADAB8744-CD91-4831-A331-D35AE5018C8F}"/>
    <cellStyle name="Normal 37 2 9 2" xfId="32868" xr:uid="{6A90C52E-6751-4313-B3F9-96B1ADDE099F}"/>
    <cellStyle name="Normal 37 2 9 3" xfId="32869" xr:uid="{08C62311-3977-4880-8A46-FCE14F4C7B5B}"/>
    <cellStyle name="Normal 37 3" xfId="14004" xr:uid="{07AE7D1F-C6D4-45BC-86D5-011DEB291973}"/>
    <cellStyle name="Normal 37 3 10" xfId="14005" xr:uid="{5BFFD561-E257-4C40-AA31-A8E16B46B8A2}"/>
    <cellStyle name="Normal 37 3 10 2" xfId="32870" xr:uid="{5F465319-E26E-473F-8F3D-616AF03E0CC9}"/>
    <cellStyle name="Normal 37 3 10 3" xfId="32871" xr:uid="{89AED08F-F2F4-488B-B8DE-8DCC6F3BD69D}"/>
    <cellStyle name="Normal 37 3 11" xfId="32872" xr:uid="{8746A747-C9CE-42AD-A4D3-3055FB76208E}"/>
    <cellStyle name="Normal 37 3 12" xfId="32873" xr:uid="{3B8C0A96-AC32-4288-A42D-4B14C62DD3DB}"/>
    <cellStyle name="Normal 37 3 2" xfId="14006" xr:uid="{B87C63E4-B102-468E-BCC5-D8A6F31CA783}"/>
    <cellStyle name="Normal 37 3 2 2" xfId="32874" xr:uid="{C65591BB-C6F5-4BE6-BB2F-9B6670A296B7}"/>
    <cellStyle name="Normal 37 3 2 3" xfId="32875" xr:uid="{F6308860-0813-4DF7-A785-3E33190F7E1D}"/>
    <cellStyle name="Normal 37 3 3" xfId="14007" xr:uid="{11511E2C-E916-4377-A932-13BC65FBB2D5}"/>
    <cellStyle name="Normal 37 3 3 2" xfId="32876" xr:uid="{9352B66E-8AB8-42AE-B6EA-7B32D04F1827}"/>
    <cellStyle name="Normal 37 3 3 3" xfId="32877" xr:uid="{233906D6-CEF5-4CCE-87A3-35D7918F7D3E}"/>
    <cellStyle name="Normal 37 3 4" xfId="14008" xr:uid="{B7C0D7A9-44D7-4891-A87C-EF0D71D83EE4}"/>
    <cellStyle name="Normal 37 3 4 2" xfId="32878" xr:uid="{1395DB99-B53F-44C4-B866-7C70885C39D9}"/>
    <cellStyle name="Normal 37 3 4 3" xfId="32879" xr:uid="{A95AEC9A-26AB-4706-A58A-0E5074D0C815}"/>
    <cellStyle name="Normal 37 3 5" xfId="14009" xr:uid="{CA1EA4E8-C4F9-468A-B0DE-70C96F27A4E3}"/>
    <cellStyle name="Normal 37 3 5 2" xfId="32880" xr:uid="{92EAB29F-8021-4CC7-8489-7D77C4589F96}"/>
    <cellStyle name="Normal 37 3 5 3" xfId="32881" xr:uid="{B6D4752F-F226-4757-9DA7-F013DE053069}"/>
    <cellStyle name="Normal 37 3 6" xfId="14010" xr:uid="{ED199D95-9C51-487F-85BD-352680BB1C15}"/>
    <cellStyle name="Normal 37 3 6 2" xfId="32882" xr:uid="{237CBBA0-2FEF-464A-A486-D148F56A1542}"/>
    <cellStyle name="Normal 37 3 6 3" xfId="32883" xr:uid="{EE521F59-669C-4F8D-A07D-786716333A9F}"/>
    <cellStyle name="Normal 37 3 7" xfId="14011" xr:uid="{5DF5C912-8594-4FB5-B06B-9F55C3CDAC80}"/>
    <cellStyle name="Normal 37 3 7 2" xfId="32884" xr:uid="{7C97275D-6E40-4E86-8059-4743D10DCF2C}"/>
    <cellStyle name="Normal 37 3 7 3" xfId="32885" xr:uid="{01975EE2-11E4-4338-9B57-281B81EE3452}"/>
    <cellStyle name="Normal 37 3 8" xfId="14012" xr:uid="{89DF783A-8E4F-439D-A897-2852062533A0}"/>
    <cellStyle name="Normal 37 3 8 2" xfId="32886" xr:uid="{BF17D3B7-8501-497A-AE91-CDC2777F420A}"/>
    <cellStyle name="Normal 37 3 8 3" xfId="32887" xr:uid="{2A57946E-096D-42E8-B4B9-A69EB1921846}"/>
    <cellStyle name="Normal 37 3 9" xfId="14013" xr:uid="{28AEAAF6-EAA1-4E95-9C9E-02188C83563D}"/>
    <cellStyle name="Normal 37 3 9 2" xfId="32888" xr:uid="{C90BE964-FBC9-44E9-9199-72F26A4A9C62}"/>
    <cellStyle name="Normal 37 3 9 3" xfId="32889" xr:uid="{7C461ABC-CB16-4EA8-B6B2-27BACE7B749E}"/>
    <cellStyle name="Normal 37 4" xfId="14014" xr:uid="{7A56BED9-2F0F-4787-A4C3-866897DE148F}"/>
    <cellStyle name="Normal 37 4 2" xfId="32890" xr:uid="{90FE0D09-09D8-4FAF-8901-DD5CCC86B77E}"/>
    <cellStyle name="Normal 37 4 3" xfId="32891" xr:uid="{B9DEEE0D-E2C9-4814-8A5F-A993D480D7CF}"/>
    <cellStyle name="Normal 37 5" xfId="14015" xr:uid="{AF38F1F6-6CF0-49E4-9683-E68E5BE3B198}"/>
    <cellStyle name="Normal 37 5 2" xfId="32892" xr:uid="{3B6F9C00-714D-4675-9014-480984F2B7F7}"/>
    <cellStyle name="Normal 37 5 3" xfId="32893" xr:uid="{3ECDD17B-C540-41BB-8204-25A82EEC617F}"/>
    <cellStyle name="Normal 37 6" xfId="14016" xr:uid="{416BB998-C0F5-42F4-8561-B50500174079}"/>
    <cellStyle name="Normal 37 6 2" xfId="32894" xr:uid="{331EEADB-939F-4917-BF26-2413944D4DD7}"/>
    <cellStyle name="Normal 37 6 3" xfId="32895" xr:uid="{C03858B0-73F1-4BD3-B1FE-9663AF5A53AD}"/>
    <cellStyle name="Normal 37 7" xfId="14017" xr:uid="{F77026DE-D4A3-4B3C-8C36-763B60F08A4F}"/>
    <cellStyle name="Normal 37 7 2" xfId="32896" xr:uid="{C8B1C25A-8EE5-4DD7-B41A-F78ADCA0EE9B}"/>
    <cellStyle name="Normal 37 7 3" xfId="32897" xr:uid="{7D5889C2-FBC1-4084-95F3-8338A2D8DB27}"/>
    <cellStyle name="Normal 37 8" xfId="14018" xr:uid="{EE6AD4BC-E544-4B6D-8F22-05D53244806A}"/>
    <cellStyle name="Normal 37 8 2" xfId="32898" xr:uid="{0BE05CF5-D349-440F-A08E-15145274CA93}"/>
    <cellStyle name="Normal 37 8 3" xfId="32899" xr:uid="{569CC076-24CC-4FEA-8F31-4D656B6047C7}"/>
    <cellStyle name="Normal 37 9" xfId="14019" xr:uid="{C1FB45E3-2B89-4327-A4ED-C3C712D28927}"/>
    <cellStyle name="Normal 37 9 2" xfId="32900" xr:uid="{B27F2327-FC0D-42A2-AF1E-C883D8C5DE41}"/>
    <cellStyle name="Normal 37 9 3" xfId="32901" xr:uid="{97C78467-7671-40F7-9C0B-6D9DA4D78B21}"/>
    <cellStyle name="Normal 38" xfId="14020" xr:uid="{8940C7BD-C42B-4DB6-825E-8BC513D16F49}"/>
    <cellStyle name="Normal 38 10" xfId="14021" xr:uid="{08AA45E9-1D69-4903-8DC3-94E2D16FDE38}"/>
    <cellStyle name="Normal 38 10 2" xfId="32902" xr:uid="{C7E73D26-E6B6-48DC-8412-326571FAFCD0}"/>
    <cellStyle name="Normal 38 10 3" xfId="32903" xr:uid="{B27440B3-6642-4CEE-82E5-8165F4B2786C}"/>
    <cellStyle name="Normal 38 11" xfId="14022" xr:uid="{6F005A97-000D-4813-98F3-44D9964A196B}"/>
    <cellStyle name="Normal 38 11 2" xfId="32904" xr:uid="{5117219D-81BA-43FC-A31A-2223166894DD}"/>
    <cellStyle name="Normal 38 11 3" xfId="32905" xr:uid="{0F56D74D-97AA-4476-9112-A37CF4A20203}"/>
    <cellStyle name="Normal 38 12" xfId="14023" xr:uid="{60FE501B-E41A-47AE-8303-A99892317CF4}"/>
    <cellStyle name="Normal 38 12 2" xfId="32906" xr:uid="{4EFDCBAF-1A95-4A44-B2EE-3EF45C0E0794}"/>
    <cellStyle name="Normal 38 12 3" xfId="32907" xr:uid="{6D50E494-D5A4-4E70-BF49-DE9FF1220FF6}"/>
    <cellStyle name="Normal 38 13" xfId="32908" xr:uid="{DBEC8B65-B2C3-43F1-AE9D-97A894A99344}"/>
    <cellStyle name="Normal 38 13 2" xfId="32909" xr:uid="{5ED8B1E8-0797-4335-BA73-D1010930DFC6}"/>
    <cellStyle name="Normal 38 14" xfId="32910" xr:uid="{217BC678-A932-495A-962E-2BA243DB7645}"/>
    <cellStyle name="Normal 38 2" xfId="14024" xr:uid="{ACB3A797-50D0-4703-8C55-F56CD17193B6}"/>
    <cellStyle name="Normal 38 2 10" xfId="14025" xr:uid="{6FD5B6AE-8DFD-4E60-82B8-8CFFA3985C8A}"/>
    <cellStyle name="Normal 38 2 10 2" xfId="32911" xr:uid="{F2C918F8-987E-435D-B390-5C22DF254595}"/>
    <cellStyle name="Normal 38 2 10 3" xfId="32912" xr:uid="{0B63876E-CAC9-403F-8B8B-1BA0907AC545}"/>
    <cellStyle name="Normal 38 2 11" xfId="14026" xr:uid="{99C52EE9-CA3A-4948-976E-F92A0FBA00FE}"/>
    <cellStyle name="Normal 38 2 12" xfId="14027" xr:uid="{82274656-9E82-4CAD-860B-F4398BA7C62D}"/>
    <cellStyle name="Normal 38 2 13" xfId="32913" xr:uid="{DE875245-AEA9-4434-A23C-06906E3368F7}"/>
    <cellStyle name="Normal 38 2 14" xfId="32914" xr:uid="{A087535D-7A85-4AF6-B126-FE3FE04FFE40}"/>
    <cellStyle name="Normal 38 2 15" xfId="32915" xr:uid="{B6E37C2A-6D67-40E9-B167-FAEB6ED1EF5F}"/>
    <cellStyle name="Normal 38 2 2" xfId="14028" xr:uid="{4739BC85-7981-47B7-A3BE-D88E6E6F2F8D}"/>
    <cellStyle name="Normal 38 2 2 2" xfId="32916" xr:uid="{0CD9678D-47DB-4A3F-91F7-84E04D72B322}"/>
    <cellStyle name="Normal 38 2 2 3" xfId="32917" xr:uid="{E5EEA24C-FEEB-484D-B610-D87F96059737}"/>
    <cellStyle name="Normal 38 2 3" xfId="14029" xr:uid="{E8D4F7E5-AF80-4416-8BAF-62B6E9A35858}"/>
    <cellStyle name="Normal 38 2 3 2" xfId="32918" xr:uid="{EBCD8D2F-E6B7-4337-88E8-F875F03F79D7}"/>
    <cellStyle name="Normal 38 2 3 3" xfId="32919" xr:uid="{4CFBE57A-9849-4F11-94AC-1C1D1D5B54D9}"/>
    <cellStyle name="Normal 38 2 4" xfId="14030" xr:uid="{290EBAAA-7B29-401F-9D50-F2037F25DA55}"/>
    <cellStyle name="Normal 38 2 4 2" xfId="32920" xr:uid="{35FA3265-5787-4C2E-9008-7FDD4409DDA0}"/>
    <cellStyle name="Normal 38 2 4 3" xfId="32921" xr:uid="{CCCFC951-D589-4246-BD98-BE741DFA707F}"/>
    <cellStyle name="Normal 38 2 5" xfId="14031" xr:uid="{52962A2E-6DE1-4769-8021-66AA6E858173}"/>
    <cellStyle name="Normal 38 2 5 2" xfId="32922" xr:uid="{56DC81DE-5DA2-43A1-A34B-EF7DDB50C1D3}"/>
    <cellStyle name="Normal 38 2 5 3" xfId="32923" xr:uid="{2EB2B5AC-4BAF-4E42-BCAD-74655372C23E}"/>
    <cellStyle name="Normal 38 2 6" xfId="14032" xr:uid="{C8A04F92-A0EE-464C-870F-5AEB26BBF9B3}"/>
    <cellStyle name="Normal 38 2 6 2" xfId="32924" xr:uid="{B4EBC100-DC3E-4277-80D8-0AA4D021A1BE}"/>
    <cellStyle name="Normal 38 2 6 3" xfId="32925" xr:uid="{EB45683F-272B-49AC-AE53-2B3656264B86}"/>
    <cellStyle name="Normal 38 2 7" xfId="14033" xr:uid="{3C4E6E87-7F79-466E-AE15-419285E4A646}"/>
    <cellStyle name="Normal 38 2 7 2" xfId="32926" xr:uid="{0196C5F5-6E3C-4366-85D0-D017E5202A28}"/>
    <cellStyle name="Normal 38 2 7 3" xfId="32927" xr:uid="{2CA8EBA1-5A89-4D48-9BBF-FDD31377C080}"/>
    <cellStyle name="Normal 38 2 8" xfId="14034" xr:uid="{F46BC6A0-C533-4CE0-ADCA-47EE73EFB145}"/>
    <cellStyle name="Normal 38 2 8 2" xfId="32928" xr:uid="{5BFFB28C-905C-4F31-9F3E-8FE2621A39EB}"/>
    <cellStyle name="Normal 38 2 8 3" xfId="32929" xr:uid="{EED89DAF-1F46-4C6C-A62D-26A264EB9535}"/>
    <cellStyle name="Normal 38 2 9" xfId="14035" xr:uid="{B434A43D-8A08-4378-8359-70ADF66F6D89}"/>
    <cellStyle name="Normal 38 2 9 2" xfId="32930" xr:uid="{1AB8F55E-61C4-4DE3-9CBA-F31B07EB8035}"/>
    <cellStyle name="Normal 38 2 9 3" xfId="32931" xr:uid="{7F9937C0-9DAA-41B8-A06E-E0962A580256}"/>
    <cellStyle name="Normal 38 3" xfId="14036" xr:uid="{3EA4E70B-AC40-4C25-B46C-FB654E49B29C}"/>
    <cellStyle name="Normal 38 3 10" xfId="14037" xr:uid="{A21CB1BA-0CD5-4A6F-B7E1-5DA060EFD108}"/>
    <cellStyle name="Normal 38 3 10 2" xfId="32932" xr:uid="{D551A76A-8583-4911-BF57-66554C186F32}"/>
    <cellStyle name="Normal 38 3 10 3" xfId="32933" xr:uid="{B41807DA-3F55-45AC-9508-033584E21038}"/>
    <cellStyle name="Normal 38 3 11" xfId="14038" xr:uid="{EDA87ACE-FDCD-48EB-AB34-2496EC2C07FC}"/>
    <cellStyle name="Normal 38 3 12" xfId="14039" xr:uid="{B68872C8-86FF-475A-A688-FBE61349DCFD}"/>
    <cellStyle name="Normal 38 3 13" xfId="32934" xr:uid="{E32546FD-DC18-45AC-B883-E707F2CD95B2}"/>
    <cellStyle name="Normal 38 3 2" xfId="14040" xr:uid="{ABEF82B2-882E-428C-ADAE-815AF731F2EE}"/>
    <cellStyle name="Normal 38 3 2 2" xfId="32935" xr:uid="{666FE4D9-2C78-46AB-88B8-3D4434B09099}"/>
    <cellStyle name="Normal 38 3 2 3" xfId="32936" xr:uid="{E470FB4D-8AE1-49F1-B3F2-87B992F568C3}"/>
    <cellStyle name="Normal 38 3 3" xfId="14041" xr:uid="{7FEAFDB6-0B0A-4DEC-B13F-61DC6D8E6ABB}"/>
    <cellStyle name="Normal 38 3 3 2" xfId="32937" xr:uid="{19BBF8A4-3E8A-4EA8-AF76-A8735B0F220F}"/>
    <cellStyle name="Normal 38 3 3 3" xfId="32938" xr:uid="{E23243F4-EA6E-44B0-A22E-A97A83058FF0}"/>
    <cellStyle name="Normal 38 3 4" xfId="14042" xr:uid="{9F608BEA-3816-4704-BC81-39A1B1C5879E}"/>
    <cellStyle name="Normal 38 3 4 2" xfId="32939" xr:uid="{0489BE01-F700-4F1E-AAB7-AC866FC56F7F}"/>
    <cellStyle name="Normal 38 3 4 3" xfId="32940" xr:uid="{B6DF9B62-E801-47D3-A7ED-D66A5F628B66}"/>
    <cellStyle name="Normal 38 3 5" xfId="14043" xr:uid="{7075B07C-A91E-4E0A-A268-A462D6D185F9}"/>
    <cellStyle name="Normal 38 3 5 2" xfId="32941" xr:uid="{A9D25E17-6AB7-4525-AB61-2524DBF8E7EA}"/>
    <cellStyle name="Normal 38 3 5 3" xfId="32942" xr:uid="{30FB1C3F-5D44-469F-95D1-6C4D274A2B13}"/>
    <cellStyle name="Normal 38 3 6" xfId="14044" xr:uid="{820426D1-A44D-4F75-8D86-9FA6ED612492}"/>
    <cellStyle name="Normal 38 3 6 2" xfId="32943" xr:uid="{DAD85793-76B0-4DF0-B8BD-FC1446439E00}"/>
    <cellStyle name="Normal 38 3 6 3" xfId="32944" xr:uid="{CAA61608-8A97-496D-AEEF-114D0A15E683}"/>
    <cellStyle name="Normal 38 3 7" xfId="14045" xr:uid="{8C036E8A-D591-4B0B-80F3-B59EDD75A007}"/>
    <cellStyle name="Normal 38 3 7 2" xfId="32945" xr:uid="{02F709C1-64DB-448F-9A47-E4B6CE46425D}"/>
    <cellStyle name="Normal 38 3 7 3" xfId="32946" xr:uid="{E2C13F58-DCA8-4676-9F0B-480161389A59}"/>
    <cellStyle name="Normal 38 3 8" xfId="14046" xr:uid="{8175FF58-0650-4B1A-B75C-44DFB1821F61}"/>
    <cellStyle name="Normal 38 3 8 2" xfId="32947" xr:uid="{F6B250CA-90D8-4B8C-9FF7-AA03323FD830}"/>
    <cellStyle name="Normal 38 3 8 3" xfId="32948" xr:uid="{0EFFA8A1-0DA1-454B-8FEF-A3973D10F1F7}"/>
    <cellStyle name="Normal 38 3 9" xfId="14047" xr:uid="{954DA9B0-A131-48EE-B372-9F97B58C8F0A}"/>
    <cellStyle name="Normal 38 3 9 2" xfId="32949" xr:uid="{6C998273-5075-4B74-8476-F1AF76C6CC88}"/>
    <cellStyle name="Normal 38 3 9 3" xfId="32950" xr:uid="{FA8EAEAD-54A5-41C0-90B1-59130F85356D}"/>
    <cellStyle name="Normal 38 4" xfId="14048" xr:uid="{75A6103E-7ECB-463D-98EF-1048BF7E2CB0}"/>
    <cellStyle name="Normal 38 4 2" xfId="32951" xr:uid="{E1BF85E1-0AAB-4505-9556-9801BE78CAC1}"/>
    <cellStyle name="Normal 38 4 3" xfId="32952" xr:uid="{6F3CF2E3-9D7C-48D0-B136-BB2383D8FCE3}"/>
    <cellStyle name="Normal 38 5" xfId="14049" xr:uid="{730896F4-C393-4826-AFC8-CE02F305F49A}"/>
    <cellStyle name="Normal 38 5 2" xfId="32953" xr:uid="{541A9863-2C2B-4551-AA24-F8531F2B1B6D}"/>
    <cellStyle name="Normal 38 5 3" xfId="32954" xr:uid="{C8EB23D3-3D38-42AA-8B61-44A3A4FEE50B}"/>
    <cellStyle name="Normal 38 6" xfId="14050" xr:uid="{0B86749D-E34A-42C7-85BD-562F6E7178FF}"/>
    <cellStyle name="Normal 38 6 2" xfId="32955" xr:uid="{F8E840BC-2A45-4D5E-8EF6-7360093EBD29}"/>
    <cellStyle name="Normal 38 6 3" xfId="32956" xr:uid="{57FF57E3-13CB-41DC-9D2B-87B8F81E12F4}"/>
    <cellStyle name="Normal 38 7" xfId="14051" xr:uid="{4E82150D-C46C-49AB-826B-97FE261BB1BB}"/>
    <cellStyle name="Normal 38 7 2" xfId="32957" xr:uid="{4F822AE9-97B7-45E9-B33E-F2944A93E0BD}"/>
    <cellStyle name="Normal 38 7 3" xfId="32958" xr:uid="{E6828424-343E-4489-8914-FC7DA4F05102}"/>
    <cellStyle name="Normal 38 8" xfId="14052" xr:uid="{EE6A0F53-F706-4DD5-9FE9-CC245D286EDE}"/>
    <cellStyle name="Normal 38 8 2" xfId="32959" xr:uid="{D7340500-17F2-41EF-A5DF-5B7C2B04614B}"/>
    <cellStyle name="Normal 38 8 3" xfId="32960" xr:uid="{295978D3-AD2A-4478-A4FF-8DEB01D8677B}"/>
    <cellStyle name="Normal 38 9" xfId="14053" xr:uid="{EDB21F17-1FFD-457E-8C2E-A0351508FA99}"/>
    <cellStyle name="Normal 38 9 2" xfId="32961" xr:uid="{4E52BA3C-C78A-42E4-B156-2C8AA3A39B72}"/>
    <cellStyle name="Normal 38 9 3" xfId="32962" xr:uid="{CD88BF6B-50D3-45A2-9BCD-5219B1ED8AA2}"/>
    <cellStyle name="Normal 39" xfId="14054" xr:uid="{A6D4FE76-AD8F-408F-8C97-410BB9D118C4}"/>
    <cellStyle name="Normal 39 10" xfId="14055" xr:uid="{6425EE1B-7874-4C14-BA06-4E33215CC890}"/>
    <cellStyle name="Normal 39 10 2" xfId="32963" xr:uid="{14228024-C3C7-4FBF-A7F3-01BB7FF16F08}"/>
    <cellStyle name="Normal 39 10 3" xfId="32964" xr:uid="{EF3FFC95-1309-4E7E-A6DD-08F43150F5AC}"/>
    <cellStyle name="Normal 39 11" xfId="14056" xr:uid="{4CF9DE68-ED0F-414A-96BD-A0908E7B2940}"/>
    <cellStyle name="Normal 39 11 2" xfId="32965" xr:uid="{0814E697-4F10-48CE-8855-B50F7945ED71}"/>
    <cellStyle name="Normal 39 11 3" xfId="32966" xr:uid="{A281DEE7-3897-4269-9BC5-47188DDB7FB3}"/>
    <cellStyle name="Normal 39 12" xfId="14057" xr:uid="{133DF191-78BD-4968-80CE-058E64D2B596}"/>
    <cellStyle name="Normal 39 12 2" xfId="32967" xr:uid="{D07154E7-7F05-4AE4-962F-EFE661F6C4C0}"/>
    <cellStyle name="Normal 39 12 3" xfId="32968" xr:uid="{A35F4444-E427-405F-89BA-B9C02B746952}"/>
    <cellStyle name="Normal 39 13" xfId="14058" xr:uid="{F88FDF4A-6EEE-4366-8477-F3521D570B0F}"/>
    <cellStyle name="Normal 39 13 2" xfId="32969" xr:uid="{1533743C-A1D3-4556-B0E6-7066F02C0309}"/>
    <cellStyle name="Normal 39 14" xfId="14059" xr:uid="{B3D61E73-140A-4F3B-B82A-258B9480615E}"/>
    <cellStyle name="Normal 39 15" xfId="32970" xr:uid="{5E646062-A772-4678-BB25-2C414058F8BE}"/>
    <cellStyle name="Normal 39 2" xfId="14060" xr:uid="{C304BEE9-EB52-4991-A73B-E54AF9120BBB}"/>
    <cellStyle name="Normal 39 2 10" xfId="14061" xr:uid="{165D5A13-8797-4A62-A676-9FD9B2A64D4C}"/>
    <cellStyle name="Normal 39 2 10 2" xfId="32971" xr:uid="{B083DEB0-00D4-47D3-AB2E-550BF89372D2}"/>
    <cellStyle name="Normal 39 2 10 3" xfId="32972" xr:uid="{67171959-3DE0-4332-AFC9-523D52AB8A89}"/>
    <cellStyle name="Normal 39 2 11" xfId="14062" xr:uid="{C081FAEB-DA0E-46B9-8805-37F04E362DC6}"/>
    <cellStyle name="Normal 39 2 12" xfId="32973" xr:uid="{03CCC729-6328-4A54-B294-CBB8235CFA53}"/>
    <cellStyle name="Normal 39 2 13" xfId="32974" xr:uid="{DDFDDF70-820A-4522-B4BD-4DD61EE1CADA}"/>
    <cellStyle name="Normal 39 2 14" xfId="32975" xr:uid="{C09759C8-181C-4F69-B5A9-89C150EC49A7}"/>
    <cellStyle name="Normal 39 2 2" xfId="14063" xr:uid="{570AF3E5-20A4-486B-BD76-BC68905B42DA}"/>
    <cellStyle name="Normal 39 2 2 2" xfId="32976" xr:uid="{0E523E08-77E7-468F-9383-4C57F9707A24}"/>
    <cellStyle name="Normal 39 2 2 3" xfId="32977" xr:uid="{C5F6F50E-4EE9-4D39-B567-CDA07CC0CF6F}"/>
    <cellStyle name="Normal 39 2 3" xfId="14064" xr:uid="{3838D0A8-4C48-4069-AB46-5E554D96B1A8}"/>
    <cellStyle name="Normal 39 2 3 2" xfId="32978" xr:uid="{6A39E28F-3E2C-4C0F-8942-29B2030384DD}"/>
    <cellStyle name="Normal 39 2 3 3" xfId="32979" xr:uid="{C26C6D26-29DC-4B36-8123-23CEA32EA054}"/>
    <cellStyle name="Normal 39 2 4" xfId="14065" xr:uid="{23BA9B32-B624-43F4-B24C-F990B317D64A}"/>
    <cellStyle name="Normal 39 2 4 2" xfId="32980" xr:uid="{8C56D7C8-61C4-47E1-8F76-E165590B9D01}"/>
    <cellStyle name="Normal 39 2 4 3" xfId="32981" xr:uid="{A0B72A3C-9328-451A-826F-708D406B4A8E}"/>
    <cellStyle name="Normal 39 2 5" xfId="14066" xr:uid="{6FC68ADA-D6C6-4FDC-8970-2A51FD4ABBF7}"/>
    <cellStyle name="Normal 39 2 5 2" xfId="32982" xr:uid="{9BC63163-979A-4661-BB90-CF1F58EEC210}"/>
    <cellStyle name="Normal 39 2 5 3" xfId="32983" xr:uid="{D48FFCD3-F05B-4767-9169-E7ED3C04C676}"/>
    <cellStyle name="Normal 39 2 6" xfId="14067" xr:uid="{1BC13D8A-BCB4-44FA-BF96-DF801EF9C9C5}"/>
    <cellStyle name="Normal 39 2 6 2" xfId="32984" xr:uid="{6330E099-194E-4B4A-B1C1-334AFBDDD7CB}"/>
    <cellStyle name="Normal 39 2 6 3" xfId="32985" xr:uid="{B260E101-B66E-40D4-B8B0-44C73EB90843}"/>
    <cellStyle name="Normal 39 2 7" xfId="14068" xr:uid="{A82007ED-8E5F-45D2-BF46-E3F88C1C6065}"/>
    <cellStyle name="Normal 39 2 7 2" xfId="32986" xr:uid="{72AB5290-ABD3-4A44-9F5C-1692999DF553}"/>
    <cellStyle name="Normal 39 2 7 3" xfId="32987" xr:uid="{7CE95CFB-E97B-4E46-804E-FD7DA6E8AD2E}"/>
    <cellStyle name="Normal 39 2 8" xfId="14069" xr:uid="{B7571CC9-E155-4BB3-81AA-7D8D8C0A610E}"/>
    <cellStyle name="Normal 39 2 8 2" xfId="32988" xr:uid="{F186C302-DF73-459F-AFEB-041156FFBF47}"/>
    <cellStyle name="Normal 39 2 8 3" xfId="32989" xr:uid="{29BA7620-6D2C-47D6-87BF-7B43C5BAC859}"/>
    <cellStyle name="Normal 39 2 9" xfId="14070" xr:uid="{8CBF9940-D597-49C6-A318-15835A51A89F}"/>
    <cellStyle name="Normal 39 2 9 2" xfId="32990" xr:uid="{7C65720F-A137-40F0-9EF5-79AB6A935D00}"/>
    <cellStyle name="Normal 39 2 9 3" xfId="32991" xr:uid="{91A83BE9-359E-47B3-ADFB-D2A9502CC27D}"/>
    <cellStyle name="Normal 39 3" xfId="14071" xr:uid="{0A17FA45-88D6-4062-BA0A-7DB616974739}"/>
    <cellStyle name="Normal 39 3 10" xfId="14072" xr:uid="{8C64136F-E16F-4279-9B29-BA67933DA9EA}"/>
    <cellStyle name="Normal 39 3 10 2" xfId="32992" xr:uid="{F3ED05F6-8D87-4B4B-90AE-DE3BF05D5CF8}"/>
    <cellStyle name="Normal 39 3 10 3" xfId="32993" xr:uid="{C3A9C166-0EFD-4848-8887-8BADCE318010}"/>
    <cellStyle name="Normal 39 3 11" xfId="32994" xr:uid="{449C893F-E5CD-415B-A4D7-61ECBA96FBD9}"/>
    <cellStyle name="Normal 39 3 12" xfId="32995" xr:uid="{7E5EE05D-27B8-4AD2-8370-77D8C0859AC9}"/>
    <cellStyle name="Normal 39 3 2" xfId="14073" xr:uid="{F4052DB1-EA0B-4C66-A60E-4A5690659AF6}"/>
    <cellStyle name="Normal 39 3 2 2" xfId="32996" xr:uid="{17420A88-2C33-4D53-BFE6-259EEEEEAB93}"/>
    <cellStyle name="Normal 39 3 2 3" xfId="32997" xr:uid="{82626F42-992F-476E-A54D-DFE6C6971AAC}"/>
    <cellStyle name="Normal 39 3 3" xfId="14074" xr:uid="{30D1663B-EE7D-4D91-8D13-8ED10628B6DD}"/>
    <cellStyle name="Normal 39 3 3 2" xfId="32998" xr:uid="{A6E6FD9C-3534-442B-A05C-C6B487CE2D31}"/>
    <cellStyle name="Normal 39 3 3 3" xfId="32999" xr:uid="{7E0ECC4D-1B6B-4F46-8217-8764B981C2FF}"/>
    <cellStyle name="Normal 39 3 4" xfId="14075" xr:uid="{62445B56-2B6E-4913-854C-D99F06B963CD}"/>
    <cellStyle name="Normal 39 3 4 2" xfId="33000" xr:uid="{26AB8835-3BA9-4D7D-A76D-555C8E8EC125}"/>
    <cellStyle name="Normal 39 3 4 3" xfId="33001" xr:uid="{6A242097-0B27-4299-AA50-E9159C7388AA}"/>
    <cellStyle name="Normal 39 3 5" xfId="14076" xr:uid="{16E88D48-93B7-4355-99B6-9705AC2C253D}"/>
    <cellStyle name="Normal 39 3 5 2" xfId="33002" xr:uid="{27115A38-2CCB-4218-B4E2-8AC06374514C}"/>
    <cellStyle name="Normal 39 3 5 3" xfId="33003" xr:uid="{6707E48E-E015-4C14-AA88-425F7BB812D7}"/>
    <cellStyle name="Normal 39 3 6" xfId="14077" xr:uid="{37C7F00D-EAD3-4218-8B97-96B5B0BAD659}"/>
    <cellStyle name="Normal 39 3 6 2" xfId="33004" xr:uid="{614F41A4-FF86-41F8-B1EB-B9436885B166}"/>
    <cellStyle name="Normal 39 3 6 3" xfId="33005" xr:uid="{5015A8B0-0420-4C52-8639-81B538432E28}"/>
    <cellStyle name="Normal 39 3 7" xfId="14078" xr:uid="{BD61AC95-05A7-4F67-8710-060943039C57}"/>
    <cellStyle name="Normal 39 3 7 2" xfId="33006" xr:uid="{085D3070-0077-436B-AEAC-622D37B153D7}"/>
    <cellStyle name="Normal 39 3 7 3" xfId="33007" xr:uid="{47C039AD-7FC8-496F-8F74-D956665A83A1}"/>
    <cellStyle name="Normal 39 3 8" xfId="14079" xr:uid="{BFFADA01-6DEE-4813-B888-0FA809DA66E5}"/>
    <cellStyle name="Normal 39 3 8 2" xfId="33008" xr:uid="{A1493DB9-DDAA-4FB8-8096-922AFA47AF58}"/>
    <cellStyle name="Normal 39 3 8 3" xfId="33009" xr:uid="{248C18D6-DD04-436E-A89A-15C532BA7295}"/>
    <cellStyle name="Normal 39 3 9" xfId="14080" xr:uid="{52DDFCC1-0320-4C25-8441-71560E9BBB6A}"/>
    <cellStyle name="Normal 39 3 9 2" xfId="33010" xr:uid="{771EBAFE-3ED6-40A0-80F8-07EC1E35B1AF}"/>
    <cellStyle name="Normal 39 3 9 3" xfId="33011" xr:uid="{0E18168F-871C-453B-950A-E9D1D8421463}"/>
    <cellStyle name="Normal 39 4" xfId="14081" xr:uid="{FCA0B4AB-A875-4E12-B0BD-17B2F5D01199}"/>
    <cellStyle name="Normal 39 4 2" xfId="33012" xr:uid="{0E59DB2D-F44C-4CCD-AD32-DDF0BF93EFA6}"/>
    <cellStyle name="Normal 39 4 3" xfId="33013" xr:uid="{5AF6C272-3E6F-4B33-9BE6-2C09865C7043}"/>
    <cellStyle name="Normal 39 5" xfId="14082" xr:uid="{5FF07060-4163-43D2-9586-EE38E5016FC6}"/>
    <cellStyle name="Normal 39 5 2" xfId="33014" xr:uid="{3C202D95-0064-4D8C-85F2-0FEC75CF74A0}"/>
    <cellStyle name="Normal 39 5 3" xfId="33015" xr:uid="{AD82F54D-5ACC-4467-8D67-B614E902863A}"/>
    <cellStyle name="Normal 39 6" xfId="14083" xr:uid="{B640A747-EEA3-4B68-9831-46AD0CA13587}"/>
    <cellStyle name="Normal 39 6 2" xfId="33016" xr:uid="{63ABBD6A-082B-4466-8568-B42F39B5F33D}"/>
    <cellStyle name="Normal 39 6 3" xfId="33017" xr:uid="{58398D5B-43B6-4F5A-AAC5-78197F87593B}"/>
    <cellStyle name="Normal 39 7" xfId="14084" xr:uid="{7B5DFED8-7354-44EE-9081-FDCAB944EA20}"/>
    <cellStyle name="Normal 39 7 2" xfId="33018" xr:uid="{9236C3E4-DAC0-4835-A190-7A762DC86361}"/>
    <cellStyle name="Normal 39 7 3" xfId="33019" xr:uid="{667D00AA-A470-4A2E-9943-ADCEFE01AEE1}"/>
    <cellStyle name="Normal 39 8" xfId="14085" xr:uid="{340A6DF9-E7E3-4FC2-817F-EC66B3EE3FAE}"/>
    <cellStyle name="Normal 39 8 2" xfId="33020" xr:uid="{DB64F2E4-9858-4712-B91B-EBCC0D02E2D7}"/>
    <cellStyle name="Normal 39 8 3" xfId="33021" xr:uid="{9E6977F3-59E8-478D-8019-EA02863DAD17}"/>
    <cellStyle name="Normal 39 9" xfId="14086" xr:uid="{0D92574E-8630-465A-8CDB-2AF2D7D40756}"/>
    <cellStyle name="Normal 39 9 2" xfId="33022" xr:uid="{B208DC7F-CF35-4A4A-8FBF-D4AE23E7D158}"/>
    <cellStyle name="Normal 39 9 3" xfId="33023" xr:uid="{236E8EDC-5331-4F2F-B6D3-7AED61B3A8B1}"/>
    <cellStyle name="Normal 4" xfId="13" xr:uid="{00000000-0005-0000-0000-000012000000}"/>
    <cellStyle name="Normal 4 10" xfId="14087" xr:uid="{11925623-A2ED-46B7-B427-E9E84A3DBF15}"/>
    <cellStyle name="Normal 4 10 2" xfId="42938" xr:uid="{D0B0176B-DB27-423E-903B-64EE646B5BA0}"/>
    <cellStyle name="Normal 4 10 3" xfId="42937" xr:uid="{79CF6287-F8D3-4097-9F0F-D58A8345699E}"/>
    <cellStyle name="Normal 4 11" xfId="14088" xr:uid="{1DC0C37C-D1C0-4976-9A3B-5ED33E98FA34}"/>
    <cellStyle name="Normal 4 11 2" xfId="14089" xr:uid="{BFB22401-AE91-451F-95E2-8BBE27FE24C9}"/>
    <cellStyle name="Normal 4 11 2 2" xfId="14090" xr:uid="{F6653EA3-5913-4018-BFE5-EFCD3A68677F}"/>
    <cellStyle name="Normal 4 11 2 2 2" xfId="14091" xr:uid="{C6B126A2-1488-43A6-9FAF-FD728802820D}"/>
    <cellStyle name="Normal 4 11 2 3" xfId="14092" xr:uid="{2CD82DF2-0213-4CEB-A3C0-98B6F78A93C8}"/>
    <cellStyle name="Normal 4 11 2 3 2" xfId="14093" xr:uid="{E42F4425-FDFE-49E2-9FF9-670F24DC98A6}"/>
    <cellStyle name="Normal 4 11 2 4" xfId="33024" xr:uid="{198BCCB7-D34E-4CBE-90E0-2E77E9611B5D}"/>
    <cellStyle name="Normal 4 11 2 5" xfId="33025" xr:uid="{8F2EA8D0-CE0D-46DA-8A6E-D5F480882696}"/>
    <cellStyle name="Normal 4 11 2 5 2" xfId="33026" xr:uid="{F4B15A44-CDE2-4A98-8F28-59A8612292A3}"/>
    <cellStyle name="Normal 4 11 2 6" xfId="42940" xr:uid="{F3DE238C-778B-4E85-B8D4-824A441408B0}"/>
    <cellStyle name="Normal 4 11 3" xfId="14094" xr:uid="{F0958E1A-1143-423D-ACCA-8B9CDBA6BF39}"/>
    <cellStyle name="Normal 4 11 4" xfId="42939" xr:uid="{BBFD23FA-6F6D-457D-BB63-86853DD3971D}"/>
    <cellStyle name="Normal 4 12" xfId="14095" xr:uid="{3B43E29E-A181-4131-B57C-653899280CDB}"/>
    <cellStyle name="Normal 4 13" xfId="14096" xr:uid="{65316707-02A0-4FAE-9ADB-D92F83B8809C}"/>
    <cellStyle name="Normal 4 13 2" xfId="14097" xr:uid="{AC9536F5-AECC-4A86-8086-2010BF24A80C}"/>
    <cellStyle name="Normal 4 13 2 2" xfId="33027" xr:uid="{1E5D1DF2-57E1-4DDB-A7C4-AD317E10D03E}"/>
    <cellStyle name="Normal 4 13 3" xfId="33028" xr:uid="{AA218DF0-6841-4461-885B-53314CCA9DFC}"/>
    <cellStyle name="Normal 4 14" xfId="14098" xr:uid="{0D776FBE-0BBF-4940-A741-83E76B17081A}"/>
    <cellStyle name="Normal 4 15" xfId="14099" xr:uid="{85E8DACE-28FB-42A1-BDB5-8CE383BF8E7F}"/>
    <cellStyle name="Normal 4 16" xfId="14100" xr:uid="{0FBC91B8-137D-49AF-ADF0-13E7125FC058}"/>
    <cellStyle name="Normal 4 17" xfId="14101" xr:uid="{DB400EDC-5FA7-4997-9FF2-4B3DC0708377}"/>
    <cellStyle name="Normal 4 18" xfId="14102" xr:uid="{D17CB877-7068-4B88-BB76-93B51259E630}"/>
    <cellStyle name="Normal 4 19" xfId="14103" xr:uid="{ADA83529-AF15-4208-95F2-FA2FBD4B47F0}"/>
    <cellStyle name="Normal 4 19 2" xfId="14104" xr:uid="{AE7014DE-6AEF-46E1-A732-5DD94977617C}"/>
    <cellStyle name="Normal 4 19 3" xfId="14105" xr:uid="{606ABAF2-A64E-4DB4-8BDC-54FF16B868FB}"/>
    <cellStyle name="Normal 4 19 3 2" xfId="14106" xr:uid="{EEC039D2-316C-48AF-9444-C440D4006831}"/>
    <cellStyle name="Normal 4 19 3 2 2" xfId="14107" xr:uid="{9BC6C733-0C95-4A84-ADED-20A1B05B5578}"/>
    <cellStyle name="Normal 4 19 3 3" xfId="14108" xr:uid="{4CF86276-CBB2-4D61-9A3B-EE236D97E7A2}"/>
    <cellStyle name="Normal 4 19 3 3 2" xfId="14109" xr:uid="{1513B7C3-3E80-4604-8470-F2AD3E6F8795}"/>
    <cellStyle name="Normal 4 19 3 4" xfId="33029" xr:uid="{DEC2A324-39DB-4F54-832C-32DD9E696CD0}"/>
    <cellStyle name="Normal 4 19 3 5" xfId="33030" xr:uid="{E4324FDF-7061-4291-8748-BBC28EC0B9F0}"/>
    <cellStyle name="Normal 4 19 3 5 2" xfId="33031" xr:uid="{71576213-9571-4C9A-A237-7AD3627FF063}"/>
    <cellStyle name="Normal 4 2" xfId="42" xr:uid="{8058B2B0-DB92-482D-8A7E-A74B298CA5AC}"/>
    <cellStyle name="Normal 4 2 10" xfId="14111" xr:uid="{226F4867-2413-40A2-88EC-A58E457D35B9}"/>
    <cellStyle name="Normal 4 2 10 2" xfId="33032" xr:uid="{3DC4D10D-3410-41FC-963E-3089BF604915}"/>
    <cellStyle name="Normal 4 2 10 3" xfId="33033" xr:uid="{207F193D-E5A3-4175-B06E-05F05FF1780E}"/>
    <cellStyle name="Normal 4 2 10 4" xfId="33034" xr:uid="{8AD802B9-9EC5-42BB-8C2F-D579F0587E84}"/>
    <cellStyle name="Normal 4 2 10 5" xfId="45902" xr:uid="{D306E826-E7F2-4DFC-BA8E-DE702EC47AB7}"/>
    <cellStyle name="Normal 4 2 11" xfId="14112" xr:uid="{38BB9616-5FB8-4917-97A3-EFD37AE4AA12}"/>
    <cellStyle name="Normal 4 2 11 2" xfId="33035" xr:uid="{E3A87CB9-8656-444C-BFE7-A62017911502}"/>
    <cellStyle name="Normal 4 2 11 3" xfId="33036" xr:uid="{4038F3F6-DAEA-4A01-8F7E-AF6512B93EE7}"/>
    <cellStyle name="Normal 4 2 12" xfId="14113" xr:uid="{A25787AF-41DE-44D9-BF2D-BBBAB4661329}"/>
    <cellStyle name="Normal 4 2 13" xfId="14114" xr:uid="{EA20F365-8BD8-4D26-AA2E-D24FF96F4BA6}"/>
    <cellStyle name="Normal 4 2 13 2" xfId="33037" xr:uid="{FFE46806-2E46-44B9-A3CA-A02224B0BAED}"/>
    <cellStyle name="Normal 4 2 13 3" xfId="33038" xr:uid="{BBAFA4E8-746A-4E40-A218-C055CD231FD1}"/>
    <cellStyle name="Normal 4 2 14" xfId="14115" xr:uid="{41C016B4-9866-49CD-8180-1DE16031BC66}"/>
    <cellStyle name="Normal 4 2 14 2" xfId="33039" xr:uid="{A829677D-F3CC-43B3-8B6F-63106F6F566E}"/>
    <cellStyle name="Normal 4 2 14 3" xfId="33040" xr:uid="{0AB0477A-7883-49E1-96E8-D21295125383}"/>
    <cellStyle name="Normal 4 2 15" xfId="14116" xr:uid="{769217F9-9E8A-4C90-9725-B594173C3E91}"/>
    <cellStyle name="Normal 4 2 15 2" xfId="33041" xr:uid="{64573039-F81E-40E9-9DE5-0C3C9D490BCB}"/>
    <cellStyle name="Normal 4 2 15 3" xfId="33042" xr:uid="{A8D3EEAB-CC95-408B-A50B-9BC338776B2C}"/>
    <cellStyle name="Normal 4 2 16" xfId="14117" xr:uid="{905CFF68-469D-473D-84A4-DA2A5F8D50BA}"/>
    <cellStyle name="Normal 4 2 16 2" xfId="33043" xr:uid="{9666F2C4-92D0-4864-87A8-0C597B27AFA8}"/>
    <cellStyle name="Normal 4 2 16 3" xfId="33044" xr:uid="{5BDF7784-3357-4FEF-8F41-97F7205AD1CB}"/>
    <cellStyle name="Normal 4 2 17" xfId="14118" xr:uid="{F9C97099-9692-4435-A5F1-EF05045AAB5D}"/>
    <cellStyle name="Normal 4 2 17 2" xfId="33045" xr:uid="{86BF4073-9F24-40F2-AFEF-1B494BC92F1B}"/>
    <cellStyle name="Normal 4 2 17 3" xfId="33046" xr:uid="{7192D961-7F5D-401D-BD22-E7C29AA91D3F}"/>
    <cellStyle name="Normal 4 2 18" xfId="14119" xr:uid="{F373F54C-F68E-4C12-B07C-AC9DE6B342CD}"/>
    <cellStyle name="Normal 4 2 18 2" xfId="33047" xr:uid="{A53B3E56-BDE0-4652-B7CE-AE291B80DC0D}"/>
    <cellStyle name="Normal 4 2 18 3" xfId="33048" xr:uid="{E9214CDD-0F46-4D14-A1C6-F9D82050D3E7}"/>
    <cellStyle name="Normal 4 2 19" xfId="14120" xr:uid="{4BFC6B02-6725-4425-B654-6581E9EB407D}"/>
    <cellStyle name="Normal 4 2 19 2" xfId="33049" xr:uid="{CA4B44D7-62DC-4844-9830-A03E9ADD576A}"/>
    <cellStyle name="Normal 4 2 19 3" xfId="33050" xr:uid="{284CC2AD-6206-4BE0-9CC2-A59408908D38}"/>
    <cellStyle name="Normal 4 2 2" xfId="14121" xr:uid="{DB7D30AD-6E70-4F1D-B3B7-02FB1EEF3789}"/>
    <cellStyle name="Normal 4 2 2 10" xfId="14122" xr:uid="{62C5D166-45A9-4F30-B8A0-F1AAF99591B2}"/>
    <cellStyle name="Normal 4 2 2 10 2" xfId="33051" xr:uid="{F4C4244C-9E74-40E9-AA71-9AF8864CDE34}"/>
    <cellStyle name="Normal 4 2 2 10 3" xfId="33052" xr:uid="{23A27CE6-737F-4166-8BBF-9B301547E109}"/>
    <cellStyle name="Normal 4 2 2 11" xfId="14123" xr:uid="{B857F7F7-336A-40AF-973A-5DB024140174}"/>
    <cellStyle name="Normal 4 2 2 11 2" xfId="33053" xr:uid="{16394108-9068-4335-94EE-DDDF6C409A58}"/>
    <cellStyle name="Normal 4 2 2 11 3" xfId="33054" xr:uid="{27CC8197-20EB-409C-B0E4-69D4026E6383}"/>
    <cellStyle name="Normal 4 2 2 12" xfId="14124" xr:uid="{BB0CCE74-1AE8-4183-930C-60224E141057}"/>
    <cellStyle name="Normal 4 2 2 12 2" xfId="33055" xr:uid="{F381E615-1FAB-489B-A48C-F548169B6F3C}"/>
    <cellStyle name="Normal 4 2 2 12 3" xfId="33056" xr:uid="{50D0B8A0-13FC-467B-A873-A0E3640BB4E1}"/>
    <cellStyle name="Normal 4 2 2 13" xfId="14125" xr:uid="{2604AC25-5690-4876-8AF9-425F54FD1040}"/>
    <cellStyle name="Normal 4 2 2 13 2" xfId="33057" xr:uid="{30C7E697-9D86-45B4-987D-B28EA71E6CDA}"/>
    <cellStyle name="Normal 4 2 2 13 3" xfId="33058" xr:uid="{CD00E26C-8120-46B9-9386-6E2D3B33922A}"/>
    <cellStyle name="Normal 4 2 2 14" xfId="14126" xr:uid="{CD10C274-B57C-4A65-8FEB-CC760AD961D4}"/>
    <cellStyle name="Normal 4 2 2 14 2" xfId="42941" xr:uid="{FF75EB34-5070-404D-B297-1EFB6130E845}"/>
    <cellStyle name="Normal 4 2 2 15" xfId="14127" xr:uid="{F0A8873F-BA13-4B22-8F1F-7B4EA89CA9F3}"/>
    <cellStyle name="Normal 4 2 2 16" xfId="33059" xr:uid="{8D17E923-8DC2-4C65-8E72-C6E5BA8DEDA3}"/>
    <cellStyle name="Normal 4 2 2 2" xfId="14128" xr:uid="{0F7A2977-993A-41EC-80E0-BC24723D35D1}"/>
    <cellStyle name="Normal 4 2 2 2 10" xfId="14129" xr:uid="{4CBCC0A5-E09F-4773-B704-2CEA82098370}"/>
    <cellStyle name="Normal 4 2 2 2 11" xfId="14130" xr:uid="{915EA546-B515-4677-8AF2-8B02C35D03EA}"/>
    <cellStyle name="Normal 4 2 2 2 12" xfId="14131" xr:uid="{7547F021-DB42-421C-817E-65D01D4C5557}"/>
    <cellStyle name="Normal 4 2 2 2 13" xfId="14132" xr:uid="{0B13D37A-0F0C-40C1-AA26-DE3F955A5BAB}"/>
    <cellStyle name="Normal 4 2 2 2 14" xfId="14133" xr:uid="{67A60050-76D0-45A2-A9F7-0705F168E345}"/>
    <cellStyle name="Normal 4 2 2 2 14 2" xfId="33060" xr:uid="{77170B6D-0958-48AA-A6ED-0B9C6A2D5A06}"/>
    <cellStyle name="Normal 4 2 2 2 14 3" xfId="33061" xr:uid="{7AC9CEBB-E52F-4F84-8831-F54ECA5EFB98}"/>
    <cellStyle name="Normal 4 2 2 2 15" xfId="33062" xr:uid="{6CF612BE-B610-47E5-A8F8-24AEBEE40950}"/>
    <cellStyle name="Normal 4 2 2 2 16" xfId="33063" xr:uid="{4F246CA7-7BFB-47AA-ABC5-9FA1B913E027}"/>
    <cellStyle name="Normal 4 2 2 2 16 2" xfId="33064" xr:uid="{F999DB2F-67BA-4D63-804F-2DD8D4C40D32}"/>
    <cellStyle name="Normal 4 2 2 2 2" xfId="14134" xr:uid="{9D1A2DF5-CE81-4187-8FD6-2467CB0C252D}"/>
    <cellStyle name="Normal 4 2 2 2 2 2" xfId="14135" xr:uid="{F09E5C94-73E5-48FF-8D2B-A3596B714F2F}"/>
    <cellStyle name="Normal 4 2 2 2 2 2 2" xfId="14136" xr:uid="{B84C1FAB-4B8D-432E-8F29-B862327EBB53}"/>
    <cellStyle name="Normal 4 2 2 2 2 2 3" xfId="14137" xr:uid="{E99C436E-0B80-4AF4-847C-9A1A1F9390EF}"/>
    <cellStyle name="Normal 4 2 2 2 3" xfId="14138" xr:uid="{1D9B7212-0B3C-42B8-85CD-E977C90D0012}"/>
    <cellStyle name="Normal 4 2 2 2 3 2" xfId="14139" xr:uid="{8F4A3F73-E2C2-4761-9FD4-4CC1D139E368}"/>
    <cellStyle name="Normal 4 2 2 2 3 2 2" xfId="14140" xr:uid="{24F64BD6-4581-4C30-8A0D-6F8F59243044}"/>
    <cellStyle name="Normal 4 2 2 2 3 2 3" xfId="33065" xr:uid="{48CBFC83-69D7-4EB4-B8DC-AC355B27A045}"/>
    <cellStyle name="Normal 4 2 2 2 4" xfId="14141" xr:uid="{1B16F525-F3A1-45C3-BFE9-D262FE1D8D61}"/>
    <cellStyle name="Normal 4 2 2 2 5" xfId="14142" xr:uid="{DD54935E-9820-4148-8D37-F48725A04002}"/>
    <cellStyle name="Normal 4 2 2 2 6" xfId="14143" xr:uid="{E75EB16B-6F9B-42DB-8495-3C3671F71907}"/>
    <cellStyle name="Normal 4 2 2 2 7" xfId="14144" xr:uid="{B06D23B4-A751-417E-A81F-574E5568B3EB}"/>
    <cellStyle name="Normal 4 2 2 2 8" xfId="14145" xr:uid="{2B46049C-A1A7-4857-B3A0-FB889D2CF055}"/>
    <cellStyle name="Normal 4 2 2 2 9" xfId="14146" xr:uid="{A46DE565-E49F-47EE-883F-59F7682B0B98}"/>
    <cellStyle name="Normal 4 2 2 3" xfId="14147" xr:uid="{7B5F11D9-D306-46C3-9C97-D166ADAACFA5}"/>
    <cellStyle name="Normal 4 2 2 3 2" xfId="33066" xr:uid="{FFC4C914-B401-4FEC-B43C-61C0A71C7D5E}"/>
    <cellStyle name="Normal 4 2 2 3 3" xfId="33067" xr:uid="{8D4B5F3D-D002-402C-8366-5A9C49E5423D}"/>
    <cellStyle name="Normal 4 2 2 4" xfId="14148" xr:uid="{8F5565F6-9549-49A0-B377-064E28E14FA8}"/>
    <cellStyle name="Normal 4 2 2 4 2" xfId="33068" xr:uid="{4E462D5D-1631-4F43-9270-FEC6EB818CF4}"/>
    <cellStyle name="Normal 4 2 2 4 3" xfId="33069" xr:uid="{3584E346-67C5-4D3F-A877-B7BE12FD2D84}"/>
    <cellStyle name="Normal 4 2 2 5" xfId="14149" xr:uid="{3DD60DB1-618E-4FAC-9742-CDEE616AE01E}"/>
    <cellStyle name="Normal 4 2 2 5 2" xfId="33070" xr:uid="{6E77A261-F170-406D-A49B-C294DB6D6E0A}"/>
    <cellStyle name="Normal 4 2 2 5 3" xfId="33071" xr:uid="{E315D8AB-393F-44FC-A8BA-13827DB31C8F}"/>
    <cellStyle name="Normal 4 2 2 6" xfId="14150" xr:uid="{2124863B-6F56-4828-AF8B-DF192C0806C4}"/>
    <cellStyle name="Normal 4 2 2 6 2" xfId="33072" xr:uid="{A3EA0A0C-8148-4138-8770-9C1288BCE622}"/>
    <cellStyle name="Normal 4 2 2 6 3" xfId="33073" xr:uid="{F669DDA9-ADC3-495E-9A41-58A325429387}"/>
    <cellStyle name="Normal 4 2 2 7" xfId="14151" xr:uid="{D30182E1-FD34-4197-BF4F-C996776D54AB}"/>
    <cellStyle name="Normal 4 2 2 7 2" xfId="33074" xr:uid="{6815B472-CB35-4625-8451-CA049E7B147C}"/>
    <cellStyle name="Normal 4 2 2 7 3" xfId="33075" xr:uid="{51F297BB-0B7B-4872-A105-89403BA6B5EB}"/>
    <cellStyle name="Normal 4 2 2 8" xfId="14152" xr:uid="{0E132EE9-FE8D-4B1A-BCBA-1F9A45A15825}"/>
    <cellStyle name="Normal 4 2 2 8 2" xfId="33076" xr:uid="{1869431B-0C0F-42B1-A9F9-C16FA24A73D3}"/>
    <cellStyle name="Normal 4 2 2 8 3" xfId="33077" xr:uid="{1458974E-73DC-449B-83B8-38E4A0B74C46}"/>
    <cellStyle name="Normal 4 2 2 9" xfId="14153" xr:uid="{39DB7797-15C6-4D24-B0B3-14F67F90E550}"/>
    <cellStyle name="Normal 4 2 2 9 2" xfId="33078" xr:uid="{2B40F982-45D0-4499-B685-129800D41D0F}"/>
    <cellStyle name="Normal 4 2 2 9 3" xfId="33079" xr:uid="{C261E4F7-5BBD-470C-A074-A453E80D760B}"/>
    <cellStyle name="Normal 4 2 20" xfId="14154" xr:uid="{4D7128CD-4E34-4817-94A1-C23304098368}"/>
    <cellStyle name="Normal 4 2 20 2" xfId="33080" xr:uid="{25B6431E-660D-4BD9-B68E-8A7BAB51D56D}"/>
    <cellStyle name="Normal 4 2 21" xfId="14155" xr:uid="{9872AE8D-7B26-4982-947D-0C460C242B6B}"/>
    <cellStyle name="Normal 4 2 22" xfId="14156" xr:uid="{E0CD2921-57C8-44EF-87A2-DD8351C8E58F}"/>
    <cellStyle name="Normal 4 2 23" xfId="14110" xr:uid="{3A0E1653-642D-4142-9B98-B59BC85C5688}"/>
    <cellStyle name="Normal 4 2 3" xfId="14157" xr:uid="{E1B5937A-CF90-4E28-99B9-FB357813F391}"/>
    <cellStyle name="Normal 4 2 3 2" xfId="14158" xr:uid="{1DFE0058-6E09-4DA6-B563-FD703891E5AC}"/>
    <cellStyle name="Normal 4 2 3 2 2" xfId="14159" xr:uid="{646D776E-5720-4615-BC2F-8C1AA4CA8110}"/>
    <cellStyle name="Normal 4 2 3 2 2 2" xfId="14160" xr:uid="{8A852A11-DBC9-4B56-80CA-DFCFE070405C}"/>
    <cellStyle name="Normal 4 2 3 2 2 2 2" xfId="33081" xr:uid="{54BDE111-A8A6-425D-8AA6-7F805D57AA46}"/>
    <cellStyle name="Normal 4 2 3 2 2 2 3" xfId="33082" xr:uid="{BB7294D4-D72A-4BD2-8AAE-A5B6D1F0E192}"/>
    <cellStyle name="Normal 4 2 3 2 3" xfId="14161" xr:uid="{7CA9FB7B-1470-40CD-8369-8DA3AA845AFF}"/>
    <cellStyle name="Normal 4 2 3 2 3 2" xfId="14162" xr:uid="{96A66466-8CBA-41D0-B4CA-191C5DB45108}"/>
    <cellStyle name="Normal 4 2 3 2 4" xfId="14163" xr:uid="{28BE1CE7-EE1B-4C39-A5E6-A2BD95CFB5DD}"/>
    <cellStyle name="Normal 4 2 3 2 5" xfId="33083" xr:uid="{9653BDA3-8717-49CF-A1AA-944749ACA4B9}"/>
    <cellStyle name="Normal 4 2 3 2 6" xfId="33084" xr:uid="{81F4DEB2-062D-4BCF-8306-8854728D4C8D}"/>
    <cellStyle name="Normal 4 2 3 2 6 2" xfId="33085" xr:uid="{74EA0054-BB78-4B11-A84B-1DA6095D0BFB}"/>
    <cellStyle name="Normal 4 2 3 2 7" xfId="42943" xr:uid="{E983206E-7344-4E3F-9435-F531773BE65A}"/>
    <cellStyle name="Normal 4 2 3 3" xfId="14164" xr:uid="{66006BE8-1AC2-4E1F-93F1-BE9C37D533C4}"/>
    <cellStyle name="Normal 4 2 3 3 2" xfId="33086" xr:uid="{92A0FC29-8C3E-408E-8ABA-8C73B4470C72}"/>
    <cellStyle name="Normal 4 2 3 4" xfId="42942" xr:uid="{B482B690-761C-4482-AC06-58B196FAC8D3}"/>
    <cellStyle name="Normal 4 2 3 5" xfId="44380" xr:uid="{E4DD1FE6-74F3-487B-89F4-5EBE43E30856}"/>
    <cellStyle name="Normal 4 2 4" xfId="14165" xr:uid="{ADC45535-3B33-47BE-A98F-E2D94CBA91C8}"/>
    <cellStyle name="Normal 4 2 4 2" xfId="14166" xr:uid="{519ABF19-8F89-4280-B6FB-BC45E5C18A36}"/>
    <cellStyle name="Normal 4 2 4 2 2" xfId="14167" xr:uid="{60CC1335-1C63-4F31-AC6B-D38576DC911B}"/>
    <cellStyle name="Normal 4 2 4 2 2 2" xfId="14168" xr:uid="{430804AA-3C05-433F-B318-0E04485945BC}"/>
    <cellStyle name="Normal 4 2 4 2 2 3" xfId="33087" xr:uid="{DD669A33-8F39-4F01-A8D3-8289F5B2CFAB}"/>
    <cellStyle name="Normal 4 2 4 2 2 4" xfId="33088" xr:uid="{EF276C0B-E269-4B2B-A5D7-3FC4BB1310A8}"/>
    <cellStyle name="Normal 4 2 4 2 2 5" xfId="33089" xr:uid="{9A21B4CB-CAA3-40B4-9AA7-54C8B8158203}"/>
    <cellStyle name="Normal 4 2 4 2 3" xfId="14169" xr:uid="{EEDAA094-138F-43E4-88EF-7B2A52243F92}"/>
    <cellStyle name="Normal 4 2 4 2 3 2" xfId="33090" xr:uid="{EC1979AA-1AF8-452B-B087-62B1CD3CF3DB}"/>
    <cellStyle name="Normal 4 2 4 2 3 3" xfId="33091" xr:uid="{693CCAF8-961E-4F12-B4BA-78A4A12B7B41}"/>
    <cellStyle name="Normal 4 2 4 2 4" xfId="33092" xr:uid="{228CC4CD-9A49-40A0-9CC8-44BBA6DB0385}"/>
    <cellStyle name="Normal 4 2 4 2 4 2" xfId="33093" xr:uid="{C702649F-02F1-4489-B302-B5007CC3E20A}"/>
    <cellStyle name="Normal 4 2 4 2 5" xfId="33094" xr:uid="{1175107E-3DFD-4EC9-8CEA-80A42E177D14}"/>
    <cellStyle name="Normal 4 2 4 3" xfId="14170" xr:uid="{DFAAB05A-1604-4058-8F56-256DA8A41D02}"/>
    <cellStyle name="Normal 4 2 5" xfId="14171" xr:uid="{CA8EA496-370D-4723-BEDD-8FB9811A84FA}"/>
    <cellStyle name="Normal 4 2 5 2" xfId="14172" xr:uid="{ACE2BF20-26FB-4A64-9CB7-75F123BE001C}"/>
    <cellStyle name="Normal 4 2 5 2 2" xfId="14173" xr:uid="{9251B110-22EE-43B2-9CFB-AD30FAAE101B}"/>
    <cellStyle name="Normal 4 2 5 2 3" xfId="14174" xr:uid="{40F8C1C9-CC0E-478F-8631-CD5FDE8B1B88}"/>
    <cellStyle name="Normal 4 2 5 2 4" xfId="14175" xr:uid="{9A6565B7-4556-46BB-8666-EB913588C125}"/>
    <cellStyle name="Normal 4 2 5 3" xfId="14176" xr:uid="{1B1CADAA-6F34-4448-A72C-C05E2DD152B3}"/>
    <cellStyle name="Normal 4 2 5 3 2" xfId="14177" xr:uid="{241EF463-3AFE-40AF-94CA-CB0533B639FB}"/>
    <cellStyle name="Normal 4 2 5 4" xfId="14178" xr:uid="{AE00A635-8CE2-43E5-BA4F-E0A2AAE0B3ED}"/>
    <cellStyle name="Normal 4 2 5 4 2" xfId="14179" xr:uid="{4E9BFE34-7F28-400F-944B-CB363FBE98E3}"/>
    <cellStyle name="Normal 4 2 5 4 3" xfId="14180" xr:uid="{2C056128-B865-4106-86F1-013B43CD5988}"/>
    <cellStyle name="Normal 4 2 5 5" xfId="14181" xr:uid="{78ED3DE1-8943-45AB-A921-A7953F1CFEE0}"/>
    <cellStyle name="Normal 4 2 5 5 2" xfId="33095" xr:uid="{E1A48B27-3964-4251-9ADE-3EFBFCC57D2D}"/>
    <cellStyle name="Normal 4 2 5 5 3" xfId="33096" xr:uid="{55F0015D-D164-4271-BD9C-6E84186A38DE}"/>
    <cellStyle name="Normal 4 2 5 6" xfId="14182" xr:uid="{E54FC2E0-6500-4EA1-AFDB-C3A4238F01EB}"/>
    <cellStyle name="Normal 4 2 5 7" xfId="14183" xr:uid="{20044C87-D0D0-42A0-BBD2-CE1E3E29DA5A}"/>
    <cellStyle name="Normal 4 2 6" xfId="14184" xr:uid="{0363ABA2-4DAC-4986-ADDA-D0FD53163F83}"/>
    <cellStyle name="Normal 4 2 6 2" xfId="14185" xr:uid="{75109C2A-B066-475A-BE7B-B924C46B8CA1}"/>
    <cellStyle name="Normal 4 2 6 2 2" xfId="14186" xr:uid="{5D3475D4-CBBE-4248-A580-103D7ED98A5E}"/>
    <cellStyle name="Normal 4 2 6 2 3" xfId="14187" xr:uid="{E9A9DF77-39B1-4271-A400-0F29CB306C98}"/>
    <cellStyle name="Normal 4 2 6 3" xfId="14188" xr:uid="{9291DFDB-6117-409E-8684-BC35C805044A}"/>
    <cellStyle name="Normal 4 2 7" xfId="14189" xr:uid="{3B19FE13-7B10-46B3-982A-B82C4097AE6E}"/>
    <cellStyle name="Normal 4 2 7 2" xfId="14190" xr:uid="{4F49698A-C21F-4337-B9A4-C51235FFE2B8}"/>
    <cellStyle name="Normal 4 2 7 3" xfId="33097" xr:uid="{8266270F-E2C1-4CB7-8288-6AE09A49ACA1}"/>
    <cellStyle name="Normal 4 2 7 4" xfId="33098" xr:uid="{69F4D961-E7A6-4F5F-A332-804E67B74F94}"/>
    <cellStyle name="Normal 4 2 8" xfId="14191" xr:uid="{9AD10657-A54E-4263-B13D-626A1F9CAA99}"/>
    <cellStyle name="Normal 4 2 8 2" xfId="14192" xr:uid="{1756CD3C-7B21-4064-86E6-BC4C216D048D}"/>
    <cellStyle name="Normal 4 2 8 3" xfId="33099" xr:uid="{2D410FA0-EF2B-4136-8115-82E4EF9B8518}"/>
    <cellStyle name="Normal 4 2 8 4" xfId="33100" xr:uid="{CAABBD40-7730-44CD-9BCF-C027835887CC}"/>
    <cellStyle name="Normal 4 2 9" xfId="14193" xr:uid="{F067EF82-649C-49DD-9853-EDC5A86738D5}"/>
    <cellStyle name="Normal 4 2 9 2" xfId="33101" xr:uid="{B3079CA4-565A-4905-AD3F-B49DF191414D}"/>
    <cellStyle name="Normal 4 2 9 3" xfId="33102" xr:uid="{40F5FF12-9E2D-490D-ADE7-30A3D1FBE8D0}"/>
    <cellStyle name="Normal 4 2 9 4" xfId="33103" xr:uid="{D0067D82-DF59-47A0-9649-4336DD29CE7E}"/>
    <cellStyle name="Normal 4 2_Scen_XBase" xfId="33104" xr:uid="{99670515-1D55-49E5-9851-1A3914ACC0FE}"/>
    <cellStyle name="Normal 4 20" xfId="14194" xr:uid="{7BCBD276-2848-417E-8EED-0DC96C226153}"/>
    <cellStyle name="Normal 4 20 2" xfId="14195" xr:uid="{803C37AF-1845-4991-8D0C-7844B43706EA}"/>
    <cellStyle name="Normal 4 20 3" xfId="14196" xr:uid="{6416AD6C-1BB7-4E1F-A4AC-B49AD916E8BA}"/>
    <cellStyle name="Normal 4 20 3 2" xfId="14197" xr:uid="{AAD4218C-BD9E-47E1-86BB-B4DCD8444793}"/>
    <cellStyle name="Normal 4 20 3 2 2" xfId="14198" xr:uid="{72BFB7CA-2B79-4619-AF1F-5B39362A6427}"/>
    <cellStyle name="Normal 4 20 3 3" xfId="14199" xr:uid="{9C07F0DE-3ABE-43DE-826C-EF400A6CC61B}"/>
    <cellStyle name="Normal 4 20 3 3 2" xfId="14200" xr:uid="{3DE9EEAE-153E-4357-9D19-993A461D9821}"/>
    <cellStyle name="Normal 4 20 3 4" xfId="33105" xr:uid="{B14D1D67-5E09-4CBC-BE5D-A04EFC4B73F1}"/>
    <cellStyle name="Normal 4 20 3 5" xfId="33106" xr:uid="{BA7424BA-B961-4F77-849D-96D42705B063}"/>
    <cellStyle name="Normal 4 20 3 5 2" xfId="33107" xr:uid="{1AC89045-E720-4868-9008-474662723C40}"/>
    <cellStyle name="Normal 4 21" xfId="14201" xr:uid="{CCBE2734-7BA2-4FCE-9CEB-E6DE3D9A49C0}"/>
    <cellStyle name="Normal 4 22" xfId="14202" xr:uid="{08137D40-4331-473B-8493-079897F8466E}"/>
    <cellStyle name="Normal 4 23" xfId="14203" xr:uid="{9F835C43-61CE-4142-BB5C-2E226CAEAA0F}"/>
    <cellStyle name="Normal 4 24" xfId="14204" xr:uid="{CAC01DEA-366D-4DA9-A152-7DBBD56D5648}"/>
    <cellStyle name="Normal 4 25" xfId="14205" xr:uid="{7129B9E0-B59E-45A5-A2C2-797ACB6EC6C6}"/>
    <cellStyle name="Normal 4 26" xfId="14206" xr:uid="{C3D3E74E-D853-4541-BC67-3B4B0B68AF4A}"/>
    <cellStyle name="Normal 4 27" xfId="14207" xr:uid="{C0AA2AE3-DFB7-415F-B7D2-C8D065E34DE2}"/>
    <cellStyle name="Normal 4 27 2" xfId="14208" xr:uid="{C7FE48FE-7C3A-465E-853E-EB738E89D8E3}"/>
    <cellStyle name="Normal 4 27 2 2" xfId="33108" xr:uid="{DDF34DCE-751B-40B9-9142-E92B8A4B0CAE}"/>
    <cellStyle name="Normal 4 27 2 3" xfId="33109" xr:uid="{E88A0E99-FA49-451E-BE80-905612DC59D3}"/>
    <cellStyle name="Normal 4 27 3" xfId="33110" xr:uid="{D7FA359C-6A7F-4C67-BB1B-64B2069F10A6}"/>
    <cellStyle name="Normal 4 27 4" xfId="33111" xr:uid="{371EBB32-3C0D-4C48-B232-C0EFA5787991}"/>
    <cellStyle name="Normal 4 28" xfId="14209" xr:uid="{A005AB86-D677-485F-B966-6CE0D59FC64B}"/>
    <cellStyle name="Normal 4 28 2" xfId="33112" xr:uid="{0401A1EB-D7C1-4F3F-96A4-B90DD10B9DC0}"/>
    <cellStyle name="Normal 4 28 3" xfId="33113" xr:uid="{56138447-52CB-4659-8456-C4082F3ABA71}"/>
    <cellStyle name="Normal 4 29" xfId="14210" xr:uid="{B1A73A61-F9AF-4656-AFF3-4F8CDDBAF31F}"/>
    <cellStyle name="Normal 4 29 2" xfId="33114" xr:uid="{76368FEF-F3F5-484E-9507-B75C2CAC20FD}"/>
    <cellStyle name="Normal 4 29 3" xfId="33115" xr:uid="{C409C06A-C1F9-47CC-9595-B7F3102BFD5A}"/>
    <cellStyle name="Normal 4 3" xfId="32" xr:uid="{A019890B-7E89-40C5-B92C-4D5B6830897E}"/>
    <cellStyle name="Normal 4 3 10" xfId="14212" xr:uid="{5EEF2A89-3136-4D5F-88C6-BDBE2B127497}"/>
    <cellStyle name="Normal 4 3 10 2" xfId="33116" xr:uid="{B31AAF75-E3A4-4AED-A91E-F4EBAFAD9CC3}"/>
    <cellStyle name="Normal 4 3 10 3" xfId="33117" xr:uid="{210B2C4A-74FC-4F40-882D-004CA0F3067C}"/>
    <cellStyle name="Normal 4 3 11" xfId="14213" xr:uid="{C382AD20-A24C-43A3-9F00-12BFE8036088}"/>
    <cellStyle name="Normal 4 3 11 2" xfId="33118" xr:uid="{70666CE5-B486-430A-9E81-7C16FAFD2035}"/>
    <cellStyle name="Normal 4 3 11 3" xfId="33119" xr:uid="{46EF5DC6-5A2E-4FCD-9AD7-B8C24E6FD900}"/>
    <cellStyle name="Normal 4 3 12" xfId="14214" xr:uid="{00F4C41B-56C9-4E32-B540-A205F5492F93}"/>
    <cellStyle name="Normal 4 3 12 2" xfId="33120" xr:uid="{228F6565-BEFF-44E1-AD9E-929F3A7B19CD}"/>
    <cellStyle name="Normal 4 3 12 3" xfId="33121" xr:uid="{5BF4DAEF-729E-44B1-80A3-2055F00010B0}"/>
    <cellStyle name="Normal 4 3 13" xfId="14215" xr:uid="{39D29808-F9BC-4FF5-A652-D15D72AA4143}"/>
    <cellStyle name="Normal 4 3 13 2" xfId="33122" xr:uid="{CFB42BBD-09A9-4685-99A4-80DD6C82D966}"/>
    <cellStyle name="Normal 4 3 13 3" xfId="33123" xr:uid="{C189D251-68CD-4289-AE64-DE873FBF6760}"/>
    <cellStyle name="Normal 4 3 14" xfId="44167" xr:uid="{713B09F1-F5BA-47B0-9CED-C13030A4692E}"/>
    <cellStyle name="Normal 4 3 15" xfId="14211" xr:uid="{B8BE3AB9-4428-4DC9-81DD-4D82B48228A9}"/>
    <cellStyle name="Normal 4 3 2" xfId="14216" xr:uid="{85B38DE0-54DB-429E-A96B-22E0FBC25BFE}"/>
    <cellStyle name="Normal 4 3 2 2" xfId="14217" xr:uid="{758FD7E2-C742-4CF4-A31A-716644E46DB0}"/>
    <cellStyle name="Normal 4 3 2 3" xfId="44381" xr:uid="{D7B1C2D9-A2AE-46E4-BBBF-11BF7130DDE4}"/>
    <cellStyle name="Normal 4 3 3" xfId="14218" xr:uid="{792B395C-C6FC-4ACD-91E0-CF57EDCBEC77}"/>
    <cellStyle name="Normal 4 3 3 2" xfId="14219" xr:uid="{C7CD5B0B-5DC0-423F-9770-52B14473C4F1}"/>
    <cellStyle name="Normal 4 3 3 2 2" xfId="33124" xr:uid="{973A748B-91B3-4595-B49A-3FA450AD8D0B}"/>
    <cellStyle name="Normal 4 3 3 2 3" xfId="33125" xr:uid="{89050437-87F3-4C12-B191-676A5666EB27}"/>
    <cellStyle name="Normal 4 3 3 3" xfId="14220" xr:uid="{8A9A227E-56A7-4A07-B122-BF51499772F6}"/>
    <cellStyle name="Normal 4 3 3 4" xfId="33126" xr:uid="{ADCEC916-0B1E-4239-A6B7-B1C5AC2DF33A}"/>
    <cellStyle name="Normal 4 3 3 5" xfId="33127" xr:uid="{CB2D3FB5-5215-4C7E-BD8D-5A4AEC80CDB4}"/>
    <cellStyle name="Normal 4 3 4" xfId="14221" xr:uid="{74647215-4E97-43D0-8256-586626298EF2}"/>
    <cellStyle name="Normal 4 3 4 2" xfId="14222" xr:uid="{84916629-0AB9-4E61-A8C1-D7E55226E2A4}"/>
    <cellStyle name="Normal 4 3 4 2 2" xfId="42944" xr:uid="{90A2380B-59B6-40AF-A2F5-E92998976B33}"/>
    <cellStyle name="Normal 4 3 4 3" xfId="33128" xr:uid="{BC8B8458-CD6B-4084-A7F0-7D1457501B78}"/>
    <cellStyle name="Normal 4 3 4 3 2" xfId="42945" xr:uid="{5825AB49-61A7-4947-A837-8471489EBCF3}"/>
    <cellStyle name="Normal 4 3 4 4" xfId="33129" xr:uid="{8AACA499-355C-4E06-B1A4-D788CA4A1809}"/>
    <cellStyle name="Normal 4 3 5" xfId="14223" xr:uid="{CA33C62B-2120-4257-9373-5CB61708A7E2}"/>
    <cellStyle name="Normal 4 3 5 2" xfId="14224" xr:uid="{9CF87844-07A1-4DED-8E04-5F124EA7346F}"/>
    <cellStyle name="Normal 4 3 5 3" xfId="33130" xr:uid="{602CE3EB-540D-4BC1-AFAF-684FE27F4234}"/>
    <cellStyle name="Normal 4 3 5 4" xfId="33131" xr:uid="{7092768E-50B5-4124-AB82-F4B34F8DD387}"/>
    <cellStyle name="Normal 4 3 6" xfId="14225" xr:uid="{361C16C9-B9D6-4105-8534-11B0A21AD5E9}"/>
    <cellStyle name="Normal 4 3 6 2" xfId="14226" xr:uid="{139D29EC-DFE7-4ADB-BABF-0E07E53C6DCB}"/>
    <cellStyle name="Normal 4 3 6 3" xfId="33132" xr:uid="{A7E57772-1AE2-464E-8E3B-D5CB7FECD016}"/>
    <cellStyle name="Normal 4 3 6 4" xfId="33133" xr:uid="{6FC7E350-D749-4C4A-8339-2EBF2A9F0AF6}"/>
    <cellStyle name="Normal 4 3 7" xfId="14227" xr:uid="{134ACCC3-0C68-4DEE-A4E9-FC6C26C31D50}"/>
    <cellStyle name="Normal 4 3 7 2" xfId="14228" xr:uid="{5BBC0243-67DE-4523-9A82-0301C555F2E9}"/>
    <cellStyle name="Normal 4 3 7 3" xfId="33134" xr:uid="{E52BCCE7-C407-4C1A-9CB6-34B20E036F3F}"/>
    <cellStyle name="Normal 4 3 7 4" xfId="33135" xr:uid="{20BABDF1-9F9D-43E0-BB0A-214E4EC06231}"/>
    <cellStyle name="Normal 4 3 8" xfId="14229" xr:uid="{D3A3BE1D-64DB-411A-A5EC-BB942F6E8FEC}"/>
    <cellStyle name="Normal 4 3 9" xfId="14230" xr:uid="{F90DB782-62FB-4FC6-A652-2B8DB69BA314}"/>
    <cellStyle name="Normal 4 3 9 2" xfId="33136" xr:uid="{974AF340-43AD-4BAC-AEF3-24969FACB691}"/>
    <cellStyle name="Normal 4 3 9 3" xfId="33137" xr:uid="{EF508275-D578-418C-B39C-8AD97406E936}"/>
    <cellStyle name="Normal 4 3 9 4" xfId="33138" xr:uid="{53D081A2-D930-4B3F-B0DE-8D745C8A0726}"/>
    <cellStyle name="Normal 4 3_Scen_XBase" xfId="33139" xr:uid="{EC07C2B4-FBC7-4CAF-8475-86EFB1B4A03B}"/>
    <cellStyle name="Normal 4 30" xfId="14231" xr:uid="{50ADA52E-ED3A-42E7-BB11-F56856626E4F}"/>
    <cellStyle name="Normal 4 30 2" xfId="33140" xr:uid="{1BF3C6F0-9B37-4FA9-8E3F-4E041A1EEEDD}"/>
    <cellStyle name="Normal 4 30 3" xfId="33141" xr:uid="{746AEA77-EC33-4159-9AE5-8A250EAFC5D8}"/>
    <cellStyle name="Normal 4 31" xfId="14232" xr:uid="{127A1081-B58B-46D8-ADBD-CA984CD09D47}"/>
    <cellStyle name="Normal 4 31 2" xfId="33142" xr:uid="{DCB0EDA6-7F6F-42A3-A56C-83AB8E864E6A}"/>
    <cellStyle name="Normal 4 31 3" xfId="33143" xr:uid="{86CF6FCD-68E4-4A37-A3BB-FDA63FDFEE0E}"/>
    <cellStyle name="Normal 4 32" xfId="14233" xr:uid="{C227D937-AE30-4367-8077-23A425C80D91}"/>
    <cellStyle name="Normal 4 32 2" xfId="33144" xr:uid="{6FF46B5D-2804-4DC3-9446-7BE496EF25EC}"/>
    <cellStyle name="Normal 4 32 3" xfId="33145" xr:uid="{1FCEAB7D-FD74-4D04-A159-278C55DB3B54}"/>
    <cellStyle name="Normal 4 33" xfId="14234" xr:uid="{6D723266-62F2-40C1-955F-36A83DFC0C5D}"/>
    <cellStyle name="Normal 4 33 2" xfId="33146" xr:uid="{9C313CF7-8684-4249-A9C2-5A190F0BB808}"/>
    <cellStyle name="Normal 4 33 3" xfId="33147" xr:uid="{2BB8274C-F271-437F-8EDD-12D67D8A6855}"/>
    <cellStyle name="Normal 4 34" xfId="14235" xr:uid="{048F27FB-3D44-42E7-BF17-6758D6B35535}"/>
    <cellStyle name="Normal 4 34 2" xfId="33148" xr:uid="{623E8433-CEFB-45E2-86F3-3B08B842329E}"/>
    <cellStyle name="Normal 4 34 3" xfId="33149" xr:uid="{757073F7-325E-412B-A013-44EF562A09DC}"/>
    <cellStyle name="Normal 4 35" xfId="14236" xr:uid="{D12579C7-9EF4-4E81-9BF2-CCE93A54E3AC}"/>
    <cellStyle name="Normal 4 35 2" xfId="33150" xr:uid="{C2FF518D-E99E-4AD5-82E7-CA8C6819303F}"/>
    <cellStyle name="Normal 4 35 3" xfId="33151" xr:uid="{F9D625D0-B63A-41D4-8C46-7E320F1A33B5}"/>
    <cellStyle name="Normal 4 36" xfId="14237" xr:uid="{4691934A-D1C6-47C5-9240-7D9F319BC2C5}"/>
    <cellStyle name="Normal 4 36 2" xfId="33152" xr:uid="{0B8C1882-F880-4C42-A455-0D7EB0F12A00}"/>
    <cellStyle name="Normal 4 36 3" xfId="33153" xr:uid="{26892462-959F-451C-9C4D-768ADF2CCF97}"/>
    <cellStyle name="Normal 4 37" xfId="33154" xr:uid="{851BEA3A-4822-4B46-A62F-CA9EDC729C01}"/>
    <cellStyle name="Normal 4 37 2" xfId="33155" xr:uid="{4A19962A-327A-46BD-AF12-1B5C64CBFA74}"/>
    <cellStyle name="Normal 4 37 3" xfId="33156" xr:uid="{967A3098-9714-4A2C-B204-4A185881E6F7}"/>
    <cellStyle name="Normal 4 38" xfId="59" xr:uid="{A6A3EBD4-5B0E-43A1-9368-87765BA3A26E}"/>
    <cellStyle name="Normal 4 39" xfId="43475" xr:uid="{E4C7E37C-5638-4C25-8959-76FDE3616E85}"/>
    <cellStyle name="Normal 4 4" xfId="51" xr:uid="{C436095E-FB1F-474E-B921-7EF751822BD2}"/>
    <cellStyle name="Normal 4 4 2" xfId="14239" xr:uid="{98C7DC72-AF5E-4D46-9143-E0EF62E03508}"/>
    <cellStyle name="Normal 4 4 2 2" xfId="14240" xr:uid="{B533DD16-7CF3-4F9C-BA2D-201BFB46DF95}"/>
    <cellStyle name="Normal 4 4 3" xfId="14241" xr:uid="{720521BC-8BD9-4226-B2FB-1BCC0C51408A}"/>
    <cellStyle name="Normal 4 4 3 2" xfId="42947" xr:uid="{D7D731C8-F0AA-47AB-BAC8-A18515798D34}"/>
    <cellStyle name="Normal 4 4 3 3" xfId="42946" xr:uid="{9028A8CD-2DC9-42D2-A195-11A0A2189698}"/>
    <cellStyle name="Normal 4 4 4" xfId="14242" xr:uid="{1F1E754D-B7C7-4FF5-9EE9-FB6010E98942}"/>
    <cellStyle name="Normal 4 4 5" xfId="14243" xr:uid="{E5BE4C90-0924-4D75-9815-A0D67DC67BEB}"/>
    <cellStyle name="Normal 4 4 6" xfId="14244" xr:uid="{017268C0-67D0-4E7A-B559-5D77F5697248}"/>
    <cellStyle name="Normal 4 4 7" xfId="14245" xr:uid="{08653E00-D632-4E5D-AF91-048C91352665}"/>
    <cellStyle name="Normal 4 4 8" xfId="14246" xr:uid="{A177870A-F104-462F-8427-33CB444C9D8C}"/>
    <cellStyle name="Normal 4 4 9" xfId="14238" xr:uid="{8B56F45D-BBD6-47A9-A146-6D390B6CA675}"/>
    <cellStyle name="Normal 4 40" xfId="43482" xr:uid="{C7197969-5811-4F3E-991F-8C36433FC9CE}"/>
    <cellStyle name="Normal 4 41" xfId="43485" xr:uid="{EE66CC5C-960A-4177-A87B-B4D06F2C6CE9}"/>
    <cellStyle name="Normal 4 42" xfId="43490" xr:uid="{36319261-CF85-43E8-8C12-0735F19400B3}"/>
    <cellStyle name="Normal 4 43" xfId="43970" xr:uid="{6502141C-96D7-4BCC-A1F7-0BA9EB535B63}"/>
    <cellStyle name="Normal 4 44" xfId="110" xr:uid="{1888944B-8C58-4E29-93BA-46F540AB4105}"/>
    <cellStyle name="Normal 4 45" xfId="87" xr:uid="{1FF08F27-6FD6-47BE-95D7-5EA1C48BEFE6}"/>
    <cellStyle name="Normal 4 46" xfId="45847" xr:uid="{9D50ACAA-C803-48C6-BADD-1BEDB414DEA4}"/>
    <cellStyle name="Normal 4 47" xfId="45928" xr:uid="{7F2DC844-5964-473C-95B7-AC9D2B006B07}"/>
    <cellStyle name="Normal 4 5" xfId="14247" xr:uid="{F0CD54D7-631E-4292-8F6F-386342B68540}"/>
    <cellStyle name="Normal 4 5 2" xfId="14248" xr:uid="{E200B435-4FE1-4794-8DAC-9951154E4634}"/>
    <cellStyle name="Normal 4 5 2 2" xfId="14249" xr:uid="{E6C2F5CF-D331-412C-8C87-6FC11DF700C2}"/>
    <cellStyle name="Normal 4 5 2 2 2" xfId="33157" xr:uid="{902EE2A3-F51E-4AB2-BDD8-E23DEFCC85B4}"/>
    <cellStyle name="Normal 4 5 2 2 3" xfId="33158" xr:uid="{9BA51F68-7EB4-4AC8-92CF-8A4C111187B1}"/>
    <cellStyle name="Normal 4 5 2 2 4" xfId="42948" xr:uid="{8765FD25-74F1-427C-8559-7AC796400F13}"/>
    <cellStyle name="Normal 4 5 2 3" xfId="14250" xr:uid="{1D06148E-F1E1-444D-A3AF-ADEE9D54C2E9}"/>
    <cellStyle name="Normal 4 5 2 4" xfId="33159" xr:uid="{78AD7E83-A2B3-4D84-80E0-38646AF1A977}"/>
    <cellStyle name="Normal 4 5 2 5" xfId="33160" xr:uid="{E7D1E0E5-A06C-462C-90F2-7490F31FC100}"/>
    <cellStyle name="Normal 4 5 3" xfId="14251" xr:uid="{D1DBDDDD-7899-4A82-8A25-D1345799EAD0}"/>
    <cellStyle name="Normal 4 5 3 2" xfId="42950" xr:uid="{D1C131E8-77C3-4814-B98E-562135C5A3A6}"/>
    <cellStyle name="Normal 4 5 3 3" xfId="42949" xr:uid="{8C394E02-F2BD-4D3B-89A6-8137E490F5F0}"/>
    <cellStyle name="Normal 4 5 4" xfId="14252" xr:uid="{7552DB71-99CB-40BD-870B-5EBE734212CB}"/>
    <cellStyle name="Normal 4 5 5" xfId="14253" xr:uid="{8827BD78-5E07-4FD0-BDD9-BCB6032AF6B2}"/>
    <cellStyle name="Normal 4 5 6" xfId="14254" xr:uid="{CC2E6A74-9DDF-418E-815D-3D594B252B50}"/>
    <cellStyle name="Normal 4 5 7" xfId="14255" xr:uid="{0C7BA7DB-F5BD-4B89-8C66-5ABA479C1966}"/>
    <cellStyle name="Normal 4 5 8" xfId="14256" xr:uid="{71B72579-9125-44A8-B784-3873175692A2}"/>
    <cellStyle name="Normal 4 5 9" xfId="33161" xr:uid="{7589FE17-3041-413C-A2E7-D66874CADB53}"/>
    <cellStyle name="Normal 4 6" xfId="14257" xr:uid="{9CFC7D0C-74D3-4C98-82ED-D34794F560E0}"/>
    <cellStyle name="Normal 4 6 2" xfId="14258" xr:uid="{3903852D-11C3-47F6-9D2B-9ADC540AD652}"/>
    <cellStyle name="Normal 4 6 2 2" xfId="14259" xr:uid="{ED212D45-83E3-4079-A541-35BFC6AB6D08}"/>
    <cellStyle name="Normal 4 6 2 2 2" xfId="33162" xr:uid="{DF440452-3029-45EE-A091-5D42F0CE52E6}"/>
    <cellStyle name="Normal 4 6 2 2 3" xfId="33163" xr:uid="{A07B082C-CB44-4359-94E2-B77B9763C602}"/>
    <cellStyle name="Normal 4 6 2 2 4" xfId="42951" xr:uid="{4E622B87-D26F-4E45-A640-40593F2D72FC}"/>
    <cellStyle name="Normal 4 6 2 3" xfId="33164" xr:uid="{BECDAF0A-7BA3-4EB8-90BF-C17A157FACD4}"/>
    <cellStyle name="Normal 4 6 2 4" xfId="33165" xr:uid="{217C5EB3-29B3-4BB8-B4B2-FA86AFC9BD82}"/>
    <cellStyle name="Normal 4 6 2 5" xfId="33166" xr:uid="{22870C81-55C2-456B-911C-BBAC689E68C5}"/>
    <cellStyle name="Normal 4 6 3" xfId="33167" xr:uid="{2C1D2FDF-D348-4BD2-9678-F3E7C83DA2D0}"/>
    <cellStyle name="Normal 4 6 4" xfId="42952" xr:uid="{2E4CE647-724E-45CB-8D0A-66E3E34524B2}"/>
    <cellStyle name="Normal 4 7" xfId="14260" xr:uid="{F1220E54-F692-4893-8B91-5FE147138205}"/>
    <cellStyle name="Normal 4 7 2" xfId="42954" xr:uid="{AE2108DA-CF8C-4D55-900C-B8059BF327B1}"/>
    <cellStyle name="Normal 4 7 3" xfId="42955" xr:uid="{B5984C37-5603-4AEB-A3C9-B4B1C691D104}"/>
    <cellStyle name="Normal 4 7 4" xfId="42953" xr:uid="{428B7C9D-56B5-4191-8BBB-FBDE74FD3407}"/>
    <cellStyle name="Normal 4 8" xfId="14261" xr:uid="{DA4D9846-8164-4A65-9B2E-A3FAB2C3F5B7}"/>
    <cellStyle name="Normal 4 8 2" xfId="33168" xr:uid="{4F9F59D8-26EC-4271-A58B-BCB368943F1C}"/>
    <cellStyle name="Normal 4 8 2 2" xfId="42957" xr:uid="{D9D35076-087F-4EAF-AB22-D224DF1C2BFD}"/>
    <cellStyle name="Normal 4 8 3" xfId="42958" xr:uid="{7A568EEE-296A-4B33-8F0D-ABA0868D7A55}"/>
    <cellStyle name="Normal 4 8 4" xfId="42956" xr:uid="{B17A78D5-CF63-4AEA-B850-F29D99F55155}"/>
    <cellStyle name="Normal 4 9" xfId="14262" xr:uid="{9A7BEDBE-095C-4113-A2C1-B31073FB7443}"/>
    <cellStyle name="Normal 4 9 2" xfId="42960" xr:uid="{9D5A35D0-EA81-4C37-BB33-39A4EAA75186}"/>
    <cellStyle name="Normal 4 9 3" xfId="42959" xr:uid="{CFE29F99-4BA7-4539-ADC2-38D2CB6FD19E}"/>
    <cellStyle name="Normal 4_ELC" xfId="33169" xr:uid="{12922F62-53EF-4438-8C59-3571DFBFFB2C}"/>
    <cellStyle name="Normal 40" xfId="14263" xr:uid="{A6095F85-6C38-4901-9C88-187B3ACAC9B8}"/>
    <cellStyle name="Normal 40 10" xfId="14264" xr:uid="{9F9E0EFD-091C-4F6B-834D-2156B8C45B7F}"/>
    <cellStyle name="Normal 40 10 2" xfId="33170" xr:uid="{9866C2D5-A859-4D03-BFF1-8060951D12F6}"/>
    <cellStyle name="Normal 40 10 3" xfId="33171" xr:uid="{6152F704-FA61-48A9-AD77-E1D3F37A1AF8}"/>
    <cellStyle name="Normal 40 11" xfId="14265" xr:uid="{1D21ED9E-604C-40FE-9C27-E3D4FEAC7D82}"/>
    <cellStyle name="Normal 40 12" xfId="14266" xr:uid="{D9221D56-074D-4CEF-9D5E-AB423D156159}"/>
    <cellStyle name="Normal 40 13" xfId="33172" xr:uid="{2E409567-DF10-4001-AA60-0364FDE7B585}"/>
    <cellStyle name="Normal 40 2" xfId="14267" xr:uid="{C63F9B60-F9B0-44B4-8935-684C4518D26C}"/>
    <cellStyle name="Normal 40 2 2" xfId="33173" xr:uid="{8607C071-A30C-486F-B2B3-1D55F030CC81}"/>
    <cellStyle name="Normal 40 2 3" xfId="33174" xr:uid="{E152FF11-FAAE-4E80-A4B5-4860B5584EB6}"/>
    <cellStyle name="Normal 40 3" xfId="14268" xr:uid="{F9524AF8-FE19-4396-9DF3-B2089E965BAB}"/>
    <cellStyle name="Normal 40 3 2" xfId="33175" xr:uid="{7EB21649-A262-4154-A099-E84F070E6145}"/>
    <cellStyle name="Normal 40 3 3" xfId="33176" xr:uid="{0139593B-6CD5-4286-8BD9-F5A027B6B97B}"/>
    <cellStyle name="Normal 40 4" xfId="14269" xr:uid="{B1902139-82BE-4BFC-8281-8FF9B794FD73}"/>
    <cellStyle name="Normal 40 4 2" xfId="33177" xr:uid="{5CA89D26-3448-4A2A-AA26-47C9B55BA13A}"/>
    <cellStyle name="Normal 40 4 3" xfId="33178" xr:uid="{C1DD63A0-694E-4D54-B9C7-D1B319A17FFE}"/>
    <cellStyle name="Normal 40 5" xfId="14270" xr:uid="{8A673C0F-6300-44ED-9A29-63002AA13837}"/>
    <cellStyle name="Normal 40 5 2" xfId="33179" xr:uid="{306E8756-F823-4FB8-BEA3-51F7BB36531E}"/>
    <cellStyle name="Normal 40 5 3" xfId="33180" xr:uid="{4835D964-ACE6-4D5B-9318-78E72EA4779D}"/>
    <cellStyle name="Normal 40 6" xfId="14271" xr:uid="{60F86C41-63B4-4980-BA90-B78F73D9B2B6}"/>
    <cellStyle name="Normal 40 6 2" xfId="33181" xr:uid="{B2A75E80-D5E8-4237-B622-49D50C488970}"/>
    <cellStyle name="Normal 40 6 3" xfId="33182" xr:uid="{11B0138B-8B2D-4EA9-BCED-C5F1F4AD3233}"/>
    <cellStyle name="Normal 40 7" xfId="14272" xr:uid="{690CB5A4-1005-40A4-95B2-41E9A0C17CDA}"/>
    <cellStyle name="Normal 40 7 2" xfId="33183" xr:uid="{5A520B16-4CE7-4936-A3CE-D8F8689A9273}"/>
    <cellStyle name="Normal 40 7 3" xfId="33184" xr:uid="{C80541B8-60D5-4A85-AFD0-FC3347F178F0}"/>
    <cellStyle name="Normal 40 8" xfId="14273" xr:uid="{518138C4-E1B6-4801-93D0-CBAC1105D13C}"/>
    <cellStyle name="Normal 40 8 2" xfId="33185" xr:uid="{BB8F40AC-E473-4FD3-8888-582F74CA8B36}"/>
    <cellStyle name="Normal 40 8 3" xfId="33186" xr:uid="{D0601AEB-482F-4DE4-838F-9D1046B9DDB7}"/>
    <cellStyle name="Normal 40 9" xfId="14274" xr:uid="{A37A982E-259C-4560-9DC7-86C88FFFB09A}"/>
    <cellStyle name="Normal 40 9 2" xfId="33187" xr:uid="{7846D9BA-338C-4124-8298-55556BCC5758}"/>
    <cellStyle name="Normal 40 9 3" xfId="33188" xr:uid="{9F8CD36B-4823-46BF-8DD2-C96B53E1100B}"/>
    <cellStyle name="Normal 41" xfId="14275" xr:uid="{9092B92A-8B46-44E3-9339-A4D9B2988D13}"/>
    <cellStyle name="Normal 41 2" xfId="14276" xr:uid="{1E3AF5DF-5F4F-4484-AE3C-49C907F38994}"/>
    <cellStyle name="Normal 41 3" xfId="14277" xr:uid="{D27E7D17-01FC-442D-ACBB-CEA3B6497036}"/>
    <cellStyle name="Normal 41 4" xfId="33189" xr:uid="{69829275-535C-47D8-84AF-5A3BCA59B4BB}"/>
    <cellStyle name="Normal 42" xfId="14278" xr:uid="{9C34BC46-7704-4644-B241-3B3B667113A1}"/>
    <cellStyle name="Normal 42 2" xfId="33190" xr:uid="{3F403C05-01AB-4BB6-BD6E-680E49E29BF8}"/>
    <cellStyle name="Normal 42 3" xfId="33191" xr:uid="{613FF51F-836C-46C3-A8A6-B9A165CE589F}"/>
    <cellStyle name="Normal 42 4" xfId="45842" xr:uid="{4F4C8899-E013-4D6E-A86F-48C1A5866D4B}"/>
    <cellStyle name="Normal 43" xfId="14279" xr:uid="{F7E67E1E-158A-4AFE-B2E4-5DF2452CB721}"/>
    <cellStyle name="Normal 43 2" xfId="14280" xr:uid="{BAC54115-C607-4BD0-9CDF-F8849307E484}"/>
    <cellStyle name="Normal 43 3" xfId="14281" xr:uid="{689BDED6-15EF-4C8C-8E27-C20CFB749135}"/>
    <cellStyle name="Normal 43 4" xfId="33192" xr:uid="{40DEB026-4728-4ACC-94E4-B13A22AFE506}"/>
    <cellStyle name="Normal 44" xfId="14282" xr:uid="{8BA8A7F2-BEBB-4DF5-A2CE-D674C75659F6}"/>
    <cellStyle name="Normal 44 2" xfId="14283" xr:uid="{1A57BA09-685C-4C04-9502-A464DACBAC97}"/>
    <cellStyle name="Normal 44 3" xfId="14284" xr:uid="{CA1C7CD7-FF7A-4146-91FA-13679B366D20}"/>
    <cellStyle name="Normal 44 4" xfId="33193" xr:uid="{A5028770-F21B-48AB-B048-03C482CCF133}"/>
    <cellStyle name="Normal 44 5" xfId="33194" xr:uid="{47CEF106-3806-413F-B34C-0493D48BE17F}"/>
    <cellStyle name="Normal 45" xfId="14285" xr:uid="{F8A3E83D-8A3B-40AC-9EB5-EEBDCC88EECE}"/>
    <cellStyle name="Normal 45 2" xfId="14286" xr:uid="{A5A98E17-C543-49BD-9A3F-D41200684DBD}"/>
    <cellStyle name="Normal 46" xfId="14287" xr:uid="{8A0E47B4-A4D4-421E-A272-E9F1FFF0BF09}"/>
    <cellStyle name="Normal 46 2" xfId="14288" xr:uid="{C971959E-9334-4B17-BC18-ACE51317FD57}"/>
    <cellStyle name="Normal 47" xfId="14289" xr:uid="{F74B0BDD-F5E2-48D4-8413-16479C93407D}"/>
    <cellStyle name="Normal 47 2" xfId="14290" xr:uid="{C36148DE-65FC-420E-ABC0-DA5715613A91}"/>
    <cellStyle name="Normal 48" xfId="14291" xr:uid="{CB2BCD39-78A8-4D82-9120-D0E087622C72}"/>
    <cellStyle name="Normal 49" xfId="14292" xr:uid="{695E9C69-916B-43C9-BAB7-BC21E3251209}"/>
    <cellStyle name="Normal 5" xfId="52" xr:uid="{6DC503D3-4C1E-4231-A9AD-110E5FA3D7CD}"/>
    <cellStyle name="Normal 5 10" xfId="61" xr:uid="{0873895F-B746-4F72-B31F-E2D6F12807B2}"/>
    <cellStyle name="Normal 5 10 2" xfId="14294" xr:uid="{2C2788C2-A4CE-4D77-82AA-A014F09E8A51}"/>
    <cellStyle name="Normal 5 10 3" xfId="33195" xr:uid="{0D7DA1EA-A5A9-4C62-AD14-BE89486061E2}"/>
    <cellStyle name="Normal 5 10 3 2" xfId="33196" xr:uid="{9F7911D2-45DF-46DB-9051-C7E5186629A9}"/>
    <cellStyle name="Normal 5 10 4" xfId="33197" xr:uid="{52425B3D-3F51-41A0-BF37-6F3517BD8242}"/>
    <cellStyle name="Normal 5 10 5" xfId="14293" xr:uid="{DDF0EE33-451E-46B4-BD69-728389537BB9}"/>
    <cellStyle name="Normal 5 10 6" xfId="45809" xr:uid="{7CBC3AA4-8EA8-43DC-AA19-408777F06CF5}"/>
    <cellStyle name="Normal 5 10 7" xfId="45900" xr:uid="{BE80D8D8-5FCF-4358-AEC6-9CE417DAAC94}"/>
    <cellStyle name="Normal 5 11" xfId="14295" xr:uid="{45D7AEEC-CA50-4B84-954D-8A4D51DDADF6}"/>
    <cellStyle name="Normal 5 11 2" xfId="14296" xr:uid="{F06C806F-6454-4BAF-81A8-7E2A57D9A18F}"/>
    <cellStyle name="Normal 5 11 3" xfId="33198" xr:uid="{E68D1DA6-4784-4865-8445-D89193A61DE2}"/>
    <cellStyle name="Normal 5 11 4" xfId="33199" xr:uid="{44A0F5BD-9C1F-4217-B3AA-7EDB66D29EE7}"/>
    <cellStyle name="Normal 5 11 5" xfId="42961" xr:uid="{B67D769E-726C-4BC3-971F-7FB17411211A}"/>
    <cellStyle name="Normal 5 12" xfId="14297" xr:uid="{648D22FD-3F8F-4446-96F2-47D98B61609B}"/>
    <cellStyle name="Normal 5 12 2" xfId="14298" xr:uid="{3B650D3E-E635-4E4A-B315-6BDB9E78CA91}"/>
    <cellStyle name="Normal 5 12 3" xfId="33200" xr:uid="{938F3909-B1C9-4457-9B28-146315517525}"/>
    <cellStyle name="Normal 5 12 4" xfId="33201" xr:uid="{8BED2AB5-4E81-4BCF-BD88-D7A4744E655D}"/>
    <cellStyle name="Normal 5 13" xfId="14299" xr:uid="{F1395E55-A8FD-4D19-AF63-E670AEA90957}"/>
    <cellStyle name="Normal 5 13 2" xfId="33202" xr:uid="{56770B27-6E35-4AE6-8311-C4BFD2C30ED7}"/>
    <cellStyle name="Normal 5 13 3" xfId="33203" xr:uid="{0A8F2E0D-7CF7-4434-AE69-AF463C807862}"/>
    <cellStyle name="Normal 5 13 4" xfId="33204" xr:uid="{0D03506D-14FC-4177-BB2F-51E61D6432D1}"/>
    <cellStyle name="Normal 5 14" xfId="14300" xr:uid="{9C1E6666-1BAC-4217-8419-6FBB0253996F}"/>
    <cellStyle name="Normal 5 14 2" xfId="33205" xr:uid="{81A7698A-DC9F-466C-8D13-83BA8EBC2C15}"/>
    <cellStyle name="Normal 5 14 3" xfId="33206" xr:uid="{9F6C2EF0-16CA-4A87-B795-0EB336921167}"/>
    <cellStyle name="Normal 5 14 4" xfId="33207" xr:uid="{86AA2C50-9095-4DAE-A40B-02D21F52E85D}"/>
    <cellStyle name="Normal 5 15" xfId="14301" xr:uid="{D68F5605-69C5-4D15-944A-CA238968C117}"/>
    <cellStyle name="Normal 5 15 2" xfId="33208" xr:uid="{E784DDAA-A0DE-4BD7-86F1-8677B1054358}"/>
    <cellStyle name="Normal 5 15 3" xfId="33209" xr:uid="{AE87FCC3-6595-4A1E-B7E8-80A58CED37C9}"/>
    <cellStyle name="Normal 5 16" xfId="14302" xr:uid="{D600A4EB-8B74-4446-8E52-F9D69FAF2DB0}"/>
    <cellStyle name="Normal 5 16 2" xfId="33210" xr:uid="{04BA2977-3F83-4822-94BA-5D802CE36A8C}"/>
    <cellStyle name="Normal 5 16 3" xfId="33211" xr:uid="{144B778D-2254-42B8-8085-EBB35118BAB5}"/>
    <cellStyle name="Normal 5 17" xfId="14303" xr:uid="{49D7D0BC-A133-47A4-99D2-7667B4705E07}"/>
    <cellStyle name="Normal 5 17 2" xfId="33212" xr:uid="{BF2F52B2-2BAE-44F8-9159-3C3D2E6C3A90}"/>
    <cellStyle name="Normal 5 17 3" xfId="33213" xr:uid="{BAF9ED43-67EA-4087-800D-C9B1061C593E}"/>
    <cellStyle name="Normal 5 18" xfId="14304" xr:uid="{F9B49A09-E2AC-4817-A87C-9873F74AE0EB}"/>
    <cellStyle name="Normal 5 18 2" xfId="33214" xr:uid="{31B9B8D4-CB74-4B8D-9842-B3FD320A24F0}"/>
    <cellStyle name="Normal 5 18 3" xfId="33215" xr:uid="{FFB5EC2B-A591-4FE0-A990-D2DB47285877}"/>
    <cellStyle name="Normal 5 19" xfId="14305" xr:uid="{759A06C3-25D1-45E9-B641-75A6C1D27BEE}"/>
    <cellStyle name="Normal 5 19 2" xfId="33216" xr:uid="{21D8CC42-ECD5-4E86-9EB1-EB49348A1F71}"/>
    <cellStyle name="Normal 5 2" xfId="14306" xr:uid="{B0354306-2CBB-4BA8-949C-10EB587C4C4C}"/>
    <cellStyle name="Normal 5 2 10" xfId="14307" xr:uid="{BD1D3C0A-4EB8-4BE5-AA33-2BE002FF2108}"/>
    <cellStyle name="Normal 5 2 10 2" xfId="33217" xr:uid="{4DB3C69F-F4CA-4385-9BD0-71B913842619}"/>
    <cellStyle name="Normal 5 2 10 3" xfId="33218" xr:uid="{647D2C1C-D091-4B00-998A-2892A0ACBBE5}"/>
    <cellStyle name="Normal 5 2 11" xfId="14308" xr:uid="{AC69180C-D1EF-40D0-B5DE-904391DA53E5}"/>
    <cellStyle name="Normal 5 2 11 2" xfId="33219" xr:uid="{8CF21EBA-2E2D-4B17-A347-4445FD5E66CC}"/>
    <cellStyle name="Normal 5 2 11 3" xfId="33220" xr:uid="{03177D2F-9CE3-48AC-908A-0638BB3AFE1C}"/>
    <cellStyle name="Normal 5 2 11 4" xfId="33221" xr:uid="{E30635D3-A5E2-41A5-8F9F-EDEF8C6C7134}"/>
    <cellStyle name="Normal 5 2 12" xfId="14309" xr:uid="{537181E3-47E1-4B1A-9A9F-374101D606FE}"/>
    <cellStyle name="Normal 5 2 12 2" xfId="33222" xr:uid="{819283E3-D6AB-4443-A933-3C972F67249E}"/>
    <cellStyle name="Normal 5 2 12 3" xfId="33223" xr:uid="{41CF94D5-D2AF-4931-8666-C59E035E75A3}"/>
    <cellStyle name="Normal 5 2 13" xfId="14310" xr:uid="{C6244EC0-8002-48ED-8340-69959462726C}"/>
    <cellStyle name="Normal 5 2 13 2" xfId="33224" xr:uid="{A987657E-A337-4D9E-98C6-6642271A4DEE}"/>
    <cellStyle name="Normal 5 2 13 3" xfId="33225" xr:uid="{56E9AA82-53DB-4478-BE65-14D485C698B2}"/>
    <cellStyle name="Normal 5 2 14" xfId="14311" xr:uid="{21BB4710-B645-4894-87FD-2E48DF7FA699}"/>
    <cellStyle name="Normal 5 2 14 2" xfId="33226" xr:uid="{DDDD499B-C77B-4A06-B695-24591D52D665}"/>
    <cellStyle name="Normal 5 2 14 3" xfId="33227" xr:uid="{DB1C0D15-8249-42A8-B996-F470BBC76AEF}"/>
    <cellStyle name="Normal 5 2 15" xfId="14312" xr:uid="{BC03D853-A6FF-4D53-9FEE-937414EB3B36}"/>
    <cellStyle name="Normal 5 2 16" xfId="14313" xr:uid="{7A9E40F4-99DA-4C7B-B27A-EDD35DC8074A}"/>
    <cellStyle name="Normal 5 2 2" xfId="14314" xr:uid="{C71D97F2-3AF9-48C7-968B-7094767E46D9}"/>
    <cellStyle name="Normal 5 2 2 10" xfId="14315" xr:uid="{1D85BEC9-1057-42DA-A734-C654C2E4E4F0}"/>
    <cellStyle name="Normal 5 2 2 10 2" xfId="33228" xr:uid="{CA6B3B29-F2C3-455D-8D34-39177226DF75}"/>
    <cellStyle name="Normal 5 2 2 10 3" xfId="33229" xr:uid="{B498D4A8-766E-4458-8309-8FA3567421B5}"/>
    <cellStyle name="Normal 5 2 2 11" xfId="14316" xr:uid="{18E4CF02-1853-4B79-9390-59C10FA63462}"/>
    <cellStyle name="Normal 5 2 2 11 2" xfId="33230" xr:uid="{850D91ED-83AE-440F-B4A9-67F86A19932F}"/>
    <cellStyle name="Normal 5 2 2 11 3" xfId="33231" xr:uid="{C775DF6D-D4D1-48C3-A0A6-59C5C9BEFA66}"/>
    <cellStyle name="Normal 5 2 2 12" xfId="14317" xr:uid="{DD13A2D4-1DDE-470F-995E-35A51F37EB43}"/>
    <cellStyle name="Normal 5 2 2 12 2" xfId="33232" xr:uid="{1FD3528A-C91C-4714-AC47-D9FC2FCA805E}"/>
    <cellStyle name="Normal 5 2 2 12 3" xfId="33233" xr:uid="{2930D226-85F8-4713-801E-41A954CE9091}"/>
    <cellStyle name="Normal 5 2 2 13" xfId="14318" xr:uid="{4B9BFA06-C95D-49F9-8567-95B158BBC4D8}"/>
    <cellStyle name="Normal 5 2 2 13 2" xfId="33234" xr:uid="{0321A963-3314-4D19-941A-9B8AFE2A3DA9}"/>
    <cellStyle name="Normal 5 2 2 13 3" xfId="33235" xr:uid="{FB0F55A8-7735-44A5-9BB8-5C54BA514D57}"/>
    <cellStyle name="Normal 5 2 2 14" xfId="14319" xr:uid="{B731BE6C-8320-4989-A215-DCB445782EE6}"/>
    <cellStyle name="Normal 5 2 2 15" xfId="14320" xr:uid="{C75DBBD9-B436-4199-8070-DAD3BBCD8DAD}"/>
    <cellStyle name="Normal 5 2 2 15 2" xfId="33236" xr:uid="{5CC86840-C839-4B0A-90E2-D19DBCB85978}"/>
    <cellStyle name="Normal 5 2 2 15 3" xfId="33237" xr:uid="{009DDBFA-197B-480B-8DD4-7B07BDBDD3A1}"/>
    <cellStyle name="Normal 5 2 2 16" xfId="14321" xr:uid="{07EEDA1C-90C9-4FD0-85E3-3920C77BEAA3}"/>
    <cellStyle name="Normal 5 2 2 17" xfId="33238" xr:uid="{2F88DEC9-9C1F-4213-A4E2-9E4590A9DCF3}"/>
    <cellStyle name="Normal 5 2 2 2" xfId="14322" xr:uid="{C30DAEE3-2EDF-48B6-AA57-88F20179F1D5}"/>
    <cellStyle name="Normal 5 2 2 2 10" xfId="14323" xr:uid="{BA965993-0807-45BC-93E0-50D39744BC8B}"/>
    <cellStyle name="Normal 5 2 2 2 11" xfId="14324" xr:uid="{53D22C0D-B01D-4535-9017-BE4954B6CC98}"/>
    <cellStyle name="Normal 5 2 2 2 12" xfId="14325" xr:uid="{12CF7F0E-6ED0-45C7-AD66-ECFD82D969E8}"/>
    <cellStyle name="Normal 5 2 2 2 13" xfId="14326" xr:uid="{4165593F-3A5C-4552-82C1-719612F088EA}"/>
    <cellStyle name="Normal 5 2 2 2 14" xfId="33239" xr:uid="{302F6EFD-3ACD-430A-8DE2-679F6CD582F7}"/>
    <cellStyle name="Normal 5 2 2 2 15" xfId="33240" xr:uid="{037973C6-3A32-4CBF-9647-BD036FDA47E5}"/>
    <cellStyle name="Normal 5 2 2 2 16" xfId="42962" xr:uid="{9B9699DE-3F95-4961-9B1C-D06FD41B6C93}"/>
    <cellStyle name="Normal 5 2 2 2 2" xfId="14327" xr:uid="{00F601E0-0698-40F2-8733-D6DA14CA00DD}"/>
    <cellStyle name="Normal 5 2 2 2 2 2" xfId="44402" xr:uid="{00D5E473-D706-4615-915B-1D75434B2961}"/>
    <cellStyle name="Normal 5 2 2 2 2 3" xfId="44283" xr:uid="{80B51BCD-6D2F-438A-97DB-15264B5B160E}"/>
    <cellStyle name="Normal 5 2 2 2 3" xfId="14328" xr:uid="{044D2429-E884-4A87-8639-39E254F529C5}"/>
    <cellStyle name="Normal 5 2 2 2 3 2" xfId="44401" xr:uid="{8FD59B02-8787-4552-9980-901ECD82480B}"/>
    <cellStyle name="Normal 5 2 2 2 4" xfId="14329" xr:uid="{D5D6C3BF-37BA-44BE-B827-F82410195D40}"/>
    <cellStyle name="Normal 5 2 2 2 5" xfId="14330" xr:uid="{95021B34-0691-408B-8CF8-BB6618BB5BD3}"/>
    <cellStyle name="Normal 5 2 2 2 6" xfId="14331" xr:uid="{C87A4E3E-A0BC-4441-B182-3948379D1583}"/>
    <cellStyle name="Normal 5 2 2 2 7" xfId="14332" xr:uid="{022E7AD8-F37C-4999-8B4E-1E488B882FEC}"/>
    <cellStyle name="Normal 5 2 2 2 8" xfId="14333" xr:uid="{1A022B9C-67C1-479B-BA8C-8FEE647B1D96}"/>
    <cellStyle name="Normal 5 2 2 2 9" xfId="14334" xr:uid="{2EDA354A-75BF-40C3-B3CE-0605E0A42477}"/>
    <cellStyle name="Normal 5 2 2 3" xfId="14335" xr:uid="{C8830F7C-1DC4-4DCD-8F3D-77C0A081046E}"/>
    <cellStyle name="Normal 5 2 2 3 2" xfId="14336" xr:uid="{7B904E36-A627-49B3-B5EB-B78598EA0F38}"/>
    <cellStyle name="Normal 5 2 2 3 3" xfId="14337" xr:uid="{8D6DE1F9-3948-41F6-97A7-5BE34E6B17C7}"/>
    <cellStyle name="Normal 5 2 2 3 4" xfId="33241" xr:uid="{DC4FB5D4-388A-4A19-85E4-50E47435162B}"/>
    <cellStyle name="Normal 5 2 2 4" xfId="14338" xr:uid="{81F27CE7-72D7-4D9E-B46F-D65FF13BDEBF}"/>
    <cellStyle name="Normal 5 2 2 4 2" xfId="33242" xr:uid="{6CB0F240-4029-4052-ABFD-77DB601C1AD8}"/>
    <cellStyle name="Normal 5 2 2 4 3" xfId="33243" xr:uid="{954FEF90-F973-4302-B21B-D62DAF1A8A1C}"/>
    <cellStyle name="Normal 5 2 2 5" xfId="14339" xr:uid="{7CA9ED93-7AF5-42C6-9BA0-FDA3CDF3CDBB}"/>
    <cellStyle name="Normal 5 2 2 5 2" xfId="33244" xr:uid="{944D96E2-5EDD-46B6-AFAE-2B4CFAFAC140}"/>
    <cellStyle name="Normal 5 2 2 5 3" xfId="33245" xr:uid="{E891CAA7-B779-44A6-9DB7-478CD1A39AF9}"/>
    <cellStyle name="Normal 5 2 2 6" xfId="14340" xr:uid="{0F8D5B75-D4AA-4726-9B25-34374B32B525}"/>
    <cellStyle name="Normal 5 2 2 6 2" xfId="33246" xr:uid="{76C555F9-7CF2-4BE1-859A-DE4F9E5C80B5}"/>
    <cellStyle name="Normal 5 2 2 6 3" xfId="33247" xr:uid="{C84D7772-64DA-4420-83D1-E170D3AD60F7}"/>
    <cellStyle name="Normal 5 2 2 7" xfId="14341" xr:uid="{CC318F6C-5B6D-4163-9700-9DA0DF8354FF}"/>
    <cellStyle name="Normal 5 2 2 7 2" xfId="33248" xr:uid="{07453E37-1895-4335-9689-AB31F0AC64B1}"/>
    <cellStyle name="Normal 5 2 2 7 3" xfId="33249" xr:uid="{8B725BC9-5690-482F-897F-3681786A1510}"/>
    <cellStyle name="Normal 5 2 2 8" xfId="14342" xr:uid="{66B46CF7-04E4-4D3A-B3BC-0F856E1BC51C}"/>
    <cellStyle name="Normal 5 2 2 8 2" xfId="33250" xr:uid="{1E0792C1-56E8-46A0-8ABC-298D2D8D3812}"/>
    <cellStyle name="Normal 5 2 2 8 3" xfId="33251" xr:uid="{4191A1B7-532A-4646-8F65-F478524FEFBA}"/>
    <cellStyle name="Normal 5 2 2 9" xfId="14343" xr:uid="{381E4E7D-C837-410E-AB15-11E07AB8312B}"/>
    <cellStyle name="Normal 5 2 2 9 2" xfId="33252" xr:uid="{0B7C2812-4761-463D-8212-08509CACC711}"/>
    <cellStyle name="Normal 5 2 2 9 3" xfId="33253" xr:uid="{29979BBF-45BB-4BCC-A73C-7849C34309EC}"/>
    <cellStyle name="Normal 5 2 3" xfId="14344" xr:uid="{081F40DB-525A-41BE-A61E-A3555C7BDEE0}"/>
    <cellStyle name="Normal 5 2 3 2" xfId="14345" xr:uid="{502B5311-633F-4103-8B49-4B9395942AD5}"/>
    <cellStyle name="Normal 5 2 3 2 2" xfId="33254" xr:uid="{1B420044-CFFD-4936-BD8A-7866E3A00516}"/>
    <cellStyle name="Normal 5 2 3 2 2 2" xfId="44405" xr:uid="{4C83196D-C0F8-424F-8855-AA36A159677E}"/>
    <cellStyle name="Normal 5 2 3 2 3" xfId="33255" xr:uid="{DF4463F9-953F-4787-939B-26B930458A34}"/>
    <cellStyle name="Normal 5 2 3 3" xfId="14346" xr:uid="{A86846A7-591A-4E9F-AE41-237F885551EA}"/>
    <cellStyle name="Normal 5 2 3 3 2" xfId="44404" xr:uid="{3F7ABEB0-F8CF-4D0E-A059-48E2ED0B1B1A}"/>
    <cellStyle name="Normal 5 2 3 4" xfId="14347" xr:uid="{895A808B-1D44-4EA9-8DDE-8312C50DB395}"/>
    <cellStyle name="Normal 5 2 3 5" xfId="14348" xr:uid="{DCDB2B70-8819-497A-9BCF-DA3BB5D283CB}"/>
    <cellStyle name="Normal 5 2 3 6" xfId="14349" xr:uid="{503010F2-B575-4DF9-800B-8C8C9B7021A3}"/>
    <cellStyle name="Normal 5 2 4" xfId="14350" xr:uid="{3E3329F5-1E62-4D77-AB14-B8C8CB8339AB}"/>
    <cellStyle name="Normal 5 2 4 2" xfId="14351" xr:uid="{61DD9933-EAF0-418E-AD6B-A00AA004BD13}"/>
    <cellStyle name="Normal 5 2 4 2 2" xfId="44406" xr:uid="{431885DF-A6C2-4811-A589-10CA594C37BF}"/>
    <cellStyle name="Normal 5 2 4 3" xfId="33256" xr:uid="{91DA05CD-3EA0-4F10-8308-D5E7CEC9EBC6}"/>
    <cellStyle name="Normal 5 2 4 4" xfId="33257" xr:uid="{9E492A58-8982-400C-A66B-C5524FADE161}"/>
    <cellStyle name="Normal 5 2 5" xfId="14352" xr:uid="{824726D2-19F7-48C8-AA18-53A18118C968}"/>
    <cellStyle name="Normal 5 2 5 2" xfId="14353" xr:uid="{9649E75A-0F13-4D77-89CB-CDACB0A6410C}"/>
    <cellStyle name="Normal 5 2 5 2 2" xfId="44407" xr:uid="{0968F2D6-7591-4C13-BE8D-D592B1D500E1}"/>
    <cellStyle name="Normal 5 2 5 3" xfId="33258" xr:uid="{4818A52E-CD6E-4352-85AA-59C73E2F4900}"/>
    <cellStyle name="Normal 5 2 5 4" xfId="33259" xr:uid="{B173B18C-CB36-42CF-A315-4D51B4064984}"/>
    <cellStyle name="Normal 5 2 6" xfId="14354" xr:uid="{BBBA9A3D-256B-419B-9EE5-3CBF9B4B19ED}"/>
    <cellStyle name="Normal 5 2 6 2" xfId="14355" xr:uid="{635E901E-D4E8-4277-B097-88A3C0D9231B}"/>
    <cellStyle name="Normal 5 2 6 3" xfId="33260" xr:uid="{55640709-85D2-4A05-923D-0A546CD52DB8}"/>
    <cellStyle name="Normal 5 2 6 4" xfId="33261" xr:uid="{60330180-A3DC-489A-9C72-561A8908EA50}"/>
    <cellStyle name="Normal 5 2 7" xfId="14356" xr:uid="{76CF35CB-30DC-473C-AD9C-530013EC4DBE}"/>
    <cellStyle name="Normal 5 2 7 2" xfId="14357" xr:uid="{2C84005D-132C-48F0-BBDB-27D14C7456D0}"/>
    <cellStyle name="Normal 5 2 7 3" xfId="33262" xr:uid="{3EFF3463-DD0F-4DC6-9DE5-FCDFD388B91C}"/>
    <cellStyle name="Normal 5 2 7 4" xfId="33263" xr:uid="{6ED2DA23-99D8-43CF-B4CA-4B0E695675F5}"/>
    <cellStyle name="Normal 5 2 8" xfId="14358" xr:uid="{FC9D8D85-05B1-452A-8547-453C2F2D4D9D}"/>
    <cellStyle name="Normal 5 2 8 2" xfId="14359" xr:uid="{8FA7D5A2-9B60-4026-9310-DE00403D625D}"/>
    <cellStyle name="Normal 5 2 8 3" xfId="33264" xr:uid="{C8054B1A-2E12-4EA6-88BF-2B7D11B02F76}"/>
    <cellStyle name="Normal 5 2 8 4" xfId="33265" xr:uid="{E7CAC9E0-BEE0-44F7-BB94-BCD8E8E430D2}"/>
    <cellStyle name="Normal 5 2 9" xfId="14360" xr:uid="{6F283CD3-F9F1-4340-B38A-039C35C5DE7D}"/>
    <cellStyle name="Normal 5 2 9 2" xfId="33266" xr:uid="{F37AAB12-4009-45AA-B2DF-10A934FEA79B}"/>
    <cellStyle name="Normal 5 2 9 3" xfId="33267" xr:uid="{4081F950-FBE6-4483-AF0A-A9399F6FC3CF}"/>
    <cellStyle name="Normal 5 2 9 4" xfId="33268" xr:uid="{3E7B18A9-43CF-4E0C-8487-1A220452E4CC}"/>
    <cellStyle name="Normal 5 20" xfId="14361" xr:uid="{2368570B-3655-47C4-BA5C-95A58E5D9008}"/>
    <cellStyle name="Normal 5 21" xfId="111" xr:uid="{9C6CA08C-D942-4180-908C-750E667A386A}"/>
    <cellStyle name="Normal 5 22" xfId="91" xr:uid="{D75960B7-279A-41D8-806D-628EDA6BDA83}"/>
    <cellStyle name="Normal 5 23" xfId="45812" xr:uid="{731D5594-838D-4583-9F2E-B27C1E8CE460}"/>
    <cellStyle name="Normal 5 24" xfId="45912" xr:uid="{1059A450-8259-4551-8738-45E534087CD9}"/>
    <cellStyle name="Normal 5 3" xfId="14362" xr:uid="{299B3781-F01A-47AA-A215-28C4011D3E94}"/>
    <cellStyle name="Normal 5 3 10" xfId="14363" xr:uid="{87D6926E-4C1E-466F-9A0E-16E7666A5D5F}"/>
    <cellStyle name="Normal 5 3 10 2" xfId="33269" xr:uid="{F11FD930-4FE5-4E8C-97B1-6A8D4B013093}"/>
    <cellStyle name="Normal 5 3 10 3" xfId="33270" xr:uid="{50DE5B13-4A0B-4B19-873F-7A862FE7CF17}"/>
    <cellStyle name="Normal 5 3 11" xfId="14364" xr:uid="{208BC147-1330-44D4-9506-C8D74D52D587}"/>
    <cellStyle name="Normal 5 3 11 2" xfId="33271" xr:uid="{8BD7922F-BFA1-4640-8617-7644D1A48228}"/>
    <cellStyle name="Normal 5 3 11 3" xfId="33272" xr:uid="{EA137343-E860-4AC8-A975-F44186F800E7}"/>
    <cellStyle name="Normal 5 3 11 4" xfId="33273" xr:uid="{9BFD02E2-0FD1-4BD2-8AD7-01B8986C49C5}"/>
    <cellStyle name="Normal 5 3 12" xfId="14365" xr:uid="{777C63EB-6FF1-406C-9182-C02582BB0063}"/>
    <cellStyle name="Normal 5 3 12 2" xfId="33274" xr:uid="{7CC16447-BA1B-470C-BF90-67F015FC17BC}"/>
    <cellStyle name="Normal 5 3 12 3" xfId="33275" xr:uid="{D4B60FA0-5964-47DC-A780-CB1FDF9D9443}"/>
    <cellStyle name="Normal 5 3 13" xfId="14366" xr:uid="{235C05C5-8CE5-489D-AE06-C101CD4DB1EA}"/>
    <cellStyle name="Normal 5 3 13 2" xfId="33276" xr:uid="{93015A60-2F1C-41FB-A4D1-BB828C2A9ACE}"/>
    <cellStyle name="Normal 5 3 13 3" xfId="33277" xr:uid="{ED4353EE-5423-46F4-9343-A32D056C51FF}"/>
    <cellStyle name="Normal 5 3 14" xfId="14367" xr:uid="{655AD487-90BD-4A46-9B50-6B0B9F32F59D}"/>
    <cellStyle name="Normal 5 3 14 2" xfId="33278" xr:uid="{7B0D0D8F-7E64-46D9-A98B-CFE355FF9FE9}"/>
    <cellStyle name="Normal 5 3 14 3" xfId="33279" xr:uid="{2948B01B-B8A6-4A58-A258-9E486FDA96A4}"/>
    <cellStyle name="Normal 5 3 15" xfId="14368" xr:uid="{DD68AC83-A6E0-4603-A5F9-7D5831E5F8C4}"/>
    <cellStyle name="Normal 5 3 15 2" xfId="33280" xr:uid="{39745132-EE6D-41EC-923A-EE4E5FCC32C7}"/>
    <cellStyle name="Normal 5 3 15 3" xfId="33281" xr:uid="{A6EA9130-C446-4FF3-A414-06FACA15D9BE}"/>
    <cellStyle name="Normal 5 3 16" xfId="14369" xr:uid="{B09A4608-5EA9-4C03-8CBD-B0394674DEA2}"/>
    <cellStyle name="Normal 5 3 17" xfId="14370" xr:uid="{6299D5B5-5D11-41CF-897C-4F79C16FD917}"/>
    <cellStyle name="Normal 5 3 18" xfId="33282" xr:uid="{CFF24F20-F0A1-4C32-A5F6-84114830CA9B}"/>
    <cellStyle name="Normal 5 3 19" xfId="33283" xr:uid="{A4B61CD5-A2FB-4B72-83A8-D729CBD1F567}"/>
    <cellStyle name="Normal 5 3 2" xfId="14371" xr:uid="{478D5CAF-76E0-4117-8D76-695419C3270D}"/>
    <cellStyle name="Normal 5 3 2 2" xfId="14372" xr:uid="{E209F964-88BA-45FA-A9F9-6C039AFB9865}"/>
    <cellStyle name="Normal 5 3 2 2 2" xfId="44409" xr:uid="{B791E4FD-2455-4E77-9A79-B5CCDFDAAAAD}"/>
    <cellStyle name="Normal 5 3 2 2 3" xfId="44286" xr:uid="{7E564609-3976-4FD6-AD0B-1C9E66D8A2DB}"/>
    <cellStyle name="Normal 5 3 2 3" xfId="33284" xr:uid="{D5BFA83C-E967-47E1-9ECA-D2A041B02EA4}"/>
    <cellStyle name="Normal 5 3 2 3 2" xfId="33285" xr:uid="{E58D74F2-E3F3-40D0-877C-B36E7283AC20}"/>
    <cellStyle name="Normal 5 3 2 4" xfId="33286" xr:uid="{F89C2DF4-85C6-4E17-9D65-4C921B58794D}"/>
    <cellStyle name="Normal 5 3 3" xfId="14373" xr:uid="{2B0F7CA8-375F-4373-931F-465C01FE344D}"/>
    <cellStyle name="Normal 5 3 3 2" xfId="14374" xr:uid="{198A87BE-CA6B-4A6F-9AF0-A91AC9D040C9}"/>
    <cellStyle name="Normal 5 3 3 2 2" xfId="44410" xr:uid="{A2D75791-C6C0-45FF-94E5-85D67F5B9AEB}"/>
    <cellStyle name="Normal 5 3 3 3" xfId="14375" xr:uid="{2A4CF6E2-4B6E-43AA-98D2-BE6EFD079A4D}"/>
    <cellStyle name="Normal 5 3 3 4" xfId="14376" xr:uid="{C649B229-6416-45B8-BE3B-013EF35BBE9A}"/>
    <cellStyle name="Normal 5 3 3 5" xfId="33287" xr:uid="{631592D7-43D5-4835-BFC6-2C2D216BF6E7}"/>
    <cellStyle name="Normal 5 3 4" xfId="14377" xr:uid="{D7AF1402-74EB-4995-BC80-8EF35C835082}"/>
    <cellStyle name="Normal 5 3 4 2" xfId="14378" xr:uid="{2406B4F1-BB66-4574-A907-18A247B75B8B}"/>
    <cellStyle name="Normal 5 3 4 3" xfId="33288" xr:uid="{5D356C0C-82FB-4768-A442-2ADCD964171C}"/>
    <cellStyle name="Normal 5 3 4 4" xfId="33289" xr:uid="{668A02B2-6094-45DF-B6C3-F4BAEF323719}"/>
    <cellStyle name="Normal 5 3 5" xfId="14379" xr:uid="{E2F5BDCA-A062-4228-9A88-18E98C792D0F}"/>
    <cellStyle name="Normal 5 3 5 2" xfId="14380" xr:uid="{9DAFC51B-000A-4AE8-8FDD-FEAEB3A8C4F9}"/>
    <cellStyle name="Normal 5 3 5 3" xfId="33290" xr:uid="{0575166A-30EF-4DA9-A59F-3D5D85442A6F}"/>
    <cellStyle name="Normal 5 3 5 4" xfId="33291" xr:uid="{B07405A9-E8BA-4ED0-86F8-9D7C3E771174}"/>
    <cellStyle name="Normal 5 3 6" xfId="14381" xr:uid="{F6A320C3-5584-48F1-86A8-0D4443637565}"/>
    <cellStyle name="Normal 5 3 7" xfId="14382" xr:uid="{5292E725-6C29-474C-A97A-BEA121248D05}"/>
    <cellStyle name="Normal 5 3 8" xfId="14383" xr:uid="{51A5F1E7-A037-4CBC-A008-A1AFEEA64921}"/>
    <cellStyle name="Normal 5 3 9" xfId="14384" xr:uid="{524C52AB-DD3B-430E-A2A8-56FEFCE06B15}"/>
    <cellStyle name="Normal 5 4" xfId="14385" xr:uid="{EA6A0B95-722B-4C7C-961F-D28AA6FD8FF3}"/>
    <cellStyle name="Normal 5 4 10" xfId="14386" xr:uid="{61756FCD-0C86-44A9-957F-5D5B7FDD1365}"/>
    <cellStyle name="Normal 5 4 11" xfId="14387" xr:uid="{162A91C5-14A3-4328-8E4B-2FE580B40595}"/>
    <cellStyle name="Normal 5 4 2" xfId="14388" xr:uid="{5C78C8D8-BD31-4E5B-A057-C00C2BC3F3E7}"/>
    <cellStyle name="Normal 5 4 2 2" xfId="14389" xr:uid="{4C6CBABB-CBA2-4B92-AAC5-81170F13BA46}"/>
    <cellStyle name="Normal 5 4 2 2 2" xfId="44412" xr:uid="{982BB5C8-D325-4031-B4EE-7780E7F33949}"/>
    <cellStyle name="Normal 5 4 2 3" xfId="14390" xr:uid="{E95F37DF-6931-4D2B-BB99-6AF55D859029}"/>
    <cellStyle name="Normal 5 4 3" xfId="14391" xr:uid="{FA24D423-F8C9-4727-881E-D75FAD63B738}"/>
    <cellStyle name="Normal 5 4 3 2" xfId="44411" xr:uid="{57C09967-9ECA-4824-84DA-E36F40A5BB8C}"/>
    <cellStyle name="Normal 5 4 4" xfId="14392" xr:uid="{84784D27-419E-4F51-B98D-98D4824213B8}"/>
    <cellStyle name="Normal 5 4 5" xfId="14393" xr:uid="{5E9EB944-38CF-4EFA-810E-35DD90D492E3}"/>
    <cellStyle name="Normal 5 4 6" xfId="14394" xr:uid="{581E72D9-0C23-421B-8C68-EE6C7BCCD076}"/>
    <cellStyle name="Normal 5 4 7" xfId="14395" xr:uid="{BAA2247F-B50F-4C22-A039-3F2894024EB3}"/>
    <cellStyle name="Normal 5 4 8" xfId="14396" xr:uid="{3A96C224-809E-4FE4-AEE5-7E2891F6BD6C}"/>
    <cellStyle name="Normal 5 4 9" xfId="14397" xr:uid="{05B0E758-6977-427C-89D9-349C0E4BDCE1}"/>
    <cellStyle name="Normal 5 4 9 2" xfId="33292" xr:uid="{F3944A2E-3A70-4A72-9ACA-05712960609A}"/>
    <cellStyle name="Normal 5 4 9 3" xfId="33293" xr:uid="{BF7A3F0F-F159-4BF0-8485-8C63628BA2A4}"/>
    <cellStyle name="Normal 5 5" xfId="14398" xr:uid="{5D480437-7A30-471E-8DAA-E4662B01D4E1}"/>
    <cellStyle name="Normal 5 5 10" xfId="33294" xr:uid="{C7C031F5-5EA5-4F54-9424-2C96657DD37F}"/>
    <cellStyle name="Normal 5 5 11" xfId="33295" xr:uid="{7D5991E5-4621-44F9-94E4-1D4E13A9D4AF}"/>
    <cellStyle name="Normal 5 5 2" xfId="14399" xr:uid="{624079C4-E1F2-4996-826E-0DDFDA6D8366}"/>
    <cellStyle name="Normal 5 5 2 2" xfId="14400" xr:uid="{B25CDDA9-15D2-42F3-854F-E56A78AFC9E0}"/>
    <cellStyle name="Normal 5 5 2 2 2" xfId="42963" xr:uid="{A25625A3-DFC2-449C-9C3C-8CF617E659D0}"/>
    <cellStyle name="Normal 5 5 2 3" xfId="33296" xr:uid="{1FA81496-A539-4A4E-B80C-39488B4A7BC9}"/>
    <cellStyle name="Normal 5 5 2 3 2" xfId="42964" xr:uid="{B7C23409-BB1C-4419-BABC-F4664C492271}"/>
    <cellStyle name="Normal 5 5 2 4" xfId="33297" xr:uid="{0A01650F-8190-4621-B245-2D82010D124F}"/>
    <cellStyle name="Normal 5 5 3" xfId="14401" xr:uid="{E846D4A2-A227-49E9-9507-B695D65D5FDA}"/>
    <cellStyle name="Normal 5 5 3 2" xfId="42966" xr:uid="{368657BA-AD49-4DD0-82B6-7C1A8FAE855C}"/>
    <cellStyle name="Normal 5 5 3 3" xfId="42965" xr:uid="{5E8AD1C0-653C-48C9-BFA7-4BAFDB26BB6B}"/>
    <cellStyle name="Normal 5 5 4" xfId="14402" xr:uid="{7BB93CEF-E95F-4F8D-AA78-2969770FF2FC}"/>
    <cellStyle name="Normal 5 5 4 2" xfId="42968" xr:uid="{925C8C75-FEFE-4A69-B037-67E786CF3886}"/>
    <cellStyle name="Normal 5 5 4 3" xfId="42967" xr:uid="{BD714067-1583-4512-9921-627AFCB715C4}"/>
    <cellStyle name="Normal 5 5 5" xfId="14403" xr:uid="{2C24C5F6-050A-456B-84E7-85FB8876B89F}"/>
    <cellStyle name="Normal 5 5 6" xfId="14404" xr:uid="{DFE46DA7-34AE-428E-823E-AC59B4C101CF}"/>
    <cellStyle name="Normal 5 5 7" xfId="14405" xr:uid="{D8F49790-9B9D-438F-90F0-59F2A3D0C543}"/>
    <cellStyle name="Normal 5 5 8" xfId="14406" xr:uid="{D3D8C31C-16C7-48C6-8052-322B49AEF198}"/>
    <cellStyle name="Normal 5 5 9" xfId="14407" xr:uid="{DB8EEF26-BEFC-4628-8536-677119EFE995}"/>
    <cellStyle name="Normal 5 6" xfId="14408" xr:uid="{0A2DEFE8-E1F6-42BD-88A4-25EA69C4D82F}"/>
    <cellStyle name="Normal 5 6 2" xfId="14409" xr:uid="{0F8F88A1-472F-4E2E-A336-8A95F5145C2B}"/>
    <cellStyle name="Normal 5 7" xfId="14410" xr:uid="{202C347D-6537-4BEA-B8F8-8FEBF825BE01}"/>
    <cellStyle name="Normal 5 7 2" xfId="44399" xr:uid="{24B627D8-6147-4791-9976-1892F17DE545}"/>
    <cellStyle name="Normal 5 8" xfId="14411" xr:uid="{16BA2441-D703-4AF3-A07A-F36401048EC5}"/>
    <cellStyle name="Normal 5 8 2" xfId="14412" xr:uid="{73E3D0A2-9D50-4E6A-B5EE-BC1270452566}"/>
    <cellStyle name="Normal 5 8 3" xfId="44251" xr:uid="{68F81B93-6D50-4E34-9030-1E652DF7B8C4}"/>
    <cellStyle name="Normal 5 9" xfId="14413" xr:uid="{9A4E9635-D609-4660-9D2B-472C08D8D85F}"/>
    <cellStyle name="Normal 5 9 2" xfId="14414" xr:uid="{5EAC73D8-168E-49ED-BDB5-C93AF422E094}"/>
    <cellStyle name="Normal 5 9 3" xfId="33298" xr:uid="{EA694805-F255-4360-94ED-8F99521A59CC}"/>
    <cellStyle name="Normal 5 9 4" xfId="33299" xr:uid="{0B79D921-2578-478F-B5C9-7189FEDE11A9}"/>
    <cellStyle name="Normal 5_ELC" xfId="33300" xr:uid="{F3E513F9-AC27-4DCB-B8D5-FEA02FF1716C}"/>
    <cellStyle name="Normal 50" xfId="2" xr:uid="{00000000-0005-0000-0000-000013000000}"/>
    <cellStyle name="Normal 50 2" xfId="21" xr:uid="{00000000-0005-0000-0000-000014000000}"/>
    <cellStyle name="Normal 50 2 2" xfId="44" xr:uid="{F11C3F54-62A2-4C35-A8AB-646ABB6225D2}"/>
    <cellStyle name="Normal 50 2 3" xfId="14415" xr:uid="{662A456C-63C6-4366-AE69-E02CF99B0A62}"/>
    <cellStyle name="Normal 50 2 4" xfId="45915" xr:uid="{BCBB40D9-3DFE-47A1-9C46-B435A624F440}"/>
    <cellStyle name="Normal 50 3" xfId="36" xr:uid="{3651606A-E2D6-4BD5-AD48-A06869ED2169}"/>
    <cellStyle name="Normal 50 3 2" xfId="33301" xr:uid="{21D58D2A-B70E-4581-975D-CD9E678B6D31}"/>
    <cellStyle name="Normal 50 4" xfId="28" xr:uid="{BD4C5DCD-0162-4D92-B6BF-C0713BE81C01}"/>
    <cellStyle name="Normal 50 4 2" xfId="42969" xr:uid="{6A3D0159-B43C-497E-AB22-EE63ED5E8952}"/>
    <cellStyle name="Normal 50 5" xfId="74" xr:uid="{AF62C9D9-81FE-4F2A-AE4A-BCCB1FD0E62F}"/>
    <cellStyle name="Normal 50 6" xfId="45807" xr:uid="{9954A535-2BEF-457B-BF03-5AEE0C1F5203}"/>
    <cellStyle name="Normal 50 7" xfId="3" xr:uid="{00000000-0005-0000-0000-000015000000}"/>
    <cellStyle name="Normal 50 7 2" xfId="22" xr:uid="{00000000-0005-0000-0000-000016000000}"/>
    <cellStyle name="Normal 50 7 2 2" xfId="45" xr:uid="{EA2E6B3B-9952-49ED-8E1D-1051735686D7}"/>
    <cellStyle name="Normal 50 7 2 3" xfId="45761" xr:uid="{000BC007-EE6F-41E1-BD7B-1E8B7A3A6B9F}"/>
    <cellStyle name="Normal 50 7 2 4" xfId="45916" xr:uid="{EF230955-9CA2-489C-8B0B-B7D4AA9F7AE4}"/>
    <cellStyle name="Normal 50 7 3" xfId="37" xr:uid="{EB8E0511-7F73-4C44-8D3E-6A8DE8C0E7C8}"/>
    <cellStyle name="Normal 50 7 4" xfId="29" xr:uid="{AC80AE96-065F-4C8E-A54A-3F19112E1A71}"/>
    <cellStyle name="Normal 50 7 5" xfId="75" xr:uid="{D28CC035-2F51-484B-9D5D-D099152A9076}"/>
    <cellStyle name="Normal 50 7 6" xfId="45808" xr:uid="{4A295672-6FDE-4A52-960C-4961932BB9C4}"/>
    <cellStyle name="Normal 50 7 7" xfId="45899" xr:uid="{6FFB1C10-70ED-4FBA-A204-905820DF1DE2}"/>
    <cellStyle name="Normal 50 8" xfId="45898" xr:uid="{32B19A42-827E-496F-82C9-5EE047F5D43F}"/>
    <cellStyle name="Normal 51" xfId="14416" xr:uid="{B1CFF150-F46A-436F-84B9-A0FB9DEB1403}"/>
    <cellStyle name="Normal 51 2" xfId="42970" xr:uid="{AC3291E1-408A-4DFD-8E32-87E7F914C4AC}"/>
    <cellStyle name="Normal 52" xfId="14417" xr:uid="{768AD1A9-397F-465F-8965-B151CC294271}"/>
    <cellStyle name="Normal 52 2" xfId="42971" xr:uid="{D0EB87CE-250D-4515-8615-984AFA0BF9DC}"/>
    <cellStyle name="Normal 53" xfId="33302" xr:uid="{523727B8-1BC5-4E6D-AB48-68CC473D0B2E}"/>
    <cellStyle name="Normal 54" xfId="33303" xr:uid="{1922E4E1-E6B9-4014-A8D7-D1DEE4546851}"/>
    <cellStyle name="Normal 55" xfId="33304" xr:uid="{09713DB6-5331-4B8C-8E8C-C4C10FBBC7AD}"/>
    <cellStyle name="Normal 56" xfId="45760" xr:uid="{E3592A18-1CE4-40E9-850B-99D8F77C2A2B}"/>
    <cellStyle name="Normal 57" xfId="45767" xr:uid="{6079BDC9-F376-454D-997B-A7FE74FD3AD8}"/>
    <cellStyle name="Normal 58" xfId="70" xr:uid="{28F12D6D-AD32-4A6B-83D4-B2C2BE339AD4}"/>
    <cellStyle name="Normal 59" xfId="45774" xr:uid="{6DB8F6A6-D4B6-4F96-BEC4-EBDD63A1690A}"/>
    <cellStyle name="Normal 6" xfId="53" xr:uid="{EB69627F-458C-446D-A10E-95D3985463BD}"/>
    <cellStyle name="Normal 6 10" xfId="14419" xr:uid="{339D2C4F-6BFC-4FDA-BAC2-CAB93BAE2F3E}"/>
    <cellStyle name="Normal 6 10 2" xfId="14420" xr:uid="{0F6BD6AD-02FA-4FD9-8775-8138F20D205F}"/>
    <cellStyle name="Normal 6 10 2 2" xfId="44415" xr:uid="{C38553CE-F7D1-4F4F-98AF-0A6525B76AB1}"/>
    <cellStyle name="Normal 6 10 3" xfId="33305" xr:uid="{A18632EE-A437-440A-A2AE-F3A2AB690F2D}"/>
    <cellStyle name="Normal 6 10 3 2" xfId="33306" xr:uid="{A748FC25-00D6-4947-B121-24854EC5F880}"/>
    <cellStyle name="Normal 6 10 4" xfId="33307" xr:uid="{C4FA7188-4F9A-4E8A-805B-3376B1DD2B2F}"/>
    <cellStyle name="Normal 6 11" xfId="14421" xr:uid="{FBE36865-DB68-43B4-9446-B687B3F41E5B}"/>
    <cellStyle name="Normal 6 11 2" xfId="44414" xr:uid="{8A0839D4-1FD9-4CA9-9ACC-E4FEE02FBDC9}"/>
    <cellStyle name="Normal 6 12" xfId="14422" xr:uid="{C81945E9-771C-40E9-994A-ABEB91A0AC47}"/>
    <cellStyle name="Normal 6 12 2" xfId="42973" xr:uid="{8AAD8F6B-0AF2-4A4E-8AA8-E31D4FA6FE69}"/>
    <cellStyle name="Normal 6 12 3" xfId="42972" xr:uid="{CD111E92-38B6-49F3-8B59-05444120947B}"/>
    <cellStyle name="Normal 6 13" xfId="14423" xr:uid="{872F2091-F0AF-4528-9323-237DFB087203}"/>
    <cellStyle name="Normal 6 13 2" xfId="33308" xr:uid="{6AE80477-BBC9-4AD5-81AE-3ACED8A3121F}"/>
    <cellStyle name="Normal 6 13 3" xfId="33309" xr:uid="{3248E4B4-F21F-44F8-A33A-3AEE09BF6986}"/>
    <cellStyle name="Normal 6 14" xfId="14424" xr:uid="{4E0E0F5A-D066-4920-A617-59F0194C9A5D}"/>
    <cellStyle name="Normal 6 14 2" xfId="33310" xr:uid="{EE2DF7A7-1412-4835-B7FC-741F5B351151}"/>
    <cellStyle name="Normal 6 14 3" xfId="33311" xr:uid="{B03DBF43-E80C-46E3-8A68-D3B4A0B51657}"/>
    <cellStyle name="Normal 6 15" xfId="14425" xr:uid="{6377D37B-387B-42BE-B2E9-68F027E712D6}"/>
    <cellStyle name="Normal 6 15 2" xfId="33312" xr:uid="{9FAE9240-19BF-4B9E-A3A4-F7DB70502993}"/>
    <cellStyle name="Normal 6 15 3" xfId="33313" xr:uid="{3E784FD2-DEC1-4417-B98F-2C95B95ADA10}"/>
    <cellStyle name="Normal 6 16" xfId="14426" xr:uid="{9DA2DAB1-A761-4184-923F-880625445F84}"/>
    <cellStyle name="Normal 6 16 2" xfId="33314" xr:uid="{D334A873-98BF-4CBD-B917-74EACF2E672F}"/>
    <cellStyle name="Normal 6 16 3" xfId="33315" xr:uid="{C3A607E7-17D7-4DCA-8743-6D24FCEB8D4F}"/>
    <cellStyle name="Normal 6 17" xfId="14427" xr:uid="{AB89CB51-9037-4009-AEB9-7B1B47194454}"/>
    <cellStyle name="Normal 6 17 2" xfId="33316" xr:uid="{F3014C9E-B7D3-4FD7-B6A6-DDD23C892065}"/>
    <cellStyle name="Normal 6 17 3" xfId="33317" xr:uid="{8EB57435-40C4-4965-A485-F47F848A30C1}"/>
    <cellStyle name="Normal 6 18" xfId="33318" xr:uid="{1420DD51-DEBF-4936-89DB-15BF9C3BFF15}"/>
    <cellStyle name="Normal 6 19" xfId="42194" xr:uid="{FCA1E2BD-E74B-4433-8A2A-C6AEF40223FB}"/>
    <cellStyle name="Normal 6 2" xfId="14428" xr:uid="{154EC976-6EC3-490B-8E3E-2D557EE3A0E8}"/>
    <cellStyle name="Normal 6 2 10" xfId="14429" xr:uid="{E66AB558-9C69-45CC-AB53-DD89D8B48EE8}"/>
    <cellStyle name="Normal 6 2 10 2" xfId="33319" xr:uid="{4438DD05-E547-42C5-883F-94BC161808A0}"/>
    <cellStyle name="Normal 6 2 10 3" xfId="33320" xr:uid="{460FD7CA-86F4-4D93-95B2-7FC979699DA4}"/>
    <cellStyle name="Normal 6 2 10 4" xfId="33321" xr:uid="{07576489-CF1C-4EEA-B485-58F1A14D94A7}"/>
    <cellStyle name="Normal 6 2 11" xfId="14430" xr:uid="{42DE3CDF-6096-4936-914C-EBF780833AB0}"/>
    <cellStyle name="Normal 6 2 11 2" xfId="33322" xr:uid="{05D89742-B4B0-40BC-BD5E-58EC4656F57F}"/>
    <cellStyle name="Normal 6 2 11 3" xfId="33323" xr:uid="{8315C578-1757-4E24-A48C-FE45832D3BA8}"/>
    <cellStyle name="Normal 6 2 11 4" xfId="33324" xr:uid="{DDF3F440-8D62-43EC-8E63-5BAEB2397BF8}"/>
    <cellStyle name="Normal 6 2 12" xfId="14431" xr:uid="{5751F961-3A17-4363-AE74-F2D57B07BBD7}"/>
    <cellStyle name="Normal 6 2 12 2" xfId="33325" xr:uid="{B1A7628A-23B0-4C92-9161-617F7727EE44}"/>
    <cellStyle name="Normal 6 2 12 3" xfId="33326" xr:uid="{5D1A3DDC-0D6E-4C12-B057-E86C24D46ABC}"/>
    <cellStyle name="Normal 6 2 12 4" xfId="33327" xr:uid="{8C9387AB-FE29-433C-9EC9-29BB4E1A5F75}"/>
    <cellStyle name="Normal 6 2 13" xfId="14432" xr:uid="{6C265966-93C7-4441-9DC2-DFD112DBEE5E}"/>
    <cellStyle name="Normal 6 2 13 2" xfId="33328" xr:uid="{75B8D548-3F11-4F60-923B-E7E1DAD9FEA8}"/>
    <cellStyle name="Normal 6 2 13 3" xfId="33329" xr:uid="{832AEEB0-4F7D-403D-BDE0-A7D8007CBEC1}"/>
    <cellStyle name="Normal 6 2 13 4" xfId="33330" xr:uid="{F47E23B1-5023-4193-A897-44C722D77998}"/>
    <cellStyle name="Normal 6 2 14" xfId="33331" xr:uid="{A0973AEA-D141-48D6-A0E2-987A9E150857}"/>
    <cellStyle name="Normal 6 2 14 2" xfId="33332" xr:uid="{2C5AB3D5-7A65-4B53-AECF-260C6CE02BA5}"/>
    <cellStyle name="Normal 6 2 2" xfId="14433" xr:uid="{F2D2CBF6-B833-4145-9A4B-85D12E72E707}"/>
    <cellStyle name="Normal 6 2 2 10" xfId="14434" xr:uid="{DE43E6D1-4CC0-4C68-8333-DCC90E030EC8}"/>
    <cellStyle name="Normal 6 2 2 10 2" xfId="33333" xr:uid="{280A97DB-8FF3-41A6-B697-A3271F5C6F51}"/>
    <cellStyle name="Normal 6 2 2 10 3" xfId="33334" xr:uid="{DC8DBA56-BC9B-467A-A377-9216325C065D}"/>
    <cellStyle name="Normal 6 2 2 11" xfId="14435" xr:uid="{60A61EF9-DDD9-4CAE-A913-F41C6A03FEA8}"/>
    <cellStyle name="Normal 6 2 2 11 2" xfId="33335" xr:uid="{70F20CD6-39CA-4C9F-9F91-2CFED5DCC313}"/>
    <cellStyle name="Normal 6 2 2 11 3" xfId="33336" xr:uid="{6A3D663A-8B41-44A2-AAF8-A99433E542F4}"/>
    <cellStyle name="Normal 6 2 2 12" xfId="14436" xr:uid="{AB937A43-A18D-44CA-B89F-FCA91C849E9E}"/>
    <cellStyle name="Normal 6 2 2 12 2" xfId="33337" xr:uid="{73B356CC-CFE5-4F30-8583-DC46F682B004}"/>
    <cellStyle name="Normal 6 2 2 12 3" xfId="33338" xr:uid="{21F50B67-07B0-4B1F-9C4A-ECFEBBB830E1}"/>
    <cellStyle name="Normal 6 2 2 13" xfId="14437" xr:uid="{7AC5C30F-0B2D-40F9-AE68-83A6B3A46148}"/>
    <cellStyle name="Normal 6 2 2 13 2" xfId="33339" xr:uid="{75A86A50-D9B8-42E3-AA27-AA2CCC1C0A13}"/>
    <cellStyle name="Normal 6 2 2 13 3" xfId="33340" xr:uid="{45BADD01-5BF7-4670-A8D6-0FA7D9E93DD2}"/>
    <cellStyle name="Normal 6 2 2 2" xfId="14438" xr:uid="{1F8F925E-DEB6-4DAE-A4DA-D37D15F9F7DC}"/>
    <cellStyle name="Normal 6 2 2 2 2" xfId="33341" xr:uid="{78343CD0-E515-4BB2-8C0E-D5444866DB69}"/>
    <cellStyle name="Normal 6 2 2 2 2 2" xfId="44417" xr:uid="{BB8EF428-59C3-40F3-B93D-0712E3DF095A}"/>
    <cellStyle name="Normal 6 2 2 2 3" xfId="33342" xr:uid="{D735147F-B092-4A32-9F8E-271FBBC75361}"/>
    <cellStyle name="Normal 6 2 2 3" xfId="14439" xr:uid="{1DF01D4F-092C-43D0-90D6-32AD32688527}"/>
    <cellStyle name="Normal 6 2 2 3 2" xfId="33343" xr:uid="{58FB517C-A9B4-47D8-9CB9-35ACBB07CD6A}"/>
    <cellStyle name="Normal 6 2 2 3 3" xfId="33344" xr:uid="{6F74AE29-D9C4-4FBF-B8F3-288F0E614EF2}"/>
    <cellStyle name="Normal 6 2 2 4" xfId="14440" xr:uid="{92BF9F12-AE98-4DB5-B0EF-C6C87528B24B}"/>
    <cellStyle name="Normal 6 2 2 4 2" xfId="33345" xr:uid="{E23599E0-E607-43EF-A6EC-4E0F57B46171}"/>
    <cellStyle name="Normal 6 2 2 4 3" xfId="33346" xr:uid="{4B41D3B3-75C0-4594-BF6F-69573ADC4E93}"/>
    <cellStyle name="Normal 6 2 2 5" xfId="14441" xr:uid="{420C670C-7E31-4893-AD8F-57E83B457B9A}"/>
    <cellStyle name="Normal 6 2 2 5 2" xfId="33347" xr:uid="{E97334B5-8223-4339-B43D-24E40C88B91F}"/>
    <cellStyle name="Normal 6 2 2 5 3" xfId="33348" xr:uid="{7BCC8351-4485-4A34-ADB1-D28BB1380DFA}"/>
    <cellStyle name="Normal 6 2 2 6" xfId="14442" xr:uid="{8EEBE511-1E83-4D2B-B99D-79CD516035E0}"/>
    <cellStyle name="Normal 6 2 2 6 2" xfId="33349" xr:uid="{76D27F23-394A-4C4B-9D9D-47DA01A5273B}"/>
    <cellStyle name="Normal 6 2 2 6 3" xfId="33350" xr:uid="{2D40DDB4-096A-41FB-BBB6-942312B7CDAE}"/>
    <cellStyle name="Normal 6 2 2 7" xfId="14443" xr:uid="{5B636A5B-CBC6-4A48-8588-3E91CE988404}"/>
    <cellStyle name="Normal 6 2 2 7 2" xfId="33351" xr:uid="{270F3DD5-858C-4282-A581-61D2E2C97A91}"/>
    <cellStyle name="Normal 6 2 2 7 3" xfId="33352" xr:uid="{4AC83069-1F2F-42AB-8FAC-CE2C48A96E0D}"/>
    <cellStyle name="Normal 6 2 2 8" xfId="14444" xr:uid="{59949BE1-4BB6-4FA3-8340-540875198A66}"/>
    <cellStyle name="Normal 6 2 2 8 2" xfId="33353" xr:uid="{77D4FC74-4FD9-4AD2-B54B-09E505A5C8DA}"/>
    <cellStyle name="Normal 6 2 2 8 3" xfId="33354" xr:uid="{398B0894-F372-4E33-83BA-84997420ECB8}"/>
    <cellStyle name="Normal 6 2 2 9" xfId="14445" xr:uid="{9702BD34-800C-4722-A188-F33059ACE7C6}"/>
    <cellStyle name="Normal 6 2 2 9 2" xfId="33355" xr:uid="{CB8A8B36-9B82-4C2F-8FAE-C94EE58E4E28}"/>
    <cellStyle name="Normal 6 2 2 9 3" xfId="33356" xr:uid="{F2F90452-8BF9-47F3-8A2C-7C9800607291}"/>
    <cellStyle name="Normal 6 2 3" xfId="14446" xr:uid="{7C540CA7-740B-496E-87AD-3EA7CD8E2153}"/>
    <cellStyle name="Normal 6 2 3 2" xfId="44291" xr:uid="{53885D97-58E7-474F-A58B-E410431F7989}"/>
    <cellStyle name="Normal 6 2 3 2 2" xfId="44420" xr:uid="{CABC1050-4488-4990-85CB-5087E87AC8FA}"/>
    <cellStyle name="Normal 6 2 3 3" xfId="44419" xr:uid="{A3F9A65F-55C3-4567-95D0-8B9E1B9CC76F}"/>
    <cellStyle name="Normal 6 2 3 4" xfId="44273" xr:uid="{AD500698-7623-4489-BC53-CCA9CD2EDB7A}"/>
    <cellStyle name="Normal 6 2 4" xfId="14447" xr:uid="{CF57FD4F-4555-4775-B280-C939998C6AB2}"/>
    <cellStyle name="Normal 6 2 4 2" xfId="14448" xr:uid="{A1844C0A-6621-49B9-B2DB-A4B238346EBB}"/>
    <cellStyle name="Normal 6 2 4 2 2" xfId="44421" xr:uid="{FAE2ECDB-4B2E-4F5A-A002-B77BCAF99D78}"/>
    <cellStyle name="Normal 6 2 4 3" xfId="33357" xr:uid="{E810BE6B-40D0-4B6D-A781-99B401F99934}"/>
    <cellStyle name="Normal 6 2 4 4" xfId="33358" xr:uid="{BC2B1A4B-83D6-4AD0-B77D-49BFF76FA7C3}"/>
    <cellStyle name="Normal 6 2 5" xfId="14449" xr:uid="{FC765DFA-2471-48F1-9353-0F3A5B31AA0B}"/>
    <cellStyle name="Normal 6 2 5 2" xfId="14450" xr:uid="{9424C339-4C74-491C-9F52-DE92A863DACB}"/>
    <cellStyle name="Normal 6 2 5 2 2" xfId="44422" xr:uid="{C5DF0FBE-DBFF-4119-8025-3AB2BA20308E}"/>
    <cellStyle name="Normal 6 2 5 3" xfId="33359" xr:uid="{F560B2A9-E81A-4D11-88E3-D3D9B746D644}"/>
    <cellStyle name="Normal 6 2 5 4" xfId="33360" xr:uid="{84DFA0AA-F7B0-4E12-AB5D-79B40A12AD7E}"/>
    <cellStyle name="Normal 6 2 6" xfId="14451" xr:uid="{425BFD1B-559D-48EE-A640-C942DCB1DFEF}"/>
    <cellStyle name="Normal 6 2 6 2" xfId="14452" xr:uid="{B6CA898D-B048-4AA8-9CB3-15C194A27B0F}"/>
    <cellStyle name="Normal 6 2 6 3" xfId="33361" xr:uid="{24F17B6C-F2DC-4E23-B417-CEC5B67A8D56}"/>
    <cellStyle name="Normal 6 2 6 4" xfId="33362" xr:uid="{0082127E-462E-4C68-BB58-D289B5C8839B}"/>
    <cellStyle name="Normal 6 2 7" xfId="14453" xr:uid="{5557217F-D4D5-4939-868A-F035A1B8466E}"/>
    <cellStyle name="Normal 6 2 7 2" xfId="14454" xr:uid="{D7B66D91-4691-4908-B49C-812516666652}"/>
    <cellStyle name="Normal 6 2 7 3" xfId="33363" xr:uid="{62A7C8A6-50EC-4E4A-8AE9-73400971D88B}"/>
    <cellStyle name="Normal 6 2 7 4" xfId="33364" xr:uid="{9F721C73-A585-47D3-918D-DEFB7C868A79}"/>
    <cellStyle name="Normal 6 2 8" xfId="14455" xr:uid="{BA0B72F4-C0D9-44DA-BFFA-11A38F84980B}"/>
    <cellStyle name="Normal 6 2 9" xfId="14456" xr:uid="{6C4FCF56-F309-4C53-BAC2-E815F4C17903}"/>
    <cellStyle name="Normal 6 2 9 2" xfId="33365" xr:uid="{03F3A343-C1D7-4206-A2E9-1FE04F55AA7B}"/>
    <cellStyle name="Normal 6 2 9 3" xfId="33366" xr:uid="{970FC2A9-6E7F-4818-AD4A-5F82985A8389}"/>
    <cellStyle name="Normal 6 2 9 4" xfId="33367" xr:uid="{DFDBE7F7-2FC8-471E-A409-E67829ED452F}"/>
    <cellStyle name="Normal 6 20" xfId="14418" xr:uid="{AF4A37EC-2793-49A7-BAC2-AD376F9C7120}"/>
    <cellStyle name="Normal 6 21" xfId="45921" xr:uid="{E69DAAFC-C5DB-47D0-A837-475A06FF21E9}"/>
    <cellStyle name="Normal 6 3" xfId="14457" xr:uid="{A56FF432-0354-4B2F-9773-67A8D8B4B34D}"/>
    <cellStyle name="Normal 6 3 10" xfId="14458" xr:uid="{CF448746-E7CF-44B8-8078-FAFB5C1CEBA3}"/>
    <cellStyle name="Normal 6 3 10 2" xfId="33368" xr:uid="{707ADB6E-34DF-498A-B813-15C70908AECC}"/>
    <cellStyle name="Normal 6 3 10 3" xfId="33369" xr:uid="{9CC41CBA-2D45-4A78-BF3D-4A618D5EE5DF}"/>
    <cellStyle name="Normal 6 3 10 4" xfId="33370" xr:uid="{642C99B3-C2B4-42C6-9E4F-29709FED1D9E}"/>
    <cellStyle name="Normal 6 3 11" xfId="14459" xr:uid="{419EE323-B6E9-4B9F-9EDD-4FA756C7281A}"/>
    <cellStyle name="Normal 6 3 11 2" xfId="33371" xr:uid="{62F7562F-9568-4ADB-8BD0-453AE8D8DBB5}"/>
    <cellStyle name="Normal 6 3 11 3" xfId="33372" xr:uid="{D0CF2E99-2FC4-450B-8224-EA6221695301}"/>
    <cellStyle name="Normal 6 3 11 4" xfId="33373" xr:uid="{F350F721-A6A1-42A7-BF3F-C7D56E2564A1}"/>
    <cellStyle name="Normal 6 3 12" xfId="14460" xr:uid="{1E43BEE1-C249-48CC-9D30-66AECBE496A9}"/>
    <cellStyle name="Normal 6 3 12 2" xfId="33374" xr:uid="{5F753F86-213D-48D0-8116-EDD02B43B6B2}"/>
    <cellStyle name="Normal 6 3 12 3" xfId="33375" xr:uid="{D5685353-73BA-49EF-9AC7-ECD230BBE324}"/>
    <cellStyle name="Normal 6 3 12 4" xfId="33376" xr:uid="{6B9C925D-59B4-493A-97F9-5E582E611D7A}"/>
    <cellStyle name="Normal 6 3 13" xfId="14461" xr:uid="{14AAB047-43F8-4764-9256-CB6BC11D2322}"/>
    <cellStyle name="Normal 6 3 13 2" xfId="33377" xr:uid="{9D9A0686-0510-4942-A8E5-520F23F1646E}"/>
    <cellStyle name="Normal 6 3 13 3" xfId="33378" xr:uid="{89F9AFC1-6477-4C43-B88B-D4E8DBA6C5F1}"/>
    <cellStyle name="Normal 6 3 13 4" xfId="33379" xr:uid="{884F6C76-735D-45CD-9227-6D9C018AA367}"/>
    <cellStyle name="Normal 6 3 14" xfId="33380" xr:uid="{50BA211D-34E8-430A-BA3E-3FFE9587B94B}"/>
    <cellStyle name="Normal 6 3 15" xfId="42974" xr:uid="{37F6E41D-CBC3-4340-92CF-A2D796CF3DBA}"/>
    <cellStyle name="Normal 6 3 16" xfId="42975" xr:uid="{03F2FA2B-E654-44E6-ACE2-4CF198BDA188}"/>
    <cellStyle name="Normal 6 3 17" xfId="42976" xr:uid="{1E1C1F18-D16F-4B5D-9C84-ABCD648EDE0B}"/>
    <cellStyle name="Normal 6 3 2" xfId="14462" xr:uid="{2982B4A2-5935-4E9E-8C25-C71E5B0C58EC}"/>
    <cellStyle name="Normal 6 3 2 2" xfId="14463" xr:uid="{5D0C8966-E8C3-4EA8-B78B-4D072B227FFC}"/>
    <cellStyle name="Normal 6 3 2 2 2" xfId="33381" xr:uid="{CD3B54E2-BA3B-4F87-B848-1C5A9ACA62FE}"/>
    <cellStyle name="Normal 6 3 2 2 2 2" xfId="44426" xr:uid="{AB9F0282-50A6-450F-AE7E-4234C699E11A}"/>
    <cellStyle name="Normal 6 3 2 2 3" xfId="33382" xr:uid="{C487E899-966C-475B-95D7-BBF57C11AA80}"/>
    <cellStyle name="Normal 6 3 2 3" xfId="14464" xr:uid="{DD6634FE-E4C7-4620-B51C-C9B51056F49D}"/>
    <cellStyle name="Normal 6 3 2 3 2" xfId="44427" xr:uid="{83DFE890-B46F-4A00-983F-DB7B4DDF8E56}"/>
    <cellStyle name="Normal 6 3 2 3 3" xfId="44292" xr:uid="{B6CA7E73-25C5-44F3-842C-878BA1BB12AD}"/>
    <cellStyle name="Normal 6 3 2 4" xfId="33383" xr:uid="{951998B6-963D-4F35-BC3A-72D85A2B16E6}"/>
    <cellStyle name="Normal 6 3 2 5" xfId="33384" xr:uid="{5C5CD827-87AC-44B7-83AF-7B4ADB47CDE4}"/>
    <cellStyle name="Normal 6 3 3" xfId="14465" xr:uid="{59FE14F2-841E-45DE-9044-DBD5F78F257C}"/>
    <cellStyle name="Normal 6 3 3 2" xfId="14466" xr:uid="{19E9C1EF-7A2F-44CB-AC5A-79266BD99D98}"/>
    <cellStyle name="Normal 6 3 3 2 2" xfId="44429" xr:uid="{DEA5AD28-9A11-4A0B-9EC4-9A2A089A1A64}"/>
    <cellStyle name="Normal 6 3 3 2 3" xfId="44294" xr:uid="{64D14B26-330A-4AE3-83AB-7278342F90B4}"/>
    <cellStyle name="Normal 6 3 3 3" xfId="44428" xr:uid="{D459BE5A-627A-4228-902F-32AD4577FAF7}"/>
    <cellStyle name="Normal 6 3 3 4" xfId="44274" xr:uid="{E36FA062-19F7-42A8-A694-E022A101336A}"/>
    <cellStyle name="Normal 6 3 4" xfId="14467" xr:uid="{2D941D97-C65B-43A2-A8E0-8A54A087FB22}"/>
    <cellStyle name="Normal 6 3 4 2" xfId="14468" xr:uid="{B9767A52-8B12-436A-8BF9-BAD3E0E7EBB8}"/>
    <cellStyle name="Normal 6 3 4 2 2" xfId="44430" xr:uid="{A873DB26-CDAC-4949-B3A6-E73B9A580EE0}"/>
    <cellStyle name="Normal 6 3 4 3" xfId="33385" xr:uid="{76ADA7B9-DCEE-4F43-B26C-8C1B85D8D0F1}"/>
    <cellStyle name="Normal 6 3 4 4" xfId="33386" xr:uid="{6C583A20-33D4-4211-B27D-B404BD52D7B0}"/>
    <cellStyle name="Normal 6 3 5" xfId="14469" xr:uid="{C8DC6F88-B62D-4033-9F05-5817CFBCEE66}"/>
    <cellStyle name="Normal 6 3 5 2" xfId="14470" xr:uid="{736CE24C-B183-41DA-976E-790DC5080310}"/>
    <cellStyle name="Normal 6 3 5 3" xfId="33387" xr:uid="{678C3E5A-ABFB-462D-A3A7-DD29601DC242}"/>
    <cellStyle name="Normal 6 3 5 4" xfId="33388" xr:uid="{ABE7DA3E-F4D8-4B5A-84E3-F6DAC8555D9C}"/>
    <cellStyle name="Normal 6 3 6" xfId="14471" xr:uid="{12D15433-261C-4F1A-B77E-C1C5643C9A76}"/>
    <cellStyle name="Normal 6 3 6 2" xfId="14472" xr:uid="{C166FE63-05B2-478F-9ABA-752BF69A877C}"/>
    <cellStyle name="Normal 6 3 6 3" xfId="33389" xr:uid="{35C8026C-50F5-4546-9D67-415C9A446180}"/>
    <cellStyle name="Normal 6 3 6 4" xfId="33390" xr:uid="{C50A321F-C42A-4F6C-832B-BC7AA473E05A}"/>
    <cellStyle name="Normal 6 3 7" xfId="14473" xr:uid="{C31341F6-1494-4265-887D-9CEF48602700}"/>
    <cellStyle name="Normal 6 3 7 2" xfId="14474" xr:uid="{AF68FF1C-F7F0-4411-A84B-B91B53F492E1}"/>
    <cellStyle name="Normal 6 3 7 3" xfId="33391" xr:uid="{8EA3808A-3ADE-4776-83C7-E83FE1461213}"/>
    <cellStyle name="Normal 6 3 7 4" xfId="33392" xr:uid="{1AF6ABC4-F54C-4E6D-B1F6-A9FA94DB357F}"/>
    <cellStyle name="Normal 6 3 8" xfId="14475" xr:uid="{F63FE050-AB8C-4A9B-BEB7-99F9E5F101BB}"/>
    <cellStyle name="Normal 6 3 9" xfId="14476" xr:uid="{7F6216E4-6488-48FA-9536-F16B3300824C}"/>
    <cellStyle name="Normal 6 3 9 2" xfId="33393" xr:uid="{24CED546-E5CC-4163-A212-0FED47B57AD2}"/>
    <cellStyle name="Normal 6 3 9 3" xfId="33394" xr:uid="{5C4480C4-6D79-4454-82F4-A1F826DA1C02}"/>
    <cellStyle name="Normal 6 3 9 4" xfId="33395" xr:uid="{E93969A4-4315-40ED-AA12-A15242E57F45}"/>
    <cellStyle name="Normal 6 4" xfId="14477" xr:uid="{62DBF728-2CB6-4066-8187-2609D5C6C9D4}"/>
    <cellStyle name="Normal 6 4 10" xfId="14478" xr:uid="{EC641D77-7D44-422D-B695-C75D0EDB5BF4}"/>
    <cellStyle name="Normal 6 4 11" xfId="14479" xr:uid="{7BEF9806-04F3-48BE-9C0A-0E8B3670B049}"/>
    <cellStyle name="Normal 6 4 2" xfId="14480" xr:uid="{BDBF8DC2-4DC2-4A0C-A2A0-21CBB8898FBD}"/>
    <cellStyle name="Normal 6 4 2 2" xfId="14481" xr:uid="{8AA2190E-DB1C-41D0-9B58-2176BA9893A1}"/>
    <cellStyle name="Normal 6 4 2 2 2" xfId="33396" xr:uid="{67241B26-6B32-4973-9D02-82CB0EFDF015}"/>
    <cellStyle name="Normal 6 4 2 2 2 2" xfId="44433" xr:uid="{0038C151-9461-4B58-976B-4EEAD453A134}"/>
    <cellStyle name="Normal 6 4 2 2 3" xfId="33397" xr:uid="{D94CE464-8F8E-4A5A-AAA8-58A138336AF7}"/>
    <cellStyle name="Normal 6 4 2 3" xfId="14482" xr:uid="{FF39C259-7117-4A97-BADD-CA971958864F}"/>
    <cellStyle name="Normal 6 4 2 3 2" xfId="44432" xr:uid="{22FB899A-93AE-4E2F-BBB6-BEFA112315BF}"/>
    <cellStyle name="Normal 6 4 2 4" xfId="14483" xr:uid="{6717D238-29B5-462B-B750-A909F02F2BF0}"/>
    <cellStyle name="Normal 6 4 2 5" xfId="14484" xr:uid="{735AC173-2730-4C6A-B8D5-8FE33A4787D1}"/>
    <cellStyle name="Normal 6 4 2 6" xfId="14485" xr:uid="{144C7ABD-D957-47FA-A751-255ACDB6745C}"/>
    <cellStyle name="Normal 6 4 3" xfId="14486" xr:uid="{E2FE3DE8-A2E6-469B-BCB1-2440DA0713F3}"/>
    <cellStyle name="Normal 6 4 3 2" xfId="14487" xr:uid="{EBCB8B45-EA68-43E8-A750-92A8D57E4EDF}"/>
    <cellStyle name="Normal 6 4 3 2 2" xfId="44434" xr:uid="{8816DE99-75F2-422E-AC6C-E10431636141}"/>
    <cellStyle name="Normal 6 4 3 3" xfId="14488" xr:uid="{E2605F73-D19F-4CA0-8AB4-C6D4B2874841}"/>
    <cellStyle name="Normal 6 4 4" xfId="14489" xr:uid="{92DA37CB-11D5-4C9D-91C4-C2B72AA07346}"/>
    <cellStyle name="Normal 6 4 4 2" xfId="44431" xr:uid="{FA8CAFC1-4D1F-48CB-8A7D-5C1E9CF5FF75}"/>
    <cellStyle name="Normal 6 4 5" xfId="14490" xr:uid="{365C9A5E-0A6D-4B67-8646-E9D4D9828C55}"/>
    <cellStyle name="Normal 6 4 6" xfId="14491" xr:uid="{AD2EF5FC-63D7-4ACD-8A33-E77FD1455DA7}"/>
    <cellStyle name="Normal 6 4 7" xfId="14492" xr:uid="{027F21B8-0212-49BC-B7EB-F9A4FC66BE0C}"/>
    <cellStyle name="Normal 6 4 8" xfId="14493" xr:uid="{AB36ABF6-B350-40AD-B743-280BF376ED37}"/>
    <cellStyle name="Normal 6 4 9" xfId="14494" xr:uid="{E2628C4F-CCAB-4DD3-9BF6-9A687BA42675}"/>
    <cellStyle name="Normal 6 4 9 2" xfId="33398" xr:uid="{55575DFC-7F0B-4BB0-B60F-7E1E5E301BE2}"/>
    <cellStyle name="Normal 6 4 9 3" xfId="33399" xr:uid="{79DB875F-C635-4CF4-AD01-8C26F8BAA0A9}"/>
    <cellStyle name="Normal 6 5" xfId="14495" xr:uid="{0FA40D9B-78E7-485A-9562-29ADA06F2F8B}"/>
    <cellStyle name="Normal 6 5 2" xfId="14496" xr:uid="{0C0F913C-CC85-40BA-85BC-023D15B47A34}"/>
    <cellStyle name="Normal 6 5 2 2" xfId="44436" xr:uid="{8B222B18-C026-4E45-B4B3-D8BC7C6C7CAE}"/>
    <cellStyle name="Normal 6 5 2 3" xfId="44296" xr:uid="{33099061-E5BB-40F9-9275-1E24D8AB0158}"/>
    <cellStyle name="Normal 6 5 3" xfId="14497" xr:uid="{A717AD98-990C-4CAA-B142-A4402DE4D769}"/>
    <cellStyle name="Normal 6 5 3 2" xfId="44435" xr:uid="{9B2BED5E-D57E-4F5E-BFFF-1B939E026F1A}"/>
    <cellStyle name="Normal 6 5 4" xfId="14498" xr:uid="{4EA0B12F-18E5-4221-89B2-D4AE19D23342}"/>
    <cellStyle name="Normal 6 5 5" xfId="14499" xr:uid="{8A1C66D5-14D2-4A8A-98CE-F70401C640E6}"/>
    <cellStyle name="Normal 6 5 6" xfId="14500" xr:uid="{18577EA4-74F8-4960-9566-022915641867}"/>
    <cellStyle name="Normal 6 5 7" xfId="14501" xr:uid="{316B617E-AA37-4F28-95A1-88E11897A8FA}"/>
    <cellStyle name="Normal 6 5 8" xfId="14502" xr:uid="{831011DB-CF0B-43F0-BC13-0521885CA2C5}"/>
    <cellStyle name="Normal 6 5 9" xfId="44272" xr:uid="{7EE1537F-1DB9-4CC5-81B0-5712BF7DD372}"/>
    <cellStyle name="Normal 6 6" xfId="14503" xr:uid="{B1175978-78EA-4100-B27D-39AC414AC233}"/>
    <cellStyle name="Normal 6 6 2" xfId="14504" xr:uid="{F2BCB55E-87BA-4058-B171-45C69A86F4EF}"/>
    <cellStyle name="Normal 6 6 2 2" xfId="44437" xr:uid="{8A0661F2-0023-4EEE-BF6E-3B9B3E6F1948}"/>
    <cellStyle name="Normal 6 6 3" xfId="33400" xr:uid="{B35F0603-755C-4DE0-A311-ACB20B3B2F1F}"/>
    <cellStyle name="Normal 6 6 4" xfId="33401" xr:uid="{77C0975C-2D67-4D44-9A6C-695D91780351}"/>
    <cellStyle name="Normal 6 7" xfId="14505" xr:uid="{E5335AE0-AE9A-4C7E-A73C-F4257C431E32}"/>
    <cellStyle name="Normal 6 7 2" xfId="14506" xr:uid="{127F8679-5ADC-4E2C-AB20-54CAFEE87888}"/>
    <cellStyle name="Normal 6 7 2 2" xfId="44438" xr:uid="{09D206C2-3B8A-4695-90E2-E5FF9BB5AAE7}"/>
    <cellStyle name="Normal 6 7 3" xfId="33402" xr:uid="{2A606C04-EFBA-49FE-85FE-A168367FDADC}"/>
    <cellStyle name="Normal 6 7 4" xfId="33403" xr:uid="{E68FD1EE-7B9F-42E2-ADCE-53067891AC45}"/>
    <cellStyle name="Normal 6 8" xfId="14507" xr:uid="{294C1850-46D5-4F0E-9C42-E0D91E92E2BF}"/>
    <cellStyle name="Normal 6 8 2" xfId="14508" xr:uid="{E1703717-2BF0-48AF-B4A7-E9D9D6C21403}"/>
    <cellStyle name="Normal 6 8 2 2" xfId="44439" xr:uid="{A0BB12AD-9415-4008-B8EC-F3D6BFE2C265}"/>
    <cellStyle name="Normal 6 8 3" xfId="33404" xr:uid="{277A5704-2988-4DBE-B8EB-406D23D164C7}"/>
    <cellStyle name="Normal 6 8 4" xfId="33405" xr:uid="{27C1E9CF-1403-4C48-B83E-4CE4F195F62A}"/>
    <cellStyle name="Normal 6 9" xfId="14509" xr:uid="{E4C93559-AA27-4F0F-9AA5-C6475E5A8FA1}"/>
    <cellStyle name="Normal 6 9 2" xfId="14510" xr:uid="{B9DE93F3-AC69-4EDA-9F57-1A3EFD71C4BE}"/>
    <cellStyle name="Normal 6 9 2 2" xfId="44440" xr:uid="{D75F23E3-8107-4C18-BF99-8ECCAA0943AC}"/>
    <cellStyle name="Normal 6 9 3" xfId="33406" xr:uid="{5E8041C9-F719-45BE-8743-09600C88C998}"/>
    <cellStyle name="Normal 6 9 4" xfId="33407" xr:uid="{FCBBBD08-C6F6-43A7-A3ED-B91611ADAE2C}"/>
    <cellStyle name="Normal 6_ELC" xfId="33408" xr:uid="{6687E4EB-8CA2-4652-BE95-9165F2129440}"/>
    <cellStyle name="Normal 60" xfId="45775" xr:uid="{286085D4-2CF0-453C-9A18-1CE02403811C}"/>
    <cellStyle name="Normal 61" xfId="45776" xr:uid="{0D67BB0B-A605-49DD-B9C1-904CF46D7A7D}"/>
    <cellStyle name="Normal 62" xfId="45777" xr:uid="{7FDD1534-6436-4D7F-83DF-49215D279F26}"/>
    <cellStyle name="Normal 62 2" xfId="45764" xr:uid="{1C5D41B9-805C-4C73-B690-CF708892FA51}"/>
    <cellStyle name="Normal 63" xfId="45786" xr:uid="{50BC3DF5-F5CC-456C-96B5-465069BBD85C}"/>
    <cellStyle name="Normal 64" xfId="45788" xr:uid="{F2231EAD-E11F-4D0B-B5C3-60B40A2E9A7C}"/>
    <cellStyle name="Normal 65" xfId="45790" xr:uid="{76326C24-2F8F-44FF-A2A2-8A2CA6221CC3}"/>
    <cellStyle name="Normal 66" xfId="45803" xr:uid="{4D5E8744-EFB2-402B-81C3-74A522715DC5}"/>
    <cellStyle name="Normal 67" xfId="45804" xr:uid="{8A65EA65-A3AC-4C7A-9174-8E4CD0ABC456}"/>
    <cellStyle name="Normal 68" xfId="45834" xr:uid="{7B503C1A-5533-4A67-B09B-E44F5C148242}"/>
    <cellStyle name="Normal 69" xfId="45849" xr:uid="{0D6E24AD-42AF-4897-BBBC-93D32601C908}"/>
    <cellStyle name="Normal 7" xfId="56" xr:uid="{870EB82B-DF57-4EDC-8908-E7AAF0FF4904}"/>
    <cellStyle name="Normal 7 10" xfId="14512" xr:uid="{8DDD8530-4E36-47B1-B675-AC5409BD0951}"/>
    <cellStyle name="Normal 7 11" xfId="14513" xr:uid="{69C88AF7-E3C3-4A64-9AF6-3705996F0AA1}"/>
    <cellStyle name="Normal 7 12" xfId="14514" xr:uid="{C0BC3157-7018-4D45-BE16-EA1ED9BBC816}"/>
    <cellStyle name="Normal 7 13" xfId="14515" xr:uid="{825BED56-B1AC-4DAB-81F8-D32D3CCAADE7}"/>
    <cellStyle name="Normal 7 13 2" xfId="33409" xr:uid="{BF188A3D-94EA-45F4-AE93-C329C35FEEB1}"/>
    <cellStyle name="Normal 7 13 3" xfId="33410" xr:uid="{96E950E9-1D7B-4036-B7E3-1DE37EBBFA1D}"/>
    <cellStyle name="Normal 7 13 4" xfId="42977" xr:uid="{D14CCE23-5D3B-45F2-BD97-78A3057BF74F}"/>
    <cellStyle name="Normal 7 13 5" xfId="45951" xr:uid="{C540F3AF-C021-4212-8D86-28F10EBE53E4}"/>
    <cellStyle name="Normal 7 14" xfId="14516" xr:uid="{1CCCDC8A-1880-48FA-A952-3D3386CBFFB9}"/>
    <cellStyle name="Normal 7 14 2" xfId="33411" xr:uid="{E3F2D013-B56E-4C29-BA6C-CB06A72C6C12}"/>
    <cellStyle name="Normal 7 14 3" xfId="33412" xr:uid="{EC298D58-38C1-4190-B7F6-B112A15F7D26}"/>
    <cellStyle name="Normal 7 15" xfId="14517" xr:uid="{2BB8A795-FE47-49A5-9D37-020D7AA475EA}"/>
    <cellStyle name="Normal 7 15 2" xfId="33413" xr:uid="{F79B5C24-0FC0-470C-964F-F4D9F5073627}"/>
    <cellStyle name="Normal 7 15 3" xfId="33414" xr:uid="{924E01DE-9740-4915-9243-FDB6143C3618}"/>
    <cellStyle name="Normal 7 16" xfId="14518" xr:uid="{05277847-FB53-4C1D-B656-3854E544376F}"/>
    <cellStyle name="Normal 7 16 2" xfId="33415" xr:uid="{CBA15604-404F-40C2-B67D-7BDDF40156C9}"/>
    <cellStyle name="Normal 7 16 3" xfId="33416" xr:uid="{1162012C-8168-444C-9E77-701154698A76}"/>
    <cellStyle name="Normal 7 17" xfId="14519" xr:uid="{F361380A-1C20-4D07-88F9-FC4DF94A9EA3}"/>
    <cellStyle name="Normal 7 17 2" xfId="33417" xr:uid="{27C9BDA1-D3FE-49A6-8BD2-1D68A531E51F}"/>
    <cellStyle name="Normal 7 17 3" xfId="33418" xr:uid="{8ACD2984-A64A-4523-B4A8-1BE72BBDFB33}"/>
    <cellStyle name="Normal 7 18" xfId="14520" xr:uid="{1E4D8E3D-6326-48B4-B2E9-2761E8622588}"/>
    <cellStyle name="Normal 7 18 2" xfId="33419" xr:uid="{73AE4BAE-D960-430E-8942-B14DEFE10FB3}"/>
    <cellStyle name="Normal 7 18 3" xfId="33420" xr:uid="{90803BFD-BAD3-47FB-BE09-5412261C3440}"/>
    <cellStyle name="Normal 7 19" xfId="14521" xr:uid="{4B984E91-4931-4763-B6A3-39844B91E041}"/>
    <cellStyle name="Normal 7 2" xfId="14522" xr:uid="{A19C6288-422E-4486-90C0-E82014D74D86}"/>
    <cellStyle name="Normal 7 2 10" xfId="14523" xr:uid="{814AD68A-9C06-44B0-8E58-979CBD11F3E9}"/>
    <cellStyle name="Normal 7 2 10 2" xfId="33421" xr:uid="{396AAA63-203F-46FA-B7A0-E6AA1CC3E211}"/>
    <cellStyle name="Normal 7 2 10 3" xfId="33422" xr:uid="{73E7853F-2AFC-4CDD-8B99-A178FC6BCCDC}"/>
    <cellStyle name="Normal 7 2 11" xfId="14524" xr:uid="{340180ED-A326-4D9B-92AD-90F78E2B34EA}"/>
    <cellStyle name="Normal 7 2 11 2" xfId="33423" xr:uid="{F838F6DC-CE5D-4B3B-AF0F-157EE418AAA3}"/>
    <cellStyle name="Normal 7 2 11 3" xfId="33424" xr:uid="{3AA8BF2C-D2C2-4F73-A3CC-47491FB0979C}"/>
    <cellStyle name="Normal 7 2 12" xfId="14525" xr:uid="{7232A112-3631-447B-B0D8-468E3DE128BC}"/>
    <cellStyle name="Normal 7 2 12 2" xfId="33425" xr:uid="{0453C8F2-12D2-47C2-BCC9-DB5936FB3038}"/>
    <cellStyle name="Normal 7 2 12 3" xfId="33426" xr:uid="{334E09D4-D4B1-4B24-8E05-F664436B5208}"/>
    <cellStyle name="Normal 7 2 13" xfId="14526" xr:uid="{DDCDC34F-5C8B-4AAF-A988-84DBFB56836D}"/>
    <cellStyle name="Normal 7 2 13 2" xfId="33427" xr:uid="{29520BBF-8A52-4A43-8C90-A225B2CDF02D}"/>
    <cellStyle name="Normal 7 2 13 3" xfId="33428" xr:uid="{D12D80F6-52AB-43A0-B107-9CD003496717}"/>
    <cellStyle name="Normal 7 2 14" xfId="14527" xr:uid="{079C2C65-A413-4274-984E-9767B0C7BE5A}"/>
    <cellStyle name="Normal 7 2 2" xfId="14528" xr:uid="{077F4C20-9E92-4F37-A821-0921128C0625}"/>
    <cellStyle name="Normal 7 2 2 2" xfId="14529" xr:uid="{382F5740-D7D4-449E-9788-AF5B47B48FF9}"/>
    <cellStyle name="Normal 7 2 2 2 2" xfId="44299" xr:uid="{B7C3920C-C95F-4802-9E92-C5F26E5A1539}"/>
    <cellStyle name="Normal 7 2 2 2 2 2" xfId="44445" xr:uid="{B687565F-96FD-49B3-BB9E-AF6FAFBEFC83}"/>
    <cellStyle name="Normal 7 2 2 2 3" xfId="44444" xr:uid="{278EBA06-1C66-4279-B49C-1BD8B993323F}"/>
    <cellStyle name="Normal 7 2 2 2 4" xfId="44278" xr:uid="{1E7162DE-4635-4E20-A883-F61AE9ED23C8}"/>
    <cellStyle name="Normal 7 2 2 3" xfId="33429" xr:uid="{90F7332E-F510-4FB3-A130-2753212F858C}"/>
    <cellStyle name="Normal 7 2 2 3 2" xfId="44446" xr:uid="{9321E385-37E4-4A39-B118-55A134CE2B05}"/>
    <cellStyle name="Normal 7 2 2 4" xfId="33430" xr:uid="{E14B8349-56A5-412C-A21C-3CB25AA84B8D}"/>
    <cellStyle name="Normal 7 2 3" xfId="14530" xr:uid="{020D3759-C653-4676-A40D-D6EBE5D613EA}"/>
    <cellStyle name="Normal 7 2 3 2" xfId="14531" xr:uid="{BE5A7975-D4C0-41B7-AC36-452098825E34}"/>
    <cellStyle name="Normal 7 2 3 2 2" xfId="44448" xr:uid="{00ABFC60-5C5E-48E7-83F2-B16C507BF739}"/>
    <cellStyle name="Normal 7 2 3 2 3" xfId="44300" xr:uid="{7F170C39-7071-417A-B679-40ED68FF38F5}"/>
    <cellStyle name="Normal 7 2 3 3" xfId="33431" xr:uid="{0D97BA6E-96F8-41A7-A332-F3C0F4801F41}"/>
    <cellStyle name="Normal 7 2 3 4" xfId="33432" xr:uid="{7C37E592-9CBF-45FA-9DB7-FAD92A753210}"/>
    <cellStyle name="Normal 7 2 3 5" xfId="42978" xr:uid="{359258C5-A3D7-4D17-8103-BD532FC7DF13}"/>
    <cellStyle name="Normal 7 2 4" xfId="14532" xr:uid="{44D453A8-CD80-4FE9-96EF-77B3A94F0175}"/>
    <cellStyle name="Normal 7 2 4 2" xfId="14533" xr:uid="{E79EC50A-3C65-444A-842B-D7F6705AD83B}"/>
    <cellStyle name="Normal 7 2 4 2 2" xfId="44449" xr:uid="{8A2425E2-C2D1-4E4C-8577-B0D617CE92D9}"/>
    <cellStyle name="Normal 7 2 4 3" xfId="33433" xr:uid="{8672FCEC-2C8F-40D6-B3CD-FC0BEE286A39}"/>
    <cellStyle name="Normal 7 2 4 4" xfId="33434" xr:uid="{9FFAB3C6-B5DD-4309-B5F2-AB008FC02B0B}"/>
    <cellStyle name="Normal 7 2 5" xfId="14534" xr:uid="{5BC36C77-E344-4BA9-A10D-B8010B5DF05F}"/>
    <cellStyle name="Normal 7 2 5 2" xfId="14535" xr:uid="{B5BA539E-7B65-4739-8A74-3FADA08FC7BB}"/>
    <cellStyle name="Normal 7 2 5 2 2" xfId="44450" xr:uid="{E986B61E-B5D1-4D18-AE16-43B8928DAB5A}"/>
    <cellStyle name="Normal 7 2 5 3" xfId="33435" xr:uid="{EBF824B8-ED76-4BFC-B534-199FEDD69406}"/>
    <cellStyle name="Normal 7 2 5 4" xfId="33436" xr:uid="{246B1C89-91C8-4292-B89A-6B62E21538A6}"/>
    <cellStyle name="Normal 7 2 6" xfId="14536" xr:uid="{ED04FAA2-48AF-4197-805A-9D4C18DAEA37}"/>
    <cellStyle name="Normal 7 2 6 2" xfId="44442" xr:uid="{84282D3E-4EE8-477A-B364-2CF2C57A51B3}"/>
    <cellStyle name="Normal 7 2 7" xfId="14537" xr:uid="{A5E750D2-E0CB-4F8B-B647-C718EF9FAD28}"/>
    <cellStyle name="Normal 7 2 8" xfId="14538" xr:uid="{DE955AC1-E8F6-4D7B-B177-8534359598C6}"/>
    <cellStyle name="Normal 7 2 9" xfId="14539" xr:uid="{6A90658E-D07D-400B-A282-869BD8284B49}"/>
    <cellStyle name="Normal 7 2 9 2" xfId="33437" xr:uid="{77DB0B1F-8A43-4C13-971B-5F09C3ECAA5A}"/>
    <cellStyle name="Normal 7 2 9 3" xfId="33438" xr:uid="{72181415-E2AF-4E25-9D27-95D686FE4523}"/>
    <cellStyle name="Normal 7 2 9 4" xfId="33439" xr:uid="{044EA6F4-5C06-49CC-8DD0-996263243311}"/>
    <cellStyle name="Normal 7 2 9 5" xfId="42979" xr:uid="{68E6BA8D-E30D-4B50-BAB8-1E0BFB43D247}"/>
    <cellStyle name="Normal 7 2_Scen_XBase" xfId="33440" xr:uid="{910E63EB-78EF-4F96-9776-00E3009EBA4E}"/>
    <cellStyle name="Normal 7 20" xfId="14511" xr:uid="{3A0C4BBF-A8F6-409C-9C7D-4DF1B1D24AEF}"/>
    <cellStyle name="Normal 7 3" xfId="14540" xr:uid="{3EE22F22-0EEC-445C-ACC3-A9FDF5AA4609}"/>
    <cellStyle name="Normal 7 3 10" xfId="14541" xr:uid="{CECAA4C1-E31A-4B40-B573-ACDA0492E7A9}"/>
    <cellStyle name="Normal 7 3 10 2" xfId="33441" xr:uid="{585596F9-103C-489C-82D5-2D0E8686754A}"/>
    <cellStyle name="Normal 7 3 10 3" xfId="33442" xr:uid="{5500D41D-66E7-43E5-A885-88DC50965089}"/>
    <cellStyle name="Normal 7 3 11" xfId="14542" xr:uid="{69764DF6-E52F-457B-8202-C0AC847652A8}"/>
    <cellStyle name="Normal 7 3 11 2" xfId="33443" xr:uid="{9A9B91D9-F0B8-427D-AEE0-9BE7CB20AD39}"/>
    <cellStyle name="Normal 7 3 11 3" xfId="33444" xr:uid="{DF9DEADD-51B0-42B2-8138-D66AAD8A1ECA}"/>
    <cellStyle name="Normal 7 3 12" xfId="14543" xr:uid="{BE2E0C20-1543-42EB-B5D4-692828AD4D53}"/>
    <cellStyle name="Normal 7 3 12 2" xfId="33445" xr:uid="{8F0774CB-3A75-48B0-9C54-F819DDA89F21}"/>
    <cellStyle name="Normal 7 3 12 3" xfId="33446" xr:uid="{5184FE1A-F0A2-49BA-9B2B-F38485CBAAE1}"/>
    <cellStyle name="Normal 7 3 13" xfId="14544" xr:uid="{4A1416A0-709C-4B20-9760-4B682BD42061}"/>
    <cellStyle name="Normal 7 3 13 2" xfId="33447" xr:uid="{3707C630-8AE6-4F45-AE91-7D3247513E98}"/>
    <cellStyle name="Normal 7 3 13 3" xfId="33448" xr:uid="{B35712E0-E127-4E7E-A93B-3C99137DF7A8}"/>
    <cellStyle name="Normal 7 3 14" xfId="14545" xr:uid="{1876628A-59A4-4C32-8F7C-19D26ED5FD5B}"/>
    <cellStyle name="Normal 7 3 14 2" xfId="33449" xr:uid="{1EC2FD77-CCB2-4142-BC3D-81BEFF9C599C}"/>
    <cellStyle name="Normal 7 3 14 3" xfId="33450" xr:uid="{ADCAC6E3-8225-48F5-9336-BAD571DE38B2}"/>
    <cellStyle name="Normal 7 3 15" xfId="33451" xr:uid="{9993BE97-26F4-471E-949F-06FF6A19224C}"/>
    <cellStyle name="Normal 7 3 16" xfId="33452" xr:uid="{76E784A6-E221-4C7E-9542-4D054220EF90}"/>
    <cellStyle name="Normal 7 3 2" xfId="14546" xr:uid="{CE1928A9-CC45-42D9-88CA-04386DB8943F}"/>
    <cellStyle name="Normal 7 3 2 2" xfId="14547" xr:uid="{1CD7390D-38BF-4799-A385-4269E38A3E9B}"/>
    <cellStyle name="Normal 7 3 2 2 2" xfId="44451" xr:uid="{410FA4E3-A463-4C74-A8D6-6CA1F975AFB1}"/>
    <cellStyle name="Normal 7 3 2 2 3" xfId="44302" xr:uid="{ED7B65A3-0471-47B4-9A09-CC9F9A306718}"/>
    <cellStyle name="Normal 7 3 2 3" xfId="33453" xr:uid="{EECEAAD9-07FC-4552-8099-C79BAA601DDA}"/>
    <cellStyle name="Normal 7 3 2 4" xfId="33454" xr:uid="{1B070DA5-5451-48BE-8CBD-C7204EB9DDDC}"/>
    <cellStyle name="Normal 7 3 3" xfId="14548" xr:uid="{D4D47B4E-F716-41AC-B168-151198CBC46E}"/>
    <cellStyle name="Normal 7 3 3 2" xfId="14549" xr:uid="{BDCF3395-C0D9-4F92-8E13-C26470597D8B}"/>
    <cellStyle name="Normal 7 3 3 2 2" xfId="44452" xr:uid="{1B38F3FF-F8FA-4DB8-9DF0-D2EFEBD57C18}"/>
    <cellStyle name="Normal 7 3 3 3" xfId="33455" xr:uid="{440B3D73-358E-48A3-8486-8AF2EF3E60F4}"/>
    <cellStyle name="Normal 7 3 3 4" xfId="33456" xr:uid="{A1207075-974C-4743-891D-2104BFA2002A}"/>
    <cellStyle name="Normal 7 3 4" xfId="14550" xr:uid="{31933F78-9033-42FA-9D8B-219EEB170DF1}"/>
    <cellStyle name="Normal 7 3 4 2" xfId="14551" xr:uid="{AEC99A96-0AC3-4CF0-AC28-2C26AE47621C}"/>
    <cellStyle name="Normal 7 3 4 3" xfId="33457" xr:uid="{E037B618-05EF-4363-AF4C-69F242182EEF}"/>
    <cellStyle name="Normal 7 3 4 4" xfId="33458" xr:uid="{F7F06493-2C6E-4D37-A12E-32BA56A4B3BE}"/>
    <cellStyle name="Normal 7 3 5" xfId="14552" xr:uid="{16E2EDFF-8A96-4F5E-A34F-8C899140DB07}"/>
    <cellStyle name="Normal 7 3 5 2" xfId="14553" xr:uid="{7D1FB03B-8788-4168-B8E0-CE8DED5FAC4F}"/>
    <cellStyle name="Normal 7 3 5 3" xfId="33459" xr:uid="{AE52960B-B30E-49B4-AEE3-826D6BD25C55}"/>
    <cellStyle name="Normal 7 3 5 4" xfId="33460" xr:uid="{9F1A3551-46C9-4025-ACFE-4C9AF997302C}"/>
    <cellStyle name="Normal 7 3 6" xfId="14554" xr:uid="{19898015-3FC6-4120-B10A-F6D79E707EDD}"/>
    <cellStyle name="Normal 7 3 7" xfId="14555" xr:uid="{19E6982C-BC09-4323-B2AA-E0890670C222}"/>
    <cellStyle name="Normal 7 3 8" xfId="14556" xr:uid="{CD8A2DAF-0A14-4E6A-9F7C-84C7AEE474CA}"/>
    <cellStyle name="Normal 7 3 9" xfId="14557" xr:uid="{BC7E22A7-EB05-4CAF-B7A3-E4F4BD6263BE}"/>
    <cellStyle name="Normal 7 4" xfId="14558" xr:uid="{FB1ABCE9-4691-43D2-92CC-5D8959CC95E1}"/>
    <cellStyle name="Normal 7 4 10" xfId="33461" xr:uid="{EFCA756C-7A5F-42D9-84E2-D722BC468AAE}"/>
    <cellStyle name="Normal 7 4 10 2" xfId="33462" xr:uid="{0810500D-384B-48C9-AAB2-0F0CC0C73579}"/>
    <cellStyle name="Normal 7 4 11" xfId="33463" xr:uid="{7A2AC689-9E48-4FC6-AE81-D5F0B8F68D34}"/>
    <cellStyle name="Normal 7 4 2" xfId="14559" xr:uid="{6F254C7A-FACE-4D77-899F-529BFDA7D1DF}"/>
    <cellStyle name="Normal 7 4 2 2" xfId="44454" xr:uid="{3E0CD86C-CD37-4F29-B1AD-62C2F56D5B4F}"/>
    <cellStyle name="Normal 7 4 2 3" xfId="44303" xr:uid="{2EB88EDC-1236-4F33-99E3-113FCDA26962}"/>
    <cellStyle name="Normal 7 4 3" xfId="14560" xr:uid="{56FB2477-774F-4C60-95A8-BD8AB64B2561}"/>
    <cellStyle name="Normal 7 4 3 2" xfId="44453" xr:uid="{4ED86560-AA4C-499B-8999-E0A81CFB1815}"/>
    <cellStyle name="Normal 7 4 4" xfId="14561" xr:uid="{D14D9DFA-5083-4980-8C56-0EC712201F42}"/>
    <cellStyle name="Normal 7 4 5" xfId="14562" xr:uid="{576F7100-8519-453A-8587-C9B4ACE60B15}"/>
    <cellStyle name="Normal 7 4 6" xfId="14563" xr:uid="{AE9F6BFD-EEAC-41CE-A07D-E2111D79BA3C}"/>
    <cellStyle name="Normal 7 4 7" xfId="14564" xr:uid="{01CE4780-7ECC-41FD-A50A-313FD52A3B9E}"/>
    <cellStyle name="Normal 7 4 8" xfId="14565" xr:uid="{29F1B458-7829-47E2-8C04-958CCE69DD86}"/>
    <cellStyle name="Normal 7 4 9" xfId="14566" xr:uid="{DBF91DA3-B990-4B81-AB6F-B650196447FD}"/>
    <cellStyle name="Normal 7 5" xfId="14567" xr:uid="{0E634898-E10F-4FCC-81E2-4447190DAE13}"/>
    <cellStyle name="Normal 7 5 10" xfId="33464" xr:uid="{9F0B3030-AA3F-4E03-964B-07DB9C621C7E}"/>
    <cellStyle name="Normal 7 5 11" xfId="33465" xr:uid="{E8790F67-1CD6-450F-B392-2DCB7DEFFE9F}"/>
    <cellStyle name="Normal 7 5 2" xfId="14568" xr:uid="{528A663B-2D59-4DA8-98A3-1A8D7A5909AE}"/>
    <cellStyle name="Normal 7 5 2 2" xfId="44455" xr:uid="{D51BCBB8-9749-4F16-83B2-49866107FA42}"/>
    <cellStyle name="Normal 7 5 3" xfId="14569" xr:uid="{73920A03-CBD8-437A-98EB-6CD2102CBAC3}"/>
    <cellStyle name="Normal 7 5 4" xfId="14570" xr:uid="{05F14055-0EB9-4FDD-A4AB-84DC7DB5CC0A}"/>
    <cellStyle name="Normal 7 5 5" xfId="14571" xr:uid="{27E08B5E-EA2F-4346-AFC9-F5F73ABAAF2C}"/>
    <cellStyle name="Normal 7 5 6" xfId="14572" xr:uid="{87753921-8183-49B5-90C4-105270CBBEF7}"/>
    <cellStyle name="Normal 7 5 7" xfId="14573" xr:uid="{F6EFFC26-6D80-41ED-9AC2-B441935A345E}"/>
    <cellStyle name="Normal 7 5 8" xfId="14574" xr:uid="{F68EFDD5-7785-4F58-8F5C-F1CCC78D1406}"/>
    <cellStyle name="Normal 7 5 9" xfId="14575" xr:uid="{7A49C228-FA31-4695-9DCD-DE1BAF852969}"/>
    <cellStyle name="Normal 7 6" xfId="14576" xr:uid="{1EE85B8C-0332-4B07-8C43-0B1E084EB0F5}"/>
    <cellStyle name="Normal 7 6 2" xfId="14577" xr:uid="{9B68F46E-BF96-4EDE-8659-4D673978824E}"/>
    <cellStyle name="Normal 7 6 3" xfId="33466" xr:uid="{10DA04FB-DEF2-49AF-AEA9-2B17BB4958BC}"/>
    <cellStyle name="Normal 7 6 4" xfId="33467" xr:uid="{6D0BFBD5-F2BB-488B-B436-07614CBD5B16}"/>
    <cellStyle name="Normal 7 7" xfId="14578" xr:uid="{469D15D2-0424-4F6E-BE68-E3144A994C3B}"/>
    <cellStyle name="Normal 7 7 2" xfId="14579" xr:uid="{D83FF75D-6A45-4071-88F1-9001A1D70142}"/>
    <cellStyle name="Normal 7 7 3" xfId="33468" xr:uid="{9EDC08C1-3CE6-4A0C-9B95-49D59B86834F}"/>
    <cellStyle name="Normal 7 7 4" xfId="33469" xr:uid="{B839C861-BBE9-4357-8037-C14EFDDC7564}"/>
    <cellStyle name="Normal 7 8" xfId="14580" xr:uid="{BF381FC0-DF5D-4C27-9EB8-4A609123B8D5}"/>
    <cellStyle name="Normal 7 8 2" xfId="44259" xr:uid="{297833AD-5236-47D8-97C8-54ED8E43E6AC}"/>
    <cellStyle name="Normal 7 9" xfId="14581" xr:uid="{586A17E0-6EB2-4735-9239-B159F6C2F393}"/>
    <cellStyle name="Normal 70" xfId="45875" xr:uid="{A10CC73E-811B-49A0-BEEA-2722BDA7F717}"/>
    <cellStyle name="Normal 71" xfId="45895" xr:uid="{AF5967FA-ADA7-4C7A-9CF3-E418E4C530AB}"/>
    <cellStyle name="Normal 72" xfId="45896" xr:uid="{2E0279D4-4B60-4D38-A5EC-A640AD8B8358}"/>
    <cellStyle name="Normal 73" xfId="45939" xr:uid="{38C812ED-89BD-4678-B5AE-6744496CA998}"/>
    <cellStyle name="Normal 74" xfId="45948" xr:uid="{1751002F-9F74-4E3A-AD4A-BEF4026013B5}"/>
    <cellStyle name="Normal 75" xfId="45943" xr:uid="{069B2A57-757B-43CE-8FD0-3067747F6AEF}"/>
    <cellStyle name="Normal 76" xfId="45950" xr:uid="{E7839A53-591D-4EB3-A2BD-C33E760D59B5}"/>
    <cellStyle name="Normal 77" xfId="45952" xr:uid="{FFA33E4E-EDC1-4C25-A937-24C469EEEEE5}"/>
    <cellStyle name="Normal 78" xfId="45954" xr:uid="{14236A19-B65B-4DAC-A14A-DB0BEFC3CE61}"/>
    <cellStyle name="Normal 79" xfId="45956" xr:uid="{A3323510-7B48-476D-AF10-4B779A040758}"/>
    <cellStyle name="Normal 8" xfId="60" xr:uid="{4C99AEBC-E1DA-448F-9018-1FC27263053D}"/>
    <cellStyle name="Normal 8 10" xfId="14583" xr:uid="{AF66EE63-5162-44E6-A6DA-F6DF25277D93}"/>
    <cellStyle name="Normal 8 10 2" xfId="33470" xr:uid="{AEB282FA-C97D-40F7-BCBE-6539A2731A57}"/>
    <cellStyle name="Normal 8 10 3" xfId="33471" xr:uid="{0F058A5B-F467-4069-924A-6B97A2284BF2}"/>
    <cellStyle name="Normal 8 11" xfId="14584" xr:uid="{CEC716F1-936B-4256-BADB-E6463D86FB9A}"/>
    <cellStyle name="Normal 8 11 2" xfId="42981" xr:uid="{4845DF26-D204-4F25-886C-656E5DE216A7}"/>
    <cellStyle name="Normal 8 11 3" xfId="42980" xr:uid="{9DE5DF9A-0E7B-4C8D-B608-7D5E033E79C3}"/>
    <cellStyle name="Normal 8 12" xfId="14585" xr:uid="{33473740-5424-4F23-B31A-B9339C5AAC28}"/>
    <cellStyle name="Normal 8 13" xfId="14586" xr:uid="{F0C6CF6C-6C94-4323-A122-A94B6B2AA905}"/>
    <cellStyle name="Normal 8 13 2" xfId="14587" xr:uid="{C38D91E1-A968-4579-8C3B-99ED32FD57DE}"/>
    <cellStyle name="Normal 8 14" xfId="14588" xr:uid="{006019E9-87DB-4B52-880C-1AE77B12CADA}"/>
    <cellStyle name="Normal 8 14 2" xfId="33472" xr:uid="{9BA74BF0-90C4-4EDD-9205-12F408410204}"/>
    <cellStyle name="Normal 8 14 3" xfId="33473" xr:uid="{4CAC9261-D08E-4C0A-BB73-A3CDCFA2243A}"/>
    <cellStyle name="Normal 8 15" xfId="14589" xr:uid="{5C267270-4E6D-4C11-80E7-0BAE9371A26C}"/>
    <cellStyle name="Normal 8 15 2" xfId="33474" xr:uid="{28B81A57-CA62-4DBF-8A9C-87525020F04B}"/>
    <cellStyle name="Normal 8 15 3" xfId="33475" xr:uid="{0699FFE9-6692-4F91-A5E1-583D914118B4}"/>
    <cellStyle name="Normal 8 16" xfId="14590" xr:uid="{A6B9C104-0E05-4AD7-87C5-9DD8241D3767}"/>
    <cellStyle name="Normal 8 16 2" xfId="33476" xr:uid="{2DCE2078-E2E7-4B05-84BD-D8D5204E029E}"/>
    <cellStyle name="Normal 8 16 3" xfId="33477" xr:uid="{C8DA5435-429C-42A4-A960-0CD3B8A51D59}"/>
    <cellStyle name="Normal 8 17" xfId="14591" xr:uid="{B52448BA-B834-4D11-85CD-299DCC673B0F}"/>
    <cellStyle name="Normal 8 17 2" xfId="33478" xr:uid="{FAB3C2F2-BA4D-4FC9-90DB-E70293FB4369}"/>
    <cellStyle name="Normal 8 17 3" xfId="33479" xr:uid="{C70B2F43-1164-437D-B933-4FBFAF840BAA}"/>
    <cellStyle name="Normal 8 18" xfId="14592" xr:uid="{7E1B9FDB-A1CA-4655-A9A0-282C929350A6}"/>
    <cellStyle name="Normal 8 18 2" xfId="33480" xr:uid="{E48D3BCE-B87D-4B5A-AD98-B5ABDC623023}"/>
    <cellStyle name="Normal 8 18 3" xfId="33481" xr:uid="{E3500554-0270-40C9-BA7B-2FB46FF705D2}"/>
    <cellStyle name="Normal 8 19" xfId="14593" xr:uid="{1DF63A70-322D-446B-BBFA-FE146BAD54D4}"/>
    <cellStyle name="Normal 8 19 2" xfId="33482" xr:uid="{4740480E-941E-4F7D-AA34-AB353E67F904}"/>
    <cellStyle name="Normal 8 19 3" xfId="33483" xr:uid="{1DF33B0B-396E-4905-92F0-8455C6DF95B6}"/>
    <cellStyle name="Normal 8 2" xfId="14594" xr:uid="{D64A2B5F-4F4C-43C6-AE5F-4A63F1609B5C}"/>
    <cellStyle name="Normal 8 2 10" xfId="14595" xr:uid="{122C5768-A278-483D-B5C5-35A043DB3D9E}"/>
    <cellStyle name="Normal 8 2 10 2" xfId="33484" xr:uid="{826A4D87-07DF-417E-9702-B55A921FB3AE}"/>
    <cellStyle name="Normal 8 2 10 3" xfId="33485" xr:uid="{8BB143F9-74C3-4915-BAA8-27ADDA0DA8EF}"/>
    <cellStyle name="Normal 8 2 11" xfId="14596" xr:uid="{4E24A8EC-B21F-4EE2-83E0-0B4630BA1937}"/>
    <cellStyle name="Normal 8 2 11 2" xfId="33486" xr:uid="{527F0B47-3CCE-49B0-B607-08C0CFC0DC76}"/>
    <cellStyle name="Normal 8 2 11 3" xfId="33487" xr:uid="{670C779A-E9E4-49DE-BF84-26BB32249A45}"/>
    <cellStyle name="Normal 8 2 12" xfId="14597" xr:uid="{E6959F94-D76E-4CF6-8B7A-8C42DCF1EE97}"/>
    <cellStyle name="Normal 8 2 12 2" xfId="33488" xr:uid="{087A9074-2C05-41E8-BBA0-A0B72D00297E}"/>
    <cellStyle name="Normal 8 2 12 3" xfId="33489" xr:uid="{13C250BF-5757-4B85-9D7D-6917BB337B8C}"/>
    <cellStyle name="Normal 8 2 13" xfId="14598" xr:uid="{45A8A66C-B85C-4D13-85A0-6A351696E2EA}"/>
    <cellStyle name="Normal 8 2 13 2" xfId="33490" xr:uid="{7234EB10-8444-4104-AF9D-5063CCF2D8EF}"/>
    <cellStyle name="Normal 8 2 13 3" xfId="33491" xr:uid="{6EDDB6D9-C6E1-43E6-9181-73FEA0B8FE66}"/>
    <cellStyle name="Normal 8 2 14" xfId="14599" xr:uid="{56436E3E-CB1B-4664-AC05-1F2BB1B2C891}"/>
    <cellStyle name="Normal 8 2 14 2" xfId="33492" xr:uid="{CB0FF9E9-0560-41B4-B5A8-84DFA9835D2D}"/>
    <cellStyle name="Normal 8 2 14 3" xfId="33493" xr:uid="{639FE044-1000-4272-8DCE-99D4ADC56272}"/>
    <cellStyle name="Normal 8 2 15" xfId="14600" xr:uid="{C0408F9A-91AE-441F-BDC2-C82EA26DF71E}"/>
    <cellStyle name="Normal 8 2 15 2" xfId="33494" xr:uid="{519C800E-8559-445A-9590-EE740F300E50}"/>
    <cellStyle name="Normal 8 2 15 3" xfId="33495" xr:uid="{A314B613-722F-413D-A7AF-68CD1A88497F}"/>
    <cellStyle name="Normal 8 2 16" xfId="14601" xr:uid="{4E23B96D-2AE5-4423-919E-42129DBFF9B8}"/>
    <cellStyle name="Normal 8 2 16 2" xfId="33496" xr:uid="{A4544C14-38A0-40EC-A69A-6272E057BB8F}"/>
    <cellStyle name="Normal 8 2 16 3" xfId="33497" xr:uid="{76DDF79A-5129-4672-A24F-04C994DAEF50}"/>
    <cellStyle name="Normal 8 2 17" xfId="14602" xr:uid="{FBEE5313-32BF-475E-8CBF-81971CADF63F}"/>
    <cellStyle name="Normal 8 2 17 2" xfId="33498" xr:uid="{CC28E9E4-E9E2-4917-A946-636D523EE740}"/>
    <cellStyle name="Normal 8 2 17 3" xfId="33499" xr:uid="{B4BD8A6A-8A6B-4101-B29F-D28936B3BF33}"/>
    <cellStyle name="Normal 8 2 18" xfId="14603" xr:uid="{F08EBC75-DF41-435F-8878-4D36EF17543F}"/>
    <cellStyle name="Normal 8 2 19" xfId="45844" xr:uid="{1131A3B5-C2E1-43E4-9B5D-9344ECAB2487}"/>
    <cellStyle name="Normal 8 2 2" xfId="14604" xr:uid="{7562CF92-98B6-4D03-B79C-E1DA2E43A52F}"/>
    <cellStyle name="Normal 8 2 2 2" xfId="14605" xr:uid="{4B3C0F72-F3FC-4DD1-8485-AB62D07C5195}"/>
    <cellStyle name="Normal 8 2 3" xfId="14606" xr:uid="{37F43124-D0C7-4546-8C8F-74088114E208}"/>
    <cellStyle name="Normal 8 2 4" xfId="14607" xr:uid="{7DC6B608-A4A5-4028-BEB7-D94C5AB42907}"/>
    <cellStyle name="Normal 8 2 5" xfId="14608" xr:uid="{A16D1BAB-545C-46AE-90E0-9EA04A744FD0}"/>
    <cellStyle name="Normal 8 2 6" xfId="14609" xr:uid="{7D50691F-A848-423B-B08A-A7708F604DDA}"/>
    <cellStyle name="Normal 8 2 7" xfId="14610" xr:uid="{B382B173-5264-4487-BBB5-703FFAF0545C}"/>
    <cellStyle name="Normal 8 2 8" xfId="14611" xr:uid="{A025EE07-72BE-4C26-AFAE-500FA898CF41}"/>
    <cellStyle name="Normal 8 2 8 2" xfId="14612" xr:uid="{34A8B46E-B450-4FF7-8E1E-897E52BB8761}"/>
    <cellStyle name="Normal 8 2 9" xfId="14613" xr:uid="{CFA76FF8-8043-4B5D-8D9A-B186BD52228A}"/>
    <cellStyle name="Normal 8 2 9 2" xfId="33500" xr:uid="{18842573-6DBE-4998-B898-E96ACC6C7743}"/>
    <cellStyle name="Normal 8 2 9 3" xfId="33501" xr:uid="{F6D1F107-C326-44C7-8BBE-57352FA56DC6}"/>
    <cellStyle name="Normal 8 2 9 4" xfId="42982" xr:uid="{EC42216E-E300-4220-9799-F2825B303972}"/>
    <cellStyle name="Normal 8 20" xfId="14614" xr:uid="{D9D1129C-0B18-4BCB-B055-EDF2706DE17C}"/>
    <cellStyle name="Normal 8 20 2" xfId="33502" xr:uid="{B563C668-7AEF-4919-A6EB-825E7132DE38}"/>
    <cellStyle name="Normal 8 20 3" xfId="33503" xr:uid="{8C8EBDAB-C1A1-44C0-BD18-352AD7D58EEF}"/>
    <cellStyle name="Normal 8 21" xfId="14615" xr:uid="{3FCE482C-D3BE-45F0-BEEE-9569369D0C36}"/>
    <cellStyle name="Normal 8 21 2" xfId="33504" xr:uid="{8717BFF7-9248-4070-A60C-2EC3DA620BEF}"/>
    <cellStyle name="Normal 8 21 3" xfId="33505" xr:uid="{27295601-100A-4588-B3CF-2A90C45E87AE}"/>
    <cellStyle name="Normal 8 22" xfId="14616" xr:uid="{295966D7-26A2-4827-BF03-F9FCBBE9E4C9}"/>
    <cellStyle name="Normal 8 22 2" xfId="33506" xr:uid="{53F57F26-82EF-47CA-AF86-1D8E7B562E86}"/>
    <cellStyle name="Normal 8 22 3" xfId="33507" xr:uid="{80168087-27F5-49EB-BEE3-77259334A7A2}"/>
    <cellStyle name="Normal 8 23" xfId="14617" xr:uid="{49435A14-AA2A-4783-926E-168F39EA9B0C}"/>
    <cellStyle name="Normal 8 24" xfId="14582" xr:uid="{FAA77D7B-1DBC-4765-BE5B-968A5AC6EED8}"/>
    <cellStyle name="Normal 8 25" xfId="45782" xr:uid="{8BD09A79-536F-4CD3-AF81-E281DAF564BF}"/>
    <cellStyle name="Normal 8 26" xfId="45836" xr:uid="{7AE4861E-C5DC-4790-A940-34C5F3F44F87}"/>
    <cellStyle name="Normal 8 3" xfId="14618" xr:uid="{CC3C4297-2D3C-416C-A15A-BA089F0701F3}"/>
    <cellStyle name="Normal 8 3 10" xfId="14619" xr:uid="{DB606081-6065-4ACC-8F4E-B5945BC664CA}"/>
    <cellStyle name="Normal 8 3 10 2" xfId="33508" xr:uid="{A2BF534E-1991-40AD-A30E-5B4331B3D394}"/>
    <cellStyle name="Normal 8 3 10 3" xfId="33509" xr:uid="{086970AA-CD10-4CC3-A003-1110B910186F}"/>
    <cellStyle name="Normal 8 3 11" xfId="14620" xr:uid="{94AABB64-975A-4750-B543-C09310B09467}"/>
    <cellStyle name="Normal 8 3 11 2" xfId="33510" xr:uid="{DF81B112-6EE8-421B-BD1D-0978CDBAE4C7}"/>
    <cellStyle name="Normal 8 3 11 3" xfId="33511" xr:uid="{533620B3-FF53-4FF6-BBDD-B050A02F9166}"/>
    <cellStyle name="Normal 8 3 12" xfId="14621" xr:uid="{D7514896-EF96-48EE-95EC-618028BE37A6}"/>
    <cellStyle name="Normal 8 3 12 2" xfId="33512" xr:uid="{B18D8DC2-A338-482C-9504-EF9612EE1BD3}"/>
    <cellStyle name="Normal 8 3 12 3" xfId="33513" xr:uid="{EA90F485-AC03-4273-B536-B6117AEE3775}"/>
    <cellStyle name="Normal 8 3 13" xfId="14622" xr:uid="{ADBB3DB6-614E-4E16-9536-FCD8E58B952A}"/>
    <cellStyle name="Normal 8 3 13 2" xfId="33514" xr:uid="{BBFE4218-E8D5-4675-9F35-7F46936575C4}"/>
    <cellStyle name="Normal 8 3 13 3" xfId="33515" xr:uid="{EB56E011-DFF1-4398-A55F-778525B0DE85}"/>
    <cellStyle name="Normal 8 3 14" xfId="14623" xr:uid="{6CEC86A4-6D8B-4586-AC56-A9C917A9638E}"/>
    <cellStyle name="Normal 8 3 14 2" xfId="33516" xr:uid="{7D365759-0128-49E3-8E14-82C58FB49299}"/>
    <cellStyle name="Normal 8 3 14 3" xfId="33517" xr:uid="{2151A832-E297-4CF2-9477-95B54B9BDC64}"/>
    <cellStyle name="Normal 8 3 15" xfId="14624" xr:uid="{18C8C545-AB64-4253-B3EB-A2542795F99C}"/>
    <cellStyle name="Normal 8 3 15 2" xfId="33518" xr:uid="{7B049D30-DC13-4D43-94C0-9635FC46901C}"/>
    <cellStyle name="Normal 8 3 15 3" xfId="33519" xr:uid="{85743F26-774D-4FB0-837E-85D9E3899A1F}"/>
    <cellStyle name="Normal 8 3 16" xfId="14625" xr:uid="{DA6E760E-36B8-4209-8A82-369849416EFC}"/>
    <cellStyle name="Normal 8 3 16 2" xfId="33520" xr:uid="{68774724-32F8-4D68-829B-A2910C82D57C}"/>
    <cellStyle name="Normal 8 3 16 3" xfId="33521" xr:uid="{FF21F71A-4973-4556-A132-CF9737646C7A}"/>
    <cellStyle name="Normal 8 3 17" xfId="14626" xr:uid="{26E83A12-6019-400B-B111-69C662044554}"/>
    <cellStyle name="Normal 8 3 17 2" xfId="33522" xr:uid="{74AE82D7-17E7-4F97-91F4-51980FAAE335}"/>
    <cellStyle name="Normal 8 3 17 3" xfId="33523" xr:uid="{D6237960-8370-46A6-919F-CB6124A02EAA}"/>
    <cellStyle name="Normal 8 3 18" xfId="44385" xr:uid="{680D3FB7-EC98-409F-9BB7-84E68A710E48}"/>
    <cellStyle name="Normal 8 3 2" xfId="14627" xr:uid="{9B369513-525D-4D82-B494-596243BFAA79}"/>
    <cellStyle name="Normal 8 3 2 2" xfId="14628" xr:uid="{3AC0E1A8-93D4-47AB-BF4C-EC5D7EAA2BE4}"/>
    <cellStyle name="Normal 8 3 3" xfId="14629" xr:uid="{35FEA767-D0E6-4C38-AFB7-38716CD57646}"/>
    <cellStyle name="Normal 8 3 4" xfId="14630" xr:uid="{D1C25DA8-C7EE-4477-836B-FB75222D93ED}"/>
    <cellStyle name="Normal 8 3 5" xfId="14631" xr:uid="{4E2E7A4F-9338-4CBE-9AB9-1DB0C05D72FE}"/>
    <cellStyle name="Normal 8 3 6" xfId="14632" xr:uid="{9DA3B7AA-EE3B-4762-90B3-4422A7E32996}"/>
    <cellStyle name="Normal 8 3 7" xfId="14633" xr:uid="{A4AE8DE0-30DF-418E-A02D-FBD6B0B9A0CD}"/>
    <cellStyle name="Normal 8 3 8" xfId="14634" xr:uid="{7EE788F9-6D6A-4A15-8E90-983DF244D53E}"/>
    <cellStyle name="Normal 8 3 8 2" xfId="14635" xr:uid="{DAEFCF32-609B-4F65-A066-90BD1C18F4D3}"/>
    <cellStyle name="Normal 8 3 9" xfId="14636" xr:uid="{1C534D73-D5EC-41C8-BEE9-A16E005922B6}"/>
    <cellStyle name="Normal 8 3 9 2" xfId="33524" xr:uid="{5A9A2418-D825-4DB7-8C3D-CD748B40206B}"/>
    <cellStyle name="Normal 8 3 9 3" xfId="33525" xr:uid="{9D316CFC-B851-4E37-A30A-7E937EF358F8}"/>
    <cellStyle name="Normal 8 4" xfId="14637" xr:uid="{6670624D-FA62-43EB-9256-63B122FB2788}"/>
    <cellStyle name="Normal 8 4 2" xfId="14638" xr:uid="{3ACB1B5C-3122-4A95-8F62-BBBA9DE5139A}"/>
    <cellStyle name="Normal 8 4 2 2" xfId="14639" xr:uid="{FB988A6F-F32B-4178-92BA-E3C54F039D85}"/>
    <cellStyle name="Normal 8 4 3" xfId="14640" xr:uid="{D2EB265D-F406-41A3-9377-F8EF79F0624E}"/>
    <cellStyle name="Normal 8 4 4" xfId="14641" xr:uid="{B390251A-4268-4F9C-A8A0-F9D3DAEB97AD}"/>
    <cellStyle name="Normal 8 4 5" xfId="14642" xr:uid="{377A8573-187E-4019-9C8E-1CB302005BB4}"/>
    <cellStyle name="Normal 8 4 6" xfId="14643" xr:uid="{9C72B5A6-5058-4E13-90B6-5CE7ACE3729D}"/>
    <cellStyle name="Normal 8 4 7" xfId="14644" xr:uid="{F3FE6AE1-0737-4038-8B5C-8C003C85CDB9}"/>
    <cellStyle name="Normal 8 4 8" xfId="14645" xr:uid="{0E3459D7-74C6-48A3-B0E1-BB3A40BEC35A}"/>
    <cellStyle name="Normal 8 4 8 2" xfId="14646" xr:uid="{76189B61-18BE-466E-A9DE-279172ABE5A1}"/>
    <cellStyle name="Normal 8 4 9" xfId="33526" xr:uid="{190568C3-18CA-41F2-AE29-290BE96121DB}"/>
    <cellStyle name="Normal 8 5" xfId="14647" xr:uid="{CD5CBE5A-B502-40C5-8F84-AB7DB2CC5F59}"/>
    <cellStyle name="Normal 8 5 2" xfId="14648" xr:uid="{7AD8A0A2-90E0-4280-9770-8124267B5556}"/>
    <cellStyle name="Normal 8 5 2 2" xfId="14649" xr:uid="{A0FCCF5A-0DE9-4D7B-BB73-B00E1156EE88}"/>
    <cellStyle name="Normal 8 5 3" xfId="14650" xr:uid="{9BA483B9-4E78-4B90-BB10-0DAAC25C3C22}"/>
    <cellStyle name="Normal 8 5 4" xfId="14651" xr:uid="{8571C6B5-C102-4108-80DC-66F4AFC32556}"/>
    <cellStyle name="Normal 8 5 5" xfId="14652" xr:uid="{40A33BAF-FF4D-46CE-A41F-40B80EB53FA1}"/>
    <cellStyle name="Normal 8 5 6" xfId="14653" xr:uid="{0ED97913-E8B3-4C24-890B-7817EB3D7446}"/>
    <cellStyle name="Normal 8 5 7" xfId="14654" xr:uid="{BBA45528-5146-466D-A997-C9BBEA7FB820}"/>
    <cellStyle name="Normal 8 5 8" xfId="14655" xr:uid="{E3E26038-4C72-4F92-AFEF-B43D98DCCD40}"/>
    <cellStyle name="Normal 8 5 8 2" xfId="14656" xr:uid="{24E87EB9-0642-4EE2-BFAC-0110D4DC611A}"/>
    <cellStyle name="Normal 8 6" xfId="14657" xr:uid="{7425A9D3-8A19-40E9-9EFB-5C55B17DFD46}"/>
    <cellStyle name="Normal 8 6 2" xfId="14658" xr:uid="{53B24616-6568-4955-8CB2-FEB8B02AED0C}"/>
    <cellStyle name="Normal 8 6 2 2" xfId="14659" xr:uid="{BBD587D2-F030-404C-87B2-4D573CCF9428}"/>
    <cellStyle name="Normal 8 6 3" xfId="14660" xr:uid="{931F571E-A0D0-4562-8150-F954B4E57636}"/>
    <cellStyle name="Normal 8 6 4" xfId="14661" xr:uid="{D9065620-E165-4D44-B0D1-4F45728E2F8D}"/>
    <cellStyle name="Normal 8 6 5" xfId="14662" xr:uid="{E7707AB7-224B-480C-8189-413D550FD97B}"/>
    <cellStyle name="Normal 8 6 6" xfId="14663" xr:uid="{07BD3F44-07D1-4CB4-A955-CD2B1475428F}"/>
    <cellStyle name="Normal 8 6 7" xfId="14664" xr:uid="{B80F5869-0402-4FEB-B2DB-0A748B7A816D}"/>
    <cellStyle name="Normal 8 6 8" xfId="14665" xr:uid="{07426AAA-4230-4E96-9BEA-219BDC5B354A}"/>
    <cellStyle name="Normal 8 6 8 2" xfId="14666" xr:uid="{1EDC1338-C195-4949-905B-5C2FB82684D8}"/>
    <cellStyle name="Normal 8 7" xfId="14667" xr:uid="{6BE26BB6-DC67-4218-B2F2-564FA89A3D7E}"/>
    <cellStyle name="Normal 8 7 2" xfId="14668" xr:uid="{C26F3AC8-2BB7-4486-8FB8-C1C0DEEF6D2C}"/>
    <cellStyle name="Normal 8 7 3" xfId="45845" xr:uid="{EA7CF880-0F16-4A4F-A913-2E31B798F114}"/>
    <cellStyle name="Normal 8 8" xfId="14669" xr:uid="{7DEFDDFD-4125-45A3-B0F9-280308EFFD78}"/>
    <cellStyle name="Normal 8 8 2" xfId="14670" xr:uid="{C1EF987E-A89F-40A5-A120-DE53429CAD8B}"/>
    <cellStyle name="Normal 8 9" xfId="14671" xr:uid="{432047F7-1B90-4DE1-A051-F347B661F9E4}"/>
    <cellStyle name="Normal 8 9 2" xfId="14672" xr:uid="{95AF3CFE-940A-404C-AAC4-1521AA8E4ADB}"/>
    <cellStyle name="Normal 80" xfId="45957" xr:uid="{ECDD0281-63B7-43B1-9B61-ABCC01D8ABCD}"/>
    <cellStyle name="Normal 81" xfId="45959" xr:uid="{03BB6797-795D-4238-8000-07C2B6AB8F76}"/>
    <cellStyle name="Normal 82" xfId="45960" xr:uid="{693182C6-3D29-4A41-AC10-C01A0D82430F}"/>
    <cellStyle name="Normal 83" xfId="45961" xr:uid="{DEDE298D-9731-4626-8009-92FC2BFC0189}"/>
    <cellStyle name="Normal 9" xfId="62" xr:uid="{06065027-6E8B-49D9-AE2E-AF6BC74D7CF2}"/>
    <cellStyle name="Normal 9 10" xfId="14674" xr:uid="{0AA15C72-FD8C-43E0-9470-8DB5C88EC110}"/>
    <cellStyle name="Normal 9 10 2" xfId="42983" xr:uid="{8BF601C8-12F7-4D30-9402-33DD7D82FD1F}"/>
    <cellStyle name="Normal 9 10 3" xfId="45840" xr:uid="{DA22DF84-9E78-40DE-BA64-A54BD9D0F08E}"/>
    <cellStyle name="Normal 9 11" xfId="14675" xr:uid="{02817037-7023-4145-A006-AAED51FC2CF8}"/>
    <cellStyle name="Normal 9 12" xfId="14676" xr:uid="{F158F99E-22F3-494A-B360-08A66283883F}"/>
    <cellStyle name="Normal 9 12 2" xfId="14677" xr:uid="{A5B6C8DE-DD07-4A5A-ADFF-C6CF01952AD8}"/>
    <cellStyle name="Normal 9 12 2 2" xfId="33527" xr:uid="{E7DC3F35-1801-45BD-88DB-C085C9EA8942}"/>
    <cellStyle name="Normal 9 12 2 3" xfId="33528" xr:uid="{76AC6A60-E0BA-4506-9730-4EECA767FE44}"/>
    <cellStyle name="Normal 9 12 3" xfId="14678" xr:uid="{C19DDD6C-1301-489A-85D8-00F3CF43B60C}"/>
    <cellStyle name="Normal 9 12 3 2" xfId="33529" xr:uid="{235AF3CF-0E87-4BBA-9B63-723E695A2CB5}"/>
    <cellStyle name="Normal 9 12 4" xfId="14679" xr:uid="{B53F616D-04EC-4463-AAD9-09B5461A2FE9}"/>
    <cellStyle name="Normal 9 13" xfId="14680" xr:uid="{52F3CFCC-D5E4-45C5-8DD3-3902A6411CD0}"/>
    <cellStyle name="Normal 9 13 2" xfId="14681" xr:uid="{76F5C6E3-7AEC-4843-A039-9277F167B16D}"/>
    <cellStyle name="Normal 9 13 3" xfId="14682" xr:uid="{562A938F-2058-448D-AB96-D771F8A1458C}"/>
    <cellStyle name="Normal 9 13 4" xfId="14683" xr:uid="{2DE4C7FB-DC1C-49F8-9A37-36F8559A1DE7}"/>
    <cellStyle name="Normal 9 14" xfId="14684" xr:uid="{17C36715-1E9D-4374-80E5-34A447CB8C62}"/>
    <cellStyle name="Normal 9 14 2" xfId="33530" xr:uid="{4171114A-0B74-4583-BA71-0F16833CE017}"/>
    <cellStyle name="Normal 9 14 3" xfId="33531" xr:uid="{E91B9A0A-3F5C-459A-86F6-3FB4F23BD8EC}"/>
    <cellStyle name="Normal 9 15" xfId="14685" xr:uid="{3E77FA32-82D0-42B3-B690-E8CF7A732A34}"/>
    <cellStyle name="Normal 9 15 2" xfId="33532" xr:uid="{A7F74BD2-EFB5-456E-BFDF-77503ED38B56}"/>
    <cellStyle name="Normal 9 15 3" xfId="33533" xr:uid="{3364E6B1-EFD5-48B1-91BF-DCAA3E21F242}"/>
    <cellStyle name="Normal 9 16" xfId="14686" xr:uid="{EBD90417-B916-4AAB-B9F5-C0CEDF860F14}"/>
    <cellStyle name="Normal 9 16 2" xfId="33534" xr:uid="{D055BA8C-9E40-4254-B891-BA48F2681D45}"/>
    <cellStyle name="Normal 9 16 3" xfId="33535" xr:uid="{869BD113-50A9-4800-B020-0BCC185D2C46}"/>
    <cellStyle name="Normal 9 17" xfId="14687" xr:uid="{0010A620-E628-4D07-861B-D1F82C8CF3AB}"/>
    <cellStyle name="Normal 9 17 2" xfId="33536" xr:uid="{0CE2CE10-1F0D-405C-AE74-5EEBA4A9C31F}"/>
    <cellStyle name="Normal 9 17 3" xfId="33537" xr:uid="{A38FF8D3-137E-48B8-93EA-0B24D632CB61}"/>
    <cellStyle name="Normal 9 18" xfId="14688" xr:uid="{EAC812DB-532F-4369-B870-E26A75E5437F}"/>
    <cellStyle name="Normal 9 18 2" xfId="33538" xr:uid="{7CB653B7-3111-4B5A-B9E1-A51A4B8D0E58}"/>
    <cellStyle name="Normal 9 18 3" xfId="33539" xr:uid="{038E7DEB-A06C-449F-8E71-7BFC5532AE21}"/>
    <cellStyle name="Normal 9 19" xfId="14689" xr:uid="{8A705B6A-E3D0-4CB3-9F3E-AF5FD90BA52D}"/>
    <cellStyle name="Normal 9 19 2" xfId="33540" xr:uid="{E5CC0492-73DF-4CD9-9357-E9D14519A0CD}"/>
    <cellStyle name="Normal 9 19 3" xfId="33541" xr:uid="{4D65366D-C766-4E09-BD8A-8FAF53B2B4B0}"/>
    <cellStyle name="Normal 9 2" xfId="14690" xr:uid="{984F0776-F617-41E2-8A3F-10EE80557771}"/>
    <cellStyle name="Normal 9 2 10" xfId="14691" xr:uid="{119EA94C-4459-46DA-8B3A-6A2D4C19AC52}"/>
    <cellStyle name="Normal 9 2 10 2" xfId="33542" xr:uid="{B8E394D9-88B8-4284-9374-C0875D9FD246}"/>
    <cellStyle name="Normal 9 2 10 3" xfId="33543" xr:uid="{59F7E0D0-6D5A-469B-BC04-C7B87AF82158}"/>
    <cellStyle name="Normal 9 2 11" xfId="14692" xr:uid="{EC5738E2-823E-42E0-A468-402E9BAECEBC}"/>
    <cellStyle name="Normal 9 2 11 2" xfId="33544" xr:uid="{D2D62C68-B37C-40BD-A83F-06CB1A571E7A}"/>
    <cellStyle name="Normal 9 2 11 3" xfId="33545" xr:uid="{332C7649-DA1C-4C54-AE1D-EF91B451DF47}"/>
    <cellStyle name="Normal 9 2 12" xfId="14693" xr:uid="{231274C7-DD72-4D11-ABE5-C7591BDB09B5}"/>
    <cellStyle name="Normal 9 2 12 2" xfId="33546" xr:uid="{2962466D-B3F3-4940-9C44-0265E35F7231}"/>
    <cellStyle name="Normal 9 2 12 3" xfId="33547" xr:uid="{95A16EEE-B15F-49DF-825D-A89CD23971F3}"/>
    <cellStyle name="Normal 9 2 13" xfId="14694" xr:uid="{696AEAC0-260E-4A48-A5A1-70D2C6622D56}"/>
    <cellStyle name="Normal 9 2 13 2" xfId="33548" xr:uid="{5D8B6AA2-2F67-4279-B17F-07BB436550B2}"/>
    <cellStyle name="Normal 9 2 13 3" xfId="33549" xr:uid="{FB677068-113F-4F5F-AD90-AB441E07B73E}"/>
    <cellStyle name="Normal 9 2 14" xfId="14695" xr:uid="{35BEC4CE-C57F-4A53-AFA2-921E71049490}"/>
    <cellStyle name="Normal 9 2 14 2" xfId="33550" xr:uid="{0338CE8D-746D-4B38-AF83-29B2A1F87E7B}"/>
    <cellStyle name="Normal 9 2 14 3" xfId="33551" xr:uid="{E6F0428C-A9D3-42B8-A497-1B3954B6AF0D}"/>
    <cellStyle name="Normal 9 2 15" xfId="14696" xr:uid="{42537DC5-7238-4F86-B09F-01DD9B60BDD5}"/>
    <cellStyle name="Normal 9 2 15 2" xfId="33552" xr:uid="{4623CC08-3AA9-4C1E-925E-21E4EA2CB6A5}"/>
    <cellStyle name="Normal 9 2 15 3" xfId="33553" xr:uid="{5B821DF2-6C2F-4734-8B41-A74093E2E93A}"/>
    <cellStyle name="Normal 9 2 16" xfId="14697" xr:uid="{B94F98BE-FDA5-4031-BAC8-ADDB7ED041B4}"/>
    <cellStyle name="Normal 9 2 16 2" xfId="33554" xr:uid="{45C3F3F0-67FE-41AF-A0E4-BC6309572ABD}"/>
    <cellStyle name="Normal 9 2 16 3" xfId="33555" xr:uid="{A2B580E6-AD77-4A39-952A-BA1432E2ABD4}"/>
    <cellStyle name="Normal 9 2 17" xfId="14698" xr:uid="{7155EDCF-69F3-41D2-ACA1-69ACDED037A3}"/>
    <cellStyle name="Normal 9 2 17 2" xfId="33556" xr:uid="{3BC47119-3FF3-4AF7-A402-6FAA2452B54E}"/>
    <cellStyle name="Normal 9 2 17 3" xfId="33557" xr:uid="{D3FFB80D-8B61-487A-85F4-178D98997BAD}"/>
    <cellStyle name="Normal 9 2 18" xfId="14699" xr:uid="{86022CD0-97BE-4661-B633-5F5AF6E39B70}"/>
    <cellStyle name="Normal 9 2 18 2" xfId="33558" xr:uid="{78D2C7C9-C67D-49ED-89C9-A011CC89D386}"/>
    <cellStyle name="Normal 9 2 18 3" xfId="33559" xr:uid="{BE2AF0FB-48D4-4549-B031-6C8FD1632520}"/>
    <cellStyle name="Normal 9 2 19" xfId="33560" xr:uid="{B22BAC3B-0A5C-4507-9E33-4BF25A53AC21}"/>
    <cellStyle name="Normal 9 2 2" xfId="14700" xr:uid="{C7020D10-E4D8-4023-9DD3-C1F87DBA29DC}"/>
    <cellStyle name="Normal 9 2 2 2" xfId="14701" xr:uid="{057412FD-FA23-4E80-A796-8E8FEB9B59ED}"/>
    <cellStyle name="Normal 9 2 2 3" xfId="42984" xr:uid="{A04FC31E-B0CB-49AB-9309-7DAC0D3EE3D6}"/>
    <cellStyle name="Normal 9 2 3" xfId="14702" xr:uid="{5AB33172-0E34-4BCC-A413-D284A9695272}"/>
    <cellStyle name="Normal 9 2 3 2" xfId="42985" xr:uid="{46D31B0B-4450-4AE9-8881-69C79584448C}"/>
    <cellStyle name="Normal 9 2 4" xfId="14703" xr:uid="{7CEA2646-C57C-4B68-8B89-7F1DE80608BD}"/>
    <cellStyle name="Normal 9 2 5" xfId="14704" xr:uid="{90D3D062-D14B-4660-BCA9-3FB6D2F52ADD}"/>
    <cellStyle name="Normal 9 2 6" xfId="14705" xr:uid="{DDC8CA76-5E4D-4855-8097-A612F330B400}"/>
    <cellStyle name="Normal 9 2 7" xfId="14706" xr:uid="{E5A4AAA1-72D1-4640-95B4-E85876670F47}"/>
    <cellStyle name="Normal 9 2 8" xfId="14707" xr:uid="{E5B7C507-D25D-4D16-A517-69E9E003DFE7}"/>
    <cellStyle name="Normal 9 2 8 2" xfId="14708" xr:uid="{3EA05AD6-29D7-4597-BD06-94D3CC524993}"/>
    <cellStyle name="Normal 9 2 9" xfId="14709" xr:uid="{78011401-AF1B-4153-9E0D-76B9D9A2AB75}"/>
    <cellStyle name="Normal 9 2 9 2" xfId="14710" xr:uid="{101F11C6-065F-45AD-AE12-3E7FF15AFD69}"/>
    <cellStyle name="Normal 9 2 9 2 2" xfId="33561" xr:uid="{42D6F3CC-F58D-48F4-BC8F-B7048BDBFE1F}"/>
    <cellStyle name="Normal 9 2 9 2 3" xfId="33562" xr:uid="{4E761409-08E7-4D1E-AE07-BB19C3E78BCA}"/>
    <cellStyle name="Normal 9 2 9 3" xfId="33563" xr:uid="{D8C7C0B0-32EE-473C-9F1C-8F7F4DBA3D01}"/>
    <cellStyle name="Normal 9 2 9 4" xfId="33564" xr:uid="{B14D63E9-8209-4633-9F91-4F4F80302B66}"/>
    <cellStyle name="Normal 9 20" xfId="14711" xr:uid="{247AE10A-09A4-470F-8E27-EBE96B0ADECA}"/>
    <cellStyle name="Normal 9 20 2" xfId="33565" xr:uid="{63B73B2A-904F-4D75-BA1E-40C644EDCA65}"/>
    <cellStyle name="Normal 9 20 3" xfId="33566" xr:uid="{33DBCFB6-732C-42FB-9589-13479E22996C}"/>
    <cellStyle name="Normal 9 21" xfId="14712" xr:uid="{DC59C153-D878-406E-8B25-21BC507CE4F9}"/>
    <cellStyle name="Normal 9 21 2" xfId="33567" xr:uid="{FFE84765-6372-4516-B3F8-0AA8B5CAEE6F}"/>
    <cellStyle name="Normal 9 21 3" xfId="33568" xr:uid="{E41964BB-9D80-477F-95E8-052AD709FE4F}"/>
    <cellStyle name="Normal 9 22" xfId="14713" xr:uid="{8329E651-CCEC-4991-AD79-E9414B3BA3DD}"/>
    <cellStyle name="Normal 9 22 2" xfId="33569" xr:uid="{E78B7126-791C-4C8F-B4C7-9A8FC50C24BF}"/>
    <cellStyle name="Normal 9 22 3" xfId="33570" xr:uid="{BD8E231A-AFD1-4FA6-97D0-68E35E2E57DD}"/>
    <cellStyle name="Normal 9 23" xfId="14714" xr:uid="{0AAA0537-4BBF-4364-BB79-993A714347A2}"/>
    <cellStyle name="Normal 9 23 2" xfId="33571" xr:uid="{C75F4D04-32B8-4B20-83CB-E42F54617BC3}"/>
    <cellStyle name="Normal 9 23 3" xfId="33572" xr:uid="{8D810B30-3F41-4C57-AC33-728C5863E24F}"/>
    <cellStyle name="Normal 9 24" xfId="14715" xr:uid="{3FBA6508-1223-41A0-AE0D-0BA20D942A7E}"/>
    <cellStyle name="Normal 9 24 2" xfId="33573" xr:uid="{A4F6CD0F-BF20-4303-A821-E38AF9A52AEB}"/>
    <cellStyle name="Normal 9 25" xfId="14716" xr:uid="{E0A78027-4EC6-440D-AD77-46A0FE9D9E2B}"/>
    <cellStyle name="Normal 9 26" xfId="33574" xr:uid="{47A57577-84DA-48E4-A4FE-7F05E4704EFE}"/>
    <cellStyle name="Normal 9 27" xfId="14673" xr:uid="{0C1D3345-B890-48B7-925D-513EEF2D0068}"/>
    <cellStyle name="Normal 9 28" xfId="45914" xr:uid="{829B0C10-7FE4-4FED-BB21-7620E1ABA7C2}"/>
    <cellStyle name="Normal 9 3" xfId="14717" xr:uid="{86C1F61A-B15E-4A49-9C30-60B34EEBC5F2}"/>
    <cellStyle name="Normal 9 3 10" xfId="14718" xr:uid="{C61CB12A-62C8-49C9-8835-DD3C167FDFD4}"/>
    <cellStyle name="Normal 9 3 10 2" xfId="33575" xr:uid="{43D8145D-B69B-4F55-A0DC-C7AB466AFEFF}"/>
    <cellStyle name="Normal 9 3 10 3" xfId="33576" xr:uid="{9DD79534-AF45-4041-B776-907EC2A29C92}"/>
    <cellStyle name="Normal 9 3 11" xfId="14719" xr:uid="{15FF8C17-99E7-4878-B9E2-903378534D7A}"/>
    <cellStyle name="Normal 9 3 11 2" xfId="33577" xr:uid="{2845069A-454F-41AF-A354-977DC17B9BA0}"/>
    <cellStyle name="Normal 9 3 11 3" xfId="33578" xr:uid="{203CCF49-3B27-4F93-910B-893AB53E2AD3}"/>
    <cellStyle name="Normal 9 3 12" xfId="14720" xr:uid="{0B1268B6-CF94-40EF-A718-B28E937B9458}"/>
    <cellStyle name="Normal 9 3 12 2" xfId="33579" xr:uid="{ECCA6D13-F3A9-4BC9-824D-DF1B3E1396E5}"/>
    <cellStyle name="Normal 9 3 12 3" xfId="33580" xr:uid="{C13B6F02-2D5E-4A17-806A-36E2A66819DB}"/>
    <cellStyle name="Normal 9 3 13" xfId="14721" xr:uid="{BD2A0E40-7427-4D0B-B073-CBCA28296221}"/>
    <cellStyle name="Normal 9 3 13 2" xfId="33581" xr:uid="{48F32FC5-EC2B-4BE4-A157-C95990DC042E}"/>
    <cellStyle name="Normal 9 3 13 3" xfId="33582" xr:uid="{95C22935-3B6D-4D64-872F-E970F4DA7C45}"/>
    <cellStyle name="Normal 9 3 14" xfId="14722" xr:uid="{F9BF2B58-5B5E-4781-9991-5FEBA3AC50EE}"/>
    <cellStyle name="Normal 9 3 14 2" xfId="33583" xr:uid="{BAB13488-464B-4299-A0A9-BB7A695928B9}"/>
    <cellStyle name="Normal 9 3 14 3" xfId="33584" xr:uid="{1562988E-9205-47EB-816F-A809704FB9C5}"/>
    <cellStyle name="Normal 9 3 15" xfId="14723" xr:uid="{68C46973-85F4-4343-8D39-B7CE829E2221}"/>
    <cellStyle name="Normal 9 3 15 2" xfId="33585" xr:uid="{2B8890ED-C65C-477D-8B7A-CEEDD4EB586E}"/>
    <cellStyle name="Normal 9 3 15 3" xfId="33586" xr:uid="{A7EDB915-2C8E-466B-9F37-C085B0C65753}"/>
    <cellStyle name="Normal 9 3 16" xfId="14724" xr:uid="{C689F319-FBD2-4755-B21B-1055C5727A1D}"/>
    <cellStyle name="Normal 9 3 16 2" xfId="33587" xr:uid="{72ECD0CB-7980-4A3C-86E5-70DCD4D738C6}"/>
    <cellStyle name="Normal 9 3 16 3" xfId="33588" xr:uid="{3C302B9A-EECD-4907-AAAA-A845080DC0F7}"/>
    <cellStyle name="Normal 9 3 17" xfId="14725" xr:uid="{17AC75FE-4A59-4A03-A698-7E062A088ABC}"/>
    <cellStyle name="Normal 9 3 17 2" xfId="33589" xr:uid="{AAAB86D8-8DAE-434B-9B2A-4588AA768AD4}"/>
    <cellStyle name="Normal 9 3 17 3" xfId="33590" xr:uid="{6C002554-CF65-47D9-8F58-3306CB53B7E8}"/>
    <cellStyle name="Normal 9 3 2" xfId="14726" xr:uid="{36C9E86D-1DA2-44C6-A5D4-C667A26DB971}"/>
    <cellStyle name="Normal 9 3 2 2" xfId="14727" xr:uid="{C2E0FE93-88C8-4CBB-BC30-75AC3D86EC00}"/>
    <cellStyle name="Normal 9 3 3" xfId="14728" xr:uid="{E8173033-5711-4399-B3C3-1F9D6577AC8B}"/>
    <cellStyle name="Normal 9 3 4" xfId="14729" xr:uid="{8327F8C8-F173-4FBE-82E1-A2D7A7667595}"/>
    <cellStyle name="Normal 9 3 5" xfId="14730" xr:uid="{9CE622F7-BF26-409E-8ED9-A76157F802FA}"/>
    <cellStyle name="Normal 9 3 6" xfId="14731" xr:uid="{F9A78A78-9B8E-40B3-8A71-F5821B7F0A81}"/>
    <cellStyle name="Normal 9 3 7" xfId="14732" xr:uid="{64BEBA91-669B-4FD3-8A7A-7BDA9650283C}"/>
    <cellStyle name="Normal 9 3 8" xfId="14733" xr:uid="{BBBECF23-3189-4DCC-83E4-1228F681FD67}"/>
    <cellStyle name="Normal 9 3 8 2" xfId="14734" xr:uid="{19CFC7B6-15E0-4D74-B64C-89F63ECD24AF}"/>
    <cellStyle name="Normal 9 3 9" xfId="14735" xr:uid="{B98CFF94-CA83-4198-B71C-0C5ECDB743BD}"/>
    <cellStyle name="Normal 9 3 9 2" xfId="33591" xr:uid="{B09549AF-1D12-4103-AE7C-D756CD5FC830}"/>
    <cellStyle name="Normal 9 3 9 3" xfId="33592" xr:uid="{22973EA3-DBC5-4BC6-9414-2A1C29A2D891}"/>
    <cellStyle name="Normal 9 4" xfId="14736" xr:uid="{BEC04065-C262-48A0-B142-45E174F1DEDC}"/>
    <cellStyle name="Normal 9 4 2" xfId="14737" xr:uid="{7B071313-FB19-4E2A-AD48-9EC325F84322}"/>
    <cellStyle name="Normal 9 4 2 2" xfId="14738" xr:uid="{F5EBF847-0E98-4E92-840E-816519019657}"/>
    <cellStyle name="Normal 9 4 3" xfId="14739" xr:uid="{EE09E82C-5923-488E-804E-C3D744FAF0EF}"/>
    <cellStyle name="Normal 9 4 4" xfId="14740" xr:uid="{AA972032-1F8B-480C-9189-2F0DDF04A500}"/>
    <cellStyle name="Normal 9 4 5" xfId="14741" xr:uid="{F03D424E-1A1D-4E2F-B720-5429AB53EA11}"/>
    <cellStyle name="Normal 9 4 6" xfId="14742" xr:uid="{2AD6875C-4923-4D3A-BC2D-DAD98F9E36C3}"/>
    <cellStyle name="Normal 9 4 7" xfId="14743" xr:uid="{FC4E99D5-5F5A-4BD6-B218-64DEA928591C}"/>
    <cellStyle name="Normal 9 4 8" xfId="14744" xr:uid="{23F937DE-331F-42B2-A4B6-2901B8FC35E2}"/>
    <cellStyle name="Normal 9 4 8 2" xfId="14745" xr:uid="{FB293CB8-05DF-4E78-9E45-434F0BA52441}"/>
    <cellStyle name="Normal 9 5" xfId="14746" xr:uid="{C83D6814-2681-474F-BB6A-FB9CA8E930A7}"/>
    <cellStyle name="Normal 9 5 2" xfId="14747" xr:uid="{58CBD146-47B2-4B09-BCB7-C10AC2217F22}"/>
    <cellStyle name="Normal 9 5 2 2" xfId="14748" xr:uid="{08722BCE-A1E5-4C38-B127-F03FE7F90C8D}"/>
    <cellStyle name="Normal 9 5 3" xfId="14749" xr:uid="{294DD09D-F4D6-4F31-B1C6-51AD4FA61098}"/>
    <cellStyle name="Normal 9 5 4" xfId="14750" xr:uid="{4EBC41F1-65D5-498C-A3C7-5A8B7D92B98D}"/>
    <cellStyle name="Normal 9 5 5" xfId="14751" xr:uid="{2045CFDE-7AB9-4F7D-B3DB-51FF51E3195C}"/>
    <cellStyle name="Normal 9 5 6" xfId="14752" xr:uid="{FBB971FD-79C0-4A15-8B0F-928B19B9373C}"/>
    <cellStyle name="Normal 9 5 7" xfId="14753" xr:uid="{02A9B686-A76A-48A6-8D92-B08553FD2A31}"/>
    <cellStyle name="Normal 9 5 8" xfId="14754" xr:uid="{F4210CC7-3863-45A0-89BE-375F571988BE}"/>
    <cellStyle name="Normal 9 5 8 2" xfId="14755" xr:uid="{97546FFE-9E3B-46F1-88A2-FFA9DA5CEE1F}"/>
    <cellStyle name="Normal 9 6" xfId="14756" xr:uid="{1701F951-F779-4E32-984E-6864E5254237}"/>
    <cellStyle name="Normal 9 6 2" xfId="14757" xr:uid="{FF97B419-CB3A-4C53-B41F-CEE4C51F371D}"/>
    <cellStyle name="Normal 9 6 2 2" xfId="14758" xr:uid="{574EFCA9-D555-4348-BA44-6E88531F5873}"/>
    <cellStyle name="Normal 9 6 3" xfId="14759" xr:uid="{B4365488-89DC-450C-BD4D-6CA115680E30}"/>
    <cellStyle name="Normal 9 6 4" xfId="14760" xr:uid="{341A6419-3475-48AE-A46C-28D6394FD332}"/>
    <cellStyle name="Normal 9 6 5" xfId="14761" xr:uid="{3389A7D9-8D8A-4233-95C0-CBC65DA6C319}"/>
    <cellStyle name="Normal 9 6 6" xfId="14762" xr:uid="{CD823FAA-2BD5-453B-99A5-C12BAAF092FE}"/>
    <cellStyle name="Normal 9 6 7" xfId="14763" xr:uid="{7869A107-4DC0-49F4-8FE1-2ED93A7FB462}"/>
    <cellStyle name="Normal 9 6 8" xfId="14764" xr:uid="{DA8D0777-85C8-4B0F-9C3E-258E1945220E}"/>
    <cellStyle name="Normal 9 6 8 2" xfId="14765" xr:uid="{29B1EAA4-5B04-4B64-9651-86CAFF02C872}"/>
    <cellStyle name="Normal 9 7" xfId="14766" xr:uid="{1CA90AC0-FBBB-4EC6-B61A-92F519E23C35}"/>
    <cellStyle name="Normal 9 7 2" xfId="14767" xr:uid="{D878B52B-EE1B-4D55-B91E-CF6F34D26A22}"/>
    <cellStyle name="Normal 9 8" xfId="14768" xr:uid="{150E714C-AF97-4DD6-8C24-0340BC134DFD}"/>
    <cellStyle name="Normal 9 8 2" xfId="14769" xr:uid="{C400E743-C809-4F87-A5AA-E3929E9E8D3C}"/>
    <cellStyle name="Normal 9 9" xfId="14770" xr:uid="{780CF108-61F4-4F20-9463-7DC1216CB8A5}"/>
    <cellStyle name="Normal 9 9 2" xfId="14771" xr:uid="{3FCF4AA1-6354-452F-826B-BB9E1985FBE4}"/>
    <cellStyle name="Normal 9 9 3" xfId="33593" xr:uid="{7362FEF0-80BE-4B63-88F2-F58CB37989B6}"/>
    <cellStyle name="Normal GHG Numbers (0.00)" xfId="103" xr:uid="{85C82A2B-7176-4F4D-9671-D30D10B5B7D0}"/>
    <cellStyle name="Normal GHG Numbers (0.00) 10" xfId="14772" xr:uid="{FFA937CC-21ED-4D14-B299-CEDB33DE693F}"/>
    <cellStyle name="Normal GHG Numbers (0.00) 10 2" xfId="14773" xr:uid="{EB5C53F5-0BA8-44E5-B631-0F40A7880D66}"/>
    <cellStyle name="Normal GHG Numbers (0.00) 10 3" xfId="33594" xr:uid="{771D3C22-E4BD-48AA-A6B5-F30E42716086}"/>
    <cellStyle name="Normal GHG Numbers (0.00) 10 4" xfId="33595" xr:uid="{DB9A7F33-CF52-4693-8BB3-F52D1DB9C3A7}"/>
    <cellStyle name="Normal GHG Numbers (0.00) 11" xfId="14774" xr:uid="{C92C851D-9BE2-4BB3-805B-C9654AA51F7F}"/>
    <cellStyle name="Normal GHG Numbers (0.00) 11 2" xfId="33596" xr:uid="{F7B9099C-C2CC-4743-9237-B314E9184F60}"/>
    <cellStyle name="Normal GHG Numbers (0.00) 11 3" xfId="33597" xr:uid="{2CA3372F-66FC-4E03-9132-AB9132BD66E5}"/>
    <cellStyle name="Normal GHG Numbers (0.00) 12" xfId="14775" xr:uid="{96B86CA0-2FEF-4FF1-B79B-113E54F1CA79}"/>
    <cellStyle name="Normal GHG Numbers (0.00) 12 2" xfId="33598" xr:uid="{32407938-028E-4D15-B901-4A15E605AFD4}"/>
    <cellStyle name="Normal GHG Numbers (0.00) 13" xfId="33599" xr:uid="{FBEF3C66-1398-45AA-A197-4DDE3C8750F5}"/>
    <cellStyle name="Normal GHG Numbers (0.00) 14" xfId="33600" xr:uid="{9765CA8B-D065-4EFB-AE6A-411A372EEEAE}"/>
    <cellStyle name="Normal GHG Numbers (0.00) 15" xfId="33601" xr:uid="{C9247091-2FEF-4BEA-BEB1-5B65533B0356}"/>
    <cellStyle name="Normal GHG Numbers (0.00) 16" xfId="42986" xr:uid="{EF45C0A2-DA61-455F-9C97-D71D04640218}"/>
    <cellStyle name="Normal GHG Numbers (0.00) 2" xfId="14776" xr:uid="{1A459574-7A12-4EF3-B866-FBFF5D200533}"/>
    <cellStyle name="Normal GHG Numbers (0.00) 2 10" xfId="14777" xr:uid="{8AE3DED8-E432-41A3-ABD5-9EAF1380FDBB}"/>
    <cellStyle name="Normal GHG Numbers (0.00) 2 10 2" xfId="33602" xr:uid="{B11A741F-9921-4E6A-B07B-347DC5AE40CA}"/>
    <cellStyle name="Normal GHG Numbers (0.00) 2 11" xfId="33603" xr:uid="{8BF365FB-DC3C-4D1C-82F3-44381ADB9F33}"/>
    <cellStyle name="Normal GHG Numbers (0.00) 2 12" xfId="33604" xr:uid="{23EAF87F-E23C-4FCA-9A2C-4B8E65926B0F}"/>
    <cellStyle name="Normal GHG Numbers (0.00) 2 2" xfId="14778" xr:uid="{E7914162-2FAD-4D0B-B4A5-8E8E5929DB26}"/>
    <cellStyle name="Normal GHG Numbers (0.00) 2 2 2" xfId="14779" xr:uid="{089D262B-33FF-43F5-9095-22D275E16E7A}"/>
    <cellStyle name="Normal GHG Numbers (0.00) 2 2 2 2" xfId="33605" xr:uid="{13D4A903-0494-48F8-874C-4799530C0D9E}"/>
    <cellStyle name="Normal GHG Numbers (0.00) 2 2 2 3" xfId="33606" xr:uid="{34B2E5D3-40DA-4807-9386-DE601640C44F}"/>
    <cellStyle name="Normal GHG Numbers (0.00) 2 2 3" xfId="14780" xr:uid="{717005FE-5EF0-4D37-9BCE-68A866A750ED}"/>
    <cellStyle name="Normal GHG Numbers (0.00) 2 2 4" xfId="14781" xr:uid="{9A797BA7-4D7A-494E-9681-E14A8B3E85EA}"/>
    <cellStyle name="Normal GHG Numbers (0.00) 2 2 5" xfId="33607" xr:uid="{0EB8DBE1-0F80-429E-894A-9A96F888E29D}"/>
    <cellStyle name="Normal GHG Numbers (0.00) 2 3" xfId="14782" xr:uid="{3E55FA02-C681-49B9-9541-C30CFD1DCF7C}"/>
    <cellStyle name="Normal GHG Numbers (0.00) 2 3 2" xfId="14783" xr:uid="{B6724E6E-2907-4909-8A32-2C27D3D22966}"/>
    <cellStyle name="Normal GHG Numbers (0.00) 2 3 3" xfId="33608" xr:uid="{2AEAE98B-433A-46C3-9BD1-A332844BFA86}"/>
    <cellStyle name="Normal GHG Numbers (0.00) 2 3 4" xfId="33609" xr:uid="{2868069F-2940-44D7-8466-6BFF1C925702}"/>
    <cellStyle name="Normal GHG Numbers (0.00) 2 4" xfId="14784" xr:uid="{276F2A2D-CD7D-46CD-8BFC-8F7A58812ED3}"/>
    <cellStyle name="Normal GHG Numbers (0.00) 2 4 2" xfId="14785" xr:uid="{93D0750B-694E-4CC5-ABB4-559A7CCCAC5F}"/>
    <cellStyle name="Normal GHG Numbers (0.00) 2 4 3" xfId="33610" xr:uid="{1EC0F4D5-DF20-4817-8C4C-94A22AF54055}"/>
    <cellStyle name="Normal GHG Numbers (0.00) 2 4 4" xfId="33611" xr:uid="{A36B3C0C-9AE9-4995-9577-6200993AEBB2}"/>
    <cellStyle name="Normal GHG Numbers (0.00) 2 5" xfId="14786" xr:uid="{82E4C992-D105-48B9-9C52-13C2D5292A9A}"/>
    <cellStyle name="Normal GHG Numbers (0.00) 2 5 2" xfId="14787" xr:uid="{4AB2B587-878A-4F46-8E6F-D7D50970FBB3}"/>
    <cellStyle name="Normal GHG Numbers (0.00) 2 5 3" xfId="33612" xr:uid="{B0C734D2-66ED-46E0-BE85-B5D19D16B5FD}"/>
    <cellStyle name="Normal GHG Numbers (0.00) 2 5 4" xfId="33613" xr:uid="{1C90DA16-3CB6-4297-9881-F8C400E65C12}"/>
    <cellStyle name="Normal GHG Numbers (0.00) 2 6" xfId="14788" xr:uid="{743F628E-9EA9-4A37-B9C3-9A9162DEAB1F}"/>
    <cellStyle name="Normal GHG Numbers (0.00) 2 6 2" xfId="14789" xr:uid="{DED86A67-78EC-4EEF-9F78-4ACB73F2455F}"/>
    <cellStyle name="Normal GHG Numbers (0.00) 2 6 3" xfId="33614" xr:uid="{3C57A85B-8BFF-4A0D-9E66-8917BB69B3F5}"/>
    <cellStyle name="Normal GHG Numbers (0.00) 2 6 4" xfId="33615" xr:uid="{5558D00A-3646-4AD0-A0FB-1D49A44260CB}"/>
    <cellStyle name="Normal GHG Numbers (0.00) 2 7" xfId="14790" xr:uid="{04EEA36F-527B-4231-AE32-E9E5FF2F0D6C}"/>
    <cellStyle name="Normal GHG Numbers (0.00) 2 7 2" xfId="14791" xr:uid="{7C5F29E4-389D-4BAD-9E9E-C4CBAF35EA6D}"/>
    <cellStyle name="Normal GHG Numbers (0.00) 2 7 3" xfId="33616" xr:uid="{59D21DF9-B99B-4627-BDF8-CCAC98AADFE6}"/>
    <cellStyle name="Normal GHG Numbers (0.00) 2 7 4" xfId="33617" xr:uid="{F8EAB0F0-AC4D-4B60-87D6-FBACEB743BFE}"/>
    <cellStyle name="Normal GHG Numbers (0.00) 2 8" xfId="14792" xr:uid="{D55E0F82-248C-4AFA-B11C-C79A38193EF5}"/>
    <cellStyle name="Normal GHG Numbers (0.00) 2 8 2" xfId="14793" xr:uid="{3CD61119-DD98-40C2-81C5-856716F071D7}"/>
    <cellStyle name="Normal GHG Numbers (0.00) 2 8 3" xfId="33618" xr:uid="{78D6EC71-8B5D-458A-8D2E-94883086269B}"/>
    <cellStyle name="Normal GHG Numbers (0.00) 2 8 4" xfId="33619" xr:uid="{648D996F-EC1C-40F3-99B5-60AFB9BDBA52}"/>
    <cellStyle name="Normal GHG Numbers (0.00) 2 9" xfId="14794" xr:uid="{415213BA-C5A0-405C-883B-221B3EF8BFD5}"/>
    <cellStyle name="Normal GHG Numbers (0.00) 2 9 2" xfId="33620" xr:uid="{C873C720-D251-48FA-880E-798E4AAE6075}"/>
    <cellStyle name="Normal GHG Numbers (0.00) 2 9 3" xfId="33621" xr:uid="{F874FF73-0065-4086-B88B-83B9E752C4AC}"/>
    <cellStyle name="Normal GHG Numbers (0.00) 3" xfId="14795" xr:uid="{2BA2F3B4-9F04-491E-AB4D-F867F68EC936}"/>
    <cellStyle name="Normal GHG Numbers (0.00) 3 10" xfId="14796" xr:uid="{67EFE13D-8386-4E9A-A8C6-181D10BE5387}"/>
    <cellStyle name="Normal GHG Numbers (0.00) 3 10 2" xfId="33622" xr:uid="{330E7BD5-0C04-406C-9688-34DB308A541A}"/>
    <cellStyle name="Normal GHG Numbers (0.00) 3 11" xfId="33623" xr:uid="{C31494BC-C70C-4FC0-9B86-83DFAC3F335D}"/>
    <cellStyle name="Normal GHG Numbers (0.00) 3 12" xfId="33624" xr:uid="{68CEB6C9-8662-43D0-BB5D-4E71A53952E7}"/>
    <cellStyle name="Normal GHG Numbers (0.00) 3 13" xfId="44005" xr:uid="{B46F3D23-83B3-4DB0-9E94-28020A380A91}"/>
    <cellStyle name="Normal GHG Numbers (0.00) 3 14" xfId="45615" xr:uid="{4154D6D5-7FF9-44C5-83DD-64E5D3ECEC0C}"/>
    <cellStyle name="Normal GHG Numbers (0.00) 3 2" xfId="14797" xr:uid="{62EC6D70-9DE2-4554-8805-1F9578E2B3DD}"/>
    <cellStyle name="Normal GHG Numbers (0.00) 3 2 2" xfId="14798" xr:uid="{4753B9D1-8C05-4966-8B94-87EDEC883BAD}"/>
    <cellStyle name="Normal GHG Numbers (0.00) 3 2 2 2" xfId="44740" xr:uid="{0B113B7D-D6F1-4A7C-B803-F141351D3953}"/>
    <cellStyle name="Normal GHG Numbers (0.00) 3 2 2 2 2" xfId="44999" xr:uid="{5FD4512B-399F-4C23-8E94-7B6444EE8AF6}"/>
    <cellStyle name="Normal GHG Numbers (0.00) 3 2 2 2 3" xfId="44894" xr:uid="{78EE2747-C2C3-455E-A964-E65086DB80E4}"/>
    <cellStyle name="Normal GHG Numbers (0.00) 3 2 2 3" xfId="44527" xr:uid="{C1718497-8ADF-4C2F-B96D-2F469DBBD061}"/>
    <cellStyle name="Normal GHG Numbers (0.00) 3 2 2 4" xfId="44137" xr:uid="{28FAB249-6875-4645-AC14-2F7751AA7C64}"/>
    <cellStyle name="Normal GHG Numbers (0.00) 3 2 2 5" xfId="44897" xr:uid="{C594CE4F-1C2A-4A8C-A04C-03CC18C4E324}"/>
    <cellStyle name="Normal GHG Numbers (0.00) 3 2 3" xfId="14799" xr:uid="{BBB26B5B-AE1D-4E01-BB1F-F5DC9D6006F1}"/>
    <cellStyle name="Normal GHG Numbers (0.00) 3 2 3 2" xfId="44666" xr:uid="{D577E43C-0B9A-4697-B329-8D2C45643D26}"/>
    <cellStyle name="Normal GHG Numbers (0.00) 3 2 3 3" xfId="45237" xr:uid="{2FEF4111-AA27-4126-8767-F02A58AF4BA8}"/>
    <cellStyle name="Normal GHG Numbers (0.00) 3 2 3 4" xfId="45499" xr:uid="{CEB468FA-11E3-472F-89E4-63CA475B7931}"/>
    <cellStyle name="Normal GHG Numbers (0.00) 3 2 4" xfId="14800" xr:uid="{F7D20703-8714-40E1-84CE-9953A00999D0}"/>
    <cellStyle name="Normal GHG Numbers (0.00) 3 2 5" xfId="44387" xr:uid="{02FC2204-D629-44D0-8B85-3ABA05812FC3}"/>
    <cellStyle name="Normal GHG Numbers (0.00) 3 3" xfId="14801" xr:uid="{44182161-0A5F-4828-B911-F632BEEB91FA}"/>
    <cellStyle name="Normal GHG Numbers (0.00) 3 3 2" xfId="14802" xr:uid="{70CC9447-C42C-4D7C-9D3B-46B7C32D4A46}"/>
    <cellStyle name="Normal GHG Numbers (0.00) 3 3 2 2" xfId="44798" xr:uid="{3BD441ED-8A54-44B8-BD96-C5A1F81E23EC}"/>
    <cellStyle name="Normal GHG Numbers (0.00) 3 3 2 2 2" xfId="44460" xr:uid="{05F53C0B-9906-489B-A7B9-54D4C4BC4946}"/>
    <cellStyle name="Normal GHG Numbers (0.00) 3 3 2 2 3" xfId="45027" xr:uid="{B3407B1F-1488-475E-BA91-AEECD6BE2C28}"/>
    <cellStyle name="Normal GHG Numbers (0.00) 3 3 2 3" xfId="44585" xr:uid="{3AA7E462-AC3E-40FF-A866-F408A9D9E80D}"/>
    <cellStyle name="Normal GHG Numbers (0.00) 3 3 2 4" xfId="45149" xr:uid="{0B28DEB5-1202-4ECF-A926-7B2E8F113C33}"/>
    <cellStyle name="Normal GHG Numbers (0.00) 3 3 2 5" xfId="45441" xr:uid="{FB69715D-2BA7-486D-991A-8BEAA4FCAE9F}"/>
    <cellStyle name="Normal GHG Numbers (0.00) 3 3 3" xfId="33625" xr:uid="{CAAAF0B0-300A-47C7-8152-CB426CC0D132}"/>
    <cellStyle name="Normal GHG Numbers (0.00) 3 3 3 2" xfId="44696" xr:uid="{0891D180-CC0C-4078-9316-E92D2D29ACB3}"/>
    <cellStyle name="Normal GHG Numbers (0.00) 3 3 3 2 2" xfId="44386" xr:uid="{813EED08-396F-41C9-97D4-63D7A3494298}"/>
    <cellStyle name="Normal GHG Numbers (0.00) 3 3 3 2 3" xfId="45273" xr:uid="{565E8EA8-6F8A-42F6-A3D3-495E593A0688}"/>
    <cellStyle name="Normal GHG Numbers (0.00) 3 3 3 3" xfId="45229" xr:uid="{5B1F24A0-225A-4249-A37A-C2E064E7C2A3}"/>
    <cellStyle name="Normal GHG Numbers (0.00) 3 3 3 4" xfId="45493" xr:uid="{EF34A868-AADF-41AF-B751-F7D4F8F1414F}"/>
    <cellStyle name="Normal GHG Numbers (0.00) 3 3 4" xfId="33626" xr:uid="{ACA7E169-D978-4D52-AAD2-2F2EE0829B87}"/>
    <cellStyle name="Normal GHG Numbers (0.00) 3 3 4 2" xfId="44828" xr:uid="{11416139-55B7-403E-BDE2-3B91636EE2F3}"/>
    <cellStyle name="Normal GHG Numbers (0.00) 3 3 4 2 2" xfId="45383" xr:uid="{E39D0111-7150-4FB8-85B2-1AFDD1645154}"/>
    <cellStyle name="Normal GHG Numbers (0.00) 3 3 4 2 3" xfId="45597" xr:uid="{1198DA23-FE6B-498A-B7DA-7D85E661718E}"/>
    <cellStyle name="Normal GHG Numbers (0.00) 3 3 4 3" xfId="45240" xr:uid="{91DF0ABF-AB45-4C5C-B926-977806D13D78}"/>
    <cellStyle name="Normal GHG Numbers (0.00) 3 3 4 4" xfId="45501" xr:uid="{DCA2FF16-8284-4DBF-B85B-BBE2D4672F6A}"/>
    <cellStyle name="Normal GHG Numbers (0.00) 3 3 5" xfId="45266" xr:uid="{F9B795C0-C8B1-427A-B570-2B9628119E1C}"/>
    <cellStyle name="Normal GHG Numbers (0.00) 3 3 6" xfId="45515" xr:uid="{A841F371-2242-44C9-A472-88EB4F08D054}"/>
    <cellStyle name="Normal GHG Numbers (0.00) 3 4" xfId="14803" xr:uid="{2E84B5E6-9387-4381-8333-93AB5ABF4496}"/>
    <cellStyle name="Normal GHG Numbers (0.00) 3 4 2" xfId="14804" xr:uid="{4ECA6F58-FAFE-4713-BCE5-96C350266932}"/>
    <cellStyle name="Normal GHG Numbers (0.00) 3 4 3" xfId="33627" xr:uid="{E28F8D80-494B-42FC-84F8-943CE943C668}"/>
    <cellStyle name="Normal GHG Numbers (0.00) 3 4 4" xfId="33628" xr:uid="{B7356502-2570-405F-9624-2DE3617FAD7F}"/>
    <cellStyle name="Normal GHG Numbers (0.00) 3 4 5" xfId="44138" xr:uid="{27F4E8DC-6F0C-4087-9855-E9A201C1D233}"/>
    <cellStyle name="Normal GHG Numbers (0.00) 3 4 6" xfId="45647" xr:uid="{8D9882BD-6888-4109-8566-225F942AE726}"/>
    <cellStyle name="Normal GHG Numbers (0.00) 3 5" xfId="14805" xr:uid="{5A6C799E-B895-49DD-9458-882B826C8FC1}"/>
    <cellStyle name="Normal GHG Numbers (0.00) 3 5 2" xfId="14806" xr:uid="{B3E655BC-5936-4AC6-A91B-9C01B99C12DF}"/>
    <cellStyle name="Normal GHG Numbers (0.00) 3 5 3" xfId="33629" xr:uid="{BDEAB565-B3B8-444D-95D8-4C771910E5F1}"/>
    <cellStyle name="Normal GHG Numbers (0.00) 3 5 4" xfId="33630" xr:uid="{883669FD-15DA-45DA-B2E5-1CEA8FDF56F1}"/>
    <cellStyle name="Normal GHG Numbers (0.00) 3 6" xfId="14807" xr:uid="{0A708D79-C26C-4745-A442-0969AB29AF09}"/>
    <cellStyle name="Normal GHG Numbers (0.00) 3 6 2" xfId="14808" xr:uid="{D4D47206-7E65-4B78-B0F1-4D12C6F6655E}"/>
    <cellStyle name="Normal GHG Numbers (0.00) 3 6 3" xfId="33631" xr:uid="{BBDE4E53-FBEE-4D68-8E58-69D8FEB5C1DD}"/>
    <cellStyle name="Normal GHG Numbers (0.00) 3 6 4" xfId="33632" xr:uid="{B234311D-F0C9-40F9-A47F-A1ADFAA4E781}"/>
    <cellStyle name="Normal GHG Numbers (0.00) 3 7" xfId="14809" xr:uid="{43BAB4A2-444E-4415-8D70-809C0694EE0C}"/>
    <cellStyle name="Normal GHG Numbers (0.00) 3 7 2" xfId="14810" xr:uid="{65E86605-E41D-44C3-BDD4-BA3A35F916BF}"/>
    <cellStyle name="Normal GHG Numbers (0.00) 3 7 3" xfId="33633" xr:uid="{A54FCC96-6F28-4C8A-8BE8-06D91F44BCED}"/>
    <cellStyle name="Normal GHG Numbers (0.00) 3 7 4" xfId="33634" xr:uid="{991EBB55-309E-4F28-8947-B138797A27BD}"/>
    <cellStyle name="Normal GHG Numbers (0.00) 3 8" xfId="14811" xr:uid="{8ED8C1F9-DE75-47F3-AFF4-393782665B12}"/>
    <cellStyle name="Normal GHG Numbers (0.00) 3 8 2" xfId="14812" xr:uid="{AAE3DB46-C2D6-4A50-BD83-CE85375D63B2}"/>
    <cellStyle name="Normal GHG Numbers (0.00) 3 8 3" xfId="33635" xr:uid="{062333F4-F5A3-45EE-90BF-0366CE2505FF}"/>
    <cellStyle name="Normal GHG Numbers (0.00) 3 8 4" xfId="33636" xr:uid="{286454F4-A623-40D7-9718-06C969607F45}"/>
    <cellStyle name="Normal GHG Numbers (0.00) 3 9" xfId="14813" xr:uid="{2360D540-4DAA-4837-8C9D-F1915981D058}"/>
    <cellStyle name="Normal GHG Numbers (0.00) 3 9 2" xfId="33637" xr:uid="{431AC9AE-8D7C-45C9-9E77-B8298DFE2BD2}"/>
    <cellStyle name="Normal GHG Numbers (0.00) 3 9 3" xfId="33638" xr:uid="{385129B2-ACF9-4114-A9C5-37C7CC30FDCE}"/>
    <cellStyle name="Normal GHG Numbers (0.00) 4" xfId="14814" xr:uid="{875C1721-C08B-4194-8D9A-F4E6C7C6CBB1}"/>
    <cellStyle name="Normal GHG Numbers (0.00) 4 2" xfId="14815" xr:uid="{22A143BE-B468-4D2A-81F7-9AE81183ADDC}"/>
    <cellStyle name="Normal GHG Numbers (0.00) 4 2 2" xfId="33639" xr:uid="{DF7BC865-529F-4EF1-9FBC-7C0DA7066344}"/>
    <cellStyle name="Normal GHG Numbers (0.00) 4 2 3" xfId="33640" xr:uid="{81810A44-7C6A-41BB-A0DE-0ACA7009BFA8}"/>
    <cellStyle name="Normal GHG Numbers (0.00) 4 3" xfId="14816" xr:uid="{4F12FAC4-0175-4632-8446-B14AF76E297C}"/>
    <cellStyle name="Normal GHG Numbers (0.00) 4 3 2" xfId="33641" xr:uid="{549B410B-EAB9-4F1C-ADDC-D06FE88441C8}"/>
    <cellStyle name="Normal GHG Numbers (0.00) 4 4" xfId="14817" xr:uid="{D6751D90-1CDC-4FDD-8168-D7D6E8998EF7}"/>
    <cellStyle name="Normal GHG Numbers (0.00) 4 4 2" xfId="33642" xr:uid="{347933ED-9AD2-42FF-A032-904BF53F6571}"/>
    <cellStyle name="Normal GHG Numbers (0.00) 4 5" xfId="33643" xr:uid="{7DFEA1C1-583F-4730-A30C-A48131F08071}"/>
    <cellStyle name="Normal GHG Numbers (0.00) 4 6" xfId="33644" xr:uid="{590EAAA2-A8C5-4318-AD5A-504C27B4F99B}"/>
    <cellStyle name="Normal GHG Numbers (0.00) 5" xfId="14818" xr:uid="{05E875AD-5362-41A3-A9E6-F8F17144BE85}"/>
    <cellStyle name="Normal GHG Numbers (0.00) 5 2" xfId="14819" xr:uid="{C1A792A7-FD34-4821-B5BC-73809B5D35BF}"/>
    <cellStyle name="Normal GHG Numbers (0.00) 5 3" xfId="33645" xr:uid="{FB9EA6F3-82D3-490F-B285-CF3D47578765}"/>
    <cellStyle name="Normal GHG Numbers (0.00) 5 4" xfId="33646" xr:uid="{D60C1972-75A4-4AA1-8CFF-034517472275}"/>
    <cellStyle name="Normal GHG Numbers (0.00) 6" xfId="14820" xr:uid="{9DF489A0-8858-4B22-9E34-6BCA7DBA715E}"/>
    <cellStyle name="Normal GHG Numbers (0.00) 6 2" xfId="14821" xr:uid="{0BDE8E8A-5E24-41DC-BEE4-E8A9B044542F}"/>
    <cellStyle name="Normal GHG Numbers (0.00) 6 3" xfId="33647" xr:uid="{570B4922-F306-4725-8FA3-128794AA1A98}"/>
    <cellStyle name="Normal GHG Numbers (0.00) 6 4" xfId="33648" xr:uid="{505C48E2-CC71-4555-8BBE-3D7026FFE56F}"/>
    <cellStyle name="Normal GHG Numbers (0.00) 7" xfId="14822" xr:uid="{0675AD56-0243-412E-AEBA-1F118D37D13F}"/>
    <cellStyle name="Normal GHG Numbers (0.00) 7 2" xfId="14823" xr:uid="{B9E464A1-C60E-401E-BEF7-BA24F04D60FC}"/>
    <cellStyle name="Normal GHG Numbers (0.00) 7 3" xfId="33649" xr:uid="{A392542A-87B1-4F0C-BEC8-FCE171A10D7A}"/>
    <cellStyle name="Normal GHG Numbers (0.00) 7 4" xfId="33650" xr:uid="{120C5E23-FD0A-4655-97C3-666BB9BBC3C0}"/>
    <cellStyle name="Normal GHG Numbers (0.00) 8" xfId="14824" xr:uid="{9753E6D5-D781-4489-89C3-74713538DAA5}"/>
    <cellStyle name="Normal GHG Numbers (0.00) 8 2" xfId="14825" xr:uid="{3DEB6729-BFA7-4D2D-AB5F-30A269C91745}"/>
    <cellStyle name="Normal GHG Numbers (0.00) 8 3" xfId="33651" xr:uid="{1668662D-6CB7-4656-A574-3D2072A91F23}"/>
    <cellStyle name="Normal GHG Numbers (0.00) 8 4" xfId="33652" xr:uid="{655E12CB-C830-4FD1-8EF3-E4EE20548C42}"/>
    <cellStyle name="Normal GHG Numbers (0.00) 9" xfId="14826" xr:uid="{D7C952CB-9D29-4A19-84D4-D803334760E6}"/>
    <cellStyle name="Normal GHG Numbers (0.00) 9 2" xfId="14827" xr:uid="{33EDEB50-805B-42C8-9A11-E0B24E4C13F5}"/>
    <cellStyle name="Normal GHG Numbers (0.00) 9 3" xfId="33653" xr:uid="{B042BA0A-CF18-4BA1-9CA5-D8EF8D65E157}"/>
    <cellStyle name="Normal GHG Numbers (0.00) 9 4" xfId="33654" xr:uid="{BE00D2E5-1C60-49F1-B656-879BE21FD44C}"/>
    <cellStyle name="Normal GHG Textfiels Bold" xfId="14828" xr:uid="{AF7A5BB4-90D0-4F53-91FC-1F26DCA6BB4C}"/>
    <cellStyle name="Normal GHG Textfiels Bold 2" xfId="44139" xr:uid="{2F3E63E3-8F2F-4136-A5CD-A81A9901A01A}"/>
    <cellStyle name="Normal GHG Textfiels Bold 3" xfId="44140" xr:uid="{4041E28F-A4A0-492C-84BE-B58493403D91}"/>
    <cellStyle name="Normal GHG Textfiels Bold 3 2" xfId="44388" xr:uid="{D82340E0-3321-4C3F-A06E-E800A5BA126A}"/>
    <cellStyle name="Normal GHG Textfiels Bold 3 2 2" xfId="44473" xr:uid="{1EEEFA28-1B28-47AF-BCFF-F7A82FFD4584}"/>
    <cellStyle name="Normal GHG Textfiels Bold 3 2 2 2" xfId="44684" xr:uid="{0B777006-790D-4F26-9FCF-FF4CE4F7F274}"/>
    <cellStyle name="Normal GHG Textfiels Bold 3 2 2 2 2" xfId="44965" xr:uid="{E0A2F119-28A4-4F8F-8529-1ED69570EC14}"/>
    <cellStyle name="Normal GHG Textfiels Bold 3 2 2 2 3" xfId="45128" xr:uid="{1CDAEB24-5EB3-4B0B-8E1B-2BC89BE1F2C6}"/>
    <cellStyle name="Normal GHG Textfiels Bold 3 2 2 3" xfId="45173" xr:uid="{963AF6C4-36B2-4CCC-A92F-E5FFCA593A54}"/>
    <cellStyle name="Normal GHG Textfiels Bold 3 2 2 4" xfId="45458" xr:uid="{F54B4CFE-BFFD-4E99-8C62-C16F7D4AC843}"/>
    <cellStyle name="Normal GHG Textfiels Bold 3 2 3" xfId="44667" xr:uid="{54866FE1-E521-408C-9E10-385ABFC18C82}"/>
    <cellStyle name="Normal GHG Textfiels Bold 3 2 3 2" xfId="45264" xr:uid="{E67EA2BD-59E2-48FD-8AC6-8C5C7F34316B}"/>
    <cellStyle name="Normal GHG Textfiels Bold 3 2 3 3" xfId="45513" xr:uid="{6892DC5A-5042-4C49-9670-874B2B44C9BB}"/>
    <cellStyle name="Normal GHG Textfiels Bold 3 3" xfId="44320" xr:uid="{F31EBAD9-44BC-45F9-9A43-5B3331619182}"/>
    <cellStyle name="Normal GHG Textfiels Bold 3 3 2" xfId="44586" xr:uid="{3438F52D-E6F8-4543-8851-E458918B8999}"/>
    <cellStyle name="Normal GHG Textfiels Bold 3 3 2 2" xfId="44799" xr:uid="{4DD38FA6-446B-4F95-BE5D-9767945E0FFF}"/>
    <cellStyle name="Normal GHG Textfiels Bold 3 3 2 2 2" xfId="44867" xr:uid="{31DC77E4-6B02-4248-A5DA-F83C65A3329E}"/>
    <cellStyle name="Normal GHG Textfiels Bold 3 3 2 2 3" xfId="44425" xr:uid="{71768C5D-735B-4F64-BE94-2913F0F0C444}"/>
    <cellStyle name="Normal GHG Textfiels Bold 3 3 2 3" xfId="45017" xr:uid="{7BAC9A58-7CA6-4D88-831B-7CC97ACEC52E}"/>
    <cellStyle name="Normal GHG Textfiels Bold 3 3 2 4" xfId="45287" xr:uid="{ABD3FBFC-5709-41E8-A08F-1A6D99B8F81D}"/>
    <cellStyle name="Normal GHG Textfiels Bold 3 3 3" xfId="44530" xr:uid="{3C580BF4-8D81-4B16-9F35-1BB8319EB6C0}"/>
    <cellStyle name="Normal GHG Textfiels Bold 3 3 3 2" xfId="44743" xr:uid="{0A2E0F9C-9300-4C51-8438-D7D9A611C031}"/>
    <cellStyle name="Normal GHG Textfiels Bold 3 3 3 2 2" xfId="45365" xr:uid="{B6C80E93-B305-4A6D-9ED8-B0CBE4E41B89}"/>
    <cellStyle name="Normal GHG Textfiels Bold 3 3 3 2 3" xfId="45584" xr:uid="{DB025510-8553-49D6-87B6-4BFCB548A215}"/>
    <cellStyle name="Normal GHG Textfiels Bold 3 3 3 3" xfId="45361" xr:uid="{F5E39C52-2169-4519-954D-E90770AEC9C3}"/>
    <cellStyle name="Normal GHG Textfiels Bold 3 3 3 4" xfId="45580" xr:uid="{A3DBA9B7-584D-4402-AE90-28AB2B1020CC}"/>
    <cellStyle name="Normal GHG Textfiels Bold 3 3 4" xfId="44506" xr:uid="{B8ADE38F-B05D-4D33-BA89-130AD07E4E64}"/>
    <cellStyle name="Normal GHG Textfiels Bold 3 3 4 2" xfId="44718" xr:uid="{041805A2-4FDE-41D3-ACA9-0585212BC2F5}"/>
    <cellStyle name="Normal GHG Textfiels Bold 3 3 4 2 2" xfId="44112" xr:uid="{ECBDC309-60CA-4C88-8649-B175BB28777C}"/>
    <cellStyle name="Normal GHG Textfiels Bold 3 3 4 2 3" xfId="45083" xr:uid="{CC64D28E-415C-4D52-8350-DD11002F7579}"/>
    <cellStyle name="Normal GHG Textfiels Bold 3 3 4 3" xfId="45200" xr:uid="{CB33A34F-3034-4872-9399-73735A43283F}"/>
    <cellStyle name="Normal GHG Textfiels Bold 3 3 4 4" xfId="45474" xr:uid="{46795336-F56C-484A-9853-11FBB43101A8}"/>
    <cellStyle name="Normal GHG Textfiels Bold 3 3 5" xfId="45099" xr:uid="{C4E0A625-9A8B-4EC1-B070-8FF112515BEA}"/>
    <cellStyle name="Normal GHG Textfiels Bold 3 3 6" xfId="45412" xr:uid="{50878FC8-225B-4291-BF37-E5BDF3F302A5}"/>
    <cellStyle name="Normal GHG whole table" xfId="104" xr:uid="{7C577297-8524-4AD8-9546-47EFB255EEA2}"/>
    <cellStyle name="Normal GHG whole table 2" xfId="14829" xr:uid="{2A3B494B-E397-4CB0-B8B3-26D5491A4005}"/>
    <cellStyle name="Normal GHG whole table 2 2" xfId="33655" xr:uid="{3D101A29-8A9A-4578-A19D-E79DF949A646}"/>
    <cellStyle name="Normal GHG whole table 2 2 2" xfId="33656" xr:uid="{C4680B2E-B1D9-4E49-B0CC-1EEF1122C7B2}"/>
    <cellStyle name="Normal GHG whole table 2 2 2 2" xfId="44911" xr:uid="{14E179BA-211C-46A3-B091-C5DA42B1406B}"/>
    <cellStyle name="Normal GHG whole table 2 2 2 3" xfId="45116" xr:uid="{72DF12DC-5C03-4361-AC4C-EA0BAB7F1072}"/>
    <cellStyle name="Normal GHG whole table 2 2 3" xfId="44237" xr:uid="{0CDEE173-989E-43C0-A062-F9C3BD04F9DD}"/>
    <cellStyle name="Normal GHG whole table 2 2 4" xfId="44270" xr:uid="{584D23B3-FA10-4757-9E3B-72519FAD74EE}"/>
    <cellStyle name="Normal GHG whole table 2 3" xfId="33657" xr:uid="{EC05EB6A-8302-4844-BA21-C0898A1EBA18}"/>
    <cellStyle name="Normal GHG whole table 2 3 2" xfId="45097" xr:uid="{0C4DB740-5705-4EE9-B640-0EC77133CF61}"/>
    <cellStyle name="Normal GHG whole table 2 3 3" xfId="45410" xr:uid="{4E6C8D69-639C-4D2D-83AE-5070453EF3AF}"/>
    <cellStyle name="Normal GHG whole table 2 4" xfId="44389" xr:uid="{C4FAAAB8-35A0-43F5-B471-2432BDBF6979}"/>
    <cellStyle name="Normal GHG whole table 3" xfId="14830" xr:uid="{80D379F4-C1DA-472B-8BF0-E3A1B6C8D471}"/>
    <cellStyle name="Normal GHG whole table 3 2" xfId="33658" xr:uid="{1F578D91-1783-4A0B-BD2D-D4158BEAFE2F}"/>
    <cellStyle name="Normal GHG whole table 3 2 2" xfId="44778" xr:uid="{32EE5B45-7E7C-4F9A-9CD1-63AED8807556}"/>
    <cellStyle name="Normal GHG whole table 3 2 2 2" xfId="45268" xr:uid="{F1C98C88-6AD3-4543-9B9A-C107D60AAA18}"/>
    <cellStyle name="Normal GHG whole table 3 2 2 3" xfId="45517" xr:uid="{342D30C2-F819-4681-A24B-0C07E45BF106}"/>
    <cellStyle name="Normal GHG whole table 3 2 3" xfId="45134" xr:uid="{08DE7241-4A5E-4585-A61F-718D156ED306}"/>
    <cellStyle name="Normal GHG whole table 3 2 4" xfId="45432" xr:uid="{2800BA79-1330-46A6-B84F-B8D1807CAFFC}"/>
    <cellStyle name="Normal GHG whole table 3 3" xfId="44488" xr:uid="{B2B12DFC-AC95-4946-A9A5-1C584E5E0354}"/>
    <cellStyle name="Normal GHG whole table 3 3 2" xfId="44700" xr:uid="{FDB8969F-C659-45BB-9F1A-9D34A4054D8B}"/>
    <cellStyle name="Normal GHG whole table 3 3 2 2" xfId="44888" xr:uid="{029ED4B5-EF65-43D3-AC86-FF5BE1A0288C}"/>
    <cellStyle name="Normal GHG whole table 3 3 2 3" xfId="44942" xr:uid="{7BDBB2D9-44A7-4F13-A63E-D033EF7AE83A}"/>
    <cellStyle name="Normal GHG whole table 3 3 3" xfId="45112" xr:uid="{B0E9D73C-D34C-4B6B-B67E-7D110A412D35}"/>
    <cellStyle name="Normal GHG whole table 3 3 4" xfId="45420" xr:uid="{830C08FA-6A55-49C1-80DC-889BCFEA7C49}"/>
    <cellStyle name="Normal GHG whole table 3 4" xfId="44573" xr:uid="{7CD70182-BAF6-476D-9366-750600181953}"/>
    <cellStyle name="Normal GHG whole table 3 4 2" xfId="44786" xr:uid="{5320BAEB-74E8-409F-B3C6-66ABAA1A9D92}"/>
    <cellStyle name="Normal GHG whole table 3 4 2 2" xfId="45265" xr:uid="{F6FF4934-1D9B-40F3-A4A2-5A5CCCE29F9D}"/>
    <cellStyle name="Normal GHG whole table 3 4 2 3" xfId="45514" xr:uid="{858EE1E0-393E-40AA-9722-162AE91912AA}"/>
    <cellStyle name="Normal GHG whole table 3 4 3" xfId="44739" xr:uid="{7C82A05B-FE56-4626-8132-B3E301664B90}"/>
    <cellStyle name="Normal GHG whole table 3 4 4" xfId="44288" xr:uid="{6ED0BC90-4E1E-48B6-AA87-A2F4D4FBDFF8}"/>
    <cellStyle name="Normal GHG whole table 3 5" xfId="45041" xr:uid="{C540B8FA-95E1-4D55-B3A8-859D368FDE73}"/>
    <cellStyle name="Normal GHG whole table 3 6" xfId="44957" xr:uid="{698FC96E-FEFD-4535-BE89-1C4BBF514775}"/>
    <cellStyle name="Normal GHG whole table 4" xfId="14831" xr:uid="{0A24457A-7040-40AF-A1AA-91A31975D546}"/>
    <cellStyle name="Normal GHG whole table 4 2" xfId="33659" xr:uid="{AFD54AF4-A911-4C19-A8C1-A29E832F2E0B}"/>
    <cellStyle name="Normal GHG whole table 4 3" xfId="44046" xr:uid="{5612A941-384A-47B1-AC8C-920A1F4EED50}"/>
    <cellStyle name="Normal GHG whole table 4 4" xfId="45634" xr:uid="{3E91F947-285B-4599-BE13-A669DBFBC509}"/>
    <cellStyle name="Normal GHG whole table 5" xfId="33660" xr:uid="{6F366C9E-DD43-4A57-90F9-F5E0DE19082F}"/>
    <cellStyle name="Normal GHG whole table 6" xfId="33661" xr:uid="{D9CA0A9F-5C31-419C-AE9F-E08EF89F0ED7}"/>
    <cellStyle name="Normal GHG whole table 7" xfId="42987" xr:uid="{90C62442-0F85-4AC5-A931-2B686F8D5775}"/>
    <cellStyle name="Normal GHG whole table 8" xfId="45605" xr:uid="{2BDB7BC2-F13A-43EC-AAF4-54016DE3D78E}"/>
    <cellStyle name="Normal GHG-Shade" xfId="105" xr:uid="{37210CCD-D5F2-4071-ACF7-741BEDECC8CB}"/>
    <cellStyle name="Normal GHG-Shade 2" xfId="14832" xr:uid="{FE1A8DAB-D9A6-4066-ABAA-5C0ABA3360E1}"/>
    <cellStyle name="Normal GHG-Shade 2 2" xfId="33662" xr:uid="{25E2A106-A053-4F46-AD1A-35BB2CC94B46}"/>
    <cellStyle name="Normal GHG-Shade 2 2 2" xfId="44141" xr:uid="{F3E8B0C3-1778-4A0A-B6C7-5AE78D8426DC}"/>
    <cellStyle name="Normal GHG-Shade 2 3" xfId="44142" xr:uid="{D82A2465-1718-4498-8A3E-61B3992269E4}"/>
    <cellStyle name="Normal GHG-Shade 2 4" xfId="44168" xr:uid="{D9CCEF6E-4D2B-456D-B371-41D07D2ED599}"/>
    <cellStyle name="Normal GHG-Shade 2 5" xfId="44321" xr:uid="{9BF946AD-B505-4D19-BFF0-038E80F284A6}"/>
    <cellStyle name="Normal GHG-Shade 3" xfId="14833" xr:uid="{8F890285-73EE-45FC-A672-C34B4B1FBD79}"/>
    <cellStyle name="Normal GHG-Shade 3 2" xfId="44143" xr:uid="{C921EEB2-E420-4706-A5E9-401258B3C385}"/>
    <cellStyle name="Normal GHG-Shade 4" xfId="33663" xr:uid="{63C361E3-E8FB-4E37-A84B-7F206B5E1C71}"/>
    <cellStyle name="Normal GHG-Shade 4 2" xfId="44390" xr:uid="{0E739565-3F33-470F-A4CD-E27475F612C8}"/>
    <cellStyle name="Normal GHG-Shade 4 3" xfId="44144" xr:uid="{EE3199CE-B8C9-4BBD-BA61-9993D1E5A506}"/>
    <cellStyle name="Normál_C3EM_v2" xfId="14834" xr:uid="{4DE7FA11-7A91-455D-93A7-718907E61023}"/>
    <cellStyle name="Normale 2" xfId="14835" xr:uid="{10D3CA41-649E-4C92-98B3-7B694174CA7E}"/>
    <cellStyle name="Normale 2 2" xfId="14836" xr:uid="{4F4B2DD8-070C-430C-895F-2C4C1B189CAF}"/>
    <cellStyle name="Normale 2 2 2" xfId="14837" xr:uid="{7E4F9274-2E06-416F-AB26-D812523C1E39}"/>
    <cellStyle name="Normale 2 2 2 2" xfId="14838" xr:uid="{9A098F9A-4997-44C0-93B8-44DE934E6FF8}"/>
    <cellStyle name="Normale 2 2 2 2 2" xfId="33664" xr:uid="{7FD02000-2518-4FE6-B6F2-5AE6E8007CD8}"/>
    <cellStyle name="Normale 2 3" xfId="45911" xr:uid="{CFB5C064-AAE2-40B2-BAFA-218C556CE092}"/>
    <cellStyle name="Normale 3" xfId="14839" xr:uid="{4C00E16F-57CB-4FFA-B9E4-699C074FBD9A}"/>
    <cellStyle name="Normale 3 2" xfId="14840" xr:uid="{2CE8FE2A-DE33-4EA7-B28F-60F38A86C56F}"/>
    <cellStyle name="Normale 3 2 2" xfId="14841" xr:uid="{B7A28361-83B7-44E9-A76D-48AD94FCBC0B}"/>
    <cellStyle name="Normale 3 2 2 2" xfId="33665" xr:uid="{4E42061C-1759-451C-99B5-8465082536AA}"/>
    <cellStyle name="Normale 3 2 3" xfId="14842" xr:uid="{724FB66B-E93A-4621-813B-570AED7BB7C9}"/>
    <cellStyle name="Normale 3 2 4" xfId="14843" xr:uid="{CC606412-4107-4CD6-A9B4-15C1B3870FF0}"/>
    <cellStyle name="Normale 3 3" xfId="14844" xr:uid="{2C59E473-64D8-496C-8B9B-D3200BAC8357}"/>
    <cellStyle name="Normale 3 3 2" xfId="14845" xr:uid="{7F60305C-35B9-40F8-98C9-74F6F2B01ACE}"/>
    <cellStyle name="Normale 3 3 3" xfId="14846" xr:uid="{2BD449C0-71DB-4FFE-87D0-12C148FE581A}"/>
    <cellStyle name="Normale 3 4" xfId="14847" xr:uid="{670692D9-2DF4-49B6-AEB7-741DC922796B}"/>
    <cellStyle name="Normale 3 4 2" xfId="33666" xr:uid="{333D5876-7AEB-403E-932D-8C042E68A3E8}"/>
    <cellStyle name="Normale 3 5" xfId="14848" xr:uid="{CEA15BC5-1C1D-42E8-8F75-6AE62C343714}"/>
    <cellStyle name="Normale 3 6" xfId="45908" xr:uid="{E85D2988-FED9-4007-AFB0-5BD540320595}"/>
    <cellStyle name="Normale 4" xfId="14849" xr:uid="{474AAC02-AC48-4E24-9103-CE89CD75CF56}"/>
    <cellStyle name="Normale 4 2" xfId="14850" xr:uid="{E36EFDE7-10E9-4542-8C48-802C7798A7DD}"/>
    <cellStyle name="Normale 4 3" xfId="14851" xr:uid="{76A6B415-92CD-4B60-99D1-53D3C49CA393}"/>
    <cellStyle name="Normale 4 4" xfId="14852" xr:uid="{0C597000-1031-4C0C-8235-3A331F5FC56B}"/>
    <cellStyle name="Normale 4 5" xfId="14853" xr:uid="{61241277-B262-4073-85BC-3E33DBA346EF}"/>
    <cellStyle name="Normale 4 6" xfId="14854" xr:uid="{29002A31-0F3A-4528-A258-52F0F1FF5686}"/>
    <cellStyle name="Normale 5" xfId="14855" xr:uid="{C8036F29-2EED-4918-8943-D9D5186BA98F}"/>
    <cellStyle name="Normale 5 2" xfId="14856" xr:uid="{0F9F3276-E3DB-4BD3-85D3-E6B15759753E}"/>
    <cellStyle name="Normale 5 3" xfId="14857" xr:uid="{58C7E21E-4CA1-4C41-9ED6-D4E520661711}"/>
    <cellStyle name="Normale 5 4" xfId="14858" xr:uid="{54B6A5AF-D5C8-45BD-9DD9-4323F2BA4E2C}"/>
    <cellStyle name="Normale 5 5" xfId="33667" xr:uid="{08B29740-AC06-4804-B1CF-0D43F622B583}"/>
    <cellStyle name="Normale 54" xfId="14859" xr:uid="{22CEB370-702E-4A8F-A01D-E6F86EBC9BCD}"/>
    <cellStyle name="Normale 6" xfId="14860" xr:uid="{5C389D93-333A-43CE-9493-D0B35FC7820E}"/>
    <cellStyle name="Normale 6 2" xfId="14861" xr:uid="{18106509-3681-4482-AC2B-0851E2151E5A}"/>
    <cellStyle name="Normale 60" xfId="14862" xr:uid="{E10625B5-5B65-4EA6-A507-6489CEA44D56}"/>
    <cellStyle name="Normale 64" xfId="14863" xr:uid="{85902E5A-D5ED-4A46-8960-769BAFC272D9}"/>
    <cellStyle name="Normale 65" xfId="14864" xr:uid="{E776F2AE-04EC-43DC-9179-1432070210C0}"/>
    <cellStyle name="Normale 7" xfId="45770" xr:uid="{C5BCBD40-A050-449B-8AA2-89481B91FDD0}"/>
    <cellStyle name="Normale_B2020" xfId="45783" xr:uid="{F453A1D8-F9FF-4F02-A397-52EB15EBEBBE}"/>
    <cellStyle name="normální_List1" xfId="14865" xr:uid="{A796C9E4-26BF-4B93-8BA3-3A0006573423}"/>
    <cellStyle name="Nota" xfId="14866" xr:uid="{92A571F3-FB20-4B7B-AF94-D00150440CF2}"/>
    <cellStyle name="Nota 10" xfId="14867" xr:uid="{3DDB4D51-8975-4C08-AD82-332C12DA7E49}"/>
    <cellStyle name="Nota 11" xfId="14868" xr:uid="{308A6924-4E78-41E4-871F-CDC2B97ACCCE}"/>
    <cellStyle name="Nota 2" xfId="14869" xr:uid="{BBB22B94-0660-424B-BF10-7C3404868ABB}"/>
    <cellStyle name="Nota 2 2" xfId="14870" xr:uid="{134B74CA-0979-465A-B6B2-B5BE6E5D968F}"/>
    <cellStyle name="Nota 2 3" xfId="14871" xr:uid="{4B3589E6-A6A9-4A4B-80B2-F781F8F37D18}"/>
    <cellStyle name="Nota 2 4" xfId="33668" xr:uid="{B2B48966-868F-4936-8F41-0BBD601E8119}"/>
    <cellStyle name="Nota 3" xfId="14872" xr:uid="{1D54F015-E472-42C9-9088-0E692AF0A4C7}"/>
    <cellStyle name="Nota 3 2" xfId="14873" xr:uid="{9A8DFCD0-680F-43B0-B1DD-12F1EEB56BE6}"/>
    <cellStyle name="Nota 3 3" xfId="33669" xr:uid="{91C465C3-2C54-49AF-8CCF-C20831B43F20}"/>
    <cellStyle name="Nota 3 4" xfId="33670" xr:uid="{B54AEFD6-BC08-4236-9022-4F83D3E69E46}"/>
    <cellStyle name="Nota 4" xfId="14874" xr:uid="{47CA48F8-4D70-4B93-88AA-352F7C89D970}"/>
    <cellStyle name="Nota 4 2" xfId="14875" xr:uid="{EF9B04E3-E510-4705-9FCD-0E0FF44CFD8E}"/>
    <cellStyle name="Nota 4 3" xfId="33671" xr:uid="{6CB919CC-60EC-4651-9CDF-B4A6FB3080F8}"/>
    <cellStyle name="Nota 4 4" xfId="33672" xr:uid="{E09FE5C1-8727-4985-BD6C-5F8031620511}"/>
    <cellStyle name="Nota 5" xfId="14876" xr:uid="{7A90856D-CAAD-4188-BEC5-542A6BE9ACDB}"/>
    <cellStyle name="Nota 5 2" xfId="14877" xr:uid="{8EAFB19A-7E2D-4912-A37E-D3348B0250F4}"/>
    <cellStyle name="Nota 5 3" xfId="33673" xr:uid="{FBA343B5-B89E-4FF4-9927-D397071FCDA3}"/>
    <cellStyle name="Nota 5 4" xfId="33674" xr:uid="{39069C54-2F7F-4F03-87EF-4F7957758DA3}"/>
    <cellStyle name="Nota 6" xfId="14878" xr:uid="{389B523C-24B0-4919-BDA9-C957A4C7CC6D}"/>
    <cellStyle name="Nota 6 2" xfId="14879" xr:uid="{3DABA5B9-3D69-402D-A5D8-25B15D851798}"/>
    <cellStyle name="Nota 6 3" xfId="33675" xr:uid="{4ECC2A05-9328-4532-BA72-647E075340A3}"/>
    <cellStyle name="Nota 6 4" xfId="33676" xr:uid="{B4BFA3EC-8D1E-47B1-8810-FC32C8575D7F}"/>
    <cellStyle name="Nota 7" xfId="14880" xr:uid="{DC9342D9-8F74-4F14-9DBC-29416D452749}"/>
    <cellStyle name="Nota 7 2" xfId="14881" xr:uid="{A89B3446-D1CB-409E-BF87-91D3839DE129}"/>
    <cellStyle name="Nota 7 3" xfId="33677" xr:uid="{D8B865F1-5732-49AF-9B2C-F4ECAFACA091}"/>
    <cellStyle name="Nota 7 4" xfId="33678" xr:uid="{B8844320-364E-4333-BB70-5C2C644B9FD5}"/>
    <cellStyle name="Nota 8" xfId="14882" xr:uid="{75E0EDCE-DA11-4080-AA47-7916EC8A3342}"/>
    <cellStyle name="Nota 8 2" xfId="14883" xr:uid="{3889FCD9-9820-4CF8-B8B0-4192E9B0F5E6}"/>
    <cellStyle name="Nota 8 3" xfId="33679" xr:uid="{43CA3191-A094-410E-9FCF-868169F44F87}"/>
    <cellStyle name="Nota 8 4" xfId="33680" xr:uid="{4934D6D3-42FC-4982-8CA1-8F2AAF89E586}"/>
    <cellStyle name="Nota 9" xfId="14884" xr:uid="{5EB3F61E-DA4B-4854-9CF1-880301436F98}"/>
    <cellStyle name="Note 10" xfId="14885" xr:uid="{A913FC31-57FC-44C4-A632-6B50DFA75B43}"/>
    <cellStyle name="Note 10 10" xfId="14886" xr:uid="{C5D17A5F-9CEA-43E3-A290-A69D9E05EBEC}"/>
    <cellStyle name="Note 10 10 2" xfId="33681" xr:uid="{ED0B5F08-814D-413F-AE14-A669087EE2AF}"/>
    <cellStyle name="Note 10 11" xfId="14887" xr:uid="{A805DE45-D235-42FF-964A-A8EC31FE5899}"/>
    <cellStyle name="Note 10 11 2" xfId="33682" xr:uid="{D52764F3-BF23-4C27-9DA0-0ECCC25BC574}"/>
    <cellStyle name="Note 10 12" xfId="33683" xr:uid="{A8CDC252-C8FB-4AE5-94D5-7193E4BF5F55}"/>
    <cellStyle name="Note 10 13" xfId="33684" xr:uid="{DAAFC37B-4773-4EF6-B9B4-E75227E543AB}"/>
    <cellStyle name="Note 10 2" xfId="14888" xr:uid="{3B882046-7F61-4F35-9A95-3003F9D1B7FD}"/>
    <cellStyle name="Note 10 2 10" xfId="14889" xr:uid="{3ABA00E0-38F0-4CEF-B217-AA89D884DC63}"/>
    <cellStyle name="Note 10 2 10 2" xfId="33685" xr:uid="{AEE90FE2-EACD-4BAC-B123-DF529FB5F867}"/>
    <cellStyle name="Note 10 2 11" xfId="33686" xr:uid="{E1C28CDE-E85E-4D3D-B791-B77AF642621F}"/>
    <cellStyle name="Note 10 2 12" xfId="33687" xr:uid="{1D2F379F-010C-42F9-A704-92FD1594C58A}"/>
    <cellStyle name="Note 10 2 2" xfId="14890" xr:uid="{6D6AE38D-C288-440D-89DF-2FF4233C4EA4}"/>
    <cellStyle name="Note 10 2 2 2" xfId="14891" xr:uid="{76F048CF-2921-463A-877E-F5CBAC77CFA0}"/>
    <cellStyle name="Note 10 2 2 2 2" xfId="14892" xr:uid="{81185327-A50D-4923-85FA-DD93AD8A4B02}"/>
    <cellStyle name="Note 10 2 2 3" xfId="14893" xr:uid="{9F43342C-6AD9-4109-8F79-A50FEFB7D53C}"/>
    <cellStyle name="Note 10 2 2 4" xfId="33688" xr:uid="{53F20924-C3E7-4373-BA0E-E55DB1FF23E8}"/>
    <cellStyle name="Note 10 2 3" xfId="14894" xr:uid="{E6CC4B1B-F393-4454-BA77-55020198441E}"/>
    <cellStyle name="Note 10 2 3 2" xfId="14895" xr:uid="{2E8DEE31-2223-4E7A-8646-B0C123D92BBB}"/>
    <cellStyle name="Note 10 2 3 3" xfId="33689" xr:uid="{DECC5F68-A100-42E9-B9F6-5D5D96ACF5D1}"/>
    <cellStyle name="Note 10 2 3 4" xfId="33690" xr:uid="{FCEC5CBD-5963-4799-A319-6C81512FF434}"/>
    <cellStyle name="Note 10 2 4" xfId="14896" xr:uid="{11A3A684-305F-42A7-AA02-F59D89EFBBFB}"/>
    <cellStyle name="Note 10 2 4 2" xfId="14897" xr:uid="{ABB3815C-3ABD-4834-BD24-BFA63EDD3105}"/>
    <cellStyle name="Note 10 2 4 3" xfId="33691" xr:uid="{CBC4F769-FA50-4557-AFCE-128180BB0FC3}"/>
    <cellStyle name="Note 10 2 4 4" xfId="33692" xr:uid="{131C8EC2-1492-497A-B266-62513F1EC357}"/>
    <cellStyle name="Note 10 2 5" xfId="14898" xr:uid="{9D37F20B-5BC4-4327-BAAC-52C353F5A56A}"/>
    <cellStyle name="Note 10 2 5 2" xfId="14899" xr:uid="{4915048C-1926-41EF-B25C-E3EBE34B28CD}"/>
    <cellStyle name="Note 10 2 5 3" xfId="33693" xr:uid="{A31AAEA5-7F01-4B92-B9ED-87C237C7164C}"/>
    <cellStyle name="Note 10 2 5 4" xfId="33694" xr:uid="{25823CF5-4911-41AF-A980-2625E8D3293C}"/>
    <cellStyle name="Note 10 2 6" xfId="14900" xr:uid="{C57CB873-0CF0-46D0-BF3E-CDB40845AE1C}"/>
    <cellStyle name="Note 10 2 6 2" xfId="14901" xr:uid="{E44B7062-EA85-472B-8836-57796075CE51}"/>
    <cellStyle name="Note 10 2 6 3" xfId="33695" xr:uid="{416C1563-1157-48B8-A2FF-B18891E65DA1}"/>
    <cellStyle name="Note 10 2 6 4" xfId="33696" xr:uid="{FFB0B6E5-3941-496C-B6DE-6BEC5DD8B497}"/>
    <cellStyle name="Note 10 2 7" xfId="14902" xr:uid="{E7AA326D-1D7A-44BD-A900-43D78796A1A8}"/>
    <cellStyle name="Note 10 2 7 2" xfId="14903" xr:uid="{DAD71559-4007-4523-B301-8045E8A8FFF1}"/>
    <cellStyle name="Note 10 2 7 3" xfId="33697" xr:uid="{4EC477FF-3ACB-4446-9435-0432590AD519}"/>
    <cellStyle name="Note 10 2 7 4" xfId="33698" xr:uid="{D9434DA3-55E1-4DFC-B6D0-4FF4E30CCB41}"/>
    <cellStyle name="Note 10 2 8" xfId="14904" xr:uid="{3810DFCA-3328-49DF-8F76-0D2E98868388}"/>
    <cellStyle name="Note 10 2 8 2" xfId="14905" xr:uid="{9EAAA45B-8BDC-4E4B-994E-408C71B7A031}"/>
    <cellStyle name="Note 10 2 8 3" xfId="33699" xr:uid="{2F6F17C6-08DA-47F7-A0E6-DA49A9277EBB}"/>
    <cellStyle name="Note 10 2 8 4" xfId="33700" xr:uid="{543E55BF-00C8-41B4-9A3D-C350D16B5144}"/>
    <cellStyle name="Note 10 2 9" xfId="14906" xr:uid="{414C1237-0328-41F8-BF84-1BC15975822F}"/>
    <cellStyle name="Note 10 2 9 2" xfId="33701" xr:uid="{B2DF0DC5-F999-481E-992C-0D32DDA04838}"/>
    <cellStyle name="Note 10 3" xfId="14907" xr:uid="{24F728BC-EDCC-4594-AD5E-9F6CB61D08C8}"/>
    <cellStyle name="Note 10 3 2" xfId="14908" xr:uid="{888F421B-2728-4DEC-B134-ED57E3F5A5D1}"/>
    <cellStyle name="Note 10 3 2 2" xfId="14909" xr:uid="{7FCEA6B5-1BD5-4217-9022-691C03D9B555}"/>
    <cellStyle name="Note 10 3 3" xfId="14910" xr:uid="{BAC68274-A2B8-430D-A2B0-9A939422A478}"/>
    <cellStyle name="Note 10 3 4" xfId="33702" xr:uid="{E18EE789-821D-4374-A3A7-096F55FF81AA}"/>
    <cellStyle name="Note 10 3 5" xfId="33703" xr:uid="{65941928-C49D-483C-A1D8-7C8A35D392E7}"/>
    <cellStyle name="Note 10 3_ELC_final" xfId="33704" xr:uid="{349A88EA-46C4-49BE-9B08-552376ABD3FD}"/>
    <cellStyle name="Note 10 4" xfId="14911" xr:uid="{737C494A-78FB-4D63-AA47-6E85EB662282}"/>
    <cellStyle name="Note 10 4 2" xfId="14912" xr:uid="{0A97EE9C-7BF4-4D36-95C4-AF5BD52C3DB1}"/>
    <cellStyle name="Note 10 4 3" xfId="33705" xr:uid="{2BAF7B74-E422-42B6-B8EE-723F6EA4036D}"/>
    <cellStyle name="Note 10 4 4" xfId="33706" xr:uid="{05CC219E-465F-41B2-A5EF-F7A4E01F1857}"/>
    <cellStyle name="Note 10 5" xfId="14913" xr:uid="{0D97AB4D-9966-4207-B26A-54E8C2D79AEA}"/>
    <cellStyle name="Note 10 5 2" xfId="14914" xr:uid="{EDA656E1-5AEB-4328-A68C-CACC629418E9}"/>
    <cellStyle name="Note 10 5 3" xfId="33707" xr:uid="{EC43FE05-DF0F-4167-9084-93E6AE73B601}"/>
    <cellStyle name="Note 10 5 4" xfId="33708" xr:uid="{F2026577-DEF5-491F-9D82-19A4467BAE6A}"/>
    <cellStyle name="Note 10 6" xfId="14915" xr:uid="{4A8A1EFB-DA27-4DEA-9D86-1DF23F2EDD94}"/>
    <cellStyle name="Note 10 6 2" xfId="14916" xr:uid="{D97C6D90-D647-42A4-9B9F-16FA7926AAE9}"/>
    <cellStyle name="Note 10 6 3" xfId="33709" xr:uid="{8FE99349-A524-42CF-9D8E-AA3F3339CE6A}"/>
    <cellStyle name="Note 10 6 4" xfId="33710" xr:uid="{88341177-CD03-4492-A37B-C7E914480946}"/>
    <cellStyle name="Note 10 7" xfId="14917" xr:uid="{B5404A64-ADF8-474B-8C32-9BB8F23203DD}"/>
    <cellStyle name="Note 10 7 2" xfId="14918" xr:uid="{56D053BA-621A-42FF-AAD9-C4BA35A06F97}"/>
    <cellStyle name="Note 10 7 3" xfId="33711" xr:uid="{B7269461-3A3F-43E8-BAC6-62D844812537}"/>
    <cellStyle name="Note 10 7 4" xfId="33712" xr:uid="{B077CE2B-A513-4B14-8807-D366F637E697}"/>
    <cellStyle name="Note 10 8" xfId="14919" xr:uid="{4241D7ED-E867-4658-93F6-94158D3EEE96}"/>
    <cellStyle name="Note 10 8 2" xfId="14920" xr:uid="{7D30D3E4-C17A-450E-9853-FA75FA5EE8FB}"/>
    <cellStyle name="Note 10 8 3" xfId="33713" xr:uid="{44384818-7720-473B-B921-C2533CB2CA44}"/>
    <cellStyle name="Note 10 8 4" xfId="33714" xr:uid="{CAFD8E1A-FDD7-48C5-B166-A780FCB1CE6F}"/>
    <cellStyle name="Note 10 9" xfId="14921" xr:uid="{9CE877B1-6A13-491C-ABC4-9E3EF1B81565}"/>
    <cellStyle name="Note 10 9 2" xfId="14922" xr:uid="{BF474DBB-971C-4229-903D-164666693AC3}"/>
    <cellStyle name="Note 10 9 3" xfId="33715" xr:uid="{FD1FBADC-CC65-4B4D-BA39-CC3DDB89F070}"/>
    <cellStyle name="Note 10 9 4" xfId="33716" xr:uid="{C7CD15AD-3072-4A1B-B4B1-698C95689F33}"/>
    <cellStyle name="Note 10_ELC_final" xfId="33717" xr:uid="{8C543255-B216-4A55-B55B-88A621EA0F82}"/>
    <cellStyle name="Note 11" xfId="14923" xr:uid="{9368E3C4-95E8-4FCF-8837-D6F7E3DA66E8}"/>
    <cellStyle name="Note 11 10" xfId="14924" xr:uid="{73915C73-E3E2-424A-8A40-30792FE90868}"/>
    <cellStyle name="Note 11 10 2" xfId="33718" xr:uid="{6DF15F1B-AF34-4C61-B9D9-12979807706C}"/>
    <cellStyle name="Note 11 11" xfId="14925" xr:uid="{1BF9EBE5-DF49-4F2C-9B22-78F14532A8C5}"/>
    <cellStyle name="Note 11 11 2" xfId="33719" xr:uid="{4C6D6D7D-E6A9-4752-8C0D-50F75364589E}"/>
    <cellStyle name="Note 11 12" xfId="33720" xr:uid="{F3F84EE9-D09F-46CD-A807-FC2969E9A529}"/>
    <cellStyle name="Note 11 13" xfId="33721" xr:uid="{614A1B80-9496-4DAC-865B-EB8C5E5B3D23}"/>
    <cellStyle name="Note 11 2" xfId="14926" xr:uid="{93ABD8BD-D0AC-4BDF-9046-E3477B11F695}"/>
    <cellStyle name="Note 11 2 10" xfId="14927" xr:uid="{645AB020-1904-4968-94F9-A2ADE4A48D85}"/>
    <cellStyle name="Note 11 2 10 2" xfId="33722" xr:uid="{C2B4061B-E7D6-450E-B9F0-2520193AE93B}"/>
    <cellStyle name="Note 11 2 11" xfId="33723" xr:uid="{9B177FB2-AF37-409D-BB96-95B91BF182FC}"/>
    <cellStyle name="Note 11 2 12" xfId="33724" xr:uid="{95A941A2-9D06-49C9-8AE4-942089BB965E}"/>
    <cellStyle name="Note 11 2 2" xfId="14928" xr:uid="{E1DD5A13-5F05-46FA-AACB-C5AF25948962}"/>
    <cellStyle name="Note 11 2 2 2" xfId="14929" xr:uid="{1D6C2E00-C7B1-4DC3-B24D-FEE27CF14A80}"/>
    <cellStyle name="Note 11 2 2 2 2" xfId="14930" xr:uid="{F4766C98-ABC7-4FAD-B973-68E51BC03AC1}"/>
    <cellStyle name="Note 11 2 2 3" xfId="14931" xr:uid="{82D164FF-3730-4508-A099-580A9D204CE3}"/>
    <cellStyle name="Note 11 2 2 4" xfId="33725" xr:uid="{D9C1C6FD-CB59-42EF-A5DC-337163DF3096}"/>
    <cellStyle name="Note 11 2 3" xfId="14932" xr:uid="{DD6A5156-8FA7-4694-BB7D-6796CD4FF32E}"/>
    <cellStyle name="Note 11 2 3 2" xfId="14933" xr:uid="{8847F778-0AD8-4B55-803E-6F0A94198035}"/>
    <cellStyle name="Note 11 2 3 3" xfId="33726" xr:uid="{0E9BBB07-927C-4C7C-AE75-8F2C33D087AC}"/>
    <cellStyle name="Note 11 2 3 4" xfId="33727" xr:uid="{9A7E501E-51A7-41EF-851B-FFFA35BB2BD1}"/>
    <cellStyle name="Note 11 2 4" xfId="14934" xr:uid="{135226B6-19D5-4E22-A18D-468E965CA8FB}"/>
    <cellStyle name="Note 11 2 4 2" xfId="14935" xr:uid="{171A49FE-90F8-4D12-9302-1236D2242B3E}"/>
    <cellStyle name="Note 11 2 4 3" xfId="33728" xr:uid="{F85B4FF7-1CA1-436F-AAAE-6F4DD807C3AA}"/>
    <cellStyle name="Note 11 2 4 4" xfId="33729" xr:uid="{DDE11FA9-8E97-4985-B2D9-18A4D537A052}"/>
    <cellStyle name="Note 11 2 5" xfId="14936" xr:uid="{BEAE13A1-1423-47E3-8CE0-A9F844ABD355}"/>
    <cellStyle name="Note 11 2 5 2" xfId="14937" xr:uid="{A7B27846-C4F8-49F6-AB9C-17A5ADB25A05}"/>
    <cellStyle name="Note 11 2 5 3" xfId="33730" xr:uid="{11E278B9-EB2B-4449-96FA-1BD57D072728}"/>
    <cellStyle name="Note 11 2 5 4" xfId="33731" xr:uid="{FC624A26-311C-4269-B465-73465B622787}"/>
    <cellStyle name="Note 11 2 6" xfId="14938" xr:uid="{5FFE6F13-C838-49B8-BBE3-D3D427374811}"/>
    <cellStyle name="Note 11 2 6 2" xfId="14939" xr:uid="{28A4A255-E30A-4E33-B709-DD0E8D05CC3E}"/>
    <cellStyle name="Note 11 2 6 3" xfId="33732" xr:uid="{3CE1BDED-203B-4C2A-91C1-C70E43B0B923}"/>
    <cellStyle name="Note 11 2 6 4" xfId="33733" xr:uid="{AB586344-2EAD-4F67-94D6-9E58FDA3AFB7}"/>
    <cellStyle name="Note 11 2 7" xfId="14940" xr:uid="{9365215C-DEB9-4BE1-A871-95429810CAA7}"/>
    <cellStyle name="Note 11 2 7 2" xfId="14941" xr:uid="{0B57A905-BA39-4F3E-8288-0835ABB85F6D}"/>
    <cellStyle name="Note 11 2 7 3" xfId="33734" xr:uid="{CD084ECD-537B-495E-9084-62EA20B15DB3}"/>
    <cellStyle name="Note 11 2 7 4" xfId="33735" xr:uid="{4E15AC0D-918C-4481-B32C-D4423E8F06B6}"/>
    <cellStyle name="Note 11 2 8" xfId="14942" xr:uid="{59886E3A-1956-4D88-BFFD-5191B004CC99}"/>
    <cellStyle name="Note 11 2 8 2" xfId="14943" xr:uid="{DACDD94B-DB7D-438F-8B25-E175A72D55E3}"/>
    <cellStyle name="Note 11 2 8 3" xfId="33736" xr:uid="{DE346978-26D1-4791-8FC6-C5B06860B1FE}"/>
    <cellStyle name="Note 11 2 8 4" xfId="33737" xr:uid="{3DDEBCC5-6B12-4B56-A0A6-28E5819E6B89}"/>
    <cellStyle name="Note 11 2 9" xfId="14944" xr:uid="{875EF7DE-0FE3-4417-A9D6-E1483448C239}"/>
    <cellStyle name="Note 11 2 9 2" xfId="33738" xr:uid="{EEBF222A-B972-46AE-AA6F-9DBDC1EC9582}"/>
    <cellStyle name="Note 11 3" xfId="14945" xr:uid="{B5BFBC1D-7B53-474C-B0FF-44CBCC1528D6}"/>
    <cellStyle name="Note 11 3 2" xfId="14946" xr:uid="{CE5538D2-ECA9-4B71-A3AC-61AA3414C098}"/>
    <cellStyle name="Note 11 3 2 2" xfId="14947" xr:uid="{6163FDEE-3D81-4568-93C7-9B8BE5473993}"/>
    <cellStyle name="Note 11 3 3" xfId="14948" xr:uid="{0BE9B55C-270C-4027-945A-74953223964A}"/>
    <cellStyle name="Note 11 3 4" xfId="33739" xr:uid="{CAF4A703-FB80-4023-8565-352661489E5A}"/>
    <cellStyle name="Note 11 4" xfId="14949" xr:uid="{4996534B-96C2-44DA-B014-1BEFFA9AE389}"/>
    <cellStyle name="Note 11 4 2" xfId="14950" xr:uid="{843E48A2-4DCA-4BC5-A648-DE48847F9F36}"/>
    <cellStyle name="Note 11 4 3" xfId="33740" xr:uid="{4305AB4D-5F22-4857-9E08-3C95AE4D8DE7}"/>
    <cellStyle name="Note 11 4 4" xfId="33741" xr:uid="{7E72E350-0E0B-4B00-B5AD-AA4DBF728021}"/>
    <cellStyle name="Note 11 5" xfId="14951" xr:uid="{8A207721-A720-4C52-A7B1-194F73CD81CC}"/>
    <cellStyle name="Note 11 5 2" xfId="14952" xr:uid="{ACC2F478-3100-4EAB-AD94-F1506796EEBF}"/>
    <cellStyle name="Note 11 5 3" xfId="33742" xr:uid="{A742BB71-7571-4593-9093-0E9B60906608}"/>
    <cellStyle name="Note 11 5 4" xfId="33743" xr:uid="{8CB29496-189C-42A6-B5F2-275C0F2B8213}"/>
    <cellStyle name="Note 11 6" xfId="14953" xr:uid="{6554873D-8745-491C-8AAC-94CA8937E11F}"/>
    <cellStyle name="Note 11 6 2" xfId="14954" xr:uid="{587AC39C-10D2-4EFA-BB3A-D0721A939262}"/>
    <cellStyle name="Note 11 6 3" xfId="33744" xr:uid="{75899635-C1E7-4E3C-AD36-774C95619BCA}"/>
    <cellStyle name="Note 11 6 4" xfId="33745" xr:uid="{DCEE43A1-2F94-43FC-A0FE-464CA83768DF}"/>
    <cellStyle name="Note 11 7" xfId="14955" xr:uid="{A254DD4B-90A0-4187-8FB2-0AF30181CBEE}"/>
    <cellStyle name="Note 11 7 2" xfId="14956" xr:uid="{0000EA3B-A7DC-4D70-85D1-5761ABFFF345}"/>
    <cellStyle name="Note 11 7 3" xfId="33746" xr:uid="{720D540A-6970-47F1-AF36-ACEA294E006B}"/>
    <cellStyle name="Note 11 7 4" xfId="33747" xr:uid="{620ADFA2-BAB5-481A-835C-8AE05566410F}"/>
    <cellStyle name="Note 11 8" xfId="14957" xr:uid="{BB28E890-4F0A-41A3-B657-D46AFDC8F0A5}"/>
    <cellStyle name="Note 11 8 2" xfId="14958" xr:uid="{5C4D2503-4E16-4572-B7D2-8C6A949CE0EC}"/>
    <cellStyle name="Note 11 8 3" xfId="33748" xr:uid="{63F91564-7AB8-4357-BAB3-5DD8B65784C8}"/>
    <cellStyle name="Note 11 8 4" xfId="33749" xr:uid="{E8FF7D11-56CE-4E10-B5FD-249DD8635FB6}"/>
    <cellStyle name="Note 11 9" xfId="14959" xr:uid="{3A71B4AE-D894-4464-B627-81B75891AC0F}"/>
    <cellStyle name="Note 11 9 2" xfId="14960" xr:uid="{69A9C96E-D0D5-4495-B9AB-AD8421357469}"/>
    <cellStyle name="Note 11 9 3" xfId="33750" xr:uid="{084F8069-8899-4A8D-AB99-AA7B21B0BA55}"/>
    <cellStyle name="Note 11 9 4" xfId="33751" xr:uid="{51770F0C-E0D9-4B0C-BC5F-0B0C1CC1BA5F}"/>
    <cellStyle name="Note 11_ELC_final" xfId="33752" xr:uid="{B6799904-4EBF-4F90-8FA1-0B16BE42E37D}"/>
    <cellStyle name="Note 12" xfId="33753" xr:uid="{D6DB2FD0-F0BA-436C-8317-52E98798FB24}"/>
    <cellStyle name="Note 12 2" xfId="33754" xr:uid="{18096C8C-BC76-4C9E-8729-07EEBE661352}"/>
    <cellStyle name="Note 12_ELC_final" xfId="33755" xr:uid="{809D94BA-A77E-4756-8AA8-5BDBF8A9343D}"/>
    <cellStyle name="Note 13" xfId="33756" xr:uid="{1E73C589-E0B4-4ACB-B9FF-D5463EA05FCA}"/>
    <cellStyle name="Note 13 2" xfId="33757" xr:uid="{1546C8CE-152F-4431-BF58-F82AB8832C8A}"/>
    <cellStyle name="Note 13_ELC_final" xfId="33758" xr:uid="{DA2AB8D9-272F-4359-909E-64E37F9DEF43}"/>
    <cellStyle name="Note 14" xfId="33759" xr:uid="{E4C1E084-DA28-44C1-AA0D-8F64ABA10F7A}"/>
    <cellStyle name="Note 14 2" xfId="33760" xr:uid="{A42B7A70-B16A-444D-AA37-D7A5FB6452E3}"/>
    <cellStyle name="Note 14_ELC_final" xfId="33761" xr:uid="{D2F2CFFA-7E86-4E80-8FD8-DFA3CFD3B4F4}"/>
    <cellStyle name="Note 15" xfId="33762" xr:uid="{368B18ED-24A9-4EDC-9F20-BFA5E25D8F57}"/>
    <cellStyle name="Note 15 2" xfId="33763" xr:uid="{2C67A31C-40D5-4F8C-A0ED-DD1A0E110E0A}"/>
    <cellStyle name="Note 15_ELC_final" xfId="33764" xr:uid="{077E1F7E-C2B1-4EF8-B77F-7EA4309A365F}"/>
    <cellStyle name="Note 16" xfId="33765" xr:uid="{CF9775B4-4909-45B4-A63E-A2936A062D88}"/>
    <cellStyle name="Note 16 2" xfId="33766" xr:uid="{A1E4FE3D-73B2-4563-B2CB-FC4602E59CE1}"/>
    <cellStyle name="Note 16_ELC_final" xfId="33767" xr:uid="{3981087D-4FD2-47A0-A6E2-9705DC3BB12C}"/>
    <cellStyle name="Note 17" xfId="33768" xr:uid="{A767FFC5-2C81-49D6-81A1-C224EFB26CEB}"/>
    <cellStyle name="Note 17 2" xfId="33769" xr:uid="{CC82DA32-3024-4F80-9ADB-AF36432D0CD6}"/>
    <cellStyle name="Note 17_ELC_final" xfId="33770" xr:uid="{BC5ABE35-EE2A-4B9B-93EE-419732C220A5}"/>
    <cellStyle name="Note 18" xfId="33771" xr:uid="{EEC2552C-A5BD-4A80-9019-C478B6655764}"/>
    <cellStyle name="Note 18 2" xfId="33772" xr:uid="{DDD5D093-9C45-4B33-BBF9-13515E0CEF44}"/>
    <cellStyle name="Note 18_ELC_final" xfId="33773" xr:uid="{56DFD9EC-F39F-43C1-B901-B23204C48773}"/>
    <cellStyle name="Note 19" xfId="33774" xr:uid="{02202E8A-43A1-41B1-A7C8-0B7824F05B86}"/>
    <cellStyle name="Note 2" xfId="14961" xr:uid="{27CD26CB-8B93-45F0-8EF2-4ECEE5943911}"/>
    <cellStyle name="Note 2 10" xfId="14962" xr:uid="{932D2369-E8CB-4A9C-B4AE-F808CBAED4A9}"/>
    <cellStyle name="Note 2 10 10" xfId="14963" xr:uid="{C6F3424E-8861-4012-876F-FE5343BA5D31}"/>
    <cellStyle name="Note 2 10 10 2" xfId="33775" xr:uid="{698E2289-9F81-45F4-B41A-8EEDBAD0CD67}"/>
    <cellStyle name="Note 2 10 11" xfId="14964" xr:uid="{77C91930-0A1F-4F42-9676-1CDA75E4223E}"/>
    <cellStyle name="Note 2 10 11 2" xfId="33776" xr:uid="{DCE4F62E-4215-4658-8290-0996E9EE9C80}"/>
    <cellStyle name="Note 2 10 12" xfId="33777" xr:uid="{043EB624-8C6D-451C-83CE-977E1EF14515}"/>
    <cellStyle name="Note 2 10 13" xfId="33778" xr:uid="{604D6A2F-19D4-49F0-B913-CEB5DCEC5612}"/>
    <cellStyle name="Note 2 10 2" xfId="14965" xr:uid="{EFEBAC75-4F7B-492D-9074-96849BC351CD}"/>
    <cellStyle name="Note 2 10 2 10" xfId="14966" xr:uid="{B40122F3-C3A1-41BE-814A-0E074EA8A256}"/>
    <cellStyle name="Note 2 10 2 10 2" xfId="33779" xr:uid="{FC37471E-0FB3-4C50-B9F2-0525B72BC0A6}"/>
    <cellStyle name="Note 2 10 2 11" xfId="33780" xr:uid="{3772E18F-025C-409B-8EA1-E58FB5057BC4}"/>
    <cellStyle name="Note 2 10 2 2" xfId="14967" xr:uid="{2C652D75-5201-493A-8B42-F77721F94806}"/>
    <cellStyle name="Note 2 10 2 2 2" xfId="14968" xr:uid="{EAD9C5BB-8D46-411E-9170-50BF316592F1}"/>
    <cellStyle name="Note 2 10 2 2 2 2" xfId="14969" xr:uid="{71EBD5F3-C36D-4767-9545-F69F67A0DBF0}"/>
    <cellStyle name="Note 2 10 2 2 3" xfId="14970" xr:uid="{41F70D9A-1574-4B68-A06B-9459129BE985}"/>
    <cellStyle name="Note 2 10 2 2 4" xfId="33781" xr:uid="{5A1BDA8E-F719-4CEB-BD6A-654519F50794}"/>
    <cellStyle name="Note 2 10 2 3" xfId="14971" xr:uid="{593FA6D7-376C-4213-B447-F6F7D73E68BC}"/>
    <cellStyle name="Note 2 10 2 3 2" xfId="14972" xr:uid="{E6578398-E3DD-418F-8811-5C4BC1676F0E}"/>
    <cellStyle name="Note 2 10 2 3 3" xfId="33782" xr:uid="{29662F43-3FA1-4E20-BF47-46AF6EF62A52}"/>
    <cellStyle name="Note 2 10 2 3 4" xfId="33783" xr:uid="{31700D60-9BE3-413C-A953-57ADF16F16E4}"/>
    <cellStyle name="Note 2 10 2 4" xfId="14973" xr:uid="{4F7CA489-398C-40A9-A945-F33198BF404B}"/>
    <cellStyle name="Note 2 10 2 4 2" xfId="14974" xr:uid="{96E3FA94-F112-4344-AFC7-D93E1F32B537}"/>
    <cellStyle name="Note 2 10 2 4 3" xfId="33784" xr:uid="{A3BBBC87-4D4E-468B-99E8-5C7043DA9843}"/>
    <cellStyle name="Note 2 10 2 4 4" xfId="33785" xr:uid="{FAEAE78D-B528-49A3-AECC-E5A34240A76C}"/>
    <cellStyle name="Note 2 10 2 5" xfId="14975" xr:uid="{813B6FC7-3D8D-49C4-8224-BC3B709C34B2}"/>
    <cellStyle name="Note 2 10 2 5 2" xfId="14976" xr:uid="{7F7237CA-0C10-490A-A19A-2FFBC4670FD6}"/>
    <cellStyle name="Note 2 10 2 5 3" xfId="33786" xr:uid="{7C2566F4-0A9C-4A8D-8B4E-C74F691F7A8D}"/>
    <cellStyle name="Note 2 10 2 5 4" xfId="33787" xr:uid="{40C0CAC9-1974-4A65-9B98-4D5C7C6ED2AA}"/>
    <cellStyle name="Note 2 10 2 6" xfId="14977" xr:uid="{1B4735ED-AD4A-4B0B-A162-372985DF2C28}"/>
    <cellStyle name="Note 2 10 2 6 2" xfId="14978" xr:uid="{2676189F-93B5-4C1E-8BDE-9C46B8148353}"/>
    <cellStyle name="Note 2 10 2 6 3" xfId="33788" xr:uid="{D7D7259C-C205-4447-8854-8A2E9A3173F0}"/>
    <cellStyle name="Note 2 10 2 6 4" xfId="33789" xr:uid="{D594774D-A94B-4CF3-A218-AA4B2777D745}"/>
    <cellStyle name="Note 2 10 2 7" xfId="14979" xr:uid="{E720ECDE-6BE5-4B24-8B9C-C9CB50D9C035}"/>
    <cellStyle name="Note 2 10 2 7 2" xfId="14980" xr:uid="{C9172A95-A824-49CC-8ADB-7CF27A53AB23}"/>
    <cellStyle name="Note 2 10 2 7 3" xfId="33790" xr:uid="{3324CC76-0559-4BE1-97B7-3806E95CD567}"/>
    <cellStyle name="Note 2 10 2 7 4" xfId="33791" xr:uid="{ECB7EEDB-FC57-48FB-9040-EF2BF87F2C3B}"/>
    <cellStyle name="Note 2 10 2 8" xfId="14981" xr:uid="{99F8A681-1230-48F2-81D5-9C4BFD8FAD66}"/>
    <cellStyle name="Note 2 10 2 8 2" xfId="14982" xr:uid="{C49B9924-8CFB-4B6F-90CA-39577BBA78CB}"/>
    <cellStyle name="Note 2 10 2 8 3" xfId="33792" xr:uid="{0C0A089B-C800-4673-A5F8-B7C65DE29270}"/>
    <cellStyle name="Note 2 10 2 8 4" xfId="33793" xr:uid="{C2EBF171-C1F2-4358-B381-79CC98239830}"/>
    <cellStyle name="Note 2 10 2 9" xfId="14983" xr:uid="{6542D70C-9DB5-460F-B055-6C14E7FB6965}"/>
    <cellStyle name="Note 2 10 2 9 2" xfId="33794" xr:uid="{192113BD-D0B5-4754-863B-1E37FCD76A82}"/>
    <cellStyle name="Note 2 10 3" xfId="14984" xr:uid="{13DF545D-92BF-487D-90BE-3E682EE92404}"/>
    <cellStyle name="Note 2 10 3 2" xfId="14985" xr:uid="{F2B37663-43BD-4221-A39E-E1FA50D3A63D}"/>
    <cellStyle name="Note 2 10 3 2 2" xfId="14986" xr:uid="{E3EF826B-209E-44C2-B1C0-4461DC0CD3EF}"/>
    <cellStyle name="Note 2 10 3 3" xfId="14987" xr:uid="{2DF12C7F-4414-466F-AA03-935EA26126CD}"/>
    <cellStyle name="Note 2 10 3 4" xfId="33795" xr:uid="{86B46DEF-8F17-451C-81E5-A03A4F9DF013}"/>
    <cellStyle name="Note 2 10 4" xfId="14988" xr:uid="{BF68A0F8-C714-4520-8432-F56F339AC890}"/>
    <cellStyle name="Note 2 10 4 2" xfId="14989" xr:uid="{31303F6B-39F8-46CB-81D2-498E200F65B7}"/>
    <cellStyle name="Note 2 10 4 3" xfId="33796" xr:uid="{916268EE-45E5-42E1-B086-D8E3D17BED20}"/>
    <cellStyle name="Note 2 10 4 4" xfId="33797" xr:uid="{23A4111D-F473-4E57-A365-7892EDACF9EF}"/>
    <cellStyle name="Note 2 10 5" xfId="14990" xr:uid="{92642823-7BB0-4631-910B-D40C726FC341}"/>
    <cellStyle name="Note 2 10 5 2" xfId="14991" xr:uid="{053E1817-9519-44B7-9D42-38DF64DC5BB7}"/>
    <cellStyle name="Note 2 10 5 3" xfId="33798" xr:uid="{754E69FF-954A-45AE-AC94-36AE35EA07F8}"/>
    <cellStyle name="Note 2 10 5 4" xfId="33799" xr:uid="{46BEBA87-684C-4FA2-953B-3742441D0100}"/>
    <cellStyle name="Note 2 10 6" xfId="14992" xr:uid="{E0CDC291-2BD6-4062-B574-996E4161CC73}"/>
    <cellStyle name="Note 2 10 6 2" xfId="14993" xr:uid="{E41F38D2-C681-47E4-9661-BC60B54BD0D7}"/>
    <cellStyle name="Note 2 10 6 3" xfId="33800" xr:uid="{11B1D034-A2E5-4C67-9929-7B1427E4DD94}"/>
    <cellStyle name="Note 2 10 6 4" xfId="33801" xr:uid="{96D4FEE6-6D6F-4A76-BEE8-1D9F7D194698}"/>
    <cellStyle name="Note 2 10 7" xfId="14994" xr:uid="{EB96FB65-6689-4EE7-8943-0FC30B3C63F3}"/>
    <cellStyle name="Note 2 10 7 2" xfId="14995" xr:uid="{1E66D7A0-E1C3-47A3-99C1-85282C7FB63E}"/>
    <cellStyle name="Note 2 10 7 3" xfId="33802" xr:uid="{D5E9A9C2-9909-4D4C-B33B-10C7BDE9274F}"/>
    <cellStyle name="Note 2 10 7 4" xfId="33803" xr:uid="{FD781C4A-28D0-435B-ABFE-D9B189B74626}"/>
    <cellStyle name="Note 2 10 8" xfId="14996" xr:uid="{565A07FB-6839-49C2-85CB-8AA55D7255A4}"/>
    <cellStyle name="Note 2 10 8 2" xfId="14997" xr:uid="{7A4E5851-8BE1-45F5-8AA1-295EAFB631FA}"/>
    <cellStyle name="Note 2 10 8 3" xfId="33804" xr:uid="{713586E8-615E-4358-AE3C-6EAD4218FD1E}"/>
    <cellStyle name="Note 2 10 8 4" xfId="33805" xr:uid="{275780CB-28E8-45E8-AE73-ECE43FBB72BB}"/>
    <cellStyle name="Note 2 10 9" xfId="14998" xr:uid="{DEF06C71-E3C1-4C87-B1B2-1AD92FF184C0}"/>
    <cellStyle name="Note 2 10 9 2" xfId="14999" xr:uid="{8C23D193-3C25-4A6A-A6BA-9747B7EAFC3C}"/>
    <cellStyle name="Note 2 10 9 3" xfId="33806" xr:uid="{C4A67545-474F-4183-83EF-0DEB7E2E4D49}"/>
    <cellStyle name="Note 2 10 9 4" xfId="33807" xr:uid="{C098CFA1-75AB-4EC7-B344-DCA4832039C1}"/>
    <cellStyle name="Note 2 11" xfId="15000" xr:uid="{E64D6A56-C8B1-4151-9E6F-A6DFA8B6D776}"/>
    <cellStyle name="Note 2 11 10" xfId="15001" xr:uid="{F4E1EF2C-591D-472E-838C-30A8A6706EEA}"/>
    <cellStyle name="Note 2 11 10 2" xfId="33808" xr:uid="{E21B4002-5B5B-4B63-B162-7205254E639A}"/>
    <cellStyle name="Note 2 11 11" xfId="15002" xr:uid="{0E49EED1-0F50-43DB-8721-8719B52716C4}"/>
    <cellStyle name="Note 2 11 11 2" xfId="33809" xr:uid="{B8E42B6D-0031-44E6-87BC-E9A5456F18D9}"/>
    <cellStyle name="Note 2 11 12" xfId="33810" xr:uid="{C2FCF77E-5E3E-471C-82AF-13D85D63E490}"/>
    <cellStyle name="Note 2 11 13" xfId="33811" xr:uid="{466AA3FF-84BD-4A71-98D0-7CA73820C5C7}"/>
    <cellStyle name="Note 2 11 2" xfId="15003" xr:uid="{C178C6C6-E0E6-4297-AA73-5E040069B0B5}"/>
    <cellStyle name="Note 2 11 2 10" xfId="15004" xr:uid="{3B1D26F4-191A-4EDC-B787-06312CFC21C8}"/>
    <cellStyle name="Note 2 11 2 10 2" xfId="33812" xr:uid="{BE4A0CAB-2A78-4DEB-9271-EC3EC50B6FA3}"/>
    <cellStyle name="Note 2 11 2 11" xfId="33813" xr:uid="{39F7EF88-6BFF-4B94-9755-7627207C09F8}"/>
    <cellStyle name="Note 2 11 2 2" xfId="15005" xr:uid="{8F26D8BB-17FE-49D4-938F-5B955F65F93D}"/>
    <cellStyle name="Note 2 11 2 2 2" xfId="15006" xr:uid="{162E480C-E60C-4413-AB47-7832FB4F2A5A}"/>
    <cellStyle name="Note 2 11 2 2 2 2" xfId="15007" xr:uid="{5FC3034C-D727-4E4C-8491-BA8672C74213}"/>
    <cellStyle name="Note 2 11 2 2 3" xfId="15008" xr:uid="{64686BF5-2B8D-4F2C-9EB8-AFBA08206340}"/>
    <cellStyle name="Note 2 11 2 2 4" xfId="33814" xr:uid="{396DD5D8-9ABC-41EF-BA4C-3075998933CF}"/>
    <cellStyle name="Note 2 11 2 3" xfId="15009" xr:uid="{10D56ACE-CC9D-4330-B1A6-32EA3F81A33E}"/>
    <cellStyle name="Note 2 11 2 3 2" xfId="15010" xr:uid="{4FE02C7A-2D81-4B88-A380-B3EC806BAC7A}"/>
    <cellStyle name="Note 2 11 2 3 3" xfId="33815" xr:uid="{68423517-E5A6-40F2-94DC-77A1B33A6F77}"/>
    <cellStyle name="Note 2 11 2 3 4" xfId="33816" xr:uid="{948D2559-42D2-4F4A-A657-B71D8194A1E0}"/>
    <cellStyle name="Note 2 11 2 4" xfId="15011" xr:uid="{DD523511-A5E4-4131-8BC6-58F248696690}"/>
    <cellStyle name="Note 2 11 2 4 2" xfId="15012" xr:uid="{1DABE2EB-571C-49B1-BA98-D0973216BBB7}"/>
    <cellStyle name="Note 2 11 2 4 3" xfId="33817" xr:uid="{8CD4ABFE-863D-41D3-B531-13E9028C82A4}"/>
    <cellStyle name="Note 2 11 2 4 4" xfId="33818" xr:uid="{CBA0307C-4648-427A-B274-58A35D5E5D75}"/>
    <cellStyle name="Note 2 11 2 5" xfId="15013" xr:uid="{6CB1F439-CE8C-45BD-955F-6D1E562CD2A0}"/>
    <cellStyle name="Note 2 11 2 5 2" xfId="15014" xr:uid="{F408FF07-DA2A-4346-AAAD-67E0528AFEC8}"/>
    <cellStyle name="Note 2 11 2 5 3" xfId="33819" xr:uid="{33E6A973-5FC5-4846-AD68-549C7B268D71}"/>
    <cellStyle name="Note 2 11 2 5 4" xfId="33820" xr:uid="{C25EA40D-E016-40D7-9A21-5FA1F018692B}"/>
    <cellStyle name="Note 2 11 2 6" xfId="15015" xr:uid="{11768367-027F-4385-A984-A07E97FAD73A}"/>
    <cellStyle name="Note 2 11 2 6 2" xfId="15016" xr:uid="{6A84F403-23BE-43C9-8AC8-F2FB329C3421}"/>
    <cellStyle name="Note 2 11 2 6 3" xfId="33821" xr:uid="{CCE1C3C1-7B2F-4136-AC8C-3B61C80A9A63}"/>
    <cellStyle name="Note 2 11 2 6 4" xfId="33822" xr:uid="{565A676E-DAD2-4F22-8899-39C08711D541}"/>
    <cellStyle name="Note 2 11 2 7" xfId="15017" xr:uid="{5EC2E410-5555-4681-BA04-A3ADCA491909}"/>
    <cellStyle name="Note 2 11 2 7 2" xfId="15018" xr:uid="{CD216269-CDEA-42D5-9CCB-3A6DAA89A193}"/>
    <cellStyle name="Note 2 11 2 7 3" xfId="33823" xr:uid="{9CBC66FA-EB55-42AD-8DC2-52B903835E20}"/>
    <cellStyle name="Note 2 11 2 7 4" xfId="33824" xr:uid="{22F510A9-F711-4498-B675-D7DA27C0E47A}"/>
    <cellStyle name="Note 2 11 2 8" xfId="15019" xr:uid="{077C831F-48FE-4D4E-B285-B305840760C5}"/>
    <cellStyle name="Note 2 11 2 8 2" xfId="15020" xr:uid="{F4585D39-C3D2-4507-924F-AB7DB6B12921}"/>
    <cellStyle name="Note 2 11 2 8 3" xfId="33825" xr:uid="{465F8828-86B4-46B0-9C92-B1E0BD1EBD83}"/>
    <cellStyle name="Note 2 11 2 8 4" xfId="33826" xr:uid="{7CB1C292-9EB3-48D7-ACF8-488FFF61683F}"/>
    <cellStyle name="Note 2 11 2 9" xfId="15021" xr:uid="{1609D6AC-5670-4C41-B449-113C372049D7}"/>
    <cellStyle name="Note 2 11 2 9 2" xfId="33827" xr:uid="{E8C9E126-8973-41CD-A923-34A183B05F0D}"/>
    <cellStyle name="Note 2 11 3" xfId="15022" xr:uid="{FD2F660B-772A-43D3-B798-03D48F0B914E}"/>
    <cellStyle name="Note 2 11 3 2" xfId="15023" xr:uid="{6138916B-5906-4E2D-8EF0-3C622041D39D}"/>
    <cellStyle name="Note 2 11 3 2 2" xfId="15024" xr:uid="{CA663A6D-5A3C-4CBB-B7AF-2FE855A5746D}"/>
    <cellStyle name="Note 2 11 3 3" xfId="15025" xr:uid="{BC5024A9-D12E-4299-AD3A-C16A0C9A7ED6}"/>
    <cellStyle name="Note 2 11 3 4" xfId="33828" xr:uid="{B55F3E0F-E578-4657-99F5-9E987ED6DA65}"/>
    <cellStyle name="Note 2 11 4" xfId="15026" xr:uid="{6E4C9453-5023-471B-8D18-3C1BAD35DA8B}"/>
    <cellStyle name="Note 2 11 4 2" xfId="15027" xr:uid="{A11B902C-DE7B-41BF-9471-1859235247CF}"/>
    <cellStyle name="Note 2 11 4 3" xfId="33829" xr:uid="{53861D84-4165-4D12-9F07-AE9535654D2B}"/>
    <cellStyle name="Note 2 11 4 4" xfId="33830" xr:uid="{D4355EF4-0786-4D62-875C-B73FA78296C2}"/>
    <cellStyle name="Note 2 11 5" xfId="15028" xr:uid="{71DDCC92-5A2A-433A-9B39-B430826C8502}"/>
    <cellStyle name="Note 2 11 5 2" xfId="15029" xr:uid="{E56974CC-D924-41A1-B2A6-04DF3A4E3C47}"/>
    <cellStyle name="Note 2 11 5 3" xfId="33831" xr:uid="{6E523720-427A-4325-B31A-C8775EEBB999}"/>
    <cellStyle name="Note 2 11 5 4" xfId="33832" xr:uid="{F608C162-FE2C-4C90-AF8F-4AA5299C7380}"/>
    <cellStyle name="Note 2 11 6" xfId="15030" xr:uid="{344B7E72-CBE9-430A-8D38-D976E526DFD2}"/>
    <cellStyle name="Note 2 11 6 2" xfId="15031" xr:uid="{0AC9F976-7319-48CE-94E3-694D43AB554B}"/>
    <cellStyle name="Note 2 11 6 3" xfId="33833" xr:uid="{7EE12A19-AB44-4AB7-B8AF-38D5D951BA2F}"/>
    <cellStyle name="Note 2 11 6 4" xfId="33834" xr:uid="{90E3F2E0-7456-4625-8DCC-ECFA017FFC94}"/>
    <cellStyle name="Note 2 11 7" xfId="15032" xr:uid="{68768707-A2D9-4EE7-A36B-36050A619669}"/>
    <cellStyle name="Note 2 11 7 2" xfId="15033" xr:uid="{963E124D-C9D8-4180-9A81-F2E6F78760E8}"/>
    <cellStyle name="Note 2 11 7 3" xfId="33835" xr:uid="{4A8539BB-8DCD-481C-9F30-D109DCCD6F70}"/>
    <cellStyle name="Note 2 11 7 4" xfId="33836" xr:uid="{F79AA0D0-B0E6-48F0-B04A-40BEBA10EF71}"/>
    <cellStyle name="Note 2 11 8" xfId="15034" xr:uid="{8358A43D-0738-4741-8773-4FE11C5B5E7D}"/>
    <cellStyle name="Note 2 11 8 2" xfId="15035" xr:uid="{428E0C9B-2DB5-4D89-B232-003719D61079}"/>
    <cellStyle name="Note 2 11 8 3" xfId="33837" xr:uid="{9666E4E6-1C86-45DB-BCFA-2506EB64893F}"/>
    <cellStyle name="Note 2 11 8 4" xfId="33838" xr:uid="{33FD6A46-311E-4FB5-9233-D6CD395CB514}"/>
    <cellStyle name="Note 2 11 9" xfId="15036" xr:uid="{7A59E2B4-D954-4547-8057-05060CD841CE}"/>
    <cellStyle name="Note 2 11 9 2" xfId="15037" xr:uid="{DDC43850-3F05-4FE1-8D9B-2CB83435A6E6}"/>
    <cellStyle name="Note 2 11 9 3" xfId="33839" xr:uid="{7C463E1F-5DF7-4997-821B-4B8D2D4101F6}"/>
    <cellStyle name="Note 2 11 9 4" xfId="33840" xr:uid="{5B01D004-8E38-4299-929A-A046F810624F}"/>
    <cellStyle name="Note 2 12" xfId="15038" xr:uid="{A4278C57-F2BB-4065-98E0-BD21AA7B47AD}"/>
    <cellStyle name="Note 2 12 10" xfId="15039" xr:uid="{FA098845-FFF6-43C3-B00D-6D23D58784FA}"/>
    <cellStyle name="Note 2 12 10 2" xfId="33841" xr:uid="{14507AC3-BEC9-4534-BC3C-D3CE2A71A734}"/>
    <cellStyle name="Note 2 12 11" xfId="15040" xr:uid="{E08FCA13-3067-471E-B84E-F8BAD1BFB9DF}"/>
    <cellStyle name="Note 2 12 11 2" xfId="33842" xr:uid="{BE3E2E7F-3831-4117-84C2-9EE40E9C6D83}"/>
    <cellStyle name="Note 2 12 12" xfId="33843" xr:uid="{74222E20-DB2B-47E6-8E3B-9ABC707CE00F}"/>
    <cellStyle name="Note 2 12 13" xfId="33844" xr:uid="{8C79A726-F5C2-48C3-8EB3-7CC90A64C5F9}"/>
    <cellStyle name="Note 2 12 2" xfId="15041" xr:uid="{6D790425-825F-4136-A2FE-59E665C78FAE}"/>
    <cellStyle name="Note 2 12 2 10" xfId="15042" xr:uid="{43A7E57F-8623-4E69-BEEB-9DA0C97FDF34}"/>
    <cellStyle name="Note 2 12 2 10 2" xfId="33845" xr:uid="{D4A39180-FC24-47DA-8950-A2D010FA2FC3}"/>
    <cellStyle name="Note 2 12 2 11" xfId="33846" xr:uid="{B525A29C-290D-4AFA-A524-50E43B00E6CC}"/>
    <cellStyle name="Note 2 12 2 12" xfId="33847" xr:uid="{60B1ABDE-4B6E-4ED8-AA46-C94C58B94865}"/>
    <cellStyle name="Note 2 12 2 2" xfId="15043" xr:uid="{A1F22789-E77E-4C15-AE86-3EA481568932}"/>
    <cellStyle name="Note 2 12 2 2 2" xfId="15044" xr:uid="{8455E12D-EB68-477E-9380-2C6D20A7B638}"/>
    <cellStyle name="Note 2 12 2 2 2 2" xfId="15045" xr:uid="{19826C54-2191-4056-AA37-977DFF7FC7A1}"/>
    <cellStyle name="Note 2 12 2 2 2 3" xfId="33848" xr:uid="{6D10DAE0-6288-4202-BF3A-F90203D25083}"/>
    <cellStyle name="Note 2 12 2 2 3" xfId="15046" xr:uid="{37ADAE24-098A-48DD-AF3B-36B9910F8992}"/>
    <cellStyle name="Note 2 12 2 2 3 2" xfId="33849" xr:uid="{873D9202-572F-43B0-9EDD-D9B8DAA6D309}"/>
    <cellStyle name="Note 2 12 2 2 4" xfId="15047" xr:uid="{5DFB44D1-6ADF-47E2-984A-EBC21FD0ABF7}"/>
    <cellStyle name="Note 2 12 2 2 4 2" xfId="33850" xr:uid="{D31DA7F5-7D04-4301-B6E7-9A80358C9687}"/>
    <cellStyle name="Note 2 12 2 2 5" xfId="33851" xr:uid="{F205BFE1-CDE6-4B96-8842-1C3878FBDF39}"/>
    <cellStyle name="Note 2 12 2 2 6" xfId="33852" xr:uid="{2DB8ACD4-EA22-427F-AE2A-3E8E01D53533}"/>
    <cellStyle name="Note 2 12 2 2 7" xfId="33853" xr:uid="{D3559B25-BB0B-47A9-B693-721E5C9CE126}"/>
    <cellStyle name="Note 2 12 2 2 8" xfId="33854" xr:uid="{44CCDDE4-F5C0-4C22-9B78-1FCCF7A14D67}"/>
    <cellStyle name="Note 2 12 2 3" xfId="15048" xr:uid="{2EF805AE-8BAD-4C0B-976D-DF0A13D634FE}"/>
    <cellStyle name="Note 2 12 2 3 2" xfId="15049" xr:uid="{6FAC9D12-24A7-4D6B-A8FE-A692758C52EF}"/>
    <cellStyle name="Note 2 12 2 3 2 2" xfId="33855" xr:uid="{AF0B2B7B-94AE-4E15-9308-457F4465489B}"/>
    <cellStyle name="Note 2 12 2 3 2 3" xfId="33856" xr:uid="{D03D55CF-1124-4450-98D3-F2BC7DDF4661}"/>
    <cellStyle name="Note 2 12 2 3 3" xfId="15050" xr:uid="{311EF090-B644-4F39-97B7-615660421F5C}"/>
    <cellStyle name="Note 2 12 2 3 3 2" xfId="33857" xr:uid="{601A5576-4A5A-4C8E-A0C0-38DF1A85B3E0}"/>
    <cellStyle name="Note 2 12 2 3 4" xfId="33858" xr:uid="{2FEF6056-C01A-47D9-8BB6-38E3CF37FAB5}"/>
    <cellStyle name="Note 2 12 2 3 4 2" xfId="33859" xr:uid="{BCA32A07-FC7E-4185-A472-D96269A8CA58}"/>
    <cellStyle name="Note 2 12 2 3 5" xfId="33860" xr:uid="{1D4E4011-B5B8-43F0-8DF2-3F3AEF6A6468}"/>
    <cellStyle name="Note 2 12 2 3 6" xfId="33861" xr:uid="{AA5C04E0-96A8-466E-BBFE-039A0A9900F3}"/>
    <cellStyle name="Note 2 12 2 3 7" xfId="33862" xr:uid="{7FD79085-6375-4780-8DE1-C0B70C3C8062}"/>
    <cellStyle name="Note 2 12 2 3 8" xfId="33863" xr:uid="{F193DA9A-9087-417D-B460-8F852033A075}"/>
    <cellStyle name="Note 2 12 2 4" xfId="15051" xr:uid="{45D15BFC-6DA2-40A1-B40E-BF787FEB7CD9}"/>
    <cellStyle name="Note 2 12 2 4 2" xfId="15052" xr:uid="{324A54D8-0880-4DA4-840D-BD2A7EE48421}"/>
    <cellStyle name="Note 2 12 2 4 2 2" xfId="33864" xr:uid="{492BAFEA-2B5D-4646-B644-9831F60ABE09}"/>
    <cellStyle name="Note 2 12 2 4 3" xfId="33865" xr:uid="{C684F9F0-3FE8-4B37-978A-557FC06A4978}"/>
    <cellStyle name="Note 2 12 2 4 4" xfId="33866" xr:uid="{3C2A2D24-7704-4AED-ADF8-5EEE1EBE42AC}"/>
    <cellStyle name="Note 2 12 2 5" xfId="15053" xr:uid="{B79CBE48-0BA7-46E7-8791-F89C1F437FA7}"/>
    <cellStyle name="Note 2 12 2 5 2" xfId="15054" xr:uid="{E541EE3B-A4E1-4650-8F79-E1A35C81306D}"/>
    <cellStyle name="Note 2 12 2 5 3" xfId="15055" xr:uid="{C1795CEC-706A-45EC-B634-002302CA4A44}"/>
    <cellStyle name="Note 2 12 2 5 4" xfId="33867" xr:uid="{4B28F1E2-9CC5-4705-935C-8F952ED1024A}"/>
    <cellStyle name="Note 2 12 2 6" xfId="15056" xr:uid="{6F51C738-9251-460D-8927-794E38BE5F55}"/>
    <cellStyle name="Note 2 12 2 6 2" xfId="15057" xr:uid="{1F282FB7-9C88-4091-900F-860C64E6E66B}"/>
    <cellStyle name="Note 2 12 2 6 3" xfId="33868" xr:uid="{E33C4B61-AE94-47A9-9503-EAFACFC9D06D}"/>
    <cellStyle name="Note 2 12 2 6 4" xfId="33869" xr:uid="{1A6AEB0B-B438-4C85-ABFD-0890DADE1831}"/>
    <cellStyle name="Note 2 12 2 7" xfId="15058" xr:uid="{8B3C40F4-7C9B-4F81-8D00-89210FC242C0}"/>
    <cellStyle name="Note 2 12 2 7 2" xfId="15059" xr:uid="{4805FA1E-E277-4135-AE77-A2600AD5F3CA}"/>
    <cellStyle name="Note 2 12 2 7 3" xfId="33870" xr:uid="{A44887E3-DFDC-4D87-96F8-200967FEE6C1}"/>
    <cellStyle name="Note 2 12 2 7 4" xfId="33871" xr:uid="{2C8B9753-6CAB-4EBA-B19A-C6780999BDFC}"/>
    <cellStyle name="Note 2 12 2 8" xfId="15060" xr:uid="{A2C20EE2-F029-4548-9113-F7BB859385E8}"/>
    <cellStyle name="Note 2 12 2 8 2" xfId="15061" xr:uid="{1349BAFB-A1EF-4CCE-A3B9-1574B7D03EDF}"/>
    <cellStyle name="Note 2 12 2 8 3" xfId="33872" xr:uid="{DD57FBF4-B941-4AAA-840D-37FE0F6CD5CF}"/>
    <cellStyle name="Note 2 12 2 8 4" xfId="33873" xr:uid="{4262A4AF-4364-49AC-BD35-FD07B6DE5A66}"/>
    <cellStyle name="Note 2 12 2 9" xfId="15062" xr:uid="{BA250F1E-F37F-4674-B3B4-E58BBBF07312}"/>
    <cellStyle name="Note 2 12 2 9 2" xfId="33874" xr:uid="{E8D444FE-6178-48E0-BA27-3872311B4F94}"/>
    <cellStyle name="Note 2 12 3" xfId="15063" xr:uid="{5C061B10-E44F-4B2D-B313-A0D913A1A411}"/>
    <cellStyle name="Note 2 12 3 2" xfId="15064" xr:uid="{ED968BF5-E42C-45E8-9545-2206FC20F061}"/>
    <cellStyle name="Note 2 12 3 2 2" xfId="15065" xr:uid="{AF7FF895-DC5C-4AEC-9BD0-97062E69F7D2}"/>
    <cellStyle name="Note 2 12 3 3" xfId="15066" xr:uid="{73EE7243-AFAB-4739-8BF2-831D90C1BDB9}"/>
    <cellStyle name="Note 2 12 3 4" xfId="33875" xr:uid="{FA68385F-EF5A-40DA-9050-F1D5C4DEA150}"/>
    <cellStyle name="Note 2 12 4" xfId="15067" xr:uid="{1CD9A70A-808E-4EDC-9514-12C8DA1A2F8B}"/>
    <cellStyle name="Note 2 12 4 2" xfId="15068" xr:uid="{4F976039-F6A4-40BE-A15E-BC4EDE7C955E}"/>
    <cellStyle name="Note 2 12 4 3" xfId="33876" xr:uid="{29C336AE-95BC-4EB4-A54E-A609DAAB9776}"/>
    <cellStyle name="Note 2 12 4 4" xfId="33877" xr:uid="{ED1437D4-CAF6-4D89-A9C5-4806C9D56EC7}"/>
    <cellStyle name="Note 2 12 5" xfId="15069" xr:uid="{9D118C97-F190-4AE9-A6B1-2A6B75156162}"/>
    <cellStyle name="Note 2 12 5 2" xfId="15070" xr:uid="{8753FED4-7A77-4B9A-9BB4-851E2D7F5828}"/>
    <cellStyle name="Note 2 12 5 3" xfId="33878" xr:uid="{33E76AB8-D9DC-4A58-A645-A0F46AA64B68}"/>
    <cellStyle name="Note 2 12 5 4" xfId="33879" xr:uid="{B6042178-9BB9-4FA1-94AC-0FA94844AC9C}"/>
    <cellStyle name="Note 2 12 6" xfId="15071" xr:uid="{E0162A82-5F9B-445D-AA87-1A972AD4EBF1}"/>
    <cellStyle name="Note 2 12 6 2" xfId="15072" xr:uid="{9A13EC3A-6116-4786-ADF6-2369DE1C8C78}"/>
    <cellStyle name="Note 2 12 6 3" xfId="33880" xr:uid="{A1382E3B-E072-4358-8215-7A7F20F3DE64}"/>
    <cellStyle name="Note 2 12 6 4" xfId="33881" xr:uid="{D20243F5-3215-42B8-9B32-27FBB7CA071B}"/>
    <cellStyle name="Note 2 12 7" xfId="15073" xr:uid="{A4252F85-5381-4F6E-92E2-00256E1DABA3}"/>
    <cellStyle name="Note 2 12 7 2" xfId="15074" xr:uid="{64A7362E-6872-42BB-A459-04082DBC3480}"/>
    <cellStyle name="Note 2 12 7 3" xfId="33882" xr:uid="{EFD5A074-CEFA-451B-B47A-7F7676A91A6D}"/>
    <cellStyle name="Note 2 12 7 4" xfId="33883" xr:uid="{87087517-026D-4578-9AE5-B53DB25D6343}"/>
    <cellStyle name="Note 2 12 8" xfId="15075" xr:uid="{D4CCF720-4F1B-4237-A849-114D2AC5532F}"/>
    <cellStyle name="Note 2 12 8 2" xfId="15076" xr:uid="{FF46A2AB-B622-4123-958E-843BFF45EAAD}"/>
    <cellStyle name="Note 2 12 8 3" xfId="33884" xr:uid="{190F7649-A236-4267-8B43-A44BC7C6830D}"/>
    <cellStyle name="Note 2 12 8 4" xfId="33885" xr:uid="{486F0E99-262C-4CDA-819D-CD23B420DA78}"/>
    <cellStyle name="Note 2 12 9" xfId="15077" xr:uid="{D18AED35-0FC2-4590-A006-689BAE2BEC19}"/>
    <cellStyle name="Note 2 12 9 2" xfId="15078" xr:uid="{8895EA89-F8DF-438D-A7CA-C96A0FADA370}"/>
    <cellStyle name="Note 2 12 9 3" xfId="33886" xr:uid="{344484C9-01DD-4B1E-BB1A-CBDC9819A114}"/>
    <cellStyle name="Note 2 12 9 4" xfId="33887" xr:uid="{42A63C3E-C1EE-418E-AAB0-CE731860C3F5}"/>
    <cellStyle name="Note 2 13" xfId="15079" xr:uid="{1C7F60D1-2D8F-494B-897F-91A11155ED5B}"/>
    <cellStyle name="Note 2 13 10" xfId="15080" xr:uid="{B2E9148A-F6B7-484E-B4C0-57B11981A7BA}"/>
    <cellStyle name="Note 2 13 10 2" xfId="33888" xr:uid="{2BA1B65A-FF88-4712-BA63-935293D59A7C}"/>
    <cellStyle name="Note 2 13 11" xfId="15081" xr:uid="{BF23E866-1EB9-45B1-B85A-F4859C49CBF3}"/>
    <cellStyle name="Note 2 13 11 2" xfId="33889" xr:uid="{9A71A952-D9EF-4D1E-9CBF-29FD66477E32}"/>
    <cellStyle name="Note 2 13 12" xfId="33890" xr:uid="{E322F5D5-8DE2-486F-B374-0BAF31E02910}"/>
    <cellStyle name="Note 2 13 13" xfId="33891" xr:uid="{65A19D3F-E250-4FED-93D4-D11BABFFC709}"/>
    <cellStyle name="Note 2 13 2" xfId="15082" xr:uid="{FE1CC6BC-309D-448D-ADB3-7CBAADBBA348}"/>
    <cellStyle name="Note 2 13 2 10" xfId="15083" xr:uid="{B0A3F735-03C4-403F-8E43-D5976901CF09}"/>
    <cellStyle name="Note 2 13 2 10 2" xfId="33892" xr:uid="{186337B7-B7BB-475E-AE8C-2947DC39706D}"/>
    <cellStyle name="Note 2 13 2 11" xfId="33893" xr:uid="{ED6E58EE-7A8C-488A-BDAE-D1C35C318A07}"/>
    <cellStyle name="Note 2 13 2 2" xfId="15084" xr:uid="{2407266D-D7B7-46F0-892B-DDB0BCA648B4}"/>
    <cellStyle name="Note 2 13 2 2 2" xfId="15085" xr:uid="{F0229EFC-DC39-493C-9F27-379EBC21CFA4}"/>
    <cellStyle name="Note 2 13 2 2 2 2" xfId="15086" xr:uid="{D45EE4CD-C0E1-4518-9D90-EA6A36B08F2A}"/>
    <cellStyle name="Note 2 13 2 2 3" xfId="15087" xr:uid="{47F7C58E-F190-461B-8453-BBCAD04CF8A0}"/>
    <cellStyle name="Note 2 13 2 2 4" xfId="33894" xr:uid="{94B1AB0F-6926-49BF-8277-637A608241E4}"/>
    <cellStyle name="Note 2 13 2 3" xfId="15088" xr:uid="{FDFF9145-9C0D-4DD0-98AD-70E290E83110}"/>
    <cellStyle name="Note 2 13 2 3 2" xfId="15089" xr:uid="{49BAE8D6-8EA0-4B21-AC47-665EF91FDCDB}"/>
    <cellStyle name="Note 2 13 2 3 3" xfId="33895" xr:uid="{BC271EE8-3031-4EF0-88C6-D0AC8A586BAC}"/>
    <cellStyle name="Note 2 13 2 3 4" xfId="33896" xr:uid="{61F7252F-49B7-46D0-8BED-7EE56894F0B5}"/>
    <cellStyle name="Note 2 13 2 4" xfId="15090" xr:uid="{B3C37047-0A15-4662-86D4-42BE4098E136}"/>
    <cellStyle name="Note 2 13 2 4 2" xfId="15091" xr:uid="{0EEED393-0E1A-4B01-9C0C-89776A471678}"/>
    <cellStyle name="Note 2 13 2 4 3" xfId="33897" xr:uid="{A3250204-0070-4B84-8627-E28F997A1D74}"/>
    <cellStyle name="Note 2 13 2 4 4" xfId="33898" xr:uid="{B2631608-9483-429A-BF5D-327E9A20AAAD}"/>
    <cellStyle name="Note 2 13 2 5" xfId="15092" xr:uid="{F1A65031-0BEB-4EFD-8A8A-551026F1AAB4}"/>
    <cellStyle name="Note 2 13 2 5 2" xfId="15093" xr:uid="{16920371-CEF9-40A1-95B4-5E0CCDDFC651}"/>
    <cellStyle name="Note 2 13 2 5 3" xfId="33899" xr:uid="{15C35E04-5DFF-4770-A228-8CD2DFB21492}"/>
    <cellStyle name="Note 2 13 2 5 4" xfId="33900" xr:uid="{4D7334C1-5045-400A-B34A-AD0ADBD0911D}"/>
    <cellStyle name="Note 2 13 2 6" xfId="15094" xr:uid="{10F1C07E-6F94-4C7C-A8C3-EC0958BD49F8}"/>
    <cellStyle name="Note 2 13 2 6 2" xfId="15095" xr:uid="{ED4F3AD7-BFDD-4AC8-9029-F1F0A9738DF1}"/>
    <cellStyle name="Note 2 13 2 6 3" xfId="33901" xr:uid="{38C553B0-1A5E-4DE2-889D-BCEAEB831455}"/>
    <cellStyle name="Note 2 13 2 6 4" xfId="33902" xr:uid="{B2CA21F6-FFDE-4EBC-B411-A4D254D6122C}"/>
    <cellStyle name="Note 2 13 2 7" xfId="15096" xr:uid="{802FA612-7FDC-45BC-9A94-CF1B5E9D58E6}"/>
    <cellStyle name="Note 2 13 2 7 2" xfId="15097" xr:uid="{003D6E25-7468-4523-9B28-701542F45B95}"/>
    <cellStyle name="Note 2 13 2 7 3" xfId="33903" xr:uid="{99F9FBED-2389-4EDC-AE2A-4BD99C3B9EC3}"/>
    <cellStyle name="Note 2 13 2 7 4" xfId="33904" xr:uid="{2635FA35-224A-49F2-84B9-6275F3AB545C}"/>
    <cellStyle name="Note 2 13 2 8" xfId="15098" xr:uid="{3B1DCF1A-9B1C-41C9-88AE-CB9FD7979776}"/>
    <cellStyle name="Note 2 13 2 8 2" xfId="15099" xr:uid="{DECDDF0F-0B20-4907-ADD5-56B596CB5548}"/>
    <cellStyle name="Note 2 13 2 8 3" xfId="33905" xr:uid="{31648C9E-0C06-4895-914E-1565E6DD6992}"/>
    <cellStyle name="Note 2 13 2 8 4" xfId="33906" xr:uid="{AF1302DE-8DA0-4C83-80F9-255F4208913F}"/>
    <cellStyle name="Note 2 13 2 9" xfId="15100" xr:uid="{FA9CFFAF-5226-4F77-9E3A-11EC6EC4213D}"/>
    <cellStyle name="Note 2 13 2 9 2" xfId="33907" xr:uid="{85B814AD-2342-4862-933C-52D77DB7EC7A}"/>
    <cellStyle name="Note 2 13 3" xfId="15101" xr:uid="{D83D6B3D-F6C9-4DB6-A0DA-8BF958917BD7}"/>
    <cellStyle name="Note 2 13 3 2" xfId="15102" xr:uid="{C6172A7A-161C-440F-B490-B452CD3B1FAC}"/>
    <cellStyle name="Note 2 13 3 2 2" xfId="15103" xr:uid="{17317AAD-FC3A-4814-98C8-C400E361B3FB}"/>
    <cellStyle name="Note 2 13 3 3" xfId="15104" xr:uid="{6D1E1D5C-1A57-4A00-8E36-370CEFCDD007}"/>
    <cellStyle name="Note 2 13 3 4" xfId="33908" xr:uid="{D7119008-2CD3-468F-8E63-71FE4F7AA5BD}"/>
    <cellStyle name="Note 2 13 4" xfId="15105" xr:uid="{0B99912F-9A25-4AF9-88F3-E51510211CDC}"/>
    <cellStyle name="Note 2 13 4 2" xfId="15106" xr:uid="{C346573D-F7E9-42AA-9106-7A72387213FB}"/>
    <cellStyle name="Note 2 13 4 3" xfId="33909" xr:uid="{92536BEA-0818-4775-AC11-A68515B5B3DA}"/>
    <cellStyle name="Note 2 13 4 4" xfId="33910" xr:uid="{ADA87156-8647-40BC-AD8E-8E6E671842DD}"/>
    <cellStyle name="Note 2 13 5" xfId="15107" xr:uid="{768367AB-A0B6-4131-BCB5-515BCA7244FC}"/>
    <cellStyle name="Note 2 13 5 2" xfId="15108" xr:uid="{184F8FDB-BD05-4C89-ACBD-B4735636CEA6}"/>
    <cellStyle name="Note 2 13 5 3" xfId="33911" xr:uid="{C5BACF29-9A49-48BA-A075-C1F3E3A33272}"/>
    <cellStyle name="Note 2 13 5 4" xfId="33912" xr:uid="{CEE26A49-D084-4551-8A86-17252FABD464}"/>
    <cellStyle name="Note 2 13 6" xfId="15109" xr:uid="{A8415CF4-ADBC-4E1B-9074-19A512B7204F}"/>
    <cellStyle name="Note 2 13 6 2" xfId="15110" xr:uid="{F5DC866C-D4C3-46F1-8719-065878ACDF33}"/>
    <cellStyle name="Note 2 13 6 3" xfId="33913" xr:uid="{2F71EB05-9E55-4D1E-BC4D-4A99D7A7C016}"/>
    <cellStyle name="Note 2 13 6 4" xfId="33914" xr:uid="{F2AD4862-0DF7-4749-8482-A0AC536C5366}"/>
    <cellStyle name="Note 2 13 7" xfId="15111" xr:uid="{69223F73-FFCA-448B-B8D8-6ED3DF5AEBBE}"/>
    <cellStyle name="Note 2 13 7 2" xfId="15112" xr:uid="{589D3360-A64E-49A7-ABDB-679D7A70A2A0}"/>
    <cellStyle name="Note 2 13 7 3" xfId="33915" xr:uid="{894CCE28-A3EA-4437-B249-8F634C7006D9}"/>
    <cellStyle name="Note 2 13 7 4" xfId="33916" xr:uid="{BAE6D9C5-E908-4907-88CB-68CB9835C1E6}"/>
    <cellStyle name="Note 2 13 8" xfId="15113" xr:uid="{6B0DDD65-1DA4-4C24-A854-1C3BB6D7DE21}"/>
    <cellStyle name="Note 2 13 8 2" xfId="15114" xr:uid="{46FD4327-2F3F-4B5F-ABE7-C03F0906B0EC}"/>
    <cellStyle name="Note 2 13 8 3" xfId="33917" xr:uid="{BA3EB7D9-ED7C-4AB4-AFD8-CC7FE8BB6B50}"/>
    <cellStyle name="Note 2 13 8 4" xfId="33918" xr:uid="{396D7BBA-3065-4F7E-AE18-A43DB74DEF47}"/>
    <cellStyle name="Note 2 13 9" xfId="15115" xr:uid="{D92A4CE3-6994-4B7D-97D4-495323EFBFAC}"/>
    <cellStyle name="Note 2 13 9 2" xfId="15116" xr:uid="{822F54BE-5199-47E0-917F-A63BDD19FD9F}"/>
    <cellStyle name="Note 2 13 9 3" xfId="33919" xr:uid="{DBD0C268-A120-42F7-8FA3-D12B80836454}"/>
    <cellStyle name="Note 2 13 9 4" xfId="33920" xr:uid="{6837E7FC-EC65-4328-9590-8F2FC5CBBB08}"/>
    <cellStyle name="Note 2 14" xfId="15117" xr:uid="{ACA78FE7-C259-411E-9892-52607B07581C}"/>
    <cellStyle name="Note 2 14 10" xfId="15118" xr:uid="{F1320C5A-502C-49EB-B6C6-9AAAD46D44D6}"/>
    <cellStyle name="Note 2 14 10 2" xfId="33921" xr:uid="{EABA09A7-36EF-491C-AFFD-4F07EC1FE922}"/>
    <cellStyle name="Note 2 14 11" xfId="33922" xr:uid="{95AF9FA7-48A3-4D0A-AA8C-87195D9BE5C1}"/>
    <cellStyle name="Note 2 14 12" xfId="33923" xr:uid="{30418B5F-52E8-48E9-AEE0-D991BE5EB290}"/>
    <cellStyle name="Note 2 14 2" xfId="15119" xr:uid="{F7B9ACB0-9554-4055-8E1C-26F46AF113C6}"/>
    <cellStyle name="Note 2 14 2 2" xfId="15120" xr:uid="{D0CD7BC5-C7D6-4896-B9CB-B66618150890}"/>
    <cellStyle name="Note 2 14 2 2 2" xfId="15121" xr:uid="{C48259D4-07FE-4232-B408-EC0300CAFC79}"/>
    <cellStyle name="Note 2 14 2 2 3" xfId="33924" xr:uid="{F891E593-229D-4727-9F71-904380FFF65B}"/>
    <cellStyle name="Note 2 14 2 3" xfId="15122" xr:uid="{81CB99FF-FFD0-4A18-B28E-D409E0C903D1}"/>
    <cellStyle name="Note 2 14 2 3 2" xfId="33925" xr:uid="{294BE4A1-7D4B-4F19-B345-541F7CED961E}"/>
    <cellStyle name="Note 2 14 2 4" xfId="33926" xr:uid="{9060D74D-58B7-4A46-9B35-CF88303778D1}"/>
    <cellStyle name="Note 2 14 2 5" xfId="33927" xr:uid="{400F4132-BFCA-4F96-8977-64B6FD87DAE0}"/>
    <cellStyle name="Note 2 14 2 6" xfId="33928" xr:uid="{44E625F4-F7B7-424E-9DCF-6C087D5F2028}"/>
    <cellStyle name="Note 2 14 3" xfId="15123" xr:uid="{AC238180-35D2-4D4F-804D-45C0CC7D6B26}"/>
    <cellStyle name="Note 2 14 3 2" xfId="15124" xr:uid="{DCED56C1-CB36-40A8-96A6-AFEE45779AF3}"/>
    <cellStyle name="Note 2 14 3 2 2" xfId="33929" xr:uid="{6CD5E675-B86E-46CD-A7F3-263B5D2F48DE}"/>
    <cellStyle name="Note 2 14 3 2 3" xfId="33930" xr:uid="{717CC07E-520A-454E-829A-F1DB7B468684}"/>
    <cellStyle name="Note 2 14 3 3" xfId="15125" xr:uid="{83302D8E-4011-487F-9B0E-D1FBAB8B0714}"/>
    <cellStyle name="Note 2 14 3 3 2" xfId="33931" xr:uid="{E8C67889-424D-461C-811E-5C6F3B17C82B}"/>
    <cellStyle name="Note 2 14 3 4" xfId="33932" xr:uid="{1F406236-4E10-4CF6-8EB2-A1942BD79E8B}"/>
    <cellStyle name="Note 2 14 3 4 2" xfId="33933" xr:uid="{C4AC6917-75A4-4C19-92DD-8934FD0ABC54}"/>
    <cellStyle name="Note 2 14 3 5" xfId="33934" xr:uid="{57550185-87C1-4A88-95A9-EC23022397F1}"/>
    <cellStyle name="Note 2 14 3 6" xfId="33935" xr:uid="{75AF96D4-AB71-46B2-BB52-75265AE091E4}"/>
    <cellStyle name="Note 2 14 3 7" xfId="33936" xr:uid="{FC538E91-3081-4657-949E-9F89E0C1996C}"/>
    <cellStyle name="Note 2 14 3 8" xfId="33937" xr:uid="{FB5891B1-66CC-4A32-A89A-D2D976FA5697}"/>
    <cellStyle name="Note 2 14 4" xfId="15126" xr:uid="{FBC01B4D-529A-42A0-ADDF-2BC24481D227}"/>
    <cellStyle name="Note 2 14 4 2" xfId="15127" xr:uid="{5A612658-5210-4AA7-A417-FC0BE681392E}"/>
    <cellStyle name="Note 2 14 4 3" xfId="33938" xr:uid="{413A3A56-05B3-49D5-840C-1127A90A0E8F}"/>
    <cellStyle name="Note 2 14 4 4" xfId="33939" xr:uid="{8C9DF251-DC4C-450E-86AF-21D0DDDC8824}"/>
    <cellStyle name="Note 2 14 5" xfId="15128" xr:uid="{3E99AE37-F932-4905-8A6C-BACC320C5B78}"/>
    <cellStyle name="Note 2 14 5 2" xfId="15129" xr:uid="{DA7B57CC-6795-44FB-A14C-3E5A4CD5EB85}"/>
    <cellStyle name="Note 2 14 5 3" xfId="33940" xr:uid="{F75A3D61-1DA4-47D6-B0FF-1738385F0A6F}"/>
    <cellStyle name="Note 2 14 5 4" xfId="33941" xr:uid="{CEB15321-5326-425B-A1F5-443705044A15}"/>
    <cellStyle name="Note 2 14 6" xfId="15130" xr:uid="{DF900582-63C7-488C-A1A6-5F26BE37B536}"/>
    <cellStyle name="Note 2 14 6 2" xfId="15131" xr:uid="{EF8A7CA0-43BB-4FAC-8A40-92F582E7082D}"/>
    <cellStyle name="Note 2 14 6 3" xfId="33942" xr:uid="{FCE98513-A0E5-4ADF-9041-A347CBD0103F}"/>
    <cellStyle name="Note 2 14 6 4" xfId="33943" xr:uid="{B3ED068E-A270-4890-862E-D6F4CCF193CB}"/>
    <cellStyle name="Note 2 14 7" xfId="15132" xr:uid="{7B9860AE-5D4B-41B7-A314-3364077514C2}"/>
    <cellStyle name="Note 2 14 7 2" xfId="15133" xr:uid="{408E3E8C-D8D3-4A61-9D7E-AF0550C1CE6A}"/>
    <cellStyle name="Note 2 14 7 3" xfId="33944" xr:uid="{7ABB4817-A337-49DC-AD3B-2867978D45B9}"/>
    <cellStyle name="Note 2 14 7 4" xfId="33945" xr:uid="{80D0B579-9E61-41BB-A191-3897014ACF47}"/>
    <cellStyle name="Note 2 14 8" xfId="15134" xr:uid="{85897642-F145-4AE0-8FFA-17E9FBE6F884}"/>
    <cellStyle name="Note 2 14 8 2" xfId="15135" xr:uid="{9C2C93DF-8C13-477F-A789-202D1440BE22}"/>
    <cellStyle name="Note 2 14 8 3" xfId="33946" xr:uid="{DC90D1CF-6B60-403E-B0B2-B58E7940988A}"/>
    <cellStyle name="Note 2 14 8 4" xfId="33947" xr:uid="{06859D9B-ACBD-420A-8482-E3C1A3CDB5BF}"/>
    <cellStyle name="Note 2 14 9" xfId="15136" xr:uid="{1E84CA5B-C620-4902-9645-B87666E24105}"/>
    <cellStyle name="Note 2 14 9 2" xfId="33948" xr:uid="{831E3FFE-E649-4875-B09D-7C6874A1C030}"/>
    <cellStyle name="Note 2 15" xfId="15137" xr:uid="{F8CD29E3-6800-4FF1-BBDF-ACE8733FA15E}"/>
    <cellStyle name="Note 2 15 2" xfId="15138" xr:uid="{8D3C033D-D1AA-425C-BDDA-C2359EC87C7A}"/>
    <cellStyle name="Note 2 15 2 2" xfId="15139" xr:uid="{40831879-E584-4AFA-BCAF-F4FE693EA05D}"/>
    <cellStyle name="Note 2 15 2 2 2" xfId="33949" xr:uid="{B7135481-C4EF-47F3-B3B7-F14035DA48A4}"/>
    <cellStyle name="Note 2 15 2 3" xfId="15140" xr:uid="{C24293F9-C657-47A7-98EC-FFDEC5107124}"/>
    <cellStyle name="Note 2 15 2 3 2" xfId="33950" xr:uid="{299F24F0-6A43-47A7-8D47-14704F088232}"/>
    <cellStyle name="Note 2 15 2 4" xfId="33951" xr:uid="{B11270F2-FA81-45D4-B99F-01F9961B3A17}"/>
    <cellStyle name="Note 2 15 2 5" xfId="33952" xr:uid="{B400E85C-020F-40B7-818F-12119DB8BB66}"/>
    <cellStyle name="Note 2 15 2 6" xfId="33953" xr:uid="{50DFA9CA-DD3F-4D17-9366-C411E55B4B94}"/>
    <cellStyle name="Note 2 15 2 7" xfId="33954" xr:uid="{AD6D2A76-9145-4D8E-B3A1-68E2D0133909}"/>
    <cellStyle name="Note 2 15 3" xfId="15141" xr:uid="{AFCC6753-29FE-4AEC-B9D9-D8052B1F8052}"/>
    <cellStyle name="Note 2 15 3 2" xfId="33955" xr:uid="{10EC17F3-8AAB-48F9-B29A-43BD92DCA25C}"/>
    <cellStyle name="Note 2 15 4" xfId="33956" xr:uid="{BF611D4C-C9E4-45EE-89D9-2F57F202CA29}"/>
    <cellStyle name="Note 2 15 4 2" xfId="33957" xr:uid="{CEA721C9-911B-4F0E-BA7C-20C1DC779F84}"/>
    <cellStyle name="Note 2 15 5" xfId="33958" xr:uid="{5B2CF388-2C88-431D-96C0-CECEDB7AFC99}"/>
    <cellStyle name="Note 2 15 6" xfId="33959" xr:uid="{F981DA2A-6041-48B0-BD5D-8DE6F5808BFC}"/>
    <cellStyle name="Note 2 15 7" xfId="33960" xr:uid="{D0581290-7E57-4606-8340-E692EB57B760}"/>
    <cellStyle name="Note 2 15 8" xfId="33961" xr:uid="{DCF3B31A-84C3-4E8B-8A68-D706BC3A1EFD}"/>
    <cellStyle name="Note 2 16" xfId="15142" xr:uid="{3E040EF9-D4DD-4941-9D2B-45A84DB5BCF5}"/>
    <cellStyle name="Note 2 16 2" xfId="15143" xr:uid="{AC0A2811-E891-493B-82EB-F7A6AAEB0FBF}"/>
    <cellStyle name="Note 2 16 2 2" xfId="33962" xr:uid="{4CD4B4B4-1C7C-4085-9012-FAA35B44DC6F}"/>
    <cellStyle name="Note 2 16 2 3" xfId="33963" xr:uid="{E5D7FD9A-7DA9-4C0E-B382-E4A19151BBBE}"/>
    <cellStyle name="Note 2 16 3" xfId="33964" xr:uid="{B4EEA747-4734-4A25-A906-9B68750CDCE6}"/>
    <cellStyle name="Note 2 16 3 2" xfId="33965" xr:uid="{B5144015-08F8-4EAF-88E5-91FA04B8097F}"/>
    <cellStyle name="Note 2 16 4" xfId="33966" xr:uid="{47BE102D-B50F-45F9-81F9-9C007BCBC592}"/>
    <cellStyle name="Note 2 16 5" xfId="33967" xr:uid="{FD28D016-0A3C-49B6-8BE7-1BAB248A8B8C}"/>
    <cellStyle name="Note 2 16 6" xfId="33968" xr:uid="{D2D9C228-9ED9-40AF-87D4-72B886CDCCD3}"/>
    <cellStyle name="Note 2 17" xfId="15144" xr:uid="{7DFE76E0-DBDE-470C-B43B-642612D37891}"/>
    <cellStyle name="Note 2 17 2" xfId="15145" xr:uid="{FF46DACC-5CC9-410C-A303-72C7D1A16CE8}"/>
    <cellStyle name="Note 2 17 3" xfId="15146" xr:uid="{7D1E181A-68A2-4B05-8AD0-06FD373FF8FA}"/>
    <cellStyle name="Note 2 17 4" xfId="33969" xr:uid="{C09BA3A5-0634-4B7F-BB3F-FAF37BA51D6B}"/>
    <cellStyle name="Note 2 18" xfId="15147" xr:uid="{668F37F9-041E-45D1-8431-4CD196C37D93}"/>
    <cellStyle name="Note 2 18 2" xfId="15148" xr:uid="{1ABF80B9-350A-405B-BF36-1FEBCC70BD3A}"/>
    <cellStyle name="Note 2 18 3" xfId="33970" xr:uid="{E30E2632-DFBA-473E-A38F-82A6EF0DB678}"/>
    <cellStyle name="Note 2 18 4" xfId="33971" xr:uid="{B5B3A4C6-4651-40CF-B1A2-7A22E7117CEA}"/>
    <cellStyle name="Note 2 19" xfId="15149" xr:uid="{3ECB09E1-ECAF-488E-BA50-DE2E5191A1D7}"/>
    <cellStyle name="Note 2 19 2" xfId="15150" xr:uid="{F4BA3368-1635-4540-BCF0-B92B86D618B4}"/>
    <cellStyle name="Note 2 19 3" xfId="33972" xr:uid="{BF088ECC-F9EB-420E-A3AA-386B16591CC3}"/>
    <cellStyle name="Note 2 19 4" xfId="33973" xr:uid="{EBAA722B-EF31-4C95-A36B-3AAFCCD76362}"/>
    <cellStyle name="Note 2 2" xfId="15151" xr:uid="{DF480D2E-E24C-42B2-9887-57E6DAA52FED}"/>
    <cellStyle name="Note 2 2 10" xfId="15152" xr:uid="{46BF6478-3B04-4624-9733-703C56A9642B}"/>
    <cellStyle name="Note 2 2 10 2" xfId="15153" xr:uid="{79B4430F-30F3-429A-AC55-EBA11DE5AC47}"/>
    <cellStyle name="Note 2 2 10 3" xfId="33974" xr:uid="{C535512E-51F8-435D-B217-9179EF469621}"/>
    <cellStyle name="Note 2 2 10 4" xfId="33975" xr:uid="{95ED65FE-EC07-46CF-9280-2DCB36DC6FBE}"/>
    <cellStyle name="Note 2 2 11" xfId="15154" xr:uid="{FD341AD5-F286-4397-942B-084D15A87036}"/>
    <cellStyle name="Note 2 2 11 2" xfId="33976" xr:uid="{099D605E-8CB7-4766-A2CC-D3B9FB8926CB}"/>
    <cellStyle name="Note 2 2 12" xfId="15155" xr:uid="{518F6B19-8EFA-42D3-9A58-427A9D9990D5}"/>
    <cellStyle name="Note 2 2 12 2" xfId="33977" xr:uid="{5A35F109-7CD1-4016-8013-0BBC0A943CCF}"/>
    <cellStyle name="Note 2 2 13" xfId="33978" xr:uid="{DDC80AC1-43B8-4053-A1B3-7C40DDE98D98}"/>
    <cellStyle name="Note 2 2 14" xfId="33979" xr:uid="{591FCA5F-657E-4933-82FC-199B0F576C54}"/>
    <cellStyle name="Note 2 2 15" xfId="44510" xr:uid="{AD17FDBD-70D7-40A3-83BF-857EC973AC0D}"/>
    <cellStyle name="Note 2 2 16" xfId="45271" xr:uid="{267500B7-DD46-428D-B968-E0AD995BA7D1}"/>
    <cellStyle name="Note 2 2 17" xfId="45519" xr:uid="{53D031A5-CB87-4535-AF6C-3CE0BBD2745E}"/>
    <cellStyle name="Note 2 2 2" xfId="15156" xr:uid="{3CEBF4B4-E057-412C-9096-93E2A756FD3E}"/>
    <cellStyle name="Note 2 2 2 10" xfId="15157" xr:uid="{3CF5FDF4-87C1-402E-8C9F-DFD1F86ED09A}"/>
    <cellStyle name="Note 2 2 2 10 2" xfId="33980" xr:uid="{0EB538AF-5F78-400D-89B9-E99F14AC88CC}"/>
    <cellStyle name="Note 2 2 2 11" xfId="33981" xr:uid="{A88804D0-B561-40B6-873C-818E55780CFE}"/>
    <cellStyle name="Note 2 2 2 12" xfId="33982" xr:uid="{1147786B-BB7C-4BF0-9D1F-DAE40543DF37}"/>
    <cellStyle name="Note 2 2 2 13" xfId="44722" xr:uid="{875D688F-1290-40E4-9B44-A55428D956BD}"/>
    <cellStyle name="Note 2 2 2 14" xfId="43985" xr:uid="{4ED5984D-8E2B-4E00-953E-6A66A011550D}"/>
    <cellStyle name="Note 2 2 2 15" xfId="45024" xr:uid="{E88FC207-9AC1-4DC8-AE35-97E4E7819E3D}"/>
    <cellStyle name="Note 2 2 2 2" xfId="15158" xr:uid="{4BDBB4EE-CA63-4EC2-8413-9A7F0E286D35}"/>
    <cellStyle name="Note 2 2 2 2 2" xfId="15159" xr:uid="{98811DB6-EE64-4427-B8FF-6680D6C80950}"/>
    <cellStyle name="Note 2 2 2 2 2 2" xfId="15160" xr:uid="{DA75D175-BEBD-48DB-AE1A-012640491C5D}"/>
    <cellStyle name="Note 2 2 2 2 2 3" xfId="33983" xr:uid="{66377E14-D79F-4F2A-B1A0-5EC7804DE98F}"/>
    <cellStyle name="Note 2 2 2 2 3" xfId="15161" xr:uid="{77ED6A8B-E6E2-4F19-8BD0-34E4E457623E}"/>
    <cellStyle name="Note 2 2 2 2 4" xfId="33984" xr:uid="{B74A9FB0-1A0B-4CA8-A9BA-A1CBCE625861}"/>
    <cellStyle name="Note 2 2 2 3" xfId="15162" xr:uid="{754CB7C3-5B11-4441-9D71-C17D7F237E0B}"/>
    <cellStyle name="Note 2 2 2 3 2" xfId="15163" xr:uid="{E62905E6-7591-4433-A727-32A9E0C96A50}"/>
    <cellStyle name="Note 2 2 2 3 3" xfId="33985" xr:uid="{8594ACF5-C839-4081-A671-2FB3EA8AF23D}"/>
    <cellStyle name="Note 2 2 2 3 4" xfId="33986" xr:uid="{C47FA7A5-41AF-48F8-80EB-E85510E02B66}"/>
    <cellStyle name="Note 2 2 2 4" xfId="15164" xr:uid="{3E6D986C-5E23-4CCE-9814-5BEF4AB77C7E}"/>
    <cellStyle name="Note 2 2 2 4 2" xfId="15165" xr:uid="{F27D43CC-2D18-4EC5-AC8A-5E485049260E}"/>
    <cellStyle name="Note 2 2 2 4 3" xfId="33987" xr:uid="{EDE4A8B7-2D9B-44A9-A0A8-D097FBE49BB3}"/>
    <cellStyle name="Note 2 2 2 4 4" xfId="33988" xr:uid="{B8DC7664-310D-4722-BCAF-C40348382093}"/>
    <cellStyle name="Note 2 2 2 5" xfId="15166" xr:uid="{4A2FF9B7-473F-4FF4-AAEA-5161F9C0CB2F}"/>
    <cellStyle name="Note 2 2 2 5 2" xfId="15167" xr:uid="{4915E3CC-A354-443E-8CEC-55ECD73C8C9C}"/>
    <cellStyle name="Note 2 2 2 5 3" xfId="33989" xr:uid="{72EEBD65-CDB2-4E59-B931-A898D4B3F930}"/>
    <cellStyle name="Note 2 2 2 5 4" xfId="33990" xr:uid="{CFA879A9-82FE-4C54-BE72-FF43FCB5CBA3}"/>
    <cellStyle name="Note 2 2 2 6" xfId="15168" xr:uid="{D731D761-F308-43EF-AE27-9BBFE329F03F}"/>
    <cellStyle name="Note 2 2 2 6 2" xfId="15169" xr:uid="{2992EE52-CF6B-4220-B8D5-AA5E8E0639F2}"/>
    <cellStyle name="Note 2 2 2 6 3" xfId="33991" xr:uid="{0025813A-AF24-493B-B943-987836953BBA}"/>
    <cellStyle name="Note 2 2 2 6 4" xfId="33992" xr:uid="{5CC6E31B-1D00-45F4-8CEB-3131BA19DAB7}"/>
    <cellStyle name="Note 2 2 2 7" xfId="15170" xr:uid="{E7B203E8-740E-4913-947F-28488478E761}"/>
    <cellStyle name="Note 2 2 2 7 2" xfId="15171" xr:uid="{9E29D472-CB3E-4200-A370-9190DA5847AC}"/>
    <cellStyle name="Note 2 2 2 7 3" xfId="33993" xr:uid="{5CCB88F2-D7E6-4667-AE49-0FD95563A0F6}"/>
    <cellStyle name="Note 2 2 2 7 4" xfId="33994" xr:uid="{714A50DC-3D75-4689-B320-74538731D2B7}"/>
    <cellStyle name="Note 2 2 2 8" xfId="15172" xr:uid="{652FBCE5-BD4A-4B1C-A135-0E5B2C3B0872}"/>
    <cellStyle name="Note 2 2 2 8 2" xfId="15173" xr:uid="{69A9CE88-F01A-4237-88C2-1182C5A3A227}"/>
    <cellStyle name="Note 2 2 2 8 3" xfId="33995" xr:uid="{9E84E480-53C6-43A0-A4DC-88BD5C8BEB9B}"/>
    <cellStyle name="Note 2 2 2 8 4" xfId="33996" xr:uid="{24603560-A7B6-4602-BB7F-6A9C3C864877}"/>
    <cellStyle name="Note 2 2 2 9" xfId="15174" xr:uid="{07EEEC8B-FD71-4A45-B9C4-C7ADF98D35AF}"/>
    <cellStyle name="Note 2 2 2 9 2" xfId="33997" xr:uid="{A3C8DF11-0644-48CA-B235-A42454A24CCC}"/>
    <cellStyle name="Note 2 2 3" xfId="15175" xr:uid="{1C75C9E6-D470-4A54-BC4C-8AE97F0C1607}"/>
    <cellStyle name="Note 2 2 3 10" xfId="15176" xr:uid="{013F85B2-E070-43EF-9B95-37C25998D196}"/>
    <cellStyle name="Note 2 2 3 10 2" xfId="33998" xr:uid="{B5283A02-47CF-41AA-AB1A-8C46F9785439}"/>
    <cellStyle name="Note 2 2 3 11" xfId="33999" xr:uid="{BD9DE75E-375F-4A03-A349-74C9632233FE}"/>
    <cellStyle name="Note 2 2 3 12" xfId="34000" xr:uid="{41F8093D-9E11-4A42-AB1A-C9363F3941CD}"/>
    <cellStyle name="Note 2 2 3 2" xfId="15177" xr:uid="{4B089675-03B4-4CA5-AA72-576DC2C4BCC8}"/>
    <cellStyle name="Note 2 2 3 2 2" xfId="15178" xr:uid="{3793A562-CD32-4292-B05F-2F59DC391878}"/>
    <cellStyle name="Note 2 2 3 2 2 2" xfId="15179" xr:uid="{E025EE06-0D84-4490-9D06-A7DBE44C4907}"/>
    <cellStyle name="Note 2 2 3 2 3" xfId="15180" xr:uid="{1BF9D388-9370-444E-A9C9-DE54428E66D8}"/>
    <cellStyle name="Note 2 2 3 2 4" xfId="34001" xr:uid="{47ED9BE4-6D33-49B7-9AA6-0F01CC242FC8}"/>
    <cellStyle name="Note 2 2 3 3" xfId="15181" xr:uid="{35CF8A82-85D1-4FAF-A130-5809BBCA70BC}"/>
    <cellStyle name="Note 2 2 3 3 2" xfId="15182" xr:uid="{B5F89127-BD08-45D1-AADD-7BB3BB7121AF}"/>
    <cellStyle name="Note 2 2 3 3 3" xfId="34002" xr:uid="{9300C3AF-7A0A-43E3-A868-EEE58AA3B498}"/>
    <cellStyle name="Note 2 2 3 3 4" xfId="34003" xr:uid="{FCC848A2-1E80-4BF3-BA51-880E39CE2084}"/>
    <cellStyle name="Note 2 2 3 4" xfId="15183" xr:uid="{99E86867-5B1B-46B4-ACE9-799602AC96E2}"/>
    <cellStyle name="Note 2 2 3 4 2" xfId="15184" xr:uid="{E1A8DFA2-E49A-4327-A93D-34596CABC62F}"/>
    <cellStyle name="Note 2 2 3 4 3" xfId="34004" xr:uid="{C4C730AF-8FBD-4999-A6BC-8EBD02CFF8A8}"/>
    <cellStyle name="Note 2 2 3 4 4" xfId="34005" xr:uid="{016D1452-B16D-4851-A5DB-EE66CD8C7900}"/>
    <cellStyle name="Note 2 2 3 5" xfId="15185" xr:uid="{7BAB5AB9-697D-4683-8D1A-09848DB7C4B3}"/>
    <cellStyle name="Note 2 2 3 5 2" xfId="15186" xr:uid="{27E1F720-33FD-404B-93B1-1A0F29E49CB3}"/>
    <cellStyle name="Note 2 2 3 5 3" xfId="34006" xr:uid="{C080E8C1-C3D5-4D71-BECA-2092F21C9F6C}"/>
    <cellStyle name="Note 2 2 3 5 4" xfId="34007" xr:uid="{4348D71B-B8E0-4637-B30C-D7F75B0B4531}"/>
    <cellStyle name="Note 2 2 3 6" xfId="15187" xr:uid="{D0F97C65-ABB7-4FCC-A493-0B60C3BEBC34}"/>
    <cellStyle name="Note 2 2 3 6 2" xfId="15188" xr:uid="{82C0A7C1-A01C-4844-8574-3E4902EEE0A9}"/>
    <cellStyle name="Note 2 2 3 6 3" xfId="34008" xr:uid="{42D2C861-45B7-4B37-83EF-9234094914ED}"/>
    <cellStyle name="Note 2 2 3 6 4" xfId="34009" xr:uid="{8E50B681-5C28-4A27-A0C0-E2D9A6CBF476}"/>
    <cellStyle name="Note 2 2 3 7" xfId="15189" xr:uid="{3531C8B1-C7AD-422A-9237-28768B0EA5A0}"/>
    <cellStyle name="Note 2 2 3 7 2" xfId="15190" xr:uid="{F6048101-7805-4395-9F16-7D7CB62317F9}"/>
    <cellStyle name="Note 2 2 3 7 3" xfId="34010" xr:uid="{D3323C85-405C-459C-8149-978E2EA4089C}"/>
    <cellStyle name="Note 2 2 3 7 4" xfId="34011" xr:uid="{CAC6A55C-1EFE-44EA-93D4-140A38B1A513}"/>
    <cellStyle name="Note 2 2 3 8" xfId="15191" xr:uid="{9B92A11B-D67D-4E0E-AD88-78A31D9B1BE3}"/>
    <cellStyle name="Note 2 2 3 8 2" xfId="15192" xr:uid="{EF9D4610-CB3A-4904-9172-545723186AFF}"/>
    <cellStyle name="Note 2 2 3 8 3" xfId="34012" xr:uid="{7C0D960E-BBA6-4369-AA38-41D27ADF024F}"/>
    <cellStyle name="Note 2 2 3 8 4" xfId="34013" xr:uid="{96AE4AB8-BB88-48C7-A455-FCC26C392B04}"/>
    <cellStyle name="Note 2 2 3 9" xfId="15193" xr:uid="{7EB4D5BA-794A-41AD-B111-DAAB23191FAB}"/>
    <cellStyle name="Note 2 2 3 9 2" xfId="34014" xr:uid="{9A3FF8E5-4E41-480D-B5DD-F1A854AD9365}"/>
    <cellStyle name="Note 2 2 4" xfId="15194" xr:uid="{3E167B2C-3D9C-4683-8DBA-B3D6E451AB38}"/>
    <cellStyle name="Note 2 2 4 2" xfId="15195" xr:uid="{DB25AD7E-3533-487F-B6C3-CA25D6902A93}"/>
    <cellStyle name="Note 2 2 4 2 2" xfId="15196" xr:uid="{A10D0FD5-FF75-4585-B4FA-87037B48D921}"/>
    <cellStyle name="Note 2 2 4 2 3" xfId="34015" xr:uid="{D8DE3582-99C2-4AD9-961B-DF4DA3C46AE0}"/>
    <cellStyle name="Note 2 2 4 3" xfId="15197" xr:uid="{7C917257-B9C2-4ACB-A4A7-C58956EAD945}"/>
    <cellStyle name="Note 2 2 4 4" xfId="34016" xr:uid="{DB6A2EBC-A9E0-4EBE-89EC-D142D372A923}"/>
    <cellStyle name="Note 2 2 5" xfId="15198" xr:uid="{E5E1FA51-3CED-40F5-B1F1-ECDA242E5CC9}"/>
    <cellStyle name="Note 2 2 5 2" xfId="15199" xr:uid="{FD3A5F9B-A74B-416C-94C2-07B3EB8C3583}"/>
    <cellStyle name="Note 2 2 5 3" xfId="34017" xr:uid="{CBBB58C9-7A5A-4B5B-9219-D89BB37FD8A2}"/>
    <cellStyle name="Note 2 2 5 4" xfId="34018" xr:uid="{D5BC69CD-6A3F-4DF1-87DD-619688FF75B0}"/>
    <cellStyle name="Note 2 2 6" xfId="15200" xr:uid="{AA8E5A1A-AC52-4900-BB76-CBA9B23FE881}"/>
    <cellStyle name="Note 2 2 6 2" xfId="15201" xr:uid="{7018404A-3959-458B-A60B-D26936F0AD5F}"/>
    <cellStyle name="Note 2 2 6 3" xfId="34019" xr:uid="{7A150ED2-952C-4326-9668-034705B5C06A}"/>
    <cellStyle name="Note 2 2 6 4" xfId="34020" xr:uid="{778A9F4D-732F-4CFD-84C6-033DCDA0E6B0}"/>
    <cellStyle name="Note 2 2 7" xfId="15202" xr:uid="{1FFEF163-32B3-4298-B616-96DC72A906E6}"/>
    <cellStyle name="Note 2 2 7 2" xfId="15203" xr:uid="{2E739850-2B9E-4A79-979C-506834A0F983}"/>
    <cellStyle name="Note 2 2 7 3" xfId="34021" xr:uid="{546EEB4A-1976-4F3C-8201-D23FE2021609}"/>
    <cellStyle name="Note 2 2 7 4" xfId="34022" xr:uid="{E7E178B2-6C4F-4A6A-AA2B-ADE7E2178B19}"/>
    <cellStyle name="Note 2 2 8" xfId="15204" xr:uid="{E7A328F7-D986-4EC5-A486-99A04004ED83}"/>
    <cellStyle name="Note 2 2 8 2" xfId="15205" xr:uid="{3366F701-45FB-44ED-9E24-B2666770495F}"/>
    <cellStyle name="Note 2 2 8 3" xfId="34023" xr:uid="{C2910C85-8296-4938-9245-16E6EEEA4AE6}"/>
    <cellStyle name="Note 2 2 8 4" xfId="34024" xr:uid="{DDA53151-34D1-4AB4-9381-C9B4A80D22BC}"/>
    <cellStyle name="Note 2 2 9" xfId="15206" xr:uid="{2B622959-26FF-40B7-841E-231D07744819}"/>
    <cellStyle name="Note 2 2 9 2" xfId="15207" xr:uid="{EB70CB32-6DD4-45F4-8AE8-260E5576493F}"/>
    <cellStyle name="Note 2 2 9 3" xfId="34025" xr:uid="{2A510E1D-D425-4144-9244-6BB6F233B7AB}"/>
    <cellStyle name="Note 2 2 9 4" xfId="34026" xr:uid="{6500059D-6D59-4B40-890D-DC04C2AB875D}"/>
    <cellStyle name="Note 2 20" xfId="15208" xr:uid="{8E68CD13-031C-4716-BC81-4F76F1786FD1}"/>
    <cellStyle name="Note 2 20 2" xfId="15209" xr:uid="{94CEA7E3-3EC8-4C13-A566-8E1E24465C7E}"/>
    <cellStyle name="Note 2 20 3" xfId="34027" xr:uid="{C2FA2FBA-84D8-4078-BEAA-A88E62ECFC9A}"/>
    <cellStyle name="Note 2 20 4" xfId="34028" xr:uid="{294F898D-6C6A-4E22-8DAF-FE85B11B3E34}"/>
    <cellStyle name="Note 2 21" xfId="15210" xr:uid="{63905D58-65CC-488E-B2C9-68A10FEB9682}"/>
    <cellStyle name="Note 2 21 2" xfId="15211" xr:uid="{6CB23FEA-5882-40ED-B176-DD05AB6DB190}"/>
    <cellStyle name="Note 2 21 3" xfId="34029" xr:uid="{CA3D64A3-41B0-4D03-B2FD-DCAE7E1F3DD8}"/>
    <cellStyle name="Note 2 21 4" xfId="34030" xr:uid="{D68B5940-DEBB-4E58-AB42-86E7A5987CEF}"/>
    <cellStyle name="Note 2 22" xfId="15212" xr:uid="{300738F1-12BF-4B3F-B1BE-51CB737341BA}"/>
    <cellStyle name="Note 2 22 2" xfId="34031" xr:uid="{D516F660-8B94-41FC-AE84-96776FC4B9A0}"/>
    <cellStyle name="Note 2 23" xfId="15213" xr:uid="{0AC7E86A-DB84-41E4-9B31-FCB83A73F393}"/>
    <cellStyle name="Note 2 23 2" xfId="34032" xr:uid="{643FAB44-79C9-4821-A1FB-E0E81F20A95F}"/>
    <cellStyle name="Note 2 24" xfId="34033" xr:uid="{82F8ABAB-6900-4837-B04E-F091DBFB6A9C}"/>
    <cellStyle name="Note 2 25" xfId="34034" xr:uid="{D9C22228-25B0-494C-8EC4-7F69DFB8AD25}"/>
    <cellStyle name="Note 2 26" xfId="44145" xr:uid="{EF6FEF20-1870-49CD-B06D-88F936DD477D}"/>
    <cellStyle name="Note 2 27" xfId="45077" xr:uid="{C0EF7490-E65B-41E4-BB99-CE9F6E47135C}"/>
    <cellStyle name="Note 2 28" xfId="45402" xr:uid="{0740D728-8587-44CF-A37F-B9E5A8E4109D}"/>
    <cellStyle name="Note 2 3" xfId="15214" xr:uid="{DF382C6A-E00A-40D2-A344-F4DE6A9D8C0A}"/>
    <cellStyle name="Note 2 3 10" xfId="15215" xr:uid="{A23A3F0A-AF89-4EE8-8314-DBCF15516B23}"/>
    <cellStyle name="Note 2 3 10 2" xfId="34035" xr:uid="{17345E34-D6ED-4654-98B8-54D61A753D23}"/>
    <cellStyle name="Note 2 3 11" xfId="15216" xr:uid="{EB3BD1A5-6B47-4063-9D34-BB41C839DBEC}"/>
    <cellStyle name="Note 2 3 11 2" xfId="34036" xr:uid="{CB521EB7-7139-4057-A89C-C80DBDD1594F}"/>
    <cellStyle name="Note 2 3 12" xfId="34037" xr:uid="{D52A98A2-8F1F-47DB-ABD6-BFF93EEB10FC}"/>
    <cellStyle name="Note 2 3 13" xfId="34038" xr:uid="{D83A7145-BC49-4D99-992F-8AA5FDC21EF6}"/>
    <cellStyle name="Note 2 3 14" xfId="44572" xr:uid="{2A3FF49B-9C07-44E4-A0F4-598DC4DAC9DE}"/>
    <cellStyle name="Note 2 3 15" xfId="43998" xr:uid="{D17BD6E5-30DA-41AF-8A80-4BC5CC0F421E}"/>
    <cellStyle name="Note 2 3 16" xfId="44298" xr:uid="{8477D1E4-3531-44A2-A384-1CDB2238F3CC}"/>
    <cellStyle name="Note 2 3 2" xfId="15217" xr:uid="{61C956AB-2AFB-41F5-B75E-162E7196A550}"/>
    <cellStyle name="Note 2 3 2 10" xfId="15218" xr:uid="{0039AC8B-9C3F-4673-B84E-19FD7CB6D6C7}"/>
    <cellStyle name="Note 2 3 2 10 2" xfId="34039" xr:uid="{BCC42A68-3761-41CC-944A-2639B8274A46}"/>
    <cellStyle name="Note 2 3 2 11" xfId="34040" xr:uid="{6BACBA93-0865-42D5-9735-F6D194ABC4C0}"/>
    <cellStyle name="Note 2 3 2 12" xfId="44785" xr:uid="{0E3C13F5-24A8-474B-8A3B-D586791721B6}"/>
    <cellStyle name="Note 2 3 2 13" xfId="45236" xr:uid="{3ADF9F8C-F671-4ECF-BDC0-9D4D293D663C}"/>
    <cellStyle name="Note 2 3 2 14" xfId="45498" xr:uid="{CA6D7DE5-2D69-4C62-8FAA-B59E2A584731}"/>
    <cellStyle name="Note 2 3 2 2" xfId="15219" xr:uid="{8C79B671-BD75-40C2-BD4B-981B271D1A01}"/>
    <cellStyle name="Note 2 3 2 2 2" xfId="15220" xr:uid="{B1133BF3-F544-4EDE-B74E-96171B939C4B}"/>
    <cellStyle name="Note 2 3 2 2 2 2" xfId="15221" xr:uid="{133083B6-BDF4-419E-AE07-BF7B8E3F8F80}"/>
    <cellStyle name="Note 2 3 2 2 3" xfId="15222" xr:uid="{91DD234C-38D7-4D4E-977C-F5D60666C811}"/>
    <cellStyle name="Note 2 3 2 2 4" xfId="34041" xr:uid="{A6BF3928-5A0A-4471-B89B-4ED284FD3E9A}"/>
    <cellStyle name="Note 2 3 2 3" xfId="15223" xr:uid="{4DB9979F-78FE-49E2-B967-86290D145602}"/>
    <cellStyle name="Note 2 3 2 3 2" xfId="15224" xr:uid="{8D539335-85C1-4579-876E-F23405EEBE9B}"/>
    <cellStyle name="Note 2 3 2 3 3" xfId="34042" xr:uid="{CDCD4D02-19CE-4E3F-900A-11DCA2DF2AA0}"/>
    <cellStyle name="Note 2 3 2 3 4" xfId="34043" xr:uid="{C917FD4C-B59C-4C34-952E-3A32274561F2}"/>
    <cellStyle name="Note 2 3 2 4" xfId="15225" xr:uid="{1F128B5B-88A7-46BB-BB3F-6E961FBBDFAA}"/>
    <cellStyle name="Note 2 3 2 4 2" xfId="15226" xr:uid="{F550C510-56CE-4D97-A793-0C7DF65FFE7E}"/>
    <cellStyle name="Note 2 3 2 4 3" xfId="34044" xr:uid="{E592E8F6-685A-46B4-9584-2B19EC173DD7}"/>
    <cellStyle name="Note 2 3 2 4 4" xfId="34045" xr:uid="{45666EA9-32FC-471F-8424-676DD69B8F95}"/>
    <cellStyle name="Note 2 3 2 5" xfId="15227" xr:uid="{4CE62AF8-C87B-4EF0-86AD-9AA6D718BA63}"/>
    <cellStyle name="Note 2 3 2 5 2" xfId="15228" xr:uid="{63748C9E-98E9-4D47-8004-962D2F380AC0}"/>
    <cellStyle name="Note 2 3 2 5 3" xfId="34046" xr:uid="{449C209B-5692-4049-9232-ED34C4D6CBD3}"/>
    <cellStyle name="Note 2 3 2 5 4" xfId="34047" xr:uid="{42C1BD77-FF84-4816-8AA6-50F08F44615D}"/>
    <cellStyle name="Note 2 3 2 6" xfId="15229" xr:uid="{293D31A1-85FD-4074-9EB3-EC85EA62810C}"/>
    <cellStyle name="Note 2 3 2 6 2" xfId="15230" xr:uid="{0CF06DDA-0D32-4D88-B463-8F99D1E720A8}"/>
    <cellStyle name="Note 2 3 2 6 3" xfId="34048" xr:uid="{3BA12915-36AB-47E7-92E2-326E2211AED7}"/>
    <cellStyle name="Note 2 3 2 6 4" xfId="34049" xr:uid="{82AF0960-6A55-4037-85C9-3CFF87B4B8CB}"/>
    <cellStyle name="Note 2 3 2 7" xfId="15231" xr:uid="{F3878117-A506-4A99-AC2B-F6449096385B}"/>
    <cellStyle name="Note 2 3 2 7 2" xfId="15232" xr:uid="{1794D887-D789-41D4-A930-F9090AE34B4F}"/>
    <cellStyle name="Note 2 3 2 7 3" xfId="34050" xr:uid="{6F5FE360-D07E-430D-B876-36A77762E850}"/>
    <cellStyle name="Note 2 3 2 7 4" xfId="34051" xr:uid="{A74AB956-0611-4535-AE1F-3C51123CBED0}"/>
    <cellStyle name="Note 2 3 2 8" xfId="15233" xr:uid="{32EA591A-585B-48F3-939F-BC4918DDA227}"/>
    <cellStyle name="Note 2 3 2 8 2" xfId="15234" xr:uid="{7188B9FE-1A6D-4D3F-91C4-3B12B10C3CA0}"/>
    <cellStyle name="Note 2 3 2 8 3" xfId="34052" xr:uid="{CF0F585F-75BB-426E-98E0-8FBD775FAE52}"/>
    <cellStyle name="Note 2 3 2 8 4" xfId="34053" xr:uid="{D3E899E8-76A8-46FC-BC45-EB944EEB6C82}"/>
    <cellStyle name="Note 2 3 2 9" xfId="15235" xr:uid="{9EE4EAF2-AEF9-4E53-8956-CC8B4AD5159B}"/>
    <cellStyle name="Note 2 3 2 9 2" xfId="34054" xr:uid="{59BE1B79-3AFE-4E97-AF7A-68A4A6F28354}"/>
    <cellStyle name="Note 2 3 3" xfId="15236" xr:uid="{A3B07C6F-1411-46B0-9CB8-F91B2129359D}"/>
    <cellStyle name="Note 2 3 3 2" xfId="15237" xr:uid="{40F043B9-806C-47CA-B800-2D351DF89F2C}"/>
    <cellStyle name="Note 2 3 3 2 2" xfId="15238" xr:uid="{45075DDD-EF5E-49D3-A5BD-3870EA1C17B2}"/>
    <cellStyle name="Note 2 3 3 3" xfId="15239" xr:uid="{D7A58E2B-308E-4A5F-8C74-E3FFBA990B3B}"/>
    <cellStyle name="Note 2 3 3 4" xfId="34055" xr:uid="{D7723FE9-8F7F-451C-9751-B22ABABD47DD}"/>
    <cellStyle name="Note 2 3 4" xfId="15240" xr:uid="{34D7D49B-9043-4BE1-91F4-DD8529A34A65}"/>
    <cellStyle name="Note 2 3 4 2" xfId="15241" xr:uid="{B4AF2D89-2F8C-4CEA-BA93-8E9423D3FE74}"/>
    <cellStyle name="Note 2 3 4 3" xfId="34056" xr:uid="{6DF0B7EE-2BF3-4AA1-9CD7-BB0F7E8897D0}"/>
    <cellStyle name="Note 2 3 4 4" xfId="34057" xr:uid="{205EEE28-35DF-4ABD-BF97-F73F7B48D991}"/>
    <cellStyle name="Note 2 3 5" xfId="15242" xr:uid="{E4A04F7D-DEFB-41BD-BA10-D0C6870B1ED9}"/>
    <cellStyle name="Note 2 3 5 2" xfId="15243" xr:uid="{03441DB8-E456-487F-9595-17E5AD640C5D}"/>
    <cellStyle name="Note 2 3 5 3" xfId="34058" xr:uid="{6D7E75E7-F1F6-4EA9-B3DA-1D1188F75445}"/>
    <cellStyle name="Note 2 3 5 4" xfId="34059" xr:uid="{7C113CAF-C736-48E1-AC76-F27ADB402642}"/>
    <cellStyle name="Note 2 3 6" xfId="15244" xr:uid="{119A777B-F562-4FE1-938F-86DB0CB6D14E}"/>
    <cellStyle name="Note 2 3 6 2" xfId="15245" xr:uid="{516F5D8F-784E-45A5-B3B6-41FFE3A3D0D6}"/>
    <cellStyle name="Note 2 3 6 3" xfId="34060" xr:uid="{691CB26A-5B27-4F45-8129-68B743D043AC}"/>
    <cellStyle name="Note 2 3 6 4" xfId="34061" xr:uid="{BF864DFE-DA08-4CE8-B001-6C0D3900357C}"/>
    <cellStyle name="Note 2 3 7" xfId="15246" xr:uid="{3CF1259B-ED33-4B39-A313-9E0AE9D9518A}"/>
    <cellStyle name="Note 2 3 7 2" xfId="15247" xr:uid="{51F20B6B-EDEC-4FEA-B6FA-05F67625EA97}"/>
    <cellStyle name="Note 2 3 7 3" xfId="34062" xr:uid="{FFB9BBF5-904A-4AD6-A8D1-831C1564FAA2}"/>
    <cellStyle name="Note 2 3 7 4" xfId="34063" xr:uid="{31734503-D207-420D-A556-375AD9F3F0B2}"/>
    <cellStyle name="Note 2 3 8" xfId="15248" xr:uid="{568B60A7-E7A3-43B8-941C-D9D06940F431}"/>
    <cellStyle name="Note 2 3 8 2" xfId="15249" xr:uid="{43FA0FD9-178F-4B84-8312-D3684BBD7749}"/>
    <cellStyle name="Note 2 3 8 3" xfId="34064" xr:uid="{518C26D2-A216-4757-BE47-BF52AAE6EB7E}"/>
    <cellStyle name="Note 2 3 8 4" xfId="34065" xr:uid="{F7C58AAC-937C-4182-9DB1-1E7D045064AE}"/>
    <cellStyle name="Note 2 3 9" xfId="15250" xr:uid="{AF88EAAF-CE5E-45B9-A230-EE890B908F7F}"/>
    <cellStyle name="Note 2 3 9 2" xfId="15251" xr:uid="{5F8B947A-13C6-4910-B6E4-2B2DF7051E28}"/>
    <cellStyle name="Note 2 3 9 3" xfId="34066" xr:uid="{D146CFB5-A58D-4487-844B-EB8175EA3CD7}"/>
    <cellStyle name="Note 2 3 9 4" xfId="34067" xr:uid="{239038F9-CE99-493D-BBEA-91938BF38CF3}"/>
    <cellStyle name="Note 2 4" xfId="15252" xr:uid="{C4760745-F70F-4602-85C8-9A274A70EE2A}"/>
    <cellStyle name="Note 2 4 10" xfId="15253" xr:uid="{2AF3B877-0370-4884-A1E3-85DA1E22DC3C}"/>
    <cellStyle name="Note 2 4 10 2" xfId="34068" xr:uid="{31EEABA5-503C-4531-BF21-DD56EBDEC7E5}"/>
    <cellStyle name="Note 2 4 11" xfId="15254" xr:uid="{705E9417-B528-4C76-A072-91A7E9A36BBA}"/>
    <cellStyle name="Note 2 4 11 2" xfId="34069" xr:uid="{80967ECC-BA52-492B-8FC9-C83DF73CCA3D}"/>
    <cellStyle name="Note 2 4 12" xfId="34070" xr:uid="{C6C2F70D-D9FE-41E2-AFD3-38ABE42CF07C}"/>
    <cellStyle name="Note 2 4 13" xfId="34071" xr:uid="{75473F02-8006-422A-BB1D-5F9302B7B084}"/>
    <cellStyle name="Note 2 4 14" xfId="44470" xr:uid="{531F6EC0-0BE4-4ABD-B0F7-101CF2CA49FE}"/>
    <cellStyle name="Note 2 4 15" xfId="45270" xr:uid="{DBF248AB-4755-419B-886F-F33DF8B6CCAF}"/>
    <cellStyle name="Note 2 4 16" xfId="45518" xr:uid="{B3AC0604-E760-4184-9713-37287F665E2A}"/>
    <cellStyle name="Note 2 4 2" xfId="15255" xr:uid="{D9542380-D37C-494E-80AF-3AF2141011F0}"/>
    <cellStyle name="Note 2 4 2 10" xfId="15256" xr:uid="{91E7D196-7D2B-4208-A5F2-5DDCE00BDB8A}"/>
    <cellStyle name="Note 2 4 2 10 2" xfId="34072" xr:uid="{03362A9C-5B56-428B-980B-A1ED3D7869DD}"/>
    <cellStyle name="Note 2 4 2 11" xfId="34073" xr:uid="{887E6FA9-4FF9-4892-BB2B-CA4278714297}"/>
    <cellStyle name="Note 2 4 2 12" xfId="44681" xr:uid="{F217B943-F7FA-4C66-BF8A-CEE7F68365C0}"/>
    <cellStyle name="Note 2 4 2 13" xfId="44100" xr:uid="{D2052CA8-BC62-4B82-BBCC-E37980CAFD3A}"/>
    <cellStyle name="Note 2 4 2 14" xfId="45258" xr:uid="{F1D2087A-AA8D-4E96-B82C-B3E3F9404786}"/>
    <cellStyle name="Note 2 4 2 2" xfId="15257" xr:uid="{6F85C77D-FE9B-49BD-91B7-ED55EDE797F5}"/>
    <cellStyle name="Note 2 4 2 2 2" xfId="15258" xr:uid="{A686FC6B-F582-4895-8F9A-BD024DEDC750}"/>
    <cellStyle name="Note 2 4 2 2 2 2" xfId="15259" xr:uid="{99D877D8-128D-4B41-8F89-19D13B1B54DF}"/>
    <cellStyle name="Note 2 4 2 2 3" xfId="15260" xr:uid="{FCC6572D-ADC1-499E-AE38-A180A1D9C3CE}"/>
    <cellStyle name="Note 2 4 2 2 4" xfId="34074" xr:uid="{190EFBB6-4FE6-432B-8D18-1A84A32EB327}"/>
    <cellStyle name="Note 2 4 2 3" xfId="15261" xr:uid="{5C0DDF54-C943-4B24-B7D9-1DA23967D9B6}"/>
    <cellStyle name="Note 2 4 2 3 2" xfId="15262" xr:uid="{E0776D26-2373-4935-A217-3222C2D2CC47}"/>
    <cellStyle name="Note 2 4 2 3 3" xfId="34075" xr:uid="{5DC6099B-0673-464D-AFC2-DB42208D2F3D}"/>
    <cellStyle name="Note 2 4 2 3 4" xfId="34076" xr:uid="{ED876FEF-EFAD-4781-8C67-332E0AA62CE4}"/>
    <cellStyle name="Note 2 4 2 4" xfId="15263" xr:uid="{BEE7D954-7580-46E8-A02D-F31030BDCC3B}"/>
    <cellStyle name="Note 2 4 2 4 2" xfId="15264" xr:uid="{68B2E21A-9AFB-4657-9DDC-F4E4045398E9}"/>
    <cellStyle name="Note 2 4 2 4 3" xfId="34077" xr:uid="{17406C8A-E33D-4619-8C8F-6CC2E6C3D896}"/>
    <cellStyle name="Note 2 4 2 4 4" xfId="34078" xr:uid="{A9EFF0B2-F507-4001-9C9F-92859FD3C9BF}"/>
    <cellStyle name="Note 2 4 2 5" xfId="15265" xr:uid="{7925B46B-87B9-4798-8191-AE994B8E910B}"/>
    <cellStyle name="Note 2 4 2 5 2" xfId="15266" xr:uid="{88695122-47C6-41F5-80C8-D5594C341D11}"/>
    <cellStyle name="Note 2 4 2 5 3" xfId="34079" xr:uid="{4E1607D9-460E-4C68-87E7-C652EB58BAB7}"/>
    <cellStyle name="Note 2 4 2 5 4" xfId="34080" xr:uid="{02E0D37C-F799-40C3-968D-D7AB6A300BF9}"/>
    <cellStyle name="Note 2 4 2 6" xfId="15267" xr:uid="{3039ED50-7E5E-4506-B3B3-7EC92A31B1AC}"/>
    <cellStyle name="Note 2 4 2 6 2" xfId="15268" xr:uid="{F5678702-58B0-41F5-9C29-4A803140B626}"/>
    <cellStyle name="Note 2 4 2 6 3" xfId="34081" xr:uid="{3893C43D-7DFC-4350-9568-C801496E317B}"/>
    <cellStyle name="Note 2 4 2 6 4" xfId="34082" xr:uid="{817E676D-35F0-45A9-B15F-B9B659C69A05}"/>
    <cellStyle name="Note 2 4 2 7" xfId="15269" xr:uid="{0617524B-17C0-4A62-AE13-B1C14015F8FA}"/>
    <cellStyle name="Note 2 4 2 7 2" xfId="15270" xr:uid="{BCED3764-7F10-4BCE-8D73-BBD6660E73E6}"/>
    <cellStyle name="Note 2 4 2 7 3" xfId="34083" xr:uid="{C6B324BB-3F05-4F83-9CBC-230BDF55E607}"/>
    <cellStyle name="Note 2 4 2 7 4" xfId="34084" xr:uid="{2E6632CF-9C01-4501-85B7-BBA6FD4FB7E4}"/>
    <cellStyle name="Note 2 4 2 8" xfId="15271" xr:uid="{BA1CFAF8-4201-4BD3-A41D-E3B1749C59B8}"/>
    <cellStyle name="Note 2 4 2 8 2" xfId="15272" xr:uid="{D3C216C3-D083-49EC-8860-8C0CDC8D3CEE}"/>
    <cellStyle name="Note 2 4 2 8 3" xfId="34085" xr:uid="{97115AAA-E06C-4B82-966A-A28674F4A1F3}"/>
    <cellStyle name="Note 2 4 2 8 4" xfId="34086" xr:uid="{987D4835-26E8-457E-BCA3-5439A4F5A8A8}"/>
    <cellStyle name="Note 2 4 2 9" xfId="15273" xr:uid="{C52CD09F-1EFE-488D-9060-1E8CB27ED66E}"/>
    <cellStyle name="Note 2 4 2 9 2" xfId="34087" xr:uid="{096FBBC0-50C7-4E94-A1CB-A4CF8019E970}"/>
    <cellStyle name="Note 2 4 3" xfId="15274" xr:uid="{2A43C800-468F-46A1-97CD-74ACDDCB1665}"/>
    <cellStyle name="Note 2 4 3 2" xfId="15275" xr:uid="{A47E0B84-AA2F-4AA1-BB5D-6AD0DE62E4F1}"/>
    <cellStyle name="Note 2 4 3 2 2" xfId="15276" xr:uid="{6D8FE50F-82C4-4A97-85F3-ECD92C57EC30}"/>
    <cellStyle name="Note 2 4 3 3" xfId="15277" xr:uid="{5BE89D8E-DF86-467F-B99F-6D9AE17E658B}"/>
    <cellStyle name="Note 2 4 3 4" xfId="34088" xr:uid="{13AA41C2-DE0E-4F50-B6A0-91F067880A87}"/>
    <cellStyle name="Note 2 4 4" xfId="15278" xr:uid="{546E4954-CA91-4A66-8CC4-6951A8B4DAC4}"/>
    <cellStyle name="Note 2 4 4 2" xfId="15279" xr:uid="{9FC5A687-555A-4C50-BC56-411642C30E38}"/>
    <cellStyle name="Note 2 4 4 3" xfId="34089" xr:uid="{EC539B91-8900-4DA6-908A-6ABD233CAFF1}"/>
    <cellStyle name="Note 2 4 4 4" xfId="34090" xr:uid="{4B4020DB-2761-4336-BDA3-4C8574A3680F}"/>
    <cellStyle name="Note 2 4 5" xfId="15280" xr:uid="{AF136DCD-E4F5-48EB-98D3-71F6F9DB6BE2}"/>
    <cellStyle name="Note 2 4 5 2" xfId="15281" xr:uid="{B8B22C32-7D12-49B2-9AE7-50953334602D}"/>
    <cellStyle name="Note 2 4 5 3" xfId="34091" xr:uid="{0E1C705B-1DA0-4D85-87BB-5DE197386F9F}"/>
    <cellStyle name="Note 2 4 5 4" xfId="34092" xr:uid="{5AE91D25-ADC0-4626-A39D-3AAD5C4DE8C5}"/>
    <cellStyle name="Note 2 4 6" xfId="15282" xr:uid="{296B452C-798C-4CD8-B683-AD071126C809}"/>
    <cellStyle name="Note 2 4 6 2" xfId="15283" xr:uid="{564D145C-85C8-4C4C-8BEC-BDF4D9CE72A1}"/>
    <cellStyle name="Note 2 4 6 3" xfId="34093" xr:uid="{852BA68C-3050-47FC-89E5-25300A9F543E}"/>
    <cellStyle name="Note 2 4 6 4" xfId="34094" xr:uid="{0F3BE059-3192-4C17-887F-4D995B1F4E0E}"/>
    <cellStyle name="Note 2 4 7" xfId="15284" xr:uid="{BB7EDF2A-7671-4A44-92FD-7A66CD4042E2}"/>
    <cellStyle name="Note 2 4 7 2" xfId="15285" xr:uid="{53EA283F-C6DC-4D82-AE5D-651E2DC8D9EF}"/>
    <cellStyle name="Note 2 4 7 3" xfId="34095" xr:uid="{FD350F70-DDCB-4949-989B-385C4786AA5D}"/>
    <cellStyle name="Note 2 4 7 4" xfId="34096" xr:uid="{9125E3E3-A777-4D25-A555-A80924D59D95}"/>
    <cellStyle name="Note 2 4 8" xfId="15286" xr:uid="{C659FDB3-4339-4420-B0AD-E63C9BDE8A7F}"/>
    <cellStyle name="Note 2 4 8 2" xfId="15287" xr:uid="{985ABDB0-FB94-4972-B506-755EB5905560}"/>
    <cellStyle name="Note 2 4 8 3" xfId="34097" xr:uid="{2AC9612F-7D65-4D09-864F-2CAF1E447C6C}"/>
    <cellStyle name="Note 2 4 8 4" xfId="34098" xr:uid="{66C6535D-ABC3-412B-BFC5-39910D15F775}"/>
    <cellStyle name="Note 2 4 9" xfId="15288" xr:uid="{56A0EC87-2451-495B-908B-2F906AE36AD6}"/>
    <cellStyle name="Note 2 4 9 2" xfId="15289" xr:uid="{178753D1-7A47-44EC-84B0-4EEB8650D662}"/>
    <cellStyle name="Note 2 4 9 3" xfId="34099" xr:uid="{BDE421F5-5EDE-46A7-8C8C-E627C05BCD6C}"/>
    <cellStyle name="Note 2 4 9 4" xfId="34100" xr:uid="{4ED00271-5E03-4DC0-9B5A-1793509A1716}"/>
    <cellStyle name="Note 2 5" xfId="15290" xr:uid="{FA3624C7-2FFE-41A2-ACF3-F433EB471B92}"/>
    <cellStyle name="Note 2 5 10" xfId="15291" xr:uid="{17C93132-2257-4516-A899-92BF80936735}"/>
    <cellStyle name="Note 2 5 10 2" xfId="34101" xr:uid="{7B4C77B6-C5D2-42C6-8344-CB9FCEA8574D}"/>
    <cellStyle name="Note 2 5 11" xfId="15292" xr:uid="{A3AB2C64-2B3D-49FC-8D04-BEEE48E41919}"/>
    <cellStyle name="Note 2 5 11 2" xfId="34102" xr:uid="{6E15DECB-2BD7-4535-8688-5FB92AC0BB15}"/>
    <cellStyle name="Note 2 5 12" xfId="34103" xr:uid="{9F9DB29A-9059-4899-B1B6-D8FDA1A9A9D8}"/>
    <cellStyle name="Note 2 5 13" xfId="34104" xr:uid="{E3D2C898-C1E6-4CBF-999B-95C45788E7B6}"/>
    <cellStyle name="Note 2 5 14" xfId="44630" xr:uid="{FE75EA2D-A26B-4864-9F25-4B124F859D21}"/>
    <cellStyle name="Note 2 5 15" xfId="44159" xr:uid="{31330BF2-9122-44B8-A16B-6F743E95FB9A}"/>
    <cellStyle name="Note 2 5 16" xfId="44855" xr:uid="{4DAF40C9-CBCD-4A0E-9B3C-4800EC3F1563}"/>
    <cellStyle name="Note 2 5 2" xfId="15293" xr:uid="{4739C7D5-EE28-4B2B-BC52-D575DD83CE87}"/>
    <cellStyle name="Note 2 5 2 10" xfId="15294" xr:uid="{B3078CFB-4BC3-46D8-90B6-92FA3B7C5203}"/>
    <cellStyle name="Note 2 5 2 10 2" xfId="34105" xr:uid="{E3739AE6-FCC6-4AEF-A2DB-2D5FAA47E01A}"/>
    <cellStyle name="Note 2 5 2 11" xfId="34106" xr:uid="{0C057884-708D-454F-ACF3-E9648D5F34A3}"/>
    <cellStyle name="Note 2 5 2 2" xfId="15295" xr:uid="{B6A656EA-A894-4F31-A138-7DD3A1D835B5}"/>
    <cellStyle name="Note 2 5 2 2 2" xfId="15296" xr:uid="{5EAE2C0A-CC47-4214-A2DA-0F1276C8E07B}"/>
    <cellStyle name="Note 2 5 2 2 2 2" xfId="15297" xr:uid="{F53DDC73-963F-48C6-9110-0347A3CE708E}"/>
    <cellStyle name="Note 2 5 2 2 3" xfId="15298" xr:uid="{5A6E5C15-E23A-4BDD-B29E-FE0AB331050A}"/>
    <cellStyle name="Note 2 5 2 2 4" xfId="34107" xr:uid="{8E5E516F-2DA1-4272-98D9-B8A996E80326}"/>
    <cellStyle name="Note 2 5 2 3" xfId="15299" xr:uid="{8C87E46C-4510-4322-8FDA-852956C778FE}"/>
    <cellStyle name="Note 2 5 2 3 2" xfId="15300" xr:uid="{8E57BF99-B32D-4EE3-A154-C146B545F8FC}"/>
    <cellStyle name="Note 2 5 2 3 3" xfId="34108" xr:uid="{B5A521B9-8215-4E34-857F-F37C4DF3F59F}"/>
    <cellStyle name="Note 2 5 2 3 4" xfId="34109" xr:uid="{24FABDD1-F11A-47D5-807D-BD178D0B0FF8}"/>
    <cellStyle name="Note 2 5 2 4" xfId="15301" xr:uid="{A9429AB5-E62F-4016-A9A0-C61AB25704AB}"/>
    <cellStyle name="Note 2 5 2 4 2" xfId="15302" xr:uid="{BDB4F719-1B73-423C-BC1C-96E9CD123788}"/>
    <cellStyle name="Note 2 5 2 4 3" xfId="34110" xr:uid="{580A49FF-DF5E-46AE-9541-DB5B17CBABFB}"/>
    <cellStyle name="Note 2 5 2 4 4" xfId="34111" xr:uid="{1D6795D3-B773-4741-9AC9-27ADFC513AE6}"/>
    <cellStyle name="Note 2 5 2 5" xfId="15303" xr:uid="{2F92BC42-0AE9-47F3-BF9F-E4FE229D24A6}"/>
    <cellStyle name="Note 2 5 2 5 2" xfId="15304" xr:uid="{2EFCE7CA-8A9D-4A6A-B228-9E350938EE9C}"/>
    <cellStyle name="Note 2 5 2 5 3" xfId="34112" xr:uid="{78FDC5E4-536A-4591-A7EC-ADBFE19C7627}"/>
    <cellStyle name="Note 2 5 2 5 4" xfId="34113" xr:uid="{4BDDA255-1EA4-4225-BA56-B9F435C77C88}"/>
    <cellStyle name="Note 2 5 2 6" xfId="15305" xr:uid="{3F7EF6AD-4F23-4B51-A445-93116ECE79CF}"/>
    <cellStyle name="Note 2 5 2 6 2" xfId="15306" xr:uid="{A5E012F6-D70B-4FF1-89AB-36F1B196D25A}"/>
    <cellStyle name="Note 2 5 2 6 3" xfId="34114" xr:uid="{87FA1CE7-D1D2-403C-908C-1DAA3E8E6613}"/>
    <cellStyle name="Note 2 5 2 6 4" xfId="34115" xr:uid="{BD3BC05D-1165-4B09-AE63-113E2864E8D3}"/>
    <cellStyle name="Note 2 5 2 7" xfId="15307" xr:uid="{C1F5D310-0986-4757-9CA6-378A4C445E66}"/>
    <cellStyle name="Note 2 5 2 7 2" xfId="15308" xr:uid="{6717A42A-D332-42E0-8775-B46167D760DE}"/>
    <cellStyle name="Note 2 5 2 7 3" xfId="34116" xr:uid="{68A761D7-09C8-4045-A607-C570EAB90FC3}"/>
    <cellStyle name="Note 2 5 2 7 4" xfId="34117" xr:uid="{3799EF84-D278-45D8-BB1C-9055BEA689F5}"/>
    <cellStyle name="Note 2 5 2 8" xfId="15309" xr:uid="{D94EB62D-51C1-4487-B716-86D8AE8CFA40}"/>
    <cellStyle name="Note 2 5 2 8 2" xfId="15310" xr:uid="{29A2E2EC-6F49-4824-9D1D-3904B531A7FB}"/>
    <cellStyle name="Note 2 5 2 8 3" xfId="34118" xr:uid="{D411BA04-9EE8-4764-88DC-157124F5C7FD}"/>
    <cellStyle name="Note 2 5 2 8 4" xfId="34119" xr:uid="{42FA5316-160C-450E-A053-11EEE308DE56}"/>
    <cellStyle name="Note 2 5 2 9" xfId="15311" xr:uid="{C49BC6C8-9008-4119-9374-67C40D931BCF}"/>
    <cellStyle name="Note 2 5 2 9 2" xfId="34120" xr:uid="{5742E1EB-C432-47F9-A977-6FF3866B65FA}"/>
    <cellStyle name="Note 2 5 3" xfId="15312" xr:uid="{C61592DB-E71D-4A27-827A-8C2C59F85486}"/>
    <cellStyle name="Note 2 5 3 2" xfId="15313" xr:uid="{9657285A-BCED-4C5D-801F-CE7C16DC4721}"/>
    <cellStyle name="Note 2 5 3 2 2" xfId="15314" xr:uid="{14114778-A2A4-4DF2-BF28-067F9DD3548B}"/>
    <cellStyle name="Note 2 5 3 3" xfId="15315" xr:uid="{DD8FA564-E42E-485D-B711-425FB053AA33}"/>
    <cellStyle name="Note 2 5 3 4" xfId="34121" xr:uid="{EC2AFBF7-6D5A-4A6C-A978-042B65FC97A2}"/>
    <cellStyle name="Note 2 5 4" xfId="15316" xr:uid="{5643B54A-C2C7-4132-A8AB-6F5D83522587}"/>
    <cellStyle name="Note 2 5 4 2" xfId="15317" xr:uid="{29F746E5-A839-4AFE-88D0-B7063B86E1BA}"/>
    <cellStyle name="Note 2 5 4 3" xfId="34122" xr:uid="{79045123-F0AF-4358-AD3A-E9F6374509AA}"/>
    <cellStyle name="Note 2 5 4 4" xfId="34123" xr:uid="{0D0A1A7F-6EF2-4188-B47E-CC8CEE6DB194}"/>
    <cellStyle name="Note 2 5 5" xfId="15318" xr:uid="{C074EEB9-7C71-4ED5-A2FA-019A29776055}"/>
    <cellStyle name="Note 2 5 5 2" xfId="15319" xr:uid="{C000BADC-1DD9-479C-882D-726235D2EF1E}"/>
    <cellStyle name="Note 2 5 5 3" xfId="34124" xr:uid="{4627ED36-9DEB-4071-BBB2-EE04893F5095}"/>
    <cellStyle name="Note 2 5 5 4" xfId="34125" xr:uid="{0B6DBBFB-482C-4660-A462-921A01822FBD}"/>
    <cellStyle name="Note 2 5 6" xfId="15320" xr:uid="{73D24CE7-BB58-47C2-8877-2CBEBD36DEB7}"/>
    <cellStyle name="Note 2 5 6 2" xfId="15321" xr:uid="{9B283C79-39E1-42BE-92B8-290BF474F617}"/>
    <cellStyle name="Note 2 5 6 3" xfId="34126" xr:uid="{43236772-D558-4839-B651-71C2BC5ACCAB}"/>
    <cellStyle name="Note 2 5 6 4" xfId="34127" xr:uid="{FE411CDF-D5BF-4212-8895-0DB43BF4E261}"/>
    <cellStyle name="Note 2 5 7" xfId="15322" xr:uid="{74396BE0-068E-4E1B-889D-ECD7A1840FF7}"/>
    <cellStyle name="Note 2 5 7 2" xfId="15323" xr:uid="{2F9F95E3-9BB8-41FD-8E7B-2492BD72673B}"/>
    <cellStyle name="Note 2 5 7 3" xfId="34128" xr:uid="{8E9B8B56-0A6D-4B98-8FA7-5EE11A03BD16}"/>
    <cellStyle name="Note 2 5 7 4" xfId="34129" xr:uid="{22A69C38-9617-4B7D-A547-4E8A4189E53E}"/>
    <cellStyle name="Note 2 5 8" xfId="15324" xr:uid="{9CCD288A-B9FC-464E-9D1C-41C095EBBAC0}"/>
    <cellStyle name="Note 2 5 8 2" xfId="15325" xr:uid="{1137E0BF-C25A-4322-AAA1-4CDFD8902473}"/>
    <cellStyle name="Note 2 5 8 3" xfId="34130" xr:uid="{8EFCF5AD-F2CC-4F3A-BB87-D781C6CED1B6}"/>
    <cellStyle name="Note 2 5 8 4" xfId="34131" xr:uid="{D8C52285-D9C3-49DD-B480-0124A2172C0C}"/>
    <cellStyle name="Note 2 5 9" xfId="15326" xr:uid="{0BDFCC6E-14C2-4036-91DE-DB2A0FAD3A62}"/>
    <cellStyle name="Note 2 5 9 2" xfId="15327" xr:uid="{645991F2-FB95-4799-9BA3-B8C431283E0B}"/>
    <cellStyle name="Note 2 5 9 3" xfId="34132" xr:uid="{1C54BFB9-A211-4E02-BF6B-327E93E57D6D}"/>
    <cellStyle name="Note 2 5 9 4" xfId="34133" xr:uid="{134AE608-CB8E-468A-9D27-718F210B8B6A}"/>
    <cellStyle name="Note 2 6" xfId="15328" xr:uid="{3A025FD6-3D3E-458C-B6AC-5674220ECC10}"/>
    <cellStyle name="Note 2 6 10" xfId="15329" xr:uid="{0845C488-1152-4879-858A-20FDA6DF8381}"/>
    <cellStyle name="Note 2 6 10 2" xfId="34134" xr:uid="{44E49770-DE5F-4881-A002-D7D1CA10A2C0}"/>
    <cellStyle name="Note 2 6 11" xfId="15330" xr:uid="{B1BA0E7B-1CCE-42C4-AC63-BF274326BE3A}"/>
    <cellStyle name="Note 2 6 11 2" xfId="34135" xr:uid="{9344F942-7EB5-4CB8-9DEF-3711EFC17C79}"/>
    <cellStyle name="Note 2 6 12" xfId="34136" xr:uid="{455F7BF6-64E3-42CA-807B-1D05DB4CDF82}"/>
    <cellStyle name="Note 2 6 13" xfId="34137" xr:uid="{9844C8E6-FE64-480E-9059-6C067A2EBA93}"/>
    <cellStyle name="Note 2 6 2" xfId="15331" xr:uid="{5B9E8806-5E67-4663-A7B4-44E01DE7E137}"/>
    <cellStyle name="Note 2 6 2 10" xfId="15332" xr:uid="{A5804E93-2FA7-4F8E-BB58-2767BF866665}"/>
    <cellStyle name="Note 2 6 2 10 2" xfId="34138" xr:uid="{0FC473DF-FF3D-411A-B700-6A99716DE77B}"/>
    <cellStyle name="Note 2 6 2 11" xfId="34139" xr:uid="{DFD664CD-4ED2-40FC-AE60-7C518DAAF6FD}"/>
    <cellStyle name="Note 2 6 2 2" xfId="15333" xr:uid="{CC3B48CB-8A60-4FDB-A268-EA2BA47A0D13}"/>
    <cellStyle name="Note 2 6 2 2 2" xfId="15334" xr:uid="{4D9BD2CF-BF1C-4B85-B6A0-487AB26041B4}"/>
    <cellStyle name="Note 2 6 2 2 2 2" xfId="15335" xr:uid="{478264A8-E745-448C-9C75-C8A3AC5D9FF5}"/>
    <cellStyle name="Note 2 6 2 2 3" xfId="15336" xr:uid="{099DF2D8-8AF4-4E00-B516-FAFAED677EFA}"/>
    <cellStyle name="Note 2 6 2 2 4" xfId="34140" xr:uid="{1D8CD0E1-D5BB-4740-9A9D-3ED6128B455B}"/>
    <cellStyle name="Note 2 6 2 3" xfId="15337" xr:uid="{D42213D2-993D-40C0-BBDF-B0451C9EEC49}"/>
    <cellStyle name="Note 2 6 2 3 2" xfId="15338" xr:uid="{69A1F4E6-6094-441C-9687-B0C606710025}"/>
    <cellStyle name="Note 2 6 2 3 3" xfId="34141" xr:uid="{FF0B9C3B-7F7F-4E34-8DCE-212C22866690}"/>
    <cellStyle name="Note 2 6 2 3 4" xfId="34142" xr:uid="{D0E9924C-7CB7-49B5-A614-CC7ABC60CDF5}"/>
    <cellStyle name="Note 2 6 2 4" xfId="15339" xr:uid="{4775938D-A7B8-4C4E-ABFD-28972286E6C2}"/>
    <cellStyle name="Note 2 6 2 4 2" xfId="15340" xr:uid="{461BF42F-2E21-4496-9DDB-3BE1063604AD}"/>
    <cellStyle name="Note 2 6 2 4 3" xfId="34143" xr:uid="{21A6D821-0411-46E3-B55A-80D1AD3A5CBC}"/>
    <cellStyle name="Note 2 6 2 4 4" xfId="34144" xr:uid="{24DCFF42-DCF3-4BFE-963D-8747B5EC7373}"/>
    <cellStyle name="Note 2 6 2 5" xfId="15341" xr:uid="{ECC930C7-E1B1-4198-BBA9-2992A9412BE4}"/>
    <cellStyle name="Note 2 6 2 5 2" xfId="15342" xr:uid="{2449ED87-018C-405A-914C-E510D7103D2B}"/>
    <cellStyle name="Note 2 6 2 5 3" xfId="34145" xr:uid="{ACB0237D-5D77-4984-A8ED-2B7B0D59C0A9}"/>
    <cellStyle name="Note 2 6 2 5 4" xfId="34146" xr:uid="{C5E2D227-8F96-481F-BEA4-C24958450580}"/>
    <cellStyle name="Note 2 6 2 6" xfId="15343" xr:uid="{B23719CC-4E00-4CCA-83A2-631E0047DDA5}"/>
    <cellStyle name="Note 2 6 2 6 2" xfId="15344" xr:uid="{D530E8B6-B0C4-4D84-967E-3564C20C6FC3}"/>
    <cellStyle name="Note 2 6 2 6 3" xfId="34147" xr:uid="{9728DD34-04C5-431F-850E-7F1D92E122BC}"/>
    <cellStyle name="Note 2 6 2 6 4" xfId="34148" xr:uid="{35F0EFB7-8003-4547-BAB1-D21919B3CBD0}"/>
    <cellStyle name="Note 2 6 2 7" xfId="15345" xr:uid="{E88F9F3E-BC73-4936-932D-5B37DF227277}"/>
    <cellStyle name="Note 2 6 2 7 2" xfId="15346" xr:uid="{93F5AB08-D9ED-438C-943D-834813AA917A}"/>
    <cellStyle name="Note 2 6 2 7 3" xfId="34149" xr:uid="{015F6232-099D-48C4-9E4D-0AFF2E995E61}"/>
    <cellStyle name="Note 2 6 2 7 4" xfId="34150" xr:uid="{71C30BB0-9386-4A95-AE0A-60E6E8C9B12C}"/>
    <cellStyle name="Note 2 6 2 8" xfId="15347" xr:uid="{ACBB9863-B7D5-48E8-A8A1-ED0AA63A03B8}"/>
    <cellStyle name="Note 2 6 2 8 2" xfId="15348" xr:uid="{C411C0A4-664E-4545-ADA2-63309FEEDBD1}"/>
    <cellStyle name="Note 2 6 2 8 3" xfId="34151" xr:uid="{CF9E456D-5C81-4BA5-9471-04EF8B18DD0A}"/>
    <cellStyle name="Note 2 6 2 8 4" xfId="34152" xr:uid="{1EBB373F-C646-4035-A5D1-39A074EBFFF2}"/>
    <cellStyle name="Note 2 6 2 9" xfId="15349" xr:uid="{8A92E59F-A1FC-40CD-81BF-9AD52A50A731}"/>
    <cellStyle name="Note 2 6 2 9 2" xfId="34153" xr:uid="{0B577310-A96A-4205-8399-0F910CD8E8C1}"/>
    <cellStyle name="Note 2 6 3" xfId="15350" xr:uid="{7067C9C7-88CE-44C2-A25F-1084722959C9}"/>
    <cellStyle name="Note 2 6 3 2" xfId="15351" xr:uid="{7F194655-3C9A-4F7A-A7F7-2488F18D9026}"/>
    <cellStyle name="Note 2 6 3 2 2" xfId="15352" xr:uid="{5C8CF182-3FCD-421E-9366-33658D55C93B}"/>
    <cellStyle name="Note 2 6 3 3" xfId="15353" xr:uid="{F0FCDD87-4B19-4DA8-BC25-6BEC113374CE}"/>
    <cellStyle name="Note 2 6 3 4" xfId="34154" xr:uid="{19FD80D5-5643-4855-90A0-5EF1A90D52BE}"/>
    <cellStyle name="Note 2 6 4" xfId="15354" xr:uid="{6470F2A1-7190-475C-B716-C252D5D9D78D}"/>
    <cellStyle name="Note 2 6 4 2" xfId="15355" xr:uid="{90E5796A-42F0-4EFE-8EA6-3637FBDF44B6}"/>
    <cellStyle name="Note 2 6 4 3" xfId="34155" xr:uid="{EFDBC42C-C7BC-45BC-846C-A2388551C80A}"/>
    <cellStyle name="Note 2 6 4 4" xfId="34156" xr:uid="{CDD83C4E-9E01-4F84-97C3-194A85776DD6}"/>
    <cellStyle name="Note 2 6 5" xfId="15356" xr:uid="{59C6975A-4FA9-4FE8-BA5D-94BAE175B4E2}"/>
    <cellStyle name="Note 2 6 5 2" xfId="15357" xr:uid="{B7DFB5D5-FDB0-46CD-99F8-06953CDC3DE4}"/>
    <cellStyle name="Note 2 6 5 3" xfId="34157" xr:uid="{CFC1BD73-1721-4CF9-B1BA-1FAE0930AA37}"/>
    <cellStyle name="Note 2 6 5 4" xfId="34158" xr:uid="{7B3FF7CE-26ED-4463-B5D0-E4638E71DE9F}"/>
    <cellStyle name="Note 2 6 6" xfId="15358" xr:uid="{C297D1A3-F881-46FC-AA0E-739694500DCF}"/>
    <cellStyle name="Note 2 6 6 2" xfId="15359" xr:uid="{A8947B7E-5CD5-4464-B4F1-DC3A601F8556}"/>
    <cellStyle name="Note 2 6 6 3" xfId="34159" xr:uid="{FF9A8B48-911C-4296-9EC1-DEAFA997108D}"/>
    <cellStyle name="Note 2 6 6 4" xfId="34160" xr:uid="{A8145AE7-353E-4B06-8E3A-8E9DD6AE4897}"/>
    <cellStyle name="Note 2 6 7" xfId="15360" xr:uid="{13A1082D-8856-4A4C-BB96-289A2EB7E908}"/>
    <cellStyle name="Note 2 6 7 2" xfId="15361" xr:uid="{32375719-49F8-4EED-87EF-42B928912EA4}"/>
    <cellStyle name="Note 2 6 7 3" xfId="34161" xr:uid="{40D30BEA-7305-4DDD-B39E-2E0E5CB930E4}"/>
    <cellStyle name="Note 2 6 7 4" xfId="34162" xr:uid="{1A8FEC57-32A1-4CFF-AEAB-5AA3C39EEF43}"/>
    <cellStyle name="Note 2 6 8" xfId="15362" xr:uid="{A596B833-49BE-47FC-B3C6-76EAABF82C22}"/>
    <cellStyle name="Note 2 6 8 2" xfId="15363" xr:uid="{0712757D-BDB6-415B-883D-C51AA9A005DE}"/>
    <cellStyle name="Note 2 6 8 3" xfId="34163" xr:uid="{E9E72329-0C85-4976-9183-FFD73B54AFE1}"/>
    <cellStyle name="Note 2 6 8 4" xfId="34164" xr:uid="{8D36C8F1-54F9-4F64-86BE-668AA5582F17}"/>
    <cellStyle name="Note 2 6 9" xfId="15364" xr:uid="{E0EAC7D6-93EB-4F36-A952-FE84C3C7242C}"/>
    <cellStyle name="Note 2 6 9 2" xfId="15365" xr:uid="{D32B6723-1EAD-4C3A-915B-297A5F91461A}"/>
    <cellStyle name="Note 2 6 9 3" xfId="34165" xr:uid="{87C777F4-D02E-4E30-BFF2-B7777E1B205E}"/>
    <cellStyle name="Note 2 6 9 4" xfId="34166" xr:uid="{109E0E35-481F-4553-B3ED-D7A0803C85FA}"/>
    <cellStyle name="Note 2 7" xfId="15366" xr:uid="{261B87DA-939F-434C-90A8-2BEE6894366C}"/>
    <cellStyle name="Note 2 7 10" xfId="15367" xr:uid="{BE82EB85-7863-4F53-8506-6C1613538DEB}"/>
    <cellStyle name="Note 2 7 10 2" xfId="34167" xr:uid="{412D3A43-241A-49F6-A89B-F6CD4BCF864C}"/>
    <cellStyle name="Note 2 7 11" xfId="15368" xr:uid="{C236FF9E-AB74-464B-AC6F-B6A18AEA70D7}"/>
    <cellStyle name="Note 2 7 11 2" xfId="34168" xr:uid="{FCEEF755-BAF7-4B51-96C8-C991442FFAA8}"/>
    <cellStyle name="Note 2 7 12" xfId="34169" xr:uid="{51EA310D-4452-40FC-A8DC-47F1B9D932E4}"/>
    <cellStyle name="Note 2 7 13" xfId="34170" xr:uid="{97BFF517-B2A1-4732-93EA-2BDC8645100A}"/>
    <cellStyle name="Note 2 7 2" xfId="15369" xr:uid="{98FCD46C-8796-47C0-9009-013E394F84BC}"/>
    <cellStyle name="Note 2 7 2 10" xfId="15370" xr:uid="{564D54DE-4148-49F8-9F57-5C5506A51C19}"/>
    <cellStyle name="Note 2 7 2 10 2" xfId="34171" xr:uid="{69066826-B337-4622-B3CC-3E9413305A7F}"/>
    <cellStyle name="Note 2 7 2 11" xfId="34172" xr:uid="{6EE372BE-5F28-4B74-97ED-B37ED4FC6D54}"/>
    <cellStyle name="Note 2 7 2 2" xfId="15371" xr:uid="{3C9EC205-2B51-4AFB-83E8-6CA4173AB15F}"/>
    <cellStyle name="Note 2 7 2 2 2" xfId="15372" xr:uid="{FED00735-B1A8-4A9F-839C-F84B87EFAA8B}"/>
    <cellStyle name="Note 2 7 2 2 2 2" xfId="15373" xr:uid="{91D5F7B6-2EB4-4037-A3FA-6F57958055EC}"/>
    <cellStyle name="Note 2 7 2 2 3" xfId="15374" xr:uid="{0D38E53F-C913-49BD-83A5-14608877B8D9}"/>
    <cellStyle name="Note 2 7 2 2 4" xfId="34173" xr:uid="{35A818DA-E1B4-46C1-8F92-47253D30F958}"/>
    <cellStyle name="Note 2 7 2 3" xfId="15375" xr:uid="{7D0909C6-F901-4019-99CA-9027AB206A00}"/>
    <cellStyle name="Note 2 7 2 3 2" xfId="15376" xr:uid="{62230770-BC30-454D-98E6-514DB3B7CF96}"/>
    <cellStyle name="Note 2 7 2 3 3" xfId="34174" xr:uid="{5D622A7B-138B-4AAD-8AFC-AAF6C5A747B2}"/>
    <cellStyle name="Note 2 7 2 3 4" xfId="34175" xr:uid="{34B60CC3-5475-4331-8070-3A8A9C53B46E}"/>
    <cellStyle name="Note 2 7 2 4" xfId="15377" xr:uid="{8051F734-6189-43E7-8C75-C165F0FFC3A1}"/>
    <cellStyle name="Note 2 7 2 4 2" xfId="15378" xr:uid="{7991E816-D9B3-4A7F-98BF-66B9CC88D3F8}"/>
    <cellStyle name="Note 2 7 2 4 3" xfId="34176" xr:uid="{EF8B9FEC-9006-49E8-BA62-8BE5AE42ABCB}"/>
    <cellStyle name="Note 2 7 2 4 4" xfId="34177" xr:uid="{FD0FD991-6624-4815-AC42-A5BD4A66FE68}"/>
    <cellStyle name="Note 2 7 2 5" xfId="15379" xr:uid="{A2D11502-025A-42C6-B2FC-60A0850B950F}"/>
    <cellStyle name="Note 2 7 2 5 2" xfId="15380" xr:uid="{7EAFB774-FD6F-4F15-92CF-C9859F8410E0}"/>
    <cellStyle name="Note 2 7 2 5 3" xfId="34178" xr:uid="{87DEE892-5FDE-44F9-83FE-BAE13535B153}"/>
    <cellStyle name="Note 2 7 2 5 4" xfId="34179" xr:uid="{08FBB6CA-E471-4D2E-AF27-0506F43A4DB8}"/>
    <cellStyle name="Note 2 7 2 6" xfId="15381" xr:uid="{827AD82C-AB0C-473B-8371-6A49A411AF36}"/>
    <cellStyle name="Note 2 7 2 6 2" xfId="15382" xr:uid="{BC852773-7DAF-43E0-A220-55B4B4D214DF}"/>
    <cellStyle name="Note 2 7 2 6 3" xfId="34180" xr:uid="{8B4314C3-4531-4F2C-A2CE-0F2A67BAB977}"/>
    <cellStyle name="Note 2 7 2 6 4" xfId="34181" xr:uid="{AC0A5E51-708C-4D54-ADD7-04E55E4B3000}"/>
    <cellStyle name="Note 2 7 2 7" xfId="15383" xr:uid="{43672EE4-5A9C-4FB1-87D4-E63D872CDAA7}"/>
    <cellStyle name="Note 2 7 2 7 2" xfId="15384" xr:uid="{D90C07C3-EBBA-4B32-9711-D6E2954B2E44}"/>
    <cellStyle name="Note 2 7 2 7 3" xfId="34182" xr:uid="{8AEF3AB7-95A3-4A6A-9412-9612CDD95285}"/>
    <cellStyle name="Note 2 7 2 7 4" xfId="34183" xr:uid="{731783CA-8720-4D10-9790-4AB877A57AAD}"/>
    <cellStyle name="Note 2 7 2 8" xfId="15385" xr:uid="{2C1884CB-92EC-4BA3-8AA7-759B01CF4748}"/>
    <cellStyle name="Note 2 7 2 8 2" xfId="15386" xr:uid="{5212A68F-D949-43B1-BE06-C51998B86931}"/>
    <cellStyle name="Note 2 7 2 8 3" xfId="34184" xr:uid="{33C3B907-6F66-49C6-BC28-B630330F51E6}"/>
    <cellStyle name="Note 2 7 2 8 4" xfId="34185" xr:uid="{1318D55B-1E21-465A-B748-AB30065D8867}"/>
    <cellStyle name="Note 2 7 2 9" xfId="15387" xr:uid="{F8E29E2B-6615-4AD6-BF77-6505226D37EF}"/>
    <cellStyle name="Note 2 7 2 9 2" xfId="34186" xr:uid="{26AF03AF-ECE1-4958-B411-601FCAD50554}"/>
    <cellStyle name="Note 2 7 3" xfId="15388" xr:uid="{62A929C3-6B68-4531-BE31-A28519434C59}"/>
    <cellStyle name="Note 2 7 3 2" xfId="15389" xr:uid="{B3C2C113-452B-45A9-8357-8594FF8C283B}"/>
    <cellStyle name="Note 2 7 3 2 2" xfId="15390" xr:uid="{17720A9A-3465-42AE-BD04-8F2575B395B1}"/>
    <cellStyle name="Note 2 7 3 3" xfId="15391" xr:uid="{6A63CAA1-947C-49CC-8FFC-107093AD0C03}"/>
    <cellStyle name="Note 2 7 3 4" xfId="34187" xr:uid="{2DF7B3B3-2169-4F89-9AF0-D0457FB95BBF}"/>
    <cellStyle name="Note 2 7 4" xfId="15392" xr:uid="{0AD48703-7A4A-4FD3-983F-0CC28226B5E4}"/>
    <cellStyle name="Note 2 7 4 2" xfId="15393" xr:uid="{F3F03BEA-96BE-42C0-B96F-C7B99B11729E}"/>
    <cellStyle name="Note 2 7 4 3" xfId="34188" xr:uid="{2FB63105-DA0A-45E8-A4D1-D392DBC2C997}"/>
    <cellStyle name="Note 2 7 4 4" xfId="34189" xr:uid="{7D5EA5CC-6149-4536-87D0-5EDB8DD3747F}"/>
    <cellStyle name="Note 2 7 5" xfId="15394" xr:uid="{09B07585-12B5-45E2-94D1-79665954C92A}"/>
    <cellStyle name="Note 2 7 5 2" xfId="15395" xr:uid="{694524AE-99B2-481D-ACAF-8CA75A72923B}"/>
    <cellStyle name="Note 2 7 5 3" xfId="34190" xr:uid="{9E8BAAA3-5DCE-46F0-B725-AF2506D1F7ED}"/>
    <cellStyle name="Note 2 7 5 4" xfId="34191" xr:uid="{18BC67A7-0213-4953-8613-D6E1EF3253D9}"/>
    <cellStyle name="Note 2 7 6" xfId="15396" xr:uid="{05834043-7462-47B3-B057-BCFC4F747223}"/>
    <cellStyle name="Note 2 7 6 2" xfId="15397" xr:uid="{18C8C6F7-F141-4787-BC43-0BB21B73A561}"/>
    <cellStyle name="Note 2 7 6 3" xfId="34192" xr:uid="{4D3AB46F-3AF0-4F20-9329-D767A0958D89}"/>
    <cellStyle name="Note 2 7 6 4" xfId="34193" xr:uid="{97682C56-F154-45F5-B611-95B56410B994}"/>
    <cellStyle name="Note 2 7 7" xfId="15398" xr:uid="{99D725F2-3D53-4887-916D-E952FA6AE2E1}"/>
    <cellStyle name="Note 2 7 7 2" xfId="15399" xr:uid="{F1E7D140-CACE-4755-80F5-379284ED278D}"/>
    <cellStyle name="Note 2 7 7 3" xfId="34194" xr:uid="{05009C40-8911-456B-98AD-A31A3A18932E}"/>
    <cellStyle name="Note 2 7 7 4" xfId="34195" xr:uid="{8F996DCA-7324-4C27-8574-EC0A3CB405FC}"/>
    <cellStyle name="Note 2 7 8" xfId="15400" xr:uid="{74F96964-0E9F-483A-9B20-E4DFE8E7F815}"/>
    <cellStyle name="Note 2 7 8 2" xfId="15401" xr:uid="{D2C9691C-3BCC-4E35-B4B7-AA26A840F461}"/>
    <cellStyle name="Note 2 7 8 3" xfId="34196" xr:uid="{2574EE0A-AA69-4825-A227-4D31F5208AAF}"/>
    <cellStyle name="Note 2 7 8 4" xfId="34197" xr:uid="{B9987532-74FE-4268-9919-72932DE8812D}"/>
    <cellStyle name="Note 2 7 9" xfId="15402" xr:uid="{38ABE1BE-C676-484C-817A-205400BC544E}"/>
    <cellStyle name="Note 2 7 9 2" xfId="15403" xr:uid="{637F0E0D-C6C8-435B-88CE-D73070F9943A}"/>
    <cellStyle name="Note 2 7 9 3" xfId="34198" xr:uid="{B620F581-D02D-480A-8957-D2581CAF98A4}"/>
    <cellStyle name="Note 2 7 9 4" xfId="34199" xr:uid="{036BCF06-F470-4FB4-8BB0-930BB63F5FBD}"/>
    <cellStyle name="Note 2 8" xfId="15404" xr:uid="{8FC7071A-CDA5-4F93-8AAC-FAF4322E267B}"/>
    <cellStyle name="Note 2 8 10" xfId="15405" xr:uid="{0BCB2E1C-458A-4878-A149-067185AA7185}"/>
    <cellStyle name="Note 2 8 10 2" xfId="34200" xr:uid="{5F0207EB-2432-4ED0-A35C-7318C9244109}"/>
    <cellStyle name="Note 2 8 11" xfId="15406" xr:uid="{CB6D4931-9800-44AF-AC2B-43D68B4465CD}"/>
    <cellStyle name="Note 2 8 11 2" xfId="34201" xr:uid="{A5E9B5E8-D60F-4336-9A4A-25E0024AC602}"/>
    <cellStyle name="Note 2 8 12" xfId="34202" xr:uid="{08479195-CA77-4509-ADAE-1263B69520FE}"/>
    <cellStyle name="Note 2 8 13" xfId="34203" xr:uid="{375EE961-A012-4D18-B371-3FEACFE1CB45}"/>
    <cellStyle name="Note 2 8 2" xfId="15407" xr:uid="{C2B4D812-1243-4EF0-93A8-C5597A22C306}"/>
    <cellStyle name="Note 2 8 2 10" xfId="15408" xr:uid="{CF0D48A5-1DED-4F80-ACB1-033EBE48B9BA}"/>
    <cellStyle name="Note 2 8 2 10 2" xfId="34204" xr:uid="{BD0D6B0F-8FA5-42A4-AA51-00E730EF4574}"/>
    <cellStyle name="Note 2 8 2 11" xfId="34205" xr:uid="{6683CE10-7F25-4FF4-BA23-1033F494145F}"/>
    <cellStyle name="Note 2 8 2 2" xfId="15409" xr:uid="{0D04D419-6E4C-4BE3-B173-80CC64F48DDA}"/>
    <cellStyle name="Note 2 8 2 2 2" xfId="15410" xr:uid="{5EBEFE0B-A0CF-4857-B293-6DC630D50D23}"/>
    <cellStyle name="Note 2 8 2 2 2 2" xfId="15411" xr:uid="{791EAF1F-C9DD-4452-BD60-35B6106E4477}"/>
    <cellStyle name="Note 2 8 2 2 3" xfId="15412" xr:uid="{4E7293E3-980C-4246-9573-F4583DB3045A}"/>
    <cellStyle name="Note 2 8 2 2 4" xfId="34206" xr:uid="{ABFF4107-494F-4238-9B42-BED6210567BA}"/>
    <cellStyle name="Note 2 8 2 3" xfId="15413" xr:uid="{E72C1122-24DA-4593-A54F-E826AFF44141}"/>
    <cellStyle name="Note 2 8 2 3 2" xfId="15414" xr:uid="{5D9392EA-E0CE-4E22-A904-EB5B1ADD055B}"/>
    <cellStyle name="Note 2 8 2 3 3" xfId="34207" xr:uid="{973E5A01-1251-4A59-A5C8-AFF2E552932A}"/>
    <cellStyle name="Note 2 8 2 3 4" xfId="34208" xr:uid="{49F47813-B539-43AE-BF63-FEB2D9ADC555}"/>
    <cellStyle name="Note 2 8 2 4" xfId="15415" xr:uid="{410EF5C2-387F-4427-8E3A-47DD8424A5A0}"/>
    <cellStyle name="Note 2 8 2 4 2" xfId="15416" xr:uid="{69442162-0DCA-4A72-AE00-918CD1A5A2E7}"/>
    <cellStyle name="Note 2 8 2 4 3" xfId="34209" xr:uid="{976D263D-6D12-43E2-8FB8-7B4AC238F5EB}"/>
    <cellStyle name="Note 2 8 2 4 4" xfId="34210" xr:uid="{B34C1B12-13F4-4BE5-8AC9-07477A74FFA3}"/>
    <cellStyle name="Note 2 8 2 5" xfId="15417" xr:uid="{A155D7E8-1F98-4F6A-8870-6B9409F4BFAD}"/>
    <cellStyle name="Note 2 8 2 5 2" xfId="15418" xr:uid="{C0FFAAC9-4CB0-4371-A07F-DB2B604BFA74}"/>
    <cellStyle name="Note 2 8 2 5 3" xfId="34211" xr:uid="{D827322B-FF7A-45BC-8BD0-2FAF6519149D}"/>
    <cellStyle name="Note 2 8 2 5 4" xfId="34212" xr:uid="{226A2C50-86A7-4732-B7B0-90823B5961AF}"/>
    <cellStyle name="Note 2 8 2 6" xfId="15419" xr:uid="{117B9203-B09E-432F-97FB-CA0A6C8FF713}"/>
    <cellStyle name="Note 2 8 2 6 2" xfId="15420" xr:uid="{0C4DFC5B-B46B-4D23-80F3-709CAA110ED3}"/>
    <cellStyle name="Note 2 8 2 6 3" xfId="34213" xr:uid="{54EB03A9-6546-4DB9-A328-6AF3D143EA6F}"/>
    <cellStyle name="Note 2 8 2 6 4" xfId="34214" xr:uid="{B1ECD1D1-53F9-41F4-B010-C68BB3C2169D}"/>
    <cellStyle name="Note 2 8 2 7" xfId="15421" xr:uid="{6B23E923-1818-433E-B75B-8FEC1A0E0D02}"/>
    <cellStyle name="Note 2 8 2 7 2" xfId="15422" xr:uid="{E929C173-DCFE-4C66-A1AD-EDC162AF096B}"/>
    <cellStyle name="Note 2 8 2 7 3" xfId="34215" xr:uid="{DED1D7F9-EBC7-4F19-81C7-AC9074877DDF}"/>
    <cellStyle name="Note 2 8 2 7 4" xfId="34216" xr:uid="{76BB8EBF-5086-4864-AF69-FA484E61C69B}"/>
    <cellStyle name="Note 2 8 2 8" xfId="15423" xr:uid="{726C6F62-F4D4-49B4-99DC-707D06F56D4D}"/>
    <cellStyle name="Note 2 8 2 8 2" xfId="15424" xr:uid="{5ACCF2D1-5986-4889-8660-23EAB5D38C50}"/>
    <cellStyle name="Note 2 8 2 8 3" xfId="34217" xr:uid="{AB82E8FE-0FE7-4CA5-BB7B-715FDB2F3EEE}"/>
    <cellStyle name="Note 2 8 2 8 4" xfId="34218" xr:uid="{E856A053-5483-43F2-9221-26D32832B399}"/>
    <cellStyle name="Note 2 8 2 9" xfId="15425" xr:uid="{10612195-C68F-4E1F-B452-66433602054E}"/>
    <cellStyle name="Note 2 8 2 9 2" xfId="34219" xr:uid="{03B45AE6-CD8D-4EA0-9DD9-BDA93D4DDC57}"/>
    <cellStyle name="Note 2 8 3" xfId="15426" xr:uid="{9A2F69AB-D86A-429C-A0BC-30A9EAA8D3AA}"/>
    <cellStyle name="Note 2 8 3 2" xfId="15427" xr:uid="{EDA49EAA-7634-41EF-A534-830ACF365332}"/>
    <cellStyle name="Note 2 8 3 2 2" xfId="15428" xr:uid="{055B6A04-856E-44E4-9CA4-5D507B14ED89}"/>
    <cellStyle name="Note 2 8 3 3" xfId="15429" xr:uid="{0AA8DD4C-5C08-4F8A-9E79-540C22559E8C}"/>
    <cellStyle name="Note 2 8 3 4" xfId="34220" xr:uid="{9CAE1FB9-08C9-40A6-8E06-F72E4F84BE5D}"/>
    <cellStyle name="Note 2 8 4" xfId="15430" xr:uid="{E0BDF9EE-4006-4AE7-876B-E229FBB2A3F3}"/>
    <cellStyle name="Note 2 8 4 2" xfId="15431" xr:uid="{832F8310-94F5-4193-9ADC-8BF1488B0CEB}"/>
    <cellStyle name="Note 2 8 4 3" xfId="34221" xr:uid="{4E3B5C3C-A991-4A4A-A3CF-CF07AE686D9C}"/>
    <cellStyle name="Note 2 8 4 4" xfId="34222" xr:uid="{922D4BA4-B767-48DA-A966-A30ABD2B09D9}"/>
    <cellStyle name="Note 2 8 5" xfId="15432" xr:uid="{B08586E2-222A-4862-84C9-16B3540150DE}"/>
    <cellStyle name="Note 2 8 5 2" xfId="15433" xr:uid="{64B348A4-8819-46A9-AB45-EF32DE321858}"/>
    <cellStyle name="Note 2 8 5 3" xfId="34223" xr:uid="{2AA871A8-85E4-4406-B440-E79D545A7604}"/>
    <cellStyle name="Note 2 8 5 4" xfId="34224" xr:uid="{439F2929-E568-43F7-B069-2B9C8BC83FF9}"/>
    <cellStyle name="Note 2 8 6" xfId="15434" xr:uid="{2E010E98-F368-4E2F-822D-9AF4012EF6A7}"/>
    <cellStyle name="Note 2 8 6 2" xfId="15435" xr:uid="{2835F08B-7DE1-4729-9984-595BE0DFB9D1}"/>
    <cellStyle name="Note 2 8 6 3" xfId="34225" xr:uid="{82F76AE6-E206-4F80-8DE5-34AF4BC2B273}"/>
    <cellStyle name="Note 2 8 6 4" xfId="34226" xr:uid="{0455553B-242C-4180-9785-0AA6CCBA08B7}"/>
    <cellStyle name="Note 2 8 7" xfId="15436" xr:uid="{CAF4AEB3-72BB-4EC9-9A44-6FF0D738F4EB}"/>
    <cellStyle name="Note 2 8 7 2" xfId="15437" xr:uid="{3396EA2F-1C87-400C-88D9-488189BB4717}"/>
    <cellStyle name="Note 2 8 7 3" xfId="34227" xr:uid="{3CE95346-5368-489A-BB94-383DB2D7DB1E}"/>
    <cellStyle name="Note 2 8 7 4" xfId="34228" xr:uid="{3417915F-FB96-41C8-8F1A-56401C5DDA23}"/>
    <cellStyle name="Note 2 8 8" xfId="15438" xr:uid="{3224691B-A298-462D-BBE4-F3D8CEE33209}"/>
    <cellStyle name="Note 2 8 8 2" xfId="15439" xr:uid="{3878A77E-82F2-4062-BEDC-2FADE07BF59B}"/>
    <cellStyle name="Note 2 8 8 3" xfId="34229" xr:uid="{E34099BB-CC6E-4544-9607-E951531D97B7}"/>
    <cellStyle name="Note 2 8 8 4" xfId="34230" xr:uid="{FA8B38CF-9B63-42E3-B1AB-A8485A4AC1A7}"/>
    <cellStyle name="Note 2 8 9" xfId="15440" xr:uid="{406E3C77-47A2-4CAF-A7CF-81413068DE50}"/>
    <cellStyle name="Note 2 8 9 2" xfId="15441" xr:uid="{D7482104-820E-4BCA-8D18-252170E35DC4}"/>
    <cellStyle name="Note 2 8 9 3" xfId="34231" xr:uid="{E6C46775-84D8-4D5B-8D0F-811D11906A7D}"/>
    <cellStyle name="Note 2 8 9 4" xfId="34232" xr:uid="{CE4777BB-07B6-4299-8431-DCADE499A456}"/>
    <cellStyle name="Note 2 9" xfId="15442" xr:uid="{7B62EC35-946D-4C9E-9CB2-B17CDB98C62F}"/>
    <cellStyle name="Note 2 9 10" xfId="15443" xr:uid="{807EB3E7-F30B-4E9B-BBEA-8B91CBEFA1C9}"/>
    <cellStyle name="Note 2 9 10 2" xfId="34233" xr:uid="{ECC7CA88-B694-4C63-8289-2334182FCDF6}"/>
    <cellStyle name="Note 2 9 11" xfId="15444" xr:uid="{AC4F60CF-CD04-496E-8FAC-9E0FD393A93D}"/>
    <cellStyle name="Note 2 9 11 2" xfId="34234" xr:uid="{EC5F20EB-ECD8-49B1-BB56-F13B02383FD4}"/>
    <cellStyle name="Note 2 9 12" xfId="34235" xr:uid="{4E2B31CA-4D62-43CE-BCE2-7418DE7EAC04}"/>
    <cellStyle name="Note 2 9 13" xfId="34236" xr:uid="{A33F4316-42ED-46E7-A27A-D5754E219D2F}"/>
    <cellStyle name="Note 2 9 2" xfId="15445" xr:uid="{59036EE7-75AD-4B56-A028-0AE1DAEED6D6}"/>
    <cellStyle name="Note 2 9 2 10" xfId="15446" xr:uid="{E88C4C08-89B5-462B-A7E0-93A6C87EC7FE}"/>
    <cellStyle name="Note 2 9 2 10 2" xfId="34237" xr:uid="{D87A63C6-E395-4430-A2C1-E2AD7CF31EE4}"/>
    <cellStyle name="Note 2 9 2 11" xfId="34238" xr:uid="{97D25312-A2CF-46A4-83B1-4C3FB4731ED7}"/>
    <cellStyle name="Note 2 9 2 2" xfId="15447" xr:uid="{50F51A18-76A3-4765-A24E-8036F62B81B8}"/>
    <cellStyle name="Note 2 9 2 2 2" xfId="15448" xr:uid="{9C9BF742-69C5-4B52-8E9A-FF1B53A3EC78}"/>
    <cellStyle name="Note 2 9 2 2 2 2" xfId="15449" xr:uid="{2C8ED42C-3503-44E2-924E-8887A0CD4F40}"/>
    <cellStyle name="Note 2 9 2 2 3" xfId="15450" xr:uid="{379DBCE9-5357-41D3-8AFD-CDA1B6EFC0ED}"/>
    <cellStyle name="Note 2 9 2 2 4" xfId="34239" xr:uid="{D0E24686-7EE2-43C5-9D9D-A8D8A6C70C62}"/>
    <cellStyle name="Note 2 9 2 3" xfId="15451" xr:uid="{B54C08CF-C25D-4A61-B88E-E1ABEEF1FE52}"/>
    <cellStyle name="Note 2 9 2 3 2" xfId="15452" xr:uid="{43990E0E-094A-4BBF-B7DC-476DBF03BE21}"/>
    <cellStyle name="Note 2 9 2 3 3" xfId="34240" xr:uid="{B169A405-AC64-41BE-A660-35606E0AC7CE}"/>
    <cellStyle name="Note 2 9 2 3 4" xfId="34241" xr:uid="{99D1ECE6-F77C-4BB5-9B68-C1BD4619F08A}"/>
    <cellStyle name="Note 2 9 2 4" xfId="15453" xr:uid="{A06B0826-E610-46F4-BFC4-5B8C76433B63}"/>
    <cellStyle name="Note 2 9 2 4 2" xfId="15454" xr:uid="{F8272B95-234B-4DD5-96BA-6D85D51D3109}"/>
    <cellStyle name="Note 2 9 2 4 3" xfId="34242" xr:uid="{1AF1EB80-AC49-4816-A8A6-30A3301D3530}"/>
    <cellStyle name="Note 2 9 2 4 4" xfId="34243" xr:uid="{57D3D2A4-E514-41FC-81D7-E77B30FEE582}"/>
    <cellStyle name="Note 2 9 2 5" xfId="15455" xr:uid="{7D553830-57E3-4E84-BACE-74D24A83AAB4}"/>
    <cellStyle name="Note 2 9 2 5 2" xfId="15456" xr:uid="{E21B44A6-AF3E-4DAA-BC11-DA29556F5FDA}"/>
    <cellStyle name="Note 2 9 2 5 3" xfId="34244" xr:uid="{2CCB8483-E256-47AD-8ABA-497DDC1228D7}"/>
    <cellStyle name="Note 2 9 2 5 4" xfId="34245" xr:uid="{2BF3A5CB-A33F-4415-80E6-AA1AC38B1915}"/>
    <cellStyle name="Note 2 9 2 6" xfId="15457" xr:uid="{E659F94A-E31C-48B1-9481-25ECC82C7604}"/>
    <cellStyle name="Note 2 9 2 6 2" xfId="15458" xr:uid="{8BD519A4-5DD7-481D-9C7E-9F4085E011CC}"/>
    <cellStyle name="Note 2 9 2 6 3" xfId="34246" xr:uid="{2279C487-3228-443F-8873-1F2F75866014}"/>
    <cellStyle name="Note 2 9 2 6 4" xfId="34247" xr:uid="{7BCE12A5-3B1C-465D-A4D9-763F69BB28AA}"/>
    <cellStyle name="Note 2 9 2 7" xfId="15459" xr:uid="{D8B90587-599B-4A41-B3CF-1A87F65DADE0}"/>
    <cellStyle name="Note 2 9 2 7 2" xfId="15460" xr:uid="{DF8782F1-3DE9-498C-A82C-80A41FF1C629}"/>
    <cellStyle name="Note 2 9 2 7 3" xfId="34248" xr:uid="{778088CA-3645-4A37-BF49-08A84FCF3D33}"/>
    <cellStyle name="Note 2 9 2 7 4" xfId="34249" xr:uid="{F490915F-69B9-4B7D-A0D5-A000AFF6844E}"/>
    <cellStyle name="Note 2 9 2 8" xfId="15461" xr:uid="{42EF037C-AD53-483D-B2B0-AE6A33ACAB68}"/>
    <cellStyle name="Note 2 9 2 8 2" xfId="15462" xr:uid="{9F4EF5F3-6397-461B-872F-1F2366B56472}"/>
    <cellStyle name="Note 2 9 2 8 3" xfId="34250" xr:uid="{61BC1A36-C7B4-49D8-A590-24EEAB7C88D5}"/>
    <cellStyle name="Note 2 9 2 8 4" xfId="34251" xr:uid="{647A02F1-35FF-4A42-8612-00C28F03A150}"/>
    <cellStyle name="Note 2 9 2 9" xfId="15463" xr:uid="{D717A546-AC3D-42CD-8D23-335B53E488E8}"/>
    <cellStyle name="Note 2 9 2 9 2" xfId="34252" xr:uid="{364DCB29-8F3C-47B5-947E-C67EE672B381}"/>
    <cellStyle name="Note 2 9 3" xfId="15464" xr:uid="{1389215F-1CD9-4B28-9F67-56FC1D8991C8}"/>
    <cellStyle name="Note 2 9 3 2" xfId="15465" xr:uid="{AB3D7D1F-1E25-4202-B392-1FC4E7E90CD8}"/>
    <cellStyle name="Note 2 9 3 2 2" xfId="15466" xr:uid="{E4447B40-D32C-4980-9A43-AFF7B83ACCAF}"/>
    <cellStyle name="Note 2 9 3 3" xfId="15467" xr:uid="{91FBDDAB-31E8-4CFE-93ED-E4E84A86D816}"/>
    <cellStyle name="Note 2 9 3 4" xfId="34253" xr:uid="{3065C5E4-4DBC-4268-92F1-E13BF94B2B4F}"/>
    <cellStyle name="Note 2 9 4" xfId="15468" xr:uid="{5A973A2C-20D9-48E8-B411-3F7A53EE3A44}"/>
    <cellStyle name="Note 2 9 4 2" xfId="15469" xr:uid="{EAF6ED56-DA20-4EE6-BE55-923B68D06629}"/>
    <cellStyle name="Note 2 9 4 3" xfId="34254" xr:uid="{B59089BC-7249-4BB3-8AA9-4B957A76D91C}"/>
    <cellStyle name="Note 2 9 4 4" xfId="34255" xr:uid="{9DF9B532-EB35-4BAE-9A6D-5129AB295BDB}"/>
    <cellStyle name="Note 2 9 5" xfId="15470" xr:uid="{22E88F5F-7D1D-44C5-9E5E-23157F2C70F2}"/>
    <cellStyle name="Note 2 9 5 2" xfId="15471" xr:uid="{EA1B17C6-1533-4BE9-965C-62A6FC7F3521}"/>
    <cellStyle name="Note 2 9 5 3" xfId="34256" xr:uid="{E28E0A4C-8B6F-4900-AF55-C9F1E2C323ED}"/>
    <cellStyle name="Note 2 9 5 4" xfId="34257" xr:uid="{0BF57A14-7D6A-495C-9907-948FC7E7C40F}"/>
    <cellStyle name="Note 2 9 6" xfId="15472" xr:uid="{ECC3E918-4B81-401F-90E5-0ED99815E341}"/>
    <cellStyle name="Note 2 9 6 2" xfId="15473" xr:uid="{C67CADD4-461B-48CF-B114-907A1D74C70F}"/>
    <cellStyle name="Note 2 9 6 3" xfId="34258" xr:uid="{5490549F-0DE5-4F4C-91DF-29ED319ECC86}"/>
    <cellStyle name="Note 2 9 6 4" xfId="34259" xr:uid="{253E4635-D4C1-4C43-819A-D2226C7C566D}"/>
    <cellStyle name="Note 2 9 7" xfId="15474" xr:uid="{EE35DF22-FB36-4B63-8A3F-22B8A5CD1486}"/>
    <cellStyle name="Note 2 9 7 2" xfId="15475" xr:uid="{089E8672-C731-4B5B-BC4C-59070D0803AF}"/>
    <cellStyle name="Note 2 9 7 3" xfId="34260" xr:uid="{EC8A170E-8796-4908-A5E3-A296D4E7C5C7}"/>
    <cellStyle name="Note 2 9 7 4" xfId="34261" xr:uid="{001E622F-2A0C-4483-8886-2C7734C7A692}"/>
    <cellStyle name="Note 2 9 8" xfId="15476" xr:uid="{2E8CFB40-D0D6-43C5-9527-D1AD17437BB7}"/>
    <cellStyle name="Note 2 9 8 2" xfId="15477" xr:uid="{D4D0F47A-C9A0-4A06-9C7C-F7B473661151}"/>
    <cellStyle name="Note 2 9 8 3" xfId="34262" xr:uid="{EE991781-BB27-4B84-8D0C-28AC84B752A7}"/>
    <cellStyle name="Note 2 9 8 4" xfId="34263" xr:uid="{E0EBEF38-A1AF-4B1C-B24E-6723905D10D3}"/>
    <cellStyle name="Note 2 9 9" xfId="15478" xr:uid="{73BD28C7-BBC7-4F9F-A316-EFD13B58C60B}"/>
    <cellStyle name="Note 2 9 9 2" xfId="15479" xr:uid="{492F1DAD-87EE-4BE4-A7CF-7A753A2478A9}"/>
    <cellStyle name="Note 2 9 9 3" xfId="34264" xr:uid="{5FDDD919-7C83-4094-9185-257C0D6E5911}"/>
    <cellStyle name="Note 2 9 9 4" xfId="34265" xr:uid="{2F76C312-AD4E-42CB-9073-CA15958FF906}"/>
    <cellStyle name="Note 2_PrimaryEnergyPrices_TIMES" xfId="34266" xr:uid="{0121854C-1AAB-485D-94CA-95470FCD255F}"/>
    <cellStyle name="Note 20" xfId="34267" xr:uid="{2E5F763E-AAC1-4F2F-9DF8-31674AC7EC86}"/>
    <cellStyle name="Note 21" xfId="34268" xr:uid="{5D3D1878-CCE5-49B5-81B0-C673A7A1FA20}"/>
    <cellStyle name="Note 22" xfId="34269" xr:uid="{4BB97E5E-065E-43FE-94FA-DF9139C53158}"/>
    <cellStyle name="Note 23" xfId="34270" xr:uid="{3AF95C9C-648C-4E77-B4E3-B16071A80DF9}"/>
    <cellStyle name="Note 24" xfId="34271" xr:uid="{608E549D-7946-4C11-BA6A-F76AA5375DAD}"/>
    <cellStyle name="Note 25" xfId="34272" xr:uid="{DD4DD80B-A62A-4803-B8FA-57F7B1BD8837}"/>
    <cellStyle name="Note 26" xfId="34273" xr:uid="{B3B1AECD-AA7A-4FDC-8DC4-3B1EB15EC95D}"/>
    <cellStyle name="Note 27" xfId="34274" xr:uid="{CF99CEEF-2E81-4F42-8F93-718C13E6D4EF}"/>
    <cellStyle name="Note 28" xfId="34275" xr:uid="{960EA098-987F-4EC4-8C72-0A224D77985D}"/>
    <cellStyle name="Note 29" xfId="34276" xr:uid="{3385CABB-EDBE-4075-8B19-A5CEBA6E1215}"/>
    <cellStyle name="Note 3" xfId="15480" xr:uid="{2528D322-63BA-4DA9-A88C-19111F0858F9}"/>
    <cellStyle name="Note 3 10" xfId="15481" xr:uid="{3A18EFDE-3BFE-43B5-AFA1-BC3E8AD019FE}"/>
    <cellStyle name="Note 3 10 10" xfId="15482" xr:uid="{A7F7C076-D171-4A8A-B105-F047B5D2F9DD}"/>
    <cellStyle name="Note 3 10 10 2" xfId="34277" xr:uid="{DD263486-DD67-47DB-86F7-0678486B4C77}"/>
    <cellStyle name="Note 3 10 11" xfId="15483" xr:uid="{5BDAF39B-DF71-4BC7-8870-E3E5E1486A3E}"/>
    <cellStyle name="Note 3 10 11 2" xfId="34278" xr:uid="{037FB7F9-549B-453B-8892-609C0E987BC2}"/>
    <cellStyle name="Note 3 10 12" xfId="34279" xr:uid="{A4A9575F-1819-492D-9645-CD3A861FFEDA}"/>
    <cellStyle name="Note 3 10 2" xfId="15484" xr:uid="{79ABE0CB-2F9E-4DC3-94C8-346D88853047}"/>
    <cellStyle name="Note 3 10 2 10" xfId="15485" xr:uid="{F3B40932-922C-4FAE-9AB7-63B3F0CAEE91}"/>
    <cellStyle name="Note 3 10 2 10 2" xfId="34280" xr:uid="{A426137D-3AC3-42B7-BF31-CC366EBEF78C}"/>
    <cellStyle name="Note 3 10 2 11" xfId="34281" xr:uid="{57C1A9D2-86A0-4EF2-8A7F-02A2DE03758E}"/>
    <cellStyle name="Note 3 10 2 2" xfId="15486" xr:uid="{2EEDF41F-C1AD-4EDF-8714-1B1999F0DC8F}"/>
    <cellStyle name="Note 3 10 2 2 2" xfId="15487" xr:uid="{5E472E06-5D26-4355-A748-AB426C963851}"/>
    <cellStyle name="Note 3 10 2 2 2 2" xfId="15488" xr:uid="{518F44DE-F322-45E7-A8D7-D3CD46DE6C34}"/>
    <cellStyle name="Note 3 10 2 2 3" xfId="15489" xr:uid="{54E38CB4-586D-4D05-9230-943F8FA6165B}"/>
    <cellStyle name="Note 3 10 2 2 4" xfId="34282" xr:uid="{86D61B9F-9566-457B-9148-04B865F6ED24}"/>
    <cellStyle name="Note 3 10 2 3" xfId="15490" xr:uid="{D7C30FB9-0FF9-453B-BA17-D9317F267EE3}"/>
    <cellStyle name="Note 3 10 2 3 2" xfId="15491" xr:uid="{52200843-E9CD-446D-A062-7661601BB47E}"/>
    <cellStyle name="Note 3 10 2 3 3" xfId="34283" xr:uid="{50E41D5E-46B6-4CA4-921D-0834A7053A9D}"/>
    <cellStyle name="Note 3 10 2 3 4" xfId="34284" xr:uid="{140420A2-27DB-4DEC-8113-6E3F0BD337A4}"/>
    <cellStyle name="Note 3 10 2 4" xfId="15492" xr:uid="{7E28F9A5-53F3-4EB4-BB01-B1DB14020281}"/>
    <cellStyle name="Note 3 10 2 4 2" xfId="15493" xr:uid="{1E0CF751-DB5A-4605-A88C-381E2E181626}"/>
    <cellStyle name="Note 3 10 2 4 3" xfId="34285" xr:uid="{42084B5C-351B-450F-8A84-2058DB12E905}"/>
    <cellStyle name="Note 3 10 2 4 4" xfId="34286" xr:uid="{6F834184-AD75-4A8B-A422-27026A23561E}"/>
    <cellStyle name="Note 3 10 2 5" xfId="15494" xr:uid="{86F0D198-B89C-405E-B3C5-65DF3CBC49B7}"/>
    <cellStyle name="Note 3 10 2 5 2" xfId="15495" xr:uid="{63F9F35D-330D-4678-BE75-EF798271BFA2}"/>
    <cellStyle name="Note 3 10 2 5 3" xfId="34287" xr:uid="{F38BDA22-9A7E-4994-8C63-302316449252}"/>
    <cellStyle name="Note 3 10 2 5 4" xfId="34288" xr:uid="{242A495A-D39B-482A-A009-15EC4FB09535}"/>
    <cellStyle name="Note 3 10 2 6" xfId="15496" xr:uid="{BBA7CB02-ED32-48DC-8793-1B642DA2ADB3}"/>
    <cellStyle name="Note 3 10 2 6 2" xfId="15497" xr:uid="{A41CD3DB-B99F-4FA0-8B31-F4C83B97B9C6}"/>
    <cellStyle name="Note 3 10 2 6 3" xfId="34289" xr:uid="{B8541998-8086-4876-9AD3-F2B9149DFB64}"/>
    <cellStyle name="Note 3 10 2 6 4" xfId="34290" xr:uid="{E9DD8C84-352E-4AD2-B4A8-0175F62D695E}"/>
    <cellStyle name="Note 3 10 2 7" xfId="15498" xr:uid="{4096BAB1-27FB-4D1E-BEA6-EC512B38D40A}"/>
    <cellStyle name="Note 3 10 2 7 2" xfId="15499" xr:uid="{832DE353-2390-4AA3-8863-9A6254EA82FF}"/>
    <cellStyle name="Note 3 10 2 7 3" xfId="34291" xr:uid="{E93944B7-877F-42F1-94DE-D6730D8B96C5}"/>
    <cellStyle name="Note 3 10 2 7 4" xfId="34292" xr:uid="{64CF6AF7-37F8-4F1A-B161-DA111551B5CA}"/>
    <cellStyle name="Note 3 10 2 8" xfId="15500" xr:uid="{AC1D3BF0-5704-4DFB-84BE-CCDBEA43A7AE}"/>
    <cellStyle name="Note 3 10 2 8 2" xfId="15501" xr:uid="{AC873666-B014-46D2-982B-70701D4FDF8F}"/>
    <cellStyle name="Note 3 10 2 8 3" xfId="34293" xr:uid="{2CAF43AD-9A6B-4E57-9883-150032E4CAAC}"/>
    <cellStyle name="Note 3 10 2 8 4" xfId="34294" xr:uid="{3D73DD5C-4A5F-43AE-B202-61F86CB2EC45}"/>
    <cellStyle name="Note 3 10 2 9" xfId="15502" xr:uid="{C3D66046-6C03-4723-937D-D373F7603357}"/>
    <cellStyle name="Note 3 10 2 9 2" xfId="34295" xr:uid="{11E68137-43E8-42E0-A6E8-9C352652128F}"/>
    <cellStyle name="Note 3 10 3" xfId="15503" xr:uid="{30B908F1-EB78-4CE0-921E-B47CE2BA72F2}"/>
    <cellStyle name="Note 3 10 3 2" xfId="15504" xr:uid="{21E59461-30B5-421C-909A-24F8B4E7EBFF}"/>
    <cellStyle name="Note 3 10 3 2 2" xfId="15505" xr:uid="{238D4BAD-9533-46EE-A047-877F4771BE0D}"/>
    <cellStyle name="Note 3 10 3 3" xfId="15506" xr:uid="{67C34A1F-BFDD-4BFA-B644-30486F1E9954}"/>
    <cellStyle name="Note 3 10 3 4" xfId="34296" xr:uid="{CF711DCD-5173-4D6D-BAC8-A8B9B8A163BE}"/>
    <cellStyle name="Note 3 10 4" xfId="15507" xr:uid="{59E82C66-3523-46DF-92F8-1CE8CAEE5855}"/>
    <cellStyle name="Note 3 10 4 2" xfId="15508" xr:uid="{F8312192-1306-4E10-9341-5661D8B2E04A}"/>
    <cellStyle name="Note 3 10 4 3" xfId="34297" xr:uid="{AE9E39EC-D68B-47C1-9762-B8CA863B7213}"/>
    <cellStyle name="Note 3 10 4 4" xfId="34298" xr:uid="{87D7711D-2FDB-4AE4-A0FA-AC4F01D4DBB4}"/>
    <cellStyle name="Note 3 10 5" xfId="15509" xr:uid="{6E874C02-8625-4B8F-9C91-C894319F0CA7}"/>
    <cellStyle name="Note 3 10 5 2" xfId="15510" xr:uid="{468BC6FA-80A4-483E-8F2F-85AF6A6DD343}"/>
    <cellStyle name="Note 3 10 5 3" xfId="34299" xr:uid="{2405ECB1-DC16-4CD5-81A6-9F9371C75D9F}"/>
    <cellStyle name="Note 3 10 5 4" xfId="34300" xr:uid="{F2D3AE40-B8E0-4AF4-AE9D-2EDE90F57ADC}"/>
    <cellStyle name="Note 3 10 6" xfId="15511" xr:uid="{52C1FB56-B84E-4308-A82C-7C8372B4D8FC}"/>
    <cellStyle name="Note 3 10 6 2" xfId="15512" xr:uid="{BECBC3AC-525C-437E-BBE5-2965C757641C}"/>
    <cellStyle name="Note 3 10 6 3" xfId="34301" xr:uid="{DCED7BFD-70D2-4E74-B729-6CA45A2C7728}"/>
    <cellStyle name="Note 3 10 6 4" xfId="34302" xr:uid="{32684C0C-4274-4F47-A858-3CD0C08FB79A}"/>
    <cellStyle name="Note 3 10 7" xfId="15513" xr:uid="{11AA70E4-30CA-4D01-A937-26CE2BBA1328}"/>
    <cellStyle name="Note 3 10 7 2" xfId="15514" xr:uid="{AD24E85A-FA33-4708-BBB8-3E1F42D67DF2}"/>
    <cellStyle name="Note 3 10 7 3" xfId="34303" xr:uid="{1C8A9590-4C44-4AFC-ACD5-A82B55997A8D}"/>
    <cellStyle name="Note 3 10 7 4" xfId="34304" xr:uid="{EA4C3FEE-11A5-462B-B30A-3534424BBDAD}"/>
    <cellStyle name="Note 3 10 8" xfId="15515" xr:uid="{82A16448-4DD1-4CE6-A037-E3A3EAD20BC6}"/>
    <cellStyle name="Note 3 10 8 2" xfId="15516" xr:uid="{25302770-7963-4B41-820C-5838A286D1CB}"/>
    <cellStyle name="Note 3 10 8 3" xfId="34305" xr:uid="{3F37AB34-DEB3-44F4-B810-B74054D32D9F}"/>
    <cellStyle name="Note 3 10 8 4" xfId="34306" xr:uid="{E17C8BBE-063A-47BB-9791-83B5CA08647F}"/>
    <cellStyle name="Note 3 10 9" xfId="15517" xr:uid="{03C80589-502F-422D-BA57-11F4BDAC197B}"/>
    <cellStyle name="Note 3 10 9 2" xfId="15518" xr:uid="{C58C9F05-715F-4C3A-AC7A-B398446EE5D6}"/>
    <cellStyle name="Note 3 10 9 3" xfId="34307" xr:uid="{ADAEC418-3DCA-467D-B17A-B59D9911BABA}"/>
    <cellStyle name="Note 3 10 9 4" xfId="34308" xr:uid="{6331CC7A-60E8-4E36-90C8-C6E098481E61}"/>
    <cellStyle name="Note 3 11" xfId="15519" xr:uid="{784D1E01-5434-4F6B-BAD8-EEAE4D7BCFD8}"/>
    <cellStyle name="Note 3 11 10" xfId="15520" xr:uid="{5EE10033-F5C8-4799-8017-2836275AF441}"/>
    <cellStyle name="Note 3 11 10 2" xfId="34309" xr:uid="{01021672-6565-47CD-BDF0-ACA01C071A8A}"/>
    <cellStyle name="Note 3 11 11" xfId="15521" xr:uid="{E6D6CCAF-5DFE-495B-B9F2-6CBBA1CCDA85}"/>
    <cellStyle name="Note 3 11 11 2" xfId="34310" xr:uid="{D3AA36C3-9A45-4CDF-B94D-ADB896D8A7E0}"/>
    <cellStyle name="Note 3 11 12" xfId="34311" xr:uid="{1B3BB3E2-45F4-49E2-8595-A36DB2F57A13}"/>
    <cellStyle name="Note 3 11 2" xfId="15522" xr:uid="{74099762-E354-4D0E-9015-2109ED66A4E2}"/>
    <cellStyle name="Note 3 11 2 10" xfId="15523" xr:uid="{4A72838B-BE9D-4196-96AA-F3D869C01F92}"/>
    <cellStyle name="Note 3 11 2 10 2" xfId="34312" xr:uid="{0C229150-4667-47D8-8941-40DB44EE18D4}"/>
    <cellStyle name="Note 3 11 2 11" xfId="34313" xr:uid="{46ADBD1A-4E8F-4E60-8778-186EC91CC37F}"/>
    <cellStyle name="Note 3 11 2 2" xfId="15524" xr:uid="{9D62AD5B-6911-487A-8273-5CAB07078DC0}"/>
    <cellStyle name="Note 3 11 2 2 2" xfId="15525" xr:uid="{5B407357-CA1C-4479-B4EF-424BD2A3C60B}"/>
    <cellStyle name="Note 3 11 2 2 2 2" xfId="15526" xr:uid="{EDD555F1-6C56-4F28-953F-7FC5E3E889DE}"/>
    <cellStyle name="Note 3 11 2 2 3" xfId="15527" xr:uid="{836EBECE-696F-4DF1-8588-4EC462E09C3B}"/>
    <cellStyle name="Note 3 11 2 2 4" xfId="34314" xr:uid="{98E254D3-F186-496F-A5F9-D2E27A60D83F}"/>
    <cellStyle name="Note 3 11 2 3" xfId="15528" xr:uid="{3850267C-2060-4A31-A975-E84469DA98F3}"/>
    <cellStyle name="Note 3 11 2 3 2" xfId="15529" xr:uid="{5E985402-300D-458D-87E3-A48A8720597B}"/>
    <cellStyle name="Note 3 11 2 3 3" xfId="34315" xr:uid="{933FDDF2-688F-402F-929A-F7EC09CC3B4D}"/>
    <cellStyle name="Note 3 11 2 3 4" xfId="34316" xr:uid="{AD3A21F7-CB4F-4A7F-B447-C14B8C49B294}"/>
    <cellStyle name="Note 3 11 2 4" xfId="15530" xr:uid="{B4E03636-9D58-4A00-AE62-DE641C4AD9C2}"/>
    <cellStyle name="Note 3 11 2 4 2" xfId="15531" xr:uid="{083848F6-52E2-4C31-B8ED-C730FF3EF259}"/>
    <cellStyle name="Note 3 11 2 4 3" xfId="34317" xr:uid="{CE832E47-194C-4837-BC53-2E5E0A9390C0}"/>
    <cellStyle name="Note 3 11 2 4 4" xfId="34318" xr:uid="{4F95A507-4CE6-4623-A203-EDEBBF354A07}"/>
    <cellStyle name="Note 3 11 2 5" xfId="15532" xr:uid="{362A27A6-0913-4533-89EB-2A1F924D2860}"/>
    <cellStyle name="Note 3 11 2 5 2" xfId="15533" xr:uid="{A74D656B-BB2F-40B2-A249-9FA07E0401C2}"/>
    <cellStyle name="Note 3 11 2 5 3" xfId="34319" xr:uid="{6195850E-D624-4033-8576-85A3E70259B7}"/>
    <cellStyle name="Note 3 11 2 5 4" xfId="34320" xr:uid="{F0F648DB-90CC-4D5D-90F5-EB9C728C6772}"/>
    <cellStyle name="Note 3 11 2 6" xfId="15534" xr:uid="{D9F437A3-F3D3-4B1E-811F-A5BEB1D7602F}"/>
    <cellStyle name="Note 3 11 2 6 2" xfId="15535" xr:uid="{B247838C-AA49-4ADE-8E50-9E43FCFA5DFD}"/>
    <cellStyle name="Note 3 11 2 6 3" xfId="34321" xr:uid="{DA22D875-E2B2-48E7-8211-CD5F35757D28}"/>
    <cellStyle name="Note 3 11 2 6 4" xfId="34322" xr:uid="{D4F4B9BD-DDD4-4628-8B77-46F879862D03}"/>
    <cellStyle name="Note 3 11 2 7" xfId="15536" xr:uid="{7236A85F-C5FA-4279-B3A8-8C9BBA08447C}"/>
    <cellStyle name="Note 3 11 2 7 2" xfId="15537" xr:uid="{B0D27E2F-7A72-4476-9F81-E92A2E4F6985}"/>
    <cellStyle name="Note 3 11 2 7 3" xfId="34323" xr:uid="{E2D53545-F75D-43AC-9654-5C3CBD722FA1}"/>
    <cellStyle name="Note 3 11 2 7 4" xfId="34324" xr:uid="{8EAF1C30-504B-4AA2-AA7E-982A0F1EE35C}"/>
    <cellStyle name="Note 3 11 2 8" xfId="15538" xr:uid="{3B5CFECB-A15C-45B5-9A92-CFA6C1A4F6E7}"/>
    <cellStyle name="Note 3 11 2 8 2" xfId="15539" xr:uid="{EB92C9F8-FD57-473C-A735-7C044A4FD41F}"/>
    <cellStyle name="Note 3 11 2 8 3" xfId="34325" xr:uid="{2FEAC81C-D504-4DED-8526-2E9E31DC8B2C}"/>
    <cellStyle name="Note 3 11 2 8 4" xfId="34326" xr:uid="{79A0ADB3-913D-43C8-A288-3103FEA535E5}"/>
    <cellStyle name="Note 3 11 2 9" xfId="15540" xr:uid="{9E43E09C-7C1F-4BEF-B312-49394F00DA4D}"/>
    <cellStyle name="Note 3 11 2 9 2" xfId="34327" xr:uid="{2B0058FA-05D0-4F93-8671-B209795F5B2E}"/>
    <cellStyle name="Note 3 11 3" xfId="15541" xr:uid="{F0151D8C-C6ED-4A21-83CD-E386721D24B3}"/>
    <cellStyle name="Note 3 11 3 2" xfId="15542" xr:uid="{2E619C8B-A90E-494F-99FD-0FD99E0C30DE}"/>
    <cellStyle name="Note 3 11 3 2 2" xfId="15543" xr:uid="{ACEBA31E-1FFD-4BE5-AB6D-E10004F127EF}"/>
    <cellStyle name="Note 3 11 3 3" xfId="15544" xr:uid="{7F777A20-33BB-4F87-9D7E-7994573C93E5}"/>
    <cellStyle name="Note 3 11 3 4" xfId="34328" xr:uid="{8950CC72-96D7-40E9-AB6F-6A4846FBA025}"/>
    <cellStyle name="Note 3 11 4" xfId="15545" xr:uid="{10B6A9A5-5547-40D3-BB15-BDB0455B1300}"/>
    <cellStyle name="Note 3 11 4 2" xfId="15546" xr:uid="{57EF0E53-BE67-4083-A733-7FB0416C10E9}"/>
    <cellStyle name="Note 3 11 4 3" xfId="34329" xr:uid="{C56FD300-2520-4575-B51C-E7B7112FAFFC}"/>
    <cellStyle name="Note 3 11 4 4" xfId="34330" xr:uid="{F03901C2-87D1-4B1F-8E90-1CABFCFCD755}"/>
    <cellStyle name="Note 3 11 5" xfId="15547" xr:uid="{2841F53D-41DD-4752-AB16-6AAFF0414B6D}"/>
    <cellStyle name="Note 3 11 5 2" xfId="15548" xr:uid="{96B40F8E-0E0D-4111-9E93-3ED2E0BECEA1}"/>
    <cellStyle name="Note 3 11 5 3" xfId="34331" xr:uid="{C1F8EB9A-B315-4495-8DBD-E1316F8D6F0D}"/>
    <cellStyle name="Note 3 11 5 4" xfId="34332" xr:uid="{650B39CA-FDD0-4174-882C-95BF353FFC48}"/>
    <cellStyle name="Note 3 11 6" xfId="15549" xr:uid="{C30BB2DB-6C47-498E-93C9-EB6C925FB348}"/>
    <cellStyle name="Note 3 11 6 2" xfId="15550" xr:uid="{96A8416B-B675-48E7-8DCB-3C8206E5C747}"/>
    <cellStyle name="Note 3 11 6 3" xfId="34333" xr:uid="{9E20E8CA-CCA5-4460-BB9C-7378B5B43575}"/>
    <cellStyle name="Note 3 11 6 4" xfId="34334" xr:uid="{31C9418F-D328-412C-AC2C-687F92AB633F}"/>
    <cellStyle name="Note 3 11 7" xfId="15551" xr:uid="{006334AA-9F5C-4A8D-88CD-29B08DBF70D0}"/>
    <cellStyle name="Note 3 11 7 2" xfId="15552" xr:uid="{2F947742-9CDE-4CD1-BEC5-634E3B2A71A9}"/>
    <cellStyle name="Note 3 11 7 3" xfId="34335" xr:uid="{EF585993-0E4E-474A-9F11-11179A0D12AB}"/>
    <cellStyle name="Note 3 11 7 4" xfId="34336" xr:uid="{E8E6492F-15F8-4611-9441-E97313F21DC3}"/>
    <cellStyle name="Note 3 11 8" xfId="15553" xr:uid="{73754995-AE82-4B50-A49D-99EDA3C6DADE}"/>
    <cellStyle name="Note 3 11 8 2" xfId="15554" xr:uid="{FF3FD2EC-86B4-4914-B585-CFD77809CEA3}"/>
    <cellStyle name="Note 3 11 8 3" xfId="34337" xr:uid="{E75AD42F-2549-481F-BFCF-D99A511DBD07}"/>
    <cellStyle name="Note 3 11 8 4" xfId="34338" xr:uid="{A0C8080E-2031-4CFB-ABD7-BA86100EBC93}"/>
    <cellStyle name="Note 3 11 9" xfId="15555" xr:uid="{DC98CE03-45BB-4AAF-B547-9576E52CBC07}"/>
    <cellStyle name="Note 3 11 9 2" xfId="15556" xr:uid="{7F9DB0AC-8F78-4AC2-8B38-1C887697F288}"/>
    <cellStyle name="Note 3 11 9 3" xfId="34339" xr:uid="{7F0026BE-8DCB-44CE-8C57-B76FBDD9EFDC}"/>
    <cellStyle name="Note 3 11 9 4" xfId="34340" xr:uid="{6E8553AF-79E4-40F5-8942-57F9B0AD0579}"/>
    <cellStyle name="Note 3 12" xfId="15557" xr:uid="{C62984DD-75F6-4F0A-9D2F-9E6FF3C18FB1}"/>
    <cellStyle name="Note 3 12 10" xfId="15558" xr:uid="{75B68C3C-D8A0-4CC1-9982-4E336FCC7AC6}"/>
    <cellStyle name="Note 3 12 10 2" xfId="34341" xr:uid="{277B78BC-5F6A-47A3-994D-8F021D11BFE4}"/>
    <cellStyle name="Note 3 12 11" xfId="15559" xr:uid="{161C56C6-5048-4610-926B-7BC55A464828}"/>
    <cellStyle name="Note 3 12 11 2" xfId="34342" xr:uid="{84237C4C-13C4-4FE4-8AFE-EE3DEFD0F8E3}"/>
    <cellStyle name="Note 3 12 12" xfId="34343" xr:uid="{B1B4134C-37AC-4AAB-A23C-7E31EB865480}"/>
    <cellStyle name="Note 3 12 2" xfId="15560" xr:uid="{FC7E6E03-2F52-4F6D-94FE-4408A43459F1}"/>
    <cellStyle name="Note 3 12 2 10" xfId="15561" xr:uid="{4BE22D28-8993-4D55-922A-1D5EE7E32BAD}"/>
    <cellStyle name="Note 3 12 2 10 2" xfId="34344" xr:uid="{C5F41E1A-5679-4CAF-878A-BD387F1484E1}"/>
    <cellStyle name="Note 3 12 2 11" xfId="34345" xr:uid="{3C6CF414-B2C1-4ED1-BF4A-CEBA62D53AE3}"/>
    <cellStyle name="Note 3 12 2 2" xfId="15562" xr:uid="{85C234B2-5A42-47EB-87F1-4D4E1414867E}"/>
    <cellStyle name="Note 3 12 2 2 2" xfId="15563" xr:uid="{40964F2E-906F-4E15-AF08-E60458656ACE}"/>
    <cellStyle name="Note 3 12 2 2 2 2" xfId="15564" xr:uid="{26393075-745F-41C9-AE7B-9F54307E8540}"/>
    <cellStyle name="Note 3 12 2 2 3" xfId="15565" xr:uid="{913CE269-331A-4102-AEA3-220D55228D0C}"/>
    <cellStyle name="Note 3 12 2 2 4" xfId="34346" xr:uid="{12161E60-70B5-4968-84EA-871645DD2B14}"/>
    <cellStyle name="Note 3 12 2 3" xfId="15566" xr:uid="{B4707122-423A-4B2E-9586-165D58335740}"/>
    <cellStyle name="Note 3 12 2 3 2" xfId="15567" xr:uid="{8DA46956-1434-4E35-989F-642F91F53AB6}"/>
    <cellStyle name="Note 3 12 2 3 3" xfId="34347" xr:uid="{6119D52C-AB9F-4BCB-B6BB-946B028CD762}"/>
    <cellStyle name="Note 3 12 2 3 4" xfId="34348" xr:uid="{22A0F78B-B300-42D0-A19F-90774E6F98F3}"/>
    <cellStyle name="Note 3 12 2 4" xfId="15568" xr:uid="{0CA7D6BC-281D-4ACE-9CA4-5823025A1361}"/>
    <cellStyle name="Note 3 12 2 4 2" xfId="15569" xr:uid="{83821EF6-D46D-4B22-B4FB-8E83715ECB79}"/>
    <cellStyle name="Note 3 12 2 4 3" xfId="34349" xr:uid="{81614E88-DCE2-4239-8C8F-18C461D821E7}"/>
    <cellStyle name="Note 3 12 2 4 4" xfId="34350" xr:uid="{A7FD8602-8A56-4D90-99CB-6DE5A4FE6E03}"/>
    <cellStyle name="Note 3 12 2 5" xfId="15570" xr:uid="{7970C13A-5BA9-4CE9-A8E3-7044D80D3A5E}"/>
    <cellStyle name="Note 3 12 2 5 2" xfId="15571" xr:uid="{EBA7632B-59F0-4625-8261-0E14AA0BA0CB}"/>
    <cellStyle name="Note 3 12 2 5 3" xfId="34351" xr:uid="{785CB733-B5BA-45FF-A04F-FB975C6619B8}"/>
    <cellStyle name="Note 3 12 2 5 4" xfId="34352" xr:uid="{5D4EF7BD-4355-4B48-AA20-E9848EE264EA}"/>
    <cellStyle name="Note 3 12 2 6" xfId="15572" xr:uid="{0A4F1F7C-D6B6-49F1-B7A9-893C8C4473D0}"/>
    <cellStyle name="Note 3 12 2 6 2" xfId="15573" xr:uid="{A7310544-6198-4C05-9C81-9C8821DD2A3B}"/>
    <cellStyle name="Note 3 12 2 6 3" xfId="34353" xr:uid="{94DD619F-AC41-4119-BD44-5174AED7856A}"/>
    <cellStyle name="Note 3 12 2 6 4" xfId="34354" xr:uid="{5D76EA42-97D8-422B-B93F-D96EC13B4764}"/>
    <cellStyle name="Note 3 12 2 7" xfId="15574" xr:uid="{C2D68E71-1404-4FC7-AC3D-B34F27FEE7B7}"/>
    <cellStyle name="Note 3 12 2 7 2" xfId="15575" xr:uid="{0EC2989B-0443-4B28-95F0-4E4C70D1D063}"/>
    <cellStyle name="Note 3 12 2 7 3" xfId="34355" xr:uid="{E02BB404-C773-460C-84CC-564C7693C7B7}"/>
    <cellStyle name="Note 3 12 2 7 4" xfId="34356" xr:uid="{7B6CEB21-8905-43E1-B1BE-8B56FAC58713}"/>
    <cellStyle name="Note 3 12 2 8" xfId="15576" xr:uid="{4B8FA80E-512E-4559-AD74-FBE7700DFCB7}"/>
    <cellStyle name="Note 3 12 2 8 2" xfId="15577" xr:uid="{ABFBFE6F-54FD-48A5-8EE6-2348D3DDDF56}"/>
    <cellStyle name="Note 3 12 2 8 3" xfId="34357" xr:uid="{E7B69CA9-F8F9-4010-8F7A-6843ABFF0536}"/>
    <cellStyle name="Note 3 12 2 8 4" xfId="34358" xr:uid="{6C9744F7-AA73-4957-A83D-E22022273D24}"/>
    <cellStyle name="Note 3 12 2 9" xfId="15578" xr:uid="{F702A671-482E-4E5E-A3DD-6F81848EC202}"/>
    <cellStyle name="Note 3 12 2 9 2" xfId="34359" xr:uid="{0078E203-1F35-437D-B75B-68E067076875}"/>
    <cellStyle name="Note 3 12 3" xfId="15579" xr:uid="{105088B7-37C8-40AF-876D-ECC8A5E52E88}"/>
    <cellStyle name="Note 3 12 3 2" xfId="15580" xr:uid="{5027F4F3-48E4-41F5-8BD0-104342BD9062}"/>
    <cellStyle name="Note 3 12 3 2 2" xfId="15581" xr:uid="{6368DA9D-BE9D-44B7-AE9A-84374786D387}"/>
    <cellStyle name="Note 3 12 3 3" xfId="15582" xr:uid="{5CC108B1-F04C-431B-A607-833AA4F85B69}"/>
    <cellStyle name="Note 3 12 3 4" xfId="34360" xr:uid="{E33936B6-2F67-4B39-BD39-0AB6EAE39C1A}"/>
    <cellStyle name="Note 3 12 4" xfId="15583" xr:uid="{9E4E9481-EF96-4AFF-9154-73945A24408B}"/>
    <cellStyle name="Note 3 12 4 2" xfId="15584" xr:uid="{585AFD20-A087-4037-AA43-07130252C69B}"/>
    <cellStyle name="Note 3 12 4 3" xfId="34361" xr:uid="{B40BD50A-E145-4E3F-9397-169683D4EE29}"/>
    <cellStyle name="Note 3 12 4 4" xfId="34362" xr:uid="{120681D8-AA0C-4AF4-976A-08C68E542DFD}"/>
    <cellStyle name="Note 3 12 5" xfId="15585" xr:uid="{A8905AF0-9E9F-40C4-B821-1B9D283CD2C7}"/>
    <cellStyle name="Note 3 12 5 2" xfId="15586" xr:uid="{539FFD54-2CF3-4D33-A43E-C22F795ADEAA}"/>
    <cellStyle name="Note 3 12 5 3" xfId="34363" xr:uid="{11961402-D696-487B-BD0D-EB05F5CDD06A}"/>
    <cellStyle name="Note 3 12 5 4" xfId="34364" xr:uid="{3CA86FF2-E33C-44A1-914F-35FB9E6DBCCB}"/>
    <cellStyle name="Note 3 12 6" xfId="15587" xr:uid="{90074386-1F40-4E40-81C7-AD3CE08A3D46}"/>
    <cellStyle name="Note 3 12 6 2" xfId="15588" xr:uid="{6D7B1B7E-F3A8-4FB3-9254-DA68EA158579}"/>
    <cellStyle name="Note 3 12 6 3" xfId="34365" xr:uid="{125ED08E-8D86-41AB-BB74-0885D79019FD}"/>
    <cellStyle name="Note 3 12 6 4" xfId="34366" xr:uid="{32669B66-7055-4886-9AF5-688FAD410177}"/>
    <cellStyle name="Note 3 12 7" xfId="15589" xr:uid="{A1C7FFA9-E9B8-4766-947F-29615FDF7BCE}"/>
    <cellStyle name="Note 3 12 7 2" xfId="15590" xr:uid="{BAA177FB-5AD2-4B60-8E29-AE4197C83185}"/>
    <cellStyle name="Note 3 12 7 3" xfId="34367" xr:uid="{9B820BB7-C450-42B1-B7EA-C0061714FBB4}"/>
    <cellStyle name="Note 3 12 7 4" xfId="34368" xr:uid="{EFFC3F25-45C4-42B3-927F-26DEAA657DAC}"/>
    <cellStyle name="Note 3 12 8" xfId="15591" xr:uid="{1BE4501E-D749-45FF-AA73-98A22BFF322A}"/>
    <cellStyle name="Note 3 12 8 2" xfId="15592" xr:uid="{5ED542DF-D9AE-43D5-B569-088BA9768B1F}"/>
    <cellStyle name="Note 3 12 8 3" xfId="34369" xr:uid="{06D5D234-D0A3-4B99-A68D-5C9EDA8B09BA}"/>
    <cellStyle name="Note 3 12 8 4" xfId="34370" xr:uid="{2C0DA240-B24E-4B7B-B144-1C0918981F04}"/>
    <cellStyle name="Note 3 12 9" xfId="15593" xr:uid="{FB4171D2-8777-4C3F-89F0-C8687086A01A}"/>
    <cellStyle name="Note 3 12 9 2" xfId="15594" xr:uid="{B293DD4E-C9A7-4FA8-9881-57A6DAB2847D}"/>
    <cellStyle name="Note 3 12 9 3" xfId="34371" xr:uid="{C4F199C0-D47C-4748-A387-C6EA1F1E2E23}"/>
    <cellStyle name="Note 3 12 9 4" xfId="34372" xr:uid="{432FAE2C-7568-4D70-B50C-A6D8A7A2C2AF}"/>
    <cellStyle name="Note 3 13" xfId="15595" xr:uid="{767473CC-C49D-408B-BB8A-CC06322A9400}"/>
    <cellStyle name="Note 3 13 10" xfId="15596" xr:uid="{FB2742C1-FFB0-4E0D-AF9B-59973AF8EEB2}"/>
    <cellStyle name="Note 3 13 10 2" xfId="34373" xr:uid="{68716791-390B-46E4-9CA5-CE4EB53E10FE}"/>
    <cellStyle name="Note 3 13 11" xfId="15597" xr:uid="{76AF37C1-F2B9-42A6-B3D1-AC23EEC291A6}"/>
    <cellStyle name="Note 3 13 11 2" xfId="34374" xr:uid="{062CC366-5435-4648-AE97-0C4A9A579C88}"/>
    <cellStyle name="Note 3 13 12" xfId="34375" xr:uid="{17B27C07-17C4-4CD2-9D54-481CE5210F83}"/>
    <cellStyle name="Note 3 13 2" xfId="15598" xr:uid="{28CF395D-3343-4B00-AF07-32539B5C1197}"/>
    <cellStyle name="Note 3 13 2 10" xfId="15599" xr:uid="{1C4C9FBC-520E-4BA8-8826-14D6549DD069}"/>
    <cellStyle name="Note 3 13 2 10 2" xfId="34376" xr:uid="{067DFC1E-D292-486B-AD47-962756B522F2}"/>
    <cellStyle name="Note 3 13 2 11" xfId="34377" xr:uid="{9B5A808E-2A31-4D4F-BAA6-9FABFF54E165}"/>
    <cellStyle name="Note 3 13 2 2" xfId="15600" xr:uid="{2AF4315C-6312-4574-8E4D-B6EA690499AB}"/>
    <cellStyle name="Note 3 13 2 2 2" xfId="15601" xr:uid="{2E64E51F-B581-4494-86DB-9659398559D8}"/>
    <cellStyle name="Note 3 13 2 2 2 2" xfId="15602" xr:uid="{ED46FDBD-CF4C-406B-A3CC-4246174E0410}"/>
    <cellStyle name="Note 3 13 2 2 3" xfId="15603" xr:uid="{D83BA09B-61D8-420A-8A39-61034EFFB3E6}"/>
    <cellStyle name="Note 3 13 2 2 4" xfId="34378" xr:uid="{627B9C1D-CEFD-4D7F-9081-325BD6ACDFD2}"/>
    <cellStyle name="Note 3 13 2 3" xfId="15604" xr:uid="{730E0C4A-7BA7-49B4-8861-09D32D9276BD}"/>
    <cellStyle name="Note 3 13 2 3 2" xfId="15605" xr:uid="{9874ED4B-5B35-40D6-8CE7-3487E00057A1}"/>
    <cellStyle name="Note 3 13 2 3 3" xfId="34379" xr:uid="{49B2B4BA-E218-468B-A5B1-19C3A8BD943E}"/>
    <cellStyle name="Note 3 13 2 3 4" xfId="34380" xr:uid="{78DAA2D4-77E0-4C79-AE46-06520E1143E3}"/>
    <cellStyle name="Note 3 13 2 4" xfId="15606" xr:uid="{A4A929AA-2321-4CFA-9D71-5CABA9511C63}"/>
    <cellStyle name="Note 3 13 2 4 2" xfId="15607" xr:uid="{7C8EA290-A13B-4C6A-BF3A-F7B2EC7451F4}"/>
    <cellStyle name="Note 3 13 2 4 3" xfId="34381" xr:uid="{0FC88E54-26B1-420E-AD48-DCE0FF480103}"/>
    <cellStyle name="Note 3 13 2 4 4" xfId="34382" xr:uid="{D4CD2365-3FD7-49FC-9D41-C009E46EBBB0}"/>
    <cellStyle name="Note 3 13 2 5" xfId="15608" xr:uid="{EB9E1576-71B7-4E9A-B853-CEBEFD19C8B1}"/>
    <cellStyle name="Note 3 13 2 5 2" xfId="15609" xr:uid="{DE7F24CD-AEDF-4578-AAA9-01BF4722B5EB}"/>
    <cellStyle name="Note 3 13 2 5 3" xfId="34383" xr:uid="{17DF65A0-C4A8-4615-94A9-426AE5B0D697}"/>
    <cellStyle name="Note 3 13 2 5 4" xfId="34384" xr:uid="{E9D58C60-FAD9-4440-8E4D-6FB33828E1E6}"/>
    <cellStyle name="Note 3 13 2 6" xfId="15610" xr:uid="{9EBF3FE4-F8D9-47E1-8CA6-750002243E37}"/>
    <cellStyle name="Note 3 13 2 6 2" xfId="15611" xr:uid="{F4D476E2-E2C8-4760-8D95-908B19B75A25}"/>
    <cellStyle name="Note 3 13 2 6 3" xfId="34385" xr:uid="{17D7F1A9-F439-4106-A9E8-FB730B1D6E40}"/>
    <cellStyle name="Note 3 13 2 6 4" xfId="34386" xr:uid="{769C0AC9-4280-4EC1-819D-BDE5A08D91B2}"/>
    <cellStyle name="Note 3 13 2 7" xfId="15612" xr:uid="{40BC669B-9E5E-40E3-9FAE-A3B40EC468F3}"/>
    <cellStyle name="Note 3 13 2 7 2" xfId="15613" xr:uid="{B2770D06-B5C3-4F19-A603-DD4F13DFE1CC}"/>
    <cellStyle name="Note 3 13 2 7 3" xfId="34387" xr:uid="{D5CBD9F9-24B9-42B2-8960-0AB4D5BC5C5F}"/>
    <cellStyle name="Note 3 13 2 7 4" xfId="34388" xr:uid="{AF8FBC5D-4722-4FCC-8AB9-25AC772B6DB7}"/>
    <cellStyle name="Note 3 13 2 8" xfId="15614" xr:uid="{B99D9859-D391-41E6-8B66-D626F9EEE46D}"/>
    <cellStyle name="Note 3 13 2 8 2" xfId="15615" xr:uid="{A1304F7E-5106-4DFF-9993-4291E377FF66}"/>
    <cellStyle name="Note 3 13 2 8 3" xfId="34389" xr:uid="{4846F697-5633-4BD6-98CE-676D12C06FFD}"/>
    <cellStyle name="Note 3 13 2 8 4" xfId="34390" xr:uid="{03A7C9EE-8457-48CF-B3F3-8A6E16636E21}"/>
    <cellStyle name="Note 3 13 2 9" xfId="15616" xr:uid="{D6B71D44-18CC-4C74-9EBB-3C811D32C145}"/>
    <cellStyle name="Note 3 13 2 9 2" xfId="34391" xr:uid="{76BE31A1-6F1A-4F7C-BB6D-A0B86F7924E2}"/>
    <cellStyle name="Note 3 13 3" xfId="15617" xr:uid="{5B81C401-6188-437E-BECA-280647FFDD09}"/>
    <cellStyle name="Note 3 13 3 2" xfId="15618" xr:uid="{A474C84D-BECB-4F7B-9883-E8062BBB979E}"/>
    <cellStyle name="Note 3 13 3 2 2" xfId="15619" xr:uid="{9804E330-794A-43E7-A629-EC5030712303}"/>
    <cellStyle name="Note 3 13 3 3" xfId="15620" xr:uid="{38C4371B-53B0-4ACA-93BB-611843363345}"/>
    <cellStyle name="Note 3 13 3 4" xfId="34392" xr:uid="{943250B8-7EBB-4307-BF6C-6FDCC740BCFC}"/>
    <cellStyle name="Note 3 13 4" xfId="15621" xr:uid="{C8AF6EE7-F7E4-43B3-869B-7B85EE7F1FF4}"/>
    <cellStyle name="Note 3 13 4 2" xfId="15622" xr:uid="{DF1F1801-851F-43F6-8467-48292B2ED7F8}"/>
    <cellStyle name="Note 3 13 4 3" xfId="34393" xr:uid="{C02C1D55-8FCD-4021-AA42-C092645773EB}"/>
    <cellStyle name="Note 3 13 4 4" xfId="34394" xr:uid="{7002D3E8-3CDE-4507-9B61-B026E18E6D56}"/>
    <cellStyle name="Note 3 13 5" xfId="15623" xr:uid="{9AFE6AC1-6918-4958-AC27-DA959BE3E4A3}"/>
    <cellStyle name="Note 3 13 5 2" xfId="15624" xr:uid="{E32065D4-A078-4DB7-B1DD-14C20522BAE8}"/>
    <cellStyle name="Note 3 13 5 3" xfId="34395" xr:uid="{73E5CC37-500C-40BB-81F5-B3F5F24D1A40}"/>
    <cellStyle name="Note 3 13 5 4" xfId="34396" xr:uid="{9C53D4C4-4008-4E68-B0D5-4D37883611B1}"/>
    <cellStyle name="Note 3 13 6" xfId="15625" xr:uid="{0BB26C53-05F4-494C-85FE-17991B7B203C}"/>
    <cellStyle name="Note 3 13 6 2" xfId="15626" xr:uid="{48780993-A1C8-4011-A0C8-9905C17FF8FC}"/>
    <cellStyle name="Note 3 13 6 3" xfId="34397" xr:uid="{EC19CC93-47A2-454D-8AA3-CCD0C5E5F1EC}"/>
    <cellStyle name="Note 3 13 6 4" xfId="34398" xr:uid="{2354583B-01A7-452C-BC08-065879566083}"/>
    <cellStyle name="Note 3 13 7" xfId="15627" xr:uid="{3FDA9DC3-DA1F-438D-A250-3135F81701FA}"/>
    <cellStyle name="Note 3 13 7 2" xfId="15628" xr:uid="{154D7BA1-E787-4307-8BBE-072A1ED2BE4A}"/>
    <cellStyle name="Note 3 13 7 3" xfId="34399" xr:uid="{4157AADE-EC49-4E63-B917-4BB09F69C001}"/>
    <cellStyle name="Note 3 13 7 4" xfId="34400" xr:uid="{B668B545-73FA-4C50-ADA9-08603BEDCBDF}"/>
    <cellStyle name="Note 3 13 8" xfId="15629" xr:uid="{FADAE557-A40D-4CAC-8794-C3010380F046}"/>
    <cellStyle name="Note 3 13 8 2" xfId="15630" xr:uid="{24BD80D0-93ED-47BC-8D5B-F212087E4309}"/>
    <cellStyle name="Note 3 13 8 3" xfId="34401" xr:uid="{A2276B01-EDF3-42AC-BC24-0E1CB8D5FFC9}"/>
    <cellStyle name="Note 3 13 8 4" xfId="34402" xr:uid="{2A6522C7-438A-487E-BCC9-FF47EF8E4C17}"/>
    <cellStyle name="Note 3 13 9" xfId="15631" xr:uid="{C648C4E4-C302-47C5-AFC4-FFC806D9FFEB}"/>
    <cellStyle name="Note 3 13 9 2" xfId="15632" xr:uid="{FA2AE51D-982D-4CC5-BF34-810B946AED92}"/>
    <cellStyle name="Note 3 13 9 3" xfId="34403" xr:uid="{A9261CCD-D92C-4C00-ADF2-F7A1DFE41CEC}"/>
    <cellStyle name="Note 3 13 9 4" xfId="34404" xr:uid="{B85BB5C7-FA98-4F5F-B984-57C674F86652}"/>
    <cellStyle name="Note 3 14" xfId="15633" xr:uid="{54DF8468-0305-48F6-A2F4-19D846B6ADA9}"/>
    <cellStyle name="Note 3 14 10" xfId="15634" xr:uid="{00CF3129-919F-4A48-B2D7-3C1EAD0BB889}"/>
    <cellStyle name="Note 3 14 10 2" xfId="34405" xr:uid="{70EA73FD-D7FD-4A7B-8DCF-911A8BE6CB58}"/>
    <cellStyle name="Note 3 14 11" xfId="34406" xr:uid="{A134E332-93FF-4B57-B754-4CC852C3C286}"/>
    <cellStyle name="Note 3 14 2" xfId="15635" xr:uid="{643C04E2-B536-426B-8E06-002FE7209B17}"/>
    <cellStyle name="Note 3 14 2 2" xfId="15636" xr:uid="{D121A37D-8805-4796-B9FD-94E79CC5B34A}"/>
    <cellStyle name="Note 3 14 2 2 2" xfId="15637" xr:uid="{E4CB063C-C42C-4385-A1C9-5BDD3CE6248D}"/>
    <cellStyle name="Note 3 14 2 3" xfId="15638" xr:uid="{68FCD051-5350-44D3-B801-2891CBE1E40C}"/>
    <cellStyle name="Note 3 14 2 4" xfId="34407" xr:uid="{3D58AF98-BB66-4FE9-A886-6C6755462BDF}"/>
    <cellStyle name="Note 3 14 3" xfId="15639" xr:uid="{1B9CE43F-E59F-4F42-B64D-7AFD54BB3A3B}"/>
    <cellStyle name="Note 3 14 3 2" xfId="15640" xr:uid="{10C59481-3987-4AC4-9722-92E6F272009D}"/>
    <cellStyle name="Note 3 14 3 3" xfId="34408" xr:uid="{2CE05640-8CC6-4F93-ABB3-056EA56613B6}"/>
    <cellStyle name="Note 3 14 3 4" xfId="34409" xr:uid="{A89F170A-571F-4049-859C-0D30A21FB0C7}"/>
    <cellStyle name="Note 3 14 4" xfId="15641" xr:uid="{F588E233-0962-46A8-93F2-CB83C0733E27}"/>
    <cellStyle name="Note 3 14 4 2" xfId="15642" xr:uid="{594102D5-3ACD-4B4F-9EBB-20821321DA0E}"/>
    <cellStyle name="Note 3 14 4 3" xfId="34410" xr:uid="{46B930A5-78AE-403A-8726-D1BE895FAB7E}"/>
    <cellStyle name="Note 3 14 4 4" xfId="34411" xr:uid="{A3E2ACEF-13E3-45B7-BEB8-DC25624018FF}"/>
    <cellStyle name="Note 3 14 5" xfId="15643" xr:uid="{C40A636E-7228-48B0-A933-4D945E6AAA2A}"/>
    <cellStyle name="Note 3 14 5 2" xfId="15644" xr:uid="{B25E2B03-307B-43DE-AA70-0F3BEF3BF26D}"/>
    <cellStyle name="Note 3 14 5 3" xfId="34412" xr:uid="{55D0ADF4-58E3-45BC-ABDC-3714B56547FE}"/>
    <cellStyle name="Note 3 14 5 4" xfId="34413" xr:uid="{FD1686AD-2890-4576-865F-6B1F4C534BBB}"/>
    <cellStyle name="Note 3 14 6" xfId="15645" xr:uid="{5B91E20D-1396-4F14-9642-C8285962178E}"/>
    <cellStyle name="Note 3 14 6 2" xfId="15646" xr:uid="{FB9C50A7-C48C-4D9F-AF8A-2559C9106D10}"/>
    <cellStyle name="Note 3 14 6 3" xfId="34414" xr:uid="{A89FE2BE-821A-4125-8055-9820A7FEB7F2}"/>
    <cellStyle name="Note 3 14 6 4" xfId="34415" xr:uid="{1AD82503-93E9-422D-B880-664D3182794D}"/>
    <cellStyle name="Note 3 14 7" xfId="15647" xr:uid="{317C103C-B44D-4AB0-B575-DF0A0127D4BC}"/>
    <cellStyle name="Note 3 14 7 2" xfId="15648" xr:uid="{3C5FD2D6-FB2E-46FF-B042-ED13077E7B81}"/>
    <cellStyle name="Note 3 14 7 3" xfId="34416" xr:uid="{E7386D40-0C63-49CB-B1BF-079E08A1195C}"/>
    <cellStyle name="Note 3 14 7 4" xfId="34417" xr:uid="{40E86364-4DFB-49F0-9ADE-6923EE4011FC}"/>
    <cellStyle name="Note 3 14 8" xfId="15649" xr:uid="{5EBA33AA-A80D-474C-AC8C-79223F5806FF}"/>
    <cellStyle name="Note 3 14 8 2" xfId="15650" xr:uid="{26A4D9A4-47D3-409B-9ED1-6D1840D8DFDA}"/>
    <cellStyle name="Note 3 14 8 3" xfId="34418" xr:uid="{F2002573-DE60-4FF6-8D9A-D3DC164D4478}"/>
    <cellStyle name="Note 3 14 8 4" xfId="34419" xr:uid="{88B3E816-C851-471F-A0FD-CD477595FF67}"/>
    <cellStyle name="Note 3 14 9" xfId="15651" xr:uid="{9DABB23F-3FAC-4EDC-B217-AD480999F53A}"/>
    <cellStyle name="Note 3 14 9 2" xfId="34420" xr:uid="{AE05BB47-A125-4362-A360-9E9FE389DA83}"/>
    <cellStyle name="Note 3 15" xfId="15652" xr:uid="{7137F791-BF8A-46E6-8DA5-F99E04DC5F53}"/>
    <cellStyle name="Note 3 15 2" xfId="15653" xr:uid="{DFABF892-E867-4BE9-B08F-4C1CA41391F3}"/>
    <cellStyle name="Note 3 15 2 2" xfId="15654" xr:uid="{15A285A3-392C-4A0E-8E7C-387B6917C630}"/>
    <cellStyle name="Note 3 15 3" xfId="15655" xr:uid="{6A563D4D-50AF-4C31-9049-FBE7B9A5B44F}"/>
    <cellStyle name="Note 3 15 4" xfId="15656" xr:uid="{B9C02D6B-3616-4B84-BD02-5D07149CE76E}"/>
    <cellStyle name="Note 3 16" xfId="15657" xr:uid="{F5153E3D-5372-4E6E-98A2-CEDF0DAF3874}"/>
    <cellStyle name="Note 3 16 2" xfId="15658" xr:uid="{AF379502-4231-4FE7-A0A7-241C7A3D7C21}"/>
    <cellStyle name="Note 3 16 3" xfId="34421" xr:uid="{934A61D9-5588-4256-BA1B-C72774C33C02}"/>
    <cellStyle name="Note 3 16 4" xfId="34422" xr:uid="{DE306EA9-6AE8-41B2-8C4F-2F973DDDF02D}"/>
    <cellStyle name="Note 3 17" xfId="15659" xr:uid="{BD0C40BC-1D82-4295-ADBD-7563B5C66697}"/>
    <cellStyle name="Note 3 17 2" xfId="15660" xr:uid="{6AA3B520-5C9C-4FD8-B74C-A9192A0ECB25}"/>
    <cellStyle name="Note 3 17 3" xfId="34423" xr:uid="{C90FA495-3B06-40E5-BBF4-F14A1B9FC221}"/>
    <cellStyle name="Note 3 17 4" xfId="34424" xr:uid="{41160E80-B66C-4669-B846-661872164774}"/>
    <cellStyle name="Note 3 18" xfId="15661" xr:uid="{CD5E8402-419F-46E5-99EA-EC5939726AC5}"/>
    <cellStyle name="Note 3 18 2" xfId="15662" xr:uid="{91D1925F-307E-46D6-8E06-7D2D0B17531E}"/>
    <cellStyle name="Note 3 18 3" xfId="34425" xr:uid="{EE37BBDD-17AF-4F92-BEA7-5CED39396B83}"/>
    <cellStyle name="Note 3 18 4" xfId="34426" xr:uid="{ABE043EF-7C52-42AC-81F8-84449E00A44D}"/>
    <cellStyle name="Note 3 19" xfId="15663" xr:uid="{9A5136A4-141B-44DC-8274-449C79C4ED04}"/>
    <cellStyle name="Note 3 19 2" xfId="15664" xr:uid="{CF7EB4C7-23DA-47DB-9092-2627E86C8696}"/>
    <cellStyle name="Note 3 19 3" xfId="34427" xr:uid="{56D1009B-DDD3-44CF-837E-06E0A9F041DB}"/>
    <cellStyle name="Note 3 19 4" xfId="34428" xr:uid="{9F1723A6-9081-48A9-8FD4-57C02F2712DD}"/>
    <cellStyle name="Note 3 2" xfId="15665" xr:uid="{1E42E174-B8BC-4A14-8AB2-785FF735261B}"/>
    <cellStyle name="Note 3 2 10" xfId="15666" xr:uid="{BD0EC290-315C-4ABD-9CD3-F4AD7657886B}"/>
    <cellStyle name="Note 3 2 10 2" xfId="34429" xr:uid="{C66701A1-1579-4A92-9384-02C0BA995142}"/>
    <cellStyle name="Note 3 2 11" xfId="15667" xr:uid="{E3129C5C-6CE0-47C7-B412-A4545A9E4131}"/>
    <cellStyle name="Note 3 2 11 2" xfId="34430" xr:uid="{90DB330F-308C-4F58-B4B6-686754E8C130}"/>
    <cellStyle name="Note 3 2 12" xfId="34431" xr:uid="{564332F7-EB98-41C2-B91E-0E1122AFBB0C}"/>
    <cellStyle name="Note 3 2 13" xfId="34432" xr:uid="{B317A9A4-9CD2-4B9F-B2D4-0C270DB1BE9F}"/>
    <cellStyle name="Note 3 2 14" xfId="44537" xr:uid="{FA156272-8DE3-42B8-BBFD-95BF68AFF8E1}"/>
    <cellStyle name="Note 3 2 15" xfId="45345" xr:uid="{D7DB34A2-89F9-49A9-B2CB-86F7C88E26A4}"/>
    <cellStyle name="Note 3 2 16" xfId="45568" xr:uid="{E7F9C4BB-5B0D-4C02-BCB6-645F136109E1}"/>
    <cellStyle name="Note 3 2 2" xfId="15668" xr:uid="{C62F1616-FB79-4718-9291-6DC6127859B8}"/>
    <cellStyle name="Note 3 2 2 10" xfId="15669" xr:uid="{9CD0CC15-4EDE-4910-B7CF-7C4E2641E455}"/>
    <cellStyle name="Note 3 2 2 10 2" xfId="34433" xr:uid="{EA34977A-9AEA-4D26-B7D7-9FDF1966357B}"/>
    <cellStyle name="Note 3 2 2 11" xfId="34434" xr:uid="{9D8789B6-E21F-45B2-90E3-0B38E96AC0FA}"/>
    <cellStyle name="Note 3 2 2 12" xfId="44750" xr:uid="{175CABBE-2D13-4280-A3F0-1751F824774B}"/>
    <cellStyle name="Note 3 2 2 13" xfId="45011" xr:uid="{D41F1931-DC5E-40A8-8D9A-DE3FDAD2C2C1}"/>
    <cellStyle name="Note 3 2 2 14" xfId="44945" xr:uid="{9B40E981-1FCD-4AB3-9FF4-1E10338C33BB}"/>
    <cellStyle name="Note 3 2 2 2" xfId="15670" xr:uid="{93AB3BA0-658D-413A-84A8-73811283CF26}"/>
    <cellStyle name="Note 3 2 2 2 2" xfId="15671" xr:uid="{930596FA-67DD-4AA9-A8C4-065BC45074C1}"/>
    <cellStyle name="Note 3 2 2 2 2 2" xfId="15672" xr:uid="{D10ED02E-78DD-4C50-B044-6C72069F5571}"/>
    <cellStyle name="Note 3 2 2 2 2 3" xfId="34435" xr:uid="{F7711A96-4105-4A48-8781-9EE56F9A97EF}"/>
    <cellStyle name="Note 3 2 2 2 3" xfId="15673" xr:uid="{A10DB0D1-3514-4C11-BD84-2844EAC28897}"/>
    <cellStyle name="Note 3 2 2 2 3 2" xfId="34436" xr:uid="{CF5DCF6F-3F4C-4DE4-9321-7AB06DD4A89B}"/>
    <cellStyle name="Note 3 2 2 2 4" xfId="34437" xr:uid="{32AEA2EC-95D3-444C-83BA-A6F6F30EB0F0}"/>
    <cellStyle name="Note 3 2 2 2 4 2" xfId="34438" xr:uid="{1F80DAA2-DA47-4B42-9730-51D155AA597C}"/>
    <cellStyle name="Note 3 2 2 2 5" xfId="34439" xr:uid="{0EA76C59-7B53-4262-BA9F-23CE58539E99}"/>
    <cellStyle name="Note 3 2 2 2 6" xfId="34440" xr:uid="{3DA72DEE-3B4A-4790-B563-6757587B7D4D}"/>
    <cellStyle name="Note 3 2 2 2 7" xfId="34441" xr:uid="{CFD5BD4E-632F-47C4-AB5B-A191B3BD91C2}"/>
    <cellStyle name="Note 3 2 2 3" xfId="15674" xr:uid="{AA684B3C-C411-4C2D-8BD4-E79AE55A87BC}"/>
    <cellStyle name="Note 3 2 2 3 2" xfId="15675" xr:uid="{52A5F9DE-A0AC-4A2E-9D1B-70264C7B26A2}"/>
    <cellStyle name="Note 3 2 2 3 3" xfId="34442" xr:uid="{07D559C1-59EE-4B47-A4A8-5C79B43231A8}"/>
    <cellStyle name="Note 3 2 2 3 4" xfId="34443" xr:uid="{265F8A3A-4B64-4224-8453-EBD9D00B7692}"/>
    <cellStyle name="Note 3 2 2 4" xfId="15676" xr:uid="{3ED4A2F7-7C38-48C8-A160-CE8044518563}"/>
    <cellStyle name="Note 3 2 2 4 2" xfId="15677" xr:uid="{EE96EC46-6EC7-4F0E-A247-48B1DFBFE91A}"/>
    <cellStyle name="Note 3 2 2 4 3" xfId="34444" xr:uid="{7C836BA7-B84D-4F7A-B93B-739503350075}"/>
    <cellStyle name="Note 3 2 2 4 4" xfId="34445" xr:uid="{F4E718CF-D313-4CDC-9A08-F405911003B3}"/>
    <cellStyle name="Note 3 2 2 5" xfId="15678" xr:uid="{585684F7-E9FD-4390-88D2-4775088DADAA}"/>
    <cellStyle name="Note 3 2 2 5 2" xfId="15679" xr:uid="{41840709-920E-4604-80D1-E88E433D09D4}"/>
    <cellStyle name="Note 3 2 2 5 3" xfId="34446" xr:uid="{20237D70-1558-4B0B-867A-3484B34C22F6}"/>
    <cellStyle name="Note 3 2 2 5 4" xfId="34447" xr:uid="{B5E0A96F-4A8E-40F2-8B96-1C8329F7E8C5}"/>
    <cellStyle name="Note 3 2 2 6" xfId="15680" xr:uid="{36DAF2F0-89F3-47A4-8411-665688E931F5}"/>
    <cellStyle name="Note 3 2 2 6 2" xfId="15681" xr:uid="{2DCEB6D6-F2A1-42AF-B661-30A0461FB7B7}"/>
    <cellStyle name="Note 3 2 2 6 3" xfId="34448" xr:uid="{73A2D58E-E9A9-48F8-AD7F-F3A5940A34FE}"/>
    <cellStyle name="Note 3 2 2 6 4" xfId="34449" xr:uid="{8D023454-F0C5-4CB1-BF48-E72131C6E39B}"/>
    <cellStyle name="Note 3 2 2 7" xfId="15682" xr:uid="{CBE1FA1A-502A-4668-858F-1DC94D8BC515}"/>
    <cellStyle name="Note 3 2 2 7 2" xfId="15683" xr:uid="{7C0229C2-9D06-4645-A914-C96A6A9E0F81}"/>
    <cellStyle name="Note 3 2 2 7 3" xfId="34450" xr:uid="{FB1943C1-B771-4FBB-9DC4-B1FE4A2C9CDB}"/>
    <cellStyle name="Note 3 2 2 7 4" xfId="34451" xr:uid="{56CDC88A-BC07-44F6-98DF-9DB43A7F1196}"/>
    <cellStyle name="Note 3 2 2 8" xfId="15684" xr:uid="{753302D8-6274-4932-8AE9-A3D3D2D5C716}"/>
    <cellStyle name="Note 3 2 2 8 2" xfId="15685" xr:uid="{D00E9BA6-C3AF-4F01-A894-8013B1E5D2C6}"/>
    <cellStyle name="Note 3 2 2 8 3" xfId="34452" xr:uid="{52E28DF3-DE6C-4C01-BAD5-8A01760CE219}"/>
    <cellStyle name="Note 3 2 2 8 4" xfId="34453" xr:uid="{A279C8DC-118B-4A08-B050-D53DC7082E7E}"/>
    <cellStyle name="Note 3 2 2 9" xfId="15686" xr:uid="{498E3D45-52BF-4066-B436-C0A26B9D76A8}"/>
    <cellStyle name="Note 3 2 2 9 2" xfId="34454" xr:uid="{8C30B21B-142E-479B-BBC5-484476934EFE}"/>
    <cellStyle name="Note 3 2 3" xfId="15687" xr:uid="{BD534A99-C968-4F49-B0D8-88940BCBAA2F}"/>
    <cellStyle name="Note 3 2 3 2" xfId="15688" xr:uid="{CA8F582E-C2A8-46D2-A26E-430D718CB5B2}"/>
    <cellStyle name="Note 3 2 3 2 2" xfId="15689" xr:uid="{4F8525A4-349F-45EF-8B17-E599CB3D016C}"/>
    <cellStyle name="Note 3 2 3 3" xfId="15690" xr:uid="{D81CB9DE-947D-45CF-A905-8D3E0D58F933}"/>
    <cellStyle name="Note 3 2 3 4" xfId="34455" xr:uid="{BB06429E-477C-4315-B7AC-26245ECDD508}"/>
    <cellStyle name="Note 3 2 4" xfId="15691" xr:uid="{0CB89EC3-9C21-4D41-B55B-3CD8E1D376CE}"/>
    <cellStyle name="Note 3 2 4 2" xfId="15692" xr:uid="{E7200E37-C745-4451-BCFA-C8973C9C0512}"/>
    <cellStyle name="Note 3 2 4 3" xfId="34456" xr:uid="{9985218A-7792-4EB6-BB9D-A029F9B081DB}"/>
    <cellStyle name="Note 3 2 4 4" xfId="34457" xr:uid="{F54F954E-2FC9-42CC-BEF1-643949D3C9D2}"/>
    <cellStyle name="Note 3 2 5" xfId="15693" xr:uid="{30E6B154-952B-4AF8-82CD-AE95DD1D5E4C}"/>
    <cellStyle name="Note 3 2 5 2" xfId="15694" xr:uid="{C22327A5-17A0-42CF-921C-62D03CB721CB}"/>
    <cellStyle name="Note 3 2 5 3" xfId="34458" xr:uid="{CB932532-D8DF-4C7A-8B8E-E7F6C1DA0FC5}"/>
    <cellStyle name="Note 3 2 5 4" xfId="34459" xr:uid="{0107C6DC-58D3-4381-BB7C-24B4F00F6134}"/>
    <cellStyle name="Note 3 2 6" xfId="15695" xr:uid="{F93E22AE-76B8-4FF0-9E78-AE8DD0504CD4}"/>
    <cellStyle name="Note 3 2 6 2" xfId="15696" xr:uid="{5FF646C8-5850-440A-9E6B-28BF2527645F}"/>
    <cellStyle name="Note 3 2 6 3" xfId="34460" xr:uid="{4571FC00-924B-44FE-996B-4073C37B86C1}"/>
    <cellStyle name="Note 3 2 6 4" xfId="34461" xr:uid="{20CB9901-E255-46CD-A1E4-D41C05547502}"/>
    <cellStyle name="Note 3 2 7" xfId="15697" xr:uid="{4F816D5E-A654-411D-85DD-E17B090CF7F5}"/>
    <cellStyle name="Note 3 2 7 2" xfId="15698" xr:uid="{3C4C2F23-3535-4077-85BC-8362D571B670}"/>
    <cellStyle name="Note 3 2 7 3" xfId="34462" xr:uid="{7173F2BF-CC2C-413C-846E-E1AED9E26EB6}"/>
    <cellStyle name="Note 3 2 7 4" xfId="34463" xr:uid="{CC6C325C-1636-46FB-B170-17FC979996CE}"/>
    <cellStyle name="Note 3 2 8" xfId="15699" xr:uid="{E1FA1675-1B18-45D5-8402-FDB57FE3C99A}"/>
    <cellStyle name="Note 3 2 8 2" xfId="15700" xr:uid="{22B450A4-64D4-4E2B-8A98-1384540C9F28}"/>
    <cellStyle name="Note 3 2 8 3" xfId="34464" xr:uid="{63D1C06C-E1A1-49E4-A247-DF2F79AF08E2}"/>
    <cellStyle name="Note 3 2 8 4" xfId="34465" xr:uid="{7E564B05-EDB9-46ED-BEBF-AEA2721F9739}"/>
    <cellStyle name="Note 3 2 9" xfId="15701" xr:uid="{C2C4FE4F-B999-48FC-84F0-BA3678668201}"/>
    <cellStyle name="Note 3 2 9 2" xfId="15702" xr:uid="{2F19026F-BB0C-4844-984E-66583C67640D}"/>
    <cellStyle name="Note 3 2 9 3" xfId="34466" xr:uid="{16CFD9DC-823F-40A9-A98F-25C6862A1967}"/>
    <cellStyle name="Note 3 2 9 4" xfId="34467" xr:uid="{70BE0A46-7238-41B4-878B-64E7BDFDC11B}"/>
    <cellStyle name="Note 3 20" xfId="15703" xr:uid="{FBB3AEA2-8DFA-4E60-9E7D-3E7EE0137788}"/>
    <cellStyle name="Note 3 20 2" xfId="15704" xr:uid="{4FC9900F-7E11-4DEB-9284-3B33C05CFB73}"/>
    <cellStyle name="Note 3 20 3" xfId="34468" xr:uid="{0EA229E8-B1EF-4884-844E-3AD19B9DAEBB}"/>
    <cellStyle name="Note 3 20 4" xfId="34469" xr:uid="{3142B1CD-83FB-4CEE-A9BB-0F01B2B1D3E2}"/>
    <cellStyle name="Note 3 21" xfId="15705" xr:uid="{FD7F5A5A-39A0-4DA0-A4F2-E6B5D2572E0C}"/>
    <cellStyle name="Note 3 21 2" xfId="15706" xr:uid="{A8E3874A-4868-49AA-8288-4CFF36A0F849}"/>
    <cellStyle name="Note 3 21 3" xfId="34470" xr:uid="{F835377E-E5C8-41F7-AD05-03A780DEA30B}"/>
    <cellStyle name="Note 3 21 4" xfId="34471" xr:uid="{A5EBE917-DA5D-40EF-A8C4-DEBD8E3EEB4E}"/>
    <cellStyle name="Note 3 22" xfId="15707" xr:uid="{12140AE1-6FD6-4279-B407-3992C6E8D4CA}"/>
    <cellStyle name="Note 3 22 2" xfId="34472" xr:uid="{4017D873-417A-4CE5-A6A8-C95C4A0CEA3A}"/>
    <cellStyle name="Note 3 23" xfId="15708" xr:uid="{EDA6DAA8-DEC9-4415-894C-81AB2CDCE20C}"/>
    <cellStyle name="Note 3 23 2" xfId="34473" xr:uid="{01B6BA7B-E063-44C9-908A-7EA8B876F6FE}"/>
    <cellStyle name="Note 3 24" xfId="34474" xr:uid="{91FA2345-F95B-497C-B7E7-B7B53788A788}"/>
    <cellStyle name="Note 3 25" xfId="34475" xr:uid="{B97B2C3B-E6D5-481C-B10B-CCCAAF131CD4}"/>
    <cellStyle name="Note 3 26" xfId="44207" xr:uid="{D8E2F4CC-4642-487F-810C-D729624A1124}"/>
    <cellStyle name="Note 3 27" xfId="45062" xr:uid="{1AA60DB8-6FFB-442C-8B41-8FF1A832128C}"/>
    <cellStyle name="Note 3 28" xfId="45399" xr:uid="{605101EB-FD97-4803-85E6-DABDEE0BAC79}"/>
    <cellStyle name="Note 3 3" xfId="15709" xr:uid="{2B17FE04-5D84-41D5-A654-CD5411C1DF34}"/>
    <cellStyle name="Note 3 3 10" xfId="15710" xr:uid="{1FE3ADA1-7AF0-4F92-B57E-69D2D26AC303}"/>
    <cellStyle name="Note 3 3 10 2" xfId="34476" xr:uid="{BE8941B9-FB99-46C5-8F43-AC15D16DB8F5}"/>
    <cellStyle name="Note 3 3 11" xfId="15711" xr:uid="{17B91FEC-AB02-4994-88A2-EE911AB27A96}"/>
    <cellStyle name="Note 3 3 11 2" xfId="34477" xr:uid="{4279B024-5984-4C90-AE3B-382C26FCD088}"/>
    <cellStyle name="Note 3 3 12" xfId="34478" xr:uid="{3DB10704-27A2-464F-ACCE-A911352B349F}"/>
    <cellStyle name="Note 3 3 13" xfId="34479" xr:uid="{1C9D5738-1360-4608-A37A-225995D131A7}"/>
    <cellStyle name="Note 3 3 14" xfId="44504" xr:uid="{C4C201B4-04C3-418D-8E6F-F29D5F715977}"/>
    <cellStyle name="Note 3 3 15" xfId="45215" xr:uid="{1BF127CC-FD47-43A0-9C3B-74F6255A168F}"/>
    <cellStyle name="Note 3 3 16" xfId="45482" xr:uid="{2E070398-ED6E-40C8-A3AB-FCCA6CFCFCE5}"/>
    <cellStyle name="Note 3 3 2" xfId="15712" xr:uid="{9F339DA6-2026-4B1D-B6BD-B63DFF603561}"/>
    <cellStyle name="Note 3 3 2 10" xfId="15713" xr:uid="{D60AAC7D-7C3A-40E0-9217-978D5D9EE8CB}"/>
    <cellStyle name="Note 3 3 2 10 2" xfId="34480" xr:uid="{6D0BB1BB-D6D2-4504-AC24-BA37458EE19D}"/>
    <cellStyle name="Note 3 3 2 11" xfId="34481" xr:uid="{7E456EAA-55E4-44B8-A278-53A7A8DEE230}"/>
    <cellStyle name="Note 3 3 2 12" xfId="44716" xr:uid="{8C2EBC87-F701-4C50-82B0-16135B4FF19A}"/>
    <cellStyle name="Note 3 3 2 13" xfId="43988" xr:uid="{8746A023-A609-498D-92E1-340D944CE467}"/>
    <cellStyle name="Note 3 3 2 14" xfId="44841" xr:uid="{4D908A91-A191-4C20-A8A9-A16357F83F3D}"/>
    <cellStyle name="Note 3 3 2 2" xfId="15714" xr:uid="{1C553105-E258-4467-9698-54CA9E958D2B}"/>
    <cellStyle name="Note 3 3 2 2 2" xfId="15715" xr:uid="{E40D141E-E4D0-4DB7-8103-94B1056580B5}"/>
    <cellStyle name="Note 3 3 2 2 2 2" xfId="15716" xr:uid="{6D4E8350-F1DA-4BC8-B330-5C9413B72686}"/>
    <cellStyle name="Note 3 3 2 2 3" xfId="15717" xr:uid="{0CC16381-CCFD-472F-97E0-5EA5A99648FA}"/>
    <cellStyle name="Note 3 3 2 2 4" xfId="34482" xr:uid="{FB532582-B8FD-49D3-8709-7A620CC37E58}"/>
    <cellStyle name="Note 3 3 2 3" xfId="15718" xr:uid="{5DDF955F-181F-4CD3-821D-7914563CAA1B}"/>
    <cellStyle name="Note 3 3 2 3 2" xfId="15719" xr:uid="{0071A41B-0B0A-41F5-85DE-5D4A24951DF4}"/>
    <cellStyle name="Note 3 3 2 3 3" xfId="34483" xr:uid="{3CFAC81F-B098-4334-AFBC-E98AE13F16D0}"/>
    <cellStyle name="Note 3 3 2 3 4" xfId="34484" xr:uid="{0BE0D5CA-092A-4AE9-B46C-B72AF91D8A3A}"/>
    <cellStyle name="Note 3 3 2 4" xfId="15720" xr:uid="{8AF86C27-A347-4D47-BA11-E4431F2B9EE9}"/>
    <cellStyle name="Note 3 3 2 4 2" xfId="15721" xr:uid="{8B4E1BF4-CC93-4C15-983D-6A20F994FE36}"/>
    <cellStyle name="Note 3 3 2 4 3" xfId="34485" xr:uid="{31D2D82F-17AA-4835-91B6-7236CE5F99ED}"/>
    <cellStyle name="Note 3 3 2 4 4" xfId="34486" xr:uid="{EED9472D-4D92-4939-B002-77D25B3A8574}"/>
    <cellStyle name="Note 3 3 2 5" xfId="15722" xr:uid="{E8BB2CD5-FC0B-4D95-80E4-5ABD2CAB9953}"/>
    <cellStyle name="Note 3 3 2 5 2" xfId="15723" xr:uid="{AE0375C3-260B-43BF-BCAF-17A3BEFB7175}"/>
    <cellStyle name="Note 3 3 2 5 3" xfId="34487" xr:uid="{58134BCA-01E1-4EA5-914D-EEAD93C92577}"/>
    <cellStyle name="Note 3 3 2 5 4" xfId="34488" xr:uid="{BA6603A3-791B-4F00-9BEC-87B9C5981186}"/>
    <cellStyle name="Note 3 3 2 6" xfId="15724" xr:uid="{CAA415C2-0ECB-422C-BB09-D97B2293BBB9}"/>
    <cellStyle name="Note 3 3 2 6 2" xfId="15725" xr:uid="{6601AF0F-DB0C-4066-8CEA-4C5E23AD253F}"/>
    <cellStyle name="Note 3 3 2 6 3" xfId="34489" xr:uid="{B867926F-FD20-417F-91C6-550D3018233E}"/>
    <cellStyle name="Note 3 3 2 6 4" xfId="34490" xr:uid="{ADE31089-FC4F-4ABC-9BC2-C01214B3750B}"/>
    <cellStyle name="Note 3 3 2 7" xfId="15726" xr:uid="{704F5F14-4755-43CA-BAC8-EA9081DEB400}"/>
    <cellStyle name="Note 3 3 2 7 2" xfId="15727" xr:uid="{F7295C59-BB40-4455-A882-F7286F0D74BA}"/>
    <cellStyle name="Note 3 3 2 7 3" xfId="34491" xr:uid="{7B59E8B4-1A0C-44CE-ADAE-47C1FAF943EB}"/>
    <cellStyle name="Note 3 3 2 7 4" xfId="34492" xr:uid="{B4875691-2527-47E6-BFE4-8E192574E79E}"/>
    <cellStyle name="Note 3 3 2 8" xfId="15728" xr:uid="{8559E9F8-1547-4F8C-939C-B87344C22304}"/>
    <cellStyle name="Note 3 3 2 8 2" xfId="15729" xr:uid="{93FF633C-03E6-473F-B1B1-BF88F8822559}"/>
    <cellStyle name="Note 3 3 2 8 3" xfId="34493" xr:uid="{B1989DCD-0CCD-46EC-B26E-D872E98ED849}"/>
    <cellStyle name="Note 3 3 2 8 4" xfId="34494" xr:uid="{E30200B8-77B0-4A7D-87A0-04C666B3D04A}"/>
    <cellStyle name="Note 3 3 2 9" xfId="15730" xr:uid="{31EBE04C-FB26-4452-BB54-63348398487F}"/>
    <cellStyle name="Note 3 3 2 9 2" xfId="34495" xr:uid="{33457427-F5C6-414F-8AA8-68FC92E83348}"/>
    <cellStyle name="Note 3 3 3" xfId="15731" xr:uid="{799291E5-6768-4ED1-81BC-C58B7719F70D}"/>
    <cellStyle name="Note 3 3 3 2" xfId="15732" xr:uid="{74FB4E28-683B-4F21-BB34-E3C9AE0C6376}"/>
    <cellStyle name="Note 3 3 3 2 2" xfId="15733" xr:uid="{B7D5F350-EDA2-4223-9CE2-35E159F8876F}"/>
    <cellStyle name="Note 3 3 3 3" xfId="15734" xr:uid="{461FF463-7F44-4AE1-9013-7340D59ECEB4}"/>
    <cellStyle name="Note 3 3 3 4" xfId="34496" xr:uid="{40A7B888-201B-4862-ACDD-1147ABBB8B37}"/>
    <cellStyle name="Note 3 3 4" xfId="15735" xr:uid="{127B432D-3CB8-4A8C-8BFC-43B9C562B2B8}"/>
    <cellStyle name="Note 3 3 4 2" xfId="15736" xr:uid="{CE74404B-597D-4A01-8AF9-EB9A2558D87A}"/>
    <cellStyle name="Note 3 3 4 3" xfId="34497" xr:uid="{4D015EBC-3361-4C57-B5FE-813E9FE0962F}"/>
    <cellStyle name="Note 3 3 4 4" xfId="34498" xr:uid="{FC5DDD01-B03E-4FAE-9451-393C6BB78314}"/>
    <cellStyle name="Note 3 3 5" xfId="15737" xr:uid="{249C4E1E-D565-4C85-83D6-0D62B8963706}"/>
    <cellStyle name="Note 3 3 5 2" xfId="15738" xr:uid="{69477817-E22A-4247-9718-76347524EB58}"/>
    <cellStyle name="Note 3 3 5 3" xfId="34499" xr:uid="{367F54DE-E61F-426A-A550-61D3305D32C4}"/>
    <cellStyle name="Note 3 3 5 4" xfId="34500" xr:uid="{C269A334-ABB5-4737-8C83-C7E35582C5A2}"/>
    <cellStyle name="Note 3 3 6" xfId="15739" xr:uid="{997E8A89-6DCF-4771-954D-BCA6A3242814}"/>
    <cellStyle name="Note 3 3 6 2" xfId="15740" xr:uid="{55ECB11C-D0EC-41EC-BCFA-49F738A1E756}"/>
    <cellStyle name="Note 3 3 6 3" xfId="34501" xr:uid="{65B66000-2B7D-4640-8D91-628BC5C6E6BB}"/>
    <cellStyle name="Note 3 3 6 4" xfId="34502" xr:uid="{53EB40BF-14DF-4CD5-BDCA-6A1F7DEA58F6}"/>
    <cellStyle name="Note 3 3 7" xfId="15741" xr:uid="{1C098E09-3838-4416-9F56-4D6EE194760A}"/>
    <cellStyle name="Note 3 3 7 2" xfId="15742" xr:uid="{A72D7EFF-22D4-4D93-8F93-3A524759EB85}"/>
    <cellStyle name="Note 3 3 7 3" xfId="34503" xr:uid="{F969B45C-0BD4-4164-B693-DB320DA69FEE}"/>
    <cellStyle name="Note 3 3 7 4" xfId="34504" xr:uid="{F2E7199C-18B8-4559-B012-F39E303D93A9}"/>
    <cellStyle name="Note 3 3 8" xfId="15743" xr:uid="{6691245B-83D0-4884-9F12-E91E7658F53A}"/>
    <cellStyle name="Note 3 3 8 2" xfId="15744" xr:uid="{34C959BC-98C4-423D-97B6-C2E25257219E}"/>
    <cellStyle name="Note 3 3 8 3" xfId="34505" xr:uid="{D5616666-109A-474E-B6AA-DCA669C79A68}"/>
    <cellStyle name="Note 3 3 8 4" xfId="34506" xr:uid="{6203CAFB-3A06-41AE-B966-55928874CD18}"/>
    <cellStyle name="Note 3 3 9" xfId="15745" xr:uid="{B44C43A0-B86E-4533-97F1-9BB1561AEB82}"/>
    <cellStyle name="Note 3 3 9 2" xfId="15746" xr:uid="{F2F6D240-FC29-4022-BCE0-53B98B330F7B}"/>
    <cellStyle name="Note 3 3 9 3" xfId="34507" xr:uid="{ABA1B4A8-A0BE-40C6-BE16-81DE9DE15ECE}"/>
    <cellStyle name="Note 3 3 9 4" xfId="34508" xr:uid="{B047D7C7-8D24-4DC1-86DC-8D662DD69AE2}"/>
    <cellStyle name="Note 3 4" xfId="15747" xr:uid="{B2FAE20F-D161-416A-BD09-A3ACDF14E908}"/>
    <cellStyle name="Note 3 4 10" xfId="15748" xr:uid="{DEF4A87F-CEF5-4FB5-A3D6-F1AE76F69369}"/>
    <cellStyle name="Note 3 4 10 2" xfId="34509" xr:uid="{7511354D-D56D-4B25-AFE7-543F4FE46C10}"/>
    <cellStyle name="Note 3 4 11" xfId="15749" xr:uid="{F304AC83-9969-4763-9209-D448566C6D72}"/>
    <cellStyle name="Note 3 4 11 2" xfId="34510" xr:uid="{4391A4C6-3F03-42D2-826A-FA408D8E261F}"/>
    <cellStyle name="Note 3 4 12" xfId="34511" xr:uid="{D5334561-5841-477D-9C83-2A44BCB0EDB1}"/>
    <cellStyle name="Note 3 4 13" xfId="34512" xr:uid="{246FC894-DF60-4351-9808-B8A8E0B2CE0A}"/>
    <cellStyle name="Note 3 4 14" xfId="44522" xr:uid="{142DBC9D-BCF6-4003-8942-9AF6324ADDBF}"/>
    <cellStyle name="Note 3 4 15" xfId="43991" xr:uid="{B184C4E4-57FE-448A-AF73-FC2D91A77691}"/>
    <cellStyle name="Note 3 4 16" xfId="45182" xr:uid="{BD794112-41E1-448A-B66C-D261356EEF41}"/>
    <cellStyle name="Note 3 4 2" xfId="15750" xr:uid="{9F1F919A-A731-4A00-8153-60696EF130DE}"/>
    <cellStyle name="Note 3 4 2 10" xfId="15751" xr:uid="{B05B0FF9-CDFC-40DD-9E9D-CFBCA2560D22}"/>
    <cellStyle name="Note 3 4 2 10 2" xfId="34513" xr:uid="{52C15926-26FC-48C3-BCF3-D70ABAFF6409}"/>
    <cellStyle name="Note 3 4 2 11" xfId="34514" xr:uid="{80ACA53A-95EB-4DF7-A16D-FB033E7A8C16}"/>
    <cellStyle name="Note 3 4 2 12" xfId="42988" xr:uid="{3DF80C7F-4501-4A8D-82DD-E9FB83DFBFC4}"/>
    <cellStyle name="Note 3 4 2 13" xfId="44734" xr:uid="{5266EDDE-DD47-4999-93D8-D913728AB8EC}"/>
    <cellStyle name="Note 3 4 2 14" xfId="45002" xr:uid="{32FF4AB3-461B-4348-B122-AB83CE32B555}"/>
    <cellStyle name="Note 3 4 2 15" xfId="44842" xr:uid="{3F056522-39B6-451B-AEF5-215D0B4A8D32}"/>
    <cellStyle name="Note 3 4 2 2" xfId="15752" xr:uid="{3E8B13F8-ED77-4D57-A7AB-A3D026C56140}"/>
    <cellStyle name="Note 3 4 2 2 2" xfId="15753" xr:uid="{E3C79ADF-A9EE-4F9B-9EC9-FFB3C60F4564}"/>
    <cellStyle name="Note 3 4 2 2 2 2" xfId="15754" xr:uid="{5589A4AE-1E46-406D-8579-5A613A57A8E5}"/>
    <cellStyle name="Note 3 4 2 2 3" xfId="15755" xr:uid="{F5F56BB4-16A5-4F92-AA14-A2ABF1059C7D}"/>
    <cellStyle name="Note 3 4 2 2 4" xfId="34515" xr:uid="{1AEDBD0A-12EF-4FCA-8E82-B426DC14D5E0}"/>
    <cellStyle name="Note 3 4 2 3" xfId="15756" xr:uid="{AC17DA17-D7FB-45EA-8D6F-6244EFFA8BAE}"/>
    <cellStyle name="Note 3 4 2 3 2" xfId="15757" xr:uid="{B671D777-86DF-4CE9-923D-68ABC3802258}"/>
    <cellStyle name="Note 3 4 2 3 3" xfId="34516" xr:uid="{20FD2C0F-28D2-4AEC-9826-0A1042BD9C36}"/>
    <cellStyle name="Note 3 4 2 3 4" xfId="34517" xr:uid="{914068B0-F941-4B7C-A1D7-21BC4C3836A4}"/>
    <cellStyle name="Note 3 4 2 4" xfId="15758" xr:uid="{44E98C2F-2B08-4E07-8558-0BE454BF137A}"/>
    <cellStyle name="Note 3 4 2 4 2" xfId="15759" xr:uid="{961F98FC-7D0A-4020-924A-FAF6414DB3A7}"/>
    <cellStyle name="Note 3 4 2 4 3" xfId="34518" xr:uid="{A4653705-8E47-4BCA-B041-4C16E9C58744}"/>
    <cellStyle name="Note 3 4 2 4 4" xfId="34519" xr:uid="{43F9CBFF-4A77-4746-9989-B9F084F3737F}"/>
    <cellStyle name="Note 3 4 2 5" xfId="15760" xr:uid="{39E84925-C2D4-49CC-B7A1-65D4E9E770CC}"/>
    <cellStyle name="Note 3 4 2 5 2" xfId="15761" xr:uid="{A9140B34-0B64-41A9-9DA4-DC4B0D778597}"/>
    <cellStyle name="Note 3 4 2 5 3" xfId="34520" xr:uid="{8BF9F1AD-FABD-4BBF-94D5-4B920861BA19}"/>
    <cellStyle name="Note 3 4 2 5 4" xfId="34521" xr:uid="{65912FCE-B7ED-48B8-B48E-A68F652A0D97}"/>
    <cellStyle name="Note 3 4 2 6" xfId="15762" xr:uid="{5CA5A499-AAFC-4D5C-86B1-B14952AA34AC}"/>
    <cellStyle name="Note 3 4 2 6 2" xfId="15763" xr:uid="{62027665-63A8-4DA0-95DE-6505E3D7D4B2}"/>
    <cellStyle name="Note 3 4 2 6 3" xfId="34522" xr:uid="{08F77445-AD28-4384-B60E-F4966D55494F}"/>
    <cellStyle name="Note 3 4 2 6 4" xfId="34523" xr:uid="{A6DE6137-076D-4531-8765-F694B70E2711}"/>
    <cellStyle name="Note 3 4 2 7" xfId="15764" xr:uid="{21433620-0BF8-43A3-9182-779794DB39F4}"/>
    <cellStyle name="Note 3 4 2 7 2" xfId="15765" xr:uid="{22ECCDA4-38EA-4343-B15B-3381531BFA40}"/>
    <cellStyle name="Note 3 4 2 7 3" xfId="34524" xr:uid="{4AF776AC-96D8-413C-A8B6-054C5A0357A0}"/>
    <cellStyle name="Note 3 4 2 7 4" xfId="34525" xr:uid="{4F2A4D65-827F-42EC-AC90-E967910B4B6B}"/>
    <cellStyle name="Note 3 4 2 8" xfId="15766" xr:uid="{F0A0853B-25CB-4F06-8EE3-9F2DA3C7A60A}"/>
    <cellStyle name="Note 3 4 2 8 2" xfId="15767" xr:uid="{A3A82864-6B3A-4B87-A749-335208A8492D}"/>
    <cellStyle name="Note 3 4 2 8 3" xfId="34526" xr:uid="{E02C2114-06D0-478F-B143-F1CA93014710}"/>
    <cellStyle name="Note 3 4 2 8 4" xfId="34527" xr:uid="{715E7358-0464-45D7-BF08-86C4F43A5C6E}"/>
    <cellStyle name="Note 3 4 2 9" xfId="15768" xr:uid="{3D049574-6141-460A-93B1-2EB7B7659F40}"/>
    <cellStyle name="Note 3 4 2 9 2" xfId="34528" xr:uid="{6800C1BB-DF2B-48CF-B92A-7B126201EBF4}"/>
    <cellStyle name="Note 3 4 3" xfId="15769" xr:uid="{3B8EF8F2-5EC1-40CE-87C2-392C89B7C323}"/>
    <cellStyle name="Note 3 4 3 2" xfId="15770" xr:uid="{7F0FF315-AC30-43FA-8AD0-E1E77ED403F5}"/>
    <cellStyle name="Note 3 4 3 2 2" xfId="15771" xr:uid="{54E3FB9C-21B9-4B8E-B55C-9AAFCBD853C1}"/>
    <cellStyle name="Note 3 4 3 3" xfId="15772" xr:uid="{059A8C73-E292-4A4E-A7EF-1BA22085C58D}"/>
    <cellStyle name="Note 3 4 3 4" xfId="34529" xr:uid="{9F7BFA6F-E578-4DDC-BA90-B5C1B968CCD4}"/>
    <cellStyle name="Note 3 4 4" xfId="15773" xr:uid="{436B19E2-D3FB-4268-971A-D79A0FB9A76E}"/>
    <cellStyle name="Note 3 4 4 2" xfId="15774" xr:uid="{6E265B1B-6152-4DB8-BBF6-80E88FC6D7AD}"/>
    <cellStyle name="Note 3 4 4 3" xfId="34530" xr:uid="{4411D2B7-0C27-4795-80F3-2B6D91390E60}"/>
    <cellStyle name="Note 3 4 4 4" xfId="34531" xr:uid="{D0A81E0A-2AFD-411F-B1A3-F00F2FD03E86}"/>
    <cellStyle name="Note 3 4 5" xfId="15775" xr:uid="{148391C4-C45C-4B1A-9D63-81A4D409CE27}"/>
    <cellStyle name="Note 3 4 5 2" xfId="15776" xr:uid="{F44B2115-B9D7-48B3-9E1F-FA9DE9023543}"/>
    <cellStyle name="Note 3 4 5 3" xfId="34532" xr:uid="{9F7D67C2-DB7F-46FC-A9EF-7D900EB71CDB}"/>
    <cellStyle name="Note 3 4 5 4" xfId="34533" xr:uid="{C662C8A0-289C-4328-B178-23A846569F69}"/>
    <cellStyle name="Note 3 4 6" xfId="15777" xr:uid="{FC79E4E6-2255-4740-839C-99B0577764A3}"/>
    <cellStyle name="Note 3 4 6 2" xfId="15778" xr:uid="{B520229B-311F-45FD-B08D-55F1A10C5467}"/>
    <cellStyle name="Note 3 4 6 3" xfId="34534" xr:uid="{F3002DC3-447F-43D1-9AA7-3DCFC1CAB7B6}"/>
    <cellStyle name="Note 3 4 6 4" xfId="34535" xr:uid="{1081FE9C-FB7B-4FFD-A3B0-41A3E5713665}"/>
    <cellStyle name="Note 3 4 7" xfId="15779" xr:uid="{0E4F4559-0A65-40FD-BDBB-2BCF8393A171}"/>
    <cellStyle name="Note 3 4 7 2" xfId="15780" xr:uid="{178D0EE5-48BD-40E1-9BAE-E1EE425A2796}"/>
    <cellStyle name="Note 3 4 7 3" xfId="34536" xr:uid="{9DEF80B3-9115-4836-86D2-8C1BC45FA54F}"/>
    <cellStyle name="Note 3 4 7 4" xfId="34537" xr:uid="{3382AF63-564A-4CFF-B9E5-15A2633AA81F}"/>
    <cellStyle name="Note 3 4 8" xfId="15781" xr:uid="{32F4EB01-BA6D-491F-9BF5-F1F1520D2883}"/>
    <cellStyle name="Note 3 4 8 2" xfId="15782" xr:uid="{C2C81833-3233-4EFC-9C07-73F9233BF51B}"/>
    <cellStyle name="Note 3 4 8 3" xfId="34538" xr:uid="{8F5FCEAC-3403-4014-9643-97C48F6C5270}"/>
    <cellStyle name="Note 3 4 8 4" xfId="34539" xr:uid="{C609DDE5-A673-4C6E-B01E-900A312BE59C}"/>
    <cellStyle name="Note 3 4 9" xfId="15783" xr:uid="{924FB8DF-50F6-4C9A-9BB3-4B191D66FBF4}"/>
    <cellStyle name="Note 3 4 9 2" xfId="15784" xr:uid="{9B2B1E43-5A2D-4A75-BE2A-760E0F1ADA19}"/>
    <cellStyle name="Note 3 4 9 3" xfId="34540" xr:uid="{F57F0A84-685F-4DCE-A060-C5101A5BDEFB}"/>
    <cellStyle name="Note 3 4 9 4" xfId="34541" xr:uid="{FF78F8AD-887E-457B-AFAB-685D88D61E2C}"/>
    <cellStyle name="Note 3 5" xfId="15785" xr:uid="{BC2D6054-6A65-4972-AEC6-3058D5233C3E}"/>
    <cellStyle name="Note 3 5 10" xfId="15786" xr:uid="{8A6FC37F-2F09-4DEB-84F4-55621FF86718}"/>
    <cellStyle name="Note 3 5 10 2" xfId="34542" xr:uid="{EAC1B4D7-D71D-4653-AB7D-ED797DB40A07}"/>
    <cellStyle name="Note 3 5 11" xfId="15787" xr:uid="{F3282FDC-3DDB-4149-8506-21EDF4E1440C}"/>
    <cellStyle name="Note 3 5 11 2" xfId="34543" xr:uid="{27AB2BCF-8232-432F-ADD3-2CE8BE52A352}"/>
    <cellStyle name="Note 3 5 12" xfId="34544" xr:uid="{0FABCC51-E2E2-4337-9451-04F43D5D47D9}"/>
    <cellStyle name="Note 3 5 13" xfId="44636" xr:uid="{940BD952-8B3D-41D4-9008-5CF07DF2478A}"/>
    <cellStyle name="Note 3 5 14" xfId="45314" xr:uid="{60ED207F-3E2F-468F-BE9D-3B8D9E5B8F99}"/>
    <cellStyle name="Note 3 5 15" xfId="45547" xr:uid="{F1F67B6A-E750-46FA-80B2-088FE9F2E2E6}"/>
    <cellStyle name="Note 3 5 2" xfId="15788" xr:uid="{785D67AE-C8E7-4D9B-BB16-94D101FB8618}"/>
    <cellStyle name="Note 3 5 2 10" xfId="15789" xr:uid="{DB993CAE-2128-456B-B0CD-BB21D7DCAC58}"/>
    <cellStyle name="Note 3 5 2 10 2" xfId="34545" xr:uid="{70597746-8C21-444F-A61F-BC3C52D7C508}"/>
    <cellStyle name="Note 3 5 2 11" xfId="34546" xr:uid="{D7C6DD47-6BD8-4A2F-A0A3-A984F02F11EE}"/>
    <cellStyle name="Note 3 5 2 2" xfId="15790" xr:uid="{24F1305F-D354-4A8D-A4A6-9A96791A9744}"/>
    <cellStyle name="Note 3 5 2 2 2" xfId="15791" xr:uid="{A96199A3-4240-4767-BB4A-E55F11817656}"/>
    <cellStyle name="Note 3 5 2 2 2 2" xfId="15792" xr:uid="{46E86C6A-15CA-4AA8-8261-9D77A214A980}"/>
    <cellStyle name="Note 3 5 2 2 3" xfId="15793" xr:uid="{53C9B714-5E9F-4254-B856-3DCA31E5195F}"/>
    <cellStyle name="Note 3 5 2 2 4" xfId="34547" xr:uid="{146657C0-6222-4403-B88B-089FB37AC695}"/>
    <cellStyle name="Note 3 5 2 3" xfId="15794" xr:uid="{293B8145-53C2-475E-9B93-75201968DB51}"/>
    <cellStyle name="Note 3 5 2 3 2" xfId="15795" xr:uid="{12DD1F14-4512-4D8D-9FF5-7F21B44E7523}"/>
    <cellStyle name="Note 3 5 2 3 3" xfId="34548" xr:uid="{C86CB018-17D7-494C-AB45-78B296AF2A47}"/>
    <cellStyle name="Note 3 5 2 3 4" xfId="34549" xr:uid="{DD77FD8E-2921-4B6E-811C-47913720D2C5}"/>
    <cellStyle name="Note 3 5 2 4" xfId="15796" xr:uid="{6EE4D231-7521-4765-85D8-011B734F88CD}"/>
    <cellStyle name="Note 3 5 2 4 2" xfId="15797" xr:uid="{048CF8A3-CAE3-433C-9A59-94665EAF99B7}"/>
    <cellStyle name="Note 3 5 2 4 3" xfId="34550" xr:uid="{C8422E7B-99A5-4196-849D-04848419E25A}"/>
    <cellStyle name="Note 3 5 2 4 4" xfId="34551" xr:uid="{503D6F74-FF81-4BDE-A0EB-B50E596C9C85}"/>
    <cellStyle name="Note 3 5 2 5" xfId="15798" xr:uid="{4B2DC3F7-BB5B-4E82-9B1C-60C88EA8D61E}"/>
    <cellStyle name="Note 3 5 2 5 2" xfId="15799" xr:uid="{1E3A5959-9196-4434-8390-FAD5D08DA9EC}"/>
    <cellStyle name="Note 3 5 2 5 3" xfId="34552" xr:uid="{10A02172-B539-4AA3-BC99-1CC3CEED0B0F}"/>
    <cellStyle name="Note 3 5 2 5 4" xfId="34553" xr:uid="{9FAECB4F-70DF-4A07-B816-9CCB8C4DE5BD}"/>
    <cellStyle name="Note 3 5 2 6" xfId="15800" xr:uid="{DE94957F-9311-4C5E-A565-594DC9587C19}"/>
    <cellStyle name="Note 3 5 2 6 2" xfId="15801" xr:uid="{5B95599B-0B5F-4D44-8DDF-AC1B02CE361D}"/>
    <cellStyle name="Note 3 5 2 6 3" xfId="34554" xr:uid="{EFFE5903-DF75-4A65-BA79-6786C8F74D8C}"/>
    <cellStyle name="Note 3 5 2 6 4" xfId="34555" xr:uid="{70E4EBE3-EDB7-4352-9F9B-DB6606C8D010}"/>
    <cellStyle name="Note 3 5 2 7" xfId="15802" xr:uid="{E6AEF642-3B51-42C3-91F3-EF5C71C28398}"/>
    <cellStyle name="Note 3 5 2 7 2" xfId="15803" xr:uid="{264802F8-A6FA-47B9-AC1F-824113BA185E}"/>
    <cellStyle name="Note 3 5 2 7 3" xfId="34556" xr:uid="{D4FD0841-C96F-492C-8292-1980A7F529CA}"/>
    <cellStyle name="Note 3 5 2 7 4" xfId="34557" xr:uid="{27F11BBB-0B64-40A4-A0C9-F9D33C64C8CF}"/>
    <cellStyle name="Note 3 5 2 8" xfId="15804" xr:uid="{35C7677A-0F42-4E85-855B-4F813A22EED0}"/>
    <cellStyle name="Note 3 5 2 8 2" xfId="15805" xr:uid="{F33AC54A-712C-45C4-996E-17DF32508275}"/>
    <cellStyle name="Note 3 5 2 8 3" xfId="34558" xr:uid="{111A0FB3-77F0-4043-834C-4DF993636396}"/>
    <cellStyle name="Note 3 5 2 8 4" xfId="34559" xr:uid="{DB018C75-5EC7-47DB-BC6B-48AC4ED9FA6E}"/>
    <cellStyle name="Note 3 5 2 9" xfId="15806" xr:uid="{2B6DAE08-263E-4782-AC12-71AD3B46FAF7}"/>
    <cellStyle name="Note 3 5 2 9 2" xfId="34560" xr:uid="{2F61CDCB-8585-43C3-8263-EF862D2F2FEC}"/>
    <cellStyle name="Note 3 5 3" xfId="15807" xr:uid="{EC653D8B-DC15-420E-BDCF-CC00CB5BB5D4}"/>
    <cellStyle name="Note 3 5 3 2" xfId="15808" xr:uid="{BB959D92-9D68-4466-B40B-A0272D629777}"/>
    <cellStyle name="Note 3 5 3 2 2" xfId="15809" xr:uid="{A5CCFA44-C2B7-4BD7-9FAA-16277181CCBD}"/>
    <cellStyle name="Note 3 5 3 3" xfId="15810" xr:uid="{8D433AAF-171A-4067-92E7-87ABE4DDC68A}"/>
    <cellStyle name="Note 3 5 3 4" xfId="34561" xr:uid="{6B97565C-9C16-45F1-BBA0-75A30F2DE10B}"/>
    <cellStyle name="Note 3 5 4" xfId="15811" xr:uid="{77958B64-F0B2-4EE1-B9FC-6665216FE6D9}"/>
    <cellStyle name="Note 3 5 4 2" xfId="15812" xr:uid="{9091D19C-BC7C-4D65-934B-1F40C0FD6F9E}"/>
    <cellStyle name="Note 3 5 4 3" xfId="34562" xr:uid="{3ED07090-21C1-4B4E-B186-513156B3AE13}"/>
    <cellStyle name="Note 3 5 4 4" xfId="34563" xr:uid="{48FE514B-F438-4ECE-BD3A-7B41E1800383}"/>
    <cellStyle name="Note 3 5 5" xfId="15813" xr:uid="{01D2F757-2189-4A87-BE1C-8B8E8731DBD1}"/>
    <cellStyle name="Note 3 5 5 2" xfId="15814" xr:uid="{04D14187-CAA4-4D5D-A1E8-8C5EB63767C3}"/>
    <cellStyle name="Note 3 5 5 3" xfId="34564" xr:uid="{C1B1BA98-3847-4C92-845E-CB03DB2CA7F3}"/>
    <cellStyle name="Note 3 5 5 4" xfId="34565" xr:uid="{D7286CE8-E333-48FE-A323-34363702B70E}"/>
    <cellStyle name="Note 3 5 6" xfId="15815" xr:uid="{08EA1971-0177-4B8D-9712-FDEB9F3F31C8}"/>
    <cellStyle name="Note 3 5 6 2" xfId="15816" xr:uid="{E91BAB65-DC41-4821-B8B6-1A4423EBB19F}"/>
    <cellStyle name="Note 3 5 6 3" xfId="34566" xr:uid="{331A8E2E-87EF-4322-B114-C85A2B35A8ED}"/>
    <cellStyle name="Note 3 5 6 4" xfId="34567" xr:uid="{1093E756-753C-4149-A10B-9E84A4025BFF}"/>
    <cellStyle name="Note 3 5 7" xfId="15817" xr:uid="{C2421F63-BAA2-4375-8DDF-F9A9C3D26B0D}"/>
    <cellStyle name="Note 3 5 7 2" xfId="15818" xr:uid="{C18AAF5E-9D1C-4845-9F7F-C3461345D2B0}"/>
    <cellStyle name="Note 3 5 7 3" xfId="34568" xr:uid="{0694EF53-49E6-4D51-8133-B5F1AE9E14F7}"/>
    <cellStyle name="Note 3 5 7 4" xfId="34569" xr:uid="{419B00D1-3041-48F0-A3EF-10E121F44A16}"/>
    <cellStyle name="Note 3 5 8" xfId="15819" xr:uid="{7F3E1828-328E-4462-A622-E282264188CA}"/>
    <cellStyle name="Note 3 5 8 2" xfId="15820" xr:uid="{09519A79-BBB3-429D-9F9A-8C375B4400AB}"/>
    <cellStyle name="Note 3 5 8 3" xfId="34570" xr:uid="{671ED1B3-E120-41CE-A306-C5274F0BCF57}"/>
    <cellStyle name="Note 3 5 8 4" xfId="34571" xr:uid="{B7FFD9AE-5214-445B-AC1F-F736435884AB}"/>
    <cellStyle name="Note 3 5 9" xfId="15821" xr:uid="{642E498D-A782-4CDF-9CEC-9A0C2CC9F25F}"/>
    <cellStyle name="Note 3 5 9 2" xfId="15822" xr:uid="{670CDFC8-BC17-44CF-AE2F-5B1A0783F7FF}"/>
    <cellStyle name="Note 3 5 9 3" xfId="34572" xr:uid="{8E2EF7AA-B7BA-4E11-91F9-3BC0C66D2335}"/>
    <cellStyle name="Note 3 5 9 4" xfId="34573" xr:uid="{359B86EC-CEB5-4D8D-91D4-885568673A1D}"/>
    <cellStyle name="Note 3 6" xfId="15823" xr:uid="{FE9D439D-E60C-47B0-A1F3-BC2F4D5F0B8D}"/>
    <cellStyle name="Note 3 6 10" xfId="15824" xr:uid="{153890EE-27D8-41EC-9B17-809ACA2F18CB}"/>
    <cellStyle name="Note 3 6 10 2" xfId="34574" xr:uid="{2F09A168-6700-4444-A219-351BF339A466}"/>
    <cellStyle name="Note 3 6 11" xfId="15825" xr:uid="{F2F57FDF-0F00-457C-A08B-08CAD186AEEE}"/>
    <cellStyle name="Note 3 6 11 2" xfId="34575" xr:uid="{47411695-C553-4AE1-A71A-4EA88AB31112}"/>
    <cellStyle name="Note 3 6 12" xfId="34576" xr:uid="{18FB7524-F803-4763-AEF7-6EEBF945BF7F}"/>
    <cellStyle name="Note 3 6 13" xfId="42989" xr:uid="{6CCCB0FE-3631-4F11-99E4-4C1B3D4B1ED4}"/>
    <cellStyle name="Note 3 6 2" xfId="15826" xr:uid="{834BF3D5-6565-48EC-A684-1CD2D6F6584F}"/>
    <cellStyle name="Note 3 6 2 10" xfId="15827" xr:uid="{F7B01AF7-762F-4BD2-B412-E465CA754392}"/>
    <cellStyle name="Note 3 6 2 10 2" xfId="34577" xr:uid="{1AE07490-5472-4733-8E69-EADC307AD778}"/>
    <cellStyle name="Note 3 6 2 11" xfId="34578" xr:uid="{DC8EA75D-63F9-40A3-AB66-63C57A7D62BF}"/>
    <cellStyle name="Note 3 6 2 2" xfId="15828" xr:uid="{E52BFDEE-3976-4090-9742-F453A72F7297}"/>
    <cellStyle name="Note 3 6 2 2 2" xfId="15829" xr:uid="{627ECF6E-C50F-4B21-A454-073857B2CED1}"/>
    <cellStyle name="Note 3 6 2 2 2 2" xfId="15830" xr:uid="{22177F78-8E62-48C9-B74B-8AF1CD7004BB}"/>
    <cellStyle name="Note 3 6 2 2 3" xfId="15831" xr:uid="{CC7CA5EE-7540-4FDF-9862-EC480820C028}"/>
    <cellStyle name="Note 3 6 2 2 4" xfId="34579" xr:uid="{025213EA-273D-4AEC-9E4E-2DDF024E6FBF}"/>
    <cellStyle name="Note 3 6 2 3" xfId="15832" xr:uid="{466CA82F-B74B-46C1-AF26-4E5E333FB91C}"/>
    <cellStyle name="Note 3 6 2 3 2" xfId="15833" xr:uid="{2E7E0DDD-B287-4F2B-880D-962AB9D9AE46}"/>
    <cellStyle name="Note 3 6 2 3 3" xfId="34580" xr:uid="{0958295B-FD62-4288-BD75-5156C688D949}"/>
    <cellStyle name="Note 3 6 2 3 4" xfId="34581" xr:uid="{CC660C4E-30A5-4706-B401-07EF2240FF67}"/>
    <cellStyle name="Note 3 6 2 4" xfId="15834" xr:uid="{476463CA-270A-4C3C-A7FC-E485D07DFDC4}"/>
    <cellStyle name="Note 3 6 2 4 2" xfId="15835" xr:uid="{85939E55-0D3B-478D-AA4E-9F65AE5E85BA}"/>
    <cellStyle name="Note 3 6 2 4 3" xfId="34582" xr:uid="{ADBB4A98-A30F-480F-928E-29F4B6AA2594}"/>
    <cellStyle name="Note 3 6 2 4 4" xfId="34583" xr:uid="{ABCD07D3-62D3-46CE-9C4F-3915B67C84C8}"/>
    <cellStyle name="Note 3 6 2 5" xfId="15836" xr:uid="{5F9EBCD9-4040-4489-9566-8649E9040F62}"/>
    <cellStyle name="Note 3 6 2 5 2" xfId="15837" xr:uid="{3FBF4450-F5CA-4257-9B32-A39E8D32D22F}"/>
    <cellStyle name="Note 3 6 2 5 3" xfId="34584" xr:uid="{A2658679-FAD7-4F08-ABF9-615BFFD631D6}"/>
    <cellStyle name="Note 3 6 2 5 4" xfId="34585" xr:uid="{C7F1AA66-3802-471F-BA45-37C9C2395D68}"/>
    <cellStyle name="Note 3 6 2 6" xfId="15838" xr:uid="{F87BFAEF-38B5-4FE9-8D7F-5175C33F9B90}"/>
    <cellStyle name="Note 3 6 2 6 2" xfId="15839" xr:uid="{DA0AA862-9A5B-4705-8D85-C2B336FC40B4}"/>
    <cellStyle name="Note 3 6 2 6 3" xfId="34586" xr:uid="{211ABEC6-1D6B-435F-B901-CC21A8EA0AED}"/>
    <cellStyle name="Note 3 6 2 6 4" xfId="34587" xr:uid="{8C987010-B122-4ABE-B6E7-78511A170D7B}"/>
    <cellStyle name="Note 3 6 2 7" xfId="15840" xr:uid="{4C6E44E9-C6A7-40AF-9BE2-DDF79C0F1132}"/>
    <cellStyle name="Note 3 6 2 7 2" xfId="15841" xr:uid="{70469B0D-CC3B-4508-93DA-4302E03A9649}"/>
    <cellStyle name="Note 3 6 2 7 3" xfId="34588" xr:uid="{243C1080-EAE5-4D8A-90EC-D47BCDC2E0AB}"/>
    <cellStyle name="Note 3 6 2 7 4" xfId="34589" xr:uid="{3428531E-C9D2-4F93-9E83-37A7AB625192}"/>
    <cellStyle name="Note 3 6 2 8" xfId="15842" xr:uid="{07B5C27C-9E74-4591-9F23-734F66BBE03C}"/>
    <cellStyle name="Note 3 6 2 8 2" xfId="15843" xr:uid="{AFC58057-4A78-4181-91B5-694B3FABF29E}"/>
    <cellStyle name="Note 3 6 2 8 3" xfId="34590" xr:uid="{25B75CE3-628C-4D98-B44C-CF38687EF2BF}"/>
    <cellStyle name="Note 3 6 2 8 4" xfId="34591" xr:uid="{5997C7C7-BE7A-423F-922E-9FAEBFCFD929}"/>
    <cellStyle name="Note 3 6 2 9" xfId="15844" xr:uid="{7F9635BD-A3DE-40CB-8211-F1CBCBA9F7C9}"/>
    <cellStyle name="Note 3 6 2 9 2" xfId="34592" xr:uid="{BA7C020B-09E0-43C9-84AC-39F0BABE9F14}"/>
    <cellStyle name="Note 3 6 3" xfId="15845" xr:uid="{9A7B73B1-50D0-4C19-A208-022372DDB93C}"/>
    <cellStyle name="Note 3 6 3 2" xfId="15846" xr:uid="{F4F63C6E-3E81-418E-8824-1DCF74E4F9B4}"/>
    <cellStyle name="Note 3 6 3 2 2" xfId="15847" xr:uid="{3EF96862-CD0B-4494-BC1F-F4C86AA04C0D}"/>
    <cellStyle name="Note 3 6 3 3" xfId="15848" xr:uid="{9C2BB0EA-885D-4354-8DF7-FF92508AAAF0}"/>
    <cellStyle name="Note 3 6 3 4" xfId="34593" xr:uid="{A6A48DEE-B325-4C25-956D-C98FB03909DB}"/>
    <cellStyle name="Note 3 6 4" xfId="15849" xr:uid="{CEC5681B-39C5-4595-B147-7610964B8435}"/>
    <cellStyle name="Note 3 6 4 2" xfId="15850" xr:uid="{02FB8B82-F219-4812-9F0B-502F9CD3F98A}"/>
    <cellStyle name="Note 3 6 4 3" xfId="34594" xr:uid="{52900166-7D97-4DEB-BF4C-27C50F92D162}"/>
    <cellStyle name="Note 3 6 4 4" xfId="34595" xr:uid="{75A247FC-4279-4FE7-A3AE-2A7B5554E957}"/>
    <cellStyle name="Note 3 6 5" xfId="15851" xr:uid="{31455943-FF09-4085-986F-22B3FAD2A1AB}"/>
    <cellStyle name="Note 3 6 5 2" xfId="15852" xr:uid="{D0A999FC-DE0A-4A3D-854F-27DBB38F2064}"/>
    <cellStyle name="Note 3 6 5 3" xfId="34596" xr:uid="{8A8EEE6B-4DC9-400B-8630-91C01D6E790D}"/>
    <cellStyle name="Note 3 6 5 4" xfId="34597" xr:uid="{CF5FFA2E-EBCD-42C2-A844-50F7BD8806C1}"/>
    <cellStyle name="Note 3 6 6" xfId="15853" xr:uid="{79AD4725-A126-46BD-B03E-3E236880B012}"/>
    <cellStyle name="Note 3 6 6 2" xfId="15854" xr:uid="{60548A8A-89C7-442F-85D1-49E81DA284BF}"/>
    <cellStyle name="Note 3 6 6 3" xfId="34598" xr:uid="{472E6A9F-D559-425B-B67B-85B6B2EF41D9}"/>
    <cellStyle name="Note 3 6 6 4" xfId="34599" xr:uid="{D2AC72D6-2C73-4EE9-8396-47ECF609A6BD}"/>
    <cellStyle name="Note 3 6 7" xfId="15855" xr:uid="{F90C4512-12F2-43C0-9EAE-C1E654C6B0F9}"/>
    <cellStyle name="Note 3 6 7 2" xfId="15856" xr:uid="{0A236631-513F-4519-92C5-6CA79EAEE65B}"/>
    <cellStyle name="Note 3 6 7 3" xfId="34600" xr:uid="{8039136B-7CE1-4B41-806B-9800F6059FD5}"/>
    <cellStyle name="Note 3 6 7 4" xfId="34601" xr:uid="{EE008044-C3B4-4146-9B8A-3BC5868B4E14}"/>
    <cellStyle name="Note 3 6 8" xfId="15857" xr:uid="{37BC9654-5D9C-43FD-B5DE-9090A228DA70}"/>
    <cellStyle name="Note 3 6 8 2" xfId="15858" xr:uid="{E38638E8-1B34-4C34-8322-E057098AEECF}"/>
    <cellStyle name="Note 3 6 8 3" xfId="34602" xr:uid="{41E6B00D-3B34-4B2B-ABA1-FA3902F004E9}"/>
    <cellStyle name="Note 3 6 8 4" xfId="34603" xr:uid="{61587F4D-1D6B-484C-AD25-57DD26A71BFE}"/>
    <cellStyle name="Note 3 6 9" xfId="15859" xr:uid="{20B2040E-F0A6-4C3F-9C5D-38342DDB2B5E}"/>
    <cellStyle name="Note 3 6 9 2" xfId="15860" xr:uid="{49F39795-F42D-4ABB-9485-B301BD903C20}"/>
    <cellStyle name="Note 3 6 9 3" xfId="34604" xr:uid="{BD6F51AE-C9ED-4FB2-A36B-1511B360AEF7}"/>
    <cellStyle name="Note 3 6 9 4" xfId="34605" xr:uid="{C3FCD0A9-25FD-41DF-9E59-2C14EA57E568}"/>
    <cellStyle name="Note 3 7" xfId="15861" xr:uid="{318E33DA-8E4D-4CD6-80D0-E2542A2808FC}"/>
    <cellStyle name="Note 3 7 10" xfId="15862" xr:uid="{78DAF110-E3BD-497E-A2B4-AF428723B690}"/>
    <cellStyle name="Note 3 7 10 2" xfId="34606" xr:uid="{99C2E194-6E15-4706-B11D-8E8912E040E1}"/>
    <cellStyle name="Note 3 7 11" xfId="15863" xr:uid="{ED896C6D-7BC1-47CC-880B-E24AAF7A9CE7}"/>
    <cellStyle name="Note 3 7 11 2" xfId="34607" xr:uid="{E89A436B-1715-495A-AF85-4E91C19E95AC}"/>
    <cellStyle name="Note 3 7 12" xfId="34608" xr:uid="{52783FA0-D7C2-4F85-A7DA-92D08E861EA2}"/>
    <cellStyle name="Note 3 7 13" xfId="42990" xr:uid="{2270C103-E49F-4C58-B2B8-90DF68D56795}"/>
    <cellStyle name="Note 3 7 2" xfId="15864" xr:uid="{75A6493B-215E-42F9-94D2-FC0EE0B4AA5E}"/>
    <cellStyle name="Note 3 7 2 10" xfId="15865" xr:uid="{015041C9-24B2-4125-84C8-F22264A985B1}"/>
    <cellStyle name="Note 3 7 2 10 2" xfId="34609" xr:uid="{66893FAD-9F69-4D12-B578-FAF9BC6F950C}"/>
    <cellStyle name="Note 3 7 2 11" xfId="34610" xr:uid="{84F13C6C-0FE0-407E-9D11-A3FFDAAE5085}"/>
    <cellStyle name="Note 3 7 2 2" xfId="15866" xr:uid="{9DB56558-FC3D-4F5E-A5BB-F3E479F51C39}"/>
    <cellStyle name="Note 3 7 2 2 2" xfId="15867" xr:uid="{CAAF55CA-E446-462E-9747-90957247A9FB}"/>
    <cellStyle name="Note 3 7 2 2 2 2" xfId="15868" xr:uid="{38CA9749-97DA-4B85-896D-A3EDE06007FA}"/>
    <cellStyle name="Note 3 7 2 2 3" xfId="15869" xr:uid="{FB3C3A3C-2534-4D2D-B11C-002F5E0D68A0}"/>
    <cellStyle name="Note 3 7 2 2 4" xfId="34611" xr:uid="{316D000E-EF8B-43D3-BC0F-C327ABD6C26E}"/>
    <cellStyle name="Note 3 7 2 3" xfId="15870" xr:uid="{09419A2A-500D-49D9-AD80-C2E377526E61}"/>
    <cellStyle name="Note 3 7 2 3 2" xfId="15871" xr:uid="{F2CA408D-C426-4633-9617-35D42A1F9910}"/>
    <cellStyle name="Note 3 7 2 3 3" xfId="34612" xr:uid="{E6DDCDCE-F6B3-4C51-8044-C27ED0BD3350}"/>
    <cellStyle name="Note 3 7 2 3 4" xfId="34613" xr:uid="{09D5E3F9-B3A5-4936-A70D-F6B3F5FE67A3}"/>
    <cellStyle name="Note 3 7 2 4" xfId="15872" xr:uid="{CFF93AA6-9837-4996-A2C0-0A5A1BFE7051}"/>
    <cellStyle name="Note 3 7 2 4 2" xfId="15873" xr:uid="{69F191B7-3A7A-4015-84CF-747229F3BBFF}"/>
    <cellStyle name="Note 3 7 2 4 3" xfId="34614" xr:uid="{A9E0CCE7-3141-4824-A54B-6253FA9BCA89}"/>
    <cellStyle name="Note 3 7 2 4 4" xfId="34615" xr:uid="{458ED4F3-6A41-4357-9776-5799BE132F33}"/>
    <cellStyle name="Note 3 7 2 5" xfId="15874" xr:uid="{32918FC0-3FF5-4727-ADE2-EBBD7E44B16E}"/>
    <cellStyle name="Note 3 7 2 5 2" xfId="15875" xr:uid="{43FBD6C7-3E43-479C-8946-2A8228711D77}"/>
    <cellStyle name="Note 3 7 2 5 3" xfId="34616" xr:uid="{13A8DD0E-023A-4B82-9C27-E118C5A6D423}"/>
    <cellStyle name="Note 3 7 2 5 4" xfId="34617" xr:uid="{81D16DE8-5C20-43D5-B8CE-7142F506C002}"/>
    <cellStyle name="Note 3 7 2 6" xfId="15876" xr:uid="{2F244467-ADD1-4AEF-AE77-58FACF5F9011}"/>
    <cellStyle name="Note 3 7 2 6 2" xfId="15877" xr:uid="{81F7FEEE-AA77-4892-8A28-2315203F7A6D}"/>
    <cellStyle name="Note 3 7 2 6 3" xfId="34618" xr:uid="{1B837F4A-9C6E-4177-8902-DAF7BD470E52}"/>
    <cellStyle name="Note 3 7 2 6 4" xfId="34619" xr:uid="{7665D001-1DF0-409D-B79F-ABAF52D56760}"/>
    <cellStyle name="Note 3 7 2 7" xfId="15878" xr:uid="{309D41FD-D13D-408B-BF75-44A9AC015D60}"/>
    <cellStyle name="Note 3 7 2 7 2" xfId="15879" xr:uid="{655414F3-7275-4E63-BA77-C5F3371CD3E7}"/>
    <cellStyle name="Note 3 7 2 7 3" xfId="34620" xr:uid="{87A342CE-CBEC-4EDC-98E9-F4E03AEF4B5D}"/>
    <cellStyle name="Note 3 7 2 7 4" xfId="34621" xr:uid="{EAD956FE-895E-4C68-B4F7-D261E7D1D02D}"/>
    <cellStyle name="Note 3 7 2 8" xfId="15880" xr:uid="{375D9990-1A36-4C82-8DD3-C9DE7B9495A4}"/>
    <cellStyle name="Note 3 7 2 8 2" xfId="15881" xr:uid="{64351415-C8C3-4F63-94E1-005FCF9ED6C6}"/>
    <cellStyle name="Note 3 7 2 8 3" xfId="34622" xr:uid="{108F10A4-81C9-41BF-B7C4-2C39970E161E}"/>
    <cellStyle name="Note 3 7 2 8 4" xfId="34623" xr:uid="{221D9F24-3862-4729-AD56-0C55B1FEF681}"/>
    <cellStyle name="Note 3 7 2 9" xfId="15882" xr:uid="{73B26143-AE1F-425C-8AA7-1D683E85CB34}"/>
    <cellStyle name="Note 3 7 2 9 2" xfId="34624" xr:uid="{7944BF2A-886A-4382-997D-BEBEC13991D4}"/>
    <cellStyle name="Note 3 7 3" xfId="15883" xr:uid="{DE8E7B95-14B8-4940-9EAF-D44FF134E43B}"/>
    <cellStyle name="Note 3 7 3 2" xfId="15884" xr:uid="{19353F9E-4A2F-4E9E-8415-5C3410179DF1}"/>
    <cellStyle name="Note 3 7 3 2 2" xfId="15885" xr:uid="{4DB29458-F252-4548-88A8-8859F37F8193}"/>
    <cellStyle name="Note 3 7 3 3" xfId="15886" xr:uid="{A31C0CC3-BABC-40FD-B5A9-37283B2E89D1}"/>
    <cellStyle name="Note 3 7 3 4" xfId="34625" xr:uid="{6FEBF2A9-20E0-4A13-8155-25E3E5032C1E}"/>
    <cellStyle name="Note 3 7 4" xfId="15887" xr:uid="{BE9152F6-D535-433A-A974-46C551585D5D}"/>
    <cellStyle name="Note 3 7 4 2" xfId="15888" xr:uid="{B0E0F7B3-17D2-4499-96AE-B74D2C324426}"/>
    <cellStyle name="Note 3 7 4 3" xfId="34626" xr:uid="{B46B4C2F-9318-433C-AF07-7F1FAEA5CB59}"/>
    <cellStyle name="Note 3 7 4 4" xfId="34627" xr:uid="{8E782CC4-4C0B-4EA3-B37A-4E079AFEB89B}"/>
    <cellStyle name="Note 3 7 5" xfId="15889" xr:uid="{66AF9CA9-27BE-4095-9CBA-E3C88B7F530D}"/>
    <cellStyle name="Note 3 7 5 2" xfId="15890" xr:uid="{84737FFE-9A89-4F76-BC76-5F35D2B34861}"/>
    <cellStyle name="Note 3 7 5 3" xfId="34628" xr:uid="{60516B36-21F0-4E16-9715-0BB9AFA8401C}"/>
    <cellStyle name="Note 3 7 5 4" xfId="34629" xr:uid="{A035B313-94F1-445D-8486-0B9D3B9CD806}"/>
    <cellStyle name="Note 3 7 6" xfId="15891" xr:uid="{CA4E9160-25ED-447F-8D74-5697FAC2AEC1}"/>
    <cellStyle name="Note 3 7 6 2" xfId="15892" xr:uid="{7C81C57E-122A-40C6-9EC2-DFAA623BA04F}"/>
    <cellStyle name="Note 3 7 6 3" xfId="34630" xr:uid="{EE1E951C-9B6A-4BEB-A878-0864A51A248A}"/>
    <cellStyle name="Note 3 7 6 4" xfId="34631" xr:uid="{6BE220E3-4317-4B59-97E6-B89B7E1529CF}"/>
    <cellStyle name="Note 3 7 7" xfId="15893" xr:uid="{74339864-85C8-4DAC-BD6E-477F506A137E}"/>
    <cellStyle name="Note 3 7 7 2" xfId="15894" xr:uid="{84508D3F-639A-4EDF-AEB3-D7CD0BA6946C}"/>
    <cellStyle name="Note 3 7 7 3" xfId="34632" xr:uid="{03772F04-7DD9-4D8D-AD2F-B27260DA4FFB}"/>
    <cellStyle name="Note 3 7 7 4" xfId="34633" xr:uid="{D56805F7-0B10-48A3-9240-BDCF1DE95F2D}"/>
    <cellStyle name="Note 3 7 8" xfId="15895" xr:uid="{055A3FC5-7321-456E-B4BE-7EF813B03A47}"/>
    <cellStyle name="Note 3 7 8 2" xfId="15896" xr:uid="{D559ADA0-1197-4329-9225-8D3C81048AC6}"/>
    <cellStyle name="Note 3 7 8 3" xfId="34634" xr:uid="{DF302289-03E0-4BE4-832F-AD2F80F4DCFC}"/>
    <cellStyle name="Note 3 7 8 4" xfId="34635" xr:uid="{249FD0A7-4858-4C8E-9F62-46E4370F5BF2}"/>
    <cellStyle name="Note 3 7 9" xfId="15897" xr:uid="{6D99F624-3AC5-41F7-B80A-4C8DEE7F9502}"/>
    <cellStyle name="Note 3 7 9 2" xfId="15898" xr:uid="{5C119AD9-6BFC-48E0-8FEF-D2C9A545EC1B}"/>
    <cellStyle name="Note 3 7 9 3" xfId="34636" xr:uid="{047A477F-0B37-4207-84E2-D90EE9664EC0}"/>
    <cellStyle name="Note 3 7 9 4" xfId="34637" xr:uid="{91B1166F-E7ED-433F-826F-E873E2800822}"/>
    <cellStyle name="Note 3 8" xfId="15899" xr:uid="{17539105-0CFF-48DB-9A73-571ECF1A27D5}"/>
    <cellStyle name="Note 3 8 10" xfId="15900" xr:uid="{B8A0A798-F535-4525-8D31-A422EE366972}"/>
    <cellStyle name="Note 3 8 10 2" xfId="34638" xr:uid="{442C849F-64C8-420A-B6A1-27731D700C7C}"/>
    <cellStyle name="Note 3 8 11" xfId="15901" xr:uid="{2363F777-1427-4C32-8497-B1FA775BB011}"/>
    <cellStyle name="Note 3 8 11 2" xfId="34639" xr:uid="{090C2571-E4F8-4E5F-AC87-DEFBEFF67EA5}"/>
    <cellStyle name="Note 3 8 12" xfId="34640" xr:uid="{8D7B1E95-EDDD-47AA-B6B9-4903BB29FFE5}"/>
    <cellStyle name="Note 3 8 2" xfId="15902" xr:uid="{C7E2A956-080D-4285-83ED-B25AFF8E7941}"/>
    <cellStyle name="Note 3 8 2 10" xfId="15903" xr:uid="{7B351030-9853-4785-9D76-36C602B1D2AE}"/>
    <cellStyle name="Note 3 8 2 10 2" xfId="34641" xr:uid="{A0DBD3AC-76F9-4628-B229-5087B4F2AADC}"/>
    <cellStyle name="Note 3 8 2 11" xfId="34642" xr:uid="{BB0EE919-E776-403B-A788-D464D1490798}"/>
    <cellStyle name="Note 3 8 2 2" xfId="15904" xr:uid="{B8A24DB7-FCCE-4B98-8FC6-DD8E3DF262FD}"/>
    <cellStyle name="Note 3 8 2 2 2" xfId="15905" xr:uid="{EED4CA47-4B17-4311-ABA3-826DBE3D6566}"/>
    <cellStyle name="Note 3 8 2 2 2 2" xfId="15906" xr:uid="{0200E745-EF6C-448D-B7B0-880D2A9FA52A}"/>
    <cellStyle name="Note 3 8 2 2 3" xfId="15907" xr:uid="{CBE75736-23B3-4522-8185-8A024E7EF7D8}"/>
    <cellStyle name="Note 3 8 2 2 4" xfId="34643" xr:uid="{5E6AD62B-E1CB-4BD3-9B88-927E2EEE9FAE}"/>
    <cellStyle name="Note 3 8 2 3" xfId="15908" xr:uid="{C535E39E-2846-4ABB-8CAD-2C860281BB2D}"/>
    <cellStyle name="Note 3 8 2 3 2" xfId="15909" xr:uid="{F9655A1F-032C-4DDF-8E88-28441C01A329}"/>
    <cellStyle name="Note 3 8 2 3 3" xfId="34644" xr:uid="{558D7A0A-0292-431C-BC92-B69DAFC94A57}"/>
    <cellStyle name="Note 3 8 2 3 4" xfId="34645" xr:uid="{FAADFE89-AD4A-4863-9D65-9B6D7587ABD5}"/>
    <cellStyle name="Note 3 8 2 4" xfId="15910" xr:uid="{9EF25643-1BD8-4458-8062-6E21447EB649}"/>
    <cellStyle name="Note 3 8 2 4 2" xfId="15911" xr:uid="{D4E61415-2632-4116-9A50-364C178CC6E7}"/>
    <cellStyle name="Note 3 8 2 4 3" xfId="34646" xr:uid="{22599E3C-1786-4064-885D-D483D3E40D10}"/>
    <cellStyle name="Note 3 8 2 4 4" xfId="34647" xr:uid="{7298F975-B231-4D83-88BC-EF273071550B}"/>
    <cellStyle name="Note 3 8 2 5" xfId="15912" xr:uid="{C03DE068-86C8-41DB-8A58-13699902DB01}"/>
    <cellStyle name="Note 3 8 2 5 2" xfId="15913" xr:uid="{034019FD-D11E-4DCE-9305-707BBD042260}"/>
    <cellStyle name="Note 3 8 2 5 3" xfId="34648" xr:uid="{24C14921-0D37-4407-827B-04C093B460A3}"/>
    <cellStyle name="Note 3 8 2 5 4" xfId="34649" xr:uid="{7D8776F7-5377-4B52-9303-6B25A5FE8BF9}"/>
    <cellStyle name="Note 3 8 2 6" xfId="15914" xr:uid="{8F2CE00B-CFD2-43FF-A376-4CE7F2B47878}"/>
    <cellStyle name="Note 3 8 2 6 2" xfId="15915" xr:uid="{3AC7D78A-7197-4046-B155-25C8FF15CEC9}"/>
    <cellStyle name="Note 3 8 2 6 3" xfId="34650" xr:uid="{CC5E352B-F7D3-426D-BDB4-4C8EDB81DA28}"/>
    <cellStyle name="Note 3 8 2 6 4" xfId="34651" xr:uid="{7FBD5BD6-9844-48C4-BD63-FB16E06401D1}"/>
    <cellStyle name="Note 3 8 2 7" xfId="15916" xr:uid="{E1A47CF9-C79E-4C7D-B92C-A20FD04E1C55}"/>
    <cellStyle name="Note 3 8 2 7 2" xfId="15917" xr:uid="{8C770AC3-9738-4464-B1B6-09D60D3E3DA4}"/>
    <cellStyle name="Note 3 8 2 7 3" xfId="34652" xr:uid="{2ABA05F4-B8C5-49A6-A49A-580B2DF7E756}"/>
    <cellStyle name="Note 3 8 2 7 4" xfId="34653" xr:uid="{6A4350DB-2836-4430-B456-9A2903155F86}"/>
    <cellStyle name="Note 3 8 2 8" xfId="15918" xr:uid="{AA57CD55-CCE3-4607-9D4C-C193BF17ADA7}"/>
    <cellStyle name="Note 3 8 2 8 2" xfId="15919" xr:uid="{AB862E49-AD78-439D-936A-FD2A644A301F}"/>
    <cellStyle name="Note 3 8 2 8 3" xfId="34654" xr:uid="{2AA44B3A-2EC6-4368-BA9C-A1E623BA7923}"/>
    <cellStyle name="Note 3 8 2 8 4" xfId="34655" xr:uid="{5B97C7B1-6565-4676-BE1C-795EC17668D9}"/>
    <cellStyle name="Note 3 8 2 9" xfId="15920" xr:uid="{8644ABF7-BBD9-4116-B918-63171CBD4E96}"/>
    <cellStyle name="Note 3 8 2 9 2" xfId="34656" xr:uid="{5D0B8AB1-483D-4CCC-8C5E-38B64EB5F89E}"/>
    <cellStyle name="Note 3 8 3" xfId="15921" xr:uid="{17BD6412-73A1-44F8-B5C9-DEB3C07E7B9C}"/>
    <cellStyle name="Note 3 8 3 2" xfId="15922" xr:uid="{30534544-55CC-4C6B-9BA3-CBB175CBC699}"/>
    <cellStyle name="Note 3 8 3 2 2" xfId="15923" xr:uid="{DCCDEF2E-A47F-4F1A-85BD-B081D4CE4CE7}"/>
    <cellStyle name="Note 3 8 3 3" xfId="15924" xr:uid="{74A8F9A2-2C9E-47E4-B545-C2C9CD78F502}"/>
    <cellStyle name="Note 3 8 3 4" xfId="34657" xr:uid="{3E99A68B-21C3-4174-AF7B-54CF1013F2D1}"/>
    <cellStyle name="Note 3 8 4" xfId="15925" xr:uid="{842A9EB9-C6A2-486A-AE6A-CD97C07ACEFE}"/>
    <cellStyle name="Note 3 8 4 2" xfId="15926" xr:uid="{E062793F-9B9A-4A97-9FA7-249167F40DA8}"/>
    <cellStyle name="Note 3 8 4 3" xfId="34658" xr:uid="{4CD13C48-A2E2-41A7-8DE0-4CD7234F89AD}"/>
    <cellStyle name="Note 3 8 4 4" xfId="34659" xr:uid="{03C683B3-3F48-4BFE-8F85-4D85D51AC137}"/>
    <cellStyle name="Note 3 8 5" xfId="15927" xr:uid="{11308B89-55E4-4210-B255-B57F0CC75B1B}"/>
    <cellStyle name="Note 3 8 5 2" xfId="15928" xr:uid="{4809A3FD-A7BE-4D20-8853-36F67C3CA265}"/>
    <cellStyle name="Note 3 8 5 3" xfId="34660" xr:uid="{4EA1BD73-6124-4E7E-96E6-AEC5D6E29EBB}"/>
    <cellStyle name="Note 3 8 5 4" xfId="34661" xr:uid="{B22A9E7C-D6D0-4582-ABEA-448D5B8160A7}"/>
    <cellStyle name="Note 3 8 6" xfId="15929" xr:uid="{176EA306-D0F6-4E9B-BA02-A81EAB89CD9A}"/>
    <cellStyle name="Note 3 8 6 2" xfId="15930" xr:uid="{9003A2E4-A573-4355-98C6-2631595A312C}"/>
    <cellStyle name="Note 3 8 6 3" xfId="34662" xr:uid="{75608271-8A9E-4A34-97F6-E3345FD26D38}"/>
    <cellStyle name="Note 3 8 6 4" xfId="34663" xr:uid="{8C4E7E0E-29C1-4A9F-8120-F20DACE82A99}"/>
    <cellStyle name="Note 3 8 7" xfId="15931" xr:uid="{FABC450B-F0C1-43A4-A181-D3E1D93C94B3}"/>
    <cellStyle name="Note 3 8 7 2" xfId="15932" xr:uid="{09C6876E-CB47-4F4B-9FDC-A7E4368B5526}"/>
    <cellStyle name="Note 3 8 7 3" xfId="34664" xr:uid="{0647B00B-CDDD-40DA-B4BD-1CB4C39CC28F}"/>
    <cellStyle name="Note 3 8 7 4" xfId="34665" xr:uid="{A53DDB19-1686-41BE-8002-2144D3C71476}"/>
    <cellStyle name="Note 3 8 8" xfId="15933" xr:uid="{7CA48D45-A48C-458F-B497-80668AD2164E}"/>
    <cellStyle name="Note 3 8 8 2" xfId="15934" xr:uid="{FBB23D6A-F2C5-4518-A4D9-3ADBC9B9E613}"/>
    <cellStyle name="Note 3 8 8 3" xfId="34666" xr:uid="{E76E0063-71E0-4DA2-809B-52CAE4729950}"/>
    <cellStyle name="Note 3 8 8 4" xfId="34667" xr:uid="{477ED94B-BCE7-4CB5-9D57-6DE1ACBD9809}"/>
    <cellStyle name="Note 3 8 9" xfId="15935" xr:uid="{52F2A856-7489-424C-908E-40C62E0E7FBF}"/>
    <cellStyle name="Note 3 8 9 2" xfId="15936" xr:uid="{594602F0-E837-413F-8CC4-9D715EC51852}"/>
    <cellStyle name="Note 3 8 9 3" xfId="34668" xr:uid="{8E5EEA7E-1F5E-43D2-AAC8-3221FCC7C3FA}"/>
    <cellStyle name="Note 3 8 9 4" xfId="34669" xr:uid="{02D4A0A8-076D-4AB1-9FFC-E475D2E5F372}"/>
    <cellStyle name="Note 3 9" xfId="15937" xr:uid="{710D6F7D-A33F-4849-8234-177382B0CC5C}"/>
    <cellStyle name="Note 3 9 10" xfId="15938" xr:uid="{6932966F-8A3C-4693-920C-15ABD24BB1DC}"/>
    <cellStyle name="Note 3 9 10 2" xfId="34670" xr:uid="{9B5B073F-D3FB-4267-B460-08DB7FD3DC00}"/>
    <cellStyle name="Note 3 9 11" xfId="15939" xr:uid="{848E522F-9A98-4101-98D3-016BB02B356C}"/>
    <cellStyle name="Note 3 9 11 2" xfId="34671" xr:uid="{FFA50FB7-C465-4709-94F4-0D2618550E7E}"/>
    <cellStyle name="Note 3 9 12" xfId="34672" xr:uid="{4E8CDB78-FCC6-487C-8916-842A69B59DCC}"/>
    <cellStyle name="Note 3 9 2" xfId="15940" xr:uid="{6514D4A9-ADD0-4EA3-97D9-7D4AAF09C5FE}"/>
    <cellStyle name="Note 3 9 2 10" xfId="15941" xr:uid="{FFDB5F08-93A9-4E80-8A75-DE4074A6349D}"/>
    <cellStyle name="Note 3 9 2 10 2" xfId="34673" xr:uid="{46157D2C-1CB0-4136-9E6D-A12CFEE8051F}"/>
    <cellStyle name="Note 3 9 2 11" xfId="34674" xr:uid="{C5D72308-2989-45B2-8CC8-2A8C5601106D}"/>
    <cellStyle name="Note 3 9 2 2" xfId="15942" xr:uid="{0C54A2E0-AD3D-42E8-B852-E84F8EBAA185}"/>
    <cellStyle name="Note 3 9 2 2 2" xfId="15943" xr:uid="{A7F0053F-6421-464D-909E-9385E9E3B394}"/>
    <cellStyle name="Note 3 9 2 2 2 2" xfId="15944" xr:uid="{6619F70B-1240-4428-B18B-4C714E0F8646}"/>
    <cellStyle name="Note 3 9 2 2 3" xfId="15945" xr:uid="{6E1BE481-FCF3-44A5-BFA8-838B51CD00DC}"/>
    <cellStyle name="Note 3 9 2 2 4" xfId="34675" xr:uid="{BD73D5CB-8B3A-489F-B056-ED60A5F42D6B}"/>
    <cellStyle name="Note 3 9 2 3" xfId="15946" xr:uid="{D2580B94-D9D1-4458-AFD2-59230CAE2BC2}"/>
    <cellStyle name="Note 3 9 2 3 2" xfId="15947" xr:uid="{4FB30466-16BD-4C2A-B551-2F5D97CD6E41}"/>
    <cellStyle name="Note 3 9 2 3 3" xfId="34676" xr:uid="{071EBEE5-A4A2-4138-9DCA-B32894F667AD}"/>
    <cellStyle name="Note 3 9 2 3 4" xfId="34677" xr:uid="{4042B2D0-D5F2-4053-BB3D-B7A22F269BE3}"/>
    <cellStyle name="Note 3 9 2 4" xfId="15948" xr:uid="{B5CD8565-51D6-440B-BE2C-36D1A076F658}"/>
    <cellStyle name="Note 3 9 2 4 2" xfId="15949" xr:uid="{2F9ED016-2EF4-44E9-A4DE-90E8A1437EF7}"/>
    <cellStyle name="Note 3 9 2 4 3" xfId="34678" xr:uid="{8FEA355C-DBDC-40D2-AC1B-B7141F64BB7C}"/>
    <cellStyle name="Note 3 9 2 4 4" xfId="34679" xr:uid="{F5B95E13-AC73-4AD0-A18C-F86787D00120}"/>
    <cellStyle name="Note 3 9 2 5" xfId="15950" xr:uid="{684BE713-2022-4196-8204-E552C002381F}"/>
    <cellStyle name="Note 3 9 2 5 2" xfId="15951" xr:uid="{EFF31C46-6382-4837-AE47-4CBD39BCD169}"/>
    <cellStyle name="Note 3 9 2 5 3" xfId="34680" xr:uid="{C8B441F5-AFC6-4B8B-A29F-D25C6A8C5595}"/>
    <cellStyle name="Note 3 9 2 5 4" xfId="34681" xr:uid="{3DCA1870-D713-42F5-AA7B-65586FB75317}"/>
    <cellStyle name="Note 3 9 2 6" xfId="15952" xr:uid="{A4817EAA-59D9-4791-932E-F9C2334F34A0}"/>
    <cellStyle name="Note 3 9 2 6 2" xfId="15953" xr:uid="{0828E9D1-97F4-4E8F-A3DC-45C0A365784F}"/>
    <cellStyle name="Note 3 9 2 6 3" xfId="34682" xr:uid="{8B90E810-3BBE-4A69-BF11-8E2022689B25}"/>
    <cellStyle name="Note 3 9 2 6 4" xfId="34683" xr:uid="{E4FCA471-A46C-48A8-9EC2-2F07B456BA3F}"/>
    <cellStyle name="Note 3 9 2 7" xfId="15954" xr:uid="{1FEB0EA1-C060-4BB7-958A-573F608230CB}"/>
    <cellStyle name="Note 3 9 2 7 2" xfId="15955" xr:uid="{386DCCE7-1481-4441-894F-9D4DE3FCB2C6}"/>
    <cellStyle name="Note 3 9 2 7 3" xfId="34684" xr:uid="{827B07C6-8A89-448F-A7DA-4A22DD93AA0B}"/>
    <cellStyle name="Note 3 9 2 7 4" xfId="34685" xr:uid="{76474E9C-7634-40EE-B52A-5DFE790491D2}"/>
    <cellStyle name="Note 3 9 2 8" xfId="15956" xr:uid="{9813EF11-D62E-4138-B32D-090D77A09FA1}"/>
    <cellStyle name="Note 3 9 2 8 2" xfId="15957" xr:uid="{473060D4-E017-4A4F-9228-765D389665C2}"/>
    <cellStyle name="Note 3 9 2 8 3" xfId="34686" xr:uid="{F944590D-8AD9-4C25-8E66-699211003040}"/>
    <cellStyle name="Note 3 9 2 8 4" xfId="34687" xr:uid="{5B271AC8-E72C-48CB-A5DF-641F46E0521F}"/>
    <cellStyle name="Note 3 9 2 9" xfId="15958" xr:uid="{80F2A29A-9522-4578-A7C3-3853224B34B9}"/>
    <cellStyle name="Note 3 9 2 9 2" xfId="34688" xr:uid="{0828364A-1182-45E0-9A06-E20CFCAB45BE}"/>
    <cellStyle name="Note 3 9 3" xfId="15959" xr:uid="{D8F1D236-338C-40D5-A45A-7975D70B7DBC}"/>
    <cellStyle name="Note 3 9 3 2" xfId="15960" xr:uid="{07A64B02-832C-4D8B-A0AF-0D831B26E53B}"/>
    <cellStyle name="Note 3 9 3 2 2" xfId="15961" xr:uid="{C3DF1A16-EFCB-4879-AF2A-4BCCB86252E3}"/>
    <cellStyle name="Note 3 9 3 3" xfId="15962" xr:uid="{C7710DED-3006-4C3C-BBB6-F38D796977EF}"/>
    <cellStyle name="Note 3 9 3 4" xfId="34689" xr:uid="{B1DED654-07D2-4AEC-ACDA-0C1A24B396B5}"/>
    <cellStyle name="Note 3 9 4" xfId="15963" xr:uid="{FECA82AC-701A-41FD-8C8B-B5675FED6721}"/>
    <cellStyle name="Note 3 9 4 2" xfId="15964" xr:uid="{89E42A62-9409-46D2-AA7F-902B2B077315}"/>
    <cellStyle name="Note 3 9 4 3" xfId="34690" xr:uid="{61CCF876-ECAF-487D-ACF4-0D25F12DC780}"/>
    <cellStyle name="Note 3 9 4 4" xfId="34691" xr:uid="{9A9C3C44-79D7-4A51-9C43-0BE27F63F27A}"/>
    <cellStyle name="Note 3 9 5" xfId="15965" xr:uid="{B51ECF03-6EFF-417D-8118-BF56B493B170}"/>
    <cellStyle name="Note 3 9 5 2" xfId="15966" xr:uid="{A36C125C-0378-43DD-A94C-0D347EC30530}"/>
    <cellStyle name="Note 3 9 5 3" xfId="34692" xr:uid="{36473F44-3E0B-48FF-81C4-BA7FF78403A1}"/>
    <cellStyle name="Note 3 9 5 4" xfId="34693" xr:uid="{BD594306-2565-40E4-8A73-A38E3674C162}"/>
    <cellStyle name="Note 3 9 6" xfId="15967" xr:uid="{AFF1D1C0-3C87-4AAB-8DFC-BFE3ACD5CA2F}"/>
    <cellStyle name="Note 3 9 6 2" xfId="15968" xr:uid="{43986862-52AE-4DC0-8AF9-09D57FFBBF06}"/>
    <cellStyle name="Note 3 9 6 3" xfId="34694" xr:uid="{5320E774-F7E4-4DFD-AA4A-F86565BF8849}"/>
    <cellStyle name="Note 3 9 6 4" xfId="34695" xr:uid="{7F514686-87DC-4815-A3BD-52B0F138D7EA}"/>
    <cellStyle name="Note 3 9 7" xfId="15969" xr:uid="{0AC41714-167D-4E77-8970-B4D6F4DF4032}"/>
    <cellStyle name="Note 3 9 7 2" xfId="15970" xr:uid="{E24935DC-8551-4AAC-9DA4-527EC07DE7F7}"/>
    <cellStyle name="Note 3 9 7 3" xfId="34696" xr:uid="{468E40E4-55BF-4669-9483-B1F2111FAC37}"/>
    <cellStyle name="Note 3 9 7 4" xfId="34697" xr:uid="{E7BA1268-E31E-4A5C-A43D-3B9DC2BCCFA9}"/>
    <cellStyle name="Note 3 9 8" xfId="15971" xr:uid="{BE8B63D2-053C-4B86-AAF8-1ED6BA6C29D3}"/>
    <cellStyle name="Note 3 9 8 2" xfId="15972" xr:uid="{C5115472-6504-49CC-849C-25982463CE85}"/>
    <cellStyle name="Note 3 9 8 3" xfId="34698" xr:uid="{D93703FA-2646-47A6-B508-F421B0B04413}"/>
    <cellStyle name="Note 3 9 8 4" xfId="34699" xr:uid="{4D78ED8E-961A-4BA7-ADCD-E85159A4DE17}"/>
    <cellStyle name="Note 3 9 9" xfId="15973" xr:uid="{A0375677-E4D0-4EA9-B6A2-A134BCF3674C}"/>
    <cellStyle name="Note 3 9 9 2" xfId="15974" xr:uid="{8F658817-AC43-41CF-933A-52D29BE23490}"/>
    <cellStyle name="Note 3 9 9 3" xfId="34700" xr:uid="{CD87386B-3D9A-40E0-A8D0-96D84B1225B4}"/>
    <cellStyle name="Note 3 9 9 4" xfId="34701" xr:uid="{6378B510-249E-4D93-A306-0B6CBE873B43}"/>
    <cellStyle name="Note 3_PrimaryEnergyPrices_TIMES" xfId="34702" xr:uid="{A6447E67-1547-429C-8145-E7B43F1D1947}"/>
    <cellStyle name="Note 30" xfId="34703" xr:uid="{927EE4F9-2B9D-4008-8198-B845C6B89A8A}"/>
    <cellStyle name="Note 31" xfId="34704" xr:uid="{25D5EC57-80F9-4C01-95A8-848E0908C1DB}"/>
    <cellStyle name="Note 32" xfId="34705" xr:uid="{CC482DF1-1CC2-43C3-9C77-2697325673E7}"/>
    <cellStyle name="Note 33" xfId="34706" xr:uid="{04CCD0BE-A97F-418B-9BFA-9BE43842B865}"/>
    <cellStyle name="Note 34" xfId="34707" xr:uid="{F6618BF1-B9C1-47C6-B642-75A2DE27CDDF}"/>
    <cellStyle name="Note 35" xfId="34708" xr:uid="{B3429B50-6A63-4660-87C1-450B822D6E41}"/>
    <cellStyle name="Note 36" xfId="34709" xr:uid="{B0AA00E1-2BF4-4E55-B373-A5B37188A237}"/>
    <cellStyle name="Note 37" xfId="34710" xr:uid="{1FFBD5DA-0B41-49F2-B40A-C0ABA1C829C1}"/>
    <cellStyle name="Note 38" xfId="34711" xr:uid="{3F8C694C-A4BE-4E49-B0C2-2783292430FD}"/>
    <cellStyle name="Note 39" xfId="34712" xr:uid="{EAC23235-8FF4-4A34-BEA6-99E697F73D8A}"/>
    <cellStyle name="Note 4" xfId="15975" xr:uid="{50FA3583-2FA8-4C4B-80CF-A88EE17AE013}"/>
    <cellStyle name="Note 4 10" xfId="15976" xr:uid="{5CD90E58-0810-445A-93FA-26A46563FCA3}"/>
    <cellStyle name="Note 4 10 10" xfId="15977" xr:uid="{D61856AA-50B3-4EB9-8850-90D65F8CE46F}"/>
    <cellStyle name="Note 4 10 10 2" xfId="34713" xr:uid="{12B90335-1F7A-4D8E-A658-65A5FBF9E75F}"/>
    <cellStyle name="Note 4 10 11" xfId="15978" xr:uid="{FAF3D89A-D1FC-45ED-A16E-A107BB765E57}"/>
    <cellStyle name="Note 4 10 11 2" xfId="34714" xr:uid="{8AEBFF32-27DC-45A9-B1CE-36F9A59B92A5}"/>
    <cellStyle name="Note 4 10 12" xfId="34715" xr:uid="{7A786C46-C84E-4A71-BC0F-55AB33566B73}"/>
    <cellStyle name="Note 4 10 2" xfId="15979" xr:uid="{21A450DB-DBE5-48CE-AF35-477AB7662685}"/>
    <cellStyle name="Note 4 10 2 10" xfId="15980" xr:uid="{B5DD26B0-FA2A-4127-AC94-AC4769668838}"/>
    <cellStyle name="Note 4 10 2 10 2" xfId="34716" xr:uid="{A52ADD21-AE8C-482E-838D-925458AD8ABE}"/>
    <cellStyle name="Note 4 10 2 11" xfId="34717" xr:uid="{584F4793-40ED-44BF-81D8-6221A398D668}"/>
    <cellStyle name="Note 4 10 2 2" xfId="15981" xr:uid="{5EC2148F-0C98-4880-88C3-E59788EB862E}"/>
    <cellStyle name="Note 4 10 2 2 2" xfId="15982" xr:uid="{F89E0E8B-0F55-43B7-8768-D3578C70979D}"/>
    <cellStyle name="Note 4 10 2 2 2 2" xfId="15983" xr:uid="{1F4A2DFC-D0D2-421A-9459-B9A036A7D5A1}"/>
    <cellStyle name="Note 4 10 2 2 3" xfId="15984" xr:uid="{C6CFBC4B-E9D0-49A5-9B50-1A5FC27B1850}"/>
    <cellStyle name="Note 4 10 2 2 4" xfId="34718" xr:uid="{DF22E3F2-892B-4395-B248-6813FDB47A47}"/>
    <cellStyle name="Note 4 10 2 3" xfId="15985" xr:uid="{C6A8E75D-59D7-42BA-BCF4-613A7CBBE6E7}"/>
    <cellStyle name="Note 4 10 2 3 2" xfId="15986" xr:uid="{3EFD88E6-AA67-4737-A694-C920B8C1DA56}"/>
    <cellStyle name="Note 4 10 2 3 3" xfId="34719" xr:uid="{0657EC9D-DE78-438A-879C-42DD5508B02A}"/>
    <cellStyle name="Note 4 10 2 3 4" xfId="34720" xr:uid="{3647E0A2-335D-40E6-9FF3-A9F721F3F9FD}"/>
    <cellStyle name="Note 4 10 2 4" xfId="15987" xr:uid="{DFE0895C-2EAD-43EF-9014-0AF7BA4D638A}"/>
    <cellStyle name="Note 4 10 2 4 2" xfId="15988" xr:uid="{870A1934-D0C9-402E-93BD-63AAA7792EA9}"/>
    <cellStyle name="Note 4 10 2 4 3" xfId="34721" xr:uid="{73229B72-1EFC-42AC-8C20-783FF88C680C}"/>
    <cellStyle name="Note 4 10 2 4 4" xfId="34722" xr:uid="{8D8C22A8-7AB5-4F19-8202-C968E65BB266}"/>
    <cellStyle name="Note 4 10 2 5" xfId="15989" xr:uid="{05333F1F-EC0C-4E03-9F7F-B91FED2A6DDA}"/>
    <cellStyle name="Note 4 10 2 5 2" xfId="15990" xr:uid="{19AE404D-841E-4F9D-AC2D-30A7325ABAD4}"/>
    <cellStyle name="Note 4 10 2 5 3" xfId="34723" xr:uid="{1B77D640-F42D-44B2-9F13-A44A04D78BB1}"/>
    <cellStyle name="Note 4 10 2 5 4" xfId="34724" xr:uid="{FAFD9645-8EC7-4CD4-B5C7-4F1C22359788}"/>
    <cellStyle name="Note 4 10 2 6" xfId="15991" xr:uid="{83C4089D-790F-4A03-8767-4545068B5FEC}"/>
    <cellStyle name="Note 4 10 2 6 2" xfId="15992" xr:uid="{0728824E-EF0C-44BA-BD9D-19416933F07C}"/>
    <cellStyle name="Note 4 10 2 6 3" xfId="34725" xr:uid="{99FF5979-CDA4-4E5B-9990-AA1739E88B83}"/>
    <cellStyle name="Note 4 10 2 6 4" xfId="34726" xr:uid="{D206CA3F-1915-4BC6-AA94-EB714B82EFF6}"/>
    <cellStyle name="Note 4 10 2 7" xfId="15993" xr:uid="{C3E75E94-DCFC-4A22-8213-C3D839E32018}"/>
    <cellStyle name="Note 4 10 2 7 2" xfId="15994" xr:uid="{6A5167A0-F1B9-4539-9ECA-7939968F7748}"/>
    <cellStyle name="Note 4 10 2 7 3" xfId="34727" xr:uid="{9CB4E70B-D278-4DCA-B6D1-81E716CD0059}"/>
    <cellStyle name="Note 4 10 2 7 4" xfId="34728" xr:uid="{46296B34-2E46-41CF-A6F2-EE57FBF643E5}"/>
    <cellStyle name="Note 4 10 2 8" xfId="15995" xr:uid="{DDCD322D-44E3-4AC3-9C8D-13BA286A5CEC}"/>
    <cellStyle name="Note 4 10 2 8 2" xfId="15996" xr:uid="{C8E4F501-6657-4032-BF15-2A56A7D880E9}"/>
    <cellStyle name="Note 4 10 2 8 3" xfId="34729" xr:uid="{F803E698-E03F-4DB2-93F1-C0F41379A30B}"/>
    <cellStyle name="Note 4 10 2 8 4" xfId="34730" xr:uid="{E8572328-2E38-4C8F-B7DC-CEA7DE9C736D}"/>
    <cellStyle name="Note 4 10 2 9" xfId="15997" xr:uid="{C14A70CB-3F9E-4076-9647-88803E29D405}"/>
    <cellStyle name="Note 4 10 2 9 2" xfId="34731" xr:uid="{143283FF-043A-4455-BC91-576B47853A6A}"/>
    <cellStyle name="Note 4 10 3" xfId="15998" xr:uid="{355EC8F0-8A1F-4594-B68E-A023B253DF82}"/>
    <cellStyle name="Note 4 10 3 2" xfId="15999" xr:uid="{8EB3197B-92ED-4EC9-B06C-C8FAA98456DC}"/>
    <cellStyle name="Note 4 10 3 2 2" xfId="16000" xr:uid="{EF7C2FD4-6A48-4139-90EC-4640CAECE6FE}"/>
    <cellStyle name="Note 4 10 3 3" xfId="16001" xr:uid="{FEE0FDFE-B3D2-48C0-9988-5BAEE5D48B24}"/>
    <cellStyle name="Note 4 10 3 4" xfId="34732" xr:uid="{91615FE0-632B-432A-806B-4A696A33ADE9}"/>
    <cellStyle name="Note 4 10 4" xfId="16002" xr:uid="{7D02A239-CB67-46F4-A868-4F15BE62248C}"/>
    <cellStyle name="Note 4 10 4 2" xfId="16003" xr:uid="{B7CB50B7-0F70-46B4-B366-0DD780E2E5B0}"/>
    <cellStyle name="Note 4 10 4 3" xfId="34733" xr:uid="{2DCA6BE4-8B23-4C2C-BD31-05DF4C207246}"/>
    <cellStyle name="Note 4 10 4 4" xfId="34734" xr:uid="{6CA3BD0B-10E6-4DCD-8838-E857E791D99D}"/>
    <cellStyle name="Note 4 10 5" xfId="16004" xr:uid="{91482B86-A44B-42DA-8AA7-645ED3C55E7F}"/>
    <cellStyle name="Note 4 10 5 2" xfId="16005" xr:uid="{E8194020-E6BA-495A-AAC2-4B00B9C3038E}"/>
    <cellStyle name="Note 4 10 5 3" xfId="34735" xr:uid="{A6F42D37-C36A-41C8-BC32-DB59AEA59786}"/>
    <cellStyle name="Note 4 10 5 4" xfId="34736" xr:uid="{5B510825-2AD5-46E1-91AE-66F0B1FEF1C5}"/>
    <cellStyle name="Note 4 10 6" xfId="16006" xr:uid="{C8C0FD73-C2DC-45CD-A7C9-FFF1537F4E49}"/>
    <cellStyle name="Note 4 10 6 2" xfId="16007" xr:uid="{6AF0EB09-7C6C-47FD-B757-5F675FEA16CE}"/>
    <cellStyle name="Note 4 10 6 3" xfId="34737" xr:uid="{4273C448-4137-44BA-8A04-F29FAF521D30}"/>
    <cellStyle name="Note 4 10 6 4" xfId="34738" xr:uid="{4DBC2733-4D72-41C0-980C-BAF7F725AF56}"/>
    <cellStyle name="Note 4 10 7" xfId="16008" xr:uid="{20E498EF-AFAC-4201-BB18-794DD23B284E}"/>
    <cellStyle name="Note 4 10 7 2" xfId="16009" xr:uid="{BA93A3CF-F427-4243-B159-931453B58E92}"/>
    <cellStyle name="Note 4 10 7 3" xfId="34739" xr:uid="{A361A1E6-318C-4F68-9314-201B4810E36D}"/>
    <cellStyle name="Note 4 10 7 4" xfId="34740" xr:uid="{341FD1A2-82B5-4B5F-B124-A7227F78BBBE}"/>
    <cellStyle name="Note 4 10 8" xfId="16010" xr:uid="{505F7E56-A7C0-48F6-A768-B41D7A6F3E03}"/>
    <cellStyle name="Note 4 10 8 2" xfId="16011" xr:uid="{67D136D2-DA80-419A-857A-7A7D96A3E759}"/>
    <cellStyle name="Note 4 10 8 3" xfId="34741" xr:uid="{D72FA87E-6E5E-4858-AD49-8A07E55D336C}"/>
    <cellStyle name="Note 4 10 8 4" xfId="34742" xr:uid="{30B8B687-97B1-4FB8-B781-461E99076384}"/>
    <cellStyle name="Note 4 10 9" xfId="16012" xr:uid="{820E2AE5-0319-4AE8-8338-C8823DB72B70}"/>
    <cellStyle name="Note 4 10 9 2" xfId="16013" xr:uid="{9AC3A3F3-584D-4E0E-AA98-A7E26DC0E9BA}"/>
    <cellStyle name="Note 4 10 9 3" xfId="34743" xr:uid="{56DDDD70-0E3D-4F83-8E2E-CAC39C05D85F}"/>
    <cellStyle name="Note 4 10 9 4" xfId="34744" xr:uid="{C82D82D3-65B7-4510-ACC4-DF4867EC7E2B}"/>
    <cellStyle name="Note 4 11" xfId="16014" xr:uid="{36277A8B-9A5F-487C-B1B7-5282FCC3F133}"/>
    <cellStyle name="Note 4 11 10" xfId="16015" xr:uid="{EDFFCF81-AC92-402C-95D1-203CD20EA82B}"/>
    <cellStyle name="Note 4 11 10 2" xfId="34745" xr:uid="{62DBD433-6F47-4B2F-896C-D64748F68E9C}"/>
    <cellStyle name="Note 4 11 11" xfId="16016" xr:uid="{181512AB-2841-4F33-9599-9FFD06F6E969}"/>
    <cellStyle name="Note 4 11 11 2" xfId="34746" xr:uid="{64B5731E-2A0F-45CD-8F0D-0474A44D161A}"/>
    <cellStyle name="Note 4 11 12" xfId="34747" xr:uid="{4E79856B-6E1F-44E7-9F51-E1ECBD91C470}"/>
    <cellStyle name="Note 4 11 2" xfId="16017" xr:uid="{FDF7A759-5CBB-46B1-B59C-6E4FDF0EF06C}"/>
    <cellStyle name="Note 4 11 2 10" xfId="16018" xr:uid="{BB6E1790-4C85-483A-BA74-3133AF08D6AD}"/>
    <cellStyle name="Note 4 11 2 10 2" xfId="34748" xr:uid="{2FC56735-7053-4FC2-A672-2544FCAD7BB1}"/>
    <cellStyle name="Note 4 11 2 11" xfId="34749" xr:uid="{6B096772-E07C-4846-8161-186C061E5001}"/>
    <cellStyle name="Note 4 11 2 2" xfId="16019" xr:uid="{8369D2E2-0F73-425C-A8D7-BB5CFE864079}"/>
    <cellStyle name="Note 4 11 2 2 2" xfId="16020" xr:uid="{8B1FA81C-D4E7-439A-8BBE-D5A20D4B72C5}"/>
    <cellStyle name="Note 4 11 2 2 2 2" xfId="16021" xr:uid="{2A010030-626D-471A-98FE-0108ACF3B9C4}"/>
    <cellStyle name="Note 4 11 2 2 3" xfId="16022" xr:uid="{09FD2D19-211B-49D9-9FF1-DC6569A6DFBB}"/>
    <cellStyle name="Note 4 11 2 2 4" xfId="34750" xr:uid="{16F0ED16-336D-447E-8836-9773F7D2BCFE}"/>
    <cellStyle name="Note 4 11 2 3" xfId="16023" xr:uid="{E9FCB5FD-B434-497C-B2C6-9611CDA30495}"/>
    <cellStyle name="Note 4 11 2 3 2" xfId="16024" xr:uid="{4BC392CE-B0D7-4811-AFDF-CE47B591E796}"/>
    <cellStyle name="Note 4 11 2 3 3" xfId="34751" xr:uid="{8BE55612-1B6C-47A1-83D9-415670771318}"/>
    <cellStyle name="Note 4 11 2 3 4" xfId="34752" xr:uid="{10162013-46B6-4DE3-A7A3-B9D02359EDD4}"/>
    <cellStyle name="Note 4 11 2 4" xfId="16025" xr:uid="{B583E7D2-33EC-44EA-9B0C-C893F35EF63E}"/>
    <cellStyle name="Note 4 11 2 4 2" xfId="16026" xr:uid="{BF77F7E6-11C6-4E64-B457-FA72E00B2558}"/>
    <cellStyle name="Note 4 11 2 4 3" xfId="34753" xr:uid="{2E22FBBA-734A-4764-960F-8065F74B411E}"/>
    <cellStyle name="Note 4 11 2 4 4" xfId="34754" xr:uid="{EE6FC14C-E5F7-485F-BE0E-648FD40149D9}"/>
    <cellStyle name="Note 4 11 2 5" xfId="16027" xr:uid="{C6714410-9011-4B96-9855-77C4625DAAA0}"/>
    <cellStyle name="Note 4 11 2 5 2" xfId="16028" xr:uid="{CC4BC7B4-E918-44AB-BDFD-03DDE6741FB3}"/>
    <cellStyle name="Note 4 11 2 5 3" xfId="34755" xr:uid="{82A83C21-620E-4A21-9380-87AF7F021BE2}"/>
    <cellStyle name="Note 4 11 2 5 4" xfId="34756" xr:uid="{E349C6E0-3FF6-4DBD-815E-B731E83E6D36}"/>
    <cellStyle name="Note 4 11 2 6" xfId="16029" xr:uid="{6BDC9BBC-1990-4C4B-98BF-69E104EC7192}"/>
    <cellStyle name="Note 4 11 2 6 2" xfId="16030" xr:uid="{88966935-6248-4AB4-888C-D87EB355AB75}"/>
    <cellStyle name="Note 4 11 2 6 3" xfId="34757" xr:uid="{27A882C4-0A65-446B-A267-5E87638292E7}"/>
    <cellStyle name="Note 4 11 2 6 4" xfId="34758" xr:uid="{4FA768FD-5DE2-4C0C-B5AA-67FDF36B4FA7}"/>
    <cellStyle name="Note 4 11 2 7" xfId="16031" xr:uid="{A42009A3-579A-47B9-914F-9F20613EE651}"/>
    <cellStyle name="Note 4 11 2 7 2" xfId="16032" xr:uid="{F1BD2087-9094-4809-9C0F-8994B47A26BC}"/>
    <cellStyle name="Note 4 11 2 7 3" xfId="34759" xr:uid="{1E010DD6-E4CD-441D-978C-E5A5B57644D4}"/>
    <cellStyle name="Note 4 11 2 7 4" xfId="34760" xr:uid="{ADFC4D4A-9A71-4D94-BEF5-6067C89D2483}"/>
    <cellStyle name="Note 4 11 2 8" xfId="16033" xr:uid="{AB767061-0D97-4F35-9CA7-407BC57FC963}"/>
    <cellStyle name="Note 4 11 2 8 2" xfId="16034" xr:uid="{32A95037-38BB-428F-B7AF-4A4C427B097D}"/>
    <cellStyle name="Note 4 11 2 8 3" xfId="34761" xr:uid="{FCAE8D0B-DEC7-424D-B9AE-0572D7C61077}"/>
    <cellStyle name="Note 4 11 2 8 4" xfId="34762" xr:uid="{CD38E57A-9297-46AD-B1F0-5977EB5F1AC2}"/>
    <cellStyle name="Note 4 11 2 9" xfId="16035" xr:uid="{69C37E35-E06D-4C3A-94DF-6B18CA60F7DA}"/>
    <cellStyle name="Note 4 11 2 9 2" xfId="34763" xr:uid="{0D7CB179-6F55-4AAC-9602-717200BF0713}"/>
    <cellStyle name="Note 4 11 3" xfId="16036" xr:uid="{4236CB31-0298-4237-980C-E6BA4DA80160}"/>
    <cellStyle name="Note 4 11 3 2" xfId="16037" xr:uid="{7D92409E-0695-4E61-85E1-987D8CB65CD2}"/>
    <cellStyle name="Note 4 11 3 2 2" xfId="16038" xr:uid="{EF22FBBE-2C52-44F1-A8A2-BF07BA6AF121}"/>
    <cellStyle name="Note 4 11 3 3" xfId="16039" xr:uid="{130FA48A-79AB-40D4-AA8C-90E2D786D506}"/>
    <cellStyle name="Note 4 11 3 4" xfId="34764" xr:uid="{909C530F-AD39-4811-978B-319B0A70C1E9}"/>
    <cellStyle name="Note 4 11 4" xfId="16040" xr:uid="{539CE7A0-D094-4E5C-85BD-532AC156A7D8}"/>
    <cellStyle name="Note 4 11 4 2" xfId="16041" xr:uid="{E6A8A368-752B-49D0-B200-EF77B960A03F}"/>
    <cellStyle name="Note 4 11 4 3" xfId="34765" xr:uid="{2D3E1859-3E61-4852-80DB-9AC43E66EEA8}"/>
    <cellStyle name="Note 4 11 4 4" xfId="34766" xr:uid="{5114CCD4-9CEB-4CB6-92CF-C232CAD4928F}"/>
    <cellStyle name="Note 4 11 5" xfId="16042" xr:uid="{E52D0A92-5B03-4850-AB74-0B5AD6B7E3EC}"/>
    <cellStyle name="Note 4 11 5 2" xfId="16043" xr:uid="{88709272-5DC9-438F-8EE3-3D965C5D36CB}"/>
    <cellStyle name="Note 4 11 5 3" xfId="34767" xr:uid="{1CED14AD-7049-4466-9FA2-350C17DDD741}"/>
    <cellStyle name="Note 4 11 5 4" xfId="34768" xr:uid="{9775C3F5-8038-4779-8953-82F92E9F5BAC}"/>
    <cellStyle name="Note 4 11 6" xfId="16044" xr:uid="{464A99ED-3B95-4C0F-BBB5-330126947D9B}"/>
    <cellStyle name="Note 4 11 6 2" xfId="16045" xr:uid="{0B642A6C-3327-4BED-873F-1911C833E54F}"/>
    <cellStyle name="Note 4 11 6 3" xfId="34769" xr:uid="{81E8233D-7E8A-44E6-8453-E6F1A78A1B5D}"/>
    <cellStyle name="Note 4 11 6 4" xfId="34770" xr:uid="{E1978B95-17F1-46B5-996D-23D3342E8314}"/>
    <cellStyle name="Note 4 11 7" xfId="16046" xr:uid="{8994918F-D6D6-46AF-9C58-A28C4217713E}"/>
    <cellStyle name="Note 4 11 7 2" xfId="16047" xr:uid="{EFBDB0DE-ED76-4CAD-97BD-60D64C85700D}"/>
    <cellStyle name="Note 4 11 7 3" xfId="34771" xr:uid="{56769FE2-F810-4970-8450-358C96EF7D98}"/>
    <cellStyle name="Note 4 11 7 4" xfId="34772" xr:uid="{9E4C6609-010E-4DD6-A525-2642AC966EB1}"/>
    <cellStyle name="Note 4 11 8" xfId="16048" xr:uid="{9C222FB1-FABA-4C44-8BE8-577BCB41BC7D}"/>
    <cellStyle name="Note 4 11 8 2" xfId="16049" xr:uid="{A5F0716A-69C7-4F78-BFA8-39824C29F799}"/>
    <cellStyle name="Note 4 11 8 3" xfId="34773" xr:uid="{766B066D-0D4B-494B-BDEC-F80BFA14F618}"/>
    <cellStyle name="Note 4 11 8 4" xfId="34774" xr:uid="{D1F164C6-1CF1-4C21-BEC0-2456154902C5}"/>
    <cellStyle name="Note 4 11 9" xfId="16050" xr:uid="{700DFE44-4256-4353-AC4F-CD23E383E068}"/>
    <cellStyle name="Note 4 11 9 2" xfId="16051" xr:uid="{B12E587A-C258-41F2-B3DF-F699E9EFF415}"/>
    <cellStyle name="Note 4 11 9 3" xfId="34775" xr:uid="{8480DFA4-3365-4EAB-AA5E-DB8A92BBE2E3}"/>
    <cellStyle name="Note 4 11 9 4" xfId="34776" xr:uid="{FFE0E9D3-D612-49BA-B8AD-7CABFD43F7D3}"/>
    <cellStyle name="Note 4 12" xfId="16052" xr:uid="{5BA7EE93-F7C5-4EFD-9B2B-D3AF666FE10C}"/>
    <cellStyle name="Note 4 12 10" xfId="16053" xr:uid="{76B2FA8E-F032-41CC-B157-FBDAADFE8CDB}"/>
    <cellStyle name="Note 4 12 10 2" xfId="34777" xr:uid="{88CDBF89-1D88-4B18-AA72-B75F72A6B9DD}"/>
    <cellStyle name="Note 4 12 11" xfId="34778" xr:uid="{0D2C6F24-D358-4C86-A1A8-48B133F7A688}"/>
    <cellStyle name="Note 4 12 2" xfId="16054" xr:uid="{A105C58E-B8A8-4C99-BCA6-D2B9A87AFE74}"/>
    <cellStyle name="Note 4 12 2 2" xfId="16055" xr:uid="{446AF5C3-F37D-4FB2-B808-C64A9F6B91D6}"/>
    <cellStyle name="Note 4 12 2 2 2" xfId="16056" xr:uid="{9623C87D-7C47-4A81-8785-F984052901B1}"/>
    <cellStyle name="Note 4 12 2 3" xfId="16057" xr:uid="{67D3AA3F-A7DC-49B0-9391-B61BE468F88A}"/>
    <cellStyle name="Note 4 12 2 4" xfId="34779" xr:uid="{53138858-8577-4FB6-8566-A0CC3709AE26}"/>
    <cellStyle name="Note 4 12 3" xfId="16058" xr:uid="{78F8CF9B-8A53-4287-A82C-EB6D0F191C4E}"/>
    <cellStyle name="Note 4 12 3 2" xfId="16059" xr:uid="{E34EDC88-DF36-4FB8-B4E2-7DAAD7D4F848}"/>
    <cellStyle name="Note 4 12 3 3" xfId="34780" xr:uid="{2A44B021-F9C8-4973-B66A-4313FDEE9AED}"/>
    <cellStyle name="Note 4 12 3 4" xfId="34781" xr:uid="{FBC4858F-578A-4ABA-A89F-F724A1C29837}"/>
    <cellStyle name="Note 4 12 4" xfId="16060" xr:uid="{A319DA26-83F7-4415-AF31-0F2BD189D56C}"/>
    <cellStyle name="Note 4 12 4 2" xfId="16061" xr:uid="{CEB721E6-EEEA-415E-B951-245494D1CFFF}"/>
    <cellStyle name="Note 4 12 4 3" xfId="34782" xr:uid="{1E8C299A-86CA-4B56-9973-925130BDCDA8}"/>
    <cellStyle name="Note 4 12 4 4" xfId="34783" xr:uid="{AA00DC98-B682-4732-98A9-6527DF70C6E6}"/>
    <cellStyle name="Note 4 12 5" xfId="16062" xr:uid="{4E3DB423-C79C-47A9-8352-A2DF7D5BF533}"/>
    <cellStyle name="Note 4 12 5 2" xfId="16063" xr:uid="{400F114C-F910-4A06-B5A0-01178AE1D450}"/>
    <cellStyle name="Note 4 12 5 3" xfId="34784" xr:uid="{389B5EE9-D168-4197-9553-B9EB8E8EBD46}"/>
    <cellStyle name="Note 4 12 5 4" xfId="34785" xr:uid="{9F4772AF-09F3-42AF-B048-49A1EC7CBF48}"/>
    <cellStyle name="Note 4 12 6" xfId="16064" xr:uid="{1F0E13E3-F60F-499E-8DD4-E3CDDA68E0C0}"/>
    <cellStyle name="Note 4 12 6 2" xfId="16065" xr:uid="{47AA38E7-21F1-494E-96D0-6B10061F8EFC}"/>
    <cellStyle name="Note 4 12 6 3" xfId="34786" xr:uid="{7EE7F5FD-9143-4E3A-B5C1-EF457CDD3575}"/>
    <cellStyle name="Note 4 12 6 4" xfId="34787" xr:uid="{39FFA975-7578-42D4-B95A-B6F8A2FBD1A4}"/>
    <cellStyle name="Note 4 12 7" xfId="16066" xr:uid="{141555D2-07E2-4456-8C8D-75B8E94BA25E}"/>
    <cellStyle name="Note 4 12 7 2" xfId="16067" xr:uid="{B8C0A0FB-EAEF-4B55-B4C4-3FCBDED11428}"/>
    <cellStyle name="Note 4 12 7 3" xfId="34788" xr:uid="{ECC0CAEA-10A2-4428-97F3-B88D413FE1C7}"/>
    <cellStyle name="Note 4 12 7 4" xfId="34789" xr:uid="{3AAD48A5-2E7A-4881-A723-33F29AE254B1}"/>
    <cellStyle name="Note 4 12 8" xfId="16068" xr:uid="{9CB1178A-8123-429A-8AA3-3B82CDAF35A1}"/>
    <cellStyle name="Note 4 12 8 2" xfId="16069" xr:uid="{3EFC3B1A-4A90-49C8-9685-9C1CB639F42C}"/>
    <cellStyle name="Note 4 12 8 3" xfId="34790" xr:uid="{D50B1691-7D35-4A79-9EB4-BECE0FF8B311}"/>
    <cellStyle name="Note 4 12 8 4" xfId="34791" xr:uid="{A3CE0B28-9DA0-47F6-A4DC-74BF5084617A}"/>
    <cellStyle name="Note 4 12 9" xfId="16070" xr:uid="{134E0E84-1C40-40C9-888A-5B6D9828F4F2}"/>
    <cellStyle name="Note 4 12 9 2" xfId="34792" xr:uid="{20EDEF9F-AD49-4F13-983B-263D297F6972}"/>
    <cellStyle name="Note 4 13" xfId="16071" xr:uid="{ACC1D2D5-4C2A-4CBB-90D3-4865FA07634E}"/>
    <cellStyle name="Note 4 13 2" xfId="16072" xr:uid="{CAABEE8A-9698-407B-B22A-B79F31340513}"/>
    <cellStyle name="Note 4 13 2 2" xfId="16073" xr:uid="{E8318499-4F77-4ADC-8A28-906ACE3E45C2}"/>
    <cellStyle name="Note 4 13 3" xfId="16074" xr:uid="{D4349075-C9A1-4F57-874A-42B7B4B8CBF6}"/>
    <cellStyle name="Note 4 13 4" xfId="34793" xr:uid="{74B6178E-80EF-406F-9828-F6B71FF6D1D7}"/>
    <cellStyle name="Note 4 14" xfId="16075" xr:uid="{D09D619A-9C70-462B-B28B-AB981C25678C}"/>
    <cellStyle name="Note 4 14 2" xfId="16076" xr:uid="{A1BAD3FD-539D-47E8-B42A-BE38E5C100CC}"/>
    <cellStyle name="Note 4 14 3" xfId="34794" xr:uid="{42A31096-564A-4E06-9D22-8E873BD7C01E}"/>
    <cellStyle name="Note 4 14 4" xfId="34795" xr:uid="{46D8758B-FD1B-4A85-9844-EED4B98B36EA}"/>
    <cellStyle name="Note 4 15" xfId="16077" xr:uid="{ADCE8D1C-629C-4744-86E0-96A076D6ABE0}"/>
    <cellStyle name="Note 4 15 2" xfId="16078" xr:uid="{2AF6C765-9A77-4C6A-AD84-9CE18184DFDA}"/>
    <cellStyle name="Note 4 15 3" xfId="34796" xr:uid="{2C9F7B57-5425-408C-93F7-4044CD7F771E}"/>
    <cellStyle name="Note 4 15 4" xfId="34797" xr:uid="{5937E898-6E6B-431A-AE8F-64EB7836F2C3}"/>
    <cellStyle name="Note 4 16" xfId="16079" xr:uid="{4F0D0B82-D001-4E22-9614-415E4A431129}"/>
    <cellStyle name="Note 4 16 2" xfId="16080" xr:uid="{1CE5F8BF-8434-40AE-9987-66C839BE2D07}"/>
    <cellStyle name="Note 4 16 3" xfId="34798" xr:uid="{B003FA4F-2760-4C11-852A-8806C1FB4783}"/>
    <cellStyle name="Note 4 16 4" xfId="34799" xr:uid="{B600CD13-F22D-4384-9F38-CA5AEF9E9F6A}"/>
    <cellStyle name="Note 4 17" xfId="16081" xr:uid="{23849240-A0BF-4F05-8DEF-BAC38903F4BB}"/>
    <cellStyle name="Note 4 17 2" xfId="16082" xr:uid="{EFC93AB6-0A12-4016-9E9F-C9DBDFFE707A}"/>
    <cellStyle name="Note 4 17 3" xfId="34800" xr:uid="{DA73D6DF-3373-418C-A669-961250211347}"/>
    <cellStyle name="Note 4 17 4" xfId="34801" xr:uid="{B35B700C-241A-44DD-A05C-44206590AB51}"/>
    <cellStyle name="Note 4 18" xfId="16083" xr:uid="{436E0889-1005-4468-9F7B-4F09005B0956}"/>
    <cellStyle name="Note 4 18 2" xfId="16084" xr:uid="{6DAB5ACD-0D23-46FA-BBFE-46955552A477}"/>
    <cellStyle name="Note 4 18 3" xfId="34802" xr:uid="{B264FE1C-5AE7-4AB5-8AB6-E38D5D3CE196}"/>
    <cellStyle name="Note 4 18 4" xfId="34803" xr:uid="{85F48EC3-6490-4546-BFA2-FCE46466BCA8}"/>
    <cellStyle name="Note 4 19" xfId="16085" xr:uid="{28BF495C-E87B-4B93-876F-EF08CCB6F1A9}"/>
    <cellStyle name="Note 4 19 2" xfId="16086" xr:uid="{A16C4CEC-0EDF-467C-9568-DB3C40AAB595}"/>
    <cellStyle name="Note 4 19 3" xfId="34804" xr:uid="{0B893DAD-83BF-48E8-9236-1A4C1170353D}"/>
    <cellStyle name="Note 4 19 4" xfId="34805" xr:uid="{6837826C-EFBC-4024-9F29-62E6EFC341AF}"/>
    <cellStyle name="Note 4 2" xfId="16087" xr:uid="{3683F852-C211-4AC3-8566-77A416B438F3}"/>
    <cellStyle name="Note 4 2 10" xfId="16088" xr:uid="{E7466FEF-637E-4286-B566-6D8217C9E34B}"/>
    <cellStyle name="Note 4 2 10 2" xfId="34806" xr:uid="{3001D7D1-66F9-411B-8A12-5ED702911445}"/>
    <cellStyle name="Note 4 2 11" xfId="16089" xr:uid="{2F45515F-0BD1-4EF5-92D0-C4B556B859A2}"/>
    <cellStyle name="Note 4 2 11 2" xfId="34807" xr:uid="{7D449F74-A4AE-46B7-BB7F-F6C2F0EB316D}"/>
    <cellStyle name="Note 4 2 12" xfId="34808" xr:uid="{1379B17B-4DAD-4A8C-B3AD-04D4BA6994C5}"/>
    <cellStyle name="Note 4 2 13" xfId="34809" xr:uid="{CA43F40B-28D7-4EB1-BADD-0B60D86651D5}"/>
    <cellStyle name="Note 4 2 2" xfId="16090" xr:uid="{4185F038-195A-4259-A944-FFD0AD6B978A}"/>
    <cellStyle name="Note 4 2 2 10" xfId="16091" xr:uid="{B5D3BB58-2BFC-4684-8515-FFE853C03E10}"/>
    <cellStyle name="Note 4 2 2 10 2" xfId="34810" xr:uid="{4189DE77-A6ED-48E5-BB8C-4494F1A0FDAB}"/>
    <cellStyle name="Note 4 2 2 11" xfId="34811" xr:uid="{4A2E3514-608F-444C-B8CC-0EA2ED174D68}"/>
    <cellStyle name="Note 4 2 2 2" xfId="16092" xr:uid="{31CFB67B-A386-4544-99AC-1AABE6256B03}"/>
    <cellStyle name="Note 4 2 2 2 2" xfId="16093" xr:uid="{E6D138E1-6598-4084-8CB7-9D7C2FAA1F7E}"/>
    <cellStyle name="Note 4 2 2 2 2 2" xfId="16094" xr:uid="{716915CC-AD21-4982-899C-92B3BFEB164A}"/>
    <cellStyle name="Note 4 2 2 2 3" xfId="16095" xr:uid="{6D0A3192-B971-4B71-BA56-75E060420D19}"/>
    <cellStyle name="Note 4 2 2 2 4" xfId="34812" xr:uid="{EC270FCE-0CB1-4B89-A694-6D01DE402327}"/>
    <cellStyle name="Note 4 2 2 3" xfId="16096" xr:uid="{22B04162-6BB9-49B8-B4BC-73553EED7D26}"/>
    <cellStyle name="Note 4 2 2 3 2" xfId="16097" xr:uid="{F0F2D2B6-9598-4F42-94A2-BD9054C64C2B}"/>
    <cellStyle name="Note 4 2 2 3 3" xfId="34813" xr:uid="{A8B536DA-B364-4E18-A850-E93AA42E758A}"/>
    <cellStyle name="Note 4 2 2 3 4" xfId="34814" xr:uid="{D465F545-FBC9-4BBD-9F27-8AFECBA1E93C}"/>
    <cellStyle name="Note 4 2 2 4" xfId="16098" xr:uid="{C09EF768-9977-460E-AB47-948B9C127A9F}"/>
    <cellStyle name="Note 4 2 2 4 2" xfId="16099" xr:uid="{93B6F848-614B-435C-8CBD-70235AB30A1A}"/>
    <cellStyle name="Note 4 2 2 4 3" xfId="34815" xr:uid="{DABBD9E0-67B7-4FAA-B95A-6963530E0E0E}"/>
    <cellStyle name="Note 4 2 2 4 4" xfId="34816" xr:uid="{D7E6FB88-7C18-4A37-BD43-6C36D44BB321}"/>
    <cellStyle name="Note 4 2 2 5" xfId="16100" xr:uid="{2233F44A-CF4F-4657-B6C3-B7586EDB95B8}"/>
    <cellStyle name="Note 4 2 2 5 2" xfId="16101" xr:uid="{696C9FB4-2C16-4B04-B7A9-085BB82FCA13}"/>
    <cellStyle name="Note 4 2 2 5 3" xfId="34817" xr:uid="{34B7265B-EBEC-4B50-B1F1-83FF75BAC5AF}"/>
    <cellStyle name="Note 4 2 2 5 4" xfId="34818" xr:uid="{BD4AA5A3-C4AE-4256-9575-E47BCF8BAC38}"/>
    <cellStyle name="Note 4 2 2 6" xfId="16102" xr:uid="{6CBACECD-DADC-49A6-B3B4-19FF017BD338}"/>
    <cellStyle name="Note 4 2 2 6 2" xfId="16103" xr:uid="{A31B29F3-585D-4C90-AECE-241151AA8F39}"/>
    <cellStyle name="Note 4 2 2 6 3" xfId="34819" xr:uid="{87DD01E1-70A2-4E18-9948-08A526EEEA4B}"/>
    <cellStyle name="Note 4 2 2 6 4" xfId="34820" xr:uid="{BB75E859-FBB6-4446-927D-B07C5E117182}"/>
    <cellStyle name="Note 4 2 2 7" xfId="16104" xr:uid="{803D5C9E-DBAB-4A9B-BBA8-BFE5BB31DE19}"/>
    <cellStyle name="Note 4 2 2 7 2" xfId="16105" xr:uid="{C46DDD15-A48C-4F0B-A149-B33852C5FCC5}"/>
    <cellStyle name="Note 4 2 2 7 3" xfId="34821" xr:uid="{C471D776-B33A-4A33-AC79-71BEC224C3BA}"/>
    <cellStyle name="Note 4 2 2 7 4" xfId="34822" xr:uid="{C8ED6B4E-E8BF-449C-B6EC-EA9E8FF8C36D}"/>
    <cellStyle name="Note 4 2 2 8" xfId="16106" xr:uid="{B524DB65-710B-4327-B8C9-ED8C0A366B0A}"/>
    <cellStyle name="Note 4 2 2 8 2" xfId="16107" xr:uid="{E58EF02B-20BD-4C1A-B2CE-7AE58A2A63C1}"/>
    <cellStyle name="Note 4 2 2 8 3" xfId="34823" xr:uid="{DFCD4996-2FA1-4990-BE78-A170245581C0}"/>
    <cellStyle name="Note 4 2 2 8 4" xfId="34824" xr:uid="{99A4D5F7-97B2-4F7B-AB5C-09AEC26D86BC}"/>
    <cellStyle name="Note 4 2 2 9" xfId="16108" xr:uid="{CD26EBC4-7643-4E10-8C0E-AB70F7428E50}"/>
    <cellStyle name="Note 4 2 2 9 2" xfId="34825" xr:uid="{F4A6B3FF-9819-4D97-BFD7-7C52781BC3A3}"/>
    <cellStyle name="Note 4 2 3" xfId="16109" xr:uid="{B6FE5AEB-5AD2-4D6C-8D73-4E298DE36F7B}"/>
    <cellStyle name="Note 4 2 3 2" xfId="16110" xr:uid="{E5CD6EDB-5C1F-4B0B-BFC7-EC60DDBCCD9F}"/>
    <cellStyle name="Note 4 2 3 2 2" xfId="16111" xr:uid="{C96879F3-98FF-429D-97C6-B2D201FDA021}"/>
    <cellStyle name="Note 4 2 3 3" xfId="16112" xr:uid="{B56D9B67-2838-4CA5-A7CE-EDB92D88BF70}"/>
    <cellStyle name="Note 4 2 3 4" xfId="34826" xr:uid="{AF371E8B-5E75-4255-B877-CEF37E8FF512}"/>
    <cellStyle name="Note 4 2 4" xfId="16113" xr:uid="{C5B81765-DCDD-44EC-B974-82CE4E715204}"/>
    <cellStyle name="Note 4 2 4 2" xfId="16114" xr:uid="{A8DC199A-C14D-47FA-8FC1-B9B2773198D6}"/>
    <cellStyle name="Note 4 2 4 3" xfId="34827" xr:uid="{FBFB93B8-6DBC-4247-B654-916B2F64B8E4}"/>
    <cellStyle name="Note 4 2 4 4" xfId="34828" xr:uid="{67CB2DC6-6858-4A0D-9969-237F79854E0C}"/>
    <cellStyle name="Note 4 2 5" xfId="16115" xr:uid="{DF026230-8035-4B63-9DCB-109DD5452095}"/>
    <cellStyle name="Note 4 2 5 2" xfId="16116" xr:uid="{06571285-3E7B-4250-8A81-DC3FB828A550}"/>
    <cellStyle name="Note 4 2 5 3" xfId="34829" xr:uid="{858C2927-7F27-4F00-960A-99D94BC0A7AC}"/>
    <cellStyle name="Note 4 2 5 4" xfId="34830" xr:uid="{3FA2F2B7-B7A7-4C05-8355-4CD8AE9D7ECD}"/>
    <cellStyle name="Note 4 2 6" xfId="16117" xr:uid="{3B30AE03-A9D0-4B80-A654-571386B5B5EB}"/>
    <cellStyle name="Note 4 2 6 2" xfId="16118" xr:uid="{0D2EA596-F7F9-4F3E-A630-424F4970BEEC}"/>
    <cellStyle name="Note 4 2 6 3" xfId="34831" xr:uid="{A4A739B8-3D75-4BD0-8283-77DD96AE93F8}"/>
    <cellStyle name="Note 4 2 6 4" xfId="34832" xr:uid="{71BCACA8-C12E-4E07-B19B-B011AF584EC8}"/>
    <cellStyle name="Note 4 2 7" xfId="16119" xr:uid="{D3BB1AE6-CAAE-4F9A-879D-694207072AED}"/>
    <cellStyle name="Note 4 2 7 2" xfId="16120" xr:uid="{07095E96-FF1D-492B-B37E-B546FA7D1587}"/>
    <cellStyle name="Note 4 2 7 3" xfId="34833" xr:uid="{ED72F634-2844-4047-BB93-D364C82CAB8C}"/>
    <cellStyle name="Note 4 2 7 4" xfId="34834" xr:uid="{E9A41FD9-282D-4147-9E89-F3C06FAB05CE}"/>
    <cellStyle name="Note 4 2 8" xfId="16121" xr:uid="{84E65017-B3EB-4D02-BC1F-B9C1DE51801D}"/>
    <cellStyle name="Note 4 2 8 2" xfId="16122" xr:uid="{AE955864-382C-488E-8449-42A6A5204A73}"/>
    <cellStyle name="Note 4 2 8 3" xfId="34835" xr:uid="{ECD02FBA-B8EE-4200-911C-464F220449C6}"/>
    <cellStyle name="Note 4 2 8 4" xfId="34836" xr:uid="{C4BDC976-916D-4785-A8E2-C0D65B0CC21D}"/>
    <cellStyle name="Note 4 2 9" xfId="16123" xr:uid="{C7C3AF53-F9D1-4652-828B-A24B9CD7941B}"/>
    <cellStyle name="Note 4 2 9 2" xfId="16124" xr:uid="{5C56C7B4-85AE-408D-A532-1EBC2492018B}"/>
    <cellStyle name="Note 4 2 9 3" xfId="34837" xr:uid="{E1A25949-FED9-4992-A41E-2C895FBD4167}"/>
    <cellStyle name="Note 4 2 9 4" xfId="34838" xr:uid="{F34C4BF4-6848-410C-A9AF-AAA363B2134C}"/>
    <cellStyle name="Note 4 20" xfId="16125" xr:uid="{BA6F1A3F-07EF-4005-959B-69C522D21D3F}"/>
    <cellStyle name="Note 4 20 2" xfId="34839" xr:uid="{9BF3EF8D-01BD-4E41-9B85-455DA35DCC1D}"/>
    <cellStyle name="Note 4 21" xfId="16126" xr:uid="{8711B962-542D-429E-86D5-E26984F5E6EC}"/>
    <cellStyle name="Note 4 21 2" xfId="34840" xr:uid="{7BACFD43-FAF6-4183-8189-038603431A04}"/>
    <cellStyle name="Note 4 22" xfId="34841" xr:uid="{CF2FA7E2-C50B-4665-BC24-8308BA2AA3DA}"/>
    <cellStyle name="Note 4 23" xfId="34842" xr:uid="{C805ED23-746A-490F-95C0-95061878AF9E}"/>
    <cellStyle name="Note 4 3" xfId="16127" xr:uid="{6AE4D4F2-D3C6-4971-BB85-4AA8C74773F9}"/>
    <cellStyle name="Note 4 3 10" xfId="16128" xr:uid="{28BA3681-AE29-46CF-B99D-2C7D2E729CA9}"/>
    <cellStyle name="Note 4 3 10 2" xfId="34843" xr:uid="{AB19A3FE-55EE-4E79-B3F8-7AA680159D38}"/>
    <cellStyle name="Note 4 3 11" xfId="16129" xr:uid="{4C3E2E33-9A82-4EAD-819B-058FF23A2ADC}"/>
    <cellStyle name="Note 4 3 11 2" xfId="34844" xr:uid="{3173CD0B-FBE8-41F8-9D36-859CB329D3AD}"/>
    <cellStyle name="Note 4 3 12" xfId="34845" xr:uid="{F1C2A711-9A49-4D12-9131-A43B0F2BC36D}"/>
    <cellStyle name="Note 4 3 13" xfId="34846" xr:uid="{A7D47BF6-034E-48F6-8E8E-F9B1FC281F3F}"/>
    <cellStyle name="Note 4 3 2" xfId="16130" xr:uid="{7AE1F725-C8C3-4551-BACE-3398497893B4}"/>
    <cellStyle name="Note 4 3 2 10" xfId="16131" xr:uid="{66CA8511-A3A0-4D87-9FE4-BB364DF24627}"/>
    <cellStyle name="Note 4 3 2 10 2" xfId="34847" xr:uid="{70AFBC89-A80D-4573-9E42-AD7BD468F926}"/>
    <cellStyle name="Note 4 3 2 11" xfId="34848" xr:uid="{C1B00B7E-E5CD-44CE-8828-4FEDDB0E8046}"/>
    <cellStyle name="Note 4 3 2 12" xfId="34849" xr:uid="{52D65178-7B5F-405F-99CB-67115889FE8D}"/>
    <cellStyle name="Note 4 3 2 2" xfId="16132" xr:uid="{B84DC697-F7C8-4810-AE34-285A324D5249}"/>
    <cellStyle name="Note 4 3 2 2 2" xfId="16133" xr:uid="{5B1296BF-658C-44FF-9C84-9813A598D09D}"/>
    <cellStyle name="Note 4 3 2 2 2 2" xfId="16134" xr:uid="{704000F1-5F90-4428-9C33-19EDBD2E0D0C}"/>
    <cellStyle name="Note 4 3 2 2 3" xfId="16135" xr:uid="{637A9514-BD11-4691-9C70-A5B48478026B}"/>
    <cellStyle name="Note 4 3 2 2 4" xfId="34850" xr:uid="{E9F89350-FA66-484F-AD37-A44DE4E9610D}"/>
    <cellStyle name="Note 4 3 2 3" xfId="16136" xr:uid="{D9F7994B-EF16-441F-A3DD-C0E60E5F4750}"/>
    <cellStyle name="Note 4 3 2 3 2" xfId="16137" xr:uid="{A75383B8-05C2-4D45-B85D-E209ADEE3CED}"/>
    <cellStyle name="Note 4 3 2 3 3" xfId="34851" xr:uid="{9E00E927-3A85-4ECF-9CCC-30DF234CD165}"/>
    <cellStyle name="Note 4 3 2 3 4" xfId="34852" xr:uid="{B653675C-BBC9-4536-B592-0423CE98994D}"/>
    <cellStyle name="Note 4 3 2 4" xfId="16138" xr:uid="{047C44FC-FBFA-4B86-8DB6-F206A326F1E6}"/>
    <cellStyle name="Note 4 3 2 4 2" xfId="16139" xr:uid="{D35888F1-952B-4504-900E-F1805A425F1B}"/>
    <cellStyle name="Note 4 3 2 4 3" xfId="34853" xr:uid="{3EED8966-F929-42B7-9A0F-D9B69F45E7C9}"/>
    <cellStyle name="Note 4 3 2 4 4" xfId="34854" xr:uid="{9E8BAE24-4AD1-4383-B31E-E0B5B0D2108E}"/>
    <cellStyle name="Note 4 3 2 5" xfId="16140" xr:uid="{990FDCFD-C67F-44E5-A8EB-8D9FFE5BF9FE}"/>
    <cellStyle name="Note 4 3 2 5 2" xfId="16141" xr:uid="{FA924D9F-0A1C-4294-B01F-C9CCF92CCF7E}"/>
    <cellStyle name="Note 4 3 2 5 3" xfId="34855" xr:uid="{AEFF4E60-BAB2-4BB1-AB0C-8961C5AD0280}"/>
    <cellStyle name="Note 4 3 2 5 4" xfId="34856" xr:uid="{AB5FD5D4-D9F1-4E75-9055-95BC5F471376}"/>
    <cellStyle name="Note 4 3 2 6" xfId="16142" xr:uid="{C9D44FA5-6D74-4218-886F-2A9A6B218058}"/>
    <cellStyle name="Note 4 3 2 6 2" xfId="16143" xr:uid="{EEC7F06F-763F-48CA-83C1-FA1F39B4A906}"/>
    <cellStyle name="Note 4 3 2 6 3" xfId="34857" xr:uid="{774C0672-EABA-4EDC-8D39-DE771DF6EB00}"/>
    <cellStyle name="Note 4 3 2 6 4" xfId="34858" xr:uid="{ACF1F35C-E82C-45F9-8233-3B20723D3510}"/>
    <cellStyle name="Note 4 3 2 7" xfId="16144" xr:uid="{168DC4DA-50AA-43BA-9568-50EDFA768837}"/>
    <cellStyle name="Note 4 3 2 7 2" xfId="16145" xr:uid="{0C8F1F75-3CC8-4A7A-8727-DD524C6266AA}"/>
    <cellStyle name="Note 4 3 2 7 3" xfId="34859" xr:uid="{0CEEA719-C063-4A42-BE6C-61EBD9F61B52}"/>
    <cellStyle name="Note 4 3 2 7 4" xfId="34860" xr:uid="{9A1CF204-C8E0-419D-BB7A-06D8C176F388}"/>
    <cellStyle name="Note 4 3 2 8" xfId="16146" xr:uid="{24DA1320-BCCF-423B-BE9A-1F6E423543EE}"/>
    <cellStyle name="Note 4 3 2 8 2" xfId="16147" xr:uid="{2771BE5C-A0F9-4734-ABCF-38487483262F}"/>
    <cellStyle name="Note 4 3 2 8 3" xfId="34861" xr:uid="{8C8C5926-7053-4EB5-8A63-318A51FF7A7B}"/>
    <cellStyle name="Note 4 3 2 8 4" xfId="34862" xr:uid="{E9A2DB37-AC27-4EE8-9845-65449D34D9D5}"/>
    <cellStyle name="Note 4 3 2 9" xfId="16148" xr:uid="{F7EB69D3-7F6A-4CFA-9AA6-86114694BEAC}"/>
    <cellStyle name="Note 4 3 2 9 2" xfId="34863" xr:uid="{1616D036-92B5-4D7C-984B-BCFD34B06A62}"/>
    <cellStyle name="Note 4 3 3" xfId="16149" xr:uid="{9721DD91-E568-434C-A1F3-83AB9DCEE480}"/>
    <cellStyle name="Note 4 3 3 2" xfId="16150" xr:uid="{A07893BF-6A33-4511-85AE-0C778EA10B60}"/>
    <cellStyle name="Note 4 3 3 2 2" xfId="16151" xr:uid="{0F26D4CE-9B61-45F0-BD6A-25FC4A4071D4}"/>
    <cellStyle name="Note 4 3 3 3" xfId="16152" xr:uid="{939BE443-7660-4C39-A4C8-0B70BE9B8131}"/>
    <cellStyle name="Note 4 3 3 4" xfId="34864" xr:uid="{EFC3B5C9-D55C-4E2F-940D-6B70AFF9B18D}"/>
    <cellStyle name="Note 4 3 4" xfId="16153" xr:uid="{598071B3-F0BF-4CE7-B420-8A2B18A7AB9B}"/>
    <cellStyle name="Note 4 3 4 2" xfId="16154" xr:uid="{DE45CA4D-1C90-41E1-899F-5ACBE2AC60A9}"/>
    <cellStyle name="Note 4 3 4 3" xfId="34865" xr:uid="{85E05F1F-69B2-49C5-8D8D-0FF864D44E7D}"/>
    <cellStyle name="Note 4 3 4 4" xfId="34866" xr:uid="{0760A374-DBAD-4DD0-AAC2-DFFCFFFDE26D}"/>
    <cellStyle name="Note 4 3 5" xfId="16155" xr:uid="{0A143D4E-698F-410D-B720-17BF4F13D749}"/>
    <cellStyle name="Note 4 3 5 2" xfId="16156" xr:uid="{C0E6EFBC-8D30-4C76-8B7D-70D96F2A0A6D}"/>
    <cellStyle name="Note 4 3 5 3" xfId="34867" xr:uid="{3996DA56-F61A-4842-B506-79C9C54BCE44}"/>
    <cellStyle name="Note 4 3 5 4" xfId="34868" xr:uid="{469C78E9-3A59-4AA5-8C59-E11BC4CED876}"/>
    <cellStyle name="Note 4 3 6" xfId="16157" xr:uid="{6C42F3B2-BC27-42AF-8851-0FFFF9AA0F16}"/>
    <cellStyle name="Note 4 3 6 2" xfId="16158" xr:uid="{E89AAF35-AA7A-4860-8DF1-DAF856D301B8}"/>
    <cellStyle name="Note 4 3 6 3" xfId="34869" xr:uid="{85969672-E806-4A33-8048-D0256BE6D6D7}"/>
    <cellStyle name="Note 4 3 6 4" xfId="34870" xr:uid="{A07938F9-BD2F-4797-8C72-AF644A166F75}"/>
    <cellStyle name="Note 4 3 7" xfId="16159" xr:uid="{FC340CB8-0800-4698-9C0A-725743AC157C}"/>
    <cellStyle name="Note 4 3 7 2" xfId="16160" xr:uid="{6706AC3A-25DE-4350-8B37-C32C66F65993}"/>
    <cellStyle name="Note 4 3 7 3" xfId="34871" xr:uid="{0A9CEB51-ED64-49AC-97D9-B3E69B971972}"/>
    <cellStyle name="Note 4 3 7 4" xfId="34872" xr:uid="{8D1EB5A1-AA82-4EFE-AD7A-ACCF69B3727F}"/>
    <cellStyle name="Note 4 3 8" xfId="16161" xr:uid="{D2E56B44-5FE6-4B26-965D-8AF261DB12EB}"/>
    <cellStyle name="Note 4 3 8 2" xfId="16162" xr:uid="{443926D2-A67E-4E93-B3E0-2C499BBA6AB8}"/>
    <cellStyle name="Note 4 3 8 3" xfId="34873" xr:uid="{0701E917-C925-42C5-A83B-3FD288BF475B}"/>
    <cellStyle name="Note 4 3 8 4" xfId="34874" xr:uid="{889CAC8A-8DA6-41C0-9DB5-33B31FA70BD8}"/>
    <cellStyle name="Note 4 3 9" xfId="16163" xr:uid="{17421C38-7779-4ED7-9CFB-8EC7F3D055EC}"/>
    <cellStyle name="Note 4 3 9 2" xfId="16164" xr:uid="{CAF6F9A0-641A-474F-A43E-23645FEE2284}"/>
    <cellStyle name="Note 4 3 9 3" xfId="34875" xr:uid="{462E6BC5-AC5D-4ED1-B037-16378F3D196C}"/>
    <cellStyle name="Note 4 3 9 4" xfId="34876" xr:uid="{66DA8765-E781-43A4-9631-06E9B6D7FD85}"/>
    <cellStyle name="Note 4 3_ELC_final" xfId="34877" xr:uid="{DF5C1B14-9300-46C6-8984-10759A184F1B}"/>
    <cellStyle name="Note 4 4" xfId="16165" xr:uid="{F83B0B8E-F425-4C67-A47D-F48F135F92D9}"/>
    <cellStyle name="Note 4 4 10" xfId="16166" xr:uid="{2BAD7E51-27AE-4B87-B02D-B6DBAE06251C}"/>
    <cellStyle name="Note 4 4 10 2" xfId="34878" xr:uid="{8B9EF888-0646-4275-B0D9-5AA9B2941FB6}"/>
    <cellStyle name="Note 4 4 11" xfId="16167" xr:uid="{41B2C7FF-0E9F-4022-A99A-445B550F82BD}"/>
    <cellStyle name="Note 4 4 11 2" xfId="34879" xr:uid="{163659BF-3F7E-49A0-A6AD-17A34723E087}"/>
    <cellStyle name="Note 4 4 12" xfId="34880" xr:uid="{051788E0-56E4-4DDB-8225-A4BA46BB2142}"/>
    <cellStyle name="Note 4 4 13" xfId="34881" xr:uid="{6DBD45B3-1935-4BBF-8DC7-6D73F443F625}"/>
    <cellStyle name="Note 4 4 2" xfId="16168" xr:uid="{AFC608D2-8541-452A-8048-C8AA62EF563E}"/>
    <cellStyle name="Note 4 4 2 10" xfId="16169" xr:uid="{D226F223-C0E7-4DA6-BD83-0667ABA79B5F}"/>
    <cellStyle name="Note 4 4 2 10 2" xfId="34882" xr:uid="{C9683E59-B47C-45CF-9068-64A6638DEE59}"/>
    <cellStyle name="Note 4 4 2 11" xfId="34883" xr:uid="{2EF7B9E3-881C-44C1-AD16-C86E12D0DB71}"/>
    <cellStyle name="Note 4 4 2 2" xfId="16170" xr:uid="{8B175824-0D77-48D6-A99F-E0770699AB2A}"/>
    <cellStyle name="Note 4 4 2 2 2" xfId="16171" xr:uid="{E12C9838-35D5-4210-9578-25535CE4FB82}"/>
    <cellStyle name="Note 4 4 2 2 2 2" xfId="16172" xr:uid="{E359E3E2-FC94-4817-9D89-8CC0A73F64C2}"/>
    <cellStyle name="Note 4 4 2 2 3" xfId="16173" xr:uid="{31666C58-13CA-4FF8-BCAE-CE84118AB594}"/>
    <cellStyle name="Note 4 4 2 2 4" xfId="34884" xr:uid="{362A8B72-2719-465F-9345-1A476A33D84C}"/>
    <cellStyle name="Note 4 4 2 3" xfId="16174" xr:uid="{18E6910D-8B6E-423E-89A0-9F957D0DF6A2}"/>
    <cellStyle name="Note 4 4 2 3 2" xfId="16175" xr:uid="{6348FD7B-9D51-4F40-978B-7D37D4493885}"/>
    <cellStyle name="Note 4 4 2 3 3" xfId="34885" xr:uid="{656F07DB-E1CD-45A6-A0C6-3B42A79BF559}"/>
    <cellStyle name="Note 4 4 2 3 4" xfId="34886" xr:uid="{9FD23146-BD4F-4C11-9AA1-7020155DB419}"/>
    <cellStyle name="Note 4 4 2 4" xfId="16176" xr:uid="{CEAEC0DF-22BA-475B-A626-FA9D091A7992}"/>
    <cellStyle name="Note 4 4 2 4 2" xfId="16177" xr:uid="{92BDD9F3-BF5A-43AA-8C3A-FA90DE07266F}"/>
    <cellStyle name="Note 4 4 2 4 3" xfId="34887" xr:uid="{78CA0C6B-936F-4207-BF06-9423579A7307}"/>
    <cellStyle name="Note 4 4 2 4 4" xfId="34888" xr:uid="{2ACD2FEB-C454-41D4-8DE7-ED9AC65BE55A}"/>
    <cellStyle name="Note 4 4 2 5" xfId="16178" xr:uid="{EB0A61FE-9021-4B96-87A4-3D7CB8393B17}"/>
    <cellStyle name="Note 4 4 2 5 2" xfId="16179" xr:uid="{F1F22060-535C-4B95-BAC7-05FCCD34BF58}"/>
    <cellStyle name="Note 4 4 2 5 3" xfId="34889" xr:uid="{CE2810DC-41F0-4E1C-93B9-809EFEB4848F}"/>
    <cellStyle name="Note 4 4 2 5 4" xfId="34890" xr:uid="{852DD779-7896-454C-A598-7A0E6495BFAD}"/>
    <cellStyle name="Note 4 4 2 6" xfId="16180" xr:uid="{47F45993-A318-4562-9390-6D23EDB96E61}"/>
    <cellStyle name="Note 4 4 2 6 2" xfId="16181" xr:uid="{DF13019C-37B6-47F8-BEAF-6436A5199E27}"/>
    <cellStyle name="Note 4 4 2 6 3" xfId="34891" xr:uid="{718B5699-0D7F-445C-A430-96684CBB7B64}"/>
    <cellStyle name="Note 4 4 2 6 4" xfId="34892" xr:uid="{679B1713-1905-4C0B-AC68-AA78B76A3F42}"/>
    <cellStyle name="Note 4 4 2 7" xfId="16182" xr:uid="{DA4985B1-9F0F-433B-808B-68296243EA6E}"/>
    <cellStyle name="Note 4 4 2 7 2" xfId="16183" xr:uid="{CABD3657-54C0-48EA-99C4-8FE3F28C32FE}"/>
    <cellStyle name="Note 4 4 2 7 3" xfId="34893" xr:uid="{459E72D0-A141-4D89-86A9-EEC615CD1125}"/>
    <cellStyle name="Note 4 4 2 7 4" xfId="34894" xr:uid="{8299AC77-CB9A-42E4-BB03-61A32E9CB98E}"/>
    <cellStyle name="Note 4 4 2 8" xfId="16184" xr:uid="{1EA9BC7E-BFC1-48E3-B2C5-7BE0004E6C2A}"/>
    <cellStyle name="Note 4 4 2 8 2" xfId="16185" xr:uid="{412D7244-B2F9-4883-9A4C-4121C444D3A0}"/>
    <cellStyle name="Note 4 4 2 8 3" xfId="34895" xr:uid="{0E5977D1-780D-4E64-9FE0-D47BA7F0FF49}"/>
    <cellStyle name="Note 4 4 2 8 4" xfId="34896" xr:uid="{543973C2-F2C5-4A57-B142-FDE2094EE18A}"/>
    <cellStyle name="Note 4 4 2 9" xfId="16186" xr:uid="{5E1F14AD-BF55-4C2E-8785-1F6D65BAB7EE}"/>
    <cellStyle name="Note 4 4 2 9 2" xfId="34897" xr:uid="{F9EA3D4A-5839-496D-B922-08519E135335}"/>
    <cellStyle name="Note 4 4 3" xfId="16187" xr:uid="{C6C20924-1EC6-49A1-B478-B6B2845F554F}"/>
    <cellStyle name="Note 4 4 3 2" xfId="16188" xr:uid="{B830E800-C437-4894-B074-9E0C5E4F7CA8}"/>
    <cellStyle name="Note 4 4 3 2 2" xfId="16189" xr:uid="{E6801963-D7E0-41EA-80E7-17DCD3652B4C}"/>
    <cellStyle name="Note 4 4 3 3" xfId="16190" xr:uid="{6DAE1376-A025-474F-B5A3-1A92B2E75937}"/>
    <cellStyle name="Note 4 4 3 4" xfId="34898" xr:uid="{9D81507A-BA5D-448F-893E-36A1755F661F}"/>
    <cellStyle name="Note 4 4 4" xfId="16191" xr:uid="{0D75CCC6-933D-4F40-A4C8-7BE20E1C078D}"/>
    <cellStyle name="Note 4 4 4 2" xfId="16192" xr:uid="{42AE186A-A46D-4A5B-941C-7361CBEABDD5}"/>
    <cellStyle name="Note 4 4 4 3" xfId="34899" xr:uid="{FA50FF6C-D0FD-4FC9-B361-558B57D3A69F}"/>
    <cellStyle name="Note 4 4 4 4" xfId="34900" xr:uid="{DF2ADBD4-1EE9-4377-A7B4-75D315874427}"/>
    <cellStyle name="Note 4 4 5" xfId="16193" xr:uid="{6A581E8C-8A03-4CD6-964B-358EA320D444}"/>
    <cellStyle name="Note 4 4 5 2" xfId="16194" xr:uid="{66E5451E-9E28-442E-B8B0-0C9F21B77C39}"/>
    <cellStyle name="Note 4 4 5 3" xfId="34901" xr:uid="{7CEE5F8C-866A-423E-9949-A8229A601485}"/>
    <cellStyle name="Note 4 4 5 4" xfId="34902" xr:uid="{7E626992-1EC8-4183-8299-0E0959841ED8}"/>
    <cellStyle name="Note 4 4 6" xfId="16195" xr:uid="{E88EECB2-0C1F-42C3-88EB-EE33E23AEB23}"/>
    <cellStyle name="Note 4 4 6 2" xfId="16196" xr:uid="{C3B43419-46B7-4A2A-9639-578B12E15DD5}"/>
    <cellStyle name="Note 4 4 6 3" xfId="34903" xr:uid="{E95C0384-9904-4596-92C7-9D788C362EAA}"/>
    <cellStyle name="Note 4 4 6 4" xfId="34904" xr:uid="{0DC6BF97-DBEB-4300-B9FF-9B83E6970878}"/>
    <cellStyle name="Note 4 4 7" xfId="16197" xr:uid="{7AFF7CC0-77D0-4022-883F-6C2A819F2120}"/>
    <cellStyle name="Note 4 4 7 2" xfId="16198" xr:uid="{75FE9D76-717D-439D-8685-BBB281E5A712}"/>
    <cellStyle name="Note 4 4 7 3" xfId="34905" xr:uid="{7464CA70-406B-4208-ACFD-22AEDDFA4F62}"/>
    <cellStyle name="Note 4 4 7 4" xfId="34906" xr:uid="{110402EB-7BE4-4F02-955B-579F9410E8C9}"/>
    <cellStyle name="Note 4 4 8" xfId="16199" xr:uid="{9B7E3FD7-06E0-4437-AD36-6625684E8227}"/>
    <cellStyle name="Note 4 4 8 2" xfId="16200" xr:uid="{E7AF6E64-67C0-4D3B-824F-B96D666A79A7}"/>
    <cellStyle name="Note 4 4 8 3" xfId="34907" xr:uid="{4DBF0327-7A98-4366-AE8C-AB54CFE96AF7}"/>
    <cellStyle name="Note 4 4 8 4" xfId="34908" xr:uid="{6968D4AA-3C77-4376-BF5B-8479A111F366}"/>
    <cellStyle name="Note 4 4 9" xfId="16201" xr:uid="{2A67358D-2D0C-4874-9D8A-96B62926DF18}"/>
    <cellStyle name="Note 4 4 9 2" xfId="16202" xr:uid="{1D3EFDBB-F989-4E3B-B387-C0063D88A877}"/>
    <cellStyle name="Note 4 4 9 3" xfId="34909" xr:uid="{7CC1C2FD-A225-43C1-8A36-16F7462760B0}"/>
    <cellStyle name="Note 4 4 9 4" xfId="34910" xr:uid="{DEB2EA01-2414-4831-A0A7-8A971DDE6538}"/>
    <cellStyle name="Note 4 5" xfId="16203" xr:uid="{E3C1231B-3F0C-4D47-802B-1649A637ADC1}"/>
    <cellStyle name="Note 4 5 10" xfId="16204" xr:uid="{1D2E7FCB-9ABF-4EDB-8D11-4E43B532D740}"/>
    <cellStyle name="Note 4 5 10 2" xfId="34911" xr:uid="{F60F5679-E609-474F-982D-28854B8DE3CC}"/>
    <cellStyle name="Note 4 5 11" xfId="16205" xr:uid="{BEBCC866-BC0B-44F1-B7DA-B89FB5F6A606}"/>
    <cellStyle name="Note 4 5 11 2" xfId="34912" xr:uid="{40A513B9-A0D9-40BA-A13A-24FDC4C16F1A}"/>
    <cellStyle name="Note 4 5 12" xfId="34913" xr:uid="{52597E35-E839-4878-8B80-9238241AE660}"/>
    <cellStyle name="Note 4 5 2" xfId="16206" xr:uid="{7D25E656-C056-4DCC-BF79-B5FCCBE5AEA3}"/>
    <cellStyle name="Note 4 5 2 10" xfId="16207" xr:uid="{AEC9BDE3-61C3-4220-BC54-84763151E316}"/>
    <cellStyle name="Note 4 5 2 10 2" xfId="34914" xr:uid="{9E7FE0BD-877A-4B79-8A5E-ABC9186184E5}"/>
    <cellStyle name="Note 4 5 2 11" xfId="34915" xr:uid="{E1177726-0F4A-437F-9B0B-F4590811EBA5}"/>
    <cellStyle name="Note 4 5 2 2" xfId="16208" xr:uid="{36E6BC36-08C9-4E88-B23C-9A0FC5E21CB6}"/>
    <cellStyle name="Note 4 5 2 2 2" xfId="16209" xr:uid="{4327E6A3-8A99-446F-B9B7-C7951537D7EE}"/>
    <cellStyle name="Note 4 5 2 2 2 2" xfId="16210" xr:uid="{B8096A85-470E-40AD-82B4-3D1D0C73BB05}"/>
    <cellStyle name="Note 4 5 2 2 3" xfId="16211" xr:uid="{143F2EBB-DA32-4A55-946D-02E952F24289}"/>
    <cellStyle name="Note 4 5 2 2 4" xfId="34916" xr:uid="{186CAE79-E23E-4A6F-A880-06E8B71B5EE5}"/>
    <cellStyle name="Note 4 5 2 3" xfId="16212" xr:uid="{73A2C2F7-22BF-4944-9EE8-F867F5E76E4C}"/>
    <cellStyle name="Note 4 5 2 3 2" xfId="16213" xr:uid="{F31B9B1B-0F38-4AF8-B200-E1FEB86AF7BC}"/>
    <cellStyle name="Note 4 5 2 3 3" xfId="34917" xr:uid="{20D07216-DF4A-4698-A0EE-17D9C5C05703}"/>
    <cellStyle name="Note 4 5 2 3 4" xfId="34918" xr:uid="{C1B944AA-56B5-4B2B-8E70-B6DF3152E130}"/>
    <cellStyle name="Note 4 5 2 4" xfId="16214" xr:uid="{C1730350-3681-4405-8726-A67401B7E170}"/>
    <cellStyle name="Note 4 5 2 4 2" xfId="16215" xr:uid="{BA93A749-DD35-455E-979B-65C7B9439E94}"/>
    <cellStyle name="Note 4 5 2 4 3" xfId="34919" xr:uid="{8B7D2818-8EC8-4F6C-A950-DC3766ED62CE}"/>
    <cellStyle name="Note 4 5 2 4 4" xfId="34920" xr:uid="{9F21186D-1EFD-4088-8274-AE9EB34726AB}"/>
    <cellStyle name="Note 4 5 2 5" xfId="16216" xr:uid="{680679EE-A80E-4ECC-B2F8-1B8E0C3E1AA9}"/>
    <cellStyle name="Note 4 5 2 5 2" xfId="16217" xr:uid="{5424FC33-1157-4AF1-A744-C6A471226531}"/>
    <cellStyle name="Note 4 5 2 5 3" xfId="34921" xr:uid="{7E28D368-8FDD-470B-B062-2B061DA976D2}"/>
    <cellStyle name="Note 4 5 2 5 4" xfId="34922" xr:uid="{34309E9B-A3D5-44ED-9837-7F08BFE21DC6}"/>
    <cellStyle name="Note 4 5 2 6" xfId="16218" xr:uid="{E40B537D-90A9-44AB-9658-67321416AA50}"/>
    <cellStyle name="Note 4 5 2 6 2" xfId="16219" xr:uid="{D759F3DB-4736-455D-B3B2-8C77B8BD0331}"/>
    <cellStyle name="Note 4 5 2 6 3" xfId="34923" xr:uid="{CA3B6FC3-6F22-41D5-9A72-FF184456CA97}"/>
    <cellStyle name="Note 4 5 2 6 4" xfId="34924" xr:uid="{53370640-0E89-4514-8394-4E56175A2FA1}"/>
    <cellStyle name="Note 4 5 2 7" xfId="16220" xr:uid="{39F14F65-7E95-4A99-A35A-3485B51FDA58}"/>
    <cellStyle name="Note 4 5 2 7 2" xfId="16221" xr:uid="{F46C80AE-EFA1-4717-86F2-9451FBF3ACDA}"/>
    <cellStyle name="Note 4 5 2 7 3" xfId="34925" xr:uid="{DD00220A-EC98-4930-B3A4-9AAE47060653}"/>
    <cellStyle name="Note 4 5 2 7 4" xfId="34926" xr:uid="{C923FA9B-BB6D-4EFA-B94A-B86FFB3B7948}"/>
    <cellStyle name="Note 4 5 2 8" xfId="16222" xr:uid="{B1A82B6B-30D2-41A4-BF8A-88F40B30F107}"/>
    <cellStyle name="Note 4 5 2 8 2" xfId="16223" xr:uid="{934F503D-3AAE-467E-A3F9-1CA4751D08D0}"/>
    <cellStyle name="Note 4 5 2 8 3" xfId="34927" xr:uid="{8484DB0A-386B-45D2-AC39-47E6CB56E712}"/>
    <cellStyle name="Note 4 5 2 8 4" xfId="34928" xr:uid="{0BD9ED18-E4C1-41E4-9398-5B83E6C97964}"/>
    <cellStyle name="Note 4 5 2 9" xfId="16224" xr:uid="{D3982564-322E-4DE9-8246-BC990C610A57}"/>
    <cellStyle name="Note 4 5 2 9 2" xfId="34929" xr:uid="{033FE3D3-AEB8-4967-8076-F7106D22DCEE}"/>
    <cellStyle name="Note 4 5 3" xfId="16225" xr:uid="{8A91CD02-C129-4D44-B114-E1CBB53DACD2}"/>
    <cellStyle name="Note 4 5 3 2" xfId="16226" xr:uid="{0335EA47-6D2E-4031-A6A7-BB4860DAE0E4}"/>
    <cellStyle name="Note 4 5 3 2 2" xfId="16227" xr:uid="{992A77F6-3906-426D-A60A-D64CB853C73A}"/>
    <cellStyle name="Note 4 5 3 3" xfId="16228" xr:uid="{D22D1FCC-CB35-48C5-B42C-A21297A20F46}"/>
    <cellStyle name="Note 4 5 3 4" xfId="34930" xr:uid="{C4DF4BC0-DF16-40D6-A254-F0ADD6BEF448}"/>
    <cellStyle name="Note 4 5 4" xfId="16229" xr:uid="{A8AD3088-C7D6-431B-9D80-4F260ACC00D8}"/>
    <cellStyle name="Note 4 5 4 2" xfId="16230" xr:uid="{4205E5AF-0B96-44C2-B977-1C72A03C8346}"/>
    <cellStyle name="Note 4 5 4 3" xfId="34931" xr:uid="{2083D892-6035-44D1-A910-742B01615A38}"/>
    <cellStyle name="Note 4 5 4 4" xfId="34932" xr:uid="{7231F489-8EB8-4769-BB17-44CF7BEFC6E0}"/>
    <cellStyle name="Note 4 5 5" xfId="16231" xr:uid="{1AA492D2-4390-4786-AD03-1A511E22450B}"/>
    <cellStyle name="Note 4 5 5 2" xfId="16232" xr:uid="{79C363EA-FDE3-438B-9513-73EAC8B54CE6}"/>
    <cellStyle name="Note 4 5 5 3" xfId="34933" xr:uid="{F28FE034-8FDD-45C1-984D-02D263F12D62}"/>
    <cellStyle name="Note 4 5 5 4" xfId="34934" xr:uid="{42686100-761F-44E2-A706-0A0014A164D1}"/>
    <cellStyle name="Note 4 5 6" xfId="16233" xr:uid="{A7AE4500-37AB-4A5F-BF9C-51FAD97803A6}"/>
    <cellStyle name="Note 4 5 6 2" xfId="16234" xr:uid="{F183805E-D668-4C83-A2E1-4772EF6CD5C1}"/>
    <cellStyle name="Note 4 5 6 3" xfId="34935" xr:uid="{AEBF817A-9509-41A3-A20D-C015DADA50E5}"/>
    <cellStyle name="Note 4 5 6 4" xfId="34936" xr:uid="{DC57E73C-D293-4BF7-BBAF-473728201695}"/>
    <cellStyle name="Note 4 5 7" xfId="16235" xr:uid="{2C25EAC6-89EC-430C-B5C4-DB710D29354E}"/>
    <cellStyle name="Note 4 5 7 2" xfId="16236" xr:uid="{7EA8AACF-46F3-4A11-8205-C7CA2B0205C6}"/>
    <cellStyle name="Note 4 5 7 3" xfId="34937" xr:uid="{0C6582FA-37DD-44CB-B2EA-D31CD702EF82}"/>
    <cellStyle name="Note 4 5 7 4" xfId="34938" xr:uid="{92E0810D-1F25-4813-ACED-6726DC8ABD3B}"/>
    <cellStyle name="Note 4 5 8" xfId="16237" xr:uid="{0D26BFDD-1691-46A9-A055-419635BF6A6D}"/>
    <cellStyle name="Note 4 5 8 2" xfId="16238" xr:uid="{561CC3C9-D2FF-487D-BA30-BC3F8BA92E30}"/>
    <cellStyle name="Note 4 5 8 3" xfId="34939" xr:uid="{A7F6BCF8-D965-43E3-BA2F-EEC5B86A5423}"/>
    <cellStyle name="Note 4 5 8 4" xfId="34940" xr:uid="{10763F8A-1828-45FD-8376-BCC8A689EECC}"/>
    <cellStyle name="Note 4 5 9" xfId="16239" xr:uid="{96EDBA5C-47F3-4EB5-AD89-A464F1598FC8}"/>
    <cellStyle name="Note 4 5 9 2" xfId="16240" xr:uid="{29BF841D-594E-4227-8C7E-A7B6C8718FC5}"/>
    <cellStyle name="Note 4 5 9 3" xfId="34941" xr:uid="{7DD94170-262A-4EFC-BDC4-C6C4017B6D31}"/>
    <cellStyle name="Note 4 5 9 4" xfId="34942" xr:uid="{71505E26-A27D-442D-942A-57584159F7B5}"/>
    <cellStyle name="Note 4 6" xfId="16241" xr:uid="{EF6036CE-FF69-465C-900E-BA9A0FB60491}"/>
    <cellStyle name="Note 4 6 10" xfId="16242" xr:uid="{AAC6710C-39B4-4771-AF92-9849452D26FE}"/>
    <cellStyle name="Note 4 6 10 2" xfId="34943" xr:uid="{A6577C8F-41B2-4634-B220-C13D60E07E66}"/>
    <cellStyle name="Note 4 6 11" xfId="16243" xr:uid="{73D286F1-B0F3-425E-B8A2-9147538C1242}"/>
    <cellStyle name="Note 4 6 11 2" xfId="34944" xr:uid="{13F7DA11-1962-44C6-B65C-1E89D82D0CAC}"/>
    <cellStyle name="Note 4 6 12" xfId="34945" xr:uid="{79CAC941-3FFB-4DF4-9223-5E1D9FE86DE4}"/>
    <cellStyle name="Note 4 6 2" xfId="16244" xr:uid="{BA67D434-A144-4396-8A47-05626346C5D6}"/>
    <cellStyle name="Note 4 6 2 10" xfId="16245" xr:uid="{5AD2D7E4-B855-4B4E-BA6F-4FE54A878744}"/>
    <cellStyle name="Note 4 6 2 10 2" xfId="34946" xr:uid="{FA57367F-2B98-4319-96F6-59A82260FC05}"/>
    <cellStyle name="Note 4 6 2 11" xfId="34947" xr:uid="{06688B22-3585-4F95-A6EB-B3CA771DD629}"/>
    <cellStyle name="Note 4 6 2 2" xfId="16246" xr:uid="{226E082E-BA3A-4CC1-B29B-B88B3351C439}"/>
    <cellStyle name="Note 4 6 2 2 2" xfId="16247" xr:uid="{6D9A4AE3-DABB-493D-B532-D2A87F240520}"/>
    <cellStyle name="Note 4 6 2 2 2 2" xfId="16248" xr:uid="{764E9950-D0CD-4D5F-8B5C-6E9A355E9803}"/>
    <cellStyle name="Note 4 6 2 2 3" xfId="16249" xr:uid="{F98367FA-50E4-419E-9ED5-4EE760773180}"/>
    <cellStyle name="Note 4 6 2 2 4" xfId="34948" xr:uid="{BEA61582-3ED6-4ED7-A990-05EBFB307391}"/>
    <cellStyle name="Note 4 6 2 3" xfId="16250" xr:uid="{168F2FAA-6D1E-40D8-A248-3602FD42D9E1}"/>
    <cellStyle name="Note 4 6 2 3 2" xfId="16251" xr:uid="{FB8DBC9E-0F3C-43B2-AD4D-3174241C9EC9}"/>
    <cellStyle name="Note 4 6 2 3 3" xfId="34949" xr:uid="{BDE79339-E833-45B9-AA64-6AD69355738F}"/>
    <cellStyle name="Note 4 6 2 3 4" xfId="34950" xr:uid="{DEB04350-6656-4045-A3E3-DE856D30107B}"/>
    <cellStyle name="Note 4 6 2 4" xfId="16252" xr:uid="{286841C6-EA74-4AAA-94C5-826D5C4C880F}"/>
    <cellStyle name="Note 4 6 2 4 2" xfId="16253" xr:uid="{69FEC350-3E38-429D-B2E5-69EA89B3E586}"/>
    <cellStyle name="Note 4 6 2 4 3" xfId="34951" xr:uid="{ECB66B7E-AE61-4BF4-8D70-2D0539832267}"/>
    <cellStyle name="Note 4 6 2 4 4" xfId="34952" xr:uid="{F47083A3-AABF-420A-8B9A-DBA3A0A1A43C}"/>
    <cellStyle name="Note 4 6 2 5" xfId="16254" xr:uid="{7F716349-8DD5-4B1B-B913-32CD36160296}"/>
    <cellStyle name="Note 4 6 2 5 2" xfId="16255" xr:uid="{BC7C8E1D-3D74-4D74-89DF-01C89821B3B9}"/>
    <cellStyle name="Note 4 6 2 5 3" xfId="34953" xr:uid="{606D5F98-CD29-4E62-8C22-AD64A6BE077C}"/>
    <cellStyle name="Note 4 6 2 5 4" xfId="34954" xr:uid="{BCD17800-598B-430E-A5D7-264067DBACB4}"/>
    <cellStyle name="Note 4 6 2 6" xfId="16256" xr:uid="{B5183531-A30D-498E-A558-1A88B5818E53}"/>
    <cellStyle name="Note 4 6 2 6 2" xfId="16257" xr:uid="{DC46C308-049E-4DE5-80CE-714B3A677126}"/>
    <cellStyle name="Note 4 6 2 6 3" xfId="34955" xr:uid="{27621B5F-5C48-44EC-B582-3312E575C4D4}"/>
    <cellStyle name="Note 4 6 2 6 4" xfId="34956" xr:uid="{4B3CF48C-3DA4-490C-A5F5-BAC916C9FEA8}"/>
    <cellStyle name="Note 4 6 2 7" xfId="16258" xr:uid="{7339C623-309F-4355-BA4F-1472E192EB48}"/>
    <cellStyle name="Note 4 6 2 7 2" xfId="16259" xr:uid="{E4BEA1D0-2EB5-4BD1-AC41-DFEA3DCCCAC7}"/>
    <cellStyle name="Note 4 6 2 7 3" xfId="34957" xr:uid="{BC98C062-410A-44E4-A751-787424320A85}"/>
    <cellStyle name="Note 4 6 2 7 4" xfId="34958" xr:uid="{90CCD9D8-B0D4-4F5B-8AE5-AB4C64CB5DE9}"/>
    <cellStyle name="Note 4 6 2 8" xfId="16260" xr:uid="{ABACC3BE-D2F9-437E-BF5D-833017E8C154}"/>
    <cellStyle name="Note 4 6 2 8 2" xfId="16261" xr:uid="{C704FE6A-F3BA-41A7-A82F-8A60213233B8}"/>
    <cellStyle name="Note 4 6 2 8 3" xfId="34959" xr:uid="{F59F34D8-C2E1-4D7D-AF64-BC4FCC2E1F0D}"/>
    <cellStyle name="Note 4 6 2 8 4" xfId="34960" xr:uid="{77B3C944-E57D-4121-8BAC-110A434F3472}"/>
    <cellStyle name="Note 4 6 2 9" xfId="16262" xr:uid="{0F468895-8544-4025-BBD7-DB7A38916016}"/>
    <cellStyle name="Note 4 6 2 9 2" xfId="34961" xr:uid="{289452AE-C51A-4FB1-853B-D6044F47ABF1}"/>
    <cellStyle name="Note 4 6 3" xfId="16263" xr:uid="{A9953BD5-E806-411F-ABE1-7FC2EBE4C54C}"/>
    <cellStyle name="Note 4 6 3 2" xfId="16264" xr:uid="{0B3E5787-A6E3-40ED-94FE-4910A55729E0}"/>
    <cellStyle name="Note 4 6 3 2 2" xfId="16265" xr:uid="{E87AB68B-F955-4294-9E89-77B8467746F4}"/>
    <cellStyle name="Note 4 6 3 3" xfId="16266" xr:uid="{235FDE5B-AEF4-4636-8AD9-C0BD03D1B15A}"/>
    <cellStyle name="Note 4 6 3 4" xfId="34962" xr:uid="{642A0701-D60F-4212-9967-ADF14A26A6C9}"/>
    <cellStyle name="Note 4 6 4" xfId="16267" xr:uid="{6371B9B6-2BE4-42C8-AC9E-1F54A7EA57A3}"/>
    <cellStyle name="Note 4 6 4 2" xfId="16268" xr:uid="{9EA313B6-5471-4C6A-9EA9-44D1BA14FB40}"/>
    <cellStyle name="Note 4 6 4 3" xfId="34963" xr:uid="{D120ED33-1733-489E-AABD-C6B094419246}"/>
    <cellStyle name="Note 4 6 4 4" xfId="34964" xr:uid="{0CFF0174-1AE0-44AC-8193-9DE0785900EA}"/>
    <cellStyle name="Note 4 6 5" xfId="16269" xr:uid="{AB118C04-C6C0-42BB-9A6B-95A668E28EE5}"/>
    <cellStyle name="Note 4 6 5 2" xfId="16270" xr:uid="{02482322-7C85-4484-B0D5-AE61CBB7DF6D}"/>
    <cellStyle name="Note 4 6 5 3" xfId="34965" xr:uid="{BF8F4343-1F5E-4765-AD47-5DEC2E6B9ABB}"/>
    <cellStyle name="Note 4 6 5 4" xfId="34966" xr:uid="{0AEED6BB-20E3-4C09-88E4-2959F299DDC0}"/>
    <cellStyle name="Note 4 6 6" xfId="16271" xr:uid="{5E98D6C6-525C-451E-8148-5BB5BA55E801}"/>
    <cellStyle name="Note 4 6 6 2" xfId="16272" xr:uid="{CDD577A7-2B67-4F3F-98E6-AF3700A8CDAC}"/>
    <cellStyle name="Note 4 6 6 3" xfId="34967" xr:uid="{D79E1401-5C0A-4D1B-A845-98B760735282}"/>
    <cellStyle name="Note 4 6 6 4" xfId="34968" xr:uid="{FE167C8D-9BBC-4D8A-8179-B635675795FD}"/>
    <cellStyle name="Note 4 6 7" xfId="16273" xr:uid="{698EEC45-583F-409F-B3A3-5A60087AE909}"/>
    <cellStyle name="Note 4 6 7 2" xfId="16274" xr:uid="{11C403A9-8007-41E8-90E3-39BFD81546CA}"/>
    <cellStyle name="Note 4 6 7 3" xfId="34969" xr:uid="{CCDD05B7-90BB-4F54-8D2A-54DB7465BB62}"/>
    <cellStyle name="Note 4 6 7 4" xfId="34970" xr:uid="{E15248B1-4DA5-470C-B717-408158C86701}"/>
    <cellStyle name="Note 4 6 8" xfId="16275" xr:uid="{395ADC5A-CF9E-4554-8F9D-7ADBAD5024A9}"/>
    <cellStyle name="Note 4 6 8 2" xfId="16276" xr:uid="{CBF51A82-5FCA-4B57-81F6-1C4FEDB278D2}"/>
    <cellStyle name="Note 4 6 8 3" xfId="34971" xr:uid="{7C253E76-30EB-4ADB-AD98-9BD78AFDFA92}"/>
    <cellStyle name="Note 4 6 8 4" xfId="34972" xr:uid="{12C5ADF6-9C25-4AD9-B2C4-10A052D09AD4}"/>
    <cellStyle name="Note 4 6 9" xfId="16277" xr:uid="{0E162FC0-BF43-4FB5-B2E9-7FBDAF1F9655}"/>
    <cellStyle name="Note 4 6 9 2" xfId="16278" xr:uid="{D731A64C-4D8B-448D-9AE6-9D7945BC23F2}"/>
    <cellStyle name="Note 4 6 9 3" xfId="34973" xr:uid="{09CA2689-9758-477D-A005-925362287AF7}"/>
    <cellStyle name="Note 4 6 9 4" xfId="34974" xr:uid="{06C924FC-6DBA-405D-8F32-1CF233B42130}"/>
    <cellStyle name="Note 4 7" xfId="16279" xr:uid="{D5206353-CF42-4056-8B23-215FF965FF33}"/>
    <cellStyle name="Note 4 7 10" xfId="16280" xr:uid="{6DD27C64-332B-4772-822C-32CF2EFC7B94}"/>
    <cellStyle name="Note 4 7 10 2" xfId="34975" xr:uid="{6B5B0A43-E233-4B58-B31E-D29F35ABC7E5}"/>
    <cellStyle name="Note 4 7 11" xfId="16281" xr:uid="{D3C2EEFA-69A3-4482-8B28-71D00B813C56}"/>
    <cellStyle name="Note 4 7 11 2" xfId="34976" xr:uid="{665D3E8D-00B3-4B19-9FB0-EAD7E0CBA0AE}"/>
    <cellStyle name="Note 4 7 12" xfId="34977" xr:uid="{2B8AD863-9E28-4CF7-B9DF-4976455F4D36}"/>
    <cellStyle name="Note 4 7 2" xfId="16282" xr:uid="{21183212-CA04-469F-821D-CB18203F9B2A}"/>
    <cellStyle name="Note 4 7 2 10" xfId="16283" xr:uid="{2167921A-F20B-40DB-9D46-9772AC051207}"/>
    <cellStyle name="Note 4 7 2 10 2" xfId="34978" xr:uid="{917C2EBA-8E33-4172-881A-940D58E58D6D}"/>
    <cellStyle name="Note 4 7 2 11" xfId="34979" xr:uid="{EA818741-5A51-4D74-B318-60771B69887D}"/>
    <cellStyle name="Note 4 7 2 2" xfId="16284" xr:uid="{23DB31D7-14CC-44D1-BF10-B93C8806246D}"/>
    <cellStyle name="Note 4 7 2 2 2" xfId="16285" xr:uid="{5E6CA53D-7179-4013-BB2A-79CAD333518C}"/>
    <cellStyle name="Note 4 7 2 2 2 2" xfId="16286" xr:uid="{0ABE621C-D575-477B-9FAD-6D4192B2BF35}"/>
    <cellStyle name="Note 4 7 2 2 3" xfId="16287" xr:uid="{81E6B648-8908-406D-8FCC-A92505BC8674}"/>
    <cellStyle name="Note 4 7 2 2 4" xfId="34980" xr:uid="{29128685-593A-432B-89AF-99A65A9AA2CA}"/>
    <cellStyle name="Note 4 7 2 3" xfId="16288" xr:uid="{2687E350-3430-4F23-841B-A8DE1E1A3F21}"/>
    <cellStyle name="Note 4 7 2 3 2" xfId="16289" xr:uid="{CEFE4782-A798-46A3-8D4D-4A417DE04C89}"/>
    <cellStyle name="Note 4 7 2 3 3" xfId="34981" xr:uid="{2EDC637D-64F2-4FC1-AAA9-644E8EE4C724}"/>
    <cellStyle name="Note 4 7 2 3 4" xfId="34982" xr:uid="{62530BC7-EFAD-42B7-8F47-9B9A6FF317BF}"/>
    <cellStyle name="Note 4 7 2 4" xfId="16290" xr:uid="{FAFE5180-BB2D-4F81-B7E3-849EFAD19E09}"/>
    <cellStyle name="Note 4 7 2 4 2" xfId="16291" xr:uid="{892EC323-4536-452E-B03C-BD718E40CBA1}"/>
    <cellStyle name="Note 4 7 2 4 3" xfId="34983" xr:uid="{22A1E324-CC9C-4729-A466-B6C61FCFD878}"/>
    <cellStyle name="Note 4 7 2 4 4" xfId="34984" xr:uid="{D4F9035C-E66C-4972-A686-DBAE3D8D79D9}"/>
    <cellStyle name="Note 4 7 2 5" xfId="16292" xr:uid="{1D9505C7-359C-479C-A85E-5450B5B13329}"/>
    <cellStyle name="Note 4 7 2 5 2" xfId="16293" xr:uid="{E1C575AB-B002-44E3-B72F-B08FE24197D0}"/>
    <cellStyle name="Note 4 7 2 5 3" xfId="34985" xr:uid="{8D3E8EC8-F0F4-430A-B6D1-93182E7E40A0}"/>
    <cellStyle name="Note 4 7 2 5 4" xfId="34986" xr:uid="{761B240B-1DB0-4905-A57D-769854158C8A}"/>
    <cellStyle name="Note 4 7 2 6" xfId="16294" xr:uid="{AD4DD329-9DCD-4C9B-98DC-7A9D6CB77DD0}"/>
    <cellStyle name="Note 4 7 2 6 2" xfId="16295" xr:uid="{59BAEFC1-0660-42E5-804C-8D706A99C6BF}"/>
    <cellStyle name="Note 4 7 2 6 3" xfId="34987" xr:uid="{E92279DA-9F03-4B6D-B9A0-5FE5035B8ACF}"/>
    <cellStyle name="Note 4 7 2 6 4" xfId="34988" xr:uid="{A2E2909E-EB2A-4E75-BB9F-052F54E628B8}"/>
    <cellStyle name="Note 4 7 2 7" xfId="16296" xr:uid="{D8965BE8-1E2F-4DD2-B1EB-936F939BB00B}"/>
    <cellStyle name="Note 4 7 2 7 2" xfId="16297" xr:uid="{A22ABF44-90D1-48E6-A8A6-0A7956C53D2D}"/>
    <cellStyle name="Note 4 7 2 7 3" xfId="34989" xr:uid="{543AAFDB-C461-4416-BE42-EA24CB897641}"/>
    <cellStyle name="Note 4 7 2 7 4" xfId="34990" xr:uid="{B088A6A7-393A-434C-B812-EEC17B8EF8E3}"/>
    <cellStyle name="Note 4 7 2 8" xfId="16298" xr:uid="{F3504825-46E9-4410-8C11-BCAED43D694F}"/>
    <cellStyle name="Note 4 7 2 8 2" xfId="16299" xr:uid="{7B6C73F6-14F7-42C9-B867-DAD7BB94E45B}"/>
    <cellStyle name="Note 4 7 2 8 3" xfId="34991" xr:uid="{EBCB0EC0-6EFE-460E-A3C7-F3A078812F9F}"/>
    <cellStyle name="Note 4 7 2 8 4" xfId="34992" xr:uid="{B67EBB87-4BE4-4929-B9A3-668EC7DCA469}"/>
    <cellStyle name="Note 4 7 2 9" xfId="16300" xr:uid="{FD6EC7B0-EDF5-4C40-B539-CAB7EAADAFF1}"/>
    <cellStyle name="Note 4 7 2 9 2" xfId="34993" xr:uid="{7490CFB5-7311-4101-A27D-7966603ECA20}"/>
    <cellStyle name="Note 4 7 3" xfId="16301" xr:uid="{8843EBBE-F435-48A2-AC19-C5000053EA6D}"/>
    <cellStyle name="Note 4 7 3 2" xfId="16302" xr:uid="{B3B8EF6B-F3ED-4DDE-81AA-1069D297B17F}"/>
    <cellStyle name="Note 4 7 3 2 2" xfId="16303" xr:uid="{69514A24-4308-436C-B25F-B6602CDCBBF8}"/>
    <cellStyle name="Note 4 7 3 3" xfId="16304" xr:uid="{FB93B7D1-FAFB-49D0-B4D5-EF34409BB60E}"/>
    <cellStyle name="Note 4 7 3 4" xfId="34994" xr:uid="{EE51D22B-2839-45D3-9101-78A1D3C37B7D}"/>
    <cellStyle name="Note 4 7 4" xfId="16305" xr:uid="{CEB26B86-F5B8-49A6-A171-1515E70E2D4E}"/>
    <cellStyle name="Note 4 7 4 2" xfId="16306" xr:uid="{5D270DA8-97B7-4489-B2C0-A1FB9EBE1A99}"/>
    <cellStyle name="Note 4 7 4 3" xfId="34995" xr:uid="{90234FC0-3CC4-46BF-B3F6-4EAF4BD9FAFA}"/>
    <cellStyle name="Note 4 7 4 4" xfId="34996" xr:uid="{16EAC2C4-E94F-46CD-A944-32AD2C9FD6C2}"/>
    <cellStyle name="Note 4 7 5" xfId="16307" xr:uid="{D3FADB88-AE18-4B4C-BD8E-BA75B53AE105}"/>
    <cellStyle name="Note 4 7 5 2" xfId="16308" xr:uid="{09896CC7-1649-4407-87CF-680615E97F4E}"/>
    <cellStyle name="Note 4 7 5 3" xfId="34997" xr:uid="{050E6813-4AE9-4195-B22F-BA84F9A71B52}"/>
    <cellStyle name="Note 4 7 5 4" xfId="34998" xr:uid="{44422D36-ED54-42D8-9ACB-469473D178D0}"/>
    <cellStyle name="Note 4 7 6" xfId="16309" xr:uid="{CF7DC317-F7A7-4C86-934F-2E2D3BF65F94}"/>
    <cellStyle name="Note 4 7 6 2" xfId="16310" xr:uid="{26528396-10A8-4F51-AB58-C28CA9DA53A5}"/>
    <cellStyle name="Note 4 7 6 3" xfId="34999" xr:uid="{DA7EB4D2-03AE-4A10-9595-B9953A5E7934}"/>
    <cellStyle name="Note 4 7 6 4" xfId="35000" xr:uid="{EFF2A089-DAF2-4B88-95E8-D1B8BC5A947A}"/>
    <cellStyle name="Note 4 7 7" xfId="16311" xr:uid="{078198AD-805F-42E8-9475-447D4DC19039}"/>
    <cellStyle name="Note 4 7 7 2" xfId="16312" xr:uid="{DE13618E-714D-4502-98CE-9D7D8A893133}"/>
    <cellStyle name="Note 4 7 7 3" xfId="35001" xr:uid="{F193DD98-3B66-4644-80EA-0099B3829CC8}"/>
    <cellStyle name="Note 4 7 7 4" xfId="35002" xr:uid="{5C9CC334-2665-4D63-8DC0-AA49B79455D3}"/>
    <cellStyle name="Note 4 7 8" xfId="16313" xr:uid="{3F1B4025-20CC-4262-889A-17391548269D}"/>
    <cellStyle name="Note 4 7 8 2" xfId="16314" xr:uid="{25608AA8-89A0-49E3-B505-7863DCB8C46D}"/>
    <cellStyle name="Note 4 7 8 3" xfId="35003" xr:uid="{F0D352E6-EEBF-449C-9EB3-338D43B71823}"/>
    <cellStyle name="Note 4 7 8 4" xfId="35004" xr:uid="{1C2631CA-9830-490B-8826-8589141BF267}"/>
    <cellStyle name="Note 4 7 9" xfId="16315" xr:uid="{C6AE858F-0D1E-41D7-8D09-63BFF03AF46C}"/>
    <cellStyle name="Note 4 7 9 2" xfId="16316" xr:uid="{2E27FEF6-7003-4850-9246-2B52526614F0}"/>
    <cellStyle name="Note 4 7 9 3" xfId="35005" xr:uid="{D20F98E8-6F1B-41D9-82C4-EFC887CF80A1}"/>
    <cellStyle name="Note 4 7 9 4" xfId="35006" xr:uid="{FD3D5802-B27D-4573-AE7F-F0D71A9727E9}"/>
    <cellStyle name="Note 4 8" xfId="16317" xr:uid="{ACB93C94-58B7-44BD-A2DD-37997059D8AD}"/>
    <cellStyle name="Note 4 8 10" xfId="16318" xr:uid="{CFAABD9D-9B24-444D-90DE-EB8BE062DE4B}"/>
    <cellStyle name="Note 4 8 10 2" xfId="35007" xr:uid="{BB8352F0-02CE-423C-B4F8-07AA6AD7ED94}"/>
    <cellStyle name="Note 4 8 11" xfId="16319" xr:uid="{4867F83C-FE07-4E27-84D2-BF95226AFF4E}"/>
    <cellStyle name="Note 4 8 11 2" xfId="35008" xr:uid="{6CBE548E-D447-4374-9807-69E42627C951}"/>
    <cellStyle name="Note 4 8 12" xfId="35009" xr:uid="{05A656F5-FB61-40F1-8AC1-ABA7D3D97759}"/>
    <cellStyle name="Note 4 8 2" xfId="16320" xr:uid="{D44FD818-E526-418D-AB89-491C08E0CDA1}"/>
    <cellStyle name="Note 4 8 2 10" xfId="16321" xr:uid="{1C6BA67D-CAEB-452F-8C65-8E38FFBA375F}"/>
    <cellStyle name="Note 4 8 2 10 2" xfId="35010" xr:uid="{9E9317EA-4543-4E48-8D6C-3A739ACEEA2F}"/>
    <cellStyle name="Note 4 8 2 11" xfId="35011" xr:uid="{B6E139DC-B95D-479D-8CEC-9EBEF8D4BEAA}"/>
    <cellStyle name="Note 4 8 2 2" xfId="16322" xr:uid="{C39D8282-5051-4EA6-9155-3127C485769E}"/>
    <cellStyle name="Note 4 8 2 2 2" xfId="16323" xr:uid="{8F76BFE3-DCF8-41C2-8F4B-7A86E82422CD}"/>
    <cellStyle name="Note 4 8 2 2 2 2" xfId="16324" xr:uid="{B8EFC8BA-9339-4BD9-B9C8-C8A0021877F9}"/>
    <cellStyle name="Note 4 8 2 2 3" xfId="16325" xr:uid="{0A0F2D3E-5C41-4D49-BE45-23328FEAFD72}"/>
    <cellStyle name="Note 4 8 2 2 4" xfId="35012" xr:uid="{C09832BD-3310-40F9-AF98-CA257D92F6D7}"/>
    <cellStyle name="Note 4 8 2 3" xfId="16326" xr:uid="{A82CB481-8807-480D-AB09-C09A72E2CBD9}"/>
    <cellStyle name="Note 4 8 2 3 2" xfId="16327" xr:uid="{9029366B-6CB4-4698-8E80-9E21172F1444}"/>
    <cellStyle name="Note 4 8 2 3 3" xfId="35013" xr:uid="{065B6DCC-C9A7-4D43-AA02-14D6649D72B2}"/>
    <cellStyle name="Note 4 8 2 3 4" xfId="35014" xr:uid="{F1DE9162-460C-471F-B4D2-9DC4904B24A4}"/>
    <cellStyle name="Note 4 8 2 4" xfId="16328" xr:uid="{DC9D3D4D-5BB1-483B-8CC5-B2A95A4A804F}"/>
    <cellStyle name="Note 4 8 2 4 2" xfId="16329" xr:uid="{759C762C-30BA-45B5-9386-823BCCC1768B}"/>
    <cellStyle name="Note 4 8 2 4 3" xfId="35015" xr:uid="{03821D37-1923-4661-89DD-7A0B177C3786}"/>
    <cellStyle name="Note 4 8 2 4 4" xfId="35016" xr:uid="{20D308D0-6A69-4FB1-A0B3-BA797AC11EF2}"/>
    <cellStyle name="Note 4 8 2 5" xfId="16330" xr:uid="{34EE7562-A910-4F6D-8BF8-910FEBE5D19F}"/>
    <cellStyle name="Note 4 8 2 5 2" xfId="16331" xr:uid="{342A4412-E84F-4899-AD22-92A9D265287B}"/>
    <cellStyle name="Note 4 8 2 5 3" xfId="35017" xr:uid="{C0D1A364-5D54-451B-99F5-EF39B70D5B62}"/>
    <cellStyle name="Note 4 8 2 5 4" xfId="35018" xr:uid="{A4EE49EA-B0D8-48B1-B3E7-40E5AD42F4EC}"/>
    <cellStyle name="Note 4 8 2 6" xfId="16332" xr:uid="{FAC1E33E-EA11-4D85-ABBE-30AE0760F040}"/>
    <cellStyle name="Note 4 8 2 6 2" xfId="16333" xr:uid="{589C9108-6552-4538-9814-EDC0C0C7E4F3}"/>
    <cellStyle name="Note 4 8 2 6 3" xfId="35019" xr:uid="{49C6597E-E69F-4A14-9108-4C5D6F225BE6}"/>
    <cellStyle name="Note 4 8 2 6 4" xfId="35020" xr:uid="{76C3CD54-BA19-40A8-8613-4E956AD3D448}"/>
    <cellStyle name="Note 4 8 2 7" xfId="16334" xr:uid="{D6C9851D-CE6F-4D0F-BC6D-1517559D4873}"/>
    <cellStyle name="Note 4 8 2 7 2" xfId="16335" xr:uid="{AD94FAD8-5BC6-46AA-92B4-0B0C57E2341F}"/>
    <cellStyle name="Note 4 8 2 7 3" xfId="35021" xr:uid="{59B4CB51-F71B-42A7-A4F2-1B20E1332933}"/>
    <cellStyle name="Note 4 8 2 7 4" xfId="35022" xr:uid="{BAAC3D64-E4F3-471E-85ED-C72ED27E8CB6}"/>
    <cellStyle name="Note 4 8 2 8" xfId="16336" xr:uid="{6D0CB90C-D6EE-46C3-87DB-14CD51979871}"/>
    <cellStyle name="Note 4 8 2 8 2" xfId="16337" xr:uid="{9730AA6C-7165-4D61-8755-A580D5B296EA}"/>
    <cellStyle name="Note 4 8 2 8 3" xfId="35023" xr:uid="{3142C6A5-F6AD-4E92-9CE2-24E70530FBFE}"/>
    <cellStyle name="Note 4 8 2 8 4" xfId="35024" xr:uid="{9E08F6A3-FBBA-44BC-A217-E7128685B4C5}"/>
    <cellStyle name="Note 4 8 2 9" xfId="16338" xr:uid="{946ADCE2-08C5-458C-9152-63164840B678}"/>
    <cellStyle name="Note 4 8 2 9 2" xfId="35025" xr:uid="{5BEE8D69-5025-4648-8AE6-CFABB41CB305}"/>
    <cellStyle name="Note 4 8 3" xfId="16339" xr:uid="{27FA7B30-3460-4C38-94C4-FBBE6234CA97}"/>
    <cellStyle name="Note 4 8 3 2" xfId="16340" xr:uid="{AC85B556-F95D-408B-BBA9-DF028931D888}"/>
    <cellStyle name="Note 4 8 3 2 2" xfId="16341" xr:uid="{FCE86F0D-9161-41C3-845F-F5BC8D065E39}"/>
    <cellStyle name="Note 4 8 3 3" xfId="16342" xr:uid="{B4AAE627-C54A-4596-B8A5-D002985758D0}"/>
    <cellStyle name="Note 4 8 3 4" xfId="35026" xr:uid="{BE2F8C92-B0AC-4DAA-A045-840B7CFD80A7}"/>
    <cellStyle name="Note 4 8 4" xfId="16343" xr:uid="{19F5E4D0-D12B-46A0-83C2-4FABDA757B9D}"/>
    <cellStyle name="Note 4 8 4 2" xfId="16344" xr:uid="{82F41AE5-E883-4D7A-B5A6-739A973699D5}"/>
    <cellStyle name="Note 4 8 4 3" xfId="35027" xr:uid="{20C97939-FFA5-4C1F-8A1B-E4CC25BA19F7}"/>
    <cellStyle name="Note 4 8 4 4" xfId="35028" xr:uid="{4F1CEDFC-9655-4565-9A94-2CAF1A57ABED}"/>
    <cellStyle name="Note 4 8 5" xfId="16345" xr:uid="{4E5FE5BB-09FE-4481-BAA7-DE51F2791D34}"/>
    <cellStyle name="Note 4 8 5 2" xfId="16346" xr:uid="{E6255A2D-9AAD-41D5-A2D5-5B436A9FB116}"/>
    <cellStyle name="Note 4 8 5 3" xfId="35029" xr:uid="{DA188EC7-F281-49F6-91B2-7CF42AE32151}"/>
    <cellStyle name="Note 4 8 5 4" xfId="35030" xr:uid="{9155A818-2CE4-4A6C-95AE-2FB84DDFBDF2}"/>
    <cellStyle name="Note 4 8 6" xfId="16347" xr:uid="{97AD2B28-2F8E-4456-8A20-55F0ECABFEF8}"/>
    <cellStyle name="Note 4 8 6 2" xfId="16348" xr:uid="{9ABF3971-D9C7-4F12-94BC-1AAED01F878C}"/>
    <cellStyle name="Note 4 8 6 3" xfId="35031" xr:uid="{5A6F496D-C378-4294-BBCD-0EFBE951D0A0}"/>
    <cellStyle name="Note 4 8 6 4" xfId="35032" xr:uid="{25686610-B812-43EC-AC1F-E629289497F5}"/>
    <cellStyle name="Note 4 8 7" xfId="16349" xr:uid="{A143C63C-9DF2-4ACE-9BBA-EF96F8089EEF}"/>
    <cellStyle name="Note 4 8 7 2" xfId="16350" xr:uid="{A638AF43-D3DA-46A1-A6CF-C314A2825891}"/>
    <cellStyle name="Note 4 8 7 3" xfId="35033" xr:uid="{840057FD-E4DB-4CDE-A0C5-235D9A03A5FD}"/>
    <cellStyle name="Note 4 8 7 4" xfId="35034" xr:uid="{0931C875-3518-4E4B-89DD-785144F8FF20}"/>
    <cellStyle name="Note 4 8 8" xfId="16351" xr:uid="{300C2871-42D7-4F7A-B23C-8D2C996BAFE1}"/>
    <cellStyle name="Note 4 8 8 2" xfId="16352" xr:uid="{F5597AF0-8D2E-4BBD-BFD3-0B38F0A06279}"/>
    <cellStyle name="Note 4 8 8 3" xfId="35035" xr:uid="{09717D9D-4370-4D49-B518-1BEE1BFDBA75}"/>
    <cellStyle name="Note 4 8 8 4" xfId="35036" xr:uid="{8A09E25E-78CF-43D0-803A-E841AFEF229C}"/>
    <cellStyle name="Note 4 8 9" xfId="16353" xr:uid="{07DA9935-0A58-42BB-A403-964D61D48718}"/>
    <cellStyle name="Note 4 8 9 2" xfId="16354" xr:uid="{D022CEC3-FBBD-4B9D-B295-FF09E4C1AF1F}"/>
    <cellStyle name="Note 4 8 9 3" xfId="35037" xr:uid="{B2BF7F28-3BAA-4787-A006-290C3A8A0F59}"/>
    <cellStyle name="Note 4 8 9 4" xfId="35038" xr:uid="{76649D4B-761F-4670-AE5D-50E0E49B9BD2}"/>
    <cellStyle name="Note 4 9" xfId="16355" xr:uid="{37A6BB6D-B85F-41DB-A3C4-A4ED08E78005}"/>
    <cellStyle name="Note 4 9 10" xfId="16356" xr:uid="{8B0F0952-C2F3-4ECE-9A32-FA58D9FC8A4A}"/>
    <cellStyle name="Note 4 9 10 2" xfId="35039" xr:uid="{C2E38F16-7320-4BFD-AE2E-14685B24C935}"/>
    <cellStyle name="Note 4 9 11" xfId="16357" xr:uid="{1A8B54BE-E3FA-4E51-908C-DB50B622E5B1}"/>
    <cellStyle name="Note 4 9 11 2" xfId="35040" xr:uid="{1FC889EF-6C98-4A46-A6A4-7533CD4F9F39}"/>
    <cellStyle name="Note 4 9 12" xfId="35041" xr:uid="{1820AFF4-2B4E-4A28-A920-33193FFBD44C}"/>
    <cellStyle name="Note 4 9 2" xfId="16358" xr:uid="{E626EBB1-69FD-4A71-96DA-1CB81101D858}"/>
    <cellStyle name="Note 4 9 2 10" xfId="16359" xr:uid="{611ED7EE-D85F-44F5-AE65-802F64EAA1F0}"/>
    <cellStyle name="Note 4 9 2 10 2" xfId="35042" xr:uid="{5D2543CA-5E13-4D8F-BB3E-1D005EC983D8}"/>
    <cellStyle name="Note 4 9 2 11" xfId="35043" xr:uid="{98525E0E-BB56-42CE-8E06-307CC42F879E}"/>
    <cellStyle name="Note 4 9 2 2" xfId="16360" xr:uid="{2741536D-12B4-4C30-B286-51A6AA1BD4F8}"/>
    <cellStyle name="Note 4 9 2 2 2" xfId="16361" xr:uid="{F629AA8D-E37C-4A07-B66B-E5C04BA2AF04}"/>
    <cellStyle name="Note 4 9 2 2 2 2" xfId="16362" xr:uid="{5C0986AD-2630-4CA4-BF0B-7E9CA22D4257}"/>
    <cellStyle name="Note 4 9 2 2 3" xfId="16363" xr:uid="{7BF110AE-008B-4B87-BE2B-D168010B0F16}"/>
    <cellStyle name="Note 4 9 2 2 4" xfId="35044" xr:uid="{97AA308B-CD9D-468D-8217-C49C8136BCD7}"/>
    <cellStyle name="Note 4 9 2 3" xfId="16364" xr:uid="{39D08E13-8BE9-47B0-9EBB-C0730EEC913D}"/>
    <cellStyle name="Note 4 9 2 3 2" xfId="16365" xr:uid="{3ABB19A8-646B-40A9-831E-4FC485D8DA7B}"/>
    <cellStyle name="Note 4 9 2 3 3" xfId="35045" xr:uid="{3767E733-3472-400A-83CF-A850497A4958}"/>
    <cellStyle name="Note 4 9 2 3 4" xfId="35046" xr:uid="{83FD5654-35E0-4A4E-8E6A-51447AC716F9}"/>
    <cellStyle name="Note 4 9 2 4" xfId="16366" xr:uid="{BE550340-F08B-473A-9630-7CBB9F9DB93C}"/>
    <cellStyle name="Note 4 9 2 4 2" xfId="16367" xr:uid="{586E6109-7C2F-48EA-8765-BA139BA664B0}"/>
    <cellStyle name="Note 4 9 2 4 3" xfId="35047" xr:uid="{4FBCC8D7-9D0B-4490-B62D-31C052722C87}"/>
    <cellStyle name="Note 4 9 2 4 4" xfId="35048" xr:uid="{4BB13DE7-6559-4BFE-8A97-8D15E49C4A0E}"/>
    <cellStyle name="Note 4 9 2 5" xfId="16368" xr:uid="{D66D1900-B741-419C-9516-8102DE6BFF4E}"/>
    <cellStyle name="Note 4 9 2 5 2" xfId="16369" xr:uid="{A61672FA-E1AF-48A6-922A-D49116BDA431}"/>
    <cellStyle name="Note 4 9 2 5 3" xfId="35049" xr:uid="{5406BD3D-53E8-425B-825B-E5FAB7C0800A}"/>
    <cellStyle name="Note 4 9 2 5 4" xfId="35050" xr:uid="{B9D783E2-C503-4611-81DB-5472DC9541D3}"/>
    <cellStyle name="Note 4 9 2 6" xfId="16370" xr:uid="{650C9D6A-917D-4B41-A9C1-3E85BF1AACB5}"/>
    <cellStyle name="Note 4 9 2 6 2" xfId="16371" xr:uid="{E25AF309-2376-4F98-8D22-27D37183D43D}"/>
    <cellStyle name="Note 4 9 2 6 3" xfId="35051" xr:uid="{83201FB2-37B7-4A9F-8AA0-0809BE913BBB}"/>
    <cellStyle name="Note 4 9 2 6 4" xfId="35052" xr:uid="{2A5ABCA7-8976-4A08-B358-C636AE4EF732}"/>
    <cellStyle name="Note 4 9 2 7" xfId="16372" xr:uid="{F7094777-C9D8-46DE-BFBF-1FE7E5EF0ED7}"/>
    <cellStyle name="Note 4 9 2 7 2" xfId="16373" xr:uid="{859D56FA-BC4B-40D4-A18B-E5B4AC3BA019}"/>
    <cellStyle name="Note 4 9 2 7 3" xfId="35053" xr:uid="{47642542-C2D7-406B-915A-638978E56C9B}"/>
    <cellStyle name="Note 4 9 2 7 4" xfId="35054" xr:uid="{05236162-D0E4-4E1A-96CD-BB59CF99B45A}"/>
    <cellStyle name="Note 4 9 2 8" xfId="16374" xr:uid="{C3769E44-F907-49F9-B05F-7A3B72E3624A}"/>
    <cellStyle name="Note 4 9 2 8 2" xfId="16375" xr:uid="{1FF16FBE-4580-4519-BADE-31053F658D74}"/>
    <cellStyle name="Note 4 9 2 8 3" xfId="35055" xr:uid="{CC49CDA5-85CD-4EF5-88EC-59AE97E4DBB0}"/>
    <cellStyle name="Note 4 9 2 8 4" xfId="35056" xr:uid="{222E439A-7D5D-4902-8930-00DA4AA86893}"/>
    <cellStyle name="Note 4 9 2 9" xfId="16376" xr:uid="{40997FFD-A31D-4FAF-A886-7C04092813B3}"/>
    <cellStyle name="Note 4 9 2 9 2" xfId="35057" xr:uid="{74411CD7-B538-47F4-AF33-FB66BD6FEAA5}"/>
    <cellStyle name="Note 4 9 3" xfId="16377" xr:uid="{9DBA4037-CC47-45FF-A1A7-8597EA5C4EF1}"/>
    <cellStyle name="Note 4 9 3 2" xfId="16378" xr:uid="{2AD058AE-427A-4FBF-AA7F-6C9368248901}"/>
    <cellStyle name="Note 4 9 3 2 2" xfId="16379" xr:uid="{48841396-0D11-4E9A-973B-493FC59A09C7}"/>
    <cellStyle name="Note 4 9 3 3" xfId="16380" xr:uid="{1EA35265-EB8E-4861-AA53-BB214FAD46C9}"/>
    <cellStyle name="Note 4 9 3 4" xfId="35058" xr:uid="{CD401A2A-C500-49BF-A345-DA68F103D7CE}"/>
    <cellStyle name="Note 4 9 4" xfId="16381" xr:uid="{43C85651-58CE-4938-B84C-E0F17BD5203E}"/>
    <cellStyle name="Note 4 9 4 2" xfId="16382" xr:uid="{F3F9B819-F228-4330-83AC-94B8ED5DCFF4}"/>
    <cellStyle name="Note 4 9 4 3" xfId="35059" xr:uid="{F183AFE7-0A8F-4CC0-BE36-7AB30D0B90EB}"/>
    <cellStyle name="Note 4 9 4 4" xfId="35060" xr:uid="{8A140986-6611-4B7A-A003-E2459A9E38B7}"/>
    <cellStyle name="Note 4 9 5" xfId="16383" xr:uid="{F68C9CC9-2670-4225-BC9D-7B454F890B36}"/>
    <cellStyle name="Note 4 9 5 2" xfId="16384" xr:uid="{1181E6A4-9220-450A-8C98-94A4208CEBCD}"/>
    <cellStyle name="Note 4 9 5 3" xfId="35061" xr:uid="{95BD64EC-CD4D-4671-B091-D7967BD28EA1}"/>
    <cellStyle name="Note 4 9 5 4" xfId="35062" xr:uid="{921870E7-F0C4-4301-BA80-AA7C10B4DCDD}"/>
    <cellStyle name="Note 4 9 6" xfId="16385" xr:uid="{F72E0E57-EA14-445D-B80C-B5A4D3326DFD}"/>
    <cellStyle name="Note 4 9 6 2" xfId="16386" xr:uid="{5A6CF404-EACD-41A3-B2E7-6DA02C739BC7}"/>
    <cellStyle name="Note 4 9 6 3" xfId="35063" xr:uid="{28699874-FB50-427D-84AF-30B626A453A8}"/>
    <cellStyle name="Note 4 9 6 4" xfId="35064" xr:uid="{B9B516EF-A7A7-415F-8615-9961D88D204C}"/>
    <cellStyle name="Note 4 9 7" xfId="16387" xr:uid="{F37AB8AD-E85C-4B4B-B7E2-A572FCA38408}"/>
    <cellStyle name="Note 4 9 7 2" xfId="16388" xr:uid="{2A10DC40-BDD5-4A64-9E43-0A0DBE286C5B}"/>
    <cellStyle name="Note 4 9 7 3" xfId="35065" xr:uid="{4282DA7B-515E-432B-9454-CAC619FA9E2B}"/>
    <cellStyle name="Note 4 9 7 4" xfId="35066" xr:uid="{05EE9DF5-49EE-4117-86E6-6B43A37E9F74}"/>
    <cellStyle name="Note 4 9 8" xfId="16389" xr:uid="{D84844A9-D0F1-4DD4-9048-4BCB71F2237D}"/>
    <cellStyle name="Note 4 9 8 2" xfId="16390" xr:uid="{B0B94F43-0942-4887-AB4C-942DB1D0A3E3}"/>
    <cellStyle name="Note 4 9 8 3" xfId="35067" xr:uid="{F3AFE783-7189-4912-BB0C-E6483C7187B8}"/>
    <cellStyle name="Note 4 9 8 4" xfId="35068" xr:uid="{A3246DED-263D-4267-A781-32BD4F491D9E}"/>
    <cellStyle name="Note 4 9 9" xfId="16391" xr:uid="{AE5CD26E-4587-405D-9050-71A495F74F6A}"/>
    <cellStyle name="Note 4 9 9 2" xfId="16392" xr:uid="{53140F94-F229-477E-BF64-23851E058E02}"/>
    <cellStyle name="Note 4 9 9 3" xfId="35069" xr:uid="{B5723076-3B42-4C78-A669-2CF7CC12CDC4}"/>
    <cellStyle name="Note 4 9 9 4" xfId="35070" xr:uid="{6FC52F99-CF63-498C-9A0E-731A6B71F5F2}"/>
    <cellStyle name="Note 4_ELC_final" xfId="35071" xr:uid="{DD9E44FF-ABAD-402C-86A5-82C378E9D6B8}"/>
    <cellStyle name="Note 40" xfId="35072" xr:uid="{023BC042-B79E-4A5F-B8EA-370A0CBAE4C6}"/>
    <cellStyle name="Note 41" xfId="35073" xr:uid="{0044DFA5-A7F1-4A00-A9CA-5C7367412806}"/>
    <cellStyle name="Note 42" xfId="92" xr:uid="{0FAB45FD-8B37-4798-B1C3-A097F3E2F494}"/>
    <cellStyle name="Note 43" xfId="45855" xr:uid="{39DC6FDC-B15E-4975-9347-E3D8C69AE6C5}"/>
    <cellStyle name="Note 44" xfId="45876" xr:uid="{CF653815-DD08-44B7-878D-E5395D0DCBC6}"/>
    <cellStyle name="Note 5" xfId="16393" xr:uid="{50BA2591-9AEC-4DA3-AEF5-942DBE0E333A}"/>
    <cellStyle name="Note 5 10" xfId="16394" xr:uid="{E0D34AD5-927F-47EE-862B-BBCE632E0C45}"/>
    <cellStyle name="Note 5 10 10" xfId="16395" xr:uid="{BFD96715-D389-44FF-955F-B3C7E795662C}"/>
    <cellStyle name="Note 5 10 10 2" xfId="35074" xr:uid="{ACDB8388-A709-4EED-89BB-38A7E4A21950}"/>
    <cellStyle name="Note 5 10 11" xfId="16396" xr:uid="{BA84D3A4-9C22-41A8-9B45-09DD62BCCEB7}"/>
    <cellStyle name="Note 5 10 11 2" xfId="35075" xr:uid="{3B56AA98-672A-43C1-9BDF-D43B872BB643}"/>
    <cellStyle name="Note 5 10 12" xfId="35076" xr:uid="{77800DE2-6F35-4BC7-917B-5FDB6C161EE9}"/>
    <cellStyle name="Note 5 10 2" xfId="16397" xr:uid="{1011F72B-0DE9-49A8-9B0E-60BCE8EF1274}"/>
    <cellStyle name="Note 5 10 2 10" xfId="16398" xr:uid="{BEE1982B-734C-44A3-B42D-86F29DD2CC9C}"/>
    <cellStyle name="Note 5 10 2 10 2" xfId="35077" xr:uid="{12879F3F-4CAC-4402-871D-EED87D8A4B59}"/>
    <cellStyle name="Note 5 10 2 11" xfId="35078" xr:uid="{65E8ECBB-C267-4273-A0FD-C5146B621A3D}"/>
    <cellStyle name="Note 5 10 2 2" xfId="16399" xr:uid="{BE67F624-4ADA-4751-97A2-CDF5D8316DDC}"/>
    <cellStyle name="Note 5 10 2 2 2" xfId="16400" xr:uid="{7F55C108-5E47-4008-8612-1617A9F9AE8B}"/>
    <cellStyle name="Note 5 10 2 2 2 2" xfId="16401" xr:uid="{394583E5-03CB-469E-A387-69C7EDC83F81}"/>
    <cellStyle name="Note 5 10 2 2 3" xfId="16402" xr:uid="{A08C9955-AFA3-46EA-B358-41FAF806E66A}"/>
    <cellStyle name="Note 5 10 2 2 4" xfId="35079" xr:uid="{FEACEDA3-F7AA-47CA-88FB-FAA79381D084}"/>
    <cellStyle name="Note 5 10 2 3" xfId="16403" xr:uid="{0033A293-7E79-4C5E-8F9D-FFB9343FCA7F}"/>
    <cellStyle name="Note 5 10 2 3 2" xfId="16404" xr:uid="{41E90277-7F78-46CF-807E-25224EF7625E}"/>
    <cellStyle name="Note 5 10 2 3 3" xfId="35080" xr:uid="{A0BABBC6-C589-4DB2-91AC-44E04665AC3D}"/>
    <cellStyle name="Note 5 10 2 3 4" xfId="35081" xr:uid="{8B7FD75D-57E4-4048-92AC-FF5ED9FD07C8}"/>
    <cellStyle name="Note 5 10 2 4" xfId="16405" xr:uid="{67C19832-C74B-4920-AFD6-015EF7430B8C}"/>
    <cellStyle name="Note 5 10 2 4 2" xfId="16406" xr:uid="{01B5B3D5-D82D-4815-958C-0B5ED0245D12}"/>
    <cellStyle name="Note 5 10 2 4 3" xfId="35082" xr:uid="{833C0FC9-6A79-4C2D-ABBC-BC34A6504FBD}"/>
    <cellStyle name="Note 5 10 2 4 4" xfId="35083" xr:uid="{6F9E6A59-8B03-4D95-B242-5F0630876E42}"/>
    <cellStyle name="Note 5 10 2 5" xfId="16407" xr:uid="{519D5B8C-5A97-4493-8FD3-7DB8057CC968}"/>
    <cellStyle name="Note 5 10 2 5 2" xfId="16408" xr:uid="{22DF1D6C-67D0-4C4D-9A03-5F14E02FAB65}"/>
    <cellStyle name="Note 5 10 2 5 3" xfId="35084" xr:uid="{54615732-3E89-4FD5-9958-0EDE0D7367AC}"/>
    <cellStyle name="Note 5 10 2 5 4" xfId="35085" xr:uid="{E4B70A5E-7189-4EC0-A3B4-D5869F88AF0C}"/>
    <cellStyle name="Note 5 10 2 6" xfId="16409" xr:uid="{1C39A60C-C14D-4ECD-9EE9-C7FFA370A23F}"/>
    <cellStyle name="Note 5 10 2 6 2" xfId="16410" xr:uid="{C5E04970-F3A8-41DE-B2E1-53C354E4A246}"/>
    <cellStyle name="Note 5 10 2 6 3" xfId="35086" xr:uid="{8BE6F797-5347-4EDA-A5D7-AEFA0D0A9037}"/>
    <cellStyle name="Note 5 10 2 6 4" xfId="35087" xr:uid="{6966E46E-110C-467E-A2E8-EFAE0C8735B5}"/>
    <cellStyle name="Note 5 10 2 7" xfId="16411" xr:uid="{2850A754-C4A9-4756-8F16-8262247E47D6}"/>
    <cellStyle name="Note 5 10 2 7 2" xfId="16412" xr:uid="{F2197411-D951-4077-B64E-098E91410ABB}"/>
    <cellStyle name="Note 5 10 2 7 3" xfId="35088" xr:uid="{D8A818CA-9CE8-41E1-A6E7-9D025C6371A4}"/>
    <cellStyle name="Note 5 10 2 7 4" xfId="35089" xr:uid="{3BB5AE29-90BB-4960-8E97-A56D904084C7}"/>
    <cellStyle name="Note 5 10 2 8" xfId="16413" xr:uid="{B3796C2E-1D0D-4C38-9D88-9063141DEB0C}"/>
    <cellStyle name="Note 5 10 2 8 2" xfId="16414" xr:uid="{9C16E069-8C8B-4453-B64F-86AC7F3D87AC}"/>
    <cellStyle name="Note 5 10 2 8 3" xfId="35090" xr:uid="{46DFA330-FE91-42F5-8F44-757D1DEF0EA5}"/>
    <cellStyle name="Note 5 10 2 8 4" xfId="35091" xr:uid="{7B8EBFCD-9945-4E31-9CD8-FCEE52478C70}"/>
    <cellStyle name="Note 5 10 2 9" xfId="16415" xr:uid="{2F5AD717-E0F9-4D14-9E59-291C3F64CD32}"/>
    <cellStyle name="Note 5 10 2 9 2" xfId="35092" xr:uid="{DDB89012-0D35-4F98-A5DF-330934371CC1}"/>
    <cellStyle name="Note 5 10 3" xfId="16416" xr:uid="{08181ACE-F226-47CE-A3F6-010A614990B6}"/>
    <cellStyle name="Note 5 10 3 2" xfId="16417" xr:uid="{BA1F1F90-BB91-4992-AD03-4B129799A5B1}"/>
    <cellStyle name="Note 5 10 3 2 2" xfId="16418" xr:uid="{973B3EFC-0CCE-46D2-99A9-892AE5E582ED}"/>
    <cellStyle name="Note 5 10 3 3" xfId="16419" xr:uid="{F4E41BD9-2EE0-4336-AA34-5E5BA3F11602}"/>
    <cellStyle name="Note 5 10 3 4" xfId="35093" xr:uid="{600DF5DA-F58B-4230-B707-F19C5352E1F1}"/>
    <cellStyle name="Note 5 10 4" xfId="16420" xr:uid="{6457F04E-B314-47AC-9741-578253FEDFA2}"/>
    <cellStyle name="Note 5 10 4 2" xfId="16421" xr:uid="{E61556CC-50BC-442D-BF40-CE08C058EA70}"/>
    <cellStyle name="Note 5 10 4 3" xfId="35094" xr:uid="{CAA1CEF6-3217-4D31-A76A-18B319C6FAA2}"/>
    <cellStyle name="Note 5 10 4 4" xfId="35095" xr:uid="{2D819960-53FF-42B7-8F79-6AE7DF93CFF0}"/>
    <cellStyle name="Note 5 10 5" xfId="16422" xr:uid="{EB1BDCED-8A42-4E4F-A5D5-E74A05ABB44E}"/>
    <cellStyle name="Note 5 10 5 2" xfId="16423" xr:uid="{0AB8D379-4EC6-40F4-BDD7-9FB85FFD549D}"/>
    <cellStyle name="Note 5 10 5 3" xfId="35096" xr:uid="{4E342FD1-EE84-4055-B4D8-BDF9216F9BD7}"/>
    <cellStyle name="Note 5 10 5 4" xfId="35097" xr:uid="{D500D0D1-C270-4AAC-90AA-2F8760BD3343}"/>
    <cellStyle name="Note 5 10 6" xfId="16424" xr:uid="{95953814-F093-4C90-A9E6-284E66CE18B6}"/>
    <cellStyle name="Note 5 10 6 2" xfId="16425" xr:uid="{0C02F77D-8A30-4C51-A9B3-1CFDABBB60C1}"/>
    <cellStyle name="Note 5 10 6 3" xfId="35098" xr:uid="{96E50DD5-48FC-4013-9094-CBA3234D8E0B}"/>
    <cellStyle name="Note 5 10 6 4" xfId="35099" xr:uid="{3441FC70-C61C-4D03-BFC4-D03D45C7447D}"/>
    <cellStyle name="Note 5 10 7" xfId="16426" xr:uid="{16EE5ADB-013B-45FA-BBB2-63A2ACD6B68A}"/>
    <cellStyle name="Note 5 10 7 2" xfId="16427" xr:uid="{553B5A54-5742-4050-BE0B-54A4B8E1220E}"/>
    <cellStyle name="Note 5 10 7 3" xfId="35100" xr:uid="{BADB9509-08ED-49F3-9A01-71E58C502495}"/>
    <cellStyle name="Note 5 10 7 4" xfId="35101" xr:uid="{D39CF4DD-5BCA-4EC0-9B4A-A35B8193070C}"/>
    <cellStyle name="Note 5 10 8" xfId="16428" xr:uid="{28643C6E-E991-4900-934E-6CE1C72225BA}"/>
    <cellStyle name="Note 5 10 8 2" xfId="16429" xr:uid="{9E79B783-BCC6-402C-8BA4-AE76B9560F02}"/>
    <cellStyle name="Note 5 10 8 3" xfId="35102" xr:uid="{5CDBF7FB-7CA5-4B4B-AF62-808236A38381}"/>
    <cellStyle name="Note 5 10 8 4" xfId="35103" xr:uid="{35EF49B4-100C-4A26-935B-8CD6394DD5CD}"/>
    <cellStyle name="Note 5 10 9" xfId="16430" xr:uid="{3F0DA60C-0059-4BF7-A9A6-A9F10E684856}"/>
    <cellStyle name="Note 5 10 9 2" xfId="16431" xr:uid="{CC69584F-90AB-4927-B8AF-734BBE920BF0}"/>
    <cellStyle name="Note 5 10 9 3" xfId="35104" xr:uid="{2C0CCB4A-B0B7-4522-AC1C-43A578F45847}"/>
    <cellStyle name="Note 5 10 9 4" xfId="35105" xr:uid="{E4F3D91C-448B-4BC5-943D-60F39FE8837E}"/>
    <cellStyle name="Note 5 11" xfId="16432" xr:uid="{3B790706-9962-4F37-8A41-73059C727995}"/>
    <cellStyle name="Note 5 11 10" xfId="16433" xr:uid="{08D8CF05-1F88-48A0-B8D4-ED7101430403}"/>
    <cellStyle name="Note 5 11 10 2" xfId="35106" xr:uid="{7FDD1773-CCC3-44B3-8BCB-CF6C57083CD1}"/>
    <cellStyle name="Note 5 11 11" xfId="16434" xr:uid="{ACFAE357-3869-4D17-BE27-8AC5CEDBC72D}"/>
    <cellStyle name="Note 5 11 11 2" xfId="35107" xr:uid="{B1AFB4C8-3CBE-4660-89D4-6812E797860A}"/>
    <cellStyle name="Note 5 11 12" xfId="35108" xr:uid="{A5AF5CA9-8D5C-4F75-8F0F-2E62895DFBC1}"/>
    <cellStyle name="Note 5 11 2" xfId="16435" xr:uid="{4279F9C1-E5F6-4354-9A39-5BF0B4F64319}"/>
    <cellStyle name="Note 5 11 2 10" xfId="16436" xr:uid="{10943439-5A7C-41FA-8E09-32E7E3C75B02}"/>
    <cellStyle name="Note 5 11 2 10 2" xfId="35109" xr:uid="{D198B430-C7F9-47D0-9543-3032FFAF1A96}"/>
    <cellStyle name="Note 5 11 2 11" xfId="35110" xr:uid="{F5519A85-0A7A-4BB8-8A2D-6DA780D2152A}"/>
    <cellStyle name="Note 5 11 2 2" xfId="16437" xr:uid="{2D22947F-40B3-46A0-922D-48D7B142F7FF}"/>
    <cellStyle name="Note 5 11 2 2 2" xfId="16438" xr:uid="{02EBE5BF-3D37-4C90-823B-91E0077245A4}"/>
    <cellStyle name="Note 5 11 2 2 2 2" xfId="16439" xr:uid="{6B3D4EAC-1213-4292-9930-EAB3ABD8514D}"/>
    <cellStyle name="Note 5 11 2 2 3" xfId="16440" xr:uid="{37475910-239A-4DFB-8563-6545F5697BAB}"/>
    <cellStyle name="Note 5 11 2 2 4" xfId="35111" xr:uid="{4A1A4C86-7282-4FD1-9CC2-0C1BCA8833C7}"/>
    <cellStyle name="Note 5 11 2 3" xfId="16441" xr:uid="{05177D86-D2D0-4A73-8AAB-2DC52169B259}"/>
    <cellStyle name="Note 5 11 2 3 2" xfId="16442" xr:uid="{C8DBE7F1-7DCA-4983-AF40-50FEB5053849}"/>
    <cellStyle name="Note 5 11 2 3 3" xfId="35112" xr:uid="{290FFF29-AA07-432D-9EE4-15CED56B009F}"/>
    <cellStyle name="Note 5 11 2 3 4" xfId="35113" xr:uid="{283AB4A2-97B0-4A4D-8D1C-5C189CCBBE15}"/>
    <cellStyle name="Note 5 11 2 4" xfId="16443" xr:uid="{9E6E93BF-465F-4E09-B044-1CB6C33FA535}"/>
    <cellStyle name="Note 5 11 2 4 2" xfId="16444" xr:uid="{3E960780-951A-4083-96E6-417BB8069A5B}"/>
    <cellStyle name="Note 5 11 2 4 3" xfId="35114" xr:uid="{C6B13B7D-947D-488F-BA6C-F488576EEFAE}"/>
    <cellStyle name="Note 5 11 2 4 4" xfId="35115" xr:uid="{BD977EF7-D9E3-4498-9864-705324BE0C98}"/>
    <cellStyle name="Note 5 11 2 5" xfId="16445" xr:uid="{0FAFE4C4-990E-4D2C-B084-52B1A7A4D9B6}"/>
    <cellStyle name="Note 5 11 2 5 2" xfId="16446" xr:uid="{E8759DDD-1ADD-4D73-B94D-DBC633CFBC48}"/>
    <cellStyle name="Note 5 11 2 5 3" xfId="35116" xr:uid="{DE947F60-9620-4BAA-8929-E3BA1A8819A3}"/>
    <cellStyle name="Note 5 11 2 5 4" xfId="35117" xr:uid="{C9241DEC-384E-42C6-A2AF-B7FC79ED0F19}"/>
    <cellStyle name="Note 5 11 2 6" xfId="16447" xr:uid="{0DDA6DF2-415D-4E97-A1C8-560EA5071A9B}"/>
    <cellStyle name="Note 5 11 2 6 2" xfId="16448" xr:uid="{17199266-CCF0-476D-9A4F-5C78B76E4E94}"/>
    <cellStyle name="Note 5 11 2 6 3" xfId="35118" xr:uid="{7975167C-73EE-4EF8-886F-C5B6F7C323D0}"/>
    <cellStyle name="Note 5 11 2 6 4" xfId="35119" xr:uid="{DB761824-2866-45D7-9441-36568D0F2710}"/>
    <cellStyle name="Note 5 11 2 7" xfId="16449" xr:uid="{B5D9D990-4A55-46B1-ABD8-38C0FD0C6AC8}"/>
    <cellStyle name="Note 5 11 2 7 2" xfId="16450" xr:uid="{9DBD3EC8-574E-478B-9D5D-FEBCA882BE03}"/>
    <cellStyle name="Note 5 11 2 7 3" xfId="35120" xr:uid="{DA10B719-A080-4F2D-AF81-035AA1B62C79}"/>
    <cellStyle name="Note 5 11 2 7 4" xfId="35121" xr:uid="{2A308C28-6CDD-4F0E-B490-FB0E730F1CC1}"/>
    <cellStyle name="Note 5 11 2 8" xfId="16451" xr:uid="{867D8F76-3420-4C0F-B4A0-27509FF5E530}"/>
    <cellStyle name="Note 5 11 2 8 2" xfId="16452" xr:uid="{390CF7E9-FF80-44CF-BB5F-6450F8F6D989}"/>
    <cellStyle name="Note 5 11 2 8 3" xfId="35122" xr:uid="{12A8353D-8D75-4332-8BE1-1D97D34BD4F8}"/>
    <cellStyle name="Note 5 11 2 8 4" xfId="35123" xr:uid="{9560818C-FFA0-42FE-9318-A8D49773C9C8}"/>
    <cellStyle name="Note 5 11 2 9" xfId="16453" xr:uid="{E8C4300A-9C95-4EB5-B9E1-F5D606191D09}"/>
    <cellStyle name="Note 5 11 2 9 2" xfId="35124" xr:uid="{542B4811-646A-4B2D-B810-AD6FE5FD4771}"/>
    <cellStyle name="Note 5 11 3" xfId="16454" xr:uid="{4F3BF77E-CBDA-4746-9B3B-30CDF1FE1BAB}"/>
    <cellStyle name="Note 5 11 3 2" xfId="16455" xr:uid="{2E271C48-573A-49DB-9ACE-56FCB0E7D98E}"/>
    <cellStyle name="Note 5 11 3 2 2" xfId="16456" xr:uid="{4B60DE38-C104-4D27-BE94-518F5D7058EA}"/>
    <cellStyle name="Note 5 11 3 3" xfId="16457" xr:uid="{CCF741F4-C10E-432D-A61E-4048ED022BE2}"/>
    <cellStyle name="Note 5 11 3 4" xfId="35125" xr:uid="{154BF7AD-9BBD-46C8-8911-883272EFE3D7}"/>
    <cellStyle name="Note 5 11 4" xfId="16458" xr:uid="{E9A611DE-0CB7-4B27-98D1-AA7835039B06}"/>
    <cellStyle name="Note 5 11 4 2" xfId="16459" xr:uid="{4A6F4B4C-97FF-48EA-A782-3D77ED78182B}"/>
    <cellStyle name="Note 5 11 4 3" xfId="35126" xr:uid="{A63A13C6-D3E5-443C-A496-B9EC8F296B48}"/>
    <cellStyle name="Note 5 11 4 4" xfId="35127" xr:uid="{3CC3CF05-A027-4C49-AFA2-0AB101C95F90}"/>
    <cellStyle name="Note 5 11 5" xfId="16460" xr:uid="{72055EE6-C525-482C-94A0-63ECF74A99A2}"/>
    <cellStyle name="Note 5 11 5 2" xfId="16461" xr:uid="{29D3DC62-FE7C-453B-9AF1-50779E7D6B02}"/>
    <cellStyle name="Note 5 11 5 3" xfId="35128" xr:uid="{947B00E5-4DBA-48B6-8477-B030CCB81BD7}"/>
    <cellStyle name="Note 5 11 5 4" xfId="35129" xr:uid="{F9BB96C1-794B-47A5-80AB-F6373BEBEB3F}"/>
    <cellStyle name="Note 5 11 6" xfId="16462" xr:uid="{6E1A2F85-647C-49DF-AA44-02C437E4B4B9}"/>
    <cellStyle name="Note 5 11 6 2" xfId="16463" xr:uid="{49AC9FA3-4D53-4679-AF70-E1E17B4020F1}"/>
    <cellStyle name="Note 5 11 6 3" xfId="35130" xr:uid="{0015C2A1-D243-4BEF-AA94-12BB90A726AC}"/>
    <cellStyle name="Note 5 11 6 4" xfId="35131" xr:uid="{404DEA2E-CBAC-438D-B1EA-09D00B63DD62}"/>
    <cellStyle name="Note 5 11 7" xfId="16464" xr:uid="{4FF6813E-CD7C-4699-A23B-99CA18DB5E4E}"/>
    <cellStyle name="Note 5 11 7 2" xfId="16465" xr:uid="{C61C213C-77CB-42D6-A596-B0C3018785A3}"/>
    <cellStyle name="Note 5 11 7 3" xfId="35132" xr:uid="{B3593AE3-C67C-4CF3-BFE5-E6128E90064D}"/>
    <cellStyle name="Note 5 11 7 4" xfId="35133" xr:uid="{D2F66319-9247-4E6F-A7FE-9BE7A73023C8}"/>
    <cellStyle name="Note 5 11 8" xfId="16466" xr:uid="{C1D115A6-5AC8-4B40-ADC7-AF6C4AC23B81}"/>
    <cellStyle name="Note 5 11 8 2" xfId="16467" xr:uid="{3501C3FC-9DA8-4232-9483-344824ACE6D3}"/>
    <cellStyle name="Note 5 11 8 3" xfId="35134" xr:uid="{9602157E-A493-40FB-AD87-6C912BD29D1F}"/>
    <cellStyle name="Note 5 11 8 4" xfId="35135" xr:uid="{307990A4-6B55-4F69-9A7A-D5705D688DD8}"/>
    <cellStyle name="Note 5 11 9" xfId="16468" xr:uid="{EC36C8A8-1569-4034-9DAA-ACF913B0A12C}"/>
    <cellStyle name="Note 5 11 9 2" xfId="16469" xr:uid="{5C18CE3B-5B7D-49BF-8FB6-768AE37ECA78}"/>
    <cellStyle name="Note 5 11 9 3" xfId="35136" xr:uid="{8BEF6003-B68F-4350-8DDD-47923DC85433}"/>
    <cellStyle name="Note 5 11 9 4" xfId="35137" xr:uid="{F2FA88BB-D0D3-42E0-9FA8-28719A4F6041}"/>
    <cellStyle name="Note 5 12" xfId="16470" xr:uid="{E1501CE3-2439-42E2-8FCD-506F2D95EDE7}"/>
    <cellStyle name="Note 5 12 10" xfId="16471" xr:uid="{B1C62B1A-66A1-488A-B901-DFE8D5602A2B}"/>
    <cellStyle name="Note 5 12 10 2" xfId="35138" xr:uid="{ADD762E8-CB8D-48DA-9851-0B6D54808F60}"/>
    <cellStyle name="Note 5 12 11" xfId="35139" xr:uid="{455E817B-013E-4EC7-A528-CED045E2684A}"/>
    <cellStyle name="Note 5 12 2" xfId="16472" xr:uid="{0F5AFDBA-EA2C-435E-8C13-F78C0CB9F6F7}"/>
    <cellStyle name="Note 5 12 2 2" xfId="16473" xr:uid="{997B09AF-A47A-461F-B6B2-F6618E99A959}"/>
    <cellStyle name="Note 5 12 2 2 2" xfId="16474" xr:uid="{E540644C-6FA7-4C8A-811C-18EE73D62CA1}"/>
    <cellStyle name="Note 5 12 2 3" xfId="16475" xr:uid="{B2BA8EB9-E5DB-418E-90E3-3997BB126942}"/>
    <cellStyle name="Note 5 12 2 4" xfId="35140" xr:uid="{74F9C8AF-4FAD-431E-A17B-7C453925F449}"/>
    <cellStyle name="Note 5 12 3" xfId="16476" xr:uid="{DA5EBA8C-ECBE-44B7-9E8C-06700D0B7633}"/>
    <cellStyle name="Note 5 12 3 2" xfId="16477" xr:uid="{D06B0E8B-D029-4E9B-82F9-5E25C669D809}"/>
    <cellStyle name="Note 5 12 3 3" xfId="35141" xr:uid="{3DDD425B-5CE4-48D4-BE71-E3EE42689457}"/>
    <cellStyle name="Note 5 12 3 4" xfId="35142" xr:uid="{6AED834F-73CB-4090-8648-0D94B471B8CE}"/>
    <cellStyle name="Note 5 12 4" xfId="16478" xr:uid="{A475B47C-B234-4F4D-B5F8-7882462542B7}"/>
    <cellStyle name="Note 5 12 4 2" xfId="16479" xr:uid="{B03BCB43-2C4F-4D1D-85E6-409FCCB50153}"/>
    <cellStyle name="Note 5 12 4 3" xfId="35143" xr:uid="{A2635E2F-D19A-4896-A31B-0D060D6377AA}"/>
    <cellStyle name="Note 5 12 4 4" xfId="35144" xr:uid="{B84EE41F-3DB2-4EB4-A2B6-E35532B633E9}"/>
    <cellStyle name="Note 5 12 5" xfId="16480" xr:uid="{31044CB6-1D19-4387-BCA4-199BAD316316}"/>
    <cellStyle name="Note 5 12 5 2" xfId="16481" xr:uid="{10D0F902-863A-453D-9E67-99A4D3BFD5FE}"/>
    <cellStyle name="Note 5 12 5 3" xfId="35145" xr:uid="{FB64BEFA-0CCB-49FB-8DCD-04A6A3988303}"/>
    <cellStyle name="Note 5 12 5 4" xfId="35146" xr:uid="{1C1DFB3C-BF5D-4B1A-AE07-FD93C9C7B390}"/>
    <cellStyle name="Note 5 12 6" xfId="16482" xr:uid="{A5F454F8-DA87-4CA7-A601-BE030FDA6C79}"/>
    <cellStyle name="Note 5 12 6 2" xfId="16483" xr:uid="{30FA446A-78E4-4129-B62F-B5223C0D9A74}"/>
    <cellStyle name="Note 5 12 6 3" xfId="35147" xr:uid="{5B984A33-8B43-48DB-87AE-61D8528FDAC7}"/>
    <cellStyle name="Note 5 12 6 4" xfId="35148" xr:uid="{3C44B812-A60B-435B-8511-102A7D961E8E}"/>
    <cellStyle name="Note 5 12 7" xfId="16484" xr:uid="{265B1DCB-6656-48E8-AA50-05CC89785F8C}"/>
    <cellStyle name="Note 5 12 7 2" xfId="16485" xr:uid="{0D52EAD3-343B-4611-BC8C-85C42E9EDF92}"/>
    <cellStyle name="Note 5 12 7 3" xfId="35149" xr:uid="{3B2A8E5D-6E4B-423A-AFF2-5EAB46F439AF}"/>
    <cellStyle name="Note 5 12 7 4" xfId="35150" xr:uid="{7EE61274-C1B6-4212-95FA-9E21B7484A60}"/>
    <cellStyle name="Note 5 12 8" xfId="16486" xr:uid="{F475CCDB-A339-4B64-9952-135215E42544}"/>
    <cellStyle name="Note 5 12 8 2" xfId="16487" xr:uid="{ECCA04EF-8DE5-47D8-80F0-B55C10687150}"/>
    <cellStyle name="Note 5 12 8 3" xfId="35151" xr:uid="{8CA3906E-21DA-4662-96CE-055F6BA1B6AB}"/>
    <cellStyle name="Note 5 12 8 4" xfId="35152" xr:uid="{654074C1-E166-402C-AD76-7CE36CBF162C}"/>
    <cellStyle name="Note 5 12 9" xfId="16488" xr:uid="{F6307AB2-444D-4A4E-B1F7-E2D1CD4FB2B6}"/>
    <cellStyle name="Note 5 12 9 2" xfId="35153" xr:uid="{5E9F3231-A9EB-40BC-9B41-3A7B3A21A088}"/>
    <cellStyle name="Note 5 13" xfId="16489" xr:uid="{D90073F4-F668-4742-8D44-41F3FB82A782}"/>
    <cellStyle name="Note 5 13 2" xfId="16490" xr:uid="{83A5E1CE-8D34-458B-A094-44A92644C90A}"/>
    <cellStyle name="Note 5 13 2 2" xfId="16491" xr:uid="{7FBF7708-C57D-450D-A150-2C46C04887BD}"/>
    <cellStyle name="Note 5 13 3" xfId="16492" xr:uid="{2E260B96-3A93-4407-AFF2-5ED9333EF602}"/>
    <cellStyle name="Note 5 13 4" xfId="35154" xr:uid="{BF4E3395-1418-463B-BE43-ABAF0E306619}"/>
    <cellStyle name="Note 5 14" xfId="16493" xr:uid="{00495F54-A5D9-4E7B-BD31-606B9E86C3E6}"/>
    <cellStyle name="Note 5 14 2" xfId="16494" xr:uid="{62E5D608-6F30-453C-A803-B6800BA32A73}"/>
    <cellStyle name="Note 5 14 3" xfId="35155" xr:uid="{3DE2D179-A4B1-417B-882B-BDB47EB6039F}"/>
    <cellStyle name="Note 5 14 4" xfId="35156" xr:uid="{EC8FF06E-68C4-45F9-8D42-F022131CD0BF}"/>
    <cellStyle name="Note 5 15" xfId="16495" xr:uid="{60310142-B43A-406D-879B-1E5BA8C7F9FF}"/>
    <cellStyle name="Note 5 15 2" xfId="16496" xr:uid="{F889AEC5-C95A-472B-AB01-61C0718E73EF}"/>
    <cellStyle name="Note 5 15 3" xfId="35157" xr:uid="{01F49F7D-487B-4DCE-8B28-4912CDABAA42}"/>
    <cellStyle name="Note 5 15 4" xfId="35158" xr:uid="{C1C60C5A-CF69-4792-9C73-C08B0C8BE8D4}"/>
    <cellStyle name="Note 5 16" xfId="16497" xr:uid="{46A47E34-74D5-4047-B18A-6F72A224865E}"/>
    <cellStyle name="Note 5 16 2" xfId="16498" xr:uid="{3DC7FABA-CCA0-4153-94A8-5A816DB3D73D}"/>
    <cellStyle name="Note 5 16 3" xfId="35159" xr:uid="{D198A8E5-9639-4D67-BECA-681F2F1D57A6}"/>
    <cellStyle name="Note 5 16 4" xfId="35160" xr:uid="{07C11501-745F-433A-9E77-43F722E3D169}"/>
    <cellStyle name="Note 5 17" xfId="16499" xr:uid="{431B6618-2F43-4080-BA84-0E3FA04EFC74}"/>
    <cellStyle name="Note 5 17 2" xfId="16500" xr:uid="{B4510504-05E8-4C88-B91F-55A15E07E3BC}"/>
    <cellStyle name="Note 5 17 3" xfId="35161" xr:uid="{20C844E6-7C88-4BEF-81D0-0BAFF5CEA945}"/>
    <cellStyle name="Note 5 17 4" xfId="35162" xr:uid="{BB679581-14ED-4D6D-8ED2-620E47CD84E7}"/>
    <cellStyle name="Note 5 18" xfId="16501" xr:uid="{7758E9F4-A3E4-4994-B50C-09A9CAD4E3B5}"/>
    <cellStyle name="Note 5 18 2" xfId="16502" xr:uid="{76D4A7A6-723E-41F5-BA2F-0485625ECDA7}"/>
    <cellStyle name="Note 5 18 3" xfId="35163" xr:uid="{BBC9ED4B-E698-4C41-ACD0-7A16D511D725}"/>
    <cellStyle name="Note 5 18 4" xfId="35164" xr:uid="{7F1D8489-B42C-4EA1-B2C9-29ABC0256A00}"/>
    <cellStyle name="Note 5 19" xfId="16503" xr:uid="{1841373B-8D24-4C77-A9D0-94CBCD0D87AC}"/>
    <cellStyle name="Note 5 19 2" xfId="16504" xr:uid="{38B1227E-397B-40CB-A589-9854127F1738}"/>
    <cellStyle name="Note 5 19 3" xfId="35165" xr:uid="{449DB33E-CA08-4C64-9427-6EBB77A4E192}"/>
    <cellStyle name="Note 5 19 4" xfId="35166" xr:uid="{0C472DB3-C736-43F9-BBA9-427F435C9572}"/>
    <cellStyle name="Note 5 2" xfId="16505" xr:uid="{83EFFFB5-6AAB-47D4-B948-E28391C1CD73}"/>
    <cellStyle name="Note 5 2 10" xfId="16506" xr:uid="{872D6A9D-3587-4942-AA90-6ED62D3F0E79}"/>
    <cellStyle name="Note 5 2 10 2" xfId="35167" xr:uid="{1183045D-F7D7-4AF5-8D90-3EA01211669A}"/>
    <cellStyle name="Note 5 2 11" xfId="16507" xr:uid="{05BB993C-3DE5-40F1-87B6-ED1ED8E898B5}"/>
    <cellStyle name="Note 5 2 11 2" xfId="35168" xr:uid="{D44C4308-334C-4CF1-8366-57967C88123B}"/>
    <cellStyle name="Note 5 2 12" xfId="35169" xr:uid="{18F33A70-1FDB-45A8-B372-A72F82F426C2}"/>
    <cellStyle name="Note 5 2 13" xfId="35170" xr:uid="{FB3C47B6-59A8-4918-A46C-F2E77E2DA3F4}"/>
    <cellStyle name="Note 5 2 2" xfId="16508" xr:uid="{DDFCDECE-1E44-4133-9934-C905CF512A98}"/>
    <cellStyle name="Note 5 2 2 10" xfId="16509" xr:uid="{0715F66E-DE3B-4BFB-9F5D-70E482258C87}"/>
    <cellStyle name="Note 5 2 2 10 2" xfId="35171" xr:uid="{04B7D12A-AD8E-479D-9A4D-EEDE50A84790}"/>
    <cellStyle name="Note 5 2 2 11" xfId="35172" xr:uid="{6DA359D4-AA90-4EB6-94D7-7F75ACF1B904}"/>
    <cellStyle name="Note 5 2 2 2" xfId="16510" xr:uid="{EA5D4192-2E56-4B36-A867-2D00A29BBFF0}"/>
    <cellStyle name="Note 5 2 2 2 2" xfId="16511" xr:uid="{A8D71DC2-A1F0-4BC7-8D26-23B2F3E67001}"/>
    <cellStyle name="Note 5 2 2 2 2 2" xfId="16512" xr:uid="{0B428246-71AC-4E9E-9110-96C264BA915F}"/>
    <cellStyle name="Note 5 2 2 2 3" xfId="16513" xr:uid="{795D6A4D-0F15-435A-B947-AC30087BE4AA}"/>
    <cellStyle name="Note 5 2 2 2 4" xfId="35173" xr:uid="{F81CCE67-B30C-41F2-974A-6883D9357DBF}"/>
    <cellStyle name="Note 5 2 2 3" xfId="16514" xr:uid="{1B1C364C-68E9-4C75-B141-ABC7787C704F}"/>
    <cellStyle name="Note 5 2 2 3 2" xfId="16515" xr:uid="{5E935623-6475-4D5A-974C-CA36BD55297E}"/>
    <cellStyle name="Note 5 2 2 3 3" xfId="35174" xr:uid="{5A8BD2AB-D4B6-479D-9976-45408FE961CA}"/>
    <cellStyle name="Note 5 2 2 3 4" xfId="35175" xr:uid="{DFFF592A-A8C1-446B-A597-1DFB4BD71370}"/>
    <cellStyle name="Note 5 2 2 4" xfId="16516" xr:uid="{128D6730-2436-48A6-9E4E-93CFF1758446}"/>
    <cellStyle name="Note 5 2 2 4 2" xfId="16517" xr:uid="{2CC30F9B-EFA4-41D5-B304-D83D97E0A514}"/>
    <cellStyle name="Note 5 2 2 4 3" xfId="35176" xr:uid="{9A2B01AA-94F0-4619-99DE-291602A9328F}"/>
    <cellStyle name="Note 5 2 2 4 4" xfId="35177" xr:uid="{F6ABBF48-6F0C-4EBF-8104-BA08B2C2D3EA}"/>
    <cellStyle name="Note 5 2 2 5" xfId="16518" xr:uid="{9AE13E18-1511-466B-8CEC-08796B23CFBB}"/>
    <cellStyle name="Note 5 2 2 5 2" xfId="16519" xr:uid="{C0B861BB-77D0-4904-8629-3021F89403E2}"/>
    <cellStyle name="Note 5 2 2 5 3" xfId="35178" xr:uid="{2FD42AF0-FCE4-4613-A9FA-B65831603B4A}"/>
    <cellStyle name="Note 5 2 2 5 4" xfId="35179" xr:uid="{B577A338-940A-4505-9353-E5F611A9C643}"/>
    <cellStyle name="Note 5 2 2 6" xfId="16520" xr:uid="{1C7ADB9A-175D-4E53-B255-0087F87A0CCD}"/>
    <cellStyle name="Note 5 2 2 6 2" xfId="16521" xr:uid="{0BE32A64-EE05-42BD-A98C-8B376A62990D}"/>
    <cellStyle name="Note 5 2 2 6 3" xfId="35180" xr:uid="{DE1FF42D-25A0-48A5-AE47-F8E3AB801D51}"/>
    <cellStyle name="Note 5 2 2 6 4" xfId="35181" xr:uid="{BA06FD6C-F06A-4A81-BCA9-8DA6788D109B}"/>
    <cellStyle name="Note 5 2 2 7" xfId="16522" xr:uid="{ED767953-800E-4167-A94F-2DC074B83FDF}"/>
    <cellStyle name="Note 5 2 2 7 2" xfId="16523" xr:uid="{D450D3F0-54B6-4913-BD18-0CFC5C4A7F65}"/>
    <cellStyle name="Note 5 2 2 7 3" xfId="35182" xr:uid="{37090A39-6F63-4044-ACFC-147F1300AD1D}"/>
    <cellStyle name="Note 5 2 2 7 4" xfId="35183" xr:uid="{CEC77C2B-7B17-4BC8-B762-F9A99E3634F8}"/>
    <cellStyle name="Note 5 2 2 8" xfId="16524" xr:uid="{BFF1D81D-4F06-436D-91D2-6462F938B333}"/>
    <cellStyle name="Note 5 2 2 8 2" xfId="16525" xr:uid="{D70FF27F-079B-4175-9F28-512A8972F4EF}"/>
    <cellStyle name="Note 5 2 2 8 3" xfId="35184" xr:uid="{65013CB4-8C8B-4453-AF3E-EF6EDD291824}"/>
    <cellStyle name="Note 5 2 2 8 4" xfId="35185" xr:uid="{313B4633-BEAD-481B-B2C8-46970324C626}"/>
    <cellStyle name="Note 5 2 2 9" xfId="16526" xr:uid="{8896818D-2B15-44FA-9182-1070CFB56FA3}"/>
    <cellStyle name="Note 5 2 2 9 2" xfId="35186" xr:uid="{3A3890E3-1F38-44BC-8C29-6796B0EFD891}"/>
    <cellStyle name="Note 5 2 3" xfId="16527" xr:uid="{FBFBD8C3-6FD2-46C1-842C-1E2009AEE816}"/>
    <cellStyle name="Note 5 2 3 2" xfId="16528" xr:uid="{8D4D6CAC-2A83-41C3-93A0-4510CCF69BDD}"/>
    <cellStyle name="Note 5 2 3 2 2" xfId="16529" xr:uid="{4ECA6A9C-C0E9-4C61-AF0D-0A66DB808FE4}"/>
    <cellStyle name="Note 5 2 3 3" xfId="16530" xr:uid="{2062D295-E6F2-452F-A79F-F8B6A2F9E227}"/>
    <cellStyle name="Note 5 2 3 4" xfId="35187" xr:uid="{4ABAE8AC-AD65-4EA2-B416-A051B434DC8D}"/>
    <cellStyle name="Note 5 2 4" xfId="16531" xr:uid="{66CC7BE0-5429-445C-915B-60AEC5DC37D1}"/>
    <cellStyle name="Note 5 2 4 2" xfId="16532" xr:uid="{FCC6FBE5-EACC-4496-AC87-2960AE027E08}"/>
    <cellStyle name="Note 5 2 4 3" xfId="35188" xr:uid="{71008042-883A-41B6-833F-35087211C876}"/>
    <cellStyle name="Note 5 2 4 4" xfId="35189" xr:uid="{E70B59C1-4B85-4B70-B7D2-23154E013554}"/>
    <cellStyle name="Note 5 2 5" xfId="16533" xr:uid="{5F559C91-9D07-4BD9-8F21-53ED80FB5C13}"/>
    <cellStyle name="Note 5 2 5 2" xfId="16534" xr:uid="{958FCF54-620F-4A59-B839-78ACADC313A2}"/>
    <cellStyle name="Note 5 2 5 3" xfId="35190" xr:uid="{736D0296-56A5-48C4-829B-A28987108A4F}"/>
    <cellStyle name="Note 5 2 5 4" xfId="35191" xr:uid="{99E79A1A-0AFB-4C6D-8938-7CDED8C16657}"/>
    <cellStyle name="Note 5 2 6" xfId="16535" xr:uid="{0252CC7E-A686-4DAF-B103-7BD3A7A595EE}"/>
    <cellStyle name="Note 5 2 6 2" xfId="16536" xr:uid="{5E13CFB1-BF17-4CC3-BD94-A84CEF5CCDDE}"/>
    <cellStyle name="Note 5 2 6 3" xfId="35192" xr:uid="{6EFD90B3-7AA6-4919-B4D5-5B8F12BBEAA1}"/>
    <cellStyle name="Note 5 2 6 4" xfId="35193" xr:uid="{43D52F5E-D471-4CB2-806A-D418EDC9AE06}"/>
    <cellStyle name="Note 5 2 7" xfId="16537" xr:uid="{CEF6EB23-FBB7-4D34-BB71-0024C2442EDA}"/>
    <cellStyle name="Note 5 2 7 2" xfId="16538" xr:uid="{2F376AEC-0144-48BE-B546-7A5F086FC43D}"/>
    <cellStyle name="Note 5 2 7 3" xfId="35194" xr:uid="{7033862D-3BC9-46AD-8475-8B10A4495587}"/>
    <cellStyle name="Note 5 2 7 4" xfId="35195" xr:uid="{95736B80-0BF6-4E5D-B423-3B1DD39F8212}"/>
    <cellStyle name="Note 5 2 8" xfId="16539" xr:uid="{CE103B44-FFAE-4B4C-A1FC-67E264121AC9}"/>
    <cellStyle name="Note 5 2 8 2" xfId="16540" xr:uid="{849EA1C3-0695-4604-9FC3-233E699D2EA2}"/>
    <cellStyle name="Note 5 2 8 3" xfId="35196" xr:uid="{870CD19E-D035-4BFA-9828-31DC5DBD2F44}"/>
    <cellStyle name="Note 5 2 8 4" xfId="35197" xr:uid="{597F7E78-E77E-400B-B665-E002C0C2EB24}"/>
    <cellStyle name="Note 5 2 9" xfId="16541" xr:uid="{2315ABB3-0905-4195-8501-9B8986549EFC}"/>
    <cellStyle name="Note 5 2 9 2" xfId="16542" xr:uid="{91C0F314-C063-449C-A95E-AAE99EB81F66}"/>
    <cellStyle name="Note 5 2 9 3" xfId="35198" xr:uid="{BEBD76BE-79A0-4208-B777-58DA72F51D89}"/>
    <cellStyle name="Note 5 2 9 4" xfId="35199" xr:uid="{7FE0792F-DB30-439E-9B16-980F9820FFC0}"/>
    <cellStyle name="Note 5 20" xfId="16543" xr:uid="{30B7DEF3-322E-4EDE-9B7C-F0DF2EC3346F}"/>
    <cellStyle name="Note 5 20 2" xfId="35200" xr:uid="{0D1D3AD4-A174-42E5-A4E1-FE1FEA342D90}"/>
    <cellStyle name="Note 5 21" xfId="16544" xr:uid="{0F6079E3-0FED-4205-B9B4-46B74BDF8213}"/>
    <cellStyle name="Note 5 21 2" xfId="35201" xr:uid="{228EE639-9FCA-4AF1-AFDD-74D9B991BF54}"/>
    <cellStyle name="Note 5 22" xfId="35202" xr:uid="{24615BDA-711A-4842-8C45-F3BFD6EECC98}"/>
    <cellStyle name="Note 5 23" xfId="35203" xr:uid="{1FFB9EA2-07C9-4CDB-95DF-1E1B4A84D599}"/>
    <cellStyle name="Note 5 3" xfId="16545" xr:uid="{5E206341-75C1-4C3C-88D8-E80E2939DEC0}"/>
    <cellStyle name="Note 5 3 10" xfId="16546" xr:uid="{375647FE-26CD-4970-870B-1B16818CA531}"/>
    <cellStyle name="Note 5 3 10 2" xfId="35204" xr:uid="{DF02F276-E68E-42F2-9C62-583DA02B078A}"/>
    <cellStyle name="Note 5 3 11" xfId="16547" xr:uid="{8FE1F71B-9928-4798-A694-0A5BEA63BFD6}"/>
    <cellStyle name="Note 5 3 11 2" xfId="35205" xr:uid="{5E597687-8058-41A6-8044-76AE5E942C66}"/>
    <cellStyle name="Note 5 3 12" xfId="35206" xr:uid="{CC3891CC-A5C6-4B27-8E0C-B992FB20A8D5}"/>
    <cellStyle name="Note 5 3 13" xfId="35207" xr:uid="{FEB5423E-DE63-4DFA-B37B-D846E6CEA819}"/>
    <cellStyle name="Note 5 3 2" xfId="16548" xr:uid="{78DB9429-A09B-42D1-A683-7CACE2B58ADF}"/>
    <cellStyle name="Note 5 3 2 10" xfId="16549" xr:uid="{A5D7BA0C-8427-4A1E-8F12-0BECACC6F05F}"/>
    <cellStyle name="Note 5 3 2 10 2" xfId="35208" xr:uid="{D9A07C90-F50E-430D-92FB-EEB35D11D59C}"/>
    <cellStyle name="Note 5 3 2 11" xfId="35209" xr:uid="{80F6D354-D113-4C7B-A467-0F650E92B317}"/>
    <cellStyle name="Note 5 3 2 12" xfId="35210" xr:uid="{8938D8A2-9E1A-4041-9304-AE6A533A2343}"/>
    <cellStyle name="Note 5 3 2 2" xfId="16550" xr:uid="{00C46F9A-71B2-496A-90EC-98BCA62E95F8}"/>
    <cellStyle name="Note 5 3 2 2 2" xfId="16551" xr:uid="{112DBFEA-DB12-44DA-9334-A3FC250249A1}"/>
    <cellStyle name="Note 5 3 2 2 2 2" xfId="16552" xr:uid="{5B9A1781-A043-419B-A3A5-7A36DA9D0B50}"/>
    <cellStyle name="Note 5 3 2 2 3" xfId="16553" xr:uid="{13BF4A96-9F50-4F98-910A-C23A7E1A8373}"/>
    <cellStyle name="Note 5 3 2 2 4" xfId="35211" xr:uid="{56DFF3AF-7889-4A5B-8B0F-DABDCB24F1AD}"/>
    <cellStyle name="Note 5 3 2 3" xfId="16554" xr:uid="{ACD76A61-F1EA-415F-97CF-1B18EC6440AD}"/>
    <cellStyle name="Note 5 3 2 3 2" xfId="16555" xr:uid="{0BF701A3-6A89-44C6-867B-DFB77BA2310B}"/>
    <cellStyle name="Note 5 3 2 3 3" xfId="35212" xr:uid="{9F7B569F-EF90-4EDF-A1C4-326DC5399550}"/>
    <cellStyle name="Note 5 3 2 3 4" xfId="35213" xr:uid="{8F9B5CE6-71A5-43C7-B2E0-3C6232CAB159}"/>
    <cellStyle name="Note 5 3 2 4" xfId="16556" xr:uid="{682D105B-B58B-49E2-83DE-CA8EFDC715AE}"/>
    <cellStyle name="Note 5 3 2 4 2" xfId="16557" xr:uid="{E0F97924-63F3-4226-987D-8894C0E9E5A8}"/>
    <cellStyle name="Note 5 3 2 4 3" xfId="35214" xr:uid="{503082B6-6E0F-40C0-881D-A5834B0BE786}"/>
    <cellStyle name="Note 5 3 2 4 4" xfId="35215" xr:uid="{2DAB80C0-156C-4F5C-B3B0-4357EBC5970C}"/>
    <cellStyle name="Note 5 3 2 5" xfId="16558" xr:uid="{7DCE00EF-EEEB-46F0-9588-04A592D9D434}"/>
    <cellStyle name="Note 5 3 2 5 2" xfId="16559" xr:uid="{FB6F7101-A086-42EC-9131-83B593F57B1E}"/>
    <cellStyle name="Note 5 3 2 5 3" xfId="35216" xr:uid="{3DD598E7-7557-47FF-91CE-BFA5C3C95416}"/>
    <cellStyle name="Note 5 3 2 5 4" xfId="35217" xr:uid="{971837E5-72D3-4694-B040-A3166A9C0249}"/>
    <cellStyle name="Note 5 3 2 6" xfId="16560" xr:uid="{854244A5-7481-420F-B3F9-171CA1DFC270}"/>
    <cellStyle name="Note 5 3 2 6 2" xfId="16561" xr:uid="{360610F0-A75C-4A4D-872F-275169DB3B38}"/>
    <cellStyle name="Note 5 3 2 6 3" xfId="35218" xr:uid="{69220D96-6DD2-42A8-8C5D-DAF21190355C}"/>
    <cellStyle name="Note 5 3 2 6 4" xfId="35219" xr:uid="{78E47695-99D8-436D-B0E7-7DED46DA0D17}"/>
    <cellStyle name="Note 5 3 2 7" xfId="16562" xr:uid="{51258015-A9AB-4CCE-85A8-9F041D23A51E}"/>
    <cellStyle name="Note 5 3 2 7 2" xfId="16563" xr:uid="{1245A76C-03F0-4E68-B437-F821C650B428}"/>
    <cellStyle name="Note 5 3 2 7 3" xfId="35220" xr:uid="{C411B295-173B-4652-9B30-C5D677136F71}"/>
    <cellStyle name="Note 5 3 2 7 4" xfId="35221" xr:uid="{C18B42E9-BFEA-4C4B-8DE8-C7A8DE0297F1}"/>
    <cellStyle name="Note 5 3 2 8" xfId="16564" xr:uid="{B6356918-C650-4677-A608-279C2D0D6B28}"/>
    <cellStyle name="Note 5 3 2 8 2" xfId="16565" xr:uid="{FAD00A93-5367-4845-A808-BA1134175B42}"/>
    <cellStyle name="Note 5 3 2 8 3" xfId="35222" xr:uid="{FFA32FB6-B623-4884-BB42-6A07E7FBDA9A}"/>
    <cellStyle name="Note 5 3 2 8 4" xfId="35223" xr:uid="{E101A801-9962-44D4-BAD1-6700A1A31901}"/>
    <cellStyle name="Note 5 3 2 9" xfId="16566" xr:uid="{7B3BACD0-195D-4693-A510-45F8AA68D386}"/>
    <cellStyle name="Note 5 3 2 9 2" xfId="35224" xr:uid="{23AE14FE-D252-449B-9748-E342F5CF4B78}"/>
    <cellStyle name="Note 5 3 3" xfId="16567" xr:uid="{918AF10C-57B9-4343-BD78-4AFEA9456228}"/>
    <cellStyle name="Note 5 3 3 2" xfId="16568" xr:uid="{4BD8AEFE-9633-48EA-9EC6-27259E0FE02C}"/>
    <cellStyle name="Note 5 3 3 2 2" xfId="16569" xr:uid="{B2CF82E5-1B5B-45A9-9D4B-E6BEEF2D2BF4}"/>
    <cellStyle name="Note 5 3 3 3" xfId="16570" xr:uid="{17A02F73-9EFC-408F-A683-3D197DEB048A}"/>
    <cellStyle name="Note 5 3 3 4" xfId="35225" xr:uid="{C1AE2A99-45F2-4D87-BE50-77381BEAEC7E}"/>
    <cellStyle name="Note 5 3 4" xfId="16571" xr:uid="{D37CA8F9-A512-4282-A5F6-66CAE3CEE576}"/>
    <cellStyle name="Note 5 3 4 2" xfId="16572" xr:uid="{A9C33257-E600-4045-A96B-92D9B650A251}"/>
    <cellStyle name="Note 5 3 4 3" xfId="35226" xr:uid="{169F9004-9A14-40AC-B719-92681DD547AD}"/>
    <cellStyle name="Note 5 3 4 4" xfId="35227" xr:uid="{DB7080A1-89B8-4563-A7D7-435712DEC18F}"/>
    <cellStyle name="Note 5 3 5" xfId="16573" xr:uid="{856D2BCA-3E4F-4FBD-A90C-A50BE69DF0B3}"/>
    <cellStyle name="Note 5 3 5 2" xfId="16574" xr:uid="{4BF5A17B-9531-44BE-83F8-E08D7CBF8AD6}"/>
    <cellStyle name="Note 5 3 5 3" xfId="35228" xr:uid="{A5E5DC0D-D088-4729-BBFA-607CB7F69EFC}"/>
    <cellStyle name="Note 5 3 5 4" xfId="35229" xr:uid="{21B43F8C-12CF-4917-ABE0-C6DD962C5A69}"/>
    <cellStyle name="Note 5 3 6" xfId="16575" xr:uid="{D103867E-2F41-4353-B175-08F2850E5FD9}"/>
    <cellStyle name="Note 5 3 6 2" xfId="16576" xr:uid="{EB793746-3A09-455D-B763-2AC5867E2D63}"/>
    <cellStyle name="Note 5 3 6 3" xfId="35230" xr:uid="{601E3109-85A5-424C-A545-95531FB1966F}"/>
    <cellStyle name="Note 5 3 6 4" xfId="35231" xr:uid="{2565ACE3-9857-47F1-AA29-78B5E673B4B4}"/>
    <cellStyle name="Note 5 3 7" xfId="16577" xr:uid="{E0ADEA60-138D-4116-9542-DF13C9EF757D}"/>
    <cellStyle name="Note 5 3 7 2" xfId="16578" xr:uid="{7796EB63-ACC7-4593-B46B-AF8CD8840F11}"/>
    <cellStyle name="Note 5 3 7 3" xfId="35232" xr:uid="{5E5B8984-7009-4177-AFE7-43E7F7BAFF91}"/>
    <cellStyle name="Note 5 3 7 4" xfId="35233" xr:uid="{E115CD26-5C75-4C3A-A3D1-4B6560E28B04}"/>
    <cellStyle name="Note 5 3 8" xfId="16579" xr:uid="{0DF5B122-270E-4AE1-AADD-B2CDC660253D}"/>
    <cellStyle name="Note 5 3 8 2" xfId="16580" xr:uid="{0ADB2906-733B-4411-8CA3-E9569F1D8023}"/>
    <cellStyle name="Note 5 3 8 3" xfId="35234" xr:uid="{3021FB51-1583-4397-A121-0B7F10B63DF6}"/>
    <cellStyle name="Note 5 3 8 4" xfId="35235" xr:uid="{EE8BE421-CF0E-4C63-8A88-67C9E46F40A0}"/>
    <cellStyle name="Note 5 3 9" xfId="16581" xr:uid="{BBED2171-7839-4F14-B696-3753A3470CE6}"/>
    <cellStyle name="Note 5 3 9 2" xfId="16582" xr:uid="{7C7954DC-9764-4918-B446-5ADA93FF26A0}"/>
    <cellStyle name="Note 5 3 9 3" xfId="35236" xr:uid="{46D7C532-458F-4700-AFBC-C7133AC7D5FF}"/>
    <cellStyle name="Note 5 3 9 4" xfId="35237" xr:uid="{C0DC14DD-3737-4EDC-B504-D8FC2E09A7B8}"/>
    <cellStyle name="Note 5 3_ELC_final" xfId="35238" xr:uid="{D61785E8-C4F0-41F4-B686-8B92ECC50F96}"/>
    <cellStyle name="Note 5 4" xfId="16583" xr:uid="{11F2F4D2-C7B7-421B-8CC1-F965F5CAA0F5}"/>
    <cellStyle name="Note 5 4 10" xfId="16584" xr:uid="{21126A75-F435-4312-B837-1EB6B01BAB6B}"/>
    <cellStyle name="Note 5 4 10 2" xfId="35239" xr:uid="{97E16FB5-4E9D-4BBF-94AE-933550E10929}"/>
    <cellStyle name="Note 5 4 11" xfId="16585" xr:uid="{CE686764-C6B4-4C4C-9DFD-291185BDD6C4}"/>
    <cellStyle name="Note 5 4 11 2" xfId="35240" xr:uid="{1FDC6A42-6878-4E67-A939-F36F4A84BB20}"/>
    <cellStyle name="Note 5 4 12" xfId="35241" xr:uid="{6E80164A-A1C0-4046-BBF7-798B55C8AAC0}"/>
    <cellStyle name="Note 5 4 13" xfId="35242" xr:uid="{2089453E-AECA-4290-B77B-355261028F8C}"/>
    <cellStyle name="Note 5 4 2" xfId="16586" xr:uid="{ABDA8416-280F-44FC-B426-5CA854496427}"/>
    <cellStyle name="Note 5 4 2 10" xfId="16587" xr:uid="{FC2DA389-BE94-4FC9-A1D3-31A979364CA4}"/>
    <cellStyle name="Note 5 4 2 10 2" xfId="35243" xr:uid="{7EDC7BB3-EDF9-41FE-8995-8CB245EF93F9}"/>
    <cellStyle name="Note 5 4 2 11" xfId="35244" xr:uid="{450744D4-91E0-4854-8F5D-3E3C6383E21B}"/>
    <cellStyle name="Note 5 4 2 2" xfId="16588" xr:uid="{0F30017D-5E6B-448F-89BE-E7C5D4E46711}"/>
    <cellStyle name="Note 5 4 2 2 2" xfId="16589" xr:uid="{2238AAD2-5683-4D36-BBD7-BDC7511083F3}"/>
    <cellStyle name="Note 5 4 2 2 2 2" xfId="16590" xr:uid="{1EE042A1-35D5-4F43-A7B0-2BCE08D37B88}"/>
    <cellStyle name="Note 5 4 2 2 3" xfId="16591" xr:uid="{A8BCF354-40E3-4AAB-A3A5-14584C890535}"/>
    <cellStyle name="Note 5 4 2 2 4" xfId="35245" xr:uid="{9773F81A-535B-4365-9CBC-2BB7097C6D20}"/>
    <cellStyle name="Note 5 4 2 3" xfId="16592" xr:uid="{50B55FFE-238A-40B0-831D-19BB4F9AE907}"/>
    <cellStyle name="Note 5 4 2 3 2" xfId="16593" xr:uid="{CDBF3C8A-A49E-4110-91C3-9E91E862C109}"/>
    <cellStyle name="Note 5 4 2 3 3" xfId="35246" xr:uid="{3A17E2A6-4498-47D8-A0B9-F3127380D6E2}"/>
    <cellStyle name="Note 5 4 2 3 4" xfId="35247" xr:uid="{972BC3E4-D3F9-47FC-9768-B79983239DEB}"/>
    <cellStyle name="Note 5 4 2 4" xfId="16594" xr:uid="{333B054C-57C1-41E7-A525-113B351E764D}"/>
    <cellStyle name="Note 5 4 2 4 2" xfId="16595" xr:uid="{7F5490E2-6E9E-46AE-95CA-BD970F608FF8}"/>
    <cellStyle name="Note 5 4 2 4 3" xfId="35248" xr:uid="{21E5303A-89B5-4F56-B978-46C3F2BDFCFE}"/>
    <cellStyle name="Note 5 4 2 4 4" xfId="35249" xr:uid="{EDA9DA00-0047-47C4-AE97-DCD931F73255}"/>
    <cellStyle name="Note 5 4 2 5" xfId="16596" xr:uid="{DEBAA3D7-0A6F-449A-98EC-F9548372D453}"/>
    <cellStyle name="Note 5 4 2 5 2" xfId="16597" xr:uid="{7AFAA749-CFF3-4C51-866B-5050295CD2CE}"/>
    <cellStyle name="Note 5 4 2 5 3" xfId="35250" xr:uid="{10007073-7CD0-43A7-AA26-BD1893BDFA25}"/>
    <cellStyle name="Note 5 4 2 5 4" xfId="35251" xr:uid="{8BFB0544-656D-4C8C-9B74-38FD494286D4}"/>
    <cellStyle name="Note 5 4 2 6" xfId="16598" xr:uid="{0A2E244C-BBDC-44E7-923D-280AD0D06D31}"/>
    <cellStyle name="Note 5 4 2 6 2" xfId="16599" xr:uid="{B657D0E4-A52A-42DB-947E-DD98BA1DBBFD}"/>
    <cellStyle name="Note 5 4 2 6 3" xfId="35252" xr:uid="{3992449C-2625-470E-8AB9-24079C128A86}"/>
    <cellStyle name="Note 5 4 2 6 4" xfId="35253" xr:uid="{A01B656C-B14A-4D4C-B3B8-DED0DEBDABAF}"/>
    <cellStyle name="Note 5 4 2 7" xfId="16600" xr:uid="{C405162E-6017-41A4-ACFD-3C8FEF5A6221}"/>
    <cellStyle name="Note 5 4 2 7 2" xfId="16601" xr:uid="{1CDD67C6-23A9-4415-9771-97AC791BDB7F}"/>
    <cellStyle name="Note 5 4 2 7 3" xfId="35254" xr:uid="{A68D0916-63EE-4F25-8952-FED43E8CC454}"/>
    <cellStyle name="Note 5 4 2 7 4" xfId="35255" xr:uid="{AA53E8B8-7620-4783-8C23-13C8B67AD846}"/>
    <cellStyle name="Note 5 4 2 8" xfId="16602" xr:uid="{B18CC955-EA89-4592-8C08-9D53097A6C7F}"/>
    <cellStyle name="Note 5 4 2 8 2" xfId="16603" xr:uid="{A0EC657B-3400-43EC-B82F-37FB48062F3F}"/>
    <cellStyle name="Note 5 4 2 8 3" xfId="35256" xr:uid="{D5934E7F-AEDB-4FCF-A73F-1C65F37CA144}"/>
    <cellStyle name="Note 5 4 2 8 4" xfId="35257" xr:uid="{7E7F13A5-761F-46FA-994B-88955E3366FC}"/>
    <cellStyle name="Note 5 4 2 9" xfId="16604" xr:uid="{C5C570EC-B03D-4E64-AFBC-D50F311C2706}"/>
    <cellStyle name="Note 5 4 2 9 2" xfId="35258" xr:uid="{E72727A9-B993-4B95-BBC7-30EB70381E7A}"/>
    <cellStyle name="Note 5 4 3" xfId="16605" xr:uid="{8A8920C0-4A73-4657-A16E-CB8F9E7AAA2F}"/>
    <cellStyle name="Note 5 4 3 2" xfId="16606" xr:uid="{E4713B74-D5B5-4584-B54C-F1AF1E1CBDBD}"/>
    <cellStyle name="Note 5 4 3 2 2" xfId="16607" xr:uid="{A27630EE-DDCE-429F-BFD2-E385880C4D92}"/>
    <cellStyle name="Note 5 4 3 3" xfId="16608" xr:uid="{4DA30B8D-A436-47E9-85DD-602A8DE8D34C}"/>
    <cellStyle name="Note 5 4 3 4" xfId="35259" xr:uid="{152AC348-641E-4231-B720-FF6078AAD01E}"/>
    <cellStyle name="Note 5 4 4" xfId="16609" xr:uid="{0CE73A79-7ED7-4EED-AAEA-073E1DA48849}"/>
    <cellStyle name="Note 5 4 4 2" xfId="16610" xr:uid="{79BC4989-9A0B-407F-922A-909538BFBF64}"/>
    <cellStyle name="Note 5 4 4 3" xfId="35260" xr:uid="{522BCD0B-4FBB-43FE-BAC0-247B0B9952F0}"/>
    <cellStyle name="Note 5 4 4 4" xfId="35261" xr:uid="{59045A2D-3AE7-446D-BFEA-324A40224E04}"/>
    <cellStyle name="Note 5 4 5" xfId="16611" xr:uid="{3FD75D57-4289-4D38-9EA3-5A230E886B01}"/>
    <cellStyle name="Note 5 4 5 2" xfId="16612" xr:uid="{D9CF06B7-78DB-4A33-A440-E41AA0D5E92F}"/>
    <cellStyle name="Note 5 4 5 3" xfId="35262" xr:uid="{C3BB5F6C-9E7F-4E33-B73C-3615A7B965C3}"/>
    <cellStyle name="Note 5 4 5 4" xfId="35263" xr:uid="{418D04FA-D697-42B7-83B6-EC60408D4877}"/>
    <cellStyle name="Note 5 4 6" xfId="16613" xr:uid="{4CFC4279-EA42-4F8C-B91F-DACDB538CB73}"/>
    <cellStyle name="Note 5 4 6 2" xfId="16614" xr:uid="{90052A22-0AB2-4C3D-A894-3E6BBA00AB71}"/>
    <cellStyle name="Note 5 4 6 3" xfId="35264" xr:uid="{0B5C3983-9EDC-4379-B993-318750844B8F}"/>
    <cellStyle name="Note 5 4 6 4" xfId="35265" xr:uid="{61F7720D-4EA1-4E76-8D34-3E4C2B9FAEB4}"/>
    <cellStyle name="Note 5 4 7" xfId="16615" xr:uid="{4F3C0BC7-8E36-4DD0-8FB2-11F2B680BE91}"/>
    <cellStyle name="Note 5 4 7 2" xfId="16616" xr:uid="{0799B2D6-FC1A-450F-AFAA-E6FAB18F70FA}"/>
    <cellStyle name="Note 5 4 7 3" xfId="35266" xr:uid="{1DCE3347-187A-41D6-A5CA-F48320C4EC17}"/>
    <cellStyle name="Note 5 4 7 4" xfId="35267" xr:uid="{B9859899-73E3-462F-8F9E-0B7A31F941E9}"/>
    <cellStyle name="Note 5 4 8" xfId="16617" xr:uid="{09E03B7E-FB20-4C7F-9F1D-EE3CC5FCAC62}"/>
    <cellStyle name="Note 5 4 8 2" xfId="16618" xr:uid="{2784BE80-F5BB-4038-96BD-4061CED38C21}"/>
    <cellStyle name="Note 5 4 8 3" xfId="35268" xr:uid="{F312876D-0694-49EE-8AF9-9AC0F7E35781}"/>
    <cellStyle name="Note 5 4 8 4" xfId="35269" xr:uid="{A8E12A83-62A3-4049-817B-D61DAD0471CF}"/>
    <cellStyle name="Note 5 4 9" xfId="16619" xr:uid="{5B081CA4-29DF-49E4-94DE-252F081D173F}"/>
    <cellStyle name="Note 5 4 9 2" xfId="16620" xr:uid="{94A6ECEE-65E5-4408-96CE-9CF958218EB1}"/>
    <cellStyle name="Note 5 4 9 3" xfId="35270" xr:uid="{EA8F75E3-21BB-4483-89AB-D0BAAFCBD135}"/>
    <cellStyle name="Note 5 4 9 4" xfId="35271" xr:uid="{8025502E-255C-4EA3-B7AD-FB73931916DA}"/>
    <cellStyle name="Note 5 5" xfId="16621" xr:uid="{5E76E953-AB8F-4EC2-BB4B-C7D271533737}"/>
    <cellStyle name="Note 5 5 10" xfId="16622" xr:uid="{AC89AA3F-586F-4560-85EB-C4F7F8A43FE9}"/>
    <cellStyle name="Note 5 5 10 2" xfId="35272" xr:uid="{6ED6A783-4C03-4DCC-8424-D42DC3FD5CA7}"/>
    <cellStyle name="Note 5 5 11" xfId="16623" xr:uid="{BBD5FAE0-C526-465B-9BB5-50F673AE0C11}"/>
    <cellStyle name="Note 5 5 11 2" xfId="35273" xr:uid="{F50460E1-E82D-4EE4-85D9-81BE4305B237}"/>
    <cellStyle name="Note 5 5 12" xfId="35274" xr:uid="{A58E2801-F104-4835-8096-7E4BD2660127}"/>
    <cellStyle name="Note 5 5 2" xfId="16624" xr:uid="{C12C4E9E-2EFC-4B1B-AA5C-CAA6FB052857}"/>
    <cellStyle name="Note 5 5 2 10" xfId="16625" xr:uid="{19030B2A-0E61-4BB5-ADBF-13AA3573CFBA}"/>
    <cellStyle name="Note 5 5 2 10 2" xfId="35275" xr:uid="{AE9E233B-C7F0-4A5A-80B6-A2A77DA6CB5E}"/>
    <cellStyle name="Note 5 5 2 11" xfId="35276" xr:uid="{7D9DC298-5A92-44B7-BA97-8F68B019ECA7}"/>
    <cellStyle name="Note 5 5 2 2" xfId="16626" xr:uid="{23ED785C-9FB4-4FCC-824D-FEBD28EA5170}"/>
    <cellStyle name="Note 5 5 2 2 2" xfId="16627" xr:uid="{6D7420CE-4B6A-4738-9EF4-CACE9469C8B1}"/>
    <cellStyle name="Note 5 5 2 2 2 2" xfId="16628" xr:uid="{EBA82DFC-9797-482D-9F75-BEF0B14E57ED}"/>
    <cellStyle name="Note 5 5 2 2 3" xfId="16629" xr:uid="{5CDDF903-A88C-43DE-BB70-031C1317A3DA}"/>
    <cellStyle name="Note 5 5 2 2 4" xfId="35277" xr:uid="{C0CE7B89-4A59-4826-9C98-5A6FAB12B5C3}"/>
    <cellStyle name="Note 5 5 2 3" xfId="16630" xr:uid="{9B767B0D-DBD6-418D-B9C2-A6D3BB49AC88}"/>
    <cellStyle name="Note 5 5 2 3 2" xfId="16631" xr:uid="{60FD2B04-943A-4EF5-835E-E3D4173E35EE}"/>
    <cellStyle name="Note 5 5 2 3 3" xfId="35278" xr:uid="{91FB16B6-0F9F-47E7-B821-45A30E7D32D5}"/>
    <cellStyle name="Note 5 5 2 3 4" xfId="35279" xr:uid="{FF42D231-7863-455A-8E6F-6E1D078BB3C3}"/>
    <cellStyle name="Note 5 5 2 4" xfId="16632" xr:uid="{A4D4A147-6700-4475-AEF1-1120D39D4A99}"/>
    <cellStyle name="Note 5 5 2 4 2" xfId="16633" xr:uid="{BDFB897B-1084-4B42-860C-2A7E1D79732F}"/>
    <cellStyle name="Note 5 5 2 4 3" xfId="35280" xr:uid="{D7D4181A-3813-45A8-B508-524F1A183A90}"/>
    <cellStyle name="Note 5 5 2 4 4" xfId="35281" xr:uid="{B7F1999B-5E2E-44F9-AF7A-4D0015B54886}"/>
    <cellStyle name="Note 5 5 2 5" xfId="16634" xr:uid="{38243505-7074-421E-A454-940B7C3E37BF}"/>
    <cellStyle name="Note 5 5 2 5 2" xfId="16635" xr:uid="{0D00F1D2-18DE-4162-985A-C75E213870DB}"/>
    <cellStyle name="Note 5 5 2 5 3" xfId="35282" xr:uid="{3CB265E4-F105-4DCE-B8DB-CDC353CCF1ED}"/>
    <cellStyle name="Note 5 5 2 5 4" xfId="35283" xr:uid="{B6368BB2-C9F5-47ED-AD5E-D3748FEBBE45}"/>
    <cellStyle name="Note 5 5 2 6" xfId="16636" xr:uid="{BDA6983E-7B0D-4353-BD3A-33582336ADFE}"/>
    <cellStyle name="Note 5 5 2 6 2" xfId="16637" xr:uid="{BD9E92EE-34D3-432E-8BCB-E7B429828B71}"/>
    <cellStyle name="Note 5 5 2 6 3" xfId="35284" xr:uid="{78C63D7F-35A2-49AD-B477-A1D23F38C6D3}"/>
    <cellStyle name="Note 5 5 2 6 4" xfId="35285" xr:uid="{E5010F7A-D3BA-4715-8B96-258640382E32}"/>
    <cellStyle name="Note 5 5 2 7" xfId="16638" xr:uid="{32F5200C-3976-4651-93AF-852739537B74}"/>
    <cellStyle name="Note 5 5 2 7 2" xfId="16639" xr:uid="{9D80CB95-96D6-4E0D-92FA-ACC122691FB1}"/>
    <cellStyle name="Note 5 5 2 7 3" xfId="35286" xr:uid="{44C4657C-C914-46A3-B5DE-D3EE60561C04}"/>
    <cellStyle name="Note 5 5 2 7 4" xfId="35287" xr:uid="{9A54640A-A30B-4395-A659-407A84C8241E}"/>
    <cellStyle name="Note 5 5 2 8" xfId="16640" xr:uid="{AB39B62C-1E01-4FDF-B50F-885235B23CD0}"/>
    <cellStyle name="Note 5 5 2 8 2" xfId="16641" xr:uid="{9F51AFBD-1DC9-425A-A98B-8ADE2AAA76EF}"/>
    <cellStyle name="Note 5 5 2 8 3" xfId="35288" xr:uid="{1FFCF0D5-1C17-4185-9036-B1B8D03F632F}"/>
    <cellStyle name="Note 5 5 2 8 4" xfId="35289" xr:uid="{A1764E3E-3AE8-4239-B2F6-99C84040B41A}"/>
    <cellStyle name="Note 5 5 2 9" xfId="16642" xr:uid="{9B7C856B-9EAD-4350-ACD7-999E4F590706}"/>
    <cellStyle name="Note 5 5 2 9 2" xfId="35290" xr:uid="{FD3A8CF2-DC6B-4C8B-A176-A81A92803ECD}"/>
    <cellStyle name="Note 5 5 3" xfId="16643" xr:uid="{05935812-6AF0-497A-829A-FA7411BBEF29}"/>
    <cellStyle name="Note 5 5 3 2" xfId="16644" xr:uid="{58C10F65-4C8A-4D0D-AEE7-F1821D85BEC9}"/>
    <cellStyle name="Note 5 5 3 2 2" xfId="16645" xr:uid="{053C0E28-2736-43FA-9BD8-F780BAD28A50}"/>
    <cellStyle name="Note 5 5 3 3" xfId="16646" xr:uid="{5BEC03DE-CBAA-4A76-9A03-B8A0BA8B32B9}"/>
    <cellStyle name="Note 5 5 3 4" xfId="35291" xr:uid="{BABD7189-6C62-497C-95D5-57B76A92AA2D}"/>
    <cellStyle name="Note 5 5 4" xfId="16647" xr:uid="{91B4CCC1-F13F-48D4-9A95-736E2FA8376B}"/>
    <cellStyle name="Note 5 5 4 2" xfId="16648" xr:uid="{3F8576CE-378E-4344-B773-9346F10F3C65}"/>
    <cellStyle name="Note 5 5 4 3" xfId="35292" xr:uid="{81E15146-F41A-4176-8075-CE781DBC82E4}"/>
    <cellStyle name="Note 5 5 4 4" xfId="35293" xr:uid="{D3FE6530-02A2-412E-A4F8-8C20F638988C}"/>
    <cellStyle name="Note 5 5 5" xfId="16649" xr:uid="{A8FCD6F2-CDC2-423B-BD00-464D639E3176}"/>
    <cellStyle name="Note 5 5 5 2" xfId="16650" xr:uid="{0F741048-B065-41CC-B6A9-75C3CB0B6F5E}"/>
    <cellStyle name="Note 5 5 5 3" xfId="35294" xr:uid="{7CBC2AB6-2D39-4E2C-9412-BF19506EED31}"/>
    <cellStyle name="Note 5 5 5 4" xfId="35295" xr:uid="{F9B8965B-EDDA-43EE-AD5A-F9E2770B8035}"/>
    <cellStyle name="Note 5 5 6" xfId="16651" xr:uid="{90C73D9A-F6A3-443A-B9EC-FFC854C5D06F}"/>
    <cellStyle name="Note 5 5 6 2" xfId="16652" xr:uid="{45B93306-57CD-42B1-81B5-D3562AA2A962}"/>
    <cellStyle name="Note 5 5 6 3" xfId="35296" xr:uid="{236F8F25-05BE-4AA2-949C-8B79117D63A7}"/>
    <cellStyle name="Note 5 5 6 4" xfId="35297" xr:uid="{131732B6-C8A4-4308-8DB1-27BEDF607B29}"/>
    <cellStyle name="Note 5 5 7" xfId="16653" xr:uid="{C101110C-D304-4936-B355-77CD0FAFA374}"/>
    <cellStyle name="Note 5 5 7 2" xfId="16654" xr:uid="{FC364820-0983-4EE4-BF64-77D11084E200}"/>
    <cellStyle name="Note 5 5 7 3" xfId="35298" xr:uid="{42363012-32D4-4342-AFCD-1A67FA6AC9E6}"/>
    <cellStyle name="Note 5 5 7 4" xfId="35299" xr:uid="{4D13FC3F-3FC5-4745-9D48-C4F4396C2738}"/>
    <cellStyle name="Note 5 5 8" xfId="16655" xr:uid="{F11DF817-67F0-43EE-8276-5C2B0FA805D3}"/>
    <cellStyle name="Note 5 5 8 2" xfId="16656" xr:uid="{F5CE616C-A83C-4913-B036-DD212F64EA26}"/>
    <cellStyle name="Note 5 5 8 3" xfId="35300" xr:uid="{20A39105-558C-419E-904D-975834B8F7BB}"/>
    <cellStyle name="Note 5 5 8 4" xfId="35301" xr:uid="{25610F92-556E-41D0-9173-272D48780704}"/>
    <cellStyle name="Note 5 5 9" xfId="16657" xr:uid="{D61CDE33-1280-4FDE-8A1E-1C46EEE24FAA}"/>
    <cellStyle name="Note 5 5 9 2" xfId="16658" xr:uid="{182735D6-E5D4-4B75-8147-CAD7694ED8C2}"/>
    <cellStyle name="Note 5 5 9 3" xfId="35302" xr:uid="{1DE6D8EB-51EE-4475-A3E6-7569EC828347}"/>
    <cellStyle name="Note 5 5 9 4" xfId="35303" xr:uid="{7BF2C81D-6921-4B3D-9E38-C3C626C08BBA}"/>
    <cellStyle name="Note 5 6" xfId="16659" xr:uid="{4115B812-C3DD-464E-A041-CF7BF4383C58}"/>
    <cellStyle name="Note 5 6 10" xfId="16660" xr:uid="{D3A17E84-2FA3-4240-9F34-DCE605A84829}"/>
    <cellStyle name="Note 5 6 10 2" xfId="35304" xr:uid="{3949D3C6-2502-4131-8861-2B7F09F84E3A}"/>
    <cellStyle name="Note 5 6 11" xfId="16661" xr:uid="{B9C9FD61-8C52-4BD0-8821-4C0BB22C62BA}"/>
    <cellStyle name="Note 5 6 11 2" xfId="35305" xr:uid="{99E2E781-73B6-4B5B-BEAA-09A4D8A6512E}"/>
    <cellStyle name="Note 5 6 12" xfId="35306" xr:uid="{E46949A0-437D-443D-80EB-CC75EA7AF061}"/>
    <cellStyle name="Note 5 6 2" xfId="16662" xr:uid="{1CFCBCD9-3DBF-40BC-9903-E77735422EB3}"/>
    <cellStyle name="Note 5 6 2 10" xfId="16663" xr:uid="{F0D120AA-7654-4F97-BBAF-CA07EA7B5190}"/>
    <cellStyle name="Note 5 6 2 10 2" xfId="35307" xr:uid="{316ABF42-603C-4FE9-B32F-4E6EFDA78C29}"/>
    <cellStyle name="Note 5 6 2 11" xfId="35308" xr:uid="{55314BEC-B5E6-4FB4-BA76-E2C5D0AF695F}"/>
    <cellStyle name="Note 5 6 2 2" xfId="16664" xr:uid="{27FAACA3-793E-4CE4-A9B7-72F3AE80A5F1}"/>
    <cellStyle name="Note 5 6 2 2 2" xfId="16665" xr:uid="{9E717426-EF9A-4EC5-90B1-261CC6D15507}"/>
    <cellStyle name="Note 5 6 2 2 2 2" xfId="16666" xr:uid="{0D5FF794-2902-4F08-89BE-337D105BC5A1}"/>
    <cellStyle name="Note 5 6 2 2 3" xfId="16667" xr:uid="{9A4775B8-33B4-403C-9AB4-F7855F2382CE}"/>
    <cellStyle name="Note 5 6 2 2 4" xfId="35309" xr:uid="{DF9B27D4-D626-4918-9A03-5378A0F82E29}"/>
    <cellStyle name="Note 5 6 2 3" xfId="16668" xr:uid="{937A8B96-4DF3-4C56-95DD-E107BBA0E0B8}"/>
    <cellStyle name="Note 5 6 2 3 2" xfId="16669" xr:uid="{9E4E779B-7FF7-4EC3-B579-40960E4DA90D}"/>
    <cellStyle name="Note 5 6 2 3 3" xfId="35310" xr:uid="{2B556F1B-652F-4B84-BC58-2082EBEA6536}"/>
    <cellStyle name="Note 5 6 2 3 4" xfId="35311" xr:uid="{52C4A6CA-072B-4ACC-A670-86ACC2AF7524}"/>
    <cellStyle name="Note 5 6 2 4" xfId="16670" xr:uid="{FBF8B5A1-5280-4946-A055-A7547239E424}"/>
    <cellStyle name="Note 5 6 2 4 2" xfId="16671" xr:uid="{6EC58515-1F07-49CA-857E-D3FDEE89FC5E}"/>
    <cellStyle name="Note 5 6 2 4 3" xfId="35312" xr:uid="{BA0A46BD-A551-41D8-90B0-CC52ACA13B05}"/>
    <cellStyle name="Note 5 6 2 4 4" xfId="35313" xr:uid="{40122CE2-78D3-4A02-99A5-843468FE81C1}"/>
    <cellStyle name="Note 5 6 2 5" xfId="16672" xr:uid="{48D356FF-14A2-49A3-BA09-864967B5EAB2}"/>
    <cellStyle name="Note 5 6 2 5 2" xfId="16673" xr:uid="{9018674C-DFA3-4A56-AAFD-D9F8488D032E}"/>
    <cellStyle name="Note 5 6 2 5 3" xfId="35314" xr:uid="{ADB85F9D-BE05-4ACC-8190-875DC5928130}"/>
    <cellStyle name="Note 5 6 2 5 4" xfId="35315" xr:uid="{5DA55F87-E02D-441E-B3FD-D4E35B4B116A}"/>
    <cellStyle name="Note 5 6 2 6" xfId="16674" xr:uid="{954C99D4-6473-4BE2-AC86-C9D41B8E13D6}"/>
    <cellStyle name="Note 5 6 2 6 2" xfId="16675" xr:uid="{B31483D8-8442-4234-AE3A-39A55E93E77A}"/>
    <cellStyle name="Note 5 6 2 6 3" xfId="35316" xr:uid="{533EB107-7FE0-4818-A68C-79112FBD1DA8}"/>
    <cellStyle name="Note 5 6 2 6 4" xfId="35317" xr:uid="{A8B9BF22-2F94-451B-84AB-67E142F2B315}"/>
    <cellStyle name="Note 5 6 2 7" xfId="16676" xr:uid="{C7D249CD-2BED-44DA-9200-354A0A5B1616}"/>
    <cellStyle name="Note 5 6 2 7 2" xfId="16677" xr:uid="{3BBDF88D-BFB3-40D4-BB16-522B16ECC108}"/>
    <cellStyle name="Note 5 6 2 7 3" xfId="35318" xr:uid="{F6AB28BF-70ED-414E-97D8-D3DE0BA30CAA}"/>
    <cellStyle name="Note 5 6 2 7 4" xfId="35319" xr:uid="{7AA2EB19-E6FD-412D-9AD9-632B8C438AE3}"/>
    <cellStyle name="Note 5 6 2 8" xfId="16678" xr:uid="{7CE07512-51E5-473E-8216-C207E570F814}"/>
    <cellStyle name="Note 5 6 2 8 2" xfId="16679" xr:uid="{8D805D73-E246-4156-B457-E580DED840CF}"/>
    <cellStyle name="Note 5 6 2 8 3" xfId="35320" xr:uid="{816820D1-0233-4389-B31E-563339BE28A7}"/>
    <cellStyle name="Note 5 6 2 8 4" xfId="35321" xr:uid="{7F6C10CA-64C7-467B-BAF9-306DEAA9E519}"/>
    <cellStyle name="Note 5 6 2 9" xfId="16680" xr:uid="{0E83D919-DEC6-49DF-AC73-403BA5CECE4E}"/>
    <cellStyle name="Note 5 6 2 9 2" xfId="35322" xr:uid="{BA0237B0-C4A2-4EE9-BF2E-5C50C6268422}"/>
    <cellStyle name="Note 5 6 3" xfId="16681" xr:uid="{79725F14-19A8-4215-A52D-D4332635AB55}"/>
    <cellStyle name="Note 5 6 3 2" xfId="16682" xr:uid="{FE860757-75C7-422B-87D2-1B3F3CE51375}"/>
    <cellStyle name="Note 5 6 3 2 2" xfId="16683" xr:uid="{F4164793-FA26-416F-A425-356EE916A018}"/>
    <cellStyle name="Note 5 6 3 3" xfId="16684" xr:uid="{23C181C4-A0A4-40A8-A271-F8697C9DA682}"/>
    <cellStyle name="Note 5 6 3 4" xfId="35323" xr:uid="{AE51F5F0-DAD5-477B-B4CC-B253FF2A21DC}"/>
    <cellStyle name="Note 5 6 4" xfId="16685" xr:uid="{B680FC7E-AEB1-4F3A-9140-98F7521D7D40}"/>
    <cellStyle name="Note 5 6 4 2" xfId="16686" xr:uid="{4109CDD9-8519-4280-88BB-7A7D8A3D6254}"/>
    <cellStyle name="Note 5 6 4 3" xfId="35324" xr:uid="{369C7764-31D2-4546-B354-3CA5DF468082}"/>
    <cellStyle name="Note 5 6 4 4" xfId="35325" xr:uid="{08461DD2-61C2-48B7-88EB-821363409AF3}"/>
    <cellStyle name="Note 5 6 5" xfId="16687" xr:uid="{C084066E-5F15-4715-AB63-38FEA55910B9}"/>
    <cellStyle name="Note 5 6 5 2" xfId="16688" xr:uid="{116E161F-59EC-4C27-9AC0-0C1F3D5161AA}"/>
    <cellStyle name="Note 5 6 5 3" xfId="35326" xr:uid="{4B50605A-FEB2-42F3-97FD-EEA1ECC05562}"/>
    <cellStyle name="Note 5 6 5 4" xfId="35327" xr:uid="{A9274F9C-D380-4D57-A3BA-D3F06AE5D1D9}"/>
    <cellStyle name="Note 5 6 6" xfId="16689" xr:uid="{0914F106-88FB-47B4-A541-DFA5A0617E3E}"/>
    <cellStyle name="Note 5 6 6 2" xfId="16690" xr:uid="{B66362DE-2A03-402D-A547-3B159C1D4E25}"/>
    <cellStyle name="Note 5 6 6 3" xfId="35328" xr:uid="{30E8CA1E-2862-4E6B-8CD1-0FF5D0528927}"/>
    <cellStyle name="Note 5 6 6 4" xfId="35329" xr:uid="{5D0B3E5F-11F1-4A48-B1EA-728AF2A79BF0}"/>
    <cellStyle name="Note 5 6 7" xfId="16691" xr:uid="{41054E47-8D9C-48CA-86FA-A34A4EF87070}"/>
    <cellStyle name="Note 5 6 7 2" xfId="16692" xr:uid="{A1060301-A29D-4FDF-BB58-B678401B6E68}"/>
    <cellStyle name="Note 5 6 7 3" xfId="35330" xr:uid="{DAE17921-3FE0-4F79-924B-D46863BCFB46}"/>
    <cellStyle name="Note 5 6 7 4" xfId="35331" xr:uid="{2CC9E26A-7C01-4949-BAAB-73B6D02FFDFA}"/>
    <cellStyle name="Note 5 6 8" xfId="16693" xr:uid="{64AF87E8-4BFF-480A-A3AB-5F82E520333F}"/>
    <cellStyle name="Note 5 6 8 2" xfId="16694" xr:uid="{FCAFD16A-85DA-426D-9ECF-3C933434CAF0}"/>
    <cellStyle name="Note 5 6 8 3" xfId="35332" xr:uid="{D8E2ACB0-3EC0-40E1-A233-29905C9C19C0}"/>
    <cellStyle name="Note 5 6 8 4" xfId="35333" xr:uid="{B1739B55-BC28-45F9-8D5D-4E86FE630D0B}"/>
    <cellStyle name="Note 5 6 9" xfId="16695" xr:uid="{F65B90D8-92B6-4715-8FE6-276527E58351}"/>
    <cellStyle name="Note 5 6 9 2" xfId="16696" xr:uid="{A3E612C1-5576-4174-86C2-F6DE84FD9E8A}"/>
    <cellStyle name="Note 5 6 9 3" xfId="35334" xr:uid="{C8F5F382-662B-4EB0-BB0F-23B2BB1223B9}"/>
    <cellStyle name="Note 5 6 9 4" xfId="35335" xr:uid="{3229AE9A-B95B-4C76-946B-8F46CC543824}"/>
    <cellStyle name="Note 5 7" xfId="16697" xr:uid="{5BAAA098-9B79-4E2C-A28E-3E376BD427B1}"/>
    <cellStyle name="Note 5 7 10" xfId="16698" xr:uid="{9F78D85C-5B89-4F05-BAA0-2B3EBD556CC1}"/>
    <cellStyle name="Note 5 7 10 2" xfId="35336" xr:uid="{716ADFA5-7368-446D-B9B8-9636A0A3E691}"/>
    <cellStyle name="Note 5 7 11" xfId="16699" xr:uid="{BDE3011B-5441-47DF-98B9-55F96FDB160B}"/>
    <cellStyle name="Note 5 7 11 2" xfId="35337" xr:uid="{8A4308C2-7EAC-40B3-A2E2-E355C1CD7249}"/>
    <cellStyle name="Note 5 7 12" xfId="35338" xr:uid="{52C8693C-DAA4-470F-9AF9-5E4BD7452FCA}"/>
    <cellStyle name="Note 5 7 2" xfId="16700" xr:uid="{782B3BF9-8496-453B-A852-C619743543E3}"/>
    <cellStyle name="Note 5 7 2 10" xfId="16701" xr:uid="{1050AFBF-A55A-4DF6-BEBA-0F1BC0C37D0C}"/>
    <cellStyle name="Note 5 7 2 10 2" xfId="35339" xr:uid="{E4D4A594-9B86-4A86-A62F-D4FEDE338221}"/>
    <cellStyle name="Note 5 7 2 11" xfId="35340" xr:uid="{C7D54B74-9D2D-44A1-8B47-04E63A99040A}"/>
    <cellStyle name="Note 5 7 2 2" xfId="16702" xr:uid="{584D604F-7A5F-445F-B01D-854A07AFFDF1}"/>
    <cellStyle name="Note 5 7 2 2 2" xfId="16703" xr:uid="{22B3FCDC-5F2B-4877-A917-5DA440CA88B8}"/>
    <cellStyle name="Note 5 7 2 2 2 2" xfId="16704" xr:uid="{1CE64091-3601-4B40-9F74-1AFC54B97301}"/>
    <cellStyle name="Note 5 7 2 2 3" xfId="16705" xr:uid="{B2A50E8E-D811-4122-B6A5-B18A1C754B78}"/>
    <cellStyle name="Note 5 7 2 2 4" xfId="35341" xr:uid="{2407E6AD-DFB7-41A4-91BA-DE1D7F77F52E}"/>
    <cellStyle name="Note 5 7 2 3" xfId="16706" xr:uid="{568469FF-D206-4C15-848C-472CF754B17C}"/>
    <cellStyle name="Note 5 7 2 3 2" xfId="16707" xr:uid="{8223F80A-0FB3-4847-AC04-51E3959AB800}"/>
    <cellStyle name="Note 5 7 2 3 3" xfId="35342" xr:uid="{69AFEDEE-6C2A-4E4A-B390-7554785F3FEB}"/>
    <cellStyle name="Note 5 7 2 3 4" xfId="35343" xr:uid="{6BEEB725-E66C-4E06-8E8B-9091C61BF839}"/>
    <cellStyle name="Note 5 7 2 4" xfId="16708" xr:uid="{2030ADA5-BC80-4A8C-A6E6-2605D8C1B4AE}"/>
    <cellStyle name="Note 5 7 2 4 2" xfId="16709" xr:uid="{21652B63-EB96-4D16-BE05-275D14F6ED96}"/>
    <cellStyle name="Note 5 7 2 4 3" xfId="35344" xr:uid="{E538061C-95C0-4D0D-B678-E1A22D3331A7}"/>
    <cellStyle name="Note 5 7 2 4 4" xfId="35345" xr:uid="{B26A7135-AEDD-4FF6-A3D4-35484063365F}"/>
    <cellStyle name="Note 5 7 2 5" xfId="16710" xr:uid="{90364417-11F6-49EA-8E90-D809841D582F}"/>
    <cellStyle name="Note 5 7 2 5 2" xfId="16711" xr:uid="{0524B974-3693-4CCB-86A9-FE67CB73C4C9}"/>
    <cellStyle name="Note 5 7 2 5 3" xfId="35346" xr:uid="{1BD50650-FFAB-479B-9124-1333240187D4}"/>
    <cellStyle name="Note 5 7 2 5 4" xfId="35347" xr:uid="{A202589F-6876-4B30-A3BD-A10C60557E57}"/>
    <cellStyle name="Note 5 7 2 6" xfId="16712" xr:uid="{15B0C4CD-4AD2-4AA6-9B31-B7255B878976}"/>
    <cellStyle name="Note 5 7 2 6 2" xfId="16713" xr:uid="{B7A74D3F-88C2-4F3F-8448-0908B380AE89}"/>
    <cellStyle name="Note 5 7 2 6 3" xfId="35348" xr:uid="{78015CA1-5B01-43D1-9A9A-E4BB9739CFB2}"/>
    <cellStyle name="Note 5 7 2 6 4" xfId="35349" xr:uid="{A9327AE9-F5EA-4A28-950D-5BEE095AEA8B}"/>
    <cellStyle name="Note 5 7 2 7" xfId="16714" xr:uid="{DE93BE1D-B123-416C-8857-D60B9BF5C1C5}"/>
    <cellStyle name="Note 5 7 2 7 2" xfId="16715" xr:uid="{A3F76BEB-33E1-4BAF-9984-5859FCC79560}"/>
    <cellStyle name="Note 5 7 2 7 3" xfId="35350" xr:uid="{DAB66F10-CB4F-4069-AA02-5DF3BAB13D5C}"/>
    <cellStyle name="Note 5 7 2 7 4" xfId="35351" xr:uid="{50CA1D74-79B1-4734-9405-0AEB2B54A474}"/>
    <cellStyle name="Note 5 7 2 8" xfId="16716" xr:uid="{87859454-A1B0-48E3-AC66-02B7524B7D3C}"/>
    <cellStyle name="Note 5 7 2 8 2" xfId="16717" xr:uid="{5A0F05EA-3B58-49E5-B26B-E993B9C4E728}"/>
    <cellStyle name="Note 5 7 2 8 3" xfId="35352" xr:uid="{7A750E8A-E08D-4DEC-A2CC-E1B57410CBE0}"/>
    <cellStyle name="Note 5 7 2 8 4" xfId="35353" xr:uid="{4130EA93-F404-424F-9E4F-145FC543148D}"/>
    <cellStyle name="Note 5 7 2 9" xfId="16718" xr:uid="{02B3DAC7-F84E-4115-A383-C738FE21F893}"/>
    <cellStyle name="Note 5 7 2 9 2" xfId="35354" xr:uid="{B8408A2E-BAD0-456D-8D1B-2DC1162A9666}"/>
    <cellStyle name="Note 5 7 3" xfId="16719" xr:uid="{52CA6307-169F-476D-9087-57C6A686FC5B}"/>
    <cellStyle name="Note 5 7 3 2" xfId="16720" xr:uid="{CB40BD55-16E3-40C5-B5FC-E05A36FA3FC5}"/>
    <cellStyle name="Note 5 7 3 2 2" xfId="16721" xr:uid="{F0EC135F-2CFF-4545-8D5C-1AB7A841A981}"/>
    <cellStyle name="Note 5 7 3 3" xfId="16722" xr:uid="{DCE67470-54A0-4226-A057-0AB69D797C98}"/>
    <cellStyle name="Note 5 7 3 4" xfId="35355" xr:uid="{1F1A2FF8-2CC2-4AD5-8818-3C9E0763F773}"/>
    <cellStyle name="Note 5 7 4" xfId="16723" xr:uid="{5D57138E-0DA8-4AA1-9A4C-3D307491E047}"/>
    <cellStyle name="Note 5 7 4 2" xfId="16724" xr:uid="{526E313D-FC53-4E22-AEA7-134F455B4C70}"/>
    <cellStyle name="Note 5 7 4 3" xfId="35356" xr:uid="{80FB53CF-915F-4611-B0BD-8548423A6926}"/>
    <cellStyle name="Note 5 7 4 4" xfId="35357" xr:uid="{6E6F5BF9-8D1B-444D-868D-DC5694409145}"/>
    <cellStyle name="Note 5 7 5" xfId="16725" xr:uid="{8813ECC5-01A4-4B53-8E62-40BE31B009B5}"/>
    <cellStyle name="Note 5 7 5 2" xfId="16726" xr:uid="{FACDE5F2-D06D-415F-8FF8-A215923C154E}"/>
    <cellStyle name="Note 5 7 5 3" xfId="35358" xr:uid="{63841500-0ABF-47C2-A160-0F9C2D24DBCD}"/>
    <cellStyle name="Note 5 7 5 4" xfId="35359" xr:uid="{A14976D8-3C71-43C7-A72B-48EC6D09D07E}"/>
    <cellStyle name="Note 5 7 6" xfId="16727" xr:uid="{FFC474ED-42B9-41F4-8033-B63E13DFB06D}"/>
    <cellStyle name="Note 5 7 6 2" xfId="16728" xr:uid="{BF7007AF-7620-49E9-87C9-A6D3777D68BA}"/>
    <cellStyle name="Note 5 7 6 3" xfId="35360" xr:uid="{2D5572C8-1BDB-4F57-B8E3-56B7A9254401}"/>
    <cellStyle name="Note 5 7 6 4" xfId="35361" xr:uid="{8E102AA6-54DB-412E-99CA-BAFD482E83D5}"/>
    <cellStyle name="Note 5 7 7" xfId="16729" xr:uid="{38FB0928-1A8B-43CF-AC7F-A4E5E6F9425B}"/>
    <cellStyle name="Note 5 7 7 2" xfId="16730" xr:uid="{B11906C7-BC85-481C-BD2D-6E0814432997}"/>
    <cellStyle name="Note 5 7 7 3" xfId="35362" xr:uid="{71A909B5-CCEC-449C-BBA6-6C005F452E64}"/>
    <cellStyle name="Note 5 7 7 4" xfId="35363" xr:uid="{18AFC37A-8B51-4931-B2E2-A225783A4274}"/>
    <cellStyle name="Note 5 7 8" xfId="16731" xr:uid="{DF0FD212-7607-4A34-AE96-3F78F1893045}"/>
    <cellStyle name="Note 5 7 8 2" xfId="16732" xr:uid="{77A3E508-34BD-4150-B9AD-6BCDBB377A95}"/>
    <cellStyle name="Note 5 7 8 3" xfId="35364" xr:uid="{D810A990-FE06-47BE-B114-2ECD9E9DB238}"/>
    <cellStyle name="Note 5 7 8 4" xfId="35365" xr:uid="{0BE4D005-8C43-440A-AC08-87A68AE5DA31}"/>
    <cellStyle name="Note 5 7 9" xfId="16733" xr:uid="{9BFADC1E-9D47-42B3-A671-C036789B8BFE}"/>
    <cellStyle name="Note 5 7 9 2" xfId="16734" xr:uid="{683E2A20-2BA6-4C9F-8E67-158CF88DA367}"/>
    <cellStyle name="Note 5 7 9 3" xfId="35366" xr:uid="{2CB38A6E-898D-454D-818E-FDC4C0A54037}"/>
    <cellStyle name="Note 5 7 9 4" xfId="35367" xr:uid="{18965041-5C6B-4A4A-ABBA-EC4D76AC3BF6}"/>
    <cellStyle name="Note 5 8" xfId="16735" xr:uid="{E58C42FE-BC64-4D57-B302-9D8020521935}"/>
    <cellStyle name="Note 5 8 10" xfId="16736" xr:uid="{1ED9EADC-5837-43A8-848D-AC9BB7027CA9}"/>
    <cellStyle name="Note 5 8 10 2" xfId="35368" xr:uid="{3C452260-CD92-4590-9C63-82526E8CDA6A}"/>
    <cellStyle name="Note 5 8 11" xfId="16737" xr:uid="{044E60FA-E3F1-4B75-990E-CC70F7267E96}"/>
    <cellStyle name="Note 5 8 11 2" xfId="35369" xr:uid="{7641D69E-6C3E-42EB-B9D4-A5F63842CC97}"/>
    <cellStyle name="Note 5 8 12" xfId="35370" xr:uid="{AD218C58-76D4-48B0-84A2-A0B3FAE76E77}"/>
    <cellStyle name="Note 5 8 2" xfId="16738" xr:uid="{336C5B59-AC15-4F15-B0FC-2BD394690F13}"/>
    <cellStyle name="Note 5 8 2 10" xfId="16739" xr:uid="{797E7FB6-9893-4301-92F0-AFD75FC6E46E}"/>
    <cellStyle name="Note 5 8 2 10 2" xfId="35371" xr:uid="{79005ADE-8284-42AC-8142-18CBE0D00C43}"/>
    <cellStyle name="Note 5 8 2 11" xfId="35372" xr:uid="{1F333DF3-91F7-4868-9BED-3A5750202C89}"/>
    <cellStyle name="Note 5 8 2 2" xfId="16740" xr:uid="{43F747FD-B0C7-4DC6-AE80-ACC2C556F83E}"/>
    <cellStyle name="Note 5 8 2 2 2" xfId="16741" xr:uid="{08D935B1-73AA-465D-9936-B98C0809722D}"/>
    <cellStyle name="Note 5 8 2 2 2 2" xfId="16742" xr:uid="{6274B4D3-E86A-4E0C-AC68-CD77B7B7969E}"/>
    <cellStyle name="Note 5 8 2 2 3" xfId="16743" xr:uid="{698013D4-5936-4D5C-A5A9-6ADF4B78F2A0}"/>
    <cellStyle name="Note 5 8 2 2 4" xfId="35373" xr:uid="{0D616137-BC2E-4966-89E2-49B560637E55}"/>
    <cellStyle name="Note 5 8 2 3" xfId="16744" xr:uid="{7C58DF6A-411B-4FB1-BEA6-7871537566B3}"/>
    <cellStyle name="Note 5 8 2 3 2" xfId="16745" xr:uid="{FD8EC210-CF63-45CA-B0D3-6E48929BF6F9}"/>
    <cellStyle name="Note 5 8 2 3 3" xfId="35374" xr:uid="{E57A4671-DBF8-48CF-8FFA-C6D26B8A0130}"/>
    <cellStyle name="Note 5 8 2 3 4" xfId="35375" xr:uid="{F9BBA546-B915-42D0-92D8-5CD414BA9D21}"/>
    <cellStyle name="Note 5 8 2 4" xfId="16746" xr:uid="{2A1B87FA-83AF-4241-B593-4C3DAEE3003C}"/>
    <cellStyle name="Note 5 8 2 4 2" xfId="16747" xr:uid="{586C253A-D251-4156-8C14-C24596910508}"/>
    <cellStyle name="Note 5 8 2 4 3" xfId="35376" xr:uid="{DD809FC0-8DEF-4B0C-AFEC-8A00974C3617}"/>
    <cellStyle name="Note 5 8 2 4 4" xfId="35377" xr:uid="{0093D758-413F-4037-9D3D-BB0B045A7B6D}"/>
    <cellStyle name="Note 5 8 2 5" xfId="16748" xr:uid="{1E83208A-C3FD-4A8D-9887-4E2583ED0646}"/>
    <cellStyle name="Note 5 8 2 5 2" xfId="16749" xr:uid="{4137E04A-078E-4CE4-8195-E81ED136C494}"/>
    <cellStyle name="Note 5 8 2 5 3" xfId="35378" xr:uid="{57C9DA20-B4E1-434C-8382-BC97FAFFA39D}"/>
    <cellStyle name="Note 5 8 2 5 4" xfId="35379" xr:uid="{9CC92807-1CD3-4D21-AADC-AF95FE63BD6A}"/>
    <cellStyle name="Note 5 8 2 6" xfId="16750" xr:uid="{1247008D-985A-468B-9102-8224BB12CB3D}"/>
    <cellStyle name="Note 5 8 2 6 2" xfId="16751" xr:uid="{F02A91DD-33E7-4385-A020-195D6DB3E06A}"/>
    <cellStyle name="Note 5 8 2 6 3" xfId="35380" xr:uid="{0CB67F47-7F1C-4174-971B-BA17BB44D68B}"/>
    <cellStyle name="Note 5 8 2 6 4" xfId="35381" xr:uid="{66B90615-6A45-42FA-8522-F8E667A480A0}"/>
    <cellStyle name="Note 5 8 2 7" xfId="16752" xr:uid="{1DC27E0D-F928-4375-AA70-4393B0C9C9C9}"/>
    <cellStyle name="Note 5 8 2 7 2" xfId="16753" xr:uid="{1CBBCF89-E404-4B55-9714-CFB875583459}"/>
    <cellStyle name="Note 5 8 2 7 3" xfId="35382" xr:uid="{698FC763-CD5C-46A3-9438-E6A4EC80C0BC}"/>
    <cellStyle name="Note 5 8 2 7 4" xfId="35383" xr:uid="{92BB0851-685D-4F5E-9353-257E8FB395EB}"/>
    <cellStyle name="Note 5 8 2 8" xfId="16754" xr:uid="{3D9DB016-512D-4955-9DE5-3E31615D9EE8}"/>
    <cellStyle name="Note 5 8 2 8 2" xfId="16755" xr:uid="{EC1B0289-39E9-45D6-98B3-A7053E1FBE3D}"/>
    <cellStyle name="Note 5 8 2 8 3" xfId="35384" xr:uid="{E7682F76-3ED0-4E46-A697-3F176CC79BDD}"/>
    <cellStyle name="Note 5 8 2 8 4" xfId="35385" xr:uid="{546E3011-E413-470C-B99A-397955FD2CDB}"/>
    <cellStyle name="Note 5 8 2 9" xfId="16756" xr:uid="{A0C12A4A-F2D9-4999-BB24-0F63D3A70AAB}"/>
    <cellStyle name="Note 5 8 2 9 2" xfId="35386" xr:uid="{1D8822F5-DEBD-4484-9602-A3C69A233AC2}"/>
    <cellStyle name="Note 5 8 3" xfId="16757" xr:uid="{99E96CE0-95E4-4576-AC00-E50D876C82BC}"/>
    <cellStyle name="Note 5 8 3 2" xfId="16758" xr:uid="{2ACD306B-227D-43F3-A735-E0885130DA3B}"/>
    <cellStyle name="Note 5 8 3 2 2" xfId="16759" xr:uid="{653F7BE2-5F12-49C3-868E-BE93D4C61DD0}"/>
    <cellStyle name="Note 5 8 3 3" xfId="16760" xr:uid="{35E10E3B-F167-454C-B6ED-3BC5E487A15E}"/>
    <cellStyle name="Note 5 8 3 4" xfId="35387" xr:uid="{1DB8CED6-3CF7-444B-B26B-36660B1FE3C6}"/>
    <cellStyle name="Note 5 8 4" xfId="16761" xr:uid="{98B1311E-138A-484A-B89A-6F3D6C91DDAA}"/>
    <cellStyle name="Note 5 8 4 2" xfId="16762" xr:uid="{D118CDA1-BC68-43F9-824F-E712E1F32483}"/>
    <cellStyle name="Note 5 8 4 3" xfId="35388" xr:uid="{AD060E88-C5B7-4513-AB3D-68AB2CC314D9}"/>
    <cellStyle name="Note 5 8 4 4" xfId="35389" xr:uid="{265AAA97-8D15-412F-AD48-2965D4F36891}"/>
    <cellStyle name="Note 5 8 5" xfId="16763" xr:uid="{A3911A49-C515-47FB-9A73-E1E4891F36DE}"/>
    <cellStyle name="Note 5 8 5 2" xfId="16764" xr:uid="{92C2716D-CB74-4422-9365-466E9247769A}"/>
    <cellStyle name="Note 5 8 5 3" xfId="35390" xr:uid="{2D4F3FA2-3AE8-475A-8F4A-D6E66989A932}"/>
    <cellStyle name="Note 5 8 5 4" xfId="35391" xr:uid="{883E46D9-8319-4299-83F8-CB14C7BF7628}"/>
    <cellStyle name="Note 5 8 6" xfId="16765" xr:uid="{3DC1514F-838A-4E38-90A7-EF5C4D4A151D}"/>
    <cellStyle name="Note 5 8 6 2" xfId="16766" xr:uid="{08E731DD-D733-4956-AFAA-848DD3D937D3}"/>
    <cellStyle name="Note 5 8 6 3" xfId="35392" xr:uid="{B9BC3E8C-3E07-4269-ACC6-6B36B7E5B35F}"/>
    <cellStyle name="Note 5 8 6 4" xfId="35393" xr:uid="{49A9B0DC-C651-41DF-A163-548BA6A9BAB1}"/>
    <cellStyle name="Note 5 8 7" xfId="16767" xr:uid="{0434A532-AD84-46F0-A1A4-7F28CC5241F2}"/>
    <cellStyle name="Note 5 8 7 2" xfId="16768" xr:uid="{DC1C3AE5-1F1E-4FE3-AD06-402BCEC904A5}"/>
    <cellStyle name="Note 5 8 7 3" xfId="35394" xr:uid="{3A178A71-9D7C-4D41-860B-75EDFFC93FB4}"/>
    <cellStyle name="Note 5 8 7 4" xfId="35395" xr:uid="{482D9238-7D5D-47ED-A1E2-BBD32802BBA9}"/>
    <cellStyle name="Note 5 8 8" xfId="16769" xr:uid="{B9AC1597-DB0A-4A66-86EA-646D0605F1A0}"/>
    <cellStyle name="Note 5 8 8 2" xfId="16770" xr:uid="{AA6B783C-BB2A-4B7D-A01E-F996515AF11E}"/>
    <cellStyle name="Note 5 8 8 3" xfId="35396" xr:uid="{18D051BC-E6D0-4789-8806-C29F1C403E68}"/>
    <cellStyle name="Note 5 8 8 4" xfId="35397" xr:uid="{CD79F61A-5D04-4B4A-92C1-8ABE5FE13FD5}"/>
    <cellStyle name="Note 5 8 9" xfId="16771" xr:uid="{BEA6FC8C-1A24-4076-910B-694DE2C33A2C}"/>
    <cellStyle name="Note 5 8 9 2" xfId="16772" xr:uid="{AFC1D184-0D5B-4B8E-8BDB-9E9D32B2DDFD}"/>
    <cellStyle name="Note 5 8 9 3" xfId="35398" xr:uid="{942D8FFB-4361-438A-9191-E85776243259}"/>
    <cellStyle name="Note 5 8 9 4" xfId="35399" xr:uid="{AB4ECD2C-1E46-4F2C-8C74-30A64380714D}"/>
    <cellStyle name="Note 5 9" xfId="16773" xr:uid="{5D3AA61D-C551-4DF9-A872-32C5A940BDE7}"/>
    <cellStyle name="Note 5 9 10" xfId="16774" xr:uid="{80C064DD-E0EB-400D-9799-FD7CB640D949}"/>
    <cellStyle name="Note 5 9 10 2" xfId="35400" xr:uid="{DFA137D5-387B-4714-8CFA-F9B8787BAB1D}"/>
    <cellStyle name="Note 5 9 11" xfId="16775" xr:uid="{FED57291-42E0-4AC4-A4E5-3C7CC7DF939B}"/>
    <cellStyle name="Note 5 9 11 2" xfId="35401" xr:uid="{01E7D478-36A6-4B58-84CF-4FBB794F64B3}"/>
    <cellStyle name="Note 5 9 12" xfId="35402" xr:uid="{D1C56711-B089-4E29-A86B-43816A21444D}"/>
    <cellStyle name="Note 5 9 2" xfId="16776" xr:uid="{5B15CE52-1DE1-4B1B-AC3C-9969E1356AC9}"/>
    <cellStyle name="Note 5 9 2 10" xfId="16777" xr:uid="{49A69ECC-64F6-40D1-B60B-FDFCFC4E598D}"/>
    <cellStyle name="Note 5 9 2 10 2" xfId="35403" xr:uid="{79DBD070-9BF2-4A41-BE7B-136C8BACFBE1}"/>
    <cellStyle name="Note 5 9 2 11" xfId="35404" xr:uid="{E8A9CA63-5E93-4285-A997-007AE91874A1}"/>
    <cellStyle name="Note 5 9 2 2" xfId="16778" xr:uid="{D6183627-6833-4775-B9B5-367699486C27}"/>
    <cellStyle name="Note 5 9 2 2 2" xfId="16779" xr:uid="{F0289072-5FC6-4723-A2BB-F7DED59F970E}"/>
    <cellStyle name="Note 5 9 2 2 2 2" xfId="16780" xr:uid="{8CAE152A-0FCD-4FC6-A923-8617AC4AC7E9}"/>
    <cellStyle name="Note 5 9 2 2 3" xfId="16781" xr:uid="{C2F122AF-BEC0-455B-B0D4-6A2AC98C0876}"/>
    <cellStyle name="Note 5 9 2 2 4" xfId="35405" xr:uid="{FE5C3450-AF83-49D4-8DFF-1C89BBE58C44}"/>
    <cellStyle name="Note 5 9 2 3" xfId="16782" xr:uid="{027A48D3-716E-4550-A5A7-7B54B184B113}"/>
    <cellStyle name="Note 5 9 2 3 2" xfId="16783" xr:uid="{BD5FC038-5A11-4D09-9476-EF7D196E4152}"/>
    <cellStyle name="Note 5 9 2 3 3" xfId="35406" xr:uid="{F28BB314-B05D-40E0-9A30-61CCBC4D3719}"/>
    <cellStyle name="Note 5 9 2 3 4" xfId="35407" xr:uid="{CA9C74E8-8441-4E8B-B546-7793EEA50AF9}"/>
    <cellStyle name="Note 5 9 2 4" xfId="16784" xr:uid="{59980EB2-84AB-4A6B-B99C-DA3FC3C03942}"/>
    <cellStyle name="Note 5 9 2 4 2" xfId="16785" xr:uid="{CE5E7067-7B58-466C-8E76-FE3B046DD753}"/>
    <cellStyle name="Note 5 9 2 4 3" xfId="35408" xr:uid="{89750437-7EAF-4473-B655-6A29D659C22C}"/>
    <cellStyle name="Note 5 9 2 4 4" xfId="35409" xr:uid="{4C65A8B1-844E-443B-919E-A972E4497608}"/>
    <cellStyle name="Note 5 9 2 5" xfId="16786" xr:uid="{A3CBB57D-AA3F-4C74-89B4-BFB9A70F2F41}"/>
    <cellStyle name="Note 5 9 2 5 2" xfId="16787" xr:uid="{2D190462-9DAB-4AE3-AEFB-7C5F74793734}"/>
    <cellStyle name="Note 5 9 2 5 3" xfId="35410" xr:uid="{5E2CF99B-F14B-4B06-A8FA-C8159795A21E}"/>
    <cellStyle name="Note 5 9 2 5 4" xfId="35411" xr:uid="{49884CBE-6848-44BE-8D06-CAB893A51476}"/>
    <cellStyle name="Note 5 9 2 6" xfId="16788" xr:uid="{BFB76A78-62AC-42A6-A40B-C7C4A07E8EEF}"/>
    <cellStyle name="Note 5 9 2 6 2" xfId="16789" xr:uid="{E78B20E6-EBCC-43F5-8E7A-601366B2D7CC}"/>
    <cellStyle name="Note 5 9 2 6 3" xfId="35412" xr:uid="{05A49FF6-1C1E-486D-934D-0E4D70191BFC}"/>
    <cellStyle name="Note 5 9 2 6 4" xfId="35413" xr:uid="{8A578D60-18FD-4362-969D-FA8AC7F74B3C}"/>
    <cellStyle name="Note 5 9 2 7" xfId="16790" xr:uid="{72E2B754-EF80-4648-B319-8B6DB8C926B8}"/>
    <cellStyle name="Note 5 9 2 7 2" xfId="16791" xr:uid="{8F821213-8BB9-47B2-99D6-292E26210764}"/>
    <cellStyle name="Note 5 9 2 7 3" xfId="35414" xr:uid="{5B8BC09C-59C3-446D-BBE5-0DDD052A2E1D}"/>
    <cellStyle name="Note 5 9 2 7 4" xfId="35415" xr:uid="{5264C6FF-340D-4245-A5A1-78A74DE5790E}"/>
    <cellStyle name="Note 5 9 2 8" xfId="16792" xr:uid="{1D852B23-4223-4A93-A0DA-AF6E37297A11}"/>
    <cellStyle name="Note 5 9 2 8 2" xfId="16793" xr:uid="{518AE520-0A16-434B-A340-E8E26BBEDBA9}"/>
    <cellStyle name="Note 5 9 2 8 3" xfId="35416" xr:uid="{1853652A-E69F-4819-B850-937ACFA1533C}"/>
    <cellStyle name="Note 5 9 2 8 4" xfId="35417" xr:uid="{A5F26713-2747-4352-9A31-BD2BE1644337}"/>
    <cellStyle name="Note 5 9 2 9" xfId="16794" xr:uid="{3BB834E6-A436-4D32-A872-34B3BDD43E21}"/>
    <cellStyle name="Note 5 9 2 9 2" xfId="35418" xr:uid="{7DA24B1A-F9EA-4D65-8780-9EFC0C3A5D6D}"/>
    <cellStyle name="Note 5 9 3" xfId="16795" xr:uid="{67D2FC66-4AD3-4B55-85D5-6B794EFD9FA0}"/>
    <cellStyle name="Note 5 9 3 2" xfId="16796" xr:uid="{5E4D7FEA-71F9-4885-9FE2-AAC7C88B20A6}"/>
    <cellStyle name="Note 5 9 3 2 2" xfId="16797" xr:uid="{76B7739E-8593-4661-AAD3-B89DAE29C478}"/>
    <cellStyle name="Note 5 9 3 3" xfId="16798" xr:uid="{7C859925-BDE8-4DCE-A819-B31D7886E2CE}"/>
    <cellStyle name="Note 5 9 3 4" xfId="35419" xr:uid="{CFB85B17-DEE6-471B-B259-85E2AA7D51F7}"/>
    <cellStyle name="Note 5 9 4" xfId="16799" xr:uid="{3A2AAD9B-666D-4D1A-BE89-31183827954A}"/>
    <cellStyle name="Note 5 9 4 2" xfId="16800" xr:uid="{6FDAE664-4211-4B19-B061-54F7A213FF5A}"/>
    <cellStyle name="Note 5 9 4 3" xfId="35420" xr:uid="{12AF6BFD-147B-4B7F-8BFB-52227BD3F70D}"/>
    <cellStyle name="Note 5 9 4 4" xfId="35421" xr:uid="{08B7023C-7481-4F2C-9808-BC3D148E850C}"/>
    <cellStyle name="Note 5 9 5" xfId="16801" xr:uid="{D0EEE808-5A21-403D-B4DF-4273CFC005F7}"/>
    <cellStyle name="Note 5 9 5 2" xfId="16802" xr:uid="{86CC4E77-1C0D-4F0A-B683-53BD7332CF00}"/>
    <cellStyle name="Note 5 9 5 3" xfId="35422" xr:uid="{D7781DFA-879F-4E68-8ACB-79CE51E3BB5A}"/>
    <cellStyle name="Note 5 9 5 4" xfId="35423" xr:uid="{9B3F2FD2-C1FA-470E-BDD5-CBA2F4825BB3}"/>
    <cellStyle name="Note 5 9 6" xfId="16803" xr:uid="{9FE8DEAC-D718-4C0F-91D6-483453244C2B}"/>
    <cellStyle name="Note 5 9 6 2" xfId="16804" xr:uid="{C550DC9D-4086-43DF-902C-F3E37BFAD2A9}"/>
    <cellStyle name="Note 5 9 6 3" xfId="35424" xr:uid="{57C3EAF8-E185-4AC2-B100-7AE01B42DC96}"/>
    <cellStyle name="Note 5 9 6 4" xfId="35425" xr:uid="{E8FC8EB3-C7A1-4757-AFB3-71AD231D8F48}"/>
    <cellStyle name="Note 5 9 7" xfId="16805" xr:uid="{0007F4B2-9654-4E86-BEE0-600C214E8D66}"/>
    <cellStyle name="Note 5 9 7 2" xfId="16806" xr:uid="{C401733E-6415-4873-8BCF-D1DD9A3D806C}"/>
    <cellStyle name="Note 5 9 7 3" xfId="35426" xr:uid="{17C8462E-86BC-45C3-990F-17A435537189}"/>
    <cellStyle name="Note 5 9 7 4" xfId="35427" xr:uid="{C3F12116-2095-42FF-8A9B-4F1A9E435C83}"/>
    <cellStyle name="Note 5 9 8" xfId="16807" xr:uid="{D3AD1A75-369E-4443-8527-4AB37ADC16EA}"/>
    <cellStyle name="Note 5 9 8 2" xfId="16808" xr:uid="{45560CB4-4FA6-4D8E-A3AF-6B53494425CC}"/>
    <cellStyle name="Note 5 9 8 3" xfId="35428" xr:uid="{C0EBDF04-D279-4B5B-8389-A21B2327941F}"/>
    <cellStyle name="Note 5 9 8 4" xfId="35429" xr:uid="{59A8C52C-C40D-4D80-8C2C-857D38752D3A}"/>
    <cellStyle name="Note 5 9 9" xfId="16809" xr:uid="{F92CFD47-AE2A-483C-90CD-B92253A21CF7}"/>
    <cellStyle name="Note 5 9 9 2" xfId="16810" xr:uid="{3C5CF3BA-772F-40B0-A451-6C8B365970A9}"/>
    <cellStyle name="Note 5 9 9 3" xfId="35430" xr:uid="{A8250DE8-42B2-465F-BCA7-DF6320D0850B}"/>
    <cellStyle name="Note 5 9 9 4" xfId="35431" xr:uid="{DE75963E-3805-4627-9D91-FA457C653458}"/>
    <cellStyle name="Note 5_ELC_final" xfId="35432" xr:uid="{2972AE80-71E0-4A43-A2AA-7E076B8389CB}"/>
    <cellStyle name="Note 6" xfId="16811" xr:uid="{FA7B61FE-4F2B-4BBF-9149-1219A5B2A625}"/>
    <cellStyle name="Note 6 10" xfId="16812" xr:uid="{056B6488-CF4F-4D36-9E69-220C99E23F14}"/>
    <cellStyle name="Note 6 10 10" xfId="16813" xr:uid="{CD616AC5-E269-4471-8C04-B3AFCB31D8CC}"/>
    <cellStyle name="Note 6 10 10 2" xfId="35433" xr:uid="{300DB415-DFB3-41BA-A4B7-BD6C111D9882}"/>
    <cellStyle name="Note 6 10 11" xfId="16814" xr:uid="{0686E8A1-9DC0-46E5-827A-F2203418EA61}"/>
    <cellStyle name="Note 6 10 11 2" xfId="35434" xr:uid="{F6B4042F-2600-4C30-A71B-EDC04046E9EE}"/>
    <cellStyle name="Note 6 10 12" xfId="35435" xr:uid="{32B601CD-1AC8-4634-B6B1-3033682E38EC}"/>
    <cellStyle name="Note 6 10 2" xfId="16815" xr:uid="{669464E9-3371-4CEE-AE68-D1013427BE0B}"/>
    <cellStyle name="Note 6 10 2 10" xfId="16816" xr:uid="{4DA8C8E3-FD9A-4DD1-837C-07AFE9ECFB98}"/>
    <cellStyle name="Note 6 10 2 10 2" xfId="35436" xr:uid="{F968EF37-48A5-4E90-8DEA-A74DB65050F3}"/>
    <cellStyle name="Note 6 10 2 11" xfId="35437" xr:uid="{C5B21EE8-E216-4E89-A4DF-51180E6C1510}"/>
    <cellStyle name="Note 6 10 2 2" xfId="16817" xr:uid="{31CD377C-4E1A-4DCB-85EB-A8C50E1E0D4B}"/>
    <cellStyle name="Note 6 10 2 2 2" xfId="16818" xr:uid="{76A8ACDC-E24D-42A6-B090-52BC5807B323}"/>
    <cellStyle name="Note 6 10 2 2 2 2" xfId="16819" xr:uid="{0C99DB52-C2D6-4084-BC98-361099EBC9CC}"/>
    <cellStyle name="Note 6 10 2 2 3" xfId="16820" xr:uid="{E3D4AC7B-14FA-40B3-B0E2-D89F79D6E0BA}"/>
    <cellStyle name="Note 6 10 2 2 4" xfId="35438" xr:uid="{CDFA612F-3088-4484-8207-C223D085E87D}"/>
    <cellStyle name="Note 6 10 2 3" xfId="16821" xr:uid="{BB3C3EE3-0066-4962-8E08-A42CB4767CEA}"/>
    <cellStyle name="Note 6 10 2 3 2" xfId="16822" xr:uid="{F8062C32-4FC8-487A-A84B-04CCA85BB21E}"/>
    <cellStyle name="Note 6 10 2 3 3" xfId="35439" xr:uid="{5D9B0F62-5C22-407A-B16C-E08C88677D90}"/>
    <cellStyle name="Note 6 10 2 3 4" xfId="35440" xr:uid="{5BD29C97-8E9C-4F1A-BDB8-EC7CB47089C3}"/>
    <cellStyle name="Note 6 10 2 4" xfId="16823" xr:uid="{17F6D963-A76A-497A-9AEF-48592EFE0A90}"/>
    <cellStyle name="Note 6 10 2 4 2" xfId="16824" xr:uid="{AA39720B-D79F-477F-B4E4-21FDC2A431C2}"/>
    <cellStyle name="Note 6 10 2 4 3" xfId="35441" xr:uid="{95819BD9-FE35-4C41-94D4-4A09A22DA761}"/>
    <cellStyle name="Note 6 10 2 4 4" xfId="35442" xr:uid="{2627F579-BF35-41C0-B323-B73C69B80EC1}"/>
    <cellStyle name="Note 6 10 2 5" xfId="16825" xr:uid="{A252B444-331B-47D5-A27A-44CFE1EFCB0D}"/>
    <cellStyle name="Note 6 10 2 5 2" xfId="16826" xr:uid="{AE437234-DE33-4A79-8B51-B2BBFD548788}"/>
    <cellStyle name="Note 6 10 2 5 3" xfId="35443" xr:uid="{25623524-74C2-446D-96A3-FB8BB32E5D79}"/>
    <cellStyle name="Note 6 10 2 5 4" xfId="35444" xr:uid="{D3FCFD0E-1D64-49FD-94C2-20EB8713408C}"/>
    <cellStyle name="Note 6 10 2 6" xfId="16827" xr:uid="{7977FB9E-6EE2-4D96-AE74-73035649BB0A}"/>
    <cellStyle name="Note 6 10 2 6 2" xfId="16828" xr:uid="{78B07F69-2574-499C-8530-94146F43972F}"/>
    <cellStyle name="Note 6 10 2 6 3" xfId="35445" xr:uid="{74671414-7693-4A59-BF70-7D325C063015}"/>
    <cellStyle name="Note 6 10 2 6 4" xfId="35446" xr:uid="{A869D1D3-9BDC-454E-8F58-EEFE63B02417}"/>
    <cellStyle name="Note 6 10 2 7" xfId="16829" xr:uid="{2383A13C-DF62-45C1-A90A-09062ADFD512}"/>
    <cellStyle name="Note 6 10 2 7 2" xfId="16830" xr:uid="{4BA78A35-C24D-4EF5-BAAF-DAEB1E6F9DE5}"/>
    <cellStyle name="Note 6 10 2 7 3" xfId="35447" xr:uid="{17FE34D6-8C9D-4761-8C98-9A66C84EDA53}"/>
    <cellStyle name="Note 6 10 2 7 4" xfId="35448" xr:uid="{AA3F7D36-CDBF-48EF-B9B9-4AB8B82EA39B}"/>
    <cellStyle name="Note 6 10 2 8" xfId="16831" xr:uid="{46412D80-8EE8-4A25-A618-64101633DACA}"/>
    <cellStyle name="Note 6 10 2 8 2" xfId="16832" xr:uid="{D332C999-4D27-4CDB-A8D3-B113CB69FAB3}"/>
    <cellStyle name="Note 6 10 2 8 3" xfId="35449" xr:uid="{762F8847-275B-4EAC-9B6C-1A674D0F40FB}"/>
    <cellStyle name="Note 6 10 2 8 4" xfId="35450" xr:uid="{D6F12CE2-96D6-4B50-9510-1DD5E553DDB7}"/>
    <cellStyle name="Note 6 10 2 9" xfId="16833" xr:uid="{2B1A5773-4FE3-4684-8740-537033F3C61E}"/>
    <cellStyle name="Note 6 10 2 9 2" xfId="35451" xr:uid="{BA39BBCA-AD7C-4F26-A718-648FD3CAE28B}"/>
    <cellStyle name="Note 6 10 3" xfId="16834" xr:uid="{5C93DCA1-0C9C-4E51-8DDF-8DF5CF4C9720}"/>
    <cellStyle name="Note 6 10 3 2" xfId="16835" xr:uid="{DA7AF096-9AFA-4758-91ED-CAFD391A630C}"/>
    <cellStyle name="Note 6 10 3 2 2" xfId="16836" xr:uid="{72FE9991-BF26-48C1-8903-C12B17756FDC}"/>
    <cellStyle name="Note 6 10 3 3" xfId="16837" xr:uid="{551ED12C-E394-465C-8AF1-67DB297F3CBD}"/>
    <cellStyle name="Note 6 10 3 4" xfId="35452" xr:uid="{39556DB8-9F39-4B3B-8696-7F5B71818420}"/>
    <cellStyle name="Note 6 10 4" xfId="16838" xr:uid="{B46E7FCB-BD8D-4DCB-8E2F-81CDA4BF8521}"/>
    <cellStyle name="Note 6 10 4 2" xfId="16839" xr:uid="{CA1172BA-5DCA-4C2B-9869-FAC1D8323D4E}"/>
    <cellStyle name="Note 6 10 4 3" xfId="35453" xr:uid="{5995D851-0877-4238-A809-D8A9B54F6653}"/>
    <cellStyle name="Note 6 10 4 4" xfId="35454" xr:uid="{F881B3F2-C0B7-49C4-9B98-FECC68115EBE}"/>
    <cellStyle name="Note 6 10 5" xfId="16840" xr:uid="{5F6C1860-175E-498B-BF8B-7FCAAEB2B3E6}"/>
    <cellStyle name="Note 6 10 5 2" xfId="16841" xr:uid="{D9150062-328B-4CB8-9D07-57CF81FAA5C0}"/>
    <cellStyle name="Note 6 10 5 3" xfId="35455" xr:uid="{652204AA-72C1-4E77-AC3E-746776229527}"/>
    <cellStyle name="Note 6 10 5 4" xfId="35456" xr:uid="{50970DA7-8FA3-479D-8F84-FE52DAB9763A}"/>
    <cellStyle name="Note 6 10 6" xfId="16842" xr:uid="{9A618083-DE94-4D79-B58C-F47838460F21}"/>
    <cellStyle name="Note 6 10 6 2" xfId="16843" xr:uid="{4027B12B-9B2E-4889-9558-1DDCE4C4E39B}"/>
    <cellStyle name="Note 6 10 6 3" xfId="35457" xr:uid="{2A149384-1FB4-415B-A9BF-796AE4057685}"/>
    <cellStyle name="Note 6 10 6 4" xfId="35458" xr:uid="{198041F0-9BE5-4A0C-A8D9-1E8AF4C74F39}"/>
    <cellStyle name="Note 6 10 7" xfId="16844" xr:uid="{31C2832E-0A27-4FBD-8F20-DF93D1D01A71}"/>
    <cellStyle name="Note 6 10 7 2" xfId="16845" xr:uid="{BBBD39E7-8DC7-47F6-860E-3B3598A47510}"/>
    <cellStyle name="Note 6 10 7 3" xfId="35459" xr:uid="{80DA494C-7905-4D75-B42E-C685175A6A64}"/>
    <cellStyle name="Note 6 10 7 4" xfId="35460" xr:uid="{5135D96B-DC7F-4722-90C6-B7C02425E814}"/>
    <cellStyle name="Note 6 10 8" xfId="16846" xr:uid="{B65B0A07-EE46-4450-920E-78C07B63DCE6}"/>
    <cellStyle name="Note 6 10 8 2" xfId="16847" xr:uid="{212BD436-57BC-449F-BE84-D85A3C754D8A}"/>
    <cellStyle name="Note 6 10 8 3" xfId="35461" xr:uid="{6277E096-E68E-46AC-A1D0-0F2313D8D776}"/>
    <cellStyle name="Note 6 10 8 4" xfId="35462" xr:uid="{9ED4D794-8DCA-4EFB-9C29-D3F68014CA2D}"/>
    <cellStyle name="Note 6 10 9" xfId="16848" xr:uid="{843AD894-A3EB-4599-B88C-A70DB4008C7F}"/>
    <cellStyle name="Note 6 10 9 2" xfId="16849" xr:uid="{592FC11D-954A-4E09-BB4E-58E2347919DB}"/>
    <cellStyle name="Note 6 10 9 3" xfId="35463" xr:uid="{42C5EDF4-50C4-47D7-8FEE-C463E0D73B94}"/>
    <cellStyle name="Note 6 10 9 4" xfId="35464" xr:uid="{12AFA170-7989-42A1-9299-74F1DBA5E1DC}"/>
    <cellStyle name="Note 6 11" xfId="16850" xr:uid="{4A150D06-3551-4537-9CAF-3CD7A172EBFC}"/>
    <cellStyle name="Note 6 11 10" xfId="16851" xr:uid="{154AB5D1-25A9-4DFD-9689-FDA7D9C2CE67}"/>
    <cellStyle name="Note 6 11 10 2" xfId="35465" xr:uid="{D4AE4763-AAA4-4553-ABE4-E82C3E3E7C95}"/>
    <cellStyle name="Note 6 11 11" xfId="16852" xr:uid="{DCBC6799-9A95-45A1-8296-0F0082A6AE93}"/>
    <cellStyle name="Note 6 11 11 2" xfId="35466" xr:uid="{FE0F2801-5016-4208-82FC-454BD358DC32}"/>
    <cellStyle name="Note 6 11 12" xfId="35467" xr:uid="{E57ACC1D-361E-4882-85F2-11F0AF2FD924}"/>
    <cellStyle name="Note 6 11 2" xfId="16853" xr:uid="{29EE59F5-F87F-45B8-BFCC-8A13910E392E}"/>
    <cellStyle name="Note 6 11 2 10" xfId="16854" xr:uid="{5585D5F2-C63D-4593-B3B4-C44EFCC3CC63}"/>
    <cellStyle name="Note 6 11 2 10 2" xfId="35468" xr:uid="{BF966966-2315-4CE1-B861-5BD0CCD66CD0}"/>
    <cellStyle name="Note 6 11 2 11" xfId="35469" xr:uid="{B0DFA366-921D-4E75-9B97-269C3C26BBBA}"/>
    <cellStyle name="Note 6 11 2 2" xfId="16855" xr:uid="{8F593FA6-5F9F-4929-BBED-E6F3513EDBAB}"/>
    <cellStyle name="Note 6 11 2 2 2" xfId="16856" xr:uid="{BABA0D3D-C25D-4010-80A5-A4B9795DEC16}"/>
    <cellStyle name="Note 6 11 2 2 2 2" xfId="16857" xr:uid="{74ED4B0E-B716-4518-85FC-9C82B979DEBC}"/>
    <cellStyle name="Note 6 11 2 2 3" xfId="16858" xr:uid="{6CE30F81-0D26-43E3-B4C7-6ADD7594525E}"/>
    <cellStyle name="Note 6 11 2 2 4" xfId="35470" xr:uid="{A3F458A7-2C8A-4D5D-A2EF-FF673D497B71}"/>
    <cellStyle name="Note 6 11 2 3" xfId="16859" xr:uid="{CF0B0E35-9AB5-406C-9457-4EDE1BA5C979}"/>
    <cellStyle name="Note 6 11 2 3 2" xfId="16860" xr:uid="{20D86960-5583-4982-9A9B-D25F56DF277F}"/>
    <cellStyle name="Note 6 11 2 3 3" xfId="35471" xr:uid="{BDD98491-82C0-488D-A524-7AF88286AF43}"/>
    <cellStyle name="Note 6 11 2 3 4" xfId="35472" xr:uid="{B06D9CDC-A259-413F-AD9E-EEBE404F2013}"/>
    <cellStyle name="Note 6 11 2 4" xfId="16861" xr:uid="{5EA03B4D-EF1E-4B7C-A33F-7E54ED2F6B22}"/>
    <cellStyle name="Note 6 11 2 4 2" xfId="16862" xr:uid="{42F704EB-205F-489F-A053-AF3AE17DB24D}"/>
    <cellStyle name="Note 6 11 2 4 3" xfId="35473" xr:uid="{8F110C48-7368-4855-BF21-DCCBC4B9BAA8}"/>
    <cellStyle name="Note 6 11 2 4 4" xfId="35474" xr:uid="{1F569EE8-BE2C-45A0-BDBE-E4AF5F50730B}"/>
    <cellStyle name="Note 6 11 2 5" xfId="16863" xr:uid="{36193611-364C-4660-8F2A-55FBEE80D100}"/>
    <cellStyle name="Note 6 11 2 5 2" xfId="16864" xr:uid="{46F8BDAF-E0A5-4E13-B7AA-DCB9FAF2B307}"/>
    <cellStyle name="Note 6 11 2 5 3" xfId="35475" xr:uid="{32643D05-4F43-49F4-9ED7-3519BA12FE94}"/>
    <cellStyle name="Note 6 11 2 5 4" xfId="35476" xr:uid="{E0D30057-FB5C-490F-9BB8-8628F4CF5309}"/>
    <cellStyle name="Note 6 11 2 6" xfId="16865" xr:uid="{6D82B8EB-9DE8-4B6F-A2F3-00DC58E8501D}"/>
    <cellStyle name="Note 6 11 2 6 2" xfId="16866" xr:uid="{42C8F9EA-B643-432B-B20F-E68D1C83958D}"/>
    <cellStyle name="Note 6 11 2 6 3" xfId="35477" xr:uid="{71101272-82F8-4EAA-BC3B-B2AE6FD22837}"/>
    <cellStyle name="Note 6 11 2 6 4" xfId="35478" xr:uid="{ABF9C218-CAA3-4A0E-8F6F-5CE2921D1D70}"/>
    <cellStyle name="Note 6 11 2 7" xfId="16867" xr:uid="{FEF64AB1-D341-4561-9F1C-9EA240CE9C97}"/>
    <cellStyle name="Note 6 11 2 7 2" xfId="16868" xr:uid="{D155862E-C081-4E27-AAA8-C8DA91E68F58}"/>
    <cellStyle name="Note 6 11 2 7 3" xfId="35479" xr:uid="{34056488-1217-4655-986D-A9E5E7867BCE}"/>
    <cellStyle name="Note 6 11 2 7 4" xfId="35480" xr:uid="{0D87443A-5DDF-4A3B-BBEC-0027A87F99DC}"/>
    <cellStyle name="Note 6 11 2 8" xfId="16869" xr:uid="{FBF5A98A-8307-44BE-8259-CF43C2D3DB52}"/>
    <cellStyle name="Note 6 11 2 8 2" xfId="16870" xr:uid="{352DE650-0FD7-487B-AA6C-E023E474036F}"/>
    <cellStyle name="Note 6 11 2 8 3" xfId="35481" xr:uid="{B8149218-FAF3-497B-921F-9FEDA57F6B8D}"/>
    <cellStyle name="Note 6 11 2 8 4" xfId="35482" xr:uid="{E5F71B7E-29CA-47E8-B7AF-29D1B24F4303}"/>
    <cellStyle name="Note 6 11 2 9" xfId="16871" xr:uid="{CE5C6B22-93FA-4D96-AD95-DAA7EAD0EA60}"/>
    <cellStyle name="Note 6 11 2 9 2" xfId="35483" xr:uid="{316B2250-2D9B-44C7-A24E-9AD5D919EAC1}"/>
    <cellStyle name="Note 6 11 3" xfId="16872" xr:uid="{D01975BC-E98A-4CCE-9E87-4B6EBEE1C7D3}"/>
    <cellStyle name="Note 6 11 3 2" xfId="16873" xr:uid="{08D9B611-FBD9-42F5-92FC-B4D66DA6AAA5}"/>
    <cellStyle name="Note 6 11 3 2 2" xfId="16874" xr:uid="{645D4354-755A-4E36-BEE4-ACFF955C12A7}"/>
    <cellStyle name="Note 6 11 3 3" xfId="16875" xr:uid="{26B3E47C-0081-431A-95C5-B17564AAD1F1}"/>
    <cellStyle name="Note 6 11 3 4" xfId="35484" xr:uid="{54FA8A8A-968B-4CA1-BEFA-BEDC2D4B18CE}"/>
    <cellStyle name="Note 6 11 4" xfId="16876" xr:uid="{7B2F3243-83C2-404B-9665-668EDE1D7873}"/>
    <cellStyle name="Note 6 11 4 2" xfId="16877" xr:uid="{1B43942E-8437-4430-969A-C418F186FBEA}"/>
    <cellStyle name="Note 6 11 4 3" xfId="35485" xr:uid="{CFB97D2D-B0BC-408F-93F9-8F70928A86CB}"/>
    <cellStyle name="Note 6 11 4 4" xfId="35486" xr:uid="{C0A7A3E9-94DB-4670-8236-4545D79C6FC3}"/>
    <cellStyle name="Note 6 11 5" xfId="16878" xr:uid="{D15C0381-7F53-471B-BA41-A57CD1693F64}"/>
    <cellStyle name="Note 6 11 5 2" xfId="16879" xr:uid="{A3EFF621-0D7A-402A-BB99-DC8539EDA1D8}"/>
    <cellStyle name="Note 6 11 5 3" xfId="35487" xr:uid="{AC05C78B-4C44-43BF-8680-25B8849A4701}"/>
    <cellStyle name="Note 6 11 5 4" xfId="35488" xr:uid="{1CC55859-3522-4BD3-BEE7-1F6B570EC2C3}"/>
    <cellStyle name="Note 6 11 6" xfId="16880" xr:uid="{3F634A31-6737-476B-91A8-DE5DEFC590CF}"/>
    <cellStyle name="Note 6 11 6 2" xfId="16881" xr:uid="{23C095E1-CF39-4F08-A9A2-4EFFA29183FD}"/>
    <cellStyle name="Note 6 11 6 3" xfId="35489" xr:uid="{5CE9D0BC-CA66-4719-8F5E-C07E30EF83E4}"/>
    <cellStyle name="Note 6 11 6 4" xfId="35490" xr:uid="{13913ACD-023A-413B-BC92-9DBE5361D017}"/>
    <cellStyle name="Note 6 11 7" xfId="16882" xr:uid="{A917A1A6-432D-438D-B05F-CD6257B93C33}"/>
    <cellStyle name="Note 6 11 7 2" xfId="16883" xr:uid="{133395EA-0B36-4CB7-86F7-79036E463CF7}"/>
    <cellStyle name="Note 6 11 7 3" xfId="35491" xr:uid="{94582A3E-8010-4E5B-AF69-5E9ACE6325C6}"/>
    <cellStyle name="Note 6 11 7 4" xfId="35492" xr:uid="{9081F20A-4D58-46EA-8304-D81FD465D726}"/>
    <cellStyle name="Note 6 11 8" xfId="16884" xr:uid="{46D05EB7-6745-44A6-91E0-1ADB20259130}"/>
    <cellStyle name="Note 6 11 8 2" xfId="16885" xr:uid="{F33A83C3-4A92-4E10-ACE8-4C1A2686492D}"/>
    <cellStyle name="Note 6 11 8 3" xfId="35493" xr:uid="{60125671-6F88-4D24-8018-55F90C3A2B10}"/>
    <cellStyle name="Note 6 11 8 4" xfId="35494" xr:uid="{CA3DFCBA-36F5-4299-9AD0-7A62E737512A}"/>
    <cellStyle name="Note 6 11 9" xfId="16886" xr:uid="{39C0E94F-5E88-40C6-9945-40DF00F02B39}"/>
    <cellStyle name="Note 6 11 9 2" xfId="16887" xr:uid="{857D17D7-D4B6-461D-A747-62D8B525E8A6}"/>
    <cellStyle name="Note 6 11 9 3" xfId="35495" xr:uid="{D83A771C-9EF6-45E4-9978-CDD9E8CD2847}"/>
    <cellStyle name="Note 6 11 9 4" xfId="35496" xr:uid="{6F224B91-8AF7-4883-918D-9223E0CF2170}"/>
    <cellStyle name="Note 6 12" xfId="16888" xr:uid="{F11F8EBA-EB91-45BB-A0B5-4B2A5D592300}"/>
    <cellStyle name="Note 6 12 10" xfId="16889" xr:uid="{80EFFFEC-5D54-40DA-A677-8042070CEF92}"/>
    <cellStyle name="Note 6 12 10 2" xfId="35497" xr:uid="{95C1FB0F-62FF-4439-A7C9-426AD3B22F63}"/>
    <cellStyle name="Note 6 12 11" xfId="35498" xr:uid="{406E0F9A-B030-4CE8-AA7B-8A4FDD54DEDC}"/>
    <cellStyle name="Note 6 12 2" xfId="16890" xr:uid="{7A2FEEA7-43EE-4251-A7FC-D9610733755E}"/>
    <cellStyle name="Note 6 12 2 2" xfId="16891" xr:uid="{8A21E129-35CF-455A-8AC1-D4C0EA655444}"/>
    <cellStyle name="Note 6 12 2 2 2" xfId="16892" xr:uid="{8BBE0E9E-F70D-44DD-B023-AFDE5725AE11}"/>
    <cellStyle name="Note 6 12 2 3" xfId="16893" xr:uid="{F06E4AE4-A6F3-49A0-B7CE-60F49EEDFBC1}"/>
    <cellStyle name="Note 6 12 2 4" xfId="35499" xr:uid="{F6CB2A3F-F3D6-49E8-BEDE-9EDA6775FA82}"/>
    <cellStyle name="Note 6 12 3" xfId="16894" xr:uid="{425AEDD3-E4EE-4586-AD7B-4AEB05AD6F7B}"/>
    <cellStyle name="Note 6 12 3 2" xfId="16895" xr:uid="{E341C449-B251-431B-9041-5F0E3EC593F7}"/>
    <cellStyle name="Note 6 12 3 3" xfId="35500" xr:uid="{F1CE6C9A-522C-4427-9580-F4448C547422}"/>
    <cellStyle name="Note 6 12 3 4" xfId="35501" xr:uid="{7731BA61-AFEB-430A-AE42-CB22FAD4B451}"/>
    <cellStyle name="Note 6 12 4" xfId="16896" xr:uid="{C89BA5F9-5DBF-43A5-9870-DAAF7C988106}"/>
    <cellStyle name="Note 6 12 4 2" xfId="16897" xr:uid="{CAE705F2-FA15-4958-8259-414F66CBDC85}"/>
    <cellStyle name="Note 6 12 4 3" xfId="35502" xr:uid="{70F73831-0B82-4987-A908-654D385CC660}"/>
    <cellStyle name="Note 6 12 4 4" xfId="35503" xr:uid="{7BE2C2CE-BB25-4372-9BB1-E87E273BDB4F}"/>
    <cellStyle name="Note 6 12 5" xfId="16898" xr:uid="{09156451-94F8-4BF6-9133-DEAE8EFF9473}"/>
    <cellStyle name="Note 6 12 5 2" xfId="16899" xr:uid="{D4E32371-C4BA-49AC-ADB7-19C26B948A58}"/>
    <cellStyle name="Note 6 12 5 3" xfId="35504" xr:uid="{52386272-B0BE-4BC4-AB54-C38560F20DA0}"/>
    <cellStyle name="Note 6 12 5 4" xfId="35505" xr:uid="{57109924-27D6-4985-8A7E-63DF2BE45AF8}"/>
    <cellStyle name="Note 6 12 6" xfId="16900" xr:uid="{397C3697-1DFB-44A1-840F-379BC543969D}"/>
    <cellStyle name="Note 6 12 6 2" xfId="16901" xr:uid="{B9FC7052-7B67-4432-AA47-C6F7D86466B2}"/>
    <cellStyle name="Note 6 12 6 3" xfId="35506" xr:uid="{5EB86460-542E-4C63-BA74-468D89984C74}"/>
    <cellStyle name="Note 6 12 6 4" xfId="35507" xr:uid="{F26A2C38-27C4-4029-ADF0-708F4845F528}"/>
    <cellStyle name="Note 6 12 7" xfId="16902" xr:uid="{AF43C726-A30E-4903-A7C6-603E6F875B87}"/>
    <cellStyle name="Note 6 12 7 2" xfId="16903" xr:uid="{2E6A81CA-4340-4980-B895-FCC27CB09314}"/>
    <cellStyle name="Note 6 12 7 3" xfId="35508" xr:uid="{B4EB7F72-FD91-4349-9D34-FE0693D20162}"/>
    <cellStyle name="Note 6 12 7 4" xfId="35509" xr:uid="{3006E2A6-2DB7-4FB5-A736-3954BBE4D4EF}"/>
    <cellStyle name="Note 6 12 8" xfId="16904" xr:uid="{33204BEF-289A-4CAF-BA09-EA1C8D7A4A48}"/>
    <cellStyle name="Note 6 12 8 2" xfId="16905" xr:uid="{5DAED880-DC1A-4AE6-8F2A-731F6E349DBB}"/>
    <cellStyle name="Note 6 12 8 3" xfId="35510" xr:uid="{99574CE3-68D9-481D-80A4-413D668BCD45}"/>
    <cellStyle name="Note 6 12 8 4" xfId="35511" xr:uid="{19D76220-8F89-4ED2-ADAF-6A11D386604C}"/>
    <cellStyle name="Note 6 12 9" xfId="16906" xr:uid="{BE06ADF8-41CA-4D91-9D9E-67F2C3C77AA4}"/>
    <cellStyle name="Note 6 12 9 2" xfId="35512" xr:uid="{548C92EA-D1D1-496C-8FA1-CE5F1FAC46BC}"/>
    <cellStyle name="Note 6 13" xfId="16907" xr:uid="{417EDF86-FD12-4B98-BC42-22276567FED1}"/>
    <cellStyle name="Note 6 13 2" xfId="16908" xr:uid="{A5C887BF-7F92-4B0C-8A9C-7FBED6C16918}"/>
    <cellStyle name="Note 6 13 2 2" xfId="16909" xr:uid="{A52F138E-79BE-4A20-9F94-A3C3530D92EE}"/>
    <cellStyle name="Note 6 13 3" xfId="16910" xr:uid="{6D100544-AC36-481A-8EC8-4AA6F2D90759}"/>
    <cellStyle name="Note 6 13 4" xfId="35513" xr:uid="{5E9250E4-5862-49E5-B53C-81EB137C05CA}"/>
    <cellStyle name="Note 6 14" xfId="16911" xr:uid="{51F78869-DDB4-4058-85EB-B34B30BE44A5}"/>
    <cellStyle name="Note 6 14 2" xfId="16912" xr:uid="{D8A101E2-A838-4631-9B99-C18D36761077}"/>
    <cellStyle name="Note 6 14 3" xfId="35514" xr:uid="{0CD72635-3FF1-4DF6-A6B3-00C2BC5F140B}"/>
    <cellStyle name="Note 6 14 4" xfId="35515" xr:uid="{FB745E63-6732-47B6-B752-EA7FBC76C24E}"/>
    <cellStyle name="Note 6 15" xfId="16913" xr:uid="{C4E7F0F4-B49F-4E9A-8F7B-031743AD2789}"/>
    <cellStyle name="Note 6 15 2" xfId="16914" xr:uid="{71734081-2D46-4EA3-A6B8-D7969C33B9B8}"/>
    <cellStyle name="Note 6 15 3" xfId="35516" xr:uid="{942BDD49-6EF9-4C7B-A729-5FE510794A6F}"/>
    <cellStyle name="Note 6 15 4" xfId="35517" xr:uid="{BDA57ABC-2892-4021-A342-634CD9125445}"/>
    <cellStyle name="Note 6 16" xfId="16915" xr:uid="{23C5C8AA-8CF2-456A-B6B0-D87F0845B7C3}"/>
    <cellStyle name="Note 6 16 2" xfId="16916" xr:uid="{D5AFB1D5-AA2E-427A-9C36-C1BB8FBC2B1C}"/>
    <cellStyle name="Note 6 16 3" xfId="35518" xr:uid="{BBB7F134-D02B-4657-AABC-88BBFAC4F6DA}"/>
    <cellStyle name="Note 6 16 4" xfId="35519" xr:uid="{3EDBBDA9-322E-4261-84EC-3ED1C6DB9C91}"/>
    <cellStyle name="Note 6 17" xfId="16917" xr:uid="{ECB6883F-3FBD-48D6-AADB-B4A808E1152A}"/>
    <cellStyle name="Note 6 17 2" xfId="16918" xr:uid="{71B8B872-8037-4332-9B4A-83D87414B89D}"/>
    <cellStyle name="Note 6 17 3" xfId="35520" xr:uid="{097714E9-F2A8-4A95-90D1-E6F4488DDBB2}"/>
    <cellStyle name="Note 6 17 4" xfId="35521" xr:uid="{9446455E-6C05-47C9-9493-F4CBD0DD91F7}"/>
    <cellStyle name="Note 6 18" xfId="16919" xr:uid="{8408857A-8FA6-4272-82A8-020C159EF458}"/>
    <cellStyle name="Note 6 18 2" xfId="16920" xr:uid="{2571742A-FE54-455D-B252-F422380ED87B}"/>
    <cellStyle name="Note 6 18 3" xfId="35522" xr:uid="{5BF05718-705F-4A0D-A3B4-E2D7AAD07F42}"/>
    <cellStyle name="Note 6 18 4" xfId="35523" xr:uid="{13B46B49-961D-454A-A065-65155BC5C5E5}"/>
    <cellStyle name="Note 6 19" xfId="16921" xr:uid="{92B06EB4-5D07-4EA8-83F3-F77BF17B146C}"/>
    <cellStyle name="Note 6 19 2" xfId="16922" xr:uid="{8003EB9E-1DA1-4BCA-98EC-DF1BFA6BDAC0}"/>
    <cellStyle name="Note 6 19 3" xfId="35524" xr:uid="{86F4C66F-D825-4812-BD0C-26088BD88916}"/>
    <cellStyle name="Note 6 19 4" xfId="35525" xr:uid="{C19BD7FB-0B04-4657-90B0-C65BFF157CC6}"/>
    <cellStyle name="Note 6 2" xfId="16923" xr:uid="{C178DBC8-D557-4DF4-A0FB-540D72F4B73F}"/>
    <cellStyle name="Note 6 2 10" xfId="16924" xr:uid="{E91A3529-7DDA-44CB-BAEB-E741A2791057}"/>
    <cellStyle name="Note 6 2 10 2" xfId="35526" xr:uid="{40D3D89E-502C-4094-B059-0172357DD0EC}"/>
    <cellStyle name="Note 6 2 11" xfId="16925" xr:uid="{EDF82D7A-7182-4042-8392-87CA0443E7E5}"/>
    <cellStyle name="Note 6 2 11 2" xfId="35527" xr:uid="{A6C4DF15-9E06-4AF1-853D-70DFF39E9313}"/>
    <cellStyle name="Note 6 2 12" xfId="35528" xr:uid="{DB6C01FF-F9C2-480A-B9DF-E5FC670EA025}"/>
    <cellStyle name="Note 6 2 13" xfId="35529" xr:uid="{EC9C6B0A-60BC-4644-9019-AA4D624E0DCC}"/>
    <cellStyle name="Note 6 2 2" xfId="16926" xr:uid="{25FCD02B-A449-4734-995A-C48E9A41BCD9}"/>
    <cellStyle name="Note 6 2 2 10" xfId="16927" xr:uid="{59FC8327-54DF-4293-A251-8E203EECC850}"/>
    <cellStyle name="Note 6 2 2 10 2" xfId="35530" xr:uid="{F2546C6E-FC88-4920-9BA9-FA6988DDDE4A}"/>
    <cellStyle name="Note 6 2 2 11" xfId="35531" xr:uid="{419684C6-0376-4AAA-A211-CD4AB3069DD6}"/>
    <cellStyle name="Note 6 2 2 2" xfId="16928" xr:uid="{45065BB6-6BC1-4A67-AA4A-9F37F9616E3C}"/>
    <cellStyle name="Note 6 2 2 2 2" xfId="16929" xr:uid="{27AF362D-21FC-4113-B956-10DE1F905FC1}"/>
    <cellStyle name="Note 6 2 2 2 2 2" xfId="16930" xr:uid="{FC685B98-91D1-40D7-907F-944C3A7EC3FE}"/>
    <cellStyle name="Note 6 2 2 2 3" xfId="16931" xr:uid="{1D34F4A5-59BD-4241-AC68-63DC54E2FA3B}"/>
    <cellStyle name="Note 6 2 2 2 4" xfId="35532" xr:uid="{603E0084-C400-4AAC-B2DD-F7EEAB65A764}"/>
    <cellStyle name="Note 6 2 2 3" xfId="16932" xr:uid="{C4E0651C-293C-4B40-B86F-BC6942F38087}"/>
    <cellStyle name="Note 6 2 2 3 2" xfId="16933" xr:uid="{99743FF8-0B0E-4CD9-A69D-673FC425CFF8}"/>
    <cellStyle name="Note 6 2 2 3 3" xfId="35533" xr:uid="{0D87DFC7-56E2-4CA1-930A-C642641D30BB}"/>
    <cellStyle name="Note 6 2 2 3 4" xfId="35534" xr:uid="{AA1F5C7B-EDC0-4545-8EE3-AA3B82C2FFF2}"/>
    <cellStyle name="Note 6 2 2 4" xfId="16934" xr:uid="{E91B5C1F-D9CD-4160-B37A-870C9346F2CA}"/>
    <cellStyle name="Note 6 2 2 4 2" xfId="16935" xr:uid="{11867E8D-4B88-4E97-8931-10410E11EE50}"/>
    <cellStyle name="Note 6 2 2 4 3" xfId="35535" xr:uid="{03BD2355-737C-471E-AE50-AB79ADF00D01}"/>
    <cellStyle name="Note 6 2 2 4 4" xfId="35536" xr:uid="{BF229C4E-B514-48B7-9C42-AC129506D952}"/>
    <cellStyle name="Note 6 2 2 5" xfId="16936" xr:uid="{804E21DA-4A00-4AA6-9BA8-71FC3105FA26}"/>
    <cellStyle name="Note 6 2 2 5 2" xfId="16937" xr:uid="{63DE777D-FA93-4E32-BCF7-FE95FD484132}"/>
    <cellStyle name="Note 6 2 2 5 3" xfId="35537" xr:uid="{9360ECD0-D466-42E6-8874-00CC985220D5}"/>
    <cellStyle name="Note 6 2 2 5 4" xfId="35538" xr:uid="{7F8A0090-75F2-4CD8-8727-63414876E9A4}"/>
    <cellStyle name="Note 6 2 2 6" xfId="16938" xr:uid="{160B7668-E8C3-4A6F-8020-8195E00E3F30}"/>
    <cellStyle name="Note 6 2 2 6 2" xfId="16939" xr:uid="{F7B82C73-40D5-4570-9620-C21DE2A405D8}"/>
    <cellStyle name="Note 6 2 2 6 3" xfId="35539" xr:uid="{1292864D-C56F-470F-A9DE-88E449191ABE}"/>
    <cellStyle name="Note 6 2 2 6 4" xfId="35540" xr:uid="{2BBC44E4-2315-4815-A050-EC7E6699690E}"/>
    <cellStyle name="Note 6 2 2 7" xfId="16940" xr:uid="{9A58029E-B806-4965-8655-8740F7D0BF59}"/>
    <cellStyle name="Note 6 2 2 7 2" xfId="16941" xr:uid="{AAB51646-C233-4358-AF34-337F0E586D06}"/>
    <cellStyle name="Note 6 2 2 7 3" xfId="35541" xr:uid="{C8BF6DAB-8FDD-4100-BF93-D05F0DBC99D1}"/>
    <cellStyle name="Note 6 2 2 7 4" xfId="35542" xr:uid="{EC66BD93-E1E3-4948-8107-19B8F129CA13}"/>
    <cellStyle name="Note 6 2 2 8" xfId="16942" xr:uid="{64BDA9AE-F5BC-40FE-B2EB-693276E51402}"/>
    <cellStyle name="Note 6 2 2 8 2" xfId="16943" xr:uid="{285EE2DA-74FF-4331-ABA6-781080832BC4}"/>
    <cellStyle name="Note 6 2 2 8 3" xfId="35543" xr:uid="{EF33FAB4-2E13-4A99-B2DE-7A58B053C829}"/>
    <cellStyle name="Note 6 2 2 8 4" xfId="35544" xr:uid="{71828BF2-B498-44A7-BC97-193BDEB756B5}"/>
    <cellStyle name="Note 6 2 2 9" xfId="16944" xr:uid="{F353CE79-9038-4BCB-9DF1-45229D09D096}"/>
    <cellStyle name="Note 6 2 2 9 2" xfId="35545" xr:uid="{481AC766-6FBB-4B1B-84CB-385B203E964F}"/>
    <cellStyle name="Note 6 2 3" xfId="16945" xr:uid="{A381403D-D694-4647-8658-F75F05D6CFF2}"/>
    <cellStyle name="Note 6 2 3 2" xfId="16946" xr:uid="{18669494-C7F0-4A36-8534-DAFD81D5A67A}"/>
    <cellStyle name="Note 6 2 3 2 2" xfId="16947" xr:uid="{0B84B336-04D5-4768-A33A-FEB841D7FAAD}"/>
    <cellStyle name="Note 6 2 3 3" xfId="16948" xr:uid="{35E8BC05-91BC-446B-B7F7-ABB9930F713F}"/>
    <cellStyle name="Note 6 2 3 4" xfId="35546" xr:uid="{7DF113EC-F4B5-47E7-9B68-B49337FEF371}"/>
    <cellStyle name="Note 6 2 4" xfId="16949" xr:uid="{4F42B1C2-6924-45FF-8A33-D4B65E2B4107}"/>
    <cellStyle name="Note 6 2 4 2" xfId="16950" xr:uid="{D6F920AB-F799-4F89-9B4F-906C86877224}"/>
    <cellStyle name="Note 6 2 4 3" xfId="35547" xr:uid="{A9DAD9D5-5AC2-4B70-AFC7-D23CB94BF011}"/>
    <cellStyle name="Note 6 2 4 4" xfId="35548" xr:uid="{6572822B-F985-4DB9-A464-35718E66A315}"/>
    <cellStyle name="Note 6 2 5" xfId="16951" xr:uid="{1512EDB1-AF57-42E8-89DB-42267CF71A6E}"/>
    <cellStyle name="Note 6 2 5 2" xfId="16952" xr:uid="{C04DA6EF-4985-4890-80E6-2C1836D44136}"/>
    <cellStyle name="Note 6 2 5 3" xfId="35549" xr:uid="{D76FB854-CA3A-4FB2-89C1-679B5BC1B630}"/>
    <cellStyle name="Note 6 2 5 4" xfId="35550" xr:uid="{42ED1920-12BF-48CB-8830-714A2402AA79}"/>
    <cellStyle name="Note 6 2 6" xfId="16953" xr:uid="{9DF51D29-8B3C-4EFE-AB90-BF098301EBF6}"/>
    <cellStyle name="Note 6 2 6 2" xfId="16954" xr:uid="{A775CFDC-B5C6-4B5C-8073-B3793FC0E2E5}"/>
    <cellStyle name="Note 6 2 6 3" xfId="35551" xr:uid="{A625D27B-CDC4-4F69-868F-89CE43F08D3B}"/>
    <cellStyle name="Note 6 2 6 4" xfId="35552" xr:uid="{0DA2714D-9849-4DA5-8446-658407C09DE4}"/>
    <cellStyle name="Note 6 2 7" xfId="16955" xr:uid="{ABA614FF-F18A-4FA7-8715-2BD4568D3C54}"/>
    <cellStyle name="Note 6 2 7 2" xfId="16956" xr:uid="{38EC1E8A-3300-4D40-9E4D-69E75C69E61C}"/>
    <cellStyle name="Note 6 2 7 3" xfId="35553" xr:uid="{C6BC48EC-A05D-488B-9459-6134122ADAE3}"/>
    <cellStyle name="Note 6 2 7 4" xfId="35554" xr:uid="{DFFC0C44-831A-4666-A8AE-21000B60BDEC}"/>
    <cellStyle name="Note 6 2 8" xfId="16957" xr:uid="{20B3ACFF-EDD1-49F8-8798-2EEAE933A335}"/>
    <cellStyle name="Note 6 2 8 2" xfId="16958" xr:uid="{C1B0D81D-08B6-411C-89C7-7E3EFB00E154}"/>
    <cellStyle name="Note 6 2 8 3" xfId="35555" xr:uid="{192719CC-7B55-42A4-AE1C-26D4912F61D1}"/>
    <cellStyle name="Note 6 2 8 4" xfId="35556" xr:uid="{D3D724F7-C7ED-41F0-B4CB-E6114C652319}"/>
    <cellStyle name="Note 6 2 9" xfId="16959" xr:uid="{EFB8C4EF-65AA-43DB-92B4-92B36ADC00B4}"/>
    <cellStyle name="Note 6 2 9 2" xfId="16960" xr:uid="{38D5F3FA-FD99-46D1-B030-94816776C147}"/>
    <cellStyle name="Note 6 2 9 3" xfId="35557" xr:uid="{6BA6435B-9803-4BE3-8E21-DA5E2ACF712E}"/>
    <cellStyle name="Note 6 2 9 4" xfId="35558" xr:uid="{4B1413AE-E65C-4168-8E75-099C6B006AE5}"/>
    <cellStyle name="Note 6 20" xfId="16961" xr:uid="{AB96EB60-C67A-452F-AB8D-C3E241278066}"/>
    <cellStyle name="Note 6 20 2" xfId="35559" xr:uid="{876111C9-D733-4C9E-88D5-EA5A158CE0CD}"/>
    <cellStyle name="Note 6 21" xfId="16962" xr:uid="{0FEB9648-A685-44D8-9B88-2E2E3A3D4ABF}"/>
    <cellStyle name="Note 6 21 2" xfId="35560" xr:uid="{C5B34DD9-B950-4896-B259-C7B9D46BA0D3}"/>
    <cellStyle name="Note 6 22" xfId="35561" xr:uid="{E35C80D4-F9B5-4DC2-8C32-49CB1DC5574F}"/>
    <cellStyle name="Note 6 23" xfId="35562" xr:uid="{9C303B8F-5538-43BC-982B-F35613D53ED5}"/>
    <cellStyle name="Note 6 3" xfId="16963" xr:uid="{AC265B14-6014-4374-8819-31D6C96F88F5}"/>
    <cellStyle name="Note 6 3 10" xfId="16964" xr:uid="{E3C11A86-5886-4F44-8F6B-5B6F7CB48EA7}"/>
    <cellStyle name="Note 6 3 10 2" xfId="35563" xr:uid="{3891E660-723A-4D94-ABAB-47A8243BC6D3}"/>
    <cellStyle name="Note 6 3 11" xfId="16965" xr:uid="{9D4FC750-45DB-433F-922A-A470E25841FB}"/>
    <cellStyle name="Note 6 3 11 2" xfId="35564" xr:uid="{8FF937E4-02EE-4B12-A3F6-E8B6693508DB}"/>
    <cellStyle name="Note 6 3 12" xfId="35565" xr:uid="{81AFA3F2-0155-42F0-AF45-940E70399898}"/>
    <cellStyle name="Note 6 3 13" xfId="35566" xr:uid="{F273684E-E437-4931-A9A7-34B041862229}"/>
    <cellStyle name="Note 6 3 2" xfId="16966" xr:uid="{84ABF0AD-563B-480D-964A-3970FE8D9613}"/>
    <cellStyle name="Note 6 3 2 10" xfId="16967" xr:uid="{5189D72E-53B5-4C6B-B427-8F691D23E315}"/>
    <cellStyle name="Note 6 3 2 10 2" xfId="35567" xr:uid="{3C6BDCDD-A700-4542-9AEF-4CBA9F8DB95F}"/>
    <cellStyle name="Note 6 3 2 11" xfId="35568" xr:uid="{F1E62E6B-9265-4B03-9405-A5C0B82BA8B1}"/>
    <cellStyle name="Note 6 3 2 12" xfId="35569" xr:uid="{5BE28336-8478-452D-98E9-782ECC1A412F}"/>
    <cellStyle name="Note 6 3 2 2" xfId="16968" xr:uid="{7882306D-491C-48B1-938E-02093A676DFF}"/>
    <cellStyle name="Note 6 3 2 2 2" xfId="16969" xr:uid="{A316AFB6-B0FE-4CDD-9194-4A9AD39A4814}"/>
    <cellStyle name="Note 6 3 2 2 2 2" xfId="16970" xr:uid="{E05C55E5-4FD1-4E63-8286-BA34496A7AF3}"/>
    <cellStyle name="Note 6 3 2 2 3" xfId="16971" xr:uid="{37BBB469-CF06-4292-AD59-6D705D3F34B5}"/>
    <cellStyle name="Note 6 3 2 2 4" xfId="35570" xr:uid="{DBB036FE-08BF-4E92-909C-C0719654C4A2}"/>
    <cellStyle name="Note 6 3 2 3" xfId="16972" xr:uid="{E976D68D-F9C2-456F-A511-871B918F2CEC}"/>
    <cellStyle name="Note 6 3 2 3 2" xfId="16973" xr:uid="{07C9F025-ED0A-4A86-824D-5B9B0ECFA17B}"/>
    <cellStyle name="Note 6 3 2 3 3" xfId="35571" xr:uid="{73633874-CA68-4AA7-8C46-07519AA5DCD1}"/>
    <cellStyle name="Note 6 3 2 3 4" xfId="35572" xr:uid="{94D8CC47-6E76-456C-BB47-5113B4555F79}"/>
    <cellStyle name="Note 6 3 2 4" xfId="16974" xr:uid="{E84D0B02-E7E4-4E87-BFAE-47A13FCD5CB2}"/>
    <cellStyle name="Note 6 3 2 4 2" xfId="16975" xr:uid="{091BE5DA-F8EC-49F2-8CDE-00E118E76CD6}"/>
    <cellStyle name="Note 6 3 2 4 3" xfId="35573" xr:uid="{CBE34A1F-3C36-485C-8012-8B712035B522}"/>
    <cellStyle name="Note 6 3 2 4 4" xfId="35574" xr:uid="{D32EE9EB-3EAD-4D88-A192-BB8F92C33BD6}"/>
    <cellStyle name="Note 6 3 2 5" xfId="16976" xr:uid="{DB417E73-4184-4459-95DB-A2BB08B2AC11}"/>
    <cellStyle name="Note 6 3 2 5 2" xfId="16977" xr:uid="{0B49484B-BF90-4BD1-B5D7-4BF17638B5D2}"/>
    <cellStyle name="Note 6 3 2 5 3" xfId="35575" xr:uid="{67C5F80F-2223-4C40-ACE0-B3A77FB560D4}"/>
    <cellStyle name="Note 6 3 2 5 4" xfId="35576" xr:uid="{9698C1B8-0C0D-43A6-8682-C5C28370DA31}"/>
    <cellStyle name="Note 6 3 2 6" xfId="16978" xr:uid="{D8AE0ACE-4EC3-4A69-A5AD-22DD3D7555AF}"/>
    <cellStyle name="Note 6 3 2 6 2" xfId="16979" xr:uid="{41B65E2B-0AB0-4FFE-8FD0-1103C309310E}"/>
    <cellStyle name="Note 6 3 2 6 3" xfId="35577" xr:uid="{E0F46E56-505E-4FF4-B582-A78446A7D5A3}"/>
    <cellStyle name="Note 6 3 2 6 4" xfId="35578" xr:uid="{BAC65351-2126-45B5-9925-811A4B07FAC0}"/>
    <cellStyle name="Note 6 3 2 7" xfId="16980" xr:uid="{9BEB2907-4DD5-456C-8126-C52E90985240}"/>
    <cellStyle name="Note 6 3 2 7 2" xfId="16981" xr:uid="{0C86BD58-6C09-48FC-BF66-1901E3FB23F7}"/>
    <cellStyle name="Note 6 3 2 7 3" xfId="35579" xr:uid="{3774F563-EBF7-4C2C-A279-809B78FAED06}"/>
    <cellStyle name="Note 6 3 2 7 4" xfId="35580" xr:uid="{FB7EEB56-0F5C-42B4-B9D1-055A25C8416B}"/>
    <cellStyle name="Note 6 3 2 8" xfId="16982" xr:uid="{4B39E46C-7157-4576-B7D9-F2E37AA7AD93}"/>
    <cellStyle name="Note 6 3 2 8 2" xfId="16983" xr:uid="{1C10AC32-C579-4CF4-8DEB-DDA6CCF12C02}"/>
    <cellStyle name="Note 6 3 2 8 3" xfId="35581" xr:uid="{55AFEA89-A637-4F0B-81C1-D863F4395B06}"/>
    <cellStyle name="Note 6 3 2 8 4" xfId="35582" xr:uid="{541498E4-7110-4F50-BF3C-F5BF4B1DF55C}"/>
    <cellStyle name="Note 6 3 2 9" xfId="16984" xr:uid="{E7831C1E-1B41-41DA-A00A-046FBC7537CE}"/>
    <cellStyle name="Note 6 3 2 9 2" xfId="35583" xr:uid="{F53DF0B4-A36F-4237-87A2-D6BA4100CEF6}"/>
    <cellStyle name="Note 6 3 3" xfId="16985" xr:uid="{819AD873-ECB2-4115-AAB1-4C7C91548820}"/>
    <cellStyle name="Note 6 3 3 2" xfId="16986" xr:uid="{7247612F-5440-48E3-808D-86364FE1F6DD}"/>
    <cellStyle name="Note 6 3 3 2 2" xfId="16987" xr:uid="{0C63E700-576A-4B76-B2B8-234C2AF119DF}"/>
    <cellStyle name="Note 6 3 3 3" xfId="16988" xr:uid="{60E990D9-B10C-4662-9D5B-BF70AFC63A79}"/>
    <cellStyle name="Note 6 3 3 4" xfId="35584" xr:uid="{E4950183-B27A-4D70-88A1-7201DF85D964}"/>
    <cellStyle name="Note 6 3 4" xfId="16989" xr:uid="{81D430BF-562F-4D88-AD5D-325E5A8659C2}"/>
    <cellStyle name="Note 6 3 4 2" xfId="16990" xr:uid="{254FA157-1098-40A5-9D27-4DC7DF159FCA}"/>
    <cellStyle name="Note 6 3 4 3" xfId="35585" xr:uid="{D29FA962-7B49-4A92-94A8-6CAC254A8B61}"/>
    <cellStyle name="Note 6 3 4 4" xfId="35586" xr:uid="{486891BF-DDE3-4549-82D4-A22B3BBE5EC9}"/>
    <cellStyle name="Note 6 3 5" xfId="16991" xr:uid="{6B380806-5321-4F76-B5AF-24F48D4BBABD}"/>
    <cellStyle name="Note 6 3 5 2" xfId="16992" xr:uid="{D674EF17-8650-4737-A47D-77A678C8CE12}"/>
    <cellStyle name="Note 6 3 5 3" xfId="35587" xr:uid="{1D9E4E4B-56E3-4210-8907-9B9D3C848058}"/>
    <cellStyle name="Note 6 3 5 4" xfId="35588" xr:uid="{0051E9D3-CF04-4020-BAA4-5BB584BE9BDC}"/>
    <cellStyle name="Note 6 3 6" xfId="16993" xr:uid="{E2426CED-73D6-4461-A2C7-B8F2282E575C}"/>
    <cellStyle name="Note 6 3 6 2" xfId="16994" xr:uid="{5E4E99D8-2C15-47ED-B214-61D7F5863E40}"/>
    <cellStyle name="Note 6 3 6 3" xfId="35589" xr:uid="{D13A2A4E-63DA-4159-9BF5-51F47F8ED7AD}"/>
    <cellStyle name="Note 6 3 6 4" xfId="35590" xr:uid="{F6734569-F180-44D2-AB55-17052D08C718}"/>
    <cellStyle name="Note 6 3 7" xfId="16995" xr:uid="{0E6E806B-6135-4900-B98F-FEE38A2A8B81}"/>
    <cellStyle name="Note 6 3 7 2" xfId="16996" xr:uid="{E9A67C84-1D80-418C-90EF-CFC936E69EC4}"/>
    <cellStyle name="Note 6 3 7 3" xfId="35591" xr:uid="{6ABB49E7-A859-47C8-A025-3C5BCB14EB86}"/>
    <cellStyle name="Note 6 3 7 4" xfId="35592" xr:uid="{A06DD6D4-E25B-423A-9C47-7ABF3802C661}"/>
    <cellStyle name="Note 6 3 8" xfId="16997" xr:uid="{07C9547E-1E29-413C-98A5-F5E169A19BBB}"/>
    <cellStyle name="Note 6 3 8 2" xfId="16998" xr:uid="{D5D5735B-B96A-4D00-93FD-77A3AEA4411A}"/>
    <cellStyle name="Note 6 3 8 3" xfId="35593" xr:uid="{A2515378-BE56-4B93-A129-82C85E1057CF}"/>
    <cellStyle name="Note 6 3 8 4" xfId="35594" xr:uid="{CDE62FD4-02D5-4A77-8475-B56E5505AFC2}"/>
    <cellStyle name="Note 6 3 9" xfId="16999" xr:uid="{CC887EB7-07EE-4A2C-BAFC-0D02C78E29A9}"/>
    <cellStyle name="Note 6 3 9 2" xfId="17000" xr:uid="{50C98764-F8B6-4CB5-AD6E-478903FDBDF2}"/>
    <cellStyle name="Note 6 3 9 3" xfId="35595" xr:uid="{9316B82F-C20F-4574-8680-8AE3FD2D6513}"/>
    <cellStyle name="Note 6 3 9 4" xfId="35596" xr:uid="{FCAAB5B0-10BF-423B-A496-850D451057EA}"/>
    <cellStyle name="Note 6 3_ELC_final" xfId="35597" xr:uid="{47D97856-A79A-420F-9136-2798736DCBAA}"/>
    <cellStyle name="Note 6 4" xfId="17001" xr:uid="{44CA4544-5AE4-4CBB-9E95-30C4C81B87B5}"/>
    <cellStyle name="Note 6 4 10" xfId="17002" xr:uid="{D5C1EAE7-4686-4194-A857-DDB45F157E9A}"/>
    <cellStyle name="Note 6 4 10 2" xfId="35598" xr:uid="{8B399EE1-A815-4139-9BC5-06092490F03F}"/>
    <cellStyle name="Note 6 4 11" xfId="17003" xr:uid="{7A2CA6E4-923D-46F7-8789-B18F1F064558}"/>
    <cellStyle name="Note 6 4 11 2" xfId="35599" xr:uid="{80518E8C-7B6D-4555-83E5-874FA59922EA}"/>
    <cellStyle name="Note 6 4 12" xfId="35600" xr:uid="{4AAF067B-FED1-4C2F-B4DD-1E517F5E5FF8}"/>
    <cellStyle name="Note 6 4 13" xfId="35601" xr:uid="{274D5CF3-26FA-4BFE-B953-DF6A5068510F}"/>
    <cellStyle name="Note 6 4 2" xfId="17004" xr:uid="{2577D713-3AF7-46B9-832E-37F7CF58AB75}"/>
    <cellStyle name="Note 6 4 2 10" xfId="17005" xr:uid="{E6B7BC99-357C-4F32-8666-0BD0B0AE462D}"/>
    <cellStyle name="Note 6 4 2 10 2" xfId="35602" xr:uid="{26F80320-EF99-43A5-BCA6-9FC59FD46C72}"/>
    <cellStyle name="Note 6 4 2 11" xfId="35603" xr:uid="{5275734E-93C9-4E8A-9F62-DAD466339C6D}"/>
    <cellStyle name="Note 6 4 2 2" xfId="17006" xr:uid="{91893902-AF0D-4C7B-9F38-E882F2CED4F6}"/>
    <cellStyle name="Note 6 4 2 2 2" xfId="17007" xr:uid="{58B3E961-1B49-4064-B637-5A60D349DB5F}"/>
    <cellStyle name="Note 6 4 2 2 2 2" xfId="17008" xr:uid="{EE822625-79E4-4663-AF6F-90C3F3873ECD}"/>
    <cellStyle name="Note 6 4 2 2 3" xfId="17009" xr:uid="{E80F3CBA-A99F-4957-BC88-91D30A3FDA6E}"/>
    <cellStyle name="Note 6 4 2 2 4" xfId="35604" xr:uid="{06B3544A-00AD-4195-8C02-49D0AFFEE9E3}"/>
    <cellStyle name="Note 6 4 2 3" xfId="17010" xr:uid="{7DED7D0C-0CF0-4CB8-98C1-317D85EDD80A}"/>
    <cellStyle name="Note 6 4 2 3 2" xfId="17011" xr:uid="{4B59DA33-4AB8-4451-8D01-8A9AB1DE7505}"/>
    <cellStyle name="Note 6 4 2 3 3" xfId="35605" xr:uid="{88CBBCDF-10D4-4FD8-854F-911B09F568FA}"/>
    <cellStyle name="Note 6 4 2 3 4" xfId="35606" xr:uid="{0B429815-43BA-458F-8262-9EB0D776E50D}"/>
    <cellStyle name="Note 6 4 2 4" xfId="17012" xr:uid="{2822897D-C7E3-4965-A916-EC2DB2155CC8}"/>
    <cellStyle name="Note 6 4 2 4 2" xfId="17013" xr:uid="{986C6644-074B-4533-99AE-D238F3924A1C}"/>
    <cellStyle name="Note 6 4 2 4 3" xfId="35607" xr:uid="{0959072D-501F-48F4-8D84-A86ADDD2F1EE}"/>
    <cellStyle name="Note 6 4 2 4 4" xfId="35608" xr:uid="{F6C14E6F-FBCF-40AD-9F7E-B54DF4C269BC}"/>
    <cellStyle name="Note 6 4 2 5" xfId="17014" xr:uid="{4D1AB5D0-8063-4D2A-9582-DD1CFCD2253F}"/>
    <cellStyle name="Note 6 4 2 5 2" xfId="17015" xr:uid="{922471FD-52E3-4387-950F-4092426B356A}"/>
    <cellStyle name="Note 6 4 2 5 3" xfId="35609" xr:uid="{CDB266E9-E7B5-42B2-BD2F-2E374196A1D6}"/>
    <cellStyle name="Note 6 4 2 5 4" xfId="35610" xr:uid="{17B1BC41-3980-4091-8A2B-96D2CCBB4AEC}"/>
    <cellStyle name="Note 6 4 2 6" xfId="17016" xr:uid="{13F01C1C-5128-48BC-BEC9-9F268D578175}"/>
    <cellStyle name="Note 6 4 2 6 2" xfId="17017" xr:uid="{590CA1C9-D782-4589-AA8D-E64508F061EB}"/>
    <cellStyle name="Note 6 4 2 6 3" xfId="35611" xr:uid="{0DDA4EAA-3E17-4FB3-A154-5E219C6C2C2D}"/>
    <cellStyle name="Note 6 4 2 6 4" xfId="35612" xr:uid="{A02C3FA0-AD8D-47B2-906E-45BB4B36976E}"/>
    <cellStyle name="Note 6 4 2 7" xfId="17018" xr:uid="{FDE40357-1CAC-40BC-8F96-2632CBBC93B0}"/>
    <cellStyle name="Note 6 4 2 7 2" xfId="17019" xr:uid="{8FD68BA4-0A70-4B58-9D3B-B74F4218C57B}"/>
    <cellStyle name="Note 6 4 2 7 3" xfId="35613" xr:uid="{E3A1725B-889F-46FF-BE41-CE82E5B7EA6B}"/>
    <cellStyle name="Note 6 4 2 7 4" xfId="35614" xr:uid="{CB82C28E-13A3-4FB5-86DF-8C2EB63673E8}"/>
    <cellStyle name="Note 6 4 2 8" xfId="17020" xr:uid="{66197454-B7E5-47E0-BC78-B5D91F12AFBA}"/>
    <cellStyle name="Note 6 4 2 8 2" xfId="17021" xr:uid="{C66720FF-10F5-498E-B96D-86B42FCE61DA}"/>
    <cellStyle name="Note 6 4 2 8 3" xfId="35615" xr:uid="{ECE630EF-0228-47B0-9E9E-FBAFC7025391}"/>
    <cellStyle name="Note 6 4 2 8 4" xfId="35616" xr:uid="{DFABFAAA-B752-4EAD-AE9A-52EA8BBF7539}"/>
    <cellStyle name="Note 6 4 2 9" xfId="17022" xr:uid="{06CB74E6-DEFC-4BBF-9033-5C2B7E9C365F}"/>
    <cellStyle name="Note 6 4 2 9 2" xfId="35617" xr:uid="{C478328D-2B7A-4382-9CB8-DE6FAB8FA993}"/>
    <cellStyle name="Note 6 4 3" xfId="17023" xr:uid="{D8999588-2708-4E5E-9AAD-93A539CFE68B}"/>
    <cellStyle name="Note 6 4 3 2" xfId="17024" xr:uid="{06418F6E-B0DE-4228-A67B-DD66774DE687}"/>
    <cellStyle name="Note 6 4 3 2 2" xfId="17025" xr:uid="{58B717F3-BF8E-4D79-AFBD-434258DE5596}"/>
    <cellStyle name="Note 6 4 3 3" xfId="17026" xr:uid="{37F4F0AB-C56D-4FD5-A28C-D8F344A3361F}"/>
    <cellStyle name="Note 6 4 3 4" xfId="35618" xr:uid="{92303F8D-9C1E-4E37-A662-8F4F3074D545}"/>
    <cellStyle name="Note 6 4 4" xfId="17027" xr:uid="{4BD81F33-1002-4F50-A5A6-2AA7EBA6069B}"/>
    <cellStyle name="Note 6 4 4 2" xfId="17028" xr:uid="{D66E9FB2-C619-4ECC-A151-AE9C71E21136}"/>
    <cellStyle name="Note 6 4 4 3" xfId="35619" xr:uid="{37C71097-EB54-48FA-A533-338DBEEF4969}"/>
    <cellStyle name="Note 6 4 4 4" xfId="35620" xr:uid="{0C57BE0A-49B7-4DB2-9F0D-1BD4ABC6724F}"/>
    <cellStyle name="Note 6 4 5" xfId="17029" xr:uid="{34290E14-70E6-41F2-A1E9-3D70617D1361}"/>
    <cellStyle name="Note 6 4 5 2" xfId="17030" xr:uid="{2F5B0404-0F71-4465-807C-46ACCBA681AE}"/>
    <cellStyle name="Note 6 4 5 3" xfId="35621" xr:uid="{013DE150-8E59-4830-A901-E2052E779736}"/>
    <cellStyle name="Note 6 4 5 4" xfId="35622" xr:uid="{A6A31EA0-5176-4A05-8D3D-79BC23C31B36}"/>
    <cellStyle name="Note 6 4 6" xfId="17031" xr:uid="{5D02FAB2-7A9E-410E-BD4F-60DA305AE22B}"/>
    <cellStyle name="Note 6 4 6 2" xfId="17032" xr:uid="{B7630804-D83B-49F5-9C7D-FC2B8C8DAE6C}"/>
    <cellStyle name="Note 6 4 6 3" xfId="35623" xr:uid="{75853B99-DADF-4418-A5A6-5A86041E2403}"/>
    <cellStyle name="Note 6 4 6 4" xfId="35624" xr:uid="{DC82F8A2-543A-413B-ABC6-9744563CFE98}"/>
    <cellStyle name="Note 6 4 7" xfId="17033" xr:uid="{A1F5E537-C7EA-45EB-BE0E-B40A88BB51AC}"/>
    <cellStyle name="Note 6 4 7 2" xfId="17034" xr:uid="{C8764CAE-83FC-4E75-8782-4C829DEBFC74}"/>
    <cellStyle name="Note 6 4 7 3" xfId="35625" xr:uid="{E4EE7FF5-1C1E-4215-806F-079142385C69}"/>
    <cellStyle name="Note 6 4 7 4" xfId="35626" xr:uid="{99E79416-11AF-4EC9-925C-705D59EAE774}"/>
    <cellStyle name="Note 6 4 8" xfId="17035" xr:uid="{58FBFA8B-EB6C-4652-97D0-85E6A42B7423}"/>
    <cellStyle name="Note 6 4 8 2" xfId="17036" xr:uid="{418E3C92-463B-41FF-B6C5-4B7F46947489}"/>
    <cellStyle name="Note 6 4 8 3" xfId="35627" xr:uid="{1FB88D6C-0AFB-468E-B84F-3C5C8FB6868F}"/>
    <cellStyle name="Note 6 4 8 4" xfId="35628" xr:uid="{BF9589E8-517C-4571-B447-3B673CEE570A}"/>
    <cellStyle name="Note 6 4 9" xfId="17037" xr:uid="{184A31C8-30A2-41D7-B612-71E6C22C657C}"/>
    <cellStyle name="Note 6 4 9 2" xfId="17038" xr:uid="{33FD96BF-690E-4638-90AA-26FFA758FBD2}"/>
    <cellStyle name="Note 6 4 9 3" xfId="35629" xr:uid="{ACF3794B-A5F3-4674-B476-FE1F29201173}"/>
    <cellStyle name="Note 6 4 9 4" xfId="35630" xr:uid="{DF09020E-D934-4E08-8130-C82F719D9EB4}"/>
    <cellStyle name="Note 6 5" xfId="17039" xr:uid="{301C6BF4-7489-45C1-AC7E-4BFC3F92392B}"/>
    <cellStyle name="Note 6 5 10" xfId="17040" xr:uid="{52D7852A-C6F9-4207-8257-E2169DB53E86}"/>
    <cellStyle name="Note 6 5 10 2" xfId="35631" xr:uid="{44A1EDC7-96DD-4AA2-BF74-A2B44D3B7169}"/>
    <cellStyle name="Note 6 5 11" xfId="17041" xr:uid="{DA847194-0ECE-4B1D-BA6C-39DE15A864DA}"/>
    <cellStyle name="Note 6 5 11 2" xfId="35632" xr:uid="{80F9D615-96E3-4180-AE06-E0B5675BEEBF}"/>
    <cellStyle name="Note 6 5 12" xfId="35633" xr:uid="{3B535E52-D40F-4CF3-A098-4ADE2A7D3B30}"/>
    <cellStyle name="Note 6 5 2" xfId="17042" xr:uid="{A4067783-0412-47DD-9289-AF414FCC37DC}"/>
    <cellStyle name="Note 6 5 2 10" xfId="17043" xr:uid="{DFEB8D08-CB93-4D26-BB40-90BAD91C68F1}"/>
    <cellStyle name="Note 6 5 2 10 2" xfId="35634" xr:uid="{EF8EB197-05E2-4CDC-8ACB-F5C07DC31C49}"/>
    <cellStyle name="Note 6 5 2 11" xfId="35635" xr:uid="{894B3564-42C7-45AC-B0EB-44561C1891C4}"/>
    <cellStyle name="Note 6 5 2 2" xfId="17044" xr:uid="{0C8C9223-59B7-4633-B0DD-B36DD58DABC2}"/>
    <cellStyle name="Note 6 5 2 2 2" xfId="17045" xr:uid="{8BAE98E9-69CC-4B23-8CEB-DFE549763CA2}"/>
    <cellStyle name="Note 6 5 2 2 2 2" xfId="17046" xr:uid="{53D10205-2496-42D6-9A4F-89B3E6585313}"/>
    <cellStyle name="Note 6 5 2 2 3" xfId="17047" xr:uid="{C6B92652-CBDB-4638-B63C-7806B7F3E3A9}"/>
    <cellStyle name="Note 6 5 2 2 4" xfId="35636" xr:uid="{146F1279-782E-4674-AAE0-6ED97FBB71AE}"/>
    <cellStyle name="Note 6 5 2 3" xfId="17048" xr:uid="{F0478CC1-EA23-427B-A734-228769172FCF}"/>
    <cellStyle name="Note 6 5 2 3 2" xfId="17049" xr:uid="{20405305-A2BB-450D-8366-D6885B017323}"/>
    <cellStyle name="Note 6 5 2 3 3" xfId="35637" xr:uid="{D990E901-1E10-4DA4-B621-AD22E920DBC7}"/>
    <cellStyle name="Note 6 5 2 3 4" xfId="35638" xr:uid="{64A1F7B9-53BF-49E7-8C3A-44E93789DFE4}"/>
    <cellStyle name="Note 6 5 2 4" xfId="17050" xr:uid="{3692910B-466C-4587-817E-E7455A14BB1E}"/>
    <cellStyle name="Note 6 5 2 4 2" xfId="17051" xr:uid="{12681CEF-CED3-44F1-993E-F00CCFEC10B5}"/>
    <cellStyle name="Note 6 5 2 4 3" xfId="35639" xr:uid="{024DE055-407C-49F2-84A6-420E5500919C}"/>
    <cellStyle name="Note 6 5 2 4 4" xfId="35640" xr:uid="{09E85C2F-6FD3-400A-A67A-BBAB044C789F}"/>
    <cellStyle name="Note 6 5 2 5" xfId="17052" xr:uid="{11D5BE03-79E2-413E-A32A-8EBCB9192009}"/>
    <cellStyle name="Note 6 5 2 5 2" xfId="17053" xr:uid="{BEF606F6-B796-41B6-887F-8B3E708F5BC7}"/>
    <cellStyle name="Note 6 5 2 5 3" xfId="35641" xr:uid="{8CB07EB7-2BEF-44F6-A6EE-3A9490445BA6}"/>
    <cellStyle name="Note 6 5 2 5 4" xfId="35642" xr:uid="{78480DFD-CFE0-41B9-83DC-D5F8F94253D6}"/>
    <cellStyle name="Note 6 5 2 6" xfId="17054" xr:uid="{1ECD85B5-1A8A-4B01-AA3C-925563EE8CEC}"/>
    <cellStyle name="Note 6 5 2 6 2" xfId="17055" xr:uid="{4A5BAA26-B1BB-41FD-B5C3-403A1913A973}"/>
    <cellStyle name="Note 6 5 2 6 3" xfId="35643" xr:uid="{EE57B77A-8FD2-492A-AE5C-58FCE7CE626C}"/>
    <cellStyle name="Note 6 5 2 6 4" xfId="35644" xr:uid="{1D60152C-EC1A-45B0-AC59-4ADCAE75046E}"/>
    <cellStyle name="Note 6 5 2 7" xfId="17056" xr:uid="{53D93A00-4985-4D0C-B273-E4255832C958}"/>
    <cellStyle name="Note 6 5 2 7 2" xfId="17057" xr:uid="{0ECFC402-8D2A-47EE-85D3-1BAF9CB2B7A7}"/>
    <cellStyle name="Note 6 5 2 7 3" xfId="35645" xr:uid="{EA6D1FB5-B87D-4FA5-A418-E401F529BAEF}"/>
    <cellStyle name="Note 6 5 2 7 4" xfId="35646" xr:uid="{327639EA-81C3-4C32-8FFC-B47565A7642C}"/>
    <cellStyle name="Note 6 5 2 8" xfId="17058" xr:uid="{CAA5D7BB-050C-450A-91FE-C8B784FFC657}"/>
    <cellStyle name="Note 6 5 2 8 2" xfId="17059" xr:uid="{9833E864-F763-4B42-A153-CF7C8529AFED}"/>
    <cellStyle name="Note 6 5 2 8 3" xfId="35647" xr:uid="{354CA261-4E68-4831-9AC1-3546032180D4}"/>
    <cellStyle name="Note 6 5 2 8 4" xfId="35648" xr:uid="{BDB93570-6F58-4DAC-9070-44FD126D2142}"/>
    <cellStyle name="Note 6 5 2 9" xfId="17060" xr:uid="{AC78CCF4-B2E2-44FD-9D58-5365CA1C187C}"/>
    <cellStyle name="Note 6 5 2 9 2" xfId="35649" xr:uid="{251AF0F9-751B-42AE-99D6-C077B536A13E}"/>
    <cellStyle name="Note 6 5 3" xfId="17061" xr:uid="{1F836052-34E1-469C-8FB7-5ECD1B1AB602}"/>
    <cellStyle name="Note 6 5 3 2" xfId="17062" xr:uid="{2B6CE1B4-52EB-4D8E-9623-DA3AF5D01CEC}"/>
    <cellStyle name="Note 6 5 3 2 2" xfId="17063" xr:uid="{94486818-E968-4423-BD03-BC273AE14E5F}"/>
    <cellStyle name="Note 6 5 3 3" xfId="17064" xr:uid="{6C25449F-C502-4E9F-AFF1-FB627EF03537}"/>
    <cellStyle name="Note 6 5 3 4" xfId="35650" xr:uid="{75250EF1-63D8-4730-83E4-8CFB0A907702}"/>
    <cellStyle name="Note 6 5 4" xfId="17065" xr:uid="{96AAD223-F987-41B5-B6DC-038050D9CB1C}"/>
    <cellStyle name="Note 6 5 4 2" xfId="17066" xr:uid="{C500D6AB-3926-4090-87C8-D74E0770EA63}"/>
    <cellStyle name="Note 6 5 4 3" xfId="35651" xr:uid="{474C3F61-1752-4AFF-B953-070328C3B747}"/>
    <cellStyle name="Note 6 5 4 4" xfId="35652" xr:uid="{B29718DF-488D-417E-959B-A17991CCA511}"/>
    <cellStyle name="Note 6 5 5" xfId="17067" xr:uid="{191E23C8-969D-46F8-88B8-7436DBE14666}"/>
    <cellStyle name="Note 6 5 5 2" xfId="17068" xr:uid="{35E35CF1-F26B-4550-97D1-F6F35C8CB312}"/>
    <cellStyle name="Note 6 5 5 3" xfId="35653" xr:uid="{DDD407B5-FB5A-4424-BF5E-27166ABB3619}"/>
    <cellStyle name="Note 6 5 5 4" xfId="35654" xr:uid="{14DEA504-0D60-4BC9-A14E-4E78BA9B5427}"/>
    <cellStyle name="Note 6 5 6" xfId="17069" xr:uid="{F02BE776-8EC0-471D-855A-7B647F08B665}"/>
    <cellStyle name="Note 6 5 6 2" xfId="17070" xr:uid="{CC8FEE38-0D9B-43F2-A305-369EC1D9E252}"/>
    <cellStyle name="Note 6 5 6 3" xfId="35655" xr:uid="{CE0974AF-855C-4F8C-B643-224CC7DB9850}"/>
    <cellStyle name="Note 6 5 6 4" xfId="35656" xr:uid="{E1B855CB-2ABD-4DB3-B26C-7613849185A8}"/>
    <cellStyle name="Note 6 5 7" xfId="17071" xr:uid="{883E8F4F-99B7-4270-8B1B-4C2DD9C66DC3}"/>
    <cellStyle name="Note 6 5 7 2" xfId="17072" xr:uid="{02098826-FB7F-43D6-B3E4-71FA3E687E3F}"/>
    <cellStyle name="Note 6 5 7 3" xfId="35657" xr:uid="{521B19FF-7198-4B4A-A710-23B89A72A5DE}"/>
    <cellStyle name="Note 6 5 7 4" xfId="35658" xr:uid="{9BFE5799-0758-440B-939D-054A64C206CA}"/>
    <cellStyle name="Note 6 5 8" xfId="17073" xr:uid="{8F4B9621-5A5F-4200-B023-36C5514A7B2D}"/>
    <cellStyle name="Note 6 5 8 2" xfId="17074" xr:uid="{8732C4A1-9270-4065-B3AF-D1CDEF5F7B68}"/>
    <cellStyle name="Note 6 5 8 3" xfId="35659" xr:uid="{2DE8726A-16E1-45B9-A767-233857AADA29}"/>
    <cellStyle name="Note 6 5 8 4" xfId="35660" xr:uid="{64FEDC4D-3FB0-4D66-B69B-5CDD35C7C9E2}"/>
    <cellStyle name="Note 6 5 9" xfId="17075" xr:uid="{3758AC3B-1273-4F9C-A3D8-E1E870AEB6A9}"/>
    <cellStyle name="Note 6 5 9 2" xfId="17076" xr:uid="{FB98053B-A4EC-4402-8F50-1CCFB5A71A88}"/>
    <cellStyle name="Note 6 5 9 3" xfId="35661" xr:uid="{95E61991-822B-43CB-A713-D69516288F6F}"/>
    <cellStyle name="Note 6 5 9 4" xfId="35662" xr:uid="{CCB84BD6-EB10-49B1-B3A3-0EE4721B99E6}"/>
    <cellStyle name="Note 6 6" xfId="17077" xr:uid="{3DED17A9-10B1-4BBC-A817-A7D68E2D3D22}"/>
    <cellStyle name="Note 6 6 10" xfId="17078" xr:uid="{A7998309-3A8C-4193-8B65-77AF16652EDD}"/>
    <cellStyle name="Note 6 6 10 2" xfId="35663" xr:uid="{D866E656-EC41-4E5F-8691-A708CA9BCA1F}"/>
    <cellStyle name="Note 6 6 11" xfId="17079" xr:uid="{9629EF72-D060-417D-8C3F-EDB0E0DFA332}"/>
    <cellStyle name="Note 6 6 11 2" xfId="35664" xr:uid="{F4BCEC0B-00DE-46C3-ADF9-F72238BB4785}"/>
    <cellStyle name="Note 6 6 12" xfId="35665" xr:uid="{2E872AEE-3993-41B9-8E3B-449145F304B5}"/>
    <cellStyle name="Note 6 6 2" xfId="17080" xr:uid="{62354FF4-C9F7-47C1-A238-E9E426DBAF5F}"/>
    <cellStyle name="Note 6 6 2 10" xfId="17081" xr:uid="{7CD1DBBF-58AE-46DC-BFF1-A7F4A5270DAC}"/>
    <cellStyle name="Note 6 6 2 10 2" xfId="35666" xr:uid="{D64643AF-5214-4FCA-9675-D3551B2C3E28}"/>
    <cellStyle name="Note 6 6 2 11" xfId="35667" xr:uid="{705AA8A0-1530-4F5A-99DC-A420D87AB11A}"/>
    <cellStyle name="Note 6 6 2 2" xfId="17082" xr:uid="{C954C886-BD61-4F43-A574-57118DAF0348}"/>
    <cellStyle name="Note 6 6 2 2 2" xfId="17083" xr:uid="{30D800D9-BCC3-4FB0-BEF9-F66636FA16BB}"/>
    <cellStyle name="Note 6 6 2 2 2 2" xfId="17084" xr:uid="{9B3D44F9-608C-4654-9A2F-40A63E4F48BB}"/>
    <cellStyle name="Note 6 6 2 2 3" xfId="17085" xr:uid="{4DF0EE76-2935-4270-A36C-84A91EEF7769}"/>
    <cellStyle name="Note 6 6 2 2 4" xfId="35668" xr:uid="{469E4CA7-5BA5-4C1D-AFF0-6E62CC1F224D}"/>
    <cellStyle name="Note 6 6 2 3" xfId="17086" xr:uid="{901867B3-8148-413C-BEFD-2EF6B824B1F5}"/>
    <cellStyle name="Note 6 6 2 3 2" xfId="17087" xr:uid="{64B0677D-0FE1-4A3A-AE3D-57BED1E36CA2}"/>
    <cellStyle name="Note 6 6 2 3 3" xfId="35669" xr:uid="{CF67C208-DAB0-4AC2-8626-2CEC1B176428}"/>
    <cellStyle name="Note 6 6 2 3 4" xfId="35670" xr:uid="{7CD7B659-26BF-4518-A6AE-207CB89D2E1A}"/>
    <cellStyle name="Note 6 6 2 4" xfId="17088" xr:uid="{CE524B65-AA40-4CB7-806A-AB8538C13A44}"/>
    <cellStyle name="Note 6 6 2 4 2" xfId="17089" xr:uid="{9BE639E1-67BD-45A0-A501-E7CA0AADFCBA}"/>
    <cellStyle name="Note 6 6 2 4 3" xfId="35671" xr:uid="{D629CCA4-BD55-4E3C-9E78-38FB7FBC230A}"/>
    <cellStyle name="Note 6 6 2 4 4" xfId="35672" xr:uid="{6E0EA783-7A50-4919-8B7E-43AF7CEFA590}"/>
    <cellStyle name="Note 6 6 2 5" xfId="17090" xr:uid="{ACC9C831-8322-40D3-98ED-9C6D0DD859BD}"/>
    <cellStyle name="Note 6 6 2 5 2" xfId="17091" xr:uid="{67502FA8-2ABB-4343-9642-B5DF53F937D7}"/>
    <cellStyle name="Note 6 6 2 5 3" xfId="35673" xr:uid="{92F97A7E-A124-4A66-86A4-E14462484EAF}"/>
    <cellStyle name="Note 6 6 2 5 4" xfId="35674" xr:uid="{6276E7C6-2D50-494C-8625-F57745DF1834}"/>
    <cellStyle name="Note 6 6 2 6" xfId="17092" xr:uid="{2ED793AE-5831-49DD-AAB5-84D504EED500}"/>
    <cellStyle name="Note 6 6 2 6 2" xfId="17093" xr:uid="{2BEBB5C6-3312-41B7-8E32-925C6350699E}"/>
    <cellStyle name="Note 6 6 2 6 3" xfId="35675" xr:uid="{F198C13F-15C4-44CD-ACAF-FC573CAFB4CE}"/>
    <cellStyle name="Note 6 6 2 6 4" xfId="35676" xr:uid="{2EFB44FD-9243-4803-9CF6-5EEE323367A0}"/>
    <cellStyle name="Note 6 6 2 7" xfId="17094" xr:uid="{9D721E9E-A038-4ADE-8626-8AFC6CAC562C}"/>
    <cellStyle name="Note 6 6 2 7 2" xfId="17095" xr:uid="{89DFBE0C-1CAE-490D-AD98-3E614E523474}"/>
    <cellStyle name="Note 6 6 2 7 3" xfId="35677" xr:uid="{59D54D2A-7D6F-43EB-A998-F7727B6228EA}"/>
    <cellStyle name="Note 6 6 2 7 4" xfId="35678" xr:uid="{563A8AED-4B87-49D2-8130-3B008E55D686}"/>
    <cellStyle name="Note 6 6 2 8" xfId="17096" xr:uid="{00BD7C25-2998-4B50-A402-661109FDB590}"/>
    <cellStyle name="Note 6 6 2 8 2" xfId="17097" xr:uid="{50A8E3E8-373A-470B-B111-6726B6DADF44}"/>
    <cellStyle name="Note 6 6 2 8 3" xfId="35679" xr:uid="{4B7A5D46-B495-49C2-8976-9137CEF4B80C}"/>
    <cellStyle name="Note 6 6 2 8 4" xfId="35680" xr:uid="{B0789DB4-89A1-45B1-AB0F-4C55F119031A}"/>
    <cellStyle name="Note 6 6 2 9" xfId="17098" xr:uid="{F0B5AA8D-3987-4263-A04C-DE00D38E7381}"/>
    <cellStyle name="Note 6 6 2 9 2" xfId="35681" xr:uid="{A721D42B-C0F1-4EC5-9FBC-F65D108D2268}"/>
    <cellStyle name="Note 6 6 3" xfId="17099" xr:uid="{A163B76B-59D0-4FAC-8168-FCC019E69B56}"/>
    <cellStyle name="Note 6 6 3 2" xfId="17100" xr:uid="{CD7BFC1F-FC40-4002-A41B-3377A363C7EA}"/>
    <cellStyle name="Note 6 6 3 2 2" xfId="17101" xr:uid="{4BA47CF0-8DFD-461A-97D0-42A7E1552E25}"/>
    <cellStyle name="Note 6 6 3 3" xfId="17102" xr:uid="{713A798A-E957-44C1-94FA-6ADA7A2B93FC}"/>
    <cellStyle name="Note 6 6 3 4" xfId="35682" xr:uid="{8A390545-C83B-45A8-A482-F2E1D4416BE9}"/>
    <cellStyle name="Note 6 6 4" xfId="17103" xr:uid="{EA3EE194-AEF3-4000-A269-3DF33FD1E158}"/>
    <cellStyle name="Note 6 6 4 2" xfId="17104" xr:uid="{B9F37BDA-A326-478E-85F9-4948716CCC58}"/>
    <cellStyle name="Note 6 6 4 3" xfId="35683" xr:uid="{54D42446-9A10-4E25-B7B0-BD1839BE6C70}"/>
    <cellStyle name="Note 6 6 4 4" xfId="35684" xr:uid="{28D346E7-1CE0-4433-A492-C5F2EF2B0AD4}"/>
    <cellStyle name="Note 6 6 5" xfId="17105" xr:uid="{DD013A14-96E8-4A03-B669-411016166536}"/>
    <cellStyle name="Note 6 6 5 2" xfId="17106" xr:uid="{8E7492CD-E44F-4936-B1B9-715B1EAC0312}"/>
    <cellStyle name="Note 6 6 5 3" xfId="35685" xr:uid="{37A1DC02-5D5C-4FC9-BCC8-BA3CBCE74134}"/>
    <cellStyle name="Note 6 6 5 4" xfId="35686" xr:uid="{20861A7B-66F6-47D1-94AC-028D6F8B59C7}"/>
    <cellStyle name="Note 6 6 6" xfId="17107" xr:uid="{D99ED3C0-1522-468C-BEC4-1C5E7DC3E58B}"/>
    <cellStyle name="Note 6 6 6 2" xfId="17108" xr:uid="{77D25DD9-B66A-401A-BE95-2C2F2EBA1A92}"/>
    <cellStyle name="Note 6 6 6 3" xfId="35687" xr:uid="{E0F483B5-C11E-4C7A-92DD-C1E1EE0B59F3}"/>
    <cellStyle name="Note 6 6 6 4" xfId="35688" xr:uid="{19712539-28D0-455B-8F52-8958F6AF7971}"/>
    <cellStyle name="Note 6 6 7" xfId="17109" xr:uid="{01DB5F22-84E3-4F57-989A-B51785EB9332}"/>
    <cellStyle name="Note 6 6 7 2" xfId="17110" xr:uid="{020B4077-522E-4D06-BB74-B2282016CE6D}"/>
    <cellStyle name="Note 6 6 7 3" xfId="35689" xr:uid="{F583946C-5E17-4E87-8F21-3683D30ADBEB}"/>
    <cellStyle name="Note 6 6 7 4" xfId="35690" xr:uid="{57080CB5-B341-44E7-9BCC-A1A3B32C891A}"/>
    <cellStyle name="Note 6 6 8" xfId="17111" xr:uid="{F6A9058C-D4E5-4B06-AC94-6217DD8EB3D4}"/>
    <cellStyle name="Note 6 6 8 2" xfId="17112" xr:uid="{31B5E2F3-61F2-4BA7-B92C-0122D623C3FD}"/>
    <cellStyle name="Note 6 6 8 3" xfId="35691" xr:uid="{97402FCE-58B4-4848-9B92-D1D3D8B7FDCE}"/>
    <cellStyle name="Note 6 6 8 4" xfId="35692" xr:uid="{1AAD55DF-810E-4068-A3DC-5952E9EB7022}"/>
    <cellStyle name="Note 6 6 9" xfId="17113" xr:uid="{D865EA39-B736-4F0C-AA1F-2B7617CAAB6C}"/>
    <cellStyle name="Note 6 6 9 2" xfId="17114" xr:uid="{280DC189-1009-47C3-8012-3F0D2C497AE8}"/>
    <cellStyle name="Note 6 6 9 3" xfId="35693" xr:uid="{CE6B2647-F04A-4D5B-A6AA-ED484ABDB623}"/>
    <cellStyle name="Note 6 6 9 4" xfId="35694" xr:uid="{21555922-B43B-4794-9E31-918FE9D76B84}"/>
    <cellStyle name="Note 6 7" xfId="17115" xr:uid="{1EC3AAE9-D7DE-4AC1-80CC-E8124E7DB3B9}"/>
    <cellStyle name="Note 6 7 10" xfId="17116" xr:uid="{8A6F1CEB-C199-416A-9DB3-888AC857B373}"/>
    <cellStyle name="Note 6 7 10 2" xfId="35695" xr:uid="{595111F0-99E5-4852-B33D-2B9A81B75211}"/>
    <cellStyle name="Note 6 7 11" xfId="17117" xr:uid="{901CF043-F332-4538-81EA-562FFED7F683}"/>
    <cellStyle name="Note 6 7 11 2" xfId="35696" xr:uid="{2B4FEFA7-B9BD-4DC9-A1DB-55BD2255F901}"/>
    <cellStyle name="Note 6 7 12" xfId="35697" xr:uid="{184EBF5C-2BE2-41F9-B9CD-DA13FD38C592}"/>
    <cellStyle name="Note 6 7 2" xfId="17118" xr:uid="{FDAAFB17-7C68-4572-BD23-C299BE57E965}"/>
    <cellStyle name="Note 6 7 2 10" xfId="17119" xr:uid="{D3AB8817-CE70-4299-BC18-E35AE0228074}"/>
    <cellStyle name="Note 6 7 2 10 2" xfId="35698" xr:uid="{603ED4F9-810B-40AB-9504-CFEFAD530166}"/>
    <cellStyle name="Note 6 7 2 11" xfId="35699" xr:uid="{72600D13-58F4-44EB-AC1D-9B60AD8CDE0E}"/>
    <cellStyle name="Note 6 7 2 2" xfId="17120" xr:uid="{2FA90DA6-5CEE-4324-AE30-51209CCDA833}"/>
    <cellStyle name="Note 6 7 2 2 2" xfId="17121" xr:uid="{FF74EDA2-44A1-4EAB-8D06-A0FE911EDF39}"/>
    <cellStyle name="Note 6 7 2 2 2 2" xfId="17122" xr:uid="{F5317378-E2B7-4F0F-ADFD-CE6496A875B4}"/>
    <cellStyle name="Note 6 7 2 2 3" xfId="17123" xr:uid="{36ED4BC5-2879-46E7-9130-A8029797456C}"/>
    <cellStyle name="Note 6 7 2 2 4" xfId="35700" xr:uid="{8F74B401-52DB-47EE-9FA4-3E6D960E7800}"/>
    <cellStyle name="Note 6 7 2 3" xfId="17124" xr:uid="{FB88D5F0-14B3-47F7-AAB6-6230DD3A0180}"/>
    <cellStyle name="Note 6 7 2 3 2" xfId="17125" xr:uid="{8DC7A2E4-87A3-4623-9152-355CACA8D199}"/>
    <cellStyle name="Note 6 7 2 3 3" xfId="35701" xr:uid="{E68B1486-14ED-42D0-B02C-C5D885A9022A}"/>
    <cellStyle name="Note 6 7 2 3 4" xfId="35702" xr:uid="{249BC612-DAB1-4B9D-A9B2-1C89D3A4FAEC}"/>
    <cellStyle name="Note 6 7 2 4" xfId="17126" xr:uid="{03C4D2AE-E8D9-49B6-BA16-30C194324093}"/>
    <cellStyle name="Note 6 7 2 4 2" xfId="17127" xr:uid="{44EF83B1-08B5-4BD3-9FE0-FB75AFAC0B19}"/>
    <cellStyle name="Note 6 7 2 4 3" xfId="35703" xr:uid="{CF267515-6580-4323-89AC-5E6825B992E1}"/>
    <cellStyle name="Note 6 7 2 4 4" xfId="35704" xr:uid="{A7D49847-6267-4A86-BC7B-EE1A3F797E0D}"/>
    <cellStyle name="Note 6 7 2 5" xfId="17128" xr:uid="{54EA3CB1-353B-4A9C-88D4-35AD4A8572A4}"/>
    <cellStyle name="Note 6 7 2 5 2" xfId="17129" xr:uid="{CA3BC6ED-E822-42D7-8B4D-A5753E71C36E}"/>
    <cellStyle name="Note 6 7 2 5 3" xfId="35705" xr:uid="{6388112B-DDDC-4AE4-AD73-0BC017F2AE5C}"/>
    <cellStyle name="Note 6 7 2 5 4" xfId="35706" xr:uid="{BF5FEEF5-35C9-44AC-A4C4-E44140058B00}"/>
    <cellStyle name="Note 6 7 2 6" xfId="17130" xr:uid="{C7B97D7B-7577-4B79-8000-2720D4D712CF}"/>
    <cellStyle name="Note 6 7 2 6 2" xfId="17131" xr:uid="{54D187EC-2BFC-43C4-A99F-1A3EFF6A9C72}"/>
    <cellStyle name="Note 6 7 2 6 3" xfId="35707" xr:uid="{339EE3A7-58F9-4095-850A-201DFEE24861}"/>
    <cellStyle name="Note 6 7 2 6 4" xfId="35708" xr:uid="{DB3F3AF6-9844-4553-88AF-E038F4A2AECC}"/>
    <cellStyle name="Note 6 7 2 7" xfId="17132" xr:uid="{FF0146D8-5208-4717-AC2B-4FBA509F4160}"/>
    <cellStyle name="Note 6 7 2 7 2" xfId="17133" xr:uid="{973B1524-BD3A-4EA5-AEFD-5AA4345556EB}"/>
    <cellStyle name="Note 6 7 2 7 3" xfId="35709" xr:uid="{CF2B0335-DF24-4388-8065-A051BADD04DC}"/>
    <cellStyle name="Note 6 7 2 7 4" xfId="35710" xr:uid="{C576AF58-5C08-49DE-B3DE-1A72F1FC6F64}"/>
    <cellStyle name="Note 6 7 2 8" xfId="17134" xr:uid="{65947D09-F0FA-47EA-9B77-A006274CC57F}"/>
    <cellStyle name="Note 6 7 2 8 2" xfId="17135" xr:uid="{B3EB9D51-8560-49A4-A84A-17FF358B9946}"/>
    <cellStyle name="Note 6 7 2 8 3" xfId="35711" xr:uid="{0801C04E-9FAA-4608-ACCB-B0F4DD443857}"/>
    <cellStyle name="Note 6 7 2 8 4" xfId="35712" xr:uid="{9BF2091B-E83E-4297-9F42-57D117F121A7}"/>
    <cellStyle name="Note 6 7 2 9" xfId="17136" xr:uid="{1EAA80E9-BFAE-4C0F-B6E4-C86C17A3221A}"/>
    <cellStyle name="Note 6 7 2 9 2" xfId="35713" xr:uid="{7E74547B-E601-44C2-BC4A-8A1D7F8BF377}"/>
    <cellStyle name="Note 6 7 3" xfId="17137" xr:uid="{0C90B9F3-315B-4B40-B68B-434A30F407D8}"/>
    <cellStyle name="Note 6 7 3 2" xfId="17138" xr:uid="{1947E7EF-175D-4A0E-8E85-6BF5076E320B}"/>
    <cellStyle name="Note 6 7 3 2 2" xfId="17139" xr:uid="{601A5F20-4670-4939-BF3F-EDDAE86F22A0}"/>
    <cellStyle name="Note 6 7 3 3" xfId="17140" xr:uid="{9B08B561-B9B8-440D-93B3-55B515C23282}"/>
    <cellStyle name="Note 6 7 3 4" xfId="35714" xr:uid="{BC7378E2-4B11-4099-B15D-E3D525DBD484}"/>
    <cellStyle name="Note 6 7 4" xfId="17141" xr:uid="{E74E7740-A041-49C7-BA36-2D205674E9DE}"/>
    <cellStyle name="Note 6 7 4 2" xfId="17142" xr:uid="{29C64211-ED25-4DA0-BE19-7BE34418BCE8}"/>
    <cellStyle name="Note 6 7 4 3" xfId="35715" xr:uid="{5877E0D7-DCB9-4C0E-875A-AF00C2EE6902}"/>
    <cellStyle name="Note 6 7 4 4" xfId="35716" xr:uid="{BE344124-0A15-4EC1-A079-F3031236CCDB}"/>
    <cellStyle name="Note 6 7 5" xfId="17143" xr:uid="{2372DB95-B443-482A-98BF-9A23064A80D6}"/>
    <cellStyle name="Note 6 7 5 2" xfId="17144" xr:uid="{94FD8588-C715-46CD-86EB-7FFBA6F79A00}"/>
    <cellStyle name="Note 6 7 5 3" xfId="35717" xr:uid="{EA61746D-0D54-4C5B-A8D8-B51C6B9B8EAC}"/>
    <cellStyle name="Note 6 7 5 4" xfId="35718" xr:uid="{7DCCDBBB-EB86-4F9A-A3B5-33E3844C1E94}"/>
    <cellStyle name="Note 6 7 6" xfId="17145" xr:uid="{7E176625-CC78-4995-911C-8A0B1E42F50E}"/>
    <cellStyle name="Note 6 7 6 2" xfId="17146" xr:uid="{638A5912-6AD2-40CE-8991-57108956B0F6}"/>
    <cellStyle name="Note 6 7 6 3" xfId="35719" xr:uid="{D5182A5B-CFD8-487A-9C1A-8C89D060C9A8}"/>
    <cellStyle name="Note 6 7 6 4" xfId="35720" xr:uid="{B2223998-6E23-4988-B80A-51653F4F7C35}"/>
    <cellStyle name="Note 6 7 7" xfId="17147" xr:uid="{C26DAC91-ACB8-4F67-86C1-5BC3B1FFF77E}"/>
    <cellStyle name="Note 6 7 7 2" xfId="17148" xr:uid="{B43D9561-8BE9-437C-9F6A-511E3F66D2B3}"/>
    <cellStyle name="Note 6 7 7 3" xfId="35721" xr:uid="{07A09546-8830-454D-8268-BCE745E6426B}"/>
    <cellStyle name="Note 6 7 7 4" xfId="35722" xr:uid="{56F5CFDC-C2C4-4298-86DD-D12AB5FF8CA6}"/>
    <cellStyle name="Note 6 7 8" xfId="17149" xr:uid="{D645A4B7-4818-466F-ADFD-9869FB42332C}"/>
    <cellStyle name="Note 6 7 8 2" xfId="17150" xr:uid="{07C6F83F-C1FE-4A26-B7E4-7D4534EA58A8}"/>
    <cellStyle name="Note 6 7 8 3" xfId="35723" xr:uid="{620BC852-F771-4DC8-89A1-CE9AA8A7AA90}"/>
    <cellStyle name="Note 6 7 8 4" xfId="35724" xr:uid="{BBDE15FF-BF21-42B1-9C51-28441E88E72D}"/>
    <cellStyle name="Note 6 7 9" xfId="17151" xr:uid="{7206ECBB-E8CC-42B6-8873-7E646B418C2B}"/>
    <cellStyle name="Note 6 7 9 2" xfId="17152" xr:uid="{89BB1749-811D-4EDC-9D4E-4B5575A2F8AE}"/>
    <cellStyle name="Note 6 7 9 3" xfId="35725" xr:uid="{39B2F057-E4D0-4FB8-BF37-8C8E064382D4}"/>
    <cellStyle name="Note 6 7 9 4" xfId="35726" xr:uid="{7510C598-328F-450C-904F-B54E6DD4F57A}"/>
    <cellStyle name="Note 6 8" xfId="17153" xr:uid="{7FF64C92-03CE-47B1-A5A2-2290E6B32002}"/>
    <cellStyle name="Note 6 8 10" xfId="17154" xr:uid="{57DA3E49-E6CF-40B4-AD62-361A845BF136}"/>
    <cellStyle name="Note 6 8 10 2" xfId="35727" xr:uid="{8FB0272B-4DFE-4439-907A-331640430019}"/>
    <cellStyle name="Note 6 8 11" xfId="17155" xr:uid="{607AAE4F-DC18-4BFC-A860-BE2C73019F7E}"/>
    <cellStyle name="Note 6 8 11 2" xfId="35728" xr:uid="{749992F9-68B2-4654-BF19-8403CEB1EC12}"/>
    <cellStyle name="Note 6 8 12" xfId="35729" xr:uid="{0D69F465-C93D-4BA8-BF5B-DD1BFEA3361A}"/>
    <cellStyle name="Note 6 8 2" xfId="17156" xr:uid="{CC0FA9E6-11B6-4596-A95F-E08715831B2C}"/>
    <cellStyle name="Note 6 8 2 10" xfId="17157" xr:uid="{87CDED05-9FC8-4CC2-B7EE-D1C87D020A7F}"/>
    <cellStyle name="Note 6 8 2 10 2" xfId="35730" xr:uid="{745D0B37-8685-4CCA-8EA1-BDA2883A6C1D}"/>
    <cellStyle name="Note 6 8 2 11" xfId="35731" xr:uid="{4CAA43AD-E280-47B9-9FB1-3C26BD2671CF}"/>
    <cellStyle name="Note 6 8 2 2" xfId="17158" xr:uid="{9561E9F2-F41D-41B9-AC2C-1B6F43278A9A}"/>
    <cellStyle name="Note 6 8 2 2 2" xfId="17159" xr:uid="{812DEC71-8206-4A0B-AA50-4B540A2DD47D}"/>
    <cellStyle name="Note 6 8 2 2 2 2" xfId="17160" xr:uid="{73F23F3F-E31B-4D53-AB76-C9534930AB48}"/>
    <cellStyle name="Note 6 8 2 2 3" xfId="17161" xr:uid="{AF8C4362-95B1-4B6E-B408-B20F92AF435B}"/>
    <cellStyle name="Note 6 8 2 2 4" xfId="35732" xr:uid="{A90AFB95-55A9-4F7E-AD4C-AF07842CEEC9}"/>
    <cellStyle name="Note 6 8 2 3" xfId="17162" xr:uid="{2D360EAF-1A4B-475C-9E6E-A0665110348E}"/>
    <cellStyle name="Note 6 8 2 3 2" xfId="17163" xr:uid="{22A958C0-8821-4CDD-AAB9-111204FB48B3}"/>
    <cellStyle name="Note 6 8 2 3 3" xfId="35733" xr:uid="{63D82F75-5129-46FB-AA22-1C524E861C07}"/>
    <cellStyle name="Note 6 8 2 3 4" xfId="35734" xr:uid="{95E0743C-109D-4C1E-AD0F-FC79563060AB}"/>
    <cellStyle name="Note 6 8 2 4" xfId="17164" xr:uid="{33243C98-6D27-4DB3-94A2-A6BCE77008B7}"/>
    <cellStyle name="Note 6 8 2 4 2" xfId="17165" xr:uid="{064F2265-8211-42FB-8995-B80CD08FC633}"/>
    <cellStyle name="Note 6 8 2 4 3" xfId="35735" xr:uid="{4FE94AFC-C667-48F1-B1C2-98960C828E98}"/>
    <cellStyle name="Note 6 8 2 4 4" xfId="35736" xr:uid="{186BA12A-16AB-47A7-96D9-C77D2E3D1460}"/>
    <cellStyle name="Note 6 8 2 5" xfId="17166" xr:uid="{87116723-3E32-4C7B-A6D2-52186F2AFA3A}"/>
    <cellStyle name="Note 6 8 2 5 2" xfId="17167" xr:uid="{402202D8-4CC7-42B3-B343-CDA3FEFE1EDA}"/>
    <cellStyle name="Note 6 8 2 5 3" xfId="35737" xr:uid="{2DE8DAE9-8C78-4CA9-A800-4B70B5897461}"/>
    <cellStyle name="Note 6 8 2 5 4" xfId="35738" xr:uid="{EBF04CCC-3EEA-47D1-9FBE-2CD5580DB639}"/>
    <cellStyle name="Note 6 8 2 6" xfId="17168" xr:uid="{F02D9F4F-D5B5-4E79-82C5-CA96CCF8FE51}"/>
    <cellStyle name="Note 6 8 2 6 2" xfId="17169" xr:uid="{FC4E61C6-5565-4E84-8BF3-1D905F5ABF29}"/>
    <cellStyle name="Note 6 8 2 6 3" xfId="35739" xr:uid="{92ADE945-F626-4DA0-A275-434D333988B9}"/>
    <cellStyle name="Note 6 8 2 6 4" xfId="35740" xr:uid="{F4A47D46-16E1-44A8-AC98-1D00B2954199}"/>
    <cellStyle name="Note 6 8 2 7" xfId="17170" xr:uid="{9FBC5E74-0ABE-4120-B250-33A3672E4923}"/>
    <cellStyle name="Note 6 8 2 7 2" xfId="17171" xr:uid="{346D99BF-149E-4E6A-9142-90FF80288A61}"/>
    <cellStyle name="Note 6 8 2 7 3" xfId="35741" xr:uid="{584E2A8B-5C28-4992-9346-F0DBDD9D759E}"/>
    <cellStyle name="Note 6 8 2 7 4" xfId="35742" xr:uid="{071B1170-C46C-43E8-826E-00684B38C19C}"/>
    <cellStyle name="Note 6 8 2 8" xfId="17172" xr:uid="{8D30346B-1A9D-44CE-946C-4E12D1BBF9B4}"/>
    <cellStyle name="Note 6 8 2 8 2" xfId="17173" xr:uid="{F82610DE-0FC3-486E-93DE-C9AFAF5A207E}"/>
    <cellStyle name="Note 6 8 2 8 3" xfId="35743" xr:uid="{9C8D066D-6A36-47AD-8DAE-48D3E047543B}"/>
    <cellStyle name="Note 6 8 2 8 4" xfId="35744" xr:uid="{1949DFE1-24B7-41F0-9480-A96B4EC801E4}"/>
    <cellStyle name="Note 6 8 2 9" xfId="17174" xr:uid="{7F81E4A1-1E14-4951-AC00-9D111E27CADC}"/>
    <cellStyle name="Note 6 8 2 9 2" xfId="35745" xr:uid="{623DAF3E-BBDF-4C61-891C-734AA74E66CD}"/>
    <cellStyle name="Note 6 8 3" xfId="17175" xr:uid="{DE2B48D2-1ADE-429C-A429-B57E8B924683}"/>
    <cellStyle name="Note 6 8 3 2" xfId="17176" xr:uid="{210B287B-7210-44C3-9A42-6E38E6BDB3C7}"/>
    <cellStyle name="Note 6 8 3 2 2" xfId="17177" xr:uid="{5EEDD7E3-9C18-4DAC-9C4F-F8EA5384199B}"/>
    <cellStyle name="Note 6 8 3 3" xfId="17178" xr:uid="{0372B7D6-9E27-4BA0-B45C-F1086B2363A5}"/>
    <cellStyle name="Note 6 8 3 4" xfId="35746" xr:uid="{907C6211-93A0-4B32-836B-75F5E087CE6F}"/>
    <cellStyle name="Note 6 8 4" xfId="17179" xr:uid="{656007A7-FCC2-49D5-B106-8485380BF05E}"/>
    <cellStyle name="Note 6 8 4 2" xfId="17180" xr:uid="{7BC1F6D5-8F56-4133-83DE-C3FF0A14F358}"/>
    <cellStyle name="Note 6 8 4 3" xfId="35747" xr:uid="{F27B49F0-F543-43B2-88C4-FBF33B47483D}"/>
    <cellStyle name="Note 6 8 4 4" xfId="35748" xr:uid="{61694C37-E1B4-4AEE-889A-2AE49D224079}"/>
    <cellStyle name="Note 6 8 5" xfId="17181" xr:uid="{7EE27DAB-800D-4F46-BF9E-13FEC9F3DD36}"/>
    <cellStyle name="Note 6 8 5 2" xfId="17182" xr:uid="{A8DE7415-26D1-4613-AAF6-7A16158A2C09}"/>
    <cellStyle name="Note 6 8 5 3" xfId="35749" xr:uid="{86BF5053-11DD-4F0A-98E2-62C7204F184F}"/>
    <cellStyle name="Note 6 8 5 4" xfId="35750" xr:uid="{0164BDBD-2D72-418E-84C4-22B047A2603C}"/>
    <cellStyle name="Note 6 8 6" xfId="17183" xr:uid="{1685E9DE-AA23-49EB-BA8F-F1C08C43E6D4}"/>
    <cellStyle name="Note 6 8 6 2" xfId="17184" xr:uid="{1964C3A1-0F07-456C-A880-6BA784D63D4F}"/>
    <cellStyle name="Note 6 8 6 3" xfId="35751" xr:uid="{24957BEE-1090-462C-9BE4-FB44C26F810D}"/>
    <cellStyle name="Note 6 8 6 4" xfId="35752" xr:uid="{D8A08261-DB2F-4161-8276-9A226A8D9A0D}"/>
    <cellStyle name="Note 6 8 7" xfId="17185" xr:uid="{B3E21C31-D5D6-43DC-ACA7-3CE54EAAD695}"/>
    <cellStyle name="Note 6 8 7 2" xfId="17186" xr:uid="{4A118907-4A94-42B8-876E-93AD30DBEF3F}"/>
    <cellStyle name="Note 6 8 7 3" xfId="35753" xr:uid="{F581645C-1E6C-443B-8128-AC7B818C8480}"/>
    <cellStyle name="Note 6 8 7 4" xfId="35754" xr:uid="{2AB677A8-D866-4668-AFCE-542E87D5F00F}"/>
    <cellStyle name="Note 6 8 8" xfId="17187" xr:uid="{788F98EA-89AA-4709-879B-810648B096EE}"/>
    <cellStyle name="Note 6 8 8 2" xfId="17188" xr:uid="{767B7D65-300E-41B3-9927-B386F13352CC}"/>
    <cellStyle name="Note 6 8 8 3" xfId="35755" xr:uid="{450CC972-601A-47F7-8306-4E8564D00DD2}"/>
    <cellStyle name="Note 6 8 8 4" xfId="35756" xr:uid="{53348D31-9359-4F2B-B60E-DE117C755A27}"/>
    <cellStyle name="Note 6 8 9" xfId="17189" xr:uid="{06641190-C11B-434E-AA98-89606997A7D8}"/>
    <cellStyle name="Note 6 8 9 2" xfId="17190" xr:uid="{3EA92A06-72EB-46B6-BB6D-C585E69E5D67}"/>
    <cellStyle name="Note 6 8 9 3" xfId="35757" xr:uid="{98D7125E-AE59-428B-B7DC-71B765B7E787}"/>
    <cellStyle name="Note 6 8 9 4" xfId="35758" xr:uid="{704F0220-4EE6-4EDF-A06F-B7D33F6A1F77}"/>
    <cellStyle name="Note 6 9" xfId="17191" xr:uid="{1F97DB0A-6DD7-47ED-B8DF-F6C870AA9AB3}"/>
    <cellStyle name="Note 6 9 10" xfId="17192" xr:uid="{942F53F1-0F26-4C6D-8593-A81E59B2E059}"/>
    <cellStyle name="Note 6 9 10 2" xfId="35759" xr:uid="{78CBB2EA-5D40-44F1-8129-18CFFE7661DE}"/>
    <cellStyle name="Note 6 9 11" xfId="17193" xr:uid="{5EB436CB-2074-4433-965D-BE7300D18549}"/>
    <cellStyle name="Note 6 9 11 2" xfId="35760" xr:uid="{9133F536-9E96-4AEC-8EA9-C2B863F7BEE5}"/>
    <cellStyle name="Note 6 9 12" xfId="35761" xr:uid="{A92B71EF-5142-4868-8503-51035F678DEF}"/>
    <cellStyle name="Note 6 9 2" xfId="17194" xr:uid="{15B12417-5E71-4023-AEA8-E0B664D54527}"/>
    <cellStyle name="Note 6 9 2 10" xfId="17195" xr:uid="{4F3716AD-7196-4085-9238-985E44129642}"/>
    <cellStyle name="Note 6 9 2 10 2" xfId="35762" xr:uid="{AB51DC3A-F13C-403B-B04A-956398DA64FF}"/>
    <cellStyle name="Note 6 9 2 11" xfId="35763" xr:uid="{CFF02507-7606-4FBE-8F79-C73008FE6FCC}"/>
    <cellStyle name="Note 6 9 2 2" xfId="17196" xr:uid="{EA3DCD04-9EEA-457F-92AA-A3EC3E1E495B}"/>
    <cellStyle name="Note 6 9 2 2 2" xfId="17197" xr:uid="{3C0CCD7D-1258-4755-8A2D-7777A868CDD2}"/>
    <cellStyle name="Note 6 9 2 2 2 2" xfId="17198" xr:uid="{4A3DE874-EF70-4B93-A822-A31B61E47BE2}"/>
    <cellStyle name="Note 6 9 2 2 3" xfId="17199" xr:uid="{B001848B-47A1-43A7-A1C0-01CC75404F6B}"/>
    <cellStyle name="Note 6 9 2 2 4" xfId="35764" xr:uid="{22858AFC-2319-42DD-B669-5A7FA8E00CE0}"/>
    <cellStyle name="Note 6 9 2 3" xfId="17200" xr:uid="{B058647D-718C-4103-BA49-DF2043EA7B86}"/>
    <cellStyle name="Note 6 9 2 3 2" xfId="17201" xr:uid="{F3360BE0-66F0-43E4-A56E-CEED0B798D7B}"/>
    <cellStyle name="Note 6 9 2 3 3" xfId="35765" xr:uid="{056966FD-C3E2-481C-917A-83FBDE847F43}"/>
    <cellStyle name="Note 6 9 2 3 4" xfId="35766" xr:uid="{A4552376-DBC9-468B-A9DF-12DFDC0E5BB4}"/>
    <cellStyle name="Note 6 9 2 4" xfId="17202" xr:uid="{DCA0F470-C258-401B-8F1C-CC9D50E3575E}"/>
    <cellStyle name="Note 6 9 2 4 2" xfId="17203" xr:uid="{41B25C51-F7B9-41D5-A1CA-DD09E438443A}"/>
    <cellStyle name="Note 6 9 2 4 3" xfId="35767" xr:uid="{299F2FFC-9857-4CF2-9279-B8818C03E8E9}"/>
    <cellStyle name="Note 6 9 2 4 4" xfId="35768" xr:uid="{3D33C56C-C1C7-4095-84F5-1878F2CADCB9}"/>
    <cellStyle name="Note 6 9 2 5" xfId="17204" xr:uid="{E11FBBDD-C3E6-41CB-99EB-401F6C49705C}"/>
    <cellStyle name="Note 6 9 2 5 2" xfId="17205" xr:uid="{04D0C252-0E57-4F7D-8608-81C096F800B9}"/>
    <cellStyle name="Note 6 9 2 5 3" xfId="35769" xr:uid="{7FE7BBB5-4066-4AE4-A9BB-22760E425EFE}"/>
    <cellStyle name="Note 6 9 2 5 4" xfId="35770" xr:uid="{D21DF38C-E51E-4E3B-82BC-3E587E6A93CE}"/>
    <cellStyle name="Note 6 9 2 6" xfId="17206" xr:uid="{92167DF7-9DFF-4951-9578-7267A92855D0}"/>
    <cellStyle name="Note 6 9 2 6 2" xfId="17207" xr:uid="{6C866AAA-9825-4DDA-A04F-D297F9CC2AE8}"/>
    <cellStyle name="Note 6 9 2 6 3" xfId="35771" xr:uid="{081A6ABC-58D7-4970-B118-D9D970DBB3A7}"/>
    <cellStyle name="Note 6 9 2 6 4" xfId="35772" xr:uid="{9552DE72-3121-4470-8922-1C10089B0076}"/>
    <cellStyle name="Note 6 9 2 7" xfId="17208" xr:uid="{C7CB5F53-396D-4F81-A50C-EF84F6F4041E}"/>
    <cellStyle name="Note 6 9 2 7 2" xfId="17209" xr:uid="{72CDBDF4-D455-4EC8-ACF4-4148390773BF}"/>
    <cellStyle name="Note 6 9 2 7 3" xfId="35773" xr:uid="{E5F8FA3F-EF08-49BA-A06F-2E10B508A283}"/>
    <cellStyle name="Note 6 9 2 7 4" xfId="35774" xr:uid="{BE8ABAFE-3BF5-4B91-92B6-2AD986FF1DFC}"/>
    <cellStyle name="Note 6 9 2 8" xfId="17210" xr:uid="{AA1304E0-26E5-4322-AB8E-E23DAAB7A349}"/>
    <cellStyle name="Note 6 9 2 8 2" xfId="17211" xr:uid="{2C93C224-4F51-4B60-AFB3-3C8CBE8B9F02}"/>
    <cellStyle name="Note 6 9 2 8 3" xfId="35775" xr:uid="{DE9FFF10-84BC-4B95-91C1-8D8439D042A4}"/>
    <cellStyle name="Note 6 9 2 8 4" xfId="35776" xr:uid="{658C3EB6-04A0-4B94-BBCB-040A1862D6A0}"/>
    <cellStyle name="Note 6 9 2 9" xfId="17212" xr:uid="{283E618D-939A-44F4-949E-F00F54AD62DC}"/>
    <cellStyle name="Note 6 9 2 9 2" xfId="35777" xr:uid="{60CA3EC8-BC3C-4E1E-B9AC-9E3AA0834291}"/>
    <cellStyle name="Note 6 9 3" xfId="17213" xr:uid="{8957A20A-8255-4485-A850-CB52F09EC785}"/>
    <cellStyle name="Note 6 9 3 2" xfId="17214" xr:uid="{31FD42C2-AB5C-488D-A80C-1EF4C5D15E12}"/>
    <cellStyle name="Note 6 9 3 2 2" xfId="17215" xr:uid="{45195757-0F2E-4BA2-BACC-268B788EFE6D}"/>
    <cellStyle name="Note 6 9 3 3" xfId="17216" xr:uid="{BCB36729-5FC6-428E-ADEA-6415A67531DD}"/>
    <cellStyle name="Note 6 9 3 4" xfId="35778" xr:uid="{A91C27BA-F4F6-406D-AE95-8874D252F9B9}"/>
    <cellStyle name="Note 6 9 4" xfId="17217" xr:uid="{5EAAFCE7-D1BE-4255-82E7-0F5BF6C6D117}"/>
    <cellStyle name="Note 6 9 4 2" xfId="17218" xr:uid="{3685C5AD-6531-46AC-A71C-50766323530F}"/>
    <cellStyle name="Note 6 9 4 3" xfId="35779" xr:uid="{96AB72F5-7513-4A44-AA79-710ECB522F06}"/>
    <cellStyle name="Note 6 9 4 4" xfId="35780" xr:uid="{AE0EB4EA-2FFA-48B2-8147-C722A030FCB8}"/>
    <cellStyle name="Note 6 9 5" xfId="17219" xr:uid="{62ADAB6D-3643-41BA-A624-29C74443FE31}"/>
    <cellStyle name="Note 6 9 5 2" xfId="17220" xr:uid="{55F68E3C-30F2-4D58-9F1D-B9B0A77FCE18}"/>
    <cellStyle name="Note 6 9 5 3" xfId="35781" xr:uid="{47ED88B1-CE6E-4C50-AAAE-283E84192A1A}"/>
    <cellStyle name="Note 6 9 5 4" xfId="35782" xr:uid="{DF961612-51FF-416D-9DA2-EE3126C40CD5}"/>
    <cellStyle name="Note 6 9 6" xfId="17221" xr:uid="{CFEEE71D-64BB-44C5-906C-4F5E09615317}"/>
    <cellStyle name="Note 6 9 6 2" xfId="17222" xr:uid="{2F775E4F-1F49-4360-BE84-0175C2F076FD}"/>
    <cellStyle name="Note 6 9 6 3" xfId="35783" xr:uid="{52C3C463-2019-4D37-B704-DFE3B3F4F304}"/>
    <cellStyle name="Note 6 9 6 4" xfId="35784" xr:uid="{6E370A06-1633-4139-BCB8-9566745B2303}"/>
    <cellStyle name="Note 6 9 7" xfId="17223" xr:uid="{DDCD1B7E-B407-4149-AC38-681AE2202DF0}"/>
    <cellStyle name="Note 6 9 7 2" xfId="17224" xr:uid="{694F5003-8795-428C-9505-440C2775E1D7}"/>
    <cellStyle name="Note 6 9 7 3" xfId="35785" xr:uid="{90E24DF9-1BA7-405A-AA0B-D5073F149CD7}"/>
    <cellStyle name="Note 6 9 7 4" xfId="35786" xr:uid="{B1A6D05F-7817-4D57-9CC0-AE257B9478A0}"/>
    <cellStyle name="Note 6 9 8" xfId="17225" xr:uid="{63B1DC4A-4E71-4DB0-A69A-BD56265B5963}"/>
    <cellStyle name="Note 6 9 8 2" xfId="17226" xr:uid="{2B2BFED5-6C50-4242-A2F5-E1CE6D59C235}"/>
    <cellStyle name="Note 6 9 8 3" xfId="35787" xr:uid="{87F50066-6567-4F67-B5A2-D28B2F519F2D}"/>
    <cellStyle name="Note 6 9 8 4" xfId="35788" xr:uid="{86D841EB-F72B-4144-8C4E-CD44B3E0353E}"/>
    <cellStyle name="Note 6 9 9" xfId="17227" xr:uid="{5C1511D1-F4D0-4BEF-A636-D1B4928E841C}"/>
    <cellStyle name="Note 6 9 9 2" xfId="17228" xr:uid="{77B21690-7C2A-4808-9E43-228AF675FE32}"/>
    <cellStyle name="Note 6 9 9 3" xfId="35789" xr:uid="{95183DAB-1CDD-481E-9D3E-09956258264E}"/>
    <cellStyle name="Note 6 9 9 4" xfId="35790" xr:uid="{7B3C9D87-31A1-4B85-9C5B-4F34343D4411}"/>
    <cellStyle name="Note 6_ELC_final" xfId="35791" xr:uid="{19A838DA-0FB6-4A1B-B080-C7721FCA6BE5}"/>
    <cellStyle name="Note 7" xfId="17229" xr:uid="{6F58CAC4-F128-43A2-BFC3-769796A5EC82}"/>
    <cellStyle name="Note 7 10" xfId="17230" xr:uid="{67AC557E-03A8-4278-84A5-DC8E813956B0}"/>
    <cellStyle name="Note 7 10 2" xfId="35792" xr:uid="{2CC4789D-A808-4446-891E-80934705CEFC}"/>
    <cellStyle name="Note 7 11" xfId="17231" xr:uid="{19E826F0-CC54-456A-A96A-2918B2E426DE}"/>
    <cellStyle name="Note 7 11 2" xfId="35793" xr:uid="{0D20FAC9-E736-4429-A01D-478D20128FBD}"/>
    <cellStyle name="Note 7 12" xfId="35794" xr:uid="{E8E3C3E4-580D-4658-8A0C-A07B9CA8A6DF}"/>
    <cellStyle name="Note 7 13" xfId="35795" xr:uid="{A79E80CF-36CB-4F59-8D03-214B496555DD}"/>
    <cellStyle name="Note 7 2" xfId="17232" xr:uid="{5A2B90BD-E7FC-43FC-AD9F-63062D12A333}"/>
    <cellStyle name="Note 7 2 10" xfId="17233" xr:uid="{DB2B83DA-E72C-40F4-BF07-C65A89A7AD32}"/>
    <cellStyle name="Note 7 2 10 2" xfId="35796" xr:uid="{9F6C472C-8E28-43EE-9B4A-B232C344E03C}"/>
    <cellStyle name="Note 7 2 11" xfId="35797" xr:uid="{DD0A0DD8-54D2-4ECF-90BC-BEFC80EFF174}"/>
    <cellStyle name="Note 7 2 12" xfId="35798" xr:uid="{6C79CA26-CB4B-4370-BE1E-4BBB11C0F15B}"/>
    <cellStyle name="Note 7 2 2" xfId="17234" xr:uid="{4272C307-2D74-4272-A549-3096143381BA}"/>
    <cellStyle name="Note 7 2 2 2" xfId="17235" xr:uid="{ADDD9637-76EC-4320-BE3F-CF0E1A491B34}"/>
    <cellStyle name="Note 7 2 2 2 2" xfId="17236" xr:uid="{926819EF-1D05-4872-9915-B70BFAF9902A}"/>
    <cellStyle name="Note 7 2 2 3" xfId="17237" xr:uid="{70FFCA54-168A-48A8-8930-AF5865BB42EB}"/>
    <cellStyle name="Note 7 2 2 4" xfId="35799" xr:uid="{3ACDF129-0BED-48AB-AFB6-195105BD808D}"/>
    <cellStyle name="Note 7 2 3" xfId="17238" xr:uid="{0558785A-69C5-465B-B75C-31001AECA47F}"/>
    <cellStyle name="Note 7 2 3 2" xfId="17239" xr:uid="{8902CAD3-6665-4CCF-9959-DEC876E1767F}"/>
    <cellStyle name="Note 7 2 3 3" xfId="35800" xr:uid="{F24EF622-FF78-4A84-915A-9BCA5FEDD935}"/>
    <cellStyle name="Note 7 2 3 4" xfId="35801" xr:uid="{A081445E-F9E1-4156-A5D5-F18A988E6DBF}"/>
    <cellStyle name="Note 7 2 4" xfId="17240" xr:uid="{A81C84C8-146D-4206-87CD-017E43F4D7E5}"/>
    <cellStyle name="Note 7 2 4 2" xfId="17241" xr:uid="{75638EA3-FB1F-421C-84E7-2B0149F7031E}"/>
    <cellStyle name="Note 7 2 4 3" xfId="35802" xr:uid="{65177B2F-6544-438D-84B5-33A8B3F30C9D}"/>
    <cellStyle name="Note 7 2 4 4" xfId="35803" xr:uid="{55087147-8483-4C60-8BC9-AA6571E8002B}"/>
    <cellStyle name="Note 7 2 5" xfId="17242" xr:uid="{D32F7F81-5170-451A-8557-57857D2B21AF}"/>
    <cellStyle name="Note 7 2 5 2" xfId="17243" xr:uid="{9E9027A5-051A-414C-BAA2-43F94EE343FD}"/>
    <cellStyle name="Note 7 2 5 3" xfId="35804" xr:uid="{8F162A08-B52F-4D00-B8CB-331149738795}"/>
    <cellStyle name="Note 7 2 5 4" xfId="35805" xr:uid="{11EA22A5-2941-4202-80D0-D63A4DC167F1}"/>
    <cellStyle name="Note 7 2 6" xfId="17244" xr:uid="{495EEDAC-36BD-4CF6-ABA9-155B8B620D38}"/>
    <cellStyle name="Note 7 2 6 2" xfId="17245" xr:uid="{C984B784-2D41-4052-BCC8-465DBC7CF254}"/>
    <cellStyle name="Note 7 2 6 3" xfId="35806" xr:uid="{6F244768-D7D5-47BA-A843-DFFDC2459FC6}"/>
    <cellStyle name="Note 7 2 6 4" xfId="35807" xr:uid="{3F1342BB-76C6-4E58-87FD-D61EFB805A0D}"/>
    <cellStyle name="Note 7 2 7" xfId="17246" xr:uid="{E503B3EF-9D1F-4C6D-95CA-D5EE1B210BCC}"/>
    <cellStyle name="Note 7 2 7 2" xfId="17247" xr:uid="{F6A7D74B-114A-4793-A873-488C72C8FA82}"/>
    <cellStyle name="Note 7 2 7 3" xfId="35808" xr:uid="{340E6664-C8AE-471D-9A0E-44412BF89FC1}"/>
    <cellStyle name="Note 7 2 7 4" xfId="35809" xr:uid="{8501E05E-565E-43A4-B338-EE912B6FDE7A}"/>
    <cellStyle name="Note 7 2 8" xfId="17248" xr:uid="{06F11621-E7CA-4431-BA90-C73CF489BF1B}"/>
    <cellStyle name="Note 7 2 8 2" xfId="17249" xr:uid="{D1E25AA5-CB51-4AE4-85A9-68A488D500AD}"/>
    <cellStyle name="Note 7 2 8 3" xfId="35810" xr:uid="{05C7E986-340D-4676-A9F8-66BE723BD327}"/>
    <cellStyle name="Note 7 2 8 4" xfId="35811" xr:uid="{83A732F5-1317-4545-A1D0-FAFBABE268EB}"/>
    <cellStyle name="Note 7 2 9" xfId="17250" xr:uid="{B57D1401-9BF6-4EE5-A76B-3759B98BFCC5}"/>
    <cellStyle name="Note 7 2 9 2" xfId="35812" xr:uid="{539450BE-D155-44E1-AC2F-FF0DA311D453}"/>
    <cellStyle name="Note 7 3" xfId="17251" xr:uid="{2C450BC0-792B-457F-BA16-C9A4812B2295}"/>
    <cellStyle name="Note 7 3 2" xfId="17252" xr:uid="{B67C3C11-0068-4804-8E27-B111DF420AE4}"/>
    <cellStyle name="Note 7 3 2 2" xfId="17253" xr:uid="{0EA72F6B-7FF2-481E-AEB0-F44A02959EA7}"/>
    <cellStyle name="Note 7 3 3" xfId="17254" xr:uid="{2D617FE2-59EB-401D-953C-943EC18C736E}"/>
    <cellStyle name="Note 7 3 4" xfId="35813" xr:uid="{0CAE1319-98E0-4591-895F-4DAAD3C73193}"/>
    <cellStyle name="Note 7 3 5" xfId="35814" xr:uid="{D08A0AAC-5812-4A8E-BD47-327BA5025287}"/>
    <cellStyle name="Note 7 3_ELC_final" xfId="35815" xr:uid="{D6462309-B1DF-4A38-8C70-DAB8E7ED3C14}"/>
    <cellStyle name="Note 7 4" xfId="17255" xr:uid="{EFA4C4AF-BCE8-420D-9BF2-664050C8E719}"/>
    <cellStyle name="Note 7 4 2" xfId="17256" xr:uid="{68481A70-0E9C-408E-BA7E-7AE86BEB1C6D}"/>
    <cellStyle name="Note 7 4 3" xfId="35816" xr:uid="{8C708A0A-6771-4186-A6F9-47649BC20BB3}"/>
    <cellStyle name="Note 7 4 4" xfId="35817" xr:uid="{13652C9D-1D91-4D4B-B288-EF78B37B5A1A}"/>
    <cellStyle name="Note 7 4 5" xfId="35818" xr:uid="{72D44767-1B59-4880-BD31-3E3628D54B9F}"/>
    <cellStyle name="Note 7 5" xfId="17257" xr:uid="{402C0994-853B-4C46-B2B6-1D6C03F2AF31}"/>
    <cellStyle name="Note 7 5 2" xfId="17258" xr:uid="{C718140A-F0E7-48AE-86A9-9D62A8C6487F}"/>
    <cellStyle name="Note 7 5 3" xfId="35819" xr:uid="{692E14B4-190E-4E60-A9CF-7E72357D1D29}"/>
    <cellStyle name="Note 7 5 4" xfId="35820" xr:uid="{6690047B-5DB1-4FE9-99F6-6FC7CFB65318}"/>
    <cellStyle name="Note 7 6" xfId="17259" xr:uid="{E3D55405-3E81-42EE-8BBA-5C56138D1359}"/>
    <cellStyle name="Note 7 6 2" xfId="17260" xr:uid="{849CC981-3ECD-489C-B171-0E4F3C3182AF}"/>
    <cellStyle name="Note 7 6 3" xfId="35821" xr:uid="{7C86FC74-9AE1-4B25-B6CB-F7068E5040A2}"/>
    <cellStyle name="Note 7 6 4" xfId="35822" xr:uid="{D5973AB2-721E-47D3-9ED5-52372D3E1D73}"/>
    <cellStyle name="Note 7 7" xfId="17261" xr:uid="{1BE71DFC-5AF9-4C29-B12B-406BE6E90347}"/>
    <cellStyle name="Note 7 7 2" xfId="17262" xr:uid="{B1DDCF65-039E-4234-A16A-D8FA07250ED9}"/>
    <cellStyle name="Note 7 7 3" xfId="35823" xr:uid="{4CA427AA-5E77-4479-A7B5-BAB04C71B930}"/>
    <cellStyle name="Note 7 7 4" xfId="35824" xr:uid="{29EB736A-D5C3-4880-899E-892163E77374}"/>
    <cellStyle name="Note 7 8" xfId="17263" xr:uid="{6FD39EDD-71B7-4F5F-8A2D-B41A704075B6}"/>
    <cellStyle name="Note 7 8 2" xfId="17264" xr:uid="{A61DAC86-6C23-4DEA-BAD9-55BD4A2962DA}"/>
    <cellStyle name="Note 7 8 3" xfId="35825" xr:uid="{F7C075F2-EF76-4F26-AB4F-A6575C1E9C60}"/>
    <cellStyle name="Note 7 8 4" xfId="35826" xr:uid="{DB95AE79-9AC6-47F4-960C-48F3C3F487E3}"/>
    <cellStyle name="Note 7 9" xfId="17265" xr:uid="{2813BBAB-260B-4410-A74B-818D4984AD68}"/>
    <cellStyle name="Note 7 9 2" xfId="17266" xr:uid="{D3A704EB-82F8-44F2-A7F0-DED3B4A2AC46}"/>
    <cellStyle name="Note 7 9 3" xfId="35827" xr:uid="{0F0AF103-2197-4BD4-9801-7D0B7F158E84}"/>
    <cellStyle name="Note 7 9 4" xfId="35828" xr:uid="{DC1EE13D-A9FE-47AC-A3CF-44FEB01176AC}"/>
    <cellStyle name="Note 7_ELC_final" xfId="35829" xr:uid="{88A1596A-6924-44C3-92D9-2CF6E081BE08}"/>
    <cellStyle name="Note 8" xfId="17267" xr:uid="{8667E317-B10C-4060-9C5E-756BBD4AFC9B}"/>
    <cellStyle name="Note 8 10" xfId="17268" xr:uid="{D60A0F03-AD7F-40F0-9FA6-2B01C5776D37}"/>
    <cellStyle name="Note 8 10 2" xfId="35830" xr:uid="{98F52A81-7CBB-4DAC-A63C-581BDD1F7416}"/>
    <cellStyle name="Note 8 11" xfId="17269" xr:uid="{E7D1C3EA-BF9F-4FBE-BB4F-C4B719D68C19}"/>
    <cellStyle name="Note 8 11 2" xfId="35831" xr:uid="{2525D9DD-DBE1-491B-96F3-DC05F94A1333}"/>
    <cellStyle name="Note 8 12" xfId="35832" xr:uid="{51C0A593-B805-4267-A98E-819A908D5F59}"/>
    <cellStyle name="Note 8 13" xfId="35833" xr:uid="{42AF46B4-3DE4-48DA-B2EC-1FEBA0BA9978}"/>
    <cellStyle name="Note 8 2" xfId="17270" xr:uid="{DBE1C290-FA90-44A3-8B62-802A560ACB64}"/>
    <cellStyle name="Note 8 2 10" xfId="17271" xr:uid="{73DDE74D-D863-4016-B7ED-440523DA14A7}"/>
    <cellStyle name="Note 8 2 10 2" xfId="35834" xr:uid="{DD39D34B-5A11-4DD5-8A82-43BDD989B04E}"/>
    <cellStyle name="Note 8 2 11" xfId="35835" xr:uid="{3B82222F-A466-4391-8389-455459C4C189}"/>
    <cellStyle name="Note 8 2 12" xfId="35836" xr:uid="{67206A54-30CC-4F08-8F55-7D33A92D2554}"/>
    <cellStyle name="Note 8 2 2" xfId="17272" xr:uid="{6909567A-4141-4AF7-A5B2-B97926977944}"/>
    <cellStyle name="Note 8 2 2 2" xfId="17273" xr:uid="{12C212C9-C8D8-4E37-9D0B-C23C2B5262CE}"/>
    <cellStyle name="Note 8 2 2 2 2" xfId="17274" xr:uid="{1CF709EF-FDCF-4C82-8934-2642379F5D49}"/>
    <cellStyle name="Note 8 2 2 3" xfId="17275" xr:uid="{749A7428-D07D-46D3-9973-2988502A8A53}"/>
    <cellStyle name="Note 8 2 2 4" xfId="35837" xr:uid="{87BB56E7-ED8B-457E-9070-B3B9FD1211C5}"/>
    <cellStyle name="Note 8 2 3" xfId="17276" xr:uid="{66B56329-8D97-42F8-BED8-42A841A2F6B1}"/>
    <cellStyle name="Note 8 2 3 2" xfId="17277" xr:uid="{E249F179-4C93-4486-9E09-553CBB3A07CB}"/>
    <cellStyle name="Note 8 2 3 3" xfId="35838" xr:uid="{89839B39-84B2-4E95-9CA0-B0FC509BC610}"/>
    <cellStyle name="Note 8 2 3 4" xfId="35839" xr:uid="{8FC0FE31-3E37-437A-9EB2-CA9E47E6106C}"/>
    <cellStyle name="Note 8 2 4" xfId="17278" xr:uid="{AE0C8571-B9A1-4DED-9FD9-6785FD927822}"/>
    <cellStyle name="Note 8 2 4 2" xfId="17279" xr:uid="{A3141158-E714-400D-A132-A0E1CD83594E}"/>
    <cellStyle name="Note 8 2 4 3" xfId="35840" xr:uid="{F47AAB4C-C9D5-4E73-B195-459FED0267F2}"/>
    <cellStyle name="Note 8 2 4 4" xfId="35841" xr:uid="{DBB1659C-E37E-4623-96F6-57411686041D}"/>
    <cellStyle name="Note 8 2 5" xfId="17280" xr:uid="{37F8DB23-079C-4703-8F77-148E93158E0F}"/>
    <cellStyle name="Note 8 2 5 2" xfId="17281" xr:uid="{AF70D626-5CD1-4E6B-98CE-944749C4EEA9}"/>
    <cellStyle name="Note 8 2 5 3" xfId="35842" xr:uid="{F8E07DFD-B954-4C4C-BE8C-B8604BF1CB34}"/>
    <cellStyle name="Note 8 2 5 4" xfId="35843" xr:uid="{52A6107A-4C82-4F01-A868-0C13E047C1E7}"/>
    <cellStyle name="Note 8 2 6" xfId="17282" xr:uid="{4AEBF612-EEB5-442F-B2C3-5A2B0D0A4A50}"/>
    <cellStyle name="Note 8 2 6 2" xfId="17283" xr:uid="{9E8C56F3-7870-46C5-AF88-4D9E6908E2F2}"/>
    <cellStyle name="Note 8 2 6 3" xfId="35844" xr:uid="{E1657E3A-E2CF-4210-BECD-A3D4840D5CF7}"/>
    <cellStyle name="Note 8 2 6 4" xfId="35845" xr:uid="{8B717CC4-8CCB-49EB-887F-931E95A294E7}"/>
    <cellStyle name="Note 8 2 7" xfId="17284" xr:uid="{ACFEE8EE-BB9C-4163-A361-3EF520B5A67A}"/>
    <cellStyle name="Note 8 2 7 2" xfId="17285" xr:uid="{42125CCA-BDB3-428D-BCE3-F8FA94A1E9B9}"/>
    <cellStyle name="Note 8 2 7 3" xfId="35846" xr:uid="{91D5734A-9CFA-4AEE-9798-F4801A489FE6}"/>
    <cellStyle name="Note 8 2 7 4" xfId="35847" xr:uid="{4DAB8599-B908-4897-91FE-806FE616711E}"/>
    <cellStyle name="Note 8 2 8" xfId="17286" xr:uid="{E7E20A25-4106-4565-8049-4D02F81DDDE3}"/>
    <cellStyle name="Note 8 2 8 2" xfId="17287" xr:uid="{2692150C-32DE-44E1-8CEF-DB770803FC45}"/>
    <cellStyle name="Note 8 2 8 3" xfId="35848" xr:uid="{2010AECD-8EC2-4C07-8A4B-1B001F987B1D}"/>
    <cellStyle name="Note 8 2 8 4" xfId="35849" xr:uid="{5CA8C86C-68C8-4DBF-9838-E1A9009EA7A4}"/>
    <cellStyle name="Note 8 2 9" xfId="17288" xr:uid="{286BE4ED-360E-47A6-8B7F-780E200FFDC4}"/>
    <cellStyle name="Note 8 2 9 2" xfId="35850" xr:uid="{E2C2B7F5-6CFE-4150-8982-AE3DEBB6FDEA}"/>
    <cellStyle name="Note 8 3" xfId="17289" xr:uid="{1A088A4A-D448-4A24-AF00-668A76C19AFF}"/>
    <cellStyle name="Note 8 3 2" xfId="17290" xr:uid="{1F3DCAE8-61FA-4453-9B58-0279A74C261B}"/>
    <cellStyle name="Note 8 3 2 2" xfId="17291" xr:uid="{C39E2C87-9860-4029-8D4A-F9660EF23566}"/>
    <cellStyle name="Note 8 3 3" xfId="17292" xr:uid="{E94966B7-EB8E-416E-B4FA-C8E38E8E9C0D}"/>
    <cellStyle name="Note 8 3 4" xfId="35851" xr:uid="{2ECE5135-9797-4A3F-9DB4-D38F999E4F85}"/>
    <cellStyle name="Note 8 3 5" xfId="35852" xr:uid="{9DA5CEE4-D22B-45D8-A50F-FD6A69E447F3}"/>
    <cellStyle name="Note 8 3_ELC_final" xfId="35853" xr:uid="{855F47B0-2730-4FBD-A04F-FE76C27CB677}"/>
    <cellStyle name="Note 8 4" xfId="17293" xr:uid="{C139D960-282A-4E23-B284-56A3A55C76AD}"/>
    <cellStyle name="Note 8 4 2" xfId="17294" xr:uid="{A006A979-84A4-42C2-ACE3-CA9C1EF9E449}"/>
    <cellStyle name="Note 8 4 3" xfId="35854" xr:uid="{B181EAC4-808F-4552-9970-1736069FD2D3}"/>
    <cellStyle name="Note 8 4 4" xfId="35855" xr:uid="{9253D387-131E-41C4-8A80-0F8BE4FA79ED}"/>
    <cellStyle name="Note 8 4 5" xfId="35856" xr:uid="{70C4BE94-869D-4867-A1D9-8DD4FA6015D3}"/>
    <cellStyle name="Note 8 5" xfId="17295" xr:uid="{94CBF3A5-ABF8-4FF2-9F78-C10E191A30EF}"/>
    <cellStyle name="Note 8 5 2" xfId="17296" xr:uid="{AA02DE2D-A96F-4DFC-BAE8-07462F2EB533}"/>
    <cellStyle name="Note 8 5 3" xfId="35857" xr:uid="{2AE7381B-3664-4FC7-A2FD-4154E0C1ABCE}"/>
    <cellStyle name="Note 8 5 4" xfId="35858" xr:uid="{21C02605-49D6-4F19-B1D9-4229EEFA1B23}"/>
    <cellStyle name="Note 8 6" xfId="17297" xr:uid="{4F29AF48-0321-430B-8444-87E6159FC811}"/>
    <cellStyle name="Note 8 6 2" xfId="17298" xr:uid="{4C8C4060-D268-48E0-B868-6E48D9668043}"/>
    <cellStyle name="Note 8 6 3" xfId="35859" xr:uid="{10AB50C6-EC8F-4C11-92AB-22FF1BBDE1BD}"/>
    <cellStyle name="Note 8 6 4" xfId="35860" xr:uid="{3A25A9F1-7C1A-43C2-8DC2-BA2662D7D8DD}"/>
    <cellStyle name="Note 8 7" xfId="17299" xr:uid="{C00B83D2-0615-4201-8226-169E74961600}"/>
    <cellStyle name="Note 8 7 2" xfId="17300" xr:uid="{A550888C-CB7A-4251-B43E-658BEE68DB5D}"/>
    <cellStyle name="Note 8 7 3" xfId="35861" xr:uid="{016902DD-463C-4B0B-8BF6-E5759FE9BB98}"/>
    <cellStyle name="Note 8 7 4" xfId="35862" xr:uid="{8F960FC4-CC48-4243-8000-B53A819A009A}"/>
    <cellStyle name="Note 8 8" xfId="17301" xr:uid="{0812E3EC-8CFD-45C7-A9AB-490CB854D070}"/>
    <cellStyle name="Note 8 8 2" xfId="17302" xr:uid="{E5C7E4D4-AA8B-424E-816C-83592EF67312}"/>
    <cellStyle name="Note 8 8 3" xfId="35863" xr:uid="{3059E809-ECF1-4AA1-B2B5-5E99C44F0F1A}"/>
    <cellStyle name="Note 8 8 4" xfId="35864" xr:uid="{4353387F-F187-4981-8A5F-9A2D0E33106C}"/>
    <cellStyle name="Note 8 9" xfId="17303" xr:uid="{E83EA260-B251-4685-A8A4-702B488ECDC8}"/>
    <cellStyle name="Note 8 9 2" xfId="17304" xr:uid="{653AADA3-80DE-4601-8497-ACA2F6848E05}"/>
    <cellStyle name="Note 8 9 3" xfId="35865" xr:uid="{D4C939E7-1A0C-4D31-8F7F-418AE9A3EE50}"/>
    <cellStyle name="Note 8 9 4" xfId="35866" xr:uid="{3B62ECC7-02E1-46DF-9F11-99C5D215054E}"/>
    <cellStyle name="Note 8_ELC_final" xfId="35867" xr:uid="{5A549442-47E5-45A9-9688-2D65815561C3}"/>
    <cellStyle name="Note 9" xfId="17305" xr:uid="{A90F2ADB-9B68-482C-A133-5977F6B89AA7}"/>
    <cellStyle name="Note 9 10" xfId="17306" xr:uid="{8273677C-5C7A-4716-917E-5E119E2AC42B}"/>
    <cellStyle name="Note 9 10 2" xfId="35868" xr:uid="{B1694235-A5A1-428C-B57C-458338C053E8}"/>
    <cellStyle name="Note 9 11" xfId="17307" xr:uid="{C2E877AF-2F91-42B3-9D29-7D3452A7D7CA}"/>
    <cellStyle name="Note 9 11 2" xfId="35869" xr:uid="{954AABB4-F5B9-4430-9D8E-6770B41C71BE}"/>
    <cellStyle name="Note 9 12" xfId="35870" xr:uid="{C5E24328-4A3B-4763-9100-E817D1D96326}"/>
    <cellStyle name="Note 9 13" xfId="35871" xr:uid="{D7D12AE3-CA93-4645-867C-6D67216800F2}"/>
    <cellStyle name="Note 9 2" xfId="17308" xr:uid="{8C23EC72-13E3-4671-8DBF-07FDEF4F9D61}"/>
    <cellStyle name="Note 9 2 10" xfId="17309" xr:uid="{A21DE210-FD09-4932-8C56-C7AF21021CA7}"/>
    <cellStyle name="Note 9 2 10 2" xfId="35872" xr:uid="{BC19FEBC-710D-4629-94CC-F3C7BE01A57E}"/>
    <cellStyle name="Note 9 2 11" xfId="35873" xr:uid="{E3F83F27-D12B-4FCD-8728-C57204A46A80}"/>
    <cellStyle name="Note 9 2 12" xfId="35874" xr:uid="{A6A5202B-D60A-4849-B9EF-A8A266219D37}"/>
    <cellStyle name="Note 9 2 2" xfId="17310" xr:uid="{13A502E8-0BDF-458A-A700-9B0CECC4E7F4}"/>
    <cellStyle name="Note 9 2 2 2" xfId="17311" xr:uid="{C707C85D-75BD-4E42-8A22-B6CDA292B885}"/>
    <cellStyle name="Note 9 2 2 2 2" xfId="17312" xr:uid="{07E0E581-2E54-4E81-8C82-1BA0269C14C4}"/>
    <cellStyle name="Note 9 2 2 3" xfId="17313" xr:uid="{379C1AC9-6F4A-4B41-B0FA-ABA77FECB3FF}"/>
    <cellStyle name="Note 9 2 2 4" xfId="35875" xr:uid="{77357D78-89EC-4B91-845B-5248DE00A3B7}"/>
    <cellStyle name="Note 9 2 3" xfId="17314" xr:uid="{E1A70D4C-4B7F-47DC-A625-07D0013CAB0E}"/>
    <cellStyle name="Note 9 2 3 2" xfId="17315" xr:uid="{387D0643-72C5-4470-85AB-104377403D43}"/>
    <cellStyle name="Note 9 2 3 3" xfId="35876" xr:uid="{674AB339-1D43-40BF-8B5C-ECFCACD66F2D}"/>
    <cellStyle name="Note 9 2 3 4" xfId="35877" xr:uid="{AEAD1DD6-132F-4971-8AF4-EA20A5AB86A4}"/>
    <cellStyle name="Note 9 2 4" xfId="17316" xr:uid="{F46977DE-17C7-48F3-9D31-BB861D06ED55}"/>
    <cellStyle name="Note 9 2 4 2" xfId="17317" xr:uid="{6692CC83-29F6-4FB9-A2DC-0DDA025B28E4}"/>
    <cellStyle name="Note 9 2 4 3" xfId="35878" xr:uid="{8F2EC355-5EEA-43FA-9D4C-DDFE803D37DF}"/>
    <cellStyle name="Note 9 2 4 4" xfId="35879" xr:uid="{990AC6B4-D4E1-4FA5-86CF-08F754C3A91D}"/>
    <cellStyle name="Note 9 2 5" xfId="17318" xr:uid="{C00BAFDE-10EF-4EFF-8799-977C680EE20A}"/>
    <cellStyle name="Note 9 2 5 2" xfId="17319" xr:uid="{286E3B8D-FD36-482C-BBB0-C565ECBC786D}"/>
    <cellStyle name="Note 9 2 5 3" xfId="35880" xr:uid="{DAC2ED5A-5549-40AC-B313-F8DD18236C7A}"/>
    <cellStyle name="Note 9 2 5 4" xfId="35881" xr:uid="{3AF738C8-A5B2-4EF7-BB1F-E640D43857BC}"/>
    <cellStyle name="Note 9 2 6" xfId="17320" xr:uid="{CD996E59-A8E4-44A7-8B5E-E5049364549D}"/>
    <cellStyle name="Note 9 2 6 2" xfId="17321" xr:uid="{38A7CEE8-F5E6-44F9-9013-72FDB44E2F59}"/>
    <cellStyle name="Note 9 2 6 3" xfId="35882" xr:uid="{04B36631-DE34-4537-BA5D-8106FE5BE4B1}"/>
    <cellStyle name="Note 9 2 6 4" xfId="35883" xr:uid="{70921A2E-F521-44A4-87E2-86BC61C0AE03}"/>
    <cellStyle name="Note 9 2 7" xfId="17322" xr:uid="{F60D8417-10A4-449D-BFF7-4C7F66100FF9}"/>
    <cellStyle name="Note 9 2 7 2" xfId="17323" xr:uid="{9E92FBF3-D5D6-47D6-9147-8F515BFA1501}"/>
    <cellStyle name="Note 9 2 7 3" xfId="35884" xr:uid="{3009672F-0376-42D0-92BA-62A3F9BCBA9C}"/>
    <cellStyle name="Note 9 2 7 4" xfId="35885" xr:uid="{CEA22C67-C07B-4A1D-83B8-1B48D90E9F26}"/>
    <cellStyle name="Note 9 2 8" xfId="17324" xr:uid="{CAEF238B-B36A-4A26-ADC0-85AAB29149F4}"/>
    <cellStyle name="Note 9 2 8 2" xfId="17325" xr:uid="{360A95A0-E14B-46B5-B4C5-B964DF548D8C}"/>
    <cellStyle name="Note 9 2 8 3" xfId="35886" xr:uid="{D74A2F28-1A6C-496D-B2F5-CBCA9D32535D}"/>
    <cellStyle name="Note 9 2 8 4" xfId="35887" xr:uid="{6827E153-2A7F-4A4A-814F-B30391AEA7A8}"/>
    <cellStyle name="Note 9 2 9" xfId="17326" xr:uid="{E8902201-F07C-41EC-B87A-8672A2BA68CA}"/>
    <cellStyle name="Note 9 2 9 2" xfId="35888" xr:uid="{FF0CE3EC-8C14-4519-9E09-4A691B31BF58}"/>
    <cellStyle name="Note 9 3" xfId="17327" xr:uid="{9EE395C8-8986-462B-85DA-A37E3270BF56}"/>
    <cellStyle name="Note 9 3 2" xfId="17328" xr:uid="{250D2CF5-0254-4243-8BA8-157AE4FF99D5}"/>
    <cellStyle name="Note 9 3 2 2" xfId="17329" xr:uid="{7D5547EA-9B0B-4E36-856E-2DA375EA3132}"/>
    <cellStyle name="Note 9 3 3" xfId="17330" xr:uid="{89BF706C-9270-4A99-9B99-D44EAFD73828}"/>
    <cellStyle name="Note 9 3 4" xfId="35889" xr:uid="{0F856BEE-C36D-4ACE-A2EA-9373BE7B372C}"/>
    <cellStyle name="Note 9 3 5" xfId="35890" xr:uid="{FB315E08-8E01-4141-A855-FF39DC5292A4}"/>
    <cellStyle name="Note 9 3_ELC_final" xfId="35891" xr:uid="{58DF1ADE-F63B-4601-85B2-E5BE0C5E82DE}"/>
    <cellStyle name="Note 9 4" xfId="17331" xr:uid="{536898DA-8272-4AFE-9184-75822F1494EA}"/>
    <cellStyle name="Note 9 4 2" xfId="17332" xr:uid="{4C4587A0-3C0B-490E-9ADB-2F17547E1A46}"/>
    <cellStyle name="Note 9 4 3" xfId="35892" xr:uid="{4FB961D5-949C-4F61-8F9C-FF8B096B354B}"/>
    <cellStyle name="Note 9 4 4" xfId="35893" xr:uid="{E3065FBA-F51B-445A-B433-8FD2C7261D19}"/>
    <cellStyle name="Note 9 4 5" xfId="35894" xr:uid="{9AB16F37-97B8-4E2A-8FFA-25CE885D848B}"/>
    <cellStyle name="Note 9 5" xfId="17333" xr:uid="{D6901B23-F74F-4F06-A0AF-127459C5A274}"/>
    <cellStyle name="Note 9 5 2" xfId="17334" xr:uid="{17211A89-D1AF-4FC8-AE65-98958B2B293A}"/>
    <cellStyle name="Note 9 5 3" xfId="35895" xr:uid="{9B70FF4D-9BBF-4FB6-A87B-34C78E0EB122}"/>
    <cellStyle name="Note 9 5 4" xfId="35896" xr:uid="{F9B9A4D1-BD41-4CFB-BB76-010412C1074B}"/>
    <cellStyle name="Note 9 6" xfId="17335" xr:uid="{89430D6B-373D-4A9C-88C9-A14C7C351BC3}"/>
    <cellStyle name="Note 9 6 2" xfId="17336" xr:uid="{B1CB8C1D-4285-493A-A669-CDE4CC34BD1F}"/>
    <cellStyle name="Note 9 6 3" xfId="35897" xr:uid="{FB63F68B-FC74-4663-82A5-9AC962C75408}"/>
    <cellStyle name="Note 9 6 4" xfId="35898" xr:uid="{294BE66F-FD40-469B-89FC-68A2E942B441}"/>
    <cellStyle name="Note 9 7" xfId="17337" xr:uid="{A0CB1A4A-85F6-4070-8279-96F7E1296EE9}"/>
    <cellStyle name="Note 9 7 2" xfId="17338" xr:uid="{E9CA54FC-0B81-40B0-9B5F-7EAD3A83B4D1}"/>
    <cellStyle name="Note 9 7 3" xfId="35899" xr:uid="{464C5350-3590-4304-8034-84CBAFF85AE2}"/>
    <cellStyle name="Note 9 7 4" xfId="35900" xr:uid="{CB05E144-8318-4B8E-A122-2F8F975257DA}"/>
    <cellStyle name="Note 9 8" xfId="17339" xr:uid="{2EF17097-8C90-479F-A3E0-4CCB3B74A15C}"/>
    <cellStyle name="Note 9 8 2" xfId="17340" xr:uid="{300F9884-C91D-4276-BEEB-340CC1E3D16B}"/>
    <cellStyle name="Note 9 8 3" xfId="35901" xr:uid="{9972125A-0652-44B6-87BD-62F627074115}"/>
    <cellStyle name="Note 9 8 4" xfId="35902" xr:uid="{14942DBD-9169-4259-83D7-7E2EA358A525}"/>
    <cellStyle name="Note 9 9" xfId="17341" xr:uid="{E4B96B46-BF9A-485F-A4C4-0FF6F8468E18}"/>
    <cellStyle name="Note 9 9 2" xfId="17342" xr:uid="{3E23215D-E7A4-4636-B261-AFD4B1EE919F}"/>
    <cellStyle name="Note 9 9 3" xfId="35903" xr:uid="{010C2C70-86A9-402E-9F59-744E2FDCB299}"/>
    <cellStyle name="Note 9 9 4" xfId="35904" xr:uid="{523AFBF5-5964-4F21-9DFE-53B3E72CCEFC}"/>
    <cellStyle name="Note 9_ELC_final" xfId="35905" xr:uid="{1E9A41E4-362F-4455-8425-04A80D7E9B59}"/>
    <cellStyle name="Notiz" xfId="17343" xr:uid="{DA65A6A0-2B70-4D6F-8B3A-8DDF5F6D8405}"/>
    <cellStyle name="Notiz 10" xfId="44843" xr:uid="{A5AC7AD9-00DA-4566-AAF0-9143A0E9C5D7}"/>
    <cellStyle name="Notiz 2" xfId="17344" xr:uid="{C0DDD54A-49F5-4B36-8D45-231C73E12932}"/>
    <cellStyle name="Notiz 2 2" xfId="35906" xr:uid="{A72CFD1C-8B60-4FFC-8322-7C729B60814E}"/>
    <cellStyle name="Notiz 2 2 2" xfId="35907" xr:uid="{29FBC7B7-B0D0-4130-821C-4ECB0748A0AD}"/>
    <cellStyle name="Notiz 2 2 3" xfId="44879" xr:uid="{426BDFC3-D6A1-41A1-B32F-5DF12C29E5A4}"/>
    <cellStyle name="Notiz 2 2 4" xfId="44857" xr:uid="{60B8E3FB-CB83-4852-8B21-B0B82E1F503E}"/>
    <cellStyle name="Notiz 2 3" xfId="35908" xr:uid="{5DDF6B59-264D-4F5D-A108-2172E369623F}"/>
    <cellStyle name="Notiz 2 3 2" xfId="35909" xr:uid="{16CED17C-2BF5-44C5-813E-4A2CB1B2783B}"/>
    <cellStyle name="Notiz 2 4" xfId="35910" xr:uid="{6C8B506D-2FC1-4672-94A2-3520D7CA8526}"/>
    <cellStyle name="Notiz 2 5" xfId="45104" xr:uid="{427BF873-9526-4298-A165-DE95F7CB5D90}"/>
    <cellStyle name="Notiz 2 6" xfId="45416" xr:uid="{989B1306-070E-4DCC-81A0-8BF17B517588}"/>
    <cellStyle name="Notiz 3" xfId="35911" xr:uid="{B250D69E-670C-4A23-B9F1-3A408D159A82}"/>
    <cellStyle name="Notiz 3 2" xfId="35912" xr:uid="{8D370D25-2DF7-4B99-B57F-CBDE540955B3}"/>
    <cellStyle name="Notiz 3 2 2" xfId="44968" xr:uid="{16A8F0CC-B828-4578-825F-E0FC77569B58}"/>
    <cellStyle name="Notiz 3 2 3" xfId="44861" xr:uid="{5DC8677F-96E5-4BDA-99FA-7C025DC31D49}"/>
    <cellStyle name="Notiz 3 3" xfId="42992" xr:uid="{5E94B699-F618-4917-95C4-15F40B7257E7}"/>
    <cellStyle name="Notiz 3 4" xfId="45020" xr:uid="{1CD095EC-A3E0-495D-AB74-4F7B632622F9}"/>
    <cellStyle name="Notiz 3 5" xfId="45057" xr:uid="{2FCCD933-8FB5-4B07-9A68-B7E620974EB9}"/>
    <cellStyle name="Notiz 4" xfId="35913" xr:uid="{871BE0EA-40FF-459F-9ADA-752422F208AD}"/>
    <cellStyle name="Notiz 4 2" xfId="35914" xr:uid="{61FA6F8B-253C-4368-A2D0-3EB2B1715994}"/>
    <cellStyle name="Notiz 4 2 2" xfId="44014" xr:uid="{AD0D19AF-DF4B-4181-B02B-B43A787B8331}"/>
    <cellStyle name="Notiz 4 2 3" xfId="44850" xr:uid="{A164FAE1-44DE-46E7-ACC4-6A0B84467265}"/>
    <cellStyle name="Notiz 4 3" xfId="45228" xr:uid="{66971AEB-003B-44DC-8244-70FEE8AC015B}"/>
    <cellStyle name="Notiz 4 4" xfId="45492" xr:uid="{EEE76617-B4D1-41F3-A137-8A9184373417}"/>
    <cellStyle name="Notiz 5" xfId="35915" xr:uid="{7E03C8EE-ABE0-44C3-9FA4-B7D5986807AC}"/>
    <cellStyle name="Notiz 5 2" xfId="44136" xr:uid="{2648FB68-CB19-48C7-ADEE-27FFB80A9B5C}"/>
    <cellStyle name="Notiz 5 3" xfId="45372" xr:uid="{2F6D9132-C439-4352-A734-AA4BF0389952}"/>
    <cellStyle name="Notiz 6" xfId="35916" xr:uid="{029353FF-B8A9-4C4A-84D5-DA043417D08A}"/>
    <cellStyle name="Notiz 7" xfId="42991" xr:uid="{60D9BA08-0196-4311-9462-76CB3DD3263B}"/>
    <cellStyle name="Notiz 8" xfId="44146" xr:uid="{AB9B5B00-A26D-4CB4-BAB4-4F0FA996850A}"/>
    <cellStyle name="Notiz 9" xfId="44963" xr:uid="{BDBE6B78-51C5-48F3-BC76-4812ABEBF2AD}"/>
    <cellStyle name="num_note" xfId="17345" xr:uid="{98514A05-4B2A-4EB0-92D2-52D4FF3F86E0}"/>
    <cellStyle name="Number [0.0]" xfId="35917" xr:uid="{271B2DE6-7585-4A5B-A4C2-083F3C09EF70}"/>
    <cellStyle name="Number [0.0] 2" xfId="35918" xr:uid="{7EA15333-8620-45DA-9A67-2298402D49BA}"/>
    <cellStyle name="NumberCellStyle" xfId="90" xr:uid="{095C2B63-C126-471F-A95F-FBB53569BD58}"/>
    <cellStyle name="Nuovo" xfId="17346" xr:uid="{A88AE9BE-1DA9-41E8-B86C-9DE5D874AF6D}"/>
    <cellStyle name="Nuovo 10" xfId="35919" xr:uid="{F62C0656-16E5-486E-AB07-44D5CA0B2EB6}"/>
    <cellStyle name="Nuovo 11" xfId="35920" xr:uid="{12A370FD-1267-41B1-91CD-57F0709E4ABC}"/>
    <cellStyle name="Nuovo 12" xfId="35921" xr:uid="{1D4F5C27-F7CB-496A-95FB-B9A48B320B13}"/>
    <cellStyle name="Nuovo 13" xfId="35922" xr:uid="{C62C6122-5903-453F-A961-B85176D4A151}"/>
    <cellStyle name="Nuovo 14" xfId="35923" xr:uid="{3D315C72-FDAC-4797-AECA-E9F506E046BD}"/>
    <cellStyle name="Nuovo 15" xfId="35924" xr:uid="{A105868B-EE33-4792-AFD1-AF7638785ABA}"/>
    <cellStyle name="Nuovo 16" xfId="35925" xr:uid="{78B57E35-2710-45FD-811F-00D4E33464A3}"/>
    <cellStyle name="Nuovo 17" xfId="35926" xr:uid="{C4D9D435-9502-47E0-941A-D86C803FC1B0}"/>
    <cellStyle name="Nuovo 18" xfId="35927" xr:uid="{3E75AA7C-7DF4-4FBD-A0B6-510AA569182A}"/>
    <cellStyle name="Nuovo 19" xfId="35928" xr:uid="{60EE367F-F9B9-45A5-BAE4-74304684CF01}"/>
    <cellStyle name="Nuovo 2" xfId="17347" xr:uid="{CD5529EF-9F3F-4C38-A3B9-15F0C48ABF24}"/>
    <cellStyle name="Nuovo 2 2" xfId="42993" xr:uid="{9B6B5BE5-4DA7-4DD3-B0C2-C1DB070FD4B7}"/>
    <cellStyle name="Nuovo 2 3" xfId="42994" xr:uid="{8F9E097B-3C7D-4C99-9E2B-D2A913565A2A}"/>
    <cellStyle name="Nuovo 2 4" xfId="42995" xr:uid="{5A90D0A9-6F10-4666-9AC8-A16165439213}"/>
    <cellStyle name="Nuovo 20" xfId="35929" xr:uid="{BC07F57A-94D4-4809-AF24-5945224B39FC}"/>
    <cellStyle name="Nuovo 21" xfId="35930" xr:uid="{53536C6C-5A09-4988-9B59-BF35671C3967}"/>
    <cellStyle name="Nuovo 22" xfId="35931" xr:uid="{0D4701D2-7826-48D8-AD38-3D2DCF20B5C8}"/>
    <cellStyle name="Nuovo 23" xfId="35932" xr:uid="{B5DDA7F6-3636-4EE6-86B5-064E818FF50F}"/>
    <cellStyle name="Nuovo 24" xfId="35933" xr:uid="{AB95DFC5-FE2F-4309-8DDF-CF4B3CE039A3}"/>
    <cellStyle name="Nuovo 25" xfId="35934" xr:uid="{6DADD117-FE52-4682-A9EE-01AD2B30891A}"/>
    <cellStyle name="Nuovo 26" xfId="35935" xr:uid="{D9A25A90-6ADB-4A82-A3F4-7FABCD7C624A}"/>
    <cellStyle name="Nuovo 27" xfId="35936" xr:uid="{4CA6303F-9AD0-4608-AD72-8C45CE4A23BF}"/>
    <cellStyle name="Nuovo 28" xfId="35937" xr:uid="{615EDB3D-62E9-417B-B43B-AE0D2E18BDA4}"/>
    <cellStyle name="Nuovo 29" xfId="35938" xr:uid="{54CD2155-6CD6-4966-8687-54FD60492C2E}"/>
    <cellStyle name="Nuovo 3" xfId="17348" xr:uid="{FC183FAC-66B6-447E-AD96-5DF900F873D5}"/>
    <cellStyle name="Nuovo 3 2" xfId="17349" xr:uid="{2286E813-A379-44F6-A58E-684321986901}"/>
    <cellStyle name="Nuovo 30" xfId="35939" xr:uid="{24D98159-C23F-4CB7-8195-B280A0BFB216}"/>
    <cellStyle name="Nuovo 31" xfId="35940" xr:uid="{CB9C11B8-792B-47E4-9BF8-2AA43D9AA5C5}"/>
    <cellStyle name="Nuovo 32" xfId="35941" xr:uid="{9E92360D-697A-41FB-9FA2-C8FF7B7EC3DE}"/>
    <cellStyle name="Nuovo 33" xfId="35942" xr:uid="{4D3F11FF-6EFD-4697-87E5-1B6ED9D7D38E}"/>
    <cellStyle name="Nuovo 34" xfId="35943" xr:uid="{ACE20604-F8EB-4438-BCE9-0D24158A06BA}"/>
    <cellStyle name="Nuovo 35" xfId="35944" xr:uid="{2D6CF839-64D6-4B57-A9BA-1FAA923884C2}"/>
    <cellStyle name="Nuovo 36" xfId="35945" xr:uid="{2EE7B475-815A-46E9-9ED8-573E0A5D9432}"/>
    <cellStyle name="Nuovo 37" xfId="35946" xr:uid="{5C9C9157-B489-4624-9072-2DBC970959F5}"/>
    <cellStyle name="Nuovo 38" xfId="35947" xr:uid="{7DF6E6DB-3561-4EAE-87AC-C504AA41C331}"/>
    <cellStyle name="Nuovo 4" xfId="35948" xr:uid="{B0BEB372-7D08-4123-B00C-6A9B7FC8D501}"/>
    <cellStyle name="Nuovo 4 2" xfId="42996" xr:uid="{39AB1EA8-E088-4C5F-8DAD-5E30B8054B21}"/>
    <cellStyle name="Nuovo 5" xfId="35949" xr:uid="{3F426E49-06F5-456D-9910-E8E833C930E7}"/>
    <cellStyle name="Nuovo 6" xfId="35950" xr:uid="{3709C1A5-99E7-4B4B-8FFE-9288D1A6EC27}"/>
    <cellStyle name="Nuovo 7" xfId="35951" xr:uid="{3A1924A5-C270-4DFE-80AB-1E51B97B583F}"/>
    <cellStyle name="Nuovo 8" xfId="35952" xr:uid="{98659E42-553D-4AC6-9822-34159A018FFF}"/>
    <cellStyle name="Nuovo 9" xfId="35953" xr:uid="{40F87AC3-A49B-45C4-8E9A-290259D2EBA6}"/>
    <cellStyle name="Összesen" xfId="17350" xr:uid="{4DC73FFC-9264-45C4-A300-80E9973D93F3}"/>
    <cellStyle name="Összesen 10" xfId="17351" xr:uid="{070D233E-C36E-411C-B5F9-856762CA5572}"/>
    <cellStyle name="Összesen 10 2" xfId="35954" xr:uid="{F94889B3-00DD-4DA0-B99D-31C0A689D5E1}"/>
    <cellStyle name="Összesen 2" xfId="17352" xr:uid="{E0C4045E-B442-4182-B488-8161C60F435C}"/>
    <cellStyle name="Összesen 2 2" xfId="17353" xr:uid="{0BE62E0E-91C6-48A1-BFF2-BE342D1820B1}"/>
    <cellStyle name="Összesen 2 3" xfId="17354" xr:uid="{79AD2354-476F-469F-B34B-746A496A403A}"/>
    <cellStyle name="Összesen 2 4" xfId="17355" xr:uid="{3DE44F15-108E-400F-B399-F8AAC7EC16DE}"/>
    <cellStyle name="Összesen 3" xfId="17356" xr:uid="{6EADFC2A-CAED-4B67-B41B-D0490775D918}"/>
    <cellStyle name="Összesen 3 2" xfId="17357" xr:uid="{870BDCA1-F1FB-4AF5-B36F-38FC52BF37B4}"/>
    <cellStyle name="Összesen 3 3" xfId="35955" xr:uid="{790F4B0F-5678-4652-A857-56D577F70ECA}"/>
    <cellStyle name="Összesen 4" xfId="17358" xr:uid="{7A53C9A7-F0D8-4F09-A4AC-2464034A347D}"/>
    <cellStyle name="Összesen 4 2" xfId="17359" xr:uid="{166BEFB0-56C2-4B06-B6E7-BEFFE337350B}"/>
    <cellStyle name="Összesen 4 3" xfId="35956" xr:uid="{5AA63A68-9A36-4853-A7E2-1D43B1DD200E}"/>
    <cellStyle name="Összesen 5" xfId="17360" xr:uid="{F24651EC-F601-4C23-9E2D-9ED635D96554}"/>
    <cellStyle name="Összesen 5 2" xfId="17361" xr:uid="{B2275A9E-063F-47F9-9BA9-F214E23CFA9D}"/>
    <cellStyle name="Összesen 5 3" xfId="35957" xr:uid="{AF7D724B-C47A-45D6-B004-74381F8D16B4}"/>
    <cellStyle name="Összesen 6" xfId="17362" xr:uid="{7876D9CA-75AD-4D3F-A79D-7DE5E4709FDD}"/>
    <cellStyle name="Összesen 6 2" xfId="17363" xr:uid="{20337F94-AF32-4258-BD0B-492186261482}"/>
    <cellStyle name="Összesen 6 3" xfId="35958" xr:uid="{29713452-4A1B-4FB9-980A-8313731DC438}"/>
    <cellStyle name="Összesen 7" xfId="17364" xr:uid="{E6984EA6-84B0-4402-8F6A-1D2C4C8BABBD}"/>
    <cellStyle name="Összesen 7 2" xfId="17365" xr:uid="{80C69118-E238-42D4-8A79-27AC0A6818D6}"/>
    <cellStyle name="Összesen 7 3" xfId="35959" xr:uid="{55745CB1-3E07-4A5F-B817-7E580F8DB630}"/>
    <cellStyle name="Összesen 8" xfId="17366" xr:uid="{D8700490-CAA4-42AB-96D5-6BF1D499AFCC}"/>
    <cellStyle name="Összesen 8 2" xfId="17367" xr:uid="{6E81E505-2101-4DDF-BAA4-534F2ECCA56F}"/>
    <cellStyle name="Összesen 8 3" xfId="35960" xr:uid="{E79A89BB-8CE1-4A1A-A3E8-108DBC561381}"/>
    <cellStyle name="Összesen 9" xfId="17368" xr:uid="{7B6C8085-0898-4990-8025-EAF65B2C8A8F}"/>
    <cellStyle name="Összesen 9 2" xfId="35961" xr:uid="{ADCA8989-D605-4511-B651-6F47B2216B18}"/>
    <cellStyle name="Összesen 9 3" xfId="35962" xr:uid="{337DCFB2-A5F4-4137-8D1A-59388848BB7A}"/>
    <cellStyle name="Output" xfId="65" builtinId="21" customBuiltin="1"/>
    <cellStyle name="Output 10" xfId="17369" xr:uid="{37413C2A-6201-45E8-BAF8-FE3C0437359F}"/>
    <cellStyle name="Output 10 10" xfId="17370" xr:uid="{64CFA10E-82D9-44A2-8092-7C1B20DB6127}"/>
    <cellStyle name="Output 10 10 2" xfId="35963" xr:uid="{06122DE8-228C-4753-B1C5-1993E480FE46}"/>
    <cellStyle name="Output 10 10 3" xfId="35964" xr:uid="{90AC55E3-C215-45D3-A28C-25A71E7B0D96}"/>
    <cellStyle name="Output 10 11" xfId="17371" xr:uid="{ACD50AAE-0A14-4809-B706-C3C0CEA71BAE}"/>
    <cellStyle name="Output 10 11 2" xfId="35965" xr:uid="{6091BC8F-E404-4E47-827A-12523B672E85}"/>
    <cellStyle name="Output 10 12" xfId="35966" xr:uid="{832F1CE9-8ECD-430B-A3F0-1ACF25975433}"/>
    <cellStyle name="Output 10 13" xfId="42997" xr:uid="{A0115D1B-31BA-499B-8C43-9B377627B40C}"/>
    <cellStyle name="Output 10 14" xfId="42259" xr:uid="{F7B06677-BB9B-479F-9FF1-C76DFC062832}"/>
    <cellStyle name="Output 10 15" xfId="43915" xr:uid="{8BFAC5AA-E177-4173-880B-FF84B0E846A8}"/>
    <cellStyle name="Output 10 2" xfId="17372" xr:uid="{49585F7A-599D-4B4B-A2C4-A80ED88F2A8B}"/>
    <cellStyle name="Output 10 2 10" xfId="17373" xr:uid="{861EB604-7292-4EAD-B668-F5DC59008BAD}"/>
    <cellStyle name="Output 10 2 10 2" xfId="35967" xr:uid="{F6F399EE-4614-4989-A6D3-87BC3373FBF3}"/>
    <cellStyle name="Output 10 2 2" xfId="17374" xr:uid="{AA88B597-16F8-44DE-BEBA-D7253C2FF2AD}"/>
    <cellStyle name="Output 10 2 2 2" xfId="17375" xr:uid="{1C4880F3-546B-4849-B522-3243671DE469}"/>
    <cellStyle name="Output 10 2 2 2 2" xfId="35968" xr:uid="{BC24382A-68F4-4B90-9720-4F34D55F916D}"/>
    <cellStyle name="Output 10 2 2 3" xfId="17376" xr:uid="{73FF3C23-C2DA-49FA-AE18-2EFEFF13F183}"/>
    <cellStyle name="Output 10 2 2 4" xfId="17377" xr:uid="{832769BD-5589-4355-9597-E42A1983403C}"/>
    <cellStyle name="Output 10 2 3" xfId="17378" xr:uid="{DFB1051F-506A-4736-A14E-B9AB2F52F227}"/>
    <cellStyle name="Output 10 2 3 2" xfId="17379" xr:uid="{C67DAB06-424D-41C6-B282-6D6DCBD48007}"/>
    <cellStyle name="Output 10 2 3 3" xfId="35969" xr:uid="{44467D16-861E-46D8-9DF2-A0CC83491CE8}"/>
    <cellStyle name="Output 10 2 4" xfId="17380" xr:uid="{D97952A2-9775-4E0C-866A-9CB9A334C9AB}"/>
    <cellStyle name="Output 10 2 4 2" xfId="17381" xr:uid="{52534ACB-5DAE-47F3-897F-05280658109D}"/>
    <cellStyle name="Output 10 2 4 3" xfId="35970" xr:uid="{09980BAF-DD5B-4359-8DCD-6E88EEBACAEF}"/>
    <cellStyle name="Output 10 2 5" xfId="17382" xr:uid="{4D32F280-E8F6-446D-9A89-1438364ACF02}"/>
    <cellStyle name="Output 10 2 5 2" xfId="17383" xr:uid="{6D98B05B-FCEC-4E29-9F9D-8609BED589B7}"/>
    <cellStyle name="Output 10 2 5 3" xfId="35971" xr:uid="{47EF0B3A-4CF1-4165-8919-1E789FD8CE35}"/>
    <cellStyle name="Output 10 2 6" xfId="17384" xr:uid="{C9FBC2AC-CB71-45B6-8A15-1786E5FFCFF6}"/>
    <cellStyle name="Output 10 2 6 2" xfId="17385" xr:uid="{C5F40CB3-3673-4F9F-8DEA-C1F1824724D4}"/>
    <cellStyle name="Output 10 2 6 3" xfId="35972" xr:uid="{4257B226-49EA-4C0B-BB71-44C8A71A9888}"/>
    <cellStyle name="Output 10 2 7" xfId="17386" xr:uid="{7E7B472B-30AC-4472-9351-1E8986208220}"/>
    <cellStyle name="Output 10 2 7 2" xfId="17387" xr:uid="{D489D5F4-D55A-411A-8543-5DA171017919}"/>
    <cellStyle name="Output 10 2 7 3" xfId="35973" xr:uid="{82ACFAD3-6200-4B06-88D9-FDDFE9F661CF}"/>
    <cellStyle name="Output 10 2 8" xfId="17388" xr:uid="{D0719935-6907-4F22-8B8D-ADE452ECE2A7}"/>
    <cellStyle name="Output 10 2 8 2" xfId="17389" xr:uid="{6E85E0FB-0662-4ED1-954C-CA4A6A5C117F}"/>
    <cellStyle name="Output 10 2 8 3" xfId="35974" xr:uid="{559C5FD9-91BC-47DC-84F6-B6A975A145A4}"/>
    <cellStyle name="Output 10 2 9" xfId="17390" xr:uid="{42D8F4E8-4C10-43CE-A2F2-AEBD36CD8795}"/>
    <cellStyle name="Output 10 2 9 2" xfId="35975" xr:uid="{3F936779-FD19-41E8-A130-D5A42F941F25}"/>
    <cellStyle name="Output 10 2 9 3" xfId="35976" xr:uid="{0A8CFF1B-8759-44FF-8F54-2114F90F6F80}"/>
    <cellStyle name="Output 10 3" xfId="17391" xr:uid="{AD371659-8D5A-4159-BF25-94AC44A6C379}"/>
    <cellStyle name="Output 10 3 2" xfId="17392" xr:uid="{27134553-0235-4860-896F-B185CB83032B}"/>
    <cellStyle name="Output 10 3 3" xfId="17393" xr:uid="{A085217A-47D3-486A-93B1-8607DB7A3559}"/>
    <cellStyle name="Output 10 3 4" xfId="17394" xr:uid="{96E1EB0B-E7AB-4D1F-AB5E-41491944FC3A}"/>
    <cellStyle name="Output 10 4" xfId="17395" xr:uid="{95683266-8B60-4F0B-9E23-B02E21E8A95D}"/>
    <cellStyle name="Output 10 4 2" xfId="17396" xr:uid="{A5477DE0-024F-4160-BDC4-7C02B33B73FD}"/>
    <cellStyle name="Output 10 4 3" xfId="35977" xr:uid="{3C8B9D9F-5E7C-4A95-AE3F-FAAC18571D92}"/>
    <cellStyle name="Output 10 5" xfId="17397" xr:uid="{7BE1C185-9B1D-402B-88D8-071CFBC8BED7}"/>
    <cellStyle name="Output 10 5 2" xfId="17398" xr:uid="{022385B3-232F-46FD-BB5A-CE1CBBA258D6}"/>
    <cellStyle name="Output 10 5 3" xfId="35978" xr:uid="{0B8B966F-000D-4E01-B659-50900395E5B0}"/>
    <cellStyle name="Output 10 6" xfId="17399" xr:uid="{69F5474C-5138-4BCA-9DA0-07C5E2CCC67A}"/>
    <cellStyle name="Output 10 6 2" xfId="17400" xr:uid="{8417C489-B1EC-465C-92A5-A7B0D7295605}"/>
    <cellStyle name="Output 10 6 3" xfId="35979" xr:uid="{F8F8DB1D-EDCE-4D5A-9D98-479DA19A022B}"/>
    <cellStyle name="Output 10 7" xfId="17401" xr:uid="{333A58BD-17D1-4A72-BEBB-2E4CF1FB6F6A}"/>
    <cellStyle name="Output 10 7 2" xfId="17402" xr:uid="{4F069B13-6CAD-4A2D-9318-72FA9A434DB4}"/>
    <cellStyle name="Output 10 7 3" xfId="35980" xr:uid="{0E80F211-EB5A-4094-83BF-6F459FFAD649}"/>
    <cellStyle name="Output 10 8" xfId="17403" xr:uid="{AC00E93F-2439-41DC-B17A-F70FD56C9003}"/>
    <cellStyle name="Output 10 8 2" xfId="17404" xr:uid="{6E7105C4-0E2F-46B7-8C73-DB48C9DF65A2}"/>
    <cellStyle name="Output 10 8 3" xfId="35981" xr:uid="{7A8BB167-E932-4A69-B425-5382A15EC18E}"/>
    <cellStyle name="Output 10 9" xfId="17405" xr:uid="{F845DD30-6CDE-449E-AF32-04EFDA616A88}"/>
    <cellStyle name="Output 10 9 2" xfId="17406" xr:uid="{D7CCEFB1-43D5-4FB8-B77B-69B14998A77E}"/>
    <cellStyle name="Output 10 9 3" xfId="35982" xr:uid="{AEAF9E89-9FD4-479B-AD61-C45BC2474A71}"/>
    <cellStyle name="Output 11" xfId="35983" xr:uid="{D0C101F9-45FB-4D0C-A89A-27B532A90FE4}"/>
    <cellStyle name="Output 11 2" xfId="42998" xr:uid="{06D19437-063B-43FC-AE84-65DE3DC86B34}"/>
    <cellStyle name="Output 11 3" xfId="42258" xr:uid="{4EA3DAD2-0140-4765-946B-B05773D95490}"/>
    <cellStyle name="Output 11 4" xfId="43916" xr:uid="{716DAF70-D985-4762-9F62-24FB181A7CCB}"/>
    <cellStyle name="Output 12" xfId="35984" xr:uid="{640E4D53-0C29-4167-93F7-EFA7BF520744}"/>
    <cellStyle name="Output 12 2" xfId="42999" xr:uid="{8C4CF17D-7095-4E13-96D5-FC00BE380C24}"/>
    <cellStyle name="Output 12 3" xfId="42257" xr:uid="{7B50A630-F65F-4E44-9A53-70CDEAF5E9A5}"/>
    <cellStyle name="Output 12 4" xfId="43917" xr:uid="{A34FCF00-E193-416A-A8A0-786F07ED6EEE}"/>
    <cellStyle name="Output 13" xfId="35985" xr:uid="{8D6E6CC0-F7DE-4D59-A53C-53406E4466DE}"/>
    <cellStyle name="Output 13 2" xfId="43000" xr:uid="{20D0E3D6-ECCD-4FB9-BB0D-6CE7789F63FA}"/>
    <cellStyle name="Output 13 3" xfId="42256" xr:uid="{36723892-09D1-4956-B61B-8EE3B2EC162F}"/>
    <cellStyle name="Output 13 4" xfId="43918" xr:uid="{521A2F28-7B16-4D2D-AB09-D909305F8568}"/>
    <cellStyle name="Output 14" xfId="35986" xr:uid="{3294353C-2F58-401A-A90F-E62D5D6637B4}"/>
    <cellStyle name="Output 14 2" xfId="43001" xr:uid="{FB1A1268-3C12-4131-916D-C0CDC13A6ECC}"/>
    <cellStyle name="Output 14 3" xfId="42255" xr:uid="{75ADAC3E-6C48-43C0-A725-30007CC0454B}"/>
    <cellStyle name="Output 14 4" xfId="43919" xr:uid="{2105B4C4-30EE-4B32-B784-6A39F71ED786}"/>
    <cellStyle name="Output 15" xfId="35987" xr:uid="{529CAF26-C421-4763-9468-719837F76F21}"/>
    <cellStyle name="Output 15 2" xfId="43002" xr:uid="{D48B8097-5D85-4C18-B709-01D2AEC9D8B6}"/>
    <cellStyle name="Output 15 3" xfId="42254" xr:uid="{0AAC5517-8F94-4429-AFE9-C2793AE71614}"/>
    <cellStyle name="Output 15 4" xfId="43920" xr:uid="{326EF83B-1E78-4690-93CB-70D5FF81AE58}"/>
    <cellStyle name="Output 16" xfId="35988" xr:uid="{077E6BDA-3A80-4C65-B307-ADE5DEFAC711}"/>
    <cellStyle name="Output 16 2" xfId="43003" xr:uid="{0F28A227-99FA-48E4-96C7-576DD40AA515}"/>
    <cellStyle name="Output 16 3" xfId="42253" xr:uid="{B25921B1-60BD-43C8-94E0-928C10C35E82}"/>
    <cellStyle name="Output 16 4" xfId="43921" xr:uid="{789EBD4A-0E7D-4BBE-920C-F1297DACE418}"/>
    <cellStyle name="Output 17" xfId="35989" xr:uid="{4E55957B-827C-4AEA-99E7-F3884924A3E4}"/>
    <cellStyle name="Output 17 2" xfId="43004" xr:uid="{30AAF22A-C79D-4156-B839-4CE7ACD199AF}"/>
    <cellStyle name="Output 17 3" xfId="42252" xr:uid="{B71BEB35-C851-40D7-9727-500B934EFE05}"/>
    <cellStyle name="Output 17 4" xfId="43922" xr:uid="{2CFF7EA3-24FD-4A63-80A7-6F4CEF700FCB}"/>
    <cellStyle name="Output 18" xfId="35990" xr:uid="{3DD70606-7DEC-48E7-91CC-9EA526FC563E}"/>
    <cellStyle name="Output 18 2" xfId="43005" xr:uid="{BBB5E95E-C0DE-460F-91D1-BB8A911BB795}"/>
    <cellStyle name="Output 18 3" xfId="42251" xr:uid="{29EEE862-AED0-4CDC-B2BC-3297B3C9D449}"/>
    <cellStyle name="Output 18 4" xfId="43923" xr:uid="{8A5540E5-F79F-4338-885A-D964F88C625D}"/>
    <cellStyle name="Output 19" xfId="35991" xr:uid="{185B49BC-28E8-4BB4-97A7-07178E7FD0F3}"/>
    <cellStyle name="Output 19 2" xfId="43006" xr:uid="{8A13805F-7A71-4483-A03E-93D39319EA38}"/>
    <cellStyle name="Output 19 3" xfId="42250" xr:uid="{D4039006-D91A-4F9D-B014-3E533BD2B17A}"/>
    <cellStyle name="Output 19 4" xfId="43924" xr:uid="{62E66CF9-D8E0-4B6A-8C52-2E0651952C06}"/>
    <cellStyle name="Output 2" xfId="17407" xr:uid="{95C9C2F0-A427-47D3-A1CA-30EC7523BE60}"/>
    <cellStyle name="Output 2 10" xfId="17408" xr:uid="{12E81D21-8AE1-4FC2-ABAE-DBDCA74AC6EF}"/>
    <cellStyle name="Output 2 10 10" xfId="17409" xr:uid="{5E7FE3C1-B630-4A55-9BE4-ED0EDF287409}"/>
    <cellStyle name="Output 2 10 10 2" xfId="35992" xr:uid="{2CBDEBC3-9886-4977-ACC6-FE76E8FBB4B7}"/>
    <cellStyle name="Output 2 10 10 3" xfId="35993" xr:uid="{AEA29CBC-C15D-4357-9C65-6E543691AACD}"/>
    <cellStyle name="Output 2 10 11" xfId="17410" xr:uid="{08484907-FA66-40CB-90AC-B3208E587436}"/>
    <cellStyle name="Output 2 10 11 2" xfId="35994" xr:uid="{7B98393F-1789-42DC-A1B7-E388DC2B3ACE}"/>
    <cellStyle name="Output 2 10 12" xfId="35995" xr:uid="{947DD7F9-07FC-4395-848B-3D7B65C061F6}"/>
    <cellStyle name="Output 2 10 13" xfId="43008" xr:uid="{0276AA42-A2CB-4DCF-8095-BC44EA0CFE43}"/>
    <cellStyle name="Output 2 10 14" xfId="42248" xr:uid="{911899F6-BE26-423A-BDF4-F76FB74BFAE0}"/>
    <cellStyle name="Output 2 10 15" xfId="43926" xr:uid="{60143CE1-84E1-43AC-89F8-61BF04D6E56F}"/>
    <cellStyle name="Output 2 10 2" xfId="17411" xr:uid="{35ED894B-9B51-45EB-8A50-55C0837B4ECE}"/>
    <cellStyle name="Output 2 10 2 10" xfId="17412" xr:uid="{2D45CBE8-493D-4072-9585-11DC4D8A1FCB}"/>
    <cellStyle name="Output 2 10 2 10 2" xfId="35996" xr:uid="{15B56936-AD6F-425F-9665-407D59409344}"/>
    <cellStyle name="Output 2 10 2 11" xfId="35997" xr:uid="{49FB4C2F-D375-4215-90D4-264B72151882}"/>
    <cellStyle name="Output 2 10 2 2" xfId="17413" xr:uid="{AE3B8782-541B-46B6-8B04-3290E50136E6}"/>
    <cellStyle name="Output 2 10 2 2 2" xfId="17414" xr:uid="{4F9B817A-779D-493A-8773-D7DAF85D6949}"/>
    <cellStyle name="Output 2 10 2 2 2 2" xfId="17415" xr:uid="{CE2812D3-F8BD-4A48-B93E-474A9B49072C}"/>
    <cellStyle name="Output 2 10 2 2 2 3" xfId="35998" xr:uid="{FE67B883-44A9-415D-8922-86197D00BAF5}"/>
    <cellStyle name="Output 2 10 2 2 3" xfId="17416" xr:uid="{1CFA2ACB-5F3A-4650-B4D5-3DD0A529B66D}"/>
    <cellStyle name="Output 2 10 2 2 3 2" xfId="17417" xr:uid="{3E23E16C-116F-4042-86BD-FC2566DDBE84}"/>
    <cellStyle name="Output 2 10 2 2 4" xfId="17418" xr:uid="{36B318B1-E713-43BE-8E1D-1DA108BEF676}"/>
    <cellStyle name="Output 2 10 2 2 5" xfId="35999" xr:uid="{2F749A9D-CC73-40E4-A222-397016102845}"/>
    <cellStyle name="Output 2 10 2 2 6" xfId="36000" xr:uid="{5F757EFC-F878-44C4-855F-72338FB39053}"/>
    <cellStyle name="Output 2 10 2 2 7" xfId="36001" xr:uid="{93460194-12F5-4975-9741-34903292F348}"/>
    <cellStyle name="Output 2 10 2 3" xfId="17419" xr:uid="{DC975547-2CAC-40CA-960D-1043B9E7FC07}"/>
    <cellStyle name="Output 2 10 2 3 2" xfId="17420" xr:uid="{FAF2F79C-120B-42F3-8824-B2DC443F9838}"/>
    <cellStyle name="Output 2 10 2 3 2 2" xfId="36002" xr:uid="{B95F3BF0-81FF-4453-8BED-126C1F8D0257}"/>
    <cellStyle name="Output 2 10 2 3 2 3" xfId="36003" xr:uid="{1D0AE9BA-9610-45BB-B429-6D66B229DE45}"/>
    <cellStyle name="Output 2 10 2 3 3" xfId="36004" xr:uid="{EF6524F6-361C-463F-B975-373DB5326AFC}"/>
    <cellStyle name="Output 2 10 2 3 3 2" xfId="36005" xr:uid="{1E8F3028-45CB-49B0-AC8B-CF5AC74082CC}"/>
    <cellStyle name="Output 2 10 2 3 4" xfId="36006" xr:uid="{E262342A-2988-4BAE-8064-8F76F8983828}"/>
    <cellStyle name="Output 2 10 2 3 5" xfId="36007" xr:uid="{0F5EDC49-D644-4900-A67D-199674686130}"/>
    <cellStyle name="Output 2 10 2 3 6" xfId="36008" xr:uid="{DDA2BD2B-3B97-46AA-81D8-F2222DDF6F60}"/>
    <cellStyle name="Output 2 10 2 4" xfId="17421" xr:uid="{61DCC7CE-FB39-4EBE-88AE-001D0433FDD4}"/>
    <cellStyle name="Output 2 10 2 4 2" xfId="17422" xr:uid="{2B9EA9AD-ABDE-45B4-8117-5FD723DBE4E6}"/>
    <cellStyle name="Output 2 10 2 4 3" xfId="36009" xr:uid="{D7520F2B-539F-474E-8F29-C071EFB8B370}"/>
    <cellStyle name="Output 2 10 2 5" xfId="17423" xr:uid="{53E688D2-AC3D-495E-A7CD-BAE1EBC9EAB4}"/>
    <cellStyle name="Output 2 10 2 5 2" xfId="17424" xr:uid="{525EC5E3-8E02-4CED-831E-6A38DB7DB10B}"/>
    <cellStyle name="Output 2 10 2 5 3" xfId="36010" xr:uid="{B6B2095E-36A3-4349-8691-64D6E7E3F69C}"/>
    <cellStyle name="Output 2 10 2 6" xfId="17425" xr:uid="{A321D176-649A-451A-86CE-0E1AD3C0DFC0}"/>
    <cellStyle name="Output 2 10 2 6 2" xfId="17426" xr:uid="{414844B7-4589-40AD-A20E-EB9A3B24D685}"/>
    <cellStyle name="Output 2 10 2 6 3" xfId="36011" xr:uid="{28BB1D50-5B6D-47A4-B71B-60F528CEB0A6}"/>
    <cellStyle name="Output 2 10 2 7" xfId="17427" xr:uid="{15185801-7C3E-423F-8D86-87E50E61FFB9}"/>
    <cellStyle name="Output 2 10 2 7 2" xfId="17428" xr:uid="{4B154376-EBFE-498A-AAA6-AD7FE9E02C31}"/>
    <cellStyle name="Output 2 10 2 7 3" xfId="36012" xr:uid="{0009A86C-4B33-453C-974F-CEDEB684E1A5}"/>
    <cellStyle name="Output 2 10 2 8" xfId="17429" xr:uid="{DF83E191-14A6-4F53-AC86-90F9431BE663}"/>
    <cellStyle name="Output 2 10 2 8 2" xfId="17430" xr:uid="{9E010EF6-F0D2-4331-A00A-16AE5CCABB34}"/>
    <cellStyle name="Output 2 10 2 8 3" xfId="36013" xr:uid="{3B43030C-247E-436B-A64F-B3B8D1902EFE}"/>
    <cellStyle name="Output 2 10 2 9" xfId="17431" xr:uid="{83B7D6BB-B9D5-4275-AFE4-581F8F471DFB}"/>
    <cellStyle name="Output 2 10 2 9 2" xfId="36014" xr:uid="{B3D7426F-7268-4A78-8D5D-B05486EE852D}"/>
    <cellStyle name="Output 2 10 2 9 3" xfId="36015" xr:uid="{7A0E81F4-4888-4901-8F79-DB24CFC33C31}"/>
    <cellStyle name="Output 2 10 3" xfId="17432" xr:uid="{90E5FF62-4662-4746-A5E0-90E89BD2AA26}"/>
    <cellStyle name="Output 2 10 3 2" xfId="17433" xr:uid="{63C5C9E7-ADCB-41A3-9D94-16B6E20F78DE}"/>
    <cellStyle name="Output 2 10 3 2 2" xfId="36016" xr:uid="{45D6ECAD-E98B-4D03-B975-90F4BF916574}"/>
    <cellStyle name="Output 2 10 3 3" xfId="17434" xr:uid="{55642B8A-6428-4008-9F13-19EF95857B87}"/>
    <cellStyle name="Output 2 10 3 4" xfId="17435" xr:uid="{2D0FE823-4AF8-48FA-9B34-4E665C8D0C16}"/>
    <cellStyle name="Output 2 10 4" xfId="17436" xr:uid="{53F52712-3037-41C5-976A-494162756AE4}"/>
    <cellStyle name="Output 2 10 4 2" xfId="17437" xr:uid="{FDABC7AC-095C-48EC-AC26-956D2D23472B}"/>
    <cellStyle name="Output 2 10 4 3" xfId="36017" xr:uid="{F0E561CF-A859-4BF5-B713-119777CBEA6D}"/>
    <cellStyle name="Output 2 10 5" xfId="17438" xr:uid="{CC75682B-4C62-4DEC-909D-10EF4B526DE5}"/>
    <cellStyle name="Output 2 10 5 2" xfId="17439" xr:uid="{107BFF45-25CE-4E84-8DA8-C1A46922E718}"/>
    <cellStyle name="Output 2 10 5 3" xfId="36018" xr:uid="{1CF0E85A-E836-4D7E-9B86-F2046540E5AE}"/>
    <cellStyle name="Output 2 10 6" xfId="17440" xr:uid="{D0466F76-EEC2-466F-B551-200185410A6D}"/>
    <cellStyle name="Output 2 10 6 2" xfId="17441" xr:uid="{B6EE03A3-610D-44BE-B769-2A0E9BE685DA}"/>
    <cellStyle name="Output 2 10 6 3" xfId="36019" xr:uid="{3EC7EC93-2B18-4D75-A29B-4BC153843C43}"/>
    <cellStyle name="Output 2 10 7" xfId="17442" xr:uid="{4CE4780B-CE21-422F-AF8C-C94E10CB448C}"/>
    <cellStyle name="Output 2 10 7 2" xfId="17443" xr:uid="{893B4438-2E96-4067-8DC3-873C1D4A82A1}"/>
    <cellStyle name="Output 2 10 7 3" xfId="36020" xr:uid="{69B7211E-666D-4120-8531-211BCF299DCB}"/>
    <cellStyle name="Output 2 10 8" xfId="17444" xr:uid="{AA8D8D5E-E13C-4290-8193-5ADBB399F02E}"/>
    <cellStyle name="Output 2 10 8 2" xfId="17445" xr:uid="{35F5CA38-CA6F-492B-9313-9C8E3342629F}"/>
    <cellStyle name="Output 2 10 8 3" xfId="36021" xr:uid="{AF844872-36A8-40DB-BB11-0059507A5A32}"/>
    <cellStyle name="Output 2 10 9" xfId="17446" xr:uid="{1177627A-CED0-42AE-85AC-BFC90CDA9D6A}"/>
    <cellStyle name="Output 2 10 9 2" xfId="17447" xr:uid="{C9EB79F2-7F07-48DB-B6CF-ED7FFC10D015}"/>
    <cellStyle name="Output 2 10 9 3" xfId="36022" xr:uid="{FC6C2785-216F-4A55-920F-F15EDC5021DD}"/>
    <cellStyle name="Output 2 11" xfId="17448" xr:uid="{4DE11AE6-7619-4346-BF20-E160AE56247A}"/>
    <cellStyle name="Output 2 11 10" xfId="17449" xr:uid="{A73DC2D6-26D8-48EA-BFDD-49EA07682BCD}"/>
    <cellStyle name="Output 2 11 10 2" xfId="36023" xr:uid="{12B0D7F8-DA87-4816-99E8-6BCACECBD97B}"/>
    <cellStyle name="Output 2 11 10 3" xfId="36024" xr:uid="{522E9968-78C0-475B-BA69-B9292AF27241}"/>
    <cellStyle name="Output 2 11 11" xfId="17450" xr:uid="{18FE4E3A-FEF7-4B62-9A17-3DAF874A4D00}"/>
    <cellStyle name="Output 2 11 11 2" xfId="36025" xr:uid="{EC413B3F-3E6C-4D71-A2CB-364740DEB2D5}"/>
    <cellStyle name="Output 2 11 12" xfId="36026" xr:uid="{38582D8A-9045-46F7-BE34-524FCE48CBB0}"/>
    <cellStyle name="Output 2 11 2" xfId="17451" xr:uid="{EB1D25CD-CE4B-4716-8EDE-5CE835AC9B69}"/>
    <cellStyle name="Output 2 11 2 10" xfId="17452" xr:uid="{F390BE79-E3FA-4F9E-9273-084B4F82D57A}"/>
    <cellStyle name="Output 2 11 2 10 2" xfId="36027" xr:uid="{E81E5AEA-FF42-4726-87E7-39F921886187}"/>
    <cellStyle name="Output 2 11 2 2" xfId="17453" xr:uid="{1754550A-E8AF-4F56-964A-E43B75487D0B}"/>
    <cellStyle name="Output 2 11 2 2 2" xfId="17454" xr:uid="{4698F981-DE99-4E9C-9DB8-1169C76C3C6D}"/>
    <cellStyle name="Output 2 11 2 2 2 2" xfId="36028" xr:uid="{ECF67FE4-E3E9-4027-A583-95B0A862002D}"/>
    <cellStyle name="Output 2 11 2 2 3" xfId="17455" xr:uid="{32A3F0F5-F6E3-4BA5-B65D-B725B58A2C76}"/>
    <cellStyle name="Output 2 11 2 2 4" xfId="17456" xr:uid="{0D3080F5-C44E-4E64-8429-B27B08505B8F}"/>
    <cellStyle name="Output 2 11 2 3" xfId="17457" xr:uid="{052330CF-811D-4FEE-AB23-3A7DB2E9520E}"/>
    <cellStyle name="Output 2 11 2 3 2" xfId="17458" xr:uid="{0418B773-64B6-46D0-AB7E-9B59AED7DC3D}"/>
    <cellStyle name="Output 2 11 2 3 3" xfId="36029" xr:uid="{21075E03-FF5E-4BF8-A68A-1DA1F728457C}"/>
    <cellStyle name="Output 2 11 2 4" xfId="17459" xr:uid="{351C32E7-DBFB-4CA2-96F2-8F1C2C2A0159}"/>
    <cellStyle name="Output 2 11 2 4 2" xfId="17460" xr:uid="{06F66726-77C2-4512-ADE6-D6F67EB60F76}"/>
    <cellStyle name="Output 2 11 2 4 3" xfId="36030" xr:uid="{D79CC53F-6D29-4032-AB1A-61AEABBD564D}"/>
    <cellStyle name="Output 2 11 2 5" xfId="17461" xr:uid="{91F05525-F093-46C2-809B-C4773299937C}"/>
    <cellStyle name="Output 2 11 2 5 2" xfId="17462" xr:uid="{CF7AE0DA-50B9-40CD-AF57-9470EB79F6DE}"/>
    <cellStyle name="Output 2 11 2 5 3" xfId="36031" xr:uid="{D4C5349A-4F0D-4BB2-A843-1033ED3955B0}"/>
    <cellStyle name="Output 2 11 2 6" xfId="17463" xr:uid="{F9E620A5-21B1-4050-A1F3-212552029973}"/>
    <cellStyle name="Output 2 11 2 6 2" xfId="17464" xr:uid="{E4725884-9AD4-404B-B92F-6C441E4B1E9E}"/>
    <cellStyle name="Output 2 11 2 6 3" xfId="36032" xr:uid="{60D3B429-DB37-488E-8618-3FE8A209F734}"/>
    <cellStyle name="Output 2 11 2 7" xfId="17465" xr:uid="{5BBAA490-8CAB-4F4A-9972-60A6947A5A24}"/>
    <cellStyle name="Output 2 11 2 7 2" xfId="17466" xr:uid="{B0D9854E-25B4-4437-B77B-2B5488F1E3FF}"/>
    <cellStyle name="Output 2 11 2 7 3" xfId="36033" xr:uid="{D97ED5A6-B193-408E-8573-E02E0C3CA13C}"/>
    <cellStyle name="Output 2 11 2 8" xfId="17467" xr:uid="{39066418-BCEA-4F00-A957-A4E66ECD0261}"/>
    <cellStyle name="Output 2 11 2 8 2" xfId="17468" xr:uid="{C9172ABA-E452-485C-89C7-B1A8A5364DE9}"/>
    <cellStyle name="Output 2 11 2 8 3" xfId="36034" xr:uid="{F9353CA6-5FBB-43FA-98C0-E9800034606C}"/>
    <cellStyle name="Output 2 11 2 9" xfId="17469" xr:uid="{3B4D1C2D-3497-4D5B-BD03-18A088B24FA3}"/>
    <cellStyle name="Output 2 11 2 9 2" xfId="36035" xr:uid="{91FB9E49-1037-4F60-AE3F-6871C1DB6B43}"/>
    <cellStyle name="Output 2 11 2 9 3" xfId="36036" xr:uid="{E986E8F6-1C10-4350-B1FE-E20423BAE670}"/>
    <cellStyle name="Output 2 11 3" xfId="17470" xr:uid="{99532E05-8DC1-40FC-A930-1E823BCD5F63}"/>
    <cellStyle name="Output 2 11 3 2" xfId="17471" xr:uid="{DF8201CC-7396-473F-BF5E-B40BEE66A3F5}"/>
    <cellStyle name="Output 2 11 3 3" xfId="17472" xr:uid="{D6F60AFC-D538-4476-9480-35FDEE4F08C0}"/>
    <cellStyle name="Output 2 11 3 4" xfId="17473" xr:uid="{31E9D8B1-B2C6-4D84-855D-48677C44979F}"/>
    <cellStyle name="Output 2 11 4" xfId="17474" xr:uid="{F252E8F5-5DA7-4E56-80AC-F875AE939BAE}"/>
    <cellStyle name="Output 2 11 4 2" xfId="17475" xr:uid="{AEE89DAB-838F-40C7-AAFD-2CAAFE712D8E}"/>
    <cellStyle name="Output 2 11 4 3" xfId="36037" xr:uid="{74409DAD-D0B0-4CED-9A20-9144A3CA9827}"/>
    <cellStyle name="Output 2 11 5" xfId="17476" xr:uid="{B9A04421-E225-465E-9C7A-18D38E0DA81B}"/>
    <cellStyle name="Output 2 11 5 2" xfId="17477" xr:uid="{969ADBD1-24F2-43BF-84BF-F99242366F10}"/>
    <cellStyle name="Output 2 11 5 3" xfId="36038" xr:uid="{48F5BDBB-89D7-4DF2-9ED9-21DFE95B85AF}"/>
    <cellStyle name="Output 2 11 6" xfId="17478" xr:uid="{BD21FFDA-1B83-48EC-9E4E-479D2F26251F}"/>
    <cellStyle name="Output 2 11 6 2" xfId="17479" xr:uid="{09960C11-827B-45F2-8F9B-E032BE9DF150}"/>
    <cellStyle name="Output 2 11 6 3" xfId="36039" xr:uid="{5887F85C-F10E-49C0-B045-20348D146ADF}"/>
    <cellStyle name="Output 2 11 7" xfId="17480" xr:uid="{9C7BBE18-5A71-4FEF-8084-257F7DA05D75}"/>
    <cellStyle name="Output 2 11 7 2" xfId="17481" xr:uid="{4029F815-A256-418D-B80F-02F6EB730583}"/>
    <cellStyle name="Output 2 11 7 3" xfId="36040" xr:uid="{8D88967E-A2B1-4C02-97A3-331D5388621F}"/>
    <cellStyle name="Output 2 11 8" xfId="17482" xr:uid="{12514DE8-2957-4982-A9AF-D8A75CC26A03}"/>
    <cellStyle name="Output 2 11 8 2" xfId="17483" xr:uid="{9A62DE1D-11AD-4657-88D7-908142367E78}"/>
    <cellStyle name="Output 2 11 8 3" xfId="36041" xr:uid="{22B00A17-4876-43E1-80BC-1C7730B636FB}"/>
    <cellStyle name="Output 2 11 9" xfId="17484" xr:uid="{8FE9583A-6B4B-45DE-99EE-0BD003BA52D5}"/>
    <cellStyle name="Output 2 11 9 2" xfId="17485" xr:uid="{50E08EAD-DE82-432B-89C8-EA30BB2BDE27}"/>
    <cellStyle name="Output 2 11 9 3" xfId="36042" xr:uid="{531CBF82-54BB-4344-851F-D14F122B39B8}"/>
    <cellStyle name="Output 2 12" xfId="17486" xr:uid="{0D56B09F-708F-42CF-8307-683CE683FC90}"/>
    <cellStyle name="Output 2 12 10" xfId="17487" xr:uid="{3EA30AAA-E5D4-4874-99AF-CA36D7B89165}"/>
    <cellStyle name="Output 2 12 10 2" xfId="36043" xr:uid="{8FBFEDCB-05AC-477A-92A0-43C2B5D9098D}"/>
    <cellStyle name="Output 2 12 2" xfId="17488" xr:uid="{098067CC-8A82-4D46-90C5-2A18D444C1C3}"/>
    <cellStyle name="Output 2 12 2 2" xfId="17489" xr:uid="{6A4B2F36-4B55-4DD9-9C88-580BFD2E9302}"/>
    <cellStyle name="Output 2 12 2 2 2" xfId="36044" xr:uid="{7E0631C1-1847-4ADA-8B23-6A156E538CE4}"/>
    <cellStyle name="Output 2 12 2 3" xfId="17490" xr:uid="{D6731234-19A9-49F3-B78C-06BD25785D8D}"/>
    <cellStyle name="Output 2 12 2 4" xfId="17491" xr:uid="{A27B99C8-011D-457F-96CC-6EDAA983713A}"/>
    <cellStyle name="Output 2 12 3" xfId="17492" xr:uid="{510DA816-9732-4E08-B4F2-6FD72B06C315}"/>
    <cellStyle name="Output 2 12 3 2" xfId="17493" xr:uid="{8C9138E1-9FB7-4B33-8E72-C2D5365C1CDA}"/>
    <cellStyle name="Output 2 12 3 3" xfId="36045" xr:uid="{3A2867E5-0516-4190-9890-81A0484DF9B0}"/>
    <cellStyle name="Output 2 12 4" xfId="17494" xr:uid="{0B403EF6-183A-463A-AFB6-E87330C062BA}"/>
    <cellStyle name="Output 2 12 4 2" xfId="17495" xr:uid="{B61E6545-260A-44C2-928E-4CE66F486B88}"/>
    <cellStyle name="Output 2 12 4 3" xfId="36046" xr:uid="{A3110145-0CDF-41D2-B283-2B451FE7A61C}"/>
    <cellStyle name="Output 2 12 5" xfId="17496" xr:uid="{1D15C4CE-A0D2-4FBC-A6C1-E837997D3265}"/>
    <cellStyle name="Output 2 12 5 2" xfId="17497" xr:uid="{16435BAC-31B2-4A06-9E9F-21FE23FA024B}"/>
    <cellStyle name="Output 2 12 5 3" xfId="36047" xr:uid="{4D05CDB8-8D3E-4DC3-998F-AE9BFBAE7970}"/>
    <cellStyle name="Output 2 12 6" xfId="17498" xr:uid="{02F2BBDE-22BC-4FE5-805E-993648D9FB0A}"/>
    <cellStyle name="Output 2 12 6 2" xfId="17499" xr:uid="{35F3DCD0-E6B7-427B-BE17-090F80118973}"/>
    <cellStyle name="Output 2 12 6 3" xfId="36048" xr:uid="{F51E8723-87D8-4289-A44D-372EEE1E1A02}"/>
    <cellStyle name="Output 2 12 7" xfId="17500" xr:uid="{361863BD-2B30-4A57-88C4-4E44CCEBC5E5}"/>
    <cellStyle name="Output 2 12 7 2" xfId="17501" xr:uid="{1D216F54-7A89-456D-820E-D195863E9C43}"/>
    <cellStyle name="Output 2 12 7 3" xfId="36049" xr:uid="{0566A244-1220-44A3-A04F-1EA672D153AF}"/>
    <cellStyle name="Output 2 12 8" xfId="17502" xr:uid="{9312DD37-690C-4CC5-B6A2-2312893E34B0}"/>
    <cellStyle name="Output 2 12 8 2" xfId="17503" xr:uid="{C70F5F3C-C4B9-4730-A9C5-C10093E63F12}"/>
    <cellStyle name="Output 2 12 8 3" xfId="36050" xr:uid="{5700DF85-5522-4C8E-872C-6DAB545EDF00}"/>
    <cellStyle name="Output 2 12 9" xfId="17504" xr:uid="{E9F00211-1DE3-4BE8-96FE-D719CE917CDE}"/>
    <cellStyle name="Output 2 12 9 2" xfId="36051" xr:uid="{4B6A75E6-6BB2-419B-9FE1-9B6E105EA678}"/>
    <cellStyle name="Output 2 12 9 3" xfId="36052" xr:uid="{DB034F53-1C52-4067-8D43-223F54E50C8A}"/>
    <cellStyle name="Output 2 13" xfId="17505" xr:uid="{269A66B4-C569-4D7C-90FE-3C6E7EC68D03}"/>
    <cellStyle name="Output 2 13 2" xfId="17506" xr:uid="{2622D583-3011-4C6F-8687-A484AD1F5475}"/>
    <cellStyle name="Output 2 13 3" xfId="17507" xr:uid="{C11C8461-BE13-4554-B789-7E986F373218}"/>
    <cellStyle name="Output 2 13 4" xfId="17508" xr:uid="{B3CB4104-A073-4C80-91BD-D164822DBF26}"/>
    <cellStyle name="Output 2 14" xfId="17509" xr:uid="{26477260-CD4D-4F88-B96D-FDD5A6257924}"/>
    <cellStyle name="Output 2 14 2" xfId="17510" xr:uid="{DC95DCE9-8D8D-4749-9AFB-3F3D2868A65D}"/>
    <cellStyle name="Output 2 14 3" xfId="36053" xr:uid="{4EFA9EFB-17DB-4B51-9CF3-9E41D52C950E}"/>
    <cellStyle name="Output 2 15" xfId="17511" xr:uid="{AD525BC5-E137-49EE-9A5A-B3F5C685C5DF}"/>
    <cellStyle name="Output 2 15 2" xfId="17512" xr:uid="{65CE2A8D-2C8C-4D6B-B72D-0ADC84D7C713}"/>
    <cellStyle name="Output 2 15 3" xfId="36054" xr:uid="{BC9F002F-CF02-4A63-87B6-D9BA9135B9F7}"/>
    <cellStyle name="Output 2 16" xfId="17513" xr:uid="{6E3441A5-C2AC-415C-922A-ACCC7378C2C4}"/>
    <cellStyle name="Output 2 16 2" xfId="17514" xr:uid="{A504CF22-5A3D-4CBA-A69A-26704784F21E}"/>
    <cellStyle name="Output 2 16 3" xfId="36055" xr:uid="{B0B86B44-4A07-493F-A02F-1875B8CC757F}"/>
    <cellStyle name="Output 2 17" xfId="17515" xr:uid="{19B5BA92-E62B-42B9-ADCE-779168E98F09}"/>
    <cellStyle name="Output 2 17 2" xfId="17516" xr:uid="{C07E7BCB-36F1-4BE0-B6BC-4E536BB96344}"/>
    <cellStyle name="Output 2 17 3" xfId="36056" xr:uid="{76B6BC1F-AB15-475F-A25F-FDFCA654666A}"/>
    <cellStyle name="Output 2 18" xfId="17517" xr:uid="{0C829B3A-43B8-4ED0-A282-657FC07AE7C2}"/>
    <cellStyle name="Output 2 18 2" xfId="17518" xr:uid="{63E21B1A-E548-496B-99D2-6F85C4358B73}"/>
    <cellStyle name="Output 2 18 3" xfId="36057" xr:uid="{CBED4DB3-A266-4F28-972D-2DF317BCCA66}"/>
    <cellStyle name="Output 2 19" xfId="17519" xr:uid="{392C9116-6F77-4668-BFB0-50780C99DC85}"/>
    <cellStyle name="Output 2 19 2" xfId="17520" xr:uid="{90AC29A1-8A63-4860-8696-6903BDEA2CCB}"/>
    <cellStyle name="Output 2 19 3" xfId="36058" xr:uid="{625FEDA9-A958-444A-97DD-B3B1B435E949}"/>
    <cellStyle name="Output 2 2" xfId="17521" xr:uid="{570A72F2-61F1-47F4-B92B-A02FC9D3583C}"/>
    <cellStyle name="Output 2 2 10" xfId="17522" xr:uid="{3A49583B-A1A8-49AE-9DE2-9092799D1AA9}"/>
    <cellStyle name="Output 2 2 10 2" xfId="36059" xr:uid="{9F9BD796-866D-46C2-BB4B-B4983E5A8444}"/>
    <cellStyle name="Output 2 2 10 3" xfId="36060" xr:uid="{A43B590E-BA49-47D7-A5E3-788912BC2F7B}"/>
    <cellStyle name="Output 2 2 11" xfId="17523" xr:uid="{D0D3B56B-3A87-4663-BC07-9A75E31325D2}"/>
    <cellStyle name="Output 2 2 11 2" xfId="36061" xr:uid="{B3A8534A-62DB-4FD7-93CA-4A9048E4B4A7}"/>
    <cellStyle name="Output 2 2 12" xfId="36062" xr:uid="{E74BDC67-E916-4BCA-8A91-7CF1A959665D}"/>
    <cellStyle name="Output 2 2 13" xfId="43009" xr:uid="{B47BCEB0-FEE2-4664-8CE1-2606D27C1721}"/>
    <cellStyle name="Output 2 2 14" xfId="42247" xr:uid="{EA967C41-94D7-4838-A705-6888A3C52760}"/>
    <cellStyle name="Output 2 2 15" xfId="43927" xr:uid="{1CCB1DF0-F37D-47D2-9ECA-8F3EFBFD790A}"/>
    <cellStyle name="Output 2 2 16" xfId="44512" xr:uid="{EEB3704B-5622-4F56-8488-501AB088B95B}"/>
    <cellStyle name="Output 2 2 17" xfId="45330" xr:uid="{23892931-20CE-49E3-98D1-48D6487237F0}"/>
    <cellStyle name="Output 2 2 18" xfId="45558" xr:uid="{9443C236-9832-42A8-B8D8-3B56A086953F}"/>
    <cellStyle name="Output 2 2 2" xfId="17524" xr:uid="{71CAF596-ABB4-4735-A061-9E5AA60A06FE}"/>
    <cellStyle name="Output 2 2 2 10" xfId="17525" xr:uid="{4F771920-D7F0-4434-B509-C7F44F89020B}"/>
    <cellStyle name="Output 2 2 2 10 2" xfId="36063" xr:uid="{901522CF-2EB6-4DF0-BEB4-78FD525DFCCA}"/>
    <cellStyle name="Output 2 2 2 11" xfId="36064" xr:uid="{51041830-97FF-4E40-8D09-F3972DAD40AC}"/>
    <cellStyle name="Output 2 2 2 12" xfId="44724" xr:uid="{76804582-6DC8-478A-B011-8ED0B135C410}"/>
    <cellStyle name="Output 2 2 2 13" xfId="44628" xr:uid="{E07B6367-D517-4AFC-B1E0-3D9E70B783D7}"/>
    <cellStyle name="Output 2 2 2 14" xfId="45037" xr:uid="{09F5E836-AD10-4D3B-86F0-1507FA439985}"/>
    <cellStyle name="Output 2 2 2 2" xfId="17526" xr:uid="{2CAD44CB-188A-45AF-8127-BB288078F05A}"/>
    <cellStyle name="Output 2 2 2 2 2" xfId="17527" xr:uid="{A1C06383-FDAF-4004-8935-05B5ED8ADAA5}"/>
    <cellStyle name="Output 2 2 2 2 2 2" xfId="17528" xr:uid="{2026EBDB-8A86-432A-9EEB-48F2780DA626}"/>
    <cellStyle name="Output 2 2 2 2 2 3" xfId="36065" xr:uid="{A3A0F840-08DE-438E-9F6A-0819094B098A}"/>
    <cellStyle name="Output 2 2 2 2 3" xfId="17529" xr:uid="{1BAE0957-FF50-444F-9037-F9F46447D27B}"/>
    <cellStyle name="Output 2 2 2 2 3 2" xfId="17530" xr:uid="{B93A87BB-AE15-4051-90D4-8790F9D2622D}"/>
    <cellStyle name="Output 2 2 2 2 4" xfId="17531" xr:uid="{73DD3E19-288E-4BF6-BAE9-54FCDB34C613}"/>
    <cellStyle name="Output 2 2 2 2 5" xfId="36066" xr:uid="{74645A8A-18E6-4F47-98E1-9D8E69E8256D}"/>
    <cellStyle name="Output 2 2 2 2 6" xfId="36067" xr:uid="{8746C11F-3CE2-493E-991D-0989BF475EBD}"/>
    <cellStyle name="Output 2 2 2 2 7" xfId="36068" xr:uid="{629091E4-D32C-44EF-B04F-6DCF70A7A304}"/>
    <cellStyle name="Output 2 2 2 3" xfId="17532" xr:uid="{686940FF-FD6C-4D6E-8079-D93289F397BF}"/>
    <cellStyle name="Output 2 2 2 3 2" xfId="17533" xr:uid="{7B4A740B-B00C-4240-848B-0EAF5F7E6C0D}"/>
    <cellStyle name="Output 2 2 2 3 2 2" xfId="36069" xr:uid="{780E801D-8B18-44DC-A409-C5865D07236B}"/>
    <cellStyle name="Output 2 2 2 3 2 3" xfId="36070" xr:uid="{774C08E3-1AE8-4104-AEC9-4018B0234204}"/>
    <cellStyle name="Output 2 2 2 3 3" xfId="36071" xr:uid="{C2794F16-9700-4DD3-8E9D-0424EEC87852}"/>
    <cellStyle name="Output 2 2 2 3 3 2" xfId="36072" xr:uid="{CFBDAA04-EA32-4212-BD22-546F7D7221CB}"/>
    <cellStyle name="Output 2 2 2 3 4" xfId="36073" xr:uid="{BF46AC29-C33A-45C3-B603-901D00433AFC}"/>
    <cellStyle name="Output 2 2 2 3 5" xfId="36074" xr:uid="{E85580FF-5A4A-4534-9A56-7BDADD5E4F09}"/>
    <cellStyle name="Output 2 2 2 3 6" xfId="36075" xr:uid="{739F8C30-A2DA-4326-B677-C5D6F6EE46BB}"/>
    <cellStyle name="Output 2 2 2 4" xfId="17534" xr:uid="{565B39B6-7208-4D6B-9D37-B0EFD239072D}"/>
    <cellStyle name="Output 2 2 2 4 2" xfId="17535" xr:uid="{1C56F4CB-FD75-4C66-9DF2-06E36B3BBF10}"/>
    <cellStyle name="Output 2 2 2 4 3" xfId="36076" xr:uid="{90F7E375-28EB-451D-8C2E-6C9026E46C05}"/>
    <cellStyle name="Output 2 2 2 5" xfId="17536" xr:uid="{4549AE75-0D05-45CE-8B01-6B4108DF0571}"/>
    <cellStyle name="Output 2 2 2 5 2" xfId="17537" xr:uid="{08824A53-F208-4CF0-8BDC-263DA8F5C425}"/>
    <cellStyle name="Output 2 2 2 5 3" xfId="36077" xr:uid="{552A1477-83FC-45E2-AF71-11FD8DE74A76}"/>
    <cellStyle name="Output 2 2 2 6" xfId="17538" xr:uid="{ABF7D376-0591-4D4D-9DE5-7ED4347C90E0}"/>
    <cellStyle name="Output 2 2 2 6 2" xfId="17539" xr:uid="{9ACA6F79-1374-4305-B8B0-266EAFE6812F}"/>
    <cellStyle name="Output 2 2 2 6 3" xfId="36078" xr:uid="{6F724B6B-8863-4BE2-9DEC-12FBA5197B5A}"/>
    <cellStyle name="Output 2 2 2 7" xfId="17540" xr:uid="{2EBECB7D-4A77-4AD8-913D-33299E00D332}"/>
    <cellStyle name="Output 2 2 2 7 2" xfId="17541" xr:uid="{A8C378C8-D6D0-4CE1-9BF6-CEBC58D9845B}"/>
    <cellStyle name="Output 2 2 2 7 3" xfId="36079" xr:uid="{8CADE5E5-1F2A-4298-BC48-83EA423FA483}"/>
    <cellStyle name="Output 2 2 2 8" xfId="17542" xr:uid="{5C1C27C9-35D8-4FEC-B8E5-4BF3C27D2F9C}"/>
    <cellStyle name="Output 2 2 2 8 2" xfId="17543" xr:uid="{82E4924C-CF6F-4B95-9519-F64257F9F587}"/>
    <cellStyle name="Output 2 2 2 8 3" xfId="36080" xr:uid="{737CA38A-DA63-466A-808A-E5751ACDF0A9}"/>
    <cellStyle name="Output 2 2 2 9" xfId="17544" xr:uid="{2E5DE5DF-A423-42A5-8926-58DE3F7EEFEF}"/>
    <cellStyle name="Output 2 2 2 9 2" xfId="36081" xr:uid="{5B0BCF66-E871-4E31-9B65-487561FC8880}"/>
    <cellStyle name="Output 2 2 2 9 3" xfId="36082" xr:uid="{7AEEA84F-459E-4C59-BF4C-761BD8E2A386}"/>
    <cellStyle name="Output 2 2 3" xfId="17545" xr:uid="{3626A8B1-A0AA-4A33-B8C4-0CB7D1C68742}"/>
    <cellStyle name="Output 2 2 3 2" xfId="17546" xr:uid="{2861FA80-0E63-4B26-9A1B-8CF90EF3B8C8}"/>
    <cellStyle name="Output 2 2 3 2 2" xfId="36083" xr:uid="{CF182F54-EE60-46DC-BBF8-0170E0EEF325}"/>
    <cellStyle name="Output 2 2 3 3" xfId="17547" xr:uid="{1E70C629-B243-45A1-9D7D-2667FB6E54CF}"/>
    <cellStyle name="Output 2 2 3 4" xfId="17548" xr:uid="{DB857F92-8DD7-4EF6-A5FF-A5FC04110A5B}"/>
    <cellStyle name="Output 2 2 4" xfId="17549" xr:uid="{61A100F4-8A0C-406D-BB07-F0831E2E7D43}"/>
    <cellStyle name="Output 2 2 4 2" xfId="17550" xr:uid="{AA4FA48F-2877-4D08-9371-2FBEEF62B313}"/>
    <cellStyle name="Output 2 2 4 3" xfId="36084" xr:uid="{9850B2A3-40D8-46C0-AA07-C80F151CA46D}"/>
    <cellStyle name="Output 2 2 5" xfId="17551" xr:uid="{2D1F0A9B-F1C0-40CA-855A-C6132FC625D5}"/>
    <cellStyle name="Output 2 2 5 2" xfId="17552" xr:uid="{08FE2D6D-3A0F-4863-96ED-741F0301446B}"/>
    <cellStyle name="Output 2 2 5 3" xfId="36085" xr:uid="{9B7EE734-47AE-45A0-AAEA-D9370F7B6D80}"/>
    <cellStyle name="Output 2 2 6" xfId="17553" xr:uid="{E8FF6E30-3A22-4B3A-8DC6-57135C12CEE0}"/>
    <cellStyle name="Output 2 2 6 2" xfId="17554" xr:uid="{720CD73E-F3CD-4DCA-BB96-35FD8EFE67B3}"/>
    <cellStyle name="Output 2 2 6 3" xfId="36086" xr:uid="{301E94A8-7033-435C-9862-922210B9B17D}"/>
    <cellStyle name="Output 2 2 7" xfId="17555" xr:uid="{49E63481-0384-43D3-A63F-6A343A21914A}"/>
    <cellStyle name="Output 2 2 7 2" xfId="17556" xr:uid="{2325ED04-77B7-4DDF-BFCA-C74E961EACA3}"/>
    <cellStyle name="Output 2 2 7 3" xfId="36087" xr:uid="{3C258134-7A6E-49C1-9DA5-6329DB69A6BB}"/>
    <cellStyle name="Output 2 2 8" xfId="17557" xr:uid="{2E4ED047-2BF5-4C3A-8007-E798DB7354CA}"/>
    <cellStyle name="Output 2 2 8 2" xfId="17558" xr:uid="{CD6F8307-D856-4A77-9064-CB54794A06C6}"/>
    <cellStyle name="Output 2 2 8 3" xfId="36088" xr:uid="{A4E6E43D-FB5C-4447-B67A-2067BE8F5244}"/>
    <cellStyle name="Output 2 2 9" xfId="17559" xr:uid="{0EB60ED2-C2CA-49DC-8EF7-D6A30B4BCD11}"/>
    <cellStyle name="Output 2 2 9 2" xfId="17560" xr:uid="{347D2B6B-2BDC-41B9-A9F5-3B3AC6BEFA69}"/>
    <cellStyle name="Output 2 2 9 3" xfId="36089" xr:uid="{886E8114-CF0B-435B-AAAD-EB2D9D9E55C1}"/>
    <cellStyle name="Output 2 20" xfId="17561" xr:uid="{0289F4CD-611B-4E1C-9B1E-41644D05C9DA}"/>
    <cellStyle name="Output 2 20 2" xfId="36090" xr:uid="{325E3148-70E5-4751-B352-3AAF08752C77}"/>
    <cellStyle name="Output 2 20 3" xfId="36091" xr:uid="{D271D7A1-658D-43C9-BB16-609674B360A4}"/>
    <cellStyle name="Output 2 21" xfId="17562" xr:uid="{EEC067F5-3A16-49A5-8107-DD139915F3A1}"/>
    <cellStyle name="Output 2 21 2" xfId="36092" xr:uid="{250A14D6-ABDB-4795-B240-D27935D213A5}"/>
    <cellStyle name="Output 2 22" xfId="36093" xr:uid="{E6B34BE7-6013-437E-8BC4-65DA45584A29}"/>
    <cellStyle name="Output 2 23" xfId="43007" xr:uid="{278DEB02-41D9-4DCF-BEB5-BBC4D4267E4E}"/>
    <cellStyle name="Output 2 24" xfId="42249" xr:uid="{FEC9B10B-8FD5-40B7-8D47-3BCD7A973852}"/>
    <cellStyle name="Output 2 25" xfId="43925" xr:uid="{A53FE572-9282-45AF-9434-2730B2BED749}"/>
    <cellStyle name="Output 2 26" xfId="44147" xr:uid="{98B053C9-235A-456C-9730-CF7FCCBD68F7}"/>
    <cellStyle name="Output 2 27" xfId="45075" xr:uid="{58C20F22-6266-4ECD-87DA-C3B74533C4B7}"/>
    <cellStyle name="Output 2 28" xfId="45401" xr:uid="{30149E31-2C8C-4A65-B76F-82F2B748624C}"/>
    <cellStyle name="Output 2 3" xfId="17563" xr:uid="{3372F3DA-A16F-44BB-8A07-059AF2C69169}"/>
    <cellStyle name="Output 2 3 10" xfId="17564" xr:uid="{6996D4C7-3FBA-42A6-B9AE-05C22E6CAA11}"/>
    <cellStyle name="Output 2 3 10 2" xfId="36094" xr:uid="{F4D65198-037C-4481-B778-4BDCBCE5BC3D}"/>
    <cellStyle name="Output 2 3 10 3" xfId="36095" xr:uid="{4CD0089E-B35A-46B5-81E6-9A67218310B9}"/>
    <cellStyle name="Output 2 3 11" xfId="17565" xr:uid="{C46A3DB4-C75F-45BA-BD4F-669D952346DE}"/>
    <cellStyle name="Output 2 3 11 2" xfId="36096" xr:uid="{A385F7B7-5D91-40B5-AA72-32DBAB62A044}"/>
    <cellStyle name="Output 2 3 12" xfId="36097" xr:uid="{D22B2EC3-7BE5-4758-AAED-A0C6D92E1C3A}"/>
    <cellStyle name="Output 2 3 13" xfId="43010" xr:uid="{A789EDF2-92FF-454A-ABDF-0CAF06AF2CDA}"/>
    <cellStyle name="Output 2 3 14" xfId="42246" xr:uid="{709AA3FF-7C25-404B-8468-E75F4DC9B723}"/>
    <cellStyle name="Output 2 3 15" xfId="43928" xr:uid="{C9BC6C34-5F7D-4B75-B928-EAB1EABB98F8}"/>
    <cellStyle name="Output 2 3 16" xfId="44606" xr:uid="{6F3400C7-3645-4CBC-A919-AB8E7F93C14E}"/>
    <cellStyle name="Output 2 3 17" xfId="44668" xr:uid="{063E97E1-8793-4A8A-AE50-0118510300A2}"/>
    <cellStyle name="Output 2 3 18" xfId="44001" xr:uid="{30478DBB-FE9A-4C77-8A79-401E9C02AF3D}"/>
    <cellStyle name="Output 2 3 2" xfId="17566" xr:uid="{843E6454-0DE4-4011-BEA7-07160C57E109}"/>
    <cellStyle name="Output 2 3 2 10" xfId="17567" xr:uid="{109EB044-9A82-4D2E-8E21-032652696F9D}"/>
    <cellStyle name="Output 2 3 2 10 2" xfId="36098" xr:uid="{F6073A02-BB31-422B-A4C8-6FA96C3273AD}"/>
    <cellStyle name="Output 2 3 2 11" xfId="36099" xr:uid="{1ACF4D47-EC34-4587-AC16-7A0C18851053}"/>
    <cellStyle name="Output 2 3 2 12" xfId="44819" xr:uid="{72979BB2-A079-4152-BF43-2C4859C1A8EE}"/>
    <cellStyle name="Output 2 3 2 13" xfId="45374" xr:uid="{126A550C-FEED-4CEA-9D56-302941379C07}"/>
    <cellStyle name="Output 2 3 2 14" xfId="45588" xr:uid="{F14BF434-8547-4034-BF92-12E4481764BF}"/>
    <cellStyle name="Output 2 3 2 2" xfId="17568" xr:uid="{AFD2A0AE-17A6-48AB-849E-B454C2BE5399}"/>
    <cellStyle name="Output 2 3 2 2 2" xfId="17569" xr:uid="{1A6522EF-E646-470D-847A-ED277DB8A1D3}"/>
    <cellStyle name="Output 2 3 2 2 2 2" xfId="17570" xr:uid="{021D4BA7-94D6-46A1-AC4D-2ECC03A87D61}"/>
    <cellStyle name="Output 2 3 2 2 2 3" xfId="36100" xr:uid="{1B359A7E-604F-45C1-924E-B4DE995D3CCF}"/>
    <cellStyle name="Output 2 3 2 2 3" xfId="17571" xr:uid="{6065EAA0-8CC4-442A-BFB6-F5294B2121ED}"/>
    <cellStyle name="Output 2 3 2 2 3 2" xfId="17572" xr:uid="{8D3DA235-0966-434B-BE38-0F2E5F9D7FD5}"/>
    <cellStyle name="Output 2 3 2 2 4" xfId="17573" xr:uid="{62152C97-41C9-4347-A41A-6252BBEB2652}"/>
    <cellStyle name="Output 2 3 2 2 5" xfId="36101" xr:uid="{A47A99C3-0BE7-41E6-A640-D8F40BA0C18D}"/>
    <cellStyle name="Output 2 3 2 2 6" xfId="36102" xr:uid="{47E2EC82-7A2A-49C4-9B62-E0696CC8DAA4}"/>
    <cellStyle name="Output 2 3 2 2 7" xfId="36103" xr:uid="{9D347E85-D560-4F5D-B25A-D89DD7E8589D}"/>
    <cellStyle name="Output 2 3 2 3" xfId="17574" xr:uid="{A9F8333E-E19E-4359-A0D2-4F640BD1EE98}"/>
    <cellStyle name="Output 2 3 2 3 2" xfId="17575" xr:uid="{B791B5D2-D030-418E-BE98-5849EA703933}"/>
    <cellStyle name="Output 2 3 2 3 2 2" xfId="36104" xr:uid="{2B186653-0887-41EC-BC60-B7A6D1F88219}"/>
    <cellStyle name="Output 2 3 2 3 2 3" xfId="36105" xr:uid="{489AAB57-F799-4C25-AB65-F69A53C6B3D8}"/>
    <cellStyle name="Output 2 3 2 3 3" xfId="36106" xr:uid="{4F761C56-35A4-4F8F-9A38-6FBFE919A72D}"/>
    <cellStyle name="Output 2 3 2 3 3 2" xfId="36107" xr:uid="{C6A9782A-40C3-4B03-A651-35506A5D526A}"/>
    <cellStyle name="Output 2 3 2 3 4" xfId="36108" xr:uid="{16C40E18-4059-4AE8-A5F5-6931E7E0D70A}"/>
    <cellStyle name="Output 2 3 2 3 5" xfId="36109" xr:uid="{F80B72DE-3FFF-4AD5-AC3B-DED2A642BDCC}"/>
    <cellStyle name="Output 2 3 2 3 6" xfId="36110" xr:uid="{F1A1EA34-3A4B-4B1A-90B4-D9016BBEE473}"/>
    <cellStyle name="Output 2 3 2 4" xfId="17576" xr:uid="{8DE6D74A-0D37-45FE-B0FA-CEDEFEA6AB5D}"/>
    <cellStyle name="Output 2 3 2 4 2" xfId="17577" xr:uid="{C03A1594-FACA-4F32-89EB-485DD4DC45A5}"/>
    <cellStyle name="Output 2 3 2 4 3" xfId="36111" xr:uid="{E350612E-2D02-40CB-9801-F6028DECF942}"/>
    <cellStyle name="Output 2 3 2 5" xfId="17578" xr:uid="{A4E9E5CE-F42B-4260-9AB3-0B43CBB422FB}"/>
    <cellStyle name="Output 2 3 2 5 2" xfId="17579" xr:uid="{D3501A45-CF94-4D9F-B3F7-02C8F53B36F3}"/>
    <cellStyle name="Output 2 3 2 5 3" xfId="36112" xr:uid="{02734A22-EF26-48FA-8891-AFC202AF0CCE}"/>
    <cellStyle name="Output 2 3 2 6" xfId="17580" xr:uid="{A0960088-CC75-43A7-A450-9DE41381A0D8}"/>
    <cellStyle name="Output 2 3 2 6 2" xfId="17581" xr:uid="{948FD492-B8AB-4C6B-A740-EDB5EAFE53CD}"/>
    <cellStyle name="Output 2 3 2 6 3" xfId="36113" xr:uid="{A11A3C44-6866-43E2-B957-EB0A66D9CC11}"/>
    <cellStyle name="Output 2 3 2 7" xfId="17582" xr:uid="{AC41A30A-0FFE-4516-B38D-79FDBE043C07}"/>
    <cellStyle name="Output 2 3 2 7 2" xfId="17583" xr:uid="{27A4D407-7B4C-49BA-BECE-6D72410A00D1}"/>
    <cellStyle name="Output 2 3 2 7 3" xfId="36114" xr:uid="{36708536-6D55-4F5F-98EA-47812928EB95}"/>
    <cellStyle name="Output 2 3 2 8" xfId="17584" xr:uid="{99E05D0B-08ED-42B5-9038-8F8B23417018}"/>
    <cellStyle name="Output 2 3 2 8 2" xfId="17585" xr:uid="{454625E7-A888-4559-B9C5-9A3DDA7DA303}"/>
    <cellStyle name="Output 2 3 2 8 3" xfId="36115" xr:uid="{BE537D8C-FAA7-44A3-A0E7-E2920A1CC70D}"/>
    <cellStyle name="Output 2 3 2 9" xfId="17586" xr:uid="{D09CDC1D-6078-4A27-94C5-3CCFCC1C77B7}"/>
    <cellStyle name="Output 2 3 2 9 2" xfId="36116" xr:uid="{FF3F0375-CEAA-4D78-8CB6-389B6C4A167C}"/>
    <cellStyle name="Output 2 3 2 9 3" xfId="36117" xr:uid="{F7CC0CA9-42B9-4F57-AB6D-EABF79DBA90C}"/>
    <cellStyle name="Output 2 3 3" xfId="17587" xr:uid="{23667370-D971-4A3D-9089-146C81B0BB91}"/>
    <cellStyle name="Output 2 3 3 2" xfId="17588" xr:uid="{C489F566-D140-4FD7-AB2E-5F8760E216BE}"/>
    <cellStyle name="Output 2 3 3 2 2" xfId="36118" xr:uid="{61A88CBE-B9EA-4435-A906-65858CCCBDD3}"/>
    <cellStyle name="Output 2 3 3 3" xfId="17589" xr:uid="{CFE0F303-7EB3-4870-BF1B-1C866264431A}"/>
    <cellStyle name="Output 2 3 3 4" xfId="17590" xr:uid="{D3F41813-33A5-4AA5-886F-993E88DA674F}"/>
    <cellStyle name="Output 2 3 4" xfId="17591" xr:uid="{3D135015-33C8-431C-8195-A94A8EC6D0BE}"/>
    <cellStyle name="Output 2 3 4 2" xfId="17592" xr:uid="{3029DA0C-AFB3-4AA6-A4A4-4D7C9BDA8096}"/>
    <cellStyle name="Output 2 3 4 3" xfId="36119" xr:uid="{DED4CEC6-8FF7-4544-AB26-B71FF1DB4992}"/>
    <cellStyle name="Output 2 3 5" xfId="17593" xr:uid="{D979243A-6176-4D45-AEBC-D438804EED70}"/>
    <cellStyle name="Output 2 3 5 2" xfId="17594" xr:uid="{9659DB1A-EEE7-4C4C-9EC7-48C7E5DB0C2A}"/>
    <cellStyle name="Output 2 3 5 3" xfId="36120" xr:uid="{9101B65A-B982-4F26-B82C-E935382B7B30}"/>
    <cellStyle name="Output 2 3 6" xfId="17595" xr:uid="{7BED998F-BD96-42CB-986C-42D4A974238D}"/>
    <cellStyle name="Output 2 3 6 2" xfId="17596" xr:uid="{9FDB23B5-0A26-4379-9E77-8ABDA1E2094B}"/>
    <cellStyle name="Output 2 3 6 3" xfId="36121" xr:uid="{EAE077E4-9781-49B8-A1E1-E0B064368484}"/>
    <cellStyle name="Output 2 3 7" xfId="17597" xr:uid="{D57A15CD-FF36-4A87-8A24-3A9B8FBE005F}"/>
    <cellStyle name="Output 2 3 7 2" xfId="17598" xr:uid="{65F5640E-0B32-44E7-AEE6-CEECB4B6871A}"/>
    <cellStyle name="Output 2 3 7 3" xfId="36122" xr:uid="{4CD2B572-FFA7-47D4-B726-F2792CD85834}"/>
    <cellStyle name="Output 2 3 8" xfId="17599" xr:uid="{4BFFC2DF-0802-427F-A3A7-1592D566B25C}"/>
    <cellStyle name="Output 2 3 8 2" xfId="17600" xr:uid="{7BCBAAB3-671C-4E59-A4CA-96F5E2BD9A36}"/>
    <cellStyle name="Output 2 3 8 3" xfId="36123" xr:uid="{513C4454-BE24-42E3-B602-1157F066BA81}"/>
    <cellStyle name="Output 2 3 9" xfId="17601" xr:uid="{EC2837AC-5305-4CE3-AA0B-AF53D3218472}"/>
    <cellStyle name="Output 2 3 9 2" xfId="17602" xr:uid="{3523973C-11C1-4C1C-BB69-DCD9613E27C8}"/>
    <cellStyle name="Output 2 3 9 3" xfId="36124" xr:uid="{6DE889A3-3DEC-4206-A41D-740697C3D47F}"/>
    <cellStyle name="Output 2 4" xfId="17603" xr:uid="{7EE88C7C-8373-4176-927A-A1B505DA29DF}"/>
    <cellStyle name="Output 2 4 10" xfId="17604" xr:uid="{637E06B3-927F-427D-B0BA-A565AE02A99B}"/>
    <cellStyle name="Output 2 4 10 2" xfId="36125" xr:uid="{BA254245-5990-4915-BBC8-561C59B1CB07}"/>
    <cellStyle name="Output 2 4 10 3" xfId="36126" xr:uid="{937E3F7D-5B27-4B7E-9B53-D71291A8B7CD}"/>
    <cellStyle name="Output 2 4 11" xfId="17605" xr:uid="{80BBE327-A853-45BD-81B1-E67569A09041}"/>
    <cellStyle name="Output 2 4 11 2" xfId="36127" xr:uid="{1FB20319-E242-436B-832B-7E8824A3E108}"/>
    <cellStyle name="Output 2 4 12" xfId="36128" xr:uid="{BAE9970B-DDBA-493D-BF05-525EB37D67F0}"/>
    <cellStyle name="Output 2 4 13" xfId="43011" xr:uid="{96F4E7FE-F15E-457F-9B28-29837A949F0C}"/>
    <cellStyle name="Output 2 4 14" xfId="42245" xr:uid="{B874E89B-EF4A-4972-B9F7-8B31D25A820B}"/>
    <cellStyle name="Output 2 4 15" xfId="43929" xr:uid="{3ED1DEF4-92CD-4CC8-A403-E8A511D7E134}"/>
    <cellStyle name="Output 2 4 16" xfId="44632" xr:uid="{7D184733-D0EC-4A4F-93AB-58A7842C2B12}"/>
    <cellStyle name="Output 2 4 17" xfId="45362" xr:uid="{ACDD8CC1-4ECE-4F09-BFC8-EA91CD2AF8C2}"/>
    <cellStyle name="Output 2 4 18" xfId="45581" xr:uid="{3640DF2A-2F6A-4BEA-820A-782673C31F3F}"/>
    <cellStyle name="Output 2 4 2" xfId="17606" xr:uid="{95E803C3-52EF-44A0-A48C-5100B73E9C37}"/>
    <cellStyle name="Output 2 4 2 10" xfId="17607" xr:uid="{1C10FA76-E788-4625-BE1A-8DF383A6343A}"/>
    <cellStyle name="Output 2 4 2 10 2" xfId="36129" xr:uid="{749AC6A5-CDC7-4208-95A4-2BEEFF1AA47B}"/>
    <cellStyle name="Output 2 4 2 11" xfId="36130" xr:uid="{48EC6A5D-C56E-4C0C-8AFC-F9ECE3883D6A}"/>
    <cellStyle name="Output 2 4 2 2" xfId="17608" xr:uid="{72470F65-E8DA-4B49-9DA4-A629DB182D08}"/>
    <cellStyle name="Output 2 4 2 2 2" xfId="17609" xr:uid="{A19D77B3-3748-4171-92B6-CAB7AE0C2A82}"/>
    <cellStyle name="Output 2 4 2 2 2 2" xfId="17610" xr:uid="{0A855196-F1E8-46C2-8F56-AC028FB9A110}"/>
    <cellStyle name="Output 2 4 2 2 2 3" xfId="36131" xr:uid="{AB3971DF-DAB8-4B11-BEA7-6A1C61D8D758}"/>
    <cellStyle name="Output 2 4 2 2 3" xfId="17611" xr:uid="{59CB79DD-F4E1-4B1A-B22F-604A832CEE8E}"/>
    <cellStyle name="Output 2 4 2 2 3 2" xfId="17612" xr:uid="{5BED276E-0775-48C3-A42A-8E150337DB88}"/>
    <cellStyle name="Output 2 4 2 2 4" xfId="17613" xr:uid="{54FC1AC1-F75D-48F6-8F14-9D2217A302EB}"/>
    <cellStyle name="Output 2 4 2 2 5" xfId="36132" xr:uid="{10DD6D03-B559-43F7-AB38-49C67DA63C5C}"/>
    <cellStyle name="Output 2 4 2 2 6" xfId="36133" xr:uid="{87A2EA75-287C-42D7-99D0-4A43B168FE53}"/>
    <cellStyle name="Output 2 4 2 2 7" xfId="36134" xr:uid="{49ACD193-817C-4C7E-AB88-F7042AB84A73}"/>
    <cellStyle name="Output 2 4 2 3" xfId="17614" xr:uid="{F3C2B2CA-635E-430E-8971-29B3AFF5305B}"/>
    <cellStyle name="Output 2 4 2 3 2" xfId="17615" xr:uid="{ED7267BE-F7C2-4C93-9102-53FBF64E6D65}"/>
    <cellStyle name="Output 2 4 2 3 2 2" xfId="36135" xr:uid="{FC111EF0-590A-46E5-A118-BED207E81B62}"/>
    <cellStyle name="Output 2 4 2 3 2 3" xfId="36136" xr:uid="{F17A2FA9-31A8-4D25-8D29-5CBA4A2A47C8}"/>
    <cellStyle name="Output 2 4 2 3 3" xfId="36137" xr:uid="{F16EE48E-5114-4AAD-ABD1-01B31E4A9E4F}"/>
    <cellStyle name="Output 2 4 2 3 3 2" xfId="36138" xr:uid="{8C1C12A2-0358-4945-A408-5D19913821E5}"/>
    <cellStyle name="Output 2 4 2 3 4" xfId="36139" xr:uid="{6AFD84CF-1210-43E5-B62A-F5E4721B1451}"/>
    <cellStyle name="Output 2 4 2 3 5" xfId="36140" xr:uid="{DD708111-6714-4F11-B72C-21A4AC4E87D4}"/>
    <cellStyle name="Output 2 4 2 3 6" xfId="36141" xr:uid="{EEF291DD-5771-4EDE-994B-EE232E110D5E}"/>
    <cellStyle name="Output 2 4 2 4" xfId="17616" xr:uid="{7CBC151E-8C06-4C7C-A71F-CC3B64051EB1}"/>
    <cellStyle name="Output 2 4 2 4 2" xfId="17617" xr:uid="{57DCDBAE-567A-4861-8653-E7BF4D6C30C3}"/>
    <cellStyle name="Output 2 4 2 4 3" xfId="36142" xr:uid="{6E140E49-3597-4E3F-B4C3-4BCC10F1EF5F}"/>
    <cellStyle name="Output 2 4 2 5" xfId="17618" xr:uid="{1F08F585-96E2-4E65-BC77-92D45552634B}"/>
    <cellStyle name="Output 2 4 2 5 2" xfId="17619" xr:uid="{3E79F47A-F410-4624-A11D-BDC8FBB40032}"/>
    <cellStyle name="Output 2 4 2 5 3" xfId="36143" xr:uid="{72678838-9ED9-49A0-BC10-67CCC4AEAD63}"/>
    <cellStyle name="Output 2 4 2 6" xfId="17620" xr:uid="{7246A886-2E42-4EE7-AD2A-E36033C371B4}"/>
    <cellStyle name="Output 2 4 2 6 2" xfId="17621" xr:uid="{615ED26E-3571-4686-9742-E070F885341F}"/>
    <cellStyle name="Output 2 4 2 6 3" xfId="36144" xr:uid="{79D891DA-9013-464E-A8C6-0C87A7BA9103}"/>
    <cellStyle name="Output 2 4 2 7" xfId="17622" xr:uid="{4E33EB4E-C19E-48C3-8837-E3E863C31CAC}"/>
    <cellStyle name="Output 2 4 2 7 2" xfId="17623" xr:uid="{B91BC7AB-FE73-41D5-9BB2-B5D6B27DB557}"/>
    <cellStyle name="Output 2 4 2 7 3" xfId="36145" xr:uid="{67DC7471-0872-4287-825C-70A4F4A02BE3}"/>
    <cellStyle name="Output 2 4 2 8" xfId="17624" xr:uid="{C1A454D7-DA1F-4470-AE81-C40C5173738E}"/>
    <cellStyle name="Output 2 4 2 8 2" xfId="17625" xr:uid="{96F687A9-B8E2-44A8-8A75-4B8D9D95FEEB}"/>
    <cellStyle name="Output 2 4 2 8 3" xfId="36146" xr:uid="{DBCF858E-2B36-463A-8C90-98B00A5CBCEA}"/>
    <cellStyle name="Output 2 4 2 9" xfId="17626" xr:uid="{64B22003-5AB9-4A97-918F-632C1741C0F9}"/>
    <cellStyle name="Output 2 4 2 9 2" xfId="36147" xr:uid="{D5EB494C-05D3-441A-B28F-B15D33951AEC}"/>
    <cellStyle name="Output 2 4 2 9 3" xfId="36148" xr:uid="{84D61C98-9E1C-4810-8D2C-CB77F0760209}"/>
    <cellStyle name="Output 2 4 3" xfId="17627" xr:uid="{237EE50B-F4DB-4E34-B0D4-AD7D0BE9B33E}"/>
    <cellStyle name="Output 2 4 3 2" xfId="17628" xr:uid="{21C77FC0-98B0-4DA7-B45A-F408EA75FB3E}"/>
    <cellStyle name="Output 2 4 3 2 2" xfId="36149" xr:uid="{9E93AD74-9CCB-4FC2-8A49-DF4DB3FED365}"/>
    <cellStyle name="Output 2 4 3 3" xfId="17629" xr:uid="{B75D0981-1BCA-4D29-AFB2-B411D2E06643}"/>
    <cellStyle name="Output 2 4 3 4" xfId="17630" xr:uid="{75604312-440D-4DF9-8BC9-305D6DD64E6A}"/>
    <cellStyle name="Output 2 4 4" xfId="17631" xr:uid="{73BC1B62-DD99-4682-B1DF-59E9F7AF037A}"/>
    <cellStyle name="Output 2 4 4 2" xfId="17632" xr:uid="{C4623AFB-60AB-482D-9ACA-C290CD1A7E4E}"/>
    <cellStyle name="Output 2 4 4 3" xfId="36150" xr:uid="{634A1548-0240-4543-92ED-4CA8E352078F}"/>
    <cellStyle name="Output 2 4 5" xfId="17633" xr:uid="{5B5FA06A-DD91-4265-A397-A11E65FDD126}"/>
    <cellStyle name="Output 2 4 5 2" xfId="17634" xr:uid="{96629721-3349-4279-BBD5-70A4189460A7}"/>
    <cellStyle name="Output 2 4 5 3" xfId="36151" xr:uid="{A0CFECA2-A044-423E-806B-8BD4B89A0C55}"/>
    <cellStyle name="Output 2 4 6" xfId="17635" xr:uid="{09791E03-0B7B-4E89-8240-C28A6A927F81}"/>
    <cellStyle name="Output 2 4 6 2" xfId="17636" xr:uid="{8F2B4E9A-45B4-493C-BB67-EB933F19FEC7}"/>
    <cellStyle name="Output 2 4 6 3" xfId="36152" xr:uid="{09F284C2-C02F-4BBE-8F46-84783FA42968}"/>
    <cellStyle name="Output 2 4 7" xfId="17637" xr:uid="{6960D7B9-A000-47C1-BC35-135F475E84F7}"/>
    <cellStyle name="Output 2 4 7 2" xfId="17638" xr:uid="{1D6C2566-4E03-4A9C-AC5F-92E54F9576EB}"/>
    <cellStyle name="Output 2 4 7 3" xfId="36153" xr:uid="{A9A88C6A-2B21-44A0-B390-81126D64F218}"/>
    <cellStyle name="Output 2 4 8" xfId="17639" xr:uid="{00D4699F-6AA5-4A37-8FC7-93AABA78818B}"/>
    <cellStyle name="Output 2 4 8 2" xfId="17640" xr:uid="{9BC5902B-0BD8-4021-9AC8-F45629E7AA5E}"/>
    <cellStyle name="Output 2 4 8 3" xfId="36154" xr:uid="{8758817F-31A5-46C4-A36D-5F6C6DE2844C}"/>
    <cellStyle name="Output 2 4 9" xfId="17641" xr:uid="{04AD9C87-9517-416C-B7B2-A016711C0348}"/>
    <cellStyle name="Output 2 4 9 2" xfId="17642" xr:uid="{C82FE304-B2F3-4E7D-9B1C-E429A060012E}"/>
    <cellStyle name="Output 2 4 9 3" xfId="36155" xr:uid="{20A75F51-1A78-4B29-AC0E-61ECBAC86087}"/>
    <cellStyle name="Output 2 5" xfId="17643" xr:uid="{B2F84B29-D9EF-41DC-B5EC-47FAF73795AF}"/>
    <cellStyle name="Output 2 5 10" xfId="17644" xr:uid="{AFFD0818-55EB-434B-AB2D-DF79CFA2C63F}"/>
    <cellStyle name="Output 2 5 10 2" xfId="36156" xr:uid="{B64B15C1-1079-41B3-9398-916DE42B6BFB}"/>
    <cellStyle name="Output 2 5 10 3" xfId="36157" xr:uid="{D514B49B-4388-4659-8205-EE86AFA1DAEA}"/>
    <cellStyle name="Output 2 5 11" xfId="17645" xr:uid="{AC0AEF98-56B0-426A-80A0-A82D5E701BDE}"/>
    <cellStyle name="Output 2 5 11 2" xfId="36158" xr:uid="{ABCCCFE8-2BC2-4873-9996-859F528C11FF}"/>
    <cellStyle name="Output 2 5 12" xfId="36159" xr:uid="{07797683-3266-4D81-96C4-84CCB454B18C}"/>
    <cellStyle name="Output 2 5 13" xfId="43012" xr:uid="{56D35403-647E-4B97-9B6F-F9AF4D4A1221}"/>
    <cellStyle name="Output 2 5 14" xfId="42244" xr:uid="{94AEDDCA-7844-4998-81E8-868F0DB3D5C4}"/>
    <cellStyle name="Output 2 5 15" xfId="43930" xr:uid="{B5814674-3D5A-4243-A658-2DB57CB50983}"/>
    <cellStyle name="Output 2 5 2" xfId="17646" xr:uid="{CBF3646B-4493-4C3D-B4A4-303C33934223}"/>
    <cellStyle name="Output 2 5 2 10" xfId="17647" xr:uid="{E9255E99-407B-4F1B-84EA-B41EAC9A7926}"/>
    <cellStyle name="Output 2 5 2 10 2" xfId="36160" xr:uid="{5E5362EF-96FA-411F-9A69-F1CBC6456A0C}"/>
    <cellStyle name="Output 2 5 2 11" xfId="36161" xr:uid="{8F59DAB4-9B78-47CC-85AD-653741C8D57F}"/>
    <cellStyle name="Output 2 5 2 2" xfId="17648" xr:uid="{0BC6A657-DBAA-4D78-B2F2-F57BCC138AEA}"/>
    <cellStyle name="Output 2 5 2 2 2" xfId="17649" xr:uid="{F51E3076-53EB-4422-8CD1-F2599797C266}"/>
    <cellStyle name="Output 2 5 2 2 2 2" xfId="17650" xr:uid="{2C873715-285C-4C81-A229-60C5D1E4EE0A}"/>
    <cellStyle name="Output 2 5 2 2 2 3" xfId="36162" xr:uid="{37CDA19B-8CC8-4E0D-B427-25D999AAECAD}"/>
    <cellStyle name="Output 2 5 2 2 3" xfId="17651" xr:uid="{413263F0-7032-4BA6-8C8D-18207240DD27}"/>
    <cellStyle name="Output 2 5 2 2 3 2" xfId="17652" xr:uid="{B63EBEFB-BFE4-43C5-8804-56EAD33CDAFE}"/>
    <cellStyle name="Output 2 5 2 2 4" xfId="17653" xr:uid="{01206D15-9B96-4CC6-90DA-A4A59902B8F8}"/>
    <cellStyle name="Output 2 5 2 2 5" xfId="36163" xr:uid="{2CF9A6BF-BBFE-4337-B107-0053EB9F0A3A}"/>
    <cellStyle name="Output 2 5 2 2 6" xfId="36164" xr:uid="{F446DF94-4BDB-48C3-9D12-D589634E96BD}"/>
    <cellStyle name="Output 2 5 2 2 7" xfId="36165" xr:uid="{98E44367-1391-4C94-8D70-DB910935BED6}"/>
    <cellStyle name="Output 2 5 2 3" xfId="17654" xr:uid="{B7436C83-F8C8-4136-AC1B-F15A0A0808AD}"/>
    <cellStyle name="Output 2 5 2 3 2" xfId="17655" xr:uid="{6F2D660A-F329-4FE5-996E-4B6F10E211D7}"/>
    <cellStyle name="Output 2 5 2 3 2 2" xfId="36166" xr:uid="{B4AABB18-FA7C-4AF4-AF12-9426A47EB0E6}"/>
    <cellStyle name="Output 2 5 2 3 2 3" xfId="36167" xr:uid="{C13E0284-A92F-403C-ACDF-B1F14FEA91E2}"/>
    <cellStyle name="Output 2 5 2 3 3" xfId="36168" xr:uid="{D3A60F4A-78AD-4199-A321-388A270111F2}"/>
    <cellStyle name="Output 2 5 2 3 3 2" xfId="36169" xr:uid="{776CCD14-C891-4F02-9A07-C26519B5AADA}"/>
    <cellStyle name="Output 2 5 2 3 4" xfId="36170" xr:uid="{E184E1FD-1330-40FC-ACCD-46B1A5857998}"/>
    <cellStyle name="Output 2 5 2 3 5" xfId="36171" xr:uid="{DF114A82-185A-4043-8D49-C524AEC7B668}"/>
    <cellStyle name="Output 2 5 2 3 6" xfId="36172" xr:uid="{8BE17CF0-2F4A-4D9F-A415-3C26D127F531}"/>
    <cellStyle name="Output 2 5 2 4" xfId="17656" xr:uid="{2D87974A-5410-496E-B7B9-4A1C3DBED6A2}"/>
    <cellStyle name="Output 2 5 2 4 2" xfId="17657" xr:uid="{6A350F60-535B-4DF7-A68D-43E4745E5DEF}"/>
    <cellStyle name="Output 2 5 2 4 3" xfId="36173" xr:uid="{2F06E867-BCF7-4AC6-A481-483B3938F352}"/>
    <cellStyle name="Output 2 5 2 5" xfId="17658" xr:uid="{800E9B9D-1900-4C9E-BD08-713228BAD8CD}"/>
    <cellStyle name="Output 2 5 2 5 2" xfId="17659" xr:uid="{81B51051-6B6B-4771-BC18-7ECFB3CAE373}"/>
    <cellStyle name="Output 2 5 2 5 3" xfId="36174" xr:uid="{EB3D44C4-2995-4C41-8D25-8340A9CD079E}"/>
    <cellStyle name="Output 2 5 2 6" xfId="17660" xr:uid="{29006413-8DBF-4A52-B38F-0305FFF32CB1}"/>
    <cellStyle name="Output 2 5 2 6 2" xfId="17661" xr:uid="{56678F82-84D5-4B6A-8997-C040ED9A4ADB}"/>
    <cellStyle name="Output 2 5 2 6 3" xfId="36175" xr:uid="{B9B107D9-859E-4799-8F26-27AE61867296}"/>
    <cellStyle name="Output 2 5 2 7" xfId="17662" xr:uid="{CCE9B13E-ADC6-483D-AAD5-8AA7BD37B1F6}"/>
    <cellStyle name="Output 2 5 2 7 2" xfId="17663" xr:uid="{6A8E8BC4-8677-4403-9073-A8620624FB4F}"/>
    <cellStyle name="Output 2 5 2 7 3" xfId="36176" xr:uid="{C786D402-1795-4DDC-AED3-F9BD158747B9}"/>
    <cellStyle name="Output 2 5 2 8" xfId="17664" xr:uid="{D1AE64E8-A0F7-4E49-BE93-24C47BD6C197}"/>
    <cellStyle name="Output 2 5 2 8 2" xfId="17665" xr:uid="{77F6BB10-6382-46E9-B022-8AF6DA7DC368}"/>
    <cellStyle name="Output 2 5 2 8 3" xfId="36177" xr:uid="{3A2AEB34-3984-45CB-817D-33C8986F27DD}"/>
    <cellStyle name="Output 2 5 2 9" xfId="17666" xr:uid="{CBA1DED4-8FE5-47A5-926F-41709ED9EF79}"/>
    <cellStyle name="Output 2 5 2 9 2" xfId="36178" xr:uid="{A02B289F-697C-41D4-B036-17F51B1AE680}"/>
    <cellStyle name="Output 2 5 2 9 3" xfId="36179" xr:uid="{5BD67364-18D5-41E2-9A3C-B648A8606C94}"/>
    <cellStyle name="Output 2 5 3" xfId="17667" xr:uid="{6E9099D2-779F-41CB-B3E8-C637F98E9581}"/>
    <cellStyle name="Output 2 5 3 2" xfId="17668" xr:uid="{1D5ECF7B-10A0-4C0A-97F6-25894F94AAB8}"/>
    <cellStyle name="Output 2 5 3 2 2" xfId="36180" xr:uid="{C3F1CAB2-F14F-4D37-BBF5-8E15BBAE66BE}"/>
    <cellStyle name="Output 2 5 3 3" xfId="17669" xr:uid="{74E2B390-4E44-4533-BFC0-56371DA1DBB0}"/>
    <cellStyle name="Output 2 5 3 4" xfId="17670" xr:uid="{B6DE19B7-AF9E-484C-A4EF-BFA749E3E299}"/>
    <cellStyle name="Output 2 5 4" xfId="17671" xr:uid="{65EC48C2-F27D-4306-A684-0D42E434F8B4}"/>
    <cellStyle name="Output 2 5 4 2" xfId="17672" xr:uid="{180051E5-1EDB-4977-A51B-873BBC65C037}"/>
    <cellStyle name="Output 2 5 4 3" xfId="36181" xr:uid="{20346365-973F-4880-AB2A-2F31F91AF4F7}"/>
    <cellStyle name="Output 2 5 5" xfId="17673" xr:uid="{3D4CF1F1-6925-4E4A-8437-5CA26A869B94}"/>
    <cellStyle name="Output 2 5 5 2" xfId="17674" xr:uid="{51480940-3B0E-411A-A9D1-982686DB2017}"/>
    <cellStyle name="Output 2 5 5 3" xfId="36182" xr:uid="{6C85E3D6-45BA-4F6E-B4A3-612B5E1E33CA}"/>
    <cellStyle name="Output 2 5 6" xfId="17675" xr:uid="{00DD2D9A-6551-44C5-A83B-562A5C6BD80C}"/>
    <cellStyle name="Output 2 5 6 2" xfId="17676" xr:uid="{75E3E221-0C59-42AF-B394-1A447B2E356D}"/>
    <cellStyle name="Output 2 5 6 3" xfId="36183" xr:uid="{FBD12376-7CB7-4AB0-A805-A687A282C3C4}"/>
    <cellStyle name="Output 2 5 7" xfId="17677" xr:uid="{D71A9B18-C778-46EB-8498-C5EE2BA3C451}"/>
    <cellStyle name="Output 2 5 7 2" xfId="17678" xr:uid="{7A34145F-D46D-4C8A-B6C2-69E5334ADB55}"/>
    <cellStyle name="Output 2 5 7 3" xfId="36184" xr:uid="{CA70A518-74A6-4978-B5A5-84109DCAB158}"/>
    <cellStyle name="Output 2 5 8" xfId="17679" xr:uid="{7D7D96B9-7011-41D0-B2A4-ADD7ED1F47F8}"/>
    <cellStyle name="Output 2 5 8 2" xfId="17680" xr:uid="{E2142B81-11F7-48BC-9FF2-C429A27E004F}"/>
    <cellStyle name="Output 2 5 8 3" xfId="36185" xr:uid="{1040C7D3-6DC7-4197-8D05-25F70B34E31D}"/>
    <cellStyle name="Output 2 5 9" xfId="17681" xr:uid="{DDA4A6FF-33DE-4237-8404-A4CB990521E5}"/>
    <cellStyle name="Output 2 5 9 2" xfId="17682" xr:uid="{4F63D408-E710-4CF0-B7C7-A398FEB48B27}"/>
    <cellStyle name="Output 2 5 9 3" xfId="36186" xr:uid="{06281C03-6891-4CF7-8CAC-D00A9210E641}"/>
    <cellStyle name="Output 2 6" xfId="17683" xr:uid="{C58990C5-2370-4823-AB65-B06A39145518}"/>
    <cellStyle name="Output 2 6 10" xfId="17684" xr:uid="{6C3E3DE7-2903-40FF-B948-5B5EE6B4689B}"/>
    <cellStyle name="Output 2 6 10 2" xfId="36187" xr:uid="{8C3867E1-03AA-4F30-BAEA-7E144EE2FFBF}"/>
    <cellStyle name="Output 2 6 10 3" xfId="36188" xr:uid="{A0470F82-3DC7-4621-8D03-1628A4DD08FB}"/>
    <cellStyle name="Output 2 6 11" xfId="17685" xr:uid="{82C153C6-E4A9-44BE-BA12-9A40A6EA1A19}"/>
    <cellStyle name="Output 2 6 11 2" xfId="36189" xr:uid="{3921AE74-908F-4F77-8F2A-90136B751DC9}"/>
    <cellStyle name="Output 2 6 12" xfId="36190" xr:uid="{E78DACF9-DBCF-40B7-9D4A-598F123D53B5}"/>
    <cellStyle name="Output 2 6 13" xfId="43013" xr:uid="{5D674737-F39C-4C5B-A4BF-D0AAEB28E813}"/>
    <cellStyle name="Output 2 6 14" xfId="42243" xr:uid="{4705A020-A439-49E9-A878-FC8DA80DA3EF}"/>
    <cellStyle name="Output 2 6 15" xfId="43931" xr:uid="{B6AB1B5D-945A-4E94-845D-B0E443AA00AD}"/>
    <cellStyle name="Output 2 6 2" xfId="17686" xr:uid="{A1B6447D-604D-4582-9E6A-9C40CA271D0B}"/>
    <cellStyle name="Output 2 6 2 10" xfId="17687" xr:uid="{7E8F6A0D-95C1-4D32-97F3-CBEEF9AA6B69}"/>
    <cellStyle name="Output 2 6 2 10 2" xfId="36191" xr:uid="{CFF56DA2-E92A-436D-B481-6DCDE2FA5A59}"/>
    <cellStyle name="Output 2 6 2 11" xfId="36192" xr:uid="{18C5E666-1921-4748-B19D-92395B1B8992}"/>
    <cellStyle name="Output 2 6 2 2" xfId="17688" xr:uid="{9A9C91DB-3F46-455E-AF83-5007C4531390}"/>
    <cellStyle name="Output 2 6 2 2 2" xfId="17689" xr:uid="{C69BB702-2513-45F9-B361-7DB89299EE38}"/>
    <cellStyle name="Output 2 6 2 2 2 2" xfId="17690" xr:uid="{E4A06A8E-4E5A-4260-83CA-0CBBC5664F9C}"/>
    <cellStyle name="Output 2 6 2 2 2 3" xfId="36193" xr:uid="{6549ABA7-3A33-468D-B5E6-2BAB4A3D133A}"/>
    <cellStyle name="Output 2 6 2 2 3" xfId="17691" xr:uid="{DCA842CD-C753-438E-9622-283B65D8AFFA}"/>
    <cellStyle name="Output 2 6 2 2 3 2" xfId="17692" xr:uid="{47E0869A-C298-4A97-90E2-8D78F181832B}"/>
    <cellStyle name="Output 2 6 2 2 4" xfId="17693" xr:uid="{7CFBE093-763F-4FAA-9DE0-2F53D231E0D9}"/>
    <cellStyle name="Output 2 6 2 2 5" xfId="36194" xr:uid="{BCD3DE30-8699-40BB-BF96-A3C53B04292D}"/>
    <cellStyle name="Output 2 6 2 2 6" xfId="36195" xr:uid="{3A244DB1-5339-4F7C-8641-401A5EA415D5}"/>
    <cellStyle name="Output 2 6 2 2 7" xfId="36196" xr:uid="{62CFCAEE-7098-4FE5-9585-FDFD927A954D}"/>
    <cellStyle name="Output 2 6 2 3" xfId="17694" xr:uid="{F7124135-6117-47DC-8BFD-2865C8983E72}"/>
    <cellStyle name="Output 2 6 2 3 2" xfId="17695" xr:uid="{8073745D-6D3D-4727-BE61-A78ABB63EC63}"/>
    <cellStyle name="Output 2 6 2 3 2 2" xfId="36197" xr:uid="{D4CCD4C9-1668-47B7-BC4B-5826E1251B8C}"/>
    <cellStyle name="Output 2 6 2 3 2 3" xfId="36198" xr:uid="{061FD6FD-2190-49F0-93DC-B4F80923327F}"/>
    <cellStyle name="Output 2 6 2 3 3" xfId="36199" xr:uid="{F23C66AF-304B-4538-A928-6ECEDDA60DC1}"/>
    <cellStyle name="Output 2 6 2 3 3 2" xfId="36200" xr:uid="{6C977BEC-44BD-4D63-84A6-A849B5918475}"/>
    <cellStyle name="Output 2 6 2 3 4" xfId="36201" xr:uid="{48E6AE0C-F925-4B7D-80E7-01B60D001247}"/>
    <cellStyle name="Output 2 6 2 3 5" xfId="36202" xr:uid="{31A16A35-DFE8-4641-8F8D-C664C4874A04}"/>
    <cellStyle name="Output 2 6 2 3 6" xfId="36203" xr:uid="{71D8DBF3-833D-426E-BAC1-CF7ED7D7B07F}"/>
    <cellStyle name="Output 2 6 2 4" xfId="17696" xr:uid="{9266DECA-18BF-4903-BE06-66443BB06A78}"/>
    <cellStyle name="Output 2 6 2 4 2" xfId="17697" xr:uid="{DA89D319-914E-4C93-A2AD-3FC982B51F91}"/>
    <cellStyle name="Output 2 6 2 4 3" xfId="36204" xr:uid="{AEF0430B-AAAA-4A08-AC45-D4859BF7AD6C}"/>
    <cellStyle name="Output 2 6 2 5" xfId="17698" xr:uid="{849E83AA-19C9-4544-9B92-060FDD62BD75}"/>
    <cellStyle name="Output 2 6 2 5 2" xfId="17699" xr:uid="{77195980-A559-4467-85A5-C3B0BD014272}"/>
    <cellStyle name="Output 2 6 2 5 3" xfId="36205" xr:uid="{47156B04-BEAE-4098-A3B5-DDFCC51CFA8E}"/>
    <cellStyle name="Output 2 6 2 6" xfId="17700" xr:uid="{8CED0D99-F217-4363-B7D7-77F3ECCD99EA}"/>
    <cellStyle name="Output 2 6 2 6 2" xfId="17701" xr:uid="{DEE0589C-D0F8-4734-853A-2C8C72AE9271}"/>
    <cellStyle name="Output 2 6 2 6 3" xfId="36206" xr:uid="{7B2E37AC-C58A-4473-80EC-314258211D87}"/>
    <cellStyle name="Output 2 6 2 7" xfId="17702" xr:uid="{7FDB0E48-1F0E-4C0F-99CB-AE7A0207CA93}"/>
    <cellStyle name="Output 2 6 2 7 2" xfId="17703" xr:uid="{E263047A-DC8C-42AA-9360-9A7E6B38C90D}"/>
    <cellStyle name="Output 2 6 2 7 3" xfId="36207" xr:uid="{4D786B52-CDBD-4C93-9AA1-6A9DB5DFAB80}"/>
    <cellStyle name="Output 2 6 2 8" xfId="17704" xr:uid="{E07A9790-9560-4325-9B2D-0EA467E1B3B1}"/>
    <cellStyle name="Output 2 6 2 8 2" xfId="17705" xr:uid="{4DB929B9-6ACA-4BC2-8308-EC0C999A2815}"/>
    <cellStyle name="Output 2 6 2 8 3" xfId="36208" xr:uid="{2DA2718E-2D15-4E22-BDB5-1F80C628B952}"/>
    <cellStyle name="Output 2 6 2 9" xfId="17706" xr:uid="{E66571E5-894F-4DF2-8E2B-BE9B255A1525}"/>
    <cellStyle name="Output 2 6 2 9 2" xfId="36209" xr:uid="{61D79D96-7F7A-4353-A5D9-A957D55229C9}"/>
    <cellStyle name="Output 2 6 2 9 3" xfId="36210" xr:uid="{C11438D0-8482-4D79-B84D-DEC7F70A5D11}"/>
    <cellStyle name="Output 2 6 3" xfId="17707" xr:uid="{0F8E58E6-6CCC-43A0-BA7D-684EFE2A445F}"/>
    <cellStyle name="Output 2 6 3 2" xfId="17708" xr:uid="{E50D73F6-94AB-4DCF-A240-7D53EEE265A8}"/>
    <cellStyle name="Output 2 6 3 2 2" xfId="36211" xr:uid="{81561CB6-EEEE-4086-858C-FA5D2292EDB4}"/>
    <cellStyle name="Output 2 6 3 3" xfId="17709" xr:uid="{C9CAE31C-066F-4A62-9F64-3228307C1277}"/>
    <cellStyle name="Output 2 6 3 4" xfId="17710" xr:uid="{2F775F2B-E231-4289-816F-D095EAD6D5F8}"/>
    <cellStyle name="Output 2 6 4" xfId="17711" xr:uid="{4F223F70-23D2-45D3-9725-34061E3408DD}"/>
    <cellStyle name="Output 2 6 4 2" xfId="17712" xr:uid="{2804E979-FF02-4ED0-943F-9CA5057278DB}"/>
    <cellStyle name="Output 2 6 4 3" xfId="36212" xr:uid="{14AACCDB-32AF-4CE2-B521-1A28BF83138B}"/>
    <cellStyle name="Output 2 6 5" xfId="17713" xr:uid="{2A80B9B0-F130-4752-8FA5-0559A0AC3973}"/>
    <cellStyle name="Output 2 6 5 2" xfId="17714" xr:uid="{7CE3850C-520B-4B9A-8C6D-092396D59EC3}"/>
    <cellStyle name="Output 2 6 5 3" xfId="36213" xr:uid="{5B2CD1E4-7915-40EC-9693-EA93A048181D}"/>
    <cellStyle name="Output 2 6 6" xfId="17715" xr:uid="{9CA17F56-7BFB-4408-93A2-27123DB36D74}"/>
    <cellStyle name="Output 2 6 6 2" xfId="17716" xr:uid="{215FE539-0391-4D64-AD72-F22B0A85F2CC}"/>
    <cellStyle name="Output 2 6 6 3" xfId="36214" xr:uid="{2EC75C8B-6EDA-43B7-9BD6-5BE7F4B24F1F}"/>
    <cellStyle name="Output 2 6 7" xfId="17717" xr:uid="{A9BD4750-1ECC-4DE2-8046-B958F3A05293}"/>
    <cellStyle name="Output 2 6 7 2" xfId="17718" xr:uid="{452F7F73-AE70-4561-B850-3C9F69DC59DD}"/>
    <cellStyle name="Output 2 6 7 3" xfId="36215" xr:uid="{DC4BE4A5-06AB-44D1-BA9C-B30871727AFD}"/>
    <cellStyle name="Output 2 6 8" xfId="17719" xr:uid="{E679D85A-0A1C-4587-8F9C-2279BD161968}"/>
    <cellStyle name="Output 2 6 8 2" xfId="17720" xr:uid="{1A323AB7-728C-49D2-A00B-D44446A402F0}"/>
    <cellStyle name="Output 2 6 8 3" xfId="36216" xr:uid="{55D37F54-C77C-4A31-85D0-E05CD785CA27}"/>
    <cellStyle name="Output 2 6 9" xfId="17721" xr:uid="{957A2802-84B2-4A19-994A-810808F66142}"/>
    <cellStyle name="Output 2 6 9 2" xfId="17722" xr:uid="{72A03A39-A997-46BF-9EE4-98F547FB6E4B}"/>
    <cellStyle name="Output 2 6 9 3" xfId="36217" xr:uid="{05825A31-387F-458E-9AB0-4D78CE0ACE98}"/>
    <cellStyle name="Output 2 7" xfId="17723" xr:uid="{ADC12D85-EF25-4841-9696-C1F0A018948F}"/>
    <cellStyle name="Output 2 7 10" xfId="17724" xr:uid="{B4B9722F-B65F-4C2C-88ED-602F6252757F}"/>
    <cellStyle name="Output 2 7 10 2" xfId="36218" xr:uid="{029B9927-4A2B-4BE8-9E6D-5B105B774427}"/>
    <cellStyle name="Output 2 7 10 3" xfId="36219" xr:uid="{0BD48DD1-2744-4AD5-885B-CC6751ACC775}"/>
    <cellStyle name="Output 2 7 11" xfId="17725" xr:uid="{5B132404-1679-47CE-9FE3-5F02FB9A9135}"/>
    <cellStyle name="Output 2 7 11 2" xfId="36220" xr:uid="{C176F8D9-7306-4DC7-989B-8F8F93DD5687}"/>
    <cellStyle name="Output 2 7 12" xfId="36221" xr:uid="{8C281927-58C2-46FB-8D83-0EA71951568E}"/>
    <cellStyle name="Output 2 7 13" xfId="43014" xr:uid="{A2E42F8A-11CF-4E3D-B10E-C9B2099AF3D7}"/>
    <cellStyle name="Output 2 7 14" xfId="42242" xr:uid="{233EA8BA-9429-4CD3-8079-B356F95D4991}"/>
    <cellStyle name="Output 2 7 15" xfId="43932" xr:uid="{0223B7C3-193A-4C1B-B6F1-C9509A672AE2}"/>
    <cellStyle name="Output 2 7 2" xfId="17726" xr:uid="{8353399A-F2D4-4C8F-9AC1-73F19AE4C980}"/>
    <cellStyle name="Output 2 7 2 10" xfId="17727" xr:uid="{CDDFE95C-8B5E-4758-955E-F33FFB90B0AD}"/>
    <cellStyle name="Output 2 7 2 10 2" xfId="36222" xr:uid="{B2C2AEB5-B61D-46C4-A99B-D50D5642379F}"/>
    <cellStyle name="Output 2 7 2 11" xfId="36223" xr:uid="{0DF5CEC5-9179-4D1E-A03B-D3EAECBF343A}"/>
    <cellStyle name="Output 2 7 2 2" xfId="17728" xr:uid="{B8CB4281-24FB-4442-A881-3B442453B213}"/>
    <cellStyle name="Output 2 7 2 2 2" xfId="17729" xr:uid="{CFD4A512-1EF2-4A37-8537-866D7698A9CF}"/>
    <cellStyle name="Output 2 7 2 2 2 2" xfId="17730" xr:uid="{0B8A9B0D-D984-46CD-8CEA-B1215C5CE002}"/>
    <cellStyle name="Output 2 7 2 2 2 3" xfId="36224" xr:uid="{978830A6-4FD0-4C54-962C-E06A5A59B1D9}"/>
    <cellStyle name="Output 2 7 2 2 3" xfId="17731" xr:uid="{918D64AD-3E3C-4718-8907-DB16FD814632}"/>
    <cellStyle name="Output 2 7 2 2 3 2" xfId="17732" xr:uid="{BA29381E-A6FB-41C5-B9A3-9534AFB8479A}"/>
    <cellStyle name="Output 2 7 2 2 4" xfId="17733" xr:uid="{2683565D-0EC9-4D05-BA68-88BC20AA9294}"/>
    <cellStyle name="Output 2 7 2 2 5" xfId="36225" xr:uid="{FF53F02D-3086-4117-8430-5522D7E6B93E}"/>
    <cellStyle name="Output 2 7 2 2 6" xfId="36226" xr:uid="{98647FCD-1377-44F8-8334-D703D8F90251}"/>
    <cellStyle name="Output 2 7 2 2 7" xfId="36227" xr:uid="{2A4EB2A8-43DE-4C21-9007-2F418F53F91B}"/>
    <cellStyle name="Output 2 7 2 3" xfId="17734" xr:uid="{000177B7-0C5B-418E-BAFB-75A8A73FE103}"/>
    <cellStyle name="Output 2 7 2 3 2" xfId="17735" xr:uid="{08CD3519-290A-4491-A4A7-F3CF28C3DBA4}"/>
    <cellStyle name="Output 2 7 2 3 2 2" xfId="36228" xr:uid="{7BF4BC54-C9C4-43A5-8412-994127555147}"/>
    <cellStyle name="Output 2 7 2 3 2 3" xfId="36229" xr:uid="{EE0DCD07-B7B3-469D-83F8-F6EE60B350B5}"/>
    <cellStyle name="Output 2 7 2 3 3" xfId="36230" xr:uid="{208ADC68-7E92-4FE3-8417-299ED0BAEEE9}"/>
    <cellStyle name="Output 2 7 2 3 3 2" xfId="36231" xr:uid="{FD54C024-43A6-42C3-8A41-5BDBC578AC31}"/>
    <cellStyle name="Output 2 7 2 3 4" xfId="36232" xr:uid="{D8423E7D-939C-4705-856D-F127DC5E57C1}"/>
    <cellStyle name="Output 2 7 2 3 5" xfId="36233" xr:uid="{8808D60C-6159-439A-821B-87DBA087679B}"/>
    <cellStyle name="Output 2 7 2 3 6" xfId="36234" xr:uid="{C5465658-4BAD-4099-8721-7D33D071E4F1}"/>
    <cellStyle name="Output 2 7 2 4" xfId="17736" xr:uid="{A87F0884-A85D-425C-9A5E-268A88DB22BD}"/>
    <cellStyle name="Output 2 7 2 4 2" xfId="17737" xr:uid="{B1498016-DCF8-4C2E-A3E9-13E01053E762}"/>
    <cellStyle name="Output 2 7 2 4 3" xfId="36235" xr:uid="{6A39F2CF-EC8E-477D-AFCE-ED9086600E5C}"/>
    <cellStyle name="Output 2 7 2 5" xfId="17738" xr:uid="{92388A72-FA5E-4330-874C-4B4767E1B084}"/>
    <cellStyle name="Output 2 7 2 5 2" xfId="17739" xr:uid="{A20F2306-1D74-4D99-AE01-8C3514E9B8DC}"/>
    <cellStyle name="Output 2 7 2 5 3" xfId="36236" xr:uid="{5F5D4059-FF0F-48C2-BC2F-B7D7E92785BE}"/>
    <cellStyle name="Output 2 7 2 6" xfId="17740" xr:uid="{34CDD5E4-43F0-4421-9593-37C006730F84}"/>
    <cellStyle name="Output 2 7 2 6 2" xfId="17741" xr:uid="{E854F719-2A05-46A5-86A0-B50CBEF846E4}"/>
    <cellStyle name="Output 2 7 2 6 3" xfId="36237" xr:uid="{127B3ED3-9527-41B3-B23F-EC29A07977A7}"/>
    <cellStyle name="Output 2 7 2 7" xfId="17742" xr:uid="{395A8B38-32C3-4BCA-9D0D-9D1104735CA3}"/>
    <cellStyle name="Output 2 7 2 7 2" xfId="17743" xr:uid="{672C7A8E-64D5-4EAB-986D-68A3723D4192}"/>
    <cellStyle name="Output 2 7 2 7 3" xfId="36238" xr:uid="{98F9E66D-A1E6-4D9D-985C-A133E631F266}"/>
    <cellStyle name="Output 2 7 2 8" xfId="17744" xr:uid="{E425621D-6D81-4756-A024-8060B772E91F}"/>
    <cellStyle name="Output 2 7 2 8 2" xfId="17745" xr:uid="{BF6D158F-7A1B-42AB-8122-73AE9F44FB83}"/>
    <cellStyle name="Output 2 7 2 8 3" xfId="36239" xr:uid="{87E03E79-DC98-4E9E-B072-77EB3E6657C4}"/>
    <cellStyle name="Output 2 7 2 9" xfId="17746" xr:uid="{74B9D0E3-0B81-4360-ABA9-AA5440408DF5}"/>
    <cellStyle name="Output 2 7 2 9 2" xfId="36240" xr:uid="{E85CC29D-607E-447E-94E5-BFE836CAE6EC}"/>
    <cellStyle name="Output 2 7 2 9 3" xfId="36241" xr:uid="{43CF9309-A9E8-470D-B139-C72DE52EF7BB}"/>
    <cellStyle name="Output 2 7 3" xfId="17747" xr:uid="{9AFBBFC2-E417-4404-9400-EE5459CA073E}"/>
    <cellStyle name="Output 2 7 3 2" xfId="17748" xr:uid="{5F1632BC-B9D9-42EE-909E-36F288516D6E}"/>
    <cellStyle name="Output 2 7 3 2 2" xfId="36242" xr:uid="{56D8B35F-DBFB-4268-9C67-1E947E3E04F9}"/>
    <cellStyle name="Output 2 7 3 3" xfId="17749" xr:uid="{7504E0C9-C4F3-42D5-9678-5EAB112C08F4}"/>
    <cellStyle name="Output 2 7 3 4" xfId="17750" xr:uid="{8DA8C7BB-AB3E-4346-8B93-3992E54461DD}"/>
    <cellStyle name="Output 2 7 4" xfId="17751" xr:uid="{2D07573C-9E19-453E-A997-4E716AFD7781}"/>
    <cellStyle name="Output 2 7 4 2" xfId="17752" xr:uid="{BACD4F83-F3F0-430A-9572-156530BBD9DB}"/>
    <cellStyle name="Output 2 7 4 3" xfId="36243" xr:uid="{66B44CAB-82CF-41F6-BACD-33BECAF0788D}"/>
    <cellStyle name="Output 2 7 5" xfId="17753" xr:uid="{BF70E05A-A801-4002-B857-956AD22D4EB4}"/>
    <cellStyle name="Output 2 7 5 2" xfId="17754" xr:uid="{3EED5D5E-4C43-4CA1-BFA9-858435B7EE5D}"/>
    <cellStyle name="Output 2 7 5 3" xfId="36244" xr:uid="{614D628C-37F4-45AA-BA93-DAB073E20142}"/>
    <cellStyle name="Output 2 7 6" xfId="17755" xr:uid="{6D749F7A-C706-40CD-82EF-1954BF5E7DE5}"/>
    <cellStyle name="Output 2 7 6 2" xfId="17756" xr:uid="{A5A87889-66EB-4F40-96C1-4B0BE1FB8B45}"/>
    <cellStyle name="Output 2 7 6 3" xfId="36245" xr:uid="{408861EA-F5C2-42BF-BEEF-55434B6AD55B}"/>
    <cellStyle name="Output 2 7 7" xfId="17757" xr:uid="{475CF79E-6E68-472F-B68F-ADA40C304DD1}"/>
    <cellStyle name="Output 2 7 7 2" xfId="17758" xr:uid="{BD0BE45B-6F07-4303-9E8F-B805EF9293CF}"/>
    <cellStyle name="Output 2 7 7 3" xfId="36246" xr:uid="{9A1CE74E-5C70-460D-BE9A-8981A9B7F00F}"/>
    <cellStyle name="Output 2 7 8" xfId="17759" xr:uid="{30AA4701-76AA-4F6F-BC17-832A915A52A5}"/>
    <cellStyle name="Output 2 7 8 2" xfId="17760" xr:uid="{08DE09A9-F83F-412D-B7D2-35D42AEE8D88}"/>
    <cellStyle name="Output 2 7 8 3" xfId="36247" xr:uid="{68DB3377-824D-46E6-A652-6AD4152B9254}"/>
    <cellStyle name="Output 2 7 9" xfId="17761" xr:uid="{FB783A29-13B7-4200-BAD5-6D85268BDFD7}"/>
    <cellStyle name="Output 2 7 9 2" xfId="17762" xr:uid="{665AE149-9CD4-47F1-A828-1FF92D627833}"/>
    <cellStyle name="Output 2 7 9 3" xfId="36248" xr:uid="{DBBB098A-5B01-4D3E-B2B5-A70AD7904EAF}"/>
    <cellStyle name="Output 2 8" xfId="17763" xr:uid="{99F9861C-1352-4C3C-A968-2A453E144783}"/>
    <cellStyle name="Output 2 8 10" xfId="17764" xr:uid="{5567551E-C985-4382-94C9-025AD27FEAF8}"/>
    <cellStyle name="Output 2 8 10 2" xfId="36249" xr:uid="{3BA10501-ED1C-4EFA-92B1-1E57B4A5D49E}"/>
    <cellStyle name="Output 2 8 10 3" xfId="36250" xr:uid="{8DDBF611-D697-42BB-816D-0AFF2F373915}"/>
    <cellStyle name="Output 2 8 11" xfId="17765" xr:uid="{97AAB688-5E6D-4C10-9F25-6D475E613EC5}"/>
    <cellStyle name="Output 2 8 11 2" xfId="36251" xr:uid="{AA90B370-BF65-42EB-B9C6-ED341E30C7FD}"/>
    <cellStyle name="Output 2 8 12" xfId="36252" xr:uid="{F0A55892-2DAB-4DFF-9E9F-A61E9C35514F}"/>
    <cellStyle name="Output 2 8 13" xfId="43015" xr:uid="{2EFC98E0-C45D-483D-8D6A-56817B9D23BA}"/>
    <cellStyle name="Output 2 8 14" xfId="42241" xr:uid="{968BDC51-1221-4422-9D26-8DCA7355DDD9}"/>
    <cellStyle name="Output 2 8 15" xfId="43933" xr:uid="{38D63EAF-C6E5-4F52-9304-04D0DF9281D6}"/>
    <cellStyle name="Output 2 8 2" xfId="17766" xr:uid="{0481AA21-1F2C-4B47-9711-0AC76118B31A}"/>
    <cellStyle name="Output 2 8 2 10" xfId="17767" xr:uid="{FD9AC819-AD2D-4AB1-AC85-EE8512A7942D}"/>
    <cellStyle name="Output 2 8 2 10 2" xfId="36253" xr:uid="{C6815163-4487-4D99-8821-039313143BD7}"/>
    <cellStyle name="Output 2 8 2 11" xfId="36254" xr:uid="{80B24F03-E468-4818-82A4-A207B3C740B5}"/>
    <cellStyle name="Output 2 8 2 2" xfId="17768" xr:uid="{AA5AF3AF-F36B-400B-B003-94FFAC54521E}"/>
    <cellStyle name="Output 2 8 2 2 2" xfId="17769" xr:uid="{895A8796-8DB0-44D3-A475-B51E62B03B97}"/>
    <cellStyle name="Output 2 8 2 2 2 2" xfId="17770" xr:uid="{AEDA089F-9898-4DDA-A007-9780A1143946}"/>
    <cellStyle name="Output 2 8 2 2 2 3" xfId="36255" xr:uid="{C8B4EB7A-C716-4FE0-B8F9-C8CDCEABB427}"/>
    <cellStyle name="Output 2 8 2 2 3" xfId="17771" xr:uid="{39D9861C-8920-40CD-A6F8-37EDC01837EC}"/>
    <cellStyle name="Output 2 8 2 2 3 2" xfId="17772" xr:uid="{1E9E0DBD-3084-4DA2-8CD6-F87B6B83F015}"/>
    <cellStyle name="Output 2 8 2 2 4" xfId="17773" xr:uid="{ECEF8E15-C787-476A-AE45-5CEF512B6896}"/>
    <cellStyle name="Output 2 8 2 2 5" xfId="36256" xr:uid="{7E6D5315-8C32-44BA-B1B6-8CB9EDE54024}"/>
    <cellStyle name="Output 2 8 2 2 6" xfId="36257" xr:uid="{08B5FFB6-7C79-471D-B1A3-77E8AFA28F2C}"/>
    <cellStyle name="Output 2 8 2 2 7" xfId="36258" xr:uid="{C75255B1-5F5D-4581-8F0D-F915D487ECBF}"/>
    <cellStyle name="Output 2 8 2 3" xfId="17774" xr:uid="{F3CCE187-238B-4A9D-B52C-030DB84CD7FC}"/>
    <cellStyle name="Output 2 8 2 3 2" xfId="17775" xr:uid="{B74945CE-BE74-4972-A6E2-C637F8AFD097}"/>
    <cellStyle name="Output 2 8 2 3 2 2" xfId="36259" xr:uid="{2D2AFDDA-182B-4B94-9CE9-C15F039A6404}"/>
    <cellStyle name="Output 2 8 2 3 2 3" xfId="36260" xr:uid="{8FC4B191-5400-4A4A-B119-737FD493F3A2}"/>
    <cellStyle name="Output 2 8 2 3 3" xfId="36261" xr:uid="{6B1A9742-8CCF-4EEA-BDF8-FBFF6E3B1A81}"/>
    <cellStyle name="Output 2 8 2 3 3 2" xfId="36262" xr:uid="{F9352201-61BF-4AFF-B96E-6EEC6A64E7D2}"/>
    <cellStyle name="Output 2 8 2 3 4" xfId="36263" xr:uid="{D2D0E1A8-F6DA-49F5-B6D8-B0FDD6974C67}"/>
    <cellStyle name="Output 2 8 2 3 5" xfId="36264" xr:uid="{A9C1A33F-738E-4F23-931B-77764E4A1099}"/>
    <cellStyle name="Output 2 8 2 3 6" xfId="36265" xr:uid="{F1C783C1-8214-4DB0-B611-1F160D4D59C5}"/>
    <cellStyle name="Output 2 8 2 4" xfId="17776" xr:uid="{E1ACC633-BECA-419F-BA2E-A819AFC50E92}"/>
    <cellStyle name="Output 2 8 2 4 2" xfId="17777" xr:uid="{BEC01D03-A39B-412A-89C1-E80FD694AD3A}"/>
    <cellStyle name="Output 2 8 2 4 3" xfId="36266" xr:uid="{3A6C719A-99C7-415D-AA6A-25FA8C327548}"/>
    <cellStyle name="Output 2 8 2 5" xfId="17778" xr:uid="{669CDCE5-9E51-46D2-AEE2-FE43889D69D9}"/>
    <cellStyle name="Output 2 8 2 5 2" xfId="17779" xr:uid="{5E5DA224-8482-49F4-A5A9-883DD7D872E7}"/>
    <cellStyle name="Output 2 8 2 5 3" xfId="36267" xr:uid="{EAFDE860-9595-4C8B-A839-B4D71EDDADDD}"/>
    <cellStyle name="Output 2 8 2 6" xfId="17780" xr:uid="{4C3CBA8F-97A4-4640-9CA6-97FF60FC4736}"/>
    <cellStyle name="Output 2 8 2 6 2" xfId="17781" xr:uid="{E4499CD5-32BE-4E1F-BFAA-C122E1888157}"/>
    <cellStyle name="Output 2 8 2 6 3" xfId="36268" xr:uid="{F7A5ADB0-850C-465F-B9DC-E71340C3179A}"/>
    <cellStyle name="Output 2 8 2 7" xfId="17782" xr:uid="{B5A7A975-4CAB-4030-A394-6E7D114A54C6}"/>
    <cellStyle name="Output 2 8 2 7 2" xfId="17783" xr:uid="{A56328F0-9B4A-4FA1-9D0A-B7BA442F9097}"/>
    <cellStyle name="Output 2 8 2 7 3" xfId="36269" xr:uid="{2DC455D1-17CF-49BF-B1E4-45F0F00A5C27}"/>
    <cellStyle name="Output 2 8 2 8" xfId="17784" xr:uid="{35D61B1A-46CF-44B2-960E-3A6745090DC5}"/>
    <cellStyle name="Output 2 8 2 8 2" xfId="17785" xr:uid="{515B19E6-F08E-450B-AFF7-FC88776A78A4}"/>
    <cellStyle name="Output 2 8 2 8 3" xfId="36270" xr:uid="{D7F18473-76E5-4DDE-8817-9D8DF6118F37}"/>
    <cellStyle name="Output 2 8 2 9" xfId="17786" xr:uid="{CE6AFAC1-6181-498F-B467-BD79E47BA180}"/>
    <cellStyle name="Output 2 8 2 9 2" xfId="36271" xr:uid="{FFAB4ED7-FA32-4B8F-AF08-CA896274FF10}"/>
    <cellStyle name="Output 2 8 2 9 3" xfId="36272" xr:uid="{49214C69-1D56-4761-8A3C-9311C47DB57C}"/>
    <cellStyle name="Output 2 8 3" xfId="17787" xr:uid="{53B76BBA-45FA-4E34-90C0-91A03EDA1ADD}"/>
    <cellStyle name="Output 2 8 3 2" xfId="17788" xr:uid="{088730A7-BEC1-43A1-8622-AC0D277223C3}"/>
    <cellStyle name="Output 2 8 3 2 2" xfId="36273" xr:uid="{5B63E086-5D91-42CC-B3EA-38FAB5051684}"/>
    <cellStyle name="Output 2 8 3 3" xfId="17789" xr:uid="{0FCBFFA3-7BD8-4E2D-83D4-CB12DFF19612}"/>
    <cellStyle name="Output 2 8 3 4" xfId="17790" xr:uid="{5C799BA6-1CC5-486D-80E9-E9C8644089E7}"/>
    <cellStyle name="Output 2 8 4" xfId="17791" xr:uid="{C1285AF3-7D16-4C17-9C61-9D5656DC1256}"/>
    <cellStyle name="Output 2 8 4 2" xfId="17792" xr:uid="{561AA545-6BD8-4F16-BC42-8435C6C306A4}"/>
    <cellStyle name="Output 2 8 4 3" xfId="36274" xr:uid="{3E7C88DB-2AFE-4E00-BD7C-C220AD081C99}"/>
    <cellStyle name="Output 2 8 5" xfId="17793" xr:uid="{05A6B76F-8684-4E11-A936-BF458CE7DEB8}"/>
    <cellStyle name="Output 2 8 5 2" xfId="17794" xr:uid="{4ACFE331-03E7-4555-B9E0-ACA2192081D4}"/>
    <cellStyle name="Output 2 8 5 3" xfId="36275" xr:uid="{DCF11F9A-F030-46A3-9EE9-800185488442}"/>
    <cellStyle name="Output 2 8 6" xfId="17795" xr:uid="{B1752BD0-7061-46BC-A26B-BF888BD23668}"/>
    <cellStyle name="Output 2 8 6 2" xfId="17796" xr:uid="{2D188E0D-1D9A-4223-9CAE-C47A7B679DB9}"/>
    <cellStyle name="Output 2 8 6 3" xfId="36276" xr:uid="{0D6918ED-F93C-4AA7-8FD2-D2AAB1B94816}"/>
    <cellStyle name="Output 2 8 7" xfId="17797" xr:uid="{3829AEFB-3FE1-4E9B-BDE6-C29A0C272319}"/>
    <cellStyle name="Output 2 8 7 2" xfId="17798" xr:uid="{7E2E6CBF-260C-4FAE-804C-11E9EC67B274}"/>
    <cellStyle name="Output 2 8 7 3" xfId="36277" xr:uid="{1017FA95-4198-425E-95C7-00E8E26E3136}"/>
    <cellStyle name="Output 2 8 8" xfId="17799" xr:uid="{152AE5C6-5395-40EC-ABB2-4C2D6526A99A}"/>
    <cellStyle name="Output 2 8 8 2" xfId="17800" xr:uid="{C375295D-A43C-4902-AE63-80101D294F43}"/>
    <cellStyle name="Output 2 8 8 3" xfId="36278" xr:uid="{3C3A5191-39FA-424C-9455-08002E5C0AF1}"/>
    <cellStyle name="Output 2 8 9" xfId="17801" xr:uid="{AD0501EC-B389-47D0-BBFE-F4182EBEA6CC}"/>
    <cellStyle name="Output 2 8 9 2" xfId="17802" xr:uid="{CC709950-0C78-4EEA-9809-44F51A8A068A}"/>
    <cellStyle name="Output 2 8 9 3" xfId="36279" xr:uid="{8483629B-DDBE-4268-B083-A85811266E03}"/>
    <cellStyle name="Output 2 9" xfId="17803" xr:uid="{ADA8BF97-DEDE-45DC-87CC-DF68C5065E90}"/>
    <cellStyle name="Output 2 9 10" xfId="17804" xr:uid="{573EAAB8-C7C4-4C33-8D90-2BA80243AA77}"/>
    <cellStyle name="Output 2 9 10 2" xfId="36280" xr:uid="{7BBD99D3-38C6-4078-89A0-CF4E6FE2DBDA}"/>
    <cellStyle name="Output 2 9 10 3" xfId="36281" xr:uid="{C09F34B1-4E9A-4E07-A5CC-86AD73D9F910}"/>
    <cellStyle name="Output 2 9 11" xfId="17805" xr:uid="{9E271EB4-9929-4385-9361-36BADDDD8EFA}"/>
    <cellStyle name="Output 2 9 11 2" xfId="36282" xr:uid="{0A67103E-54CA-4F23-928C-65858B29160A}"/>
    <cellStyle name="Output 2 9 12" xfId="36283" xr:uid="{7205ED84-41AB-46EB-8B09-E8320C526674}"/>
    <cellStyle name="Output 2 9 13" xfId="43016" xr:uid="{FC0FE883-F3B1-4501-A2A4-1043A1F268DB}"/>
    <cellStyle name="Output 2 9 14" xfId="42240" xr:uid="{76C5A2B1-BF38-4A03-A2D0-339A86AD3217}"/>
    <cellStyle name="Output 2 9 15" xfId="43934" xr:uid="{78FC69EA-EAD8-4B29-8ED6-6E146DE8295E}"/>
    <cellStyle name="Output 2 9 2" xfId="17806" xr:uid="{5C7EFA48-44DE-4011-B8C0-50AF16C7A678}"/>
    <cellStyle name="Output 2 9 2 10" xfId="17807" xr:uid="{7C52FF56-D03D-41EA-9C30-7BEF030D130D}"/>
    <cellStyle name="Output 2 9 2 10 2" xfId="36284" xr:uid="{3F7D8BDB-3074-4B4F-B286-951E69E5B0D3}"/>
    <cellStyle name="Output 2 9 2 11" xfId="36285" xr:uid="{BC320E45-CA91-4E5A-B4B2-A5151A8A6D48}"/>
    <cellStyle name="Output 2 9 2 2" xfId="17808" xr:uid="{45AA0AF0-F3F4-4DE0-B396-6D5E8E5F322C}"/>
    <cellStyle name="Output 2 9 2 2 2" xfId="17809" xr:uid="{4573F430-FC0C-456E-A652-CCE2FA5B8612}"/>
    <cellStyle name="Output 2 9 2 2 2 2" xfId="17810" xr:uid="{2DF166CD-61CF-448E-B50E-1290857E2ED1}"/>
    <cellStyle name="Output 2 9 2 2 2 3" xfId="36286" xr:uid="{17872D21-A850-4181-81B0-FDCBDBB83002}"/>
    <cellStyle name="Output 2 9 2 2 3" xfId="17811" xr:uid="{C66B74E8-C819-43A2-B809-A9185FB2FB7B}"/>
    <cellStyle name="Output 2 9 2 2 3 2" xfId="17812" xr:uid="{D0F662F9-4AEC-4985-83F3-117D4854FB98}"/>
    <cellStyle name="Output 2 9 2 2 4" xfId="17813" xr:uid="{B69C10F9-6427-4E7F-BB3B-8498CAAB4F76}"/>
    <cellStyle name="Output 2 9 2 2 5" xfId="36287" xr:uid="{C153F783-E1B8-44DB-823B-0772BCBA2F5C}"/>
    <cellStyle name="Output 2 9 2 2 6" xfId="36288" xr:uid="{3440E7BB-F8E5-4EB7-A424-5A852B239698}"/>
    <cellStyle name="Output 2 9 2 2 7" xfId="36289" xr:uid="{6B92DD62-BA7C-4B2E-B195-865ABAB5E715}"/>
    <cellStyle name="Output 2 9 2 3" xfId="17814" xr:uid="{9FC7D808-643A-4035-AD4E-327733D0875C}"/>
    <cellStyle name="Output 2 9 2 3 2" xfId="17815" xr:uid="{2F5802E5-AE4D-4887-8877-044635A70F6D}"/>
    <cellStyle name="Output 2 9 2 3 2 2" xfId="36290" xr:uid="{3F14B126-DD7F-4DBC-9B60-F8A55684433B}"/>
    <cellStyle name="Output 2 9 2 3 2 3" xfId="36291" xr:uid="{97CE3A6B-43AE-44DA-9615-3F84CB4C5DB6}"/>
    <cellStyle name="Output 2 9 2 3 3" xfId="36292" xr:uid="{844AA378-5FB9-45E4-942F-44CF279498E8}"/>
    <cellStyle name="Output 2 9 2 3 3 2" xfId="36293" xr:uid="{2D9819D4-47D4-44E1-93DF-F3539039404F}"/>
    <cellStyle name="Output 2 9 2 3 4" xfId="36294" xr:uid="{E14EA690-0374-407A-91FA-3CA849C2E4F5}"/>
    <cellStyle name="Output 2 9 2 3 5" xfId="36295" xr:uid="{6A145A60-0C3B-47DA-9097-AFDDB815AD57}"/>
    <cellStyle name="Output 2 9 2 3 6" xfId="36296" xr:uid="{5A7B359D-AAEA-42FE-B335-2EBC410E4355}"/>
    <cellStyle name="Output 2 9 2 4" xfId="17816" xr:uid="{5EE3A91A-4BEB-44F3-8B4B-A57964A89DAC}"/>
    <cellStyle name="Output 2 9 2 4 2" xfId="17817" xr:uid="{BE86294C-95CF-4385-A326-15FE8A57A77F}"/>
    <cellStyle name="Output 2 9 2 4 3" xfId="36297" xr:uid="{64CB6A37-D519-4AED-9A86-1C7C9784866F}"/>
    <cellStyle name="Output 2 9 2 5" xfId="17818" xr:uid="{70089DDD-712A-4067-8E37-57C7B50DBE1C}"/>
    <cellStyle name="Output 2 9 2 5 2" xfId="17819" xr:uid="{216542DC-7554-490A-B045-18242AC44299}"/>
    <cellStyle name="Output 2 9 2 5 3" xfId="36298" xr:uid="{D6CB6C42-3E79-4F2E-832B-A9138337EF9C}"/>
    <cellStyle name="Output 2 9 2 6" xfId="17820" xr:uid="{203B366D-919A-4A27-81E6-8BE2F5C6BE01}"/>
    <cellStyle name="Output 2 9 2 6 2" xfId="17821" xr:uid="{A51E5191-F4D5-4EBB-A6BF-446B67AB10C7}"/>
    <cellStyle name="Output 2 9 2 6 3" xfId="36299" xr:uid="{283C1505-FEB3-483B-9125-7BC9E0F73425}"/>
    <cellStyle name="Output 2 9 2 7" xfId="17822" xr:uid="{0F98940D-8AE5-436F-8045-6135DF2F9637}"/>
    <cellStyle name="Output 2 9 2 7 2" xfId="17823" xr:uid="{0841B196-7B0C-4C08-B479-6C77B9591D12}"/>
    <cellStyle name="Output 2 9 2 7 3" xfId="36300" xr:uid="{0D8E1886-5B42-430C-A15E-AED4A48E85C3}"/>
    <cellStyle name="Output 2 9 2 8" xfId="17824" xr:uid="{A4EDFC8A-8DD5-45A5-ADC8-CBCF9CEE8672}"/>
    <cellStyle name="Output 2 9 2 8 2" xfId="17825" xr:uid="{1D1A7E1D-3B65-4F8C-8B60-9915E829445C}"/>
    <cellStyle name="Output 2 9 2 8 3" xfId="36301" xr:uid="{AE525A28-9000-4797-AC6B-1190BC965C5A}"/>
    <cellStyle name="Output 2 9 2 9" xfId="17826" xr:uid="{71AB0B93-70D5-4ED7-9E82-D2CF9BE66983}"/>
    <cellStyle name="Output 2 9 2 9 2" xfId="36302" xr:uid="{8C818110-479A-42E2-A6D6-B08D54CB53E4}"/>
    <cellStyle name="Output 2 9 2 9 3" xfId="36303" xr:uid="{16D54A7D-EFD0-43D9-8F53-9F661186F33C}"/>
    <cellStyle name="Output 2 9 3" xfId="17827" xr:uid="{D456C3C2-F485-435E-837D-AA866FC758FE}"/>
    <cellStyle name="Output 2 9 3 2" xfId="17828" xr:uid="{2C3F6F1D-F8AA-46C5-94E1-A4BC08494FE4}"/>
    <cellStyle name="Output 2 9 3 2 2" xfId="36304" xr:uid="{2EA493F0-C095-4F17-AED5-9F5DD3DAD70A}"/>
    <cellStyle name="Output 2 9 3 3" xfId="17829" xr:uid="{F7DF4B8F-A1E7-4C53-A55F-FD4A8630E048}"/>
    <cellStyle name="Output 2 9 3 4" xfId="17830" xr:uid="{DACC6AE4-E730-4248-86CB-5948572BA125}"/>
    <cellStyle name="Output 2 9 4" xfId="17831" xr:uid="{A0357AE5-CA26-402E-8579-AB69D8EE722B}"/>
    <cellStyle name="Output 2 9 4 2" xfId="17832" xr:uid="{C60C3D64-72E5-45FA-8FA5-4D4AB2D210B9}"/>
    <cellStyle name="Output 2 9 4 3" xfId="36305" xr:uid="{DB44D115-2917-4AB2-A255-0A334AA72068}"/>
    <cellStyle name="Output 2 9 5" xfId="17833" xr:uid="{39035CAA-7883-435A-B083-9D411ED45C51}"/>
    <cellStyle name="Output 2 9 5 2" xfId="17834" xr:uid="{2CB1F233-0636-4371-9431-12AE0B960E90}"/>
    <cellStyle name="Output 2 9 5 3" xfId="36306" xr:uid="{AFFCE7DF-3952-4147-8206-ACEF46820828}"/>
    <cellStyle name="Output 2 9 6" xfId="17835" xr:uid="{FD3E960E-948E-43D9-B387-B44AF8DD0F6E}"/>
    <cellStyle name="Output 2 9 6 2" xfId="17836" xr:uid="{68A0B2A6-7172-4419-8B00-728FA38421BE}"/>
    <cellStyle name="Output 2 9 6 3" xfId="36307" xr:uid="{8D325543-2CD4-4266-8823-1B2E7A4F123F}"/>
    <cellStyle name="Output 2 9 7" xfId="17837" xr:uid="{10C64C4B-4D5D-4946-9C1D-0DF49D2B13D4}"/>
    <cellStyle name="Output 2 9 7 2" xfId="17838" xr:uid="{CA612B6A-3319-4AC0-8AA8-2ED19DDF7984}"/>
    <cellStyle name="Output 2 9 7 3" xfId="36308" xr:uid="{D2709E50-A58D-4725-AB70-F0FC3768DDB3}"/>
    <cellStyle name="Output 2 9 8" xfId="17839" xr:uid="{3DC34871-7531-482A-98D1-A274266364BB}"/>
    <cellStyle name="Output 2 9 8 2" xfId="17840" xr:uid="{66208B5D-C73E-462C-8BF6-8C8C7AC3D4CE}"/>
    <cellStyle name="Output 2 9 8 3" xfId="36309" xr:uid="{CB981DD2-2A18-48EC-B483-55C125B9DB41}"/>
    <cellStyle name="Output 2 9 9" xfId="17841" xr:uid="{77068FD4-824F-4528-98F0-6CDC59C08C4D}"/>
    <cellStyle name="Output 2 9 9 2" xfId="17842" xr:uid="{7BEA2B5B-B55D-49C6-AD68-BEE39A3DC610}"/>
    <cellStyle name="Output 2 9 9 3" xfId="36310" xr:uid="{A700A8FC-7BB7-43CA-BD63-39EF486E7B81}"/>
    <cellStyle name="Output 20" xfId="36311" xr:uid="{B49163F6-9432-4407-BBAC-1D009A8F3091}"/>
    <cellStyle name="Output 20 2" xfId="43017" xr:uid="{643946C7-2B0B-4A12-919F-F8DB48D80E01}"/>
    <cellStyle name="Output 20 3" xfId="42238" xr:uid="{8A5530B7-9080-4487-A970-6B83F2918192}"/>
    <cellStyle name="Output 20 4" xfId="43935" xr:uid="{FFDA277A-2162-43DD-97A9-BCADAD3A34D4}"/>
    <cellStyle name="Output 21" xfId="36312" xr:uid="{032C71A6-A17D-41EF-896B-0D8A132DA805}"/>
    <cellStyle name="Output 21 2" xfId="43018" xr:uid="{E1C6EAEF-1A83-4094-8EAE-5D8D4C9568D2}"/>
    <cellStyle name="Output 21 3" xfId="42237" xr:uid="{30D4B98D-D01E-4100-9A43-ECE5E2EEB7C1}"/>
    <cellStyle name="Output 21 4" xfId="43936" xr:uid="{417A35F8-E658-4ACE-8325-8794117BB999}"/>
    <cellStyle name="Output 22" xfId="36313" xr:uid="{F83908C2-7C27-48AA-9003-B21284D1AEDF}"/>
    <cellStyle name="Output 22 2" xfId="43019" xr:uid="{D55AC4AB-AFE5-492C-9674-7A33AF4393CD}"/>
    <cellStyle name="Output 22 3" xfId="42236" xr:uid="{47282CC9-AFC6-4061-9BF0-BEE47F09C7A0}"/>
    <cellStyle name="Output 22 4" xfId="43937" xr:uid="{D4EB989B-A9C9-4BD9-994A-F6CE7F39A370}"/>
    <cellStyle name="Output 23" xfId="36314" xr:uid="{221A266C-32B7-4B48-A703-6E13EE0D6BB2}"/>
    <cellStyle name="Output 23 2" xfId="43020" xr:uid="{A430F3CE-2E00-4CF1-A80D-A828AA95068C}"/>
    <cellStyle name="Output 23 3" xfId="42235" xr:uid="{9208CEB9-8BD4-414C-A61F-220CBAF8BA58}"/>
    <cellStyle name="Output 23 4" xfId="43938" xr:uid="{57A83843-BBC7-4056-93B8-58614C100F9C}"/>
    <cellStyle name="Output 24" xfId="36315" xr:uid="{976A1153-D20C-49FC-AE04-4EFA01CC2430}"/>
    <cellStyle name="Output 24 2" xfId="43021" xr:uid="{60C3773C-9D84-48D3-A08D-17A41B4C4996}"/>
    <cellStyle name="Output 24 3" xfId="42234" xr:uid="{DFFA0BC8-4195-4EB9-84D6-508F2EDAC667}"/>
    <cellStyle name="Output 24 4" xfId="43939" xr:uid="{38D7902B-E768-48C5-B14F-A71335EC56A7}"/>
    <cellStyle name="Output 25" xfId="36316" xr:uid="{F58E7D36-2646-4006-A0BC-560A9776CFAF}"/>
    <cellStyle name="Output 25 2" xfId="43022" xr:uid="{E61BE35D-D8DA-4D1B-9633-3616811E5366}"/>
    <cellStyle name="Output 25 3" xfId="42233" xr:uid="{160BB838-A360-4B47-8F60-0C0457AA514E}"/>
    <cellStyle name="Output 25 4" xfId="43940" xr:uid="{5FF6E198-8F74-4E90-8F44-BCA1515C4219}"/>
    <cellStyle name="Output 26" xfId="36317" xr:uid="{ABE1E84E-B045-48F8-AF8B-A5F5AC4A37DC}"/>
    <cellStyle name="Output 26 2" xfId="43023" xr:uid="{457FA6F0-E488-4BA3-9C64-0B5B50E24A8D}"/>
    <cellStyle name="Output 26 3" xfId="42232" xr:uid="{13B81143-AA71-4E93-A544-9A840840E170}"/>
    <cellStyle name="Output 26 4" xfId="43941" xr:uid="{28A8AEDE-8672-4FAD-AE52-FA24FD87DA89}"/>
    <cellStyle name="Output 27" xfId="36318" xr:uid="{73274BFB-1BD4-449D-B7E1-B5AC50650E9F}"/>
    <cellStyle name="Output 27 2" xfId="43024" xr:uid="{36EB358E-869E-469E-94DE-69FBEF306649}"/>
    <cellStyle name="Output 27 3" xfId="42231" xr:uid="{8C99CB27-A7FA-48BA-8EF3-09F3B0E8C465}"/>
    <cellStyle name="Output 27 4" xfId="43942" xr:uid="{9679881F-8AFA-46E4-B692-2EC5C18E0B3B}"/>
    <cellStyle name="Output 28" xfId="36319" xr:uid="{017A5747-646C-4CDB-A269-CF933DBD8DCD}"/>
    <cellStyle name="Output 28 2" xfId="43025" xr:uid="{7EEEFD33-7821-4616-93B7-3D45126FA72B}"/>
    <cellStyle name="Output 28 3" xfId="42230" xr:uid="{7F98B5ED-3F44-46E3-B0E2-B2D615DBA309}"/>
    <cellStyle name="Output 28 4" xfId="43943" xr:uid="{2E105AD3-FB96-46F2-BBB5-559A78B98C36}"/>
    <cellStyle name="Output 29" xfId="36320" xr:uid="{D704E05B-5DD3-48A6-ACDD-3A19D86F6E6C}"/>
    <cellStyle name="Output 29 2" xfId="43026" xr:uid="{55FEF6C9-838C-4BAD-BB9D-D45C7E90C13B}"/>
    <cellStyle name="Output 29 3" xfId="42229" xr:uid="{193BCA09-ECB0-4FF7-BC84-B94AEE8ADF93}"/>
    <cellStyle name="Output 29 4" xfId="43944" xr:uid="{9A4BEA46-29F4-4D46-9E46-D1789030C71C}"/>
    <cellStyle name="Output 3" xfId="17843" xr:uid="{F59FAC59-8D11-4717-A666-A959F2C5F3F1}"/>
    <cellStyle name="Output 3 10" xfId="17844" xr:uid="{72353A9A-8952-4218-A70B-87CAA3991159}"/>
    <cellStyle name="Output 3 10 10" xfId="17845" xr:uid="{0BCEB38A-F69A-4181-B11A-1B7956962828}"/>
    <cellStyle name="Output 3 10 10 2" xfId="36321" xr:uid="{0C914289-8DE6-4FA5-9EDE-16E6CDECE3F7}"/>
    <cellStyle name="Output 3 10 10 3" xfId="36322" xr:uid="{D0B3E36A-758A-4804-A58A-3B335373CC1D}"/>
    <cellStyle name="Output 3 10 11" xfId="17846" xr:uid="{827FF2DF-7C33-42D5-AA00-3A9281D0D146}"/>
    <cellStyle name="Output 3 10 11 2" xfId="36323" xr:uid="{B2B1312B-C498-4066-8978-31F440D77855}"/>
    <cellStyle name="Output 3 10 2" xfId="17847" xr:uid="{627F0F05-FE8D-4143-99E5-20B093FF9785}"/>
    <cellStyle name="Output 3 10 2 10" xfId="17848" xr:uid="{9B1CC62D-06C0-4346-88FB-2E6D8EB87BD6}"/>
    <cellStyle name="Output 3 10 2 10 2" xfId="36324" xr:uid="{73284D45-4797-4456-A491-1DA107B90457}"/>
    <cellStyle name="Output 3 10 2 2" xfId="17849" xr:uid="{12CF3353-2A4E-403F-8978-090B085C0FAA}"/>
    <cellStyle name="Output 3 10 2 2 2" xfId="17850" xr:uid="{C5B8AE35-425A-4DAF-B502-4B6C3DC7FA9C}"/>
    <cellStyle name="Output 3 10 2 2 2 2" xfId="36325" xr:uid="{FAD365DF-BAFA-484B-BEAE-A1E68A922465}"/>
    <cellStyle name="Output 3 10 2 2 3" xfId="17851" xr:uid="{C15491B5-0862-4A17-A0E1-63F3E6B9B56D}"/>
    <cellStyle name="Output 3 10 2 2 4" xfId="17852" xr:uid="{7F0655F4-B549-45BF-9180-7FF87D051EF3}"/>
    <cellStyle name="Output 3 10 2 3" xfId="17853" xr:uid="{7BF1627C-9B2A-4115-8356-23D72D839E54}"/>
    <cellStyle name="Output 3 10 2 3 2" xfId="17854" xr:uid="{AC16A1FE-EC6E-4930-93A4-EEF8CB08D80A}"/>
    <cellStyle name="Output 3 10 2 3 3" xfId="36326" xr:uid="{47BDCFEC-9B06-4454-A186-8B7161A99D67}"/>
    <cellStyle name="Output 3 10 2 4" xfId="17855" xr:uid="{1A8C8EA1-9842-4126-B297-0263EA312D4B}"/>
    <cellStyle name="Output 3 10 2 4 2" xfId="17856" xr:uid="{8D199170-6320-4B47-BEA8-724E556ABC83}"/>
    <cellStyle name="Output 3 10 2 4 3" xfId="36327" xr:uid="{4C081C82-0FD5-462A-A96F-0308AA44ED29}"/>
    <cellStyle name="Output 3 10 2 5" xfId="17857" xr:uid="{0CCDE5BC-59A0-4156-8DFB-9CFFB735634C}"/>
    <cellStyle name="Output 3 10 2 5 2" xfId="17858" xr:uid="{D6281765-4A6B-4571-965D-6250FD8FEBE7}"/>
    <cellStyle name="Output 3 10 2 5 3" xfId="36328" xr:uid="{7AB7D516-DF49-4CA5-B7F2-A0020F8D9DB5}"/>
    <cellStyle name="Output 3 10 2 6" xfId="17859" xr:uid="{426CFE89-518A-471F-AB3D-4147C1A70F9E}"/>
    <cellStyle name="Output 3 10 2 6 2" xfId="17860" xr:uid="{39EEE46C-8A3A-4B2A-930A-1576EB72DF04}"/>
    <cellStyle name="Output 3 10 2 6 3" xfId="36329" xr:uid="{66AE9211-A5BF-45E3-AE78-7A33CB958C05}"/>
    <cellStyle name="Output 3 10 2 7" xfId="17861" xr:uid="{86CF7614-986D-48BE-B009-5F11926FABE9}"/>
    <cellStyle name="Output 3 10 2 7 2" xfId="17862" xr:uid="{D9BD36C6-06EC-4122-901E-D19AE143EB43}"/>
    <cellStyle name="Output 3 10 2 7 3" xfId="36330" xr:uid="{47FF85D8-AC47-41D2-8327-C4CDAD027404}"/>
    <cellStyle name="Output 3 10 2 8" xfId="17863" xr:uid="{73D29AD7-EDAE-459F-8C67-A6555C1E1AAE}"/>
    <cellStyle name="Output 3 10 2 8 2" xfId="17864" xr:uid="{8458B609-6335-4DB6-9720-251100389DB7}"/>
    <cellStyle name="Output 3 10 2 8 3" xfId="36331" xr:uid="{1A12893E-E74B-49C8-8F97-69E80C7D9141}"/>
    <cellStyle name="Output 3 10 2 9" xfId="17865" xr:uid="{BDD4F9A5-32E9-4176-8644-398CDE1BCBA0}"/>
    <cellStyle name="Output 3 10 2 9 2" xfId="36332" xr:uid="{42EB8853-1452-418A-8D29-529E14BFC23B}"/>
    <cellStyle name="Output 3 10 2 9 3" xfId="36333" xr:uid="{531F981A-4560-4F28-9F6D-9FE1BC4F2E77}"/>
    <cellStyle name="Output 3 10 3" xfId="17866" xr:uid="{AE3AAC6E-23BD-4561-AD57-90B10729346B}"/>
    <cellStyle name="Output 3 10 3 2" xfId="17867" xr:uid="{2DC3F2EA-D21D-4059-8169-BAD47F58DF15}"/>
    <cellStyle name="Output 3 10 3 3" xfId="17868" xr:uid="{25AF8A89-7A87-4E40-B4E8-84E4A45D9C29}"/>
    <cellStyle name="Output 3 10 3 4" xfId="17869" xr:uid="{BB9F719E-F24A-4FED-83EC-E03C0557E9A5}"/>
    <cellStyle name="Output 3 10 4" xfId="17870" xr:uid="{FB9D2D3C-7B1E-4746-85D0-A3B22E59266E}"/>
    <cellStyle name="Output 3 10 4 2" xfId="17871" xr:uid="{BB89CDD8-CDB3-4F9B-9201-836804E32895}"/>
    <cellStyle name="Output 3 10 4 3" xfId="36334" xr:uid="{792E79D2-CE86-441A-AA29-EAE769640089}"/>
    <cellStyle name="Output 3 10 5" xfId="17872" xr:uid="{D059332D-9C18-438A-9735-A46AE7F81BEA}"/>
    <cellStyle name="Output 3 10 5 2" xfId="17873" xr:uid="{FFEDB16F-E814-4D44-AABA-7521674BC8E8}"/>
    <cellStyle name="Output 3 10 5 3" xfId="36335" xr:uid="{5AD70129-DD53-4650-A2ED-0CB6B132D6C1}"/>
    <cellStyle name="Output 3 10 6" xfId="17874" xr:uid="{8566EEF3-2C03-45DD-9D8E-2DDA26092B80}"/>
    <cellStyle name="Output 3 10 6 2" xfId="17875" xr:uid="{91D8F72C-8C8E-48F2-8162-0E6BD039CA50}"/>
    <cellStyle name="Output 3 10 6 3" xfId="36336" xr:uid="{154D855A-1AF1-4C8D-B9B1-F1ACA7A514EB}"/>
    <cellStyle name="Output 3 10 7" xfId="17876" xr:uid="{A4B2DF01-937E-412D-A682-23B89E283E93}"/>
    <cellStyle name="Output 3 10 7 2" xfId="17877" xr:uid="{9C9691A5-B56F-4BC3-B58F-96668C3E96E9}"/>
    <cellStyle name="Output 3 10 7 3" xfId="36337" xr:uid="{61AEF3FA-BACA-4145-B252-C7E822922256}"/>
    <cellStyle name="Output 3 10 8" xfId="17878" xr:uid="{E686BBEC-EC19-4B6E-8492-BD6F1C1A901D}"/>
    <cellStyle name="Output 3 10 8 2" xfId="17879" xr:uid="{DC1B708F-F6EC-4C32-BA63-BB6865319E8C}"/>
    <cellStyle name="Output 3 10 8 3" xfId="36338" xr:uid="{879B3659-8AC3-4218-B276-E075AD2FF0F4}"/>
    <cellStyle name="Output 3 10 9" xfId="17880" xr:uid="{E933A3C2-44CE-4818-B86B-CBEF2E63E794}"/>
    <cellStyle name="Output 3 10 9 2" xfId="17881" xr:uid="{2CC23CD4-9DBE-4F3E-BC8A-5B9CB511BEB0}"/>
    <cellStyle name="Output 3 10 9 3" xfId="36339" xr:uid="{B45CB092-9FB0-4E14-AD7E-FC6530D367B9}"/>
    <cellStyle name="Output 3 11" xfId="17882" xr:uid="{3BBF7A17-9CFC-4780-BD0A-CBA8CD7FF7C2}"/>
    <cellStyle name="Output 3 11 10" xfId="17883" xr:uid="{071814E0-C7A3-4E7F-87D6-7C5625DB2A33}"/>
    <cellStyle name="Output 3 11 10 2" xfId="36340" xr:uid="{C414DC16-56AC-4D68-9BE9-64B35F63D248}"/>
    <cellStyle name="Output 3 11 10 3" xfId="36341" xr:uid="{1C65DD1D-FD42-4A2C-85D9-BA71EE73E2CC}"/>
    <cellStyle name="Output 3 11 11" xfId="17884" xr:uid="{AEBC4AF9-A9E8-4D8B-B622-B0DEBF8540A2}"/>
    <cellStyle name="Output 3 11 11 2" xfId="36342" xr:uid="{86EF9ACD-1BA6-4BDA-BEDA-5594F2E6B547}"/>
    <cellStyle name="Output 3 11 2" xfId="17885" xr:uid="{A47F100C-876B-4446-BEEE-764B0022E0D2}"/>
    <cellStyle name="Output 3 11 2 10" xfId="17886" xr:uid="{A7056C73-9716-41CD-A56D-EA92660EBB9D}"/>
    <cellStyle name="Output 3 11 2 10 2" xfId="36343" xr:uid="{812121A0-58BF-4900-9D36-C274692A0961}"/>
    <cellStyle name="Output 3 11 2 2" xfId="17887" xr:uid="{A5F4C5B1-6174-48CE-8238-E8F7FFBDCEAE}"/>
    <cellStyle name="Output 3 11 2 2 2" xfId="17888" xr:uid="{3CD21DAF-D986-442E-9144-C02163C68FDD}"/>
    <cellStyle name="Output 3 11 2 2 2 2" xfId="36344" xr:uid="{039E850A-1D88-448E-87C8-E7BFF7B8AF21}"/>
    <cellStyle name="Output 3 11 2 2 3" xfId="17889" xr:uid="{0A55D004-41E2-4FC5-A1D7-D2A4D8804DA5}"/>
    <cellStyle name="Output 3 11 2 2 4" xfId="17890" xr:uid="{9D503523-C80F-40C9-A61D-E9D80F55D25B}"/>
    <cellStyle name="Output 3 11 2 3" xfId="17891" xr:uid="{90A093E7-BE10-4175-8889-B9D7A329A10B}"/>
    <cellStyle name="Output 3 11 2 3 2" xfId="17892" xr:uid="{57EF5404-65BF-4449-A211-646ABBA45CBD}"/>
    <cellStyle name="Output 3 11 2 3 3" xfId="36345" xr:uid="{E7A90D5C-9CDB-4C4B-AFB7-8BBB8D97ECC4}"/>
    <cellStyle name="Output 3 11 2 4" xfId="17893" xr:uid="{E7061B64-E5C9-43A8-934B-DE7F15AA98F5}"/>
    <cellStyle name="Output 3 11 2 4 2" xfId="17894" xr:uid="{088AAA87-DD5F-4AE5-85F8-BE6CC9761533}"/>
    <cellStyle name="Output 3 11 2 4 3" xfId="36346" xr:uid="{48376DC2-6803-443F-AB70-4830EFB8F20D}"/>
    <cellStyle name="Output 3 11 2 5" xfId="17895" xr:uid="{D171C153-5AAA-4FE8-A710-28196D5BF3CB}"/>
    <cellStyle name="Output 3 11 2 5 2" xfId="17896" xr:uid="{D577856E-35D8-411E-9E5F-FD801A40E18B}"/>
    <cellStyle name="Output 3 11 2 5 3" xfId="36347" xr:uid="{271A6C2A-C3FD-4A35-AC4A-B7F72637ECFE}"/>
    <cellStyle name="Output 3 11 2 6" xfId="17897" xr:uid="{01C7227D-DB02-4CDB-B2E9-4F5B4B8525E2}"/>
    <cellStyle name="Output 3 11 2 6 2" xfId="17898" xr:uid="{D8FDD998-CA97-46B7-A3E6-F524ECD244A6}"/>
    <cellStyle name="Output 3 11 2 6 3" xfId="36348" xr:uid="{E70CB1A5-42AF-4326-A6DA-9193C2D9E863}"/>
    <cellStyle name="Output 3 11 2 7" xfId="17899" xr:uid="{AE38882F-6ED1-43B5-8DB6-48DF4119AB72}"/>
    <cellStyle name="Output 3 11 2 7 2" xfId="17900" xr:uid="{EA770A8F-12C8-4848-A90A-34AAF8070DB7}"/>
    <cellStyle name="Output 3 11 2 7 3" xfId="36349" xr:uid="{B2A9476F-B9AA-4392-BFB2-20327FA061CA}"/>
    <cellStyle name="Output 3 11 2 8" xfId="17901" xr:uid="{DF170356-C720-4FA7-86E4-B9CE25C6F365}"/>
    <cellStyle name="Output 3 11 2 8 2" xfId="17902" xr:uid="{4E99AF7E-B6EC-4B8D-A6E7-173474FCD11B}"/>
    <cellStyle name="Output 3 11 2 8 3" xfId="36350" xr:uid="{18F22874-2955-4BC6-A490-AD87B7E4B351}"/>
    <cellStyle name="Output 3 11 2 9" xfId="17903" xr:uid="{0372ABEF-372A-4A62-A61E-1779B47480DC}"/>
    <cellStyle name="Output 3 11 2 9 2" xfId="36351" xr:uid="{76B8CB8E-F502-4B3F-BBC7-EF88CFABA6B8}"/>
    <cellStyle name="Output 3 11 2 9 3" xfId="36352" xr:uid="{0A03E018-788A-478B-BA22-03844F34F8DF}"/>
    <cellStyle name="Output 3 11 3" xfId="17904" xr:uid="{0F8245F1-8FB8-461C-B20D-E7EF0F524215}"/>
    <cellStyle name="Output 3 11 3 2" xfId="17905" xr:uid="{3A874485-4FF4-41EA-B258-2C177173CC26}"/>
    <cellStyle name="Output 3 11 3 3" xfId="17906" xr:uid="{ECF0DC61-0FB4-4F68-8182-428992A90E62}"/>
    <cellStyle name="Output 3 11 3 4" xfId="17907" xr:uid="{1BAFAB0D-1307-4EDB-B46F-48707A7E7A4D}"/>
    <cellStyle name="Output 3 11 4" xfId="17908" xr:uid="{9889AD1E-49BD-4A18-BB0F-D16BD05A2E02}"/>
    <cellStyle name="Output 3 11 4 2" xfId="17909" xr:uid="{16FD7146-4738-4170-A29A-091D68142474}"/>
    <cellStyle name="Output 3 11 4 3" xfId="36353" xr:uid="{D3EAC0C9-D9E7-4286-B3AF-E27628ACEEFF}"/>
    <cellStyle name="Output 3 11 5" xfId="17910" xr:uid="{E67D04FA-AFCF-4EE5-88AA-4F2F461D12E9}"/>
    <cellStyle name="Output 3 11 5 2" xfId="17911" xr:uid="{42A9C7A2-5971-498F-92D5-6A51B0237A5E}"/>
    <cellStyle name="Output 3 11 5 3" xfId="36354" xr:uid="{F2E5A976-A78C-456F-8F42-1BCD427CDAA9}"/>
    <cellStyle name="Output 3 11 6" xfId="17912" xr:uid="{BFA4071E-CF99-4D5C-A336-BF98C6573603}"/>
    <cellStyle name="Output 3 11 6 2" xfId="17913" xr:uid="{4B680E37-8655-45A6-9A11-10EAE734BD53}"/>
    <cellStyle name="Output 3 11 6 3" xfId="36355" xr:uid="{9D4E3B84-823A-4A68-8D99-0E0AA6940422}"/>
    <cellStyle name="Output 3 11 7" xfId="17914" xr:uid="{1AEB002F-43A3-4133-8E1A-FFFC52DFC765}"/>
    <cellStyle name="Output 3 11 7 2" xfId="17915" xr:uid="{70BA488A-33F6-43D2-973A-6BA70F4B7CD4}"/>
    <cellStyle name="Output 3 11 7 3" xfId="36356" xr:uid="{6750BF42-7194-4AFA-BB8B-2D33B820286B}"/>
    <cellStyle name="Output 3 11 8" xfId="17916" xr:uid="{C753036A-B6B5-4B7D-8CB4-3526721C32EB}"/>
    <cellStyle name="Output 3 11 8 2" xfId="17917" xr:uid="{8929F668-018E-4F54-A9C1-6136A7504B30}"/>
    <cellStyle name="Output 3 11 8 3" xfId="36357" xr:uid="{016F8764-A2FA-45CD-B29A-0276DF91CC4C}"/>
    <cellStyle name="Output 3 11 9" xfId="17918" xr:uid="{613379CF-99E6-4BC3-835C-9E99963F62BE}"/>
    <cellStyle name="Output 3 11 9 2" xfId="17919" xr:uid="{C0EC6351-7D79-47AB-8264-3DC2F8439F43}"/>
    <cellStyle name="Output 3 11 9 3" xfId="36358" xr:uid="{8536BBF3-9BAF-48A6-860F-A4A2FDA445A2}"/>
    <cellStyle name="Output 3 12" xfId="17920" xr:uid="{3AEF353A-049D-443A-BB14-C851BBD12FDB}"/>
    <cellStyle name="Output 3 12 10" xfId="17921" xr:uid="{BA547C57-8614-438C-A855-675BDE274BD2}"/>
    <cellStyle name="Output 3 12 10 2" xfId="36359" xr:uid="{726E353C-A801-4815-A143-02DA965373B5}"/>
    <cellStyle name="Output 3 12 11" xfId="36360" xr:uid="{0F0FB411-6501-4C55-9402-8939A22FE7CD}"/>
    <cellStyle name="Output 3 12 2" xfId="17922" xr:uid="{12A41787-1BD1-475C-8317-054FFE815215}"/>
    <cellStyle name="Output 3 12 2 2" xfId="17923" xr:uid="{3C361485-D494-4CC2-B88D-8660623856A3}"/>
    <cellStyle name="Output 3 12 2 2 2" xfId="17924" xr:uid="{A01E4551-96B6-4DAC-9DE1-7A4658BA2988}"/>
    <cellStyle name="Output 3 12 2 2 3" xfId="36361" xr:uid="{CA0C4A12-7B9F-4544-92D3-E391B8B45DEC}"/>
    <cellStyle name="Output 3 12 2 3" xfId="17925" xr:uid="{FF30E631-E06F-4FD7-AE2D-9B31CAE8E65D}"/>
    <cellStyle name="Output 3 12 2 3 2" xfId="17926" xr:uid="{86460410-7D8D-48BE-84C8-C6D4C660F08D}"/>
    <cellStyle name="Output 3 12 2 4" xfId="17927" xr:uid="{E2B53F32-C27C-43A1-8A14-462EDBAE5549}"/>
    <cellStyle name="Output 3 12 2 5" xfId="36362" xr:uid="{3C4FE127-8F48-4D8D-AD57-55496C187F33}"/>
    <cellStyle name="Output 3 12 2 6" xfId="36363" xr:uid="{6317D986-121B-4AB0-B405-DBDC4A2F4D1E}"/>
    <cellStyle name="Output 3 12 2 7" xfId="36364" xr:uid="{FC944C47-CEDA-4F76-B0F0-8A5A65236C26}"/>
    <cellStyle name="Output 3 12 3" xfId="17928" xr:uid="{D1633DF2-C9F5-40B6-A4CF-54790BDA8B21}"/>
    <cellStyle name="Output 3 12 3 2" xfId="17929" xr:uid="{59F2C6DA-A5C3-49EE-B29E-99F22F9FA444}"/>
    <cellStyle name="Output 3 12 3 2 2" xfId="36365" xr:uid="{3085D5C3-CD11-442D-A3DA-6F4470F3C74C}"/>
    <cellStyle name="Output 3 12 3 2 3" xfId="36366" xr:uid="{50065C4E-62A4-4307-985F-FB9834489F09}"/>
    <cellStyle name="Output 3 12 3 3" xfId="36367" xr:uid="{0C93E369-FCA6-4D7B-9144-D31C419D415D}"/>
    <cellStyle name="Output 3 12 3 3 2" xfId="36368" xr:uid="{614B31B7-2851-48C5-8D7B-75B16076477F}"/>
    <cellStyle name="Output 3 12 3 4" xfId="36369" xr:uid="{D4B7A03A-EB3F-4BB4-9EBA-D8DDBEC85DBC}"/>
    <cellStyle name="Output 3 12 3 5" xfId="36370" xr:uid="{CD62276D-055E-4114-AFF4-FA2D6D6E90BF}"/>
    <cellStyle name="Output 3 12 3 6" xfId="36371" xr:uid="{09607FA8-0AE7-419B-80B3-2534D2F6ADB5}"/>
    <cellStyle name="Output 3 12 4" xfId="17930" xr:uid="{659C992B-842C-4753-A64E-3D3DFC8F9517}"/>
    <cellStyle name="Output 3 12 4 2" xfId="17931" xr:uid="{214AC3C0-30B6-4029-A4EB-4AEE7B50B477}"/>
    <cellStyle name="Output 3 12 4 3" xfId="36372" xr:uid="{D3BAFF11-0164-44D6-A44D-205A0F00F2AD}"/>
    <cellStyle name="Output 3 12 5" xfId="17932" xr:uid="{B8A620FC-6079-44F6-9DE2-74B5F36E037A}"/>
    <cellStyle name="Output 3 12 5 2" xfId="17933" xr:uid="{411DB5E6-DBC8-462E-B7CD-0F2574CEC3F4}"/>
    <cellStyle name="Output 3 12 5 3" xfId="36373" xr:uid="{243E042C-F0C5-4253-922D-DA96EC214F23}"/>
    <cellStyle name="Output 3 12 6" xfId="17934" xr:uid="{71CDE8C9-04E9-4591-95F6-330A6CB5AB62}"/>
    <cellStyle name="Output 3 12 6 2" xfId="17935" xr:uid="{F2DB28D3-D2F3-413D-BC70-237BFC1F66C2}"/>
    <cellStyle name="Output 3 12 6 3" xfId="36374" xr:uid="{62AA1FA0-7DCF-48AB-9B12-AE255207EB9C}"/>
    <cellStyle name="Output 3 12 7" xfId="17936" xr:uid="{A3942EA4-BFB1-497E-BCD6-D8AAA58429AE}"/>
    <cellStyle name="Output 3 12 7 2" xfId="17937" xr:uid="{76C42550-E47E-4D1A-BA8B-1A9B773433F6}"/>
    <cellStyle name="Output 3 12 7 3" xfId="36375" xr:uid="{A5598701-7D4E-4FFE-8FDA-82BCB39A3051}"/>
    <cellStyle name="Output 3 12 8" xfId="17938" xr:uid="{192A57E1-6E9E-4D96-A849-D98D74E975D9}"/>
    <cellStyle name="Output 3 12 8 2" xfId="17939" xr:uid="{612F71F3-2E3F-4FC1-8A49-B742279F30C3}"/>
    <cellStyle name="Output 3 12 8 3" xfId="36376" xr:uid="{71820D8E-0017-48C8-BC0B-0853B5B585CB}"/>
    <cellStyle name="Output 3 12 9" xfId="17940" xr:uid="{1635582A-065C-4252-8720-8DFC54BA581D}"/>
    <cellStyle name="Output 3 12 9 2" xfId="36377" xr:uid="{00FF923D-3AC2-4BA8-A946-98FC4241FB22}"/>
    <cellStyle name="Output 3 12 9 3" xfId="36378" xr:uid="{54D50B13-A720-4898-AE81-59DC0F7FFFB2}"/>
    <cellStyle name="Output 3 13" xfId="17941" xr:uid="{5515190B-77F2-4651-BC5C-40B614E9C687}"/>
    <cellStyle name="Output 3 13 2" xfId="17942" xr:uid="{120B3FFE-B7A3-433F-B57C-40CFBF28995D}"/>
    <cellStyle name="Output 3 13 2 2" xfId="36379" xr:uid="{72FD9110-7136-4076-9E26-80B9E54D0C95}"/>
    <cellStyle name="Output 3 13 3" xfId="17943" xr:uid="{7A9DB551-F5FA-45AB-99C2-D437A3D87A56}"/>
    <cellStyle name="Output 3 13 4" xfId="17944" xr:uid="{4E630D09-F517-4341-B2BD-EFC223E5A65E}"/>
    <cellStyle name="Output 3 14" xfId="17945" xr:uid="{8162A98E-86E1-4A49-8F88-6BBD09808608}"/>
    <cellStyle name="Output 3 14 2" xfId="17946" xr:uid="{0CADF757-B50D-4BA8-92DC-9AF73455A4CF}"/>
    <cellStyle name="Output 3 14 3" xfId="36380" xr:uid="{38764148-C4E5-4472-B557-00B796AD5F87}"/>
    <cellStyle name="Output 3 15" xfId="17947" xr:uid="{23F5CE33-1980-4966-925A-5772FC06A311}"/>
    <cellStyle name="Output 3 15 2" xfId="17948" xr:uid="{C396017F-3AD0-4DFB-B599-2B053BF21C6F}"/>
    <cellStyle name="Output 3 15 3" xfId="36381" xr:uid="{B6A383B1-C386-44C5-98DF-3292454EFF86}"/>
    <cellStyle name="Output 3 16" xfId="17949" xr:uid="{41CBA84D-CBA1-4213-948C-753BAF5C809E}"/>
    <cellStyle name="Output 3 16 2" xfId="17950" xr:uid="{67EFDDA9-549F-49A2-8825-6048CEE43265}"/>
    <cellStyle name="Output 3 16 3" xfId="36382" xr:uid="{67ED5D56-6776-440F-B716-AB0BFA9708FF}"/>
    <cellStyle name="Output 3 17" xfId="17951" xr:uid="{1B01B12B-2525-41F7-AD30-09D2DE6DE42F}"/>
    <cellStyle name="Output 3 17 2" xfId="17952" xr:uid="{19B466F4-AB17-4DA9-8906-75CDDAE9A1B7}"/>
    <cellStyle name="Output 3 17 3" xfId="36383" xr:uid="{AC7D0894-4AEE-46DE-B0C6-99E228C877F7}"/>
    <cellStyle name="Output 3 18" xfId="17953" xr:uid="{64DCFD02-D0A3-409B-B15A-2C85363FA805}"/>
    <cellStyle name="Output 3 18 2" xfId="17954" xr:uid="{0DD1BC6F-FDD3-468A-A105-57AF02ED6336}"/>
    <cellStyle name="Output 3 18 3" xfId="36384" xr:uid="{AA6D2BCE-C2DF-42B1-A2A3-A899D56274AD}"/>
    <cellStyle name="Output 3 19" xfId="17955" xr:uid="{72A2CE8F-EE05-489F-A6A1-539D5D52D51F}"/>
    <cellStyle name="Output 3 19 2" xfId="17956" xr:uid="{29EF77EC-020C-4331-AB48-54E9B6263D1B}"/>
    <cellStyle name="Output 3 19 3" xfId="36385" xr:uid="{2511070F-10B3-4B81-B423-A96B999C8CEB}"/>
    <cellStyle name="Output 3 2" xfId="17957" xr:uid="{7844A6EC-CF43-4613-AF83-9A6463D57805}"/>
    <cellStyle name="Output 3 2 10" xfId="17958" xr:uid="{6BA0E922-8F0A-4FB7-92BB-6A1E9B5B0799}"/>
    <cellStyle name="Output 3 2 10 2" xfId="36386" xr:uid="{9F285B1C-E8E9-4EED-B43A-33D7536A9A10}"/>
    <cellStyle name="Output 3 2 10 3" xfId="36387" xr:uid="{13F737B6-C4CB-4F46-8E72-3B0EF661D771}"/>
    <cellStyle name="Output 3 2 11" xfId="17959" xr:uid="{EF68855D-A31C-4515-9A74-B8559CD833B2}"/>
    <cellStyle name="Output 3 2 11 2" xfId="36388" xr:uid="{8D7441B2-EF29-4252-8AA6-0FCED4DBBE83}"/>
    <cellStyle name="Output 3 2 12" xfId="36389" xr:uid="{88A10331-9659-4902-BC29-0F99EFF314CC}"/>
    <cellStyle name="Output 3 2 13" xfId="43028" xr:uid="{48FC93F6-C6D6-45DE-8AE3-082386EFC40F}"/>
    <cellStyle name="Output 3 2 14" xfId="42227" xr:uid="{98814810-6BC0-4A2A-8FD8-904C1E34ED82}"/>
    <cellStyle name="Output 3 2 15" xfId="43946" xr:uid="{28C2F743-EB12-4548-8B39-D270EF225C1E}"/>
    <cellStyle name="Output 3 2 16" xfId="44538" xr:uid="{520DB942-B338-48F1-A313-4A68CECC9A1C}"/>
    <cellStyle name="Output 3 2 17" xfId="45185" xr:uid="{59BA9488-3D1C-4E62-B1F2-491758EE779B}"/>
    <cellStyle name="Output 3 2 18" xfId="45465" xr:uid="{90E81546-ED3F-4F2A-B752-CA432E845471}"/>
    <cellStyle name="Output 3 2 2" xfId="17960" xr:uid="{9DBF9A35-F76B-47C7-8899-29A07D6FD582}"/>
    <cellStyle name="Output 3 2 2 10" xfId="17961" xr:uid="{C2C5E399-1701-414F-B4E4-30907D1928FF}"/>
    <cellStyle name="Output 3 2 2 10 2" xfId="36390" xr:uid="{67B9E434-9A57-4307-99F4-7F0723A7C684}"/>
    <cellStyle name="Output 3 2 2 11" xfId="44751" xr:uid="{37FC7157-717C-4AA7-9969-3F61A81E471A}"/>
    <cellStyle name="Output 3 2 2 12" xfId="44323" xr:uid="{74318007-5EFA-4B3F-AF48-95EB6E67D8AA}"/>
    <cellStyle name="Output 3 2 2 13" xfId="45082" xr:uid="{F65466EA-1A32-418C-9CC0-751500330B15}"/>
    <cellStyle name="Output 3 2 2 2" xfId="17962" xr:uid="{86A6AED6-4B26-4552-A4FE-C8974EEF76A3}"/>
    <cellStyle name="Output 3 2 2 2 2" xfId="17963" xr:uid="{9A408DE4-0408-467B-9D24-1362B3DAA88F}"/>
    <cellStyle name="Output 3 2 2 2 2 2" xfId="36391" xr:uid="{18C7E0D1-9FD7-4E05-91C1-CC7B03CF16F2}"/>
    <cellStyle name="Output 3 2 2 2 3" xfId="17964" xr:uid="{E3103870-FE3C-4B5F-BE9D-C34F728EDCE7}"/>
    <cellStyle name="Output 3 2 2 2 4" xfId="17965" xr:uid="{2DFDE7AC-4437-4F97-864E-005EB22AA5CB}"/>
    <cellStyle name="Output 3 2 2 3" xfId="17966" xr:uid="{25437FCF-9C54-483C-BED7-D839460F1E6A}"/>
    <cellStyle name="Output 3 2 2 3 2" xfId="17967" xr:uid="{B7426382-CBA8-4204-9EAE-416D80AA4463}"/>
    <cellStyle name="Output 3 2 2 3 3" xfId="36392" xr:uid="{75D55DD5-6ED4-4CFA-989D-DC1CFCDCA5C0}"/>
    <cellStyle name="Output 3 2 2 4" xfId="17968" xr:uid="{8E720B63-BF3C-4EFA-8488-4E12F843FEE8}"/>
    <cellStyle name="Output 3 2 2 4 2" xfId="17969" xr:uid="{7E15ED27-39CE-41F3-80EC-FD61BFDE1705}"/>
    <cellStyle name="Output 3 2 2 4 3" xfId="36393" xr:uid="{49168AE6-C09F-42E2-BAA9-CCD686FC91AA}"/>
    <cellStyle name="Output 3 2 2 5" xfId="17970" xr:uid="{CD3E17BA-E829-4C25-BB83-E675B6D9F4A5}"/>
    <cellStyle name="Output 3 2 2 5 2" xfId="17971" xr:uid="{11A9FB25-DC17-43A7-8587-C96EAC09E702}"/>
    <cellStyle name="Output 3 2 2 5 3" xfId="36394" xr:uid="{8BBB944C-4C77-46B7-927C-99186F2A98D6}"/>
    <cellStyle name="Output 3 2 2 6" xfId="17972" xr:uid="{9CE6AA26-E796-44D9-A18D-20C24521E39E}"/>
    <cellStyle name="Output 3 2 2 6 2" xfId="17973" xr:uid="{5AAD892E-50F3-4409-9633-6E2AD1F01697}"/>
    <cellStyle name="Output 3 2 2 6 3" xfId="36395" xr:uid="{02DBC9FF-5220-4245-9F02-1A6804DFC2A8}"/>
    <cellStyle name="Output 3 2 2 7" xfId="17974" xr:uid="{EECFCC9E-C17C-448D-AFE8-F7E75BDCCF2A}"/>
    <cellStyle name="Output 3 2 2 7 2" xfId="17975" xr:uid="{0CC8258E-51F1-42F8-B91E-C8F1304072EF}"/>
    <cellStyle name="Output 3 2 2 7 3" xfId="36396" xr:uid="{5CFB6BB8-6136-4A76-85E5-8F27EAFF237A}"/>
    <cellStyle name="Output 3 2 2 8" xfId="17976" xr:uid="{2B13646A-2E52-4D55-B058-4906D6829FF6}"/>
    <cellStyle name="Output 3 2 2 8 2" xfId="17977" xr:uid="{B2056944-A7F7-4FFD-9A96-43F0C03BFAB5}"/>
    <cellStyle name="Output 3 2 2 8 3" xfId="36397" xr:uid="{7718A21E-E7CA-47E5-9966-6A994FC0D5DC}"/>
    <cellStyle name="Output 3 2 2 9" xfId="17978" xr:uid="{C38B7C45-BAC0-4E3B-BEE0-45F20F5F55E3}"/>
    <cellStyle name="Output 3 2 2 9 2" xfId="36398" xr:uid="{1F7640EA-7E03-46C7-9AD2-15DA3E5DB22F}"/>
    <cellStyle name="Output 3 2 2 9 3" xfId="36399" xr:uid="{F2731D31-DBEC-446E-B9AB-48FEB4AA1D9B}"/>
    <cellStyle name="Output 3 2 3" xfId="17979" xr:uid="{D4283A49-3320-4B60-B3BE-F585673B930E}"/>
    <cellStyle name="Output 3 2 3 2" xfId="17980" xr:uid="{6D54E6CA-D240-4D69-8221-51E48C46EE53}"/>
    <cellStyle name="Output 3 2 3 3" xfId="17981" xr:uid="{D8D432B5-781A-4EF3-8E2C-A8D42D7E4C73}"/>
    <cellStyle name="Output 3 2 3 4" xfId="17982" xr:uid="{E2414F9A-E19C-4F74-BE87-D2A1EC792184}"/>
    <cellStyle name="Output 3 2 4" xfId="17983" xr:uid="{4D12EC7A-9340-4591-B1B5-72841E28E5E2}"/>
    <cellStyle name="Output 3 2 4 2" xfId="17984" xr:uid="{B13E10C2-9681-4FAE-85E8-BE9DAE0B238C}"/>
    <cellStyle name="Output 3 2 4 3" xfId="36400" xr:uid="{980B393B-0B6F-482B-91B2-EDD62B22563C}"/>
    <cellStyle name="Output 3 2 5" xfId="17985" xr:uid="{62A1492F-F8D0-4293-B2F7-8620116A6BB1}"/>
    <cellStyle name="Output 3 2 5 2" xfId="17986" xr:uid="{C550B7DA-5EAE-44A2-898A-7105D23BED24}"/>
    <cellStyle name="Output 3 2 5 3" xfId="36401" xr:uid="{6A6F2825-01D0-438C-B0EE-076722305D2B}"/>
    <cellStyle name="Output 3 2 6" xfId="17987" xr:uid="{B4542996-B45A-4162-AC0B-0E044E1F948B}"/>
    <cellStyle name="Output 3 2 6 2" xfId="17988" xr:uid="{F8099073-5411-41AA-A84B-B0F335E39E3B}"/>
    <cellStyle name="Output 3 2 6 3" xfId="36402" xr:uid="{2A0F71A1-3FB1-4896-957A-8865CBA9B48E}"/>
    <cellStyle name="Output 3 2 7" xfId="17989" xr:uid="{D071B815-B82C-435B-ADCE-04E0222729D6}"/>
    <cellStyle name="Output 3 2 7 2" xfId="17990" xr:uid="{D95872CA-EB9D-474D-9490-A7349D271836}"/>
    <cellStyle name="Output 3 2 7 3" xfId="36403" xr:uid="{01C45139-3494-45F4-BAAC-CD4F41C15F24}"/>
    <cellStyle name="Output 3 2 8" xfId="17991" xr:uid="{077FB5EA-8D1E-4CE3-B48B-9785AA2FD0C3}"/>
    <cellStyle name="Output 3 2 8 2" xfId="17992" xr:uid="{2A57B666-2540-4F8C-9122-42C48CB66A0D}"/>
    <cellStyle name="Output 3 2 8 3" xfId="36404" xr:uid="{3A66CF35-D6A3-4631-B1A8-2B04FC621AA3}"/>
    <cellStyle name="Output 3 2 9" xfId="17993" xr:uid="{B0C8F9A6-ED57-4625-A294-DE75014670DC}"/>
    <cellStyle name="Output 3 2 9 2" xfId="17994" xr:uid="{141D8FA5-FE8D-497A-A258-447108BA6B49}"/>
    <cellStyle name="Output 3 2 9 3" xfId="36405" xr:uid="{FFB9B6E7-D77A-43C3-9F27-A8661417A3FC}"/>
    <cellStyle name="Output 3 20" xfId="17995" xr:uid="{868C83E4-90FD-498B-B892-79BB2C9C659A}"/>
    <cellStyle name="Output 3 20 2" xfId="36406" xr:uid="{C33AE9B8-F7E3-4BA6-9EE0-250F79C7FC73}"/>
    <cellStyle name="Output 3 20 3" xfId="36407" xr:uid="{D786B63A-117B-4DB9-B7BF-09C11B1C090C}"/>
    <cellStyle name="Output 3 21" xfId="17996" xr:uid="{12E61EF6-3375-4554-A001-18DFE68A3DD6}"/>
    <cellStyle name="Output 3 21 2" xfId="36408" xr:uid="{F676D00A-F4DC-4A09-B6F9-7704E3D16D4B}"/>
    <cellStyle name="Output 3 22" xfId="36409" xr:uid="{54F4E3C8-47C8-4737-807F-90D002A528A7}"/>
    <cellStyle name="Output 3 23" xfId="43027" xr:uid="{418D946E-8222-4CA6-A182-CA8A3C676E59}"/>
    <cellStyle name="Output 3 24" xfId="42228" xr:uid="{685ACC4C-3179-4EF5-BF7C-F6D9A0998497}"/>
    <cellStyle name="Output 3 25" xfId="43945" xr:uid="{F48A4F0F-550B-4F80-9F57-42B3935F2474}"/>
    <cellStyle name="Output 3 26" xfId="44208" xr:uid="{16DDF140-C320-4E46-806A-D0F67F29DBD4}"/>
    <cellStyle name="Output 3 27" xfId="44956" xr:uid="{BA680352-FE7B-4043-A161-68112E777606}"/>
    <cellStyle name="Output 3 28" xfId="45332" xr:uid="{1CBA5835-1B83-46C1-A935-0AE04DBED396}"/>
    <cellStyle name="Output 3 3" xfId="17997" xr:uid="{D16C218B-9AE4-4B9A-B51C-F346DC2371F1}"/>
    <cellStyle name="Output 3 3 10" xfId="17998" xr:uid="{1716EF20-6DEE-440B-8E23-607BAF085FA5}"/>
    <cellStyle name="Output 3 3 10 2" xfId="36410" xr:uid="{3F175328-6C43-4EC0-ADCE-F79B05617683}"/>
    <cellStyle name="Output 3 3 10 3" xfId="36411" xr:uid="{D91483FA-9344-4F62-AFC7-0443C83ED9B9}"/>
    <cellStyle name="Output 3 3 11" xfId="17999" xr:uid="{C69333A8-1E78-445D-83A3-E42AE4118EAF}"/>
    <cellStyle name="Output 3 3 11 2" xfId="36412" xr:uid="{59CC5BC2-351F-4FF9-81A0-43F32E8D2517}"/>
    <cellStyle name="Output 3 3 12" xfId="36413" xr:uid="{3082F948-BB16-4A94-BA0D-588AB651CBE6}"/>
    <cellStyle name="Output 3 3 13" xfId="43029" xr:uid="{5D0180FA-D6FA-45F8-812A-A4AD6084CE09}"/>
    <cellStyle name="Output 3 3 14" xfId="42226" xr:uid="{9C325C46-DF5E-4B1F-98AD-6D5589DDEA7B}"/>
    <cellStyle name="Output 3 3 15" xfId="43947" xr:uid="{265D7C99-CD08-4A30-A324-4B984DD4AB02}"/>
    <cellStyle name="Output 3 3 16" xfId="44588" xr:uid="{09321A7D-8450-4F68-BC43-CD2A4650B91A}"/>
    <cellStyle name="Output 3 3 17" xfId="45204" xr:uid="{53971143-1E52-4A04-B76F-AAA45D466E28}"/>
    <cellStyle name="Output 3 3 18" xfId="45478" xr:uid="{766329B1-64DB-4FC1-967D-95611859AEED}"/>
    <cellStyle name="Output 3 3 2" xfId="18000" xr:uid="{FEEAB91D-BFD0-455F-946B-D796D63489AD}"/>
    <cellStyle name="Output 3 3 2 10" xfId="18001" xr:uid="{4B793FC4-1F79-46D9-9A59-1ECE2BF4A23E}"/>
    <cellStyle name="Output 3 3 2 10 2" xfId="36414" xr:uid="{B9D99675-5E7C-4679-AC4E-C272B2477B94}"/>
    <cellStyle name="Output 3 3 2 11" xfId="44801" xr:uid="{F40DF054-6105-4D21-9972-97F232511E9C}"/>
    <cellStyle name="Output 3 3 2 12" xfId="44866" xr:uid="{23234C0A-92F0-4AB5-B119-CB46AC018276}"/>
    <cellStyle name="Output 3 3 2 13" xfId="45198" xr:uid="{CD0DABBD-95E4-433A-992F-823FCE40E355}"/>
    <cellStyle name="Output 3 3 2 2" xfId="18002" xr:uid="{E6884130-2802-4339-88EA-9DF21129AB03}"/>
    <cellStyle name="Output 3 3 2 2 2" xfId="18003" xr:uid="{9FA1138E-4D24-46C9-8BF4-B60CD4147209}"/>
    <cellStyle name="Output 3 3 2 2 2 2" xfId="36415" xr:uid="{42F9407E-8C35-456B-898C-153B74799C1C}"/>
    <cellStyle name="Output 3 3 2 2 3" xfId="18004" xr:uid="{EF414496-0207-4C42-A065-585AD5140426}"/>
    <cellStyle name="Output 3 3 2 2 4" xfId="18005" xr:uid="{4BE631BC-091C-4701-970E-592C9FB03C77}"/>
    <cellStyle name="Output 3 3 2 3" xfId="18006" xr:uid="{D8224009-C133-40CF-BD07-B9826D6F7EDD}"/>
    <cellStyle name="Output 3 3 2 3 2" xfId="18007" xr:uid="{EAC4AAF6-DFA3-44D4-BBE4-DA9429DA29A6}"/>
    <cellStyle name="Output 3 3 2 3 3" xfId="36416" xr:uid="{C65ABE16-6C04-49A4-B1A3-CBFFB8D92578}"/>
    <cellStyle name="Output 3 3 2 4" xfId="18008" xr:uid="{F74593C6-BCA9-4313-A56E-617024DDE89C}"/>
    <cellStyle name="Output 3 3 2 4 2" xfId="18009" xr:uid="{622F47B7-EA7F-4859-85D8-DE67C0E26C3F}"/>
    <cellStyle name="Output 3 3 2 4 3" xfId="36417" xr:uid="{1F7B483A-AA1F-4AE9-89FD-5CB9AAC88818}"/>
    <cellStyle name="Output 3 3 2 5" xfId="18010" xr:uid="{A657D817-D957-44EF-8585-AB34F155E7EB}"/>
    <cellStyle name="Output 3 3 2 5 2" xfId="18011" xr:uid="{587FD351-E800-4039-8F56-C9AE9D92BD96}"/>
    <cellStyle name="Output 3 3 2 5 3" xfId="36418" xr:uid="{D5ED6DA8-3163-4DBB-9089-119A6EA0A272}"/>
    <cellStyle name="Output 3 3 2 6" xfId="18012" xr:uid="{4EC066B6-EE20-473E-A7F3-2E11BBE1772D}"/>
    <cellStyle name="Output 3 3 2 6 2" xfId="18013" xr:uid="{8D932399-2E94-4BD2-B7C5-0D8B159AA390}"/>
    <cellStyle name="Output 3 3 2 6 3" xfId="36419" xr:uid="{1A439E1A-0353-47A3-831C-DF5E3C743AD1}"/>
    <cellStyle name="Output 3 3 2 7" xfId="18014" xr:uid="{F7D64E0B-DBA9-4AEA-B2D5-943831503983}"/>
    <cellStyle name="Output 3 3 2 7 2" xfId="18015" xr:uid="{DA3A39B2-C883-4CE5-A882-668BB95F76FA}"/>
    <cellStyle name="Output 3 3 2 7 3" xfId="36420" xr:uid="{31D20DC3-68F0-4113-B07D-D8FE13E356F3}"/>
    <cellStyle name="Output 3 3 2 8" xfId="18016" xr:uid="{65A3D7CE-73D6-49E4-A222-3572C3EFC200}"/>
    <cellStyle name="Output 3 3 2 8 2" xfId="18017" xr:uid="{5B6EF600-6779-49A8-A821-3D7037F2AA97}"/>
    <cellStyle name="Output 3 3 2 8 3" xfId="36421" xr:uid="{19604972-810B-452C-87D3-20736838D0CD}"/>
    <cellStyle name="Output 3 3 2 9" xfId="18018" xr:uid="{D882ADA2-D632-4A54-A1DE-64625CD9D403}"/>
    <cellStyle name="Output 3 3 2 9 2" xfId="36422" xr:uid="{724B5299-7C8F-44C5-8930-E145BC48DFC5}"/>
    <cellStyle name="Output 3 3 2 9 3" xfId="36423" xr:uid="{FA9A1C9C-D116-4983-A4FD-9BE87D733A3E}"/>
    <cellStyle name="Output 3 3 3" xfId="18019" xr:uid="{A935175A-6A12-4018-8F23-961E89BFFC2A}"/>
    <cellStyle name="Output 3 3 3 2" xfId="18020" xr:uid="{B3E03D5F-83C0-47E3-A5AD-D3EEB657ED6F}"/>
    <cellStyle name="Output 3 3 3 3" xfId="18021" xr:uid="{1E70FB06-1AAD-40C5-951C-FB194320E46D}"/>
    <cellStyle name="Output 3 3 3 4" xfId="18022" xr:uid="{132ADB19-4CB9-4488-9B55-C12E5F95616F}"/>
    <cellStyle name="Output 3 3 4" xfId="18023" xr:uid="{D345D024-E6CB-4C29-8BBD-2B1C7BF2E0B0}"/>
    <cellStyle name="Output 3 3 4 2" xfId="18024" xr:uid="{7460CEE1-C64B-4331-BF30-1E9E5D68676B}"/>
    <cellStyle name="Output 3 3 4 3" xfId="36424" xr:uid="{336A3408-43A6-4CFB-B899-57B4049A1ADE}"/>
    <cellStyle name="Output 3 3 5" xfId="18025" xr:uid="{FE2EDEDA-C5A8-4FBA-B553-1837730A14AF}"/>
    <cellStyle name="Output 3 3 5 2" xfId="18026" xr:uid="{E9E9E606-80AB-4414-B376-5B5263E4B859}"/>
    <cellStyle name="Output 3 3 5 3" xfId="36425" xr:uid="{B0D7E155-C1CA-4F57-86D3-FCC3CB91021F}"/>
    <cellStyle name="Output 3 3 6" xfId="18027" xr:uid="{542EBD28-F43E-4C40-951A-546437700406}"/>
    <cellStyle name="Output 3 3 6 2" xfId="18028" xr:uid="{6D438103-E513-44E8-8E9F-432C45343049}"/>
    <cellStyle name="Output 3 3 6 3" xfId="36426" xr:uid="{F1E3824B-E458-43B1-BD15-28DD499EB8F7}"/>
    <cellStyle name="Output 3 3 7" xfId="18029" xr:uid="{43BADF0D-3E85-4155-8F62-275CB58CC108}"/>
    <cellStyle name="Output 3 3 7 2" xfId="18030" xr:uid="{17858CB9-322E-4803-9166-DEB979C8B3DB}"/>
    <cellStyle name="Output 3 3 7 3" xfId="36427" xr:uid="{D4A0F1AF-D364-4A41-9433-A3DB48933725}"/>
    <cellStyle name="Output 3 3 8" xfId="18031" xr:uid="{B7B50286-A314-49CE-B7F3-A0E6BDB0731E}"/>
    <cellStyle name="Output 3 3 8 2" xfId="18032" xr:uid="{2B5DB22E-2E3D-4BAF-BEAF-FB71747EF376}"/>
    <cellStyle name="Output 3 3 8 3" xfId="36428" xr:uid="{66E2B14C-032F-412F-AF8E-41235F0AF5BD}"/>
    <cellStyle name="Output 3 3 9" xfId="18033" xr:uid="{C9C33E34-6E98-423F-A6E7-5821C1719C2E}"/>
    <cellStyle name="Output 3 3 9 2" xfId="18034" xr:uid="{B356DBDE-E9E6-4FED-9D0E-EA8FB82170AA}"/>
    <cellStyle name="Output 3 3 9 3" xfId="36429" xr:uid="{9AD86E03-8E11-44C2-8F61-F3D38AC319AB}"/>
    <cellStyle name="Output 3 4" xfId="18035" xr:uid="{A680D5CC-629C-4E3B-9FB7-D625B8DFF94E}"/>
    <cellStyle name="Output 3 4 10" xfId="18036" xr:uid="{A00EC4B1-1A11-490B-B4D0-E272ECD21B70}"/>
    <cellStyle name="Output 3 4 10 2" xfId="36430" xr:uid="{E83AD833-6FCC-4990-AB9B-F4ECD65B30C9}"/>
    <cellStyle name="Output 3 4 10 3" xfId="36431" xr:uid="{D3869234-4BC9-4E88-B7E9-7A7C05094659}"/>
    <cellStyle name="Output 3 4 11" xfId="18037" xr:uid="{AEF7CB95-4C3A-4B33-AD7C-034F3AD4290C}"/>
    <cellStyle name="Output 3 4 11 2" xfId="36432" xr:uid="{58A075F1-E61E-4D82-BB48-09CBAF5554EE}"/>
    <cellStyle name="Output 3 4 12" xfId="44637" xr:uid="{B65FFAB6-3BF4-4520-80E8-3D15F97B1506}"/>
    <cellStyle name="Output 3 4 13" xfId="45153" xr:uid="{EB41C119-FA9B-406E-A858-C04A4862F409}"/>
    <cellStyle name="Output 3 4 14" xfId="45445" xr:uid="{5FCFFDF8-4367-4E09-815F-4BD1F5EB5869}"/>
    <cellStyle name="Output 3 4 2" xfId="18038" xr:uid="{85AE509D-E3C0-4E4C-B3CE-D6388E2E3C45}"/>
    <cellStyle name="Output 3 4 2 10" xfId="18039" xr:uid="{B75E1006-31FD-4E42-8E47-543D4300A98E}"/>
    <cellStyle name="Output 3 4 2 10 2" xfId="36433" xr:uid="{39481DC0-C94C-48BA-ADD7-EDA0A7944A3D}"/>
    <cellStyle name="Output 3 4 2 2" xfId="18040" xr:uid="{BFA36FA8-F7AD-491A-9D74-51BBFA759C0B}"/>
    <cellStyle name="Output 3 4 2 2 2" xfId="18041" xr:uid="{728529AC-58C6-45AB-80A5-D9E2F21AE6CA}"/>
    <cellStyle name="Output 3 4 2 2 2 2" xfId="36434" xr:uid="{3C9178B2-AFD4-4BB6-AA61-209FD7BE39B1}"/>
    <cellStyle name="Output 3 4 2 2 3" xfId="18042" xr:uid="{3A4C8443-2F6F-41C4-92BA-41825280438A}"/>
    <cellStyle name="Output 3 4 2 2 4" xfId="18043" xr:uid="{F9C49AB1-3E9B-47CD-8BED-3412B89BC579}"/>
    <cellStyle name="Output 3 4 2 3" xfId="18044" xr:uid="{DFF665D8-53BC-4531-8422-8B4E8DDF5C74}"/>
    <cellStyle name="Output 3 4 2 3 2" xfId="18045" xr:uid="{0A04D2C9-65AE-4D0E-8DB7-674F950AFC79}"/>
    <cellStyle name="Output 3 4 2 3 3" xfId="36435" xr:uid="{8494BB59-7851-40A1-826E-7C427F9ACEBE}"/>
    <cellStyle name="Output 3 4 2 4" xfId="18046" xr:uid="{625FC1F8-16EB-42F4-AEFD-3FE98458A9D5}"/>
    <cellStyle name="Output 3 4 2 4 2" xfId="18047" xr:uid="{CA5E517C-1EFD-4165-9EE2-04D2D47F95D9}"/>
    <cellStyle name="Output 3 4 2 4 3" xfId="36436" xr:uid="{DBB62D88-D010-40A0-A031-A236833150D9}"/>
    <cellStyle name="Output 3 4 2 5" xfId="18048" xr:uid="{532ADECC-E648-4259-A935-144487606EDF}"/>
    <cellStyle name="Output 3 4 2 5 2" xfId="18049" xr:uid="{BC457DE7-B650-4EC5-BE21-02F84060D6EF}"/>
    <cellStyle name="Output 3 4 2 5 3" xfId="36437" xr:uid="{C84ED3BB-5B8E-4171-8D37-DF828DBC7783}"/>
    <cellStyle name="Output 3 4 2 6" xfId="18050" xr:uid="{C4417249-AA10-4614-9955-FB7D64F984DD}"/>
    <cellStyle name="Output 3 4 2 6 2" xfId="18051" xr:uid="{4426F1FF-700D-450B-AE16-C9F764512970}"/>
    <cellStyle name="Output 3 4 2 6 3" xfId="36438" xr:uid="{0A4FAE2F-D8C6-45BF-A3E9-1269C67D1CA1}"/>
    <cellStyle name="Output 3 4 2 7" xfId="18052" xr:uid="{AF48F5BE-B2C0-45F9-B461-C4AB1236B946}"/>
    <cellStyle name="Output 3 4 2 7 2" xfId="18053" xr:uid="{4DD47575-35A6-4CB9-A9E1-1823FB65613F}"/>
    <cellStyle name="Output 3 4 2 7 3" xfId="36439" xr:uid="{02063F9B-7E49-45F4-AF07-34B7CE9F317F}"/>
    <cellStyle name="Output 3 4 2 8" xfId="18054" xr:uid="{D14CEB78-A069-464F-BAB7-E91AF899E69A}"/>
    <cellStyle name="Output 3 4 2 8 2" xfId="18055" xr:uid="{B8AF0995-6452-407A-8E17-40373DDFF4EA}"/>
    <cellStyle name="Output 3 4 2 8 3" xfId="36440" xr:uid="{9B0C43DF-E1E6-4989-9E7B-C7A18DA99200}"/>
    <cellStyle name="Output 3 4 2 9" xfId="18056" xr:uid="{216104CA-BDBA-4240-86EE-32AF552BEF85}"/>
    <cellStyle name="Output 3 4 2 9 2" xfId="36441" xr:uid="{A1E28B93-9764-4DE5-9BC6-2B159735AD3A}"/>
    <cellStyle name="Output 3 4 2 9 3" xfId="36442" xr:uid="{5261A610-00EF-459D-8E68-5CC9F3024C5C}"/>
    <cellStyle name="Output 3 4 3" xfId="18057" xr:uid="{9F3281A7-C4AF-4F8B-AF16-3064124E9B0A}"/>
    <cellStyle name="Output 3 4 3 2" xfId="18058" xr:uid="{84040F86-7FEA-4E54-B853-0988488255F0}"/>
    <cellStyle name="Output 3 4 3 3" xfId="18059" xr:uid="{50D0A45F-ECEC-433C-8B27-6D024E67614A}"/>
    <cellStyle name="Output 3 4 3 4" xfId="18060" xr:uid="{B0DED5B7-48B1-43EA-A145-E33DB9A60ABE}"/>
    <cellStyle name="Output 3 4 4" xfId="18061" xr:uid="{77205905-C7D5-4EC2-8BF3-821A895F8A4B}"/>
    <cellStyle name="Output 3 4 4 2" xfId="18062" xr:uid="{EC005837-9263-42F2-BEB0-14541D6AC3E6}"/>
    <cellStyle name="Output 3 4 4 3" xfId="36443" xr:uid="{917CAA71-09E8-4335-8016-26F4241A5362}"/>
    <cellStyle name="Output 3 4 5" xfId="18063" xr:uid="{56F1E375-1EF5-4A41-AC45-AFA93EBC4025}"/>
    <cellStyle name="Output 3 4 5 2" xfId="18064" xr:uid="{17681D1F-2488-4AAA-B6A1-125C2EA9EB07}"/>
    <cellStyle name="Output 3 4 5 3" xfId="36444" xr:uid="{3930BD91-FBE2-4909-859A-1DA653C84040}"/>
    <cellStyle name="Output 3 4 6" xfId="18065" xr:uid="{33FAB9BD-ECBE-43B5-8A60-C7F23E5AADC3}"/>
    <cellStyle name="Output 3 4 6 2" xfId="18066" xr:uid="{7C3A63F5-2251-448C-A2A5-2B44E0640F13}"/>
    <cellStyle name="Output 3 4 6 3" xfId="36445" xr:uid="{1D4C6677-5A8F-40DF-94EA-11306A97A82A}"/>
    <cellStyle name="Output 3 4 7" xfId="18067" xr:uid="{D140AFBB-83A7-4604-952F-68D6F43CA1A3}"/>
    <cellStyle name="Output 3 4 7 2" xfId="18068" xr:uid="{EFC9DFD7-87D7-4D1D-A21F-D21F045D2C76}"/>
    <cellStyle name="Output 3 4 7 3" xfId="36446" xr:uid="{8A88C01D-05CD-4AE5-89CC-A2042F6B1FBD}"/>
    <cellStyle name="Output 3 4 8" xfId="18069" xr:uid="{A404DB9D-D12B-4845-A0A8-851A80B9111A}"/>
    <cellStyle name="Output 3 4 8 2" xfId="18070" xr:uid="{F89CADF3-8A26-4CD6-95F3-361CE7985CE3}"/>
    <cellStyle name="Output 3 4 8 3" xfId="36447" xr:uid="{840F4DFE-2E91-40D7-BD87-706973551BE8}"/>
    <cellStyle name="Output 3 4 9" xfId="18071" xr:uid="{9B89BE80-605B-42CB-85E8-8AB59AC92B2A}"/>
    <cellStyle name="Output 3 4 9 2" xfId="18072" xr:uid="{B4EE147C-B5C7-4308-A38D-E20E034A43F3}"/>
    <cellStyle name="Output 3 4 9 3" xfId="36448" xr:uid="{253E2105-9D09-406F-8EB1-E5C1CF0FA3DA}"/>
    <cellStyle name="Output 3 5" xfId="18073" xr:uid="{FB7D6FB2-349F-413F-A842-6C516F40F30A}"/>
    <cellStyle name="Output 3 5 10" xfId="18074" xr:uid="{4FEAEBD3-B5AD-4D35-8A1A-BB5652A77AC3}"/>
    <cellStyle name="Output 3 5 10 2" xfId="36449" xr:uid="{9085E35E-FCB1-4653-A147-03588B79EC82}"/>
    <cellStyle name="Output 3 5 10 3" xfId="36450" xr:uid="{ADA9DB0B-F249-49CC-9975-A4AE6C56AEE6}"/>
    <cellStyle name="Output 3 5 11" xfId="18075" xr:uid="{27BE1B5F-DA5D-40E1-9595-DDBAE539E5D9}"/>
    <cellStyle name="Output 3 5 11 2" xfId="36451" xr:uid="{C9C349AE-621B-4152-ABB7-77259D48550D}"/>
    <cellStyle name="Output 3 5 2" xfId="18076" xr:uid="{CCCB12FF-7A18-4C44-B707-2B3B87508E29}"/>
    <cellStyle name="Output 3 5 2 10" xfId="18077" xr:uid="{EF295FDD-BA48-4147-A2C3-3D4CE3702E67}"/>
    <cellStyle name="Output 3 5 2 10 2" xfId="36452" xr:uid="{24EEA817-D159-434B-9A53-E6699F2503E1}"/>
    <cellStyle name="Output 3 5 2 2" xfId="18078" xr:uid="{659FE311-CFA1-4659-BDB9-D796C72F9768}"/>
    <cellStyle name="Output 3 5 2 2 2" xfId="18079" xr:uid="{E84EF8A1-ED8D-444E-86AF-2ED87D7AA1AB}"/>
    <cellStyle name="Output 3 5 2 2 2 2" xfId="36453" xr:uid="{FBD63C85-7719-4011-9AF6-CBEA6F6EEF31}"/>
    <cellStyle name="Output 3 5 2 2 3" xfId="18080" xr:uid="{15B29C70-6B5E-4D15-8A46-95D36CDB63E1}"/>
    <cellStyle name="Output 3 5 2 2 4" xfId="18081" xr:uid="{92184441-734F-4CCA-8761-5095D1C49793}"/>
    <cellStyle name="Output 3 5 2 3" xfId="18082" xr:uid="{A8FC1626-A7C7-4578-912C-FFA90B8A499D}"/>
    <cellStyle name="Output 3 5 2 3 2" xfId="18083" xr:uid="{8B7630C2-0054-4C20-AD9F-93DF8BEA1CF5}"/>
    <cellStyle name="Output 3 5 2 3 3" xfId="36454" xr:uid="{DC9AAEDC-68AC-4627-B12C-A31EDF790B9C}"/>
    <cellStyle name="Output 3 5 2 4" xfId="18084" xr:uid="{7AF75E16-8ABA-4452-9152-562CBDC98F43}"/>
    <cellStyle name="Output 3 5 2 4 2" xfId="18085" xr:uid="{97B244C0-7A35-4880-B612-04C6FFFFE219}"/>
    <cellStyle name="Output 3 5 2 4 3" xfId="36455" xr:uid="{146F8CAA-CA33-404D-A445-599FD4716853}"/>
    <cellStyle name="Output 3 5 2 5" xfId="18086" xr:uid="{A79BCE77-FD7F-441B-853A-B3919F912112}"/>
    <cellStyle name="Output 3 5 2 5 2" xfId="18087" xr:uid="{59D5FDFD-598D-4285-B957-3BD1CDC52DD8}"/>
    <cellStyle name="Output 3 5 2 5 3" xfId="36456" xr:uid="{2CC3A484-0C3A-4E6D-BB07-37E359711761}"/>
    <cellStyle name="Output 3 5 2 6" xfId="18088" xr:uid="{D83E17D3-B398-445C-8543-C0D99813D897}"/>
    <cellStyle name="Output 3 5 2 6 2" xfId="18089" xr:uid="{0615F6C1-AE95-4699-96EF-8337419D5CEC}"/>
    <cellStyle name="Output 3 5 2 6 3" xfId="36457" xr:uid="{BCB65D1B-C3ED-4F77-BAB8-275BD5844EBA}"/>
    <cellStyle name="Output 3 5 2 7" xfId="18090" xr:uid="{B75CF0ED-221C-4969-9F38-A4136B967D18}"/>
    <cellStyle name="Output 3 5 2 7 2" xfId="18091" xr:uid="{965FAD60-EABB-4208-91FB-759DDCEBEB07}"/>
    <cellStyle name="Output 3 5 2 7 3" xfId="36458" xr:uid="{6A0767C9-DFCB-4860-A77F-7C7FC0AAA2F1}"/>
    <cellStyle name="Output 3 5 2 8" xfId="18092" xr:uid="{E56C4FB5-65EE-4C9A-9C8D-172B68E56D00}"/>
    <cellStyle name="Output 3 5 2 8 2" xfId="18093" xr:uid="{3F619768-B477-4735-820E-FD930F8C0712}"/>
    <cellStyle name="Output 3 5 2 8 3" xfId="36459" xr:uid="{91855AF6-5623-404A-8C3E-44CEA9D6D0B4}"/>
    <cellStyle name="Output 3 5 2 9" xfId="18094" xr:uid="{0716E794-5A3A-4D95-AF9E-D8B068F8C849}"/>
    <cellStyle name="Output 3 5 2 9 2" xfId="36460" xr:uid="{9F48BE2C-85FF-495E-BB38-41DD4447945B}"/>
    <cellStyle name="Output 3 5 2 9 3" xfId="36461" xr:uid="{8588ECD0-B9F7-44AF-84EB-F246E6D73575}"/>
    <cellStyle name="Output 3 5 3" xfId="18095" xr:uid="{A2732E08-79D4-4EA1-B3AB-984C936A6DCE}"/>
    <cellStyle name="Output 3 5 3 2" xfId="18096" xr:uid="{93EDD39E-0EB1-4490-88DC-E25398BDA086}"/>
    <cellStyle name="Output 3 5 3 3" xfId="18097" xr:uid="{99AF1563-92D3-4395-94F6-517E7CFD80DA}"/>
    <cellStyle name="Output 3 5 3 4" xfId="18098" xr:uid="{4C0726E8-3A50-49F8-A6F5-851F561C685C}"/>
    <cellStyle name="Output 3 5 4" xfId="18099" xr:uid="{FF296696-7279-41E2-849F-849A176B076F}"/>
    <cellStyle name="Output 3 5 4 2" xfId="18100" xr:uid="{CA60ACE6-1F96-4B40-A404-980E1FDD381F}"/>
    <cellStyle name="Output 3 5 4 3" xfId="36462" xr:uid="{8B7B1077-F0B0-4611-BEEE-F5206560B22B}"/>
    <cellStyle name="Output 3 5 5" xfId="18101" xr:uid="{DD31AA14-1B47-4B50-8685-9D815EEE658A}"/>
    <cellStyle name="Output 3 5 5 2" xfId="18102" xr:uid="{66324D63-3A86-4952-91FB-E76456183C96}"/>
    <cellStyle name="Output 3 5 5 3" xfId="36463" xr:uid="{094C5F75-A41A-4CC6-A516-A64BDA657028}"/>
    <cellStyle name="Output 3 5 6" xfId="18103" xr:uid="{27276C18-6D9B-4F25-8211-EEA4A93C00C7}"/>
    <cellStyle name="Output 3 5 6 2" xfId="18104" xr:uid="{FB2F0530-D910-486B-BA86-306642D74519}"/>
    <cellStyle name="Output 3 5 6 3" xfId="36464" xr:uid="{4B9222C2-6665-4BA4-ABCE-683B9132FA75}"/>
    <cellStyle name="Output 3 5 7" xfId="18105" xr:uid="{8BDA7EF7-959C-4B51-9DE1-7696D8FAFFF7}"/>
    <cellStyle name="Output 3 5 7 2" xfId="18106" xr:uid="{1756C1FB-1BD0-4A0B-BF6F-59126703F673}"/>
    <cellStyle name="Output 3 5 7 3" xfId="36465" xr:uid="{4928BFE6-8EEA-44B3-8BCD-632F8B043B28}"/>
    <cellStyle name="Output 3 5 8" xfId="18107" xr:uid="{F0379C31-90E3-4D4D-8A1F-81DC2A0AE883}"/>
    <cellStyle name="Output 3 5 8 2" xfId="18108" xr:uid="{85E67D88-ED23-4D8A-928C-52F429059621}"/>
    <cellStyle name="Output 3 5 8 3" xfId="36466" xr:uid="{03502F5A-711B-4C37-980D-39E5D5E2D4F1}"/>
    <cellStyle name="Output 3 5 9" xfId="18109" xr:uid="{348A6996-E3B7-4149-95CF-25847FF4ADD1}"/>
    <cellStyle name="Output 3 5 9 2" xfId="18110" xr:uid="{F2499A82-D82F-4F2F-80DB-ADF5585F46C0}"/>
    <cellStyle name="Output 3 5 9 3" xfId="36467" xr:uid="{717BD97D-4909-46EA-B6D3-02EF08AF60FB}"/>
    <cellStyle name="Output 3 6" xfId="18111" xr:uid="{CD4CD5B9-2B30-4C9B-A573-1C2C2F3975D3}"/>
    <cellStyle name="Output 3 6 10" xfId="18112" xr:uid="{30C6D092-C880-4E91-B9C1-E04A94262FAA}"/>
    <cellStyle name="Output 3 6 10 2" xfId="36468" xr:uid="{8037F09E-A7DF-46AF-9434-D050A7BED72B}"/>
    <cellStyle name="Output 3 6 10 3" xfId="36469" xr:uid="{781A70B8-A585-470A-8BBE-03441DAFD3C2}"/>
    <cellStyle name="Output 3 6 11" xfId="18113" xr:uid="{48043801-2477-4D85-9CCF-9E4EC564CAB6}"/>
    <cellStyle name="Output 3 6 11 2" xfId="36470" xr:uid="{0ACBF578-9182-48C6-BE2D-43AC4C3548D9}"/>
    <cellStyle name="Output 3 6 2" xfId="18114" xr:uid="{27221427-4D9E-4DC9-89FC-7F2290537CAB}"/>
    <cellStyle name="Output 3 6 2 10" xfId="18115" xr:uid="{3C39876D-2B1B-4AB8-9F33-ED1F7EE9DE81}"/>
    <cellStyle name="Output 3 6 2 10 2" xfId="36471" xr:uid="{6F3CF42E-A783-4DF2-9700-F33AEB49E95E}"/>
    <cellStyle name="Output 3 6 2 2" xfId="18116" xr:uid="{8DEDE825-1E7C-487E-B227-05BE59C729DE}"/>
    <cellStyle name="Output 3 6 2 2 2" xfId="18117" xr:uid="{B848B27E-1FA0-47B7-A774-17406C9CDA9C}"/>
    <cellStyle name="Output 3 6 2 2 2 2" xfId="36472" xr:uid="{52B7A118-9DF4-41A1-A552-27F26C08E140}"/>
    <cellStyle name="Output 3 6 2 2 3" xfId="18118" xr:uid="{30BE9D0D-8CE1-419B-B557-FFC8F6244487}"/>
    <cellStyle name="Output 3 6 2 2 4" xfId="18119" xr:uid="{E62B53E9-4A31-459B-86C4-A41AAF4DD7B5}"/>
    <cellStyle name="Output 3 6 2 3" xfId="18120" xr:uid="{88D2D209-7A67-4ED3-B544-DA4297BBDA47}"/>
    <cellStyle name="Output 3 6 2 3 2" xfId="18121" xr:uid="{1CD0E75C-69DF-4FFE-BDB2-DAD259515513}"/>
    <cellStyle name="Output 3 6 2 3 3" xfId="36473" xr:uid="{6631296C-C44A-47BE-A902-26B0618C9105}"/>
    <cellStyle name="Output 3 6 2 4" xfId="18122" xr:uid="{53A194A4-77BF-4E81-9B0E-404E76B465B6}"/>
    <cellStyle name="Output 3 6 2 4 2" xfId="18123" xr:uid="{F1229C72-2140-444C-9A19-4710D1B0B54C}"/>
    <cellStyle name="Output 3 6 2 4 3" xfId="36474" xr:uid="{687D6912-4235-417E-94E4-61D6248A42D2}"/>
    <cellStyle name="Output 3 6 2 5" xfId="18124" xr:uid="{8CA4CDC2-0B4E-4786-A698-1A178D2AB269}"/>
    <cellStyle name="Output 3 6 2 5 2" xfId="18125" xr:uid="{9C2D9450-79B3-4014-9D97-494BADAF9312}"/>
    <cellStyle name="Output 3 6 2 5 3" xfId="36475" xr:uid="{02767297-DA27-4A0D-99DE-B64AAFCBDCB9}"/>
    <cellStyle name="Output 3 6 2 6" xfId="18126" xr:uid="{203D1220-1ADA-495E-885D-D7DA5D325863}"/>
    <cellStyle name="Output 3 6 2 6 2" xfId="18127" xr:uid="{027B4F29-2F77-4892-992B-B66694F642A3}"/>
    <cellStyle name="Output 3 6 2 6 3" xfId="36476" xr:uid="{82A89658-70DA-42FE-8925-273FC9BCD0D0}"/>
    <cellStyle name="Output 3 6 2 7" xfId="18128" xr:uid="{05981716-AFA5-4DE2-85BF-218AB69BDE52}"/>
    <cellStyle name="Output 3 6 2 7 2" xfId="18129" xr:uid="{EE47F6D1-DAE2-4233-88EB-D4EA1B769FCF}"/>
    <cellStyle name="Output 3 6 2 7 3" xfId="36477" xr:uid="{91996B0E-2FD6-438A-A2D5-983D2FCDCDDA}"/>
    <cellStyle name="Output 3 6 2 8" xfId="18130" xr:uid="{AF9BC622-1BC1-4244-B98F-5DC88D21EBFA}"/>
    <cellStyle name="Output 3 6 2 8 2" xfId="18131" xr:uid="{18A67BE3-B9F8-42E3-9133-576AE4FF7BAC}"/>
    <cellStyle name="Output 3 6 2 8 3" xfId="36478" xr:uid="{95AE135E-CDBE-4232-A98A-A74C72DB8DFA}"/>
    <cellStyle name="Output 3 6 2 9" xfId="18132" xr:uid="{5F9C2D53-CD8A-4F8E-A92D-5FBF53E24812}"/>
    <cellStyle name="Output 3 6 2 9 2" xfId="36479" xr:uid="{6217BF66-FBCF-472A-AE70-CC83C6BE9864}"/>
    <cellStyle name="Output 3 6 2 9 3" xfId="36480" xr:uid="{7448F6F9-B311-4D13-ACEE-F6F47D812E68}"/>
    <cellStyle name="Output 3 6 3" xfId="18133" xr:uid="{EAC1AFE1-23DE-4332-BABE-DA07E28EE1B7}"/>
    <cellStyle name="Output 3 6 3 2" xfId="18134" xr:uid="{DD0F75A3-2104-4E48-AE8E-67C89374683B}"/>
    <cellStyle name="Output 3 6 3 3" xfId="18135" xr:uid="{C073592F-96C1-434D-BA8A-9E6056FEA103}"/>
    <cellStyle name="Output 3 6 3 4" xfId="18136" xr:uid="{24282ECE-2816-4856-9E83-044DBF32C051}"/>
    <cellStyle name="Output 3 6 4" xfId="18137" xr:uid="{D8E60714-0F17-46BF-B1BA-D12C7AF3BD3D}"/>
    <cellStyle name="Output 3 6 4 2" xfId="18138" xr:uid="{4247DF39-AF48-4832-B4C2-DAA27DF22E76}"/>
    <cellStyle name="Output 3 6 4 3" xfId="36481" xr:uid="{B2DF333B-10F5-4453-B647-5EAC123A3889}"/>
    <cellStyle name="Output 3 6 5" xfId="18139" xr:uid="{A195A5FD-3CE6-4BC3-98FD-3EADC1221740}"/>
    <cellStyle name="Output 3 6 5 2" xfId="18140" xr:uid="{27BFF011-7294-4F55-848C-AE8C9655F414}"/>
    <cellStyle name="Output 3 6 5 3" xfId="36482" xr:uid="{63E869A7-7144-4640-9CFF-F3C28EDC681B}"/>
    <cellStyle name="Output 3 6 6" xfId="18141" xr:uid="{F4449C6C-AEAF-4B8B-ACE7-66D5B5D9A1AC}"/>
    <cellStyle name="Output 3 6 6 2" xfId="18142" xr:uid="{2E537B28-5653-42CD-A7AE-C98869E1B3A3}"/>
    <cellStyle name="Output 3 6 6 3" xfId="36483" xr:uid="{ED1D6DE6-AEAB-4892-9AA6-8B6150E11737}"/>
    <cellStyle name="Output 3 6 7" xfId="18143" xr:uid="{7D66F73B-1C57-44AD-8F8A-6CED1C8300C5}"/>
    <cellStyle name="Output 3 6 7 2" xfId="18144" xr:uid="{E0A71A24-2FA3-4086-B347-7902746B6562}"/>
    <cellStyle name="Output 3 6 7 3" xfId="36484" xr:uid="{DE08C70E-4132-49E6-8E05-5AD718819303}"/>
    <cellStyle name="Output 3 6 8" xfId="18145" xr:uid="{9C7E3D07-4D83-4390-BCCC-7F54B248234C}"/>
    <cellStyle name="Output 3 6 8 2" xfId="18146" xr:uid="{55EB6978-43B3-4EA9-B3E8-6941A9D18AD0}"/>
    <cellStyle name="Output 3 6 8 3" xfId="36485" xr:uid="{1D3475DA-1AE7-47D9-BAD9-94B23F899422}"/>
    <cellStyle name="Output 3 6 9" xfId="18147" xr:uid="{E56CA02F-CFD7-4347-B90A-68BE8CFA6FCF}"/>
    <cellStyle name="Output 3 6 9 2" xfId="18148" xr:uid="{05EE1BC3-90A5-49B9-9D73-5402A7C29B3D}"/>
    <cellStyle name="Output 3 6 9 3" xfId="36486" xr:uid="{42BE513A-D283-40D2-A322-DFF877993D63}"/>
    <cellStyle name="Output 3 7" xfId="18149" xr:uid="{92AF87D9-F415-49B7-918F-2C04CF76FF90}"/>
    <cellStyle name="Output 3 7 10" xfId="18150" xr:uid="{A761A5AD-B8FE-4788-8159-1974D4420E53}"/>
    <cellStyle name="Output 3 7 10 2" xfId="36487" xr:uid="{EDF8E7B7-6750-493B-A399-F2970B558351}"/>
    <cellStyle name="Output 3 7 10 3" xfId="36488" xr:uid="{3099B7BD-4504-48AA-88F5-9FE81E0DDFE0}"/>
    <cellStyle name="Output 3 7 11" xfId="18151" xr:uid="{A0ABB18B-1F2D-417C-8D0C-DEA143F462A2}"/>
    <cellStyle name="Output 3 7 11 2" xfId="36489" xr:uid="{86180740-89E1-490A-80D8-FDEA0973E15C}"/>
    <cellStyle name="Output 3 7 2" xfId="18152" xr:uid="{46314FC8-F944-4444-B564-75FE3CF374B9}"/>
    <cellStyle name="Output 3 7 2 10" xfId="18153" xr:uid="{2E7D6792-EDF0-4014-8D34-0EB2E1286E47}"/>
    <cellStyle name="Output 3 7 2 10 2" xfId="36490" xr:uid="{98232743-0369-4729-95B6-7DCC4F21A4E8}"/>
    <cellStyle name="Output 3 7 2 2" xfId="18154" xr:uid="{E5B670B4-02FF-45EE-885A-43668E0EE5F4}"/>
    <cellStyle name="Output 3 7 2 2 2" xfId="18155" xr:uid="{4014CDBE-BECF-467D-91C5-B0C49D4F64AC}"/>
    <cellStyle name="Output 3 7 2 2 2 2" xfId="36491" xr:uid="{D46B376D-82DD-4C52-8691-2001CC5751B3}"/>
    <cellStyle name="Output 3 7 2 2 3" xfId="18156" xr:uid="{7218D674-A5B0-487A-976D-B6DE13A92991}"/>
    <cellStyle name="Output 3 7 2 2 4" xfId="18157" xr:uid="{44366E65-EA1E-4426-A8B3-6559DBA09AF0}"/>
    <cellStyle name="Output 3 7 2 3" xfId="18158" xr:uid="{612B845C-2398-45CC-AFCC-64F7AC7392E4}"/>
    <cellStyle name="Output 3 7 2 3 2" xfId="18159" xr:uid="{2570DF70-B349-4E8C-82A9-F16A91A12098}"/>
    <cellStyle name="Output 3 7 2 3 3" xfId="36492" xr:uid="{17DF08CC-C7B6-4421-8411-2904FE70A372}"/>
    <cellStyle name="Output 3 7 2 4" xfId="18160" xr:uid="{4278029A-A2C0-4516-A171-92161CC1BF4F}"/>
    <cellStyle name="Output 3 7 2 4 2" xfId="18161" xr:uid="{87226397-9B7C-4CB1-8A18-9671EF958B02}"/>
    <cellStyle name="Output 3 7 2 4 3" xfId="36493" xr:uid="{D7991388-9D49-4DA5-8E98-4C0DE5F114CF}"/>
    <cellStyle name="Output 3 7 2 5" xfId="18162" xr:uid="{BEBD3F9A-5ED0-4ECB-BD18-D80AE6228BA3}"/>
    <cellStyle name="Output 3 7 2 5 2" xfId="18163" xr:uid="{7FECDEFF-8278-41CB-A589-5106C76352B7}"/>
    <cellStyle name="Output 3 7 2 5 3" xfId="36494" xr:uid="{6DEB9357-0811-4875-B6BE-34F283D90602}"/>
    <cellStyle name="Output 3 7 2 6" xfId="18164" xr:uid="{811DFBC6-D87F-4379-8FF7-A3D0E026377B}"/>
    <cellStyle name="Output 3 7 2 6 2" xfId="18165" xr:uid="{25425B09-CA8A-4550-A663-157A2949044F}"/>
    <cellStyle name="Output 3 7 2 6 3" xfId="36495" xr:uid="{F761E883-1BD1-4E74-BA40-3BFA78291320}"/>
    <cellStyle name="Output 3 7 2 7" xfId="18166" xr:uid="{41986305-5408-462C-95E9-F95D2B11A78C}"/>
    <cellStyle name="Output 3 7 2 7 2" xfId="18167" xr:uid="{05A9FE6B-5778-427A-83F0-2C10FE991FB1}"/>
    <cellStyle name="Output 3 7 2 7 3" xfId="36496" xr:uid="{E851AADB-7011-4CBF-BB6A-1CA97A5F788D}"/>
    <cellStyle name="Output 3 7 2 8" xfId="18168" xr:uid="{330F53EB-D5AB-453E-8233-681BBE08E06A}"/>
    <cellStyle name="Output 3 7 2 8 2" xfId="18169" xr:uid="{0D180506-CD44-4A86-BDE0-D601DA91EE73}"/>
    <cellStyle name="Output 3 7 2 8 3" xfId="36497" xr:uid="{A5B4BF11-AFF2-491C-B928-ECEF6CC07C8B}"/>
    <cellStyle name="Output 3 7 2 9" xfId="18170" xr:uid="{33780F5D-6E92-4D75-B4BE-6C07BDF84F4E}"/>
    <cellStyle name="Output 3 7 2 9 2" xfId="36498" xr:uid="{D972D023-CDC6-48D7-A5E0-2C0557A30472}"/>
    <cellStyle name="Output 3 7 2 9 3" xfId="36499" xr:uid="{0528D395-D375-4BC6-B5F7-692AA5AD94F2}"/>
    <cellStyle name="Output 3 7 3" xfId="18171" xr:uid="{DDDA5193-BEA8-4B2A-BC94-3C7489F83152}"/>
    <cellStyle name="Output 3 7 3 2" xfId="18172" xr:uid="{0ED3F0D5-B92B-4D6D-9244-34DFB613C269}"/>
    <cellStyle name="Output 3 7 3 3" xfId="18173" xr:uid="{450BE429-4CB7-4FD5-81CD-65FF1DFA0E30}"/>
    <cellStyle name="Output 3 7 3 4" xfId="18174" xr:uid="{CA82CF4B-50B0-4C02-9EA0-7C25D40E2B45}"/>
    <cellStyle name="Output 3 7 4" xfId="18175" xr:uid="{C6C97AE7-B47E-427C-A9ED-BBED0D183237}"/>
    <cellStyle name="Output 3 7 4 2" xfId="18176" xr:uid="{7498646E-3FD8-4DC5-B3D8-29070CA983C1}"/>
    <cellStyle name="Output 3 7 4 3" xfId="36500" xr:uid="{BD2801BF-B8E5-4993-B7FF-1E014DD2E146}"/>
    <cellStyle name="Output 3 7 5" xfId="18177" xr:uid="{3679A0C6-D3CC-4E24-8E8A-C66DA6D8CBBC}"/>
    <cellStyle name="Output 3 7 5 2" xfId="18178" xr:uid="{B11C02D9-7E6F-4FB2-9F5D-16234DC4ADB7}"/>
    <cellStyle name="Output 3 7 5 3" xfId="36501" xr:uid="{D2EA8C72-C428-4809-B99C-ACCDFB1D65FF}"/>
    <cellStyle name="Output 3 7 6" xfId="18179" xr:uid="{C5F3DF9C-D346-4B85-ABF2-9A98A035D029}"/>
    <cellStyle name="Output 3 7 6 2" xfId="18180" xr:uid="{991BF0A1-A9AD-4DE3-AA3A-767B8B50C33A}"/>
    <cellStyle name="Output 3 7 6 3" xfId="36502" xr:uid="{4A32EFF9-7803-4903-8979-046196BBEFA1}"/>
    <cellStyle name="Output 3 7 7" xfId="18181" xr:uid="{C9B6F014-2D22-4EB2-B06D-7E006E7A2934}"/>
    <cellStyle name="Output 3 7 7 2" xfId="18182" xr:uid="{00B9BD85-998D-4612-8AED-253F59CFEE8D}"/>
    <cellStyle name="Output 3 7 7 3" xfId="36503" xr:uid="{1FDEEA7B-0AA8-4889-8534-5742898087ED}"/>
    <cellStyle name="Output 3 7 8" xfId="18183" xr:uid="{0C917738-DB41-43EC-A852-B29C2811B1EC}"/>
    <cellStyle name="Output 3 7 8 2" xfId="18184" xr:uid="{EADD62DF-4DB8-4099-A242-BA34D739D6B4}"/>
    <cellStyle name="Output 3 7 8 3" xfId="36504" xr:uid="{3D3D831B-BC39-4477-9AB1-1B54F8CC9EBA}"/>
    <cellStyle name="Output 3 7 9" xfId="18185" xr:uid="{A0EC640E-A32F-4218-A5BD-D4C1DBC13514}"/>
    <cellStyle name="Output 3 7 9 2" xfId="18186" xr:uid="{9E8A859E-99BA-482D-9B8C-CBF0D4DBA1BF}"/>
    <cellStyle name="Output 3 7 9 3" xfId="36505" xr:uid="{4E27DF20-6564-4EF5-BD5B-7D3D9D0F930D}"/>
    <cellStyle name="Output 3 8" xfId="18187" xr:uid="{29168624-AA62-4D7C-85BF-63F2591E0BF3}"/>
    <cellStyle name="Output 3 8 10" xfId="18188" xr:uid="{E3F32B9A-6238-4B89-8EC6-3FDBF848FA6B}"/>
    <cellStyle name="Output 3 8 10 2" xfId="36506" xr:uid="{5F1EEF65-C3A8-4A59-930E-32927027CE13}"/>
    <cellStyle name="Output 3 8 10 3" xfId="36507" xr:uid="{E608EB08-E076-4985-B842-23D290433620}"/>
    <cellStyle name="Output 3 8 11" xfId="18189" xr:uid="{826303F1-2714-4EC7-A40E-84BAA2789BC5}"/>
    <cellStyle name="Output 3 8 11 2" xfId="36508" xr:uid="{AEC39CA3-60FE-4F8E-BA44-67F0C7D977F4}"/>
    <cellStyle name="Output 3 8 2" xfId="18190" xr:uid="{E27F65CF-5734-4BFA-81EF-4077F43CC869}"/>
    <cellStyle name="Output 3 8 2 10" xfId="18191" xr:uid="{84FEECE9-6D8E-46B2-ADD4-CFA753FAE5F8}"/>
    <cellStyle name="Output 3 8 2 10 2" xfId="36509" xr:uid="{549FAFC5-3A06-45DB-B04B-B5F3D4D7F282}"/>
    <cellStyle name="Output 3 8 2 2" xfId="18192" xr:uid="{E00DF483-9FA0-457C-B9D8-DEE868884BF0}"/>
    <cellStyle name="Output 3 8 2 2 2" xfId="18193" xr:uid="{EAB104E1-0AB0-4BF3-A47F-7FA79E7A96D6}"/>
    <cellStyle name="Output 3 8 2 2 2 2" xfId="36510" xr:uid="{9CC8DF50-6C26-4C37-B269-164E8D1F109D}"/>
    <cellStyle name="Output 3 8 2 2 3" xfId="18194" xr:uid="{60D4CD1F-6289-42D5-9A93-556FF9843E92}"/>
    <cellStyle name="Output 3 8 2 2 4" xfId="18195" xr:uid="{FB04E7AF-7386-4471-95FD-A2B30B8CBF7D}"/>
    <cellStyle name="Output 3 8 2 3" xfId="18196" xr:uid="{9B261250-55C9-4A84-99A5-B84AE909A351}"/>
    <cellStyle name="Output 3 8 2 3 2" xfId="18197" xr:uid="{986796B8-9A1D-4D0D-B86B-64CC1AF51534}"/>
    <cellStyle name="Output 3 8 2 3 3" xfId="36511" xr:uid="{2594924E-F80C-4FCE-84B9-39F3EF76541F}"/>
    <cellStyle name="Output 3 8 2 4" xfId="18198" xr:uid="{756247F6-7DCC-43C5-B251-13357FE2A171}"/>
    <cellStyle name="Output 3 8 2 4 2" xfId="18199" xr:uid="{551CC6BF-3F77-42EF-95A0-8DEF2E5348B5}"/>
    <cellStyle name="Output 3 8 2 4 3" xfId="36512" xr:uid="{88C7D21D-4439-4885-BA6F-6A92936AB9C7}"/>
    <cellStyle name="Output 3 8 2 5" xfId="18200" xr:uid="{86245375-2FED-4A10-9A62-74C52F1678B5}"/>
    <cellStyle name="Output 3 8 2 5 2" xfId="18201" xr:uid="{D8725DEC-69A7-41AE-9B2C-B0D9935F1562}"/>
    <cellStyle name="Output 3 8 2 5 3" xfId="36513" xr:uid="{6F6A7705-20F9-4D52-8303-A6E5941FEF96}"/>
    <cellStyle name="Output 3 8 2 6" xfId="18202" xr:uid="{60D0C75D-0CDE-40C0-882D-38389D37065A}"/>
    <cellStyle name="Output 3 8 2 6 2" xfId="18203" xr:uid="{FF806DED-7A20-4545-A2E1-0B9D2251F13B}"/>
    <cellStyle name="Output 3 8 2 6 3" xfId="36514" xr:uid="{7A62F749-322D-4455-AB7A-ECA051695530}"/>
    <cellStyle name="Output 3 8 2 7" xfId="18204" xr:uid="{8A6C5C23-0CCA-47F1-BED5-EE0ACAE51934}"/>
    <cellStyle name="Output 3 8 2 7 2" xfId="18205" xr:uid="{28343FFD-FBFF-41CE-A706-F65E6AF87E99}"/>
    <cellStyle name="Output 3 8 2 7 3" xfId="36515" xr:uid="{1C6326D5-CAE4-4F5F-87C6-179FA9FA7424}"/>
    <cellStyle name="Output 3 8 2 8" xfId="18206" xr:uid="{ECE85A20-3746-46B8-94E0-BD17A6CE62F2}"/>
    <cellStyle name="Output 3 8 2 8 2" xfId="18207" xr:uid="{C3A1F7DE-CAFB-4BCB-8CE0-A3145542D536}"/>
    <cellStyle name="Output 3 8 2 8 3" xfId="36516" xr:uid="{D1172BAB-EA18-4471-B164-FF6D0DE03636}"/>
    <cellStyle name="Output 3 8 2 9" xfId="18208" xr:uid="{C7003BE5-5DA7-45BC-A687-0F76516F0D84}"/>
    <cellStyle name="Output 3 8 2 9 2" xfId="36517" xr:uid="{9F8D16DA-6636-40BF-B1A4-3AE421C68C6C}"/>
    <cellStyle name="Output 3 8 2 9 3" xfId="36518" xr:uid="{4E1B7BA8-D394-4B94-A7CE-B232FE2CC7F0}"/>
    <cellStyle name="Output 3 8 3" xfId="18209" xr:uid="{2C632ED6-31FC-4A34-A028-FE94F55FF4E4}"/>
    <cellStyle name="Output 3 8 3 2" xfId="18210" xr:uid="{F59D4B41-2658-4436-B60F-0267CD09EE92}"/>
    <cellStyle name="Output 3 8 3 3" xfId="18211" xr:uid="{D01CC7B8-F464-4534-83A6-24F83BADF2BF}"/>
    <cellStyle name="Output 3 8 3 4" xfId="18212" xr:uid="{BCEF20D7-662C-4F0B-B9F8-1138E8D6F19A}"/>
    <cellStyle name="Output 3 8 4" xfId="18213" xr:uid="{6A2654E4-22E6-4097-8BE7-2A0C230E08EA}"/>
    <cellStyle name="Output 3 8 4 2" xfId="18214" xr:uid="{65F10AF6-5135-4EFC-9AD7-D2FC717E988B}"/>
    <cellStyle name="Output 3 8 4 3" xfId="36519" xr:uid="{7ECE3B2F-4F7D-4A23-9F87-3E27FA68FB66}"/>
    <cellStyle name="Output 3 8 5" xfId="18215" xr:uid="{D73FE885-872D-4582-8E8C-86090006AB7A}"/>
    <cellStyle name="Output 3 8 5 2" xfId="18216" xr:uid="{C247A05D-3317-46A5-B63D-42F1600F5552}"/>
    <cellStyle name="Output 3 8 5 3" xfId="36520" xr:uid="{1CF52169-762E-45D8-9C11-C452418DCF9D}"/>
    <cellStyle name="Output 3 8 6" xfId="18217" xr:uid="{0881B2BB-1D79-4BD2-A0AB-0C2D2B653B12}"/>
    <cellStyle name="Output 3 8 6 2" xfId="18218" xr:uid="{DF07A155-1AFE-4533-AF74-3A3D6307411A}"/>
    <cellStyle name="Output 3 8 6 3" xfId="36521" xr:uid="{4301DE50-82E5-4F8B-A999-AAE53F2E78CD}"/>
    <cellStyle name="Output 3 8 7" xfId="18219" xr:uid="{AEC4C205-F574-4EE1-980B-128A277E5205}"/>
    <cellStyle name="Output 3 8 7 2" xfId="18220" xr:uid="{F876916F-E5B0-41AB-9E1B-2A7D2AF3D866}"/>
    <cellStyle name="Output 3 8 7 3" xfId="36522" xr:uid="{E4EC26FF-A2D7-4B43-99D2-73BD7B838FC1}"/>
    <cellStyle name="Output 3 8 8" xfId="18221" xr:uid="{8A1D3EA6-E8E3-4355-89D9-C59585B8ABCA}"/>
    <cellStyle name="Output 3 8 8 2" xfId="18222" xr:uid="{0BDD2AB3-412E-4AE7-8B27-DDE9F9756741}"/>
    <cellStyle name="Output 3 8 8 3" xfId="36523" xr:uid="{9AA55EEA-21AE-4800-9F97-316CD20EE3EB}"/>
    <cellStyle name="Output 3 8 9" xfId="18223" xr:uid="{17B7E329-F492-40FF-9439-8805E529E0D8}"/>
    <cellStyle name="Output 3 8 9 2" xfId="18224" xr:uid="{D1CE5237-7948-4DC9-8BE0-894FEE5828F6}"/>
    <cellStyle name="Output 3 8 9 3" xfId="36524" xr:uid="{3B32596C-62C8-49CF-AACA-D76F8BD5E783}"/>
    <cellStyle name="Output 3 9" xfId="18225" xr:uid="{7670932A-6FA1-48DC-BD60-BD76676EA68E}"/>
    <cellStyle name="Output 3 9 10" xfId="18226" xr:uid="{190010D5-4BB6-4BED-A32A-E8AFBCC6440B}"/>
    <cellStyle name="Output 3 9 10 2" xfId="36525" xr:uid="{934A644B-B81B-4818-9236-777EE15C67AC}"/>
    <cellStyle name="Output 3 9 10 3" xfId="36526" xr:uid="{CA6513A7-F6AD-47D5-9B2F-D8C454880235}"/>
    <cellStyle name="Output 3 9 11" xfId="18227" xr:uid="{0E5EA2CD-A49E-4AFB-A14D-F373CC3986D9}"/>
    <cellStyle name="Output 3 9 11 2" xfId="36527" xr:uid="{B6C31467-1E3A-4DDB-B0D9-CE9D0559D5D3}"/>
    <cellStyle name="Output 3 9 2" xfId="18228" xr:uid="{A9A2FCE1-4FBC-4DEF-A18A-0B8F8B6B3C43}"/>
    <cellStyle name="Output 3 9 2 10" xfId="18229" xr:uid="{A12FFE5E-DA25-4D9B-91F1-340A20302DC9}"/>
    <cellStyle name="Output 3 9 2 10 2" xfId="36528" xr:uid="{758AA644-4F42-49B5-9692-F2B9B6965E52}"/>
    <cellStyle name="Output 3 9 2 2" xfId="18230" xr:uid="{DF651974-EA90-4FDA-8A23-95993A55B54A}"/>
    <cellStyle name="Output 3 9 2 2 2" xfId="18231" xr:uid="{3438D6E1-71E2-4751-B51E-3935BF47C88E}"/>
    <cellStyle name="Output 3 9 2 2 2 2" xfId="36529" xr:uid="{DDA1DCFC-55AE-491E-83FE-994813E2765B}"/>
    <cellStyle name="Output 3 9 2 2 3" xfId="18232" xr:uid="{21EFF586-A6E0-4079-9D09-D9987DAAFBE1}"/>
    <cellStyle name="Output 3 9 2 2 4" xfId="18233" xr:uid="{E24356A9-B71F-40FD-B2EE-DBA2598685BD}"/>
    <cellStyle name="Output 3 9 2 3" xfId="18234" xr:uid="{4CDC5A77-462E-41D2-8A08-ABA6DC73C357}"/>
    <cellStyle name="Output 3 9 2 3 2" xfId="18235" xr:uid="{E71A49E6-5883-49C0-8B06-657548331E6D}"/>
    <cellStyle name="Output 3 9 2 3 3" xfId="36530" xr:uid="{289F5E50-2792-48F0-9602-A82546CBBF84}"/>
    <cellStyle name="Output 3 9 2 4" xfId="18236" xr:uid="{5E9FD7AE-1CE1-4688-8F5C-303682D33E6C}"/>
    <cellStyle name="Output 3 9 2 4 2" xfId="18237" xr:uid="{E706232A-56AB-4DA2-98CD-455FBF85698C}"/>
    <cellStyle name="Output 3 9 2 4 3" xfId="36531" xr:uid="{0DED7F32-22BF-45CC-A3D3-538CF407CC67}"/>
    <cellStyle name="Output 3 9 2 5" xfId="18238" xr:uid="{94542B43-D1DE-475B-8F7E-1867207E7CC5}"/>
    <cellStyle name="Output 3 9 2 5 2" xfId="18239" xr:uid="{9B5F829F-3D7D-49AD-9E53-A26C422557FB}"/>
    <cellStyle name="Output 3 9 2 5 3" xfId="36532" xr:uid="{8E01EBD0-C05A-4FFF-9315-5A3B98FC0234}"/>
    <cellStyle name="Output 3 9 2 6" xfId="18240" xr:uid="{41EDC80B-5854-4D69-B496-824DB41A986E}"/>
    <cellStyle name="Output 3 9 2 6 2" xfId="18241" xr:uid="{B381C7C3-BB71-4392-955B-4215EBC85D59}"/>
    <cellStyle name="Output 3 9 2 6 3" xfId="36533" xr:uid="{A2D889C6-2041-4BA4-81D3-6AAA3CE83812}"/>
    <cellStyle name="Output 3 9 2 7" xfId="18242" xr:uid="{74274E27-75B9-4DB0-90B4-2A0BB4CB5ECE}"/>
    <cellStyle name="Output 3 9 2 7 2" xfId="18243" xr:uid="{88660933-3E5C-4F9E-8AFD-FDEED7DA1059}"/>
    <cellStyle name="Output 3 9 2 7 3" xfId="36534" xr:uid="{37F2A95F-F4E7-4FF7-BAD0-97475F1D45E6}"/>
    <cellStyle name="Output 3 9 2 8" xfId="18244" xr:uid="{318A9CD3-3C9B-47FB-B298-9A631A641E28}"/>
    <cellStyle name="Output 3 9 2 8 2" xfId="18245" xr:uid="{8B4601A2-F900-49E8-8FFB-F282BEAC8C57}"/>
    <cellStyle name="Output 3 9 2 8 3" xfId="36535" xr:uid="{E5C1AEEE-6737-43CD-9BEB-2A143A63FB2A}"/>
    <cellStyle name="Output 3 9 2 9" xfId="18246" xr:uid="{13979F4C-D68C-4E43-84D4-83F485E55565}"/>
    <cellStyle name="Output 3 9 2 9 2" xfId="36536" xr:uid="{4268D79C-DD91-4B9F-82B4-0225EE7B5AAE}"/>
    <cellStyle name="Output 3 9 2 9 3" xfId="36537" xr:uid="{3C37876F-6890-4671-A1A3-4CD4C69B7FC3}"/>
    <cellStyle name="Output 3 9 3" xfId="18247" xr:uid="{E684092C-D91A-4226-B63F-33F7D2A01BF6}"/>
    <cellStyle name="Output 3 9 3 2" xfId="18248" xr:uid="{36F67DC0-58AE-4F30-964C-3798908B7878}"/>
    <cellStyle name="Output 3 9 3 3" xfId="18249" xr:uid="{18A8C2D2-B707-482E-A038-AC74ADBC11B6}"/>
    <cellStyle name="Output 3 9 3 4" xfId="18250" xr:uid="{E8731951-124A-471C-A9A2-DB7D62533CED}"/>
    <cellStyle name="Output 3 9 4" xfId="18251" xr:uid="{4065D54F-D5B6-4715-A7F8-CEFDF6D6BE30}"/>
    <cellStyle name="Output 3 9 4 2" xfId="18252" xr:uid="{DC374E58-2B94-4CF9-8871-FE52996F5678}"/>
    <cellStyle name="Output 3 9 4 3" xfId="36538" xr:uid="{A43C05D9-40D3-4109-847F-CD83A2C7F538}"/>
    <cellStyle name="Output 3 9 5" xfId="18253" xr:uid="{63869E37-94AD-44F8-9F95-E8269C851B33}"/>
    <cellStyle name="Output 3 9 5 2" xfId="18254" xr:uid="{F50E4EAF-E483-4274-851C-1BC3CB538B3C}"/>
    <cellStyle name="Output 3 9 5 3" xfId="36539" xr:uid="{7C068BBA-422A-4ADD-85BE-EF7B66841F98}"/>
    <cellStyle name="Output 3 9 6" xfId="18255" xr:uid="{3F40FA55-02FE-47D5-92DB-0659FAD10C12}"/>
    <cellStyle name="Output 3 9 6 2" xfId="18256" xr:uid="{C0364529-657C-4570-B9FC-BAA254E40FFE}"/>
    <cellStyle name="Output 3 9 6 3" xfId="36540" xr:uid="{F8370DD6-9BC8-4AB6-957D-0383A0C82467}"/>
    <cellStyle name="Output 3 9 7" xfId="18257" xr:uid="{1F5E0EBD-C16E-4E91-AEF1-B94614B597F9}"/>
    <cellStyle name="Output 3 9 7 2" xfId="18258" xr:uid="{97C9570D-C1E3-4C18-BCFA-41A166A79FFF}"/>
    <cellStyle name="Output 3 9 7 3" xfId="36541" xr:uid="{EF301F41-BE0D-4BFC-B288-748E61050B9F}"/>
    <cellStyle name="Output 3 9 8" xfId="18259" xr:uid="{1BAA5A83-1034-4E88-9F60-74E58974B1CB}"/>
    <cellStyle name="Output 3 9 8 2" xfId="18260" xr:uid="{C29911B1-702D-4C4B-96C1-BD03A3C67122}"/>
    <cellStyle name="Output 3 9 8 3" xfId="36542" xr:uid="{152279FA-9D18-4B1B-9C51-D9A3E528EDFA}"/>
    <cellStyle name="Output 3 9 9" xfId="18261" xr:uid="{FF602C41-B42E-4F8C-BAEC-190E25DDB175}"/>
    <cellStyle name="Output 3 9 9 2" xfId="18262" xr:uid="{6EB9CD6B-615D-49A6-BA34-8D48359E2573}"/>
    <cellStyle name="Output 3 9 9 3" xfId="36543" xr:uid="{7BFB8172-E668-4C5C-A38B-29A41DA45355}"/>
    <cellStyle name="Output 30" xfId="36544" xr:uid="{F4A6997C-CD67-40BC-914C-7685F38DCD24}"/>
    <cellStyle name="Output 30 2" xfId="43030" xr:uid="{83035041-B4E4-421E-A99F-DAF4F3666D93}"/>
    <cellStyle name="Output 30 3" xfId="42225" xr:uid="{CC9692C4-6E49-42DB-BDF1-2B770B3FDCFF}"/>
    <cellStyle name="Output 30 4" xfId="43948" xr:uid="{4DC836F8-79EA-41E7-99D8-F154C42B7C83}"/>
    <cellStyle name="Output 31" xfId="36545" xr:uid="{DC1E00E1-884B-44B8-AA07-002E43E330EB}"/>
    <cellStyle name="Output 31 2" xfId="43031" xr:uid="{8277D31F-3376-4841-89BA-D473364030B4}"/>
    <cellStyle name="Output 31 3" xfId="42224" xr:uid="{E6DE71FF-F2F9-42C8-A81F-0E30A1EDD0D4}"/>
    <cellStyle name="Output 31 4" xfId="43949" xr:uid="{D39648FF-E959-477A-958D-EF7C11EE9932}"/>
    <cellStyle name="Output 32" xfId="36546" xr:uid="{26FA6A58-50FA-4278-A8FF-16CA36076B39}"/>
    <cellStyle name="Output 32 2" xfId="43032" xr:uid="{CDDE9700-3E5F-41CF-919D-F40C3BBF454A}"/>
    <cellStyle name="Output 32 3" xfId="42223" xr:uid="{C6D1463E-DE37-4AAD-9239-489FA2CF1237}"/>
    <cellStyle name="Output 32 4" xfId="43950" xr:uid="{63970745-4B52-4099-B674-C3E1B93791F1}"/>
    <cellStyle name="Output 33" xfId="36547" xr:uid="{F623BECE-348D-4A8C-A4D1-3DC0568C04FD}"/>
    <cellStyle name="Output 33 2" xfId="43033" xr:uid="{4AD23F6C-0126-4E24-A792-194A6D2B55C2}"/>
    <cellStyle name="Output 33 3" xfId="42222" xr:uid="{5CC82270-7EC2-44B6-8139-A533F20CF708}"/>
    <cellStyle name="Output 33 4" xfId="43951" xr:uid="{EB9882FC-DC90-4162-B768-42AF8820F297}"/>
    <cellStyle name="Output 34" xfId="36548" xr:uid="{40217CEC-4CFF-41F8-90F3-D8F0627153B0}"/>
    <cellStyle name="Output 34 2" xfId="43034" xr:uid="{F05004FF-E90D-466D-88A6-75F866A5B569}"/>
    <cellStyle name="Output 34 3" xfId="42221" xr:uid="{C472E21B-B7DD-4AF5-85C4-614500751DF2}"/>
    <cellStyle name="Output 34 4" xfId="43952" xr:uid="{8D2ACABD-17D4-4B36-93B8-5A3F79AD70A8}"/>
    <cellStyle name="Output 35" xfId="36549" xr:uid="{A2C117CA-5D1D-4712-87F8-B6013FF6D088}"/>
    <cellStyle name="Output 35 2" xfId="43035" xr:uid="{C95D3285-D8DD-4D54-A3D8-DCE4D61348A4}"/>
    <cellStyle name="Output 35 3" xfId="42220" xr:uid="{C6E285CF-E87A-4A0A-8CB0-A758DBBD2537}"/>
    <cellStyle name="Output 35 4" xfId="43953" xr:uid="{D75B8472-037E-4149-BBFA-34C45695C3AE}"/>
    <cellStyle name="Output 36" xfId="36550" xr:uid="{3E536723-1648-4D1E-8988-BC83A555053C}"/>
    <cellStyle name="Output 36 2" xfId="43036" xr:uid="{5BCB6C16-F120-41F8-9024-ADA419D806E9}"/>
    <cellStyle name="Output 36 3" xfId="42219" xr:uid="{6D3EACE6-51D7-41D9-BBA9-DF0F63286B65}"/>
    <cellStyle name="Output 36 4" xfId="43954" xr:uid="{F75889B8-0A71-4782-A920-AAF23A585786}"/>
    <cellStyle name="Output 37" xfId="36551" xr:uid="{A1D6E69C-CB7E-40B7-8C44-EC0CC0740F0B}"/>
    <cellStyle name="Output 37 2" xfId="43037" xr:uid="{F3080134-2D5F-4246-83BA-CA71A56FFCB0}"/>
    <cellStyle name="Output 37 3" xfId="42218" xr:uid="{9087C4B4-1B09-41CC-B427-365F4CF5207F}"/>
    <cellStyle name="Output 37 4" xfId="43955" xr:uid="{0A6BD9A4-A73E-4F85-81D1-6AC6B5477019}"/>
    <cellStyle name="Output 38" xfId="36552" xr:uid="{B6748610-9707-4828-97B2-945322FBE3A2}"/>
    <cellStyle name="Output 38 2" xfId="43038" xr:uid="{F430A4E9-0507-4960-960F-181CFD7036D8}"/>
    <cellStyle name="Output 38 3" xfId="42217" xr:uid="{BBE4D86B-FA66-431A-A199-BC5772AD8A30}"/>
    <cellStyle name="Output 38 4" xfId="43956" xr:uid="{2D339185-2BCF-428C-9025-71A989E7EB46}"/>
    <cellStyle name="Output 39" xfId="36553" xr:uid="{4059BB55-0A2F-4DDE-ABA8-8415D94CF312}"/>
    <cellStyle name="Output 39 2" xfId="43039" xr:uid="{0CAC54DA-91E6-4334-9AB0-E6B60DFB77EF}"/>
    <cellStyle name="Output 39 3" xfId="42216" xr:uid="{739EE2FA-07DC-4968-9C09-8E65A4CB28F6}"/>
    <cellStyle name="Output 39 4" xfId="43957" xr:uid="{BEEB26F7-7F85-45A6-92EE-D50CD1EB85EB}"/>
    <cellStyle name="Output 4" xfId="18263" xr:uid="{4CC9D26C-1F19-4650-8745-212C45AEE4C0}"/>
    <cellStyle name="Output 4 10" xfId="18264" xr:uid="{D3EDB668-F827-473F-B97D-5CBFF10F5231}"/>
    <cellStyle name="Output 4 10 10" xfId="18265" xr:uid="{5EB8BD2F-93E0-4DB0-9EE0-2B9231170294}"/>
    <cellStyle name="Output 4 10 10 2" xfId="36554" xr:uid="{5D8073DB-83FF-4F4F-83A8-343314114F59}"/>
    <cellStyle name="Output 4 10 10 3" xfId="36555" xr:uid="{7BB03C6D-7C8C-47D5-B8A3-F0BA367BE28C}"/>
    <cellStyle name="Output 4 10 11" xfId="18266" xr:uid="{6FAA064B-7C3B-4482-BBF8-885A85B84C06}"/>
    <cellStyle name="Output 4 10 11 2" xfId="36556" xr:uid="{C2D6115A-4D08-454B-B7E1-31126FADB1B5}"/>
    <cellStyle name="Output 4 10 2" xfId="18267" xr:uid="{46F655DE-8542-4819-AB01-D1499491FA1C}"/>
    <cellStyle name="Output 4 10 2 10" xfId="18268" xr:uid="{5742D5C1-2B81-44D4-9E0C-C4B3BDF3C642}"/>
    <cellStyle name="Output 4 10 2 10 2" xfId="36557" xr:uid="{383199E4-4A96-4496-8D75-26C7BDFA2BE8}"/>
    <cellStyle name="Output 4 10 2 2" xfId="18269" xr:uid="{A066205E-9306-4BB8-AADF-BC3A5BC22536}"/>
    <cellStyle name="Output 4 10 2 2 2" xfId="18270" xr:uid="{AEF3A7C4-1D5F-45AA-B3B0-79864E8A55BA}"/>
    <cellStyle name="Output 4 10 2 2 2 2" xfId="36558" xr:uid="{5BEE5FEF-B481-41C1-B062-761397EA4E0D}"/>
    <cellStyle name="Output 4 10 2 2 3" xfId="18271" xr:uid="{003524AD-3356-48AA-ADED-3D3CF67A790D}"/>
    <cellStyle name="Output 4 10 2 2 4" xfId="18272" xr:uid="{B6A5971F-4BEA-444A-B362-E3A95C6D7DCA}"/>
    <cellStyle name="Output 4 10 2 3" xfId="18273" xr:uid="{F1206DCF-8A7C-439E-84F4-05EEA7BECBBE}"/>
    <cellStyle name="Output 4 10 2 3 2" xfId="18274" xr:uid="{C0204FFA-F319-41E1-A19F-F83F030F0867}"/>
    <cellStyle name="Output 4 10 2 3 3" xfId="36559" xr:uid="{8744ACEE-603D-40AB-A727-7A397398069D}"/>
    <cellStyle name="Output 4 10 2 4" xfId="18275" xr:uid="{F9EBCF97-B87D-40EC-ABA5-2BCDC5B287BB}"/>
    <cellStyle name="Output 4 10 2 4 2" xfId="18276" xr:uid="{7A5FEC12-DB92-4BB5-9C61-78B2335B38DB}"/>
    <cellStyle name="Output 4 10 2 4 3" xfId="36560" xr:uid="{0764D548-08B4-4A01-929C-69193A8A2B87}"/>
    <cellStyle name="Output 4 10 2 5" xfId="18277" xr:uid="{37E4AD92-F597-40EE-AD1C-B0E140EF0085}"/>
    <cellStyle name="Output 4 10 2 5 2" xfId="18278" xr:uid="{D7165790-290D-4F37-B41C-B8991D8C2C6A}"/>
    <cellStyle name="Output 4 10 2 5 3" xfId="36561" xr:uid="{57A87A7D-5F68-46D4-A79C-676E891F3788}"/>
    <cellStyle name="Output 4 10 2 6" xfId="18279" xr:uid="{42AABC36-96CA-459C-837F-6B6A0A202E97}"/>
    <cellStyle name="Output 4 10 2 6 2" xfId="18280" xr:uid="{EFD0092D-A9E2-47B6-A7DE-39C1C3BBEF76}"/>
    <cellStyle name="Output 4 10 2 6 3" xfId="36562" xr:uid="{82820BEF-BA16-4A4B-A724-C237D9FE002A}"/>
    <cellStyle name="Output 4 10 2 7" xfId="18281" xr:uid="{23A5CCC2-9C50-4B2A-947F-92221C814C15}"/>
    <cellStyle name="Output 4 10 2 7 2" xfId="18282" xr:uid="{7806C48A-1C29-47F9-9FD2-F3980248E285}"/>
    <cellStyle name="Output 4 10 2 7 3" xfId="36563" xr:uid="{50B2CB10-1164-4C1B-BBF7-6F8A815DB6EA}"/>
    <cellStyle name="Output 4 10 2 8" xfId="18283" xr:uid="{A73855C0-56E7-42EB-8446-2D5639E45700}"/>
    <cellStyle name="Output 4 10 2 8 2" xfId="18284" xr:uid="{7E5C6B1E-BA01-4D0E-B6E1-E83A883A7A30}"/>
    <cellStyle name="Output 4 10 2 8 3" xfId="36564" xr:uid="{C61E3733-E7E4-43F4-B546-706EB748E703}"/>
    <cellStyle name="Output 4 10 2 9" xfId="18285" xr:uid="{BBB7E254-0423-4BD2-A288-BDE4DB67AB36}"/>
    <cellStyle name="Output 4 10 2 9 2" xfId="36565" xr:uid="{6F9A1D06-E4BA-4EF2-BCF6-A7F50F4BA45C}"/>
    <cellStyle name="Output 4 10 2 9 3" xfId="36566" xr:uid="{A077C4EA-9253-4805-8E8B-561853705946}"/>
    <cellStyle name="Output 4 10 3" xfId="18286" xr:uid="{A123ECE7-BB82-461C-85F2-59497F84FF1B}"/>
    <cellStyle name="Output 4 10 3 2" xfId="18287" xr:uid="{DA6A5D24-26AA-46B8-A029-A5AE43C43A7F}"/>
    <cellStyle name="Output 4 10 3 3" xfId="18288" xr:uid="{58E7B3D5-7C0F-4280-8894-B9218341FC34}"/>
    <cellStyle name="Output 4 10 3 4" xfId="18289" xr:uid="{BBBCF8D3-63FF-40DE-B39C-54DD307B1288}"/>
    <cellStyle name="Output 4 10 4" xfId="18290" xr:uid="{61DF7A4C-F252-41EB-89D0-7275A742D8CE}"/>
    <cellStyle name="Output 4 10 4 2" xfId="18291" xr:uid="{532AF548-0A65-4850-A8BA-D44A6F7F3027}"/>
    <cellStyle name="Output 4 10 4 3" xfId="36567" xr:uid="{A5356FEB-1C6D-469C-8A47-0CDB078E189A}"/>
    <cellStyle name="Output 4 10 5" xfId="18292" xr:uid="{0D5F1F58-3DE0-4054-A9F9-D9798C4C5AA1}"/>
    <cellStyle name="Output 4 10 5 2" xfId="18293" xr:uid="{95563839-8667-4C6A-9448-E893D0A95BC9}"/>
    <cellStyle name="Output 4 10 5 3" xfId="36568" xr:uid="{4D78404C-B436-40DE-ADEA-26AFB9A1B7A4}"/>
    <cellStyle name="Output 4 10 6" xfId="18294" xr:uid="{E0183A58-8D81-49F6-A868-74738E0F299C}"/>
    <cellStyle name="Output 4 10 6 2" xfId="18295" xr:uid="{403EA1A5-F4A8-4069-B654-DDDA73963805}"/>
    <cellStyle name="Output 4 10 6 3" xfId="36569" xr:uid="{0D7A379F-A630-49FC-AB7D-1A69C4094ACF}"/>
    <cellStyle name="Output 4 10 7" xfId="18296" xr:uid="{E9CB315C-4E59-480A-8B27-85D95B5A97FE}"/>
    <cellStyle name="Output 4 10 7 2" xfId="18297" xr:uid="{A3D090D4-5D34-4054-8BDD-EFB402A08856}"/>
    <cellStyle name="Output 4 10 7 3" xfId="36570" xr:uid="{76C0B648-06A3-4121-9A8D-BFCB8C018F34}"/>
    <cellStyle name="Output 4 10 8" xfId="18298" xr:uid="{AD868F25-CF8E-4DA1-8745-56BF69C6359A}"/>
    <cellStyle name="Output 4 10 8 2" xfId="18299" xr:uid="{B63C0031-458D-4C88-8CF2-6E07AFD247AA}"/>
    <cellStyle name="Output 4 10 8 3" xfId="36571" xr:uid="{9D8B2C86-EE26-4AFC-A9A2-0FF0205972A8}"/>
    <cellStyle name="Output 4 10 9" xfId="18300" xr:uid="{CB04CC91-6008-4CF0-B73B-85946E09227F}"/>
    <cellStyle name="Output 4 10 9 2" xfId="18301" xr:uid="{F44B2663-CFAC-4C47-8B5C-9C491B6DE267}"/>
    <cellStyle name="Output 4 10 9 3" xfId="36572" xr:uid="{7D06A4AF-47A8-41AC-AA22-A18B91C1561F}"/>
    <cellStyle name="Output 4 11" xfId="18302" xr:uid="{42BBD68C-6935-49B6-9E51-40D27540696E}"/>
    <cellStyle name="Output 4 11 10" xfId="18303" xr:uid="{BD9AA874-6E2C-49BD-A53E-903FB22682FB}"/>
    <cellStyle name="Output 4 11 10 2" xfId="36573" xr:uid="{4B63BEEF-2FBE-43CE-AB68-757AFF8393EC}"/>
    <cellStyle name="Output 4 11 10 3" xfId="36574" xr:uid="{0001676D-1955-4A71-A007-3977F9FCA8F7}"/>
    <cellStyle name="Output 4 11 11" xfId="18304" xr:uid="{65BC0507-8C0D-4F0E-8ECC-2FFDF9A83EF7}"/>
    <cellStyle name="Output 4 11 11 2" xfId="36575" xr:uid="{F6EE0381-8831-4A82-AFD2-4BC9D8B6EF74}"/>
    <cellStyle name="Output 4 11 2" xfId="18305" xr:uid="{361B9055-8EDC-4B10-8EB1-4E3D0ABD81BF}"/>
    <cellStyle name="Output 4 11 2 10" xfId="18306" xr:uid="{7B06B038-E963-43FB-97E0-BA8C75AC1D9A}"/>
    <cellStyle name="Output 4 11 2 10 2" xfId="36576" xr:uid="{2F10B236-6C82-45A2-B16A-D646F4D7868B}"/>
    <cellStyle name="Output 4 11 2 2" xfId="18307" xr:uid="{1F2AF771-8E00-4468-BCFC-5AE737DC8A1A}"/>
    <cellStyle name="Output 4 11 2 2 2" xfId="18308" xr:uid="{E1AE5F9D-FF12-42C6-B88C-D3967F26F405}"/>
    <cellStyle name="Output 4 11 2 2 2 2" xfId="36577" xr:uid="{057E4602-5837-47E3-A9B1-E9501A2FC7A0}"/>
    <cellStyle name="Output 4 11 2 2 3" xfId="18309" xr:uid="{6451A462-8885-4B65-94AF-E5014B1628A9}"/>
    <cellStyle name="Output 4 11 2 2 4" xfId="18310" xr:uid="{524505AA-2C84-48F1-89E3-56F22FA8C1CE}"/>
    <cellStyle name="Output 4 11 2 3" xfId="18311" xr:uid="{2BC3F962-5EEA-4391-BBB6-E9B125E07C98}"/>
    <cellStyle name="Output 4 11 2 3 2" xfId="18312" xr:uid="{5A3D238C-CF24-4D1F-8705-F365115D2B01}"/>
    <cellStyle name="Output 4 11 2 3 3" xfId="36578" xr:uid="{83F71C04-A26A-490A-949B-946D5330DE3D}"/>
    <cellStyle name="Output 4 11 2 4" xfId="18313" xr:uid="{5DA1AE02-736C-4589-B8EE-2E87318C2519}"/>
    <cellStyle name="Output 4 11 2 4 2" xfId="18314" xr:uid="{0DFC19D4-0B7F-4EF5-A587-2439A0387FE3}"/>
    <cellStyle name="Output 4 11 2 4 3" xfId="36579" xr:uid="{FB1980F2-9C76-4E82-AC11-C12DB1A05F02}"/>
    <cellStyle name="Output 4 11 2 5" xfId="18315" xr:uid="{07212ECA-1E83-45DA-A943-700D3EA0307E}"/>
    <cellStyle name="Output 4 11 2 5 2" xfId="18316" xr:uid="{AB02BA58-21EF-46E0-90AE-177D11216283}"/>
    <cellStyle name="Output 4 11 2 5 3" xfId="36580" xr:uid="{2053400F-F469-4890-AD57-4E6990639518}"/>
    <cellStyle name="Output 4 11 2 6" xfId="18317" xr:uid="{1505058F-0832-4B34-B454-25042B43D0C2}"/>
    <cellStyle name="Output 4 11 2 6 2" xfId="18318" xr:uid="{7122AE75-55F8-43AB-9728-BB999B4A556B}"/>
    <cellStyle name="Output 4 11 2 6 3" xfId="36581" xr:uid="{6CC6E0AC-4BA4-44A0-BBCA-80EBD691E412}"/>
    <cellStyle name="Output 4 11 2 7" xfId="18319" xr:uid="{CF8A8CCA-57A4-4F7C-8D4A-AD6A9FCF76F5}"/>
    <cellStyle name="Output 4 11 2 7 2" xfId="18320" xr:uid="{E61EFC06-1999-49E0-85C5-3278F2B8603C}"/>
    <cellStyle name="Output 4 11 2 7 3" xfId="36582" xr:uid="{6290DCFA-E30C-49AD-ABCD-7B5636464282}"/>
    <cellStyle name="Output 4 11 2 8" xfId="18321" xr:uid="{A8363F0E-190F-41F9-845D-DB4F930617FB}"/>
    <cellStyle name="Output 4 11 2 8 2" xfId="18322" xr:uid="{3A979C57-141F-4674-9EAC-4C368E3BC5B9}"/>
    <cellStyle name="Output 4 11 2 8 3" xfId="36583" xr:uid="{E53F0FD8-61E9-456E-9424-685187BF2EB4}"/>
    <cellStyle name="Output 4 11 2 9" xfId="18323" xr:uid="{6B60E68F-6E74-4A92-81D0-700E43426ED4}"/>
    <cellStyle name="Output 4 11 2 9 2" xfId="36584" xr:uid="{3D6D3CFA-59EA-4453-BA72-24BD969C8A1D}"/>
    <cellStyle name="Output 4 11 2 9 3" xfId="36585" xr:uid="{3EC4359A-C79A-4883-A8CC-223FA8E9B79A}"/>
    <cellStyle name="Output 4 11 3" xfId="18324" xr:uid="{61C2B1BD-77F9-468F-9FB2-AD4BAD875225}"/>
    <cellStyle name="Output 4 11 3 2" xfId="18325" xr:uid="{C598AC95-C9C8-452C-9C93-66EEC82D1399}"/>
    <cellStyle name="Output 4 11 3 3" xfId="18326" xr:uid="{58C8FFEA-A335-4436-9DDA-E9B66020BE2C}"/>
    <cellStyle name="Output 4 11 3 4" xfId="18327" xr:uid="{B10B3DA0-43C1-4273-9252-174DC80FEBB4}"/>
    <cellStyle name="Output 4 11 4" xfId="18328" xr:uid="{B7F4640D-CCCC-47DA-ACF8-7FBCAE41689A}"/>
    <cellStyle name="Output 4 11 4 2" xfId="18329" xr:uid="{494F9506-62E7-4A3E-8599-25601958C31A}"/>
    <cellStyle name="Output 4 11 4 3" xfId="36586" xr:uid="{B5CD0C9A-5FB2-4C36-9F58-8375F4776C19}"/>
    <cellStyle name="Output 4 11 5" xfId="18330" xr:uid="{9685735A-92F1-4D35-A9E5-0DBEC9BB51EB}"/>
    <cellStyle name="Output 4 11 5 2" xfId="18331" xr:uid="{C04A49A4-A8C7-45AD-ABFF-3BC28D8C078A}"/>
    <cellStyle name="Output 4 11 5 3" xfId="36587" xr:uid="{E1709659-F078-48DF-804C-48E62FA244C4}"/>
    <cellStyle name="Output 4 11 6" xfId="18332" xr:uid="{B2944D5E-7974-4AE7-A3F6-343BA1DB0FA9}"/>
    <cellStyle name="Output 4 11 6 2" xfId="18333" xr:uid="{30A933DD-6D39-429E-9895-822AE0602BF4}"/>
    <cellStyle name="Output 4 11 6 3" xfId="36588" xr:uid="{F6A0372E-CE8F-4B6B-996C-0BB0CE5BB035}"/>
    <cellStyle name="Output 4 11 7" xfId="18334" xr:uid="{7540EFC3-484A-4203-BC0C-E6430EE29222}"/>
    <cellStyle name="Output 4 11 7 2" xfId="18335" xr:uid="{9D36818D-B18D-4AD3-9E07-0B2526D1CB0E}"/>
    <cellStyle name="Output 4 11 7 3" xfId="36589" xr:uid="{EC372042-221A-4AB9-986E-BE0B2DAD2BC5}"/>
    <cellStyle name="Output 4 11 8" xfId="18336" xr:uid="{9242B162-0597-4424-9004-9D860E29B1F5}"/>
    <cellStyle name="Output 4 11 8 2" xfId="18337" xr:uid="{7999D9EE-6B06-424D-936D-795C9E9B827B}"/>
    <cellStyle name="Output 4 11 8 3" xfId="36590" xr:uid="{449A14FE-1E64-4EFB-9EC8-30C9BBA80822}"/>
    <cellStyle name="Output 4 11 9" xfId="18338" xr:uid="{7CE5D4DE-32BA-47CF-A9D7-7456A9883DFE}"/>
    <cellStyle name="Output 4 11 9 2" xfId="18339" xr:uid="{9C868252-149D-48FB-905A-F0C71F4B5BD0}"/>
    <cellStyle name="Output 4 11 9 3" xfId="36591" xr:uid="{BB4257DE-9D95-4D69-B85B-5CD506564BA1}"/>
    <cellStyle name="Output 4 12" xfId="18340" xr:uid="{9F938905-C14F-4CA7-931B-A4B56FABB853}"/>
    <cellStyle name="Output 4 12 10" xfId="18341" xr:uid="{C5B125B2-3FED-40C2-8D59-952B4944388F}"/>
    <cellStyle name="Output 4 12 10 2" xfId="36592" xr:uid="{39A623FE-ACB1-4AB4-A94B-93361D99E93F}"/>
    <cellStyle name="Output 4 12 2" xfId="18342" xr:uid="{6D973F42-9357-4943-9748-38E12DA1DDB9}"/>
    <cellStyle name="Output 4 12 2 2" xfId="18343" xr:uid="{5541FA63-BE0E-45D4-B2AA-3877225E21AD}"/>
    <cellStyle name="Output 4 12 2 2 2" xfId="36593" xr:uid="{07AC67DC-C178-42CD-8D67-E1DDE5FABEA9}"/>
    <cellStyle name="Output 4 12 2 3" xfId="18344" xr:uid="{C83238D4-4D2F-4533-9BEB-063276883194}"/>
    <cellStyle name="Output 4 12 2 4" xfId="18345" xr:uid="{B5F4F716-9047-41F5-9161-919D9317C37A}"/>
    <cellStyle name="Output 4 12 3" xfId="18346" xr:uid="{C084F937-31A0-4877-9194-B3375A808A77}"/>
    <cellStyle name="Output 4 12 3 2" xfId="18347" xr:uid="{576EFE0C-70A1-496B-8188-F75EAF113841}"/>
    <cellStyle name="Output 4 12 3 3" xfId="36594" xr:uid="{4B5541DC-41B2-45D2-AD48-A51657BEF487}"/>
    <cellStyle name="Output 4 12 4" xfId="18348" xr:uid="{6A79A87B-B58D-461A-B55A-98BDD3F263D4}"/>
    <cellStyle name="Output 4 12 4 2" xfId="18349" xr:uid="{C867F717-C6F8-43AA-8B20-E39AC6DA34DB}"/>
    <cellStyle name="Output 4 12 4 3" xfId="36595" xr:uid="{5D949007-4AAB-4961-A09D-54DFCE8A1DAA}"/>
    <cellStyle name="Output 4 12 5" xfId="18350" xr:uid="{81BC9F91-8CE1-48B9-8490-2E8A8D892AB8}"/>
    <cellStyle name="Output 4 12 5 2" xfId="18351" xr:uid="{52994B73-F4B8-4074-84BB-44C460AED285}"/>
    <cellStyle name="Output 4 12 5 3" xfId="36596" xr:uid="{A108250C-4CB0-437B-AC54-D05991C39CF5}"/>
    <cellStyle name="Output 4 12 6" xfId="18352" xr:uid="{F9499A1A-DE63-4BAF-A065-641D6A8FF752}"/>
    <cellStyle name="Output 4 12 6 2" xfId="18353" xr:uid="{1F687E32-D5BF-4D5A-A165-8F3009D71C07}"/>
    <cellStyle name="Output 4 12 6 3" xfId="36597" xr:uid="{A662B955-7D18-48A5-BCDD-AD5DFA36C73C}"/>
    <cellStyle name="Output 4 12 7" xfId="18354" xr:uid="{5CC0827C-5B2B-48E3-B8A4-521CD4A83F82}"/>
    <cellStyle name="Output 4 12 7 2" xfId="18355" xr:uid="{B0A64756-AF1E-4D39-9D69-2730FECF0249}"/>
    <cellStyle name="Output 4 12 7 3" xfId="36598" xr:uid="{567ADBC3-0DA3-42B4-B16D-2DE825A5631E}"/>
    <cellStyle name="Output 4 12 8" xfId="18356" xr:uid="{9FAC0FCF-554B-4252-95A4-20E7C1B11B72}"/>
    <cellStyle name="Output 4 12 8 2" xfId="18357" xr:uid="{7D3330AA-509B-4C9E-87A0-A8A0E72F9A93}"/>
    <cellStyle name="Output 4 12 8 3" xfId="36599" xr:uid="{91768E4D-BD55-442C-AD05-E72A40A28767}"/>
    <cellStyle name="Output 4 12 9" xfId="18358" xr:uid="{D7FE28A0-E2B1-4BA6-AF74-45BEF318A258}"/>
    <cellStyle name="Output 4 12 9 2" xfId="36600" xr:uid="{8D180671-C243-4A28-A8C5-DD2D38F8941F}"/>
    <cellStyle name="Output 4 12 9 3" xfId="36601" xr:uid="{39EE52EA-D6A1-4D11-8703-60E78BC2C3CB}"/>
    <cellStyle name="Output 4 13" xfId="18359" xr:uid="{9BCB79D6-1B11-4700-85AB-C712BC322960}"/>
    <cellStyle name="Output 4 13 2" xfId="18360" xr:uid="{B3028E98-C84A-4427-B100-869C2450306A}"/>
    <cellStyle name="Output 4 13 3" xfId="18361" xr:uid="{22B735A9-C6E6-4D7C-8E80-79464EC568D7}"/>
    <cellStyle name="Output 4 13 4" xfId="18362" xr:uid="{5054F207-D765-4F25-9F53-9D42E3869F3D}"/>
    <cellStyle name="Output 4 14" xfId="18363" xr:uid="{90892C4D-96B2-4CBC-8E9E-1DC4F568E765}"/>
    <cellStyle name="Output 4 14 2" xfId="18364" xr:uid="{8447F074-FF83-4629-B0FB-4EDBC898E483}"/>
    <cellStyle name="Output 4 14 3" xfId="36602" xr:uid="{568A03E3-33A7-4F39-AE64-718BEB732642}"/>
    <cellStyle name="Output 4 15" xfId="18365" xr:uid="{51AD90F1-5017-4B51-92F3-C5EBE9755C34}"/>
    <cellStyle name="Output 4 15 2" xfId="18366" xr:uid="{AD3794AA-675D-4A4E-9BB3-6D71215C67AF}"/>
    <cellStyle name="Output 4 15 3" xfId="36603" xr:uid="{455F812F-8A8C-493D-A9FF-B3566980C9FB}"/>
    <cellStyle name="Output 4 16" xfId="18367" xr:uid="{D35322ED-DF4F-41C2-87FD-92FF6D9BC7B2}"/>
    <cellStyle name="Output 4 16 2" xfId="18368" xr:uid="{BDB44D69-B305-49B3-87F2-91CF9E7FEE1C}"/>
    <cellStyle name="Output 4 16 3" xfId="36604" xr:uid="{3A4CFF31-13E8-4F4D-868C-61750A921874}"/>
    <cellStyle name="Output 4 17" xfId="18369" xr:uid="{CE5D8473-B949-4D0C-8EED-831201A8C73A}"/>
    <cellStyle name="Output 4 17 2" xfId="18370" xr:uid="{BACF2067-00BB-4D88-B96B-7DFAF1631888}"/>
    <cellStyle name="Output 4 17 3" xfId="36605" xr:uid="{F7E63F7A-8670-44CE-BF5F-A6AE3E9D8F5F}"/>
    <cellStyle name="Output 4 18" xfId="18371" xr:uid="{6EBA9860-882A-4355-8054-66DF97C340E2}"/>
    <cellStyle name="Output 4 18 2" xfId="18372" xr:uid="{32165391-4F2E-484E-BDF6-D5F1D7617DE6}"/>
    <cellStyle name="Output 4 18 3" xfId="36606" xr:uid="{02648552-869B-4005-9544-07828EEAEDD0}"/>
    <cellStyle name="Output 4 19" xfId="18373" xr:uid="{71E02081-2FDF-4FEC-B143-945B0EF0C85D}"/>
    <cellStyle name="Output 4 19 2" xfId="18374" xr:uid="{4C2E5E30-377F-4543-9C68-CF999AF21DA5}"/>
    <cellStyle name="Output 4 19 3" xfId="36607" xr:uid="{375E148A-F12C-4845-BF47-41B6437BC7B8}"/>
    <cellStyle name="Output 4 2" xfId="18375" xr:uid="{2A865160-16F2-46FB-9441-14CDF9AC1CE3}"/>
    <cellStyle name="Output 4 2 10" xfId="18376" xr:uid="{DFE87781-563D-4794-A433-DE0A7AB80166}"/>
    <cellStyle name="Output 4 2 10 2" xfId="36608" xr:uid="{4640A39C-BE79-413A-8DCA-1E918E363D24}"/>
    <cellStyle name="Output 4 2 10 3" xfId="36609" xr:uid="{9215B75B-FBDD-4512-B1D1-9D10D18A9135}"/>
    <cellStyle name="Output 4 2 11" xfId="18377" xr:uid="{2B53DCC2-9B90-422A-910A-8D9755FD572D}"/>
    <cellStyle name="Output 4 2 11 2" xfId="36610" xr:uid="{031DE634-DA03-4D68-9AEC-27EA91EFC8C5}"/>
    <cellStyle name="Output 4 2 12" xfId="36611" xr:uid="{245E9763-14F9-438B-952C-CEAC5A16A7BC}"/>
    <cellStyle name="Output 4 2 13" xfId="36612" xr:uid="{E9047E43-F5CC-4022-804D-61001419954B}"/>
    <cellStyle name="Output 4 2 2" xfId="18378" xr:uid="{485F712D-A418-4E62-9714-925E0CBE2EB5}"/>
    <cellStyle name="Output 4 2 2 10" xfId="18379" xr:uid="{9C403F19-FC3A-441F-AAB2-805C741524D3}"/>
    <cellStyle name="Output 4 2 2 10 2" xfId="36613" xr:uid="{8CB75DB1-D5FA-4FAB-99D8-440EB1252529}"/>
    <cellStyle name="Output 4 2 2 2" xfId="18380" xr:uid="{7D6D03AA-F63E-4B68-93B2-3B81B5C73D45}"/>
    <cellStyle name="Output 4 2 2 2 2" xfId="18381" xr:uid="{C5DC640B-C932-4B83-A194-1C84F181AA6A}"/>
    <cellStyle name="Output 4 2 2 2 2 2" xfId="36614" xr:uid="{A51D208E-5AFF-487F-B63A-8A7CBFD01BEA}"/>
    <cellStyle name="Output 4 2 2 2 3" xfId="18382" xr:uid="{A78D0579-A0EB-4D76-A3AA-E97B51D4235F}"/>
    <cellStyle name="Output 4 2 2 2 4" xfId="18383" xr:uid="{E34C6D12-2D9B-409A-A132-BE841D85DB98}"/>
    <cellStyle name="Output 4 2 2 3" xfId="18384" xr:uid="{1E683D6F-95F8-4550-B8B7-DCA9E9581F92}"/>
    <cellStyle name="Output 4 2 2 3 2" xfId="18385" xr:uid="{3086D1BB-6D9F-439F-A442-4243E8696D73}"/>
    <cellStyle name="Output 4 2 2 3 3" xfId="36615" xr:uid="{9CBF02E8-2745-4DD3-A083-E84219F380AA}"/>
    <cellStyle name="Output 4 2 2 4" xfId="18386" xr:uid="{AF1799A1-2EE1-40DF-83E8-904578647CB5}"/>
    <cellStyle name="Output 4 2 2 4 2" xfId="18387" xr:uid="{771DE5E6-8EDC-4020-8627-5E9E934370AD}"/>
    <cellStyle name="Output 4 2 2 4 3" xfId="36616" xr:uid="{B4DD420E-BCEC-49F2-AF67-D61E8BD0CF1F}"/>
    <cellStyle name="Output 4 2 2 5" xfId="18388" xr:uid="{7C5A98C4-698A-48E1-AA97-6017624EC31E}"/>
    <cellStyle name="Output 4 2 2 5 2" xfId="18389" xr:uid="{17425D2B-2BE9-4B02-B496-15877DEC37CD}"/>
    <cellStyle name="Output 4 2 2 5 3" xfId="36617" xr:uid="{9851B105-8328-4617-99E5-DA4451DCB6F9}"/>
    <cellStyle name="Output 4 2 2 6" xfId="18390" xr:uid="{AEB0CC0D-7C89-4BE6-95FF-2F0209CDBCAF}"/>
    <cellStyle name="Output 4 2 2 6 2" xfId="18391" xr:uid="{F149C6EF-0238-4A49-B80B-63ACF2B4B616}"/>
    <cellStyle name="Output 4 2 2 6 3" xfId="36618" xr:uid="{38EA6629-A85F-4365-8E34-607CD7ECE93F}"/>
    <cellStyle name="Output 4 2 2 7" xfId="18392" xr:uid="{F6260A67-26A0-4E67-AE8F-18386DC19053}"/>
    <cellStyle name="Output 4 2 2 7 2" xfId="18393" xr:uid="{BAD96762-839B-4323-BBF3-8F80E1D347FA}"/>
    <cellStyle name="Output 4 2 2 7 3" xfId="36619" xr:uid="{A1FB6F54-979D-4D33-A87A-5D1B9B42B888}"/>
    <cellStyle name="Output 4 2 2 8" xfId="18394" xr:uid="{4BD3F34E-D684-4611-89BB-7A5F4BE8BAC9}"/>
    <cellStyle name="Output 4 2 2 8 2" xfId="18395" xr:uid="{C924E84F-0D6C-4E6D-8DC0-E02B34435AA5}"/>
    <cellStyle name="Output 4 2 2 8 3" xfId="36620" xr:uid="{631A528A-B4B3-4C4B-9AC5-91D65FE3CC1C}"/>
    <cellStyle name="Output 4 2 2 9" xfId="18396" xr:uid="{1A545A1E-AB28-4CC5-A696-265239298406}"/>
    <cellStyle name="Output 4 2 2 9 2" xfId="36621" xr:uid="{2705703D-2944-4DF0-8CBF-CA74033691FD}"/>
    <cellStyle name="Output 4 2 2 9 3" xfId="36622" xr:uid="{35838D33-CB3D-4981-B61D-6C16EF69CF02}"/>
    <cellStyle name="Output 4 2 3" xfId="18397" xr:uid="{B34E18E3-F3E3-4257-BE64-58FC88DA1ED0}"/>
    <cellStyle name="Output 4 2 3 2" xfId="18398" xr:uid="{2AFF9D03-8E60-428A-B534-ED4DB41A082A}"/>
    <cellStyle name="Output 4 2 3 2 2" xfId="36623" xr:uid="{0EBE99F7-3C69-4FF9-84CF-85B2BC31E05E}"/>
    <cellStyle name="Output 4 2 3 2 3" xfId="36624" xr:uid="{F70B9FFA-63B5-49C5-ABA7-27400154F184}"/>
    <cellStyle name="Output 4 2 3 3" xfId="18399" xr:uid="{3E1FC152-7EFD-472D-B804-5AD33350F3BF}"/>
    <cellStyle name="Output 4 2 3 3 2" xfId="18400" xr:uid="{AF6B0C7D-C810-46FB-8394-FFE4518A634D}"/>
    <cellStyle name="Output 4 2 3 4" xfId="18401" xr:uid="{CA3F6B78-81CC-4064-9B5F-A283A6E775DA}"/>
    <cellStyle name="Output 4 2 3 5" xfId="36625" xr:uid="{DEA76EFD-BB5C-43DB-A0D9-34137035FCBD}"/>
    <cellStyle name="Output 4 2 4" xfId="18402" xr:uid="{888204AB-C88A-42DC-8C67-F235CBE77E43}"/>
    <cellStyle name="Output 4 2 4 2" xfId="18403" xr:uid="{E4A685DF-AC4B-417B-A66A-DC43F3D81C69}"/>
    <cellStyle name="Output 4 2 4 3" xfId="36626" xr:uid="{B38D3621-D48C-40EA-A8D4-28D035A44B81}"/>
    <cellStyle name="Output 4 2 5" xfId="18404" xr:uid="{0357A0D0-33E3-42FD-A33C-1516F6237910}"/>
    <cellStyle name="Output 4 2 5 2" xfId="18405" xr:uid="{9F1E021A-DA56-494C-AAC9-199F4EFEDCC8}"/>
    <cellStyle name="Output 4 2 5 3" xfId="36627" xr:uid="{8EE8DF47-479C-4651-B9A0-4157B2FDF112}"/>
    <cellStyle name="Output 4 2 6" xfId="18406" xr:uid="{3A8527D5-4396-4DE2-8B6B-F9466D26E64F}"/>
    <cellStyle name="Output 4 2 6 2" xfId="18407" xr:uid="{CAA2ABA7-1A97-468A-95D3-A1A78B791363}"/>
    <cellStyle name="Output 4 2 6 3" xfId="36628" xr:uid="{31E8B055-4ACD-4837-8616-89E82AFC9523}"/>
    <cellStyle name="Output 4 2 7" xfId="18408" xr:uid="{E97CA9AA-EA61-49C1-93DF-12AF3067835C}"/>
    <cellStyle name="Output 4 2 7 2" xfId="18409" xr:uid="{F719BD26-CA0B-4B42-BE29-46DDF286077C}"/>
    <cellStyle name="Output 4 2 7 3" xfId="36629" xr:uid="{7F5DD656-0341-4E0D-A0F7-C16C0A70D8D2}"/>
    <cellStyle name="Output 4 2 8" xfId="18410" xr:uid="{563997F3-8FAB-43DA-B6AD-70F753284456}"/>
    <cellStyle name="Output 4 2 8 2" xfId="18411" xr:uid="{29B59EF2-637F-4F34-A1F1-1A70B2742E16}"/>
    <cellStyle name="Output 4 2 8 3" xfId="36630" xr:uid="{D1B54262-4DC1-4965-A9D8-BCE5DE467D4D}"/>
    <cellStyle name="Output 4 2 9" xfId="18412" xr:uid="{BC300FD6-9E0E-4BDF-B183-6F1D5ADE3396}"/>
    <cellStyle name="Output 4 2 9 2" xfId="18413" xr:uid="{72DEE7D6-03D3-4D1F-85BF-4EB6D57787EC}"/>
    <cellStyle name="Output 4 2 9 3" xfId="36631" xr:uid="{136C1DFF-4943-4672-A3B3-F84A1DF902B6}"/>
    <cellStyle name="Output 4 20" xfId="18414" xr:uid="{FD167BED-4B93-4385-8020-68990D162921}"/>
    <cellStyle name="Output 4 20 2" xfId="36632" xr:uid="{585198D6-D7DF-4548-B72C-FB30ABF6114B}"/>
    <cellStyle name="Output 4 20 3" xfId="36633" xr:uid="{27AF3B86-294C-4750-AE1B-F8F55B30BC34}"/>
    <cellStyle name="Output 4 21" xfId="18415" xr:uid="{ED939FA9-8BC4-4218-A24C-03BC2CEDB8DA}"/>
    <cellStyle name="Output 4 21 2" xfId="36634" xr:uid="{DDB90929-4CFB-4478-B664-B44A3F1B4771}"/>
    <cellStyle name="Output 4 22" xfId="36635" xr:uid="{F402ECEB-CDD3-4159-A3FA-55A3D9B55610}"/>
    <cellStyle name="Output 4 23" xfId="43040" xr:uid="{005336D1-E116-478C-9F96-073CEC22AA52}"/>
    <cellStyle name="Output 4 24" xfId="42215" xr:uid="{E807E952-F198-4504-AE49-F1BD31A95507}"/>
    <cellStyle name="Output 4 25" xfId="43958" xr:uid="{E628FB1D-064B-4CED-81E9-3ED10CE2399F}"/>
    <cellStyle name="Output 4 3" xfId="18416" xr:uid="{DD71B9AF-D60D-4B16-84E2-661F26520E64}"/>
    <cellStyle name="Output 4 3 10" xfId="18417" xr:uid="{99042D45-DB41-4E97-96B0-14D39B0542C1}"/>
    <cellStyle name="Output 4 3 10 2" xfId="36636" xr:uid="{5FC831EC-5114-42CD-B17E-5C9527BF2A5F}"/>
    <cellStyle name="Output 4 3 10 3" xfId="36637" xr:uid="{C47C1C04-2C51-480A-A260-DFE1A3E72589}"/>
    <cellStyle name="Output 4 3 11" xfId="18418" xr:uid="{D0921A14-0838-47D2-8F96-EAB25E60CF73}"/>
    <cellStyle name="Output 4 3 11 2" xfId="36638" xr:uid="{739DB9E9-BCFB-4E94-98C7-DB92DDBD6F7E}"/>
    <cellStyle name="Output 4 3 12" xfId="36639" xr:uid="{35B41A08-7666-4CDE-B619-1BDB0591ACF5}"/>
    <cellStyle name="Output 4 3 2" xfId="18419" xr:uid="{07AA6DDA-1FE0-4709-A739-F4FBBC6D5DD9}"/>
    <cellStyle name="Output 4 3 2 10" xfId="18420" xr:uid="{35931E86-2A03-49C1-9351-70503EFFF92B}"/>
    <cellStyle name="Output 4 3 2 10 2" xfId="36640" xr:uid="{B0CBC5D5-A6D3-44F1-AEB4-D39B3C5F46D0}"/>
    <cellStyle name="Output 4 3 2 2" xfId="18421" xr:uid="{D63281E2-98E4-4885-91BA-3145A8319D09}"/>
    <cellStyle name="Output 4 3 2 2 2" xfId="18422" xr:uid="{85B4B70B-7790-47FD-9EA7-C6D6709FB470}"/>
    <cellStyle name="Output 4 3 2 2 2 2" xfId="36641" xr:uid="{8E3C9C2A-5DFC-48C0-A74C-7BBC4E3EEA02}"/>
    <cellStyle name="Output 4 3 2 2 3" xfId="18423" xr:uid="{EAAA23DC-A9FE-4BE9-AD7D-AC955049781B}"/>
    <cellStyle name="Output 4 3 2 2 4" xfId="18424" xr:uid="{CA5E8B9D-549E-467E-BA8A-FFFFCEEE9128}"/>
    <cellStyle name="Output 4 3 2 3" xfId="18425" xr:uid="{F3706053-9179-4F5A-BF66-02707195B02A}"/>
    <cellStyle name="Output 4 3 2 3 2" xfId="18426" xr:uid="{1EC9D678-D9AB-42B0-9A51-1259B7455B43}"/>
    <cellStyle name="Output 4 3 2 3 3" xfId="36642" xr:uid="{393CAACD-B860-4D0D-B075-B4CBDE3E77F9}"/>
    <cellStyle name="Output 4 3 2 4" xfId="18427" xr:uid="{D4A3E3C8-7686-4209-8442-7E292BAA2615}"/>
    <cellStyle name="Output 4 3 2 4 2" xfId="18428" xr:uid="{08D1ADCF-CD37-4D81-81BD-B435978EA912}"/>
    <cellStyle name="Output 4 3 2 4 3" xfId="36643" xr:uid="{164821DC-331B-4322-ABA4-1B323D44392B}"/>
    <cellStyle name="Output 4 3 2 5" xfId="18429" xr:uid="{568DA2B7-6497-44D5-A5F6-DC93F94636EC}"/>
    <cellStyle name="Output 4 3 2 5 2" xfId="18430" xr:uid="{A7E73A9F-3666-424E-8B70-4E980687D8F5}"/>
    <cellStyle name="Output 4 3 2 5 3" xfId="36644" xr:uid="{4DB800E7-78E9-4DA4-B8A5-82DB930BBDEB}"/>
    <cellStyle name="Output 4 3 2 6" xfId="18431" xr:uid="{91BCE5B5-5E2C-4703-B0C0-37ED425A98D8}"/>
    <cellStyle name="Output 4 3 2 6 2" xfId="18432" xr:uid="{90BCA11C-B84B-4729-B2C7-2176888034C9}"/>
    <cellStyle name="Output 4 3 2 6 3" xfId="36645" xr:uid="{33CF6697-5FCE-4317-974C-E2739D109E8F}"/>
    <cellStyle name="Output 4 3 2 7" xfId="18433" xr:uid="{AA48D2B5-341A-43CF-99EA-D0819B154C9B}"/>
    <cellStyle name="Output 4 3 2 7 2" xfId="18434" xr:uid="{E8DB9402-53BF-4A5A-BA42-1E0B5575DB1C}"/>
    <cellStyle name="Output 4 3 2 7 3" xfId="36646" xr:uid="{84C661D2-3C7F-4F42-A2CE-7B03B009739D}"/>
    <cellStyle name="Output 4 3 2 8" xfId="18435" xr:uid="{91CB407D-AC18-4EED-9184-C94033195EF4}"/>
    <cellStyle name="Output 4 3 2 8 2" xfId="18436" xr:uid="{CF94EE0F-6D0F-4E67-ABA9-6D2E371456A5}"/>
    <cellStyle name="Output 4 3 2 8 3" xfId="36647" xr:uid="{8BD69192-1EF5-4D8E-9CDC-9BB471136FA8}"/>
    <cellStyle name="Output 4 3 2 9" xfId="18437" xr:uid="{2C82AF27-35B6-4829-AF34-D0F1F7EF67EF}"/>
    <cellStyle name="Output 4 3 2 9 2" xfId="36648" xr:uid="{983FD48B-8727-42FD-9498-D89B6C26D1A3}"/>
    <cellStyle name="Output 4 3 2 9 3" xfId="36649" xr:uid="{0E50923C-597C-4B9A-8F6C-F9FDE1E2EC0D}"/>
    <cellStyle name="Output 4 3 3" xfId="18438" xr:uid="{9CB370C9-7687-494B-B1F8-83B7FFBF947D}"/>
    <cellStyle name="Output 4 3 3 2" xfId="18439" xr:uid="{4D441D3C-2D09-48C4-A6E1-9B533D345671}"/>
    <cellStyle name="Output 4 3 3 2 2" xfId="36650" xr:uid="{DFF50939-4B29-4034-A1A7-21406389F2C6}"/>
    <cellStyle name="Output 4 3 3 2 3" xfId="36651" xr:uid="{280E197B-97B7-4AD1-A90C-37093768674E}"/>
    <cellStyle name="Output 4 3 3 3" xfId="18440" xr:uid="{D18AE894-A5F5-46D2-AE87-5850881E3B76}"/>
    <cellStyle name="Output 4 3 3 3 2" xfId="18441" xr:uid="{BA8CFE03-EC71-4E09-9863-0ECE0370E9ED}"/>
    <cellStyle name="Output 4 3 3 4" xfId="18442" xr:uid="{016FB0D8-0F8B-4286-A846-BBB524651127}"/>
    <cellStyle name="Output 4 3 3 5" xfId="36652" xr:uid="{F58CF4C9-27EA-4369-A688-FCC4DFD48EBF}"/>
    <cellStyle name="Output 4 3 4" xfId="18443" xr:uid="{D3AA0F26-D34A-4AC2-AB5D-F60282DDA8BE}"/>
    <cellStyle name="Output 4 3 4 2" xfId="18444" xr:uid="{97697F35-4A45-487A-AAA3-19EF01DA7174}"/>
    <cellStyle name="Output 4 3 4 3" xfId="36653" xr:uid="{FB70FBE0-699E-429E-B108-5BBE3C27FB8D}"/>
    <cellStyle name="Output 4 3 5" xfId="18445" xr:uid="{A260B8A9-9B9F-42CE-A930-9BAEBB89B508}"/>
    <cellStyle name="Output 4 3 5 2" xfId="18446" xr:uid="{0B58745D-E1AE-46CF-964C-388F9327543D}"/>
    <cellStyle name="Output 4 3 5 3" xfId="36654" xr:uid="{C1ABF2F9-18BE-4C1D-B7A6-336DF9944A15}"/>
    <cellStyle name="Output 4 3 6" xfId="18447" xr:uid="{4EE001A1-99F1-4FB1-8A50-3981EB5F50F9}"/>
    <cellStyle name="Output 4 3 6 2" xfId="18448" xr:uid="{0FD6B640-A92F-4202-88A3-4D75B1222292}"/>
    <cellStyle name="Output 4 3 6 3" xfId="36655" xr:uid="{AC01956A-2286-44D5-9F06-2F6E286EC1BC}"/>
    <cellStyle name="Output 4 3 7" xfId="18449" xr:uid="{33C7E55C-84DA-4C91-B584-6038B9D2C3C5}"/>
    <cellStyle name="Output 4 3 7 2" xfId="18450" xr:uid="{1BC2E717-990B-47E9-ADCC-3B4821D85C48}"/>
    <cellStyle name="Output 4 3 7 3" xfId="36656" xr:uid="{EBB3E30A-73CA-4FDE-B11F-B188D4BFD994}"/>
    <cellStyle name="Output 4 3 8" xfId="18451" xr:uid="{C6EFA0C9-B5E0-469C-955A-243F1B29C3DB}"/>
    <cellStyle name="Output 4 3 8 2" xfId="18452" xr:uid="{CEC4B9C9-44C6-4B55-9F05-B8D1AF1786A6}"/>
    <cellStyle name="Output 4 3 8 3" xfId="36657" xr:uid="{6F65E95F-66CA-4C57-AD3D-B8C406672A48}"/>
    <cellStyle name="Output 4 3 9" xfId="18453" xr:uid="{287BBB2D-240F-46A0-B8A1-08F41A13CF27}"/>
    <cellStyle name="Output 4 3 9 2" xfId="18454" xr:uid="{7FA990D1-A861-4083-BA25-B82AA23B645A}"/>
    <cellStyle name="Output 4 3 9 3" xfId="36658" xr:uid="{1035E3B2-9E52-4458-B567-77CBB068F2E0}"/>
    <cellStyle name="Output 4 4" xfId="18455" xr:uid="{E40F588A-B73D-43C4-8626-84654356F66F}"/>
    <cellStyle name="Output 4 4 10" xfId="18456" xr:uid="{4B6D25CA-72B2-46DD-BA33-11C395A75B8E}"/>
    <cellStyle name="Output 4 4 10 2" xfId="36659" xr:uid="{7533B3D1-FCF6-4F94-87C1-080FC9C44544}"/>
    <cellStyle name="Output 4 4 10 3" xfId="36660" xr:uid="{2A1D0E02-F0BD-4CD0-A04C-A54FEE79F985}"/>
    <cellStyle name="Output 4 4 11" xfId="18457" xr:uid="{6D4BC4EA-FBBD-4A50-95CA-3725BC9BD1E1}"/>
    <cellStyle name="Output 4 4 11 2" xfId="36661" xr:uid="{1B707536-1C43-4D79-BDEF-C74231211875}"/>
    <cellStyle name="Output 4 4 12" xfId="36662" xr:uid="{6B4376B6-CB42-4694-A798-30F3A6254E5E}"/>
    <cellStyle name="Output 4 4 2" xfId="18458" xr:uid="{29F0A69E-0653-4D75-B8DD-CCC803570DF6}"/>
    <cellStyle name="Output 4 4 2 10" xfId="18459" xr:uid="{5C8C5264-C9A0-43DE-8C36-A015DD1C8E41}"/>
    <cellStyle name="Output 4 4 2 10 2" xfId="36663" xr:uid="{7D127152-461F-44DA-AFDF-558B8AF823CF}"/>
    <cellStyle name="Output 4 4 2 2" xfId="18460" xr:uid="{1B7C246F-E251-4341-9D20-8B88A915BA4B}"/>
    <cellStyle name="Output 4 4 2 2 2" xfId="18461" xr:uid="{905262D5-816A-485E-AF05-425A5AC6C2CF}"/>
    <cellStyle name="Output 4 4 2 2 2 2" xfId="36664" xr:uid="{4489F222-46D0-47BE-9AA5-63A2B1DE3F08}"/>
    <cellStyle name="Output 4 4 2 2 3" xfId="18462" xr:uid="{0F49CF0F-4DA6-4D56-8C50-353E5476F546}"/>
    <cellStyle name="Output 4 4 2 2 4" xfId="18463" xr:uid="{3E144911-70D2-4905-8F0A-5033E1A6E493}"/>
    <cellStyle name="Output 4 4 2 3" xfId="18464" xr:uid="{299D4CBB-B285-4BDE-A634-D779EEB16D3C}"/>
    <cellStyle name="Output 4 4 2 3 2" xfId="18465" xr:uid="{5786ABDE-7F8F-418F-BD8F-86C41304F4EF}"/>
    <cellStyle name="Output 4 4 2 3 3" xfId="36665" xr:uid="{D749BFF4-CFC6-413D-ADE7-32B4D609A7B7}"/>
    <cellStyle name="Output 4 4 2 4" xfId="18466" xr:uid="{4DB76930-6528-4047-B040-F14F81A5FDCB}"/>
    <cellStyle name="Output 4 4 2 4 2" xfId="18467" xr:uid="{98E99F6C-290F-4C73-B1DE-DE9522E42923}"/>
    <cellStyle name="Output 4 4 2 4 3" xfId="36666" xr:uid="{EF587A97-869A-421A-8A7C-A9FD8EF35605}"/>
    <cellStyle name="Output 4 4 2 5" xfId="18468" xr:uid="{F7F19FAB-7D9A-4C94-A6C3-F90A244CD5CB}"/>
    <cellStyle name="Output 4 4 2 5 2" xfId="18469" xr:uid="{CE732606-AF4D-4DB0-846A-B804C3C88FF0}"/>
    <cellStyle name="Output 4 4 2 5 3" xfId="36667" xr:uid="{4819AAA2-6D29-409F-A33A-106CB000C9B0}"/>
    <cellStyle name="Output 4 4 2 6" xfId="18470" xr:uid="{D29EE4F6-4B03-4E8F-8E9F-BF24C9F274D9}"/>
    <cellStyle name="Output 4 4 2 6 2" xfId="18471" xr:uid="{D72B6251-6585-4978-8C57-4BB95BC3CCC1}"/>
    <cellStyle name="Output 4 4 2 6 3" xfId="36668" xr:uid="{F31B04A8-28D0-4ED7-98D9-81B35B96ECB8}"/>
    <cellStyle name="Output 4 4 2 7" xfId="18472" xr:uid="{18B12860-70F0-4A39-888F-B070BA46D506}"/>
    <cellStyle name="Output 4 4 2 7 2" xfId="18473" xr:uid="{AB808ECA-B03F-46C0-92BF-AB02005F0C76}"/>
    <cellStyle name="Output 4 4 2 7 3" xfId="36669" xr:uid="{37DA1885-62C8-4FA6-9A3D-B196F2D91EFE}"/>
    <cellStyle name="Output 4 4 2 8" xfId="18474" xr:uid="{9D98567D-AB4D-4721-845A-F18663F87DBF}"/>
    <cellStyle name="Output 4 4 2 8 2" xfId="18475" xr:uid="{AE48C917-51C3-4405-8BA5-29FEDB304AED}"/>
    <cellStyle name="Output 4 4 2 8 3" xfId="36670" xr:uid="{33387902-735C-4FF6-8432-CAFFC8407D44}"/>
    <cellStyle name="Output 4 4 2 9" xfId="18476" xr:uid="{B8019D64-91F9-4B99-BE11-1A69E4840A26}"/>
    <cellStyle name="Output 4 4 2 9 2" xfId="36671" xr:uid="{B7FD181D-EEB8-404C-8E1B-42272FCFC441}"/>
    <cellStyle name="Output 4 4 2 9 3" xfId="36672" xr:uid="{964D71E9-132B-4646-9D17-4C9A0920E9DE}"/>
    <cellStyle name="Output 4 4 3" xfId="18477" xr:uid="{1F119DA5-AB6C-4D55-88C3-3E3E48D2811A}"/>
    <cellStyle name="Output 4 4 3 2" xfId="18478" xr:uid="{D814BD44-753D-4A4F-B389-B80DD39C7276}"/>
    <cellStyle name="Output 4 4 3 2 2" xfId="36673" xr:uid="{13245425-061D-4D19-9074-EBC44DB3A16C}"/>
    <cellStyle name="Output 4 4 3 2 3" xfId="36674" xr:uid="{5130256D-2515-420F-A0B6-13F60AEAFE31}"/>
    <cellStyle name="Output 4 4 3 3" xfId="18479" xr:uid="{9173E594-5EFE-4178-860A-F13F3D70CDE0}"/>
    <cellStyle name="Output 4 4 3 3 2" xfId="18480" xr:uid="{7E2224C6-A6E3-4932-9B1A-14DD5F47AE54}"/>
    <cellStyle name="Output 4 4 3 4" xfId="18481" xr:uid="{784DB0F1-9C14-437D-92C8-D9A2C6B3BCBD}"/>
    <cellStyle name="Output 4 4 3 5" xfId="36675" xr:uid="{DD594F54-C92D-40BD-B19C-A9FA62824F1A}"/>
    <cellStyle name="Output 4 4 4" xfId="18482" xr:uid="{BABD0407-E58F-425F-8C5E-6BEC141AD8AB}"/>
    <cellStyle name="Output 4 4 4 2" xfId="18483" xr:uid="{62D0C09E-F6E0-456D-BEB2-DD165D998790}"/>
    <cellStyle name="Output 4 4 4 3" xfId="36676" xr:uid="{B97C9C46-8CB6-4448-835D-35B2010D5350}"/>
    <cellStyle name="Output 4 4 5" xfId="18484" xr:uid="{9AEC31C2-C056-45DF-AB3B-382A7D04C192}"/>
    <cellStyle name="Output 4 4 5 2" xfId="18485" xr:uid="{8902604F-96AB-4221-A5FE-BC9197F6BD8E}"/>
    <cellStyle name="Output 4 4 5 3" xfId="36677" xr:uid="{3891E7A2-A9A1-46DF-A801-207ACBFAB45B}"/>
    <cellStyle name="Output 4 4 6" xfId="18486" xr:uid="{996B895A-31AC-4309-AEAE-316F4AE40B26}"/>
    <cellStyle name="Output 4 4 6 2" xfId="18487" xr:uid="{C206B396-8321-4E6E-8B29-108A09D08566}"/>
    <cellStyle name="Output 4 4 6 3" xfId="36678" xr:uid="{3235C32E-8946-4B20-876D-82B92B9FE3F7}"/>
    <cellStyle name="Output 4 4 7" xfId="18488" xr:uid="{24B2A7D1-6C1F-4D92-BB11-AA7997083884}"/>
    <cellStyle name="Output 4 4 7 2" xfId="18489" xr:uid="{29ACD68F-2492-4D21-A258-D0F5114EBFC1}"/>
    <cellStyle name="Output 4 4 7 3" xfId="36679" xr:uid="{1140CAF5-A725-4C0F-80AD-22C1C673FF86}"/>
    <cellStyle name="Output 4 4 8" xfId="18490" xr:uid="{B0706BCB-2B22-42C8-996F-0399F9E6E1A5}"/>
    <cellStyle name="Output 4 4 8 2" xfId="18491" xr:uid="{914564B4-B50F-4755-916C-38733C458613}"/>
    <cellStyle name="Output 4 4 8 3" xfId="36680" xr:uid="{BD33CF6B-FF4D-4D23-B2A3-002EEAD505C1}"/>
    <cellStyle name="Output 4 4 9" xfId="18492" xr:uid="{48D13DFE-0662-4FA7-BE7A-CDAFDD8E568E}"/>
    <cellStyle name="Output 4 4 9 2" xfId="18493" xr:uid="{5AFD3538-9279-4785-9A0B-5BFD3F499CAB}"/>
    <cellStyle name="Output 4 4 9 3" xfId="36681" xr:uid="{EA4B21FE-9C20-4ECF-94BB-975D527EDE67}"/>
    <cellStyle name="Output 4 5" xfId="18494" xr:uid="{DB59E357-F82D-4619-8988-B5798D90A640}"/>
    <cellStyle name="Output 4 5 10" xfId="18495" xr:uid="{0F717625-81D7-498C-9698-5678AB4BF8D9}"/>
    <cellStyle name="Output 4 5 10 2" xfId="36682" xr:uid="{D26E9673-6B5A-496D-9323-2F38D87F4701}"/>
    <cellStyle name="Output 4 5 10 3" xfId="36683" xr:uid="{C55CBB37-8041-4D73-95D7-564D98949C3D}"/>
    <cellStyle name="Output 4 5 11" xfId="18496" xr:uid="{5F4F584B-5FC7-4B90-9216-215FB4C9A51A}"/>
    <cellStyle name="Output 4 5 11 2" xfId="36684" xr:uid="{29E0AD75-9F6D-452E-B484-B5D8F840C765}"/>
    <cellStyle name="Output 4 5 12" xfId="36685" xr:uid="{A9C7A3E9-D53E-44B1-A864-A6F52E8E6FE5}"/>
    <cellStyle name="Output 4 5 2" xfId="18497" xr:uid="{062EFF0D-6D19-4FA6-9B78-FA21061049B9}"/>
    <cellStyle name="Output 4 5 2 10" xfId="18498" xr:uid="{78A526CE-C58B-400A-A0BF-FBED6AF186CB}"/>
    <cellStyle name="Output 4 5 2 10 2" xfId="36686" xr:uid="{720BF8BF-508C-4E42-B7CB-E75D66D0BFA8}"/>
    <cellStyle name="Output 4 5 2 2" xfId="18499" xr:uid="{63EC941A-301B-4BAF-8195-515E93C61567}"/>
    <cellStyle name="Output 4 5 2 2 2" xfId="18500" xr:uid="{21B3FFA2-A2EC-46BC-98DE-1BA520E16EA8}"/>
    <cellStyle name="Output 4 5 2 2 2 2" xfId="36687" xr:uid="{08303DE4-10F6-46A9-83C5-3352F4DDD91B}"/>
    <cellStyle name="Output 4 5 2 2 3" xfId="18501" xr:uid="{4B17CB21-1FF7-4F59-814D-0DB088C87BEC}"/>
    <cellStyle name="Output 4 5 2 2 4" xfId="18502" xr:uid="{3DD8B728-7F7B-48B0-979E-7AC3E4524AB2}"/>
    <cellStyle name="Output 4 5 2 3" xfId="18503" xr:uid="{63283BFC-740A-4CAD-BFFF-AD7864CE3ECB}"/>
    <cellStyle name="Output 4 5 2 3 2" xfId="18504" xr:uid="{271B8F42-3981-44D9-AE2A-2D600055CEF1}"/>
    <cellStyle name="Output 4 5 2 3 3" xfId="36688" xr:uid="{0D9DC2E5-6773-4877-901D-22FF3B0499AA}"/>
    <cellStyle name="Output 4 5 2 4" xfId="18505" xr:uid="{1602820B-721F-4748-A9B3-52C9C10CBE65}"/>
    <cellStyle name="Output 4 5 2 4 2" xfId="18506" xr:uid="{65919DE7-BFD8-44E8-824D-839F45FC6CE9}"/>
    <cellStyle name="Output 4 5 2 4 3" xfId="36689" xr:uid="{222D1EAD-EBB8-4035-8CFC-5D0E87451293}"/>
    <cellStyle name="Output 4 5 2 5" xfId="18507" xr:uid="{9ECCC21E-D1C9-447A-8059-905185C6F18E}"/>
    <cellStyle name="Output 4 5 2 5 2" xfId="18508" xr:uid="{E0A31B01-B2A4-4B89-BBB1-3A8C02B3B0EF}"/>
    <cellStyle name="Output 4 5 2 5 3" xfId="36690" xr:uid="{B7A7A665-172D-4911-8585-B559EDCA23C4}"/>
    <cellStyle name="Output 4 5 2 6" xfId="18509" xr:uid="{34D4841F-13DA-4E8F-8B5A-BC7C4DEC7555}"/>
    <cellStyle name="Output 4 5 2 6 2" xfId="18510" xr:uid="{4166016E-B3F4-4200-94DB-A4DBEDDDDFD2}"/>
    <cellStyle name="Output 4 5 2 6 3" xfId="36691" xr:uid="{BBD0A900-5914-4427-89A9-B8E37BF4DB8E}"/>
    <cellStyle name="Output 4 5 2 7" xfId="18511" xr:uid="{D37797B4-DCDF-435C-959B-FA519C1227F6}"/>
    <cellStyle name="Output 4 5 2 7 2" xfId="18512" xr:uid="{6BEDBF6E-F804-4CAB-BEA1-9A2A5D1EB3B2}"/>
    <cellStyle name="Output 4 5 2 7 3" xfId="36692" xr:uid="{D186DB0D-1DE6-4752-A66D-64C8DE0AE6B2}"/>
    <cellStyle name="Output 4 5 2 8" xfId="18513" xr:uid="{7F64745E-52F4-4A1B-8DD2-49D92A600BBC}"/>
    <cellStyle name="Output 4 5 2 8 2" xfId="18514" xr:uid="{05C1AA61-22CA-4D5F-9219-4FE8B3157D14}"/>
    <cellStyle name="Output 4 5 2 8 3" xfId="36693" xr:uid="{7AB59486-2AE8-4742-9932-1E2FD894DE0D}"/>
    <cellStyle name="Output 4 5 2 9" xfId="18515" xr:uid="{245A5760-89D4-455A-96EB-FC866DD15D7D}"/>
    <cellStyle name="Output 4 5 2 9 2" xfId="36694" xr:uid="{B867032A-71E8-4F0A-91C0-B3C39E51F9A3}"/>
    <cellStyle name="Output 4 5 2 9 3" xfId="36695" xr:uid="{6AE4C3A3-AB21-4109-806F-A705A301BFBA}"/>
    <cellStyle name="Output 4 5 3" xfId="18516" xr:uid="{261F55F7-089D-42A0-937B-8B773D55DF58}"/>
    <cellStyle name="Output 4 5 3 2" xfId="18517" xr:uid="{CDDBF882-71FE-4234-A4C5-81AC04DF4B8C}"/>
    <cellStyle name="Output 4 5 3 2 2" xfId="36696" xr:uid="{60073883-D252-4C9B-8599-ABFD7A00C309}"/>
    <cellStyle name="Output 4 5 3 2 3" xfId="36697" xr:uid="{44E616A8-3140-4F12-BF33-C5211CF3756E}"/>
    <cellStyle name="Output 4 5 3 3" xfId="18518" xr:uid="{1EF817FF-554E-450D-A685-B8C54D49E803}"/>
    <cellStyle name="Output 4 5 3 3 2" xfId="18519" xr:uid="{B9ABCC98-9826-467C-AA63-75407F78247B}"/>
    <cellStyle name="Output 4 5 3 4" xfId="18520" xr:uid="{FDB0D321-7312-4584-8380-2A74FB3EF051}"/>
    <cellStyle name="Output 4 5 3 5" xfId="36698" xr:uid="{7615E5A2-E764-46FB-B2E4-7DA9539A26E9}"/>
    <cellStyle name="Output 4 5 4" xfId="18521" xr:uid="{9668A36A-28BC-47F1-A2AD-F5CC09D9AA8F}"/>
    <cellStyle name="Output 4 5 4 2" xfId="18522" xr:uid="{A6DF8DB7-1DD0-4D5B-9453-FE489C913C53}"/>
    <cellStyle name="Output 4 5 4 3" xfId="36699" xr:uid="{EAFC4F23-7FCF-4548-8DBD-7BEA71BE0D0E}"/>
    <cellStyle name="Output 4 5 5" xfId="18523" xr:uid="{D8DF7F1E-20DE-48AE-B659-147AA92B09B7}"/>
    <cellStyle name="Output 4 5 5 2" xfId="18524" xr:uid="{DC774D2D-088C-4FF7-A27F-2C8CC3053CE7}"/>
    <cellStyle name="Output 4 5 5 3" xfId="36700" xr:uid="{71F8E82F-D7B5-4C2D-B083-20A9D0335686}"/>
    <cellStyle name="Output 4 5 6" xfId="18525" xr:uid="{54DD78F4-B0B1-43F4-848E-5A4CF3E05AC5}"/>
    <cellStyle name="Output 4 5 6 2" xfId="18526" xr:uid="{7871359C-9B7C-4849-ADDE-E60BE51011CA}"/>
    <cellStyle name="Output 4 5 6 3" xfId="36701" xr:uid="{4699CD93-9426-4524-9399-45068A4EE181}"/>
    <cellStyle name="Output 4 5 7" xfId="18527" xr:uid="{66193FA1-6B00-4152-8454-1E4C5AFDB334}"/>
    <cellStyle name="Output 4 5 7 2" xfId="18528" xr:uid="{98882922-C0DC-4CB5-8C3E-6038404E4446}"/>
    <cellStyle name="Output 4 5 7 3" xfId="36702" xr:uid="{9844D6D4-2641-4668-8A48-B3996C715D61}"/>
    <cellStyle name="Output 4 5 8" xfId="18529" xr:uid="{8D443A1B-9FCA-4EB1-8378-1C2DB3DB2303}"/>
    <cellStyle name="Output 4 5 8 2" xfId="18530" xr:uid="{422B94A0-404F-48B6-AAAE-D11C53F58EFF}"/>
    <cellStyle name="Output 4 5 8 3" xfId="36703" xr:uid="{20466C2D-AFF5-4B8E-B6DB-8F18285D4947}"/>
    <cellStyle name="Output 4 5 9" xfId="18531" xr:uid="{6BAEBBBA-0EE6-4E48-81F0-E0C19AC1FF1D}"/>
    <cellStyle name="Output 4 5 9 2" xfId="18532" xr:uid="{2F029D66-DA0F-4C21-9EBC-6F88E1B94FBB}"/>
    <cellStyle name="Output 4 5 9 3" xfId="36704" xr:uid="{1CBE2F87-BD86-42E3-A572-FCFA24F72F25}"/>
    <cellStyle name="Output 4 6" xfId="18533" xr:uid="{1668CCE6-200D-4ECB-B9CE-70D06C49CF4C}"/>
    <cellStyle name="Output 4 6 10" xfId="18534" xr:uid="{7366C5E4-874E-44A6-9260-30C52B30CCC4}"/>
    <cellStyle name="Output 4 6 10 2" xfId="36705" xr:uid="{EC2D0A87-DF85-43BB-956D-872E941B707F}"/>
    <cellStyle name="Output 4 6 10 3" xfId="36706" xr:uid="{B21F8878-A219-4780-890E-DF2E927DE408}"/>
    <cellStyle name="Output 4 6 11" xfId="18535" xr:uid="{5234B5E8-2D21-448D-9E1B-11722FCC7245}"/>
    <cellStyle name="Output 4 6 11 2" xfId="36707" xr:uid="{2944B9DD-907D-4C1E-B767-1DAD6F2E79D1}"/>
    <cellStyle name="Output 4 6 12" xfId="36708" xr:uid="{9875F76A-9606-4BE6-9699-DBB4C8FF768F}"/>
    <cellStyle name="Output 4 6 2" xfId="18536" xr:uid="{99C03EFF-4888-453A-B4CC-E57912BA15C5}"/>
    <cellStyle name="Output 4 6 2 10" xfId="18537" xr:uid="{A8821893-EE05-4CB1-9D42-D3726E61624C}"/>
    <cellStyle name="Output 4 6 2 10 2" xfId="36709" xr:uid="{08A96D87-3D62-4D13-A687-FB1EEDCA8D1D}"/>
    <cellStyle name="Output 4 6 2 2" xfId="18538" xr:uid="{FCAB5E94-7DC0-4F37-AF61-7DF5BA3EF864}"/>
    <cellStyle name="Output 4 6 2 2 2" xfId="18539" xr:uid="{12168BC0-3481-45F1-B555-129028C511C6}"/>
    <cellStyle name="Output 4 6 2 2 2 2" xfId="36710" xr:uid="{7F8F0153-68A2-4875-98BB-B021BE884F70}"/>
    <cellStyle name="Output 4 6 2 2 3" xfId="18540" xr:uid="{A35C9B16-EB38-4B90-BE92-074C2A1EC1BC}"/>
    <cellStyle name="Output 4 6 2 2 4" xfId="18541" xr:uid="{268E50AE-FDD2-44AA-ADCC-779388FAF0E4}"/>
    <cellStyle name="Output 4 6 2 3" xfId="18542" xr:uid="{DFE43A08-4A6D-412C-B1C5-A4F446655798}"/>
    <cellStyle name="Output 4 6 2 3 2" xfId="18543" xr:uid="{3FFA4FD9-B586-4F5F-84AF-7DE4399D4D3D}"/>
    <cellStyle name="Output 4 6 2 3 3" xfId="36711" xr:uid="{4816F0A4-6583-4C64-9E68-0C7DABAA6982}"/>
    <cellStyle name="Output 4 6 2 4" xfId="18544" xr:uid="{3FF63DAD-BCEE-4546-8673-669364CB361E}"/>
    <cellStyle name="Output 4 6 2 4 2" xfId="18545" xr:uid="{FD361D91-8292-441C-BA32-040588A1C229}"/>
    <cellStyle name="Output 4 6 2 4 3" xfId="36712" xr:uid="{3B06A29E-04D6-4415-BE2B-9EEECE58CB8B}"/>
    <cellStyle name="Output 4 6 2 5" xfId="18546" xr:uid="{9ACA0BFE-F051-44AF-BBD8-74B04E82F40A}"/>
    <cellStyle name="Output 4 6 2 5 2" xfId="18547" xr:uid="{3C8E8FA2-A8FB-4590-B78D-1D5A2AB2E711}"/>
    <cellStyle name="Output 4 6 2 5 3" xfId="36713" xr:uid="{8B649D72-D0A6-43CC-BEDA-D310735602BB}"/>
    <cellStyle name="Output 4 6 2 6" xfId="18548" xr:uid="{EAF94891-18A2-463E-900E-4E923F507ECC}"/>
    <cellStyle name="Output 4 6 2 6 2" xfId="18549" xr:uid="{8F3DD3C7-853D-412A-BA7D-52CB6A40E063}"/>
    <cellStyle name="Output 4 6 2 6 3" xfId="36714" xr:uid="{9C673F6D-B789-408F-B4A5-6BEEF5F66B21}"/>
    <cellStyle name="Output 4 6 2 7" xfId="18550" xr:uid="{6A7E06DE-3C4A-4C93-952E-25037186B38B}"/>
    <cellStyle name="Output 4 6 2 7 2" xfId="18551" xr:uid="{FF4DE8BF-79DA-413D-AF25-15B96E9700BE}"/>
    <cellStyle name="Output 4 6 2 7 3" xfId="36715" xr:uid="{068B1404-27E4-47C5-83A4-ECF133151967}"/>
    <cellStyle name="Output 4 6 2 8" xfId="18552" xr:uid="{6BA55B33-D3E1-4BEB-84B1-D772FC3AC294}"/>
    <cellStyle name="Output 4 6 2 8 2" xfId="18553" xr:uid="{0651D44E-42E9-41D0-BA3C-CAEDBADD7206}"/>
    <cellStyle name="Output 4 6 2 8 3" xfId="36716" xr:uid="{00078871-A53D-4675-80E9-B12BAAA8270E}"/>
    <cellStyle name="Output 4 6 2 9" xfId="18554" xr:uid="{4DE8EF20-F535-4418-9FF3-C73ED620D395}"/>
    <cellStyle name="Output 4 6 2 9 2" xfId="36717" xr:uid="{1D422E07-C1C1-4343-A5C4-90A245FF04D9}"/>
    <cellStyle name="Output 4 6 2 9 3" xfId="36718" xr:uid="{DE33D5FD-502A-42E7-9F95-2FF8874F8754}"/>
    <cellStyle name="Output 4 6 3" xfId="18555" xr:uid="{EEA55BA4-DA45-49BF-B042-A3F57517CC1B}"/>
    <cellStyle name="Output 4 6 3 2" xfId="18556" xr:uid="{010F51C9-7FD0-4010-ACF1-A8C451958703}"/>
    <cellStyle name="Output 4 6 3 2 2" xfId="36719" xr:uid="{969B5BD7-2085-4EFC-BF3E-54D48175BBF5}"/>
    <cellStyle name="Output 4 6 3 2 3" xfId="36720" xr:uid="{9FC0F959-9402-431F-A06E-4A6B47CF5806}"/>
    <cellStyle name="Output 4 6 3 3" xfId="18557" xr:uid="{49A2F0D3-0F77-4D87-B686-CF4E515DFCEC}"/>
    <cellStyle name="Output 4 6 3 3 2" xfId="18558" xr:uid="{E05CC406-0AE8-4BB5-9101-00D34159F66F}"/>
    <cellStyle name="Output 4 6 3 4" xfId="18559" xr:uid="{269460CB-9EAA-4122-9B4E-C970E101452C}"/>
    <cellStyle name="Output 4 6 3 5" xfId="36721" xr:uid="{7B69E2F0-F425-4C76-88E0-95BFA85DA0B2}"/>
    <cellStyle name="Output 4 6 4" xfId="18560" xr:uid="{794DAE1B-E87B-4C59-9565-6A3FFD58FE0C}"/>
    <cellStyle name="Output 4 6 4 2" xfId="18561" xr:uid="{4C56B6AE-11C6-4912-BCA7-ADE27900FD14}"/>
    <cellStyle name="Output 4 6 4 3" xfId="36722" xr:uid="{4036B022-89BA-413B-9FF3-B91BC56EEA86}"/>
    <cellStyle name="Output 4 6 5" xfId="18562" xr:uid="{211704A2-BE6C-4062-896E-1C0951E05A16}"/>
    <cellStyle name="Output 4 6 5 2" xfId="18563" xr:uid="{59BC2F97-56BB-4A39-9451-8361C0DB3841}"/>
    <cellStyle name="Output 4 6 5 3" xfId="36723" xr:uid="{911D258C-2A6F-4322-A5B6-AEC584EAB862}"/>
    <cellStyle name="Output 4 6 6" xfId="18564" xr:uid="{0C258E6C-7092-4F11-A171-3FF54DF17199}"/>
    <cellStyle name="Output 4 6 6 2" xfId="18565" xr:uid="{023CC1D4-A4E0-4B09-9316-56A477C159AA}"/>
    <cellStyle name="Output 4 6 6 3" xfId="36724" xr:uid="{52A9DC79-B2FB-4E8E-8A7E-87FA719CC13E}"/>
    <cellStyle name="Output 4 6 7" xfId="18566" xr:uid="{3ACB9955-B9F1-43E8-8BE8-645514452C8F}"/>
    <cellStyle name="Output 4 6 7 2" xfId="18567" xr:uid="{989B7BD7-F0C7-46A4-BAF7-4279C4747ACF}"/>
    <cellStyle name="Output 4 6 7 3" xfId="36725" xr:uid="{7A78A740-FFD9-4481-9CB1-EDE34B0640D6}"/>
    <cellStyle name="Output 4 6 8" xfId="18568" xr:uid="{9761BBBF-FD68-401C-9850-828AF218A7B9}"/>
    <cellStyle name="Output 4 6 8 2" xfId="18569" xr:uid="{13BA2074-E720-42EB-8B86-D134FE5F12C2}"/>
    <cellStyle name="Output 4 6 8 3" xfId="36726" xr:uid="{0BA8E538-6438-44E3-825D-C260024C068B}"/>
    <cellStyle name="Output 4 6 9" xfId="18570" xr:uid="{A7D89D15-AC3F-45AE-B1A5-1957519F3B54}"/>
    <cellStyle name="Output 4 6 9 2" xfId="18571" xr:uid="{51E2B388-D62D-4452-8348-A32183D1E2CD}"/>
    <cellStyle name="Output 4 6 9 3" xfId="36727" xr:uid="{5799A609-457A-4D63-94C2-9AAED68131F4}"/>
    <cellStyle name="Output 4 7" xfId="18572" xr:uid="{D352D6D5-0C49-467A-A2CB-191930BA8C13}"/>
    <cellStyle name="Output 4 7 10" xfId="18573" xr:uid="{82675D0E-5C2C-4241-B8CA-C79309561603}"/>
    <cellStyle name="Output 4 7 10 2" xfId="36728" xr:uid="{722EB324-BB8E-4711-B1FA-834532DB4F5C}"/>
    <cellStyle name="Output 4 7 10 3" xfId="36729" xr:uid="{62CDE70F-8D57-4102-A8A1-E51E87F70D53}"/>
    <cellStyle name="Output 4 7 11" xfId="18574" xr:uid="{CF32DA07-8070-4D75-94C4-7DF07CF03DF3}"/>
    <cellStyle name="Output 4 7 11 2" xfId="36730" xr:uid="{8919FD7E-75D0-4E5F-A050-0B89D98D2B24}"/>
    <cellStyle name="Output 4 7 12" xfId="36731" xr:uid="{CA3A5C26-9358-4136-82E9-B4377AB09DE6}"/>
    <cellStyle name="Output 4 7 2" xfId="18575" xr:uid="{23DE0DC1-DB20-4727-A484-F595224243B5}"/>
    <cellStyle name="Output 4 7 2 10" xfId="18576" xr:uid="{4735923D-24F1-4DDF-8BF4-C9C806D49E53}"/>
    <cellStyle name="Output 4 7 2 10 2" xfId="36732" xr:uid="{B553884A-4F80-4FB7-BEF1-C3B14973FDEE}"/>
    <cellStyle name="Output 4 7 2 2" xfId="18577" xr:uid="{2956BD8B-493C-46DA-8893-8E83DB5199A2}"/>
    <cellStyle name="Output 4 7 2 2 2" xfId="18578" xr:uid="{ED40442F-DB16-471F-9B77-0C1E42845E8A}"/>
    <cellStyle name="Output 4 7 2 2 2 2" xfId="36733" xr:uid="{2AA756A9-DFA1-41DF-A9CB-DC48BEF935E8}"/>
    <cellStyle name="Output 4 7 2 2 3" xfId="18579" xr:uid="{926EEF8A-90B0-45DC-81B3-78931F549944}"/>
    <cellStyle name="Output 4 7 2 2 4" xfId="18580" xr:uid="{17B02E4D-6649-4813-A7AB-FAE6FAF7E58E}"/>
    <cellStyle name="Output 4 7 2 3" xfId="18581" xr:uid="{AFC8C100-3243-47EA-A2EB-2BA304E5306F}"/>
    <cellStyle name="Output 4 7 2 3 2" xfId="18582" xr:uid="{F53CAB88-4DED-44BE-BF93-5FB81175CA2F}"/>
    <cellStyle name="Output 4 7 2 3 3" xfId="36734" xr:uid="{51589BF6-CE9A-482F-874D-21ED9AC529F1}"/>
    <cellStyle name="Output 4 7 2 4" xfId="18583" xr:uid="{EEB84788-30F3-4BD7-B37B-5AC15FA73F13}"/>
    <cellStyle name="Output 4 7 2 4 2" xfId="18584" xr:uid="{7C48ADD3-62EB-46D2-8E19-16DBD516C783}"/>
    <cellStyle name="Output 4 7 2 4 3" xfId="36735" xr:uid="{8F52E6E3-5E7D-4CEF-81B2-57C7D30B274C}"/>
    <cellStyle name="Output 4 7 2 5" xfId="18585" xr:uid="{A382B8CA-3EB3-4744-899B-609D2FB313D6}"/>
    <cellStyle name="Output 4 7 2 5 2" xfId="18586" xr:uid="{01BEF611-C2F0-48EF-9940-FC76A8C0FE60}"/>
    <cellStyle name="Output 4 7 2 5 3" xfId="36736" xr:uid="{AEC341E7-C9BF-4023-B792-B3355B5FAC50}"/>
    <cellStyle name="Output 4 7 2 6" xfId="18587" xr:uid="{2471CD17-7D9C-4CFB-B6CC-604C2995234C}"/>
    <cellStyle name="Output 4 7 2 6 2" xfId="18588" xr:uid="{9165B4EB-17FA-4513-835B-D5453E4058FA}"/>
    <cellStyle name="Output 4 7 2 6 3" xfId="36737" xr:uid="{54AA0CA9-90CF-4509-8213-BFCB7F7BD271}"/>
    <cellStyle name="Output 4 7 2 7" xfId="18589" xr:uid="{1CA47948-B349-43F9-9C11-01801DFE049D}"/>
    <cellStyle name="Output 4 7 2 7 2" xfId="18590" xr:uid="{CF15ECBF-9CF2-42B8-AE66-7AAB0C70B63D}"/>
    <cellStyle name="Output 4 7 2 7 3" xfId="36738" xr:uid="{7148A9A6-1F11-4CD6-A5C8-8FC7E1EC27FE}"/>
    <cellStyle name="Output 4 7 2 8" xfId="18591" xr:uid="{224E67BC-C1E2-4EB6-8394-8881132B9F71}"/>
    <cellStyle name="Output 4 7 2 8 2" xfId="18592" xr:uid="{165A53C7-7DC6-4FF2-9C4D-9E2FC70A753C}"/>
    <cellStyle name="Output 4 7 2 8 3" xfId="36739" xr:uid="{D13EE8F3-813A-49A0-AAC3-3612CEC58F1A}"/>
    <cellStyle name="Output 4 7 2 9" xfId="18593" xr:uid="{7292CEF2-A696-4123-9872-DBE62E82716F}"/>
    <cellStyle name="Output 4 7 2 9 2" xfId="36740" xr:uid="{EED0F640-4CC8-4C75-888D-8499A04A7A2E}"/>
    <cellStyle name="Output 4 7 2 9 3" xfId="36741" xr:uid="{D392AE63-96A3-407E-B024-4D5311A6C03E}"/>
    <cellStyle name="Output 4 7 3" xfId="18594" xr:uid="{699781B2-1E2B-4382-94B9-637E8DA2B0F5}"/>
    <cellStyle name="Output 4 7 3 2" xfId="18595" xr:uid="{A8093399-9533-457F-BCF9-810018681F8A}"/>
    <cellStyle name="Output 4 7 3 2 2" xfId="36742" xr:uid="{2D8484E7-F58A-44F0-86E8-11D9DEAA690C}"/>
    <cellStyle name="Output 4 7 3 2 3" xfId="36743" xr:uid="{73D086B1-211B-422D-BE63-69377E7E88A5}"/>
    <cellStyle name="Output 4 7 3 3" xfId="18596" xr:uid="{E4C0D9BD-E68B-4FD9-9622-9520EB2CC62E}"/>
    <cellStyle name="Output 4 7 3 3 2" xfId="18597" xr:uid="{AFC6B309-0CFD-471A-B93D-8B4C9DEAB1BF}"/>
    <cellStyle name="Output 4 7 3 4" xfId="18598" xr:uid="{19759677-D971-4EE5-BDC6-C0A908AAE4C3}"/>
    <cellStyle name="Output 4 7 3 5" xfId="36744" xr:uid="{247B0E72-7B75-40D1-915D-1B1727A951E1}"/>
    <cellStyle name="Output 4 7 4" xfId="18599" xr:uid="{D92FFF73-D6DC-4B99-9100-FBBB28FC521E}"/>
    <cellStyle name="Output 4 7 4 2" xfId="18600" xr:uid="{83504FC9-99C3-4BAE-8DE4-6798D2356AFC}"/>
    <cellStyle name="Output 4 7 4 3" xfId="36745" xr:uid="{617CD9D2-E103-45E7-9EE5-5D940F014226}"/>
    <cellStyle name="Output 4 7 5" xfId="18601" xr:uid="{B5506066-FE02-4CB3-96D1-4E4EA22DC018}"/>
    <cellStyle name="Output 4 7 5 2" xfId="18602" xr:uid="{A465C9B4-CDA2-4150-8AEA-D761A098CC38}"/>
    <cellStyle name="Output 4 7 5 3" xfId="36746" xr:uid="{638D683A-081F-405E-9DDF-802E3121D4B6}"/>
    <cellStyle name="Output 4 7 6" xfId="18603" xr:uid="{F01A4380-6334-401B-B9B2-190FE592E895}"/>
    <cellStyle name="Output 4 7 6 2" xfId="18604" xr:uid="{154166DB-D787-4D15-86FF-E2301B0EF0F5}"/>
    <cellStyle name="Output 4 7 6 3" xfId="36747" xr:uid="{276FCD46-3AB8-43DA-95AD-4A309F4BBCF0}"/>
    <cellStyle name="Output 4 7 7" xfId="18605" xr:uid="{B2B1C5A1-8D02-4AE3-89C9-9A187B6EC44C}"/>
    <cellStyle name="Output 4 7 7 2" xfId="18606" xr:uid="{412FA05C-136A-4BFE-A364-1B5FB889EA6B}"/>
    <cellStyle name="Output 4 7 7 3" xfId="36748" xr:uid="{EE31BF97-B911-453A-939F-659E6F140363}"/>
    <cellStyle name="Output 4 7 8" xfId="18607" xr:uid="{C2D5BA4B-AAE7-4AFF-9498-63A11C2F2585}"/>
    <cellStyle name="Output 4 7 8 2" xfId="18608" xr:uid="{7820A304-F535-4C6C-8C8A-546D38069879}"/>
    <cellStyle name="Output 4 7 8 3" xfId="36749" xr:uid="{D770AA21-1F8D-4EAF-B00D-B95BE7743E58}"/>
    <cellStyle name="Output 4 7 9" xfId="18609" xr:uid="{7956DB03-F783-4241-89F3-6D0E77E7D1AC}"/>
    <cellStyle name="Output 4 7 9 2" xfId="18610" xr:uid="{D2CAC06E-17A6-4F28-9196-204E2EFCAC49}"/>
    <cellStyle name="Output 4 7 9 3" xfId="36750" xr:uid="{00BDCFCF-3623-442D-A8AB-378270B44F57}"/>
    <cellStyle name="Output 4 8" xfId="18611" xr:uid="{C28BA160-9632-4B7B-BA84-C6737FD5977F}"/>
    <cellStyle name="Output 4 8 10" xfId="18612" xr:uid="{B15E3971-627B-46AF-ACC6-0F877D9141AD}"/>
    <cellStyle name="Output 4 8 10 2" xfId="36751" xr:uid="{81E58C36-4831-4142-A695-179374EB6EC8}"/>
    <cellStyle name="Output 4 8 10 3" xfId="36752" xr:uid="{E33F4E4B-B6D6-457B-B8A2-5D557800036A}"/>
    <cellStyle name="Output 4 8 11" xfId="18613" xr:uid="{0C9C20B4-2002-46D9-B0C1-EEAD390F418E}"/>
    <cellStyle name="Output 4 8 11 2" xfId="36753" xr:uid="{FA7571EE-6831-42A7-9A5B-B828F806BB62}"/>
    <cellStyle name="Output 4 8 12" xfId="36754" xr:uid="{24712588-95CC-4E07-BCD8-A254A8C7E823}"/>
    <cellStyle name="Output 4 8 2" xfId="18614" xr:uid="{DFA15627-F89C-4A3D-B3A2-F1372B8A45E4}"/>
    <cellStyle name="Output 4 8 2 10" xfId="18615" xr:uid="{D0ECEB03-F7DD-4EBB-8450-31F0C5F6AF91}"/>
    <cellStyle name="Output 4 8 2 10 2" xfId="36755" xr:uid="{0F6A47EB-C2D1-49F9-B4FD-7A2813C5C32E}"/>
    <cellStyle name="Output 4 8 2 11" xfId="36756" xr:uid="{5E815130-7166-4A25-BB76-933B3D7BA46E}"/>
    <cellStyle name="Output 4 8 2 2" xfId="18616" xr:uid="{F59C1B8A-F286-45BC-9BCB-2AD70F8FC70D}"/>
    <cellStyle name="Output 4 8 2 2 2" xfId="18617" xr:uid="{ED0B0789-47B8-4380-984B-9268EC9E94FE}"/>
    <cellStyle name="Output 4 8 2 2 2 2" xfId="36757" xr:uid="{6E3F8412-CFD8-4693-8F5B-97DD87D4EF08}"/>
    <cellStyle name="Output 4 8 2 2 2 3" xfId="36758" xr:uid="{BA369488-83A9-4895-BD3A-98C62918F1C0}"/>
    <cellStyle name="Output 4 8 2 2 3" xfId="18618" xr:uid="{B589F794-89B2-4112-AE6B-BF375152F30A}"/>
    <cellStyle name="Output 4 8 2 2 3 2" xfId="18619" xr:uid="{C89E95CF-FCBC-433B-B239-FC2CBF2A23BE}"/>
    <cellStyle name="Output 4 8 2 2 4" xfId="18620" xr:uid="{57131F72-A081-46D6-908C-BBA024DDF6E0}"/>
    <cellStyle name="Output 4 8 2 2 5" xfId="36759" xr:uid="{8677292C-7FD5-4B80-99CF-6ADA5ADD4EF5}"/>
    <cellStyle name="Output 4 8 2 3" xfId="18621" xr:uid="{F88A5236-3F6E-41FF-907B-29F8E84986F6}"/>
    <cellStyle name="Output 4 8 2 3 2" xfId="18622" xr:uid="{5ED09CA7-9895-46EE-A904-C4F0ACEF005E}"/>
    <cellStyle name="Output 4 8 2 3 3" xfId="36760" xr:uid="{373E243C-7C93-4F93-A8E4-A492E06060A2}"/>
    <cellStyle name="Output 4 8 2 4" xfId="18623" xr:uid="{5E535031-2B99-4844-8B7C-BC05D70CDD93}"/>
    <cellStyle name="Output 4 8 2 4 2" xfId="18624" xr:uid="{1446773B-30BA-4167-AAA1-BF56B2E5E2A0}"/>
    <cellStyle name="Output 4 8 2 4 3" xfId="36761" xr:uid="{E389CFDA-AE4B-44D7-8D02-7C811ED9D586}"/>
    <cellStyle name="Output 4 8 2 5" xfId="18625" xr:uid="{F7D816CE-3F4C-4BA4-B020-30045526BA91}"/>
    <cellStyle name="Output 4 8 2 5 2" xfId="18626" xr:uid="{C798D482-6D61-4C3F-9175-DA95DB79769C}"/>
    <cellStyle name="Output 4 8 2 5 3" xfId="36762" xr:uid="{538EF5C7-CCE8-4015-AF99-A00752E3882C}"/>
    <cellStyle name="Output 4 8 2 6" xfId="18627" xr:uid="{E2B15E7D-0F9E-43AD-AB34-89A04849296F}"/>
    <cellStyle name="Output 4 8 2 6 2" xfId="18628" xr:uid="{763D5E7C-5B54-4D94-909F-E7FE8689773D}"/>
    <cellStyle name="Output 4 8 2 6 3" xfId="36763" xr:uid="{41D311F4-7E2D-4840-81E2-F452237EEB63}"/>
    <cellStyle name="Output 4 8 2 7" xfId="18629" xr:uid="{9199F81A-82B5-4A21-B0A2-ABBA9EA79C18}"/>
    <cellStyle name="Output 4 8 2 7 2" xfId="18630" xr:uid="{3836CE8B-4F89-472C-B98E-52BF07139850}"/>
    <cellStyle name="Output 4 8 2 7 3" xfId="36764" xr:uid="{9DD9B2DA-35C6-4130-8612-FA4C8CF1D1C3}"/>
    <cellStyle name="Output 4 8 2 8" xfId="18631" xr:uid="{F590BB14-FBB3-4983-B844-A3C69A20288C}"/>
    <cellStyle name="Output 4 8 2 8 2" xfId="18632" xr:uid="{99ED23A8-A434-41F9-B56D-0A41F3597FB0}"/>
    <cellStyle name="Output 4 8 2 8 3" xfId="36765" xr:uid="{A19AE469-A37A-48CE-A3EE-F89A85F07794}"/>
    <cellStyle name="Output 4 8 2 9" xfId="18633" xr:uid="{DE099F3B-8049-4E0E-A105-6D3F7FAB6E5A}"/>
    <cellStyle name="Output 4 8 2 9 2" xfId="36766" xr:uid="{1914BC7C-0573-4E7C-A805-4C7F8D8E4971}"/>
    <cellStyle name="Output 4 8 2 9 3" xfId="36767" xr:uid="{3F13B5E5-3247-4271-AE7D-73B72FA556EA}"/>
    <cellStyle name="Output 4 8 3" xfId="18634" xr:uid="{1C830624-32CD-4E0C-AC5C-6F2D575CF20B}"/>
    <cellStyle name="Output 4 8 3 2" xfId="18635" xr:uid="{85746029-5B02-4A41-8CFE-B8DD73328C50}"/>
    <cellStyle name="Output 4 8 3 2 2" xfId="36768" xr:uid="{792365C5-B3BA-4C56-B4C0-2D4C7C00F9E3}"/>
    <cellStyle name="Output 4 8 3 2 3" xfId="36769" xr:uid="{9DE89ACE-0A30-47CA-BC74-8B690C598DC0}"/>
    <cellStyle name="Output 4 8 3 2 4" xfId="36770" xr:uid="{82201FCB-F9B5-4D34-8710-D23D9C6E6F1C}"/>
    <cellStyle name="Output 4 8 3 3" xfId="18636" xr:uid="{534F190C-9F84-451F-8C13-05AC4D89AD43}"/>
    <cellStyle name="Output 4 8 3 3 2" xfId="18637" xr:uid="{A2591B8E-2A5D-4175-9576-3326A21B997E}"/>
    <cellStyle name="Output 4 8 3 4" xfId="18638" xr:uid="{E55BBD16-06E9-48C7-AB91-A82BEBAD7808}"/>
    <cellStyle name="Output 4 8 3 5" xfId="36771" xr:uid="{01FB2962-42D1-43EE-B011-0FD0343D1B41}"/>
    <cellStyle name="Output 4 8 4" xfId="18639" xr:uid="{39634859-51D3-43DB-B992-DE2BF9556F27}"/>
    <cellStyle name="Output 4 8 4 2" xfId="18640" xr:uid="{7B0AE6D8-4E2E-4EB5-8BB5-E29924CCC41D}"/>
    <cellStyle name="Output 4 8 4 2 2" xfId="36772" xr:uid="{A73B1269-BDED-4119-8077-F4F9F6A94A05}"/>
    <cellStyle name="Output 4 8 4 2 3" xfId="36773" xr:uid="{49941CEE-3778-47C5-9935-4A1D5F247166}"/>
    <cellStyle name="Output 4 8 4 3" xfId="18641" xr:uid="{8B227716-8830-46E3-B1CE-2E1B62936FCE}"/>
    <cellStyle name="Output 4 8 4 4" xfId="36774" xr:uid="{49516011-0083-423E-8FCB-0AC67D006251}"/>
    <cellStyle name="Output 4 8 4 5" xfId="36775" xr:uid="{D9ABBAF9-4123-440F-855F-24C90575DA38}"/>
    <cellStyle name="Output 4 8 5" xfId="18642" xr:uid="{18D7FBD1-FB30-402D-923A-CFC875AAE4A3}"/>
    <cellStyle name="Output 4 8 5 2" xfId="18643" xr:uid="{5697DB6B-3859-4F5E-B8BE-0BCFA6E9A198}"/>
    <cellStyle name="Output 4 8 5 2 2" xfId="36776" xr:uid="{AE98E366-0C16-485E-AC6E-E9CDEBC92B7A}"/>
    <cellStyle name="Output 4 8 5 2 3" xfId="36777" xr:uid="{9F785D03-7609-40EA-AD89-AF8D506381E9}"/>
    <cellStyle name="Output 4 8 5 3" xfId="36778" xr:uid="{DAF4450C-599B-4538-A29D-D63C4A5D2772}"/>
    <cellStyle name="Output 4 8 5 4" xfId="36779" xr:uid="{3C02D03F-3D2B-4EC0-9571-F76CD5EFB5CB}"/>
    <cellStyle name="Output 4 8 6" xfId="18644" xr:uid="{18F960BE-4D71-47FF-A7E2-D6516A002AFC}"/>
    <cellStyle name="Output 4 8 6 2" xfId="18645" xr:uid="{FD97310C-51DC-46E9-8846-0942861E202A}"/>
    <cellStyle name="Output 4 8 6 3" xfId="36780" xr:uid="{D559A352-55A4-49EB-B628-C1B9DA29FB6D}"/>
    <cellStyle name="Output 4 8 7" xfId="18646" xr:uid="{56AECC6F-A645-4BDD-A688-C9536622F994}"/>
    <cellStyle name="Output 4 8 7 2" xfId="18647" xr:uid="{87E90D9A-A1F9-419D-A436-F1B57ABECA16}"/>
    <cellStyle name="Output 4 8 7 3" xfId="36781" xr:uid="{BAA4D73B-52CC-4D59-B2EC-D89FF1769FE5}"/>
    <cellStyle name="Output 4 8 8" xfId="18648" xr:uid="{2F21C020-EE8D-43F8-AD0D-11B1EF2A2E22}"/>
    <cellStyle name="Output 4 8 8 2" xfId="18649" xr:uid="{E2404741-5FE4-451C-A8FB-2C0BBDEC760F}"/>
    <cellStyle name="Output 4 8 8 3" xfId="36782" xr:uid="{4503DF55-6839-468C-BE51-0DAB5EEE7A1A}"/>
    <cellStyle name="Output 4 8 9" xfId="18650" xr:uid="{C39C3BA2-2CA2-4FFF-8EB6-83A0EEF60AC1}"/>
    <cellStyle name="Output 4 8 9 2" xfId="18651" xr:uid="{0E2BC04D-B8DF-4F48-A2E3-E350C61DF21E}"/>
    <cellStyle name="Output 4 8 9 3" xfId="36783" xr:uid="{9C91C0A8-9800-4A17-A75E-DDD9D55D4A11}"/>
    <cellStyle name="Output 4 9" xfId="18652" xr:uid="{E0251D06-8A2B-493D-BE18-989A21488679}"/>
    <cellStyle name="Output 4 9 10" xfId="18653" xr:uid="{C7FE84B2-32DB-416D-8957-D595896EAEF5}"/>
    <cellStyle name="Output 4 9 10 2" xfId="36784" xr:uid="{6F047111-BAFF-4728-9472-8D0FAE291276}"/>
    <cellStyle name="Output 4 9 10 3" xfId="36785" xr:uid="{83627F41-7F02-42C1-BF49-5A03F69BB0EA}"/>
    <cellStyle name="Output 4 9 11" xfId="18654" xr:uid="{CC378984-7F7C-4312-B0FC-D055433B9FA7}"/>
    <cellStyle name="Output 4 9 11 2" xfId="36786" xr:uid="{4FFB0CC9-CE46-4346-8BF2-3679CB75BDDC}"/>
    <cellStyle name="Output 4 9 12" xfId="36787" xr:uid="{C2DE5045-F727-4753-B2C7-9E597DD3538F}"/>
    <cellStyle name="Output 4 9 2" xfId="18655" xr:uid="{638EA987-DD6D-4825-B006-9FB6ACD14582}"/>
    <cellStyle name="Output 4 9 2 10" xfId="18656" xr:uid="{8F24BE76-0D10-4BDB-BD17-7A42F79EBCCC}"/>
    <cellStyle name="Output 4 9 2 10 2" xfId="36788" xr:uid="{251A772A-2217-4823-908C-F76D3FB7D543}"/>
    <cellStyle name="Output 4 9 2 11" xfId="36789" xr:uid="{2F9C7CCB-3707-4C30-8B5D-189DCA252C41}"/>
    <cellStyle name="Output 4 9 2 2" xfId="18657" xr:uid="{1FBB8DB0-A8BA-4A5A-8A30-855C1D7CB5D5}"/>
    <cellStyle name="Output 4 9 2 2 2" xfId="18658" xr:uid="{9B65EE72-DABE-45AA-A1D3-6B23596C90E2}"/>
    <cellStyle name="Output 4 9 2 2 2 2" xfId="36790" xr:uid="{4A24C2A9-0810-4CD9-A84D-963C90CF6F1B}"/>
    <cellStyle name="Output 4 9 2 2 2 3" xfId="36791" xr:uid="{8F602C59-8E51-45EC-B178-F045FC3A27D1}"/>
    <cellStyle name="Output 4 9 2 2 3" xfId="18659" xr:uid="{4D892B8D-AD48-4DAF-8819-C1AF34364171}"/>
    <cellStyle name="Output 4 9 2 2 3 2" xfId="18660" xr:uid="{E3F527AE-9F84-46A6-B5F4-34E84C27B782}"/>
    <cellStyle name="Output 4 9 2 2 4" xfId="18661" xr:uid="{B738485A-CF44-4C5D-84AC-73835D03AB20}"/>
    <cellStyle name="Output 4 9 2 2 5" xfId="36792" xr:uid="{94469709-2701-4682-96C9-CFE85E67FC56}"/>
    <cellStyle name="Output 4 9 2 3" xfId="18662" xr:uid="{DB95E7C1-13C5-4220-9B0E-F4B263D42C80}"/>
    <cellStyle name="Output 4 9 2 3 2" xfId="18663" xr:uid="{1524D550-EC72-4F59-902E-19FE5E8F45F8}"/>
    <cellStyle name="Output 4 9 2 3 3" xfId="36793" xr:uid="{D9998CC0-F088-48A6-91F3-096A60B287BB}"/>
    <cellStyle name="Output 4 9 2 4" xfId="18664" xr:uid="{4F193E4D-2F63-4221-BEF3-3E1113E1E514}"/>
    <cellStyle name="Output 4 9 2 4 2" xfId="18665" xr:uid="{444B7225-1CAF-470C-B04D-ADCE6993A841}"/>
    <cellStyle name="Output 4 9 2 4 3" xfId="36794" xr:uid="{674C72CF-F89F-4D82-AEA6-94416462378C}"/>
    <cellStyle name="Output 4 9 2 5" xfId="18666" xr:uid="{CF00BBBA-6486-4AE7-9A4C-EA574CC6FC1B}"/>
    <cellStyle name="Output 4 9 2 5 2" xfId="18667" xr:uid="{7AF2A9BB-490E-42C4-9D29-70C9CF720CA1}"/>
    <cellStyle name="Output 4 9 2 5 3" xfId="36795" xr:uid="{6800F6FB-8065-4531-9680-707B9E0C9CF8}"/>
    <cellStyle name="Output 4 9 2 6" xfId="18668" xr:uid="{3D9E0867-F976-4D68-96CD-B57703765399}"/>
    <cellStyle name="Output 4 9 2 6 2" xfId="18669" xr:uid="{28015282-29DC-4BF9-92D1-B6DEC26DC8F7}"/>
    <cellStyle name="Output 4 9 2 6 3" xfId="36796" xr:uid="{0B62FFB2-D378-4876-AF93-CB76A7C7D05E}"/>
    <cellStyle name="Output 4 9 2 7" xfId="18670" xr:uid="{906E2A23-47C3-4E7F-B3E6-B591D49F6F32}"/>
    <cellStyle name="Output 4 9 2 7 2" xfId="18671" xr:uid="{322B3693-28FC-4500-83A5-D5F177B70488}"/>
    <cellStyle name="Output 4 9 2 7 3" xfId="36797" xr:uid="{D958E0CB-66C1-44F5-BA92-64B69DF9911E}"/>
    <cellStyle name="Output 4 9 2 8" xfId="18672" xr:uid="{1C394E8A-4DC8-4E1A-95F1-55E0714398FB}"/>
    <cellStyle name="Output 4 9 2 8 2" xfId="18673" xr:uid="{174E399E-01B8-42E0-93E1-C768DF03A5DB}"/>
    <cellStyle name="Output 4 9 2 8 3" xfId="36798" xr:uid="{5532CCCD-66C8-4643-9456-966BF108D78A}"/>
    <cellStyle name="Output 4 9 2 9" xfId="18674" xr:uid="{90952A81-5260-4BC2-BB2A-1B3407EDDE21}"/>
    <cellStyle name="Output 4 9 2 9 2" xfId="36799" xr:uid="{5364CF46-0D50-4FB9-A86E-6F0E452B9DB6}"/>
    <cellStyle name="Output 4 9 2 9 3" xfId="36800" xr:uid="{5B14DB23-F690-4CC7-A941-85C57E8E5B4B}"/>
    <cellStyle name="Output 4 9 3" xfId="18675" xr:uid="{146B05AD-F520-422C-9727-E27EA46E5833}"/>
    <cellStyle name="Output 4 9 3 2" xfId="18676" xr:uid="{959AC73B-CDF5-44BE-BC81-0AE7E765E417}"/>
    <cellStyle name="Output 4 9 3 2 2" xfId="36801" xr:uid="{491DAA78-7DF8-4393-8225-5ACF087C9036}"/>
    <cellStyle name="Output 4 9 3 2 3" xfId="36802" xr:uid="{87AE6245-D981-476C-8E76-C3AD221AD6E0}"/>
    <cellStyle name="Output 4 9 3 2 4" xfId="36803" xr:uid="{2C51C87F-69BE-4ECC-989C-E1AAB150F388}"/>
    <cellStyle name="Output 4 9 3 3" xfId="18677" xr:uid="{B9711C6A-CC81-4DE5-8265-98950FB04F44}"/>
    <cellStyle name="Output 4 9 3 3 2" xfId="18678" xr:uid="{973C8C8D-0A42-4261-B186-2D7379FD33A0}"/>
    <cellStyle name="Output 4 9 3 4" xfId="18679" xr:uid="{1D04F701-F0CD-4706-B36E-DFEFA39A0EEB}"/>
    <cellStyle name="Output 4 9 3 5" xfId="36804" xr:uid="{74CB065C-0401-4304-8281-4CB48FC8DF60}"/>
    <cellStyle name="Output 4 9 4" xfId="18680" xr:uid="{81AE6713-F277-42C9-85D7-3350E13031CE}"/>
    <cellStyle name="Output 4 9 4 2" xfId="18681" xr:uid="{B42F2CBB-C714-46A4-B672-084EDAAD7698}"/>
    <cellStyle name="Output 4 9 4 2 2" xfId="36805" xr:uid="{BF003003-17E9-4FFC-AA4F-FF1994191374}"/>
    <cellStyle name="Output 4 9 4 2 3" xfId="36806" xr:uid="{42D24111-A21C-4825-A870-A06748FC1DD7}"/>
    <cellStyle name="Output 4 9 4 3" xfId="18682" xr:uid="{4EC6B3F3-6FE9-4C9A-89CB-5A6C1E3D951A}"/>
    <cellStyle name="Output 4 9 4 4" xfId="36807" xr:uid="{E64FA203-E569-4C27-9C62-373639BB7D05}"/>
    <cellStyle name="Output 4 9 4 5" xfId="36808" xr:uid="{B6F78448-9254-49BA-9636-41087A93AACE}"/>
    <cellStyle name="Output 4 9 5" xfId="18683" xr:uid="{AAEA1AA1-2F47-4E9D-B490-8283904938ED}"/>
    <cellStyle name="Output 4 9 5 2" xfId="18684" xr:uid="{9E6CEE8E-339C-4780-AB92-8505ADA933BB}"/>
    <cellStyle name="Output 4 9 5 2 2" xfId="36809" xr:uid="{45953E30-2773-4775-81CE-DA419633E51E}"/>
    <cellStyle name="Output 4 9 5 2 3" xfId="36810" xr:uid="{5FD22835-6264-41D0-AC23-13E13178EB2F}"/>
    <cellStyle name="Output 4 9 5 3" xfId="36811" xr:uid="{6E1F3D4C-82C0-4DAE-9336-0BCAD8E5E761}"/>
    <cellStyle name="Output 4 9 5 4" xfId="36812" xr:uid="{989FC312-3137-4828-80DE-308A0DA9CE47}"/>
    <cellStyle name="Output 4 9 6" xfId="18685" xr:uid="{93403F02-6379-4F69-ADB3-133E187B902B}"/>
    <cellStyle name="Output 4 9 6 2" xfId="18686" xr:uid="{86E83B13-380B-4DE9-A4F7-9406176A2691}"/>
    <cellStyle name="Output 4 9 6 3" xfId="36813" xr:uid="{AF7A9677-B7F1-41F7-B98C-0C039A2E4A83}"/>
    <cellStyle name="Output 4 9 7" xfId="18687" xr:uid="{12542D59-4A8F-43D2-8353-51A3B9B5271F}"/>
    <cellStyle name="Output 4 9 7 2" xfId="18688" xr:uid="{5CEAA80D-CD0D-4209-B77F-3BBAEE68715F}"/>
    <cellStyle name="Output 4 9 7 3" xfId="36814" xr:uid="{57F61B18-9D58-44CC-982B-5BA32F988829}"/>
    <cellStyle name="Output 4 9 8" xfId="18689" xr:uid="{6696801A-EABB-46DA-9CBA-709DC711658A}"/>
    <cellStyle name="Output 4 9 8 2" xfId="18690" xr:uid="{9AD4253A-C357-4C3D-BB73-15F7AB0B2E28}"/>
    <cellStyle name="Output 4 9 8 3" xfId="36815" xr:uid="{4E3B2EB3-B0E8-4811-AC30-E26B260D89B3}"/>
    <cellStyle name="Output 4 9 9" xfId="18691" xr:uid="{0E7B6D8F-B675-4A07-B16A-FE61F872BD31}"/>
    <cellStyle name="Output 4 9 9 2" xfId="18692" xr:uid="{544F52D9-57C6-4376-A995-8EEF1C8496F9}"/>
    <cellStyle name="Output 4 9 9 3" xfId="36816" xr:uid="{C1B2D53C-2720-4E89-A454-B4A44626766B}"/>
    <cellStyle name="Output 40" xfId="36817" xr:uid="{C89E29C5-D4FE-47D2-BF7C-D0EB37EC8CC1}"/>
    <cellStyle name="Output 40 2" xfId="43041" xr:uid="{F72D102E-029D-433A-B0CB-8006337749AE}"/>
    <cellStyle name="Output 40 3" xfId="42214" xr:uid="{02905F2D-F8F2-44FA-94FA-477B155381BE}"/>
    <cellStyle name="Output 40 4" xfId="43959" xr:uid="{79CA5D32-D2A8-47AD-BB52-2F6D84691907}"/>
    <cellStyle name="Output 41" xfId="36818" xr:uid="{65C68501-EC25-48D5-B497-FAF536A9B036}"/>
    <cellStyle name="Output 41 2" xfId="43042" xr:uid="{D45B8EDA-F680-4027-9527-DB82AF53D538}"/>
    <cellStyle name="Output 41 3" xfId="42213" xr:uid="{E5235661-0075-492F-B022-417F677966FE}"/>
    <cellStyle name="Output 41 4" xfId="43960" xr:uid="{9EFEEFCE-589F-4F7E-A193-319A575C5A26}"/>
    <cellStyle name="Output 42" xfId="36819" xr:uid="{97E4496A-7BE4-4EFE-97BE-BDB95DE85CA0}"/>
    <cellStyle name="Output 42 2" xfId="43043" xr:uid="{BC8DB65B-A31A-40FC-8BE6-EDB93D7CED1D}"/>
    <cellStyle name="Output 42 3" xfId="42212" xr:uid="{7CD61620-3073-4655-88BC-023AB178A5B2}"/>
    <cellStyle name="Output 42 4" xfId="43961" xr:uid="{442B4A55-5664-47F4-AC44-25D728F69A43}"/>
    <cellStyle name="Output 43" xfId="36820" xr:uid="{AB16BF0B-AE56-4B13-A3D0-6F0889064A7A}"/>
    <cellStyle name="Output 43 2" xfId="43044" xr:uid="{C0151F1C-9136-4FDB-8BD4-0EACA8D20C00}"/>
    <cellStyle name="Output 43 3" xfId="42211" xr:uid="{CED272CA-ED58-4DD6-ACEE-C37147137B11}"/>
    <cellStyle name="Output 43 4" xfId="43962" xr:uid="{BD60838E-BBA0-468E-857C-A3DFFBE90500}"/>
    <cellStyle name="Output 5" xfId="18693" xr:uid="{00580769-05CF-4917-9297-2D6842C8CEA7}"/>
    <cellStyle name="Output 5 10" xfId="18694" xr:uid="{D0E976AD-1E84-46F1-B9D2-EA6575CDD435}"/>
    <cellStyle name="Output 5 10 10" xfId="18695" xr:uid="{0471BB98-503D-47CB-8B81-BA13868F1A99}"/>
    <cellStyle name="Output 5 10 10 2" xfId="36821" xr:uid="{EBD6D7D6-EF67-4A1D-A634-65CABF3DBD98}"/>
    <cellStyle name="Output 5 10 10 3" xfId="36822" xr:uid="{098EBCD8-0928-45B8-B526-8799649F5D77}"/>
    <cellStyle name="Output 5 10 11" xfId="18696" xr:uid="{BDA79D23-1026-4539-A867-28BD3C4E0037}"/>
    <cellStyle name="Output 5 10 11 2" xfId="36823" xr:uid="{7A79C02E-3AAA-4173-89F9-679FC8041628}"/>
    <cellStyle name="Output 5 10 12" xfId="36824" xr:uid="{8674E9FB-661D-429A-9668-266A1FDD46D4}"/>
    <cellStyle name="Output 5 10 2" xfId="18697" xr:uid="{6B266D79-9712-487F-8705-B05B77E3141F}"/>
    <cellStyle name="Output 5 10 2 10" xfId="18698" xr:uid="{F3C39EC3-CCCF-41C9-AB1D-49936A93DDBD}"/>
    <cellStyle name="Output 5 10 2 10 2" xfId="36825" xr:uid="{60F0FF85-5C98-47F4-835E-B2246A43A39A}"/>
    <cellStyle name="Output 5 10 2 11" xfId="36826" xr:uid="{610B5AF3-685C-4115-AB86-DE672A463E65}"/>
    <cellStyle name="Output 5 10 2 2" xfId="18699" xr:uid="{F8C81685-9E0F-4B88-A444-A937E0CCBC08}"/>
    <cellStyle name="Output 5 10 2 2 2" xfId="18700" xr:uid="{44D80B4C-3396-4888-B704-AB03FEFBEC5B}"/>
    <cellStyle name="Output 5 10 2 2 2 2" xfId="36827" xr:uid="{95017383-66EE-4CA2-9B71-FDCB3E80D751}"/>
    <cellStyle name="Output 5 10 2 2 2 3" xfId="36828" xr:uid="{CD2C63D1-241E-409F-9352-4EC180EECF83}"/>
    <cellStyle name="Output 5 10 2 2 3" xfId="18701" xr:uid="{9E363D5B-56C5-4C2D-AD79-D087BCD4160D}"/>
    <cellStyle name="Output 5 10 2 2 3 2" xfId="18702" xr:uid="{06AD7DDA-641A-4F05-A7E7-DF01CAE85581}"/>
    <cellStyle name="Output 5 10 2 2 4" xfId="18703" xr:uid="{E2898072-46E8-441B-808C-97D429B1E2A8}"/>
    <cellStyle name="Output 5 10 2 2 5" xfId="36829" xr:uid="{9D882F73-4316-416D-9EB0-784EE9A49981}"/>
    <cellStyle name="Output 5 10 2 3" xfId="18704" xr:uid="{0B3F5DD1-CEB3-4013-AEB0-54460649CEA2}"/>
    <cellStyle name="Output 5 10 2 3 2" xfId="18705" xr:uid="{BA6E53FC-B55E-4597-8F5F-6C31DD5549AB}"/>
    <cellStyle name="Output 5 10 2 3 3" xfId="36830" xr:uid="{CF74DCEA-664F-4E47-B912-C4F6FB665168}"/>
    <cellStyle name="Output 5 10 2 4" xfId="18706" xr:uid="{0235E073-6CFC-438E-9B5F-1DDA364C14C8}"/>
    <cellStyle name="Output 5 10 2 4 2" xfId="18707" xr:uid="{065EE9C0-A4C9-49A8-A2EA-C0A4D9DECE9B}"/>
    <cellStyle name="Output 5 10 2 4 3" xfId="36831" xr:uid="{540F52C2-5D46-41DB-A0D2-77DD266DC64D}"/>
    <cellStyle name="Output 5 10 2 5" xfId="18708" xr:uid="{EFB4A372-1606-41F5-B675-BCABC495B9AE}"/>
    <cellStyle name="Output 5 10 2 5 2" xfId="18709" xr:uid="{64A91BF2-9C14-46D0-9FB9-D362BE9D9F0F}"/>
    <cellStyle name="Output 5 10 2 5 3" xfId="36832" xr:uid="{1B749199-4AEF-4915-AB2B-B6856B5E9B01}"/>
    <cellStyle name="Output 5 10 2 6" xfId="18710" xr:uid="{0FFE7338-D1D2-41DC-A23E-DE0042D76C9D}"/>
    <cellStyle name="Output 5 10 2 6 2" xfId="18711" xr:uid="{F5C95DF4-16BC-41FD-A948-06251BDF43F1}"/>
    <cellStyle name="Output 5 10 2 6 3" xfId="36833" xr:uid="{7539B3AF-80BF-49AD-A650-5AB7B2394B03}"/>
    <cellStyle name="Output 5 10 2 7" xfId="18712" xr:uid="{A4A20973-FAFB-405E-9E4D-AF013DC456A9}"/>
    <cellStyle name="Output 5 10 2 7 2" xfId="18713" xr:uid="{0A16689E-34E9-4EB7-B2A4-E34CE76C3EE1}"/>
    <cellStyle name="Output 5 10 2 7 3" xfId="36834" xr:uid="{CA5EC276-194D-40D8-A668-B338BB2440F1}"/>
    <cellStyle name="Output 5 10 2 8" xfId="18714" xr:uid="{0988995F-1009-4C45-9C5D-91B3EA7656F4}"/>
    <cellStyle name="Output 5 10 2 8 2" xfId="18715" xr:uid="{68EBDAAC-3040-4EEC-84FF-C0234CECF90D}"/>
    <cellStyle name="Output 5 10 2 8 3" xfId="36835" xr:uid="{4421187E-F20A-4471-94D5-9185A572FFDF}"/>
    <cellStyle name="Output 5 10 2 9" xfId="18716" xr:uid="{32853EE0-3DFA-4421-BD64-EAAD9BF7AE32}"/>
    <cellStyle name="Output 5 10 2 9 2" xfId="36836" xr:uid="{ECD18970-DDD1-4D91-A176-5914A356AD22}"/>
    <cellStyle name="Output 5 10 2 9 3" xfId="36837" xr:uid="{7CF2CEDB-AA12-429F-B614-1BD2AECC66AB}"/>
    <cellStyle name="Output 5 10 3" xfId="18717" xr:uid="{995DD3DC-F143-4BB1-9DA6-6F5D2391B676}"/>
    <cellStyle name="Output 5 10 3 2" xfId="18718" xr:uid="{EAEA9477-681A-438F-8DC0-0BEE9AB73AA5}"/>
    <cellStyle name="Output 5 10 3 2 2" xfId="36838" xr:uid="{A2E0A97C-03AD-49A6-BCDC-E1E59A82E538}"/>
    <cellStyle name="Output 5 10 3 2 3" xfId="36839" xr:uid="{D3CC0889-B1BC-4608-AB72-46F9881A96B0}"/>
    <cellStyle name="Output 5 10 3 2 4" xfId="36840" xr:uid="{6D94A82C-100A-41DF-B75B-B087806C4595}"/>
    <cellStyle name="Output 5 10 3 3" xfId="18719" xr:uid="{B9F8E8ED-4CF8-439D-A747-418EFCB6717A}"/>
    <cellStyle name="Output 5 10 3 3 2" xfId="18720" xr:uid="{3ADA8E21-13B4-4BA3-8C0B-A90F7273652C}"/>
    <cellStyle name="Output 5 10 3 4" xfId="18721" xr:uid="{F103CF27-B2AD-4F7F-88E5-3CB161BFD551}"/>
    <cellStyle name="Output 5 10 3 5" xfId="36841" xr:uid="{22FC8BFC-DE21-48B1-AFFF-8D1AF37F5A9B}"/>
    <cellStyle name="Output 5 10 4" xfId="18722" xr:uid="{F93FE626-88D1-4492-A185-A40A93D33794}"/>
    <cellStyle name="Output 5 10 4 2" xfId="18723" xr:uid="{9C62D3B8-2AD4-43FF-84B8-D78779C09EBC}"/>
    <cellStyle name="Output 5 10 4 2 2" xfId="36842" xr:uid="{15FB6661-32D3-4543-A692-2D07A0A4F39E}"/>
    <cellStyle name="Output 5 10 4 2 3" xfId="36843" xr:uid="{822A6B12-7A35-4713-8F3A-A002E0938B72}"/>
    <cellStyle name="Output 5 10 4 3" xfId="18724" xr:uid="{9C1ABF57-BD43-4AE0-9856-452CC5EED27D}"/>
    <cellStyle name="Output 5 10 4 4" xfId="36844" xr:uid="{C31FE501-F95F-453F-B41D-B5EF9A4114BF}"/>
    <cellStyle name="Output 5 10 4 5" xfId="36845" xr:uid="{79E89B83-74A2-411F-BBB9-752AD59593FF}"/>
    <cellStyle name="Output 5 10 5" xfId="18725" xr:uid="{13665F04-35B0-48E0-8E95-9C8C148A14EF}"/>
    <cellStyle name="Output 5 10 5 2" xfId="18726" xr:uid="{C9D164CC-9B66-4763-AEF7-6A147B0904F3}"/>
    <cellStyle name="Output 5 10 5 2 2" xfId="36846" xr:uid="{6B10AFF5-1337-41DC-870A-91B589DB355C}"/>
    <cellStyle name="Output 5 10 5 2 3" xfId="36847" xr:uid="{064079D0-DE17-465B-9B7E-E5C21EFBEE4D}"/>
    <cellStyle name="Output 5 10 5 3" xfId="36848" xr:uid="{E20C2EB1-2AD2-4145-ABDA-21F183B712F7}"/>
    <cellStyle name="Output 5 10 5 4" xfId="36849" xr:uid="{D95875F3-CB7E-4790-A11A-FCFDD57CF594}"/>
    <cellStyle name="Output 5 10 6" xfId="18727" xr:uid="{1E855D93-6B33-465A-96F6-288F30673C03}"/>
    <cellStyle name="Output 5 10 6 2" xfId="18728" xr:uid="{2E21E7C9-001F-4B34-A79B-BF1257AD30F9}"/>
    <cellStyle name="Output 5 10 6 3" xfId="36850" xr:uid="{589BEDEC-D9F1-45C6-A29F-5A584C3B8843}"/>
    <cellStyle name="Output 5 10 7" xfId="18729" xr:uid="{E97E5DE4-8A9B-4376-941A-63542EFCCAF3}"/>
    <cellStyle name="Output 5 10 7 2" xfId="18730" xr:uid="{DA6019BE-5A9A-4124-BC3A-C3A461BC7A10}"/>
    <cellStyle name="Output 5 10 7 3" xfId="36851" xr:uid="{86532469-B67C-4679-9E83-E9CF7E96CE69}"/>
    <cellStyle name="Output 5 10 8" xfId="18731" xr:uid="{156D5495-031F-4066-A1C6-2AFAA243D087}"/>
    <cellStyle name="Output 5 10 8 2" xfId="18732" xr:uid="{43A1B5E8-2194-417C-AE94-51795382583A}"/>
    <cellStyle name="Output 5 10 8 3" xfId="36852" xr:uid="{0A68CEA4-44FF-49F6-9B54-FDBFCF85DD23}"/>
    <cellStyle name="Output 5 10 9" xfId="18733" xr:uid="{984CB0AD-6BA1-4478-AAEC-3599ACEAC77D}"/>
    <cellStyle name="Output 5 10 9 2" xfId="18734" xr:uid="{BA8ACC1F-8D06-4DB9-BA01-77CBF2B44947}"/>
    <cellStyle name="Output 5 10 9 3" xfId="36853" xr:uid="{909D352C-890D-4D35-9DA8-4DDB08DD3BAB}"/>
    <cellStyle name="Output 5 11" xfId="18735" xr:uid="{45983090-592F-4B81-B0E7-376045C48389}"/>
    <cellStyle name="Output 5 11 10" xfId="18736" xr:uid="{4277DAFA-874C-4420-99BA-F2765241BECB}"/>
    <cellStyle name="Output 5 11 10 2" xfId="36854" xr:uid="{BAD0BE5D-B1BE-4A93-B193-DA5A47F25336}"/>
    <cellStyle name="Output 5 11 10 3" xfId="36855" xr:uid="{96CC5642-6F3D-40D4-85A6-432865EF9502}"/>
    <cellStyle name="Output 5 11 11" xfId="18737" xr:uid="{B54C343E-C1F6-481A-82F3-B6DB79A92C68}"/>
    <cellStyle name="Output 5 11 11 2" xfId="36856" xr:uid="{34A27FB5-E17A-4966-B4BF-1A8D5C79070F}"/>
    <cellStyle name="Output 5 11 12" xfId="36857" xr:uid="{E7F90D27-5D28-4DFA-A18A-8B343431B2E9}"/>
    <cellStyle name="Output 5 11 2" xfId="18738" xr:uid="{FF653C0B-0885-4A9D-A8D7-C79043B769FA}"/>
    <cellStyle name="Output 5 11 2 10" xfId="18739" xr:uid="{3810D807-7B56-4334-B61D-6AB6BDE3B0EB}"/>
    <cellStyle name="Output 5 11 2 10 2" xfId="36858" xr:uid="{6CB798EE-6D9A-4162-A169-E26ED3F26088}"/>
    <cellStyle name="Output 5 11 2 11" xfId="36859" xr:uid="{96904595-76A4-4079-B38D-590E21494C62}"/>
    <cellStyle name="Output 5 11 2 2" xfId="18740" xr:uid="{87048BCC-267A-4FD2-A1F4-08165AB2FC72}"/>
    <cellStyle name="Output 5 11 2 2 2" xfId="18741" xr:uid="{4D86D784-7B16-461F-A802-7C3C3BC3FAE8}"/>
    <cellStyle name="Output 5 11 2 2 2 2" xfId="36860" xr:uid="{64BA8F8E-A6A3-4B88-8C0A-BD7743324162}"/>
    <cellStyle name="Output 5 11 2 2 2 3" xfId="36861" xr:uid="{B4E202B4-27FB-462A-AC03-4B9FAB49F813}"/>
    <cellStyle name="Output 5 11 2 2 3" xfId="18742" xr:uid="{E88C503B-A28A-4A3D-BB61-A1A667ABE3AD}"/>
    <cellStyle name="Output 5 11 2 2 3 2" xfId="18743" xr:uid="{63BF7A61-5531-4EEA-8A34-19BDD1093E8C}"/>
    <cellStyle name="Output 5 11 2 2 4" xfId="18744" xr:uid="{E408BA3B-0BED-4A13-80BC-61B48E11B865}"/>
    <cellStyle name="Output 5 11 2 2 5" xfId="36862" xr:uid="{8FCC4BFB-CCC9-43B4-A525-CA73115429BA}"/>
    <cellStyle name="Output 5 11 2 3" xfId="18745" xr:uid="{1D4F17E1-10CB-4EF9-9378-87F9125AEAAA}"/>
    <cellStyle name="Output 5 11 2 3 2" xfId="18746" xr:uid="{816A4FB6-7FBD-411C-989D-C8C3A101588D}"/>
    <cellStyle name="Output 5 11 2 3 3" xfId="36863" xr:uid="{C164F073-20E2-47E9-BE95-0C8FE6E4048F}"/>
    <cellStyle name="Output 5 11 2 4" xfId="18747" xr:uid="{D6D757A5-8974-469E-8F7C-899FDB8A2914}"/>
    <cellStyle name="Output 5 11 2 4 2" xfId="18748" xr:uid="{6FFB467A-7B82-4D29-BE8E-AD1DE3DB6738}"/>
    <cellStyle name="Output 5 11 2 4 3" xfId="36864" xr:uid="{0D5693F7-1B40-4E6D-8C30-F7A73038E566}"/>
    <cellStyle name="Output 5 11 2 5" xfId="18749" xr:uid="{6174B971-C197-425F-8AD5-F281DB2DEB92}"/>
    <cellStyle name="Output 5 11 2 5 2" xfId="18750" xr:uid="{8F9EB753-2ED6-488B-9B56-A994EC7BC33A}"/>
    <cellStyle name="Output 5 11 2 5 3" xfId="36865" xr:uid="{0DD6849E-E8A3-459E-A3F5-24E0D0EEE935}"/>
    <cellStyle name="Output 5 11 2 6" xfId="18751" xr:uid="{F65E461B-BE2F-47CC-9276-F2C83A465FB6}"/>
    <cellStyle name="Output 5 11 2 6 2" xfId="18752" xr:uid="{CE3DB79A-B25E-430E-A25B-FFA02990D38F}"/>
    <cellStyle name="Output 5 11 2 6 3" xfId="36866" xr:uid="{4414AC5F-2B49-4EC0-8F6A-CDE93FD82184}"/>
    <cellStyle name="Output 5 11 2 7" xfId="18753" xr:uid="{6B1DFE97-B196-45AA-90E0-C9F1E90AEBA9}"/>
    <cellStyle name="Output 5 11 2 7 2" xfId="18754" xr:uid="{56E426A5-A3ED-49CF-8703-F4400A8C5280}"/>
    <cellStyle name="Output 5 11 2 7 3" xfId="36867" xr:uid="{FB0602AD-A0BC-4C70-8891-D1E23768A5E6}"/>
    <cellStyle name="Output 5 11 2 8" xfId="18755" xr:uid="{3D7A26DC-2E0B-4DBE-970B-F7682F79BB44}"/>
    <cellStyle name="Output 5 11 2 8 2" xfId="18756" xr:uid="{0C536FD6-D265-4178-BD2D-6B679F01A34F}"/>
    <cellStyle name="Output 5 11 2 8 3" xfId="36868" xr:uid="{30B4FD0E-021B-44EC-B4B6-04259CCA599B}"/>
    <cellStyle name="Output 5 11 2 9" xfId="18757" xr:uid="{A91D868B-AE6F-4698-866D-14D8F851A99B}"/>
    <cellStyle name="Output 5 11 2 9 2" xfId="36869" xr:uid="{BF907EA2-F965-4D2B-91C4-D702CDBAF8BB}"/>
    <cellStyle name="Output 5 11 2 9 3" xfId="36870" xr:uid="{DF2AE1EA-B20D-4826-B9A7-5533154D652A}"/>
    <cellStyle name="Output 5 11 3" xfId="18758" xr:uid="{04D427FE-8F8C-46E2-AA1D-1EDA8905296E}"/>
    <cellStyle name="Output 5 11 3 2" xfId="18759" xr:uid="{349B9C32-C56D-42AF-9E99-66B886CBF065}"/>
    <cellStyle name="Output 5 11 3 2 2" xfId="36871" xr:uid="{A0670F19-811D-4FBD-925B-1A507C8E60B3}"/>
    <cellStyle name="Output 5 11 3 2 3" xfId="36872" xr:uid="{61805588-D271-416F-A203-EEE0649A26BE}"/>
    <cellStyle name="Output 5 11 3 2 4" xfId="36873" xr:uid="{58960C40-8225-4A1C-8E2A-EC0B66CDB641}"/>
    <cellStyle name="Output 5 11 3 3" xfId="18760" xr:uid="{BB31B713-D7DE-4573-8E84-CE64C244C48E}"/>
    <cellStyle name="Output 5 11 3 3 2" xfId="18761" xr:uid="{BE0B1D39-9596-4136-BDCA-9BE48EBC0334}"/>
    <cellStyle name="Output 5 11 3 4" xfId="18762" xr:uid="{0F089E89-2C3B-4562-8972-48643CC048A5}"/>
    <cellStyle name="Output 5 11 3 5" xfId="36874" xr:uid="{2ECD4067-F894-41F6-95E3-E4E73E3BAE38}"/>
    <cellStyle name="Output 5 11 4" xfId="18763" xr:uid="{88BF9933-24F3-4396-9945-5F4E4C1E2FC4}"/>
    <cellStyle name="Output 5 11 4 2" xfId="18764" xr:uid="{BBA3CFC2-B2D1-412D-B86C-9D782B7C9C7A}"/>
    <cellStyle name="Output 5 11 4 2 2" xfId="36875" xr:uid="{EA157CBA-8B02-4F6C-93E4-964A28938279}"/>
    <cellStyle name="Output 5 11 4 2 3" xfId="36876" xr:uid="{AF07AFAE-E382-4AB8-8D48-F1CD54AA9F40}"/>
    <cellStyle name="Output 5 11 4 3" xfId="18765" xr:uid="{B7712AA3-A853-47D0-971D-67AB37F61526}"/>
    <cellStyle name="Output 5 11 4 4" xfId="36877" xr:uid="{4B160EC0-B435-4D19-920E-A41F8CA719D7}"/>
    <cellStyle name="Output 5 11 4 5" xfId="36878" xr:uid="{ED79361D-5912-45D3-83E8-CB6CE328C2D5}"/>
    <cellStyle name="Output 5 11 5" xfId="18766" xr:uid="{D646DDD0-114E-4F93-A995-6472FC79D9E1}"/>
    <cellStyle name="Output 5 11 5 2" xfId="18767" xr:uid="{B0134553-9708-4381-BDBC-D1B9049642EF}"/>
    <cellStyle name="Output 5 11 5 2 2" xfId="36879" xr:uid="{AAFF9860-BFAD-420F-89F0-FEA20C132E73}"/>
    <cellStyle name="Output 5 11 5 2 3" xfId="36880" xr:uid="{91C2FC62-50FE-48A4-A316-FA95BD49E6A1}"/>
    <cellStyle name="Output 5 11 5 3" xfId="36881" xr:uid="{12F12FC5-270C-47B6-9EFF-673C6FE3199D}"/>
    <cellStyle name="Output 5 11 5 4" xfId="36882" xr:uid="{1D0DB155-EA53-4B07-9161-9F60585F8207}"/>
    <cellStyle name="Output 5 11 6" xfId="18768" xr:uid="{1D3051E2-7237-4F3D-96CF-5F61C6DAF1D1}"/>
    <cellStyle name="Output 5 11 6 2" xfId="18769" xr:uid="{6D2C8EEB-64FB-4184-A322-44D579DD5A24}"/>
    <cellStyle name="Output 5 11 6 3" xfId="36883" xr:uid="{2D084311-494D-4AEB-B49C-084F8290D898}"/>
    <cellStyle name="Output 5 11 7" xfId="18770" xr:uid="{06529342-6CD7-4007-893F-05E74B619721}"/>
    <cellStyle name="Output 5 11 7 2" xfId="18771" xr:uid="{2AEF9EB9-B374-4D16-AED1-CB2F5F9CE7E8}"/>
    <cellStyle name="Output 5 11 7 3" xfId="36884" xr:uid="{832BA85B-2615-4625-9178-870038855EE6}"/>
    <cellStyle name="Output 5 11 8" xfId="18772" xr:uid="{65E7E38B-9213-4565-8FA1-BEF5D2CB174E}"/>
    <cellStyle name="Output 5 11 8 2" xfId="18773" xr:uid="{A55FF532-3DD0-4A4A-A3D8-E20706820D1E}"/>
    <cellStyle name="Output 5 11 8 3" xfId="36885" xr:uid="{5DD383B2-4D7E-453B-86CA-2F11EDF307EC}"/>
    <cellStyle name="Output 5 11 9" xfId="18774" xr:uid="{EADA375B-2F67-4251-A707-A654975BCEA7}"/>
    <cellStyle name="Output 5 11 9 2" xfId="18775" xr:uid="{30476DD8-650C-4B9D-A111-9FC552A0277D}"/>
    <cellStyle name="Output 5 11 9 3" xfId="36886" xr:uid="{1C09D806-EB8C-4AA0-B009-6BFB4D528F27}"/>
    <cellStyle name="Output 5 12" xfId="18776" xr:uid="{42492433-6CE1-4DDA-AFCA-8A337EFF01FF}"/>
    <cellStyle name="Output 5 12 10" xfId="18777" xr:uid="{C505DAA4-DE4D-4BE3-98A6-FFAB01E4F963}"/>
    <cellStyle name="Output 5 12 10 2" xfId="36887" xr:uid="{8A4E9156-C0E9-4DA9-A977-77049949260A}"/>
    <cellStyle name="Output 5 12 11" xfId="36888" xr:uid="{19CEB713-2DA1-4C6C-B9B5-87AAD067F9CD}"/>
    <cellStyle name="Output 5 12 2" xfId="18778" xr:uid="{D6A8EB86-6194-41D6-9AE7-358195A167FF}"/>
    <cellStyle name="Output 5 12 2 2" xfId="18779" xr:uid="{E0F44F89-291A-44AA-9BB1-FAFFA57A9A0D}"/>
    <cellStyle name="Output 5 12 2 2 2" xfId="36889" xr:uid="{0CDA7910-A4A5-4DC5-89B3-5996DD70EBA5}"/>
    <cellStyle name="Output 5 12 2 2 3" xfId="36890" xr:uid="{9D2155AE-2189-4FC0-AF85-DD5459497C1D}"/>
    <cellStyle name="Output 5 12 2 3" xfId="18780" xr:uid="{9C31AB1C-9FD0-4368-8AC0-2B0D6AB5EC92}"/>
    <cellStyle name="Output 5 12 2 3 2" xfId="18781" xr:uid="{52B2B088-CEB2-4FCF-85C2-5EF68C6AC278}"/>
    <cellStyle name="Output 5 12 2 4" xfId="18782" xr:uid="{D732D745-5488-4AE6-AFA8-EFF9886FAD90}"/>
    <cellStyle name="Output 5 12 2 5" xfId="36891" xr:uid="{870540F9-055B-4BD5-9671-7E3C0245FFE8}"/>
    <cellStyle name="Output 5 12 3" xfId="18783" xr:uid="{4848F826-C094-421E-BF2F-968A175FF55B}"/>
    <cellStyle name="Output 5 12 3 2" xfId="18784" xr:uid="{AA22002B-92E5-4F1D-852F-CB83A59E4B70}"/>
    <cellStyle name="Output 5 12 3 3" xfId="36892" xr:uid="{89F95FC0-DAAA-4B29-8F27-0C8886668EE2}"/>
    <cellStyle name="Output 5 12 4" xfId="18785" xr:uid="{F9EAFC32-3A3B-403D-8A30-DFBA8E51CA78}"/>
    <cellStyle name="Output 5 12 4 2" xfId="18786" xr:uid="{4E222834-B431-4127-BD38-34EADE9540D8}"/>
    <cellStyle name="Output 5 12 4 3" xfId="36893" xr:uid="{2E341FEF-5E74-4823-BD18-D966830CB02D}"/>
    <cellStyle name="Output 5 12 5" xfId="18787" xr:uid="{84F9E727-37F2-4C9D-84B9-136014E9569A}"/>
    <cellStyle name="Output 5 12 5 2" xfId="18788" xr:uid="{A540C88C-23F5-449F-8AA0-97F018935217}"/>
    <cellStyle name="Output 5 12 5 3" xfId="36894" xr:uid="{98EC213A-BEA4-4346-BB6A-72F7E39C9516}"/>
    <cellStyle name="Output 5 12 6" xfId="18789" xr:uid="{BFA57CE1-61F2-4EE4-87BF-5640AAC29284}"/>
    <cellStyle name="Output 5 12 6 2" xfId="18790" xr:uid="{FF1FD1CC-9F21-4E3F-9E3C-F11D00D18B89}"/>
    <cellStyle name="Output 5 12 6 3" xfId="36895" xr:uid="{5D53942F-6D9D-4702-A2EB-11F951C63A80}"/>
    <cellStyle name="Output 5 12 7" xfId="18791" xr:uid="{9C5D4E7C-D69F-483A-9EB2-FA159EF1E3C8}"/>
    <cellStyle name="Output 5 12 7 2" xfId="18792" xr:uid="{D7D0BE42-91B0-4E7C-BD23-53B3C88002E3}"/>
    <cellStyle name="Output 5 12 7 3" xfId="36896" xr:uid="{5B335CAB-5325-4465-9AFE-4604DAFBA4F0}"/>
    <cellStyle name="Output 5 12 8" xfId="18793" xr:uid="{FDE7CF52-E092-4365-9531-B3CA8C9F7C66}"/>
    <cellStyle name="Output 5 12 8 2" xfId="18794" xr:uid="{2BAFDF29-EFB3-4D8F-9315-05A0E0B543AE}"/>
    <cellStyle name="Output 5 12 8 3" xfId="36897" xr:uid="{3DE5DD25-81B5-4C5F-826B-2E3FD5168536}"/>
    <cellStyle name="Output 5 12 9" xfId="18795" xr:uid="{4D2C4F56-76F6-4F3A-A378-D6EA47110339}"/>
    <cellStyle name="Output 5 12 9 2" xfId="36898" xr:uid="{935BA95A-D3E1-42C6-8254-6F3CC6B1E8EE}"/>
    <cellStyle name="Output 5 12 9 3" xfId="36899" xr:uid="{ADC56BD8-41C0-4927-8761-C477A59BC43D}"/>
    <cellStyle name="Output 5 13" xfId="18796" xr:uid="{FE5A8CCF-1978-47D4-8E03-093E36585F3E}"/>
    <cellStyle name="Output 5 13 2" xfId="18797" xr:uid="{506CAD4A-A255-4922-B5D9-35047369D14B}"/>
    <cellStyle name="Output 5 13 2 2" xfId="36900" xr:uid="{91942EFC-8326-4E5C-8B20-8B1AFE4AA49C}"/>
    <cellStyle name="Output 5 13 2 3" xfId="36901" xr:uid="{EC85DAC9-39AE-481C-A87A-9B7A4FE13A5D}"/>
    <cellStyle name="Output 5 13 2 4" xfId="36902" xr:uid="{D3B859C8-A55F-4E5E-AC6C-50FFC23A473B}"/>
    <cellStyle name="Output 5 13 3" xfId="18798" xr:uid="{157E8D2E-8EC8-4C6A-B014-4E7BE26963BB}"/>
    <cellStyle name="Output 5 13 3 2" xfId="18799" xr:uid="{68A2D9FD-B4E0-44D6-B0C9-B5DC74AD7F85}"/>
    <cellStyle name="Output 5 13 4" xfId="18800" xr:uid="{82E0E523-5ADB-42E5-B53C-06991E07ED2B}"/>
    <cellStyle name="Output 5 13 5" xfId="36903" xr:uid="{B5A8F425-3FB3-4C52-84BD-5B8CB4C6EE31}"/>
    <cellStyle name="Output 5 14" xfId="18801" xr:uid="{A6DEC25A-D3A7-4CB9-B301-0855CD241940}"/>
    <cellStyle name="Output 5 14 2" xfId="18802" xr:uid="{52879A30-C49D-4772-B143-79581D5F1AFC}"/>
    <cellStyle name="Output 5 14 2 2" xfId="36904" xr:uid="{3EA3E359-4AD6-429C-8AD1-0A45DF52551D}"/>
    <cellStyle name="Output 5 14 2 3" xfId="36905" xr:uid="{3DC66197-356C-4CEF-8CB9-1F204E87C0FD}"/>
    <cellStyle name="Output 5 14 3" xfId="18803" xr:uid="{F4D88578-EF5B-4B93-80E9-31956F106105}"/>
    <cellStyle name="Output 5 14 4" xfId="36906" xr:uid="{4E81E748-F565-4227-B9D5-78F6AA7B0D9D}"/>
    <cellStyle name="Output 5 14 5" xfId="36907" xr:uid="{10BF9B72-E9CC-40C3-917B-0C10C6D1D8F9}"/>
    <cellStyle name="Output 5 15" xfId="18804" xr:uid="{6AAEDFBA-D7E5-41DD-8494-F10C8A1D2031}"/>
    <cellStyle name="Output 5 15 2" xfId="18805" xr:uid="{8FDA6C7F-3F78-4EDD-94EB-8867B61E50D2}"/>
    <cellStyle name="Output 5 15 2 2" xfId="36908" xr:uid="{EEC2794C-E11B-44B6-90F7-546E6451EEB4}"/>
    <cellStyle name="Output 5 15 2 3" xfId="36909" xr:uid="{AE25FE1A-E204-45C2-9BFF-6D3E394725D9}"/>
    <cellStyle name="Output 5 15 3" xfId="36910" xr:uid="{C45F2BE3-0006-48AB-BB0A-F513C5FC8EFF}"/>
    <cellStyle name="Output 5 15 4" xfId="36911" xr:uid="{52C7FEDC-8F38-4C51-AC43-740105F05D88}"/>
    <cellStyle name="Output 5 16" xfId="18806" xr:uid="{0FB59F1A-78B6-45E7-8E73-FF53A6A53280}"/>
    <cellStyle name="Output 5 16 2" xfId="18807" xr:uid="{DA6FCD0E-6130-4A28-B685-2F0DD5DF684E}"/>
    <cellStyle name="Output 5 16 3" xfId="36912" xr:uid="{171C3788-6480-4A1B-99F0-D9787AB4E5AF}"/>
    <cellStyle name="Output 5 17" xfId="18808" xr:uid="{36395502-7DC9-41BC-8C2D-A242CDD89AD8}"/>
    <cellStyle name="Output 5 17 2" xfId="18809" xr:uid="{7D33A9A1-E557-4465-9A21-6CD04E87F46B}"/>
    <cellStyle name="Output 5 17 3" xfId="36913" xr:uid="{1CCDDFE3-9997-4FBF-BDD1-BE4BBA3BD7B4}"/>
    <cellStyle name="Output 5 18" xfId="18810" xr:uid="{B49005E8-A96C-40CF-A0DB-5F76E008A833}"/>
    <cellStyle name="Output 5 18 2" xfId="18811" xr:uid="{4DB83AAE-2868-465A-A443-4E94841E81B7}"/>
    <cellStyle name="Output 5 18 3" xfId="36914" xr:uid="{11D6ADCA-865D-496A-AAB2-E6A766769BAA}"/>
    <cellStyle name="Output 5 19" xfId="18812" xr:uid="{A51B307F-8BC8-4AAC-8015-F296DDBA0200}"/>
    <cellStyle name="Output 5 19 2" xfId="18813" xr:uid="{931C615B-6F25-4ED4-A31B-3B647691E6C2}"/>
    <cellStyle name="Output 5 19 3" xfId="36915" xr:uid="{73065864-27D5-4CDB-A33A-CBB75E418C81}"/>
    <cellStyle name="Output 5 2" xfId="18814" xr:uid="{ED0FBD0E-D849-45B8-9E9F-2D3B1E8EC357}"/>
    <cellStyle name="Output 5 2 10" xfId="18815" xr:uid="{F7A7CD9F-83D2-425A-9C4F-4CADF476996B}"/>
    <cellStyle name="Output 5 2 10 2" xfId="36916" xr:uid="{B44D4FD6-D112-4C60-8F28-D48DA6CC16F3}"/>
    <cellStyle name="Output 5 2 10 3" xfId="36917" xr:uid="{52D41AD5-81A7-4AED-9B81-C3A2B1B7552B}"/>
    <cellStyle name="Output 5 2 11" xfId="18816" xr:uid="{A27E450B-FA9F-4B4A-8998-91AC90C6C7E8}"/>
    <cellStyle name="Output 5 2 11 2" xfId="36918" xr:uid="{A6E02AB1-75E6-4B9D-A1FB-FA00FD840D55}"/>
    <cellStyle name="Output 5 2 12" xfId="36919" xr:uid="{7EC8FCDA-DFD4-4CD1-95FC-2C0FBC9AC028}"/>
    <cellStyle name="Output 5 2 13" xfId="36920" xr:uid="{05623279-F9BC-47AE-8DD4-4CE1128B12FE}"/>
    <cellStyle name="Output 5 2 2" xfId="18817" xr:uid="{816F8C62-C27B-4E7A-BC27-4509EF1F7B28}"/>
    <cellStyle name="Output 5 2 2 10" xfId="18818" xr:uid="{25969981-8F64-4F09-B0E6-851C1D0A3232}"/>
    <cellStyle name="Output 5 2 2 10 2" xfId="36921" xr:uid="{5B4D1D4B-4727-4073-963D-99850D40CBE0}"/>
    <cellStyle name="Output 5 2 2 11" xfId="36922" xr:uid="{0B4CAD1D-B5DE-4CD6-9C25-0854C99DB969}"/>
    <cellStyle name="Output 5 2 2 2" xfId="18819" xr:uid="{E1BC204D-2A5F-478E-A62C-900028DEBFE0}"/>
    <cellStyle name="Output 5 2 2 2 2" xfId="18820" xr:uid="{9FC62ED1-6674-48C0-B73E-47DF7DAA540E}"/>
    <cellStyle name="Output 5 2 2 2 2 2" xfId="36923" xr:uid="{7272FA51-85CB-4360-B580-5894C0D80755}"/>
    <cellStyle name="Output 5 2 2 2 2 3" xfId="36924" xr:uid="{52F638CB-0BEF-4001-90B2-7A03352F10EA}"/>
    <cellStyle name="Output 5 2 2 2 3" xfId="18821" xr:uid="{32ABCB04-DC66-4198-A5E4-DF02923AF740}"/>
    <cellStyle name="Output 5 2 2 2 3 2" xfId="18822" xr:uid="{4E1CCE72-048E-4BBB-8B22-23840EA87C1A}"/>
    <cellStyle name="Output 5 2 2 2 4" xfId="18823" xr:uid="{DCFA2A97-B109-474F-8EFB-40639AB29D18}"/>
    <cellStyle name="Output 5 2 2 2 5" xfId="36925" xr:uid="{3402F385-CE5B-4201-BBBF-262D2AB439C7}"/>
    <cellStyle name="Output 5 2 2 3" xfId="18824" xr:uid="{AACE8045-547A-48CF-87CA-8BBDB3F5BE20}"/>
    <cellStyle name="Output 5 2 2 3 2" xfId="18825" xr:uid="{22A63EB7-602F-4373-ADCE-3BE75F58B18A}"/>
    <cellStyle name="Output 5 2 2 3 3" xfId="36926" xr:uid="{190B6376-52ED-4C7F-AE43-24615C576980}"/>
    <cellStyle name="Output 5 2 2 4" xfId="18826" xr:uid="{42E4BE5C-63E8-4A25-AA6F-61B53928060E}"/>
    <cellStyle name="Output 5 2 2 4 2" xfId="18827" xr:uid="{2CB0E5F9-0AA2-4556-A2C6-0197AD157C4C}"/>
    <cellStyle name="Output 5 2 2 4 3" xfId="36927" xr:uid="{9F903367-D573-4071-8E97-E16BF0B270D5}"/>
    <cellStyle name="Output 5 2 2 5" xfId="18828" xr:uid="{B44E81CD-D0DD-4BAA-A678-F0345C6160BC}"/>
    <cellStyle name="Output 5 2 2 5 2" xfId="18829" xr:uid="{F0068C0C-B190-4AFC-B87A-F129B2D1B010}"/>
    <cellStyle name="Output 5 2 2 5 3" xfId="36928" xr:uid="{93E09AD9-2027-4840-A87B-40878474B122}"/>
    <cellStyle name="Output 5 2 2 6" xfId="18830" xr:uid="{58CD5768-08D5-4EAC-8093-4FE10D239CE7}"/>
    <cellStyle name="Output 5 2 2 6 2" xfId="18831" xr:uid="{15EBDCA5-7786-4AC2-BF85-54483CE62F83}"/>
    <cellStyle name="Output 5 2 2 6 3" xfId="36929" xr:uid="{42586EB2-D214-4F3D-B9E1-56A2A9234532}"/>
    <cellStyle name="Output 5 2 2 7" xfId="18832" xr:uid="{6796F7AE-C2A0-45C8-AD67-6675CAE4271C}"/>
    <cellStyle name="Output 5 2 2 7 2" xfId="18833" xr:uid="{F86E2117-7ABB-4E4A-8502-A00AF6436F93}"/>
    <cellStyle name="Output 5 2 2 7 3" xfId="36930" xr:uid="{F2D382C6-4690-4567-A3C1-56CD30A04291}"/>
    <cellStyle name="Output 5 2 2 8" xfId="18834" xr:uid="{3AAB4FD2-B000-438C-B578-F615C64228BB}"/>
    <cellStyle name="Output 5 2 2 8 2" xfId="18835" xr:uid="{E8113206-351B-4F3B-A303-368C807CE661}"/>
    <cellStyle name="Output 5 2 2 8 3" xfId="36931" xr:uid="{E448CD3D-31C6-466F-BC46-8808D5BC2AD3}"/>
    <cellStyle name="Output 5 2 2 9" xfId="18836" xr:uid="{3D715F7E-5641-4ACE-97A2-E5776E19AB6D}"/>
    <cellStyle name="Output 5 2 2 9 2" xfId="36932" xr:uid="{C95C8EE2-0DC2-4048-918C-67E3AFEF400A}"/>
    <cellStyle name="Output 5 2 2 9 3" xfId="36933" xr:uid="{DF54E901-886C-4CD5-9808-A0A9F88C783D}"/>
    <cellStyle name="Output 5 2 3" xfId="18837" xr:uid="{05FFE194-2716-45A3-9BBF-EA7C8AC02AF2}"/>
    <cellStyle name="Output 5 2 3 2" xfId="18838" xr:uid="{81D17191-E09C-4EF5-9000-D54C56B9A1F9}"/>
    <cellStyle name="Output 5 2 3 2 2" xfId="36934" xr:uid="{9100226B-BC81-4A43-A2F1-33C1B0D2376C}"/>
    <cellStyle name="Output 5 2 3 2 3" xfId="36935" xr:uid="{8F6D4DC4-DC52-4777-98BD-9B6F47D8FAAE}"/>
    <cellStyle name="Output 5 2 3 2 4" xfId="36936" xr:uid="{66DA1792-F36F-4217-BC84-8F14E6BF70DF}"/>
    <cellStyle name="Output 5 2 3 3" xfId="18839" xr:uid="{4C16313F-4C2B-478D-B09C-FC0CFD3D5BA3}"/>
    <cellStyle name="Output 5 2 3 3 2" xfId="18840" xr:uid="{4E74C1A3-3B2B-4FF8-B1FD-E5B0F12BFD9B}"/>
    <cellStyle name="Output 5 2 3 4" xfId="18841" xr:uid="{736D25DF-82EB-487D-9857-A0FF25838009}"/>
    <cellStyle name="Output 5 2 3 5" xfId="36937" xr:uid="{B50D38B6-5D41-440F-BDD7-377267831FE1}"/>
    <cellStyle name="Output 5 2 4" xfId="18842" xr:uid="{A677F02A-948D-4F92-B2EE-106F252364FF}"/>
    <cellStyle name="Output 5 2 4 2" xfId="18843" xr:uid="{85DB4EB1-5C6D-4DBB-9A44-CD83B377A6E8}"/>
    <cellStyle name="Output 5 2 4 2 2" xfId="36938" xr:uid="{C3C2620A-A086-4874-8CA8-13CECC364987}"/>
    <cellStyle name="Output 5 2 4 2 3" xfId="36939" xr:uid="{CCE2DBE5-D904-4F1B-BC36-F0CADC5905EA}"/>
    <cellStyle name="Output 5 2 4 3" xfId="18844" xr:uid="{B496F1F9-29EA-4CC0-A1EE-C688670CEA8C}"/>
    <cellStyle name="Output 5 2 4 4" xfId="36940" xr:uid="{362D4D83-BC51-4F4C-85A7-C6C97F4090A2}"/>
    <cellStyle name="Output 5 2 4 5" xfId="36941" xr:uid="{C4415D11-F5BC-4C48-B39D-3793F945A45E}"/>
    <cellStyle name="Output 5 2 5" xfId="18845" xr:uid="{FA9BD796-44D9-4404-BC02-D1293DA02CFB}"/>
    <cellStyle name="Output 5 2 5 2" xfId="18846" xr:uid="{6107EB98-4738-4F6E-82EA-9B75A11237DA}"/>
    <cellStyle name="Output 5 2 5 2 2" xfId="36942" xr:uid="{B360C44F-F24B-477D-A64E-2C6AEF93A09D}"/>
    <cellStyle name="Output 5 2 5 2 3" xfId="36943" xr:uid="{2ED3D36A-B818-4C33-A725-57208CDB9FDA}"/>
    <cellStyle name="Output 5 2 5 3" xfId="36944" xr:uid="{DD343D2A-9D9E-4433-9CA6-1595B82D0CC6}"/>
    <cellStyle name="Output 5 2 5 4" xfId="36945" xr:uid="{16619407-7FAA-4EC9-B26E-2474E5108323}"/>
    <cellStyle name="Output 5 2 6" xfId="18847" xr:uid="{BA90CDE4-1CEC-4913-8DAB-B62338D2D076}"/>
    <cellStyle name="Output 5 2 6 2" xfId="18848" xr:uid="{53008BE5-A1F2-427C-BA1F-8188122BFBBB}"/>
    <cellStyle name="Output 5 2 6 3" xfId="36946" xr:uid="{62854E97-1860-4642-9702-976FE31DD4AC}"/>
    <cellStyle name="Output 5 2 7" xfId="18849" xr:uid="{BE5FBA63-D7FA-4560-A76C-0CB25352D97F}"/>
    <cellStyle name="Output 5 2 7 2" xfId="18850" xr:uid="{9D9232E8-0F9B-4B05-9350-00B3C6EF3766}"/>
    <cellStyle name="Output 5 2 7 3" xfId="36947" xr:uid="{5BDEBB8F-29FE-4D54-B8B5-A4C1CB0D4885}"/>
    <cellStyle name="Output 5 2 8" xfId="18851" xr:uid="{FB4F10D0-612D-429D-835F-62285823555B}"/>
    <cellStyle name="Output 5 2 8 2" xfId="18852" xr:uid="{7CDB8C51-A42E-4924-AD2A-686B62B43871}"/>
    <cellStyle name="Output 5 2 8 3" xfId="36948" xr:uid="{CB0BFF99-7138-4646-A8CC-8ECF06BA5674}"/>
    <cellStyle name="Output 5 2 9" xfId="18853" xr:uid="{EB826608-4417-41B0-A4A1-AF37057EFF35}"/>
    <cellStyle name="Output 5 2 9 2" xfId="18854" xr:uid="{156A0C4F-4933-4DF4-9B05-743ACFC22EE9}"/>
    <cellStyle name="Output 5 2 9 3" xfId="36949" xr:uid="{04EEA518-B199-48E4-ABF4-5992925F0042}"/>
    <cellStyle name="Output 5 20" xfId="18855" xr:uid="{C59195A9-C381-4E27-AA6F-996F87C8F72F}"/>
    <cellStyle name="Output 5 20 2" xfId="36950" xr:uid="{67392837-959D-44E8-A839-17C846360166}"/>
    <cellStyle name="Output 5 20 3" xfId="36951" xr:uid="{470AB8B6-5136-4721-A757-250F368E00E0}"/>
    <cellStyle name="Output 5 21" xfId="18856" xr:uid="{8D894C68-B486-4F01-B2D8-53975270CA02}"/>
    <cellStyle name="Output 5 21 2" xfId="36952" xr:uid="{5C983D16-6789-4A53-A774-E212E9155190}"/>
    <cellStyle name="Output 5 22" xfId="36953" xr:uid="{34DE73CE-999C-43E3-A1C1-2703BB674AC4}"/>
    <cellStyle name="Output 5 23" xfId="36954" xr:uid="{534F8F92-8338-44A9-BBAD-8A6E7D873C11}"/>
    <cellStyle name="Output 5 24" xfId="43045" xr:uid="{43B3F036-7C44-49CB-86F3-F8D12355F15F}"/>
    <cellStyle name="Output 5 25" xfId="42210" xr:uid="{A266DE50-3416-42A6-A2D2-65BDE7312593}"/>
    <cellStyle name="Output 5 26" xfId="43963" xr:uid="{C6D39609-6CF9-4F2E-821F-1FD510509861}"/>
    <cellStyle name="Output 5 3" xfId="18857" xr:uid="{7F3CC3B1-C893-4025-9610-D816EFA46388}"/>
    <cellStyle name="Output 5 3 10" xfId="18858" xr:uid="{6FF7C316-888A-4F5E-81EB-42688085B751}"/>
    <cellStyle name="Output 5 3 10 2" xfId="36955" xr:uid="{3E4C3DF2-EF29-49DA-A38E-4F9D1D05B484}"/>
    <cellStyle name="Output 5 3 10 3" xfId="36956" xr:uid="{0D039F3E-41F6-4082-BF93-2C42F0485E17}"/>
    <cellStyle name="Output 5 3 11" xfId="18859" xr:uid="{FB10C93F-7A30-44F1-9FD7-BC6D5AE82D77}"/>
    <cellStyle name="Output 5 3 11 2" xfId="36957" xr:uid="{E3E8607F-944F-44CE-A6F1-596132930ABC}"/>
    <cellStyle name="Output 5 3 12" xfId="36958" xr:uid="{85966DB8-D42A-4A98-8A3D-9407F2F9100A}"/>
    <cellStyle name="Output 5 3 2" xfId="18860" xr:uid="{22F9B744-6693-4470-83E6-E5F493B30239}"/>
    <cellStyle name="Output 5 3 2 10" xfId="18861" xr:uid="{22B2630B-17B7-45DC-9AB5-EE05112D5223}"/>
    <cellStyle name="Output 5 3 2 10 2" xfId="36959" xr:uid="{ADBEFC41-F7B0-487A-991A-210A760F7BF4}"/>
    <cellStyle name="Output 5 3 2 11" xfId="36960" xr:uid="{CBAAFCDE-4BEC-4A30-BC12-DA175569E700}"/>
    <cellStyle name="Output 5 3 2 2" xfId="18862" xr:uid="{065B6181-4E8D-4359-8468-D3B764742392}"/>
    <cellStyle name="Output 5 3 2 2 2" xfId="18863" xr:uid="{DC7CBDEB-43AF-4E93-8CF3-376DBDAA6AEA}"/>
    <cellStyle name="Output 5 3 2 2 2 2" xfId="36961" xr:uid="{B66A2EEE-2E9B-4BE3-A50A-E6D774639089}"/>
    <cellStyle name="Output 5 3 2 2 2 3" xfId="36962" xr:uid="{91EA4CA8-BB74-4FE5-888B-6A8CA4B49890}"/>
    <cellStyle name="Output 5 3 2 2 3" xfId="18864" xr:uid="{AE6A103A-01F5-4A0E-A046-6630914C69B8}"/>
    <cellStyle name="Output 5 3 2 2 3 2" xfId="18865" xr:uid="{72059630-BB86-4127-9A9A-B3D2654FA91A}"/>
    <cellStyle name="Output 5 3 2 2 4" xfId="18866" xr:uid="{91A313EC-A802-469C-A2E6-422F6268E2C0}"/>
    <cellStyle name="Output 5 3 2 2 5" xfId="36963" xr:uid="{780C899A-8BAC-4163-A7EC-3DA7DB8FF8A4}"/>
    <cellStyle name="Output 5 3 2 3" xfId="18867" xr:uid="{4334DBA3-EB04-418E-9292-84EF4DE36346}"/>
    <cellStyle name="Output 5 3 2 3 2" xfId="18868" xr:uid="{30DC9E70-CBD7-4DDD-8C6F-2C6B7766F385}"/>
    <cellStyle name="Output 5 3 2 3 3" xfId="36964" xr:uid="{4CF33AF7-4042-4104-9F1C-185953577972}"/>
    <cellStyle name="Output 5 3 2 4" xfId="18869" xr:uid="{BA7532D1-B0AE-4F02-8B8C-A5891BD42759}"/>
    <cellStyle name="Output 5 3 2 4 2" xfId="18870" xr:uid="{958E4EB9-9B4B-4A49-B1DA-BD2A78E3CBC3}"/>
    <cellStyle name="Output 5 3 2 4 3" xfId="36965" xr:uid="{639A48F3-634D-4AB0-A102-0FB17FC44C0D}"/>
    <cellStyle name="Output 5 3 2 5" xfId="18871" xr:uid="{E3B1C9BB-BA8F-4EA9-AC2D-3000264AD28F}"/>
    <cellStyle name="Output 5 3 2 5 2" xfId="18872" xr:uid="{A752C508-B5E1-4865-AB6E-6B441599E750}"/>
    <cellStyle name="Output 5 3 2 5 3" xfId="36966" xr:uid="{FEE87F13-9F22-4AA1-B5E8-69FAC8E1D7E6}"/>
    <cellStyle name="Output 5 3 2 6" xfId="18873" xr:uid="{43035D0F-D61E-4243-AA54-20439ACA2469}"/>
    <cellStyle name="Output 5 3 2 6 2" xfId="18874" xr:uid="{C8932A3E-2466-4148-A544-63EFC1215B24}"/>
    <cellStyle name="Output 5 3 2 6 3" xfId="36967" xr:uid="{57BA9C23-FE03-4CE1-8A18-642A2837B614}"/>
    <cellStyle name="Output 5 3 2 7" xfId="18875" xr:uid="{B71C3826-47E5-4260-8FDB-8203F398BB4E}"/>
    <cellStyle name="Output 5 3 2 7 2" xfId="18876" xr:uid="{C8DA605A-9C56-47BB-AE3C-A072847FA456}"/>
    <cellStyle name="Output 5 3 2 7 3" xfId="36968" xr:uid="{0724855B-0FE4-4729-997F-CD34A5168A80}"/>
    <cellStyle name="Output 5 3 2 8" xfId="18877" xr:uid="{110F5968-0FDD-4E55-9FE2-8526495692B4}"/>
    <cellStyle name="Output 5 3 2 8 2" xfId="18878" xr:uid="{B6DE5D6C-16AA-4AFB-A0DD-9BCC29D31E3A}"/>
    <cellStyle name="Output 5 3 2 8 3" xfId="36969" xr:uid="{6CEE6285-7E19-4C54-A957-B0CBED16E65B}"/>
    <cellStyle name="Output 5 3 2 9" xfId="18879" xr:uid="{87BE52C0-3B8A-4528-931C-0DE06250D91B}"/>
    <cellStyle name="Output 5 3 2 9 2" xfId="36970" xr:uid="{423D3E27-1FBC-4F15-89F7-94FD7E31C6A6}"/>
    <cellStyle name="Output 5 3 2 9 3" xfId="36971" xr:uid="{07CED5D6-48EC-4885-9C4E-9A42E636E576}"/>
    <cellStyle name="Output 5 3 3" xfId="18880" xr:uid="{AD8EF179-EEFE-4D33-AAE8-90B176948C0B}"/>
    <cellStyle name="Output 5 3 3 2" xfId="18881" xr:uid="{78A4805A-D118-42F1-8A52-678E3CA8EBEF}"/>
    <cellStyle name="Output 5 3 3 2 2" xfId="36972" xr:uid="{235FC5AE-8868-466F-BC16-9CA8E4776152}"/>
    <cellStyle name="Output 5 3 3 2 3" xfId="36973" xr:uid="{5E65BE57-7B66-46C5-B3BE-35850E76BC48}"/>
    <cellStyle name="Output 5 3 3 2 4" xfId="36974" xr:uid="{34930D1B-6A36-499C-8491-430E63E71FAF}"/>
    <cellStyle name="Output 5 3 3 3" xfId="18882" xr:uid="{B4D4AE8F-2CB9-404F-9D8C-B109B1FFC9BE}"/>
    <cellStyle name="Output 5 3 3 3 2" xfId="18883" xr:uid="{119C377B-48B9-4EA1-8EC5-61637400D751}"/>
    <cellStyle name="Output 5 3 3 4" xfId="18884" xr:uid="{6CAD41A3-F560-4257-8379-2B6BFC48170D}"/>
    <cellStyle name="Output 5 3 3 5" xfId="36975" xr:uid="{54D5C102-10FB-437A-83E5-A9FF6E111A67}"/>
    <cellStyle name="Output 5 3 4" xfId="18885" xr:uid="{7B7EF2CC-D803-4E99-8D2D-74F40A1426A0}"/>
    <cellStyle name="Output 5 3 4 2" xfId="18886" xr:uid="{97051484-92A2-416E-AA7E-0B18BBB9086B}"/>
    <cellStyle name="Output 5 3 4 2 2" xfId="36976" xr:uid="{E61DEA98-B16D-4142-9F4B-354D408F8BCB}"/>
    <cellStyle name="Output 5 3 4 2 3" xfId="36977" xr:uid="{12B8F681-1A35-4A1F-B90D-5F0C5BA4A4F7}"/>
    <cellStyle name="Output 5 3 4 3" xfId="18887" xr:uid="{9AD540F0-691C-432C-8379-5D0012090593}"/>
    <cellStyle name="Output 5 3 4 4" xfId="36978" xr:uid="{1AB65D6A-1E4E-4150-9543-4C7E957543C6}"/>
    <cellStyle name="Output 5 3 4 5" xfId="36979" xr:uid="{BB753A65-F439-4D3A-8931-54B42EDC0E95}"/>
    <cellStyle name="Output 5 3 5" xfId="18888" xr:uid="{C5A6F82C-298E-440D-B187-B5EE7FC0DAD3}"/>
    <cellStyle name="Output 5 3 5 2" xfId="18889" xr:uid="{734D1CBC-B00C-4BF2-9B8F-BD6C00075448}"/>
    <cellStyle name="Output 5 3 5 2 2" xfId="36980" xr:uid="{01C45D8D-C8F0-4787-B989-D80532E6AE3D}"/>
    <cellStyle name="Output 5 3 5 2 3" xfId="36981" xr:uid="{D9E045A1-DF5B-4D69-94F5-B9D6492D2BC7}"/>
    <cellStyle name="Output 5 3 5 3" xfId="36982" xr:uid="{69645E71-3DD7-4B43-9167-62CCC0A459DC}"/>
    <cellStyle name="Output 5 3 5 4" xfId="36983" xr:uid="{046D8E4C-FFE7-4BF2-9061-DFEE2D355A37}"/>
    <cellStyle name="Output 5 3 6" xfId="18890" xr:uid="{67BDF774-CC39-42CC-A0D4-5F5B818E07FF}"/>
    <cellStyle name="Output 5 3 6 2" xfId="18891" xr:uid="{66443375-D2FB-4B32-8A1D-405174F56852}"/>
    <cellStyle name="Output 5 3 6 3" xfId="36984" xr:uid="{68E82711-CDF8-44F8-AE99-D349701BE9C1}"/>
    <cellStyle name="Output 5 3 7" xfId="18892" xr:uid="{214EAE8D-0107-4D0E-8B44-BBF61EBA06BE}"/>
    <cellStyle name="Output 5 3 7 2" xfId="18893" xr:uid="{1D2ED1BA-6FDB-43BC-A597-FC1379DB8960}"/>
    <cellStyle name="Output 5 3 7 3" xfId="36985" xr:uid="{56EAE790-45BD-4814-8190-F4D44877DB6F}"/>
    <cellStyle name="Output 5 3 8" xfId="18894" xr:uid="{4B565635-DA46-4E2E-BB8C-71C52F66B1B3}"/>
    <cellStyle name="Output 5 3 8 2" xfId="18895" xr:uid="{E5C42082-F590-4B6E-A9E3-A7E31A54644C}"/>
    <cellStyle name="Output 5 3 8 3" xfId="36986" xr:uid="{EAE5E351-3C5F-4180-AD6C-E7AD6DB2EA63}"/>
    <cellStyle name="Output 5 3 9" xfId="18896" xr:uid="{8E600C36-B947-40CE-84F5-6766539568EB}"/>
    <cellStyle name="Output 5 3 9 2" xfId="18897" xr:uid="{507B69C1-43AD-4AFA-B9CB-64DC555AD7AE}"/>
    <cellStyle name="Output 5 3 9 3" xfId="36987" xr:uid="{6C864D98-AE36-43C8-BC4F-43BE110302AA}"/>
    <cellStyle name="Output 5 4" xfId="18898" xr:uid="{59BF96A9-9162-4002-9396-12C3EC820491}"/>
    <cellStyle name="Output 5 4 10" xfId="18899" xr:uid="{E8CC4F97-4EA5-4993-BAC2-AAFD9F2BE9D5}"/>
    <cellStyle name="Output 5 4 10 2" xfId="36988" xr:uid="{469210B2-AECC-43D1-8ED9-E005AFB8DBE1}"/>
    <cellStyle name="Output 5 4 10 3" xfId="36989" xr:uid="{F7E9B634-8307-436B-B4A7-F7965D340C2C}"/>
    <cellStyle name="Output 5 4 11" xfId="18900" xr:uid="{3F81097C-EC83-483C-AEFD-DD33EBC64448}"/>
    <cellStyle name="Output 5 4 11 2" xfId="36990" xr:uid="{C640C304-5376-4F0F-9583-B1CCB3A47299}"/>
    <cellStyle name="Output 5 4 12" xfId="36991" xr:uid="{DA761D75-AA3F-4487-9768-C5A287FC197F}"/>
    <cellStyle name="Output 5 4 2" xfId="18901" xr:uid="{12D0AEF9-5902-4226-9A33-7630018945EA}"/>
    <cellStyle name="Output 5 4 2 10" xfId="18902" xr:uid="{16AB1412-4039-4408-B669-D7F0BEB25694}"/>
    <cellStyle name="Output 5 4 2 10 2" xfId="36992" xr:uid="{7C6B8025-4C15-471D-8E9B-26AD7E3DA211}"/>
    <cellStyle name="Output 5 4 2 11" xfId="36993" xr:uid="{EACDCBB2-83BF-476F-A1B3-6C58D44844E0}"/>
    <cellStyle name="Output 5 4 2 2" xfId="18903" xr:uid="{022BFF1A-915A-4AE0-8C65-F3D58BABF080}"/>
    <cellStyle name="Output 5 4 2 2 2" xfId="18904" xr:uid="{E405698C-CE40-4DC4-BF20-2BF5A5B71554}"/>
    <cellStyle name="Output 5 4 2 2 2 2" xfId="36994" xr:uid="{D1651F93-3B4F-4F31-B595-7DA2CA8925F2}"/>
    <cellStyle name="Output 5 4 2 2 2 3" xfId="36995" xr:uid="{13FAD4C5-FF1E-4479-937E-BA993146D94C}"/>
    <cellStyle name="Output 5 4 2 2 3" xfId="18905" xr:uid="{327851B9-15C3-4B1F-B3A0-8EEAA23B12A7}"/>
    <cellStyle name="Output 5 4 2 2 3 2" xfId="18906" xr:uid="{9BA7361C-8096-40C8-A596-3E7A586FB50B}"/>
    <cellStyle name="Output 5 4 2 2 4" xfId="18907" xr:uid="{57BC9213-CE42-4ED2-8EE8-57CFDC54518B}"/>
    <cellStyle name="Output 5 4 2 2 5" xfId="36996" xr:uid="{FDE5BAE6-0E2E-4F68-B4AB-E45D86EE2D44}"/>
    <cellStyle name="Output 5 4 2 3" xfId="18908" xr:uid="{1FA296B9-2077-4333-AB2D-B7314552ED8A}"/>
    <cellStyle name="Output 5 4 2 3 2" xfId="18909" xr:uid="{B8822A7C-AA29-4724-88CC-6E890CBB22EF}"/>
    <cellStyle name="Output 5 4 2 3 3" xfId="36997" xr:uid="{01E2FDE9-F811-4E07-9C36-05CCA206866D}"/>
    <cellStyle name="Output 5 4 2 4" xfId="18910" xr:uid="{21597BF6-07F8-4D1D-973F-0E621708AFF7}"/>
    <cellStyle name="Output 5 4 2 4 2" xfId="18911" xr:uid="{347E0877-0F4B-4A6F-BF4A-E18369A4A694}"/>
    <cellStyle name="Output 5 4 2 4 3" xfId="36998" xr:uid="{79BF6035-9A9A-4C0D-AAED-DB7EE4DC6FD4}"/>
    <cellStyle name="Output 5 4 2 5" xfId="18912" xr:uid="{7A5FE284-7AC5-474C-9BDC-7F2FA3561218}"/>
    <cellStyle name="Output 5 4 2 5 2" xfId="18913" xr:uid="{0131DA32-6E41-43B4-B23D-9EB35E3CCD0C}"/>
    <cellStyle name="Output 5 4 2 5 3" xfId="36999" xr:uid="{CDE5517B-3565-4E80-86FF-F09D32DEE1A1}"/>
    <cellStyle name="Output 5 4 2 6" xfId="18914" xr:uid="{1D2B49B4-7E7C-4575-A954-BD6FA5B4EC1C}"/>
    <cellStyle name="Output 5 4 2 6 2" xfId="18915" xr:uid="{28B94BE9-0C00-473E-AB3D-3785285A9470}"/>
    <cellStyle name="Output 5 4 2 6 3" xfId="37000" xr:uid="{225EE164-6618-493F-98DF-34925D34D793}"/>
    <cellStyle name="Output 5 4 2 7" xfId="18916" xr:uid="{3629B476-615A-4D25-BEA2-AF2D46CC3751}"/>
    <cellStyle name="Output 5 4 2 7 2" xfId="18917" xr:uid="{94BE737B-7DFF-4D74-B97B-C223BC667FBC}"/>
    <cellStyle name="Output 5 4 2 7 3" xfId="37001" xr:uid="{A9D78E55-C92D-4FA0-8D66-9A2CFAB6EAB7}"/>
    <cellStyle name="Output 5 4 2 8" xfId="18918" xr:uid="{BE0CC291-BCA7-49FE-B11A-75CB1C8FC86A}"/>
    <cellStyle name="Output 5 4 2 8 2" xfId="18919" xr:uid="{70D7FE59-4733-45CC-9961-0F9BE700B376}"/>
    <cellStyle name="Output 5 4 2 8 3" xfId="37002" xr:uid="{5D887C50-3AB1-49FD-A8E7-EFCA11BA16AB}"/>
    <cellStyle name="Output 5 4 2 9" xfId="18920" xr:uid="{784D0392-68B5-4CA9-96D3-B420FCFFB377}"/>
    <cellStyle name="Output 5 4 2 9 2" xfId="37003" xr:uid="{BA5B2143-F394-4721-8702-89A7A2D0E5D7}"/>
    <cellStyle name="Output 5 4 2 9 3" xfId="37004" xr:uid="{E0255F0B-F686-44F7-934C-9B26F0200A2F}"/>
    <cellStyle name="Output 5 4 3" xfId="18921" xr:uid="{809F3B48-44E9-486E-B20C-332D58BC7668}"/>
    <cellStyle name="Output 5 4 3 2" xfId="18922" xr:uid="{3383A069-8382-4D99-AEB9-B9FE422DA877}"/>
    <cellStyle name="Output 5 4 3 2 2" xfId="37005" xr:uid="{37EAA5CF-10A4-4E26-B9D0-5CE2B358D5D6}"/>
    <cellStyle name="Output 5 4 3 2 3" xfId="37006" xr:uid="{AF5FD250-66CA-417E-9FB7-9299B24DCF52}"/>
    <cellStyle name="Output 5 4 3 2 4" xfId="37007" xr:uid="{ED30BC95-E4FA-4B67-8D9D-1CF7D4F4E5A8}"/>
    <cellStyle name="Output 5 4 3 3" xfId="18923" xr:uid="{2A10F685-954F-452D-A9FD-4F67A588B027}"/>
    <cellStyle name="Output 5 4 3 3 2" xfId="18924" xr:uid="{3F402DA2-2A3C-4D6A-B0C9-08A65FBB71FC}"/>
    <cellStyle name="Output 5 4 3 4" xfId="18925" xr:uid="{7F2E5490-5F86-4565-9212-676EBDF912DB}"/>
    <cellStyle name="Output 5 4 3 5" xfId="37008" xr:uid="{F116B4F8-FA66-4361-A71B-305177D679F8}"/>
    <cellStyle name="Output 5 4 4" xfId="18926" xr:uid="{B1637A68-1921-4B1C-AAD6-A8E5CCAD2582}"/>
    <cellStyle name="Output 5 4 4 2" xfId="18927" xr:uid="{5002FC8A-CA1B-47EF-B718-AF473AE33583}"/>
    <cellStyle name="Output 5 4 4 2 2" xfId="37009" xr:uid="{00701C86-F170-45D8-B46B-5AC9D950FCF2}"/>
    <cellStyle name="Output 5 4 4 2 3" xfId="37010" xr:uid="{888D7032-8117-495D-90A7-88D4414F3EBC}"/>
    <cellStyle name="Output 5 4 4 3" xfId="18928" xr:uid="{B442526A-E5F5-4E26-BED7-EB73B2DB473A}"/>
    <cellStyle name="Output 5 4 4 4" xfId="37011" xr:uid="{E3387ADA-DB30-485E-BA18-B7818D3DF4FB}"/>
    <cellStyle name="Output 5 4 4 5" xfId="37012" xr:uid="{57A48C9F-A614-4DA5-A544-C1E971968D38}"/>
    <cellStyle name="Output 5 4 5" xfId="18929" xr:uid="{D1BA131B-492C-4995-9DE0-0BCC95C9F3A6}"/>
    <cellStyle name="Output 5 4 5 2" xfId="18930" xr:uid="{B9B4F8A2-C77D-44A3-A6E9-1F6252211AF0}"/>
    <cellStyle name="Output 5 4 5 2 2" xfId="37013" xr:uid="{707ACF14-AB27-49E1-BB4A-B8391933BB02}"/>
    <cellStyle name="Output 5 4 5 2 3" xfId="37014" xr:uid="{A841A04C-B185-4C47-8C42-AF445C7C8FFC}"/>
    <cellStyle name="Output 5 4 5 3" xfId="37015" xr:uid="{B4DC812A-B25E-4094-9348-69BB6F6FF658}"/>
    <cellStyle name="Output 5 4 5 4" xfId="37016" xr:uid="{F4C30B78-BC93-4067-9D5F-DE82DC7AE64A}"/>
    <cellStyle name="Output 5 4 6" xfId="18931" xr:uid="{B29A5E76-0E2F-4507-A712-8F7435B2F88B}"/>
    <cellStyle name="Output 5 4 6 2" xfId="18932" xr:uid="{1969A95B-001D-48FC-83B2-E6DCDD00871D}"/>
    <cellStyle name="Output 5 4 6 3" xfId="37017" xr:uid="{3DDBFC68-298E-4DE6-A844-FE4FBC1D9AB9}"/>
    <cellStyle name="Output 5 4 7" xfId="18933" xr:uid="{8CA2994C-994E-4DD9-A40A-82CF2B67BC7E}"/>
    <cellStyle name="Output 5 4 7 2" xfId="18934" xr:uid="{7F65ADC0-7E4B-42B8-84A5-2FB3DCDDCA20}"/>
    <cellStyle name="Output 5 4 7 3" xfId="37018" xr:uid="{5DFD5019-4C2D-429F-8AAE-9A398F110FD3}"/>
    <cellStyle name="Output 5 4 8" xfId="18935" xr:uid="{D62857DA-1771-4DDC-AD13-081C1D9752C4}"/>
    <cellStyle name="Output 5 4 8 2" xfId="18936" xr:uid="{07064868-397E-4263-9E63-645196CEE5F5}"/>
    <cellStyle name="Output 5 4 8 3" xfId="37019" xr:uid="{8FF5BD9A-F19A-47BE-9941-C52496E60EBF}"/>
    <cellStyle name="Output 5 4 9" xfId="18937" xr:uid="{ADDF34F9-A2DD-4DEC-BF44-AA075F87924C}"/>
    <cellStyle name="Output 5 4 9 2" xfId="18938" xr:uid="{17ED4B0E-6944-442A-A716-1AC77D535BB1}"/>
    <cellStyle name="Output 5 4 9 3" xfId="37020" xr:uid="{D6B71514-FC95-4FC5-A9B0-60AF813A8A83}"/>
    <cellStyle name="Output 5 5" xfId="18939" xr:uid="{ACCFC42A-1C34-4494-88A8-A023900DCCEE}"/>
    <cellStyle name="Output 5 5 10" xfId="18940" xr:uid="{3D492810-AA2C-42EC-AA2F-02C66141CCB8}"/>
    <cellStyle name="Output 5 5 10 2" xfId="37021" xr:uid="{2EFFFE52-8290-4BD5-9647-28420D24925F}"/>
    <cellStyle name="Output 5 5 10 3" xfId="37022" xr:uid="{D86BCE8C-DB3C-4346-9E2B-1FD8A41A1D81}"/>
    <cellStyle name="Output 5 5 11" xfId="18941" xr:uid="{10A5DB21-4020-40DA-B95F-0253BAEA4422}"/>
    <cellStyle name="Output 5 5 11 2" xfId="37023" xr:uid="{330D7521-1656-422F-94FC-B311C4D99274}"/>
    <cellStyle name="Output 5 5 12" xfId="37024" xr:uid="{2AE967B9-4D2B-47B0-8B2A-80A8BAE2CB23}"/>
    <cellStyle name="Output 5 5 2" xfId="18942" xr:uid="{6F749214-2A71-4A98-B0EF-8A6C016C4B52}"/>
    <cellStyle name="Output 5 5 2 10" xfId="18943" xr:uid="{14A5153C-60BF-4C30-BFF3-8CE9CCD9BA78}"/>
    <cellStyle name="Output 5 5 2 10 2" xfId="37025" xr:uid="{2F9D6E25-1D57-4DF3-A5ED-73B612B9B5B9}"/>
    <cellStyle name="Output 5 5 2 11" xfId="37026" xr:uid="{2B132D6B-26AF-4CA3-9A1F-A3E8CAC48D2A}"/>
    <cellStyle name="Output 5 5 2 2" xfId="18944" xr:uid="{2F1DE371-F021-458F-809D-3C28B05C11F4}"/>
    <cellStyle name="Output 5 5 2 2 2" xfId="18945" xr:uid="{045AC85D-E72D-4A73-B3CB-0C942EFF4635}"/>
    <cellStyle name="Output 5 5 2 2 2 2" xfId="37027" xr:uid="{3CA8C75B-1F07-4E48-9773-9C766CBF52B2}"/>
    <cellStyle name="Output 5 5 2 2 2 3" xfId="37028" xr:uid="{72679CC3-91E1-4C8D-B52F-C93717B5B061}"/>
    <cellStyle name="Output 5 5 2 2 3" xfId="18946" xr:uid="{BC6C0EB4-B889-49AD-865E-2534813AA111}"/>
    <cellStyle name="Output 5 5 2 2 3 2" xfId="18947" xr:uid="{61C1E941-0B53-46F4-AE15-472E35E1273B}"/>
    <cellStyle name="Output 5 5 2 2 4" xfId="18948" xr:uid="{0CCF9292-7100-4E6A-9ECE-96F4401121E2}"/>
    <cellStyle name="Output 5 5 2 2 5" xfId="37029" xr:uid="{49E08453-F969-4FA2-84C8-219BD0439A7F}"/>
    <cellStyle name="Output 5 5 2 3" xfId="18949" xr:uid="{766C4C89-73FD-4D85-9FDB-FD8D9B19E0C2}"/>
    <cellStyle name="Output 5 5 2 3 2" xfId="18950" xr:uid="{1607B436-6A61-4EB4-94BD-E8137C969EEA}"/>
    <cellStyle name="Output 5 5 2 3 3" xfId="37030" xr:uid="{43933FF7-428E-4613-870B-3D58ACE618BE}"/>
    <cellStyle name="Output 5 5 2 4" xfId="18951" xr:uid="{BE22C1C8-DF27-44AE-9D26-30E78CAE2890}"/>
    <cellStyle name="Output 5 5 2 4 2" xfId="18952" xr:uid="{7146B2DF-5449-4FBD-AC6C-9AB9716C3F9B}"/>
    <cellStyle name="Output 5 5 2 4 3" xfId="37031" xr:uid="{3837E0A3-906C-4BA4-9CF9-8F4D3FBA98D0}"/>
    <cellStyle name="Output 5 5 2 5" xfId="18953" xr:uid="{4ABE1502-EC17-4C1B-A0A4-D5688D65EDB4}"/>
    <cellStyle name="Output 5 5 2 5 2" xfId="18954" xr:uid="{EA98DB2D-CC0D-483D-AB1C-4A74BDFF31B3}"/>
    <cellStyle name="Output 5 5 2 5 3" xfId="37032" xr:uid="{87A92BFE-2195-4415-BADE-2CA02A03F446}"/>
    <cellStyle name="Output 5 5 2 6" xfId="18955" xr:uid="{8AF38072-2A85-40FE-BCE8-6EBBBFF6F7A3}"/>
    <cellStyle name="Output 5 5 2 6 2" xfId="18956" xr:uid="{B8DCFD7A-2728-4E6B-B918-046309D3E90A}"/>
    <cellStyle name="Output 5 5 2 6 3" xfId="37033" xr:uid="{1D1EA15B-D8FA-410B-AFDB-FDF143F4F97B}"/>
    <cellStyle name="Output 5 5 2 7" xfId="18957" xr:uid="{3BD02441-F206-4D64-82CF-08EE2AAF495A}"/>
    <cellStyle name="Output 5 5 2 7 2" xfId="18958" xr:uid="{3C421963-3DAC-4634-8589-6667E506EF6D}"/>
    <cellStyle name="Output 5 5 2 7 3" xfId="37034" xr:uid="{5EE18421-1B25-4D30-89BF-442ED515BB81}"/>
    <cellStyle name="Output 5 5 2 8" xfId="18959" xr:uid="{1EC7190B-8367-4AC9-BF99-F1A6F192C86A}"/>
    <cellStyle name="Output 5 5 2 8 2" xfId="18960" xr:uid="{42845943-3175-46D8-86DD-2F2B86757084}"/>
    <cellStyle name="Output 5 5 2 8 3" xfId="37035" xr:uid="{065AFD6B-C25E-4ABC-B73C-ACA900C8F464}"/>
    <cellStyle name="Output 5 5 2 9" xfId="18961" xr:uid="{5BC6C1C0-64F8-4593-857A-3BAB06A50CBE}"/>
    <cellStyle name="Output 5 5 2 9 2" xfId="37036" xr:uid="{92091B90-7BD8-4C48-8691-AD11FD5DDDA6}"/>
    <cellStyle name="Output 5 5 2 9 3" xfId="37037" xr:uid="{6CDCA720-8749-4741-B108-BA2226BC5466}"/>
    <cellStyle name="Output 5 5 3" xfId="18962" xr:uid="{D41AA5A9-AEAB-49CA-888C-1A0B6DA85D2F}"/>
    <cellStyle name="Output 5 5 3 2" xfId="18963" xr:uid="{9B3046DE-DA9C-4ED7-8D4D-4DF1427B958A}"/>
    <cellStyle name="Output 5 5 3 2 2" xfId="37038" xr:uid="{D0511AB3-A1B9-4B51-9DF2-4F1667C869DC}"/>
    <cellStyle name="Output 5 5 3 2 3" xfId="37039" xr:uid="{DF5A2F67-5667-4FBC-B054-2A95370014FD}"/>
    <cellStyle name="Output 5 5 3 2 4" xfId="37040" xr:uid="{16478D68-7FDF-4D9B-81BF-0AA695A29FE6}"/>
    <cellStyle name="Output 5 5 3 3" xfId="18964" xr:uid="{8736750A-51E7-47B5-9C22-A19066867460}"/>
    <cellStyle name="Output 5 5 3 3 2" xfId="18965" xr:uid="{0B818B4F-8EB2-455D-B245-912BEE2234D3}"/>
    <cellStyle name="Output 5 5 3 4" xfId="18966" xr:uid="{AD0909D1-C389-4262-8519-CAD221007D03}"/>
    <cellStyle name="Output 5 5 3 5" xfId="37041" xr:uid="{327D9C2D-9D91-4C27-A42A-869DD9BE498C}"/>
    <cellStyle name="Output 5 5 4" xfId="18967" xr:uid="{DA8A51C2-A9EC-47E8-844A-B60B4E5DEAC5}"/>
    <cellStyle name="Output 5 5 4 2" xfId="18968" xr:uid="{F2058779-194E-4EB7-AD49-639ADBDC8D0E}"/>
    <cellStyle name="Output 5 5 4 2 2" xfId="37042" xr:uid="{BEB55740-72F1-40EF-A410-C5140559F42C}"/>
    <cellStyle name="Output 5 5 4 2 3" xfId="37043" xr:uid="{2DA6ADD9-BD4A-4A77-9F23-3E6BE652B1FD}"/>
    <cellStyle name="Output 5 5 4 3" xfId="18969" xr:uid="{A0014C05-9556-4C53-A7E6-ABA7656AE1A8}"/>
    <cellStyle name="Output 5 5 4 4" xfId="37044" xr:uid="{3176AE67-087F-4A4E-8CE7-3FA5ECB97DD3}"/>
    <cellStyle name="Output 5 5 4 5" xfId="37045" xr:uid="{C639B3E0-FCF7-4073-821B-199F05DA7224}"/>
    <cellStyle name="Output 5 5 5" xfId="18970" xr:uid="{1962AFCC-BFF4-47E4-BBD8-055E37406390}"/>
    <cellStyle name="Output 5 5 5 2" xfId="18971" xr:uid="{8EEFB85A-8D0D-43A3-9339-1E6E0F704D49}"/>
    <cellStyle name="Output 5 5 5 2 2" xfId="37046" xr:uid="{65088885-A7C3-4592-8F71-B59E9231EE3B}"/>
    <cellStyle name="Output 5 5 5 2 3" xfId="37047" xr:uid="{508DE4F5-C2A2-48F1-A846-7B1F753F1BF0}"/>
    <cellStyle name="Output 5 5 5 3" xfId="37048" xr:uid="{4B7CB825-9EB2-4185-A963-7B6576F6C0C8}"/>
    <cellStyle name="Output 5 5 5 4" xfId="37049" xr:uid="{18389C66-BAB2-434F-8AD3-EF20E70AB5E1}"/>
    <cellStyle name="Output 5 5 6" xfId="18972" xr:uid="{67BBB7FE-0A5C-48F8-902E-AD58F10AD871}"/>
    <cellStyle name="Output 5 5 6 2" xfId="18973" xr:uid="{CA88D7F0-7003-4BA6-A4CF-E9E04F903D71}"/>
    <cellStyle name="Output 5 5 6 3" xfId="37050" xr:uid="{06EF0810-DFB6-4B18-A1C8-453DA714A1F0}"/>
    <cellStyle name="Output 5 5 7" xfId="18974" xr:uid="{4904089E-C362-4674-A5DF-F240D8657B12}"/>
    <cellStyle name="Output 5 5 7 2" xfId="18975" xr:uid="{F24A693F-69B9-4288-86D8-4FB51EFDF7F0}"/>
    <cellStyle name="Output 5 5 7 3" xfId="37051" xr:uid="{A9D4F72F-86C3-4C9E-B67B-5BB6E658900E}"/>
    <cellStyle name="Output 5 5 8" xfId="18976" xr:uid="{3CB9A73D-4F4B-4EED-8FA4-05332825C077}"/>
    <cellStyle name="Output 5 5 8 2" xfId="18977" xr:uid="{2754BCBB-FD88-4F5A-9B6C-AE4AE733E243}"/>
    <cellStyle name="Output 5 5 8 3" xfId="37052" xr:uid="{BD6E25E1-A269-4C14-B698-8F683C941D11}"/>
    <cellStyle name="Output 5 5 9" xfId="18978" xr:uid="{D8A5FCA1-503E-4C01-B96F-7E4030D1BB51}"/>
    <cellStyle name="Output 5 5 9 2" xfId="18979" xr:uid="{35BE8D7D-7BAE-438D-886F-656E02F7D7C2}"/>
    <cellStyle name="Output 5 5 9 3" xfId="37053" xr:uid="{67218C73-6D9C-4BB6-A88E-E7B937B6B016}"/>
    <cellStyle name="Output 5 6" xfId="18980" xr:uid="{7CE3F49A-909C-4C9C-8329-060ADAD089F6}"/>
    <cellStyle name="Output 5 6 10" xfId="18981" xr:uid="{DAF2571F-D599-415A-BC77-FC32DC31A534}"/>
    <cellStyle name="Output 5 6 10 2" xfId="37054" xr:uid="{52EEDB00-E8F7-4FC0-8D0A-4DDC87A5434C}"/>
    <cellStyle name="Output 5 6 10 3" xfId="37055" xr:uid="{816AC4EE-3C56-43D5-896D-2074E4A5765C}"/>
    <cellStyle name="Output 5 6 11" xfId="18982" xr:uid="{2726B417-46FB-4D37-8861-077ECF452CCC}"/>
    <cellStyle name="Output 5 6 11 2" xfId="37056" xr:uid="{44867719-89DF-437C-9ED5-CCFBF29FFBE8}"/>
    <cellStyle name="Output 5 6 12" xfId="37057" xr:uid="{0FFBB290-69FA-41CA-A89D-67E260F9D9DB}"/>
    <cellStyle name="Output 5 6 2" xfId="18983" xr:uid="{E21FD754-4FB8-46D2-9A0A-C2A7255E5153}"/>
    <cellStyle name="Output 5 6 2 10" xfId="18984" xr:uid="{77249BD3-97DF-4E1C-84BE-136091092A06}"/>
    <cellStyle name="Output 5 6 2 10 2" xfId="37058" xr:uid="{AF5B58D8-7CB3-492A-943B-0552590E884B}"/>
    <cellStyle name="Output 5 6 2 11" xfId="37059" xr:uid="{38DDABF7-F91C-40CA-A6D1-C85706D93D42}"/>
    <cellStyle name="Output 5 6 2 2" xfId="18985" xr:uid="{8235D247-BB51-4FDE-ABA5-F102B3B28DD2}"/>
    <cellStyle name="Output 5 6 2 2 2" xfId="18986" xr:uid="{3CD617D2-FFCC-4C8D-BC69-08EF6A9A7DEE}"/>
    <cellStyle name="Output 5 6 2 2 2 2" xfId="37060" xr:uid="{440DD160-4291-4B82-8143-2D1FE526E467}"/>
    <cellStyle name="Output 5 6 2 2 2 3" xfId="37061" xr:uid="{549480C7-C6F1-482E-8F71-5F7C4891E706}"/>
    <cellStyle name="Output 5 6 2 2 3" xfId="18987" xr:uid="{363EC82E-1A29-4B73-92CF-0C3322069990}"/>
    <cellStyle name="Output 5 6 2 2 3 2" xfId="18988" xr:uid="{BD6ACEA3-6FB4-4CC5-95A0-B8BE38726B30}"/>
    <cellStyle name="Output 5 6 2 2 4" xfId="18989" xr:uid="{B44FD313-B050-4763-87C7-19CBC48A9839}"/>
    <cellStyle name="Output 5 6 2 2 5" xfId="37062" xr:uid="{97C65E06-7ACA-4299-8F59-D60750D88731}"/>
    <cellStyle name="Output 5 6 2 3" xfId="18990" xr:uid="{EA491C52-6514-4B22-93F7-01B2125C7689}"/>
    <cellStyle name="Output 5 6 2 3 2" xfId="18991" xr:uid="{BA6BA59A-E977-45CB-9769-D0C548BDB2D7}"/>
    <cellStyle name="Output 5 6 2 3 3" xfId="37063" xr:uid="{7F979AB2-25F2-4C67-8EF8-0D32C9C824FC}"/>
    <cellStyle name="Output 5 6 2 4" xfId="18992" xr:uid="{B6EB8226-5595-48EC-B1B6-81CCF763B293}"/>
    <cellStyle name="Output 5 6 2 4 2" xfId="18993" xr:uid="{B3426349-7C01-46E2-B566-8A38EA154671}"/>
    <cellStyle name="Output 5 6 2 4 3" xfId="37064" xr:uid="{F8BA7215-E1A7-4E28-86BF-C6B276CC4250}"/>
    <cellStyle name="Output 5 6 2 5" xfId="18994" xr:uid="{FC288303-1C99-4AA6-B2CF-E5CF9C754295}"/>
    <cellStyle name="Output 5 6 2 5 2" xfId="18995" xr:uid="{6803862D-CD6E-4C8F-9989-FD4A35C7644F}"/>
    <cellStyle name="Output 5 6 2 5 3" xfId="37065" xr:uid="{6943C4E5-3C1D-4278-9758-7B214DC4EAEA}"/>
    <cellStyle name="Output 5 6 2 6" xfId="18996" xr:uid="{A28324D2-5DB6-4F5A-BA4D-74CA0F457B52}"/>
    <cellStyle name="Output 5 6 2 6 2" xfId="18997" xr:uid="{FA5164F6-F9B7-4668-87A5-C9C3EA50EDBC}"/>
    <cellStyle name="Output 5 6 2 6 3" xfId="37066" xr:uid="{4B2A478B-625B-42A5-A982-4A279AF8311D}"/>
    <cellStyle name="Output 5 6 2 7" xfId="18998" xr:uid="{6747A2F3-6262-415E-ABA6-7C79BB383EC9}"/>
    <cellStyle name="Output 5 6 2 7 2" xfId="18999" xr:uid="{4EA8C193-7796-49A4-ABC8-6EEC4C395FC1}"/>
    <cellStyle name="Output 5 6 2 7 3" xfId="37067" xr:uid="{993D859A-3D6D-42BD-A838-578255CE0135}"/>
    <cellStyle name="Output 5 6 2 8" xfId="19000" xr:uid="{237C6A63-B7C2-4800-998A-5F594BC6D83D}"/>
    <cellStyle name="Output 5 6 2 8 2" xfId="19001" xr:uid="{95464291-DCBD-4135-AC0D-F646DDACDFE5}"/>
    <cellStyle name="Output 5 6 2 8 3" xfId="37068" xr:uid="{BCCFA664-AC55-46FD-97F8-4DD80C615ECE}"/>
    <cellStyle name="Output 5 6 2 9" xfId="19002" xr:uid="{0425EA3A-A2A8-40BE-B5B2-14D54116AF9B}"/>
    <cellStyle name="Output 5 6 2 9 2" xfId="37069" xr:uid="{103261D3-FBCE-42BC-828B-D084361022D8}"/>
    <cellStyle name="Output 5 6 2 9 3" xfId="37070" xr:uid="{88DF12FE-524F-4FDE-9F29-EC036616CF7C}"/>
    <cellStyle name="Output 5 6 3" xfId="19003" xr:uid="{3B70B11D-E27E-48AF-B084-603137872578}"/>
    <cellStyle name="Output 5 6 3 2" xfId="19004" xr:uid="{F57DDF45-E454-47BD-8317-080CD9F202B8}"/>
    <cellStyle name="Output 5 6 3 2 2" xfId="37071" xr:uid="{771B2A2A-DD92-49C2-BD70-306083DB54A0}"/>
    <cellStyle name="Output 5 6 3 2 3" xfId="37072" xr:uid="{C0E540EE-2406-49BF-AB6C-3D47FB7D5EBA}"/>
    <cellStyle name="Output 5 6 3 2 4" xfId="37073" xr:uid="{A2BC32BE-4302-40B7-9E29-D8BC2644BB60}"/>
    <cellStyle name="Output 5 6 3 3" xfId="19005" xr:uid="{14B1C9FF-B74B-4438-B8D6-F4C5557384A2}"/>
    <cellStyle name="Output 5 6 3 3 2" xfId="19006" xr:uid="{91BCFF15-D1B2-4DA8-A1F4-3C1259E82BD3}"/>
    <cellStyle name="Output 5 6 3 4" xfId="19007" xr:uid="{0CEB3860-DBA1-4E05-BF7D-366AC9C14034}"/>
    <cellStyle name="Output 5 6 3 5" xfId="37074" xr:uid="{9D469EEA-5BF1-4665-9853-C808399244D3}"/>
    <cellStyle name="Output 5 6 4" xfId="19008" xr:uid="{1F72C09E-CFD4-40EF-9F1E-BACD2CFD764B}"/>
    <cellStyle name="Output 5 6 4 2" xfId="19009" xr:uid="{48754D3C-326C-4E94-B992-418CCC9F4EE6}"/>
    <cellStyle name="Output 5 6 4 2 2" xfId="37075" xr:uid="{ADD11FB7-B34D-4B13-8C93-547077446584}"/>
    <cellStyle name="Output 5 6 4 2 3" xfId="37076" xr:uid="{74B8C73F-C8A4-4565-9FCB-E1E35D1C40DF}"/>
    <cellStyle name="Output 5 6 4 3" xfId="19010" xr:uid="{26C91B3D-DC2C-47EE-8BFF-68FDDCD4BDE7}"/>
    <cellStyle name="Output 5 6 4 4" xfId="37077" xr:uid="{2A04500B-F577-47BC-9297-9545CFB7F877}"/>
    <cellStyle name="Output 5 6 4 5" xfId="37078" xr:uid="{FA1D3E98-5145-4030-9E20-FC51ED55B774}"/>
    <cellStyle name="Output 5 6 5" xfId="19011" xr:uid="{ECC2227A-27E2-4930-BBB3-87185EB2F777}"/>
    <cellStyle name="Output 5 6 5 2" xfId="19012" xr:uid="{B3DF8881-1ADA-49C4-AC2C-7EF5955E0271}"/>
    <cellStyle name="Output 5 6 5 2 2" xfId="37079" xr:uid="{4825C302-1D4F-46F7-BD69-BDEF0CE3F4E8}"/>
    <cellStyle name="Output 5 6 5 2 3" xfId="37080" xr:uid="{32FA01E1-F8A9-4A17-B4A8-0050FA6AABA6}"/>
    <cellStyle name="Output 5 6 5 3" xfId="37081" xr:uid="{69DD6B67-072B-4A2F-888F-EF7CD92A3620}"/>
    <cellStyle name="Output 5 6 5 4" xfId="37082" xr:uid="{8C672BCD-5A2C-4378-A982-E57097C7A31A}"/>
    <cellStyle name="Output 5 6 6" xfId="19013" xr:uid="{2B791376-403B-465B-B231-1594ACE77715}"/>
    <cellStyle name="Output 5 6 6 2" xfId="19014" xr:uid="{65C641B6-B53B-4ADD-9937-511E873180AB}"/>
    <cellStyle name="Output 5 6 6 3" xfId="37083" xr:uid="{D2F3B413-03F4-4313-B6C8-5BEEC5CE5D9A}"/>
    <cellStyle name="Output 5 6 7" xfId="19015" xr:uid="{CCCFD95A-242A-423A-82EA-037D7E78385D}"/>
    <cellStyle name="Output 5 6 7 2" xfId="19016" xr:uid="{49CF18B7-29EF-4C67-9BA0-F352B319E092}"/>
    <cellStyle name="Output 5 6 7 3" xfId="37084" xr:uid="{231FF582-89C7-4579-B95C-C7A1B72DEEA7}"/>
    <cellStyle name="Output 5 6 8" xfId="19017" xr:uid="{A8985297-2BF3-443D-9D16-2583A380EE01}"/>
    <cellStyle name="Output 5 6 8 2" xfId="19018" xr:uid="{8F4A78AC-E88F-4972-BF39-7E06C1971D10}"/>
    <cellStyle name="Output 5 6 8 3" xfId="37085" xr:uid="{8D7E9AAE-A886-4AE3-92F5-B66F02A0DC22}"/>
    <cellStyle name="Output 5 6 9" xfId="19019" xr:uid="{94A62D82-D4F3-4633-AD91-4B56894C1AE1}"/>
    <cellStyle name="Output 5 6 9 2" xfId="19020" xr:uid="{7AC50BB7-5725-4C52-AAF2-7D1AE21D255B}"/>
    <cellStyle name="Output 5 6 9 3" xfId="37086" xr:uid="{13E997AC-24AE-4B15-BE4F-C693A529C2C5}"/>
    <cellStyle name="Output 5 7" xfId="19021" xr:uid="{DF34152F-AD97-4DA4-AA5A-AEB2820643AD}"/>
    <cellStyle name="Output 5 7 10" xfId="19022" xr:uid="{1A9D2E9C-670A-4D49-8D31-25704170E542}"/>
    <cellStyle name="Output 5 7 10 2" xfId="37087" xr:uid="{44DE7949-1896-4445-8F3A-B3C99CC1419A}"/>
    <cellStyle name="Output 5 7 10 3" xfId="37088" xr:uid="{D5CF03EF-993F-48B9-88AA-2AAD153429DB}"/>
    <cellStyle name="Output 5 7 11" xfId="19023" xr:uid="{31AABDB1-967A-4BE5-B5B8-5A716FF26D1B}"/>
    <cellStyle name="Output 5 7 11 2" xfId="37089" xr:uid="{01F5C374-9801-4310-B9EF-84336E9262E8}"/>
    <cellStyle name="Output 5 7 12" xfId="37090" xr:uid="{8C492247-A3F3-4D4F-BA6A-DFD48BA64218}"/>
    <cellStyle name="Output 5 7 2" xfId="19024" xr:uid="{54619779-1890-469E-82C2-0C1C1C61BBCF}"/>
    <cellStyle name="Output 5 7 2 10" xfId="19025" xr:uid="{38967127-1104-4996-B67B-02D96A80E7E8}"/>
    <cellStyle name="Output 5 7 2 10 2" xfId="37091" xr:uid="{731A929D-1D7B-462D-AA58-EF8681C42DDE}"/>
    <cellStyle name="Output 5 7 2 11" xfId="37092" xr:uid="{B3C0B522-9A92-40C3-A242-3D5F4D65F9AA}"/>
    <cellStyle name="Output 5 7 2 2" xfId="19026" xr:uid="{BF938040-9295-4F4B-9E8A-0A008C8B578E}"/>
    <cellStyle name="Output 5 7 2 2 2" xfId="19027" xr:uid="{9412AA19-33ED-4B07-AFB6-F9C594A750AD}"/>
    <cellStyle name="Output 5 7 2 2 2 2" xfId="37093" xr:uid="{FFEAD611-18DE-4886-A300-297A895FE5ED}"/>
    <cellStyle name="Output 5 7 2 2 2 3" xfId="37094" xr:uid="{71755AB3-3D48-4F24-A1E3-008F73E11C8F}"/>
    <cellStyle name="Output 5 7 2 2 3" xfId="19028" xr:uid="{04E5E6B5-D0C0-4815-9C0C-0FBF490C04C3}"/>
    <cellStyle name="Output 5 7 2 2 3 2" xfId="19029" xr:uid="{5E5D3E74-062B-44D1-AD09-FB1337579E2B}"/>
    <cellStyle name="Output 5 7 2 2 4" xfId="19030" xr:uid="{28A265BD-7446-45B2-9409-BE4CD73FBB67}"/>
    <cellStyle name="Output 5 7 2 2 5" xfId="37095" xr:uid="{CD9F7023-287D-4823-9FF7-27ECBA9E437A}"/>
    <cellStyle name="Output 5 7 2 3" xfId="19031" xr:uid="{21CC0849-A1FF-4543-AF80-0E561525FA44}"/>
    <cellStyle name="Output 5 7 2 3 2" xfId="19032" xr:uid="{8DA36416-A749-4AFB-8372-ED3539B2C4BC}"/>
    <cellStyle name="Output 5 7 2 3 3" xfId="37096" xr:uid="{16C817AD-2F7C-47DC-A91C-A136AA2A6572}"/>
    <cellStyle name="Output 5 7 2 4" xfId="19033" xr:uid="{1A0B1E83-26FC-4906-8A48-10BC61CFCCA1}"/>
    <cellStyle name="Output 5 7 2 4 2" xfId="19034" xr:uid="{21710BF1-F805-47E7-8785-70BECE52B8FF}"/>
    <cellStyle name="Output 5 7 2 4 3" xfId="37097" xr:uid="{2EF425E4-9270-499C-B3AB-85DF7DC0D7D7}"/>
    <cellStyle name="Output 5 7 2 5" xfId="19035" xr:uid="{7007E023-3DF2-4114-B9F6-B23B27C382F9}"/>
    <cellStyle name="Output 5 7 2 5 2" xfId="19036" xr:uid="{F2BDBF69-4F59-4542-A4A4-C545DC100594}"/>
    <cellStyle name="Output 5 7 2 5 3" xfId="37098" xr:uid="{07BA7251-E578-4C53-9835-AB3221241A90}"/>
    <cellStyle name="Output 5 7 2 6" xfId="19037" xr:uid="{B0A722C2-876C-4B06-9AE2-2044EC83F56C}"/>
    <cellStyle name="Output 5 7 2 6 2" xfId="19038" xr:uid="{B6D54789-681E-4883-A510-18ADFAFB1FFA}"/>
    <cellStyle name="Output 5 7 2 6 3" xfId="37099" xr:uid="{29449B86-A6D6-4FD3-BEC9-EC1719C697B1}"/>
    <cellStyle name="Output 5 7 2 7" xfId="19039" xr:uid="{C5659412-4FD6-47C1-86AF-9886043CA564}"/>
    <cellStyle name="Output 5 7 2 7 2" xfId="19040" xr:uid="{3D9F3F63-42F7-4254-B182-B74694626AFA}"/>
    <cellStyle name="Output 5 7 2 7 3" xfId="37100" xr:uid="{D12661CC-527C-4C1C-84FD-051D9A4C1612}"/>
    <cellStyle name="Output 5 7 2 8" xfId="19041" xr:uid="{A2558077-645F-4C9E-8E55-0E1D96F40FCA}"/>
    <cellStyle name="Output 5 7 2 8 2" xfId="19042" xr:uid="{9C2C0085-2914-4077-BBFE-D2E273412B85}"/>
    <cellStyle name="Output 5 7 2 8 3" xfId="37101" xr:uid="{1EC57F19-6770-4D8F-B395-3AB1B42EF10C}"/>
    <cellStyle name="Output 5 7 2 9" xfId="19043" xr:uid="{E10E0ACE-3C11-4EF3-BDD1-31B6FE131BC0}"/>
    <cellStyle name="Output 5 7 2 9 2" xfId="37102" xr:uid="{9DD696E2-ED06-42F0-935F-292FD7A5CD82}"/>
    <cellStyle name="Output 5 7 2 9 3" xfId="37103" xr:uid="{997F3FBF-CB17-413B-BDF0-1A80DF93ACC7}"/>
    <cellStyle name="Output 5 7 3" xfId="19044" xr:uid="{7B6FF400-53BB-4454-8CD8-AF15E52CDD40}"/>
    <cellStyle name="Output 5 7 3 2" xfId="19045" xr:uid="{4B416189-C0D7-4C50-A4F4-C5B3953D9EB4}"/>
    <cellStyle name="Output 5 7 3 2 2" xfId="37104" xr:uid="{10EADD9A-3762-4DF4-9B12-FD8398718FAD}"/>
    <cellStyle name="Output 5 7 3 2 3" xfId="37105" xr:uid="{A555170A-F372-4539-A3D6-70F9F5E4637D}"/>
    <cellStyle name="Output 5 7 3 2 4" xfId="37106" xr:uid="{5917BC9F-E5D0-4A3C-9182-7D9FA92F18BB}"/>
    <cellStyle name="Output 5 7 3 3" xfId="19046" xr:uid="{F9B99564-D72F-4E3D-87D5-C6785B82C83B}"/>
    <cellStyle name="Output 5 7 3 3 2" xfId="19047" xr:uid="{F8E54F85-F636-44E2-A1FF-DBEB8B80C472}"/>
    <cellStyle name="Output 5 7 3 4" xfId="19048" xr:uid="{75DE05EE-7FE9-4711-8E72-42E6EE85AE38}"/>
    <cellStyle name="Output 5 7 3 5" xfId="37107" xr:uid="{250D535C-5EAF-4FD2-82F7-892E19E0AB80}"/>
    <cellStyle name="Output 5 7 4" xfId="19049" xr:uid="{540E841E-8C59-4F7B-934E-B6C3281DCAC0}"/>
    <cellStyle name="Output 5 7 4 2" xfId="19050" xr:uid="{37BC99CC-E0A7-4809-85EC-694542B99D84}"/>
    <cellStyle name="Output 5 7 4 2 2" xfId="37108" xr:uid="{00B3281A-1E1D-4A48-A1EC-2759CD477D0D}"/>
    <cellStyle name="Output 5 7 4 2 3" xfId="37109" xr:uid="{42C8DD6E-777C-41A6-9E62-9FB0B736B75C}"/>
    <cellStyle name="Output 5 7 4 3" xfId="19051" xr:uid="{AB0CA194-808D-4657-A30F-6CD2ABB0F534}"/>
    <cellStyle name="Output 5 7 4 4" xfId="37110" xr:uid="{FD1DE8DD-D685-4DAD-B505-020639E231BE}"/>
    <cellStyle name="Output 5 7 4 5" xfId="37111" xr:uid="{86DAF81C-9B2D-48ED-9564-27F43CD5B86F}"/>
    <cellStyle name="Output 5 7 5" xfId="19052" xr:uid="{31F12BE4-A618-4F4A-A3C9-053A5F3CBF3C}"/>
    <cellStyle name="Output 5 7 5 2" xfId="19053" xr:uid="{54F25CD4-152A-477B-9825-12E5B9073338}"/>
    <cellStyle name="Output 5 7 5 2 2" xfId="37112" xr:uid="{C4AEC994-701A-4B86-AFB7-D7644BDF2F99}"/>
    <cellStyle name="Output 5 7 5 2 3" xfId="37113" xr:uid="{3774D47C-5CF8-48A2-8A3F-F4CC2399B4D1}"/>
    <cellStyle name="Output 5 7 5 3" xfId="37114" xr:uid="{728D5B6D-19C3-426E-957E-07CAE4A52975}"/>
    <cellStyle name="Output 5 7 5 4" xfId="37115" xr:uid="{63C8BEAD-F693-41BD-977F-B66D2BBCDD40}"/>
    <cellStyle name="Output 5 7 6" xfId="19054" xr:uid="{C9CA64EF-6E58-4228-99AF-917BAEF1AFCC}"/>
    <cellStyle name="Output 5 7 6 2" xfId="19055" xr:uid="{08AF2F8E-8C8E-4886-B9BB-DEEEEAD83901}"/>
    <cellStyle name="Output 5 7 6 3" xfId="37116" xr:uid="{8C01807E-3FCA-4D61-B29C-5245E8277421}"/>
    <cellStyle name="Output 5 7 7" xfId="19056" xr:uid="{6165DDF0-B1CF-4FE4-896A-A09ED67113F6}"/>
    <cellStyle name="Output 5 7 7 2" xfId="19057" xr:uid="{4FB405D1-A057-4348-A3CB-6CD0F55BE3CA}"/>
    <cellStyle name="Output 5 7 7 3" xfId="37117" xr:uid="{5716FF46-C70E-4A3C-B1E5-90579D628538}"/>
    <cellStyle name="Output 5 7 8" xfId="19058" xr:uid="{94EA7D95-6E52-4B2A-A9C5-C0E8632EFB70}"/>
    <cellStyle name="Output 5 7 8 2" xfId="19059" xr:uid="{D9B11F6D-0C34-4915-A00D-F60FB249983E}"/>
    <cellStyle name="Output 5 7 8 3" xfId="37118" xr:uid="{236FCF2C-D636-44EB-B136-723A96532762}"/>
    <cellStyle name="Output 5 7 9" xfId="19060" xr:uid="{D2B5C5D6-F8FA-4DD9-9CB5-904E1AC943F6}"/>
    <cellStyle name="Output 5 7 9 2" xfId="19061" xr:uid="{A4BC86FF-8A9C-45BD-88D1-B86967240929}"/>
    <cellStyle name="Output 5 7 9 3" xfId="37119" xr:uid="{FF67E217-B1B4-4FF8-A101-8C91A09A8829}"/>
    <cellStyle name="Output 5 8" xfId="19062" xr:uid="{ED1431CD-CE21-4FA1-8D83-999786C8295F}"/>
    <cellStyle name="Output 5 8 10" xfId="19063" xr:uid="{C090946B-1297-49D2-A28F-F03F6A340668}"/>
    <cellStyle name="Output 5 8 10 2" xfId="37120" xr:uid="{AFC3A919-F086-4486-A5AA-0817B310BB65}"/>
    <cellStyle name="Output 5 8 10 3" xfId="37121" xr:uid="{20C52B6E-27FA-4F01-A1DE-E91E9FD7F2BB}"/>
    <cellStyle name="Output 5 8 11" xfId="19064" xr:uid="{EC177BD5-5A66-499E-BBDF-00EB737062DC}"/>
    <cellStyle name="Output 5 8 11 2" xfId="37122" xr:uid="{72641E78-D107-4D4C-B7AD-EA2422B06438}"/>
    <cellStyle name="Output 5 8 12" xfId="37123" xr:uid="{2F38E06E-90BC-442C-8608-BBD69D81904D}"/>
    <cellStyle name="Output 5 8 2" xfId="19065" xr:uid="{18D8D220-7FE1-4F3E-9ED3-8138DBB32AE8}"/>
    <cellStyle name="Output 5 8 2 10" xfId="19066" xr:uid="{A16DA9AF-751C-4A92-A41F-85D212AAC1FD}"/>
    <cellStyle name="Output 5 8 2 10 2" xfId="37124" xr:uid="{A6FA9947-E64D-4C2D-AED8-F3529959DAEB}"/>
    <cellStyle name="Output 5 8 2 11" xfId="37125" xr:uid="{B44E9261-705F-4CF8-A93F-C303834B3245}"/>
    <cellStyle name="Output 5 8 2 2" xfId="19067" xr:uid="{FD5AFB5D-B8D2-44B7-B27D-FF32AA17FEC7}"/>
    <cellStyle name="Output 5 8 2 2 2" xfId="19068" xr:uid="{D39E228A-CAF5-4992-BC1E-3B900911CA68}"/>
    <cellStyle name="Output 5 8 2 2 2 2" xfId="37126" xr:uid="{167F845E-8D18-4D6C-A77F-3C440D5E7656}"/>
    <cellStyle name="Output 5 8 2 2 2 3" xfId="37127" xr:uid="{198ED47B-84D9-414B-8D24-2A81D54C2AB8}"/>
    <cellStyle name="Output 5 8 2 2 3" xfId="19069" xr:uid="{8434A574-C6BA-4D4B-9990-963716ADB516}"/>
    <cellStyle name="Output 5 8 2 2 3 2" xfId="19070" xr:uid="{B2CAFCF9-D661-46EA-ADE0-2A8280F212C8}"/>
    <cellStyle name="Output 5 8 2 2 4" xfId="19071" xr:uid="{A51524E0-B7CC-4274-BC58-57B965823935}"/>
    <cellStyle name="Output 5 8 2 2 5" xfId="37128" xr:uid="{BE028409-2A5B-4AE1-8ACE-D28B6CA511E3}"/>
    <cellStyle name="Output 5 8 2 3" xfId="19072" xr:uid="{A85735E3-894D-4F58-BAF4-7ABB26B65C83}"/>
    <cellStyle name="Output 5 8 2 3 2" xfId="19073" xr:uid="{46984F28-52C2-4D11-A69F-CA8F9564FA11}"/>
    <cellStyle name="Output 5 8 2 3 3" xfId="37129" xr:uid="{F930B60D-EF0E-48BA-8031-D5D59E5031F7}"/>
    <cellStyle name="Output 5 8 2 4" xfId="19074" xr:uid="{5A91DC3B-6E5D-40AE-9D31-9EC4061E8E70}"/>
    <cellStyle name="Output 5 8 2 4 2" xfId="19075" xr:uid="{73EF5729-BC6C-4EB0-9553-69C91B867158}"/>
    <cellStyle name="Output 5 8 2 4 3" xfId="37130" xr:uid="{926E0DA4-BB9B-4326-94B2-CCCBA56CB26F}"/>
    <cellStyle name="Output 5 8 2 5" xfId="19076" xr:uid="{E42F3C96-E35C-4044-8AAB-33E5936697C0}"/>
    <cellStyle name="Output 5 8 2 5 2" xfId="19077" xr:uid="{FD791075-6292-4B77-9218-3ED703424052}"/>
    <cellStyle name="Output 5 8 2 5 3" xfId="37131" xr:uid="{FA5DEA0F-9E3A-421F-84DB-B7A4D40AF329}"/>
    <cellStyle name="Output 5 8 2 6" xfId="19078" xr:uid="{B5DEC383-F7C9-4419-9112-01516DEF791B}"/>
    <cellStyle name="Output 5 8 2 6 2" xfId="19079" xr:uid="{56C7FDE4-A492-4AD2-9281-115C03E283EF}"/>
    <cellStyle name="Output 5 8 2 6 3" xfId="37132" xr:uid="{D7079213-C8FA-4F39-AE45-3243402AB251}"/>
    <cellStyle name="Output 5 8 2 7" xfId="19080" xr:uid="{3F7BA1AF-776C-440A-B089-837C4D1696D8}"/>
    <cellStyle name="Output 5 8 2 7 2" xfId="19081" xr:uid="{0E61F8A2-8091-40CB-9E4D-FE73D0A6C5D7}"/>
    <cellStyle name="Output 5 8 2 7 3" xfId="37133" xr:uid="{4289C6E6-CDB2-4F5E-9342-776BEB218BE6}"/>
    <cellStyle name="Output 5 8 2 8" xfId="19082" xr:uid="{DA123B2E-5E8A-4E69-A28F-8C5E57C7BD2C}"/>
    <cellStyle name="Output 5 8 2 8 2" xfId="19083" xr:uid="{CCE80351-8E1E-416C-97B4-B243F9224D01}"/>
    <cellStyle name="Output 5 8 2 8 3" xfId="37134" xr:uid="{8243AB65-BB5C-42AD-BFB5-38C8D14BF1F4}"/>
    <cellStyle name="Output 5 8 2 9" xfId="19084" xr:uid="{6507F033-E7FD-4E42-927C-B0CF625ED56F}"/>
    <cellStyle name="Output 5 8 2 9 2" xfId="37135" xr:uid="{496D3440-7972-46EE-88DD-4961713E42CC}"/>
    <cellStyle name="Output 5 8 2 9 3" xfId="37136" xr:uid="{054A3BF7-0A80-4BE3-B1D7-1529C986A04A}"/>
    <cellStyle name="Output 5 8 3" xfId="19085" xr:uid="{BC3B5147-A939-41BA-BBC6-6470CC5D47BB}"/>
    <cellStyle name="Output 5 8 3 2" xfId="19086" xr:uid="{038628EE-4B5E-4A0B-B910-26CDBF592B98}"/>
    <cellStyle name="Output 5 8 3 2 2" xfId="37137" xr:uid="{A8F3A43F-DBC2-48C6-B6DE-CA06D1CC60DB}"/>
    <cellStyle name="Output 5 8 3 2 3" xfId="37138" xr:uid="{D00B1ADD-8E9B-4827-9593-DE0A17B0C1E7}"/>
    <cellStyle name="Output 5 8 3 2 4" xfId="37139" xr:uid="{C6AED607-27AE-410D-8FD5-C3CAF1FDD4DD}"/>
    <cellStyle name="Output 5 8 3 3" xfId="19087" xr:uid="{EFFA6551-B37A-4377-8FF9-E2260C20528D}"/>
    <cellStyle name="Output 5 8 3 3 2" xfId="19088" xr:uid="{B30C1CDE-A7E4-44BB-98E1-B2F1CE272404}"/>
    <cellStyle name="Output 5 8 3 4" xfId="19089" xr:uid="{7ED7E787-8A68-47AF-8AE3-1C34F57E2AA0}"/>
    <cellStyle name="Output 5 8 3 5" xfId="37140" xr:uid="{95E81FD3-F380-4FC8-95B1-F4882BFAAEDD}"/>
    <cellStyle name="Output 5 8 4" xfId="19090" xr:uid="{37D452D1-375F-4B1D-9B96-40684790F683}"/>
    <cellStyle name="Output 5 8 4 2" xfId="19091" xr:uid="{24CAE24B-7A15-4471-9393-DD2A9413D858}"/>
    <cellStyle name="Output 5 8 4 2 2" xfId="37141" xr:uid="{F91C1075-B5C7-4AB2-BD2E-113405BBAC02}"/>
    <cellStyle name="Output 5 8 4 2 3" xfId="37142" xr:uid="{E380F182-705D-4DF0-95F7-581FEE9C72E3}"/>
    <cellStyle name="Output 5 8 4 3" xfId="19092" xr:uid="{DF974776-C6C6-45BB-8BC8-00FD180BD677}"/>
    <cellStyle name="Output 5 8 4 4" xfId="37143" xr:uid="{07575ADE-557A-44A6-BE8C-FC30C9A20E83}"/>
    <cellStyle name="Output 5 8 4 5" xfId="37144" xr:uid="{6ABDA2A3-0EBB-4FBA-A96D-363C7DB79FC6}"/>
    <cellStyle name="Output 5 8 5" xfId="19093" xr:uid="{9149B7C2-239A-4247-AB86-7B0637B4EBAB}"/>
    <cellStyle name="Output 5 8 5 2" xfId="19094" xr:uid="{273556E7-6DDD-46DF-9740-2492DF1E6581}"/>
    <cellStyle name="Output 5 8 5 2 2" xfId="37145" xr:uid="{93F95646-6A6F-4772-93C7-CE39184AA4A4}"/>
    <cellStyle name="Output 5 8 5 2 3" xfId="37146" xr:uid="{0E79FB86-9EF2-47BE-AB9C-6697C6C8DE02}"/>
    <cellStyle name="Output 5 8 5 3" xfId="37147" xr:uid="{1BD8F72F-F18C-4566-B76E-6418D6D634F0}"/>
    <cellStyle name="Output 5 8 5 4" xfId="37148" xr:uid="{47DD5DF2-AA5A-4010-9308-339B92092F8E}"/>
    <cellStyle name="Output 5 8 6" xfId="19095" xr:uid="{8010929D-2BD5-459D-899C-C9AF7547396E}"/>
    <cellStyle name="Output 5 8 6 2" xfId="19096" xr:uid="{DADF5D45-3ABB-40D8-A92A-E4E3476631C4}"/>
    <cellStyle name="Output 5 8 6 3" xfId="37149" xr:uid="{365BB504-B53D-491C-ACCF-E4D9B39633CD}"/>
    <cellStyle name="Output 5 8 7" xfId="19097" xr:uid="{3E80B244-7432-42F7-9069-E281E15B0E24}"/>
    <cellStyle name="Output 5 8 7 2" xfId="19098" xr:uid="{F35C5D01-6096-4F6D-A92B-7981B7BC3860}"/>
    <cellStyle name="Output 5 8 7 3" xfId="37150" xr:uid="{88A9E9C8-C598-46E3-8678-5C661C960E95}"/>
    <cellStyle name="Output 5 8 8" xfId="19099" xr:uid="{F858A8C6-D308-4F4D-A556-0631A5FC95E9}"/>
    <cellStyle name="Output 5 8 8 2" xfId="19100" xr:uid="{FD2A5A8D-EF2A-46B9-94FB-7C7FC10C81BE}"/>
    <cellStyle name="Output 5 8 8 3" xfId="37151" xr:uid="{7BE45948-0CD3-44BE-A3FA-F7CFFF0643AE}"/>
    <cellStyle name="Output 5 8 9" xfId="19101" xr:uid="{D47C40D7-9720-4953-A13E-5F65D35BC732}"/>
    <cellStyle name="Output 5 8 9 2" xfId="19102" xr:uid="{FD430988-5B15-41AA-977D-14718C6B1BF3}"/>
    <cellStyle name="Output 5 8 9 3" xfId="37152" xr:uid="{F4EE7666-B612-47F1-9326-3EA163B816D7}"/>
    <cellStyle name="Output 5 9" xfId="19103" xr:uid="{1CDCFB29-A1CA-4336-B570-AD95C88BBFFB}"/>
    <cellStyle name="Output 5 9 10" xfId="19104" xr:uid="{BF392EED-B71B-42C8-B43E-D22A27CEC779}"/>
    <cellStyle name="Output 5 9 10 2" xfId="37153" xr:uid="{A399F7E1-394E-40FE-BFD0-BD19E8E6323C}"/>
    <cellStyle name="Output 5 9 10 3" xfId="37154" xr:uid="{FBEF9640-9367-4843-AEE5-FBBBD7103FCA}"/>
    <cellStyle name="Output 5 9 11" xfId="19105" xr:uid="{4E7D22A4-F775-47A0-9670-EE9FB77B5A70}"/>
    <cellStyle name="Output 5 9 11 2" xfId="37155" xr:uid="{6F82C686-78C8-4D28-ADB3-21428E950CA6}"/>
    <cellStyle name="Output 5 9 12" xfId="37156" xr:uid="{B77B0DE4-6D36-49F5-8BDE-D1A1665E5712}"/>
    <cellStyle name="Output 5 9 2" xfId="19106" xr:uid="{4E9CDE92-4CE3-47A5-8FE5-61A2C3E2FAB9}"/>
    <cellStyle name="Output 5 9 2 10" xfId="19107" xr:uid="{81D9308A-8996-4600-86A3-7BB5EDA14BFF}"/>
    <cellStyle name="Output 5 9 2 10 2" xfId="37157" xr:uid="{8FD133FB-0549-4820-AD70-013E04D97B0D}"/>
    <cellStyle name="Output 5 9 2 11" xfId="37158" xr:uid="{5F91D1EB-4483-490D-8F54-D22817B2E14C}"/>
    <cellStyle name="Output 5 9 2 2" xfId="19108" xr:uid="{616B149E-AFF7-4123-9FE0-568DD42BC635}"/>
    <cellStyle name="Output 5 9 2 2 2" xfId="19109" xr:uid="{86FABA90-365D-4274-8726-C9C157023FA0}"/>
    <cellStyle name="Output 5 9 2 2 2 2" xfId="37159" xr:uid="{8D47A402-7386-4528-AAB0-634189A7D8E4}"/>
    <cellStyle name="Output 5 9 2 2 2 3" xfId="37160" xr:uid="{09570EAD-9EEA-4333-AB7F-2F649AAE2E45}"/>
    <cellStyle name="Output 5 9 2 2 3" xfId="19110" xr:uid="{B9BEAC19-E9E3-47EA-A50D-7072EB7271C9}"/>
    <cellStyle name="Output 5 9 2 2 3 2" xfId="19111" xr:uid="{277FD01B-4509-412C-8A6D-8CB485E521FF}"/>
    <cellStyle name="Output 5 9 2 2 4" xfId="19112" xr:uid="{D447B5B0-61AC-4EB5-9F7A-E996926B2D7B}"/>
    <cellStyle name="Output 5 9 2 2 5" xfId="37161" xr:uid="{7264336C-D622-415F-9ABA-6F0BBD8D3E13}"/>
    <cellStyle name="Output 5 9 2 3" xfId="19113" xr:uid="{AB04664F-01BB-44E8-957E-14D09194063A}"/>
    <cellStyle name="Output 5 9 2 3 2" xfId="19114" xr:uid="{CE38CA76-E74D-4582-8B39-0C4A54495D62}"/>
    <cellStyle name="Output 5 9 2 3 3" xfId="37162" xr:uid="{8A83DA19-57DF-494D-A940-87FD3D6A9B1B}"/>
    <cellStyle name="Output 5 9 2 4" xfId="19115" xr:uid="{3FDF9D8C-3ABE-42D6-8743-AC493DED59FA}"/>
    <cellStyle name="Output 5 9 2 4 2" xfId="19116" xr:uid="{9F64B0AE-EC0F-4964-A294-3492D76D798A}"/>
    <cellStyle name="Output 5 9 2 4 3" xfId="37163" xr:uid="{66709552-2B7B-4772-9043-F51EFFEAA03F}"/>
    <cellStyle name="Output 5 9 2 5" xfId="19117" xr:uid="{001B43E2-1422-4F87-9107-4BF7AC60295D}"/>
    <cellStyle name="Output 5 9 2 5 2" xfId="19118" xr:uid="{8B37871B-6670-45C1-8379-57B907154C60}"/>
    <cellStyle name="Output 5 9 2 5 3" xfId="37164" xr:uid="{EE9AAA5D-8DDE-40B8-9C44-AB08F017DA27}"/>
    <cellStyle name="Output 5 9 2 6" xfId="19119" xr:uid="{6450929E-4F73-4EF9-B370-6101CA05F32B}"/>
    <cellStyle name="Output 5 9 2 6 2" xfId="19120" xr:uid="{24CDB4D0-D956-4AE6-915D-31BFE69AF478}"/>
    <cellStyle name="Output 5 9 2 6 3" xfId="37165" xr:uid="{7E50CF3C-823E-49C2-B4AD-754589154C0C}"/>
    <cellStyle name="Output 5 9 2 7" xfId="19121" xr:uid="{ABC01A81-D462-4613-97BD-7F9AA6F8247B}"/>
    <cellStyle name="Output 5 9 2 7 2" xfId="19122" xr:uid="{270CAC9B-8B98-41FC-9F8D-A80879BB5DD8}"/>
    <cellStyle name="Output 5 9 2 7 3" xfId="37166" xr:uid="{CD672DB2-BC36-4980-B920-4632AF13922C}"/>
    <cellStyle name="Output 5 9 2 8" xfId="19123" xr:uid="{580DE6B6-ED3E-4E7F-BC25-791014EA6E45}"/>
    <cellStyle name="Output 5 9 2 8 2" xfId="19124" xr:uid="{0B164904-6E68-48C4-9BA0-C9A88D9B246C}"/>
    <cellStyle name="Output 5 9 2 8 3" xfId="37167" xr:uid="{412FF748-9C97-49AA-9088-BBC7715C2796}"/>
    <cellStyle name="Output 5 9 2 9" xfId="19125" xr:uid="{A3CD79B4-EF3B-47DB-86EE-4123A02EA49C}"/>
    <cellStyle name="Output 5 9 2 9 2" xfId="37168" xr:uid="{40CD93BD-5B86-444E-B305-BED5A41A9E61}"/>
    <cellStyle name="Output 5 9 2 9 3" xfId="37169" xr:uid="{410D4191-F6FC-4919-B728-ED76F0C32D56}"/>
    <cellStyle name="Output 5 9 3" xfId="19126" xr:uid="{4B143602-19FD-4307-94B6-8DDE54EEB941}"/>
    <cellStyle name="Output 5 9 3 2" xfId="19127" xr:uid="{441352CD-5E38-4C13-968D-F9A3696499F1}"/>
    <cellStyle name="Output 5 9 3 2 2" xfId="37170" xr:uid="{2E8D4443-B6F1-4753-B2F0-0732CC48E134}"/>
    <cellStyle name="Output 5 9 3 2 3" xfId="37171" xr:uid="{190B8EAC-39C1-4FC7-ADC3-834A4DC193BF}"/>
    <cellStyle name="Output 5 9 3 2 4" xfId="37172" xr:uid="{D98072BC-9E03-42C8-880C-43E0BB37FF99}"/>
    <cellStyle name="Output 5 9 3 3" xfId="19128" xr:uid="{D222177E-506F-42AC-A923-79F9C933E238}"/>
    <cellStyle name="Output 5 9 3 3 2" xfId="19129" xr:uid="{BB69EDF5-BD1A-4242-9D21-8026A14227B3}"/>
    <cellStyle name="Output 5 9 3 4" xfId="19130" xr:uid="{A9D71CC6-23AA-4D2C-BB91-42DDAF6CB91F}"/>
    <cellStyle name="Output 5 9 3 5" xfId="37173" xr:uid="{29D29124-599B-4BF1-A4AC-2CB45EB96A2C}"/>
    <cellStyle name="Output 5 9 4" xfId="19131" xr:uid="{C615B8C6-05E0-4264-9451-6124C29215C5}"/>
    <cellStyle name="Output 5 9 4 2" xfId="19132" xr:uid="{4697B1AC-2DD6-4E95-BC5F-ABA11970B0AE}"/>
    <cellStyle name="Output 5 9 4 2 2" xfId="37174" xr:uid="{666DC099-AC31-462C-83DC-37A0134174E1}"/>
    <cellStyle name="Output 5 9 4 2 3" xfId="37175" xr:uid="{13869B41-1AFE-4BE5-90AD-1DD27B398C9D}"/>
    <cellStyle name="Output 5 9 4 3" xfId="19133" xr:uid="{8823BF53-9F61-4838-99CA-8F360463C2D5}"/>
    <cellStyle name="Output 5 9 4 4" xfId="37176" xr:uid="{3A410601-C853-4CBA-BFFE-87B676B8EE8B}"/>
    <cellStyle name="Output 5 9 4 5" xfId="37177" xr:uid="{25BDA63A-49C2-40CA-9DBF-4B717C0878C6}"/>
    <cellStyle name="Output 5 9 5" xfId="19134" xr:uid="{219CAD03-0CB3-4C9C-9CAC-4138B4BFF975}"/>
    <cellStyle name="Output 5 9 5 2" xfId="19135" xr:uid="{7C33E9B5-F891-49A7-A389-5A6C456FB2A9}"/>
    <cellStyle name="Output 5 9 5 2 2" xfId="37178" xr:uid="{D5CE4009-5D49-420F-A7D7-88DC3042FD02}"/>
    <cellStyle name="Output 5 9 5 2 3" xfId="37179" xr:uid="{8CB710EB-3B30-4936-9C59-E681DB4AC78A}"/>
    <cellStyle name="Output 5 9 5 3" xfId="37180" xr:uid="{23CEBFCE-1A2A-4327-A900-5329AAB56B0B}"/>
    <cellStyle name="Output 5 9 5 4" xfId="37181" xr:uid="{8DA098FE-261C-4A03-BB91-47E86AFA9142}"/>
    <cellStyle name="Output 5 9 6" xfId="19136" xr:uid="{6D2D969C-3B1A-4855-85A8-48CF681121B0}"/>
    <cellStyle name="Output 5 9 6 2" xfId="19137" xr:uid="{30D736BF-890B-4EB2-8AFC-A1E97F0E60A8}"/>
    <cellStyle name="Output 5 9 6 3" xfId="37182" xr:uid="{5F6021DF-C5E1-4DB6-AD21-D78E8678300A}"/>
    <cellStyle name="Output 5 9 7" xfId="19138" xr:uid="{0E7262D7-0D9C-4DDC-B58E-B19F12A2EEE1}"/>
    <cellStyle name="Output 5 9 7 2" xfId="19139" xr:uid="{D6F8ED0E-2950-4C90-98B9-AC792FD730CA}"/>
    <cellStyle name="Output 5 9 7 3" xfId="37183" xr:uid="{EE0765AB-7CAC-4F3B-B508-5236677C6E54}"/>
    <cellStyle name="Output 5 9 8" xfId="19140" xr:uid="{2D0E41CD-377D-4F34-9406-7496737818D2}"/>
    <cellStyle name="Output 5 9 8 2" xfId="19141" xr:uid="{9AD5C18B-6F9B-4130-9E96-5741807AF010}"/>
    <cellStyle name="Output 5 9 8 3" xfId="37184" xr:uid="{C5FD04F5-B576-40AC-8BBB-673A71C4F298}"/>
    <cellStyle name="Output 5 9 9" xfId="19142" xr:uid="{B1440204-6CF5-43AD-8F20-D0E6C50D71A6}"/>
    <cellStyle name="Output 5 9 9 2" xfId="19143" xr:uid="{7BAEB4B1-6ED2-4C3D-A36D-FAD1095F4AE9}"/>
    <cellStyle name="Output 5 9 9 3" xfId="37185" xr:uid="{9178303D-0AAA-40F1-88A7-F0990E733964}"/>
    <cellStyle name="Output 6" xfId="19144" xr:uid="{E6926E7F-1B10-423F-B23D-09CF95560ADD}"/>
    <cellStyle name="Output 6 10" xfId="19145" xr:uid="{5C7B44E0-6AD7-420C-8CE3-6FE40F0C1705}"/>
    <cellStyle name="Output 6 10 10" xfId="19146" xr:uid="{D8529DAF-EF30-45F3-AB91-855C49717F1A}"/>
    <cellStyle name="Output 6 10 10 2" xfId="37186" xr:uid="{ECCA08C3-7802-4A63-8E0C-5F2B9D43A19C}"/>
    <cellStyle name="Output 6 10 10 3" xfId="37187" xr:uid="{CB69DE88-AC82-43F4-AF06-5295E1B49F60}"/>
    <cellStyle name="Output 6 10 11" xfId="19147" xr:uid="{9B72FF7A-9BC5-4AB5-B16E-29B33AFF7772}"/>
    <cellStyle name="Output 6 10 11 2" xfId="37188" xr:uid="{88A12C0D-AEC2-40D3-8F75-418D889FDBB2}"/>
    <cellStyle name="Output 6 10 12" xfId="37189" xr:uid="{31D234B0-6924-4C3A-A310-6AE5FA9EB96D}"/>
    <cellStyle name="Output 6 10 2" xfId="19148" xr:uid="{CA8DF466-2AC6-4ED0-89AC-C62932D59E78}"/>
    <cellStyle name="Output 6 10 2 10" xfId="19149" xr:uid="{F2AB6E67-1356-49BA-8A06-C4230B41E85C}"/>
    <cellStyle name="Output 6 10 2 10 2" xfId="37190" xr:uid="{DA42908D-8F0D-47FF-8E70-0C7F09D0937E}"/>
    <cellStyle name="Output 6 10 2 11" xfId="37191" xr:uid="{0AF7C8D3-2832-4B1C-9A87-43A516465022}"/>
    <cellStyle name="Output 6 10 2 2" xfId="19150" xr:uid="{C24602D9-0A81-4CC6-A20B-5D3097C19931}"/>
    <cellStyle name="Output 6 10 2 2 2" xfId="19151" xr:uid="{4995DDBE-109F-4021-9B79-BF38AB309B0E}"/>
    <cellStyle name="Output 6 10 2 2 2 2" xfId="37192" xr:uid="{19E78B94-42B5-49A6-80A9-0B85A46C82B1}"/>
    <cellStyle name="Output 6 10 2 2 2 3" xfId="37193" xr:uid="{24CD9C27-EBED-42B7-A251-AA4FE69AECE4}"/>
    <cellStyle name="Output 6 10 2 2 3" xfId="19152" xr:uid="{EE82A115-EF44-4398-BFC8-45F5978EB03B}"/>
    <cellStyle name="Output 6 10 2 2 3 2" xfId="19153" xr:uid="{26EF2653-7161-4DD3-B923-8AB549FC20DA}"/>
    <cellStyle name="Output 6 10 2 2 4" xfId="19154" xr:uid="{8C2B1909-B9A1-4180-A71B-BA52CB75C7E8}"/>
    <cellStyle name="Output 6 10 2 2 5" xfId="37194" xr:uid="{4BA170B4-2F86-4545-A959-9F687E591038}"/>
    <cellStyle name="Output 6 10 2 3" xfId="19155" xr:uid="{7D488405-D299-4829-951B-B90C650FF8FF}"/>
    <cellStyle name="Output 6 10 2 3 2" xfId="19156" xr:uid="{D1F9AA72-44AA-4F0D-8277-CA236CC28F61}"/>
    <cellStyle name="Output 6 10 2 3 3" xfId="37195" xr:uid="{7B713821-22C0-4B78-9BBF-65167C6AF2E8}"/>
    <cellStyle name="Output 6 10 2 4" xfId="19157" xr:uid="{66D3CB21-8EB5-47CB-8C42-945B8CC866F8}"/>
    <cellStyle name="Output 6 10 2 4 2" xfId="19158" xr:uid="{59A95BFF-2B8D-4DEF-BF72-3A660BAD5DDA}"/>
    <cellStyle name="Output 6 10 2 4 3" xfId="37196" xr:uid="{8FB50830-E272-4F6B-A259-3F1CBE31D9D4}"/>
    <cellStyle name="Output 6 10 2 5" xfId="19159" xr:uid="{559CF216-B20D-4B9A-91AF-5A1E1B9BD0CF}"/>
    <cellStyle name="Output 6 10 2 5 2" xfId="19160" xr:uid="{5F0CA1A7-0780-46D7-860A-B730939BA6BA}"/>
    <cellStyle name="Output 6 10 2 5 3" xfId="37197" xr:uid="{64686673-AB18-41EC-B394-9A5943656B88}"/>
    <cellStyle name="Output 6 10 2 6" xfId="19161" xr:uid="{3776D6AB-98E9-4242-BC9B-14FFCB0F84C0}"/>
    <cellStyle name="Output 6 10 2 6 2" xfId="19162" xr:uid="{9C310665-9C99-4716-8A6A-7442B3BBF066}"/>
    <cellStyle name="Output 6 10 2 6 3" xfId="37198" xr:uid="{207EDBEF-6C7D-4EC3-A409-D1413E9C715E}"/>
    <cellStyle name="Output 6 10 2 7" xfId="19163" xr:uid="{B0FCB549-9FB4-4A22-BC56-FEE1BF21209F}"/>
    <cellStyle name="Output 6 10 2 7 2" xfId="19164" xr:uid="{ED76DBD1-E508-48E2-8669-82DE99B3BD56}"/>
    <cellStyle name="Output 6 10 2 7 3" xfId="37199" xr:uid="{0C660805-EDBC-4997-8B07-82F3119EE082}"/>
    <cellStyle name="Output 6 10 2 8" xfId="19165" xr:uid="{37FCBF88-A5BD-4F14-BF22-9BD0BC720403}"/>
    <cellStyle name="Output 6 10 2 8 2" xfId="19166" xr:uid="{A9168C0C-2FB4-4083-A4E2-EC77014636F9}"/>
    <cellStyle name="Output 6 10 2 8 3" xfId="37200" xr:uid="{44B6D6D2-6827-441A-A1CA-C230853818FE}"/>
    <cellStyle name="Output 6 10 2 9" xfId="19167" xr:uid="{C6DA6D26-BE6D-4515-827C-3939D7E15A66}"/>
    <cellStyle name="Output 6 10 2 9 2" xfId="37201" xr:uid="{FC79BCC1-9D38-4BA7-B31A-5FC23E4A41ED}"/>
    <cellStyle name="Output 6 10 2 9 3" xfId="37202" xr:uid="{38919491-EAF2-4478-B9E8-30EADE312C07}"/>
    <cellStyle name="Output 6 10 3" xfId="19168" xr:uid="{609710BE-6C47-4B20-93C0-68AEC36067C5}"/>
    <cellStyle name="Output 6 10 3 2" xfId="19169" xr:uid="{C4BEA507-5A7E-4259-908B-8A672CE51256}"/>
    <cellStyle name="Output 6 10 3 2 2" xfId="37203" xr:uid="{9D8957BB-CF0C-4E0E-8313-EB47837E089E}"/>
    <cellStyle name="Output 6 10 3 2 3" xfId="37204" xr:uid="{B65AFAB9-018D-49D7-B01D-A25C51453199}"/>
    <cellStyle name="Output 6 10 3 2 4" xfId="37205" xr:uid="{03760408-4A05-451F-BE58-2552047673A6}"/>
    <cellStyle name="Output 6 10 3 3" xfId="19170" xr:uid="{33483F7D-5E9C-4228-95A1-C6ED98ABAC25}"/>
    <cellStyle name="Output 6 10 3 3 2" xfId="19171" xr:uid="{0BED5CE5-7476-4661-ACAA-C79E9EA7BB03}"/>
    <cellStyle name="Output 6 10 3 4" xfId="19172" xr:uid="{7E6806EE-6C13-4B13-B1F9-BB0B0631DE7B}"/>
    <cellStyle name="Output 6 10 3 5" xfId="37206" xr:uid="{DAB034EE-0C71-4CD2-9271-3C9D9C799E67}"/>
    <cellStyle name="Output 6 10 4" xfId="19173" xr:uid="{FD98A714-217C-40C3-9AE6-236BDACC1AD7}"/>
    <cellStyle name="Output 6 10 4 2" xfId="19174" xr:uid="{3AD1D8EC-EF61-4592-B0B1-A99405EB2B7E}"/>
    <cellStyle name="Output 6 10 4 2 2" xfId="37207" xr:uid="{01887A55-8370-43D0-98E6-CFD07114D2DB}"/>
    <cellStyle name="Output 6 10 4 2 3" xfId="37208" xr:uid="{33E30A6E-22B8-4B0D-BAA1-CD0A5AAC8E2E}"/>
    <cellStyle name="Output 6 10 4 3" xfId="19175" xr:uid="{63034C65-6C09-40ED-ABBA-8643872BEDB6}"/>
    <cellStyle name="Output 6 10 4 4" xfId="37209" xr:uid="{91516EFA-ABF3-499E-B8DC-DDAC399390D4}"/>
    <cellStyle name="Output 6 10 4 5" xfId="37210" xr:uid="{663E7A06-E212-4E28-99A8-6629A878711C}"/>
    <cellStyle name="Output 6 10 5" xfId="19176" xr:uid="{45E22228-10F9-4151-AD4E-EE2C8675604A}"/>
    <cellStyle name="Output 6 10 5 2" xfId="19177" xr:uid="{25592F68-7633-4C0A-AC52-A8B15AC811AB}"/>
    <cellStyle name="Output 6 10 5 2 2" xfId="37211" xr:uid="{408C43A0-B904-4D02-AE2A-FF01605AC4AE}"/>
    <cellStyle name="Output 6 10 5 2 3" xfId="37212" xr:uid="{D177B889-C671-4B78-A0FA-F2E53C7AF801}"/>
    <cellStyle name="Output 6 10 5 3" xfId="37213" xr:uid="{A52701D4-26B6-49E3-A3B1-7A9D8D679148}"/>
    <cellStyle name="Output 6 10 5 4" xfId="37214" xr:uid="{323F2EE7-C580-4B5A-9B2C-A9F3314D7941}"/>
    <cellStyle name="Output 6 10 6" xfId="19178" xr:uid="{F2411CA0-EF1B-4A63-AF83-FCDAD34C29EB}"/>
    <cellStyle name="Output 6 10 6 2" xfId="19179" xr:uid="{01196D71-2D43-40F4-BC6E-28C627ED541D}"/>
    <cellStyle name="Output 6 10 6 3" xfId="37215" xr:uid="{250E3F9C-F23B-4A36-8ECC-77BA7E7C2694}"/>
    <cellStyle name="Output 6 10 7" xfId="19180" xr:uid="{B9F63EA7-E770-4C4A-83FF-984742EACE64}"/>
    <cellStyle name="Output 6 10 7 2" xfId="19181" xr:uid="{4573ED43-5EE8-40C4-A689-5E5E19C0104E}"/>
    <cellStyle name="Output 6 10 7 3" xfId="37216" xr:uid="{23A74F4E-41D5-42B1-979B-9332F5543A2C}"/>
    <cellStyle name="Output 6 10 8" xfId="19182" xr:uid="{20024DAD-D2A0-4CE9-9757-BB3017E15C2C}"/>
    <cellStyle name="Output 6 10 8 2" xfId="19183" xr:uid="{EBE7181C-7E17-4495-B14F-9964CE31EC65}"/>
    <cellStyle name="Output 6 10 8 3" xfId="37217" xr:uid="{133E3A83-4724-42ED-8596-7799F54C0B57}"/>
    <cellStyle name="Output 6 10 9" xfId="19184" xr:uid="{100A6FAD-B744-487B-A432-9D43A517DD9C}"/>
    <cellStyle name="Output 6 10 9 2" xfId="19185" xr:uid="{E5061F34-20DB-4E86-8AC8-C09C22D380BE}"/>
    <cellStyle name="Output 6 10 9 3" xfId="37218" xr:uid="{1DDD20D4-073F-44FD-80A3-3D02DB822A04}"/>
    <cellStyle name="Output 6 11" xfId="19186" xr:uid="{ECD9EE80-14BB-4B90-B247-43F6D00140EF}"/>
    <cellStyle name="Output 6 11 10" xfId="19187" xr:uid="{FFAD3E15-DBBE-40F5-B005-BF926A4A8844}"/>
    <cellStyle name="Output 6 11 10 2" xfId="37219" xr:uid="{E349C162-7CCE-4E93-BE44-C6C10AE84842}"/>
    <cellStyle name="Output 6 11 10 3" xfId="37220" xr:uid="{FB28F841-DB75-41E9-8F36-F1C8E8371072}"/>
    <cellStyle name="Output 6 11 11" xfId="19188" xr:uid="{FCE524AD-277A-40D2-B6E1-0FBBB00C485F}"/>
    <cellStyle name="Output 6 11 11 2" xfId="37221" xr:uid="{5C273FE8-6181-4A2D-A5D3-0789A5C34446}"/>
    <cellStyle name="Output 6 11 12" xfId="37222" xr:uid="{92569302-6364-4E22-8DC8-709DEDBF91AF}"/>
    <cellStyle name="Output 6 11 2" xfId="19189" xr:uid="{CF06B88F-3EEE-4126-B70E-C9774D146A2D}"/>
    <cellStyle name="Output 6 11 2 10" xfId="19190" xr:uid="{1DCC6519-8A26-4491-8D58-2DBC3B6E6D09}"/>
    <cellStyle name="Output 6 11 2 10 2" xfId="37223" xr:uid="{93B55A3A-C09C-46CB-A49A-FC0685D1C38B}"/>
    <cellStyle name="Output 6 11 2 11" xfId="37224" xr:uid="{313A2CC2-0708-44D2-9C90-F8274EDB06F3}"/>
    <cellStyle name="Output 6 11 2 2" xfId="19191" xr:uid="{C7494983-A811-4C9F-B1FF-3F602CB1B29F}"/>
    <cellStyle name="Output 6 11 2 2 2" xfId="19192" xr:uid="{B9853E9E-8733-4792-954C-199FD3A9AA62}"/>
    <cellStyle name="Output 6 11 2 2 2 2" xfId="37225" xr:uid="{7B61D6AC-586E-46A0-BBB9-21EE734EB908}"/>
    <cellStyle name="Output 6 11 2 2 2 3" xfId="37226" xr:uid="{31A81D3A-37B6-4AFA-8D66-E67382EF1213}"/>
    <cellStyle name="Output 6 11 2 2 3" xfId="19193" xr:uid="{370319AB-C648-4D8C-B4DB-00B525977C1E}"/>
    <cellStyle name="Output 6 11 2 2 3 2" xfId="19194" xr:uid="{C10E7036-4E1D-4BF4-964D-555B1890F904}"/>
    <cellStyle name="Output 6 11 2 2 4" xfId="19195" xr:uid="{01ACB0E6-4EE6-49D5-A594-9205252FDF5F}"/>
    <cellStyle name="Output 6 11 2 2 5" xfId="37227" xr:uid="{A7474148-22E5-477B-B97A-EDF4FE5DF43C}"/>
    <cellStyle name="Output 6 11 2 3" xfId="19196" xr:uid="{0FA6B9FE-1438-4B59-94C4-DDD8A8A322B9}"/>
    <cellStyle name="Output 6 11 2 3 2" xfId="19197" xr:uid="{B91114A7-D019-41ED-BDEC-504D3CB2DA83}"/>
    <cellStyle name="Output 6 11 2 3 3" xfId="37228" xr:uid="{B0A01DB2-0DBF-4D30-8717-993F9A321B2B}"/>
    <cellStyle name="Output 6 11 2 4" xfId="19198" xr:uid="{E2452270-6939-47F1-B2BD-AA890392778B}"/>
    <cellStyle name="Output 6 11 2 4 2" xfId="19199" xr:uid="{33F1B528-BA2A-4E3B-A008-A8C5D423A79E}"/>
    <cellStyle name="Output 6 11 2 4 3" xfId="37229" xr:uid="{4DDB061B-624E-4DD7-BEC0-6D48A3EE13B3}"/>
    <cellStyle name="Output 6 11 2 5" xfId="19200" xr:uid="{E5F3C86A-48AA-42A0-8F30-7A1AD3408643}"/>
    <cellStyle name="Output 6 11 2 5 2" xfId="19201" xr:uid="{8FBADF9C-7897-485F-B2AA-11AFEC1D5BE8}"/>
    <cellStyle name="Output 6 11 2 5 3" xfId="37230" xr:uid="{587AC04F-5CE4-495F-860A-AF4F2743B293}"/>
    <cellStyle name="Output 6 11 2 6" xfId="19202" xr:uid="{92CCDFA5-D37B-4E06-B81C-FEEA285D3953}"/>
    <cellStyle name="Output 6 11 2 6 2" xfId="19203" xr:uid="{B6AE7FA1-B5D0-4D4E-80A7-38017B83DDD0}"/>
    <cellStyle name="Output 6 11 2 6 3" xfId="37231" xr:uid="{762CC804-D478-48FB-9BED-CA9539023CB9}"/>
    <cellStyle name="Output 6 11 2 7" xfId="19204" xr:uid="{76498E46-D900-4464-A46F-0BC5E852644E}"/>
    <cellStyle name="Output 6 11 2 7 2" xfId="19205" xr:uid="{A6426E09-9C3A-4E99-9FEF-81582F8B67A0}"/>
    <cellStyle name="Output 6 11 2 7 3" xfId="37232" xr:uid="{8155DCA2-8F7B-4A62-ADA2-50D178E931B6}"/>
    <cellStyle name="Output 6 11 2 8" xfId="19206" xr:uid="{B3021842-7993-4E73-928B-86982C7E7E7C}"/>
    <cellStyle name="Output 6 11 2 8 2" xfId="19207" xr:uid="{12BDC31C-DE7F-4173-A15A-4F7DBFF8E39B}"/>
    <cellStyle name="Output 6 11 2 8 3" xfId="37233" xr:uid="{CFFCA3E4-FCE9-481D-9C1F-EAD43F636462}"/>
    <cellStyle name="Output 6 11 2 9" xfId="19208" xr:uid="{928ACBC6-662A-4D25-BADB-E473853AE7E8}"/>
    <cellStyle name="Output 6 11 2 9 2" xfId="37234" xr:uid="{DF1F0479-ADD2-419E-8ECE-57D517B62D59}"/>
    <cellStyle name="Output 6 11 2 9 3" xfId="37235" xr:uid="{02F311FD-91CA-42AF-A67B-A3682B41B8A6}"/>
    <cellStyle name="Output 6 11 3" xfId="19209" xr:uid="{A789BC25-3F74-4718-A9BC-D7F81ED2689A}"/>
    <cellStyle name="Output 6 11 3 2" xfId="19210" xr:uid="{C13D028B-963C-4CD6-810F-6F2A80310539}"/>
    <cellStyle name="Output 6 11 3 2 2" xfId="37236" xr:uid="{254BD26D-6F17-4DE0-B46B-B5B0A2C13667}"/>
    <cellStyle name="Output 6 11 3 2 3" xfId="37237" xr:uid="{85676DAF-12F6-4E55-8157-ABC76CE58CA9}"/>
    <cellStyle name="Output 6 11 3 2 4" xfId="37238" xr:uid="{67E4416B-88D1-4721-8074-D5FBE3E0C2BC}"/>
    <cellStyle name="Output 6 11 3 3" xfId="19211" xr:uid="{8BD78D12-CDC0-4F56-BCC9-9C2111436BF5}"/>
    <cellStyle name="Output 6 11 3 3 2" xfId="19212" xr:uid="{3B6F89ED-2E91-49D3-8AB4-2556458C97AD}"/>
    <cellStyle name="Output 6 11 3 4" xfId="19213" xr:uid="{AB786CAC-3B09-43AD-B631-6E899676A9B9}"/>
    <cellStyle name="Output 6 11 3 5" xfId="37239" xr:uid="{C7370276-2135-4222-908D-497971D965F0}"/>
    <cellStyle name="Output 6 11 4" xfId="19214" xr:uid="{FDEF46DF-B107-4425-96FC-F76EB70EED70}"/>
    <cellStyle name="Output 6 11 4 2" xfId="19215" xr:uid="{04F7C830-AA35-42AF-9C20-89E38FA28048}"/>
    <cellStyle name="Output 6 11 4 2 2" xfId="37240" xr:uid="{88E6971D-8A4A-4894-971E-31E29206F16D}"/>
    <cellStyle name="Output 6 11 4 2 3" xfId="37241" xr:uid="{E4588D48-834A-4821-BC25-09F9D14547AA}"/>
    <cellStyle name="Output 6 11 4 3" xfId="19216" xr:uid="{2889CBB9-7D41-4393-96CA-2D46140795BD}"/>
    <cellStyle name="Output 6 11 4 4" xfId="37242" xr:uid="{6E07B63E-EA75-4032-B640-A3888350F775}"/>
    <cellStyle name="Output 6 11 4 5" xfId="37243" xr:uid="{5C539844-0D15-4B77-86C9-559C3B68B600}"/>
    <cellStyle name="Output 6 11 5" xfId="19217" xr:uid="{EE6EE4F7-13E4-43CD-B3BD-FEC33B83B788}"/>
    <cellStyle name="Output 6 11 5 2" xfId="19218" xr:uid="{57316F30-C190-428D-9420-5DF29A401265}"/>
    <cellStyle name="Output 6 11 5 2 2" xfId="37244" xr:uid="{D1834031-AAB5-402F-AC11-81E8204247E0}"/>
    <cellStyle name="Output 6 11 5 2 3" xfId="37245" xr:uid="{571E9330-8E16-45B0-BBF5-63285730B1DA}"/>
    <cellStyle name="Output 6 11 5 3" xfId="37246" xr:uid="{F5CE3C94-FB84-43B6-B9C0-DCAF307F7EF0}"/>
    <cellStyle name="Output 6 11 5 4" xfId="37247" xr:uid="{0E3F4CF7-06C5-4757-87C1-7528B368CD8B}"/>
    <cellStyle name="Output 6 11 6" xfId="19219" xr:uid="{E0728A15-AF44-4373-A9B0-091348B8605A}"/>
    <cellStyle name="Output 6 11 6 2" xfId="19220" xr:uid="{959D5F1B-4F42-426B-94A7-7EF31121931D}"/>
    <cellStyle name="Output 6 11 6 3" xfId="37248" xr:uid="{9875CB20-671F-48B0-AAD4-7F2199CA9722}"/>
    <cellStyle name="Output 6 11 7" xfId="19221" xr:uid="{CB08812D-F824-4A5B-A82A-9799535678E5}"/>
    <cellStyle name="Output 6 11 7 2" xfId="19222" xr:uid="{086C3DC9-BC43-4694-9A86-1B0FEFBB712F}"/>
    <cellStyle name="Output 6 11 7 3" xfId="37249" xr:uid="{1422F1E9-DD82-4689-B690-B8EEE64171EE}"/>
    <cellStyle name="Output 6 11 8" xfId="19223" xr:uid="{FA67298A-9E14-4228-9D0B-4E1175737D0D}"/>
    <cellStyle name="Output 6 11 8 2" xfId="19224" xr:uid="{25593DC8-0AAC-4478-A423-23DD028612D1}"/>
    <cellStyle name="Output 6 11 8 3" xfId="37250" xr:uid="{51403438-15CD-4C11-8EF6-4439DED0D359}"/>
    <cellStyle name="Output 6 11 9" xfId="19225" xr:uid="{C4E8D190-51E8-47EC-9756-8B3246D7E8A4}"/>
    <cellStyle name="Output 6 11 9 2" xfId="19226" xr:uid="{A6BAF4B4-B6F6-4754-9DAE-E9D551610C98}"/>
    <cellStyle name="Output 6 11 9 3" xfId="37251" xr:uid="{0A1B0AD1-67F2-4889-90EE-C3C38C1B7EA7}"/>
    <cellStyle name="Output 6 12" xfId="19227" xr:uid="{4E9B232B-A601-4B02-AEF0-AA594F52384C}"/>
    <cellStyle name="Output 6 12 10" xfId="19228" xr:uid="{1977C908-BC98-4FC7-89F9-6B48EAB6624B}"/>
    <cellStyle name="Output 6 12 10 2" xfId="37252" xr:uid="{82838472-D4DB-4941-A0B5-11E85A8711EB}"/>
    <cellStyle name="Output 6 12 11" xfId="37253" xr:uid="{92BD9FB6-A413-48C7-8887-E2A6777EFAA6}"/>
    <cellStyle name="Output 6 12 2" xfId="19229" xr:uid="{9E25BBA8-EF97-4C17-A390-078920F9CFA2}"/>
    <cellStyle name="Output 6 12 2 2" xfId="19230" xr:uid="{5D202077-F167-4726-B49F-67716D3CEC86}"/>
    <cellStyle name="Output 6 12 2 2 2" xfId="37254" xr:uid="{4EF175A8-F434-4555-986E-B3166B2B0EF0}"/>
    <cellStyle name="Output 6 12 2 2 3" xfId="37255" xr:uid="{1FB09A6F-19B7-4BA6-AC23-B50C60B46BC0}"/>
    <cellStyle name="Output 6 12 2 3" xfId="19231" xr:uid="{62A20A9A-BA5D-4810-A231-8177B0BE4F71}"/>
    <cellStyle name="Output 6 12 2 3 2" xfId="19232" xr:uid="{A616C181-80DF-44F7-83C2-826C45FE0198}"/>
    <cellStyle name="Output 6 12 2 4" xfId="19233" xr:uid="{5110ADA3-E572-4897-A3F3-1CAA6D53E460}"/>
    <cellStyle name="Output 6 12 2 5" xfId="37256" xr:uid="{E26DE275-AF29-4D6B-9FB3-1FF23B57A505}"/>
    <cellStyle name="Output 6 12 3" xfId="19234" xr:uid="{2A128557-4755-4CEE-BB3C-8E8FB37D55BD}"/>
    <cellStyle name="Output 6 12 3 2" xfId="19235" xr:uid="{33CAB316-8CC4-4DA3-908B-6A8879163A3F}"/>
    <cellStyle name="Output 6 12 3 3" xfId="37257" xr:uid="{475E7BCB-4526-4203-BFD7-3BABCCD97426}"/>
    <cellStyle name="Output 6 12 4" xfId="19236" xr:uid="{E356A6CC-72F1-457B-8F77-7768E9850116}"/>
    <cellStyle name="Output 6 12 4 2" xfId="19237" xr:uid="{7D44DEEA-B71F-4973-9D1A-D8A24E4564FC}"/>
    <cellStyle name="Output 6 12 4 3" xfId="37258" xr:uid="{C70D5F5D-4892-4C5B-9C64-E2CD1C4E9094}"/>
    <cellStyle name="Output 6 12 5" xfId="19238" xr:uid="{372BC26C-D97F-47F5-8B15-CD442DCB8964}"/>
    <cellStyle name="Output 6 12 5 2" xfId="19239" xr:uid="{A27A8DA9-E9C7-4BD9-AFC1-CDF3A497CEEC}"/>
    <cellStyle name="Output 6 12 5 3" xfId="37259" xr:uid="{BD1B4503-B773-49FC-BCA0-76764341FCEB}"/>
    <cellStyle name="Output 6 12 6" xfId="19240" xr:uid="{263994A2-97F0-4D07-A037-936CF7FEE3BE}"/>
    <cellStyle name="Output 6 12 6 2" xfId="19241" xr:uid="{5E822B51-E60D-4496-8399-4B2A1112D1AD}"/>
    <cellStyle name="Output 6 12 6 3" xfId="37260" xr:uid="{EB9E64F1-5A45-403A-9002-284FFC9CC072}"/>
    <cellStyle name="Output 6 12 7" xfId="19242" xr:uid="{31B8118F-D676-4B4B-B936-CCF6D45A63ED}"/>
    <cellStyle name="Output 6 12 7 2" xfId="19243" xr:uid="{620FB6D1-5E3B-468F-B1AB-5F413D54E2F0}"/>
    <cellStyle name="Output 6 12 7 3" xfId="37261" xr:uid="{ECF91ED2-2559-4496-BF5D-B19A8CF5868A}"/>
    <cellStyle name="Output 6 12 8" xfId="19244" xr:uid="{78D6FFB2-35C7-4C05-B22C-709657169608}"/>
    <cellStyle name="Output 6 12 8 2" xfId="19245" xr:uid="{BB9B321A-0BAA-403F-886E-0C0E978B0FE7}"/>
    <cellStyle name="Output 6 12 8 3" xfId="37262" xr:uid="{F8ED838D-0D5D-4395-8A13-1B5282850C81}"/>
    <cellStyle name="Output 6 12 9" xfId="19246" xr:uid="{A3AD9BC8-A3FC-4F22-9556-1FA11CA4BBDC}"/>
    <cellStyle name="Output 6 12 9 2" xfId="37263" xr:uid="{B029050F-4E3D-4336-95FB-32D7BFB2E6F1}"/>
    <cellStyle name="Output 6 12 9 3" xfId="37264" xr:uid="{4CC2C4E9-1B45-400F-8EDC-705E336F46DF}"/>
    <cellStyle name="Output 6 13" xfId="19247" xr:uid="{3CF4B1BE-28F4-432E-BCC5-1F536CD31BEC}"/>
    <cellStyle name="Output 6 13 2" xfId="19248" xr:uid="{8DEB293C-32B5-4A09-BF54-6A765E2E07B9}"/>
    <cellStyle name="Output 6 13 2 2" xfId="37265" xr:uid="{CF823E5B-9FAF-4346-A6B6-1EC4FBE89359}"/>
    <cellStyle name="Output 6 13 2 3" xfId="37266" xr:uid="{D0335BF4-12DF-4E55-91F7-7A41F17EE65F}"/>
    <cellStyle name="Output 6 13 2 4" xfId="37267" xr:uid="{35030908-7FED-4C68-A3C4-96E3CB0FF6C4}"/>
    <cellStyle name="Output 6 13 3" xfId="19249" xr:uid="{164C20A4-5A43-4D04-8BD6-7F3479209722}"/>
    <cellStyle name="Output 6 13 3 2" xfId="19250" xr:uid="{82740F42-8D9D-41DA-AFDA-29FF9613847E}"/>
    <cellStyle name="Output 6 13 4" xfId="19251" xr:uid="{2454CDCC-A690-4057-A56C-68E2E4039D82}"/>
    <cellStyle name="Output 6 13 5" xfId="37268" xr:uid="{9C1F70A9-322F-4446-9699-156B2CEFBEEB}"/>
    <cellStyle name="Output 6 14" xfId="19252" xr:uid="{50BA43DA-211C-499F-ACE6-AF3A1763BBA6}"/>
    <cellStyle name="Output 6 14 2" xfId="19253" xr:uid="{01935929-D37E-4FBD-ABEA-314D51FE1E7D}"/>
    <cellStyle name="Output 6 14 2 2" xfId="37269" xr:uid="{F8DD5D72-1709-4610-9B5B-1A047DD31A59}"/>
    <cellStyle name="Output 6 14 2 3" xfId="37270" xr:uid="{8E325F08-9E9B-44A3-AB39-C996D7122232}"/>
    <cellStyle name="Output 6 14 3" xfId="19254" xr:uid="{AE93F203-5DF9-4DF2-8FA0-6B7788C883EF}"/>
    <cellStyle name="Output 6 14 4" xfId="37271" xr:uid="{A84C684F-1CB5-419C-8083-084019D3599E}"/>
    <cellStyle name="Output 6 14 5" xfId="37272" xr:uid="{433CC349-CB93-418C-AE15-D016F623EA29}"/>
    <cellStyle name="Output 6 15" xfId="19255" xr:uid="{8FE5E057-0E8D-42DC-9FC1-BDCCE66F12F9}"/>
    <cellStyle name="Output 6 15 2" xfId="19256" xr:uid="{4A9D6301-DAD6-4D95-80BD-CEF409364ED1}"/>
    <cellStyle name="Output 6 15 2 2" xfId="37273" xr:uid="{1CA89F1B-5AEE-4CC5-AF58-201056190B09}"/>
    <cellStyle name="Output 6 15 2 3" xfId="37274" xr:uid="{CF296A76-18A1-4272-ABCA-10AD2B6B4434}"/>
    <cellStyle name="Output 6 15 3" xfId="37275" xr:uid="{6FECBCA9-CB97-4842-9A76-61D110A143A8}"/>
    <cellStyle name="Output 6 15 4" xfId="37276" xr:uid="{33D7C673-321F-4277-BBBA-03BA76362135}"/>
    <cellStyle name="Output 6 16" xfId="19257" xr:uid="{D5FD0C84-7C46-4716-A378-D1DB30AAADE0}"/>
    <cellStyle name="Output 6 16 2" xfId="19258" xr:uid="{421B7ABC-F613-445C-817F-7A416EF01D5C}"/>
    <cellStyle name="Output 6 16 3" xfId="37277" xr:uid="{20749B69-1CD5-418F-9EE5-D658A026611B}"/>
    <cellStyle name="Output 6 17" xfId="19259" xr:uid="{70EE6F51-3CC7-48D3-8EC4-CE17EDA59160}"/>
    <cellStyle name="Output 6 17 2" xfId="19260" xr:uid="{E8FBE5C7-3559-4583-8D81-8D4ED14024F7}"/>
    <cellStyle name="Output 6 17 3" xfId="37278" xr:uid="{E5A8C9F9-4FA7-4EAC-A717-FE5C7B19752C}"/>
    <cellStyle name="Output 6 18" xfId="19261" xr:uid="{9FB62821-54A4-4F5A-8DB9-A2FF67E74190}"/>
    <cellStyle name="Output 6 18 2" xfId="19262" xr:uid="{AC8131C1-218B-48B5-BF92-C8103C8FD1DB}"/>
    <cellStyle name="Output 6 18 3" xfId="37279" xr:uid="{ACAF5648-2694-4D98-B35D-961D3E95720B}"/>
    <cellStyle name="Output 6 19" xfId="19263" xr:uid="{88E6A7FB-C335-4041-B033-AC39FF8EA036}"/>
    <cellStyle name="Output 6 19 2" xfId="19264" xr:uid="{27D07078-44FF-4A6F-B314-62F362558FF2}"/>
    <cellStyle name="Output 6 19 3" xfId="37280" xr:uid="{57C3198D-B42C-4657-B9A7-34C8C92A21E8}"/>
    <cellStyle name="Output 6 2" xfId="19265" xr:uid="{374B8D3C-6A8B-4E03-8005-DD6C41D60042}"/>
    <cellStyle name="Output 6 2 10" xfId="19266" xr:uid="{1CA32E52-92F3-4C86-91E2-1857E2AD0193}"/>
    <cellStyle name="Output 6 2 10 2" xfId="37281" xr:uid="{A8595E65-0A31-4A78-822F-5AFCE8DC40BF}"/>
    <cellStyle name="Output 6 2 10 3" xfId="37282" xr:uid="{79AB72B2-B364-4477-A566-57C35F41CFE8}"/>
    <cellStyle name="Output 6 2 11" xfId="19267" xr:uid="{C742508E-AE8B-4F93-AD5E-7A7770BA4963}"/>
    <cellStyle name="Output 6 2 11 2" xfId="37283" xr:uid="{5F3130A1-28A4-47F2-A43B-917A3D4CE69F}"/>
    <cellStyle name="Output 6 2 12" xfId="37284" xr:uid="{9A02A2DF-5099-4D40-B2D5-29A7C1B11EB1}"/>
    <cellStyle name="Output 6 2 13" xfId="37285" xr:uid="{4A2D1E37-0B9D-4586-AFA1-0009F28CC642}"/>
    <cellStyle name="Output 6 2 2" xfId="19268" xr:uid="{7F822653-385F-4800-8487-85FA96853BB0}"/>
    <cellStyle name="Output 6 2 2 10" xfId="19269" xr:uid="{18BFC40B-C5AA-4DE3-8056-2D25E7EF0717}"/>
    <cellStyle name="Output 6 2 2 10 2" xfId="37286" xr:uid="{7B87F6C5-AD9F-4FD4-A763-E420D04BA6A9}"/>
    <cellStyle name="Output 6 2 2 11" xfId="37287" xr:uid="{170F5184-8A4C-4320-BE9A-CCD84808FEF2}"/>
    <cellStyle name="Output 6 2 2 2" xfId="19270" xr:uid="{DBA6AD9C-7617-4FC6-9546-EF0C424DC700}"/>
    <cellStyle name="Output 6 2 2 2 2" xfId="19271" xr:uid="{43254581-6FF0-41EC-8199-4655D30BDEB9}"/>
    <cellStyle name="Output 6 2 2 2 2 2" xfId="37288" xr:uid="{B7F3FE2F-4C06-4D44-BBB5-FE7920290A26}"/>
    <cellStyle name="Output 6 2 2 2 2 3" xfId="37289" xr:uid="{A2239F7F-A423-4AEC-88DF-17F803912A57}"/>
    <cellStyle name="Output 6 2 2 2 3" xfId="19272" xr:uid="{DD07B6D7-E3DE-4A26-9BBC-6B4E8EA9E466}"/>
    <cellStyle name="Output 6 2 2 2 3 2" xfId="19273" xr:uid="{B5675EA7-8872-45D6-8A89-62856925644B}"/>
    <cellStyle name="Output 6 2 2 2 4" xfId="19274" xr:uid="{DB42BE69-7944-4187-B7DE-C72E55F2B3AF}"/>
    <cellStyle name="Output 6 2 2 2 5" xfId="37290" xr:uid="{6BABB446-06EE-473C-AF6D-82590F655C30}"/>
    <cellStyle name="Output 6 2 2 3" xfId="19275" xr:uid="{4D7F3BC4-8778-4AB8-A1AD-4830D5C5A72B}"/>
    <cellStyle name="Output 6 2 2 3 2" xfId="19276" xr:uid="{B1939202-D595-42A7-9356-893CFEF5A3D6}"/>
    <cellStyle name="Output 6 2 2 3 3" xfId="37291" xr:uid="{80781866-C1F8-4289-A0EA-2211A30BEB37}"/>
    <cellStyle name="Output 6 2 2 4" xfId="19277" xr:uid="{A9DCE02C-C4F5-4284-9A78-B821B7A6ACBB}"/>
    <cellStyle name="Output 6 2 2 4 2" xfId="19278" xr:uid="{456C2345-B854-43D1-BA6B-119749B3914C}"/>
    <cellStyle name="Output 6 2 2 4 3" xfId="37292" xr:uid="{552F0BDD-AD93-4F90-AD24-616B2F195C52}"/>
    <cellStyle name="Output 6 2 2 5" xfId="19279" xr:uid="{D9868303-6CDD-42CE-8433-9BEEFE716748}"/>
    <cellStyle name="Output 6 2 2 5 2" xfId="19280" xr:uid="{F4536303-BB03-4F4E-AE56-74EB3809045D}"/>
    <cellStyle name="Output 6 2 2 5 3" xfId="37293" xr:uid="{4E446C2A-9669-4658-BFFF-80EDE6E8BBA7}"/>
    <cellStyle name="Output 6 2 2 6" xfId="19281" xr:uid="{8C718F84-49D2-4D4E-9E8B-D7FD15F325A3}"/>
    <cellStyle name="Output 6 2 2 6 2" xfId="19282" xr:uid="{39184907-89D2-4328-B4F3-E20A1B15C71B}"/>
    <cellStyle name="Output 6 2 2 6 3" xfId="37294" xr:uid="{1951EBCB-723F-4131-9F28-9FEA695DB1C6}"/>
    <cellStyle name="Output 6 2 2 7" xfId="19283" xr:uid="{AF1A2038-2039-47AD-B4C8-22DF87EE7A92}"/>
    <cellStyle name="Output 6 2 2 7 2" xfId="19284" xr:uid="{39E6115F-EE92-4978-8CB7-B047812AA288}"/>
    <cellStyle name="Output 6 2 2 7 3" xfId="37295" xr:uid="{C2972D7A-A7AA-4959-8CD5-6A9409522EF5}"/>
    <cellStyle name="Output 6 2 2 8" xfId="19285" xr:uid="{74D675E8-D35B-4A3D-9F9E-379A02CF8EA8}"/>
    <cellStyle name="Output 6 2 2 8 2" xfId="19286" xr:uid="{9826AAF4-F120-48BC-8362-6B1740600DF1}"/>
    <cellStyle name="Output 6 2 2 8 3" xfId="37296" xr:uid="{80FF2314-7BEC-41E7-80DC-102E3A419D54}"/>
    <cellStyle name="Output 6 2 2 9" xfId="19287" xr:uid="{3C5BD7E5-703A-41F7-A1CA-07B228A69515}"/>
    <cellStyle name="Output 6 2 2 9 2" xfId="37297" xr:uid="{CE64FBAD-4B42-406C-B7F6-84681826B75A}"/>
    <cellStyle name="Output 6 2 2 9 3" xfId="37298" xr:uid="{E8BB4FCB-BDA3-45B4-8706-3329241ECBBA}"/>
    <cellStyle name="Output 6 2 3" xfId="19288" xr:uid="{62843AC4-68A3-4199-B29B-3D9C89099A10}"/>
    <cellStyle name="Output 6 2 3 2" xfId="19289" xr:uid="{342A768E-D857-401D-A43D-7583613FD91F}"/>
    <cellStyle name="Output 6 2 3 2 2" xfId="37299" xr:uid="{12D49757-56C5-456C-9660-B924BAC1670C}"/>
    <cellStyle name="Output 6 2 3 2 3" xfId="37300" xr:uid="{A3431C9D-8E17-4680-9BBA-3C3C04791E65}"/>
    <cellStyle name="Output 6 2 3 2 4" xfId="37301" xr:uid="{D6BF332A-05F0-4F11-ACFD-27FB08DD166C}"/>
    <cellStyle name="Output 6 2 3 3" xfId="19290" xr:uid="{11871B42-5853-4B22-A519-6800FA1130CE}"/>
    <cellStyle name="Output 6 2 3 3 2" xfId="19291" xr:uid="{C3C1058E-88F7-4544-8E7C-E32B97DDF28D}"/>
    <cellStyle name="Output 6 2 3 4" xfId="19292" xr:uid="{551326AC-1394-46BE-BFD3-60678C478116}"/>
    <cellStyle name="Output 6 2 3 5" xfId="37302" xr:uid="{319DC707-46B7-46E0-84EA-AC57C4645773}"/>
    <cellStyle name="Output 6 2 4" xfId="19293" xr:uid="{8E51E167-E194-4BF1-9832-9DDD1856931B}"/>
    <cellStyle name="Output 6 2 4 2" xfId="19294" xr:uid="{636EF02F-2DF4-450A-9A92-D5100FE7EF4C}"/>
    <cellStyle name="Output 6 2 4 2 2" xfId="37303" xr:uid="{414570D0-7378-4AF2-8ABF-4BED27908871}"/>
    <cellStyle name="Output 6 2 4 2 3" xfId="37304" xr:uid="{D8782FEE-49DD-4131-9F23-4A0C5B1F0447}"/>
    <cellStyle name="Output 6 2 4 3" xfId="19295" xr:uid="{A7053CE7-C3A5-4D0A-9616-293A417B347C}"/>
    <cellStyle name="Output 6 2 4 4" xfId="37305" xr:uid="{BD9E048A-BD97-44BF-8922-69C4D0E4346F}"/>
    <cellStyle name="Output 6 2 4 5" xfId="37306" xr:uid="{FF272770-E54E-43A1-B0B4-FDE6C3C05EEE}"/>
    <cellStyle name="Output 6 2 5" xfId="19296" xr:uid="{36679801-BEA4-4CE8-8415-14269346398A}"/>
    <cellStyle name="Output 6 2 5 2" xfId="19297" xr:uid="{C945862E-4AF0-4CB3-B94E-45C0AE67FE81}"/>
    <cellStyle name="Output 6 2 5 2 2" xfId="37307" xr:uid="{961A3809-2B4C-4D33-B395-338BE2D74363}"/>
    <cellStyle name="Output 6 2 5 2 3" xfId="37308" xr:uid="{7137AD0B-8511-4E1F-A612-C224B6914035}"/>
    <cellStyle name="Output 6 2 5 3" xfId="37309" xr:uid="{4B9E10B0-9752-4CE0-B845-4F807F9ED491}"/>
    <cellStyle name="Output 6 2 5 4" xfId="37310" xr:uid="{AE3358A5-CD81-452D-BBED-7AFF76690C79}"/>
    <cellStyle name="Output 6 2 6" xfId="19298" xr:uid="{95AE2EE7-DFA8-41DC-B5D0-1C174AFD0C33}"/>
    <cellStyle name="Output 6 2 6 2" xfId="19299" xr:uid="{892443DB-D6CC-4DBA-BD32-894DA8966A60}"/>
    <cellStyle name="Output 6 2 6 3" xfId="37311" xr:uid="{7AE62B46-9D52-4751-87D7-3649D0A12C93}"/>
    <cellStyle name="Output 6 2 7" xfId="19300" xr:uid="{D8CC900D-EB97-4F03-BCAA-8DFBEB08A260}"/>
    <cellStyle name="Output 6 2 7 2" xfId="19301" xr:uid="{9AB9E280-BC7E-4164-84E7-5826AD6C534C}"/>
    <cellStyle name="Output 6 2 7 3" xfId="37312" xr:uid="{21AD021A-BFD8-4F82-82B1-22E79CECC468}"/>
    <cellStyle name="Output 6 2 8" xfId="19302" xr:uid="{6E7CCBFF-0813-407C-BEDD-A06C64B91346}"/>
    <cellStyle name="Output 6 2 8 2" xfId="19303" xr:uid="{98F7F525-1889-4C36-AB89-8347F20EC3C8}"/>
    <cellStyle name="Output 6 2 8 3" xfId="37313" xr:uid="{AFEB8445-ED57-4987-B411-970A6842E244}"/>
    <cellStyle name="Output 6 2 9" xfId="19304" xr:uid="{F4595BCD-E895-403F-8928-EF5F62038D87}"/>
    <cellStyle name="Output 6 2 9 2" xfId="19305" xr:uid="{C333C9C0-5D70-492D-A769-ED7F331CA619}"/>
    <cellStyle name="Output 6 2 9 3" xfId="37314" xr:uid="{FDAFEA03-228D-473D-BD2B-4B4442E31F0A}"/>
    <cellStyle name="Output 6 20" xfId="19306" xr:uid="{93112686-1240-4E74-8D2D-0BCAE14923B1}"/>
    <cellStyle name="Output 6 20 2" xfId="37315" xr:uid="{10AE8725-1BB9-4F95-B123-28C4922AFABF}"/>
    <cellStyle name="Output 6 20 3" xfId="37316" xr:uid="{16A7904A-338B-4F1F-96AB-CF2258C7EEE9}"/>
    <cellStyle name="Output 6 21" xfId="19307" xr:uid="{F9DDF264-1AD4-4886-9E39-FE55D2C59877}"/>
    <cellStyle name="Output 6 21 2" xfId="37317" xr:uid="{A81D609F-7FD7-45A6-AD7F-3791D72835AF}"/>
    <cellStyle name="Output 6 22" xfId="37318" xr:uid="{9EEE9C83-0035-4BE6-83EC-D30C85DA89C2}"/>
    <cellStyle name="Output 6 23" xfId="37319" xr:uid="{EF0D1D71-B731-4B8B-BEC0-2A51939CC35F}"/>
    <cellStyle name="Output 6 24" xfId="43046" xr:uid="{65268241-74B3-46E9-8AE7-8BA42C5860E9}"/>
    <cellStyle name="Output 6 25" xfId="42209" xr:uid="{F361D005-9D8B-4837-B7B1-BF47A6175094}"/>
    <cellStyle name="Output 6 26" xfId="43964" xr:uid="{4D26AFCD-FB10-4D08-AA45-C010182F429D}"/>
    <cellStyle name="Output 6 3" xfId="19308" xr:uid="{48406923-53D2-46C3-BF1B-A1AC0AC06A35}"/>
    <cellStyle name="Output 6 3 10" xfId="19309" xr:uid="{21CC4680-C37A-49E4-AD99-BD2F85E93280}"/>
    <cellStyle name="Output 6 3 10 2" xfId="37320" xr:uid="{FBF366A9-4917-477D-9D8C-F3763540F848}"/>
    <cellStyle name="Output 6 3 10 3" xfId="37321" xr:uid="{B03336F9-E94A-4FE8-87E6-DCC651D8B804}"/>
    <cellStyle name="Output 6 3 11" xfId="19310" xr:uid="{44AF518D-B6B0-4AE1-AEAE-61F902B771A1}"/>
    <cellStyle name="Output 6 3 11 2" xfId="37322" xr:uid="{CFE3DAC2-4523-4AD8-A0C0-1F0769D6BC9D}"/>
    <cellStyle name="Output 6 3 12" xfId="37323" xr:uid="{F840C636-1416-40A2-A5F0-1500CDAED984}"/>
    <cellStyle name="Output 6 3 2" xfId="19311" xr:uid="{9A2B8BF7-F9C1-4267-985F-57A8FA89C88A}"/>
    <cellStyle name="Output 6 3 2 10" xfId="19312" xr:uid="{870486CA-16FA-4F50-9991-100C5FC51C6C}"/>
    <cellStyle name="Output 6 3 2 10 2" xfId="37324" xr:uid="{804624AF-2802-49A9-B7E6-73E3134E6E80}"/>
    <cellStyle name="Output 6 3 2 11" xfId="37325" xr:uid="{F671F33D-083C-46AE-A8DE-8FFDBD656F7A}"/>
    <cellStyle name="Output 6 3 2 2" xfId="19313" xr:uid="{0AB8C92B-C44D-4079-9894-CD0A9ECDDACB}"/>
    <cellStyle name="Output 6 3 2 2 2" xfId="19314" xr:uid="{B6578BD4-E14A-4904-8E15-91F8AA697EB1}"/>
    <cellStyle name="Output 6 3 2 2 2 2" xfId="37326" xr:uid="{AA15D811-D07C-4527-8FC3-9E4BE8F7CDCD}"/>
    <cellStyle name="Output 6 3 2 2 2 3" xfId="37327" xr:uid="{DAF5B3AC-88F1-4246-A22E-6444FE98EE3C}"/>
    <cellStyle name="Output 6 3 2 2 3" xfId="19315" xr:uid="{BE729E24-54C2-485C-8F29-1AC8B8638794}"/>
    <cellStyle name="Output 6 3 2 2 3 2" xfId="19316" xr:uid="{C0AD19DA-36B4-4D78-A0EB-281E447B9C7F}"/>
    <cellStyle name="Output 6 3 2 2 4" xfId="19317" xr:uid="{30402DBC-AB29-4085-852D-5263488E2908}"/>
    <cellStyle name="Output 6 3 2 2 5" xfId="37328" xr:uid="{648EF528-C32C-4DA8-A251-64143217A565}"/>
    <cellStyle name="Output 6 3 2 3" xfId="19318" xr:uid="{3FEE6972-9028-4975-9029-4F39FA48C82B}"/>
    <cellStyle name="Output 6 3 2 3 2" xfId="19319" xr:uid="{160C4D85-8A5B-42F8-B8D2-19E1EBBAE522}"/>
    <cellStyle name="Output 6 3 2 3 3" xfId="37329" xr:uid="{ED3FFE34-4A30-41C0-A9CD-BA47E60A3596}"/>
    <cellStyle name="Output 6 3 2 4" xfId="19320" xr:uid="{1491940C-1569-46D7-A8D6-E717C34495A9}"/>
    <cellStyle name="Output 6 3 2 4 2" xfId="19321" xr:uid="{91C261A1-5647-4991-9FF9-548C2088B84B}"/>
    <cellStyle name="Output 6 3 2 4 3" xfId="37330" xr:uid="{2EB29F63-5EAE-4043-AAE1-23DABDAF3348}"/>
    <cellStyle name="Output 6 3 2 5" xfId="19322" xr:uid="{4C1026EF-2DCB-4827-93C1-AE6606DF886F}"/>
    <cellStyle name="Output 6 3 2 5 2" xfId="19323" xr:uid="{620555F0-30D7-445B-A2F7-C2ECB3EF9418}"/>
    <cellStyle name="Output 6 3 2 5 3" xfId="37331" xr:uid="{C9C0A937-4B0D-4BAC-BA8E-58AEC076AB63}"/>
    <cellStyle name="Output 6 3 2 6" xfId="19324" xr:uid="{89832924-F819-4F57-B60A-CB99287407CF}"/>
    <cellStyle name="Output 6 3 2 6 2" xfId="19325" xr:uid="{F57EA92C-A460-48F1-BC0A-F91390EE74ED}"/>
    <cellStyle name="Output 6 3 2 6 3" xfId="37332" xr:uid="{72CF2BD0-2CC9-4923-9573-7E953128C1B3}"/>
    <cellStyle name="Output 6 3 2 7" xfId="19326" xr:uid="{482CC797-E37A-4210-8EC1-3C706650190D}"/>
    <cellStyle name="Output 6 3 2 7 2" xfId="19327" xr:uid="{3F7232D1-0DDE-4BB3-A809-F7972002AF08}"/>
    <cellStyle name="Output 6 3 2 7 3" xfId="37333" xr:uid="{5E1B6E3B-657D-450D-8F94-640868F28205}"/>
    <cellStyle name="Output 6 3 2 8" xfId="19328" xr:uid="{0B444BF0-4D35-454E-8A93-A353BA590D18}"/>
    <cellStyle name="Output 6 3 2 8 2" xfId="19329" xr:uid="{567DC0D0-C0CE-43E7-8DAB-4A75E8E13167}"/>
    <cellStyle name="Output 6 3 2 8 3" xfId="37334" xr:uid="{D3B9CE58-EC9B-4CA7-AB84-D3A561DEB715}"/>
    <cellStyle name="Output 6 3 2 9" xfId="19330" xr:uid="{F13598D9-0B34-4828-8120-8A94CB1EF5D3}"/>
    <cellStyle name="Output 6 3 2 9 2" xfId="37335" xr:uid="{95CD31E9-DC76-4EA7-9280-5096365EF1A5}"/>
    <cellStyle name="Output 6 3 2 9 3" xfId="37336" xr:uid="{7FEFBB40-C13F-4E7A-B1C7-63EA408F145D}"/>
    <cellStyle name="Output 6 3 3" xfId="19331" xr:uid="{6E7BFA8A-563E-49B7-A8AA-CB3196B1158E}"/>
    <cellStyle name="Output 6 3 3 2" xfId="19332" xr:uid="{34F37CEA-7E4A-43E5-A9CE-3018AA93F836}"/>
    <cellStyle name="Output 6 3 3 2 2" xfId="37337" xr:uid="{F8025494-D5C5-4388-88C8-75D4AA2AAF3B}"/>
    <cellStyle name="Output 6 3 3 2 3" xfId="37338" xr:uid="{7E552DAE-5478-4D42-9701-DBB110A91ADF}"/>
    <cellStyle name="Output 6 3 3 2 4" xfId="37339" xr:uid="{2B7EDBBC-F54E-49DD-B64D-52A59419E98C}"/>
    <cellStyle name="Output 6 3 3 3" xfId="19333" xr:uid="{15EB2110-3082-4387-9C57-3930BB82E139}"/>
    <cellStyle name="Output 6 3 3 3 2" xfId="19334" xr:uid="{B272C7D0-4893-4091-8831-0D724B2D6B0B}"/>
    <cellStyle name="Output 6 3 3 4" xfId="19335" xr:uid="{279281B8-AAE9-4FEF-B1FF-356D7EE2FD37}"/>
    <cellStyle name="Output 6 3 3 5" xfId="37340" xr:uid="{4B66072F-C8CB-4BF7-B089-4703CEE142B0}"/>
    <cellStyle name="Output 6 3 4" xfId="19336" xr:uid="{ACB0DD1A-91B9-4B43-BFD2-1383F452014F}"/>
    <cellStyle name="Output 6 3 4 2" xfId="19337" xr:uid="{FB427080-97D6-4162-8526-1E6CD4BDD202}"/>
    <cellStyle name="Output 6 3 4 2 2" xfId="37341" xr:uid="{1BCAC7B2-94E7-4B1F-A5B3-BC4A5CE43391}"/>
    <cellStyle name="Output 6 3 4 2 3" xfId="37342" xr:uid="{72438631-CFCB-4EF5-9227-1C787C0FBB0A}"/>
    <cellStyle name="Output 6 3 4 3" xfId="19338" xr:uid="{1B93044E-657A-41A5-92AF-10C4DC30D65E}"/>
    <cellStyle name="Output 6 3 4 4" xfId="37343" xr:uid="{BEE55519-6726-439F-A2AF-1CEC9E975B4C}"/>
    <cellStyle name="Output 6 3 4 5" xfId="37344" xr:uid="{0881155F-1C3E-4F29-BA23-9BE6D486FAB0}"/>
    <cellStyle name="Output 6 3 5" xfId="19339" xr:uid="{32C7E51E-68C4-446B-8266-CD35240D4DE7}"/>
    <cellStyle name="Output 6 3 5 2" xfId="19340" xr:uid="{CAAAEC2B-5FD1-4CD5-ACB3-175B827AB0A5}"/>
    <cellStyle name="Output 6 3 5 2 2" xfId="37345" xr:uid="{617EA8D5-0CFD-4A86-BE46-C1A04D7AEE7F}"/>
    <cellStyle name="Output 6 3 5 2 3" xfId="37346" xr:uid="{AB415F77-5D7A-4484-9569-ABE55806B63B}"/>
    <cellStyle name="Output 6 3 5 3" xfId="37347" xr:uid="{AF38875E-5814-450C-B76B-A56A3521C3A9}"/>
    <cellStyle name="Output 6 3 5 4" xfId="37348" xr:uid="{5A9C5947-CD94-4EE7-B499-5FC359FDF2C2}"/>
    <cellStyle name="Output 6 3 6" xfId="19341" xr:uid="{3C9E1E4F-E0C4-4C93-A8C6-5D17F9898802}"/>
    <cellStyle name="Output 6 3 6 2" xfId="19342" xr:uid="{2D147796-DA5E-4166-B8FD-7BEFD9F62713}"/>
    <cellStyle name="Output 6 3 6 3" xfId="37349" xr:uid="{B8AD703B-42AE-43FE-B31B-9DEE73827267}"/>
    <cellStyle name="Output 6 3 7" xfId="19343" xr:uid="{685CD64D-8D5A-406D-8897-D9462DA73ED5}"/>
    <cellStyle name="Output 6 3 7 2" xfId="19344" xr:uid="{FDAE16E3-F7AB-4789-BD94-50C743F32D0F}"/>
    <cellStyle name="Output 6 3 7 3" xfId="37350" xr:uid="{E615F86B-E86B-408F-832C-3CA6193B62FF}"/>
    <cellStyle name="Output 6 3 8" xfId="19345" xr:uid="{8458614E-FB27-4E62-B05D-D83E2E9BF3F7}"/>
    <cellStyle name="Output 6 3 8 2" xfId="19346" xr:uid="{87460CE8-16D1-4CD1-A65E-1D933815960D}"/>
    <cellStyle name="Output 6 3 8 3" xfId="37351" xr:uid="{52CC7EAE-E1E7-4C21-9391-A4D5D81A9FDE}"/>
    <cellStyle name="Output 6 3 9" xfId="19347" xr:uid="{902460E0-9E0A-4C01-98C9-49565C821B6A}"/>
    <cellStyle name="Output 6 3 9 2" xfId="19348" xr:uid="{1EC043E7-A862-4538-B0B6-51038E3EBAC1}"/>
    <cellStyle name="Output 6 3 9 3" xfId="37352" xr:uid="{453D856E-CB70-4F51-A163-1245244A4EE0}"/>
    <cellStyle name="Output 6 4" xfId="19349" xr:uid="{C38BA0E0-5702-4C56-9D85-BF25C7E9E1ED}"/>
    <cellStyle name="Output 6 4 10" xfId="19350" xr:uid="{D15D9860-472D-46C0-8CB3-03A7744A720B}"/>
    <cellStyle name="Output 6 4 10 2" xfId="37353" xr:uid="{F04539AD-5121-4983-B7DD-AA26A38205A9}"/>
    <cellStyle name="Output 6 4 10 3" xfId="37354" xr:uid="{A373FF90-0AEE-414B-B083-E7668BF69BA6}"/>
    <cellStyle name="Output 6 4 11" xfId="19351" xr:uid="{06A8EC15-E26F-4EB5-82B2-FBD81925DDB2}"/>
    <cellStyle name="Output 6 4 11 2" xfId="37355" xr:uid="{4620A135-6BD8-47A3-BAD9-1475393A4B55}"/>
    <cellStyle name="Output 6 4 12" xfId="37356" xr:uid="{EA93977B-3DE3-44D7-9648-B386C3102171}"/>
    <cellStyle name="Output 6 4 2" xfId="19352" xr:uid="{7B50B7DA-5A75-4D5B-BC5C-AE0E4FEE6985}"/>
    <cellStyle name="Output 6 4 2 10" xfId="19353" xr:uid="{4E1602F6-B0EE-40A4-B0F7-B505315B0BF6}"/>
    <cellStyle name="Output 6 4 2 10 2" xfId="37357" xr:uid="{822C2338-1BAC-4D58-BD28-FB4316A4FCCA}"/>
    <cellStyle name="Output 6 4 2 11" xfId="37358" xr:uid="{9FB63830-4F1F-4713-B35A-DA27D460C043}"/>
    <cellStyle name="Output 6 4 2 2" xfId="19354" xr:uid="{D8BFC1F0-D23D-4954-9C3C-A8B9F2DA2852}"/>
    <cellStyle name="Output 6 4 2 2 2" xfId="19355" xr:uid="{1A61BD85-4A6D-4A60-B990-A166373ADD18}"/>
    <cellStyle name="Output 6 4 2 2 2 2" xfId="37359" xr:uid="{C8F506CB-872D-4E8B-9AD1-2B2AC5ACC7DB}"/>
    <cellStyle name="Output 6 4 2 2 2 3" xfId="37360" xr:uid="{DC1F24FA-22D8-46E8-A85E-D600203002F0}"/>
    <cellStyle name="Output 6 4 2 2 3" xfId="19356" xr:uid="{E2107D10-5D02-463D-B879-1BF9EB53EF5E}"/>
    <cellStyle name="Output 6 4 2 2 3 2" xfId="19357" xr:uid="{8110FF8C-A0D9-464F-91C7-CF2B1D26BA91}"/>
    <cellStyle name="Output 6 4 2 2 4" xfId="19358" xr:uid="{5122884C-50D2-4AF8-82AC-C61EEDFE6D88}"/>
    <cellStyle name="Output 6 4 2 2 5" xfId="37361" xr:uid="{2FCB10B1-317B-4E5A-A54F-214E4A533A6D}"/>
    <cellStyle name="Output 6 4 2 3" xfId="19359" xr:uid="{92EE8800-4584-483A-B002-DC3B4B43637F}"/>
    <cellStyle name="Output 6 4 2 3 2" xfId="19360" xr:uid="{F4F344A6-E31E-4668-83FD-A3F69CE0355C}"/>
    <cellStyle name="Output 6 4 2 3 3" xfId="37362" xr:uid="{BC768660-4DAD-4C1C-9CF5-F3621C6B5DC6}"/>
    <cellStyle name="Output 6 4 2 4" xfId="19361" xr:uid="{77C029C4-4735-433D-8ACF-9D3AF71EA0F8}"/>
    <cellStyle name="Output 6 4 2 4 2" xfId="19362" xr:uid="{683B8514-77A8-404D-AEF7-A1BBB9ECC6F8}"/>
    <cellStyle name="Output 6 4 2 4 3" xfId="37363" xr:uid="{BD1A1069-8565-4104-8826-4CE95A7A7EDE}"/>
    <cellStyle name="Output 6 4 2 5" xfId="19363" xr:uid="{12D9E543-B82C-44E6-8140-2AAA52E5876C}"/>
    <cellStyle name="Output 6 4 2 5 2" xfId="19364" xr:uid="{B1EBFF82-5D56-4D87-8632-596B423B5796}"/>
    <cellStyle name="Output 6 4 2 5 3" xfId="37364" xr:uid="{E3F4F734-00E7-412D-BB13-EB7516B75960}"/>
    <cellStyle name="Output 6 4 2 6" xfId="19365" xr:uid="{22E07751-CF54-4FB6-9961-B72236140E08}"/>
    <cellStyle name="Output 6 4 2 6 2" xfId="19366" xr:uid="{044252F0-9A5A-44FE-B4B5-E9040BD877D1}"/>
    <cellStyle name="Output 6 4 2 6 3" xfId="37365" xr:uid="{84BDA81A-6338-402C-8ABF-2581E07C0C8E}"/>
    <cellStyle name="Output 6 4 2 7" xfId="19367" xr:uid="{7C890FB1-FC95-4F86-A71F-919E1E2D7031}"/>
    <cellStyle name="Output 6 4 2 7 2" xfId="19368" xr:uid="{453A168C-C54A-4B21-8A1C-DD0F94218C9C}"/>
    <cellStyle name="Output 6 4 2 7 3" xfId="37366" xr:uid="{A5665526-78E4-4BC0-83D2-BEF8A2E4F10B}"/>
    <cellStyle name="Output 6 4 2 8" xfId="19369" xr:uid="{42BF3E05-2037-4C33-9C55-7F8A32D82E5E}"/>
    <cellStyle name="Output 6 4 2 8 2" xfId="19370" xr:uid="{3C422E49-457D-4BF2-8BB7-C4187D78D528}"/>
    <cellStyle name="Output 6 4 2 8 3" xfId="37367" xr:uid="{20269506-197D-486C-9CCD-FC2175E64171}"/>
    <cellStyle name="Output 6 4 2 9" xfId="19371" xr:uid="{7504ADFD-56CB-4B83-9CFA-AB690A672B5D}"/>
    <cellStyle name="Output 6 4 2 9 2" xfId="37368" xr:uid="{D0AAE48B-4AF2-4355-A1AB-B46ED1D3B6A4}"/>
    <cellStyle name="Output 6 4 2 9 3" xfId="37369" xr:uid="{0A348CEE-11A9-4C13-B69E-EF56D665D4F9}"/>
    <cellStyle name="Output 6 4 3" xfId="19372" xr:uid="{10341FFC-1F1B-4A55-8B6D-2F89D0A7B765}"/>
    <cellStyle name="Output 6 4 3 2" xfId="19373" xr:uid="{E2EE222F-503D-4293-AF8C-26CA02962254}"/>
    <cellStyle name="Output 6 4 3 2 2" xfId="37370" xr:uid="{A9DD90E6-DC12-4CD9-8BF9-90807BF3D01A}"/>
    <cellStyle name="Output 6 4 3 2 3" xfId="37371" xr:uid="{9A5F54CC-6448-4EA1-B57B-25769F5B82C6}"/>
    <cellStyle name="Output 6 4 3 2 4" xfId="37372" xr:uid="{629E78E5-1AAE-4ED1-A829-51003DC5DA8B}"/>
    <cellStyle name="Output 6 4 3 3" xfId="19374" xr:uid="{38E99E7B-AC55-402E-ADF5-89E46FB55379}"/>
    <cellStyle name="Output 6 4 3 3 2" xfId="19375" xr:uid="{22D9F5EC-A518-4A8A-8AD9-066D43C672F1}"/>
    <cellStyle name="Output 6 4 3 4" xfId="19376" xr:uid="{C6159824-9807-4926-8850-C3F504D76A7B}"/>
    <cellStyle name="Output 6 4 3 5" xfId="37373" xr:uid="{E662753D-B561-4F45-BB90-C8A80DBF19A5}"/>
    <cellStyle name="Output 6 4 4" xfId="19377" xr:uid="{17AC4A64-9D85-4A97-B2F9-5C815998273E}"/>
    <cellStyle name="Output 6 4 4 2" xfId="19378" xr:uid="{40DAA2DA-62AF-43CB-A30E-268D313EA142}"/>
    <cellStyle name="Output 6 4 4 2 2" xfId="37374" xr:uid="{695B6D66-294C-4066-96CF-C6EC847F3AA2}"/>
    <cellStyle name="Output 6 4 4 2 3" xfId="37375" xr:uid="{1D71DDD7-48FD-44B7-B5AE-0B8E76EF94FA}"/>
    <cellStyle name="Output 6 4 4 3" xfId="19379" xr:uid="{6C0C1F89-D553-4D2B-969A-54B76CFEE80E}"/>
    <cellStyle name="Output 6 4 4 4" xfId="37376" xr:uid="{ECA0EBF7-712F-4044-9472-E0F295B9017B}"/>
    <cellStyle name="Output 6 4 4 5" xfId="37377" xr:uid="{97543BED-82B0-426D-9CE2-9E5A2A1C6BC0}"/>
    <cellStyle name="Output 6 4 5" xfId="19380" xr:uid="{2C6E8502-EB7F-4CC4-A975-351C7FED932B}"/>
    <cellStyle name="Output 6 4 5 2" xfId="19381" xr:uid="{4A2F5C66-921A-4106-A238-AB78C947CBA7}"/>
    <cellStyle name="Output 6 4 5 2 2" xfId="37378" xr:uid="{1BEF3CB6-17A9-416F-A24E-5071171CC85B}"/>
    <cellStyle name="Output 6 4 5 2 3" xfId="37379" xr:uid="{D9745FE4-CF09-49FB-BCD7-75AE9E1BF542}"/>
    <cellStyle name="Output 6 4 5 3" xfId="37380" xr:uid="{B4660346-EA51-4AF4-A3D6-A19D7FFEAB9A}"/>
    <cellStyle name="Output 6 4 5 4" xfId="37381" xr:uid="{77E56BBA-56ED-4FA8-9270-0C5F5B33A34C}"/>
    <cellStyle name="Output 6 4 6" xfId="19382" xr:uid="{C0693A2F-D068-4445-B4EC-109D4EE7DCF5}"/>
    <cellStyle name="Output 6 4 6 2" xfId="19383" xr:uid="{4D67B680-A24B-4586-AA3A-7739CB351A8A}"/>
    <cellStyle name="Output 6 4 6 3" xfId="37382" xr:uid="{1DAEAA48-A90C-4855-B3F4-DC46E1C9339D}"/>
    <cellStyle name="Output 6 4 7" xfId="19384" xr:uid="{0136754A-450D-4DE2-A826-618B56E2A2EC}"/>
    <cellStyle name="Output 6 4 7 2" xfId="19385" xr:uid="{19298750-969D-4327-8D77-C13338673766}"/>
    <cellStyle name="Output 6 4 7 3" xfId="37383" xr:uid="{8F1B32E0-C574-471A-9739-8B7F2BFAF0B0}"/>
    <cellStyle name="Output 6 4 8" xfId="19386" xr:uid="{92F71E10-DC16-4ADC-96EC-8A96AEDC7457}"/>
    <cellStyle name="Output 6 4 8 2" xfId="19387" xr:uid="{8E296D18-F3FD-4841-823E-82E3E950C232}"/>
    <cellStyle name="Output 6 4 8 3" xfId="37384" xr:uid="{C7A41120-E141-4F33-8993-784ED050D005}"/>
    <cellStyle name="Output 6 4 9" xfId="19388" xr:uid="{1B4A1C31-83EA-4E25-B995-2B3E66F4D7DA}"/>
    <cellStyle name="Output 6 4 9 2" xfId="19389" xr:uid="{4CCF9190-FD6D-4F28-96F5-297CC9EA62F5}"/>
    <cellStyle name="Output 6 4 9 3" xfId="37385" xr:uid="{ABA19013-E07F-41D7-BDAD-F92EE9B119DC}"/>
    <cellStyle name="Output 6 5" xfId="19390" xr:uid="{CE9555C7-BFBE-46D2-A2E7-C15FEF4DFBD3}"/>
    <cellStyle name="Output 6 5 10" xfId="19391" xr:uid="{66BCD5ED-3EFE-436A-A4D8-C9BE47317C84}"/>
    <cellStyle name="Output 6 5 10 2" xfId="37386" xr:uid="{687531FB-B5A4-4569-B0AC-68E9EEB109D7}"/>
    <cellStyle name="Output 6 5 10 3" xfId="37387" xr:uid="{600E3641-58B2-4DFC-9487-053ABB1223C8}"/>
    <cellStyle name="Output 6 5 11" xfId="19392" xr:uid="{D09AB5B1-6DB3-45DD-A624-5241B01B49E5}"/>
    <cellStyle name="Output 6 5 11 2" xfId="37388" xr:uid="{CCBA79A7-E6A2-49D1-9FDA-CDE9E656CE65}"/>
    <cellStyle name="Output 6 5 12" xfId="37389" xr:uid="{4B156BDA-E2DF-48FD-85E3-FB4A531DBBFA}"/>
    <cellStyle name="Output 6 5 2" xfId="19393" xr:uid="{C388339F-A596-430F-B90E-82AB73139797}"/>
    <cellStyle name="Output 6 5 2 10" xfId="19394" xr:uid="{75181FB6-A19C-4650-8478-CC1CFB170418}"/>
    <cellStyle name="Output 6 5 2 10 2" xfId="37390" xr:uid="{702311F8-6151-495F-B6EE-B36FD3DB6DA8}"/>
    <cellStyle name="Output 6 5 2 11" xfId="37391" xr:uid="{1248CDAC-C1EC-4737-B6A7-C956EBC98FBB}"/>
    <cellStyle name="Output 6 5 2 2" xfId="19395" xr:uid="{7E056DC7-08B8-4CA8-AF1D-EE5D2D78A215}"/>
    <cellStyle name="Output 6 5 2 2 2" xfId="19396" xr:uid="{6A454D4B-D775-470B-9945-0C5EA0484D32}"/>
    <cellStyle name="Output 6 5 2 2 2 2" xfId="37392" xr:uid="{1DD0C876-4200-4A51-B69C-8D35941835E7}"/>
    <cellStyle name="Output 6 5 2 2 2 3" xfId="37393" xr:uid="{06E54383-9B5C-4B11-B025-A0517B66778D}"/>
    <cellStyle name="Output 6 5 2 2 3" xfId="19397" xr:uid="{38F8D54A-2DEF-4D6E-B025-6A32725253E8}"/>
    <cellStyle name="Output 6 5 2 2 3 2" xfId="19398" xr:uid="{0C7E8889-F2D3-43A5-B4D7-7EE1BDDDFD7A}"/>
    <cellStyle name="Output 6 5 2 2 4" xfId="19399" xr:uid="{36941021-A69E-4BFD-ABAE-249FFF60C766}"/>
    <cellStyle name="Output 6 5 2 2 5" xfId="37394" xr:uid="{7CBECC4D-D250-46D7-86A6-7B6F8C9199A4}"/>
    <cellStyle name="Output 6 5 2 3" xfId="19400" xr:uid="{CF98074D-DB2C-4C2F-9DBF-E3CF8683A6E6}"/>
    <cellStyle name="Output 6 5 2 3 2" xfId="19401" xr:uid="{B94C4F07-6692-4726-938A-0AE7D72646DF}"/>
    <cellStyle name="Output 6 5 2 3 3" xfId="37395" xr:uid="{234E6686-5545-4E1E-B589-1DD681D7910F}"/>
    <cellStyle name="Output 6 5 2 4" xfId="19402" xr:uid="{90613361-7539-4533-88A5-32ADD785A323}"/>
    <cellStyle name="Output 6 5 2 4 2" xfId="19403" xr:uid="{B1693A0F-E8B2-4976-A99A-590936DB4631}"/>
    <cellStyle name="Output 6 5 2 4 3" xfId="37396" xr:uid="{B21CA7EE-7A30-4BEF-AF27-F06685C4933E}"/>
    <cellStyle name="Output 6 5 2 5" xfId="19404" xr:uid="{1BDDD39F-6A6C-4726-BD06-0F30A9548EE1}"/>
    <cellStyle name="Output 6 5 2 5 2" xfId="19405" xr:uid="{6D1150C1-D706-4D27-82DD-50B88E5D3860}"/>
    <cellStyle name="Output 6 5 2 5 3" xfId="37397" xr:uid="{877CA53F-959B-4692-87C4-561932049ADA}"/>
    <cellStyle name="Output 6 5 2 6" xfId="19406" xr:uid="{9DF477BE-65C1-4ACA-8945-2BF1C203D371}"/>
    <cellStyle name="Output 6 5 2 6 2" xfId="19407" xr:uid="{E380B8DD-0C90-436F-8AF7-3A891B4A7AA6}"/>
    <cellStyle name="Output 6 5 2 6 3" xfId="37398" xr:uid="{8F254AD8-4DF5-4890-A411-F84C1621D19B}"/>
    <cellStyle name="Output 6 5 2 7" xfId="19408" xr:uid="{3B02E96E-74FB-4342-B21A-C789FF0C1E24}"/>
    <cellStyle name="Output 6 5 2 7 2" xfId="19409" xr:uid="{7CE63215-AE7D-4A74-AB48-F9D56EAF61E7}"/>
    <cellStyle name="Output 6 5 2 7 3" xfId="37399" xr:uid="{557D49C7-A31A-4242-A8CB-53B347E9ADE8}"/>
    <cellStyle name="Output 6 5 2 8" xfId="19410" xr:uid="{55BBF5E2-B9D7-47D5-9E99-63F09C76DFFB}"/>
    <cellStyle name="Output 6 5 2 8 2" xfId="19411" xr:uid="{C0648B5F-FD4D-49F9-8894-92CE312A3CC0}"/>
    <cellStyle name="Output 6 5 2 8 3" xfId="37400" xr:uid="{5AB04288-1867-4FCA-AB84-A947473B3DF8}"/>
    <cellStyle name="Output 6 5 2 9" xfId="19412" xr:uid="{37DD0619-1A28-4F30-8ACD-D12DCDBDF356}"/>
    <cellStyle name="Output 6 5 2 9 2" xfId="37401" xr:uid="{09E8E1DB-923A-406C-A778-A496DBDFA06A}"/>
    <cellStyle name="Output 6 5 2 9 3" xfId="37402" xr:uid="{81101D4E-6DDC-41E5-9A50-D0CE147CD2F0}"/>
    <cellStyle name="Output 6 5 3" xfId="19413" xr:uid="{C8405200-51D3-4700-829E-60A6266C6F0C}"/>
    <cellStyle name="Output 6 5 3 2" xfId="19414" xr:uid="{FE9CF1FC-AD9D-44FC-B34F-DA1D85FCA43E}"/>
    <cellStyle name="Output 6 5 3 2 2" xfId="37403" xr:uid="{E597E51E-BACD-4C62-BC62-04890E2C09AF}"/>
    <cellStyle name="Output 6 5 3 2 3" xfId="37404" xr:uid="{6579674F-7ADE-463F-B2D9-8E7BECCB0A3B}"/>
    <cellStyle name="Output 6 5 3 2 4" xfId="37405" xr:uid="{22818092-7D24-493F-B38A-B130B460BACC}"/>
    <cellStyle name="Output 6 5 3 3" xfId="19415" xr:uid="{F6F3166D-1519-4067-B099-6607EBC0BC3F}"/>
    <cellStyle name="Output 6 5 3 3 2" xfId="19416" xr:uid="{30403449-22B7-4EFF-8190-D66B92F34E28}"/>
    <cellStyle name="Output 6 5 3 4" xfId="19417" xr:uid="{BF6FF8BF-08D7-4E67-87A6-39721654DA32}"/>
    <cellStyle name="Output 6 5 3 5" xfId="37406" xr:uid="{5548EEDA-373E-452A-95E1-F9CD554E8A59}"/>
    <cellStyle name="Output 6 5 4" xfId="19418" xr:uid="{D550397C-2C46-46B3-8C7F-B11F6878BDCF}"/>
    <cellStyle name="Output 6 5 4 2" xfId="19419" xr:uid="{4B6E1F48-A75D-4B0F-BC02-D66A7E86D4FB}"/>
    <cellStyle name="Output 6 5 4 2 2" xfId="37407" xr:uid="{68D46000-BD4B-4A07-AF53-D16CBA45E75D}"/>
    <cellStyle name="Output 6 5 4 2 3" xfId="37408" xr:uid="{FA56F855-0448-482C-988D-CEBB9E99876A}"/>
    <cellStyle name="Output 6 5 4 3" xfId="19420" xr:uid="{3064C8D8-4426-4176-B1B5-D8B41D18CC60}"/>
    <cellStyle name="Output 6 5 4 4" xfId="37409" xr:uid="{A19B628A-AC80-467F-A425-A7CE8A5CD764}"/>
    <cellStyle name="Output 6 5 4 5" xfId="37410" xr:uid="{8A639BE5-55F8-44C5-8D6E-283EEBA2B4A1}"/>
    <cellStyle name="Output 6 5 5" xfId="19421" xr:uid="{38D902D9-BE59-462F-B69C-6217923BD9F4}"/>
    <cellStyle name="Output 6 5 5 2" xfId="19422" xr:uid="{9EB043F6-9546-4F15-B9E5-F328E14A6FD6}"/>
    <cellStyle name="Output 6 5 5 2 2" xfId="37411" xr:uid="{15E81FCE-A001-42FD-B17B-7B5652655D7B}"/>
    <cellStyle name="Output 6 5 5 2 3" xfId="37412" xr:uid="{C4FF7B31-8B0F-4366-9B01-90F262369DD7}"/>
    <cellStyle name="Output 6 5 5 3" xfId="37413" xr:uid="{B7DE9884-1E1C-4E05-A2D3-EBD47C9455B6}"/>
    <cellStyle name="Output 6 5 5 4" xfId="37414" xr:uid="{CFD1359B-E6F3-4644-B33D-B8E5CC19E923}"/>
    <cellStyle name="Output 6 5 6" xfId="19423" xr:uid="{0702968D-213F-4D82-8979-55A0FAA4D62A}"/>
    <cellStyle name="Output 6 5 6 2" xfId="19424" xr:uid="{843CEC85-A9EC-4FF5-B477-6A9BF2FDE543}"/>
    <cellStyle name="Output 6 5 6 3" xfId="37415" xr:uid="{1F5E10E9-9BAC-4CB2-92AE-37E412A79DEC}"/>
    <cellStyle name="Output 6 5 7" xfId="19425" xr:uid="{954E9BB8-81C9-4087-95E2-898F896A6DA4}"/>
    <cellStyle name="Output 6 5 7 2" xfId="19426" xr:uid="{0E653BF5-8A32-499C-A211-BC1A92186030}"/>
    <cellStyle name="Output 6 5 7 3" xfId="37416" xr:uid="{34E4E786-88D6-4C8F-B29A-8B26C24D482F}"/>
    <cellStyle name="Output 6 5 8" xfId="19427" xr:uid="{81B30D09-D516-41B2-B0B3-C3C7F017182D}"/>
    <cellStyle name="Output 6 5 8 2" xfId="19428" xr:uid="{B86ADA52-C85B-4A82-86ED-CDA900B3DC6A}"/>
    <cellStyle name="Output 6 5 8 3" xfId="37417" xr:uid="{48C63DEF-7043-4675-B1E2-7FEEEC85DB01}"/>
    <cellStyle name="Output 6 5 9" xfId="19429" xr:uid="{ABFC9B66-2298-4233-A468-CCAC910B17AA}"/>
    <cellStyle name="Output 6 5 9 2" xfId="19430" xr:uid="{1FDD779F-FE7B-4C21-BDE8-5D9B39115115}"/>
    <cellStyle name="Output 6 5 9 3" xfId="37418" xr:uid="{5325114B-3249-4DAC-8497-6BBB38EF6B1B}"/>
    <cellStyle name="Output 6 6" xfId="19431" xr:uid="{905ED2CE-E733-4641-B6DE-6CACB7BA27F6}"/>
    <cellStyle name="Output 6 6 10" xfId="19432" xr:uid="{2037221C-D901-49A9-A23D-0F7C0EBA3712}"/>
    <cellStyle name="Output 6 6 10 2" xfId="37419" xr:uid="{715C9015-C9CA-48DB-9D30-BE95AF466084}"/>
    <cellStyle name="Output 6 6 10 3" xfId="37420" xr:uid="{751926AA-73AB-4078-9814-EA1EA85EBA18}"/>
    <cellStyle name="Output 6 6 11" xfId="19433" xr:uid="{C61A31D5-1AE8-4DEF-BC69-AB438028BA0B}"/>
    <cellStyle name="Output 6 6 11 2" xfId="37421" xr:uid="{16F7F85A-979F-44FB-91A0-21103B1C934F}"/>
    <cellStyle name="Output 6 6 12" xfId="37422" xr:uid="{E8B7995B-010C-4982-B02B-489B1D9292AC}"/>
    <cellStyle name="Output 6 6 2" xfId="19434" xr:uid="{64E97CE8-D7AD-4EF2-BC33-500BE4328681}"/>
    <cellStyle name="Output 6 6 2 10" xfId="19435" xr:uid="{7B99C56A-00B8-47EE-885D-1230917CC6B5}"/>
    <cellStyle name="Output 6 6 2 10 2" xfId="37423" xr:uid="{05A43C42-62D7-4235-AA9B-0FBC5FC82541}"/>
    <cellStyle name="Output 6 6 2 11" xfId="37424" xr:uid="{2D80B05D-939F-4352-998D-24319015B07C}"/>
    <cellStyle name="Output 6 6 2 2" xfId="19436" xr:uid="{09DAB83B-881A-4FB3-993B-BA4DD3F03F49}"/>
    <cellStyle name="Output 6 6 2 2 2" xfId="19437" xr:uid="{466A6C74-B25D-410B-8F35-8951C92FB988}"/>
    <cellStyle name="Output 6 6 2 2 2 2" xfId="37425" xr:uid="{13D26362-E01C-4F0C-9E8B-89401742BDDE}"/>
    <cellStyle name="Output 6 6 2 2 2 3" xfId="37426" xr:uid="{43E960ED-DC3D-455D-9C78-0E13D54F4C93}"/>
    <cellStyle name="Output 6 6 2 2 3" xfId="19438" xr:uid="{45419977-181D-4B92-9933-8A7279D44E4B}"/>
    <cellStyle name="Output 6 6 2 2 3 2" xfId="19439" xr:uid="{96291BB7-213A-411A-B829-A76A41441634}"/>
    <cellStyle name="Output 6 6 2 2 4" xfId="19440" xr:uid="{01CCCF2D-544D-4351-BCB5-AE87774AFDA7}"/>
    <cellStyle name="Output 6 6 2 2 5" xfId="37427" xr:uid="{13B762D4-811E-4A2A-A2CA-2EE4F176BF03}"/>
    <cellStyle name="Output 6 6 2 3" xfId="19441" xr:uid="{A7D115AB-C448-4797-8406-DDFCF3A3F3AE}"/>
    <cellStyle name="Output 6 6 2 3 2" xfId="19442" xr:uid="{F9017977-8E9F-47BF-810B-FC506082CC2C}"/>
    <cellStyle name="Output 6 6 2 3 3" xfId="37428" xr:uid="{99B8E9D6-D963-422D-90D8-BAF8D4805809}"/>
    <cellStyle name="Output 6 6 2 4" xfId="19443" xr:uid="{2A6DE283-D93C-4FCB-A548-4E08E58FE70D}"/>
    <cellStyle name="Output 6 6 2 4 2" xfId="19444" xr:uid="{86C73D20-362E-45D2-9083-8245D87C96D4}"/>
    <cellStyle name="Output 6 6 2 4 3" xfId="37429" xr:uid="{956E4697-8A2F-4481-803B-CBD464AC024C}"/>
    <cellStyle name="Output 6 6 2 5" xfId="19445" xr:uid="{E4B07A11-30DB-408C-901D-7224808EA1AF}"/>
    <cellStyle name="Output 6 6 2 5 2" xfId="19446" xr:uid="{C1319C98-031B-441A-97CC-8C9B465873AD}"/>
    <cellStyle name="Output 6 6 2 5 3" xfId="37430" xr:uid="{008C1D91-7D26-4658-BC90-3648EB307AA1}"/>
    <cellStyle name="Output 6 6 2 6" xfId="19447" xr:uid="{A0170DDB-379E-4C74-93E9-D3ECA71BA255}"/>
    <cellStyle name="Output 6 6 2 6 2" xfId="19448" xr:uid="{2B092476-EAB5-42D0-B425-13ABEF64C379}"/>
    <cellStyle name="Output 6 6 2 6 3" xfId="37431" xr:uid="{0EBD5847-28DB-424B-9EB1-BDEE0F23B9C0}"/>
    <cellStyle name="Output 6 6 2 7" xfId="19449" xr:uid="{EBCD1791-D3D6-45C7-8F9A-0C9525D3688D}"/>
    <cellStyle name="Output 6 6 2 7 2" xfId="19450" xr:uid="{D39D01D2-8321-446E-BC9C-85BCE8EF276E}"/>
    <cellStyle name="Output 6 6 2 7 3" xfId="37432" xr:uid="{08D39DC8-A17C-404A-94B4-169426FCCA27}"/>
    <cellStyle name="Output 6 6 2 8" xfId="19451" xr:uid="{69172F74-1303-4C7B-83F1-FFC87BC44392}"/>
    <cellStyle name="Output 6 6 2 8 2" xfId="19452" xr:uid="{9ED4878E-0684-4E55-A592-3A4BD2661E8C}"/>
    <cellStyle name="Output 6 6 2 8 3" xfId="37433" xr:uid="{1C0C04AD-3B7A-4DBC-9020-027FB3854097}"/>
    <cellStyle name="Output 6 6 2 9" xfId="19453" xr:uid="{A8CE040C-7524-45EA-B4AA-8E109C46E976}"/>
    <cellStyle name="Output 6 6 2 9 2" xfId="37434" xr:uid="{C91EF405-36BF-4D1A-88CA-FB24691A6D42}"/>
    <cellStyle name="Output 6 6 2 9 3" xfId="37435" xr:uid="{8AB79C24-8A7F-47BD-AE43-002676EA1F95}"/>
    <cellStyle name="Output 6 6 3" xfId="19454" xr:uid="{9EE0F56A-1691-457B-AF72-F874D602100C}"/>
    <cellStyle name="Output 6 6 3 2" xfId="19455" xr:uid="{B4BEB950-7252-43B4-83BE-DAA66114C9DB}"/>
    <cellStyle name="Output 6 6 3 2 2" xfId="37436" xr:uid="{5483B020-C325-47A7-B739-682078C5F692}"/>
    <cellStyle name="Output 6 6 3 2 3" xfId="37437" xr:uid="{1488C5BE-6FAC-4049-8F9B-BE52F6D3CA85}"/>
    <cellStyle name="Output 6 6 3 2 4" xfId="37438" xr:uid="{EDA94FCD-7311-40D6-B65A-F4B97357BE3F}"/>
    <cellStyle name="Output 6 6 3 3" xfId="19456" xr:uid="{B3AF7C97-B924-40FA-8FFB-7B56B6848AD5}"/>
    <cellStyle name="Output 6 6 3 3 2" xfId="19457" xr:uid="{2262E74A-7102-4B71-B2CF-54EA37E4D36C}"/>
    <cellStyle name="Output 6 6 3 4" xfId="19458" xr:uid="{425A94C5-F0A3-4540-99C8-BE8F497456F9}"/>
    <cellStyle name="Output 6 6 3 5" xfId="37439" xr:uid="{ECFC93A6-A3C3-40AC-B652-AD8096120CCC}"/>
    <cellStyle name="Output 6 6 4" xfId="19459" xr:uid="{742D20C6-30B4-44B1-9EE4-AF4B91F00F5D}"/>
    <cellStyle name="Output 6 6 4 2" xfId="19460" xr:uid="{D015EEEB-A8D3-4556-9A0F-D280A7FA2478}"/>
    <cellStyle name="Output 6 6 4 2 2" xfId="37440" xr:uid="{B183E83F-6DBE-48B2-891E-063402642F28}"/>
    <cellStyle name="Output 6 6 4 2 3" xfId="37441" xr:uid="{6F10E026-AE34-4657-99D5-9D658AF74717}"/>
    <cellStyle name="Output 6 6 4 3" xfId="19461" xr:uid="{070B6D2C-47B1-4CB3-ABFC-9E5161D4DCD8}"/>
    <cellStyle name="Output 6 6 4 4" xfId="37442" xr:uid="{FF3388C1-A73F-450A-8013-425DF50E230F}"/>
    <cellStyle name="Output 6 6 4 5" xfId="37443" xr:uid="{F0844063-4C0D-4EC1-A4D6-9E7836FBD86D}"/>
    <cellStyle name="Output 6 6 5" xfId="19462" xr:uid="{1F3DD35D-D2DD-483D-B9CE-7E338DFAF283}"/>
    <cellStyle name="Output 6 6 5 2" xfId="19463" xr:uid="{9E0F59E7-1D42-477B-8B46-5117CD754191}"/>
    <cellStyle name="Output 6 6 5 2 2" xfId="37444" xr:uid="{B88D26A0-A6B5-4E0B-AEEF-502669F9DAC7}"/>
    <cellStyle name="Output 6 6 5 2 3" xfId="37445" xr:uid="{CFCB7E86-39E0-4511-AABC-912C721F9428}"/>
    <cellStyle name="Output 6 6 5 3" xfId="37446" xr:uid="{D9E1DC25-4A5C-4F75-9BA4-4487C2B7BB47}"/>
    <cellStyle name="Output 6 6 5 4" xfId="37447" xr:uid="{22BE4253-6993-4F82-B1FC-D819B4D5483D}"/>
    <cellStyle name="Output 6 6 6" xfId="19464" xr:uid="{0FED55D8-84B5-4E9B-8ECE-3BDEDC31DD04}"/>
    <cellStyle name="Output 6 6 6 2" xfId="19465" xr:uid="{FCB0AF30-F83A-4E23-9772-E577146322BA}"/>
    <cellStyle name="Output 6 6 6 3" xfId="37448" xr:uid="{D6A43E14-2B6A-436C-A611-6206480620FB}"/>
    <cellStyle name="Output 6 6 7" xfId="19466" xr:uid="{9BD94691-7615-4190-B47C-DD3C1C032ADB}"/>
    <cellStyle name="Output 6 6 7 2" xfId="19467" xr:uid="{861BB03C-E20F-4C23-B3E6-E838C16909ED}"/>
    <cellStyle name="Output 6 6 7 3" xfId="37449" xr:uid="{C8FA3E35-AE51-41D2-87C0-93249220A8EB}"/>
    <cellStyle name="Output 6 6 8" xfId="19468" xr:uid="{A96B66EA-A6BF-43B2-ABB4-228E4A97CDD9}"/>
    <cellStyle name="Output 6 6 8 2" xfId="19469" xr:uid="{483A4A89-427B-4D94-A016-F462412909AE}"/>
    <cellStyle name="Output 6 6 8 3" xfId="37450" xr:uid="{3D99641D-8B5A-4FD2-A106-F0018C452A6C}"/>
    <cellStyle name="Output 6 6 9" xfId="19470" xr:uid="{303AD418-4676-49F7-8F9E-6BA42C432C78}"/>
    <cellStyle name="Output 6 6 9 2" xfId="19471" xr:uid="{82D0A3CD-33D2-4F2B-B325-6E0C3463EAF1}"/>
    <cellStyle name="Output 6 6 9 3" xfId="37451" xr:uid="{F3D0B139-91E1-4BFF-8242-C36DB3CF2943}"/>
    <cellStyle name="Output 6 7" xfId="19472" xr:uid="{10AD1982-E0D4-4437-98A5-FC5F75A192D5}"/>
    <cellStyle name="Output 6 7 10" xfId="19473" xr:uid="{CD740F81-5D76-42DD-959A-2D935C38B6DB}"/>
    <cellStyle name="Output 6 7 10 2" xfId="37452" xr:uid="{2D801211-70B8-4F8B-A3ED-F0B36E83A2C5}"/>
    <cellStyle name="Output 6 7 10 3" xfId="37453" xr:uid="{A9DA6947-FA10-4522-A2B1-319F6B299CFA}"/>
    <cellStyle name="Output 6 7 11" xfId="19474" xr:uid="{8DECAAC7-AE54-4BFB-8C36-70D74250429B}"/>
    <cellStyle name="Output 6 7 11 2" xfId="37454" xr:uid="{36C7352D-1CF5-4925-A63F-6C5BD736CF1E}"/>
    <cellStyle name="Output 6 7 12" xfId="37455" xr:uid="{E2924021-6A54-4AD0-A2E6-9E6845669B95}"/>
    <cellStyle name="Output 6 7 2" xfId="19475" xr:uid="{521D23D3-0B62-4ED2-AEA8-E188DB8F717A}"/>
    <cellStyle name="Output 6 7 2 10" xfId="19476" xr:uid="{56B9A1FD-18BC-4535-ACC5-B8677B16543B}"/>
    <cellStyle name="Output 6 7 2 10 2" xfId="37456" xr:uid="{A3A0BEBC-16D4-4390-9569-0865D5FDCC70}"/>
    <cellStyle name="Output 6 7 2 11" xfId="37457" xr:uid="{7BC32DF0-19F5-4C12-892F-8D2F6398E0A0}"/>
    <cellStyle name="Output 6 7 2 2" xfId="19477" xr:uid="{9FFE7139-805A-4BE4-800C-4F62FD4B3440}"/>
    <cellStyle name="Output 6 7 2 2 2" xfId="19478" xr:uid="{7A5749EA-983F-4A03-A82D-5812DAE9752B}"/>
    <cellStyle name="Output 6 7 2 2 2 2" xfId="37458" xr:uid="{46F1E675-E689-4608-AC30-14B0A82FFCA9}"/>
    <cellStyle name="Output 6 7 2 2 2 3" xfId="37459" xr:uid="{8933CD17-622E-420C-AC6D-3CD21EAD577C}"/>
    <cellStyle name="Output 6 7 2 2 3" xfId="19479" xr:uid="{D2555BFD-1A38-467B-A188-E9B468774411}"/>
    <cellStyle name="Output 6 7 2 2 3 2" xfId="19480" xr:uid="{9C7D4538-6C4E-4825-8A1F-D48869D8677D}"/>
    <cellStyle name="Output 6 7 2 2 4" xfId="19481" xr:uid="{BAA5484E-DC80-46E8-9233-368D31B2758D}"/>
    <cellStyle name="Output 6 7 2 2 5" xfId="37460" xr:uid="{CEE06F11-604B-4182-B371-AC6F9360304E}"/>
    <cellStyle name="Output 6 7 2 3" xfId="19482" xr:uid="{1C7D7334-2180-45FC-BC87-6DEB309F3F6F}"/>
    <cellStyle name="Output 6 7 2 3 2" xfId="19483" xr:uid="{569D7FC2-85D7-4D2A-A1F1-062149A99B6F}"/>
    <cellStyle name="Output 6 7 2 3 3" xfId="37461" xr:uid="{6F9D363C-681A-45BB-AC1E-FBA132E5A762}"/>
    <cellStyle name="Output 6 7 2 4" xfId="19484" xr:uid="{2B8CB97C-B98A-47C6-A4B2-6ABCE61B5892}"/>
    <cellStyle name="Output 6 7 2 4 2" xfId="19485" xr:uid="{ED08972C-5BA6-44D7-A253-FDAAAEF4D320}"/>
    <cellStyle name="Output 6 7 2 4 3" xfId="37462" xr:uid="{4435AA19-CF3C-4372-968C-C70EA1E93290}"/>
    <cellStyle name="Output 6 7 2 5" xfId="19486" xr:uid="{8EE8B006-2B33-42CE-9F39-18F3ECEA5F08}"/>
    <cellStyle name="Output 6 7 2 5 2" xfId="19487" xr:uid="{71AF8F30-3900-49EF-8D73-7D898726AF0C}"/>
    <cellStyle name="Output 6 7 2 5 3" xfId="37463" xr:uid="{DE993424-14B7-4B30-91FA-A54E8234F5ED}"/>
    <cellStyle name="Output 6 7 2 6" xfId="19488" xr:uid="{8697EB42-1D97-4F7F-A656-FF8A5BA62EA6}"/>
    <cellStyle name="Output 6 7 2 6 2" xfId="19489" xr:uid="{D347F1AC-EEE0-460B-8E19-ECF214797C8F}"/>
    <cellStyle name="Output 6 7 2 6 3" xfId="37464" xr:uid="{B28A7655-3538-4922-B5B4-7B12457707A7}"/>
    <cellStyle name="Output 6 7 2 7" xfId="19490" xr:uid="{FAB3DFA8-531C-468C-AB62-D1978255F26F}"/>
    <cellStyle name="Output 6 7 2 7 2" xfId="19491" xr:uid="{7CB54675-D4F4-484C-80C2-F9FF59FF3406}"/>
    <cellStyle name="Output 6 7 2 7 3" xfId="37465" xr:uid="{1BB32825-D8BC-4758-86FF-25E2D3304AB1}"/>
    <cellStyle name="Output 6 7 2 8" xfId="19492" xr:uid="{FF031E13-AD43-4C68-B4E1-2157A91826F7}"/>
    <cellStyle name="Output 6 7 2 8 2" xfId="19493" xr:uid="{FEB7E274-55AF-4C86-84B7-47431D96EBCC}"/>
    <cellStyle name="Output 6 7 2 8 3" xfId="37466" xr:uid="{21F6A264-6F62-41D7-BF15-541F272A8E9B}"/>
    <cellStyle name="Output 6 7 2 9" xfId="19494" xr:uid="{434273F7-B452-4741-9871-09A107AE0EAC}"/>
    <cellStyle name="Output 6 7 2 9 2" xfId="37467" xr:uid="{6C075B81-C7B3-444B-B5D4-C25478F6D7F7}"/>
    <cellStyle name="Output 6 7 2 9 3" xfId="37468" xr:uid="{E5E2CEDB-C624-4BC5-A612-A6084F869029}"/>
    <cellStyle name="Output 6 7 3" xfId="19495" xr:uid="{37350EE0-46D4-4A6A-8B96-FA358EFFF367}"/>
    <cellStyle name="Output 6 7 3 2" xfId="19496" xr:uid="{8A22BDDF-CE28-4DAC-8860-4191A22CC997}"/>
    <cellStyle name="Output 6 7 3 2 2" xfId="37469" xr:uid="{1C6CF36F-C12E-44C4-9E5C-E6A9D89FBF24}"/>
    <cellStyle name="Output 6 7 3 2 3" xfId="37470" xr:uid="{DA4BDDA1-53AC-4CE5-B5CB-96C6FB13C016}"/>
    <cellStyle name="Output 6 7 3 2 4" xfId="37471" xr:uid="{132B45B1-5FB8-4BA2-82C1-08040E7F2F6E}"/>
    <cellStyle name="Output 6 7 3 3" xfId="19497" xr:uid="{45BE76AD-2637-4AAD-A796-812A4A95157E}"/>
    <cellStyle name="Output 6 7 3 3 2" xfId="19498" xr:uid="{42C43456-CC4C-41E7-8FF9-7D10522D8C62}"/>
    <cellStyle name="Output 6 7 3 4" xfId="19499" xr:uid="{C316F559-2EA6-4F0D-AE1E-3E24566ED817}"/>
    <cellStyle name="Output 6 7 3 5" xfId="37472" xr:uid="{7CE4D341-AC3A-4110-90E3-AE23EC0B39F9}"/>
    <cellStyle name="Output 6 7 4" xfId="19500" xr:uid="{78F19134-1020-4BED-8BAE-60FBB38D2B14}"/>
    <cellStyle name="Output 6 7 4 2" xfId="19501" xr:uid="{22565A58-9518-40A7-8CAF-73BFA55DBB32}"/>
    <cellStyle name="Output 6 7 4 2 2" xfId="37473" xr:uid="{770AC183-FB76-4271-8A41-9004B94C3016}"/>
    <cellStyle name="Output 6 7 4 2 3" xfId="37474" xr:uid="{3D2EC529-CDE6-4A8F-8E45-2C1F9F1A09AD}"/>
    <cellStyle name="Output 6 7 4 3" xfId="19502" xr:uid="{4F4C16BA-C05B-4539-AA2A-BAFA06CCF4C0}"/>
    <cellStyle name="Output 6 7 4 4" xfId="37475" xr:uid="{E54607CF-2165-49E9-B4FD-5C8A719380BB}"/>
    <cellStyle name="Output 6 7 4 5" xfId="37476" xr:uid="{9148C7D9-E79C-414D-A3BF-8B0EA6E0DD8C}"/>
    <cellStyle name="Output 6 7 5" xfId="19503" xr:uid="{27C64B1C-0AD2-441E-8E0A-55DEE1408817}"/>
    <cellStyle name="Output 6 7 5 2" xfId="19504" xr:uid="{C5AECD71-C079-4A37-AAA1-3BE0E200D50E}"/>
    <cellStyle name="Output 6 7 5 2 2" xfId="37477" xr:uid="{54F6AA4B-9CC0-4BFA-B7B2-ECF7A351389F}"/>
    <cellStyle name="Output 6 7 5 2 3" xfId="37478" xr:uid="{A795786E-F652-4F65-BC4D-530FAF8F95B2}"/>
    <cellStyle name="Output 6 7 5 3" xfId="37479" xr:uid="{C544A3D7-6407-4020-9DD0-5A18BE880E85}"/>
    <cellStyle name="Output 6 7 5 4" xfId="37480" xr:uid="{DC193B44-B49F-40F8-87BE-D06B5BB32AC1}"/>
    <cellStyle name="Output 6 7 6" xfId="19505" xr:uid="{5FA5D393-C1BD-4B9A-AFBD-F450E69E5520}"/>
    <cellStyle name="Output 6 7 6 2" xfId="19506" xr:uid="{E33654DD-926C-409A-AAD4-F0A00A791F03}"/>
    <cellStyle name="Output 6 7 6 3" xfId="37481" xr:uid="{7B046500-34C8-4226-ADC7-2B41D294D54F}"/>
    <cellStyle name="Output 6 7 7" xfId="19507" xr:uid="{BED47CDA-57BE-4711-BD20-32DBF5A9B4C8}"/>
    <cellStyle name="Output 6 7 7 2" xfId="19508" xr:uid="{D5D41076-3595-4C5E-8FA4-214995DF25B5}"/>
    <cellStyle name="Output 6 7 7 3" xfId="37482" xr:uid="{36001BC8-2A67-45B1-9922-23012B3E4AA4}"/>
    <cellStyle name="Output 6 7 8" xfId="19509" xr:uid="{9EDC1CB3-F975-42E1-BAF8-73D68E0D2E34}"/>
    <cellStyle name="Output 6 7 8 2" xfId="19510" xr:uid="{59CF31AD-CE88-47CB-8C81-B4E456F4695A}"/>
    <cellStyle name="Output 6 7 8 3" xfId="37483" xr:uid="{E8DFCB8D-B1E8-4B3F-9959-EE74A4E15103}"/>
    <cellStyle name="Output 6 7 9" xfId="19511" xr:uid="{07C9597E-CCC5-4312-B4E1-EC89FA36EC7B}"/>
    <cellStyle name="Output 6 7 9 2" xfId="19512" xr:uid="{40DDCE7C-8EB6-405A-9184-7597EF253035}"/>
    <cellStyle name="Output 6 7 9 3" xfId="37484" xr:uid="{D2A1C721-0642-45E0-99DE-1D7AC0DABEE4}"/>
    <cellStyle name="Output 6 8" xfId="19513" xr:uid="{BE52499B-3F09-4BF8-B5E3-7500A6C2B42D}"/>
    <cellStyle name="Output 6 8 10" xfId="19514" xr:uid="{54193AFC-7388-4257-8CDD-2C5DC3E358F9}"/>
    <cellStyle name="Output 6 8 10 2" xfId="37485" xr:uid="{176CEEA9-34B9-4021-9AAA-E5510C4ECCC3}"/>
    <cellStyle name="Output 6 8 10 3" xfId="37486" xr:uid="{D26CBC1C-88E5-4C1C-A073-E802DEC4A915}"/>
    <cellStyle name="Output 6 8 11" xfId="19515" xr:uid="{32ACCA4A-D981-41FB-BC68-753F7A792094}"/>
    <cellStyle name="Output 6 8 11 2" xfId="37487" xr:uid="{67B29475-FC1C-4838-9714-8CD4C52AF3E7}"/>
    <cellStyle name="Output 6 8 12" xfId="37488" xr:uid="{BEC569A4-8202-42B8-8CF7-A84CDF803A2D}"/>
    <cellStyle name="Output 6 8 2" xfId="19516" xr:uid="{6B6D22DC-B53F-4E07-8D24-149E935DC793}"/>
    <cellStyle name="Output 6 8 2 10" xfId="19517" xr:uid="{46E3407F-A22B-46C1-829E-13A7D383F04E}"/>
    <cellStyle name="Output 6 8 2 10 2" xfId="37489" xr:uid="{9450824D-6A28-49E8-8006-2F462ADEF8DE}"/>
    <cellStyle name="Output 6 8 2 11" xfId="37490" xr:uid="{375B06B1-6680-4311-95BE-5E96DC6D3691}"/>
    <cellStyle name="Output 6 8 2 2" xfId="19518" xr:uid="{31295A03-55AC-42B6-BD04-B15D74CDC534}"/>
    <cellStyle name="Output 6 8 2 2 2" xfId="19519" xr:uid="{5B73867B-B346-4AEB-969C-2634D841D2D1}"/>
    <cellStyle name="Output 6 8 2 2 2 2" xfId="37491" xr:uid="{403E4CAD-15D3-4893-8C2A-1EC86E9CB0B0}"/>
    <cellStyle name="Output 6 8 2 2 2 3" xfId="37492" xr:uid="{99CC6C24-D695-4407-85B6-9BF7B95C8D05}"/>
    <cellStyle name="Output 6 8 2 2 3" xfId="19520" xr:uid="{9BF6EDE2-DACF-4F7D-8209-7264FEF88CBB}"/>
    <cellStyle name="Output 6 8 2 2 3 2" xfId="19521" xr:uid="{D4E367FB-9B34-4FFB-9F6E-710F3DC1D746}"/>
    <cellStyle name="Output 6 8 2 2 4" xfId="19522" xr:uid="{3937B8F8-886B-4A9B-9D52-1AE52BC296AB}"/>
    <cellStyle name="Output 6 8 2 2 5" xfId="37493" xr:uid="{707761CA-CA7E-4C9B-9203-DD3B0169C336}"/>
    <cellStyle name="Output 6 8 2 3" xfId="19523" xr:uid="{3C82F7E4-D8DA-4638-BA7C-399891BB7FA4}"/>
    <cellStyle name="Output 6 8 2 3 2" xfId="19524" xr:uid="{A7A7A1FD-76D4-4C64-ADF9-0F21C5CADB9C}"/>
    <cellStyle name="Output 6 8 2 3 3" xfId="37494" xr:uid="{7E25085B-53CE-4C6A-B871-E010DE874B6B}"/>
    <cellStyle name="Output 6 8 2 4" xfId="19525" xr:uid="{D7673AAA-2617-420C-95EF-1B47CC853132}"/>
    <cellStyle name="Output 6 8 2 4 2" xfId="19526" xr:uid="{8D802BBA-F0A8-4B1C-9635-2620AECE2166}"/>
    <cellStyle name="Output 6 8 2 4 3" xfId="37495" xr:uid="{C6C64869-6603-45FF-83D2-8AB197C11D2B}"/>
    <cellStyle name="Output 6 8 2 5" xfId="19527" xr:uid="{9C9EA1A6-C601-40BB-BB29-AEE555B9286A}"/>
    <cellStyle name="Output 6 8 2 5 2" xfId="19528" xr:uid="{2A0A2BB9-611A-4F30-BB95-4582778B9E01}"/>
    <cellStyle name="Output 6 8 2 5 3" xfId="37496" xr:uid="{E09D1F00-8DDD-4F3E-AE18-D2EEBFEF4F9B}"/>
    <cellStyle name="Output 6 8 2 6" xfId="19529" xr:uid="{140CEAA3-F64C-42B6-B7D9-1C08C5BBCD0A}"/>
    <cellStyle name="Output 6 8 2 6 2" xfId="19530" xr:uid="{B0A673DC-36BC-44E0-BF94-E73E0343EC26}"/>
    <cellStyle name="Output 6 8 2 6 3" xfId="37497" xr:uid="{61A4DA5D-634F-46CE-AF6F-FA8943C1FDF6}"/>
    <cellStyle name="Output 6 8 2 7" xfId="19531" xr:uid="{08ADE8E4-C38F-4B26-B157-2FD38985D09C}"/>
    <cellStyle name="Output 6 8 2 7 2" xfId="19532" xr:uid="{5398EDE0-61E9-4DE7-BF60-5340B14F7EC9}"/>
    <cellStyle name="Output 6 8 2 7 3" xfId="37498" xr:uid="{7C4729B0-C081-4CCE-8B18-DE7A5F4B7D63}"/>
    <cellStyle name="Output 6 8 2 8" xfId="19533" xr:uid="{8A8EF61B-ABC7-4FBC-A7DE-B7460C8FF233}"/>
    <cellStyle name="Output 6 8 2 8 2" xfId="19534" xr:uid="{297AADCB-4B13-4BA4-917A-287C6A3BBFF7}"/>
    <cellStyle name="Output 6 8 2 8 3" xfId="37499" xr:uid="{72CF2C22-3287-4067-83C2-D6C4840F20F9}"/>
    <cellStyle name="Output 6 8 2 9" xfId="19535" xr:uid="{34C49031-B226-408D-AEB3-8315BA549519}"/>
    <cellStyle name="Output 6 8 2 9 2" xfId="37500" xr:uid="{1738D098-533A-473E-ABAD-E7307A5B27B3}"/>
    <cellStyle name="Output 6 8 2 9 3" xfId="37501" xr:uid="{63D29781-E429-457E-852B-2BDF51BBA1F5}"/>
    <cellStyle name="Output 6 8 3" xfId="19536" xr:uid="{57ACBDE7-C27B-4277-9410-9E5D440766BD}"/>
    <cellStyle name="Output 6 8 3 2" xfId="19537" xr:uid="{9FD43F16-9A2A-422D-B8E2-47935731024A}"/>
    <cellStyle name="Output 6 8 3 2 2" xfId="37502" xr:uid="{FA9B1F77-A5CA-402F-8964-988C640D94EE}"/>
    <cellStyle name="Output 6 8 3 2 3" xfId="37503" xr:uid="{8441799C-4CE2-4655-8C54-E36E44B751F7}"/>
    <cellStyle name="Output 6 8 3 2 4" xfId="37504" xr:uid="{6B2E4155-687B-4428-AAB1-ABA734403ED8}"/>
    <cellStyle name="Output 6 8 3 3" xfId="19538" xr:uid="{4A01E90A-4FC5-47CC-BE2F-4F2581654BAD}"/>
    <cellStyle name="Output 6 8 3 3 2" xfId="19539" xr:uid="{CD37002F-6A03-4EF9-B71A-63C212FAB301}"/>
    <cellStyle name="Output 6 8 3 4" xfId="19540" xr:uid="{C5767850-2FDA-4620-8AB2-437C204CFCBC}"/>
    <cellStyle name="Output 6 8 3 5" xfId="37505" xr:uid="{1F2A3B4E-7ED7-4535-B9A7-77646F4A3178}"/>
    <cellStyle name="Output 6 8 4" xfId="19541" xr:uid="{2009C55A-CBAE-4885-AB52-E4032D1811B5}"/>
    <cellStyle name="Output 6 8 4 2" xfId="19542" xr:uid="{B24F9E7C-E969-454B-B739-771C422E51BE}"/>
    <cellStyle name="Output 6 8 4 2 2" xfId="37506" xr:uid="{A881F284-1324-4CCB-8AD5-D6715A88C377}"/>
    <cellStyle name="Output 6 8 4 2 3" xfId="37507" xr:uid="{D1DC1FAE-4BFE-479A-A8CE-5F8AC6CEBD2A}"/>
    <cellStyle name="Output 6 8 4 3" xfId="19543" xr:uid="{E109D2FD-7F76-48E3-A076-D872FA6F2610}"/>
    <cellStyle name="Output 6 8 4 4" xfId="37508" xr:uid="{85B5C9D7-11BD-4AD9-B567-4707A5D8AB7F}"/>
    <cellStyle name="Output 6 8 4 5" xfId="37509" xr:uid="{3D68CDDD-32A0-443E-B3B4-57A77335FF2F}"/>
    <cellStyle name="Output 6 8 5" xfId="19544" xr:uid="{B1DFE101-DEC9-4C2B-91A7-CFC587C14CE9}"/>
    <cellStyle name="Output 6 8 5 2" xfId="19545" xr:uid="{14EBACFC-1A42-4085-808F-137267B98E62}"/>
    <cellStyle name="Output 6 8 5 2 2" xfId="37510" xr:uid="{9010FF85-A1E0-43F0-AFE3-AC7A95060B6E}"/>
    <cellStyle name="Output 6 8 5 2 3" xfId="37511" xr:uid="{45C9A21C-50C6-4B88-BDF5-5BC3E6DFA295}"/>
    <cellStyle name="Output 6 8 5 3" xfId="37512" xr:uid="{A614BCA9-61DB-4523-8B9D-991CEB110925}"/>
    <cellStyle name="Output 6 8 5 4" xfId="37513" xr:uid="{94D3F801-C6EE-4939-8325-013BD7223B3A}"/>
    <cellStyle name="Output 6 8 6" xfId="19546" xr:uid="{35314C9C-A94E-4E84-8535-EA7826CA9EE4}"/>
    <cellStyle name="Output 6 8 6 2" xfId="19547" xr:uid="{297D3A9A-CD67-4C8E-9844-A232DBD68F98}"/>
    <cellStyle name="Output 6 8 6 3" xfId="37514" xr:uid="{E2432459-619B-4015-BDF1-DD4905D47433}"/>
    <cellStyle name="Output 6 8 7" xfId="19548" xr:uid="{195490BA-F560-494C-A010-C60A48C9F557}"/>
    <cellStyle name="Output 6 8 7 2" xfId="19549" xr:uid="{566A7F8D-E261-4798-9741-7A46B7475BE9}"/>
    <cellStyle name="Output 6 8 7 3" xfId="37515" xr:uid="{67473EFD-B9D6-467A-AB79-802149C1A242}"/>
    <cellStyle name="Output 6 8 8" xfId="19550" xr:uid="{F2A4832E-6A8C-4185-A9A1-57ABAADB1E37}"/>
    <cellStyle name="Output 6 8 8 2" xfId="19551" xr:uid="{27E3BF3D-F9DC-499A-A31D-4FFE86F50D77}"/>
    <cellStyle name="Output 6 8 8 3" xfId="37516" xr:uid="{00F645CE-BE1D-4BC0-A1DB-FFA268A09606}"/>
    <cellStyle name="Output 6 8 9" xfId="19552" xr:uid="{BE8746A0-ADA5-4A2F-B066-1A920A546E3B}"/>
    <cellStyle name="Output 6 8 9 2" xfId="19553" xr:uid="{421FAA21-5453-4DF7-9EA2-CDBB76519F32}"/>
    <cellStyle name="Output 6 8 9 3" xfId="37517" xr:uid="{1E2B9531-3D94-47EB-A12D-97E13E104D2D}"/>
    <cellStyle name="Output 6 9" xfId="19554" xr:uid="{94C848EA-633E-441F-8378-1D1422BC6DC8}"/>
    <cellStyle name="Output 6 9 10" xfId="19555" xr:uid="{E5098049-1D9F-4530-A712-6BE142DDA67B}"/>
    <cellStyle name="Output 6 9 10 2" xfId="37518" xr:uid="{A34CB4E9-3696-45D8-A34A-F0F88B31A668}"/>
    <cellStyle name="Output 6 9 10 3" xfId="37519" xr:uid="{95F0794C-A945-46E6-9322-B43FFCA7C047}"/>
    <cellStyle name="Output 6 9 11" xfId="19556" xr:uid="{9D82F355-6004-45F5-828F-9241BAE7BED0}"/>
    <cellStyle name="Output 6 9 11 2" xfId="37520" xr:uid="{F91802B9-1279-403C-9C7B-BEE3D0D3E794}"/>
    <cellStyle name="Output 6 9 12" xfId="37521" xr:uid="{FC226F5F-7003-4C1C-9297-BA9DEB740233}"/>
    <cellStyle name="Output 6 9 2" xfId="19557" xr:uid="{14C133FE-3486-491D-A2DA-72590AF2058A}"/>
    <cellStyle name="Output 6 9 2 10" xfId="19558" xr:uid="{13306999-E164-4239-A55D-2C02C4695B64}"/>
    <cellStyle name="Output 6 9 2 10 2" xfId="37522" xr:uid="{69C9EBD7-27B0-4E1D-834C-C66F6F5D5A0C}"/>
    <cellStyle name="Output 6 9 2 11" xfId="37523" xr:uid="{D3E46878-0E27-4855-AB41-C3DDC8ED8668}"/>
    <cellStyle name="Output 6 9 2 2" xfId="19559" xr:uid="{6304D75D-2D9F-4986-9FC5-98BFE3361994}"/>
    <cellStyle name="Output 6 9 2 2 2" xfId="19560" xr:uid="{28FC7710-F543-4413-B49D-E883D780D73B}"/>
    <cellStyle name="Output 6 9 2 2 2 2" xfId="37524" xr:uid="{52B4A9F4-5F36-48BF-841C-13A5AB7B1DD2}"/>
    <cellStyle name="Output 6 9 2 2 2 3" xfId="37525" xr:uid="{28432145-2ED8-49C8-B722-F502B148AC8E}"/>
    <cellStyle name="Output 6 9 2 2 3" xfId="19561" xr:uid="{F89A2212-F9B1-48F8-82D5-7F568D52DFBA}"/>
    <cellStyle name="Output 6 9 2 2 3 2" xfId="19562" xr:uid="{CC65E9B9-1AF4-4DA6-BBB4-3234E0B20F87}"/>
    <cellStyle name="Output 6 9 2 2 4" xfId="19563" xr:uid="{661A57F8-771D-40A2-B4B3-D1B94153F3C0}"/>
    <cellStyle name="Output 6 9 2 2 5" xfId="37526" xr:uid="{6D9BD9FB-0514-4333-AB02-FAC4504F385E}"/>
    <cellStyle name="Output 6 9 2 3" xfId="19564" xr:uid="{EBC4F27E-E536-4C9A-AA12-6D2F8F7F7B0F}"/>
    <cellStyle name="Output 6 9 2 3 2" xfId="19565" xr:uid="{8F8A31B7-8938-4D8D-A086-18CF38CE2FDE}"/>
    <cellStyle name="Output 6 9 2 3 3" xfId="37527" xr:uid="{6B939ADF-87C3-49B2-A514-0F78142D0E70}"/>
    <cellStyle name="Output 6 9 2 4" xfId="19566" xr:uid="{3B09D440-35BC-426C-9E57-2E05291F4E17}"/>
    <cellStyle name="Output 6 9 2 4 2" xfId="19567" xr:uid="{A9CD70FA-1AA0-4B70-9B56-3D6E3EF5A587}"/>
    <cellStyle name="Output 6 9 2 4 3" xfId="37528" xr:uid="{604DE244-4C68-4BB7-B5B4-AB14A2599C19}"/>
    <cellStyle name="Output 6 9 2 5" xfId="19568" xr:uid="{88F490EE-79EF-46DA-94E5-DBEEBD83CFED}"/>
    <cellStyle name="Output 6 9 2 5 2" xfId="19569" xr:uid="{394CACDD-E5D6-498D-86DB-E37BE7E8B304}"/>
    <cellStyle name="Output 6 9 2 5 3" xfId="37529" xr:uid="{9B7ED176-7D5D-4715-B89D-371E2C104E1D}"/>
    <cellStyle name="Output 6 9 2 6" xfId="19570" xr:uid="{13D1763E-3B03-4C79-8514-C15F333758A5}"/>
    <cellStyle name="Output 6 9 2 6 2" xfId="19571" xr:uid="{995D25AB-467E-46DD-8020-24D1E3CCC681}"/>
    <cellStyle name="Output 6 9 2 6 3" xfId="37530" xr:uid="{E6DECA1C-7E8D-404E-A725-EA8B9838D136}"/>
    <cellStyle name="Output 6 9 2 7" xfId="19572" xr:uid="{CC439BA3-5396-4489-A5AA-9373E5A7B92B}"/>
    <cellStyle name="Output 6 9 2 7 2" xfId="19573" xr:uid="{A8654DFB-623A-42A5-9EF0-2420758040D1}"/>
    <cellStyle name="Output 6 9 2 7 3" xfId="37531" xr:uid="{8A50C475-7502-45B3-9D42-0DEFFC17148D}"/>
    <cellStyle name="Output 6 9 2 8" xfId="19574" xr:uid="{EC6DC7AE-E8A3-4949-A165-438ABFC98276}"/>
    <cellStyle name="Output 6 9 2 8 2" xfId="19575" xr:uid="{97C6C68D-EA5E-4C05-B956-187FD9862B03}"/>
    <cellStyle name="Output 6 9 2 8 3" xfId="37532" xr:uid="{12106A00-9424-44F1-8981-80C20364D6BC}"/>
    <cellStyle name="Output 6 9 2 9" xfId="19576" xr:uid="{0B0C5C51-EE64-44C9-9838-752195806E3F}"/>
    <cellStyle name="Output 6 9 2 9 2" xfId="37533" xr:uid="{B888DFCA-605A-4F3B-9E2A-73154EA2BA8F}"/>
    <cellStyle name="Output 6 9 2 9 3" xfId="37534" xr:uid="{E5ABD13C-AA2D-410C-A80D-F37FE4599AB8}"/>
    <cellStyle name="Output 6 9 3" xfId="19577" xr:uid="{271971DA-B208-487E-B3E0-71FCD55BEBA9}"/>
    <cellStyle name="Output 6 9 3 2" xfId="19578" xr:uid="{CD68A499-B366-4393-B9F9-3C91DA2EE5F6}"/>
    <cellStyle name="Output 6 9 3 2 2" xfId="37535" xr:uid="{F20BB888-7C0B-4B4A-B72D-20156FD184D3}"/>
    <cellStyle name="Output 6 9 3 2 3" xfId="37536" xr:uid="{39ACA6EE-0D50-4F64-A397-CE5BD8AC2414}"/>
    <cellStyle name="Output 6 9 3 2 4" xfId="37537" xr:uid="{3CA74F5E-587D-4358-B90D-17150B24208B}"/>
    <cellStyle name="Output 6 9 3 3" xfId="19579" xr:uid="{48FFD01E-1B26-4CC3-AC5B-74FC28A5B61F}"/>
    <cellStyle name="Output 6 9 3 3 2" xfId="19580" xr:uid="{27830DB8-CA59-4016-A27D-EE3F360C57FE}"/>
    <cellStyle name="Output 6 9 3 4" xfId="19581" xr:uid="{33EC2BE5-5453-425F-B20A-823D1849E145}"/>
    <cellStyle name="Output 6 9 3 5" xfId="37538" xr:uid="{16678F37-FA56-416F-BD43-5EE7A8742870}"/>
    <cellStyle name="Output 6 9 4" xfId="19582" xr:uid="{5953AB66-59DA-45E6-A145-62A70669C9A3}"/>
    <cellStyle name="Output 6 9 4 2" xfId="19583" xr:uid="{8CAFF42F-8C2F-4744-BC52-31EB681305A9}"/>
    <cellStyle name="Output 6 9 4 2 2" xfId="37539" xr:uid="{22066C83-59B0-48F8-84DB-0748B9886EA0}"/>
    <cellStyle name="Output 6 9 4 2 3" xfId="37540" xr:uid="{3B1BD1EA-9C47-4438-9294-BF456B40D961}"/>
    <cellStyle name="Output 6 9 4 3" xfId="19584" xr:uid="{56AEFE11-9649-46AF-94B8-4CD911AAA533}"/>
    <cellStyle name="Output 6 9 4 4" xfId="37541" xr:uid="{F64DA46D-1482-44BA-8128-38993C8BC522}"/>
    <cellStyle name="Output 6 9 4 5" xfId="37542" xr:uid="{89C93C75-887D-46F1-8248-893C964FA14C}"/>
    <cellStyle name="Output 6 9 5" xfId="19585" xr:uid="{37FAE13C-83AE-470F-8645-E862E9B7232E}"/>
    <cellStyle name="Output 6 9 5 2" xfId="19586" xr:uid="{DAF6CDB7-0EE4-46FD-9A20-5BE28187C7C8}"/>
    <cellStyle name="Output 6 9 5 2 2" xfId="37543" xr:uid="{16469F86-0B8E-458A-954F-2E455D26D811}"/>
    <cellStyle name="Output 6 9 5 2 3" xfId="37544" xr:uid="{35070005-E49B-494A-B20C-F35ED80195EF}"/>
    <cellStyle name="Output 6 9 5 3" xfId="37545" xr:uid="{7FC46840-1E0F-4BF6-BA52-6C76BE162E4F}"/>
    <cellStyle name="Output 6 9 5 4" xfId="37546" xr:uid="{9D568CF6-564C-47D0-A4E7-1C0D28CCACBA}"/>
    <cellStyle name="Output 6 9 6" xfId="19587" xr:uid="{BE9F9906-1DB9-487E-BCAE-3D5F017038AB}"/>
    <cellStyle name="Output 6 9 6 2" xfId="19588" xr:uid="{67FCF8D6-CD3A-4FC5-9EBA-A0B392D464D1}"/>
    <cellStyle name="Output 6 9 6 3" xfId="37547" xr:uid="{958B2450-414F-49D8-A5A0-072023226B3E}"/>
    <cellStyle name="Output 6 9 7" xfId="19589" xr:uid="{4AB3BBED-4439-4F59-9E4E-C9FB94C13C41}"/>
    <cellStyle name="Output 6 9 7 2" xfId="19590" xr:uid="{2F5B44C1-7309-41B7-937B-6BB8555D3D95}"/>
    <cellStyle name="Output 6 9 7 3" xfId="37548" xr:uid="{4D2F4232-3474-4C3A-AE56-821809460D2C}"/>
    <cellStyle name="Output 6 9 8" xfId="19591" xr:uid="{56192116-CCA8-49EA-868C-5E86E13DF95A}"/>
    <cellStyle name="Output 6 9 8 2" xfId="19592" xr:uid="{512A5CD9-2D81-49D1-B851-D981FED234B2}"/>
    <cellStyle name="Output 6 9 8 3" xfId="37549" xr:uid="{5DE524E9-903C-42BF-A89C-42C8A00B1F2F}"/>
    <cellStyle name="Output 6 9 9" xfId="19593" xr:uid="{B93BBD20-90FF-40E7-8323-8F31C17BF4E5}"/>
    <cellStyle name="Output 6 9 9 2" xfId="19594" xr:uid="{22E69A17-C704-4E2B-8F8D-23AE1D3C7EEB}"/>
    <cellStyle name="Output 6 9 9 3" xfId="37550" xr:uid="{7FC5C0D8-5559-403A-A7A5-D4BA08ACB04E}"/>
    <cellStyle name="Output 7" xfId="19595" xr:uid="{8554E73F-ABC3-491E-B99B-FAC2670F8C0D}"/>
    <cellStyle name="Output 7 10" xfId="19596" xr:uid="{E8B911D3-5103-4F88-A349-AE34EFA1CC34}"/>
    <cellStyle name="Output 7 10 2" xfId="37551" xr:uid="{8CCCA8E2-2A49-4AC5-9B78-9B6AB7E61E31}"/>
    <cellStyle name="Output 7 10 3" xfId="37552" xr:uid="{903B7503-608F-438A-BBE2-07275102F99E}"/>
    <cellStyle name="Output 7 11" xfId="19597" xr:uid="{6972AC50-DA72-408B-8D78-5FB4D2007E5F}"/>
    <cellStyle name="Output 7 11 2" xfId="37553" xr:uid="{3CF4C3E9-4311-4089-8CA6-D5DE3FD879B2}"/>
    <cellStyle name="Output 7 12" xfId="37554" xr:uid="{4A6CA0D1-8499-4A21-B522-B5AD07DC0938}"/>
    <cellStyle name="Output 7 13" xfId="37555" xr:uid="{A20DA97C-4750-44F0-AF2B-17D68C892D08}"/>
    <cellStyle name="Output 7 14" xfId="43047" xr:uid="{9DDB2C6D-29DD-49C5-B173-D6CC9C9D4264}"/>
    <cellStyle name="Output 7 15" xfId="42208" xr:uid="{B74F1FFB-5B16-498B-8404-A875F2132F73}"/>
    <cellStyle name="Output 7 16" xfId="43965" xr:uid="{F7AB5638-B16A-480C-B0F4-8E69DBA5A0E0}"/>
    <cellStyle name="Output 7 2" xfId="19598" xr:uid="{8CB4D83B-898F-4448-A6A9-BF048B9E0BDA}"/>
    <cellStyle name="Output 7 2 10" xfId="19599" xr:uid="{62335E20-2181-4F7E-B27E-0961F4D36314}"/>
    <cellStyle name="Output 7 2 10 2" xfId="37556" xr:uid="{C7EE10F1-78CB-4C1C-B40A-94C5DFCB0989}"/>
    <cellStyle name="Output 7 2 11" xfId="37557" xr:uid="{F2F31FEF-48AE-4E73-939B-DA75A97FB0F6}"/>
    <cellStyle name="Output 7 2 2" xfId="19600" xr:uid="{D3FED112-1D6B-422D-AC98-A43F18B31731}"/>
    <cellStyle name="Output 7 2 2 2" xfId="19601" xr:uid="{22A861D6-4107-400E-AEB5-95A5E06A1B23}"/>
    <cellStyle name="Output 7 2 2 2 2" xfId="37558" xr:uid="{B655CEB1-CA8D-45E9-B5CC-07667C2DA06A}"/>
    <cellStyle name="Output 7 2 2 2 3" xfId="37559" xr:uid="{064393C1-A6CB-42EA-9677-218A7F52AB54}"/>
    <cellStyle name="Output 7 2 2 3" xfId="19602" xr:uid="{D318BEA6-5CAB-432F-9F66-6BD495916E95}"/>
    <cellStyle name="Output 7 2 2 3 2" xfId="19603" xr:uid="{C2F89347-3E71-4002-B101-7310429AA6F3}"/>
    <cellStyle name="Output 7 2 2 4" xfId="19604" xr:uid="{3826D225-0D16-488B-9FD8-3F09D7062A0C}"/>
    <cellStyle name="Output 7 2 2 5" xfId="37560" xr:uid="{168C7C06-CF17-422C-8E8F-172E8982775D}"/>
    <cellStyle name="Output 7 2 3" xfId="19605" xr:uid="{978DEB45-57E2-4601-BF50-D90F7429447D}"/>
    <cellStyle name="Output 7 2 3 2" xfId="19606" xr:uid="{108BCFE8-AF81-45AC-9858-E079DA0A5476}"/>
    <cellStyle name="Output 7 2 3 3" xfId="37561" xr:uid="{1E2C3868-4BA6-44A7-A5A6-B6475EFEB478}"/>
    <cellStyle name="Output 7 2 4" xfId="19607" xr:uid="{D5D6952C-0DEA-4166-A973-48A2FD3AB9EF}"/>
    <cellStyle name="Output 7 2 4 2" xfId="19608" xr:uid="{9E07DCA9-8E73-44F6-AA5C-DB1E74136287}"/>
    <cellStyle name="Output 7 2 4 3" xfId="37562" xr:uid="{8283B7DF-8E69-499F-B253-CEFDBB06F788}"/>
    <cellStyle name="Output 7 2 5" xfId="19609" xr:uid="{BD935886-DDCD-4463-A495-6C7D7BB64218}"/>
    <cellStyle name="Output 7 2 5 2" xfId="19610" xr:uid="{D7AEEFAD-BDED-43E3-91D7-C37B27A4A83E}"/>
    <cellStyle name="Output 7 2 5 3" xfId="37563" xr:uid="{394E0C10-95CD-442C-B347-F8CB7BE67ED0}"/>
    <cellStyle name="Output 7 2 6" xfId="19611" xr:uid="{B05268D8-61AB-4B61-BAC6-484F40B91993}"/>
    <cellStyle name="Output 7 2 6 2" xfId="19612" xr:uid="{47B404B5-98DD-4A01-9618-725DE7760657}"/>
    <cellStyle name="Output 7 2 6 3" xfId="37564" xr:uid="{61A5B81B-430E-47E1-9A06-1E376AE4D7D4}"/>
    <cellStyle name="Output 7 2 7" xfId="19613" xr:uid="{BF9214E7-65AF-4A2A-90F4-161860081F39}"/>
    <cellStyle name="Output 7 2 7 2" xfId="19614" xr:uid="{9D8F96EC-D5DD-40F3-8D90-E5DAC230FE1B}"/>
    <cellStyle name="Output 7 2 7 3" xfId="37565" xr:uid="{E8653D68-FBFC-4BD1-B570-87BAFC28796E}"/>
    <cellStyle name="Output 7 2 8" xfId="19615" xr:uid="{1930FCF8-B140-4183-BB6B-D30EEC46C1DB}"/>
    <cellStyle name="Output 7 2 8 2" xfId="19616" xr:uid="{90583FEA-AFD1-4456-91FC-6F8C26D62ADB}"/>
    <cellStyle name="Output 7 2 8 3" xfId="37566" xr:uid="{4DBEC730-68F9-43D7-8E7A-246DB848009E}"/>
    <cellStyle name="Output 7 2 9" xfId="19617" xr:uid="{E7CA4FEB-5CDE-49D6-9C78-ADAA689F62C8}"/>
    <cellStyle name="Output 7 2 9 2" xfId="37567" xr:uid="{77A69E2C-C515-448A-8080-F429324B1719}"/>
    <cellStyle name="Output 7 2 9 3" xfId="37568" xr:uid="{434F4675-838F-40F1-B648-9004D076BCFA}"/>
    <cellStyle name="Output 7 3" xfId="19618" xr:uid="{84667F0A-273F-4034-BA06-F8323E106E89}"/>
    <cellStyle name="Output 7 3 2" xfId="19619" xr:uid="{B956D447-2BB9-4C9E-BD45-464EBD8F2FDB}"/>
    <cellStyle name="Output 7 3 2 2" xfId="37569" xr:uid="{C4A1BAED-6AFB-4C0D-B5D4-52847F65DD23}"/>
    <cellStyle name="Output 7 3 2 3" xfId="37570" xr:uid="{6B648CC1-BA4D-4B72-AAFC-35F4957DB39D}"/>
    <cellStyle name="Output 7 3 2 4" xfId="37571" xr:uid="{30391B30-2DDC-4593-8BEF-607CCA2C727B}"/>
    <cellStyle name="Output 7 3 3" xfId="19620" xr:uid="{71CE1CA4-AD8A-48DD-978A-89CC89EB4216}"/>
    <cellStyle name="Output 7 3 3 2" xfId="19621" xr:uid="{BFFAAE89-8BB5-41F7-AA6C-742F5136DD57}"/>
    <cellStyle name="Output 7 3 4" xfId="19622" xr:uid="{AD3F9AC8-9E70-4984-B999-97E3B935A8BB}"/>
    <cellStyle name="Output 7 3 5" xfId="37572" xr:uid="{9894C507-D8FC-4FC0-B688-B7E5D992C41C}"/>
    <cellStyle name="Output 7 4" xfId="19623" xr:uid="{3FB3B3AE-6DDC-46A9-9474-298D0A31D4F5}"/>
    <cellStyle name="Output 7 4 2" xfId="19624" xr:uid="{8FA9F5EF-8DC5-4606-92E5-98BC3F9E55B9}"/>
    <cellStyle name="Output 7 4 2 2" xfId="37573" xr:uid="{B52F1735-BA67-4E1B-930A-43C46F40554C}"/>
    <cellStyle name="Output 7 4 2 3" xfId="37574" xr:uid="{52B42064-3E35-490D-B4CA-E6DAA698F320}"/>
    <cellStyle name="Output 7 4 3" xfId="19625" xr:uid="{8C1DF54B-A750-448D-9783-E8DBD5DFB71C}"/>
    <cellStyle name="Output 7 4 4" xfId="37575" xr:uid="{BA4CD406-2347-4F89-9D0A-A3C97EFC68DD}"/>
    <cellStyle name="Output 7 4 5" xfId="37576" xr:uid="{7253F8FC-3F18-4CE5-876E-E8726A08B060}"/>
    <cellStyle name="Output 7 5" xfId="19626" xr:uid="{A422BD39-278E-4CD1-934D-9B59C4667D85}"/>
    <cellStyle name="Output 7 5 2" xfId="19627" xr:uid="{FBD8D63D-B212-4907-8282-4418466BE4FA}"/>
    <cellStyle name="Output 7 5 2 2" xfId="37577" xr:uid="{2BB594E4-6F62-4118-97C1-7B23AE453BB0}"/>
    <cellStyle name="Output 7 5 2 3" xfId="37578" xr:uid="{8F99E849-71F4-4353-9E17-31967A95E13B}"/>
    <cellStyle name="Output 7 5 3" xfId="37579" xr:uid="{CFB928C1-88D8-4D2E-9605-7660F5CA6439}"/>
    <cellStyle name="Output 7 5 4" xfId="37580" xr:uid="{D21C02E0-1CEE-419D-8E4A-3C71B7DFA2E2}"/>
    <cellStyle name="Output 7 6" xfId="19628" xr:uid="{87EDDE2D-F54B-4EB0-860A-77933D62096D}"/>
    <cellStyle name="Output 7 6 2" xfId="19629" xr:uid="{9FDA9F23-BF0C-478B-8373-5B22AD024A3B}"/>
    <cellStyle name="Output 7 6 3" xfId="37581" xr:uid="{02AF7107-A308-4AE3-A97C-73FB5033FA2B}"/>
    <cellStyle name="Output 7 7" xfId="19630" xr:uid="{35BE4430-8983-43B3-8E22-2BC940DBA93E}"/>
    <cellStyle name="Output 7 7 2" xfId="19631" xr:uid="{38D133B0-3391-4446-8BB9-D11A29B30454}"/>
    <cellStyle name="Output 7 7 3" xfId="37582" xr:uid="{22831873-5ADC-413A-B326-11F34A04A5D7}"/>
    <cellStyle name="Output 7 8" xfId="19632" xr:uid="{1C02740F-A64B-4673-B125-D3C1C18493BE}"/>
    <cellStyle name="Output 7 8 2" xfId="19633" xr:uid="{588A2F43-66A6-4F7E-BB70-478F3885506F}"/>
    <cellStyle name="Output 7 8 3" xfId="37583" xr:uid="{D3516292-4AEC-4BF2-86EA-BF494A7A357F}"/>
    <cellStyle name="Output 7 9" xfId="19634" xr:uid="{6EBEDB18-3C63-4028-A294-908001EC0D03}"/>
    <cellStyle name="Output 7 9 2" xfId="19635" xr:uid="{42B40354-1EF7-4810-9DE0-AC79B6E16491}"/>
    <cellStyle name="Output 7 9 3" xfId="37584" xr:uid="{C1ED8E2E-F13B-4CC2-A7AE-7F6906086D2B}"/>
    <cellStyle name="Output 8" xfId="19636" xr:uid="{1A833D13-A059-4F5A-B87B-A70B7A6B87AC}"/>
    <cellStyle name="Output 8 10" xfId="19637" xr:uid="{43182F1D-7333-42C5-9014-967E68992E8E}"/>
    <cellStyle name="Output 8 10 2" xfId="37585" xr:uid="{11DE858A-B950-4BDE-ABFA-13CCC5424E9B}"/>
    <cellStyle name="Output 8 10 3" xfId="37586" xr:uid="{94A76804-D009-4E2D-99CE-31C40EB97D4C}"/>
    <cellStyle name="Output 8 11" xfId="19638" xr:uid="{DFD29690-CFC3-4F55-AE76-570030B1F687}"/>
    <cellStyle name="Output 8 11 2" xfId="37587" xr:uid="{449C6994-638F-416B-95FF-2E169C082808}"/>
    <cellStyle name="Output 8 12" xfId="37588" xr:uid="{8C92D2CD-32AE-4462-9210-4BAB543D97A5}"/>
    <cellStyle name="Output 8 13" xfId="37589" xr:uid="{F0E9F1E6-000C-4E32-914C-6E9A5C5AA9BE}"/>
    <cellStyle name="Output 8 14" xfId="43048" xr:uid="{623B72F1-0AA7-4A34-83A1-A071FFB96770}"/>
    <cellStyle name="Output 8 15" xfId="42207" xr:uid="{6EA054FE-8C4E-409F-84A0-81EF4AD2F328}"/>
    <cellStyle name="Output 8 16" xfId="43966" xr:uid="{3BA2F766-63CD-49B2-9B6A-AC908D6CC7F6}"/>
    <cellStyle name="Output 8 2" xfId="19639" xr:uid="{AD7B1709-1351-4AB4-B049-6BF0C7B471D2}"/>
    <cellStyle name="Output 8 2 10" xfId="19640" xr:uid="{1ADC3F17-1483-40EA-B134-23952DD4AC9B}"/>
    <cellStyle name="Output 8 2 10 2" xfId="37590" xr:uid="{48F630D9-1E9B-45B6-B17E-B561890F8551}"/>
    <cellStyle name="Output 8 2 11" xfId="37591" xr:uid="{30397255-EB2D-4A41-9EC2-60637ABA0A22}"/>
    <cellStyle name="Output 8 2 2" xfId="19641" xr:uid="{2FB8DF07-D8DD-4124-809C-DD7279940B20}"/>
    <cellStyle name="Output 8 2 2 2" xfId="19642" xr:uid="{F3B73589-CCCD-4FC1-84D7-EE95BCDD1665}"/>
    <cellStyle name="Output 8 2 2 2 2" xfId="37592" xr:uid="{66B87205-4E21-4595-8DBE-2DB1250EC024}"/>
    <cellStyle name="Output 8 2 2 2 3" xfId="37593" xr:uid="{67092A12-0BC9-4A8E-904B-56D5C380E04A}"/>
    <cellStyle name="Output 8 2 2 3" xfId="19643" xr:uid="{E44D2982-CD0A-4F4E-AD45-CD4ACCF22EFF}"/>
    <cellStyle name="Output 8 2 2 3 2" xfId="19644" xr:uid="{3D46B8B4-349C-4B3E-9EDD-509E911CF250}"/>
    <cellStyle name="Output 8 2 2 4" xfId="19645" xr:uid="{23F4C9AD-C6CF-4854-AB67-F938448BEB68}"/>
    <cellStyle name="Output 8 2 2 5" xfId="37594" xr:uid="{91808328-4645-4A72-8608-695BA9D18D27}"/>
    <cellStyle name="Output 8 2 3" xfId="19646" xr:uid="{CB9EF82D-04F2-4273-BD85-F0D8A432C653}"/>
    <cellStyle name="Output 8 2 3 2" xfId="19647" xr:uid="{D59F3F2B-BF3A-4B55-902A-33864CF43573}"/>
    <cellStyle name="Output 8 2 3 3" xfId="37595" xr:uid="{44C9775A-EEAD-401C-BA99-7C8499D85EFC}"/>
    <cellStyle name="Output 8 2 4" xfId="19648" xr:uid="{78BAD737-76F0-4D34-82C8-A7A0F7C22DAA}"/>
    <cellStyle name="Output 8 2 4 2" xfId="19649" xr:uid="{5D9A7B60-7A2A-4CD4-9A57-229FCC019377}"/>
    <cellStyle name="Output 8 2 4 3" xfId="37596" xr:uid="{7D37746C-0436-4F36-8265-E1E5AF903068}"/>
    <cellStyle name="Output 8 2 5" xfId="19650" xr:uid="{D092B40F-451F-47F7-8BCE-EDF80A07A6DE}"/>
    <cellStyle name="Output 8 2 5 2" xfId="19651" xr:uid="{702AEC04-9E93-458F-8CA8-E711E8A72570}"/>
    <cellStyle name="Output 8 2 5 3" xfId="37597" xr:uid="{94BD87FB-3BB6-4B60-9E43-22068B8674B6}"/>
    <cellStyle name="Output 8 2 6" xfId="19652" xr:uid="{9873669E-D7E8-4124-B909-0D09DA6BCAC2}"/>
    <cellStyle name="Output 8 2 6 2" xfId="19653" xr:uid="{D2D6CFC3-473B-48F4-AE68-516F0EDBD98B}"/>
    <cellStyle name="Output 8 2 6 3" xfId="37598" xr:uid="{8DEACAF8-5152-4131-B577-EFDF34E128D3}"/>
    <cellStyle name="Output 8 2 7" xfId="19654" xr:uid="{ABC3AACF-CCB7-4B1B-94E2-EC9D27FE2CD7}"/>
    <cellStyle name="Output 8 2 7 2" xfId="19655" xr:uid="{8FB4A942-9583-4FED-9CCD-65E9A94F0788}"/>
    <cellStyle name="Output 8 2 7 3" xfId="37599" xr:uid="{EB2E3D33-36F5-415F-B21A-0BFEA8A7C917}"/>
    <cellStyle name="Output 8 2 8" xfId="19656" xr:uid="{E591DE69-7A22-4D1B-9917-A49F921A2B31}"/>
    <cellStyle name="Output 8 2 8 2" xfId="19657" xr:uid="{ECA363D1-0234-4808-8769-AD378E2BD283}"/>
    <cellStyle name="Output 8 2 8 3" xfId="37600" xr:uid="{DB8F6F37-DE28-4962-B4DD-F343F22D3B8F}"/>
    <cellStyle name="Output 8 2 9" xfId="19658" xr:uid="{38F270AB-0235-4172-A748-DEFC823D603D}"/>
    <cellStyle name="Output 8 2 9 2" xfId="37601" xr:uid="{C537B5C0-EAFE-4035-BBC2-68F771C0B1A4}"/>
    <cellStyle name="Output 8 2 9 3" xfId="37602" xr:uid="{38CCB0DD-2BB4-4E17-BAE6-E5FD1D8FD38A}"/>
    <cellStyle name="Output 8 3" xfId="19659" xr:uid="{362CDF0E-CA3C-4828-BD32-9C4A0ABD2532}"/>
    <cellStyle name="Output 8 3 2" xfId="19660" xr:uid="{CBA9DCD6-0608-420B-93CC-5C5FCA3AAD28}"/>
    <cellStyle name="Output 8 3 2 2" xfId="37603" xr:uid="{580DB2E0-5809-48C4-81C9-3B95F24B784A}"/>
    <cellStyle name="Output 8 3 2 3" xfId="37604" xr:uid="{7D4EA2DD-12FC-43E4-A7BE-1373FD4FDAEE}"/>
    <cellStyle name="Output 8 3 2 4" xfId="37605" xr:uid="{2FF34E27-D487-45EF-9916-59E5256A95F8}"/>
    <cellStyle name="Output 8 3 3" xfId="19661" xr:uid="{41C8F8C5-BC23-451C-92BE-099848EBC6FC}"/>
    <cellStyle name="Output 8 3 3 2" xfId="19662" xr:uid="{D0E58FA2-1D0B-46A8-80C2-9CD9EF65C7AB}"/>
    <cellStyle name="Output 8 3 4" xfId="19663" xr:uid="{0A403DE5-DCF2-4C7A-893A-F4CC2245DF2B}"/>
    <cellStyle name="Output 8 3 5" xfId="37606" xr:uid="{A327B6A2-2540-4448-970F-07382C0BEEA8}"/>
    <cellStyle name="Output 8 4" xfId="19664" xr:uid="{2232BE8B-AA57-496A-A391-D70E4BBEF2EE}"/>
    <cellStyle name="Output 8 4 2" xfId="19665" xr:uid="{4C2C60C7-FF23-49FA-8A5C-BF5D679E824C}"/>
    <cellStyle name="Output 8 4 2 2" xfId="37607" xr:uid="{1D54D131-2109-4AD5-B88C-FBCEA1A6A147}"/>
    <cellStyle name="Output 8 4 2 3" xfId="37608" xr:uid="{B2EC1971-97DE-4359-8E67-6C3A4923AE6C}"/>
    <cellStyle name="Output 8 4 3" xfId="19666" xr:uid="{71F38967-5F0B-49AD-9784-D7FE82A21E2D}"/>
    <cellStyle name="Output 8 4 4" xfId="37609" xr:uid="{3E3EF318-19E0-4343-BEDF-DBD54428331C}"/>
    <cellStyle name="Output 8 4 5" xfId="37610" xr:uid="{60ED555D-46EA-40BC-ACB6-067DB7FB56E2}"/>
    <cellStyle name="Output 8 5" xfId="19667" xr:uid="{1204ACB9-7049-4D51-848E-92F73AAA57D6}"/>
    <cellStyle name="Output 8 5 2" xfId="19668" xr:uid="{AEF200BD-E88D-4986-87F3-CD3A141DDFF4}"/>
    <cellStyle name="Output 8 5 2 2" xfId="37611" xr:uid="{60134C68-CE19-434B-86F9-27AC5BD45F85}"/>
    <cellStyle name="Output 8 5 2 3" xfId="37612" xr:uid="{60BDE0AD-3675-4992-9685-37AF5815B339}"/>
    <cellStyle name="Output 8 5 3" xfId="37613" xr:uid="{86483563-2447-4AF3-8CAB-621266834891}"/>
    <cellStyle name="Output 8 5 4" xfId="37614" xr:uid="{CCE9A2AF-6192-4C4B-83FD-B5A56693F6C6}"/>
    <cellStyle name="Output 8 6" xfId="19669" xr:uid="{B11C2789-4792-4ABE-A4A1-5FF4B1608A18}"/>
    <cellStyle name="Output 8 6 2" xfId="19670" xr:uid="{E2DBAFA9-05CC-4F68-A86C-F7CB81C81BA6}"/>
    <cellStyle name="Output 8 6 3" xfId="37615" xr:uid="{B78BB16F-EF72-41DE-9C30-3BE0A123C747}"/>
    <cellStyle name="Output 8 7" xfId="19671" xr:uid="{CA7CBD57-BC64-476A-9AD9-0087F8FA31EE}"/>
    <cellStyle name="Output 8 7 2" xfId="19672" xr:uid="{E3B7734C-799A-41C5-B855-F64DF6D77701}"/>
    <cellStyle name="Output 8 7 3" xfId="37616" xr:uid="{4E22B1EA-7582-4AC4-BF92-FF305C2F28A4}"/>
    <cellStyle name="Output 8 8" xfId="19673" xr:uid="{39F7BF3E-BAB4-4EE4-901A-2507DAFC97F9}"/>
    <cellStyle name="Output 8 8 2" xfId="19674" xr:uid="{2A82B19A-D677-4B36-9638-23BF75A4B74F}"/>
    <cellStyle name="Output 8 8 3" xfId="37617" xr:uid="{C1EB5685-48CA-4E08-B62D-7D9D7F3ED35F}"/>
    <cellStyle name="Output 8 9" xfId="19675" xr:uid="{41BF5DEB-15B9-41C0-9F0E-FA1AE2E06EE6}"/>
    <cellStyle name="Output 8 9 2" xfId="19676" xr:uid="{5C58CE05-CD16-4807-AA6B-E284410FD0FC}"/>
    <cellStyle name="Output 8 9 3" xfId="37618" xr:uid="{9B1156B2-E0A8-4B6C-8CA8-0A26FF8D6092}"/>
    <cellStyle name="Output 9" xfId="19677" xr:uid="{DA663EAB-393A-4DE6-B0CF-070E458BC636}"/>
    <cellStyle name="Output 9 10" xfId="19678" xr:uid="{4EEA780C-97B4-4B88-A5AA-7C15FD27B1B6}"/>
    <cellStyle name="Output 9 10 2" xfId="37619" xr:uid="{6302CF1B-5AE0-4665-9080-BE7BBF996996}"/>
    <cellStyle name="Output 9 10 3" xfId="37620" xr:uid="{C1E9579E-D78B-4544-B25E-1371F085773A}"/>
    <cellStyle name="Output 9 11" xfId="19679" xr:uid="{64D44DF0-8608-4969-AE42-34B043624C03}"/>
    <cellStyle name="Output 9 11 2" xfId="37621" xr:uid="{2CBB83F4-433C-4B4A-8E94-A94E5BF0C0D4}"/>
    <cellStyle name="Output 9 12" xfId="37622" xr:uid="{DCE02ABD-4753-4826-AECE-9475A12C2DE4}"/>
    <cellStyle name="Output 9 13" xfId="37623" xr:uid="{3823431A-D0A1-4FC7-8A77-36091BD4DBFD}"/>
    <cellStyle name="Output 9 14" xfId="43049" xr:uid="{36E5C5C1-CE2F-4CD2-A57D-FE6DD735A022}"/>
    <cellStyle name="Output 9 15" xfId="42206" xr:uid="{7CCB9807-72B1-4387-8761-77F13796B738}"/>
    <cellStyle name="Output 9 16" xfId="43967" xr:uid="{5B832872-05B7-4D0D-A863-CA56FA27E609}"/>
    <cellStyle name="Output 9 2" xfId="19680" xr:uid="{6A18932A-CA9E-475B-9607-F97180BD4D31}"/>
    <cellStyle name="Output 9 2 10" xfId="19681" xr:uid="{FC5305B1-36FA-479A-BEFF-19D9E18D67C3}"/>
    <cellStyle name="Output 9 2 10 2" xfId="37624" xr:uid="{C41EA72A-DFC4-42AD-9553-ECE06E021971}"/>
    <cellStyle name="Output 9 2 11" xfId="37625" xr:uid="{F4C6EA09-98DE-4995-A69A-F6DD0D76C084}"/>
    <cellStyle name="Output 9 2 2" xfId="19682" xr:uid="{1B53A544-4F56-4B95-A7D6-598966EA0D34}"/>
    <cellStyle name="Output 9 2 2 2" xfId="19683" xr:uid="{37AD978D-5CD8-4ABA-9313-2ED6AA910118}"/>
    <cellStyle name="Output 9 2 2 2 2" xfId="37626" xr:uid="{6A653782-3F76-4FF9-B21A-5B81A0FABC0D}"/>
    <cellStyle name="Output 9 2 2 2 3" xfId="37627" xr:uid="{9BE8285D-F45E-4A55-B7F5-125D2E47CA4C}"/>
    <cellStyle name="Output 9 2 2 3" xfId="19684" xr:uid="{93EA144A-6803-4CC3-B357-B7A9932524A7}"/>
    <cellStyle name="Output 9 2 2 3 2" xfId="19685" xr:uid="{A71A2BAE-FA9B-4D64-834F-73C326727623}"/>
    <cellStyle name="Output 9 2 2 4" xfId="19686" xr:uid="{AD4EBC35-AF2A-4D53-A248-6ACBAB7E4E41}"/>
    <cellStyle name="Output 9 2 2 5" xfId="37628" xr:uid="{34C8D884-5501-4928-A82C-E5A475A26069}"/>
    <cellStyle name="Output 9 2 3" xfId="19687" xr:uid="{1CAD141C-4137-43A8-98BE-B1E40CE73DB6}"/>
    <cellStyle name="Output 9 2 3 2" xfId="19688" xr:uid="{D71989AE-E0A4-4763-9FA8-EF67CB413AD3}"/>
    <cellStyle name="Output 9 2 3 3" xfId="37629" xr:uid="{8DB55D6F-8AD3-40D7-BC10-974C3A329DD6}"/>
    <cellStyle name="Output 9 2 4" xfId="19689" xr:uid="{4F45CE05-4DEB-4F58-B36B-B392F2FE3037}"/>
    <cellStyle name="Output 9 2 4 2" xfId="19690" xr:uid="{D8B8273C-90A3-417F-B8AF-C1934FA5E93D}"/>
    <cellStyle name="Output 9 2 4 3" xfId="37630" xr:uid="{527C2E55-1978-4CA3-BF11-6B0A87E6BFE1}"/>
    <cellStyle name="Output 9 2 5" xfId="19691" xr:uid="{15A3499C-2075-404B-8D5E-5F57181FEABE}"/>
    <cellStyle name="Output 9 2 5 2" xfId="19692" xr:uid="{45805202-6ADA-4485-B48A-267A1E90A136}"/>
    <cellStyle name="Output 9 2 5 3" xfId="37631" xr:uid="{D14D7D6A-205B-4F6C-906E-612CA2357DB6}"/>
    <cellStyle name="Output 9 2 6" xfId="19693" xr:uid="{53F462E7-4DA2-453F-9C06-334D5B51D07F}"/>
    <cellStyle name="Output 9 2 6 2" xfId="19694" xr:uid="{BC7E7FC4-9608-4BC3-ADA7-BE314A5724A6}"/>
    <cellStyle name="Output 9 2 6 3" xfId="37632" xr:uid="{74AC5061-7E20-4310-A63A-10F71B402C6B}"/>
    <cellStyle name="Output 9 2 7" xfId="19695" xr:uid="{ECA13F4C-4520-494E-B697-96B504FB76F3}"/>
    <cellStyle name="Output 9 2 7 2" xfId="19696" xr:uid="{F2DBD4C3-83DF-4F0F-9BA6-994B13380C0C}"/>
    <cellStyle name="Output 9 2 7 3" xfId="37633" xr:uid="{5E01B731-E20B-48EF-B915-8A15E72BBEF4}"/>
    <cellStyle name="Output 9 2 8" xfId="19697" xr:uid="{FE668028-CFEF-4227-A179-BC9ED3556BF6}"/>
    <cellStyle name="Output 9 2 8 2" xfId="19698" xr:uid="{0E124C49-E5FE-4BA7-B9B3-5C4BADD772E3}"/>
    <cellStyle name="Output 9 2 8 3" xfId="37634" xr:uid="{FB96339A-0F41-40F7-8C78-A1191BB2B621}"/>
    <cellStyle name="Output 9 2 9" xfId="19699" xr:uid="{4BBF0B46-12EE-4EFA-8527-EC0BAF6A7F5D}"/>
    <cellStyle name="Output 9 2 9 2" xfId="37635" xr:uid="{382FD546-B1F8-499C-9216-3F46C355DD77}"/>
    <cellStyle name="Output 9 2 9 3" xfId="37636" xr:uid="{6445FDB7-ADF0-41E5-B941-6BA669BB224A}"/>
    <cellStyle name="Output 9 3" xfId="19700" xr:uid="{89B937C8-71C4-4F37-816D-67EE6D299E4A}"/>
    <cellStyle name="Output 9 3 2" xfId="19701" xr:uid="{81D1D714-BFF1-44FF-B4D6-5BC3520701C9}"/>
    <cellStyle name="Output 9 3 2 2" xfId="37637" xr:uid="{ECC04509-9448-4C2E-B869-E34FABC89C27}"/>
    <cellStyle name="Output 9 3 2 3" xfId="37638" xr:uid="{CD8B37C7-3323-4CF5-AD99-34A2D02395EA}"/>
    <cellStyle name="Output 9 3 2 4" xfId="37639" xr:uid="{33527808-FF6E-4601-B107-72EE65E1F43D}"/>
    <cellStyle name="Output 9 3 3" xfId="19702" xr:uid="{6CB1AEAD-954A-45C1-8EAF-9F74D400726B}"/>
    <cellStyle name="Output 9 3 3 2" xfId="19703" xr:uid="{2C614441-A1FC-4018-95A3-6F9B899D1E7B}"/>
    <cellStyle name="Output 9 3 4" xfId="19704" xr:uid="{E9DEC6CD-AA57-4450-9191-BDF3E5E6ED4B}"/>
    <cellStyle name="Output 9 3 5" xfId="37640" xr:uid="{60B93BA9-FC5F-45F5-8EE2-BBDD78FF223F}"/>
    <cellStyle name="Output 9 4" xfId="19705" xr:uid="{A57B9469-616C-4794-9FD2-036084AF094A}"/>
    <cellStyle name="Output 9 4 2" xfId="19706" xr:uid="{04939230-E3E4-4648-AF43-31C15BCB0A78}"/>
    <cellStyle name="Output 9 4 2 2" xfId="37641" xr:uid="{FF8F6C68-9906-4A6C-B179-CA7CF2F3964F}"/>
    <cellStyle name="Output 9 4 2 3" xfId="37642" xr:uid="{48C11AD4-D5F9-4239-A9F9-7946D3A75356}"/>
    <cellStyle name="Output 9 4 3" xfId="19707" xr:uid="{A6F74793-F823-4A5F-BF56-46B6B132D4DE}"/>
    <cellStyle name="Output 9 4 4" xfId="37643" xr:uid="{F68903AB-E781-4BAE-90AA-4D110C52ED87}"/>
    <cellStyle name="Output 9 4 5" xfId="37644" xr:uid="{EE1A0478-BB69-4491-B3BE-2079E7AD78E7}"/>
    <cellStyle name="Output 9 5" xfId="19708" xr:uid="{5C304579-C52A-436D-9F90-E2A4736207A0}"/>
    <cellStyle name="Output 9 5 2" xfId="19709" xr:uid="{516B9A88-29DC-43BF-84A2-56AFB85C001C}"/>
    <cellStyle name="Output 9 5 2 2" xfId="37645" xr:uid="{0BF49C21-A139-4F9E-9225-0E80BB45B8DE}"/>
    <cellStyle name="Output 9 5 2 3" xfId="37646" xr:uid="{8891FFED-7EF5-464B-AB37-7FA4B14494F2}"/>
    <cellStyle name="Output 9 5 3" xfId="37647" xr:uid="{932DDDC9-4D17-436A-903E-61DE3EFF49AE}"/>
    <cellStyle name="Output 9 5 4" xfId="37648" xr:uid="{4371FE8E-48FA-4890-B711-2688DA1E0B3D}"/>
    <cellStyle name="Output 9 6" xfId="19710" xr:uid="{70B60702-D061-4A60-B61B-7221BC335C4B}"/>
    <cellStyle name="Output 9 6 2" xfId="19711" xr:uid="{65CF9826-A20B-42ED-A31A-3EA5816C00B0}"/>
    <cellStyle name="Output 9 6 3" xfId="37649" xr:uid="{7BE58ED1-39AF-47EF-B982-3EA1AC25000A}"/>
    <cellStyle name="Output 9 7" xfId="19712" xr:uid="{49F38602-DDEB-4C54-9B97-A59C0D1B9BC8}"/>
    <cellStyle name="Output 9 7 2" xfId="19713" xr:uid="{49FE3301-2C2C-410B-9AEF-D555614674D5}"/>
    <cellStyle name="Output 9 7 3" xfId="37650" xr:uid="{15D0187B-5A3E-4DF9-A8D7-7E0EE28459B7}"/>
    <cellStyle name="Output 9 8" xfId="19714" xr:uid="{4F519BFA-CDFD-4392-B040-E7B0348C6A42}"/>
    <cellStyle name="Output 9 8 2" xfId="19715" xr:uid="{FFC8D5C6-8D24-4C0A-AF9C-1FF0EAF996A2}"/>
    <cellStyle name="Output 9 8 3" xfId="37651" xr:uid="{014152E2-C703-42A2-A5FD-B8A72F77FB34}"/>
    <cellStyle name="Output 9 9" xfId="19716" xr:uid="{503C4F20-B802-4C08-AFC9-0BB460BF727C}"/>
    <cellStyle name="Output 9 9 2" xfId="19717" xr:uid="{B44ABCF6-36FD-4275-8778-9B22C63C4B85}"/>
    <cellStyle name="Output 9 9 3" xfId="37652" xr:uid="{0DE2D49D-1974-462C-B498-DB45A99500E7}"/>
    <cellStyle name="Pattern" xfId="106" xr:uid="{C9FBB53E-19FE-4EBD-885A-42B92A4CC756}"/>
    <cellStyle name="Pattern 2" xfId="37653" xr:uid="{FF2D8FEC-71E3-426A-8BEB-5DB40C8B69DE}"/>
    <cellStyle name="Pattern 2 2" xfId="44526" xr:uid="{8B7D9A9E-AC22-4319-9B9B-3D8775EED60E}"/>
    <cellStyle name="Pattern 2 2 2" xfId="44738" xr:uid="{CC368747-1D42-4983-942B-82CA10DDE2A8}"/>
    <cellStyle name="Pattern 2 2 2 2" xfId="45000" xr:uid="{A9928B99-69D1-46F6-AC85-B4356972A0E0}"/>
    <cellStyle name="Pattern 2 2 2 3" xfId="44936" xr:uid="{134C12D3-DEFA-4A82-BFE6-198256562284}"/>
    <cellStyle name="Pattern 2 2 3" xfId="43986" xr:uid="{6C6DD67A-6B50-429D-80DD-DB876D539256}"/>
    <cellStyle name="Pattern 2 2 4" xfId="44931" xr:uid="{B6737F30-F901-4703-AF78-39289EB75BE0}"/>
    <cellStyle name="Pattern 2 3" xfId="44669" xr:uid="{44DEEE71-88E9-4FFD-A70D-6A90702C8D5A}"/>
    <cellStyle name="Pattern 2 3 2" xfId="45012" xr:uid="{9329EA71-C6B6-4E78-A031-433A994822E0}"/>
    <cellStyle name="Pattern 2 3 3" xfId="44262" xr:uid="{D69E697A-8893-42E5-9EE6-C131A731EE83}"/>
    <cellStyle name="Pattern 2 4" xfId="44391" xr:uid="{6E672B3F-16EC-43B8-B782-9C149BF5DC2B}"/>
    <cellStyle name="Pattern 3" xfId="43050" xr:uid="{C3BC9E1C-8A57-4D33-8D21-8926D40705D6}"/>
    <cellStyle name="Pattern 3 2" xfId="44567" xr:uid="{A131DF68-557B-49B2-9A8A-24E6A119FAC2}"/>
    <cellStyle name="Pattern 3 2 2" xfId="44780" xr:uid="{AEFBF5B4-687A-4776-B823-C01AB06385BE}"/>
    <cellStyle name="Pattern 3 2 2 2" xfId="45341" xr:uid="{20B8659D-84B6-45A7-BD58-2C67765E8610}"/>
    <cellStyle name="Pattern 3 2 2 3" xfId="45566" xr:uid="{5DA87330-1509-463A-9914-2B296D92A682}"/>
    <cellStyle name="Pattern 3 2 3" xfId="45113" xr:uid="{A15922FE-8F61-4145-8AB2-454D1EA86621}"/>
    <cellStyle name="Pattern 3 2 4" xfId="45421" xr:uid="{2BCA2A2C-0300-468D-B5AD-9256416A02F7}"/>
    <cellStyle name="Pattern 3 3" xfId="44469" xr:uid="{084AF7F0-F83E-4B62-B6B1-2595E509E94D}"/>
    <cellStyle name="Pattern 3 3 2" xfId="44680" xr:uid="{9BDCE2E1-5C30-4E3F-8B4E-9F940B9C7353}"/>
    <cellStyle name="Pattern 3 3 2 2" xfId="45013" xr:uid="{17D31E14-0906-4BF9-BBBA-0DE260B5E124}"/>
    <cellStyle name="Pattern 3 3 2 3" xfId="44961" xr:uid="{BAFF3841-942C-49D5-8DF4-6B383B307CFC}"/>
    <cellStyle name="Pattern 3 3 3" xfId="45217" xr:uid="{27D53450-01CD-483E-BE80-A40009BDA9CB}"/>
    <cellStyle name="Pattern 3 3 4" xfId="45484" xr:uid="{68A7C943-FB4A-414A-9A81-352E60462320}"/>
    <cellStyle name="Pattern 3 4" xfId="44580" xr:uid="{862DC1EC-3E76-4BE0-8CAE-A6863AB5FADD}"/>
    <cellStyle name="Pattern 3 4 2" xfId="44793" xr:uid="{7AE773CE-2D20-43F0-9F86-42C04D05971C}"/>
    <cellStyle name="Pattern 3 4 2 2" xfId="44870" xr:uid="{1E70BE0E-67AC-4F4F-BDC9-4094A8BAF857}"/>
    <cellStyle name="Pattern 3 4 2 3" xfId="45063" xr:uid="{56757E42-1AB6-4287-8E4C-E76B86513C74}"/>
    <cellStyle name="Pattern 3 4 3" xfId="45318" xr:uid="{057D6322-24DF-4C35-A771-6E52A15DD91F}"/>
    <cellStyle name="Pattern 3 4 4" xfId="45551" xr:uid="{9D76763F-35C9-43A9-909B-77040FD6D48B}"/>
    <cellStyle name="Pattern 3 5" xfId="44254" xr:uid="{99916369-57C7-4B2D-A471-BDDDA0D96544}"/>
    <cellStyle name="Pattern 3 6" xfId="44950" xr:uid="{3480BA05-299F-4222-A03F-39E33D1EF3E3}"/>
    <cellStyle name="Pattern 3 7" xfId="45288" xr:uid="{576F2FE6-4F81-4BF1-BD26-DB9287158682}"/>
    <cellStyle name="Percent" xfId="45785" builtinId="5"/>
    <cellStyle name="Percent 10" xfId="19718" xr:uid="{A275E302-2E0C-41C5-A704-263EC98D222D}"/>
    <cellStyle name="Percent 10 10" xfId="37654" xr:uid="{D91552FC-C521-4D91-986D-0ED1CE732C17}"/>
    <cellStyle name="Percent 10 11" xfId="37655" xr:uid="{DE1357FB-BD46-4BB7-B264-C96D20A4C3F6}"/>
    <cellStyle name="Percent 10 12" xfId="37656" xr:uid="{046A2242-7991-4C73-8A81-6BE0875AB84F}"/>
    <cellStyle name="Percent 10 13" xfId="37657" xr:uid="{0832D979-2323-4886-8188-3297522BE1AD}"/>
    <cellStyle name="Percent 10 14" xfId="37658" xr:uid="{E95B5AFA-ED5B-4D53-B1E6-C97B4C9063B1}"/>
    <cellStyle name="Percent 10 15" xfId="37659" xr:uid="{BFDD90BE-EDCE-4849-A1DB-13BC92CE8729}"/>
    <cellStyle name="Percent 10 16" xfId="37660" xr:uid="{33B21711-61F5-4559-9949-0C7AF9CD1EC8}"/>
    <cellStyle name="Percent 10 17" xfId="37661" xr:uid="{E47642B4-8799-4AEA-BE77-C6F51571C6E4}"/>
    <cellStyle name="Percent 10 18" xfId="37662" xr:uid="{821C5599-4999-4F76-A5CE-995F6B76AD90}"/>
    <cellStyle name="Percent 10 19" xfId="37663" xr:uid="{A4EE9911-2F55-44E0-964E-27C13F1688E3}"/>
    <cellStyle name="Percent 10 2" xfId="19719" xr:uid="{7ACA5C24-1AE4-4B6A-B9E8-B73501392D07}"/>
    <cellStyle name="Percent 10 2 2" xfId="37664" xr:uid="{BBC623E1-F5B8-4758-8E2B-109C771A0114}"/>
    <cellStyle name="Percent 10 2 3" xfId="37665" xr:uid="{DA06A789-CA0C-4C3E-A631-EAE2BBAFD750}"/>
    <cellStyle name="Percent 10 20" xfId="37666" xr:uid="{C8F8A86C-42B4-4A8D-A9CC-A22858DBEF67}"/>
    <cellStyle name="Percent 10 3" xfId="19720" xr:uid="{AA3DC3E5-21DE-4503-8859-022AC9E3A31B}"/>
    <cellStyle name="Percent 10 3 2" xfId="37667" xr:uid="{D4B68D1D-F743-4CD6-AE62-83852D7F5A3B}"/>
    <cellStyle name="Percent 10 3 3" xfId="37668" xr:uid="{82611163-4A03-45CC-B483-0CED6DB1E9AE}"/>
    <cellStyle name="Percent 10 4" xfId="19721" xr:uid="{BD2A15F6-D1F0-407E-990A-94C077125D32}"/>
    <cellStyle name="Percent 10 4 2" xfId="37669" xr:uid="{F64818C2-2351-4846-B5EC-9C2C9F507E79}"/>
    <cellStyle name="Percent 10 4 3" xfId="37670" xr:uid="{F7F8058C-61BC-42E2-A89E-9DA9435886DC}"/>
    <cellStyle name="Percent 10 5" xfId="19722" xr:uid="{5579ECA4-57DC-4CC6-8582-888750C8ED91}"/>
    <cellStyle name="Percent 10 5 2" xfId="37671" xr:uid="{B2359912-8FB1-4D53-BFB6-5437D35027D3}"/>
    <cellStyle name="Percent 10 5 3" xfId="37672" xr:uid="{7D29E7D3-1BF8-4084-956D-C2C578224E33}"/>
    <cellStyle name="Percent 10 6" xfId="19723" xr:uid="{4462D0CB-0F83-4ED4-9D08-3B1006A53DFB}"/>
    <cellStyle name="Percent 10 6 2" xfId="37673" xr:uid="{8B4A79C6-F3D7-455E-B318-57B288AAD2A6}"/>
    <cellStyle name="Percent 10 6 3" xfId="37674" xr:uid="{7044A0D2-43CF-473B-B3E2-CB9BE6244C12}"/>
    <cellStyle name="Percent 10 7" xfId="19724" xr:uid="{3272C762-45F6-490C-97E1-EFE0E151EEA4}"/>
    <cellStyle name="Percent 10 7 2" xfId="37675" xr:uid="{11952E60-9A97-432F-8115-C2AAF21A8A4E}"/>
    <cellStyle name="Percent 10 7 3" xfId="37676" xr:uid="{1A2626F4-F009-4CB9-B6C7-C2CC52A443E4}"/>
    <cellStyle name="Percent 10 7 4" xfId="37677" xr:uid="{A5BD27A1-CBC8-428E-8313-9776B69B12CE}"/>
    <cellStyle name="Percent 10 7 5" xfId="37678" xr:uid="{C964F682-F73D-4B7F-82D1-D682B5525189}"/>
    <cellStyle name="Percent 10 8" xfId="19725" xr:uid="{5FD9F61B-060D-456F-B6E3-EB86CD045E54}"/>
    <cellStyle name="Percent 10 8 2" xfId="37679" xr:uid="{5507B51F-4B50-4C4B-9E34-1D61F1E66C8D}"/>
    <cellStyle name="Percent 10 8 3" xfId="37680" xr:uid="{A49BC7B9-695B-4D00-9D24-0A144ACCB9CD}"/>
    <cellStyle name="Percent 10 9" xfId="37681" xr:uid="{8E81CBBC-6EAD-4E2E-AD90-E84FCE549536}"/>
    <cellStyle name="Percent 11" xfId="19726" xr:uid="{014D99E5-E89C-4DB8-AE64-402D834B17EB}"/>
    <cellStyle name="Percent 11 10" xfId="37682" xr:uid="{9BD72760-484D-48C8-A726-B9C9E704B07A}"/>
    <cellStyle name="Percent 11 2" xfId="19727" xr:uid="{E14638A0-3D5E-467C-96A5-5A39091E513C}"/>
    <cellStyle name="Percent 11 2 2" xfId="37683" xr:uid="{CA74EEC0-54AF-4114-9BD8-7FF93A9A0BF2}"/>
    <cellStyle name="Percent 11 2 3" xfId="37684" xr:uid="{92F043C3-D935-498B-9259-B60AD4E8BE12}"/>
    <cellStyle name="Percent 11 3" xfId="19728" xr:uid="{EAB3B725-3040-4538-A97F-E249276E4C13}"/>
    <cellStyle name="Percent 11 3 2" xfId="37685" xr:uid="{E48E8CE6-54AE-424B-AFAD-13F7B0131B5D}"/>
    <cellStyle name="Percent 11 3 3" xfId="37686" xr:uid="{52023BE9-2F4C-48A9-9B02-2AC7CCB243D6}"/>
    <cellStyle name="Percent 11 4" xfId="19729" xr:uid="{74899AD5-1AF8-413F-98FF-BA08FD5E3C27}"/>
    <cellStyle name="Percent 11 4 2" xfId="37687" xr:uid="{9C35766A-4B1A-4697-853F-AB0D0E214F2A}"/>
    <cellStyle name="Percent 11 4 3" xfId="37688" xr:uid="{E564A767-6E7C-4769-A8F2-2A073621E84A}"/>
    <cellStyle name="Percent 11 5" xfId="19730" xr:uid="{203FFA96-6131-4CEF-9884-C64048271BC6}"/>
    <cellStyle name="Percent 11 5 2" xfId="37689" xr:uid="{A9AACA43-4A88-4224-A455-54E24CEAF908}"/>
    <cellStyle name="Percent 11 5 3" xfId="37690" xr:uid="{C13725AC-5C08-4E7E-9ACA-27E282A68D40}"/>
    <cellStyle name="Percent 11 6" xfId="19731" xr:uid="{29730706-4F0D-4E99-B988-50FB7A952BD0}"/>
    <cellStyle name="Percent 11 6 2" xfId="37691" xr:uid="{3C1469B2-89BB-476B-B970-6D5695EBC1F0}"/>
    <cellStyle name="Percent 11 6 3" xfId="37692" xr:uid="{518B2FD4-5862-4C4F-8124-4E5F9CA3E4E5}"/>
    <cellStyle name="Percent 11 7" xfId="19732" xr:uid="{2B57F2E8-86CD-477F-994C-631F1D23985F}"/>
    <cellStyle name="Percent 11 7 2" xfId="37693" xr:uid="{6E8FB5E0-85D1-4C4E-BF5C-D06C43DD2B11}"/>
    <cellStyle name="Percent 11 7 3" xfId="37694" xr:uid="{1415B7E9-947A-43B3-AD4E-557632BB0F7A}"/>
    <cellStyle name="Percent 11 7 4" xfId="37695" xr:uid="{0AB7CD03-3A62-4A36-9E59-D406803DB7F5}"/>
    <cellStyle name="Percent 11 7 5" xfId="37696" xr:uid="{BBB9023B-BF04-4DFD-915B-E310A38953F7}"/>
    <cellStyle name="Percent 11 8" xfId="19733" xr:uid="{1DA3EA97-2E16-44ED-AA99-ECA4F87474C5}"/>
    <cellStyle name="Percent 11 8 2" xfId="37697" xr:uid="{225CF2BC-A162-481C-BFDB-248D62A0F909}"/>
    <cellStyle name="Percent 11 8 3" xfId="37698" xr:uid="{5EF42131-323B-44A1-B36A-9FE54729B3CC}"/>
    <cellStyle name="Percent 11 9" xfId="37699" xr:uid="{F433808B-B1EA-4552-B46D-EF0DD1F60BF2}"/>
    <cellStyle name="Percent 12" xfId="19734" xr:uid="{4C5D19D6-1CB2-49C6-B440-26694B1A1310}"/>
    <cellStyle name="Percent 12 10" xfId="37700" xr:uid="{0F491282-19B4-4677-B98D-F6ECF0DE4FAC}"/>
    <cellStyle name="Percent 12 2" xfId="19735" xr:uid="{70CF7ACB-4A5F-475F-B435-D76E017FFE1A}"/>
    <cellStyle name="Percent 12 2 2" xfId="37701" xr:uid="{68E71EB7-11EE-4487-B81D-08DB16148C80}"/>
    <cellStyle name="Percent 12 2 3" xfId="37702" xr:uid="{7E38E4BE-8BF2-4B1C-B432-86D7B447C13F}"/>
    <cellStyle name="Percent 12 3" xfId="19736" xr:uid="{166EF603-4033-4A8D-8849-48CBDD5D9000}"/>
    <cellStyle name="Percent 12 3 2" xfId="37703" xr:uid="{D3CBDF06-A6DF-4ECE-B4C3-5B77A2463D8A}"/>
    <cellStyle name="Percent 12 3 3" xfId="37704" xr:uid="{7FAC332D-F937-4378-96C5-14266B8ECCB4}"/>
    <cellStyle name="Percent 12 4" xfId="19737" xr:uid="{7F0F885F-1BAB-47DE-BCFA-BF500585B6E8}"/>
    <cellStyle name="Percent 12 4 2" xfId="37705" xr:uid="{6C77F0BB-1D22-45A1-803F-DD602BE343F4}"/>
    <cellStyle name="Percent 12 4 3" xfId="37706" xr:uid="{D409018F-7777-4E28-AFEF-7D7943A66BAE}"/>
    <cellStyle name="Percent 12 5" xfId="19738" xr:uid="{AA60B80D-8C2C-4EF5-A84D-5B68A0AB0E61}"/>
    <cellStyle name="Percent 12 5 2" xfId="37707" xr:uid="{CCED3056-EC05-4090-A9E6-49E6FB8822F1}"/>
    <cellStyle name="Percent 12 5 3" xfId="37708" xr:uid="{B08CE939-40D9-433C-8B59-A12D96299939}"/>
    <cellStyle name="Percent 12 6" xfId="19739" xr:uid="{019B5D56-97E4-4F9C-A39C-19DB999DD713}"/>
    <cellStyle name="Percent 12 6 2" xfId="37709" xr:uid="{44E4B54D-7196-449F-A04A-299A9B6678D3}"/>
    <cellStyle name="Percent 12 6 3" xfId="37710" xr:uid="{E54CFD59-C427-4408-807E-BFF9FD6A97B4}"/>
    <cellStyle name="Percent 12 7" xfId="19740" xr:uid="{3771786E-D6CE-401C-B021-7D0147B822A5}"/>
    <cellStyle name="Percent 12 7 2" xfId="37711" xr:uid="{FAD76696-40A2-4357-B2A7-9E0E9DD33F2C}"/>
    <cellStyle name="Percent 12 7 3" xfId="37712" xr:uid="{A1637026-897E-4B70-8383-07A0F3C6BB69}"/>
    <cellStyle name="Percent 12 7 4" xfId="37713" xr:uid="{F4D6B415-8F86-4D21-9F78-4AD633769B6E}"/>
    <cellStyle name="Percent 12 7 5" xfId="37714" xr:uid="{30DEBCA3-A14C-4CDB-BF46-AB6E93517946}"/>
    <cellStyle name="Percent 12 8" xfId="19741" xr:uid="{8FB2024A-0570-4D2E-99D5-6B1222F5DDA6}"/>
    <cellStyle name="Percent 12 8 2" xfId="37715" xr:uid="{5B31BFBE-D42A-4A83-B53E-E78B9E96BCB6}"/>
    <cellStyle name="Percent 12 8 3" xfId="37716" xr:uid="{9BAE857A-2A23-44C8-B286-843FAF761145}"/>
    <cellStyle name="Percent 12 9" xfId="37717" xr:uid="{9BAFF616-5D90-4ED1-9365-850A82F95ABB}"/>
    <cellStyle name="Percent 13" xfId="19742" xr:uid="{7624BE4B-7CFC-457B-A6ED-D6AF505964AB}"/>
    <cellStyle name="Percent 13 10" xfId="37718" xr:uid="{C90484C9-ACA0-4BF8-9367-A9E33D827C5E}"/>
    <cellStyle name="Percent 13 2" xfId="19743" xr:uid="{86BF4C82-4810-4177-92D9-EC8A68C61903}"/>
    <cellStyle name="Percent 13 2 2" xfId="37719" xr:uid="{8D170E62-6BC1-4826-B42E-60CE199F9DCF}"/>
    <cellStyle name="Percent 13 2 3" xfId="37720" xr:uid="{C9DF0816-5FE2-4E62-BA71-C2559B469D4F}"/>
    <cellStyle name="Percent 13 3" xfId="19744" xr:uid="{21EBAB55-8A11-44DE-8179-B5C6F0147EDE}"/>
    <cellStyle name="Percent 13 3 2" xfId="37721" xr:uid="{9979B575-496B-4857-930F-1F8F49B218C5}"/>
    <cellStyle name="Percent 13 3 3" xfId="37722" xr:uid="{DB970735-1113-4144-8B1E-CFB0077B59BA}"/>
    <cellStyle name="Percent 13 4" xfId="19745" xr:uid="{6D93F062-B873-4507-A62D-53BFACDD2234}"/>
    <cellStyle name="Percent 13 4 2" xfId="37723" xr:uid="{F597851F-D869-4E68-BD9B-59325151B71B}"/>
    <cellStyle name="Percent 13 4 3" xfId="37724" xr:uid="{224CF302-AF2A-4CA1-A6B0-F7823B2CDAB8}"/>
    <cellStyle name="Percent 13 5" xfId="19746" xr:uid="{4661919B-951E-4CE1-971E-BA5AA9A34A2D}"/>
    <cellStyle name="Percent 13 5 2" xfId="37725" xr:uid="{9B9270A7-DEEF-4B75-8BFC-A76177B6B25A}"/>
    <cellStyle name="Percent 13 5 3" xfId="37726" xr:uid="{F46E4D75-E754-4A73-B6F1-99AE4B49242A}"/>
    <cellStyle name="Percent 13 6" xfId="19747" xr:uid="{A9BE3629-1455-4E44-9DD5-60BF63EF376E}"/>
    <cellStyle name="Percent 13 6 2" xfId="37727" xr:uid="{9CBAB9B9-00E0-4ADF-AF97-0115DDABA62B}"/>
    <cellStyle name="Percent 13 6 3" xfId="37728" xr:uid="{CB9D9540-A6A3-4CF4-A3B8-8FDFF26977D7}"/>
    <cellStyle name="Percent 13 7" xfId="19748" xr:uid="{C0838E58-DD68-415E-93E4-A33B1147A596}"/>
    <cellStyle name="Percent 13 7 2" xfId="37729" xr:uid="{8E918B62-6FB3-43E4-BAB9-39D0B2C49AE4}"/>
    <cellStyle name="Percent 13 7 3" xfId="37730" xr:uid="{1439630F-A285-4409-BF3F-6D08DFF1C2A1}"/>
    <cellStyle name="Percent 13 7 4" xfId="37731" xr:uid="{C8B67979-E8A6-484D-A2A7-25EEB418C744}"/>
    <cellStyle name="Percent 13 7 5" xfId="37732" xr:uid="{8698A6C8-01B4-4018-92BD-D68584415581}"/>
    <cellStyle name="Percent 13 8" xfId="19749" xr:uid="{B8196789-C533-4371-AA58-C74D6BC4AA34}"/>
    <cellStyle name="Percent 13 8 2" xfId="37733" xr:uid="{A75FC283-EAEF-4A37-92F0-FF96D474AA8F}"/>
    <cellStyle name="Percent 13 8 3" xfId="37734" xr:uid="{7AEDE0DB-4D63-4298-90A4-D0974D799E4A}"/>
    <cellStyle name="Percent 13 9" xfId="37735" xr:uid="{FC32E408-57A5-420A-9EFC-50AFCBB31143}"/>
    <cellStyle name="Percent 14" xfId="19750" xr:uid="{288761C5-C97D-4F8D-9B11-9496D7734CDB}"/>
    <cellStyle name="Percent 14 10" xfId="37736" xr:uid="{A724CCCF-BF7D-477A-8421-CE4F38EA607E}"/>
    <cellStyle name="Percent 14 2" xfId="19751" xr:uid="{EE1B36F4-2AD7-449B-ACB0-EE25E5E3F424}"/>
    <cellStyle name="Percent 14 2 2" xfId="37737" xr:uid="{FADBDB89-A951-42C7-8058-F0669AD3E196}"/>
    <cellStyle name="Percent 14 2 3" xfId="37738" xr:uid="{09EBFA8A-134F-4710-BD0F-4EEEC9C3C58F}"/>
    <cellStyle name="Percent 14 3" xfId="19752" xr:uid="{CF25849C-BDA2-4EC5-948E-21F1D25C43D5}"/>
    <cellStyle name="Percent 14 3 2" xfId="37739" xr:uid="{B80C35FA-ACBE-4FA5-A924-5B910745E9DB}"/>
    <cellStyle name="Percent 14 3 3" xfId="37740" xr:uid="{5E6149F7-05FE-41F4-99EA-A7AF21BD6682}"/>
    <cellStyle name="Percent 14 4" xfId="19753" xr:uid="{50143AC1-78FF-4FE3-B785-8144CBDD4520}"/>
    <cellStyle name="Percent 14 4 2" xfId="37741" xr:uid="{5769ABDB-14D5-4872-8875-235FC915BFF6}"/>
    <cellStyle name="Percent 14 4 3" xfId="37742" xr:uid="{1049126D-B099-406E-A300-C1E2DFD19333}"/>
    <cellStyle name="Percent 14 5" xfId="19754" xr:uid="{C865DF8F-5C03-4D9D-BD6D-F990D446C391}"/>
    <cellStyle name="Percent 14 5 2" xfId="37743" xr:uid="{DC73BAE4-E689-4D04-BC39-12A6CFFFDB45}"/>
    <cellStyle name="Percent 14 5 3" xfId="37744" xr:uid="{22A54529-6F0C-477E-8143-20FA39FA3CCC}"/>
    <cellStyle name="Percent 14 6" xfId="19755" xr:uid="{536219F1-9B4B-4D3E-80ED-77FEC98A1175}"/>
    <cellStyle name="Percent 14 6 2" xfId="37745" xr:uid="{EEB3A1C4-E24F-41DD-AA90-04A2AD3734AA}"/>
    <cellStyle name="Percent 14 6 3" xfId="37746" xr:uid="{187E682D-8CE2-4AD4-B8C9-74DEA3304F20}"/>
    <cellStyle name="Percent 14 7" xfId="19756" xr:uid="{8F4F656C-9A46-4063-81BE-E91EC3F8FF11}"/>
    <cellStyle name="Percent 14 7 2" xfId="37747" xr:uid="{D4D077E3-BB80-4B8C-8884-BBBA95811FCA}"/>
    <cellStyle name="Percent 14 7 3" xfId="37748" xr:uid="{3E13D3B5-05AD-4DF5-BAE2-5D59C5D64B31}"/>
    <cellStyle name="Percent 14 7 4" xfId="37749" xr:uid="{3843FCE8-32F6-4A77-85E7-83D1659A016F}"/>
    <cellStyle name="Percent 14 7 5" xfId="37750" xr:uid="{9B738C57-6B77-42B9-912E-53B7533E9166}"/>
    <cellStyle name="Percent 14 8" xfId="19757" xr:uid="{BAC3FF44-7546-4F59-B135-FB56B6140F76}"/>
    <cellStyle name="Percent 14 8 2" xfId="37751" xr:uid="{54CE4B23-3CC1-4F51-B8D3-080A608AEF6F}"/>
    <cellStyle name="Percent 14 8 3" xfId="37752" xr:uid="{AB3302A6-F45D-4353-9914-BE334FA8A1CE}"/>
    <cellStyle name="Percent 14 9" xfId="37753" xr:uid="{F312EE10-D1DF-4D4C-ACB3-76AD3FD4491E}"/>
    <cellStyle name="Percent 15" xfId="19758" xr:uid="{4E821C92-C59F-489D-8E9C-FF76241CE1D0}"/>
    <cellStyle name="Percent 15 10" xfId="19759" xr:uid="{4C06A774-FA5E-4745-8041-584736C159EC}"/>
    <cellStyle name="Percent 15 11" xfId="19760" xr:uid="{AF4572CB-79F4-476E-8D8B-9AA971A40D54}"/>
    <cellStyle name="Percent 15 12" xfId="19761" xr:uid="{86F4BAA7-60CC-4FF5-A577-53AF4760B008}"/>
    <cellStyle name="Percent 15 13" xfId="19762" xr:uid="{FAD0A159-DAF9-4950-AB4E-F670F7BDF9EA}"/>
    <cellStyle name="Percent 15 14" xfId="19763" xr:uid="{92943F3E-5D8A-4647-BC0C-77C18E32DA96}"/>
    <cellStyle name="Percent 15 15" xfId="37754" xr:uid="{A9849FC3-C89B-464D-9BE3-68ACA4596A82}"/>
    <cellStyle name="Percent 15 16" xfId="37755" xr:uid="{492AD0BC-A0F9-490A-8F2F-C5D822D91692}"/>
    <cellStyle name="Percent 15 2" xfId="19764" xr:uid="{3E0FBEFD-8E75-4D5A-B135-1C89772768F0}"/>
    <cellStyle name="Percent 15 2 2" xfId="19765" xr:uid="{CC57544A-31BD-4B90-8A62-89AEA10BA93D}"/>
    <cellStyle name="Percent 15 2 2 2" xfId="37756" xr:uid="{95F02A6B-874B-445F-89F5-FE98573A02C4}"/>
    <cellStyle name="Percent 15 2 2 2 2" xfId="37757" xr:uid="{CA5C406B-F263-4035-993D-6F9291C23978}"/>
    <cellStyle name="Percent 15 2 2 3" xfId="37758" xr:uid="{452541EE-66C1-4EBE-8E22-1895B07F812C}"/>
    <cellStyle name="Percent 15 2 2 3 2" xfId="37759" xr:uid="{24BB7757-BBF4-433D-A6A7-8970602E6C90}"/>
    <cellStyle name="Percent 15 2 3" xfId="19766" xr:uid="{01F68E3C-8DF5-4E41-95A1-843FE37A4C1F}"/>
    <cellStyle name="Percent 15 2 3 2" xfId="37760" xr:uid="{14A3AEA8-D62F-4D8A-A876-2CE63AFBE213}"/>
    <cellStyle name="Percent 15 2 3 2 2" xfId="37761" xr:uid="{7DCBAFD1-7D97-44AF-85D4-F2B1FE60D197}"/>
    <cellStyle name="Percent 15 2 3 3" xfId="37762" xr:uid="{67D33B51-0B2D-4946-AC12-F312D505F9B9}"/>
    <cellStyle name="Percent 15 2 3 3 2" xfId="37763" xr:uid="{871C4B16-DEED-46BF-989F-DF74A07A7EE3}"/>
    <cellStyle name="Percent 15 2 4" xfId="19767" xr:uid="{12C59CC4-B1C5-43C8-A676-8EB7587A7113}"/>
    <cellStyle name="Percent 15 2 4 2" xfId="37764" xr:uid="{1AFEA29A-ED23-471B-A795-BBFCC60FB549}"/>
    <cellStyle name="Percent 15 2 4 2 2" xfId="37765" xr:uid="{CB5587F5-98CA-49C3-8141-19FDCB81D68A}"/>
    <cellStyle name="Percent 15 2 4 3" xfId="37766" xr:uid="{CF1A7FB2-CF31-434E-A0BE-76735D95C508}"/>
    <cellStyle name="Percent 15 2 4 3 2" xfId="37767" xr:uid="{A923D7CD-8967-4F39-8E99-CCB978FE7777}"/>
    <cellStyle name="Percent 15 2 5" xfId="19768" xr:uid="{0B5B27CD-2087-4B64-9DAE-2171DEA7E0C1}"/>
    <cellStyle name="Percent 15 2 5 2" xfId="37768" xr:uid="{CF0BA90E-F96C-496A-B663-FDB9943E3061}"/>
    <cellStyle name="Percent 15 2 5 2 2" xfId="37769" xr:uid="{BAAF0F60-6204-4212-9C41-36280D70F9EE}"/>
    <cellStyle name="Percent 15 2 5 3" xfId="37770" xr:uid="{95831CF9-7B30-460B-99F5-89CD96A0F090}"/>
    <cellStyle name="Percent 15 2 5 3 2" xfId="37771" xr:uid="{7F5DCEC9-5350-4A41-A86D-A3419D5CCF33}"/>
    <cellStyle name="Percent 15 2 6" xfId="19769" xr:uid="{AE817773-65F4-4BFD-8440-E07D5F085FB7}"/>
    <cellStyle name="Percent 15 2 6 2" xfId="37772" xr:uid="{55C17ACE-6A12-46D7-AEC3-1EB2B6EB0095}"/>
    <cellStyle name="Percent 15 2 6 2 2" xfId="37773" xr:uid="{B67307A3-F36C-49FC-80E0-A1349C8CFE44}"/>
    <cellStyle name="Percent 15 2 6 3" xfId="37774" xr:uid="{F15610CF-D98B-4CAB-8A69-7DEFFD27E34C}"/>
    <cellStyle name="Percent 15 2 6 3 2" xfId="37775" xr:uid="{D7504A79-15E7-4693-9691-D1E00A6D24C3}"/>
    <cellStyle name="Percent 15 2 7" xfId="19770" xr:uid="{897E9C12-20AD-42E2-BC7B-9B70AA8075D9}"/>
    <cellStyle name="Percent 15 2 7 2" xfId="37776" xr:uid="{66D5A84D-E112-48D6-88B8-2D4D5953E84F}"/>
    <cellStyle name="Percent 15 2 7 2 2" xfId="37777" xr:uid="{ED7A1FEB-CA97-42FE-977F-1BA7980E11E8}"/>
    <cellStyle name="Percent 15 2 7 3" xfId="37778" xr:uid="{2D307777-AB0D-4866-99DF-73AC99E666F3}"/>
    <cellStyle name="Percent 15 2 7 3 2" xfId="37779" xr:uid="{B1E14F6C-83BD-4F97-B78F-ADBE6FDF64E0}"/>
    <cellStyle name="Percent 15 2 8" xfId="37780" xr:uid="{121E952B-84AB-456B-A77B-E072294E9CA1}"/>
    <cellStyle name="Percent 15 2 9" xfId="37781" xr:uid="{A5A0443E-8CE1-4A93-952D-256E2E44234E}"/>
    <cellStyle name="Percent 15 3" xfId="19771" xr:uid="{12E1C442-38A5-4256-B344-E4ED34FBB697}"/>
    <cellStyle name="Percent 15 3 2" xfId="37782" xr:uid="{A56DF36E-778F-408B-80CE-DBA2FAE14197}"/>
    <cellStyle name="Percent 15 3 2 2" xfId="37783" xr:uid="{112D5054-A883-4C6F-86C7-97EF1070D05D}"/>
    <cellStyle name="Percent 15 3 3" xfId="37784" xr:uid="{4E5A563C-D135-4A98-AE8A-5B3441C79326}"/>
    <cellStyle name="Percent 15 3 3 2" xfId="37785" xr:uid="{4FD1714A-4939-435A-B2A2-5DE0A114F31E}"/>
    <cellStyle name="Percent 15 3 4" xfId="37786" xr:uid="{04E27F33-A5AB-46DC-940B-A006668BA639}"/>
    <cellStyle name="Percent 15 4" xfId="19772" xr:uid="{A78C15BE-D231-4A89-9F62-2532C908A8DB}"/>
    <cellStyle name="Percent 15 4 2" xfId="37787" xr:uid="{EB8992C8-417A-4A59-A199-FDA49BE2790A}"/>
    <cellStyle name="Percent 15 4 3" xfId="37788" xr:uid="{466128DD-7FC9-41AF-B0AA-B4FFF48A5B14}"/>
    <cellStyle name="Percent 15 5" xfId="19773" xr:uid="{88430CFE-1871-4A8F-B518-2CFAB4877DB3}"/>
    <cellStyle name="Percent 15 5 2" xfId="37789" xr:uid="{35AF5908-B04D-4388-9F3A-C69BF06A8E47}"/>
    <cellStyle name="Percent 15 5 2 2" xfId="37790" xr:uid="{EE8874CB-A765-4740-AE78-FEE949DD41A2}"/>
    <cellStyle name="Percent 15 5 3" xfId="37791" xr:uid="{FE39AD37-66C7-4488-95D9-ECE26DB99F99}"/>
    <cellStyle name="Percent 15 5 3 2" xfId="37792" xr:uid="{7B3BFB72-900B-4A1E-810A-05140F2E4DF9}"/>
    <cellStyle name="Percent 15 5 4" xfId="37793" xr:uid="{261668BA-B24D-43A4-94B3-08DA781C550F}"/>
    <cellStyle name="Percent 15 6" xfId="19774" xr:uid="{538A898B-7DA2-400F-ABF8-6BE48CAC2C72}"/>
    <cellStyle name="Percent 15 6 2" xfId="37794" xr:uid="{8484933D-1105-42C6-81FC-1BB9EE371DE0}"/>
    <cellStyle name="Percent 15 6 2 2" xfId="37795" xr:uid="{0C7F1779-B878-47D7-93B0-56988E628F16}"/>
    <cellStyle name="Percent 15 6 3" xfId="37796" xr:uid="{6B33EC7F-7AA9-464E-8CF1-6E0190476CB3}"/>
    <cellStyle name="Percent 15 6 3 2" xfId="37797" xr:uid="{A03767DD-28B6-4B5A-A25F-767172FDA89F}"/>
    <cellStyle name="Percent 15 6 4" xfId="37798" xr:uid="{61CF57F6-E632-4E2B-897C-78B9EB43E6E6}"/>
    <cellStyle name="Percent 15 7" xfId="19775" xr:uid="{492012EB-5D61-4C9A-9825-8CDB840B603C}"/>
    <cellStyle name="Percent 15 7 2" xfId="37799" xr:uid="{64E79575-DAF0-40CC-85E1-3EA79DD2EDE3}"/>
    <cellStyle name="Percent 15 7 2 2" xfId="37800" xr:uid="{48CDE23A-7F5B-47D4-8766-31EC8F77285E}"/>
    <cellStyle name="Percent 15 7 3" xfId="37801" xr:uid="{E68C2C73-B24E-4790-BD1A-CC1737561933}"/>
    <cellStyle name="Percent 15 7 3 2" xfId="37802" xr:uid="{36296666-675B-491E-8FBA-D4FC1B5DB1F7}"/>
    <cellStyle name="Percent 15 7 4" xfId="37803" xr:uid="{7FAC63E0-C4B0-4C56-A3C6-82C581D2D1E9}"/>
    <cellStyle name="Percent 15 7 5" xfId="37804" xr:uid="{1001C147-7B8E-417B-8EC5-9C11702BD49B}"/>
    <cellStyle name="Percent 15 8" xfId="19776" xr:uid="{47EBBA49-821C-4B08-972D-9DB73AABA1E2}"/>
    <cellStyle name="Percent 15 8 2" xfId="37805" xr:uid="{E66BC710-4F46-4D0E-BD7F-98C40352E6E3}"/>
    <cellStyle name="Percent 15 8 2 2" xfId="37806" xr:uid="{10F9F9CE-1EFB-40DA-ADAF-DD5920E741DC}"/>
    <cellStyle name="Percent 15 8 3" xfId="37807" xr:uid="{C46BFC79-4287-49C8-940E-44226FE38335}"/>
    <cellStyle name="Percent 15 8 3 2" xfId="37808" xr:uid="{0F303F3A-A198-4481-B370-6AE85E453F01}"/>
    <cellStyle name="Percent 15 9" xfId="19777" xr:uid="{351DE89E-38A6-471C-A381-6F18FC3D9C57}"/>
    <cellStyle name="Percent 16" xfId="19778" xr:uid="{4D90F52F-1EF4-4BDC-973E-F3017088F4D3}"/>
    <cellStyle name="Percent 16 10" xfId="37809" xr:uid="{61D486C1-FB69-40A1-B15C-5140E2CB4F1A}"/>
    <cellStyle name="Percent 16 2" xfId="19779" xr:uid="{184F7B21-AF55-4B07-8413-00EB84B62EE3}"/>
    <cellStyle name="Percent 16 2 2" xfId="37810" xr:uid="{5F2418B8-DB40-4A89-B5B1-4C0F77278B37}"/>
    <cellStyle name="Percent 16 2 3" xfId="37811" xr:uid="{BAAB0FC7-F78B-4D36-81C5-85E875A8655F}"/>
    <cellStyle name="Percent 16 3" xfId="19780" xr:uid="{7C6AF962-7748-497D-B72D-AB07A9D529CB}"/>
    <cellStyle name="Percent 16 3 10" xfId="19781" xr:uid="{2A8C553C-934D-46BD-BC42-9BBEA279C7C4}"/>
    <cellStyle name="Percent 16 3 11" xfId="19782" xr:uid="{8A97F366-0D53-41A5-9656-AAFC3C102411}"/>
    <cellStyle name="Percent 16 3 12" xfId="19783" xr:uid="{091A3586-BA0C-4897-924B-79E2689BA591}"/>
    <cellStyle name="Percent 16 3 13" xfId="19784" xr:uid="{B253AE64-ECB6-4F25-8F3F-084FB055F566}"/>
    <cellStyle name="Percent 16 3 14" xfId="19785" xr:uid="{BF306DCA-3622-4523-B4CC-EBAC8EE9B6DE}"/>
    <cellStyle name="Percent 16 3 15" xfId="19786" xr:uid="{12A8D57C-71C0-4404-8C9C-B0413A9AC9D0}"/>
    <cellStyle name="Percent 16 3 16" xfId="19787" xr:uid="{C4C0ED8A-2EF2-42E0-AC5F-B28B6080D899}"/>
    <cellStyle name="Percent 16 3 17" xfId="19788" xr:uid="{2E01A4E5-64E5-4F4E-A1B4-83D3C7B097DD}"/>
    <cellStyle name="Percent 16 3 18" xfId="37812" xr:uid="{166F72F5-627B-4284-8DE9-3EB8CA2CB8D5}"/>
    <cellStyle name="Percent 16 3 19" xfId="37813" xr:uid="{856F3118-9EB8-49FC-8D9D-AB0DA4F888CE}"/>
    <cellStyle name="Percent 16 3 2" xfId="19789" xr:uid="{14CF1EC9-E39F-4055-BEEA-02F00C07B2ED}"/>
    <cellStyle name="Percent 16 3 3" xfId="19790" xr:uid="{8F6FC394-F7F3-469C-A6DF-7868DB37EE8C}"/>
    <cellStyle name="Percent 16 3 4" xfId="19791" xr:uid="{1E77B30A-AE3D-4391-9BDE-D51E32DA4ED1}"/>
    <cellStyle name="Percent 16 3 5" xfId="19792" xr:uid="{8B610715-54B7-4D34-915D-B761712564FD}"/>
    <cellStyle name="Percent 16 3 6" xfId="19793" xr:uid="{A4BA9EE3-6AD7-476F-9B8A-B4AABF32B5A0}"/>
    <cellStyle name="Percent 16 3 7" xfId="19794" xr:uid="{1E55D553-F530-4B81-AE44-A7A0B70928AF}"/>
    <cellStyle name="Percent 16 3 8" xfId="19795" xr:uid="{F65B9EF3-6F79-4B52-A02C-49331A23AF4F}"/>
    <cellStyle name="Percent 16 3 9" xfId="19796" xr:uid="{6DC53BFD-53DE-43DC-AB1C-CD0B67B2EFD5}"/>
    <cellStyle name="Percent 16 4" xfId="19797" xr:uid="{1EF3FE20-3026-44B0-BA0B-F6E7D2624748}"/>
    <cellStyle name="Percent 16 4 10" xfId="19798" xr:uid="{E7908866-81AD-4C2C-83D3-F16FFE940B00}"/>
    <cellStyle name="Percent 16 4 11" xfId="19799" xr:uid="{46ECBDAC-61FD-457E-9C56-3057E70CD7E2}"/>
    <cellStyle name="Percent 16 4 12" xfId="19800" xr:uid="{9E6B73FD-A591-4FF5-8AA4-89784984C98F}"/>
    <cellStyle name="Percent 16 4 13" xfId="19801" xr:uid="{C511F1B8-D5FF-4C40-B102-6A09012C3F3B}"/>
    <cellStyle name="Percent 16 4 14" xfId="19802" xr:uid="{AB83935F-477A-4FEC-B432-BCD2C5C7C000}"/>
    <cellStyle name="Percent 16 4 15" xfId="19803" xr:uid="{4B62798C-6A83-4009-8017-03D0B01EDABE}"/>
    <cellStyle name="Percent 16 4 16" xfId="19804" xr:uid="{4707FC40-32E8-406E-8853-F10096BA7CFC}"/>
    <cellStyle name="Percent 16 4 17" xfId="19805" xr:uid="{D7BABA17-8A2B-4B6B-9E90-D37185205607}"/>
    <cellStyle name="Percent 16 4 18" xfId="37814" xr:uid="{06FED5D9-9DC2-4FA2-B78E-6AD3119FFEDD}"/>
    <cellStyle name="Percent 16 4 19" xfId="37815" xr:uid="{36F95DC4-3C0B-4004-B1BF-38192CE4623C}"/>
    <cellStyle name="Percent 16 4 2" xfId="19806" xr:uid="{DE86E8C1-7CAF-4B8A-B6BA-395C584D06DB}"/>
    <cellStyle name="Percent 16 4 3" xfId="19807" xr:uid="{C5448B9B-B521-4E24-A43D-4220CB27C4A6}"/>
    <cellStyle name="Percent 16 4 4" xfId="19808" xr:uid="{C1D78A2F-2DA3-4760-AA2D-0B0D9A5AA699}"/>
    <cellStyle name="Percent 16 4 5" xfId="19809" xr:uid="{E60967CA-15FF-4978-818D-56A1E30E2AC3}"/>
    <cellStyle name="Percent 16 4 6" xfId="19810" xr:uid="{A748DBAD-BBBE-4D14-A23D-6CA35551F07C}"/>
    <cellStyle name="Percent 16 4 7" xfId="19811" xr:uid="{370C8AC7-8DA6-4CB1-A109-80C405448C8D}"/>
    <cellStyle name="Percent 16 4 8" xfId="19812" xr:uid="{5D18B33B-8A52-4AA1-A802-61D4AB7C9B34}"/>
    <cellStyle name="Percent 16 4 9" xfId="19813" xr:uid="{5ABE575A-ED07-44E1-B00E-1BAFCD207763}"/>
    <cellStyle name="Percent 16 5" xfId="19814" xr:uid="{9AA4A988-8812-43BB-8703-266AAEDF57B8}"/>
    <cellStyle name="Percent 16 5 10" xfId="19815" xr:uid="{1FF18591-685A-46A7-AF7C-661AE48D9271}"/>
    <cellStyle name="Percent 16 5 11" xfId="19816" xr:uid="{57B725BD-C000-4B02-A387-1D7610BE74E7}"/>
    <cellStyle name="Percent 16 5 12" xfId="19817" xr:uid="{1C07E3DD-08F3-4CC2-9FB0-28BCF0788FB7}"/>
    <cellStyle name="Percent 16 5 13" xfId="19818" xr:uid="{CC030164-3DE3-44FB-84EB-177DE9902A9D}"/>
    <cellStyle name="Percent 16 5 14" xfId="19819" xr:uid="{1DFF17DF-649E-4BDF-8849-AE28871DA70C}"/>
    <cellStyle name="Percent 16 5 15" xfId="19820" xr:uid="{1857A260-FDC1-4954-8657-AC0348EB46CC}"/>
    <cellStyle name="Percent 16 5 16" xfId="19821" xr:uid="{61491E11-ACC5-403E-A100-590158C43D34}"/>
    <cellStyle name="Percent 16 5 17" xfId="19822" xr:uid="{FB68362E-CE7D-43A5-B5D5-A0DD5C087B20}"/>
    <cellStyle name="Percent 16 5 18" xfId="37816" xr:uid="{73CA72B9-7D0C-4B09-857B-6A85C8F2C8FF}"/>
    <cellStyle name="Percent 16 5 19" xfId="37817" xr:uid="{54F313C5-B203-4EB9-AB42-0B9E722C8672}"/>
    <cellStyle name="Percent 16 5 2" xfId="19823" xr:uid="{519833AC-176A-48E8-A7BF-186BE41951D2}"/>
    <cellStyle name="Percent 16 5 3" xfId="19824" xr:uid="{F41AE51E-AC9F-44A0-8DE1-E76E067773D3}"/>
    <cellStyle name="Percent 16 5 4" xfId="19825" xr:uid="{CF3722B4-B026-4228-8944-CC0D6876B565}"/>
    <cellStyle name="Percent 16 5 5" xfId="19826" xr:uid="{4E81C61A-FF70-415E-B1DC-671E20CBF7EC}"/>
    <cellStyle name="Percent 16 5 6" xfId="19827" xr:uid="{7C5EEDB2-D5ED-4929-9E66-969054502D66}"/>
    <cellStyle name="Percent 16 5 7" xfId="19828" xr:uid="{101796EC-5487-4E02-BC83-10B0BC6930EC}"/>
    <cellStyle name="Percent 16 5 8" xfId="19829" xr:uid="{0E02B436-2504-4076-A7B8-BDB484B91D49}"/>
    <cellStyle name="Percent 16 5 9" xfId="19830" xr:uid="{D29A308B-5A1E-4154-81EF-026177F37A32}"/>
    <cellStyle name="Percent 16 6" xfId="19831" xr:uid="{AD25F72E-E3A4-4E7D-9AD8-C83C8EAD19FC}"/>
    <cellStyle name="Percent 16 6 10" xfId="19832" xr:uid="{ED8E0C39-2E3B-4123-A18E-D2D458A5EBBF}"/>
    <cellStyle name="Percent 16 6 11" xfId="19833" xr:uid="{1055B454-DDF5-46B5-8A67-62A58139B42E}"/>
    <cellStyle name="Percent 16 6 12" xfId="19834" xr:uid="{EB1E16A8-0553-4F7B-B307-5D4AECEDD05C}"/>
    <cellStyle name="Percent 16 6 13" xfId="19835" xr:uid="{BA550183-60E0-4861-AB28-FF0D633601CA}"/>
    <cellStyle name="Percent 16 6 14" xfId="19836" xr:uid="{0A7DE7C0-662B-42C1-971B-F0A7CA462532}"/>
    <cellStyle name="Percent 16 6 15" xfId="19837" xr:uid="{11F5B4BE-689A-4DC7-97A4-2286BA5EB998}"/>
    <cellStyle name="Percent 16 6 16" xfId="19838" xr:uid="{63367FB7-D889-4BA1-B804-DC06BB912742}"/>
    <cellStyle name="Percent 16 6 17" xfId="19839" xr:uid="{416CC769-5A50-4273-8699-CE865BB9D3B4}"/>
    <cellStyle name="Percent 16 6 18" xfId="37818" xr:uid="{3D7CC8B1-3D0D-4D13-BB82-520F8648C3C6}"/>
    <cellStyle name="Percent 16 6 19" xfId="37819" xr:uid="{8F86E0EB-11D6-4164-A8E9-62BC657BCD44}"/>
    <cellStyle name="Percent 16 6 2" xfId="19840" xr:uid="{DB0B40B2-C9F7-44D6-84D8-5DD88482C78D}"/>
    <cellStyle name="Percent 16 6 3" xfId="19841" xr:uid="{7BC191B4-8AB6-4E64-8990-4FFB47301565}"/>
    <cellStyle name="Percent 16 6 4" xfId="19842" xr:uid="{C59B8692-9297-458B-9712-59DBB2D19F71}"/>
    <cellStyle name="Percent 16 6 5" xfId="19843" xr:uid="{B33451C1-A3AD-40B7-935C-B6F75BEE34A0}"/>
    <cellStyle name="Percent 16 6 6" xfId="19844" xr:uid="{01125C72-D36A-4DD5-B43C-8C333506A375}"/>
    <cellStyle name="Percent 16 6 7" xfId="19845" xr:uid="{58338959-9AC2-4E83-B895-954F5A32F499}"/>
    <cellStyle name="Percent 16 6 8" xfId="19846" xr:uid="{ECAB1AE5-B4D1-4934-87B9-4B50C53AD8A0}"/>
    <cellStyle name="Percent 16 6 9" xfId="19847" xr:uid="{AFDE1D94-9313-4D3B-8D26-77EC31C3237F}"/>
    <cellStyle name="Percent 16 7" xfId="19848" xr:uid="{F492CF36-67E6-40EF-B429-9B3B9C18BC66}"/>
    <cellStyle name="Percent 16 7 10" xfId="19849" xr:uid="{7A8B3D33-2BDA-4E86-A248-43EB4D24B3E8}"/>
    <cellStyle name="Percent 16 7 11" xfId="19850" xr:uid="{F505DCD6-F28E-42A0-9C97-4AD4BEF10C04}"/>
    <cellStyle name="Percent 16 7 12" xfId="19851" xr:uid="{26DC2730-8424-4F9D-8CC2-E251C43B2EAF}"/>
    <cellStyle name="Percent 16 7 13" xfId="19852" xr:uid="{E3AE2F81-F605-4F7E-AE20-856084A36227}"/>
    <cellStyle name="Percent 16 7 14" xfId="19853" xr:uid="{31282AF2-E1C8-4AD6-8967-D59FCFDA82DF}"/>
    <cellStyle name="Percent 16 7 15" xfId="19854" xr:uid="{D9B80B83-CFB5-4008-A839-E10BBAC87991}"/>
    <cellStyle name="Percent 16 7 16" xfId="19855" xr:uid="{B959A143-AAED-4E25-B5B2-64CFE1CDC829}"/>
    <cellStyle name="Percent 16 7 17" xfId="19856" xr:uid="{FDCEEA45-10AE-4360-BFBE-E6419993B656}"/>
    <cellStyle name="Percent 16 7 18" xfId="37820" xr:uid="{2F95BEEA-CAFB-4C79-9E75-BC936CAB0D07}"/>
    <cellStyle name="Percent 16 7 19" xfId="37821" xr:uid="{F22142EE-4216-49C7-B661-CDE70DB07B2E}"/>
    <cellStyle name="Percent 16 7 2" xfId="19857" xr:uid="{B106D698-AB82-45F9-864E-17494E2DC49B}"/>
    <cellStyle name="Percent 16 7 2 2" xfId="37822" xr:uid="{4BDAE914-53D4-47AD-BAE0-BCCCD6A12319}"/>
    <cellStyle name="Percent 16 7 2 3" xfId="37823" xr:uid="{BC3FC145-9243-4C71-9563-9299818932C5}"/>
    <cellStyle name="Percent 16 7 3" xfId="19858" xr:uid="{F63F910A-2746-4B47-9ECE-73F6F990B6EF}"/>
    <cellStyle name="Percent 16 7 3 2" xfId="37824" xr:uid="{8D2127D5-E110-443B-96F4-E564E6B05625}"/>
    <cellStyle name="Percent 16 7 3 3" xfId="37825" xr:uid="{8AD5C332-9B05-407F-BC40-B8D5D1211C04}"/>
    <cellStyle name="Percent 16 7 4" xfId="19859" xr:uid="{4E51ED6E-E6F8-4100-A5B4-24871AD6CA5F}"/>
    <cellStyle name="Percent 16 7 5" xfId="19860" xr:uid="{3D949597-2C4E-4905-83CF-43A5F0B2F8FD}"/>
    <cellStyle name="Percent 16 7 6" xfId="19861" xr:uid="{1A85CCE1-D7D6-4517-9E5A-DE7C7B24E87A}"/>
    <cellStyle name="Percent 16 7 7" xfId="19862" xr:uid="{FD17A4B6-2641-4AF3-8E43-107A7CE3D57F}"/>
    <cellStyle name="Percent 16 7 8" xfId="19863" xr:uid="{F84C58DF-7B76-4F5A-85F6-B64F1B2157EB}"/>
    <cellStyle name="Percent 16 7 9" xfId="19864" xr:uid="{0C410E96-9AE5-4E00-B8D8-4E637AA90184}"/>
    <cellStyle name="Percent 16 8" xfId="19865" xr:uid="{FF7F752E-9C11-40C6-BB5A-65296D48BFA9}"/>
    <cellStyle name="Percent 16 8 10" xfId="19866" xr:uid="{1CBA6EC4-2B87-4069-9269-476820DD2467}"/>
    <cellStyle name="Percent 16 8 11" xfId="19867" xr:uid="{6B520A49-EAB0-4205-88CB-08DE71F2E6F3}"/>
    <cellStyle name="Percent 16 8 12" xfId="19868" xr:uid="{410C298E-9B21-4D9F-8679-170069F71A3E}"/>
    <cellStyle name="Percent 16 8 13" xfId="19869" xr:uid="{6A0725C8-DBE4-407B-BD12-D0ABD65B7655}"/>
    <cellStyle name="Percent 16 8 14" xfId="19870" xr:uid="{B071635F-1685-427E-A501-FC4C4F5B664E}"/>
    <cellStyle name="Percent 16 8 15" xfId="19871" xr:uid="{2ADBC933-CA32-4ADC-BE41-98002F2A6FC3}"/>
    <cellStyle name="Percent 16 8 16" xfId="19872" xr:uid="{DA0B6706-4319-424D-83F3-5D48527E5136}"/>
    <cellStyle name="Percent 16 8 17" xfId="19873" xr:uid="{E8DBC3BF-9EAF-4D63-9CC7-87F9BE5AD454}"/>
    <cellStyle name="Percent 16 8 2" xfId="19874" xr:uid="{FCEF0475-5B7B-4366-9316-9D410C7C1DD2}"/>
    <cellStyle name="Percent 16 8 3" xfId="19875" xr:uid="{169BE416-6845-4119-B9B9-6AE46A810472}"/>
    <cellStyle name="Percent 16 8 4" xfId="19876" xr:uid="{42CBC66B-A291-4C41-9CE5-062963144C85}"/>
    <cellStyle name="Percent 16 8 5" xfId="19877" xr:uid="{AE1F2268-599A-4978-B003-EA0DFA011E77}"/>
    <cellStyle name="Percent 16 8 6" xfId="19878" xr:uid="{3EA9EC08-0558-4D4B-8E32-59A24BBFB4DA}"/>
    <cellStyle name="Percent 16 8 7" xfId="19879" xr:uid="{D3A893C5-8EE3-4B5F-93AA-7E5E59D341DA}"/>
    <cellStyle name="Percent 16 8 8" xfId="19880" xr:uid="{D6E865DC-7C6D-4B2E-B21E-41ED65A0F46B}"/>
    <cellStyle name="Percent 16 8 9" xfId="19881" xr:uid="{9628ED5D-D8B7-4C53-9549-6CB5A3C3837C}"/>
    <cellStyle name="Percent 16 9" xfId="19882" xr:uid="{CEA622AD-7A1C-4B5E-A0AA-54164C2F41E9}"/>
    <cellStyle name="Percent 16 9 10" xfId="19883" xr:uid="{1895C741-ADC8-4E65-A8BB-5090E9061DC0}"/>
    <cellStyle name="Percent 16 9 11" xfId="19884" xr:uid="{5C9F2C03-6014-454A-A4AB-B20418291BED}"/>
    <cellStyle name="Percent 16 9 12" xfId="19885" xr:uid="{44DFB749-57EE-4EE7-83A3-B4859CCA67C5}"/>
    <cellStyle name="Percent 16 9 13" xfId="19886" xr:uid="{8F072A2A-6894-415C-8D93-425DFC773E8B}"/>
    <cellStyle name="Percent 16 9 14" xfId="19887" xr:uid="{C34C7A99-A866-4600-86EB-D73541B388A3}"/>
    <cellStyle name="Percent 16 9 15" xfId="19888" xr:uid="{6AD3C596-2673-43CA-95C1-D489259A8FCF}"/>
    <cellStyle name="Percent 16 9 16" xfId="19889" xr:uid="{4CAC4FBE-A8F4-4501-A057-767DE995D01A}"/>
    <cellStyle name="Percent 16 9 17" xfId="19890" xr:uid="{D1B33E64-FCDE-44F3-81B0-CD1C6F25C2CB}"/>
    <cellStyle name="Percent 16 9 2" xfId="19891" xr:uid="{BB66B349-2BB3-4F34-AE0E-2A61E0C3CA4D}"/>
    <cellStyle name="Percent 16 9 3" xfId="19892" xr:uid="{D0EBD73B-6887-4F21-9AEE-7661CB06131B}"/>
    <cellStyle name="Percent 16 9 4" xfId="19893" xr:uid="{55F56ECA-D8B3-4470-93E0-7DD15925878E}"/>
    <cellStyle name="Percent 16 9 5" xfId="19894" xr:uid="{2E4E4A02-1D15-440C-B031-D77EB858782E}"/>
    <cellStyle name="Percent 16 9 6" xfId="19895" xr:uid="{0E70CC54-55BA-46C0-A03F-E7EC84E0C2A5}"/>
    <cellStyle name="Percent 16 9 7" xfId="19896" xr:uid="{07847915-6E41-42F3-815C-FFAA40FD397D}"/>
    <cellStyle name="Percent 16 9 8" xfId="19897" xr:uid="{BF6DEB85-FD80-463A-B6BD-8ABB72577979}"/>
    <cellStyle name="Percent 16 9 9" xfId="19898" xr:uid="{C93F4426-7AA1-40E6-9C11-C2D8D40DC89F}"/>
    <cellStyle name="Percent 17" xfId="19899" xr:uid="{51264ECA-614F-4753-881A-82D187808D6A}"/>
    <cellStyle name="Percent 17 10" xfId="37826" xr:uid="{0988F735-1B5D-440A-AFFC-51B6F54B3BDD}"/>
    <cellStyle name="Percent 17 2" xfId="37827" xr:uid="{EB848F53-B926-4FD6-9520-2F5637F02FEA}"/>
    <cellStyle name="Percent 17 2 2" xfId="37828" xr:uid="{8E43245A-7F3F-4DCD-BF94-BF7CDBEC5C89}"/>
    <cellStyle name="Percent 17 3" xfId="37829" xr:uid="{77599302-42DD-4FA3-BB63-778A84C08F87}"/>
    <cellStyle name="Percent 17 4" xfId="37830" xr:uid="{6D8C3C9C-9369-40E2-B2CD-2118EB4987F8}"/>
    <cellStyle name="Percent 17 5" xfId="37831" xr:uid="{D23011E0-1DC2-4962-BEDC-144FAA4DD516}"/>
    <cellStyle name="Percent 17 6" xfId="37832" xr:uid="{5C476C67-0F20-40E7-8B63-50810ED4087A}"/>
    <cellStyle name="Percent 17 7" xfId="37833" xr:uid="{B60B1883-FDD7-4066-9303-E8B213D4A50E}"/>
    <cellStyle name="Percent 17 7 2" xfId="37834" xr:uid="{5DB36BC2-4CD8-4216-AC75-34DC659E3565}"/>
    <cellStyle name="Percent 17 7 3" xfId="37835" xr:uid="{852D0B50-87E0-4F24-BA93-31747F0A6E6B}"/>
    <cellStyle name="Percent 17 8" xfId="37836" xr:uid="{AC31EC23-D389-4B22-93EC-450BB8CF779D}"/>
    <cellStyle name="Percent 17 8 2" xfId="37837" xr:uid="{97EABCDE-7403-446C-9843-FED514D29F60}"/>
    <cellStyle name="Percent 17 9" xfId="37838" xr:uid="{E43CEBC8-14BF-41E8-9466-27C7F8667FF0}"/>
    <cellStyle name="Percent 18" xfId="19900" xr:uid="{EBD92EBE-C872-4F3E-833E-3275DBC1BA16}"/>
    <cellStyle name="Percent 18 2" xfId="37839" xr:uid="{22345A55-A48B-4C6B-912E-42BE6195D547}"/>
    <cellStyle name="Percent 18 3" xfId="37840" xr:uid="{FD3A7AFB-C3E5-4AF2-A82D-A9891C7E6E0B}"/>
    <cellStyle name="Percent 18 4" xfId="43051" xr:uid="{E5693148-5F5F-4796-9283-8D860B70196F}"/>
    <cellStyle name="Percent 19" xfId="19901" xr:uid="{D0F1E9CD-46BB-4325-98E7-48174A88DF22}"/>
    <cellStyle name="Percent 19 2" xfId="37841" xr:uid="{A346D0C8-2722-435E-A63A-DDE242471ECE}"/>
    <cellStyle name="Percent 19 3" xfId="43052" xr:uid="{EA0D671F-2FF3-471F-B347-610A609FA486}"/>
    <cellStyle name="Percent 2" xfId="14" xr:uid="{00000000-0005-0000-0000-000017000000}"/>
    <cellStyle name="Percent 2 10" xfId="19902" xr:uid="{9A750915-C7C4-4215-95A3-1301147A4D92}"/>
    <cellStyle name="Percent 2 10 2" xfId="19903" xr:uid="{227AA101-D6DD-4A2A-899C-0B4390D361A6}"/>
    <cellStyle name="Percent 2 10 3" xfId="19904" xr:uid="{E60536CB-F2A8-4920-AA3C-EA8EDA74373B}"/>
    <cellStyle name="Percent 2 10 4" xfId="19905" xr:uid="{84B4DD62-5468-4202-BAAC-B92941033C94}"/>
    <cellStyle name="Percent 2 10 5" xfId="19906" xr:uid="{4DC8F5E7-8FC4-4489-8006-FFC53498AEA6}"/>
    <cellStyle name="Percent 2 10 6" xfId="19907" xr:uid="{758D996F-EE2E-4BFC-B928-9AF6CD355FFE}"/>
    <cellStyle name="Percent 2 10 7" xfId="19908" xr:uid="{BCE415E3-2DA3-4C79-B7D7-674F1D94C5BE}"/>
    <cellStyle name="Percent 2 10 8" xfId="19909" xr:uid="{77F23E9A-DEF5-4EC4-890C-B9CB3157487A}"/>
    <cellStyle name="Percent 2 10 9" xfId="45841" xr:uid="{7A9801AF-C081-4879-9AED-3633E30D5495}"/>
    <cellStyle name="Percent 2 11" xfId="19910" xr:uid="{1E9CA160-600B-45F4-8F3F-7A2AD1199CC8}"/>
    <cellStyle name="Percent 2 11 2" xfId="19911" xr:uid="{D16C7900-9842-4018-9E04-7A12D69BE4D6}"/>
    <cellStyle name="Percent 2 11 3" xfId="19912" xr:uid="{8CA5253E-ADFE-4F41-BF0C-375131F0559D}"/>
    <cellStyle name="Percent 2 11 4" xfId="19913" xr:uid="{ACBAF1EC-4DF5-4B6E-B02A-AC12EDD28A3E}"/>
    <cellStyle name="Percent 2 11 5" xfId="19914" xr:uid="{38FFB904-3419-48CC-984D-DFF5AE4F5F59}"/>
    <cellStyle name="Percent 2 11 6" xfId="19915" xr:uid="{3560F5F2-943A-4B7E-AFDC-2368C6E682F3}"/>
    <cellStyle name="Percent 2 11 7" xfId="19916" xr:uid="{A5D0FAC5-F67B-4CE3-90D1-CE9CCA87FB78}"/>
    <cellStyle name="Percent 2 11 8" xfId="19917" xr:uid="{0A3DEE4D-0657-46B5-A661-DDC9A50A4C57}"/>
    <cellStyle name="Percent 2 12" xfId="19918" xr:uid="{BA194204-1288-4CBA-A45A-74FE2E4302E7}"/>
    <cellStyle name="Percent 2 13" xfId="19919" xr:uid="{108499AA-55EB-4113-B7B4-C2B1EF850E8F}"/>
    <cellStyle name="Percent 2 14" xfId="19920" xr:uid="{94341674-AE07-4E38-8327-8350317A86D6}"/>
    <cellStyle name="Percent 2 15" xfId="19921" xr:uid="{3DDAA65F-F497-49FE-ACDB-841DABF9B818}"/>
    <cellStyle name="Percent 2 16" xfId="19922" xr:uid="{B4991B07-C3AE-4CA1-B575-1C132DDCF3BE}"/>
    <cellStyle name="Percent 2 17" xfId="19923" xr:uid="{5C1AB794-3E0A-40D9-8F35-4A2DE72546A1}"/>
    <cellStyle name="Percent 2 18" xfId="19924" xr:uid="{FE94F6EE-C7C9-457A-8793-9E1B7F85C929}"/>
    <cellStyle name="Percent 2 19" xfId="19925" xr:uid="{8018FF83-FBC9-4E6A-9515-345C98B2EF0A}"/>
    <cellStyle name="Percent 2 19 2" xfId="37842" xr:uid="{47A27E1D-3B37-474C-B95B-26D5200212FB}"/>
    <cellStyle name="Percent 2 19 2 2" xfId="37843" xr:uid="{D32E1E8C-689C-45C8-A3B4-2D077C2E0499}"/>
    <cellStyle name="Percent 2 19 3" xfId="37844" xr:uid="{55A18DDA-DAFB-4ED2-8226-2CFBFB26B164}"/>
    <cellStyle name="Percent 2 2" xfId="19926" xr:uid="{1D70E5C6-1410-4AE6-AAA0-FFA180D8A0B4}"/>
    <cellStyle name="Percent 2 2 10" xfId="19927" xr:uid="{57EE0A16-9C2D-4950-99C1-AE6FAF65C931}"/>
    <cellStyle name="Percent 2 2 11" xfId="19928" xr:uid="{42B12238-E308-4EF2-A48A-ACAC16949851}"/>
    <cellStyle name="Percent 2 2 12" xfId="37845" xr:uid="{459A9163-551D-4CFA-80E3-4A1A21616BBB}"/>
    <cellStyle name="Percent 2 2 13" xfId="44392" xr:uid="{BD396E29-A307-4C41-BE8C-D177D2EB0A46}"/>
    <cellStyle name="Percent 2 2 2" xfId="19929" xr:uid="{A0941658-3BA9-4E94-A8F6-B8413C6C7C66}"/>
    <cellStyle name="Percent 2 2 2 2" xfId="19930" xr:uid="{B9DDAC93-D4E7-4844-B167-638B15F24E7D}"/>
    <cellStyle name="Percent 2 2 2 2 2" xfId="37846" xr:uid="{B4B33145-17CA-4812-AC4A-FBF693512148}"/>
    <cellStyle name="Percent 2 2 2 2 2 2" xfId="37847" xr:uid="{C9ADEC87-0FAA-450E-9976-9FC856D45F83}"/>
    <cellStyle name="Percent 2 2 2 2 2 3" xfId="37848" xr:uid="{A53CB620-1D06-46F5-8B47-7C97C362E511}"/>
    <cellStyle name="Percent 2 2 2 2 3" xfId="37849" xr:uid="{8381792E-1325-46ED-84C2-F3E80C4A3887}"/>
    <cellStyle name="Percent 2 2 2 3" xfId="19931" xr:uid="{669CE587-369F-442B-A38B-FCCF98437CA5}"/>
    <cellStyle name="Percent 2 2 2 4" xfId="19932" xr:uid="{951D1F61-0618-4C20-A432-D0147194D95E}"/>
    <cellStyle name="Percent 2 2 2 5" xfId="37850" xr:uid="{106F60F1-8F87-49EE-B4D4-5A04C9DC68BC}"/>
    <cellStyle name="Percent 2 2 3" xfId="19933" xr:uid="{C459247A-84B4-470E-BEF6-D2589D75B0C5}"/>
    <cellStyle name="Percent 2 2 3 2" xfId="19934" xr:uid="{A6814AE3-7639-4669-922C-B83D9F68253F}"/>
    <cellStyle name="Percent 2 2 3 2 2" xfId="19935" xr:uid="{89535554-FD53-49E6-B04B-82D1BD46C97C}"/>
    <cellStyle name="Percent 2 2 3 2 2 2" xfId="37851" xr:uid="{4E7C6243-BDC3-4723-8CB1-BC056616F95E}"/>
    <cellStyle name="Percent 2 2 3 2 2 3" xfId="37852" xr:uid="{A969F85A-DE4C-46DA-BBDA-F85CCCAE0DAC}"/>
    <cellStyle name="Percent 2 2 3 2 3" xfId="19936" xr:uid="{6E389EA8-5000-47BE-9F7C-35E03F33B09C}"/>
    <cellStyle name="Percent 2 2 3 2 4" xfId="19937" xr:uid="{571786AA-AD60-4397-A5FE-788811F34994}"/>
    <cellStyle name="Percent 2 2 3 2 5" xfId="37853" xr:uid="{6DFFB016-9E5B-46A4-A3F9-711B8EE595F5}"/>
    <cellStyle name="Percent 2 2 3 3" xfId="19938" xr:uid="{3554CD82-92A1-48BF-86AE-A299CE7C6B1B}"/>
    <cellStyle name="Percent 2 2 3 3 2" xfId="19939" xr:uid="{7964AB01-0381-4C3F-8D8A-5AE05F162664}"/>
    <cellStyle name="Percent 2 2 3 3 2 2" xfId="37854" xr:uid="{A9FB5DF1-53AB-4AC6-9FD9-DF166C5B494C}"/>
    <cellStyle name="Percent 2 2 3 3 2 3" xfId="37855" xr:uid="{D40F7F5B-EC91-4111-9A45-6469253E6AAD}"/>
    <cellStyle name="Percent 2 2 3 3 3" xfId="19940" xr:uid="{99597C8B-FBF6-43A2-86AF-7CBFBD8A4015}"/>
    <cellStyle name="Percent 2 2 3 3 4" xfId="19941" xr:uid="{06D95AB9-B182-47D7-A98D-53018280FF79}"/>
    <cellStyle name="Percent 2 2 3 3 5" xfId="37856" xr:uid="{CD3D98A0-5967-441B-AD0D-9C8337C0CCB2}"/>
    <cellStyle name="Percent 2 2 3 4" xfId="19942" xr:uid="{BE96E5C8-5975-47B0-9E3D-F78DB8F3D4D1}"/>
    <cellStyle name="Percent 2 2 3 4 2" xfId="37857" xr:uid="{F77998A7-CEB7-4677-AD45-A5E5EA15588C}"/>
    <cellStyle name="Percent 2 2 3 4 3" xfId="37858" xr:uid="{FBEF68B9-C3CE-4EBE-AB2E-054D8079D10F}"/>
    <cellStyle name="Percent 2 2 3 4 4" xfId="43053" xr:uid="{C7A66E77-6C36-4BE7-AAEB-872C32ADAF6D}"/>
    <cellStyle name="Percent 2 2 3 5" xfId="19943" xr:uid="{2F159885-9C4F-4596-8FE4-1A7AC5C0B334}"/>
    <cellStyle name="Percent 2 2 3 6" xfId="19944" xr:uid="{673A83E5-7436-4411-ABDE-9D11A39E3BD9}"/>
    <cellStyle name="Percent 2 2 3 7" xfId="37859" xr:uid="{697137F7-0877-4847-8FDF-2ED2A077E0CA}"/>
    <cellStyle name="Percent 2 2 4" xfId="19945" xr:uid="{69261986-2068-4C6E-A9E4-768F66767DCA}"/>
    <cellStyle name="Percent 2 2 4 2" xfId="19946" xr:uid="{F9D2EC16-CBE9-4D51-B72C-579D4C260218}"/>
    <cellStyle name="Percent 2 2 4 2 2" xfId="37860" xr:uid="{1B88D068-E855-4754-9160-54B07F828203}"/>
    <cellStyle name="Percent 2 2 4 2 3" xfId="37861" xr:uid="{80738D92-D629-4155-AC53-2F7DC4282BD4}"/>
    <cellStyle name="Percent 2 2 4 2 4" xfId="43054" xr:uid="{883FDF5E-573A-4724-8947-70E20D2332DA}"/>
    <cellStyle name="Percent 2 2 4 3" xfId="19947" xr:uid="{820CC527-CF8B-4B7F-BB88-73D138D9499B}"/>
    <cellStyle name="Percent 2 2 4 4" xfId="19948" xr:uid="{B6A2334D-AD21-4C6E-A6D7-36E32D68A1CA}"/>
    <cellStyle name="Percent 2 2 4 5" xfId="19949" xr:uid="{E3BD7B34-4D47-40A6-91B1-3352E855C72D}"/>
    <cellStyle name="Percent 2 2 4 6" xfId="37862" xr:uid="{DD95EEBC-F16B-4E1D-BC96-89D21A20EEA4}"/>
    <cellStyle name="Percent 2 2 5" xfId="19950" xr:uid="{894845F6-260B-4544-B7D4-2AF5548D0D63}"/>
    <cellStyle name="Percent 2 2 5 2" xfId="19951" xr:uid="{FCC01B4E-BDB8-450D-9206-D002F57EFD24}"/>
    <cellStyle name="Percent 2 2 5 3" xfId="19952" xr:uid="{2E3EEDB2-F89B-47DB-9C61-E735C3D48E5F}"/>
    <cellStyle name="Percent 2 2 5 4" xfId="19953" xr:uid="{7B07BEE8-7E98-4996-9294-7DC5A037DE0E}"/>
    <cellStyle name="Percent 2 2 6" xfId="19954" xr:uid="{00AA9AB2-DCCC-4A29-BEB1-AB80324130EE}"/>
    <cellStyle name="Percent 2 2 6 2" xfId="19955" xr:uid="{8DBCE9C1-FC55-4478-A01A-ACF0EEE81025}"/>
    <cellStyle name="Percent 2 2 6 3" xfId="37863" xr:uid="{3494D15D-2DBF-4D71-9715-5DBBF6BABCC5}"/>
    <cellStyle name="Percent 2 2 6 4" xfId="37864" xr:uid="{962E0961-7D1D-482D-8F6E-77F0846D72BC}"/>
    <cellStyle name="Percent 2 2 6 5" xfId="43055" xr:uid="{1F9B5AC3-6219-4C73-9B69-CF14F850F5EE}"/>
    <cellStyle name="Percent 2 2 7" xfId="19956" xr:uid="{9D268694-9AE3-4C25-BD99-C8FB5666E1AA}"/>
    <cellStyle name="Percent 2 2 7 2" xfId="43057" xr:uid="{E876D34C-9BE3-4016-B260-F5EC8EC8352C}"/>
    <cellStyle name="Percent 2 2 7 3" xfId="43056" xr:uid="{5377A7E8-7D17-4011-8BF8-A185DFA0A738}"/>
    <cellStyle name="Percent 2 2 8" xfId="19957" xr:uid="{2E1D6566-8353-460F-B43A-127497F2ABA3}"/>
    <cellStyle name="Percent 2 2 9" xfId="19958" xr:uid="{58D05BAD-FC23-4397-BBAC-935ED2CEA02B}"/>
    <cellStyle name="Percent 2 2 9 2" xfId="43058" xr:uid="{E3B306D7-1601-4C9E-8F8B-F29501AC8EB3}"/>
    <cellStyle name="Percent 2 20" xfId="19959" xr:uid="{144FB776-E4B6-45BF-9331-D2437BDF4493}"/>
    <cellStyle name="Percent 2 20 2" xfId="37865" xr:uid="{8D7CE01C-1601-49B4-95AD-5F0AEB9AAB18}"/>
    <cellStyle name="Percent 2 20 3" xfId="37866" xr:uid="{998757A2-E114-4D9F-AF01-51F38E94E60C}"/>
    <cellStyle name="Percent 2 21" xfId="19960" xr:uid="{EFA0ECE0-D2E1-4784-87BD-B0B48E2EFFA9}"/>
    <cellStyle name="Percent 2 21 2" xfId="37867" xr:uid="{190F16F7-CBD6-4AB4-BF15-8ACB5D53E5E1}"/>
    <cellStyle name="Percent 2 22" xfId="37868" xr:uid="{A47F7100-BD3C-498D-BF6C-08F97EEA2265}"/>
    <cellStyle name="Percent 2 22 2" xfId="37869" xr:uid="{B69369B8-95B2-4D96-AE85-B7215A54678E}"/>
    <cellStyle name="Percent 2 23" xfId="37870" xr:uid="{B4D8F3C8-6991-41B5-9883-A1E73CC745CD}"/>
    <cellStyle name="Percent 2 23 2" xfId="37871" xr:uid="{3CC2223B-BF8E-4395-8AEA-77F959394715}"/>
    <cellStyle name="Percent 2 24" xfId="37872" xr:uid="{E5FA9763-B272-4C03-9DE9-A251A782B244}"/>
    <cellStyle name="Percent 2 25" xfId="37873" xr:uid="{FF71CB46-CD81-449D-9C1C-F703AF2CFE00}"/>
    <cellStyle name="Percent 2 26" xfId="37874" xr:uid="{E9C83984-6A70-453C-A21A-052045B2D567}"/>
    <cellStyle name="Percent 2 27" xfId="37875" xr:uid="{1C00FFEA-CC5D-4CA1-8839-A52B8471FB33}"/>
    <cellStyle name="Percent 2 28" xfId="37876" xr:uid="{135E5875-1522-4323-9A8E-E08033B3EF4B}"/>
    <cellStyle name="Percent 2 29" xfId="37877" xr:uid="{0704EB55-21E8-4A47-A548-1BA5C21A8CE3}"/>
    <cellStyle name="Percent 2 3" xfId="19961" xr:uid="{6779E745-2D0E-49D2-A28D-65D9DE18E385}"/>
    <cellStyle name="Percent 2 3 10" xfId="19962" xr:uid="{CB4A466E-94F4-42E0-90DC-BC97EA213EDD}"/>
    <cellStyle name="Percent 2 3 10 2" xfId="37878" xr:uid="{735FE8F0-24CF-41AB-BC06-23B7E0076BC6}"/>
    <cellStyle name="Percent 2 3 11" xfId="37879" xr:uid="{5265B1B1-F545-4B27-9DCD-284C75AAA28F}"/>
    <cellStyle name="Percent 2 3 11 2" xfId="37880" xr:uid="{5D43B5E9-11C3-4A3E-874E-BCC72437A703}"/>
    <cellStyle name="Percent 2 3 11 3" xfId="37881" xr:uid="{5A5856C6-8DC8-42CD-AEF2-95D0A490D3EC}"/>
    <cellStyle name="Percent 2 3 11 4" xfId="37882" xr:uid="{058CF4FD-0AA6-4858-B1ED-846F019B942E}"/>
    <cellStyle name="Percent 2 3 12" xfId="37883" xr:uid="{9A8CDDA7-867E-4299-BAF9-AFCA5B794E0E}"/>
    <cellStyle name="Percent 2 3 12 2" xfId="37884" xr:uid="{A764EBA1-A1B0-4CF3-AE57-8272C88EB458}"/>
    <cellStyle name="Percent 2 3 13" xfId="37885" xr:uid="{E31F0D18-7F7B-4860-9E28-FCF9BA0654A1}"/>
    <cellStyle name="Percent 2 3 14" xfId="37886" xr:uid="{C50D5A4C-491A-476D-B741-F14840AC21FA}"/>
    <cellStyle name="Percent 2 3 15" xfId="37887" xr:uid="{B735D8E6-0642-4E0C-BE19-41502B5A70F0}"/>
    <cellStyle name="Percent 2 3 16" xfId="43059" xr:uid="{099856D7-9265-4CC3-858D-B0799C1575AF}"/>
    <cellStyle name="Percent 2 3 2" xfId="19963" xr:uid="{9D6AB5BE-473C-4B87-95AA-046947055439}"/>
    <cellStyle name="Percent 2 3 2 2" xfId="19964" xr:uid="{0F7CCB6A-93D3-4335-9628-A8AC15C62DA9}"/>
    <cellStyle name="Percent 2 3 2 2 2" xfId="19965" xr:uid="{70BB2BD6-619D-48A1-A167-7EC102606581}"/>
    <cellStyle name="Percent 2 3 2 2 2 2" xfId="19966" xr:uid="{A87F21E1-9698-4E12-B0A0-3DB15E9E8530}"/>
    <cellStyle name="Percent 2 3 2 2 2 3" xfId="19967" xr:uid="{26699614-4994-4C70-BE69-F0D71B376CCC}"/>
    <cellStyle name="Percent 2 3 2 2 2 4" xfId="37888" xr:uid="{44507E0A-0A7E-46D5-8D08-C29B3779DC07}"/>
    <cellStyle name="Percent 2 3 2 2 3" xfId="19968" xr:uid="{ADB5E6B3-FAF5-4ED3-B9D6-90FC2A0A68D4}"/>
    <cellStyle name="Percent 2 3 2 2 4" xfId="37889" xr:uid="{565AAF00-B5EA-4290-8423-B5AE1FDE0AE0}"/>
    <cellStyle name="Percent 2 3 2 2 5" xfId="37890" xr:uid="{8A8AC7E2-E3FA-425D-814E-8D0FCA99A1B2}"/>
    <cellStyle name="Percent 2 3 2 3" xfId="19969" xr:uid="{BF45E8B2-77DD-4094-ACAD-98FA6D1DBC6B}"/>
    <cellStyle name="Percent 2 3 2 3 2" xfId="19970" xr:uid="{1318B50D-D103-462A-BE52-A6F491B1FCD6}"/>
    <cellStyle name="Percent 2 3 2 3 2 2" xfId="37891" xr:uid="{EAAF7CA8-1E91-4AD6-8A41-2087671FE318}"/>
    <cellStyle name="Percent 2 3 2 3 2 3" xfId="37892" xr:uid="{174541A0-1005-41E7-81F6-4225AFCB3C66}"/>
    <cellStyle name="Percent 2 3 2 3 3" xfId="19971" xr:uid="{EC8BF01E-83FE-48CA-921D-689ED0E30F7C}"/>
    <cellStyle name="Percent 2 3 2 3 4" xfId="19972" xr:uid="{28A730FD-6BB0-4FE8-B2BD-2DFBFEF397EC}"/>
    <cellStyle name="Percent 2 3 2 3 5" xfId="37893" xr:uid="{1D15B7AB-C5A8-4FA1-8DCF-B2F8BC8CCA7C}"/>
    <cellStyle name="Percent 2 3 2 4" xfId="19973" xr:uid="{D9E3CA66-7FB8-400C-B9F3-FF53BB3FD50C}"/>
    <cellStyle name="Percent 2 3 2 4 2" xfId="19974" xr:uid="{83B7FF5B-8E44-4C6C-B4F8-CD73D976489E}"/>
    <cellStyle name="Percent 2 3 2 4 3" xfId="37894" xr:uid="{4C61A6F6-2CB7-48CB-93BC-95BF9AEBC344}"/>
    <cellStyle name="Percent 2 3 2 5" xfId="19975" xr:uid="{44FEC50F-6D0E-4315-8497-25A96FFD8977}"/>
    <cellStyle name="Percent 2 3 2 5 2" xfId="37895" xr:uid="{F2A5AE05-CEEF-4692-BD5A-40962000B04F}"/>
    <cellStyle name="Percent 2 3 2 5 3" xfId="37896" xr:uid="{41A1CA95-16B1-4AD1-975E-104715001E97}"/>
    <cellStyle name="Percent 2 3 2 6" xfId="19976" xr:uid="{E18A99AA-477E-46CA-A0DF-17271BB94538}"/>
    <cellStyle name="Percent 2 3 2 7" xfId="19977" xr:uid="{D7D5ED81-E186-4F9E-B755-F02A1B25FA41}"/>
    <cellStyle name="Percent 2 3 2 8" xfId="37897" xr:uid="{19D63E99-8120-41E9-BA79-3E6848266D89}"/>
    <cellStyle name="Percent 2 3 2 9" xfId="37898" xr:uid="{713B1D63-3149-41CB-B547-F8B7D10D107E}"/>
    <cellStyle name="Percent 2 3 3" xfId="19978" xr:uid="{0417421B-1F2A-43EB-B027-525EE0C0C709}"/>
    <cellStyle name="Percent 2 3 3 2" xfId="19979" xr:uid="{9656F137-E901-4200-9BD5-7CCB812D117A}"/>
    <cellStyle name="Percent 2 3 3 2 2" xfId="19980" xr:uid="{3B8D7059-ECBB-4735-8796-F9048CE7A8D1}"/>
    <cellStyle name="Percent 2 3 3 2 2 2" xfId="37899" xr:uid="{4AF43B8F-3A80-4202-9C64-ACAB5C90BCCA}"/>
    <cellStyle name="Percent 2 3 3 2 2 3" xfId="37900" xr:uid="{14F92927-9846-49B3-BEAD-C38E979F2304}"/>
    <cellStyle name="Percent 2 3 3 2 3" xfId="19981" xr:uid="{681B35FF-B583-49D4-9864-42DAC39A9D01}"/>
    <cellStyle name="Percent 2 3 3 2 4" xfId="19982" xr:uid="{D7A2436F-FF9C-414F-82C4-908F395F4BA7}"/>
    <cellStyle name="Percent 2 3 3 2 5" xfId="37901" xr:uid="{924AFA9F-94A7-4EF7-860D-526121AE9EA3}"/>
    <cellStyle name="Percent 2 3 3 3" xfId="19983" xr:uid="{702D6453-451E-4903-832D-4D9CD70F4CD6}"/>
    <cellStyle name="Percent 2 3 3 3 2" xfId="19984" xr:uid="{540A9765-CA6B-46FE-9334-3BF541FEE758}"/>
    <cellStyle name="Percent 2 3 3 3 2 2" xfId="19985" xr:uid="{F0522A7D-D725-4A71-BCB5-6C636FE6B4CB}"/>
    <cellStyle name="Percent 2 3 3 3 2 2 2" xfId="37902" xr:uid="{2119119C-60D7-4784-B2CB-EAE59514165B}"/>
    <cellStyle name="Percent 2 3 3 3 2 2 3" xfId="37903" xr:uid="{6655067A-8A8A-412B-8E52-66CDDBBDBA4F}"/>
    <cellStyle name="Percent 2 3 3 3 2 3" xfId="19986" xr:uid="{6D5B0053-C3AD-4D39-8521-4A357BDEEA73}"/>
    <cellStyle name="Percent 2 3 3 3 2 4" xfId="19987" xr:uid="{2762334C-FD95-4FE2-A7C0-14336B5577B1}"/>
    <cellStyle name="Percent 2 3 3 3 2 5" xfId="37904" xr:uid="{CBBBDFAB-C65E-4B5B-B761-1C16249A12CC}"/>
    <cellStyle name="Percent 2 3 3 3 3" xfId="19988" xr:uid="{ABFBF54D-4BC6-4CE1-BB2C-6BF2A161C5F8}"/>
    <cellStyle name="Percent 2 3 3 3 3 2" xfId="19989" xr:uid="{AA5BB1A0-968C-4C0C-B1A7-75AB4D3912BD}"/>
    <cellStyle name="Percent 2 3 3 3 3 2 2" xfId="37905" xr:uid="{D1C3A0EF-D6FA-4A06-83B9-A4F98AF15684}"/>
    <cellStyle name="Percent 2 3 3 3 3 2 3" xfId="37906" xr:uid="{3521A640-926F-4B6B-A1ED-434355D2220D}"/>
    <cellStyle name="Percent 2 3 3 3 3 3" xfId="19990" xr:uid="{033F01E2-B9F6-47A7-854C-294A4E772650}"/>
    <cellStyle name="Percent 2 3 3 3 3 4" xfId="19991" xr:uid="{D686B344-E59E-47DD-A497-0CB8F11ADEFF}"/>
    <cellStyle name="Percent 2 3 3 3 3 5" xfId="37907" xr:uid="{C64D7D06-9B60-4ABE-90F9-B69363BAA7A4}"/>
    <cellStyle name="Percent 2 3 3 3 4" xfId="19992" xr:uid="{175738E7-172F-4225-BB36-F27EEFBAAB19}"/>
    <cellStyle name="Percent 2 3 3 3 4 2" xfId="37908" xr:uid="{9F680684-9CD4-4DE6-9C18-C83A7DC593A2}"/>
    <cellStyle name="Percent 2 3 3 3 4 2 2" xfId="43061" xr:uid="{2D29E95B-E900-401D-BCDF-21CB088669A4}"/>
    <cellStyle name="Percent 2 3 3 3 4 3" xfId="37909" xr:uid="{FC993CB8-29C8-4439-AAFF-8C1A0C6C1AEA}"/>
    <cellStyle name="Percent 2 3 3 3 4 4" xfId="43060" xr:uid="{578DF20F-E5DC-4A57-AAC4-99818A5CE5E2}"/>
    <cellStyle name="Percent 2 3 3 3 5" xfId="19993" xr:uid="{2618AC34-1A13-432F-B142-339D61982BFD}"/>
    <cellStyle name="Percent 2 3 3 3 6" xfId="19994" xr:uid="{6156B96E-464A-47CE-921E-53E5C65F0445}"/>
    <cellStyle name="Percent 2 3 3 3 7" xfId="37910" xr:uid="{4CE1FF69-CB11-4B39-BAE9-6678DDDBED77}"/>
    <cellStyle name="Percent 2 3 3 4" xfId="19995" xr:uid="{F186DEA9-68AE-4B24-9D91-FFA84B2051B4}"/>
    <cellStyle name="Percent 2 3 3 4 2" xfId="19996" xr:uid="{7038A3DD-9112-47E2-AA5B-6B043DF98149}"/>
    <cellStyle name="Percent 2 3 3 4 3" xfId="37911" xr:uid="{28FEF0EE-4153-4BE6-8F5D-6E60E7581F2D}"/>
    <cellStyle name="Percent 2 3 3 5" xfId="19997" xr:uid="{D9776BE9-B475-40D9-8395-7F790FDF772F}"/>
    <cellStyle name="Percent 2 3 3 5 2" xfId="37912" xr:uid="{88D99CCD-403D-41DB-AFF3-6A883CBF61B2}"/>
    <cellStyle name="Percent 2 3 3 5 3" xfId="37913" xr:uid="{2A1BABFB-11B2-4325-AB55-9C175BA50502}"/>
    <cellStyle name="Percent 2 3 3 6" xfId="19998" xr:uid="{92129B0C-AF55-4BF9-8E11-79A0EB2A9145}"/>
    <cellStyle name="Percent 2 3 3 7" xfId="19999" xr:uid="{CB795153-AA52-4077-86FE-DDCFE6B4475F}"/>
    <cellStyle name="Percent 2 3 3 8" xfId="37914" xr:uid="{71533342-833C-4669-AE55-03F79AA608E8}"/>
    <cellStyle name="Percent 2 3 3 9" xfId="37915" xr:uid="{0CB658AE-4446-42BB-9DDD-57FA65905C65}"/>
    <cellStyle name="Percent 2 3 4" xfId="20000" xr:uid="{E65AC304-828C-4A98-94EB-532DCDC59924}"/>
    <cellStyle name="Percent 2 3 4 2" xfId="20001" xr:uid="{DA8F8AFE-A712-41DC-B74E-97A8198EB076}"/>
    <cellStyle name="Percent 2 3 4 2 2" xfId="20002" xr:uid="{E90442EA-EE2F-47DD-82F8-9807FD24BAEF}"/>
    <cellStyle name="Percent 2 3 4 2 3" xfId="20003" xr:uid="{76EA2ACC-6130-40CC-ACBF-852EDD09AED4}"/>
    <cellStyle name="Percent 2 3 4 2 4" xfId="37916" xr:uid="{9FCC21B6-FDC2-470B-942C-AD59D4C282F7}"/>
    <cellStyle name="Percent 2 3 4 3" xfId="20004" xr:uid="{4ACB8F00-E47B-4B77-851E-7C0C364D8DF0}"/>
    <cellStyle name="Percent 2 3 4 4" xfId="20005" xr:uid="{4623DCC9-62A0-4FBC-A5C1-F50DA7C3F2FA}"/>
    <cellStyle name="Percent 2 3 4 5" xfId="37917" xr:uid="{6A33C70F-E124-459E-B243-EEE35C2C3465}"/>
    <cellStyle name="Percent 2 3 4 6" xfId="37918" xr:uid="{121C0352-7A16-46CC-BD5A-91193240A6B8}"/>
    <cellStyle name="Percent 2 3 5" xfId="20006" xr:uid="{ECCBB557-1D9A-4C53-8A94-7351D78843BB}"/>
    <cellStyle name="Percent 2 3 5 2" xfId="20007" xr:uid="{D80E663B-A1D8-4CEA-BD01-96720E0BA2F0}"/>
    <cellStyle name="Percent 2 3 5 2 2" xfId="37919" xr:uid="{8D3EA312-6C9C-4158-B1F4-B2E78845300E}"/>
    <cellStyle name="Percent 2 3 5 2 3" xfId="37920" xr:uid="{6011F82A-FDD9-47D8-B5AF-C049E6ADF26D}"/>
    <cellStyle name="Percent 2 3 5 2 4" xfId="43062" xr:uid="{42EF5570-BFAD-4DFF-9A56-298C51A7508E}"/>
    <cellStyle name="Percent 2 3 5 3" xfId="20008" xr:uid="{9BE56A2D-5A1B-4AEE-971A-CA5E7FFF3223}"/>
    <cellStyle name="Percent 2 3 5 4" xfId="20009" xr:uid="{12DED229-4C9E-4A4F-B1E1-A59BD93986CA}"/>
    <cellStyle name="Percent 2 3 5 5" xfId="20010" xr:uid="{301ACBAF-C9F6-4CF0-B040-42459337B4B8}"/>
    <cellStyle name="Percent 2 3 5 6" xfId="37921" xr:uid="{D377589A-C224-47D3-9B2D-C5E20206A0BF}"/>
    <cellStyle name="Percent 2 3 6" xfId="20011" xr:uid="{E7D20409-AE29-4349-B1ED-7396EB551259}"/>
    <cellStyle name="Percent 2 3 6 2" xfId="20012" xr:uid="{34DE3F33-723F-46E2-83A0-6E0AEB258B4B}"/>
    <cellStyle name="Percent 2 3 6 3" xfId="20013" xr:uid="{DDE5D3CA-11AA-40A3-A82D-8C72EA695198}"/>
    <cellStyle name="Percent 2 3 6 4" xfId="20014" xr:uid="{D46EE466-04DA-45BC-80DC-89DDF002C853}"/>
    <cellStyle name="Percent 2 3 6 4 2" xfId="20015" xr:uid="{FF66C1AB-5A73-46CE-A7A1-405B54D5D10E}"/>
    <cellStyle name="Percent 2 3 6 5" xfId="37922" xr:uid="{A0B0CE15-9C02-4283-A683-96D6CB66EA44}"/>
    <cellStyle name="Percent 2 3 7" xfId="20016" xr:uid="{A11F3404-4DFE-4C7A-946A-2FDB87870BE6}"/>
    <cellStyle name="Percent 2 3 7 2" xfId="20017" xr:uid="{AB60E2EC-45CC-45BC-A6F2-C79FE529A1C5}"/>
    <cellStyle name="Percent 2 3 7 3" xfId="37923" xr:uid="{AD6F08A7-F5DC-4746-9E0D-93B0BC5D41E0}"/>
    <cellStyle name="Percent 2 3 7 4" xfId="37924" xr:uid="{2DC3217A-B669-4B25-9DF0-2807DA9887AA}"/>
    <cellStyle name="Percent 2 3 8" xfId="20018" xr:uid="{40CA9BDC-C7A7-4F28-AD4C-12289457CBB3}"/>
    <cellStyle name="Percent 2 3 9" xfId="20019" xr:uid="{28BE1CBB-0C09-43E2-A66E-F93FB86BE673}"/>
    <cellStyle name="Percent 2 30" xfId="37925" xr:uid="{7846F459-5B34-410E-AFE7-67FE69B43A4B}"/>
    <cellStyle name="Percent 2 31" xfId="37926" xr:uid="{1B4750F3-6897-46B7-8F68-D1B753126D71}"/>
    <cellStyle name="Percent 2 32" xfId="37927" xr:uid="{3A61AE01-75A5-4651-AEA5-98D7C4CE4836}"/>
    <cellStyle name="Percent 2 33" xfId="37928" xr:uid="{B3103CCA-EF6E-4244-ABF6-8228F746514B}"/>
    <cellStyle name="Percent 2 34" xfId="37929" xr:uid="{CFF1C0F1-3ABE-4C3A-90A8-63EC0AF02052}"/>
    <cellStyle name="Percent 2 35" xfId="37930" xr:uid="{BB4E27A7-0ED4-4C62-AEA0-98D8A494399A}"/>
    <cellStyle name="Percent 2 36" xfId="37931" xr:uid="{2A9986B7-8D50-4266-B0AF-7D15E0BA28AA}"/>
    <cellStyle name="Percent 2 37" xfId="37932" xr:uid="{F6E7D08E-2107-4217-A706-59858233E10C}"/>
    <cellStyle name="Percent 2 38" xfId="37933" xr:uid="{86BE03A9-8FF4-4FFC-A1A3-E56CC92DDAF0}"/>
    <cellStyle name="Percent 2 39" xfId="37934" xr:uid="{6E5B6804-B662-450D-970A-45A2BBF2AF4F}"/>
    <cellStyle name="Percent 2 4" xfId="20020" xr:uid="{C5AC34B8-6D3D-4A1F-B977-6EA5F47ABEE1}"/>
    <cellStyle name="Percent 2 4 10" xfId="20021" xr:uid="{6ADDA90F-6C87-4FB6-A897-D2DA960D2C2F}"/>
    <cellStyle name="Percent 2 4 10 2" xfId="37935" xr:uid="{5209CD3D-BEB8-411F-BB2F-7D8F01BEC8A6}"/>
    <cellStyle name="Percent 2 4 11" xfId="20022" xr:uid="{50B0D417-DE1B-4651-AB96-C84C91F77980}"/>
    <cellStyle name="Percent 2 4 11 2" xfId="37936" xr:uid="{EEFC2737-0468-4FF5-92A2-F561B7B4FF6B}"/>
    <cellStyle name="Percent 2 4 11 3" xfId="37937" xr:uid="{C0566BF2-BD61-4E1F-BD5E-3F7E2C96A5EF}"/>
    <cellStyle name="Percent 2 4 11 4" xfId="37938" xr:uid="{703E5CFF-C67C-4B24-8D2E-26A8823E0740}"/>
    <cellStyle name="Percent 2 4 12" xfId="20023" xr:uid="{E7D2F538-2718-4E9D-816F-25DED67A1F94}"/>
    <cellStyle name="Percent 2 4 12 2" xfId="37939" xr:uid="{F61129E0-3C44-489A-93AC-C5145A067372}"/>
    <cellStyle name="Percent 2 4 13" xfId="20024" xr:uid="{B6E37749-3675-4C17-B157-9311252EA84E}"/>
    <cellStyle name="Percent 2 4 13 2" xfId="37940" xr:uid="{5401CC82-4847-4C38-B042-C2BAFC88A2B2}"/>
    <cellStyle name="Percent 2 4 14" xfId="37941" xr:uid="{03F98666-D014-4D4B-A979-B2BA06DC3433}"/>
    <cellStyle name="Percent 2 4 15" xfId="37942" xr:uid="{A20605DA-01B8-4D6A-868A-304EB66F6C79}"/>
    <cellStyle name="Percent 2 4 16" xfId="43063" xr:uid="{4CCE8AB4-9818-49B2-B411-8F73F5644101}"/>
    <cellStyle name="Percent 2 4 2" xfId="20025" xr:uid="{FFD064FE-6FAD-4B08-9244-53E5F8AE0647}"/>
    <cellStyle name="Percent 2 4 2 2" xfId="20026" xr:uid="{96480EF3-8852-4877-AA31-FAC2267375F7}"/>
    <cellStyle name="Percent 2 4 2 2 2" xfId="20027" xr:uid="{8C9E315C-13E9-4F44-BEE0-BA1A36568364}"/>
    <cellStyle name="Percent 2 4 2 2 3" xfId="20028" xr:uid="{458E7956-7EE3-4911-83EB-E3D7849A5880}"/>
    <cellStyle name="Percent 2 4 2 2 4" xfId="37943" xr:uid="{81132BEC-8F63-4594-82A6-56962DDDAB31}"/>
    <cellStyle name="Percent 2 4 2 3" xfId="20029" xr:uid="{1ED38715-CF64-4DE6-BF27-2F80126CD509}"/>
    <cellStyle name="Percent 2 4 2 3 2" xfId="20030" xr:uid="{14228C76-AED5-4DED-A9E1-33B21FBC9DD5}"/>
    <cellStyle name="Percent 2 4 2 3 3" xfId="20031" xr:uid="{89673DC0-204C-4585-B4D4-0C450A77675A}"/>
    <cellStyle name="Percent 2 4 2 4" xfId="20032" xr:uid="{D93A7B1B-1CC3-406D-8820-0C7398964483}"/>
    <cellStyle name="Percent 2 4 2 5" xfId="20033" xr:uid="{71CF856A-D8BD-497C-B309-CD50669684B6}"/>
    <cellStyle name="Percent 2 4 2 5 2" xfId="37944" xr:uid="{FA833287-A0F8-4E8C-BE50-1CFFA3BFECD0}"/>
    <cellStyle name="Percent 2 4 2 5 3" xfId="37945" xr:uid="{7176498C-E052-4032-8609-A102B6B3698E}"/>
    <cellStyle name="Percent 2 4 2 6" xfId="20034" xr:uid="{FD20A4FA-5B69-45DB-BF60-F46A90F78E33}"/>
    <cellStyle name="Percent 2 4 2 7" xfId="20035" xr:uid="{D6548266-EC63-4287-BE9B-97A8105E8E56}"/>
    <cellStyle name="Percent 2 4 3" xfId="20036" xr:uid="{EC64825C-1AED-423A-81C8-29A67DFD0FA6}"/>
    <cellStyle name="Percent 2 4 3 2" xfId="20037" xr:uid="{A9852A36-8D90-4134-B841-77F2C81A590C}"/>
    <cellStyle name="Percent 2 4 3 2 2" xfId="20038" xr:uid="{A4ED13CD-D579-4008-A96D-0A390824A60B}"/>
    <cellStyle name="Percent 2 4 3 2 3" xfId="20039" xr:uid="{B7C5D686-58F1-421B-8EE2-F83A2EC3B302}"/>
    <cellStyle name="Percent 2 4 3 3" xfId="20040" xr:uid="{6D5CD207-596D-4A5C-8765-CB13E3E5031B}"/>
    <cellStyle name="Percent 2 4 3 4" xfId="20041" xr:uid="{9C41B6BD-5D29-4430-9E49-FF0401C96B56}"/>
    <cellStyle name="Percent 2 4 4" xfId="20042" xr:uid="{A70E1CBE-5D45-4078-926A-9F5C536F9E1E}"/>
    <cellStyle name="Percent 2 4 4 2" xfId="20043" xr:uid="{17FB9C18-E077-4B5D-B850-CC2CF6E695A7}"/>
    <cellStyle name="Percent 2 4 4 3" xfId="37946" xr:uid="{3D6ABA1C-2F4A-48E5-83D0-77800862010F}"/>
    <cellStyle name="Percent 2 4 4 4" xfId="37947" xr:uid="{086EEE5E-3ED0-487A-A026-7150D18A470A}"/>
    <cellStyle name="Percent 2 4 5" xfId="20044" xr:uid="{DBB1EEB2-0586-4A5D-9976-D67926FE264A}"/>
    <cellStyle name="Percent 2 4 6" xfId="20045" xr:uid="{B8DE9A99-F10B-4D1E-8B2B-30EBAA7E1D4B}"/>
    <cellStyle name="Percent 2 4 7" xfId="20046" xr:uid="{63CDD388-31CE-4631-A7B7-976B11618F70}"/>
    <cellStyle name="Percent 2 4 8" xfId="20047" xr:uid="{34035A83-C5D1-41EE-AB80-1937D1BA5FE0}"/>
    <cellStyle name="Percent 2 4 9" xfId="20048" xr:uid="{B6B23E99-00D7-409C-9D62-783A1AC237D7}"/>
    <cellStyle name="Percent 2 40" xfId="37948" xr:uid="{BD90B08D-6FDE-4371-9851-B6AD3AF5F9EE}"/>
    <cellStyle name="Percent 2 41" xfId="37949" xr:uid="{A26F8720-8A7F-4C71-98FC-D2533D2A5D2D}"/>
    <cellStyle name="Percent 2 42" xfId="37950" xr:uid="{571662BA-A849-4DD9-A4C7-7994C0FCE268}"/>
    <cellStyle name="Percent 2 43" xfId="37951" xr:uid="{DC7B418C-1996-4DF4-81AD-1BACB5AEF79A}"/>
    <cellStyle name="Percent 2 44" xfId="37952" xr:uid="{0E80DC70-9A6A-4078-A51F-B5F663AC18A7}"/>
    <cellStyle name="Percent 2 45" xfId="37953" xr:uid="{78BDB729-FBDA-4896-A3F4-031D09DE3223}"/>
    <cellStyle name="Percent 2 46" xfId="37954" xr:uid="{0F6080B0-99D3-4CFC-9AEF-1137BA31377D}"/>
    <cellStyle name="Percent 2 47" xfId="37955" xr:uid="{1563274B-8949-465C-A0D7-8D3472A07ADB}"/>
    <cellStyle name="Percent 2 48" xfId="37956" xr:uid="{BF416F55-F3CC-4E73-90AF-4855FB939A33}"/>
    <cellStyle name="Percent 2 48 2" xfId="37957" xr:uid="{234B4D40-7F59-448E-A085-18926B5D00BF}"/>
    <cellStyle name="Percent 2 48 3" xfId="37958" xr:uid="{0A74C7E4-8070-46B7-80D7-709949CEE1F2}"/>
    <cellStyle name="Percent 2 49" xfId="37959" xr:uid="{0D6A6C1C-F4D0-4355-9C06-0903229BB5FB}"/>
    <cellStyle name="Percent 2 49 2" xfId="43064" xr:uid="{BC3741C6-5E38-4B63-A580-A0B7ABC239BD}"/>
    <cellStyle name="Percent 2 5" xfId="20049" xr:uid="{7E749CA3-B4AE-4DAC-9B12-E17FEBCF5EE9}"/>
    <cellStyle name="Percent 2 5 10" xfId="20050" xr:uid="{F5C348B7-E61C-4275-9DC8-186F10BEF1BC}"/>
    <cellStyle name="Percent 2 5 10 2" xfId="37960" xr:uid="{6DADBE40-297D-497E-8298-904CA3C4313E}"/>
    <cellStyle name="Percent 2 5 11" xfId="20051" xr:uid="{41FFE956-DD7E-4183-9A41-8C96B24AE67F}"/>
    <cellStyle name="Percent 2 5 11 2" xfId="37961" xr:uid="{8D073A99-4641-4DE3-A86A-5C9C81FAD5B1}"/>
    <cellStyle name="Percent 2 5 11 3" xfId="37962" xr:uid="{85F9B6C8-83A2-46ED-A32D-8C7D7ED8C467}"/>
    <cellStyle name="Percent 2 5 11 4" xfId="37963" xr:uid="{DA684042-1A74-478A-B646-04AAB7F8655B}"/>
    <cellStyle name="Percent 2 5 12" xfId="20052" xr:uid="{F4E6DAED-0397-46DF-B170-6C6DB6198D18}"/>
    <cellStyle name="Percent 2 5 12 2" xfId="37964" xr:uid="{DDDCBB06-1C25-461F-BF37-B060F96AFB0B}"/>
    <cellStyle name="Percent 2 5 13" xfId="20053" xr:uid="{82902257-D3AF-4C3D-A61C-7E27AA5BAB1D}"/>
    <cellStyle name="Percent 2 5 13 2" xfId="37965" xr:uid="{2B658E63-378B-4218-B3FB-17A69CF1B57F}"/>
    <cellStyle name="Percent 2 5 14" xfId="37966" xr:uid="{90D1DFDE-7CEF-47E6-81DE-314FE8247C6A}"/>
    <cellStyle name="Percent 2 5 14 2" xfId="37967" xr:uid="{C333559D-AB6F-4F81-8630-13F5DBCED4A9}"/>
    <cellStyle name="Percent 2 5 15" xfId="37968" xr:uid="{B5E278B3-2446-4655-B37C-262FFAE917F6}"/>
    <cellStyle name="Percent 2 5 16" xfId="43065" xr:uid="{F7178EFA-F5D9-494B-8F0D-95201D1F1815}"/>
    <cellStyle name="Percent 2 5 2" xfId="20054" xr:uid="{09E2EEB8-1171-424C-BFC8-36F89A232A2E}"/>
    <cellStyle name="Percent 2 5 2 2" xfId="20055" xr:uid="{E54351B6-71C7-44EB-89A6-ADEAA009E94D}"/>
    <cellStyle name="Percent 2 5 2 2 2" xfId="20056" xr:uid="{EE629B79-7110-460D-83EF-6AF6E5D692E6}"/>
    <cellStyle name="Percent 2 5 2 2 3" xfId="20057" xr:uid="{0B2EEE3F-02C9-42BB-8A6F-222C72D4895C}"/>
    <cellStyle name="Percent 2 5 2 2 4" xfId="37969" xr:uid="{D7336567-8479-4483-9461-309EB1F3FDE2}"/>
    <cellStyle name="Percent 2 5 2 3" xfId="20058" xr:uid="{59F15A37-B5F4-4E19-A56F-DC99AA802B36}"/>
    <cellStyle name="Percent 2 5 2 3 2" xfId="20059" xr:uid="{17163129-449A-4443-A4C4-AC9C9D500A9E}"/>
    <cellStyle name="Percent 2 5 2 3 3" xfId="20060" xr:uid="{75F92DA4-7452-473B-90CB-90815C3448CB}"/>
    <cellStyle name="Percent 2 5 2 4" xfId="20061" xr:uid="{5A876AD7-A0BF-4022-A413-F8E1466FCBE8}"/>
    <cellStyle name="Percent 2 5 2 5" xfId="20062" xr:uid="{2FB4FBEE-F619-4DF4-9F3C-B3E554FB7E5C}"/>
    <cellStyle name="Percent 2 5 2 6" xfId="37970" xr:uid="{3BD3A9FF-BF7E-44DB-9B02-F46A561E293B}"/>
    <cellStyle name="Percent 2 5 3" xfId="20063" xr:uid="{CC008474-E4F7-425D-990D-BFDDA36F2C7C}"/>
    <cellStyle name="Percent 2 5 3 2" xfId="20064" xr:uid="{78546239-8FE7-4693-AB80-EEC4DEDF0112}"/>
    <cellStyle name="Percent 2 5 3 2 2" xfId="37971" xr:uid="{DB2CF6B2-99F9-47C3-9922-0E4F3013DB61}"/>
    <cellStyle name="Percent 2 5 3 2 3" xfId="37972" xr:uid="{1064FD4B-B7A8-4C80-A7DA-60F1B7365E37}"/>
    <cellStyle name="Percent 2 5 3 3" xfId="20065" xr:uid="{2E36CF92-7ACB-4BD7-B052-BBA453952CFC}"/>
    <cellStyle name="Percent 2 5 3 4" xfId="20066" xr:uid="{5E4E1A4E-F363-4353-AD33-6ABF2DCA8A27}"/>
    <cellStyle name="Percent 2 5 3 5" xfId="20067" xr:uid="{A5B7AA2D-6B86-4233-846D-A9BF582FF4CA}"/>
    <cellStyle name="Percent 2 5 3 6" xfId="37973" xr:uid="{3190A609-66A9-42F3-A77D-104B435E6335}"/>
    <cellStyle name="Percent 2 5 4" xfId="20068" xr:uid="{F09ECF08-5214-4A94-9DD1-4DE0055ED1BB}"/>
    <cellStyle name="Percent 2 5 4 2" xfId="20069" xr:uid="{6BAB4ACA-710C-4FAA-8A3D-3FF1068628A5}"/>
    <cellStyle name="Percent 2 5 4 3" xfId="20070" xr:uid="{1E886193-740C-489B-B5B9-59B44F48513B}"/>
    <cellStyle name="Percent 2 5 4 4" xfId="20071" xr:uid="{A412C03F-9437-43C7-B6E7-D067072C1264}"/>
    <cellStyle name="Percent 2 5 4 4 2" xfId="20072" xr:uid="{604F5D21-3F3A-42EC-9627-C3E58A7B4127}"/>
    <cellStyle name="Percent 2 5 4 5" xfId="37974" xr:uid="{7E38BCD3-45C6-4ADC-94A2-6FDF176B2724}"/>
    <cellStyle name="Percent 2 5 5" xfId="20073" xr:uid="{C1828F8F-58CD-4C3D-AA9F-712D509AA284}"/>
    <cellStyle name="Percent 2 5 5 2" xfId="20074" xr:uid="{F6582499-AB21-4D02-AD84-CAF72C498799}"/>
    <cellStyle name="Percent 2 5 5 3" xfId="37975" xr:uid="{944B9634-30A6-4850-99F5-B5C90EAE74EA}"/>
    <cellStyle name="Percent 2 5 5 4" xfId="37976" xr:uid="{FA9AEB6C-323D-4DAF-BD3F-99D70DE29169}"/>
    <cellStyle name="Percent 2 5 6" xfId="20075" xr:uid="{672AD4AB-16FE-4EF2-B7DA-431E3212AA09}"/>
    <cellStyle name="Percent 2 5 7" xfId="20076" xr:uid="{0F9D7C77-DF97-4C66-91C8-E40F79D82079}"/>
    <cellStyle name="Percent 2 5 8" xfId="20077" xr:uid="{81F0CA74-7BC3-4A44-B230-5FB9C72F01FF}"/>
    <cellStyle name="Percent 2 5 9" xfId="20078" xr:uid="{C45120CE-1CC7-4982-8F5B-1AB3C3A5EEFD}"/>
    <cellStyle name="Percent 2 50" xfId="43066" xr:uid="{E66632AD-B7BE-4667-B597-1B7C30F5DD58}"/>
    <cellStyle name="Percent 2 51" xfId="44148" xr:uid="{5D551B9A-5EC3-4CF5-B65B-B69FAD5A2C2C}"/>
    <cellStyle name="Percent 2 52" xfId="113" xr:uid="{1DB6D848-B04A-4DD1-9CEC-BF5EF3C71975}"/>
    <cellStyle name="Percent 2 53" xfId="73" xr:uid="{AF3F59C3-8AA2-4897-8C45-B28861FCC015}"/>
    <cellStyle name="Percent 2 54" xfId="45833" xr:uid="{BD515321-1382-4126-89C3-958E404075A5}"/>
    <cellStyle name="Percent 2 55" xfId="45919" xr:uid="{2368F27D-6100-45BE-8596-587BC756C812}"/>
    <cellStyle name="Percent 2 6" xfId="20079" xr:uid="{E7DA6D2C-1D59-4572-89EC-7E79C1F3819E}"/>
    <cellStyle name="Percent 2 6 10" xfId="20080" xr:uid="{6E3C3C97-8DF4-4861-A2CD-9013DEA38E81}"/>
    <cellStyle name="Percent 2 6 10 2" xfId="37977" xr:uid="{A1881083-1445-4F34-9E8D-2812E85A2114}"/>
    <cellStyle name="Percent 2 6 11" xfId="37978" xr:uid="{F1B04968-CBE3-4F72-BF00-81D79832953A}"/>
    <cellStyle name="Percent 2 6 11 2" xfId="37979" xr:uid="{EC2159ED-527A-4B61-8F50-FC91893999A2}"/>
    <cellStyle name="Percent 2 6 12" xfId="37980" xr:uid="{415C65DB-7446-44E7-9826-D813B96171A4}"/>
    <cellStyle name="Percent 2 6 12 2" xfId="37981" xr:uid="{265CB16D-CA79-4204-9C54-78679F5D6D4D}"/>
    <cellStyle name="Percent 2 6 13" xfId="37982" xr:uid="{D9C8FA4A-FEA7-40CD-9EE7-7105693F3C78}"/>
    <cellStyle name="Percent 2 6 14" xfId="37983" xr:uid="{64CFB2B4-4D94-4392-820E-D1A55D1CED1C}"/>
    <cellStyle name="Percent 2 6 15" xfId="37984" xr:uid="{44FE9E0A-5B7A-40C3-A5A6-151EF64B4313}"/>
    <cellStyle name="Percent 2 6 2" xfId="20081" xr:uid="{7363BAE5-5482-4991-856C-EF8CA051F075}"/>
    <cellStyle name="Percent 2 6 2 2" xfId="20082" xr:uid="{BD62C8E9-6B0E-413F-94B6-A7AB6B3A3514}"/>
    <cellStyle name="Percent 2 6 2 3" xfId="20083" xr:uid="{FD2A8318-A503-4C03-A1F9-D1D63AB59BF0}"/>
    <cellStyle name="Percent 2 6 2 4" xfId="37985" xr:uid="{E8CCCD0A-7924-4411-9C73-EED5781B5DAE}"/>
    <cellStyle name="Percent 2 6 2 5" xfId="37986" xr:uid="{8F282FB9-82BF-490E-ADE6-FE6B1ABA49FB}"/>
    <cellStyle name="Percent 2 6 3" xfId="20084" xr:uid="{B8717C00-B4D7-4E79-B793-D19C8B56D63B}"/>
    <cellStyle name="Percent 2 6 3 2" xfId="20085" xr:uid="{C1AC2987-8189-4B39-ACB9-F4F9D0C7F1D6}"/>
    <cellStyle name="Percent 2 6 3 3" xfId="20086" xr:uid="{422CC8D9-2EDE-4B5C-98B5-F4CCDE8E77EE}"/>
    <cellStyle name="Percent 2 6 3 4" xfId="20087" xr:uid="{EA0CC14F-AB83-4876-A2AC-77B7FEF82454}"/>
    <cellStyle name="Percent 2 6 3 5" xfId="37987" xr:uid="{E5B3FBE3-A822-482A-B71E-BFF8325000C3}"/>
    <cellStyle name="Percent 2 6 4" xfId="20088" xr:uid="{213B1723-76DA-42B3-BF9F-4915AC551F26}"/>
    <cellStyle name="Percent 2 6 5" xfId="20089" xr:uid="{48023869-5129-4243-9162-B45B36667C1E}"/>
    <cellStyle name="Percent 2 6 6" xfId="20090" xr:uid="{0EB07FBE-ABEA-4AB7-B7E1-D5B6FA34C724}"/>
    <cellStyle name="Percent 2 6 6 2" xfId="43067" xr:uid="{BEFBB57C-181B-4856-AC89-4768F1BD1BBF}"/>
    <cellStyle name="Percent 2 6 7" xfId="20091" xr:uid="{CA9E074C-482C-4C2B-A536-C1094B9EBFC8}"/>
    <cellStyle name="Percent 2 6 7 2" xfId="43068" xr:uid="{D485A736-D05F-442D-B9F4-C8BA98B56091}"/>
    <cellStyle name="Percent 2 6 8" xfId="20092" xr:uid="{8D0488B4-9895-4C2D-87B6-43921E3E6C0F}"/>
    <cellStyle name="Percent 2 6 8 2" xfId="43069" xr:uid="{456E8391-2A6B-4DDD-B093-E81B830B60E0}"/>
    <cellStyle name="Percent 2 6 9" xfId="20093" xr:uid="{D449E772-486D-4A95-B27F-44F2BB636644}"/>
    <cellStyle name="Percent 2 6 9 2" xfId="43070" xr:uid="{914231C4-600F-47A5-ADAB-86566CE050B3}"/>
    <cellStyle name="Percent 2 7" xfId="20094" xr:uid="{322582BC-309D-4F31-B302-DFEF8584DA20}"/>
    <cellStyle name="Percent 2 7 10" xfId="20095" xr:uid="{E8DC7B24-49BD-46F2-9539-DE4F1ED6C559}"/>
    <cellStyle name="Percent 2 7 2" xfId="20096" xr:uid="{AED3B5DC-77AC-4F32-B23C-6830CA9FFEEC}"/>
    <cellStyle name="Percent 2 7 2 2" xfId="43071" xr:uid="{42A3AC6F-34CF-4A18-81C8-E4A7FCA2B5E1}"/>
    <cellStyle name="Percent 2 7 3" xfId="20097" xr:uid="{D527BFA5-B1D4-4D62-9BE0-348D47A15AFE}"/>
    <cellStyle name="Percent 2 7 3 2" xfId="43072" xr:uid="{2BCC6E57-C9A4-4CC4-BADC-17225DAA5630}"/>
    <cellStyle name="Percent 2 7 4" xfId="20098" xr:uid="{ED2AB78E-A78A-41AA-BF4D-4C3293719C46}"/>
    <cellStyle name="Percent 2 7 4 2" xfId="43073" xr:uid="{A471EDA3-B54D-4EEA-9092-3A140B8BBDFA}"/>
    <cellStyle name="Percent 2 7 5" xfId="20099" xr:uid="{1D2A0293-E933-4121-B505-250C2F9BB667}"/>
    <cellStyle name="Percent 2 7 5 2" xfId="43074" xr:uid="{12B2F2BB-85B7-47E7-86A5-255A4C26B158}"/>
    <cellStyle name="Percent 2 7 6" xfId="20100" xr:uid="{1E4A6F6B-F086-4510-80C2-FA5269ADC0A3}"/>
    <cellStyle name="Percent 2 7 6 2" xfId="43075" xr:uid="{6DF370F9-01C8-4CDF-960A-51386149BC4A}"/>
    <cellStyle name="Percent 2 7 7" xfId="20101" xr:uid="{3A86E4CB-6BFC-4DC8-B75E-B847A7608B84}"/>
    <cellStyle name="Percent 2 7 7 2" xfId="43076" xr:uid="{E38C2528-2422-4E0F-84CA-C7D893E0CABB}"/>
    <cellStyle name="Percent 2 7 8" xfId="20102" xr:uid="{E8E76990-4134-49A9-B721-FEBBAAEED0FE}"/>
    <cellStyle name="Percent 2 7 8 2" xfId="43077" xr:uid="{221285F5-F83F-4B8F-B442-42AC7705FF36}"/>
    <cellStyle name="Percent 2 7 9" xfId="20103" xr:uid="{C25AB36D-BB63-480C-8496-FAA4989E6D52}"/>
    <cellStyle name="Percent 2 8" xfId="20104" xr:uid="{0484090F-ECA3-4ECE-9017-7F1454F9C219}"/>
    <cellStyle name="Percent 2 8 10" xfId="37988" xr:uid="{4E732E89-22CB-48A0-B4BC-CDD074243A10}"/>
    <cellStyle name="Percent 2 8 11" xfId="37989" xr:uid="{27FDCF86-34D9-4F74-B8C1-9F5F64CFAB52}"/>
    <cellStyle name="Percent 2 8 12" xfId="43078" xr:uid="{618A38A1-DA26-4E9F-A5CF-0F0CA1973AD2}"/>
    <cellStyle name="Percent 2 8 2" xfId="20105" xr:uid="{7713509C-222D-4F3E-AE8F-3EE5C1531271}"/>
    <cellStyle name="Percent 2 8 2 2" xfId="43079" xr:uid="{D4ED8221-CDCA-437E-B2B9-E81BB69E038E}"/>
    <cellStyle name="Percent 2 8 3" xfId="20106" xr:uid="{82AED0EA-2924-428C-B541-745AA57DE65C}"/>
    <cellStyle name="Percent 2 8 3 2" xfId="43080" xr:uid="{76AB6DC0-9C41-4D9F-BAFE-EB3181517B8A}"/>
    <cellStyle name="Percent 2 8 4" xfId="20107" xr:uid="{8783EF74-6872-430A-84A4-F7CEA2A2E9C7}"/>
    <cellStyle name="Percent 2 8 4 2" xfId="43081" xr:uid="{E9FE5DB6-EF01-4865-ABBF-B93DBC8E8FB3}"/>
    <cellStyle name="Percent 2 8 5" xfId="20108" xr:uid="{5D76C10A-0CCB-43DC-BE3B-880073AE24E5}"/>
    <cellStyle name="Percent 2 8 5 2" xfId="43082" xr:uid="{F45C7E90-B5DE-4064-9B85-3CB77FAA1CE7}"/>
    <cellStyle name="Percent 2 8 6" xfId="20109" xr:uid="{DBD3501A-404B-47ED-B9C5-45A5D5F58861}"/>
    <cellStyle name="Percent 2 8 6 2" xfId="43083" xr:uid="{BBE4F178-CE28-4C3B-AA8B-12B7F10F6E8E}"/>
    <cellStyle name="Percent 2 8 7" xfId="20110" xr:uid="{036B73C3-841E-404E-B2C3-BC524326A797}"/>
    <cellStyle name="Percent 2 8 7 2" xfId="43084" xr:uid="{C9F021F9-8924-4A15-AF4E-43988513239A}"/>
    <cellStyle name="Percent 2 8 8" xfId="20111" xr:uid="{F2CA4608-A722-4F51-9DD3-CB5FA90C8515}"/>
    <cellStyle name="Percent 2 8 8 2" xfId="43085" xr:uid="{36859CCC-BB1D-4368-8CFF-2A89F89C858C}"/>
    <cellStyle name="Percent 2 8 9" xfId="20112" xr:uid="{72774530-8295-441F-AE79-D5CA232E27CD}"/>
    <cellStyle name="Percent 2 9" xfId="20113" xr:uid="{47B14F11-CA7F-4DF2-A269-6D4B5B51F366}"/>
    <cellStyle name="Percent 2 9 2" xfId="20114" xr:uid="{E01ED035-5BC1-49C7-8C89-20E077B11B05}"/>
    <cellStyle name="Percent 2 9 2 2" xfId="43087" xr:uid="{73E383E3-9ADC-4B6A-BA72-D2A7A90D5F3A}"/>
    <cellStyle name="Percent 2 9 3" xfId="20115" xr:uid="{FC98D441-9513-471B-A6EF-96D14FDE92E1}"/>
    <cellStyle name="Percent 2 9 3 2" xfId="43088" xr:uid="{51D95C67-139E-4D37-9AD4-0CB08A8C3767}"/>
    <cellStyle name="Percent 2 9 4" xfId="20116" xr:uid="{6C8F5A40-3581-4E9E-BDF1-EF8BC766791E}"/>
    <cellStyle name="Percent 2 9 4 2" xfId="43089" xr:uid="{9F1C1D34-A230-4514-888C-34FB98AABED0}"/>
    <cellStyle name="Percent 2 9 5" xfId="20117" xr:uid="{0C0284C4-09A2-460E-A1DC-D9312F9ECF84}"/>
    <cellStyle name="Percent 2 9 5 2" xfId="43090" xr:uid="{C436736E-4ABF-4BA8-AD5E-27A0B1689FF0}"/>
    <cellStyle name="Percent 2 9 6" xfId="20118" xr:uid="{8205B598-B16A-42E1-B369-5190FDC33DCB}"/>
    <cellStyle name="Percent 2 9 6 2" xfId="43091" xr:uid="{761576DA-D774-452C-9DCC-AA3BF82E9395}"/>
    <cellStyle name="Percent 2 9 7" xfId="20119" xr:uid="{279ED269-8C59-4BBB-B5CA-69F7571FE550}"/>
    <cellStyle name="Percent 2 9 7 2" xfId="43092" xr:uid="{4679B0F2-6B46-4F9E-B168-9431B19B0AF4}"/>
    <cellStyle name="Percent 2 9 8" xfId="20120" xr:uid="{F5CFCE44-17EF-46E0-8C4B-674F78B30B69}"/>
    <cellStyle name="Percent 2 9 8 2" xfId="43093" xr:uid="{F0C87103-5B65-42CB-880F-B65AE875A1E8}"/>
    <cellStyle name="Percent 2 9 9" xfId="43086" xr:uid="{B51CD092-1C29-41E1-A75F-E031FB77211B}"/>
    <cellStyle name="Percent 20" xfId="20121" xr:uid="{BCF3451F-B56D-4CC6-B929-204CA4A4D3E4}"/>
    <cellStyle name="Percent 20 10" xfId="43094" xr:uid="{440E618F-6041-45B7-8DAC-0E6AED344CEB}"/>
    <cellStyle name="Percent 20 2" xfId="37990" xr:uid="{59A962A6-B91A-4AE1-B50F-2DD20C88939A}"/>
    <cellStyle name="Percent 20 2 2" xfId="37991" xr:uid="{617362AA-F7AA-49C6-AF55-ADA54EC5DCBD}"/>
    <cellStyle name="Percent 20 2 3" xfId="43095" xr:uid="{C96213E3-CBA2-401C-9CD0-78F84D71EFCE}"/>
    <cellStyle name="Percent 20 3" xfId="37992" xr:uid="{9DC0B4F0-2328-4FC4-9DDD-51D7267387F1}"/>
    <cellStyle name="Percent 20 3 2" xfId="43096" xr:uid="{5FE124B8-4C70-4FA5-8E77-D15D12A177E0}"/>
    <cellStyle name="Percent 20 4" xfId="37993" xr:uid="{52C177AA-FCAD-4172-949B-507E23C86DB4}"/>
    <cellStyle name="Percent 20 4 2" xfId="43097" xr:uid="{CF71089A-ACAE-4733-9F5F-FAC4D9431678}"/>
    <cellStyle name="Percent 20 5" xfId="37994" xr:uid="{FD73847A-600A-45ED-AE0A-F0915A0853F1}"/>
    <cellStyle name="Percent 20 5 2" xfId="43098" xr:uid="{A10A8F5B-EE8D-4A1E-809C-5F5E6CD12C1D}"/>
    <cellStyle name="Percent 20 6" xfId="37995" xr:uid="{88151146-8D45-45D8-A813-87E9835F19E2}"/>
    <cellStyle name="Percent 20 6 2" xfId="43099" xr:uid="{88421653-1708-4277-9A8C-A62AC9A53BD0}"/>
    <cellStyle name="Percent 20 7" xfId="37996" xr:uid="{7899C707-E4E8-47E0-8F92-E284DB18132A}"/>
    <cellStyle name="Percent 20 7 2" xfId="37997" xr:uid="{D29DFB44-A90D-467D-9F92-E3A50CDC80D2}"/>
    <cellStyle name="Percent 20 7 2 2" xfId="43101" xr:uid="{EEA56B79-0F12-4775-A5E2-66EE33A92F9C}"/>
    <cellStyle name="Percent 20 7 3" xfId="37998" xr:uid="{1E850C64-AAB1-4923-8CC1-97C7BBA59F98}"/>
    <cellStyle name="Percent 20 7 3 2" xfId="43102" xr:uid="{BB1F13F7-92B0-4E6F-A107-12DCEB7E1CD6}"/>
    <cellStyle name="Percent 20 7 4" xfId="43100" xr:uid="{3C747869-6A45-41B8-ADDA-CDB0AEA228FF}"/>
    <cellStyle name="Percent 20 8" xfId="37999" xr:uid="{F673AADB-B33A-4113-B941-C9F4B4B575B7}"/>
    <cellStyle name="Percent 20 9" xfId="38000" xr:uid="{99CBB1CD-9F56-4AD1-ABB7-F9FF93D12A3F}"/>
    <cellStyle name="Percent 21" xfId="20122" xr:uid="{60B2C403-5F68-401E-A8B8-5E1E5FC8FBBC}"/>
    <cellStyle name="Percent 21 2" xfId="38001" xr:uid="{C5FF5E37-8D63-4F49-BD23-A8CD3BFE5189}"/>
    <cellStyle name="Percent 21 2 2" xfId="43104" xr:uid="{73A0B6B9-C4CF-4651-95E1-011F53721637}"/>
    <cellStyle name="Percent 21 3" xfId="38002" xr:uid="{FA17711D-A2F7-4B0E-AFB5-07D53D08903C}"/>
    <cellStyle name="Percent 21 3 2" xfId="43105" xr:uid="{0B66A52B-0506-4FB0-8B2D-B3C1E10CC5A6}"/>
    <cellStyle name="Percent 21 4" xfId="38003" xr:uid="{36E64A00-6FB0-4E33-8243-D62D2820CF8C}"/>
    <cellStyle name="Percent 21 4 2" xfId="43106" xr:uid="{685C83C6-4F72-4D63-A3B6-AF240CE6CA7D}"/>
    <cellStyle name="Percent 21 5" xfId="38004" xr:uid="{4F269C2B-21C2-462F-BF96-5F0AE0C144C0}"/>
    <cellStyle name="Percent 21 5 2" xfId="43107" xr:uid="{26679ABE-C94D-4330-B7DA-10BFA2D5339D}"/>
    <cellStyle name="Percent 21 6" xfId="38005" xr:uid="{D48E0D85-8959-46FB-B2C9-7A18AB6E1887}"/>
    <cellStyle name="Percent 21 6 2" xfId="43108" xr:uid="{CDEBCB82-D79C-4D30-A090-229370DEDC3A}"/>
    <cellStyle name="Percent 21 7" xfId="38006" xr:uid="{449B0B36-4ADA-42A4-8BB8-8536BC8E4B2B}"/>
    <cellStyle name="Percent 21 7 2" xfId="38007" xr:uid="{9FCABE3B-FB4E-41B5-8E22-0367FA0FDA04}"/>
    <cellStyle name="Percent 21 7 2 2" xfId="43110" xr:uid="{2E0550A1-15C2-4DE0-9D18-568D0439E8D1}"/>
    <cellStyle name="Percent 21 7 3" xfId="38008" xr:uid="{A4F8C0F6-3B83-4D93-A1DF-F182DD9D951D}"/>
    <cellStyle name="Percent 21 7 3 2" xfId="43111" xr:uid="{4A5B2DAC-DEBE-4C2F-84E4-D9DB071A2A73}"/>
    <cellStyle name="Percent 21 7 4" xfId="43109" xr:uid="{1C77B621-7CC9-4FDC-8D81-8ECE1D857638}"/>
    <cellStyle name="Percent 21 8" xfId="38009" xr:uid="{985BC8D7-3D3D-40EB-8166-F9FB34BCD75B}"/>
    <cellStyle name="Percent 21 9" xfId="43103" xr:uid="{61389FAB-8E4C-4D91-AFD2-DF6BD9AA468B}"/>
    <cellStyle name="Percent 22" xfId="20123" xr:uid="{1231E94C-DCD4-4E3E-BF82-A963C29B9FCA}"/>
    <cellStyle name="Percent 22 2" xfId="38010" xr:uid="{29419304-CB88-4458-9F44-DD15B3DB9BA9}"/>
    <cellStyle name="Percent 22 2 2" xfId="43113" xr:uid="{32AE3D56-2B06-4D56-B920-6982C082FBD8}"/>
    <cellStyle name="Percent 22 3" xfId="38011" xr:uid="{DE4381C8-FF7C-40C9-8F47-84EEDEB1491F}"/>
    <cellStyle name="Percent 22 3 2" xfId="43114" xr:uid="{DF86FA0C-FAE6-49D2-AA5C-AF97DCC94C06}"/>
    <cellStyle name="Percent 22 4" xfId="38012" xr:uid="{BDB69CC5-32E2-49A9-BEE3-5F0CA477B34A}"/>
    <cellStyle name="Percent 22 4 2" xfId="43115" xr:uid="{2158BB1C-170B-4451-9137-077025052541}"/>
    <cellStyle name="Percent 22 5" xfId="38013" xr:uid="{BF517895-D254-4F30-A8BE-97A8DA2774DF}"/>
    <cellStyle name="Percent 22 5 2" xfId="43116" xr:uid="{7D79AE29-975A-4E68-B00E-D434F4F71AEF}"/>
    <cellStyle name="Percent 22 6" xfId="38014" xr:uid="{8B4FDDC3-24DB-4297-889F-E6BC5F24D4E9}"/>
    <cellStyle name="Percent 22 6 2" xfId="43117" xr:uid="{E51ABF16-1266-4976-9394-5E9A74A7BEFD}"/>
    <cellStyle name="Percent 22 7" xfId="38015" xr:uid="{6BBE789E-171D-4ED5-8266-7DE7B404A033}"/>
    <cellStyle name="Percent 22 7 2" xfId="38016" xr:uid="{6E8FE9BB-F090-471F-9169-654244AE66B4}"/>
    <cellStyle name="Percent 22 7 2 2" xfId="43119" xr:uid="{924B33CE-3021-4EEB-94B9-8D70EBBB2C6F}"/>
    <cellStyle name="Percent 22 7 3" xfId="38017" xr:uid="{D41BFF17-713F-423C-AE32-CBB52C6CA7DF}"/>
    <cellStyle name="Percent 22 7 3 2" xfId="43120" xr:uid="{3C5E3352-1A03-4E6B-8AB3-13C8C34F6232}"/>
    <cellStyle name="Percent 22 7 4" xfId="43118" xr:uid="{543882A5-1EFD-4B15-8F80-CBC59714CAD6}"/>
    <cellStyle name="Percent 22 8" xfId="43112" xr:uid="{44C76B58-9F9C-4421-9295-F6B02593FB06}"/>
    <cellStyle name="Percent 23" xfId="20124" xr:uid="{3F972BA0-36E8-4D79-9BBC-B72F4E04ABBC}"/>
    <cellStyle name="Percent 23 2" xfId="38018" xr:uid="{886C9BF8-E8E5-4667-82D5-81C012F6203C}"/>
    <cellStyle name="Percent 23 2 2" xfId="43122" xr:uid="{48B2BC79-05CE-4EAE-828D-E3CD1AFC408D}"/>
    <cellStyle name="Percent 23 3" xfId="38019" xr:uid="{622385AF-BA5C-49CE-8EAD-DE84D774113B}"/>
    <cellStyle name="Percent 23 3 2" xfId="43123" xr:uid="{363E918A-3078-4F00-8473-8D4810378A41}"/>
    <cellStyle name="Percent 23 4" xfId="38020" xr:uid="{DA714C6B-7552-464F-A020-31C422C9C8FF}"/>
    <cellStyle name="Percent 23 4 2" xfId="43124" xr:uid="{8BB22E1A-B83F-48D7-9A5A-ABC330628BE8}"/>
    <cellStyle name="Percent 23 5" xfId="38021" xr:uid="{D48E0B97-16ED-4082-88BF-5D2032F09E98}"/>
    <cellStyle name="Percent 23 5 2" xfId="43125" xr:uid="{48A4BAE6-5616-40E0-9D2E-3174E3AA8F0D}"/>
    <cellStyle name="Percent 23 6" xfId="38022" xr:uid="{3E20A1EA-831F-414A-9091-D3B755E27BB8}"/>
    <cellStyle name="Percent 23 6 2" xfId="43126" xr:uid="{06E19581-8A86-4269-BA67-67D0A253F455}"/>
    <cellStyle name="Percent 23 7" xfId="38023" xr:uid="{024EF00C-70E9-49CD-AA8A-64F794047E8E}"/>
    <cellStyle name="Percent 23 7 2" xfId="38024" xr:uid="{3E7DD5E7-989B-498F-A860-537E074F97DC}"/>
    <cellStyle name="Percent 23 7 2 2" xfId="43128" xr:uid="{1ED1EB80-8122-41C4-A159-CE4FB4FD0DFF}"/>
    <cellStyle name="Percent 23 7 3" xfId="38025" xr:uid="{ECCA3761-4AF8-4FCD-9DC2-573E862D3E6E}"/>
    <cellStyle name="Percent 23 7 3 2" xfId="43129" xr:uid="{826389C6-E5E7-4F49-AEF5-16BF10FCD2E7}"/>
    <cellStyle name="Percent 23 7 4" xfId="43127" xr:uid="{7703362A-E679-45CF-9AA8-AC2B5C260D04}"/>
    <cellStyle name="Percent 23 8" xfId="43121" xr:uid="{A19019FD-9D88-4879-89F9-2A930C99BDE7}"/>
    <cellStyle name="Percent 24" xfId="43130" xr:uid="{F7C5618A-DB4B-4D1F-A7B5-64A741CDD826}"/>
    <cellStyle name="Percent 24 2" xfId="38026" xr:uid="{0D16F1B6-88D0-49A2-BF72-6EC96F84192D}"/>
    <cellStyle name="Percent 24 2 2" xfId="43131" xr:uid="{7F615815-783A-48F8-874D-0D37AB9D7711}"/>
    <cellStyle name="Percent 24 3" xfId="38027" xr:uid="{A25A76EA-5674-48BE-916A-313F12C93E4E}"/>
    <cellStyle name="Percent 24 3 2" xfId="43132" xr:uid="{6C4E7979-3D7F-4397-9A9E-8566D508BD1E}"/>
    <cellStyle name="Percent 24 4" xfId="38028" xr:uid="{75AB9AF0-FF36-47E1-9CF1-53F0779A711D}"/>
    <cellStyle name="Percent 24 4 2" xfId="43133" xr:uid="{BD3AB88B-8882-4396-AB19-D201F959BCB2}"/>
    <cellStyle name="Percent 24 5" xfId="38029" xr:uid="{ACDC47A4-FAA7-4948-BF18-8AFBDC62B604}"/>
    <cellStyle name="Percent 24 5 2" xfId="43134" xr:uid="{836C2DA4-E271-4F33-A4D0-A04F465C9701}"/>
    <cellStyle name="Percent 24 6" xfId="38030" xr:uid="{F809BE23-91B8-4F3E-9F6E-812370F0BA4C}"/>
    <cellStyle name="Percent 24 6 2" xfId="43135" xr:uid="{CA6E3800-4D2C-46DF-8B0A-B5CCF710C30E}"/>
    <cellStyle name="Percent 24 7" xfId="38031" xr:uid="{B8251385-BD96-48E8-B754-2D880C566F37}"/>
    <cellStyle name="Percent 24 7 2" xfId="38032" xr:uid="{9BE7037E-A43C-4958-9B87-02A809D49EC6}"/>
    <cellStyle name="Percent 24 7 2 2" xfId="43137" xr:uid="{7A00F091-5B14-4C00-A2F7-5FBD0A4A7EE5}"/>
    <cellStyle name="Percent 24 7 3" xfId="38033" xr:uid="{86C142C7-654B-40A8-A15C-A337BE0ACD8D}"/>
    <cellStyle name="Percent 24 7 3 2" xfId="43138" xr:uid="{ED1967E7-D2DF-465D-8EC9-26A5725E78D8}"/>
    <cellStyle name="Percent 24 7 4" xfId="43136" xr:uid="{0FAEF671-FD23-4FAA-BBAB-2D63989A47A9}"/>
    <cellStyle name="Percent 25" xfId="38034" xr:uid="{4837FC69-58B2-4368-8FFA-235E3435550E}"/>
    <cellStyle name="Percent 25 2" xfId="38035" xr:uid="{DBAC89D5-1E21-44E3-875F-551BE9494C63}"/>
    <cellStyle name="Percent 25 2 2" xfId="43140" xr:uid="{89D4FF71-28F2-4E1D-B884-16FD23210EB7}"/>
    <cellStyle name="Percent 25 3" xfId="38036" xr:uid="{5F64EB9A-6D56-457D-B606-40B1BDFEC613}"/>
    <cellStyle name="Percent 25 3 2" xfId="43141" xr:uid="{723451B8-0208-459A-BF81-2D839DB81F52}"/>
    <cellStyle name="Percent 25 4" xfId="38037" xr:uid="{60B6B6E1-51C3-4A0E-8AA3-D9771E0879E8}"/>
    <cellStyle name="Percent 25 4 2" xfId="43142" xr:uid="{4A57E67F-5CE5-47F4-B2E2-F4714391084C}"/>
    <cellStyle name="Percent 25 5" xfId="38038" xr:uid="{6F001AFA-8F63-483B-992B-E23EF0BECD76}"/>
    <cellStyle name="Percent 25 5 2" xfId="43143" xr:uid="{9CDA83AD-16A4-4136-A8AF-2B915F7FF542}"/>
    <cellStyle name="Percent 25 6" xfId="38039" xr:uid="{8C732E13-3A27-45FC-883D-DA695A91CCF0}"/>
    <cellStyle name="Percent 25 6 2" xfId="43144" xr:uid="{8605E293-AD36-4B2B-BF79-B59E784B4927}"/>
    <cellStyle name="Percent 25 7" xfId="38040" xr:uid="{C8520E0E-4198-4AE0-9FEB-BAA921E16CAC}"/>
    <cellStyle name="Percent 25 7 2" xfId="38041" xr:uid="{1568B3AE-6E60-4E6A-B42B-836670C5C26D}"/>
    <cellStyle name="Percent 25 7 2 2" xfId="43146" xr:uid="{C8FFE6F1-9966-4E94-9CA2-FB3B8879E871}"/>
    <cellStyle name="Percent 25 7 3" xfId="38042" xr:uid="{CD42D8C6-4C73-49AA-9251-6E6011FB4353}"/>
    <cellStyle name="Percent 25 7 3 2" xfId="43147" xr:uid="{435AA034-F69A-45CE-A093-B1C5F0D2EFE8}"/>
    <cellStyle name="Percent 25 7 4" xfId="43145" xr:uid="{762EE007-F64A-45D3-9C26-F6B21AB74526}"/>
    <cellStyle name="Percent 25 8" xfId="43139" xr:uid="{619A425C-1A95-4899-A46C-486ACB4C7867}"/>
    <cellStyle name="Percent 26" xfId="38043" xr:uid="{E4E6A0B0-4F9F-4218-B2CC-FB81EFF1D8EA}"/>
    <cellStyle name="Percent 26 2" xfId="38044" xr:uid="{C7B58E3C-2DCD-4321-9176-3A17EF662D34}"/>
    <cellStyle name="Percent 26 2 2" xfId="43149" xr:uid="{46FB87A8-C382-4BFE-A1B0-AF5483BF8EF1}"/>
    <cellStyle name="Percent 26 3" xfId="38045" xr:uid="{A6644C50-B7A5-4F11-BEA4-D6C514553070}"/>
    <cellStyle name="Percent 26 3 2" xfId="43150" xr:uid="{89FCEE5E-8977-4BD3-8CF1-53BC47C4474F}"/>
    <cellStyle name="Percent 26 4" xfId="38046" xr:uid="{175D1579-724A-49FF-B133-85A63A425683}"/>
    <cellStyle name="Percent 26 4 2" xfId="43151" xr:uid="{DBB355E6-DB22-442D-9045-13CAC3998790}"/>
    <cellStyle name="Percent 26 5" xfId="38047" xr:uid="{87969CA0-0CA3-40E9-96B3-BE10C8DC8B9B}"/>
    <cellStyle name="Percent 26 5 2" xfId="43152" xr:uid="{A3E52315-C2AD-4BEE-A798-B65B0CDA7039}"/>
    <cellStyle name="Percent 26 6" xfId="38048" xr:uid="{FFBAE0B6-8185-45DC-BA44-D138F20405FE}"/>
    <cellStyle name="Percent 26 6 2" xfId="43153" xr:uid="{A675634D-7C22-438A-B974-307449ACC303}"/>
    <cellStyle name="Percent 26 7" xfId="38049" xr:uid="{603A964E-E2F8-4101-88E4-EDDFFDE6AF68}"/>
    <cellStyle name="Percent 26 7 2" xfId="38050" xr:uid="{6832F169-9DA6-443D-8D29-72D679FCCCC5}"/>
    <cellStyle name="Percent 26 7 2 2" xfId="43155" xr:uid="{D55888DC-D5F4-42B2-B4F7-51FB48C98E2C}"/>
    <cellStyle name="Percent 26 7 3" xfId="38051" xr:uid="{9E77D15B-F12A-4872-A0A9-9E6BC94516D2}"/>
    <cellStyle name="Percent 26 7 3 2" xfId="43156" xr:uid="{AA6FBA6F-06B8-4F2C-939C-F8A3F9357B3E}"/>
    <cellStyle name="Percent 26 7 4" xfId="43154" xr:uid="{0F07798C-2AC2-4909-B55A-56D164861546}"/>
    <cellStyle name="Percent 26 8" xfId="43148" xr:uid="{CCE43763-4BA4-4D0E-9AAE-1A40EDD5DB27}"/>
    <cellStyle name="Percent 27" xfId="38052" xr:uid="{BC2297A8-C59D-4297-ACAA-6BBB1621C6F3}"/>
    <cellStyle name="Percent 27 2" xfId="43157" xr:uid="{BEFE397A-C1DA-4724-8E88-0FECF641F07F}"/>
    <cellStyle name="Percent 28" xfId="45763" xr:uid="{8FB5905A-4F2C-4DA0-9026-3281C3EDFA57}"/>
    <cellStyle name="Percent 29" xfId="72" xr:uid="{89869A97-DDCC-49FC-A5F1-8C02D9BCBB71}"/>
    <cellStyle name="Percent 3" xfId="25" xr:uid="{00000000-0005-0000-0000-000018000000}"/>
    <cellStyle name="Percent 3 10" xfId="20126" xr:uid="{224EB413-7DBD-48E7-A83E-E6AF9E74F601}"/>
    <cellStyle name="Percent 3 10 10" xfId="38053" xr:uid="{862E9BB0-4C5C-473C-92D9-F7E3C9E274F3}"/>
    <cellStyle name="Percent 3 10 10 2" xfId="43159" xr:uid="{B6D1C309-DE0A-4E4F-9FD4-D4095B68A65E}"/>
    <cellStyle name="Percent 3 10 11" xfId="38054" xr:uid="{E859236C-5EE2-45D6-8E91-9975956E8549}"/>
    <cellStyle name="Percent 3 10 11 2" xfId="43160" xr:uid="{1C865F15-B6E5-4186-BB22-F478D05E8F6F}"/>
    <cellStyle name="Percent 3 10 12" xfId="38055" xr:uid="{48FD2346-7102-41B5-991A-907B33B96768}"/>
    <cellStyle name="Percent 3 10 12 2" xfId="43161" xr:uid="{BCAFDE3E-3D4F-44D2-B80B-80B041000018}"/>
    <cellStyle name="Percent 3 10 13" xfId="38056" xr:uid="{C2C10C65-6DB7-4820-B51D-C3D07B1621FD}"/>
    <cellStyle name="Percent 3 10 13 2" xfId="43162" xr:uid="{D56F766B-24FE-4E91-BDC8-2C49F96B4BFC}"/>
    <cellStyle name="Percent 3 10 14" xfId="38057" xr:uid="{A569F083-F906-42A1-94BD-9F8BF45AD7C2}"/>
    <cellStyle name="Percent 3 10 14 2" xfId="43163" xr:uid="{F3A0525D-39FB-451E-B673-2F09FCA616F2}"/>
    <cellStyle name="Percent 3 10 15" xfId="38058" xr:uid="{05E5CAD4-05E6-45C6-9FBA-AF9744971E56}"/>
    <cellStyle name="Percent 3 10 15 2" xfId="43164" xr:uid="{66192490-B985-4B2F-8E05-B3E2E5828CC6}"/>
    <cellStyle name="Percent 3 10 16" xfId="38059" xr:uid="{B8B92AA5-8E38-4892-B0ED-E3E630DCE574}"/>
    <cellStyle name="Percent 3 10 17" xfId="43158" xr:uid="{D3DC6563-50D0-4D45-A021-BE46B9DE33D0}"/>
    <cellStyle name="Percent 3 10 2" xfId="38060" xr:uid="{FA8F76FD-CBFE-4535-99B1-73B3AB698796}"/>
    <cellStyle name="Percent 3 10 2 2" xfId="38061" xr:uid="{57B9388A-ECDE-4C8C-8F58-5515160ADA6D}"/>
    <cellStyle name="Percent 3 10 2 3" xfId="43165" xr:uid="{65792DD0-1994-4051-985A-63BCDC0F42B1}"/>
    <cellStyle name="Percent 3 10 3" xfId="38062" xr:uid="{929334DC-78DA-428A-BDD3-8FC0B175C693}"/>
    <cellStyle name="Percent 3 10 3 2" xfId="38063" xr:uid="{49A7A36E-E6A4-4720-A553-01EB10BCABF8}"/>
    <cellStyle name="Percent 3 10 3 3" xfId="43166" xr:uid="{A39D4D03-BDE8-444D-B5F6-3E95EAB074C3}"/>
    <cellStyle name="Percent 3 10 4" xfId="38064" xr:uid="{B2DF70B2-C1D7-4C2F-93F5-0F48A28C32AD}"/>
    <cellStyle name="Percent 3 10 4 2" xfId="43167" xr:uid="{C50D293C-A5EF-48F3-B794-69846E59027F}"/>
    <cellStyle name="Percent 3 10 5" xfId="38065" xr:uid="{1054FCC5-5401-403E-87CE-763F4F0E6EC2}"/>
    <cellStyle name="Percent 3 10 5 2" xfId="43168" xr:uid="{7EA7059C-EBF6-4D35-AF53-5A22BFEDBEA3}"/>
    <cellStyle name="Percent 3 10 6" xfId="38066" xr:uid="{579CA8F4-CE29-497B-A8E4-EC66F4378A5C}"/>
    <cellStyle name="Percent 3 10 6 2" xfId="43169" xr:uid="{930673DE-60EF-44E7-BBB5-8559A7DFE151}"/>
    <cellStyle name="Percent 3 10 7" xfId="38067" xr:uid="{162051C6-AC40-4920-B440-21E34A4DDA50}"/>
    <cellStyle name="Percent 3 10 7 2" xfId="43170" xr:uid="{92F12758-69ED-420C-9B8B-36B6F4E07866}"/>
    <cellStyle name="Percent 3 10 8" xfId="38068" xr:uid="{FC9EC276-09D5-4352-9648-69AAEFB294F5}"/>
    <cellStyle name="Percent 3 10 8 2" xfId="43171" xr:uid="{CC20D7BA-4192-40C1-A390-9CC0CD65D8BA}"/>
    <cellStyle name="Percent 3 10 9" xfId="38069" xr:uid="{2544F4D1-A9D2-485C-B7CB-5985A789CE94}"/>
    <cellStyle name="Percent 3 10 9 2" xfId="43172" xr:uid="{4FF24E8E-0FE7-4380-8C3A-51C81C4A043F}"/>
    <cellStyle name="Percent 3 11" xfId="20127" xr:uid="{6D2666A7-EA21-4269-A6F8-AF2AC17F105E}"/>
    <cellStyle name="Percent 3 11 2" xfId="38070" xr:uid="{398360A5-3637-43F1-89EE-DDFC9B0246CE}"/>
    <cellStyle name="Percent 3 11 3" xfId="38071" xr:uid="{FD1E6C3B-4EDF-445C-A92C-20E8338C7CD3}"/>
    <cellStyle name="Percent 3 11 4" xfId="38072" xr:uid="{C647875E-6010-423B-B53C-8B0FE55FFB0B}"/>
    <cellStyle name="Percent 3 11 5" xfId="43173" xr:uid="{CB9343C8-EF32-4F0C-A00E-CEC23F85DD3E}"/>
    <cellStyle name="Percent 3 12" xfId="20128" xr:uid="{6A65D194-5219-4D8D-B506-490EF669C745}"/>
    <cellStyle name="Percent 3 12 2" xfId="38073" xr:uid="{2B90D3C4-8796-4D16-90CB-A40426641759}"/>
    <cellStyle name="Percent 3 12 3" xfId="38074" xr:uid="{D9FBD10B-A70D-4AE5-8005-FD440EFB6023}"/>
    <cellStyle name="Percent 3 12 4" xfId="38075" xr:uid="{202372C4-FB95-49EF-AFE9-591A905E344C}"/>
    <cellStyle name="Percent 3 12 5" xfId="43174" xr:uid="{3361BE56-B599-4E9D-9462-2276B7FAB350}"/>
    <cellStyle name="Percent 3 13" xfId="20129" xr:uid="{50AC5B63-1F67-4219-B880-B45732CC3210}"/>
    <cellStyle name="Percent 3 13 2" xfId="38076" xr:uid="{09A062D9-997E-4ECC-9E79-49F779266ACA}"/>
    <cellStyle name="Percent 3 13 3" xfId="38077" xr:uid="{913C0469-C90E-4D8A-964B-374786B604D1}"/>
    <cellStyle name="Percent 3 13 4" xfId="38078" xr:uid="{BC405F37-7B8A-4701-BB5A-E7BA526265DC}"/>
    <cellStyle name="Percent 3 13 5" xfId="43175" xr:uid="{5F10404E-FF6A-44F1-B45D-74DD639244EF}"/>
    <cellStyle name="Percent 3 14" xfId="20130" xr:uid="{2FE4C7AC-A32B-43FE-AA92-36733C479BBB}"/>
    <cellStyle name="Percent 3 14 2" xfId="38079" xr:uid="{5228525E-3741-41E5-BBB1-95BD55F20D35}"/>
    <cellStyle name="Percent 3 14 3" xfId="38080" xr:uid="{4B426831-9492-4582-8DEA-B97C50F49EBB}"/>
    <cellStyle name="Percent 3 14 4" xfId="38081" xr:uid="{F18B46B8-C4CD-4C6C-9468-1EA20C4C1607}"/>
    <cellStyle name="Percent 3 14 5" xfId="43176" xr:uid="{D2C0D321-1F72-464C-B5EC-0A6737288DAF}"/>
    <cellStyle name="Percent 3 15" xfId="20131" xr:uid="{4A860C4D-B545-47BF-BE91-FC3CC3FC9113}"/>
    <cellStyle name="Percent 3 15 2" xfId="38082" xr:uid="{52BAF725-1338-4C90-A4BE-6FAE2D4B00CE}"/>
    <cellStyle name="Percent 3 15 3" xfId="38083" xr:uid="{02BD1171-0C43-4E45-8453-DDC43D1F63A4}"/>
    <cellStyle name="Percent 3 15 4" xfId="38084" xr:uid="{A418CAD7-1D6B-4974-AB48-B26B085F28AB}"/>
    <cellStyle name="Percent 3 15 5" xfId="43177" xr:uid="{836D87BB-9993-4F93-B7DD-CA625959C5D8}"/>
    <cellStyle name="Percent 3 16" xfId="20132" xr:uid="{20DCF588-5E5B-4EDD-9679-5E8E37578D66}"/>
    <cellStyle name="Percent 3 16 2" xfId="38085" xr:uid="{06DAE1FB-B980-47EC-B166-9BF49DEFEFA9}"/>
    <cellStyle name="Percent 3 16 3" xfId="38086" xr:uid="{D01CE056-37C6-4415-A3BE-184B4E2088D1}"/>
    <cellStyle name="Percent 3 16 4" xfId="38087" xr:uid="{3EB2626E-059A-42BF-AA00-60C50427CCC1}"/>
    <cellStyle name="Percent 3 16 5" xfId="43178" xr:uid="{D77E15C9-4B55-4FE8-BAF5-8FB3A5702004}"/>
    <cellStyle name="Percent 3 17" xfId="20133" xr:uid="{5F4C53B3-8A24-4E47-86E2-790F6EDCD074}"/>
    <cellStyle name="Percent 3 17 2" xfId="38088" xr:uid="{D23F6FE8-CC92-488C-BD68-38D492B6986D}"/>
    <cellStyle name="Percent 3 17 3" xfId="38089" xr:uid="{2F1CE45A-EFE4-4572-8CA6-F9334FD8B7E0}"/>
    <cellStyle name="Percent 3 17 4" xfId="38090" xr:uid="{5EA94E81-10A2-43C6-A975-AB0C194C2D55}"/>
    <cellStyle name="Percent 3 17 5" xfId="43179" xr:uid="{6561E8AD-07E4-4146-AF84-05B7D3B1DB8E}"/>
    <cellStyle name="Percent 3 18" xfId="20134" xr:uid="{BA636CBF-C11F-4067-90C0-5B425A1BC05D}"/>
    <cellStyle name="Percent 3 18 2" xfId="38091" xr:uid="{315E04B9-9AAE-4579-A4B8-319B5BE05935}"/>
    <cellStyle name="Percent 3 18 3" xfId="38092" xr:uid="{FE56D1E8-9C93-4D67-B4FD-62A55C85DC02}"/>
    <cellStyle name="Percent 3 18 4" xfId="38093" xr:uid="{D34B05D2-C495-4926-ABEB-34305A2AA206}"/>
    <cellStyle name="Percent 3 18 5" xfId="43180" xr:uid="{30064F9D-EC2D-497F-ACFE-6F990D17578F}"/>
    <cellStyle name="Percent 3 19" xfId="20135" xr:uid="{3CADC656-DD06-43DD-B4C5-C6D724B695C9}"/>
    <cellStyle name="Percent 3 19 2" xfId="38094" xr:uid="{98C9EF2C-E156-47F7-8D0F-3C982C38839E}"/>
    <cellStyle name="Percent 3 2" xfId="48" xr:uid="{ECED070C-B019-4E12-9073-F1631680BC9E}"/>
    <cellStyle name="Percent 3 2 10" xfId="20137" xr:uid="{68298C23-8D15-47F6-9BF1-DB896FF82C51}"/>
    <cellStyle name="Percent 3 2 10 2" xfId="38095" xr:uid="{7C8EA72D-B8A4-4F85-9B4C-4FE605072B49}"/>
    <cellStyle name="Percent 3 2 11" xfId="38096" xr:uid="{CB618273-1F46-4985-8B90-58A7A4E7EEA8}"/>
    <cellStyle name="Percent 3 2 11 2" xfId="38097" xr:uid="{B39D9EAB-4909-45D5-AEBB-0E215416CA3F}"/>
    <cellStyle name="Percent 3 2 11 3" xfId="43181" xr:uid="{93ECC472-E85B-4C68-8A7A-1FD80C04A0CC}"/>
    <cellStyle name="Percent 3 2 12" xfId="38098" xr:uid="{8BF5F81C-BBA1-41E1-A1B5-5B8702A39034}"/>
    <cellStyle name="Percent 3 2 12 2" xfId="38099" xr:uid="{B40810A9-37A1-4D2D-AAF0-9A10CBCE2822}"/>
    <cellStyle name="Percent 3 2 13" xfId="38100" xr:uid="{C664BE1B-00BB-47A9-A565-A434812BF679}"/>
    <cellStyle name="Percent 3 2 13 2" xfId="43182" xr:uid="{8CAB474A-9C1C-42E0-A904-7E075E0DA94C}"/>
    <cellStyle name="Percent 3 2 14" xfId="38101" xr:uid="{1E99316C-77AE-472C-97BF-FE79666DE833}"/>
    <cellStyle name="Percent 3 2 14 2" xfId="43183" xr:uid="{9089D017-4C25-48A2-AD83-045D50A5E586}"/>
    <cellStyle name="Percent 3 2 15" xfId="38102" xr:uid="{8A134321-210A-4E6B-B554-33D33DBB0D5A}"/>
    <cellStyle name="Percent 3 2 15 2" xfId="43184" xr:uid="{C6824BF8-2411-422A-B271-6B505E7469FF}"/>
    <cellStyle name="Percent 3 2 16" xfId="38103" xr:uid="{60C8AF32-7538-4F55-8203-46442E097D6D}"/>
    <cellStyle name="Percent 3 2 16 2" xfId="43185" xr:uid="{355F83CE-7E03-4805-BA8D-174463212CFC}"/>
    <cellStyle name="Percent 3 2 17" xfId="43186" xr:uid="{0057AB9A-7D1B-4FC0-86F1-BFC80AE9532F}"/>
    <cellStyle name="Percent 3 2 18" xfId="43187" xr:uid="{7E05A8F8-B4A5-4B97-BECA-D7DBE5AA033A}"/>
    <cellStyle name="Percent 3 2 19" xfId="20136" xr:uid="{867131B6-699E-45F7-851D-983D60FC966F}"/>
    <cellStyle name="Percent 3 2 2" xfId="20138" xr:uid="{A2267177-D90D-4294-B14A-114D2EA7DF8C}"/>
    <cellStyle name="Percent 3 2 2 2" xfId="20139" xr:uid="{191D6294-D657-4892-BD82-D4325B6D604C}"/>
    <cellStyle name="Percent 3 2 2 2 2" xfId="20140" xr:uid="{E87B2493-3119-4549-BE6B-60BCBE972AB3}"/>
    <cellStyle name="Percent 3 2 2 2 2 2" xfId="38104" xr:uid="{D9C1C2E4-BD14-4D95-A04E-30A262C37C74}"/>
    <cellStyle name="Percent 3 2 2 2 2 3" xfId="38105" xr:uid="{B6BEE531-BC08-4382-A347-5E0A62755613}"/>
    <cellStyle name="Percent 3 2 2 2 2 4" xfId="43189" xr:uid="{C7BE2769-88F4-44EE-8C77-8369201AC7AD}"/>
    <cellStyle name="Percent 3 2 2 2 3" xfId="20141" xr:uid="{3F7D6AF0-3755-41A2-83A5-6CCE5AFBAC7D}"/>
    <cellStyle name="Percent 3 2 2 2 4" xfId="38106" xr:uid="{6E1592DC-F20D-4F69-A913-6A4BBF725512}"/>
    <cellStyle name="Percent 3 2 2 2 5" xfId="43188" xr:uid="{1524A557-B56F-4D24-B3E3-69309ED4F4D6}"/>
    <cellStyle name="Percent 3 2 2 3" xfId="20142" xr:uid="{64B74001-DD4C-4926-9ADF-F735CC387C03}"/>
    <cellStyle name="Percent 3 2 2 3 2" xfId="43190" xr:uid="{38AFB61D-FC11-410F-ABAA-AB06DCABEC45}"/>
    <cellStyle name="Percent 3 2 2 4" xfId="20143" xr:uid="{3D6D2FFC-5F81-493F-8A60-E55E1131C536}"/>
    <cellStyle name="Percent 3 2 2 5" xfId="20144" xr:uid="{C1A3FB96-0F70-406D-9DB0-D1C1BB48B012}"/>
    <cellStyle name="Percent 3 2 2 5 2" xfId="38107" xr:uid="{44C7980D-ADC2-457A-8A05-7765F49C1281}"/>
    <cellStyle name="Percent 3 2 2 5 3" xfId="38108" xr:uid="{3944CE7A-5C1C-42E2-84DB-C7D6ED5E31C8}"/>
    <cellStyle name="Percent 3 2 2 6" xfId="38109" xr:uid="{F9B59639-5EE0-4CB7-98E0-333A90EAD5EE}"/>
    <cellStyle name="Percent 3 2 3" xfId="20145" xr:uid="{542D6036-0757-4330-B0C8-41294D996C39}"/>
    <cellStyle name="Percent 3 2 3 2" xfId="20146" xr:uid="{D0E9E1A4-9E9E-4E0C-8FE3-B8792FDC0239}"/>
    <cellStyle name="Percent 3 2 3 2 2" xfId="38110" xr:uid="{183387C6-8B12-4199-B126-90949452515A}"/>
    <cellStyle name="Percent 3 2 3 2 3" xfId="38111" xr:uid="{43FA388D-AAF4-4A28-B6AF-8D955B227622}"/>
    <cellStyle name="Percent 3 2 3 2 4" xfId="43191" xr:uid="{92E0FC52-8982-4338-8FDE-10B8878A642C}"/>
    <cellStyle name="Percent 3 2 3 3" xfId="20147" xr:uid="{4FA02850-3C94-4BEC-8A91-59967B468D91}"/>
    <cellStyle name="Percent 3 2 3 3 2" xfId="43192" xr:uid="{C0473520-606A-4179-9C83-2057842D51E8}"/>
    <cellStyle name="Percent 3 2 3 4" xfId="20148" xr:uid="{334AA14B-A3D4-43F1-955D-6C63BA0CE125}"/>
    <cellStyle name="Percent 3 2 3 5" xfId="20149" xr:uid="{25D82140-CD08-4E25-91D5-B187B960036C}"/>
    <cellStyle name="Percent 3 2 3 6" xfId="38112" xr:uid="{5B7AE847-2776-4B19-8174-15BF8915E57C}"/>
    <cellStyle name="Percent 3 2 4" xfId="20150" xr:uid="{BD2C51D1-3E7C-4E54-B1D8-8DDB15B15B5F}"/>
    <cellStyle name="Percent 3 2 4 2" xfId="20151" xr:uid="{D80451E8-3DDE-4B47-82A4-C87FFF151B25}"/>
    <cellStyle name="Percent 3 2 4 2 2" xfId="38113" xr:uid="{A1C74495-0E69-4F94-8A79-A74B5B984823}"/>
    <cellStyle name="Percent 3 2 4 2 3" xfId="38114" xr:uid="{C72D787B-7B1A-4BA7-A1B8-140D888F3C83}"/>
    <cellStyle name="Percent 3 2 4 3" xfId="20152" xr:uid="{32BC1793-9E64-45A1-BE93-F59A1C9F354D}"/>
    <cellStyle name="Percent 3 2 4 4" xfId="20153" xr:uid="{0FFAC672-C59F-425C-A8B6-09401B0E5E23}"/>
    <cellStyle name="Percent 3 2 4 5" xfId="38115" xr:uid="{AC7838CB-3D11-4283-9B48-A335C6613FCD}"/>
    <cellStyle name="Percent 3 2 5" xfId="20154" xr:uid="{D63FFFDB-743A-4586-9DF3-EB96C8309A8F}"/>
    <cellStyle name="Percent 3 2 5 2" xfId="20155" xr:uid="{CBDBE317-1AA3-48D1-8B9F-20EE2A87F56E}"/>
    <cellStyle name="Percent 3 2 5 2 2" xfId="38116" xr:uid="{550C516A-0125-475C-8152-ACB27DDEAB7F}"/>
    <cellStyle name="Percent 3 2 5 2 3" xfId="38117" xr:uid="{80800E87-5ADD-4766-BA61-B515EDDEA2C6}"/>
    <cellStyle name="Percent 3 2 5 3" xfId="20156" xr:uid="{DE7A830C-4FB4-4BEA-98FD-812C385561F0}"/>
    <cellStyle name="Percent 3 2 5 4" xfId="38118" xr:uid="{A6755515-C782-4E5C-ABF6-101CFC90E966}"/>
    <cellStyle name="Percent 3 2 5 5" xfId="38119" xr:uid="{01B7A2F9-8316-49D3-BC2E-F35A12E9CF9A}"/>
    <cellStyle name="Percent 3 2 5 6" xfId="38120" xr:uid="{8ACADDAF-145F-4150-822B-6B30AA29C50E}"/>
    <cellStyle name="Percent 3 2 6" xfId="20157" xr:uid="{38774B9D-5717-4ACA-AE9B-160D14E1568B}"/>
    <cellStyle name="Percent 3 2 6 2" xfId="20158" xr:uid="{D60CFEE9-F00F-4C0F-B2DC-C4B7D90AD881}"/>
    <cellStyle name="Percent 3 2 6 3" xfId="38121" xr:uid="{42CEA327-1C48-43D8-9E4D-2D06A6AF5B91}"/>
    <cellStyle name="Percent 3 2 6 4" xfId="38122" xr:uid="{16A4A2BD-464E-4753-83A5-F9EDBEBF2C37}"/>
    <cellStyle name="Percent 3 2 7" xfId="20159" xr:uid="{747D15D5-74BE-40B1-9B81-BF45E57A6B49}"/>
    <cellStyle name="Percent 3 2 7 2" xfId="38123" xr:uid="{826F9C70-AD40-473A-A19C-65597B8D4063}"/>
    <cellStyle name="Percent 3 2 7 3" xfId="38124" xr:uid="{F26D858A-0B82-42F2-85A4-DE37BA6A226E}"/>
    <cellStyle name="Percent 3 2 7 4" xfId="38125" xr:uid="{DCC47FB0-1D16-4674-8D77-4F7EBD394F21}"/>
    <cellStyle name="Percent 3 2 7 5" xfId="43193" xr:uid="{F4429410-F461-4672-9D72-4377A07F6C44}"/>
    <cellStyle name="Percent 3 2 8" xfId="20160" xr:uid="{F1340444-99F8-4C7E-8A19-2880A1F3EC84}"/>
    <cellStyle name="Percent 3 2 8 2" xfId="43194" xr:uid="{B9F3EA90-2978-41AF-A585-C6C16E9F5004}"/>
    <cellStyle name="Percent 3 2 9" xfId="20161" xr:uid="{6934968D-1C00-4A37-A9E0-EB92DABCDE00}"/>
    <cellStyle name="Percent 3 2 9 2" xfId="38126" xr:uid="{2E588F6D-5246-40EF-A0BF-5FC46799B94A}"/>
    <cellStyle name="Percent 3 2 9 3" xfId="43195" xr:uid="{4C66A6D7-90C1-4E17-BECB-309CF4F57B0C}"/>
    <cellStyle name="Percent 3 20" xfId="38127" xr:uid="{21AFADCF-3F2E-4E0B-8722-4BA83F93D919}"/>
    <cellStyle name="Percent 3 20 2" xfId="38128" xr:uid="{11BB654E-1446-4C2E-B96C-25F3F79A6ED3}"/>
    <cellStyle name="Percent 3 20 3" xfId="43196" xr:uid="{DEF270AE-2821-42B4-9F32-92E5EF487070}"/>
    <cellStyle name="Percent 3 21" xfId="38129" xr:uid="{5ED40B8E-CE40-4D92-B137-8C71E0744B91}"/>
    <cellStyle name="Percent 3 21 2" xfId="38130" xr:uid="{011EF953-80F8-4738-8B82-05FD5D570AEF}"/>
    <cellStyle name="Percent 3 22" xfId="38131" xr:uid="{9A49A686-6EB1-4511-963E-89852A3F3081}"/>
    <cellStyle name="Percent 3 22 2" xfId="43197" xr:uid="{CB95C3D3-F93B-4BC5-ABF3-6D6409B8C859}"/>
    <cellStyle name="Percent 3 23" xfId="38132" xr:uid="{99555573-F1FD-42DB-9E7E-8FB9730C78F8}"/>
    <cellStyle name="Percent 3 23 2" xfId="43198" xr:uid="{0FB099F9-D5D3-4813-AF14-ECCB5835E278}"/>
    <cellStyle name="Percent 3 24" xfId="38133" xr:uid="{4E67D27A-F3AB-4764-9629-76A42CEC066E}"/>
    <cellStyle name="Percent 3 24 2" xfId="43199" xr:uid="{68CECEA7-84C2-40B9-AA53-6EC69873F683}"/>
    <cellStyle name="Percent 3 25" xfId="38134" xr:uid="{7BF85828-C1D0-4B1C-8FE0-87C2624D9BC9}"/>
    <cellStyle name="Percent 3 25 2" xfId="43200" xr:uid="{12E50B70-7A12-4A0B-939B-1B053E68EA8C}"/>
    <cellStyle name="Percent 3 26" xfId="38135" xr:uid="{EAFE46AA-C120-4EB1-895A-75324BCBC668}"/>
    <cellStyle name="Percent 3 26 2" xfId="43201" xr:uid="{C533BD5E-9A9A-4231-B494-CF140AEBBE5D}"/>
    <cellStyle name="Percent 3 27" xfId="38136" xr:uid="{2DC88445-CD2E-48DE-BE13-1353C234C7DE}"/>
    <cellStyle name="Percent 3 27 2" xfId="43202" xr:uid="{F37E091E-AD6E-4F8F-9B88-BFA8454F0CDF}"/>
    <cellStyle name="Percent 3 28" xfId="38137" xr:uid="{8ABDF5F7-CBC4-417F-83DC-C6FA973973CD}"/>
    <cellStyle name="Percent 3 28 2" xfId="43203" xr:uid="{87D31612-FE9F-4D3C-B982-95208E623033}"/>
    <cellStyle name="Percent 3 29" xfId="43204" xr:uid="{B37EDD6D-AEF7-41EA-B366-41203FED61A1}"/>
    <cellStyle name="Percent 3 3" xfId="20162" xr:uid="{27024331-57D0-4DBA-B0A9-74F7B6697210}"/>
    <cellStyle name="Percent 3 3 10" xfId="38138" xr:uid="{361113B0-A3D9-4E9F-BCC7-8C2AD4699B9B}"/>
    <cellStyle name="Percent 3 3 10 2" xfId="38139" xr:uid="{E79F1B3F-743E-4419-8D32-2C6041B45A8E}"/>
    <cellStyle name="Percent 3 3 10 3" xfId="43206" xr:uid="{43E044B8-29F6-4446-B895-628EB0C71AE3}"/>
    <cellStyle name="Percent 3 3 11" xfId="38140" xr:uid="{20899F32-62C8-4000-9ADC-1ED113AF5F72}"/>
    <cellStyle name="Percent 3 3 11 2" xfId="43207" xr:uid="{70F3B44C-CB8A-4B6B-BCC6-5FEDC8DD7E50}"/>
    <cellStyle name="Percent 3 3 12" xfId="38141" xr:uid="{3709F45C-D8B8-4FCD-B32D-308F541B868D}"/>
    <cellStyle name="Percent 3 3 12 2" xfId="43208" xr:uid="{213889A0-75B4-4470-85EB-7A0D738D06A4}"/>
    <cellStyle name="Percent 3 3 13" xfId="38142" xr:uid="{7960B7A2-F7C0-4DA2-A7D7-14120CF2BF33}"/>
    <cellStyle name="Percent 3 3 13 2" xfId="43209" xr:uid="{2B226921-F1D8-43CD-9AB8-2A89CA9EDD44}"/>
    <cellStyle name="Percent 3 3 14" xfId="38143" xr:uid="{C469FBAF-9282-4D68-90AA-ADC9D789DD6B}"/>
    <cellStyle name="Percent 3 3 14 2" xfId="43210" xr:uid="{B3ED87F6-DE6E-4624-B10D-0E73CA8075C1}"/>
    <cellStyle name="Percent 3 3 15" xfId="38144" xr:uid="{ED6D09E0-5964-40FD-B510-DD1C6A64CF92}"/>
    <cellStyle name="Percent 3 3 15 2" xfId="43211" xr:uid="{C3987170-8AAC-424E-92AA-DE4CF99D4C73}"/>
    <cellStyle name="Percent 3 3 16" xfId="43212" xr:uid="{2306A12D-23C3-40B7-B0AE-B42FE958EA4A}"/>
    <cellStyle name="Percent 3 3 2" xfId="20163" xr:uid="{1BC5F793-E5A4-421A-90F4-D565A09A37EB}"/>
    <cellStyle name="Percent 3 3 2 2" xfId="20164" xr:uid="{1303CF03-F345-482D-8B64-8CD5E15B01F7}"/>
    <cellStyle name="Percent 3 3 2 2 2" xfId="38145" xr:uid="{E762F833-1806-4909-AD87-487CE87E3A7E}"/>
    <cellStyle name="Percent 3 3 2 2 3" xfId="38146" xr:uid="{70A79922-E00A-4205-9BD5-9F9C14C2A339}"/>
    <cellStyle name="Percent 3 3 2 2 4" xfId="43213" xr:uid="{B99E681C-B59D-4466-AC0A-F0D04BFC8C50}"/>
    <cellStyle name="Percent 3 3 2 3" xfId="20165" xr:uid="{50595B0A-08B7-4436-A87D-459AFA6619DA}"/>
    <cellStyle name="Percent 3 3 2 4" xfId="20166" xr:uid="{08A1BE84-D73F-44FB-95E9-ABCBAA0D5817}"/>
    <cellStyle name="Percent 3 3 2 5" xfId="38147" xr:uid="{5DA54B83-DDEF-4318-9452-8C463A5CDD87}"/>
    <cellStyle name="Percent 3 3 3" xfId="20167" xr:uid="{65A4CC0E-EE29-458C-8FEC-1D7271CBDC05}"/>
    <cellStyle name="Percent 3 3 3 2" xfId="20168" xr:uid="{DF241668-42B0-4B60-BE95-FF84B483D7F8}"/>
    <cellStyle name="Percent 3 3 3 2 2" xfId="20169" xr:uid="{F01F769C-F49A-4E55-8765-D1E4DF556D6B}"/>
    <cellStyle name="Percent 3 3 3 2 2 2" xfId="38148" xr:uid="{35BBC6BD-685C-45AC-90C2-BEF3BA631A2A}"/>
    <cellStyle name="Percent 3 3 3 2 2 3" xfId="38149" xr:uid="{A19EEDFD-86BD-46C0-8BA7-468A70C202BA}"/>
    <cellStyle name="Percent 3 3 3 2 2 4" xfId="43214" xr:uid="{C6665FCF-B6E8-4FA1-82FE-A8CC8E1AD7F4}"/>
    <cellStyle name="Percent 3 3 3 2 3" xfId="20170" xr:uid="{B46DC126-B213-4742-8A1A-FF44E26A377C}"/>
    <cellStyle name="Percent 3 3 3 2 4" xfId="20171" xr:uid="{27E05E9F-C79E-4CF7-B6C7-7CAA39D1C764}"/>
    <cellStyle name="Percent 3 3 3 2 5" xfId="38150" xr:uid="{92470041-0DBB-427A-A651-9D4D36115D1F}"/>
    <cellStyle name="Percent 3 3 3 3" xfId="20172" xr:uid="{4F8F7810-8733-4725-88D0-CD370A12E335}"/>
    <cellStyle name="Percent 3 3 3 3 2" xfId="20173" xr:uid="{EFF03647-E932-46D6-BF55-0A047FBB70C4}"/>
    <cellStyle name="Percent 3 3 3 3 2 2" xfId="20174" xr:uid="{CD22675D-E31B-4A80-A181-AF01BD9D56D0}"/>
    <cellStyle name="Percent 3 3 3 3 2 2 2" xfId="38151" xr:uid="{9634EA4F-6CDD-452A-B555-B60EA5A3CB2C}"/>
    <cellStyle name="Percent 3 3 3 3 2 2 3" xfId="38152" xr:uid="{2CB7D279-B95F-4C4F-9713-9F710E8A887B}"/>
    <cellStyle name="Percent 3 3 3 3 2 3" xfId="20175" xr:uid="{EDB174E2-F082-45D1-A2D5-BE5A3BF67704}"/>
    <cellStyle name="Percent 3 3 3 3 2 4" xfId="20176" xr:uid="{CD747587-A57F-4EC9-ACEA-A653CE1BDF12}"/>
    <cellStyle name="Percent 3 3 3 3 2 5" xfId="38153" xr:uid="{FA5F7E1E-D2D2-4B58-AF29-E0F9B3CBC987}"/>
    <cellStyle name="Percent 3 3 3 3 3" xfId="20177" xr:uid="{39016A0A-E3B3-45EB-8CA8-5F11FE0CE12A}"/>
    <cellStyle name="Percent 3 3 3 3 3 2" xfId="20178" xr:uid="{3D6AF4B8-317B-4C0A-B621-CAA2238D23B2}"/>
    <cellStyle name="Percent 3 3 3 3 3 2 2" xfId="38154" xr:uid="{EDCD74C6-DDC7-4EF9-924B-9467FF98B71F}"/>
    <cellStyle name="Percent 3 3 3 3 3 2 3" xfId="38155" xr:uid="{034AAE82-3FF6-4DDC-8481-A4C6BDB448C4}"/>
    <cellStyle name="Percent 3 3 3 3 3 3" xfId="20179" xr:uid="{9FF6B33F-D2FE-4F92-AA7A-FF6CF2F47A1D}"/>
    <cellStyle name="Percent 3 3 3 3 3 4" xfId="20180" xr:uid="{866AEA84-187F-4FEA-8D3D-B0109888E268}"/>
    <cellStyle name="Percent 3 3 3 3 3 5" xfId="38156" xr:uid="{33671C0E-0789-4182-8BC8-FCCAA0BDFB80}"/>
    <cellStyle name="Percent 3 3 3 3 4" xfId="20181" xr:uid="{A609CB73-A47B-4F37-9494-F67876231A42}"/>
    <cellStyle name="Percent 3 3 3 3 4 2" xfId="38157" xr:uid="{E4E92ED9-CC17-4086-8F4B-D962D33D202A}"/>
    <cellStyle name="Percent 3 3 3 3 4 2 2" xfId="43216" xr:uid="{2308DD90-7839-4CB8-9DA9-A2994F832A4C}"/>
    <cellStyle name="Percent 3 3 3 3 4 3" xfId="38158" xr:uid="{64673C5F-1057-4C5F-BF51-25BC4B965F13}"/>
    <cellStyle name="Percent 3 3 3 3 4 4" xfId="43215" xr:uid="{34C4125C-ABEA-4E8E-89DF-96B1313F781F}"/>
    <cellStyle name="Percent 3 3 3 3 5" xfId="20182" xr:uid="{B4B52C98-E8C6-42FF-A243-8F37817159F5}"/>
    <cellStyle name="Percent 3 3 3 3 6" xfId="20183" xr:uid="{4E563A2A-793F-4B9E-829C-D06007FAB75B}"/>
    <cellStyle name="Percent 3 3 3 3 7" xfId="38159" xr:uid="{A187AF13-82AC-4501-967F-8A7620C1C26A}"/>
    <cellStyle name="Percent 3 3 3 4" xfId="20184" xr:uid="{13821AC8-EE93-4FF7-A53F-DB7CD91DABBC}"/>
    <cellStyle name="Percent 3 3 3 4 2" xfId="38160" xr:uid="{109B8AA6-C312-4574-B2AF-7F785C5E8F64}"/>
    <cellStyle name="Percent 3 3 3 4 3" xfId="38161" xr:uid="{2B6DAF3E-CF53-4121-A615-D72E88A769A9}"/>
    <cellStyle name="Percent 3 3 3 4 4" xfId="43217" xr:uid="{AE9D1ABC-CCAB-4534-8332-3EDC77B9970A}"/>
    <cellStyle name="Percent 3 3 3 5" xfId="20185" xr:uid="{98ED9C3F-DD4B-4806-B9EE-D6F02C62159D}"/>
    <cellStyle name="Percent 3 3 3 6" xfId="20186" xr:uid="{CF991703-0BC5-4B28-95E2-4BB9EA0C8A4E}"/>
    <cellStyle name="Percent 3 3 3 7" xfId="38162" xr:uid="{F82E06E0-E0ED-44BC-9393-7E290F664AA8}"/>
    <cellStyle name="Percent 3 3 4" xfId="20187" xr:uid="{80091329-99D2-4E5D-896B-507794C36B88}"/>
    <cellStyle name="Percent 3 3 4 2" xfId="20188" xr:uid="{889F6ED0-17C9-4E4D-9C51-23057517F4D2}"/>
    <cellStyle name="Percent 3 3 4 2 2" xfId="38163" xr:uid="{C3742CE2-5624-44F8-BA1F-E4DE654A723A}"/>
    <cellStyle name="Percent 3 3 4 2 3" xfId="38164" xr:uid="{05100E6A-6EAB-4748-A729-EE0A5C1A672C}"/>
    <cellStyle name="Percent 3 3 4 2 4" xfId="43218" xr:uid="{1FD82F12-A2F1-4A01-9B2D-0CD0899F6AC3}"/>
    <cellStyle name="Percent 3 3 4 3" xfId="20189" xr:uid="{0922AB63-AC72-4137-B177-A5AFA06B3849}"/>
    <cellStyle name="Percent 3 3 4 4" xfId="20190" xr:uid="{5D82EC4A-F7E7-4DE1-B066-747C494A7D2A}"/>
    <cellStyle name="Percent 3 3 4 5" xfId="38165" xr:uid="{539984E6-93CB-49D9-B991-4B731EEE7BB9}"/>
    <cellStyle name="Percent 3 3 4 6" xfId="38166" xr:uid="{FEB5CF12-D19F-4B76-A1B6-4CC598A3AA37}"/>
    <cellStyle name="Percent 3 3 5" xfId="20191" xr:uid="{4F042E28-9FAD-49BB-81B1-82853910CCC4}"/>
    <cellStyle name="Percent 3 3 5 2" xfId="20192" xr:uid="{F870C5CF-6C9B-44EC-BB42-833F46924397}"/>
    <cellStyle name="Percent 3 3 5 2 2" xfId="38167" xr:uid="{90512807-B4BC-481E-8B06-1C488328615D}"/>
    <cellStyle name="Percent 3 3 5 2 3" xfId="38168" xr:uid="{3E44C878-AE2E-4D1A-85DE-54ACFFD6AD8E}"/>
    <cellStyle name="Percent 3 3 5 3" xfId="20193" xr:uid="{45F70FF3-2CF9-4A36-9616-D85F1FDB62D6}"/>
    <cellStyle name="Percent 3 3 5 4" xfId="20194" xr:uid="{51FF3C8C-6CB4-4DBE-8886-3FA38B50A1F8}"/>
    <cellStyle name="Percent 3 3 5 5" xfId="38169" xr:uid="{58C559C7-9DC9-4746-8B81-90ACC5155BB6}"/>
    <cellStyle name="Percent 3 3 6" xfId="20195" xr:uid="{B0CBCB34-1833-4A00-BE2F-9F06962F6B58}"/>
    <cellStyle name="Percent 3 3 6 2" xfId="38170" xr:uid="{C16D8869-5158-4177-A32E-15B1FF3732B6}"/>
    <cellStyle name="Percent 3 3 6 2 2" xfId="43220" xr:uid="{206A317D-ACD3-4666-8D56-49A602083384}"/>
    <cellStyle name="Percent 3 3 6 3" xfId="38171" xr:uid="{F65C0285-978B-4C84-8E38-314797AE76E6}"/>
    <cellStyle name="Percent 3 3 6 4" xfId="38172" xr:uid="{4065382B-DFFE-4D11-A898-0FCC042C4E92}"/>
    <cellStyle name="Percent 3 3 6 5" xfId="43219" xr:uid="{397FF36C-987D-489D-BF55-C90367B53638}"/>
    <cellStyle name="Percent 3 3 7" xfId="20196" xr:uid="{3D33EBC0-EC26-4E0D-ADB9-2105C8B950C9}"/>
    <cellStyle name="Percent 3 3 7 2" xfId="43221" xr:uid="{0A41E921-A552-43AF-8B2D-20792F3D5C35}"/>
    <cellStyle name="Percent 3 3 8" xfId="20197" xr:uid="{183C43B3-9904-44A5-8253-73BAF4BF7370}"/>
    <cellStyle name="Percent 3 3 8 2" xfId="38173" xr:uid="{40D99990-5230-4675-9F0B-94863F9940F2}"/>
    <cellStyle name="Percent 3 3 9" xfId="20198" xr:uid="{86DF949E-AA68-4F21-A8CD-484D49D0AA5E}"/>
    <cellStyle name="Percent 3 3 9 2" xfId="38174" xr:uid="{E05B968F-0354-467B-9D53-50BDF9DD3A36}"/>
    <cellStyle name="Percent 3 3 9 3" xfId="43222" xr:uid="{EFFF9C90-6774-4F67-8F09-89FDF47A0D91}"/>
    <cellStyle name="Percent 3 30" xfId="43223" xr:uid="{B22F6DE8-3E56-4524-AAB2-EA2E01D08189}"/>
    <cellStyle name="Percent 3 31" xfId="43224" xr:uid="{803FD5CE-8E34-4420-A7E1-69C4160A3296}"/>
    <cellStyle name="Percent 3 32" xfId="20125" xr:uid="{C488918F-45A5-4806-BD00-5E79041B7E9E}"/>
    <cellStyle name="Percent 3 33" xfId="84" xr:uid="{F1555F24-8B66-49CA-8DE6-C90E2FBABFBE}"/>
    <cellStyle name="Percent 3 34" xfId="45837" xr:uid="{5C4D89A2-81BA-43B2-9846-DE0B4C35D1CE}"/>
    <cellStyle name="Percent 3 4" xfId="20199" xr:uid="{6F846EAB-674C-4A2C-920F-843C372B5BC1}"/>
    <cellStyle name="Percent 3 4 10" xfId="38175" xr:uid="{5C365B60-4B04-443C-AE50-17BE1BF6AD1B}"/>
    <cellStyle name="Percent 3 4 11" xfId="38176" xr:uid="{ED28E44A-B093-4DB6-A334-2F6D4C943A2E}"/>
    <cellStyle name="Percent 3 4 12" xfId="38177" xr:uid="{83DC9A07-59E2-438D-9EA4-5CBE891E80B0}"/>
    <cellStyle name="Percent 3 4 13" xfId="38178" xr:uid="{7B21CC9A-8B57-4919-A4E5-ADAF997F00E7}"/>
    <cellStyle name="Percent 3 4 14" xfId="38179" xr:uid="{9A7E99F2-75CF-4D1F-9389-215237C1F322}"/>
    <cellStyle name="Percent 3 4 15" xfId="38180" xr:uid="{47B7A786-21CB-475D-B364-D024F3A67DB0}"/>
    <cellStyle name="Percent 3 4 16" xfId="43225" xr:uid="{02D0606C-9B79-4156-93E3-21E01A718E2E}"/>
    <cellStyle name="Percent 3 4 2" xfId="20200" xr:uid="{0C72DCFB-57D2-4530-B15D-A4BBDAD99861}"/>
    <cellStyle name="Percent 3 4 2 2" xfId="20201" xr:uid="{8224FE1F-A4E4-4F0B-ACA6-F056EA363153}"/>
    <cellStyle name="Percent 3 4 2 2 2" xfId="38181" xr:uid="{25201DFF-D0A0-4E44-948D-204BE66186A9}"/>
    <cellStyle name="Percent 3 4 2 2 3" xfId="38182" xr:uid="{DB3F6F36-11D0-49D0-8F8D-9E49B23395C9}"/>
    <cellStyle name="Percent 3 4 2 2 4" xfId="43226" xr:uid="{D036D3BF-87A1-4A71-8AEC-1C4E7CC349DD}"/>
    <cellStyle name="Percent 3 4 2 3" xfId="20202" xr:uid="{ABC45B73-29D8-4B78-9F79-11CBC5B40C9E}"/>
    <cellStyle name="Percent 3 4 2 4" xfId="20203" xr:uid="{9BF0306F-4489-4B32-B7B9-A84127F5C60E}"/>
    <cellStyle name="Percent 3 4 2 5" xfId="38183" xr:uid="{FF8A92D9-9132-44D6-A96E-F6B9A6A6D9D9}"/>
    <cellStyle name="Percent 3 4 3" xfId="20204" xr:uid="{EC41F896-2B41-4F84-AFCB-FBB14259EE71}"/>
    <cellStyle name="Percent 3 4 3 2" xfId="20205" xr:uid="{7F926523-23A0-41A7-B077-C4E795FF7249}"/>
    <cellStyle name="Percent 3 4 3 2 2" xfId="38184" xr:uid="{E366797F-FAC2-4A4D-A97D-C09028E35E94}"/>
    <cellStyle name="Percent 3 4 3 2 3" xfId="38185" xr:uid="{19980A67-448D-4B8C-98CF-48E92B5C0F06}"/>
    <cellStyle name="Percent 3 4 3 3" xfId="20206" xr:uid="{A5DED4D6-CB35-4714-919E-9E423DD13901}"/>
    <cellStyle name="Percent 3 4 3 4" xfId="20207" xr:uid="{5315BEDD-C648-45D9-A299-8B6A078906A7}"/>
    <cellStyle name="Percent 3 4 3 5" xfId="38186" xr:uid="{45700B6F-89AB-455E-AA40-A6697C091B77}"/>
    <cellStyle name="Percent 3 4 4" xfId="20208" xr:uid="{2F05EEB5-E971-426E-ADB2-A4259D87B8B8}"/>
    <cellStyle name="Percent 3 4 4 2" xfId="38187" xr:uid="{1D2CFFE5-2350-4D29-BB00-2454AF3EE8FA}"/>
    <cellStyle name="Percent 3 4 4 2 2" xfId="43227" xr:uid="{EB00D23F-69A1-4D62-839C-D058F01AF457}"/>
    <cellStyle name="Percent 3 4 4 3" xfId="38188" xr:uid="{323A0848-619C-43EC-AF92-C43364ADADCC}"/>
    <cellStyle name="Percent 3 4 4 4" xfId="38189" xr:uid="{B720716A-FDC4-49BB-93FD-EE01A31F8FFD}"/>
    <cellStyle name="Percent 3 4 5" xfId="20209" xr:uid="{B88A0937-4E95-4D54-BE6F-EE4F28DDC64D}"/>
    <cellStyle name="Percent 3 4 5 2" xfId="38190" xr:uid="{D6470107-23AC-4D59-BA1E-10E6F152E184}"/>
    <cellStyle name="Percent 3 4 6" xfId="20210" xr:uid="{CF216FF8-111B-455A-B895-CD75DEFCC1F5}"/>
    <cellStyle name="Percent 3 4 7" xfId="38191" xr:uid="{3DF86F59-3EF3-4C2E-ADFF-EF704E09F2F8}"/>
    <cellStyle name="Percent 3 4 7 2" xfId="38192" xr:uid="{B7CC5595-9B93-4100-B4BA-78A3E760D324}"/>
    <cellStyle name="Percent 3 4 8" xfId="38193" xr:uid="{A38099E0-A144-4E83-BE93-220E4327ED6B}"/>
    <cellStyle name="Percent 3 4 9" xfId="38194" xr:uid="{A1A76D6E-C2B7-42FE-808F-B05FD7BC54FC}"/>
    <cellStyle name="Percent 3 5" xfId="20211" xr:uid="{DA2E17BF-C9E8-44AF-9F6C-01BAC24B722E}"/>
    <cellStyle name="Percent 3 5 10" xfId="38195" xr:uid="{3E89C1F5-AA59-4C91-AECF-166AF7020BAF}"/>
    <cellStyle name="Percent 3 5 11" xfId="38196" xr:uid="{972ABB30-4B0B-42D0-B2D5-E0AEBC7A1B12}"/>
    <cellStyle name="Percent 3 5 12" xfId="38197" xr:uid="{FD41DAC0-0C3A-49B1-BDD9-482D5EC2DD33}"/>
    <cellStyle name="Percent 3 5 13" xfId="38198" xr:uid="{122A2853-16D2-4CAD-BFDC-87C6ADE72B8E}"/>
    <cellStyle name="Percent 3 5 14" xfId="38199" xr:uid="{A4B01B33-0E92-4A84-BCBB-CA729D02F13E}"/>
    <cellStyle name="Percent 3 5 15" xfId="38200" xr:uid="{14AE9321-B138-48E4-AA02-C03FA2CBC84A}"/>
    <cellStyle name="Percent 3 5 16" xfId="38201" xr:uid="{681C473F-4BAA-41FB-98CB-A223822835DA}"/>
    <cellStyle name="Percent 3 5 17" xfId="43228" xr:uid="{00167BC5-8761-4FD4-833B-ACB0335738F8}"/>
    <cellStyle name="Percent 3 5 2" xfId="20212" xr:uid="{730ABA3F-A401-4728-B345-23F374FA5CB9}"/>
    <cellStyle name="Percent 3 5 2 2" xfId="38202" xr:uid="{AB8F327B-EFCD-463C-B5DB-92E45851E55C}"/>
    <cellStyle name="Percent 3 5 2 3" xfId="38203" xr:uid="{0D523368-B80B-4783-A160-7977A60FEB5F}"/>
    <cellStyle name="Percent 3 5 2 4" xfId="38204" xr:uid="{06DA0312-1B3A-4284-8469-3812309BF37C}"/>
    <cellStyle name="Percent 3 5 3" xfId="20213" xr:uid="{E088FD95-9F4C-478D-AFBD-3FA930AC6D14}"/>
    <cellStyle name="Percent 3 5 3 2" xfId="38205" xr:uid="{21CF390F-8428-4C4F-B026-393802511FA6}"/>
    <cellStyle name="Percent 3 5 4" xfId="20214" xr:uid="{EF7123E0-69E2-4F2B-AEAA-D093F9AE73F6}"/>
    <cellStyle name="Percent 3 5 5" xfId="20215" xr:uid="{96FB438E-B08D-44C1-864C-FDC5B58B36D7}"/>
    <cellStyle name="Percent 3 5 5 2" xfId="38206" xr:uid="{EC2417BC-B405-4D0C-99A5-381AA4CC05A5}"/>
    <cellStyle name="Percent 3 5 6" xfId="38207" xr:uid="{5729B4F7-897E-4AA7-B830-3EC8D9195EEA}"/>
    <cellStyle name="Percent 3 5 6 2" xfId="38208" xr:uid="{250833E2-5061-4CDC-9966-F3E5F61D3C69}"/>
    <cellStyle name="Percent 3 5 7" xfId="38209" xr:uid="{9CFE9E4E-5457-4F50-B118-9A76A93675FB}"/>
    <cellStyle name="Percent 3 5 8" xfId="38210" xr:uid="{9DE3B9C6-6370-4736-9AF6-31402F4A8844}"/>
    <cellStyle name="Percent 3 5 9" xfId="38211" xr:uid="{80F81F30-6C74-4E2C-BF34-C20406BD11F5}"/>
    <cellStyle name="Percent 3 6" xfId="20216" xr:uid="{FD2090CC-9BC5-4550-9F86-2397E5D36E3D}"/>
    <cellStyle name="Percent 3 6 10" xfId="38212" xr:uid="{2602A584-26EF-4730-8CDC-0BDA4649837B}"/>
    <cellStyle name="Percent 3 6 11" xfId="38213" xr:uid="{923132BC-280F-4B40-9831-1281FEE41C62}"/>
    <cellStyle name="Percent 3 6 12" xfId="38214" xr:uid="{AE67AD2F-136E-4048-B7A6-6C2F19CDF8F5}"/>
    <cellStyle name="Percent 3 6 13" xfId="38215" xr:uid="{EF76D38E-3557-4512-908C-22268FFFC6B6}"/>
    <cellStyle name="Percent 3 6 14" xfId="38216" xr:uid="{4A73DE00-38AE-4CEB-AFBA-CF0A59A4D1D9}"/>
    <cellStyle name="Percent 3 6 15" xfId="38217" xr:uid="{ABAE9161-5A38-43F4-8746-5A2322CBB17A}"/>
    <cellStyle name="Percent 3 6 16" xfId="38218" xr:uid="{9F8AC21E-8E7B-49BB-8787-5DBA96A5C772}"/>
    <cellStyle name="Percent 3 6 2" xfId="20217" xr:uid="{D3D2A8E1-5753-4409-9FFC-FA6BAB6ED832}"/>
    <cellStyle name="Percent 3 6 2 2" xfId="38219" xr:uid="{20A345C8-156C-400A-8087-D54B5808A576}"/>
    <cellStyle name="Percent 3 6 2 2 2" xfId="43229" xr:uid="{FB210F1F-323B-46A9-BE78-5BE6A94EDDCE}"/>
    <cellStyle name="Percent 3 6 2 3" xfId="38220" xr:uid="{71B76BDF-E6D4-48D4-ADAD-974F3C4A7135}"/>
    <cellStyle name="Percent 3 6 2 4" xfId="38221" xr:uid="{8D73F21D-F99B-446E-A4F2-78039398C4DF}"/>
    <cellStyle name="Percent 3 6 3" xfId="20218" xr:uid="{1939D775-3269-4977-80F9-2E2102095489}"/>
    <cellStyle name="Percent 3 6 3 2" xfId="38222" xr:uid="{C8522040-79A4-452D-91C8-389F42FF48E6}"/>
    <cellStyle name="Percent 3 6 4" xfId="20219" xr:uid="{89386EA1-3A1D-47F6-94D5-B7A265A64CE1}"/>
    <cellStyle name="Percent 3 6 5" xfId="38223" xr:uid="{E4E7B013-598E-46EA-A9C2-A90173CD6243}"/>
    <cellStyle name="Percent 3 6 5 2" xfId="38224" xr:uid="{2F6C6328-9FDB-4FFC-8CC0-D0FF9D60FE06}"/>
    <cellStyle name="Percent 3 6 6" xfId="38225" xr:uid="{8A2240EA-CF9D-4F3C-BF23-AB5DD2D995FA}"/>
    <cellStyle name="Percent 3 6 7" xfId="38226" xr:uid="{30ECD1A4-7326-4A59-BAEA-5DD4306C5170}"/>
    <cellStyle name="Percent 3 6 8" xfId="38227" xr:uid="{1E2ACDFF-9D17-4C82-BBB7-817B7490DED0}"/>
    <cellStyle name="Percent 3 6 9" xfId="38228" xr:uid="{ABE2AA17-833D-470F-9E28-3EBA03948B9C}"/>
    <cellStyle name="Percent 3 7" xfId="20220" xr:uid="{F1094D9F-D4C5-4EFA-AB2C-985C0D2AD780}"/>
    <cellStyle name="Percent 3 7 10" xfId="38229" xr:uid="{07C07D71-94D3-4331-AA13-3DB74CEA3113}"/>
    <cellStyle name="Percent 3 7 11" xfId="38230" xr:uid="{A9A4A75E-D3E7-40A0-8271-B8A701A7EFCE}"/>
    <cellStyle name="Percent 3 7 12" xfId="38231" xr:uid="{DE3C9353-F677-4BA5-B4D6-3040A478700D}"/>
    <cellStyle name="Percent 3 7 13" xfId="38232" xr:uid="{0F921720-A7B3-470B-BD3F-C95648BD6E90}"/>
    <cellStyle name="Percent 3 7 14" xfId="38233" xr:uid="{49D3B6CD-AB1A-44A9-AABA-D1A20BDC4E8A}"/>
    <cellStyle name="Percent 3 7 15" xfId="38234" xr:uid="{998D83E2-8BF6-4108-B51E-3528F180C0BD}"/>
    <cellStyle name="Percent 3 7 16" xfId="38235" xr:uid="{E1E4D9EF-D3E0-414C-BFF5-15982BEE3BC3}"/>
    <cellStyle name="Percent 3 7 2" xfId="20221" xr:uid="{21386D4F-423D-42B1-A0B8-BF239331D65A}"/>
    <cellStyle name="Percent 3 7 2 2" xfId="38236" xr:uid="{154484C0-E0BA-4AFE-AFFB-4708CD43CBC6}"/>
    <cellStyle name="Percent 3 7 2 3" xfId="38237" xr:uid="{4B075226-6074-4F40-BAEF-74C200F9E08B}"/>
    <cellStyle name="Percent 3 7 2 4" xfId="38238" xr:uid="{E0C67B43-2D73-46C9-9163-E8C109CF92C1}"/>
    <cellStyle name="Percent 3 7 3" xfId="20222" xr:uid="{48246A80-8A73-4A3D-867E-C5BCC383E05A}"/>
    <cellStyle name="Percent 3 7 3 2" xfId="38239" xr:uid="{5FD32715-5CD4-4AFA-999F-CE310B606410}"/>
    <cellStyle name="Percent 3 7 4" xfId="20223" xr:uid="{81CB6D98-7DBC-4038-A576-D3DC6EE52349}"/>
    <cellStyle name="Percent 3 7 5" xfId="38240" xr:uid="{97F748B1-6663-49CA-9F13-53F0CDEFBE38}"/>
    <cellStyle name="Percent 3 7 5 2" xfId="38241" xr:uid="{C924E3F4-580F-48D8-B8BB-CB0C8833D832}"/>
    <cellStyle name="Percent 3 7 6" xfId="38242" xr:uid="{02A934BC-4D90-4D94-9AEE-32D73D55A4A8}"/>
    <cellStyle name="Percent 3 7 7" xfId="38243" xr:uid="{818C7BAC-4413-4E77-83FA-28BB4197C706}"/>
    <cellStyle name="Percent 3 7 8" xfId="38244" xr:uid="{D4C4E095-311E-4FD1-9468-043509A9ECDB}"/>
    <cellStyle name="Percent 3 7 9" xfId="38245" xr:uid="{59D1E231-5A35-4F93-8C8C-92B211383429}"/>
    <cellStyle name="Percent 3 8" xfId="20224" xr:uid="{C4B9C06A-1AA3-4B95-BCB1-AB33A0705C55}"/>
    <cellStyle name="Percent 3 8 10" xfId="38246" xr:uid="{227D7B19-1E6E-49A3-9F5B-3495A24FDD4B}"/>
    <cellStyle name="Percent 3 8 11" xfId="38247" xr:uid="{5F7022F1-8F49-4D37-B503-635673ECB487}"/>
    <cellStyle name="Percent 3 8 12" xfId="38248" xr:uid="{5DDB3159-32F9-4A8D-B915-1F2CF5765430}"/>
    <cellStyle name="Percent 3 8 13" xfId="38249" xr:uid="{55F217D6-0BEA-4190-A114-665BABA89BCF}"/>
    <cellStyle name="Percent 3 8 14" xfId="38250" xr:uid="{31009E52-B725-4279-B909-F422C5F7BAE1}"/>
    <cellStyle name="Percent 3 8 15" xfId="38251" xr:uid="{BE226F2F-65FD-478A-8979-A66489D53728}"/>
    <cellStyle name="Percent 3 8 16" xfId="38252" xr:uid="{58A5E3DB-3C01-4A2D-B194-296B0DE51D4B}"/>
    <cellStyle name="Percent 3 8 2" xfId="20225" xr:uid="{EB9613A3-9219-4D6F-86E9-FF96CE807382}"/>
    <cellStyle name="Percent 3 8 2 2" xfId="38253" xr:uid="{56B0F5AF-ACF5-4FEF-8855-8B674698FCA8}"/>
    <cellStyle name="Percent 3 8 3" xfId="20226" xr:uid="{ADA04302-CCDB-4139-849C-A1272CA5497F}"/>
    <cellStyle name="Percent 3 8 4" xfId="20227" xr:uid="{5AE6CE72-7EC4-4361-AAA5-6339175E3237}"/>
    <cellStyle name="Percent 3 8 4 2" xfId="38254" xr:uid="{03F79D3D-E069-4B89-ADDB-0C3B3275F652}"/>
    <cellStyle name="Percent 3 8 5" xfId="38255" xr:uid="{2C0BA446-32EC-4510-9369-A81399DE3F53}"/>
    <cellStyle name="Percent 3 8 6" xfId="38256" xr:uid="{AF75377B-CAD1-4253-9C98-C5A007C419A5}"/>
    <cellStyle name="Percent 3 8 7" xfId="38257" xr:uid="{A3714A42-CFD3-4697-8410-114896423C47}"/>
    <cellStyle name="Percent 3 8 8" xfId="38258" xr:uid="{9AB94030-BF02-4C88-9AB1-34B2664DB32F}"/>
    <cellStyle name="Percent 3 8 9" xfId="38259" xr:uid="{4FB0C9E1-E6FB-4251-9152-3802722C0A28}"/>
    <cellStyle name="Percent 3 9" xfId="20228" xr:uid="{FCDC8806-A87A-4EB1-B70A-C19C2B4469C8}"/>
    <cellStyle name="Percent 3 9 10" xfId="38260" xr:uid="{9944FC27-DC6E-4100-A6C9-752B3000D343}"/>
    <cellStyle name="Percent 3 9 11" xfId="38261" xr:uid="{45A2B470-3CB6-4E9E-8D57-E5D40BD36156}"/>
    <cellStyle name="Percent 3 9 12" xfId="38262" xr:uid="{5E1E81BE-CD2F-47FC-AEFD-242F99DF6063}"/>
    <cellStyle name="Percent 3 9 13" xfId="38263" xr:uid="{21485BA7-3BA4-4B68-B3BE-006FD35DA66C}"/>
    <cellStyle name="Percent 3 9 14" xfId="38264" xr:uid="{290B6B24-E887-48AE-B16B-C02CD9785168}"/>
    <cellStyle name="Percent 3 9 15" xfId="38265" xr:uid="{2AAC76B3-AB99-408D-81AF-C82BE569D544}"/>
    <cellStyle name="Percent 3 9 16" xfId="38266" xr:uid="{A1C83FE5-528A-4B8F-A605-6DFD1D78CA70}"/>
    <cellStyle name="Percent 3 9 2" xfId="38267" xr:uid="{31E887C0-F0C0-4402-83EF-AA0675B0B488}"/>
    <cellStyle name="Percent 3 9 2 2" xfId="38268" xr:uid="{E5F23A32-3794-4206-91C8-5AC22B6E33FE}"/>
    <cellStyle name="Percent 3 9 3" xfId="38269" xr:uid="{B73A10E1-AE71-4335-AFCC-C2481EB44D65}"/>
    <cellStyle name="Percent 3 9 3 2" xfId="38270" xr:uid="{8F340BF3-AD90-4C46-99EB-E5B526492CAF}"/>
    <cellStyle name="Percent 3 9 4" xfId="38271" xr:uid="{506B2284-463B-475E-872F-96C3040995F5}"/>
    <cellStyle name="Percent 3 9 5" xfId="38272" xr:uid="{AC6EF5CE-54C1-4638-B410-AA304663E90C}"/>
    <cellStyle name="Percent 3 9 6" xfId="38273" xr:uid="{5877C567-C4B2-4977-A89E-E8A2A662A666}"/>
    <cellStyle name="Percent 3 9 7" xfId="38274" xr:uid="{4C29BA59-B434-4361-BCE5-FA3858D398E7}"/>
    <cellStyle name="Percent 3 9 8" xfId="38275" xr:uid="{B3AEF7BF-0F30-4B62-932B-C6F6993C627C}"/>
    <cellStyle name="Percent 3 9 9" xfId="38276" xr:uid="{3D1A8E38-A987-41C9-8ED2-58B087D5DE80}"/>
    <cellStyle name="Percent 30" xfId="45784" xr:uid="{DCE9FF96-F422-42E0-A583-88803BE28C0C}"/>
    <cellStyle name="Percent 31" xfId="38277" xr:uid="{F2A494D3-A94C-4055-B7B4-4609E619B69B}"/>
    <cellStyle name="Percent 4" xfId="20229" xr:uid="{9E821399-1D94-44DE-BB32-F36A1973AAE8}"/>
    <cellStyle name="Percent 4 10" xfId="20230" xr:uid="{F668E67D-21AB-4E10-930D-DA3DE020D512}"/>
    <cellStyle name="Percent 4 10 2" xfId="20231" xr:uid="{BFFD323A-BEAC-4332-B4B0-B1BEE5BF6EFB}"/>
    <cellStyle name="Percent 4 10 2 2" xfId="38278" xr:uid="{8E3E5C22-8C37-4310-8245-B6EC46A88EF1}"/>
    <cellStyle name="Percent 4 10 3" xfId="38279" xr:uid="{CEFF9336-E884-43E8-962D-98E0FDE48318}"/>
    <cellStyle name="Percent 4 10 4" xfId="38280" xr:uid="{6A199A6D-7403-4CAB-9F85-FC8CB3768335}"/>
    <cellStyle name="Percent 4 11" xfId="20232" xr:uid="{89F43E58-1634-4EC3-9AAD-BAC006994EA6}"/>
    <cellStyle name="Percent 4 11 2" xfId="20233" xr:uid="{BF3CFF1A-C699-43F3-9C61-2672E5AF3A55}"/>
    <cellStyle name="Percent 4 11 2 2" xfId="38281" xr:uid="{7835AFF4-CBCA-4DD6-BFAB-5F8C3DF5F383}"/>
    <cellStyle name="Percent 4 11 3" xfId="38282" xr:uid="{E1DE2542-CD8F-4F85-83C6-B6566E9EED89}"/>
    <cellStyle name="Percent 4 11 4" xfId="38283" xr:uid="{AD3655F8-F8B0-427F-802E-9D5343FE0400}"/>
    <cellStyle name="Percent 4 12" xfId="20234" xr:uid="{BF26E872-4316-4225-9D42-876D7028BB8D}"/>
    <cellStyle name="Percent 4 12 2" xfId="38284" xr:uid="{406C4373-DA48-45CC-9747-7A50B7C2D67A}"/>
    <cellStyle name="Percent 4 13" xfId="20235" xr:uid="{76E5BEAD-F705-4593-881E-8BC74E79F9BF}"/>
    <cellStyle name="Percent 4 13 2" xfId="38285" xr:uid="{1378440E-EDE4-4CE2-9973-3A3190D3F680}"/>
    <cellStyle name="Percent 4 14" xfId="20236" xr:uid="{BE8F2113-802A-4FC2-9738-EEB6D302C4FA}"/>
    <cellStyle name="Percent 4 14 2" xfId="38286" xr:uid="{664FB74E-B426-4025-9F42-2D1DCBF3EAE4}"/>
    <cellStyle name="Percent 4 14 3" xfId="38287" xr:uid="{58CB9C3F-6A5E-47C3-9427-759E46A7AB98}"/>
    <cellStyle name="Percent 4 15" xfId="20237" xr:uid="{92F54D8F-C864-47F4-B25A-1E243609691E}"/>
    <cellStyle name="Percent 4 15 2" xfId="38288" xr:uid="{4ECC59BF-B7CA-46A2-958D-758AAF3CF6CA}"/>
    <cellStyle name="Percent 4 15 3" xfId="38289" xr:uid="{CDC4B3C5-8DF9-4B62-9F5A-83336016EFCB}"/>
    <cellStyle name="Percent 4 15 4" xfId="38290" xr:uid="{4D34CE4A-E97F-47D2-84CB-4413BA900A1A}"/>
    <cellStyle name="Percent 4 16" xfId="20238" xr:uid="{DED7DF19-E030-4EC0-95B8-FB32FF41EF27}"/>
    <cellStyle name="Percent 4 16 2" xfId="38291" xr:uid="{9ABC73BD-168C-411C-A6CD-0C67E885DB11}"/>
    <cellStyle name="Percent 4 16 2 2" xfId="43231" xr:uid="{3F4F41A3-BFBD-4E1B-BABE-467AE15D80C7}"/>
    <cellStyle name="Percent 4 16 3" xfId="38292" xr:uid="{099575E5-AA86-4D91-844B-AEC41F7834AD}"/>
    <cellStyle name="Percent 4 16 4" xfId="38293" xr:uid="{EB432E7C-2AB3-4817-A5EF-E331D0E424C5}"/>
    <cellStyle name="Percent 4 17" xfId="20239" xr:uid="{025617BA-0090-46C2-AD9E-E4375694BDFF}"/>
    <cellStyle name="Percent 4 17 2" xfId="38294" xr:uid="{300C7074-C05F-40FD-A8A8-F8A64D9B2E87}"/>
    <cellStyle name="Percent 4 17 3" xfId="38295" xr:uid="{7AB44531-F228-4AB6-B9C4-70DF1AFB3D4F}"/>
    <cellStyle name="Percent 4 17 4" xfId="38296" xr:uid="{6FB85344-EBE6-4656-ABA5-2121DF4862BC}"/>
    <cellStyle name="Percent 4 18" xfId="20240" xr:uid="{C640DB89-29BD-4F4B-973B-1A584DC73E0B}"/>
    <cellStyle name="Percent 4 18 2" xfId="38297" xr:uid="{B17208D2-9AA4-4A0F-9989-CE4C0AD2155F}"/>
    <cellStyle name="Percent 4 18 3" xfId="38298" xr:uid="{E3C61EA5-2436-4CC3-B892-155BCD05F8B2}"/>
    <cellStyle name="Percent 4 18 4" xfId="38299" xr:uid="{DA53CCF1-85EB-4D67-AAED-597A7963EE77}"/>
    <cellStyle name="Percent 4 19" xfId="20241" xr:uid="{9A9565B4-5EBF-40E8-8B10-9B950AA47E3E}"/>
    <cellStyle name="Percent 4 19 2" xfId="38300" xr:uid="{4685702E-D00C-4F31-8AF3-27D8773F8438}"/>
    <cellStyle name="Percent 4 19 3" xfId="38301" xr:uid="{7DED8FAC-205B-40C7-869D-0C4046739240}"/>
    <cellStyle name="Percent 4 19 4" xfId="38302" xr:uid="{49EC6E9F-BC8A-48BB-B291-36D9881BF5EF}"/>
    <cellStyle name="Percent 4 2" xfId="20242" xr:uid="{1FE8488E-8FC3-43D8-A17C-CC2B1131DF4B}"/>
    <cellStyle name="Percent 4 2 10" xfId="20243" xr:uid="{718EB519-FBE1-4EC9-9E3C-ED318EB2232F}"/>
    <cellStyle name="Percent 4 2 11" xfId="38303" xr:uid="{42DBD5FD-F287-4782-8E2E-A7F593D5876E}"/>
    <cellStyle name="Percent 4 2 12" xfId="38304" xr:uid="{6A375E12-8197-4D2E-AC83-22E772610551}"/>
    <cellStyle name="Percent 4 2 2" xfId="20244" xr:uid="{40A21702-1F33-42AC-A952-07F74282F25F}"/>
    <cellStyle name="Percent 4 2 2 2" xfId="20245" xr:uid="{7779C97D-5E2B-40F6-9D12-31BAA860DB05}"/>
    <cellStyle name="Percent 4 2 2 2 2" xfId="38305" xr:uid="{BFF3A45A-71A6-4B5D-8469-68F2E0ADE2CE}"/>
    <cellStyle name="Percent 4 2 2 2 3" xfId="38306" xr:uid="{057A940C-A72D-4C6B-AA62-29DB20B43814}"/>
    <cellStyle name="Percent 4 2 2 2 4" xfId="38307" xr:uid="{AC4EC4F3-A722-4222-8CBE-7A8E16AA6538}"/>
    <cellStyle name="Percent 4 2 2 3" xfId="20246" xr:uid="{30FF287D-3436-4B04-9304-EE6D44E3F0CC}"/>
    <cellStyle name="Percent 4 2 2 4" xfId="20247" xr:uid="{7FEE6044-C118-4A0D-892E-C38FA21D95F4}"/>
    <cellStyle name="Percent 4 2 2 5" xfId="38308" xr:uid="{7CEABF77-262C-45E9-B986-056888CE5880}"/>
    <cellStyle name="Percent 4 2 3" xfId="20248" xr:uid="{8D2CFE0F-946D-47FD-AC58-489FC95D0434}"/>
    <cellStyle name="Percent 4 2 3 2" xfId="20249" xr:uid="{FA695857-C0B7-40AA-A0B8-75ADDF6E5637}"/>
    <cellStyle name="Percent 4 2 3 2 2" xfId="38309" xr:uid="{979DA5A6-B7A5-4AAF-A0D7-124E6EEC8792}"/>
    <cellStyle name="Percent 4 2 3 2 3" xfId="38310" xr:uid="{C28A3BBC-398D-4CCC-9BC5-E5622226D671}"/>
    <cellStyle name="Percent 4 2 3 2 4" xfId="38311" xr:uid="{A2741C43-39A1-4615-815D-AC4812DAEE42}"/>
    <cellStyle name="Percent 4 2 3 3" xfId="20250" xr:uid="{5085DAE5-B88E-49B0-99B1-94F41C085AC1}"/>
    <cellStyle name="Percent 4 2 3 4" xfId="20251" xr:uid="{38413BCB-4B1B-40F4-B667-CCE561C3D439}"/>
    <cellStyle name="Percent 4 2 3 5" xfId="38312" xr:uid="{9C3D3B87-12FE-402D-BF2C-14EFE3C023F5}"/>
    <cellStyle name="Percent 4 2 4" xfId="20252" xr:uid="{2BAD405D-A4FB-4252-B5E6-D4FE6B220299}"/>
    <cellStyle name="Percent 4 2 4 2" xfId="20253" xr:uid="{CE6B7FF9-023E-4C94-8C59-81ADA5D4DE1A}"/>
    <cellStyle name="Percent 4 2 4 2 2" xfId="38313" xr:uid="{33883B24-C96B-489A-9541-0142DA223EB5}"/>
    <cellStyle name="Percent 4 2 4 3" xfId="20254" xr:uid="{7CF7E3C2-5771-46F2-AF92-0A74A8733895}"/>
    <cellStyle name="Percent 4 2 4 3 2" xfId="43232" xr:uid="{3C91AD9A-4BB1-4D77-BA39-40228B97C246}"/>
    <cellStyle name="Percent 4 2 4 4" xfId="38314" xr:uid="{10944340-3C0F-4DBE-975D-FE43BDDC934E}"/>
    <cellStyle name="Percent 4 2 5" xfId="20255" xr:uid="{5629F5AF-C708-4D1F-B55C-CFC3B3D81599}"/>
    <cellStyle name="Percent 4 2 5 2" xfId="38315" xr:uid="{7F1D3DE0-C469-4DB5-9C03-10A57E880F2C}"/>
    <cellStyle name="Percent 4 2 6" xfId="20256" xr:uid="{8E1FECB7-D679-4962-9E47-911AFFC814FB}"/>
    <cellStyle name="Percent 4 2 6 2" xfId="38316" xr:uid="{EBB495B1-D716-4560-8924-09E0CA2C2FB8}"/>
    <cellStyle name="Percent 4 2 7" xfId="20257" xr:uid="{D518995A-94B3-4B99-8FB0-702E8B0EF756}"/>
    <cellStyle name="Percent 4 2 7 2" xfId="38317" xr:uid="{6B680E13-E6AE-4EE8-9BB1-E8AD6DE779F2}"/>
    <cellStyle name="Percent 4 2 8" xfId="20258" xr:uid="{8E68E77A-8A78-4F01-A35F-F5920F45337D}"/>
    <cellStyle name="Percent 4 2 8 2" xfId="38318" xr:uid="{DE5EE4B7-A7B1-4F9D-AE37-68CAFAF19A09}"/>
    <cellStyle name="Percent 4 2 9" xfId="20259" xr:uid="{051435A2-4A13-41F8-A0A1-14D22855CA16}"/>
    <cellStyle name="Percent 4 2 9 2" xfId="38319" xr:uid="{577BBEDF-C0F7-402C-86D5-9CBC29B65638}"/>
    <cellStyle name="Percent 4 20" xfId="20260" xr:uid="{2638C9B7-05D8-4251-8EB7-06B6DC79B75D}"/>
    <cellStyle name="Percent 4 21" xfId="20261" xr:uid="{5CAFDAD8-01D9-4F9D-B177-981E707819D7}"/>
    <cellStyle name="Percent 4 21 2" xfId="38320" xr:uid="{02CBF2FE-5A77-48C2-A80B-A759535905C7}"/>
    <cellStyle name="Percent 4 21 3" xfId="38321" xr:uid="{DE43B3A4-93B5-4113-866A-2C0D72579794}"/>
    <cellStyle name="Percent 4 21 4" xfId="38322" xr:uid="{8AE5819A-92C0-420A-A36F-A832A853D5FC}"/>
    <cellStyle name="Percent 4 22" xfId="38323" xr:uid="{F2BD929B-92A5-46B5-8A04-F7EBDD2C229B}"/>
    <cellStyle name="Percent 4 23" xfId="38324" xr:uid="{828E97D1-6C5C-4E07-B91E-5CEC570E524E}"/>
    <cellStyle name="Percent 4 24" xfId="38325" xr:uid="{53D3BDC8-C7B1-46B1-9A97-22BDCF6B52AD}"/>
    <cellStyle name="Percent 4 25" xfId="38326" xr:uid="{3E4392D5-5A2E-4358-B36A-EF055CF4F4E5}"/>
    <cellStyle name="Percent 4 26" xfId="38327" xr:uid="{326EA6FC-D7AF-4D71-B07E-E22B473E895E}"/>
    <cellStyle name="Percent 4 27" xfId="38328" xr:uid="{2B65D664-7C8D-4428-8F52-C3F867DCBA59}"/>
    <cellStyle name="Percent 4 28" xfId="38329" xr:uid="{8C34D6C9-0549-46DC-8194-71B40D72C3E4}"/>
    <cellStyle name="Percent 4 29" xfId="38330" xr:uid="{BEA4E0C5-483B-4538-A264-63EABD2D33A5}"/>
    <cellStyle name="Percent 4 29 2" xfId="38331" xr:uid="{E34252AE-87C8-447C-BD10-2CE9A3D6D59B}"/>
    <cellStyle name="Percent 4 3" xfId="20262" xr:uid="{BA0D0BEB-3573-4034-8E1A-59FCBA745AFB}"/>
    <cellStyle name="Percent 4 3 10" xfId="20263" xr:uid="{3DEF2EE8-FF65-426E-ADBD-A47D1A305962}"/>
    <cellStyle name="Percent 4 3 11" xfId="38332" xr:uid="{AD748CC2-9FA7-464C-AC7D-5AB9F5484716}"/>
    <cellStyle name="Percent 4 3 2" xfId="20264" xr:uid="{582630BB-8364-44DE-9813-28F8E027C4A4}"/>
    <cellStyle name="Percent 4 3 2 2" xfId="20265" xr:uid="{0C09185F-BC32-4BA6-BEE3-AFF4FA4DD4B5}"/>
    <cellStyle name="Percent 4 3 2 2 2" xfId="38333" xr:uid="{1109E8AC-C8F0-4675-83C5-CA7367F3C9BE}"/>
    <cellStyle name="Percent 4 3 2 3" xfId="38334" xr:uid="{F846154D-A990-4D1B-854D-34266FC4FC93}"/>
    <cellStyle name="Percent 4 3 2 4" xfId="38335" xr:uid="{3180FF6D-3F91-4954-9FA0-21D44A6B04AB}"/>
    <cellStyle name="Percent 4 3 3" xfId="20266" xr:uid="{7A874AA3-4035-4CD4-A690-4DA417B9EA9C}"/>
    <cellStyle name="Percent 4 3 3 2" xfId="38336" xr:uid="{800E2C92-7D77-4C48-85DC-6560932EFE99}"/>
    <cellStyle name="Percent 4 3 4" xfId="20267" xr:uid="{C3C70357-E534-4189-95E3-95934B63F636}"/>
    <cellStyle name="Percent 4 3 4 2" xfId="38337" xr:uid="{A1F657C3-943D-44C7-910E-321BBCBD8DA7}"/>
    <cellStyle name="Percent 4 3 5" xfId="20268" xr:uid="{F6B9B2FC-533E-49C2-8909-5E34BC42E0C1}"/>
    <cellStyle name="Percent 4 3 5 2" xfId="38338" xr:uid="{5E858EE6-59B0-42D6-ABF6-468CBB0240B7}"/>
    <cellStyle name="Percent 4 3 6" xfId="20269" xr:uid="{4C961ECB-6CFB-4DA2-AB59-0514CBE15D39}"/>
    <cellStyle name="Percent 4 3 6 2" xfId="38339" xr:uid="{C511F366-5276-4907-9E84-1C25368DD084}"/>
    <cellStyle name="Percent 4 3 7" xfId="20270" xr:uid="{43EA9B77-7A16-41DA-A352-0F08C777B2E2}"/>
    <cellStyle name="Percent 4 3 7 2" xfId="38340" xr:uid="{FD367259-5D2C-4092-9702-A5933102BB16}"/>
    <cellStyle name="Percent 4 3 8" xfId="20271" xr:uid="{BB20890D-DC2A-461E-8473-6781AD6AA1BD}"/>
    <cellStyle name="Percent 4 3 8 2" xfId="38341" xr:uid="{C348D820-0757-409E-AD46-DBB1A48D70BD}"/>
    <cellStyle name="Percent 4 3 9" xfId="20272" xr:uid="{9C8E7D9E-03E5-4C26-9A92-9E426EE6E7C2}"/>
    <cellStyle name="Percent 4 3 9 2" xfId="38342" xr:uid="{70A0B256-FC65-44AF-8E3A-E3615DEE3385}"/>
    <cellStyle name="Percent 4 30" xfId="38343" xr:uid="{BD82CF14-60DF-4DB6-99D3-41AF71EF645D}"/>
    <cellStyle name="Percent 4 31" xfId="38344" xr:uid="{E613A214-3CAA-4828-BDD8-D79B32137341}"/>
    <cellStyle name="Percent 4 4" xfId="20273" xr:uid="{358B881C-209C-4A31-9FBC-8AE1656F110D}"/>
    <cellStyle name="Percent 4 4 10" xfId="20274" xr:uid="{C8F19A47-7AD8-4612-A346-841CF8C56ECC}"/>
    <cellStyle name="Percent 4 4 11" xfId="20275" xr:uid="{8E84B0E4-E1D7-4AC8-AB58-0FE9B7BAEAB3}"/>
    <cellStyle name="Percent 4 4 12" xfId="38345" xr:uid="{8D153093-A943-4094-8EA3-A50BA7AC5D9B}"/>
    <cellStyle name="Percent 4 4 2" xfId="20276" xr:uid="{24DF5CCA-C52A-4482-B505-8A0258827074}"/>
    <cellStyle name="Percent 4 4 2 2" xfId="20277" xr:uid="{171951F8-9D85-45A3-BAB2-0FE7871DE13B}"/>
    <cellStyle name="Percent 4 4 2 2 2" xfId="38346" xr:uid="{C7C85BD6-54F8-42C3-A222-68AEDDD5FAB7}"/>
    <cellStyle name="Percent 4 4 2 3" xfId="38347" xr:uid="{0A509CBD-8C34-4349-B193-F5FB06FDDEE2}"/>
    <cellStyle name="Percent 4 4 2 4" xfId="38348" xr:uid="{4274A8AF-A8A0-4A7E-9300-4EDFDC7838D7}"/>
    <cellStyle name="Percent 4 4 3" xfId="20278" xr:uid="{6EF92129-854D-4B5B-9316-E172DDB74D06}"/>
    <cellStyle name="Percent 4 4 3 2" xfId="38349" xr:uid="{EFB8CE02-87E1-47FF-A250-AF2DD3F10880}"/>
    <cellStyle name="Percent 4 4 4" xfId="20279" xr:uid="{1972A844-41AA-4520-84C1-A6D9932ADB15}"/>
    <cellStyle name="Percent 4 4 4 2" xfId="38350" xr:uid="{6FA7BF0B-7541-4462-815E-61D541535CFA}"/>
    <cellStyle name="Percent 4 4 5" xfId="20280" xr:uid="{41E10D0B-E58B-4FE7-BF93-3E829840B3A1}"/>
    <cellStyle name="Percent 4 4 5 2" xfId="38351" xr:uid="{79A5D417-D7E2-46B3-9F6A-7BBA1FDA00BE}"/>
    <cellStyle name="Percent 4 4 6" xfId="20281" xr:uid="{7B0B8004-FB9E-421A-A85B-0CA1E8E3CE48}"/>
    <cellStyle name="Percent 4 4 6 2" xfId="38352" xr:uid="{4B844C14-E70F-435B-9517-DBB99AAD200D}"/>
    <cellStyle name="Percent 4 4 7" xfId="20282" xr:uid="{2D252C30-603A-432E-84F0-FB3139F280B6}"/>
    <cellStyle name="Percent 4 4 7 2" xfId="38353" xr:uid="{545DFB81-58D0-47DD-89AA-FEA442D6AF0C}"/>
    <cellStyle name="Percent 4 4 8" xfId="20283" xr:uid="{BE2D329A-E20E-4E5A-962E-9A900FF6BF2B}"/>
    <cellStyle name="Percent 4 4 8 2" xfId="38354" xr:uid="{7D76BDA8-D9DF-416C-A18B-9E1B702A6EA3}"/>
    <cellStyle name="Percent 4 4 9" xfId="20284" xr:uid="{25C8A98C-964B-4923-9975-A337BDFF06D3}"/>
    <cellStyle name="Percent 4 4 9 2" xfId="38355" xr:uid="{AAA0F13F-8ADA-403A-B951-4CCFB00DBE1A}"/>
    <cellStyle name="Percent 4 5" xfId="20285" xr:uid="{76DFC0DA-87A5-40D2-A2D0-44BB0877ECC9}"/>
    <cellStyle name="Percent 4 5 10" xfId="20286" xr:uid="{B3A02236-235F-4E64-8BEC-6F887C0D299A}"/>
    <cellStyle name="Percent 4 5 11" xfId="20287" xr:uid="{28DBE89F-8141-4198-9ECB-3CCC373D6CBC}"/>
    <cellStyle name="Percent 4 5 12" xfId="38356" xr:uid="{7B090F73-6B52-4203-A829-6A65BFF80985}"/>
    <cellStyle name="Percent 4 5 2" xfId="20288" xr:uid="{87173DF3-84F1-4B74-9EE7-C4A916F22310}"/>
    <cellStyle name="Percent 4 5 2 2" xfId="20289" xr:uid="{B0CA3E15-73FB-4A4D-A87A-A894105026F6}"/>
    <cellStyle name="Percent 4 5 2 2 2" xfId="38357" xr:uid="{62226735-E2F8-4E4A-B07C-F72096E44374}"/>
    <cellStyle name="Percent 4 5 2 3" xfId="38358" xr:uid="{EFC3BEDC-FC02-4AC1-8139-0C9A23C8B57E}"/>
    <cellStyle name="Percent 4 5 2 4" xfId="38359" xr:uid="{29A86B18-352F-486F-B854-6F3CB80295C8}"/>
    <cellStyle name="Percent 4 5 3" xfId="20290" xr:uid="{C1F3C446-36A6-4439-988B-42E880795447}"/>
    <cellStyle name="Percent 4 5 3 2" xfId="38360" xr:uid="{9EA2A48D-CC5F-49E3-9DE0-CE34AA1B15DC}"/>
    <cellStyle name="Percent 4 5 4" xfId="20291" xr:uid="{B00BAF4E-6FBC-41C1-A41D-924CE82D056C}"/>
    <cellStyle name="Percent 4 5 4 2" xfId="38361" xr:uid="{C35751AB-59E8-4A5B-AE64-BEEE865B01A8}"/>
    <cellStyle name="Percent 4 5 5" xfId="20292" xr:uid="{0E6EBF29-37CD-4F43-BE17-9671309B36B2}"/>
    <cellStyle name="Percent 4 5 5 2" xfId="38362" xr:uid="{2F10F354-82A4-4932-AF72-93C14AB57BEB}"/>
    <cellStyle name="Percent 4 5 6" xfId="20293" xr:uid="{E78C4FF4-335B-4EAD-9551-992A08A06A9E}"/>
    <cellStyle name="Percent 4 5 6 2" xfId="38363" xr:uid="{2F2353FC-1C7D-49FC-8A18-B81C594EEC13}"/>
    <cellStyle name="Percent 4 5 7" xfId="20294" xr:uid="{FB286892-F318-4EFE-95AE-4219A05C54CC}"/>
    <cellStyle name="Percent 4 5 7 2" xfId="38364" xr:uid="{778F8B94-40A2-4DAD-8603-D10CCA9EC0D5}"/>
    <cellStyle name="Percent 4 5 8" xfId="20295" xr:uid="{9861A819-5159-4DDD-BD75-F66D672FD468}"/>
    <cellStyle name="Percent 4 5 8 2" xfId="38365" xr:uid="{968920E4-D4CB-4AA8-AA2D-ADD2B9C5AD05}"/>
    <cellStyle name="Percent 4 5 9" xfId="20296" xr:uid="{7A5CDDBE-EF28-411F-ACD4-52EAD1BB4C09}"/>
    <cellStyle name="Percent 4 5 9 2" xfId="38366" xr:uid="{B2971B27-72F5-4824-A65A-BD4FF05CE16F}"/>
    <cellStyle name="Percent 4 6" xfId="20297" xr:uid="{625A1BEC-0955-4BAE-ACF9-BD09035AB919}"/>
    <cellStyle name="Percent 4 6 10" xfId="20298" xr:uid="{E9ED0C57-F4EC-4472-A6BB-DE416FFB7843}"/>
    <cellStyle name="Percent 4 6 11" xfId="20299" xr:uid="{E6ECF7E7-CA0D-4845-9ABB-761DCB84679B}"/>
    <cellStyle name="Percent 4 6 2" xfId="20300" xr:uid="{CE137FF9-0708-4C99-A0F9-60E5E4630778}"/>
    <cellStyle name="Percent 4 6 2 2" xfId="38367" xr:uid="{EDA35B8E-689E-47C1-B49D-4AA01A36C634}"/>
    <cellStyle name="Percent 4 6 3" xfId="20301" xr:uid="{DED4B8CF-F652-4A5D-911A-B9DB277B3C7F}"/>
    <cellStyle name="Percent 4 6 3 2" xfId="38368" xr:uid="{A6305515-8EBE-4945-A03C-15619ECDA8DC}"/>
    <cellStyle name="Percent 4 6 4" xfId="20302" xr:uid="{E86299AC-5A0D-479B-953E-D5CFC4992BC3}"/>
    <cellStyle name="Percent 4 6 4 2" xfId="38369" xr:uid="{12A4F3FC-637A-4A86-BF40-91BD0271D0E3}"/>
    <cellStyle name="Percent 4 6 5" xfId="20303" xr:uid="{0C10B9DD-51F5-4EAA-8298-786A3BD69A8C}"/>
    <cellStyle name="Percent 4 6 5 2" xfId="38370" xr:uid="{F1FF15E9-E0FA-4CB5-84F2-822464629E9C}"/>
    <cellStyle name="Percent 4 6 6" xfId="20304" xr:uid="{041C808B-9667-4D47-8D1C-1F86E439DCAF}"/>
    <cellStyle name="Percent 4 6 6 2" xfId="38371" xr:uid="{9CC457C8-82E9-42E5-B435-58ACC72CF771}"/>
    <cellStyle name="Percent 4 6 7" xfId="20305" xr:uid="{49C3D2E1-AB02-4C43-ADCB-AF0F253D34AC}"/>
    <cellStyle name="Percent 4 6 7 2" xfId="38372" xr:uid="{5CAC18E5-0CED-45C6-9272-25EB1DD95C16}"/>
    <cellStyle name="Percent 4 6 8" xfId="20306" xr:uid="{02F27232-41A7-40D1-A797-303B9FB794CE}"/>
    <cellStyle name="Percent 4 6 8 2" xfId="38373" xr:uid="{20B96130-E742-4261-997B-4FB19733610B}"/>
    <cellStyle name="Percent 4 6 9" xfId="20307" xr:uid="{FF1C33F7-FDD9-460F-B228-9BFE5A7228E3}"/>
    <cellStyle name="Percent 4 6 9 2" xfId="38374" xr:uid="{8B65F158-BC7E-4A03-BEBC-D425174D3AD6}"/>
    <cellStyle name="Percent 4 7" xfId="20308" xr:uid="{D3B05D18-E442-4F14-8335-689149E1E184}"/>
    <cellStyle name="Percent 4 7 2" xfId="20309" xr:uid="{439918A8-C501-4235-A9F2-DE04A684DE12}"/>
    <cellStyle name="Percent 4 7 2 2" xfId="38375" xr:uid="{621FE38E-4A71-4BB1-9D03-AC972804226D}"/>
    <cellStyle name="Percent 4 7 3" xfId="38376" xr:uid="{7BA72D46-CE6E-4F15-AD3E-4B12DAD9D9DA}"/>
    <cellStyle name="Percent 4 7 4" xfId="38377" xr:uid="{B6A68A3B-B9E3-4AA6-AB73-188817304998}"/>
    <cellStyle name="Percent 4 8" xfId="20310" xr:uid="{0F6CE39D-B9E5-4E76-B4AB-E05BA93BB0C0}"/>
    <cellStyle name="Percent 4 8 2" xfId="20311" xr:uid="{76CC13F4-AEA2-4E4F-BA63-632E78E32D0B}"/>
    <cellStyle name="Percent 4 8 2 2" xfId="38378" xr:uid="{92216971-3D34-4A4B-AA32-DCE49B57C4C4}"/>
    <cellStyle name="Percent 4 8 3" xfId="38379" xr:uid="{7861D77B-3E0A-435C-B3C9-4B7CF2ED77E0}"/>
    <cellStyle name="Percent 4 8 4" xfId="38380" xr:uid="{551280BD-A6A4-44D7-A235-3C4BFF19F1FB}"/>
    <cellStyle name="Percent 4 9" xfId="20312" xr:uid="{71F8885F-AF13-41D0-8EDF-94396A2814DE}"/>
    <cellStyle name="Percent 4 9 2" xfId="20313" xr:uid="{612CADF8-F10B-4102-8F8B-91A59F7225D6}"/>
    <cellStyle name="Percent 4 9 2 2" xfId="38381" xr:uid="{4DF18CA2-A9DB-4B7E-931B-3E38748A17EF}"/>
    <cellStyle name="Percent 4 9 3" xfId="38382" xr:uid="{4923EA9F-4E49-4D13-A1B5-46141F113E9F}"/>
    <cellStyle name="Percent 4 9 4" xfId="38383" xr:uid="{E7F64F8F-F48A-449B-A6FE-9258A810B684}"/>
    <cellStyle name="Percent 5" xfId="20314" xr:uid="{62952ED7-3050-440C-944E-A061A9E5E571}"/>
    <cellStyle name="Percent 5 10" xfId="20315" xr:uid="{4D63A5AF-FE01-4696-BD74-212D92134118}"/>
    <cellStyle name="Percent 5 11" xfId="20316" xr:uid="{BE1FC441-1AF3-48A4-8A6C-D17B7BB29EAE}"/>
    <cellStyle name="Percent 5 11 2" xfId="38384" xr:uid="{F69F990F-423D-42EB-AC90-82ABA4E29BE9}"/>
    <cellStyle name="Percent 5 11 3" xfId="38385" xr:uid="{3C05FE8D-62FE-4C82-A651-3FA9A1AD9499}"/>
    <cellStyle name="Percent 5 11 4" xfId="38386" xr:uid="{D449D531-E9CF-4D47-A839-81A9DCB653D2}"/>
    <cellStyle name="Percent 5 12" xfId="20317" xr:uid="{8CDC9597-42F1-4E36-9487-D67F7A5A82DE}"/>
    <cellStyle name="Percent 5 12 2" xfId="43233" xr:uid="{598184EE-6B7F-447D-A88A-45DAD1329D7C}"/>
    <cellStyle name="Percent 5 13" xfId="38387" xr:uid="{EF355CC5-62E5-47CF-9DBE-FFEABC571E4F}"/>
    <cellStyle name="Percent 5 2" xfId="20318" xr:uid="{FC92E3E0-BFEC-4E2C-AEDE-B0ED59EFA697}"/>
    <cellStyle name="Percent 5 2 2" xfId="20319" xr:uid="{967D5134-FB21-497E-AB75-254111F19137}"/>
    <cellStyle name="Percent 5 2 2 2" xfId="20320" xr:uid="{CF83C0E8-446B-46AC-9A7C-D89B558D34FE}"/>
    <cellStyle name="Percent 5 2 2 3" xfId="20321" xr:uid="{EA589B23-EFAA-41B6-8C23-42EAB8B2269B}"/>
    <cellStyle name="Percent 5 2 2 4" xfId="38388" xr:uid="{4CA2C444-B95E-4A62-9CCF-77B1F90D9F53}"/>
    <cellStyle name="Percent 5 2 2 5" xfId="38389" xr:uid="{7CEAC29E-F67F-4239-BB24-1E9C665E5B4E}"/>
    <cellStyle name="Percent 5 2 3" xfId="20322" xr:uid="{F06C0A1A-1437-4632-A3E8-1F7F04671138}"/>
    <cellStyle name="Percent 5 2 3 2" xfId="20323" xr:uid="{4D63CF66-630F-45D0-A52B-2CF82BC0CC45}"/>
    <cellStyle name="Percent 5 2 3 3" xfId="20324" xr:uid="{3D5592CB-EEF1-466B-B54E-F1819729B5E2}"/>
    <cellStyle name="Percent 5 2 4" xfId="20325" xr:uid="{E828A961-02CA-4409-AC73-8DCD4245DCF7}"/>
    <cellStyle name="Percent 5 2 5" xfId="20326" xr:uid="{4EE2A9BC-D4F4-4429-8348-285512798AB8}"/>
    <cellStyle name="Percent 5 2 6" xfId="38390" xr:uid="{9B826B5B-EA9C-4F07-9ABA-EF9CAF68B0D6}"/>
    <cellStyle name="Percent 5 3" xfId="20327" xr:uid="{97C514CF-549F-4C5D-AD4F-3071A07C3DFA}"/>
    <cellStyle name="Percent 5 3 2" xfId="20328" xr:uid="{A294E009-D38E-43AC-98F0-001CD6305696}"/>
    <cellStyle name="Percent 5 3 2 2" xfId="38391" xr:uid="{0B6C81F0-3DAE-453A-BDE6-C86DE17C2F57}"/>
    <cellStyle name="Percent 5 3 2 3" xfId="38392" xr:uid="{5462260F-DE86-40A8-B477-BA3A22A506E5}"/>
    <cellStyle name="Percent 5 3 2 4" xfId="38393" xr:uid="{717ECF96-6D59-47B6-9DC3-3BE9B3340BB5}"/>
    <cellStyle name="Percent 5 3 3" xfId="20329" xr:uid="{73788039-11E5-42F8-9A5A-5E6FE6B643BC}"/>
    <cellStyle name="Percent 5 3 3 2" xfId="38394" xr:uid="{E0F57CDB-53FB-48A5-960B-E91F9D64C5BA}"/>
    <cellStyle name="Percent 5 3 4" xfId="20330" xr:uid="{76143C8A-5DB0-4149-94B9-BF3A1A5B4FD5}"/>
    <cellStyle name="Percent 5 3 5" xfId="20331" xr:uid="{B30DC886-C317-40DD-A191-A6176F5FB811}"/>
    <cellStyle name="Percent 5 3 6" xfId="38395" xr:uid="{4E01130F-30D7-4129-B5E0-99340605F05C}"/>
    <cellStyle name="Percent 5 4" xfId="20332" xr:uid="{83462611-9EAC-4AB5-A734-609792A829D8}"/>
    <cellStyle name="Percent 5 4 2" xfId="20333" xr:uid="{E2AB3489-2BCA-45A8-B494-ECF2603ABBF3}"/>
    <cellStyle name="Percent 5 4 2 2" xfId="38396" xr:uid="{665E485A-FC31-40FC-AB04-AD4BCAD6301F}"/>
    <cellStyle name="Percent 5 4 3" xfId="20334" xr:uid="{B1B44977-1F45-4CED-B4B6-6B279238CAB8}"/>
    <cellStyle name="Percent 5 4 4" xfId="20335" xr:uid="{9F20F0A7-9222-49D9-B1F9-0167A54DD710}"/>
    <cellStyle name="Percent 5 5" xfId="20336" xr:uid="{E85E1715-CF09-425B-8D42-91A345B3B4D6}"/>
    <cellStyle name="Percent 5 5 2" xfId="20337" xr:uid="{E54FA683-17EC-407D-88D0-A5A3D3A85422}"/>
    <cellStyle name="Percent 5 5 2 2" xfId="38397" xr:uid="{6FA59D30-BE6E-4913-9BBF-E26CFD83D5ED}"/>
    <cellStyle name="Percent 5 5 3" xfId="38398" xr:uid="{B2921810-9F45-44BA-8393-262CB168C737}"/>
    <cellStyle name="Percent 5 5 4" xfId="38399" xr:uid="{016BF754-E92C-435E-9453-62AE21816DE3}"/>
    <cellStyle name="Percent 5 6" xfId="20338" xr:uid="{AC40ADB8-1FFD-4D39-94DB-F60E2729324D}"/>
    <cellStyle name="Percent 5 6 2" xfId="38400" xr:uid="{C78AC2D5-020C-4740-989C-F5C1F9F27504}"/>
    <cellStyle name="Percent 5 7" xfId="20339" xr:uid="{18F11826-BFEF-4027-AD11-898836D7A6D5}"/>
    <cellStyle name="Percent 5 7 2" xfId="38401" xr:uid="{EECBA06F-C674-4F60-A743-764FC0EB5335}"/>
    <cellStyle name="Percent 5 8" xfId="20340" xr:uid="{4848CACB-44E0-4D68-B65A-3683DF893AE2}"/>
    <cellStyle name="Percent 5 8 2" xfId="38402" xr:uid="{8D188664-2617-488A-B52B-DDD2D332178F}"/>
    <cellStyle name="Percent 5 9" xfId="20341" xr:uid="{7F91BB38-AC38-486D-BA81-96F705604D8A}"/>
    <cellStyle name="Percent 5 9 2" xfId="38403" xr:uid="{0FA7EA88-0B7D-4BC7-AF0C-8EA136555255}"/>
    <cellStyle name="Percent 6" xfId="20342" xr:uid="{8D810E1F-7DDC-4DFE-9BE1-28D35885DAEF}"/>
    <cellStyle name="Percent 6 10" xfId="20343" xr:uid="{4EF2987C-4F12-4542-9D09-04B54F601630}"/>
    <cellStyle name="Percent 6 10 2" xfId="38404" xr:uid="{3EC13518-FD52-4F46-B15B-0896794ED613}"/>
    <cellStyle name="Percent 6 10 3" xfId="38405" xr:uid="{7DA0666B-0165-417E-982B-06921C29160F}"/>
    <cellStyle name="Percent 6 11" xfId="38406" xr:uid="{7BE49291-592D-4AE1-8C45-B31A4D58E5C5}"/>
    <cellStyle name="Percent 6 12" xfId="38407" xr:uid="{58DF598E-15BC-4F38-A62F-6A74E36A6A00}"/>
    <cellStyle name="Percent 6 2" xfId="20344" xr:uid="{7CC25FF2-8356-4569-9E63-081B00FAE137}"/>
    <cellStyle name="Percent 6 2 2" xfId="38408" xr:uid="{1C388365-FB1C-46E8-A640-651C6A267721}"/>
    <cellStyle name="Percent 6 3" xfId="20345" xr:uid="{40A368F2-7E28-4B39-A3FE-682255B79D8C}"/>
    <cellStyle name="Percent 6 3 2" xfId="38409" xr:uid="{159C710F-28E0-4A5C-8CE4-5FBBF2FE10A6}"/>
    <cellStyle name="Percent 6 4" xfId="20346" xr:uid="{CE487829-65F3-4BA7-BE62-8207A1C70FF0}"/>
    <cellStyle name="Percent 6 4 2" xfId="38410" xr:uid="{BC786C61-9708-4B11-A479-98E346B9BA4A}"/>
    <cellStyle name="Percent 6 5" xfId="20347" xr:uid="{935FE377-734D-4067-8EA8-A76CADB6183E}"/>
    <cellStyle name="Percent 6 5 2" xfId="38411" xr:uid="{ABAB1563-0539-4AE8-9C8E-A376D5FC5E99}"/>
    <cellStyle name="Percent 6 6" xfId="20348" xr:uid="{3C86AEF0-E768-4177-BBBC-F2AABA369F71}"/>
    <cellStyle name="Percent 6 6 2" xfId="38412" xr:uid="{6D305E52-6609-46CC-820E-24EC4BF1950C}"/>
    <cellStyle name="Percent 6 7" xfId="20349" xr:uid="{4F8EABC0-939E-4A2C-B538-DE7AF84E0B9A}"/>
    <cellStyle name="Percent 6 7 2" xfId="38413" xr:uid="{B6FDB72D-354E-46E4-BC85-F7CD6F516FE5}"/>
    <cellStyle name="Percent 6 8" xfId="20350" xr:uid="{0572EBED-3B73-48CA-97F9-D2957E658B1E}"/>
    <cellStyle name="Percent 6 8 2" xfId="38414" xr:uid="{213937F8-920D-4014-8420-AE3D15FE2F52}"/>
    <cellStyle name="Percent 6 9" xfId="20351" xr:uid="{55346314-9A1A-418B-B8FB-6F73C2F68274}"/>
    <cellStyle name="Percent 6 9 2" xfId="38415" xr:uid="{5380CD21-91D5-4257-881E-7FCEA234433F}"/>
    <cellStyle name="Percent 7" xfId="20352" xr:uid="{BDD43DD3-B9B3-40A8-85B3-C827E1CE41B7}"/>
    <cellStyle name="Percent 7 10" xfId="20353" xr:uid="{1CB946E0-2C30-4E9F-AA16-3666B92E5796}"/>
    <cellStyle name="Percent 7 11" xfId="20354" xr:uid="{BBD263EF-1242-493E-A639-EB396D2380EB}"/>
    <cellStyle name="Percent 7 2" xfId="20355" xr:uid="{43FF903C-6791-44CC-99FA-DA0138915D04}"/>
    <cellStyle name="Percent 7 2 2" xfId="38416" xr:uid="{5A4690D4-CE6C-4250-8B5E-CD9EA700945D}"/>
    <cellStyle name="Percent 7 3" xfId="20356" xr:uid="{8A1EB5AB-22B2-4FAA-A801-CDB5939FEFDD}"/>
    <cellStyle name="Percent 7 3 2" xfId="38417" xr:uid="{FB3BE5E4-917F-4E4B-BBCC-BF923366CF97}"/>
    <cellStyle name="Percent 7 4" xfId="20357" xr:uid="{D0FFF12F-B130-4EE7-A190-8DF1D3DF43EA}"/>
    <cellStyle name="Percent 7 4 2" xfId="38418" xr:uid="{A9E43264-E27D-42D2-9377-BA3DC5343959}"/>
    <cellStyle name="Percent 7 5" xfId="20358" xr:uid="{ADE37D97-BBF8-4675-A79F-D30DC5285015}"/>
    <cellStyle name="Percent 7 5 2" xfId="38419" xr:uid="{DB6FE601-08F6-460A-8C24-85850515A650}"/>
    <cellStyle name="Percent 7 6" xfId="20359" xr:uid="{F5C08E08-C8C8-4843-811F-9ABF03536D03}"/>
    <cellStyle name="Percent 7 6 2" xfId="38420" xr:uid="{7FB7B386-D1C2-4DA5-907A-CB51C58B7C19}"/>
    <cellStyle name="Percent 7 7" xfId="20360" xr:uid="{E954F746-EFA5-474C-A0C3-33C03600198A}"/>
    <cellStyle name="Percent 7 7 2" xfId="38421" xr:uid="{5BC3189A-259A-4C8F-8A65-22A8D4CBBD35}"/>
    <cellStyle name="Percent 7 8" xfId="20361" xr:uid="{E33CFF82-7722-49E8-AE33-97B008D4FC60}"/>
    <cellStyle name="Percent 7 8 2" xfId="38422" xr:uid="{098F073B-20F0-43A7-A114-608808C520A9}"/>
    <cellStyle name="Percent 7 9" xfId="20362" xr:uid="{F412760A-C12D-4B69-B85D-91CACF0BE0AE}"/>
    <cellStyle name="Percent 7 9 2" xfId="38423" xr:uid="{783DE16E-A646-4B29-9E4C-EE06A508D770}"/>
    <cellStyle name="Percent 8" xfId="20363" xr:uid="{AEDCAE08-5D16-4096-9C51-42CC864171F9}"/>
    <cellStyle name="Percent 8 10" xfId="38424" xr:uid="{D1EA73B9-3411-4D50-AFA6-F90E269C5913}"/>
    <cellStyle name="Percent 8 11" xfId="38425" xr:uid="{9A007C35-3794-4524-8352-6946CD57B60C}"/>
    <cellStyle name="Percent 8 12" xfId="45839" xr:uid="{92D347B4-2BFC-4901-93C8-513D3EAE03BA}"/>
    <cellStyle name="Percent 8 2" xfId="20364" xr:uid="{5E7FC271-4650-4C0E-A067-9A43E7FF8C70}"/>
    <cellStyle name="Percent 8 2 2" xfId="38426" xr:uid="{349D94B6-4F83-4F4B-9E96-33379A1E53ED}"/>
    <cellStyle name="Percent 8 3" xfId="20365" xr:uid="{3E531949-E8CE-437C-99C1-968ABC19C25D}"/>
    <cellStyle name="Percent 8 3 2" xfId="38427" xr:uid="{AE26B86B-E4F8-40C0-AC81-2CBBEE654847}"/>
    <cellStyle name="Percent 8 4" xfId="20366" xr:uid="{451A4F86-9D18-4D8E-A463-0129058EEE89}"/>
    <cellStyle name="Percent 8 4 2" xfId="38428" xr:uid="{05ED47E7-CFDE-41E0-B7D8-A3AB9829A527}"/>
    <cellStyle name="Percent 8 5" xfId="20367" xr:uid="{3A3736E7-EE6C-41E4-B2FF-FC3A032DDF66}"/>
    <cellStyle name="Percent 8 5 2" xfId="38429" xr:uid="{9504E374-1D20-44E6-9835-032C7A7F053A}"/>
    <cellStyle name="Percent 8 6" xfId="20368" xr:uid="{E0AC3283-53A8-4C2D-8984-763B71AEAC1F}"/>
    <cellStyle name="Percent 8 6 2" xfId="38430" xr:uid="{3A778E0F-0CB8-4EF1-B3E1-70122E48C4B4}"/>
    <cellStyle name="Percent 8 7" xfId="20369" xr:uid="{784C538A-3233-42E8-843E-65455403B05E}"/>
    <cellStyle name="Percent 8 7 2" xfId="38431" xr:uid="{F477845B-44C7-4389-BDA1-5EB591C03653}"/>
    <cellStyle name="Percent 8 8" xfId="20370" xr:uid="{5EA99793-ABB3-4F32-BF59-66837B3299DD}"/>
    <cellStyle name="Percent 8 8 2" xfId="38432" xr:uid="{7B3B18B9-1437-4F65-B82B-FEA0AECB24CF}"/>
    <cellStyle name="Percent 8 9" xfId="20371" xr:uid="{4656DA86-6D6D-45CA-9152-58BC48EBFB0F}"/>
    <cellStyle name="Percent 8 9 2" xfId="38433" xr:uid="{55212854-A45C-4055-B4A8-F775B9F66372}"/>
    <cellStyle name="Percent 9" xfId="20372" xr:uid="{28A4DCC1-53D0-4F46-9125-FA986C661D56}"/>
    <cellStyle name="Percent 9 10" xfId="38434" xr:uid="{4DFB43DB-B6B6-4111-8C53-7CA58F214533}"/>
    <cellStyle name="Percent 9 11" xfId="38435" xr:uid="{6F98E188-5FFA-48F8-AAA0-44DCFAED45D2}"/>
    <cellStyle name="Percent 9 12" xfId="38436" xr:uid="{4B561926-813A-4EA8-942E-5E0015B9FA0B}"/>
    <cellStyle name="Percent 9 13" xfId="38437" xr:uid="{BE5D5E1A-B00F-4977-8030-D021B42B06E6}"/>
    <cellStyle name="Percent 9 14" xfId="38438" xr:uid="{E290AEDC-F4FD-4786-A422-B3C718C1E8CE}"/>
    <cellStyle name="Percent 9 15" xfId="38439" xr:uid="{22861019-E9DB-4DBD-A2A9-A3E66CE070F4}"/>
    <cellStyle name="Percent 9 16" xfId="38440" xr:uid="{60260926-B213-45FB-950B-1966AD854558}"/>
    <cellStyle name="Percent 9 17" xfId="38441" xr:uid="{37795A7F-3599-44AE-9ABC-63F5F9E1FF6B}"/>
    <cellStyle name="Percent 9 18" xfId="38442" xr:uid="{9D734518-278F-4FB5-9FD5-1277268F6CF7}"/>
    <cellStyle name="Percent 9 19" xfId="38443" xr:uid="{C7A17E8B-CF02-4626-848A-966F6F5A696C}"/>
    <cellStyle name="Percent 9 2" xfId="20373" xr:uid="{769ECD3E-13F4-41D2-832C-C7F977C2EB1D}"/>
    <cellStyle name="Percent 9 2 2" xfId="38444" xr:uid="{8B5A2D81-CD42-44A1-A4C0-03BE69509DA2}"/>
    <cellStyle name="Percent 9 2 3" xfId="38445" xr:uid="{8E41B018-5A80-45CD-AA42-3D2CD59BA0CB}"/>
    <cellStyle name="Percent 9 20" xfId="38446" xr:uid="{58C151D2-AA81-40B2-AABB-D0A69E9847A9}"/>
    <cellStyle name="Percent 9 21" xfId="38447" xr:uid="{E5DF1086-45A1-42D6-BB89-978AD57D59E3}"/>
    <cellStyle name="Percent 9 3" xfId="20374" xr:uid="{B6E5BC32-AACE-4731-945F-6DAD6C356D16}"/>
    <cellStyle name="Percent 9 3 2" xfId="38448" xr:uid="{C26B7FE9-2AF1-4859-BBAE-2F1A41B9D0A5}"/>
    <cellStyle name="Percent 9 3 3" xfId="38449" xr:uid="{F842A2C6-FC0D-4E07-9D15-38F77AC8BAF1}"/>
    <cellStyle name="Percent 9 4" xfId="20375" xr:uid="{29EBC8F6-0D38-43F6-9A1F-56D90CB7E88A}"/>
    <cellStyle name="Percent 9 4 2" xfId="38450" xr:uid="{F1ED15B1-4A28-4E3F-9BBD-5853572F65F3}"/>
    <cellStyle name="Percent 9 4 3" xfId="38451" xr:uid="{67F87340-34B2-4456-90E1-C4932586E3D0}"/>
    <cellStyle name="Percent 9 5" xfId="20376" xr:uid="{C7836A90-AFBE-424A-B7F6-6AEE77B878AF}"/>
    <cellStyle name="Percent 9 5 2" xfId="38452" xr:uid="{1410C7EB-18B4-4417-A784-E2F4253BE647}"/>
    <cellStyle name="Percent 9 5 3" xfId="38453" xr:uid="{FC7C8946-BBDC-4CC0-8A71-2FCACA5CA2F8}"/>
    <cellStyle name="Percent 9 6" xfId="20377" xr:uid="{6BF0E294-DE89-4DD7-8132-6D6855FFCE99}"/>
    <cellStyle name="Percent 9 6 2" xfId="38454" xr:uid="{A35A9FCA-2365-47A8-879B-2E8AEC78EB3F}"/>
    <cellStyle name="Percent 9 6 3" xfId="38455" xr:uid="{289C2BEC-FC02-4EDB-8C90-719976FB0C5B}"/>
    <cellStyle name="Percent 9 7" xfId="20378" xr:uid="{7CD70EA5-DC4F-497F-8FDF-D45D51DA61C2}"/>
    <cellStyle name="Percent 9 7 2" xfId="38456" xr:uid="{E5165BA7-D913-4B39-B20C-CBDD8F233D43}"/>
    <cellStyle name="Percent 9 7 3" xfId="38457" xr:uid="{DC806E21-0844-494A-A39F-37CD0406917B}"/>
    <cellStyle name="Percent 9 7 4" xfId="38458" xr:uid="{9E13B426-759E-49F7-A460-241ED3C2D98C}"/>
    <cellStyle name="Percent 9 7 5" xfId="38459" xr:uid="{8356BF32-1408-4BE6-AD2E-8FC31F01669C}"/>
    <cellStyle name="Percent 9 8" xfId="20379" xr:uid="{6BF8590C-5367-4748-8341-80E31F51DDD8}"/>
    <cellStyle name="Percent 9 8 2" xfId="38460" xr:uid="{72A84339-0616-4A9D-8F5C-A52C493F508B}"/>
    <cellStyle name="Percent 9 8 3" xfId="38461" xr:uid="{ED164F6E-1B1B-47F9-8BED-C3E59053A835}"/>
    <cellStyle name="Percent 9 9" xfId="38462" xr:uid="{E2A7C88C-BBFA-41F8-A2E0-056B28EAD306}"/>
    <cellStyle name="Percentagem 2 2" xfId="38463" xr:uid="{8F81F84A-212F-41DB-98ED-11AFA42FCA7B}"/>
    <cellStyle name="Percentagem 2 3" xfId="38464" xr:uid="{2626FC62-FE4C-4016-AF95-BA7DF0E817EA}"/>
    <cellStyle name="Percentuale 2" xfId="20380" xr:uid="{90B8D1F8-BC69-4FFB-8A89-6E92F5868B16}"/>
    <cellStyle name="Percentuale 2 2" xfId="20381" xr:uid="{7798F9A2-B4FE-4768-9C33-9C65D4BEDCC4}"/>
    <cellStyle name="Percentuale 2 2 2" xfId="20382" xr:uid="{9FB40CB3-FBD0-4801-AA0C-2CFC4205BF4B}"/>
    <cellStyle name="Percentuale 2 2 3" xfId="20383" xr:uid="{88323058-FFDF-40DA-A2F9-B52A900B439C}"/>
    <cellStyle name="Percentuale 2 2 3 2" xfId="20384" xr:uid="{04676DFA-8C14-440D-8223-AA18740027B2}"/>
    <cellStyle name="Percentuale 2 2 4" xfId="38465" xr:uid="{1B3DA5CA-2322-4C47-AB60-0B21B62E3D94}"/>
    <cellStyle name="Percentuale 2 3" xfId="20385" xr:uid="{C96BB306-2FB5-4B57-9764-D9C740551801}"/>
    <cellStyle name="Percentuale 2 3 2" xfId="20386" xr:uid="{32560550-9741-4CC6-B581-E2CF719D5E14}"/>
    <cellStyle name="Percentuale 2 3 3" xfId="20387" xr:uid="{E42DEDDB-AA48-4CDD-9451-B6D7A3AB0341}"/>
    <cellStyle name="Percentuale 2 3 4" xfId="38466" xr:uid="{AD9CC1FC-8472-4A90-AA73-C52356FFB34D}"/>
    <cellStyle name="Percentuale 2 4" xfId="20388" xr:uid="{08E021B1-A9CF-4B51-9C6E-E7B7E2B35CEF}"/>
    <cellStyle name="Percentuale 2 5" xfId="20389" xr:uid="{ADC18263-608B-42A8-8E89-1ED2AF4E1160}"/>
    <cellStyle name="Percentuale 2 6" xfId="38467" xr:uid="{32E2ED5A-5B84-46B1-883D-377666F7DA27}"/>
    <cellStyle name="Percentuale 2 7" xfId="38468" xr:uid="{9C89DF1B-6BD9-498C-B8C3-DD967C497C63}"/>
    <cellStyle name="Percentuale 3" xfId="20390" xr:uid="{8D2CADF9-F631-471B-B22B-2B7C06878FC4}"/>
    <cellStyle name="Percentuale 4" xfId="45771" xr:uid="{FA5E4DE4-0BC2-455F-AF6A-809488937038}"/>
    <cellStyle name="Pilkku_Layo9704" xfId="20391" xr:uid="{5544BAC5-876B-4C58-B5C8-F6AC8A597D16}"/>
    <cellStyle name="Pourcentage 2" xfId="15" xr:uid="{00000000-0005-0000-0000-000019000000}"/>
    <cellStyle name="Pourcentage 2 2" xfId="16" xr:uid="{00000000-0005-0000-0000-00001A000000}"/>
    <cellStyle name="Pourcentage 2 3" xfId="17" xr:uid="{00000000-0005-0000-0000-00001B000000}"/>
    <cellStyle name="Pourcentage 3" xfId="18" xr:uid="{00000000-0005-0000-0000-00001C000000}"/>
    <cellStyle name="Pourcentage 4" xfId="19" xr:uid="{00000000-0005-0000-0000-00001D000000}"/>
    <cellStyle name="Publication_style" xfId="38469" xr:uid="{D97C6309-2CE8-4843-A9AC-DF74CA4D97B9}"/>
    <cellStyle name="Pyör. luku_Layo9704" xfId="20392" xr:uid="{D73BFD35-4842-4DD2-8243-B3AC2DEAFC2A}"/>
    <cellStyle name="Pyör. valuutta_Layo9704" xfId="20393" xr:uid="{B674BB95-C531-4571-8F67-6C966EEE0163}"/>
    <cellStyle name="Refdb standard" xfId="38470" xr:uid="{91BCF3DD-E3E6-430B-8B04-1FB8FEC92700}"/>
    <cellStyle name="Refdb standard 2" xfId="38471" xr:uid="{3320B460-A218-40CD-86C8-B1E5C9D6A205}"/>
    <cellStyle name="Rossz" xfId="20394" xr:uid="{E2F713C2-B33A-44DD-8FA5-C79950FEDA45}"/>
    <cellStyle name="RowLevel_1 2" xfId="44056" xr:uid="{ED293E85-24F6-4692-84F8-ECE6ED6F1F5F}"/>
    <cellStyle name="Satisfaisant" xfId="20395" xr:uid="{6E5F14D4-2D6C-45DD-908C-A0AACB810D20}"/>
    <cellStyle name="Schlecht" xfId="20396" xr:uid="{3742E13E-29ED-4563-9E36-57D8107400DD}"/>
    <cellStyle name="Schlecht 2" xfId="38472" xr:uid="{CD64B493-8F5B-436D-A5E6-E5BE2B3754D2}"/>
    <cellStyle name="Semleges" xfId="20397" xr:uid="{F0D2744C-9BD7-4F70-B8E0-A5C863134044}"/>
    <cellStyle name="Shade" xfId="20398" xr:uid="{E14E3977-ED10-4A81-AC81-22DD5F853D96}"/>
    <cellStyle name="Shade 2" xfId="20399" xr:uid="{7222A113-2EB2-4563-AC10-AE448FADD3C4}"/>
    <cellStyle name="Shade 2 2" xfId="38473" xr:uid="{7302DD6D-2A8A-4F77-A4E6-EAEDB3C7734D}"/>
    <cellStyle name="Shade 2 2 2" xfId="38474" xr:uid="{1BA7CF73-8F65-45D2-878B-F7D35ABB8663}"/>
    <cellStyle name="Shade 2 2 2 2" xfId="44683" xr:uid="{0DF6E59F-6222-4C25-9860-FA0A1B340D5A}"/>
    <cellStyle name="Shade 2 2 2 2 2" xfId="44020" xr:uid="{879EE713-5E60-4874-A408-24C10E87A09A}"/>
    <cellStyle name="Shade 2 2 2 2 3" xfId="45176" xr:uid="{71D502AA-DBD2-4B09-814C-C534BE585084}"/>
    <cellStyle name="Shade 2 2 2 3" xfId="44472" xr:uid="{D4350479-5332-4037-918A-7A2DA0414D85}"/>
    <cellStyle name="Shade 2 2 2 4" xfId="45335" xr:uid="{94E9A018-D6FD-45CA-9CEE-0F2FCAA2A202}"/>
    <cellStyle name="Shade 2 2 2 5" xfId="45560" xr:uid="{91CEBBC8-D205-4708-A591-0DCD30170484}"/>
    <cellStyle name="Shade 2 2 3" xfId="44671" xr:uid="{3DFB7A6A-840D-414B-8490-E4052AA5973F}"/>
    <cellStyle name="Shade 2 2 3 2" xfId="45203" xr:uid="{780BFDD9-16DE-4A49-90A3-8E6DFA0D88A2}"/>
    <cellStyle name="Shade 2 2 3 3" xfId="45477" xr:uid="{647D4F4E-2AB7-4CBA-BD6F-96827F9C2903}"/>
    <cellStyle name="Shade 2 2 4" xfId="44394" xr:uid="{7AAA8C06-B94D-4119-AF25-98A7F7D651D9}"/>
    <cellStyle name="Shade 2 3" xfId="38475" xr:uid="{46780EAD-FD2F-4842-A21C-F6B06812C616}"/>
    <cellStyle name="Shade 2 3 2" xfId="44569" xr:uid="{0DE6B2C4-D356-47A8-90FB-A2651DD257BB}"/>
    <cellStyle name="Shade 2 3 2 2" xfId="44782" xr:uid="{BCF4EF47-8F73-44E3-BF8B-2D5540325D4F}"/>
    <cellStyle name="Shade 2 3 2 2 2" xfId="45339" xr:uid="{A8E58333-BB07-4CC0-82DA-D75439B81F5C}"/>
    <cellStyle name="Shade 2 3 2 2 3" xfId="45564" xr:uid="{C21C9938-C293-456E-B641-B9130082791A}"/>
    <cellStyle name="Shade 2 3 2 3" xfId="45160" xr:uid="{BDE781AF-3E2F-463E-B244-7DDC9912D88E}"/>
    <cellStyle name="Shade 2 3 2 4" xfId="45452" xr:uid="{C47F8476-5637-4465-B544-1563F8D01D59}"/>
    <cellStyle name="Shade 2 3 3" xfId="44598" xr:uid="{CB6E96E9-5365-4734-B6F1-FFF156346374}"/>
    <cellStyle name="Shade 2 3 3 2" xfId="44811" xr:uid="{78DFE422-81F5-4DCE-B3CA-25C896349DE9}"/>
    <cellStyle name="Shade 2 3 3 2 2" xfId="44901" xr:uid="{33D83344-20B0-429F-8352-4C9162A85B4A}"/>
    <cellStyle name="Shade 2 3 3 2 3" xfId="44958" xr:uid="{1DF6DF10-3003-471E-BF31-378780A03094}"/>
    <cellStyle name="Shade 2 3 3 3" xfId="43989" xr:uid="{ECDBB9F8-8656-4968-8611-A542E26B3EA7}"/>
    <cellStyle name="Shade 2 3 3 4" xfId="45208" xr:uid="{0F4F8E95-0214-4344-BB9A-034F66A27273}"/>
    <cellStyle name="Shade 2 3 4" xfId="44514" xr:uid="{38C390AB-A061-4E04-B4BE-8DEE458BF109}"/>
    <cellStyle name="Shade 2 3 4 2" xfId="44726" xr:uid="{A5C04E44-A3C3-4471-983A-F7BDC0F485A7}"/>
    <cellStyle name="Shade 2 3 4 2 2" xfId="44316" xr:uid="{DE5E6AA3-F312-415D-AE12-1852C275DAA9}"/>
    <cellStyle name="Shade 2 3 4 2 3" xfId="45272" xr:uid="{7446494A-C02D-479E-88FB-85E503730E3E}"/>
    <cellStyle name="Shade 2 3 4 3" xfId="44937" xr:uid="{36BA4D2D-ACCF-4971-BA57-2BE2DBECB0E8}"/>
    <cellStyle name="Shade 2 3 4 4" xfId="45299" xr:uid="{0134A746-BBC7-40FA-9C2F-B054ECC3DD15}"/>
    <cellStyle name="Shade 2 3 5" xfId="44256" xr:uid="{5751DECB-5101-4B45-9C6A-F3CABEC73D62}"/>
    <cellStyle name="Shade 2 3 6" xfId="45043" xr:uid="{D69F624B-B419-4425-AC38-ABF1A134AF41}"/>
    <cellStyle name="Shade 2 3 7" xfId="45060" xr:uid="{CEEA6CB9-28C8-41B2-92DA-A6D7CFCF98AC}"/>
    <cellStyle name="Shade 2 4" xfId="44150" xr:uid="{B8912932-0E54-47F3-A19A-DC73758A5DE5}"/>
    <cellStyle name="Shade 3" xfId="20400" xr:uid="{64035167-344D-4AF9-824D-6B1BA86CC525}"/>
    <cellStyle name="Shade 3 2" xfId="38476" xr:uid="{9DF707B3-A7F4-4B5E-82EE-931BE7DB6BCE}"/>
    <cellStyle name="Shade 3 2 2" xfId="38477" xr:uid="{45C2F5AE-EA9F-49F4-81F8-7C22931B3EBD}"/>
    <cellStyle name="Shade 3 2 2 2" xfId="44737" xr:uid="{8DB0A5BF-9471-45BF-8DA0-C3D5E3ABA8BC}"/>
    <cellStyle name="Shade 3 2 2 3" xfId="44912" xr:uid="{5081B4FE-EB57-4151-9280-AC0C4083663D}"/>
    <cellStyle name="Shade 3 2 2 4" xfId="45138" xr:uid="{AF71353F-B98D-4AD2-847C-7D1474238287}"/>
    <cellStyle name="Shade 3 2 3" xfId="44525" xr:uid="{5FE1E308-397E-4B7B-AF20-91D6F98F5C09}"/>
    <cellStyle name="Shade 3 2 4" xfId="44235" xr:uid="{4E694CB9-ADC8-4BEA-A083-19651F7DAC5A}"/>
    <cellStyle name="Shade 3 2 5" xfId="45369" xr:uid="{A5E49385-8854-4F9E-AC90-0E0302C5C19D}"/>
    <cellStyle name="Shade 3 3" xfId="38478" xr:uid="{C2137218-A5F9-4A56-A9F4-D6EE2E7AA369}"/>
    <cellStyle name="Shade 3 3 2" xfId="44670" xr:uid="{B7C6B33B-1997-4C97-9B34-6FF6C65EA72E}"/>
    <cellStyle name="Shade 3 3 3" xfId="45363" xr:uid="{EC508F7F-55A0-4B0D-A197-C115C5154B8D}"/>
    <cellStyle name="Shade 3 3 4" xfId="45582" xr:uid="{CB2F53A0-A142-44B1-80F6-9108FF41851B}"/>
    <cellStyle name="Shade 3 4" xfId="44393" xr:uid="{2F182B38-1379-4E6D-A96F-99633AEC3B23}"/>
    <cellStyle name="Shade 4" xfId="20401" xr:uid="{94A8DF91-614A-4CC2-8991-B07C40C38782}"/>
    <cellStyle name="Shade 4 2" xfId="38479" xr:uid="{2002B23E-98B5-4A97-8778-90C6BDE28BFC}"/>
    <cellStyle name="Shade 4 2 2" xfId="44568" xr:uid="{5E91F56B-AC16-421D-B906-7ECB3A5379D2}"/>
    <cellStyle name="Shade 4 2 2 2" xfId="45321" xr:uid="{C644C465-5B4E-4381-97C2-D738C686E810}"/>
    <cellStyle name="Shade 4 2 2 3" xfId="45554" xr:uid="{27A27BE7-2F23-4280-9245-FF22F1517493}"/>
    <cellStyle name="Shade 4 2 3" xfId="44781" xr:uid="{4180B282-D374-403D-AAB3-7A101E800F75}"/>
    <cellStyle name="Shade 4 2 3 2" xfId="45179" xr:uid="{A28A60F1-5BED-4219-A164-7D7D23EF3F95}"/>
    <cellStyle name="Shade 4 2 3 3" xfId="45462" xr:uid="{457F40D1-6AEE-4B31-83FA-C1DAA4DA7AB2}"/>
    <cellStyle name="Shade 4 2 4" xfId="44012" xr:uid="{D84E4C6C-BE77-46AA-AE4A-DC8D5D4F9599}"/>
    <cellStyle name="Shade 4 3" xfId="44597" xr:uid="{EBEE73EB-0854-4581-B5EC-6F2EB02D44F3}"/>
    <cellStyle name="Shade 4 3 2" xfId="44810" xr:uid="{546657BA-4805-4E35-AB5D-D01CFF18148E}"/>
    <cellStyle name="Shade 4 3 2 2" xfId="44990" xr:uid="{E3B66376-5DCF-4A95-A9B8-4E851498B039}"/>
    <cellStyle name="Shade 4 3 2 3" xfId="44960" xr:uid="{0AACDC45-7A0B-4820-B78D-6FC9C3526BDF}"/>
    <cellStyle name="Shade 4 3 3" xfId="45018" xr:uid="{2C6C61DF-9E43-4D71-8AE0-A1FDBCFE6D03}"/>
    <cellStyle name="Shade 4 3 4" xfId="45029" xr:uid="{2E528D1F-1884-42B0-9A2B-AC6C1219A042}"/>
    <cellStyle name="Shade 4 4" xfId="44462" xr:uid="{656C2F9A-463C-4206-A165-4825F575639B}"/>
    <cellStyle name="Shade 4 4 2" xfId="44673" xr:uid="{E0155A7C-80D5-4D7F-89A4-E90BA20B5F79}"/>
    <cellStyle name="Shade 4 4 2 2" xfId="45207" xr:uid="{A270BB77-AB13-4DC6-8671-38A62819EBF6}"/>
    <cellStyle name="Shade 4 4 2 3" xfId="45480" xr:uid="{319F36FF-13C9-4070-8F75-00BA1828546B}"/>
    <cellStyle name="Shade 4 4 3" xfId="45353" xr:uid="{0816AB69-871F-448E-AF44-1BEAC0051BA5}"/>
    <cellStyle name="Shade 4 4 4" xfId="45576" xr:uid="{42B243BE-9F2E-491F-BD61-08A196029EFB}"/>
    <cellStyle name="Shade 4 5" xfId="44255" xr:uid="{897FAC02-9B5C-4C5E-92A2-D8F662A4EDB9}"/>
    <cellStyle name="Shade 4 6" xfId="45042" xr:uid="{B3E681ED-F456-4218-BBF4-6991BE4E8A57}"/>
    <cellStyle name="Shade 4 7" xfId="44354" xr:uid="{401C54F4-F290-42AD-B5FB-118644B9C0B7}"/>
    <cellStyle name="Shade 5" xfId="38480" xr:uid="{A69985BC-25B4-4B71-8726-588352D1BE82}"/>
    <cellStyle name="Shade 5 2" xfId="38481" xr:uid="{6FDE92BA-9891-4B28-A249-403E003DA03C}"/>
    <cellStyle name="Shade 5 3" xfId="44053" xr:uid="{E8A6E70E-ECD5-41BB-A76C-96361CC9D455}"/>
    <cellStyle name="Shade 5 4" xfId="45641" xr:uid="{89EA99EC-EF52-4F68-B104-8A66EB49D9A0}"/>
    <cellStyle name="Shade 6" xfId="38482" xr:uid="{EE4CA4C8-6498-4AA5-A11A-72722BFAB4E6}"/>
    <cellStyle name="Shade 7" xfId="38483" xr:uid="{6C03BB00-62FC-483C-84A6-240C2B97A698}"/>
    <cellStyle name="Shade 8" xfId="43992" xr:uid="{48F741B6-73B1-4885-AF6B-F1D2C91014BF}"/>
    <cellStyle name="Shade 9" xfId="45612" xr:uid="{938815B0-4F7B-49B4-B08C-786B728433BA}"/>
    <cellStyle name="Shade_B_border2" xfId="44151" xr:uid="{50E4DA5E-9C3F-43F8-85C7-7DF9BC2396A0}"/>
    <cellStyle name="Sheet Title" xfId="20402" xr:uid="{3D879F4B-EB7D-4FA0-81E6-B26848DF29F3}"/>
    <cellStyle name="Sortie" xfId="20403" xr:uid="{FCD9CD40-02E8-4C14-9AE2-B574E07CB2A0}"/>
    <cellStyle name="Sortie 10" xfId="20404" xr:uid="{DAD8EFEF-B20E-49BD-8B01-7797D0D8C74E}"/>
    <cellStyle name="Sortie 10 2" xfId="20405" xr:uid="{7D1C2626-742F-4A29-83DD-1CD053682FFA}"/>
    <cellStyle name="Sortie 10 3" xfId="38484" xr:uid="{4039B793-92FE-4F80-BA91-55FF5F175BCD}"/>
    <cellStyle name="Sortie 11" xfId="20406" xr:uid="{39E6687F-C65A-4F5F-8589-F8912E770CD7}"/>
    <cellStyle name="Sortie 12" xfId="38485" xr:uid="{C187019E-773A-4446-B5CF-B4B0F7CC47E5}"/>
    <cellStyle name="Sortie 2" xfId="20407" xr:uid="{CBC8CE65-AEEE-45F3-A32A-53B3C8A724B3}"/>
    <cellStyle name="Sortie 2 10" xfId="20408" xr:uid="{90266DEF-0013-4F11-9BB3-E60CB0E64489}"/>
    <cellStyle name="Sortie 2 11" xfId="38486" xr:uid="{A3F810E8-674F-4DD0-A52F-BBDFB38491B6}"/>
    <cellStyle name="Sortie 2 2" xfId="20409" xr:uid="{A5B9CEC9-E5A6-4D43-A7BA-32E82242A4C6}"/>
    <cellStyle name="Sortie 2 2 2" xfId="20410" xr:uid="{C8DCBF13-8E54-4A62-A127-C92EA4A8C3D0}"/>
    <cellStyle name="Sortie 2 2 3" xfId="38487" xr:uid="{C09604BD-A6FD-4CC9-9FFA-DB30ACC046DC}"/>
    <cellStyle name="Sortie 2 3" xfId="20411" xr:uid="{64E5B9F4-43C9-4D6D-A5F7-BBA9ABC355B3}"/>
    <cellStyle name="Sortie 2 3 2" xfId="20412" xr:uid="{7F03DA07-32A8-4783-8571-5396AAD84425}"/>
    <cellStyle name="Sortie 2 3 3" xfId="38488" xr:uid="{BC48E7A5-1ADD-40B7-91C6-62E6F92A1538}"/>
    <cellStyle name="Sortie 2 4" xfId="20413" xr:uid="{533898A5-9734-4454-8133-0520A7D47F9D}"/>
    <cellStyle name="Sortie 2 4 2" xfId="20414" xr:uid="{321BBD1B-D171-4ADE-848A-35E52364E027}"/>
    <cellStyle name="Sortie 2 4 3" xfId="38489" xr:uid="{29B81B8B-E62A-47AC-B547-A455C72FD5EF}"/>
    <cellStyle name="Sortie 2 5" xfId="20415" xr:uid="{E8D9A87A-2D46-475B-AB53-D918CFC2791C}"/>
    <cellStyle name="Sortie 2 5 2" xfId="20416" xr:uid="{26CE2281-679F-45F3-A8E3-AFF5DF10C3D7}"/>
    <cellStyle name="Sortie 2 5 3" xfId="38490" xr:uid="{5EF42406-9D8C-4AAB-B7C4-7DE7A25D2971}"/>
    <cellStyle name="Sortie 2 6" xfId="20417" xr:uid="{371BFFD9-E3BF-4A58-B80B-23A365EC0CCE}"/>
    <cellStyle name="Sortie 2 6 2" xfId="20418" xr:uid="{B767F0F0-B32D-4191-9E01-53BFFF600379}"/>
    <cellStyle name="Sortie 2 6 3" xfId="38491" xr:uid="{3EC46A4A-0F66-43A1-916B-534BFA682E9F}"/>
    <cellStyle name="Sortie 2 7" xfId="20419" xr:uid="{398F17AE-4952-4226-9C07-5D11D2F3A108}"/>
    <cellStyle name="Sortie 2 7 2" xfId="20420" xr:uid="{D5E814BA-7B95-463F-BB98-401F42F64C8F}"/>
    <cellStyle name="Sortie 2 7 3" xfId="38492" xr:uid="{CEBD858D-B804-4A4B-8884-876167030D13}"/>
    <cellStyle name="Sortie 2 8" xfId="20421" xr:uid="{B6EFEBB3-6817-4C17-91FF-8083A640CA00}"/>
    <cellStyle name="Sortie 2 8 2" xfId="20422" xr:uid="{56F57A0A-DD16-4C25-8D29-8F3230B7A39A}"/>
    <cellStyle name="Sortie 2 8 3" xfId="38493" xr:uid="{4F0F62CB-B833-4A88-9AC9-6A52A28CC756}"/>
    <cellStyle name="Sortie 2 9" xfId="20423" xr:uid="{FC9F29CA-088F-4FB8-8367-C1926F463431}"/>
    <cellStyle name="Sortie 2 9 2" xfId="20424" xr:uid="{8F085760-9B89-4F4D-8A41-D3BF059D59CD}"/>
    <cellStyle name="Sortie 2 9 3" xfId="38494" xr:uid="{1FBC3A2A-1966-42D0-A21F-3D92026B7757}"/>
    <cellStyle name="Sortie 3" xfId="20425" xr:uid="{BAD672DE-E0E5-46F2-B63E-C1C1CDEB3A93}"/>
    <cellStyle name="Sortie 3 2" xfId="20426" xr:uid="{D5490567-41E2-4500-921B-7DA7134F3F39}"/>
    <cellStyle name="Sortie 3 3" xfId="38495" xr:uid="{DC756E07-86DA-49B1-9888-CABB123A5BC8}"/>
    <cellStyle name="Sortie 4" xfId="20427" xr:uid="{E45A1AF4-2C1D-4ED3-A455-20E38F7C0684}"/>
    <cellStyle name="Sortie 4 2" xfId="20428" xr:uid="{B7427567-0B68-4615-8341-5A33E579B5CF}"/>
    <cellStyle name="Sortie 4 3" xfId="38496" xr:uid="{F91C8BE6-3E8D-43C7-B759-6C7A198BC70B}"/>
    <cellStyle name="Sortie 5" xfId="20429" xr:uid="{38B84D98-0804-48FA-BEA1-0A16E3912816}"/>
    <cellStyle name="Sortie 5 2" xfId="20430" xr:uid="{0236E8C7-2CAF-46B0-B0CA-7240887C4ABE}"/>
    <cellStyle name="Sortie 5 3" xfId="38497" xr:uid="{E1203F6A-2C5D-41ED-AA11-7F5ED4EA7DA1}"/>
    <cellStyle name="Sortie 6" xfId="20431" xr:uid="{8D1A577B-0780-4E3C-8C7D-5E0FF77583A6}"/>
    <cellStyle name="Sortie 6 2" xfId="20432" xr:uid="{0DB88EB8-E7C5-4D37-8639-589F8D9FAE7B}"/>
    <cellStyle name="Sortie 6 3" xfId="38498" xr:uid="{091F37A5-3AC4-496D-80D6-4ECEF2DF4D55}"/>
    <cellStyle name="Sortie 7" xfId="20433" xr:uid="{9ADD52D4-DE41-4B44-9EB7-948222FF78B8}"/>
    <cellStyle name="Sortie 7 2" xfId="20434" xr:uid="{A4BD054E-B45B-4AE1-A2BD-28FD0DBE75B0}"/>
    <cellStyle name="Sortie 7 3" xfId="38499" xr:uid="{4F06E4B5-8A31-4493-8D86-5A0371933232}"/>
    <cellStyle name="Sortie 8" xfId="20435" xr:uid="{77A884F5-40AA-4E74-A5FA-350CBD75FF56}"/>
    <cellStyle name="Sortie 8 2" xfId="20436" xr:uid="{FC0DFF6A-ADBC-4A10-8718-7A5FCA5F03A4}"/>
    <cellStyle name="Sortie 8 3" xfId="38500" xr:uid="{9E885D2B-46C4-41D2-980D-347F3C87FA56}"/>
    <cellStyle name="Sortie 9" xfId="20437" xr:uid="{5A51F6C0-0D67-42E7-8B8D-1FB0662043ED}"/>
    <cellStyle name="Sortie 9 2" xfId="20438" xr:uid="{C45CD99A-1221-4B01-B20F-FB58C1806B51}"/>
    <cellStyle name="Sortie 9 3" xfId="38501" xr:uid="{0FF8A913-6D60-4391-AD1D-5AC884D8F836}"/>
    <cellStyle name="source" xfId="20439" xr:uid="{46BB3C3C-E6F8-4DDB-8919-42E16C861130}"/>
    <cellStyle name="source 10" xfId="43968" xr:uid="{A8EBAB26-DDF7-4CA5-9F5A-B7DB1629A3C1}"/>
    <cellStyle name="Source 2" xfId="38502" xr:uid="{99BC667B-D06A-43A2-8ABB-1BA90F4456B8}"/>
    <cellStyle name="source 2 2" xfId="43236" xr:uid="{D45FEC3A-C745-49E9-B1DC-4F3C8446AF81}"/>
    <cellStyle name="source 2 3" xfId="43237" xr:uid="{083DE605-EA0A-4DF0-8AC7-AE4095EB3AA6}"/>
    <cellStyle name="source 2 4" xfId="43235" xr:uid="{C8D061A1-6C34-443B-AF3B-9DC71392E530}"/>
    <cellStyle name="source 3" xfId="38503" xr:uid="{7CFA6ED9-B17D-4105-BD84-D680DFBEFDA7}"/>
    <cellStyle name="source 4" xfId="38504" xr:uid="{E7772419-1A96-4AC3-8663-A4140C88A65C}"/>
    <cellStyle name="source 5" xfId="38505" xr:uid="{AA2A7B03-8A23-432C-8AF5-DEF495A824EC}"/>
    <cellStyle name="source 6" xfId="43234" xr:uid="{A5B2380C-48C8-423B-83A1-04C91149B3E5}"/>
    <cellStyle name="source 7" xfId="43480" xr:uid="{D823E4ED-7560-4D3B-861E-6B5C0D20036D}"/>
    <cellStyle name="source 8" xfId="43205" xr:uid="{BBD27C8C-C078-4300-8B23-5C22CD35808E}"/>
    <cellStyle name="source 9" xfId="43479" xr:uid="{48127E26-73FD-408C-AD12-96B7A8DD115B}"/>
    <cellStyle name="Standaard_Blad1" xfId="38506" xr:uid="{E8A27C44-69E5-4BA1-9339-3D704EAC5E82}"/>
    <cellStyle name="Standard 2" xfId="38507" xr:uid="{193645CF-55F9-4665-AF6D-A44118443D24}"/>
    <cellStyle name="Standard 2 2" xfId="44356" xr:uid="{814F1337-ACE4-4770-81C4-47D90CD29966}"/>
    <cellStyle name="Standard 2 2 2" xfId="44457" xr:uid="{07F302CE-030F-4CF2-84C1-1E90C5915C6F}"/>
    <cellStyle name="Standard 2 3" xfId="44456" xr:uid="{DDD37CF9-CD6E-4CCE-99FE-BFA9916C3F81}"/>
    <cellStyle name="Standard 2 4" xfId="44010" xr:uid="{249413CF-0DF1-427A-9626-CF07456F3996}"/>
    <cellStyle name="Standard 3" xfId="38508" xr:uid="{E0636131-C65A-4149-9CF0-90204360B879}"/>
    <cellStyle name="Standard_ENR_REF" xfId="20440" xr:uid="{D72CB079-9E1B-4052-A027-145D109E917D}"/>
    <cellStyle name="Style 1" xfId="38509" xr:uid="{9B4D04D9-2352-4C4B-A518-A0A52F5B4B3A}"/>
    <cellStyle name="Style 1 2" xfId="38510" xr:uid="{B938E652-E91A-41E5-90E1-FB080B70B167}"/>
    <cellStyle name="Style 103" xfId="43238" xr:uid="{060E0897-1B88-4E74-990C-BACACEA03E43}"/>
    <cellStyle name="Style 103 2" xfId="43239" xr:uid="{310949A9-1872-4FBB-9496-135C6114485C}"/>
    <cellStyle name="Style 103 3" xfId="43240" xr:uid="{C0135812-F22B-45F7-BC53-590D7AFA782C}"/>
    <cellStyle name="Style 104" xfId="43241" xr:uid="{CC50F65D-BAB8-47E3-A7A6-CBBA63182C64}"/>
    <cellStyle name="Style 104 2" xfId="43242" xr:uid="{113C9F56-3C76-47A0-B7C8-BEF5BEF3CB5E}"/>
    <cellStyle name="Style 104 3" xfId="43243" xr:uid="{CC61163B-EA5E-483C-9DDE-1EBAA5C1EB27}"/>
    <cellStyle name="Style 105" xfId="43244" xr:uid="{B53C4A48-5605-4940-9F2E-77C673B4FEC2}"/>
    <cellStyle name="Style 105 2" xfId="43245" xr:uid="{6D4F5EAB-8B21-43B7-AE20-AD4FA6F94550}"/>
    <cellStyle name="Style 106" xfId="43246" xr:uid="{20798527-1EFE-4C83-956F-7AD57C3FF3FB}"/>
    <cellStyle name="Style 106 2" xfId="43247" xr:uid="{CC6A3C8B-0E37-48D9-AA0B-BA83B8BB579F}"/>
    <cellStyle name="Style 107" xfId="43248" xr:uid="{1092B486-AE2A-4FFA-A09C-6DC757586487}"/>
    <cellStyle name="Style 107 2" xfId="43249" xr:uid="{1926FB3D-D608-46E0-9481-64FBD671BFB2}"/>
    <cellStyle name="Style 108" xfId="43250" xr:uid="{E673941D-3B4D-46A8-8A6E-9324D981BF22}"/>
    <cellStyle name="Style 108 2" xfId="43251" xr:uid="{84606BE9-DE4A-49BC-A143-C875A899298A}"/>
    <cellStyle name="Style 108 3" xfId="43252" xr:uid="{A4D5DD52-7081-4641-B7A1-34E7ACD2DC69}"/>
    <cellStyle name="Style 109" xfId="43253" xr:uid="{6B8CDE74-01A7-4435-92D3-FE37FDF0751B}"/>
    <cellStyle name="Style 109 2" xfId="43254" xr:uid="{164287CA-8F35-483B-A2A2-CF16FAC273BF}"/>
    <cellStyle name="Style 110" xfId="43255" xr:uid="{59CBE462-25A4-4BA1-92DC-55C7DD1E9D0E}"/>
    <cellStyle name="Style 110 2" xfId="43256" xr:uid="{D6B9D685-172D-4983-8C1E-3955D3EC4E59}"/>
    <cellStyle name="Style 114" xfId="43257" xr:uid="{0AEEAA4A-3367-4DFA-BD93-C0182F25ACC3}"/>
    <cellStyle name="Style 114 2" xfId="43258" xr:uid="{0903BF15-C8DE-40FC-A4F8-EEFA072777F6}"/>
    <cellStyle name="Style 114 3" xfId="43259" xr:uid="{075A3E82-C056-47D5-B062-52504D59CA0D}"/>
    <cellStyle name="Style 115" xfId="43260" xr:uid="{2ECB3703-DECB-4848-8079-5E7FA1A210CC}"/>
    <cellStyle name="Style 115 2" xfId="43261" xr:uid="{E7230818-746E-4EF8-8399-3490AB73CBF6}"/>
    <cellStyle name="Style 115 3" xfId="43262" xr:uid="{776F6308-8E04-4E6F-8402-582B9944BF24}"/>
    <cellStyle name="Style 116" xfId="43263" xr:uid="{385BC04D-47C6-439C-8DC3-80C5A79B56C9}"/>
    <cellStyle name="Style 116 2" xfId="43264" xr:uid="{F550C6B0-A56F-48D5-B385-9E18F3516F57}"/>
    <cellStyle name="Style 117" xfId="43265" xr:uid="{AAB272DB-1898-443D-8B50-5B52413CB1DB}"/>
    <cellStyle name="Style 117 2" xfId="43266" xr:uid="{1E782D52-13E2-40A7-AB74-76050D094C3C}"/>
    <cellStyle name="Style 118" xfId="43267" xr:uid="{83AA22FC-DF39-4FAA-8283-7570B3178232}"/>
    <cellStyle name="Style 118 2" xfId="43268" xr:uid="{CF54095E-9FD0-49DC-8009-6637E097E52E}"/>
    <cellStyle name="Style 119" xfId="43269" xr:uid="{E844AD0A-D9DC-46E9-9D62-77C78F65633C}"/>
    <cellStyle name="Style 119 2" xfId="43270" xr:uid="{40AAF0BA-8D65-4A00-8494-E9CD4F43BE3F}"/>
    <cellStyle name="Style 119 3" xfId="43271" xr:uid="{15FECD06-E33B-4A6D-9F3A-104C658ED35A}"/>
    <cellStyle name="Style 120" xfId="43272" xr:uid="{D5F63FDA-B25A-4D98-AFB4-F1D77675603E}"/>
    <cellStyle name="Style 120 2" xfId="43273" xr:uid="{BA18F045-5DC1-467D-82DC-9165F8FCEA37}"/>
    <cellStyle name="Style 121" xfId="43274" xr:uid="{32EBECD5-42EB-4989-8CF2-E23059D31712}"/>
    <cellStyle name="Style 121 2" xfId="43275" xr:uid="{31505BF6-2B0C-4DAC-B9B2-6194D635E49D}"/>
    <cellStyle name="Style 126" xfId="43276" xr:uid="{2C1B6BFB-8092-4409-909C-0780E692E863}"/>
    <cellStyle name="Style 126 2" xfId="43277" xr:uid="{FFA1F3FA-621B-450B-A498-F3252B8D24EE}"/>
    <cellStyle name="Style 126 3" xfId="43278" xr:uid="{A378D1B9-014D-4935-BDFE-57D0F0604235}"/>
    <cellStyle name="Style 127" xfId="43279" xr:uid="{BE695E9D-4170-48CF-8668-5299D593581B}"/>
    <cellStyle name="Style 127 2" xfId="43280" xr:uid="{323A74AA-8699-43D0-8063-EDEECD6BC8A7}"/>
    <cellStyle name="Style 128" xfId="43281" xr:uid="{249F91AC-FE2D-4D28-A7D9-6C77969BC117}"/>
    <cellStyle name="Style 128 2" xfId="43282" xr:uid="{D9D796F1-1F09-4382-B633-49B147F7E43F}"/>
    <cellStyle name="Style 129" xfId="43283" xr:uid="{9768A8D9-5E19-4A4D-ABE3-841FA8049BC7}"/>
    <cellStyle name="Style 129 2" xfId="43284" xr:uid="{B6E36F17-27B1-4309-B544-F7B0DF286BE5}"/>
    <cellStyle name="Style 130" xfId="43285" xr:uid="{950941A7-824B-4FFC-AC9C-244C0E5C96CE}"/>
    <cellStyle name="Style 130 2" xfId="43286" xr:uid="{0AA3EC77-5015-4258-9683-BFBC1D5E7B64}"/>
    <cellStyle name="Style 130 3" xfId="43287" xr:uid="{6EB2D870-5B7E-4144-A363-7D9A61069C33}"/>
    <cellStyle name="Style 131" xfId="43288" xr:uid="{7D454502-B7AE-4922-B5A9-5898FCB5D213}"/>
    <cellStyle name="Style 131 2" xfId="43289" xr:uid="{494CF4AE-B321-4597-9681-5A5BCC57685B}"/>
    <cellStyle name="Style 132" xfId="43290" xr:uid="{0B72EADB-02E9-4B11-89D6-F1ADF0578E1B}"/>
    <cellStyle name="Style 132 2" xfId="43291" xr:uid="{013EDCAE-E63F-43C4-A641-DB5A1B897746}"/>
    <cellStyle name="Style 137" xfId="43292" xr:uid="{20668A36-B0C7-4A2F-A193-636E54A38454}"/>
    <cellStyle name="Style 137 2" xfId="43293" xr:uid="{8D17DEB5-73DF-4703-AC41-7830A613D297}"/>
    <cellStyle name="Style 137 3" xfId="43294" xr:uid="{6746980E-C3D5-4142-B439-1675F536F9F6}"/>
    <cellStyle name="Style 138" xfId="43295" xr:uid="{9EEFA4B6-C8DF-432F-9C44-EE415EFAC54D}"/>
    <cellStyle name="Style 138 2" xfId="43296" xr:uid="{EE0C7CD2-F9F2-41D8-BF61-A2A6DA76BF24}"/>
    <cellStyle name="Style 139" xfId="43297" xr:uid="{B32D6FBB-1C36-451B-9045-1F19696C81D3}"/>
    <cellStyle name="Style 139 2" xfId="43298" xr:uid="{63F06855-1714-4802-A893-73E7266EBB1E}"/>
    <cellStyle name="Style 140" xfId="43299" xr:uid="{84FB0DCB-AE97-49B7-AF46-0ED5D0FD70D5}"/>
    <cellStyle name="Style 140 2" xfId="43300" xr:uid="{3E0AB29B-9A41-41FB-936A-276FED75CB73}"/>
    <cellStyle name="Style 141" xfId="43301" xr:uid="{D75AFA65-5144-4051-99B5-E3AD58C2522C}"/>
    <cellStyle name="Style 141 2" xfId="43302" xr:uid="{C658108A-A3CE-4BEE-9C1C-40EDEED235E9}"/>
    <cellStyle name="Style 141 3" xfId="43303" xr:uid="{AE3552AA-660A-421F-B907-FAA2C7EDE630}"/>
    <cellStyle name="Style 142" xfId="43304" xr:uid="{90A87E2D-99B5-4391-AED0-75B1A5894A89}"/>
    <cellStyle name="Style 142 2" xfId="43305" xr:uid="{4F91952E-95D6-413C-AA1A-B495DEEABD19}"/>
    <cellStyle name="Style 143" xfId="43306" xr:uid="{77C5A166-F9F1-4103-A5EF-A12881EC4B12}"/>
    <cellStyle name="Style 143 2" xfId="43307" xr:uid="{588A4D5F-FDED-40C4-B03D-4F329D017EA4}"/>
    <cellStyle name="Style 148" xfId="43308" xr:uid="{E31FB7C9-1A7C-4173-8796-B80EE62650FE}"/>
    <cellStyle name="Style 148 2" xfId="43309" xr:uid="{7D410A8D-2D0C-4EE9-92F2-2430393874AD}"/>
    <cellStyle name="Style 148 3" xfId="43310" xr:uid="{37E9D7CB-A1BE-42CA-92D3-56730C84BEF5}"/>
    <cellStyle name="Style 149" xfId="43311" xr:uid="{DB7B0EB2-31AE-4628-8FB1-9E5BA4DDBA32}"/>
    <cellStyle name="Style 149 2" xfId="43312" xr:uid="{C3491F93-4EF2-488E-9C83-1846696BA9D5}"/>
    <cellStyle name="Style 150" xfId="43313" xr:uid="{82409754-BDB7-40DF-9135-03BA76A5E17F}"/>
    <cellStyle name="Style 150 2" xfId="43314" xr:uid="{DA3F7098-0267-43AE-8BC4-06D1A73B76ED}"/>
    <cellStyle name="Style 151" xfId="43315" xr:uid="{F4E18D1B-7F9A-49FF-895E-5B56D911BA9C}"/>
    <cellStyle name="Style 151 2" xfId="43316" xr:uid="{E2F86BDD-223C-435E-90EF-E5D2BB15C5A9}"/>
    <cellStyle name="Style 152" xfId="43317" xr:uid="{EF3AA653-BCCF-408B-8BCB-487AF0001264}"/>
    <cellStyle name="Style 152 2" xfId="43318" xr:uid="{7357F41E-BFBD-424A-810B-C5AAD466AA26}"/>
    <cellStyle name="Style 152 3" xfId="43319" xr:uid="{2243DD41-E7EF-4ECF-8465-90CB373A09DF}"/>
    <cellStyle name="Style 153" xfId="43320" xr:uid="{9BBD8911-0F96-4643-B890-B5CE5E583D10}"/>
    <cellStyle name="Style 153 2" xfId="43321" xr:uid="{81E358D4-E186-430B-AD45-308B3913DD01}"/>
    <cellStyle name="Style 154" xfId="43322" xr:uid="{749BFC28-D7F2-402B-A108-B476588F2A65}"/>
    <cellStyle name="Style 154 2" xfId="43323" xr:uid="{7E6524C0-5CD2-4B23-B60A-F0C117920098}"/>
    <cellStyle name="Style 159" xfId="43324" xr:uid="{65503BB2-09B7-45AF-ADFB-DC3FD443D5AA}"/>
    <cellStyle name="Style 159 2" xfId="43325" xr:uid="{0AD16EB7-693B-42B2-AA67-0CEBCFCB8DAF}"/>
    <cellStyle name="Style 159 3" xfId="43326" xr:uid="{EF62CB36-656C-4D0B-8314-1498E9DBA203}"/>
    <cellStyle name="Style 160" xfId="43327" xr:uid="{F6B32523-2DD1-43CE-9C9C-4827479E47D0}"/>
    <cellStyle name="Style 160 2" xfId="43328" xr:uid="{A5E06FD1-CF80-4298-81DF-2E78D62AC04B}"/>
    <cellStyle name="Style 161" xfId="43329" xr:uid="{4B5442E3-E604-478B-B8AA-392DC0E9CA80}"/>
    <cellStyle name="Style 161 2" xfId="43330" xr:uid="{3300141A-5147-446F-B3F4-8E4E2B79DF7C}"/>
    <cellStyle name="Style 162" xfId="43331" xr:uid="{AD360886-43BE-45B4-9FDA-42141BC209F5}"/>
    <cellStyle name="Style 162 2" xfId="43332" xr:uid="{427B5963-C2CD-4579-97E6-4704CA03B38C}"/>
    <cellStyle name="Style 163" xfId="43333" xr:uid="{56ED4CAD-380B-4F92-9DAC-71AA68B61655}"/>
    <cellStyle name="Style 163 2" xfId="43334" xr:uid="{535A0869-97E8-4A29-8ECD-B7A6FC9C4924}"/>
    <cellStyle name="Style 163 3" xfId="43335" xr:uid="{D508A14A-645C-477D-86AA-94CE8F992FC0}"/>
    <cellStyle name="Style 164" xfId="43336" xr:uid="{49033ABB-70D3-4D15-9F53-22E279EABAE3}"/>
    <cellStyle name="Style 164 2" xfId="43337" xr:uid="{18627A32-3347-4F41-BDE4-77D5F5680661}"/>
    <cellStyle name="Style 165" xfId="43338" xr:uid="{0B0A2CF0-4419-457E-87AF-7EDA61A238C8}"/>
    <cellStyle name="Style 165 2" xfId="43339" xr:uid="{4922D4C4-C331-48FF-A13A-A3B2EE24920A}"/>
    <cellStyle name="Style 21" xfId="20441" xr:uid="{653029B0-E9BA-466F-A729-9659F3D5B881}"/>
    <cellStyle name="Style 21 10" xfId="20442" xr:uid="{21830F72-02FA-4CB7-B556-D94042DC21FD}"/>
    <cellStyle name="Style 21 10 2" xfId="20443" xr:uid="{0768EA05-311D-460B-8B07-F592E861A30B}"/>
    <cellStyle name="Style 21 10 3" xfId="38511" xr:uid="{E7D95695-C809-41D1-B82F-988C54CA9610}"/>
    <cellStyle name="Style 21 10 4" xfId="38512" xr:uid="{BB9B0742-C907-491C-95B1-5D6AAE681814}"/>
    <cellStyle name="Style 21 11" xfId="20444" xr:uid="{D9CCE982-024F-4F06-A970-47D3C1B2E8DA}"/>
    <cellStyle name="Style 21 11 2" xfId="20445" xr:uid="{89C92AB0-237E-43B3-AE3A-317F58AD73FC}"/>
    <cellStyle name="Style 21 11 3" xfId="38513" xr:uid="{F76D8803-A5A1-459A-9F7C-99ABFA442060}"/>
    <cellStyle name="Style 21 11 4" xfId="38514" xr:uid="{6DAE134B-A78B-4A13-8927-409B4ADC6F80}"/>
    <cellStyle name="Style 21 12" xfId="20446" xr:uid="{BC538B26-92D3-4B6D-B070-78E68397B8A6}"/>
    <cellStyle name="Style 21 12 2" xfId="38515" xr:uid="{7BCB6836-8546-4CF1-8C44-D169A53C5AF0}"/>
    <cellStyle name="Style 21 12 3" xfId="38516" xr:uid="{67182375-8765-48B7-B76A-905F5955D554}"/>
    <cellStyle name="Style 21 13" xfId="20447" xr:uid="{88CC140B-6F0B-4CC9-993B-6CD6357FA050}"/>
    <cellStyle name="Style 21 13 2" xfId="38517" xr:uid="{8D83690E-87B8-4D50-8749-D088C605D302}"/>
    <cellStyle name="Style 21 14" xfId="38518" xr:uid="{1D4B8680-0C93-4EB9-B972-3CBD42A4D47B}"/>
    <cellStyle name="Style 21 15" xfId="38519" xr:uid="{880977DC-9578-4D7A-AEA2-2B1FCE40691D}"/>
    <cellStyle name="Style 21 2" xfId="20448" xr:uid="{BBD8CA49-0129-42AA-8DF9-74961955576D}"/>
    <cellStyle name="Style 21 2 10" xfId="20449" xr:uid="{79222BB0-39C3-4C06-8CE2-EACCDF5199CE}"/>
    <cellStyle name="Style 21 2 10 2" xfId="20450" xr:uid="{84E1EFAD-CD0B-456E-A998-2565EB1A694F}"/>
    <cellStyle name="Style 21 2 10 3" xfId="38520" xr:uid="{D869D520-D13A-4E3F-A675-06F5BD739590}"/>
    <cellStyle name="Style 21 2 10 4" xfId="38521" xr:uid="{768225B3-F26B-4983-BC18-2283FD2A8805}"/>
    <cellStyle name="Style 21 2 11" xfId="20451" xr:uid="{3EC9ACA8-5949-4D2C-B3EB-FF5125CF0D34}"/>
    <cellStyle name="Style 21 2 11 2" xfId="38522" xr:uid="{EDC29CAE-EB37-4450-A7EB-5D8122FFB0C9}"/>
    <cellStyle name="Style 21 2 11 3" xfId="38523" xr:uid="{47AE6C00-94AF-4BB9-B8A2-A4FFCFD0E7FE}"/>
    <cellStyle name="Style 21 2 12" xfId="20452" xr:uid="{022B0944-0CB3-430B-B1F7-B71745543F52}"/>
    <cellStyle name="Style 21 2 12 2" xfId="38524" xr:uid="{52C38250-2FFF-4F92-95A0-9DBF28E3A7FF}"/>
    <cellStyle name="Style 21 2 13" xfId="38525" xr:uid="{238379AC-D510-46A9-81ED-9F79BABCBB6D}"/>
    <cellStyle name="Style 21 2 14" xfId="38526" xr:uid="{7212DBD2-0304-41F0-A77B-597541577D45}"/>
    <cellStyle name="Style 21 2 2" xfId="20453" xr:uid="{F57E6A54-CA43-4F20-91E9-F2E36A70B835}"/>
    <cellStyle name="Style 21 2 2 10" xfId="20454" xr:uid="{DCEA6C07-54AC-497B-9741-9D5737D9B859}"/>
    <cellStyle name="Style 21 2 2 10 2" xfId="38527" xr:uid="{96B781FF-C3E5-4EB0-A3A0-BE5B01CE13E4}"/>
    <cellStyle name="Style 21 2 2 11" xfId="38528" xr:uid="{A3FAB01E-0CC3-48BA-9D6A-F2B9C3CF0433}"/>
    <cellStyle name="Style 21 2 2 12" xfId="38529" xr:uid="{2F74B206-3782-4998-B9B8-29C07785EA36}"/>
    <cellStyle name="Style 21 2 2 2" xfId="20455" xr:uid="{369C6521-05BC-4F44-90F2-DAC746CA14C3}"/>
    <cellStyle name="Style 21 2 2 2 2" xfId="20456" xr:uid="{C1BC83FE-8C8E-4618-BF19-D9DCAB5C34F7}"/>
    <cellStyle name="Style 21 2 2 2 2 2" xfId="38530" xr:uid="{E030C6CE-AE07-4511-B33C-FDC3B2F117BD}"/>
    <cellStyle name="Style 21 2 2 2 2 2 2" xfId="38531" xr:uid="{C5C366CF-EE87-4C9D-BA07-8721705D6A16}"/>
    <cellStyle name="Style 21 2 2 2 2 3" xfId="38532" xr:uid="{8FBB6F6E-7C0F-434A-B116-1C038A8CBFC3}"/>
    <cellStyle name="Style 21 2 2 2 2 4" xfId="38533" xr:uid="{595767BD-F191-4B70-A591-5CB183487FCF}"/>
    <cellStyle name="Style 21 2 2 2 3" xfId="20457" xr:uid="{739BE3C9-8465-491D-BE7C-85EC80C59E75}"/>
    <cellStyle name="Style 21 2 2 2 4" xfId="20458" xr:uid="{E6EB11C7-6E0D-4DE7-82DE-68F005297B57}"/>
    <cellStyle name="Style 21 2 2 2 5" xfId="38534" xr:uid="{E3D8D1EB-D1D7-42A5-A675-E6FEB12721BA}"/>
    <cellStyle name="Style 21 2 2 3" xfId="20459" xr:uid="{506FD146-DF5E-4D96-A8D3-1DC3A131FAB5}"/>
    <cellStyle name="Style 21 2 2 3 2" xfId="20460" xr:uid="{B2578CB7-CC05-4734-8472-77CCE58C82A3}"/>
    <cellStyle name="Style 21 2 2 3 2 2" xfId="38535" xr:uid="{C078C6A9-2D44-480C-A606-5C816EBF39FD}"/>
    <cellStyle name="Style 21 2 2 3 2 3" xfId="38536" xr:uid="{CC33CBF6-E699-4023-B253-596689F53481}"/>
    <cellStyle name="Style 21 2 2 3 3" xfId="38537" xr:uid="{ADA9BB9C-3AA2-43DD-9E35-D080E1FC194E}"/>
    <cellStyle name="Style 21 2 2 3 3 2" xfId="38538" xr:uid="{503BC9E5-F31C-488D-B8A1-43FA6B24CD1E}"/>
    <cellStyle name="Style 21 2 2 3 4" xfId="38539" xr:uid="{3C5F0229-883C-4263-BE32-28FA34640533}"/>
    <cellStyle name="Style 21 2 2 3 4 2" xfId="38540" xr:uid="{AD28E2CD-96E0-447E-B4D3-AC10D70564F2}"/>
    <cellStyle name="Style 21 2 2 3 5" xfId="38541" xr:uid="{FB006EBC-DBF4-48F1-8D30-66A17C83B8F6}"/>
    <cellStyle name="Style 21 2 2 3 6" xfId="38542" xr:uid="{FA6B3F07-03AD-4C84-A6E1-F493A6F3E029}"/>
    <cellStyle name="Style 21 2 2 4" xfId="20461" xr:uid="{F6411980-6D59-4183-B8F4-6E5467F12B8B}"/>
    <cellStyle name="Style 21 2 2 4 2" xfId="20462" xr:uid="{AE2D5689-8D2A-4E45-8491-B56401A88BCA}"/>
    <cellStyle name="Style 21 2 2 4 2 2" xfId="38543" xr:uid="{50BBE197-1001-4F24-8998-EA20A0557455}"/>
    <cellStyle name="Style 21 2 2 4 2 3" xfId="38544" xr:uid="{1697F64C-AEC9-4661-97CF-C19CF247258E}"/>
    <cellStyle name="Style 21 2 2 4 3" xfId="38545" xr:uid="{FF9D36B5-F928-4464-9E38-6095878622A0}"/>
    <cellStyle name="Style 21 2 2 4 4" xfId="38546" xr:uid="{DCCCCDF9-2154-42AB-B4AA-E3F7691D63C9}"/>
    <cellStyle name="Style 21 2 2 5" xfId="20463" xr:uid="{397D03F6-F1C2-4C40-B135-453F95EC2280}"/>
    <cellStyle name="Style 21 2 2 5 2" xfId="20464" xr:uid="{A9981350-964E-4308-9AA9-92C25225AB53}"/>
    <cellStyle name="Style 21 2 2 5 3" xfId="38547" xr:uid="{23157690-16F2-4903-9249-CDDDBB29A3E8}"/>
    <cellStyle name="Style 21 2 2 5 4" xfId="38548" xr:uid="{D2852C97-B63D-4928-A249-389C58AB9EF2}"/>
    <cellStyle name="Style 21 2 2 6" xfId="20465" xr:uid="{68AF5ED4-6763-42A4-AAF6-A0D21BD407EA}"/>
    <cellStyle name="Style 21 2 2 6 2" xfId="20466" xr:uid="{1AC5AA46-D28A-472A-99D4-FC7013DE7FD6}"/>
    <cellStyle name="Style 21 2 2 6 3" xfId="38549" xr:uid="{F5EF4572-34F1-48A5-8622-7DA1BA190E7A}"/>
    <cellStyle name="Style 21 2 2 6 4" xfId="38550" xr:uid="{84CF4C08-DDE1-47B7-B82F-26850A7346D3}"/>
    <cellStyle name="Style 21 2 2 7" xfId="20467" xr:uid="{BB22519A-EB0A-44F5-816A-B811D2C386A0}"/>
    <cellStyle name="Style 21 2 2 7 2" xfId="20468" xr:uid="{49DC97AA-0291-43AF-8681-96DCD58E6B2B}"/>
    <cellStyle name="Style 21 2 2 7 3" xfId="38551" xr:uid="{F214D805-94A3-4866-A7F6-1366841387D3}"/>
    <cellStyle name="Style 21 2 2 7 4" xfId="38552" xr:uid="{DDDF62B0-D150-47F8-9D4A-828C3E32C934}"/>
    <cellStyle name="Style 21 2 2 8" xfId="20469" xr:uid="{DB66D51F-4C39-4DF8-9D78-0463C951EC7D}"/>
    <cellStyle name="Style 21 2 2 8 2" xfId="20470" xr:uid="{E90D9310-764C-42D8-9733-6F71660C06A8}"/>
    <cellStyle name="Style 21 2 2 8 3" xfId="38553" xr:uid="{B3EE3CCE-1EAE-4508-B8CB-F2B6C8FAE404}"/>
    <cellStyle name="Style 21 2 2 8 4" xfId="38554" xr:uid="{A2B5DB8A-803F-447C-AE7B-CD4C468C3744}"/>
    <cellStyle name="Style 21 2 2 9" xfId="20471" xr:uid="{FD8163AC-1F83-45C0-9F25-29581E6E3D0E}"/>
    <cellStyle name="Style 21 2 2 9 2" xfId="38555" xr:uid="{4E8C80AE-2059-48E4-A8EA-BF611D0E77B7}"/>
    <cellStyle name="Style 21 2 2 9 3" xfId="38556" xr:uid="{38289DA7-8FFC-4CDB-A0B0-696F7C6781D4}"/>
    <cellStyle name="Style 21 2 3" xfId="20472" xr:uid="{9D9E4171-BA86-495E-B7AB-179335BF7BE2}"/>
    <cellStyle name="Style 21 2 3 10" xfId="20473" xr:uid="{94E4F56B-F227-4148-8A30-C18E3DE66FF4}"/>
    <cellStyle name="Style 21 2 3 10 2" xfId="38557" xr:uid="{D47EEB2A-21A8-4B41-B2D3-7B1BCC064CFC}"/>
    <cellStyle name="Style 21 2 3 11" xfId="38558" xr:uid="{53A5C8ED-4428-49F1-A983-08D892693F45}"/>
    <cellStyle name="Style 21 2 3 12" xfId="38559" xr:uid="{1E996785-0BE7-4236-A39A-F530DE4DBCEE}"/>
    <cellStyle name="Style 21 2 3 13" xfId="43340" xr:uid="{0689D3F9-E801-48E0-979E-0072B1FD28A3}"/>
    <cellStyle name="Style 21 2 3 2" xfId="20474" xr:uid="{3109CDD3-91CD-4E43-85A1-F70754F9AE75}"/>
    <cellStyle name="Style 21 2 3 2 2" xfId="20475" xr:uid="{A0D0C1ED-5EEB-4F56-80D0-2C55DCF6DBC8}"/>
    <cellStyle name="Style 21 2 3 2 2 2" xfId="38560" xr:uid="{40A69B90-E385-4215-A94F-55E78706A338}"/>
    <cellStyle name="Style 21 2 3 2 2 3" xfId="38561" xr:uid="{52EB9B13-FE92-4999-AAE0-9F65642C9F5C}"/>
    <cellStyle name="Style 21 2 3 2 3" xfId="20476" xr:uid="{8A3D1CDB-9AAF-4DE9-848E-AC91439D1CB3}"/>
    <cellStyle name="Style 21 2 3 2 4" xfId="20477" xr:uid="{B2721098-9F28-4615-A066-91EBE49F7C2A}"/>
    <cellStyle name="Style 21 2 3 2 5" xfId="38562" xr:uid="{2FF75ABD-E64B-4218-A9E3-7C8D7DC6FF59}"/>
    <cellStyle name="Style 21 2 3 3" xfId="20478" xr:uid="{46BE17AA-B504-4CC7-82B5-D4878F469094}"/>
    <cellStyle name="Style 21 2 3 3 2" xfId="20479" xr:uid="{CB4382F1-9FF2-4913-8E74-5C94012904F9}"/>
    <cellStyle name="Style 21 2 3 3 3" xfId="38563" xr:uid="{F9607D5D-55B2-43E1-92A9-1E1E1B51C742}"/>
    <cellStyle name="Style 21 2 3 3 4" xfId="38564" xr:uid="{E6F9DBEB-BF19-4F3A-B810-B48E7D4E3E60}"/>
    <cellStyle name="Style 21 2 3 4" xfId="20480" xr:uid="{7F92C761-859A-4BE7-90AB-7F3E19646EB6}"/>
    <cellStyle name="Style 21 2 3 4 2" xfId="20481" xr:uid="{6EFFA50A-C8FB-47E3-B201-535B31FF4333}"/>
    <cellStyle name="Style 21 2 3 4 3" xfId="38565" xr:uid="{77CBEA86-ABF8-4491-A794-F1BB8A3D8E88}"/>
    <cellStyle name="Style 21 2 3 4 4" xfId="38566" xr:uid="{96967CA2-8680-4F3D-92AD-FDC26EFA5078}"/>
    <cellStyle name="Style 21 2 3 5" xfId="20482" xr:uid="{6BBA9A19-C5EE-4C53-AAC3-121C1193D7B5}"/>
    <cellStyle name="Style 21 2 3 5 2" xfId="20483" xr:uid="{795838A9-4CE2-44CE-BFE7-6CE683BF5E19}"/>
    <cellStyle name="Style 21 2 3 5 3" xfId="38567" xr:uid="{EC84C5A3-EFCC-42E8-B997-C88E236CAC91}"/>
    <cellStyle name="Style 21 2 3 5 4" xfId="38568" xr:uid="{3C56C2A0-0A06-4DB8-8C2A-F72E1B24F4C8}"/>
    <cellStyle name="Style 21 2 3 6" xfId="20484" xr:uid="{45F88392-F70C-412A-8592-DFB05471903B}"/>
    <cellStyle name="Style 21 2 3 6 2" xfId="20485" xr:uid="{0BAB1212-0C10-403A-B351-CFF6D51E103A}"/>
    <cellStyle name="Style 21 2 3 6 3" xfId="38569" xr:uid="{1EF6D390-20DA-443D-BCB8-2D7DC9644E81}"/>
    <cellStyle name="Style 21 2 3 6 4" xfId="38570" xr:uid="{CC5FF006-AE58-4217-8B3A-2FCAC92E724C}"/>
    <cellStyle name="Style 21 2 3 7" xfId="20486" xr:uid="{B2BC747B-DCE6-4DCB-8601-50385BA645E3}"/>
    <cellStyle name="Style 21 2 3 7 2" xfId="20487" xr:uid="{92397671-9362-449D-98F0-EDA05B041C11}"/>
    <cellStyle name="Style 21 2 3 7 3" xfId="38571" xr:uid="{DF4125DC-9ADA-49D8-8963-5CD22CF35F56}"/>
    <cellStyle name="Style 21 2 3 7 4" xfId="38572" xr:uid="{19F8227C-A6F8-48BA-AB44-EABD2050CAB3}"/>
    <cellStyle name="Style 21 2 3 8" xfId="20488" xr:uid="{3E8B66BB-42C1-4C69-AF70-E809EE549DA1}"/>
    <cellStyle name="Style 21 2 3 8 2" xfId="20489" xr:uid="{2F111164-6145-43A8-A5F9-423AD39CA122}"/>
    <cellStyle name="Style 21 2 3 8 3" xfId="38573" xr:uid="{2F36CCB7-9776-45C9-8236-4E804FAD8FF1}"/>
    <cellStyle name="Style 21 2 3 8 4" xfId="38574" xr:uid="{4737CE78-33B1-4DDB-827D-FF22DEEC1EC4}"/>
    <cellStyle name="Style 21 2 3 9" xfId="20490" xr:uid="{DBE3ECBE-02A1-4CFE-AC73-028EE4F31119}"/>
    <cellStyle name="Style 21 2 3 9 2" xfId="38575" xr:uid="{3C74D5FE-BC9A-4816-B5A1-120302A38F86}"/>
    <cellStyle name="Style 21 2 3 9 3" xfId="38576" xr:uid="{70940154-0015-46FC-9DED-D26F2DA21CD6}"/>
    <cellStyle name="Style 21 2 4" xfId="20491" xr:uid="{192B2CC4-573B-4418-B4D4-393CD7043F8D}"/>
    <cellStyle name="Style 21 2 4 2" xfId="20492" xr:uid="{C809B21E-FB56-414C-8F6D-07D475943B2B}"/>
    <cellStyle name="Style 21 2 4 2 2" xfId="20493" xr:uid="{F7431B38-B62C-46DC-AB5F-EF475014E92C}"/>
    <cellStyle name="Style 21 2 4 2 2 2" xfId="38577" xr:uid="{CCBB0B50-19EB-43A4-A176-2038647BA95D}"/>
    <cellStyle name="Style 21 2 4 2 3" xfId="20494" xr:uid="{1E7139F7-DE70-4ED0-BCA6-AEE52316EA0B}"/>
    <cellStyle name="Style 21 2 4 2 4" xfId="38578" xr:uid="{777CB4A6-FC19-48D0-A006-BB3191428433}"/>
    <cellStyle name="Style 21 2 4 3" xfId="20495" xr:uid="{94082BAB-4CE1-4955-91CD-602BC30FD8DD}"/>
    <cellStyle name="Style 21 2 4 3 2" xfId="20496" xr:uid="{89F8C530-8E74-4256-A19B-1F95702B8AA4}"/>
    <cellStyle name="Style 21 2 4 3 3" xfId="38579" xr:uid="{0B98A7F7-179B-4991-9691-DA4DB8A4EC83}"/>
    <cellStyle name="Style 21 2 4 4" xfId="20497" xr:uid="{20C37781-9AAC-4693-83C1-D8CB77BB7409}"/>
    <cellStyle name="Style 21 2 4 4 2" xfId="38580" xr:uid="{D066DA3D-BCEF-49CF-8164-9F0CBD1804D6}"/>
    <cellStyle name="Style 21 2 4 5" xfId="38581" xr:uid="{1AF16753-5F30-4436-BEB2-6A6A850A535E}"/>
    <cellStyle name="Style 21 2 4 5 2" xfId="38582" xr:uid="{02638F00-E548-422C-B36A-3A28098EAB42}"/>
    <cellStyle name="Style 21 2 4 6" xfId="38583" xr:uid="{D6C42BA7-5470-4F56-B2B4-CA2F72BD68E1}"/>
    <cellStyle name="Style 21 2 4 7" xfId="43341" xr:uid="{10C4BDBF-C78C-4D28-94FF-FA1954BEB903}"/>
    <cellStyle name="Style 21 2 5" xfId="20498" xr:uid="{036EF0D3-06EF-4BCA-AAEA-8D60388DFDD9}"/>
    <cellStyle name="Style 21 2 5 2" xfId="20499" xr:uid="{4FEAABB5-2E7B-4981-8365-5774B981462F}"/>
    <cellStyle name="Style 21 2 5 2 2" xfId="38584" xr:uid="{29B6CC5C-A1D4-45E8-AF77-EE8858756D18}"/>
    <cellStyle name="Style 21 2 5 2 3" xfId="38585" xr:uid="{C0A52E13-2E5F-4FEA-B8F0-89EA85053284}"/>
    <cellStyle name="Style 21 2 5 3" xfId="20500" xr:uid="{B7398BA7-AC62-4CAE-9D4F-1B7FDD2F8548}"/>
    <cellStyle name="Style 21 2 5 4" xfId="38586" xr:uid="{553BD6F5-548D-442F-8131-F08EFF4CE794}"/>
    <cellStyle name="Style 21 2 5 5" xfId="38587" xr:uid="{FBD62BCE-0E38-49C0-8631-3C3C3B98C620}"/>
    <cellStyle name="Style 21 2 6" xfId="20501" xr:uid="{6EE3A98E-2626-400F-8C7F-805902DD4BE0}"/>
    <cellStyle name="Style 21 2 6 2" xfId="20502" xr:uid="{A803E2D4-2425-4AA4-91A5-60DED708D859}"/>
    <cellStyle name="Style 21 2 6 2 2" xfId="38588" xr:uid="{28FBA1C3-E9F7-42EF-80A4-B90E7DBF95A9}"/>
    <cellStyle name="Style 21 2 6 2 3" xfId="38589" xr:uid="{7EC7777B-C791-445F-8883-039D1FCA000A}"/>
    <cellStyle name="Style 21 2 6 3" xfId="38590" xr:uid="{0EDC4D67-B7A7-41E9-B372-A8D8912F9987}"/>
    <cellStyle name="Style 21 2 6 4" xfId="38591" xr:uid="{E70D6C03-BE58-4468-AD48-D27DAF1BF179}"/>
    <cellStyle name="Style 21 2 7" xfId="20503" xr:uid="{B5178CEA-1897-4F0C-9539-073DBE0111EB}"/>
    <cellStyle name="Style 21 2 7 2" xfId="20504" xr:uid="{76223857-79E0-4EB1-89E2-7A793D95B33B}"/>
    <cellStyle name="Style 21 2 7 2 2" xfId="38592" xr:uid="{AE9F0BBA-71FF-43D4-8F8C-1DCE59A72106}"/>
    <cellStyle name="Style 21 2 7 2 3" xfId="38593" xr:uid="{CC54ECB8-DB4F-4445-9C97-EFEDBB54D1DC}"/>
    <cellStyle name="Style 21 2 7 3" xfId="38594" xr:uid="{A0477D57-EDE8-4A9B-94A5-CEBB50432C36}"/>
    <cellStyle name="Style 21 2 7 4" xfId="38595" xr:uid="{4E86FA9B-18D4-4E30-BFB4-CE1D1A5996FD}"/>
    <cellStyle name="Style 21 2 8" xfId="20505" xr:uid="{0778B382-1276-4770-859E-504550301464}"/>
    <cellStyle name="Style 21 2 8 2" xfId="20506" xr:uid="{1DB8C3AB-94B5-46DF-BC78-670278FB3096}"/>
    <cellStyle name="Style 21 2 8 3" xfId="38596" xr:uid="{5178BFE2-1DEE-4FA1-9624-911FF625556F}"/>
    <cellStyle name="Style 21 2 8 4" xfId="38597" xr:uid="{284B5992-C4DA-4B99-8392-49020FB61201}"/>
    <cellStyle name="Style 21 2 9" xfId="20507" xr:uid="{5EC0CD94-2934-4019-A099-A3BD4D2B0384}"/>
    <cellStyle name="Style 21 2 9 2" xfId="20508" xr:uid="{AD0512FD-8151-40A4-97CA-5B74C8560DCD}"/>
    <cellStyle name="Style 21 2 9 3" xfId="38598" xr:uid="{7BFCA3C8-BE81-49B7-94A3-8C17ED452139}"/>
    <cellStyle name="Style 21 2 9 4" xfId="38599" xr:uid="{CF2B56F4-197C-4D00-B538-ECA75B158A54}"/>
    <cellStyle name="Style 21 3" xfId="20509" xr:uid="{A2B53316-53DA-40E6-851E-03C737759AF5}"/>
    <cellStyle name="Style 21 3 10" xfId="20510" xr:uid="{731C1961-3086-49C1-9405-39EDCB6FB23C}"/>
    <cellStyle name="Style 21 3 10 2" xfId="38600" xr:uid="{6A44F67F-36EF-4719-B044-4327B8F9848B}"/>
    <cellStyle name="Style 21 3 11" xfId="38601" xr:uid="{CA0731D1-E8EF-4CAD-9536-C69097311D94}"/>
    <cellStyle name="Style 21 3 12" xfId="38602" xr:uid="{DF85BD33-D673-4B8E-8033-D93EC40C190D}"/>
    <cellStyle name="Style 21 3 2" xfId="20511" xr:uid="{4DFC8400-A069-4B3D-BDFD-5C8F671306AA}"/>
    <cellStyle name="Style 21 3 2 2" xfId="20512" xr:uid="{3D73C6F9-95BF-447C-844E-B77A43C55F20}"/>
    <cellStyle name="Style 21 3 2 2 2" xfId="38603" xr:uid="{51A5055E-96AF-4EF9-AF27-843683378DBC}"/>
    <cellStyle name="Style 21 3 2 2 2 2" xfId="38604" xr:uid="{421B23F4-AE57-45C9-B7DA-010EDFDB2E4D}"/>
    <cellStyle name="Style 21 3 2 2 3" xfId="38605" xr:uid="{DE8E3B14-01F0-4BC7-BFC5-DA6A6B23AA83}"/>
    <cellStyle name="Style 21 3 2 2 4" xfId="38606" xr:uid="{68FB1F66-E09C-4C7C-8EFF-E57C50FAB4A3}"/>
    <cellStyle name="Style 21 3 2 3" xfId="20513" xr:uid="{94659BE7-62B9-467C-9F9A-160327804E4D}"/>
    <cellStyle name="Style 21 3 2 4" xfId="20514" xr:uid="{65DEF9F0-0972-455A-93D9-2D4CB87E47D1}"/>
    <cellStyle name="Style 21 3 2 5" xfId="38607" xr:uid="{FBC068F1-CF18-44F3-8522-A270ABE7773C}"/>
    <cellStyle name="Style 21 3 3" xfId="20515" xr:uid="{1AA1BA26-032E-4940-AD76-6540FE2E3931}"/>
    <cellStyle name="Style 21 3 3 2" xfId="20516" xr:uid="{8CB7B90C-E52E-49AF-AEF8-E1A34CFF6D08}"/>
    <cellStyle name="Style 21 3 3 2 2" xfId="38608" xr:uid="{F993FA34-8F4F-4BAC-AB18-44DEF132C8E5}"/>
    <cellStyle name="Style 21 3 3 2 3" xfId="38609" xr:uid="{C11B489F-D5E1-4C04-97ED-1E31B0980F12}"/>
    <cellStyle name="Style 21 3 3 3" xfId="38610" xr:uid="{9B44B74B-D0ED-4558-AB1B-5C9A89847278}"/>
    <cellStyle name="Style 21 3 3 3 2" xfId="38611" xr:uid="{10945F2E-CA46-4FCA-9018-6FFE2550E2C8}"/>
    <cellStyle name="Style 21 3 3 4" xfId="38612" xr:uid="{F22B8B3F-06E8-4EAE-89A9-7B3AB3092BBB}"/>
    <cellStyle name="Style 21 3 3 4 2" xfId="38613" xr:uid="{4E2CA1D8-DD13-42BC-9748-5C1670FAF18A}"/>
    <cellStyle name="Style 21 3 3 5" xfId="38614" xr:uid="{4172719E-E081-412A-A105-9B20A97E6DF1}"/>
    <cellStyle name="Style 21 3 3 6" xfId="38615" xr:uid="{6AE8E984-571D-44E0-98FE-CD00D8E16D1E}"/>
    <cellStyle name="Style 21 3 4" xfId="20517" xr:uid="{12B5AA17-58E2-4BBF-92C8-E98E84233856}"/>
    <cellStyle name="Style 21 3 4 2" xfId="20518" xr:uid="{F22E9635-CCB7-422B-95A5-B635337E7E38}"/>
    <cellStyle name="Style 21 3 4 2 2" xfId="38616" xr:uid="{DB9A3C6A-E172-4C7E-B8F6-505EB7E96FC3}"/>
    <cellStyle name="Style 21 3 4 2 3" xfId="38617" xr:uid="{51F6B7F1-5C7A-4A17-A998-93FE3B98D17A}"/>
    <cellStyle name="Style 21 3 4 3" xfId="38618" xr:uid="{26719438-0B76-43C6-89E1-DF5B4D03741D}"/>
    <cellStyle name="Style 21 3 4 4" xfId="38619" xr:uid="{833ABD35-9C23-4E0A-8517-C9C632603AFF}"/>
    <cellStyle name="Style 21 3 5" xfId="20519" xr:uid="{2ED1893D-AFA0-4EED-BED8-0702AA5C9B62}"/>
    <cellStyle name="Style 21 3 5 2" xfId="20520" xr:uid="{AFEDB35C-FBAD-41CC-8CFB-9E61618E074E}"/>
    <cellStyle name="Style 21 3 5 3" xfId="38620" xr:uid="{AA9B9167-B93A-4EAA-84E9-FFCEE0BB8C4F}"/>
    <cellStyle name="Style 21 3 5 4" xfId="38621" xr:uid="{839A7B09-54A2-4D9B-B163-C9EE902084FB}"/>
    <cellStyle name="Style 21 3 6" xfId="20521" xr:uid="{1B487D9C-E6EF-49DD-891B-0257C6C3E492}"/>
    <cellStyle name="Style 21 3 6 2" xfId="20522" xr:uid="{72F95FC6-EBF7-4090-9C46-D1C21AE4AF67}"/>
    <cellStyle name="Style 21 3 6 3" xfId="38622" xr:uid="{F3FA10B6-6C70-4FD3-AD46-720A731EAC9D}"/>
    <cellStyle name="Style 21 3 6 4" xfId="38623" xr:uid="{D22D8C71-8DB8-45B6-931B-B911161818D6}"/>
    <cellStyle name="Style 21 3 7" xfId="20523" xr:uid="{BDAAA167-2987-4EDA-B9B5-9C623FB7775F}"/>
    <cellStyle name="Style 21 3 7 2" xfId="20524" xr:uid="{17B0E64E-96F3-4D1E-B40D-1E530FC70694}"/>
    <cellStyle name="Style 21 3 7 3" xfId="38624" xr:uid="{7BD6FAC7-21F5-4BE3-8546-8EE97BD86150}"/>
    <cellStyle name="Style 21 3 7 4" xfId="38625" xr:uid="{43F18A55-0139-4F74-8C52-2FAB89E0E222}"/>
    <cellStyle name="Style 21 3 8" xfId="20525" xr:uid="{F826DBB6-A47E-4030-A59C-765AFE4D8103}"/>
    <cellStyle name="Style 21 3 8 2" xfId="20526" xr:uid="{9423C33B-19D8-41BB-9139-9D45FE6B113F}"/>
    <cellStyle name="Style 21 3 8 3" xfId="38626" xr:uid="{19BFCEE8-D12F-4C73-8DF5-A682AAC0FF2B}"/>
    <cellStyle name="Style 21 3 8 4" xfId="38627" xr:uid="{97F3D583-BFC9-432E-A909-EC0169B1D789}"/>
    <cellStyle name="Style 21 3 9" xfId="20527" xr:uid="{9D250E03-EFFD-4AD8-8314-69999EB46ACE}"/>
    <cellStyle name="Style 21 3 9 2" xfId="38628" xr:uid="{C7F07F21-4AAB-44EC-9853-88D8171BE92F}"/>
    <cellStyle name="Style 21 3 9 3" xfId="38629" xr:uid="{475C4142-E360-49AB-A403-C840990BC451}"/>
    <cellStyle name="Style 21 4" xfId="20528" xr:uid="{608C6EF2-A419-4BC4-9B2A-091E2B45F4D9}"/>
    <cellStyle name="Style 21 4 10" xfId="20529" xr:uid="{520DDF3D-8516-4FE7-9F37-B0AF53DFAF17}"/>
    <cellStyle name="Style 21 4 10 2" xfId="38630" xr:uid="{F5C565C6-FCFA-4667-905D-BE0CD4356427}"/>
    <cellStyle name="Style 21 4 11" xfId="38631" xr:uid="{9920D648-4881-447F-9895-3600053FB1ED}"/>
    <cellStyle name="Style 21 4 12" xfId="38632" xr:uid="{64BD5390-032F-41FD-B959-477B97C73BD5}"/>
    <cellStyle name="Style 21 4 13" xfId="43342" xr:uid="{A74E00D3-F4E2-491C-A2F4-22797C8AA74A}"/>
    <cellStyle name="Style 21 4 2" xfId="20530" xr:uid="{978AD354-7E46-4D0D-A0B2-636CA872855B}"/>
    <cellStyle name="Style 21 4 2 2" xfId="20531" xr:uid="{27A72712-8F98-4DF9-B57F-E5EF4108DA6E}"/>
    <cellStyle name="Style 21 4 2 2 2" xfId="38633" xr:uid="{92B9A50B-01D3-4A9E-9C56-BCB877F4E802}"/>
    <cellStyle name="Style 21 4 2 2 3" xfId="38634" xr:uid="{DC98C6FA-9BAF-4DBC-9150-931AEB67B5FB}"/>
    <cellStyle name="Style 21 4 2 3" xfId="20532" xr:uid="{C7441BE3-7743-442B-97D0-4A9D8F0123D8}"/>
    <cellStyle name="Style 21 4 2 4" xfId="20533" xr:uid="{2CEBD20B-99FB-4939-8237-245A40276AEB}"/>
    <cellStyle name="Style 21 4 2 5" xfId="38635" xr:uid="{A9459949-21BA-461D-AAB1-7FF969118CC1}"/>
    <cellStyle name="Style 21 4 3" xfId="20534" xr:uid="{1B978109-57A8-4D21-A5A4-346F7BC2C4A4}"/>
    <cellStyle name="Style 21 4 3 2" xfId="20535" xr:uid="{30226775-867A-4626-8118-0FBBE79D7791}"/>
    <cellStyle name="Style 21 4 3 3" xfId="38636" xr:uid="{FCA9D54E-455C-44A1-B189-F74248219E3B}"/>
    <cellStyle name="Style 21 4 3 4" xfId="38637" xr:uid="{B6123163-5B10-415A-9D96-00B32FEE1386}"/>
    <cellStyle name="Style 21 4 4" xfId="20536" xr:uid="{4B4F0061-8021-4406-AE60-BFF867864896}"/>
    <cellStyle name="Style 21 4 4 2" xfId="20537" xr:uid="{2FE2B851-F209-4E7D-90AE-FC507829A58F}"/>
    <cellStyle name="Style 21 4 4 3" xfId="38638" xr:uid="{4A7ADA52-9755-429D-9C91-AE0B9733077A}"/>
    <cellStyle name="Style 21 4 4 4" xfId="38639" xr:uid="{580BD052-97E4-4425-BCCC-91682D6A0390}"/>
    <cellStyle name="Style 21 4 5" xfId="20538" xr:uid="{6B0191EA-74FB-4DEE-928B-501677F8412A}"/>
    <cellStyle name="Style 21 4 5 2" xfId="20539" xr:uid="{7E654D18-4EB8-485A-BB7E-B9A32B6C7D38}"/>
    <cellStyle name="Style 21 4 5 3" xfId="38640" xr:uid="{7B1357B5-C351-4A82-82CF-4506DDA27E6F}"/>
    <cellStyle name="Style 21 4 5 4" xfId="38641" xr:uid="{2E4A0543-8D7A-41CE-9E66-763FB639A25F}"/>
    <cellStyle name="Style 21 4 6" xfId="20540" xr:uid="{E8DF78E6-A142-433F-ACE8-49B7A2D11165}"/>
    <cellStyle name="Style 21 4 6 2" xfId="20541" xr:uid="{399B3C28-7FE6-4078-BB24-9801BD307FE8}"/>
    <cellStyle name="Style 21 4 6 3" xfId="38642" xr:uid="{95942772-FD7F-4A0B-AA01-8205ED1369F5}"/>
    <cellStyle name="Style 21 4 6 4" xfId="38643" xr:uid="{C28ACC63-CAA8-4A4D-84B7-A083FB39BE92}"/>
    <cellStyle name="Style 21 4 7" xfId="20542" xr:uid="{48FE7F7F-0A58-4369-8827-6368C2A4A624}"/>
    <cellStyle name="Style 21 4 7 2" xfId="20543" xr:uid="{592689FF-7B5E-464F-ADEC-7CDBB6438F86}"/>
    <cellStyle name="Style 21 4 7 3" xfId="38644" xr:uid="{8FA2635F-644C-4590-AD6B-D0EC16C39E92}"/>
    <cellStyle name="Style 21 4 7 4" xfId="38645" xr:uid="{74564D1B-3457-4BD1-B91F-EEBC420AEA02}"/>
    <cellStyle name="Style 21 4 8" xfId="20544" xr:uid="{BCAB193F-DAAE-4877-A66E-CB0B9BC6D4B2}"/>
    <cellStyle name="Style 21 4 8 2" xfId="20545" xr:uid="{F7C42CAD-E036-4C10-9173-BDA6A69CF1E7}"/>
    <cellStyle name="Style 21 4 8 3" xfId="38646" xr:uid="{1972F4BE-CB99-4AE2-99A7-597A37BC3D9B}"/>
    <cellStyle name="Style 21 4 8 4" xfId="38647" xr:uid="{CA2A996F-9F09-4AD0-9564-82DE825DDAE1}"/>
    <cellStyle name="Style 21 4 9" xfId="20546" xr:uid="{1FB89724-6D4A-4897-B4D3-B26208D28F8B}"/>
    <cellStyle name="Style 21 4 9 2" xfId="38648" xr:uid="{7125FC39-8A24-429E-8548-6BDED4A578B4}"/>
    <cellStyle name="Style 21 4 9 3" xfId="38649" xr:uid="{08A9943F-BA99-42CE-82E1-2C0997413CE3}"/>
    <cellStyle name="Style 21 5" xfId="20547" xr:uid="{B0279A7B-4C42-4A56-999B-048D7835DDF7}"/>
    <cellStyle name="Style 21 5 2" xfId="20548" xr:uid="{99088395-3B28-4B64-AE8D-D3D02674DCC7}"/>
    <cellStyle name="Style 21 5 2 2" xfId="20549" xr:uid="{9EA1443D-FA3E-4B85-9E54-0547D1F8AA2C}"/>
    <cellStyle name="Style 21 5 2 2 2" xfId="38650" xr:uid="{1D7D1C35-187A-4A47-AA53-BCCE08C530C8}"/>
    <cellStyle name="Style 21 5 2 3" xfId="20550" xr:uid="{A154BECA-F0B6-4CA5-A37A-EED30F9A20F3}"/>
    <cellStyle name="Style 21 5 2 4" xfId="38651" xr:uid="{36F6B699-6B76-4FB0-BE73-B1237F8A706F}"/>
    <cellStyle name="Style 21 5 3" xfId="20551" xr:uid="{D7573C07-B054-436D-BF1B-277E0AE358F5}"/>
    <cellStyle name="Style 21 5 3 2" xfId="20552" xr:uid="{04CBF710-0843-4540-AC53-998CFF784FAF}"/>
    <cellStyle name="Style 21 5 3 3" xfId="38652" xr:uid="{A7F69D24-724E-46CD-93A3-2E98B20691E5}"/>
    <cellStyle name="Style 21 5 4" xfId="20553" xr:uid="{CA28D228-5AE7-4E4F-8F85-3D7E167620CC}"/>
    <cellStyle name="Style 21 5 4 2" xfId="38653" xr:uid="{0DDA2DCC-C4C1-44C5-BE0A-BCEA1C1FB281}"/>
    <cellStyle name="Style 21 5 5" xfId="38654" xr:uid="{60636449-EC3B-4B67-8A5D-831655EA3E1A}"/>
    <cellStyle name="Style 21 5 5 2" xfId="38655" xr:uid="{F5374EEC-B875-40E2-B7F6-04C56C7B1C06}"/>
    <cellStyle name="Style 21 5 6" xfId="38656" xr:uid="{FB581BA1-F053-4075-B969-20E050DEAE03}"/>
    <cellStyle name="Style 21 5 7" xfId="43343" xr:uid="{7B35F9A2-CB97-4BB4-9F56-8D8F2144DF5F}"/>
    <cellStyle name="Style 21 6" xfId="20554" xr:uid="{2AFFF6E3-AFA0-467F-A690-943F50E9641C}"/>
    <cellStyle name="Style 21 6 2" xfId="20555" xr:uid="{73145937-5886-4EC7-858B-C9D391865BDB}"/>
    <cellStyle name="Style 21 6 2 2" xfId="38657" xr:uid="{8151AB22-DBF8-495D-A0FF-D85D70E6C353}"/>
    <cellStyle name="Style 21 6 2 3" xfId="38658" xr:uid="{6A631214-547E-4765-B796-E8D24D137BE7}"/>
    <cellStyle name="Style 21 6 3" xfId="20556" xr:uid="{E2D0EA79-2F1C-4A95-8706-9DDF3CC8DC05}"/>
    <cellStyle name="Style 21 6 4" xfId="38659" xr:uid="{4967BDF1-137B-4184-81DB-032FAEA80C62}"/>
    <cellStyle name="Style 21 6 5" xfId="38660" xr:uid="{A64D6FA4-87E7-4DD6-8AA7-20F0A4977D57}"/>
    <cellStyle name="Style 21 7" xfId="20557" xr:uid="{B8BDBBC8-70E6-4239-97B5-53A3B977FEF8}"/>
    <cellStyle name="Style 21 7 2" xfId="20558" xr:uid="{0C0DB3BD-F14E-42EA-872D-34AB9EFA1990}"/>
    <cellStyle name="Style 21 7 2 2" xfId="38661" xr:uid="{C1C2A6BB-4BD3-4C83-ACED-C1BC261B3357}"/>
    <cellStyle name="Style 21 7 2 3" xfId="38662" xr:uid="{2CF4C33C-D374-4802-9E42-A777991BFACC}"/>
    <cellStyle name="Style 21 7 3" xfId="38663" xr:uid="{07B31BD9-63C2-46D1-99A9-6CDA02D3E6F2}"/>
    <cellStyle name="Style 21 7 4" xfId="38664" xr:uid="{D104CB19-9182-43D2-B88A-67286A8288B1}"/>
    <cellStyle name="Style 21 8" xfId="20559" xr:uid="{CB07400E-9AB1-4C21-BCBF-526D4DB074C0}"/>
    <cellStyle name="Style 21 8 2" xfId="20560" xr:uid="{BE02375B-6695-4167-8A9F-E1B892A3C50E}"/>
    <cellStyle name="Style 21 8 2 2" xfId="38665" xr:uid="{B2666093-7406-42F1-BF99-CCB446FE763B}"/>
    <cellStyle name="Style 21 8 2 3" xfId="38666" xr:uid="{01C408AA-FCE3-4D3E-838D-EABFBE6B8FA3}"/>
    <cellStyle name="Style 21 8 3" xfId="38667" xr:uid="{B74506E9-71EF-4107-98E8-91641517F0F3}"/>
    <cellStyle name="Style 21 8 4" xfId="38668" xr:uid="{91433644-DB6C-4C98-BC1B-FB2B68791346}"/>
    <cellStyle name="Style 21 9" xfId="20561" xr:uid="{61504830-34D6-4AC1-B6F8-998CA10D4802}"/>
    <cellStyle name="Style 21 9 2" xfId="20562" xr:uid="{B32B8E76-2E47-449D-948B-E7D909C76BF7}"/>
    <cellStyle name="Style 21 9 3" xfId="38669" xr:uid="{722B6280-9666-42C2-9C8C-351D1AF26509}"/>
    <cellStyle name="Style 21 9 4" xfId="38670" xr:uid="{B85F81BE-5F86-4619-87E5-10CB76E192C9}"/>
    <cellStyle name="Style 22" xfId="20563" xr:uid="{43EDFE9C-7D2A-4A1A-ACDE-7653E021A5FA}"/>
    <cellStyle name="Style 22 10" xfId="20564" xr:uid="{3A6C22E8-EE26-4837-8B52-88DE6CFB7DF7}"/>
    <cellStyle name="Style 22 10 2" xfId="20565" xr:uid="{E5B1DB23-38FC-43AB-AF6E-0A3EA8BCB9AF}"/>
    <cellStyle name="Style 22 10 3" xfId="38671" xr:uid="{20E92FDD-15E8-4C82-9C37-20A726BD668B}"/>
    <cellStyle name="Style 22 10 4" xfId="38672" xr:uid="{B212F015-2853-49C5-944D-1CA9FEB74C01}"/>
    <cellStyle name="Style 22 11" xfId="20566" xr:uid="{0C638C4C-C2D7-4F86-95EB-3D524A4BFC2C}"/>
    <cellStyle name="Style 22 11 2" xfId="38673" xr:uid="{7D4D1111-CDE4-4297-8222-6C86DED806DA}"/>
    <cellStyle name="Style 22 11 3" xfId="38674" xr:uid="{7EB98ED7-1D4E-4A25-8D52-49ED1B515FA3}"/>
    <cellStyle name="Style 22 12" xfId="20567" xr:uid="{85A717BC-8864-4F62-9EF0-17632B4B0721}"/>
    <cellStyle name="Style 22 12 2" xfId="38675" xr:uid="{857ED938-63BB-4FC6-97CF-9F775BADDE49}"/>
    <cellStyle name="Style 22 13" xfId="38676" xr:uid="{300815AC-A931-4701-8307-9D37A24DDF5A}"/>
    <cellStyle name="Style 22 14" xfId="38677" xr:uid="{0DFA67B4-530E-4215-B207-22619C5861E4}"/>
    <cellStyle name="Style 22 2" xfId="20568" xr:uid="{74DBD6E2-138E-4400-99DA-9FE60E40398C}"/>
    <cellStyle name="Style 22 2 10" xfId="20569" xr:uid="{619424BE-80F4-4AB4-BE6B-AE8422B9E9A7}"/>
    <cellStyle name="Style 22 2 10 2" xfId="38678" xr:uid="{A7A3E0FD-25C8-4C98-AC84-D98BF1E58D43}"/>
    <cellStyle name="Style 22 2 11" xfId="38679" xr:uid="{8A2C4395-EB7F-434B-97B9-1EB1E2900CB3}"/>
    <cellStyle name="Style 22 2 12" xfId="38680" xr:uid="{1592F287-6A42-4D4A-9FB4-59731390D145}"/>
    <cellStyle name="Style 22 2 2" xfId="20570" xr:uid="{81042C6B-D175-410E-BB8D-7D776C3592FE}"/>
    <cellStyle name="Style 22 2 2 2" xfId="20571" xr:uid="{319D0E67-3A9E-495E-9034-69AFE66CBF00}"/>
    <cellStyle name="Style 22 2 2 2 2" xfId="38681" xr:uid="{F53FFD9D-95BF-450D-B406-CAF35561C266}"/>
    <cellStyle name="Style 22 2 2 2 2 2" xfId="38682" xr:uid="{220B0CB8-3E64-4DD3-AA15-C5C5ECD33FDE}"/>
    <cellStyle name="Style 22 2 2 2 3" xfId="38683" xr:uid="{BF56C5E2-E85F-43F2-AC29-5E1E98364A59}"/>
    <cellStyle name="Style 22 2 2 2 4" xfId="38684" xr:uid="{00CEFB32-FF98-4836-9417-7B7C69ED0CE1}"/>
    <cellStyle name="Style 22 2 2 3" xfId="20572" xr:uid="{6445DF0F-BF8B-433D-B1AB-55EC75318F73}"/>
    <cellStyle name="Style 22 2 2 4" xfId="20573" xr:uid="{831DD460-A135-4C39-8B6C-D477B0DEC54B}"/>
    <cellStyle name="Style 22 2 2 5" xfId="38685" xr:uid="{0AB28DFA-70C4-46AC-AB30-8401EC475D89}"/>
    <cellStyle name="Style 22 2 3" xfId="20574" xr:uid="{E8063118-2BC1-4FE2-B076-0F42F4C06306}"/>
    <cellStyle name="Style 22 2 3 2" xfId="20575" xr:uid="{86CF4FA5-F1C0-4528-BE12-7F491126D40C}"/>
    <cellStyle name="Style 22 2 3 2 2" xfId="38686" xr:uid="{66C4C370-D18C-4BD7-97A6-68F3522083B2}"/>
    <cellStyle name="Style 22 2 3 2 3" xfId="38687" xr:uid="{FB481CAA-95A6-4C9D-9660-115071F13F0E}"/>
    <cellStyle name="Style 22 2 3 3" xfId="38688" xr:uid="{3A01A019-BDE5-4784-B7C3-B4DA4D9D344E}"/>
    <cellStyle name="Style 22 2 3 3 2" xfId="38689" xr:uid="{9218C7B6-4DD3-4EEF-92E4-49F8ACE2C6C1}"/>
    <cellStyle name="Style 22 2 3 4" xfId="38690" xr:uid="{D9CD2DF3-CF40-4115-947B-0B726C5B9CB4}"/>
    <cellStyle name="Style 22 2 3 4 2" xfId="38691" xr:uid="{758B66DA-718D-4F38-9224-0BDE0489C709}"/>
    <cellStyle name="Style 22 2 3 5" xfId="38692" xr:uid="{77775176-7AD1-4F97-9139-2FF0DB8B1731}"/>
    <cellStyle name="Style 22 2 3 6" xfId="38693" xr:uid="{DC248CDD-161E-4192-B7BD-C8189C7B8C91}"/>
    <cellStyle name="Style 22 2 4" xfId="20576" xr:uid="{2F75C0F7-B498-42F2-AC15-2F5D05798529}"/>
    <cellStyle name="Style 22 2 4 2" xfId="20577" xr:uid="{A39B1C15-FD32-48AB-802E-F346CD9B7F3B}"/>
    <cellStyle name="Style 22 2 4 2 2" xfId="38694" xr:uid="{107DFBC0-4756-4B7D-BE48-AAACB29B3F75}"/>
    <cellStyle name="Style 22 2 4 2 3" xfId="38695" xr:uid="{1B4D0E68-6A7C-438B-9A28-83EB125E015E}"/>
    <cellStyle name="Style 22 2 4 3" xfId="38696" xr:uid="{8B4AF4D0-EC7B-4AA0-8B47-98E4A719A402}"/>
    <cellStyle name="Style 22 2 4 4" xfId="38697" xr:uid="{201471B7-CA8F-4053-BE4C-F8C5591BB5EF}"/>
    <cellStyle name="Style 22 2 5" xfId="20578" xr:uid="{A846823F-C117-4646-9EB1-1EC7A47F2C92}"/>
    <cellStyle name="Style 22 2 5 2" xfId="20579" xr:uid="{96A5C1DE-4E5A-414B-AAC1-4012A2B28129}"/>
    <cellStyle name="Style 22 2 5 3" xfId="38698" xr:uid="{7AAF79F2-5E4C-4A20-8DCE-1B2D7EF040B5}"/>
    <cellStyle name="Style 22 2 5 4" xfId="38699" xr:uid="{4EF6559C-D341-4FF8-9755-CA152D5A3805}"/>
    <cellStyle name="Style 22 2 6" xfId="20580" xr:uid="{F75DEC9F-FFBC-4E62-B382-FF9CA9FEE25F}"/>
    <cellStyle name="Style 22 2 6 2" xfId="20581" xr:uid="{F1EE2209-5925-43D0-BF05-DF5B219D4998}"/>
    <cellStyle name="Style 22 2 6 3" xfId="38700" xr:uid="{59EF3E9B-9ACB-44EC-B41B-7208934DD454}"/>
    <cellStyle name="Style 22 2 6 4" xfId="38701" xr:uid="{2C5DAD85-555F-42B6-B381-2249CEF67BEE}"/>
    <cellStyle name="Style 22 2 7" xfId="20582" xr:uid="{79CE5686-B76E-49B7-9E02-9393F47FC9CF}"/>
    <cellStyle name="Style 22 2 7 2" xfId="20583" xr:uid="{D86E52E0-B33B-44FA-B06B-74CEBAD7AC95}"/>
    <cellStyle name="Style 22 2 7 3" xfId="38702" xr:uid="{26B8A230-D660-4B67-BEF8-D76D5349EACE}"/>
    <cellStyle name="Style 22 2 7 4" xfId="38703" xr:uid="{D5A5DFEF-1AC7-471E-BEC9-884E613E5399}"/>
    <cellStyle name="Style 22 2 8" xfId="20584" xr:uid="{24B2D043-B5C7-4534-843F-5FAEEFD7DA41}"/>
    <cellStyle name="Style 22 2 8 2" xfId="20585" xr:uid="{FED99B9D-6E7E-47AB-8CD8-1A09A29573DC}"/>
    <cellStyle name="Style 22 2 8 3" xfId="38704" xr:uid="{1D7E61E3-D521-40DD-A80D-3CAB09CF453C}"/>
    <cellStyle name="Style 22 2 8 4" xfId="38705" xr:uid="{B03F2E05-2242-4F4E-B87A-667804C48118}"/>
    <cellStyle name="Style 22 2 9" xfId="20586" xr:uid="{206EBF2D-0C13-4666-A149-46C63E5A1D73}"/>
    <cellStyle name="Style 22 2 9 2" xfId="38706" xr:uid="{B48371B6-5D82-40D7-8863-D4BE532AFB6F}"/>
    <cellStyle name="Style 22 2 9 3" xfId="38707" xr:uid="{B555091F-1301-4F04-901B-964630E611C3}"/>
    <cellStyle name="Style 22 3" xfId="20587" xr:uid="{AD75FFA4-80C3-404E-BADE-C29705FAAF70}"/>
    <cellStyle name="Style 22 3 10" xfId="20588" xr:uid="{3D69CB9A-2408-4636-9A9C-0BC012D1C926}"/>
    <cellStyle name="Style 22 3 10 2" xfId="38708" xr:uid="{00CEAFA9-9245-4EA9-9DD0-A6DE8A7CAA5E}"/>
    <cellStyle name="Style 22 3 11" xfId="38709" xr:uid="{CEADB99A-6726-4628-8C2C-24474C059D9F}"/>
    <cellStyle name="Style 22 3 12" xfId="38710" xr:uid="{4C416A3F-09A5-4BB6-A6AF-E5A98F31C671}"/>
    <cellStyle name="Style 22 3 13" xfId="43344" xr:uid="{8739141B-A044-405B-B985-2275C18716E8}"/>
    <cellStyle name="Style 22 3 2" xfId="20589" xr:uid="{B2B7A63C-7FC7-4EC9-994E-06D1D1B5D7F6}"/>
    <cellStyle name="Style 22 3 2 2" xfId="20590" xr:uid="{098D3880-42CB-42E9-85BF-8A44D4EE74F0}"/>
    <cellStyle name="Style 22 3 2 2 2" xfId="38711" xr:uid="{A4D03984-8D56-4611-99B3-82F0B61EBF8F}"/>
    <cellStyle name="Style 22 3 2 2 3" xfId="38712" xr:uid="{564AFB4E-3FFA-4EEB-931F-6431D9B4AD12}"/>
    <cellStyle name="Style 22 3 2 3" xfId="20591" xr:uid="{56C82802-DC80-4C06-A777-209773EC3528}"/>
    <cellStyle name="Style 22 3 2 4" xfId="20592" xr:uid="{D9E2E326-EA0E-49E2-9AD8-D9FEE65157E5}"/>
    <cellStyle name="Style 22 3 2 5" xfId="38713" xr:uid="{144D452C-9410-4CC6-B06D-6A74E18B29B2}"/>
    <cellStyle name="Style 22 3 3" xfId="20593" xr:uid="{00D5DD02-3B09-4838-9A16-399261C339FF}"/>
    <cellStyle name="Style 22 3 3 2" xfId="20594" xr:uid="{D43C55CC-F493-4393-A5E6-7B3F858F1460}"/>
    <cellStyle name="Style 22 3 3 2 2" xfId="38714" xr:uid="{3FD9DE9C-0458-4678-A448-5EB085402C67}"/>
    <cellStyle name="Style 22 3 3 2 3" xfId="38715" xr:uid="{D1C8DAA7-4B42-4E83-8C1D-033AB617AE83}"/>
    <cellStyle name="Style 22 3 3 3" xfId="38716" xr:uid="{ED85363D-BD76-4AEC-B5B1-B3A7A9C58404}"/>
    <cellStyle name="Style 22 3 3 4" xfId="38717" xr:uid="{FC787E48-98E1-422F-846E-D2D0CB7CDF92}"/>
    <cellStyle name="Style 22 3 4" xfId="20595" xr:uid="{7B6E4BD2-967D-4D06-8CAC-51DE749DC6A6}"/>
    <cellStyle name="Style 22 3 4 2" xfId="20596" xr:uid="{DD2A2959-E147-4211-B532-7045CF5AE455}"/>
    <cellStyle name="Style 22 3 4 3" xfId="38718" xr:uid="{C4FFE9A6-0319-480C-B33E-99DFAF5F24A4}"/>
    <cellStyle name="Style 22 3 4 4" xfId="38719" xr:uid="{15AAF5D8-0643-4DC8-A8AE-805D96D48176}"/>
    <cellStyle name="Style 22 3 5" xfId="20597" xr:uid="{40AFF0EF-A4FE-43A6-B0C6-D98D411C844D}"/>
    <cellStyle name="Style 22 3 5 2" xfId="20598" xr:uid="{742A80DB-B937-452E-A603-93CDF3120904}"/>
    <cellStyle name="Style 22 3 5 3" xfId="38720" xr:uid="{AF029A1E-4715-45B6-B375-3CFE7C093FBE}"/>
    <cellStyle name="Style 22 3 5 4" xfId="38721" xr:uid="{D7E0F389-8E8E-49EA-B7D8-CFB48BD3CDC0}"/>
    <cellStyle name="Style 22 3 6" xfId="20599" xr:uid="{05B83D68-8E30-4EA7-9B3B-B68711714537}"/>
    <cellStyle name="Style 22 3 6 2" xfId="20600" xr:uid="{AD15E214-6F73-4FD9-A1D7-86723042185F}"/>
    <cellStyle name="Style 22 3 6 3" xfId="38722" xr:uid="{315B5F1A-D6DA-4318-90B8-FDE36EABDA79}"/>
    <cellStyle name="Style 22 3 6 4" xfId="38723" xr:uid="{6441C445-2953-4FD1-8D24-98E0208DADAF}"/>
    <cellStyle name="Style 22 3 7" xfId="20601" xr:uid="{D8CCFBA7-AC1D-42C9-891F-E0023DE168CF}"/>
    <cellStyle name="Style 22 3 7 2" xfId="20602" xr:uid="{F056B5CA-9E1A-434A-A4F0-BAAD6C8364DD}"/>
    <cellStyle name="Style 22 3 7 3" xfId="38724" xr:uid="{5B2FFBF8-0F10-46BD-B006-8D2EDEB65211}"/>
    <cellStyle name="Style 22 3 7 4" xfId="38725" xr:uid="{D8592964-FFCA-4F37-BFA4-6A1D17D4E209}"/>
    <cellStyle name="Style 22 3 8" xfId="20603" xr:uid="{F2B0FF64-8DF7-4162-9FB3-DC8E727B4872}"/>
    <cellStyle name="Style 22 3 8 2" xfId="20604" xr:uid="{6B22B69C-0279-498A-BE9B-811CCF228EF5}"/>
    <cellStyle name="Style 22 3 8 3" xfId="38726" xr:uid="{F845B5C1-6C1E-40F8-BDA2-C9228C1CCB8A}"/>
    <cellStyle name="Style 22 3 8 4" xfId="38727" xr:uid="{77C43E80-7F97-49F6-B698-F66AB94BC7CC}"/>
    <cellStyle name="Style 22 3 9" xfId="20605" xr:uid="{357E7D87-AF84-411D-B1AC-B3406AAE8896}"/>
    <cellStyle name="Style 22 3 9 2" xfId="38728" xr:uid="{FDDC5517-7E6A-40DA-81A7-C46651900A63}"/>
    <cellStyle name="Style 22 3 9 3" xfId="38729" xr:uid="{C5A60152-113C-46C5-A2C5-3716DE4F30A2}"/>
    <cellStyle name="Style 22 4" xfId="20606" xr:uid="{E5286DB3-F66C-49E6-BB08-051CB8D64485}"/>
    <cellStyle name="Style 22 4 2" xfId="20607" xr:uid="{65FBC334-327E-4CD1-AB26-E73047E03E4D}"/>
    <cellStyle name="Style 22 4 2 2" xfId="20608" xr:uid="{CD614ABB-CBB3-4764-B41E-615F14BD3B05}"/>
    <cellStyle name="Style 22 4 2 2 2" xfId="38730" xr:uid="{EF261021-558D-4E75-9C36-39C833117A12}"/>
    <cellStyle name="Style 22 4 2 3" xfId="20609" xr:uid="{F3A64780-195E-4EE8-B9DA-4FBF2DB1FA22}"/>
    <cellStyle name="Style 22 4 2 4" xfId="38731" xr:uid="{83F61923-6019-425C-BC22-A52C3C207A6C}"/>
    <cellStyle name="Style 22 4 3" xfId="20610" xr:uid="{61549BAD-AFEB-4C45-9BF7-A3CE4524D8DC}"/>
    <cellStyle name="Style 22 4 3 2" xfId="20611" xr:uid="{887001D8-6D0A-44D0-AC32-C8D8CFC54D8E}"/>
    <cellStyle name="Style 22 4 3 3" xfId="38732" xr:uid="{94D2E94E-2F6F-47BF-A69B-41F3B67908CE}"/>
    <cellStyle name="Style 22 4 4" xfId="20612" xr:uid="{31ABE88D-D534-4E6D-BAD7-6536633B401D}"/>
    <cellStyle name="Style 22 4 4 2" xfId="38733" xr:uid="{61DDB739-4B34-47CB-9E3F-851C1D2CD405}"/>
    <cellStyle name="Style 22 4 5" xfId="38734" xr:uid="{AC857672-767D-487A-857A-4C7362ED2AD3}"/>
    <cellStyle name="Style 22 4 5 2" xfId="38735" xr:uid="{E5BACFF2-CFA7-4C83-BF02-372087B4A5B4}"/>
    <cellStyle name="Style 22 4 6" xfId="38736" xr:uid="{4ECBAD83-88A6-4826-B6A5-41117CB8E259}"/>
    <cellStyle name="Style 22 4 7" xfId="43345" xr:uid="{90E32B57-4317-40FC-AFC3-FFE6C8858A8B}"/>
    <cellStyle name="Style 22 5" xfId="20613" xr:uid="{0993E61F-56F9-4B4B-ACE0-92AE5892C5F0}"/>
    <cellStyle name="Style 22 5 2" xfId="20614" xr:uid="{AA0171BA-8876-4ABA-9C72-3E6394BF227B}"/>
    <cellStyle name="Style 22 5 2 2" xfId="38737" xr:uid="{9ECFBA2D-8A13-488C-9E1F-1E4F90B795C4}"/>
    <cellStyle name="Style 22 5 2 3" xfId="38738" xr:uid="{878C1981-9E51-4283-A0BA-9BB221ED1D09}"/>
    <cellStyle name="Style 22 5 3" xfId="20615" xr:uid="{2182F594-653B-4C47-B325-6C9F46A63F02}"/>
    <cellStyle name="Style 22 5 4" xfId="38739" xr:uid="{664892AC-4954-4329-BD00-429BEEA575F2}"/>
    <cellStyle name="Style 22 5 5" xfId="38740" xr:uid="{A6B4A12E-8900-43C2-8A0A-C82E40E3FB64}"/>
    <cellStyle name="Style 22 6" xfId="20616" xr:uid="{54CAAC98-E737-4B13-A5A2-FEBA5BC0F60C}"/>
    <cellStyle name="Style 22 6 2" xfId="20617" xr:uid="{A66834D2-2570-4642-A192-915493B5604A}"/>
    <cellStyle name="Style 22 6 2 2" xfId="38741" xr:uid="{7CAC785C-7B40-443C-83C4-376436DF2429}"/>
    <cellStyle name="Style 22 6 2 3" xfId="38742" xr:uid="{3DBCA0A4-E989-4E38-8316-0A7CA5C46DC3}"/>
    <cellStyle name="Style 22 6 3" xfId="38743" xr:uid="{EFDE99E2-A3E6-48D2-A334-EF826E89CA73}"/>
    <cellStyle name="Style 22 6 4" xfId="38744" xr:uid="{7330A411-9F88-49BD-BB70-2D479170558F}"/>
    <cellStyle name="Style 22 7" xfId="20618" xr:uid="{37457499-919B-4FE6-A953-FD53E4DA9E9E}"/>
    <cellStyle name="Style 22 7 2" xfId="20619" xr:uid="{5BDD246B-87CC-471F-9C0E-A6059DC1C21B}"/>
    <cellStyle name="Style 22 7 2 2" xfId="38745" xr:uid="{8D5EFBCD-512B-4236-BD60-613285E9D705}"/>
    <cellStyle name="Style 22 7 2 3" xfId="38746" xr:uid="{1B7F5502-DA23-47C3-BB06-E4A97BED1302}"/>
    <cellStyle name="Style 22 7 3" xfId="38747" xr:uid="{004472E2-DD60-4FBE-B918-9B2389701C56}"/>
    <cellStyle name="Style 22 7 4" xfId="38748" xr:uid="{8FAB25E7-6A81-4643-A71C-ABCE1392D3FF}"/>
    <cellStyle name="Style 22 8" xfId="20620" xr:uid="{FD216E10-81C2-4CB7-9022-83790F94CA0B}"/>
    <cellStyle name="Style 22 8 2" xfId="20621" xr:uid="{F58CF818-5E75-4D99-B1FC-F93F6AF210A9}"/>
    <cellStyle name="Style 22 8 3" xfId="38749" xr:uid="{7BFC856B-B35C-4C62-9B48-5DA29EEF3A17}"/>
    <cellStyle name="Style 22 8 4" xfId="38750" xr:uid="{2444EC64-33B3-40A8-B7CD-FE3F3A0A5A57}"/>
    <cellStyle name="Style 22 9" xfId="20622" xr:uid="{02F609BC-C55A-47E0-BE9B-5F4D75BAB1FE}"/>
    <cellStyle name="Style 22 9 2" xfId="20623" xr:uid="{1CF5EB41-E8FD-4BBF-9BFC-589FB7FA0827}"/>
    <cellStyle name="Style 22 9 3" xfId="38751" xr:uid="{9D799E35-BD97-4E51-A155-AB4FC7CC7CE4}"/>
    <cellStyle name="Style 22 9 4" xfId="38752" xr:uid="{48C24107-6AF7-48A9-B1C9-8D3CA4C987C2}"/>
    <cellStyle name="Style 23" xfId="20624" xr:uid="{567F0D25-ABAF-476D-B29B-CDDC28EE37C4}"/>
    <cellStyle name="Style 23 2" xfId="20625" xr:uid="{FC9E8768-A818-47FB-BBE7-A56D3EA1C5FB}"/>
    <cellStyle name="Style 23 2 2" xfId="20626" xr:uid="{6A0EE01C-44D6-4732-95EC-1786382AE536}"/>
    <cellStyle name="Style 23 2 3" xfId="38753" xr:uid="{FE23B2CD-92EC-4378-B3A9-B273241787CB}"/>
    <cellStyle name="Style 23 3" xfId="20627" xr:uid="{51EDF1C2-C214-4571-AB1D-497F51B9E300}"/>
    <cellStyle name="Style 23 3 2" xfId="38754" xr:uid="{AEE64D90-D78E-4E42-96CF-B2830BA6FB22}"/>
    <cellStyle name="Style 23 3 3" xfId="38755" xr:uid="{4156C60C-1727-4E97-BB25-7D3E53019E15}"/>
    <cellStyle name="Style 23 3 4" xfId="43346" xr:uid="{72776FF3-0973-4CE2-9CC6-5F5A06EC9B56}"/>
    <cellStyle name="Style 23 4" xfId="20628" xr:uid="{83D7A3B8-6330-4684-BDC7-0FD6180D8C26}"/>
    <cellStyle name="Style 23 4 2" xfId="43347" xr:uid="{D54C5693-A7DC-4B62-BFF5-308818386B43}"/>
    <cellStyle name="Style 23 5" xfId="20629" xr:uid="{AE86A5F5-E418-4CA9-8DCA-5F92DEE1027F}"/>
    <cellStyle name="Style 23 6" xfId="38756" xr:uid="{EBBB2703-FC8A-4373-8E03-EF3902CD3406}"/>
    <cellStyle name="Style 23 7" xfId="38757" xr:uid="{1722CAE3-C9C5-4A2E-88FD-8DBBD4153AA6}"/>
    <cellStyle name="Style 24" xfId="20630" xr:uid="{137060CF-2178-4D88-9BBA-93C1863C9D13}"/>
    <cellStyle name="Style 24 10" xfId="20631" xr:uid="{13939A0A-0509-48E2-8AFD-10DFE569A28F}"/>
    <cellStyle name="Style 24 10 2" xfId="20632" xr:uid="{F97B62B9-C7A6-4F91-9144-01989D0A21BB}"/>
    <cellStyle name="Style 24 10 3" xfId="38758" xr:uid="{E9175D93-443D-473A-9314-71E3B739B9E5}"/>
    <cellStyle name="Style 24 10 4" xfId="38759" xr:uid="{58984BFC-BEF3-43AA-A39B-012E422706D9}"/>
    <cellStyle name="Style 24 11" xfId="20633" xr:uid="{FA9F5B84-1C5F-4F57-B01A-11760CACB929}"/>
    <cellStyle name="Style 24 11 2" xfId="38760" xr:uid="{33C2A3CD-572C-4FE7-9AE1-AF539BDC465C}"/>
    <cellStyle name="Style 24 11 3" xfId="38761" xr:uid="{0CB6903A-788E-402C-8467-64E8EE212614}"/>
    <cellStyle name="Style 24 12" xfId="20634" xr:uid="{4878346F-04E3-4B93-B92F-A7F2601B76EA}"/>
    <cellStyle name="Style 24 12 2" xfId="38762" xr:uid="{E7A307D4-6E85-49C3-AA91-363E8953272F}"/>
    <cellStyle name="Style 24 13" xfId="38763" xr:uid="{923243CA-97D2-4FC4-A33E-C3C472D8C715}"/>
    <cellStyle name="Style 24 14" xfId="38764" xr:uid="{46485465-B7DA-4411-A28C-3D828848D3A7}"/>
    <cellStyle name="Style 24 2" xfId="20635" xr:uid="{4D69263D-53A9-4EF8-A47F-A0CE52B1A245}"/>
    <cellStyle name="Style 24 2 10" xfId="20636" xr:uid="{5D0529C4-002B-4FEF-9166-1A0E40839812}"/>
    <cellStyle name="Style 24 2 10 2" xfId="38765" xr:uid="{FF830980-5A2E-4149-859F-90547825CAE6}"/>
    <cellStyle name="Style 24 2 11" xfId="38766" xr:uid="{BEA33DD8-746F-433F-9428-5C6744A8E59F}"/>
    <cellStyle name="Style 24 2 12" xfId="38767" xr:uid="{19C9D62C-875E-4623-871F-AF591C91351E}"/>
    <cellStyle name="Style 24 2 2" xfId="20637" xr:uid="{E84EC709-B2C9-4A3C-89D9-83D37828EA33}"/>
    <cellStyle name="Style 24 2 2 2" xfId="20638" xr:uid="{80C191A2-73D2-48B2-8788-2D9CB2B18868}"/>
    <cellStyle name="Style 24 2 2 2 2" xfId="38768" xr:uid="{F1A30BC0-2696-40A8-BE3C-B472715255E1}"/>
    <cellStyle name="Style 24 2 2 2 2 2" xfId="38769" xr:uid="{BDDB447C-EAAC-4EC2-8D04-E5BA518BDA8B}"/>
    <cellStyle name="Style 24 2 2 2 3" xfId="38770" xr:uid="{EC1AA88E-7425-4239-A715-754F225C8088}"/>
    <cellStyle name="Style 24 2 2 2 4" xfId="38771" xr:uid="{4B003D14-53B7-4689-BA5D-23403413F5E6}"/>
    <cellStyle name="Style 24 2 2 3" xfId="20639" xr:uid="{F0B2342D-335E-40FB-9D01-CA414C7E8184}"/>
    <cellStyle name="Style 24 2 2 4" xfId="20640" xr:uid="{5795079D-40B7-404B-9557-F7113C958D87}"/>
    <cellStyle name="Style 24 2 2 5" xfId="38772" xr:uid="{57D5323B-E848-484F-A959-5E9A2D9BE83B}"/>
    <cellStyle name="Style 24 2 3" xfId="20641" xr:uid="{1C23E067-A677-4358-A8F7-01C069EEF40B}"/>
    <cellStyle name="Style 24 2 3 2" xfId="20642" xr:uid="{3EABCB29-5338-4090-8CF5-4DF1BB6065B5}"/>
    <cellStyle name="Style 24 2 3 2 2" xfId="38773" xr:uid="{D5268CD0-05DF-447C-B88B-787FD5F1C77E}"/>
    <cellStyle name="Style 24 2 3 2 3" xfId="38774" xr:uid="{8D6CE11A-7788-4361-9953-98E52F2FCBA0}"/>
    <cellStyle name="Style 24 2 3 3" xfId="38775" xr:uid="{F4B3F6E0-7E2C-45F9-B32A-B04763235B95}"/>
    <cellStyle name="Style 24 2 3 3 2" xfId="38776" xr:uid="{5491A3A4-2F57-4E20-9F3D-A0F5548B9F35}"/>
    <cellStyle name="Style 24 2 3 4" xfId="38777" xr:uid="{9DF85192-CC5E-4CEA-AC61-52C5E04E05B5}"/>
    <cellStyle name="Style 24 2 3 4 2" xfId="38778" xr:uid="{4B6BE798-CF4E-4E05-889F-054C02F499C3}"/>
    <cellStyle name="Style 24 2 3 5" xfId="38779" xr:uid="{50D6DEBC-15C4-4A4A-98B1-95F2B690B346}"/>
    <cellStyle name="Style 24 2 3 6" xfId="38780" xr:uid="{57828A9E-EA66-412E-AADB-4B9CE04F79A1}"/>
    <cellStyle name="Style 24 2 4" xfId="20643" xr:uid="{1D06FB9D-D542-458F-B36B-AF13EA01DA45}"/>
    <cellStyle name="Style 24 2 4 2" xfId="20644" xr:uid="{FE600B8B-F1E9-42FD-BD17-E5C3254C1DE2}"/>
    <cellStyle name="Style 24 2 4 2 2" xfId="38781" xr:uid="{3299AB0C-ED73-49F0-ADAD-EC6E675A341F}"/>
    <cellStyle name="Style 24 2 4 2 3" xfId="38782" xr:uid="{74058D53-604D-4FFE-973A-5EF03AE9DA95}"/>
    <cellStyle name="Style 24 2 4 3" xfId="38783" xr:uid="{E3A0C4AD-DD1B-4210-A88C-4446630FFC00}"/>
    <cellStyle name="Style 24 2 4 4" xfId="38784" xr:uid="{577616CA-8CE3-42C4-8123-4089D71CC2C7}"/>
    <cellStyle name="Style 24 2 5" xfId="20645" xr:uid="{32FEF661-5054-4FE2-97BF-26932B8BD0A1}"/>
    <cellStyle name="Style 24 2 5 2" xfId="20646" xr:uid="{287303E2-5C4C-4864-98AB-EDCE484A1B98}"/>
    <cellStyle name="Style 24 2 5 3" xfId="38785" xr:uid="{DD452542-46F3-49DA-AE96-68B98BCA3F86}"/>
    <cellStyle name="Style 24 2 5 4" xfId="38786" xr:uid="{AE5305B4-3C86-40B2-88DD-2A6514312FF3}"/>
    <cellStyle name="Style 24 2 6" xfId="20647" xr:uid="{64682101-F343-4D52-9A50-62E6F65E3C88}"/>
    <cellStyle name="Style 24 2 6 2" xfId="20648" xr:uid="{9B5A7E19-46F1-4C8D-8EE5-AB70912ED994}"/>
    <cellStyle name="Style 24 2 6 3" xfId="38787" xr:uid="{E777E831-8133-4925-B05B-B1414D9726CF}"/>
    <cellStyle name="Style 24 2 6 4" xfId="38788" xr:uid="{BC055F39-E72D-44C4-BA72-237C62180959}"/>
    <cellStyle name="Style 24 2 7" xfId="20649" xr:uid="{B89CD67A-123A-4FF3-B891-AA0FA6A68165}"/>
    <cellStyle name="Style 24 2 7 2" xfId="20650" xr:uid="{D7630244-1C25-4AD6-9A40-FA6705862A82}"/>
    <cellStyle name="Style 24 2 7 3" xfId="38789" xr:uid="{6869D879-1361-45B8-8AF2-ABC65F6EA17D}"/>
    <cellStyle name="Style 24 2 7 4" xfId="38790" xr:uid="{0EEB3A0B-9E8E-4E65-A35B-68132AB24965}"/>
    <cellStyle name="Style 24 2 8" xfId="20651" xr:uid="{836DEF90-701B-41F0-8B17-4BF0B5F58F01}"/>
    <cellStyle name="Style 24 2 8 2" xfId="20652" xr:uid="{D095A82E-8B2B-4522-9145-6FFE2CD77CAE}"/>
    <cellStyle name="Style 24 2 8 3" xfId="38791" xr:uid="{420FBEDE-8D07-4E9C-93F0-D13C88B8AFFD}"/>
    <cellStyle name="Style 24 2 8 4" xfId="38792" xr:uid="{7EB6B74F-9658-4FF7-9DA1-D1A707FEA507}"/>
    <cellStyle name="Style 24 2 9" xfId="20653" xr:uid="{2ACED4D6-60E0-48E1-A266-43AE0212D1D9}"/>
    <cellStyle name="Style 24 2 9 2" xfId="38793" xr:uid="{E6ACE549-4134-4803-8B1A-61D91DCE98EF}"/>
    <cellStyle name="Style 24 2 9 3" xfId="38794" xr:uid="{10A047ED-97F6-4C3F-BCFB-EEEA55C25040}"/>
    <cellStyle name="Style 24 3" xfId="20654" xr:uid="{D0B0F21C-AC98-4BB1-9F57-D18DB50FAAF8}"/>
    <cellStyle name="Style 24 3 10" xfId="20655" xr:uid="{E216A1D9-7B72-428F-AFE2-1385010C2C59}"/>
    <cellStyle name="Style 24 3 10 2" xfId="38795" xr:uid="{40B1B0F8-A63B-446A-BD18-C5943D04DA12}"/>
    <cellStyle name="Style 24 3 11" xfId="38796" xr:uid="{0C57F713-4B56-4175-9D90-BB4E6B592433}"/>
    <cellStyle name="Style 24 3 12" xfId="38797" xr:uid="{4F9AC8A6-CC46-4BC1-BAE8-DD66DDDFE0BD}"/>
    <cellStyle name="Style 24 3 13" xfId="43348" xr:uid="{00664277-22A4-456D-B3DF-164CD2811C2B}"/>
    <cellStyle name="Style 24 3 2" xfId="20656" xr:uid="{66FE79A2-80B7-4C7B-8C30-B82769D060D8}"/>
    <cellStyle name="Style 24 3 2 2" xfId="20657" xr:uid="{AE29BA79-7DAD-4A0F-9130-D7014249D3A1}"/>
    <cellStyle name="Style 24 3 2 2 2" xfId="38798" xr:uid="{0665FC4F-9C68-4352-90EC-47F83CEA981A}"/>
    <cellStyle name="Style 24 3 2 2 3" xfId="38799" xr:uid="{17E2E705-B5ED-4C91-81BD-26BBCDF8ED25}"/>
    <cellStyle name="Style 24 3 2 3" xfId="20658" xr:uid="{4DA2A79B-B51A-4CEB-99FF-1F3D5FB0CBE3}"/>
    <cellStyle name="Style 24 3 2 4" xfId="20659" xr:uid="{FF4BDA6C-B8E7-4F15-AAE9-90B8EC50E72E}"/>
    <cellStyle name="Style 24 3 2 5" xfId="38800" xr:uid="{906DEA13-1684-4B2E-A2D0-643E24A13217}"/>
    <cellStyle name="Style 24 3 3" xfId="20660" xr:uid="{3FF64FA0-6FC8-48E3-B914-4DFE18EB3EB9}"/>
    <cellStyle name="Style 24 3 3 2" xfId="20661" xr:uid="{E4627C6A-4F17-4E93-BD0E-849930879697}"/>
    <cellStyle name="Style 24 3 3 2 2" xfId="38801" xr:uid="{32A12A62-7DB4-4208-BE30-A92374A56CE8}"/>
    <cellStyle name="Style 24 3 3 2 3" xfId="38802" xr:uid="{8BBDD977-DBBC-4E72-9500-FBA224F13778}"/>
    <cellStyle name="Style 24 3 3 3" xfId="38803" xr:uid="{BED4E63D-A680-4312-8A77-794694CC82E3}"/>
    <cellStyle name="Style 24 3 3 4" xfId="38804" xr:uid="{A73E78D7-9FE9-4BE7-A060-A7B26E2FD91F}"/>
    <cellStyle name="Style 24 3 4" xfId="20662" xr:uid="{1B713A05-30FF-4C0E-AD0E-4A30CC7D0786}"/>
    <cellStyle name="Style 24 3 4 2" xfId="20663" xr:uid="{EDFF319D-EDDE-4068-81D3-53ADBE86B48F}"/>
    <cellStyle name="Style 24 3 4 3" xfId="38805" xr:uid="{20C7D0C1-84A2-4A25-AF83-CF01F54A17DE}"/>
    <cellStyle name="Style 24 3 4 4" xfId="38806" xr:uid="{B2BF35B6-A0FF-4AF7-A966-F7A0313AE9EC}"/>
    <cellStyle name="Style 24 3 5" xfId="20664" xr:uid="{85BA9F1E-04DE-4F2F-BA34-A90BEF1E7C88}"/>
    <cellStyle name="Style 24 3 5 2" xfId="20665" xr:uid="{87267F07-D42E-49BD-A5DF-D543D2233DE5}"/>
    <cellStyle name="Style 24 3 5 3" xfId="38807" xr:uid="{4288B011-E7AC-4563-8006-2FC6F7AB3331}"/>
    <cellStyle name="Style 24 3 5 4" xfId="38808" xr:uid="{22571209-280B-4FF6-AB9B-16AA22EF81A0}"/>
    <cellStyle name="Style 24 3 6" xfId="20666" xr:uid="{DD7DB117-42CD-455E-8418-87A883DD21B3}"/>
    <cellStyle name="Style 24 3 6 2" xfId="20667" xr:uid="{D2A4AB9A-4CE7-482C-9999-6B4EA4466383}"/>
    <cellStyle name="Style 24 3 6 3" xfId="38809" xr:uid="{09021BFA-AE47-4381-AEFB-E049D007F288}"/>
    <cellStyle name="Style 24 3 6 4" xfId="38810" xr:uid="{55BB75F2-7372-4DC7-88F4-6BBC96C24F2A}"/>
    <cellStyle name="Style 24 3 7" xfId="20668" xr:uid="{A998CA0D-DFE9-47AE-9C0B-F31981D9A88B}"/>
    <cellStyle name="Style 24 3 7 2" xfId="20669" xr:uid="{604F314A-8C89-47AA-AF69-4751403B2CE2}"/>
    <cellStyle name="Style 24 3 7 3" xfId="38811" xr:uid="{D052FCC0-BAC2-484A-BFE4-44F19E5714E2}"/>
    <cellStyle name="Style 24 3 7 4" xfId="38812" xr:uid="{71EA22E0-1201-40B2-836E-07D5F23F3536}"/>
    <cellStyle name="Style 24 3 8" xfId="20670" xr:uid="{76882745-B00E-44C0-842F-8980F662C171}"/>
    <cellStyle name="Style 24 3 8 2" xfId="20671" xr:uid="{11FB1527-E737-4135-B023-DBF1EA2BB87B}"/>
    <cellStyle name="Style 24 3 8 3" xfId="38813" xr:uid="{B45C0CCC-6E46-465E-A943-C5C89AD0A4DD}"/>
    <cellStyle name="Style 24 3 8 4" xfId="38814" xr:uid="{7CA2DB7A-CF35-479F-B795-633243DC7800}"/>
    <cellStyle name="Style 24 3 9" xfId="20672" xr:uid="{B2C12614-9661-418A-9D21-F0D2067E989A}"/>
    <cellStyle name="Style 24 3 9 2" xfId="38815" xr:uid="{549C35A7-22A4-4222-958C-6955E3C0BED2}"/>
    <cellStyle name="Style 24 3 9 3" xfId="38816" xr:uid="{AF04B534-79A5-4A56-8F3D-6D68A9AB2729}"/>
    <cellStyle name="Style 24 4" xfId="20673" xr:uid="{3151AE9E-9F17-4E7B-9588-74430B0C977D}"/>
    <cellStyle name="Style 24 4 2" xfId="20674" xr:uid="{3DB41D78-9D68-4077-8BCE-4E5326C5AA48}"/>
    <cellStyle name="Style 24 4 2 2" xfId="20675" xr:uid="{96E00797-4C2C-4604-B835-8C5C44FEFED0}"/>
    <cellStyle name="Style 24 4 2 2 2" xfId="38817" xr:uid="{F8377DBD-8A25-414C-B18D-1A1936CB2B28}"/>
    <cellStyle name="Style 24 4 2 3" xfId="20676" xr:uid="{CC71AB1D-9247-4224-9F3D-20303F79FDF2}"/>
    <cellStyle name="Style 24 4 2 4" xfId="38818" xr:uid="{C885659F-2720-4727-82EE-DC77FBE7F843}"/>
    <cellStyle name="Style 24 4 3" xfId="20677" xr:uid="{81A660E0-9BC6-426E-A223-CF878F47521F}"/>
    <cellStyle name="Style 24 4 3 2" xfId="20678" xr:uid="{F76922BC-8C58-4933-BDB4-321D8FAFB0B5}"/>
    <cellStyle name="Style 24 4 3 3" xfId="38819" xr:uid="{F629B3AC-BD62-48B9-8B1D-A8D24911FA53}"/>
    <cellStyle name="Style 24 4 4" xfId="20679" xr:uid="{0048AF1D-32E6-4211-88BF-ABC45608EBB4}"/>
    <cellStyle name="Style 24 4 4 2" xfId="38820" xr:uid="{D0F860AF-9CF0-4347-A0A9-AA299D9C4614}"/>
    <cellStyle name="Style 24 4 5" xfId="38821" xr:uid="{1CE755F3-1E58-4E61-94C3-0ACF008FD0EC}"/>
    <cellStyle name="Style 24 4 5 2" xfId="38822" xr:uid="{F8D780DE-6DDC-4B45-95B5-030CD870CA39}"/>
    <cellStyle name="Style 24 4 6" xfId="38823" xr:uid="{B03DE732-ACAC-462E-B6F8-5AA071949C8A}"/>
    <cellStyle name="Style 24 4 7" xfId="43349" xr:uid="{3F823610-8F48-40A6-B722-80EFEBBDAAF2}"/>
    <cellStyle name="Style 24 5" xfId="20680" xr:uid="{E762AE00-18EA-41AB-8F8B-4358B4CF20EF}"/>
    <cellStyle name="Style 24 5 2" xfId="20681" xr:uid="{8864EEAC-BFB9-44AF-8C0C-4BEB3EF2D3EA}"/>
    <cellStyle name="Style 24 5 2 2" xfId="38824" xr:uid="{042B3B40-3107-46B4-AB42-D5E772BAE89F}"/>
    <cellStyle name="Style 24 5 2 3" xfId="38825" xr:uid="{08D8EC50-94D6-4BB0-B906-3FBAE0912D84}"/>
    <cellStyle name="Style 24 5 3" xfId="20682" xr:uid="{AE50C862-C384-46D8-BE6A-4A8104EB1F50}"/>
    <cellStyle name="Style 24 5 4" xfId="38826" xr:uid="{EB85A2FB-E06D-43DE-95C3-0AAB8A3D203A}"/>
    <cellStyle name="Style 24 5 5" xfId="38827" xr:uid="{4780CBF6-5973-459F-9B8F-C3FFB1ADE11C}"/>
    <cellStyle name="Style 24 6" xfId="20683" xr:uid="{DB07987E-0A6A-4504-A8E8-425F7E2A3289}"/>
    <cellStyle name="Style 24 6 2" xfId="20684" xr:uid="{56604458-C79D-44C3-8748-CA8D5558EB0C}"/>
    <cellStyle name="Style 24 6 2 2" xfId="38828" xr:uid="{37F452F7-1E7F-4DD6-98B3-BCE9413C4E67}"/>
    <cellStyle name="Style 24 6 2 3" xfId="38829" xr:uid="{01A8614C-6BC1-49FA-B120-15567A3FD8C8}"/>
    <cellStyle name="Style 24 6 3" xfId="38830" xr:uid="{B1E70D83-CCD7-4434-9C5F-31DDB02876E6}"/>
    <cellStyle name="Style 24 6 4" xfId="38831" xr:uid="{C803D62B-927B-458F-A1A9-826C818CE55A}"/>
    <cellStyle name="Style 24 7" xfId="20685" xr:uid="{719C935A-98C6-4362-8731-13C8393D1789}"/>
    <cellStyle name="Style 24 7 2" xfId="20686" xr:uid="{234681A4-C034-457B-8BF9-1B661A665AB0}"/>
    <cellStyle name="Style 24 7 2 2" xfId="38832" xr:uid="{E81803A0-71E6-4F2C-B841-ECCA82F13A5C}"/>
    <cellStyle name="Style 24 7 2 3" xfId="38833" xr:uid="{F87363A8-4BE8-4E5F-A6E5-CA3CD2438095}"/>
    <cellStyle name="Style 24 7 3" xfId="38834" xr:uid="{DD03F1FC-5414-4A76-85D7-2B413E7905DD}"/>
    <cellStyle name="Style 24 7 4" xfId="38835" xr:uid="{FCD092BC-A69A-4334-BE9A-CFF3F6C190DE}"/>
    <cellStyle name="Style 24 8" xfId="20687" xr:uid="{A7B03FD9-9C6A-49D9-AF4E-01F6402F397F}"/>
    <cellStyle name="Style 24 8 2" xfId="20688" xr:uid="{EA0A52D2-B497-41EC-BF02-73E04E94AFD1}"/>
    <cellStyle name="Style 24 8 3" xfId="38836" xr:uid="{C0500886-5977-437B-B46A-70320B1863AB}"/>
    <cellStyle name="Style 24 8 4" xfId="38837" xr:uid="{56B0D8B5-F98B-496D-A033-B0F4EBE77970}"/>
    <cellStyle name="Style 24 9" xfId="20689" xr:uid="{E11E7204-72E6-49A6-ADA6-8F6A6A5D0277}"/>
    <cellStyle name="Style 24 9 2" xfId="20690" xr:uid="{8CA3AEA8-AD53-4834-BC8F-9F6D38E9BFEC}"/>
    <cellStyle name="Style 24 9 3" xfId="38838" xr:uid="{09D00BCA-0ABB-4BA9-84A3-5F4C8B6182A5}"/>
    <cellStyle name="Style 24 9 4" xfId="38839" xr:uid="{8AC54827-C2E6-4C17-B0BC-2F9263E8AFDB}"/>
    <cellStyle name="Style 25" xfId="20691" xr:uid="{30AEA52A-DE8B-432A-9192-55F8EF13649A}"/>
    <cellStyle name="Style 25 10" xfId="20692" xr:uid="{FEBDBD92-3A89-496B-BD05-F99259F4065D}"/>
    <cellStyle name="Style 25 10 2" xfId="20693" xr:uid="{C6B510CA-68F0-4CF6-AB12-02C3757B81A5}"/>
    <cellStyle name="Style 25 10 3" xfId="38840" xr:uid="{01903F40-4C72-430E-B994-687E83CE21F3}"/>
    <cellStyle name="Style 25 10 4" xfId="38841" xr:uid="{EE41AD43-ECA4-40BD-B018-4C7CA3CB2D9A}"/>
    <cellStyle name="Style 25 11" xfId="20694" xr:uid="{7443308D-12ED-497E-B311-33C59EB68D85}"/>
    <cellStyle name="Style 25 11 2" xfId="20695" xr:uid="{0ED6E6AE-9DAF-4B9D-B2B2-4C8242EE6367}"/>
    <cellStyle name="Style 25 11 3" xfId="38842" xr:uid="{A20342BE-273A-4F24-9A94-023F771FEDA2}"/>
    <cellStyle name="Style 25 11 4" xfId="38843" xr:uid="{32D38FC0-D0E6-4261-84CB-ACB0AAF6DAD5}"/>
    <cellStyle name="Style 25 12" xfId="20696" xr:uid="{07B46CEF-98B5-47E3-97A9-5F785A5F6DFB}"/>
    <cellStyle name="Style 25 12 2" xfId="38844" xr:uid="{DC65EDBC-D648-4633-B509-394E36CA3F5B}"/>
    <cellStyle name="Style 25 12 3" xfId="38845" xr:uid="{1F8458F0-6EF6-40BF-8A7E-BDBDE60DE94F}"/>
    <cellStyle name="Style 25 13" xfId="20697" xr:uid="{994380E7-A9EC-4088-B678-419113B08741}"/>
    <cellStyle name="Style 25 13 2" xfId="38846" xr:uid="{FAD0B3FF-C68D-407D-84DF-00A05C889FEF}"/>
    <cellStyle name="Style 25 14" xfId="38847" xr:uid="{4547B832-DA35-4589-9B7A-4F73B394C896}"/>
    <cellStyle name="Style 25 15" xfId="38848" xr:uid="{C2C3B56E-84D3-4563-B56E-A2BBDEFE1738}"/>
    <cellStyle name="Style 25 2" xfId="20698" xr:uid="{1E33D242-BA11-47BF-A5E2-3E80552B3072}"/>
    <cellStyle name="Style 25 2 10" xfId="20699" xr:uid="{8690FF55-EA1F-4A9B-83C0-1D4C33FAB8F3}"/>
    <cellStyle name="Style 25 2 10 2" xfId="20700" xr:uid="{2B42D130-5908-48AD-B9E2-3D456831D56F}"/>
    <cellStyle name="Style 25 2 10 3" xfId="38849" xr:uid="{D3FBC669-BC8E-49DE-AC6D-767BABDECB2C}"/>
    <cellStyle name="Style 25 2 10 4" xfId="38850" xr:uid="{787BBFB3-5D28-4C8C-BAA5-FA930D5BA7F8}"/>
    <cellStyle name="Style 25 2 11" xfId="20701" xr:uid="{344021AE-9D20-4799-899F-7949630FA0F8}"/>
    <cellStyle name="Style 25 2 11 2" xfId="38851" xr:uid="{A6C505E9-5EF1-43F5-A4BD-AB9CAB5D4A69}"/>
    <cellStyle name="Style 25 2 11 3" xfId="38852" xr:uid="{603F3277-C6FB-4936-BF45-757408C833D3}"/>
    <cellStyle name="Style 25 2 12" xfId="20702" xr:uid="{EBFF90AB-729B-4DBF-AF79-160A6A7E329C}"/>
    <cellStyle name="Style 25 2 12 2" xfId="38853" xr:uid="{E1BA59E9-DF35-4CFE-9621-55F2B70A9AD0}"/>
    <cellStyle name="Style 25 2 13" xfId="38854" xr:uid="{CBDEF424-EFD8-47D4-AB48-7A3077E4F7E0}"/>
    <cellStyle name="Style 25 2 14" xfId="38855" xr:uid="{800017F1-2F56-44A8-9E33-33D863C688B9}"/>
    <cellStyle name="Style 25 2 2" xfId="20703" xr:uid="{7A732062-EF54-4E25-A02C-C69EBC7A741E}"/>
    <cellStyle name="Style 25 2 2 10" xfId="20704" xr:uid="{DA39AD61-4D94-4E9E-86EA-453199C87853}"/>
    <cellStyle name="Style 25 2 2 10 2" xfId="38856" xr:uid="{864BBFC5-E537-4CE0-B846-29085DFD4B3E}"/>
    <cellStyle name="Style 25 2 2 11" xfId="38857" xr:uid="{2D4F7B2C-EA81-43E5-99A6-DFD01807E755}"/>
    <cellStyle name="Style 25 2 2 12" xfId="38858" xr:uid="{8B04F8D3-D398-42D5-B837-CEEECD1CAC6D}"/>
    <cellStyle name="Style 25 2 2 2" xfId="20705" xr:uid="{DD6AECA1-628C-4622-AF2F-A747AC6B2FA1}"/>
    <cellStyle name="Style 25 2 2 2 2" xfId="20706" xr:uid="{3799A8DB-2529-4F9C-8184-9F1511D82058}"/>
    <cellStyle name="Style 25 2 2 2 2 2" xfId="38859" xr:uid="{3F6FA0D7-2F54-43A3-8E0D-B9B8F4A24A8E}"/>
    <cellStyle name="Style 25 2 2 2 2 2 2" xfId="38860" xr:uid="{C5DC0420-7EBC-4103-8A22-817D0BA14389}"/>
    <cellStyle name="Style 25 2 2 2 2 3" xfId="38861" xr:uid="{F0189E00-D3A7-4440-B309-13CF8C6B5CBB}"/>
    <cellStyle name="Style 25 2 2 2 2 4" xfId="38862" xr:uid="{20F9472D-26E3-4C88-A294-80002973797F}"/>
    <cellStyle name="Style 25 2 2 2 3" xfId="20707" xr:uid="{E710FBD0-998F-4B55-8CF7-F5D71BFF3A50}"/>
    <cellStyle name="Style 25 2 2 2 4" xfId="20708" xr:uid="{3BEFD02A-FEE0-4C35-8E47-D845F8E5C496}"/>
    <cellStyle name="Style 25 2 2 2 5" xfId="38863" xr:uid="{34816436-D2F6-47C4-8DCD-66A62E4F28CF}"/>
    <cellStyle name="Style 25 2 2 3" xfId="20709" xr:uid="{8FFD4CC8-5D70-4289-97D3-A17F099F4D13}"/>
    <cellStyle name="Style 25 2 2 3 2" xfId="20710" xr:uid="{C2A63C04-96D0-422B-83FF-E2EE4665FD62}"/>
    <cellStyle name="Style 25 2 2 3 2 2" xfId="38864" xr:uid="{A16C4361-9120-4DEA-BBFF-707E6D22038C}"/>
    <cellStyle name="Style 25 2 2 3 2 3" xfId="38865" xr:uid="{320E45AB-0C39-4081-8E68-E49BE02E4EC2}"/>
    <cellStyle name="Style 25 2 2 3 3" xfId="38866" xr:uid="{EFA5C4F0-A2FA-41FA-B181-9A6414422F2F}"/>
    <cellStyle name="Style 25 2 2 3 3 2" xfId="38867" xr:uid="{7638D779-60F3-4FD6-8EB7-C3ED10595D1B}"/>
    <cellStyle name="Style 25 2 2 3 4" xfId="38868" xr:uid="{B48E289C-69C4-4104-8A4A-BDFAB14C7813}"/>
    <cellStyle name="Style 25 2 2 3 4 2" xfId="38869" xr:uid="{F9F9C095-F9BD-40A5-B4F4-B36E20CA87D9}"/>
    <cellStyle name="Style 25 2 2 3 5" xfId="38870" xr:uid="{04E858DE-4D0A-4FCB-875F-741B00C637FD}"/>
    <cellStyle name="Style 25 2 2 3 6" xfId="38871" xr:uid="{7041BC90-873A-4F89-9AD7-BD57BB20FFFE}"/>
    <cellStyle name="Style 25 2 2 4" xfId="20711" xr:uid="{9DD5CD1C-3395-4033-94FA-7220CCBD6018}"/>
    <cellStyle name="Style 25 2 2 4 2" xfId="20712" xr:uid="{86928B5F-8A69-4510-A4A9-3FFAC32E0297}"/>
    <cellStyle name="Style 25 2 2 4 2 2" xfId="38872" xr:uid="{0402C9AD-3FE6-494F-A2AB-941503AC4E30}"/>
    <cellStyle name="Style 25 2 2 4 2 3" xfId="38873" xr:uid="{70E3CB64-F8F7-429D-B708-603C0000F5D4}"/>
    <cellStyle name="Style 25 2 2 4 3" xfId="38874" xr:uid="{D08CF390-C4D7-437D-A8CA-082665DEE124}"/>
    <cellStyle name="Style 25 2 2 4 4" xfId="38875" xr:uid="{CD317954-1965-4C82-AF98-A1AA3E8E2BE4}"/>
    <cellStyle name="Style 25 2 2 5" xfId="20713" xr:uid="{D2DFAEE2-8337-4241-A4C7-4BE3644FDABD}"/>
    <cellStyle name="Style 25 2 2 5 2" xfId="20714" xr:uid="{481DB0FA-C4F3-4840-8D6F-46EB092E1D3E}"/>
    <cellStyle name="Style 25 2 2 5 3" xfId="38876" xr:uid="{3B447956-C9DB-4C97-B8C3-FCC0A03323DA}"/>
    <cellStyle name="Style 25 2 2 5 4" xfId="38877" xr:uid="{C4D0361B-F662-48E2-BC1B-1B4AEC9350D7}"/>
    <cellStyle name="Style 25 2 2 6" xfId="20715" xr:uid="{35703805-B39B-4249-B19D-7C0FFC6F5FFC}"/>
    <cellStyle name="Style 25 2 2 6 2" xfId="20716" xr:uid="{3184A465-EC65-4C95-BFAC-126ACC97045C}"/>
    <cellStyle name="Style 25 2 2 6 3" xfId="38878" xr:uid="{93C102EE-5CB5-475E-8E23-30F495650F65}"/>
    <cellStyle name="Style 25 2 2 6 4" xfId="38879" xr:uid="{D095447D-FABB-4D31-B0F7-8527D05830A1}"/>
    <cellStyle name="Style 25 2 2 7" xfId="20717" xr:uid="{AB78C9C0-ACAF-4E26-A2DC-A98121B6BE04}"/>
    <cellStyle name="Style 25 2 2 7 2" xfId="20718" xr:uid="{468C78C4-1013-484F-9E4B-28901C780BC2}"/>
    <cellStyle name="Style 25 2 2 7 3" xfId="38880" xr:uid="{EB4552DB-C912-4F38-93E5-F544D1095112}"/>
    <cellStyle name="Style 25 2 2 7 4" xfId="38881" xr:uid="{F543AD47-D49B-4089-8A44-411557F4C513}"/>
    <cellStyle name="Style 25 2 2 8" xfId="20719" xr:uid="{4584EE20-FE4F-4D75-93EC-E7893A5E01F9}"/>
    <cellStyle name="Style 25 2 2 8 2" xfId="20720" xr:uid="{16325CF9-473A-4D64-A96E-5E08E1001C8C}"/>
    <cellStyle name="Style 25 2 2 8 3" xfId="38882" xr:uid="{5F4C05C5-FF4D-4D27-9191-F77A9AE3EFB1}"/>
    <cellStyle name="Style 25 2 2 8 4" xfId="38883" xr:uid="{5E03E57A-A6D4-483E-895F-6A65C1977433}"/>
    <cellStyle name="Style 25 2 2 9" xfId="20721" xr:uid="{D4A84883-E346-4CF7-8F6F-47B9E37D3F85}"/>
    <cellStyle name="Style 25 2 2 9 2" xfId="38884" xr:uid="{5F139823-49CA-4A71-8F2F-A954EE15C149}"/>
    <cellStyle name="Style 25 2 2 9 3" xfId="38885" xr:uid="{EB18CB20-64A5-4006-B83F-9BFB6CFB2270}"/>
    <cellStyle name="Style 25 2 3" xfId="20722" xr:uid="{3EB3B4E0-3015-4CDD-9F7F-3C4A7FE06AA1}"/>
    <cellStyle name="Style 25 2 3 10" xfId="20723" xr:uid="{EB474165-5F80-4AAF-BF6E-2518926E6C6C}"/>
    <cellStyle name="Style 25 2 3 10 2" xfId="38886" xr:uid="{0FB6B1B2-E541-42B4-ADB7-9384AC5F7394}"/>
    <cellStyle name="Style 25 2 3 11" xfId="38887" xr:uid="{9782C532-084B-460F-A966-6319F2A94208}"/>
    <cellStyle name="Style 25 2 3 12" xfId="38888" xr:uid="{72116CBC-B8FC-4904-B690-C6BAA445997A}"/>
    <cellStyle name="Style 25 2 3 13" xfId="43350" xr:uid="{C2E833FF-929B-4A45-9DE6-9B7E27CF9BFE}"/>
    <cellStyle name="Style 25 2 3 2" xfId="20724" xr:uid="{86C2D4EA-C4BD-47D2-A0F0-7E3BD1791BF0}"/>
    <cellStyle name="Style 25 2 3 2 2" xfId="20725" xr:uid="{AA233A79-EF5B-4F0E-A89C-28D1EDC4BCAC}"/>
    <cellStyle name="Style 25 2 3 2 2 2" xfId="38889" xr:uid="{27156E0C-677C-42D6-B18C-E153C596181C}"/>
    <cellStyle name="Style 25 2 3 2 2 3" xfId="38890" xr:uid="{1ECEA790-1503-4261-B964-686DFD200CA1}"/>
    <cellStyle name="Style 25 2 3 2 3" xfId="20726" xr:uid="{A157BB57-6584-4920-8A76-0F6A19DD9F83}"/>
    <cellStyle name="Style 25 2 3 2 4" xfId="20727" xr:uid="{C62B20BC-4531-4DE0-9EC6-FBECDF894974}"/>
    <cellStyle name="Style 25 2 3 2 5" xfId="38891" xr:uid="{677FFAB5-F312-4FB6-9F7C-074100C453AD}"/>
    <cellStyle name="Style 25 2 3 3" xfId="20728" xr:uid="{1F3BD1C3-B3E4-48EA-8826-6C6E188F7FB4}"/>
    <cellStyle name="Style 25 2 3 3 2" xfId="20729" xr:uid="{71029AB2-C2F1-497C-B1E4-5A075E5FE948}"/>
    <cellStyle name="Style 25 2 3 3 3" xfId="38892" xr:uid="{98E85D02-ED2C-4AB0-B089-46A058BFD768}"/>
    <cellStyle name="Style 25 2 3 3 4" xfId="38893" xr:uid="{39A36507-0B3D-4833-A4D3-05DCB9DDF899}"/>
    <cellStyle name="Style 25 2 3 4" xfId="20730" xr:uid="{3435168F-83EF-4076-B392-E5EF3F03FC79}"/>
    <cellStyle name="Style 25 2 3 4 2" xfId="20731" xr:uid="{9E1D2033-EA51-4613-BEFF-A0277F49F1AE}"/>
    <cellStyle name="Style 25 2 3 4 3" xfId="38894" xr:uid="{6C493FE2-A457-4179-82E4-7E8A0FF8E5A0}"/>
    <cellStyle name="Style 25 2 3 4 4" xfId="38895" xr:uid="{17132EE3-DEC3-4CC1-AC3F-BAD541FDB499}"/>
    <cellStyle name="Style 25 2 3 5" xfId="20732" xr:uid="{E5AAA838-BCBF-4269-8822-B4A8E02319F0}"/>
    <cellStyle name="Style 25 2 3 5 2" xfId="20733" xr:uid="{E4FA9E69-DBB4-456E-9E19-D44CCBB5C931}"/>
    <cellStyle name="Style 25 2 3 5 3" xfId="38896" xr:uid="{C93BFB9D-BCA1-4675-86E0-F10B18BF36F7}"/>
    <cellStyle name="Style 25 2 3 5 4" xfId="38897" xr:uid="{BCB918A2-A94C-416B-83A2-EBAB2E54F9C0}"/>
    <cellStyle name="Style 25 2 3 6" xfId="20734" xr:uid="{34849AD0-96C1-410A-8D3C-F60160920580}"/>
    <cellStyle name="Style 25 2 3 6 2" xfId="20735" xr:uid="{CF192513-8C18-4F28-A744-EDCC32F9D7A6}"/>
    <cellStyle name="Style 25 2 3 6 3" xfId="38898" xr:uid="{A68A55D3-8AA3-4EB2-9295-F2A8D4742217}"/>
    <cellStyle name="Style 25 2 3 6 4" xfId="38899" xr:uid="{8DED763A-D74F-4EAD-BE97-9261D853289D}"/>
    <cellStyle name="Style 25 2 3 7" xfId="20736" xr:uid="{B0F55759-4D91-4EDD-BBD6-4A46A2704A40}"/>
    <cellStyle name="Style 25 2 3 7 2" xfId="20737" xr:uid="{704146DD-4237-416F-A3D4-87242D9D982A}"/>
    <cellStyle name="Style 25 2 3 7 3" xfId="38900" xr:uid="{BA0323B8-0D3F-41D4-8CE7-F1A741574C28}"/>
    <cellStyle name="Style 25 2 3 7 4" xfId="38901" xr:uid="{412FF0DE-2485-4E6E-B4A0-FF7AC58508C6}"/>
    <cellStyle name="Style 25 2 3 8" xfId="20738" xr:uid="{3BDF85E7-1619-40AE-989D-93E88D4B088D}"/>
    <cellStyle name="Style 25 2 3 8 2" xfId="20739" xr:uid="{B55673B4-AEDD-48A5-9967-899A989F7900}"/>
    <cellStyle name="Style 25 2 3 8 3" xfId="38902" xr:uid="{FB414007-B9EA-40E8-9B55-8EF25E68692F}"/>
    <cellStyle name="Style 25 2 3 8 4" xfId="38903" xr:uid="{EFE0639B-21C5-4426-AD38-21D6C7380E5E}"/>
    <cellStyle name="Style 25 2 3 9" xfId="20740" xr:uid="{DD8B7F5A-5082-4316-B8DA-9827E7098C86}"/>
    <cellStyle name="Style 25 2 3 9 2" xfId="38904" xr:uid="{1B4EAD67-F4A2-46AA-BC44-5A129C34B840}"/>
    <cellStyle name="Style 25 2 3 9 3" xfId="38905" xr:uid="{7D46F02E-A97E-4BEE-8690-98F30572D943}"/>
    <cellStyle name="Style 25 2 4" xfId="20741" xr:uid="{FDFEC8B0-3A44-4EFF-8AAD-8FDAC051808C}"/>
    <cellStyle name="Style 25 2 4 2" xfId="20742" xr:uid="{711DDD83-4A11-4211-A9B7-7D89C5293582}"/>
    <cellStyle name="Style 25 2 4 2 2" xfId="20743" xr:uid="{6215FD39-9AB0-4EFF-9D49-9566A72A32ED}"/>
    <cellStyle name="Style 25 2 4 2 2 2" xfId="38906" xr:uid="{D6FEB6CD-A0A9-45D4-B40F-7A66CA93D977}"/>
    <cellStyle name="Style 25 2 4 2 3" xfId="20744" xr:uid="{88487E4A-8C07-46C5-BD74-5E3616357B7B}"/>
    <cellStyle name="Style 25 2 4 2 4" xfId="38907" xr:uid="{7A65F3D1-2D1A-485B-AF61-F84694AA244B}"/>
    <cellStyle name="Style 25 2 4 3" xfId="20745" xr:uid="{524FC803-BDE4-422D-9A31-C56D2714EBFA}"/>
    <cellStyle name="Style 25 2 4 3 2" xfId="20746" xr:uid="{808B4720-E1E8-4CD1-8DBF-48951A74D68D}"/>
    <cellStyle name="Style 25 2 4 3 3" xfId="38908" xr:uid="{2D70699B-5440-4302-89E2-D9C6B658B36E}"/>
    <cellStyle name="Style 25 2 4 4" xfId="20747" xr:uid="{A9DF9A21-F799-41FE-BA9F-495991661A8D}"/>
    <cellStyle name="Style 25 2 4 4 2" xfId="38909" xr:uid="{888A9CB4-C38C-498E-9873-CFF42D33E2CC}"/>
    <cellStyle name="Style 25 2 4 5" xfId="38910" xr:uid="{F3023228-757B-45AC-ADE0-14928A4376D9}"/>
    <cellStyle name="Style 25 2 4 5 2" xfId="38911" xr:uid="{E171A52C-69CD-4E9E-9FBE-5E33D1CFC7A0}"/>
    <cellStyle name="Style 25 2 4 6" xfId="38912" xr:uid="{4EC8ED94-8FB5-4651-9CF6-04E8CD71BDCB}"/>
    <cellStyle name="Style 25 2 5" xfId="20748" xr:uid="{18B5F72D-4666-40B2-A8A7-9DE4A11B061D}"/>
    <cellStyle name="Style 25 2 5 2" xfId="20749" xr:uid="{D71CA1F1-76C9-4F3E-AFD0-6B895042AE56}"/>
    <cellStyle name="Style 25 2 5 2 2" xfId="38913" xr:uid="{8D27A13D-C56C-4885-BA2C-132F330405C8}"/>
    <cellStyle name="Style 25 2 5 2 3" xfId="38914" xr:uid="{C207DDA2-73FF-4CF4-8BFF-95F0B3B533E8}"/>
    <cellStyle name="Style 25 2 5 3" xfId="20750" xr:uid="{BD99C0FB-69F8-4550-AA48-09071035A115}"/>
    <cellStyle name="Style 25 2 5 4" xfId="38915" xr:uid="{BF2BC850-A38B-4CB2-8D07-06B7C3FF8289}"/>
    <cellStyle name="Style 25 2 5 5" xfId="38916" xr:uid="{388E9DB0-EF3E-43CD-BF37-2334F9C11E22}"/>
    <cellStyle name="Style 25 2 6" xfId="20751" xr:uid="{72977537-E52F-43C4-90E4-B02F627802F5}"/>
    <cellStyle name="Style 25 2 6 2" xfId="20752" xr:uid="{E4CDCB87-300C-42C5-BEAA-9E1886296059}"/>
    <cellStyle name="Style 25 2 6 2 2" xfId="38917" xr:uid="{C36464ED-27C6-437C-8240-63ED1CA7894C}"/>
    <cellStyle name="Style 25 2 6 2 3" xfId="38918" xr:uid="{279167D3-A898-4049-9D3E-3E45C320D28A}"/>
    <cellStyle name="Style 25 2 6 3" xfId="38919" xr:uid="{D5546066-BC87-4703-92DD-FEF741182F4A}"/>
    <cellStyle name="Style 25 2 6 4" xfId="38920" xr:uid="{295F86B2-224A-4BA1-9761-E3468372B7AE}"/>
    <cellStyle name="Style 25 2 7" xfId="20753" xr:uid="{D797D9CB-B466-434A-9256-37295F76EA7E}"/>
    <cellStyle name="Style 25 2 7 2" xfId="20754" xr:uid="{6FB1D5F6-0977-441C-B34B-6BEE3CF43222}"/>
    <cellStyle name="Style 25 2 7 2 2" xfId="38921" xr:uid="{A2E06417-6E96-497D-9264-F26466474EDF}"/>
    <cellStyle name="Style 25 2 7 2 3" xfId="38922" xr:uid="{9A67F80A-207B-4CF5-BD14-E7F820A5B9F1}"/>
    <cellStyle name="Style 25 2 7 3" xfId="38923" xr:uid="{20096507-FDCB-49D9-BD50-CF1288F9BB83}"/>
    <cellStyle name="Style 25 2 7 4" xfId="38924" xr:uid="{FA534B2B-A5C9-4DD0-990B-4E9136BCF0F4}"/>
    <cellStyle name="Style 25 2 8" xfId="20755" xr:uid="{B2E4288C-ACBF-402D-A12C-7AF2D180F776}"/>
    <cellStyle name="Style 25 2 8 2" xfId="20756" xr:uid="{2E7579D3-4496-4FAF-B98A-024ABBBE36F9}"/>
    <cellStyle name="Style 25 2 8 3" xfId="38925" xr:uid="{18FBF6CE-E331-4C77-862C-90EB8E5B753B}"/>
    <cellStyle name="Style 25 2 8 4" xfId="38926" xr:uid="{88DB99BC-F7F2-4265-816F-D41FA75C8A90}"/>
    <cellStyle name="Style 25 2 9" xfId="20757" xr:uid="{511F2A56-9207-4C4A-B5B7-0CB8C3631562}"/>
    <cellStyle name="Style 25 2 9 2" xfId="20758" xr:uid="{FFDC3DF4-5DF2-4883-B503-9C4D5B8828F0}"/>
    <cellStyle name="Style 25 2 9 3" xfId="38927" xr:uid="{859C1EAA-9ED9-494E-8CB6-F920ECF6C7F2}"/>
    <cellStyle name="Style 25 2 9 4" xfId="38928" xr:uid="{4CF4B879-1E2D-4EE3-8A9E-5FCC65A7B3EB}"/>
    <cellStyle name="Style 25 3" xfId="20759" xr:uid="{78A4B702-012B-4056-BDE7-D1115F85E8B8}"/>
    <cellStyle name="Style 25 3 10" xfId="20760" xr:uid="{4C3EFD7D-69F7-44F7-8F14-7A08202B1F0B}"/>
    <cellStyle name="Style 25 3 10 2" xfId="38929" xr:uid="{30A31842-2ED4-4CF4-8F2F-C38D1159D088}"/>
    <cellStyle name="Style 25 3 11" xfId="38930" xr:uid="{46002106-75C0-4743-A681-DFAA14867AB1}"/>
    <cellStyle name="Style 25 3 12" xfId="38931" xr:uid="{E703ACC1-A889-4432-9864-7B72E4D8A755}"/>
    <cellStyle name="Style 25 3 2" xfId="20761" xr:uid="{CA4E8ED5-F4B7-44B1-A931-E258FE778F4C}"/>
    <cellStyle name="Style 25 3 2 2" xfId="20762" xr:uid="{622EBC52-20E1-445D-AD71-4D1997E83013}"/>
    <cellStyle name="Style 25 3 2 2 2" xfId="38932" xr:uid="{F25BFC1C-C5C2-45B8-BFC3-5C83017E037E}"/>
    <cellStyle name="Style 25 3 2 2 2 2" xfId="38933" xr:uid="{092A7632-D5CC-4622-9D15-476275783D71}"/>
    <cellStyle name="Style 25 3 2 2 3" xfId="38934" xr:uid="{DED320A7-94AC-4366-9CF7-E587BFFC2E4A}"/>
    <cellStyle name="Style 25 3 2 2 4" xfId="38935" xr:uid="{03C0BA92-2524-4584-BB2F-2F70CCB83235}"/>
    <cellStyle name="Style 25 3 2 3" xfId="20763" xr:uid="{6D511475-91D2-4A41-92F0-256B8BC39BF3}"/>
    <cellStyle name="Style 25 3 2 4" xfId="20764" xr:uid="{C5496F8B-4524-4749-9BCE-FBF2E03C53DF}"/>
    <cellStyle name="Style 25 3 2 5" xfId="38936" xr:uid="{37C0FF32-D5FB-4AA7-9859-1BA9AC040F49}"/>
    <cellStyle name="Style 25 3 3" xfId="20765" xr:uid="{0C816B6D-7B4B-498C-9373-3F1769C829B7}"/>
    <cellStyle name="Style 25 3 3 2" xfId="20766" xr:uid="{5AAB18C6-C360-4D26-B1A7-6518BBEC98C1}"/>
    <cellStyle name="Style 25 3 3 2 2" xfId="38937" xr:uid="{5EE22186-98FD-4924-A2D8-EC20A242E418}"/>
    <cellStyle name="Style 25 3 3 2 3" xfId="38938" xr:uid="{56ED3062-48B3-4E62-BFAF-27D50DE3127C}"/>
    <cellStyle name="Style 25 3 3 3" xfId="38939" xr:uid="{F56F4A81-0C67-4550-868E-411421D52821}"/>
    <cellStyle name="Style 25 3 3 3 2" xfId="38940" xr:uid="{CCDB8D9D-3712-4ED4-B11F-8C0F94876D25}"/>
    <cellStyle name="Style 25 3 3 4" xfId="38941" xr:uid="{ED596B23-CD0C-4705-8ACE-5FAC86C6809C}"/>
    <cellStyle name="Style 25 3 3 4 2" xfId="38942" xr:uid="{2EC8FE61-9B13-4B43-A81B-4AC7E2E8E892}"/>
    <cellStyle name="Style 25 3 3 5" xfId="38943" xr:uid="{F46A2DF3-5309-42A3-987A-D52874661A6A}"/>
    <cellStyle name="Style 25 3 3 6" xfId="38944" xr:uid="{9F7F5B78-D6A0-4204-9430-F901F0F3F273}"/>
    <cellStyle name="Style 25 3 4" xfId="20767" xr:uid="{254698E1-056F-4640-8725-54A83C98629F}"/>
    <cellStyle name="Style 25 3 4 2" xfId="20768" xr:uid="{C12E1093-E7B9-4D34-BC48-89664F6F23BA}"/>
    <cellStyle name="Style 25 3 4 2 2" xfId="38945" xr:uid="{7B04E7C4-46D7-4CC7-AB0C-EA9CBBBD3914}"/>
    <cellStyle name="Style 25 3 4 2 3" xfId="38946" xr:uid="{10BC6CDB-BC4A-459E-B7BE-14C319D4B6F5}"/>
    <cellStyle name="Style 25 3 4 3" xfId="38947" xr:uid="{29E3134C-D936-4E9C-9A10-3A3A53D80484}"/>
    <cellStyle name="Style 25 3 4 4" xfId="38948" xr:uid="{B29680D0-B8DD-4D50-BA03-6A46B2A29B48}"/>
    <cellStyle name="Style 25 3 5" xfId="20769" xr:uid="{0F40361E-0EC9-4F21-9D5B-B7D317D2006F}"/>
    <cellStyle name="Style 25 3 5 2" xfId="20770" xr:uid="{8BF455F5-5F2E-41AA-8F8F-FAF3514B868A}"/>
    <cellStyle name="Style 25 3 5 3" xfId="38949" xr:uid="{07834D6E-D13F-47EA-A8FF-D8C5578F511F}"/>
    <cellStyle name="Style 25 3 5 4" xfId="38950" xr:uid="{2A5BE1EA-0195-46FB-A203-3C55C64A6EF0}"/>
    <cellStyle name="Style 25 3 6" xfId="20771" xr:uid="{8692BD19-8838-4355-9368-6F0796833F3B}"/>
    <cellStyle name="Style 25 3 6 2" xfId="20772" xr:uid="{54D1E20B-FAD8-49F9-AF5B-2D85C586E187}"/>
    <cellStyle name="Style 25 3 6 3" xfId="38951" xr:uid="{3AE930A7-3F7B-4DBB-9F02-585E7072B66D}"/>
    <cellStyle name="Style 25 3 6 4" xfId="38952" xr:uid="{80DC8BA0-09C2-43A5-BB2B-1CF83254E089}"/>
    <cellStyle name="Style 25 3 7" xfId="20773" xr:uid="{65C1996F-8B78-451A-BF25-A535CDB0B0CB}"/>
    <cellStyle name="Style 25 3 7 2" xfId="20774" xr:uid="{B792016D-20B8-4884-950C-4CC5C1644DBE}"/>
    <cellStyle name="Style 25 3 7 3" xfId="38953" xr:uid="{0B05076A-BB30-44F8-8D8D-316B11766B3F}"/>
    <cellStyle name="Style 25 3 7 4" xfId="38954" xr:uid="{60AEA944-0B56-4D47-88CE-56F45D7E195D}"/>
    <cellStyle name="Style 25 3 8" xfId="20775" xr:uid="{192B8B2C-0308-42DB-A620-76458C6E7230}"/>
    <cellStyle name="Style 25 3 8 2" xfId="20776" xr:uid="{98A36CA5-ECCE-4D18-B4D4-77DE051FB2AB}"/>
    <cellStyle name="Style 25 3 8 3" xfId="38955" xr:uid="{D6B067F7-E565-4267-A1F0-FBBCB3699ABF}"/>
    <cellStyle name="Style 25 3 8 4" xfId="38956" xr:uid="{41F6C71A-0370-48DA-A9B8-BF86FEFFD45A}"/>
    <cellStyle name="Style 25 3 9" xfId="20777" xr:uid="{C646FF28-043F-40E9-8690-B133105C4D8D}"/>
    <cellStyle name="Style 25 3 9 2" xfId="38957" xr:uid="{91728D2A-D66D-4DC7-B5F3-35CFC84A7CFB}"/>
    <cellStyle name="Style 25 3 9 3" xfId="38958" xr:uid="{B7EDCEC2-2F7C-4DEB-9D0A-BEFB786BAFBB}"/>
    <cellStyle name="Style 25 4" xfId="20778" xr:uid="{B0DB75F9-A339-43B6-97C2-C7C80C95D719}"/>
    <cellStyle name="Style 25 4 10" xfId="20779" xr:uid="{357AF11A-468D-4226-A946-D7E25FCE84EA}"/>
    <cellStyle name="Style 25 4 10 2" xfId="38959" xr:uid="{6C8C1C79-659D-44A1-9EEC-C94E5BD4C3E6}"/>
    <cellStyle name="Style 25 4 11" xfId="38960" xr:uid="{CAC6F656-FF84-4B81-BC12-085708806183}"/>
    <cellStyle name="Style 25 4 12" xfId="38961" xr:uid="{A2201C45-AE2B-49F3-8A3A-2747580CB624}"/>
    <cellStyle name="Style 25 4 13" xfId="43351" xr:uid="{95C47B9E-71B9-489E-8C07-553388BEE83E}"/>
    <cellStyle name="Style 25 4 2" xfId="20780" xr:uid="{A49D89F4-548F-46A8-A354-88E5090E9C10}"/>
    <cellStyle name="Style 25 4 2 2" xfId="20781" xr:uid="{5354DD96-4936-4D86-935E-523C33B30F60}"/>
    <cellStyle name="Style 25 4 2 2 2" xfId="38962" xr:uid="{8D88A8AB-9772-42D1-8F52-B2982C4BB598}"/>
    <cellStyle name="Style 25 4 2 2 3" xfId="38963" xr:uid="{52B659FF-2776-455E-8236-48A09384DC17}"/>
    <cellStyle name="Style 25 4 2 3" xfId="20782" xr:uid="{17282B3B-4D39-45A9-8AF8-C610B51D33E6}"/>
    <cellStyle name="Style 25 4 2 4" xfId="20783" xr:uid="{107E1C44-E289-4DF6-9AF0-F78D56B915A0}"/>
    <cellStyle name="Style 25 4 2 5" xfId="38964" xr:uid="{AF422034-FE30-4688-9802-67F4929C239D}"/>
    <cellStyle name="Style 25 4 3" xfId="20784" xr:uid="{92A19A15-244B-4B4A-AD4A-DE7E3951BB04}"/>
    <cellStyle name="Style 25 4 3 2" xfId="20785" xr:uid="{8E2BA1D5-372B-4B43-8650-4FAA8453BC01}"/>
    <cellStyle name="Style 25 4 3 3" xfId="38965" xr:uid="{AAFE3384-CF10-4761-8B30-D0357293F95E}"/>
    <cellStyle name="Style 25 4 3 4" xfId="38966" xr:uid="{3A623AB9-B903-4185-B362-B8AB2DCC09F8}"/>
    <cellStyle name="Style 25 4 4" xfId="20786" xr:uid="{58F7D6DD-6D37-4609-BB5E-CB19E73EE669}"/>
    <cellStyle name="Style 25 4 4 2" xfId="20787" xr:uid="{BCD8D5EC-07AE-40D4-9669-3C5EFD9CEB53}"/>
    <cellStyle name="Style 25 4 4 3" xfId="38967" xr:uid="{BE296130-9AC6-444C-83E3-F74DC7E977F6}"/>
    <cellStyle name="Style 25 4 4 4" xfId="38968" xr:uid="{A8075352-4092-471D-A04F-128E36201ED0}"/>
    <cellStyle name="Style 25 4 5" xfId="20788" xr:uid="{8056AB01-E9F6-45E3-AC5A-56944E55AEB3}"/>
    <cellStyle name="Style 25 4 5 2" xfId="20789" xr:uid="{BA3DFC31-8472-4AC9-BACF-21478CAEA2B6}"/>
    <cellStyle name="Style 25 4 5 3" xfId="38969" xr:uid="{689BCD0E-E6F3-46A9-B7A6-DAE37CA130DA}"/>
    <cellStyle name="Style 25 4 5 4" xfId="38970" xr:uid="{3CEE0CC0-FE26-4EA9-868E-BCB554496A39}"/>
    <cellStyle name="Style 25 4 6" xfId="20790" xr:uid="{437107FB-1864-4A6E-8090-483D5E4412E4}"/>
    <cellStyle name="Style 25 4 6 2" xfId="20791" xr:uid="{CB858F22-B036-46DD-9E7D-6295B8BD0A32}"/>
    <cellStyle name="Style 25 4 6 3" xfId="38971" xr:uid="{0F89129B-FE1E-4CEF-924F-AA8FFDCF7510}"/>
    <cellStyle name="Style 25 4 6 4" xfId="38972" xr:uid="{51C041CC-E5BB-4A6C-942C-F94D788A40DF}"/>
    <cellStyle name="Style 25 4 7" xfId="20792" xr:uid="{9AFAA291-E18F-4957-82F0-FEB81A1D883A}"/>
    <cellStyle name="Style 25 4 7 2" xfId="20793" xr:uid="{599FC9FD-ECFF-4094-8A51-1D5E877204B8}"/>
    <cellStyle name="Style 25 4 7 3" xfId="38973" xr:uid="{C8B69E53-B32F-46FB-BD64-7D34BC51F2EA}"/>
    <cellStyle name="Style 25 4 7 4" xfId="38974" xr:uid="{C4AC82FE-FE05-467A-AF3D-5A59B8A7C648}"/>
    <cellStyle name="Style 25 4 8" xfId="20794" xr:uid="{AA77F0DF-D8A5-4400-BDD0-2713A85DD86F}"/>
    <cellStyle name="Style 25 4 8 2" xfId="20795" xr:uid="{658C6A3B-EA8A-40F9-B267-06D68A6E58E7}"/>
    <cellStyle name="Style 25 4 8 3" xfId="38975" xr:uid="{B8223DC7-B1C9-42D2-8A3D-AD45AB491FD6}"/>
    <cellStyle name="Style 25 4 8 4" xfId="38976" xr:uid="{B2642ADC-B7FD-4C2B-B57C-DDCD9220CBE3}"/>
    <cellStyle name="Style 25 4 9" xfId="20796" xr:uid="{E92DDA1B-A550-4F27-992F-2815BAE99D02}"/>
    <cellStyle name="Style 25 4 9 2" xfId="38977" xr:uid="{004EF51E-6B67-4E13-B33B-D2AF4A8942E6}"/>
    <cellStyle name="Style 25 4 9 3" xfId="38978" xr:uid="{E63CB996-34C2-4CC4-943C-E6B251FF0BBB}"/>
    <cellStyle name="Style 25 5" xfId="20797" xr:uid="{F7693B8C-B3C9-4118-BBE2-EEF156A174E9}"/>
    <cellStyle name="Style 25 5 2" xfId="20798" xr:uid="{1E17171F-7C4D-4D0A-A234-178BF9A8A96D}"/>
    <cellStyle name="Style 25 5 2 2" xfId="20799" xr:uid="{9336185F-93C0-40F1-925F-1F47AB5246C3}"/>
    <cellStyle name="Style 25 5 2 2 2" xfId="38979" xr:uid="{C0CB71FA-9574-4ABF-8F66-20ECBE2414B5}"/>
    <cellStyle name="Style 25 5 2 3" xfId="20800" xr:uid="{DBA7E15A-65FA-4DBA-BBDC-6AE289AEBF20}"/>
    <cellStyle name="Style 25 5 2 4" xfId="38980" xr:uid="{6D56B2FD-362E-4171-A35D-DE76B2B6A9AB}"/>
    <cellStyle name="Style 25 5 3" xfId="20801" xr:uid="{667EEFB2-5A27-45F0-8264-471A53560AA5}"/>
    <cellStyle name="Style 25 5 3 2" xfId="20802" xr:uid="{F6B2C5D7-3AC6-4140-BB4B-1708325F17CD}"/>
    <cellStyle name="Style 25 5 3 3" xfId="38981" xr:uid="{CD3EA8BD-B5CE-46EE-84EF-0986A2E351B7}"/>
    <cellStyle name="Style 25 5 4" xfId="20803" xr:uid="{56AABD72-06AF-461D-AD5F-5AD06E331035}"/>
    <cellStyle name="Style 25 5 4 2" xfId="38982" xr:uid="{B99EC840-B616-4082-990B-A5C032822F39}"/>
    <cellStyle name="Style 25 5 5" xfId="38983" xr:uid="{8C367622-E762-49B5-8F9F-369D64EDAB24}"/>
    <cellStyle name="Style 25 5 5 2" xfId="38984" xr:uid="{6772B515-FD7A-413E-9FF8-198C4333A830}"/>
    <cellStyle name="Style 25 5 6" xfId="38985" xr:uid="{B0C64D45-F0AC-4E54-8802-3B0BE10DAA1C}"/>
    <cellStyle name="Style 25 5 7" xfId="43352" xr:uid="{A0F52E33-56EC-49E3-AAAC-182B5B2B9AF8}"/>
    <cellStyle name="Style 25 6" xfId="20804" xr:uid="{05031966-239A-4692-975E-355229D74B76}"/>
    <cellStyle name="Style 25 6 2" xfId="20805" xr:uid="{0083CD4F-DE03-4089-B39F-6799D906EDFC}"/>
    <cellStyle name="Style 25 6 2 2" xfId="38986" xr:uid="{D96896B6-2164-4EC5-BAE3-9A4D138C5503}"/>
    <cellStyle name="Style 25 6 2 3" xfId="38987" xr:uid="{768ECCE5-161B-4E7F-AEE2-981A659A9FF3}"/>
    <cellStyle name="Style 25 6 3" xfId="20806" xr:uid="{5AF810D1-547E-4704-A8CF-A7B64C3E5ED1}"/>
    <cellStyle name="Style 25 6 4" xfId="38988" xr:uid="{119147A8-EFB6-42D1-97B6-C0E7F0EF3543}"/>
    <cellStyle name="Style 25 6 5" xfId="38989" xr:uid="{63215832-698C-442C-BD84-ABF9EE906934}"/>
    <cellStyle name="Style 25 7" xfId="20807" xr:uid="{1965B97E-4506-4CBF-A049-CBF2DB409873}"/>
    <cellStyle name="Style 25 7 2" xfId="20808" xr:uid="{86C7EABF-F6CB-48EF-A7D7-274E1C175BAB}"/>
    <cellStyle name="Style 25 7 2 2" xfId="38990" xr:uid="{EF9D726B-F91C-4648-BAE6-492CBDFD4595}"/>
    <cellStyle name="Style 25 7 2 3" xfId="38991" xr:uid="{8F676531-85A2-4833-8E49-D6674AFD6613}"/>
    <cellStyle name="Style 25 7 3" xfId="38992" xr:uid="{60E0CA41-7F70-4904-BE17-86CE3A3A3D9D}"/>
    <cellStyle name="Style 25 7 4" xfId="38993" xr:uid="{4C7F2464-F866-4705-9AC7-21008FB2CBB8}"/>
    <cellStyle name="Style 25 8" xfId="20809" xr:uid="{86F1D569-CEB4-4ED8-A5F0-A8FF0945C192}"/>
    <cellStyle name="Style 25 8 2" xfId="20810" xr:uid="{CC19F71F-F454-468C-9BE2-3FC4CD2E3150}"/>
    <cellStyle name="Style 25 8 2 2" xfId="38994" xr:uid="{6AD2B561-B145-4042-80C0-7F56E0306459}"/>
    <cellStyle name="Style 25 8 2 3" xfId="38995" xr:uid="{A6F6B92C-47A3-4A1C-9937-7BBC49023A23}"/>
    <cellStyle name="Style 25 8 3" xfId="38996" xr:uid="{FAB54353-9D63-49E4-8C87-3738F63C92F5}"/>
    <cellStyle name="Style 25 8 4" xfId="38997" xr:uid="{06A0AA81-1697-411A-88AE-C7B650613CB3}"/>
    <cellStyle name="Style 25 9" xfId="20811" xr:uid="{CD07BAC5-D1F1-4381-BB10-FD3393F4E92A}"/>
    <cellStyle name="Style 25 9 2" xfId="20812" xr:uid="{34250950-B315-43FE-90ED-2B5A58B6F42D}"/>
    <cellStyle name="Style 25 9 3" xfId="38998" xr:uid="{74C16B98-9677-4D19-A7A0-96AEA4EFA8DD}"/>
    <cellStyle name="Style 25 9 4" xfId="38999" xr:uid="{DA5E1B3B-6C65-4484-A595-6B3AFC885BB4}"/>
    <cellStyle name="Style 26" xfId="20813" xr:uid="{BBCFE826-0712-48C3-8740-991811511C46}"/>
    <cellStyle name="Style 26 2" xfId="20814" xr:uid="{7A1B49EE-D01A-4764-8B90-7976C784989E}"/>
    <cellStyle name="Style 26 2 2" xfId="20815" xr:uid="{C06E02EA-BFFA-4A3B-AFBD-D2BCAD963C46}"/>
    <cellStyle name="Style 26 2 3" xfId="39000" xr:uid="{43B52976-614F-4B7E-86F7-C9768E564ACC}"/>
    <cellStyle name="Style 26 3" xfId="20816" xr:uid="{DA3C6E4A-E65A-49A4-9873-1CD77574AF16}"/>
    <cellStyle name="Style 26 3 2" xfId="39001" xr:uid="{88F8A193-B0B7-4684-83E0-775462F1146C}"/>
    <cellStyle name="Style 26 3 3" xfId="39002" xr:uid="{A13CED1B-1CBC-4034-BBF2-6238A8C59B4F}"/>
    <cellStyle name="Style 26 3 4" xfId="43353" xr:uid="{667A6A28-5501-4EC2-9D28-BB28A802B4FB}"/>
    <cellStyle name="Style 26 4" xfId="20817" xr:uid="{2BB95E50-CE05-4885-9341-DC3A64712DAB}"/>
    <cellStyle name="Style 26 4 2" xfId="43354" xr:uid="{CB50B05A-A15E-4B5F-945F-7A0AB3342E7C}"/>
    <cellStyle name="Style 26 5" xfId="20818" xr:uid="{691404E1-491E-4214-90D1-50E66284C5F9}"/>
    <cellStyle name="Style 26 6" xfId="39003" xr:uid="{5CA143EF-08C5-4368-B533-8C173D504CE7}"/>
    <cellStyle name="Style 26 7" xfId="39004" xr:uid="{8150D378-59B5-488D-AEA7-B63F82118B09}"/>
    <cellStyle name="Style 27" xfId="43355" xr:uid="{CE429E76-EC58-48DA-97E3-0C4A9807FA20}"/>
    <cellStyle name="Style 27 2" xfId="43356" xr:uid="{296E6BE7-AF27-4DE5-9E55-613D7FD39CFD}"/>
    <cellStyle name="Style 35" xfId="43357" xr:uid="{34D2B426-5054-4648-AFB7-206FB661F697}"/>
    <cellStyle name="Style 35 2" xfId="43358" xr:uid="{29A1400B-9281-4444-903A-CEA7B869B983}"/>
    <cellStyle name="Style 35 3" xfId="43359" xr:uid="{7BB1D319-F94B-473A-A46B-3FC5534017F8}"/>
    <cellStyle name="Style 36" xfId="43360" xr:uid="{32791E20-B089-45F2-80A6-1025BC3C4B8E}"/>
    <cellStyle name="Style 36 2" xfId="43361" xr:uid="{7B306D6E-3CBF-43F9-B7FC-F107161BD5D4}"/>
    <cellStyle name="Style 37" xfId="43362" xr:uid="{BE0C7FFF-630E-4085-A9C2-82887D398610}"/>
    <cellStyle name="Style 37 2" xfId="43363" xr:uid="{FE129951-BEDD-4D43-86C0-A5033A765FFE}"/>
    <cellStyle name="Style 38" xfId="43364" xr:uid="{E2CF438B-1A42-444C-BB9A-56834517C2D7}"/>
    <cellStyle name="Style 38 2" xfId="43365" xr:uid="{0E27122A-D33E-4B76-9AFA-6D52D9514515}"/>
    <cellStyle name="Style 39" xfId="43366" xr:uid="{F7B342E6-38B3-402A-BCA5-9602A32E072B}"/>
    <cellStyle name="Style 39 2" xfId="43367" xr:uid="{E67E68B3-7873-41B2-88FD-2E75BB517EA0}"/>
    <cellStyle name="Style 39 3" xfId="43368" xr:uid="{6E1C15F2-5349-4351-A407-833C82A8E64D}"/>
    <cellStyle name="Style 40" xfId="43369" xr:uid="{716B9604-932E-431C-9091-95269E290932}"/>
    <cellStyle name="Style 40 2" xfId="43370" xr:uid="{3B155909-9E53-472B-9053-4D38CCE965D0}"/>
    <cellStyle name="Style 41" xfId="43371" xr:uid="{2CED4AC1-79CC-4788-8D5B-5AABB589946A}"/>
    <cellStyle name="Style 41 2" xfId="43372" xr:uid="{BEBBF3BE-6ECB-4F24-AA0A-8271AC1982AB}"/>
    <cellStyle name="Style 46" xfId="43373" xr:uid="{F0BC8678-369C-4318-B0CE-13058F4527B2}"/>
    <cellStyle name="Style 46 2" xfId="43374" xr:uid="{FB77A258-4E96-41B5-83F9-03E462058248}"/>
    <cellStyle name="Style 46 3" xfId="43375" xr:uid="{F549F662-1959-458E-B746-C6A6EC5E5756}"/>
    <cellStyle name="Style 47" xfId="43376" xr:uid="{F70D1F00-142E-4808-A2AA-1C35B8BBE147}"/>
    <cellStyle name="Style 47 2" xfId="43377" xr:uid="{6DC7FFB9-1C32-4DA0-BB80-3335FF1E0F19}"/>
    <cellStyle name="Style 48" xfId="43378" xr:uid="{AD42EF94-3161-4C2C-AAB7-63AF2F6CDDBF}"/>
    <cellStyle name="Style 48 2" xfId="43379" xr:uid="{9948AE9E-DA05-455D-9280-0209DEACAC5F}"/>
    <cellStyle name="Style 49" xfId="43380" xr:uid="{311596E2-7241-4CE1-A1AE-080CE707CA6B}"/>
    <cellStyle name="Style 49 2" xfId="43381" xr:uid="{C1C9748B-FBAF-41F7-B303-7CBD3C1928C8}"/>
    <cellStyle name="Style 50" xfId="43382" xr:uid="{FFE1745B-9189-46CB-990A-852B2B332529}"/>
    <cellStyle name="Style 50 2" xfId="43383" xr:uid="{908F10B0-49AE-416C-8154-B2840CED5A8C}"/>
    <cellStyle name="Style 50 3" xfId="43384" xr:uid="{FAA8926F-9920-419E-9BF0-D6F202772251}"/>
    <cellStyle name="Style 51" xfId="43385" xr:uid="{4E8783A4-516A-4E61-ABCB-5BB4E180E20B}"/>
    <cellStyle name="Style 51 2" xfId="43386" xr:uid="{1178457C-27FE-4C7A-A7F5-0FD55CF0D875}"/>
    <cellStyle name="Style 52" xfId="43387" xr:uid="{8B68B3EC-9323-4F79-B7E0-BC63C9FD35F9}"/>
    <cellStyle name="Style 52 2" xfId="43388" xr:uid="{7E43C77A-E8E8-4142-9551-1EB0D86FE4F1}"/>
    <cellStyle name="Style 58" xfId="43389" xr:uid="{35A1FCD8-C685-49DE-9FA5-951A3535AC2A}"/>
    <cellStyle name="Style 58 2" xfId="43390" xr:uid="{DBDAB99C-4DFC-45FF-966D-D3138F879C94}"/>
    <cellStyle name="Style 58 3" xfId="43391" xr:uid="{08FB9E58-E824-4A79-8F9D-BCD6B5766B32}"/>
    <cellStyle name="Style 59" xfId="43392" xr:uid="{7B638201-B46B-443E-8B21-A2F34C8D9D2A}"/>
    <cellStyle name="Style 59 2" xfId="43393" xr:uid="{FED67107-2EB7-4CD9-91F3-830C510FA040}"/>
    <cellStyle name="Style 60" xfId="43394" xr:uid="{810A1518-FC40-45F5-A2BA-BFA5DA3237E3}"/>
    <cellStyle name="Style 60 2" xfId="43395" xr:uid="{6B754BEA-F352-46A8-866D-93E4A36DFC56}"/>
    <cellStyle name="Style 61" xfId="43396" xr:uid="{05A88E15-B5A5-43E5-8BF5-C307A78DF92C}"/>
    <cellStyle name="Style 61 2" xfId="43397" xr:uid="{295856D0-3474-47E0-9C04-C70FDD698A3C}"/>
    <cellStyle name="Style 62" xfId="43398" xr:uid="{E9325C77-7EA0-4909-8A25-21FE4D9FA8C1}"/>
    <cellStyle name="Style 62 2" xfId="43399" xr:uid="{F9CAF263-374A-4708-ACEC-FA2DE6C404D1}"/>
    <cellStyle name="Style 62 3" xfId="43400" xr:uid="{960DD6F5-B90F-4D3D-92A7-AED371818626}"/>
    <cellStyle name="Style 63" xfId="43401" xr:uid="{D74CB4A3-0FA3-4C1F-B6AF-AF5E503309D0}"/>
    <cellStyle name="Style 63 2" xfId="43402" xr:uid="{FDF989D0-7FBE-45C9-B4D6-6D228D98ED70}"/>
    <cellStyle name="Style 64" xfId="43403" xr:uid="{DF6CEDD6-AAF3-404B-B2EC-8152FC1DDDB1}"/>
    <cellStyle name="Style 64 2" xfId="43404" xr:uid="{F48B8460-D6D9-427D-9ACA-31B18DE9DBDC}"/>
    <cellStyle name="Style 69" xfId="43405" xr:uid="{1069A8EA-3F3E-4110-B204-483E6888667C}"/>
    <cellStyle name="Style 69 2" xfId="43406" xr:uid="{BD3867D9-1781-4318-97B1-BC7FB2A3C97C}"/>
    <cellStyle name="Style 69 3" xfId="43407" xr:uid="{0AF1AE17-89D0-45BE-9A68-1B7ABF022EE0}"/>
    <cellStyle name="Style 70" xfId="43408" xr:uid="{6D459599-28D8-494B-A87E-5AB05BEE4884}"/>
    <cellStyle name="Style 70 2" xfId="43409" xr:uid="{0E2F7380-4B20-4A6E-A31D-688190D53BD7}"/>
    <cellStyle name="Style 71" xfId="43410" xr:uid="{179863AD-0CEF-437C-B11B-C7EEFCB8062A}"/>
    <cellStyle name="Style 71 2" xfId="43411" xr:uid="{12C52AF8-028D-443D-9A6E-A061DD83EA6D}"/>
    <cellStyle name="Style 72" xfId="43412" xr:uid="{1457DC28-145D-4699-8737-2F7513AC7516}"/>
    <cellStyle name="Style 72 2" xfId="43413" xr:uid="{0B81F05B-12D0-4ECA-87C2-6ECAE6ED4914}"/>
    <cellStyle name="Style 73" xfId="43414" xr:uid="{CE54E717-B344-4684-B3C4-6649FC2A657A}"/>
    <cellStyle name="Style 73 2" xfId="43415" xr:uid="{A6E38A5B-40EF-4151-B22B-A98A4A4B86DA}"/>
    <cellStyle name="Style 73 3" xfId="43416" xr:uid="{C4623E86-3BC0-409A-956D-F2E14C5365B0}"/>
    <cellStyle name="Style 74" xfId="43417" xr:uid="{9308E0A3-6436-46CF-BE92-C8B80DC9C3C8}"/>
    <cellStyle name="Style 74 2" xfId="43418" xr:uid="{DC2DA778-2CF9-46CB-A49E-363762FCDDFB}"/>
    <cellStyle name="Style 75" xfId="43419" xr:uid="{DBFC7530-A43F-4A82-BC2B-B9F86CEDA992}"/>
    <cellStyle name="Style 75 2" xfId="43420" xr:uid="{D41BFBD5-FB31-49D1-B1B5-03FC0476636C}"/>
    <cellStyle name="Style 80" xfId="43421" xr:uid="{88466A62-B7A4-4A0B-A5F2-7225F6A0ADC9}"/>
    <cellStyle name="Style 80 2" xfId="43422" xr:uid="{C524E03F-8A4E-4E04-8468-54F8D4645B0E}"/>
    <cellStyle name="Style 80 3" xfId="43423" xr:uid="{282DEB9A-C50C-4C3F-AF74-0CC3D665C3A7}"/>
    <cellStyle name="Style 81" xfId="43424" xr:uid="{F355FBB1-63A0-4022-BBA0-C24A78395E3E}"/>
    <cellStyle name="Style 81 2" xfId="43425" xr:uid="{B24516AE-9B3E-497D-9937-46F1CD515553}"/>
    <cellStyle name="Style 81 3" xfId="43426" xr:uid="{4C67DA6A-B3EA-447C-BCF4-5AF70DA42284}"/>
    <cellStyle name="Style 82" xfId="43427" xr:uid="{F76C1AAF-EA5D-4634-8673-A5C235E47271}"/>
    <cellStyle name="Style 82 2" xfId="43428" xr:uid="{CDB1DAEF-9057-4933-9849-04C2CBFB4D1D}"/>
    <cellStyle name="Style 83" xfId="43429" xr:uid="{400C8AEB-CFA9-41E3-9574-F824562E7005}"/>
    <cellStyle name="Style 83 2" xfId="43430" xr:uid="{B78339D2-CB06-48C2-B5C2-D7A2E2306625}"/>
    <cellStyle name="Style 84" xfId="43431" xr:uid="{34DD5AF8-C88C-4F5B-B4F2-CEFA212DD4CC}"/>
    <cellStyle name="Style 84 2" xfId="43432" xr:uid="{D794E7D0-DF95-4598-9CE4-D89327943546}"/>
    <cellStyle name="Style 85" xfId="43433" xr:uid="{3246B4C1-6BED-4B7A-BA8C-011CDA053F9E}"/>
    <cellStyle name="Style 85 2" xfId="43434" xr:uid="{922163B6-2EFE-47D9-98A8-4F770E5FCD6E}"/>
    <cellStyle name="Style 85 3" xfId="43435" xr:uid="{E1078CE7-BAF2-45B4-BAE8-F1B56A78D959}"/>
    <cellStyle name="Style 86" xfId="43436" xr:uid="{1284D31F-6AF6-4FC2-B266-C3261CE4EDC0}"/>
    <cellStyle name="Style 86 2" xfId="43437" xr:uid="{BAB3E1CB-0A1B-413A-AEED-D368F9EE8A84}"/>
    <cellStyle name="Style 87" xfId="43438" xr:uid="{157115DF-6F16-424C-83BD-095C03F930EA}"/>
    <cellStyle name="Style 87 2" xfId="43439" xr:uid="{36594CB5-5B42-45F7-87A2-1F74349367D5}"/>
    <cellStyle name="Style 93" xfId="43440" xr:uid="{F1EA3AD5-5868-4C11-94A9-606B39B6F071}"/>
    <cellStyle name="Style 93 2" xfId="43441" xr:uid="{4A8E623E-CE16-4298-B297-3C3A1E5E47E2}"/>
    <cellStyle name="Style 93 3" xfId="43442" xr:uid="{2B2FD7FD-20D5-4447-930F-E672CE6D7DE9}"/>
    <cellStyle name="Style 94" xfId="43443" xr:uid="{0A1EE8B5-457B-4132-9023-80E10BCA613B}"/>
    <cellStyle name="Style 94 2" xfId="43444" xr:uid="{E1913009-72F1-4F35-A498-C4658C5A355C}"/>
    <cellStyle name="Style 95" xfId="43445" xr:uid="{C185313A-E307-4666-A62E-7C6123E97A5B}"/>
    <cellStyle name="Style 95 2" xfId="43446" xr:uid="{B1645611-B38E-4C6F-8F4A-FD0ADC05F979}"/>
    <cellStyle name="Style 96" xfId="43447" xr:uid="{C41A9D0B-6894-404B-993B-7D59C80E095E}"/>
    <cellStyle name="Style 96 2" xfId="43448" xr:uid="{D9A9DEDB-2B7E-47B1-B665-FD9A44EE2AC4}"/>
    <cellStyle name="Style 97" xfId="43449" xr:uid="{6032991E-A812-4EAD-84B3-5255F1439D5F}"/>
    <cellStyle name="Style 97 2" xfId="43450" xr:uid="{9D5D9D89-8981-4A83-91B7-33632FF8CE5E}"/>
    <cellStyle name="Style 97 3" xfId="43451" xr:uid="{7860F67B-969D-495F-AD53-22D19558077E}"/>
    <cellStyle name="Style 98" xfId="43452" xr:uid="{652D375B-A983-404C-94D7-BB8D5073AECF}"/>
    <cellStyle name="Style 98 2" xfId="43453" xr:uid="{D6F91305-AF84-4CF8-9BCA-442D65D8A8B5}"/>
    <cellStyle name="Style 99" xfId="43454" xr:uid="{5C29C140-6895-4314-B614-83ADB0B68734}"/>
    <cellStyle name="Style 99 2" xfId="43455" xr:uid="{2373BC28-0C06-41F3-A100-B16187574E9E}"/>
    <cellStyle name="Sub heading - 1" xfId="20819" xr:uid="{116362B5-4CAB-4061-ACCD-251F19495713}"/>
    <cellStyle name="Számítás" xfId="20820" xr:uid="{2CA6BE3C-4355-4494-A33D-D470E7EE23B0}"/>
    <cellStyle name="Számítás 10" xfId="20821" xr:uid="{8B69D3FA-C584-413A-88DB-B1EF6271C11B}"/>
    <cellStyle name="Számítás 10 2" xfId="39005" xr:uid="{23F154E5-F63B-48AE-AE66-52D3D1E761EC}"/>
    <cellStyle name="Számítás 11" xfId="39006" xr:uid="{6D5B363A-FDE0-4771-9CF4-E78227B047FC}"/>
    <cellStyle name="Számítás 2" xfId="20822" xr:uid="{95B0902A-C019-46E6-9F4C-9105F45EE438}"/>
    <cellStyle name="Számítás 2 2" xfId="20823" xr:uid="{4E8857C4-79FD-4D7A-8966-28FE0DB58BAE}"/>
    <cellStyle name="Számítás 2 3" xfId="20824" xr:uid="{2B4D8EFE-89B5-4E63-8C01-5DD85A471ED2}"/>
    <cellStyle name="Számítás 2 4" xfId="20825" xr:uid="{251223B6-215A-4DAD-B1EF-32B1ADE18C53}"/>
    <cellStyle name="Számítás 3" xfId="20826" xr:uid="{C69F474E-51C2-44D2-9488-0A88C854A6CD}"/>
    <cellStyle name="Számítás 3 2" xfId="20827" xr:uid="{A6F69E70-90C0-4ECE-B6EC-16070BD52C02}"/>
    <cellStyle name="Számítás 3 3" xfId="39007" xr:uid="{DA429F38-E2CC-4838-AE39-72D000396290}"/>
    <cellStyle name="Számítás 4" xfId="20828" xr:uid="{63D803A9-0C35-4FB5-B9DC-F5847C348606}"/>
    <cellStyle name="Számítás 4 2" xfId="20829" xr:uid="{3094643F-F390-48DD-9BE3-769A708F6EED}"/>
    <cellStyle name="Számítás 4 3" xfId="39008" xr:uid="{8826EA3B-17E4-4825-9442-864D9FB8C70B}"/>
    <cellStyle name="Számítás 5" xfId="20830" xr:uid="{6E6DFD93-DD66-484C-ADEB-196D87461BC0}"/>
    <cellStyle name="Számítás 5 2" xfId="20831" xr:uid="{C6276FBB-C36A-490D-A237-AD1666DF4185}"/>
    <cellStyle name="Számítás 5 3" xfId="39009" xr:uid="{16B6634E-2825-496F-8484-22F76A8A5AFF}"/>
    <cellStyle name="Számítás 6" xfId="20832" xr:uid="{C4503980-A626-44D6-B158-C099672BE449}"/>
    <cellStyle name="Számítás 6 2" xfId="20833" xr:uid="{0F217E0F-7CE5-46BA-BEA6-6EB8F3D18D83}"/>
    <cellStyle name="Számítás 6 3" xfId="39010" xr:uid="{028E8A74-F506-46A5-8460-9C2A23CE50E9}"/>
    <cellStyle name="Számítás 7" xfId="20834" xr:uid="{F401B58C-11C1-413A-9261-737BD3D66935}"/>
    <cellStyle name="Számítás 7 2" xfId="20835" xr:uid="{29A36045-F535-4E3F-9825-95E09EAAD382}"/>
    <cellStyle name="Számítás 7 3" xfId="39011" xr:uid="{3767B981-7FE9-44DE-8E70-8713001C1E70}"/>
    <cellStyle name="Számítás 8" xfId="20836" xr:uid="{6EC0C94A-AB38-422A-9AE4-BCC9027313D9}"/>
    <cellStyle name="Számítás 8 2" xfId="20837" xr:uid="{8B97F79F-CC59-45F2-8A3E-12D3EDCC8C39}"/>
    <cellStyle name="Számítás 8 3" xfId="39012" xr:uid="{9108E641-5E26-41B9-B034-9E151C2B9DF1}"/>
    <cellStyle name="Számítás 9" xfId="20838" xr:uid="{810F2FDB-3333-466D-AE44-5530D1D13D53}"/>
    <cellStyle name="Számítás 9 2" xfId="39013" xr:uid="{649B3BE1-3FED-4F37-B38F-CA7A2F62D199}"/>
    <cellStyle name="Számítás 9 3" xfId="39014" xr:uid="{AE384A2B-8FDF-419A-908D-0F3483A203A0}"/>
    <cellStyle name="Table" xfId="20839" xr:uid="{4F9020A5-FE9A-408A-BD05-B2DAAA0CC01C}"/>
    <cellStyle name="Table Header" xfId="42200" xr:uid="{9631D0FF-FB65-4BE1-A553-972787FD27A5}"/>
    <cellStyle name="Table heading" xfId="39015" xr:uid="{20FD047F-A3FE-4BB8-B596-5A6622AC9158}"/>
    <cellStyle name="tableau | cellule | normal | decimal 1" xfId="20840" xr:uid="{4B03C05D-233C-48B8-B1D5-8D3B2488CDAB}"/>
    <cellStyle name="tableau | cellule | normal | decimal 1 10" xfId="20841" xr:uid="{087C7F1C-133E-4EEA-9287-05DA8A6DBA5C}"/>
    <cellStyle name="tableau | cellule | normal | decimal 1 10 2" xfId="39016" xr:uid="{3F42B619-9DA3-4438-A21E-87C58B4A6E98}"/>
    <cellStyle name="tableau | cellule | normal | decimal 1 11" xfId="39017" xr:uid="{E645DAB6-AE6E-4D95-A054-79EB99304B63}"/>
    <cellStyle name="tableau | cellule | normal | decimal 1 2" xfId="20842" xr:uid="{092C926B-526D-4B22-9C89-61959F1E6BE6}"/>
    <cellStyle name="tableau | cellule | normal | decimal 1 2 2" xfId="20843" xr:uid="{18F609B8-5EC4-4D9E-99C8-86747C6BE3F6}"/>
    <cellStyle name="tableau | cellule | normal | decimal 1 2 2 2" xfId="39018" xr:uid="{D797F157-7BB0-4945-AC6A-F8EE75E51662}"/>
    <cellStyle name="tableau | cellule | normal | decimal 1 2 3" xfId="20844" xr:uid="{597D24EE-A14F-428C-A852-9EBDADF7D2CF}"/>
    <cellStyle name="tableau | cellule | normal | decimal 1 2 4" xfId="20845" xr:uid="{E7CC7064-99F7-4E5E-9380-CDEA0009D1CE}"/>
    <cellStyle name="tableau | cellule | normal | decimal 1 2 5" xfId="43456" xr:uid="{7FA8D7A4-179C-4721-98DE-9CA20DB4059A}"/>
    <cellStyle name="tableau | cellule | normal | decimal 1 3" xfId="20846" xr:uid="{F4D40B07-10D5-410B-8A79-25A9934B311A}"/>
    <cellStyle name="tableau | cellule | normal | decimal 1 3 2" xfId="20847" xr:uid="{5C5E8BD8-1728-4C25-8E80-4DE075120AF8}"/>
    <cellStyle name="tableau | cellule | normal | decimal 1 3 3" xfId="39019" xr:uid="{119A5E21-DCEB-4A34-9E59-80731182266D}"/>
    <cellStyle name="tableau | cellule | normal | decimal 1 3 4" xfId="43457" xr:uid="{C90F8716-69A6-4097-B6A3-E1FBBF971896}"/>
    <cellStyle name="tableau | cellule | normal | decimal 1 4" xfId="20848" xr:uid="{4B0A8E98-BC93-451F-98C4-AED941C3FF91}"/>
    <cellStyle name="tableau | cellule | normal | decimal 1 4 2" xfId="20849" xr:uid="{BDE53358-859B-4662-87BD-8EF73526F251}"/>
    <cellStyle name="tableau | cellule | normal | decimal 1 4 3" xfId="39020" xr:uid="{8BA304B2-000D-42FD-AD47-68B8DF6C6CC0}"/>
    <cellStyle name="tableau | cellule | normal | decimal 1 5" xfId="20850" xr:uid="{F7A24980-D157-44D1-A58B-94A8BA9FB07A}"/>
    <cellStyle name="tableau | cellule | normal | decimal 1 5 2" xfId="20851" xr:uid="{3C783E10-3B93-4AA2-9CDF-9AC385398A73}"/>
    <cellStyle name="tableau | cellule | normal | decimal 1 5 3" xfId="39021" xr:uid="{53D8C9C2-025E-4EE5-82F6-9335F437D2A5}"/>
    <cellStyle name="tableau | cellule | normal | decimal 1 6" xfId="20852" xr:uid="{017838B0-C5E0-4C69-951E-489393EA2EC8}"/>
    <cellStyle name="tableau | cellule | normal | decimal 1 6 2" xfId="20853" xr:uid="{C852C777-B76C-4811-A140-A9548BA63421}"/>
    <cellStyle name="tableau | cellule | normal | decimal 1 6 3" xfId="39022" xr:uid="{9D832762-0EE6-47BA-AFAB-AB189030B8E8}"/>
    <cellStyle name="tableau | cellule | normal | decimal 1 7" xfId="20854" xr:uid="{91935AD0-B301-4C40-A47E-56263CB2778D}"/>
    <cellStyle name="tableau | cellule | normal | decimal 1 7 2" xfId="20855" xr:uid="{7A41F2A3-903D-4C3F-9795-FAE194A90CB1}"/>
    <cellStyle name="tableau | cellule | normal | decimal 1 7 3" xfId="39023" xr:uid="{FFD6B848-61C4-470E-8D60-8D11FCDBEF35}"/>
    <cellStyle name="tableau | cellule | normal | decimal 1 8" xfId="20856" xr:uid="{CA21F708-5DD2-4AAF-8F6A-D6B72F6ADC5D}"/>
    <cellStyle name="tableau | cellule | normal | decimal 1 8 2" xfId="20857" xr:uid="{90F7EEF8-4828-405A-A7C2-0F032F7DF7FD}"/>
    <cellStyle name="tableau | cellule | normal | decimal 1 8 3" xfId="39024" xr:uid="{EE5EB6C2-3613-48E8-90EA-298FEADB3657}"/>
    <cellStyle name="tableau | cellule | normal | decimal 1 9" xfId="20858" xr:uid="{A2452DA5-8BD6-4224-88DC-8E1EC6646267}"/>
    <cellStyle name="tableau | cellule | normal | decimal 1 9 2" xfId="39025" xr:uid="{9036645D-2B96-4166-BBB8-D258F56BF8AF}"/>
    <cellStyle name="tableau | cellule | normal | decimal 1 9 3" xfId="39026" xr:uid="{D375BF6E-7120-4436-86C3-6D5A260F26A9}"/>
    <cellStyle name="tableau | cellule | normal | pourcentage | decimal 1" xfId="20859" xr:uid="{672909B2-914B-4AB8-9D49-4A87DF5366D7}"/>
    <cellStyle name="tableau | cellule | normal | pourcentage | decimal 1 10" xfId="20860" xr:uid="{35FAEF1D-7717-4166-9A72-D40A185F2D03}"/>
    <cellStyle name="tableau | cellule | normal | pourcentage | decimal 1 10 2" xfId="39027" xr:uid="{C77C8207-B082-43D9-983B-18087684B6A1}"/>
    <cellStyle name="tableau | cellule | normal | pourcentage | decimal 1 11" xfId="39028" xr:uid="{93198EFA-BB6B-4555-9A45-68DDE4910E7B}"/>
    <cellStyle name="tableau | cellule | normal | pourcentage | decimal 1 2" xfId="20861" xr:uid="{BFA78F06-B1BE-482D-8F60-2ABDB5ED3B34}"/>
    <cellStyle name="tableau | cellule | normal | pourcentage | decimal 1 2 2" xfId="20862" xr:uid="{1480C565-05A0-445B-8B19-A44215465A58}"/>
    <cellStyle name="tableau | cellule | normal | pourcentage | decimal 1 2 2 2" xfId="39029" xr:uid="{ED9FC1F7-B55A-4645-A475-287DE7DD260D}"/>
    <cellStyle name="tableau | cellule | normal | pourcentage | decimal 1 2 3" xfId="20863" xr:uid="{B702F95B-5A16-40D4-B1D3-46C0D00EE67D}"/>
    <cellStyle name="tableau | cellule | normal | pourcentage | decimal 1 2 4" xfId="20864" xr:uid="{027E3A63-862F-4D3E-8AA0-81D927259CCB}"/>
    <cellStyle name="tableau | cellule | normal | pourcentage | decimal 1 2 5" xfId="43458" xr:uid="{DE62ACA8-8AF6-4DCE-8BC2-757059185B7B}"/>
    <cellStyle name="tableau | cellule | normal | pourcentage | decimal 1 3" xfId="20865" xr:uid="{81D2D15A-8FAB-4921-995B-244A60791E60}"/>
    <cellStyle name="tableau | cellule | normal | pourcentage | decimal 1 3 2" xfId="20866" xr:uid="{2DF51F4B-6B33-448A-BDF2-ADBE2C576A84}"/>
    <cellStyle name="tableau | cellule | normal | pourcentage | decimal 1 3 3" xfId="39030" xr:uid="{A2455A8A-6CEA-4054-B6FF-7A128A7EAD29}"/>
    <cellStyle name="tableau | cellule | normal | pourcentage | decimal 1 3 4" xfId="43459" xr:uid="{17F82BB0-1216-4ABA-8122-446D1253D5B0}"/>
    <cellStyle name="tableau | cellule | normal | pourcentage | decimal 1 4" xfId="20867" xr:uid="{149E8157-0059-4DEC-A543-F575138A6537}"/>
    <cellStyle name="tableau | cellule | normal | pourcentage | decimal 1 4 2" xfId="20868" xr:uid="{DDF8F8AE-26B9-4212-B4BA-3F8003838F3C}"/>
    <cellStyle name="tableau | cellule | normal | pourcentage | decimal 1 4 3" xfId="39031" xr:uid="{F3247273-3453-429C-8D0D-E69B4515AB96}"/>
    <cellStyle name="tableau | cellule | normal | pourcentage | decimal 1 5" xfId="20869" xr:uid="{573E70E5-ACAF-4A69-AA9C-C507D6B82E31}"/>
    <cellStyle name="tableau | cellule | normal | pourcentage | decimal 1 5 2" xfId="20870" xr:uid="{0E0ABB7B-1AE3-42BD-9E75-F448F8A2CF4B}"/>
    <cellStyle name="tableau | cellule | normal | pourcentage | decimal 1 5 3" xfId="39032" xr:uid="{49CC2F84-54A8-4C44-826C-1E9CF3D7E0AC}"/>
    <cellStyle name="tableau | cellule | normal | pourcentage | decimal 1 6" xfId="20871" xr:uid="{CC325A8D-C958-4A7D-BE4E-E9FDFC37DF27}"/>
    <cellStyle name="tableau | cellule | normal | pourcentage | decimal 1 6 2" xfId="20872" xr:uid="{B8D40E19-EF26-41A3-A350-5E007F4F5BEA}"/>
    <cellStyle name="tableau | cellule | normal | pourcentage | decimal 1 6 3" xfId="39033" xr:uid="{B2B2D755-C734-4534-B2BD-27526C37516F}"/>
    <cellStyle name="tableau | cellule | normal | pourcentage | decimal 1 7" xfId="20873" xr:uid="{C4E34398-E921-4A32-8CF0-DE97B29AC8C5}"/>
    <cellStyle name="tableau | cellule | normal | pourcentage | decimal 1 7 2" xfId="20874" xr:uid="{C26CDDB8-F18F-448B-BB12-0C0F23BDF7D9}"/>
    <cellStyle name="tableau | cellule | normal | pourcentage | decimal 1 7 3" xfId="39034" xr:uid="{4D48194E-9896-4962-8703-2A76AA39CD30}"/>
    <cellStyle name="tableau | cellule | normal | pourcentage | decimal 1 8" xfId="20875" xr:uid="{4BE87552-F50D-4D96-87B4-A68FB83C8F21}"/>
    <cellStyle name="tableau | cellule | normal | pourcentage | decimal 1 8 2" xfId="20876" xr:uid="{969B7FEC-1512-4127-83A3-E8D58A63E088}"/>
    <cellStyle name="tableau | cellule | normal | pourcentage | decimal 1 8 3" xfId="39035" xr:uid="{A4A978B8-8413-4DAF-9584-22AA69BC57C7}"/>
    <cellStyle name="tableau | cellule | normal | pourcentage | decimal 1 9" xfId="20877" xr:uid="{065C336A-9D44-43E4-A5D1-85E1AA5A0E22}"/>
    <cellStyle name="tableau | cellule | normal | pourcentage | decimal 1 9 2" xfId="39036" xr:uid="{E05F9507-7857-4EE9-998F-36E1E93F3794}"/>
    <cellStyle name="tableau | cellule | normal | pourcentage | decimal 1 9 3" xfId="39037" xr:uid="{D565EEEE-91C9-40D2-AE3A-2723A8717F41}"/>
    <cellStyle name="tableau | cellule | total | decimal 1" xfId="20878" xr:uid="{8498917E-EA56-4D16-9494-734BD43D1FAC}"/>
    <cellStyle name="tableau | cellule | total | decimal 1 10" xfId="20879" xr:uid="{C3F54C3F-BB40-4A9A-AD30-8136CBF35E86}"/>
    <cellStyle name="tableau | cellule | total | decimal 1 10 2" xfId="39038" xr:uid="{FBFA9766-1E25-4276-A962-762BE41F64E8}"/>
    <cellStyle name="tableau | cellule | total | decimal 1 11" xfId="39039" xr:uid="{B048FFC2-944B-4A8B-851E-D1396E22C36E}"/>
    <cellStyle name="tableau | cellule | total | decimal 1 2" xfId="20880" xr:uid="{32F587DE-9F78-4F74-8DD5-36B0FD00648D}"/>
    <cellStyle name="tableau | cellule | total | decimal 1 2 2" xfId="20881" xr:uid="{D0333531-2DDC-4C8D-A299-8A12F0E6F570}"/>
    <cellStyle name="tableau | cellule | total | decimal 1 2 2 2" xfId="39040" xr:uid="{F6763355-DE49-4B02-8556-2711A955FADF}"/>
    <cellStyle name="tableau | cellule | total | decimal 1 2 3" xfId="20882" xr:uid="{57A358C3-081C-449C-A194-1AA2FB56A82A}"/>
    <cellStyle name="tableau | cellule | total | decimal 1 2 4" xfId="20883" xr:uid="{B745E991-834A-4F91-BD10-36477586F602}"/>
    <cellStyle name="tableau | cellule | total | decimal 1 2 5" xfId="43460" xr:uid="{158D506E-9248-4A22-9B1B-BFBE012036FB}"/>
    <cellStyle name="tableau | cellule | total | decimal 1 3" xfId="20884" xr:uid="{C41A8A91-AAE4-4BE7-92D4-B7297514EB30}"/>
    <cellStyle name="tableau | cellule | total | decimal 1 3 2" xfId="20885" xr:uid="{7662B7A1-4004-444E-9A57-13BE34961FB0}"/>
    <cellStyle name="tableau | cellule | total | decimal 1 3 3" xfId="39041" xr:uid="{22C523DB-25B4-43D5-B2EF-31F39CCCE0E8}"/>
    <cellStyle name="tableau | cellule | total | decimal 1 3 4" xfId="43461" xr:uid="{ED6DFE65-C9DE-4C99-9952-FF86238EFDB6}"/>
    <cellStyle name="tableau | cellule | total | decimal 1 4" xfId="20886" xr:uid="{D56161B4-CFD0-4A6B-894E-9DD89E98823A}"/>
    <cellStyle name="tableau | cellule | total | decimal 1 4 2" xfId="20887" xr:uid="{808E11FE-DC3B-4E9D-89E2-6AB0CE93DA0C}"/>
    <cellStyle name="tableau | cellule | total | decimal 1 4 3" xfId="39042" xr:uid="{7E8A59B8-20A0-4B85-BD82-E7AAA93F2DC2}"/>
    <cellStyle name="tableau | cellule | total | decimal 1 5" xfId="20888" xr:uid="{BBE3AA1A-35D3-4C72-9A9F-A67D603E855A}"/>
    <cellStyle name="tableau | cellule | total | decimal 1 5 2" xfId="20889" xr:uid="{4787528C-25EB-457A-84C2-E8E3CC6EB85D}"/>
    <cellStyle name="tableau | cellule | total | decimal 1 5 3" xfId="39043" xr:uid="{E0E3E976-5179-415C-8E41-84E0F40232F5}"/>
    <cellStyle name="tableau | cellule | total | decimal 1 6" xfId="20890" xr:uid="{3D9B69E7-A50E-415B-9F5A-C8EAD5740810}"/>
    <cellStyle name="tableau | cellule | total | decimal 1 6 2" xfId="20891" xr:uid="{3952C6F1-BF39-446A-8757-8F1CABB9BCBD}"/>
    <cellStyle name="tableau | cellule | total | decimal 1 6 3" xfId="39044" xr:uid="{E09C80E1-C076-4D9E-87E2-8E49B18C1993}"/>
    <cellStyle name="tableau | cellule | total | decimal 1 7" xfId="20892" xr:uid="{44E8E9FD-D18D-46FD-8B46-0C924BABA609}"/>
    <cellStyle name="tableau | cellule | total | decimal 1 7 2" xfId="20893" xr:uid="{BC0ABDE8-F969-4124-8762-1A644A3F861E}"/>
    <cellStyle name="tableau | cellule | total | decimal 1 7 3" xfId="39045" xr:uid="{D09B75C1-8B77-4967-AECD-83C46008196C}"/>
    <cellStyle name="tableau | cellule | total | decimal 1 8" xfId="20894" xr:uid="{268AF68A-F180-48A0-B84A-E80AAE85D2B0}"/>
    <cellStyle name="tableau | cellule | total | decimal 1 8 2" xfId="20895" xr:uid="{505E5BAB-6D53-4038-B9E5-2827D6B0EF1B}"/>
    <cellStyle name="tableau | cellule | total | decimal 1 8 3" xfId="39046" xr:uid="{0C4E7B83-6CAF-453F-B147-F36225276121}"/>
    <cellStyle name="tableau | cellule | total | decimal 1 9" xfId="20896" xr:uid="{692416B9-3C73-4249-AA0E-C8AD28D6208C}"/>
    <cellStyle name="tableau | cellule | total | decimal 1 9 2" xfId="39047" xr:uid="{C44C9851-7AAD-45EB-9FFD-E7B5C52C3969}"/>
    <cellStyle name="tableau | cellule | total | decimal 1 9 3" xfId="39048" xr:uid="{09F70F1F-B0D7-48D8-92A1-0A691B344785}"/>
    <cellStyle name="tableau | coin superieur gauche" xfId="20897" xr:uid="{ADD643E4-167A-4C72-8804-272577657617}"/>
    <cellStyle name="tableau | coin superieur gauche 10" xfId="20898" xr:uid="{C1DB50FF-2283-487E-A1F7-0BFC1B0026AB}"/>
    <cellStyle name="tableau | coin superieur gauche 10 2" xfId="39049" xr:uid="{EEB46D6C-F88E-4CC7-9FEA-3FF8B4713B29}"/>
    <cellStyle name="tableau | coin superieur gauche 10 3" xfId="39050" xr:uid="{6A2B2754-DBFA-4CB0-8BAF-10163C6AAC4D}"/>
    <cellStyle name="tableau | coin superieur gauche 11" xfId="20899" xr:uid="{6B33CA41-F81E-4911-A6E0-0841A4802907}"/>
    <cellStyle name="tableau | coin superieur gauche 12" xfId="39051" xr:uid="{D61B1655-8E84-4A03-9DC7-AA5639A5B34B}"/>
    <cellStyle name="tableau | coin superieur gauche 2" xfId="20900" xr:uid="{467853C0-A2B1-4C3B-93D3-D15B90D8623D}"/>
    <cellStyle name="tableau | coin superieur gauche 2 2" xfId="20901" xr:uid="{646D067D-2B46-46C5-A8E3-ED17047E1443}"/>
    <cellStyle name="tableau | coin superieur gauche 2 2 2" xfId="20902" xr:uid="{AEE6F5D5-66F3-4815-B0C2-A2EC39D36B0A}"/>
    <cellStyle name="tableau | coin superieur gauche 2 3" xfId="20903" xr:uid="{2AEF9270-0255-4A24-BAF5-14EFA18A710C}"/>
    <cellStyle name="tableau | coin superieur gauche 2 3 2" xfId="39052" xr:uid="{4FC8D717-4BB8-4D95-8F88-982201E2B36A}"/>
    <cellStyle name="tableau | coin superieur gauche 2 4" xfId="20904" xr:uid="{699AC368-6B00-4F29-B504-4517B7371739}"/>
    <cellStyle name="tableau | coin superieur gauche 2 4 2" xfId="39053" xr:uid="{239EEDFC-F8A0-4D57-B5D1-A68D9C46D2FF}"/>
    <cellStyle name="tableau | coin superieur gauche 2 5" xfId="39054" xr:uid="{153FD616-4BD8-4448-BC68-D07A78ABFDC2}"/>
    <cellStyle name="tableau | coin superieur gauche 2 6" xfId="43462" xr:uid="{287AE9E3-3909-44E0-B7D6-8E925F9DF875}"/>
    <cellStyle name="tableau | coin superieur gauche 3" xfId="20905" xr:uid="{347329EB-4599-40BB-B4ED-B44392858189}"/>
    <cellStyle name="tableau | coin superieur gauche 3 2" xfId="20906" xr:uid="{E93BF108-1A7F-4881-8F13-A7A57793A714}"/>
    <cellStyle name="tableau | coin superieur gauche 3 3" xfId="39055" xr:uid="{4E16CE74-7451-4134-B38D-002E084DB571}"/>
    <cellStyle name="tableau | coin superieur gauche 3 4" xfId="43463" xr:uid="{83B63D25-DCF6-4302-8597-8809F6FC9499}"/>
    <cellStyle name="tableau | coin superieur gauche 4" xfId="20907" xr:uid="{A613C15F-06AC-47DD-B7EA-99ED63F201CD}"/>
    <cellStyle name="tableau | coin superieur gauche 4 2" xfId="20908" xr:uid="{1119660C-9368-489D-9FC6-84A38A7E291A}"/>
    <cellStyle name="tableau | coin superieur gauche 4 3" xfId="39056" xr:uid="{E6FDDC58-66CC-4DBD-81F8-237AD4750FD8}"/>
    <cellStyle name="tableau | coin superieur gauche 5" xfId="20909" xr:uid="{D4E71743-A42F-4F4E-90ED-DCF426B38E7E}"/>
    <cellStyle name="tableau | coin superieur gauche 5 2" xfId="20910" xr:uid="{3153F311-E0E8-4720-9AC4-36A9D741FA37}"/>
    <cellStyle name="tableau | coin superieur gauche 5 3" xfId="39057" xr:uid="{3FF86962-11F8-4190-B3A4-3FF1B138F161}"/>
    <cellStyle name="tableau | coin superieur gauche 6" xfId="20911" xr:uid="{D618587D-5000-4919-8CB3-4F3EFE8866DF}"/>
    <cellStyle name="tableau | coin superieur gauche 6 2" xfId="20912" xr:uid="{EEF0B5EB-9B45-477B-89F7-2D0B77E54F2E}"/>
    <cellStyle name="tableau | coin superieur gauche 6 3" xfId="39058" xr:uid="{65D28ED2-C07A-4C53-B8B0-6E24697F6810}"/>
    <cellStyle name="tableau | coin superieur gauche 7" xfId="20913" xr:uid="{ADF6886A-19BA-493E-BFA6-AF3370CB2D45}"/>
    <cellStyle name="tableau | coin superieur gauche 7 2" xfId="20914" xr:uid="{431135B8-BB4C-4A13-87B8-E198F37F4EBF}"/>
    <cellStyle name="tableau | coin superieur gauche 7 3" xfId="39059" xr:uid="{E7DCA59D-6FCD-481A-8F9D-03CA340C6D13}"/>
    <cellStyle name="tableau | coin superieur gauche 8" xfId="20915" xr:uid="{0DB3CA70-9200-4BAF-881E-DAC7EF890B28}"/>
    <cellStyle name="tableau | coin superieur gauche 8 2" xfId="20916" xr:uid="{338AAD4A-3E11-4788-8D58-300E54E824F7}"/>
    <cellStyle name="tableau | coin superieur gauche 8 3" xfId="39060" xr:uid="{5A465E93-69C7-4EFE-BCBE-FAD8FAD8C7F1}"/>
    <cellStyle name="tableau | coin superieur gauche 9" xfId="20917" xr:uid="{3A9684E8-30B4-414A-B36A-3EE45FD019BE}"/>
    <cellStyle name="tableau | coin superieur gauche 9 2" xfId="39061" xr:uid="{04068D81-9B17-4F51-98B4-5832C7F0BDA2}"/>
    <cellStyle name="tableau | coin superieur gauche 9 3" xfId="39062" xr:uid="{2F857DF3-F67F-4A99-B3E5-E21D20C11E86}"/>
    <cellStyle name="tableau | entete-colonne | series" xfId="20918" xr:uid="{8F4BC033-EE3C-49B8-9D03-B91F0CD5652E}"/>
    <cellStyle name="tableau | entete-colonne | series 10" xfId="20919" xr:uid="{4090CDC0-CA5E-4163-8DE0-8B4240FC563C}"/>
    <cellStyle name="tableau | entete-colonne | series 10 2" xfId="39063" xr:uid="{3430EA50-0E3D-4F13-A7F0-6B1C51BF9293}"/>
    <cellStyle name="tableau | entete-colonne | series 11" xfId="39064" xr:uid="{20D9B1BA-E0B2-4DDF-B047-2CE8B05E4B1E}"/>
    <cellStyle name="tableau | entete-colonne | series 12" xfId="39065" xr:uid="{2FA120BC-1896-4790-9F2B-6EFDC37B5E50}"/>
    <cellStyle name="tableau | entete-colonne | series 13" xfId="39066" xr:uid="{F3A1C86B-29D3-41FC-92B6-A7A92A943596}"/>
    <cellStyle name="tableau | entete-colonne | series 2" xfId="20920" xr:uid="{210224A2-5023-4DC2-BB52-3116A680EBFB}"/>
    <cellStyle name="tableau | entete-colonne | series 2 2" xfId="20921" xr:uid="{8BBB04BA-AA04-4968-9467-FB5486B6216F}"/>
    <cellStyle name="tableau | entete-colonne | series 2 2 2" xfId="39067" xr:uid="{68803D34-76F8-483F-AE11-8AAAE2F93CF9}"/>
    <cellStyle name="tableau | entete-colonne | series 2 2 3" xfId="39068" xr:uid="{86FBC802-E91F-46E4-9903-6D047726512F}"/>
    <cellStyle name="tableau | entete-colonne | series 2 3" xfId="20922" xr:uid="{BD049D01-60EF-4C69-B302-56E4818011DA}"/>
    <cellStyle name="tableau | entete-colonne | series 2 4" xfId="20923" xr:uid="{569B51D8-E311-4BC3-A3BF-4B4BBC5520AC}"/>
    <cellStyle name="tableau | entete-colonne | series 2 5" xfId="43464" xr:uid="{4AF3F621-D9E2-4386-AE6B-DD6F1D0785BF}"/>
    <cellStyle name="tableau | entete-colonne | series 3" xfId="20924" xr:uid="{E85290D1-7FC2-4B7B-80C0-65A54DDAF420}"/>
    <cellStyle name="tableau | entete-colonne | series 3 2" xfId="20925" xr:uid="{F11C37AC-9BB6-435A-B050-A694609FF467}"/>
    <cellStyle name="tableau | entete-colonne | series 3 3" xfId="39069" xr:uid="{3E388A8B-F43D-4A8A-9725-48649227CF54}"/>
    <cellStyle name="tableau | entete-colonne | series 3 4" xfId="39070" xr:uid="{E4E60433-30A7-4137-A843-ACD0F408E8D4}"/>
    <cellStyle name="tableau | entete-colonne | series 3 5" xfId="43465" xr:uid="{667D9C0B-3057-4C05-A49D-C5A5BD95D835}"/>
    <cellStyle name="tableau | entete-colonne | series 4" xfId="20926" xr:uid="{44E924C8-1AB4-4EA2-BAB2-EC0F71DEE3BF}"/>
    <cellStyle name="tableau | entete-colonne | series 4 2" xfId="20927" xr:uid="{5ED782AE-7EA4-4D2B-8132-0BA156A52FDA}"/>
    <cellStyle name="tableau | entete-colonne | series 4 3" xfId="39071" xr:uid="{52E5121E-746C-4B02-853E-2690A1A57561}"/>
    <cellStyle name="tableau | entete-colonne | series 4 4" xfId="39072" xr:uid="{A7F4AF91-2C0D-4B09-80C9-CDD0D5655A99}"/>
    <cellStyle name="tableau | entete-colonne | series 5" xfId="20928" xr:uid="{6AD159D4-82AC-4DD2-9BFA-800E33C4D63D}"/>
    <cellStyle name="tableau | entete-colonne | series 5 2" xfId="20929" xr:uid="{EFAD6046-40BD-455C-80BD-D6A87BF06087}"/>
    <cellStyle name="tableau | entete-colonne | series 5 3" xfId="39073" xr:uid="{57DBE0B2-5193-45F7-998A-F8D5AD464DC0}"/>
    <cellStyle name="tableau | entete-colonne | series 5 4" xfId="39074" xr:uid="{4EAFE44C-4799-470E-95D4-6C0A07630A61}"/>
    <cellStyle name="tableau | entete-colonne | series 6" xfId="20930" xr:uid="{678FC0FD-DD55-4EA7-842A-0FF61C287664}"/>
    <cellStyle name="tableau | entete-colonne | series 6 2" xfId="20931" xr:uid="{C4CE4ABB-BC70-4BAF-A612-3F75CC7C6A8F}"/>
    <cellStyle name="tableau | entete-colonne | series 6 3" xfId="39075" xr:uid="{958E050E-A816-47C2-81A2-740C650BEC31}"/>
    <cellStyle name="tableau | entete-colonne | series 6 4" xfId="39076" xr:uid="{7CFFF032-6A48-4762-A900-5618D50F292B}"/>
    <cellStyle name="tableau | entete-colonne | series 7" xfId="20932" xr:uid="{300E333D-38E5-4014-8CDB-AB4434145E94}"/>
    <cellStyle name="tableau | entete-colonne | series 7 2" xfId="20933" xr:uid="{C3017C44-C4CE-4D89-822E-D7D9053CFEB7}"/>
    <cellStyle name="tableau | entete-colonne | series 7 3" xfId="39077" xr:uid="{72C1D89A-20F9-487B-A2C8-CBDD9552489B}"/>
    <cellStyle name="tableau | entete-colonne | series 7 4" xfId="39078" xr:uid="{07E2DEE3-4FFD-420C-9DCC-98B191446FD0}"/>
    <cellStyle name="tableau | entete-colonne | series 8" xfId="20934" xr:uid="{183262FC-F9C4-40D4-AF1A-58203A72A606}"/>
    <cellStyle name="tableau | entete-colonne | series 8 2" xfId="20935" xr:uid="{9CFB673B-EA3F-469A-9153-64A8E608A9F9}"/>
    <cellStyle name="tableau | entete-colonne | series 8 3" xfId="39079" xr:uid="{DAA98796-D84D-44A7-903E-D4F27B2FB3F9}"/>
    <cellStyle name="tableau | entete-colonne | series 8 4" xfId="39080" xr:uid="{FADD9D40-F2C8-4E73-93B5-2006BE2A6CF1}"/>
    <cellStyle name="tableau | entete-colonne | series 9" xfId="20936" xr:uid="{93E22CC1-8111-462D-83F0-81A72800B464}"/>
    <cellStyle name="tableau | entete-colonne | series 9 2" xfId="39081" xr:uid="{BF04A83A-96EA-4E2A-AFAA-CEED06AC1F27}"/>
    <cellStyle name="tableau | entete-colonne | series 9 3" xfId="39082" xr:uid="{E3BC9B29-2875-485F-90DA-A51AD92DEB35}"/>
    <cellStyle name="tableau | entete-ligne | normal" xfId="20937" xr:uid="{435D6C00-12B4-4327-B99C-5423968B1628}"/>
    <cellStyle name="tableau | entete-ligne | normal 10" xfId="20938" xr:uid="{92A886E4-AC5C-4BCB-AF07-CEC9FA19367E}"/>
    <cellStyle name="tableau | entete-ligne | normal 10 2" xfId="39083" xr:uid="{2708BB61-2894-481A-905C-56067C035462}"/>
    <cellStyle name="tableau | entete-ligne | normal 10 3" xfId="39084" xr:uid="{F75C41D1-D1AD-4472-A728-6BE1F2D4F40E}"/>
    <cellStyle name="tableau | entete-ligne | normal 11" xfId="39085" xr:uid="{B1F4D42D-BBDF-4F57-AB33-99E0086A2EEA}"/>
    <cellStyle name="tableau | entete-ligne | normal 12" xfId="39086" xr:uid="{C215DF5C-1D21-40CA-9B0F-D512230AB976}"/>
    <cellStyle name="tableau | entete-ligne | normal 13" xfId="39087" xr:uid="{C94CB2BA-B0B4-4585-BF15-1FFB5F87C3E0}"/>
    <cellStyle name="tableau | entete-ligne | normal 2" xfId="20939" xr:uid="{A6FE43D2-2C37-425D-86DD-F2ED8148C443}"/>
    <cellStyle name="tableau | entete-ligne | normal 2 2" xfId="20940" xr:uid="{874CE912-C132-4B3D-93BC-5299C8A4A5E4}"/>
    <cellStyle name="tableau | entete-ligne | normal 2 2 2" xfId="39088" xr:uid="{E16444FA-5FBA-4749-8E81-EF6197CABBF5}"/>
    <cellStyle name="tableau | entete-ligne | normal 2 2 3" xfId="39089" xr:uid="{D446354F-6DB7-40BC-8130-EA778E672DC5}"/>
    <cellStyle name="tableau | entete-ligne | normal 2 3" xfId="20941" xr:uid="{81DFBC01-F0DB-4D92-88AB-08A9336238C1}"/>
    <cellStyle name="tableau | entete-ligne | normal 2 3 2" xfId="39090" xr:uid="{B4EB9868-5055-4B7A-B2EE-52E50D4B8060}"/>
    <cellStyle name="tableau | entete-ligne | normal 2 4" xfId="20942" xr:uid="{FC5C4D15-2C71-4640-99D3-97A4A782C241}"/>
    <cellStyle name="tableau | entete-ligne | normal 2 5" xfId="39091" xr:uid="{81F7D788-4417-4ADA-BB66-19B5206322DD}"/>
    <cellStyle name="tableau | entete-ligne | normal 2 6" xfId="43466" xr:uid="{60030AB4-2820-4611-B1C5-DF18FE3A5228}"/>
    <cellStyle name="tableau | entete-ligne | normal 3" xfId="20943" xr:uid="{ED3DE146-A5BA-4681-9C56-61243B27A855}"/>
    <cellStyle name="tableau | entete-ligne | normal 3 2" xfId="20944" xr:uid="{D4F34753-F40C-459A-849A-8EABB50405BA}"/>
    <cellStyle name="tableau | entete-ligne | normal 3 3" xfId="39092" xr:uid="{AD601179-71B7-4047-AE42-38F230B4FCD7}"/>
    <cellStyle name="tableau | entete-ligne | normal 3 4" xfId="39093" xr:uid="{E6921DDE-9518-40BE-9087-E69F3155BEA7}"/>
    <cellStyle name="tableau | entete-ligne | normal 3 5" xfId="43467" xr:uid="{7088C15F-CF10-4D40-807A-963C0FB405E9}"/>
    <cellStyle name="tableau | entete-ligne | normal 4" xfId="20945" xr:uid="{E22C9174-3CCC-4F3B-80CF-86DF05F741C7}"/>
    <cellStyle name="tableau | entete-ligne | normal 4 2" xfId="20946" xr:uid="{CBA4915A-C66C-4943-943B-B8F57B536BEA}"/>
    <cellStyle name="tableau | entete-ligne | normal 4 3" xfId="39094" xr:uid="{2D3B42F0-2065-4800-87E8-5CF7080A0A94}"/>
    <cellStyle name="tableau | entete-ligne | normal 4 4" xfId="39095" xr:uid="{DE6A1CC9-B6B7-4B04-AB0C-8DE4B8A435E8}"/>
    <cellStyle name="tableau | entete-ligne | normal 5" xfId="20947" xr:uid="{0DB8697F-999C-47F4-A750-65CCB384B5D4}"/>
    <cellStyle name="tableau | entete-ligne | normal 5 2" xfId="20948" xr:uid="{D34C53E6-BA8F-4D5F-8926-2B3BFC6D3218}"/>
    <cellStyle name="tableau | entete-ligne | normal 5 3" xfId="39096" xr:uid="{5BFBF05D-A4AC-4FB0-90C7-B9FD94AFFDC6}"/>
    <cellStyle name="tableau | entete-ligne | normal 5 4" xfId="39097" xr:uid="{9F54D6FD-15E7-4A79-B36B-04414E24F1EA}"/>
    <cellStyle name="tableau | entete-ligne | normal 6" xfId="20949" xr:uid="{8F738FE4-8A34-4491-B8B5-5B59B45EED8E}"/>
    <cellStyle name="tableau | entete-ligne | normal 6 2" xfId="20950" xr:uid="{0790BE52-BCFB-419D-BF24-F01A391F6A88}"/>
    <cellStyle name="tableau | entete-ligne | normal 6 3" xfId="39098" xr:uid="{59AC1EDF-8D74-4AAA-9C7C-A3E1A31DBC2F}"/>
    <cellStyle name="tableau | entete-ligne | normal 6 4" xfId="39099" xr:uid="{0E04F25B-D9DD-425A-AC2E-C9D4F7BE7E0C}"/>
    <cellStyle name="tableau | entete-ligne | normal 7" xfId="20951" xr:uid="{3E7D39D1-6724-430D-A4BC-CDE227EABCC6}"/>
    <cellStyle name="tableau | entete-ligne | normal 7 2" xfId="20952" xr:uid="{74124AF7-1B67-4AB6-BEE6-691589C26B72}"/>
    <cellStyle name="tableau | entete-ligne | normal 7 3" xfId="39100" xr:uid="{E21565DB-6DDA-478B-8946-4B15B768C039}"/>
    <cellStyle name="tableau | entete-ligne | normal 7 4" xfId="39101" xr:uid="{283A1D3C-D6DF-40CF-B702-FD5EDAB52EEB}"/>
    <cellStyle name="tableau | entete-ligne | normal 8" xfId="20953" xr:uid="{49B33FD2-217F-441B-9B40-10F8E1F0E6A3}"/>
    <cellStyle name="tableau | entete-ligne | normal 8 2" xfId="20954" xr:uid="{6C9A8EAE-CEB7-4C1C-B64D-C3F052FF9F9A}"/>
    <cellStyle name="tableau | entete-ligne | normal 8 3" xfId="39102" xr:uid="{2A9A10E8-9BD6-4F13-AFAC-1D10DC46A437}"/>
    <cellStyle name="tableau | entete-ligne | normal 8 4" xfId="39103" xr:uid="{CAFDE2E6-D63B-4D17-B7F0-286C5A52A6B1}"/>
    <cellStyle name="tableau | entete-ligne | normal 9" xfId="20955" xr:uid="{F25B7342-67DE-4BEF-98A8-8A1AA42DB7CC}"/>
    <cellStyle name="tableau | entete-ligne | normal 9 2" xfId="39104" xr:uid="{060E28F0-5BDD-4AFB-ADEC-43BE2B1BA0A5}"/>
    <cellStyle name="tableau | entete-ligne | normal 9 3" xfId="39105" xr:uid="{C712F864-DD26-4B94-93EE-2152C600EDA1}"/>
    <cellStyle name="tableau | entete-ligne | total" xfId="20956" xr:uid="{0EB6E7CC-D4B3-47EF-A8E6-6C8D44AEC497}"/>
    <cellStyle name="tableau | entete-ligne | total 10" xfId="20957" xr:uid="{A3016F90-5992-411B-AB84-B9EC18DC9899}"/>
    <cellStyle name="tableau | entete-ligne | total 10 2" xfId="39106" xr:uid="{D3EA0939-1907-43C7-82ED-F9A864655E28}"/>
    <cellStyle name="tableau | entete-ligne | total 11" xfId="39107" xr:uid="{C231D3E8-C2FE-42EE-AF5D-52D48FF9991C}"/>
    <cellStyle name="tableau | entete-ligne | total 12" xfId="39108" xr:uid="{2DEAB971-105D-4901-B3AF-E95540D1EDE9}"/>
    <cellStyle name="tableau | entete-ligne | total 13" xfId="39109" xr:uid="{7315F76B-5C83-4F15-8BE6-39ABF190F1CD}"/>
    <cellStyle name="tableau | entete-ligne | total 2" xfId="20958" xr:uid="{89A8D8BE-FFCC-49F7-B48C-DCB0A1A0FADF}"/>
    <cellStyle name="tableau | entete-ligne | total 2 2" xfId="20959" xr:uid="{BFD01AED-D927-4F41-AE3B-E644756A5D49}"/>
    <cellStyle name="tableau | entete-ligne | total 2 2 2" xfId="39110" xr:uid="{902E0900-D06B-49BC-A7B7-1B0D130F8CCE}"/>
    <cellStyle name="tableau | entete-ligne | total 2 2 3" xfId="39111" xr:uid="{7E037D0C-5D4E-4D6C-A8DE-8113F7D4699A}"/>
    <cellStyle name="tableau | entete-ligne | total 2 3" xfId="20960" xr:uid="{E7477944-8A71-495C-9C3E-35DF95F9523F}"/>
    <cellStyle name="tableau | entete-ligne | total 2 4" xfId="20961" xr:uid="{E26203C9-D4FC-47AD-8BE1-42F00C3710CD}"/>
    <cellStyle name="tableau | entete-ligne | total 2 5" xfId="43468" xr:uid="{C4EE47C3-DC9D-4F65-A591-B904CFDF52A8}"/>
    <cellStyle name="tableau | entete-ligne | total 3" xfId="20962" xr:uid="{7B136499-14D9-4FB3-B568-5B317C6F47EB}"/>
    <cellStyle name="tableau | entete-ligne | total 3 2" xfId="20963" xr:uid="{ED5C0332-36AB-4779-AD25-E848E1544788}"/>
    <cellStyle name="tableau | entete-ligne | total 3 3" xfId="39112" xr:uid="{FDDB3814-8481-4F16-AD19-7734013A51CD}"/>
    <cellStyle name="tableau | entete-ligne | total 3 4" xfId="39113" xr:uid="{79E9B9E5-5FA3-4AF2-9529-8B90C36FDD44}"/>
    <cellStyle name="tableau | entete-ligne | total 3 5" xfId="43469" xr:uid="{E5FD5D24-016A-4F4E-AC1C-5C12A5A3132F}"/>
    <cellStyle name="tableau | entete-ligne | total 4" xfId="20964" xr:uid="{A62A62BC-2ED7-4F41-9FA7-B9AD31322A98}"/>
    <cellStyle name="tableau | entete-ligne | total 4 2" xfId="20965" xr:uid="{2E1A8D85-9947-4CD7-9370-39BCF98A54AE}"/>
    <cellStyle name="tableau | entete-ligne | total 4 3" xfId="39114" xr:uid="{21C280B4-B70F-4B86-A08C-AB296DBCD4F5}"/>
    <cellStyle name="tableau | entete-ligne | total 4 4" xfId="39115" xr:uid="{17A5FCB3-EC96-40EB-93FF-07CF9AFBC114}"/>
    <cellStyle name="tableau | entete-ligne | total 5" xfId="20966" xr:uid="{C9182E48-16EA-4A96-9846-863A8C7A2261}"/>
    <cellStyle name="tableau | entete-ligne | total 5 2" xfId="20967" xr:uid="{D9501605-6C4A-4F91-84C4-580DBA2AFFFB}"/>
    <cellStyle name="tableau | entete-ligne | total 5 3" xfId="39116" xr:uid="{F9778439-AC95-4026-B877-0333C1BB0EDE}"/>
    <cellStyle name="tableau | entete-ligne | total 5 4" xfId="39117" xr:uid="{8554AD2A-9318-4A00-B15D-A429D67127F6}"/>
    <cellStyle name="tableau | entete-ligne | total 6" xfId="20968" xr:uid="{BCC88962-B211-4031-BB91-12FCC4FAFD35}"/>
    <cellStyle name="tableau | entete-ligne | total 6 2" xfId="20969" xr:uid="{273AF24F-E4D8-46B3-BFE4-687D2BF1F0FD}"/>
    <cellStyle name="tableau | entete-ligne | total 6 3" xfId="39118" xr:uid="{57952626-68F2-4164-A9AD-A91B5E7FD739}"/>
    <cellStyle name="tableau | entete-ligne | total 6 4" xfId="39119" xr:uid="{A696E5DD-C981-4CD0-A7D1-6723575B153C}"/>
    <cellStyle name="tableau | entete-ligne | total 7" xfId="20970" xr:uid="{852899E8-0830-481E-B8D5-E5BC2661EC18}"/>
    <cellStyle name="tableau | entete-ligne | total 7 2" xfId="20971" xr:uid="{BA3D889F-19FE-423A-AB90-B57E65D0AEBB}"/>
    <cellStyle name="tableau | entete-ligne | total 7 3" xfId="39120" xr:uid="{2A1D0FDD-BEBE-498C-B8DD-3138D548D611}"/>
    <cellStyle name="tableau | entete-ligne | total 7 4" xfId="39121" xr:uid="{DBB9422D-54B4-45B9-B0F9-C79196CF88B3}"/>
    <cellStyle name="tableau | entete-ligne | total 8" xfId="20972" xr:uid="{E50E6F16-9000-4711-9E41-529F2839224B}"/>
    <cellStyle name="tableau | entete-ligne | total 8 2" xfId="20973" xr:uid="{D88DDBD3-65C8-489B-8B73-68A2D5DC0B76}"/>
    <cellStyle name="tableau | entete-ligne | total 8 3" xfId="39122" xr:uid="{B48336D3-E665-428C-B42D-36CE79F6342D}"/>
    <cellStyle name="tableau | entete-ligne | total 8 4" xfId="39123" xr:uid="{60CCFC0C-2EF0-4CA2-BA9D-C62DFB976218}"/>
    <cellStyle name="tableau | entete-ligne | total 9" xfId="20974" xr:uid="{047788C2-76B2-4210-8859-D6E2705CCEDE}"/>
    <cellStyle name="tableau | entete-ligne | total 9 2" xfId="39124" xr:uid="{13182D5E-945A-4472-A87E-71A366EFE8C5}"/>
    <cellStyle name="tableau | entete-ligne | total 9 3" xfId="39125" xr:uid="{4054E3F2-3C6D-406E-814B-25F257F2F4F9}"/>
    <cellStyle name="tableau | ligne-titre | niveau1" xfId="20975" xr:uid="{59AAADB9-7711-4BED-B918-3DCE9AC83F99}"/>
    <cellStyle name="tableau | ligne-titre | niveau1 10" xfId="20976" xr:uid="{9DEE3138-17D9-4634-BFEA-8D5E1A4BBCFF}"/>
    <cellStyle name="tableau | ligne-titre | niveau1 10 2" xfId="39126" xr:uid="{0DC20CE7-34FB-42F6-AEF6-D65FA4261DD6}"/>
    <cellStyle name="tableau | ligne-titre | niveau1 11" xfId="39127" xr:uid="{BA9D007E-3F36-4B3B-BFF7-7260008D0A08}"/>
    <cellStyle name="tableau | ligne-titre | niveau1 12" xfId="39128" xr:uid="{8C422627-5CC1-4A03-9C47-25C8BF7CFE5D}"/>
    <cellStyle name="tableau | ligne-titre | niveau1 13" xfId="39129" xr:uid="{FD307507-77AA-4BA7-8C2C-3DBF4B1D0F60}"/>
    <cellStyle name="tableau | ligne-titre | niveau1 2" xfId="20977" xr:uid="{3BE2A647-5F4A-48AD-85BB-DEAA63A2D2CF}"/>
    <cellStyle name="tableau | ligne-titre | niveau1 2 2" xfId="20978" xr:uid="{74040058-A4CF-498C-A826-0A9BEBC62699}"/>
    <cellStyle name="tableau | ligne-titre | niveau1 2 2 2" xfId="39130" xr:uid="{12C951B9-BB5D-4843-AAB5-B9B7807FDD96}"/>
    <cellStyle name="tableau | ligne-titre | niveau1 2 2 3" xfId="39131" xr:uid="{1BAFF590-E4D0-4DCC-9178-32D707ADBE6C}"/>
    <cellStyle name="tableau | ligne-titre | niveau1 2 3" xfId="20979" xr:uid="{BBF41081-2179-4F85-A286-F34DED767FDF}"/>
    <cellStyle name="tableau | ligne-titre | niveau1 2 4" xfId="20980" xr:uid="{04474F7A-66EA-4BAE-99FD-3AC119275049}"/>
    <cellStyle name="tableau | ligne-titre | niveau1 2 5" xfId="43470" xr:uid="{30FC45FD-81F2-4230-A0FE-D7F647B86758}"/>
    <cellStyle name="tableau | ligne-titre | niveau1 3" xfId="20981" xr:uid="{1C4B85E2-CD93-4C0B-8057-7F8EA193148D}"/>
    <cellStyle name="tableau | ligne-titre | niveau1 3 2" xfId="20982" xr:uid="{0518B97B-E8BE-4169-9786-106F7B01AC9F}"/>
    <cellStyle name="tableau | ligne-titre | niveau1 3 3" xfId="39132" xr:uid="{9A84D520-60ED-4ED8-ACF4-7AD646601278}"/>
    <cellStyle name="tableau | ligne-titre | niveau1 3 4" xfId="39133" xr:uid="{8B8F06D5-F5A4-4E0F-83FC-13E834A8A7A6}"/>
    <cellStyle name="tableau | ligne-titre | niveau1 3 5" xfId="43471" xr:uid="{57E780B6-84A4-47C7-B829-C145AC795BB1}"/>
    <cellStyle name="tableau | ligne-titre | niveau1 4" xfId="20983" xr:uid="{4326896B-A961-45CD-858B-B9FFEE29F360}"/>
    <cellStyle name="tableau | ligne-titre | niveau1 4 2" xfId="20984" xr:uid="{8C7BFC65-D3C7-4C04-80B8-C6A0678FDD57}"/>
    <cellStyle name="tableau | ligne-titre | niveau1 4 3" xfId="39134" xr:uid="{1AB8B4C1-6BFF-4846-B93C-3ED4D7914C13}"/>
    <cellStyle name="tableau | ligne-titre | niveau1 4 4" xfId="39135" xr:uid="{CDDCA9F5-0EFD-47A8-A4DC-C505EA1AF3B0}"/>
    <cellStyle name="tableau | ligne-titre | niveau1 5" xfId="20985" xr:uid="{AD1331EF-C04F-4CB1-96C3-B5B8A584DC75}"/>
    <cellStyle name="tableau | ligne-titre | niveau1 5 2" xfId="20986" xr:uid="{970603DE-E83E-4B1E-A39A-045E1D2985DC}"/>
    <cellStyle name="tableau | ligne-titre | niveau1 5 3" xfId="39136" xr:uid="{870A7F44-D6D1-4923-919C-8B81CCB8D22C}"/>
    <cellStyle name="tableau | ligne-titre | niveau1 5 4" xfId="39137" xr:uid="{0C62A055-43C9-430A-8C0F-F753D489DD06}"/>
    <cellStyle name="tableau | ligne-titre | niveau1 6" xfId="20987" xr:uid="{4FD96285-6B2C-4C0A-8042-F2EEDE315883}"/>
    <cellStyle name="tableau | ligne-titre | niveau1 6 2" xfId="20988" xr:uid="{DF6647CE-8107-48DF-B4BA-33420747553C}"/>
    <cellStyle name="tableau | ligne-titre | niveau1 6 3" xfId="39138" xr:uid="{CFFD0174-4E63-4215-9368-F3CBB36E1E93}"/>
    <cellStyle name="tableau | ligne-titre | niveau1 6 4" xfId="39139" xr:uid="{3871092D-A14A-43FC-8BC8-4748CBDE368B}"/>
    <cellStyle name="tableau | ligne-titre | niveau1 7" xfId="20989" xr:uid="{33FA9F93-F5C1-483D-8D3D-F68DE154A122}"/>
    <cellStyle name="tableau | ligne-titre | niveau1 7 2" xfId="20990" xr:uid="{820DB251-2EE9-4553-90D0-0AD9378B5266}"/>
    <cellStyle name="tableau | ligne-titre | niveau1 7 3" xfId="39140" xr:uid="{66D01D6E-6239-4E36-9619-9DB1BEEB8581}"/>
    <cellStyle name="tableau | ligne-titre | niveau1 7 4" xfId="39141" xr:uid="{AC43EB76-A829-4046-A317-1416F197C434}"/>
    <cellStyle name="tableau | ligne-titre | niveau1 8" xfId="20991" xr:uid="{C35C8449-4ED3-4EC6-8CFE-3DA7017C20E7}"/>
    <cellStyle name="tableau | ligne-titre | niveau1 8 2" xfId="20992" xr:uid="{FE6B3681-E03C-48AD-9DE5-38703DD90DDD}"/>
    <cellStyle name="tableau | ligne-titre | niveau1 8 3" xfId="39142" xr:uid="{B3EC24B6-C082-4F4A-9C74-265F4F135BBE}"/>
    <cellStyle name="tableau | ligne-titre | niveau1 8 4" xfId="39143" xr:uid="{242A9D86-06E5-44EE-BD88-D648329A4081}"/>
    <cellStyle name="tableau | ligne-titre | niveau1 9" xfId="20993" xr:uid="{053DA303-90A2-4BAF-AC13-75E683D2775E}"/>
    <cellStyle name="tableau | ligne-titre | niveau1 9 2" xfId="39144" xr:uid="{5579D09F-4503-499A-8BB4-5347780EA563}"/>
    <cellStyle name="tableau | ligne-titre | niveau1 9 3" xfId="39145" xr:uid="{013CF959-D500-4D83-8D9A-2AFE5019C414}"/>
    <cellStyle name="tableau | ligne-titre | niveau2" xfId="20994" xr:uid="{4C645ABA-1FB0-42EF-9B93-BE73B659D57A}"/>
    <cellStyle name="tableau | ligne-titre | niveau2 10" xfId="20995" xr:uid="{BC375C46-F3C4-475E-9867-E2A82386D45E}"/>
    <cellStyle name="tableau | ligne-titre | niveau2 10 2" xfId="39146" xr:uid="{E99C81A1-A6D9-4197-8F54-82C7AEBC2876}"/>
    <cellStyle name="tableau | ligne-titre | niveau2 11" xfId="39147" xr:uid="{77A95ADD-4D04-4B0B-9B86-B00649CD3374}"/>
    <cellStyle name="tableau | ligne-titre | niveau2 12" xfId="39148" xr:uid="{095B8405-2ED9-4618-9148-1412C768D1E4}"/>
    <cellStyle name="tableau | ligne-titre | niveau2 13" xfId="39149" xr:uid="{277F3AB2-D8AD-458E-96BD-5D8902269535}"/>
    <cellStyle name="tableau | ligne-titre | niveau2 2" xfId="20996" xr:uid="{CBC81E9C-C7B7-4EF0-8C55-B4D0C460934A}"/>
    <cellStyle name="tableau | ligne-titre | niveau2 2 2" xfId="20997" xr:uid="{97A328C5-BC30-4D55-B834-615D0392D589}"/>
    <cellStyle name="tableau | ligne-titre | niveau2 2 2 2" xfId="39150" xr:uid="{75D37A1F-6CBB-411E-A857-0B83A8AE2570}"/>
    <cellStyle name="tableau | ligne-titre | niveau2 2 2 3" xfId="39151" xr:uid="{3A25C9EE-C16D-4D25-ABCC-C8D805CAB014}"/>
    <cellStyle name="tableau | ligne-titre | niveau2 2 3" xfId="20998" xr:uid="{23580B78-6356-483C-A768-01D5D03F1096}"/>
    <cellStyle name="tableau | ligne-titre | niveau2 2 4" xfId="20999" xr:uid="{2A48A076-6F46-4B19-8731-11A14D2688A1}"/>
    <cellStyle name="tableau | ligne-titre | niveau2 2 5" xfId="43472" xr:uid="{1B12268F-56E8-4293-BA6D-8DA5F220A530}"/>
    <cellStyle name="tableau | ligne-titre | niveau2 3" xfId="21000" xr:uid="{6F0C0636-F4C5-4199-BC57-454C3E0F09ED}"/>
    <cellStyle name="tableau | ligne-titre | niveau2 3 2" xfId="21001" xr:uid="{83F66B08-D9BE-4D93-84A1-3BE5D75246F7}"/>
    <cellStyle name="tableau | ligne-titre | niveau2 3 3" xfId="39152" xr:uid="{072684DD-B319-4D1A-A195-C9ED51CC833F}"/>
    <cellStyle name="tableau | ligne-titre | niveau2 3 4" xfId="39153" xr:uid="{68BA941E-2D0D-483A-B967-87A4F0F30F7C}"/>
    <cellStyle name="tableau | ligne-titre | niveau2 3 5" xfId="43473" xr:uid="{3872F272-9BBA-4D7D-B5D9-FAA1B0EC4EC4}"/>
    <cellStyle name="tableau | ligne-titre | niveau2 4" xfId="21002" xr:uid="{6FCEC3FC-D45A-417A-9653-1EED99EDD427}"/>
    <cellStyle name="tableau | ligne-titre | niveau2 4 2" xfId="21003" xr:uid="{E698C9C2-D792-4629-A096-9B814257C2F6}"/>
    <cellStyle name="tableau | ligne-titre | niveau2 4 3" xfId="39154" xr:uid="{C67780E6-E7BC-45FC-8E36-B50F36AA7C95}"/>
    <cellStyle name="tableau | ligne-titre | niveau2 4 4" xfId="39155" xr:uid="{275D007A-2F9C-4465-B58F-DBBB83D4BC46}"/>
    <cellStyle name="tableau | ligne-titre | niveau2 5" xfId="21004" xr:uid="{07D7A9AB-9DB3-4901-B8D0-5E7D277065D7}"/>
    <cellStyle name="tableau | ligne-titre | niveau2 5 2" xfId="21005" xr:uid="{3A218E8F-EB0B-4967-A678-1CAA5671E017}"/>
    <cellStyle name="tableau | ligne-titre | niveau2 5 3" xfId="39156" xr:uid="{6DD159B4-4B62-467E-A196-21E38EEFFC81}"/>
    <cellStyle name="tableau | ligne-titre | niveau2 5 4" xfId="39157" xr:uid="{8A0169E6-2E8E-4601-8E3E-36B2EA19AF87}"/>
    <cellStyle name="tableau | ligne-titre | niveau2 6" xfId="21006" xr:uid="{0695EF54-B363-4DC6-831B-A25EB26EEBBC}"/>
    <cellStyle name="tableau | ligne-titre | niveau2 6 2" xfId="21007" xr:uid="{79208482-23A2-43B1-BB75-109DC61CBFA5}"/>
    <cellStyle name="tableau | ligne-titre | niveau2 6 3" xfId="39158" xr:uid="{1BE7A55F-AB75-406B-80E9-3B6429064FA2}"/>
    <cellStyle name="tableau | ligne-titre | niveau2 6 4" xfId="39159" xr:uid="{8414799A-AE7F-490E-9C60-DF889ADAD701}"/>
    <cellStyle name="tableau | ligne-titre | niveau2 7" xfId="21008" xr:uid="{EA8D67D0-C398-4F31-B32E-AEA9EED43A02}"/>
    <cellStyle name="tableau | ligne-titre | niveau2 7 2" xfId="21009" xr:uid="{23CEE70A-88CC-448B-A8E7-73E5D49A88F9}"/>
    <cellStyle name="tableau | ligne-titre | niveau2 7 3" xfId="39160" xr:uid="{B77B0018-3C93-43E2-837C-6C13BDB92634}"/>
    <cellStyle name="tableau | ligne-titre | niveau2 7 4" xfId="39161" xr:uid="{0867D487-EEAC-4FA5-BB12-A158A033D63E}"/>
    <cellStyle name="tableau | ligne-titre | niveau2 8" xfId="21010" xr:uid="{7E32B9F5-C31B-4B48-A710-7F02F65B41CF}"/>
    <cellStyle name="tableau | ligne-titre | niveau2 8 2" xfId="21011" xr:uid="{A1EE289C-1EB1-4228-B6BC-0BE31059E2F5}"/>
    <cellStyle name="tableau | ligne-titre | niveau2 8 3" xfId="39162" xr:uid="{E1C58CBC-D64A-48AD-B5A8-ADD9C656D73F}"/>
    <cellStyle name="tableau | ligne-titre | niveau2 8 4" xfId="39163" xr:uid="{BA3F49D8-CC32-419A-B593-415D30545389}"/>
    <cellStyle name="tableau | ligne-titre | niveau2 9" xfId="21012" xr:uid="{A85B2EC9-FD8A-48BA-A571-F38ED85AF223}"/>
    <cellStyle name="tableau | ligne-titre | niveau2 9 2" xfId="39164" xr:uid="{1E0C4B37-D3F7-4EB3-A5C5-D6A1AEFA7EF3}"/>
    <cellStyle name="tableau | ligne-titre | niveau2 9 3" xfId="39165" xr:uid="{F0E0607C-0F6C-4600-BCC1-2C368F03D2D5}"/>
    <cellStyle name="Tabref" xfId="21013" xr:uid="{AF322E0E-0EA0-4187-A155-8FA88869DF60}"/>
    <cellStyle name="Testo avviso" xfId="69" xr:uid="{B4D325D0-4CA8-4233-9E34-5AE408DDBE88}"/>
    <cellStyle name="Texte explicatif" xfId="21015" xr:uid="{87B21B14-9DA1-4FC7-8741-38995442D588}"/>
    <cellStyle name="Title" xfId="21322" builtinId="15" customBuiltin="1"/>
    <cellStyle name="Title 10" xfId="21016" xr:uid="{0972E7E0-1231-4D1F-B06B-2AFBCFA37023}"/>
    <cellStyle name="Title 10 2" xfId="21017" xr:uid="{E25A8792-D61C-48DC-924E-EAB867C4BED0}"/>
    <cellStyle name="Title 10 2 2" xfId="21018" xr:uid="{9FD0A5CD-AE6B-408D-81AB-23E1E22DDF18}"/>
    <cellStyle name="Title 10 2 3" xfId="39166" xr:uid="{3028D189-F0C1-4F82-86F5-A50D0DD30695}"/>
    <cellStyle name="Title 10 3" xfId="21019" xr:uid="{D8994002-7C49-4729-BA47-EBEF755B72CF}"/>
    <cellStyle name="Title 10 3 2" xfId="39167" xr:uid="{E93AD114-D854-4617-A73D-A2F1C36BC777}"/>
    <cellStyle name="Title 10 3 3" xfId="39168" xr:uid="{6C6D0922-B0FB-4278-9DA1-038A5C509592}"/>
    <cellStyle name="Title 10 4" xfId="21020" xr:uid="{8E81F41B-3EB3-4366-8C74-5AB4BA67A54E}"/>
    <cellStyle name="Title 10 5" xfId="39169" xr:uid="{50E53A52-DAD8-4208-9A54-9A70EA4B4331}"/>
    <cellStyle name="Title 10 5 2" xfId="39170" xr:uid="{C973564A-D3BD-4709-B723-78242E231A80}"/>
    <cellStyle name="Title 10 5 3" xfId="39171" xr:uid="{AD4AE4DE-073F-4C01-AE46-9CE6804E703A}"/>
    <cellStyle name="Title 10 6" xfId="39172" xr:uid="{A78704AF-15E6-4547-AFAD-C6B4DB61F6C3}"/>
    <cellStyle name="Title 11" xfId="39173" xr:uid="{C770DF21-A785-48E5-A1CB-0A8DBD9DBA5D}"/>
    <cellStyle name="Title 12" xfId="39174" xr:uid="{F6C07A0F-FCA8-4F2F-A208-E5BE735FCD14}"/>
    <cellStyle name="Title 13" xfId="39175" xr:uid="{F0E5903A-4737-4B59-87B6-6DF3C5CF9585}"/>
    <cellStyle name="Title 14" xfId="39176" xr:uid="{7E5CAB69-0710-4EAB-B561-91F7986D8A0F}"/>
    <cellStyle name="Title 15" xfId="39177" xr:uid="{26DE590A-4FA9-4656-816F-CD95D2C3B327}"/>
    <cellStyle name="Title 16" xfId="39178" xr:uid="{D99694F5-6EC1-44F0-9260-2E050A488E40}"/>
    <cellStyle name="Title 17" xfId="39179" xr:uid="{E72EC603-0458-4ADD-9E64-E10914222C2E}"/>
    <cellStyle name="Title 18" xfId="39180" xr:uid="{AE716E47-F23E-43C3-9BB0-B9F47440BAC1}"/>
    <cellStyle name="Title 19" xfId="39181" xr:uid="{DFA4C956-2D0F-43DD-A6C8-B342586769B8}"/>
    <cellStyle name="Title 2" xfId="21021" xr:uid="{9E198DE8-F4CB-4AEE-9F33-3EBAF1B7680A}"/>
    <cellStyle name="Title 2 10" xfId="21022" xr:uid="{BB38157C-0841-4AF5-A763-72685CCE1751}"/>
    <cellStyle name="Title 2 10 2" xfId="21023" xr:uid="{44E352B9-0032-452C-A4E4-FDF34014E48D}"/>
    <cellStyle name="Title 2 10 2 2" xfId="21024" xr:uid="{95A7D85C-3D24-413E-9789-ADBBFF6D76FE}"/>
    <cellStyle name="Title 2 10 2 3" xfId="39182" xr:uid="{4519C9BA-441E-4EE2-B2E7-A7671200CF29}"/>
    <cellStyle name="Title 2 10 3" xfId="21025" xr:uid="{6809CEF1-907F-466E-97FD-EECE15962FB2}"/>
    <cellStyle name="Title 2 10 3 2" xfId="39183" xr:uid="{A3F990F5-444F-47B5-9DB8-078123E539F8}"/>
    <cellStyle name="Title 2 10 3 3" xfId="39184" xr:uid="{5EDBAB16-46EC-4126-848A-47F20CEB9EA9}"/>
    <cellStyle name="Title 2 10 4" xfId="21026" xr:uid="{86BD8124-7BC3-4D7B-8A22-79151D3B0D5A}"/>
    <cellStyle name="Title 2 10 5" xfId="21027" xr:uid="{81798E18-5143-404A-BA35-732F7C042EA7}"/>
    <cellStyle name="Title 2 10 6" xfId="39185" xr:uid="{E81E2784-CF63-4695-A255-FA614C1A103A}"/>
    <cellStyle name="Title 2 10 6 2" xfId="39186" xr:uid="{4D50E1FD-A6B5-4556-8549-5BBD9547AE53}"/>
    <cellStyle name="Title 2 10 6 3" xfId="39187" xr:uid="{A8B20A69-7651-43A0-B129-4F3C7A590922}"/>
    <cellStyle name="Title 2 10 7" xfId="39188" xr:uid="{003E21E9-B7BD-49BE-B8C0-FBED44619C23}"/>
    <cellStyle name="Title 2 11" xfId="21028" xr:uid="{DD6CEC22-093D-47F2-BCA0-556C67D4BC52}"/>
    <cellStyle name="Title 2 11 2" xfId="21029" xr:uid="{BF3FF9D0-01D1-494C-814D-F961A698F8E2}"/>
    <cellStyle name="Title 2 11 2 2" xfId="21030" xr:uid="{169D6FAB-11FC-4406-8493-C951D4325EF0}"/>
    <cellStyle name="Title 2 11 2 3" xfId="39189" xr:uid="{D17710CB-993B-4AD4-9E88-E186DDD6CF1B}"/>
    <cellStyle name="Title 2 11 3" xfId="21031" xr:uid="{344D6518-F018-49A1-998B-5C302CD6C939}"/>
    <cellStyle name="Title 2 11 3 2" xfId="39190" xr:uid="{EDF29AD2-FC3D-4225-92E5-2CA067F57511}"/>
    <cellStyle name="Title 2 11 3 3" xfId="39191" xr:uid="{27797696-1A03-4463-904F-A54C7D63B3FF}"/>
    <cellStyle name="Title 2 11 4" xfId="21032" xr:uid="{7D789870-F9A7-40AE-851B-BEC8FC589D15}"/>
    <cellStyle name="Title 2 11 5" xfId="39192" xr:uid="{C2E38E2B-D5D8-4C0C-861F-B6448227D483}"/>
    <cellStyle name="Title 2 11 5 2" xfId="39193" xr:uid="{07C5DEE3-AC14-4EE2-80CF-B6E739EEE39D}"/>
    <cellStyle name="Title 2 11 5 3" xfId="39194" xr:uid="{F9817737-1D61-4857-ADEC-0186FCE6C8DC}"/>
    <cellStyle name="Title 2 11 6" xfId="39195" xr:uid="{EDE25695-5187-4790-AF49-C644FE1B8428}"/>
    <cellStyle name="Title 2 12" xfId="21033" xr:uid="{83726F45-4BA7-46F1-AE16-C14BE676EDBC}"/>
    <cellStyle name="Title 2 12 2" xfId="21034" xr:uid="{7F110EF1-0274-48F8-A8DA-CE74FFEA0F2E}"/>
    <cellStyle name="Title 2 12 3" xfId="39196" xr:uid="{573B0252-8612-402A-80F5-40D39D255704}"/>
    <cellStyle name="Title 2 13" xfId="21035" xr:uid="{DC6F6829-03B9-44A9-BC72-84B7AEB4B14D}"/>
    <cellStyle name="Title 2 13 2" xfId="39197" xr:uid="{63484A3B-AA83-4C50-B7F5-1F421F679F96}"/>
    <cellStyle name="Title 2 13 3" xfId="39198" xr:uid="{614E36EB-23D2-49B5-9612-4AC38C488B5B}"/>
    <cellStyle name="Title 2 14" xfId="21036" xr:uid="{D8D07F15-21C0-480C-8139-7BA102758E70}"/>
    <cellStyle name="Title 2 15" xfId="21037" xr:uid="{FE4E1A2B-DB01-4D10-80D4-34CAF08073FF}"/>
    <cellStyle name="Title 2 16" xfId="39199" xr:uid="{11A21F53-EAB3-41DC-89C2-CCA29D23CA5C}"/>
    <cellStyle name="Title 2 17" xfId="39200" xr:uid="{2B276452-2172-4B4A-8B05-92D3DBDB00D1}"/>
    <cellStyle name="Title 2 18" xfId="39201" xr:uid="{34423B88-A7FF-4E2F-800F-7E8060F325B3}"/>
    <cellStyle name="Title 2 19" xfId="44152" xr:uid="{B09DA6CA-019E-44A8-A197-49B385A601F0}"/>
    <cellStyle name="Title 2 2" xfId="21038" xr:uid="{B5700C52-DB10-40DB-8B0C-8C9829DEFE4F}"/>
    <cellStyle name="Title 2 2 2" xfId="21039" xr:uid="{6A07E6ED-9D17-44FA-97A3-F100C947BD4B}"/>
    <cellStyle name="Title 2 2 2 2" xfId="21040" xr:uid="{C30802D2-2A1A-436A-BC0A-87E34934C93D}"/>
    <cellStyle name="Title 2 2 2 3" xfId="39202" xr:uid="{4F078A6C-E2A5-4174-B895-7FEC9F26A372}"/>
    <cellStyle name="Title 2 2 3" xfId="21041" xr:uid="{FDC24AC0-8666-4EE1-9178-DA042C23B171}"/>
    <cellStyle name="Title 2 2 3 2" xfId="39203" xr:uid="{FB5A2D5B-2B65-492D-8AFB-637B029265A4}"/>
    <cellStyle name="Title 2 2 3 3" xfId="39204" xr:uid="{3DAD29FE-8D5E-4D6D-80C6-B1E8452C8D23}"/>
    <cellStyle name="Title 2 2 4" xfId="21042" xr:uid="{E780AEC3-9BF3-46D4-9E33-3873C9772509}"/>
    <cellStyle name="Title 2 2 5" xfId="21043" xr:uid="{13391062-A3CF-43A6-A20F-91FFE9CC28E3}"/>
    <cellStyle name="Title 2 2 6" xfId="39205" xr:uid="{41F8419A-201A-4361-B886-5B50E7683717}"/>
    <cellStyle name="Title 2 2 6 2" xfId="39206" xr:uid="{6B44B19E-B828-45DD-BC55-60D599B64857}"/>
    <cellStyle name="Title 2 2 6 3" xfId="39207" xr:uid="{F822240F-3DB8-4082-9CA6-88F870972F73}"/>
    <cellStyle name="Title 2 2 7" xfId="39208" xr:uid="{7D6F8AC1-9234-4A0B-945C-E4E3E7CCCFA4}"/>
    <cellStyle name="Title 2 3" xfId="21044" xr:uid="{63261E12-A47C-4129-967D-28CEB4DA00ED}"/>
    <cellStyle name="Title 2 3 2" xfId="21045" xr:uid="{D6064F78-3CA4-41EB-981C-D415716C1368}"/>
    <cellStyle name="Title 2 3 2 2" xfId="21046" xr:uid="{0479CB4F-FD23-4DB4-81E4-78DFCC586E17}"/>
    <cellStyle name="Title 2 3 2 3" xfId="39209" xr:uid="{7561D678-6EFE-4835-A047-850EA5EA39ED}"/>
    <cellStyle name="Title 2 3 3" xfId="21047" xr:uid="{BCA2D0D6-8322-405D-9A39-424AC84E014A}"/>
    <cellStyle name="Title 2 3 3 2" xfId="39210" xr:uid="{EB641FC3-F1E5-4CF5-9D8E-D18F22A7223D}"/>
    <cellStyle name="Title 2 3 3 3" xfId="39211" xr:uid="{9375EE33-1637-4253-B1C0-655E52D77CFD}"/>
    <cellStyle name="Title 2 3 4" xfId="21048" xr:uid="{8222A9CB-405C-45CB-AADD-4D026D94ADE5}"/>
    <cellStyle name="Title 2 3 5" xfId="21049" xr:uid="{E623D5B1-C330-4AAA-8FAF-BE6C52B28AEF}"/>
    <cellStyle name="Title 2 3 6" xfId="39212" xr:uid="{ED52EE82-5200-4D3F-8D8A-5FEC7D0BF338}"/>
    <cellStyle name="Title 2 3 6 2" xfId="39213" xr:uid="{7055F3C8-EF02-4BBC-895C-27D7DC311AC9}"/>
    <cellStyle name="Title 2 3 6 3" xfId="39214" xr:uid="{D857BD5E-E165-42D9-8BE0-8BD05ACC168E}"/>
    <cellStyle name="Title 2 3 7" xfId="39215" xr:uid="{B053BF7D-02FF-46B9-B4FB-A33C57AFB901}"/>
    <cellStyle name="Title 2 4" xfId="21050" xr:uid="{E9F2D6B4-75BF-48EE-B0AE-31579E81D6F5}"/>
    <cellStyle name="Title 2 4 2" xfId="21051" xr:uid="{6CE747BF-FF78-4358-ADB3-FA5415823643}"/>
    <cellStyle name="Title 2 4 2 2" xfId="21052" xr:uid="{04F99B57-6B06-48ED-90B4-C153AA857D74}"/>
    <cellStyle name="Title 2 4 2 3" xfId="39216" xr:uid="{28D8E9A3-5FCA-4032-9034-5A519872AA11}"/>
    <cellStyle name="Title 2 4 3" xfId="21053" xr:uid="{640A8D6C-20A4-4DB9-A1F7-F50689474E96}"/>
    <cellStyle name="Title 2 4 3 2" xfId="39217" xr:uid="{00A34CE6-543C-4D6A-A36E-A7723E70D608}"/>
    <cellStyle name="Title 2 4 3 3" xfId="39218" xr:uid="{01472B88-5E9B-4BE6-BCBF-83FFA92936A6}"/>
    <cellStyle name="Title 2 4 4" xfId="21054" xr:uid="{5EEFC1B9-C3D0-4ABD-93A9-08F5886A6B5B}"/>
    <cellStyle name="Title 2 4 5" xfId="21055" xr:uid="{18DACA0A-8797-4137-95DE-7DE3C6B42F0E}"/>
    <cellStyle name="Title 2 4 6" xfId="39219" xr:uid="{E95390FB-D562-404F-8DCE-684A5C9BAB49}"/>
    <cellStyle name="Title 2 4 6 2" xfId="39220" xr:uid="{13CA1E15-FF72-4177-9283-02D48583985E}"/>
    <cellStyle name="Title 2 4 6 3" xfId="39221" xr:uid="{5AE0680D-DD0A-4843-89F2-CF17401949D3}"/>
    <cellStyle name="Title 2 4 7" xfId="39222" xr:uid="{17B3145E-3BA6-42E0-8B91-6FEFA1CEC9D3}"/>
    <cellStyle name="Title 2 5" xfId="21056" xr:uid="{CDA5CA0D-ED17-43D2-9B0D-80D48C1F4DCC}"/>
    <cellStyle name="Title 2 5 2" xfId="21057" xr:uid="{51022711-0EE6-44BF-8FE8-AFCCADB06270}"/>
    <cellStyle name="Title 2 5 2 2" xfId="21058" xr:uid="{3B808D25-B129-4574-81ED-ACFC184997C9}"/>
    <cellStyle name="Title 2 5 2 3" xfId="39223" xr:uid="{DA48E456-211F-40C5-86F9-3EB61AF1A2B9}"/>
    <cellStyle name="Title 2 5 3" xfId="21059" xr:uid="{F319457B-DA35-49FA-ACB8-6954E8F59C64}"/>
    <cellStyle name="Title 2 5 3 2" xfId="39224" xr:uid="{C02D9A4A-AFB7-444A-8E29-CDB198A89262}"/>
    <cellStyle name="Title 2 5 3 3" xfId="39225" xr:uid="{21743491-6B0F-4FCA-8A88-FD3F28E4DD01}"/>
    <cellStyle name="Title 2 5 4" xfId="21060" xr:uid="{1484720A-3E60-4C0F-9C62-C0C65CCB263E}"/>
    <cellStyle name="Title 2 5 5" xfId="21061" xr:uid="{657B89C3-B463-4FE7-BB30-0D0AFBF3B162}"/>
    <cellStyle name="Title 2 5 6" xfId="39226" xr:uid="{32446712-7347-4B38-A711-2A582FFF852B}"/>
    <cellStyle name="Title 2 5 6 2" xfId="39227" xr:uid="{24B2DDCA-BB1F-488A-ADF7-CAE674715040}"/>
    <cellStyle name="Title 2 5 6 3" xfId="39228" xr:uid="{5DA95CFC-1E07-4FF7-9BFA-F46248F96380}"/>
    <cellStyle name="Title 2 5 7" xfId="39229" xr:uid="{FF739E7A-E7C2-44F1-AB65-0C4B68528E7A}"/>
    <cellStyle name="Title 2 6" xfId="21062" xr:uid="{9C8A97C5-8403-4D09-B761-A2726A67F575}"/>
    <cellStyle name="Title 2 6 2" xfId="21063" xr:uid="{67F09870-F020-4E16-9415-741404C9323A}"/>
    <cellStyle name="Title 2 6 2 2" xfId="21064" xr:uid="{5C554607-AC82-489F-8835-AADD7DA3174F}"/>
    <cellStyle name="Title 2 6 2 3" xfId="39230" xr:uid="{FCB8D2BA-8098-49B5-9448-F6F8BF8657D2}"/>
    <cellStyle name="Title 2 6 3" xfId="21065" xr:uid="{F6C13470-7ADD-45E5-971E-061FC9A1FD12}"/>
    <cellStyle name="Title 2 6 3 2" xfId="39231" xr:uid="{DA8E5912-9EF1-4706-AF0E-04D6B51A9A0C}"/>
    <cellStyle name="Title 2 6 3 3" xfId="39232" xr:uid="{EB4BE383-B7B1-4050-92A6-B3BA526853F8}"/>
    <cellStyle name="Title 2 6 4" xfId="21066" xr:uid="{913B9004-BFFC-4D54-B62B-428AA2079151}"/>
    <cellStyle name="Title 2 6 5" xfId="21067" xr:uid="{33F8C403-7F41-4EA8-8A2D-841C94CEFC21}"/>
    <cellStyle name="Title 2 6 6" xfId="39233" xr:uid="{28B0A99C-A5BF-4426-B3A4-83F0E48D2C24}"/>
    <cellStyle name="Title 2 6 6 2" xfId="39234" xr:uid="{008382EC-D8DD-432A-8B47-7A4C0AAD0902}"/>
    <cellStyle name="Title 2 6 6 3" xfId="39235" xr:uid="{9E23EB8A-0EA3-418D-B53E-1D12B858AABC}"/>
    <cellStyle name="Title 2 6 7" xfId="39236" xr:uid="{12D4EDD9-5EB4-4807-AA2C-BB323675FCA7}"/>
    <cellStyle name="Title 2 7" xfId="21068" xr:uid="{CE73444C-7800-48FF-94EA-597D22A6EE01}"/>
    <cellStyle name="Title 2 7 2" xfId="21069" xr:uid="{5EB32DD8-734A-489A-B13E-174A2DB721B7}"/>
    <cellStyle name="Title 2 7 2 2" xfId="21070" xr:uid="{AB9EE52E-635A-437D-8E1C-AA2A5F730EA2}"/>
    <cellStyle name="Title 2 7 2 3" xfId="39237" xr:uid="{D9008819-B74B-46C0-B1C3-7B98DF3308B9}"/>
    <cellStyle name="Title 2 7 3" xfId="21071" xr:uid="{64CD15BD-113C-4880-A837-3EC8E57FD505}"/>
    <cellStyle name="Title 2 7 3 2" xfId="39238" xr:uid="{35D0D00C-8C4A-4441-B3CB-E182604542BF}"/>
    <cellStyle name="Title 2 7 3 3" xfId="39239" xr:uid="{032BA866-CAAA-48BE-99E7-F206F899D94A}"/>
    <cellStyle name="Title 2 7 4" xfId="21072" xr:uid="{F5490EE8-EE22-42F5-B3FE-787A8654A74D}"/>
    <cellStyle name="Title 2 7 5" xfId="21073" xr:uid="{3CDA80D0-C7F2-489C-BA1E-E3E56C9D4D48}"/>
    <cellStyle name="Title 2 7 6" xfId="39240" xr:uid="{4FD269C7-CD29-441B-A7CC-CAE9BB49CEC0}"/>
    <cellStyle name="Title 2 7 6 2" xfId="39241" xr:uid="{FD2E8AA0-4FE1-4AEF-B15D-E7751BE0BBF3}"/>
    <cellStyle name="Title 2 7 6 3" xfId="39242" xr:uid="{42E659EA-921A-4CF8-8B6F-25CDC4302BAC}"/>
    <cellStyle name="Title 2 7 7" xfId="39243" xr:uid="{8A7AB166-9E2D-44AA-B7A4-F38906D6BC2D}"/>
    <cellStyle name="Title 2 8" xfId="21074" xr:uid="{95325E22-8F84-4B41-B3A3-620F25CF443F}"/>
    <cellStyle name="Title 2 8 2" xfId="21075" xr:uid="{3EB76FE7-AA61-4C48-8BB7-43A825E2D723}"/>
    <cellStyle name="Title 2 8 2 2" xfId="21076" xr:uid="{67888926-8E00-4C59-A838-047B6A8366D4}"/>
    <cellStyle name="Title 2 8 2 3" xfId="39244" xr:uid="{CCD96D03-C57E-4F69-A63E-6BAD93DDA6C4}"/>
    <cellStyle name="Title 2 8 3" xfId="21077" xr:uid="{2A8A7E8C-C2B8-4A17-BDA0-98F9D15F62FE}"/>
    <cellStyle name="Title 2 8 3 2" xfId="39245" xr:uid="{7D714F8C-A3BE-452D-A2F8-EE804E97F771}"/>
    <cellStyle name="Title 2 8 3 3" xfId="39246" xr:uid="{2ED041F8-1808-491B-9814-7BF496E2A05B}"/>
    <cellStyle name="Title 2 8 4" xfId="21078" xr:uid="{09E76F38-FE59-42A7-8920-8C36C1CAC5DA}"/>
    <cellStyle name="Title 2 8 5" xfId="21079" xr:uid="{1360A8AE-5085-40E1-8E9C-5E77678C1242}"/>
    <cellStyle name="Title 2 8 6" xfId="39247" xr:uid="{A7A39832-60E9-4D94-90C1-17A74DDC05E5}"/>
    <cellStyle name="Title 2 8 6 2" xfId="39248" xr:uid="{583667E0-702F-47D1-B353-2ADA0CD21E92}"/>
    <cellStyle name="Title 2 8 6 3" xfId="39249" xr:uid="{F3A0B85A-76AA-451E-BA59-E458B14474C8}"/>
    <cellStyle name="Title 2 8 7" xfId="39250" xr:uid="{ACF87D6A-977D-43CE-8D2A-AF20CB434077}"/>
    <cellStyle name="Title 2 9" xfId="21080" xr:uid="{1B47775C-A6BF-4809-94C9-5190EB582099}"/>
    <cellStyle name="Title 2 9 2" xfId="21081" xr:uid="{86654FB8-63B9-4A81-975C-8C74AFB4EFAC}"/>
    <cellStyle name="Title 2 9 2 2" xfId="21082" xr:uid="{6A2449B5-0F53-4F69-8CB8-DF155350325B}"/>
    <cellStyle name="Title 2 9 2 3" xfId="39251" xr:uid="{7AB439F3-0A80-47FF-8996-839866FFA8F0}"/>
    <cellStyle name="Title 2 9 3" xfId="21083" xr:uid="{FB550E04-225C-41F5-BBAF-D9D93272EEC5}"/>
    <cellStyle name="Title 2 9 3 2" xfId="39252" xr:uid="{F66B5072-E367-472A-9C38-675F7403A654}"/>
    <cellStyle name="Title 2 9 3 3" xfId="39253" xr:uid="{F54F8EC1-8DD7-4FE7-A41F-B96FF8BF76C9}"/>
    <cellStyle name="Title 2 9 4" xfId="21084" xr:uid="{F8519853-0369-48AE-81C0-B6E6F73A2BFD}"/>
    <cellStyle name="Title 2 9 5" xfId="21085" xr:uid="{410AE49A-437D-4919-9345-EFB836C55F09}"/>
    <cellStyle name="Title 2 9 6" xfId="39254" xr:uid="{7AF98BE7-2FB6-4AB8-B681-42E0DB26BCD2}"/>
    <cellStyle name="Title 2 9 6 2" xfId="39255" xr:uid="{3B33CCC6-D554-4842-8429-A35948AD0977}"/>
    <cellStyle name="Title 2 9 6 3" xfId="39256" xr:uid="{C247106F-C875-4C52-93B9-93FC02CE019F}"/>
    <cellStyle name="Title 2 9 7" xfId="39257" xr:uid="{87530309-3409-4B93-90AC-F863EA143F23}"/>
    <cellStyle name="Title 20" xfId="39258" xr:uid="{211464E7-0E56-4E69-A418-761F3FBB279B}"/>
    <cellStyle name="Title 21" xfId="39259" xr:uid="{C03B9D1A-6B6B-4BB1-9989-ABA59EBAA816}"/>
    <cellStyle name="Title 22" xfId="39260" xr:uid="{09A33CE6-BEB9-49A3-BFDE-FB3073BD09E6}"/>
    <cellStyle name="Title 23" xfId="39261" xr:uid="{2BA9F53B-29AA-4265-BD2A-16330EB6FFB9}"/>
    <cellStyle name="Title 24" xfId="39262" xr:uid="{DB937B4B-287E-48D3-A3F6-4A9E0088F662}"/>
    <cellStyle name="Title 25" xfId="39263" xr:uid="{58088023-FF07-4EE4-80C4-1E2385C3E398}"/>
    <cellStyle name="Title 26" xfId="39264" xr:uid="{F0D24F72-1DFB-41A4-8C8F-3184FD61F664}"/>
    <cellStyle name="Title 27" xfId="39265" xr:uid="{DF155CC1-8C29-4032-B180-B99DB0000AD3}"/>
    <cellStyle name="Title 28" xfId="39266" xr:uid="{5E528495-7DD4-47ED-A171-283E3DF24109}"/>
    <cellStyle name="Title 29" xfId="39267" xr:uid="{EAE4C542-39B3-4C25-9CB3-CD18FAC81367}"/>
    <cellStyle name="Title 3" xfId="21086" xr:uid="{6C81A409-ACDB-4AF5-93C2-500782DF82FB}"/>
    <cellStyle name="Title 3 10" xfId="21087" xr:uid="{8879F3D9-703B-4EF3-AFB7-84EA860B3E42}"/>
    <cellStyle name="Title 3 10 2" xfId="21088" xr:uid="{1ACEA8FD-EABA-4276-809E-C8435F8CF7E5}"/>
    <cellStyle name="Title 3 10 2 2" xfId="21089" xr:uid="{95DDA116-2F20-4F1D-9612-1BBB74BAE52C}"/>
    <cellStyle name="Title 3 10 2 3" xfId="39268" xr:uid="{D2AB8B01-4D77-41D5-8070-63132E31B099}"/>
    <cellStyle name="Title 3 10 3" xfId="21090" xr:uid="{CF4C2E67-FAE1-472F-B35B-C9E1A07B6A16}"/>
    <cellStyle name="Title 3 10 3 2" xfId="39269" xr:uid="{C46C6849-2943-461B-B746-63B9885E5680}"/>
    <cellStyle name="Title 3 10 3 3" xfId="39270" xr:uid="{5892EAD6-3EF2-4851-B37D-4FB83ADB5558}"/>
    <cellStyle name="Title 3 10 4" xfId="21091" xr:uid="{0B2C2087-992F-42D9-AAC1-C5B501C00733}"/>
    <cellStyle name="Title 3 10 5" xfId="39271" xr:uid="{BD96CE66-A45F-4FDF-ADDF-1D545EFFAB82}"/>
    <cellStyle name="Title 3 10 5 2" xfId="39272" xr:uid="{7B48F194-8B55-4CEF-AB6D-37CBE4194555}"/>
    <cellStyle name="Title 3 10 5 3" xfId="39273" xr:uid="{0C0B0A6C-00C3-4A0E-940F-0EAAE45D62C1}"/>
    <cellStyle name="Title 3 10 6" xfId="39274" xr:uid="{EC3C8658-E9DF-410A-BC12-3F43E0784076}"/>
    <cellStyle name="Title 3 11" xfId="21092" xr:uid="{C92F50A1-38B8-412A-8996-921318F715CB}"/>
    <cellStyle name="Title 3 11 2" xfId="21093" xr:uid="{451B4E07-113A-48AB-A8EC-C456AD277FD1}"/>
    <cellStyle name="Title 3 11 2 2" xfId="21094" xr:uid="{CA418579-DF77-440F-BF4F-EB6ABAECBB3D}"/>
    <cellStyle name="Title 3 11 2 3" xfId="39275" xr:uid="{99155E0A-F891-4CE8-9F61-40D22996FA9D}"/>
    <cellStyle name="Title 3 11 3" xfId="21095" xr:uid="{A7719F87-B164-491A-8852-B5891F61C21B}"/>
    <cellStyle name="Title 3 11 3 2" xfId="39276" xr:uid="{2E186FF6-3471-46B2-AE56-A542388F6EAA}"/>
    <cellStyle name="Title 3 11 3 3" xfId="39277" xr:uid="{23236A5E-2EDB-4403-B7C3-2C0227C995C0}"/>
    <cellStyle name="Title 3 11 4" xfId="21096" xr:uid="{99068A78-CD10-41D8-865B-85105F407768}"/>
    <cellStyle name="Title 3 11 5" xfId="39278" xr:uid="{3C1333B6-1A2C-4CB8-A84B-4FAB6620BAE9}"/>
    <cellStyle name="Title 3 11 5 2" xfId="39279" xr:uid="{153C18E2-7DAA-4534-B5A0-2CB4837F42C8}"/>
    <cellStyle name="Title 3 11 5 3" xfId="39280" xr:uid="{E9DB6824-2036-4000-9D00-0FF7B087990C}"/>
    <cellStyle name="Title 3 11 6" xfId="39281" xr:uid="{C136AD47-66DD-443A-A5EF-9F4F1BCEF8FB}"/>
    <cellStyle name="Title 3 12" xfId="21097" xr:uid="{7B20418D-4B1B-4D4D-9A4F-B93D45FB65BF}"/>
    <cellStyle name="Title 3 12 2" xfId="21098" xr:uid="{D5F3252C-08B7-4429-A9A4-CA3035D1AE20}"/>
    <cellStyle name="Title 3 12 3" xfId="39282" xr:uid="{9C4FD096-8D59-4DB6-A571-E4E262082809}"/>
    <cellStyle name="Title 3 13" xfId="21099" xr:uid="{81576FEE-275C-41B3-9507-0FC7F52040B9}"/>
    <cellStyle name="Title 3 13 2" xfId="39283" xr:uid="{4527DA75-84AB-4F77-B115-8F11F695AE94}"/>
    <cellStyle name="Title 3 13 3" xfId="39284" xr:uid="{199CD6F6-66A6-478E-99AC-CE2547BF44A0}"/>
    <cellStyle name="Title 3 14" xfId="21100" xr:uid="{870F32FF-1D36-49D0-990E-9922D590F64D}"/>
    <cellStyle name="Title 3 15" xfId="21101" xr:uid="{3CE12FFE-1C56-4E7B-A683-554C0278F741}"/>
    <cellStyle name="Title 3 16" xfId="39285" xr:uid="{3CBC4E96-438A-49F0-84FB-A7E8223F6103}"/>
    <cellStyle name="Title 3 16 2" xfId="39286" xr:uid="{5C78D36B-AD06-460C-A5FE-C1862A589409}"/>
    <cellStyle name="Title 3 16 3" xfId="39287" xr:uid="{6C17DFEB-4AA6-43A3-9B52-C0AE7CC3278B}"/>
    <cellStyle name="Title 3 17" xfId="39288" xr:uid="{AB322591-84B3-4FB5-BB0A-5846999CE5F3}"/>
    <cellStyle name="Title 3 18" xfId="44209" xr:uid="{CF8FC4DF-2AE1-49E4-9A79-B501C326E986}"/>
    <cellStyle name="Title 3 2" xfId="21102" xr:uid="{F14B46C2-AFA2-417A-85A0-E81482273605}"/>
    <cellStyle name="Title 3 2 2" xfId="21103" xr:uid="{6C88545E-BC18-4D08-9D66-A3D092252DE7}"/>
    <cellStyle name="Title 3 2 2 2" xfId="21104" xr:uid="{FF4D4126-E199-4806-A50A-9A796128A599}"/>
    <cellStyle name="Title 3 2 2 3" xfId="39289" xr:uid="{528D5936-8E4B-4A32-B297-384A53525BAE}"/>
    <cellStyle name="Title 3 2 3" xfId="21105" xr:uid="{313376DE-2765-4DAC-AFA4-E870E5F090A6}"/>
    <cellStyle name="Title 3 2 3 2" xfId="39290" xr:uid="{5E2F929C-BEB0-4281-A036-6625868BC645}"/>
    <cellStyle name="Title 3 2 3 3" xfId="39291" xr:uid="{1A2F7E41-CD01-4913-989F-9F7AA41D0FAA}"/>
    <cellStyle name="Title 3 2 4" xfId="21106" xr:uid="{DC6FF2E6-979A-4D3D-8906-59F0181CDC88}"/>
    <cellStyle name="Title 3 2 5" xfId="39292" xr:uid="{E382A56D-A691-4AD6-A426-A552B3FAEDD5}"/>
    <cellStyle name="Title 3 2 5 2" xfId="39293" xr:uid="{A2FE8E68-49B7-4577-9FAE-BA665CD1EE35}"/>
    <cellStyle name="Title 3 2 5 3" xfId="39294" xr:uid="{E995734F-84E8-4CCE-8C27-45F01572A098}"/>
    <cellStyle name="Title 3 2 6" xfId="39295" xr:uid="{3280C239-F589-4158-8CE6-77B567A92D7C}"/>
    <cellStyle name="Title 3 3" xfId="21107" xr:uid="{8F129D1F-3885-4E60-8FB6-C25ED5635793}"/>
    <cellStyle name="Title 3 3 2" xfId="21108" xr:uid="{A60C99EC-E7F2-4DA9-8B6B-1D8EDA365CAC}"/>
    <cellStyle name="Title 3 3 2 2" xfId="21109" xr:uid="{34B3174E-26BF-4CF1-8413-9A97B8FE0EA9}"/>
    <cellStyle name="Title 3 3 2 3" xfId="39296" xr:uid="{B051EEB8-356F-44C3-B480-6D01C494B8F3}"/>
    <cellStyle name="Title 3 3 3" xfId="21110" xr:uid="{377FC8F3-38F1-4783-8D8E-5BC2B399B589}"/>
    <cellStyle name="Title 3 3 3 2" xfId="39297" xr:uid="{FE30EA37-3E2A-4C7B-A2A1-775C00BD21F0}"/>
    <cellStyle name="Title 3 3 3 3" xfId="39298" xr:uid="{4A0D6B93-D248-414B-99EA-1A15292B5459}"/>
    <cellStyle name="Title 3 3 4" xfId="21111" xr:uid="{478B9D44-BFFE-4473-9E56-9808FFBDDFEE}"/>
    <cellStyle name="Title 3 3 5" xfId="39299" xr:uid="{1B4CA070-DAEB-47DF-AFC2-C5FC67622F6F}"/>
    <cellStyle name="Title 3 3 5 2" xfId="39300" xr:uid="{BFAF2AA8-4567-41D0-A0B2-2F8DB24B0733}"/>
    <cellStyle name="Title 3 3 5 3" xfId="39301" xr:uid="{C52F9432-55F7-40FD-A23B-4B2636B9EDE6}"/>
    <cellStyle name="Title 3 3 6" xfId="39302" xr:uid="{613D3645-23B1-4B11-8770-2CD78C8F34B8}"/>
    <cellStyle name="Title 3 4" xfId="21112" xr:uid="{A5E1942E-E6BC-4AEE-B408-ED7FCC2C74B9}"/>
    <cellStyle name="Title 3 4 2" xfId="21113" xr:uid="{D0157504-E4A4-4E02-AE1B-46F64F9EB44B}"/>
    <cellStyle name="Title 3 4 2 2" xfId="21114" xr:uid="{62368ED4-853E-4D72-9926-680DD8A63E4E}"/>
    <cellStyle name="Title 3 4 2 3" xfId="39303" xr:uid="{2E867E3A-FF83-4CDF-AB79-F0CC616072E2}"/>
    <cellStyle name="Title 3 4 3" xfId="21115" xr:uid="{EE7BE383-686C-4400-83BA-B212C4B72062}"/>
    <cellStyle name="Title 3 4 3 2" xfId="39304" xr:uid="{2AB8AA31-03AA-4C8C-AB0E-6B14F0F3CB38}"/>
    <cellStyle name="Title 3 4 3 3" xfId="39305" xr:uid="{D18C4F8C-3CAD-4B73-A3B7-3AC7DFAF4A66}"/>
    <cellStyle name="Title 3 4 4" xfId="21116" xr:uid="{E32C0A16-4F30-4C2A-BAAA-04018DEE0533}"/>
    <cellStyle name="Title 3 4 5" xfId="39306" xr:uid="{259F4483-E880-489B-A120-0A0092B31986}"/>
    <cellStyle name="Title 3 4 5 2" xfId="39307" xr:uid="{C5173369-46D0-4CA5-8708-14CE817C1EE9}"/>
    <cellStyle name="Title 3 4 5 3" xfId="39308" xr:uid="{E1FFEF78-F4CD-4FFA-B322-6BC20F541893}"/>
    <cellStyle name="Title 3 4 6" xfId="39309" xr:uid="{08CBF6EB-7D1C-4A9C-8695-17A42781B5C8}"/>
    <cellStyle name="Title 3 5" xfId="21117" xr:uid="{C4257296-D7F6-48E5-A4E5-A864D6D5F4E6}"/>
    <cellStyle name="Title 3 5 2" xfId="21118" xr:uid="{69C0F6F2-4D9C-4C2F-B0F8-7E80889859E1}"/>
    <cellStyle name="Title 3 5 2 2" xfId="21119" xr:uid="{45169060-8042-4DB7-9667-CA95B755A914}"/>
    <cellStyle name="Title 3 5 2 3" xfId="39310" xr:uid="{373F5400-1A7C-4E3F-BC7A-D5A4CAEB9DAA}"/>
    <cellStyle name="Title 3 5 3" xfId="21120" xr:uid="{171F87ED-0340-494C-856B-6A486727003B}"/>
    <cellStyle name="Title 3 5 3 2" xfId="39311" xr:uid="{2EE35B0E-5F7F-4E88-8BEA-43831A17592A}"/>
    <cellStyle name="Title 3 5 3 3" xfId="39312" xr:uid="{7B1F7260-44A1-4577-8B34-5DB7FD00BE5A}"/>
    <cellStyle name="Title 3 5 4" xfId="21121" xr:uid="{D6C091DE-C0C6-409A-9ABE-F632991371B0}"/>
    <cellStyle name="Title 3 5 5" xfId="39313" xr:uid="{6C361174-651C-4F97-95AC-474214BA882A}"/>
    <cellStyle name="Title 3 5 5 2" xfId="39314" xr:uid="{3EDA74D9-6103-45ED-9BEB-DF30BFA50E0E}"/>
    <cellStyle name="Title 3 5 5 3" xfId="39315" xr:uid="{C582DC1B-2A6A-4A3B-8A42-FC2D258F7F0D}"/>
    <cellStyle name="Title 3 5 6" xfId="39316" xr:uid="{14F9ED1E-D997-46F9-93AE-7ED4B509281F}"/>
    <cellStyle name="Title 3 6" xfId="21122" xr:uid="{15925399-62CB-4057-BECF-6C959A77C080}"/>
    <cellStyle name="Title 3 6 2" xfId="21123" xr:uid="{DE2F7455-8E08-4192-A257-A015F16A536B}"/>
    <cellStyle name="Title 3 6 2 2" xfId="21124" xr:uid="{32E38F53-5EC6-43A8-B52C-B5244B30EFE1}"/>
    <cellStyle name="Title 3 6 2 3" xfId="39317" xr:uid="{50EF2DB5-354B-4EB0-97BB-331FA642220C}"/>
    <cellStyle name="Title 3 6 3" xfId="21125" xr:uid="{B6D55BAE-179A-448D-8FE3-0432DBDC6654}"/>
    <cellStyle name="Title 3 6 3 2" xfId="39318" xr:uid="{1EBC6A50-BFD6-4C3C-A961-7251BABDC35E}"/>
    <cellStyle name="Title 3 6 3 3" xfId="39319" xr:uid="{1AD97EC0-890E-4B39-A4B8-9CE2373FA943}"/>
    <cellStyle name="Title 3 6 4" xfId="21126" xr:uid="{12CC3265-4DD0-4A26-B3E2-F0F27726FFB3}"/>
    <cellStyle name="Title 3 6 5" xfId="39320" xr:uid="{0255B58C-B2B9-4E3A-926D-B9A633B5FEEE}"/>
    <cellStyle name="Title 3 6 5 2" xfId="39321" xr:uid="{FC5CC92F-87B4-4CA0-AC7E-EB58DFEA6C3D}"/>
    <cellStyle name="Title 3 6 5 3" xfId="39322" xr:uid="{C61C999F-2C78-403F-AC46-530E53FF9A22}"/>
    <cellStyle name="Title 3 6 6" xfId="39323" xr:uid="{C25C8F2C-86A4-4E3F-B79A-F06EFD67DD05}"/>
    <cellStyle name="Title 3 7" xfId="21127" xr:uid="{943112ED-755F-4459-9461-0F1D49DF1266}"/>
    <cellStyle name="Title 3 7 2" xfId="21128" xr:uid="{69E10E50-0803-4DFE-8440-FB8C5A27E370}"/>
    <cellStyle name="Title 3 7 2 2" xfId="21129" xr:uid="{89A80AFF-8D8A-4DAC-B6C4-161F274EC5D2}"/>
    <cellStyle name="Title 3 7 2 3" xfId="39324" xr:uid="{F6FAF5A0-A53B-4D7C-8808-892F607E8F30}"/>
    <cellStyle name="Title 3 7 3" xfId="21130" xr:uid="{EE1ED5C9-A8A7-4A27-A5DC-291BF3E9673C}"/>
    <cellStyle name="Title 3 7 3 2" xfId="39325" xr:uid="{178A11E9-E2B8-4FEF-9EBA-68FCEC183E99}"/>
    <cellStyle name="Title 3 7 3 3" xfId="39326" xr:uid="{4F9481DB-18B9-49A5-A8C8-C34686890BA0}"/>
    <cellStyle name="Title 3 7 4" xfId="21131" xr:uid="{D5A96C42-3404-473B-9537-BD586B1556E7}"/>
    <cellStyle name="Title 3 7 5" xfId="39327" xr:uid="{7C3A4409-C88B-4A9E-B6B8-06B8046A378F}"/>
    <cellStyle name="Title 3 7 5 2" xfId="39328" xr:uid="{9D7E443A-241E-4F11-B57A-12F539CD049B}"/>
    <cellStyle name="Title 3 7 5 3" xfId="39329" xr:uid="{4ED1C2F7-2508-4706-BA19-8231D378E339}"/>
    <cellStyle name="Title 3 7 6" xfId="39330" xr:uid="{D1C792C0-0F38-4A80-B92E-050E76AE83C0}"/>
    <cellStyle name="Title 3 8" xfId="21132" xr:uid="{297270E4-EDD6-418C-BD39-0C61473A0EC9}"/>
    <cellStyle name="Title 3 8 2" xfId="21133" xr:uid="{A6508D2C-ADD1-4DAE-93B1-ED7583B8C63D}"/>
    <cellStyle name="Title 3 8 2 2" xfId="21134" xr:uid="{5FE71E41-846D-4177-A1A9-BE11C7478D87}"/>
    <cellStyle name="Title 3 8 2 3" xfId="39331" xr:uid="{F7066E43-FDF2-4823-A342-63B921B9EE3D}"/>
    <cellStyle name="Title 3 8 3" xfId="21135" xr:uid="{0D2A6836-6406-47B7-8618-13BED657D3BD}"/>
    <cellStyle name="Title 3 8 3 2" xfId="39332" xr:uid="{FA75C8B6-BE13-414E-A84C-0503F3633BFA}"/>
    <cellStyle name="Title 3 8 3 3" xfId="39333" xr:uid="{9F5A5AB0-3CF5-4D26-9615-4D26F8F567BF}"/>
    <cellStyle name="Title 3 8 4" xfId="21136" xr:uid="{1188D3EE-03AC-4DAE-8E43-D853991349A3}"/>
    <cellStyle name="Title 3 8 5" xfId="39334" xr:uid="{852F49AC-2F5E-4DEE-B6A0-86EEEF901D6C}"/>
    <cellStyle name="Title 3 8 5 2" xfId="39335" xr:uid="{C10D126F-C754-4C4B-819F-6D8250AF0158}"/>
    <cellStyle name="Title 3 8 5 3" xfId="39336" xr:uid="{EF2D4A71-4D88-4777-88AE-93764C69AED9}"/>
    <cellStyle name="Title 3 8 6" xfId="39337" xr:uid="{6E619CBF-610D-43C5-8BAF-90063C97D8FF}"/>
    <cellStyle name="Title 3 9" xfId="21137" xr:uid="{5D60E2E6-196B-498A-B716-784662A25599}"/>
    <cellStyle name="Title 3 9 2" xfId="21138" xr:uid="{401B0110-DC77-44A2-80D5-826B410B538F}"/>
    <cellStyle name="Title 3 9 2 2" xfId="21139" xr:uid="{30F75E2B-DFCA-408D-AAA9-9EA033022AD6}"/>
    <cellStyle name="Title 3 9 2 3" xfId="39338" xr:uid="{724859CB-2E33-4A85-B977-B574A2B61C15}"/>
    <cellStyle name="Title 3 9 3" xfId="21140" xr:uid="{FDF5F0C9-E4E5-422C-AB66-460D77C5B9A3}"/>
    <cellStyle name="Title 3 9 3 2" xfId="39339" xr:uid="{C6C3D496-3C51-4D16-94B1-639D7150EF88}"/>
    <cellStyle name="Title 3 9 3 3" xfId="39340" xr:uid="{45FB14C2-8E4F-4D64-A33D-7C2B4D46E5CB}"/>
    <cellStyle name="Title 3 9 4" xfId="21141" xr:uid="{030EBB62-3AE7-4640-BA89-F19B4B0DC0FF}"/>
    <cellStyle name="Title 3 9 5" xfId="39341" xr:uid="{CDCB5DFC-87BC-4A80-8456-8B38C9DE173C}"/>
    <cellStyle name="Title 3 9 5 2" xfId="39342" xr:uid="{5F7A70C3-C155-4BF9-89BB-5456932BE6A5}"/>
    <cellStyle name="Title 3 9 5 3" xfId="39343" xr:uid="{ACD1CDA3-0B21-4B9D-B63F-EA7ACDDD7E21}"/>
    <cellStyle name="Title 3 9 6" xfId="39344" xr:uid="{F3DADA58-9DA4-43DA-9FEB-74450AA2152B}"/>
    <cellStyle name="Title 30" xfId="39345" xr:uid="{284AD439-7B1D-4C8B-B6F3-2F49A86FFD4B}"/>
    <cellStyle name="Title 31" xfId="39346" xr:uid="{13C91ED8-048E-4BAA-A9D2-D90F693BE62A}"/>
    <cellStyle name="Title 32" xfId="39347" xr:uid="{9C595F63-0302-4EE5-A18F-0D27717027BE}"/>
    <cellStyle name="Title 33" xfId="39348" xr:uid="{0E8A8394-E64C-46D6-9BD6-8DE1C04704BF}"/>
    <cellStyle name="Title 34" xfId="39349" xr:uid="{1F4F0372-F680-48B0-AA8F-193C1B034E66}"/>
    <cellStyle name="Title 35" xfId="39350" xr:uid="{74540C43-806A-47C1-9107-1FA39782FCEB}"/>
    <cellStyle name="Title 36" xfId="39351" xr:uid="{CBB2C4F6-B527-4323-9E0B-E663801F2E03}"/>
    <cellStyle name="Title 37" xfId="39352" xr:uid="{65E30B94-2E1A-4A16-B434-BBD1161EEBD4}"/>
    <cellStyle name="Title 38" xfId="39353" xr:uid="{C84F3C95-F0EE-406F-A862-855C56476E49}"/>
    <cellStyle name="Title 39" xfId="39354" xr:uid="{363C0AAD-7F85-446B-AECA-1C36C251BE5D}"/>
    <cellStyle name="Title 4" xfId="21142" xr:uid="{2B2CC7E7-7227-4A21-9A4A-16232BB81599}"/>
    <cellStyle name="Title 4 10" xfId="21143" xr:uid="{35F218E0-1AFC-4F99-85C9-221AF24C70EC}"/>
    <cellStyle name="Title 4 10 2" xfId="21144" xr:uid="{40BC5269-F4DD-48CE-84AF-45C7399879F4}"/>
    <cellStyle name="Title 4 10 2 2" xfId="21145" xr:uid="{088A4595-E209-458A-B70D-0AF6FC55C1D3}"/>
    <cellStyle name="Title 4 10 2 3" xfId="39355" xr:uid="{75E32D28-D67D-49A7-A3A8-EDD096E53CD4}"/>
    <cellStyle name="Title 4 10 3" xfId="21146" xr:uid="{E4C94F1C-FFA7-4919-A737-73B3E4C0089B}"/>
    <cellStyle name="Title 4 10 3 2" xfId="39356" xr:uid="{58F11F76-40A6-4BC3-AC97-74E2AB297FA1}"/>
    <cellStyle name="Title 4 10 3 3" xfId="39357" xr:uid="{D12A3BF2-A3CC-40C8-8E9F-B9936F2B3F31}"/>
    <cellStyle name="Title 4 10 4" xfId="21147" xr:uid="{4823BAEA-BAE2-4D9A-9E5E-0DBB638238DA}"/>
    <cellStyle name="Title 4 10 5" xfId="39358" xr:uid="{817CC2BD-89ED-4506-89F1-265B61D47AF8}"/>
    <cellStyle name="Title 4 10 5 2" xfId="39359" xr:uid="{F284B7CB-745C-4C03-A517-FBC75914D720}"/>
    <cellStyle name="Title 4 10 5 3" xfId="39360" xr:uid="{A4A01B53-CE1E-4271-809C-7DBDE584CBFD}"/>
    <cellStyle name="Title 4 10 6" xfId="39361" xr:uid="{BE16FADF-A3DD-492F-A888-87107479EACC}"/>
    <cellStyle name="Title 4 11" xfId="21148" xr:uid="{D8A1E084-0743-4A28-806C-0A305A1AC0CC}"/>
    <cellStyle name="Title 4 11 2" xfId="21149" xr:uid="{943C70A7-E137-4070-8D24-5AF9871BF37C}"/>
    <cellStyle name="Title 4 11 2 2" xfId="21150" xr:uid="{0D9BAE54-8076-4F5A-9CDC-D0FB75A32537}"/>
    <cellStyle name="Title 4 11 2 3" xfId="39362" xr:uid="{7227890D-8D7B-4EE4-AE62-1BCC5256F3F8}"/>
    <cellStyle name="Title 4 11 3" xfId="21151" xr:uid="{D8F17ABC-F515-4C08-BE3D-507046233FA0}"/>
    <cellStyle name="Title 4 11 3 2" xfId="39363" xr:uid="{345E38B8-3057-4F5F-9345-63F89211EBA2}"/>
    <cellStyle name="Title 4 11 3 3" xfId="39364" xr:uid="{7D66C56D-7B08-4ECA-8C63-03975CD1797C}"/>
    <cellStyle name="Title 4 11 4" xfId="21152" xr:uid="{43182338-10F6-483A-8654-8BE63C554305}"/>
    <cellStyle name="Title 4 11 5" xfId="39365" xr:uid="{1A36DB7E-5475-4DCD-92C3-EE85885670B6}"/>
    <cellStyle name="Title 4 11 5 2" xfId="39366" xr:uid="{AD8816C0-EF90-4A47-93EB-CAD2D6193036}"/>
    <cellStyle name="Title 4 11 5 3" xfId="39367" xr:uid="{C8B46D8C-603A-43AA-9107-D470947891B0}"/>
    <cellStyle name="Title 4 11 6" xfId="39368" xr:uid="{659C0BC8-CD0F-4AA4-A2BD-7DC504748752}"/>
    <cellStyle name="Title 4 12" xfId="21153" xr:uid="{7CD15EDC-FC5A-42B9-882C-F74C91A20416}"/>
    <cellStyle name="Title 4 12 2" xfId="21154" xr:uid="{480C218D-8397-41E7-A0EC-ED239EDAE617}"/>
    <cellStyle name="Title 4 12 3" xfId="39369" xr:uid="{AA737401-4339-4DDB-B1BC-E1A22F988A11}"/>
    <cellStyle name="Title 4 13" xfId="21155" xr:uid="{26465041-91FE-457F-8A60-9F356F6A37B1}"/>
    <cellStyle name="Title 4 13 2" xfId="39370" xr:uid="{9923282E-7897-4000-AA64-C215B0D116CB}"/>
    <cellStyle name="Title 4 13 3" xfId="39371" xr:uid="{8185EEB1-35AE-4546-B343-9383843918B0}"/>
    <cellStyle name="Title 4 14" xfId="21156" xr:uid="{C04B039F-09BE-46CD-A8A5-F8FC735DF8FD}"/>
    <cellStyle name="Title 4 15" xfId="39372" xr:uid="{C7E6F768-7D20-4BA4-9DFA-F2032F51FB90}"/>
    <cellStyle name="Title 4 15 2" xfId="39373" xr:uid="{8AD8AE0C-03B7-4146-9E99-ACD8698BA783}"/>
    <cellStyle name="Title 4 15 3" xfId="39374" xr:uid="{DEC85ECF-9113-4A59-B8D7-12FE49E1F12B}"/>
    <cellStyle name="Title 4 16" xfId="39375" xr:uid="{424AE0DA-04D4-4EE8-B766-864EAD6D6FB3}"/>
    <cellStyle name="Title 4 2" xfId="21157" xr:uid="{C20096E2-A38B-448D-8231-A54E3ED44412}"/>
    <cellStyle name="Title 4 2 2" xfId="21158" xr:uid="{9BE747A2-6D47-4EEC-81C0-63FAEF4F0D5B}"/>
    <cellStyle name="Title 4 2 2 2" xfId="21159" xr:uid="{AD6ECCE2-17EB-4A00-A797-08F47794048A}"/>
    <cellStyle name="Title 4 2 2 3" xfId="39376" xr:uid="{2798ADB9-6542-473F-A626-C37FEF307D93}"/>
    <cellStyle name="Title 4 2 3" xfId="21160" xr:uid="{9F4F850F-A096-4A19-9183-8A1DB02BAE7C}"/>
    <cellStyle name="Title 4 2 3 2" xfId="39377" xr:uid="{40DBEAC8-B1E7-4DA5-B4DE-3264022FEBBD}"/>
    <cellStyle name="Title 4 2 3 3" xfId="39378" xr:uid="{C136D6FD-2BE2-44DF-9106-2A26304B5E97}"/>
    <cellStyle name="Title 4 2 4" xfId="21161" xr:uid="{A50FC6A1-2006-4F62-9453-A194449F9706}"/>
    <cellStyle name="Title 4 2 5" xfId="39379" xr:uid="{52F4C81B-AE9A-4610-9AD8-162FEF183BBA}"/>
    <cellStyle name="Title 4 2 5 2" xfId="39380" xr:uid="{EBE9FE17-A3A4-46F9-920E-0FF17B52029B}"/>
    <cellStyle name="Title 4 2 5 3" xfId="39381" xr:uid="{155F7880-E582-4BF6-A1E7-C1FE92ADB0B0}"/>
    <cellStyle name="Title 4 2 6" xfId="39382" xr:uid="{CA18A7AE-4B56-447A-9B8E-8D69797F89FD}"/>
    <cellStyle name="Title 4 3" xfId="21162" xr:uid="{20F0E76E-0514-489E-999C-B89F692611D7}"/>
    <cellStyle name="Title 4 3 2" xfId="21163" xr:uid="{6EACCA4D-3443-425D-BFC3-EC3401DE2CE0}"/>
    <cellStyle name="Title 4 3 2 2" xfId="21164" xr:uid="{8DE67171-4669-4F95-9F72-0CB8C6784E6A}"/>
    <cellStyle name="Title 4 3 2 3" xfId="39383" xr:uid="{620E3BA4-380A-41E5-B1A5-04530556F961}"/>
    <cellStyle name="Title 4 3 3" xfId="21165" xr:uid="{6CBCC9EE-B836-4272-B4B5-27B9AAAE7D65}"/>
    <cellStyle name="Title 4 3 3 2" xfId="39384" xr:uid="{2C36E8CB-8F81-4144-AE2C-65A7ACD8392E}"/>
    <cellStyle name="Title 4 3 3 3" xfId="39385" xr:uid="{5B426523-7D31-4D1C-9B52-B9829E8186A5}"/>
    <cellStyle name="Title 4 3 4" xfId="21166" xr:uid="{B8F1432F-9430-4DB8-BA98-4FA9A420191C}"/>
    <cellStyle name="Title 4 3 5" xfId="39386" xr:uid="{C3119844-7461-4493-A7A7-F7852DCD789C}"/>
    <cellStyle name="Title 4 3 5 2" xfId="39387" xr:uid="{3442519F-B5E7-4164-B87D-3193014A3694}"/>
    <cellStyle name="Title 4 3 5 3" xfId="39388" xr:uid="{652B0D38-3C21-438A-9038-6B8D45AFE6C6}"/>
    <cellStyle name="Title 4 3 6" xfId="39389" xr:uid="{5A7A7915-B03B-4DC9-972F-8E592EE028A6}"/>
    <cellStyle name="Title 4 4" xfId="21167" xr:uid="{1A7B2C00-DE9F-42F1-B395-4A2C409BDDF8}"/>
    <cellStyle name="Title 4 4 2" xfId="21168" xr:uid="{0FA8398D-C897-40A9-9FEC-D4833A7CE7AA}"/>
    <cellStyle name="Title 4 4 2 2" xfId="21169" xr:uid="{0E3D4BDB-7168-4526-BAF6-703DBD4F0580}"/>
    <cellStyle name="Title 4 4 2 3" xfId="39390" xr:uid="{728A9AD7-5E5E-4D9D-9323-9E5757D3D3DF}"/>
    <cellStyle name="Title 4 4 3" xfId="21170" xr:uid="{9C0B187E-CD82-4FAB-822E-8ADA1EA1B372}"/>
    <cellStyle name="Title 4 4 3 2" xfId="39391" xr:uid="{96C00B03-6FFB-4BB9-8E24-DDADFD889810}"/>
    <cellStyle name="Title 4 4 3 3" xfId="39392" xr:uid="{7E91B71A-8C69-4E7F-BE2C-429E0EA390EF}"/>
    <cellStyle name="Title 4 4 4" xfId="21171" xr:uid="{0D939B5E-A1B6-4CAF-8E2A-873B71EEDE13}"/>
    <cellStyle name="Title 4 4 5" xfId="39393" xr:uid="{9F08BA3D-8B2F-4AFE-A721-3EA8559D1695}"/>
    <cellStyle name="Title 4 4 5 2" xfId="39394" xr:uid="{F7F4C847-6B49-4647-B081-E0E0355214E1}"/>
    <cellStyle name="Title 4 4 5 3" xfId="39395" xr:uid="{FB13A314-5919-4757-9AC6-9E6E721E1C76}"/>
    <cellStyle name="Title 4 4 6" xfId="39396" xr:uid="{B32E2083-E4A4-419B-914C-DEFC9E78C66A}"/>
    <cellStyle name="Title 4 5" xfId="21172" xr:uid="{9EF9BF25-DD74-4088-A418-9BE4034821F4}"/>
    <cellStyle name="Title 4 5 2" xfId="21173" xr:uid="{A982DDFC-193C-4F6E-9E67-0FA81620D8CB}"/>
    <cellStyle name="Title 4 5 2 2" xfId="21174" xr:uid="{2AED688D-F83F-4EB0-B954-0E301C030FF5}"/>
    <cellStyle name="Title 4 5 2 3" xfId="39397" xr:uid="{F69A3E6A-DA24-43B3-A809-73FF34DDDC02}"/>
    <cellStyle name="Title 4 5 3" xfId="21175" xr:uid="{220F0B2E-0F72-4C47-8FE8-5FA2761FD8A5}"/>
    <cellStyle name="Title 4 5 3 2" xfId="39398" xr:uid="{BB9ACF29-2482-4D67-932D-DA6CBF867FF1}"/>
    <cellStyle name="Title 4 5 3 3" xfId="39399" xr:uid="{CBFC7B2B-87F3-4289-A7F4-77EFE0EE067D}"/>
    <cellStyle name="Title 4 5 4" xfId="21176" xr:uid="{32C34CEC-7650-415F-B824-56F908DE30D5}"/>
    <cellStyle name="Title 4 5 5" xfId="39400" xr:uid="{BA62651D-6B6E-4EC2-9046-B33963D0E458}"/>
    <cellStyle name="Title 4 5 5 2" xfId="39401" xr:uid="{B1D137D7-4735-4A73-86AA-7DF9AB495957}"/>
    <cellStyle name="Title 4 5 5 3" xfId="39402" xr:uid="{204205C1-E0BB-4547-B68B-C3643D5C82BF}"/>
    <cellStyle name="Title 4 5 6" xfId="39403" xr:uid="{3DEF9561-C5CB-44F9-89F2-C0B930080671}"/>
    <cellStyle name="Title 4 6" xfId="21177" xr:uid="{7906B19E-F2A0-4D69-9570-DA06DD9DA5FD}"/>
    <cellStyle name="Title 4 6 2" xfId="21178" xr:uid="{E7043ED3-9D65-48C2-B59F-33A256A9DB29}"/>
    <cellStyle name="Title 4 6 2 2" xfId="21179" xr:uid="{1B987942-F8DF-48C7-A5DF-49434AAC41C2}"/>
    <cellStyle name="Title 4 6 2 3" xfId="39404" xr:uid="{E5392251-20CD-4F3E-98CF-505F32F05232}"/>
    <cellStyle name="Title 4 6 3" xfId="21180" xr:uid="{4BCAC31D-6AA3-4109-B8CA-EDA47A1C61F7}"/>
    <cellStyle name="Title 4 6 3 2" xfId="39405" xr:uid="{71AAE20A-306D-46E8-B1F6-96907E9CE5AA}"/>
    <cellStyle name="Title 4 6 3 3" xfId="39406" xr:uid="{B2C6AA72-7CB5-4991-BD9E-FE664E3B9733}"/>
    <cellStyle name="Title 4 6 4" xfId="21181" xr:uid="{F77E2FDA-6788-40E9-A159-F1809089B2F3}"/>
    <cellStyle name="Title 4 6 5" xfId="39407" xr:uid="{EEF35A42-14C8-488A-AADD-17A16EEFCED2}"/>
    <cellStyle name="Title 4 6 5 2" xfId="39408" xr:uid="{981E64AF-A5DB-4C13-83EC-25B9815FC8CC}"/>
    <cellStyle name="Title 4 6 5 3" xfId="39409" xr:uid="{779308E1-E96B-4B76-814C-759994CAD37E}"/>
    <cellStyle name="Title 4 6 6" xfId="39410" xr:uid="{C13EA4BD-3832-4CD4-9466-EE6580652336}"/>
    <cellStyle name="Title 4 7" xfId="21182" xr:uid="{B50964F4-AE91-4F32-8640-E4803A88DB21}"/>
    <cellStyle name="Title 4 7 2" xfId="21183" xr:uid="{12675387-1966-4A93-A5EE-298DF5D04DA5}"/>
    <cellStyle name="Title 4 7 2 2" xfId="21184" xr:uid="{C28BBCB2-48C5-4A3E-B53D-D4B68D477AC3}"/>
    <cellStyle name="Title 4 7 2 3" xfId="39411" xr:uid="{CA6BFE4D-3647-4045-9FAD-95D1122E97DF}"/>
    <cellStyle name="Title 4 7 3" xfId="21185" xr:uid="{C231ADB3-C157-4D1C-8C55-40BA434A07FD}"/>
    <cellStyle name="Title 4 7 3 2" xfId="39412" xr:uid="{3904C727-1BFF-4629-86B8-97B526E10E47}"/>
    <cellStyle name="Title 4 7 3 3" xfId="39413" xr:uid="{3EB3F98F-3C7B-4A9B-B867-EA60EA0C6E0F}"/>
    <cellStyle name="Title 4 7 4" xfId="21186" xr:uid="{A5F79822-14E6-4B2C-B0EE-B90B9EF0EC5F}"/>
    <cellStyle name="Title 4 7 5" xfId="39414" xr:uid="{A2A04662-0508-4858-9C9D-8F558B3218A4}"/>
    <cellStyle name="Title 4 7 5 2" xfId="39415" xr:uid="{B1A9C761-7377-4E79-96CB-6BB577614B00}"/>
    <cellStyle name="Title 4 7 5 3" xfId="39416" xr:uid="{0DEA21FE-5ECC-460A-B5B2-E3A6C1EC22E5}"/>
    <cellStyle name="Title 4 7 6" xfId="39417" xr:uid="{F4C47E02-3E21-4273-B58A-AAAB4CD05D75}"/>
    <cellStyle name="Title 4 8" xfId="21187" xr:uid="{98322277-E122-4C7B-8F7B-D55E9A824F3E}"/>
    <cellStyle name="Title 4 8 2" xfId="21188" xr:uid="{4E702672-4CF3-4F7F-96D0-7FEE447BC82D}"/>
    <cellStyle name="Title 4 8 2 2" xfId="21189" xr:uid="{23F17CD2-DECA-44D4-A440-05822C8386E3}"/>
    <cellStyle name="Title 4 8 2 3" xfId="39418" xr:uid="{70B6EC62-290F-4FEA-96E6-1E69F9B07B0B}"/>
    <cellStyle name="Title 4 8 3" xfId="21190" xr:uid="{22801C8D-870A-4651-B0F8-C138F6002DA3}"/>
    <cellStyle name="Title 4 8 3 2" xfId="39419" xr:uid="{32814B21-27DC-4BB0-89AC-19E746241440}"/>
    <cellStyle name="Title 4 8 3 3" xfId="39420" xr:uid="{EBC2C813-66FA-4374-B84A-424CEF97300E}"/>
    <cellStyle name="Title 4 8 4" xfId="21191" xr:uid="{6972C639-DE52-491E-8669-4F93E4E3D422}"/>
    <cellStyle name="Title 4 8 5" xfId="39421" xr:uid="{4A2DD185-E6D2-4EAE-A0BE-9AFD62886A2F}"/>
    <cellStyle name="Title 4 8 5 2" xfId="39422" xr:uid="{FE1EA8F2-9374-47EB-9EEB-6C244DA3B395}"/>
    <cellStyle name="Title 4 8 5 3" xfId="39423" xr:uid="{E10F9667-810A-4504-B200-D594F06002C6}"/>
    <cellStyle name="Title 4 8 6" xfId="39424" xr:uid="{04D148AD-CA2F-4ADE-AA4F-447526374F32}"/>
    <cellStyle name="Title 4 9" xfId="21192" xr:uid="{CDC01BF4-9694-4C5D-8015-70C075F16026}"/>
    <cellStyle name="Title 4 9 2" xfId="21193" xr:uid="{974C2EDB-2E92-4796-AE66-D4497B610079}"/>
    <cellStyle name="Title 4 9 2 2" xfId="21194" xr:uid="{13FBCDDE-0E76-407F-A7E1-6FDF8737E22A}"/>
    <cellStyle name="Title 4 9 2 3" xfId="39425" xr:uid="{09A2705E-B457-47F6-9310-51E5B6644798}"/>
    <cellStyle name="Title 4 9 3" xfId="21195" xr:uid="{C102AA7D-9CEF-47E7-8786-A5044A58E524}"/>
    <cellStyle name="Title 4 9 3 2" xfId="39426" xr:uid="{FC79A3A2-86E2-4E9E-98EC-2D08ACCC7F43}"/>
    <cellStyle name="Title 4 9 3 3" xfId="39427" xr:uid="{AF0B5E35-BC6F-4EDE-B5CB-61FD14211E62}"/>
    <cellStyle name="Title 4 9 4" xfId="21196" xr:uid="{908B3111-E41D-40D4-B931-79D23876CF0D}"/>
    <cellStyle name="Title 4 9 5" xfId="39428" xr:uid="{D7CCBA74-6DBA-435D-8E70-27A239518F74}"/>
    <cellStyle name="Title 4 9 5 2" xfId="39429" xr:uid="{6CED8538-C454-4C4C-BF45-27325CB3C197}"/>
    <cellStyle name="Title 4 9 5 3" xfId="39430" xr:uid="{77406CBE-DC1A-4EE6-812A-BBD4154CE1D7}"/>
    <cellStyle name="Title 4 9 6" xfId="39431" xr:uid="{320C48FA-F15D-4236-98E4-54C03C6A06F6}"/>
    <cellStyle name="Title 40" xfId="39432" xr:uid="{46A2BCFC-94C6-4312-B61F-E22CB9FC68AB}"/>
    <cellStyle name="Title 41" xfId="39433" xr:uid="{98E77D56-419A-4C92-BE5E-E360403E1B28}"/>
    <cellStyle name="Title 42" xfId="39434" xr:uid="{8A620884-2C0D-41DC-8A3A-52725DA34ADD}"/>
    <cellStyle name="Title 43" xfId="39435" xr:uid="{326A559C-BA28-4799-AF4A-20F6C56062CD}"/>
    <cellStyle name="Title 44" xfId="45850" xr:uid="{4DCADA43-CFF9-4147-A627-846789D1CCE6}"/>
    <cellStyle name="Title 5" xfId="21197" xr:uid="{772B0C3C-F8A9-4FF4-BABB-601B445B8DF7}"/>
    <cellStyle name="Title 5 10" xfId="21198" xr:uid="{564EC976-7320-40F6-9864-27CDAD94CEFE}"/>
    <cellStyle name="Title 5 10 2" xfId="21199" xr:uid="{71228B7B-588D-40CE-A669-4A871A54BF84}"/>
    <cellStyle name="Title 5 10 2 2" xfId="21200" xr:uid="{0F2F32AC-FFC3-44F8-AB3A-2664B2EF0CAB}"/>
    <cellStyle name="Title 5 10 2 3" xfId="39436" xr:uid="{7C70F878-E040-4272-9FEF-7D0904FAC398}"/>
    <cellStyle name="Title 5 10 3" xfId="21201" xr:uid="{9C9A5607-0275-4C01-816F-5408FEECA270}"/>
    <cellStyle name="Title 5 10 3 2" xfId="39437" xr:uid="{2456C35B-B0CF-41E1-B395-438AB59BF88E}"/>
    <cellStyle name="Title 5 10 3 3" xfId="39438" xr:uid="{B4C81239-4FD3-45BD-8B33-055E65572EDE}"/>
    <cellStyle name="Title 5 10 4" xfId="21202" xr:uid="{96B4DF73-72C6-404B-896D-18AAED3236D4}"/>
    <cellStyle name="Title 5 10 5" xfId="39439" xr:uid="{D7C65BB8-18B3-4033-AEC8-A6246DC30A05}"/>
    <cellStyle name="Title 5 10 5 2" xfId="39440" xr:uid="{52FF92BA-095D-47DD-AA11-EB56CCF546DD}"/>
    <cellStyle name="Title 5 10 5 3" xfId="39441" xr:uid="{36B9CA59-C144-46E3-B7DD-9984A97119E3}"/>
    <cellStyle name="Title 5 10 6" xfId="39442" xr:uid="{C47A2737-6C36-4C96-8941-40F967149E53}"/>
    <cellStyle name="Title 5 11" xfId="21203" xr:uid="{DB162891-776A-4FC7-AE21-946B94D8C213}"/>
    <cellStyle name="Title 5 11 2" xfId="21204" xr:uid="{34AB9694-EA90-472C-819C-1181F7545199}"/>
    <cellStyle name="Title 5 11 2 2" xfId="21205" xr:uid="{1E2B47B7-8DC7-4592-A99C-DCAC3B197EED}"/>
    <cellStyle name="Title 5 11 2 3" xfId="39443" xr:uid="{EF2ADAE5-C11D-4DF7-96E1-D56F45DAA71D}"/>
    <cellStyle name="Title 5 11 3" xfId="21206" xr:uid="{C2752F14-5A0F-4D33-B992-9BF460ACABD6}"/>
    <cellStyle name="Title 5 11 3 2" xfId="39444" xr:uid="{AF749D17-62C3-4E36-AFBF-46CFE1B1D09A}"/>
    <cellStyle name="Title 5 11 3 3" xfId="39445" xr:uid="{DCE29A15-774D-40EA-82F4-256EA7324BD5}"/>
    <cellStyle name="Title 5 11 4" xfId="21207" xr:uid="{31BFA3EA-7480-4046-BCB5-75E5910FE70B}"/>
    <cellStyle name="Title 5 11 5" xfId="39446" xr:uid="{6AEF4A60-8727-4525-842F-EF853F2F15E7}"/>
    <cellStyle name="Title 5 11 5 2" xfId="39447" xr:uid="{741EF580-B07A-4B1F-BB86-63BED644545D}"/>
    <cellStyle name="Title 5 11 5 3" xfId="39448" xr:uid="{1F1B2CBC-E1A9-48A0-9707-3DEAB2D644DA}"/>
    <cellStyle name="Title 5 11 6" xfId="39449" xr:uid="{6612DA04-CEC2-46D4-9A9D-5D3F31C31139}"/>
    <cellStyle name="Title 5 12" xfId="21208" xr:uid="{056B4E59-6D7A-4B8C-826B-62A6FF793C89}"/>
    <cellStyle name="Title 5 12 2" xfId="21209" xr:uid="{96A8E6A2-A4D1-4D7D-8962-D54052F212A9}"/>
    <cellStyle name="Title 5 12 3" xfId="39450" xr:uid="{E96D049F-5556-494E-AF42-83FFB428E00E}"/>
    <cellStyle name="Title 5 13" xfId="21210" xr:uid="{75D13DCB-B9FC-4615-86B2-12FCE154D185}"/>
    <cellStyle name="Title 5 13 2" xfId="39451" xr:uid="{969BB23A-6F03-4974-BC67-FB4F70362CB2}"/>
    <cellStyle name="Title 5 13 3" xfId="39452" xr:uid="{29FA5532-183A-42B3-9A42-EE79D77E2853}"/>
    <cellStyle name="Title 5 14" xfId="21211" xr:uid="{8C04515C-F40A-4354-926E-2792A5E84AF8}"/>
    <cellStyle name="Title 5 15" xfId="39453" xr:uid="{EF2A882D-F35B-45B4-BDE2-17BB9F24F427}"/>
    <cellStyle name="Title 5 15 2" xfId="39454" xr:uid="{FF66B7A6-9359-4CD0-9800-CF322559D689}"/>
    <cellStyle name="Title 5 15 3" xfId="39455" xr:uid="{60C3F8EC-E039-4BCA-8036-C324162BDDBF}"/>
    <cellStyle name="Title 5 16" xfId="39456" xr:uid="{ABDAA4E8-B3B6-454E-A4E3-B08EFE76D75C}"/>
    <cellStyle name="Title 5 2" xfId="21212" xr:uid="{31556EB9-D9A5-47EF-947F-5DCDAF9204F4}"/>
    <cellStyle name="Title 5 2 2" xfId="21213" xr:uid="{5814A270-E0ED-4A5D-B577-6E4363B4AE62}"/>
    <cellStyle name="Title 5 2 2 2" xfId="21214" xr:uid="{E125ED22-4EC1-4970-BEB9-AD45B1980A2E}"/>
    <cellStyle name="Title 5 2 2 3" xfId="39457" xr:uid="{A7C2F585-FA68-4845-9FF8-3B2F74BBE55E}"/>
    <cellStyle name="Title 5 2 3" xfId="21215" xr:uid="{8248A748-37FD-4437-AB22-4715D064853F}"/>
    <cellStyle name="Title 5 2 3 2" xfId="39458" xr:uid="{7676429B-56F9-4567-A1FF-733C34E0C7C9}"/>
    <cellStyle name="Title 5 2 3 3" xfId="39459" xr:uid="{B88E2920-28F2-49EE-969F-B43F77784DF7}"/>
    <cellStyle name="Title 5 2 4" xfId="21216" xr:uid="{F23060FC-3A2C-4EE4-A779-A0D39FC41B38}"/>
    <cellStyle name="Title 5 2 5" xfId="39460" xr:uid="{0DCF2916-D4A2-45A3-AB49-1DBF6CE6AF57}"/>
    <cellStyle name="Title 5 2 5 2" xfId="39461" xr:uid="{22CB6E1B-F079-40CA-A057-4308D90D1C44}"/>
    <cellStyle name="Title 5 2 5 3" xfId="39462" xr:uid="{EF2BF9A9-D619-424C-8056-08CB23EFA2D8}"/>
    <cellStyle name="Title 5 2 6" xfId="39463" xr:uid="{1438B7CF-42D4-47FC-8D32-7311040F6A12}"/>
    <cellStyle name="Title 5 3" xfId="21217" xr:uid="{ADD20930-8B2C-4FBB-9629-E4CC8772F966}"/>
    <cellStyle name="Title 5 3 2" xfId="21218" xr:uid="{746DBAEA-5373-4EC3-B154-91CAAE9C2471}"/>
    <cellStyle name="Title 5 3 2 2" xfId="21219" xr:uid="{0399E848-FB68-45F3-83DE-7B3738D888F3}"/>
    <cellStyle name="Title 5 3 2 3" xfId="39464" xr:uid="{D826AC26-4DEE-4652-82CA-373BF5EBC5A4}"/>
    <cellStyle name="Title 5 3 3" xfId="21220" xr:uid="{499BF7D2-AEA9-4376-AEE1-8B218CF0A91A}"/>
    <cellStyle name="Title 5 3 3 2" xfId="39465" xr:uid="{42D80993-90AA-4689-BF1E-42BA71419D93}"/>
    <cellStyle name="Title 5 3 3 3" xfId="39466" xr:uid="{4BBF842D-7468-4401-BC4E-A05F85693900}"/>
    <cellStyle name="Title 5 3 4" xfId="21221" xr:uid="{924553F4-22BD-48F5-AD88-A588322C650A}"/>
    <cellStyle name="Title 5 3 5" xfId="39467" xr:uid="{9FE8DC47-E3A7-44A8-972D-3CB03BA8137C}"/>
    <cellStyle name="Title 5 3 5 2" xfId="39468" xr:uid="{03247753-74C4-4DA9-AEC2-FA7D740DA404}"/>
    <cellStyle name="Title 5 3 5 3" xfId="39469" xr:uid="{7EB030FA-E3B8-433A-83D6-9520AD7CA3C3}"/>
    <cellStyle name="Title 5 3 6" xfId="39470" xr:uid="{5F7D0E79-F19D-48B2-A912-409434A9C81E}"/>
    <cellStyle name="Title 5 4" xfId="21222" xr:uid="{045B4443-07DD-46F7-BB06-266FF3609A42}"/>
    <cellStyle name="Title 5 4 2" xfId="21223" xr:uid="{D917A7EF-0D10-491F-A7FC-27A725BDB020}"/>
    <cellStyle name="Title 5 4 2 2" xfId="21224" xr:uid="{04722890-C472-455B-AF13-7C5BF84AA25E}"/>
    <cellStyle name="Title 5 4 2 3" xfId="39471" xr:uid="{BC3158C5-99B7-4481-ADD4-14896CA6E188}"/>
    <cellStyle name="Title 5 4 3" xfId="21225" xr:uid="{7A2B9B44-8D78-45A5-8540-6ED205E34FE2}"/>
    <cellStyle name="Title 5 4 3 2" xfId="39472" xr:uid="{5D29FF08-93F1-4089-80F5-DE5BA248464E}"/>
    <cellStyle name="Title 5 4 3 3" xfId="39473" xr:uid="{A786E553-E750-4BEF-9538-580E05C14983}"/>
    <cellStyle name="Title 5 4 4" xfId="21226" xr:uid="{391A973A-858A-4D65-BE89-9F98F028A642}"/>
    <cellStyle name="Title 5 4 5" xfId="39474" xr:uid="{6D52226E-2994-4ADF-BFF4-4BF80EB73113}"/>
    <cellStyle name="Title 5 4 5 2" xfId="39475" xr:uid="{7733C951-B949-41E4-BFC6-A8E976680FB3}"/>
    <cellStyle name="Title 5 4 5 3" xfId="39476" xr:uid="{D9DAD2F5-4578-48C0-ADD4-CE6FAB872C9C}"/>
    <cellStyle name="Title 5 4 6" xfId="39477" xr:uid="{8B374033-8E03-4BE0-AFB9-1CD358045480}"/>
    <cellStyle name="Title 5 5" xfId="21227" xr:uid="{1F8CD327-5DBE-45B0-B80B-7EBA9E42EB0A}"/>
    <cellStyle name="Title 5 5 2" xfId="21228" xr:uid="{50251DE0-9C68-4B6E-97CA-C393A84FC6B6}"/>
    <cellStyle name="Title 5 5 2 2" xfId="21229" xr:uid="{FB98E4EF-65FD-4C44-9829-1E33B98890BC}"/>
    <cellStyle name="Title 5 5 2 3" xfId="39478" xr:uid="{CA341B13-FA7D-42BF-8024-4D39D4B996E5}"/>
    <cellStyle name="Title 5 5 3" xfId="21230" xr:uid="{A51E8651-D630-49C6-94A6-70CEDF259214}"/>
    <cellStyle name="Title 5 5 3 2" xfId="39479" xr:uid="{A8AC0BC8-3C7E-4716-B62B-52A65CE2707F}"/>
    <cellStyle name="Title 5 5 3 3" xfId="39480" xr:uid="{E3788D43-728C-4923-BE11-9250274E753C}"/>
    <cellStyle name="Title 5 5 4" xfId="21231" xr:uid="{BEBF9E9C-3B7E-4ADD-A753-D4DE2BD18662}"/>
    <cellStyle name="Title 5 5 5" xfId="39481" xr:uid="{6A7EE288-EDBF-4A45-A844-D68C62A52017}"/>
    <cellStyle name="Title 5 5 5 2" xfId="39482" xr:uid="{941DDF4E-C45B-4EC3-85BC-AFD02540A197}"/>
    <cellStyle name="Title 5 5 5 3" xfId="39483" xr:uid="{B96D2FE4-D1E8-4AE7-814F-22A1E009D8D8}"/>
    <cellStyle name="Title 5 5 6" xfId="39484" xr:uid="{4EB9BF50-5C94-4857-BED7-24949D71E710}"/>
    <cellStyle name="Title 5 6" xfId="21232" xr:uid="{F797AE96-FDAA-4770-B0E1-1691181622C2}"/>
    <cellStyle name="Title 5 6 2" xfId="21233" xr:uid="{61FA372D-84D2-43E5-A509-7A342D25CCE2}"/>
    <cellStyle name="Title 5 6 2 2" xfId="21234" xr:uid="{534D4BE3-1D70-4747-A397-2B8FAA0AA13B}"/>
    <cellStyle name="Title 5 6 2 3" xfId="39485" xr:uid="{C0A06209-E04E-47D6-ACB4-1823F3AD066F}"/>
    <cellStyle name="Title 5 6 3" xfId="21235" xr:uid="{0AA5BCD7-7351-4F41-9F4E-D3D33BC4B581}"/>
    <cellStyle name="Title 5 6 3 2" xfId="39486" xr:uid="{815EF446-0DBC-4C39-951F-5DEEF663F9AD}"/>
    <cellStyle name="Title 5 6 3 3" xfId="39487" xr:uid="{99573988-7E79-4D7E-A40B-A37481A48C98}"/>
    <cellStyle name="Title 5 6 4" xfId="21236" xr:uid="{55EAB07C-3C2F-4BE4-B136-9C9F0EE73C18}"/>
    <cellStyle name="Title 5 6 5" xfId="39488" xr:uid="{B622A2C3-BA38-443A-BE1C-37A26EADF72C}"/>
    <cellStyle name="Title 5 6 5 2" xfId="39489" xr:uid="{679C6DE8-EDFC-4738-961D-AFF8868D1B40}"/>
    <cellStyle name="Title 5 6 5 3" xfId="39490" xr:uid="{297B9492-5920-4215-A4DD-4ADAB3EDB7EF}"/>
    <cellStyle name="Title 5 6 6" xfId="39491" xr:uid="{E650534D-EB5C-4A62-89CF-291114CA7E65}"/>
    <cellStyle name="Title 5 7" xfId="21237" xr:uid="{2E83FDC7-7102-4A91-9862-8D91CBA1E8E7}"/>
    <cellStyle name="Title 5 7 2" xfId="21238" xr:uid="{C2848585-43EB-4379-9375-F11882474993}"/>
    <cellStyle name="Title 5 7 2 2" xfId="21239" xr:uid="{A9F38A30-3677-414E-980A-D4C685A1F40D}"/>
    <cellStyle name="Title 5 7 2 3" xfId="39492" xr:uid="{5F2E4B99-1AAC-4A9B-AFAE-7A6C043C404F}"/>
    <cellStyle name="Title 5 7 3" xfId="21240" xr:uid="{ACEB06AB-4F03-4245-88BF-FD50B4643CB1}"/>
    <cellStyle name="Title 5 7 3 2" xfId="39493" xr:uid="{90481EDC-F9F7-4860-A132-D1C96F05233B}"/>
    <cellStyle name="Title 5 7 3 3" xfId="39494" xr:uid="{7D0E5A49-0143-43BC-920A-AE84BE03B119}"/>
    <cellStyle name="Title 5 7 4" xfId="21241" xr:uid="{81F8C6B3-EDDF-41AA-A5A8-516011C1E453}"/>
    <cellStyle name="Title 5 7 5" xfId="39495" xr:uid="{5E633D08-F28E-4028-AB66-822A7F798BC1}"/>
    <cellStyle name="Title 5 7 5 2" xfId="39496" xr:uid="{15CA4DF9-BB94-4B4A-989E-D153DC85FF22}"/>
    <cellStyle name="Title 5 7 5 3" xfId="39497" xr:uid="{06F3770B-AD35-4439-922D-C9FE30E06B23}"/>
    <cellStyle name="Title 5 7 6" xfId="39498" xr:uid="{F6CED066-0623-4B15-A815-24D8EB0C2AB5}"/>
    <cellStyle name="Title 5 8" xfId="21242" xr:uid="{AD97D18B-0162-45E3-B63E-85474EB3BFC5}"/>
    <cellStyle name="Title 5 8 2" xfId="21243" xr:uid="{D4F860B2-6920-49D9-BC7F-715DAB5A8155}"/>
    <cellStyle name="Title 5 8 2 2" xfId="21244" xr:uid="{42767704-8AF8-41D4-BAC2-C568B3A93AC3}"/>
    <cellStyle name="Title 5 8 2 3" xfId="39499" xr:uid="{A425D4D9-D20E-4439-A9B0-E602237D6D92}"/>
    <cellStyle name="Title 5 8 3" xfId="21245" xr:uid="{BAED3FFF-C70A-4626-AD1B-D7E8B6F01B34}"/>
    <cellStyle name="Title 5 8 3 2" xfId="39500" xr:uid="{7810E88B-9BE5-4814-87FD-A74397AE0FE7}"/>
    <cellStyle name="Title 5 8 3 3" xfId="39501" xr:uid="{055A3FB4-3EE2-4ACF-9E60-30FF32F56EEE}"/>
    <cellStyle name="Title 5 8 4" xfId="21246" xr:uid="{604AEAAA-0C88-45C8-9150-B3A2560C33FD}"/>
    <cellStyle name="Title 5 8 5" xfId="39502" xr:uid="{C3376EAA-4E84-445F-B2CD-6B38749C4ABC}"/>
    <cellStyle name="Title 5 8 5 2" xfId="39503" xr:uid="{8D91321E-BB9A-4B2A-85C4-0BA835663D95}"/>
    <cellStyle name="Title 5 8 5 3" xfId="39504" xr:uid="{CB61AB7D-B334-45F1-879C-1762BEF905B0}"/>
    <cellStyle name="Title 5 8 6" xfId="39505" xr:uid="{0E9F3AEE-52C0-4DD2-BFEE-D0F07534AEA9}"/>
    <cellStyle name="Title 5 9" xfId="21247" xr:uid="{EFD44AFD-96C3-44CE-B0E0-FC8437A0213F}"/>
    <cellStyle name="Title 5 9 2" xfId="21248" xr:uid="{B477C0E5-6F51-4E2A-B6A5-9A7CF7B2FE58}"/>
    <cellStyle name="Title 5 9 2 2" xfId="21249" xr:uid="{827A3A70-F437-42E4-B452-4EB53E88290B}"/>
    <cellStyle name="Title 5 9 2 3" xfId="39506" xr:uid="{BEB07183-3659-42FE-8DDD-A3F81EF55153}"/>
    <cellStyle name="Title 5 9 3" xfId="21250" xr:uid="{6D0F9296-F5A3-4BD8-9A2D-2B172723FAC5}"/>
    <cellStyle name="Title 5 9 3 2" xfId="39507" xr:uid="{4FF6A30D-8100-46AD-9183-C126262ABA48}"/>
    <cellStyle name="Title 5 9 3 3" xfId="39508" xr:uid="{0F24327D-C76F-4425-ABB9-3DAABADFE987}"/>
    <cellStyle name="Title 5 9 4" xfId="21251" xr:uid="{0DEDEB93-4A72-4365-9A6C-CF9E994B7678}"/>
    <cellStyle name="Title 5 9 5" xfId="39509" xr:uid="{BB63810F-487B-49BA-98CB-F57A64F87794}"/>
    <cellStyle name="Title 5 9 5 2" xfId="39510" xr:uid="{9384D3DE-479C-4CB6-935F-D96AD0FA8BE1}"/>
    <cellStyle name="Title 5 9 5 3" xfId="39511" xr:uid="{3EDDCD51-A3A0-4478-9048-83DF5826731D}"/>
    <cellStyle name="Title 5 9 6" xfId="39512" xr:uid="{19D59D99-352D-4F2F-AD36-23224A4F341E}"/>
    <cellStyle name="Title 6" xfId="21252" xr:uid="{E09F13E9-7C52-4365-B88F-968A2B2617A4}"/>
    <cellStyle name="Title 6 10" xfId="21253" xr:uid="{39AD5F91-A61B-4C43-BC42-856F32EDB593}"/>
    <cellStyle name="Title 6 10 2" xfId="21254" xr:uid="{D0CC0925-6C19-46A0-A5E0-3965078E7556}"/>
    <cellStyle name="Title 6 10 2 2" xfId="21255" xr:uid="{F52E8813-DA3F-435E-AAA4-A1FB7F6A17C2}"/>
    <cellStyle name="Title 6 10 2 3" xfId="39513" xr:uid="{0C8832B7-5A29-463B-85FF-2F65BCC5FE32}"/>
    <cellStyle name="Title 6 10 3" xfId="21256" xr:uid="{4F238C82-1941-447F-9C8B-6F6E0812C8C6}"/>
    <cellStyle name="Title 6 10 3 2" xfId="39514" xr:uid="{E3CEF16A-A799-499B-9190-8456CCFFAE05}"/>
    <cellStyle name="Title 6 10 3 3" xfId="39515" xr:uid="{9145F649-BC2E-42CD-A140-BC852AD94674}"/>
    <cellStyle name="Title 6 10 4" xfId="21257" xr:uid="{DF0FE813-BCEA-416B-BA76-A56F36584B32}"/>
    <cellStyle name="Title 6 10 5" xfId="39516" xr:uid="{A76B1715-A5E5-4995-9555-EE6B27324484}"/>
    <cellStyle name="Title 6 10 5 2" xfId="39517" xr:uid="{7FDE80CB-241A-4E23-89F5-6714615CB5F2}"/>
    <cellStyle name="Title 6 10 5 3" xfId="39518" xr:uid="{1458E55B-90BA-457A-81F8-ABE18A4C8194}"/>
    <cellStyle name="Title 6 10 6" xfId="39519" xr:uid="{FB13841F-DA3F-4BC4-8758-74DEB68C7E1F}"/>
    <cellStyle name="Title 6 11" xfId="21258" xr:uid="{1CBE0DA5-F9B0-46C0-B540-3820D0377FB4}"/>
    <cellStyle name="Title 6 11 2" xfId="21259" xr:uid="{14FA36C0-D7EF-4A75-8066-65D312A4EBE0}"/>
    <cellStyle name="Title 6 11 2 2" xfId="21260" xr:uid="{CA2019FD-4335-432D-8CF8-96D5E4FB61DB}"/>
    <cellStyle name="Title 6 11 2 3" xfId="39520" xr:uid="{7BD12D11-2609-4055-B014-290D4517DFF8}"/>
    <cellStyle name="Title 6 11 3" xfId="21261" xr:uid="{523F6C60-54B1-4B74-B43B-879DC4367312}"/>
    <cellStyle name="Title 6 11 3 2" xfId="39521" xr:uid="{8F4D5BE2-62AF-47D8-8154-510795017322}"/>
    <cellStyle name="Title 6 11 3 3" xfId="39522" xr:uid="{9626265A-4AD9-4B98-B1DD-C877FDFB4F71}"/>
    <cellStyle name="Title 6 11 4" xfId="21262" xr:uid="{5BB4C54B-BE5A-4D61-ACE8-9E52FF53F2F0}"/>
    <cellStyle name="Title 6 11 5" xfId="39523" xr:uid="{68DFC267-E922-4E6C-8729-C889615224D6}"/>
    <cellStyle name="Title 6 11 5 2" xfId="39524" xr:uid="{33A5359C-3593-4691-99D3-EAC89CE59895}"/>
    <cellStyle name="Title 6 11 5 3" xfId="39525" xr:uid="{13CAD620-D5CA-4E60-B70A-16CB65E6956B}"/>
    <cellStyle name="Title 6 11 6" xfId="39526" xr:uid="{396F7136-5F9D-4C44-A655-59CE89BD4A73}"/>
    <cellStyle name="Title 6 12" xfId="21263" xr:uid="{9B3D5B86-DCCC-4366-BF59-E22567F6BA70}"/>
    <cellStyle name="Title 6 12 2" xfId="21264" xr:uid="{CEDEBAF8-AD40-469E-B6C6-81D82AA17C8C}"/>
    <cellStyle name="Title 6 12 3" xfId="39527" xr:uid="{FA9185AD-8AAA-40F3-9FF2-77D1C8F4BED5}"/>
    <cellStyle name="Title 6 13" xfId="21265" xr:uid="{B678F0E6-F8F1-456F-90CB-4FFC68F4C620}"/>
    <cellStyle name="Title 6 13 2" xfId="39528" xr:uid="{B04E372B-B807-44AB-B3F4-D24C9D15AC38}"/>
    <cellStyle name="Title 6 13 3" xfId="39529" xr:uid="{2B85EFC7-D27C-4EF0-A294-478CE133E0C7}"/>
    <cellStyle name="Title 6 14" xfId="21266" xr:uid="{071CB164-7F1A-4B4C-9E6C-EECB5A7A1166}"/>
    <cellStyle name="Title 6 15" xfId="39530" xr:uid="{2332E55B-41BF-4DDB-AC18-F024F709B046}"/>
    <cellStyle name="Title 6 15 2" xfId="39531" xr:uid="{B6013D75-C9D3-46DE-9330-5B593BC6F94E}"/>
    <cellStyle name="Title 6 15 3" xfId="39532" xr:uid="{56E1A0A7-0170-4684-8509-FD0217FDD30F}"/>
    <cellStyle name="Title 6 16" xfId="39533" xr:uid="{FB4485E4-7FBB-485F-AD6F-E519BA033BB3}"/>
    <cellStyle name="Title 6 2" xfId="21267" xr:uid="{C510C778-664A-4F53-A16B-2436FBCAF084}"/>
    <cellStyle name="Title 6 2 2" xfId="21268" xr:uid="{3F235C14-6858-4C4A-9C3B-EABF4ABC45FE}"/>
    <cellStyle name="Title 6 2 2 2" xfId="21269" xr:uid="{34C9A619-D003-448F-9A17-80577934379C}"/>
    <cellStyle name="Title 6 2 2 3" xfId="39534" xr:uid="{180ACE92-22CD-4A33-9C0D-1F2C7353B88D}"/>
    <cellStyle name="Title 6 2 3" xfId="21270" xr:uid="{D6A6270C-B215-4A59-BD39-1186973ADA9D}"/>
    <cellStyle name="Title 6 2 3 2" xfId="39535" xr:uid="{E9522638-8815-4069-BE24-5883F6AC53AB}"/>
    <cellStyle name="Title 6 2 3 3" xfId="39536" xr:uid="{A1E19087-F424-4FBE-B9F2-2B9EA9309B06}"/>
    <cellStyle name="Title 6 2 4" xfId="21271" xr:uid="{E519CA2A-16DE-4BE8-A9D4-2DBCC1A472BD}"/>
    <cellStyle name="Title 6 2 5" xfId="39537" xr:uid="{283D215B-0FC2-4079-9E0C-570A0AF05FCE}"/>
    <cellStyle name="Title 6 2 5 2" xfId="39538" xr:uid="{1BC3F858-1795-47C8-8064-4FFC74B227FC}"/>
    <cellStyle name="Title 6 2 5 3" xfId="39539" xr:uid="{9461DCD5-5C40-4E14-803E-1B51E268FF75}"/>
    <cellStyle name="Title 6 2 6" xfId="39540" xr:uid="{A6EDB63F-5E37-4702-B61D-354952028928}"/>
    <cellStyle name="Title 6 3" xfId="21272" xr:uid="{18B66A74-D060-4B23-B574-F80E753E677C}"/>
    <cellStyle name="Title 6 3 2" xfId="21273" xr:uid="{76B3D422-433B-4A3F-8604-AD663B6E7679}"/>
    <cellStyle name="Title 6 3 2 2" xfId="21274" xr:uid="{E12486ED-D36A-470A-94B1-079B2B6F6F90}"/>
    <cellStyle name="Title 6 3 2 3" xfId="39541" xr:uid="{9FAF4856-0786-4413-826E-5606C9D58E30}"/>
    <cellStyle name="Title 6 3 3" xfId="21275" xr:uid="{87A083A4-2F69-400C-ADD7-90509AF44BAE}"/>
    <cellStyle name="Title 6 3 3 2" xfId="39542" xr:uid="{B2692DBB-D467-462E-B51D-B2F6911BB1C1}"/>
    <cellStyle name="Title 6 3 3 3" xfId="39543" xr:uid="{C08B9CCE-C496-4433-8463-6ED9F8C91F3C}"/>
    <cellStyle name="Title 6 3 4" xfId="21276" xr:uid="{9519A504-2369-4ABC-B3FF-3AFCFF657E54}"/>
    <cellStyle name="Title 6 3 5" xfId="39544" xr:uid="{A3B51B99-2481-4B3E-AC39-7EB59A858642}"/>
    <cellStyle name="Title 6 3 5 2" xfId="39545" xr:uid="{547F497C-F438-4FF9-B6D5-14004D716E96}"/>
    <cellStyle name="Title 6 3 5 3" xfId="39546" xr:uid="{B458148B-0DC4-4FA2-A7E1-833599C3D29D}"/>
    <cellStyle name="Title 6 3 6" xfId="39547" xr:uid="{26A6C7C6-1BDB-48AD-8313-0D29FB284168}"/>
    <cellStyle name="Title 6 4" xfId="21277" xr:uid="{F86406B9-1622-49EC-9882-BF091FED6D62}"/>
    <cellStyle name="Title 6 4 2" xfId="21278" xr:uid="{CCA85E27-07B3-402B-A24F-25ABC7F6062C}"/>
    <cellStyle name="Title 6 4 2 2" xfId="21279" xr:uid="{E317F233-2555-434F-BAA6-ACF1ABB4AECB}"/>
    <cellStyle name="Title 6 4 2 3" xfId="39548" xr:uid="{E45A939E-A6BC-418D-8900-211743AF0FB5}"/>
    <cellStyle name="Title 6 4 3" xfId="21280" xr:uid="{364290E9-B4D9-4A75-9919-8318358FE7F2}"/>
    <cellStyle name="Title 6 4 3 2" xfId="39549" xr:uid="{04A990EF-567A-43BB-A223-52836F785BEA}"/>
    <cellStyle name="Title 6 4 3 3" xfId="39550" xr:uid="{0A3AAB55-2FED-4EB7-AB78-60959C9FBB8C}"/>
    <cellStyle name="Title 6 4 4" xfId="21281" xr:uid="{F5A75999-623A-4CC9-B469-37998FAF5541}"/>
    <cellStyle name="Title 6 4 5" xfId="39551" xr:uid="{C7AF9DAD-3C70-4B11-87C3-611AC5ECF29B}"/>
    <cellStyle name="Title 6 4 5 2" xfId="39552" xr:uid="{164A731F-1B8D-426C-9E12-4CF18BB508EC}"/>
    <cellStyle name="Title 6 4 5 3" xfId="39553" xr:uid="{B29B1A2D-DD9E-424B-94C2-631215627208}"/>
    <cellStyle name="Title 6 4 6" xfId="39554" xr:uid="{D4298B88-6696-44AF-BD05-51DCFC992433}"/>
    <cellStyle name="Title 6 5" xfId="21282" xr:uid="{A6EBC703-D0BB-4313-BBAD-868D16A686BE}"/>
    <cellStyle name="Title 6 5 2" xfId="21283" xr:uid="{9678C3E6-2F80-45FE-B292-F005CEB69B9D}"/>
    <cellStyle name="Title 6 5 2 2" xfId="21284" xr:uid="{CB3F7BB6-278E-4FCC-BB0A-3527F72C6B17}"/>
    <cellStyle name="Title 6 5 2 3" xfId="39555" xr:uid="{BE661C15-94A3-4D06-8CC4-CA2A9A4CA033}"/>
    <cellStyle name="Title 6 5 3" xfId="21285" xr:uid="{D3BDBF82-2070-42CF-835A-0C4B13C34695}"/>
    <cellStyle name="Title 6 5 3 2" xfId="39556" xr:uid="{DF1D60D3-9BC8-4912-9B5E-56723360C6C3}"/>
    <cellStyle name="Title 6 5 3 3" xfId="39557" xr:uid="{1E6300EC-84A6-4786-B7D4-AD53C6089B83}"/>
    <cellStyle name="Title 6 5 4" xfId="21286" xr:uid="{1C345E67-8ECE-4C8E-9AB3-8A3056F8E05A}"/>
    <cellStyle name="Title 6 5 5" xfId="39558" xr:uid="{5C48116E-F697-48FE-8430-C154915E8F3C}"/>
    <cellStyle name="Title 6 5 5 2" xfId="39559" xr:uid="{BC4A61D7-DD92-4A82-A3BF-AAFF16A52FBF}"/>
    <cellStyle name="Title 6 5 5 3" xfId="39560" xr:uid="{31EF11F0-3096-46A3-8B0E-8A678E2AC2FE}"/>
    <cellStyle name="Title 6 5 6" xfId="39561" xr:uid="{FC654B4D-38C5-4C15-AEC2-7C9E7BFBBD22}"/>
    <cellStyle name="Title 6 6" xfId="21287" xr:uid="{5580C56A-36B3-4AB5-AA35-D1970716B836}"/>
    <cellStyle name="Title 6 6 2" xfId="21288" xr:uid="{8733B1D2-EB26-42D8-925F-595A902ED446}"/>
    <cellStyle name="Title 6 6 2 2" xfId="21289" xr:uid="{ADA11E64-1202-4F95-A07D-BC0F43A7721A}"/>
    <cellStyle name="Title 6 6 2 3" xfId="39562" xr:uid="{21DFDEB6-DD85-4028-A8E1-F3FE3DC99194}"/>
    <cellStyle name="Title 6 6 3" xfId="21290" xr:uid="{3D3CB9C5-D311-4D7E-B10F-3D97AADB6DFE}"/>
    <cellStyle name="Title 6 6 3 2" xfId="39563" xr:uid="{B36CDC8C-5C6C-4822-B70C-2BAA60EBE4C9}"/>
    <cellStyle name="Title 6 6 3 3" xfId="39564" xr:uid="{B0C69FA3-EBC2-4EDD-8E5B-31241F7AFC11}"/>
    <cellStyle name="Title 6 6 4" xfId="21291" xr:uid="{8420B9F0-982B-4A98-A48D-3AC828C747B6}"/>
    <cellStyle name="Title 6 6 5" xfId="39565" xr:uid="{210FBF95-A9A6-4419-886D-3B83DA9773DE}"/>
    <cellStyle name="Title 6 6 5 2" xfId="39566" xr:uid="{197D61C8-9D43-47FF-855E-EFB7CA4C909A}"/>
    <cellStyle name="Title 6 6 5 3" xfId="39567" xr:uid="{0C1B16D4-0467-43E5-906F-EC93AFEA732A}"/>
    <cellStyle name="Title 6 6 6" xfId="39568" xr:uid="{9A150636-FB83-4354-B565-2F34EEB6EA13}"/>
    <cellStyle name="Title 6 7" xfId="21292" xr:uid="{7B1A752F-A468-4B33-93C1-CCC71A63CAD6}"/>
    <cellStyle name="Title 6 7 2" xfId="21293" xr:uid="{CDBCF173-71FA-4DC0-B169-1072139349C2}"/>
    <cellStyle name="Title 6 7 2 2" xfId="21294" xr:uid="{A46EBEC4-690C-41F6-AD4A-093E48846FE4}"/>
    <cellStyle name="Title 6 7 2 3" xfId="39569" xr:uid="{CD86A82B-00DF-4271-868D-B56FCF5CA3F2}"/>
    <cellStyle name="Title 6 7 3" xfId="21295" xr:uid="{EF7E8642-0A74-42D8-9B4F-A0E1185C88CE}"/>
    <cellStyle name="Title 6 7 3 2" xfId="39570" xr:uid="{B8E2F20F-34DE-43D0-AE5A-C6ABC245C303}"/>
    <cellStyle name="Title 6 7 3 3" xfId="39571" xr:uid="{65FF3B0A-BE6C-4791-8897-5591B8E12B04}"/>
    <cellStyle name="Title 6 7 4" xfId="21296" xr:uid="{402E244B-0C71-4EFA-9C3A-6ED07FAF72EC}"/>
    <cellStyle name="Title 6 7 5" xfId="39572" xr:uid="{8FF2D0F2-3CCD-4298-85D2-AE49DB8BF1A3}"/>
    <cellStyle name="Title 6 7 5 2" xfId="39573" xr:uid="{1A9A5393-3AB1-4813-8D52-2C4B6948FD51}"/>
    <cellStyle name="Title 6 7 5 3" xfId="39574" xr:uid="{6F03F6DD-CE80-40DF-9DF8-131C182244BD}"/>
    <cellStyle name="Title 6 7 6" xfId="39575" xr:uid="{C2C6D3D0-47ED-410B-948D-2DD209D9242D}"/>
    <cellStyle name="Title 6 8" xfId="21297" xr:uid="{2F44955A-B07F-45A0-B13B-21C875939A7F}"/>
    <cellStyle name="Title 6 8 2" xfId="21298" xr:uid="{6A6B4750-977E-42AA-BA71-5A67895BEA23}"/>
    <cellStyle name="Title 6 8 2 2" xfId="21299" xr:uid="{5B71EA2B-E7F1-49CB-9789-86BFA4BA987D}"/>
    <cellStyle name="Title 6 8 2 3" xfId="39576" xr:uid="{C7CE216B-1B73-4F3E-BF7E-DFE63D0F27D9}"/>
    <cellStyle name="Title 6 8 3" xfId="21300" xr:uid="{3C65FE05-5068-4523-889B-686AF35B4751}"/>
    <cellStyle name="Title 6 8 3 2" xfId="39577" xr:uid="{8BD5E6D0-25CB-44AF-AF1B-E31652222EE4}"/>
    <cellStyle name="Title 6 8 3 3" xfId="39578" xr:uid="{CCDC2974-8463-489D-B62A-70C8D6F3C5D6}"/>
    <cellStyle name="Title 6 8 4" xfId="21301" xr:uid="{DD816FFB-2B4D-48BA-A51A-68E3C69184EC}"/>
    <cellStyle name="Title 6 8 5" xfId="39579" xr:uid="{8E86F0F5-7825-4AD2-BCE6-2C7C58258355}"/>
    <cellStyle name="Title 6 8 5 2" xfId="39580" xr:uid="{32890DA3-D520-4C28-B89B-F645F13E7409}"/>
    <cellStyle name="Title 6 8 5 3" xfId="39581" xr:uid="{A4929D64-B9C8-47B7-AB59-69CEF1811140}"/>
    <cellStyle name="Title 6 8 6" xfId="39582" xr:uid="{5567B570-355E-43A5-B1E8-C106906DD71D}"/>
    <cellStyle name="Title 6 9" xfId="21302" xr:uid="{4B0FA8CE-A3EB-4454-89D9-F458993E1098}"/>
    <cellStyle name="Title 6 9 2" xfId="21303" xr:uid="{8425FC25-6D03-4C40-9236-3CD64E7CA69A}"/>
    <cellStyle name="Title 6 9 2 2" xfId="21304" xr:uid="{127F632B-149C-46BF-8C10-181123F7DFF1}"/>
    <cellStyle name="Title 6 9 2 3" xfId="39583" xr:uid="{C2C4A9DA-2BB3-413D-B30D-CE1603BFE24A}"/>
    <cellStyle name="Title 6 9 3" xfId="21305" xr:uid="{45518362-3A20-43EC-80ED-D7E09BA1B99F}"/>
    <cellStyle name="Title 6 9 3 2" xfId="39584" xr:uid="{9E32575C-E3C0-47F0-81C5-18A2729EE4CC}"/>
    <cellStyle name="Title 6 9 3 3" xfId="39585" xr:uid="{E513B2B4-6EB2-4128-B948-41CC318FBF96}"/>
    <cellStyle name="Title 6 9 4" xfId="21306" xr:uid="{140B57C0-75C0-4C42-9104-CE8C02701605}"/>
    <cellStyle name="Title 6 9 5" xfId="39586" xr:uid="{206893CE-599C-4E20-9C9F-58D79CDD3A44}"/>
    <cellStyle name="Title 6 9 5 2" xfId="39587" xr:uid="{F60CABB2-1A47-4C13-BD2D-34F4D8FF8AB5}"/>
    <cellStyle name="Title 6 9 5 3" xfId="39588" xr:uid="{EAD03004-4670-436E-AA39-6CF330619EDB}"/>
    <cellStyle name="Title 6 9 6" xfId="39589" xr:uid="{BE65619E-F9FF-4188-BF7F-95A0DA32C6A0}"/>
    <cellStyle name="Title 7" xfId="21307" xr:uid="{A5C3776E-4FEB-491C-97EB-C6EC948A9854}"/>
    <cellStyle name="Title 7 2" xfId="21308" xr:uid="{74FD467C-9BED-4292-A1D9-C1AE1A3EA48D}"/>
    <cellStyle name="Title 7 2 2" xfId="21309" xr:uid="{AF82A289-9A65-4A49-91F9-2965FCB1738C}"/>
    <cellStyle name="Title 7 2 3" xfId="39590" xr:uid="{14AE7EAA-18C2-40BE-A6D6-9D654D45F14B}"/>
    <cellStyle name="Title 7 3" xfId="21310" xr:uid="{6F45C034-34B4-45F7-950D-3AA4249894DA}"/>
    <cellStyle name="Title 7 3 2" xfId="39591" xr:uid="{BDFB0F93-C647-4475-ACED-4D34C68381EB}"/>
    <cellStyle name="Title 7 3 3" xfId="39592" xr:uid="{14B7B661-9F9E-45CC-80F4-7F5A0EAA48D7}"/>
    <cellStyle name="Title 7 4" xfId="21311" xr:uid="{4064BBDD-80F5-484F-803B-36B2BBE5C4D8}"/>
    <cellStyle name="Title 7 5" xfId="39593" xr:uid="{D46AB291-6EE4-4D56-8477-A6B3913B9D37}"/>
    <cellStyle name="Title 7 5 2" xfId="39594" xr:uid="{64443111-7C2E-4F56-8189-922FC1713C1A}"/>
    <cellStyle name="Title 7 5 3" xfId="39595" xr:uid="{7F88195D-41D0-4EA4-AD95-283D04D40894}"/>
    <cellStyle name="Title 7 6" xfId="39596" xr:uid="{774CA273-A890-4087-A25A-184DCD79C3B8}"/>
    <cellStyle name="Title 8" xfId="21312" xr:uid="{0A377B01-A346-4059-ADE1-60C3CE7E40CC}"/>
    <cellStyle name="Title 8 2" xfId="21313" xr:uid="{CAA54C1C-8E7D-46E7-8DC1-E27324F2E9F6}"/>
    <cellStyle name="Title 8 2 2" xfId="21314" xr:uid="{29B40E0F-CE3C-455C-A855-28874AE0128A}"/>
    <cellStyle name="Title 8 2 3" xfId="39597" xr:uid="{7EA4C765-3070-4DFE-A6AA-99BA53BD68E9}"/>
    <cellStyle name="Title 8 3" xfId="21315" xr:uid="{23E0992A-5E1B-4421-9FE1-09E5833C860B}"/>
    <cellStyle name="Title 8 3 2" xfId="39598" xr:uid="{AD1D4253-43DC-4D45-A59D-E11A1CAF8A47}"/>
    <cellStyle name="Title 8 3 3" xfId="39599" xr:uid="{878EBD16-ADD3-4634-807B-FF5DAFFBA1C2}"/>
    <cellStyle name="Title 8 4" xfId="21316" xr:uid="{AE33D2F3-F829-4AE2-9E43-D808B96F9233}"/>
    <cellStyle name="Title 8 5" xfId="39600" xr:uid="{4D2BEA14-38F6-4995-8467-6BCF6D179109}"/>
    <cellStyle name="Title 8 5 2" xfId="39601" xr:uid="{BC0DCC94-FAA2-4889-A19A-17C966286257}"/>
    <cellStyle name="Title 8 5 3" xfId="39602" xr:uid="{07384615-BC4C-4F67-953B-E0528E15A223}"/>
    <cellStyle name="Title 8 6" xfId="39603" xr:uid="{B786FAFA-7EA5-4D87-B83B-2D9326CBBE07}"/>
    <cellStyle name="Title 9" xfId="21317" xr:uid="{233A2889-87B4-41D6-A4C8-29444CFB03BE}"/>
    <cellStyle name="Title 9 2" xfId="21318" xr:uid="{FF867548-5820-4D55-B40D-AACB7C8D3E73}"/>
    <cellStyle name="Title 9 2 2" xfId="21319" xr:uid="{A9BD7B44-30A2-4400-B031-AC9FB5099FE0}"/>
    <cellStyle name="Title 9 2 3" xfId="39604" xr:uid="{1233A31D-B0A5-4185-80BF-B8D0E46507C3}"/>
    <cellStyle name="Title 9 3" xfId="21320" xr:uid="{1549859C-8F03-4E90-8442-E025ABF0B292}"/>
    <cellStyle name="Title 9 3 2" xfId="39605" xr:uid="{64D72F18-3314-43E6-9C31-F60F5DA6C5D4}"/>
    <cellStyle name="Title 9 3 3" xfId="39606" xr:uid="{A40AEF93-00B4-43F0-851F-F7815ED42287}"/>
    <cellStyle name="Title 9 4" xfId="21321" xr:uid="{D2DFB06D-ABEC-4512-9852-62108E133FD9}"/>
    <cellStyle name="Title 9 5" xfId="39607" xr:uid="{FB58AED7-206B-4062-A64A-ACC9179D62DA}"/>
    <cellStyle name="Title 9 5 2" xfId="39608" xr:uid="{90CA413D-60F5-4975-B3E4-63B7A1543C46}"/>
    <cellStyle name="Title 9 5 3" xfId="39609" xr:uid="{DA669AB3-D38F-4BF5-B4E4-4AD7DC3E465A}"/>
    <cellStyle name="Title 9 6" xfId="39610" xr:uid="{DB1816D0-EA3F-4382-9A9F-BBFC962D2975}"/>
    <cellStyle name="Titolo 3 2" xfId="21326" xr:uid="{BF005482-914A-403C-91CD-EF0C43C7E4D6}"/>
    <cellStyle name="Titolo 3 2 2" xfId="21327" xr:uid="{898A2A8F-3287-42BA-B123-4636A260A2E2}"/>
    <cellStyle name="Titolo 3 2 3" xfId="39611" xr:uid="{0B73FAA0-96AE-41C0-95AB-E9206920328E}"/>
    <cellStyle name="Titolo 3 3" xfId="21328" xr:uid="{068709EE-3595-4151-83D3-9558AB8E4C54}"/>
    <cellStyle name="Titolo 3 3 2" xfId="21329" xr:uid="{F80B87FE-6DAF-4BBA-9E1E-903B5B5EC495}"/>
    <cellStyle name="Titolo 3 3 3" xfId="39612" xr:uid="{AB4DC340-3395-4142-AC07-75E38A5843A2}"/>
    <cellStyle name="Titolo 3 4" xfId="21330" xr:uid="{B2937A56-118B-4227-AD72-9CFFDE4BF53A}"/>
    <cellStyle name="Titolo 3 4 2" xfId="21331" xr:uid="{9341E817-94AD-416C-AB16-5FC08293694C}"/>
    <cellStyle name="Titolo 3 4 3" xfId="39613" xr:uid="{FBC8072A-694F-437C-846C-DAD825E943A4}"/>
    <cellStyle name="Titolo 3 5" xfId="21332" xr:uid="{F0BE6614-E084-4010-A2C8-3EB20A8CBB9B}"/>
    <cellStyle name="Titolo 3 5 2" xfId="21333" xr:uid="{0FE844C3-91CC-4BDE-A96E-E89AD7A53717}"/>
    <cellStyle name="Titolo 3 5 3" xfId="39614" xr:uid="{8A7E4590-4A16-48B0-BD05-E8A6AB4A6EDC}"/>
    <cellStyle name="Titolo 3 6" xfId="21334" xr:uid="{3F241E9C-58CB-40F3-B334-B26846D26FEC}"/>
    <cellStyle name="Titolo 3 7" xfId="21335" xr:uid="{59B0FD35-2D67-4DAA-A017-FC16CC1BDC90}"/>
    <cellStyle name="Titolo 3 8" xfId="39615" xr:uid="{0A9E813A-7F1A-4CA1-8BD7-EE3E5B39ECB0}"/>
    <cellStyle name="Titre" xfId="21337" xr:uid="{408795EF-6226-4527-83C0-9C2D902736B5}"/>
    <cellStyle name="Titre 1" xfId="21338" xr:uid="{39D5C045-364F-436F-80F3-915DBFD49EE2}"/>
    <cellStyle name="Titre 2" xfId="21339" xr:uid="{635479F3-5476-4FE8-AE85-E8ED7E03D3E9}"/>
    <cellStyle name="Titre 3" xfId="21340" xr:uid="{FB594D92-FC6A-4B6E-B9B2-964700427C8D}"/>
    <cellStyle name="Titre 3 2" xfId="21341" xr:uid="{6D2919A3-953B-4E66-B398-566CE5B3D579}"/>
    <cellStyle name="Titre 3 2 2" xfId="21342" xr:uid="{48C7CBCC-33F5-41CA-8FC9-6BA1135282B9}"/>
    <cellStyle name="Titre 3 2 3" xfId="39616" xr:uid="{EDFACF46-A8AF-4C4E-B9F9-D80518020235}"/>
    <cellStyle name="Titre 3 3" xfId="21343" xr:uid="{828A2ED2-F439-49A9-8C22-65A7D490D87D}"/>
    <cellStyle name="Titre 3 3 2" xfId="21344" xr:uid="{0139F103-A454-4D9B-B778-3106E7F4D035}"/>
    <cellStyle name="Titre 3 3 3" xfId="39617" xr:uid="{A3F437A8-40D4-43B7-948B-18B90C4CF0C0}"/>
    <cellStyle name="Titre 3 4" xfId="21345" xr:uid="{480131C3-4F6B-42AC-92E5-BD2B6A3D8F12}"/>
    <cellStyle name="Titre 3 4 2" xfId="21346" xr:uid="{004DD0A5-4D82-4021-8A36-E0A4546EF03C}"/>
    <cellStyle name="Titre 3 4 3" xfId="39618" xr:uid="{C00152E2-D474-42A9-8A1F-DE82C5D3A765}"/>
    <cellStyle name="Titre 3 5" xfId="21347" xr:uid="{BCB57507-6EC2-47B9-8E21-44D912DB5619}"/>
    <cellStyle name="Titre 3 6" xfId="39619" xr:uid="{FDF8771D-FE2C-4696-B540-DE307A2E822A}"/>
    <cellStyle name="Titre 4" xfId="21348" xr:uid="{B25E5499-2050-48FE-A6DA-B7A863722816}"/>
    <cellStyle name="Total" xfId="23788" builtinId="25" customBuiltin="1"/>
    <cellStyle name="Total 10" xfId="21349" xr:uid="{3E5E9923-D020-4A3C-9F54-D74BE6F428D8}"/>
    <cellStyle name="Total 10 10" xfId="21350" xr:uid="{7E493B3B-BD91-486C-ABF5-DBB261FE23E7}"/>
    <cellStyle name="Total 10 10 2" xfId="39620" xr:uid="{62D00A57-F231-4755-BD15-0AE5BE76631E}"/>
    <cellStyle name="Total 10 10 3" xfId="39621" xr:uid="{9C4318E2-10A5-4A99-9C09-C5B4270ED594}"/>
    <cellStyle name="Total 10 11" xfId="21351" xr:uid="{D1C40FDB-6C80-48D5-B4E6-5CED2CE2074C}"/>
    <cellStyle name="Total 10 11 2" xfId="39622" xr:uid="{DF8F5FA6-43C0-40B8-BE5D-DD14BB3BA97D}"/>
    <cellStyle name="Total 10 12" xfId="39623" xr:uid="{F03BD8EE-C255-4F04-B538-FBDEA81CD5CC}"/>
    <cellStyle name="Total 10 2" xfId="21352" xr:uid="{FBB22FD3-8AEF-4E6D-AF11-B0DF01B90440}"/>
    <cellStyle name="Total 10 2 10" xfId="21353" xr:uid="{A6B13208-5654-444D-920E-5BC26E04D0EF}"/>
    <cellStyle name="Total 10 2 10 2" xfId="39624" xr:uid="{0E469C4E-081B-459A-B382-A46F34DF9FE8}"/>
    <cellStyle name="Total 10 2 11" xfId="39625" xr:uid="{9FDD171A-BFD7-4DD5-9490-DFF3DBF23D06}"/>
    <cellStyle name="Total 10 2 2" xfId="21354" xr:uid="{B8512371-BE68-4EF5-8199-7A6FF493170E}"/>
    <cellStyle name="Total 10 2 2 2" xfId="21355" xr:uid="{81BAA202-FA9C-4363-B601-DA512BD34073}"/>
    <cellStyle name="Total 10 2 2 2 2" xfId="39626" xr:uid="{E4784C57-506C-43D1-AF3F-B71C81D60484}"/>
    <cellStyle name="Total 10 2 2 2 3" xfId="39627" xr:uid="{780C2AE0-CAD7-45F8-AA77-2FD0A0BBC753}"/>
    <cellStyle name="Total 10 2 2 3" xfId="21356" xr:uid="{70CB0945-E614-4EDB-8BCE-2760B12C2EE3}"/>
    <cellStyle name="Total 10 2 2 3 2" xfId="21357" xr:uid="{7F45B94A-6864-4B3E-826D-836FD8B1B43F}"/>
    <cellStyle name="Total 10 2 2 4" xfId="21358" xr:uid="{0195725E-7500-4EC0-978C-0731C695D3B8}"/>
    <cellStyle name="Total 10 2 2 5" xfId="39628" xr:uid="{58D89DB3-BF5D-48F9-8003-E9C9E2EF44A8}"/>
    <cellStyle name="Total 10 2 3" xfId="21359" xr:uid="{02F01216-A1EF-4E3E-BBFD-D123D654663A}"/>
    <cellStyle name="Total 10 2 3 2" xfId="21360" xr:uid="{403F120D-8883-40E1-930C-9D6F7DE7D543}"/>
    <cellStyle name="Total 10 2 3 3" xfId="39629" xr:uid="{3A50E73A-D898-447F-B475-CC5C23A0C126}"/>
    <cellStyle name="Total 10 2 4" xfId="21361" xr:uid="{A17BD3D9-413F-48D7-8100-367E8538FEFE}"/>
    <cellStyle name="Total 10 2 4 2" xfId="21362" xr:uid="{68D9ACD9-BA21-42D1-BBB9-A6E260BB7C8D}"/>
    <cellStyle name="Total 10 2 4 3" xfId="39630" xr:uid="{5DDF8689-5E75-4ABF-9CC4-AE2748EFBF94}"/>
    <cellStyle name="Total 10 2 5" xfId="21363" xr:uid="{3C7F4338-4F73-425A-A6F8-9AD7FF452660}"/>
    <cellStyle name="Total 10 2 5 2" xfId="21364" xr:uid="{12F3513A-94BE-435D-9D7A-6BF2A78625B5}"/>
    <cellStyle name="Total 10 2 5 3" xfId="39631" xr:uid="{71982F20-DC09-4255-8C11-B2F01BF49EBA}"/>
    <cellStyle name="Total 10 2 6" xfId="21365" xr:uid="{06D0EC4B-B263-451C-A6C8-4B1DC229FAE9}"/>
    <cellStyle name="Total 10 2 6 2" xfId="21366" xr:uid="{3757BF11-B62E-4DA7-A5A8-1BA1FF466E4B}"/>
    <cellStyle name="Total 10 2 6 3" xfId="39632" xr:uid="{4F81BB25-E3F6-43C0-9A24-666716054203}"/>
    <cellStyle name="Total 10 2 7" xfId="21367" xr:uid="{FC08834F-631B-46AB-A539-417BCCD94215}"/>
    <cellStyle name="Total 10 2 7 2" xfId="21368" xr:uid="{B48822C8-9ED5-46EF-9856-9F104112F06C}"/>
    <cellStyle name="Total 10 2 7 3" xfId="39633" xr:uid="{454F7022-7BF5-4214-9C17-35C8020E89D9}"/>
    <cellStyle name="Total 10 2 8" xfId="21369" xr:uid="{2F8829C6-4DF6-498B-A5E4-8F0746BA62EB}"/>
    <cellStyle name="Total 10 2 8 2" xfId="21370" xr:uid="{BFAB3190-89C0-4348-9DAE-1E08FD9B84F2}"/>
    <cellStyle name="Total 10 2 8 3" xfId="39634" xr:uid="{F90AD29A-3B58-4779-BAD8-9A2404D533A1}"/>
    <cellStyle name="Total 10 2 9" xfId="21371" xr:uid="{A2D5CA0F-1587-4256-8F82-34BDB1307094}"/>
    <cellStyle name="Total 10 2 9 2" xfId="39635" xr:uid="{0AD8D7B2-4613-4093-B8DD-C62491C5C053}"/>
    <cellStyle name="Total 10 2 9 3" xfId="39636" xr:uid="{16DD35DF-D81F-4C6B-A075-B92BC4803C3E}"/>
    <cellStyle name="Total 10 3" xfId="21372" xr:uid="{4CECFEC6-307C-4309-A523-B66322A0BA80}"/>
    <cellStyle name="Total 10 3 2" xfId="21373" xr:uid="{799207BC-3069-4F9D-B197-7638D40909FA}"/>
    <cellStyle name="Total 10 3 2 2" xfId="39637" xr:uid="{7C8A9A45-1518-4995-B3A1-3147E0126849}"/>
    <cellStyle name="Total 10 3 2 3" xfId="39638" xr:uid="{EB43F602-4116-4FC1-9FFD-52DB2C5CD5EF}"/>
    <cellStyle name="Total 10 3 2 4" xfId="39639" xr:uid="{8CF49AFB-FDF8-450D-B705-1169ADCCCD73}"/>
    <cellStyle name="Total 10 3 3" xfId="21374" xr:uid="{A5A9B492-8069-4A8E-B17E-029EC92FE95A}"/>
    <cellStyle name="Total 10 3 3 2" xfId="21375" xr:uid="{62B28E7B-76AE-46AF-AEBE-23A20116D13F}"/>
    <cellStyle name="Total 10 3 4" xfId="21376" xr:uid="{1CA52E1E-D91A-4C51-A5AD-864509F4A970}"/>
    <cellStyle name="Total 10 3 5" xfId="39640" xr:uid="{0ACF3FC9-89EE-4C3B-9BFB-E9EC8B4CDBD3}"/>
    <cellStyle name="Total 10 4" xfId="21377" xr:uid="{6A49E7D7-2EF7-4E71-8C53-2A8C6B3DE3DB}"/>
    <cellStyle name="Total 10 4 2" xfId="21378" xr:uid="{0969477A-EEE7-4B21-BC69-1F2D031F4EA3}"/>
    <cellStyle name="Total 10 4 2 2" xfId="39641" xr:uid="{CA1990E5-7A8C-482E-AFFA-E9EF588CE188}"/>
    <cellStyle name="Total 10 4 2 3" xfId="39642" xr:uid="{8C6C4511-B609-41CD-BF77-6A6EBDE84E1F}"/>
    <cellStyle name="Total 10 4 3" xfId="21379" xr:uid="{9418B895-9859-4039-9D2F-75C1EE201614}"/>
    <cellStyle name="Total 10 4 4" xfId="39643" xr:uid="{32BFB6BA-3681-4E98-A086-657C32990D43}"/>
    <cellStyle name="Total 10 4 5" xfId="39644" xr:uid="{36249C5A-28A8-4923-A35D-34A16C38E7A5}"/>
    <cellStyle name="Total 10 5" xfId="21380" xr:uid="{879D15E1-8CC1-4F75-ADA6-C4FE43AB8C70}"/>
    <cellStyle name="Total 10 5 2" xfId="21381" xr:uid="{A7AD7DF4-8C2A-4C61-8AE2-4F92A6854758}"/>
    <cellStyle name="Total 10 5 2 2" xfId="39645" xr:uid="{6002B7E7-C00F-4DEA-A106-74BD5B9B6B94}"/>
    <cellStyle name="Total 10 5 2 3" xfId="39646" xr:uid="{0C5C1082-E48E-4090-8773-2F3A76D264D8}"/>
    <cellStyle name="Total 10 5 3" xfId="39647" xr:uid="{3C230903-7FD8-4A37-907E-98D4ED6E025A}"/>
    <cellStyle name="Total 10 5 4" xfId="39648" xr:uid="{E4880214-5274-40D9-BBB8-3DA45688BEA2}"/>
    <cellStyle name="Total 10 6" xfId="21382" xr:uid="{01DCD1B5-3C89-4B80-A013-C81D687A2215}"/>
    <cellStyle name="Total 10 6 2" xfId="21383" xr:uid="{CB77EFF7-20EE-4805-A720-299B5ED71E44}"/>
    <cellStyle name="Total 10 6 3" xfId="39649" xr:uid="{854CAD5E-F530-4D82-98BA-7A91155EFC77}"/>
    <cellStyle name="Total 10 7" xfId="21384" xr:uid="{8E93BCEC-5C31-4BA3-B750-F93B22C48FB7}"/>
    <cellStyle name="Total 10 7 2" xfId="21385" xr:uid="{7D3110EC-1A75-401C-8484-C7A02E7C3779}"/>
    <cellStyle name="Total 10 7 3" xfId="39650" xr:uid="{42DFF194-F757-44C8-B8C9-4702034699EE}"/>
    <cellStyle name="Total 10 8" xfId="21386" xr:uid="{D3AE86A2-7742-488D-9721-F25B60739179}"/>
    <cellStyle name="Total 10 8 2" xfId="21387" xr:uid="{68E0A612-803C-4980-8A65-57F30A727523}"/>
    <cellStyle name="Total 10 8 3" xfId="39651" xr:uid="{38E6F906-CBEA-4782-9310-71D42F4A8848}"/>
    <cellStyle name="Total 10 9" xfId="21388" xr:uid="{E962918E-E3C4-4AC9-A9DA-701E8AFB4909}"/>
    <cellStyle name="Total 10 9 2" xfId="21389" xr:uid="{34F1DB1D-014C-4ACE-9CCF-893F78138585}"/>
    <cellStyle name="Total 10 9 3" xfId="39652" xr:uid="{DF541545-77A6-409E-8032-3D930E2D9683}"/>
    <cellStyle name="Total 11" xfId="39653" xr:uid="{0B00AE72-495B-4679-A168-392C57D55198}"/>
    <cellStyle name="Total 12" xfId="39654" xr:uid="{1A291660-3DB9-4EEF-A85E-A1911681FCAB}"/>
    <cellStyle name="Total 13" xfId="39655" xr:uid="{E2DDE0FB-D9E2-4783-806F-7D9960580C8B}"/>
    <cellStyle name="Total 14" xfId="39656" xr:uid="{C8026A7A-2117-4021-A402-35AC67BE1787}"/>
    <cellStyle name="Total 15" xfId="39657" xr:uid="{DCFCD28E-C85E-4131-B661-7616A76674A9}"/>
    <cellStyle name="Total 16" xfId="39658" xr:uid="{5121B0A4-3094-4DF1-B54E-D2000D8EB38C}"/>
    <cellStyle name="Total 17" xfId="39659" xr:uid="{3002A830-D286-41A5-A5EE-61665D668BAE}"/>
    <cellStyle name="Total 18" xfId="39660" xr:uid="{820751BE-3F60-4CB0-A353-E3BE9C80068E}"/>
    <cellStyle name="Total 19" xfId="39661" xr:uid="{D5EEC79F-7F9F-44AE-B468-C3F413603DFD}"/>
    <cellStyle name="Total 2" xfId="21390" xr:uid="{8C7C90E7-BE4C-4522-8574-0636935DBA9C}"/>
    <cellStyle name="Total 2 10" xfId="21391" xr:uid="{63AD7FA5-6F50-48DF-992A-2E7FBE6C6E91}"/>
    <cellStyle name="Total 2 10 10" xfId="21392" xr:uid="{6F42B1BD-3748-4C1B-8F60-D894BBE9C3A5}"/>
    <cellStyle name="Total 2 10 10 2" xfId="39662" xr:uid="{AC7D186D-4840-4A21-80EC-534230D1B4B6}"/>
    <cellStyle name="Total 2 10 10 3" xfId="39663" xr:uid="{201A664A-A243-4023-AC58-3F43EB69F7E8}"/>
    <cellStyle name="Total 2 10 11" xfId="21393" xr:uid="{FB39CE6C-EA0B-4AB3-ABB1-E73F307FC0A2}"/>
    <cellStyle name="Total 2 10 11 2" xfId="39664" xr:uid="{92D2C951-FCA7-4477-94D4-AFA6853B6878}"/>
    <cellStyle name="Total 2 10 12" xfId="39665" xr:uid="{8D1387C9-6C68-4CB5-A06B-C90117C14EF8}"/>
    <cellStyle name="Total 2 10 13" xfId="39666" xr:uid="{CD5B3C12-A9CA-4BE3-BF54-D2A700C3088B}"/>
    <cellStyle name="Total 2 10 2" xfId="21394" xr:uid="{D2F72E6D-C43B-4666-AB1A-08AACC7B205C}"/>
    <cellStyle name="Total 2 10 2 10" xfId="21395" xr:uid="{F448E832-4F84-42DE-927A-288073E89D50}"/>
    <cellStyle name="Total 2 10 2 10 2" xfId="39667" xr:uid="{FF7C5AB4-D166-43E3-9C26-3C1BD50D6C57}"/>
    <cellStyle name="Total 2 10 2 11" xfId="39668" xr:uid="{21680722-D8D0-4D48-9EFD-B8C08B30A289}"/>
    <cellStyle name="Total 2 10 2 2" xfId="21396" xr:uid="{618B241F-1E7E-403A-9458-CC3EA8285759}"/>
    <cellStyle name="Total 2 10 2 2 2" xfId="21397" xr:uid="{91685605-65FB-435F-945D-E806AB9AC996}"/>
    <cellStyle name="Total 2 10 2 2 2 2" xfId="39669" xr:uid="{49482CD5-262A-49A6-81C5-F69D71EDDF31}"/>
    <cellStyle name="Total 2 10 2 2 2 3" xfId="39670" xr:uid="{0AAF6FA9-9FC6-4FD6-8926-685FB1441CE2}"/>
    <cellStyle name="Total 2 10 2 2 3" xfId="21398" xr:uid="{828F870E-0563-43A1-B5DA-45F03BB3C95A}"/>
    <cellStyle name="Total 2 10 2 2 3 2" xfId="21399" xr:uid="{7B72D6C2-6851-4A39-820B-A94D055CA966}"/>
    <cellStyle name="Total 2 10 2 2 4" xfId="21400" xr:uid="{53D451D4-906B-41D5-B268-7D4B553584F0}"/>
    <cellStyle name="Total 2 10 2 2 5" xfId="39671" xr:uid="{E4DF4310-1AA4-45A4-B88E-5AF213B314DA}"/>
    <cellStyle name="Total 2 10 2 3" xfId="21401" xr:uid="{C81F8F2C-D79C-412D-A7D6-82CC80EE922F}"/>
    <cellStyle name="Total 2 10 2 3 2" xfId="21402" xr:uid="{4AB5C452-0346-4FB7-A08A-1793097779D2}"/>
    <cellStyle name="Total 2 10 2 3 3" xfId="39672" xr:uid="{F1F91201-5FE2-443C-926C-22E1BB8B5BCB}"/>
    <cellStyle name="Total 2 10 2 4" xfId="21403" xr:uid="{0FA81B8C-48B6-4409-AB0A-6DF225F77D37}"/>
    <cellStyle name="Total 2 10 2 4 2" xfId="21404" xr:uid="{2ACEE8F3-53F9-4FCD-9E98-A58141F957B7}"/>
    <cellStyle name="Total 2 10 2 4 3" xfId="39673" xr:uid="{C332E50F-EEA5-4BB3-B6E8-AD807F0ACAE5}"/>
    <cellStyle name="Total 2 10 2 5" xfId="21405" xr:uid="{C65F7031-36C4-4DC2-B8AC-6A4329B95007}"/>
    <cellStyle name="Total 2 10 2 5 2" xfId="21406" xr:uid="{2C3C85C7-2511-4AC7-929E-2BD7A4ACEE49}"/>
    <cellStyle name="Total 2 10 2 5 3" xfId="39674" xr:uid="{2D282E00-E089-44D9-9B4F-09BEF0654B69}"/>
    <cellStyle name="Total 2 10 2 6" xfId="21407" xr:uid="{1A2A7481-522E-4B4F-B3AC-BB6FBCFAF660}"/>
    <cellStyle name="Total 2 10 2 6 2" xfId="21408" xr:uid="{AD8D5E4D-86EB-43CB-9B8E-DD62606362C5}"/>
    <cellStyle name="Total 2 10 2 6 3" xfId="39675" xr:uid="{9D004998-2056-40DD-8C6B-2E2E4005928C}"/>
    <cellStyle name="Total 2 10 2 7" xfId="21409" xr:uid="{8883495B-8EBA-443B-B3DE-7E8D5D14CAE4}"/>
    <cellStyle name="Total 2 10 2 7 2" xfId="21410" xr:uid="{61FA4B28-6D9E-4CF3-A0A0-2A17E8CE59A5}"/>
    <cellStyle name="Total 2 10 2 7 3" xfId="39676" xr:uid="{8C7BD106-CE40-4DE3-8161-1529F3931DC1}"/>
    <cellStyle name="Total 2 10 2 8" xfId="21411" xr:uid="{A3546143-6F16-495E-A1F4-4190C4638EAC}"/>
    <cellStyle name="Total 2 10 2 8 2" xfId="21412" xr:uid="{B6A81A46-0FE4-43E7-8822-31AD976C057F}"/>
    <cellStyle name="Total 2 10 2 8 3" xfId="39677" xr:uid="{3CB6F1D2-7CF7-4B52-9A95-67EB5017B856}"/>
    <cellStyle name="Total 2 10 2 9" xfId="21413" xr:uid="{D00033B1-1032-4805-BEDF-4EA84B8A81F2}"/>
    <cellStyle name="Total 2 10 2 9 2" xfId="39678" xr:uid="{2994DAB7-83EA-46FA-AB49-2FFBB10048B8}"/>
    <cellStyle name="Total 2 10 2 9 3" xfId="39679" xr:uid="{BBC975C7-51AE-4BF7-9296-259303DEFDB0}"/>
    <cellStyle name="Total 2 10 3" xfId="21414" xr:uid="{62EF8D16-ECFD-42D3-A718-A57B4C86F2C8}"/>
    <cellStyle name="Total 2 10 3 2" xfId="21415" xr:uid="{DDC46615-15A1-4FD8-B0B2-FBC32012FA5C}"/>
    <cellStyle name="Total 2 10 3 2 2" xfId="39680" xr:uid="{2EFDBD9F-33CA-459A-B30C-0149369320FB}"/>
    <cellStyle name="Total 2 10 3 2 3" xfId="39681" xr:uid="{B53A6D41-01AB-4FE7-9BD6-205BFDFC4CFF}"/>
    <cellStyle name="Total 2 10 3 2 4" xfId="39682" xr:uid="{1B864BDF-5AD9-49B8-9441-C3633B1C9635}"/>
    <cellStyle name="Total 2 10 3 3" xfId="21416" xr:uid="{B56B3CAB-1E70-4A82-828B-8CDAA54C7E0E}"/>
    <cellStyle name="Total 2 10 3 3 2" xfId="21417" xr:uid="{8ABAB1BD-2311-4427-8794-C0208049025B}"/>
    <cellStyle name="Total 2 10 3 4" xfId="21418" xr:uid="{F50148A6-D46D-4AD9-ABBE-E01302F81032}"/>
    <cellStyle name="Total 2 10 3 5" xfId="39683" xr:uid="{C02D5D77-6EA1-4BB0-AF4F-DFC5BDB843B2}"/>
    <cellStyle name="Total 2 10 4" xfId="21419" xr:uid="{93C42E21-867F-4751-AD2B-73C1BC04EB89}"/>
    <cellStyle name="Total 2 10 4 2" xfId="21420" xr:uid="{810EF98A-0799-45F2-9CF9-637F665A91E4}"/>
    <cellStyle name="Total 2 10 4 2 2" xfId="21421" xr:uid="{5B134401-061D-4996-A891-1420BA474F0A}"/>
    <cellStyle name="Total 2 10 4 2 2 2" xfId="39684" xr:uid="{067C2993-A50D-449D-BB5C-42F9BB619D68}"/>
    <cellStyle name="Total 2 10 4 2 3" xfId="39685" xr:uid="{0CCC8318-D9F3-4891-A928-D8051A7730B9}"/>
    <cellStyle name="Total 2 10 4 2 3 2" xfId="39686" xr:uid="{1230E189-F378-49A0-B017-759C3C833EC1}"/>
    <cellStyle name="Total 2 10 4 2 4" xfId="39687" xr:uid="{989AAD46-7776-462A-B0B8-D87173B37208}"/>
    <cellStyle name="Total 2 10 4 2 5" xfId="39688" xr:uid="{946E722B-00B6-47F2-9488-C5FC5F10434E}"/>
    <cellStyle name="Total 2 10 4 2 6" xfId="39689" xr:uid="{BCE58F47-69D7-4B70-87BF-354F5489A228}"/>
    <cellStyle name="Total 2 10 4 3" xfId="21422" xr:uid="{B285455A-23A6-43B7-96A1-3ABB8070B143}"/>
    <cellStyle name="Total 2 10 4 3 2" xfId="39690" xr:uid="{B2C77AB7-7030-4159-9143-F379D966512F}"/>
    <cellStyle name="Total 2 10 4 4" xfId="39691" xr:uid="{70349485-1560-4F42-BA19-63E35A4E5713}"/>
    <cellStyle name="Total 2 10 4 4 2" xfId="39692" xr:uid="{7B5EBC25-A022-4669-AF9B-C212176D98A2}"/>
    <cellStyle name="Total 2 10 4 5" xfId="39693" xr:uid="{043E6F38-974B-4026-845E-AA9FE847B2F0}"/>
    <cellStyle name="Total 2 10 4 5 2" xfId="39694" xr:uid="{CD2ED7FC-757E-48B4-8DCF-5EE222C01230}"/>
    <cellStyle name="Total 2 10 4 6" xfId="39695" xr:uid="{E765E0BD-1778-46B1-B957-41A958663F36}"/>
    <cellStyle name="Total 2 10 4 7" xfId="39696" xr:uid="{5B2334B4-BADB-47EC-B5BB-054A7A082A38}"/>
    <cellStyle name="Total 2 10 4 8" xfId="39697" xr:uid="{96F69FE8-4D18-4DB1-BE4C-5E54BF0EF577}"/>
    <cellStyle name="Total 2 10 4 9" xfId="39698" xr:uid="{E02C117F-1DC3-4794-9DF9-F2BA3A6117BB}"/>
    <cellStyle name="Total 2 10 5" xfId="21423" xr:uid="{B05613F8-5B4A-43DF-B444-DB50C6526A16}"/>
    <cellStyle name="Total 2 10 5 2" xfId="21424" xr:uid="{230EF30F-E6F5-4865-889E-B12AC1571A27}"/>
    <cellStyle name="Total 2 10 5 2 2" xfId="39699" xr:uid="{B763C31A-4551-42DC-8B94-B48115616886}"/>
    <cellStyle name="Total 2 10 5 2 3" xfId="39700" xr:uid="{A95EE12E-4430-4C3D-9CDD-D445CDA5AFFA}"/>
    <cellStyle name="Total 2 10 5 3" xfId="21425" xr:uid="{F762744E-4220-4A3D-B559-28221D92A171}"/>
    <cellStyle name="Total 2 10 5 4" xfId="39701" xr:uid="{E36AEDD1-5A32-46A2-A33E-5B628966C508}"/>
    <cellStyle name="Total 2 10 5 5" xfId="39702" xr:uid="{BD7FE525-EE79-408E-A445-84287225505A}"/>
    <cellStyle name="Total 2 10 6" xfId="21426" xr:uid="{FAEDA674-2F6E-43B4-98A3-7523D5B72B32}"/>
    <cellStyle name="Total 2 10 6 2" xfId="21427" xr:uid="{0C4C742E-2C53-4105-8C25-0FD01D4ED2E9}"/>
    <cellStyle name="Total 2 10 6 2 2" xfId="39703" xr:uid="{9DCF9CCB-E48D-49DE-9922-53C93667B11E}"/>
    <cellStyle name="Total 2 10 6 2 3" xfId="39704" xr:uid="{85A3DDFA-4E5B-451B-AD65-F8F45D7ACBD9}"/>
    <cellStyle name="Total 2 10 6 3" xfId="39705" xr:uid="{9EB1F6BC-F177-4C04-A848-7E598757FB28}"/>
    <cellStyle name="Total 2 10 6 4" xfId="39706" xr:uid="{335EC948-761A-4D67-8830-6C69784E3116}"/>
    <cellStyle name="Total 2 10 7" xfId="21428" xr:uid="{C4E5BEE8-3E56-41F4-A986-9103257DA70B}"/>
    <cellStyle name="Total 2 10 7 2" xfId="21429" xr:uid="{AC7B4B0A-12EE-4068-8599-9DDFD8050200}"/>
    <cellStyle name="Total 2 10 7 3" xfId="39707" xr:uid="{AA92CF58-6EE9-4D2A-8026-A26E7DAF4B86}"/>
    <cellStyle name="Total 2 10 8" xfId="21430" xr:uid="{D96F0100-FAB4-4181-B890-3D711746493F}"/>
    <cellStyle name="Total 2 10 8 2" xfId="21431" xr:uid="{4C868492-9B2D-494A-827C-358060472985}"/>
    <cellStyle name="Total 2 10 8 3" xfId="39708" xr:uid="{3A507BCD-690D-445D-8AAA-E89E775D8015}"/>
    <cellStyle name="Total 2 10 9" xfId="21432" xr:uid="{33BCA90A-CA19-4EE1-9496-6AFC1C5AA705}"/>
    <cellStyle name="Total 2 10 9 2" xfId="21433" xr:uid="{95F6BA18-431D-4EB1-ADBF-279E31A031CB}"/>
    <cellStyle name="Total 2 10 9 3" xfId="39709" xr:uid="{33F65A5E-A661-4FE5-9139-E80868D5DB89}"/>
    <cellStyle name="Total 2 11" xfId="21434" xr:uid="{20BC4909-85D2-40ED-BB2E-0EEFC39C307C}"/>
    <cellStyle name="Total 2 11 10" xfId="21435" xr:uid="{20D0CC5E-0D7D-43FA-96ED-AB245AB3EF72}"/>
    <cellStyle name="Total 2 11 10 2" xfId="39710" xr:uid="{A43D40F3-2028-4744-A395-0EE0AD59CFD0}"/>
    <cellStyle name="Total 2 11 10 3" xfId="39711" xr:uid="{E665B540-4F4B-4CB1-B354-99E9B20F80CE}"/>
    <cellStyle name="Total 2 11 11" xfId="21436" xr:uid="{95D10D0A-686D-4E2A-99FE-9C4B38EBDF75}"/>
    <cellStyle name="Total 2 11 11 2" xfId="39712" xr:uid="{AAEF835B-9C04-4839-8662-4BE4A49F1B0B}"/>
    <cellStyle name="Total 2 11 12" xfId="39713" xr:uid="{4175EEE9-4E2E-48BA-A4A5-E04E7413CC72}"/>
    <cellStyle name="Total 2 11 2" xfId="21437" xr:uid="{119932DE-C50A-4EBE-A8C7-3584D061ADEC}"/>
    <cellStyle name="Total 2 11 2 10" xfId="21438" xr:uid="{526A90E3-B0AA-4CE9-90CF-56301E7114B6}"/>
    <cellStyle name="Total 2 11 2 10 2" xfId="39714" xr:uid="{F736E5FA-A581-46D5-B9CA-9AB2C3466A57}"/>
    <cellStyle name="Total 2 11 2 11" xfId="39715" xr:uid="{1E700A54-F572-45E0-818F-47EE8CA58ED7}"/>
    <cellStyle name="Total 2 11 2 2" xfId="21439" xr:uid="{E8AC3093-3FA4-4578-9390-C51A73DEF683}"/>
    <cellStyle name="Total 2 11 2 2 2" xfId="21440" xr:uid="{7A8CF727-FFD4-4C43-98C3-478ABE1DAB16}"/>
    <cellStyle name="Total 2 11 2 2 2 2" xfId="39716" xr:uid="{FAE2EFA0-6398-4B71-A41F-C938C5D8D67B}"/>
    <cellStyle name="Total 2 11 2 2 2 3" xfId="39717" xr:uid="{19738066-1D0D-4F10-8FED-FDC1BD800200}"/>
    <cellStyle name="Total 2 11 2 2 3" xfId="21441" xr:uid="{8D8C57DA-B853-4306-9EDD-17BFA98057AF}"/>
    <cellStyle name="Total 2 11 2 2 3 2" xfId="21442" xr:uid="{6C6872A4-759A-4D0B-BDDB-B2598EB6618F}"/>
    <cellStyle name="Total 2 11 2 2 4" xfId="21443" xr:uid="{601B804C-132A-46CF-A062-03F3A4730AA9}"/>
    <cellStyle name="Total 2 11 2 2 5" xfId="39718" xr:uid="{35BE8A24-076A-42A1-93B1-7A31390CBFD3}"/>
    <cellStyle name="Total 2 11 2 3" xfId="21444" xr:uid="{CF68A737-BF17-4C89-9C8D-0C476856F213}"/>
    <cellStyle name="Total 2 11 2 3 2" xfId="21445" xr:uid="{69BE75C6-EB02-448F-BACA-E1E8B971C14E}"/>
    <cellStyle name="Total 2 11 2 3 3" xfId="39719" xr:uid="{07E33BFC-AD33-4FB5-9474-08032F39D226}"/>
    <cellStyle name="Total 2 11 2 4" xfId="21446" xr:uid="{000DE2DB-A3E6-4BC2-B03D-181A153A41BE}"/>
    <cellStyle name="Total 2 11 2 4 2" xfId="21447" xr:uid="{E6270554-7B8D-4F7B-9660-0ACF817D1842}"/>
    <cellStyle name="Total 2 11 2 4 3" xfId="39720" xr:uid="{A4BE418F-216C-45C6-9443-C7E42AD71FB9}"/>
    <cellStyle name="Total 2 11 2 5" xfId="21448" xr:uid="{810F0C3B-643B-40EC-869D-61B68D926643}"/>
    <cellStyle name="Total 2 11 2 5 2" xfId="21449" xr:uid="{A23B0BDC-048D-4ACA-95B3-923D10CB223D}"/>
    <cellStyle name="Total 2 11 2 5 3" xfId="39721" xr:uid="{235B9374-DB24-4DFD-90AF-90B06030976B}"/>
    <cellStyle name="Total 2 11 2 6" xfId="21450" xr:uid="{CC32C503-0E6B-42B8-A3CA-F178DA0C6C42}"/>
    <cellStyle name="Total 2 11 2 6 2" xfId="21451" xr:uid="{CBF41746-B072-42A0-869F-9D66FAC04346}"/>
    <cellStyle name="Total 2 11 2 6 3" xfId="39722" xr:uid="{DAA6039E-5185-4BE5-BD49-75E14AA9BF75}"/>
    <cellStyle name="Total 2 11 2 7" xfId="21452" xr:uid="{E5C4CFF5-E48B-4770-805C-11C448050AC4}"/>
    <cellStyle name="Total 2 11 2 7 2" xfId="21453" xr:uid="{8B7656EB-724C-4C1C-AE14-33AAC2666DED}"/>
    <cellStyle name="Total 2 11 2 7 3" xfId="39723" xr:uid="{08399DC8-7964-4E9C-A7A4-BC9980CA7C36}"/>
    <cellStyle name="Total 2 11 2 8" xfId="21454" xr:uid="{211DE9E9-9582-41BF-B936-F08CBDF04C35}"/>
    <cellStyle name="Total 2 11 2 8 2" xfId="21455" xr:uid="{5C2F8E0A-BBAF-493D-A74E-A5EB28A37852}"/>
    <cellStyle name="Total 2 11 2 8 3" xfId="39724" xr:uid="{D56D8348-B521-4BDC-8E83-81D6CA74E7F3}"/>
    <cellStyle name="Total 2 11 2 9" xfId="21456" xr:uid="{64AA2916-78DA-4AC7-8084-33E8C6A09372}"/>
    <cellStyle name="Total 2 11 2 9 2" xfId="39725" xr:uid="{7680C01D-ED25-4A18-93CA-CFCB9760FD86}"/>
    <cellStyle name="Total 2 11 2 9 3" xfId="39726" xr:uid="{5734ED28-D793-444D-9571-345D2700BB06}"/>
    <cellStyle name="Total 2 11 3" xfId="21457" xr:uid="{B1BEF3B0-D90F-425D-A4AC-E70DA4789CC2}"/>
    <cellStyle name="Total 2 11 3 2" xfId="21458" xr:uid="{43390C23-938E-4855-B4E9-FC0C943C4891}"/>
    <cellStyle name="Total 2 11 3 2 2" xfId="39727" xr:uid="{6EC6FDB0-4C23-41DE-9372-E590B43EB4F9}"/>
    <cellStyle name="Total 2 11 3 2 3" xfId="39728" xr:uid="{443CB90A-AF52-4D80-8365-DC3E72E01440}"/>
    <cellStyle name="Total 2 11 3 2 4" xfId="39729" xr:uid="{7D28E4CF-AD09-4703-B61E-2E496501E802}"/>
    <cellStyle name="Total 2 11 3 3" xfId="21459" xr:uid="{3DD08DC3-AF6B-4A2C-8F6D-80AA0A20FFC4}"/>
    <cellStyle name="Total 2 11 3 3 2" xfId="21460" xr:uid="{0EF33667-3876-4F8A-AC77-987875F83BE9}"/>
    <cellStyle name="Total 2 11 3 4" xfId="21461" xr:uid="{9A9CAD3A-1E33-4510-9D1B-AE84FC43AB20}"/>
    <cellStyle name="Total 2 11 3 5" xfId="39730" xr:uid="{F966469E-4BBB-4DDC-B208-EF6C31224230}"/>
    <cellStyle name="Total 2 11 4" xfId="21462" xr:uid="{B52D5018-AE41-4DB4-8D13-AD5247FC77E4}"/>
    <cellStyle name="Total 2 11 4 2" xfId="21463" xr:uid="{9F0F4CEB-24D1-4143-A477-76A41FA3F7F3}"/>
    <cellStyle name="Total 2 11 4 2 2" xfId="39731" xr:uid="{E1989FF7-7D0C-4E4D-A93C-421333FD6EF3}"/>
    <cellStyle name="Total 2 11 4 2 3" xfId="39732" xr:uid="{07F9CFC2-E955-4786-84F0-4E9D708D7BC0}"/>
    <cellStyle name="Total 2 11 4 3" xfId="21464" xr:uid="{0C3CF041-C7D5-483A-969A-AB782AC815EB}"/>
    <cellStyle name="Total 2 11 4 4" xfId="39733" xr:uid="{BD8C4EB6-6D9F-4A6C-9D4E-2DDD990B1F30}"/>
    <cellStyle name="Total 2 11 4 5" xfId="39734" xr:uid="{A9A87DE1-4897-45C6-9426-6E2FF5823BD1}"/>
    <cellStyle name="Total 2 11 5" xfId="21465" xr:uid="{4A059127-BEB8-434D-95B2-2DAFBB8A3E9E}"/>
    <cellStyle name="Total 2 11 5 2" xfId="21466" xr:uid="{3CA46FAE-6EC0-442A-96AA-5AD7561DC242}"/>
    <cellStyle name="Total 2 11 5 2 2" xfId="39735" xr:uid="{78997899-DAAE-4F2E-B2E5-CABB29A48211}"/>
    <cellStyle name="Total 2 11 5 2 3" xfId="39736" xr:uid="{DE294970-4D87-470A-BED3-5630B5E092A6}"/>
    <cellStyle name="Total 2 11 5 3" xfId="39737" xr:uid="{A018FEFE-F7BA-4978-8B19-F735166D4E3B}"/>
    <cellStyle name="Total 2 11 5 4" xfId="39738" xr:uid="{8A3EB482-FE06-4216-A35F-FA50CD00595F}"/>
    <cellStyle name="Total 2 11 6" xfId="21467" xr:uid="{901FB835-01BA-43F6-9FDF-D30B7C0C7DE7}"/>
    <cellStyle name="Total 2 11 6 2" xfId="21468" xr:uid="{397B626A-BC5C-4AF1-A23E-0BBF03242FA2}"/>
    <cellStyle name="Total 2 11 6 3" xfId="39739" xr:uid="{B2F29AED-1433-417E-8FCE-EF22554686C9}"/>
    <cellStyle name="Total 2 11 7" xfId="21469" xr:uid="{C58FEBF5-8F9C-4ED9-AFEC-7DA60C23F86A}"/>
    <cellStyle name="Total 2 11 7 2" xfId="21470" xr:uid="{612B91A7-D517-4E29-9913-D3099EEB8D9B}"/>
    <cellStyle name="Total 2 11 7 3" xfId="39740" xr:uid="{8FF920E3-90BB-4E31-B32F-C93869BE5E73}"/>
    <cellStyle name="Total 2 11 8" xfId="21471" xr:uid="{B95BDE4F-8B17-4757-81D5-F3635FB328A6}"/>
    <cellStyle name="Total 2 11 8 2" xfId="21472" xr:uid="{31E6EC9D-222F-4BFD-9271-43E3BFE1CC3B}"/>
    <cellStyle name="Total 2 11 8 3" xfId="39741" xr:uid="{06CBCF95-B3BE-4B26-B13D-905C9C8E6702}"/>
    <cellStyle name="Total 2 11 9" xfId="21473" xr:uid="{07CD4689-C612-4A6F-8581-8C1E53CE27BB}"/>
    <cellStyle name="Total 2 11 9 2" xfId="21474" xr:uid="{CD82876C-1417-46C6-B857-E9B8BB3F1A6E}"/>
    <cellStyle name="Total 2 11 9 3" xfId="39742" xr:uid="{06DC0434-E847-4237-A49F-1B33D131A775}"/>
    <cellStyle name="Total 2 12" xfId="21475" xr:uid="{F321FA3D-385C-433A-9E19-6CCB8BD92AB0}"/>
    <cellStyle name="Total 2 12 10" xfId="21476" xr:uid="{2983292B-E132-4C4E-B2AE-F9EE5F4A8580}"/>
    <cellStyle name="Total 2 12 10 2" xfId="39743" xr:uid="{B3354301-0C98-44D2-B8C5-E251A5D5D046}"/>
    <cellStyle name="Total 2 12 11" xfId="39744" xr:uid="{1D62A7B7-97B7-4DC6-9CF0-CE11688CD91D}"/>
    <cellStyle name="Total 2 12 2" xfId="21477" xr:uid="{7DCAA6C0-CC58-461E-B121-AF31E2D7A398}"/>
    <cellStyle name="Total 2 12 2 2" xfId="21478" xr:uid="{836E4F31-E638-4F8A-B796-2059E245F212}"/>
    <cellStyle name="Total 2 12 2 2 2" xfId="39745" xr:uid="{7AE1DF0C-2CD9-4CAC-8031-AB040371786C}"/>
    <cellStyle name="Total 2 12 2 2 3" xfId="39746" xr:uid="{266EA6E4-97D3-42B9-B197-BB1FEE344C28}"/>
    <cellStyle name="Total 2 12 2 3" xfId="21479" xr:uid="{C6779139-051D-4F71-856A-1744990FCD1D}"/>
    <cellStyle name="Total 2 12 2 3 2" xfId="21480" xr:uid="{1373378D-42DF-4379-8EDB-C36E38DE62E3}"/>
    <cellStyle name="Total 2 12 2 4" xfId="21481" xr:uid="{9B7A0D6D-D0C6-49DB-BA58-8E85A763C701}"/>
    <cellStyle name="Total 2 12 2 5" xfId="39747" xr:uid="{557FF0CF-F3D6-4568-9C03-B9C96BEB9BBE}"/>
    <cellStyle name="Total 2 12 3" xfId="21482" xr:uid="{B70F9C62-A30B-41FE-8D10-1CF5B6B6256A}"/>
    <cellStyle name="Total 2 12 3 2" xfId="21483" xr:uid="{84CB0330-E047-468F-9AB7-476B4A502244}"/>
    <cellStyle name="Total 2 12 3 3" xfId="39748" xr:uid="{0BE9FB0D-502B-4563-9577-809C2BDE7EE8}"/>
    <cellStyle name="Total 2 12 4" xfId="21484" xr:uid="{64DA51AE-2F6B-4B07-BC53-31AE0DCAECA0}"/>
    <cellStyle name="Total 2 12 4 2" xfId="21485" xr:uid="{C251965F-7F12-4EEE-AA2F-51732D9AA67E}"/>
    <cellStyle name="Total 2 12 4 3" xfId="39749" xr:uid="{BCA84C03-CA4D-4E39-AC25-1391D4956AC6}"/>
    <cellStyle name="Total 2 12 5" xfId="21486" xr:uid="{4027B511-CCB4-4611-AB46-E40578E89D4B}"/>
    <cellStyle name="Total 2 12 5 2" xfId="21487" xr:uid="{F022D2E2-DBEE-4D3D-9693-E5820FA2F283}"/>
    <cellStyle name="Total 2 12 5 3" xfId="39750" xr:uid="{A0561656-ECC7-4A90-9BDA-9E9309DF4A98}"/>
    <cellStyle name="Total 2 12 6" xfId="21488" xr:uid="{FD54669F-8B0F-43C2-A17C-37ABE1BEC204}"/>
    <cellStyle name="Total 2 12 6 2" xfId="21489" xr:uid="{476B4368-A1B5-457E-9DFF-D71E05692547}"/>
    <cellStyle name="Total 2 12 6 3" xfId="39751" xr:uid="{C50FBBC7-2224-4681-B8F7-404722A369A2}"/>
    <cellStyle name="Total 2 12 7" xfId="21490" xr:uid="{CEA01FB8-E344-4690-9826-7FC1B752DDE7}"/>
    <cellStyle name="Total 2 12 7 2" xfId="21491" xr:uid="{DB655D27-BBC8-4C1D-A84E-92558DA0B986}"/>
    <cellStyle name="Total 2 12 7 3" xfId="39752" xr:uid="{9DE74A05-B2E2-4646-9E91-CD8F858DC4C3}"/>
    <cellStyle name="Total 2 12 8" xfId="21492" xr:uid="{A1577E43-75B4-4192-91F4-7D9480B1DA0F}"/>
    <cellStyle name="Total 2 12 8 2" xfId="21493" xr:uid="{AF084131-DE0C-4765-A85A-460D3EB9A363}"/>
    <cellStyle name="Total 2 12 8 3" xfId="39753" xr:uid="{232BA2F1-0C62-4463-844D-54895FFD4C2E}"/>
    <cellStyle name="Total 2 12 9" xfId="21494" xr:uid="{B6B63789-883B-4204-8392-267B7F7361D1}"/>
    <cellStyle name="Total 2 12 9 2" xfId="39754" xr:uid="{0A1576D1-2D5C-4070-9CC7-DCCBBE942BC4}"/>
    <cellStyle name="Total 2 12 9 3" xfId="39755" xr:uid="{AAF884D0-BC13-4C73-9758-A5CCA40B6F90}"/>
    <cellStyle name="Total 2 13" xfId="21495" xr:uid="{B2ED7CAB-F5DF-4A35-9036-ECF49F3BBF7A}"/>
    <cellStyle name="Total 2 13 2" xfId="21496" xr:uid="{D5BF15E2-73BE-464F-8633-8FDAB4843865}"/>
    <cellStyle name="Total 2 13 2 2" xfId="39756" xr:uid="{EBD01A1D-84E1-4C21-B05F-F0837B2802B2}"/>
    <cellStyle name="Total 2 13 2 3" xfId="39757" xr:uid="{D727F6E6-23AA-4133-B344-74F2686718B4}"/>
    <cellStyle name="Total 2 13 2 4" xfId="39758" xr:uid="{9132C4A0-5D51-4AC1-8B86-B42EB1DA24F7}"/>
    <cellStyle name="Total 2 13 3" xfId="21497" xr:uid="{3AAF5304-F828-49C2-B2D1-7A6814090078}"/>
    <cellStyle name="Total 2 13 3 2" xfId="21498" xr:uid="{43656763-3CDF-4BCF-A99B-AAC2BC19366E}"/>
    <cellStyle name="Total 2 13 4" xfId="21499" xr:uid="{55E61A87-0181-4417-BA76-2F7E8920F7FD}"/>
    <cellStyle name="Total 2 13 5" xfId="39759" xr:uid="{57AF2B2B-8EAA-4114-AB44-03F6B7227B56}"/>
    <cellStyle name="Total 2 14" xfId="21500" xr:uid="{89BA9A31-0A0E-415C-B9A3-ACF16324A0D4}"/>
    <cellStyle name="Total 2 14 2" xfId="21501" xr:uid="{F2370185-2554-4262-9021-0F9FB6535173}"/>
    <cellStyle name="Total 2 14 2 2" xfId="39760" xr:uid="{23F9DF5B-94B9-4B0B-8E45-F7C71D217547}"/>
    <cellStyle name="Total 2 14 3" xfId="39761" xr:uid="{3432BD6D-E2C0-42EC-880E-05C8659E0F39}"/>
    <cellStyle name="Total 2 14 4" xfId="39762" xr:uid="{A1730DA8-44A4-402A-9263-D106308511C1}"/>
    <cellStyle name="Total 2 15" xfId="21502" xr:uid="{9C1EF7F5-C700-4960-996E-DEC74DADD54A}"/>
    <cellStyle name="Total 2 15 2" xfId="21503" xr:uid="{8891BD58-547F-4398-AC36-B657008DE956}"/>
    <cellStyle name="Total 2 15 2 2" xfId="39763" xr:uid="{4D8DD741-E4A4-4C27-964D-97AECBA450D0}"/>
    <cellStyle name="Total 2 15 2 3" xfId="39764" xr:uid="{2591B14E-810B-43D0-A8F4-D03D4181A3B0}"/>
    <cellStyle name="Total 2 15 3" xfId="21504" xr:uid="{B5A4C110-97D1-485E-A4BF-7DB3D1883884}"/>
    <cellStyle name="Total 2 15 4" xfId="39765" xr:uid="{33937FD7-8C4A-4F3B-AC8C-E51958320762}"/>
    <cellStyle name="Total 2 15 5" xfId="39766" xr:uid="{4D63AF4F-9CF5-4122-8346-4CAB857FB40C}"/>
    <cellStyle name="Total 2 16" xfId="21505" xr:uid="{562F48E8-DC38-49B5-AC3B-9B1D6236B4BF}"/>
    <cellStyle name="Total 2 16 2" xfId="21506" xr:uid="{75FAC98F-4026-4D81-B887-B824BE3F1815}"/>
    <cellStyle name="Total 2 16 2 2" xfId="39767" xr:uid="{D400D1EA-E85D-439E-98D5-6EA643BABF2D}"/>
    <cellStyle name="Total 2 16 2 3" xfId="39768" xr:uid="{69117BF3-70A9-4C7D-B5B9-A6048DD3A5C6}"/>
    <cellStyle name="Total 2 16 3" xfId="39769" xr:uid="{3CAED9B8-0464-44BD-BB99-35DA1F5D0774}"/>
    <cellStyle name="Total 2 17" xfId="21507" xr:uid="{F776BB7E-7085-408E-A3AF-DF2343C3E4B1}"/>
    <cellStyle name="Total 2 17 2" xfId="21508" xr:uid="{A97B1ADE-A130-415F-B00E-8D40F74BF008}"/>
    <cellStyle name="Total 2 17 2 2" xfId="39770" xr:uid="{640447F2-65C4-4981-A477-D2A0814BF3F7}"/>
    <cellStyle name="Total 2 17 3" xfId="39771" xr:uid="{80FD30E0-2F3B-4607-B073-C1AAB74F589C}"/>
    <cellStyle name="Total 2 18" xfId="21509" xr:uid="{9F58C983-9EE5-4D97-A260-C27FEFBA998F}"/>
    <cellStyle name="Total 2 18 2" xfId="21510" xr:uid="{AA5B3179-6851-4223-A4A1-14F936D61745}"/>
    <cellStyle name="Total 2 18 3" xfId="39772" xr:uid="{4F48AEBF-50C8-4FA5-8052-05E98EDA82FD}"/>
    <cellStyle name="Total 2 19" xfId="21511" xr:uid="{B1E06C1C-A734-4B30-A167-55A7D4E84AA3}"/>
    <cellStyle name="Total 2 19 2" xfId="21512" xr:uid="{B0EDD219-FC8A-4CCD-A938-0C0EA80B5411}"/>
    <cellStyle name="Total 2 19 3" xfId="39773" xr:uid="{54B92682-9281-4EAB-B46F-79463C7C052D}"/>
    <cellStyle name="Total 2 2" xfId="21513" xr:uid="{52FCD426-1260-47D4-88CC-F976FBDF9398}"/>
    <cellStyle name="Total 2 2 10" xfId="21514" xr:uid="{37EE0619-926D-4955-9864-7D1844391DEF}"/>
    <cellStyle name="Total 2 2 10 2" xfId="39774" xr:uid="{E2B5D354-35DF-4EF3-9EBA-4C05D79B7801}"/>
    <cellStyle name="Total 2 2 10 3" xfId="39775" xr:uid="{FE336869-A90F-494C-9793-80B1412D8D28}"/>
    <cellStyle name="Total 2 2 11" xfId="21515" xr:uid="{4670DAB7-9C73-4E89-851E-79E58229C016}"/>
    <cellStyle name="Total 2 2 11 2" xfId="39776" xr:uid="{201EBCC4-02F5-49E4-A5F2-4624F9412124}"/>
    <cellStyle name="Total 2 2 12" xfId="39777" xr:uid="{0867D255-E67B-4BD1-99D9-43453913A4AB}"/>
    <cellStyle name="Total 2 2 13" xfId="39778" xr:uid="{26564F98-13CC-49A1-B1A5-E0BAED0CDE9E}"/>
    <cellStyle name="Total 2 2 14" xfId="44516" xr:uid="{F31B0B07-5F46-4CFF-97B8-D9CED98C6D87}"/>
    <cellStyle name="Total 2 2 15" xfId="45267" xr:uid="{B78C85AF-9732-46F7-A672-B7DFA2FDC462}"/>
    <cellStyle name="Total 2 2 16" xfId="45516" xr:uid="{1D2FA076-E103-4C0D-A5A3-91CC2342F861}"/>
    <cellStyle name="Total 2 2 2" xfId="21516" xr:uid="{262F9A80-137C-4CE0-AA93-DA2EBD9755E8}"/>
    <cellStyle name="Total 2 2 2 10" xfId="21517" xr:uid="{33012A8A-8BE4-4968-9CA7-4C8321B9ECD5}"/>
    <cellStyle name="Total 2 2 2 10 2" xfId="39779" xr:uid="{383C72B2-F4E7-4626-BA99-25CD93F3BC1B}"/>
    <cellStyle name="Total 2 2 2 11" xfId="39780" xr:uid="{7DB855BB-58E8-495B-A4CA-B8F0043BA371}"/>
    <cellStyle name="Total 2 2 2 12" xfId="44728" xr:uid="{4931A4BB-5110-40CF-BD92-25544369989B}"/>
    <cellStyle name="Total 2 2 2 13" xfId="44115" xr:uid="{0A01FD95-CA09-44AF-A0B5-CA6F1D4FC979}"/>
    <cellStyle name="Total 2 2 2 14" xfId="44157" xr:uid="{10F6B129-B70A-4AC9-8A02-888B4954584A}"/>
    <cellStyle name="Total 2 2 2 2" xfId="21518" xr:uid="{6B81F0D3-ABB2-443D-BAF2-7B5696C9275C}"/>
    <cellStyle name="Total 2 2 2 2 2" xfId="21519" xr:uid="{0D423D63-8FCA-469B-8E08-EFB340984063}"/>
    <cellStyle name="Total 2 2 2 2 2 2" xfId="39781" xr:uid="{008FCA76-A20B-4E24-A5E9-1D266EF3D808}"/>
    <cellStyle name="Total 2 2 2 2 2 3" xfId="39782" xr:uid="{68EF8192-CA8F-480A-9D48-B52A53F9850B}"/>
    <cellStyle name="Total 2 2 2 2 3" xfId="21520" xr:uid="{7DB442C2-4107-4B04-B496-42BA514410BD}"/>
    <cellStyle name="Total 2 2 2 2 3 2" xfId="21521" xr:uid="{C08BCCB4-3A01-4E3A-8C5B-D0196DCD1812}"/>
    <cellStyle name="Total 2 2 2 2 4" xfId="21522" xr:uid="{69C17910-D58B-4725-BF9D-6AE657A22173}"/>
    <cellStyle name="Total 2 2 2 2 5" xfId="39783" xr:uid="{76871BBA-5355-42E4-808F-99F00EEA921C}"/>
    <cellStyle name="Total 2 2 2 3" xfId="21523" xr:uid="{4D142EAA-AE18-446E-93BB-880971B885BC}"/>
    <cellStyle name="Total 2 2 2 3 2" xfId="21524" xr:uid="{D0BEE21B-BF03-435A-9905-4D8D7715A288}"/>
    <cellStyle name="Total 2 2 2 3 3" xfId="39784" xr:uid="{AF2F0F93-A98A-4AF6-9583-E2D146061AD3}"/>
    <cellStyle name="Total 2 2 2 4" xfId="21525" xr:uid="{B5216314-4489-4983-96E4-6B1EEFCFC706}"/>
    <cellStyle name="Total 2 2 2 4 2" xfId="21526" xr:uid="{BF5E4442-A2AB-44E5-A9BD-FA62F94FFFD2}"/>
    <cellStyle name="Total 2 2 2 4 3" xfId="39785" xr:uid="{7040BFBA-C406-4DD5-BBD6-7E6E807E6FD9}"/>
    <cellStyle name="Total 2 2 2 5" xfId="21527" xr:uid="{1E1EC3E1-365C-4F14-8513-C578B1B16A1D}"/>
    <cellStyle name="Total 2 2 2 5 2" xfId="21528" xr:uid="{2BD7CFE1-CFF7-4651-AB74-6F74DB0406E8}"/>
    <cellStyle name="Total 2 2 2 5 3" xfId="39786" xr:uid="{8AF02D8C-0E9E-486C-BCBD-DB6751A879FB}"/>
    <cellStyle name="Total 2 2 2 6" xfId="21529" xr:uid="{264F817D-ABF9-4890-906F-48F6EFFC3329}"/>
    <cellStyle name="Total 2 2 2 6 2" xfId="21530" xr:uid="{F005B0EB-BE44-4AE5-A2D1-AFF808DF4BE5}"/>
    <cellStyle name="Total 2 2 2 6 3" xfId="39787" xr:uid="{384ACDD8-7D69-4C06-B7F6-BF4E8D146AC9}"/>
    <cellStyle name="Total 2 2 2 7" xfId="21531" xr:uid="{D4F360AE-EB0F-4B35-94CB-CCF5A31D1BA4}"/>
    <cellStyle name="Total 2 2 2 7 2" xfId="21532" xr:uid="{D4C1D68E-5DD8-4F0B-BD09-14846D91D94A}"/>
    <cellStyle name="Total 2 2 2 7 3" xfId="39788" xr:uid="{847AA83F-F9D3-41F4-9E38-85A03BE014D9}"/>
    <cellStyle name="Total 2 2 2 8" xfId="21533" xr:uid="{D08BC526-25AE-4858-81DC-40EB7A489272}"/>
    <cellStyle name="Total 2 2 2 8 2" xfId="21534" xr:uid="{39F78687-C8E8-4526-95A0-CC421C9D8420}"/>
    <cellStyle name="Total 2 2 2 8 3" xfId="39789" xr:uid="{515C5782-8B8E-43AC-AA26-CDCE2B63EAFA}"/>
    <cellStyle name="Total 2 2 2 9" xfId="21535" xr:uid="{FA8915F1-8DD1-46F5-90CE-B2BF026B3B07}"/>
    <cellStyle name="Total 2 2 2 9 2" xfId="39790" xr:uid="{7D02358E-BC9D-4F29-8392-9403FCE69430}"/>
    <cellStyle name="Total 2 2 2 9 3" xfId="39791" xr:uid="{84C1E4A2-70E2-411E-8D17-CDF29FE00A97}"/>
    <cellStyle name="Total 2 2 3" xfId="21536" xr:uid="{6F2A455C-B308-473D-903E-57114239F9E3}"/>
    <cellStyle name="Total 2 2 3 2" xfId="21537" xr:uid="{6A3D4E3F-0CD1-4A94-AC9E-974E0B91D545}"/>
    <cellStyle name="Total 2 2 3 2 2" xfId="39792" xr:uid="{4AB98446-6D9F-4F05-B557-2CD1B72C34DB}"/>
    <cellStyle name="Total 2 2 3 2 3" xfId="39793" xr:uid="{DD95CA70-AB27-4D3D-9502-3D77E2D89EC5}"/>
    <cellStyle name="Total 2 2 3 2 4" xfId="39794" xr:uid="{40F973DC-BC9F-4D89-B5C6-D242C02A5AA0}"/>
    <cellStyle name="Total 2 2 3 3" xfId="21538" xr:uid="{F0734173-2461-42F5-9B28-C8AE8725731C}"/>
    <cellStyle name="Total 2 2 3 3 2" xfId="21539" xr:uid="{F2093D50-5121-4DE4-AE9F-D3C9BBCD5480}"/>
    <cellStyle name="Total 2 2 3 4" xfId="21540" xr:uid="{5C2ABDD6-3D37-4F04-A75D-ABA3BCBA91A3}"/>
    <cellStyle name="Total 2 2 3 5" xfId="39795" xr:uid="{2F68ACD5-9EBF-4FDE-88D6-0B02B243CDD5}"/>
    <cellStyle name="Total 2 2 4" xfId="21541" xr:uid="{335E04AA-0931-4AFD-B2BF-86D661A04373}"/>
    <cellStyle name="Total 2 2 4 2" xfId="21542" xr:uid="{874A7853-E31B-4B76-9142-B92620407C16}"/>
    <cellStyle name="Total 2 2 4 2 2" xfId="21543" xr:uid="{FFF63638-9D90-4721-8022-004AF93066AD}"/>
    <cellStyle name="Total 2 2 4 2 2 2" xfId="39796" xr:uid="{B40A8D6A-0D6B-40CE-AA2A-A23DF503B916}"/>
    <cellStyle name="Total 2 2 4 2 3" xfId="39797" xr:uid="{6EA9C82C-2201-4D8C-AC3E-3007ECC91FD0}"/>
    <cellStyle name="Total 2 2 4 2 3 2" xfId="39798" xr:uid="{104F81C1-DAE3-4AC3-AC43-EE264FB322D8}"/>
    <cellStyle name="Total 2 2 4 2 4" xfId="39799" xr:uid="{A91185ED-8855-47C2-AE7C-2C14CE0FA499}"/>
    <cellStyle name="Total 2 2 4 2 5" xfId="39800" xr:uid="{ABF6A553-2FB3-45DE-B4D3-E2CB7DC4B87E}"/>
    <cellStyle name="Total 2 2 4 2 6" xfId="39801" xr:uid="{76BC2E23-0C8F-40FB-82E2-8B70B01F4467}"/>
    <cellStyle name="Total 2 2 4 3" xfId="21544" xr:uid="{1B73DFC3-83DF-48AF-A408-5A3E48B262A2}"/>
    <cellStyle name="Total 2 2 4 3 2" xfId="39802" xr:uid="{C602F60D-F617-448F-8108-E83AE0500EDB}"/>
    <cellStyle name="Total 2 2 4 4" xfId="39803" xr:uid="{78F7D65D-2F57-4DF4-9158-77111A2EF2A4}"/>
    <cellStyle name="Total 2 2 4 4 2" xfId="39804" xr:uid="{FA12E98B-0992-466A-98AB-CA51E15254A9}"/>
    <cellStyle name="Total 2 2 4 5" xfId="39805" xr:uid="{78EDC981-4CA4-4E63-9719-C292FDFADE01}"/>
    <cellStyle name="Total 2 2 4 5 2" xfId="39806" xr:uid="{D4BAF5EA-5271-438C-888C-2D3E0A4E620A}"/>
    <cellStyle name="Total 2 2 4 6" xfId="39807" xr:uid="{E93CD3B8-F398-4CA3-A15A-6D97F551CCE6}"/>
    <cellStyle name="Total 2 2 4 7" xfId="39808" xr:uid="{41E0164E-3751-4B03-BCD1-EF35FBD93DBE}"/>
    <cellStyle name="Total 2 2 4 8" xfId="39809" xr:uid="{470C9FA1-7018-4BBF-9B36-8A12A0B3D807}"/>
    <cellStyle name="Total 2 2 4 9" xfId="39810" xr:uid="{1B7E6C65-662C-4A1D-9A06-BFAA417CFFE9}"/>
    <cellStyle name="Total 2 2 5" xfId="21545" xr:uid="{5878C6BA-0C09-46A7-87EF-9F81BF83CF76}"/>
    <cellStyle name="Total 2 2 5 2" xfId="21546" xr:uid="{E52684CC-67F9-4822-93A6-34153A6E4536}"/>
    <cellStyle name="Total 2 2 5 2 2" xfId="39811" xr:uid="{299B3BE4-4E00-4753-9EC1-B38289A80C24}"/>
    <cellStyle name="Total 2 2 5 2 3" xfId="39812" xr:uid="{9CA5A47E-9EE5-494E-95CF-17C88BD15D56}"/>
    <cellStyle name="Total 2 2 5 3" xfId="21547" xr:uid="{1800B1F8-646C-4DD4-A986-D65CF65AFCF7}"/>
    <cellStyle name="Total 2 2 5 4" xfId="39813" xr:uid="{94565F54-D474-4C4F-A0B8-54F9EBDF6EA0}"/>
    <cellStyle name="Total 2 2 5 5" xfId="39814" xr:uid="{FC8E0A3A-5717-46D5-82A1-3415FBFB1579}"/>
    <cellStyle name="Total 2 2 6" xfId="21548" xr:uid="{878BA040-6FA8-47FD-97AD-FE28FDB06AD4}"/>
    <cellStyle name="Total 2 2 6 2" xfId="21549" xr:uid="{11F48F58-7553-47CF-BA02-2A3779459C90}"/>
    <cellStyle name="Total 2 2 6 2 2" xfId="39815" xr:uid="{0EE05DE8-A506-4980-804B-0522056F1E4A}"/>
    <cellStyle name="Total 2 2 6 2 3" xfId="39816" xr:uid="{EA1F83B3-956C-4ACB-8E32-416FE66218EE}"/>
    <cellStyle name="Total 2 2 6 3" xfId="39817" xr:uid="{9757D73D-A735-4A28-AE7C-1F3BB3B6318F}"/>
    <cellStyle name="Total 2 2 6 4" xfId="39818" xr:uid="{74BCF6E7-8ED8-4E30-B4A8-1CF092DF8E7D}"/>
    <cellStyle name="Total 2 2 7" xfId="21550" xr:uid="{FEE5A3EE-56AB-44F3-9EF8-73BE13969994}"/>
    <cellStyle name="Total 2 2 7 2" xfId="21551" xr:uid="{5C629671-0BBE-49EF-ABF0-1943AFB360E6}"/>
    <cellStyle name="Total 2 2 7 3" xfId="39819" xr:uid="{B1D45127-4877-4362-82B6-9CD6C7E610B0}"/>
    <cellStyle name="Total 2 2 8" xfId="21552" xr:uid="{C6F98971-A2F7-4F98-9553-EA91D4064881}"/>
    <cellStyle name="Total 2 2 8 2" xfId="21553" xr:uid="{727A83EB-68E5-4192-BFA9-9094059935C6}"/>
    <cellStyle name="Total 2 2 8 3" xfId="39820" xr:uid="{9182B67D-5458-454C-B90C-40A5D3E48AD4}"/>
    <cellStyle name="Total 2 2 9" xfId="21554" xr:uid="{7FFBD15E-7173-4278-8F39-53795470A1DD}"/>
    <cellStyle name="Total 2 2 9 2" xfId="21555" xr:uid="{12AF8AF5-704F-4754-8BE9-86391D755F44}"/>
    <cellStyle name="Total 2 2 9 3" xfId="39821" xr:uid="{E6634126-0680-4AC8-A66B-677BD0CCECBF}"/>
    <cellStyle name="Total 2 20" xfId="21556" xr:uid="{B1030053-D3A6-435D-8D93-CC18FCC16B83}"/>
    <cellStyle name="Total 2 20 2" xfId="39822" xr:uid="{EB75B398-F27A-42F5-88D6-F21DF8E75200}"/>
    <cellStyle name="Total 2 20 3" xfId="39823" xr:uid="{58F840FA-3E24-497B-BAA3-5763EB17D32A}"/>
    <cellStyle name="Total 2 21" xfId="21557" xr:uid="{B3A86BE3-C6CD-4E6A-931D-6B173D223FCF}"/>
    <cellStyle name="Total 2 21 2" xfId="39824" xr:uid="{D7657920-02DB-482C-8D83-ACC1772EB0BA}"/>
    <cellStyle name="Total 2 22" xfId="39825" xr:uid="{8C46D1BF-7D71-4F8E-820C-B45726C65B61}"/>
    <cellStyle name="Total 2 23" xfId="44153" xr:uid="{77CACD94-5067-4B56-ABB3-77A715F8839D}"/>
    <cellStyle name="Total 2 24" xfId="45031" xr:uid="{FCAF7C49-8F85-400F-AF7D-E73BAC5C44DB}"/>
    <cellStyle name="Total 2 25" xfId="45257" xr:uid="{E21D6F03-2E47-47AE-9AB9-801273163A0E}"/>
    <cellStyle name="Total 2 3" xfId="21558" xr:uid="{5085FEAC-2A66-4D0E-81F6-CD9857191AB8}"/>
    <cellStyle name="Total 2 3 10" xfId="21559" xr:uid="{0210807A-F50E-4705-BB07-047E73C50113}"/>
    <cellStyle name="Total 2 3 10 2" xfId="39826" xr:uid="{8E4C0F05-42BF-4A8D-AE1A-68E319F2A634}"/>
    <cellStyle name="Total 2 3 10 3" xfId="39827" xr:uid="{B2250C29-3A54-4DEA-9E54-826613BB1B0E}"/>
    <cellStyle name="Total 2 3 11" xfId="21560" xr:uid="{9D58EF62-C621-447A-8EC4-9200C6DAAAEC}"/>
    <cellStyle name="Total 2 3 11 2" xfId="39828" xr:uid="{58BFF338-C60E-4FE4-88AC-F31E0F7535EC}"/>
    <cellStyle name="Total 2 3 12" xfId="39829" xr:uid="{A312E0A3-EB1B-4B4D-AB29-61786F4F06A3}"/>
    <cellStyle name="Total 2 3 13" xfId="39830" xr:uid="{FF32C18D-F9E1-4DDB-A2A1-16767E9AE261}"/>
    <cellStyle name="Total 2 3 14" xfId="44575" xr:uid="{F2331076-121D-4824-B631-7014DCE6D323}"/>
    <cellStyle name="Total 2 3 15" xfId="44403" xr:uid="{8910ED3C-2BDB-4306-B20A-B15B1E52948D}"/>
    <cellStyle name="Total 2 3 16" xfId="44934" xr:uid="{D6380AB2-4CDD-4414-9C72-13BE81D0A3A3}"/>
    <cellStyle name="Total 2 3 2" xfId="21561" xr:uid="{A727C91D-CC43-403E-B70C-CBF3E6A5A257}"/>
    <cellStyle name="Total 2 3 2 10" xfId="21562" xr:uid="{062BF59D-58F5-4537-886B-B18A1FC0A115}"/>
    <cellStyle name="Total 2 3 2 10 2" xfId="39831" xr:uid="{A66AE0A3-8FA5-4F56-A63D-E27716ECCD46}"/>
    <cellStyle name="Total 2 3 2 11" xfId="39832" xr:uid="{735885FA-CE6B-4064-A9D8-5E2982C8AECE}"/>
    <cellStyle name="Total 2 3 2 12" xfId="44788" xr:uid="{E1673010-2E2F-404C-BD31-43EEE382CFF1}"/>
    <cellStyle name="Total 2 3 2 13" xfId="45010" xr:uid="{5B80516B-78D0-4836-BA50-893D9BAB937E}"/>
    <cellStyle name="Total 2 3 2 14" xfId="44297" xr:uid="{933D62AA-37FF-4534-95CE-9CFDB02C6C77}"/>
    <cellStyle name="Total 2 3 2 2" xfId="21563" xr:uid="{BAADF3C3-05B5-458F-9A01-891284BB4C9C}"/>
    <cellStyle name="Total 2 3 2 2 2" xfId="21564" xr:uid="{359E6D4A-FBC2-484C-8C05-7E0CA826F372}"/>
    <cellStyle name="Total 2 3 2 2 2 2" xfId="39833" xr:uid="{0B00B58D-5A83-4F85-84D0-D0396BE3AF53}"/>
    <cellStyle name="Total 2 3 2 2 2 3" xfId="39834" xr:uid="{3963FB8F-2674-497C-9B82-74AD991FA7CC}"/>
    <cellStyle name="Total 2 3 2 2 3" xfId="21565" xr:uid="{3B85818C-DB50-4D9A-AF1E-3F454A20F321}"/>
    <cellStyle name="Total 2 3 2 2 3 2" xfId="21566" xr:uid="{55913383-374E-4B80-AFFA-DA4FD2D9D710}"/>
    <cellStyle name="Total 2 3 2 2 4" xfId="21567" xr:uid="{E2D17DC7-A9AE-475F-AECF-A15251D844D7}"/>
    <cellStyle name="Total 2 3 2 2 5" xfId="39835" xr:uid="{714D570D-496A-4F93-B566-66573461C70A}"/>
    <cellStyle name="Total 2 3 2 3" xfId="21568" xr:uid="{6D3587B2-B50A-4DC9-B32D-7EC18F23576C}"/>
    <cellStyle name="Total 2 3 2 3 2" xfId="21569" xr:uid="{A5720990-628B-4AF2-A9EF-4D886008EABA}"/>
    <cellStyle name="Total 2 3 2 3 3" xfId="39836" xr:uid="{D6C2B465-B612-4294-9FB3-46E3B20FE867}"/>
    <cellStyle name="Total 2 3 2 4" xfId="21570" xr:uid="{7870260F-FA44-467E-8ECC-A5F691680A20}"/>
    <cellStyle name="Total 2 3 2 4 2" xfId="21571" xr:uid="{9C50CA6A-5C2A-435B-A482-2927927CC7CF}"/>
    <cellStyle name="Total 2 3 2 4 3" xfId="39837" xr:uid="{BB6B8CDB-24C7-42C5-B3D5-417244536878}"/>
    <cellStyle name="Total 2 3 2 5" xfId="21572" xr:uid="{DE7D4A24-EAB6-49CF-87E4-64F1517DB30E}"/>
    <cellStyle name="Total 2 3 2 5 2" xfId="21573" xr:uid="{74751840-A257-4249-B6B4-E138AFD6E9A5}"/>
    <cellStyle name="Total 2 3 2 5 3" xfId="39838" xr:uid="{6ED6D952-B17C-44D4-AD62-ABBDB6361E17}"/>
    <cellStyle name="Total 2 3 2 6" xfId="21574" xr:uid="{02AA17D7-2099-4C10-825B-25864CCE811D}"/>
    <cellStyle name="Total 2 3 2 6 2" xfId="21575" xr:uid="{A6CD0BD3-7863-4D73-8AD8-2A26546CCD9E}"/>
    <cellStyle name="Total 2 3 2 6 3" xfId="39839" xr:uid="{C8D6C2B5-A813-4534-9250-F4DCDEB61BDD}"/>
    <cellStyle name="Total 2 3 2 7" xfId="21576" xr:uid="{D283D5D0-2364-474B-A2C6-FD9052286247}"/>
    <cellStyle name="Total 2 3 2 7 2" xfId="21577" xr:uid="{3BA0AE0F-07E5-4B58-ACB6-9934306E01BF}"/>
    <cellStyle name="Total 2 3 2 7 3" xfId="39840" xr:uid="{604675BC-B7A7-4536-8749-B64C915F0436}"/>
    <cellStyle name="Total 2 3 2 8" xfId="21578" xr:uid="{0A4F9D92-DF80-4C2B-8EA7-EE964E55FA06}"/>
    <cellStyle name="Total 2 3 2 8 2" xfId="21579" xr:uid="{E4982C7A-2867-4BD2-9107-83A99487B7C6}"/>
    <cellStyle name="Total 2 3 2 8 3" xfId="39841" xr:uid="{65448F64-9B59-4249-B412-E9C813E6A7A5}"/>
    <cellStyle name="Total 2 3 2 9" xfId="21580" xr:uid="{2F218B31-AA1F-4E81-BBA1-02DEF22FBEC3}"/>
    <cellStyle name="Total 2 3 2 9 2" xfId="39842" xr:uid="{980A5B7E-61D5-4563-A8F5-8663F47884EE}"/>
    <cellStyle name="Total 2 3 2 9 3" xfId="39843" xr:uid="{00848D86-A76B-4DDC-819E-5CEC1B2C110C}"/>
    <cellStyle name="Total 2 3 3" xfId="21581" xr:uid="{1D29A27C-F7D9-453D-8126-3B3623BC2022}"/>
    <cellStyle name="Total 2 3 3 2" xfId="21582" xr:uid="{103CAD33-FB3E-4D78-897F-0FD1ECA965A2}"/>
    <cellStyle name="Total 2 3 3 2 2" xfId="39844" xr:uid="{795F867A-2410-4CDA-A17A-8604E253475C}"/>
    <cellStyle name="Total 2 3 3 2 3" xfId="39845" xr:uid="{044EF566-FF18-4BFE-94A1-F0A0A71A864F}"/>
    <cellStyle name="Total 2 3 3 2 4" xfId="39846" xr:uid="{65EC0101-0D34-4171-810E-993A226553A3}"/>
    <cellStyle name="Total 2 3 3 3" xfId="21583" xr:uid="{76A71237-6A96-4D40-8755-249E32948AA0}"/>
    <cellStyle name="Total 2 3 3 3 2" xfId="21584" xr:uid="{57979618-2BEF-4E59-A7B5-EA870AB8D96C}"/>
    <cellStyle name="Total 2 3 3 4" xfId="21585" xr:uid="{9DC050EF-A7F1-40DB-BADD-470CE49BBB00}"/>
    <cellStyle name="Total 2 3 3 5" xfId="39847" xr:uid="{2B889981-4CAF-438E-9750-F3B4C2AF2C89}"/>
    <cellStyle name="Total 2 3 4" xfId="21586" xr:uid="{C6783AFF-BEFE-4221-8D11-E863E82C7B2A}"/>
    <cellStyle name="Total 2 3 4 2" xfId="21587" xr:uid="{776DF92E-F438-4ECE-AE9D-4798AD68ECFE}"/>
    <cellStyle name="Total 2 3 4 2 2" xfId="21588" xr:uid="{8969734D-38D4-4D4F-A94C-5E027EEC9403}"/>
    <cellStyle name="Total 2 3 4 2 2 2" xfId="39848" xr:uid="{8E372D2E-2107-4841-9605-95C5E106B34D}"/>
    <cellStyle name="Total 2 3 4 2 3" xfId="39849" xr:uid="{0FAE4156-FA0F-4234-A862-65F2024C5FD3}"/>
    <cellStyle name="Total 2 3 4 2 3 2" xfId="39850" xr:uid="{134F6774-4775-437D-BF40-BE182682633E}"/>
    <cellStyle name="Total 2 3 4 2 4" xfId="39851" xr:uid="{465E373F-493C-40BC-9D2C-85A42DB283A3}"/>
    <cellStyle name="Total 2 3 4 2 5" xfId="39852" xr:uid="{4C1703A0-89AF-4F92-9406-644954D82E83}"/>
    <cellStyle name="Total 2 3 4 2 6" xfId="39853" xr:uid="{E8DD99FA-6C94-4364-8077-9496E64A5E9B}"/>
    <cellStyle name="Total 2 3 4 3" xfId="21589" xr:uid="{01E2EF8D-8D3E-4EEB-B08A-C02ED5C7AA4D}"/>
    <cellStyle name="Total 2 3 4 3 2" xfId="39854" xr:uid="{B2FBEF8F-8B55-44AB-B3A4-D04423B6385A}"/>
    <cellStyle name="Total 2 3 4 4" xfId="39855" xr:uid="{B3DD9E58-A087-4C3C-A463-10E659649D48}"/>
    <cellStyle name="Total 2 3 4 4 2" xfId="39856" xr:uid="{51A18A32-9360-427D-9551-AE4F883FCCDF}"/>
    <cellStyle name="Total 2 3 4 5" xfId="39857" xr:uid="{49196742-9B22-4C05-852B-C93169C7FF60}"/>
    <cellStyle name="Total 2 3 4 5 2" xfId="39858" xr:uid="{18393934-4022-419C-84A8-E908D7AC042C}"/>
    <cellStyle name="Total 2 3 4 6" xfId="39859" xr:uid="{2ECB4080-6ECF-4EBE-8288-10F8A248104B}"/>
    <cellStyle name="Total 2 3 4 7" xfId="39860" xr:uid="{8BCA904A-A0BC-457B-BD35-41301C93A290}"/>
    <cellStyle name="Total 2 3 4 8" xfId="39861" xr:uid="{962509E4-C805-4A59-8627-C5B86BF26B75}"/>
    <cellStyle name="Total 2 3 4 9" xfId="39862" xr:uid="{3F543B12-F402-456C-9068-31244F410EC2}"/>
    <cellStyle name="Total 2 3 5" xfId="21590" xr:uid="{60CC76B5-349D-4638-B82B-738FC9B3E328}"/>
    <cellStyle name="Total 2 3 5 2" xfId="21591" xr:uid="{78160BBC-E96E-46D7-97DF-8858E3A32A51}"/>
    <cellStyle name="Total 2 3 5 2 2" xfId="39863" xr:uid="{B9A2B42D-D6AB-402D-AFEE-8064BC3D50F5}"/>
    <cellStyle name="Total 2 3 5 2 3" xfId="39864" xr:uid="{47C286B3-E12E-479B-8741-5901F4691561}"/>
    <cellStyle name="Total 2 3 5 3" xfId="21592" xr:uid="{1B24308F-A408-4413-ABD0-D714608BA908}"/>
    <cellStyle name="Total 2 3 5 4" xfId="39865" xr:uid="{4968E7CC-7E8F-46AC-84C8-37B7C537CFB8}"/>
    <cellStyle name="Total 2 3 5 5" xfId="39866" xr:uid="{A96457B6-C621-4D53-91C8-57F63FC88CF3}"/>
    <cellStyle name="Total 2 3 6" xfId="21593" xr:uid="{54E71C57-EA92-477B-9C08-51F436D4CBE9}"/>
    <cellStyle name="Total 2 3 6 2" xfId="21594" xr:uid="{966AD943-A506-4B65-804B-33E1FFBC2AA4}"/>
    <cellStyle name="Total 2 3 6 2 2" xfId="39867" xr:uid="{2171487A-DB13-4BAD-AA44-EC7446541557}"/>
    <cellStyle name="Total 2 3 6 2 3" xfId="39868" xr:uid="{77133A1C-4CD1-4B7B-B095-8A7BB6B8ED24}"/>
    <cellStyle name="Total 2 3 6 3" xfId="39869" xr:uid="{171C5123-4958-4730-9BF9-B0FEC59AC4BC}"/>
    <cellStyle name="Total 2 3 6 4" xfId="39870" xr:uid="{970071EE-66EB-4360-8DA7-61168C66A9AB}"/>
    <cellStyle name="Total 2 3 7" xfId="21595" xr:uid="{E881092A-CE5E-4C1A-8C3B-5996F2A7363E}"/>
    <cellStyle name="Total 2 3 7 2" xfId="21596" xr:uid="{419BA1AC-6C9B-4DB9-A530-62FBA8A82101}"/>
    <cellStyle name="Total 2 3 7 3" xfId="39871" xr:uid="{C2B8471A-1D25-49E8-AC85-DD4995C61DBF}"/>
    <cellStyle name="Total 2 3 8" xfId="21597" xr:uid="{55E8772E-D83F-4E1F-8221-D184E4057EED}"/>
    <cellStyle name="Total 2 3 8 2" xfId="21598" xr:uid="{52024931-CCA0-4AB1-AB28-F0AAAC9AE502}"/>
    <cellStyle name="Total 2 3 8 3" xfId="39872" xr:uid="{75F18918-C558-4DDC-A51A-80B4CDCFFA08}"/>
    <cellStyle name="Total 2 3 9" xfId="21599" xr:uid="{5663CD57-C82F-4B26-86D8-FEC2C35281E0}"/>
    <cellStyle name="Total 2 3 9 2" xfId="21600" xr:uid="{ACA8893C-0B66-4AF0-865F-A97959B8CB60}"/>
    <cellStyle name="Total 2 3 9 3" xfId="39873" xr:uid="{6F694C90-05A2-446F-AA0C-70FA0381AF98}"/>
    <cellStyle name="Total 2 4" xfId="21601" xr:uid="{160A1CC3-EBD0-4D4D-BF6D-60EA224AB4DF}"/>
    <cellStyle name="Total 2 4 10" xfId="21602" xr:uid="{4BBB5CFC-C770-4170-A807-1C4D96FD147E}"/>
    <cellStyle name="Total 2 4 10 2" xfId="39874" xr:uid="{1FA27827-2893-432B-93A5-6538C09DA30A}"/>
    <cellStyle name="Total 2 4 10 3" xfId="39875" xr:uid="{855464BF-91EA-4030-818F-F58E612A68CA}"/>
    <cellStyle name="Total 2 4 11" xfId="21603" xr:uid="{FE151C53-05DB-475F-809B-4502584D33CD}"/>
    <cellStyle name="Total 2 4 11 2" xfId="39876" xr:uid="{B6B01857-5266-4242-BC2B-C57FAFB99B6B}"/>
    <cellStyle name="Total 2 4 12" xfId="39877" xr:uid="{5448F8EF-9A6D-4F0E-96FC-D4C17EE44664}"/>
    <cellStyle name="Total 2 4 13" xfId="39878" xr:uid="{E95852ED-122E-4B57-8B2D-464B74217CC3}"/>
    <cellStyle name="Total 2 4 14" xfId="44466" xr:uid="{AB92C8A6-1A80-4FD4-B74D-FFA73D087C5B}"/>
    <cellStyle name="Total 2 4 15" xfId="45304" xr:uid="{0E6E5CC4-541C-4139-AFE9-50A5E1D78F57}"/>
    <cellStyle name="Total 2 4 16" xfId="45537" xr:uid="{80E86D40-43CE-4BE8-B724-D285F2FA5F93}"/>
    <cellStyle name="Total 2 4 2" xfId="21604" xr:uid="{3E4E9EA6-FCD4-44B1-B6CA-61E1EA103857}"/>
    <cellStyle name="Total 2 4 2 10" xfId="21605" xr:uid="{5E745DDE-BC47-4E54-83FE-D924B962AFDB}"/>
    <cellStyle name="Total 2 4 2 10 2" xfId="39879" xr:uid="{25FA82BC-2995-4032-9FB5-BE3AE6EFA63C}"/>
    <cellStyle name="Total 2 4 2 11" xfId="39880" xr:uid="{81F9F578-508B-44E5-8B27-BE2A6AE9947F}"/>
    <cellStyle name="Total 2 4 2 12" xfId="44677" xr:uid="{0E35F04F-1352-4783-AC69-D81ACAC029CE}"/>
    <cellStyle name="Total 2 4 2 13" xfId="45238" xr:uid="{38FCEF3D-5922-4BC2-80CA-A2A28D1336F1}"/>
    <cellStyle name="Total 2 4 2 14" xfId="45500" xr:uid="{688930F9-9BC0-4BD4-9133-6D21E8405A0F}"/>
    <cellStyle name="Total 2 4 2 2" xfId="21606" xr:uid="{16C2100E-E560-4996-BF95-7C2BDDCF16D4}"/>
    <cellStyle name="Total 2 4 2 2 2" xfId="21607" xr:uid="{5E50E5C0-DDBC-4578-ACC6-FBB76FE0E4B0}"/>
    <cellStyle name="Total 2 4 2 2 2 2" xfId="39881" xr:uid="{63BA9268-32EE-48D8-AD97-EC928B861E56}"/>
    <cellStyle name="Total 2 4 2 2 2 3" xfId="39882" xr:uid="{891E69BB-071D-4797-ABF9-7CCBD4C270C2}"/>
    <cellStyle name="Total 2 4 2 2 3" xfId="21608" xr:uid="{6D50A176-398F-4993-A551-FE1760BE1DE2}"/>
    <cellStyle name="Total 2 4 2 2 3 2" xfId="21609" xr:uid="{BE3CF419-B3FD-4211-8715-F609470ECBDB}"/>
    <cellStyle name="Total 2 4 2 2 4" xfId="21610" xr:uid="{F3FBAD2F-C995-4B54-AD9D-36F4B558CBEB}"/>
    <cellStyle name="Total 2 4 2 2 5" xfId="39883" xr:uid="{FC7AF02A-CA33-459E-AD33-6FC5698CCA56}"/>
    <cellStyle name="Total 2 4 2 3" xfId="21611" xr:uid="{CE62099C-87DF-4C73-A5F6-40055B7497DD}"/>
    <cellStyle name="Total 2 4 2 3 2" xfId="21612" xr:uid="{057C51EE-6BF9-473F-8E65-C8F64A9E2BE5}"/>
    <cellStyle name="Total 2 4 2 3 3" xfId="39884" xr:uid="{498587C6-C948-4206-80D0-E6369CC7CDF7}"/>
    <cellStyle name="Total 2 4 2 4" xfId="21613" xr:uid="{F09900E0-9966-461F-8FC5-433A1884C8D5}"/>
    <cellStyle name="Total 2 4 2 4 2" xfId="21614" xr:uid="{9EEF8047-3FC1-4FE4-8724-22C069435FA1}"/>
    <cellStyle name="Total 2 4 2 4 3" xfId="39885" xr:uid="{78744CC3-8D35-471A-9930-EF4E14FC6CD5}"/>
    <cellStyle name="Total 2 4 2 5" xfId="21615" xr:uid="{155866B2-BF78-484F-B179-D58FE02E484C}"/>
    <cellStyle name="Total 2 4 2 5 2" xfId="21616" xr:uid="{993EE2D5-C03A-4642-A629-3C02F43A0292}"/>
    <cellStyle name="Total 2 4 2 5 3" xfId="39886" xr:uid="{468D5EB4-07E7-42DA-A218-62830DA42C4C}"/>
    <cellStyle name="Total 2 4 2 6" xfId="21617" xr:uid="{BA0A2C15-57CB-41D8-9D07-7FDF84DB0642}"/>
    <cellStyle name="Total 2 4 2 6 2" xfId="21618" xr:uid="{AE922F6B-DD61-4C8E-A02A-08D8844218AD}"/>
    <cellStyle name="Total 2 4 2 6 3" xfId="39887" xr:uid="{623287C9-8D7A-4BC8-B446-43F70F7A1F40}"/>
    <cellStyle name="Total 2 4 2 7" xfId="21619" xr:uid="{0C44271C-54FB-4C51-BEBD-EC4AF3BD0A9E}"/>
    <cellStyle name="Total 2 4 2 7 2" xfId="21620" xr:uid="{350CC103-93B1-42D1-8382-ED84A47C163D}"/>
    <cellStyle name="Total 2 4 2 7 3" xfId="39888" xr:uid="{94919406-D2FE-4C43-B6C2-A44D4D6CAEA3}"/>
    <cellStyle name="Total 2 4 2 8" xfId="21621" xr:uid="{C642D140-2EEB-4F71-9A25-1BC91D15F761}"/>
    <cellStyle name="Total 2 4 2 8 2" xfId="21622" xr:uid="{51654C5E-4D82-4129-9A65-47B28DF65B2E}"/>
    <cellStyle name="Total 2 4 2 8 3" xfId="39889" xr:uid="{33C499D0-47B1-46E1-9962-E10C323F84BE}"/>
    <cellStyle name="Total 2 4 2 9" xfId="21623" xr:uid="{8BB9B9B7-99BD-4E6C-A9E0-18523279A3EA}"/>
    <cellStyle name="Total 2 4 2 9 2" xfId="39890" xr:uid="{F327955C-9217-430E-9429-5FA2243EFDDA}"/>
    <cellStyle name="Total 2 4 2 9 3" xfId="39891" xr:uid="{590FA35C-467D-4D6C-8784-9B6A3D9884EB}"/>
    <cellStyle name="Total 2 4 3" xfId="21624" xr:uid="{F42DC211-A698-4B18-8F1E-C5B61096189A}"/>
    <cellStyle name="Total 2 4 3 2" xfId="21625" xr:uid="{352F0782-DF8A-42D0-931F-7D27FE8D165E}"/>
    <cellStyle name="Total 2 4 3 2 2" xfId="39892" xr:uid="{27199579-8CE7-4328-86BE-CCE0D513DD42}"/>
    <cellStyle name="Total 2 4 3 2 3" xfId="39893" xr:uid="{78BA620F-D74C-4DCC-9713-BCAE4DF68BEE}"/>
    <cellStyle name="Total 2 4 3 2 4" xfId="39894" xr:uid="{B660761B-E984-46EE-B010-0EC4B4F9CA1B}"/>
    <cellStyle name="Total 2 4 3 3" xfId="21626" xr:uid="{C6464910-F3E8-44C4-828B-3FF3C428476D}"/>
    <cellStyle name="Total 2 4 3 3 2" xfId="21627" xr:uid="{3CED95EB-AD17-48A8-8B8F-69B5E9902DC5}"/>
    <cellStyle name="Total 2 4 3 4" xfId="21628" xr:uid="{DD598B7C-D825-4E6E-8E03-C9FDF2BDBD68}"/>
    <cellStyle name="Total 2 4 3 5" xfId="39895" xr:uid="{891C434B-2FC6-49DD-B75C-333DE92795A6}"/>
    <cellStyle name="Total 2 4 4" xfId="21629" xr:uid="{947AD544-9D95-4B54-A899-3604EE363B55}"/>
    <cellStyle name="Total 2 4 4 2" xfId="21630" xr:uid="{9E759514-01B7-4A35-9D57-D65491153C59}"/>
    <cellStyle name="Total 2 4 4 2 2" xfId="21631" xr:uid="{D191AA8A-B617-4A1C-9B49-40A3E35A773E}"/>
    <cellStyle name="Total 2 4 4 2 2 2" xfId="39896" xr:uid="{BFAEE7CD-98A3-4F34-9B04-90F471C02495}"/>
    <cellStyle name="Total 2 4 4 2 3" xfId="39897" xr:uid="{2FF1FF92-298B-4089-814A-163C3CE9FE75}"/>
    <cellStyle name="Total 2 4 4 2 3 2" xfId="39898" xr:uid="{5768C322-7E17-40F1-B866-D1F5E5A3E4CC}"/>
    <cellStyle name="Total 2 4 4 2 4" xfId="39899" xr:uid="{87727336-A7B6-4F5E-8FB2-316933E27615}"/>
    <cellStyle name="Total 2 4 4 2 5" xfId="39900" xr:uid="{0AC9367D-7EE7-4AB6-B987-3FFE3A41F2C3}"/>
    <cellStyle name="Total 2 4 4 2 6" xfId="39901" xr:uid="{9B5F6B78-A1A4-4A38-AD4F-A671E586E97F}"/>
    <cellStyle name="Total 2 4 4 3" xfId="21632" xr:uid="{912B5189-B921-42F7-B187-2AA6D2749413}"/>
    <cellStyle name="Total 2 4 4 3 2" xfId="39902" xr:uid="{A6EE4F03-0269-42EC-B12A-9EE20732FBF5}"/>
    <cellStyle name="Total 2 4 4 4" xfId="39903" xr:uid="{7AD51E13-7A86-4A91-AE66-6CFFF29957C6}"/>
    <cellStyle name="Total 2 4 4 4 2" xfId="39904" xr:uid="{E19D2089-4DCD-4FB0-A85C-B5FBB4BF366D}"/>
    <cellStyle name="Total 2 4 4 5" xfId="39905" xr:uid="{9DC173D3-1EBF-495D-B7A3-F68E0E0758EB}"/>
    <cellStyle name="Total 2 4 4 5 2" xfId="39906" xr:uid="{B9F525AB-E1A0-49FD-BBFF-74AF07A318A4}"/>
    <cellStyle name="Total 2 4 4 6" xfId="39907" xr:uid="{4113771C-3726-40E4-A6FB-019B215522B4}"/>
    <cellStyle name="Total 2 4 4 7" xfId="39908" xr:uid="{42776378-A4D9-4A34-8CAD-C9DCB44C8689}"/>
    <cellStyle name="Total 2 4 4 8" xfId="39909" xr:uid="{7D61420D-FAE6-40AA-8447-54EA644AC1FD}"/>
    <cellStyle name="Total 2 4 4 9" xfId="39910" xr:uid="{29EF6AAE-59B0-495E-8660-C5D2AF7838C2}"/>
    <cellStyle name="Total 2 4 5" xfId="21633" xr:uid="{BD9DA444-5DF0-4160-A4FD-D88D66379111}"/>
    <cellStyle name="Total 2 4 5 2" xfId="21634" xr:uid="{9A81AE16-612D-430A-8934-770EEFC4E96A}"/>
    <cellStyle name="Total 2 4 5 2 2" xfId="39911" xr:uid="{929AE3F3-73D9-462C-81E8-F1850513C21B}"/>
    <cellStyle name="Total 2 4 5 2 3" xfId="39912" xr:uid="{41E0BCB3-675F-41DB-9CB7-290A691B30F6}"/>
    <cellStyle name="Total 2 4 5 3" xfId="21635" xr:uid="{7C6B6697-08A4-4CD9-9BD3-3559A46D60B8}"/>
    <cellStyle name="Total 2 4 5 4" xfId="39913" xr:uid="{EC2B74E1-46B7-41AB-BAFF-962269A698F2}"/>
    <cellStyle name="Total 2 4 5 5" xfId="39914" xr:uid="{AFE4339F-F385-4B08-A79F-2244F358AF41}"/>
    <cellStyle name="Total 2 4 6" xfId="21636" xr:uid="{2A584FBA-6AE8-4687-A19F-F0217ACA92EA}"/>
    <cellStyle name="Total 2 4 6 2" xfId="21637" xr:uid="{C2281A13-A9F4-402D-B539-268C143B92F7}"/>
    <cellStyle name="Total 2 4 6 2 2" xfId="39915" xr:uid="{F4F2F94D-5044-4B9A-94C8-673FB12F0709}"/>
    <cellStyle name="Total 2 4 6 2 3" xfId="39916" xr:uid="{79758021-7A49-42CE-A160-5404069DC3CA}"/>
    <cellStyle name="Total 2 4 6 3" xfId="39917" xr:uid="{F1F46D00-BA91-4020-834C-AF1DC9E5668E}"/>
    <cellStyle name="Total 2 4 6 4" xfId="39918" xr:uid="{B2ED9628-0D25-4F4E-8934-8CC0C967AAE9}"/>
    <cellStyle name="Total 2 4 7" xfId="21638" xr:uid="{01F4DBD1-1278-4AF3-BA67-24D4877D9123}"/>
    <cellStyle name="Total 2 4 7 2" xfId="21639" xr:uid="{7B06CA2C-52AE-41E4-BB9A-0ABDD6F118FD}"/>
    <cellStyle name="Total 2 4 7 3" xfId="39919" xr:uid="{9DC27CDE-1318-4B8D-A58E-1F4C61BA5AF9}"/>
    <cellStyle name="Total 2 4 8" xfId="21640" xr:uid="{A873A77D-7429-49C6-8A7A-838D1C40C541}"/>
    <cellStyle name="Total 2 4 8 2" xfId="21641" xr:uid="{150B6FE6-A341-4215-9307-C8CB20A5C622}"/>
    <cellStyle name="Total 2 4 8 3" xfId="39920" xr:uid="{4E1001A3-E8D3-4159-AA22-18C83F60F6A4}"/>
    <cellStyle name="Total 2 4 9" xfId="21642" xr:uid="{FB5B8912-97F6-428B-8CAA-132963395F36}"/>
    <cellStyle name="Total 2 4 9 2" xfId="21643" xr:uid="{59127BB8-49BF-4FBA-A91D-27BE50E5B7C3}"/>
    <cellStyle name="Total 2 4 9 3" xfId="39921" xr:uid="{8B3CE96E-705A-4970-B086-5A11BA9E1C1A}"/>
    <cellStyle name="Total 2 5" xfId="21644" xr:uid="{2884016A-81DD-40F2-9C33-4C3E71D04F58}"/>
    <cellStyle name="Total 2 5 10" xfId="21645" xr:uid="{5A83675F-C74D-483D-957F-686FCC17C75A}"/>
    <cellStyle name="Total 2 5 10 2" xfId="39922" xr:uid="{327DCA66-81E0-4278-B9B9-59E1EE7D4B3A}"/>
    <cellStyle name="Total 2 5 10 3" xfId="39923" xr:uid="{BDFF99ED-CC53-431E-A3FB-9169607F799A}"/>
    <cellStyle name="Total 2 5 11" xfId="21646" xr:uid="{02AD7F9F-EFC0-4174-9B21-116F92F78D09}"/>
    <cellStyle name="Total 2 5 11 2" xfId="39924" xr:uid="{9E6C666C-A0C8-456E-8173-35CDF46432F1}"/>
    <cellStyle name="Total 2 5 12" xfId="39925" xr:uid="{E3E42855-C93F-4F34-A345-162DB048DF99}"/>
    <cellStyle name="Total 2 5 13" xfId="39926" xr:uid="{58019648-5F8D-496E-919A-38BC5C6143B3}"/>
    <cellStyle name="Total 2 5 14" xfId="44633" xr:uid="{4BBF8C31-D030-436A-B02C-B3080FF1BD00}"/>
    <cellStyle name="Total 2 5 15" xfId="45202" xr:uid="{6BB34AAC-B6AA-4CF5-B6B5-037DAA4ABAC0}"/>
    <cellStyle name="Total 2 5 16" xfId="45476" xr:uid="{89C56E5D-BA49-4DBF-A8EE-3F34D2EA7F40}"/>
    <cellStyle name="Total 2 5 2" xfId="21647" xr:uid="{CA03BBB7-8CD3-4BF5-B809-6D66406E2A3C}"/>
    <cellStyle name="Total 2 5 2 10" xfId="21648" xr:uid="{0F6901BC-E8FD-4154-B7FD-710D8295F290}"/>
    <cellStyle name="Total 2 5 2 10 2" xfId="39927" xr:uid="{F0C0B8BA-DBD7-4B9F-B59C-FA7D8800E752}"/>
    <cellStyle name="Total 2 5 2 11" xfId="39928" xr:uid="{75D270C7-E931-4F0C-98BB-F2BEB9DD6EE6}"/>
    <cellStyle name="Total 2 5 2 2" xfId="21649" xr:uid="{D6FE5A40-D133-4728-A935-55C02ACD40F9}"/>
    <cellStyle name="Total 2 5 2 2 2" xfId="21650" xr:uid="{01554F23-FB49-45FE-9A42-859C214A4DC1}"/>
    <cellStyle name="Total 2 5 2 2 2 2" xfId="39929" xr:uid="{1B9DD92A-6BC9-4532-AE25-42CB327BD767}"/>
    <cellStyle name="Total 2 5 2 2 2 3" xfId="39930" xr:uid="{AD06F103-D8D3-4789-AD26-1744739CF21C}"/>
    <cellStyle name="Total 2 5 2 2 3" xfId="21651" xr:uid="{C2470262-060C-4C18-BD50-59A071119CF3}"/>
    <cellStyle name="Total 2 5 2 2 3 2" xfId="21652" xr:uid="{1263DA80-EEE3-4FC0-BFFD-8441DF4226D2}"/>
    <cellStyle name="Total 2 5 2 2 4" xfId="21653" xr:uid="{E088B52E-D239-4B58-900E-508EBA6BA61A}"/>
    <cellStyle name="Total 2 5 2 2 5" xfId="39931" xr:uid="{FE737399-5D99-4EAD-81A2-8458CDCC0111}"/>
    <cellStyle name="Total 2 5 2 3" xfId="21654" xr:uid="{6C83630B-3848-4669-A922-206FBE168296}"/>
    <cellStyle name="Total 2 5 2 3 2" xfId="21655" xr:uid="{767DBB00-120B-4F9D-A272-96AE5B4D0147}"/>
    <cellStyle name="Total 2 5 2 3 3" xfId="39932" xr:uid="{6183B8BB-FD73-47C4-BB41-00F48E4078C2}"/>
    <cellStyle name="Total 2 5 2 4" xfId="21656" xr:uid="{2165E5B2-2F33-4B97-BCAF-FDACD4A54C63}"/>
    <cellStyle name="Total 2 5 2 4 2" xfId="21657" xr:uid="{1B06A628-AC66-4D07-BC19-021B31EB0159}"/>
    <cellStyle name="Total 2 5 2 4 3" xfId="39933" xr:uid="{D81EA492-9823-499A-9210-2531E5D2703C}"/>
    <cellStyle name="Total 2 5 2 5" xfId="21658" xr:uid="{2617F451-ABB8-476A-A150-FBD6D6F4BB50}"/>
    <cellStyle name="Total 2 5 2 5 2" xfId="21659" xr:uid="{8349ECF7-6F24-4585-BEAB-3A507C5592C1}"/>
    <cellStyle name="Total 2 5 2 5 3" xfId="39934" xr:uid="{CFF0BE0F-CBC5-4ED6-A6CF-72E526C46850}"/>
    <cellStyle name="Total 2 5 2 6" xfId="21660" xr:uid="{9D7B5A13-DA62-478D-B344-8A3025D59CD3}"/>
    <cellStyle name="Total 2 5 2 6 2" xfId="21661" xr:uid="{CE54E729-A42C-4B99-81FB-A98238639E9F}"/>
    <cellStyle name="Total 2 5 2 6 3" xfId="39935" xr:uid="{D42E7AB2-73B5-4BC2-B2D5-CDFB47C6FB05}"/>
    <cellStyle name="Total 2 5 2 7" xfId="21662" xr:uid="{8752A85A-6365-49AC-84A9-C65E839C6373}"/>
    <cellStyle name="Total 2 5 2 7 2" xfId="21663" xr:uid="{4461D2AB-31E3-49E4-A66B-442932ABAE34}"/>
    <cellStyle name="Total 2 5 2 7 3" xfId="39936" xr:uid="{9C07C630-5256-49EE-A02E-978F87A01B52}"/>
    <cellStyle name="Total 2 5 2 8" xfId="21664" xr:uid="{DBDFB143-F7F7-4D57-A31E-20D662BC3F65}"/>
    <cellStyle name="Total 2 5 2 8 2" xfId="21665" xr:uid="{EB70A656-108B-49EC-8354-B43F97B0FFB2}"/>
    <cellStyle name="Total 2 5 2 8 3" xfId="39937" xr:uid="{CA2B0F9B-5849-4C05-AC6F-8113E59F0FC7}"/>
    <cellStyle name="Total 2 5 2 9" xfId="21666" xr:uid="{A594C06B-C5CE-4B11-9935-3566E4763F4A}"/>
    <cellStyle name="Total 2 5 2 9 2" xfId="39938" xr:uid="{6865E4C0-CE40-4AAF-9EC1-C99A674B072A}"/>
    <cellStyle name="Total 2 5 2 9 3" xfId="39939" xr:uid="{E0B92DE8-99D5-49B6-8464-8A94C69A785D}"/>
    <cellStyle name="Total 2 5 3" xfId="21667" xr:uid="{B0DD5110-C17E-4E9F-98FD-9F652C3FBBBD}"/>
    <cellStyle name="Total 2 5 3 2" xfId="21668" xr:uid="{E3FE0846-20F2-4170-81C0-46B972D7AC38}"/>
    <cellStyle name="Total 2 5 3 2 2" xfId="39940" xr:uid="{0D060030-F1EE-46BD-BD1B-09784682AA51}"/>
    <cellStyle name="Total 2 5 3 2 3" xfId="39941" xr:uid="{15C55FFE-83E1-497B-B209-D955A992B89D}"/>
    <cellStyle name="Total 2 5 3 2 4" xfId="39942" xr:uid="{B54A104C-6AC4-4D01-9B53-33EC612781BE}"/>
    <cellStyle name="Total 2 5 3 3" xfId="21669" xr:uid="{F96C9C87-770B-4B2F-B31A-45DC88BC1FD4}"/>
    <cellStyle name="Total 2 5 3 3 2" xfId="21670" xr:uid="{A63E11D2-BD6A-4D72-B8EC-A0919199331C}"/>
    <cellStyle name="Total 2 5 3 4" xfId="21671" xr:uid="{2ADF51AF-D300-440F-844A-8F01D492959E}"/>
    <cellStyle name="Total 2 5 3 5" xfId="39943" xr:uid="{0FA4985D-0A21-4799-AA37-AD43E9104CBB}"/>
    <cellStyle name="Total 2 5 4" xfId="21672" xr:uid="{34EBEEBA-C553-4133-8A96-418EFA844BD0}"/>
    <cellStyle name="Total 2 5 4 2" xfId="21673" xr:uid="{7DFEA489-2964-476D-88E7-CCB10985C2B4}"/>
    <cellStyle name="Total 2 5 4 2 2" xfId="21674" xr:uid="{C3B49062-85D1-4958-AF96-3A3393DF40E5}"/>
    <cellStyle name="Total 2 5 4 2 2 2" xfId="39944" xr:uid="{4294F26B-4F77-478C-A74B-06B4BFB306FD}"/>
    <cellStyle name="Total 2 5 4 2 3" xfId="39945" xr:uid="{AFDD6BEB-A58A-42EA-8A52-67044A11ED90}"/>
    <cellStyle name="Total 2 5 4 2 3 2" xfId="39946" xr:uid="{23992A6C-CDE8-4371-A2AB-347536803CDD}"/>
    <cellStyle name="Total 2 5 4 2 4" xfId="39947" xr:uid="{9431400E-035C-4814-A5F3-E46543FF26A9}"/>
    <cellStyle name="Total 2 5 4 2 5" xfId="39948" xr:uid="{7A377EB4-6C7E-47E4-A898-EE9A899DD67F}"/>
    <cellStyle name="Total 2 5 4 2 6" xfId="39949" xr:uid="{D73FBADF-F652-490E-B326-7C89BE2C6F22}"/>
    <cellStyle name="Total 2 5 4 3" xfId="21675" xr:uid="{D5909B77-02CB-48C9-BA0E-E22D153FAAE3}"/>
    <cellStyle name="Total 2 5 4 3 2" xfId="39950" xr:uid="{EDA238D2-80EF-44C9-94B0-7EB0CE535B55}"/>
    <cellStyle name="Total 2 5 4 4" xfId="39951" xr:uid="{A81087DC-205D-41A7-9195-6812B9FA6F13}"/>
    <cellStyle name="Total 2 5 4 4 2" xfId="39952" xr:uid="{B1906453-5BB6-41FC-BAE7-F84F7975AAD7}"/>
    <cellStyle name="Total 2 5 4 5" xfId="39953" xr:uid="{A88EF37A-145B-4D47-875C-7D610BE9CC12}"/>
    <cellStyle name="Total 2 5 4 5 2" xfId="39954" xr:uid="{9E2979F9-D0D1-468C-B1A8-3597EE024616}"/>
    <cellStyle name="Total 2 5 4 6" xfId="39955" xr:uid="{BD5C2719-962D-4C31-920E-9457BC643E2E}"/>
    <cellStyle name="Total 2 5 4 7" xfId="39956" xr:uid="{5FF565E5-BDC0-402A-9C53-A3B8F0B43E3C}"/>
    <cellStyle name="Total 2 5 4 8" xfId="39957" xr:uid="{C7D0AD36-6BB8-4F20-89FA-8E8E3EA82ACA}"/>
    <cellStyle name="Total 2 5 4 9" xfId="39958" xr:uid="{34CDA6C5-7882-4A5D-BE76-55CEF5B89764}"/>
    <cellStyle name="Total 2 5 5" xfId="21676" xr:uid="{BA6DC26D-3E34-47BF-B1E8-D56F79001A21}"/>
    <cellStyle name="Total 2 5 5 2" xfId="21677" xr:uid="{5DAE0698-9A4B-4D5F-BB43-E7B6B8C730FF}"/>
    <cellStyle name="Total 2 5 5 2 2" xfId="39959" xr:uid="{6FCDB30C-B0C7-4352-99B9-03625E93F9D7}"/>
    <cellStyle name="Total 2 5 5 2 3" xfId="39960" xr:uid="{A8B50F4E-8E2E-4B60-B920-342042D34EE4}"/>
    <cellStyle name="Total 2 5 5 3" xfId="21678" xr:uid="{79014F50-5158-4AD9-8653-FE9531F16448}"/>
    <cellStyle name="Total 2 5 5 4" xfId="39961" xr:uid="{C8B5D4C9-25A6-46DF-BAFA-AC41B1F06C73}"/>
    <cellStyle name="Total 2 5 5 5" xfId="39962" xr:uid="{EDD4EDA6-ACA1-4D1A-A022-B3E2DA4C5142}"/>
    <cellStyle name="Total 2 5 6" xfId="21679" xr:uid="{60FA65B4-93FF-4FC6-9B2E-2188460CF40F}"/>
    <cellStyle name="Total 2 5 6 2" xfId="21680" xr:uid="{0BCC9C36-2B8C-4068-AA29-8601C213F32F}"/>
    <cellStyle name="Total 2 5 6 2 2" xfId="39963" xr:uid="{5B4D51AF-D8F0-4F3F-9DF2-6A9362EE63FA}"/>
    <cellStyle name="Total 2 5 6 2 3" xfId="39964" xr:uid="{8A3C7EC1-CD0E-4EAC-93B7-EF677B58B06D}"/>
    <cellStyle name="Total 2 5 6 3" xfId="39965" xr:uid="{8F96ED18-A022-47B6-8E76-EB93A9B51878}"/>
    <cellStyle name="Total 2 5 6 4" xfId="39966" xr:uid="{DD3091C0-8D34-40B4-AA1B-416684A7B153}"/>
    <cellStyle name="Total 2 5 7" xfId="21681" xr:uid="{CDE0C2AF-9988-4E3D-9679-70FED9CF1FCC}"/>
    <cellStyle name="Total 2 5 7 2" xfId="21682" xr:uid="{B6A1AD75-620D-468C-B71E-D68994EFD0FE}"/>
    <cellStyle name="Total 2 5 7 3" xfId="39967" xr:uid="{EECC042D-3847-40E5-8413-002D0B150A68}"/>
    <cellStyle name="Total 2 5 8" xfId="21683" xr:uid="{7D25C9D9-6AFE-4581-8C1B-6A5C733C958E}"/>
    <cellStyle name="Total 2 5 8 2" xfId="21684" xr:uid="{F5A572E6-DD6D-4196-8D47-65AAD27EC4FD}"/>
    <cellStyle name="Total 2 5 8 3" xfId="39968" xr:uid="{AA6D84E1-33BC-4AF8-9A34-C703EE239455}"/>
    <cellStyle name="Total 2 5 9" xfId="21685" xr:uid="{DD5B0277-30D2-4A5D-A9C4-DEA7282E75FE}"/>
    <cellStyle name="Total 2 5 9 2" xfId="21686" xr:uid="{E9497A1C-7DAD-4798-BEA0-285CEA95A0C0}"/>
    <cellStyle name="Total 2 5 9 3" xfId="39969" xr:uid="{7C8D0E2B-010F-4464-A2A0-2AC5DA9CF551}"/>
    <cellStyle name="Total 2 6" xfId="21687" xr:uid="{19285274-CD41-4A54-A067-ED87EC51307C}"/>
    <cellStyle name="Total 2 6 10" xfId="21688" xr:uid="{1AC03D6D-9ECF-43A0-AC82-78AD556E1CFA}"/>
    <cellStyle name="Total 2 6 10 2" xfId="39970" xr:uid="{0AFB9F95-B5FA-47DC-8214-6C63282EC1DD}"/>
    <cellStyle name="Total 2 6 10 3" xfId="39971" xr:uid="{43C50815-A75D-4584-87D7-6F99C96E7279}"/>
    <cellStyle name="Total 2 6 11" xfId="21689" xr:uid="{424BB3FB-C55F-4F13-8C0F-B66BA8C218B1}"/>
    <cellStyle name="Total 2 6 11 2" xfId="39972" xr:uid="{65B0BFFE-118D-400B-B093-25EFED65ECF4}"/>
    <cellStyle name="Total 2 6 12" xfId="39973" xr:uid="{3F339942-42A0-4A63-A5E1-08DF907B763F}"/>
    <cellStyle name="Total 2 6 13" xfId="39974" xr:uid="{08412A13-5F4E-467F-8CE1-F952DCB031ED}"/>
    <cellStyle name="Total 2 6 2" xfId="21690" xr:uid="{F4D3BCB0-2004-4984-AD9F-5E8B1AA66175}"/>
    <cellStyle name="Total 2 6 2 10" xfId="21691" xr:uid="{16D75B81-2913-476F-8B40-32D7631115D7}"/>
    <cellStyle name="Total 2 6 2 10 2" xfId="39975" xr:uid="{DCD94FE7-D39E-43C9-A11C-4B39D2128338}"/>
    <cellStyle name="Total 2 6 2 11" xfId="39976" xr:uid="{B0C22897-4DDC-4870-B371-86D96FFC7B19}"/>
    <cellStyle name="Total 2 6 2 2" xfId="21692" xr:uid="{094589B0-91F6-4123-9442-50D3A0F85619}"/>
    <cellStyle name="Total 2 6 2 2 2" xfId="21693" xr:uid="{14208DDD-FC2A-48FA-B91E-C1242E14661B}"/>
    <cellStyle name="Total 2 6 2 2 2 2" xfId="39977" xr:uid="{236A3B25-82DA-4B72-A4A7-9EA8A8FB26B3}"/>
    <cellStyle name="Total 2 6 2 2 2 3" xfId="39978" xr:uid="{664B9670-B80E-4FC3-B7E6-482A47847028}"/>
    <cellStyle name="Total 2 6 2 2 3" xfId="21694" xr:uid="{CE03D4EC-CF91-46DC-808B-3B92B267328F}"/>
    <cellStyle name="Total 2 6 2 2 3 2" xfId="21695" xr:uid="{3775687E-C744-45D5-9981-F04431B34DF8}"/>
    <cellStyle name="Total 2 6 2 2 4" xfId="21696" xr:uid="{D7B69C09-95DC-4FCF-9C61-DAF03051E273}"/>
    <cellStyle name="Total 2 6 2 2 5" xfId="39979" xr:uid="{E4A0EFE0-3E0B-4256-BB77-A44ECA636546}"/>
    <cellStyle name="Total 2 6 2 3" xfId="21697" xr:uid="{48C56019-9E58-4EAF-8152-FE8AB3AC42F3}"/>
    <cellStyle name="Total 2 6 2 3 2" xfId="21698" xr:uid="{D1105DF2-D769-4415-ABF6-0814E25E19F9}"/>
    <cellStyle name="Total 2 6 2 3 3" xfId="39980" xr:uid="{849B974C-4E81-46C1-9FC4-434C122A7FAB}"/>
    <cellStyle name="Total 2 6 2 4" xfId="21699" xr:uid="{94B5F488-40ED-4D47-9331-82B666DD8418}"/>
    <cellStyle name="Total 2 6 2 4 2" xfId="21700" xr:uid="{CAB58661-619F-4F5A-8420-7E98946DA879}"/>
    <cellStyle name="Total 2 6 2 4 3" xfId="39981" xr:uid="{ADC35412-FD0D-4E7D-B3FA-1BE744A4B790}"/>
    <cellStyle name="Total 2 6 2 5" xfId="21701" xr:uid="{8FA88AF9-696C-4DE9-BCEE-2F0AB858C775}"/>
    <cellStyle name="Total 2 6 2 5 2" xfId="21702" xr:uid="{B2CCBB5C-4338-46E8-8654-43CD4A7E7278}"/>
    <cellStyle name="Total 2 6 2 5 3" xfId="39982" xr:uid="{6B83A9DD-711B-449E-B0A2-6B8ACF870E77}"/>
    <cellStyle name="Total 2 6 2 6" xfId="21703" xr:uid="{E6A77982-7960-4AC6-8319-C1343AB5FD1B}"/>
    <cellStyle name="Total 2 6 2 6 2" xfId="21704" xr:uid="{67F220B6-6F5C-4AB9-928E-C1E2B03474B8}"/>
    <cellStyle name="Total 2 6 2 6 3" xfId="39983" xr:uid="{56522780-60CA-4F99-858D-85222540B1CE}"/>
    <cellStyle name="Total 2 6 2 7" xfId="21705" xr:uid="{B86A57CA-BEAD-47E0-8F8D-93C304D85402}"/>
    <cellStyle name="Total 2 6 2 7 2" xfId="21706" xr:uid="{3BD15F31-06A8-4B00-B717-DC777DB7B7D1}"/>
    <cellStyle name="Total 2 6 2 7 3" xfId="39984" xr:uid="{9CD566C1-092C-4A7D-8B33-7B2FA3DD2384}"/>
    <cellStyle name="Total 2 6 2 8" xfId="21707" xr:uid="{FDA5AD08-B0D9-46CF-BC03-B146058E4DF9}"/>
    <cellStyle name="Total 2 6 2 8 2" xfId="21708" xr:uid="{F8654926-8BEF-4FB5-9D18-16292A7500B3}"/>
    <cellStyle name="Total 2 6 2 8 3" xfId="39985" xr:uid="{E4CC0D51-3FAD-435F-BE31-88F656DA4E47}"/>
    <cellStyle name="Total 2 6 2 9" xfId="21709" xr:uid="{C84165F8-218D-4198-8003-57763CD71AEF}"/>
    <cellStyle name="Total 2 6 2 9 2" xfId="39986" xr:uid="{0C0C91AA-C98B-45E8-8CD2-345B114F7168}"/>
    <cellStyle name="Total 2 6 2 9 3" xfId="39987" xr:uid="{AD91081B-24C6-40C5-99F7-F027CCEA76DA}"/>
    <cellStyle name="Total 2 6 3" xfId="21710" xr:uid="{DD2D6656-6144-4E7E-A00A-92B4BB3F38F2}"/>
    <cellStyle name="Total 2 6 3 2" xfId="21711" xr:uid="{5DBC7D5A-B1C3-4CFA-9AC8-366C729F5CCD}"/>
    <cellStyle name="Total 2 6 3 2 2" xfId="39988" xr:uid="{52925F02-8E99-4CE5-A8B7-ED2D87B4C68B}"/>
    <cellStyle name="Total 2 6 3 2 3" xfId="39989" xr:uid="{CEF4ADD5-1CC7-47C0-BB6B-2D5AF24469BC}"/>
    <cellStyle name="Total 2 6 3 2 4" xfId="39990" xr:uid="{724122B0-F931-4392-A0D4-E8CE29CC2063}"/>
    <cellStyle name="Total 2 6 3 3" xfId="21712" xr:uid="{90DCBCBB-4B87-45B1-A920-A11EC762F29B}"/>
    <cellStyle name="Total 2 6 3 3 2" xfId="21713" xr:uid="{B898B1A7-B20A-4716-90BC-A14348F4DE03}"/>
    <cellStyle name="Total 2 6 3 4" xfId="21714" xr:uid="{79F3B7D0-FA7E-459A-82C6-5EBE1E5E4CBE}"/>
    <cellStyle name="Total 2 6 3 5" xfId="39991" xr:uid="{A3DAED07-79E3-4A47-B5CC-C41E92DECD72}"/>
    <cellStyle name="Total 2 6 4" xfId="21715" xr:uid="{1BB9A664-BAD4-43D2-8E4B-BE87FA9167FE}"/>
    <cellStyle name="Total 2 6 4 2" xfId="21716" xr:uid="{B433CD9D-974E-4BAF-85AE-8CE7E6EEB093}"/>
    <cellStyle name="Total 2 6 4 2 2" xfId="21717" xr:uid="{3DA671E6-B311-4B48-B317-874A26210687}"/>
    <cellStyle name="Total 2 6 4 2 2 2" xfId="39992" xr:uid="{34FFECF1-9C31-4C79-88C7-3657017D134F}"/>
    <cellStyle name="Total 2 6 4 2 3" xfId="39993" xr:uid="{3F51CF1B-E32E-496C-819B-1E61C4C4E87C}"/>
    <cellStyle name="Total 2 6 4 2 3 2" xfId="39994" xr:uid="{B86B40A7-1778-44F8-8C92-F7226DF81FDD}"/>
    <cellStyle name="Total 2 6 4 2 4" xfId="39995" xr:uid="{CDF57394-1027-4085-A72B-BFA3318107A9}"/>
    <cellStyle name="Total 2 6 4 2 5" xfId="39996" xr:uid="{FC3D87AB-8DD0-4D5D-99D5-887CC9C033D5}"/>
    <cellStyle name="Total 2 6 4 2 6" xfId="39997" xr:uid="{82B09D91-C2F6-4CCD-9406-607DB420362C}"/>
    <cellStyle name="Total 2 6 4 3" xfId="21718" xr:uid="{AE98742E-9EBD-435B-AD0B-6814FCBC63C5}"/>
    <cellStyle name="Total 2 6 4 3 2" xfId="39998" xr:uid="{94A1A06D-3769-45B1-86FD-176B3A03C49C}"/>
    <cellStyle name="Total 2 6 4 4" xfId="39999" xr:uid="{CD2C86B3-B00F-41BA-89BC-7DF81C9352A4}"/>
    <cellStyle name="Total 2 6 4 4 2" xfId="40000" xr:uid="{C3B56ACA-B9F9-48F8-8805-D21CEB66BB38}"/>
    <cellStyle name="Total 2 6 4 5" xfId="40001" xr:uid="{A2C439C2-639C-493B-92F8-C0E2F701FFE6}"/>
    <cellStyle name="Total 2 6 4 5 2" xfId="40002" xr:uid="{B7682163-B9A4-483C-936E-43BDD66B9104}"/>
    <cellStyle name="Total 2 6 4 6" xfId="40003" xr:uid="{51C722CD-9D43-423D-A840-AF33CB0B5B6C}"/>
    <cellStyle name="Total 2 6 4 7" xfId="40004" xr:uid="{A6A3136B-15C5-4D6D-9A39-79111E0281EF}"/>
    <cellStyle name="Total 2 6 4 8" xfId="40005" xr:uid="{61C8CBFE-0096-48F7-B571-8A09A724762F}"/>
    <cellStyle name="Total 2 6 4 9" xfId="40006" xr:uid="{AD52A2B4-8113-433E-9E12-ECFA2E7C1CC9}"/>
    <cellStyle name="Total 2 6 5" xfId="21719" xr:uid="{3A593ECE-E9B6-4709-B87B-7A469B95BEFE}"/>
    <cellStyle name="Total 2 6 5 2" xfId="21720" xr:uid="{3FDC5D04-A1C2-47F4-8AE0-30A5CE8979CE}"/>
    <cellStyle name="Total 2 6 5 2 2" xfId="40007" xr:uid="{FA56B018-DFF8-4F88-A180-61F05ED41681}"/>
    <cellStyle name="Total 2 6 5 2 3" xfId="40008" xr:uid="{57E9B03C-F449-46A5-9925-5CD19B57E8FB}"/>
    <cellStyle name="Total 2 6 5 3" xfId="21721" xr:uid="{6B83B9A1-2252-43BA-8028-AADA95AB91D8}"/>
    <cellStyle name="Total 2 6 5 4" xfId="40009" xr:uid="{97CDBB02-01F1-4A25-B657-7CCEB086CB4C}"/>
    <cellStyle name="Total 2 6 5 5" xfId="40010" xr:uid="{D57C00BE-7A44-418B-93B0-C39CECAFDDB5}"/>
    <cellStyle name="Total 2 6 6" xfId="21722" xr:uid="{5BAA1984-D8DE-47F9-AC2F-6CF75348D1B5}"/>
    <cellStyle name="Total 2 6 6 2" xfId="21723" xr:uid="{3D6AAE51-F8FD-49E3-B2FC-CD364DCA0F2A}"/>
    <cellStyle name="Total 2 6 6 2 2" xfId="40011" xr:uid="{2A46439A-FFDE-47F6-94D7-63F17F043C37}"/>
    <cellStyle name="Total 2 6 6 2 3" xfId="40012" xr:uid="{BFEFBC55-5192-44C2-BB86-D24BA3938B42}"/>
    <cellStyle name="Total 2 6 6 3" xfId="40013" xr:uid="{A9E38C2A-DA81-4602-AFA0-8A361C62505B}"/>
    <cellStyle name="Total 2 6 6 4" xfId="40014" xr:uid="{D9184DE5-017B-49AF-8480-99BC8FE3561D}"/>
    <cellStyle name="Total 2 6 7" xfId="21724" xr:uid="{FE79FE5D-36D3-4DD5-AA97-F25F4D98BFED}"/>
    <cellStyle name="Total 2 6 7 2" xfId="21725" xr:uid="{0AA4DB41-C1E9-4576-9DC6-3DE855D13D59}"/>
    <cellStyle name="Total 2 6 7 3" xfId="40015" xr:uid="{7AD0E8DD-81C0-4D68-8894-26E9256451DC}"/>
    <cellStyle name="Total 2 6 8" xfId="21726" xr:uid="{294935A6-234A-4DF1-AB1F-A9D3EF69E3DC}"/>
    <cellStyle name="Total 2 6 8 2" xfId="21727" xr:uid="{ADEDB1AE-0F64-4E7B-8C9A-CE33EEAA5797}"/>
    <cellStyle name="Total 2 6 8 3" xfId="40016" xr:uid="{7EE2B4C0-90B5-478C-973C-9FC51C04C284}"/>
    <cellStyle name="Total 2 6 9" xfId="21728" xr:uid="{9B454202-4C42-4DBD-A0E8-959BE3800968}"/>
    <cellStyle name="Total 2 6 9 2" xfId="21729" xr:uid="{5C8CA9CF-D41D-4D0A-A718-49F8E77709B3}"/>
    <cellStyle name="Total 2 6 9 3" xfId="40017" xr:uid="{278282B8-AE2C-4FC5-9CB3-FAD275863E01}"/>
    <cellStyle name="Total 2 7" xfId="21730" xr:uid="{7EF42382-77D2-4F14-A24F-F6B5B1AFCE87}"/>
    <cellStyle name="Total 2 7 10" xfId="21731" xr:uid="{FD2995B6-1A28-4DDD-95F7-9BEB222D1EF2}"/>
    <cellStyle name="Total 2 7 10 2" xfId="40018" xr:uid="{F1684206-FD1D-4EB7-922D-AC2BD0D842B7}"/>
    <cellStyle name="Total 2 7 10 3" xfId="40019" xr:uid="{8EBA4F29-8AAE-4C22-9130-0C2459407A56}"/>
    <cellStyle name="Total 2 7 11" xfId="21732" xr:uid="{1A63D8FA-565C-4693-B82F-77D24876266E}"/>
    <cellStyle name="Total 2 7 11 2" xfId="40020" xr:uid="{FBC83561-B39C-4DA8-941D-BAE06F5873CF}"/>
    <cellStyle name="Total 2 7 12" xfId="40021" xr:uid="{3B30F003-DA64-490E-86C2-1C1660E1EDA3}"/>
    <cellStyle name="Total 2 7 13" xfId="40022" xr:uid="{3DAECEA7-AD76-40FF-96CD-CF03FFA889DD}"/>
    <cellStyle name="Total 2 7 2" xfId="21733" xr:uid="{4494A5AC-DF3E-44FB-8A91-CE4E7FDE64B8}"/>
    <cellStyle name="Total 2 7 2 10" xfId="21734" xr:uid="{FA7B55A7-8324-43AB-B940-B0D16ED27797}"/>
    <cellStyle name="Total 2 7 2 10 2" xfId="40023" xr:uid="{B0230352-FD2A-4D7B-A13F-807069720005}"/>
    <cellStyle name="Total 2 7 2 11" xfId="40024" xr:uid="{EDA92CDC-1300-4118-8F31-D4F426B48716}"/>
    <cellStyle name="Total 2 7 2 2" xfId="21735" xr:uid="{2993C2AE-D9AB-4EB3-B778-EE3C86A84496}"/>
    <cellStyle name="Total 2 7 2 2 2" xfId="21736" xr:uid="{3D29C7E0-B9A5-4236-B311-F94C3D29CB31}"/>
    <cellStyle name="Total 2 7 2 2 2 2" xfId="40025" xr:uid="{21D59CAB-58B5-4133-A8D5-4779B56F56C2}"/>
    <cellStyle name="Total 2 7 2 2 2 3" xfId="40026" xr:uid="{2330F5F6-B3C3-4FDA-890F-AEE17949DEBF}"/>
    <cellStyle name="Total 2 7 2 2 3" xfId="21737" xr:uid="{42E409B6-55E4-4383-A32A-ABAAC802014F}"/>
    <cellStyle name="Total 2 7 2 2 3 2" xfId="21738" xr:uid="{2E585D1C-F792-4894-A2EE-DCB4B5D1DBCE}"/>
    <cellStyle name="Total 2 7 2 2 4" xfId="21739" xr:uid="{26F6D2A5-29CF-49C3-8D02-3B45E967E081}"/>
    <cellStyle name="Total 2 7 2 2 5" xfId="40027" xr:uid="{2FCE9620-C9A1-4CD6-8CDA-B04529DCA2F4}"/>
    <cellStyle name="Total 2 7 2 3" xfId="21740" xr:uid="{7DD3C6C4-37C1-4610-B5FD-DBCB022FA205}"/>
    <cellStyle name="Total 2 7 2 3 2" xfId="21741" xr:uid="{0C73B0F4-22EA-476E-9FDB-44E57A40B631}"/>
    <cellStyle name="Total 2 7 2 3 3" xfId="40028" xr:uid="{A503DCCD-7FB5-434C-B52F-E5A23FC56D4E}"/>
    <cellStyle name="Total 2 7 2 4" xfId="21742" xr:uid="{41821DA3-BDFA-4B4D-B8A0-45AB35E88417}"/>
    <cellStyle name="Total 2 7 2 4 2" xfId="21743" xr:uid="{DCD5580B-AF60-4328-B237-144A0DF957F3}"/>
    <cellStyle name="Total 2 7 2 4 3" xfId="40029" xr:uid="{9A5BB9BD-14C1-4564-92D1-28879D7C80A2}"/>
    <cellStyle name="Total 2 7 2 5" xfId="21744" xr:uid="{926CDF57-FBE1-42C1-8421-55B889A981F8}"/>
    <cellStyle name="Total 2 7 2 5 2" xfId="21745" xr:uid="{F57F2D74-F342-4534-AA08-6CF6E683CF45}"/>
    <cellStyle name="Total 2 7 2 5 3" xfId="40030" xr:uid="{DD39FEE8-29FC-400A-9156-358B1195B806}"/>
    <cellStyle name="Total 2 7 2 6" xfId="21746" xr:uid="{64C92335-325B-4785-A8D0-45515CD770E3}"/>
    <cellStyle name="Total 2 7 2 6 2" xfId="21747" xr:uid="{F1B6FFCE-68B8-4E98-ADCB-D27F7D103DA1}"/>
    <cellStyle name="Total 2 7 2 6 3" xfId="40031" xr:uid="{2ACC596E-20E9-4193-8DD3-17A7E9FD72B5}"/>
    <cellStyle name="Total 2 7 2 7" xfId="21748" xr:uid="{C0A0FC3F-39CD-48D5-A3D8-DE81DA47F932}"/>
    <cellStyle name="Total 2 7 2 7 2" xfId="21749" xr:uid="{E5AB57CF-3FD8-4261-BB66-65750B0FC0A2}"/>
    <cellStyle name="Total 2 7 2 7 3" xfId="40032" xr:uid="{4657FF14-A837-4195-8F28-57F589D5B134}"/>
    <cellStyle name="Total 2 7 2 8" xfId="21750" xr:uid="{3E9046A9-3951-4584-99FD-8CBC81271E84}"/>
    <cellStyle name="Total 2 7 2 8 2" xfId="21751" xr:uid="{EDC0C603-73CB-4B8F-98CD-BB2F4ADA99E1}"/>
    <cellStyle name="Total 2 7 2 8 3" xfId="40033" xr:uid="{C1B4327D-890C-4899-A932-9C2137F2B2E7}"/>
    <cellStyle name="Total 2 7 2 9" xfId="21752" xr:uid="{B08E79E6-7C51-4E41-812A-18CE21912E68}"/>
    <cellStyle name="Total 2 7 2 9 2" xfId="40034" xr:uid="{673C4A7B-C9E5-43CC-BAAC-C70371D72E10}"/>
    <cellStyle name="Total 2 7 2 9 3" xfId="40035" xr:uid="{F8395FE5-6300-42D8-A532-3E87A17D075F}"/>
    <cellStyle name="Total 2 7 3" xfId="21753" xr:uid="{F624DE1C-4FD2-44E7-9300-18C536BC3E94}"/>
    <cellStyle name="Total 2 7 3 2" xfId="21754" xr:uid="{B136B04E-4335-4EFE-9986-58CD0579981D}"/>
    <cellStyle name="Total 2 7 3 2 2" xfId="40036" xr:uid="{12D1471A-DEFC-488D-80FA-FF9A85D4A619}"/>
    <cellStyle name="Total 2 7 3 2 3" xfId="40037" xr:uid="{D269F264-FFCB-48F0-B6EA-4CF277804E37}"/>
    <cellStyle name="Total 2 7 3 2 4" xfId="40038" xr:uid="{1D5F5CC6-BF33-49BE-9678-49CEBE838C1F}"/>
    <cellStyle name="Total 2 7 3 3" xfId="21755" xr:uid="{BB69CE95-1FD9-4089-B7A0-D521DAD0BAB5}"/>
    <cellStyle name="Total 2 7 3 3 2" xfId="21756" xr:uid="{FA7D78C8-3588-4B7A-8B07-18EB3F92BBC5}"/>
    <cellStyle name="Total 2 7 3 4" xfId="21757" xr:uid="{DE30DE28-1EAF-41F3-B954-80B090A8C9A3}"/>
    <cellStyle name="Total 2 7 3 5" xfId="40039" xr:uid="{8A1BB071-D09E-4021-A621-81C9272F6FDF}"/>
    <cellStyle name="Total 2 7 4" xfId="21758" xr:uid="{73F8FCC8-DFD9-47D5-9228-DEF0D86889FF}"/>
    <cellStyle name="Total 2 7 4 2" xfId="21759" xr:uid="{6CF20812-CB9A-4EA7-98C1-6BE99309BC81}"/>
    <cellStyle name="Total 2 7 4 2 2" xfId="21760" xr:uid="{DBDCD5FB-5975-4193-887C-65F076EE476A}"/>
    <cellStyle name="Total 2 7 4 2 2 2" xfId="40040" xr:uid="{5DC056AF-817D-4525-B04F-4F46A9F6059E}"/>
    <cellStyle name="Total 2 7 4 2 3" xfId="40041" xr:uid="{29954017-0F48-4477-AAD2-B2DF069EBB40}"/>
    <cellStyle name="Total 2 7 4 2 3 2" xfId="40042" xr:uid="{2D4ECAAD-BE24-407C-B082-47BDF420DE69}"/>
    <cellStyle name="Total 2 7 4 2 4" xfId="40043" xr:uid="{67587BAD-18E4-461B-B7FB-3992416AA57E}"/>
    <cellStyle name="Total 2 7 4 2 5" xfId="40044" xr:uid="{1D05D929-36A6-4F2D-9AED-FFF4552DA7E0}"/>
    <cellStyle name="Total 2 7 4 2 6" xfId="40045" xr:uid="{E3157EB5-0C7C-4F2C-A261-0DA3E266387E}"/>
    <cellStyle name="Total 2 7 4 3" xfId="21761" xr:uid="{6205E615-251B-4D57-931F-9E9B623C4963}"/>
    <cellStyle name="Total 2 7 4 3 2" xfId="40046" xr:uid="{5BA1AFDD-FA9C-4531-8161-FCB301F5122D}"/>
    <cellStyle name="Total 2 7 4 4" xfId="40047" xr:uid="{A4F48ACD-6BE6-43A2-BD4E-CE68CFBB32CB}"/>
    <cellStyle name="Total 2 7 4 4 2" xfId="40048" xr:uid="{E10BC06D-AFD6-48E9-9386-E351D620BC07}"/>
    <cellStyle name="Total 2 7 4 5" xfId="40049" xr:uid="{68AC7EEA-B614-4A84-BB53-F5F7D7A44F83}"/>
    <cellStyle name="Total 2 7 4 5 2" xfId="40050" xr:uid="{15BFE303-80EA-4DFF-98D7-5ABEE6F482E0}"/>
    <cellStyle name="Total 2 7 4 6" xfId="40051" xr:uid="{5EC5583F-A9FD-4CD4-A700-37312E6B80AB}"/>
    <cellStyle name="Total 2 7 4 7" xfId="40052" xr:uid="{B88693EF-9706-433E-A60E-32DDEEF0D8B1}"/>
    <cellStyle name="Total 2 7 4 8" xfId="40053" xr:uid="{B80B50D9-AFBE-4AF3-9561-72D6CF82ADAA}"/>
    <cellStyle name="Total 2 7 4 9" xfId="40054" xr:uid="{36B28AEC-8E35-466D-8E8C-2280356ED9D1}"/>
    <cellStyle name="Total 2 7 5" xfId="21762" xr:uid="{E4DE0496-070F-4421-A90C-5307768D68AE}"/>
    <cellStyle name="Total 2 7 5 2" xfId="21763" xr:uid="{831ECD94-945F-48B0-BCEF-7BEFC45B729C}"/>
    <cellStyle name="Total 2 7 5 2 2" xfId="40055" xr:uid="{6EF1D812-3069-4DC4-8216-950B9008B588}"/>
    <cellStyle name="Total 2 7 5 2 3" xfId="40056" xr:uid="{A64358FB-F252-4C19-9CFB-241F32E774A6}"/>
    <cellStyle name="Total 2 7 5 3" xfId="21764" xr:uid="{B5B260C8-4F03-418C-912B-38E058B9B2EB}"/>
    <cellStyle name="Total 2 7 5 4" xfId="40057" xr:uid="{30351101-CE4A-4548-BEC7-AB1CCDC9F1A9}"/>
    <cellStyle name="Total 2 7 5 5" xfId="40058" xr:uid="{7D136B5C-5A65-42B4-9F7D-28A82029B342}"/>
    <cellStyle name="Total 2 7 6" xfId="21765" xr:uid="{0F55EDBC-B227-46CF-A0E0-D83F9D0C7CCC}"/>
    <cellStyle name="Total 2 7 6 2" xfId="21766" xr:uid="{B49168E5-2328-4181-BA32-E9AC56746D83}"/>
    <cellStyle name="Total 2 7 6 2 2" xfId="40059" xr:uid="{979F4FF6-AD4B-424D-B4F4-FD456D50EE57}"/>
    <cellStyle name="Total 2 7 6 2 3" xfId="40060" xr:uid="{84F68689-2CF1-485F-B3A5-5FA7C47F8CED}"/>
    <cellStyle name="Total 2 7 6 3" xfId="40061" xr:uid="{13267AF3-D120-432B-B00E-116B3FD87427}"/>
    <cellStyle name="Total 2 7 6 4" xfId="40062" xr:uid="{4C9C81BE-94D4-4B2C-8991-6F970C3EAF05}"/>
    <cellStyle name="Total 2 7 7" xfId="21767" xr:uid="{436C4BE5-236A-40C6-B771-847B052E95B3}"/>
    <cellStyle name="Total 2 7 7 2" xfId="21768" xr:uid="{F02ABAEA-9C0E-465A-BEB9-3BE147E763C5}"/>
    <cellStyle name="Total 2 7 7 3" xfId="40063" xr:uid="{BB5D5621-FCAE-4518-B223-974B8BF98A6B}"/>
    <cellStyle name="Total 2 7 8" xfId="21769" xr:uid="{AD02E48F-D44F-4B69-B768-2FB1EBC4FB3E}"/>
    <cellStyle name="Total 2 7 8 2" xfId="21770" xr:uid="{2E199976-3543-4C65-BC65-4255BA6674A6}"/>
    <cellStyle name="Total 2 7 8 3" xfId="40064" xr:uid="{89FCE081-0130-437B-BF1F-BA10CD7D72DC}"/>
    <cellStyle name="Total 2 7 9" xfId="21771" xr:uid="{9F447837-C44A-42A1-8DA8-51988C845E71}"/>
    <cellStyle name="Total 2 7 9 2" xfId="21772" xr:uid="{54C21C40-8B9F-4AED-A64C-1A019F5F6135}"/>
    <cellStyle name="Total 2 7 9 3" xfId="40065" xr:uid="{B8D717FB-B54A-4746-9874-EAF2E728841E}"/>
    <cellStyle name="Total 2 8" xfId="21773" xr:uid="{9017A9D4-CAF1-46B4-BF8D-71F828BECD8D}"/>
    <cellStyle name="Total 2 8 10" xfId="21774" xr:uid="{83AA3D6D-A828-4C0C-925B-08EEABAE9309}"/>
    <cellStyle name="Total 2 8 10 2" xfId="40066" xr:uid="{97516ABC-3BEA-4511-A46E-DF50A3CFE734}"/>
    <cellStyle name="Total 2 8 10 3" xfId="40067" xr:uid="{7D14ADBB-1B58-404A-A9EF-EA2384D03206}"/>
    <cellStyle name="Total 2 8 11" xfId="21775" xr:uid="{4BAAFDEF-6458-4B3B-BFE9-30F762AECC11}"/>
    <cellStyle name="Total 2 8 11 2" xfId="40068" xr:uid="{887FE7E8-7CCF-4017-A2D8-4DEC68571832}"/>
    <cellStyle name="Total 2 8 12" xfId="40069" xr:uid="{201323A2-EC17-468B-944E-A30F9491F469}"/>
    <cellStyle name="Total 2 8 13" xfId="40070" xr:uid="{11717AB4-4AAE-4FA3-BDA9-DE49ABC501D0}"/>
    <cellStyle name="Total 2 8 2" xfId="21776" xr:uid="{A44C1EBC-BF1D-4722-889C-61E479CA2DF3}"/>
    <cellStyle name="Total 2 8 2 10" xfId="21777" xr:uid="{D476DC85-802F-4C1F-BB26-ED8F7DFC86CF}"/>
    <cellStyle name="Total 2 8 2 10 2" xfId="40071" xr:uid="{1CC01D24-AAA1-4A1C-9CC5-F1E2597504B0}"/>
    <cellStyle name="Total 2 8 2 11" xfId="40072" xr:uid="{8A4DAD97-8869-453D-8A2F-1CF3644D21EE}"/>
    <cellStyle name="Total 2 8 2 2" xfId="21778" xr:uid="{08876871-3C73-4D75-B8FA-64D5618B02FC}"/>
    <cellStyle name="Total 2 8 2 2 2" xfId="21779" xr:uid="{2A73327D-A842-40C0-9424-39079FCF2282}"/>
    <cellStyle name="Total 2 8 2 2 2 2" xfId="40073" xr:uid="{665B34E9-F2DC-4E35-AD41-A2D2F27BF58A}"/>
    <cellStyle name="Total 2 8 2 2 2 3" xfId="40074" xr:uid="{B06818F8-5926-4836-B518-34705345D3D5}"/>
    <cellStyle name="Total 2 8 2 2 3" xfId="21780" xr:uid="{543BBCC1-8CE7-4B79-9847-18B792B744FB}"/>
    <cellStyle name="Total 2 8 2 2 3 2" xfId="21781" xr:uid="{D17EBBC1-EBEB-499F-AA2A-4DC0221EA5D3}"/>
    <cellStyle name="Total 2 8 2 2 4" xfId="21782" xr:uid="{609D9B8B-EF81-4A04-A158-BE50DFA67822}"/>
    <cellStyle name="Total 2 8 2 2 5" xfId="40075" xr:uid="{D7340549-3E54-4BFD-B69A-1C7F03E9C840}"/>
    <cellStyle name="Total 2 8 2 3" xfId="21783" xr:uid="{11ADC1FE-37BF-4B0C-A2AA-87A2EFFA54E0}"/>
    <cellStyle name="Total 2 8 2 3 2" xfId="21784" xr:uid="{DEB90385-EA96-438D-A156-14AE73B858D9}"/>
    <cellStyle name="Total 2 8 2 3 3" xfId="40076" xr:uid="{43A95BF4-48B3-4C65-9ECB-6FDD0464A860}"/>
    <cellStyle name="Total 2 8 2 4" xfId="21785" xr:uid="{9D982CA6-D8C4-4592-B4B1-4064CAEB98B2}"/>
    <cellStyle name="Total 2 8 2 4 2" xfId="21786" xr:uid="{B998E56E-BCE6-4D50-A9EF-928358A34A4E}"/>
    <cellStyle name="Total 2 8 2 4 3" xfId="40077" xr:uid="{F602C5C5-E7E4-47DE-BE8B-044DBE554BDE}"/>
    <cellStyle name="Total 2 8 2 5" xfId="21787" xr:uid="{FFC09A04-D81C-478D-8D91-7578F9FE4D3A}"/>
    <cellStyle name="Total 2 8 2 5 2" xfId="21788" xr:uid="{0621BB1A-3389-4A21-9535-CE25C072508A}"/>
    <cellStyle name="Total 2 8 2 5 3" xfId="40078" xr:uid="{39CFCF1F-F8CA-4211-9EC4-990FE1F25D02}"/>
    <cellStyle name="Total 2 8 2 6" xfId="21789" xr:uid="{280D62B7-5FA3-4384-8289-7368CBA9D299}"/>
    <cellStyle name="Total 2 8 2 6 2" xfId="21790" xr:uid="{F6B7FAE6-C963-4AF6-A303-B10A44E43CFD}"/>
    <cellStyle name="Total 2 8 2 6 3" xfId="40079" xr:uid="{28E913CE-71BD-4F85-9B1B-C92D82580D74}"/>
    <cellStyle name="Total 2 8 2 7" xfId="21791" xr:uid="{AFB36062-86E4-4FFF-9226-79D18C6102B0}"/>
    <cellStyle name="Total 2 8 2 7 2" xfId="21792" xr:uid="{75AA1B58-7E03-44C7-8313-A7119FB375F5}"/>
    <cellStyle name="Total 2 8 2 7 3" xfId="40080" xr:uid="{3774F4D1-83E1-4732-9449-27E97C7E857E}"/>
    <cellStyle name="Total 2 8 2 8" xfId="21793" xr:uid="{3A8B1AB1-A3AF-42DD-9AF3-2ABBE0E1AA41}"/>
    <cellStyle name="Total 2 8 2 8 2" xfId="21794" xr:uid="{3AD8C5AF-30D2-4F14-860A-A83CF6FABD5B}"/>
    <cellStyle name="Total 2 8 2 8 3" xfId="40081" xr:uid="{429475E1-63F9-4C73-A237-C7D7EAC783A4}"/>
    <cellStyle name="Total 2 8 2 9" xfId="21795" xr:uid="{5DE7BD85-485F-4334-82BD-E5503BC874B2}"/>
    <cellStyle name="Total 2 8 2 9 2" xfId="40082" xr:uid="{BEF7D903-F5DE-4542-A419-88CE3BF1F34A}"/>
    <cellStyle name="Total 2 8 2 9 3" xfId="40083" xr:uid="{5B42B60B-CF02-4BEE-ACBE-55A1D537EF3E}"/>
    <cellStyle name="Total 2 8 3" xfId="21796" xr:uid="{4D7351EC-EE6A-486D-BB52-10A05B508A8F}"/>
    <cellStyle name="Total 2 8 3 2" xfId="21797" xr:uid="{54618056-3A95-40D0-B1DE-8B003C8AED30}"/>
    <cellStyle name="Total 2 8 3 2 2" xfId="40084" xr:uid="{82D64E3C-7375-45B6-A1CF-359945CB7777}"/>
    <cellStyle name="Total 2 8 3 2 3" xfId="40085" xr:uid="{667156BB-5CBB-4094-B7C0-AAF07DAE28F0}"/>
    <cellStyle name="Total 2 8 3 2 4" xfId="40086" xr:uid="{9AE6AFF8-F251-4B11-8D1E-89183D365156}"/>
    <cellStyle name="Total 2 8 3 3" xfId="21798" xr:uid="{654A5981-A09A-4B7C-BB1E-AA547BAF5912}"/>
    <cellStyle name="Total 2 8 3 3 2" xfId="21799" xr:uid="{EF58D39E-46B8-487B-AEB4-BF579C29C086}"/>
    <cellStyle name="Total 2 8 3 4" xfId="21800" xr:uid="{8D31BB9C-23BD-4C5B-B33E-8A8915CB4159}"/>
    <cellStyle name="Total 2 8 3 5" xfId="40087" xr:uid="{7D8837D2-C820-4B79-8FF9-B8575397E308}"/>
    <cellStyle name="Total 2 8 4" xfId="21801" xr:uid="{B449BD7D-6113-484C-8A76-345611F065FF}"/>
    <cellStyle name="Total 2 8 4 2" xfId="21802" xr:uid="{08D3AA2F-5AD3-47F2-949C-743FB381A1E3}"/>
    <cellStyle name="Total 2 8 4 2 2" xfId="21803" xr:uid="{1E94AB1A-E318-4847-AC96-5820C583D3D4}"/>
    <cellStyle name="Total 2 8 4 2 2 2" xfId="40088" xr:uid="{AB67BDC1-3A86-4652-BFDD-06C6A0D42BBD}"/>
    <cellStyle name="Total 2 8 4 2 3" xfId="40089" xr:uid="{5D300B97-A3E7-458F-96C2-538AD8B9AE4B}"/>
    <cellStyle name="Total 2 8 4 2 3 2" xfId="40090" xr:uid="{0FE3FB35-2AAC-4462-B310-DC2451497DC6}"/>
    <cellStyle name="Total 2 8 4 2 4" xfId="40091" xr:uid="{15F579B1-E8B2-459B-AB17-2FBE008318BB}"/>
    <cellStyle name="Total 2 8 4 2 5" xfId="40092" xr:uid="{870B323B-3E55-400C-BACD-D470C07ED326}"/>
    <cellStyle name="Total 2 8 4 2 6" xfId="40093" xr:uid="{B1EC3A46-1090-470D-8C0A-5D26D6A39BE7}"/>
    <cellStyle name="Total 2 8 4 3" xfId="21804" xr:uid="{21148FC5-CD59-46CB-BBE0-A8EEA721E8D0}"/>
    <cellStyle name="Total 2 8 4 3 2" xfId="40094" xr:uid="{83E5E38B-4D9F-45A4-A6D6-5F17A85A3008}"/>
    <cellStyle name="Total 2 8 4 4" xfId="40095" xr:uid="{346C1797-DD39-44C9-B357-40C04EF7C6D3}"/>
    <cellStyle name="Total 2 8 4 4 2" xfId="40096" xr:uid="{4D11AFE9-C513-4A01-BE04-AFE3A615C689}"/>
    <cellStyle name="Total 2 8 4 5" xfId="40097" xr:uid="{D7344DAA-611B-49B4-807C-88A42EDB21C1}"/>
    <cellStyle name="Total 2 8 4 5 2" xfId="40098" xr:uid="{FA72E88B-BD03-4942-8364-2D728C68CAFF}"/>
    <cellStyle name="Total 2 8 4 6" xfId="40099" xr:uid="{FD068EE0-FEE5-46E5-BC54-327D228F7C3D}"/>
    <cellStyle name="Total 2 8 4 7" xfId="40100" xr:uid="{E1A0F71E-820C-4291-B405-EBAD0EEBFDD6}"/>
    <cellStyle name="Total 2 8 4 8" xfId="40101" xr:uid="{3DFA8E51-1221-4CE5-A186-62752F152703}"/>
    <cellStyle name="Total 2 8 4 9" xfId="40102" xr:uid="{AC420112-6776-449F-B317-140E35099A77}"/>
    <cellStyle name="Total 2 8 5" xfId="21805" xr:uid="{F1B722F3-D9F8-4CD2-9569-E14C694BA967}"/>
    <cellStyle name="Total 2 8 5 2" xfId="21806" xr:uid="{AA66A550-211A-415F-982D-A4B6A1F6D15B}"/>
    <cellStyle name="Total 2 8 5 2 2" xfId="40103" xr:uid="{F8551FC0-8F4A-4B3D-B747-97A82486C34B}"/>
    <cellStyle name="Total 2 8 5 2 3" xfId="40104" xr:uid="{EDE47743-BAB2-436D-9796-51BF74EF3474}"/>
    <cellStyle name="Total 2 8 5 3" xfId="21807" xr:uid="{37504B41-604B-4AA6-8139-0A9AF4700FEF}"/>
    <cellStyle name="Total 2 8 5 4" xfId="40105" xr:uid="{4B36DA76-41BF-475C-9F43-55D0C592DE20}"/>
    <cellStyle name="Total 2 8 5 5" xfId="40106" xr:uid="{2D6CB529-9AB2-4CAA-B626-8A9CF2EA05F5}"/>
    <cellStyle name="Total 2 8 6" xfId="21808" xr:uid="{41CD188D-BD89-43DA-A803-8DBF23E22770}"/>
    <cellStyle name="Total 2 8 6 2" xfId="21809" xr:uid="{6D2A6896-CC4D-43C2-9B79-96F63530F26F}"/>
    <cellStyle name="Total 2 8 6 2 2" xfId="40107" xr:uid="{52A84898-14B9-4EC9-91DA-A9024B7B150E}"/>
    <cellStyle name="Total 2 8 6 2 3" xfId="40108" xr:uid="{19D201CB-4B06-45D2-8535-C4C684D3FC61}"/>
    <cellStyle name="Total 2 8 6 3" xfId="40109" xr:uid="{402190E5-BE56-4866-A325-18500B497530}"/>
    <cellStyle name="Total 2 8 6 4" xfId="40110" xr:uid="{60C9F7D2-B8E9-4F53-80AE-E17960A4CA4C}"/>
    <cellStyle name="Total 2 8 7" xfId="21810" xr:uid="{C6853AB9-69CA-4AAB-9A85-EA54DF911C4E}"/>
    <cellStyle name="Total 2 8 7 2" xfId="21811" xr:uid="{BA2543C9-040F-4E02-80BC-2B0B2B809DDE}"/>
    <cellStyle name="Total 2 8 7 3" xfId="40111" xr:uid="{AE76FAE3-58EC-4E5C-B376-E5DF22579980}"/>
    <cellStyle name="Total 2 8 8" xfId="21812" xr:uid="{5F49ABA8-0863-4F31-94ED-411D6469B12D}"/>
    <cellStyle name="Total 2 8 8 2" xfId="21813" xr:uid="{D07CADE2-D149-40AC-8D7B-73FE29AE4DDC}"/>
    <cellStyle name="Total 2 8 8 3" xfId="40112" xr:uid="{85CDC11D-FC7B-4724-B1B2-DB8DD9069B58}"/>
    <cellStyle name="Total 2 8 9" xfId="21814" xr:uid="{1BCD34E4-A863-438A-B7DF-7C998806533D}"/>
    <cellStyle name="Total 2 8 9 2" xfId="21815" xr:uid="{EB34E2FD-7774-4BA3-A5C8-D338C0223E09}"/>
    <cellStyle name="Total 2 8 9 3" xfId="40113" xr:uid="{FF25C874-8144-4FA1-BFEC-0B0BBA8A1F5F}"/>
    <cellStyle name="Total 2 9" xfId="21816" xr:uid="{494DB93D-259F-4C91-8C77-38B8D22676E0}"/>
    <cellStyle name="Total 2 9 10" xfId="21817" xr:uid="{4E9A1935-E76F-4312-8352-87444B95FB90}"/>
    <cellStyle name="Total 2 9 10 2" xfId="40114" xr:uid="{3FE6D8E4-2984-4FDF-97AA-4B01613E446D}"/>
    <cellStyle name="Total 2 9 10 3" xfId="40115" xr:uid="{86B9E725-2CD6-4C28-8B78-07C29D90C05D}"/>
    <cellStyle name="Total 2 9 11" xfId="21818" xr:uid="{1F98F6FC-3F15-41F7-899F-10ECD142E709}"/>
    <cellStyle name="Total 2 9 11 2" xfId="40116" xr:uid="{69B23272-FB5D-4851-9239-5DC62FD2F2CA}"/>
    <cellStyle name="Total 2 9 12" xfId="40117" xr:uid="{1856151B-F9EE-45BA-87CD-770F9015D8F0}"/>
    <cellStyle name="Total 2 9 13" xfId="40118" xr:uid="{321F76FC-DC09-4A9D-A18F-4F00B95D9983}"/>
    <cellStyle name="Total 2 9 2" xfId="21819" xr:uid="{11276479-C0DB-484E-8CE8-1649E72D1089}"/>
    <cellStyle name="Total 2 9 2 10" xfId="21820" xr:uid="{38E9D956-CEAD-4723-9EF4-0520F358C200}"/>
    <cellStyle name="Total 2 9 2 10 2" xfId="40119" xr:uid="{33CA4DE1-85D6-467C-9FC0-C0EE6ABA1A8D}"/>
    <cellStyle name="Total 2 9 2 11" xfId="40120" xr:uid="{E11B1100-C6DF-491A-9B61-5BF836427069}"/>
    <cellStyle name="Total 2 9 2 2" xfId="21821" xr:uid="{0B9D6075-850A-480E-B5F4-496FB5F6F96F}"/>
    <cellStyle name="Total 2 9 2 2 2" xfId="21822" xr:uid="{BE255AA0-E1B3-46D6-B013-6072EC982E3E}"/>
    <cellStyle name="Total 2 9 2 2 2 2" xfId="40121" xr:uid="{2E2F1231-A3A9-4736-AB64-5FF95128333D}"/>
    <cellStyle name="Total 2 9 2 2 2 3" xfId="40122" xr:uid="{389DE087-A90F-47EE-941C-268A5327CA4B}"/>
    <cellStyle name="Total 2 9 2 2 3" xfId="21823" xr:uid="{AE0B8F93-483D-4BD1-BB29-B0D1EDFB747D}"/>
    <cellStyle name="Total 2 9 2 2 3 2" xfId="21824" xr:uid="{9E72CA50-E531-4A28-AA35-C4D937401DE5}"/>
    <cellStyle name="Total 2 9 2 2 4" xfId="21825" xr:uid="{3BD09D09-F959-4FFC-8BE4-2AE19105CC06}"/>
    <cellStyle name="Total 2 9 2 2 5" xfId="40123" xr:uid="{38C0CA82-F637-403B-8060-AB891A472405}"/>
    <cellStyle name="Total 2 9 2 3" xfId="21826" xr:uid="{4099C093-06E3-4C3B-9F36-C8BFD7D10E39}"/>
    <cellStyle name="Total 2 9 2 3 2" xfId="21827" xr:uid="{A025604C-BD69-4F56-9A50-A276862B3A84}"/>
    <cellStyle name="Total 2 9 2 3 3" xfId="40124" xr:uid="{BA2E4951-8D9C-4385-8E71-760DA4B5E190}"/>
    <cellStyle name="Total 2 9 2 4" xfId="21828" xr:uid="{F3FDCDAA-188C-48DB-ADE7-54423687A680}"/>
    <cellStyle name="Total 2 9 2 4 2" xfId="21829" xr:uid="{CD24972D-E0D3-498D-B576-9C7C18365E66}"/>
    <cellStyle name="Total 2 9 2 4 3" xfId="40125" xr:uid="{B84BEAA2-D9C7-414E-BCCE-9EA5B00A42D6}"/>
    <cellStyle name="Total 2 9 2 5" xfId="21830" xr:uid="{1111432A-C666-48E8-9623-2DF7717E9589}"/>
    <cellStyle name="Total 2 9 2 5 2" xfId="21831" xr:uid="{EAB9A09E-E91C-497C-9608-0E8EA55B8197}"/>
    <cellStyle name="Total 2 9 2 5 3" xfId="40126" xr:uid="{DE6A51B9-08E4-4888-BA15-92044B3AE21F}"/>
    <cellStyle name="Total 2 9 2 6" xfId="21832" xr:uid="{FE4EC137-2E28-4D83-AD17-8018CCADCEA8}"/>
    <cellStyle name="Total 2 9 2 6 2" xfId="21833" xr:uid="{C2349ABF-4529-4697-8086-2D2CFC7CA898}"/>
    <cellStyle name="Total 2 9 2 6 3" xfId="40127" xr:uid="{E731E043-F2F3-4BB4-9548-99FE7B604E85}"/>
    <cellStyle name="Total 2 9 2 7" xfId="21834" xr:uid="{ADA383FB-A34D-4A7A-8D00-E125BAB923B8}"/>
    <cellStyle name="Total 2 9 2 7 2" xfId="21835" xr:uid="{E0A36928-B42C-482B-897E-8F253A0C987C}"/>
    <cellStyle name="Total 2 9 2 7 3" xfId="40128" xr:uid="{D1DE52D3-CB8A-4A5D-B61B-70FD2BC00EFC}"/>
    <cellStyle name="Total 2 9 2 8" xfId="21836" xr:uid="{A6C86F4E-66FE-4EF1-8FA6-B11E46C730F9}"/>
    <cellStyle name="Total 2 9 2 8 2" xfId="21837" xr:uid="{F7F6E82D-1625-408B-BCAE-E7C51FB750A6}"/>
    <cellStyle name="Total 2 9 2 8 3" xfId="40129" xr:uid="{43E324A3-FC8C-4F98-84C0-0E5EDFB29DA2}"/>
    <cellStyle name="Total 2 9 2 9" xfId="21838" xr:uid="{F6005AF3-900A-438B-B18A-3EA2ECD157C5}"/>
    <cellStyle name="Total 2 9 2 9 2" xfId="40130" xr:uid="{F167D79C-CEA1-48D7-8B09-F083691B37E5}"/>
    <cellStyle name="Total 2 9 2 9 3" xfId="40131" xr:uid="{4B859E61-604F-4A18-8310-B766DF7BD2F3}"/>
    <cellStyle name="Total 2 9 3" xfId="21839" xr:uid="{6484B747-97FE-472B-AEC3-1A696F41C5F5}"/>
    <cellStyle name="Total 2 9 3 2" xfId="21840" xr:uid="{462F1592-FC3C-4709-A83A-EC15656B771F}"/>
    <cellStyle name="Total 2 9 3 2 2" xfId="40132" xr:uid="{F0F7BECC-CC7D-4ADB-8802-68C36BF49D67}"/>
    <cellStyle name="Total 2 9 3 2 3" xfId="40133" xr:uid="{A223C606-97F8-4E9F-A2D8-738B5DED3118}"/>
    <cellStyle name="Total 2 9 3 2 4" xfId="40134" xr:uid="{40F98968-3D33-465E-BF1E-DD06AF837246}"/>
    <cellStyle name="Total 2 9 3 3" xfId="21841" xr:uid="{DB54DFEE-5F23-436E-A0C8-259DB39D7302}"/>
    <cellStyle name="Total 2 9 3 3 2" xfId="21842" xr:uid="{C317EB72-ABA2-4FB6-A5E9-503A23AE0B2B}"/>
    <cellStyle name="Total 2 9 3 4" xfId="21843" xr:uid="{724FCD18-63FE-46B0-9FC1-24C43BA9058B}"/>
    <cellStyle name="Total 2 9 3 5" xfId="40135" xr:uid="{DEAB9173-DF7A-455A-A77F-42C20EBE4182}"/>
    <cellStyle name="Total 2 9 4" xfId="21844" xr:uid="{0CF77565-6FA3-49F4-A3F1-5091FD46DF70}"/>
    <cellStyle name="Total 2 9 4 2" xfId="21845" xr:uid="{6E05903B-E5CE-4759-8888-CAA395314DA2}"/>
    <cellStyle name="Total 2 9 4 2 2" xfId="21846" xr:uid="{47FFAD96-C31C-4F66-B293-7A0F40C3A1A3}"/>
    <cellStyle name="Total 2 9 4 2 2 2" xfId="40136" xr:uid="{FDC76B2A-1A27-436C-8754-847862368BF2}"/>
    <cellStyle name="Total 2 9 4 2 3" xfId="40137" xr:uid="{81358DB1-F04E-4243-AC56-084A9DEF69F2}"/>
    <cellStyle name="Total 2 9 4 2 3 2" xfId="40138" xr:uid="{29B4B133-E3F0-44E3-8CCE-C1E250A8A761}"/>
    <cellStyle name="Total 2 9 4 2 4" xfId="40139" xr:uid="{C1FB01BC-19E1-4B69-8ED7-DAD34E8E6ADE}"/>
    <cellStyle name="Total 2 9 4 2 5" xfId="40140" xr:uid="{5CBFC3ED-4234-4C4B-BF66-EF4E292E81B0}"/>
    <cellStyle name="Total 2 9 4 2 6" xfId="40141" xr:uid="{669C40CD-369D-4E21-835B-D656624D18C1}"/>
    <cellStyle name="Total 2 9 4 3" xfId="21847" xr:uid="{072F0E92-4B16-4FD2-A064-1160C355AD0B}"/>
    <cellStyle name="Total 2 9 4 3 2" xfId="40142" xr:uid="{255F3C42-C713-4245-A884-444EAF243D85}"/>
    <cellStyle name="Total 2 9 4 4" xfId="40143" xr:uid="{4CC4D92F-6107-4064-A2C2-ECF5D4B52408}"/>
    <cellStyle name="Total 2 9 4 4 2" xfId="40144" xr:uid="{BA8CB2CD-C632-4158-9F3A-7C2FE6042E6B}"/>
    <cellStyle name="Total 2 9 4 5" xfId="40145" xr:uid="{7A34A273-B3A5-4C78-8B21-80BCD728355A}"/>
    <cellStyle name="Total 2 9 4 5 2" xfId="40146" xr:uid="{6980AFB8-8E38-493A-8BF7-3BFF0E0EB7CF}"/>
    <cellStyle name="Total 2 9 4 6" xfId="40147" xr:uid="{7E518684-2B4A-4612-9673-1AD0B304CBAE}"/>
    <cellStyle name="Total 2 9 4 7" xfId="40148" xr:uid="{24D68D52-418A-4BF8-B56E-BA016E90B757}"/>
    <cellStyle name="Total 2 9 4 8" xfId="40149" xr:uid="{600DD0F1-B3EC-45F3-8FB6-6F4335321673}"/>
    <cellStyle name="Total 2 9 4 9" xfId="40150" xr:uid="{5E111FAD-1B41-4500-B2D9-32980B39D1CB}"/>
    <cellStyle name="Total 2 9 5" xfId="21848" xr:uid="{23F8E25E-C695-46F8-BCDE-771554558E50}"/>
    <cellStyle name="Total 2 9 5 2" xfId="21849" xr:uid="{A733280D-5D5E-4F88-96B8-06A2CD50655A}"/>
    <cellStyle name="Total 2 9 5 2 2" xfId="40151" xr:uid="{DB9AEAA6-AEB8-4E04-B11B-648EE494CB4C}"/>
    <cellStyle name="Total 2 9 5 2 3" xfId="40152" xr:uid="{7E6182A7-79AF-4ADA-AED4-96D1F2D81195}"/>
    <cellStyle name="Total 2 9 5 3" xfId="21850" xr:uid="{12EB26C2-A2B6-46A8-8B54-6F7A8E1DE592}"/>
    <cellStyle name="Total 2 9 5 4" xfId="40153" xr:uid="{4C571E35-7C1D-4265-8A10-D9753337B787}"/>
    <cellStyle name="Total 2 9 5 5" xfId="40154" xr:uid="{2A49C10D-DD6E-4E77-B45F-EC159F019CFD}"/>
    <cellStyle name="Total 2 9 6" xfId="21851" xr:uid="{C7B26124-9D4A-4B4A-AAE7-6EFE65F64033}"/>
    <cellStyle name="Total 2 9 6 2" xfId="21852" xr:uid="{D556EA13-D087-4E5D-9247-5251252BD7C9}"/>
    <cellStyle name="Total 2 9 6 2 2" xfId="40155" xr:uid="{FF861F98-03C0-494C-9977-F6329CDB2A7C}"/>
    <cellStyle name="Total 2 9 6 2 3" xfId="40156" xr:uid="{567F4F58-D2A5-47A4-900D-CE00E03FDAD6}"/>
    <cellStyle name="Total 2 9 6 3" xfId="40157" xr:uid="{7FCF9FB0-F84F-47E6-B865-6D758A9E5A31}"/>
    <cellStyle name="Total 2 9 6 4" xfId="40158" xr:uid="{FF166AC2-8B44-46B5-9116-CC8511508E06}"/>
    <cellStyle name="Total 2 9 7" xfId="21853" xr:uid="{1955D1D9-9DE8-43AD-A1D6-FDD6E72C2357}"/>
    <cellStyle name="Total 2 9 7 2" xfId="21854" xr:uid="{5E2A1E5F-03F3-4204-AFAC-9C8D23843278}"/>
    <cellStyle name="Total 2 9 7 3" xfId="40159" xr:uid="{50EFB2DE-91BA-4C23-9CE9-D36C759B75DC}"/>
    <cellStyle name="Total 2 9 8" xfId="21855" xr:uid="{DCCD5523-E2E3-4C5A-AAF8-265F50D33AE1}"/>
    <cellStyle name="Total 2 9 8 2" xfId="21856" xr:uid="{6F464594-BC4A-40B5-A730-18ED613A177A}"/>
    <cellStyle name="Total 2 9 8 3" xfId="40160" xr:uid="{5826C8AB-93D8-4BB8-80DF-FA5B782C40F1}"/>
    <cellStyle name="Total 2 9 9" xfId="21857" xr:uid="{12EB5EFE-79EA-4BE1-A496-BCEF2E8DBCE7}"/>
    <cellStyle name="Total 2 9 9 2" xfId="21858" xr:uid="{3C7ABED6-CE92-4AC4-8405-C3630BE6371D}"/>
    <cellStyle name="Total 2 9 9 3" xfId="40161" xr:uid="{8C317271-A030-46A4-B39D-58EEEC970683}"/>
    <cellStyle name="Total 20" xfId="40162" xr:uid="{3F3CC18A-EBC4-45C8-BBBC-73556B5A10DE}"/>
    <cellStyle name="Total 21" xfId="40163" xr:uid="{9B35453B-10F1-422B-B1FD-FFE76D007E09}"/>
    <cellStyle name="Total 22" xfId="40164" xr:uid="{6BD0E5F2-12DE-45AE-9DA5-8D83D41C1B4C}"/>
    <cellStyle name="Total 23" xfId="40165" xr:uid="{25BA0AB4-9346-445E-8185-7DA2A53A4E43}"/>
    <cellStyle name="Total 24" xfId="40166" xr:uid="{E888BE78-2B30-4094-B485-9669B434B6F4}"/>
    <cellStyle name="Total 25" xfId="40167" xr:uid="{0E669391-0EC2-4AB4-90E8-9B6B9C52C50A}"/>
    <cellStyle name="Total 26" xfId="40168" xr:uid="{8B5E9EF5-C78A-4F26-90F2-A8A1D0A50DB9}"/>
    <cellStyle name="Total 27" xfId="40169" xr:uid="{BD6CCFED-78B0-4B73-BE4E-3B928F02AF76}"/>
    <cellStyle name="Total 28" xfId="40170" xr:uid="{1A4151D4-13F1-41E0-BA80-5D81FE489F1C}"/>
    <cellStyle name="Total 29" xfId="40171" xr:uid="{2C22F3CC-67BA-4F2B-8E11-E7914128DC99}"/>
    <cellStyle name="Total 3" xfId="21859" xr:uid="{E76DCEF9-150D-4228-A538-003495CAE6D7}"/>
    <cellStyle name="Total 3 10" xfId="21860" xr:uid="{C309E504-9EBF-4CFA-9748-B4DD17944348}"/>
    <cellStyle name="Total 3 10 10" xfId="21861" xr:uid="{86EC356A-73D2-480B-AECC-2A273A7CAFE5}"/>
    <cellStyle name="Total 3 10 10 2" xfId="40172" xr:uid="{A7591998-59E0-4351-BDAE-396C3143F3F8}"/>
    <cellStyle name="Total 3 10 10 3" xfId="40173" xr:uid="{CA1E421E-AFE4-42A4-B3B9-86544E00A3A9}"/>
    <cellStyle name="Total 3 10 11" xfId="21862" xr:uid="{51DADA2A-4507-4661-9F37-6DE3C8584650}"/>
    <cellStyle name="Total 3 10 11 2" xfId="40174" xr:uid="{502FCA81-BD7A-4D98-80D4-DB6FBA29762F}"/>
    <cellStyle name="Total 3 10 12" xfId="40175" xr:uid="{547DD3D2-0CB7-4882-8071-8ACC2646EFB0}"/>
    <cellStyle name="Total 3 10 2" xfId="21863" xr:uid="{3C6051AF-7B42-4807-BAFA-8BEFE5588A62}"/>
    <cellStyle name="Total 3 10 2 10" xfId="21864" xr:uid="{0AEBFD2C-6961-48CC-862D-03C45A0A6FDC}"/>
    <cellStyle name="Total 3 10 2 10 2" xfId="40176" xr:uid="{D6513914-1A08-4C6B-ABB2-FC80CF4FD73A}"/>
    <cellStyle name="Total 3 10 2 11" xfId="40177" xr:uid="{224DE2C9-6DE1-407C-B83B-1EA03FFF1676}"/>
    <cellStyle name="Total 3 10 2 2" xfId="21865" xr:uid="{A8CC846A-D84F-4D09-AD1E-1FB905F92F73}"/>
    <cellStyle name="Total 3 10 2 2 2" xfId="21866" xr:uid="{CE83932C-640C-4E55-84CD-FD4274FF0E39}"/>
    <cellStyle name="Total 3 10 2 2 2 2" xfId="40178" xr:uid="{78A2F0C6-6CD9-4FB1-B206-0CFBB05D664F}"/>
    <cellStyle name="Total 3 10 2 2 2 3" xfId="40179" xr:uid="{493F73D0-A9F2-4189-870B-0D540E501226}"/>
    <cellStyle name="Total 3 10 2 2 3" xfId="21867" xr:uid="{E4D5FDE6-229D-461A-80DC-C7A8BAB5B64E}"/>
    <cellStyle name="Total 3 10 2 2 3 2" xfId="21868" xr:uid="{7B373336-CF95-4C7E-A0AA-31C6AD84BDB7}"/>
    <cellStyle name="Total 3 10 2 2 4" xfId="21869" xr:uid="{DF1AD607-985C-4E72-97C7-B149F021F379}"/>
    <cellStyle name="Total 3 10 2 2 5" xfId="40180" xr:uid="{557DB2A2-5E8F-475B-BA5D-2234E6DA97A7}"/>
    <cellStyle name="Total 3 10 2 3" xfId="21870" xr:uid="{1A7BFD16-BA8D-4011-8CE9-54EFD4C95AB1}"/>
    <cellStyle name="Total 3 10 2 3 2" xfId="21871" xr:uid="{3E07FCC9-193C-40EC-B2DF-5ADC95489601}"/>
    <cellStyle name="Total 3 10 2 3 3" xfId="40181" xr:uid="{98531B3C-EC40-4EB7-BBEE-82E9C7373775}"/>
    <cellStyle name="Total 3 10 2 4" xfId="21872" xr:uid="{9EB502ED-E9CD-44EF-98B5-45A7F4C43F24}"/>
    <cellStyle name="Total 3 10 2 4 2" xfId="21873" xr:uid="{59C00D5F-96E6-4F6E-B0F8-5F46BAF417E0}"/>
    <cellStyle name="Total 3 10 2 4 3" xfId="40182" xr:uid="{4CA77D8A-D80E-438F-94DF-8F2D474A0A24}"/>
    <cellStyle name="Total 3 10 2 5" xfId="21874" xr:uid="{E02040B2-31C4-4F4D-A869-1A6A72D6233A}"/>
    <cellStyle name="Total 3 10 2 5 2" xfId="21875" xr:uid="{9E4A8B9B-708A-4485-B53C-21A212640EFF}"/>
    <cellStyle name="Total 3 10 2 5 3" xfId="40183" xr:uid="{B03D6E02-70E9-4229-B8E6-44B2108F1A6E}"/>
    <cellStyle name="Total 3 10 2 6" xfId="21876" xr:uid="{AC30A22E-8CA2-451D-AC8E-5C3B53FE926A}"/>
    <cellStyle name="Total 3 10 2 6 2" xfId="21877" xr:uid="{5583D4DB-6A85-4A54-8A74-7CD92C63548D}"/>
    <cellStyle name="Total 3 10 2 6 3" xfId="40184" xr:uid="{B6B6C385-E742-4424-A1EE-9BAB82B67030}"/>
    <cellStyle name="Total 3 10 2 7" xfId="21878" xr:uid="{7C0D206E-FF1F-418F-A4B4-4C9FEF081CDD}"/>
    <cellStyle name="Total 3 10 2 7 2" xfId="21879" xr:uid="{B0B12102-CED1-4123-9635-1E958E8FAD15}"/>
    <cellStyle name="Total 3 10 2 7 3" xfId="40185" xr:uid="{F9F27CBC-B611-4455-BFED-62A9AFCCB0CE}"/>
    <cellStyle name="Total 3 10 2 8" xfId="21880" xr:uid="{48DD1A74-5880-4B1B-86B3-0FDD499BEA4D}"/>
    <cellStyle name="Total 3 10 2 8 2" xfId="21881" xr:uid="{11E355D3-C075-48DC-96EE-C58B01B9E7EF}"/>
    <cellStyle name="Total 3 10 2 8 3" xfId="40186" xr:uid="{67869FD2-40B9-4FEB-AF0B-EDC27EF90C95}"/>
    <cellStyle name="Total 3 10 2 9" xfId="21882" xr:uid="{DF4A682D-9829-46F0-8919-4C26C5691408}"/>
    <cellStyle name="Total 3 10 2 9 2" xfId="40187" xr:uid="{ED4052F4-DF00-4642-B568-29A7EED1F988}"/>
    <cellStyle name="Total 3 10 2 9 3" xfId="40188" xr:uid="{379F60B7-C5E3-4EE4-80EE-0C306BA128CF}"/>
    <cellStyle name="Total 3 10 3" xfId="21883" xr:uid="{2D567DCC-8214-4223-ADFC-E2F74F21A010}"/>
    <cellStyle name="Total 3 10 3 2" xfId="21884" xr:uid="{029ABDAB-31FE-4217-BED3-AECEE2322F22}"/>
    <cellStyle name="Total 3 10 3 2 2" xfId="40189" xr:uid="{D8141123-CF14-42E2-A955-D79791F0E52F}"/>
    <cellStyle name="Total 3 10 3 2 3" xfId="40190" xr:uid="{3CDB9A91-0A29-4A8C-9A3D-5CCC602AF82D}"/>
    <cellStyle name="Total 3 10 3 2 4" xfId="40191" xr:uid="{7D5568A7-40A7-42AC-810B-155DB268E950}"/>
    <cellStyle name="Total 3 10 3 3" xfId="21885" xr:uid="{FB6DBB11-7718-4AA1-88C1-649D87F14574}"/>
    <cellStyle name="Total 3 10 3 3 2" xfId="21886" xr:uid="{E38CCE9A-E8D1-42ED-90B1-7D81A2438EC0}"/>
    <cellStyle name="Total 3 10 3 4" xfId="21887" xr:uid="{94B6C707-55BB-4BA5-B21A-0AB42F00C80D}"/>
    <cellStyle name="Total 3 10 3 5" xfId="40192" xr:uid="{34914D06-6799-4BBB-B384-1E2C1812C230}"/>
    <cellStyle name="Total 3 10 4" xfId="21888" xr:uid="{DD95E297-5212-4BEB-9A7B-5C481CCF7559}"/>
    <cellStyle name="Total 3 10 4 2" xfId="21889" xr:uid="{9AE61466-4810-44D2-8B07-6F3DA8A4EA01}"/>
    <cellStyle name="Total 3 10 4 2 2" xfId="40193" xr:uid="{15B5A110-F587-4177-957B-4CB78DD2320B}"/>
    <cellStyle name="Total 3 10 4 2 3" xfId="40194" xr:uid="{226C444B-8286-4AA8-A8AE-475D6540E3B6}"/>
    <cellStyle name="Total 3 10 4 3" xfId="21890" xr:uid="{E1373AC0-E527-4A5D-B5F6-A76A964FCBC0}"/>
    <cellStyle name="Total 3 10 4 4" xfId="40195" xr:uid="{DBB5A6BB-F551-4787-A4E8-DF9EA09F6592}"/>
    <cellStyle name="Total 3 10 4 5" xfId="40196" xr:uid="{185E10CA-63A8-49DC-8DB9-C42272157FD0}"/>
    <cellStyle name="Total 3 10 5" xfId="21891" xr:uid="{4303E0D7-B2F8-4158-BB0A-F6EA874414EF}"/>
    <cellStyle name="Total 3 10 5 2" xfId="21892" xr:uid="{63C7B979-0705-4F4D-B49C-E2CBDE855BAD}"/>
    <cellStyle name="Total 3 10 5 2 2" xfId="40197" xr:uid="{DA12D54B-4318-4A33-89DC-5CF3D2D9C506}"/>
    <cellStyle name="Total 3 10 5 2 3" xfId="40198" xr:uid="{1D09198F-13C6-446F-84FC-5C9A134C17DA}"/>
    <cellStyle name="Total 3 10 5 3" xfId="40199" xr:uid="{3FD397C6-DAD6-4007-B88C-3E7B72B2F2C7}"/>
    <cellStyle name="Total 3 10 5 4" xfId="40200" xr:uid="{552E8E9B-482E-4DB7-92CD-F4CFD2DE2625}"/>
    <cellStyle name="Total 3 10 6" xfId="21893" xr:uid="{A52E152D-7D4E-4047-A2DC-5FD475CEFF50}"/>
    <cellStyle name="Total 3 10 6 2" xfId="21894" xr:uid="{436EA8F9-9B08-4BE2-9838-0FD9CFA8D169}"/>
    <cellStyle name="Total 3 10 6 3" xfId="40201" xr:uid="{2BCF9173-18A9-4024-842F-C2C34B6C2BFC}"/>
    <cellStyle name="Total 3 10 7" xfId="21895" xr:uid="{1860BA31-958D-499A-B674-BBA19C3B5940}"/>
    <cellStyle name="Total 3 10 7 2" xfId="21896" xr:uid="{7920224E-6C15-47E1-84EC-60EFA3B9E818}"/>
    <cellStyle name="Total 3 10 7 3" xfId="40202" xr:uid="{054FD560-89E8-4D3D-AA47-48489FEC5DF6}"/>
    <cellStyle name="Total 3 10 8" xfId="21897" xr:uid="{CE4B9FA0-4972-4364-A683-0C967094ECF8}"/>
    <cellStyle name="Total 3 10 8 2" xfId="21898" xr:uid="{44ED35BC-4FC7-408E-A40B-4A02D2822368}"/>
    <cellStyle name="Total 3 10 8 3" xfId="40203" xr:uid="{62692E7E-DE45-4BA1-900C-FEC1AC41E55D}"/>
    <cellStyle name="Total 3 10 9" xfId="21899" xr:uid="{62662672-8F61-465E-8697-D86639ED321B}"/>
    <cellStyle name="Total 3 10 9 2" xfId="21900" xr:uid="{07A72E0F-C81B-4554-91F2-BFC420BC008F}"/>
    <cellStyle name="Total 3 10 9 3" xfId="40204" xr:uid="{A2064BA9-C386-491E-ABFC-8E4C80183362}"/>
    <cellStyle name="Total 3 11" xfId="21901" xr:uid="{C0AB35DE-5EF8-4270-AA77-1E8071B51D2F}"/>
    <cellStyle name="Total 3 11 10" xfId="21902" xr:uid="{8B5AE7CB-95EC-4CB5-AFFA-75B405574A18}"/>
    <cellStyle name="Total 3 11 10 2" xfId="40205" xr:uid="{83C51F79-95A5-480A-9237-18740F80A7CD}"/>
    <cellStyle name="Total 3 11 10 3" xfId="40206" xr:uid="{EF3E1D13-D77F-4B61-9BBC-57412AA8304D}"/>
    <cellStyle name="Total 3 11 11" xfId="21903" xr:uid="{522EED67-C4DF-4E93-87B2-FD9DF446C5CA}"/>
    <cellStyle name="Total 3 11 11 2" xfId="40207" xr:uid="{D2945268-A705-4068-B0B3-CBB50F73858A}"/>
    <cellStyle name="Total 3 11 12" xfId="40208" xr:uid="{6E1D6339-BEF3-4CB0-90A8-D9E4725DE26D}"/>
    <cellStyle name="Total 3 11 2" xfId="21904" xr:uid="{A4380196-5278-4658-8770-BD5D92C583F5}"/>
    <cellStyle name="Total 3 11 2 10" xfId="21905" xr:uid="{1F53FBC7-2873-4B5F-94F7-2E52ED1F0839}"/>
    <cellStyle name="Total 3 11 2 10 2" xfId="40209" xr:uid="{05D8DC30-F6C3-45B6-B5A3-D6F478D2B7B3}"/>
    <cellStyle name="Total 3 11 2 11" xfId="40210" xr:uid="{FF577BBE-648A-497D-8DDF-8BB71291EA31}"/>
    <cellStyle name="Total 3 11 2 2" xfId="21906" xr:uid="{F0904DA0-08F3-4C12-96D8-0CDD80D1299E}"/>
    <cellStyle name="Total 3 11 2 2 2" xfId="21907" xr:uid="{D5F082AC-229F-427E-B485-B098452F82DA}"/>
    <cellStyle name="Total 3 11 2 2 2 2" xfId="40211" xr:uid="{1B9F6F06-8875-45E4-AEC7-5A9EC9B28BB4}"/>
    <cellStyle name="Total 3 11 2 2 2 3" xfId="40212" xr:uid="{FBEF514A-B52A-400E-AB46-0FA273A69F63}"/>
    <cellStyle name="Total 3 11 2 2 3" xfId="21908" xr:uid="{A570803B-F17F-4196-A007-3DE0E5C6D630}"/>
    <cellStyle name="Total 3 11 2 2 3 2" xfId="21909" xr:uid="{8DF40F8A-4380-4691-875E-78C1E17D916C}"/>
    <cellStyle name="Total 3 11 2 2 4" xfId="21910" xr:uid="{473A025F-F819-44A5-AF22-2026C423B8BE}"/>
    <cellStyle name="Total 3 11 2 2 5" xfId="40213" xr:uid="{C7C15324-65C7-48B0-BC8F-6A6F070C71D0}"/>
    <cellStyle name="Total 3 11 2 3" xfId="21911" xr:uid="{056DF853-E5AC-45B1-8FC9-7F61CFEF286C}"/>
    <cellStyle name="Total 3 11 2 3 2" xfId="21912" xr:uid="{D4F230C1-1665-4548-B938-E8D16C4732A6}"/>
    <cellStyle name="Total 3 11 2 3 3" xfId="40214" xr:uid="{1F5C202F-EA1D-4109-86B2-E829CA5EA9CB}"/>
    <cellStyle name="Total 3 11 2 4" xfId="21913" xr:uid="{7D0FE6F2-0544-4D3A-8546-86406C20FE17}"/>
    <cellStyle name="Total 3 11 2 4 2" xfId="21914" xr:uid="{DE9AF846-B7B9-4864-B21E-4A21F271F564}"/>
    <cellStyle name="Total 3 11 2 4 3" xfId="40215" xr:uid="{7C08F1FE-F3B1-4B55-A57E-87BBF757806B}"/>
    <cellStyle name="Total 3 11 2 5" xfId="21915" xr:uid="{77E14E2E-A965-46EF-9AE1-B981C18799C3}"/>
    <cellStyle name="Total 3 11 2 5 2" xfId="21916" xr:uid="{64E498ED-357A-4F7E-A96C-A50150F4E502}"/>
    <cellStyle name="Total 3 11 2 5 3" xfId="40216" xr:uid="{C47F614C-B5C3-443C-AF7C-3E13B24047FF}"/>
    <cellStyle name="Total 3 11 2 6" xfId="21917" xr:uid="{C7721D3E-F272-427C-9C08-77FD26A099C5}"/>
    <cellStyle name="Total 3 11 2 6 2" xfId="21918" xr:uid="{1C2DBB09-EEC0-4D35-9BC6-BA0F4F4ACBD9}"/>
    <cellStyle name="Total 3 11 2 6 3" xfId="40217" xr:uid="{83429FAD-B4B2-454D-82BC-000AACF122AA}"/>
    <cellStyle name="Total 3 11 2 7" xfId="21919" xr:uid="{B4BEFBA9-C763-48EB-88C6-414D2CF522AD}"/>
    <cellStyle name="Total 3 11 2 7 2" xfId="21920" xr:uid="{B8E6DDEF-9BA3-462F-BB9C-BC7212FD8EE4}"/>
    <cellStyle name="Total 3 11 2 7 3" xfId="40218" xr:uid="{D8F6B61E-D1CE-4C27-9356-238228E159E5}"/>
    <cellStyle name="Total 3 11 2 8" xfId="21921" xr:uid="{68A5020D-D935-4DFD-B877-9548656473B7}"/>
    <cellStyle name="Total 3 11 2 8 2" xfId="21922" xr:uid="{1E809991-95DA-4396-9804-B7DC44AD8B2E}"/>
    <cellStyle name="Total 3 11 2 8 3" xfId="40219" xr:uid="{7EC7D874-9CB8-4AC1-8664-FA93790A9AA2}"/>
    <cellStyle name="Total 3 11 2 9" xfId="21923" xr:uid="{ECCAA349-EE21-477A-A5FF-537AFAA2AE70}"/>
    <cellStyle name="Total 3 11 2 9 2" xfId="40220" xr:uid="{71BB8853-8029-4CE7-A13D-6FC67243E260}"/>
    <cellStyle name="Total 3 11 2 9 3" xfId="40221" xr:uid="{B4A9790E-E034-4976-8F47-D84372B723B9}"/>
    <cellStyle name="Total 3 11 3" xfId="21924" xr:uid="{9E14DEE2-6D5F-4DAB-9064-15F976D797A1}"/>
    <cellStyle name="Total 3 11 3 2" xfId="21925" xr:uid="{9844223C-F27F-42BF-A4A5-647DBB26BB83}"/>
    <cellStyle name="Total 3 11 3 2 2" xfId="40222" xr:uid="{4E958C82-B06C-47D9-8A0D-584C5DF9C422}"/>
    <cellStyle name="Total 3 11 3 2 3" xfId="40223" xr:uid="{D3EFA51D-716C-4489-83A2-1CF0BF893867}"/>
    <cellStyle name="Total 3 11 3 2 4" xfId="40224" xr:uid="{C2752AFE-61A3-4C18-BD74-A8EDE6FBE3A5}"/>
    <cellStyle name="Total 3 11 3 3" xfId="21926" xr:uid="{9A54A56C-D4AE-4791-A77D-95713B79D45C}"/>
    <cellStyle name="Total 3 11 3 3 2" xfId="21927" xr:uid="{2F93B7C7-0FC9-4DE6-853D-BB320DF06C5F}"/>
    <cellStyle name="Total 3 11 3 4" xfId="21928" xr:uid="{993C0C69-E39A-41E2-9657-CBB2135BC65B}"/>
    <cellStyle name="Total 3 11 3 5" xfId="40225" xr:uid="{8E3BD9E8-562A-4082-898D-BC59796EEF8F}"/>
    <cellStyle name="Total 3 11 4" xfId="21929" xr:uid="{DFA4FA65-FD43-4DFC-B055-CF3F21BD22E4}"/>
    <cellStyle name="Total 3 11 4 2" xfId="21930" xr:uid="{245DD3B0-AC11-464C-9E2A-772AA1277EAA}"/>
    <cellStyle name="Total 3 11 4 2 2" xfId="40226" xr:uid="{102F07DE-21C9-4EE4-8BA4-0D5017CEBFD9}"/>
    <cellStyle name="Total 3 11 4 2 3" xfId="40227" xr:uid="{D5CAB595-CF16-4E87-A5EF-E7D8B7E1504A}"/>
    <cellStyle name="Total 3 11 4 3" xfId="21931" xr:uid="{73C1A0A8-5A05-4280-8F78-AE59A3A2A7F1}"/>
    <cellStyle name="Total 3 11 4 4" xfId="40228" xr:uid="{B9122001-20DF-435B-AB97-195097457E40}"/>
    <cellStyle name="Total 3 11 4 5" xfId="40229" xr:uid="{15643B3B-74E9-4EAD-A17C-395A5F5E8F25}"/>
    <cellStyle name="Total 3 11 5" xfId="21932" xr:uid="{89B8F998-5E34-4D3D-84D4-BCB90ABDDCFE}"/>
    <cellStyle name="Total 3 11 5 2" xfId="21933" xr:uid="{72ADAACB-37CC-4012-B564-AE80E494075A}"/>
    <cellStyle name="Total 3 11 5 2 2" xfId="40230" xr:uid="{C3A0BDF0-B3A9-481A-B595-9DC51BA6DEEF}"/>
    <cellStyle name="Total 3 11 5 2 3" xfId="40231" xr:uid="{5423442B-FB81-4B94-A511-5C12A7A89A32}"/>
    <cellStyle name="Total 3 11 5 3" xfId="40232" xr:uid="{93ECC4E1-5521-43A2-997D-2B352DEEE242}"/>
    <cellStyle name="Total 3 11 5 4" xfId="40233" xr:uid="{008FF269-0036-4427-A00A-41ED4BC34A57}"/>
    <cellStyle name="Total 3 11 6" xfId="21934" xr:uid="{8AFBF3B4-7DA8-4EEC-8ACD-7B564C58EED0}"/>
    <cellStyle name="Total 3 11 6 2" xfId="21935" xr:uid="{AFC4E9CC-9AB5-44AE-A45F-C0F5BCC712CA}"/>
    <cellStyle name="Total 3 11 6 3" xfId="40234" xr:uid="{5C889315-62A6-429F-850D-189F325663C0}"/>
    <cellStyle name="Total 3 11 7" xfId="21936" xr:uid="{7241DF5B-8665-4D07-86F2-10267809817D}"/>
    <cellStyle name="Total 3 11 7 2" xfId="21937" xr:uid="{FD0E9350-B51F-4828-888C-9860204B37B7}"/>
    <cellStyle name="Total 3 11 7 3" xfId="40235" xr:uid="{FA017EFE-B3AA-4DF8-A8BB-BC9979A354CE}"/>
    <cellStyle name="Total 3 11 8" xfId="21938" xr:uid="{22D2A41C-CE9E-48F9-9F8A-D0C22F7FE04F}"/>
    <cellStyle name="Total 3 11 8 2" xfId="21939" xr:uid="{5935D8C4-78DE-49E1-B12B-1D60BAEB2742}"/>
    <cellStyle name="Total 3 11 8 3" xfId="40236" xr:uid="{2DC7D1F0-389D-4505-BE24-BAC8DF08CB7E}"/>
    <cellStyle name="Total 3 11 9" xfId="21940" xr:uid="{64A1B5BA-73B2-4777-9CC9-43FC01DE05CE}"/>
    <cellStyle name="Total 3 11 9 2" xfId="21941" xr:uid="{AD92EFD8-4232-43AA-8D2F-D7BBC924CA82}"/>
    <cellStyle name="Total 3 11 9 3" xfId="40237" xr:uid="{292E0B33-4FEE-4B3D-80E2-4A65A4C323EE}"/>
    <cellStyle name="Total 3 12" xfId="21942" xr:uid="{663722D7-C960-4C51-A413-2F158F4E4C1E}"/>
    <cellStyle name="Total 3 12 10" xfId="21943" xr:uid="{A62D02FD-4323-4E30-B36C-38E3745A9CB6}"/>
    <cellStyle name="Total 3 12 10 2" xfId="40238" xr:uid="{4A125B01-9551-48E2-AEFD-D9150D69C993}"/>
    <cellStyle name="Total 3 12 11" xfId="40239" xr:uid="{EC11C0D9-2ED4-4D6A-8542-DDEC5CC1A523}"/>
    <cellStyle name="Total 3 12 2" xfId="21944" xr:uid="{DFBBB7A9-FE99-4521-9E6B-C69CC5A848ED}"/>
    <cellStyle name="Total 3 12 2 2" xfId="21945" xr:uid="{15AE6324-0A2C-42C5-9457-12E3668F5BE2}"/>
    <cellStyle name="Total 3 12 2 2 2" xfId="40240" xr:uid="{DE410E76-42CB-4F22-87FA-11F46D1BA4D1}"/>
    <cellStyle name="Total 3 12 2 2 3" xfId="40241" xr:uid="{82620525-9616-4E18-A1E6-4A5CEE949820}"/>
    <cellStyle name="Total 3 12 2 3" xfId="21946" xr:uid="{571F8B13-9E59-4766-8BF3-80F56113B264}"/>
    <cellStyle name="Total 3 12 2 3 2" xfId="21947" xr:uid="{39C37061-7FE5-410F-90EF-D39EBBD7639A}"/>
    <cellStyle name="Total 3 12 2 4" xfId="21948" xr:uid="{B971963A-5F5F-4AE4-BAD3-AFE719D0E6F7}"/>
    <cellStyle name="Total 3 12 2 5" xfId="40242" xr:uid="{30FB8655-B5A8-409A-905F-FD96421750BF}"/>
    <cellStyle name="Total 3 12 3" xfId="21949" xr:uid="{2E9895AF-17E7-40C0-A7D1-F9A4432FB393}"/>
    <cellStyle name="Total 3 12 3 2" xfId="21950" xr:uid="{95C75A1A-3068-402F-A5F0-2BF221585CA1}"/>
    <cellStyle name="Total 3 12 3 3" xfId="40243" xr:uid="{19A75AE6-4E0F-43C1-B90B-DA4C17609E32}"/>
    <cellStyle name="Total 3 12 4" xfId="21951" xr:uid="{F868DC83-9122-497E-AC11-85EBDDF45F59}"/>
    <cellStyle name="Total 3 12 4 2" xfId="21952" xr:uid="{4BF279B3-3723-4A4F-BCCC-3F5BA4EA2330}"/>
    <cellStyle name="Total 3 12 4 3" xfId="40244" xr:uid="{61AE6481-5CF0-4945-9032-758883DA0590}"/>
    <cellStyle name="Total 3 12 5" xfId="21953" xr:uid="{34A16160-F666-4FA4-980C-7D96BA30E3A1}"/>
    <cellStyle name="Total 3 12 5 2" xfId="21954" xr:uid="{A3B11F8C-F8D2-4762-B483-EC2E700BD66E}"/>
    <cellStyle name="Total 3 12 5 3" xfId="40245" xr:uid="{652F19AF-86CD-4AA8-8B3D-847C61C1C208}"/>
    <cellStyle name="Total 3 12 6" xfId="21955" xr:uid="{323DB45E-183D-4572-9995-F3FBEA28BF95}"/>
    <cellStyle name="Total 3 12 6 2" xfId="21956" xr:uid="{E825FFE7-28B2-4FD2-AA9A-F73AC0787AF4}"/>
    <cellStyle name="Total 3 12 6 3" xfId="40246" xr:uid="{EFE24545-A82E-4436-830A-085D9946ED9E}"/>
    <cellStyle name="Total 3 12 7" xfId="21957" xr:uid="{4BC4B081-733C-421A-B344-ED5965F95E2A}"/>
    <cellStyle name="Total 3 12 7 2" xfId="21958" xr:uid="{F8FE3D4C-19D1-4DB5-AC7A-0AC9850C9E1E}"/>
    <cellStyle name="Total 3 12 7 3" xfId="40247" xr:uid="{918C6313-7D9E-4BBD-920F-8D22CC5D3778}"/>
    <cellStyle name="Total 3 12 8" xfId="21959" xr:uid="{25089F08-C606-49E0-95BD-F9385F248C84}"/>
    <cellStyle name="Total 3 12 8 2" xfId="21960" xr:uid="{71509451-992D-4790-81C9-44F083F2D788}"/>
    <cellStyle name="Total 3 12 8 3" xfId="40248" xr:uid="{AA01D014-D874-44F9-A1FC-F089A757A1E2}"/>
    <cellStyle name="Total 3 12 9" xfId="21961" xr:uid="{DD4ECFBA-E26D-4BF9-B0ED-9792546F553A}"/>
    <cellStyle name="Total 3 12 9 2" xfId="40249" xr:uid="{C54330A2-59C2-45EB-89C3-79EFE2C8503E}"/>
    <cellStyle name="Total 3 12 9 3" xfId="40250" xr:uid="{622C7834-CEC5-4B3F-9098-DF313BD7ADF5}"/>
    <cellStyle name="Total 3 13" xfId="21962" xr:uid="{A0095892-B59F-4B3B-BE2D-17BC32821EAD}"/>
    <cellStyle name="Total 3 13 2" xfId="21963" xr:uid="{7C100FD1-0BC2-43CF-AA4B-2CA3C36BE9E4}"/>
    <cellStyle name="Total 3 13 2 2" xfId="40251" xr:uid="{775B4FBB-B5A1-4A63-B7D1-FD1AC8754BEF}"/>
    <cellStyle name="Total 3 13 2 3" xfId="40252" xr:uid="{B005696A-9728-4CAD-BDF7-7105ED03C8C3}"/>
    <cellStyle name="Total 3 13 2 4" xfId="40253" xr:uid="{6B979ED3-DA92-4203-B2FD-D04A244894C9}"/>
    <cellStyle name="Total 3 13 3" xfId="21964" xr:uid="{D2787057-0933-49A5-9913-F825B7684577}"/>
    <cellStyle name="Total 3 13 3 2" xfId="21965" xr:uid="{E71398F8-A68F-4385-A82A-C63F111FFAB2}"/>
    <cellStyle name="Total 3 13 4" xfId="21966" xr:uid="{E38626FE-50AF-4658-A5A4-DDF9DF9DBBDC}"/>
    <cellStyle name="Total 3 13 5" xfId="40254" xr:uid="{35DC4DF1-283E-43F5-AC47-44FC84E7CF57}"/>
    <cellStyle name="Total 3 14" xfId="21967" xr:uid="{1B2833B3-11A3-46EC-808F-A6160E2CC69A}"/>
    <cellStyle name="Total 3 14 2" xfId="21968" xr:uid="{961C7DD4-671E-40CA-BB2B-05027C6E028F}"/>
    <cellStyle name="Total 3 14 2 2" xfId="21969" xr:uid="{55447ED8-AEE2-4E9D-B064-6CE296BF8EE0}"/>
    <cellStyle name="Total 3 14 2 2 2" xfId="40255" xr:uid="{01623C6B-7FFB-4DAE-AC4C-39DD450A84F9}"/>
    <cellStyle name="Total 3 14 2 3" xfId="40256" xr:uid="{86025243-FDBB-40EA-8402-6E0F66111F37}"/>
    <cellStyle name="Total 3 14 2 3 2" xfId="40257" xr:uid="{D68601EF-0D61-451A-9E2B-C3AA5034F502}"/>
    <cellStyle name="Total 3 14 2 4" xfId="40258" xr:uid="{7FB7C91B-3BF2-4F16-8571-810A5E47958A}"/>
    <cellStyle name="Total 3 14 2 5" xfId="40259" xr:uid="{5B66C199-2CE3-4F3A-B587-56B6A749FB3C}"/>
    <cellStyle name="Total 3 14 2 6" xfId="40260" xr:uid="{9531C7AC-7A86-4920-A9E2-FAD549C37506}"/>
    <cellStyle name="Total 3 14 3" xfId="21970" xr:uid="{B026A148-07B4-44F4-B23A-742276732208}"/>
    <cellStyle name="Total 3 14 3 2" xfId="40261" xr:uid="{5BE47031-1632-48BA-9196-E98F30929F25}"/>
    <cellStyle name="Total 3 14 4" xfId="40262" xr:uid="{7911EF24-3564-46AD-ADC2-89F65BFAC01B}"/>
    <cellStyle name="Total 3 14 4 2" xfId="40263" xr:uid="{B1430D82-3B6B-44C4-BE50-0E6A4BA407C8}"/>
    <cellStyle name="Total 3 14 5" xfId="40264" xr:uid="{A3878192-21BE-4CD7-9249-8187A9A25CB3}"/>
    <cellStyle name="Total 3 14 5 2" xfId="40265" xr:uid="{4B22F062-6060-42D9-9E46-1C507AFCF183}"/>
    <cellStyle name="Total 3 14 6" xfId="40266" xr:uid="{91D61840-27DA-45A0-8C36-F38DE47B6C42}"/>
    <cellStyle name="Total 3 14 7" xfId="40267" xr:uid="{CACB34DD-4752-4D43-BD5D-E23531B8B773}"/>
    <cellStyle name="Total 3 14 8" xfId="40268" xr:uid="{E93CA5E5-1AE5-4301-97DC-CAA16133F29E}"/>
    <cellStyle name="Total 3 14 9" xfId="40269" xr:uid="{F517C116-D8D4-4C65-9D2F-79B98465E3A5}"/>
    <cellStyle name="Total 3 15" xfId="21971" xr:uid="{4BBC9D60-94FA-4471-A305-282C1200053C}"/>
    <cellStyle name="Total 3 15 2" xfId="21972" xr:uid="{1AF713FB-1477-4EAE-8CE8-8CFEA5E901FA}"/>
    <cellStyle name="Total 3 15 2 2" xfId="40270" xr:uid="{25685FD0-35EF-4DD0-9D42-5A0091C602FC}"/>
    <cellStyle name="Total 3 15 2 3" xfId="40271" xr:uid="{1DCCF631-9D2A-46D4-90DB-C224833483A0}"/>
    <cellStyle name="Total 3 15 3" xfId="21973" xr:uid="{88FE0CE9-C8C9-4386-A41C-16A0CC6A5977}"/>
    <cellStyle name="Total 3 15 4" xfId="40272" xr:uid="{3986E194-09F0-4E5E-83BF-074F23688946}"/>
    <cellStyle name="Total 3 15 5" xfId="40273" xr:uid="{210CB830-3A52-468D-B1B8-08A98EC8A6A6}"/>
    <cellStyle name="Total 3 16" xfId="21974" xr:uid="{D42EABBB-ED6A-42CA-BB47-09BB0C9856D6}"/>
    <cellStyle name="Total 3 16 2" xfId="21975" xr:uid="{3839B485-C70F-4571-B984-D3C2DA46808D}"/>
    <cellStyle name="Total 3 16 2 2" xfId="40274" xr:uid="{BD0FA7C8-9448-47D0-B3D5-AFD11337043B}"/>
    <cellStyle name="Total 3 16 2 3" xfId="40275" xr:uid="{B7EF7962-263B-4D57-9ABB-CF9DEAEBEC9C}"/>
    <cellStyle name="Total 3 16 3" xfId="40276" xr:uid="{9C3DCDBA-BBE6-45B8-9F48-F7DCA8865611}"/>
    <cellStyle name="Total 3 16 4" xfId="40277" xr:uid="{70A733F7-70E2-49C7-BB1B-2222D291AC44}"/>
    <cellStyle name="Total 3 17" xfId="21976" xr:uid="{0BEAD53C-15FB-40B4-8A4C-E29017502395}"/>
    <cellStyle name="Total 3 17 2" xfId="21977" xr:uid="{B9640836-A7C3-4F3E-B5DC-91E10D376A88}"/>
    <cellStyle name="Total 3 17 3" xfId="40278" xr:uid="{1B3A5EF9-FE39-46B9-B750-85CBBE27F477}"/>
    <cellStyle name="Total 3 18" xfId="21978" xr:uid="{FE2A1603-52B3-43D2-8222-826488BB7FB4}"/>
    <cellStyle name="Total 3 18 2" xfId="21979" xr:uid="{661594AC-1558-48C9-BBDF-DB5080554F04}"/>
    <cellStyle name="Total 3 18 3" xfId="40279" xr:uid="{980EBC91-69EA-41F1-B9AF-7375C502F658}"/>
    <cellStyle name="Total 3 19" xfId="21980" xr:uid="{81CAC3C1-1BF3-4A7D-BB11-5673FAB42535}"/>
    <cellStyle name="Total 3 19 2" xfId="21981" xr:uid="{0ACA18E7-F8E1-4F72-8C5F-80A05E746960}"/>
    <cellStyle name="Total 3 19 3" xfId="40280" xr:uid="{2B3EFCB9-0736-4A0D-8DDC-5ED8B5F2BFF9}"/>
    <cellStyle name="Total 3 2" xfId="21982" xr:uid="{C50CEE88-77AA-4775-B284-25B503828E25}"/>
    <cellStyle name="Total 3 2 10" xfId="21983" xr:uid="{D0EAA418-8F70-4B08-B763-740473853419}"/>
    <cellStyle name="Total 3 2 10 2" xfId="40281" xr:uid="{9380E7B3-2EA5-480E-AC4D-ADCC9E242729}"/>
    <cellStyle name="Total 3 2 10 3" xfId="40282" xr:uid="{AF16118A-933C-4AE7-91C7-2092AD2E4B9A}"/>
    <cellStyle name="Total 3 2 11" xfId="21984" xr:uid="{DF31E003-D150-4491-A344-3D49E70D9984}"/>
    <cellStyle name="Total 3 2 11 2" xfId="40283" xr:uid="{0FAB7050-59CB-4C0C-B29E-557CADE2B87C}"/>
    <cellStyle name="Total 3 2 12" xfId="40284" xr:uid="{7DEAED6A-C106-40CE-A0F2-E3259F846A59}"/>
    <cellStyle name="Total 3 2 13" xfId="44539" xr:uid="{32DD1398-B6B0-4EC3-BEC3-8AB7BAC63B43}"/>
    <cellStyle name="Total 3 2 14" xfId="44287" xr:uid="{8682FFDF-8A0B-4AD5-AACA-485C42E4D44A}"/>
    <cellStyle name="Total 3 2 15" xfId="45078" xr:uid="{5AFF474F-6FDF-44E7-BB64-C7F4790AD40D}"/>
    <cellStyle name="Total 3 2 2" xfId="21985" xr:uid="{CAE3D90D-617D-4606-AA87-66CC45011D25}"/>
    <cellStyle name="Total 3 2 2 10" xfId="21986" xr:uid="{EC062FB9-FC1F-440C-86B8-C5FA35C38D37}"/>
    <cellStyle name="Total 3 2 2 10 2" xfId="40285" xr:uid="{82007D9F-D6A7-4EAE-A356-1F486D226E0E}"/>
    <cellStyle name="Total 3 2 2 11" xfId="40286" xr:uid="{897CEC5C-F363-4908-99DD-CFA1E77DF8A7}"/>
    <cellStyle name="Total 3 2 2 12" xfId="44752" xr:uid="{5FED0B38-1ABB-4130-9A75-9732AF1CBD10}"/>
    <cellStyle name="Total 3 2 2 13" xfId="44324" xr:uid="{AD8E863D-441F-42FF-B3CA-247853184F37}"/>
    <cellStyle name="Total 3 2 2 14" xfId="44839" xr:uid="{BAB0B1BD-BC75-4427-B7F0-7152D51B5CE1}"/>
    <cellStyle name="Total 3 2 2 2" xfId="21987" xr:uid="{134D5887-1CC2-4C55-8F74-161A64A5222D}"/>
    <cellStyle name="Total 3 2 2 2 2" xfId="21988" xr:uid="{856E3BDA-FDF6-42C0-BDAC-ECBE056EFF8E}"/>
    <cellStyle name="Total 3 2 2 2 2 2" xfId="40287" xr:uid="{C21C062D-042E-4341-B9E7-086F5F5E312E}"/>
    <cellStyle name="Total 3 2 2 2 2 3" xfId="40288" xr:uid="{B18FDE04-D5FB-4671-BC3C-73CECE263BA9}"/>
    <cellStyle name="Total 3 2 2 2 3" xfId="21989" xr:uid="{F935E2BF-7BD9-48B6-9B4C-8A6E81337C5B}"/>
    <cellStyle name="Total 3 2 2 2 3 2" xfId="21990" xr:uid="{D3737066-938F-4696-8C71-A0E91489CEC3}"/>
    <cellStyle name="Total 3 2 2 2 4" xfId="21991" xr:uid="{628BB730-A7A3-412E-B2C8-5D34884BC490}"/>
    <cellStyle name="Total 3 2 2 2 5" xfId="40289" xr:uid="{411844C6-E6BA-4894-BF29-C3CC3DF089ED}"/>
    <cellStyle name="Total 3 2 2 3" xfId="21992" xr:uid="{B018AC41-5AA4-4DFC-8DC8-61A25E099D30}"/>
    <cellStyle name="Total 3 2 2 3 2" xfId="21993" xr:uid="{97556F8D-F2F3-45C5-BEC3-A0D9DCCDB060}"/>
    <cellStyle name="Total 3 2 2 3 3" xfId="40290" xr:uid="{2AC1B5FD-F1AD-47AE-9A9E-F44A8AB698A9}"/>
    <cellStyle name="Total 3 2 2 4" xfId="21994" xr:uid="{168D639C-FCC5-4EC4-9C1C-1529ED4C3C0A}"/>
    <cellStyle name="Total 3 2 2 4 2" xfId="21995" xr:uid="{0F83F795-A672-43C1-9DF0-75671AE3F3FE}"/>
    <cellStyle name="Total 3 2 2 4 3" xfId="40291" xr:uid="{404FDE67-AA93-4513-8F15-2BEC07543D47}"/>
    <cellStyle name="Total 3 2 2 5" xfId="21996" xr:uid="{A60DEA23-4995-4146-9FFE-3D72DBC400DC}"/>
    <cellStyle name="Total 3 2 2 5 2" xfId="21997" xr:uid="{CA3AD4E5-2AE1-43EE-8D1A-CF2EF9F37045}"/>
    <cellStyle name="Total 3 2 2 5 3" xfId="40292" xr:uid="{A7C17895-FF9F-4A3B-8B2A-A2B093707366}"/>
    <cellStyle name="Total 3 2 2 6" xfId="21998" xr:uid="{4B98BE4A-F116-4DC1-B707-C7E63596EDF8}"/>
    <cellStyle name="Total 3 2 2 6 2" xfId="21999" xr:uid="{DE8CC558-4585-4FCD-A707-2F9E7E27B3B6}"/>
    <cellStyle name="Total 3 2 2 6 3" xfId="40293" xr:uid="{86E6727F-5543-4843-9EF6-E1EEADACC2E1}"/>
    <cellStyle name="Total 3 2 2 7" xfId="22000" xr:uid="{58AF7E41-56B8-4A33-805E-6B8EFD0567E0}"/>
    <cellStyle name="Total 3 2 2 7 2" xfId="22001" xr:uid="{2D17E737-0602-41D2-9F40-5AE933FEAD0B}"/>
    <cellStyle name="Total 3 2 2 7 3" xfId="40294" xr:uid="{54E25D16-E794-4B6B-99DD-5FDEC0414294}"/>
    <cellStyle name="Total 3 2 2 8" xfId="22002" xr:uid="{731C49C4-3BDF-4381-8B16-850C93BE7F3B}"/>
    <cellStyle name="Total 3 2 2 8 2" xfId="22003" xr:uid="{129728A6-8105-4458-877D-BD7DCFB38D17}"/>
    <cellStyle name="Total 3 2 2 8 3" xfId="40295" xr:uid="{4284DC98-77E0-4DC2-B5E6-1BD31E28AFC8}"/>
    <cellStyle name="Total 3 2 2 9" xfId="22004" xr:uid="{A8D4D34B-91D7-42D8-AF50-D6F22E86F5BA}"/>
    <cellStyle name="Total 3 2 2 9 2" xfId="40296" xr:uid="{839A6253-19DB-474E-BD35-6C91C3B3987D}"/>
    <cellStyle name="Total 3 2 2 9 3" xfId="40297" xr:uid="{83DCA6D5-061F-4349-9491-D9172B4D919B}"/>
    <cellStyle name="Total 3 2 3" xfId="22005" xr:uid="{31A9B193-2EFE-4624-B4D5-0470F0998FA1}"/>
    <cellStyle name="Total 3 2 3 2" xfId="22006" xr:uid="{0C8ED40E-AEF6-48C7-B830-3DFCAA0271DF}"/>
    <cellStyle name="Total 3 2 3 2 2" xfId="40298" xr:uid="{EE1CA973-59B5-4D43-8530-27D46EC9E216}"/>
    <cellStyle name="Total 3 2 3 2 3" xfId="40299" xr:uid="{CA6C057A-290D-4A0E-8496-670751723379}"/>
    <cellStyle name="Total 3 2 3 2 4" xfId="40300" xr:uid="{08157C7D-1478-43A2-B707-B929A0FABF4B}"/>
    <cellStyle name="Total 3 2 3 3" xfId="22007" xr:uid="{0339FB2B-3E2A-4965-8CCD-869693DA2084}"/>
    <cellStyle name="Total 3 2 3 3 2" xfId="22008" xr:uid="{9DC7AA12-2676-4076-A85B-B9E2B4938D59}"/>
    <cellStyle name="Total 3 2 3 4" xfId="22009" xr:uid="{CB3B4D4A-9261-41F7-879A-E839FE6741F1}"/>
    <cellStyle name="Total 3 2 3 5" xfId="40301" xr:uid="{544572EF-20F9-4F39-87ED-219B735BBF45}"/>
    <cellStyle name="Total 3 2 4" xfId="22010" xr:uid="{A576F20C-81A2-4CD1-A857-0C6307D57995}"/>
    <cellStyle name="Total 3 2 4 2" xfId="22011" xr:uid="{73642D9A-35E2-4874-9979-540A1F341699}"/>
    <cellStyle name="Total 3 2 4 2 2" xfId="40302" xr:uid="{3E2D7AF0-1E6E-4081-B537-712FFD1CFEBE}"/>
    <cellStyle name="Total 3 2 4 2 3" xfId="40303" xr:uid="{80510657-05B9-4E15-83DE-15EF8BAAB115}"/>
    <cellStyle name="Total 3 2 4 3" xfId="22012" xr:uid="{33907508-A63D-4BD3-A8A1-CCB92FCDB0D5}"/>
    <cellStyle name="Total 3 2 4 4" xfId="40304" xr:uid="{693C6830-87F7-42E9-A574-F2E95797F8F6}"/>
    <cellStyle name="Total 3 2 4 5" xfId="40305" xr:uid="{21428EB6-5CD6-4E8E-8BB3-AAB44ED69920}"/>
    <cellStyle name="Total 3 2 5" xfId="22013" xr:uid="{DFF4891E-069D-4A6E-8628-5193479DEFAF}"/>
    <cellStyle name="Total 3 2 5 2" xfId="22014" xr:uid="{3D95B9D6-F979-4E23-ADA4-0B014B560558}"/>
    <cellStyle name="Total 3 2 5 2 2" xfId="40306" xr:uid="{B8DF70D6-F40C-4C5F-B31B-AF56A99EA98C}"/>
    <cellStyle name="Total 3 2 5 2 3" xfId="40307" xr:uid="{E9781CBB-AFB0-4D72-88E1-94268B7CF7A1}"/>
    <cellStyle name="Total 3 2 5 3" xfId="40308" xr:uid="{C0268520-1CE9-4595-BC36-67530F78E0BD}"/>
    <cellStyle name="Total 3 2 5 4" xfId="40309" xr:uid="{5EFB70E5-3E3C-46F6-8FEA-61951C17D2EA}"/>
    <cellStyle name="Total 3 2 6" xfId="22015" xr:uid="{53591FB9-A9BE-43BD-B233-0AF233D08113}"/>
    <cellStyle name="Total 3 2 6 2" xfId="22016" xr:uid="{2390C424-73E7-43E5-A5E5-190430883456}"/>
    <cellStyle name="Total 3 2 6 3" xfId="40310" xr:uid="{4E712BAB-7086-4E73-8982-5967E2CD8DBC}"/>
    <cellStyle name="Total 3 2 7" xfId="22017" xr:uid="{BB590A78-17E5-4BFA-85C5-0B141EE81E49}"/>
    <cellStyle name="Total 3 2 7 2" xfId="22018" xr:uid="{044760E2-FF8C-45D6-9EAE-1F6670CE4F78}"/>
    <cellStyle name="Total 3 2 7 3" xfId="40311" xr:uid="{F6671A40-218F-4452-9254-7122DDC68439}"/>
    <cellStyle name="Total 3 2 8" xfId="22019" xr:uid="{BA0716F4-ACDE-4522-AB21-E4E715F85493}"/>
    <cellStyle name="Total 3 2 8 2" xfId="22020" xr:uid="{98B00365-48D0-49DB-B22F-110D4890EB24}"/>
    <cellStyle name="Total 3 2 8 3" xfId="40312" xr:uid="{135AAE8D-BD79-42D8-B94E-7BE3A226D4DC}"/>
    <cellStyle name="Total 3 2 9" xfId="22021" xr:uid="{7062EA40-36F2-4FD1-9372-F78DC6474B9B}"/>
    <cellStyle name="Total 3 2 9 2" xfId="22022" xr:uid="{61C14FCD-C58B-402D-85B2-3CC21C939E24}"/>
    <cellStyle name="Total 3 2 9 3" xfId="40313" xr:uid="{B64164C4-5C17-4F6D-8E5D-766649A7A585}"/>
    <cellStyle name="Total 3 20" xfId="22023" xr:uid="{8D9308C2-F7F5-41B2-821F-8C4F1CBB503D}"/>
    <cellStyle name="Total 3 20 2" xfId="40314" xr:uid="{9DCAC3E6-5FB0-4031-BFF9-B72B6FA386EB}"/>
    <cellStyle name="Total 3 20 3" xfId="40315" xr:uid="{ADF8149F-FF66-4E75-9498-A64D9859C777}"/>
    <cellStyle name="Total 3 21" xfId="22024" xr:uid="{FC144A44-19D8-47E9-AE69-0AC196783BC0}"/>
    <cellStyle name="Total 3 21 2" xfId="40316" xr:uid="{133F2ECF-4B1F-4AEA-AA3B-7DA907B3FEB0}"/>
    <cellStyle name="Total 3 22" xfId="40317" xr:uid="{6F1ECAFF-F12E-427F-B076-E07A9D8FE605}"/>
    <cellStyle name="Total 3 23" xfId="40318" xr:uid="{A7534D34-D741-471D-B180-6A6F72311F7D}"/>
    <cellStyle name="Total 3 24" xfId="44210" xr:uid="{5E201299-E73C-4D7F-9796-446DCAA4A9B5}"/>
    <cellStyle name="Total 3 25" xfId="45061" xr:uid="{6C505A6D-C9A0-48D3-AD63-BA1274C6A5FD}"/>
    <cellStyle name="Total 3 26" xfId="45398" xr:uid="{17CDB1A6-5DDC-4022-9F68-9BBB368B0926}"/>
    <cellStyle name="Total 3 3" xfId="22025" xr:uid="{48FC8DBE-FF10-4C15-BAA8-AF35D51355C2}"/>
    <cellStyle name="Total 3 3 10" xfId="22026" xr:uid="{71936551-D2FE-4E64-B33E-BE4FF99D9B62}"/>
    <cellStyle name="Total 3 3 10 2" xfId="40319" xr:uid="{DB2C187D-8B3C-4229-9BFF-87AA15E6A1A9}"/>
    <cellStyle name="Total 3 3 10 3" xfId="40320" xr:uid="{8DBE19CC-7021-4EF8-8899-8313233C4E5C}"/>
    <cellStyle name="Total 3 3 11" xfId="22027" xr:uid="{3C703A2B-A76F-4561-A500-B0403FB2AF19}"/>
    <cellStyle name="Total 3 3 11 2" xfId="40321" xr:uid="{8989F6A5-A386-4861-B729-1F733E3BB483}"/>
    <cellStyle name="Total 3 3 12" xfId="40322" xr:uid="{45B6FB81-51AA-432F-A87C-D57F67E2CC24}"/>
    <cellStyle name="Total 3 3 13" xfId="44503" xr:uid="{77F1F8D8-6EAC-4495-AD9A-4EC8DC948F4E}"/>
    <cellStyle name="Total 3 3 14" xfId="44231" xr:uid="{504BA683-10B5-49F1-B549-6EAE7F86EA45}"/>
    <cellStyle name="Total 3 3 15" xfId="45326" xr:uid="{AA9EFF4D-8438-4574-BB7A-6D6A60188DA5}"/>
    <cellStyle name="Total 3 3 2" xfId="22028" xr:uid="{7CDFD068-42B7-48C8-ADF9-39D992EBFDF8}"/>
    <cellStyle name="Total 3 3 2 10" xfId="22029" xr:uid="{6A57AA31-1DA6-4B78-8953-E18BA8B9CCF0}"/>
    <cellStyle name="Total 3 3 2 10 2" xfId="40323" xr:uid="{3F43B502-FB31-4FA0-B582-3C2BB54587DA}"/>
    <cellStyle name="Total 3 3 2 11" xfId="40324" xr:uid="{9C528FA6-E35E-4833-8068-03698A4E40BF}"/>
    <cellStyle name="Total 3 3 2 12" xfId="44715" xr:uid="{940973AD-3E67-4730-893C-5169FEE11ABD}"/>
    <cellStyle name="Total 3 3 2 13" xfId="44883" xr:uid="{DC3933BD-0C18-44CE-A0D8-BC32F675047A}"/>
    <cellStyle name="Total 3 3 2 14" xfId="45007" xr:uid="{D7F382D8-334C-4055-A72A-5F8A9541D653}"/>
    <cellStyle name="Total 3 3 2 2" xfId="22030" xr:uid="{FC990CD1-D0CC-43CD-9162-948D1ED044A9}"/>
    <cellStyle name="Total 3 3 2 2 2" xfId="22031" xr:uid="{9A317E72-C807-4CE2-BE83-C1FFBF1DDD53}"/>
    <cellStyle name="Total 3 3 2 2 2 2" xfId="40325" xr:uid="{0829B5D6-F4BF-44BE-9FDD-D9E267E94EA4}"/>
    <cellStyle name="Total 3 3 2 2 2 3" xfId="40326" xr:uid="{9C8FB892-045D-4CF1-9B5A-7409F55A13BB}"/>
    <cellStyle name="Total 3 3 2 2 3" xfId="22032" xr:uid="{0DA53BC6-EF9E-4195-85B1-83850FB15298}"/>
    <cellStyle name="Total 3 3 2 2 3 2" xfId="22033" xr:uid="{76DDCC68-021D-43D2-84F0-EB73471E9559}"/>
    <cellStyle name="Total 3 3 2 2 4" xfId="22034" xr:uid="{F8D3A56E-AD9C-4EFA-9A90-ADDA526BD94F}"/>
    <cellStyle name="Total 3 3 2 2 5" xfId="40327" xr:uid="{805BD65F-CCFE-4B69-898B-2AA9B2105C23}"/>
    <cellStyle name="Total 3 3 2 3" xfId="22035" xr:uid="{6A02981A-2EE2-49E9-8EE2-DAEB53AFB1EA}"/>
    <cellStyle name="Total 3 3 2 3 2" xfId="22036" xr:uid="{5286F8C3-5A0D-4315-A64A-EE7DA53550CF}"/>
    <cellStyle name="Total 3 3 2 3 3" xfId="40328" xr:uid="{461B34AF-C5E6-44FF-990D-AB208F91C692}"/>
    <cellStyle name="Total 3 3 2 4" xfId="22037" xr:uid="{C65D245E-6A1E-4C93-BE6A-4C10D7442782}"/>
    <cellStyle name="Total 3 3 2 4 2" xfId="22038" xr:uid="{BB949A53-5E67-44C5-85D8-2733ED607440}"/>
    <cellStyle name="Total 3 3 2 4 3" xfId="40329" xr:uid="{B9D70463-07E7-4965-9F16-56661E51AAEB}"/>
    <cellStyle name="Total 3 3 2 5" xfId="22039" xr:uid="{E856E45F-D34C-4E52-A5D7-1695E8F9655C}"/>
    <cellStyle name="Total 3 3 2 5 2" xfId="22040" xr:uid="{730B07B2-A1FE-4B17-9D84-5C7E394E911A}"/>
    <cellStyle name="Total 3 3 2 5 3" xfId="40330" xr:uid="{B7237797-69C1-43EC-A4D3-74019FC43C12}"/>
    <cellStyle name="Total 3 3 2 6" xfId="22041" xr:uid="{BF236365-3B39-46E7-88ED-D85BBC75E569}"/>
    <cellStyle name="Total 3 3 2 6 2" xfId="22042" xr:uid="{B8CB186E-7B6C-4BC4-AF6E-F600B892F691}"/>
    <cellStyle name="Total 3 3 2 6 3" xfId="40331" xr:uid="{BDDB270C-F4DA-4E0D-814E-E4FFD10B361E}"/>
    <cellStyle name="Total 3 3 2 7" xfId="22043" xr:uid="{6EAAA3C5-0E63-4D74-9229-A593CA065FBA}"/>
    <cellStyle name="Total 3 3 2 7 2" xfId="22044" xr:uid="{32D90BD4-6D83-48E2-9374-3183E5B8023F}"/>
    <cellStyle name="Total 3 3 2 7 3" xfId="40332" xr:uid="{BA0B8F7C-5435-4581-980A-978CD9145B0B}"/>
    <cellStyle name="Total 3 3 2 8" xfId="22045" xr:uid="{91F2AD6E-7CB1-4916-B9B8-67B367928E45}"/>
    <cellStyle name="Total 3 3 2 8 2" xfId="22046" xr:uid="{FBB1CAAE-DE61-4B93-A8AF-97FFCCBBCDC1}"/>
    <cellStyle name="Total 3 3 2 8 3" xfId="40333" xr:uid="{20C375DE-9ADC-4F65-85BF-84F6A5B4BB7A}"/>
    <cellStyle name="Total 3 3 2 9" xfId="22047" xr:uid="{D87730DB-7939-426D-9881-689CAD3D9BFE}"/>
    <cellStyle name="Total 3 3 2 9 2" xfId="40334" xr:uid="{C1227578-CD2B-46FD-9822-93AF7348DF7B}"/>
    <cellStyle name="Total 3 3 2 9 3" xfId="40335" xr:uid="{41037BC0-75D3-47DE-BBB6-097C10CEA71E}"/>
    <cellStyle name="Total 3 3 3" xfId="22048" xr:uid="{334463A1-3DEB-45BB-8DFD-F459BFB8DEC3}"/>
    <cellStyle name="Total 3 3 3 2" xfId="22049" xr:uid="{7AB3DDA4-C81C-4BBD-87F3-1E0A6EC6D5C2}"/>
    <cellStyle name="Total 3 3 3 2 2" xfId="40336" xr:uid="{D9F0052B-C334-468A-8C61-55B5CF8F896B}"/>
    <cellStyle name="Total 3 3 3 2 3" xfId="40337" xr:uid="{B3EB123B-E4A2-47E1-8C74-D8384C30D7AC}"/>
    <cellStyle name="Total 3 3 3 2 4" xfId="40338" xr:uid="{8A25EADB-2552-4B3F-911C-763395470A7B}"/>
    <cellStyle name="Total 3 3 3 3" xfId="22050" xr:uid="{E8139F9C-F80E-4574-9D5F-7B62A0325E4C}"/>
    <cellStyle name="Total 3 3 3 3 2" xfId="22051" xr:uid="{4565B2B4-CBF7-4E4C-A68B-DC3B877F50FE}"/>
    <cellStyle name="Total 3 3 3 4" xfId="22052" xr:uid="{BCC22348-BC4F-49F0-812B-731C80A66AF6}"/>
    <cellStyle name="Total 3 3 3 5" xfId="40339" xr:uid="{7FE8CAFD-FFC8-4BBC-BB13-6072B6500B20}"/>
    <cellStyle name="Total 3 3 4" xfId="22053" xr:uid="{5F5CED99-6304-4415-8D2A-2B7E901725BA}"/>
    <cellStyle name="Total 3 3 4 2" xfId="22054" xr:uid="{1826B9EA-CE1B-40C9-9751-2DDFD7E2E615}"/>
    <cellStyle name="Total 3 3 4 2 2" xfId="40340" xr:uid="{D38151BD-0348-47C0-81C6-FB0A9AC1A3AB}"/>
    <cellStyle name="Total 3 3 4 2 3" xfId="40341" xr:uid="{4B8D1140-412A-416D-9D68-5906475262CA}"/>
    <cellStyle name="Total 3 3 4 3" xfId="22055" xr:uid="{FEA0EC18-A5EB-4501-B632-7F7722739C93}"/>
    <cellStyle name="Total 3 3 4 4" xfId="40342" xr:uid="{A9A421A5-1D99-4C80-BD6E-1883C5CB6355}"/>
    <cellStyle name="Total 3 3 4 5" xfId="40343" xr:uid="{44988A9C-7D7D-4D9B-87D4-7BE3A83B6108}"/>
    <cellStyle name="Total 3 3 5" xfId="22056" xr:uid="{703B7D01-91AB-426A-AC4F-52FE878A4154}"/>
    <cellStyle name="Total 3 3 5 2" xfId="22057" xr:uid="{4A52EB2E-97E5-46A6-8DA7-0AC97138520C}"/>
    <cellStyle name="Total 3 3 5 2 2" xfId="40344" xr:uid="{3C83B42A-EF34-4C59-AF7B-836BC3E8A47C}"/>
    <cellStyle name="Total 3 3 5 2 3" xfId="40345" xr:uid="{A70657CA-7647-4F53-86CD-09AB587D2F29}"/>
    <cellStyle name="Total 3 3 5 3" xfId="40346" xr:uid="{65DB226B-9F9D-43E7-B6CD-DF7559B3A054}"/>
    <cellStyle name="Total 3 3 5 4" xfId="40347" xr:uid="{30838E7D-8340-4F2F-90FB-4B59D5124561}"/>
    <cellStyle name="Total 3 3 6" xfId="22058" xr:uid="{F45578AC-567D-47F8-BFC7-9B50D434332F}"/>
    <cellStyle name="Total 3 3 6 2" xfId="22059" xr:uid="{38833021-DEE8-45EB-85BB-797CABEC7A43}"/>
    <cellStyle name="Total 3 3 6 3" xfId="40348" xr:uid="{D3542C17-9F9A-4BFA-B66B-85C61BD3C966}"/>
    <cellStyle name="Total 3 3 7" xfId="22060" xr:uid="{56610F63-FA2E-4BD6-B2AA-C79B646A9229}"/>
    <cellStyle name="Total 3 3 7 2" xfId="22061" xr:uid="{12A50A29-DF4C-4E2B-8274-B0D9CA28AC8A}"/>
    <cellStyle name="Total 3 3 7 3" xfId="40349" xr:uid="{23EEFF4E-92DC-44C6-9A55-64F138594F7B}"/>
    <cellStyle name="Total 3 3 8" xfId="22062" xr:uid="{9888839F-8424-4884-B02D-A02BD627E0AE}"/>
    <cellStyle name="Total 3 3 8 2" xfId="22063" xr:uid="{988F9C08-56E6-43BA-8018-05FED923C8EB}"/>
    <cellStyle name="Total 3 3 8 3" xfId="40350" xr:uid="{04BB77AE-DB7C-4C1D-89F4-CCB1475E1DF2}"/>
    <cellStyle name="Total 3 3 9" xfId="22064" xr:uid="{0148A769-7401-4282-BC6D-6AAEA842A264}"/>
    <cellStyle name="Total 3 3 9 2" xfId="22065" xr:uid="{8D827BC3-6DA7-412E-98E3-B4A8D291A3BB}"/>
    <cellStyle name="Total 3 3 9 3" xfId="40351" xr:uid="{86CE942C-6D54-49AA-BF44-92C51331A98E}"/>
    <cellStyle name="Total 3 4" xfId="22066" xr:uid="{3D9339E1-AC7A-45F6-BBEB-FFB78045EA3D}"/>
    <cellStyle name="Total 3 4 10" xfId="22067" xr:uid="{F364CCC7-D8BA-4D0A-9B7C-8DA82AE36B9E}"/>
    <cellStyle name="Total 3 4 10 2" xfId="40352" xr:uid="{CF3EE497-83D6-485E-99CD-B2B59097A423}"/>
    <cellStyle name="Total 3 4 10 3" xfId="40353" xr:uid="{DCFCB10C-6970-49C9-925E-99732BEED523}"/>
    <cellStyle name="Total 3 4 11" xfId="22068" xr:uid="{F4AE623E-909B-432E-93B7-DE2241ECA5AC}"/>
    <cellStyle name="Total 3 4 11 2" xfId="40354" xr:uid="{6B1553A7-9143-4CD1-9F3C-CD2FD9D63BDA}"/>
    <cellStyle name="Total 3 4 12" xfId="40355" xr:uid="{36A14F95-1FA1-4B1F-8D5D-6B554BC9165A}"/>
    <cellStyle name="Total 3 4 13" xfId="44543" xr:uid="{77D5A3F3-DB2E-4372-91BA-46DD2C0D5FA6}"/>
    <cellStyle name="Total 3 4 14" xfId="45129" xr:uid="{A76FB196-0EB0-4DDA-ADF1-46D15E66FD6C}"/>
    <cellStyle name="Total 3 4 15" xfId="45428" xr:uid="{DF02DBCE-9B1B-4F8E-AF52-6E93270ECE42}"/>
    <cellStyle name="Total 3 4 2" xfId="22069" xr:uid="{89BCA789-FBEB-45B3-B15A-7600C862BA6F}"/>
    <cellStyle name="Total 3 4 2 10" xfId="22070" xr:uid="{57B988E8-5D6F-4AC6-B58A-73A95E07143D}"/>
    <cellStyle name="Total 3 4 2 10 2" xfId="40356" xr:uid="{DD9F1151-056C-4DD3-9444-52546D9F7855}"/>
    <cellStyle name="Total 3 4 2 11" xfId="40357" xr:uid="{AA5E55E7-44C3-4BC4-80DB-383ECF8F9E71}"/>
    <cellStyle name="Total 3 4 2 12" xfId="44755" xr:uid="{F8B481CC-F3AB-4064-9B81-DE7400A2F5E8}"/>
    <cellStyle name="Total 3 4 2 13" xfId="44326" xr:uid="{C838BC1C-C320-45D1-A4D7-3D0005463ADD}"/>
    <cellStyle name="Total 3 4 2 14" xfId="45285" xr:uid="{896E8EFA-7891-4CD5-B5D9-F91F6F076A7B}"/>
    <cellStyle name="Total 3 4 2 2" xfId="22071" xr:uid="{E78E53E1-A9BB-44D4-BEE2-2A76E3C7FC72}"/>
    <cellStyle name="Total 3 4 2 2 2" xfId="22072" xr:uid="{2F9949B4-B6CB-49FF-8EAA-02F9690D5AEE}"/>
    <cellStyle name="Total 3 4 2 2 2 2" xfId="40358" xr:uid="{E35419C9-412C-4014-96DB-3AD9E6AABDBA}"/>
    <cellStyle name="Total 3 4 2 2 2 3" xfId="40359" xr:uid="{1EECFF79-8FC3-4022-8830-C2B28D2BECEA}"/>
    <cellStyle name="Total 3 4 2 2 3" xfId="22073" xr:uid="{F5513D76-C5F0-47C7-A49E-3C9264738FA7}"/>
    <cellStyle name="Total 3 4 2 2 3 2" xfId="22074" xr:uid="{2413BC60-2825-4B78-AE2D-A4DBBE0C56D3}"/>
    <cellStyle name="Total 3 4 2 2 4" xfId="22075" xr:uid="{ED074C41-EFE3-44E5-8444-72D99DE6DBBA}"/>
    <cellStyle name="Total 3 4 2 2 5" xfId="40360" xr:uid="{A0ACE3D5-9AF0-473A-B260-BCD22FF3D985}"/>
    <cellStyle name="Total 3 4 2 3" xfId="22076" xr:uid="{878A204A-35C8-4CD2-AC0D-DEF8855F999F}"/>
    <cellStyle name="Total 3 4 2 3 2" xfId="22077" xr:uid="{FC3002C3-C10A-4893-BDBB-787693658D9B}"/>
    <cellStyle name="Total 3 4 2 3 3" xfId="40361" xr:uid="{4C329FD3-9412-4ABC-BCFB-B3C47B612741}"/>
    <cellStyle name="Total 3 4 2 4" xfId="22078" xr:uid="{949D2BFD-34BC-4405-8088-DD19BA60C586}"/>
    <cellStyle name="Total 3 4 2 4 2" xfId="22079" xr:uid="{0A71BFEE-182A-4897-843C-0AC658FC5FDD}"/>
    <cellStyle name="Total 3 4 2 4 3" xfId="40362" xr:uid="{BEF60030-9379-45BC-9522-1F69AE658D02}"/>
    <cellStyle name="Total 3 4 2 5" xfId="22080" xr:uid="{B0FC043D-B0EF-4494-A7DE-6E2A53ABE94C}"/>
    <cellStyle name="Total 3 4 2 5 2" xfId="22081" xr:uid="{DBF9136E-93B5-4268-83BB-6C198EA03695}"/>
    <cellStyle name="Total 3 4 2 5 3" xfId="40363" xr:uid="{F6357D32-8DCC-4006-A27D-BE80CC507194}"/>
    <cellStyle name="Total 3 4 2 6" xfId="22082" xr:uid="{561BECF0-A8FE-4CAD-9B20-29B0E2AFDFF2}"/>
    <cellStyle name="Total 3 4 2 6 2" xfId="22083" xr:uid="{F4B5ACCE-6AE0-4C70-BC41-D8771CA812B9}"/>
    <cellStyle name="Total 3 4 2 6 3" xfId="40364" xr:uid="{5A41DAD1-0F58-4420-83C9-A45FCC213EBE}"/>
    <cellStyle name="Total 3 4 2 7" xfId="22084" xr:uid="{7DC8918F-C48C-43EB-AE32-47550576A20D}"/>
    <cellStyle name="Total 3 4 2 7 2" xfId="22085" xr:uid="{2A47DC93-19F2-4F09-BAB3-307DCE7B4405}"/>
    <cellStyle name="Total 3 4 2 7 3" xfId="40365" xr:uid="{B44FA4A9-18D8-4923-9B55-DEC91F924FEE}"/>
    <cellStyle name="Total 3 4 2 8" xfId="22086" xr:uid="{804AF017-B5D9-46DE-9AE1-6F6FD6103F3D}"/>
    <cellStyle name="Total 3 4 2 8 2" xfId="22087" xr:uid="{F2967691-44D3-4491-BA8B-F4CDDE29CD31}"/>
    <cellStyle name="Total 3 4 2 8 3" xfId="40366" xr:uid="{6DCC55BA-7341-418D-AE67-12DE0FD4F7D6}"/>
    <cellStyle name="Total 3 4 2 9" xfId="22088" xr:uid="{B1D28463-97A5-4259-9B68-A1259BE84495}"/>
    <cellStyle name="Total 3 4 2 9 2" xfId="40367" xr:uid="{61E6E322-1F6F-4EE4-B679-01478383378F}"/>
    <cellStyle name="Total 3 4 2 9 3" xfId="40368" xr:uid="{B0FDCBE2-1203-47CB-8F91-A9034BA198A2}"/>
    <cellStyle name="Total 3 4 3" xfId="22089" xr:uid="{AD616FD8-31D6-4AC8-A906-CFABB30BE672}"/>
    <cellStyle name="Total 3 4 3 2" xfId="22090" xr:uid="{FA0FD88D-D809-43A9-8390-07220DFD0AAE}"/>
    <cellStyle name="Total 3 4 3 2 2" xfId="40369" xr:uid="{361C5DE5-08B5-4972-9F0E-DAE4013A6C0F}"/>
    <cellStyle name="Total 3 4 3 2 3" xfId="40370" xr:uid="{A0BC7683-B473-4D1A-8E79-1BE0CEC07460}"/>
    <cellStyle name="Total 3 4 3 2 4" xfId="40371" xr:uid="{E2432096-7184-4331-B828-05DDE59FD2C6}"/>
    <cellStyle name="Total 3 4 3 3" xfId="22091" xr:uid="{DDD378F7-B400-4D2D-8E38-19F2F5A241AE}"/>
    <cellStyle name="Total 3 4 3 3 2" xfId="22092" xr:uid="{75975730-7DDB-4F09-9021-89E26FB50251}"/>
    <cellStyle name="Total 3 4 3 4" xfId="22093" xr:uid="{37B5D097-42D7-4E52-A8D3-F308DEE97615}"/>
    <cellStyle name="Total 3 4 3 5" xfId="40372" xr:uid="{6EE1A1CA-DCB2-4085-B6E9-A5131F0DEA91}"/>
    <cellStyle name="Total 3 4 4" xfId="22094" xr:uid="{5E8C9369-F897-4D7F-9975-359957F7DFE4}"/>
    <cellStyle name="Total 3 4 4 2" xfId="22095" xr:uid="{F64C9892-6516-446A-B222-4825E40A6070}"/>
    <cellStyle name="Total 3 4 4 2 2" xfId="40373" xr:uid="{A5E1B4A7-E4BC-4D32-A4B6-B0C191B6FBCA}"/>
    <cellStyle name="Total 3 4 4 2 3" xfId="40374" xr:uid="{6C22AC8D-4E5E-4C8E-937B-43EAF45DA56F}"/>
    <cellStyle name="Total 3 4 4 3" xfId="22096" xr:uid="{0951303A-AE7A-41FA-BA1B-9230624C51C7}"/>
    <cellStyle name="Total 3 4 4 4" xfId="40375" xr:uid="{06B8A189-E451-4F31-9F99-C44385521254}"/>
    <cellStyle name="Total 3 4 4 5" xfId="40376" xr:uid="{6B1038FA-AAEA-47FF-B0E1-72F8E3AFDB67}"/>
    <cellStyle name="Total 3 4 5" xfId="22097" xr:uid="{6E59CFFE-48A2-438E-9178-B987C95862A4}"/>
    <cellStyle name="Total 3 4 5 2" xfId="22098" xr:uid="{AC3B3D9D-A9F8-4588-BDE6-870B1D6A42EE}"/>
    <cellStyle name="Total 3 4 5 2 2" xfId="40377" xr:uid="{4BA37AE8-8042-4AB6-97D2-B15F88E5AAF0}"/>
    <cellStyle name="Total 3 4 5 2 3" xfId="40378" xr:uid="{12D9558A-18E5-468A-9711-B8BFC3AECB71}"/>
    <cellStyle name="Total 3 4 5 3" xfId="40379" xr:uid="{2368FA35-F0FA-4843-A586-8CB5AF7F5EA5}"/>
    <cellStyle name="Total 3 4 5 4" xfId="40380" xr:uid="{B748AC61-EE03-4D19-A4E5-216742933A01}"/>
    <cellStyle name="Total 3 4 6" xfId="22099" xr:uid="{1795F274-6C06-444F-AB29-0D7465A8F3DD}"/>
    <cellStyle name="Total 3 4 6 2" xfId="22100" xr:uid="{DFAB05AF-6092-4211-AB6C-749D571C6EBD}"/>
    <cellStyle name="Total 3 4 6 3" xfId="40381" xr:uid="{F2C6E4FB-07BE-4595-88A8-383FA21539F1}"/>
    <cellStyle name="Total 3 4 7" xfId="22101" xr:uid="{FCA0D763-861C-46F2-AA0A-3F661493B783}"/>
    <cellStyle name="Total 3 4 7 2" xfId="22102" xr:uid="{A2D48C00-7A7E-49E8-9605-0F0B29EC7EAF}"/>
    <cellStyle name="Total 3 4 7 3" xfId="40382" xr:uid="{38171B78-3AAB-4DD6-BEB2-C8E67CBBDA89}"/>
    <cellStyle name="Total 3 4 8" xfId="22103" xr:uid="{19DFBA6D-F83A-4FD6-A18D-6AE6E108F754}"/>
    <cellStyle name="Total 3 4 8 2" xfId="22104" xr:uid="{48927E86-9EA2-4CFF-8349-DE10709BE144}"/>
    <cellStyle name="Total 3 4 8 3" xfId="40383" xr:uid="{C1C6703B-1F74-4357-AD9D-EE6A094B5A50}"/>
    <cellStyle name="Total 3 4 9" xfId="22105" xr:uid="{6DF3E417-57FA-4B7D-9A37-DF5AAC9DE3CF}"/>
    <cellStyle name="Total 3 4 9 2" xfId="22106" xr:uid="{78E05C63-5E23-4B1D-A1D3-CBC138861923}"/>
    <cellStyle name="Total 3 4 9 3" xfId="40384" xr:uid="{2B76F4DC-54A7-4075-9BEC-B98DD20462EE}"/>
    <cellStyle name="Total 3 5" xfId="22107" xr:uid="{2103E4E5-82B7-46C3-A4A9-802E76658355}"/>
    <cellStyle name="Total 3 5 10" xfId="22108" xr:uid="{DE851922-094B-4E42-8513-10D5D1BE9504}"/>
    <cellStyle name="Total 3 5 10 2" xfId="40385" xr:uid="{0459ED41-0B4D-4F3B-AE9E-E17D090A426A}"/>
    <cellStyle name="Total 3 5 10 3" xfId="40386" xr:uid="{032E690E-9C76-409E-A218-7F281CEFD26E}"/>
    <cellStyle name="Total 3 5 11" xfId="22109" xr:uid="{CECEB9FD-3291-4AD1-A06D-7C599D0ACDFC}"/>
    <cellStyle name="Total 3 5 11 2" xfId="40387" xr:uid="{36DFE465-02EB-4B6B-8C5C-DF3401F08473}"/>
    <cellStyle name="Total 3 5 12" xfId="40388" xr:uid="{FBEE6256-ACAB-4D76-864F-B8E575BE42AA}"/>
    <cellStyle name="Total 3 5 13" xfId="44638" xr:uid="{0155BD6D-1043-49F0-A35B-9C0A32539857}"/>
    <cellStyle name="Total 3 5 14" xfId="44919" xr:uid="{B5640F12-AB36-4811-981F-FFF3BBF5AED3}"/>
    <cellStyle name="Total 3 5 15" xfId="44015" xr:uid="{D3B35CBC-A3C1-4524-8903-FDB5AFB01AB0}"/>
    <cellStyle name="Total 3 5 2" xfId="22110" xr:uid="{AD260674-EC6D-4A84-96B2-2EADA39E9E7B}"/>
    <cellStyle name="Total 3 5 2 10" xfId="22111" xr:uid="{40350271-AF49-4B04-94F8-5641E97C693C}"/>
    <cellStyle name="Total 3 5 2 10 2" xfId="40389" xr:uid="{4353FB11-4BDB-461F-B2E3-B6F9BDEDDF5B}"/>
    <cellStyle name="Total 3 5 2 11" xfId="40390" xr:uid="{C3A7CF2F-1CD9-4598-BC6F-7044A490F7FC}"/>
    <cellStyle name="Total 3 5 2 2" xfId="22112" xr:uid="{6E901F27-B6BB-4538-8792-FDB046C6A596}"/>
    <cellStyle name="Total 3 5 2 2 2" xfId="22113" xr:uid="{9216CA8F-2212-44BF-AA9F-72BD1661C97E}"/>
    <cellStyle name="Total 3 5 2 2 2 2" xfId="40391" xr:uid="{E5893476-1ACF-411A-9C1F-F2B2254AF000}"/>
    <cellStyle name="Total 3 5 2 2 2 3" xfId="40392" xr:uid="{B6EA0F43-CB7F-49A1-862F-42B6EA6F8FAB}"/>
    <cellStyle name="Total 3 5 2 2 3" xfId="22114" xr:uid="{801ED59D-9064-4118-86E6-D0AC2110EDB2}"/>
    <cellStyle name="Total 3 5 2 2 3 2" xfId="22115" xr:uid="{5F0DF84B-6DE9-42DF-88F2-F27EA8E732F1}"/>
    <cellStyle name="Total 3 5 2 2 4" xfId="22116" xr:uid="{678D2E87-46A5-4538-A6A6-71D304A01705}"/>
    <cellStyle name="Total 3 5 2 2 5" xfId="40393" xr:uid="{DA590BD8-305E-47AA-93E9-5AD796A0AEF4}"/>
    <cellStyle name="Total 3 5 2 3" xfId="22117" xr:uid="{5F31A328-184D-4542-A7B7-A1ACEF1E8318}"/>
    <cellStyle name="Total 3 5 2 3 2" xfId="22118" xr:uid="{95F3C372-12DE-4263-989B-9C97D7D691F9}"/>
    <cellStyle name="Total 3 5 2 3 3" xfId="40394" xr:uid="{DED5DB9E-1BA7-4159-9514-00CB6863C605}"/>
    <cellStyle name="Total 3 5 2 4" xfId="22119" xr:uid="{DB0E0EE5-7109-4064-A4F2-D1050C67F5BE}"/>
    <cellStyle name="Total 3 5 2 4 2" xfId="22120" xr:uid="{0CC15ED1-F9A2-4B1C-A5B2-C87E280AC283}"/>
    <cellStyle name="Total 3 5 2 4 3" xfId="40395" xr:uid="{48453A77-722F-41C4-AB76-7D514ACC1DE1}"/>
    <cellStyle name="Total 3 5 2 5" xfId="22121" xr:uid="{09D2675E-83D3-4109-8170-1F86FCEE8C26}"/>
    <cellStyle name="Total 3 5 2 5 2" xfId="22122" xr:uid="{CA78748B-F47E-4EA9-B6D4-4F29255FEE29}"/>
    <cellStyle name="Total 3 5 2 5 3" xfId="40396" xr:uid="{E88BCFCE-7FBD-4119-93C7-F081D7329C76}"/>
    <cellStyle name="Total 3 5 2 6" xfId="22123" xr:uid="{462DAC37-D509-4EA6-8B28-29873649ABA8}"/>
    <cellStyle name="Total 3 5 2 6 2" xfId="22124" xr:uid="{30297B91-AAEB-4B70-A34B-718FAF765B56}"/>
    <cellStyle name="Total 3 5 2 6 3" xfId="40397" xr:uid="{4A1E4D01-83BD-47CF-A9E2-D4D13B0FDA7B}"/>
    <cellStyle name="Total 3 5 2 7" xfId="22125" xr:uid="{66AAACFE-0B86-478B-A234-B944B7D187DC}"/>
    <cellStyle name="Total 3 5 2 7 2" xfId="22126" xr:uid="{59FFD776-F28C-4F36-8696-3D3F3C62C92B}"/>
    <cellStyle name="Total 3 5 2 7 3" xfId="40398" xr:uid="{0FF03B45-A8A6-49CB-95B3-EF431ED03AF8}"/>
    <cellStyle name="Total 3 5 2 8" xfId="22127" xr:uid="{724573FA-D222-4A21-98F3-F89B8FF11B54}"/>
    <cellStyle name="Total 3 5 2 8 2" xfId="22128" xr:uid="{14164D6A-0619-4055-9AA8-76925A1A0E55}"/>
    <cellStyle name="Total 3 5 2 8 3" xfId="40399" xr:uid="{CADEAA91-A1FC-4028-B7BD-30B8A33277C7}"/>
    <cellStyle name="Total 3 5 2 9" xfId="22129" xr:uid="{8F7C38CB-A961-496E-BA5E-53E7267D8170}"/>
    <cellStyle name="Total 3 5 2 9 2" xfId="40400" xr:uid="{AC6FED28-B000-435D-AF96-E6B9F2EF95DC}"/>
    <cellStyle name="Total 3 5 2 9 3" xfId="40401" xr:uid="{C7BBC43B-5FE0-4E24-9262-ED1120129346}"/>
    <cellStyle name="Total 3 5 3" xfId="22130" xr:uid="{A234DE72-59F2-442A-972D-98ACE9E84E2C}"/>
    <cellStyle name="Total 3 5 3 2" xfId="22131" xr:uid="{14267730-B5B2-4F8E-A8C0-97B385CE38DA}"/>
    <cellStyle name="Total 3 5 3 2 2" xfId="40402" xr:uid="{AAF00131-5D11-41BF-8C3C-31EA82C0F15F}"/>
    <cellStyle name="Total 3 5 3 2 3" xfId="40403" xr:uid="{FEEEC081-7E4A-469D-A862-4B879959600E}"/>
    <cellStyle name="Total 3 5 3 2 4" xfId="40404" xr:uid="{467198D8-707D-4355-BAD3-1635BAD152BD}"/>
    <cellStyle name="Total 3 5 3 3" xfId="22132" xr:uid="{AB033651-E4C2-4D97-8E9D-59855C49F539}"/>
    <cellStyle name="Total 3 5 3 3 2" xfId="22133" xr:uid="{198EFD37-DC19-41AA-B7BF-1F180C8872BB}"/>
    <cellStyle name="Total 3 5 3 4" xfId="22134" xr:uid="{0C212E78-4AEA-4F26-917A-4D3F05B8B039}"/>
    <cellStyle name="Total 3 5 3 5" xfId="40405" xr:uid="{056ADBBE-7302-48ED-9546-49599604E062}"/>
    <cellStyle name="Total 3 5 4" xfId="22135" xr:uid="{F7779C3A-0BA0-481F-9873-030745A88681}"/>
    <cellStyle name="Total 3 5 4 2" xfId="22136" xr:uid="{ABC902BA-3EF7-4145-8E95-4537448FBDF6}"/>
    <cellStyle name="Total 3 5 4 2 2" xfId="40406" xr:uid="{DF966987-78F7-4B31-8E3C-F66FA1AB90B4}"/>
    <cellStyle name="Total 3 5 4 2 3" xfId="40407" xr:uid="{7A571C8E-2E45-4CEC-A1EA-22568CF7C04B}"/>
    <cellStyle name="Total 3 5 4 3" xfId="22137" xr:uid="{06C2A1EC-2C40-4128-8D51-3EE4454C9579}"/>
    <cellStyle name="Total 3 5 4 4" xfId="40408" xr:uid="{746D55C4-4F4E-4A9A-8A41-06674197C9F5}"/>
    <cellStyle name="Total 3 5 4 5" xfId="40409" xr:uid="{39ED8E52-C963-4BCA-8E4B-1B7494300555}"/>
    <cellStyle name="Total 3 5 5" xfId="22138" xr:uid="{9B1FD9F1-B284-45BB-B75B-6368D02322D1}"/>
    <cellStyle name="Total 3 5 5 2" xfId="22139" xr:uid="{E323E8A0-4A4B-488B-A0FB-8B3312F1098D}"/>
    <cellStyle name="Total 3 5 5 2 2" xfId="40410" xr:uid="{DA92444C-03D9-4C78-80D5-3B301EE948EB}"/>
    <cellStyle name="Total 3 5 5 2 3" xfId="40411" xr:uid="{BD088FD6-7BA4-4A3D-87E6-DA9FBD75F2AF}"/>
    <cellStyle name="Total 3 5 5 3" xfId="40412" xr:uid="{90E1AA3C-C0DD-4AFE-A2B4-3801FED46713}"/>
    <cellStyle name="Total 3 5 5 4" xfId="40413" xr:uid="{E9DDD013-4721-4247-B39E-1DA059B66A3F}"/>
    <cellStyle name="Total 3 5 6" xfId="22140" xr:uid="{B4923F05-A1E0-454E-BC8E-7746DCC3C791}"/>
    <cellStyle name="Total 3 5 6 2" xfId="22141" xr:uid="{6E8AFD31-581C-440B-A6C8-C1C2BABF6C80}"/>
    <cellStyle name="Total 3 5 6 3" xfId="40414" xr:uid="{C9E37A9A-FF99-49ED-8F4A-C5F3E147D812}"/>
    <cellStyle name="Total 3 5 7" xfId="22142" xr:uid="{FD02D4AA-8BB9-42E8-8712-00C130473B6D}"/>
    <cellStyle name="Total 3 5 7 2" xfId="22143" xr:uid="{55CF6CBE-278C-4859-8ED1-B163F480D91A}"/>
    <cellStyle name="Total 3 5 7 3" xfId="40415" xr:uid="{5C46F834-B33E-4345-AE43-031C36B11E2E}"/>
    <cellStyle name="Total 3 5 8" xfId="22144" xr:uid="{1DB3614A-D315-47B8-9C01-FF8C06652178}"/>
    <cellStyle name="Total 3 5 8 2" xfId="22145" xr:uid="{72D3B984-90C8-497F-9B8E-A9B7D81115E2}"/>
    <cellStyle name="Total 3 5 8 3" xfId="40416" xr:uid="{579C51D2-276D-4FA0-9C11-2BA994EC3E0C}"/>
    <cellStyle name="Total 3 5 9" xfId="22146" xr:uid="{3706AD41-E8E5-4225-9DF7-CCE67B2E0F5E}"/>
    <cellStyle name="Total 3 5 9 2" xfId="22147" xr:uid="{384548B6-F37C-4E26-8809-8DA8BD3DBC71}"/>
    <cellStyle name="Total 3 5 9 3" xfId="40417" xr:uid="{F873D7B3-F594-4A3F-8D85-3B21846DF54D}"/>
    <cellStyle name="Total 3 6" xfId="22148" xr:uid="{734AD5DF-86A6-4425-861B-E57A616E039E}"/>
    <cellStyle name="Total 3 6 10" xfId="22149" xr:uid="{B4F7D4E2-9F21-4F1D-9378-DA9A04383521}"/>
    <cellStyle name="Total 3 6 10 2" xfId="40418" xr:uid="{B7A26F8E-F9F9-4C06-9716-7D5AC47A3448}"/>
    <cellStyle name="Total 3 6 10 3" xfId="40419" xr:uid="{0D7A20A0-AB27-45FA-8E8F-82313FD2C338}"/>
    <cellStyle name="Total 3 6 11" xfId="22150" xr:uid="{800F1ACE-EF7F-4B03-B953-F2F31F047B46}"/>
    <cellStyle name="Total 3 6 11 2" xfId="40420" xr:uid="{27F82734-3DB8-4521-BE91-6B85D3B85B99}"/>
    <cellStyle name="Total 3 6 12" xfId="40421" xr:uid="{3FAD9821-2AEB-4957-8087-13A602069126}"/>
    <cellStyle name="Total 3 6 2" xfId="22151" xr:uid="{BA886A7E-2F0D-4EA4-8B54-3D8DEDFF9487}"/>
    <cellStyle name="Total 3 6 2 10" xfId="22152" xr:uid="{76148C75-3078-4C29-9B52-E98DA455993A}"/>
    <cellStyle name="Total 3 6 2 10 2" xfId="40422" xr:uid="{A337409A-AD63-429F-8232-BC761A5D2AFD}"/>
    <cellStyle name="Total 3 6 2 11" xfId="40423" xr:uid="{B58DC431-5CFB-44FF-9EEC-4CC59A5E36A0}"/>
    <cellStyle name="Total 3 6 2 2" xfId="22153" xr:uid="{ED072F2F-644A-4802-BA51-592BF9BDFABA}"/>
    <cellStyle name="Total 3 6 2 2 2" xfId="22154" xr:uid="{386D0E02-5AA8-43B1-8F8C-9B62BFF89DA7}"/>
    <cellStyle name="Total 3 6 2 2 2 2" xfId="40424" xr:uid="{F808CEAF-C9A4-4958-B2A8-01526DD75BFA}"/>
    <cellStyle name="Total 3 6 2 2 2 3" xfId="40425" xr:uid="{96B1D1DB-4A64-4D5E-8C28-73DA5CEEAE2A}"/>
    <cellStyle name="Total 3 6 2 2 3" xfId="22155" xr:uid="{2237BAE8-FAA3-4977-916B-FC2F60DEE74E}"/>
    <cellStyle name="Total 3 6 2 2 3 2" xfId="22156" xr:uid="{ACD22AB0-6522-4E67-84C5-0D62FE959700}"/>
    <cellStyle name="Total 3 6 2 2 4" xfId="22157" xr:uid="{3A594805-3C94-423B-A8BA-37751905D861}"/>
    <cellStyle name="Total 3 6 2 2 5" xfId="40426" xr:uid="{1273E5D5-5859-43FE-9E0C-641A1607ECFD}"/>
    <cellStyle name="Total 3 6 2 3" xfId="22158" xr:uid="{1DB0F9EC-39EE-430E-B646-B6415B2F0394}"/>
    <cellStyle name="Total 3 6 2 3 2" xfId="22159" xr:uid="{1084E709-AB83-43A1-A007-64BD991AE0FF}"/>
    <cellStyle name="Total 3 6 2 3 3" xfId="40427" xr:uid="{D8F6D568-EADB-4A42-8E94-B57D7A088BD4}"/>
    <cellStyle name="Total 3 6 2 4" xfId="22160" xr:uid="{4330AFA5-4969-4F15-8FA3-717CF1226EA2}"/>
    <cellStyle name="Total 3 6 2 4 2" xfId="22161" xr:uid="{0471F2A2-E371-43ED-9728-86CE27A900D9}"/>
    <cellStyle name="Total 3 6 2 4 3" xfId="40428" xr:uid="{6FF152DD-9BB7-4C02-8687-804482C694BA}"/>
    <cellStyle name="Total 3 6 2 5" xfId="22162" xr:uid="{29E51B12-4075-43AE-8611-269D80DC09E6}"/>
    <cellStyle name="Total 3 6 2 5 2" xfId="22163" xr:uid="{63621B62-F74A-44E9-A2FC-B178A6D92A98}"/>
    <cellStyle name="Total 3 6 2 5 3" xfId="40429" xr:uid="{673AB1A5-2BAF-4026-83DF-565E93B34618}"/>
    <cellStyle name="Total 3 6 2 6" xfId="22164" xr:uid="{15B04262-830F-46A3-8806-944D1A308DFA}"/>
    <cellStyle name="Total 3 6 2 6 2" xfId="22165" xr:uid="{6E256BCB-C25C-4794-933D-56554E3361A0}"/>
    <cellStyle name="Total 3 6 2 6 3" xfId="40430" xr:uid="{25B8091A-09D5-41AA-869B-C185419006E1}"/>
    <cellStyle name="Total 3 6 2 7" xfId="22166" xr:uid="{C3B84DC3-1A2A-4118-BDA5-1B94321D5073}"/>
    <cellStyle name="Total 3 6 2 7 2" xfId="22167" xr:uid="{29716151-5AD2-407B-87A3-F98563000E0D}"/>
    <cellStyle name="Total 3 6 2 7 3" xfId="40431" xr:uid="{1E73CBCA-4771-4996-BFC7-B09F3289FDA7}"/>
    <cellStyle name="Total 3 6 2 8" xfId="22168" xr:uid="{36C57A34-19D2-4410-BC7D-2AF7784AC3D2}"/>
    <cellStyle name="Total 3 6 2 8 2" xfId="22169" xr:uid="{764E7A9C-86D3-4A3A-B713-D628C57D14CA}"/>
    <cellStyle name="Total 3 6 2 8 3" xfId="40432" xr:uid="{AE9341DD-95B2-4270-BFAD-2ED3F22F13AC}"/>
    <cellStyle name="Total 3 6 2 9" xfId="22170" xr:uid="{53420035-E299-4BD4-9586-408E9394B159}"/>
    <cellStyle name="Total 3 6 2 9 2" xfId="40433" xr:uid="{A8AFA5A2-64EB-49E0-BACC-31EF759BD07B}"/>
    <cellStyle name="Total 3 6 2 9 3" xfId="40434" xr:uid="{11A5A084-90D7-4A89-9092-4C30BB90EE23}"/>
    <cellStyle name="Total 3 6 3" xfId="22171" xr:uid="{BD8A7970-8A9D-42F7-AC15-03C6D3138197}"/>
    <cellStyle name="Total 3 6 3 2" xfId="22172" xr:uid="{538EB52A-B5CF-4CB1-95FB-B3652AC7F6F6}"/>
    <cellStyle name="Total 3 6 3 2 2" xfId="40435" xr:uid="{CFE6844E-19C9-48DC-8058-61ABB1BE8990}"/>
    <cellStyle name="Total 3 6 3 2 3" xfId="40436" xr:uid="{2934B113-AB68-40C1-A958-990A2C7D4594}"/>
    <cellStyle name="Total 3 6 3 2 4" xfId="40437" xr:uid="{1A11BCBD-8F50-4718-8B35-95B79417C097}"/>
    <cellStyle name="Total 3 6 3 3" xfId="22173" xr:uid="{07F3AF61-DBF1-4889-A3CE-F40E698F811C}"/>
    <cellStyle name="Total 3 6 3 3 2" xfId="22174" xr:uid="{CD3F6859-B59F-4290-B066-7548CA69853A}"/>
    <cellStyle name="Total 3 6 3 4" xfId="22175" xr:uid="{DF1D5DE2-5C45-4074-9F26-178E57737C22}"/>
    <cellStyle name="Total 3 6 3 5" xfId="40438" xr:uid="{64A4E0CB-1C96-4EAF-B64C-57E844187F52}"/>
    <cellStyle name="Total 3 6 4" xfId="22176" xr:uid="{8CD73CD6-246D-4E2C-9BDB-3CC0F62FBAD1}"/>
    <cellStyle name="Total 3 6 4 2" xfId="22177" xr:uid="{13F90698-23C3-42D3-B534-A62648E1C93B}"/>
    <cellStyle name="Total 3 6 4 2 2" xfId="40439" xr:uid="{83165713-6188-484C-B6D6-174BB6375967}"/>
    <cellStyle name="Total 3 6 4 2 3" xfId="40440" xr:uid="{0C9A3D41-3AE9-4654-BD4A-15270BE65B13}"/>
    <cellStyle name="Total 3 6 4 3" xfId="22178" xr:uid="{FBE815C8-5816-4D04-AB88-D1854BA74419}"/>
    <cellStyle name="Total 3 6 4 4" xfId="40441" xr:uid="{747081B4-CA93-4FEE-ACFC-C63B204D2DCF}"/>
    <cellStyle name="Total 3 6 4 5" xfId="40442" xr:uid="{CCA17AD5-975C-4672-A7DD-EF4AD24C7521}"/>
    <cellStyle name="Total 3 6 5" xfId="22179" xr:uid="{8B505219-C088-4B89-A0B3-569BDBDC6F47}"/>
    <cellStyle name="Total 3 6 5 2" xfId="22180" xr:uid="{D5017E37-F01C-465D-9428-1ADB6388736D}"/>
    <cellStyle name="Total 3 6 5 2 2" xfId="40443" xr:uid="{B77BBAC7-EB75-4FCA-974F-C94ED9F7ACA7}"/>
    <cellStyle name="Total 3 6 5 2 3" xfId="40444" xr:uid="{9BC8FD2F-C866-4679-8AFD-FC82ABF77447}"/>
    <cellStyle name="Total 3 6 5 3" xfId="40445" xr:uid="{E81ED0C7-3688-47E9-B10A-2ABE1807AC99}"/>
    <cellStyle name="Total 3 6 5 4" xfId="40446" xr:uid="{DC233442-A198-4FA1-9982-62C0343F91C6}"/>
    <cellStyle name="Total 3 6 6" xfId="22181" xr:uid="{6C69B725-CB98-4C2C-A777-31F13DC3F296}"/>
    <cellStyle name="Total 3 6 6 2" xfId="22182" xr:uid="{CED94AA8-BED5-4929-A92A-39EE19E953C6}"/>
    <cellStyle name="Total 3 6 6 3" xfId="40447" xr:uid="{87B510A1-28DA-49B8-BCD9-2819DC988BF1}"/>
    <cellStyle name="Total 3 6 7" xfId="22183" xr:uid="{E6A1AB2E-F5C8-4F71-BC55-D2A729188CF5}"/>
    <cellStyle name="Total 3 6 7 2" xfId="22184" xr:uid="{2B533527-2645-48C1-9AB6-1E1714F1D99B}"/>
    <cellStyle name="Total 3 6 7 3" xfId="40448" xr:uid="{E08B7137-B46D-4254-9635-E5624740508A}"/>
    <cellStyle name="Total 3 6 8" xfId="22185" xr:uid="{BC3DB51F-11A7-47B5-BE99-D9A90FFCA759}"/>
    <cellStyle name="Total 3 6 8 2" xfId="22186" xr:uid="{1DC5275C-ED1F-4090-AB2E-74FB0E830BA4}"/>
    <cellStyle name="Total 3 6 8 3" xfId="40449" xr:uid="{EA6E1A98-C8FB-4A46-90CA-4BC328B648A5}"/>
    <cellStyle name="Total 3 6 9" xfId="22187" xr:uid="{E5DC223A-DA12-4164-9D20-8BEB4BC7D61D}"/>
    <cellStyle name="Total 3 6 9 2" xfId="22188" xr:uid="{588708B2-F03A-4463-A693-1899E3F98E7A}"/>
    <cellStyle name="Total 3 6 9 3" xfId="40450" xr:uid="{8F569E53-B043-4B06-B28E-3A424EF5C77F}"/>
    <cellStyle name="Total 3 7" xfId="22189" xr:uid="{476A7178-E587-430E-8468-A5294A206FB0}"/>
    <cellStyle name="Total 3 7 10" xfId="22190" xr:uid="{C4D4A051-333A-45C5-BC83-4D0DA6A678FA}"/>
    <cellStyle name="Total 3 7 10 2" xfId="40451" xr:uid="{14127BF7-1CF1-41E0-9FCC-58824FF972D5}"/>
    <cellStyle name="Total 3 7 10 3" xfId="40452" xr:uid="{2A216878-9DB3-4BD0-8A83-77BC8A6D9D20}"/>
    <cellStyle name="Total 3 7 11" xfId="22191" xr:uid="{13E5696E-6DA3-4AE0-813F-1A222B8B224D}"/>
    <cellStyle name="Total 3 7 11 2" xfId="40453" xr:uid="{3E4D6776-D642-4B4A-A478-8E1B0282AC3B}"/>
    <cellStyle name="Total 3 7 12" xfId="40454" xr:uid="{0E6C445F-4BC7-42A8-957F-4F7883855210}"/>
    <cellStyle name="Total 3 7 2" xfId="22192" xr:uid="{D53AB559-33D8-44B6-9CA5-FEFB8400978B}"/>
    <cellStyle name="Total 3 7 2 10" xfId="22193" xr:uid="{6DFFDD11-7A8E-4DF7-B224-E214D2B5EFA7}"/>
    <cellStyle name="Total 3 7 2 10 2" xfId="40455" xr:uid="{F8442BA2-49AB-41DA-AAD9-C0ED84113A20}"/>
    <cellStyle name="Total 3 7 2 11" xfId="40456" xr:uid="{886CF628-D3D8-4B84-AAE9-3518830A8719}"/>
    <cellStyle name="Total 3 7 2 2" xfId="22194" xr:uid="{0AC33F83-A342-4ECE-909F-B3C7F1A8566C}"/>
    <cellStyle name="Total 3 7 2 2 2" xfId="22195" xr:uid="{38A5E41D-A36E-45BC-BF70-C59BE957E0C9}"/>
    <cellStyle name="Total 3 7 2 2 2 2" xfId="40457" xr:uid="{C4E972DA-5C9B-4B18-9F69-9B056C737864}"/>
    <cellStyle name="Total 3 7 2 2 2 3" xfId="40458" xr:uid="{9A38C681-C712-41A3-AE9A-CAC57FB595B3}"/>
    <cellStyle name="Total 3 7 2 2 3" xfId="22196" xr:uid="{A12B41F3-A6DA-42F6-9A8F-B5756F8EAB34}"/>
    <cellStyle name="Total 3 7 2 2 3 2" xfId="22197" xr:uid="{06EEB93B-CD1A-42E6-832B-2508DEB8A7ED}"/>
    <cellStyle name="Total 3 7 2 2 4" xfId="22198" xr:uid="{E7D9B036-4F7A-46E3-9C70-7906E69CC1ED}"/>
    <cellStyle name="Total 3 7 2 2 5" xfId="40459" xr:uid="{9B5A3F3B-E952-4A83-AA30-63D39BF48EBA}"/>
    <cellStyle name="Total 3 7 2 3" xfId="22199" xr:uid="{802B9150-7B30-4DB1-B6ED-8736C364E77A}"/>
    <cellStyle name="Total 3 7 2 3 2" xfId="22200" xr:uid="{14A9E087-883C-4543-8C6A-AEB006386F3B}"/>
    <cellStyle name="Total 3 7 2 3 3" xfId="40460" xr:uid="{EDD19E3B-88BD-4510-975F-FD79C64E0DE0}"/>
    <cellStyle name="Total 3 7 2 4" xfId="22201" xr:uid="{DE610F44-BE6B-4623-B229-76FD9A6838EF}"/>
    <cellStyle name="Total 3 7 2 4 2" xfId="22202" xr:uid="{3EAC6AF0-3150-4150-B503-70C592190942}"/>
    <cellStyle name="Total 3 7 2 4 3" xfId="40461" xr:uid="{D49E360F-E172-4E23-A6C6-A33F37B106CE}"/>
    <cellStyle name="Total 3 7 2 5" xfId="22203" xr:uid="{2F9F60DD-6EDD-4E4C-8674-0A12E83F98FC}"/>
    <cellStyle name="Total 3 7 2 5 2" xfId="22204" xr:uid="{08BEB0DE-C06C-4169-BE23-728CD2C239CB}"/>
    <cellStyle name="Total 3 7 2 5 3" xfId="40462" xr:uid="{CE78EF6D-D225-4A44-8E65-5958C4191934}"/>
    <cellStyle name="Total 3 7 2 6" xfId="22205" xr:uid="{E2E6FF40-808C-4424-8B8B-0FC3529B40E0}"/>
    <cellStyle name="Total 3 7 2 6 2" xfId="22206" xr:uid="{136E9319-3309-470D-9AFD-3A1767C5195B}"/>
    <cellStyle name="Total 3 7 2 6 3" xfId="40463" xr:uid="{0EDC42E2-2E27-4B28-9D42-D9991EF7A081}"/>
    <cellStyle name="Total 3 7 2 7" xfId="22207" xr:uid="{096CD658-4457-4645-B783-0154BA15C1D4}"/>
    <cellStyle name="Total 3 7 2 7 2" xfId="22208" xr:uid="{F982548A-7647-42A8-B609-8114919AECD0}"/>
    <cellStyle name="Total 3 7 2 7 3" xfId="40464" xr:uid="{804FCD23-C922-4138-A736-3B05F88559FC}"/>
    <cellStyle name="Total 3 7 2 8" xfId="22209" xr:uid="{EB583B07-1B58-46E7-93F6-9ED7894EA9DB}"/>
    <cellStyle name="Total 3 7 2 8 2" xfId="22210" xr:uid="{FA7ECBEC-77F5-48F6-9469-48D418D8DB0D}"/>
    <cellStyle name="Total 3 7 2 8 3" xfId="40465" xr:uid="{BAED9034-D797-41C2-88C3-3EC55C8049B8}"/>
    <cellStyle name="Total 3 7 2 9" xfId="22211" xr:uid="{7B7C7683-2ED9-44DA-974A-A212DF3B01C3}"/>
    <cellStyle name="Total 3 7 2 9 2" xfId="40466" xr:uid="{9845BF82-E66D-44BC-A47C-1514FB404834}"/>
    <cellStyle name="Total 3 7 2 9 3" xfId="40467" xr:uid="{80F2D6B2-B870-4134-B2C9-3321802384C5}"/>
    <cellStyle name="Total 3 7 3" xfId="22212" xr:uid="{5B4E1833-6FCC-4B41-A370-EE22C589E7D5}"/>
    <cellStyle name="Total 3 7 3 2" xfId="22213" xr:uid="{B64D0B13-4536-4D39-AC55-3F9DB692DE93}"/>
    <cellStyle name="Total 3 7 3 2 2" xfId="40468" xr:uid="{28BFEA63-2600-4EC0-954C-B3D13D46DD51}"/>
    <cellStyle name="Total 3 7 3 2 3" xfId="40469" xr:uid="{F0B33BF9-575E-4C4E-BC4D-BBF18B5C74BF}"/>
    <cellStyle name="Total 3 7 3 2 4" xfId="40470" xr:uid="{155B6F34-66F5-43B5-B30D-941BF8090DD2}"/>
    <cellStyle name="Total 3 7 3 3" xfId="22214" xr:uid="{A99F03D0-A3A9-482A-ABCE-0C977758BED3}"/>
    <cellStyle name="Total 3 7 3 3 2" xfId="22215" xr:uid="{DA78ADE2-AAAD-44EF-830C-9BCFC88CA422}"/>
    <cellStyle name="Total 3 7 3 4" xfId="22216" xr:uid="{35C500C9-D187-4B09-80EC-4FB474DC9D72}"/>
    <cellStyle name="Total 3 7 3 5" xfId="40471" xr:uid="{94018EC9-E16C-4F95-8FCA-3C1FE473A670}"/>
    <cellStyle name="Total 3 7 4" xfId="22217" xr:uid="{5D02BEC1-400C-4068-8E3D-7F1AB047CDC2}"/>
    <cellStyle name="Total 3 7 4 2" xfId="22218" xr:uid="{DB714B07-44BE-4138-9455-6695832C553B}"/>
    <cellStyle name="Total 3 7 4 2 2" xfId="40472" xr:uid="{F85892A5-03C5-4B78-99C9-58B287AA7954}"/>
    <cellStyle name="Total 3 7 4 2 3" xfId="40473" xr:uid="{1D8B45AB-E2FD-43D7-BF40-9FEA2C36EC5B}"/>
    <cellStyle name="Total 3 7 4 3" xfId="22219" xr:uid="{55648FE1-37A4-4552-92BF-A8F81ADB3C3F}"/>
    <cellStyle name="Total 3 7 4 4" xfId="40474" xr:uid="{C456C89C-9255-41E0-BD64-39932C0B35E7}"/>
    <cellStyle name="Total 3 7 4 5" xfId="40475" xr:uid="{4FBE45B5-7EFF-4267-AD19-F4FEB9875785}"/>
    <cellStyle name="Total 3 7 5" xfId="22220" xr:uid="{423ABD86-098C-4240-9281-170D5BB576F9}"/>
    <cellStyle name="Total 3 7 5 2" xfId="22221" xr:uid="{0D9F3E65-8512-411E-B32B-F554F3747809}"/>
    <cellStyle name="Total 3 7 5 2 2" xfId="40476" xr:uid="{E62C2BF8-948F-42F1-B1A0-8611155C6639}"/>
    <cellStyle name="Total 3 7 5 2 3" xfId="40477" xr:uid="{6494FD3A-6129-446F-BB04-EE8D7AE4293B}"/>
    <cellStyle name="Total 3 7 5 3" xfId="40478" xr:uid="{5749B9FF-91B5-41A5-943F-EF64EF098C18}"/>
    <cellStyle name="Total 3 7 5 4" xfId="40479" xr:uid="{4A4ADF48-3641-4076-9E98-AB416F3F3E71}"/>
    <cellStyle name="Total 3 7 6" xfId="22222" xr:uid="{3BB832F6-65F6-46AF-AF95-AC5483978AF6}"/>
    <cellStyle name="Total 3 7 6 2" xfId="22223" xr:uid="{B044A0AB-320F-4B68-9AFC-C315090A1BE2}"/>
    <cellStyle name="Total 3 7 6 3" xfId="40480" xr:uid="{C0312BA8-1B7D-404D-B995-6D45BFD9297D}"/>
    <cellStyle name="Total 3 7 7" xfId="22224" xr:uid="{CEDCB405-F723-4E32-872D-EDDEB75E180B}"/>
    <cellStyle name="Total 3 7 7 2" xfId="22225" xr:uid="{4821973B-70DC-427F-B37E-C4222A35316C}"/>
    <cellStyle name="Total 3 7 7 3" xfId="40481" xr:uid="{76422F49-60FE-4B29-AA98-D80537C3D5B4}"/>
    <cellStyle name="Total 3 7 8" xfId="22226" xr:uid="{85EAD9A7-ABDD-4E9B-90BE-F6F94A9A1E1F}"/>
    <cellStyle name="Total 3 7 8 2" xfId="22227" xr:uid="{A709B3A7-1E87-4222-80E2-97603B3EC84D}"/>
    <cellStyle name="Total 3 7 8 3" xfId="40482" xr:uid="{A1B09D1D-D1E7-4589-80DA-B65BC1D15B13}"/>
    <cellStyle name="Total 3 7 9" xfId="22228" xr:uid="{4D000AE5-3919-41D3-8AC8-FC22DE488E97}"/>
    <cellStyle name="Total 3 7 9 2" xfId="22229" xr:uid="{5DD8E844-2CC7-4E8F-8D69-74BF21492CA2}"/>
    <cellStyle name="Total 3 7 9 3" xfId="40483" xr:uid="{88FA4002-2D29-47DD-B70D-091AC2CF56D1}"/>
    <cellStyle name="Total 3 8" xfId="22230" xr:uid="{1283185C-B75A-45E4-8D15-1F876E636BA8}"/>
    <cellStyle name="Total 3 8 10" xfId="22231" xr:uid="{70F83A87-8BF6-4924-9738-49D1EC449B74}"/>
    <cellStyle name="Total 3 8 10 2" xfId="40484" xr:uid="{59C77D7B-92C3-48BD-8925-F44C78E11D49}"/>
    <cellStyle name="Total 3 8 10 3" xfId="40485" xr:uid="{677398BF-7B0E-4F50-B670-A8266F92014E}"/>
    <cellStyle name="Total 3 8 11" xfId="22232" xr:uid="{10EF9D99-067E-455B-8DE8-266B5CBEF083}"/>
    <cellStyle name="Total 3 8 11 2" xfId="40486" xr:uid="{C39ECC81-DB93-4CD4-9FE4-18B86C23C90C}"/>
    <cellStyle name="Total 3 8 12" xfId="40487" xr:uid="{E2FD9F8F-F6C5-4C68-AAC6-EF6C6F254945}"/>
    <cellStyle name="Total 3 8 2" xfId="22233" xr:uid="{C55686F7-21BC-47DC-89C7-D191B91149DB}"/>
    <cellStyle name="Total 3 8 2 10" xfId="22234" xr:uid="{31608805-AD8B-46EF-9AE5-276212ACF10C}"/>
    <cellStyle name="Total 3 8 2 10 2" xfId="40488" xr:uid="{A74783B2-4BB1-4035-89CE-CBF72DFD974B}"/>
    <cellStyle name="Total 3 8 2 11" xfId="40489" xr:uid="{DCCC5260-5719-425B-BB9E-40C820E64E05}"/>
    <cellStyle name="Total 3 8 2 2" xfId="22235" xr:uid="{6AAC45FB-2380-4130-BDC7-CE597FC0E9DF}"/>
    <cellStyle name="Total 3 8 2 2 2" xfId="22236" xr:uid="{6DA7F805-F226-42C3-819F-B6CC25707A82}"/>
    <cellStyle name="Total 3 8 2 2 2 2" xfId="40490" xr:uid="{0581CF1A-0198-42BE-8412-4F41EADAC02E}"/>
    <cellStyle name="Total 3 8 2 2 2 3" xfId="40491" xr:uid="{4B44AC13-BFA9-49B6-B0B7-328AD699C47A}"/>
    <cellStyle name="Total 3 8 2 2 3" xfId="22237" xr:uid="{29D65157-37C3-4FE3-9775-569622D679E8}"/>
    <cellStyle name="Total 3 8 2 2 3 2" xfId="22238" xr:uid="{8F2D3F55-F3D0-4FE7-9958-A9E548B36E1D}"/>
    <cellStyle name="Total 3 8 2 2 4" xfId="22239" xr:uid="{33CCDF87-EBFF-49F8-94A9-6A67061982DF}"/>
    <cellStyle name="Total 3 8 2 2 5" xfId="40492" xr:uid="{31979088-0B96-4EC3-8C65-E068C2C89CCE}"/>
    <cellStyle name="Total 3 8 2 3" xfId="22240" xr:uid="{A812C73B-336D-42E6-A895-25B4DEB7CB7D}"/>
    <cellStyle name="Total 3 8 2 3 2" xfId="22241" xr:uid="{BC6B55EA-CD3F-4AA8-B944-57EF5D4E65AA}"/>
    <cellStyle name="Total 3 8 2 3 3" xfId="40493" xr:uid="{24B9CEC5-A5DE-45AE-97B8-B80AE962BFD8}"/>
    <cellStyle name="Total 3 8 2 4" xfId="22242" xr:uid="{917F3FBF-24C6-4EE0-81A1-443DEB2DF71F}"/>
    <cellStyle name="Total 3 8 2 4 2" xfId="22243" xr:uid="{C7B4F657-9F5A-45CD-8A48-AD3712DE11CB}"/>
    <cellStyle name="Total 3 8 2 4 3" xfId="40494" xr:uid="{CF447191-F46D-40D7-9612-7AF050842EB3}"/>
    <cellStyle name="Total 3 8 2 5" xfId="22244" xr:uid="{2FA77983-3253-4F6F-8215-C2A01285B299}"/>
    <cellStyle name="Total 3 8 2 5 2" xfId="22245" xr:uid="{F330B09B-3F06-414D-998C-0E1EF2B09196}"/>
    <cellStyle name="Total 3 8 2 5 3" xfId="40495" xr:uid="{39936C9B-59D4-41A8-9C9F-F71C6624EFC1}"/>
    <cellStyle name="Total 3 8 2 6" xfId="22246" xr:uid="{8D00C67D-26FD-41F4-8C3A-6429319F2294}"/>
    <cellStyle name="Total 3 8 2 6 2" xfId="22247" xr:uid="{B9DCE6AA-60BA-4CA0-AFCA-9273428BD377}"/>
    <cellStyle name="Total 3 8 2 6 3" xfId="40496" xr:uid="{CBF15C39-262C-4539-BBD2-73B327D19A8C}"/>
    <cellStyle name="Total 3 8 2 7" xfId="22248" xr:uid="{5F7C9E97-1151-4ADA-BE80-77214B17DD9E}"/>
    <cellStyle name="Total 3 8 2 7 2" xfId="22249" xr:uid="{C6B7F1D2-D4AB-44DE-BD68-AE3685495658}"/>
    <cellStyle name="Total 3 8 2 7 3" xfId="40497" xr:uid="{61BA2730-BFCF-4284-89A1-83E227AC9BC0}"/>
    <cellStyle name="Total 3 8 2 8" xfId="22250" xr:uid="{E2A80CB1-BDDB-4445-9F70-19A8FBE0248A}"/>
    <cellStyle name="Total 3 8 2 8 2" xfId="22251" xr:uid="{D3569AB1-9A0D-48FF-BAAE-4210B1293B68}"/>
    <cellStyle name="Total 3 8 2 8 3" xfId="40498" xr:uid="{AAB073B4-12EC-477C-B92A-149E7A525E38}"/>
    <cellStyle name="Total 3 8 2 9" xfId="22252" xr:uid="{65328F5C-0378-4972-BD4D-20739526B8A8}"/>
    <cellStyle name="Total 3 8 2 9 2" xfId="40499" xr:uid="{D3619661-5FF8-4AD5-8C9F-9CCB5521C5D6}"/>
    <cellStyle name="Total 3 8 2 9 3" xfId="40500" xr:uid="{97ABEE82-333C-4441-8F7F-3A0E3E7B425E}"/>
    <cellStyle name="Total 3 8 3" xfId="22253" xr:uid="{B6063CDD-345D-41D1-AE4F-F40A87CC5D92}"/>
    <cellStyle name="Total 3 8 3 2" xfId="22254" xr:uid="{9A6D4537-3CD1-49CC-A3E1-C97C68AFC108}"/>
    <cellStyle name="Total 3 8 3 2 2" xfId="40501" xr:uid="{F120459C-FE2A-4C1D-930F-1251D7E5ADE3}"/>
    <cellStyle name="Total 3 8 3 2 3" xfId="40502" xr:uid="{4D1732F1-75D8-4FAF-AEDC-41ECCC7AF9C9}"/>
    <cellStyle name="Total 3 8 3 2 4" xfId="40503" xr:uid="{7C8C81CC-17B6-43B6-B755-853A2911238D}"/>
    <cellStyle name="Total 3 8 3 3" xfId="22255" xr:uid="{2127162E-D731-41A4-83F8-4DED8E678689}"/>
    <cellStyle name="Total 3 8 3 3 2" xfId="22256" xr:uid="{1D4051BE-6216-47F5-8A31-03057D7DD19E}"/>
    <cellStyle name="Total 3 8 3 4" xfId="22257" xr:uid="{A486CD0E-8E50-4DD4-A729-3259F3EE21B5}"/>
    <cellStyle name="Total 3 8 3 5" xfId="40504" xr:uid="{72FF552A-6CAF-4267-B9A0-E8EE93915456}"/>
    <cellStyle name="Total 3 8 4" xfId="22258" xr:uid="{9425F3F2-9002-4175-93C4-D46C1FBD627A}"/>
    <cellStyle name="Total 3 8 4 2" xfId="22259" xr:uid="{9E28A3E2-CBC5-4CB8-8FE3-BDE5C723589B}"/>
    <cellStyle name="Total 3 8 4 2 2" xfId="40505" xr:uid="{FCBAE5BF-65B5-4E58-AEA0-D75BEABFE5C3}"/>
    <cellStyle name="Total 3 8 4 2 3" xfId="40506" xr:uid="{6460205A-4E97-42EE-85AD-838FB0C4520A}"/>
    <cellStyle name="Total 3 8 4 3" xfId="22260" xr:uid="{7253CD3B-85AE-42BB-A24E-5FE9B9FEAA58}"/>
    <cellStyle name="Total 3 8 4 4" xfId="40507" xr:uid="{D2DF2C32-BBC4-495D-A899-3C3C3B8BCBEE}"/>
    <cellStyle name="Total 3 8 4 5" xfId="40508" xr:uid="{F0A66B5C-05CC-4C7F-A1C8-92466449B1D4}"/>
    <cellStyle name="Total 3 8 5" xfId="22261" xr:uid="{DD80A932-3E05-4953-8655-E0E99C4FBBAE}"/>
    <cellStyle name="Total 3 8 5 2" xfId="22262" xr:uid="{2C9EAF8A-84F4-4F5C-9D27-271066C8778F}"/>
    <cellStyle name="Total 3 8 5 2 2" xfId="40509" xr:uid="{4D41DA58-D121-4536-8621-A6BAB6D32EE6}"/>
    <cellStyle name="Total 3 8 5 2 3" xfId="40510" xr:uid="{6F013C6B-6CC0-407E-8CDC-2AAA1CA73A51}"/>
    <cellStyle name="Total 3 8 5 3" xfId="40511" xr:uid="{10E41191-4BD3-472B-8834-C2E2551CB233}"/>
    <cellStyle name="Total 3 8 5 4" xfId="40512" xr:uid="{094D2B70-FB33-4D20-90BE-3355A5F1780F}"/>
    <cellStyle name="Total 3 8 6" xfId="22263" xr:uid="{4D12719C-F127-4889-8682-4CDFA626D7DF}"/>
    <cellStyle name="Total 3 8 6 2" xfId="22264" xr:uid="{64BFD594-FB9B-4921-994C-F7EA0C4B06BF}"/>
    <cellStyle name="Total 3 8 6 3" xfId="40513" xr:uid="{10EABB8D-DD4D-4291-A38B-5667C4408F3E}"/>
    <cellStyle name="Total 3 8 7" xfId="22265" xr:uid="{5E599AF9-CA09-4CD4-9E50-F80A8C015296}"/>
    <cellStyle name="Total 3 8 7 2" xfId="22266" xr:uid="{EEF6D1F7-7424-4EE9-A77A-02439162FCFE}"/>
    <cellStyle name="Total 3 8 7 3" xfId="40514" xr:uid="{CBF38DE6-40EE-419F-AB4B-DA4152AF1538}"/>
    <cellStyle name="Total 3 8 8" xfId="22267" xr:uid="{D8EC9E88-EC3E-431C-B410-513C401C72DA}"/>
    <cellStyle name="Total 3 8 8 2" xfId="22268" xr:uid="{693DA947-D7DF-4209-9A3A-1532F93EF1B1}"/>
    <cellStyle name="Total 3 8 8 3" xfId="40515" xr:uid="{7F436528-3B68-4D01-9C38-97EA2C29D2E6}"/>
    <cellStyle name="Total 3 8 9" xfId="22269" xr:uid="{EE09B694-EF15-4FFB-92E5-F1B88D84B4B9}"/>
    <cellStyle name="Total 3 8 9 2" xfId="22270" xr:uid="{2154D22E-2B62-4A93-83B5-D6F2192A8C43}"/>
    <cellStyle name="Total 3 8 9 3" xfId="40516" xr:uid="{F78B9DCB-915A-4CC1-890E-0168BADD42D5}"/>
    <cellStyle name="Total 3 9" xfId="22271" xr:uid="{08E14D9B-6508-4AF5-80F1-886B0378DF5A}"/>
    <cellStyle name="Total 3 9 10" xfId="22272" xr:uid="{BEA17C4A-3C7B-4B3E-8DF4-681E9E818E26}"/>
    <cellStyle name="Total 3 9 10 2" xfId="40517" xr:uid="{479FE87E-927B-4E08-A90A-07A2038B7E44}"/>
    <cellStyle name="Total 3 9 10 3" xfId="40518" xr:uid="{40C2CFF5-204D-4CD5-8C39-AF724970614C}"/>
    <cellStyle name="Total 3 9 11" xfId="22273" xr:uid="{AE5ED0B3-14AA-49E0-999F-2EB67475BE33}"/>
    <cellStyle name="Total 3 9 11 2" xfId="40519" xr:uid="{B82FC8F5-E230-4341-945C-34FA66C7014C}"/>
    <cellStyle name="Total 3 9 12" xfId="40520" xr:uid="{D05AC947-6D81-41AE-9318-4B9C0F5C702D}"/>
    <cellStyle name="Total 3 9 2" xfId="22274" xr:uid="{269333B6-805C-4ACF-A723-FB0F50DF3DD2}"/>
    <cellStyle name="Total 3 9 2 10" xfId="22275" xr:uid="{64DC6B89-E6F9-4685-BCEA-69601731A405}"/>
    <cellStyle name="Total 3 9 2 10 2" xfId="40521" xr:uid="{5795F222-FC4E-4EDE-87CB-85053364CE77}"/>
    <cellStyle name="Total 3 9 2 11" xfId="40522" xr:uid="{0E8EDEA1-6FAA-4C28-AC3F-C986DDF0C0BC}"/>
    <cellStyle name="Total 3 9 2 2" xfId="22276" xr:uid="{D9CC5909-CE58-4C26-A90A-26A4F0906F98}"/>
    <cellStyle name="Total 3 9 2 2 2" xfId="22277" xr:uid="{FFBFB196-C47C-415F-8357-51F44A6B5D55}"/>
    <cellStyle name="Total 3 9 2 2 2 2" xfId="40523" xr:uid="{FC18D08D-7AF6-48CE-96E9-4E4DFDFF0CB0}"/>
    <cellStyle name="Total 3 9 2 2 2 3" xfId="40524" xr:uid="{9FA6D558-FB3D-49DC-B4E2-18730892566E}"/>
    <cellStyle name="Total 3 9 2 2 3" xfId="22278" xr:uid="{B8B58F0F-D954-4B22-8998-CD86C4C34E08}"/>
    <cellStyle name="Total 3 9 2 2 3 2" xfId="22279" xr:uid="{32D004C9-16B8-44F5-A7A3-399594290B71}"/>
    <cellStyle name="Total 3 9 2 2 4" xfId="22280" xr:uid="{A915F146-936C-402E-B5DF-C608B978CE4D}"/>
    <cellStyle name="Total 3 9 2 2 5" xfId="40525" xr:uid="{178EE9D8-0A1D-4A4C-A18D-701D3A7FBD27}"/>
    <cellStyle name="Total 3 9 2 3" xfId="22281" xr:uid="{0798BAE3-D36E-46CE-BD40-05AE1F924A0E}"/>
    <cellStyle name="Total 3 9 2 3 2" xfId="22282" xr:uid="{5016A2DE-355F-40EC-8BFE-6E2FA2D1E98E}"/>
    <cellStyle name="Total 3 9 2 3 3" xfId="40526" xr:uid="{4C63275C-BDCD-40DF-8EB2-416CBF935539}"/>
    <cellStyle name="Total 3 9 2 4" xfId="22283" xr:uid="{301BD70F-6FE6-4406-84FD-37721BAB6235}"/>
    <cellStyle name="Total 3 9 2 4 2" xfId="22284" xr:uid="{C003313D-50B7-4DC1-8506-F0750990B19A}"/>
    <cellStyle name="Total 3 9 2 4 3" xfId="40527" xr:uid="{734AEDAD-FB06-4A80-83A2-350FC72FE337}"/>
    <cellStyle name="Total 3 9 2 5" xfId="22285" xr:uid="{B6E4DBB0-D465-488E-92D8-47B88C763BC4}"/>
    <cellStyle name="Total 3 9 2 5 2" xfId="22286" xr:uid="{2AB23F30-9D7F-4278-AFE1-1B50A9C9866C}"/>
    <cellStyle name="Total 3 9 2 5 3" xfId="40528" xr:uid="{47C06B2A-17ED-4B9B-8F8E-6C69C65DE782}"/>
    <cellStyle name="Total 3 9 2 6" xfId="22287" xr:uid="{7091C65A-F415-41E8-AB29-68B6716571BE}"/>
    <cellStyle name="Total 3 9 2 6 2" xfId="22288" xr:uid="{996E5E45-3E00-48EB-9EA9-645C20EB40D3}"/>
    <cellStyle name="Total 3 9 2 6 3" xfId="40529" xr:uid="{12EBDD7A-F2D7-45B1-9701-BD0EE32C2C4B}"/>
    <cellStyle name="Total 3 9 2 7" xfId="22289" xr:uid="{DC057B51-FE1E-4DD8-88DE-66F2A6E0352A}"/>
    <cellStyle name="Total 3 9 2 7 2" xfId="22290" xr:uid="{FE39CFCC-3F34-4DD8-B063-7BABB45D50A8}"/>
    <cellStyle name="Total 3 9 2 7 3" xfId="40530" xr:uid="{35DFB247-FA1E-487C-93E1-513E1FDF31E3}"/>
    <cellStyle name="Total 3 9 2 8" xfId="22291" xr:uid="{596C0768-9F39-4F13-A378-1D4051D647A7}"/>
    <cellStyle name="Total 3 9 2 8 2" xfId="22292" xr:uid="{D83ED425-46BE-450A-9AD4-C173D4770F3A}"/>
    <cellStyle name="Total 3 9 2 8 3" xfId="40531" xr:uid="{9A0DC847-CF3C-48A0-844A-F1B953F295E4}"/>
    <cellStyle name="Total 3 9 2 9" xfId="22293" xr:uid="{A9343A36-E15C-4294-8D39-2364AF682410}"/>
    <cellStyle name="Total 3 9 2 9 2" xfId="40532" xr:uid="{B36D6740-7D0B-4ADE-BD1A-BF24D75AAEA3}"/>
    <cellStyle name="Total 3 9 2 9 3" xfId="40533" xr:uid="{9B0D67F8-33BF-4F06-B60F-9B9199FDF535}"/>
    <cellStyle name="Total 3 9 3" xfId="22294" xr:uid="{0ED34F4D-E601-4582-99FD-7CF52C888922}"/>
    <cellStyle name="Total 3 9 3 2" xfId="22295" xr:uid="{C9ED05EB-A8E8-485D-91EE-F25D600CC018}"/>
    <cellStyle name="Total 3 9 3 2 2" xfId="40534" xr:uid="{B43E96F1-5D22-47A0-9996-B03711252C16}"/>
    <cellStyle name="Total 3 9 3 2 3" xfId="40535" xr:uid="{0D602CF5-B8F8-485E-8CAE-99FDF64B3720}"/>
    <cellStyle name="Total 3 9 3 2 4" xfId="40536" xr:uid="{CD8CB556-9851-45C7-AEE9-A29246C6C5BF}"/>
    <cellStyle name="Total 3 9 3 3" xfId="22296" xr:uid="{4EA2A95D-A440-4536-AB30-4725799287AB}"/>
    <cellStyle name="Total 3 9 3 3 2" xfId="22297" xr:uid="{AAD24260-B5FC-4A8D-AAD4-28ECEA897468}"/>
    <cellStyle name="Total 3 9 3 4" xfId="22298" xr:uid="{16F58304-790F-4DC8-885B-54235E56FF8F}"/>
    <cellStyle name="Total 3 9 3 5" xfId="40537" xr:uid="{D9B8CB62-CD34-4D12-BE9C-8C9B36794FA6}"/>
    <cellStyle name="Total 3 9 4" xfId="22299" xr:uid="{862479D2-2F9B-437F-AD4F-4278CE9457FD}"/>
    <cellStyle name="Total 3 9 4 2" xfId="22300" xr:uid="{B447D362-2C8E-4FF2-A7C4-B3E7CE904A3E}"/>
    <cellStyle name="Total 3 9 4 2 2" xfId="40538" xr:uid="{A37DBFD4-9F4B-407A-83D1-7711BC7D1DC3}"/>
    <cellStyle name="Total 3 9 4 2 3" xfId="40539" xr:uid="{80ADE4F9-361A-416A-91C4-DFF83E3BEFAC}"/>
    <cellStyle name="Total 3 9 4 3" xfId="22301" xr:uid="{9F7FBCAF-71BC-4A5F-9CD8-C51B3573A6AC}"/>
    <cellStyle name="Total 3 9 4 4" xfId="40540" xr:uid="{C14B9581-A63A-42FF-8BB9-5B64B47B7D9E}"/>
    <cellStyle name="Total 3 9 4 5" xfId="40541" xr:uid="{3C26924F-145E-4705-BC0F-BC9F46A5F607}"/>
    <cellStyle name="Total 3 9 5" xfId="22302" xr:uid="{B00CF390-D094-47FB-A659-392CBF4340BA}"/>
    <cellStyle name="Total 3 9 5 2" xfId="22303" xr:uid="{F21F50E6-5DD6-497B-8F2A-B09F6F7B3803}"/>
    <cellStyle name="Total 3 9 5 2 2" xfId="40542" xr:uid="{C6A3803E-CDF6-413B-AE2A-3ED388CE9808}"/>
    <cellStyle name="Total 3 9 5 2 3" xfId="40543" xr:uid="{B84C03FB-81C6-47BC-B937-2C62B434D4AA}"/>
    <cellStyle name="Total 3 9 5 3" xfId="40544" xr:uid="{629330E9-44DE-49A9-AB32-A9279F052B51}"/>
    <cellStyle name="Total 3 9 5 4" xfId="40545" xr:uid="{C7FE1A72-AD1F-425B-99CC-47E4D660597E}"/>
    <cellStyle name="Total 3 9 6" xfId="22304" xr:uid="{31688E49-624D-4341-9332-4BECBFB3FB48}"/>
    <cellStyle name="Total 3 9 6 2" xfId="22305" xr:uid="{6D3040CB-F9AB-486B-AC24-4F2DD127D8B6}"/>
    <cellStyle name="Total 3 9 6 3" xfId="40546" xr:uid="{D3B08CC2-63FF-49D1-AE4F-B70C614560C8}"/>
    <cellStyle name="Total 3 9 7" xfId="22306" xr:uid="{7F76B978-B61A-42AC-A750-D98A461B41AE}"/>
    <cellStyle name="Total 3 9 7 2" xfId="22307" xr:uid="{551957AE-8D26-48D8-9709-848BA87FB497}"/>
    <cellStyle name="Total 3 9 7 3" xfId="40547" xr:uid="{57147029-F73B-4FBA-A4CC-4BE40E06CAAF}"/>
    <cellStyle name="Total 3 9 8" xfId="22308" xr:uid="{91D16BFC-E1C9-4E04-9FD6-3484DFB13685}"/>
    <cellStyle name="Total 3 9 8 2" xfId="22309" xr:uid="{016A7E34-C40F-4EA1-A07A-785B3F1A42E7}"/>
    <cellStyle name="Total 3 9 8 3" xfId="40548" xr:uid="{A897F41B-4FA4-45E0-B84C-4E734EC8CC31}"/>
    <cellStyle name="Total 3 9 9" xfId="22310" xr:uid="{68873D0E-1CCF-4F62-9468-2FA75A8C8D9D}"/>
    <cellStyle name="Total 3 9 9 2" xfId="22311" xr:uid="{07BE9275-8C2A-4DFA-90F3-7E326F66869A}"/>
    <cellStyle name="Total 3 9 9 3" xfId="40549" xr:uid="{BD142B08-4214-4B3E-B3DD-1A44A5048B89}"/>
    <cellStyle name="Total 30" xfId="40550" xr:uid="{A15FECB7-3369-41B0-B82A-C96ED8A69A91}"/>
    <cellStyle name="Total 31" xfId="40551" xr:uid="{4069CDC0-7896-4EA9-91C3-B327539DB3F6}"/>
    <cellStyle name="Total 32" xfId="40552" xr:uid="{00AF5DDB-8B1A-4F53-BDFB-522ED382775B}"/>
    <cellStyle name="Total 33" xfId="40553" xr:uid="{4C33DC41-58B0-406D-BB15-BED0C884C656}"/>
    <cellStyle name="Total 34" xfId="40554" xr:uid="{4BB319EC-9601-444B-A886-5863CBABB773}"/>
    <cellStyle name="Total 35" xfId="40555" xr:uid="{392EDE4E-F71A-47CB-9278-502047040C06}"/>
    <cellStyle name="Total 36" xfId="40556" xr:uid="{7A07E1A9-0F78-47BA-8D2B-8D71C28E8786}"/>
    <cellStyle name="Total 37" xfId="40557" xr:uid="{301C97C2-E008-462D-AC70-25AF1BA9CCD7}"/>
    <cellStyle name="Total 38" xfId="40558" xr:uid="{D895900F-D97C-495A-A2CE-B4578098ADDE}"/>
    <cellStyle name="Total 39" xfId="40559" xr:uid="{AFE56AFF-791B-409E-BD87-27E174B4956E}"/>
    <cellStyle name="Total 4" xfId="22312" xr:uid="{09C75C3B-B617-49AA-B328-2FCE988EA1F0}"/>
    <cellStyle name="Total 4 10" xfId="22313" xr:uid="{BE0BACFE-C1A1-46F6-93EB-66B8064C17D9}"/>
    <cellStyle name="Total 4 10 10" xfId="22314" xr:uid="{AAF11001-F73A-43A7-AF28-E4549F1CA231}"/>
    <cellStyle name="Total 4 10 10 2" xfId="40560" xr:uid="{A9999017-EC44-443B-AF3D-5FE264C452D3}"/>
    <cellStyle name="Total 4 10 10 3" xfId="40561" xr:uid="{0D419E13-77E9-4C77-BB68-C7480F287122}"/>
    <cellStyle name="Total 4 10 11" xfId="22315" xr:uid="{683F61B7-594A-4F2E-BBB2-893620F7E493}"/>
    <cellStyle name="Total 4 10 11 2" xfId="40562" xr:uid="{7916DDAF-9A69-480D-953D-3DF5A3593A51}"/>
    <cellStyle name="Total 4 10 12" xfId="40563" xr:uid="{DA921981-2671-40FA-AADD-59D50A66C79F}"/>
    <cellStyle name="Total 4 10 2" xfId="22316" xr:uid="{D3D45DB1-35DD-4224-A6A4-3F12E3D24983}"/>
    <cellStyle name="Total 4 10 2 10" xfId="22317" xr:uid="{0C701D37-A4F1-4069-BE75-0111B786868D}"/>
    <cellStyle name="Total 4 10 2 10 2" xfId="40564" xr:uid="{E4993F9C-2B99-4DB1-8D68-255DD16BD11E}"/>
    <cellStyle name="Total 4 10 2 11" xfId="40565" xr:uid="{568CA53C-FF11-44F8-BEB6-71204930A3EA}"/>
    <cellStyle name="Total 4 10 2 2" xfId="22318" xr:uid="{0B642EAC-FDD1-4D32-9FFE-504E20B40792}"/>
    <cellStyle name="Total 4 10 2 2 2" xfId="22319" xr:uid="{8B68B0CE-94F5-4081-890F-C6AE51AF591B}"/>
    <cellStyle name="Total 4 10 2 2 2 2" xfId="40566" xr:uid="{114C1273-0A43-46DF-9A04-61139366B183}"/>
    <cellStyle name="Total 4 10 2 2 2 3" xfId="40567" xr:uid="{1CB6287C-9FD0-4453-B231-973FDF8CCB6B}"/>
    <cellStyle name="Total 4 10 2 2 3" xfId="22320" xr:uid="{473F32D5-7170-4BF8-9350-91F1C79C1728}"/>
    <cellStyle name="Total 4 10 2 2 3 2" xfId="22321" xr:uid="{D98510A5-7D6D-455C-89A2-6986B3901E8A}"/>
    <cellStyle name="Total 4 10 2 2 4" xfId="22322" xr:uid="{7B56D3F6-2931-4444-9EEF-0F0BE9437FB9}"/>
    <cellStyle name="Total 4 10 2 2 5" xfId="40568" xr:uid="{66C8E2EB-3C71-4F2E-9987-435F26DBA178}"/>
    <cellStyle name="Total 4 10 2 3" xfId="22323" xr:uid="{3E26ED55-17DB-4857-968A-84CB3F0FFE61}"/>
    <cellStyle name="Total 4 10 2 3 2" xfId="22324" xr:uid="{AE184D2D-2CE1-40BB-AF67-9308A4E1087B}"/>
    <cellStyle name="Total 4 10 2 3 3" xfId="40569" xr:uid="{0367E133-8D74-4B08-A30E-0BE2861631B9}"/>
    <cellStyle name="Total 4 10 2 4" xfId="22325" xr:uid="{035ACC37-6503-487C-B520-DEEDB707DF36}"/>
    <cellStyle name="Total 4 10 2 4 2" xfId="22326" xr:uid="{C27DDD51-64B4-4E1D-9256-073BE8F0934B}"/>
    <cellStyle name="Total 4 10 2 4 3" xfId="40570" xr:uid="{CAC4C125-416C-4D2A-94F8-22EF9C3A196E}"/>
    <cellStyle name="Total 4 10 2 5" xfId="22327" xr:uid="{EFB63AF4-A40D-4076-8638-5940C0E8A183}"/>
    <cellStyle name="Total 4 10 2 5 2" xfId="22328" xr:uid="{2998C40B-C4D6-41DC-8FA0-96AB19B0D53B}"/>
    <cellStyle name="Total 4 10 2 5 3" xfId="40571" xr:uid="{61253D77-699D-48E9-8E31-97C688E34E8F}"/>
    <cellStyle name="Total 4 10 2 6" xfId="22329" xr:uid="{D437BA77-A1C4-49E7-A04F-F192A54E4A13}"/>
    <cellStyle name="Total 4 10 2 6 2" xfId="22330" xr:uid="{624FCDF8-A9E2-4076-8493-C1D38300B730}"/>
    <cellStyle name="Total 4 10 2 6 3" xfId="40572" xr:uid="{54F4CFEC-A4C6-45E6-8FAF-9BFCABA4A59B}"/>
    <cellStyle name="Total 4 10 2 7" xfId="22331" xr:uid="{64179DC5-36FB-4174-A01F-36B08A77CD49}"/>
    <cellStyle name="Total 4 10 2 7 2" xfId="22332" xr:uid="{EBBF9376-D38A-449E-9EBB-21BAC370005B}"/>
    <cellStyle name="Total 4 10 2 7 3" xfId="40573" xr:uid="{59A98AB4-15FA-4240-BAAA-881C5899A425}"/>
    <cellStyle name="Total 4 10 2 8" xfId="22333" xr:uid="{384034D5-369D-411B-984C-84854A1E67D9}"/>
    <cellStyle name="Total 4 10 2 8 2" xfId="22334" xr:uid="{30827BC0-67CF-4B67-81B1-E26F8692D17D}"/>
    <cellStyle name="Total 4 10 2 8 3" xfId="40574" xr:uid="{89CBB6B6-CCEE-4C26-BB9A-5211945B6086}"/>
    <cellStyle name="Total 4 10 2 9" xfId="22335" xr:uid="{74CA02AD-2F37-4D6A-95EA-CE3AF3FFED49}"/>
    <cellStyle name="Total 4 10 2 9 2" xfId="40575" xr:uid="{80D3ACFC-E7FD-4CCD-A830-4821A0110475}"/>
    <cellStyle name="Total 4 10 2 9 3" xfId="40576" xr:uid="{C2983864-8CB1-4E2C-BC52-742F060BFC6B}"/>
    <cellStyle name="Total 4 10 3" xfId="22336" xr:uid="{228BBD5C-B063-4387-8D50-4FB7DB08BA09}"/>
    <cellStyle name="Total 4 10 3 2" xfId="22337" xr:uid="{B3CC8055-D506-4AA6-B138-4D2ACE745E9C}"/>
    <cellStyle name="Total 4 10 3 2 2" xfId="40577" xr:uid="{184C9458-2694-4593-9C27-E0B1BA455C32}"/>
    <cellStyle name="Total 4 10 3 2 3" xfId="40578" xr:uid="{68EE49DC-EA27-4F12-BF05-226E37F5B25E}"/>
    <cellStyle name="Total 4 10 3 2 4" xfId="40579" xr:uid="{2B771712-A238-417C-BDED-E083FCF9FFB0}"/>
    <cellStyle name="Total 4 10 3 3" xfId="22338" xr:uid="{4AE51709-3887-4393-A4E0-05723CBFF062}"/>
    <cellStyle name="Total 4 10 3 3 2" xfId="22339" xr:uid="{4B4C780A-56AE-48EA-9FF5-383EFD64185D}"/>
    <cellStyle name="Total 4 10 3 4" xfId="22340" xr:uid="{6BCA5CF8-CECA-47B2-8827-704CF76049E6}"/>
    <cellStyle name="Total 4 10 3 5" xfId="40580" xr:uid="{2B062A57-09B3-4630-9FDE-9FEED2E8F569}"/>
    <cellStyle name="Total 4 10 4" xfId="22341" xr:uid="{DC2FFCBB-695B-4412-A878-CDCB68E9946A}"/>
    <cellStyle name="Total 4 10 4 2" xfId="22342" xr:uid="{7DAB0840-FD39-4164-9626-D04AB72634FB}"/>
    <cellStyle name="Total 4 10 4 2 2" xfId="40581" xr:uid="{42BA37A8-8EB9-43F0-BC77-82A028CEA031}"/>
    <cellStyle name="Total 4 10 4 2 3" xfId="40582" xr:uid="{356B14C5-2151-4FB9-A4CC-EB5B461CA541}"/>
    <cellStyle name="Total 4 10 4 3" xfId="22343" xr:uid="{759BC390-3C99-4C38-A8E5-FEA3FD2C9F3D}"/>
    <cellStyle name="Total 4 10 4 4" xfId="40583" xr:uid="{80EED2B7-EDBD-48F7-BD55-6EBFC68E3280}"/>
    <cellStyle name="Total 4 10 4 5" xfId="40584" xr:uid="{03E9D574-A26F-421E-A684-C09A8EEF2DA6}"/>
    <cellStyle name="Total 4 10 5" xfId="22344" xr:uid="{2B707BB9-BCFB-4D7D-A463-0428973DF30E}"/>
    <cellStyle name="Total 4 10 5 2" xfId="22345" xr:uid="{0348C950-63A3-414E-9CD0-DF282575C9B3}"/>
    <cellStyle name="Total 4 10 5 2 2" xfId="40585" xr:uid="{866A566A-9A37-431F-8CD2-D37A86AA0B49}"/>
    <cellStyle name="Total 4 10 5 2 3" xfId="40586" xr:uid="{3160C933-3073-40F5-B7A6-9057F7C23BAD}"/>
    <cellStyle name="Total 4 10 5 3" xfId="40587" xr:uid="{03C876D1-5EBE-4A70-91CB-AE3F93A53493}"/>
    <cellStyle name="Total 4 10 5 4" xfId="40588" xr:uid="{5F42ADDE-039A-4918-A3F9-E97301404CED}"/>
    <cellStyle name="Total 4 10 6" xfId="22346" xr:uid="{CC90E955-2359-4536-9E60-20803E1394B8}"/>
    <cellStyle name="Total 4 10 6 2" xfId="22347" xr:uid="{091A950D-F4A2-40AC-BD37-2CC8A164E2E9}"/>
    <cellStyle name="Total 4 10 6 3" xfId="40589" xr:uid="{7B4E4F63-3661-42ED-8DE4-B576D46CAF7F}"/>
    <cellStyle name="Total 4 10 7" xfId="22348" xr:uid="{3C4D9304-FCED-4CC7-9531-3BB74A1A6633}"/>
    <cellStyle name="Total 4 10 7 2" xfId="22349" xr:uid="{1DA7B6AE-C2CA-494F-9DFB-3B4F9039260A}"/>
    <cellStyle name="Total 4 10 7 3" xfId="40590" xr:uid="{F0EB07BA-D725-4D3D-AFE4-C3CAEE97F838}"/>
    <cellStyle name="Total 4 10 8" xfId="22350" xr:uid="{9A81BEE1-83B2-42B8-B288-59046754B5D4}"/>
    <cellStyle name="Total 4 10 8 2" xfId="22351" xr:uid="{3093EBBB-A57F-467A-984C-75CEA138D234}"/>
    <cellStyle name="Total 4 10 8 3" xfId="40591" xr:uid="{0629C4B6-825D-4A63-9A3F-AAD90A645BED}"/>
    <cellStyle name="Total 4 10 9" xfId="22352" xr:uid="{135723DC-4CFA-4B02-97FB-1B7656481275}"/>
    <cellStyle name="Total 4 10 9 2" xfId="22353" xr:uid="{E47DF51A-3AFE-41B7-BDF3-1DF53225AB9C}"/>
    <cellStyle name="Total 4 10 9 3" xfId="40592" xr:uid="{634BD5C4-E814-45D5-A2F8-0287AFF5592C}"/>
    <cellStyle name="Total 4 11" xfId="22354" xr:uid="{CFD621DE-D0DA-4324-BDEE-1B4188F7E986}"/>
    <cellStyle name="Total 4 11 10" xfId="22355" xr:uid="{ACA042A1-8DDB-4CE0-B50E-2CE78D777192}"/>
    <cellStyle name="Total 4 11 10 2" xfId="40593" xr:uid="{E5559889-27C6-42FB-860C-85DF842EE0E6}"/>
    <cellStyle name="Total 4 11 10 3" xfId="40594" xr:uid="{872D2104-C213-4B51-BB37-8ED3707F46D1}"/>
    <cellStyle name="Total 4 11 11" xfId="22356" xr:uid="{E73A0DED-5C46-423E-B27B-B2E899F86152}"/>
    <cellStyle name="Total 4 11 11 2" xfId="40595" xr:uid="{808D708B-9987-49F9-A757-05F532D20889}"/>
    <cellStyle name="Total 4 11 12" xfId="40596" xr:uid="{3F202040-289C-4F46-9D11-2062938427B9}"/>
    <cellStyle name="Total 4 11 2" xfId="22357" xr:uid="{6205E69A-23B1-4184-BD10-10879E63BD5B}"/>
    <cellStyle name="Total 4 11 2 10" xfId="22358" xr:uid="{21DB5565-4960-446F-AC8E-B3B9C1E3768D}"/>
    <cellStyle name="Total 4 11 2 10 2" xfId="40597" xr:uid="{82B17B5B-51B2-442D-9DFC-E153B218A6D7}"/>
    <cellStyle name="Total 4 11 2 11" xfId="40598" xr:uid="{4646D62A-DCE4-4D8D-8DD8-C62640775AC4}"/>
    <cellStyle name="Total 4 11 2 2" xfId="22359" xr:uid="{7592F710-8ED1-4537-A375-6FCB5ED1EAA4}"/>
    <cellStyle name="Total 4 11 2 2 2" xfId="22360" xr:uid="{4A5676F3-540F-4EAD-8D79-AD554C3D28BD}"/>
    <cellStyle name="Total 4 11 2 2 2 2" xfId="40599" xr:uid="{4DD3AA27-98E6-44F7-B915-3A3A3B824DFD}"/>
    <cellStyle name="Total 4 11 2 2 2 3" xfId="40600" xr:uid="{961194F6-3AEF-4120-9B2C-BABF7FB7E963}"/>
    <cellStyle name="Total 4 11 2 2 3" xfId="22361" xr:uid="{EA35D68B-D3B0-4E5C-8849-757042C15789}"/>
    <cellStyle name="Total 4 11 2 2 3 2" xfId="22362" xr:uid="{B86EA9B6-A9DE-47B5-93B8-08A5E95ED2F6}"/>
    <cellStyle name="Total 4 11 2 2 4" xfId="22363" xr:uid="{173CB45C-98EC-47A7-947B-F98227482DCF}"/>
    <cellStyle name="Total 4 11 2 2 5" xfId="40601" xr:uid="{4BC6A597-CA80-4453-BADF-3CC5ED44D8DE}"/>
    <cellStyle name="Total 4 11 2 3" xfId="22364" xr:uid="{35D06D04-CA95-495F-8352-592D49159647}"/>
    <cellStyle name="Total 4 11 2 3 2" xfId="22365" xr:uid="{0A20B508-533A-46BD-85FE-154307FB8678}"/>
    <cellStyle name="Total 4 11 2 3 3" xfId="40602" xr:uid="{61C6CBC9-B2F1-4F92-A697-6D93FDC519FB}"/>
    <cellStyle name="Total 4 11 2 4" xfId="22366" xr:uid="{2B7EB0B9-1689-4CB6-BEAB-A6245368A320}"/>
    <cellStyle name="Total 4 11 2 4 2" xfId="22367" xr:uid="{B9756ED8-45E1-4F2D-B6EA-96F9AD7B702D}"/>
    <cellStyle name="Total 4 11 2 4 3" xfId="40603" xr:uid="{4A49E0D1-BA8D-4D19-B025-C8A7516CA8A6}"/>
    <cellStyle name="Total 4 11 2 5" xfId="22368" xr:uid="{E6B11605-09BB-4281-9C80-042F8C3A04C8}"/>
    <cellStyle name="Total 4 11 2 5 2" xfId="22369" xr:uid="{19334D88-C9B2-4151-A3BB-487DEC6664A0}"/>
    <cellStyle name="Total 4 11 2 5 3" xfId="40604" xr:uid="{1FA7DD2C-EEB0-48FA-98E5-64597AE0A07A}"/>
    <cellStyle name="Total 4 11 2 6" xfId="22370" xr:uid="{6CAF2AD1-F242-4F9E-B75D-13F12B1F091A}"/>
    <cellStyle name="Total 4 11 2 6 2" xfId="22371" xr:uid="{9B04D7F3-E33E-4D0A-AAD8-968D5E2F9F3F}"/>
    <cellStyle name="Total 4 11 2 6 3" xfId="40605" xr:uid="{D7C65A0A-D935-40FB-9E14-A6641422A955}"/>
    <cellStyle name="Total 4 11 2 7" xfId="22372" xr:uid="{BBD3116B-9EB5-4768-BC82-8A809AB237CB}"/>
    <cellStyle name="Total 4 11 2 7 2" xfId="22373" xr:uid="{00CE57F2-F20A-4358-8626-BE50083C76F7}"/>
    <cellStyle name="Total 4 11 2 7 3" xfId="40606" xr:uid="{F50F8F3B-3459-481D-9518-319451D12C60}"/>
    <cellStyle name="Total 4 11 2 8" xfId="22374" xr:uid="{F22388CE-C28F-439B-8EBC-74A1565AF5F3}"/>
    <cellStyle name="Total 4 11 2 8 2" xfId="22375" xr:uid="{E6ED3928-CCDD-4E19-9209-F7C9524FB180}"/>
    <cellStyle name="Total 4 11 2 8 3" xfId="40607" xr:uid="{08E393ED-E905-4ECE-8E98-A927481DFD18}"/>
    <cellStyle name="Total 4 11 2 9" xfId="22376" xr:uid="{45A27BC6-2963-46C2-A24E-E6DFB5756A13}"/>
    <cellStyle name="Total 4 11 2 9 2" xfId="40608" xr:uid="{0F001F43-F2FD-4C78-BB41-F629E29C47A5}"/>
    <cellStyle name="Total 4 11 2 9 3" xfId="40609" xr:uid="{1BCC448C-1FED-47BE-B5B0-FFB55D73ADD5}"/>
    <cellStyle name="Total 4 11 3" xfId="22377" xr:uid="{FD9510BD-51F3-4A11-AEC6-3F7C2EA598EB}"/>
    <cellStyle name="Total 4 11 3 2" xfId="22378" xr:uid="{C3D9A13C-DC0C-46C5-AC8F-1F09D226C3BD}"/>
    <cellStyle name="Total 4 11 3 2 2" xfId="40610" xr:uid="{3B239564-7AE3-4901-8C39-27C899F42EC8}"/>
    <cellStyle name="Total 4 11 3 2 3" xfId="40611" xr:uid="{34DE6845-A2E2-48B8-BD62-426B865F98FA}"/>
    <cellStyle name="Total 4 11 3 2 4" xfId="40612" xr:uid="{CF0C91E6-C201-4C18-B597-86D3B04F7145}"/>
    <cellStyle name="Total 4 11 3 3" xfId="22379" xr:uid="{B2A1E0E9-F81D-46C8-A6B4-73E170D3FE49}"/>
    <cellStyle name="Total 4 11 3 3 2" xfId="22380" xr:uid="{7E318825-A198-40DD-B5A3-3EA5A25015AD}"/>
    <cellStyle name="Total 4 11 3 4" xfId="22381" xr:uid="{0A0B93A4-53AC-4074-9C38-059481736F18}"/>
    <cellStyle name="Total 4 11 3 5" xfId="40613" xr:uid="{C1AF7F18-1F21-4BC2-9E5D-0BC44353E5FD}"/>
    <cellStyle name="Total 4 11 4" xfId="22382" xr:uid="{59B86A04-0438-433E-AEE6-0217299100A9}"/>
    <cellStyle name="Total 4 11 4 2" xfId="22383" xr:uid="{75BB6EA4-92D1-4C8D-B2A2-A85F0ACD28D5}"/>
    <cellStyle name="Total 4 11 4 2 2" xfId="40614" xr:uid="{97A7FEC5-C116-4D88-BDA2-E29F502430F3}"/>
    <cellStyle name="Total 4 11 4 2 3" xfId="40615" xr:uid="{F4AFE8FC-C31E-44F0-AB23-F2C54AF78AEC}"/>
    <cellStyle name="Total 4 11 4 3" xfId="22384" xr:uid="{49B8B18D-0A32-4161-A408-60810E55D483}"/>
    <cellStyle name="Total 4 11 4 4" xfId="40616" xr:uid="{0D5237A5-C65D-480D-84B3-E3F8CC62B9BF}"/>
    <cellStyle name="Total 4 11 4 5" xfId="40617" xr:uid="{D2D38640-04AF-4948-80D5-88B30743C7C4}"/>
    <cellStyle name="Total 4 11 5" xfId="22385" xr:uid="{8953D5DC-7318-4CE0-A4A8-5796A18C0679}"/>
    <cellStyle name="Total 4 11 5 2" xfId="22386" xr:uid="{94A57256-0094-4B55-A018-C33E0341E8FC}"/>
    <cellStyle name="Total 4 11 5 2 2" xfId="40618" xr:uid="{BFEB66CF-2E8F-44C8-8A11-E404B4EE374F}"/>
    <cellStyle name="Total 4 11 5 2 3" xfId="40619" xr:uid="{2C8C81D7-CE77-41FF-AB1C-961D511357CA}"/>
    <cellStyle name="Total 4 11 5 3" xfId="40620" xr:uid="{0747980D-2AED-4BD6-A2EC-5E2A3D882539}"/>
    <cellStyle name="Total 4 11 5 4" xfId="40621" xr:uid="{2C6A4743-6031-4D6C-A52B-B627E8F23EC4}"/>
    <cellStyle name="Total 4 11 6" xfId="22387" xr:uid="{CDD44A78-8576-45AB-A8E9-9571CF5E1114}"/>
    <cellStyle name="Total 4 11 6 2" xfId="22388" xr:uid="{0BC9958F-DCC1-43D5-9447-870D91E0587E}"/>
    <cellStyle name="Total 4 11 6 3" xfId="40622" xr:uid="{534F8A83-1B13-4217-9DC9-585D846ACF47}"/>
    <cellStyle name="Total 4 11 7" xfId="22389" xr:uid="{E0DB89C8-FC9A-4F5A-8411-75B5C82C191C}"/>
    <cellStyle name="Total 4 11 7 2" xfId="22390" xr:uid="{7457133B-4DCE-4BC6-943F-0077777433CF}"/>
    <cellStyle name="Total 4 11 7 3" xfId="40623" xr:uid="{0D6F2B71-4E9C-4169-9599-9A09A1AABC3B}"/>
    <cellStyle name="Total 4 11 8" xfId="22391" xr:uid="{2CCDB2E7-5FB6-420A-82B2-043F1EB333E9}"/>
    <cellStyle name="Total 4 11 8 2" xfId="22392" xr:uid="{C2355873-7B5E-4A55-BADC-6E5293CBD933}"/>
    <cellStyle name="Total 4 11 8 3" xfId="40624" xr:uid="{630BF374-C197-4B37-A96F-F293EC233273}"/>
    <cellStyle name="Total 4 11 9" xfId="22393" xr:uid="{E8AC098C-5C40-40D3-AE15-C68A34BFA7DE}"/>
    <cellStyle name="Total 4 11 9 2" xfId="22394" xr:uid="{6D6F7354-BD59-4320-852E-605BFAC95771}"/>
    <cellStyle name="Total 4 11 9 3" xfId="40625" xr:uid="{4A907795-910B-40FD-AA10-C62E6AC75C13}"/>
    <cellStyle name="Total 4 12" xfId="22395" xr:uid="{9BD99E97-980C-40D0-85AF-47930C0FE077}"/>
    <cellStyle name="Total 4 12 10" xfId="22396" xr:uid="{66F78AB5-7E9E-4FE2-8A7D-7A35FFD885A8}"/>
    <cellStyle name="Total 4 12 10 2" xfId="40626" xr:uid="{688C7AB8-E098-4CC1-AB68-00D31765228E}"/>
    <cellStyle name="Total 4 12 11" xfId="40627" xr:uid="{FFBE8A2F-077D-4457-B887-234CE994F867}"/>
    <cellStyle name="Total 4 12 2" xfId="22397" xr:uid="{C24C65DF-1D4D-4C8F-943F-7923503A4798}"/>
    <cellStyle name="Total 4 12 2 2" xfId="22398" xr:uid="{531BFE84-AC7C-41E8-B69B-BBBD3DF03645}"/>
    <cellStyle name="Total 4 12 2 2 2" xfId="40628" xr:uid="{595E94B1-62A7-4C1E-8CCB-4EA790581502}"/>
    <cellStyle name="Total 4 12 2 2 3" xfId="40629" xr:uid="{0164DD2D-300C-4859-B368-C19FD7C57CC2}"/>
    <cellStyle name="Total 4 12 2 3" xfId="22399" xr:uid="{D4219357-8210-43AC-9C0C-F1B2CBBE5889}"/>
    <cellStyle name="Total 4 12 2 3 2" xfId="22400" xr:uid="{390CCE60-DC5B-4E0E-8455-464CBCD6F890}"/>
    <cellStyle name="Total 4 12 2 4" xfId="22401" xr:uid="{0514C2A4-5462-480F-B14A-5ADD7BC6F5C9}"/>
    <cellStyle name="Total 4 12 2 5" xfId="40630" xr:uid="{0B3F3D9A-0D6A-4AD7-9D52-786ABAE113B5}"/>
    <cellStyle name="Total 4 12 3" xfId="22402" xr:uid="{E30BA397-1D61-4230-A3FF-A61FFFAE4724}"/>
    <cellStyle name="Total 4 12 3 2" xfId="22403" xr:uid="{BB0BE9B9-6368-4EC2-B12E-C2AE0F56986D}"/>
    <cellStyle name="Total 4 12 3 3" xfId="40631" xr:uid="{7E2CC751-00A8-459C-AAF5-E40190549769}"/>
    <cellStyle name="Total 4 12 4" xfId="22404" xr:uid="{39EBBF5A-6D36-491F-A23A-28BF689BF907}"/>
    <cellStyle name="Total 4 12 4 2" xfId="22405" xr:uid="{F84031FE-6789-41EF-B3D7-095DB9202238}"/>
    <cellStyle name="Total 4 12 4 3" xfId="40632" xr:uid="{B7D68D9E-5B5F-4415-BBB4-9E2ED7F299EF}"/>
    <cellStyle name="Total 4 12 5" xfId="22406" xr:uid="{40FFF860-2447-42BC-BA3F-BDA90154A326}"/>
    <cellStyle name="Total 4 12 5 2" xfId="22407" xr:uid="{43BE4978-3460-4D0C-ACDA-BF917DA321AC}"/>
    <cellStyle name="Total 4 12 5 3" xfId="40633" xr:uid="{4A938760-2E33-41F6-BB48-6AC3F564547F}"/>
    <cellStyle name="Total 4 12 6" xfId="22408" xr:uid="{01D7D955-9770-450C-9128-6B2E18D3D47F}"/>
    <cellStyle name="Total 4 12 6 2" xfId="22409" xr:uid="{42495842-817C-4715-BF75-8ADA649D40C3}"/>
    <cellStyle name="Total 4 12 6 3" xfId="40634" xr:uid="{0374FB72-A201-4A9B-9527-76D94668957B}"/>
    <cellStyle name="Total 4 12 7" xfId="22410" xr:uid="{456D8453-F5E3-492D-8811-DD59A3F06C34}"/>
    <cellStyle name="Total 4 12 7 2" xfId="22411" xr:uid="{1D3B71E7-3694-478F-8592-61D3CEC1928A}"/>
    <cellStyle name="Total 4 12 7 3" xfId="40635" xr:uid="{C1810FCC-A738-408A-AF2A-7482D336D16E}"/>
    <cellStyle name="Total 4 12 8" xfId="22412" xr:uid="{E3D54AA4-250F-4554-BE2B-391C80ADCD2E}"/>
    <cellStyle name="Total 4 12 8 2" xfId="22413" xr:uid="{FAC916BD-2301-477C-8A1E-0005E7D677C0}"/>
    <cellStyle name="Total 4 12 8 3" xfId="40636" xr:uid="{CCAF9E17-21F9-4EF7-8048-53F98C9898AA}"/>
    <cellStyle name="Total 4 12 9" xfId="22414" xr:uid="{47DAC182-3BB6-43FD-AFE7-469D9857FF2A}"/>
    <cellStyle name="Total 4 12 9 2" xfId="40637" xr:uid="{8DB85A21-7967-468B-AC9C-72BD2B057A06}"/>
    <cellStyle name="Total 4 12 9 3" xfId="40638" xr:uid="{15BF74BE-51FA-463E-85AB-7D5F7BA3F6E5}"/>
    <cellStyle name="Total 4 13" xfId="22415" xr:uid="{1E1AC21E-12FA-43E1-A37F-8FD519FECE74}"/>
    <cellStyle name="Total 4 13 2" xfId="22416" xr:uid="{2EB02765-2447-4C8B-9857-015F9D7A669C}"/>
    <cellStyle name="Total 4 13 2 2" xfId="40639" xr:uid="{2C3924E2-F5E0-492E-9D4F-FC7B109F481C}"/>
    <cellStyle name="Total 4 13 2 3" xfId="40640" xr:uid="{DD8ED6B3-3D69-4199-BD0E-B3C3B39ADC33}"/>
    <cellStyle name="Total 4 13 2 4" xfId="40641" xr:uid="{7FDE6798-0E96-4666-8A92-B2A888B6598E}"/>
    <cellStyle name="Total 4 13 3" xfId="22417" xr:uid="{9472B7C4-A664-494C-B0BB-7FA445EEFC38}"/>
    <cellStyle name="Total 4 13 3 2" xfId="22418" xr:uid="{65F63B94-58F1-460A-803F-EAB8A7496866}"/>
    <cellStyle name="Total 4 13 4" xfId="22419" xr:uid="{6006AB8E-52CA-405D-A2F1-F5A6C7C9002F}"/>
    <cellStyle name="Total 4 13 5" xfId="40642" xr:uid="{1A407415-925D-4EC8-AFC0-2A0AC8D94A17}"/>
    <cellStyle name="Total 4 14" xfId="22420" xr:uid="{B002C77D-FAF0-41A7-9766-249802A9DE1E}"/>
    <cellStyle name="Total 4 14 2" xfId="22421" xr:uid="{2FFE208A-EAB2-46FB-A2A5-1AFBB7D1F251}"/>
    <cellStyle name="Total 4 14 2 2" xfId="40643" xr:uid="{A2D401B5-B8E5-4E0E-B862-B290D7BAF5CD}"/>
    <cellStyle name="Total 4 14 2 3" xfId="40644" xr:uid="{E2DE8E5D-C275-4EF5-9A77-904CB438D7E0}"/>
    <cellStyle name="Total 4 14 3" xfId="22422" xr:uid="{6651BBE8-A4F8-4C5C-BBB4-F87F69FE6365}"/>
    <cellStyle name="Total 4 14 4" xfId="40645" xr:uid="{4E05BB15-9BED-4437-976A-6918D42386E2}"/>
    <cellStyle name="Total 4 14 5" xfId="40646" xr:uid="{A2B5C84F-55DA-42E7-A1EC-8CB862B285BE}"/>
    <cellStyle name="Total 4 15" xfId="22423" xr:uid="{BF20FEFA-6273-4FCD-88B8-CE7C9D7FA04E}"/>
    <cellStyle name="Total 4 15 2" xfId="22424" xr:uid="{A0A120A2-1974-4128-A2F1-1FBA95172DF9}"/>
    <cellStyle name="Total 4 15 2 2" xfId="40647" xr:uid="{AD8F8834-7C03-415F-92E2-7B5172E67D92}"/>
    <cellStyle name="Total 4 15 2 3" xfId="40648" xr:uid="{E670A6E1-AEA0-49EF-B72B-922CCFDF3566}"/>
    <cellStyle name="Total 4 15 3" xfId="40649" xr:uid="{252A69AF-A2EC-487B-978D-E29DB84AF727}"/>
    <cellStyle name="Total 4 15 4" xfId="40650" xr:uid="{9E2D7AD1-309A-4D4C-8D63-A0B9A9638DEF}"/>
    <cellStyle name="Total 4 16" xfId="22425" xr:uid="{E4EBA4F2-4ADD-4D8F-90EA-8C831D76C49B}"/>
    <cellStyle name="Total 4 16 2" xfId="22426" xr:uid="{C350A9C5-A9FF-4656-AB08-3574C3505987}"/>
    <cellStyle name="Total 4 16 3" xfId="40651" xr:uid="{244AA919-1538-4CDA-B21F-7587E2176857}"/>
    <cellStyle name="Total 4 17" xfId="22427" xr:uid="{FF78004A-CE8F-4C01-A4B7-70A3FE9C953D}"/>
    <cellStyle name="Total 4 17 2" xfId="22428" xr:uid="{8E95775A-E640-470F-AEDD-EB8C62F739D5}"/>
    <cellStyle name="Total 4 17 3" xfId="40652" xr:uid="{3345AFFE-6867-4D78-8355-D37469BA9BF7}"/>
    <cellStyle name="Total 4 18" xfId="22429" xr:uid="{CBC7ED91-B24B-4A50-AA22-D1B2A945B420}"/>
    <cellStyle name="Total 4 18 2" xfId="22430" xr:uid="{DB566EAF-1BA1-4BED-B5C4-4C01BF671316}"/>
    <cellStyle name="Total 4 18 3" xfId="40653" xr:uid="{98315FB6-7FD3-4B9D-92F2-9C2A242EBAE3}"/>
    <cellStyle name="Total 4 19" xfId="22431" xr:uid="{E28E36F3-CF59-4980-B150-6DEE3FAE700A}"/>
    <cellStyle name="Total 4 19 2" xfId="22432" xr:uid="{574CA31C-4522-49AD-B3D4-0F155992D0C6}"/>
    <cellStyle name="Total 4 19 3" xfId="40654" xr:uid="{2CE0394D-5165-4623-8109-AF5C806BE1CA}"/>
    <cellStyle name="Total 4 2" xfId="22433" xr:uid="{1A132EBF-3202-43DF-9744-E526561BA7EC}"/>
    <cellStyle name="Total 4 2 10" xfId="22434" xr:uid="{A5A4EAFD-0489-4115-B2B2-0E0C5603B563}"/>
    <cellStyle name="Total 4 2 10 2" xfId="40655" xr:uid="{DDA583CC-57CE-4F54-89C7-1DBE0335A175}"/>
    <cellStyle name="Total 4 2 10 3" xfId="40656" xr:uid="{E4DB0855-CE48-4656-BD4F-FE15E380E34B}"/>
    <cellStyle name="Total 4 2 11" xfId="22435" xr:uid="{0160B8F5-5787-46FA-BDC6-4576B16519D6}"/>
    <cellStyle name="Total 4 2 11 2" xfId="40657" xr:uid="{9E41206C-F875-404C-AB27-7CCB97FDFF5D}"/>
    <cellStyle name="Total 4 2 12" xfId="40658" xr:uid="{D7B34697-33CB-4CB6-8492-D1BEDDB2658B}"/>
    <cellStyle name="Total 4 2 2" xfId="22436" xr:uid="{1EA48F8F-5BD1-487A-B88A-0908A40FFF2E}"/>
    <cellStyle name="Total 4 2 2 10" xfId="22437" xr:uid="{8092BE38-E416-41C5-BC42-E3AA9FB9F130}"/>
    <cellStyle name="Total 4 2 2 10 2" xfId="40659" xr:uid="{D90F6C07-71EC-4425-8BF4-BC7F6428F697}"/>
    <cellStyle name="Total 4 2 2 11" xfId="40660" xr:uid="{9ABC92EF-A55A-47FE-B81F-CF07C93D31F3}"/>
    <cellStyle name="Total 4 2 2 2" xfId="22438" xr:uid="{A1215457-B15A-4134-BE9F-B06FBFAB0B71}"/>
    <cellStyle name="Total 4 2 2 2 2" xfId="22439" xr:uid="{419B1977-C527-4DC3-9908-5E0550332B13}"/>
    <cellStyle name="Total 4 2 2 2 2 2" xfId="40661" xr:uid="{0F61AB60-EBE2-4E65-82CE-C1409E9DBE98}"/>
    <cellStyle name="Total 4 2 2 2 2 3" xfId="40662" xr:uid="{A56182C8-55FE-4E0F-9F76-58DDFAD7F87E}"/>
    <cellStyle name="Total 4 2 2 2 3" xfId="22440" xr:uid="{73BCCF35-308C-43E4-B25B-826B0960CCAF}"/>
    <cellStyle name="Total 4 2 2 2 3 2" xfId="22441" xr:uid="{3D9285EA-DE28-475E-BD6C-8DF44A77438B}"/>
    <cellStyle name="Total 4 2 2 2 4" xfId="22442" xr:uid="{A06C8298-DC24-48EB-AA4A-C45B5F0569F1}"/>
    <cellStyle name="Total 4 2 2 2 5" xfId="40663" xr:uid="{7FC14324-AD40-42D1-84F0-3A53D2AFFE3E}"/>
    <cellStyle name="Total 4 2 2 3" xfId="22443" xr:uid="{83A0AE77-45E3-4D95-B41C-53C73AF41DCD}"/>
    <cellStyle name="Total 4 2 2 3 2" xfId="22444" xr:uid="{2D1AFB3F-0580-49EC-A3F4-215BD7E54C78}"/>
    <cellStyle name="Total 4 2 2 3 3" xfId="40664" xr:uid="{1B11E46E-E2AE-4936-80B6-EA831EFBB4C1}"/>
    <cellStyle name="Total 4 2 2 4" xfId="22445" xr:uid="{70346127-9E00-4675-8704-FCEA8F6DA7C3}"/>
    <cellStyle name="Total 4 2 2 4 2" xfId="22446" xr:uid="{224AE433-7872-4218-91D3-BBA1A9A82E96}"/>
    <cellStyle name="Total 4 2 2 4 3" xfId="40665" xr:uid="{96EDC5E0-AF5B-4350-8A51-CA21637B8FD0}"/>
    <cellStyle name="Total 4 2 2 5" xfId="22447" xr:uid="{2B7A0DEB-883F-440E-9B64-B08AD887D3CB}"/>
    <cellStyle name="Total 4 2 2 5 2" xfId="22448" xr:uid="{5705E597-F618-4D25-87D6-AA36AB7EC31C}"/>
    <cellStyle name="Total 4 2 2 5 3" xfId="40666" xr:uid="{98C8660D-384F-4A6A-B075-F795CFA52796}"/>
    <cellStyle name="Total 4 2 2 6" xfId="22449" xr:uid="{239143F3-E8AE-44E2-89E1-EC6EF28C361B}"/>
    <cellStyle name="Total 4 2 2 6 2" xfId="22450" xr:uid="{558BC002-89B8-4D05-894F-F65BE25C716C}"/>
    <cellStyle name="Total 4 2 2 6 3" xfId="40667" xr:uid="{EB88E140-E447-4DA3-AAD4-27CF1CF16CD8}"/>
    <cellStyle name="Total 4 2 2 7" xfId="22451" xr:uid="{A3C78254-0935-4198-8975-CF06DCFBA24A}"/>
    <cellStyle name="Total 4 2 2 7 2" xfId="22452" xr:uid="{31981E67-7501-47AC-BF65-D8BF1F321EF2}"/>
    <cellStyle name="Total 4 2 2 7 3" xfId="40668" xr:uid="{3A0B54F1-A1FA-4980-9525-B6FD267D6975}"/>
    <cellStyle name="Total 4 2 2 8" xfId="22453" xr:uid="{09B3FC78-0CC9-441D-B030-FF4865AF9257}"/>
    <cellStyle name="Total 4 2 2 8 2" xfId="22454" xr:uid="{7239EFF0-75A1-422E-A66D-141E9A3EA632}"/>
    <cellStyle name="Total 4 2 2 8 3" xfId="40669" xr:uid="{006B8C5A-1403-4DA3-B8A6-4E33FA609C65}"/>
    <cellStyle name="Total 4 2 2 9" xfId="22455" xr:uid="{EA384CA3-BB99-4ABB-A388-F8B13D8E89A8}"/>
    <cellStyle name="Total 4 2 2 9 2" xfId="40670" xr:uid="{07FA58EA-C5D7-4823-A78B-F5C95E92A1BB}"/>
    <cellStyle name="Total 4 2 2 9 3" xfId="40671" xr:uid="{05EE0871-2765-4C72-83E3-7A8EFDEBB545}"/>
    <cellStyle name="Total 4 2 3" xfId="22456" xr:uid="{3F57B760-96B7-43DF-A19E-F363B0AB9AA7}"/>
    <cellStyle name="Total 4 2 3 2" xfId="22457" xr:uid="{24B5B028-7E15-445B-B6BA-F0488584DEA1}"/>
    <cellStyle name="Total 4 2 3 2 2" xfId="40672" xr:uid="{814C759C-DB2F-43EB-92C9-A17F9BB6A63A}"/>
    <cellStyle name="Total 4 2 3 2 3" xfId="40673" xr:uid="{77466093-3F0D-4C6B-B4FF-FEAF31665265}"/>
    <cellStyle name="Total 4 2 3 2 4" xfId="40674" xr:uid="{A3708DB5-8077-4C4C-A680-1D97B8C9F708}"/>
    <cellStyle name="Total 4 2 3 3" xfId="22458" xr:uid="{2677D083-6A38-4FCC-8A07-A8D4013B571B}"/>
    <cellStyle name="Total 4 2 3 3 2" xfId="22459" xr:uid="{206D75F7-DDF2-4C39-9449-5F3F5200602F}"/>
    <cellStyle name="Total 4 2 3 4" xfId="22460" xr:uid="{37FD5D61-5F71-4871-88F6-CB9B4512B8F6}"/>
    <cellStyle name="Total 4 2 3 5" xfId="40675" xr:uid="{66E819A8-DED6-40C0-865F-3D36B0E2EBA8}"/>
    <cellStyle name="Total 4 2 4" xfId="22461" xr:uid="{98CC59B2-FB7A-4889-AA80-22F60B3222E5}"/>
    <cellStyle name="Total 4 2 4 2" xfId="22462" xr:uid="{70A220D9-B228-4DCA-BD47-517B46B7997C}"/>
    <cellStyle name="Total 4 2 4 2 2" xfId="40676" xr:uid="{21C63F2A-A3E3-4F23-9238-AEA7AF5B5DA5}"/>
    <cellStyle name="Total 4 2 4 2 3" xfId="40677" xr:uid="{71756EAB-BDB7-436D-9E20-A33FF8F738E0}"/>
    <cellStyle name="Total 4 2 4 3" xfId="22463" xr:uid="{AFEE1043-E196-4547-930E-9535778D175D}"/>
    <cellStyle name="Total 4 2 4 4" xfId="40678" xr:uid="{4C546FDC-22D6-407E-BDB8-420BD48BA667}"/>
    <cellStyle name="Total 4 2 4 5" xfId="40679" xr:uid="{EE1A74F3-14C7-4A78-8827-03353965AAD6}"/>
    <cellStyle name="Total 4 2 5" xfId="22464" xr:uid="{D6E6BA17-04C3-42B7-942A-EFFA0F62176D}"/>
    <cellStyle name="Total 4 2 5 2" xfId="22465" xr:uid="{B7B64971-2B75-4B93-B419-A65790E8FF07}"/>
    <cellStyle name="Total 4 2 5 2 2" xfId="40680" xr:uid="{45826E32-47F7-47EE-AABE-9DC1BA5B8A06}"/>
    <cellStyle name="Total 4 2 5 2 3" xfId="40681" xr:uid="{C37F55D5-111C-4ECD-8ABA-7B904612853F}"/>
    <cellStyle name="Total 4 2 5 3" xfId="40682" xr:uid="{64DDA236-6FA0-44FC-88E1-9688F3C1C4EA}"/>
    <cellStyle name="Total 4 2 5 4" xfId="40683" xr:uid="{0540213E-05F9-4BAC-B9A2-49CEE6CEC469}"/>
    <cellStyle name="Total 4 2 6" xfId="22466" xr:uid="{47AEE362-BDE0-41BD-B458-B04BCDFA5B42}"/>
    <cellStyle name="Total 4 2 6 2" xfId="22467" xr:uid="{67CC9A66-850D-4802-986B-E2A819BA8F4B}"/>
    <cellStyle name="Total 4 2 6 3" xfId="40684" xr:uid="{127E3249-C298-4E4E-B746-2497B1B2FB33}"/>
    <cellStyle name="Total 4 2 7" xfId="22468" xr:uid="{CD8EEC54-2C71-49DC-BEBF-08FFEC3EC65E}"/>
    <cellStyle name="Total 4 2 7 2" xfId="22469" xr:uid="{531FC8BF-0D27-4AFE-BF78-02D5222C5D40}"/>
    <cellStyle name="Total 4 2 7 3" xfId="40685" xr:uid="{EBB6B99A-71F8-4E86-9408-48BD3EBEA315}"/>
    <cellStyle name="Total 4 2 8" xfId="22470" xr:uid="{5BE97AF1-CA75-4604-9B29-0F50C43181A2}"/>
    <cellStyle name="Total 4 2 8 2" xfId="22471" xr:uid="{0351626F-8318-4ECB-BFBD-A12EB8C41011}"/>
    <cellStyle name="Total 4 2 8 3" xfId="40686" xr:uid="{29D37D31-0FF5-44AB-9465-3C002E244344}"/>
    <cellStyle name="Total 4 2 9" xfId="22472" xr:uid="{03CAEBD3-4BF0-4F1E-9075-52DD47583B19}"/>
    <cellStyle name="Total 4 2 9 2" xfId="22473" xr:uid="{8AD31FDF-B124-4A8A-87F9-4BC8166AAC1B}"/>
    <cellStyle name="Total 4 2 9 3" xfId="40687" xr:uid="{EE536C95-AB26-4106-B076-B3D597A9DBA4}"/>
    <cellStyle name="Total 4 20" xfId="22474" xr:uid="{D1232148-2697-4180-9C26-7611F166D559}"/>
    <cellStyle name="Total 4 20 2" xfId="40688" xr:uid="{865AE8EC-94B7-49C5-BD52-F194CC147259}"/>
    <cellStyle name="Total 4 20 3" xfId="40689" xr:uid="{BBD36AC4-FA31-44DC-B83A-F6953C144234}"/>
    <cellStyle name="Total 4 21" xfId="22475" xr:uid="{50834BD5-4E41-4BFD-852D-D2DFC47E9400}"/>
    <cellStyle name="Total 4 21 2" xfId="40690" xr:uid="{FDD186FB-F65A-487F-BF09-13EC7E25B0B7}"/>
    <cellStyle name="Total 4 22" xfId="40691" xr:uid="{0FFA61DB-5809-4A8D-888E-1E0129895744}"/>
    <cellStyle name="Total 4 3" xfId="22476" xr:uid="{0EC32CA5-A5DD-49E8-BE42-B7467EBD6996}"/>
    <cellStyle name="Total 4 3 10" xfId="22477" xr:uid="{9DA679EA-EF3A-4747-9F73-DBACCC0FC174}"/>
    <cellStyle name="Total 4 3 10 2" xfId="40692" xr:uid="{5D35DF2A-5525-4745-913C-66D8DB3C95CF}"/>
    <cellStyle name="Total 4 3 10 3" xfId="40693" xr:uid="{ADC826D4-9977-45F3-BB8A-7FF2821726E8}"/>
    <cellStyle name="Total 4 3 11" xfId="22478" xr:uid="{BD6E0C5A-5459-4CE2-B805-409E32396A3D}"/>
    <cellStyle name="Total 4 3 11 2" xfId="40694" xr:uid="{E1444BAB-1688-4201-A647-EF2D41BD8892}"/>
    <cellStyle name="Total 4 3 12" xfId="40695" xr:uid="{E13BA4BD-EEA0-4BE1-9CF3-A6235902BE2F}"/>
    <cellStyle name="Total 4 3 2" xfId="22479" xr:uid="{DBDEECD8-0EC0-4746-8588-61B584DCE138}"/>
    <cellStyle name="Total 4 3 2 10" xfId="22480" xr:uid="{8969EAD9-BA8F-493E-A100-ACEB3B3C3828}"/>
    <cellStyle name="Total 4 3 2 10 2" xfId="40696" xr:uid="{C4CED239-FF39-4349-BEC2-246C0896FCCA}"/>
    <cellStyle name="Total 4 3 2 11" xfId="40697" xr:uid="{47810DFF-E70A-47F6-A0D6-BA44C93961E6}"/>
    <cellStyle name="Total 4 3 2 2" xfId="22481" xr:uid="{9F4CD0AA-5585-4733-9E6B-B0DF1852A695}"/>
    <cellStyle name="Total 4 3 2 2 2" xfId="22482" xr:uid="{795705D4-BD22-409E-A4AF-0C42A2D677E0}"/>
    <cellStyle name="Total 4 3 2 2 2 2" xfId="40698" xr:uid="{B84F0298-D90D-4B10-A76C-4B4B4649E5BF}"/>
    <cellStyle name="Total 4 3 2 2 2 3" xfId="40699" xr:uid="{A8241BA9-719B-4261-AF47-225450D72057}"/>
    <cellStyle name="Total 4 3 2 2 3" xfId="22483" xr:uid="{45868726-BD5D-4599-A899-F244EC472A76}"/>
    <cellStyle name="Total 4 3 2 2 3 2" xfId="22484" xr:uid="{9C4F89E8-E92A-43CA-91E4-DB97576EAAD5}"/>
    <cellStyle name="Total 4 3 2 2 4" xfId="22485" xr:uid="{72E85FE8-8D80-4C25-9F22-AD3038F88916}"/>
    <cellStyle name="Total 4 3 2 2 5" xfId="40700" xr:uid="{5C8D05DF-F503-4D43-8F30-B6E9CE26F37C}"/>
    <cellStyle name="Total 4 3 2 3" xfId="22486" xr:uid="{891B6633-8C55-4784-84C4-B4C93D0C8928}"/>
    <cellStyle name="Total 4 3 2 3 2" xfId="22487" xr:uid="{CA09D4E2-56E0-43B9-B470-E80DC5532C7C}"/>
    <cellStyle name="Total 4 3 2 3 3" xfId="40701" xr:uid="{E19B4C6A-8FFF-4616-9948-3FA562EFCDE7}"/>
    <cellStyle name="Total 4 3 2 4" xfId="22488" xr:uid="{7847D176-5D45-4C0C-AEB7-9534963ECE3A}"/>
    <cellStyle name="Total 4 3 2 4 2" xfId="22489" xr:uid="{D4185250-3EAD-4327-AA9D-CDE161927982}"/>
    <cellStyle name="Total 4 3 2 4 3" xfId="40702" xr:uid="{F2E2291B-2650-4176-9EFF-046D0A627AEA}"/>
    <cellStyle name="Total 4 3 2 5" xfId="22490" xr:uid="{88FE7076-2CBE-4FD8-84A2-79A83989CD8B}"/>
    <cellStyle name="Total 4 3 2 5 2" xfId="22491" xr:uid="{262BB610-8D5A-4DA6-8EDA-490199CBE273}"/>
    <cellStyle name="Total 4 3 2 5 3" xfId="40703" xr:uid="{0BCA207B-8B3E-4864-A279-3961DE0CE773}"/>
    <cellStyle name="Total 4 3 2 6" xfId="22492" xr:uid="{63144AA3-6924-4CC6-9606-8E7B17FC94DB}"/>
    <cellStyle name="Total 4 3 2 6 2" xfId="22493" xr:uid="{F62F3912-9BED-4525-9279-38D5370052AB}"/>
    <cellStyle name="Total 4 3 2 6 3" xfId="40704" xr:uid="{C80872E2-796D-4C0E-AB3B-05366AACFF21}"/>
    <cellStyle name="Total 4 3 2 7" xfId="22494" xr:uid="{D622BC04-D5DD-442B-ADA2-80EA754AD7A9}"/>
    <cellStyle name="Total 4 3 2 7 2" xfId="22495" xr:uid="{4AEA8B4C-07C3-4B89-B18D-889CB0DFA3D7}"/>
    <cellStyle name="Total 4 3 2 7 3" xfId="40705" xr:uid="{D00E7594-79E6-455E-8CCE-285A688D4148}"/>
    <cellStyle name="Total 4 3 2 8" xfId="22496" xr:uid="{5D586CDD-5FFA-47C7-84B8-9E582FF73BC2}"/>
    <cellStyle name="Total 4 3 2 8 2" xfId="22497" xr:uid="{17823167-325A-4B27-9056-EFC3BBEAB70F}"/>
    <cellStyle name="Total 4 3 2 8 3" xfId="40706" xr:uid="{3E7E97F5-1B02-47C2-AC49-2A4998E5878E}"/>
    <cellStyle name="Total 4 3 2 9" xfId="22498" xr:uid="{60C3BAC4-1F26-437E-8E89-C5B71DEB3F1F}"/>
    <cellStyle name="Total 4 3 2 9 2" xfId="40707" xr:uid="{70CDEC47-55D7-41F1-B6E6-AD9069F7F127}"/>
    <cellStyle name="Total 4 3 2 9 3" xfId="40708" xr:uid="{24AD2D19-FAA7-4AB8-B764-882C859B8B35}"/>
    <cellStyle name="Total 4 3 3" xfId="22499" xr:uid="{72F37B8E-A432-466E-A3FC-C0A450E3F353}"/>
    <cellStyle name="Total 4 3 3 2" xfId="22500" xr:uid="{9CE25D76-D8CC-42EF-850B-CA19F86F8744}"/>
    <cellStyle name="Total 4 3 3 2 2" xfId="40709" xr:uid="{AC1B10F2-EFDF-4D5C-A332-85EE89B03B02}"/>
    <cellStyle name="Total 4 3 3 2 3" xfId="40710" xr:uid="{2300A066-EA82-4B72-BB38-9B266A17924A}"/>
    <cellStyle name="Total 4 3 3 2 4" xfId="40711" xr:uid="{B9BFE45D-C6D3-4709-844C-CF68E7D9406B}"/>
    <cellStyle name="Total 4 3 3 3" xfId="22501" xr:uid="{732FCE86-068C-410F-97EF-B75AEE3391A1}"/>
    <cellStyle name="Total 4 3 3 3 2" xfId="22502" xr:uid="{FD33A793-2016-4CFC-A405-E50EB9FFB08B}"/>
    <cellStyle name="Total 4 3 3 4" xfId="22503" xr:uid="{B5B7BBC4-D872-4796-A379-28390042F8E9}"/>
    <cellStyle name="Total 4 3 3 5" xfId="40712" xr:uid="{3F687B37-AE63-4B01-829E-FC2D149957A0}"/>
    <cellStyle name="Total 4 3 4" xfId="22504" xr:uid="{996B0C30-1A01-4013-96D9-D897CCC58B19}"/>
    <cellStyle name="Total 4 3 4 2" xfId="22505" xr:uid="{70A2B714-B4A9-4A96-9E29-8DF4C1D4C661}"/>
    <cellStyle name="Total 4 3 4 2 2" xfId="40713" xr:uid="{C3325E82-90A9-4DA5-9B16-9252318D87F7}"/>
    <cellStyle name="Total 4 3 4 2 3" xfId="40714" xr:uid="{31FB3C0E-70D5-4345-B3C6-CA25CE181FD9}"/>
    <cellStyle name="Total 4 3 4 3" xfId="22506" xr:uid="{DDD6CC5A-89C4-4401-852D-5AC18061BEEC}"/>
    <cellStyle name="Total 4 3 4 4" xfId="40715" xr:uid="{1940A457-BD62-4745-9DCC-394913BA38BD}"/>
    <cellStyle name="Total 4 3 4 5" xfId="40716" xr:uid="{92230638-8B97-42CF-A6AE-0CC66D31A60A}"/>
    <cellStyle name="Total 4 3 5" xfId="22507" xr:uid="{9957AEBE-F065-4E00-A0EE-6A9D05458210}"/>
    <cellStyle name="Total 4 3 5 2" xfId="22508" xr:uid="{3F0F310F-8718-4D26-BB85-214D63F9043B}"/>
    <cellStyle name="Total 4 3 5 2 2" xfId="40717" xr:uid="{5AFC250B-C943-453A-B2ED-3D6F61918885}"/>
    <cellStyle name="Total 4 3 5 2 3" xfId="40718" xr:uid="{80A8AAD4-8A34-4B4E-A1CD-1DD15B7B4403}"/>
    <cellStyle name="Total 4 3 5 3" xfId="40719" xr:uid="{77384537-397A-48E0-B69E-F54E080BBCDC}"/>
    <cellStyle name="Total 4 3 5 4" xfId="40720" xr:uid="{10B1A48A-6DC9-4FE6-8A59-FD76DC8D5919}"/>
    <cellStyle name="Total 4 3 6" xfId="22509" xr:uid="{81853D21-2CB3-4392-B7F2-D52CE286745D}"/>
    <cellStyle name="Total 4 3 6 2" xfId="22510" xr:uid="{91CE13E7-804D-490E-BC04-7729913D5B48}"/>
    <cellStyle name="Total 4 3 6 3" xfId="40721" xr:uid="{D28D83EA-F1D2-4019-97F7-869E8F5BDA97}"/>
    <cellStyle name="Total 4 3 7" xfId="22511" xr:uid="{BD1FC954-C9BA-4FDA-8B2E-2562C2E09530}"/>
    <cellStyle name="Total 4 3 7 2" xfId="22512" xr:uid="{37A65145-C3E1-45D7-B1FF-68C159012DBD}"/>
    <cellStyle name="Total 4 3 7 3" xfId="40722" xr:uid="{E5B3811C-0A7B-4C92-8E06-B0D32A892C8D}"/>
    <cellStyle name="Total 4 3 8" xfId="22513" xr:uid="{2EE1609A-A45A-4996-BE59-13E5EA775D04}"/>
    <cellStyle name="Total 4 3 8 2" xfId="22514" xr:uid="{D138E4F5-8783-478C-A225-662B0E9E1136}"/>
    <cellStyle name="Total 4 3 8 3" xfId="40723" xr:uid="{46B0062A-C75C-45EF-93F9-64979767F727}"/>
    <cellStyle name="Total 4 3 9" xfId="22515" xr:uid="{2CCD5921-5CF9-4AB8-B040-A86E927B6211}"/>
    <cellStyle name="Total 4 3 9 2" xfId="22516" xr:uid="{633D1201-3667-4D3F-9250-255C720E5D07}"/>
    <cellStyle name="Total 4 3 9 3" xfId="40724" xr:uid="{C8F171D6-6847-4A2D-AEE2-AE6C1D9B64E2}"/>
    <cellStyle name="Total 4 4" xfId="22517" xr:uid="{AF653683-0E7D-4E1E-8C7F-54F31B60A36B}"/>
    <cellStyle name="Total 4 4 10" xfId="22518" xr:uid="{4A2DBC48-3045-47AC-91E6-915F8B8F38A2}"/>
    <cellStyle name="Total 4 4 10 2" xfId="40725" xr:uid="{45AF3BE5-7F3C-4A02-854B-A2DC1F8BADF6}"/>
    <cellStyle name="Total 4 4 10 3" xfId="40726" xr:uid="{276CF2DC-0B35-4768-89F7-D4BD13987550}"/>
    <cellStyle name="Total 4 4 11" xfId="22519" xr:uid="{12B62D9D-453B-4828-8C9F-23A0618977F7}"/>
    <cellStyle name="Total 4 4 11 2" xfId="40727" xr:uid="{D4ED9D7C-8CBB-40DB-B6C8-B8816696D591}"/>
    <cellStyle name="Total 4 4 12" xfId="40728" xr:uid="{CC61B5C4-EC78-4AF6-AF1D-928DC1E83EAE}"/>
    <cellStyle name="Total 4 4 2" xfId="22520" xr:uid="{925D36ED-C5F9-4A35-9A28-E78BE58441D2}"/>
    <cellStyle name="Total 4 4 2 10" xfId="22521" xr:uid="{64841552-39E9-482E-AFFE-E1470CBB6D96}"/>
    <cellStyle name="Total 4 4 2 10 2" xfId="40729" xr:uid="{DD64052E-FCEF-424D-B425-F66F5579C82E}"/>
    <cellStyle name="Total 4 4 2 11" xfId="40730" xr:uid="{EFF9DF63-80FC-45CD-8009-93653F133092}"/>
    <cellStyle name="Total 4 4 2 2" xfId="22522" xr:uid="{2EC9830E-5EB9-42CA-9137-FD39590D90B6}"/>
    <cellStyle name="Total 4 4 2 2 2" xfId="22523" xr:uid="{FD9ECDB2-017B-4C7F-85FC-8C3B81533572}"/>
    <cellStyle name="Total 4 4 2 2 2 2" xfId="40731" xr:uid="{056A27E9-17FD-4325-AFE5-DB1A3E35FC5D}"/>
    <cellStyle name="Total 4 4 2 2 2 3" xfId="40732" xr:uid="{7B27B434-E50C-4897-B58C-3853E3F539D2}"/>
    <cellStyle name="Total 4 4 2 2 3" xfId="22524" xr:uid="{76489250-5770-480F-A36C-8F1EDA0CD4FF}"/>
    <cellStyle name="Total 4 4 2 2 3 2" xfId="22525" xr:uid="{D627D643-7BE4-4C5D-AF99-B46169E68DB8}"/>
    <cellStyle name="Total 4 4 2 2 4" xfId="22526" xr:uid="{95773E63-EAEB-4854-8236-2329DA05415B}"/>
    <cellStyle name="Total 4 4 2 2 5" xfId="40733" xr:uid="{6786B4C5-182D-4168-8718-16BCABD08AFD}"/>
    <cellStyle name="Total 4 4 2 3" xfId="22527" xr:uid="{A590E1FC-CC1B-423D-85BD-B730D3297590}"/>
    <cellStyle name="Total 4 4 2 3 2" xfId="22528" xr:uid="{ADA70F33-25AF-44BE-99BE-D373384A10EB}"/>
    <cellStyle name="Total 4 4 2 3 3" xfId="40734" xr:uid="{50904AE1-5452-4474-8396-122484BAA7C3}"/>
    <cellStyle name="Total 4 4 2 4" xfId="22529" xr:uid="{BB81C85C-5C16-45BC-A2AA-64FE65DF3781}"/>
    <cellStyle name="Total 4 4 2 4 2" xfId="22530" xr:uid="{513E5BBE-D551-4486-800C-DC0723D77F45}"/>
    <cellStyle name="Total 4 4 2 4 3" xfId="40735" xr:uid="{EA96240F-1573-44B4-B79D-2C3ECE0B94E4}"/>
    <cellStyle name="Total 4 4 2 5" xfId="22531" xr:uid="{586FDDD2-50AF-4391-BAC2-012B8CF42F55}"/>
    <cellStyle name="Total 4 4 2 5 2" xfId="22532" xr:uid="{E1D5FF83-D192-4235-81BC-966618BCFBAE}"/>
    <cellStyle name="Total 4 4 2 5 3" xfId="40736" xr:uid="{961AC58D-568B-4787-85E8-0350FB663BD3}"/>
    <cellStyle name="Total 4 4 2 6" xfId="22533" xr:uid="{EDC687F7-4EFF-4C99-AA8F-FB1EB71E5E7D}"/>
    <cellStyle name="Total 4 4 2 6 2" xfId="22534" xr:uid="{8094F74D-32DC-4C3F-AAF0-771EFC0C4B38}"/>
    <cellStyle name="Total 4 4 2 6 3" xfId="40737" xr:uid="{FBCD1B04-7C0B-48CF-B85C-F4584304FC66}"/>
    <cellStyle name="Total 4 4 2 7" xfId="22535" xr:uid="{C67D069F-5727-45DC-9653-CA55D955BF09}"/>
    <cellStyle name="Total 4 4 2 7 2" xfId="22536" xr:uid="{006E5777-E4D5-46EB-8562-8BE5C965B99E}"/>
    <cellStyle name="Total 4 4 2 7 3" xfId="40738" xr:uid="{93412D3D-96D4-4120-BBBF-9AD4276F6183}"/>
    <cellStyle name="Total 4 4 2 8" xfId="22537" xr:uid="{5BC5989E-3416-418E-B6A3-CFF9C65DCA8D}"/>
    <cellStyle name="Total 4 4 2 8 2" xfId="22538" xr:uid="{EA998183-DCA5-4DDF-9D3C-CC82BDF619C4}"/>
    <cellStyle name="Total 4 4 2 8 3" xfId="40739" xr:uid="{2212B682-5718-4454-8105-511A27D8644C}"/>
    <cellStyle name="Total 4 4 2 9" xfId="22539" xr:uid="{AED88469-75DB-4084-A76F-B1DD1345CBE8}"/>
    <cellStyle name="Total 4 4 2 9 2" xfId="40740" xr:uid="{79CF6009-F19C-4C8F-8B4D-A1DAAC553C10}"/>
    <cellStyle name="Total 4 4 2 9 3" xfId="40741" xr:uid="{33E1B3FF-F797-4337-9AB4-0499D2580AE6}"/>
    <cellStyle name="Total 4 4 3" xfId="22540" xr:uid="{71853FF5-3335-43E8-B2CA-BB572175880E}"/>
    <cellStyle name="Total 4 4 3 2" xfId="22541" xr:uid="{110D51D7-BBBA-4447-BA39-52EF538F4913}"/>
    <cellStyle name="Total 4 4 3 2 2" xfId="40742" xr:uid="{8079DAC7-CFD4-4CFF-BB4D-81AC7764FE7D}"/>
    <cellStyle name="Total 4 4 3 2 3" xfId="40743" xr:uid="{5EA9C266-A372-4FAB-A7E1-60A30AF12206}"/>
    <cellStyle name="Total 4 4 3 2 4" xfId="40744" xr:uid="{C12387C1-DA6D-49D7-8BCA-39EE2AB4DD9D}"/>
    <cellStyle name="Total 4 4 3 3" xfId="22542" xr:uid="{E319F70E-C294-49BE-BFA8-075411F1242D}"/>
    <cellStyle name="Total 4 4 3 3 2" xfId="22543" xr:uid="{D88C6E6B-A4A2-4688-8095-17A7BF73432F}"/>
    <cellStyle name="Total 4 4 3 4" xfId="22544" xr:uid="{931239E2-7ED4-41D4-A403-A0A71DAD4F43}"/>
    <cellStyle name="Total 4 4 3 5" xfId="40745" xr:uid="{E41F8AAB-B38D-4836-88CF-5EDC6EE8708D}"/>
    <cellStyle name="Total 4 4 4" xfId="22545" xr:uid="{7CBAD683-8E56-4264-A4E1-AD062B3DA56C}"/>
    <cellStyle name="Total 4 4 4 2" xfId="22546" xr:uid="{FBB463B8-79FC-4EC7-B0B7-F08DC70A4303}"/>
    <cellStyle name="Total 4 4 4 2 2" xfId="40746" xr:uid="{C3AA881B-DE89-46E3-A104-B94EA2C1424E}"/>
    <cellStyle name="Total 4 4 4 2 3" xfId="40747" xr:uid="{B65E4F3F-6EFB-4F1A-8056-33975B39D10F}"/>
    <cellStyle name="Total 4 4 4 3" xfId="22547" xr:uid="{5FAF5A11-2BE6-4EC0-97B5-B4D5236B09BD}"/>
    <cellStyle name="Total 4 4 4 4" xfId="40748" xr:uid="{BB87E26C-03B2-449A-861F-7393F4EE28A5}"/>
    <cellStyle name="Total 4 4 4 5" xfId="40749" xr:uid="{0D1C26DA-5D69-4110-90EC-B0545ADC13E3}"/>
    <cellStyle name="Total 4 4 5" xfId="22548" xr:uid="{6C3C8A1F-2178-4F9C-848D-B05C0E75D706}"/>
    <cellStyle name="Total 4 4 5 2" xfId="22549" xr:uid="{5165A955-CA48-4AFB-AE65-42EE7FDC499B}"/>
    <cellStyle name="Total 4 4 5 2 2" xfId="40750" xr:uid="{F456B823-A0E7-48B9-BCA1-2B986ADC0210}"/>
    <cellStyle name="Total 4 4 5 2 3" xfId="40751" xr:uid="{5965395F-6499-499B-A8A4-A35768113A9E}"/>
    <cellStyle name="Total 4 4 5 3" xfId="40752" xr:uid="{B15DC876-529A-498F-97CD-A0C765A44681}"/>
    <cellStyle name="Total 4 4 5 4" xfId="40753" xr:uid="{92271D05-C834-4380-8863-37800F0E0F98}"/>
    <cellStyle name="Total 4 4 6" xfId="22550" xr:uid="{D7E7E383-10E4-403F-A168-421B9C43AF21}"/>
    <cellStyle name="Total 4 4 6 2" xfId="22551" xr:uid="{AF5DD5C9-E114-44E1-BA59-7E3167AB5363}"/>
    <cellStyle name="Total 4 4 6 3" xfId="40754" xr:uid="{5DC7DE44-02A0-432F-92D8-EF2698CAFF63}"/>
    <cellStyle name="Total 4 4 7" xfId="22552" xr:uid="{C3917A55-AA13-41E2-8C61-E8C28F21B811}"/>
    <cellStyle name="Total 4 4 7 2" xfId="22553" xr:uid="{4BFE82A8-0DAB-43EF-86C3-A2D8552CAFE1}"/>
    <cellStyle name="Total 4 4 7 3" xfId="40755" xr:uid="{14E6B191-47FF-40E8-92E9-9CC9B5D73339}"/>
    <cellStyle name="Total 4 4 8" xfId="22554" xr:uid="{D1722988-672F-4369-B224-176F66C9E110}"/>
    <cellStyle name="Total 4 4 8 2" xfId="22555" xr:uid="{F68695AB-82B2-46AF-9307-8A3DB2AF9DA8}"/>
    <cellStyle name="Total 4 4 8 3" xfId="40756" xr:uid="{8B34E0D1-A516-427A-BFF9-46BDF66C4C86}"/>
    <cellStyle name="Total 4 4 9" xfId="22556" xr:uid="{0B95FD0A-DA0D-4CC4-B2F1-CC26E360D396}"/>
    <cellStyle name="Total 4 4 9 2" xfId="22557" xr:uid="{FBA414E9-E394-4C42-82C5-63211249A478}"/>
    <cellStyle name="Total 4 4 9 3" xfId="40757" xr:uid="{3FF22D32-2A38-47AD-AF18-E7D39E50836F}"/>
    <cellStyle name="Total 4 5" xfId="22558" xr:uid="{97F17375-324D-4D30-9AF9-137DE854B84E}"/>
    <cellStyle name="Total 4 5 10" xfId="22559" xr:uid="{62D89F56-5709-4FC7-9410-3391EC05235F}"/>
    <cellStyle name="Total 4 5 10 2" xfId="40758" xr:uid="{80C9F337-A240-40BE-843A-842D1C09B0CD}"/>
    <cellStyle name="Total 4 5 10 3" xfId="40759" xr:uid="{2F3A63D1-7DC9-42ED-B76B-CACE9F77AF3C}"/>
    <cellStyle name="Total 4 5 11" xfId="22560" xr:uid="{7AECB304-81FE-407B-9F58-5C0F73BC01DB}"/>
    <cellStyle name="Total 4 5 11 2" xfId="40760" xr:uid="{F6CB1E65-9642-4AD8-A2FF-0D5F689DD107}"/>
    <cellStyle name="Total 4 5 12" xfId="40761" xr:uid="{6BB1B38A-5BA6-404E-A252-3D489349520C}"/>
    <cellStyle name="Total 4 5 2" xfId="22561" xr:uid="{4BF050D7-2AA6-45C5-B85A-25F1EED760B7}"/>
    <cellStyle name="Total 4 5 2 10" xfId="22562" xr:uid="{C94FC471-42FF-4E06-AFCA-E2859C88ED4C}"/>
    <cellStyle name="Total 4 5 2 10 2" xfId="40762" xr:uid="{FA882C77-B1E2-460C-B00A-0A41C2C6A4A2}"/>
    <cellStyle name="Total 4 5 2 11" xfId="40763" xr:uid="{0AE7AD92-C559-4DDF-9AC9-C8B350BD0C57}"/>
    <cellStyle name="Total 4 5 2 2" xfId="22563" xr:uid="{115BD457-E6EB-4F1D-B000-93C757271863}"/>
    <cellStyle name="Total 4 5 2 2 2" xfId="22564" xr:uid="{E9825A4A-7609-44E3-9868-22FD072A5983}"/>
    <cellStyle name="Total 4 5 2 2 2 2" xfId="40764" xr:uid="{53076BA2-A0EB-4A39-BCFA-0A7FBE4A19E2}"/>
    <cellStyle name="Total 4 5 2 2 2 3" xfId="40765" xr:uid="{33E6E741-6B17-4DFB-BC7D-C4C72963702B}"/>
    <cellStyle name="Total 4 5 2 2 3" xfId="22565" xr:uid="{0F940EB9-2AF2-4C4D-95BF-E27973CA5C5C}"/>
    <cellStyle name="Total 4 5 2 2 3 2" xfId="22566" xr:uid="{056F0A4D-2DC1-45ED-8971-483CDFF0281E}"/>
    <cellStyle name="Total 4 5 2 2 4" xfId="22567" xr:uid="{E8EA71B2-292D-4296-BFD5-C514405D4BA3}"/>
    <cellStyle name="Total 4 5 2 2 5" xfId="40766" xr:uid="{F8009F93-AC14-4A2B-B768-B07422E39067}"/>
    <cellStyle name="Total 4 5 2 3" xfId="22568" xr:uid="{D11934BE-8D4D-415F-BBA8-FE2C16D417C6}"/>
    <cellStyle name="Total 4 5 2 3 2" xfId="22569" xr:uid="{880A7C84-38D5-481A-ABCC-4C07789F3CB0}"/>
    <cellStyle name="Total 4 5 2 3 3" xfId="40767" xr:uid="{CC7B4B47-7158-4B62-99A6-233169C0FE53}"/>
    <cellStyle name="Total 4 5 2 4" xfId="22570" xr:uid="{0244A7F5-16A5-4C65-AE9F-3657F5E0BC94}"/>
    <cellStyle name="Total 4 5 2 4 2" xfId="22571" xr:uid="{FBCA82B1-F0B0-4B58-A76B-C79DEA8D073D}"/>
    <cellStyle name="Total 4 5 2 4 3" xfId="40768" xr:uid="{437D2819-AD1C-44CD-A823-155270B4FB5A}"/>
    <cellStyle name="Total 4 5 2 5" xfId="22572" xr:uid="{EB4FE8B4-BAC1-44BE-BF5D-B8428D2AC670}"/>
    <cellStyle name="Total 4 5 2 5 2" xfId="22573" xr:uid="{DDF7FEF6-3B68-4E42-8076-D7EE556C4555}"/>
    <cellStyle name="Total 4 5 2 5 3" xfId="40769" xr:uid="{94304B24-942B-474C-B778-FF199B7CB429}"/>
    <cellStyle name="Total 4 5 2 6" xfId="22574" xr:uid="{C1877FD0-7E45-43E2-93AF-C87B4CB0D427}"/>
    <cellStyle name="Total 4 5 2 6 2" xfId="22575" xr:uid="{667820E2-5470-4138-ACB4-4C26108DEF09}"/>
    <cellStyle name="Total 4 5 2 6 3" xfId="40770" xr:uid="{704B5FE6-FFBD-4859-8D95-307744A74458}"/>
    <cellStyle name="Total 4 5 2 7" xfId="22576" xr:uid="{3D351C53-CE8D-40FF-8464-61B2F6A89413}"/>
    <cellStyle name="Total 4 5 2 7 2" xfId="22577" xr:uid="{145A75BD-BC90-4085-B1F4-EFB65E0875D6}"/>
    <cellStyle name="Total 4 5 2 7 3" xfId="40771" xr:uid="{6AFDBC50-B413-4876-B29C-27C2D987E7E7}"/>
    <cellStyle name="Total 4 5 2 8" xfId="22578" xr:uid="{761A2B79-CBFF-4FF1-AD31-01C1790875AC}"/>
    <cellStyle name="Total 4 5 2 8 2" xfId="22579" xr:uid="{CDD533EA-C5CA-4860-A388-50CB9BFBCD65}"/>
    <cellStyle name="Total 4 5 2 8 3" xfId="40772" xr:uid="{DAFBCE96-6A17-4F05-9767-6E8270E41E28}"/>
    <cellStyle name="Total 4 5 2 9" xfId="22580" xr:uid="{BB38BB55-3228-42BD-ACA7-F89127644A6B}"/>
    <cellStyle name="Total 4 5 2 9 2" xfId="40773" xr:uid="{514A98F6-56C8-4710-BA40-D0967A76476C}"/>
    <cellStyle name="Total 4 5 2 9 3" xfId="40774" xr:uid="{A9AA3207-E7D8-4AEC-A585-E1F707A69468}"/>
    <cellStyle name="Total 4 5 3" xfId="22581" xr:uid="{255EC1A8-FD19-46BA-B1F6-CEEEEEEE6DC5}"/>
    <cellStyle name="Total 4 5 3 2" xfId="22582" xr:uid="{7DE07F9E-1EA4-40C2-AECE-152060DCEC57}"/>
    <cellStyle name="Total 4 5 3 2 2" xfId="40775" xr:uid="{015AE72F-0A9D-4C90-827F-EE3255B5CCA4}"/>
    <cellStyle name="Total 4 5 3 2 3" xfId="40776" xr:uid="{46BF979B-D112-42D3-9985-23ACE5E0D044}"/>
    <cellStyle name="Total 4 5 3 2 4" xfId="40777" xr:uid="{5D9DEAC7-9F6C-410A-BD3C-ACF2710D3415}"/>
    <cellStyle name="Total 4 5 3 3" xfId="22583" xr:uid="{DE9C8133-9179-4FF9-A01A-20161D6FBDBF}"/>
    <cellStyle name="Total 4 5 3 3 2" xfId="22584" xr:uid="{DAA200F6-C16B-4416-B140-36390C044CA2}"/>
    <cellStyle name="Total 4 5 3 4" xfId="22585" xr:uid="{434E8D7C-E248-4351-A145-26B8C6F97E9F}"/>
    <cellStyle name="Total 4 5 3 5" xfId="40778" xr:uid="{65AE14A2-1D48-4E2F-B2CA-4B8E19A5DCDE}"/>
    <cellStyle name="Total 4 5 4" xfId="22586" xr:uid="{5158981D-0450-4B36-8335-0C5EC95D8FC6}"/>
    <cellStyle name="Total 4 5 4 2" xfId="22587" xr:uid="{109B346E-6ABD-4E24-8EEA-4B545075041E}"/>
    <cellStyle name="Total 4 5 4 2 2" xfId="40779" xr:uid="{DEEABCE7-2BA0-4872-BA96-4F6B06C04BC6}"/>
    <cellStyle name="Total 4 5 4 2 3" xfId="40780" xr:uid="{35A0AC03-F5A5-4B2C-9E07-907016B19A37}"/>
    <cellStyle name="Total 4 5 4 3" xfId="22588" xr:uid="{D7E37992-EAEB-4393-828F-49ADDB681504}"/>
    <cellStyle name="Total 4 5 4 4" xfId="40781" xr:uid="{A8CAF077-968E-4231-9F62-98D62CDC07B4}"/>
    <cellStyle name="Total 4 5 4 5" xfId="40782" xr:uid="{0578D0D0-B25D-441A-A3CB-6300388F1A0E}"/>
    <cellStyle name="Total 4 5 5" xfId="22589" xr:uid="{F433AA01-B0E0-4817-B511-79673FCD4175}"/>
    <cellStyle name="Total 4 5 5 2" xfId="22590" xr:uid="{22219AB5-AA23-4265-818D-37421445B46F}"/>
    <cellStyle name="Total 4 5 5 2 2" xfId="40783" xr:uid="{C9FBB110-4569-46B6-8D7E-02DD00AC81ED}"/>
    <cellStyle name="Total 4 5 5 2 3" xfId="40784" xr:uid="{BA3B925A-2012-42C7-ABD8-2ADC2B1EA745}"/>
    <cellStyle name="Total 4 5 5 3" xfId="40785" xr:uid="{23AB66E2-3BD2-49F2-A14D-6B204EB650BA}"/>
    <cellStyle name="Total 4 5 5 4" xfId="40786" xr:uid="{DDD744BB-E6C5-4FAE-9F70-505A7B3CD0EF}"/>
    <cellStyle name="Total 4 5 6" xfId="22591" xr:uid="{CB165448-00C1-401C-B10E-2EF1002D064B}"/>
    <cellStyle name="Total 4 5 6 2" xfId="22592" xr:uid="{8A7237E5-1260-43F0-B6BC-D1B03E2FB857}"/>
    <cellStyle name="Total 4 5 6 3" xfId="40787" xr:uid="{9DF05AE1-49E5-4E3B-9809-1885C13D5CBF}"/>
    <cellStyle name="Total 4 5 7" xfId="22593" xr:uid="{5983F536-9BD2-4C63-856C-2C40C437D56A}"/>
    <cellStyle name="Total 4 5 7 2" xfId="22594" xr:uid="{5B0069C1-3547-424A-BCC0-751B198D269A}"/>
    <cellStyle name="Total 4 5 7 3" xfId="40788" xr:uid="{22C8FE74-8F23-4490-9575-73E5D8C77C44}"/>
    <cellStyle name="Total 4 5 8" xfId="22595" xr:uid="{309ADCC4-EF82-464C-A6FF-2B1232DF4BBA}"/>
    <cellStyle name="Total 4 5 8 2" xfId="22596" xr:uid="{2E85A442-ADDA-4DB2-94DC-C0DC04AF24B6}"/>
    <cellStyle name="Total 4 5 8 3" xfId="40789" xr:uid="{0E3FCFF9-26ED-4C41-AABB-D83A42E3E432}"/>
    <cellStyle name="Total 4 5 9" xfId="22597" xr:uid="{62EC8983-7213-496B-ABB6-7DC886E6E8A1}"/>
    <cellStyle name="Total 4 5 9 2" xfId="22598" xr:uid="{0D233E22-CCBB-4E9B-906E-20BA13F9CE09}"/>
    <cellStyle name="Total 4 5 9 3" xfId="40790" xr:uid="{B35DC94F-3BBC-49CD-9A27-309CBF6B50EF}"/>
    <cellStyle name="Total 4 6" xfId="22599" xr:uid="{63EFE9FC-6062-4F3D-A5B2-7E9F4912EEF8}"/>
    <cellStyle name="Total 4 6 10" xfId="22600" xr:uid="{D0AB3BFA-5854-4B4F-A105-51F41DA8E806}"/>
    <cellStyle name="Total 4 6 10 2" xfId="40791" xr:uid="{98226AD4-9FC8-47CE-B6DF-CC95FE203FAD}"/>
    <cellStyle name="Total 4 6 10 3" xfId="40792" xr:uid="{46A5C866-3F20-4FE9-A282-435F55B49E6C}"/>
    <cellStyle name="Total 4 6 11" xfId="22601" xr:uid="{DDA30478-2351-4E52-8D5C-379742EB9DC4}"/>
    <cellStyle name="Total 4 6 11 2" xfId="40793" xr:uid="{F5A22E37-AA8F-4E0F-BBBC-8D78AF6FFDA1}"/>
    <cellStyle name="Total 4 6 12" xfId="40794" xr:uid="{CF5AF508-2D01-4451-A8C6-B1B77DB8936E}"/>
    <cellStyle name="Total 4 6 2" xfId="22602" xr:uid="{2EDCB637-3B1E-41CC-8407-C0ED442DEA40}"/>
    <cellStyle name="Total 4 6 2 10" xfId="22603" xr:uid="{4812B576-31F9-4D32-80F9-9AF22C66C516}"/>
    <cellStyle name="Total 4 6 2 10 2" xfId="40795" xr:uid="{307514D4-E62D-4355-A1AC-6E4581FF755C}"/>
    <cellStyle name="Total 4 6 2 11" xfId="40796" xr:uid="{5AFDDCFD-699A-4F94-B959-0BCABF1E3F50}"/>
    <cellStyle name="Total 4 6 2 2" xfId="22604" xr:uid="{292FCE16-F431-460D-84E9-9C639EC833B5}"/>
    <cellStyle name="Total 4 6 2 2 2" xfId="22605" xr:uid="{DFF29190-5FF7-4D99-862D-C0CAFA20D6B5}"/>
    <cellStyle name="Total 4 6 2 2 2 2" xfId="40797" xr:uid="{FB354961-00EA-4A35-972F-241F65887704}"/>
    <cellStyle name="Total 4 6 2 2 2 3" xfId="40798" xr:uid="{73C82A72-C723-42B7-9F2C-A2839F0AA877}"/>
    <cellStyle name="Total 4 6 2 2 3" xfId="22606" xr:uid="{FF3C3097-698E-49B6-9AE7-D2B20F2ED45A}"/>
    <cellStyle name="Total 4 6 2 2 3 2" xfId="22607" xr:uid="{C768CBFB-DB98-41FA-BF2B-24B3518547E6}"/>
    <cellStyle name="Total 4 6 2 2 4" xfId="22608" xr:uid="{702FA49F-7C00-411D-B2F6-0D2706F699DC}"/>
    <cellStyle name="Total 4 6 2 2 5" xfId="40799" xr:uid="{A65EC53F-CEA3-48A3-A7E4-C88EE871AA91}"/>
    <cellStyle name="Total 4 6 2 3" xfId="22609" xr:uid="{97E142D7-CBEC-4368-B868-1C2FBFCDAE40}"/>
    <cellStyle name="Total 4 6 2 3 2" xfId="22610" xr:uid="{A1D4E36D-E41A-4A46-BE35-A0302E0307CC}"/>
    <cellStyle name="Total 4 6 2 3 3" xfId="40800" xr:uid="{A4FFE542-A8F7-4F4F-B942-42B5FD88C760}"/>
    <cellStyle name="Total 4 6 2 4" xfId="22611" xr:uid="{EB258F15-B80B-4BCE-BA4D-D58A09049967}"/>
    <cellStyle name="Total 4 6 2 4 2" xfId="22612" xr:uid="{618D5A7B-E26A-4E54-A481-0440D485E0CA}"/>
    <cellStyle name="Total 4 6 2 4 3" xfId="40801" xr:uid="{6E6E1046-30F5-434C-90AD-7D15BE93ACB3}"/>
    <cellStyle name="Total 4 6 2 5" xfId="22613" xr:uid="{AC85F194-EC25-4368-ADA4-01E30EE231D6}"/>
    <cellStyle name="Total 4 6 2 5 2" xfId="22614" xr:uid="{471DD599-B3D5-4A13-9FBD-7551F144276C}"/>
    <cellStyle name="Total 4 6 2 5 3" xfId="40802" xr:uid="{D8AB8652-55A4-4959-A7ED-E317E0FCDA82}"/>
    <cellStyle name="Total 4 6 2 6" xfId="22615" xr:uid="{95635FAE-354E-4A1C-ABA7-D11AF1028678}"/>
    <cellStyle name="Total 4 6 2 6 2" xfId="22616" xr:uid="{CDC2565D-6BFB-4AEE-BFFC-96F995BD19A0}"/>
    <cellStyle name="Total 4 6 2 6 3" xfId="40803" xr:uid="{2DF42FCF-86DA-427D-BCD2-941704A1A47B}"/>
    <cellStyle name="Total 4 6 2 7" xfId="22617" xr:uid="{907A1293-9291-4567-BE31-F0962A8630D1}"/>
    <cellStyle name="Total 4 6 2 7 2" xfId="22618" xr:uid="{577BD645-028E-4DB8-810F-243C920073DD}"/>
    <cellStyle name="Total 4 6 2 7 3" xfId="40804" xr:uid="{11287777-2A38-4163-AE7C-5BD627629940}"/>
    <cellStyle name="Total 4 6 2 8" xfId="22619" xr:uid="{EAB382DE-DF41-4692-9552-5AE9344783A1}"/>
    <cellStyle name="Total 4 6 2 8 2" xfId="22620" xr:uid="{7CF0136F-AEFC-48D3-9F9A-01EA6A8180F1}"/>
    <cellStyle name="Total 4 6 2 8 3" xfId="40805" xr:uid="{69116B6C-7AC8-4608-84B4-2184137A6EA0}"/>
    <cellStyle name="Total 4 6 2 9" xfId="22621" xr:uid="{848826D4-D580-4B5C-8D18-CC7C9FFADEF4}"/>
    <cellStyle name="Total 4 6 2 9 2" xfId="40806" xr:uid="{BF7019ED-766A-4D6C-B4DC-DA07635D5255}"/>
    <cellStyle name="Total 4 6 2 9 3" xfId="40807" xr:uid="{FB1A8D88-E0B3-44E0-9136-DB664BF46DEC}"/>
    <cellStyle name="Total 4 6 3" xfId="22622" xr:uid="{A5518797-B678-46BE-B9E7-EB3A0E6F417D}"/>
    <cellStyle name="Total 4 6 3 2" xfId="22623" xr:uid="{09B990EC-61FC-4B91-9791-E4F9E0B9A0E7}"/>
    <cellStyle name="Total 4 6 3 2 2" xfId="40808" xr:uid="{CFA5C972-958F-428F-8291-0A35287E5B7F}"/>
    <cellStyle name="Total 4 6 3 2 3" xfId="40809" xr:uid="{8A7F2652-ACB0-4CE0-821D-0CF3761D9CC9}"/>
    <cellStyle name="Total 4 6 3 2 4" xfId="40810" xr:uid="{F36DCC8A-37C5-4EE8-91E3-BA0E5E832B36}"/>
    <cellStyle name="Total 4 6 3 3" xfId="22624" xr:uid="{99E51740-994B-4DB5-8DA3-07F51E3C3CCF}"/>
    <cellStyle name="Total 4 6 3 3 2" xfId="22625" xr:uid="{AB07E41C-7D19-4C99-8681-BF1A3BE45A35}"/>
    <cellStyle name="Total 4 6 3 4" xfId="22626" xr:uid="{2AC0DCC7-C760-4CBC-BB11-A02D9D497932}"/>
    <cellStyle name="Total 4 6 3 5" xfId="40811" xr:uid="{884FEA38-6653-47A9-BA46-A52503E00B19}"/>
    <cellStyle name="Total 4 6 4" xfId="22627" xr:uid="{FB097A27-C68C-4D2C-97B5-34458B8E12E2}"/>
    <cellStyle name="Total 4 6 4 2" xfId="22628" xr:uid="{DC9EBCD7-C3AC-46E0-BADA-A2584E125B7F}"/>
    <cellStyle name="Total 4 6 4 2 2" xfId="40812" xr:uid="{CD7A679E-CDD5-462C-A5C8-D4A211EB6C85}"/>
    <cellStyle name="Total 4 6 4 2 3" xfId="40813" xr:uid="{6307EBDC-7ACA-46B8-A9CC-59B073D7C8D7}"/>
    <cellStyle name="Total 4 6 4 3" xfId="22629" xr:uid="{103737AD-3120-46A5-A839-6AB1F026C5AC}"/>
    <cellStyle name="Total 4 6 4 4" xfId="40814" xr:uid="{2FFA3556-8DBB-4992-9181-9B40D36AD858}"/>
    <cellStyle name="Total 4 6 4 5" xfId="40815" xr:uid="{2B18ED4C-389C-46D5-88DB-B9C13A1E9664}"/>
    <cellStyle name="Total 4 6 5" xfId="22630" xr:uid="{14819DE0-428E-471E-B104-DD1F92827D38}"/>
    <cellStyle name="Total 4 6 5 2" xfId="22631" xr:uid="{70D84D83-BA6B-4070-8123-326F055A6919}"/>
    <cellStyle name="Total 4 6 5 2 2" xfId="40816" xr:uid="{34798A12-2654-4D4B-B2D2-576A2719FEF7}"/>
    <cellStyle name="Total 4 6 5 2 3" xfId="40817" xr:uid="{E509F337-7E03-4B17-9161-A124FAF9AB18}"/>
    <cellStyle name="Total 4 6 5 3" xfId="40818" xr:uid="{801B4060-EE9D-48D8-9B76-0C0E160925C4}"/>
    <cellStyle name="Total 4 6 5 4" xfId="40819" xr:uid="{9AF35974-BE08-4D4A-8DE5-7D507A60EF67}"/>
    <cellStyle name="Total 4 6 6" xfId="22632" xr:uid="{55475243-9A41-4E47-8FFE-8915BC320927}"/>
    <cellStyle name="Total 4 6 6 2" xfId="22633" xr:uid="{1ACDAD41-2BA1-434E-9D83-1C2468D454B7}"/>
    <cellStyle name="Total 4 6 6 3" xfId="40820" xr:uid="{2D48AD52-50C6-4861-9E8A-92BC7B134908}"/>
    <cellStyle name="Total 4 6 7" xfId="22634" xr:uid="{3D84FA66-AE75-48B3-9403-F04A4524DE0D}"/>
    <cellStyle name="Total 4 6 7 2" xfId="22635" xr:uid="{834F10A2-F58C-4265-9F2F-70676C954A89}"/>
    <cellStyle name="Total 4 6 7 3" xfId="40821" xr:uid="{B473201B-66ED-4C3A-9E98-7ADBD5B5E599}"/>
    <cellStyle name="Total 4 6 8" xfId="22636" xr:uid="{4315DF6A-2518-4725-A41C-0B60CFE949C9}"/>
    <cellStyle name="Total 4 6 8 2" xfId="22637" xr:uid="{061ABA94-3EDF-44E2-952D-93F553011CA6}"/>
    <cellStyle name="Total 4 6 8 3" xfId="40822" xr:uid="{9012E7A6-1DE5-4D7E-AEAD-376DFA8323DB}"/>
    <cellStyle name="Total 4 6 9" xfId="22638" xr:uid="{1AA60F3F-3FB8-4159-B558-F713DFBA6FFD}"/>
    <cellStyle name="Total 4 6 9 2" xfId="22639" xr:uid="{9D634587-7033-4B2B-A8C2-F64F09FC7DC7}"/>
    <cellStyle name="Total 4 6 9 3" xfId="40823" xr:uid="{9267E37C-40EF-4652-BCC7-5F33DF1F0B59}"/>
    <cellStyle name="Total 4 7" xfId="22640" xr:uid="{9DD94627-A2E4-49C4-B8F8-F26F1E4EDA52}"/>
    <cellStyle name="Total 4 7 10" xfId="22641" xr:uid="{58864731-6410-47FA-919E-136C1E547E9D}"/>
    <cellStyle name="Total 4 7 10 2" xfId="40824" xr:uid="{68ED9524-16B0-405F-9A5C-5A38BE3593EE}"/>
    <cellStyle name="Total 4 7 10 3" xfId="40825" xr:uid="{20AFA4D1-3947-4AA0-9A1F-CB30509FF990}"/>
    <cellStyle name="Total 4 7 11" xfId="22642" xr:uid="{E2C23042-5743-414A-84D3-B4671F2702EC}"/>
    <cellStyle name="Total 4 7 11 2" xfId="40826" xr:uid="{7E8FD5C0-5E67-43F0-8A7A-CA2F5046A2AD}"/>
    <cellStyle name="Total 4 7 12" xfId="40827" xr:uid="{125BF53C-B67E-4E14-8A2E-B46AA3A4A551}"/>
    <cellStyle name="Total 4 7 2" xfId="22643" xr:uid="{72D76A83-7186-489F-B9C0-B60A1DA4F135}"/>
    <cellStyle name="Total 4 7 2 10" xfId="22644" xr:uid="{BB6029CE-7589-4319-A83D-7095020FAB1C}"/>
    <cellStyle name="Total 4 7 2 10 2" xfId="40828" xr:uid="{11BB9158-D72D-436F-8042-43600D56E201}"/>
    <cellStyle name="Total 4 7 2 11" xfId="40829" xr:uid="{40CB7240-08EA-444D-B084-FE1D738B50D6}"/>
    <cellStyle name="Total 4 7 2 2" xfId="22645" xr:uid="{5562C54E-0B41-45FB-88AC-511B1DE32132}"/>
    <cellStyle name="Total 4 7 2 2 2" xfId="22646" xr:uid="{D46DA0C6-A278-4C95-A695-F36204DB4B65}"/>
    <cellStyle name="Total 4 7 2 2 2 2" xfId="40830" xr:uid="{5E3EAF2F-3A87-4838-B860-95D49348F00A}"/>
    <cellStyle name="Total 4 7 2 2 2 3" xfId="40831" xr:uid="{7EC3781E-72BE-49A3-AEDD-E2051876DFE0}"/>
    <cellStyle name="Total 4 7 2 2 3" xfId="22647" xr:uid="{1AD2B3CB-F886-4F27-A2D9-F342EE359ABF}"/>
    <cellStyle name="Total 4 7 2 2 3 2" xfId="22648" xr:uid="{1EEA9776-F1B3-4EF9-A3B3-262D21CE1F0C}"/>
    <cellStyle name="Total 4 7 2 2 4" xfId="22649" xr:uid="{29DF9543-3938-452F-804F-E1476C08FD85}"/>
    <cellStyle name="Total 4 7 2 2 5" xfId="40832" xr:uid="{859817A9-D07A-49D7-A50A-E959D2574B30}"/>
    <cellStyle name="Total 4 7 2 3" xfId="22650" xr:uid="{862D8788-298C-4ACA-93DD-2A82BD212683}"/>
    <cellStyle name="Total 4 7 2 3 2" xfId="22651" xr:uid="{94C81283-92F4-4C70-A282-ABE08AE16B44}"/>
    <cellStyle name="Total 4 7 2 3 3" xfId="40833" xr:uid="{ECC5F863-0AB7-4DCB-9C2A-336C4B156E9F}"/>
    <cellStyle name="Total 4 7 2 4" xfId="22652" xr:uid="{0A3E7D34-FDFF-4989-996C-74774C7AB470}"/>
    <cellStyle name="Total 4 7 2 4 2" xfId="22653" xr:uid="{414C705F-331C-491E-8865-B270CA3E6946}"/>
    <cellStyle name="Total 4 7 2 4 3" xfId="40834" xr:uid="{DB79FDCD-9DAE-4C9C-ADE5-E7B87136916F}"/>
    <cellStyle name="Total 4 7 2 5" xfId="22654" xr:uid="{B8BCAC1E-350E-443E-ADAE-35A13820B64D}"/>
    <cellStyle name="Total 4 7 2 5 2" xfId="22655" xr:uid="{4584397D-35CA-46F6-858E-488915351446}"/>
    <cellStyle name="Total 4 7 2 5 3" xfId="40835" xr:uid="{C8776E46-66C4-4DBE-B2B6-7C9020A6BBD9}"/>
    <cellStyle name="Total 4 7 2 6" xfId="22656" xr:uid="{15AD4A81-5E64-4CE0-A538-49A8B3EC999E}"/>
    <cellStyle name="Total 4 7 2 6 2" xfId="22657" xr:uid="{389B0644-40DE-4676-85C7-1F25621CEC8A}"/>
    <cellStyle name="Total 4 7 2 6 3" xfId="40836" xr:uid="{5942AC26-CEB7-4F61-B2F9-02D0789E7E13}"/>
    <cellStyle name="Total 4 7 2 7" xfId="22658" xr:uid="{3CA0863C-F989-4D22-A278-99F0E6D3DF4E}"/>
    <cellStyle name="Total 4 7 2 7 2" xfId="22659" xr:uid="{07B5424F-3BE9-4B29-ADB2-58DAFDB4655E}"/>
    <cellStyle name="Total 4 7 2 7 3" xfId="40837" xr:uid="{B3A9FA2F-0198-46BF-9D5E-103F5394796B}"/>
    <cellStyle name="Total 4 7 2 8" xfId="22660" xr:uid="{963C2056-F445-4CA2-BD0C-89CCA940F8E0}"/>
    <cellStyle name="Total 4 7 2 8 2" xfId="22661" xr:uid="{DD146DD3-1818-444C-B8BD-BD77B25050C0}"/>
    <cellStyle name="Total 4 7 2 8 3" xfId="40838" xr:uid="{F42B2CCC-5442-46CD-AB4D-FCED73B9086E}"/>
    <cellStyle name="Total 4 7 2 9" xfId="22662" xr:uid="{75C2330B-E8F6-447B-BE5D-890B858269CB}"/>
    <cellStyle name="Total 4 7 2 9 2" xfId="40839" xr:uid="{64075F44-7BAF-41B6-9B49-DC41CF35C57B}"/>
    <cellStyle name="Total 4 7 2 9 3" xfId="40840" xr:uid="{0D7BA61B-3267-478A-B265-27D0E37A0636}"/>
    <cellStyle name="Total 4 7 3" xfId="22663" xr:uid="{9F11030E-B789-4C17-B269-EC16EDE8A6A5}"/>
    <cellStyle name="Total 4 7 3 2" xfId="22664" xr:uid="{08EAB47A-D958-4AAD-823B-0466CCF3BC41}"/>
    <cellStyle name="Total 4 7 3 2 2" xfId="40841" xr:uid="{CE8BEA1E-5604-443F-B645-BBABCB373397}"/>
    <cellStyle name="Total 4 7 3 2 3" xfId="40842" xr:uid="{D89C64EE-B6BB-428B-A49A-B45854966378}"/>
    <cellStyle name="Total 4 7 3 2 4" xfId="40843" xr:uid="{69E01253-41A2-4592-A780-3352FCEE6FF4}"/>
    <cellStyle name="Total 4 7 3 3" xfId="22665" xr:uid="{3F3F9DD3-1CB3-4F39-A7D9-1B51AB23E958}"/>
    <cellStyle name="Total 4 7 3 3 2" xfId="22666" xr:uid="{AC85D8EB-3803-4DD2-AED0-9431FDD5C968}"/>
    <cellStyle name="Total 4 7 3 4" xfId="22667" xr:uid="{C87E8B19-B20E-40EB-BF3F-F8288F7F25EA}"/>
    <cellStyle name="Total 4 7 3 5" xfId="40844" xr:uid="{D8A4DD14-143A-46D7-8FFE-98EC1F325D7C}"/>
    <cellStyle name="Total 4 7 4" xfId="22668" xr:uid="{2D89E647-3E96-4CC4-A612-50EEC71DAEAD}"/>
    <cellStyle name="Total 4 7 4 2" xfId="22669" xr:uid="{EF9CD651-D406-47D6-B59D-5D3664FCD688}"/>
    <cellStyle name="Total 4 7 4 2 2" xfId="40845" xr:uid="{5EEE0404-3AE7-4E7B-8025-8313567478BC}"/>
    <cellStyle name="Total 4 7 4 2 3" xfId="40846" xr:uid="{2DFD6F1A-8872-4381-8449-DF7C6CACD964}"/>
    <cellStyle name="Total 4 7 4 3" xfId="22670" xr:uid="{30B3929C-55A3-4F17-BC9F-9F402EA11994}"/>
    <cellStyle name="Total 4 7 4 4" xfId="40847" xr:uid="{41E5FAD1-055E-40AF-944F-CE75DD007BCA}"/>
    <cellStyle name="Total 4 7 4 5" xfId="40848" xr:uid="{145DAB60-65A4-4AD4-A832-C36FE3D88CFE}"/>
    <cellStyle name="Total 4 7 5" xfId="22671" xr:uid="{6A5D213D-7B01-41D9-8581-F5F738F9395B}"/>
    <cellStyle name="Total 4 7 5 2" xfId="22672" xr:uid="{DCEEC8AD-CEF1-4E79-A440-D5F347AA37BB}"/>
    <cellStyle name="Total 4 7 5 2 2" xfId="40849" xr:uid="{1DA70571-23AF-452E-AF41-8AE25110F039}"/>
    <cellStyle name="Total 4 7 5 2 3" xfId="40850" xr:uid="{E432F39F-8E8A-47CA-AFAC-2F3C546C1EC4}"/>
    <cellStyle name="Total 4 7 5 3" xfId="40851" xr:uid="{C1CF72E4-7D11-4D03-BD69-C7F69FB3B5A6}"/>
    <cellStyle name="Total 4 7 5 4" xfId="40852" xr:uid="{CB0BAED5-DFF3-446B-A957-17A6FD3AB88C}"/>
    <cellStyle name="Total 4 7 6" xfId="22673" xr:uid="{539E1D36-F8A4-4134-A1DB-9C000529375A}"/>
    <cellStyle name="Total 4 7 6 2" xfId="22674" xr:uid="{9648A257-CE9C-4B22-BDA2-BC8088174F52}"/>
    <cellStyle name="Total 4 7 6 3" xfId="40853" xr:uid="{657A98EE-B49E-425E-8E5F-E2E47D7465BA}"/>
    <cellStyle name="Total 4 7 7" xfId="22675" xr:uid="{B2B58C0D-00AF-46B6-9EBA-53C40EB89E53}"/>
    <cellStyle name="Total 4 7 7 2" xfId="22676" xr:uid="{3A4F1977-E638-42B5-94AE-1E389D65E614}"/>
    <cellStyle name="Total 4 7 7 3" xfId="40854" xr:uid="{D3FC7DC1-1C02-4CF5-85B3-191BCB0FB479}"/>
    <cellStyle name="Total 4 7 8" xfId="22677" xr:uid="{4BEF8C51-78DF-4254-A0E3-15081086F81C}"/>
    <cellStyle name="Total 4 7 8 2" xfId="22678" xr:uid="{35E0AD61-2CAF-41DC-8F3A-3032DB2F1EC2}"/>
    <cellStyle name="Total 4 7 8 3" xfId="40855" xr:uid="{76B6547A-F35A-49F3-9BAF-5BF2BD68BC3C}"/>
    <cellStyle name="Total 4 7 9" xfId="22679" xr:uid="{47A78C3D-43F1-479D-9E2D-6FB528047785}"/>
    <cellStyle name="Total 4 7 9 2" xfId="22680" xr:uid="{3AB3BAA2-D74B-4201-98F8-405F397D45B3}"/>
    <cellStyle name="Total 4 7 9 3" xfId="40856" xr:uid="{E2F11CF3-967D-4073-B3B2-6300F9F9306C}"/>
    <cellStyle name="Total 4 8" xfId="22681" xr:uid="{0C4CDDAA-2FF1-43D4-B3C4-6F4725BD92B3}"/>
    <cellStyle name="Total 4 8 10" xfId="22682" xr:uid="{67E9EDEE-8EC3-46D7-8D38-973C4537FC6E}"/>
    <cellStyle name="Total 4 8 10 2" xfId="40857" xr:uid="{03C4DAA8-CFFE-40BA-A283-EF0EF1DBB614}"/>
    <cellStyle name="Total 4 8 10 3" xfId="40858" xr:uid="{FC1E876D-945A-4E47-BF4E-7189A7896A83}"/>
    <cellStyle name="Total 4 8 11" xfId="22683" xr:uid="{8B46EA1D-03E5-47CE-B597-D4EFDCE7E7DC}"/>
    <cellStyle name="Total 4 8 11 2" xfId="40859" xr:uid="{D558720C-6BF4-449E-963F-6963668FDF37}"/>
    <cellStyle name="Total 4 8 12" xfId="40860" xr:uid="{7218A04D-B680-41BF-8752-1DC222F80F83}"/>
    <cellStyle name="Total 4 8 2" xfId="22684" xr:uid="{0D64D411-A76F-444D-9660-B8DA74E65F9A}"/>
    <cellStyle name="Total 4 8 2 10" xfId="22685" xr:uid="{71010E54-4ABF-475E-8336-2D281C84DC55}"/>
    <cellStyle name="Total 4 8 2 10 2" xfId="40861" xr:uid="{F28186D6-DCEA-43E4-BC64-855B17183BED}"/>
    <cellStyle name="Total 4 8 2 11" xfId="40862" xr:uid="{CD152F72-1868-4C0A-B904-647FB1EED25F}"/>
    <cellStyle name="Total 4 8 2 2" xfId="22686" xr:uid="{9F3FF6F5-7219-402C-A58A-5D1BAB332E52}"/>
    <cellStyle name="Total 4 8 2 2 2" xfId="22687" xr:uid="{B664B6DB-7C88-42BF-8257-4182F7B61649}"/>
    <cellStyle name="Total 4 8 2 2 2 2" xfId="40863" xr:uid="{614A1014-00BD-4290-B6CD-F50718BBB554}"/>
    <cellStyle name="Total 4 8 2 2 2 3" xfId="40864" xr:uid="{23B5FDB3-D35E-4C0A-BB18-3C53CFBF9DBC}"/>
    <cellStyle name="Total 4 8 2 2 3" xfId="22688" xr:uid="{3C18CB8B-2838-446C-94D6-C8B65B08051C}"/>
    <cellStyle name="Total 4 8 2 2 3 2" xfId="22689" xr:uid="{D8D85D3B-03B7-4F91-A404-D2F676D11893}"/>
    <cellStyle name="Total 4 8 2 2 4" xfId="22690" xr:uid="{1A497BA1-5888-4248-8EE9-39F7F3F1252E}"/>
    <cellStyle name="Total 4 8 2 2 5" xfId="40865" xr:uid="{C7F3F110-7D25-4597-9FE8-5FA5B939C6DF}"/>
    <cellStyle name="Total 4 8 2 3" xfId="22691" xr:uid="{5A4F05D9-45F1-4067-BEEE-FCAC85F8DEF2}"/>
    <cellStyle name="Total 4 8 2 3 2" xfId="22692" xr:uid="{9B2A93F2-E227-4B6C-8895-81D5AA8252E4}"/>
    <cellStyle name="Total 4 8 2 3 3" xfId="40866" xr:uid="{3A029D1F-60AF-4772-BEA0-FCE30FEA36CB}"/>
    <cellStyle name="Total 4 8 2 4" xfId="22693" xr:uid="{DEAAFA3E-42D4-4C5A-A298-59E1130D2A05}"/>
    <cellStyle name="Total 4 8 2 4 2" xfId="22694" xr:uid="{67A181C3-B7F9-4E8A-835A-9CCABCDEB42B}"/>
    <cellStyle name="Total 4 8 2 4 3" xfId="40867" xr:uid="{9231ACB2-0A4D-44CB-83E3-A3C9175E9544}"/>
    <cellStyle name="Total 4 8 2 5" xfId="22695" xr:uid="{5E096BCA-6C08-4594-BFE9-9AB3853D958E}"/>
    <cellStyle name="Total 4 8 2 5 2" xfId="22696" xr:uid="{9B8630D5-E161-40E5-9736-21CF170DE8A4}"/>
    <cellStyle name="Total 4 8 2 5 3" xfId="40868" xr:uid="{34F38E44-535D-42C2-A539-D3ED096AAAFA}"/>
    <cellStyle name="Total 4 8 2 6" xfId="22697" xr:uid="{C507897C-E42C-49E8-B664-2262EBDD4E65}"/>
    <cellStyle name="Total 4 8 2 6 2" xfId="22698" xr:uid="{0EB8E493-70BA-45F0-947C-BDD702E48BFA}"/>
    <cellStyle name="Total 4 8 2 6 3" xfId="40869" xr:uid="{3A82EAAA-17EC-496B-86F2-7CA2EED0AF5D}"/>
    <cellStyle name="Total 4 8 2 7" xfId="22699" xr:uid="{9F8F0F06-CD9F-4E79-B051-94B41F318B95}"/>
    <cellStyle name="Total 4 8 2 7 2" xfId="22700" xr:uid="{6925C1C4-4051-4FBE-898F-30089F9681BD}"/>
    <cellStyle name="Total 4 8 2 7 3" xfId="40870" xr:uid="{9C0A8C26-9C73-4872-84AF-13F4035CC8C8}"/>
    <cellStyle name="Total 4 8 2 8" xfId="22701" xr:uid="{2CDE8EDE-DB28-4399-A510-2E5B9FAC2E91}"/>
    <cellStyle name="Total 4 8 2 8 2" xfId="22702" xr:uid="{59B6E091-99F6-4029-A37F-22D91676DDCC}"/>
    <cellStyle name="Total 4 8 2 8 3" xfId="40871" xr:uid="{E2EC3204-D652-4491-BECF-A238096A7E27}"/>
    <cellStyle name="Total 4 8 2 9" xfId="22703" xr:uid="{17D982A4-4B69-4ACF-BEB1-127DCA01077C}"/>
    <cellStyle name="Total 4 8 2 9 2" xfId="40872" xr:uid="{20CDE98C-82CE-45F8-B7E2-BC371C0FFC12}"/>
    <cellStyle name="Total 4 8 2 9 3" xfId="40873" xr:uid="{A15FB82C-0CA6-47B1-80E0-37435777D376}"/>
    <cellStyle name="Total 4 8 3" xfId="22704" xr:uid="{59B03730-882F-41AD-BBE8-99933E02AF53}"/>
    <cellStyle name="Total 4 8 3 2" xfId="22705" xr:uid="{A8B8D098-6DFF-40C7-8475-E8BD0BA565D6}"/>
    <cellStyle name="Total 4 8 3 2 2" xfId="40874" xr:uid="{5FD65D44-4518-44EF-A07E-97A7CE98B30D}"/>
    <cellStyle name="Total 4 8 3 2 3" xfId="40875" xr:uid="{8C0616EE-7A9B-4574-809A-9F4027DA2AD7}"/>
    <cellStyle name="Total 4 8 3 2 4" xfId="40876" xr:uid="{DE54422F-B2D5-4181-B099-773BAC9C662C}"/>
    <cellStyle name="Total 4 8 3 3" xfId="22706" xr:uid="{CF511975-0740-4EA2-AF86-EC4422605C42}"/>
    <cellStyle name="Total 4 8 3 3 2" xfId="22707" xr:uid="{5A57966F-54AA-49C0-B3CF-2655F3362CCA}"/>
    <cellStyle name="Total 4 8 3 4" xfId="22708" xr:uid="{0BB72C50-1EE2-4C9D-97C2-BDE4F9F78BE8}"/>
    <cellStyle name="Total 4 8 3 5" xfId="40877" xr:uid="{B029F587-6248-4075-B298-531F365860B8}"/>
    <cellStyle name="Total 4 8 4" xfId="22709" xr:uid="{541139D5-98B3-49E6-8971-98222065CB73}"/>
    <cellStyle name="Total 4 8 4 2" xfId="22710" xr:uid="{58D9C81B-6BE6-4F5B-A12E-141FAEBC4C61}"/>
    <cellStyle name="Total 4 8 4 2 2" xfId="40878" xr:uid="{D2A95E75-285F-42A7-A91F-2F0EF4B3C8A2}"/>
    <cellStyle name="Total 4 8 4 2 3" xfId="40879" xr:uid="{A0050669-DFC6-467C-9205-1A9CF4D8D80C}"/>
    <cellStyle name="Total 4 8 4 3" xfId="22711" xr:uid="{DC2ABE08-A5A5-4FCD-9F0C-EA4F11961571}"/>
    <cellStyle name="Total 4 8 4 4" xfId="40880" xr:uid="{5C940E2A-BC11-4192-A60F-9E22DFD4E7A8}"/>
    <cellStyle name="Total 4 8 4 5" xfId="40881" xr:uid="{3551E9F4-CAC0-4B36-A221-8BBCE6269521}"/>
    <cellStyle name="Total 4 8 5" xfId="22712" xr:uid="{6AA93C3C-DFFD-4DF2-8C73-A2CB7E3EBBCA}"/>
    <cellStyle name="Total 4 8 5 2" xfId="22713" xr:uid="{D847077A-11AD-4880-8CFA-9AA0C1E561A9}"/>
    <cellStyle name="Total 4 8 5 2 2" xfId="40882" xr:uid="{A2DBB37C-57D4-4B61-9F03-22B755F8AC9F}"/>
    <cellStyle name="Total 4 8 5 2 3" xfId="40883" xr:uid="{A2D51291-902F-488E-9236-77767AC803BE}"/>
    <cellStyle name="Total 4 8 5 3" xfId="40884" xr:uid="{2D5CFA6E-4457-4376-9403-2D39C5537D8E}"/>
    <cellStyle name="Total 4 8 5 4" xfId="40885" xr:uid="{991D417F-3816-42B4-AD0D-428FC51B3450}"/>
    <cellStyle name="Total 4 8 6" xfId="22714" xr:uid="{961523A1-1BA6-4ECC-A65D-418B3ADB021A}"/>
    <cellStyle name="Total 4 8 6 2" xfId="22715" xr:uid="{AC263639-CCD3-4C46-A75E-45211EE099DF}"/>
    <cellStyle name="Total 4 8 6 3" xfId="40886" xr:uid="{44AD7F09-2024-4A7F-890D-A190E8F82EF4}"/>
    <cellStyle name="Total 4 8 7" xfId="22716" xr:uid="{BAAAB1D0-C2AD-4D9A-B4B9-E50A3FCFE697}"/>
    <cellStyle name="Total 4 8 7 2" xfId="22717" xr:uid="{B2180076-F988-4E5C-AFBD-A2F6F4D8048B}"/>
    <cellStyle name="Total 4 8 7 3" xfId="40887" xr:uid="{7129F3BC-B718-4EA8-820A-47970176E369}"/>
    <cellStyle name="Total 4 8 8" xfId="22718" xr:uid="{3BC48D82-CFE0-4202-A08E-6FF2982AC42D}"/>
    <cellStyle name="Total 4 8 8 2" xfId="22719" xr:uid="{F47F2DA4-3609-4A19-AA67-AE8F27E47695}"/>
    <cellStyle name="Total 4 8 8 3" xfId="40888" xr:uid="{2E0D6658-B551-43ED-BA52-D7CBBBBDE5ED}"/>
    <cellStyle name="Total 4 8 9" xfId="22720" xr:uid="{FE154F8B-0BA7-40D1-BD13-1A82560C146E}"/>
    <cellStyle name="Total 4 8 9 2" xfId="22721" xr:uid="{A117B615-5E47-4E95-953C-42C8215E2122}"/>
    <cellStyle name="Total 4 8 9 3" xfId="40889" xr:uid="{63C80527-24AA-4666-A711-CCEE7D060D02}"/>
    <cellStyle name="Total 4 9" xfId="22722" xr:uid="{97993904-3860-4C10-84A6-349D3E111CCD}"/>
    <cellStyle name="Total 4 9 10" xfId="22723" xr:uid="{44681504-717D-4FE6-8304-4BEB880DC786}"/>
    <cellStyle name="Total 4 9 10 2" xfId="40890" xr:uid="{10891D68-4220-48E2-9F60-9E3B67512F94}"/>
    <cellStyle name="Total 4 9 10 3" xfId="40891" xr:uid="{067D039E-28C2-4C54-8938-18466D294816}"/>
    <cellStyle name="Total 4 9 11" xfId="22724" xr:uid="{0BE3C732-9FDC-48D3-A14B-69938B3EE480}"/>
    <cellStyle name="Total 4 9 11 2" xfId="40892" xr:uid="{AE99A788-32E9-4DC8-8C40-CE8752BE554D}"/>
    <cellStyle name="Total 4 9 12" xfId="40893" xr:uid="{F6B56897-ECEC-4609-B53F-E4DA90D4ADA8}"/>
    <cellStyle name="Total 4 9 2" xfId="22725" xr:uid="{0956065F-FE88-4321-96FF-680F3A387E80}"/>
    <cellStyle name="Total 4 9 2 10" xfId="22726" xr:uid="{B27BD3D9-47F6-47E0-9D9A-62FE43E242A3}"/>
    <cellStyle name="Total 4 9 2 10 2" xfId="40894" xr:uid="{985FC406-A471-438F-BC1C-DB198E791CD7}"/>
    <cellStyle name="Total 4 9 2 11" xfId="40895" xr:uid="{B34CFEDD-AB31-4650-A9B8-FD003AC5FF48}"/>
    <cellStyle name="Total 4 9 2 2" xfId="22727" xr:uid="{AD893A58-F722-402C-95EA-F79997F8245D}"/>
    <cellStyle name="Total 4 9 2 2 2" xfId="22728" xr:uid="{EE4ABC2C-AF41-489C-96F6-81D31B583578}"/>
    <cellStyle name="Total 4 9 2 2 2 2" xfId="40896" xr:uid="{D1473F5F-3ED2-41BB-8875-92D5DB1C201A}"/>
    <cellStyle name="Total 4 9 2 2 2 3" xfId="40897" xr:uid="{0DB3E002-4E72-42E8-ABBC-FFD2AF818B40}"/>
    <cellStyle name="Total 4 9 2 2 3" xfId="22729" xr:uid="{BCF4C25E-2CFD-4DED-9B99-39117EA92DB1}"/>
    <cellStyle name="Total 4 9 2 2 3 2" xfId="22730" xr:uid="{FA48C3BB-B9C2-4E92-8ED2-50FFAC1A7556}"/>
    <cellStyle name="Total 4 9 2 2 4" xfId="22731" xr:uid="{331B67E0-E36C-4544-A211-FAA21DB714A3}"/>
    <cellStyle name="Total 4 9 2 2 5" xfId="40898" xr:uid="{53AAC197-3635-438B-A372-EAF3CEBDF976}"/>
    <cellStyle name="Total 4 9 2 3" xfId="22732" xr:uid="{DC90A9F5-43A6-4013-B6F7-B601EFAE0A90}"/>
    <cellStyle name="Total 4 9 2 3 2" xfId="22733" xr:uid="{25B0281E-2C72-448F-8F8A-44227901C51D}"/>
    <cellStyle name="Total 4 9 2 3 3" xfId="40899" xr:uid="{86EA30FB-DDD6-433D-A6CE-DAE7D801BEB3}"/>
    <cellStyle name="Total 4 9 2 4" xfId="22734" xr:uid="{99E893DC-29CF-4F71-AAF4-CADD578582E0}"/>
    <cellStyle name="Total 4 9 2 4 2" xfId="22735" xr:uid="{50E7B075-1CE7-405B-9B4E-3289CE50690C}"/>
    <cellStyle name="Total 4 9 2 4 3" xfId="40900" xr:uid="{FB2E26DD-E515-4929-8513-45D97494CA1A}"/>
    <cellStyle name="Total 4 9 2 5" xfId="22736" xr:uid="{97CDA819-6CEB-4105-8D03-2E07681638C8}"/>
    <cellStyle name="Total 4 9 2 5 2" xfId="22737" xr:uid="{618A2E5F-CDA7-4532-8B40-198A8129BFB3}"/>
    <cellStyle name="Total 4 9 2 5 3" xfId="40901" xr:uid="{A6786C7B-BFA7-4DD3-B85F-44BF25769E39}"/>
    <cellStyle name="Total 4 9 2 6" xfId="22738" xr:uid="{B457076C-FBBB-4B0E-AFC1-F3901A023A16}"/>
    <cellStyle name="Total 4 9 2 6 2" xfId="22739" xr:uid="{C8C670CE-445C-4D1C-9D8E-CB4CCF6A153E}"/>
    <cellStyle name="Total 4 9 2 6 3" xfId="40902" xr:uid="{F58FCE72-914F-4A10-A44F-D39F2AEF03F9}"/>
    <cellStyle name="Total 4 9 2 7" xfId="22740" xr:uid="{27733BF1-B4C5-42B6-937A-971FAFCD3E87}"/>
    <cellStyle name="Total 4 9 2 7 2" xfId="22741" xr:uid="{55423B64-AB93-4304-8401-B87343AE1CE4}"/>
    <cellStyle name="Total 4 9 2 7 3" xfId="40903" xr:uid="{290C340C-1828-47A6-AC4A-F5039D98788B}"/>
    <cellStyle name="Total 4 9 2 8" xfId="22742" xr:uid="{7E689C94-9E51-4306-B32C-8148BBDC11FF}"/>
    <cellStyle name="Total 4 9 2 8 2" xfId="22743" xr:uid="{15B8A781-D17D-4413-8270-1CFAD063EB06}"/>
    <cellStyle name="Total 4 9 2 8 3" xfId="40904" xr:uid="{B38609DD-99FA-4D79-A5B7-A7D13379DFCB}"/>
    <cellStyle name="Total 4 9 2 9" xfId="22744" xr:uid="{5D4CBC06-2F24-4CB0-B44A-4ABE0E941B2B}"/>
    <cellStyle name="Total 4 9 2 9 2" xfId="40905" xr:uid="{CED36327-D431-440A-8D60-A8931FAEFDE8}"/>
    <cellStyle name="Total 4 9 2 9 3" xfId="40906" xr:uid="{CE0AF2D0-4291-4D0A-8DB3-8088CEFB8454}"/>
    <cellStyle name="Total 4 9 3" xfId="22745" xr:uid="{8CDAD947-285F-403B-8DA6-5A0F850E8B95}"/>
    <cellStyle name="Total 4 9 3 2" xfId="22746" xr:uid="{532BADB0-138A-44D9-BCD6-36BF22A9235E}"/>
    <cellStyle name="Total 4 9 3 2 2" xfId="40907" xr:uid="{0BF7896F-C448-4143-881D-7FE559B1E802}"/>
    <cellStyle name="Total 4 9 3 2 3" xfId="40908" xr:uid="{528514FA-BF6E-47B5-98A3-D2B15A12CC27}"/>
    <cellStyle name="Total 4 9 3 2 4" xfId="40909" xr:uid="{1A8CAC29-64AE-48F2-88F0-7B19373361E4}"/>
    <cellStyle name="Total 4 9 3 3" xfId="22747" xr:uid="{CD5F8CA7-E729-4848-9DDA-2C552AA7A953}"/>
    <cellStyle name="Total 4 9 3 3 2" xfId="22748" xr:uid="{00D56135-2459-4626-9053-9067DDDD13C8}"/>
    <cellStyle name="Total 4 9 3 4" xfId="22749" xr:uid="{60998117-98CE-4D11-938A-4174E85155CF}"/>
    <cellStyle name="Total 4 9 3 5" xfId="40910" xr:uid="{8A834706-C807-444E-970F-567B0A209456}"/>
    <cellStyle name="Total 4 9 4" xfId="22750" xr:uid="{33742BFD-3159-4600-81D6-D9325DC5B912}"/>
    <cellStyle name="Total 4 9 4 2" xfId="22751" xr:uid="{9A7BF056-F9E7-4689-ACB9-C08C47EE3AC3}"/>
    <cellStyle name="Total 4 9 4 2 2" xfId="40911" xr:uid="{BE8741DF-E4E3-4615-BCE5-AA78FFADAC7D}"/>
    <cellStyle name="Total 4 9 4 2 3" xfId="40912" xr:uid="{5D845A5B-6A8D-4CB2-AA48-9A4DDA1E4465}"/>
    <cellStyle name="Total 4 9 4 3" xfId="22752" xr:uid="{A4EF0BF9-EDCF-4CE5-A618-C002D4542FE3}"/>
    <cellStyle name="Total 4 9 4 4" xfId="40913" xr:uid="{215F633B-3A4E-406C-A1F0-0E20BDD5EBF1}"/>
    <cellStyle name="Total 4 9 4 5" xfId="40914" xr:uid="{2556335E-7895-4D91-AC69-E4DF3CEEEA50}"/>
    <cellStyle name="Total 4 9 5" xfId="22753" xr:uid="{8DD0DECF-4EF4-45CC-8354-CA5C74E6E662}"/>
    <cellStyle name="Total 4 9 5 2" xfId="22754" xr:uid="{C6C66563-8D1E-487F-86FB-FF7191894C37}"/>
    <cellStyle name="Total 4 9 5 2 2" xfId="40915" xr:uid="{3D60990E-A9DF-442D-BE02-73ED52CF9705}"/>
    <cellStyle name="Total 4 9 5 2 3" xfId="40916" xr:uid="{B16B109A-FD77-4F8D-93A4-D98F566901F2}"/>
    <cellStyle name="Total 4 9 5 3" xfId="40917" xr:uid="{C7336EA3-B572-45C4-8B2E-02DF19408092}"/>
    <cellStyle name="Total 4 9 5 4" xfId="40918" xr:uid="{6B84C958-DCC4-4C18-897B-6307CC8B7BB5}"/>
    <cellStyle name="Total 4 9 6" xfId="22755" xr:uid="{0998C784-29F7-446E-846D-88FDE876587E}"/>
    <cellStyle name="Total 4 9 6 2" xfId="22756" xr:uid="{9979FB48-52A3-4552-AF94-2493C502EFC9}"/>
    <cellStyle name="Total 4 9 6 3" xfId="40919" xr:uid="{E53B5BEC-BC22-4E88-B592-0D0CABF8C4DC}"/>
    <cellStyle name="Total 4 9 7" xfId="22757" xr:uid="{E3F88878-7F36-472E-8681-B71C8F4DC663}"/>
    <cellStyle name="Total 4 9 7 2" xfId="22758" xr:uid="{361A68EF-28F8-41C9-91A9-7811B36A1F04}"/>
    <cellStyle name="Total 4 9 7 3" xfId="40920" xr:uid="{F4C4C421-C5B3-412A-BDFE-2D243324F328}"/>
    <cellStyle name="Total 4 9 8" xfId="22759" xr:uid="{9EA47F17-53E5-4AE4-A771-951C7579E4B2}"/>
    <cellStyle name="Total 4 9 8 2" xfId="22760" xr:uid="{EEF4C9BE-CFA0-4BAF-8607-60A4B7562C84}"/>
    <cellStyle name="Total 4 9 8 3" xfId="40921" xr:uid="{0D4638B5-44F3-4494-947C-0E572339DC76}"/>
    <cellStyle name="Total 4 9 9" xfId="22761" xr:uid="{E4F0195D-58BB-440B-AB32-1D04513E8E82}"/>
    <cellStyle name="Total 4 9 9 2" xfId="22762" xr:uid="{0CAF3261-1915-4790-8ED1-A87773E45DAA}"/>
    <cellStyle name="Total 4 9 9 3" xfId="40922" xr:uid="{1F71FF3A-5833-4269-8573-885B82B0FDFB}"/>
    <cellStyle name="Total 40" xfId="40923" xr:uid="{C85FD93A-9B7D-4924-8130-8646C3160006}"/>
    <cellStyle name="Total 41" xfId="40924" xr:uid="{8718BDEC-8822-4A3D-A6D9-36469851636F}"/>
    <cellStyle name="Total 42" xfId="40925" xr:uid="{A6AEFE9C-A3B0-4EE9-9FE2-1A63CF3B40FE}"/>
    <cellStyle name="Total 43" xfId="45857" xr:uid="{2291E4D9-CD5D-4755-BF26-DF3326D76D68}"/>
    <cellStyle name="Total 5" xfId="22763" xr:uid="{F87B71A1-0100-4656-AACE-B4F98B7F7DC4}"/>
    <cellStyle name="Total 5 10" xfId="22764" xr:uid="{55CB99B7-BFB7-4C80-A1D0-A692D49CC2BE}"/>
    <cellStyle name="Total 5 10 10" xfId="22765" xr:uid="{252FFA78-1C92-4968-84B4-0D4630241E74}"/>
    <cellStyle name="Total 5 10 10 2" xfId="40926" xr:uid="{18A5E95B-D82A-4592-9C37-EAC9B05A1ED8}"/>
    <cellStyle name="Total 5 10 10 3" xfId="40927" xr:uid="{33F3340D-FD87-40FC-9F2B-71D2D6DC1B3E}"/>
    <cellStyle name="Total 5 10 11" xfId="22766" xr:uid="{755593EA-04AA-4FF4-BF5F-BC5D992CA6C3}"/>
    <cellStyle name="Total 5 10 11 2" xfId="40928" xr:uid="{3FF04879-834B-4F5B-A9C2-0F1905E6F9D8}"/>
    <cellStyle name="Total 5 10 12" xfId="40929" xr:uid="{4263B55C-F925-43C9-9114-5C6A44CE9DAE}"/>
    <cellStyle name="Total 5 10 2" xfId="22767" xr:uid="{EF82172D-1F6D-4482-98C0-B014E23008B8}"/>
    <cellStyle name="Total 5 10 2 10" xfId="22768" xr:uid="{E7A40E35-BF43-4919-897D-D77E3B9F9BAE}"/>
    <cellStyle name="Total 5 10 2 10 2" xfId="40930" xr:uid="{8A75519E-C221-41AD-BE0F-253705F4FFCB}"/>
    <cellStyle name="Total 5 10 2 11" xfId="40931" xr:uid="{1E1134E2-7EB9-4F8C-98F3-1728DAE2304C}"/>
    <cellStyle name="Total 5 10 2 2" xfId="22769" xr:uid="{36E9E374-7CAF-4B83-8CF4-44E0D440065B}"/>
    <cellStyle name="Total 5 10 2 2 2" xfId="22770" xr:uid="{7A65AF50-787D-4F73-9885-A6137DF62FEE}"/>
    <cellStyle name="Total 5 10 2 2 2 2" xfId="40932" xr:uid="{8577D8D1-1B73-47D6-8C75-5F9ECCFCA6E9}"/>
    <cellStyle name="Total 5 10 2 2 2 3" xfId="40933" xr:uid="{6CA66E76-8D30-436F-B1F3-B1ED71120009}"/>
    <cellStyle name="Total 5 10 2 2 3" xfId="22771" xr:uid="{F1C9FEF8-4A90-4A94-A782-6B87D0F9FA3F}"/>
    <cellStyle name="Total 5 10 2 2 3 2" xfId="22772" xr:uid="{0515E649-D9BC-4F36-AE20-E512E34F8939}"/>
    <cellStyle name="Total 5 10 2 2 4" xfId="22773" xr:uid="{0393C316-C458-4034-A133-1B5F35B5C501}"/>
    <cellStyle name="Total 5 10 2 2 5" xfId="40934" xr:uid="{797441FD-5189-438C-A7DD-8A5250500A32}"/>
    <cellStyle name="Total 5 10 2 3" xfId="22774" xr:uid="{CD3A351F-B860-4111-B0F0-31002D35CF9F}"/>
    <cellStyle name="Total 5 10 2 3 2" xfId="22775" xr:uid="{9602AE80-FA07-44AE-B931-AD280C87D927}"/>
    <cellStyle name="Total 5 10 2 3 3" xfId="40935" xr:uid="{7BCEE209-084A-4E98-A20F-D0C799D93424}"/>
    <cellStyle name="Total 5 10 2 4" xfId="22776" xr:uid="{357F4FB2-734D-4897-9433-D854B22EAA44}"/>
    <cellStyle name="Total 5 10 2 4 2" xfId="22777" xr:uid="{F9BB2CFA-DCD5-4053-B7CA-05105A7E9596}"/>
    <cellStyle name="Total 5 10 2 4 3" xfId="40936" xr:uid="{E1FFD8E9-50CB-479A-BBA5-BAE97485718E}"/>
    <cellStyle name="Total 5 10 2 5" xfId="22778" xr:uid="{29949ED7-DEC8-4BE3-8ABA-68979899F981}"/>
    <cellStyle name="Total 5 10 2 5 2" xfId="22779" xr:uid="{B9E81D98-364F-4E8E-96FD-67DF1FBF7494}"/>
    <cellStyle name="Total 5 10 2 5 3" xfId="40937" xr:uid="{9DDE39E8-B65B-4946-803C-3993EDC33662}"/>
    <cellStyle name="Total 5 10 2 6" xfId="22780" xr:uid="{70DFB82C-4B6A-49DE-AB3F-A57FEA3773FA}"/>
    <cellStyle name="Total 5 10 2 6 2" xfId="22781" xr:uid="{117CD0D5-B4DF-416F-AA1A-D5A2E955D1ED}"/>
    <cellStyle name="Total 5 10 2 6 3" xfId="40938" xr:uid="{704C7C30-D0B8-4351-AF35-291E304A94C0}"/>
    <cellStyle name="Total 5 10 2 7" xfId="22782" xr:uid="{D1C2EF4A-9075-48E2-9C84-A642C16F6A51}"/>
    <cellStyle name="Total 5 10 2 7 2" xfId="22783" xr:uid="{32F175E2-1DAA-45B6-A8B6-F3F5BDAAB646}"/>
    <cellStyle name="Total 5 10 2 7 3" xfId="40939" xr:uid="{46A1109E-106F-422C-AA27-E0661A14671E}"/>
    <cellStyle name="Total 5 10 2 8" xfId="22784" xr:uid="{2C81A1AB-75E5-4250-9218-69DE6E83ADDF}"/>
    <cellStyle name="Total 5 10 2 8 2" xfId="22785" xr:uid="{47E8F880-543C-4B80-A158-F066CF684457}"/>
    <cellStyle name="Total 5 10 2 8 3" xfId="40940" xr:uid="{F3E9B8F7-7A70-44B8-97F9-8629AE13736C}"/>
    <cellStyle name="Total 5 10 2 9" xfId="22786" xr:uid="{B2327CB7-F504-4091-B16A-9E58A312B8E8}"/>
    <cellStyle name="Total 5 10 2 9 2" xfId="40941" xr:uid="{DED3DCB8-1680-4F1A-9DFD-A4092AB0B75B}"/>
    <cellStyle name="Total 5 10 2 9 3" xfId="40942" xr:uid="{8115E8AA-6F0D-4D24-AFD0-569658779D2C}"/>
    <cellStyle name="Total 5 10 3" xfId="22787" xr:uid="{FA0C646F-AB97-43F9-91CD-624889B7C958}"/>
    <cellStyle name="Total 5 10 3 2" xfId="22788" xr:uid="{BD77EC98-6929-4EFA-8CB9-42B515B78A97}"/>
    <cellStyle name="Total 5 10 3 2 2" xfId="40943" xr:uid="{F534CC4D-C040-4794-990D-E7E9CAEBF205}"/>
    <cellStyle name="Total 5 10 3 2 3" xfId="40944" xr:uid="{9B022D50-2090-4FC7-963C-99BF2347B549}"/>
    <cellStyle name="Total 5 10 3 2 4" xfId="40945" xr:uid="{BCD803B6-C1D9-4B5D-994E-9DD7D873339C}"/>
    <cellStyle name="Total 5 10 3 3" xfId="22789" xr:uid="{C89DB704-85C5-44C0-B6A8-06B2116A9A63}"/>
    <cellStyle name="Total 5 10 3 3 2" xfId="22790" xr:uid="{F81DEDF9-05DF-400D-9C9C-1CAAD8AA4062}"/>
    <cellStyle name="Total 5 10 3 4" xfId="22791" xr:uid="{A681AA8C-E23F-4134-9C70-10DEB9032D65}"/>
    <cellStyle name="Total 5 10 3 5" xfId="40946" xr:uid="{C7992BA6-6017-4C17-B91A-26307994D06C}"/>
    <cellStyle name="Total 5 10 4" xfId="22792" xr:uid="{30C75F93-27E5-495D-89BF-46EC810D1F64}"/>
    <cellStyle name="Total 5 10 4 2" xfId="22793" xr:uid="{D004771F-7982-4626-B82E-8691E59337E6}"/>
    <cellStyle name="Total 5 10 4 2 2" xfId="40947" xr:uid="{57EAD2FC-46D9-4895-B822-2C3627C57041}"/>
    <cellStyle name="Total 5 10 4 2 3" xfId="40948" xr:uid="{38CAB58B-FCAD-40A8-B150-06827B8AD9BD}"/>
    <cellStyle name="Total 5 10 4 3" xfId="22794" xr:uid="{FDDBDD8B-BA06-4434-9093-736120765BDB}"/>
    <cellStyle name="Total 5 10 4 4" xfId="40949" xr:uid="{04D8A8F0-D177-4B0F-A02B-3579342FA9A0}"/>
    <cellStyle name="Total 5 10 4 5" xfId="40950" xr:uid="{3A1D1FE0-E757-424F-871B-355FE8D28AFC}"/>
    <cellStyle name="Total 5 10 5" xfId="22795" xr:uid="{874502CD-4FFF-48F0-ACC2-BC9C71D19C8B}"/>
    <cellStyle name="Total 5 10 5 2" xfId="22796" xr:uid="{42116B60-3442-408F-AAD3-61F4355ADF3E}"/>
    <cellStyle name="Total 5 10 5 2 2" xfId="40951" xr:uid="{3A690589-7CE8-4725-BB1C-BB8C5BD69BF7}"/>
    <cellStyle name="Total 5 10 5 2 3" xfId="40952" xr:uid="{950E0FB5-BEEE-42C3-A6D7-864816DB4798}"/>
    <cellStyle name="Total 5 10 5 3" xfId="40953" xr:uid="{6B027873-55CE-4430-91E1-041C455D3560}"/>
    <cellStyle name="Total 5 10 5 4" xfId="40954" xr:uid="{BB3355FF-6A80-4234-A63E-EBB9F4D04012}"/>
    <cellStyle name="Total 5 10 6" xfId="22797" xr:uid="{F56ECFD0-9385-40A5-B39D-2732BC4CFD49}"/>
    <cellStyle name="Total 5 10 6 2" xfId="22798" xr:uid="{C3B3D3E5-523C-4DBB-9A6A-4B2B8523119D}"/>
    <cellStyle name="Total 5 10 6 3" xfId="40955" xr:uid="{657A8BF7-052C-412A-85A2-CE99D1810E55}"/>
    <cellStyle name="Total 5 10 7" xfId="22799" xr:uid="{EBE92B63-E1BC-48E3-9407-E417EF2C07A7}"/>
    <cellStyle name="Total 5 10 7 2" xfId="22800" xr:uid="{79D27B9A-34C0-47A0-8745-19CF20BCB52F}"/>
    <cellStyle name="Total 5 10 7 3" xfId="40956" xr:uid="{3F87A627-7B6C-4156-8A09-3C466BC30E62}"/>
    <cellStyle name="Total 5 10 8" xfId="22801" xr:uid="{54E3DDC0-F8BB-43C5-B9BE-7746235B4F2E}"/>
    <cellStyle name="Total 5 10 8 2" xfId="22802" xr:uid="{C9680FA7-9BB7-4FBD-AB63-90F4681B50C7}"/>
    <cellStyle name="Total 5 10 8 3" xfId="40957" xr:uid="{96D40EA0-2A52-4A08-82E6-C6C500AFD60F}"/>
    <cellStyle name="Total 5 10 9" xfId="22803" xr:uid="{D2CE296B-D93E-4C4A-A78C-65319A68419B}"/>
    <cellStyle name="Total 5 10 9 2" xfId="22804" xr:uid="{57D001D9-3AB4-4A6E-B0BB-805A36CE0595}"/>
    <cellStyle name="Total 5 10 9 3" xfId="40958" xr:uid="{7D468C61-E3F4-4195-BB8F-B9598CDCC55A}"/>
    <cellStyle name="Total 5 11" xfId="22805" xr:uid="{CC35A3EF-318C-41EF-B31C-02F79F9F3E5E}"/>
    <cellStyle name="Total 5 11 10" xfId="22806" xr:uid="{EFC2DAC5-3B1A-4E7C-A329-ADF974735AF1}"/>
    <cellStyle name="Total 5 11 10 2" xfId="40959" xr:uid="{8C70F079-20CE-454F-AA2C-16B49D2E11A0}"/>
    <cellStyle name="Total 5 11 10 3" xfId="40960" xr:uid="{F507978F-A990-429F-80BD-2BFD885CAC47}"/>
    <cellStyle name="Total 5 11 11" xfId="22807" xr:uid="{3F960C94-EFB3-4EE3-B4D2-86BEF00B61E7}"/>
    <cellStyle name="Total 5 11 11 2" xfId="40961" xr:uid="{A2D9E829-EDFF-48BB-A1B8-36073BCA735C}"/>
    <cellStyle name="Total 5 11 12" xfId="40962" xr:uid="{D468E9BF-0A20-429E-BF87-0784F24DDD75}"/>
    <cellStyle name="Total 5 11 2" xfId="22808" xr:uid="{779D9408-F801-4060-9475-DC0F4EE5707D}"/>
    <cellStyle name="Total 5 11 2 10" xfId="22809" xr:uid="{3881368E-67B8-4C0E-B9E6-A8E8F8B9C09D}"/>
    <cellStyle name="Total 5 11 2 10 2" xfId="40963" xr:uid="{1B0E1424-61BE-453A-9297-4129DD499BF7}"/>
    <cellStyle name="Total 5 11 2 11" xfId="40964" xr:uid="{C6451D6E-627F-4055-B407-471AEA094EF3}"/>
    <cellStyle name="Total 5 11 2 2" xfId="22810" xr:uid="{C9082BBF-9AC3-423A-A1BC-24CC07CCB0F4}"/>
    <cellStyle name="Total 5 11 2 2 2" xfId="22811" xr:uid="{2CAB9658-687B-421C-9732-5DC9831CFF40}"/>
    <cellStyle name="Total 5 11 2 2 2 2" xfId="40965" xr:uid="{EDD6848A-39A2-4385-BE66-04CDB0DCE7BF}"/>
    <cellStyle name="Total 5 11 2 2 2 3" xfId="40966" xr:uid="{A64A7C5F-9FBC-4175-A0C1-FA193743334E}"/>
    <cellStyle name="Total 5 11 2 2 3" xfId="22812" xr:uid="{8B0621AF-EAF2-40A4-B57B-9991FAE4640A}"/>
    <cellStyle name="Total 5 11 2 2 3 2" xfId="22813" xr:uid="{3D355C51-D54D-4636-B1BC-9B03C829A504}"/>
    <cellStyle name="Total 5 11 2 2 4" xfId="22814" xr:uid="{74B864A4-2A58-4A35-9349-50A3B76115CE}"/>
    <cellStyle name="Total 5 11 2 2 5" xfId="40967" xr:uid="{541D263A-1860-4325-8F06-2941FD4D6B39}"/>
    <cellStyle name="Total 5 11 2 3" xfId="22815" xr:uid="{BCFBEB2D-324D-4A08-9F0A-857698A77D6B}"/>
    <cellStyle name="Total 5 11 2 3 2" xfId="22816" xr:uid="{A2470529-A329-4C68-ACCF-1456264679D6}"/>
    <cellStyle name="Total 5 11 2 3 3" xfId="40968" xr:uid="{321DC579-8E1D-4170-8B98-4D855256571B}"/>
    <cellStyle name="Total 5 11 2 4" xfId="22817" xr:uid="{94456721-32FC-4BFF-A960-8E5F593E0F54}"/>
    <cellStyle name="Total 5 11 2 4 2" xfId="22818" xr:uid="{CAB8B7C1-0C88-4E9E-9F7A-8B70A6DDA3DB}"/>
    <cellStyle name="Total 5 11 2 4 3" xfId="40969" xr:uid="{DD352A66-7F40-45C2-B341-00521C4B9A7E}"/>
    <cellStyle name="Total 5 11 2 5" xfId="22819" xr:uid="{100B1F6E-288C-481A-85A4-3961FF66DCF3}"/>
    <cellStyle name="Total 5 11 2 5 2" xfId="22820" xr:uid="{9097C9F2-9AB6-490D-A569-88C70F4090BF}"/>
    <cellStyle name="Total 5 11 2 5 3" xfId="40970" xr:uid="{C097D58A-8D36-4D1E-894D-604CC2610085}"/>
    <cellStyle name="Total 5 11 2 6" xfId="22821" xr:uid="{60BC9370-B81C-4D26-8E90-3D9F135055A3}"/>
    <cellStyle name="Total 5 11 2 6 2" xfId="22822" xr:uid="{F3BC0A84-0BB0-4E26-AA2B-93590A5179C3}"/>
    <cellStyle name="Total 5 11 2 6 3" xfId="40971" xr:uid="{F6882E05-6F86-4925-A4E2-DE2BAFB71C4E}"/>
    <cellStyle name="Total 5 11 2 7" xfId="22823" xr:uid="{57C8D6E8-CE74-474C-B6FC-8452249C2ECA}"/>
    <cellStyle name="Total 5 11 2 7 2" xfId="22824" xr:uid="{0E0E6F75-D4C0-474B-8EA4-601CDACF7064}"/>
    <cellStyle name="Total 5 11 2 7 3" xfId="40972" xr:uid="{8E766805-2220-47ED-ADBE-A9F0770699DA}"/>
    <cellStyle name="Total 5 11 2 8" xfId="22825" xr:uid="{7059F8B6-ADE2-41CB-9119-E36E9F8F584A}"/>
    <cellStyle name="Total 5 11 2 8 2" xfId="22826" xr:uid="{F545E262-AEAC-4F39-9533-87ABA654E092}"/>
    <cellStyle name="Total 5 11 2 8 3" xfId="40973" xr:uid="{CF698482-13C5-4071-B2CF-BFC5702A5168}"/>
    <cellStyle name="Total 5 11 2 9" xfId="22827" xr:uid="{7CE87948-E85C-4116-9E11-6C838B7F5DE2}"/>
    <cellStyle name="Total 5 11 2 9 2" xfId="40974" xr:uid="{71CAAA24-3928-4001-AF6D-48BB074E5D47}"/>
    <cellStyle name="Total 5 11 2 9 3" xfId="40975" xr:uid="{97079C13-9E1E-4CAA-8D8A-8A9E5C5A3A14}"/>
    <cellStyle name="Total 5 11 3" xfId="22828" xr:uid="{1FD2D8F8-98C3-4567-B9AC-B94FB9A9DA3E}"/>
    <cellStyle name="Total 5 11 3 2" xfId="22829" xr:uid="{26B66941-1B56-46E5-86D4-183E103C5777}"/>
    <cellStyle name="Total 5 11 3 2 2" xfId="40976" xr:uid="{B9E159DB-AEFC-448E-BDAC-BCD3EED0E578}"/>
    <cellStyle name="Total 5 11 3 2 3" xfId="40977" xr:uid="{47D36FBF-8E80-48EE-93AC-B6CC91FF4393}"/>
    <cellStyle name="Total 5 11 3 2 4" xfId="40978" xr:uid="{5E1D3F10-2C30-4291-BA37-0D6F0806341E}"/>
    <cellStyle name="Total 5 11 3 3" xfId="22830" xr:uid="{6A561EE1-EA85-450F-B279-ED723566F2A6}"/>
    <cellStyle name="Total 5 11 3 3 2" xfId="22831" xr:uid="{2B2B5BAE-8689-4EAD-A4D9-6F21E8C23654}"/>
    <cellStyle name="Total 5 11 3 4" xfId="22832" xr:uid="{6B026B05-3275-4A80-ACCB-01A625C12F30}"/>
    <cellStyle name="Total 5 11 3 5" xfId="40979" xr:uid="{564DC7AD-ED79-4538-9B9A-D834CC101805}"/>
    <cellStyle name="Total 5 11 4" xfId="22833" xr:uid="{80D683A1-3401-4A14-920D-45ED076A160A}"/>
    <cellStyle name="Total 5 11 4 2" xfId="22834" xr:uid="{DCD00590-7091-40B3-AB37-34656872055D}"/>
    <cellStyle name="Total 5 11 4 2 2" xfId="40980" xr:uid="{E1D65107-DA62-4656-BB3E-2E757FC2CEAB}"/>
    <cellStyle name="Total 5 11 4 2 3" xfId="40981" xr:uid="{9D461F96-649A-44A5-BF80-52115037D478}"/>
    <cellStyle name="Total 5 11 4 3" xfId="22835" xr:uid="{95FF33AE-99F8-49A5-8058-8B6F2F479315}"/>
    <cellStyle name="Total 5 11 4 4" xfId="40982" xr:uid="{09B66C4F-D129-4FB8-A032-B3AA767BE51C}"/>
    <cellStyle name="Total 5 11 4 5" xfId="40983" xr:uid="{8A8BCE64-9E8D-4072-BEB4-2780E05FDC85}"/>
    <cellStyle name="Total 5 11 5" xfId="22836" xr:uid="{995A3432-FA45-4090-94EC-D26CB4BEDA31}"/>
    <cellStyle name="Total 5 11 5 2" xfId="22837" xr:uid="{D8AE44CA-1488-48C0-B63E-663A5D4E10C9}"/>
    <cellStyle name="Total 5 11 5 2 2" xfId="40984" xr:uid="{762C4800-0D53-4341-9722-155CF338C325}"/>
    <cellStyle name="Total 5 11 5 2 3" xfId="40985" xr:uid="{9AD0FEDC-B902-4286-82A9-D4A3C160D7B9}"/>
    <cellStyle name="Total 5 11 5 3" xfId="40986" xr:uid="{802106CA-C534-4B83-AD2E-D86BCEFEE015}"/>
    <cellStyle name="Total 5 11 5 4" xfId="40987" xr:uid="{2BF1BF22-61F6-4152-AFC0-73080D406622}"/>
    <cellStyle name="Total 5 11 6" xfId="22838" xr:uid="{4739B144-F79D-46F3-BD9E-321ADA624864}"/>
    <cellStyle name="Total 5 11 6 2" xfId="22839" xr:uid="{6188ECA6-D44B-466D-BD1E-74EEB2991044}"/>
    <cellStyle name="Total 5 11 6 3" xfId="40988" xr:uid="{88FC6B99-922D-483C-A049-37E2E6B9BA08}"/>
    <cellStyle name="Total 5 11 7" xfId="22840" xr:uid="{C7E727E9-6E40-47E0-B012-8312F8F9479D}"/>
    <cellStyle name="Total 5 11 7 2" xfId="22841" xr:uid="{D77C99C6-49E5-47CD-BC36-1B3649E05500}"/>
    <cellStyle name="Total 5 11 7 3" xfId="40989" xr:uid="{7B4DB619-0570-453B-8FCA-0F631C3E6C08}"/>
    <cellStyle name="Total 5 11 8" xfId="22842" xr:uid="{66FE002A-E979-4B5F-9DA2-4511C2B9C6E9}"/>
    <cellStyle name="Total 5 11 8 2" xfId="22843" xr:uid="{41BCBBB5-7A7B-40E1-8B19-11EC30D159EA}"/>
    <cellStyle name="Total 5 11 8 3" xfId="40990" xr:uid="{CAEED9B3-568C-43F5-BEE3-14C19960923D}"/>
    <cellStyle name="Total 5 11 9" xfId="22844" xr:uid="{4714F13F-F21A-486F-8080-443F2EA4EEBC}"/>
    <cellStyle name="Total 5 11 9 2" xfId="22845" xr:uid="{9B40D1F3-A2A6-4499-A5D8-50461B399E31}"/>
    <cellStyle name="Total 5 11 9 3" xfId="40991" xr:uid="{A909ED99-BF1C-4409-8D4C-8A627A4F333A}"/>
    <cellStyle name="Total 5 12" xfId="22846" xr:uid="{D8F36D5E-C062-4D06-BF96-3CFE2CB95858}"/>
    <cellStyle name="Total 5 12 10" xfId="22847" xr:uid="{04C09641-48F7-48FE-A211-CE1FDA8EA466}"/>
    <cellStyle name="Total 5 12 10 2" xfId="40992" xr:uid="{D10F7B3E-26AA-466B-BAC6-62A403F0DCFC}"/>
    <cellStyle name="Total 5 12 11" xfId="40993" xr:uid="{6A8EA07E-0C8B-4E06-9133-0CE5EECB4930}"/>
    <cellStyle name="Total 5 12 2" xfId="22848" xr:uid="{55719CFF-9302-44B7-986F-6A1FA8291DD7}"/>
    <cellStyle name="Total 5 12 2 2" xfId="22849" xr:uid="{26D060FA-61F4-4536-B65E-19BA90690CFC}"/>
    <cellStyle name="Total 5 12 2 2 2" xfId="40994" xr:uid="{D90AA9A0-B32B-4751-BB13-E47B3A333F4C}"/>
    <cellStyle name="Total 5 12 2 2 3" xfId="40995" xr:uid="{3FCEDD46-07EA-4700-945C-20B7567A7F1D}"/>
    <cellStyle name="Total 5 12 2 3" xfId="22850" xr:uid="{DBBF02B5-593B-4E50-9267-E0C9EFDF89E2}"/>
    <cellStyle name="Total 5 12 2 3 2" xfId="22851" xr:uid="{202BF2CD-F0BF-408B-A54C-7F515FFE1C92}"/>
    <cellStyle name="Total 5 12 2 4" xfId="22852" xr:uid="{FB4573F7-84D7-4174-B7F5-5A34D3414A79}"/>
    <cellStyle name="Total 5 12 2 5" xfId="40996" xr:uid="{4CD19F75-6A4D-4D99-A470-799702D4ED6D}"/>
    <cellStyle name="Total 5 12 3" xfId="22853" xr:uid="{0AF97AF5-06E0-4D40-B541-A185C013500C}"/>
    <cellStyle name="Total 5 12 3 2" xfId="22854" xr:uid="{B2552DD4-775B-42F3-B0DF-72D04F9A4D59}"/>
    <cellStyle name="Total 5 12 3 3" xfId="40997" xr:uid="{EC74CB7D-58A4-404D-BE53-452D56AE11EF}"/>
    <cellStyle name="Total 5 12 4" xfId="22855" xr:uid="{4AE2C67A-9FD0-4206-A96C-62D950390BF0}"/>
    <cellStyle name="Total 5 12 4 2" xfId="22856" xr:uid="{7EFD4DEB-90E1-42D8-852B-7D88B48DA5D9}"/>
    <cellStyle name="Total 5 12 4 3" xfId="40998" xr:uid="{D2E90BAE-4A0A-4021-B9B6-980AA8918BF6}"/>
    <cellStyle name="Total 5 12 5" xfId="22857" xr:uid="{B3F83A64-1A0C-47B0-8CF1-399C2C6840B6}"/>
    <cellStyle name="Total 5 12 5 2" xfId="22858" xr:uid="{654644BD-5488-4878-9D24-3E7BD14D4886}"/>
    <cellStyle name="Total 5 12 5 3" xfId="40999" xr:uid="{3A78D795-DD47-4250-B72B-1EF06353BCC3}"/>
    <cellStyle name="Total 5 12 6" xfId="22859" xr:uid="{3A6AF6D6-CBDC-4371-9D21-F6C46FA0E192}"/>
    <cellStyle name="Total 5 12 6 2" xfId="22860" xr:uid="{1CEE183A-13AB-4FCB-B7C8-13F7DBE3BA74}"/>
    <cellStyle name="Total 5 12 6 3" xfId="41000" xr:uid="{6C2DCE2D-28B8-4F48-A29E-9635C47828DE}"/>
    <cellStyle name="Total 5 12 7" xfId="22861" xr:uid="{62B8E285-4D3C-4120-A4D6-43168F968D35}"/>
    <cellStyle name="Total 5 12 7 2" xfId="22862" xr:uid="{C9257E3E-CBCC-44DB-9EEB-A4A3A87092F5}"/>
    <cellStyle name="Total 5 12 7 3" xfId="41001" xr:uid="{A9CFEDF9-7BE3-4CD9-8191-CF43EAB4E9DD}"/>
    <cellStyle name="Total 5 12 8" xfId="22863" xr:uid="{C8D02A83-F18E-4FC3-BB60-42DA9A34A66E}"/>
    <cellStyle name="Total 5 12 8 2" xfId="22864" xr:uid="{48CE0880-CC48-4D05-B94A-11E32678D169}"/>
    <cellStyle name="Total 5 12 8 3" xfId="41002" xr:uid="{6C6740D0-37E5-47F9-BF9D-059362D39A5B}"/>
    <cellStyle name="Total 5 12 9" xfId="22865" xr:uid="{8FE66A0F-E5F3-4206-936D-C5220B0413A8}"/>
    <cellStyle name="Total 5 12 9 2" xfId="41003" xr:uid="{4ADAA15A-6450-424C-9C2E-331AD82A6C17}"/>
    <cellStyle name="Total 5 12 9 3" xfId="41004" xr:uid="{1C82A2E5-97BA-452D-ACBC-6ECEE6F30669}"/>
    <cellStyle name="Total 5 13" xfId="22866" xr:uid="{0FAE4378-D905-4615-9BE0-EBEC69F31302}"/>
    <cellStyle name="Total 5 13 2" xfId="22867" xr:uid="{22E7E9A8-C63A-4022-B821-5153525D6215}"/>
    <cellStyle name="Total 5 13 2 2" xfId="41005" xr:uid="{40648A1C-667C-4A3A-9704-4E8840F817E6}"/>
    <cellStyle name="Total 5 13 2 3" xfId="41006" xr:uid="{892DD166-C9C2-4542-9260-24A6B7417075}"/>
    <cellStyle name="Total 5 13 2 4" xfId="41007" xr:uid="{F966271E-2E30-4570-BE6B-498086B24002}"/>
    <cellStyle name="Total 5 13 3" xfId="22868" xr:uid="{F2BE36D9-D13A-4E57-B398-00E97EBA91EA}"/>
    <cellStyle name="Total 5 13 3 2" xfId="22869" xr:uid="{E730183F-0CB3-4C7B-A077-0088D80F4518}"/>
    <cellStyle name="Total 5 13 4" xfId="22870" xr:uid="{A44C2B7A-3642-42C2-8683-18B270492636}"/>
    <cellStyle name="Total 5 13 5" xfId="41008" xr:uid="{875454BD-C271-427B-9440-8C675D5D789C}"/>
    <cellStyle name="Total 5 14" xfId="22871" xr:uid="{A1DDAC93-3DEA-4E44-BD7B-6F61A3D9748F}"/>
    <cellStyle name="Total 5 14 2" xfId="22872" xr:uid="{91E1CB73-0D31-4FAF-B15F-F2FCB309FD01}"/>
    <cellStyle name="Total 5 14 2 2" xfId="41009" xr:uid="{AE670558-A406-4CE2-9620-92590D94D1E0}"/>
    <cellStyle name="Total 5 14 2 3" xfId="41010" xr:uid="{CF874947-D14A-4F9E-8AA8-6DE7E6BE36E9}"/>
    <cellStyle name="Total 5 14 3" xfId="22873" xr:uid="{14CBBDAA-13F9-4878-BE68-E0B53E95D9CA}"/>
    <cellStyle name="Total 5 14 4" xfId="41011" xr:uid="{9A6CA53C-1BCE-4035-B22F-12EBC7250DD6}"/>
    <cellStyle name="Total 5 14 5" xfId="41012" xr:uid="{71B84429-FFCE-4589-8DA3-87BDB4FAEB73}"/>
    <cellStyle name="Total 5 15" xfId="22874" xr:uid="{B7B48760-A447-4046-9283-621FB97FD918}"/>
    <cellStyle name="Total 5 15 2" xfId="22875" xr:uid="{A467B97D-EA0D-419E-B4CD-5D9D4BC63854}"/>
    <cellStyle name="Total 5 15 2 2" xfId="41013" xr:uid="{44C51F8D-DBA6-4A0F-B790-1DD9E37DE655}"/>
    <cellStyle name="Total 5 15 2 3" xfId="41014" xr:uid="{41F1D8B2-908E-44BB-AD4C-CF549AF0D999}"/>
    <cellStyle name="Total 5 15 3" xfId="41015" xr:uid="{7A2E0D5F-8850-4190-93ED-499867B19DD0}"/>
    <cellStyle name="Total 5 15 4" xfId="41016" xr:uid="{BE5D8121-A526-4CD9-ADB4-31C23FD81B1E}"/>
    <cellStyle name="Total 5 16" xfId="22876" xr:uid="{7CF81C10-84DC-4071-9BA5-2F51BD4EF254}"/>
    <cellStyle name="Total 5 16 2" xfId="22877" xr:uid="{D21801C7-CCBA-478F-B996-90F48D71AD23}"/>
    <cellStyle name="Total 5 16 3" xfId="41017" xr:uid="{F5A1247F-B4C1-4DDF-9097-D9DE39A96221}"/>
    <cellStyle name="Total 5 17" xfId="22878" xr:uid="{5A287E0E-C110-4C9D-987F-5A1DCF147E7A}"/>
    <cellStyle name="Total 5 17 2" xfId="22879" xr:uid="{20289EED-0612-4C36-B93C-E9E64BF2A8AF}"/>
    <cellStyle name="Total 5 17 3" xfId="41018" xr:uid="{04B87119-275C-4B11-B26B-F74958AF5867}"/>
    <cellStyle name="Total 5 18" xfId="22880" xr:uid="{4D8CB674-EF9E-42DF-A437-EE1DB5B2CCDF}"/>
    <cellStyle name="Total 5 18 2" xfId="22881" xr:uid="{59540454-BA9B-46E7-8F11-DF3072EFAEBF}"/>
    <cellStyle name="Total 5 18 3" xfId="41019" xr:uid="{4091DE35-A879-443B-9C7D-0BBAC2691DE4}"/>
    <cellStyle name="Total 5 19" xfId="22882" xr:uid="{404D6DEB-6EDD-4673-8910-6717E283C43F}"/>
    <cellStyle name="Total 5 19 2" xfId="22883" xr:uid="{AB14CFD2-45AF-4942-95CF-D10B6319E358}"/>
    <cellStyle name="Total 5 19 3" xfId="41020" xr:uid="{C75FEACA-6A75-4299-835B-395161239887}"/>
    <cellStyle name="Total 5 2" xfId="22884" xr:uid="{68E38BD1-9036-49D6-87EA-7BEA03DB5D92}"/>
    <cellStyle name="Total 5 2 10" xfId="22885" xr:uid="{0988F522-895C-4D2B-8EB9-194C5D6288D8}"/>
    <cellStyle name="Total 5 2 10 2" xfId="41021" xr:uid="{31DC0EDB-5AFA-476C-87AE-57DE915F7E9F}"/>
    <cellStyle name="Total 5 2 10 3" xfId="41022" xr:uid="{B72F2E38-8E20-44CF-B8F9-D16BBF2226A1}"/>
    <cellStyle name="Total 5 2 11" xfId="22886" xr:uid="{7E080724-89EC-45BD-9407-6342569CAC8B}"/>
    <cellStyle name="Total 5 2 11 2" xfId="41023" xr:uid="{4635B79C-4FE1-469C-94BD-A9C21A8FBF5F}"/>
    <cellStyle name="Total 5 2 12" xfId="41024" xr:uid="{E5B815F8-183C-456D-A4F2-E5264503FE9F}"/>
    <cellStyle name="Total 5 2 2" xfId="22887" xr:uid="{29FE9327-964F-47F2-B758-600126D42B0C}"/>
    <cellStyle name="Total 5 2 2 10" xfId="22888" xr:uid="{9F256990-F018-4A43-B9E0-B8133396687F}"/>
    <cellStyle name="Total 5 2 2 10 2" xfId="41025" xr:uid="{AAD7340D-F1E8-4647-BD99-C5E2DB8F3B35}"/>
    <cellStyle name="Total 5 2 2 11" xfId="41026" xr:uid="{7AA4FD9F-22FF-49BE-A4EF-EA3FDA777C9C}"/>
    <cellStyle name="Total 5 2 2 2" xfId="22889" xr:uid="{4AEA4440-C46F-45C2-A0F8-27256D520368}"/>
    <cellStyle name="Total 5 2 2 2 2" xfId="22890" xr:uid="{2E25F251-17D6-4967-8498-59DF2F465657}"/>
    <cellStyle name="Total 5 2 2 2 2 2" xfId="41027" xr:uid="{AE7E3C14-7A59-4E27-A1EF-0A585C62BE53}"/>
    <cellStyle name="Total 5 2 2 2 2 3" xfId="41028" xr:uid="{C8FC0BC8-F79A-4649-9FAF-C1CDF1CF0689}"/>
    <cellStyle name="Total 5 2 2 2 3" xfId="22891" xr:uid="{6DC8D303-BAC7-458D-9565-D2F5FC9EBF0B}"/>
    <cellStyle name="Total 5 2 2 2 3 2" xfId="22892" xr:uid="{FCF34A41-4AA5-4CBF-AE4F-B45563928734}"/>
    <cellStyle name="Total 5 2 2 2 4" xfId="22893" xr:uid="{AFF0F57C-2B2F-4188-A179-229964BD1EA1}"/>
    <cellStyle name="Total 5 2 2 2 5" xfId="41029" xr:uid="{C4A80B5D-FC53-4669-981E-BCD353107A82}"/>
    <cellStyle name="Total 5 2 2 3" xfId="22894" xr:uid="{C3BA542E-D22B-464B-9965-6E027D45AE04}"/>
    <cellStyle name="Total 5 2 2 3 2" xfId="22895" xr:uid="{44A6631D-9C4C-4BEA-9F00-F9300437E998}"/>
    <cellStyle name="Total 5 2 2 3 3" xfId="41030" xr:uid="{6B3DBDAB-D2A2-4D7E-B31A-AB0DB081EC1A}"/>
    <cellStyle name="Total 5 2 2 4" xfId="22896" xr:uid="{2067CFD7-C04B-4C82-AD68-E32C364AEFBF}"/>
    <cellStyle name="Total 5 2 2 4 2" xfId="22897" xr:uid="{6A693CF1-E731-4848-91EF-1729609C91C9}"/>
    <cellStyle name="Total 5 2 2 4 3" xfId="41031" xr:uid="{07FE7176-9BF6-42FA-8236-3B1287B33A39}"/>
    <cellStyle name="Total 5 2 2 5" xfId="22898" xr:uid="{24A15B16-009F-4784-AFB1-38FBBB0E1FA7}"/>
    <cellStyle name="Total 5 2 2 5 2" xfId="22899" xr:uid="{4838A028-2AC0-4449-AC24-D33C4213CA0B}"/>
    <cellStyle name="Total 5 2 2 5 3" xfId="41032" xr:uid="{D6C77BDC-8607-498B-A254-AC10AE309C46}"/>
    <cellStyle name="Total 5 2 2 6" xfId="22900" xr:uid="{7CE28A93-9967-4292-A795-AB2AF445C18C}"/>
    <cellStyle name="Total 5 2 2 6 2" xfId="22901" xr:uid="{E36E4D47-2053-4D22-9F67-02074101E433}"/>
    <cellStyle name="Total 5 2 2 6 3" xfId="41033" xr:uid="{40A60BEB-6711-4BD0-A632-97AD5F7842AA}"/>
    <cellStyle name="Total 5 2 2 7" xfId="22902" xr:uid="{F8D18B6D-3252-41F7-A4B0-DE0D06F548E4}"/>
    <cellStyle name="Total 5 2 2 7 2" xfId="22903" xr:uid="{03A38986-FBE3-49DC-B961-1CF303A49257}"/>
    <cellStyle name="Total 5 2 2 7 3" xfId="41034" xr:uid="{2A572E56-52DA-4D6E-ABB5-1706F38332FC}"/>
    <cellStyle name="Total 5 2 2 8" xfId="22904" xr:uid="{C14B848B-AC77-42A5-9FDC-3E179E192E97}"/>
    <cellStyle name="Total 5 2 2 8 2" xfId="22905" xr:uid="{F35963D7-11B7-4C50-8B5A-13C6EBCB42A3}"/>
    <cellStyle name="Total 5 2 2 8 3" xfId="41035" xr:uid="{407B86FB-378B-4EF1-AB1F-2EDA930D0D61}"/>
    <cellStyle name="Total 5 2 2 9" xfId="22906" xr:uid="{2664A94C-A27D-41D0-9D1B-8DBCBEF78AAB}"/>
    <cellStyle name="Total 5 2 2 9 2" xfId="41036" xr:uid="{030EC599-8B4C-4B81-B265-C25A33FE5696}"/>
    <cellStyle name="Total 5 2 2 9 3" xfId="41037" xr:uid="{7B9725B1-320D-440E-BD5E-59E64EE45508}"/>
    <cellStyle name="Total 5 2 3" xfId="22907" xr:uid="{7F3574F7-FFF4-43E3-B92E-13606BE62BFE}"/>
    <cellStyle name="Total 5 2 3 2" xfId="22908" xr:uid="{8A8604FC-0C92-4ABE-9884-0A595BECA92C}"/>
    <cellStyle name="Total 5 2 3 2 2" xfId="41038" xr:uid="{00576064-85F6-453B-8F1F-7A2506881299}"/>
    <cellStyle name="Total 5 2 3 2 3" xfId="41039" xr:uid="{3EDB3C25-4AF5-4C5B-A363-C5A29B488DB2}"/>
    <cellStyle name="Total 5 2 3 2 4" xfId="41040" xr:uid="{F39011EA-D947-48CC-B5E5-306B990D6F24}"/>
    <cellStyle name="Total 5 2 3 3" xfId="22909" xr:uid="{FAAFC8AB-BF58-46C0-A76B-DDE3C38E7EA1}"/>
    <cellStyle name="Total 5 2 3 3 2" xfId="22910" xr:uid="{8EB7D1EA-21C4-4880-9EA8-C8CA810B4CA8}"/>
    <cellStyle name="Total 5 2 3 4" xfId="22911" xr:uid="{4FEA1111-0BB1-4EFA-A66B-01E137D3329D}"/>
    <cellStyle name="Total 5 2 3 5" xfId="41041" xr:uid="{41CE656E-DAFD-4103-AE90-7CE21C030668}"/>
    <cellStyle name="Total 5 2 4" xfId="22912" xr:uid="{5E785A7B-B8EC-4738-89D9-5EB141AB20E5}"/>
    <cellStyle name="Total 5 2 4 2" xfId="22913" xr:uid="{32D2E2EF-3622-4D5F-B4F1-624DC295077C}"/>
    <cellStyle name="Total 5 2 4 2 2" xfId="41042" xr:uid="{D4447B2A-5FCF-4BE9-971C-190BC068649C}"/>
    <cellStyle name="Total 5 2 4 2 3" xfId="41043" xr:uid="{D02C6844-BF1B-42C5-9BD6-8127F7835580}"/>
    <cellStyle name="Total 5 2 4 3" xfId="22914" xr:uid="{F90D5FD1-8A8D-4CE0-84B5-055C1C54F373}"/>
    <cellStyle name="Total 5 2 4 4" xfId="41044" xr:uid="{36995167-6283-4C5B-ABBE-8260262F5D60}"/>
    <cellStyle name="Total 5 2 4 5" xfId="41045" xr:uid="{79D5CD1B-7884-466B-8E84-4D3BD752DEBB}"/>
    <cellStyle name="Total 5 2 5" xfId="22915" xr:uid="{2B71A597-88CB-4608-8FF2-40BF58AA5F09}"/>
    <cellStyle name="Total 5 2 5 2" xfId="22916" xr:uid="{70412821-D15F-41EF-A85D-CF64E8BBD47E}"/>
    <cellStyle name="Total 5 2 5 2 2" xfId="41046" xr:uid="{212753BF-7899-4BE7-A6A3-0166D0309EC3}"/>
    <cellStyle name="Total 5 2 5 2 3" xfId="41047" xr:uid="{0C970123-4962-4572-A384-613CB082A0B9}"/>
    <cellStyle name="Total 5 2 5 3" xfId="41048" xr:uid="{CDB8D7C7-B6BC-43FB-8DFB-BE17C329B7C3}"/>
    <cellStyle name="Total 5 2 5 4" xfId="41049" xr:uid="{0315EE38-6BE1-4E23-8272-5E430F36A8C7}"/>
    <cellStyle name="Total 5 2 6" xfId="22917" xr:uid="{33F249D3-E8EA-441F-B3FF-177142965A93}"/>
    <cellStyle name="Total 5 2 6 2" xfId="22918" xr:uid="{AB2C173D-2D38-4B31-AA8A-9A11988D9831}"/>
    <cellStyle name="Total 5 2 6 3" xfId="41050" xr:uid="{79351569-BBCF-4C25-8026-97BF96988493}"/>
    <cellStyle name="Total 5 2 7" xfId="22919" xr:uid="{FEF417AA-6B3B-4B9F-8A44-10CE4820442E}"/>
    <cellStyle name="Total 5 2 7 2" xfId="22920" xr:uid="{5CA922F7-98C5-4CE2-B98E-F01C7906B34C}"/>
    <cellStyle name="Total 5 2 7 3" xfId="41051" xr:uid="{1FDB3E5F-40C8-4479-A13A-FFD5872BA64D}"/>
    <cellStyle name="Total 5 2 8" xfId="22921" xr:uid="{A6EEAA16-D89C-4021-B6C6-82BB4711DCCE}"/>
    <cellStyle name="Total 5 2 8 2" xfId="22922" xr:uid="{A6BF301E-6BC2-48DB-BAD5-D8F90B27A5F3}"/>
    <cellStyle name="Total 5 2 8 3" xfId="41052" xr:uid="{AEF53621-DCDE-44CB-98FE-79C375CD2C7B}"/>
    <cellStyle name="Total 5 2 9" xfId="22923" xr:uid="{EC6E3C55-1ADC-4D75-9B1A-08AD162D8484}"/>
    <cellStyle name="Total 5 2 9 2" xfId="22924" xr:uid="{71DEB73C-0AB1-442B-92B6-8061C501AABB}"/>
    <cellStyle name="Total 5 2 9 3" xfId="41053" xr:uid="{4B545BDF-2DB2-4406-97B2-EA5377762142}"/>
    <cellStyle name="Total 5 20" xfId="22925" xr:uid="{B104D5F2-7EC2-4AFB-B842-313294CA6907}"/>
    <cellStyle name="Total 5 20 2" xfId="41054" xr:uid="{67680775-C610-4C49-BF90-98D45521DA3B}"/>
    <cellStyle name="Total 5 20 3" xfId="41055" xr:uid="{8299E68D-C064-480C-BD7A-5CCB8D554F97}"/>
    <cellStyle name="Total 5 21" xfId="22926" xr:uid="{7A3CF019-44D6-464C-9118-89C6021002F8}"/>
    <cellStyle name="Total 5 21 2" xfId="41056" xr:uid="{166D996D-E38C-4135-824E-E18EC8993A95}"/>
    <cellStyle name="Total 5 22" xfId="41057" xr:uid="{65622B36-1677-40FB-B04B-F3857628A871}"/>
    <cellStyle name="Total 5 3" xfId="22927" xr:uid="{2BDE088C-A26D-471A-ADEA-244046B4200A}"/>
    <cellStyle name="Total 5 3 10" xfId="22928" xr:uid="{078D587F-D541-4B43-A0EF-82F9C4D3CB52}"/>
    <cellStyle name="Total 5 3 10 2" xfId="41058" xr:uid="{17B8C068-4CC4-4DEE-AB63-478BD7EE4656}"/>
    <cellStyle name="Total 5 3 10 3" xfId="41059" xr:uid="{37BFC6F8-8574-4EC3-8B42-277DC55B2D60}"/>
    <cellStyle name="Total 5 3 11" xfId="22929" xr:uid="{0B8C4C07-454E-4CDA-A26D-2F3AFE5F520B}"/>
    <cellStyle name="Total 5 3 11 2" xfId="41060" xr:uid="{6F713135-A151-45CD-9601-9FE06BEEEC9C}"/>
    <cellStyle name="Total 5 3 12" xfId="41061" xr:uid="{1D4CE401-9B1E-4A98-85EC-036B07B27E05}"/>
    <cellStyle name="Total 5 3 2" xfId="22930" xr:uid="{B9DD0F3A-05CB-40CE-8006-777B96A71134}"/>
    <cellStyle name="Total 5 3 2 10" xfId="22931" xr:uid="{8C38C6E5-7BF4-4ABF-A231-A18814E7E582}"/>
    <cellStyle name="Total 5 3 2 10 2" xfId="41062" xr:uid="{11658466-8CA9-4F84-8338-71AE2667CA52}"/>
    <cellStyle name="Total 5 3 2 11" xfId="41063" xr:uid="{7D9BDCE3-5DC5-4036-B846-50E0F30E6446}"/>
    <cellStyle name="Total 5 3 2 2" xfId="22932" xr:uid="{4937D03A-C14B-4BC5-AFB2-6ACAE97DDA51}"/>
    <cellStyle name="Total 5 3 2 2 2" xfId="22933" xr:uid="{8746D14E-9A0E-43B3-A095-CB7D9FDC19E7}"/>
    <cellStyle name="Total 5 3 2 2 2 2" xfId="41064" xr:uid="{99340CC2-E784-4472-B8FF-427B8DBF1622}"/>
    <cellStyle name="Total 5 3 2 2 2 3" xfId="41065" xr:uid="{D584A001-2961-496D-9F4A-7DA473797FB5}"/>
    <cellStyle name="Total 5 3 2 2 3" xfId="22934" xr:uid="{9431D9B3-3B5F-4BFB-B49C-A210F4A7E6C2}"/>
    <cellStyle name="Total 5 3 2 2 3 2" xfId="22935" xr:uid="{A80B8EAC-9928-4B2C-99B3-AB2EC2A53B6F}"/>
    <cellStyle name="Total 5 3 2 2 4" xfId="22936" xr:uid="{1853D2CF-47C0-4B3B-A94B-E43F3ABBC28D}"/>
    <cellStyle name="Total 5 3 2 2 5" xfId="41066" xr:uid="{01DDB4DC-765D-48A4-B7BE-ED9CA9084DC2}"/>
    <cellStyle name="Total 5 3 2 3" xfId="22937" xr:uid="{175AAB29-0154-446A-99CD-6A367AE971CD}"/>
    <cellStyle name="Total 5 3 2 3 2" xfId="22938" xr:uid="{4B14DEBF-428C-48D1-96FA-D4A78F55E943}"/>
    <cellStyle name="Total 5 3 2 3 3" xfId="41067" xr:uid="{5ADA9F7E-1499-44E4-B173-A697CF68FF47}"/>
    <cellStyle name="Total 5 3 2 4" xfId="22939" xr:uid="{C49360C7-5A36-47A9-83CC-B805BB425E9B}"/>
    <cellStyle name="Total 5 3 2 4 2" xfId="22940" xr:uid="{CAB97E3B-7FEE-4D5E-A13C-B5F97F3A2772}"/>
    <cellStyle name="Total 5 3 2 4 3" xfId="41068" xr:uid="{6D6C4041-8995-495E-972B-46779B7AC1EA}"/>
    <cellStyle name="Total 5 3 2 5" xfId="22941" xr:uid="{D61D1F34-E36F-466E-A170-34BA2F6D62E1}"/>
    <cellStyle name="Total 5 3 2 5 2" xfId="22942" xr:uid="{96214049-E995-428E-8A81-45C21A07291E}"/>
    <cellStyle name="Total 5 3 2 5 3" xfId="41069" xr:uid="{FAE879B2-B858-4D3B-A65A-C452635FC267}"/>
    <cellStyle name="Total 5 3 2 6" xfId="22943" xr:uid="{3613DE60-D0F4-4EFB-8F56-ED6F501F86F3}"/>
    <cellStyle name="Total 5 3 2 6 2" xfId="22944" xr:uid="{B7BCE67B-D248-44F5-9F6C-EEF9A058D1C4}"/>
    <cellStyle name="Total 5 3 2 6 3" xfId="41070" xr:uid="{BEF898A9-EF23-44D7-A444-F93031DC60C8}"/>
    <cellStyle name="Total 5 3 2 7" xfId="22945" xr:uid="{FB04ACC1-0530-43EE-AA15-7EC2905EDF91}"/>
    <cellStyle name="Total 5 3 2 7 2" xfId="22946" xr:uid="{BA7600D6-3FF2-4E11-840F-146871017D35}"/>
    <cellStyle name="Total 5 3 2 7 3" xfId="41071" xr:uid="{9CF1C095-86C0-4F0B-A174-A3DD034A0D28}"/>
    <cellStyle name="Total 5 3 2 8" xfId="22947" xr:uid="{6483724D-83B3-4F6B-83C1-822274CB9D4E}"/>
    <cellStyle name="Total 5 3 2 8 2" xfId="22948" xr:uid="{4D2FC7BB-BE5B-49BD-93C5-2FCCEE20E1D9}"/>
    <cellStyle name="Total 5 3 2 8 3" xfId="41072" xr:uid="{EE27ADBD-D29C-418F-A28D-311A4BFA57BF}"/>
    <cellStyle name="Total 5 3 2 9" xfId="22949" xr:uid="{4FCFD20F-CDB1-464C-B097-40F0BA60B838}"/>
    <cellStyle name="Total 5 3 2 9 2" xfId="41073" xr:uid="{2D0C33CA-064E-4474-B990-FF2F9F594112}"/>
    <cellStyle name="Total 5 3 2 9 3" xfId="41074" xr:uid="{C323721D-3913-442E-A19C-9A23C6E65F67}"/>
    <cellStyle name="Total 5 3 3" xfId="22950" xr:uid="{B094DA92-96CA-49A6-B1B9-9729468F0911}"/>
    <cellStyle name="Total 5 3 3 2" xfId="22951" xr:uid="{0FD47DD2-4087-4A96-A5AD-3D72A92E4078}"/>
    <cellStyle name="Total 5 3 3 2 2" xfId="41075" xr:uid="{84C52BA0-52CE-421F-A047-0FF158E08B82}"/>
    <cellStyle name="Total 5 3 3 2 3" xfId="41076" xr:uid="{71640BEC-D7DC-48A3-90CE-E3E6FD011003}"/>
    <cellStyle name="Total 5 3 3 2 4" xfId="41077" xr:uid="{5C13D606-6A52-467E-BE91-37B5C935D668}"/>
    <cellStyle name="Total 5 3 3 3" xfId="22952" xr:uid="{6E78F4CA-5309-4962-BB53-D7A275B505C3}"/>
    <cellStyle name="Total 5 3 3 3 2" xfId="22953" xr:uid="{F33A9452-C72F-4A7F-8D03-52C43018C337}"/>
    <cellStyle name="Total 5 3 3 4" xfId="22954" xr:uid="{ED57E228-436E-4110-B32B-883A0FD889A5}"/>
    <cellStyle name="Total 5 3 3 5" xfId="41078" xr:uid="{7BC87C7E-63A0-4A8C-B080-51860E922EED}"/>
    <cellStyle name="Total 5 3 4" xfId="22955" xr:uid="{9D237163-9AA6-49D2-9358-8C21A6500059}"/>
    <cellStyle name="Total 5 3 4 2" xfId="22956" xr:uid="{DC00699C-AD52-4F5F-A9AC-52E281B233A3}"/>
    <cellStyle name="Total 5 3 4 2 2" xfId="41079" xr:uid="{9BA0C4B6-4F1B-4A71-B159-163CA08C26DA}"/>
    <cellStyle name="Total 5 3 4 2 3" xfId="41080" xr:uid="{D2C96D1C-3FB7-496D-B229-1BCA4CF4DE7A}"/>
    <cellStyle name="Total 5 3 4 3" xfId="22957" xr:uid="{0FD7247D-1061-413B-B102-8DD35E0432A1}"/>
    <cellStyle name="Total 5 3 4 4" xfId="41081" xr:uid="{1CB00BBA-31D0-46DE-AA95-5B49DEF1472F}"/>
    <cellStyle name="Total 5 3 4 5" xfId="41082" xr:uid="{5D979C66-F534-4F21-B49E-206A3A932BB9}"/>
    <cellStyle name="Total 5 3 5" xfId="22958" xr:uid="{A0DA289C-1A21-43AC-A09E-052D1256E8A6}"/>
    <cellStyle name="Total 5 3 5 2" xfId="22959" xr:uid="{00E6DEFD-592B-4F4C-A8CB-4179EF7C58C2}"/>
    <cellStyle name="Total 5 3 5 2 2" xfId="41083" xr:uid="{31267911-B3F1-42AE-A1F9-FEE0055D9E7E}"/>
    <cellStyle name="Total 5 3 5 2 3" xfId="41084" xr:uid="{D912CFD7-9026-4984-A123-729929BBA774}"/>
    <cellStyle name="Total 5 3 5 3" xfId="41085" xr:uid="{62E8DD66-D5D1-445C-954A-9A40C144A517}"/>
    <cellStyle name="Total 5 3 5 4" xfId="41086" xr:uid="{E5C035CE-D01D-449D-A2FD-C8120E5BA162}"/>
    <cellStyle name="Total 5 3 6" xfId="22960" xr:uid="{2EEEEE88-FA33-44F3-8A1C-4A77EB75CA88}"/>
    <cellStyle name="Total 5 3 6 2" xfId="22961" xr:uid="{D04CA4ED-735F-4A19-A82F-6EB20FB80C1C}"/>
    <cellStyle name="Total 5 3 6 3" xfId="41087" xr:uid="{4E90943D-4957-4DDC-ACC8-A186037884DB}"/>
    <cellStyle name="Total 5 3 7" xfId="22962" xr:uid="{FBD7B5FD-31D3-4B45-AE3B-4BE9A4D5F353}"/>
    <cellStyle name="Total 5 3 7 2" xfId="22963" xr:uid="{592D40CC-2AC5-4C46-83EC-8CFC72C7D7FC}"/>
    <cellStyle name="Total 5 3 7 3" xfId="41088" xr:uid="{C954263A-22E1-4E5F-B66C-CD3D5770B8C3}"/>
    <cellStyle name="Total 5 3 8" xfId="22964" xr:uid="{66414952-D8D0-4F3E-B414-56756D82F9C2}"/>
    <cellStyle name="Total 5 3 8 2" xfId="22965" xr:uid="{A4C7C864-973C-4BB0-922A-13A269B1588F}"/>
    <cellStyle name="Total 5 3 8 3" xfId="41089" xr:uid="{DD7F9316-BB35-4A23-899D-68AA38DABE0F}"/>
    <cellStyle name="Total 5 3 9" xfId="22966" xr:uid="{289C0D0A-FDF9-4F74-A237-5A972FF954F2}"/>
    <cellStyle name="Total 5 3 9 2" xfId="22967" xr:uid="{057401B7-CEDD-478C-8ECA-5F27A1AC6109}"/>
    <cellStyle name="Total 5 3 9 3" xfId="41090" xr:uid="{A19DED07-0EE1-47DA-A426-D7A69A353C62}"/>
    <cellStyle name="Total 5 4" xfId="22968" xr:uid="{FA5DEE2E-EA9A-415F-9569-AA050871D329}"/>
    <cellStyle name="Total 5 4 10" xfId="22969" xr:uid="{4BD08F2F-AAE6-4EAD-93A6-0C03411A65E7}"/>
    <cellStyle name="Total 5 4 10 2" xfId="41091" xr:uid="{4742B17E-788F-461A-B529-B69FB93E968F}"/>
    <cellStyle name="Total 5 4 10 3" xfId="41092" xr:uid="{897C3294-E6AC-407D-925D-554DF9E98331}"/>
    <cellStyle name="Total 5 4 11" xfId="22970" xr:uid="{F29E7F03-0BB7-4719-9D1F-2930CD4C87B4}"/>
    <cellStyle name="Total 5 4 11 2" xfId="41093" xr:uid="{9E19A2FE-3A46-4A28-B6EC-F4F50C1D8C67}"/>
    <cellStyle name="Total 5 4 12" xfId="41094" xr:uid="{A2E39E34-D8DD-4A28-8090-DEE3EEBE2261}"/>
    <cellStyle name="Total 5 4 2" xfId="22971" xr:uid="{DC5C5E05-CE9E-468B-BEC0-C4D514925CFE}"/>
    <cellStyle name="Total 5 4 2 10" xfId="22972" xr:uid="{C34883F5-5484-4786-9728-86D025E2E8C7}"/>
    <cellStyle name="Total 5 4 2 10 2" xfId="41095" xr:uid="{04B07637-A172-47BE-BA7C-30ABE4DB4F9B}"/>
    <cellStyle name="Total 5 4 2 11" xfId="41096" xr:uid="{276B346F-2E43-4602-90A6-E89F9D38B353}"/>
    <cellStyle name="Total 5 4 2 2" xfId="22973" xr:uid="{40451A24-2D55-4FB1-8EC9-CD25D5433DD2}"/>
    <cellStyle name="Total 5 4 2 2 2" xfId="22974" xr:uid="{B24D6837-2851-4F2F-A669-49643F48EF7E}"/>
    <cellStyle name="Total 5 4 2 2 2 2" xfId="41097" xr:uid="{E4E759D3-3267-4CD7-B111-705EF6E2A3B7}"/>
    <cellStyle name="Total 5 4 2 2 2 3" xfId="41098" xr:uid="{1D4CC02D-26CB-42DE-969A-CB924B2FA947}"/>
    <cellStyle name="Total 5 4 2 2 3" xfId="22975" xr:uid="{818EA15A-917B-4520-B379-3C02C40AFDDF}"/>
    <cellStyle name="Total 5 4 2 2 3 2" xfId="22976" xr:uid="{30C5D0EB-E1E3-47FB-81E0-E15A1F03DD92}"/>
    <cellStyle name="Total 5 4 2 2 4" xfId="22977" xr:uid="{D83A8270-2036-4466-834C-9539ACC2489C}"/>
    <cellStyle name="Total 5 4 2 2 5" xfId="41099" xr:uid="{063663FD-8D46-4105-99A3-D2EF9FA15449}"/>
    <cellStyle name="Total 5 4 2 3" xfId="22978" xr:uid="{D0A76C4A-813F-4595-8B3A-7475B4F65876}"/>
    <cellStyle name="Total 5 4 2 3 2" xfId="22979" xr:uid="{DF5F9BC7-1897-4492-B7C4-D822594FBB52}"/>
    <cellStyle name="Total 5 4 2 3 3" xfId="41100" xr:uid="{84D2FFFC-6302-4876-AE9B-544673FE3316}"/>
    <cellStyle name="Total 5 4 2 4" xfId="22980" xr:uid="{E16DE441-4EB5-4257-A4BC-328258CBF189}"/>
    <cellStyle name="Total 5 4 2 4 2" xfId="22981" xr:uid="{B20F1995-B003-415D-BBCF-49170B018011}"/>
    <cellStyle name="Total 5 4 2 4 3" xfId="41101" xr:uid="{00E802BD-081B-4161-9F91-480C5E947A76}"/>
    <cellStyle name="Total 5 4 2 5" xfId="22982" xr:uid="{641DEE33-9A4B-476C-A6B4-96425E2A3542}"/>
    <cellStyle name="Total 5 4 2 5 2" xfId="22983" xr:uid="{A44AFDC3-C006-4364-B159-7838A56ED0BD}"/>
    <cellStyle name="Total 5 4 2 5 3" xfId="41102" xr:uid="{00390143-8FBC-4A7F-8245-B258364C348F}"/>
    <cellStyle name="Total 5 4 2 6" xfId="22984" xr:uid="{DD86BCA1-FC5F-4A6A-BFD0-01EBC6680183}"/>
    <cellStyle name="Total 5 4 2 6 2" xfId="22985" xr:uid="{0EBB3167-4307-4352-B0B5-67F8BE1DCBE9}"/>
    <cellStyle name="Total 5 4 2 6 3" xfId="41103" xr:uid="{4F5DF956-0290-42BF-A639-F1E2251B9759}"/>
    <cellStyle name="Total 5 4 2 7" xfId="22986" xr:uid="{23935279-977C-4822-901D-BF1897B5C30D}"/>
    <cellStyle name="Total 5 4 2 7 2" xfId="22987" xr:uid="{CFE6F393-02EC-472B-B409-F5B0DF8652E1}"/>
    <cellStyle name="Total 5 4 2 7 3" xfId="41104" xr:uid="{8B603698-33A7-4152-99DD-E487D86E40B1}"/>
    <cellStyle name="Total 5 4 2 8" xfId="22988" xr:uid="{49C12959-F087-4046-A064-35DCE6751062}"/>
    <cellStyle name="Total 5 4 2 8 2" xfId="22989" xr:uid="{E296C874-4687-4F68-B33D-7B9AD08160EF}"/>
    <cellStyle name="Total 5 4 2 8 3" xfId="41105" xr:uid="{6F100FDB-8546-45A6-8A02-49B65D6996EA}"/>
    <cellStyle name="Total 5 4 2 9" xfId="22990" xr:uid="{3553CB89-1715-411C-B398-0DEC0A46CDF0}"/>
    <cellStyle name="Total 5 4 2 9 2" xfId="41106" xr:uid="{C7E06B1A-8D0F-46FA-A359-5961AE32B4E8}"/>
    <cellStyle name="Total 5 4 2 9 3" xfId="41107" xr:uid="{42334436-1ED1-4802-BB62-60E41BDD0987}"/>
    <cellStyle name="Total 5 4 3" xfId="22991" xr:uid="{65C211B8-32CC-4AA4-B979-C4005C0D46E2}"/>
    <cellStyle name="Total 5 4 3 2" xfId="22992" xr:uid="{11AD3665-9328-4268-B6EC-4DAA90B620B1}"/>
    <cellStyle name="Total 5 4 3 2 2" xfId="41108" xr:uid="{9A2EBB1F-401E-4A01-8642-57D39937C376}"/>
    <cellStyle name="Total 5 4 3 2 3" xfId="41109" xr:uid="{494D7EAB-32FE-4F0D-B93B-7C292C89E470}"/>
    <cellStyle name="Total 5 4 3 2 4" xfId="41110" xr:uid="{7F366815-D57C-46EA-BE1F-1B79943B884A}"/>
    <cellStyle name="Total 5 4 3 3" xfId="22993" xr:uid="{6809BC09-1E73-4EC5-87B4-149889F2CC54}"/>
    <cellStyle name="Total 5 4 3 3 2" xfId="22994" xr:uid="{B24E8871-BC50-4224-BDA9-CFE85FAACC89}"/>
    <cellStyle name="Total 5 4 3 4" xfId="22995" xr:uid="{2D3D8CE7-6087-4E07-B34C-983CB6C823B6}"/>
    <cellStyle name="Total 5 4 3 5" xfId="41111" xr:uid="{659259FF-A297-4AA8-A601-F63BDA36646D}"/>
    <cellStyle name="Total 5 4 4" xfId="22996" xr:uid="{F170EA8F-1FA8-4219-8B6E-5CF7E24ACFE8}"/>
    <cellStyle name="Total 5 4 4 2" xfId="22997" xr:uid="{C1D5BD48-1455-4EFB-A9B2-B1E51710B034}"/>
    <cellStyle name="Total 5 4 4 2 2" xfId="41112" xr:uid="{87A5E9BB-659A-4D75-8AE5-AB24D5DA4430}"/>
    <cellStyle name="Total 5 4 4 2 3" xfId="41113" xr:uid="{A3AC8371-8158-4950-9AED-70140F7BF629}"/>
    <cellStyle name="Total 5 4 4 3" xfId="22998" xr:uid="{38150250-EC95-4AE8-8F6D-0F42272D2067}"/>
    <cellStyle name="Total 5 4 4 4" xfId="41114" xr:uid="{876D0701-5A7A-48BE-A18E-6E5D5F028F10}"/>
    <cellStyle name="Total 5 4 4 5" xfId="41115" xr:uid="{EDC3CE75-05AD-4DF6-9BD1-3D167E65DBC3}"/>
    <cellStyle name="Total 5 4 5" xfId="22999" xr:uid="{E29B4CFF-BA73-45FC-AA76-90A6857D6EFC}"/>
    <cellStyle name="Total 5 4 5 2" xfId="23000" xr:uid="{6591EF49-854C-4466-BABE-F8D4C1ACFB22}"/>
    <cellStyle name="Total 5 4 5 2 2" xfId="41116" xr:uid="{86C78468-CEB9-4F30-852C-DD4EF39EB5CF}"/>
    <cellStyle name="Total 5 4 5 2 3" xfId="41117" xr:uid="{9225FE92-A529-44DC-B18D-E0F5A2E976C6}"/>
    <cellStyle name="Total 5 4 5 3" xfId="41118" xr:uid="{056E960A-7E69-41DB-862A-D0A83F40780D}"/>
    <cellStyle name="Total 5 4 5 4" xfId="41119" xr:uid="{1806E6C2-FA35-4F46-9BF6-13538BAFA533}"/>
    <cellStyle name="Total 5 4 6" xfId="23001" xr:uid="{1A1B3C14-2F2E-41C7-AD35-5C2D22EECE9B}"/>
    <cellStyle name="Total 5 4 6 2" xfId="23002" xr:uid="{0FDE0A70-75E1-4864-A17E-FC521FFE338F}"/>
    <cellStyle name="Total 5 4 6 3" xfId="41120" xr:uid="{E6D705A7-08B8-4C58-8184-F564B6BD543E}"/>
    <cellStyle name="Total 5 4 7" xfId="23003" xr:uid="{C94D553F-EDE4-46FF-9662-09FDEDC6D99D}"/>
    <cellStyle name="Total 5 4 7 2" xfId="23004" xr:uid="{904CC525-26D9-40AA-B5DD-753F2CB272AF}"/>
    <cellStyle name="Total 5 4 7 3" xfId="41121" xr:uid="{A1BAA992-E083-4D8C-BF6C-5CB84BBE56FB}"/>
    <cellStyle name="Total 5 4 8" xfId="23005" xr:uid="{8920E79C-D6DB-472F-BDA1-DB9F009A9BD3}"/>
    <cellStyle name="Total 5 4 8 2" xfId="23006" xr:uid="{8477521D-20CC-4018-9925-8BA9C47ED50D}"/>
    <cellStyle name="Total 5 4 8 3" xfId="41122" xr:uid="{FC63A2A2-76FE-485F-ACB9-623DB735E8C6}"/>
    <cellStyle name="Total 5 4 9" xfId="23007" xr:uid="{E43328B4-2D04-4BEF-9D62-A9E7C24FFA96}"/>
    <cellStyle name="Total 5 4 9 2" xfId="23008" xr:uid="{2D84A2B0-6280-4C7E-9F8C-CA88B545248E}"/>
    <cellStyle name="Total 5 4 9 3" xfId="41123" xr:uid="{76380E24-D1C3-4ADF-8F76-7C6B64AE2B3A}"/>
    <cellStyle name="Total 5 5" xfId="23009" xr:uid="{F0D9FAD6-20B1-49EB-AF4B-4D93701E5608}"/>
    <cellStyle name="Total 5 5 10" xfId="23010" xr:uid="{5028C733-B357-419E-8374-8D28B41AE6D8}"/>
    <cellStyle name="Total 5 5 10 2" xfId="41124" xr:uid="{A6FB27C0-E488-45DF-95D9-7EE2911A8191}"/>
    <cellStyle name="Total 5 5 10 3" xfId="41125" xr:uid="{7815F4B0-3C52-4EC2-A7BE-75CA0899D44D}"/>
    <cellStyle name="Total 5 5 11" xfId="23011" xr:uid="{7EAEF837-BE07-4158-BCF8-3A77DDD3E363}"/>
    <cellStyle name="Total 5 5 11 2" xfId="41126" xr:uid="{0BDFD9B0-6F50-4F67-B914-CF52734029B9}"/>
    <cellStyle name="Total 5 5 12" xfId="41127" xr:uid="{0FD9E542-DE13-4067-8AD0-5F33C5360603}"/>
    <cellStyle name="Total 5 5 2" xfId="23012" xr:uid="{5CB12F7A-0FEA-4B7A-8750-ACBFD566B9D9}"/>
    <cellStyle name="Total 5 5 2 10" xfId="23013" xr:uid="{F8898522-BF59-469D-8531-26EE72A643FF}"/>
    <cellStyle name="Total 5 5 2 10 2" xfId="41128" xr:uid="{1AAAF58E-9091-4342-B2F8-A8615575A21D}"/>
    <cellStyle name="Total 5 5 2 11" xfId="41129" xr:uid="{549CA584-75F7-4015-940E-33D76F153537}"/>
    <cellStyle name="Total 5 5 2 2" xfId="23014" xr:uid="{363A926A-18B2-456F-B4B3-993C9CF95C14}"/>
    <cellStyle name="Total 5 5 2 2 2" xfId="23015" xr:uid="{AF0017B2-F44F-4475-8B40-1FC5A326FBF0}"/>
    <cellStyle name="Total 5 5 2 2 2 2" xfId="41130" xr:uid="{E9AE6658-CB3F-40C2-A3DF-EA53829C33A4}"/>
    <cellStyle name="Total 5 5 2 2 2 3" xfId="41131" xr:uid="{8B009EEE-3A99-4AF3-8ACB-6E6A70EA9A70}"/>
    <cellStyle name="Total 5 5 2 2 3" xfId="23016" xr:uid="{DED27511-0DDB-469B-A0BA-CA012C72D76E}"/>
    <cellStyle name="Total 5 5 2 2 3 2" xfId="23017" xr:uid="{0189CFB4-3CFB-4626-AFF3-6B184AAADFFD}"/>
    <cellStyle name="Total 5 5 2 2 4" xfId="23018" xr:uid="{ADB4F0C1-8973-4C21-89DF-21EC95898A50}"/>
    <cellStyle name="Total 5 5 2 2 5" xfId="41132" xr:uid="{32619E60-2F1C-4741-B02C-131D40655222}"/>
    <cellStyle name="Total 5 5 2 3" xfId="23019" xr:uid="{7F06F549-A34A-4365-A1DC-48416316198A}"/>
    <cellStyle name="Total 5 5 2 3 2" xfId="23020" xr:uid="{D8A5CCB9-9850-4303-BA32-00C31406F2A1}"/>
    <cellStyle name="Total 5 5 2 3 3" xfId="41133" xr:uid="{3B77A5D3-BFCB-40A6-B807-D96441DADBC9}"/>
    <cellStyle name="Total 5 5 2 4" xfId="23021" xr:uid="{63FECD30-528A-4CAC-9023-563C58796686}"/>
    <cellStyle name="Total 5 5 2 4 2" xfId="23022" xr:uid="{20DF5F3D-C952-4046-8BB9-454C0666602F}"/>
    <cellStyle name="Total 5 5 2 4 3" xfId="41134" xr:uid="{500B8962-CC69-4D58-AC79-246CE6B65289}"/>
    <cellStyle name="Total 5 5 2 5" xfId="23023" xr:uid="{1C8F1A1F-AE26-40C0-9D46-86E7AD785EC9}"/>
    <cellStyle name="Total 5 5 2 5 2" xfId="23024" xr:uid="{43F2521F-8891-46AD-AD2C-39E9FC8C66DA}"/>
    <cellStyle name="Total 5 5 2 5 3" xfId="41135" xr:uid="{7E19A999-56F2-4285-BF7C-0F6B21F5072D}"/>
    <cellStyle name="Total 5 5 2 6" xfId="23025" xr:uid="{FD12902A-774D-4A17-9DDD-EF4436421437}"/>
    <cellStyle name="Total 5 5 2 6 2" xfId="23026" xr:uid="{10AF26A2-8745-4478-99B9-EC57887748BD}"/>
    <cellStyle name="Total 5 5 2 6 3" xfId="41136" xr:uid="{4D726066-F771-4A86-A497-43EBF230E7E1}"/>
    <cellStyle name="Total 5 5 2 7" xfId="23027" xr:uid="{46D8ABEF-5305-437E-AFC5-C4EED0FBF532}"/>
    <cellStyle name="Total 5 5 2 7 2" xfId="23028" xr:uid="{E5C9183F-9801-4229-BB38-7D10E1164123}"/>
    <cellStyle name="Total 5 5 2 7 3" xfId="41137" xr:uid="{7AF884E0-6F56-43D3-92A6-8509D1CDBDBA}"/>
    <cellStyle name="Total 5 5 2 8" xfId="23029" xr:uid="{D2BB772A-A116-43F8-BFE8-2887D3FBCC68}"/>
    <cellStyle name="Total 5 5 2 8 2" xfId="23030" xr:uid="{4203EA17-B193-475F-8317-D915A4F74165}"/>
    <cellStyle name="Total 5 5 2 8 3" xfId="41138" xr:uid="{04CBA5E6-EFA8-4241-A931-9E563D9EF00F}"/>
    <cellStyle name="Total 5 5 2 9" xfId="23031" xr:uid="{F9479616-E20A-4048-8827-8F404FAD9568}"/>
    <cellStyle name="Total 5 5 2 9 2" xfId="41139" xr:uid="{476FED7B-E202-4D7D-ABEA-36B16ABBFC51}"/>
    <cellStyle name="Total 5 5 2 9 3" xfId="41140" xr:uid="{34A0B47D-F0B0-4DC8-AE60-591BB8F3481C}"/>
    <cellStyle name="Total 5 5 3" xfId="23032" xr:uid="{C6AC3806-21B0-473F-A272-D6EA46B31E89}"/>
    <cellStyle name="Total 5 5 3 2" xfId="23033" xr:uid="{EA37C628-417E-4B8E-AAE0-2AE9D7EBC062}"/>
    <cellStyle name="Total 5 5 3 2 2" xfId="41141" xr:uid="{F7041B72-35F7-4971-ABDE-8E3AED4A02D9}"/>
    <cellStyle name="Total 5 5 3 2 3" xfId="41142" xr:uid="{021B63FE-CF6D-4738-881E-FF4B9FFB984C}"/>
    <cellStyle name="Total 5 5 3 2 4" xfId="41143" xr:uid="{DF0EE908-DB11-48E7-9EE2-BE7B0C4165A3}"/>
    <cellStyle name="Total 5 5 3 3" xfId="23034" xr:uid="{9A629222-561A-4917-AE45-B8190B40F33B}"/>
    <cellStyle name="Total 5 5 3 3 2" xfId="23035" xr:uid="{CBB3C9C3-BF66-4CA2-8A8E-D9AB0EC4E4A5}"/>
    <cellStyle name="Total 5 5 3 4" xfId="23036" xr:uid="{299AC1E2-4ED3-49ED-A409-A3383235CE78}"/>
    <cellStyle name="Total 5 5 3 5" xfId="41144" xr:uid="{282FB43F-FD5B-4557-8436-99DFCA069ECF}"/>
    <cellStyle name="Total 5 5 4" xfId="23037" xr:uid="{0157F978-D6BB-4D7D-8396-403977C288BC}"/>
    <cellStyle name="Total 5 5 4 2" xfId="23038" xr:uid="{DB650576-5038-4A82-9C83-8F5E76E21959}"/>
    <cellStyle name="Total 5 5 4 2 2" xfId="41145" xr:uid="{E275A7ED-D552-4F91-95CD-C414D35040D4}"/>
    <cellStyle name="Total 5 5 4 2 3" xfId="41146" xr:uid="{9B620AEB-0DD1-466F-A451-C1631EE10F38}"/>
    <cellStyle name="Total 5 5 4 3" xfId="23039" xr:uid="{027B9218-FC58-47C9-A309-1D2AD057B6FB}"/>
    <cellStyle name="Total 5 5 4 4" xfId="41147" xr:uid="{51A63483-C924-473D-B07C-4DEE0147A79B}"/>
    <cellStyle name="Total 5 5 4 5" xfId="41148" xr:uid="{8CF23163-DDEA-4433-B090-C475E7DFF71D}"/>
    <cellStyle name="Total 5 5 5" xfId="23040" xr:uid="{D3AD4106-1615-4463-9176-4D4533AB3E39}"/>
    <cellStyle name="Total 5 5 5 2" xfId="23041" xr:uid="{37B0F327-781F-4F71-B421-5B357672E45B}"/>
    <cellStyle name="Total 5 5 5 2 2" xfId="41149" xr:uid="{19BE3770-92E8-4385-A3C3-06027F2764AD}"/>
    <cellStyle name="Total 5 5 5 2 3" xfId="41150" xr:uid="{1C9BB206-8C1B-4510-81E6-369F8DCA8448}"/>
    <cellStyle name="Total 5 5 5 3" xfId="41151" xr:uid="{D2BCEC79-F07B-4518-AF09-F5E28B5870D5}"/>
    <cellStyle name="Total 5 5 5 4" xfId="41152" xr:uid="{69B3560F-141F-47DE-A394-A66EDBB4AEF5}"/>
    <cellStyle name="Total 5 5 6" xfId="23042" xr:uid="{DB3CC77D-01DC-4BEC-802D-FA47F7F4F680}"/>
    <cellStyle name="Total 5 5 6 2" xfId="23043" xr:uid="{0292E2D7-4DA4-4BE8-A0C0-9C19B7825661}"/>
    <cellStyle name="Total 5 5 6 3" xfId="41153" xr:uid="{4CAB5670-9EE9-4619-A356-C0E48C6B57E0}"/>
    <cellStyle name="Total 5 5 7" xfId="23044" xr:uid="{1682CBD1-D891-41C2-AF69-06B34683CED8}"/>
    <cellStyle name="Total 5 5 7 2" xfId="23045" xr:uid="{E60452ED-4939-4252-A71D-A93FE275AB37}"/>
    <cellStyle name="Total 5 5 7 3" xfId="41154" xr:uid="{4C624156-530C-4777-ADBB-355FB74DCDFD}"/>
    <cellStyle name="Total 5 5 8" xfId="23046" xr:uid="{5F2640D2-D6FA-4D7B-A749-A88F35F15E78}"/>
    <cellStyle name="Total 5 5 8 2" xfId="23047" xr:uid="{FFD6BF68-E87A-4627-9AD9-62851059048F}"/>
    <cellStyle name="Total 5 5 8 3" xfId="41155" xr:uid="{1759F531-E2F2-4CA7-AB4A-654D7CD0B035}"/>
    <cellStyle name="Total 5 5 9" xfId="23048" xr:uid="{D10C2345-8C9A-4DF0-A205-2977C00664BB}"/>
    <cellStyle name="Total 5 5 9 2" xfId="23049" xr:uid="{FD6F24BE-F6CE-4931-9D90-6DEB8D506542}"/>
    <cellStyle name="Total 5 5 9 3" xfId="41156" xr:uid="{050A48D2-3D02-4732-9B80-80736F1E8B9A}"/>
    <cellStyle name="Total 5 6" xfId="23050" xr:uid="{6E149028-C4D0-4281-9823-288E75E19AA3}"/>
    <cellStyle name="Total 5 6 10" xfId="23051" xr:uid="{549F4900-8670-437C-BE91-94EE76B53C91}"/>
    <cellStyle name="Total 5 6 10 2" xfId="41157" xr:uid="{6CB02312-29B1-4B17-B92B-27E043178400}"/>
    <cellStyle name="Total 5 6 10 3" xfId="41158" xr:uid="{567B2AD9-7B49-4A6A-B147-EA6A15DBE88B}"/>
    <cellStyle name="Total 5 6 11" xfId="23052" xr:uid="{BE973E54-B5AB-4B18-8C1A-29CFCCA95E16}"/>
    <cellStyle name="Total 5 6 11 2" xfId="41159" xr:uid="{662FA711-311B-4DBC-A517-5E535D36D304}"/>
    <cellStyle name="Total 5 6 12" xfId="41160" xr:uid="{16C76808-CB79-4911-B742-196674F49DEC}"/>
    <cellStyle name="Total 5 6 2" xfId="23053" xr:uid="{78C42E0E-398B-449E-9F49-014F7CA93586}"/>
    <cellStyle name="Total 5 6 2 10" xfId="23054" xr:uid="{55155441-BEDE-4660-A043-2363DCF211FE}"/>
    <cellStyle name="Total 5 6 2 10 2" xfId="41161" xr:uid="{B22B885A-919A-4011-B0A6-E8F35CB24A1E}"/>
    <cellStyle name="Total 5 6 2 11" xfId="41162" xr:uid="{91CB3400-9BE3-4082-8ED3-ADB57543ED80}"/>
    <cellStyle name="Total 5 6 2 2" xfId="23055" xr:uid="{DBD5412A-FCF7-4B9E-A2F9-603CFAF5369D}"/>
    <cellStyle name="Total 5 6 2 2 2" xfId="23056" xr:uid="{7509EDAF-DAAE-4064-B5EC-8ABA4F24D4FC}"/>
    <cellStyle name="Total 5 6 2 2 2 2" xfId="41163" xr:uid="{4700F701-4DFC-4031-B0AA-7B0E1BAB6084}"/>
    <cellStyle name="Total 5 6 2 2 2 3" xfId="41164" xr:uid="{C1F2935E-FF73-4CC7-B170-35E3C430F47C}"/>
    <cellStyle name="Total 5 6 2 2 3" xfId="23057" xr:uid="{02179308-E46A-4203-9326-32D65BC0E18F}"/>
    <cellStyle name="Total 5 6 2 2 3 2" xfId="23058" xr:uid="{A184C36D-FCFA-4759-8701-CE67DD8674AD}"/>
    <cellStyle name="Total 5 6 2 2 4" xfId="23059" xr:uid="{FAEE9394-FF34-452A-86E1-DECBA219690B}"/>
    <cellStyle name="Total 5 6 2 2 5" xfId="41165" xr:uid="{2D4CD595-2BE5-4716-B7F0-278DCAD93FEE}"/>
    <cellStyle name="Total 5 6 2 3" xfId="23060" xr:uid="{57B6DDF6-8351-4121-9EA1-2DB54BF26FB9}"/>
    <cellStyle name="Total 5 6 2 3 2" xfId="23061" xr:uid="{20A5BB78-E5F0-4817-964C-9CEF3D6C12B4}"/>
    <cellStyle name="Total 5 6 2 3 3" xfId="41166" xr:uid="{E3EB8794-192C-421E-824A-559BEACE73C9}"/>
    <cellStyle name="Total 5 6 2 4" xfId="23062" xr:uid="{3F4E4045-B980-40DF-BFDE-6322E4F2E013}"/>
    <cellStyle name="Total 5 6 2 4 2" xfId="23063" xr:uid="{83F8AF2F-2837-4DE2-98B5-3BE1DEEFF77D}"/>
    <cellStyle name="Total 5 6 2 4 3" xfId="41167" xr:uid="{58E3DD7F-8546-41DA-A97A-2DECBC9B1BF7}"/>
    <cellStyle name="Total 5 6 2 5" xfId="23064" xr:uid="{88B14F55-EB4A-4829-957E-76488FE7A4FC}"/>
    <cellStyle name="Total 5 6 2 5 2" xfId="23065" xr:uid="{A7578E86-0296-4224-B24B-EFEF8BB2CE46}"/>
    <cellStyle name="Total 5 6 2 5 3" xfId="41168" xr:uid="{9DA9F983-EF6D-4807-B359-254DD78FEC9F}"/>
    <cellStyle name="Total 5 6 2 6" xfId="23066" xr:uid="{1A8B86B3-ACE7-4BB4-BA60-50F509A68A94}"/>
    <cellStyle name="Total 5 6 2 6 2" xfId="23067" xr:uid="{9922DF46-FE50-438B-9CE4-06C16832350E}"/>
    <cellStyle name="Total 5 6 2 6 3" xfId="41169" xr:uid="{8213AA2C-7887-4E28-808B-F75AB290882E}"/>
    <cellStyle name="Total 5 6 2 7" xfId="23068" xr:uid="{661934F4-73E7-48A9-9EB2-C54848A24955}"/>
    <cellStyle name="Total 5 6 2 7 2" xfId="23069" xr:uid="{042A5FDD-4AFD-4272-8EBB-987ACB06EE8C}"/>
    <cellStyle name="Total 5 6 2 7 3" xfId="41170" xr:uid="{43117A0B-2C2D-4A73-9ED2-2FBA140BADE7}"/>
    <cellStyle name="Total 5 6 2 8" xfId="23070" xr:uid="{41148C17-E865-450C-A82A-19795D2C5B9D}"/>
    <cellStyle name="Total 5 6 2 8 2" xfId="23071" xr:uid="{34C7D59E-936F-409F-9B8E-FEB42D6B8F05}"/>
    <cellStyle name="Total 5 6 2 8 3" xfId="41171" xr:uid="{53382F51-410C-495C-ACC5-086E98F7B957}"/>
    <cellStyle name="Total 5 6 2 9" xfId="23072" xr:uid="{0E5F3D10-EE9A-44E6-9FBE-167BABA45056}"/>
    <cellStyle name="Total 5 6 2 9 2" xfId="41172" xr:uid="{2ECE5F3E-C02D-4836-BCB0-D60D09CF1EB6}"/>
    <cellStyle name="Total 5 6 2 9 3" xfId="41173" xr:uid="{01F16F13-AF9B-417C-810A-C205F6F297FD}"/>
    <cellStyle name="Total 5 6 3" xfId="23073" xr:uid="{05DB5BC4-85F1-44BD-A767-B6BBD0C72803}"/>
    <cellStyle name="Total 5 6 3 2" xfId="23074" xr:uid="{7439CE4C-8D78-4E30-B1F0-D3D68E28870D}"/>
    <cellStyle name="Total 5 6 3 2 2" xfId="41174" xr:uid="{008D0353-E7E1-4145-8D0A-A8FC72BC2247}"/>
    <cellStyle name="Total 5 6 3 2 3" xfId="41175" xr:uid="{F6BA03D2-A41C-421F-90E9-2F8FB0B967A2}"/>
    <cellStyle name="Total 5 6 3 2 4" xfId="41176" xr:uid="{932C5D00-115B-46DD-8158-6BD6169F72C8}"/>
    <cellStyle name="Total 5 6 3 3" xfId="23075" xr:uid="{18E4C25C-D6D4-476F-8D73-39DF59EACF66}"/>
    <cellStyle name="Total 5 6 3 3 2" xfId="23076" xr:uid="{B2CD014C-D29F-4206-9BF9-3C55FE4B71AB}"/>
    <cellStyle name="Total 5 6 3 4" xfId="23077" xr:uid="{6043A427-8470-4F54-AD28-1CC0AA2171E0}"/>
    <cellStyle name="Total 5 6 3 5" xfId="41177" xr:uid="{0F23FA6E-25D3-4F5F-A513-E1BDC712DBB8}"/>
    <cellStyle name="Total 5 6 4" xfId="23078" xr:uid="{DC8FCA4B-9A48-44F4-AE22-FE0A992522D6}"/>
    <cellStyle name="Total 5 6 4 2" xfId="23079" xr:uid="{68317FBC-F1CF-4C9E-BE24-C3C9609FAB50}"/>
    <cellStyle name="Total 5 6 4 2 2" xfId="41178" xr:uid="{0FD6CB71-02D2-47E5-A168-28D77CC02386}"/>
    <cellStyle name="Total 5 6 4 2 3" xfId="41179" xr:uid="{E091CF98-E48B-4FFE-A7D3-F19DA82A7814}"/>
    <cellStyle name="Total 5 6 4 3" xfId="23080" xr:uid="{A4D3BB1D-A511-446F-B8FB-97075C1000D9}"/>
    <cellStyle name="Total 5 6 4 4" xfId="41180" xr:uid="{C25EFE28-9645-450E-8C28-40E7B35B0910}"/>
    <cellStyle name="Total 5 6 4 5" xfId="41181" xr:uid="{B6FB6FD2-12AD-4455-92A3-1E6A9AA4789C}"/>
    <cellStyle name="Total 5 6 5" xfId="23081" xr:uid="{CAA70AB4-284A-4B14-82FB-3A6E1E65D9FC}"/>
    <cellStyle name="Total 5 6 5 2" xfId="23082" xr:uid="{B4046A3A-76BF-4A9D-BE89-3FBD4474ED67}"/>
    <cellStyle name="Total 5 6 5 2 2" xfId="41182" xr:uid="{DD884FDB-009D-45DB-B6AD-3A3710F9203A}"/>
    <cellStyle name="Total 5 6 5 2 3" xfId="41183" xr:uid="{D7872A6E-73F4-403C-AB3A-A1A667EC7621}"/>
    <cellStyle name="Total 5 6 5 3" xfId="41184" xr:uid="{62318F65-7C5A-4121-878F-B24FA0FAD34C}"/>
    <cellStyle name="Total 5 6 5 4" xfId="41185" xr:uid="{63D1EC1E-0FA7-4AB8-9243-0D678E48285B}"/>
    <cellStyle name="Total 5 6 6" xfId="23083" xr:uid="{EAC48EA7-6B66-4B79-8B95-B36CBB3BC3E5}"/>
    <cellStyle name="Total 5 6 6 2" xfId="23084" xr:uid="{B0123018-3D2D-4C0D-A16B-EFC2F6C2DDE1}"/>
    <cellStyle name="Total 5 6 6 3" xfId="41186" xr:uid="{48C03536-DA03-4BF5-A61E-0B540B6DEF39}"/>
    <cellStyle name="Total 5 6 7" xfId="23085" xr:uid="{875D60FC-2A33-44F8-AF30-DA9FC9B183B1}"/>
    <cellStyle name="Total 5 6 7 2" xfId="23086" xr:uid="{1ECACEB2-74E6-45BA-B897-2E6F7A355437}"/>
    <cellStyle name="Total 5 6 7 3" xfId="41187" xr:uid="{0A155B8B-1B69-4817-891A-58BCBFB3443D}"/>
    <cellStyle name="Total 5 6 8" xfId="23087" xr:uid="{C0A9F5BD-59C0-4C11-AA78-AEEFFF6164B0}"/>
    <cellStyle name="Total 5 6 8 2" xfId="23088" xr:uid="{3F1AA85A-6C1F-4CA7-8234-22796A1E988D}"/>
    <cellStyle name="Total 5 6 8 3" xfId="41188" xr:uid="{6E0D8825-B139-41DC-AD81-B3BD07AC63BE}"/>
    <cellStyle name="Total 5 6 9" xfId="23089" xr:uid="{25C95F43-DBA2-4D25-92FF-3FFE2F6CAE94}"/>
    <cellStyle name="Total 5 6 9 2" xfId="23090" xr:uid="{51C76808-1FFC-4170-A6B1-7B69C5B96482}"/>
    <cellStyle name="Total 5 6 9 3" xfId="41189" xr:uid="{C3CF5EAB-A930-49D2-9C49-B69F3D59B49C}"/>
    <cellStyle name="Total 5 7" xfId="23091" xr:uid="{C000B46D-DF46-4E4C-B8E9-95E026357D13}"/>
    <cellStyle name="Total 5 7 10" xfId="23092" xr:uid="{E7B9220B-65D9-47E6-BE20-86E267887BE4}"/>
    <cellStyle name="Total 5 7 10 2" xfId="41190" xr:uid="{367C73F5-3652-476F-84CC-9BC7A614A9AB}"/>
    <cellStyle name="Total 5 7 10 3" xfId="41191" xr:uid="{B59BDA9B-7BDE-4E53-B9E5-0EC47A6970D1}"/>
    <cellStyle name="Total 5 7 11" xfId="23093" xr:uid="{D186A020-EADD-4873-9422-E397EA58E677}"/>
    <cellStyle name="Total 5 7 11 2" xfId="41192" xr:uid="{77A5B6A2-38DE-4D70-B438-00137D31FA18}"/>
    <cellStyle name="Total 5 7 12" xfId="41193" xr:uid="{8F6F445D-A3C8-47EF-BE61-B3E5B8D2D81C}"/>
    <cellStyle name="Total 5 7 2" xfId="23094" xr:uid="{9FC9C4DC-C754-4803-9C3E-B48E52250196}"/>
    <cellStyle name="Total 5 7 2 10" xfId="23095" xr:uid="{635A1AE2-EBCF-4B1A-9340-D0C3CDAB9FD7}"/>
    <cellStyle name="Total 5 7 2 10 2" xfId="41194" xr:uid="{BD60C8FE-3A8A-432C-95F3-FB6D7FE503F6}"/>
    <cellStyle name="Total 5 7 2 11" xfId="41195" xr:uid="{EAB34AA7-2591-48CE-9F7A-8C87E550F00E}"/>
    <cellStyle name="Total 5 7 2 2" xfId="23096" xr:uid="{3289489A-2DB8-4102-9386-D3A0258A74FC}"/>
    <cellStyle name="Total 5 7 2 2 2" xfId="23097" xr:uid="{C1ED3781-8D29-455C-944E-821685A2D9CF}"/>
    <cellStyle name="Total 5 7 2 2 2 2" xfId="41196" xr:uid="{A764AE0C-47C9-4A75-9A98-5F7A49A02A95}"/>
    <cellStyle name="Total 5 7 2 2 2 3" xfId="41197" xr:uid="{B9DEF012-5CB3-4EB0-A6B8-8833E57B9BB0}"/>
    <cellStyle name="Total 5 7 2 2 3" xfId="23098" xr:uid="{EBF97BF8-B5E6-4644-A90C-4AD925C00C97}"/>
    <cellStyle name="Total 5 7 2 2 3 2" xfId="23099" xr:uid="{2205102B-428C-408B-A8FE-34E47278E0BD}"/>
    <cellStyle name="Total 5 7 2 2 4" xfId="23100" xr:uid="{7F547359-3EF8-40A1-817E-35567FBA2924}"/>
    <cellStyle name="Total 5 7 2 2 5" xfId="41198" xr:uid="{FF5F1BF1-EA46-4E06-A41E-B1197186DAE5}"/>
    <cellStyle name="Total 5 7 2 3" xfId="23101" xr:uid="{364410AE-56EA-4797-B174-A742DBCEBE50}"/>
    <cellStyle name="Total 5 7 2 3 2" xfId="23102" xr:uid="{C37790C0-7E78-4C10-B58D-DDEDBD2170E5}"/>
    <cellStyle name="Total 5 7 2 3 3" xfId="41199" xr:uid="{8329A727-57AC-4918-9AB1-52C38D1E21D3}"/>
    <cellStyle name="Total 5 7 2 4" xfId="23103" xr:uid="{2C107396-9618-4C0D-8ADE-7E9B8192EFEB}"/>
    <cellStyle name="Total 5 7 2 4 2" xfId="23104" xr:uid="{3DC31EA6-AD52-4692-A751-2BB68AF3AED4}"/>
    <cellStyle name="Total 5 7 2 4 3" xfId="41200" xr:uid="{6BF8490D-E2E8-49DD-AB5F-8F242D66E16F}"/>
    <cellStyle name="Total 5 7 2 5" xfId="23105" xr:uid="{DF3C8298-4D34-4958-94E6-CFF30C802DF4}"/>
    <cellStyle name="Total 5 7 2 5 2" xfId="23106" xr:uid="{13EA9D9E-B621-44A2-87EF-8AEB7D34AE6C}"/>
    <cellStyle name="Total 5 7 2 5 3" xfId="41201" xr:uid="{BDC551E7-9C80-4F0C-B514-FC7A910B415B}"/>
    <cellStyle name="Total 5 7 2 6" xfId="23107" xr:uid="{EA4E136D-4881-433B-BD5D-8F702515A7B9}"/>
    <cellStyle name="Total 5 7 2 6 2" xfId="23108" xr:uid="{AA56F839-CC10-4693-8E8A-121C15A849CE}"/>
    <cellStyle name="Total 5 7 2 6 3" xfId="41202" xr:uid="{A3122ECD-19CC-4F39-9F61-CE43FC93760C}"/>
    <cellStyle name="Total 5 7 2 7" xfId="23109" xr:uid="{C6D4D2D1-AD01-4546-B1CF-F2DBFDFE8D06}"/>
    <cellStyle name="Total 5 7 2 7 2" xfId="23110" xr:uid="{B64568B2-D666-428A-8F90-C37A74AA0FC9}"/>
    <cellStyle name="Total 5 7 2 7 3" xfId="41203" xr:uid="{6F267525-39D8-4B89-9F52-A181093F0C7F}"/>
    <cellStyle name="Total 5 7 2 8" xfId="23111" xr:uid="{E611EFB5-6C0D-4E15-A538-D960A0E202D2}"/>
    <cellStyle name="Total 5 7 2 8 2" xfId="23112" xr:uid="{2372B214-8954-4BCA-8D71-5CC0366C3AC6}"/>
    <cellStyle name="Total 5 7 2 8 3" xfId="41204" xr:uid="{B6E8AEEB-7E63-4EC6-9F39-959A4053AE04}"/>
    <cellStyle name="Total 5 7 2 9" xfId="23113" xr:uid="{C95CF2C4-C46B-4817-B28E-B7A435C23B9A}"/>
    <cellStyle name="Total 5 7 2 9 2" xfId="41205" xr:uid="{CE6C2043-C3FD-4689-9EC1-9497E7BAADB9}"/>
    <cellStyle name="Total 5 7 2 9 3" xfId="41206" xr:uid="{E893A9C2-F018-4FC9-BFFE-804E531E5AAD}"/>
    <cellStyle name="Total 5 7 3" xfId="23114" xr:uid="{1EEF01ED-470D-4DD9-8E29-B10D8F1FF492}"/>
    <cellStyle name="Total 5 7 3 2" xfId="23115" xr:uid="{ED1BDB7F-FC9D-462A-8253-0BDAA2EF8380}"/>
    <cellStyle name="Total 5 7 3 2 2" xfId="41207" xr:uid="{0E025042-7B4E-47D9-900C-1E89CCA08362}"/>
    <cellStyle name="Total 5 7 3 2 3" xfId="41208" xr:uid="{770DF0A4-4BAE-4C4E-9259-AF9EA38C583B}"/>
    <cellStyle name="Total 5 7 3 2 4" xfId="41209" xr:uid="{11079205-D17F-4563-A423-792E03BEC3BA}"/>
    <cellStyle name="Total 5 7 3 3" xfId="23116" xr:uid="{B46019D0-2127-4E34-98D2-61912922D6CD}"/>
    <cellStyle name="Total 5 7 3 3 2" xfId="23117" xr:uid="{5D5CF58E-896C-48CB-9D7C-01529661556E}"/>
    <cellStyle name="Total 5 7 3 4" xfId="23118" xr:uid="{AE8A0D84-D713-4E04-8253-751DA05740C4}"/>
    <cellStyle name="Total 5 7 3 5" xfId="41210" xr:uid="{1950E896-3E60-4137-A4B6-110F92C09BCA}"/>
    <cellStyle name="Total 5 7 4" xfId="23119" xr:uid="{55760EC0-EEA1-4AEF-8712-8D787066D37A}"/>
    <cellStyle name="Total 5 7 4 2" xfId="23120" xr:uid="{F6E4F3D1-6E07-4D1E-B150-C11F630715F4}"/>
    <cellStyle name="Total 5 7 4 2 2" xfId="41211" xr:uid="{E4291ACB-A91F-440C-9CA1-AA79B0B5847D}"/>
    <cellStyle name="Total 5 7 4 2 3" xfId="41212" xr:uid="{F96ABD8A-32D2-4F3E-85BC-FF349F77269D}"/>
    <cellStyle name="Total 5 7 4 3" xfId="23121" xr:uid="{2ADC63B0-B5B8-4AA6-B01D-C211BE15DDC2}"/>
    <cellStyle name="Total 5 7 4 4" xfId="41213" xr:uid="{2D3F6394-6D8B-4C37-A851-48BA42EC28F0}"/>
    <cellStyle name="Total 5 7 4 5" xfId="41214" xr:uid="{72CAA1C5-2DF1-4D56-891F-2A9C9258F9CB}"/>
    <cellStyle name="Total 5 7 5" xfId="23122" xr:uid="{CC4D0D04-EAA0-4849-855C-830FC46C8956}"/>
    <cellStyle name="Total 5 7 5 2" xfId="23123" xr:uid="{2A4A9AA4-0C0F-4479-B68A-F2AE9AA69167}"/>
    <cellStyle name="Total 5 7 5 2 2" xfId="41215" xr:uid="{6AECE332-F6D1-48DE-8763-E5AC96512ECA}"/>
    <cellStyle name="Total 5 7 5 2 3" xfId="41216" xr:uid="{678DAA05-FAFD-4812-B700-03EB09E7094C}"/>
    <cellStyle name="Total 5 7 5 3" xfId="41217" xr:uid="{A5086F15-654C-431C-BF20-BE9CB9653210}"/>
    <cellStyle name="Total 5 7 5 4" xfId="41218" xr:uid="{67230E37-39AC-470B-B891-BF5529392B85}"/>
    <cellStyle name="Total 5 7 6" xfId="23124" xr:uid="{814719FB-E5B6-4B45-8646-9C5472C96A6D}"/>
    <cellStyle name="Total 5 7 6 2" xfId="23125" xr:uid="{E56E0376-7F5A-4911-87BB-62BF3B16A3DC}"/>
    <cellStyle name="Total 5 7 6 3" xfId="41219" xr:uid="{CDD0C4A5-3C47-40AF-9F78-BE6B6E0AEDF0}"/>
    <cellStyle name="Total 5 7 7" xfId="23126" xr:uid="{502325B1-EB3F-453E-B599-EAE50E367B1A}"/>
    <cellStyle name="Total 5 7 7 2" xfId="23127" xr:uid="{7C6486F3-C848-49AC-886D-769BA7CA52BB}"/>
    <cellStyle name="Total 5 7 7 3" xfId="41220" xr:uid="{78CF0D3F-85D8-491A-9C6D-8B03A94A1C15}"/>
    <cellStyle name="Total 5 7 8" xfId="23128" xr:uid="{B2DD7329-476B-45C6-8E7A-DCE72A39E50F}"/>
    <cellStyle name="Total 5 7 8 2" xfId="23129" xr:uid="{5D1598B0-E735-413E-82FD-E11765E23956}"/>
    <cellStyle name="Total 5 7 8 3" xfId="41221" xr:uid="{54E9C683-E2B1-4934-B36E-CE9D21CF817B}"/>
    <cellStyle name="Total 5 7 9" xfId="23130" xr:uid="{A20FE11E-659C-445F-94AD-A474A8EB5172}"/>
    <cellStyle name="Total 5 7 9 2" xfId="23131" xr:uid="{CD05E2CF-5884-4263-B681-6BE5CB599736}"/>
    <cellStyle name="Total 5 7 9 3" xfId="41222" xr:uid="{DDCBB19F-33C9-43B9-AEC5-0B12E84FAED2}"/>
    <cellStyle name="Total 5 8" xfId="23132" xr:uid="{DD1A902E-9B6A-4DC8-80CF-64D9DD2B2343}"/>
    <cellStyle name="Total 5 8 10" xfId="23133" xr:uid="{835B1B7F-945C-46BE-8758-02C6431C2ADC}"/>
    <cellStyle name="Total 5 8 10 2" xfId="41223" xr:uid="{AF587873-88D3-46F2-A034-BEA5C3487A5B}"/>
    <cellStyle name="Total 5 8 10 3" xfId="41224" xr:uid="{CD370D4F-C763-4E36-B633-3A3F69AD236A}"/>
    <cellStyle name="Total 5 8 11" xfId="23134" xr:uid="{1953A840-2F19-4311-A90D-17A5822DB154}"/>
    <cellStyle name="Total 5 8 11 2" xfId="41225" xr:uid="{8A27D9AA-E14A-4680-A7C2-F36B457478A7}"/>
    <cellStyle name="Total 5 8 12" xfId="41226" xr:uid="{3547FB98-781C-483B-8A88-BFD066178925}"/>
    <cellStyle name="Total 5 8 2" xfId="23135" xr:uid="{B8F9910E-F96F-4CA3-9FB0-EF67CC9F6E59}"/>
    <cellStyle name="Total 5 8 2 10" xfId="23136" xr:uid="{43A8A49B-66E5-4B89-AF48-14C43BAA3AB1}"/>
    <cellStyle name="Total 5 8 2 10 2" xfId="41227" xr:uid="{3C8507F8-52E6-49C7-BB4F-B22B6050EE34}"/>
    <cellStyle name="Total 5 8 2 11" xfId="41228" xr:uid="{66B0D59C-C69D-4AFF-BA90-C1E56BAD5E4C}"/>
    <cellStyle name="Total 5 8 2 2" xfId="23137" xr:uid="{1CCB5591-C3B9-4CD5-A3DB-7F2CA286A092}"/>
    <cellStyle name="Total 5 8 2 2 2" xfId="23138" xr:uid="{DCA3CA45-7E66-4CD4-884D-D36EE14B5D8B}"/>
    <cellStyle name="Total 5 8 2 2 2 2" xfId="41229" xr:uid="{12486AEF-86EF-4BC9-9926-A5B747C12689}"/>
    <cellStyle name="Total 5 8 2 2 2 3" xfId="41230" xr:uid="{697B1841-714A-41AC-BEFC-67A31D2BDD09}"/>
    <cellStyle name="Total 5 8 2 2 3" xfId="23139" xr:uid="{9D0EAA49-6DF0-459B-9976-6EDCA74C525A}"/>
    <cellStyle name="Total 5 8 2 2 3 2" xfId="23140" xr:uid="{B275D2D7-D1F2-498C-9653-CBD2F27A5FE8}"/>
    <cellStyle name="Total 5 8 2 2 4" xfId="23141" xr:uid="{E7AF9C16-5923-4EF5-9823-A0280783AD65}"/>
    <cellStyle name="Total 5 8 2 2 5" xfId="41231" xr:uid="{16898470-5A0B-4CED-B36D-B2370F5C2D62}"/>
    <cellStyle name="Total 5 8 2 3" xfId="23142" xr:uid="{1F6823E2-B915-426F-9C57-67AA7A6590B0}"/>
    <cellStyle name="Total 5 8 2 3 2" xfId="23143" xr:uid="{7D4A3164-975F-4FB3-86B5-6A289CDDF6C2}"/>
    <cellStyle name="Total 5 8 2 3 3" xfId="41232" xr:uid="{E9CEB3DF-0A9C-4D89-84BC-4E5C7ADB709F}"/>
    <cellStyle name="Total 5 8 2 4" xfId="23144" xr:uid="{1F406F28-4FDC-4046-8883-88A169D83361}"/>
    <cellStyle name="Total 5 8 2 4 2" xfId="23145" xr:uid="{C169CF48-8BAD-43B5-A698-3999692D27BC}"/>
    <cellStyle name="Total 5 8 2 4 3" xfId="41233" xr:uid="{90D551EB-B64B-40AE-9306-9E409E54AD0E}"/>
    <cellStyle name="Total 5 8 2 5" xfId="23146" xr:uid="{F7C8A02C-8578-4E7A-8677-F2A44E89B84B}"/>
    <cellStyle name="Total 5 8 2 5 2" xfId="23147" xr:uid="{CE606631-754F-4643-BFE9-D05D2DC05C2F}"/>
    <cellStyle name="Total 5 8 2 5 3" xfId="41234" xr:uid="{FB782E1A-78BF-4E4B-B892-CE8CB58BE2AC}"/>
    <cellStyle name="Total 5 8 2 6" xfId="23148" xr:uid="{D9435F5D-0A89-46D5-825E-89AC33590904}"/>
    <cellStyle name="Total 5 8 2 6 2" xfId="23149" xr:uid="{20BC9785-5A89-4943-AC35-E1A6329B07E7}"/>
    <cellStyle name="Total 5 8 2 6 3" xfId="41235" xr:uid="{E83F7D10-6432-477D-903F-60F37839C982}"/>
    <cellStyle name="Total 5 8 2 7" xfId="23150" xr:uid="{46A166D7-2831-490D-A6C2-C07099295483}"/>
    <cellStyle name="Total 5 8 2 7 2" xfId="23151" xr:uid="{18D2ED16-5973-4718-AE2B-D8138B79A1F9}"/>
    <cellStyle name="Total 5 8 2 7 3" xfId="41236" xr:uid="{A8EF998C-568D-4AE2-8F6A-D2F0F4131301}"/>
    <cellStyle name="Total 5 8 2 8" xfId="23152" xr:uid="{53FE3B51-3975-48F2-A963-557E11FCD31A}"/>
    <cellStyle name="Total 5 8 2 8 2" xfId="23153" xr:uid="{5522F0E0-458F-4C8B-BF2B-2D589D59CAA8}"/>
    <cellStyle name="Total 5 8 2 8 3" xfId="41237" xr:uid="{4CCFF960-6919-4E86-B3CD-9CFDF5E5A30E}"/>
    <cellStyle name="Total 5 8 2 9" xfId="23154" xr:uid="{3EB3EE7F-08A1-4074-8199-252053C9DBE6}"/>
    <cellStyle name="Total 5 8 2 9 2" xfId="41238" xr:uid="{9748D342-5112-49D2-B790-266A821CD762}"/>
    <cellStyle name="Total 5 8 2 9 3" xfId="41239" xr:uid="{3CE4603B-DE05-4FCC-8B46-621A738C1A0A}"/>
    <cellStyle name="Total 5 8 3" xfId="23155" xr:uid="{D35C989B-3000-42BE-B8E2-A457AC109D10}"/>
    <cellStyle name="Total 5 8 3 2" xfId="23156" xr:uid="{5C0D4250-FD40-4192-93A3-DCEE387BE841}"/>
    <cellStyle name="Total 5 8 3 2 2" xfId="41240" xr:uid="{132E2979-5366-4D75-8AE0-DE9B80B7FF85}"/>
    <cellStyle name="Total 5 8 3 2 3" xfId="41241" xr:uid="{D0FC9B42-BED4-4879-AF02-486D0FD06975}"/>
    <cellStyle name="Total 5 8 3 2 4" xfId="41242" xr:uid="{31AE0EE4-0D78-4896-B811-A7F1DA08467C}"/>
    <cellStyle name="Total 5 8 3 3" xfId="23157" xr:uid="{C55FD761-38F6-4A6B-90DC-70A44A67A651}"/>
    <cellStyle name="Total 5 8 3 3 2" xfId="23158" xr:uid="{B47CAC90-0590-43DA-ABC5-9C87BDC30431}"/>
    <cellStyle name="Total 5 8 3 4" xfId="23159" xr:uid="{A51B2B77-EBFA-4E50-BA7B-5D333BB3BA28}"/>
    <cellStyle name="Total 5 8 3 5" xfId="41243" xr:uid="{F86C8E0A-3A38-45C5-A69D-EB413C8F26A5}"/>
    <cellStyle name="Total 5 8 4" xfId="23160" xr:uid="{7D286FC0-98F2-4CD6-9F4C-6AD1F89976CA}"/>
    <cellStyle name="Total 5 8 4 2" xfId="23161" xr:uid="{B99C9CE0-0C38-4402-9DD9-87184AF49995}"/>
    <cellStyle name="Total 5 8 4 2 2" xfId="41244" xr:uid="{E20E640E-F9C2-49C1-A293-2F0230967AA3}"/>
    <cellStyle name="Total 5 8 4 2 3" xfId="41245" xr:uid="{68A69B5F-8B23-4ECE-B13D-01F4A9190F88}"/>
    <cellStyle name="Total 5 8 4 3" xfId="23162" xr:uid="{BE28788B-312F-420E-B5CE-498E9FBBA908}"/>
    <cellStyle name="Total 5 8 4 4" xfId="41246" xr:uid="{AA4DBBCC-0776-4AFC-8EB7-57A7A3D3977E}"/>
    <cellStyle name="Total 5 8 4 5" xfId="41247" xr:uid="{EBCB52CE-C1BA-4387-BB0D-5C30853B3034}"/>
    <cellStyle name="Total 5 8 5" xfId="23163" xr:uid="{BE45D10A-9F30-4D82-82BA-732A0775BD33}"/>
    <cellStyle name="Total 5 8 5 2" xfId="23164" xr:uid="{0C12323A-DB4A-4C4F-8588-4CC45A14BD37}"/>
    <cellStyle name="Total 5 8 5 2 2" xfId="41248" xr:uid="{B268F237-3B23-4C83-8A5A-D03C2B8C9C79}"/>
    <cellStyle name="Total 5 8 5 2 3" xfId="41249" xr:uid="{21C74455-8798-44EF-A667-D6633703695A}"/>
    <cellStyle name="Total 5 8 5 3" xfId="41250" xr:uid="{C5113AE5-5610-4F25-B5B1-C43A74250F3B}"/>
    <cellStyle name="Total 5 8 5 4" xfId="41251" xr:uid="{3A518659-B716-446B-9FDC-9FAB6D25E4CA}"/>
    <cellStyle name="Total 5 8 6" xfId="23165" xr:uid="{E0262D77-4AD8-4144-BE8F-FA1AEFF33AA1}"/>
    <cellStyle name="Total 5 8 6 2" xfId="23166" xr:uid="{2E5A57A4-E787-41B4-95E7-64525CD182E0}"/>
    <cellStyle name="Total 5 8 6 3" xfId="41252" xr:uid="{9932DD5F-55AD-4C24-AE1B-1132C0C411D1}"/>
    <cellStyle name="Total 5 8 7" xfId="23167" xr:uid="{0447E390-78C2-44CF-886C-B7A0756C8DEA}"/>
    <cellStyle name="Total 5 8 7 2" xfId="23168" xr:uid="{B5304D9A-AAC9-4ED1-A01D-549A88C4B08C}"/>
    <cellStyle name="Total 5 8 7 3" xfId="41253" xr:uid="{65271474-07BD-4AB1-8A01-269BDC44891D}"/>
    <cellStyle name="Total 5 8 8" xfId="23169" xr:uid="{140D984E-3410-421F-86F9-0C80B6CDCCCA}"/>
    <cellStyle name="Total 5 8 8 2" xfId="23170" xr:uid="{450CA480-50A5-4284-BBF4-9BCDEBE5FCE9}"/>
    <cellStyle name="Total 5 8 8 3" xfId="41254" xr:uid="{9873474C-6047-4F09-AE87-16655427BA0E}"/>
    <cellStyle name="Total 5 8 9" xfId="23171" xr:uid="{A4BF5155-2CE1-417F-B9E5-E8892D71DDE9}"/>
    <cellStyle name="Total 5 8 9 2" xfId="23172" xr:uid="{B6960412-FC0D-463C-A02E-BE0B17DB25C3}"/>
    <cellStyle name="Total 5 8 9 3" xfId="41255" xr:uid="{2C9FC908-AF33-4DAB-A2CB-83ADEDE05471}"/>
    <cellStyle name="Total 5 9" xfId="23173" xr:uid="{5139ACF1-0A99-4435-BBFD-B6F96A35A54C}"/>
    <cellStyle name="Total 5 9 10" xfId="23174" xr:uid="{6B1FD045-B3FA-40B5-9637-4D6711A5DB20}"/>
    <cellStyle name="Total 5 9 10 2" xfId="41256" xr:uid="{F420366C-9198-4E73-BF25-D443BDEF1569}"/>
    <cellStyle name="Total 5 9 10 3" xfId="41257" xr:uid="{A29A8E65-D982-45EB-AB3B-596C4A9FB446}"/>
    <cellStyle name="Total 5 9 11" xfId="23175" xr:uid="{86274609-D8EF-4414-BC63-C738964628ED}"/>
    <cellStyle name="Total 5 9 11 2" xfId="41258" xr:uid="{0F02E8C4-B7AD-4B51-AEAD-CD1EFA145D3E}"/>
    <cellStyle name="Total 5 9 12" xfId="41259" xr:uid="{028CAAAF-89A4-4EB9-9C81-98D9C9463CE0}"/>
    <cellStyle name="Total 5 9 2" xfId="23176" xr:uid="{6D306CDE-3253-4B39-9879-64D6E7808D5D}"/>
    <cellStyle name="Total 5 9 2 10" xfId="23177" xr:uid="{267BC7E7-9EEE-4331-9F4D-8E7A601B0C18}"/>
    <cellStyle name="Total 5 9 2 10 2" xfId="41260" xr:uid="{775E2871-44BC-4A8D-809D-BAD5F224DE42}"/>
    <cellStyle name="Total 5 9 2 11" xfId="41261" xr:uid="{07CB4733-365B-4845-A937-0DFF869B95B9}"/>
    <cellStyle name="Total 5 9 2 2" xfId="23178" xr:uid="{3FB7433A-31BF-4969-AEAD-A5BFE50D46CE}"/>
    <cellStyle name="Total 5 9 2 2 2" xfId="23179" xr:uid="{4E226802-C74F-4263-9E56-E06D10C954B4}"/>
    <cellStyle name="Total 5 9 2 2 2 2" xfId="41262" xr:uid="{E4CEEC3A-3EF4-4DBA-8238-2D2CD236DBB1}"/>
    <cellStyle name="Total 5 9 2 2 2 3" xfId="41263" xr:uid="{98F75DB9-76AB-46C1-A796-DD52D71C9449}"/>
    <cellStyle name="Total 5 9 2 2 3" xfId="23180" xr:uid="{F33015C0-C647-4655-AE4B-21B45FC2EA03}"/>
    <cellStyle name="Total 5 9 2 2 3 2" xfId="23181" xr:uid="{232EC5D5-CB82-4EF2-9583-245B71B1EC9F}"/>
    <cellStyle name="Total 5 9 2 2 4" xfId="23182" xr:uid="{B385625A-52F7-4F8F-A29A-C682819F10C7}"/>
    <cellStyle name="Total 5 9 2 2 5" xfId="41264" xr:uid="{867D8040-B24A-4ADF-AA24-344ADE879590}"/>
    <cellStyle name="Total 5 9 2 3" xfId="23183" xr:uid="{F6E4E29B-D2D0-4F03-8FB3-AA5B71BB916D}"/>
    <cellStyle name="Total 5 9 2 3 2" xfId="23184" xr:uid="{54214073-5409-451A-B582-AAEC9989E72C}"/>
    <cellStyle name="Total 5 9 2 3 3" xfId="41265" xr:uid="{553C7642-E4CF-479D-BD7C-24584DEA3708}"/>
    <cellStyle name="Total 5 9 2 4" xfId="23185" xr:uid="{534744CB-9155-487B-A44E-0C42425ED013}"/>
    <cellStyle name="Total 5 9 2 4 2" xfId="23186" xr:uid="{72BFB77C-C7F5-407A-B813-5465692BFBCD}"/>
    <cellStyle name="Total 5 9 2 4 3" xfId="41266" xr:uid="{F02A9F78-C781-4A4D-831C-2C4EFA3C04FB}"/>
    <cellStyle name="Total 5 9 2 5" xfId="23187" xr:uid="{B5B24F99-8E3F-4FF5-8712-4A39E741D6B0}"/>
    <cellStyle name="Total 5 9 2 5 2" xfId="23188" xr:uid="{2F36DEF9-F1D0-4B99-B30B-94A8662CF09D}"/>
    <cellStyle name="Total 5 9 2 5 3" xfId="41267" xr:uid="{5F12A189-9E82-4E6E-9EAB-62896D09CF33}"/>
    <cellStyle name="Total 5 9 2 6" xfId="23189" xr:uid="{6C7E349F-FDBC-4306-9D81-C5BCF1277B31}"/>
    <cellStyle name="Total 5 9 2 6 2" xfId="23190" xr:uid="{5DC59992-500B-4757-A035-97E125760D5A}"/>
    <cellStyle name="Total 5 9 2 6 3" xfId="41268" xr:uid="{E20F3AAA-C9B6-40A0-BC9D-CCEAB39819E7}"/>
    <cellStyle name="Total 5 9 2 7" xfId="23191" xr:uid="{F065FF22-53DB-4BA8-B2B7-978F1E5711B9}"/>
    <cellStyle name="Total 5 9 2 7 2" xfId="23192" xr:uid="{4A3EA138-599C-446D-AD54-565432685A86}"/>
    <cellStyle name="Total 5 9 2 7 3" xfId="41269" xr:uid="{2441FE98-B1B0-4F83-8066-D4E814957F74}"/>
    <cellStyle name="Total 5 9 2 8" xfId="23193" xr:uid="{8BEFCF2A-C4BB-4803-84DA-EED30FD59E8E}"/>
    <cellStyle name="Total 5 9 2 8 2" xfId="23194" xr:uid="{AAEC1B1A-C5A1-470A-9EC4-F01E45534C96}"/>
    <cellStyle name="Total 5 9 2 8 3" xfId="41270" xr:uid="{79DE8607-94D1-4E98-AE1C-AFF5562658B5}"/>
    <cellStyle name="Total 5 9 2 9" xfId="23195" xr:uid="{DDCFC157-3221-48D5-B0C7-ACCABB955E28}"/>
    <cellStyle name="Total 5 9 2 9 2" xfId="41271" xr:uid="{0B4EB9C6-A049-4ACD-904F-BB3D7916E3D5}"/>
    <cellStyle name="Total 5 9 2 9 3" xfId="41272" xr:uid="{B2CE80A1-2E84-4DC1-BE88-2D194F2EF759}"/>
    <cellStyle name="Total 5 9 3" xfId="23196" xr:uid="{F48D5A81-FB68-4299-BEDC-76E4B563106A}"/>
    <cellStyle name="Total 5 9 3 2" xfId="23197" xr:uid="{91E869BC-7A5A-4AA2-87F8-28CB0A46FB51}"/>
    <cellStyle name="Total 5 9 3 2 2" xfId="41273" xr:uid="{C052F56C-F270-46F6-8E1D-53AFF49CE2F3}"/>
    <cellStyle name="Total 5 9 3 2 3" xfId="41274" xr:uid="{9E58B7A8-5BC6-4CD6-9DF0-C911181A6029}"/>
    <cellStyle name="Total 5 9 3 2 4" xfId="41275" xr:uid="{1EC48CF3-35AD-4FF8-A250-634AD892BD81}"/>
    <cellStyle name="Total 5 9 3 3" xfId="23198" xr:uid="{807F358E-B757-420D-9543-039757FE75D4}"/>
    <cellStyle name="Total 5 9 3 3 2" xfId="23199" xr:uid="{69E4979A-0747-45EF-94E3-980CEA669231}"/>
    <cellStyle name="Total 5 9 3 4" xfId="23200" xr:uid="{65B1D1B4-5E66-4B7C-81FD-50CC88C37F4C}"/>
    <cellStyle name="Total 5 9 3 5" xfId="41276" xr:uid="{0E51F3C8-B804-4CDE-9876-F6EC95360D04}"/>
    <cellStyle name="Total 5 9 4" xfId="23201" xr:uid="{709E1C15-CDA3-4F93-966F-4763E432508D}"/>
    <cellStyle name="Total 5 9 4 2" xfId="23202" xr:uid="{51320CFC-8CD5-40B3-9C58-18A48C15695D}"/>
    <cellStyle name="Total 5 9 4 2 2" xfId="41277" xr:uid="{9645D6E4-B4E2-424C-A543-5AAB8BAE83CD}"/>
    <cellStyle name="Total 5 9 4 2 3" xfId="41278" xr:uid="{B2389590-09E0-4C7C-B9B0-A05BE377866E}"/>
    <cellStyle name="Total 5 9 4 3" xfId="23203" xr:uid="{5B2610E7-EDB6-4BCD-A5B6-5B8FB8BF7EF7}"/>
    <cellStyle name="Total 5 9 4 4" xfId="41279" xr:uid="{24455CA9-470F-4FF2-94C3-AA3481B31E72}"/>
    <cellStyle name="Total 5 9 4 5" xfId="41280" xr:uid="{D49B5D45-C2DF-4BFA-B1F7-6AD6334032FA}"/>
    <cellStyle name="Total 5 9 5" xfId="23204" xr:uid="{D7258E0F-244A-4066-80DB-3C8D7508C68C}"/>
    <cellStyle name="Total 5 9 5 2" xfId="23205" xr:uid="{8FCB0E51-5AA6-466F-A42E-2FF976387B50}"/>
    <cellStyle name="Total 5 9 5 2 2" xfId="41281" xr:uid="{14BCC835-6342-4477-8F93-A2A1C4A75E2A}"/>
    <cellStyle name="Total 5 9 5 2 3" xfId="41282" xr:uid="{2093EB0E-B933-49C7-A9D6-BC2FE146C48C}"/>
    <cellStyle name="Total 5 9 5 3" xfId="41283" xr:uid="{F06D3AA6-F9C9-47A8-9241-AE2EECEAC2B0}"/>
    <cellStyle name="Total 5 9 5 4" xfId="41284" xr:uid="{957225E0-D4CC-4F16-B809-3213A36B0897}"/>
    <cellStyle name="Total 5 9 6" xfId="23206" xr:uid="{5E047D0C-157E-4E1B-9B48-103C17A67D52}"/>
    <cellStyle name="Total 5 9 6 2" xfId="23207" xr:uid="{A68C7580-A215-4311-A448-DE3755124E90}"/>
    <cellStyle name="Total 5 9 6 3" xfId="41285" xr:uid="{8EF51294-54BE-4F0C-A122-DC11BC30DA3E}"/>
    <cellStyle name="Total 5 9 7" xfId="23208" xr:uid="{5B761D4C-A802-4BC4-AAD1-89332F1850E1}"/>
    <cellStyle name="Total 5 9 7 2" xfId="23209" xr:uid="{CC001A12-8418-4723-895F-5EBE5A23572D}"/>
    <cellStyle name="Total 5 9 7 3" xfId="41286" xr:uid="{AB3164DB-1341-4C29-BB29-4E71A50E72EF}"/>
    <cellStyle name="Total 5 9 8" xfId="23210" xr:uid="{4C097641-8AF1-43DC-A2B5-6EC625A9D3EC}"/>
    <cellStyle name="Total 5 9 8 2" xfId="23211" xr:uid="{9E046D04-C48A-433A-9B8D-C1DC6B577164}"/>
    <cellStyle name="Total 5 9 8 3" xfId="41287" xr:uid="{15B4A40A-26E6-4F21-8EFA-BE30C045B0BB}"/>
    <cellStyle name="Total 5 9 9" xfId="23212" xr:uid="{4F81F889-7242-4C17-9500-A0FB967727FB}"/>
    <cellStyle name="Total 5 9 9 2" xfId="23213" xr:uid="{674BC101-B8AF-4CF6-B67B-EBF767F321C2}"/>
    <cellStyle name="Total 5 9 9 3" xfId="41288" xr:uid="{E80B5001-7DF2-49C9-BCF1-BD6D5EE929F1}"/>
    <cellStyle name="Total 6" xfId="23214" xr:uid="{3640DD53-B67B-40DE-922D-8093F8EF099C}"/>
    <cellStyle name="Total 6 10" xfId="23215" xr:uid="{25DC9094-D1BC-48B0-8FFF-867708B6014F}"/>
    <cellStyle name="Total 6 10 10" xfId="23216" xr:uid="{CCE22F73-6D34-495D-A698-28E2BBDA7F72}"/>
    <cellStyle name="Total 6 10 10 2" xfId="41289" xr:uid="{E1A4D3C1-C5FD-423F-B40B-6FE0C38EF38D}"/>
    <cellStyle name="Total 6 10 10 3" xfId="41290" xr:uid="{4A88E31F-5818-4B50-A052-2F802913E2D2}"/>
    <cellStyle name="Total 6 10 11" xfId="23217" xr:uid="{964F4976-6871-46CE-B23E-8A0C18C94075}"/>
    <cellStyle name="Total 6 10 11 2" xfId="41291" xr:uid="{FB6F6069-8E8D-49E3-BA46-002D63360692}"/>
    <cellStyle name="Total 6 10 12" xfId="41292" xr:uid="{96C008DC-1F4E-4F3A-9ED3-64B1CA094D75}"/>
    <cellStyle name="Total 6 10 2" xfId="23218" xr:uid="{C38B6FAB-D095-4C1B-9F5E-954FC7773C8D}"/>
    <cellStyle name="Total 6 10 2 10" xfId="23219" xr:uid="{B38B1A2A-90F6-4172-B3B7-12DFC1BE8913}"/>
    <cellStyle name="Total 6 10 2 10 2" xfId="41293" xr:uid="{0F5CC8B0-2F09-4317-B773-1A5C2C649493}"/>
    <cellStyle name="Total 6 10 2 11" xfId="41294" xr:uid="{7303669E-1E27-4F5C-9023-54142130EBD5}"/>
    <cellStyle name="Total 6 10 2 2" xfId="23220" xr:uid="{5175F58F-08B0-49DE-B653-60EB1B992DE3}"/>
    <cellStyle name="Total 6 10 2 2 2" xfId="23221" xr:uid="{4C10B2E0-1FD1-43BE-ADEB-56C836C0A6FE}"/>
    <cellStyle name="Total 6 10 2 2 2 2" xfId="41295" xr:uid="{F9CF7054-D23C-4F3C-90C2-B0D768D8919E}"/>
    <cellStyle name="Total 6 10 2 2 2 3" xfId="41296" xr:uid="{1A125DAE-C134-45A0-876E-882F2FB422E6}"/>
    <cellStyle name="Total 6 10 2 2 3" xfId="23222" xr:uid="{7D7FB9AE-2659-4FF7-98A7-D9898C52C563}"/>
    <cellStyle name="Total 6 10 2 2 3 2" xfId="23223" xr:uid="{348E084C-7643-431C-A430-374E02FF184E}"/>
    <cellStyle name="Total 6 10 2 2 4" xfId="23224" xr:uid="{785DC621-9DBF-4E9C-A56F-8B550FFDE936}"/>
    <cellStyle name="Total 6 10 2 2 5" xfId="41297" xr:uid="{A482C610-5483-4E15-B32B-824400079852}"/>
    <cellStyle name="Total 6 10 2 3" xfId="23225" xr:uid="{1E38B4E6-D485-4D34-8FB3-B5600BFEF49B}"/>
    <cellStyle name="Total 6 10 2 3 2" xfId="23226" xr:uid="{9B5FC59F-0A40-4DB6-A420-AF2D7CFABBD7}"/>
    <cellStyle name="Total 6 10 2 3 3" xfId="41298" xr:uid="{D3F848B4-C492-472C-8833-846979618552}"/>
    <cellStyle name="Total 6 10 2 4" xfId="23227" xr:uid="{17AD0A73-3B5B-4DF0-946D-144D67BCEFF9}"/>
    <cellStyle name="Total 6 10 2 4 2" xfId="23228" xr:uid="{C5F56812-4B26-4CAE-BFD4-C79F482ABC30}"/>
    <cellStyle name="Total 6 10 2 4 3" xfId="41299" xr:uid="{54781950-4E77-4E2E-B16A-C25A9D92A7CE}"/>
    <cellStyle name="Total 6 10 2 5" xfId="23229" xr:uid="{3B8E4DC6-59B1-49A1-B9AB-603345E35E9F}"/>
    <cellStyle name="Total 6 10 2 5 2" xfId="23230" xr:uid="{AD49901C-3FBD-4660-8D25-699B4F652904}"/>
    <cellStyle name="Total 6 10 2 5 3" xfId="41300" xr:uid="{8B9E988F-BE0F-4B20-8039-EA803AFF9586}"/>
    <cellStyle name="Total 6 10 2 6" xfId="23231" xr:uid="{C1E2FC47-7034-452F-96C1-1B00DEDE878D}"/>
    <cellStyle name="Total 6 10 2 6 2" xfId="23232" xr:uid="{A6618A73-1270-47FA-A92D-1E860C36AA13}"/>
    <cellStyle name="Total 6 10 2 6 3" xfId="41301" xr:uid="{C7FA6856-ED7A-42C4-9E4F-828C9F98AC1F}"/>
    <cellStyle name="Total 6 10 2 7" xfId="23233" xr:uid="{11C4986C-1EBF-414D-B35D-97766680640A}"/>
    <cellStyle name="Total 6 10 2 7 2" xfId="23234" xr:uid="{3669F5E7-1D9A-4774-BCF0-EBB475763867}"/>
    <cellStyle name="Total 6 10 2 7 3" xfId="41302" xr:uid="{2979886C-FEE3-4A7F-9033-6E00A4660ED2}"/>
    <cellStyle name="Total 6 10 2 8" xfId="23235" xr:uid="{426DBB0D-036F-4B88-82FA-D9C8CE1551C6}"/>
    <cellStyle name="Total 6 10 2 8 2" xfId="23236" xr:uid="{050F61F5-0583-4615-8A31-E0572E81F259}"/>
    <cellStyle name="Total 6 10 2 8 3" xfId="41303" xr:uid="{35AF45F9-7341-4FE2-844C-D8055124CA18}"/>
    <cellStyle name="Total 6 10 2 9" xfId="23237" xr:uid="{47A970B9-86EB-45FE-97F1-5B771F1A8C80}"/>
    <cellStyle name="Total 6 10 2 9 2" xfId="41304" xr:uid="{7C1D6653-1361-4870-A23C-E79565623A77}"/>
    <cellStyle name="Total 6 10 2 9 3" xfId="41305" xr:uid="{D7843340-4E39-4D2F-8326-EE4C174CA3C9}"/>
    <cellStyle name="Total 6 10 3" xfId="23238" xr:uid="{5CA19E58-8D0C-4FC2-BA22-BA4259F2249E}"/>
    <cellStyle name="Total 6 10 3 2" xfId="23239" xr:uid="{008C5895-E95E-45C8-AA79-A4A9339DAC07}"/>
    <cellStyle name="Total 6 10 3 2 2" xfId="41306" xr:uid="{DD4FB232-39C7-47E5-A6FF-F72CAB073F26}"/>
    <cellStyle name="Total 6 10 3 2 3" xfId="41307" xr:uid="{FEBB0EA7-C722-4353-BEF2-264E250D21DA}"/>
    <cellStyle name="Total 6 10 3 2 4" xfId="41308" xr:uid="{01E5036A-841A-41F5-97BE-DDBCD3786D1C}"/>
    <cellStyle name="Total 6 10 3 3" xfId="23240" xr:uid="{90B7942E-F07A-4C48-A7F8-684A1C637827}"/>
    <cellStyle name="Total 6 10 3 3 2" xfId="23241" xr:uid="{542B30B1-CA15-4A03-8432-1960FF00CE7F}"/>
    <cellStyle name="Total 6 10 3 4" xfId="23242" xr:uid="{4FD8975F-FB23-4F36-BBBF-FB422626749E}"/>
    <cellStyle name="Total 6 10 3 5" xfId="41309" xr:uid="{13A03A07-89FE-4D8D-BC65-D91AFB88B79C}"/>
    <cellStyle name="Total 6 10 4" xfId="23243" xr:uid="{87D98356-79F9-49AA-BA9E-6285A3FF0377}"/>
    <cellStyle name="Total 6 10 4 2" xfId="23244" xr:uid="{8FD27791-5746-4D49-929D-76AA94104FCC}"/>
    <cellStyle name="Total 6 10 4 2 2" xfId="41310" xr:uid="{87CFA33B-AFD5-400F-891D-0FF0936705AD}"/>
    <cellStyle name="Total 6 10 4 2 3" xfId="41311" xr:uid="{5BA6C453-D243-4AFB-B793-786ED8F2C7F7}"/>
    <cellStyle name="Total 6 10 4 3" xfId="23245" xr:uid="{DE04027C-A45E-4463-BD0A-FF8D462CE971}"/>
    <cellStyle name="Total 6 10 4 4" xfId="41312" xr:uid="{B0D55CA3-C331-42AC-BA42-88CFABAB5B79}"/>
    <cellStyle name="Total 6 10 4 5" xfId="41313" xr:uid="{E2C5C40F-9CE5-4D1D-87FF-C5832F7DF06E}"/>
    <cellStyle name="Total 6 10 5" xfId="23246" xr:uid="{673EE2B5-99C6-4FA7-9736-48F0B284A138}"/>
    <cellStyle name="Total 6 10 5 2" xfId="23247" xr:uid="{C5056573-58EC-4747-B335-750489249BB0}"/>
    <cellStyle name="Total 6 10 5 2 2" xfId="41314" xr:uid="{EE660401-4713-469A-8852-6B094A82FEB0}"/>
    <cellStyle name="Total 6 10 5 2 3" xfId="41315" xr:uid="{2B98BEBE-D88D-4579-89A0-7E83D0C22AF8}"/>
    <cellStyle name="Total 6 10 5 3" xfId="41316" xr:uid="{E0D31119-A952-475C-AB08-9EEBCDD95447}"/>
    <cellStyle name="Total 6 10 5 4" xfId="41317" xr:uid="{1511D11B-58CB-40A1-8CC8-83224D0FEAE8}"/>
    <cellStyle name="Total 6 10 6" xfId="23248" xr:uid="{36050DDF-3603-463A-8707-1CFB876C16D6}"/>
    <cellStyle name="Total 6 10 6 2" xfId="23249" xr:uid="{F3B7FCF3-4D81-4346-9B4F-7B79E8683CCB}"/>
    <cellStyle name="Total 6 10 6 3" xfId="41318" xr:uid="{82A52614-789E-4A73-9466-C731E75DFF3D}"/>
    <cellStyle name="Total 6 10 7" xfId="23250" xr:uid="{E5913D8E-353D-47B5-A1ED-82F6DE71D3D4}"/>
    <cellStyle name="Total 6 10 7 2" xfId="23251" xr:uid="{06EFEE65-3035-4C58-B52E-B06D49ED15F4}"/>
    <cellStyle name="Total 6 10 7 3" xfId="41319" xr:uid="{EFDA8685-84E7-4939-B298-FFCE99C8D6EC}"/>
    <cellStyle name="Total 6 10 8" xfId="23252" xr:uid="{4D5B9C25-A543-4788-80BA-FDC2F742A951}"/>
    <cellStyle name="Total 6 10 8 2" xfId="23253" xr:uid="{6DCBA4E2-AAFD-4330-925A-C7FF35C43516}"/>
    <cellStyle name="Total 6 10 8 3" xfId="41320" xr:uid="{7970A3A5-2BFA-4AB0-A07E-E15864D8EF5E}"/>
    <cellStyle name="Total 6 10 9" xfId="23254" xr:uid="{5583FE38-5F66-4303-A927-0D369A0D3D35}"/>
    <cellStyle name="Total 6 10 9 2" xfId="23255" xr:uid="{205217F2-2B43-4914-BAB8-2D2CE78F0CC4}"/>
    <cellStyle name="Total 6 10 9 3" xfId="41321" xr:uid="{BDFCC866-8ED7-4157-868C-D910D18C74F4}"/>
    <cellStyle name="Total 6 11" xfId="23256" xr:uid="{F1825FE7-7541-4C7D-BA19-FB507F761EAC}"/>
    <cellStyle name="Total 6 11 10" xfId="23257" xr:uid="{868EB08A-5116-442E-8CFC-E91420E551BE}"/>
    <cellStyle name="Total 6 11 10 2" xfId="41322" xr:uid="{75C11BCC-1F45-49B6-8337-9F1A42ADBD25}"/>
    <cellStyle name="Total 6 11 10 3" xfId="41323" xr:uid="{8E7C5031-A84B-4ED8-BFD5-B3FB5C9A0287}"/>
    <cellStyle name="Total 6 11 11" xfId="23258" xr:uid="{43D39975-FC1E-4CC3-867C-FA780ADF4D67}"/>
    <cellStyle name="Total 6 11 11 2" xfId="41324" xr:uid="{7AEBCC65-ABAD-4080-B93F-744CC04ACCC5}"/>
    <cellStyle name="Total 6 11 12" xfId="41325" xr:uid="{F802165E-45D2-45EC-A10A-78BA543681FD}"/>
    <cellStyle name="Total 6 11 2" xfId="23259" xr:uid="{FF257056-6742-4561-AC3C-69DE4763606A}"/>
    <cellStyle name="Total 6 11 2 10" xfId="23260" xr:uid="{F6CE3490-63A6-4A6E-9431-9E17859EC9E8}"/>
    <cellStyle name="Total 6 11 2 10 2" xfId="41326" xr:uid="{3DFBBC96-DF62-4787-91EA-8317DFC3B042}"/>
    <cellStyle name="Total 6 11 2 11" xfId="41327" xr:uid="{36536A66-2E2F-4BBE-AA53-EC658322EE13}"/>
    <cellStyle name="Total 6 11 2 2" xfId="23261" xr:uid="{B6492E29-BA33-42C1-82E0-DC52711E17A5}"/>
    <cellStyle name="Total 6 11 2 2 2" xfId="23262" xr:uid="{57F9DB90-23D3-4FE4-BB87-844FAAC21BBB}"/>
    <cellStyle name="Total 6 11 2 2 2 2" xfId="41328" xr:uid="{1DB95F54-B323-42BE-B89F-367DDC26223A}"/>
    <cellStyle name="Total 6 11 2 2 2 3" xfId="41329" xr:uid="{A2CD42DB-22B0-42A5-8D2B-1D5192A7AC44}"/>
    <cellStyle name="Total 6 11 2 2 3" xfId="23263" xr:uid="{3B40BBF7-0247-449C-855F-D1125E6D4F98}"/>
    <cellStyle name="Total 6 11 2 2 3 2" xfId="23264" xr:uid="{B759EE49-1BAD-4E88-BA46-DF4E41C520A3}"/>
    <cellStyle name="Total 6 11 2 2 4" xfId="23265" xr:uid="{A59C3695-6B9B-4A60-AF4F-4A2453C97A2A}"/>
    <cellStyle name="Total 6 11 2 2 5" xfId="41330" xr:uid="{10D02B89-6F17-432E-A647-04E2B4018351}"/>
    <cellStyle name="Total 6 11 2 3" xfId="23266" xr:uid="{EB8BC7C4-A7C1-4E3C-8C86-BDB534BFC958}"/>
    <cellStyle name="Total 6 11 2 3 2" xfId="23267" xr:uid="{9A21F7E5-B365-4F30-B2A5-2826221C5E17}"/>
    <cellStyle name="Total 6 11 2 3 3" xfId="41331" xr:uid="{F8D7B2C5-B1EB-4CC5-9E27-9D984AFC9A6A}"/>
    <cellStyle name="Total 6 11 2 4" xfId="23268" xr:uid="{A117CFD1-A506-4478-9729-9D30138261D4}"/>
    <cellStyle name="Total 6 11 2 4 2" xfId="23269" xr:uid="{CCA4A868-09A0-4B17-8C81-0BD7B5BCB29A}"/>
    <cellStyle name="Total 6 11 2 4 3" xfId="41332" xr:uid="{DE6D43A4-3952-4EAB-BEAC-E66E919BB31D}"/>
    <cellStyle name="Total 6 11 2 5" xfId="23270" xr:uid="{4CFB0942-68E8-451B-944A-71E90D5C7490}"/>
    <cellStyle name="Total 6 11 2 5 2" xfId="23271" xr:uid="{84A3DA58-C7B9-4EF8-8932-6837C562E447}"/>
    <cellStyle name="Total 6 11 2 5 3" xfId="41333" xr:uid="{DB48CD1C-1054-42E9-A252-EF463CB2DD86}"/>
    <cellStyle name="Total 6 11 2 6" xfId="23272" xr:uid="{5D787A01-674A-48A7-81F6-8F7F7C04FC06}"/>
    <cellStyle name="Total 6 11 2 6 2" xfId="23273" xr:uid="{D4B2B931-EABE-4518-B5F2-2FD5279A76ED}"/>
    <cellStyle name="Total 6 11 2 6 3" xfId="41334" xr:uid="{3E1EA7BC-10A4-48EA-BC8C-093E6D97A52E}"/>
    <cellStyle name="Total 6 11 2 7" xfId="23274" xr:uid="{3FDFDEE7-F4B2-4DEC-B3BF-9E7F90F3C7C8}"/>
    <cellStyle name="Total 6 11 2 7 2" xfId="23275" xr:uid="{92960060-93FD-4656-9A46-D0C918606806}"/>
    <cellStyle name="Total 6 11 2 7 3" xfId="41335" xr:uid="{7FF8123E-3A3E-4A62-9839-E0AD56A92756}"/>
    <cellStyle name="Total 6 11 2 8" xfId="23276" xr:uid="{6818F97A-D1E6-4063-AC49-98DE4A4A54A9}"/>
    <cellStyle name="Total 6 11 2 8 2" xfId="23277" xr:uid="{EF3CABC2-772A-4C19-A0EC-1B8D0A8798E0}"/>
    <cellStyle name="Total 6 11 2 8 3" xfId="41336" xr:uid="{6D9A6D3C-8879-4526-A590-1BCF3A086B5B}"/>
    <cellStyle name="Total 6 11 2 9" xfId="23278" xr:uid="{3C64D639-B0C7-4F17-AFDA-D37ADA195047}"/>
    <cellStyle name="Total 6 11 2 9 2" xfId="41337" xr:uid="{67A7236E-2D1D-4899-B958-086D1EF42DE2}"/>
    <cellStyle name="Total 6 11 2 9 3" xfId="41338" xr:uid="{4A32578D-6950-4D06-9EB2-2737A367733D}"/>
    <cellStyle name="Total 6 11 3" xfId="23279" xr:uid="{EC223425-56C1-4D78-A172-5A898EDF185E}"/>
    <cellStyle name="Total 6 11 3 2" xfId="23280" xr:uid="{42AA9AB8-10C8-482F-9720-1CAE748E746A}"/>
    <cellStyle name="Total 6 11 3 2 2" xfId="41339" xr:uid="{BCED1E28-6AF5-4E49-95F0-0766C10501AA}"/>
    <cellStyle name="Total 6 11 3 2 3" xfId="41340" xr:uid="{4FD480D5-302E-4A50-925B-DA3E37A4C0E3}"/>
    <cellStyle name="Total 6 11 3 2 4" xfId="41341" xr:uid="{C021AB67-1427-40CD-8866-C3640212B39D}"/>
    <cellStyle name="Total 6 11 3 3" xfId="23281" xr:uid="{5E565497-2BEA-44E3-B40C-A1F00B8D6DE4}"/>
    <cellStyle name="Total 6 11 3 3 2" xfId="23282" xr:uid="{ED9AAA96-21D3-47A6-8386-D4B8494A52D7}"/>
    <cellStyle name="Total 6 11 3 4" xfId="23283" xr:uid="{5C025CE6-E2A4-49AC-9DCD-0E7AB69CE692}"/>
    <cellStyle name="Total 6 11 3 5" xfId="41342" xr:uid="{C1F58169-E57C-43B8-896A-C02494AA1F8E}"/>
    <cellStyle name="Total 6 11 4" xfId="23284" xr:uid="{183F73C4-58EC-4015-8FA4-EE6F042CEBE8}"/>
    <cellStyle name="Total 6 11 4 2" xfId="23285" xr:uid="{1AA5E05F-0D6B-453E-8E66-50B84D82CB61}"/>
    <cellStyle name="Total 6 11 4 2 2" xfId="41343" xr:uid="{C0E2C86A-91DA-40CD-B1BB-CB89DCC67696}"/>
    <cellStyle name="Total 6 11 4 2 3" xfId="41344" xr:uid="{33473642-078E-40A2-AF26-AC4C710B32E7}"/>
    <cellStyle name="Total 6 11 4 3" xfId="23286" xr:uid="{4BE04A2B-2C5F-48A8-9B81-13780EE8EF89}"/>
    <cellStyle name="Total 6 11 4 4" xfId="41345" xr:uid="{AFCCEDAE-A231-411C-A279-2284198D0B15}"/>
    <cellStyle name="Total 6 11 4 5" xfId="41346" xr:uid="{AF653D6D-4E3F-44D7-8F8C-B3470DA4BB57}"/>
    <cellStyle name="Total 6 11 5" xfId="23287" xr:uid="{0E8495B6-B33B-448A-BCDA-D6EFF1F1A7EC}"/>
    <cellStyle name="Total 6 11 5 2" xfId="23288" xr:uid="{A88B25F8-C080-498C-A65C-18DC9E503C5E}"/>
    <cellStyle name="Total 6 11 5 2 2" xfId="41347" xr:uid="{98F19D65-EC84-467A-8448-D52CC4F1857C}"/>
    <cellStyle name="Total 6 11 5 2 3" xfId="41348" xr:uid="{D4E8A719-49AA-4653-9BF5-28491A613A01}"/>
    <cellStyle name="Total 6 11 5 3" xfId="41349" xr:uid="{6504FB01-22FE-4594-BB02-CD2541B022E7}"/>
    <cellStyle name="Total 6 11 5 4" xfId="41350" xr:uid="{A5496404-A5E2-4929-A1A4-0B3D9EC874E7}"/>
    <cellStyle name="Total 6 11 6" xfId="23289" xr:uid="{96A41807-D800-4DE9-B6B5-B5E6218E7C5C}"/>
    <cellStyle name="Total 6 11 6 2" xfId="23290" xr:uid="{6C938D78-6472-439C-A5DB-F49F7B072A9C}"/>
    <cellStyle name="Total 6 11 6 3" xfId="41351" xr:uid="{C0D187C5-E9E4-4694-9940-58C923DCF603}"/>
    <cellStyle name="Total 6 11 7" xfId="23291" xr:uid="{19B58855-76C7-484F-8729-36AD5BF34B4F}"/>
    <cellStyle name="Total 6 11 7 2" xfId="23292" xr:uid="{9BB3B8D5-7818-49A4-B0AB-A5BA167643C7}"/>
    <cellStyle name="Total 6 11 7 3" xfId="41352" xr:uid="{296C5F74-24E1-444C-AB5B-6D137E6E3A8C}"/>
    <cellStyle name="Total 6 11 8" xfId="23293" xr:uid="{F68080FF-9BBF-4B0E-896E-E98CB36841DD}"/>
    <cellStyle name="Total 6 11 8 2" xfId="23294" xr:uid="{FBB5CB7F-8F49-4DB4-9548-831C705FF006}"/>
    <cellStyle name="Total 6 11 8 3" xfId="41353" xr:uid="{412B6432-90E3-4D3B-A972-A06FD6D63F7D}"/>
    <cellStyle name="Total 6 11 9" xfId="23295" xr:uid="{5F979DD4-E20F-4B18-9BC4-701CAB93D2ED}"/>
    <cellStyle name="Total 6 11 9 2" xfId="23296" xr:uid="{54BBE20C-5C79-4523-AD50-0AEC38860A0E}"/>
    <cellStyle name="Total 6 11 9 3" xfId="41354" xr:uid="{9F6EB897-B3C2-4FF0-A8BE-E50360904527}"/>
    <cellStyle name="Total 6 12" xfId="23297" xr:uid="{4AF59E39-BCAD-4614-BEB3-6A234CFF66FF}"/>
    <cellStyle name="Total 6 12 10" xfId="23298" xr:uid="{F23E7F6A-C804-4C21-AE92-95280D122ED3}"/>
    <cellStyle name="Total 6 12 10 2" xfId="41355" xr:uid="{13E1D684-7C21-4DA6-BFE3-7D98CAEBBE67}"/>
    <cellStyle name="Total 6 12 11" xfId="41356" xr:uid="{3883C790-658B-49B2-89C2-5A9E66C04DCD}"/>
    <cellStyle name="Total 6 12 2" xfId="23299" xr:uid="{D47FEC59-317D-4BA8-9FAB-78A3AF124F09}"/>
    <cellStyle name="Total 6 12 2 2" xfId="23300" xr:uid="{DA6F50AF-6811-4ABA-9E39-C21601B6EADD}"/>
    <cellStyle name="Total 6 12 2 2 2" xfId="41357" xr:uid="{5AFF5811-E650-4BBA-85F7-2DD400589ECB}"/>
    <cellStyle name="Total 6 12 2 2 3" xfId="41358" xr:uid="{A0D2A678-0D12-4C7E-9D29-653FE7599100}"/>
    <cellStyle name="Total 6 12 2 3" xfId="23301" xr:uid="{F2D4CDF0-4BF3-40ED-98ED-1FEF09613CB6}"/>
    <cellStyle name="Total 6 12 2 3 2" xfId="23302" xr:uid="{486E8BBB-AA49-4F88-8D3C-164C78AE4DCA}"/>
    <cellStyle name="Total 6 12 2 4" xfId="23303" xr:uid="{D37BC2E3-1453-4288-A39B-273C9EB79C16}"/>
    <cellStyle name="Total 6 12 2 5" xfId="41359" xr:uid="{FC975B5E-A2CB-4E4B-A785-32225B6E9DFA}"/>
    <cellStyle name="Total 6 12 3" xfId="23304" xr:uid="{B730E770-C5E9-4920-8E84-929A6B76E027}"/>
    <cellStyle name="Total 6 12 3 2" xfId="23305" xr:uid="{0B77793F-5D47-484E-B49C-99743F1B58B3}"/>
    <cellStyle name="Total 6 12 3 3" xfId="41360" xr:uid="{ADE33B0A-1BF5-4571-BEF6-F337C30465B0}"/>
    <cellStyle name="Total 6 12 4" xfId="23306" xr:uid="{D37781B7-DA07-40A2-99F1-A22A782399D5}"/>
    <cellStyle name="Total 6 12 4 2" xfId="23307" xr:uid="{363877E3-1A6E-4853-B5D7-592B2275BF52}"/>
    <cellStyle name="Total 6 12 4 3" xfId="41361" xr:uid="{5940D000-2857-4B28-BB2F-476C8839BE59}"/>
    <cellStyle name="Total 6 12 5" xfId="23308" xr:uid="{C97ACC82-A479-4EE8-A03F-2E860C49994C}"/>
    <cellStyle name="Total 6 12 5 2" xfId="23309" xr:uid="{36BD025B-AC86-4E35-A015-B4A1AEE5540D}"/>
    <cellStyle name="Total 6 12 5 3" xfId="41362" xr:uid="{6DA7D996-2DEB-4D94-9B6B-BE337D1206A3}"/>
    <cellStyle name="Total 6 12 6" xfId="23310" xr:uid="{EDCBF891-AF8E-445E-A541-740B599DE189}"/>
    <cellStyle name="Total 6 12 6 2" xfId="23311" xr:uid="{AAD05442-F78B-4994-996F-A013AF39B166}"/>
    <cellStyle name="Total 6 12 6 3" xfId="41363" xr:uid="{437BB5B4-E296-4E56-B8DD-B2DBBB1224AB}"/>
    <cellStyle name="Total 6 12 7" xfId="23312" xr:uid="{8BCAB4FA-79F5-48FE-8B5F-1D315763BDE5}"/>
    <cellStyle name="Total 6 12 7 2" xfId="23313" xr:uid="{D84A1214-D03D-446C-8225-F17748FA2E4C}"/>
    <cellStyle name="Total 6 12 7 3" xfId="41364" xr:uid="{2A54E128-A750-4452-BE20-C59F91A7CC45}"/>
    <cellStyle name="Total 6 12 8" xfId="23314" xr:uid="{D546A413-28B0-4DDF-B29E-38538A807473}"/>
    <cellStyle name="Total 6 12 8 2" xfId="23315" xr:uid="{EDE65A66-F6A4-4B8A-A488-AF6F60A2F913}"/>
    <cellStyle name="Total 6 12 8 3" xfId="41365" xr:uid="{E05DE93C-1222-4091-85A5-C81645BF7CDA}"/>
    <cellStyle name="Total 6 12 9" xfId="23316" xr:uid="{59301430-23A5-4655-A552-F3D4D50C6FA4}"/>
    <cellStyle name="Total 6 12 9 2" xfId="41366" xr:uid="{6CEF645F-09EF-41F9-8562-5D52260B1E41}"/>
    <cellStyle name="Total 6 12 9 3" xfId="41367" xr:uid="{4B823D3F-E919-41E8-BB2A-7B8EB3A15154}"/>
    <cellStyle name="Total 6 13" xfId="23317" xr:uid="{38B65135-938B-4F39-8B58-EB5125BE43E9}"/>
    <cellStyle name="Total 6 13 2" xfId="23318" xr:uid="{F82CADF6-4E33-4C5C-BACE-EF7646E247F5}"/>
    <cellStyle name="Total 6 13 2 2" xfId="41368" xr:uid="{C25A991A-2993-4D46-B4F8-47AA2D03E920}"/>
    <cellStyle name="Total 6 13 2 3" xfId="41369" xr:uid="{9478D23D-DECC-4F45-8799-770B467C10AE}"/>
    <cellStyle name="Total 6 13 2 4" xfId="41370" xr:uid="{D1CFEBF9-AD60-4B50-A7EF-E94C8FFEF390}"/>
    <cellStyle name="Total 6 13 3" xfId="23319" xr:uid="{6BD635B9-DFCC-431A-9D73-B6C5F5EA598E}"/>
    <cellStyle name="Total 6 13 3 2" xfId="23320" xr:uid="{C2D401D2-9E84-4946-BD08-92E9B650D3DC}"/>
    <cellStyle name="Total 6 13 4" xfId="23321" xr:uid="{4569F78A-B159-4F16-BFB2-93B21925F375}"/>
    <cellStyle name="Total 6 13 5" xfId="41371" xr:uid="{353985D4-6421-4A1C-8E36-EA0E115095D1}"/>
    <cellStyle name="Total 6 14" xfId="23322" xr:uid="{1224C2BD-B7C0-4624-8CFF-78CA8FB47ECB}"/>
    <cellStyle name="Total 6 14 2" xfId="23323" xr:uid="{CD67C96F-6370-4708-93EA-2E8739EA21CD}"/>
    <cellStyle name="Total 6 14 2 2" xfId="41372" xr:uid="{08704EE1-0CB4-421C-B613-B3501CC9F44F}"/>
    <cellStyle name="Total 6 14 2 3" xfId="41373" xr:uid="{72B3274B-BECB-43CA-8929-26513DC27D33}"/>
    <cellStyle name="Total 6 14 3" xfId="23324" xr:uid="{64C68DDE-2D55-4EBF-A1AE-92FE3FE91954}"/>
    <cellStyle name="Total 6 14 4" xfId="41374" xr:uid="{90B4F46C-0F01-46AF-8AA4-6B8553BA59AA}"/>
    <cellStyle name="Total 6 14 5" xfId="41375" xr:uid="{9495B8F8-F4E9-4CAB-8112-80E7A8AA1320}"/>
    <cellStyle name="Total 6 15" xfId="23325" xr:uid="{2226B0C9-443E-4042-985D-2EFD92A4C082}"/>
    <cellStyle name="Total 6 15 2" xfId="23326" xr:uid="{DF3153C6-D315-4338-90F7-ECC14B6FEFD0}"/>
    <cellStyle name="Total 6 15 2 2" xfId="41376" xr:uid="{6F3F7814-CAEF-42C7-A8BD-F0AE5FF67201}"/>
    <cellStyle name="Total 6 15 2 3" xfId="41377" xr:uid="{7CFCDD98-B23D-40B5-B86E-148EEC0F2B53}"/>
    <cellStyle name="Total 6 15 3" xfId="41378" xr:uid="{8C98C24F-A4DF-40D9-9E00-8938CDAB535D}"/>
    <cellStyle name="Total 6 15 4" xfId="41379" xr:uid="{49C61A52-B4E8-4CDB-932D-37A89B8E8771}"/>
    <cellStyle name="Total 6 16" xfId="23327" xr:uid="{3DDF4887-81D6-4294-A956-7EAFAC9F2B7F}"/>
    <cellStyle name="Total 6 16 2" xfId="23328" xr:uid="{934FF7ED-4D68-4504-A44F-DC7A32CAA8F1}"/>
    <cellStyle name="Total 6 16 3" xfId="41380" xr:uid="{776A765E-11F7-492E-A03E-BEF3509C6191}"/>
    <cellStyle name="Total 6 17" xfId="23329" xr:uid="{82736ED6-881E-467A-8F58-A91738327440}"/>
    <cellStyle name="Total 6 17 2" xfId="23330" xr:uid="{564B0E7A-55BA-444F-A4CE-BA8CA1CCE21E}"/>
    <cellStyle name="Total 6 17 3" xfId="41381" xr:uid="{AD1FD480-82AB-4B09-92E4-1123F81978E5}"/>
    <cellStyle name="Total 6 18" xfId="23331" xr:uid="{0B845649-0EB3-4F1F-8294-15F7709904A6}"/>
    <cellStyle name="Total 6 18 2" xfId="23332" xr:uid="{BD147D53-005A-49D2-9BE1-C39F0D1D7E69}"/>
    <cellStyle name="Total 6 18 3" xfId="41382" xr:uid="{934C3C1B-8F75-459A-9450-57BC50A2A150}"/>
    <cellStyle name="Total 6 19" xfId="23333" xr:uid="{BEB917EE-A7D8-4754-9267-4B4E6E40D4EC}"/>
    <cellStyle name="Total 6 19 2" xfId="23334" xr:uid="{C23E6754-21A0-406C-9D8B-5FED2DBBE16C}"/>
    <cellStyle name="Total 6 19 3" xfId="41383" xr:uid="{55DC019A-0F1A-4598-B0C2-95510A6C26E3}"/>
    <cellStyle name="Total 6 2" xfId="23335" xr:uid="{E19E80F9-CC5F-4F0B-9798-11E7D397D6DC}"/>
    <cellStyle name="Total 6 2 10" xfId="23336" xr:uid="{0AFB1F7A-5199-411D-BBEB-7105E8CD99F9}"/>
    <cellStyle name="Total 6 2 10 2" xfId="41384" xr:uid="{CF252397-38C6-4587-8FF2-7D895A930C03}"/>
    <cellStyle name="Total 6 2 10 3" xfId="41385" xr:uid="{3A951168-9873-4493-849A-42D5A33BAC73}"/>
    <cellStyle name="Total 6 2 11" xfId="23337" xr:uid="{B1E87104-40AC-4A3C-97B0-89549C0303CB}"/>
    <cellStyle name="Total 6 2 11 2" xfId="41386" xr:uid="{60E38D77-FD7E-46CB-9E3C-63ABF0360D38}"/>
    <cellStyle name="Total 6 2 12" xfId="41387" xr:uid="{BB13679D-3801-433E-BA08-12C09EE57F63}"/>
    <cellStyle name="Total 6 2 2" xfId="23338" xr:uid="{CFD5D622-7BA1-4361-8388-C00E4EFDC768}"/>
    <cellStyle name="Total 6 2 2 10" xfId="23339" xr:uid="{95DF84FC-9C24-41AD-AE50-F1B3FA45DB6E}"/>
    <cellStyle name="Total 6 2 2 10 2" xfId="41388" xr:uid="{FC9E8E43-4235-49D7-B295-CFCA7BFD557B}"/>
    <cellStyle name="Total 6 2 2 11" xfId="41389" xr:uid="{FE2D5A93-91C5-4EB9-9C60-CB0F116E22DB}"/>
    <cellStyle name="Total 6 2 2 2" xfId="23340" xr:uid="{CB93858F-522B-450A-B040-0BAD8456D93A}"/>
    <cellStyle name="Total 6 2 2 2 2" xfId="23341" xr:uid="{967828F6-6DC3-4484-9960-231164D316ED}"/>
    <cellStyle name="Total 6 2 2 2 2 2" xfId="41390" xr:uid="{AE92E868-903E-431E-9B1E-6B07A554704F}"/>
    <cellStyle name="Total 6 2 2 2 2 3" xfId="41391" xr:uid="{214E863E-F3DB-466B-97B3-724221B24BB9}"/>
    <cellStyle name="Total 6 2 2 2 3" xfId="23342" xr:uid="{23CB5531-9585-42A2-946B-069D3AECB0EF}"/>
    <cellStyle name="Total 6 2 2 2 3 2" xfId="23343" xr:uid="{CF16484D-9CE7-4FB3-9820-D49BC0B78D7E}"/>
    <cellStyle name="Total 6 2 2 2 4" xfId="23344" xr:uid="{326E1936-A9CF-4F43-9562-E859324E9AAE}"/>
    <cellStyle name="Total 6 2 2 2 5" xfId="41392" xr:uid="{D3CB641D-2015-4732-B225-1DD555DBEC79}"/>
    <cellStyle name="Total 6 2 2 3" xfId="23345" xr:uid="{AA216745-7255-407C-89A0-71A7CDD061D9}"/>
    <cellStyle name="Total 6 2 2 3 2" xfId="23346" xr:uid="{ECBB3952-486A-42CC-9C94-2607110E6936}"/>
    <cellStyle name="Total 6 2 2 3 3" xfId="41393" xr:uid="{B4826AAC-6135-45E0-8D4C-BF747E84ABCB}"/>
    <cellStyle name="Total 6 2 2 4" xfId="23347" xr:uid="{CC40D1C1-7CE0-47F8-95E2-DCDC7C0DCD5C}"/>
    <cellStyle name="Total 6 2 2 4 2" xfId="23348" xr:uid="{EBF2F59F-827F-498E-AABB-A6388EAC9950}"/>
    <cellStyle name="Total 6 2 2 4 3" xfId="41394" xr:uid="{3973F0F0-9654-44DC-BE52-B06AC25C9BA3}"/>
    <cellStyle name="Total 6 2 2 5" xfId="23349" xr:uid="{7E495DD5-4C59-46A1-8C89-C538B6C7EC77}"/>
    <cellStyle name="Total 6 2 2 5 2" xfId="23350" xr:uid="{0FEE36FD-E8CE-4C37-A750-667D9AEF2FA1}"/>
    <cellStyle name="Total 6 2 2 5 3" xfId="41395" xr:uid="{F2565A96-6778-47B1-82D3-5E4619FB7D9A}"/>
    <cellStyle name="Total 6 2 2 6" xfId="23351" xr:uid="{B5628710-3A1B-4599-B89E-8CFCB5518141}"/>
    <cellStyle name="Total 6 2 2 6 2" xfId="23352" xr:uid="{96478F00-7AF3-4157-9841-2B0E1B71FDE2}"/>
    <cellStyle name="Total 6 2 2 6 3" xfId="41396" xr:uid="{2C15F578-344E-4DCD-880F-2287F93D610E}"/>
    <cellStyle name="Total 6 2 2 7" xfId="23353" xr:uid="{37DEB0E6-B04F-463D-B217-611059E6132E}"/>
    <cellStyle name="Total 6 2 2 7 2" xfId="23354" xr:uid="{451FF172-B859-4A36-AC37-6751C932F6F7}"/>
    <cellStyle name="Total 6 2 2 7 3" xfId="41397" xr:uid="{3282FBD1-0622-4690-8A7E-EA41C65511F0}"/>
    <cellStyle name="Total 6 2 2 8" xfId="23355" xr:uid="{DD4B7B8B-ED1B-4D2D-909E-0DE69B589B56}"/>
    <cellStyle name="Total 6 2 2 8 2" xfId="23356" xr:uid="{D24CB181-758A-4B83-B82C-140F4A089DE3}"/>
    <cellStyle name="Total 6 2 2 8 3" xfId="41398" xr:uid="{0CDF0909-891A-48F9-8936-4A5D1B22694C}"/>
    <cellStyle name="Total 6 2 2 9" xfId="23357" xr:uid="{5420BFFA-6A43-4877-B416-95CF7317C859}"/>
    <cellStyle name="Total 6 2 2 9 2" xfId="41399" xr:uid="{500B0749-62DB-4504-963D-AA5A0CF2220E}"/>
    <cellStyle name="Total 6 2 2 9 3" xfId="41400" xr:uid="{6C4FBA95-F207-4391-A546-90C55A43F1B6}"/>
    <cellStyle name="Total 6 2 3" xfId="23358" xr:uid="{5D0C0079-6D84-4E9D-9485-FA34FEA89360}"/>
    <cellStyle name="Total 6 2 3 2" xfId="23359" xr:uid="{3F35B169-7F9A-4564-ACC4-F64EF1BB3645}"/>
    <cellStyle name="Total 6 2 3 2 2" xfId="41401" xr:uid="{F318E6E2-43CE-416A-BD2A-FA6A42569C01}"/>
    <cellStyle name="Total 6 2 3 2 3" xfId="41402" xr:uid="{E82A3579-2249-42AB-BAD7-2B5C24278155}"/>
    <cellStyle name="Total 6 2 3 2 4" xfId="41403" xr:uid="{F6C84C4E-C1CF-4E1B-9331-7F6728300D5D}"/>
    <cellStyle name="Total 6 2 3 3" xfId="23360" xr:uid="{BC5AC264-328D-435F-BAD6-4527587ADA16}"/>
    <cellStyle name="Total 6 2 3 3 2" xfId="23361" xr:uid="{C1A6080B-D16E-4BCC-B8DB-678125EF8CC8}"/>
    <cellStyle name="Total 6 2 3 4" xfId="23362" xr:uid="{710F05F2-C934-4F68-874B-BF584210D750}"/>
    <cellStyle name="Total 6 2 3 5" xfId="41404" xr:uid="{74FE144A-1F81-4FF3-AEA2-02E0168D07BA}"/>
    <cellStyle name="Total 6 2 4" xfId="23363" xr:uid="{384D240E-9961-4A84-804C-3D4E123B3986}"/>
    <cellStyle name="Total 6 2 4 2" xfId="23364" xr:uid="{683A959D-E6B5-434E-B27F-43BB14EEE516}"/>
    <cellStyle name="Total 6 2 4 2 2" xfId="41405" xr:uid="{95D786C2-2180-49C8-B207-B8A1B43AC38F}"/>
    <cellStyle name="Total 6 2 4 2 3" xfId="41406" xr:uid="{0A010DD8-988E-401A-AFF1-06408B3C22CF}"/>
    <cellStyle name="Total 6 2 4 3" xfId="23365" xr:uid="{81479716-BBC5-4D8C-96EE-129FA9EDAE9F}"/>
    <cellStyle name="Total 6 2 4 4" xfId="41407" xr:uid="{C1918FB1-C8FA-40FC-BE65-35D7FB63644F}"/>
    <cellStyle name="Total 6 2 4 5" xfId="41408" xr:uid="{FE535C7B-01D0-4EBA-B9BB-FE0D9CB1FBE5}"/>
    <cellStyle name="Total 6 2 5" xfId="23366" xr:uid="{9929849A-F16B-455F-8927-74C24A53FAB9}"/>
    <cellStyle name="Total 6 2 5 2" xfId="23367" xr:uid="{E017AFF6-6726-4F25-BFC7-2574461B25ED}"/>
    <cellStyle name="Total 6 2 5 2 2" xfId="41409" xr:uid="{69777461-95E0-4DC7-8311-E3AAE2517019}"/>
    <cellStyle name="Total 6 2 5 2 3" xfId="41410" xr:uid="{D7F27FE5-982E-43B8-A794-340FC094529E}"/>
    <cellStyle name="Total 6 2 5 3" xfId="41411" xr:uid="{CBE2349B-029A-4407-A6FA-755344A93B18}"/>
    <cellStyle name="Total 6 2 5 4" xfId="41412" xr:uid="{764BC2B8-678A-4E91-8889-AD03857D1F2E}"/>
    <cellStyle name="Total 6 2 6" xfId="23368" xr:uid="{91FBB0E4-017B-4530-9C12-43B5BCDF0A31}"/>
    <cellStyle name="Total 6 2 6 2" xfId="23369" xr:uid="{1E07531A-D04D-48B7-8CD9-619C7AA8A90E}"/>
    <cellStyle name="Total 6 2 6 3" xfId="41413" xr:uid="{726CD2B9-80B4-4AD7-BDA3-A94D5B41E5A7}"/>
    <cellStyle name="Total 6 2 7" xfId="23370" xr:uid="{8D35CAFE-B669-4997-A01B-AEFA98625F30}"/>
    <cellStyle name="Total 6 2 7 2" xfId="23371" xr:uid="{9C5C12D3-EE6D-42DD-A08B-3C66BAB826E8}"/>
    <cellStyle name="Total 6 2 7 3" xfId="41414" xr:uid="{5990BA98-5BA9-4749-B8FC-04BA55908162}"/>
    <cellStyle name="Total 6 2 8" xfId="23372" xr:uid="{25C1FFDE-8370-46BF-A2E1-E88CEE063CD4}"/>
    <cellStyle name="Total 6 2 8 2" xfId="23373" xr:uid="{DD9632FB-BEFC-4FD7-BBF7-B721FA379981}"/>
    <cellStyle name="Total 6 2 8 3" xfId="41415" xr:uid="{06D992E0-EEE4-4506-9DEF-47DBA4D41A90}"/>
    <cellStyle name="Total 6 2 9" xfId="23374" xr:uid="{2E09119E-CA3A-4C02-9198-8AC7331C11CD}"/>
    <cellStyle name="Total 6 2 9 2" xfId="23375" xr:uid="{41FC6F72-EBCC-4307-806B-34FE7A6B2E95}"/>
    <cellStyle name="Total 6 2 9 3" xfId="41416" xr:uid="{0A696745-3D3D-45D5-A684-14EF08710238}"/>
    <cellStyle name="Total 6 20" xfId="23376" xr:uid="{83A3AE2A-6D27-4DBA-8100-FBF212146C20}"/>
    <cellStyle name="Total 6 20 2" xfId="41417" xr:uid="{E1FE1FDC-3F05-43EE-9E47-367F980C1BED}"/>
    <cellStyle name="Total 6 20 3" xfId="41418" xr:uid="{FB15D0FC-AFEB-485E-A4B6-FC4ABD648580}"/>
    <cellStyle name="Total 6 21" xfId="23377" xr:uid="{53BE6E89-5108-4128-A279-35DF190E03BD}"/>
    <cellStyle name="Total 6 21 2" xfId="41419" xr:uid="{1393E9B3-4DAA-4842-B229-4ED5F1304739}"/>
    <cellStyle name="Total 6 22" xfId="41420" xr:uid="{20523A5A-0E07-404E-B1E7-1A4D628070B8}"/>
    <cellStyle name="Total 6 3" xfId="23378" xr:uid="{24C84E33-B644-44C5-8DA3-894ABA36443B}"/>
    <cellStyle name="Total 6 3 10" xfId="23379" xr:uid="{DB2BBEC2-941A-43DF-B7CA-76E010370852}"/>
    <cellStyle name="Total 6 3 10 2" xfId="41421" xr:uid="{400D9E2D-3335-4176-B18A-B40C5FA996D9}"/>
    <cellStyle name="Total 6 3 10 3" xfId="41422" xr:uid="{18A0031B-B8A0-4E71-A2EC-1554E13E1080}"/>
    <cellStyle name="Total 6 3 11" xfId="23380" xr:uid="{FE15C382-D7CE-4728-80F0-38472CDE38FE}"/>
    <cellStyle name="Total 6 3 11 2" xfId="41423" xr:uid="{87A2F124-5A2F-4C10-AC02-4492CE226E83}"/>
    <cellStyle name="Total 6 3 12" xfId="41424" xr:uid="{C36101FB-94E7-4068-9ABD-C9C75A7473CC}"/>
    <cellStyle name="Total 6 3 2" xfId="23381" xr:uid="{3623BEED-4250-4559-B3AE-1289B7713AA6}"/>
    <cellStyle name="Total 6 3 2 10" xfId="23382" xr:uid="{3126A132-54B2-4671-9772-197D8732E50A}"/>
    <cellStyle name="Total 6 3 2 10 2" xfId="41425" xr:uid="{4FD7514A-4E6B-4CF6-8C02-2D564824E0AD}"/>
    <cellStyle name="Total 6 3 2 11" xfId="41426" xr:uid="{DF8839C1-2D66-4BE4-B41D-DF49F2DE148E}"/>
    <cellStyle name="Total 6 3 2 2" xfId="23383" xr:uid="{9E565B87-B96A-4751-9C43-FF26EEBA5A7C}"/>
    <cellStyle name="Total 6 3 2 2 2" xfId="23384" xr:uid="{506EDA29-B7F0-4214-920D-3C852ADF9D73}"/>
    <cellStyle name="Total 6 3 2 2 2 2" xfId="41427" xr:uid="{06BD7950-41C6-4157-BB99-E07E39851769}"/>
    <cellStyle name="Total 6 3 2 2 2 3" xfId="41428" xr:uid="{97224120-03D4-4619-BAD8-2E6C2E7BFD63}"/>
    <cellStyle name="Total 6 3 2 2 3" xfId="23385" xr:uid="{4BD9EBEA-5AC9-4545-8B50-FD234DA6A191}"/>
    <cellStyle name="Total 6 3 2 2 3 2" xfId="23386" xr:uid="{719BDC6F-4DEA-4B2B-9989-5CB9DEE05B03}"/>
    <cellStyle name="Total 6 3 2 2 4" xfId="23387" xr:uid="{1B9DCDF8-99EB-4E7B-BC94-597E15F0F37A}"/>
    <cellStyle name="Total 6 3 2 2 5" xfId="41429" xr:uid="{E6E951CD-B77F-4240-ADA0-A9C35E53F194}"/>
    <cellStyle name="Total 6 3 2 3" xfId="23388" xr:uid="{68CBCB7E-69DF-4890-A196-5683C786896F}"/>
    <cellStyle name="Total 6 3 2 3 2" xfId="23389" xr:uid="{6BA4E719-8580-40DD-93DA-94179704741F}"/>
    <cellStyle name="Total 6 3 2 3 3" xfId="41430" xr:uid="{553AB471-EBF4-4EC9-AF79-9B7832217DAE}"/>
    <cellStyle name="Total 6 3 2 4" xfId="23390" xr:uid="{AB61DABC-9EA5-4A75-82A9-090F68D52488}"/>
    <cellStyle name="Total 6 3 2 4 2" xfId="23391" xr:uid="{D29F1545-1F53-480B-8087-A5598AF3B7FC}"/>
    <cellStyle name="Total 6 3 2 4 3" xfId="41431" xr:uid="{F8729FAA-5956-425B-A5BA-B68A4EC2172D}"/>
    <cellStyle name="Total 6 3 2 5" xfId="23392" xr:uid="{5732CB29-A72C-407A-9DBE-9EE9C8035EED}"/>
    <cellStyle name="Total 6 3 2 5 2" xfId="23393" xr:uid="{45AFA10A-189E-4D42-BEC1-228551A0869A}"/>
    <cellStyle name="Total 6 3 2 5 3" xfId="41432" xr:uid="{89A5E222-7016-4EF2-869B-54E8DBDE8F4B}"/>
    <cellStyle name="Total 6 3 2 6" xfId="23394" xr:uid="{B39BA348-8DB2-4EEE-B4E0-CABDAC1B5095}"/>
    <cellStyle name="Total 6 3 2 6 2" xfId="23395" xr:uid="{D8DA28C7-C71A-4BF4-91C1-47A0D407B746}"/>
    <cellStyle name="Total 6 3 2 6 3" xfId="41433" xr:uid="{8D2B7E63-6D11-4DCC-A660-8EDC80B51970}"/>
    <cellStyle name="Total 6 3 2 7" xfId="23396" xr:uid="{76F7C902-76ED-4FC0-88F1-4947EC03299E}"/>
    <cellStyle name="Total 6 3 2 7 2" xfId="23397" xr:uid="{3739347D-C6C2-40E8-B1C6-F9374CFB839B}"/>
    <cellStyle name="Total 6 3 2 7 3" xfId="41434" xr:uid="{BB156E43-B4EA-4BB4-9266-83635610D3C4}"/>
    <cellStyle name="Total 6 3 2 8" xfId="23398" xr:uid="{9D71AE84-88FE-4475-B8DF-ACE54BD240C2}"/>
    <cellStyle name="Total 6 3 2 8 2" xfId="23399" xr:uid="{4DBA6636-159B-4266-BC13-963E2C0A2A2A}"/>
    <cellStyle name="Total 6 3 2 8 3" xfId="41435" xr:uid="{36BADD31-8F50-4F62-A66E-5618482F824B}"/>
    <cellStyle name="Total 6 3 2 9" xfId="23400" xr:uid="{62D68056-DFC3-44E2-995C-BEFED9D3B4BA}"/>
    <cellStyle name="Total 6 3 2 9 2" xfId="41436" xr:uid="{984C0D49-F55A-4DE6-80A8-2ABBFEBACAA2}"/>
    <cellStyle name="Total 6 3 2 9 3" xfId="41437" xr:uid="{EE0BC74B-DA14-4781-A399-CA0C8600F9B9}"/>
    <cellStyle name="Total 6 3 3" xfId="23401" xr:uid="{2FAAD80E-2426-4030-8917-199B3B603419}"/>
    <cellStyle name="Total 6 3 3 2" xfId="23402" xr:uid="{B32CDC44-8777-4CD4-896E-55F01984F5AC}"/>
    <cellStyle name="Total 6 3 3 2 2" xfId="41438" xr:uid="{0394B4AF-F1F9-46CE-ADF9-9EBAD47D93B5}"/>
    <cellStyle name="Total 6 3 3 2 3" xfId="41439" xr:uid="{6709DB3D-112A-4094-AF28-25802D5723D3}"/>
    <cellStyle name="Total 6 3 3 2 4" xfId="41440" xr:uid="{581E08ED-A30B-4814-B1CC-89687BA59775}"/>
    <cellStyle name="Total 6 3 3 3" xfId="23403" xr:uid="{8D5CBD46-2073-42B9-ACFE-EE0271965FCD}"/>
    <cellStyle name="Total 6 3 3 3 2" xfId="23404" xr:uid="{D7E9C61A-601A-4F65-BDEF-8E615D02EBAD}"/>
    <cellStyle name="Total 6 3 3 4" xfId="23405" xr:uid="{61A9290B-3F48-4BBB-8F93-B6A5E72A3E7A}"/>
    <cellStyle name="Total 6 3 3 5" xfId="41441" xr:uid="{0AB917B2-D6BD-4A9B-9DE3-B263A22A7066}"/>
    <cellStyle name="Total 6 3 4" xfId="23406" xr:uid="{B2D3C975-3014-420E-8F4D-307781636B4C}"/>
    <cellStyle name="Total 6 3 4 2" xfId="23407" xr:uid="{F89F8FC5-5FA5-4E80-BFC6-641BBC192034}"/>
    <cellStyle name="Total 6 3 4 2 2" xfId="41442" xr:uid="{F7FEF9E2-93DE-4315-A4CC-0A54E9763A47}"/>
    <cellStyle name="Total 6 3 4 2 3" xfId="41443" xr:uid="{D04B7046-69AF-4265-9AB3-8F354BB99E7B}"/>
    <cellStyle name="Total 6 3 4 3" xfId="23408" xr:uid="{2ACC5E33-F429-4B2B-9CD9-0E9FC7952E6C}"/>
    <cellStyle name="Total 6 3 4 4" xfId="41444" xr:uid="{B011333B-D539-49A2-8130-C0ED35951030}"/>
    <cellStyle name="Total 6 3 4 5" xfId="41445" xr:uid="{47767F75-EC22-47C6-AFC1-1209979291D6}"/>
    <cellStyle name="Total 6 3 5" xfId="23409" xr:uid="{53FDB1E6-2E44-4578-A6E7-BBE7B15065D0}"/>
    <cellStyle name="Total 6 3 5 2" xfId="23410" xr:uid="{EB55C498-7624-4002-B69D-72EAB81A59FC}"/>
    <cellStyle name="Total 6 3 5 2 2" xfId="41446" xr:uid="{C3B9DA04-7C3B-430A-AB5F-F542370EC27B}"/>
    <cellStyle name="Total 6 3 5 2 3" xfId="41447" xr:uid="{8366FF95-9C0E-4E8C-ACC4-C59850EBA653}"/>
    <cellStyle name="Total 6 3 5 3" xfId="41448" xr:uid="{5E396896-2667-458D-957E-1B5AA63E82FE}"/>
    <cellStyle name="Total 6 3 5 4" xfId="41449" xr:uid="{46844B1C-85EB-46D4-9413-D37B517D4894}"/>
    <cellStyle name="Total 6 3 6" xfId="23411" xr:uid="{8C6FCCDA-D166-45E5-BEDE-0E8CD91D82F3}"/>
    <cellStyle name="Total 6 3 6 2" xfId="23412" xr:uid="{14084777-A65F-47F9-B4FA-F6BDC7947FF9}"/>
    <cellStyle name="Total 6 3 6 3" xfId="41450" xr:uid="{D7FC02C9-88CB-4951-84D1-81C43C764B63}"/>
    <cellStyle name="Total 6 3 7" xfId="23413" xr:uid="{11AB8A7D-2AF7-4C92-B1AB-74E3FB65AB48}"/>
    <cellStyle name="Total 6 3 7 2" xfId="23414" xr:uid="{167A7214-47EE-4A23-A7E1-45C2AED05179}"/>
    <cellStyle name="Total 6 3 7 3" xfId="41451" xr:uid="{0EF03A1D-2DD5-4B7E-B0B5-7EAFEED8CFD4}"/>
    <cellStyle name="Total 6 3 8" xfId="23415" xr:uid="{49C7E5B8-AEFC-4AE4-81EF-2E7D40D36A20}"/>
    <cellStyle name="Total 6 3 8 2" xfId="23416" xr:uid="{4D4CAD28-9294-41E6-AAD8-A900B37BEEBB}"/>
    <cellStyle name="Total 6 3 8 3" xfId="41452" xr:uid="{4E30F07C-E9C8-458F-9570-85B3A35C7EC5}"/>
    <cellStyle name="Total 6 3 9" xfId="23417" xr:uid="{4363CBC1-5F9F-4619-835B-78C044DE0DDC}"/>
    <cellStyle name="Total 6 3 9 2" xfId="23418" xr:uid="{4C0AA195-39C5-4D1B-8E1C-9CD03C55E4D3}"/>
    <cellStyle name="Total 6 3 9 3" xfId="41453" xr:uid="{43F7E17F-F791-46C5-A8EC-639BE9A8F845}"/>
    <cellStyle name="Total 6 4" xfId="23419" xr:uid="{07E3D6DF-A079-4D4B-BD7A-4D31F9AF634E}"/>
    <cellStyle name="Total 6 4 10" xfId="23420" xr:uid="{2113FEA9-3832-48B2-93D9-10D695950959}"/>
    <cellStyle name="Total 6 4 10 2" xfId="41454" xr:uid="{F2D97635-5FCD-434C-A208-754D2DD644EF}"/>
    <cellStyle name="Total 6 4 10 3" xfId="41455" xr:uid="{6384425E-F2EF-457C-8190-274F87586720}"/>
    <cellStyle name="Total 6 4 11" xfId="23421" xr:uid="{5824E0F0-F420-4124-A8F9-3342D1B44A09}"/>
    <cellStyle name="Total 6 4 11 2" xfId="41456" xr:uid="{D3AC7356-5B1D-4FE6-8097-13D9C2A1D484}"/>
    <cellStyle name="Total 6 4 12" xfId="41457" xr:uid="{F59C61E7-B5C8-45DA-AC13-B7351D75E053}"/>
    <cellStyle name="Total 6 4 2" xfId="23422" xr:uid="{41D777C7-ED99-4A38-8CD9-5D552F8327D1}"/>
    <cellStyle name="Total 6 4 2 10" xfId="23423" xr:uid="{A7D8EA59-FC2A-48AD-9E1A-9DAEC23BE1E0}"/>
    <cellStyle name="Total 6 4 2 10 2" xfId="41458" xr:uid="{2E349686-0042-4572-A3B7-8270423F4C55}"/>
    <cellStyle name="Total 6 4 2 11" xfId="41459" xr:uid="{F774EA2E-FD00-4893-8DB7-C73D1E88E721}"/>
    <cellStyle name="Total 6 4 2 2" xfId="23424" xr:uid="{D69E2F13-0E8E-4B57-8AEE-D9B868FD9F5F}"/>
    <cellStyle name="Total 6 4 2 2 2" xfId="23425" xr:uid="{C67E416A-C278-4D67-95B6-6A282934FA60}"/>
    <cellStyle name="Total 6 4 2 2 2 2" xfId="41460" xr:uid="{5089C4F3-2865-4DB8-920C-AEFA3A0D46C0}"/>
    <cellStyle name="Total 6 4 2 2 2 3" xfId="41461" xr:uid="{5866DD61-65E5-46FC-9FAC-E4B0F1AB7969}"/>
    <cellStyle name="Total 6 4 2 2 3" xfId="23426" xr:uid="{408B5A0F-56EF-4F62-81B4-2D0B47ED31F9}"/>
    <cellStyle name="Total 6 4 2 2 3 2" xfId="23427" xr:uid="{3715C6F3-8B46-4DE5-9D79-984B5E251959}"/>
    <cellStyle name="Total 6 4 2 2 4" xfId="23428" xr:uid="{7A45C2D7-9680-484F-B5B6-E4477768059F}"/>
    <cellStyle name="Total 6 4 2 2 5" xfId="41462" xr:uid="{C1E43199-4FB4-4A01-8DF1-6BA402B91B62}"/>
    <cellStyle name="Total 6 4 2 3" xfId="23429" xr:uid="{0B6357DA-777E-4774-ABFD-DF7204934CD3}"/>
    <cellStyle name="Total 6 4 2 3 2" xfId="23430" xr:uid="{93DBE931-55A4-4DB2-BD16-E28F9F260C7B}"/>
    <cellStyle name="Total 6 4 2 3 3" xfId="41463" xr:uid="{DD69B192-2CB8-4933-942E-F4752BC2628B}"/>
    <cellStyle name="Total 6 4 2 4" xfId="23431" xr:uid="{CBAC35F0-1985-4BB7-BE39-86EE94E9C5AB}"/>
    <cellStyle name="Total 6 4 2 4 2" xfId="23432" xr:uid="{4AC5D624-0BB7-4834-ABFF-04647B207CDE}"/>
    <cellStyle name="Total 6 4 2 4 3" xfId="41464" xr:uid="{CCB7608E-4538-493C-8A7E-B902D0ACA7AB}"/>
    <cellStyle name="Total 6 4 2 5" xfId="23433" xr:uid="{A539940E-F18D-4AF5-B120-BBD4E52B5CC5}"/>
    <cellStyle name="Total 6 4 2 5 2" xfId="23434" xr:uid="{D70CE4D2-7E2C-4C54-ABCF-130A32218E4E}"/>
    <cellStyle name="Total 6 4 2 5 3" xfId="41465" xr:uid="{F377B363-785D-404C-A1CE-482A31E250AB}"/>
    <cellStyle name="Total 6 4 2 6" xfId="23435" xr:uid="{479843F8-231D-482D-929F-28EDA8DCFBEC}"/>
    <cellStyle name="Total 6 4 2 6 2" xfId="23436" xr:uid="{D16C1BAF-3F1B-4FAB-9FBE-963AE0E9384F}"/>
    <cellStyle name="Total 6 4 2 6 3" xfId="41466" xr:uid="{20B844C4-1E65-46F1-ABB4-18298DF29FCD}"/>
    <cellStyle name="Total 6 4 2 7" xfId="23437" xr:uid="{7A33EC2F-B176-450A-8BA3-50795F801B76}"/>
    <cellStyle name="Total 6 4 2 7 2" xfId="23438" xr:uid="{BCCD9F9A-A046-4BDE-A520-77FE6C8B8A01}"/>
    <cellStyle name="Total 6 4 2 7 3" xfId="41467" xr:uid="{CCEA2402-CC72-4704-B60E-00987FDEA237}"/>
    <cellStyle name="Total 6 4 2 8" xfId="23439" xr:uid="{0679D235-5461-4E17-B920-E40473BCE089}"/>
    <cellStyle name="Total 6 4 2 8 2" xfId="23440" xr:uid="{BC7C3FEA-CA5C-4479-9AD7-C38AA9FDD8C7}"/>
    <cellStyle name="Total 6 4 2 8 3" xfId="41468" xr:uid="{D6EE22DE-F005-428F-821D-F3A2283A179F}"/>
    <cellStyle name="Total 6 4 2 9" xfId="23441" xr:uid="{D7260FD9-F1A2-4B29-835F-40AD0272712C}"/>
    <cellStyle name="Total 6 4 2 9 2" xfId="41469" xr:uid="{DC67D6FF-FD90-4247-8691-D49EFBA277BA}"/>
    <cellStyle name="Total 6 4 2 9 3" xfId="41470" xr:uid="{C30FBA90-6286-4C73-A5B0-A8642EFE519C}"/>
    <cellStyle name="Total 6 4 3" xfId="23442" xr:uid="{D3EAC6D2-966B-404D-8868-BC70918211B2}"/>
    <cellStyle name="Total 6 4 3 2" xfId="23443" xr:uid="{B8230B7A-8056-460B-8A17-E977E660051A}"/>
    <cellStyle name="Total 6 4 3 2 2" xfId="41471" xr:uid="{ADCBB5CA-CCEF-49E1-AFEB-D8F5F8CFB419}"/>
    <cellStyle name="Total 6 4 3 2 3" xfId="41472" xr:uid="{C62874C0-B69F-4DB4-86C9-2E910B4B3F22}"/>
    <cellStyle name="Total 6 4 3 2 4" xfId="41473" xr:uid="{420E9069-38A2-4526-A3BE-A4FF0AA6D23E}"/>
    <cellStyle name="Total 6 4 3 3" xfId="23444" xr:uid="{B2AF6285-30AA-4725-BE86-51AAD0FE3B11}"/>
    <cellStyle name="Total 6 4 3 3 2" xfId="23445" xr:uid="{902F7621-0C5D-44EF-BA55-9EE1DDA0C8BC}"/>
    <cellStyle name="Total 6 4 3 4" xfId="23446" xr:uid="{46A63DB0-5029-4320-9002-C380978DC72E}"/>
    <cellStyle name="Total 6 4 3 5" xfId="41474" xr:uid="{C697E58D-D752-4316-BDFF-915CB79FF879}"/>
    <cellStyle name="Total 6 4 4" xfId="23447" xr:uid="{C94126C3-2C41-4BA6-A781-10CE3B52A143}"/>
    <cellStyle name="Total 6 4 4 2" xfId="23448" xr:uid="{8829C7B9-1CC6-4945-9B02-0EE3675BADB9}"/>
    <cellStyle name="Total 6 4 4 2 2" xfId="41475" xr:uid="{83814149-8D0A-48A7-9415-0008A161DDA0}"/>
    <cellStyle name="Total 6 4 4 2 3" xfId="41476" xr:uid="{BEC5249A-1101-4E50-9191-A2E266044F3C}"/>
    <cellStyle name="Total 6 4 4 3" xfId="23449" xr:uid="{E822981A-7340-487E-A2B8-5B06D6CF4DF3}"/>
    <cellStyle name="Total 6 4 4 4" xfId="41477" xr:uid="{348453F9-CBA3-4FAC-A882-530F39B10B22}"/>
    <cellStyle name="Total 6 4 4 5" xfId="41478" xr:uid="{1809ED8D-ABFB-4834-8A22-C5408ADF253A}"/>
    <cellStyle name="Total 6 4 5" xfId="23450" xr:uid="{1E926ECB-8FDA-4998-A10A-E6C0D68FB0AB}"/>
    <cellStyle name="Total 6 4 5 2" xfId="23451" xr:uid="{A6F54DF0-8515-4CC4-AD24-543D52F1F14F}"/>
    <cellStyle name="Total 6 4 5 2 2" xfId="41479" xr:uid="{E6390150-6AB1-4038-8348-A60A93C437D3}"/>
    <cellStyle name="Total 6 4 5 2 3" xfId="41480" xr:uid="{AFF09DD8-2F75-4D8A-B565-7C433FB588C9}"/>
    <cellStyle name="Total 6 4 5 3" xfId="41481" xr:uid="{1BC5C032-83E7-4BA0-88C6-1F00C5172264}"/>
    <cellStyle name="Total 6 4 5 4" xfId="41482" xr:uid="{937DBECA-A579-4949-A0F6-2CA783F9ADAB}"/>
    <cellStyle name="Total 6 4 6" xfId="23452" xr:uid="{4DE73D65-A7EC-4E48-836F-7DA41F9AB2F3}"/>
    <cellStyle name="Total 6 4 6 2" xfId="23453" xr:uid="{9BAA0F59-AD3B-4A6B-BFAB-47B23578093A}"/>
    <cellStyle name="Total 6 4 6 3" xfId="41483" xr:uid="{EBDC64ED-C7BF-45BB-8F1A-DA74F5F1DDF7}"/>
    <cellStyle name="Total 6 4 7" xfId="23454" xr:uid="{F84C6775-E2E6-4237-B2BD-AC02FA4B7C07}"/>
    <cellStyle name="Total 6 4 7 2" xfId="23455" xr:uid="{33AC5F9E-D87D-4DB9-BE54-A4118D50019F}"/>
    <cellStyle name="Total 6 4 7 3" xfId="41484" xr:uid="{75B02FF1-372A-448F-806F-64648F135039}"/>
    <cellStyle name="Total 6 4 8" xfId="23456" xr:uid="{13840BB0-2172-406A-987C-321CD18C6EA4}"/>
    <cellStyle name="Total 6 4 8 2" xfId="23457" xr:uid="{2C6F0516-1CFA-4854-9C6E-DD836A76BB0D}"/>
    <cellStyle name="Total 6 4 8 3" xfId="41485" xr:uid="{7FD3D8E8-42C7-4461-B365-D915B94E6A6A}"/>
    <cellStyle name="Total 6 4 9" xfId="23458" xr:uid="{C489100B-BBA1-4C26-90A8-558C06D9231E}"/>
    <cellStyle name="Total 6 4 9 2" xfId="23459" xr:uid="{8FBBBD80-11AB-485C-9676-326CFD461374}"/>
    <cellStyle name="Total 6 4 9 3" xfId="41486" xr:uid="{27CA4ADB-8314-4D37-B356-9E91B4906F97}"/>
    <cellStyle name="Total 6 5" xfId="23460" xr:uid="{F38E452F-C993-40EF-966D-4098D789DEC1}"/>
    <cellStyle name="Total 6 5 10" xfId="23461" xr:uid="{CBFC6BD1-DDDF-4F24-BA33-B0421EA0E0EB}"/>
    <cellStyle name="Total 6 5 10 2" xfId="41487" xr:uid="{75535DCE-CEF9-4F0E-A0C1-DB3C3AD3B028}"/>
    <cellStyle name="Total 6 5 10 3" xfId="41488" xr:uid="{F8077867-37EF-4313-8120-550888616C5C}"/>
    <cellStyle name="Total 6 5 11" xfId="23462" xr:uid="{DB5F901B-993F-4694-9FFB-50474876E824}"/>
    <cellStyle name="Total 6 5 11 2" xfId="41489" xr:uid="{E180047C-BD31-4B56-B88D-01C5822D0316}"/>
    <cellStyle name="Total 6 5 12" xfId="41490" xr:uid="{D1D61046-172D-42D4-8704-3386F3CF7866}"/>
    <cellStyle name="Total 6 5 2" xfId="23463" xr:uid="{ED49493D-A55C-46FA-BD12-1AAD28B64394}"/>
    <cellStyle name="Total 6 5 2 10" xfId="23464" xr:uid="{92C45497-EA48-4508-8EC2-A6EB8EE537B6}"/>
    <cellStyle name="Total 6 5 2 10 2" xfId="41491" xr:uid="{245D55A5-1C11-421A-8A82-CE5E12BE74F8}"/>
    <cellStyle name="Total 6 5 2 11" xfId="41492" xr:uid="{671999F0-2E85-4B5F-853C-26BB225A4D9A}"/>
    <cellStyle name="Total 6 5 2 2" xfId="23465" xr:uid="{BD4B9C55-2D5A-4333-BE18-AE3F6F75CDBD}"/>
    <cellStyle name="Total 6 5 2 2 2" xfId="23466" xr:uid="{539AF91D-B4E8-4829-BC7D-CDD799541A20}"/>
    <cellStyle name="Total 6 5 2 2 2 2" xfId="41493" xr:uid="{43A972B4-2FEB-42E6-BF1A-A97394251C45}"/>
    <cellStyle name="Total 6 5 2 2 2 3" xfId="41494" xr:uid="{7BF20878-66A8-4316-B011-C8D8F00DA5B5}"/>
    <cellStyle name="Total 6 5 2 2 3" xfId="23467" xr:uid="{DEF03FFD-3F47-4B79-971B-9EBE41F96596}"/>
    <cellStyle name="Total 6 5 2 2 3 2" xfId="23468" xr:uid="{5EEFC678-94CF-48F4-8EE3-A133F25184B8}"/>
    <cellStyle name="Total 6 5 2 2 4" xfId="23469" xr:uid="{B095615A-F504-4244-B659-3C5E4B6579B1}"/>
    <cellStyle name="Total 6 5 2 2 5" xfId="41495" xr:uid="{0C8F50AD-C4BA-45D6-AFBC-667E05B69CCC}"/>
    <cellStyle name="Total 6 5 2 3" xfId="23470" xr:uid="{70CFEA6D-74D2-49D7-B096-6366B75F6060}"/>
    <cellStyle name="Total 6 5 2 3 2" xfId="23471" xr:uid="{71A55FCA-7AD0-4F6E-87D4-0DF960444C82}"/>
    <cellStyle name="Total 6 5 2 3 3" xfId="41496" xr:uid="{8C54821C-997F-4B8E-891E-24499DEF52BB}"/>
    <cellStyle name="Total 6 5 2 4" xfId="23472" xr:uid="{51249602-9C8B-4CDC-BAC2-434C1739B942}"/>
    <cellStyle name="Total 6 5 2 4 2" xfId="23473" xr:uid="{309DF0FC-B808-4638-BFB8-1E7965C165E9}"/>
    <cellStyle name="Total 6 5 2 4 3" xfId="41497" xr:uid="{3DA451BC-BE62-467A-996F-7333CF0D0ED9}"/>
    <cellStyle name="Total 6 5 2 5" xfId="23474" xr:uid="{473A6E39-B58C-4B8A-AE18-1E8D16A3CE7E}"/>
    <cellStyle name="Total 6 5 2 5 2" xfId="23475" xr:uid="{5148A314-51A1-45AF-BFE3-766C4F49BFEE}"/>
    <cellStyle name="Total 6 5 2 5 3" xfId="41498" xr:uid="{D7672C2D-E50E-451E-A206-475F186B0BBE}"/>
    <cellStyle name="Total 6 5 2 6" xfId="23476" xr:uid="{5AD95737-3E09-40E0-BB7C-951DE15A1B34}"/>
    <cellStyle name="Total 6 5 2 6 2" xfId="23477" xr:uid="{41CDA495-64D6-4F1A-9955-2FE0CCE0422C}"/>
    <cellStyle name="Total 6 5 2 6 3" xfId="41499" xr:uid="{DC151DFA-A534-4EC8-BBDD-053602ED7D9A}"/>
    <cellStyle name="Total 6 5 2 7" xfId="23478" xr:uid="{2FC21A1A-21CD-4CDF-8997-6B107A17A1B4}"/>
    <cellStyle name="Total 6 5 2 7 2" xfId="23479" xr:uid="{FA727245-8DB8-4617-8111-8014E2FAA973}"/>
    <cellStyle name="Total 6 5 2 7 3" xfId="41500" xr:uid="{33EF6469-B095-465D-AC5E-8B0CF81202BF}"/>
    <cellStyle name="Total 6 5 2 8" xfId="23480" xr:uid="{EACA624B-ADAF-4AA8-867E-A797CED86345}"/>
    <cellStyle name="Total 6 5 2 8 2" xfId="23481" xr:uid="{D86B09A2-2D87-4299-A800-ADCB206EDDE6}"/>
    <cellStyle name="Total 6 5 2 8 3" xfId="41501" xr:uid="{8E5C6C0E-FAF6-4291-BFC4-8A7E236654EE}"/>
    <cellStyle name="Total 6 5 2 9" xfId="23482" xr:uid="{E13704BD-83E4-4141-B963-4A6F0DE1D145}"/>
    <cellStyle name="Total 6 5 2 9 2" xfId="41502" xr:uid="{8BE6DD7B-D288-4015-939F-1A5537F1696B}"/>
    <cellStyle name="Total 6 5 2 9 3" xfId="41503" xr:uid="{92C6EAA3-20D0-46DF-AC71-9521B0C4D043}"/>
    <cellStyle name="Total 6 5 3" xfId="23483" xr:uid="{4C913E14-DE70-4878-A8F1-1867F3871643}"/>
    <cellStyle name="Total 6 5 3 2" xfId="23484" xr:uid="{949BB63F-B8FD-4672-ABD9-8E0078F53E59}"/>
    <cellStyle name="Total 6 5 3 2 2" xfId="41504" xr:uid="{D8955318-08F3-44A0-8D4E-F260A1115F55}"/>
    <cellStyle name="Total 6 5 3 2 3" xfId="41505" xr:uid="{B59362B8-0D22-4C57-B27D-56FE03B62F92}"/>
    <cellStyle name="Total 6 5 3 2 4" xfId="41506" xr:uid="{D1164B50-EF0A-46E3-93BE-7CFB47128847}"/>
    <cellStyle name="Total 6 5 3 3" xfId="23485" xr:uid="{26C3E284-866B-41C5-8020-5F0BB170BD1B}"/>
    <cellStyle name="Total 6 5 3 3 2" xfId="23486" xr:uid="{311738E3-2635-4569-ACC1-58A0C4B08823}"/>
    <cellStyle name="Total 6 5 3 4" xfId="23487" xr:uid="{9520BB17-93CC-4D80-8F9C-C022859E2842}"/>
    <cellStyle name="Total 6 5 3 5" xfId="41507" xr:uid="{33A019E7-E58E-4C2E-B0F9-7D062C40E883}"/>
    <cellStyle name="Total 6 5 4" xfId="23488" xr:uid="{A9D91A8A-45B3-4E74-A831-C277DA664E7D}"/>
    <cellStyle name="Total 6 5 4 2" xfId="23489" xr:uid="{0901588F-C507-4EE2-8943-36A596D55735}"/>
    <cellStyle name="Total 6 5 4 2 2" xfId="41508" xr:uid="{1963208C-09F5-4823-9F9A-073F968F63A6}"/>
    <cellStyle name="Total 6 5 4 2 3" xfId="41509" xr:uid="{463D3C2B-5C9E-4DD4-BC6C-4D342355AFC4}"/>
    <cellStyle name="Total 6 5 4 3" xfId="23490" xr:uid="{57297336-A4C4-4474-BC3E-5D31D76B2244}"/>
    <cellStyle name="Total 6 5 4 4" xfId="41510" xr:uid="{05B928DE-3012-4C13-A3DA-84DD1A6F282F}"/>
    <cellStyle name="Total 6 5 4 5" xfId="41511" xr:uid="{933215F8-F05B-460F-9FFE-C93EF60B7C61}"/>
    <cellStyle name="Total 6 5 5" xfId="23491" xr:uid="{E70DC388-4CCE-4A1E-8ACB-7617F45D7B20}"/>
    <cellStyle name="Total 6 5 5 2" xfId="23492" xr:uid="{4FF23C6B-6EB7-4129-B38F-D84285BA4D78}"/>
    <cellStyle name="Total 6 5 5 2 2" xfId="41512" xr:uid="{9C2553AE-41CA-4E00-94CE-DA6821C88DA1}"/>
    <cellStyle name="Total 6 5 5 2 3" xfId="41513" xr:uid="{381E2A66-1BDE-4FDA-BE01-74332AD70C04}"/>
    <cellStyle name="Total 6 5 5 3" xfId="41514" xr:uid="{73D97093-4786-4A7D-8F09-5236894B0E80}"/>
    <cellStyle name="Total 6 5 5 4" xfId="41515" xr:uid="{1E522314-028F-417F-94B2-CB20B1963754}"/>
    <cellStyle name="Total 6 5 6" xfId="23493" xr:uid="{C93D65B4-2923-495E-B8E2-D15AEAAF0C37}"/>
    <cellStyle name="Total 6 5 6 2" xfId="23494" xr:uid="{2B90FFD1-0F4C-4C4A-BFC4-56F02708C743}"/>
    <cellStyle name="Total 6 5 6 3" xfId="41516" xr:uid="{4F45D1C3-D35E-4595-BA26-B0B522D9C3D0}"/>
    <cellStyle name="Total 6 5 7" xfId="23495" xr:uid="{C2792484-0A8E-44D6-BD29-7BFB3DAB81E4}"/>
    <cellStyle name="Total 6 5 7 2" xfId="23496" xr:uid="{E0DA12C9-71CC-4229-A335-E3A25DE0F393}"/>
    <cellStyle name="Total 6 5 7 3" xfId="41517" xr:uid="{F7E9C756-9766-43C3-A495-DC0E6CE8B7D3}"/>
    <cellStyle name="Total 6 5 8" xfId="23497" xr:uid="{D57379C0-EB76-4CEE-8D17-1061262F9429}"/>
    <cellStyle name="Total 6 5 8 2" xfId="23498" xr:uid="{F52B76A2-4F12-492F-A06F-FFC452A0782C}"/>
    <cellStyle name="Total 6 5 8 3" xfId="41518" xr:uid="{7C311220-7F68-4DF0-A820-BAAB968958EC}"/>
    <cellStyle name="Total 6 5 9" xfId="23499" xr:uid="{B9A1A6C4-83C4-4D30-B073-F19A7289A0A8}"/>
    <cellStyle name="Total 6 5 9 2" xfId="23500" xr:uid="{3076E78D-4C81-4225-8B4D-BC2FF224EDD6}"/>
    <cellStyle name="Total 6 5 9 3" xfId="41519" xr:uid="{59419BD2-26F6-47C0-B26E-621463413547}"/>
    <cellStyle name="Total 6 6" xfId="23501" xr:uid="{66DB9BF3-BAFE-494A-B0B7-F8DB1E934933}"/>
    <cellStyle name="Total 6 6 10" xfId="23502" xr:uid="{A44B9EE0-58BB-4028-A91A-9003BE3FECC7}"/>
    <cellStyle name="Total 6 6 10 2" xfId="41520" xr:uid="{6B9275CF-5345-4DED-B642-F9E7D816F430}"/>
    <cellStyle name="Total 6 6 10 3" xfId="41521" xr:uid="{F0F77F59-9EE1-450E-9A2C-406D0DA93B05}"/>
    <cellStyle name="Total 6 6 11" xfId="23503" xr:uid="{7305A769-B032-4741-8732-ABA229D01B6F}"/>
    <cellStyle name="Total 6 6 11 2" xfId="41522" xr:uid="{26B408FA-DFCB-48CF-BB7E-1F591AAB539A}"/>
    <cellStyle name="Total 6 6 12" xfId="41523" xr:uid="{6D3EE5EB-3E81-491C-83E2-A545B0E2B4DA}"/>
    <cellStyle name="Total 6 6 2" xfId="23504" xr:uid="{E06F7CBE-707E-41DF-A921-F53E845A83F0}"/>
    <cellStyle name="Total 6 6 2 10" xfId="23505" xr:uid="{A1C33522-2789-4F98-9D18-B2B4ACE72905}"/>
    <cellStyle name="Total 6 6 2 10 2" xfId="41524" xr:uid="{55EE818B-B9A2-4037-82A8-B8EABCE70F5D}"/>
    <cellStyle name="Total 6 6 2 11" xfId="41525" xr:uid="{515F137A-70BC-4B61-B807-C50FE431F1E4}"/>
    <cellStyle name="Total 6 6 2 2" xfId="23506" xr:uid="{DA46C550-55EE-4145-B610-5CC029CDBC88}"/>
    <cellStyle name="Total 6 6 2 2 2" xfId="23507" xr:uid="{7806BC6F-4B6B-41DD-A597-D859BEEBBA50}"/>
    <cellStyle name="Total 6 6 2 2 2 2" xfId="41526" xr:uid="{E46E6F15-B60D-42EA-ACF3-DA15C147769B}"/>
    <cellStyle name="Total 6 6 2 2 2 3" xfId="41527" xr:uid="{C07D3F7E-A832-4F50-9F64-3892A938AA5C}"/>
    <cellStyle name="Total 6 6 2 2 3" xfId="23508" xr:uid="{1F43B834-4719-4A39-B618-6E31E48AC8F8}"/>
    <cellStyle name="Total 6 6 2 2 3 2" xfId="23509" xr:uid="{93386CAE-6B8F-4560-8240-95BADD65891C}"/>
    <cellStyle name="Total 6 6 2 2 4" xfId="23510" xr:uid="{596BBCA6-1124-4F11-986C-C428BC1079A4}"/>
    <cellStyle name="Total 6 6 2 2 5" xfId="41528" xr:uid="{814D42E7-06D4-42F9-8C72-583D19E27500}"/>
    <cellStyle name="Total 6 6 2 3" xfId="23511" xr:uid="{F4173A68-8C03-428C-BA89-930A36EF942F}"/>
    <cellStyle name="Total 6 6 2 3 2" xfId="23512" xr:uid="{9805437A-AD48-46CC-B8F9-7A9492615BC5}"/>
    <cellStyle name="Total 6 6 2 3 3" xfId="41529" xr:uid="{D2F67FD9-8A49-44C6-9C52-CD5BEA365AFA}"/>
    <cellStyle name="Total 6 6 2 4" xfId="23513" xr:uid="{4166D38F-6656-49CD-A52C-AFC7EDE4CC1D}"/>
    <cellStyle name="Total 6 6 2 4 2" xfId="23514" xr:uid="{05E45612-C5E0-4F57-9004-62BB7DFFD424}"/>
    <cellStyle name="Total 6 6 2 4 3" xfId="41530" xr:uid="{7C7346CF-74BC-44A2-A361-E94B27DB7DD3}"/>
    <cellStyle name="Total 6 6 2 5" xfId="23515" xr:uid="{CB7291EA-81E4-464B-B73B-8F54061638EF}"/>
    <cellStyle name="Total 6 6 2 5 2" xfId="23516" xr:uid="{938FE5C0-A31F-4B7F-863C-CFFD28BF7A1C}"/>
    <cellStyle name="Total 6 6 2 5 3" xfId="41531" xr:uid="{F1BD6A9B-A404-4B27-BC37-393FAFD206D2}"/>
    <cellStyle name="Total 6 6 2 6" xfId="23517" xr:uid="{E747E881-701D-4F15-9CE4-96247CFEBC33}"/>
    <cellStyle name="Total 6 6 2 6 2" xfId="23518" xr:uid="{CB0FFB82-0997-4EED-9B80-04DC6C4FFCA9}"/>
    <cellStyle name="Total 6 6 2 6 3" xfId="41532" xr:uid="{3C800E51-FFA8-4309-886E-13FC6FE762D9}"/>
    <cellStyle name="Total 6 6 2 7" xfId="23519" xr:uid="{446A686B-DE00-4CC8-AE2E-981B0C8DADD2}"/>
    <cellStyle name="Total 6 6 2 7 2" xfId="23520" xr:uid="{D8C2E51A-D94E-4B2A-9D0E-473AD1D4CAE7}"/>
    <cellStyle name="Total 6 6 2 7 3" xfId="41533" xr:uid="{12AFB8EA-93AE-475B-A845-7A42292A482F}"/>
    <cellStyle name="Total 6 6 2 8" xfId="23521" xr:uid="{8DD413A0-AA1E-4A6B-943A-EFEFAAEC4008}"/>
    <cellStyle name="Total 6 6 2 8 2" xfId="23522" xr:uid="{9D43C7AF-7AE7-4449-8B1E-50005CFBA8E4}"/>
    <cellStyle name="Total 6 6 2 8 3" xfId="41534" xr:uid="{35695387-DB15-4779-8354-0D954B0C1803}"/>
    <cellStyle name="Total 6 6 2 9" xfId="23523" xr:uid="{66D5AE7F-7F5C-433F-BC6B-69502E4019A3}"/>
    <cellStyle name="Total 6 6 2 9 2" xfId="41535" xr:uid="{D3BA9860-E7A7-4973-8BEF-CEECCE889106}"/>
    <cellStyle name="Total 6 6 2 9 3" xfId="41536" xr:uid="{23768F1C-F50B-4BBC-998E-D7502B8A9918}"/>
    <cellStyle name="Total 6 6 3" xfId="23524" xr:uid="{9DFC38FD-E605-444D-8998-EB8481444FDB}"/>
    <cellStyle name="Total 6 6 3 2" xfId="23525" xr:uid="{93C42647-D0CB-4D90-80AC-989B164A911C}"/>
    <cellStyle name="Total 6 6 3 2 2" xfId="41537" xr:uid="{A353410F-CB39-4222-9BD6-856093899A9F}"/>
    <cellStyle name="Total 6 6 3 2 3" xfId="41538" xr:uid="{B972784C-17E8-4E85-86F1-4BDC69263B66}"/>
    <cellStyle name="Total 6 6 3 2 4" xfId="41539" xr:uid="{87332D2C-2BE3-4DFB-A2C5-21AC520CB4E4}"/>
    <cellStyle name="Total 6 6 3 3" xfId="23526" xr:uid="{639CF3AF-403B-4158-B46D-40B8C73D4074}"/>
    <cellStyle name="Total 6 6 3 3 2" xfId="23527" xr:uid="{84BADD5A-E84B-46DA-8C2E-8D43EF3D9E29}"/>
    <cellStyle name="Total 6 6 3 4" xfId="23528" xr:uid="{3D0A9B45-9FA1-4A6C-9766-371A4CDC7FCD}"/>
    <cellStyle name="Total 6 6 3 5" xfId="41540" xr:uid="{863C9C8B-84A9-45BF-8256-10136E2A6AD7}"/>
    <cellStyle name="Total 6 6 4" xfId="23529" xr:uid="{CB4B0D4E-F912-4501-97DE-2DF24F3B349D}"/>
    <cellStyle name="Total 6 6 4 2" xfId="23530" xr:uid="{0B9B5F22-163C-4681-B458-1E1814ECDE9F}"/>
    <cellStyle name="Total 6 6 4 2 2" xfId="41541" xr:uid="{2DE8F890-C260-4526-AFDE-4747FD2FEC39}"/>
    <cellStyle name="Total 6 6 4 2 3" xfId="41542" xr:uid="{31564211-45A5-42C2-83E0-EBB1D1F1200D}"/>
    <cellStyle name="Total 6 6 4 3" xfId="23531" xr:uid="{1628DF4C-987E-445A-B51E-073C3DA12C30}"/>
    <cellStyle name="Total 6 6 4 4" xfId="41543" xr:uid="{E6ADD6E5-DE3A-4783-B655-953EE62555FB}"/>
    <cellStyle name="Total 6 6 4 5" xfId="41544" xr:uid="{C39EF2E3-9F54-4A25-8133-D8EE5BACFF6F}"/>
    <cellStyle name="Total 6 6 5" xfId="23532" xr:uid="{40F397CF-1AA9-4F12-B643-B413F19485B8}"/>
    <cellStyle name="Total 6 6 5 2" xfId="23533" xr:uid="{84B4FD4F-39CC-48C4-8F7A-29A0D3BFF54F}"/>
    <cellStyle name="Total 6 6 5 2 2" xfId="41545" xr:uid="{DB8FCE6C-29FB-4C84-90DD-8BB79C061291}"/>
    <cellStyle name="Total 6 6 5 2 3" xfId="41546" xr:uid="{F5DD097A-E017-4488-9396-7E5E8F6607BC}"/>
    <cellStyle name="Total 6 6 5 3" xfId="41547" xr:uid="{B17F1367-3E7F-4D44-BFB2-EA887A33192E}"/>
    <cellStyle name="Total 6 6 5 4" xfId="41548" xr:uid="{C22E1486-678C-4250-925D-DAC950C5FDAC}"/>
    <cellStyle name="Total 6 6 6" xfId="23534" xr:uid="{53F37018-D533-4A33-99DA-2737B1B56EB0}"/>
    <cellStyle name="Total 6 6 6 2" xfId="23535" xr:uid="{21605DB7-87E4-42FC-A123-76F051CAC10E}"/>
    <cellStyle name="Total 6 6 6 3" xfId="41549" xr:uid="{61759FDE-F20B-417D-B2E8-DC3A13A2E5CB}"/>
    <cellStyle name="Total 6 6 7" xfId="23536" xr:uid="{152B616B-052E-4E92-A901-72005BEEFCF2}"/>
    <cellStyle name="Total 6 6 7 2" xfId="23537" xr:uid="{00251969-54A3-4C78-81C5-6CF266F54DC5}"/>
    <cellStyle name="Total 6 6 7 3" xfId="41550" xr:uid="{59EB3B97-FFB1-4BB6-A52F-5E21017B3254}"/>
    <cellStyle name="Total 6 6 8" xfId="23538" xr:uid="{5FDA016A-A388-4CC6-B452-FE1AAB540B00}"/>
    <cellStyle name="Total 6 6 8 2" xfId="23539" xr:uid="{FD46433C-3A19-46CB-985D-80F5A60AC703}"/>
    <cellStyle name="Total 6 6 8 3" xfId="41551" xr:uid="{A4AAEC1A-7224-46F9-A0E8-367EB241039A}"/>
    <cellStyle name="Total 6 6 9" xfId="23540" xr:uid="{93E22608-EA54-4472-87CD-12E092E64C03}"/>
    <cellStyle name="Total 6 6 9 2" xfId="23541" xr:uid="{27665391-531B-4FF1-803A-D6FE9BFA0ADE}"/>
    <cellStyle name="Total 6 6 9 3" xfId="41552" xr:uid="{70B0D6B8-C179-43AC-9C08-1C7D160765F1}"/>
    <cellStyle name="Total 6 7" xfId="23542" xr:uid="{4148CD6E-0D7A-4F1E-8237-6A257B4057C0}"/>
    <cellStyle name="Total 6 7 10" xfId="23543" xr:uid="{1317EAAF-BD2F-4522-8BB7-A0D7D27FD22D}"/>
    <cellStyle name="Total 6 7 10 2" xfId="41553" xr:uid="{CFC59D38-EC64-4DF9-9F2C-5659807D9B2D}"/>
    <cellStyle name="Total 6 7 10 3" xfId="41554" xr:uid="{BD7C759D-CEA8-4166-A201-E4C3FD56A11B}"/>
    <cellStyle name="Total 6 7 11" xfId="23544" xr:uid="{A39C4EE2-C410-4FD3-BF94-BD543F1CB6E8}"/>
    <cellStyle name="Total 6 7 11 2" xfId="41555" xr:uid="{5E353D28-2FE4-48DF-8209-6F32E390C6C5}"/>
    <cellStyle name="Total 6 7 12" xfId="41556" xr:uid="{F11DE9D7-84C4-4877-9ED0-04FF76043FF8}"/>
    <cellStyle name="Total 6 7 2" xfId="23545" xr:uid="{38A997F1-EFF4-46F3-B94E-6D45C4621E88}"/>
    <cellStyle name="Total 6 7 2 10" xfId="23546" xr:uid="{1DD83FBB-911F-41F7-A15E-8A9A1352D176}"/>
    <cellStyle name="Total 6 7 2 10 2" xfId="41557" xr:uid="{8748923F-99D3-47E8-BA04-A4DDE0991C8F}"/>
    <cellStyle name="Total 6 7 2 11" xfId="41558" xr:uid="{682A4019-D8A5-448C-A31D-45F9D7B635B6}"/>
    <cellStyle name="Total 6 7 2 2" xfId="23547" xr:uid="{E03072B9-BE17-48A1-AEAA-56EC32B49C5A}"/>
    <cellStyle name="Total 6 7 2 2 2" xfId="23548" xr:uid="{1C09B50C-E593-4712-B5B2-6E0D7F444AD6}"/>
    <cellStyle name="Total 6 7 2 2 2 2" xfId="41559" xr:uid="{35E9F52A-AA67-46CF-A827-C668EA3E28AF}"/>
    <cellStyle name="Total 6 7 2 2 2 3" xfId="41560" xr:uid="{B0F20057-DBC9-45B1-BA3F-ABBBB33A7F1A}"/>
    <cellStyle name="Total 6 7 2 2 3" xfId="23549" xr:uid="{FD367CC2-EB45-4A12-B94D-03239DDB884A}"/>
    <cellStyle name="Total 6 7 2 2 3 2" xfId="23550" xr:uid="{EFD61B67-9534-4C81-97C4-BB5D6763A22D}"/>
    <cellStyle name="Total 6 7 2 2 4" xfId="23551" xr:uid="{160F2752-5163-4E93-8E02-B22685974622}"/>
    <cellStyle name="Total 6 7 2 2 5" xfId="41561" xr:uid="{0F149544-3780-42D7-8214-C3BEA2664FAB}"/>
    <cellStyle name="Total 6 7 2 3" xfId="23552" xr:uid="{07E34B35-2EFE-46DE-A620-BEE161F513D2}"/>
    <cellStyle name="Total 6 7 2 3 2" xfId="23553" xr:uid="{F450F55B-4D7A-4A6B-995D-0074AEF7EFCA}"/>
    <cellStyle name="Total 6 7 2 3 3" xfId="41562" xr:uid="{C37B2F28-0672-46D1-AC02-3B2AA40D5D71}"/>
    <cellStyle name="Total 6 7 2 4" xfId="23554" xr:uid="{0783CF6A-08F5-4E1F-9910-8C9FD15CD4A1}"/>
    <cellStyle name="Total 6 7 2 4 2" xfId="23555" xr:uid="{E6E36525-08E2-4F8E-BAEB-B49BDEE81285}"/>
    <cellStyle name="Total 6 7 2 4 3" xfId="41563" xr:uid="{88E3B50A-C2A3-4BDE-ACBD-1D46683A829C}"/>
    <cellStyle name="Total 6 7 2 5" xfId="23556" xr:uid="{8A01EA7F-BC4A-4736-95FD-A86AB740D7CC}"/>
    <cellStyle name="Total 6 7 2 5 2" xfId="23557" xr:uid="{0CE8CE75-208C-4392-9444-CE4B4A5B85C7}"/>
    <cellStyle name="Total 6 7 2 5 3" xfId="41564" xr:uid="{9AB344F3-F01E-4E27-B09F-1F9659D5095F}"/>
    <cellStyle name="Total 6 7 2 6" xfId="23558" xr:uid="{C64E2247-A841-4745-A98A-46AA5EF48785}"/>
    <cellStyle name="Total 6 7 2 6 2" xfId="23559" xr:uid="{4EFA4169-B367-4BDF-87BB-83750F63F133}"/>
    <cellStyle name="Total 6 7 2 6 3" xfId="41565" xr:uid="{C1A8F0A7-2AA7-4656-B29C-E63FF9C160A5}"/>
    <cellStyle name="Total 6 7 2 7" xfId="23560" xr:uid="{C32E3730-6A3E-46F1-A03F-50DDA67BE17D}"/>
    <cellStyle name="Total 6 7 2 7 2" xfId="23561" xr:uid="{CC01A7B6-6770-4DFC-930B-F921809D7736}"/>
    <cellStyle name="Total 6 7 2 7 3" xfId="41566" xr:uid="{05C8FED9-530D-4306-AC29-756BE872138F}"/>
    <cellStyle name="Total 6 7 2 8" xfId="23562" xr:uid="{92C873D9-1E60-4552-B1FC-FF61FB04574D}"/>
    <cellStyle name="Total 6 7 2 8 2" xfId="23563" xr:uid="{7D131FBD-E63F-4EE9-9E14-43B350171A47}"/>
    <cellStyle name="Total 6 7 2 8 3" xfId="41567" xr:uid="{55743111-AA92-431B-9BD7-A525A68B13E2}"/>
    <cellStyle name="Total 6 7 2 9" xfId="23564" xr:uid="{9C069ADE-B5EA-4287-900D-30947E40D4FB}"/>
    <cellStyle name="Total 6 7 2 9 2" xfId="41568" xr:uid="{66E250D0-7D92-43A4-A790-0EEB66848877}"/>
    <cellStyle name="Total 6 7 2 9 3" xfId="41569" xr:uid="{D4958E50-49BD-4E7B-9550-B7F18A4E3B19}"/>
    <cellStyle name="Total 6 7 3" xfId="23565" xr:uid="{B12FA7D3-EF7F-4B3B-8262-66C1799B2C8E}"/>
    <cellStyle name="Total 6 7 3 2" xfId="23566" xr:uid="{A3E5B7C4-01C3-4D8D-837A-8490340FA343}"/>
    <cellStyle name="Total 6 7 3 2 2" xfId="41570" xr:uid="{D820F920-411F-4455-A468-E4181FF27473}"/>
    <cellStyle name="Total 6 7 3 2 3" xfId="41571" xr:uid="{DCF97E41-F77B-4E50-A997-5BC3351C90F4}"/>
    <cellStyle name="Total 6 7 3 2 4" xfId="41572" xr:uid="{88B88EC5-99C0-45A9-BF55-9C34179703A2}"/>
    <cellStyle name="Total 6 7 3 3" xfId="23567" xr:uid="{55E9C01F-917C-405A-862F-BA0707581633}"/>
    <cellStyle name="Total 6 7 3 3 2" xfId="23568" xr:uid="{5C633BED-C334-40E4-B4A0-6BA0EF2C2471}"/>
    <cellStyle name="Total 6 7 3 4" xfId="23569" xr:uid="{71857D30-C0CC-4844-BFDF-AFA2FB8492A0}"/>
    <cellStyle name="Total 6 7 3 5" xfId="41573" xr:uid="{4A6BE8E4-1F2F-40DE-BE09-D6452B96D43B}"/>
    <cellStyle name="Total 6 7 4" xfId="23570" xr:uid="{294C39BB-C98F-47E5-AFD3-2C51EDA91113}"/>
    <cellStyle name="Total 6 7 4 2" xfId="23571" xr:uid="{83520862-2059-4E23-AADD-A34DA169266B}"/>
    <cellStyle name="Total 6 7 4 2 2" xfId="41574" xr:uid="{DE3C9BAF-73A8-4420-B6C1-6043BABBC6BE}"/>
    <cellStyle name="Total 6 7 4 2 3" xfId="41575" xr:uid="{DD2B118B-9548-4200-99DA-56B70DCDAFF1}"/>
    <cellStyle name="Total 6 7 4 3" xfId="23572" xr:uid="{17BF82C8-8F7A-4BAF-B4FD-17A0A80BF2D8}"/>
    <cellStyle name="Total 6 7 4 4" xfId="41576" xr:uid="{21242C1D-F1E9-4339-897F-E275F2F1DB1E}"/>
    <cellStyle name="Total 6 7 4 5" xfId="41577" xr:uid="{85B09B24-74D4-4D77-BA85-44F26CB0D4B5}"/>
    <cellStyle name="Total 6 7 5" xfId="23573" xr:uid="{8F6A89F4-1519-442F-9876-4AA8D80190C6}"/>
    <cellStyle name="Total 6 7 5 2" xfId="23574" xr:uid="{8C9E6F40-99BD-45BE-8537-9E98D1B90D0B}"/>
    <cellStyle name="Total 6 7 5 2 2" xfId="41578" xr:uid="{559A4DE6-BAB0-4065-9834-DCF7DB7CCA00}"/>
    <cellStyle name="Total 6 7 5 2 3" xfId="41579" xr:uid="{18BB5191-4D8D-41AF-B328-A527F5F8DC7D}"/>
    <cellStyle name="Total 6 7 5 3" xfId="41580" xr:uid="{85745206-42F7-49ED-B593-58CEF0FDBA3C}"/>
    <cellStyle name="Total 6 7 5 4" xfId="41581" xr:uid="{6C799C3C-56AA-4F40-B344-8F579E501457}"/>
    <cellStyle name="Total 6 7 6" xfId="23575" xr:uid="{E4339698-FA6F-47F4-B3F6-7DED44CE9C04}"/>
    <cellStyle name="Total 6 7 6 2" xfId="23576" xr:uid="{4189D829-609E-4464-9D75-01E999487672}"/>
    <cellStyle name="Total 6 7 6 3" xfId="41582" xr:uid="{A08B0576-3161-4379-A17A-B88977BFDCDF}"/>
    <cellStyle name="Total 6 7 7" xfId="23577" xr:uid="{1D0D91D7-2676-4E22-A624-D17BE03A88B4}"/>
    <cellStyle name="Total 6 7 7 2" xfId="23578" xr:uid="{CB8419FB-6C0E-4289-9A98-A7956E36AE80}"/>
    <cellStyle name="Total 6 7 7 3" xfId="41583" xr:uid="{EE41D28E-939F-40B9-B04E-E3F9D5EFEEE8}"/>
    <cellStyle name="Total 6 7 8" xfId="23579" xr:uid="{925C2D75-A776-4557-98EA-A78FB2CD3E59}"/>
    <cellStyle name="Total 6 7 8 2" xfId="23580" xr:uid="{8384D139-6A71-4164-ABC5-C13C82B041D0}"/>
    <cellStyle name="Total 6 7 8 3" xfId="41584" xr:uid="{AAA80AC7-EDE5-4069-A3A4-DA2E03E60367}"/>
    <cellStyle name="Total 6 7 9" xfId="23581" xr:uid="{1CB93819-7757-4CCC-AC9E-50926ADC3444}"/>
    <cellStyle name="Total 6 7 9 2" xfId="23582" xr:uid="{B38E0704-F89C-444F-84D3-40E60917B765}"/>
    <cellStyle name="Total 6 7 9 3" xfId="41585" xr:uid="{C32A000A-0EEF-4E25-99E6-8B58F6328751}"/>
    <cellStyle name="Total 6 8" xfId="23583" xr:uid="{45BE0DD9-215A-4678-B935-422462C4AD38}"/>
    <cellStyle name="Total 6 8 10" xfId="23584" xr:uid="{E0C561AB-3FD7-4DA2-A2BB-DC6CB918DD1E}"/>
    <cellStyle name="Total 6 8 10 2" xfId="41586" xr:uid="{BA0266C2-B323-4EBC-91A7-65F8A574A43B}"/>
    <cellStyle name="Total 6 8 10 3" xfId="41587" xr:uid="{AFA0C780-DC60-432F-87C1-96E423303180}"/>
    <cellStyle name="Total 6 8 11" xfId="23585" xr:uid="{5C3A3A65-F637-45E1-97FC-EFF209B794AF}"/>
    <cellStyle name="Total 6 8 11 2" xfId="41588" xr:uid="{46ABB169-01C5-4683-98DC-6962ABDA3453}"/>
    <cellStyle name="Total 6 8 12" xfId="41589" xr:uid="{4760A155-78E3-4964-B089-76CB632D48AC}"/>
    <cellStyle name="Total 6 8 2" xfId="23586" xr:uid="{5A73558B-F7BD-43CC-A500-7B91B7AAE283}"/>
    <cellStyle name="Total 6 8 2 10" xfId="23587" xr:uid="{CFAFDC49-B34C-4910-9603-37331BDA3989}"/>
    <cellStyle name="Total 6 8 2 10 2" xfId="41590" xr:uid="{F69A4C49-BBBF-48B9-A958-C9DEAA2FE812}"/>
    <cellStyle name="Total 6 8 2 11" xfId="41591" xr:uid="{39CF8F4B-D2EA-490A-9237-4190AC613175}"/>
    <cellStyle name="Total 6 8 2 2" xfId="23588" xr:uid="{E13AFCE6-32FA-4BDC-A815-6A172D35E4AB}"/>
    <cellStyle name="Total 6 8 2 2 2" xfId="23589" xr:uid="{7832F665-BAEF-42D6-88FF-A10330702E14}"/>
    <cellStyle name="Total 6 8 2 2 2 2" xfId="41592" xr:uid="{8AA1E0CD-580D-4A79-AB1A-3E176327A5A3}"/>
    <cellStyle name="Total 6 8 2 2 2 3" xfId="41593" xr:uid="{37C3041A-5FB6-4078-AF76-1F7CFB10D8AA}"/>
    <cellStyle name="Total 6 8 2 2 3" xfId="23590" xr:uid="{0345B5AE-A5DF-4C10-B69C-055073D2370C}"/>
    <cellStyle name="Total 6 8 2 2 3 2" xfId="23591" xr:uid="{1B682862-1F73-4300-A454-059924E8A2C2}"/>
    <cellStyle name="Total 6 8 2 2 4" xfId="23592" xr:uid="{4363314A-A27D-42FC-88AA-6DB289820684}"/>
    <cellStyle name="Total 6 8 2 2 5" xfId="41594" xr:uid="{BEB22C4B-1907-4809-9B3C-C33ABAC28D82}"/>
    <cellStyle name="Total 6 8 2 3" xfId="23593" xr:uid="{E5E28295-C9DF-43A4-8491-4E8ED4FC54D1}"/>
    <cellStyle name="Total 6 8 2 3 2" xfId="23594" xr:uid="{0AB6CD97-0833-4BC5-9B07-84C0D4FED847}"/>
    <cellStyle name="Total 6 8 2 3 3" xfId="41595" xr:uid="{325409A5-8341-4CAB-9851-D97424A2832A}"/>
    <cellStyle name="Total 6 8 2 4" xfId="23595" xr:uid="{430D02B8-3606-4681-875D-4119B99ED378}"/>
    <cellStyle name="Total 6 8 2 4 2" xfId="23596" xr:uid="{20463D7C-27E2-47D8-84BF-99A5CFFEDA1F}"/>
    <cellStyle name="Total 6 8 2 4 3" xfId="41596" xr:uid="{5D506787-A67C-40DE-8A9D-EB953BFF91F6}"/>
    <cellStyle name="Total 6 8 2 5" xfId="23597" xr:uid="{3009E1E6-4406-4FE5-AABD-E9179F6D9BDA}"/>
    <cellStyle name="Total 6 8 2 5 2" xfId="23598" xr:uid="{1BD9F201-EEB6-4088-83D8-4CA4B630D748}"/>
    <cellStyle name="Total 6 8 2 5 3" xfId="41597" xr:uid="{D1F92EF8-AB80-40A0-8D48-47C5AB48236F}"/>
    <cellStyle name="Total 6 8 2 6" xfId="23599" xr:uid="{CA2AD0C1-CB01-44B8-8AF4-C01BA2191AC4}"/>
    <cellStyle name="Total 6 8 2 6 2" xfId="23600" xr:uid="{CE368EEA-32E0-4BAC-BD47-03C63247832D}"/>
    <cellStyle name="Total 6 8 2 6 3" xfId="41598" xr:uid="{06AFF6AF-AD7E-4195-9B5D-2D502D3FAA58}"/>
    <cellStyle name="Total 6 8 2 7" xfId="23601" xr:uid="{EEBBE202-9AA6-45EC-BF97-50F62ECC4370}"/>
    <cellStyle name="Total 6 8 2 7 2" xfId="23602" xr:uid="{9C4B8CA6-EF63-43B8-9366-D3203145F450}"/>
    <cellStyle name="Total 6 8 2 7 3" xfId="41599" xr:uid="{A3AFCCA7-46F5-4CAD-97CC-21118BC8FFA1}"/>
    <cellStyle name="Total 6 8 2 8" xfId="23603" xr:uid="{0F46BBAF-B8E2-4192-AC66-6F6B81C58861}"/>
    <cellStyle name="Total 6 8 2 8 2" xfId="23604" xr:uid="{2EDE8548-F52A-4342-BA53-53755F88FB56}"/>
    <cellStyle name="Total 6 8 2 8 3" xfId="41600" xr:uid="{DF89E743-4A58-42EA-80DC-255DDC483FFD}"/>
    <cellStyle name="Total 6 8 2 9" xfId="23605" xr:uid="{D9E576CF-1FB1-4AB9-ABE6-776FDF95D66C}"/>
    <cellStyle name="Total 6 8 2 9 2" xfId="41601" xr:uid="{093466E3-C621-4BEF-81A5-D8F5F1568EBC}"/>
    <cellStyle name="Total 6 8 2 9 3" xfId="41602" xr:uid="{CA95768F-0E9D-42F7-A52D-F0DACFFF3151}"/>
    <cellStyle name="Total 6 8 3" xfId="23606" xr:uid="{ADD396C1-443A-4BB9-8873-F295EFDEE21A}"/>
    <cellStyle name="Total 6 8 3 2" xfId="23607" xr:uid="{2FE4A457-023F-4D7E-8C6D-F15B310AAF1C}"/>
    <cellStyle name="Total 6 8 3 2 2" xfId="41603" xr:uid="{997D702C-0023-4F31-B6DC-9D29826F23C7}"/>
    <cellStyle name="Total 6 8 3 2 3" xfId="41604" xr:uid="{B57DA776-1A34-4554-9A91-24832F267EFB}"/>
    <cellStyle name="Total 6 8 3 2 4" xfId="41605" xr:uid="{97084ACD-233F-4DB6-8338-E2F88A34A921}"/>
    <cellStyle name="Total 6 8 3 3" xfId="23608" xr:uid="{76E3FF66-6298-4D39-A676-0633F5460704}"/>
    <cellStyle name="Total 6 8 3 3 2" xfId="23609" xr:uid="{B0155FCB-CDA2-4FDE-AAA7-C04483FAC651}"/>
    <cellStyle name="Total 6 8 3 4" xfId="23610" xr:uid="{24FCAD18-F979-4D26-88B8-0641E4D20C3C}"/>
    <cellStyle name="Total 6 8 3 5" xfId="41606" xr:uid="{4128D58A-B71A-4531-8C64-60C34B1E3812}"/>
    <cellStyle name="Total 6 8 4" xfId="23611" xr:uid="{3CB045FB-5D87-4873-A9B8-52281756AF18}"/>
    <cellStyle name="Total 6 8 4 2" xfId="23612" xr:uid="{D0840170-9098-49F1-8318-5A16BB975012}"/>
    <cellStyle name="Total 6 8 4 2 2" xfId="41607" xr:uid="{5A44FB1F-DD4F-4967-8D32-DC064A84C9A6}"/>
    <cellStyle name="Total 6 8 4 2 3" xfId="41608" xr:uid="{F418DA70-55EB-45DF-9B31-DF630F2E548C}"/>
    <cellStyle name="Total 6 8 4 3" xfId="23613" xr:uid="{3D32DD78-DAD0-4FD4-B627-3847B6FD061D}"/>
    <cellStyle name="Total 6 8 4 4" xfId="41609" xr:uid="{0B83C7E7-4639-44DC-8AC5-F16D531D4CB2}"/>
    <cellStyle name="Total 6 8 4 5" xfId="41610" xr:uid="{C0067656-D0C8-4BC6-AB7D-AB555F8996D9}"/>
    <cellStyle name="Total 6 8 5" xfId="23614" xr:uid="{A540041F-4795-419D-B320-3A885A87DFA2}"/>
    <cellStyle name="Total 6 8 5 2" xfId="23615" xr:uid="{64D80502-1A62-4B7D-B895-CA250F461DFD}"/>
    <cellStyle name="Total 6 8 5 2 2" xfId="41611" xr:uid="{74A65E58-F9C1-47C4-8E77-A8CF6C75E8B6}"/>
    <cellStyle name="Total 6 8 5 2 3" xfId="41612" xr:uid="{30C6A15D-BF38-4AD6-AB15-156CD72A002B}"/>
    <cellStyle name="Total 6 8 5 3" xfId="41613" xr:uid="{66023041-03E7-4BFF-B79C-47E5DA68F89E}"/>
    <cellStyle name="Total 6 8 5 4" xfId="41614" xr:uid="{51F28C2B-9AAC-4063-8BF3-F6C19525785E}"/>
    <cellStyle name="Total 6 8 6" xfId="23616" xr:uid="{D46AD2FC-D05E-483E-AD7D-D9CFA84F9E6E}"/>
    <cellStyle name="Total 6 8 6 2" xfId="23617" xr:uid="{5A0FC8C9-C6CF-4795-8519-4D9CB11F8C6B}"/>
    <cellStyle name="Total 6 8 6 3" xfId="41615" xr:uid="{4A4682E9-6206-496C-9D3F-CEBE5AAFDFDE}"/>
    <cellStyle name="Total 6 8 7" xfId="23618" xr:uid="{98A7E249-9414-4497-BB92-F3B2A1682D94}"/>
    <cellStyle name="Total 6 8 7 2" xfId="23619" xr:uid="{9FDD1497-86C9-4600-90C4-F0A47A991835}"/>
    <cellStyle name="Total 6 8 7 3" xfId="41616" xr:uid="{C714F537-5E05-4E87-90CA-5648C80D6110}"/>
    <cellStyle name="Total 6 8 8" xfId="23620" xr:uid="{9C043D6F-4CD0-4F80-A151-478C1093A09E}"/>
    <cellStyle name="Total 6 8 8 2" xfId="23621" xr:uid="{94369A82-874D-4082-9325-4FCBD8E4B86A}"/>
    <cellStyle name="Total 6 8 8 3" xfId="41617" xr:uid="{18AD3825-EE09-4565-BDA1-14B94D4F37DF}"/>
    <cellStyle name="Total 6 8 9" xfId="23622" xr:uid="{D11C6A31-A8B5-4455-87B6-623E62275541}"/>
    <cellStyle name="Total 6 8 9 2" xfId="23623" xr:uid="{A5C32616-92A4-44EF-BC4C-E816D7BE6DB2}"/>
    <cellStyle name="Total 6 8 9 3" xfId="41618" xr:uid="{EF33D20E-A70C-4D20-AA78-2C7FF03636CE}"/>
    <cellStyle name="Total 6 9" xfId="23624" xr:uid="{581610AB-889A-4DF5-B1D7-B383CB9BBE90}"/>
    <cellStyle name="Total 6 9 10" xfId="23625" xr:uid="{AFFB5E2B-1E7F-427F-A74E-14F5297761D7}"/>
    <cellStyle name="Total 6 9 10 2" xfId="41619" xr:uid="{C2EE144A-B06A-468F-BC6A-ED1A60A6876E}"/>
    <cellStyle name="Total 6 9 10 3" xfId="41620" xr:uid="{CE1D8E71-A1BE-4236-A182-4D9628F738EC}"/>
    <cellStyle name="Total 6 9 11" xfId="23626" xr:uid="{80B16DAE-03E9-4231-9E8A-FEEF473F2832}"/>
    <cellStyle name="Total 6 9 11 2" xfId="41621" xr:uid="{19AB6744-8B03-495E-8A6F-34D51B591D34}"/>
    <cellStyle name="Total 6 9 12" xfId="41622" xr:uid="{51483D8E-D51E-4E71-A8BD-223222F31F0C}"/>
    <cellStyle name="Total 6 9 2" xfId="23627" xr:uid="{08E52CB1-5B00-4281-896C-04F625A4DB40}"/>
    <cellStyle name="Total 6 9 2 10" xfId="23628" xr:uid="{F326E21E-1BC8-43E6-889C-260F4701808D}"/>
    <cellStyle name="Total 6 9 2 10 2" xfId="41623" xr:uid="{8A06EE10-6946-40C6-9E62-8854A93868DC}"/>
    <cellStyle name="Total 6 9 2 11" xfId="41624" xr:uid="{9266B775-0B63-4C4F-9000-48B4965ADB95}"/>
    <cellStyle name="Total 6 9 2 2" xfId="23629" xr:uid="{AAC3C8AA-C178-46E6-82D3-678ED88195B0}"/>
    <cellStyle name="Total 6 9 2 2 2" xfId="23630" xr:uid="{7E6AF888-E817-475D-823E-596EF8AC106A}"/>
    <cellStyle name="Total 6 9 2 2 2 2" xfId="41625" xr:uid="{6B8B6580-FB23-41F7-9E29-E9A991207D7B}"/>
    <cellStyle name="Total 6 9 2 2 2 3" xfId="41626" xr:uid="{D2DBCD28-F614-4AC3-A95B-A17D8E6219B8}"/>
    <cellStyle name="Total 6 9 2 2 3" xfId="23631" xr:uid="{F18C7C49-DAA0-43BF-92D6-FC1B6CBEEAE3}"/>
    <cellStyle name="Total 6 9 2 2 3 2" xfId="23632" xr:uid="{C9EEBC8F-8F94-477F-A34A-748DA6EB841B}"/>
    <cellStyle name="Total 6 9 2 2 4" xfId="23633" xr:uid="{D2C48E28-B1F8-4135-89CA-FA9F928DE58A}"/>
    <cellStyle name="Total 6 9 2 2 5" xfId="41627" xr:uid="{99EA2D5E-DA07-4A14-9B9E-3B96ADA05162}"/>
    <cellStyle name="Total 6 9 2 3" xfId="23634" xr:uid="{41A5214C-C915-4301-8172-EA07AB472BBD}"/>
    <cellStyle name="Total 6 9 2 3 2" xfId="23635" xr:uid="{311472BF-4FB3-4843-801E-2EEEFEE4A86C}"/>
    <cellStyle name="Total 6 9 2 3 3" xfId="41628" xr:uid="{37BA62D3-D83C-4109-A1FA-55355C5BB671}"/>
    <cellStyle name="Total 6 9 2 4" xfId="23636" xr:uid="{C6514A80-BCD4-4425-9478-2457B845545F}"/>
    <cellStyle name="Total 6 9 2 4 2" xfId="23637" xr:uid="{AF6E7DF2-F6C7-4C3B-9D90-746E3D57B714}"/>
    <cellStyle name="Total 6 9 2 4 3" xfId="41629" xr:uid="{6BBE3073-547C-4C2F-80F0-F36919DC3687}"/>
    <cellStyle name="Total 6 9 2 5" xfId="23638" xr:uid="{4DA31A0F-E9F3-4A34-87FA-9F4248098DDC}"/>
    <cellStyle name="Total 6 9 2 5 2" xfId="23639" xr:uid="{6FBB69F7-1D01-44F0-BB89-7F5610C3EE56}"/>
    <cellStyle name="Total 6 9 2 5 3" xfId="41630" xr:uid="{3B008A38-0E20-45B3-8F89-59C93D362A2D}"/>
    <cellStyle name="Total 6 9 2 6" xfId="23640" xr:uid="{99CFA6BC-6198-4A2F-BB12-9A9F207CA89A}"/>
    <cellStyle name="Total 6 9 2 6 2" xfId="23641" xr:uid="{3783DE38-BFDB-40C0-81E4-ACEF92F01720}"/>
    <cellStyle name="Total 6 9 2 6 3" xfId="41631" xr:uid="{45244E13-63D7-476F-ABF4-3E8ADC5C80C3}"/>
    <cellStyle name="Total 6 9 2 7" xfId="23642" xr:uid="{7B6567C0-9FB9-47D0-8336-9563C26058EF}"/>
    <cellStyle name="Total 6 9 2 7 2" xfId="23643" xr:uid="{AF38FD9B-C6A2-434A-84A6-972D7D923F9F}"/>
    <cellStyle name="Total 6 9 2 7 3" xfId="41632" xr:uid="{EE598D41-299D-4D6D-9F6E-A9A3AB826642}"/>
    <cellStyle name="Total 6 9 2 8" xfId="23644" xr:uid="{7CDA2C40-B059-4087-9BDB-08EF407B7907}"/>
    <cellStyle name="Total 6 9 2 8 2" xfId="23645" xr:uid="{6A4A9F5C-DA8E-402A-8855-03E920BE4608}"/>
    <cellStyle name="Total 6 9 2 8 3" xfId="41633" xr:uid="{B1A505E0-6FD8-49BC-BFFF-975F83A0DF0C}"/>
    <cellStyle name="Total 6 9 2 9" xfId="23646" xr:uid="{62DC2358-4F4B-4B3E-8011-9CBF0869DE88}"/>
    <cellStyle name="Total 6 9 2 9 2" xfId="41634" xr:uid="{3687E2FE-2CDC-4585-830A-4FDFC5EFC754}"/>
    <cellStyle name="Total 6 9 2 9 3" xfId="41635" xr:uid="{134A1D8A-220A-4220-801F-6AAEACA9B0D2}"/>
    <cellStyle name="Total 6 9 3" xfId="23647" xr:uid="{5F8EE069-BEF7-4D5D-BF0E-8154F6C1179A}"/>
    <cellStyle name="Total 6 9 3 2" xfId="23648" xr:uid="{E5C70E61-8BAE-44FA-B1F1-A54383C13612}"/>
    <cellStyle name="Total 6 9 3 2 2" xfId="41636" xr:uid="{7A3B7E8E-6555-401B-B781-AE5A21B14FDF}"/>
    <cellStyle name="Total 6 9 3 2 3" xfId="41637" xr:uid="{EB1A001F-3FE8-4A08-92FA-05E5FA50A0DD}"/>
    <cellStyle name="Total 6 9 3 2 4" xfId="41638" xr:uid="{F0F01821-00B0-4660-806E-1EE494B65D32}"/>
    <cellStyle name="Total 6 9 3 3" xfId="23649" xr:uid="{F27784BD-C746-43B2-8128-7F70A1AD1554}"/>
    <cellStyle name="Total 6 9 3 3 2" xfId="23650" xr:uid="{6C7901A7-C7D6-4797-99B5-48F93781A072}"/>
    <cellStyle name="Total 6 9 3 4" xfId="23651" xr:uid="{B4DD18DC-62B5-47CA-9C91-FDA57A851008}"/>
    <cellStyle name="Total 6 9 3 5" xfId="41639" xr:uid="{76F80BB5-D907-407E-AFBB-5F74A7420C12}"/>
    <cellStyle name="Total 6 9 4" xfId="23652" xr:uid="{D9F91DE5-D158-41F0-AA93-E4AB0C918AD9}"/>
    <cellStyle name="Total 6 9 4 2" xfId="23653" xr:uid="{9061B717-C171-4195-A4C8-6A243C564959}"/>
    <cellStyle name="Total 6 9 4 2 2" xfId="41640" xr:uid="{EE8139AB-E267-4CB2-986F-5554874E1CA7}"/>
    <cellStyle name="Total 6 9 4 2 3" xfId="41641" xr:uid="{4F04EE37-C0A7-4B17-A548-DD0286577982}"/>
    <cellStyle name="Total 6 9 4 3" xfId="23654" xr:uid="{EE713BA7-B3BD-4D93-8D65-184417AAD20C}"/>
    <cellStyle name="Total 6 9 4 4" xfId="41642" xr:uid="{3C94CF24-C0B8-463E-A91B-19ACE0D11CF9}"/>
    <cellStyle name="Total 6 9 4 5" xfId="41643" xr:uid="{0833F1E8-011B-4D73-892F-993C01DADD8A}"/>
    <cellStyle name="Total 6 9 5" xfId="23655" xr:uid="{E475ECFC-BA49-4839-8CDD-0A6A455F7691}"/>
    <cellStyle name="Total 6 9 5 2" xfId="23656" xr:uid="{3B0C3F70-3ECB-459A-B8F1-3AF77F0925AD}"/>
    <cellStyle name="Total 6 9 5 2 2" xfId="41644" xr:uid="{5F0C548D-9BCA-4F62-B540-07B31F87A331}"/>
    <cellStyle name="Total 6 9 5 2 3" xfId="41645" xr:uid="{83E7CEF7-640F-4636-A89D-3EF09D4B88AB}"/>
    <cellStyle name="Total 6 9 5 3" xfId="41646" xr:uid="{EC8901CD-55D1-404E-8A0D-49B125C3B021}"/>
    <cellStyle name="Total 6 9 5 4" xfId="41647" xr:uid="{A5209FEA-9A20-4BD7-96BD-F042E4104D14}"/>
    <cellStyle name="Total 6 9 6" xfId="23657" xr:uid="{BCAAB337-389F-4C03-904C-36B56B071A04}"/>
    <cellStyle name="Total 6 9 6 2" xfId="23658" xr:uid="{AEE56C05-2F12-4E6A-A852-6A8DFBFA9035}"/>
    <cellStyle name="Total 6 9 6 3" xfId="41648" xr:uid="{2DCFC2E4-34D3-4431-9BC1-D691A7373092}"/>
    <cellStyle name="Total 6 9 7" xfId="23659" xr:uid="{8A8C0950-5EA6-42F0-B4E0-E316F1E24D05}"/>
    <cellStyle name="Total 6 9 7 2" xfId="23660" xr:uid="{58B70611-93BE-41FD-82BF-DFB07137CDB9}"/>
    <cellStyle name="Total 6 9 7 3" xfId="41649" xr:uid="{CD35CAC8-22C2-442E-A7B3-F3C36F9A66AC}"/>
    <cellStyle name="Total 6 9 8" xfId="23661" xr:uid="{9D3364F3-CDA1-4238-A193-4E76C85E3170}"/>
    <cellStyle name="Total 6 9 8 2" xfId="23662" xr:uid="{27E2E95F-AB3A-4215-8CF1-A7BA0569B6E9}"/>
    <cellStyle name="Total 6 9 8 3" xfId="41650" xr:uid="{2D5221B9-A317-4040-83BD-B40AFD3772BE}"/>
    <cellStyle name="Total 6 9 9" xfId="23663" xr:uid="{C47A24C9-7900-440E-B940-EBD441D4EFF1}"/>
    <cellStyle name="Total 6 9 9 2" xfId="23664" xr:uid="{720907AA-12B7-4D07-AF7A-48DC72089C7C}"/>
    <cellStyle name="Total 6 9 9 3" xfId="41651" xr:uid="{68642AAF-9D23-4FB3-B02E-6096C8A4563C}"/>
    <cellStyle name="Total 7" xfId="23665" xr:uid="{653068E4-9632-4D24-BC85-2737746B9514}"/>
    <cellStyle name="Total 7 10" xfId="23666" xr:uid="{F7EA1FF7-600A-45A4-BC39-E5F449616E4A}"/>
    <cellStyle name="Total 7 10 2" xfId="41652" xr:uid="{D03E0AEC-E339-4FC8-A17D-08336BE90D71}"/>
    <cellStyle name="Total 7 10 3" xfId="41653" xr:uid="{723C32D6-D7D4-4290-972B-553B043397D7}"/>
    <cellStyle name="Total 7 11" xfId="23667" xr:uid="{4AA8CF81-0F4D-43F4-AA3A-54599EEC8ACA}"/>
    <cellStyle name="Total 7 11 2" xfId="41654" xr:uid="{9D742650-FBF9-4B94-AA6C-C4908EDE1919}"/>
    <cellStyle name="Total 7 12" xfId="41655" xr:uid="{E0015B32-32F1-43AA-A629-B6B2E5E5D218}"/>
    <cellStyle name="Total 7 2" xfId="23668" xr:uid="{9A57C038-71DF-476D-B87A-3856599D86ED}"/>
    <cellStyle name="Total 7 2 10" xfId="23669" xr:uid="{2E7FA854-222B-48A5-8826-5F7E2ADECD63}"/>
    <cellStyle name="Total 7 2 10 2" xfId="41656" xr:uid="{FB377979-399F-40EF-B151-3600094CC40C}"/>
    <cellStyle name="Total 7 2 11" xfId="41657" xr:uid="{2C941206-A5FC-4067-93B6-4196924FD5A5}"/>
    <cellStyle name="Total 7 2 2" xfId="23670" xr:uid="{A9C7C811-1CB8-4050-B5ED-086FCF849187}"/>
    <cellStyle name="Total 7 2 2 2" xfId="23671" xr:uid="{D49B9851-9D6E-4A8A-B698-0C8F32AD3FEB}"/>
    <cellStyle name="Total 7 2 2 2 2" xfId="41658" xr:uid="{C0CD2756-CACB-46BA-93CE-B7DD72E05D2F}"/>
    <cellStyle name="Total 7 2 2 2 3" xfId="41659" xr:uid="{706D23E3-41BC-4BC2-A505-B9A8B6CDAD75}"/>
    <cellStyle name="Total 7 2 2 3" xfId="23672" xr:uid="{CEE42306-C7BB-4DEB-BAE7-B241D8126C41}"/>
    <cellStyle name="Total 7 2 2 3 2" xfId="23673" xr:uid="{B6C49769-DA1C-420B-8C7B-B9D89E02E1B5}"/>
    <cellStyle name="Total 7 2 2 4" xfId="23674" xr:uid="{6AB4519A-EFA0-49E1-B86C-208D704354CC}"/>
    <cellStyle name="Total 7 2 2 5" xfId="41660" xr:uid="{872935E4-2C74-4F25-8FC2-142E9D802C0C}"/>
    <cellStyle name="Total 7 2 3" xfId="23675" xr:uid="{9DAA314B-C1B4-43A1-8269-41100E844CC8}"/>
    <cellStyle name="Total 7 2 3 2" xfId="23676" xr:uid="{803DCD82-E1FF-47A4-A198-58053CE5F4A2}"/>
    <cellStyle name="Total 7 2 3 3" xfId="41661" xr:uid="{044B8FB9-FFBB-4048-AF16-E3D56A0609A2}"/>
    <cellStyle name="Total 7 2 4" xfId="23677" xr:uid="{67E95393-8865-49E2-A1FE-F3B881A39670}"/>
    <cellStyle name="Total 7 2 4 2" xfId="23678" xr:uid="{21D42A2B-9998-47E7-8097-E387E16C2933}"/>
    <cellStyle name="Total 7 2 4 3" xfId="41662" xr:uid="{DFE5CAA1-FBA6-4738-81E1-EBDA2DFFE3BC}"/>
    <cellStyle name="Total 7 2 5" xfId="23679" xr:uid="{F74922BE-60C3-4470-A221-155842D67898}"/>
    <cellStyle name="Total 7 2 5 2" xfId="23680" xr:uid="{A3DB7EBE-41A1-4630-A9FB-4A4FFB447D28}"/>
    <cellStyle name="Total 7 2 5 3" xfId="41663" xr:uid="{8EDA27EC-7689-4DD0-A1CD-0C65B3D0778C}"/>
    <cellStyle name="Total 7 2 6" xfId="23681" xr:uid="{1495270C-8B64-4F98-B3B4-28B3E022D8E0}"/>
    <cellStyle name="Total 7 2 6 2" xfId="23682" xr:uid="{AEC96C30-062F-40E3-8372-F213B483B996}"/>
    <cellStyle name="Total 7 2 6 3" xfId="41664" xr:uid="{36D46374-90C1-486B-88F4-40542B984354}"/>
    <cellStyle name="Total 7 2 7" xfId="23683" xr:uid="{6B9451D6-F88F-409F-8C2A-44CBAC73F86B}"/>
    <cellStyle name="Total 7 2 7 2" xfId="23684" xr:uid="{5BB410E3-3D6A-4C22-9D64-219674F14B21}"/>
    <cellStyle name="Total 7 2 7 3" xfId="41665" xr:uid="{56023682-79F6-4171-AEF1-9CF7A171DB3E}"/>
    <cellStyle name="Total 7 2 8" xfId="23685" xr:uid="{BDB4C11F-9BE9-48CF-94AF-4618B0BE1003}"/>
    <cellStyle name="Total 7 2 8 2" xfId="23686" xr:uid="{2C0B0A5E-10AC-49BF-A96F-15B66802272C}"/>
    <cellStyle name="Total 7 2 8 3" xfId="41666" xr:uid="{A0FAF1A8-221C-41A1-A4C7-346AA777693D}"/>
    <cellStyle name="Total 7 2 9" xfId="23687" xr:uid="{C21DD37B-2AC1-4413-AA5D-BB31C6E89B39}"/>
    <cellStyle name="Total 7 2 9 2" xfId="41667" xr:uid="{EC1614BC-9FA3-4E16-BE23-83E7E1A220CA}"/>
    <cellStyle name="Total 7 2 9 3" xfId="41668" xr:uid="{59E0032B-381A-47C1-8493-F68EBFEE7FCF}"/>
    <cellStyle name="Total 7 3" xfId="23688" xr:uid="{90F548D7-F331-424A-80E6-5B494AD4981F}"/>
    <cellStyle name="Total 7 3 2" xfId="23689" xr:uid="{234E5E2C-880C-4011-B9A8-1863A92BFD87}"/>
    <cellStyle name="Total 7 3 2 2" xfId="41669" xr:uid="{2047107F-CEE1-4722-BB05-34E78112931C}"/>
    <cellStyle name="Total 7 3 2 3" xfId="41670" xr:uid="{50ACDED4-9042-4EC3-BE84-D01C940BFF10}"/>
    <cellStyle name="Total 7 3 2 4" xfId="41671" xr:uid="{581442CE-826E-4FF4-9C8D-EE41D4F686BE}"/>
    <cellStyle name="Total 7 3 3" xfId="23690" xr:uid="{0B54F659-7321-4B7E-BD7D-69077A596470}"/>
    <cellStyle name="Total 7 3 3 2" xfId="23691" xr:uid="{3B679267-70E2-4986-89D4-59841FCF6085}"/>
    <cellStyle name="Total 7 3 4" xfId="23692" xr:uid="{AC77410B-F974-4678-A802-A2A5439DE3C1}"/>
    <cellStyle name="Total 7 3 5" xfId="41672" xr:uid="{F91E0FB5-4A17-49F7-B8F1-E463778C5875}"/>
    <cellStyle name="Total 7 4" xfId="23693" xr:uid="{98DD894C-AE5E-49B6-9066-ABF7907F76E8}"/>
    <cellStyle name="Total 7 4 2" xfId="23694" xr:uid="{60746753-84DF-4D2A-86F0-A735CFEFBCEB}"/>
    <cellStyle name="Total 7 4 2 2" xfId="41673" xr:uid="{B9B54E80-10CE-48AA-9699-F40C37A24CE4}"/>
    <cellStyle name="Total 7 4 2 3" xfId="41674" xr:uid="{0C9062ED-B475-4F3D-9A53-43C28DD6964A}"/>
    <cellStyle name="Total 7 4 3" xfId="23695" xr:uid="{6578507E-873E-448B-B53E-934C3F373554}"/>
    <cellStyle name="Total 7 4 4" xfId="41675" xr:uid="{388D77A8-EF39-4766-A520-0B333318B9D4}"/>
    <cellStyle name="Total 7 4 5" xfId="41676" xr:uid="{4DA803BE-E890-45CB-BDE4-9CCCC8C663BC}"/>
    <cellStyle name="Total 7 5" xfId="23696" xr:uid="{FE9E7D94-629F-4975-85CC-7A32A73DA22B}"/>
    <cellStyle name="Total 7 5 2" xfId="23697" xr:uid="{C4D9519B-F9DA-4C91-AD09-F1A41DA5BD80}"/>
    <cellStyle name="Total 7 5 2 2" xfId="41677" xr:uid="{6151B852-FFCF-49EA-AEAA-510C72E444D4}"/>
    <cellStyle name="Total 7 5 2 3" xfId="41678" xr:uid="{C1505EE2-8682-425E-AC91-0A0EDC02C505}"/>
    <cellStyle name="Total 7 5 3" xfId="41679" xr:uid="{F3485E31-BC25-48DC-A0FD-DF3922E7B586}"/>
    <cellStyle name="Total 7 5 4" xfId="41680" xr:uid="{DF5A7EF5-1D48-41BE-9988-E45E655A45BE}"/>
    <cellStyle name="Total 7 6" xfId="23698" xr:uid="{1D43D2B3-5ADD-434F-BBAB-03100B5F9045}"/>
    <cellStyle name="Total 7 6 2" xfId="23699" xr:uid="{1EE50887-8FCC-4D30-962E-2C44FD23D5C7}"/>
    <cellStyle name="Total 7 6 3" xfId="41681" xr:uid="{B8B67240-7FFA-4FA5-8880-3C05AA8BA79B}"/>
    <cellStyle name="Total 7 7" xfId="23700" xr:uid="{3BEB6DD3-42C1-4615-9300-9D2DB38FF3B8}"/>
    <cellStyle name="Total 7 7 2" xfId="23701" xr:uid="{8560383E-60E8-4FA9-AA3B-BF10DF59BDBB}"/>
    <cellStyle name="Total 7 7 3" xfId="41682" xr:uid="{193B097D-506F-4084-99C5-8B5C3E107056}"/>
    <cellStyle name="Total 7 8" xfId="23702" xr:uid="{A40E5AB2-20C8-40ED-95EF-4D9A20195A1B}"/>
    <cellStyle name="Total 7 8 2" xfId="23703" xr:uid="{2280C67F-6894-4CF9-895A-272A99AF5B60}"/>
    <cellStyle name="Total 7 8 3" xfId="41683" xr:uid="{39E5F547-BF39-4239-8485-F18D8FE5EFDA}"/>
    <cellStyle name="Total 7 9" xfId="23704" xr:uid="{8E6F8018-5FC1-4401-85A9-113A302C33CB}"/>
    <cellStyle name="Total 7 9 2" xfId="23705" xr:uid="{7FCAE958-33D8-4DEC-8103-7D4E5D56C7A0}"/>
    <cellStyle name="Total 7 9 3" xfId="41684" xr:uid="{8EFA4E52-4BB4-450C-B3F3-4CDF43C3AA11}"/>
    <cellStyle name="Total 8" xfId="23706" xr:uid="{2E1C4D84-5528-46D9-98B1-16FF925D58AE}"/>
    <cellStyle name="Total 8 10" xfId="23707" xr:uid="{9C996D3D-F97C-4DA0-9200-586013C47A5D}"/>
    <cellStyle name="Total 8 10 2" xfId="41685" xr:uid="{EFDDD758-C1D1-4ADD-84EA-F246AEBF6AAA}"/>
    <cellStyle name="Total 8 10 3" xfId="41686" xr:uid="{39982EED-D7C2-43FB-9BCA-4A8C0D38F2B6}"/>
    <cellStyle name="Total 8 11" xfId="23708" xr:uid="{A849E25A-E7FD-4FB6-A08A-0EC963ADA6B0}"/>
    <cellStyle name="Total 8 11 2" xfId="41687" xr:uid="{CC4191A2-4B57-4096-AB92-EFA7BC27F428}"/>
    <cellStyle name="Total 8 12" xfId="41688" xr:uid="{39C7E98C-68E8-41FE-AED9-00BFFBA5253A}"/>
    <cellStyle name="Total 8 2" xfId="23709" xr:uid="{D3EA133A-3E6F-4CFB-BBD9-0D4962C32EF1}"/>
    <cellStyle name="Total 8 2 10" xfId="23710" xr:uid="{E89B92B6-E119-469B-9A46-B06F1FBE0372}"/>
    <cellStyle name="Total 8 2 10 2" xfId="41689" xr:uid="{73021CFA-951B-469E-ACBE-670EA628026E}"/>
    <cellStyle name="Total 8 2 11" xfId="41690" xr:uid="{C541857D-DED1-4B39-9EB1-B5D494E3B196}"/>
    <cellStyle name="Total 8 2 2" xfId="23711" xr:uid="{D06F081E-A881-4E48-9BCB-607F89441016}"/>
    <cellStyle name="Total 8 2 2 2" xfId="23712" xr:uid="{698D89CB-3F56-4A42-9DAF-624D3FEA779B}"/>
    <cellStyle name="Total 8 2 2 2 2" xfId="41691" xr:uid="{1BA6FEBC-588A-4F64-ADE6-A7E4104E1270}"/>
    <cellStyle name="Total 8 2 2 2 3" xfId="41692" xr:uid="{589CDF13-4609-4601-A88D-EDBDA2989C1A}"/>
    <cellStyle name="Total 8 2 2 3" xfId="23713" xr:uid="{9D4E445C-1BDB-4D0C-881A-7D7F6A0A2D02}"/>
    <cellStyle name="Total 8 2 2 3 2" xfId="23714" xr:uid="{CE31FD92-1F40-4942-AF2A-4EDFA6FA5B6A}"/>
    <cellStyle name="Total 8 2 2 4" xfId="23715" xr:uid="{4C611FC6-3FB8-4207-9B2E-3B20BFE13924}"/>
    <cellStyle name="Total 8 2 2 5" xfId="41693" xr:uid="{5E08EB71-1466-4BD3-BFC7-9635842C2FDF}"/>
    <cellStyle name="Total 8 2 3" xfId="23716" xr:uid="{006F22F0-E9E6-468A-92B8-F65429667622}"/>
    <cellStyle name="Total 8 2 3 2" xfId="23717" xr:uid="{8D50740A-399D-40AC-8E72-C9082D63667E}"/>
    <cellStyle name="Total 8 2 3 3" xfId="41694" xr:uid="{1674B232-84AE-43F4-9C32-B5A1BBDC2A15}"/>
    <cellStyle name="Total 8 2 4" xfId="23718" xr:uid="{E0FC0A26-6395-41DC-B604-E65E0FF06FCA}"/>
    <cellStyle name="Total 8 2 4 2" xfId="23719" xr:uid="{6C1C5AFA-DADA-4CF0-A6BE-041BFBBCCAAD}"/>
    <cellStyle name="Total 8 2 4 3" xfId="41695" xr:uid="{63A2D2AA-2FB7-4F9E-AB04-F39C1A679E2C}"/>
    <cellStyle name="Total 8 2 5" xfId="23720" xr:uid="{2CE9E7E5-1184-42D6-9AC4-E3AC34264E50}"/>
    <cellStyle name="Total 8 2 5 2" xfId="23721" xr:uid="{F5E27468-01A3-4402-B428-8FF4F4E11DD6}"/>
    <cellStyle name="Total 8 2 5 3" xfId="41696" xr:uid="{975D1E98-3A91-40C4-829E-EBBFF99A0CA0}"/>
    <cellStyle name="Total 8 2 6" xfId="23722" xr:uid="{54F9A189-CF80-422D-B6B7-13AE8353BCEB}"/>
    <cellStyle name="Total 8 2 6 2" xfId="23723" xr:uid="{0C2E396B-28D3-4192-8BAF-DEF0DDA93E0B}"/>
    <cellStyle name="Total 8 2 6 3" xfId="41697" xr:uid="{C0AA2455-4132-420C-BCC8-91C4F54AA86D}"/>
    <cellStyle name="Total 8 2 7" xfId="23724" xr:uid="{9042CE2B-4CDB-4986-8CCC-072845426E32}"/>
    <cellStyle name="Total 8 2 7 2" xfId="23725" xr:uid="{8080B1A5-6353-4B9B-AFDF-14D80E01A33E}"/>
    <cellStyle name="Total 8 2 7 3" xfId="41698" xr:uid="{08A72C78-05B5-4B7D-A2D2-9F3B50EFBCE5}"/>
    <cellStyle name="Total 8 2 8" xfId="23726" xr:uid="{0F883BB1-0C4B-47F1-9DCF-CAA6BB0441FA}"/>
    <cellStyle name="Total 8 2 8 2" xfId="23727" xr:uid="{AE69D248-1AE7-4BC6-A1BA-67E51ACF58BC}"/>
    <cellStyle name="Total 8 2 8 3" xfId="41699" xr:uid="{E52FACAB-8380-4C2B-887C-78D387E397EA}"/>
    <cellStyle name="Total 8 2 9" xfId="23728" xr:uid="{9C3887A0-2B43-480E-865E-288B28782E82}"/>
    <cellStyle name="Total 8 2 9 2" xfId="41700" xr:uid="{FB135A87-1BD4-4216-9533-2E4B3C1C165B}"/>
    <cellStyle name="Total 8 2 9 3" xfId="41701" xr:uid="{FD0B9F8D-2BA9-43D1-936B-F7EA9B3506DF}"/>
    <cellStyle name="Total 8 3" xfId="23729" xr:uid="{E9876E43-D493-4203-9390-975C209F3F7F}"/>
    <cellStyle name="Total 8 3 2" xfId="23730" xr:uid="{4E2D4D3F-84DB-4892-87D4-EE48358D7673}"/>
    <cellStyle name="Total 8 3 2 2" xfId="41702" xr:uid="{74D328EE-9305-4368-B507-CF714D979245}"/>
    <cellStyle name="Total 8 3 2 3" xfId="41703" xr:uid="{FBA42ED0-3959-470D-B016-C85CB57FBBC9}"/>
    <cellStyle name="Total 8 3 2 4" xfId="41704" xr:uid="{B40906B5-1A7B-42C7-A6D2-5ED40FB269FA}"/>
    <cellStyle name="Total 8 3 3" xfId="23731" xr:uid="{40E11472-2FA3-413E-86F7-4A3FDFD0B8E7}"/>
    <cellStyle name="Total 8 3 3 2" xfId="23732" xr:uid="{E3B85D1F-B7A1-47C1-8145-4DE618D647C3}"/>
    <cellStyle name="Total 8 3 4" xfId="23733" xr:uid="{FC54B3B4-2B5D-4B6D-9247-5AE786FA8AC0}"/>
    <cellStyle name="Total 8 3 5" xfId="41705" xr:uid="{2482A5C8-57E1-44E5-AB8C-D3E052B75272}"/>
    <cellStyle name="Total 8 4" xfId="23734" xr:uid="{B1C77377-955B-491F-92AC-662EF82C9FEB}"/>
    <cellStyle name="Total 8 4 2" xfId="23735" xr:uid="{C8513B79-250F-4AA7-AF2D-440BBB724B0C}"/>
    <cellStyle name="Total 8 4 2 2" xfId="41706" xr:uid="{A72107F1-CE39-4D43-B1FA-8EC6AAF49BA6}"/>
    <cellStyle name="Total 8 4 2 3" xfId="41707" xr:uid="{9E74E890-0D1D-4EAE-9C6C-36C94BF862D2}"/>
    <cellStyle name="Total 8 4 3" xfId="23736" xr:uid="{33A06B74-D54D-411E-95D7-98F5D4F31D6B}"/>
    <cellStyle name="Total 8 4 4" xfId="41708" xr:uid="{A47E2E1D-4132-4EBD-B452-C9B4D5053950}"/>
    <cellStyle name="Total 8 4 5" xfId="41709" xr:uid="{592D58D7-8F87-4521-8ACE-754A8099A165}"/>
    <cellStyle name="Total 8 5" xfId="23737" xr:uid="{9A703198-9619-4B00-B64B-D17D35F4862B}"/>
    <cellStyle name="Total 8 5 2" xfId="23738" xr:uid="{1C8BE72C-DDA4-4C0C-8349-8B011929EC89}"/>
    <cellStyle name="Total 8 5 2 2" xfId="41710" xr:uid="{C8E9FF01-59C7-45CC-8103-38469131742F}"/>
    <cellStyle name="Total 8 5 2 3" xfId="41711" xr:uid="{0A5E386C-132A-4275-9EE5-AF337650744D}"/>
    <cellStyle name="Total 8 5 3" xfId="41712" xr:uid="{7F41EE7B-0C8C-4838-B34B-F70CA8D58BAF}"/>
    <cellStyle name="Total 8 5 4" xfId="41713" xr:uid="{149B156B-D9D9-475D-82F2-C48776562062}"/>
    <cellStyle name="Total 8 6" xfId="23739" xr:uid="{329437BE-4829-4217-871A-F8CCF79AEA09}"/>
    <cellStyle name="Total 8 6 2" xfId="23740" xr:uid="{EDEC1644-DB7B-4321-BE49-317FBF1D5008}"/>
    <cellStyle name="Total 8 6 3" xfId="41714" xr:uid="{FE0DC9BE-18EA-4A59-93BF-2EB01E84C597}"/>
    <cellStyle name="Total 8 7" xfId="23741" xr:uid="{AC233199-8665-43DD-B8D4-FB082FC4D3CB}"/>
    <cellStyle name="Total 8 7 2" xfId="23742" xr:uid="{FAFB2AC9-5007-4D25-BBAC-87726A84CD86}"/>
    <cellStyle name="Total 8 7 3" xfId="41715" xr:uid="{6B1D1277-0686-49BC-AFFE-B0230E9216A2}"/>
    <cellStyle name="Total 8 8" xfId="23743" xr:uid="{E01B0503-DC2D-4149-9EA1-44A162A3A62F}"/>
    <cellStyle name="Total 8 8 2" xfId="23744" xr:uid="{454770F4-929A-4101-BB83-1EA688B6D060}"/>
    <cellStyle name="Total 8 8 3" xfId="41716" xr:uid="{47EB652C-0228-4070-A47E-E137D0221C9C}"/>
    <cellStyle name="Total 8 9" xfId="23745" xr:uid="{12EBC26C-F075-4EA0-A35D-C24D7883CD69}"/>
    <cellStyle name="Total 8 9 2" xfId="23746" xr:uid="{5BA07500-140F-424D-9EF9-CADD36AE3596}"/>
    <cellStyle name="Total 8 9 3" xfId="41717" xr:uid="{BFA65AD8-6718-4D71-97A5-FC144DA512FC}"/>
    <cellStyle name="Total 9" xfId="23747" xr:uid="{A077AEBC-B604-4708-BE64-BE8BCE400E8B}"/>
    <cellStyle name="Total 9 10" xfId="23748" xr:uid="{50CE910F-35DE-40FE-8E7F-995D0B867737}"/>
    <cellStyle name="Total 9 10 2" xfId="41718" xr:uid="{3E4A6902-93B9-468F-852F-AECD6CD04790}"/>
    <cellStyle name="Total 9 10 3" xfId="41719" xr:uid="{A2E264BA-5F0D-44A6-8C9F-63DADDB4E5C8}"/>
    <cellStyle name="Total 9 11" xfId="23749" xr:uid="{050AD169-85DA-4F93-9155-5BD3D8B7A387}"/>
    <cellStyle name="Total 9 11 2" xfId="41720" xr:uid="{6721946A-CF37-48B3-9DED-18464B6968BE}"/>
    <cellStyle name="Total 9 12" xfId="41721" xr:uid="{CAAAEC03-226E-410E-8174-57B2B36CB74D}"/>
    <cellStyle name="Total 9 2" xfId="23750" xr:uid="{FA4DA3ED-90DE-40F1-911A-165D53EBE17C}"/>
    <cellStyle name="Total 9 2 10" xfId="23751" xr:uid="{7AEA1C9D-6D73-4FB2-8600-214EA73A0622}"/>
    <cellStyle name="Total 9 2 10 2" xfId="41722" xr:uid="{1E09BB30-2B62-49E9-A2CC-6E04F0540A1D}"/>
    <cellStyle name="Total 9 2 11" xfId="41723" xr:uid="{F96CB451-A959-4B13-A97F-BDEF80DD0712}"/>
    <cellStyle name="Total 9 2 2" xfId="23752" xr:uid="{FD3B3D0C-EB02-4336-BB64-2E32004BFC4D}"/>
    <cellStyle name="Total 9 2 2 2" xfId="23753" xr:uid="{E52A64F1-377D-4B18-B433-B59C5925C8CD}"/>
    <cellStyle name="Total 9 2 2 2 2" xfId="41724" xr:uid="{628DF9F3-31FF-46B0-9F48-A43A80E96114}"/>
    <cellStyle name="Total 9 2 2 2 3" xfId="41725" xr:uid="{30FF0168-A203-4526-8640-D4DBF4B81DBF}"/>
    <cellStyle name="Total 9 2 2 3" xfId="23754" xr:uid="{D4FF7875-3411-443A-AAB3-3879DEE77253}"/>
    <cellStyle name="Total 9 2 2 3 2" xfId="23755" xr:uid="{9F7C8730-BDBD-449D-A9E3-31C5367CC949}"/>
    <cellStyle name="Total 9 2 2 4" xfId="23756" xr:uid="{4EF7C94A-0A87-4E5A-B2F8-CF16BACF7B7A}"/>
    <cellStyle name="Total 9 2 2 5" xfId="41726" xr:uid="{878E61F8-0A9A-43CE-82BD-2714A32ECF90}"/>
    <cellStyle name="Total 9 2 3" xfId="23757" xr:uid="{361C3992-0397-4CC4-9C3A-6B3BD3D8AFF5}"/>
    <cellStyle name="Total 9 2 3 2" xfId="23758" xr:uid="{10B3B0FE-2930-4B3A-B6B8-529D809A88FD}"/>
    <cellStyle name="Total 9 2 3 3" xfId="41727" xr:uid="{2BB2782A-AEBC-4231-8B5C-0D5ECD3DCF90}"/>
    <cellStyle name="Total 9 2 4" xfId="23759" xr:uid="{7A397474-183D-46D8-ADC4-FB389D4D5374}"/>
    <cellStyle name="Total 9 2 4 2" xfId="23760" xr:uid="{6148CB64-15B9-4A04-96B4-11FBF3633DA9}"/>
    <cellStyle name="Total 9 2 4 3" xfId="41728" xr:uid="{56A39CAC-C5A4-4FA2-830E-507FCB1F9FDD}"/>
    <cellStyle name="Total 9 2 5" xfId="23761" xr:uid="{EB5D311A-07D2-4C60-BBE1-1136929110F8}"/>
    <cellStyle name="Total 9 2 5 2" xfId="23762" xr:uid="{7EC96C5C-093D-4C68-9414-9CC097F43C4D}"/>
    <cellStyle name="Total 9 2 5 3" xfId="41729" xr:uid="{C725AA64-0E31-48BB-8AED-2F441BE8EE1B}"/>
    <cellStyle name="Total 9 2 6" xfId="23763" xr:uid="{DA16626B-6667-4F82-A19C-AD3A3DCF7C8E}"/>
    <cellStyle name="Total 9 2 6 2" xfId="23764" xr:uid="{98A020B9-AB92-45F8-B06C-3D070A1FFBE1}"/>
    <cellStyle name="Total 9 2 6 3" xfId="41730" xr:uid="{2DBA1671-3877-4CDA-B9E6-FDAEC0A17FD1}"/>
    <cellStyle name="Total 9 2 7" xfId="23765" xr:uid="{3AA1AE8C-3EFA-49D9-A801-FC6830094BB9}"/>
    <cellStyle name="Total 9 2 7 2" xfId="23766" xr:uid="{23C5CD6D-DE6C-4B65-9A7D-4A6B82421E5E}"/>
    <cellStyle name="Total 9 2 7 3" xfId="41731" xr:uid="{35DCFEB6-C3DD-4BD0-9E56-8778F9175CF0}"/>
    <cellStyle name="Total 9 2 8" xfId="23767" xr:uid="{CA6F1E05-E644-4680-9A07-DFDBB940DC3B}"/>
    <cellStyle name="Total 9 2 8 2" xfId="23768" xr:uid="{DF6BF348-C5A8-43DB-A47A-889C9D4FBE08}"/>
    <cellStyle name="Total 9 2 8 3" xfId="41732" xr:uid="{40CDCF08-9B9F-4A63-85D8-35BD0A3E602A}"/>
    <cellStyle name="Total 9 2 9" xfId="23769" xr:uid="{92D7D02A-7DC1-40C8-AEBB-9275D87761AB}"/>
    <cellStyle name="Total 9 2 9 2" xfId="41733" xr:uid="{AB3191A3-B23C-4242-A9FC-3DBE1EC1FB3D}"/>
    <cellStyle name="Total 9 2 9 3" xfId="41734" xr:uid="{76AE1A7C-D6CE-4B12-A197-252B3170919D}"/>
    <cellStyle name="Total 9 3" xfId="23770" xr:uid="{A618B2ED-1D05-43A9-99AC-120D04A1C69A}"/>
    <cellStyle name="Total 9 3 2" xfId="23771" xr:uid="{E66ECF51-38C8-4C38-958B-5ED7D2EE3281}"/>
    <cellStyle name="Total 9 3 2 2" xfId="41735" xr:uid="{1363A9F9-6CA5-4E17-845D-414ABCE93CE8}"/>
    <cellStyle name="Total 9 3 2 3" xfId="41736" xr:uid="{3754BE25-9CEB-4EF2-90F1-B0F05AE4AEBD}"/>
    <cellStyle name="Total 9 3 2 4" xfId="41737" xr:uid="{F0E3DD29-B772-4401-82EC-DB3A607036E9}"/>
    <cellStyle name="Total 9 3 3" xfId="23772" xr:uid="{CA8272C8-5008-4329-BA97-E2F7E4CD3EDE}"/>
    <cellStyle name="Total 9 3 3 2" xfId="23773" xr:uid="{1E444CE4-BADF-41D9-8436-3D6753E04FF5}"/>
    <cellStyle name="Total 9 3 4" xfId="23774" xr:uid="{9C40A5DB-4D8A-454A-8829-1E1BE7A91EEB}"/>
    <cellStyle name="Total 9 3 5" xfId="41738" xr:uid="{33CB3739-2536-493E-AFD8-C60952B3AFEE}"/>
    <cellStyle name="Total 9 4" xfId="23775" xr:uid="{E5A6BAEA-D3DD-4DC9-A9A8-5EB3BE66F7AA}"/>
    <cellStyle name="Total 9 4 2" xfId="23776" xr:uid="{D27404E3-AD93-420C-87D4-13DC08BF2D45}"/>
    <cellStyle name="Total 9 4 2 2" xfId="41739" xr:uid="{F08773A2-E984-4330-AD0A-41E9A983D013}"/>
    <cellStyle name="Total 9 4 2 3" xfId="41740" xr:uid="{786045AA-08AC-4B41-9264-AB62796DB0B2}"/>
    <cellStyle name="Total 9 4 3" xfId="23777" xr:uid="{E683236F-73BD-4653-B116-945DD12D01F2}"/>
    <cellStyle name="Total 9 4 4" xfId="41741" xr:uid="{6508310D-BF36-4559-9935-DE730150072A}"/>
    <cellStyle name="Total 9 4 5" xfId="41742" xr:uid="{F2C0E4E5-985E-454D-8BE5-6851A8A29ADB}"/>
    <cellStyle name="Total 9 5" xfId="23778" xr:uid="{8D526685-1CBA-4D96-A75A-820FE4D7CA50}"/>
    <cellStyle name="Total 9 5 2" xfId="23779" xr:uid="{68CD210C-07C9-439E-B328-E87381567311}"/>
    <cellStyle name="Total 9 5 2 2" xfId="41743" xr:uid="{71E2E2B2-FE9A-4743-AB85-E9DDFDFAB2FC}"/>
    <cellStyle name="Total 9 5 2 3" xfId="41744" xr:uid="{A9FFDE0E-A828-474A-95AE-E24868DDCBEB}"/>
    <cellStyle name="Total 9 5 3" xfId="41745" xr:uid="{F5CFCF44-1040-4BCE-9EA8-428D82941E16}"/>
    <cellStyle name="Total 9 5 4" xfId="41746" xr:uid="{2759CC61-24E5-4C8E-B331-E381D27AE63A}"/>
    <cellStyle name="Total 9 6" xfId="23780" xr:uid="{8676B0E9-67A4-478D-8583-1EEDA45BA663}"/>
    <cellStyle name="Total 9 6 2" xfId="23781" xr:uid="{FEDDBF00-2582-4FC0-96C8-9D23E7486DD3}"/>
    <cellStyle name="Total 9 6 3" xfId="41747" xr:uid="{456B37D4-0CC1-4549-BF54-D70C5FC18C60}"/>
    <cellStyle name="Total 9 7" xfId="23782" xr:uid="{541004E8-A73C-49D1-BED5-3D34C8AA40BF}"/>
    <cellStyle name="Total 9 7 2" xfId="23783" xr:uid="{7925CF1F-6EC5-4505-B7E3-1DA1623C1665}"/>
    <cellStyle name="Total 9 7 3" xfId="41748" xr:uid="{95E997A4-F716-407D-B0A2-9648960BC0F7}"/>
    <cellStyle name="Total 9 8" xfId="23784" xr:uid="{8A170B0D-773F-4028-849E-695C4274E697}"/>
    <cellStyle name="Total 9 8 2" xfId="23785" xr:uid="{345EEA83-0C8F-4F9E-A2C6-04E9923149AA}"/>
    <cellStyle name="Total 9 8 3" xfId="41749" xr:uid="{44E8DBBA-483A-4995-BA43-387E7D3FC8EE}"/>
    <cellStyle name="Total 9 9" xfId="23786" xr:uid="{213E3ABF-1C9F-4E90-BB32-2E4415ABB605}"/>
    <cellStyle name="Total 9 9 2" xfId="23787" xr:uid="{F8643876-41AA-4456-9DEF-7725ADC0B6D3}"/>
    <cellStyle name="Total 9 9 3" xfId="41750" xr:uid="{A0BEFC44-3538-4D39-B04C-22C1B55EE44F}"/>
    <cellStyle name="Totale 10" xfId="23789" xr:uid="{252736F7-EED8-4C7D-BD63-7CDA5A949889}"/>
    <cellStyle name="Totale 11" xfId="23790" xr:uid="{DAC57F4B-00DF-4B45-AAD0-B3F01558EEE5}"/>
    <cellStyle name="Totale 2" xfId="23791" xr:uid="{5327F18E-DEFD-4789-B1D3-CD07BAF69639}"/>
    <cellStyle name="Totale 2 2" xfId="23792" xr:uid="{A35B993D-E069-41C9-89EB-8994F888B22B}"/>
    <cellStyle name="Totale 2 3" xfId="41751" xr:uid="{AFCC8DFB-2A84-4B16-BF1A-3CAC495E59EB}"/>
    <cellStyle name="Totale 3" xfId="23793" xr:uid="{5CE3F169-D3D9-40C1-BAC9-5CF3BEF77EAB}"/>
    <cellStyle name="Totale 3 2" xfId="23794" xr:uid="{7A6AD100-C283-49FD-B30B-65C3975913DE}"/>
    <cellStyle name="Totale 3 3" xfId="23795" xr:uid="{19991E35-8C92-41DA-A3A7-D9C8E290015E}"/>
    <cellStyle name="Totale 4" xfId="23796" xr:uid="{D485E0CA-2D8B-459B-9C62-E4385CF4E414}"/>
    <cellStyle name="Totale 4 2" xfId="23797" xr:uid="{CEF0FC1B-4A1D-4F05-8FBE-FB672CE59F34}"/>
    <cellStyle name="Totale 4 3" xfId="41752" xr:uid="{DF810B23-C47C-49BA-90E5-200CA2360D1D}"/>
    <cellStyle name="Totale 5" xfId="23798" xr:uid="{263EF398-FB6B-4B1C-A071-2A69A31A3DEF}"/>
    <cellStyle name="Totale 5 2" xfId="23799" xr:uid="{CCE0D133-491B-4406-B603-7668318C159F}"/>
    <cellStyle name="Totale 5 3" xfId="41753" xr:uid="{EF4A3B59-2E27-4B81-AE2F-F25228562CD1}"/>
    <cellStyle name="Totale 6" xfId="23800" xr:uid="{6C858B95-74E3-4C5D-AA5B-05C37846AEF4}"/>
    <cellStyle name="Totale 6 2" xfId="23801" xr:uid="{B180A3FD-5CBE-427C-9910-09AEC918891B}"/>
    <cellStyle name="Totale 6 3" xfId="41754" xr:uid="{988A208C-C689-41CB-B6FD-B0C843610125}"/>
    <cellStyle name="Totale 7" xfId="23802" xr:uid="{986C3DCE-5277-4742-B907-2EE3FC025313}"/>
    <cellStyle name="Totale 7 2" xfId="23803" xr:uid="{1061EAAD-8A1E-4C2D-B8FA-94C67ED88BA9}"/>
    <cellStyle name="Totale 7 3" xfId="41755" xr:uid="{1748AD0A-C27E-4BED-9A3E-C2D4ACAC78BA}"/>
    <cellStyle name="Totale 8" xfId="23804" xr:uid="{4E90D11C-8F4B-4914-8FD5-4486B6E7189C}"/>
    <cellStyle name="Totale 8 2" xfId="23805" xr:uid="{01253C03-FD88-4045-A5F0-D1474D74C862}"/>
    <cellStyle name="Totale 8 3" xfId="41756" xr:uid="{0A4EB755-7F50-486C-A8D0-133072349E56}"/>
    <cellStyle name="Totale 9" xfId="23806" xr:uid="{70E4D554-1703-4501-B7FF-ACB07FB9E771}"/>
    <cellStyle name="Überschrift" xfId="23807" xr:uid="{808E0174-1698-4578-8F31-A6449ADE3912}"/>
    <cellStyle name="Überschrift 1" xfId="23808" xr:uid="{49955AA5-EB86-4911-8A5E-4A88E847C97F}"/>
    <cellStyle name="Überschrift 1 2" xfId="41757" xr:uid="{43E7DD1A-F330-4D21-B36B-1ECAA12C31A5}"/>
    <cellStyle name="Überschrift 2" xfId="23809" xr:uid="{85207BE1-02A4-4D3E-BE4B-4B6C92138FD4}"/>
    <cellStyle name="Überschrift 2 2" xfId="41758" xr:uid="{2AE911FB-FCC5-4EE8-A19B-4C74C5D7DCB0}"/>
    <cellStyle name="Überschrift 3" xfId="23810" xr:uid="{82AD9069-9157-4B76-A489-8669D3A92DF9}"/>
    <cellStyle name="Überschrift 3 2" xfId="41759" xr:uid="{3B68AF51-ADF0-4DC8-9E42-1D7977D3A1BC}"/>
    <cellStyle name="Überschrift 4" xfId="23811" xr:uid="{8F046068-4EFF-4AB2-A63F-3289018D315F}"/>
    <cellStyle name="Überschrift 4 2" xfId="41760" xr:uid="{883907E5-0435-4231-9DF1-BEB0C34B14AA}"/>
    <cellStyle name="Überschrift 5" xfId="41761" xr:uid="{D122BA9E-408B-4506-BDD7-291539AD8A95}"/>
    <cellStyle name="Unit" xfId="23812" xr:uid="{F772FA75-D82F-4720-966C-E2535F8252FD}"/>
    <cellStyle name="Unit 2" xfId="23813" xr:uid="{4118005C-16E0-45E5-81D6-A7EA3734B788}"/>
    <cellStyle name="Unit 2 2" xfId="41762" xr:uid="{32393E24-1B4A-44D7-A962-2AC5226EE287}"/>
    <cellStyle name="Valuta (0)" xfId="109" xr:uid="{C5D390B1-A034-4809-9AEC-9C10F6B64448}"/>
    <cellStyle name="Valuutta_Layo9704" xfId="23816" xr:uid="{BE570D6A-DB0C-4D70-BA5E-9AD10EDA943D}"/>
    <cellStyle name="Vérification" xfId="23817" xr:uid="{EC3711A7-EB5A-4A3C-A9A6-E71E62ACE318}"/>
    <cellStyle name="Vérification 2" xfId="23818" xr:uid="{4EC32DF5-C2D2-4B27-B1B0-91C5EDCC3656}"/>
    <cellStyle name="Vérification 2 2" xfId="23819" xr:uid="{A54A085C-F2F6-426C-B078-3839D99EC986}"/>
    <cellStyle name="Vérification 3" xfId="23820" xr:uid="{A8624FA8-D68F-4F75-A816-197D0970B19D}"/>
    <cellStyle name="Vérification 3 2" xfId="23821" xr:uid="{DFFAEFFA-B648-4493-AA24-7056917AAFDB}"/>
    <cellStyle name="Vérification 4" xfId="23822" xr:uid="{436389F0-CBC2-4600-8762-837898466B60}"/>
    <cellStyle name="Vérification 4 2" xfId="23823" xr:uid="{6541527F-9FF2-48F1-A204-909BE694425E}"/>
    <cellStyle name="Vérification 5" xfId="23824" xr:uid="{C5CCE65D-A075-464C-9BC9-E37690D8707E}"/>
    <cellStyle name="Vérification 5 2" xfId="23825" xr:uid="{C5985F59-0040-4D3B-B81D-895A4003337F}"/>
    <cellStyle name="Vérification 6" xfId="23826" xr:uid="{919B0ACA-304F-453C-BEB5-5AC931B0D81E}"/>
    <cellStyle name="Vérification 6 2" xfId="23827" xr:uid="{69304635-2989-49AA-B679-0196AD900B3C}"/>
    <cellStyle name="Vérification 7" xfId="23828" xr:uid="{3CD5E0C1-3828-4137-9BB8-095ED4A2C316}"/>
    <cellStyle name="Vérification 7 2" xfId="23829" xr:uid="{523C370C-801A-4359-A56E-811B175FDC4C}"/>
    <cellStyle name="Vérification 8" xfId="23830" xr:uid="{06E4892C-3914-43AC-B25A-D4C4C94EEC99}"/>
    <cellStyle name="Verknüpfte Zelle" xfId="23831" xr:uid="{0984ED2F-3A3A-411E-8794-D3CCEB061BE9}"/>
    <cellStyle name="Verknüpfte Zelle 2" xfId="41763" xr:uid="{965A34DE-0551-4D15-9106-6AE7D747BD5D}"/>
    <cellStyle name="Virgül 3 2" xfId="86" xr:uid="{7A60758B-E947-44B8-82E0-23C573CFF200}"/>
    <cellStyle name="Warnender Text" xfId="23832" xr:uid="{E29FC7F2-F1DB-4BFE-AC39-C4FB151058D8}"/>
    <cellStyle name="Warnender Text 2" xfId="41764" xr:uid="{A7884469-B09D-49B6-A4A5-5F4CB378A833}"/>
    <cellStyle name="Warnender Text 2 2" xfId="44355" xr:uid="{D20B2360-0C6D-4F33-9363-E220D611716E}"/>
    <cellStyle name="Warnender Text 3" xfId="44258" xr:uid="{9677EF8E-A7E0-46CB-A919-D56EC0EB3708}"/>
    <cellStyle name="Warnender Text 4" xfId="44021" hidden="1" xr:uid="{EA9220DD-A242-40DC-B270-AEF253CD3626}"/>
    <cellStyle name="Warnender Text 4" xfId="44130" hidden="1" xr:uid="{0D49FE98-2A83-413C-8075-D72E5726701E}"/>
    <cellStyle name="Warnender Text 4" xfId="45296" hidden="1" xr:uid="{7BE423A0-2BC1-4D70-A508-C75283D77DC5}"/>
    <cellStyle name="Warnender Text 4" xfId="45667" xr:uid="{5C1CF46D-A189-45EC-AA18-85EC495E5DDB}"/>
    <cellStyle name="Warning Text" xfId="45796" builtinId="11" customBuiltin="1"/>
    <cellStyle name="Warning Text 10" xfId="23833" xr:uid="{ED47F0B5-9ADE-4903-B85E-AA8710918713}"/>
    <cellStyle name="Warning Text 10 2" xfId="23834" xr:uid="{4F23241B-98F9-417D-A40D-6D6A4EF82279}"/>
    <cellStyle name="Warning Text 10 2 2" xfId="23835" xr:uid="{C7C450B8-0A0C-4DF7-86E6-A16E5CBFA8C8}"/>
    <cellStyle name="Warning Text 10 2 3" xfId="41765" xr:uid="{4651DD35-F51B-4C3B-BB15-E6047A2D220B}"/>
    <cellStyle name="Warning Text 10 3" xfId="23836" xr:uid="{2CA1D84C-8896-4A56-9E42-20A2FF4861F3}"/>
    <cellStyle name="Warning Text 10 3 2" xfId="41766" xr:uid="{5A5974D1-02A3-4B52-911C-0DCA668A9BD8}"/>
    <cellStyle name="Warning Text 10 3 3" xfId="41767" xr:uid="{56C19741-E3A3-4A84-AC23-9857101B6ECB}"/>
    <cellStyle name="Warning Text 10 4" xfId="23837" xr:uid="{9BBA4EBF-E367-450B-A280-95B43B4EC576}"/>
    <cellStyle name="Warning Text 10 5" xfId="41768" xr:uid="{9852A24D-943F-40F1-A77E-3FA7867D0B05}"/>
    <cellStyle name="Warning Text 10 5 2" xfId="41769" xr:uid="{A4A94943-20F3-42A6-A37E-92A4776B6F66}"/>
    <cellStyle name="Warning Text 10 5 3" xfId="41770" xr:uid="{58B72A43-728F-4E89-BE79-05216E7978AA}"/>
    <cellStyle name="Warning Text 10 6" xfId="41771" xr:uid="{93E8234E-3D9A-43D9-9474-BE995261DD95}"/>
    <cellStyle name="Warning Text 11" xfId="41772" xr:uid="{E8AD99E6-E087-42F7-9F5A-E3E3AC27EC50}"/>
    <cellStyle name="Warning Text 12" xfId="41773" xr:uid="{BAE29BC8-E04D-4B99-8873-AA7FFA480C9D}"/>
    <cellStyle name="Warning Text 13" xfId="41774" xr:uid="{2F26BCFC-DE71-4D87-B3EC-06B51019BB40}"/>
    <cellStyle name="Warning Text 14" xfId="41775" xr:uid="{C340EB37-0F91-41D4-90F5-6F63F69FE2BC}"/>
    <cellStyle name="Warning Text 15" xfId="41776" xr:uid="{4F6D83A4-F267-4CBE-986C-B8BFFD6E370D}"/>
    <cellStyle name="Warning Text 16" xfId="41777" xr:uid="{C55B6514-3CDA-4B6C-8301-66BC37934E83}"/>
    <cellStyle name="Warning Text 17" xfId="41778" xr:uid="{58AA60AE-F7E1-4A04-B846-E2D313100912}"/>
    <cellStyle name="Warning Text 18" xfId="41779" xr:uid="{740F0032-CDA8-4AEC-B793-F7335B9C1E6B}"/>
    <cellStyle name="Warning Text 19" xfId="41780" xr:uid="{94F87ECF-2360-4EDB-893A-4472D95DA217}"/>
    <cellStyle name="Warning Text 2" xfId="23838" xr:uid="{912C3C2D-7018-4251-89C0-36B1F5FA209C}"/>
    <cellStyle name="Warning Text 2 10" xfId="23839" xr:uid="{26A346A2-5639-452D-924D-5729A78EF794}"/>
    <cellStyle name="Warning Text 2 10 2" xfId="23840" xr:uid="{E4606CE4-EB9C-4E66-8A92-431BB8637E21}"/>
    <cellStyle name="Warning Text 2 10 2 2" xfId="23841" xr:uid="{42B7B37C-06ED-4FDC-9731-D9FD9C4ADDE2}"/>
    <cellStyle name="Warning Text 2 10 2 3" xfId="41781" xr:uid="{80D98D42-EC0D-4E67-BA43-4B5279130B3A}"/>
    <cellStyle name="Warning Text 2 10 3" xfId="23842" xr:uid="{EA72CE61-F3B2-4880-9C93-E3F6151659E5}"/>
    <cellStyle name="Warning Text 2 10 3 2" xfId="41782" xr:uid="{CF721102-1AB1-47C5-A2B0-E2A324AA5568}"/>
    <cellStyle name="Warning Text 2 10 3 3" xfId="41783" xr:uid="{4D5A8B10-FAF4-4636-9DE8-94F4014C956B}"/>
    <cellStyle name="Warning Text 2 10 4" xfId="23843" xr:uid="{D07DC968-BABE-464E-AF7E-7DE350988BC1}"/>
    <cellStyle name="Warning Text 2 10 5" xfId="23844" xr:uid="{D2FEEBED-A952-46ED-80D7-E157F622306F}"/>
    <cellStyle name="Warning Text 2 10 6" xfId="41784" xr:uid="{22E8012A-8071-4063-A43E-70FFFC4038E8}"/>
    <cellStyle name="Warning Text 2 10 7" xfId="41785" xr:uid="{025D33EE-299A-44DF-9FF5-AB7EAB5B5914}"/>
    <cellStyle name="Warning Text 2 11" xfId="23845" xr:uid="{FCF35000-2044-4AF2-852F-B521DFB9A6AA}"/>
    <cellStyle name="Warning Text 2 11 2" xfId="23846" xr:uid="{4A4B32A3-BE2C-4A4B-A611-9A93FBE3078B}"/>
    <cellStyle name="Warning Text 2 11 2 2" xfId="23847" xr:uid="{11EB9A7C-5246-4CAB-86AE-B980BE213E6A}"/>
    <cellStyle name="Warning Text 2 11 2 3" xfId="41786" xr:uid="{58623758-D883-4904-9447-C1316DF12D8F}"/>
    <cellStyle name="Warning Text 2 11 3" xfId="23848" xr:uid="{4D2B5D6D-B202-4F82-9DA8-C41DB6E47946}"/>
    <cellStyle name="Warning Text 2 11 3 2" xfId="41787" xr:uid="{F9EF61B8-08A8-4570-BBFC-15CE06BD0428}"/>
    <cellStyle name="Warning Text 2 11 3 3" xfId="41788" xr:uid="{EA09FA57-09EB-4565-9DE1-8E1B47D200C3}"/>
    <cellStyle name="Warning Text 2 11 4" xfId="23849" xr:uid="{C76AF20D-7597-4841-8D17-E6A4F0B9B97C}"/>
    <cellStyle name="Warning Text 2 11 5" xfId="41789" xr:uid="{A8B7C6C5-5A7D-4658-9763-011E20A4B196}"/>
    <cellStyle name="Warning Text 2 11 5 2" xfId="41790" xr:uid="{1355EA09-4B4A-4D76-A91D-5EB615E2FA65}"/>
    <cellStyle name="Warning Text 2 11 5 3" xfId="41791" xr:uid="{B72F79D8-BC81-4EA5-8EA2-010B59E3DFA0}"/>
    <cellStyle name="Warning Text 2 11 6" xfId="41792" xr:uid="{B93D013C-0864-4441-854C-36C901DAA456}"/>
    <cellStyle name="Warning Text 2 12" xfId="23850" xr:uid="{2E6C62C0-43B1-4A80-8CB8-10FBAE926B7F}"/>
    <cellStyle name="Warning Text 2 12 2" xfId="23851" xr:uid="{133920BB-15E4-42DF-9D6A-450846A97048}"/>
    <cellStyle name="Warning Text 2 12 3" xfId="41793" xr:uid="{B7EB61B8-595C-4D19-947C-7B545AF84BBA}"/>
    <cellStyle name="Warning Text 2 13" xfId="23852" xr:uid="{82D6C736-EF86-4773-BE93-5B207C8B3EA5}"/>
    <cellStyle name="Warning Text 2 13 2" xfId="41794" xr:uid="{6754D84D-AE25-4565-B2D3-7CD0A16FFAB7}"/>
    <cellStyle name="Warning Text 2 13 3" xfId="41795" xr:uid="{E77F00E5-C3BF-4FC7-A4FC-8D0E0D8E5711}"/>
    <cellStyle name="Warning Text 2 14" xfId="23853" xr:uid="{DBA0131E-1DF2-4E9D-A580-6B454FF1E177}"/>
    <cellStyle name="Warning Text 2 15" xfId="23854" xr:uid="{DF0602AD-54ED-485D-8E9A-357E7D429165}"/>
    <cellStyle name="Warning Text 2 16" xfId="41796" xr:uid="{A74B5D7D-99D2-40C8-BD0D-62723E764662}"/>
    <cellStyle name="Warning Text 2 17" xfId="41797" xr:uid="{55B93862-74EC-4D8E-BF75-8D2ABFBE3F88}"/>
    <cellStyle name="Warning Text 2 18" xfId="44158" xr:uid="{2BE3D950-B1C4-4DF1-AD67-3FBBEE0E2EB4}"/>
    <cellStyle name="Warning Text 2 2" xfId="23855" xr:uid="{50446E8A-1329-44D4-AE34-6825ABB1BCB8}"/>
    <cellStyle name="Warning Text 2 2 2" xfId="23856" xr:uid="{D75940FF-9D90-49D9-8AE3-3C8BC861E700}"/>
    <cellStyle name="Warning Text 2 2 2 2" xfId="23857" xr:uid="{92278AB5-7953-488D-AEA7-BDC6AEF2A0F2}"/>
    <cellStyle name="Warning Text 2 2 2 3" xfId="41798" xr:uid="{01F7D771-97AA-4756-9158-B2497CB03346}"/>
    <cellStyle name="Warning Text 2 2 3" xfId="23858" xr:uid="{8493A8AE-8C1E-408D-AF73-D4EF258CDDF8}"/>
    <cellStyle name="Warning Text 2 2 3 2" xfId="41799" xr:uid="{1D5EE466-0294-47D4-90C9-9E3B9D821C14}"/>
    <cellStyle name="Warning Text 2 2 3 3" xfId="41800" xr:uid="{7567BB7A-E1BB-4CB3-BB3A-5A2B62808341}"/>
    <cellStyle name="Warning Text 2 2 4" xfId="23859" xr:uid="{7BF2D491-BCB0-49B2-ABE4-109562A262A1}"/>
    <cellStyle name="Warning Text 2 2 5" xfId="23860" xr:uid="{76DF8896-1EC7-4CCA-BD22-0F31054011E8}"/>
    <cellStyle name="Warning Text 2 2 6" xfId="41801" xr:uid="{F9BA9347-C84C-42EB-9E97-B1F81A5DF539}"/>
    <cellStyle name="Warning Text 2 2 7" xfId="41802" xr:uid="{7C9877A4-7A92-4CAD-A404-9B08F565FDD6}"/>
    <cellStyle name="Warning Text 2 3" xfId="23861" xr:uid="{4C3A7E41-860B-4125-8484-C95E81485218}"/>
    <cellStyle name="Warning Text 2 3 2" xfId="23862" xr:uid="{AD7862B5-BF92-49B9-8758-8FD342AC95C3}"/>
    <cellStyle name="Warning Text 2 3 2 2" xfId="23863" xr:uid="{DE453618-A514-4713-A015-3902D14BF52F}"/>
    <cellStyle name="Warning Text 2 3 2 3" xfId="41803" xr:uid="{D11AE98A-4CC3-4A5F-82B2-CB81B9BE84FB}"/>
    <cellStyle name="Warning Text 2 3 3" xfId="23864" xr:uid="{1103B3A1-89B2-4938-8688-01E0E0FD82EC}"/>
    <cellStyle name="Warning Text 2 3 3 2" xfId="41804" xr:uid="{46896DFA-191B-41F2-A415-E2C7E0C0BB52}"/>
    <cellStyle name="Warning Text 2 3 3 3" xfId="41805" xr:uid="{050F8558-C795-4A3F-B170-1268A96C1689}"/>
    <cellStyle name="Warning Text 2 3 4" xfId="23865" xr:uid="{28050DAB-8B99-4A57-8472-E4C65E27C186}"/>
    <cellStyle name="Warning Text 2 3 5" xfId="23866" xr:uid="{94A659D7-5CBD-45EA-BB07-3AF906742D10}"/>
    <cellStyle name="Warning Text 2 3 6" xfId="41806" xr:uid="{F2869617-339C-464B-BB63-52E4BB04C278}"/>
    <cellStyle name="Warning Text 2 3 7" xfId="41807" xr:uid="{7A6F0FE2-D420-44BE-9346-88A98438CCD2}"/>
    <cellStyle name="Warning Text 2 4" xfId="23867" xr:uid="{226A9D7A-777C-401E-9DF3-A89539ABBF0F}"/>
    <cellStyle name="Warning Text 2 4 2" xfId="23868" xr:uid="{93AEB0CE-2D0A-4184-A916-C88B749AD7FD}"/>
    <cellStyle name="Warning Text 2 4 2 2" xfId="23869" xr:uid="{EA66C8EE-DC1B-4C20-A502-8B5226C5FC7A}"/>
    <cellStyle name="Warning Text 2 4 2 3" xfId="41808" xr:uid="{BD24643C-40B8-4418-AC8B-A8DA0250C44C}"/>
    <cellStyle name="Warning Text 2 4 3" xfId="23870" xr:uid="{A95D7753-5E10-4E7D-8538-348AA97C3310}"/>
    <cellStyle name="Warning Text 2 4 3 2" xfId="41809" xr:uid="{E498D9A9-ED41-4C5B-800C-7CD82EA4C909}"/>
    <cellStyle name="Warning Text 2 4 3 3" xfId="41810" xr:uid="{12B24D3A-846F-4E3C-BBCF-178D7D376A04}"/>
    <cellStyle name="Warning Text 2 4 4" xfId="23871" xr:uid="{7307D521-24EE-40EA-A644-320EBAFA60BA}"/>
    <cellStyle name="Warning Text 2 4 5" xfId="23872" xr:uid="{2DF41372-0BD9-4899-A099-30691A38A82A}"/>
    <cellStyle name="Warning Text 2 4 6" xfId="41811" xr:uid="{2239EA9E-672D-4004-AFBA-E30C30C4FD42}"/>
    <cellStyle name="Warning Text 2 4 7" xfId="41812" xr:uid="{DF07217E-8F4F-47E8-BF2E-46C9B3CF5B9C}"/>
    <cellStyle name="Warning Text 2 5" xfId="23873" xr:uid="{29025A42-AB20-4CB5-8AF8-71A6AA75F900}"/>
    <cellStyle name="Warning Text 2 5 2" xfId="23874" xr:uid="{6E144666-351A-4649-8ABF-1AD73EFBA4BD}"/>
    <cellStyle name="Warning Text 2 5 2 2" xfId="23875" xr:uid="{5503AE9C-1CBD-4746-AF63-F9976AB8C37F}"/>
    <cellStyle name="Warning Text 2 5 2 3" xfId="41813" xr:uid="{9176F3EC-E2F8-4DE1-9354-D323C247BB9E}"/>
    <cellStyle name="Warning Text 2 5 3" xfId="23876" xr:uid="{752F3ADE-56F9-4CFC-9892-4110C8589645}"/>
    <cellStyle name="Warning Text 2 5 3 2" xfId="41814" xr:uid="{31AA83A2-028E-45CE-9F96-B53B75ED1542}"/>
    <cellStyle name="Warning Text 2 5 3 3" xfId="41815" xr:uid="{68DB49A3-D69D-4AE3-AF5E-892178120C05}"/>
    <cellStyle name="Warning Text 2 5 4" xfId="23877" xr:uid="{E1FA061C-9E56-44A0-8C13-BF98D16AEAB5}"/>
    <cellStyle name="Warning Text 2 5 5" xfId="23878" xr:uid="{EF6A257E-AC47-415C-B2DF-A1FC9BA89CA7}"/>
    <cellStyle name="Warning Text 2 5 6" xfId="41816" xr:uid="{EC35B808-7D0A-43D3-BACC-DD82A8B3A352}"/>
    <cellStyle name="Warning Text 2 5 7" xfId="41817" xr:uid="{B4E28A62-3C93-4281-93DD-8DC64285BA19}"/>
    <cellStyle name="Warning Text 2 6" xfId="23879" xr:uid="{0B7031D7-67B4-42DF-BCCF-0BF43785F1CD}"/>
    <cellStyle name="Warning Text 2 6 2" xfId="23880" xr:uid="{6F82AF34-22E0-4D6A-8BF5-9711C95F39FC}"/>
    <cellStyle name="Warning Text 2 6 2 2" xfId="23881" xr:uid="{7C72A1AA-9599-49AD-A689-B5AA14D6C81B}"/>
    <cellStyle name="Warning Text 2 6 2 3" xfId="41818" xr:uid="{CDBDC0EE-FC70-47B1-B002-398950C4E45F}"/>
    <cellStyle name="Warning Text 2 6 3" xfId="23882" xr:uid="{C9F29356-02F3-4844-97F8-B9DC8212951A}"/>
    <cellStyle name="Warning Text 2 6 3 2" xfId="41819" xr:uid="{8918797E-C844-4465-8D18-161122DCEACE}"/>
    <cellStyle name="Warning Text 2 6 3 3" xfId="41820" xr:uid="{A4815355-3E94-4053-AAF0-47473723BE3A}"/>
    <cellStyle name="Warning Text 2 6 4" xfId="23883" xr:uid="{56C222DD-5AA0-4C7B-90F9-29A43C95A9A1}"/>
    <cellStyle name="Warning Text 2 6 5" xfId="23884" xr:uid="{A72231DF-ED7C-4429-AE37-FD2E8B04E1EC}"/>
    <cellStyle name="Warning Text 2 6 6" xfId="41821" xr:uid="{8F4A9EB0-B41C-4E32-9E60-0F249A708DAE}"/>
    <cellStyle name="Warning Text 2 6 7" xfId="41822" xr:uid="{2D1534EA-4BC9-4C3B-85AE-27A53F07E800}"/>
    <cellStyle name="Warning Text 2 7" xfId="23885" xr:uid="{7B54C794-8E74-4FA3-A67E-82E5374CC0B0}"/>
    <cellStyle name="Warning Text 2 7 2" xfId="23886" xr:uid="{4551D71C-1C8E-4B9A-9EA5-A799E36081A4}"/>
    <cellStyle name="Warning Text 2 7 2 2" xfId="23887" xr:uid="{E15D514D-E521-41FE-920D-EA72F208049F}"/>
    <cellStyle name="Warning Text 2 7 2 3" xfId="41823" xr:uid="{04F5AE10-4AE1-40A2-B0C4-993487381480}"/>
    <cellStyle name="Warning Text 2 7 3" xfId="23888" xr:uid="{8F3BD1AA-EF7C-4424-997B-FAEA437C6513}"/>
    <cellStyle name="Warning Text 2 7 3 2" xfId="41824" xr:uid="{A01ECF49-265D-46BE-AE76-A10D2E0ED51D}"/>
    <cellStyle name="Warning Text 2 7 3 3" xfId="41825" xr:uid="{BF9A036F-6BC8-4CF3-90F7-FDE0D63B97F2}"/>
    <cellStyle name="Warning Text 2 7 4" xfId="23889" xr:uid="{D22E6087-7D28-4418-9818-9E79F0A45425}"/>
    <cellStyle name="Warning Text 2 7 5" xfId="23890" xr:uid="{3AB76FAD-D9DD-41DD-B45B-70B9F77BBBF9}"/>
    <cellStyle name="Warning Text 2 7 6" xfId="41826" xr:uid="{041C6F88-83C1-41C6-B837-7FE694AC9D9D}"/>
    <cellStyle name="Warning Text 2 7 7" xfId="41827" xr:uid="{EDEE0E8D-F973-4B21-BA59-8FFC98036638}"/>
    <cellStyle name="Warning Text 2 8" xfId="23891" xr:uid="{5BD187F1-F72A-416D-819D-E5D93268ECBA}"/>
    <cellStyle name="Warning Text 2 8 2" xfId="23892" xr:uid="{D1008B6E-3830-4531-919C-2544E185D7D3}"/>
    <cellStyle name="Warning Text 2 8 2 2" xfId="23893" xr:uid="{D2603045-6DA8-4F3C-93B4-1FF31E477358}"/>
    <cellStyle name="Warning Text 2 8 2 3" xfId="41828" xr:uid="{4572EAF3-2B82-4251-9DB2-1E69AF3089DB}"/>
    <cellStyle name="Warning Text 2 8 3" xfId="23894" xr:uid="{BEDF301C-396A-46CD-A069-F0D114039385}"/>
    <cellStyle name="Warning Text 2 8 3 2" xfId="41829" xr:uid="{1A40E284-987E-40A6-9D15-A114701AE8D3}"/>
    <cellStyle name="Warning Text 2 8 3 3" xfId="41830" xr:uid="{0C644F3B-B49E-4C55-867B-CE641C3F75EE}"/>
    <cellStyle name="Warning Text 2 8 4" xfId="23895" xr:uid="{6B9271BE-8EAF-45AC-B233-FDBF659ADFE2}"/>
    <cellStyle name="Warning Text 2 8 5" xfId="23896" xr:uid="{4F5EB152-0BE3-4093-A850-38AB46E3AD0E}"/>
    <cellStyle name="Warning Text 2 8 6" xfId="41831" xr:uid="{D391B04F-DA8F-4536-95D9-F18CCCEA794D}"/>
    <cellStyle name="Warning Text 2 8 7" xfId="41832" xr:uid="{4210FA91-F6D8-4811-8333-93E142EA7020}"/>
    <cellStyle name="Warning Text 2 9" xfId="23897" xr:uid="{9AFB6C9E-23AD-43E6-97A5-41566C73B2F1}"/>
    <cellStyle name="Warning Text 2 9 2" xfId="23898" xr:uid="{F91DAD02-B0DB-485F-A593-B5902DEC5274}"/>
    <cellStyle name="Warning Text 2 9 2 2" xfId="23899" xr:uid="{024E4432-A2FB-4F89-9F4B-7504FDE6D520}"/>
    <cellStyle name="Warning Text 2 9 2 3" xfId="41833" xr:uid="{FB2050FF-F9D8-4181-AF96-096E0A5CCE41}"/>
    <cellStyle name="Warning Text 2 9 3" xfId="23900" xr:uid="{D4320F8B-C14C-4548-B3A1-BF9426EC12D7}"/>
    <cellStyle name="Warning Text 2 9 3 2" xfId="41834" xr:uid="{7776C03F-4BEA-49F1-B302-07C48A83011D}"/>
    <cellStyle name="Warning Text 2 9 3 3" xfId="41835" xr:uid="{EBD4BF64-9B66-420C-8169-A69C31EB2DA5}"/>
    <cellStyle name="Warning Text 2 9 4" xfId="23901" xr:uid="{918071BC-49B7-4155-9D86-99AC4FA90DDB}"/>
    <cellStyle name="Warning Text 2 9 5" xfId="23902" xr:uid="{B7A6A2E1-761A-466D-8657-2B86E32CB827}"/>
    <cellStyle name="Warning Text 2 9 6" xfId="41836" xr:uid="{5AB941D5-33B3-43E5-8691-2B11598DBA8D}"/>
    <cellStyle name="Warning Text 2 9 7" xfId="41837" xr:uid="{0A214004-43DB-403E-82DD-E8D8CA602EF5}"/>
    <cellStyle name="Warning Text 20" xfId="41838" xr:uid="{7F0E89DD-4926-44C8-B660-394A6AF7DEFC}"/>
    <cellStyle name="Warning Text 21" xfId="41839" xr:uid="{477B6403-CCD4-49B8-99CE-B1E2F6F27332}"/>
    <cellStyle name="Warning Text 22" xfId="41840" xr:uid="{1F2E1AEA-47C1-49EA-A0AD-8F23945B89E1}"/>
    <cellStyle name="Warning Text 23" xfId="41841" xr:uid="{C649B0C9-34D5-4D48-A3A1-E06EB05FCE49}"/>
    <cellStyle name="Warning Text 24" xfId="41842" xr:uid="{614F7214-6DB9-4E86-BBFB-9705C14D4F66}"/>
    <cellStyle name="Warning Text 25" xfId="41843" xr:uid="{38AD63F7-1709-42C4-A2EA-32F7486B0B5F}"/>
    <cellStyle name="Warning Text 26" xfId="41844" xr:uid="{BB441751-DFE4-40FE-9665-28775B010BB6}"/>
    <cellStyle name="Warning Text 27" xfId="41845" xr:uid="{907C4A0B-4707-42D0-BF8F-B720BB5B2574}"/>
    <cellStyle name="Warning Text 28" xfId="41846" xr:uid="{08A60A4F-A854-416C-8997-1A02D26BA318}"/>
    <cellStyle name="Warning Text 29" xfId="41847" xr:uid="{5D582109-7CD3-49E6-967F-66E6ADF7C647}"/>
    <cellStyle name="Warning Text 3" xfId="23903" xr:uid="{9DA8223C-C53D-46E8-852C-DE26D2EC255E}"/>
    <cellStyle name="Warning Text 3 10" xfId="23904" xr:uid="{569034C5-372F-4F18-8E2F-CD8655A76755}"/>
    <cellStyle name="Warning Text 3 10 2" xfId="23905" xr:uid="{5B718D07-C73D-4CA9-8E05-1A7FF725FED0}"/>
    <cellStyle name="Warning Text 3 10 2 2" xfId="23906" xr:uid="{B92F945C-DB3D-4296-9878-3B1BAA94FE08}"/>
    <cellStyle name="Warning Text 3 10 2 3" xfId="41848" xr:uid="{6FF21E63-7B9F-4186-8DFE-990A7376835D}"/>
    <cellStyle name="Warning Text 3 10 3" xfId="23907" xr:uid="{EC0B0A87-71CF-4DD5-BF1F-80E8D983C702}"/>
    <cellStyle name="Warning Text 3 10 3 2" xfId="41849" xr:uid="{C3877262-4EFC-4259-9C76-16E7916037F3}"/>
    <cellStyle name="Warning Text 3 10 3 3" xfId="41850" xr:uid="{13A8B45A-C6B9-41AF-9DAB-68E5BE5E3A40}"/>
    <cellStyle name="Warning Text 3 10 4" xfId="23908" xr:uid="{3E5CA76B-EBF8-4858-B692-677ECE01DA3F}"/>
    <cellStyle name="Warning Text 3 10 5" xfId="41851" xr:uid="{5581A97F-888D-4D82-B1FF-4A9542C8F82A}"/>
    <cellStyle name="Warning Text 3 10 5 2" xfId="41852" xr:uid="{FEDD4045-845A-4073-B84A-6E9B5C8F7A14}"/>
    <cellStyle name="Warning Text 3 10 5 3" xfId="41853" xr:uid="{B223217D-AC34-4DC6-8D13-5399FA8961D5}"/>
    <cellStyle name="Warning Text 3 10 6" xfId="41854" xr:uid="{416882C5-E5D1-4EB5-93DD-5CA49C05D931}"/>
    <cellStyle name="Warning Text 3 11" xfId="23909" xr:uid="{5174BCAD-705C-4836-A85D-7BCB15EC8434}"/>
    <cellStyle name="Warning Text 3 11 2" xfId="23910" xr:uid="{23644805-305A-487B-8902-272C2F137953}"/>
    <cellStyle name="Warning Text 3 11 2 2" xfId="23911" xr:uid="{1C91C127-6426-4807-BDCC-7D674F793575}"/>
    <cellStyle name="Warning Text 3 11 2 3" xfId="41855" xr:uid="{9B7EE0D1-EB83-4494-A36E-245666A8ED8C}"/>
    <cellStyle name="Warning Text 3 11 3" xfId="23912" xr:uid="{C9109472-D199-4C94-8B74-67E30BD3CE0F}"/>
    <cellStyle name="Warning Text 3 11 3 2" xfId="41856" xr:uid="{259DFCE8-576D-4AF0-A2BE-E31F21B96CE9}"/>
    <cellStyle name="Warning Text 3 11 3 3" xfId="41857" xr:uid="{8F242F21-A4C0-41C1-809A-D9D594BA6A1E}"/>
    <cellStyle name="Warning Text 3 11 4" xfId="23913" xr:uid="{204002DB-6A63-45C9-B4F6-B3FCD95B6BC7}"/>
    <cellStyle name="Warning Text 3 11 5" xfId="41858" xr:uid="{9D782A18-182D-47EA-B793-E11F49AA4B67}"/>
    <cellStyle name="Warning Text 3 11 5 2" xfId="41859" xr:uid="{6E33B950-0D09-4567-8A09-6AF92E3CEBE8}"/>
    <cellStyle name="Warning Text 3 11 5 3" xfId="41860" xr:uid="{159E02CE-4F46-44F9-9C8E-766356988EDD}"/>
    <cellStyle name="Warning Text 3 11 6" xfId="41861" xr:uid="{5CB70DA1-6453-4584-9F28-763CF2B7D294}"/>
    <cellStyle name="Warning Text 3 12" xfId="23914" xr:uid="{84C84897-DCA2-430A-A9A0-D1E17C8175D4}"/>
    <cellStyle name="Warning Text 3 12 2" xfId="23915" xr:uid="{30BB05D8-56D7-457D-94AC-62E645230BF2}"/>
    <cellStyle name="Warning Text 3 12 3" xfId="41862" xr:uid="{5B65BF47-A634-44DE-830D-05511AABBD9C}"/>
    <cellStyle name="Warning Text 3 13" xfId="23916" xr:uid="{CF41363E-559D-43C5-B5BC-F31BA63D21CD}"/>
    <cellStyle name="Warning Text 3 13 2" xfId="41863" xr:uid="{4A9E0686-7393-4645-B1A4-B36210A0A610}"/>
    <cellStyle name="Warning Text 3 13 3" xfId="41864" xr:uid="{68BE6CDE-EC96-4A37-92EF-46E0C798B3BF}"/>
    <cellStyle name="Warning Text 3 14" xfId="23917" xr:uid="{B4F1AB54-C432-4AB6-AA9B-1FB2E392222D}"/>
    <cellStyle name="Warning Text 3 15" xfId="23918" xr:uid="{12A618FD-8893-4194-A4C3-35E8B905F675}"/>
    <cellStyle name="Warning Text 3 16" xfId="41865" xr:uid="{7D9969A1-46BE-4E6A-AA2C-100A0723F704}"/>
    <cellStyle name="Warning Text 3 17" xfId="41866" xr:uid="{D4C33E2B-AC49-4E2A-890D-BA7B8BA0FB7B}"/>
    <cellStyle name="Warning Text 3 18" xfId="44211" xr:uid="{F89922E2-EB8D-4551-9D74-F105F1FE1F00}"/>
    <cellStyle name="Warning Text 3 2" xfId="23919" xr:uid="{D3594A17-BB32-4220-8DE7-33F94B3EAD6C}"/>
    <cellStyle name="Warning Text 3 2 2" xfId="23920" xr:uid="{5CB2185F-E6BD-4647-BD8B-BE5EA0D42384}"/>
    <cellStyle name="Warning Text 3 2 2 2" xfId="23921" xr:uid="{F8EC59B1-7959-4E91-BA78-331A8541E1B6}"/>
    <cellStyle name="Warning Text 3 2 2 3" xfId="41867" xr:uid="{FABECCA7-F637-4CDF-9956-33DF582F0822}"/>
    <cellStyle name="Warning Text 3 2 3" xfId="23922" xr:uid="{75F9185D-5C17-4378-99DE-0CF4C8633FBF}"/>
    <cellStyle name="Warning Text 3 2 3 2" xfId="41868" xr:uid="{E7560319-019D-4FE5-8647-CDB002A4B0A7}"/>
    <cellStyle name="Warning Text 3 2 3 3" xfId="41869" xr:uid="{243B854A-937B-4263-9055-7A60A2B62509}"/>
    <cellStyle name="Warning Text 3 2 4" xfId="23923" xr:uid="{0373BEDF-B4B9-4AF5-8FBB-3C39AA9CE97C}"/>
    <cellStyle name="Warning Text 3 2 5" xfId="41870" xr:uid="{3AB99973-BB9F-4D7B-A2BE-33268B66CC5D}"/>
    <cellStyle name="Warning Text 3 2 5 2" xfId="41871" xr:uid="{A6172DAA-81E9-4955-AAAD-46DF353E9000}"/>
    <cellStyle name="Warning Text 3 2 5 3" xfId="41872" xr:uid="{117DFE6C-EA20-4C21-B125-C4AC8F98040C}"/>
    <cellStyle name="Warning Text 3 2 6" xfId="41873" xr:uid="{9544BD1A-2A80-47A4-92F5-05FADF39C595}"/>
    <cellStyle name="Warning Text 3 3" xfId="23924" xr:uid="{75207DC5-EF3A-4974-BB6F-3984BEA4126D}"/>
    <cellStyle name="Warning Text 3 3 2" xfId="23925" xr:uid="{D40FC37B-17BB-4246-AF4F-23BD4FF0510E}"/>
    <cellStyle name="Warning Text 3 3 2 2" xfId="23926" xr:uid="{F8A9A670-002F-419B-997F-1A78AC98C4A3}"/>
    <cellStyle name="Warning Text 3 3 2 3" xfId="41874" xr:uid="{9E21D1A3-C8A3-4E6A-97E8-BE5899D8EB45}"/>
    <cellStyle name="Warning Text 3 3 3" xfId="23927" xr:uid="{D2D04A1C-187B-435D-AA60-A586529D0A96}"/>
    <cellStyle name="Warning Text 3 3 3 2" xfId="41875" xr:uid="{D723FE96-6647-41CF-B68C-50278220BE5B}"/>
    <cellStyle name="Warning Text 3 3 3 3" xfId="41876" xr:uid="{5B0F4D65-DA3C-4186-B565-B7206224D0F3}"/>
    <cellStyle name="Warning Text 3 3 4" xfId="23928" xr:uid="{7BCB3790-D8A4-45F7-BFF4-4AB3DE0DF95F}"/>
    <cellStyle name="Warning Text 3 3 5" xfId="41877" xr:uid="{6DD267AE-BE6E-42A7-AD9B-538D3A4C7D78}"/>
    <cellStyle name="Warning Text 3 3 5 2" xfId="41878" xr:uid="{DCC09EAC-BD3B-43CC-A863-97B233A1A380}"/>
    <cellStyle name="Warning Text 3 3 5 3" xfId="41879" xr:uid="{9052046E-14B7-4625-BFBF-E0E2C3A24324}"/>
    <cellStyle name="Warning Text 3 3 6" xfId="41880" xr:uid="{278C1077-33E4-4851-A083-067A7AEDA66A}"/>
    <cellStyle name="Warning Text 3 4" xfId="23929" xr:uid="{9283CF78-DA62-473C-A660-3AFAB393ADC2}"/>
    <cellStyle name="Warning Text 3 4 2" xfId="23930" xr:uid="{368281DC-4C2E-453C-8C8D-294E6E5B21D4}"/>
    <cellStyle name="Warning Text 3 4 2 2" xfId="23931" xr:uid="{1F8B72DF-49D4-4AE7-A4AA-140A82AF7EA9}"/>
    <cellStyle name="Warning Text 3 4 2 3" xfId="41881" xr:uid="{C0A64042-39A2-42A1-B7C7-209300FAC1E1}"/>
    <cellStyle name="Warning Text 3 4 3" xfId="23932" xr:uid="{8A19C836-FD2A-4D90-80A1-A4381DE6D2C3}"/>
    <cellStyle name="Warning Text 3 4 3 2" xfId="41882" xr:uid="{05F3EA0E-BC3C-4D79-9298-99EA5BD8A399}"/>
    <cellStyle name="Warning Text 3 4 3 3" xfId="41883" xr:uid="{2534C207-E555-4E73-A51D-0C1CBCFCCB55}"/>
    <cellStyle name="Warning Text 3 4 4" xfId="23933" xr:uid="{747B10EA-1772-43CB-8CE8-267098445FC7}"/>
    <cellStyle name="Warning Text 3 4 5" xfId="41884" xr:uid="{04420E4A-A34D-48A5-AED9-ABA1D90E2AE7}"/>
    <cellStyle name="Warning Text 3 4 5 2" xfId="41885" xr:uid="{5788C36D-3A60-4AEB-A513-F1083AD89C5E}"/>
    <cellStyle name="Warning Text 3 4 5 3" xfId="41886" xr:uid="{89673A33-0857-45F7-87C1-806BB2301E79}"/>
    <cellStyle name="Warning Text 3 4 6" xfId="41887" xr:uid="{20BF0163-1104-4822-B94C-637B3B2FA51E}"/>
    <cellStyle name="Warning Text 3 5" xfId="23934" xr:uid="{C5134B2D-7603-4611-AF06-B9F31C6DA405}"/>
    <cellStyle name="Warning Text 3 5 2" xfId="23935" xr:uid="{2D43D5FF-91CD-4CD9-B334-3835CEC5ECB5}"/>
    <cellStyle name="Warning Text 3 5 2 2" xfId="23936" xr:uid="{B44462B4-201B-4967-B48B-83E267F4225E}"/>
    <cellStyle name="Warning Text 3 5 2 3" xfId="41888" xr:uid="{041F8C60-66B9-4594-8369-A2F14710D12A}"/>
    <cellStyle name="Warning Text 3 5 3" xfId="23937" xr:uid="{EDC9536B-84C7-4A32-9703-B85312D6AD8C}"/>
    <cellStyle name="Warning Text 3 5 3 2" xfId="41889" xr:uid="{40322695-07CF-490D-98E4-4C21408049B9}"/>
    <cellStyle name="Warning Text 3 5 3 3" xfId="41890" xr:uid="{D2005E2F-82CF-4A0A-9639-072B221ECB4A}"/>
    <cellStyle name="Warning Text 3 5 4" xfId="23938" xr:uid="{50E6646A-7864-42F0-BF01-B82639603D2A}"/>
    <cellStyle name="Warning Text 3 5 5" xfId="41891" xr:uid="{7DA2ED64-7D1D-42EE-BB6A-E721430CD116}"/>
    <cellStyle name="Warning Text 3 5 5 2" xfId="41892" xr:uid="{A847AEEF-E984-45FB-8F41-F0F239560C8B}"/>
    <cellStyle name="Warning Text 3 5 5 3" xfId="41893" xr:uid="{1CAFA198-4B61-441A-9BB1-567B536A310A}"/>
    <cellStyle name="Warning Text 3 5 6" xfId="41894" xr:uid="{0C4674CB-B60D-452A-BF1C-705D0423E685}"/>
    <cellStyle name="Warning Text 3 6" xfId="23939" xr:uid="{6E2903A1-69B0-4F05-A856-828AE4AE67B7}"/>
    <cellStyle name="Warning Text 3 6 2" xfId="23940" xr:uid="{97960879-4FF2-4170-ACF7-8D456123F57C}"/>
    <cellStyle name="Warning Text 3 6 2 2" xfId="23941" xr:uid="{FCF99276-9790-48B0-9E45-D76193474873}"/>
    <cellStyle name="Warning Text 3 6 2 3" xfId="41895" xr:uid="{7E433893-CA55-47D8-8477-06BABBA6C981}"/>
    <cellStyle name="Warning Text 3 6 3" xfId="23942" xr:uid="{B7982842-50D6-4496-B421-5BE5517DAA8C}"/>
    <cellStyle name="Warning Text 3 6 3 2" xfId="41896" xr:uid="{7510BBE7-D027-41CD-B058-5B7177439E16}"/>
    <cellStyle name="Warning Text 3 6 3 3" xfId="41897" xr:uid="{21F6FB34-D0AC-4CD0-8034-F5736C9E145A}"/>
    <cellStyle name="Warning Text 3 6 4" xfId="23943" xr:uid="{561D9A97-619A-4E62-B0A4-54B2E482F645}"/>
    <cellStyle name="Warning Text 3 6 5" xfId="41898" xr:uid="{7276E45E-9993-4B3C-8982-9984C12C3D42}"/>
    <cellStyle name="Warning Text 3 6 5 2" xfId="41899" xr:uid="{86487DB3-FD5F-4DC9-89F6-4AC609259764}"/>
    <cellStyle name="Warning Text 3 6 5 3" xfId="41900" xr:uid="{3DFFFC2B-0188-4CE0-A826-67819557BCF8}"/>
    <cellStyle name="Warning Text 3 6 6" xfId="41901" xr:uid="{ED79F582-84EE-425B-A3EC-DAB8C040C2AB}"/>
    <cellStyle name="Warning Text 3 7" xfId="23944" xr:uid="{11FB80F3-9A27-4D01-A40D-C56A1FA4915D}"/>
    <cellStyle name="Warning Text 3 7 2" xfId="23945" xr:uid="{47B8963E-FB96-4FE4-A512-1B062B474F69}"/>
    <cellStyle name="Warning Text 3 7 2 2" xfId="23946" xr:uid="{9657A187-4E7E-4D4B-865A-586479C7AFE6}"/>
    <cellStyle name="Warning Text 3 7 2 3" xfId="41902" xr:uid="{A512351E-669A-4959-8F9E-CB3719E84CCD}"/>
    <cellStyle name="Warning Text 3 7 3" xfId="23947" xr:uid="{F449B7BC-6F57-46A8-8C14-73DECAD76350}"/>
    <cellStyle name="Warning Text 3 7 3 2" xfId="41903" xr:uid="{C734D99B-166F-48F5-B13C-32A16633FB81}"/>
    <cellStyle name="Warning Text 3 7 3 3" xfId="41904" xr:uid="{1C1DBCCE-269B-4144-9431-F977198376F0}"/>
    <cellStyle name="Warning Text 3 7 4" xfId="23948" xr:uid="{BB61E8CB-B156-4822-A0B0-40FDB7489FD3}"/>
    <cellStyle name="Warning Text 3 7 5" xfId="41905" xr:uid="{9AE08FD3-AE9F-4545-957B-50647FCAFAC6}"/>
    <cellStyle name="Warning Text 3 7 5 2" xfId="41906" xr:uid="{4372A274-F883-4176-B2FE-10623093871A}"/>
    <cellStyle name="Warning Text 3 7 5 3" xfId="41907" xr:uid="{40C5BA01-39CC-4896-8FB5-C7F3E8B1D132}"/>
    <cellStyle name="Warning Text 3 7 6" xfId="41908" xr:uid="{349DCD0A-96D5-4E58-B5E8-E0EAABB29EC5}"/>
    <cellStyle name="Warning Text 3 8" xfId="23949" xr:uid="{30E049D8-CA29-457E-B45C-51C928F8C2CE}"/>
    <cellStyle name="Warning Text 3 8 2" xfId="23950" xr:uid="{0CB47C2A-4CD8-49E4-8F0C-40A4CB3855EA}"/>
    <cellStyle name="Warning Text 3 8 2 2" xfId="23951" xr:uid="{69F00070-51A3-4115-A26D-489BC5365134}"/>
    <cellStyle name="Warning Text 3 8 2 3" xfId="41909" xr:uid="{A658FD64-AD44-48F7-A80E-473A83EE9B99}"/>
    <cellStyle name="Warning Text 3 8 3" xfId="23952" xr:uid="{C47DE5AB-A0DB-457F-B08B-E2CA6D0D072D}"/>
    <cellStyle name="Warning Text 3 8 3 2" xfId="41910" xr:uid="{75070864-9069-458D-AAD8-E9E5F28823DE}"/>
    <cellStyle name="Warning Text 3 8 3 3" xfId="41911" xr:uid="{9B9A4271-931A-4F04-9781-0DD98222D810}"/>
    <cellStyle name="Warning Text 3 8 4" xfId="23953" xr:uid="{F80C3185-6730-4A9C-8ACF-1EB8BD59B5BA}"/>
    <cellStyle name="Warning Text 3 8 5" xfId="41912" xr:uid="{A19A13E6-AC54-4B16-A7CA-848053087128}"/>
    <cellStyle name="Warning Text 3 8 5 2" xfId="41913" xr:uid="{AB3BB01C-EB3E-4BF1-A926-6B29B9CE637C}"/>
    <cellStyle name="Warning Text 3 8 5 3" xfId="41914" xr:uid="{B5EFE6AF-3E7D-4CE5-AE38-A0E26FFC07C7}"/>
    <cellStyle name="Warning Text 3 8 6" xfId="41915" xr:uid="{D594EB41-BEF0-4A6E-9D1D-727AA6850F22}"/>
    <cellStyle name="Warning Text 3 9" xfId="23954" xr:uid="{0A76A2BD-B10B-4994-A40D-F3DC20BDBCB8}"/>
    <cellStyle name="Warning Text 3 9 2" xfId="23955" xr:uid="{C084CBC3-2761-4B8F-AEF4-7564FA3CF1AF}"/>
    <cellStyle name="Warning Text 3 9 2 2" xfId="23956" xr:uid="{D3434CD2-5BCE-41EA-BC88-F2BD7E9CCF2F}"/>
    <cellStyle name="Warning Text 3 9 2 3" xfId="41916" xr:uid="{88AFD202-5051-45FB-B623-BD46B1522643}"/>
    <cellStyle name="Warning Text 3 9 3" xfId="23957" xr:uid="{F4220CD6-46AA-4BC3-9D9C-30CF8EC50E0C}"/>
    <cellStyle name="Warning Text 3 9 3 2" xfId="41917" xr:uid="{05D9E24E-8D76-4B7E-83C7-BE79B5CF0656}"/>
    <cellStyle name="Warning Text 3 9 3 3" xfId="41918" xr:uid="{8969B8AC-5790-4123-85B1-746C229C9EEC}"/>
    <cellStyle name="Warning Text 3 9 4" xfId="23958" xr:uid="{0F544F67-3037-45EC-B86B-35ADDD1C3784}"/>
    <cellStyle name="Warning Text 3 9 5" xfId="41919" xr:uid="{5122BD31-4104-4EE2-96A9-2C53D6699084}"/>
    <cellStyle name="Warning Text 3 9 5 2" xfId="41920" xr:uid="{EC5DEDC8-1B9C-4BEB-848A-6A957FA673C6}"/>
    <cellStyle name="Warning Text 3 9 5 3" xfId="41921" xr:uid="{7B66E708-642A-4F4F-9956-DFC08D940CB5}"/>
    <cellStyle name="Warning Text 3 9 6" xfId="41922" xr:uid="{45B76FA0-72F3-4784-AE38-C915B83058BE}"/>
    <cellStyle name="Warning Text 30" xfId="41923" xr:uid="{F4AF99F6-1D82-4E77-939E-E7C7FBAC959E}"/>
    <cellStyle name="Warning Text 31" xfId="41924" xr:uid="{EE71D061-3629-4F1F-9277-589771EFDAE7}"/>
    <cellStyle name="Warning Text 32" xfId="41925" xr:uid="{65AD6FD4-B6B9-45AD-A66C-04CA5170E8F7}"/>
    <cellStyle name="Warning Text 33" xfId="41926" xr:uid="{F0A7BE9D-0558-44A6-93A9-0B60A3AFB397}"/>
    <cellStyle name="Warning Text 34" xfId="41927" xr:uid="{CC20C372-35E0-4DC0-9E08-9014A85D8AD1}"/>
    <cellStyle name="Warning Text 35" xfId="41928" xr:uid="{D809F89A-5E13-4C06-8981-74896FECC372}"/>
    <cellStyle name="Warning Text 36" xfId="41929" xr:uid="{BD7E8F54-E490-418A-9FDB-E71A7F50602D}"/>
    <cellStyle name="Warning Text 37" xfId="41930" xr:uid="{1A4677CE-15A7-4264-A708-805328DFDE39}"/>
    <cellStyle name="Warning Text 38" xfId="41931" xr:uid="{35F780FE-9F1F-4174-AD51-29F14BB1F08D}"/>
    <cellStyle name="Warning Text 39" xfId="41932" xr:uid="{630BF7A0-5DE8-4D0C-BAF9-9A2080889705}"/>
    <cellStyle name="Warning Text 4" xfId="23959" xr:uid="{C724BF98-2D64-47C1-BDAF-B1F25613870A}"/>
    <cellStyle name="Warning Text 4 10" xfId="23960" xr:uid="{1962E023-58C6-4F1E-99D1-821E0AE9FA04}"/>
    <cellStyle name="Warning Text 4 10 2" xfId="23961" xr:uid="{A331D536-BA92-4C95-8BCB-C3A19DB0CCE7}"/>
    <cellStyle name="Warning Text 4 10 2 2" xfId="23962" xr:uid="{42B0DCC4-51FE-4C3A-8A7B-E035FB0B6C95}"/>
    <cellStyle name="Warning Text 4 10 2 3" xfId="41933" xr:uid="{9FFC9B99-7A5C-456C-9D5F-98E505500A03}"/>
    <cellStyle name="Warning Text 4 10 3" xfId="23963" xr:uid="{ECBF4405-517E-402D-8F08-AE985152C8C0}"/>
    <cellStyle name="Warning Text 4 10 3 2" xfId="41934" xr:uid="{6CEE9792-126E-4492-8055-8176FF33B16F}"/>
    <cellStyle name="Warning Text 4 10 3 3" xfId="41935" xr:uid="{697ECF71-2321-4618-923C-3EF123381AEE}"/>
    <cellStyle name="Warning Text 4 10 4" xfId="23964" xr:uid="{21F42343-6831-4DE4-8B0F-81376278B150}"/>
    <cellStyle name="Warning Text 4 10 5" xfId="41936" xr:uid="{CBA41160-4B5E-4CE3-91B3-34FADD7ED97E}"/>
    <cellStyle name="Warning Text 4 10 5 2" xfId="41937" xr:uid="{F44D9D4D-0F31-4857-9793-2869E5D428E2}"/>
    <cellStyle name="Warning Text 4 10 5 3" xfId="41938" xr:uid="{0EFF3DC6-E72F-4952-A589-CA68B0D7463B}"/>
    <cellStyle name="Warning Text 4 10 6" xfId="41939" xr:uid="{07C4C934-7D00-4008-BBFC-A8BE20A94336}"/>
    <cellStyle name="Warning Text 4 11" xfId="23965" xr:uid="{88A350B3-AEA8-41E8-9424-488581887F4E}"/>
    <cellStyle name="Warning Text 4 11 2" xfId="23966" xr:uid="{8AAC6E67-C0C3-4C5D-A4B7-65455D4BA381}"/>
    <cellStyle name="Warning Text 4 11 2 2" xfId="23967" xr:uid="{4D80ACD5-BDE5-425B-AEC5-B5701C683BBF}"/>
    <cellStyle name="Warning Text 4 11 2 3" xfId="41940" xr:uid="{1BD80E0D-1BD5-40B4-BD53-F00A28F4CFEC}"/>
    <cellStyle name="Warning Text 4 11 3" xfId="23968" xr:uid="{B110111A-C53A-41D9-BAFF-1F449984BC40}"/>
    <cellStyle name="Warning Text 4 11 3 2" xfId="41941" xr:uid="{5A37D141-9900-4DA8-AB3F-E30B1C7ECAFB}"/>
    <cellStyle name="Warning Text 4 11 3 3" xfId="41942" xr:uid="{CCC1CFD6-08F2-4347-B1A0-6360DBF870CC}"/>
    <cellStyle name="Warning Text 4 11 4" xfId="23969" xr:uid="{D00AF836-CAE8-4242-A467-FD6BE113B54B}"/>
    <cellStyle name="Warning Text 4 11 5" xfId="41943" xr:uid="{209D96B9-5E81-491B-ABBE-8C643B57494F}"/>
    <cellStyle name="Warning Text 4 11 5 2" xfId="41944" xr:uid="{EC1A9CE5-7F6C-4373-B215-0B4E48CCC24A}"/>
    <cellStyle name="Warning Text 4 11 5 3" xfId="41945" xr:uid="{232C2E0E-E1AF-4693-9639-296B8BB647D0}"/>
    <cellStyle name="Warning Text 4 11 6" xfId="41946" xr:uid="{143B14C7-4753-4919-9566-D4CB57C3CC6B}"/>
    <cellStyle name="Warning Text 4 12" xfId="23970" xr:uid="{DAF04656-944A-4994-AEFF-127DB773757C}"/>
    <cellStyle name="Warning Text 4 12 2" xfId="23971" xr:uid="{3EE8D707-0CA7-40A6-8089-75DE77272895}"/>
    <cellStyle name="Warning Text 4 12 3" xfId="41947" xr:uid="{87EE0B40-0041-4EC8-A987-637AEAE97E36}"/>
    <cellStyle name="Warning Text 4 13" xfId="23972" xr:uid="{4BE1FB2C-B91D-47C4-B01E-B49F1F72B6BD}"/>
    <cellStyle name="Warning Text 4 13 2" xfId="41948" xr:uid="{F8D2178A-F609-4AA9-B9EA-B79E345AB54F}"/>
    <cellStyle name="Warning Text 4 13 3" xfId="41949" xr:uid="{D3E52F6A-CE46-41E4-9F9B-3A552A3372E5}"/>
    <cellStyle name="Warning Text 4 14" xfId="23973" xr:uid="{625749C3-F13A-4989-B080-F859378F2BFF}"/>
    <cellStyle name="Warning Text 4 15" xfId="41950" xr:uid="{DC0A5874-1D4D-4695-AFAE-C2FB2AFA2598}"/>
    <cellStyle name="Warning Text 4 15 2" xfId="41951" xr:uid="{B6CDD1C8-A42A-4C62-A3A1-0E1BC9BE479A}"/>
    <cellStyle name="Warning Text 4 15 3" xfId="41952" xr:uid="{C49BFCF2-8C96-4FF8-9055-1593A321AA25}"/>
    <cellStyle name="Warning Text 4 16" xfId="41953" xr:uid="{A85DA1A2-A17A-423F-A4C6-A590DF9235CC}"/>
    <cellStyle name="Warning Text 4 2" xfId="23974" xr:uid="{A4E9AF57-9E79-48E1-952A-089CF75C8122}"/>
    <cellStyle name="Warning Text 4 2 2" xfId="23975" xr:uid="{8C1E7BD7-C52A-490C-A009-71B1757AA806}"/>
    <cellStyle name="Warning Text 4 2 2 2" xfId="23976" xr:uid="{374ABBA8-2341-4BB9-9ED9-723CC01FE69A}"/>
    <cellStyle name="Warning Text 4 2 2 3" xfId="41954" xr:uid="{B833149F-AFBD-416D-97B5-1F9C1A1B6C3B}"/>
    <cellStyle name="Warning Text 4 2 3" xfId="23977" xr:uid="{95D9F9A7-20D0-42FD-8CEB-57E490F614D1}"/>
    <cellStyle name="Warning Text 4 2 3 2" xfId="41955" xr:uid="{54FCA252-0A27-449D-AD76-56DA5E78C1A3}"/>
    <cellStyle name="Warning Text 4 2 3 3" xfId="41956" xr:uid="{9F6E607C-D519-4E68-9369-2E27FBC4FA7C}"/>
    <cellStyle name="Warning Text 4 2 4" xfId="23978" xr:uid="{53F2AACD-381D-44D7-BA4D-5D9E9C04148F}"/>
    <cellStyle name="Warning Text 4 2 5" xfId="41957" xr:uid="{139729DE-4E92-43A1-A6DB-E3DEA227F4D3}"/>
    <cellStyle name="Warning Text 4 2 5 2" xfId="41958" xr:uid="{B52CC997-059E-4F09-ABA5-6046B6180FCE}"/>
    <cellStyle name="Warning Text 4 2 5 3" xfId="41959" xr:uid="{7604A557-FB9B-4569-968E-7B9C8F08C297}"/>
    <cellStyle name="Warning Text 4 2 6" xfId="41960" xr:uid="{9CE35B1B-EF4E-4FBE-97F3-C976D3F9F096}"/>
    <cellStyle name="Warning Text 4 3" xfId="23979" xr:uid="{637B53D7-CF5D-4DBA-B767-15DD13D59BF2}"/>
    <cellStyle name="Warning Text 4 3 2" xfId="23980" xr:uid="{81C024ED-D422-4A15-BD6D-4EC9CB83EDE8}"/>
    <cellStyle name="Warning Text 4 3 2 2" xfId="23981" xr:uid="{C409A9B2-F4D1-407C-8BDA-EE06BBB4AB65}"/>
    <cellStyle name="Warning Text 4 3 2 3" xfId="41961" xr:uid="{34CF8427-9136-49F9-A96F-6A6EABA1EB02}"/>
    <cellStyle name="Warning Text 4 3 3" xfId="23982" xr:uid="{0D0EC0E1-BD8C-4C57-BFF0-4D248B73E194}"/>
    <cellStyle name="Warning Text 4 3 3 2" xfId="41962" xr:uid="{4E47C068-0E27-42DF-BE1C-F9FC0825BEBD}"/>
    <cellStyle name="Warning Text 4 3 3 3" xfId="41963" xr:uid="{28682B77-0C5B-4890-BB3F-650EF8DAC066}"/>
    <cellStyle name="Warning Text 4 3 4" xfId="23983" xr:uid="{925AF390-E09B-46D3-AC2A-43AF59F81399}"/>
    <cellStyle name="Warning Text 4 3 5" xfId="41964" xr:uid="{DE838DBD-F703-4405-B6E5-93B5DADC26C6}"/>
    <cellStyle name="Warning Text 4 3 5 2" xfId="41965" xr:uid="{8AC08E66-B634-4561-966A-912E01AF8105}"/>
    <cellStyle name="Warning Text 4 3 5 3" xfId="41966" xr:uid="{3C43CBA7-89C0-4549-9A2C-AA6A31319CC8}"/>
    <cellStyle name="Warning Text 4 3 6" xfId="41967" xr:uid="{040B18B2-AB74-435E-A38D-6CCE2AC44144}"/>
    <cellStyle name="Warning Text 4 4" xfId="23984" xr:uid="{6F4FD7F8-FF1B-4182-93C0-62232185A3B5}"/>
    <cellStyle name="Warning Text 4 4 2" xfId="23985" xr:uid="{A409CFC2-D31E-4A04-875E-5483067B7CD7}"/>
    <cellStyle name="Warning Text 4 4 2 2" xfId="23986" xr:uid="{43FFB431-16DF-456E-B771-53BBDC2D38FE}"/>
    <cellStyle name="Warning Text 4 4 2 3" xfId="41968" xr:uid="{6028BA89-8161-4B49-9CF8-2B02D550C742}"/>
    <cellStyle name="Warning Text 4 4 3" xfId="23987" xr:uid="{E5F116DE-DF9C-41BF-9556-3512AAFECEC4}"/>
    <cellStyle name="Warning Text 4 4 3 2" xfId="41969" xr:uid="{7AC91175-CE12-48C6-A40D-12051EDE3B95}"/>
    <cellStyle name="Warning Text 4 4 3 3" xfId="41970" xr:uid="{E46E0B5E-3E95-4D06-A01F-E2FE70D8F578}"/>
    <cellStyle name="Warning Text 4 4 4" xfId="23988" xr:uid="{BED25570-1F2D-4BF5-9130-10C767770EA3}"/>
    <cellStyle name="Warning Text 4 4 5" xfId="41971" xr:uid="{9652F19B-CB20-4161-B873-786F7669C725}"/>
    <cellStyle name="Warning Text 4 4 5 2" xfId="41972" xr:uid="{E791DA28-EB9E-428D-9C66-594DD3306AB8}"/>
    <cellStyle name="Warning Text 4 4 5 3" xfId="41973" xr:uid="{931362C8-35E9-4C43-8D95-8C7B59EC4E09}"/>
    <cellStyle name="Warning Text 4 4 6" xfId="41974" xr:uid="{A4477D5C-93FC-42AA-B2DC-C4AE466830CC}"/>
    <cellStyle name="Warning Text 4 5" xfId="23989" xr:uid="{BEE87E89-4AC0-496C-8107-1BC4E5CFBD3E}"/>
    <cellStyle name="Warning Text 4 5 2" xfId="23990" xr:uid="{CF915D0E-8DD2-45EF-ABE3-CB95B0782A68}"/>
    <cellStyle name="Warning Text 4 5 2 2" xfId="23991" xr:uid="{8CDE6C95-4A23-4C5A-9599-7AB57B8471B3}"/>
    <cellStyle name="Warning Text 4 5 2 3" xfId="41975" xr:uid="{6288311B-4B0F-4084-ADA9-F7E5F29F81CB}"/>
    <cellStyle name="Warning Text 4 5 3" xfId="23992" xr:uid="{A6F250B9-C943-4231-A11E-4E8E88F88533}"/>
    <cellStyle name="Warning Text 4 5 3 2" xfId="41976" xr:uid="{87F7DF4B-D2B1-44C1-B7BD-1E5E76D17F56}"/>
    <cellStyle name="Warning Text 4 5 3 3" xfId="41977" xr:uid="{E140F632-2EF8-4B0C-92CC-9887DF5B30A6}"/>
    <cellStyle name="Warning Text 4 5 4" xfId="23993" xr:uid="{92D30B86-3156-4D2B-93E6-75C5715B1403}"/>
    <cellStyle name="Warning Text 4 5 5" xfId="41978" xr:uid="{05CDE053-7F4B-4C00-96C8-180E676CA8AA}"/>
    <cellStyle name="Warning Text 4 5 5 2" xfId="41979" xr:uid="{BE544011-FC12-4D0F-82B9-DD31A0009C4D}"/>
    <cellStyle name="Warning Text 4 5 5 3" xfId="41980" xr:uid="{24CBA740-CA01-45D6-B0D5-5250DE3DCCFB}"/>
    <cellStyle name="Warning Text 4 5 6" xfId="41981" xr:uid="{BA8C1DC3-8FF9-4487-A61F-27FB01A87272}"/>
    <cellStyle name="Warning Text 4 6" xfId="23994" xr:uid="{1826425F-AF31-43FC-90BB-18013B1B30EB}"/>
    <cellStyle name="Warning Text 4 6 2" xfId="23995" xr:uid="{2D7770B6-27F6-4020-BADF-C6EE794FC85A}"/>
    <cellStyle name="Warning Text 4 6 2 2" xfId="23996" xr:uid="{23744BA9-9921-4679-AA22-CEA1CFA099FD}"/>
    <cellStyle name="Warning Text 4 6 2 3" xfId="41982" xr:uid="{96B39E12-527A-402E-98A0-5E72119ABC60}"/>
    <cellStyle name="Warning Text 4 6 3" xfId="23997" xr:uid="{4A05ADC3-8AAA-4E2D-B0CF-908401561CD6}"/>
    <cellStyle name="Warning Text 4 6 3 2" xfId="41983" xr:uid="{39F05713-8767-4DB3-B0BA-CBBB8C875E38}"/>
    <cellStyle name="Warning Text 4 6 3 3" xfId="41984" xr:uid="{473A5A48-3A0B-419F-9BBB-BBD4E8D63C9D}"/>
    <cellStyle name="Warning Text 4 6 4" xfId="23998" xr:uid="{DB90E44A-4724-480D-A48A-8232CBA66D9B}"/>
    <cellStyle name="Warning Text 4 6 5" xfId="41985" xr:uid="{F2C4C4FD-F7FF-435B-BD0B-6134A1EAF764}"/>
    <cellStyle name="Warning Text 4 6 5 2" xfId="41986" xr:uid="{0B57D7D1-24CF-413A-B211-B22D4C21D697}"/>
    <cellStyle name="Warning Text 4 6 5 3" xfId="41987" xr:uid="{ED65FBE4-C33D-4DBC-8AB4-498673D17C04}"/>
    <cellStyle name="Warning Text 4 6 6" xfId="41988" xr:uid="{ECA415AF-876F-4827-AA2C-805FF0D30196}"/>
    <cellStyle name="Warning Text 4 7" xfId="23999" xr:uid="{8AF07847-7FE3-40DE-B2C9-350771E38453}"/>
    <cellStyle name="Warning Text 4 7 2" xfId="24000" xr:uid="{4B47944A-01AA-44D3-B049-54153D6C2A7A}"/>
    <cellStyle name="Warning Text 4 7 2 2" xfId="24001" xr:uid="{6C8EB8F9-FC80-4D7B-8A9E-96CE5E4E228C}"/>
    <cellStyle name="Warning Text 4 7 2 3" xfId="41989" xr:uid="{569D7C26-A59C-4D8B-B828-525A0D65E5E9}"/>
    <cellStyle name="Warning Text 4 7 3" xfId="24002" xr:uid="{30D2FA17-9762-4224-B984-8227FFDBCC8F}"/>
    <cellStyle name="Warning Text 4 7 3 2" xfId="41990" xr:uid="{1709B97B-08B3-4B7A-95AB-C786E7B4F3C0}"/>
    <cellStyle name="Warning Text 4 7 3 3" xfId="41991" xr:uid="{66125020-A9D8-4CCD-89EE-2F4265EE6AB3}"/>
    <cellStyle name="Warning Text 4 7 4" xfId="24003" xr:uid="{4A603BFF-4CDC-4AE7-836A-CC4DCEF399FF}"/>
    <cellStyle name="Warning Text 4 7 5" xfId="41992" xr:uid="{998F930D-10F3-4B57-918B-AE3C433C8966}"/>
    <cellStyle name="Warning Text 4 7 5 2" xfId="41993" xr:uid="{4D050E61-FA2F-4670-973C-CBF55B5D7050}"/>
    <cellStyle name="Warning Text 4 7 5 3" xfId="41994" xr:uid="{0B1D42E8-ED56-448A-BEE5-DDC60066D305}"/>
    <cellStyle name="Warning Text 4 7 6" xfId="41995" xr:uid="{BFA284F0-1A69-40F3-9A2F-AB638431B25A}"/>
    <cellStyle name="Warning Text 4 8" xfId="24004" xr:uid="{B06852CC-B7D6-4B0F-A420-28264B43AC4B}"/>
    <cellStyle name="Warning Text 4 8 2" xfId="24005" xr:uid="{02246987-A854-4EBC-BF9B-8EA53E885366}"/>
    <cellStyle name="Warning Text 4 8 2 2" xfId="24006" xr:uid="{9C5D3C81-E74E-4A16-9417-C460DB63A533}"/>
    <cellStyle name="Warning Text 4 8 2 3" xfId="41996" xr:uid="{7B783F21-BF40-4093-8172-E91A5E8872AC}"/>
    <cellStyle name="Warning Text 4 8 3" xfId="24007" xr:uid="{2C239A1F-428F-40BD-80D2-9502FCBF583A}"/>
    <cellStyle name="Warning Text 4 8 3 2" xfId="41997" xr:uid="{8207A05A-C749-4ABA-BCAC-A9E1021F1BCF}"/>
    <cellStyle name="Warning Text 4 8 3 3" xfId="41998" xr:uid="{3053683E-9325-4000-969A-6BC8248EBED1}"/>
    <cellStyle name="Warning Text 4 8 4" xfId="24008" xr:uid="{1F07ABE7-EE1B-413C-8957-65B637B5CAFF}"/>
    <cellStyle name="Warning Text 4 8 5" xfId="41999" xr:uid="{6ABEE92A-8FB3-4F7E-B67E-17923FD53EC1}"/>
    <cellStyle name="Warning Text 4 8 5 2" xfId="42000" xr:uid="{F2F9877E-997E-49D0-B897-4E7FB6E10DDE}"/>
    <cellStyle name="Warning Text 4 8 5 3" xfId="42001" xr:uid="{AE27896B-DF41-448C-B7C6-557092809A6B}"/>
    <cellStyle name="Warning Text 4 8 6" xfId="42002" xr:uid="{FAB5F541-9050-43FD-A1ED-49A60431ECD3}"/>
    <cellStyle name="Warning Text 4 9" xfId="24009" xr:uid="{EA5AC91E-AB91-411B-88C0-00F2EB1DCD37}"/>
    <cellStyle name="Warning Text 4 9 2" xfId="24010" xr:uid="{D112A310-0C67-4063-BCBA-2289D53E1A9C}"/>
    <cellStyle name="Warning Text 4 9 2 2" xfId="24011" xr:uid="{F76617B8-95CC-4F50-BCEE-8D319E75E84A}"/>
    <cellStyle name="Warning Text 4 9 2 3" xfId="42003" xr:uid="{4C3592E0-1588-42AC-B5B3-3FFABE910385}"/>
    <cellStyle name="Warning Text 4 9 3" xfId="24012" xr:uid="{19CD3FCA-3662-4206-AB71-981C3B2319F9}"/>
    <cellStyle name="Warning Text 4 9 3 2" xfId="42004" xr:uid="{17453E1D-3F33-40F3-8D20-4000DD8AFC6C}"/>
    <cellStyle name="Warning Text 4 9 3 3" xfId="42005" xr:uid="{E4162E97-051F-4D11-8541-C0EEE8D25D7D}"/>
    <cellStyle name="Warning Text 4 9 4" xfId="24013" xr:uid="{EE5A9ACB-EDF5-4882-A90B-46AB6828C8B0}"/>
    <cellStyle name="Warning Text 4 9 5" xfId="42006" xr:uid="{8DD30264-47A6-4BD7-B642-F6440CA0A961}"/>
    <cellStyle name="Warning Text 4 9 5 2" xfId="42007" xr:uid="{7911942A-6E2A-42AA-810A-2B76EF5DC617}"/>
    <cellStyle name="Warning Text 4 9 5 3" xfId="42008" xr:uid="{E3BFDFB8-60E2-47E1-8F31-A3F1F3A22BAD}"/>
    <cellStyle name="Warning Text 4 9 6" xfId="42009" xr:uid="{A736FD77-6B27-4E12-871A-BF02D0B25FC2}"/>
    <cellStyle name="Warning Text 40" xfId="42010" xr:uid="{0FE5F0DC-F7BA-4AA4-A099-01212A389AC8}"/>
    <cellStyle name="Warning Text 41" xfId="42011" xr:uid="{176663DB-8C13-4807-B823-3DA7CFEF7EA9}"/>
    <cellStyle name="Warning Text 5" xfId="24014" xr:uid="{3B34EEDA-E620-42CE-8C3F-D2822356B135}"/>
    <cellStyle name="Warning Text 5 10" xfId="24015" xr:uid="{6630EC0A-C7A9-4F65-B893-331858E0FB25}"/>
    <cellStyle name="Warning Text 5 10 2" xfId="24016" xr:uid="{EF23C77A-BDC3-42E1-930E-996793ABA08E}"/>
    <cellStyle name="Warning Text 5 10 2 2" xfId="24017" xr:uid="{944ABF29-CDFF-44F4-A4A1-4624D4A2FB57}"/>
    <cellStyle name="Warning Text 5 10 2 3" xfId="42012" xr:uid="{E78812E4-9A43-4774-B90E-257AADB5F02C}"/>
    <cellStyle name="Warning Text 5 10 3" xfId="24018" xr:uid="{2466885E-9089-4CDB-9A0E-9834647CD3D6}"/>
    <cellStyle name="Warning Text 5 10 3 2" xfId="42013" xr:uid="{B283234E-3E3D-47B3-9039-C524BB193486}"/>
    <cellStyle name="Warning Text 5 10 3 3" xfId="42014" xr:uid="{3E505E48-3712-493B-B33C-4A77E8560BB4}"/>
    <cellStyle name="Warning Text 5 10 4" xfId="24019" xr:uid="{9A20F21E-4658-4E19-9A4D-CB83F9B18AA0}"/>
    <cellStyle name="Warning Text 5 10 5" xfId="42015" xr:uid="{C59D4B6B-DFF1-4250-A005-F26BD047785F}"/>
    <cellStyle name="Warning Text 5 10 5 2" xfId="42016" xr:uid="{8D9DCB7F-0D76-4FA7-AFED-E4102C8B0926}"/>
    <cellStyle name="Warning Text 5 10 5 3" xfId="42017" xr:uid="{722CE332-448F-4B69-BE5D-FDA64DC02067}"/>
    <cellStyle name="Warning Text 5 10 6" xfId="42018" xr:uid="{0B3D5550-3C40-424A-A278-AA337EB95A9A}"/>
    <cellStyle name="Warning Text 5 11" xfId="24020" xr:uid="{7CE52384-1D0E-47D0-9629-AA528915A6CB}"/>
    <cellStyle name="Warning Text 5 11 2" xfId="24021" xr:uid="{4A39137A-0137-4B1C-961C-6C3A942B290F}"/>
    <cellStyle name="Warning Text 5 11 2 2" xfId="24022" xr:uid="{68AEC55C-0650-4B6E-B131-CB0CAAE53309}"/>
    <cellStyle name="Warning Text 5 11 2 3" xfId="42019" xr:uid="{F4B43193-357F-4623-A663-355A45198689}"/>
    <cellStyle name="Warning Text 5 11 3" xfId="24023" xr:uid="{4622B427-15AF-411D-A4BD-EDE0200192ED}"/>
    <cellStyle name="Warning Text 5 11 3 2" xfId="42020" xr:uid="{F34E65B2-3878-4D05-9C4F-268C726C2E82}"/>
    <cellStyle name="Warning Text 5 11 3 3" xfId="42021" xr:uid="{31732E32-6CBB-45CB-8398-8062E36D6162}"/>
    <cellStyle name="Warning Text 5 11 4" xfId="24024" xr:uid="{ED2C7BE4-1B2A-4EB9-BB77-9EB6B532C2CC}"/>
    <cellStyle name="Warning Text 5 11 5" xfId="42022" xr:uid="{4E3EFDED-1309-4B96-8AB9-4723A15E2D72}"/>
    <cellStyle name="Warning Text 5 11 5 2" xfId="42023" xr:uid="{BF0F1351-006D-44EF-9C55-BB0A1DC90218}"/>
    <cellStyle name="Warning Text 5 11 5 3" xfId="42024" xr:uid="{B51CD466-F5B0-4178-BA7C-CB13C92625E6}"/>
    <cellStyle name="Warning Text 5 11 6" xfId="42025" xr:uid="{27D8E12C-AB14-464E-9491-B38713AC08FF}"/>
    <cellStyle name="Warning Text 5 12" xfId="24025" xr:uid="{FF195623-DFF0-4F42-B559-939192FF1B40}"/>
    <cellStyle name="Warning Text 5 12 2" xfId="24026" xr:uid="{AAA033B3-764A-4F9A-9DE2-77E43DFB3766}"/>
    <cellStyle name="Warning Text 5 12 3" xfId="42026" xr:uid="{E07B836F-5A56-4C84-A70B-B08D9BCE051D}"/>
    <cellStyle name="Warning Text 5 13" xfId="24027" xr:uid="{1BBABC4F-8E40-4537-9B55-9AD1B42A71F2}"/>
    <cellStyle name="Warning Text 5 13 2" xfId="42027" xr:uid="{F7324B4D-4557-42EE-B08D-BDC4422A01A6}"/>
    <cellStyle name="Warning Text 5 13 3" xfId="42028" xr:uid="{8A9CFFD4-3F09-468F-957E-FAECF90AFA2F}"/>
    <cellStyle name="Warning Text 5 14" xfId="24028" xr:uid="{25A44DA1-D454-4A72-AE92-F1BC41C841B7}"/>
    <cellStyle name="Warning Text 5 15" xfId="42029" xr:uid="{0559E62D-9EA8-4B53-A601-EB3B1B4B6E9F}"/>
    <cellStyle name="Warning Text 5 15 2" xfId="42030" xr:uid="{23D3B2C4-1ACA-4B21-A404-98A96C4B8C40}"/>
    <cellStyle name="Warning Text 5 15 3" xfId="42031" xr:uid="{08F03C5A-1B0A-4C91-813F-40DB465B7B72}"/>
    <cellStyle name="Warning Text 5 16" xfId="42032" xr:uid="{E8F78C8F-0913-49A8-B32D-79D11FEE4812}"/>
    <cellStyle name="Warning Text 5 2" xfId="24029" xr:uid="{2196E3F1-4922-4F72-9499-7D3727FC93B3}"/>
    <cellStyle name="Warning Text 5 2 2" xfId="24030" xr:uid="{46B232FE-3C80-4861-800A-43A20A769E17}"/>
    <cellStyle name="Warning Text 5 2 2 2" xfId="24031" xr:uid="{AC0CF07A-923C-4D0F-8096-92C54C778660}"/>
    <cellStyle name="Warning Text 5 2 2 3" xfId="42033" xr:uid="{55214B15-4A86-41CE-A10B-9A611AD73D0D}"/>
    <cellStyle name="Warning Text 5 2 3" xfId="24032" xr:uid="{65427D5A-584E-4B4C-98B1-76E50FA5708D}"/>
    <cellStyle name="Warning Text 5 2 3 2" xfId="42034" xr:uid="{8D937788-9677-4791-ACA5-35531C4E14F6}"/>
    <cellStyle name="Warning Text 5 2 3 3" xfId="42035" xr:uid="{855973C1-F246-4BD1-8E79-20814F9CBAC6}"/>
    <cellStyle name="Warning Text 5 2 4" xfId="24033" xr:uid="{2A1A44E3-74FD-49E4-8DE2-0212961CDB86}"/>
    <cellStyle name="Warning Text 5 2 5" xfId="42036" xr:uid="{FD7648A7-E1BD-42CC-959F-74CDDD72A146}"/>
    <cellStyle name="Warning Text 5 2 5 2" xfId="42037" xr:uid="{377B3E79-D317-4BD2-A436-9051CEAD7344}"/>
    <cellStyle name="Warning Text 5 2 5 3" xfId="42038" xr:uid="{04F9736A-5C94-415D-8953-443DD54A2301}"/>
    <cellStyle name="Warning Text 5 2 6" xfId="42039" xr:uid="{E66946FA-6192-4611-BDB4-D6590EE51335}"/>
    <cellStyle name="Warning Text 5 3" xfId="24034" xr:uid="{A9EE3D69-22D0-40F0-A727-3DCF24664C9C}"/>
    <cellStyle name="Warning Text 5 3 2" xfId="24035" xr:uid="{E8FBF55A-3EBE-4F1D-A3A2-B9A9BA01928A}"/>
    <cellStyle name="Warning Text 5 3 2 2" xfId="24036" xr:uid="{8D9BF345-B999-4933-B384-C57EC8D0DB49}"/>
    <cellStyle name="Warning Text 5 3 2 3" xfId="42040" xr:uid="{181F02E3-03DA-48D5-8082-4A57807CA7A3}"/>
    <cellStyle name="Warning Text 5 3 3" xfId="24037" xr:uid="{9CEEB7DB-FB1C-4D53-96A5-B6674A985C31}"/>
    <cellStyle name="Warning Text 5 3 3 2" xfId="42041" xr:uid="{7DB6BAAD-ED13-4070-A2C1-A84E18E828D0}"/>
    <cellStyle name="Warning Text 5 3 3 3" xfId="42042" xr:uid="{2F05C792-54D9-44DE-8328-8805A3B4B24D}"/>
    <cellStyle name="Warning Text 5 3 4" xfId="24038" xr:uid="{ECA6F300-EB30-4D13-A850-51434A5D4915}"/>
    <cellStyle name="Warning Text 5 3 5" xfId="42043" xr:uid="{DF76B04F-93BA-494B-9DB6-03E0448B83B3}"/>
    <cellStyle name="Warning Text 5 3 5 2" xfId="42044" xr:uid="{FB7742F9-5CB5-44B3-ADE6-FCD8BC51524C}"/>
    <cellStyle name="Warning Text 5 3 5 3" xfId="42045" xr:uid="{4F47928E-1DF8-4091-913A-BF614264B76B}"/>
    <cellStyle name="Warning Text 5 3 6" xfId="42046" xr:uid="{6673CDEF-5F67-4956-8098-578A11FF793A}"/>
    <cellStyle name="Warning Text 5 4" xfId="24039" xr:uid="{F06EFA26-E27B-417A-9EF0-FEBFE108503F}"/>
    <cellStyle name="Warning Text 5 4 2" xfId="24040" xr:uid="{F3F8B4A1-3F83-49F3-9FDA-DC651C68AFB9}"/>
    <cellStyle name="Warning Text 5 4 2 2" xfId="24041" xr:uid="{BFE2A33A-8084-4923-9F54-92D19C624DBF}"/>
    <cellStyle name="Warning Text 5 4 2 3" xfId="42047" xr:uid="{4F532181-A271-4E43-8E28-7B2FDF7D2886}"/>
    <cellStyle name="Warning Text 5 4 3" xfId="24042" xr:uid="{7DC7451A-AF97-4836-9E4E-59A6BE4B7854}"/>
    <cellStyle name="Warning Text 5 4 3 2" xfId="42048" xr:uid="{A55E9F9A-8D99-4581-84EE-F89100100751}"/>
    <cellStyle name="Warning Text 5 4 3 3" xfId="42049" xr:uid="{797AE685-5B27-404B-903B-2CFC221269DC}"/>
    <cellStyle name="Warning Text 5 4 4" xfId="24043" xr:uid="{19CDC8DD-F821-4CF7-A273-1A9A99D412ED}"/>
    <cellStyle name="Warning Text 5 4 5" xfId="42050" xr:uid="{58E2F6AD-046D-4321-B38E-889447896EBF}"/>
    <cellStyle name="Warning Text 5 4 5 2" xfId="42051" xr:uid="{3BEA51C4-4C79-4DAD-AE39-8628C08FC352}"/>
    <cellStyle name="Warning Text 5 4 5 3" xfId="42052" xr:uid="{FD4CB28A-084E-41FA-BBFB-FCD8FCEB2987}"/>
    <cellStyle name="Warning Text 5 4 6" xfId="42053" xr:uid="{C87A39A1-78FB-4233-9C77-A1264CC3994D}"/>
    <cellStyle name="Warning Text 5 5" xfId="24044" xr:uid="{F90D41AF-A074-41C3-A392-E65664A564E2}"/>
    <cellStyle name="Warning Text 5 5 2" xfId="24045" xr:uid="{55266BB4-9258-4FEE-B236-C80A454F9347}"/>
    <cellStyle name="Warning Text 5 5 2 2" xfId="24046" xr:uid="{C5042291-2873-4A0C-AEBA-545618449417}"/>
    <cellStyle name="Warning Text 5 5 2 3" xfId="42054" xr:uid="{4C370DED-BFB3-4A50-B5F5-113AF7B41093}"/>
    <cellStyle name="Warning Text 5 5 3" xfId="24047" xr:uid="{7D371E8F-DB76-40BC-86CF-9452FCBD99E7}"/>
    <cellStyle name="Warning Text 5 5 3 2" xfId="42055" xr:uid="{90868667-137B-4A8A-B324-31D1A8FDCE5B}"/>
    <cellStyle name="Warning Text 5 5 3 3" xfId="42056" xr:uid="{B83948A2-5F9E-40B2-AF9B-693BA61D1F37}"/>
    <cellStyle name="Warning Text 5 5 4" xfId="24048" xr:uid="{80C19BFC-6346-46E5-BC7A-B9881304F8C8}"/>
    <cellStyle name="Warning Text 5 5 5" xfId="42057" xr:uid="{0F954308-65BC-44BB-A76C-BCE3857A0422}"/>
    <cellStyle name="Warning Text 5 5 5 2" xfId="42058" xr:uid="{CC2622E3-6D46-4B4E-B5F5-EFC0CD349CA7}"/>
    <cellStyle name="Warning Text 5 5 5 3" xfId="42059" xr:uid="{81023A8E-8B8A-4449-9BC8-CE82EF2CC2D8}"/>
    <cellStyle name="Warning Text 5 5 6" xfId="42060" xr:uid="{117CD8B1-8622-4C43-B13B-273AD3416407}"/>
    <cellStyle name="Warning Text 5 6" xfId="24049" xr:uid="{676EB4B3-8C7C-4E18-842E-F49952BE9F45}"/>
    <cellStyle name="Warning Text 5 6 2" xfId="24050" xr:uid="{2D89310C-599E-4F0D-B34E-1FA5407E9097}"/>
    <cellStyle name="Warning Text 5 6 2 2" xfId="24051" xr:uid="{DE492DBD-897A-4B8C-9CD9-009D571D7A64}"/>
    <cellStyle name="Warning Text 5 6 2 3" xfId="42061" xr:uid="{CD528022-A0CE-4BC2-B0D8-95882A289917}"/>
    <cellStyle name="Warning Text 5 6 3" xfId="24052" xr:uid="{770963E5-76BA-46BA-AB24-40C35C404618}"/>
    <cellStyle name="Warning Text 5 6 3 2" xfId="42062" xr:uid="{3A64E1C1-FDEF-4BF3-96EE-33BFC3FA64A8}"/>
    <cellStyle name="Warning Text 5 6 3 3" xfId="42063" xr:uid="{BEF844E7-C2B4-428F-A159-897FC7F6B45F}"/>
    <cellStyle name="Warning Text 5 6 4" xfId="24053" xr:uid="{12FB8AFF-58B8-41F5-B2CD-4711F5166818}"/>
    <cellStyle name="Warning Text 5 6 5" xfId="42064" xr:uid="{FEDD0E8D-EF74-41C9-A2AB-96CE29538484}"/>
    <cellStyle name="Warning Text 5 6 5 2" xfId="42065" xr:uid="{DE695F92-0796-4C7B-B5FF-FED4F8BEB80D}"/>
    <cellStyle name="Warning Text 5 6 5 3" xfId="42066" xr:uid="{576BEB17-3139-462F-8A7B-826D70BF8D09}"/>
    <cellStyle name="Warning Text 5 6 6" xfId="42067" xr:uid="{EF92D942-08BE-4950-8E42-A5F9C713A396}"/>
    <cellStyle name="Warning Text 5 7" xfId="24054" xr:uid="{61B8AEDC-706D-4888-B2BB-69292698EC05}"/>
    <cellStyle name="Warning Text 5 7 2" xfId="24055" xr:uid="{179EAD07-28F9-42FB-A922-5D7BC5661017}"/>
    <cellStyle name="Warning Text 5 7 2 2" xfId="24056" xr:uid="{11A9C9F3-9780-4BA9-9931-101E0B5B7704}"/>
    <cellStyle name="Warning Text 5 7 2 3" xfId="42068" xr:uid="{A1A3D42B-0D0B-46D6-9682-53DC1B00954E}"/>
    <cellStyle name="Warning Text 5 7 3" xfId="24057" xr:uid="{1287B782-6360-43AD-9BCE-FDAA39F77235}"/>
    <cellStyle name="Warning Text 5 7 3 2" xfId="42069" xr:uid="{D4A35B34-E4E6-49A2-879D-F69DE12F6D6B}"/>
    <cellStyle name="Warning Text 5 7 3 3" xfId="42070" xr:uid="{F2E12229-B2C8-4D14-B27F-57183BDE7D8C}"/>
    <cellStyle name="Warning Text 5 7 4" xfId="24058" xr:uid="{82FBB911-B246-4F39-A1F8-61112A531F39}"/>
    <cellStyle name="Warning Text 5 7 5" xfId="42071" xr:uid="{219157B4-4940-4CFB-B3FD-58EF038FC059}"/>
    <cellStyle name="Warning Text 5 7 5 2" xfId="42072" xr:uid="{484AC18B-14DD-4258-8C28-61ABB786C5FC}"/>
    <cellStyle name="Warning Text 5 7 5 3" xfId="42073" xr:uid="{1C19D979-650F-469C-BC32-2D36AD0BFB69}"/>
    <cellStyle name="Warning Text 5 7 6" xfId="42074" xr:uid="{ED540991-D18F-4BF4-B838-98BB8A1FCECA}"/>
    <cellStyle name="Warning Text 5 8" xfId="24059" xr:uid="{9C64D0AB-C668-4BC0-A1D0-64583C5EEA1E}"/>
    <cellStyle name="Warning Text 5 8 2" xfId="24060" xr:uid="{BEEF7800-D333-4A64-8D01-B66C0A6084A4}"/>
    <cellStyle name="Warning Text 5 8 2 2" xfId="24061" xr:uid="{243F57A3-F7D6-438F-A508-E4FF2A1D31B1}"/>
    <cellStyle name="Warning Text 5 8 2 3" xfId="42075" xr:uid="{8C06C43E-1814-4069-95EB-3E024A1637B5}"/>
    <cellStyle name="Warning Text 5 8 3" xfId="24062" xr:uid="{811EC93B-B083-4C86-A3DA-174C820CB2E1}"/>
    <cellStyle name="Warning Text 5 8 3 2" xfId="42076" xr:uid="{81D18D67-181F-4E9E-A7B8-DAAD097B9B4A}"/>
    <cellStyle name="Warning Text 5 8 3 3" xfId="42077" xr:uid="{C4108C93-0AAC-4F85-90B4-3C2320384373}"/>
    <cellStyle name="Warning Text 5 8 4" xfId="24063" xr:uid="{054A62F6-1B71-4330-A3CF-FAE827F8C87B}"/>
    <cellStyle name="Warning Text 5 8 5" xfId="42078" xr:uid="{08A0ECF2-2A92-4877-AD9A-074A147E90F5}"/>
    <cellStyle name="Warning Text 5 8 5 2" xfId="42079" xr:uid="{EBC4F8E7-AC1F-4A83-935A-00E5E67657FD}"/>
    <cellStyle name="Warning Text 5 8 5 3" xfId="42080" xr:uid="{29AD0676-29D1-42B3-A0AF-3D1885BAFEEF}"/>
    <cellStyle name="Warning Text 5 8 6" xfId="42081" xr:uid="{1DCBCA14-0B73-4450-90B9-03FA32F3F1D9}"/>
    <cellStyle name="Warning Text 5 9" xfId="24064" xr:uid="{620C390D-6487-488A-8164-5B374FDCCA77}"/>
    <cellStyle name="Warning Text 5 9 2" xfId="24065" xr:uid="{EC1C72FB-A515-4A54-A049-35EB5A5895FE}"/>
    <cellStyle name="Warning Text 5 9 2 2" xfId="24066" xr:uid="{FB450BB3-BD46-4B8B-9498-0022F962977F}"/>
    <cellStyle name="Warning Text 5 9 2 3" xfId="42082" xr:uid="{21B70A86-FCF6-43CD-8F0F-59A27D743BFC}"/>
    <cellStyle name="Warning Text 5 9 3" xfId="24067" xr:uid="{D7D6BDF6-1957-48CB-AC32-CA7F1B0F3194}"/>
    <cellStyle name="Warning Text 5 9 3 2" xfId="42083" xr:uid="{949DDD44-7836-4215-BE8B-1F1EF9CA799D}"/>
    <cellStyle name="Warning Text 5 9 3 3" xfId="42084" xr:uid="{DE19B580-7AD9-4556-B420-C7A288DB6DFF}"/>
    <cellStyle name="Warning Text 5 9 4" xfId="24068" xr:uid="{30E8B99E-2A1B-4ECC-8B3E-6C600AE169FD}"/>
    <cellStyle name="Warning Text 5 9 5" xfId="42085" xr:uid="{AE85E84C-3872-4A25-AA72-947ED0351968}"/>
    <cellStyle name="Warning Text 5 9 5 2" xfId="42086" xr:uid="{FD6AF60D-E354-431A-B204-36531EEAAA89}"/>
    <cellStyle name="Warning Text 5 9 5 3" xfId="42087" xr:uid="{DB3CC3B9-D5CF-4138-B223-4510B57073C4}"/>
    <cellStyle name="Warning Text 5 9 6" xfId="42088" xr:uid="{C584A624-3E55-4E33-9272-F16B2A84D9BB}"/>
    <cellStyle name="Warning Text 6" xfId="24069" xr:uid="{6BC5FC6E-4262-4AFE-BB95-6FBE9EF3B8C9}"/>
    <cellStyle name="Warning Text 6 10" xfId="24070" xr:uid="{BF71A4A6-34E5-4D5F-B2DD-259833F9EF93}"/>
    <cellStyle name="Warning Text 6 10 2" xfId="24071" xr:uid="{B4312435-8C53-4520-8E04-4C186B897D44}"/>
    <cellStyle name="Warning Text 6 10 2 2" xfId="24072" xr:uid="{FC67F897-2AA8-44F4-899D-49F56AAECB6F}"/>
    <cellStyle name="Warning Text 6 10 2 3" xfId="42089" xr:uid="{93C9A96A-2DAF-42DF-88E6-83E04FEC5C52}"/>
    <cellStyle name="Warning Text 6 10 3" xfId="24073" xr:uid="{5D7AB79F-4E40-4D44-880E-A3A03C761B89}"/>
    <cellStyle name="Warning Text 6 10 3 2" xfId="42090" xr:uid="{51985109-A319-4178-B4AC-E5433ED975AE}"/>
    <cellStyle name="Warning Text 6 10 3 3" xfId="42091" xr:uid="{97647E58-3089-4887-AFB1-E4E4229ECD7B}"/>
    <cellStyle name="Warning Text 6 10 4" xfId="24074" xr:uid="{B507AAB2-D9A7-400A-97FF-66B77CA7B12D}"/>
    <cellStyle name="Warning Text 6 10 5" xfId="42092" xr:uid="{0A87CC1B-86C5-40BC-8625-440FB302806B}"/>
    <cellStyle name="Warning Text 6 10 5 2" xfId="42093" xr:uid="{3955290B-807E-4D6F-BF26-E2CD83875C4F}"/>
    <cellStyle name="Warning Text 6 10 5 3" xfId="42094" xr:uid="{DB0B0291-26EA-4475-AA35-23BE689E43FA}"/>
    <cellStyle name="Warning Text 6 10 6" xfId="42095" xr:uid="{B56ED514-CAE7-4841-A299-B89769D61E7E}"/>
    <cellStyle name="Warning Text 6 11" xfId="24075" xr:uid="{C461C432-A590-4AE4-8D42-57F710EA2BD0}"/>
    <cellStyle name="Warning Text 6 11 2" xfId="24076" xr:uid="{12F4B3C8-FFE5-411A-830C-834E171365E6}"/>
    <cellStyle name="Warning Text 6 11 2 2" xfId="24077" xr:uid="{45A6B3E0-8232-4155-9E6B-B2E01842901D}"/>
    <cellStyle name="Warning Text 6 11 2 3" xfId="42096" xr:uid="{8543603E-7279-4ADA-9042-6B3E7FA41464}"/>
    <cellStyle name="Warning Text 6 11 3" xfId="24078" xr:uid="{2DE392AE-E85F-43EB-99CB-56D9E31177D6}"/>
    <cellStyle name="Warning Text 6 11 3 2" xfId="42097" xr:uid="{ED8D86A4-91C2-4F65-9B59-EF34412B5C21}"/>
    <cellStyle name="Warning Text 6 11 3 3" xfId="42098" xr:uid="{41CB08C3-BC6A-4957-8897-3268E61B2E0F}"/>
    <cellStyle name="Warning Text 6 11 4" xfId="24079" xr:uid="{968BC7F1-08ED-45CD-8220-DC2E7F99D9DE}"/>
    <cellStyle name="Warning Text 6 11 5" xfId="42099" xr:uid="{8CA81745-FED2-4C42-BC67-4A34C10E1C19}"/>
    <cellStyle name="Warning Text 6 11 5 2" xfId="42100" xr:uid="{EA99196D-D6EB-4A55-9E15-1F2795176B49}"/>
    <cellStyle name="Warning Text 6 11 5 3" xfId="42101" xr:uid="{A1340EDF-D6F4-4E93-BC50-4544CC6631B6}"/>
    <cellStyle name="Warning Text 6 11 6" xfId="42102" xr:uid="{EAA535D2-AC0E-4926-B424-7AAF0F0247B7}"/>
    <cellStyle name="Warning Text 6 12" xfId="24080" xr:uid="{74B9E04C-AE63-4A7A-940B-810C52ECC58A}"/>
    <cellStyle name="Warning Text 6 12 2" xfId="24081" xr:uid="{D1E3E205-DBF7-4C59-AA5A-970089A11905}"/>
    <cellStyle name="Warning Text 6 12 3" xfId="42103" xr:uid="{14C0BE46-2522-482B-B3A5-FEB6171C7193}"/>
    <cellStyle name="Warning Text 6 13" xfId="24082" xr:uid="{C8661D1E-49A1-41E6-BA73-D50678E55B68}"/>
    <cellStyle name="Warning Text 6 13 2" xfId="42104" xr:uid="{CF03C87E-AA97-4D74-BD84-76F0FC19F4A9}"/>
    <cellStyle name="Warning Text 6 13 3" xfId="42105" xr:uid="{E8FB0E6D-60A9-406C-8D74-AE7BB000C289}"/>
    <cellStyle name="Warning Text 6 14" xfId="24083" xr:uid="{B4C3ABF2-E601-4ACD-9AED-B675419A7032}"/>
    <cellStyle name="Warning Text 6 15" xfId="42106" xr:uid="{8437F674-4066-4D83-A0A6-DBD915C68E7E}"/>
    <cellStyle name="Warning Text 6 15 2" xfId="42107" xr:uid="{ABF860B9-D78B-4FB2-B60F-CB1E703B4679}"/>
    <cellStyle name="Warning Text 6 15 3" xfId="42108" xr:uid="{2CE3316C-3006-4AF8-9996-9FAE4ADE2E20}"/>
    <cellStyle name="Warning Text 6 16" xfId="42109" xr:uid="{0E44A18A-E099-4E07-91FB-45DC3F9128ED}"/>
    <cellStyle name="Warning Text 6 2" xfId="24084" xr:uid="{ECC269EB-7AC2-4399-BF99-B347D8543B52}"/>
    <cellStyle name="Warning Text 6 2 2" xfId="24085" xr:uid="{874A9500-8FA4-4E4C-B503-13476E64B74E}"/>
    <cellStyle name="Warning Text 6 2 2 2" xfId="24086" xr:uid="{DA32ACEC-E44F-4981-B5E9-545DE1210D46}"/>
    <cellStyle name="Warning Text 6 2 2 3" xfId="42110" xr:uid="{3419E522-F189-4F00-BBD5-0FA099EAB81F}"/>
    <cellStyle name="Warning Text 6 2 3" xfId="24087" xr:uid="{76C8BA78-D4E3-4188-BDFC-CA3ED5419B2F}"/>
    <cellStyle name="Warning Text 6 2 3 2" xfId="42111" xr:uid="{B44A9EC5-03A2-4A12-A9D6-69B44F56B3A5}"/>
    <cellStyle name="Warning Text 6 2 3 3" xfId="42112" xr:uid="{697461B8-D34F-4659-B080-D9D2519E3035}"/>
    <cellStyle name="Warning Text 6 2 4" xfId="24088" xr:uid="{6F14341A-7F5D-4A48-8A2C-9E516971D901}"/>
    <cellStyle name="Warning Text 6 2 5" xfId="42113" xr:uid="{ADE1C3B9-F739-4221-AB56-F40D129313A7}"/>
    <cellStyle name="Warning Text 6 2 5 2" xfId="42114" xr:uid="{A3CB3D06-6E6A-47FA-B0DA-88FB6B276602}"/>
    <cellStyle name="Warning Text 6 2 5 3" xfId="42115" xr:uid="{A2519A16-3838-4EB8-9188-AC0FCE03F81D}"/>
    <cellStyle name="Warning Text 6 2 6" xfId="42116" xr:uid="{41330E43-6A55-460A-AEE2-F3D1E95E73A3}"/>
    <cellStyle name="Warning Text 6 3" xfId="24089" xr:uid="{3D99485B-7FE1-4752-B35B-E55FE0083018}"/>
    <cellStyle name="Warning Text 6 3 2" xfId="24090" xr:uid="{9EDCB969-C9DB-4A1D-BD95-4EC98327D27C}"/>
    <cellStyle name="Warning Text 6 3 2 2" xfId="24091" xr:uid="{EDC5B36F-F9D0-4D88-AAB8-298A010FF1BE}"/>
    <cellStyle name="Warning Text 6 3 2 3" xfId="42117" xr:uid="{AD7CEBA3-7DDF-4601-B0CD-0CDC2E1FAD75}"/>
    <cellStyle name="Warning Text 6 3 3" xfId="24092" xr:uid="{55A741B2-0782-4F64-9B23-97B36A613838}"/>
    <cellStyle name="Warning Text 6 3 3 2" xfId="42118" xr:uid="{22DD4CA7-244F-44D0-A4CE-16988266D7D5}"/>
    <cellStyle name="Warning Text 6 3 3 3" xfId="42119" xr:uid="{63D062DB-E4AF-45F1-A658-FC47BEB05BC5}"/>
    <cellStyle name="Warning Text 6 3 4" xfId="24093" xr:uid="{EAC27D74-B06B-4C66-ADF8-927D6D7987B8}"/>
    <cellStyle name="Warning Text 6 3 5" xfId="42120" xr:uid="{9301F88C-028A-4D96-8636-7AD7F4D0C169}"/>
    <cellStyle name="Warning Text 6 3 5 2" xfId="42121" xr:uid="{707A02EA-B726-4035-99E5-6DAE4C8B6D80}"/>
    <cellStyle name="Warning Text 6 3 5 3" xfId="42122" xr:uid="{2DE9CE51-AA27-4252-AE08-4EB0CEA23970}"/>
    <cellStyle name="Warning Text 6 3 6" xfId="42123" xr:uid="{7CA75730-4D12-451B-A30E-2F6B170A2AE0}"/>
    <cellStyle name="Warning Text 6 4" xfId="24094" xr:uid="{E25D3BF5-4F24-4AC2-87D2-626D38988EBD}"/>
    <cellStyle name="Warning Text 6 4 2" xfId="24095" xr:uid="{C32DC771-6E16-4350-9CB1-C7425A93C595}"/>
    <cellStyle name="Warning Text 6 4 2 2" xfId="24096" xr:uid="{54123B93-D524-41E0-85D7-EA36AB0669AB}"/>
    <cellStyle name="Warning Text 6 4 2 3" xfId="42124" xr:uid="{E2D8E0BA-5E54-478D-9B77-2BF5072CAB57}"/>
    <cellStyle name="Warning Text 6 4 3" xfId="24097" xr:uid="{C0625338-545D-434D-B0D0-04753957BD90}"/>
    <cellStyle name="Warning Text 6 4 3 2" xfId="42125" xr:uid="{C4BDF690-F8D8-4791-AAAC-FB1F32B8270D}"/>
    <cellStyle name="Warning Text 6 4 3 3" xfId="42126" xr:uid="{E2322C69-A7F1-47EF-9998-9296FBB59868}"/>
    <cellStyle name="Warning Text 6 4 4" xfId="24098" xr:uid="{709F0CD1-7C64-4DB8-979A-82A102726893}"/>
    <cellStyle name="Warning Text 6 4 5" xfId="42127" xr:uid="{1CA35086-2D19-4A58-9B34-57E00CC41CAC}"/>
    <cellStyle name="Warning Text 6 4 5 2" xfId="42128" xr:uid="{EA07AEBE-5EB4-4E24-B21F-43DB6A173158}"/>
    <cellStyle name="Warning Text 6 4 5 3" xfId="42129" xr:uid="{CE9C90FC-A9F9-433D-8015-7A12EA5B1978}"/>
    <cellStyle name="Warning Text 6 4 6" xfId="42130" xr:uid="{E36BCD44-57F1-4A51-A924-E58266B76EEE}"/>
    <cellStyle name="Warning Text 6 5" xfId="24099" xr:uid="{10D6249B-F715-4A3E-81B8-D84FDCB070CC}"/>
    <cellStyle name="Warning Text 6 5 2" xfId="24100" xr:uid="{69EB575E-855D-420A-9837-36AC1241C66C}"/>
    <cellStyle name="Warning Text 6 5 2 2" xfId="24101" xr:uid="{E4A41723-6D7D-4098-9AAF-C4C917E66241}"/>
    <cellStyle name="Warning Text 6 5 2 3" xfId="42131" xr:uid="{942BD2B5-26D9-4B17-839F-45FB0C4AD816}"/>
    <cellStyle name="Warning Text 6 5 3" xfId="24102" xr:uid="{BA005991-1E8D-460D-A759-8BC7C45C6703}"/>
    <cellStyle name="Warning Text 6 5 3 2" xfId="42132" xr:uid="{B3AD5C18-822E-44C8-8BC5-0901466F123B}"/>
    <cellStyle name="Warning Text 6 5 3 3" xfId="42133" xr:uid="{BE040295-FC4C-4C2E-B450-1012ACBC604A}"/>
    <cellStyle name="Warning Text 6 5 4" xfId="24103" xr:uid="{2F352D0C-5385-4E6D-B15C-6E2E5BB68714}"/>
    <cellStyle name="Warning Text 6 5 5" xfId="42134" xr:uid="{93670948-9E47-49AA-B3B8-1C04FF7E404D}"/>
    <cellStyle name="Warning Text 6 5 5 2" xfId="42135" xr:uid="{EFE897B4-2A79-4045-92C9-F86BADC723C3}"/>
    <cellStyle name="Warning Text 6 5 5 3" xfId="42136" xr:uid="{5BFB75D1-1B39-4409-9978-8481EB4782E5}"/>
    <cellStyle name="Warning Text 6 5 6" xfId="42137" xr:uid="{64A2DEE5-3C3B-4BF3-A7D1-D8B062989E85}"/>
    <cellStyle name="Warning Text 6 6" xfId="24104" xr:uid="{D3B1644C-3618-4042-AFF9-8FD9EF6A1ACD}"/>
    <cellStyle name="Warning Text 6 6 2" xfId="24105" xr:uid="{A4451D7A-DF74-4EE5-8171-4988713D6291}"/>
    <cellStyle name="Warning Text 6 6 2 2" xfId="24106" xr:uid="{94151080-D0DF-4F17-B66F-36D3AC3506D5}"/>
    <cellStyle name="Warning Text 6 6 2 3" xfId="42138" xr:uid="{CC45B861-1B1E-4901-9425-B98C64BAC875}"/>
    <cellStyle name="Warning Text 6 6 3" xfId="24107" xr:uid="{2B7FEA3B-2B17-41A8-9D7F-9BA3C626D0C3}"/>
    <cellStyle name="Warning Text 6 6 3 2" xfId="42139" xr:uid="{9DD7C788-C229-4C12-BF0C-6BDA9F1C129A}"/>
    <cellStyle name="Warning Text 6 6 3 3" xfId="42140" xr:uid="{683638FB-E82D-4A04-AF29-0F364B72B2AF}"/>
    <cellStyle name="Warning Text 6 6 4" xfId="24108" xr:uid="{A230FABE-6CC7-47D8-80ED-915E76EDB1A2}"/>
    <cellStyle name="Warning Text 6 6 5" xfId="42141" xr:uid="{73786075-C11B-44DF-8896-C7D45897C6C3}"/>
    <cellStyle name="Warning Text 6 6 5 2" xfId="42142" xr:uid="{6C99F014-8D68-4CEE-A89C-C516A32E5EBA}"/>
    <cellStyle name="Warning Text 6 6 5 3" xfId="42143" xr:uid="{3F3A8FFD-40A4-40A9-AE0F-76B626A2A989}"/>
    <cellStyle name="Warning Text 6 6 6" xfId="42144" xr:uid="{15050841-56FE-442D-BD9F-50B653173B3A}"/>
    <cellStyle name="Warning Text 6 7" xfId="24109" xr:uid="{1F967CC4-9071-4A0E-972B-3AB756F55E55}"/>
    <cellStyle name="Warning Text 6 7 2" xfId="24110" xr:uid="{EE7DAE5F-359E-41FD-A64E-88A0C8947A45}"/>
    <cellStyle name="Warning Text 6 7 2 2" xfId="24111" xr:uid="{FB238978-C6F2-4EBE-BEC3-86D76784658A}"/>
    <cellStyle name="Warning Text 6 7 2 3" xfId="42145" xr:uid="{1C415F5F-BE39-471E-8E04-C466CFCC76A0}"/>
    <cellStyle name="Warning Text 6 7 3" xfId="24112" xr:uid="{3D70DFCF-8526-47F2-A8BB-D05A5F1AE76C}"/>
    <cellStyle name="Warning Text 6 7 3 2" xfId="42146" xr:uid="{523FD478-C731-4B5A-BCE3-F35514BF7FF0}"/>
    <cellStyle name="Warning Text 6 7 3 3" xfId="42147" xr:uid="{FEC9D5C7-0536-41E1-B86E-6CC6BA0303D5}"/>
    <cellStyle name="Warning Text 6 7 4" xfId="24113" xr:uid="{D060D523-3831-4EDE-A7A8-D9B71A3D07BB}"/>
    <cellStyle name="Warning Text 6 7 5" xfId="42148" xr:uid="{328E47B3-2EED-492C-8063-A189725632DE}"/>
    <cellStyle name="Warning Text 6 7 5 2" xfId="42149" xr:uid="{C611B9B3-4CB1-415F-9414-D1E08F0FD98C}"/>
    <cellStyle name="Warning Text 6 7 5 3" xfId="42150" xr:uid="{8C064021-2B27-4471-BC4C-F79D2001D596}"/>
    <cellStyle name="Warning Text 6 7 6" xfId="42151" xr:uid="{4FA43C6D-58B4-4C45-91C1-AB23EF765443}"/>
    <cellStyle name="Warning Text 6 8" xfId="24114" xr:uid="{C1DCB844-1E9B-4C9B-94F6-6D9954014B4F}"/>
    <cellStyle name="Warning Text 6 8 2" xfId="24115" xr:uid="{95C65928-69E0-4353-BA4F-F252C769A65F}"/>
    <cellStyle name="Warning Text 6 8 2 2" xfId="24116" xr:uid="{A6F2F524-89EA-4D28-B253-BB93D8288DB7}"/>
    <cellStyle name="Warning Text 6 8 2 3" xfId="42152" xr:uid="{F086DCA0-6C8C-43FD-93CB-DB8526FA5EFE}"/>
    <cellStyle name="Warning Text 6 8 3" xfId="24117" xr:uid="{15C65BC8-1E99-4834-8375-E9A49ACF8407}"/>
    <cellStyle name="Warning Text 6 8 3 2" xfId="42153" xr:uid="{B741F4AE-B35A-4DA8-A8FE-4BCB757C79E3}"/>
    <cellStyle name="Warning Text 6 8 3 3" xfId="42154" xr:uid="{4DCF0566-6015-4CAD-9D5B-77D04254B8D2}"/>
    <cellStyle name="Warning Text 6 8 4" xfId="24118" xr:uid="{5C01EB8C-0C27-4E98-89E5-9ACA2AAB6BE1}"/>
    <cellStyle name="Warning Text 6 8 5" xfId="42155" xr:uid="{CE96BF43-17D4-49A3-91AE-637EFEFEE180}"/>
    <cellStyle name="Warning Text 6 8 5 2" xfId="42156" xr:uid="{D8476D47-227F-41C0-908D-51DE38D2C145}"/>
    <cellStyle name="Warning Text 6 8 5 3" xfId="42157" xr:uid="{3A40DB79-4417-411C-9184-F8A4969BCAC2}"/>
    <cellStyle name="Warning Text 6 8 6" xfId="42158" xr:uid="{5213BB70-F376-426E-BC94-14A5FC36CCB2}"/>
    <cellStyle name="Warning Text 6 9" xfId="24119" xr:uid="{061E66A2-CA10-4A3E-9359-545A91DBD82A}"/>
    <cellStyle name="Warning Text 6 9 2" xfId="24120" xr:uid="{146CC49E-30C6-4378-8A72-6E38A6E95164}"/>
    <cellStyle name="Warning Text 6 9 2 2" xfId="24121" xr:uid="{794C3F9D-C000-477D-9AAC-D87ABCD9F952}"/>
    <cellStyle name="Warning Text 6 9 2 3" xfId="42159" xr:uid="{A0433439-9234-422B-8F4D-248EF8EE0051}"/>
    <cellStyle name="Warning Text 6 9 3" xfId="24122" xr:uid="{9A9E78CA-7222-4ACD-BAB4-271976EA6A07}"/>
    <cellStyle name="Warning Text 6 9 3 2" xfId="42160" xr:uid="{182F18C0-032C-4A72-BDA6-7BE2B57F1625}"/>
    <cellStyle name="Warning Text 6 9 3 3" xfId="42161" xr:uid="{4B3D4882-4332-490E-BEBE-803140F19160}"/>
    <cellStyle name="Warning Text 6 9 4" xfId="24123" xr:uid="{F5A0F9D1-3D79-4C69-9318-2BDB359140CD}"/>
    <cellStyle name="Warning Text 6 9 5" xfId="42162" xr:uid="{0F61AA7B-950E-4AFA-958C-72CD732D3DE4}"/>
    <cellStyle name="Warning Text 6 9 5 2" xfId="42163" xr:uid="{F9127340-6207-4EC0-A6C6-6F3CB270130A}"/>
    <cellStyle name="Warning Text 6 9 5 3" xfId="42164" xr:uid="{9CA2D523-57A7-4483-B146-BBB90FADFDC1}"/>
    <cellStyle name="Warning Text 6 9 6" xfId="42165" xr:uid="{4F06E3F1-452C-4368-8753-DA79D09D579D}"/>
    <cellStyle name="Warning Text 7" xfId="24124" xr:uid="{FD2445CC-EA50-456B-A6AE-F9965AF8F37B}"/>
    <cellStyle name="Warning Text 7 2" xfId="24125" xr:uid="{8A8C60C8-3DDD-46BA-9022-3A70D0543904}"/>
    <cellStyle name="Warning Text 7 2 2" xfId="24126" xr:uid="{F5D5F79A-0CAA-4220-93CE-8B0F21CACD4E}"/>
    <cellStyle name="Warning Text 7 2 3" xfId="42166" xr:uid="{55F0043B-D54A-40FB-A904-5A87E8980386}"/>
    <cellStyle name="Warning Text 7 3" xfId="24127" xr:uid="{2F0A68CB-8B58-4BEC-91BB-BAD2958F3937}"/>
    <cellStyle name="Warning Text 7 3 2" xfId="42167" xr:uid="{3FEEB333-02EF-40BD-894B-CFFBAC4E4AEF}"/>
    <cellStyle name="Warning Text 7 3 3" xfId="42168" xr:uid="{8E5F0324-5B67-4586-8ED3-C6E53C00E082}"/>
    <cellStyle name="Warning Text 7 4" xfId="24128" xr:uid="{90642686-9ACA-494B-ABA2-2B753FF4AA6A}"/>
    <cellStyle name="Warning Text 7 5" xfId="42169" xr:uid="{406EB789-C9A0-4E75-8C65-B9CE1EDA1D98}"/>
    <cellStyle name="Warning Text 7 5 2" xfId="42170" xr:uid="{42820F5B-0FE2-4009-BF01-2E896592590B}"/>
    <cellStyle name="Warning Text 7 5 3" xfId="42171" xr:uid="{36613FF2-EFDE-4CC9-8429-E0B534590A9B}"/>
    <cellStyle name="Warning Text 7 6" xfId="42172" xr:uid="{83A3C5DF-9009-468F-989C-D7A285731DFA}"/>
    <cellStyle name="Warning Text 8" xfId="24129" xr:uid="{D9C55910-6EC6-4373-B471-E0F06E34F0CA}"/>
    <cellStyle name="Warning Text 8 2" xfId="24130" xr:uid="{86A7137B-FC1B-4138-AF0C-79474BE6BF1D}"/>
    <cellStyle name="Warning Text 8 2 2" xfId="24131" xr:uid="{D63CC702-2116-4033-8B42-BBB5B61440D6}"/>
    <cellStyle name="Warning Text 8 2 3" xfId="42173" xr:uid="{2DC47CF1-3913-4DC2-95BF-ED847754999F}"/>
    <cellStyle name="Warning Text 8 3" xfId="24132" xr:uid="{53898550-84C7-4CE0-A570-7B1ECA28EDA8}"/>
    <cellStyle name="Warning Text 8 3 2" xfId="42174" xr:uid="{140F62F8-6FB4-4037-A2B9-0F21B50DA095}"/>
    <cellStyle name="Warning Text 8 3 3" xfId="42175" xr:uid="{CDF90F08-EA0C-4F2C-A415-5D44DDDC1751}"/>
    <cellStyle name="Warning Text 8 4" xfId="24133" xr:uid="{CFBDDE60-F225-479F-BFE1-8052913DCA27}"/>
    <cellStyle name="Warning Text 8 5" xfId="42176" xr:uid="{F7B073CF-64A6-4C05-94FA-AE839CF2E3DC}"/>
    <cellStyle name="Warning Text 8 5 2" xfId="42177" xr:uid="{8EDA6311-DDA1-4049-B787-115864EBC8E1}"/>
    <cellStyle name="Warning Text 8 5 3" xfId="42178" xr:uid="{2A89F8D5-9A9E-4167-986D-E8DD0F5B271D}"/>
    <cellStyle name="Warning Text 8 6" xfId="42179" xr:uid="{F5C4E2C0-8917-4CB2-A00E-EFA508D9F329}"/>
    <cellStyle name="Warning Text 9" xfId="24134" xr:uid="{91067B34-D16C-445A-88F2-8D25CD9E3D8F}"/>
    <cellStyle name="Warning Text 9 2" xfId="24135" xr:uid="{0E381BE0-931C-482E-BF9C-F9675D82A4E6}"/>
    <cellStyle name="Warning Text 9 2 2" xfId="24136" xr:uid="{EC238E41-A683-4DCD-94AE-C01D47D809EB}"/>
    <cellStyle name="Warning Text 9 2 3" xfId="42180" xr:uid="{36DE402F-526B-406B-9126-8449733F13DF}"/>
    <cellStyle name="Warning Text 9 3" xfId="24137" xr:uid="{A265E9D1-6282-476F-80AF-9F4876A2EA7C}"/>
    <cellStyle name="Warning Text 9 3 2" xfId="42181" xr:uid="{1B1A5D05-FCA7-4CCA-9AFA-474570940DD1}"/>
    <cellStyle name="Warning Text 9 3 3" xfId="42182" xr:uid="{3FA2A8BD-8572-4104-9148-00B25E38E510}"/>
    <cellStyle name="Warning Text 9 4" xfId="24138" xr:uid="{B7F5A277-9269-4F23-8F21-61AD77F0A5CA}"/>
    <cellStyle name="Warning Text 9 5" xfId="42183" xr:uid="{296A07C8-5876-4388-A651-043FA57CF632}"/>
    <cellStyle name="Warning Text 9 5 2" xfId="42184" xr:uid="{71CE0A59-0300-4377-9889-F5278DA36C0D}"/>
    <cellStyle name="Warning Text 9 5 3" xfId="42185" xr:uid="{45E981B2-1AF7-4168-A6E1-9251B54B3401}"/>
    <cellStyle name="Warning Text 9 6" xfId="42186" xr:uid="{6B352894-84C2-4CCE-8102-7D1580B3902A}"/>
    <cellStyle name="Zelle überprüfen" xfId="24139" xr:uid="{FC570EA4-B92F-42D6-89FF-9A45052808FF}"/>
    <cellStyle name="Zelle überprüfen 2" xfId="42187" xr:uid="{A8BE4981-237F-45AE-8CDC-BC9770099449}"/>
    <cellStyle name="Гиперссылка" xfId="24140" xr:uid="{6A94084E-32D0-470A-9F4A-D9FE780F4DCB}"/>
    <cellStyle name="Гиперссылка 2" xfId="42188" xr:uid="{3C218DE0-C660-41CB-9883-B86708891A73}"/>
    <cellStyle name="Гиперссылка 2 2" xfId="44161" xr:uid="{1F576188-580E-4142-8D29-F55A56BCFD2A}"/>
    <cellStyle name="Гиперссылка 3" xfId="44169" xr:uid="{532FAF9A-FFB1-4F35-B95C-E66863F8F70B}"/>
    <cellStyle name="Гиперссылка 4" xfId="44329" xr:uid="{10ACF891-0002-4386-876D-5C4C555A2222}"/>
    <cellStyle name="Обычный_2++" xfId="24141" xr:uid="{E8A8FD8A-9CAC-4271-9876-8F26F9421297}"/>
    <cellStyle name="已访问的超链接" xfId="24142" xr:uid="{B6DCD8B3-EB95-425D-8AC1-1FFF890A2F8A}"/>
    <cellStyle name="已访问的超链接 2" xfId="42189" xr:uid="{458863C1-4E11-41C5-97D1-2B6B1FD50103}"/>
    <cellStyle name="已访问的超链接 3" xfId="43478" xr:uid="{F67B582D-1370-45AB-908D-3A9C59F6942D}"/>
  </cellStyles>
  <dxfs count="4">
    <dxf>
      <numFmt numFmtId="216" formatCode="[&gt;0.0005]0.0%;[=0]\-;#\♦"/>
    </dxf>
    <dxf>
      <numFmt numFmtId="217" formatCode="[&lt;-0.0005]\-0.0%;[=0]\-;#\♦"/>
    </dxf>
    <dxf>
      <numFmt numFmtId="216" formatCode="[&gt;0.0005]0.0%;[=0]\-;#\♦"/>
    </dxf>
    <dxf>
      <numFmt numFmtId="217" formatCode="[&lt;-0.0005]\-0.0%;[=0]\-;#\♦"/>
    </dxf>
  </dxfs>
  <tableStyles count="0" defaultTableStyle="TableStyleMedium2" defaultPivotStyle="PivotStyleLight16"/>
  <colors>
    <mruColors>
      <color rgb="FFFFFFCC"/>
      <color rgb="FFFA7D00"/>
      <color rgb="FFC5D9F2"/>
      <color rgb="FF508CD4"/>
      <color rgb="FFFFFF99"/>
      <color rgb="FFC5D9F1"/>
      <color rgb="FF1F497D"/>
      <color rgb="FFD8E4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styles" Target="styles.xml"/><Relationship Id="rId68"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69"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worldbank.org/indicator/FP.CPI.TOTL" TargetMode="External"/><Relationship Id="rId13" Type="http://schemas.openxmlformats.org/officeDocument/2006/relationships/hyperlink" Target="http://graphics.wsj.com/oil-barrel-breakdown/" TargetMode="External"/><Relationship Id="rId18" Type="http://schemas.openxmlformats.org/officeDocument/2006/relationships/hyperlink" Target="https://www.sciencedirect.com/science/article/pii/S0360544216308817?via%3Dihub" TargetMode="External"/><Relationship Id="rId26" Type="http://schemas.openxmlformats.org/officeDocument/2006/relationships/hyperlink" Target="https://globalenergymonitor.org/projects/global-coal-mine-tracker/summary-tables/" TargetMode="External"/><Relationship Id="rId3" Type="http://schemas.openxmlformats.org/officeDocument/2006/relationships/hyperlink" Target="https://www.oecd-nea.org/jcms/pl_52718/uranium-2020-resources-production-and-demand?details=true" TargetMode="External"/><Relationship Id="rId21" Type="http://schemas.openxmlformats.org/officeDocument/2006/relationships/hyperlink" Target="https://www.sciencedirect.com/science/article/pii/S2352550921003559" TargetMode="External"/><Relationship Id="rId7" Type="http://schemas.openxmlformats.org/officeDocument/2006/relationships/hyperlink" Target="https://www.sciencedirect.com/science/article/pii/S1875510020301451" TargetMode="External"/><Relationship Id="rId12" Type="http://schemas.openxmlformats.org/officeDocument/2006/relationships/hyperlink" Target="https://www.sciencedirect.com/science/article/pii/S0301421513007763" TargetMode="External"/><Relationship Id="rId17" Type="http://schemas.openxmlformats.org/officeDocument/2006/relationships/hyperlink" Target="https://link.springer.com/chapter/10.1007/978-3-030-86884-0_3" TargetMode="External"/><Relationship Id="rId25" Type="http://schemas.openxmlformats.org/officeDocument/2006/relationships/hyperlink" Target="https://iea-etsap.org/E-TechDS/PDF/P11_BiogasProd_ML_Dec2013_GSOK.pdf" TargetMode="External"/><Relationship Id="rId2" Type="http://schemas.openxmlformats.org/officeDocument/2006/relationships/hyperlink" Target="https://www.energyinst.org/statistical-review" TargetMode="External"/><Relationship Id="rId16" Type="http://schemas.openxmlformats.org/officeDocument/2006/relationships/hyperlink" Target="https://www.iea.org/reports/global-hydrogen-review-2023" TargetMode="External"/><Relationship Id="rId20" Type="http://schemas.openxmlformats.org/officeDocument/2006/relationships/hyperlink" Target="https://github.com/magpiemodel/magpie" TargetMode="External"/><Relationship Id="rId29" Type="http://schemas.openxmlformats.org/officeDocument/2006/relationships/vmlDrawing" Target="../drawings/vmlDrawing1.vml"/><Relationship Id="rId1" Type="http://schemas.openxmlformats.org/officeDocument/2006/relationships/hyperlink" Target="https://data.un.org/" TargetMode="External"/><Relationship Id="rId6" Type="http://schemas.openxmlformats.org/officeDocument/2006/relationships/hyperlink" Target="https://www.sciencedirect.com/science/article/pii/S1364032118306828" TargetMode="External"/><Relationship Id="rId11" Type="http://schemas.openxmlformats.org/officeDocument/2006/relationships/hyperlink" Target="https://globalenergymonitor.org/projects/global-gas-infrastructure-tracker/" TargetMode="External"/><Relationship Id="rId24" Type="http://schemas.openxmlformats.org/officeDocument/2006/relationships/hyperlink" Target="https://www.sciencedirect.com/science/article/pii/S0960148118314836?fr=RR-2&amp;ref=pdf_download&amp;rr=8df5dc4898d90db7" TargetMode="External"/><Relationship Id="rId5" Type="http://schemas.openxmlformats.org/officeDocument/2006/relationships/hyperlink" Target="https://www.sciencedirect.com/science/article/pii/S1359431119358399" TargetMode="External"/><Relationship Id="rId15" Type="http://schemas.openxmlformats.org/officeDocument/2006/relationships/hyperlink" Target="https://www.sciencedirect.com/science/article/pii/S0360544217316250" TargetMode="External"/><Relationship Id="rId23" Type="http://schemas.openxmlformats.org/officeDocument/2006/relationships/hyperlink" Target="https://mdh.diva-portal.org/smash/get/diva2:1775460/FULLTEXT01.pdf" TargetMode="External"/><Relationship Id="rId28" Type="http://schemas.openxmlformats.org/officeDocument/2006/relationships/printerSettings" Target="../printerSettings/printerSettings1.bin"/><Relationship Id="rId10" Type="http://schemas.openxmlformats.org/officeDocument/2006/relationships/hyperlink" Target="https://globalenergymonitor.org/projects/global-oil-infrastructure-tracker/" TargetMode="External"/><Relationship Id="rId19" Type="http://schemas.openxmlformats.org/officeDocument/2006/relationships/hyperlink" Target="https://www.researchgate.net/publication/380001788_Identification_Optimal_Strategies_for_Natural_Gas_Pipeline_Network_Management_in_Thailand" TargetMode="External"/><Relationship Id="rId4" Type="http://schemas.openxmlformats.org/officeDocument/2006/relationships/hyperlink" Target="https://unstats.un.org/unsd/energystats/pubs/yearbook/" TargetMode="External"/><Relationship Id="rId9" Type="http://schemas.openxmlformats.org/officeDocument/2006/relationships/hyperlink" Target="https://www.igu.org/resources/2020-world-lng-report/" TargetMode="External"/><Relationship Id="rId14" Type="http://schemas.openxmlformats.org/officeDocument/2006/relationships/hyperlink" Target="https://www.iea.org/reports/coal-2020/prices-and-costs" TargetMode="External"/><Relationship Id="rId22" Type="http://schemas.openxmlformats.org/officeDocument/2006/relationships/hyperlink" Target="https://www.sciencedirect.com/science/article/pii/S037838200900112X" TargetMode="External"/><Relationship Id="rId27" Type="http://schemas.openxmlformats.org/officeDocument/2006/relationships/hyperlink" Target="https://www.ipcc-nggip.iges.or.jp/public/2006gl/vol2.html" TargetMode="External"/><Relationship Id="rId30"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7.bin"/><Relationship Id="rId1" Type="http://schemas.openxmlformats.org/officeDocument/2006/relationships/hyperlink" Target="https://www.ipcc-nggip.iges.or.jp/public/2006gl/vol2.html" TargetMode="External"/><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J193"/>
  <sheetViews>
    <sheetView showGridLines="0" topLeftCell="A141" zoomScaleNormal="100" workbookViewId="0">
      <selection activeCell="B157" sqref="B157"/>
    </sheetView>
  </sheetViews>
  <sheetFormatPr defaultColWidth="8.3984375" defaultRowHeight="14.4"/>
  <cols>
    <col min="1" max="1" width="34.5" style="16" customWidth="1"/>
    <col min="2" max="2" width="24.8984375" style="16" customWidth="1"/>
    <col min="3" max="3" width="48.59765625" style="16" customWidth="1"/>
    <col min="4" max="4" width="43.19921875" style="16" bestFit="1" customWidth="1"/>
    <col min="5" max="5" width="20.09765625" style="16" customWidth="1"/>
    <col min="6" max="16384" width="8.3984375" style="16"/>
  </cols>
  <sheetData>
    <row r="1" spans="1:4" ht="23.4">
      <c r="A1" s="13" t="s">
        <v>0</v>
      </c>
      <c r="B1" s="480"/>
      <c r="C1" s="480"/>
    </row>
    <row r="2" spans="1:4" ht="15.6">
      <c r="A2" s="7" t="s">
        <v>1</v>
      </c>
      <c r="B2" s="12" t="s">
        <v>2</v>
      </c>
      <c r="C2" s="17"/>
    </row>
    <row r="3" spans="1:4" ht="15.6">
      <c r="A3" s="7" t="s">
        <v>3</v>
      </c>
      <c r="B3" s="18">
        <v>2019</v>
      </c>
      <c r="C3" s="14"/>
    </row>
    <row r="4" spans="1:4" ht="15.6">
      <c r="A4" s="5" t="s">
        <v>4</v>
      </c>
      <c r="B4" s="19" t="s">
        <v>5</v>
      </c>
      <c r="C4" s="15" t="str">
        <f>A124</f>
        <v>UPS</v>
      </c>
    </row>
    <row r="5" spans="1:4" ht="15.6">
      <c r="A5" s="5" t="s">
        <v>6</v>
      </c>
      <c r="B5" s="20" t="s">
        <v>7</v>
      </c>
      <c r="C5" s="20"/>
    </row>
    <row r="6" spans="1:4" ht="15.6">
      <c r="A6" s="5" t="s">
        <v>8</v>
      </c>
      <c r="B6" s="20"/>
      <c r="C6" s="20"/>
    </row>
    <row r="7" spans="1:4" ht="15.6">
      <c r="A7" s="5" t="s">
        <v>9</v>
      </c>
      <c r="B7" s="6">
        <f ca="1">TODAY()</f>
        <v>45866</v>
      </c>
      <c r="C7" s="20"/>
    </row>
    <row r="8" spans="1:4" ht="15.6">
      <c r="A8" s="7" t="s">
        <v>10</v>
      </c>
      <c r="B8" s="2" t="s">
        <v>11</v>
      </c>
      <c r="C8" s="20"/>
    </row>
    <row r="10" spans="1:4" s="24" customFormat="1" ht="18">
      <c r="A10" s="33" t="s">
        <v>12</v>
      </c>
      <c r="B10" s="580"/>
      <c r="C10" s="580"/>
      <c r="D10" s="581"/>
    </row>
    <row r="11" spans="1:4" s="24" customFormat="1">
      <c r="A11" s="34" t="s">
        <v>13</v>
      </c>
      <c r="B11" s="582" t="s">
        <v>14</v>
      </c>
      <c r="C11" s="583"/>
      <c r="D11" s="584"/>
    </row>
    <row r="12" spans="1:4" s="24" customFormat="1">
      <c r="A12" s="35" t="s">
        <v>13</v>
      </c>
      <c r="B12" s="582" t="s">
        <v>15</v>
      </c>
      <c r="C12" s="583"/>
      <c r="D12" s="584"/>
    </row>
    <row r="13" spans="1:4" s="24" customFormat="1">
      <c r="A13" s="36"/>
      <c r="B13" s="582" t="s">
        <v>16</v>
      </c>
      <c r="C13" s="583"/>
      <c r="D13" s="584"/>
    </row>
    <row r="14" spans="1:4" s="24" customFormat="1"/>
    <row r="15" spans="1:4" s="24" customFormat="1" ht="18">
      <c r="A15" s="33" t="s">
        <v>17</v>
      </c>
      <c r="B15" s="580"/>
      <c r="C15" s="580"/>
      <c r="D15" s="581"/>
    </row>
    <row r="16" spans="1:4" s="24" customFormat="1" ht="15.6">
      <c r="A16" s="37"/>
      <c r="B16" s="577" t="s">
        <v>18</v>
      </c>
      <c r="C16" s="578"/>
      <c r="D16" s="579"/>
    </row>
    <row r="17" spans="1:4" s="24" customFormat="1">
      <c r="A17" s="38"/>
      <c r="B17" s="39" t="s">
        <v>19</v>
      </c>
      <c r="C17" s="39"/>
      <c r="D17" s="40"/>
    </row>
    <row r="18" spans="1:4" s="24" customFormat="1" ht="15.6">
      <c r="A18" s="41"/>
      <c r="B18" s="42" t="s">
        <v>20</v>
      </c>
      <c r="C18" s="43"/>
      <c r="D18" s="44"/>
    </row>
    <row r="19" spans="1:4" s="24" customFormat="1" ht="15.6">
      <c r="A19" s="45"/>
      <c r="B19" s="46"/>
      <c r="C19" s="46"/>
    </row>
    <row r="20" spans="1:4" ht="21">
      <c r="A20" s="1" t="s">
        <v>21</v>
      </c>
      <c r="B20" s="2"/>
    </row>
    <row r="21" spans="1:4" ht="15.6">
      <c r="A21" s="9" t="s">
        <v>22</v>
      </c>
      <c r="B21" s="9" t="s">
        <v>23</v>
      </c>
      <c r="C21" s="9"/>
      <c r="D21" s="9"/>
    </row>
    <row r="22" spans="1:4">
      <c r="A22" s="369" t="s">
        <v>24</v>
      </c>
      <c r="B22" s="370" t="s">
        <v>25</v>
      </c>
      <c r="C22" s="371"/>
      <c r="D22" s="372"/>
    </row>
    <row r="23" spans="1:4">
      <c r="A23" s="471" t="str" cm="1">
        <f t="array" aca="1" ref="A23" ca="1">_xlfn.TEXTAFTER(CELL("filename",Commodities!$A$1),"]")</f>
        <v>Commodities</v>
      </c>
      <c r="B23" s="472" t="s">
        <v>26</v>
      </c>
      <c r="C23" s="481"/>
      <c r="D23" s="482"/>
    </row>
    <row r="24" spans="1:4">
      <c r="A24" s="471" t="str" cm="1">
        <f t="array" aca="1" ref="A24" ca="1">_xlfn.TEXTAFTER(CELL("filename",FuelTechs!$A$1),"]")</f>
        <v>FuelTechs</v>
      </c>
      <c r="B24" s="472" t="s">
        <v>27</v>
      </c>
      <c r="C24" s="481"/>
      <c r="D24" s="482"/>
    </row>
    <row r="25" spans="1:4">
      <c r="A25" s="471" t="str" cm="1">
        <f t="array" aca="1" ref="A25" ca="1">_xlfn.TEXTAFTER(CELL("filename",'Reserves - FF'!$A$1),"]")</f>
        <v>Reserves - FF</v>
      </c>
      <c r="B25" s="472" t="s">
        <v>28</v>
      </c>
      <c r="C25" s="481"/>
      <c r="D25" s="482"/>
    </row>
    <row r="26" spans="1:4">
      <c r="A26" s="471" t="str" cm="1">
        <f t="array" aca="1" ref="A26" ca="1">_xlfn.TEXTAFTER(CELL("filename",'Potential - Biomass'!$A$1),"]")</f>
        <v>Potential - Biomass</v>
      </c>
      <c r="B26" s="472" t="s">
        <v>29</v>
      </c>
      <c r="C26" s="481"/>
      <c r="D26" s="482"/>
    </row>
    <row r="27" spans="1:4">
      <c r="A27" s="471" t="str" cm="1">
        <f t="array" aca="1" ref="A27" ca="1">_xlfn.TEXTAFTER(CELL("filename",'Primary production - FF'!$A$1),"]")</f>
        <v>Primary production - FF</v>
      </c>
      <c r="B27" s="472" t="s">
        <v>30</v>
      </c>
      <c r="C27" s="481"/>
      <c r="D27" s="482"/>
    </row>
    <row r="28" spans="1:4">
      <c r="A28" s="471" t="str" cm="1">
        <f t="array" aca="1" ref="A28" ca="1">_xlfn.TEXTAFTER(CELL("filename",'Biofuel production'!$A$1),"]")</f>
        <v>Biofuel production</v>
      </c>
      <c r="B28" s="472" t="s">
        <v>31</v>
      </c>
      <c r="C28" s="481"/>
      <c r="D28" s="482"/>
    </row>
    <row r="29" spans="1:4">
      <c r="A29" s="471" t="str" cm="1">
        <f t="array" aca="1" ref="A29" ca="1">_xlfn.TEXTAFTER(CELL("filename",Transformation!$A$1),"]")</f>
        <v>Transformation</v>
      </c>
      <c r="B29" s="472" t="s">
        <v>32</v>
      </c>
      <c r="C29" s="481"/>
      <c r="D29" s="482"/>
    </row>
    <row r="30" spans="1:4">
      <c r="A30" s="471" t="str" cm="1">
        <f t="array" aca="1" ref="A30" ca="1">_xlfn.TEXTAFTER(CELL("filename",EnergyServices!$A$1),"]")</f>
        <v>EnergyServices</v>
      </c>
      <c r="B30" s="472" t="s">
        <v>33</v>
      </c>
      <c r="C30" s="481"/>
      <c r="D30" s="482"/>
    </row>
    <row r="31" spans="1:4">
      <c r="A31" s="471" t="str" cm="1">
        <f t="array" aca="1" ref="A31" ca="1">_xlfn.TEXTAFTER(CELL("filename",H2Prod!$A$1),"]")</f>
        <v>H2Prod</v>
      </c>
      <c r="B31" s="472" t="s">
        <v>34</v>
      </c>
      <c r="C31" s="481"/>
      <c r="D31" s="482"/>
    </row>
    <row r="32" spans="1:4">
      <c r="A32" s="471" t="str" cm="1">
        <f t="array" aca="1" ref="A32" ca="1">_xlfn.TEXTAFTER(CELL("filename",Pipelines!$A$1),"]")</f>
        <v>Pipelines</v>
      </c>
      <c r="B32" s="472" t="s">
        <v>35</v>
      </c>
      <c r="C32" s="481"/>
      <c r="D32" s="482"/>
    </row>
    <row r="33" spans="1:4">
      <c r="A33" s="471" t="str" cm="1">
        <f t="array" aca="1" ref="A33" ca="1">_xlfn.TEXTAFTER(CELL("filename",CommodityConv!$A$1),"]")</f>
        <v>CommodityConv</v>
      </c>
      <c r="B33" s="472" t="s">
        <v>36</v>
      </c>
      <c r="C33" s="481"/>
      <c r="D33" s="482"/>
    </row>
    <row r="34" spans="1:4">
      <c r="A34" s="471" t="str" cm="1">
        <f t="array" aca="1" ref="A34" ca="1">_xlfn.TEXTAFTER(CELL("filename",LNG!$A$1),"]")</f>
        <v>LNG</v>
      </c>
      <c r="B34" s="472" t="s">
        <v>37</v>
      </c>
      <c r="C34" s="481"/>
      <c r="D34" s="482"/>
    </row>
    <row r="35" spans="1:4">
      <c r="A35" s="471" t="s">
        <v>38</v>
      </c>
      <c r="B35" s="472" t="s">
        <v>39</v>
      </c>
      <c r="C35" s="481"/>
      <c r="D35" s="482"/>
    </row>
    <row r="36" spans="1:4">
      <c r="A36" s="369" t="s">
        <v>40</v>
      </c>
      <c r="B36" s="370" t="s">
        <v>41</v>
      </c>
      <c r="C36" s="371"/>
      <c r="D36" s="372"/>
    </row>
    <row r="37" spans="1:4">
      <c r="A37" s="369" t="s">
        <v>42</v>
      </c>
      <c r="B37" s="370" t="s">
        <v>43</v>
      </c>
      <c r="C37" s="371"/>
      <c r="D37" s="372"/>
    </row>
    <row r="38" spans="1:4">
      <c r="A38" s="473" t="str" cm="1">
        <f t="array" aca="1" ref="A38" ca="1">_xlfn.TEXTAFTER(CELL("filename",'Key inputs_EB_TRF'!$A$1:$D$2),"]")</f>
        <v>Key inputs_EB_TRF</v>
      </c>
      <c r="B38" s="483" t="s">
        <v>44</v>
      </c>
      <c r="C38" s="47"/>
      <c r="D38" s="48"/>
    </row>
    <row r="39" spans="1:4">
      <c r="A39" s="473" t="str" cm="1">
        <f t="array" aca="1" ref="A39" ca="1">_xlfn.TEXTAFTER(CELL("filename",'Key inputs_EB_OWN'!$A$1:$F$2),"]")</f>
        <v>Key inputs_EB_OWN</v>
      </c>
      <c r="B39" s="483" t="s">
        <v>45</v>
      </c>
      <c r="C39" s="47"/>
      <c r="D39" s="48"/>
    </row>
    <row r="40" spans="1:4">
      <c r="A40" s="473" t="str" cm="1">
        <f t="array" aca="1" ref="A40" ca="1">_xlfn.TEXTAFTER(CELL("filename",'Key inputs_EB_MIN'!$A$1:$E$2),"]")</f>
        <v>Key inputs_EB_MIN</v>
      </c>
      <c r="B40" s="483" t="s">
        <v>46</v>
      </c>
      <c r="C40" s="47"/>
      <c r="D40" s="48"/>
    </row>
    <row r="41" spans="1:4">
      <c r="A41" s="473" t="str" cm="1">
        <f t="array" aca="1" ref="A41" ca="1">_xlfn.TEXTAFTER(CELL("filename",'Key inputs_EB_TRA'!$A$1:$E$2),"]")</f>
        <v>Key inputs_EB_TRA</v>
      </c>
      <c r="B41" s="483" t="s">
        <v>47</v>
      </c>
      <c r="C41" s="47"/>
      <c r="D41" s="48"/>
    </row>
    <row r="42" spans="1:4">
      <c r="A42" s="473" t="str" cm="1">
        <f t="array" aca="1" ref="A42" ca="1">_xlfn.TEXTAFTER(CELL("filename",'Key inputs_EB_NON'!$A$1:$D$2),"]")</f>
        <v>Key inputs_EB_NON</v>
      </c>
      <c r="B42" s="483" t="s">
        <v>48</v>
      </c>
      <c r="C42" s="47"/>
      <c r="D42" s="48"/>
    </row>
    <row r="43" spans="1:4">
      <c r="A43" s="473" t="str" cm="1">
        <f t="array" aca="1" ref="A43" ca="1">_xlfn.TEXTAFTER(CELL("filename",'Key inputs_Reserves'!$A$1),"]")</f>
        <v>Key inputs_Reserves</v>
      </c>
      <c r="B43" s="474" t="s">
        <v>49</v>
      </c>
      <c r="C43" s="47"/>
      <c r="D43" s="48"/>
    </row>
    <row r="44" spans="1:4">
      <c r="A44" s="473" t="str" cm="1">
        <f t="array" aca="1" ref="A44" ca="1">_xlfn.TEXTAFTER(CELL("filename",'Key inputs_Refineries'!$A$1),"]")</f>
        <v>Key inputs_Refineries</v>
      </c>
      <c r="B44" s="474" t="s">
        <v>50</v>
      </c>
      <c r="C44" s="47"/>
      <c r="D44" s="48"/>
    </row>
    <row r="45" spans="1:4">
      <c r="A45" s="473" t="str" cm="1">
        <f t="array" aca="1" ref="A45" ca="1">_xlfn.TEXTAFTER(CELL("filename",'Key inputs_Pipelines'!$A$1),"]")</f>
        <v>Key inputs_Pipelines</v>
      </c>
      <c r="B45" s="474" t="s">
        <v>51</v>
      </c>
      <c r="C45" s="47"/>
      <c r="D45" s="48"/>
    </row>
    <row r="46" spans="1:4">
      <c r="A46" s="473" t="str" cm="1">
        <f t="array" aca="1" ref="A46" ca="1">_xlfn.TEXTAFTER(CELL("filename",'Key inputs_EB_Trade'!$A$1:$A$2),"]")</f>
        <v>Key inputs_EB_Trade</v>
      </c>
      <c r="B46" s="483" t="s">
        <v>52</v>
      </c>
      <c r="C46" s="47"/>
      <c r="D46" s="48"/>
    </row>
    <row r="47" spans="1:4">
      <c r="A47" s="473" t="str" cm="1">
        <f t="array" aca="1" ref="A47" ca="1">_xlfn.TEXTAFTER(CELL("filename",'Key inputs_LNG'!$A$1),"]")</f>
        <v>Key inputs_LNG</v>
      </c>
      <c r="B47" s="474" t="s">
        <v>53</v>
      </c>
      <c r="C47" s="47"/>
      <c r="D47" s="48"/>
    </row>
    <row r="48" spans="1:4">
      <c r="A48" s="473" t="str" cm="1">
        <f t="array" aca="1" ref="A48" ca="1">_xlfn.TEXTAFTER(CELL("filename",'Key inputs_TRF'!$A$1),"]")</f>
        <v>Key inputs_TRF</v>
      </c>
      <c r="B48" s="474" t="s">
        <v>54</v>
      </c>
      <c r="C48" s="47"/>
      <c r="D48" s="48"/>
    </row>
    <row r="49" spans="1:4">
      <c r="A49" s="473" t="str" cm="1">
        <f t="array" aca="1" ref="A49" ca="1">_xlfn.TEXTAFTER(CELL("filename",'Key input_Biomass_MAgPIE'!$A$1),"]")</f>
        <v>Key input_Biomass_MAgPIE</v>
      </c>
      <c r="B49" s="474" t="s">
        <v>55</v>
      </c>
      <c r="C49" s="47"/>
      <c r="D49" s="48"/>
    </row>
    <row r="50" spans="1:4">
      <c r="A50" s="460" t="s">
        <v>56</v>
      </c>
      <c r="B50" s="474" t="s">
        <v>57</v>
      </c>
      <c r="C50" s="47"/>
      <c r="D50" s="48"/>
    </row>
    <row r="51" spans="1:4">
      <c r="A51" s="473" t="s">
        <v>58</v>
      </c>
      <c r="B51" s="474" t="s">
        <v>59</v>
      </c>
      <c r="C51" s="47"/>
      <c r="D51" s="48"/>
    </row>
    <row r="52" spans="1:4">
      <c r="A52" s="38" t="s">
        <v>60</v>
      </c>
      <c r="B52" s="39" t="s">
        <v>61</v>
      </c>
      <c r="C52" s="39"/>
      <c r="D52" s="40"/>
    </row>
    <row r="53" spans="1:4">
      <c r="A53" s="38" t="s">
        <v>62</v>
      </c>
      <c r="B53" s="39" t="s">
        <v>63</v>
      </c>
      <c r="C53" s="39"/>
      <c r="D53" s="40"/>
    </row>
    <row r="54" spans="1:4">
      <c r="A54" s="38" t="s">
        <v>64</v>
      </c>
      <c r="B54" s="39" t="s">
        <v>65</v>
      </c>
      <c r="C54" s="39"/>
      <c r="D54" s="40"/>
    </row>
    <row r="55" spans="1:4">
      <c r="A55" s="38" t="s">
        <v>66</v>
      </c>
      <c r="B55" s="39" t="s">
        <v>67</v>
      </c>
      <c r="C55" s="39"/>
      <c r="D55" s="40"/>
    </row>
    <row r="56" spans="1:4">
      <c r="A56" s="38" t="s">
        <v>68</v>
      </c>
      <c r="B56" s="39" t="s">
        <v>69</v>
      </c>
      <c r="C56" s="39"/>
      <c r="D56" s="40"/>
    </row>
    <row r="57" spans="1:4">
      <c r="A57" s="38" t="s">
        <v>70</v>
      </c>
      <c r="B57" s="39" t="s">
        <v>71</v>
      </c>
      <c r="C57" s="39"/>
      <c r="D57" s="40"/>
    </row>
    <row r="58" spans="1:4">
      <c r="A58" s="38" t="s">
        <v>72</v>
      </c>
      <c r="B58" s="39" t="s">
        <v>73</v>
      </c>
      <c r="C58" s="39"/>
      <c r="D58" s="40"/>
    </row>
    <row r="59" spans="1:4">
      <c r="A59" s="38" t="s">
        <v>74</v>
      </c>
      <c r="B59" s="39" t="s">
        <v>75</v>
      </c>
      <c r="C59" s="39"/>
      <c r="D59" s="40"/>
    </row>
    <row r="60" spans="1:4">
      <c r="A60" s="38" t="s">
        <v>76</v>
      </c>
      <c r="B60" s="39" t="s">
        <v>77</v>
      </c>
      <c r="C60" s="39"/>
      <c r="D60" s="40"/>
    </row>
    <row r="61" spans="1:4">
      <c r="A61" s="38" t="s">
        <v>78</v>
      </c>
      <c r="B61" s="39" t="s">
        <v>79</v>
      </c>
      <c r="C61" s="39"/>
      <c r="D61" s="40"/>
    </row>
    <row r="62" spans="1:4">
      <c r="A62" s="38" t="s">
        <v>80</v>
      </c>
      <c r="B62" s="39" t="s">
        <v>81</v>
      </c>
      <c r="C62" s="39"/>
      <c r="D62" s="40"/>
    </row>
    <row r="63" spans="1:4">
      <c r="A63" s="38" t="s">
        <v>82</v>
      </c>
      <c r="B63" s="39" t="s">
        <v>83</v>
      </c>
      <c r="C63" s="39"/>
      <c r="D63" s="40"/>
    </row>
    <row r="64" spans="1:4">
      <c r="A64" s="38" t="s">
        <v>84</v>
      </c>
      <c r="B64" s="39" t="s">
        <v>85</v>
      </c>
      <c r="C64" s="39"/>
      <c r="D64" s="40"/>
    </row>
    <row r="65" spans="1:4">
      <c r="A65" s="38" t="s">
        <v>86</v>
      </c>
      <c r="B65" s="39" t="s">
        <v>87</v>
      </c>
      <c r="C65" s="39"/>
      <c r="D65" s="40"/>
    </row>
    <row r="66" spans="1:4">
      <c r="A66" s="38" t="s">
        <v>88</v>
      </c>
      <c r="B66" s="39" t="s">
        <v>89</v>
      </c>
      <c r="C66" s="39"/>
      <c r="D66" s="40"/>
    </row>
    <row r="67" spans="1:4">
      <c r="A67" s="38" t="s">
        <v>90</v>
      </c>
      <c r="B67" s="39" t="s">
        <v>91</v>
      </c>
      <c r="C67" s="39"/>
      <c r="D67" s="40"/>
    </row>
    <row r="68" spans="1:4">
      <c r="A68" s="38" t="s">
        <v>92</v>
      </c>
      <c r="B68" s="39" t="s">
        <v>93</v>
      </c>
      <c r="C68" s="39"/>
      <c r="D68" s="40"/>
    </row>
    <row r="69" spans="1:4">
      <c r="A69" s="38" t="s">
        <v>94</v>
      </c>
      <c r="B69" s="39" t="s">
        <v>95</v>
      </c>
      <c r="C69" s="39"/>
      <c r="D69" s="40"/>
    </row>
    <row r="70" spans="1:4">
      <c r="A70" s="38" t="s">
        <v>96</v>
      </c>
      <c r="B70" s="39" t="s">
        <v>97</v>
      </c>
      <c r="C70" s="39"/>
      <c r="D70" s="40"/>
    </row>
    <row r="71" spans="1:4">
      <c r="A71" s="38" t="s">
        <v>98</v>
      </c>
      <c r="B71" s="39" t="s">
        <v>99</v>
      </c>
      <c r="C71" s="39"/>
      <c r="D71" s="40"/>
    </row>
    <row r="72" spans="1:4">
      <c r="A72" s="38" t="s">
        <v>100</v>
      </c>
      <c r="B72" s="39" t="s">
        <v>101</v>
      </c>
      <c r="C72" s="39"/>
      <c r="D72" s="40"/>
    </row>
    <row r="73" spans="1:4">
      <c r="A73" s="38" t="s">
        <v>102</v>
      </c>
      <c r="B73" s="39" t="s">
        <v>103</v>
      </c>
      <c r="C73" s="39"/>
      <c r="D73" s="40"/>
    </row>
    <row r="74" spans="1:4">
      <c r="A74" s="38" t="s">
        <v>104</v>
      </c>
      <c r="B74" s="39" t="s">
        <v>105</v>
      </c>
      <c r="C74" s="39"/>
      <c r="D74" s="40"/>
    </row>
    <row r="75" spans="1:4">
      <c r="A75" s="38" t="s">
        <v>2735</v>
      </c>
      <c r="B75" s="39" t="s">
        <v>2734</v>
      </c>
      <c r="C75" s="39"/>
      <c r="D75" s="40"/>
    </row>
    <row r="76" spans="1:4">
      <c r="A76" s="38" t="s">
        <v>2736</v>
      </c>
      <c r="B76" s="39" t="s">
        <v>2733</v>
      </c>
      <c r="C76" s="39"/>
      <c r="D76" s="40"/>
    </row>
    <row r="77" spans="1:4">
      <c r="A77" s="484" t="s">
        <v>106</v>
      </c>
      <c r="B77" s="485" t="s">
        <v>107</v>
      </c>
      <c r="C77" s="486"/>
      <c r="D77" s="487"/>
    </row>
    <row r="78" spans="1:4">
      <c r="A78" s="484" t="s">
        <v>108</v>
      </c>
      <c r="B78" s="485" t="s">
        <v>109</v>
      </c>
      <c r="C78" s="486"/>
      <c r="D78" s="487"/>
    </row>
    <row r="79" spans="1:4">
      <c r="A79" s="488"/>
      <c r="B79" s="488"/>
      <c r="C79" s="488"/>
      <c r="D79" s="488"/>
    </row>
    <row r="80" spans="1:4" ht="21">
      <c r="A80" s="1" t="s">
        <v>110</v>
      </c>
    </row>
    <row r="81" spans="1:3" ht="15.6">
      <c r="A81" s="32" t="s">
        <v>111</v>
      </c>
      <c r="B81" s="51">
        <f>0.041868</f>
        <v>4.1868000000000002E-2</v>
      </c>
      <c r="C81" s="489" t="s">
        <v>112</v>
      </c>
    </row>
    <row r="82" spans="1:3" ht="15.6">
      <c r="A82" s="2" t="s">
        <v>113</v>
      </c>
      <c r="B82" s="53">
        <v>5.8</v>
      </c>
      <c r="C82" s="466" t="s">
        <v>114</v>
      </c>
    </row>
    <row r="83" spans="1:3" ht="15.6">
      <c r="A83" s="2" t="s">
        <v>115</v>
      </c>
      <c r="B83" s="53">
        <v>6.2898107703999999</v>
      </c>
      <c r="C83" s="466" t="s">
        <v>116</v>
      </c>
    </row>
    <row r="84" spans="1:3" ht="15.6">
      <c r="A84" s="2" t="s">
        <v>117</v>
      </c>
      <c r="B84" s="53">
        <v>1.0549999999999999</v>
      </c>
      <c r="C84" s="466" t="s">
        <v>118</v>
      </c>
    </row>
    <row r="85" spans="1:3" ht="15.6">
      <c r="A85" s="2" t="s">
        <v>119</v>
      </c>
      <c r="B85" s="53">
        <v>35.314700000000002</v>
      </c>
      <c r="C85" s="466" t="s">
        <v>120</v>
      </c>
    </row>
    <row r="86" spans="1:3" ht="15.6">
      <c r="A86" s="2" t="s">
        <v>121</v>
      </c>
      <c r="B86" s="53">
        <v>36</v>
      </c>
      <c r="C86" s="466" t="s">
        <v>112</v>
      </c>
    </row>
    <row r="87" spans="1:3" ht="15.6">
      <c r="A87" s="2" t="s">
        <v>122</v>
      </c>
      <c r="B87" s="53">
        <v>25</v>
      </c>
      <c r="C87" s="466" t="s">
        <v>112</v>
      </c>
    </row>
    <row r="88" spans="1:3" ht="15.6">
      <c r="A88" s="2" t="s">
        <v>123</v>
      </c>
      <c r="B88" s="53">
        <v>10.526315789473685</v>
      </c>
      <c r="C88" s="466" t="s">
        <v>112</v>
      </c>
    </row>
    <row r="89" spans="1:3" ht="15.6">
      <c r="A89" s="2" t="s">
        <v>124</v>
      </c>
      <c r="B89" s="53">
        <v>28.8</v>
      </c>
      <c r="C89" s="466" t="s">
        <v>125</v>
      </c>
    </row>
    <row r="90" spans="1:3" ht="15.6">
      <c r="A90" s="2" t="s">
        <v>126</v>
      </c>
      <c r="B90" s="53">
        <v>18.3</v>
      </c>
      <c r="C90" s="466" t="s">
        <v>125</v>
      </c>
    </row>
    <row r="91" spans="1:3" ht="15.6">
      <c r="A91" s="2" t="s">
        <v>127</v>
      </c>
      <c r="B91" s="53">
        <v>83.24</v>
      </c>
      <c r="C91" s="466" t="s">
        <v>112</v>
      </c>
    </row>
    <row r="92" spans="1:3" ht="15.6">
      <c r="A92" s="2" t="s">
        <v>128</v>
      </c>
      <c r="B92" s="53">
        <v>9.2029999999999994</v>
      </c>
      <c r="C92" s="466" t="s">
        <v>129</v>
      </c>
    </row>
    <row r="93" spans="1:3" ht="15.6">
      <c r="A93" s="2" t="s">
        <v>130</v>
      </c>
      <c r="B93" s="53">
        <v>26</v>
      </c>
      <c r="C93" s="466" t="s">
        <v>125</v>
      </c>
    </row>
    <row r="94" spans="1:3" ht="15.6">
      <c r="A94" s="2" t="s">
        <v>131</v>
      </c>
      <c r="B94" s="53">
        <v>120</v>
      </c>
      <c r="C94" s="466" t="s">
        <v>132</v>
      </c>
    </row>
    <row r="95" spans="1:3" ht="15.6">
      <c r="A95" s="2" t="s">
        <v>133</v>
      </c>
      <c r="B95" s="53">
        <v>24.4</v>
      </c>
      <c r="C95" s="466" t="s">
        <v>134</v>
      </c>
    </row>
    <row r="96" spans="1:3" ht="15.6">
      <c r="A96" s="2" t="s">
        <v>135</v>
      </c>
      <c r="B96" s="53">
        <v>28.6</v>
      </c>
      <c r="C96" s="466" t="s">
        <v>134</v>
      </c>
    </row>
    <row r="97" spans="1:3" ht="15.6">
      <c r="A97" s="2" t="s">
        <v>136</v>
      </c>
      <c r="B97" s="53">
        <v>32</v>
      </c>
      <c r="C97" s="466" t="s">
        <v>134</v>
      </c>
    </row>
    <row r="98" spans="1:3" ht="15.6">
      <c r="A98" s="2" t="s">
        <v>137</v>
      </c>
      <c r="B98" s="53">
        <v>36</v>
      </c>
      <c r="C98" s="466" t="s">
        <v>134</v>
      </c>
    </row>
    <row r="99" spans="1:3" ht="15.6">
      <c r="A99" s="2" t="s">
        <v>138</v>
      </c>
      <c r="B99" s="53">
        <v>35.299999999999997</v>
      </c>
      <c r="C99" s="466" t="s">
        <v>134</v>
      </c>
    </row>
    <row r="100" spans="1:3" ht="15.6">
      <c r="A100" s="2" t="s">
        <v>139</v>
      </c>
      <c r="B100" s="53">
        <v>35.299999999999997</v>
      </c>
      <c r="C100" s="466" t="s">
        <v>134</v>
      </c>
    </row>
    <row r="101" spans="1:3" ht="15.6">
      <c r="A101" s="2" t="s">
        <v>140</v>
      </c>
      <c r="B101" s="53">
        <v>26.7</v>
      </c>
      <c r="C101" s="466" t="s">
        <v>134</v>
      </c>
    </row>
    <row r="102" spans="1:3" ht="15.6">
      <c r="A102" s="2" t="s">
        <v>141</v>
      </c>
      <c r="B102" s="53">
        <v>76330</v>
      </c>
      <c r="C102" s="466" t="s">
        <v>142</v>
      </c>
    </row>
    <row r="103" spans="1:3" ht="15.6">
      <c r="A103" s="2" t="s">
        <v>143</v>
      </c>
      <c r="B103" s="53">
        <v>25.4</v>
      </c>
      <c r="C103" s="466" t="s">
        <v>144</v>
      </c>
    </row>
    <row r="104" spans="1:3" ht="15.6">
      <c r="A104" s="2" t="s">
        <v>145</v>
      </c>
      <c r="B104" s="53">
        <v>37.799999999999997</v>
      </c>
      <c r="C104" s="466" t="s">
        <v>134</v>
      </c>
    </row>
    <row r="105" spans="1:3" ht="15.6">
      <c r="A105" s="2" t="s">
        <v>146</v>
      </c>
      <c r="B105" s="53">
        <f>24*365</f>
        <v>8760</v>
      </c>
      <c r="C105" s="466" t="s">
        <v>147</v>
      </c>
    </row>
    <row r="106" spans="1:3" ht="15.6">
      <c r="A106" s="3" t="s">
        <v>148</v>
      </c>
      <c r="B106" s="53">
        <v>3.6000000000000003E-3</v>
      </c>
      <c r="C106" s="466" t="s">
        <v>112</v>
      </c>
    </row>
    <row r="107" spans="1:3">
      <c r="A107" s="50" t="s">
        <v>149</v>
      </c>
      <c r="B107" s="51">
        <f>1.0778*1.0599</f>
        <v>1.1423602200000003</v>
      </c>
      <c r="C107" s="52" t="s">
        <v>150</v>
      </c>
    </row>
    <row r="108" spans="1:3">
      <c r="A108" s="490" t="s">
        <v>151</v>
      </c>
      <c r="B108" s="53">
        <v>1.1198999999999999</v>
      </c>
      <c r="C108" s="491" t="s">
        <v>152</v>
      </c>
    </row>
    <row r="109" spans="1:3">
      <c r="A109" s="490" t="s">
        <v>153</v>
      </c>
      <c r="B109" s="53">
        <f>1/6.8</f>
        <v>0.14705882352941177</v>
      </c>
      <c r="C109" s="491" t="s">
        <v>154</v>
      </c>
    </row>
    <row r="110" spans="1:3">
      <c r="A110" s="490" t="s">
        <v>155</v>
      </c>
      <c r="B110" s="53">
        <v>0.96179999999999999</v>
      </c>
      <c r="C110" s="491" t="s">
        <v>156</v>
      </c>
    </row>
    <row r="111" spans="1:3">
      <c r="A111" s="490" t="s">
        <v>157</v>
      </c>
      <c r="B111" s="53">
        <f>Consumer_Price_index!BN257/Consumer_Price_index!AZ257</f>
        <v>1.3068708002744269</v>
      </c>
      <c r="C111" s="491" t="s">
        <v>150</v>
      </c>
    </row>
    <row r="112" spans="1:3">
      <c r="A112" s="490" t="s">
        <v>158</v>
      </c>
      <c r="B112" s="53">
        <f>Consumer_Price_index!BN257/Consumer_Price_index!BB257</f>
        <v>1.2630443699688176</v>
      </c>
      <c r="C112" s="491" t="s">
        <v>150</v>
      </c>
    </row>
    <row r="113" spans="1:3">
      <c r="A113" s="490" t="s">
        <v>156</v>
      </c>
      <c r="B113" s="53">
        <f>Consumer_Price_index!BN257/Consumer_Price_index!BC257</f>
        <v>1.2426641382583801</v>
      </c>
      <c r="C113" s="491" t="s">
        <v>150</v>
      </c>
    </row>
    <row r="114" spans="1:3">
      <c r="A114" s="490" t="s">
        <v>159</v>
      </c>
      <c r="B114" s="53">
        <f>Consumer_Price_index!BN257/Consumer_Price_index!BG257</f>
        <v>1.1446064782384293</v>
      </c>
      <c r="C114" s="54" t="s">
        <v>150</v>
      </c>
    </row>
    <row r="115" spans="1:3">
      <c r="A115" s="490" t="s">
        <v>160</v>
      </c>
      <c r="B115" s="53">
        <f>Consumer_Price_index!BN257/Consumer_Price_index!BH257</f>
        <v>1.1432502731871508</v>
      </c>
      <c r="C115" s="54" t="s">
        <v>150</v>
      </c>
    </row>
    <row r="116" spans="1:3">
      <c r="A116" s="490" t="s">
        <v>154</v>
      </c>
      <c r="B116" s="53">
        <f>Consumer_Price_index!BN257/Consumer_Price_index!BJ257</f>
        <v>1.1054594101178474</v>
      </c>
      <c r="C116" s="54" t="s">
        <v>150</v>
      </c>
    </row>
    <row r="117" spans="1:3" ht="14.25" customHeight="1">
      <c r="A117" s="24" t="s">
        <v>152</v>
      </c>
      <c r="B117" s="53">
        <v>1.06</v>
      </c>
      <c r="C117" s="54" t="s">
        <v>150</v>
      </c>
    </row>
    <row r="118" spans="1:3">
      <c r="A118" s="490" t="s">
        <v>161</v>
      </c>
      <c r="B118" s="53">
        <v>1.05</v>
      </c>
      <c r="C118" s="491" t="s">
        <v>150</v>
      </c>
    </row>
    <row r="119" spans="1:3">
      <c r="A119" s="490" t="s">
        <v>162</v>
      </c>
      <c r="B119" s="53">
        <f>Consumer_Price_index!BN257/Consumer_Price_index!BP257</f>
        <v>0.88929551016992059</v>
      </c>
      <c r="C119" s="491" t="s">
        <v>150</v>
      </c>
    </row>
    <row r="120" spans="1:3">
      <c r="A120" s="55" t="s">
        <v>163</v>
      </c>
      <c r="B120" s="56">
        <f>120*10^-3</f>
        <v>0.12</v>
      </c>
      <c r="C120" s="57" t="s">
        <v>125</v>
      </c>
    </row>
    <row r="121" spans="1:3" ht="15.6">
      <c r="A121" s="2"/>
      <c r="B121" s="49"/>
    </row>
    <row r="122" spans="1:3" ht="21">
      <c r="A122" s="1" t="s">
        <v>164</v>
      </c>
    </row>
    <row r="123" spans="1:3" ht="15" thickBot="1">
      <c r="A123" s="10" t="s">
        <v>165</v>
      </c>
      <c r="B123" s="10" t="s">
        <v>23</v>
      </c>
    </row>
    <row r="124" spans="1:3" ht="15.6">
      <c r="A124" s="22" t="s">
        <v>166</v>
      </c>
      <c r="B124" s="22" t="str">
        <f>B4</f>
        <v>Upstream-Transformation</v>
      </c>
    </row>
    <row r="125" spans="1:3" s="2" customFormat="1" ht="15.6"/>
    <row r="126" spans="1:3" s="2" customFormat="1" ht="21">
      <c r="A126" s="1" t="s">
        <v>167</v>
      </c>
    </row>
    <row r="127" spans="1:3" s="2" customFormat="1" ht="15.6">
      <c r="A127" s="31" t="s">
        <v>168</v>
      </c>
      <c r="B127" s="31" t="s">
        <v>169</v>
      </c>
    </row>
    <row r="129" spans="1:10" s="2" customFormat="1" ht="18">
      <c r="A129" s="8" t="s">
        <v>170</v>
      </c>
      <c r="B129" s="4"/>
      <c r="C129" s="4"/>
      <c r="D129" s="16"/>
      <c r="H129" s="16"/>
      <c r="I129" s="16"/>
      <c r="J129" s="16"/>
    </row>
    <row r="130" spans="1:10" s="2" customFormat="1" ht="16.2" thickBot="1">
      <c r="A130" s="10" t="s">
        <v>170</v>
      </c>
      <c r="B130" s="10" t="s">
        <v>23</v>
      </c>
      <c r="C130" s="10" t="s">
        <v>171</v>
      </c>
      <c r="D130" s="10"/>
      <c r="H130" s="16"/>
      <c r="I130" s="16"/>
      <c r="J130" s="16"/>
    </row>
    <row r="131" spans="1:10" s="2" customFormat="1" ht="16.2" thickBot="1">
      <c r="A131" s="2" t="s">
        <v>172</v>
      </c>
      <c r="B131" s="2" t="s">
        <v>173</v>
      </c>
      <c r="C131" s="585" t="s">
        <v>174</v>
      </c>
      <c r="D131" s="585"/>
      <c r="H131" s="16"/>
      <c r="I131" s="16"/>
      <c r="J131" s="16"/>
    </row>
    <row r="132" spans="1:10" s="2" customFormat="1" ht="16.2" thickBot="1">
      <c r="A132" s="21" t="s">
        <v>175</v>
      </c>
      <c r="B132" s="21" t="s">
        <v>176</v>
      </c>
      <c r="C132" s="585" t="s">
        <v>177</v>
      </c>
      <c r="D132" s="585"/>
      <c r="H132" s="16"/>
      <c r="I132" s="16"/>
      <c r="J132" s="16"/>
    </row>
    <row r="133" spans="1:10" s="2" customFormat="1" ht="16.2" thickBot="1">
      <c r="A133" s="21" t="s">
        <v>178</v>
      </c>
      <c r="B133" s="21" t="s">
        <v>179</v>
      </c>
      <c r="C133" s="585" t="s">
        <v>180</v>
      </c>
      <c r="D133" s="585"/>
      <c r="H133" s="16"/>
      <c r="I133" s="16"/>
      <c r="J133" s="16"/>
    </row>
    <row r="134" spans="1:10" s="2" customFormat="1" ht="16.2" thickBot="1">
      <c r="A134" s="21" t="s">
        <v>181</v>
      </c>
      <c r="B134" s="21" t="s">
        <v>182</v>
      </c>
      <c r="C134" s="585" t="s">
        <v>183</v>
      </c>
      <c r="D134" s="585"/>
      <c r="H134" s="16"/>
      <c r="I134" s="16"/>
      <c r="J134" s="16"/>
    </row>
    <row r="135" spans="1:10" s="2" customFormat="1" ht="16.2" thickBot="1">
      <c r="A135" s="2" t="s">
        <v>184</v>
      </c>
      <c r="B135" s="2" t="s">
        <v>185</v>
      </c>
      <c r="C135" s="585" t="s">
        <v>186</v>
      </c>
      <c r="D135" s="585"/>
      <c r="H135" s="16"/>
      <c r="I135" s="16"/>
      <c r="J135" s="16"/>
    </row>
    <row r="136" spans="1:10" s="2" customFormat="1" ht="16.2" thickBot="1">
      <c r="A136" s="2" t="s">
        <v>187</v>
      </c>
      <c r="B136" s="2" t="s">
        <v>188</v>
      </c>
      <c r="C136" s="585" t="s">
        <v>189</v>
      </c>
      <c r="D136" s="585"/>
      <c r="H136" s="16"/>
      <c r="I136" s="16"/>
      <c r="J136" s="16"/>
    </row>
    <row r="137" spans="1:10" s="2" customFormat="1" ht="16.2" thickBot="1">
      <c r="A137" s="2" t="s">
        <v>190</v>
      </c>
      <c r="B137" s="2" t="s">
        <v>191</v>
      </c>
      <c r="C137" s="585" t="s">
        <v>192</v>
      </c>
      <c r="D137" s="585"/>
      <c r="H137" s="16"/>
      <c r="I137" s="16"/>
      <c r="J137" s="16"/>
    </row>
    <row r="138" spans="1:10" s="2" customFormat="1" ht="16.2" thickBot="1">
      <c r="A138" s="2" t="s">
        <v>193</v>
      </c>
      <c r="B138" s="2" t="s">
        <v>194</v>
      </c>
      <c r="C138" s="585" t="s">
        <v>195</v>
      </c>
      <c r="D138" s="585"/>
      <c r="H138" s="16"/>
      <c r="I138" s="16"/>
      <c r="J138" s="16"/>
    </row>
    <row r="139" spans="1:10" s="2" customFormat="1" ht="16.2" thickBot="1">
      <c r="A139" s="2" t="s">
        <v>196</v>
      </c>
      <c r="B139" s="2" t="s">
        <v>197</v>
      </c>
      <c r="C139" s="585" t="s">
        <v>197</v>
      </c>
      <c r="D139" s="585"/>
      <c r="H139" s="16"/>
      <c r="I139" s="16"/>
      <c r="J139" s="16"/>
    </row>
    <row r="140" spans="1:10" s="2" customFormat="1" ht="16.2" thickBot="1">
      <c r="A140" s="2" t="s">
        <v>198</v>
      </c>
      <c r="B140" s="2" t="s">
        <v>199</v>
      </c>
      <c r="C140" s="585" t="s">
        <v>199</v>
      </c>
      <c r="D140" s="585"/>
      <c r="H140" s="16"/>
      <c r="I140" s="16"/>
      <c r="J140" s="16"/>
    </row>
    <row r="141" spans="1:10" s="2" customFormat="1" ht="16.2" thickBot="1">
      <c r="A141" s="2" t="s">
        <v>200</v>
      </c>
      <c r="B141" s="2" t="s">
        <v>201</v>
      </c>
      <c r="C141" s="585" t="s">
        <v>201</v>
      </c>
      <c r="D141" s="585"/>
      <c r="H141" s="16"/>
      <c r="I141" s="16"/>
      <c r="J141" s="16"/>
    </row>
    <row r="142" spans="1:10" s="2" customFormat="1" ht="16.2" thickBot="1">
      <c r="A142" s="2" t="s">
        <v>202</v>
      </c>
      <c r="B142" s="2" t="s">
        <v>203</v>
      </c>
      <c r="C142" s="585" t="s">
        <v>204</v>
      </c>
      <c r="D142" s="585"/>
      <c r="H142" s="16"/>
      <c r="I142" s="16"/>
      <c r="J142" s="16"/>
    </row>
    <row r="143" spans="1:10" s="2" customFormat="1" ht="16.2" thickBot="1">
      <c r="A143" s="2" t="s">
        <v>205</v>
      </c>
      <c r="B143" s="2" t="s">
        <v>206</v>
      </c>
      <c r="C143" s="585" t="s">
        <v>207</v>
      </c>
      <c r="D143" s="585"/>
      <c r="H143" s="16"/>
      <c r="I143" s="16"/>
      <c r="J143" s="16"/>
    </row>
    <row r="144" spans="1:10" s="2" customFormat="1" ht="16.2" thickBot="1">
      <c r="A144" s="2" t="s">
        <v>208</v>
      </c>
      <c r="B144" s="2" t="s">
        <v>209</v>
      </c>
      <c r="C144" s="585" t="s">
        <v>210</v>
      </c>
      <c r="D144" s="585"/>
      <c r="H144" s="16"/>
      <c r="I144" s="16"/>
      <c r="J144" s="16"/>
    </row>
    <row r="145" spans="1:10" s="2" customFormat="1" ht="16.2" thickBot="1">
      <c r="A145" s="2" t="s">
        <v>211</v>
      </c>
      <c r="B145" s="2" t="s">
        <v>212</v>
      </c>
      <c r="C145" s="585" t="s">
        <v>213</v>
      </c>
      <c r="D145" s="585"/>
      <c r="H145" s="16"/>
      <c r="I145" s="16"/>
      <c r="J145" s="16"/>
    </row>
    <row r="146" spans="1:10" s="2" customFormat="1" ht="16.2" thickBot="1">
      <c r="A146" s="2" t="s">
        <v>214</v>
      </c>
      <c r="B146" s="2" t="s">
        <v>215</v>
      </c>
      <c r="C146" s="585" t="s">
        <v>216</v>
      </c>
      <c r="D146" s="585"/>
      <c r="H146" s="16"/>
      <c r="I146" s="16"/>
      <c r="J146" s="16"/>
    </row>
    <row r="147" spans="1:10" s="2" customFormat="1" ht="16.2" thickBot="1">
      <c r="A147" s="2" t="s">
        <v>217</v>
      </c>
      <c r="B147" s="2" t="s">
        <v>218</v>
      </c>
      <c r="C147" s="585" t="s">
        <v>219</v>
      </c>
      <c r="D147" s="585"/>
      <c r="H147" s="16"/>
      <c r="I147" s="16"/>
      <c r="J147" s="16"/>
    </row>
    <row r="148" spans="1:10" s="2" customFormat="1" ht="16.2" thickBot="1">
      <c r="A148" s="2" t="s">
        <v>220</v>
      </c>
      <c r="B148" s="2" t="s">
        <v>221</v>
      </c>
      <c r="C148" s="585" t="s">
        <v>222</v>
      </c>
      <c r="D148" s="585"/>
      <c r="H148" s="16"/>
      <c r="I148" s="16"/>
      <c r="J148" s="16"/>
    </row>
    <row r="149" spans="1:10" s="2" customFormat="1" ht="16.2" thickBot="1">
      <c r="A149" s="2" t="s">
        <v>223</v>
      </c>
      <c r="B149" s="2" t="s">
        <v>224</v>
      </c>
      <c r="C149" s="585" t="s">
        <v>224</v>
      </c>
      <c r="D149" s="585"/>
      <c r="H149" s="16"/>
      <c r="I149" s="16"/>
      <c r="J149" s="16"/>
    </row>
    <row r="150" spans="1:10" s="2" customFormat="1" ht="16.2" thickBot="1">
      <c r="A150" s="2" t="s">
        <v>225</v>
      </c>
      <c r="B150" s="2" t="s">
        <v>226</v>
      </c>
      <c r="C150" s="585" t="s">
        <v>226</v>
      </c>
      <c r="D150" s="585"/>
      <c r="H150" s="16"/>
      <c r="I150" s="16"/>
      <c r="J150" s="16"/>
    </row>
    <row r="151" spans="1:10" s="2" customFormat="1" ht="16.2" thickBot="1">
      <c r="A151" s="2" t="s">
        <v>227</v>
      </c>
      <c r="B151" s="2" t="s">
        <v>228</v>
      </c>
      <c r="C151" s="585" t="s">
        <v>229</v>
      </c>
      <c r="D151" s="585"/>
      <c r="H151" s="16"/>
      <c r="I151" s="16"/>
      <c r="J151" s="16"/>
    </row>
    <row r="152" spans="1:10" s="2" customFormat="1" ht="16.2" thickBot="1">
      <c r="A152" s="2" t="s">
        <v>230</v>
      </c>
      <c r="B152" s="2" t="s">
        <v>231</v>
      </c>
      <c r="C152" s="585" t="s">
        <v>232</v>
      </c>
      <c r="D152" s="585"/>
      <c r="H152" s="16"/>
      <c r="I152" s="16"/>
      <c r="J152" s="16"/>
    </row>
    <row r="153" spans="1:10" s="2" customFormat="1" ht="16.2" thickBot="1">
      <c r="A153" s="2" t="s">
        <v>233</v>
      </c>
      <c r="B153" s="2" t="s">
        <v>234</v>
      </c>
      <c r="C153" s="585" t="s">
        <v>235</v>
      </c>
      <c r="D153" s="585"/>
      <c r="H153" s="16"/>
      <c r="I153" s="16"/>
      <c r="J153" s="16"/>
    </row>
    <row r="154" spans="1:10" s="2" customFormat="1" ht="16.2" thickBot="1">
      <c r="A154" s="2" t="s">
        <v>236</v>
      </c>
      <c r="B154" s="2" t="s">
        <v>237</v>
      </c>
      <c r="C154" s="585" t="s">
        <v>237</v>
      </c>
      <c r="D154" s="585"/>
      <c r="H154" s="16"/>
      <c r="I154" s="16"/>
      <c r="J154" s="16"/>
    </row>
    <row r="155" spans="1:10" s="2" customFormat="1" ht="16.2" thickBot="1">
      <c r="A155" s="2" t="s">
        <v>238</v>
      </c>
      <c r="B155" s="2" t="s">
        <v>239</v>
      </c>
      <c r="C155" s="585" t="s">
        <v>239</v>
      </c>
      <c r="D155" s="585"/>
      <c r="H155" s="16"/>
      <c r="I155" s="16"/>
      <c r="J155" s="16"/>
    </row>
    <row r="156" spans="1:10" s="2" customFormat="1" ht="16.2" thickBot="1">
      <c r="A156" s="2" t="s">
        <v>240</v>
      </c>
      <c r="B156" s="2" t="s">
        <v>241</v>
      </c>
      <c r="C156" s="585" t="s">
        <v>242</v>
      </c>
      <c r="D156" s="585"/>
      <c r="H156" s="16"/>
      <c r="I156" s="16"/>
      <c r="J156" s="16"/>
    </row>
    <row r="157" spans="1:10" s="2" customFormat="1" ht="16.2" thickBot="1">
      <c r="A157" s="2" t="s">
        <v>243</v>
      </c>
      <c r="B157" s="2" t="s">
        <v>1172</v>
      </c>
      <c r="C157" s="585" t="s">
        <v>1466</v>
      </c>
      <c r="D157" s="585"/>
      <c r="H157" s="16"/>
      <c r="I157" s="16"/>
      <c r="J157" s="16"/>
    </row>
    <row r="158" spans="1:10" s="2" customFormat="1" ht="15.6">
      <c r="A158" s="2" t="s">
        <v>245</v>
      </c>
      <c r="B158" s="2" t="s">
        <v>246</v>
      </c>
      <c r="C158" s="585" t="s">
        <v>247</v>
      </c>
      <c r="D158" s="585"/>
      <c r="H158" s="16"/>
      <c r="I158" s="16"/>
      <c r="J158" s="16"/>
    </row>
    <row r="159" spans="1:10" s="2" customFormat="1" ht="15.6">
      <c r="C159" s="16"/>
      <c r="H159" s="16"/>
      <c r="I159" s="16"/>
      <c r="J159" s="16"/>
    </row>
    <row r="160" spans="1:10" s="2" customFormat="1" ht="15.6">
      <c r="C160" s="16"/>
      <c r="H160" s="16"/>
      <c r="I160" s="16"/>
      <c r="J160" s="16"/>
    </row>
    <row r="161" spans="1:10" s="24" customFormat="1" ht="21">
      <c r="A161" s="23" t="s">
        <v>248</v>
      </c>
    </row>
    <row r="162" spans="1:10" s="24" customFormat="1">
      <c r="A162" s="25" t="s">
        <v>249</v>
      </c>
      <c r="B162" s="25" t="s">
        <v>250</v>
      </c>
      <c r="C162" s="25" t="s">
        <v>251</v>
      </c>
      <c r="D162" s="25" t="s">
        <v>252</v>
      </c>
      <c r="E162" s="25" t="s">
        <v>253</v>
      </c>
    </row>
    <row r="163" spans="1:10" s="24" customFormat="1">
      <c r="A163" s="26" t="s">
        <v>254</v>
      </c>
      <c r="B163" s="27" t="s">
        <v>255</v>
      </c>
      <c r="C163" s="29" t="s">
        <v>256</v>
      </c>
      <c r="D163" s="30" t="s">
        <v>257</v>
      </c>
      <c r="E163" s="105" t="s">
        <v>258</v>
      </c>
      <c r="F163" s="28"/>
    </row>
    <row r="164" spans="1:10" s="2" customFormat="1" ht="28.8">
      <c r="A164" s="26" t="s">
        <v>259</v>
      </c>
      <c r="B164" s="27" t="s">
        <v>260</v>
      </c>
      <c r="C164" s="29" t="s">
        <v>261</v>
      </c>
      <c r="D164" s="30" t="s">
        <v>257</v>
      </c>
      <c r="E164" s="105" t="s">
        <v>262</v>
      </c>
      <c r="H164" s="16"/>
      <c r="I164" s="16"/>
      <c r="J164" s="16"/>
    </row>
    <row r="165" spans="1:10" s="2" customFormat="1" ht="72">
      <c r="A165" s="26" t="s">
        <v>263</v>
      </c>
      <c r="B165" s="26" t="s">
        <v>264</v>
      </c>
      <c r="C165" s="27" t="s">
        <v>265</v>
      </c>
      <c r="D165" s="26" t="s">
        <v>257</v>
      </c>
      <c r="E165" s="105" t="s">
        <v>266</v>
      </c>
      <c r="H165" s="16"/>
      <c r="I165" s="16"/>
      <c r="J165" s="16"/>
    </row>
    <row r="166" spans="1:10" s="2" customFormat="1" ht="43.2">
      <c r="A166" s="26" t="s">
        <v>254</v>
      </c>
      <c r="B166" s="26" t="s">
        <v>267</v>
      </c>
      <c r="C166" s="27" t="s">
        <v>268</v>
      </c>
      <c r="D166" s="26" t="s">
        <v>257</v>
      </c>
      <c r="E166" s="105" t="s">
        <v>269</v>
      </c>
      <c r="H166" s="16"/>
      <c r="I166" s="16"/>
      <c r="J166" s="16"/>
    </row>
    <row r="167" spans="1:10" s="2" customFormat="1" ht="57.6">
      <c r="A167" s="26" t="s">
        <v>270</v>
      </c>
      <c r="B167" s="26" t="s">
        <v>271</v>
      </c>
      <c r="C167" s="27" t="s">
        <v>272</v>
      </c>
      <c r="D167" s="469" t="s">
        <v>273</v>
      </c>
      <c r="E167" s="105" t="s">
        <v>274</v>
      </c>
      <c r="H167" s="16"/>
      <c r="I167" s="16"/>
      <c r="J167" s="16"/>
    </row>
    <row r="168" spans="1:10" s="2" customFormat="1" ht="57.6">
      <c r="A168" s="26" t="s">
        <v>270</v>
      </c>
      <c r="B168" s="26" t="s">
        <v>275</v>
      </c>
      <c r="C168" s="27" t="s">
        <v>276</v>
      </c>
      <c r="D168" s="469" t="s">
        <v>273</v>
      </c>
      <c r="E168" s="105" t="s">
        <v>277</v>
      </c>
      <c r="H168" s="16"/>
      <c r="I168" s="16"/>
      <c r="J168" s="16"/>
    </row>
    <row r="169" spans="1:10" ht="57.6">
      <c r="A169" s="26" t="s">
        <v>270</v>
      </c>
      <c r="B169" s="26" t="s">
        <v>278</v>
      </c>
      <c r="C169" s="27" t="s">
        <v>279</v>
      </c>
      <c r="D169" s="469" t="s">
        <v>273</v>
      </c>
      <c r="E169" s="105" t="s">
        <v>280</v>
      </c>
    </row>
    <row r="170" spans="1:10" ht="28.8">
      <c r="A170" s="26" t="s">
        <v>281</v>
      </c>
      <c r="B170" s="26" t="s">
        <v>282</v>
      </c>
      <c r="C170" s="27" t="s">
        <v>283</v>
      </c>
      <c r="D170" s="469" t="s">
        <v>257</v>
      </c>
      <c r="E170" s="105" t="s">
        <v>284</v>
      </c>
    </row>
    <row r="171" spans="1:10" ht="43.2">
      <c r="A171" s="26" t="s">
        <v>285</v>
      </c>
      <c r="B171" s="26" t="s">
        <v>286</v>
      </c>
      <c r="C171" s="470" t="s">
        <v>287</v>
      </c>
      <c r="D171" s="469" t="s">
        <v>257</v>
      </c>
      <c r="E171" s="105" t="s">
        <v>288</v>
      </c>
    </row>
    <row r="172" spans="1:10" ht="43.2">
      <c r="A172" s="26" t="s">
        <v>289</v>
      </c>
      <c r="B172" s="26" t="s">
        <v>290</v>
      </c>
      <c r="C172" s="470" t="s">
        <v>291</v>
      </c>
      <c r="D172" s="469" t="s">
        <v>257</v>
      </c>
      <c r="E172" s="105" t="s">
        <v>292</v>
      </c>
    </row>
    <row r="173" spans="1:10" ht="57.6">
      <c r="A173" s="26" t="s">
        <v>293</v>
      </c>
      <c r="B173" s="26" t="s">
        <v>294</v>
      </c>
      <c r="C173" s="470" t="s">
        <v>295</v>
      </c>
      <c r="D173" s="469" t="s">
        <v>257</v>
      </c>
      <c r="E173" s="105" t="s">
        <v>296</v>
      </c>
    </row>
    <row r="174" spans="1:10" ht="43.2">
      <c r="A174" s="469" t="s">
        <v>297</v>
      </c>
      <c r="B174" s="26" t="s">
        <v>298</v>
      </c>
      <c r="C174" s="470" t="s">
        <v>299</v>
      </c>
      <c r="D174" s="469" t="s">
        <v>257</v>
      </c>
      <c r="E174" s="105" t="s">
        <v>300</v>
      </c>
    </row>
    <row r="175" spans="1:10" ht="43.2">
      <c r="A175" s="469" t="s">
        <v>301</v>
      </c>
      <c r="B175" s="26" t="s">
        <v>302</v>
      </c>
      <c r="C175" s="470" t="s">
        <v>303</v>
      </c>
      <c r="D175" s="469" t="s">
        <v>257</v>
      </c>
      <c r="E175" s="105" t="s">
        <v>304</v>
      </c>
    </row>
    <row r="176" spans="1:10" ht="43.2">
      <c r="A176" s="469" t="s">
        <v>305</v>
      </c>
      <c r="B176" s="26" t="s">
        <v>306</v>
      </c>
      <c r="C176" s="470" t="s">
        <v>307</v>
      </c>
      <c r="D176" s="469" t="s">
        <v>257</v>
      </c>
      <c r="E176" s="105" t="s">
        <v>308</v>
      </c>
    </row>
    <row r="177" spans="1:5" ht="43.2">
      <c r="A177" s="469" t="s">
        <v>309</v>
      </c>
      <c r="B177" s="26" t="s">
        <v>310</v>
      </c>
      <c r="C177" s="470" t="s">
        <v>311</v>
      </c>
      <c r="D177" s="469" t="s">
        <v>257</v>
      </c>
      <c r="E177" s="105" t="s">
        <v>312</v>
      </c>
    </row>
    <row r="178" spans="1:5" ht="100.8">
      <c r="A178" s="469" t="s">
        <v>313</v>
      </c>
      <c r="B178" s="26" t="s">
        <v>314</v>
      </c>
      <c r="C178" s="470" t="s">
        <v>315</v>
      </c>
      <c r="D178" s="469" t="s">
        <v>257</v>
      </c>
      <c r="E178" s="105" t="s">
        <v>316</v>
      </c>
    </row>
    <row r="179" spans="1:5" ht="43.2">
      <c r="A179" s="469" t="s">
        <v>317</v>
      </c>
      <c r="B179" s="26" t="s">
        <v>318</v>
      </c>
      <c r="C179" s="470" t="s">
        <v>319</v>
      </c>
      <c r="D179" s="469" t="s">
        <v>257</v>
      </c>
      <c r="E179" s="105" t="s">
        <v>320</v>
      </c>
    </row>
    <row r="180" spans="1:5" ht="43.2">
      <c r="A180" s="469" t="s">
        <v>321</v>
      </c>
      <c r="B180" s="26" t="s">
        <v>322</v>
      </c>
      <c r="C180" s="470" t="s">
        <v>323</v>
      </c>
      <c r="D180" s="469" t="s">
        <v>257</v>
      </c>
      <c r="E180" s="105" t="s">
        <v>324</v>
      </c>
    </row>
    <row r="181" spans="1:5" ht="57.6">
      <c r="A181" s="469" t="s">
        <v>325</v>
      </c>
      <c r="B181" s="26" t="s">
        <v>326</v>
      </c>
      <c r="C181" s="470" t="s">
        <v>327</v>
      </c>
      <c r="D181" s="469" t="s">
        <v>257</v>
      </c>
      <c r="E181" s="105" t="s">
        <v>328</v>
      </c>
    </row>
    <row r="182" spans="1:5" ht="28.8">
      <c r="A182" s="469" t="s">
        <v>329</v>
      </c>
      <c r="B182" s="469" t="s">
        <v>330</v>
      </c>
      <c r="C182" s="470" t="s">
        <v>331</v>
      </c>
      <c r="D182" s="469" t="s">
        <v>257</v>
      </c>
      <c r="E182" s="105" t="s">
        <v>332</v>
      </c>
    </row>
    <row r="183" spans="1:5" ht="57.6">
      <c r="A183" s="469" t="s">
        <v>333</v>
      </c>
      <c r="B183" s="469" t="s">
        <v>334</v>
      </c>
      <c r="C183" s="470" t="s">
        <v>335</v>
      </c>
      <c r="D183" s="469" t="s">
        <v>257</v>
      </c>
      <c r="E183" s="105" t="s">
        <v>336</v>
      </c>
    </row>
    <row r="184" spans="1:5" ht="43.2">
      <c r="A184" s="469" t="s">
        <v>337</v>
      </c>
      <c r="B184" s="469" t="s">
        <v>338</v>
      </c>
      <c r="C184" s="470" t="s">
        <v>339</v>
      </c>
      <c r="D184" s="469" t="s">
        <v>257</v>
      </c>
      <c r="E184" s="105" t="s">
        <v>340</v>
      </c>
    </row>
    <row r="185" spans="1:5" ht="57.6">
      <c r="A185" s="469" t="s">
        <v>341</v>
      </c>
      <c r="B185" s="469" t="s">
        <v>342</v>
      </c>
      <c r="C185" s="470" t="s">
        <v>343</v>
      </c>
      <c r="D185" s="469" t="s">
        <v>257</v>
      </c>
      <c r="E185" s="105" t="s">
        <v>344</v>
      </c>
    </row>
    <row r="186" spans="1:5" ht="86.4">
      <c r="A186" s="469" t="s">
        <v>341</v>
      </c>
      <c r="B186" s="469" t="s">
        <v>345</v>
      </c>
      <c r="C186" s="470" t="s">
        <v>346</v>
      </c>
      <c r="D186" s="469" t="s">
        <v>257</v>
      </c>
      <c r="E186" s="105" t="s">
        <v>347</v>
      </c>
    </row>
    <row r="187" spans="1:5" ht="57.6">
      <c r="A187" s="469" t="s">
        <v>341</v>
      </c>
      <c r="B187" s="469" t="s">
        <v>348</v>
      </c>
      <c r="C187" s="470" t="s">
        <v>349</v>
      </c>
      <c r="D187" s="469" t="s">
        <v>257</v>
      </c>
      <c r="E187" s="105" t="s">
        <v>350</v>
      </c>
    </row>
    <row r="188" spans="1:5" ht="43.2">
      <c r="A188" s="469" t="s">
        <v>351</v>
      </c>
      <c r="B188" s="469" t="s">
        <v>352</v>
      </c>
      <c r="C188" s="470" t="s">
        <v>353</v>
      </c>
      <c r="D188" s="469" t="s">
        <v>257</v>
      </c>
      <c r="E188" s="105" t="s">
        <v>354</v>
      </c>
    </row>
    <row r="189" spans="1:5" ht="57.6">
      <c r="A189" s="469" t="s">
        <v>355</v>
      </c>
      <c r="B189" s="469" t="s">
        <v>356</v>
      </c>
      <c r="C189" s="470" t="s">
        <v>357</v>
      </c>
      <c r="D189" s="469" t="s">
        <v>257</v>
      </c>
      <c r="E189" s="105" t="s">
        <v>358</v>
      </c>
    </row>
    <row r="193" spans="3:3">
      <c r="C193" s="466"/>
    </row>
  </sheetData>
  <sortState xmlns:xlrd2="http://schemas.microsoft.com/office/spreadsheetml/2017/richdata2" ref="A132:D158">
    <sortCondition ref="A131:A152"/>
  </sortState>
  <mergeCells count="34">
    <mergeCell ref="C154:D154"/>
    <mergeCell ref="C155:D155"/>
    <mergeCell ref="C156:D156"/>
    <mergeCell ref="C157:D157"/>
    <mergeCell ref="C158:D158"/>
    <mergeCell ref="C153:D153"/>
    <mergeCell ref="C143:D143"/>
    <mergeCell ref="C144:D144"/>
    <mergeCell ref="C145:D145"/>
    <mergeCell ref="C146:D146"/>
    <mergeCell ref="C147:D147"/>
    <mergeCell ref="C148:D148"/>
    <mergeCell ref="C149:D149"/>
    <mergeCell ref="C150:D150"/>
    <mergeCell ref="C151:D151"/>
    <mergeCell ref="C152:D152"/>
    <mergeCell ref="C142:D142"/>
    <mergeCell ref="C131:D131"/>
    <mergeCell ref="C132:D132"/>
    <mergeCell ref="C133:D133"/>
    <mergeCell ref="C134:D134"/>
    <mergeCell ref="C135:D135"/>
    <mergeCell ref="C136:D136"/>
    <mergeCell ref="C137:D137"/>
    <mergeCell ref="C138:D138"/>
    <mergeCell ref="C139:D139"/>
    <mergeCell ref="C140:D140"/>
    <mergeCell ref="C141:D141"/>
    <mergeCell ref="B16:D16"/>
    <mergeCell ref="B10:D10"/>
    <mergeCell ref="B11:D11"/>
    <mergeCell ref="B12:D12"/>
    <mergeCell ref="B13:D13"/>
    <mergeCell ref="B15:D15"/>
  </mergeCells>
  <phoneticPr fontId="261" type="noConversion"/>
  <hyperlinks>
    <hyperlink ref="E163" r:id="rId1" xr:uid="{40412B42-52F3-438B-BA1C-9AB9DBD2083D}"/>
    <hyperlink ref="E164" r:id="rId2" xr:uid="{D994E455-A6B7-4B98-BC3C-C27914ADC55F}"/>
    <hyperlink ref="E165" r:id="rId3" xr:uid="{6681B162-8471-4613-A17E-1A75D0B2EA3F}"/>
    <hyperlink ref="E166" r:id="rId4" xr:uid="{A64B18D7-C478-4EFC-8778-6402EBADA6C2}"/>
    <hyperlink ref="E167" r:id="rId5" xr:uid="{491ADFDF-CADE-4ABA-9691-BCFFE342AB01}"/>
    <hyperlink ref="E168" r:id="rId6" xr:uid="{3BD7AE49-DEEA-4BF2-80EF-88C51DA6DC22}"/>
    <hyperlink ref="E169" r:id="rId7" xr:uid="{65A1E31A-5FDE-4161-B0B5-A17A817DBF49}"/>
    <hyperlink ref="E170" r:id="rId8" xr:uid="{B68FBEDE-1BDC-4855-8C96-92B9BA2419D9}"/>
    <hyperlink ref="E171" r:id="rId9" xr:uid="{BFBB3C7B-DC77-4B5F-A094-0874C50897D1}"/>
    <hyperlink ref="E172" r:id="rId10" xr:uid="{F7A83B6E-7FDC-4CB6-B4C3-999D84E4E049}"/>
    <hyperlink ref="E173" r:id="rId11" xr:uid="{F7A6BFBC-9EFE-4D0A-9BE5-EC0D09D6CF0B}"/>
    <hyperlink ref="E174" r:id="rId12" xr:uid="{687AAE09-53F2-41D0-B621-6B90A0644DEB}"/>
    <hyperlink ref="E175" r:id="rId13" xr:uid="{1F0760A0-D67D-4227-86E3-D83234BADB15}"/>
    <hyperlink ref="E176" r:id="rId14" xr:uid="{12760398-6FA9-45A5-9B4B-F08C8F43CCC9}"/>
    <hyperlink ref="E177" r:id="rId15" xr:uid="{B80D05E9-4CE5-421A-8050-6A7DA4CA7DB9}"/>
    <hyperlink ref="E179" r:id="rId16" xr:uid="{DBE86E33-37D6-46D1-BB45-AD02900CD34C}"/>
    <hyperlink ref="E180" r:id="rId17" xr:uid="{09CACCFA-12EB-4415-B3FA-CD0BF7FB4503}"/>
    <hyperlink ref="E181" r:id="rId18" xr:uid="{1E024F7A-3BC5-4E84-9177-1CE5DD5537CC}"/>
    <hyperlink ref="E178" r:id="rId19" xr:uid="{FBE906BB-18A4-4DCB-B286-8149C23EC06D}"/>
    <hyperlink ref="E182" r:id="rId20" xr:uid="{A3AAEF0C-0452-488F-9F31-9EC82A3E7A22}"/>
    <hyperlink ref="E183" r:id="rId21" location="sec0030" xr:uid="{666F9178-6A33-4296-924E-6EF984C91309}"/>
    <hyperlink ref="E184" r:id="rId22" xr:uid="{D26F0053-548B-4433-BC8B-B22F2C46302C}"/>
    <hyperlink ref="E185" r:id="rId23" xr:uid="{F4688953-D7DA-4ED5-8971-A95D5191FA0D}"/>
    <hyperlink ref="E186" r:id="rId24" xr:uid="{80904EC6-3901-4BA8-B727-219DFA196B47}"/>
    <hyperlink ref="E187" r:id="rId25" xr:uid="{B57547AD-F8AC-47D2-8947-74A375A7DB97}"/>
    <hyperlink ref="E189" r:id="rId26" xr:uid="{F48CDBD6-2573-4750-B48A-E647CA042C6F}"/>
    <hyperlink ref="E188" r:id="rId27" xr:uid="{457B62E4-FD4B-4F22-B866-85DDF362ECC2}"/>
  </hyperlinks>
  <pageMargins left="0.7" right="0.7" top="0.75" bottom="0.75" header="0.3" footer="0.3"/>
  <pageSetup paperSize="9" orientation="portrait" horizontalDpi="0" verticalDpi="0" r:id="rId28"/>
  <legacyDrawing r:id="rId2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26B55-280B-4D2E-BC42-73519C5CDDAF}">
  <sheetPr>
    <tabColor rgb="FFFFFF00"/>
  </sheetPr>
  <dimension ref="A2:D14"/>
  <sheetViews>
    <sheetView workbookViewId="0">
      <selection activeCell="D8" sqref="D8"/>
    </sheetView>
  </sheetViews>
  <sheetFormatPr defaultColWidth="8.69921875" defaultRowHeight="14.4"/>
  <cols>
    <col min="1" max="1" width="11.8984375" style="533" bestFit="1" customWidth="1"/>
    <col min="2" max="2" width="22.59765625" style="533" bestFit="1" customWidth="1"/>
    <col min="3" max="3" width="9" style="533" bestFit="1" customWidth="1"/>
    <col min="4" max="4" width="53.5" style="533" bestFit="1" customWidth="1"/>
    <col min="5" max="16384" width="8.69921875" style="533"/>
  </cols>
  <sheetData>
    <row r="2" spans="1:4" ht="18">
      <c r="A2" s="532" t="s">
        <v>2690</v>
      </c>
    </row>
    <row r="3" spans="1:4" ht="15" thickBot="1">
      <c r="A3" s="534" t="s">
        <v>2691</v>
      </c>
      <c r="B3" s="535" t="s">
        <v>2692</v>
      </c>
      <c r="C3" s="535" t="s">
        <v>2693</v>
      </c>
      <c r="D3" s="536" t="s">
        <v>2694</v>
      </c>
    </row>
    <row r="4" spans="1:4">
      <c r="A4" s="537">
        <v>45775</v>
      </c>
      <c r="B4" s="538" t="s">
        <v>1936</v>
      </c>
      <c r="C4" s="539" t="s">
        <v>2695</v>
      </c>
      <c r="D4" s="541" t="s">
        <v>2697</v>
      </c>
    </row>
    <row r="5" spans="1:4">
      <c r="A5" s="537">
        <v>45775</v>
      </c>
      <c r="B5" s="538" t="s">
        <v>1936</v>
      </c>
      <c r="C5" s="540" t="s">
        <v>2696</v>
      </c>
      <c r="D5" s="542" t="s">
        <v>2698</v>
      </c>
    </row>
    <row r="6" spans="1:4">
      <c r="A6" s="543">
        <v>45782</v>
      </c>
      <c r="B6" s="544" t="s">
        <v>2700</v>
      </c>
      <c r="C6" s="544" t="s">
        <v>2701</v>
      </c>
      <c r="D6" s="545" t="s">
        <v>2702</v>
      </c>
    </row>
    <row r="7" spans="1:4">
      <c r="A7" s="543">
        <v>45789</v>
      </c>
      <c r="B7" s="547" t="s">
        <v>2720</v>
      </c>
      <c r="C7" s="547" t="s">
        <v>2721</v>
      </c>
      <c r="D7" s="575" t="s">
        <v>2747</v>
      </c>
    </row>
    <row r="8" spans="1:4">
      <c r="A8" s="543">
        <v>45789</v>
      </c>
      <c r="B8" s="547" t="s">
        <v>2722</v>
      </c>
      <c r="C8" s="547" t="s">
        <v>2723</v>
      </c>
      <c r="D8" s="548" t="s">
        <v>2724</v>
      </c>
    </row>
    <row r="9" spans="1:4">
      <c r="A9" s="543">
        <v>45796</v>
      </c>
      <c r="B9" s="549" t="s">
        <v>86</v>
      </c>
      <c r="C9" s="549" t="s">
        <v>2725</v>
      </c>
      <c r="D9" s="550" t="s">
        <v>2726</v>
      </c>
    </row>
    <row r="10" spans="1:4">
      <c r="A10" s="543">
        <v>45796</v>
      </c>
      <c r="B10" s="533" t="s">
        <v>2700</v>
      </c>
      <c r="C10" s="551" t="s">
        <v>2728</v>
      </c>
      <c r="D10" s="552" t="s">
        <v>2729</v>
      </c>
    </row>
    <row r="11" spans="1:4">
      <c r="A11" s="571">
        <v>45812</v>
      </c>
      <c r="B11" s="572" t="s">
        <v>2737</v>
      </c>
      <c r="D11" s="572" t="s">
        <v>2738</v>
      </c>
    </row>
    <row r="12" spans="1:4">
      <c r="A12" s="571">
        <v>45827</v>
      </c>
      <c r="B12" s="573" t="s">
        <v>2739</v>
      </c>
      <c r="C12" s="573" t="s">
        <v>2740</v>
      </c>
      <c r="D12" s="573" t="s">
        <v>2741</v>
      </c>
    </row>
    <row r="13" spans="1:4">
      <c r="A13" s="571">
        <v>45827</v>
      </c>
      <c r="B13" s="573" t="s">
        <v>2742</v>
      </c>
      <c r="C13" s="573" t="s">
        <v>2743</v>
      </c>
      <c r="D13" s="573" t="s">
        <v>2744</v>
      </c>
    </row>
    <row r="14" spans="1:4">
      <c r="A14" s="571">
        <v>45827</v>
      </c>
      <c r="B14" s="573" t="s">
        <v>703</v>
      </c>
      <c r="C14" s="573" t="s">
        <v>2745</v>
      </c>
      <c r="D14" s="573" t="s">
        <v>2746</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9E324-3E80-4F30-90CA-258A68C5BFB6}">
  <sheetPr>
    <tabColor theme="9" tint="0.39997558519241921"/>
  </sheetPr>
  <dimension ref="B1:M158"/>
  <sheetViews>
    <sheetView topLeftCell="A76" workbookViewId="0">
      <selection activeCell="C133" sqref="C133"/>
    </sheetView>
  </sheetViews>
  <sheetFormatPr defaultRowHeight="15.6"/>
  <cols>
    <col min="2" max="2" width="35.3984375" bestFit="1" customWidth="1"/>
    <col min="3" max="3" width="14.3984375" bestFit="1" customWidth="1"/>
    <col min="4" max="4" width="44.09765625" bestFit="1" customWidth="1"/>
  </cols>
  <sheetData>
    <row r="1" spans="2:13" s="237" customFormat="1" ht="25.8">
      <c r="B1" s="238" t="s">
        <v>370</v>
      </c>
      <c r="C1" s="492"/>
      <c r="D1" s="492"/>
      <c r="E1" s="492"/>
      <c r="F1" s="492"/>
      <c r="G1" s="492"/>
      <c r="H1" s="492"/>
      <c r="I1" s="492"/>
      <c r="J1" s="492"/>
      <c r="K1" s="492"/>
      <c r="L1" s="492"/>
      <c r="M1" s="492"/>
    </row>
    <row r="2" spans="2:13" s="237" customFormat="1" ht="14.4">
      <c r="B2" s="492"/>
      <c r="C2" s="492"/>
      <c r="D2" s="492"/>
      <c r="E2" s="492"/>
      <c r="F2" s="492"/>
      <c r="G2" s="492"/>
      <c r="H2" s="492"/>
      <c r="I2" s="492"/>
      <c r="J2" s="492"/>
      <c r="K2" s="492"/>
      <c r="L2" s="492"/>
      <c r="M2" s="492"/>
    </row>
    <row r="3" spans="2:13" s="237" customFormat="1" ht="14.4">
      <c r="B3" s="239" t="s">
        <v>371</v>
      </c>
      <c r="C3" s="493"/>
      <c r="D3" s="493"/>
      <c r="E3" s="493"/>
      <c r="F3" s="493"/>
      <c r="G3" s="493"/>
      <c r="H3" s="493"/>
      <c r="I3" s="493"/>
      <c r="J3" s="492"/>
      <c r="K3" s="492"/>
      <c r="L3" s="492"/>
      <c r="M3" s="492"/>
    </row>
    <row r="4" spans="2:13" s="237" customFormat="1" ht="15" thickBot="1">
      <c r="B4" s="240" t="s">
        <v>372</v>
      </c>
      <c r="C4" s="10" t="s">
        <v>373</v>
      </c>
      <c r="D4" s="10" t="s">
        <v>374</v>
      </c>
      <c r="E4" s="10" t="s">
        <v>375</v>
      </c>
      <c r="F4" s="10" t="s">
        <v>376</v>
      </c>
      <c r="G4" s="10" t="s">
        <v>377</v>
      </c>
      <c r="H4" s="10" t="s">
        <v>378</v>
      </c>
      <c r="I4" s="10" t="s">
        <v>379</v>
      </c>
      <c r="J4" s="492"/>
      <c r="K4" s="492"/>
      <c r="L4" s="492"/>
      <c r="M4" s="492"/>
    </row>
    <row r="5" spans="2:13" s="237" customFormat="1" ht="14.4">
      <c r="B5" s="241" t="s">
        <v>380</v>
      </c>
      <c r="C5" s="242" t="s">
        <v>381</v>
      </c>
      <c r="D5" s="243" t="s">
        <v>23</v>
      </c>
      <c r="E5" s="243"/>
      <c r="F5" s="243"/>
      <c r="G5" s="243"/>
      <c r="H5" s="243"/>
      <c r="I5" s="243"/>
      <c r="J5" s="244"/>
      <c r="K5" s="492"/>
      <c r="L5" s="492"/>
      <c r="M5" s="492"/>
    </row>
    <row r="6" spans="2:13">
      <c r="B6" s="245" t="s">
        <v>382</v>
      </c>
      <c r="C6" s="246"/>
      <c r="D6" s="246"/>
      <c r="E6" s="247"/>
      <c r="F6" s="246"/>
      <c r="G6" s="246"/>
      <c r="H6" s="246"/>
      <c r="I6" s="246"/>
      <c r="L6" s="492"/>
      <c r="M6" s="492"/>
    </row>
    <row r="7" spans="2:13">
      <c r="B7" s="248" t="s">
        <v>383</v>
      </c>
      <c r="C7" t="s">
        <v>384</v>
      </c>
      <c r="D7" t="s">
        <v>384</v>
      </c>
      <c r="E7" s="249" t="s">
        <v>384</v>
      </c>
      <c r="L7" s="492"/>
      <c r="M7" s="492"/>
    </row>
    <row r="8" spans="2:13">
      <c r="B8" s="249" t="s">
        <v>360</v>
      </c>
      <c r="C8" t="s">
        <v>385</v>
      </c>
      <c r="D8" t="s">
        <v>386</v>
      </c>
      <c r="E8" s="249" t="s">
        <v>112</v>
      </c>
      <c r="L8" s="492"/>
      <c r="M8" s="492"/>
    </row>
    <row r="9" spans="2:13">
      <c r="B9" s="249" t="s">
        <v>360</v>
      </c>
      <c r="C9" t="s">
        <v>388</v>
      </c>
      <c r="D9" t="s">
        <v>389</v>
      </c>
      <c r="E9" s="249" t="s">
        <v>112</v>
      </c>
      <c r="L9" s="492"/>
      <c r="M9" s="492"/>
    </row>
    <row r="10" spans="2:13">
      <c r="B10" s="249" t="s">
        <v>360</v>
      </c>
      <c r="C10" t="s">
        <v>390</v>
      </c>
      <c r="D10" t="s">
        <v>391</v>
      </c>
      <c r="E10" s="249" t="s">
        <v>112</v>
      </c>
    </row>
    <row r="11" spans="2:13">
      <c r="B11" s="249" t="s">
        <v>360</v>
      </c>
      <c r="C11" t="s">
        <v>392</v>
      </c>
      <c r="D11" t="s">
        <v>393</v>
      </c>
      <c r="E11" s="249" t="s">
        <v>112</v>
      </c>
    </row>
    <row r="12" spans="2:13">
      <c r="B12" s="249" t="s">
        <v>360</v>
      </c>
      <c r="C12" t="s">
        <v>394</v>
      </c>
      <c r="D12" t="s">
        <v>395</v>
      </c>
      <c r="E12" s="249" t="s">
        <v>112</v>
      </c>
    </row>
    <row r="13" spans="2:13">
      <c r="B13" s="249" t="s">
        <v>360</v>
      </c>
      <c r="C13" t="s">
        <v>396</v>
      </c>
      <c r="D13" t="s">
        <v>397</v>
      </c>
      <c r="E13" s="249" t="s">
        <v>112</v>
      </c>
    </row>
    <row r="14" spans="2:13">
      <c r="B14" s="248" t="s">
        <v>398</v>
      </c>
      <c r="E14" s="249"/>
    </row>
    <row r="15" spans="2:13">
      <c r="B15" s="249" t="s">
        <v>360</v>
      </c>
      <c r="C15" t="s">
        <v>399</v>
      </c>
      <c r="D15" t="s">
        <v>400</v>
      </c>
      <c r="E15" s="249" t="s">
        <v>401</v>
      </c>
    </row>
    <row r="16" spans="2:13">
      <c r="B16" s="249" t="s">
        <v>360</v>
      </c>
      <c r="C16" t="s">
        <v>402</v>
      </c>
      <c r="D16" t="s">
        <v>403</v>
      </c>
      <c r="E16" s="249" t="s">
        <v>401</v>
      </c>
    </row>
    <row r="17" spans="2:9">
      <c r="B17" s="249" t="s">
        <v>360</v>
      </c>
      <c r="C17" t="s">
        <v>404</v>
      </c>
      <c r="D17" t="s">
        <v>405</v>
      </c>
      <c r="E17" s="249" t="s">
        <v>401</v>
      </c>
    </row>
    <row r="18" spans="2:9">
      <c r="B18" s="249" t="s">
        <v>360</v>
      </c>
      <c r="C18" t="s">
        <v>406</v>
      </c>
      <c r="D18" t="s">
        <v>407</v>
      </c>
      <c r="E18" s="249" t="s">
        <v>112</v>
      </c>
    </row>
    <row r="19" spans="2:9">
      <c r="B19" s="249" t="s">
        <v>360</v>
      </c>
      <c r="C19" t="s">
        <v>408</v>
      </c>
      <c r="D19" t="s">
        <v>409</v>
      </c>
      <c r="E19" s="249" t="s">
        <v>112</v>
      </c>
    </row>
    <row r="20" spans="2:9">
      <c r="B20" s="245" t="s">
        <v>410</v>
      </c>
      <c r="C20" s="246" t="s">
        <v>384</v>
      </c>
      <c r="D20" s="246" t="s">
        <v>384</v>
      </c>
      <c r="E20" s="247" t="s">
        <v>384</v>
      </c>
      <c r="F20" s="246"/>
      <c r="G20" s="246"/>
      <c r="H20" s="246"/>
      <c r="I20" s="246"/>
    </row>
    <row r="21" spans="2:9">
      <c r="B21" s="248" t="s">
        <v>411</v>
      </c>
      <c r="E21" s="249"/>
    </row>
    <row r="22" spans="2:9">
      <c r="B22" s="249" t="s">
        <v>360</v>
      </c>
      <c r="C22" t="s">
        <v>412</v>
      </c>
      <c r="D22" t="s">
        <v>413</v>
      </c>
      <c r="E22" s="249" t="s">
        <v>112</v>
      </c>
    </row>
    <row r="23" spans="2:9">
      <c r="B23" s="249" t="s">
        <v>360</v>
      </c>
      <c r="C23" t="s">
        <v>2677</v>
      </c>
      <c r="D23" t="s">
        <v>414</v>
      </c>
      <c r="E23" s="249" t="s">
        <v>112</v>
      </c>
    </row>
    <row r="24" spans="2:9">
      <c r="B24" s="249" t="s">
        <v>360</v>
      </c>
      <c r="C24" t="s">
        <v>415</v>
      </c>
      <c r="D24" t="s">
        <v>416</v>
      </c>
      <c r="E24" s="249" t="s">
        <v>112</v>
      </c>
    </row>
    <row r="25" spans="2:9">
      <c r="B25" s="249" t="s">
        <v>360</v>
      </c>
      <c r="C25" t="s">
        <v>417</v>
      </c>
      <c r="D25" t="s">
        <v>418</v>
      </c>
      <c r="E25" s="249" t="s">
        <v>112</v>
      </c>
    </row>
    <row r="26" spans="2:9">
      <c r="B26" s="249" t="s">
        <v>360</v>
      </c>
      <c r="C26" t="s">
        <v>419</v>
      </c>
      <c r="D26" t="s">
        <v>420</v>
      </c>
      <c r="E26" s="249" t="s">
        <v>112</v>
      </c>
    </row>
    <row r="27" spans="2:9">
      <c r="B27" s="249" t="s">
        <v>360</v>
      </c>
      <c r="C27" t="s">
        <v>421</v>
      </c>
      <c r="D27" t="s">
        <v>422</v>
      </c>
      <c r="E27" s="249" t="s">
        <v>112</v>
      </c>
    </row>
    <row r="28" spans="2:9">
      <c r="B28" s="249" t="s">
        <v>360</v>
      </c>
      <c r="C28" t="s">
        <v>423</v>
      </c>
      <c r="D28" t="s">
        <v>424</v>
      </c>
      <c r="E28" s="249" t="s">
        <v>112</v>
      </c>
    </row>
    <row r="29" spans="2:9">
      <c r="B29" s="249" t="s">
        <v>360</v>
      </c>
      <c r="C29" t="s">
        <v>2675</v>
      </c>
      <c r="D29" t="s">
        <v>425</v>
      </c>
      <c r="E29" s="249" t="s">
        <v>112</v>
      </c>
    </row>
    <row r="30" spans="2:9">
      <c r="B30" s="249" t="s">
        <v>360</v>
      </c>
      <c r="C30" t="s">
        <v>426</v>
      </c>
      <c r="D30" t="s">
        <v>427</v>
      </c>
      <c r="E30" s="249" t="s">
        <v>112</v>
      </c>
    </row>
    <row r="31" spans="2:9">
      <c r="B31" s="249" t="s">
        <v>360</v>
      </c>
      <c r="C31" t="s">
        <v>428</v>
      </c>
      <c r="D31" t="s">
        <v>429</v>
      </c>
      <c r="E31" s="249" t="s">
        <v>112</v>
      </c>
    </row>
    <row r="32" spans="2:9">
      <c r="B32" s="248" t="s">
        <v>430</v>
      </c>
      <c r="E32" s="249"/>
    </row>
    <row r="33" spans="2:9">
      <c r="B33" s="249" t="s">
        <v>360</v>
      </c>
      <c r="C33" t="s">
        <v>367</v>
      </c>
      <c r="D33" t="s">
        <v>431</v>
      </c>
      <c r="E33" s="249" t="s">
        <v>112</v>
      </c>
    </row>
    <row r="34" spans="2:9">
      <c r="B34" s="249" t="s">
        <v>360</v>
      </c>
      <c r="C34" t="s">
        <v>432</v>
      </c>
      <c r="D34" t="s">
        <v>433</v>
      </c>
      <c r="E34" s="249" t="s">
        <v>112</v>
      </c>
    </row>
    <row r="35" spans="2:9">
      <c r="B35" s="249" t="s">
        <v>360</v>
      </c>
      <c r="C35" t="s">
        <v>434</v>
      </c>
      <c r="D35" t="s">
        <v>435</v>
      </c>
      <c r="E35" s="249" t="s">
        <v>112</v>
      </c>
    </row>
    <row r="36" spans="2:9">
      <c r="B36" s="248" t="s">
        <v>436</v>
      </c>
      <c r="E36" s="249"/>
    </row>
    <row r="37" spans="2:9">
      <c r="B37" s="249" t="s">
        <v>360</v>
      </c>
      <c r="C37" t="s">
        <v>369</v>
      </c>
      <c r="D37" t="s">
        <v>437</v>
      </c>
      <c r="E37" s="249" t="s">
        <v>112</v>
      </c>
    </row>
    <row r="38" spans="2:9">
      <c r="B38" s="248" t="s">
        <v>438</v>
      </c>
      <c r="E38" s="249"/>
    </row>
    <row r="39" spans="2:9">
      <c r="B39" s="249" t="s">
        <v>360</v>
      </c>
      <c r="C39" s="4" t="s">
        <v>439</v>
      </c>
      <c r="D39" t="s">
        <v>440</v>
      </c>
      <c r="E39" s="249" t="s">
        <v>112</v>
      </c>
    </row>
    <row r="40" spans="2:9">
      <c r="B40" s="249" t="s">
        <v>360</v>
      </c>
      <c r="C40" t="s">
        <v>441</v>
      </c>
      <c r="D40" t="s">
        <v>442</v>
      </c>
      <c r="E40" s="249" t="s">
        <v>112</v>
      </c>
    </row>
    <row r="41" spans="2:9">
      <c r="B41" s="249" t="s">
        <v>360</v>
      </c>
      <c r="C41" t="s">
        <v>443</v>
      </c>
      <c r="D41" t="s">
        <v>444</v>
      </c>
      <c r="E41" s="249" t="s">
        <v>112</v>
      </c>
    </row>
    <row r="42" spans="2:9">
      <c r="B42" s="249" t="s">
        <v>360</v>
      </c>
      <c r="C42" t="s">
        <v>445</v>
      </c>
      <c r="D42" t="s">
        <v>446</v>
      </c>
      <c r="E42" s="249" t="s">
        <v>112</v>
      </c>
    </row>
    <row r="43" spans="2:9">
      <c r="B43" s="249" t="s">
        <v>360</v>
      </c>
      <c r="C43" t="s">
        <v>447</v>
      </c>
      <c r="D43" t="s">
        <v>448</v>
      </c>
      <c r="E43" s="249" t="s">
        <v>112</v>
      </c>
    </row>
    <row r="44" spans="2:9">
      <c r="B44" s="249" t="s">
        <v>360</v>
      </c>
      <c r="C44" t="s">
        <v>449</v>
      </c>
      <c r="D44" t="s">
        <v>450</v>
      </c>
      <c r="E44" s="249" t="s">
        <v>112</v>
      </c>
    </row>
    <row r="45" spans="2:9">
      <c r="B45" s="249" t="s">
        <v>360</v>
      </c>
      <c r="C45" t="s">
        <v>451</v>
      </c>
      <c r="D45" t="s">
        <v>452</v>
      </c>
      <c r="E45" s="249" t="s">
        <v>112</v>
      </c>
    </row>
    <row r="46" spans="2:9">
      <c r="B46" s="248" t="s">
        <v>453</v>
      </c>
      <c r="C46" s="281" t="s">
        <v>384</v>
      </c>
      <c r="D46" s="281" t="s">
        <v>384</v>
      </c>
      <c r="E46" s="249" t="s">
        <v>384</v>
      </c>
      <c r="F46" s="251"/>
      <c r="G46" s="251"/>
      <c r="H46" s="251"/>
      <c r="I46" s="251"/>
    </row>
    <row r="47" spans="2:9">
      <c r="B47" s="249" t="s">
        <v>360</v>
      </c>
      <c r="C47" s="281" t="s">
        <v>454</v>
      </c>
      <c r="D47" s="281" t="s">
        <v>455</v>
      </c>
      <c r="E47" s="249" t="s">
        <v>112</v>
      </c>
      <c r="F47" s="251"/>
      <c r="G47" s="251"/>
      <c r="H47" s="251"/>
      <c r="I47" s="251"/>
    </row>
    <row r="48" spans="2:9">
      <c r="B48" s="249" t="s">
        <v>360</v>
      </c>
      <c r="C48" s="281" t="s">
        <v>456</v>
      </c>
      <c r="D48" s="281" t="s">
        <v>457</v>
      </c>
      <c r="E48" s="249" t="s">
        <v>112</v>
      </c>
      <c r="F48" s="251"/>
      <c r="G48" s="251"/>
      <c r="H48" s="251"/>
      <c r="I48" s="251"/>
    </row>
    <row r="49" spans="2:9">
      <c r="B49" s="249" t="s">
        <v>360</v>
      </c>
      <c r="C49" s="281" t="s">
        <v>458</v>
      </c>
      <c r="D49" s="281" t="s">
        <v>459</v>
      </c>
      <c r="E49" s="249" t="s">
        <v>112</v>
      </c>
      <c r="F49" s="251"/>
      <c r="G49" s="251"/>
      <c r="H49" s="251"/>
      <c r="I49" s="251"/>
    </row>
    <row r="50" spans="2:9">
      <c r="B50" s="249" t="s">
        <v>360</v>
      </c>
      <c r="C50" s="281" t="s">
        <v>460</v>
      </c>
      <c r="D50" s="281" t="s">
        <v>461</v>
      </c>
      <c r="E50" s="249" t="s">
        <v>112</v>
      </c>
      <c r="F50" s="251"/>
      <c r="G50" s="251"/>
      <c r="H50" s="251"/>
      <c r="I50" s="251"/>
    </row>
    <row r="51" spans="2:9">
      <c r="B51" s="249" t="s">
        <v>360</v>
      </c>
      <c r="C51" s="281" t="s">
        <v>462</v>
      </c>
      <c r="D51" s="281" t="s">
        <v>463</v>
      </c>
      <c r="E51" s="249" t="s">
        <v>112</v>
      </c>
      <c r="F51" s="251"/>
      <c r="G51" s="251"/>
      <c r="H51" s="251"/>
      <c r="I51" s="251"/>
    </row>
    <row r="52" spans="2:9">
      <c r="B52" s="249" t="s">
        <v>360</v>
      </c>
      <c r="C52" s="281" t="s">
        <v>464</v>
      </c>
      <c r="D52" s="281" t="s">
        <v>465</v>
      </c>
      <c r="E52" s="249" t="s">
        <v>112</v>
      </c>
      <c r="F52" s="251"/>
      <c r="G52" s="251"/>
      <c r="H52" s="251"/>
      <c r="I52" s="251"/>
    </row>
    <row r="53" spans="2:9">
      <c r="B53" s="249" t="s">
        <v>360</v>
      </c>
      <c r="C53" s="281" t="s">
        <v>466</v>
      </c>
      <c r="D53" s="281" t="s">
        <v>467</v>
      </c>
      <c r="E53" s="249" t="s">
        <v>112</v>
      </c>
      <c r="F53" s="251"/>
      <c r="G53" s="251"/>
      <c r="H53" s="251"/>
      <c r="I53" s="251"/>
    </row>
    <row r="54" spans="2:9">
      <c r="B54" s="249" t="s">
        <v>360</v>
      </c>
      <c r="C54" s="281" t="s">
        <v>468</v>
      </c>
      <c r="D54" s="281" t="s">
        <v>469</v>
      </c>
      <c r="E54" s="249" t="s">
        <v>112</v>
      </c>
      <c r="F54" s="251"/>
      <c r="G54" s="251"/>
      <c r="H54" s="251"/>
    </row>
    <row r="55" spans="2:9">
      <c r="B55" s="249" t="s">
        <v>360</v>
      </c>
      <c r="C55" s="281" t="s">
        <v>470</v>
      </c>
      <c r="D55" s="281" t="s">
        <v>471</v>
      </c>
      <c r="E55" s="249" t="s">
        <v>112</v>
      </c>
      <c r="F55" s="251"/>
      <c r="G55" s="251"/>
      <c r="H55" s="251"/>
    </row>
    <row r="56" spans="2:9">
      <c r="B56" s="248" t="s">
        <v>472</v>
      </c>
      <c r="C56" s="281"/>
      <c r="D56" s="281"/>
      <c r="E56" s="249"/>
      <c r="F56" s="251"/>
      <c r="G56" s="251"/>
      <c r="H56" s="251"/>
    </row>
    <row r="57" spans="2:9">
      <c r="B57" s="249" t="s">
        <v>360</v>
      </c>
      <c r="C57" s="249" t="s">
        <v>473</v>
      </c>
      <c r="D57" s="281" t="s">
        <v>474</v>
      </c>
      <c r="E57" s="249" t="s">
        <v>112</v>
      </c>
      <c r="F57" s="251"/>
      <c r="G57" s="251"/>
      <c r="H57" s="251"/>
      <c r="I57" s="251"/>
    </row>
    <row r="58" spans="2:9">
      <c r="B58" s="249" t="s">
        <v>360</v>
      </c>
      <c r="C58" s="249" t="s">
        <v>2699</v>
      </c>
      <c r="D58" s="281" t="s">
        <v>475</v>
      </c>
      <c r="E58" s="249" t="s">
        <v>112</v>
      </c>
      <c r="F58" s="251"/>
      <c r="G58" s="251"/>
      <c r="H58" s="251"/>
      <c r="I58" s="251"/>
    </row>
    <row r="59" spans="2:9">
      <c r="B59" s="249" t="s">
        <v>360</v>
      </c>
      <c r="C59" t="s">
        <v>476</v>
      </c>
      <c r="D59" t="s">
        <v>477</v>
      </c>
      <c r="E59" s="249" t="s">
        <v>112</v>
      </c>
    </row>
    <row r="60" spans="2:9">
      <c r="B60" s="248" t="s">
        <v>478</v>
      </c>
      <c r="E60" s="249"/>
    </row>
    <row r="61" spans="2:9">
      <c r="B61" s="249" t="s">
        <v>360</v>
      </c>
      <c r="C61" t="s">
        <v>479</v>
      </c>
      <c r="D61" t="s">
        <v>480</v>
      </c>
      <c r="E61" s="249" t="s">
        <v>112</v>
      </c>
    </row>
    <row r="62" spans="2:9">
      <c r="B62" s="249" t="s">
        <v>360</v>
      </c>
      <c r="C62" t="s">
        <v>481</v>
      </c>
      <c r="D62" t="s">
        <v>482</v>
      </c>
      <c r="E62" s="249" t="s">
        <v>112</v>
      </c>
    </row>
    <row r="63" spans="2:9">
      <c r="B63" s="249" t="s">
        <v>360</v>
      </c>
      <c r="C63" t="s">
        <v>483</v>
      </c>
      <c r="D63" t="s">
        <v>484</v>
      </c>
      <c r="E63" s="249" t="s">
        <v>112</v>
      </c>
    </row>
    <row r="64" spans="2:9">
      <c r="B64" s="249" t="s">
        <v>360</v>
      </c>
      <c r="C64" t="s">
        <v>485</v>
      </c>
      <c r="D64" t="s">
        <v>486</v>
      </c>
      <c r="E64" s="249" t="s">
        <v>112</v>
      </c>
    </row>
    <row r="65" spans="2:10">
      <c r="B65" s="249" t="s">
        <v>360</v>
      </c>
      <c r="C65" t="s">
        <v>487</v>
      </c>
      <c r="D65" t="s">
        <v>488</v>
      </c>
      <c r="E65" s="249" t="s">
        <v>112</v>
      </c>
    </row>
    <row r="66" spans="2:10">
      <c r="B66" s="248" t="s">
        <v>489</v>
      </c>
      <c r="E66" s="249"/>
    </row>
    <row r="67" spans="2:10">
      <c r="B67" s="249" t="s">
        <v>360</v>
      </c>
      <c r="C67" t="s">
        <v>490</v>
      </c>
      <c r="D67" s="281" t="s">
        <v>491</v>
      </c>
      <c r="E67" s="249" t="s">
        <v>112</v>
      </c>
    </row>
    <row r="68" spans="2:10">
      <c r="B68" s="249" t="s">
        <v>360</v>
      </c>
      <c r="C68" t="s">
        <v>492</v>
      </c>
      <c r="D68" s="281" t="s">
        <v>493</v>
      </c>
      <c r="E68" s="249" t="s">
        <v>112</v>
      </c>
    </row>
    <row r="69" spans="2:10">
      <c r="B69" s="249" t="s">
        <v>360</v>
      </c>
      <c r="C69" t="s">
        <v>494</v>
      </c>
      <c r="D69" s="281" t="s">
        <v>495</v>
      </c>
      <c r="E69" s="249" t="s">
        <v>112</v>
      </c>
    </row>
    <row r="70" spans="2:10">
      <c r="B70" s="249" t="s">
        <v>360</v>
      </c>
      <c r="C70" t="s">
        <v>496</v>
      </c>
      <c r="D70" s="281" t="s">
        <v>497</v>
      </c>
      <c r="E70" s="249" t="s">
        <v>112</v>
      </c>
    </row>
    <row r="71" spans="2:10">
      <c r="B71" s="249" t="s">
        <v>360</v>
      </c>
      <c r="C71" t="s">
        <v>498</v>
      </c>
      <c r="D71" s="281" t="s">
        <v>499</v>
      </c>
      <c r="E71" s="249" t="s">
        <v>112</v>
      </c>
    </row>
    <row r="72" spans="2:10">
      <c r="B72" s="249" t="s">
        <v>360</v>
      </c>
      <c r="C72" t="s">
        <v>500</v>
      </c>
      <c r="D72" s="281" t="s">
        <v>501</v>
      </c>
      <c r="E72" s="249" t="s">
        <v>112</v>
      </c>
    </row>
    <row r="73" spans="2:10">
      <c r="B73" s="249" t="s">
        <v>360</v>
      </c>
      <c r="C73" t="s">
        <v>502</v>
      </c>
      <c r="D73" s="281" t="s">
        <v>503</v>
      </c>
      <c r="E73" s="249" t="s">
        <v>112</v>
      </c>
    </row>
    <row r="74" spans="2:10">
      <c r="B74" s="249" t="s">
        <v>360</v>
      </c>
      <c r="C74" t="s">
        <v>504</v>
      </c>
      <c r="D74" s="281" t="s">
        <v>505</v>
      </c>
      <c r="E74" s="249" t="s">
        <v>112</v>
      </c>
    </row>
    <row r="75" spans="2:10">
      <c r="B75" s="249" t="s">
        <v>360</v>
      </c>
      <c r="C75" t="s">
        <v>506</v>
      </c>
      <c r="D75" s="281" t="s">
        <v>507</v>
      </c>
      <c r="E75" s="249" t="s">
        <v>112</v>
      </c>
    </row>
    <row r="76" spans="2:10">
      <c r="B76" s="249" t="s">
        <v>360</v>
      </c>
      <c r="C76" t="s">
        <v>508</v>
      </c>
      <c r="D76" s="281" t="s">
        <v>509</v>
      </c>
      <c r="E76" s="249" t="s">
        <v>112</v>
      </c>
    </row>
    <row r="77" spans="2:10">
      <c r="B77" s="249" t="s">
        <v>360</v>
      </c>
      <c r="C77" t="s">
        <v>510</v>
      </c>
      <c r="D77" s="281" t="s">
        <v>511</v>
      </c>
      <c r="E77" s="249" t="s">
        <v>112</v>
      </c>
    </row>
    <row r="78" spans="2:10">
      <c r="B78" s="249" t="s">
        <v>360</v>
      </c>
      <c r="C78" t="s">
        <v>512</v>
      </c>
      <c r="D78" s="281" t="s">
        <v>513</v>
      </c>
      <c r="E78" s="515" t="s">
        <v>112</v>
      </c>
    </row>
    <row r="79" spans="2:10">
      <c r="B79" s="245" t="s">
        <v>514</v>
      </c>
      <c r="C79" s="284" t="s">
        <v>384</v>
      </c>
      <c r="D79" s="284" t="s">
        <v>384</v>
      </c>
      <c r="E79" s="247" t="s">
        <v>384</v>
      </c>
      <c r="F79" s="284"/>
      <c r="G79" s="284"/>
      <c r="H79" s="284"/>
      <c r="I79" s="284"/>
      <c r="J79" s="281"/>
    </row>
    <row r="80" spans="2:10">
      <c r="B80" s="249" t="s">
        <v>360</v>
      </c>
      <c r="C80" s="281" t="s">
        <v>515</v>
      </c>
      <c r="D80" s="249" t="s">
        <v>516</v>
      </c>
      <c r="E80" s="516" t="s">
        <v>112</v>
      </c>
      <c r="F80" s="281"/>
      <c r="G80" s="281"/>
      <c r="H80" s="281"/>
      <c r="I80" s="281"/>
    </row>
    <row r="81" spans="2:9">
      <c r="B81" s="249" t="s">
        <v>360</v>
      </c>
      <c r="C81" s="282" t="s">
        <v>517</v>
      </c>
      <c r="D81" s="249" t="s">
        <v>518</v>
      </c>
      <c r="E81" s="249" t="s">
        <v>112</v>
      </c>
      <c r="F81" s="281"/>
      <c r="G81" s="281"/>
      <c r="H81" s="281"/>
      <c r="I81" s="281"/>
    </row>
    <row r="82" spans="2:9">
      <c r="B82" s="249" t="s">
        <v>360</v>
      </c>
      <c r="C82" s="281" t="s">
        <v>519</v>
      </c>
      <c r="D82" s="249" t="s">
        <v>520</v>
      </c>
      <c r="E82" s="249" t="s">
        <v>112</v>
      </c>
      <c r="F82" s="281"/>
      <c r="G82" s="281"/>
      <c r="H82" s="281"/>
      <c r="I82" s="281"/>
    </row>
    <row r="83" spans="2:9">
      <c r="B83" s="249" t="s">
        <v>360</v>
      </c>
      <c r="C83" s="281" t="s">
        <v>521</v>
      </c>
      <c r="D83" s="249" t="s">
        <v>522</v>
      </c>
      <c r="E83" s="249" t="s">
        <v>112</v>
      </c>
      <c r="F83" s="281"/>
      <c r="G83" s="281"/>
      <c r="H83" s="281"/>
      <c r="I83" s="281"/>
    </row>
    <row r="84" spans="2:9">
      <c r="B84" s="249" t="s">
        <v>360</v>
      </c>
      <c r="C84" s="281" t="s">
        <v>523</v>
      </c>
      <c r="D84" s="249" t="s">
        <v>524</v>
      </c>
      <c r="E84" s="249" t="s">
        <v>112</v>
      </c>
      <c r="F84" s="281"/>
      <c r="G84" s="281"/>
      <c r="H84" s="281"/>
      <c r="I84" s="281"/>
    </row>
    <row r="85" spans="2:9">
      <c r="B85" s="249" t="s">
        <v>360</v>
      </c>
      <c r="C85" s="281" t="s">
        <v>525</v>
      </c>
      <c r="D85" s="249" t="s">
        <v>526</v>
      </c>
      <c r="E85" s="249" t="s">
        <v>112</v>
      </c>
      <c r="F85" s="281"/>
      <c r="G85" s="281"/>
      <c r="H85" s="281"/>
      <c r="I85" s="281"/>
    </row>
    <row r="86" spans="2:9">
      <c r="B86" s="249" t="s">
        <v>360</v>
      </c>
      <c r="C86" s="281" t="s">
        <v>527</v>
      </c>
      <c r="D86" s="249" t="s">
        <v>528</v>
      </c>
      <c r="E86" s="249" t="s">
        <v>112</v>
      </c>
      <c r="F86" s="281"/>
      <c r="G86" s="281"/>
      <c r="H86" s="281"/>
      <c r="I86" s="281"/>
    </row>
    <row r="87" spans="2:9">
      <c r="B87" s="249" t="s">
        <v>360</v>
      </c>
      <c r="C87" s="281" t="s">
        <v>2678</v>
      </c>
      <c r="D87" s="249" t="s">
        <v>530</v>
      </c>
      <c r="E87" s="249" t="s">
        <v>112</v>
      </c>
      <c r="F87" s="281"/>
      <c r="G87" s="281"/>
      <c r="H87" s="281"/>
      <c r="I87" s="281"/>
    </row>
    <row r="88" spans="2:9">
      <c r="B88" s="249" t="s">
        <v>360</v>
      </c>
      <c r="C88" s="281" t="s">
        <v>531</v>
      </c>
      <c r="D88" s="249" t="s">
        <v>532</v>
      </c>
      <c r="E88" s="249" t="s">
        <v>112</v>
      </c>
      <c r="F88" s="281"/>
      <c r="G88" s="281"/>
      <c r="H88" s="281"/>
      <c r="I88" s="281"/>
    </row>
    <row r="89" spans="2:9">
      <c r="B89" s="249" t="s">
        <v>360</v>
      </c>
      <c r="C89" s="281" t="s">
        <v>533</v>
      </c>
      <c r="D89" s="249" t="s">
        <v>534</v>
      </c>
      <c r="E89" s="249" t="s">
        <v>112</v>
      </c>
      <c r="F89" s="281"/>
      <c r="G89" s="281"/>
      <c r="H89" s="281"/>
      <c r="I89" s="281"/>
    </row>
    <row r="90" spans="2:9">
      <c r="B90" s="249" t="s">
        <v>360</v>
      </c>
      <c r="C90" s="281" t="s">
        <v>535</v>
      </c>
      <c r="D90" s="249" t="s">
        <v>536</v>
      </c>
      <c r="E90" s="249" t="s">
        <v>112</v>
      </c>
      <c r="F90" s="281"/>
      <c r="G90" s="281"/>
      <c r="H90" s="281"/>
      <c r="I90" s="281"/>
    </row>
    <row r="91" spans="2:9">
      <c r="B91" s="249" t="s">
        <v>360</v>
      </c>
      <c r="C91" s="281" t="s">
        <v>537</v>
      </c>
      <c r="D91" s="249" t="s">
        <v>538</v>
      </c>
      <c r="E91" s="249" t="s">
        <v>112</v>
      </c>
      <c r="F91" s="281"/>
      <c r="G91" s="283" t="s">
        <v>539</v>
      </c>
      <c r="H91" s="281"/>
      <c r="I91" s="281" t="s">
        <v>540</v>
      </c>
    </row>
    <row r="92" spans="2:9">
      <c r="B92" s="249" t="s">
        <v>360</v>
      </c>
      <c r="C92" s="281" t="s">
        <v>541</v>
      </c>
      <c r="D92" s="249" t="s">
        <v>542</v>
      </c>
      <c r="E92" s="249" t="s">
        <v>112</v>
      </c>
      <c r="F92" s="281"/>
      <c r="G92" s="281"/>
      <c r="H92" s="281"/>
      <c r="I92" s="281"/>
    </row>
    <row r="93" spans="2:9">
      <c r="B93" s="249" t="s">
        <v>360</v>
      </c>
      <c r="C93" s="281" t="s">
        <v>543</v>
      </c>
      <c r="D93" s="249" t="s">
        <v>544</v>
      </c>
      <c r="E93" s="249" t="s">
        <v>112</v>
      </c>
      <c r="F93" s="281"/>
      <c r="G93" s="281"/>
      <c r="H93" s="281"/>
      <c r="I93" s="281"/>
    </row>
    <row r="94" spans="2:9">
      <c r="B94" s="249" t="s">
        <v>360</v>
      </c>
      <c r="C94" s="281" t="s">
        <v>545</v>
      </c>
      <c r="D94" s="249" t="s">
        <v>546</v>
      </c>
      <c r="E94" s="249" t="s">
        <v>112</v>
      </c>
      <c r="F94" s="281"/>
      <c r="G94" s="283" t="s">
        <v>539</v>
      </c>
      <c r="H94" s="281"/>
      <c r="I94" s="281" t="s">
        <v>547</v>
      </c>
    </row>
    <row r="95" spans="2:9">
      <c r="B95" s="249" t="s">
        <v>360</v>
      </c>
      <c r="C95" s="281" t="s">
        <v>548</v>
      </c>
      <c r="D95" s="249" t="s">
        <v>549</v>
      </c>
      <c r="E95" s="249" t="s">
        <v>112</v>
      </c>
      <c r="F95" s="281"/>
      <c r="G95" s="281"/>
      <c r="H95" s="281"/>
      <c r="I95" s="281"/>
    </row>
    <row r="96" spans="2:9">
      <c r="B96" s="249" t="s">
        <v>360</v>
      </c>
      <c r="C96" s="281" t="s">
        <v>550</v>
      </c>
      <c r="D96" s="249" t="s">
        <v>551</v>
      </c>
      <c r="E96" s="249" t="s">
        <v>112</v>
      </c>
      <c r="F96" s="281"/>
      <c r="G96" s="281"/>
      <c r="H96" s="281"/>
      <c r="I96" s="281"/>
    </row>
    <row r="97" spans="2:10">
      <c r="B97" s="249" t="s">
        <v>360</v>
      </c>
      <c r="C97" s="281" t="s">
        <v>552</v>
      </c>
      <c r="D97" s="249" t="s">
        <v>553</v>
      </c>
      <c r="E97" s="249" t="s">
        <v>112</v>
      </c>
      <c r="F97" s="281"/>
      <c r="G97" s="281"/>
      <c r="H97" s="281"/>
      <c r="I97" s="281"/>
    </row>
    <row r="98" spans="2:10">
      <c r="B98" s="249" t="s">
        <v>360</v>
      </c>
      <c r="C98" s="281" t="s">
        <v>554</v>
      </c>
      <c r="D98" s="249" t="s">
        <v>555</v>
      </c>
      <c r="E98" s="249" t="s">
        <v>112</v>
      </c>
      <c r="F98" s="281"/>
      <c r="G98" s="281"/>
      <c r="H98" s="281"/>
      <c r="I98" s="281"/>
    </row>
    <row r="99" spans="2:10">
      <c r="B99" s="249" t="s">
        <v>360</v>
      </c>
      <c r="C99" s="281" t="s">
        <v>556</v>
      </c>
      <c r="D99" s="249" t="s">
        <v>557</v>
      </c>
      <c r="E99" s="249" t="s">
        <v>112</v>
      </c>
      <c r="F99" s="281"/>
      <c r="G99" s="281"/>
      <c r="H99" s="281"/>
      <c r="I99" s="281"/>
    </row>
    <row r="100" spans="2:10">
      <c r="B100" s="249" t="s">
        <v>360</v>
      </c>
      <c r="C100" s="281" t="s">
        <v>558</v>
      </c>
      <c r="D100" s="281" t="s">
        <v>559</v>
      </c>
      <c r="E100" s="249" t="s">
        <v>112</v>
      </c>
      <c r="F100" s="281"/>
      <c r="G100" s="281"/>
      <c r="H100" s="281"/>
      <c r="I100" s="281"/>
    </row>
    <row r="101" spans="2:10">
      <c r="B101" s="249" t="s">
        <v>360</v>
      </c>
      <c r="C101" s="281" t="s">
        <v>560</v>
      </c>
      <c r="D101" s="249" t="s">
        <v>561</v>
      </c>
      <c r="E101" s="249" t="s">
        <v>112</v>
      </c>
      <c r="F101" s="281"/>
      <c r="G101" s="281"/>
      <c r="H101" s="281"/>
      <c r="I101" s="281"/>
    </row>
    <row r="102" spans="2:10">
      <c r="B102" s="249" t="s">
        <v>360</v>
      </c>
      <c r="C102" s="281" t="s">
        <v>562</v>
      </c>
      <c r="D102" s="249" t="s">
        <v>563</v>
      </c>
      <c r="E102" s="515" t="s">
        <v>112</v>
      </c>
      <c r="F102" s="281"/>
      <c r="G102" s="281"/>
      <c r="H102" s="281"/>
      <c r="I102" s="281"/>
    </row>
    <row r="103" spans="2:10">
      <c r="B103" s="245" t="s">
        <v>564</v>
      </c>
      <c r="C103" s="284" t="s">
        <v>384</v>
      </c>
      <c r="D103" s="284" t="s">
        <v>384</v>
      </c>
      <c r="E103" s="247" t="s">
        <v>384</v>
      </c>
      <c r="F103" s="284"/>
      <c r="G103" s="284"/>
      <c r="H103" s="284"/>
      <c r="I103" s="284"/>
      <c r="J103" s="281"/>
    </row>
    <row r="104" spans="2:10">
      <c r="B104" s="249" t="s">
        <v>360</v>
      </c>
      <c r="C104" s="281" t="s">
        <v>565</v>
      </c>
      <c r="D104" s="249" t="s">
        <v>566</v>
      </c>
      <c r="E104" s="516" t="s">
        <v>112</v>
      </c>
      <c r="F104" s="281"/>
      <c r="G104" s="281"/>
      <c r="H104" s="281"/>
      <c r="I104" s="281"/>
    </row>
    <row r="105" spans="2:10">
      <c r="B105" s="249" t="s">
        <v>360</v>
      </c>
      <c r="C105" s="281" t="s">
        <v>567</v>
      </c>
      <c r="D105" s="249" t="s">
        <v>568</v>
      </c>
      <c r="E105" s="249" t="s">
        <v>112</v>
      </c>
      <c r="F105" s="281"/>
      <c r="G105" s="281"/>
      <c r="H105" s="281"/>
      <c r="I105" s="281"/>
    </row>
    <row r="106" spans="2:10">
      <c r="B106" s="249" t="s">
        <v>360</v>
      </c>
      <c r="C106" s="281" t="s">
        <v>569</v>
      </c>
      <c r="D106" s="249" t="s">
        <v>570</v>
      </c>
      <c r="E106" s="249" t="s">
        <v>112</v>
      </c>
      <c r="F106" s="281"/>
      <c r="G106" s="281"/>
      <c r="H106" s="281"/>
      <c r="I106" s="281"/>
    </row>
    <row r="107" spans="2:10">
      <c r="B107" s="249" t="s">
        <v>360</v>
      </c>
      <c r="C107" s="281" t="s">
        <v>571</v>
      </c>
      <c r="D107" s="249" t="s">
        <v>572</v>
      </c>
      <c r="E107" s="515" t="s">
        <v>112</v>
      </c>
      <c r="F107" s="281"/>
      <c r="G107" s="281"/>
      <c r="H107" s="281"/>
      <c r="I107" s="281"/>
    </row>
    <row r="108" spans="2:10">
      <c r="B108" s="477" t="s">
        <v>573</v>
      </c>
      <c r="C108" s="478" t="s">
        <v>384</v>
      </c>
      <c r="D108" s="478" t="s">
        <v>384</v>
      </c>
      <c r="E108" s="479" t="s">
        <v>384</v>
      </c>
      <c r="F108" s="478"/>
      <c r="G108" s="478"/>
      <c r="H108" s="478"/>
      <c r="I108" s="478"/>
    </row>
    <row r="109" spans="2:10">
      <c r="B109" s="249" t="s">
        <v>574</v>
      </c>
      <c r="C109" s="281" t="s">
        <v>575</v>
      </c>
      <c r="D109" s="281" t="s">
        <v>576</v>
      </c>
      <c r="E109" s="249" t="s">
        <v>401</v>
      </c>
      <c r="F109" s="281"/>
      <c r="G109" s="281"/>
      <c r="H109" s="281"/>
      <c r="I109" s="281"/>
    </row>
    <row r="110" spans="2:10" s="237" customFormat="1" ht="14.4">
      <c r="B110" s="249" t="s">
        <v>574</v>
      </c>
      <c r="C110" s="249" t="s">
        <v>577</v>
      </c>
      <c r="D110" s="249" t="s">
        <v>578</v>
      </c>
      <c r="E110" s="249" t="s">
        <v>401</v>
      </c>
      <c r="F110" s="249"/>
      <c r="G110" s="249"/>
      <c r="H110" s="249"/>
      <c r="I110" s="249"/>
      <c r="J110" s="492"/>
    </row>
    <row r="111" spans="2:10" s="237" customFormat="1" ht="14.4">
      <c r="B111" s="249" t="s">
        <v>574</v>
      </c>
      <c r="C111" s="249" t="s">
        <v>579</v>
      </c>
      <c r="D111" s="249" t="s">
        <v>580</v>
      </c>
      <c r="E111" s="249" t="s">
        <v>401</v>
      </c>
      <c r="F111" s="249"/>
      <c r="G111" s="249"/>
      <c r="H111" s="249"/>
      <c r="I111" s="249"/>
      <c r="J111" s="492"/>
    </row>
    <row r="112" spans="2:10" s="237" customFormat="1" ht="14.4">
      <c r="B112" s="249" t="s">
        <v>574</v>
      </c>
      <c r="C112" s="249" t="s">
        <v>581</v>
      </c>
      <c r="D112" s="249" t="s">
        <v>582</v>
      </c>
      <c r="E112" s="249" t="s">
        <v>401</v>
      </c>
      <c r="F112" s="249"/>
      <c r="G112" s="249"/>
      <c r="H112" s="249"/>
      <c r="I112" s="249"/>
      <c r="J112" s="492"/>
    </row>
    <row r="113" spans="2:9" s="237" customFormat="1" ht="14.4">
      <c r="B113" s="249" t="s">
        <v>574</v>
      </c>
      <c r="C113" s="249" t="s">
        <v>583</v>
      </c>
      <c r="D113" s="249" t="s">
        <v>584</v>
      </c>
      <c r="E113" s="249" t="s">
        <v>401</v>
      </c>
      <c r="F113" s="249"/>
      <c r="G113" s="249"/>
      <c r="H113" s="249"/>
      <c r="I113" s="249"/>
    </row>
    <row r="114" spans="2:9" s="237" customFormat="1" ht="14.4">
      <c r="B114" s="249" t="s">
        <v>574</v>
      </c>
      <c r="C114" s="249" t="s">
        <v>585</v>
      </c>
      <c r="D114" s="249" t="s">
        <v>586</v>
      </c>
      <c r="E114" s="249" t="s">
        <v>401</v>
      </c>
      <c r="F114" s="249"/>
      <c r="G114" s="249"/>
      <c r="H114" s="249"/>
      <c r="I114" s="249"/>
    </row>
    <row r="115" spans="2:9" s="237" customFormat="1" ht="14.4">
      <c r="B115" s="249" t="s">
        <v>574</v>
      </c>
      <c r="C115" s="249" t="s">
        <v>587</v>
      </c>
      <c r="D115" s="249" t="s">
        <v>588</v>
      </c>
      <c r="E115" s="249" t="s">
        <v>401</v>
      </c>
      <c r="F115" s="249"/>
      <c r="G115" s="249"/>
      <c r="H115" s="249"/>
      <c r="I115" s="249"/>
    </row>
    <row r="116" spans="2:9" s="237" customFormat="1" ht="14.4">
      <c r="B116" s="249" t="s">
        <v>574</v>
      </c>
      <c r="C116" s="249" t="s">
        <v>589</v>
      </c>
      <c r="D116" s="249" t="s">
        <v>590</v>
      </c>
      <c r="E116" s="249" t="s">
        <v>401</v>
      </c>
      <c r="F116" s="249"/>
      <c r="G116" s="249"/>
      <c r="H116" s="249"/>
      <c r="I116" s="249"/>
    </row>
    <row r="117" spans="2:9" s="237" customFormat="1" ht="14.4">
      <c r="B117" s="249" t="s">
        <v>574</v>
      </c>
      <c r="C117" s="249" t="s">
        <v>591</v>
      </c>
      <c r="D117" s="249" t="s">
        <v>592</v>
      </c>
      <c r="E117" s="249" t="s">
        <v>401</v>
      </c>
      <c r="F117" s="249"/>
      <c r="G117" s="249"/>
      <c r="H117" s="249"/>
      <c r="I117" s="249"/>
    </row>
    <row r="118" spans="2:9" s="237" customFormat="1" ht="14.4">
      <c r="B118" s="249" t="s">
        <v>574</v>
      </c>
      <c r="C118" s="249" t="s">
        <v>593</v>
      </c>
      <c r="D118" s="249" t="s">
        <v>594</v>
      </c>
      <c r="E118" s="249" t="s">
        <v>401</v>
      </c>
      <c r="F118" s="249" t="s">
        <v>384</v>
      </c>
      <c r="G118" s="249" t="s">
        <v>384</v>
      </c>
      <c r="H118" s="249" t="s">
        <v>384</v>
      </c>
      <c r="I118" s="249" t="s">
        <v>384</v>
      </c>
    </row>
    <row r="119" spans="2:9" s="237" customFormat="1" ht="14.4">
      <c r="B119" s="249" t="s">
        <v>574</v>
      </c>
      <c r="C119" s="249" t="s">
        <v>595</v>
      </c>
      <c r="D119" s="249" t="s">
        <v>596</v>
      </c>
      <c r="E119" s="249" t="s">
        <v>401</v>
      </c>
      <c r="F119" s="249"/>
      <c r="G119" s="249"/>
      <c r="H119" s="249"/>
      <c r="I119" s="249"/>
    </row>
    <row r="120" spans="2:9" s="237" customFormat="1" ht="14.4">
      <c r="B120" s="249" t="s">
        <v>574</v>
      </c>
      <c r="C120" s="249" t="s">
        <v>597</v>
      </c>
      <c r="D120" s="249" t="s">
        <v>598</v>
      </c>
      <c r="E120" s="249" t="s">
        <v>401</v>
      </c>
      <c r="F120" s="249"/>
      <c r="G120" s="249"/>
      <c r="H120" s="249"/>
      <c r="I120" s="249"/>
    </row>
    <row r="121" spans="2:9" s="237" customFormat="1" ht="14.4">
      <c r="B121" s="249" t="s">
        <v>574</v>
      </c>
      <c r="C121" s="249" t="s">
        <v>599</v>
      </c>
      <c r="D121" s="249" t="s">
        <v>600</v>
      </c>
      <c r="E121" s="249" t="s">
        <v>401</v>
      </c>
      <c r="F121" s="249"/>
      <c r="G121" s="249"/>
      <c r="H121" s="249"/>
      <c r="I121" s="249"/>
    </row>
    <row r="122" spans="2:9">
      <c r="B122" s="277" t="s">
        <v>601</v>
      </c>
      <c r="C122" s="277" t="s">
        <v>384</v>
      </c>
      <c r="D122" s="277" t="s">
        <v>384</v>
      </c>
      <c r="E122" s="278" t="s">
        <v>384</v>
      </c>
      <c r="F122" s="277"/>
      <c r="G122" s="277"/>
      <c r="H122" s="277"/>
      <c r="I122" s="277"/>
    </row>
    <row r="123" spans="2:9">
      <c r="B123" s="250" t="s">
        <v>602</v>
      </c>
      <c r="C123" s="251" t="s">
        <v>384</v>
      </c>
      <c r="D123" s="251" t="s">
        <v>384</v>
      </c>
      <c r="E123" s="252" t="s">
        <v>384</v>
      </c>
      <c r="F123" s="251"/>
      <c r="G123" s="251"/>
      <c r="H123" s="251"/>
      <c r="I123" s="251"/>
    </row>
    <row r="124" spans="2:9">
      <c r="B124" s="252" t="s">
        <v>360</v>
      </c>
      <c r="C124" s="251" t="s">
        <v>603</v>
      </c>
      <c r="D124" s="251" t="s">
        <v>604</v>
      </c>
      <c r="E124" s="252" t="s">
        <v>112</v>
      </c>
      <c r="F124" s="251" t="s">
        <v>605</v>
      </c>
      <c r="G124" s="251"/>
      <c r="H124" s="251"/>
      <c r="I124" s="251"/>
    </row>
    <row r="125" spans="2:9">
      <c r="B125" s="252" t="s">
        <v>360</v>
      </c>
      <c r="C125" s="251" t="s">
        <v>606</v>
      </c>
      <c r="D125" s="251" t="s">
        <v>607</v>
      </c>
      <c r="E125" s="252" t="s">
        <v>112</v>
      </c>
      <c r="F125" s="251" t="s">
        <v>605</v>
      </c>
      <c r="G125" s="251"/>
      <c r="H125" s="251"/>
      <c r="I125" s="251"/>
    </row>
    <row r="126" spans="2:9">
      <c r="B126" s="252" t="s">
        <v>360</v>
      </c>
      <c r="C126" s="251" t="s">
        <v>608</v>
      </c>
      <c r="D126" s="251" t="s">
        <v>609</v>
      </c>
      <c r="E126" s="252" t="s">
        <v>112</v>
      </c>
      <c r="F126" s="251" t="s">
        <v>605</v>
      </c>
      <c r="G126" s="251"/>
      <c r="H126" s="251"/>
      <c r="I126" s="251"/>
    </row>
    <row r="127" spans="2:9">
      <c r="B127" s="252" t="s">
        <v>360</v>
      </c>
      <c r="C127" s="251" t="s">
        <v>610</v>
      </c>
      <c r="D127" s="251" t="s">
        <v>611</v>
      </c>
      <c r="E127" s="252" t="s">
        <v>112</v>
      </c>
      <c r="F127" s="251" t="s">
        <v>605</v>
      </c>
      <c r="G127" s="251"/>
      <c r="H127" s="251"/>
      <c r="I127" s="251"/>
    </row>
    <row r="128" spans="2:9">
      <c r="B128" s="252" t="s">
        <v>360</v>
      </c>
      <c r="C128" s="251" t="s">
        <v>612</v>
      </c>
      <c r="D128" s="251" t="s">
        <v>613</v>
      </c>
      <c r="E128" s="252" t="s">
        <v>112</v>
      </c>
      <c r="F128" s="251" t="s">
        <v>605</v>
      </c>
      <c r="G128" s="251"/>
      <c r="H128" s="251"/>
      <c r="I128" s="251"/>
    </row>
    <row r="129" spans="2:9">
      <c r="B129" s="252" t="s">
        <v>360</v>
      </c>
      <c r="C129" s="251" t="s">
        <v>614</v>
      </c>
      <c r="D129" s="251" t="s">
        <v>615</v>
      </c>
      <c r="E129" s="252" t="s">
        <v>112</v>
      </c>
      <c r="F129" s="251" t="s">
        <v>605</v>
      </c>
      <c r="G129" s="251"/>
      <c r="H129" s="251"/>
      <c r="I129" s="251"/>
    </row>
    <row r="130" spans="2:9">
      <c r="B130" s="250" t="s">
        <v>616</v>
      </c>
      <c r="C130" s="251"/>
      <c r="D130" s="251"/>
      <c r="E130" s="252"/>
      <c r="F130" s="251"/>
      <c r="G130" s="251"/>
      <c r="H130" s="251"/>
      <c r="I130" s="251"/>
    </row>
    <row r="131" spans="2:9">
      <c r="B131" s="252" t="s">
        <v>360</v>
      </c>
      <c r="C131" s="252" t="s">
        <v>617</v>
      </c>
      <c r="D131" s="251" t="s">
        <v>618</v>
      </c>
      <c r="E131" s="252" t="s">
        <v>112</v>
      </c>
      <c r="F131" s="251"/>
      <c r="G131" s="251"/>
      <c r="H131" s="251"/>
      <c r="I131" s="251"/>
    </row>
    <row r="132" spans="2:9">
      <c r="B132" s="250" t="s">
        <v>619</v>
      </c>
      <c r="C132" s="251"/>
      <c r="D132" s="251"/>
      <c r="E132" s="252"/>
      <c r="F132" s="251"/>
      <c r="G132" s="251"/>
      <c r="H132" s="251"/>
      <c r="I132" s="251"/>
    </row>
    <row r="133" spans="2:9">
      <c r="B133" s="252" t="s">
        <v>360</v>
      </c>
      <c r="C133" s="368" t="s">
        <v>2727</v>
      </c>
      <c r="D133" s="251" t="s">
        <v>620</v>
      </c>
      <c r="E133" s="252" t="s">
        <v>112</v>
      </c>
      <c r="F133" s="251"/>
      <c r="G133" s="251"/>
      <c r="H133" s="251"/>
      <c r="I133" s="251"/>
    </row>
    <row r="134" spans="2:9">
      <c r="B134" s="252" t="s">
        <v>360</v>
      </c>
      <c r="C134" s="252" t="s">
        <v>2673</v>
      </c>
      <c r="D134" s="251" t="s">
        <v>621</v>
      </c>
      <c r="E134" s="252" t="s">
        <v>112</v>
      </c>
      <c r="F134" s="251"/>
      <c r="G134" s="251"/>
      <c r="H134" s="251"/>
      <c r="I134" s="251"/>
    </row>
    <row r="135" spans="2:9">
      <c r="B135" s="252" t="s">
        <v>360</v>
      </c>
      <c r="C135" s="252" t="s">
        <v>622</v>
      </c>
      <c r="D135" s="251" t="s">
        <v>623</v>
      </c>
      <c r="E135" s="252" t="s">
        <v>112</v>
      </c>
      <c r="F135" s="251"/>
      <c r="G135" s="251"/>
      <c r="H135" s="251"/>
      <c r="I135" s="251"/>
    </row>
    <row r="136" spans="2:9">
      <c r="B136" s="252" t="s">
        <v>360</v>
      </c>
      <c r="C136" s="252" t="s">
        <v>2680</v>
      </c>
      <c r="D136" s="251" t="s">
        <v>2683</v>
      </c>
      <c r="E136" s="252" t="s">
        <v>112</v>
      </c>
    </row>
    <row r="137" spans="2:9">
      <c r="B137" s="252" t="s">
        <v>360</v>
      </c>
      <c r="C137" s="252" t="s">
        <v>2681</v>
      </c>
      <c r="D137" s="251" t="s">
        <v>2682</v>
      </c>
      <c r="E137" s="252" t="s">
        <v>112</v>
      </c>
    </row>
    <row r="138" spans="2:9">
      <c r="C138" s="279"/>
      <c r="D138" s="252"/>
    </row>
    <row r="139" spans="2:9">
      <c r="D139" s="252"/>
    </row>
    <row r="140" spans="2:9">
      <c r="D140" s="252"/>
    </row>
    <row r="141" spans="2:9">
      <c r="D141" s="252"/>
    </row>
    <row r="142" spans="2:9">
      <c r="D142" s="252"/>
    </row>
    <row r="143" spans="2:9">
      <c r="D143" s="252"/>
    </row>
    <row r="144" spans="2:9">
      <c r="D144" s="252"/>
    </row>
    <row r="145" spans="4:9">
      <c r="D145" s="252"/>
    </row>
    <row r="146" spans="4:9">
      <c r="D146" s="252"/>
    </row>
    <row r="147" spans="4:9">
      <c r="D147" s="252"/>
    </row>
    <row r="148" spans="4:9">
      <c r="D148" s="252"/>
      <c r="G148" s="280"/>
      <c r="H148" s="251"/>
      <c r="I148" s="251"/>
    </row>
    <row r="149" spans="4:9">
      <c r="D149" s="252"/>
    </row>
    <row r="150" spans="4:9">
      <c r="D150" s="252"/>
    </row>
    <row r="151" spans="4:9">
      <c r="D151" s="252"/>
      <c r="G151" s="280"/>
      <c r="H151" s="251"/>
      <c r="I151" s="251"/>
    </row>
    <row r="152" spans="4:9">
      <c r="D152" s="252"/>
    </row>
    <row r="153" spans="4:9">
      <c r="D153" s="252"/>
    </row>
    <row r="154" spans="4:9">
      <c r="D154" s="252"/>
    </row>
    <row r="155" spans="4:9">
      <c r="D155" s="252"/>
    </row>
    <row r="156" spans="4:9">
      <c r="D156" s="252"/>
    </row>
    <row r="158" spans="4:9">
      <c r="D158" s="252"/>
    </row>
  </sheetData>
  <phoneticPr fontId="26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0E6EE-16AB-4E8F-8D99-FCCD11DD56B0}">
  <sheetPr>
    <tabColor theme="9" tint="0.39997558519241921"/>
  </sheetPr>
  <dimension ref="A1:AQ68"/>
  <sheetViews>
    <sheetView topLeftCell="O40" workbookViewId="0">
      <selection activeCell="AG35" sqref="AG35"/>
    </sheetView>
  </sheetViews>
  <sheetFormatPr defaultRowHeight="15.6"/>
  <cols>
    <col min="1" max="1" width="44.19921875" bestFit="1" customWidth="1"/>
    <col min="2" max="2" width="33.5" bestFit="1" customWidth="1"/>
    <col min="3" max="3" width="10.59765625" bestFit="1" customWidth="1"/>
    <col min="4" max="4" width="8.59765625" bestFit="1" customWidth="1"/>
    <col min="5" max="6" width="8.69921875" bestFit="1" customWidth="1"/>
    <col min="7" max="7" width="6.09765625" bestFit="1" customWidth="1"/>
    <col min="8" max="8" width="7.19921875" bestFit="1" customWidth="1"/>
    <col min="9" max="9" width="9.69921875" bestFit="1" customWidth="1"/>
    <col min="10" max="10" width="12" bestFit="1" customWidth="1"/>
    <col min="11" max="11" width="22.09765625" bestFit="1" customWidth="1"/>
    <col min="12" max="12" width="7.69921875" bestFit="1" customWidth="1"/>
    <col min="13" max="13" width="6.69921875" bestFit="1" customWidth="1"/>
    <col min="14" max="14" width="7.8984375" bestFit="1" customWidth="1"/>
    <col min="15" max="15" width="8.8984375" bestFit="1" customWidth="1"/>
    <col min="16" max="16" width="5.59765625" bestFit="1" customWidth="1"/>
    <col min="17" max="17" width="4.8984375" bestFit="1" customWidth="1"/>
    <col min="18" max="18" width="6" bestFit="1" customWidth="1"/>
    <col min="19" max="19" width="7.5" bestFit="1" customWidth="1"/>
    <col min="20" max="20" width="11.3984375" bestFit="1" customWidth="1"/>
    <col min="21" max="21" width="12.09765625" bestFit="1" customWidth="1"/>
    <col min="22" max="23" width="10.3984375" bestFit="1" customWidth="1"/>
    <col min="24" max="24" width="7.09765625" bestFit="1" customWidth="1"/>
    <col min="25" max="25" width="7.59765625" bestFit="1" customWidth="1"/>
    <col min="26" max="26" width="4.8984375" bestFit="1" customWidth="1"/>
    <col min="27" max="27" width="11.69921875" bestFit="1" customWidth="1"/>
    <col min="28" max="29" width="4.8984375" bestFit="1" customWidth="1"/>
    <col min="30" max="30" width="6.59765625" bestFit="1" customWidth="1"/>
    <col min="31" max="31" width="5.69921875" bestFit="1" customWidth="1"/>
    <col min="32" max="32" width="5.8984375" bestFit="1" customWidth="1"/>
    <col min="33" max="33" width="8.3984375" bestFit="1" customWidth="1"/>
    <col min="34" max="34" width="5.3984375" bestFit="1" customWidth="1"/>
  </cols>
  <sheetData>
    <row r="1" spans="1:43" s="314" customFormat="1" ht="21">
      <c r="A1" s="313" t="s">
        <v>624</v>
      </c>
      <c r="B1" s="313"/>
      <c r="C1" s="313"/>
      <c r="D1" s="313"/>
      <c r="E1" s="313"/>
      <c r="F1" s="313"/>
    </row>
    <row r="2" spans="1:43" s="314" customFormat="1" ht="14.4"/>
    <row r="3" spans="1:43" s="314" customFormat="1" ht="14.4">
      <c r="A3" s="239" t="s">
        <v>625</v>
      </c>
      <c r="I3" s="256" t="s">
        <v>626</v>
      </c>
      <c r="AL3" s="239"/>
      <c r="AM3" s="315"/>
      <c r="AN3" s="315"/>
      <c r="AO3" s="315"/>
      <c r="AP3" s="315"/>
      <c r="AQ3" s="315"/>
    </row>
    <row r="4" spans="1:43" s="314" customFormat="1" ht="31.8" thickBot="1">
      <c r="A4" s="316" t="s">
        <v>627</v>
      </c>
      <c r="B4" s="316" t="s">
        <v>628</v>
      </c>
      <c r="C4" s="316" t="s">
        <v>629</v>
      </c>
      <c r="D4" s="316" t="s">
        <v>630</v>
      </c>
      <c r="E4" s="317" t="s">
        <v>631</v>
      </c>
      <c r="F4" s="317" t="s">
        <v>632</v>
      </c>
      <c r="I4" s="318" t="s">
        <v>633</v>
      </c>
      <c r="J4" s="318" t="s">
        <v>627</v>
      </c>
      <c r="K4" s="318" t="s">
        <v>634</v>
      </c>
      <c r="L4" s="318" t="s">
        <v>635</v>
      </c>
      <c r="M4" s="318" t="s">
        <v>636</v>
      </c>
      <c r="N4" s="318" t="s">
        <v>637</v>
      </c>
      <c r="O4" s="318" t="s">
        <v>638</v>
      </c>
    </row>
    <row r="5" spans="1:43" s="314" customFormat="1" ht="55.2">
      <c r="A5" s="319" t="s">
        <v>639</v>
      </c>
      <c r="B5" s="319" t="s">
        <v>23</v>
      </c>
      <c r="C5" s="319"/>
      <c r="D5" s="320" t="s">
        <v>640</v>
      </c>
      <c r="E5" s="241" t="s">
        <v>641</v>
      </c>
      <c r="F5" s="321" t="s">
        <v>642</v>
      </c>
      <c r="I5" s="320" t="s">
        <v>643</v>
      </c>
      <c r="J5" s="320" t="s">
        <v>644</v>
      </c>
      <c r="K5" s="320" t="s">
        <v>23</v>
      </c>
      <c r="L5" s="320" t="s">
        <v>645</v>
      </c>
      <c r="M5" s="320" t="s">
        <v>646</v>
      </c>
      <c r="N5" s="320" t="s">
        <v>647</v>
      </c>
      <c r="O5" s="319" t="s">
        <v>648</v>
      </c>
    </row>
    <row r="6" spans="1:43" s="314" customFormat="1" ht="14.4">
      <c r="A6" s="257" t="s">
        <v>649</v>
      </c>
      <c r="B6" s="257"/>
      <c r="C6" s="257"/>
      <c r="D6" s="262" t="s">
        <v>650</v>
      </c>
      <c r="E6" s="262"/>
      <c r="F6" s="262" t="s">
        <v>650</v>
      </c>
      <c r="I6" s="257" t="s">
        <v>629</v>
      </c>
      <c r="J6" s="257"/>
      <c r="K6" s="257"/>
      <c r="L6" s="257"/>
      <c r="M6" s="257"/>
      <c r="N6" s="257"/>
      <c r="O6" s="257"/>
    </row>
    <row r="7" spans="1:43" s="314" customFormat="1" ht="14.4">
      <c r="A7" s="314" t="str">
        <f t="shared" ref="A7:A29" si="0">J7</f>
        <v>FT-UPSBDL</v>
      </c>
      <c r="B7" s="314" t="str">
        <f t="shared" ref="B7:B29" si="1">K7</f>
        <v>Fuel Tech - Biodiesel (UPS)</v>
      </c>
      <c r="D7" s="327">
        <v>1</v>
      </c>
      <c r="E7" s="327">
        <v>1</v>
      </c>
      <c r="F7" s="328">
        <v>1</v>
      </c>
      <c r="I7" s="325" t="s">
        <v>651</v>
      </c>
      <c r="J7" s="326" t="str">
        <f>"FT-"&amp;Commodities!$C80</f>
        <v>FT-UPSBDL</v>
      </c>
      <c r="K7" s="326" t="str">
        <f>"Fuel Tech - "&amp;Commodities!$D80</f>
        <v>Fuel Tech - Biodiesel (UPS)</v>
      </c>
      <c r="L7" s="513" t="s">
        <v>112</v>
      </c>
      <c r="M7" s="513" t="s">
        <v>2670</v>
      </c>
      <c r="N7" s="315"/>
      <c r="O7" s="315"/>
    </row>
    <row r="8" spans="1:43" s="314" customFormat="1" ht="14.4">
      <c r="A8" s="314" t="str">
        <f t="shared" si="0"/>
        <v>FT-UPSBGL</v>
      </c>
      <c r="B8" s="314" t="str">
        <f t="shared" si="1"/>
        <v xml:space="preserve">Fuel Tech - Biogasoline (UPS) </v>
      </c>
      <c r="D8" s="327">
        <v>1</v>
      </c>
      <c r="E8" s="327">
        <v>1</v>
      </c>
      <c r="F8" s="328">
        <v>1</v>
      </c>
      <c r="I8" s="315" t="s">
        <v>651</v>
      </c>
      <c r="J8" s="314" t="str">
        <f>"FT-"&amp;Commodities!$C81</f>
        <v>FT-UPSBGL</v>
      </c>
      <c r="K8" s="314" t="str">
        <f>"Fuel Tech - "&amp;Commodities!$D81</f>
        <v xml:space="preserve">Fuel Tech - Biogasoline (UPS) </v>
      </c>
      <c r="L8" s="514" t="s">
        <v>112</v>
      </c>
      <c r="M8" s="514" t="s">
        <v>2670</v>
      </c>
      <c r="N8" s="315"/>
      <c r="O8" s="315"/>
    </row>
    <row r="9" spans="1:43" s="314" customFormat="1" ht="14.4">
      <c r="A9" s="314" t="str">
        <f t="shared" si="0"/>
        <v>FT-UPSBLQ</v>
      </c>
      <c r="B9" s="314" t="str">
        <f t="shared" si="1"/>
        <v xml:space="preserve">Fuel Tech - Liquid biofuel (UPS) </v>
      </c>
      <c r="D9" s="327">
        <v>1</v>
      </c>
      <c r="E9" s="327">
        <v>1</v>
      </c>
      <c r="F9" s="328">
        <v>1</v>
      </c>
      <c r="I9" s="315" t="s">
        <v>651</v>
      </c>
      <c r="J9" s="314" t="str">
        <f>"FT-"&amp;Commodities!$C82</f>
        <v>FT-UPSBLQ</v>
      </c>
      <c r="K9" s="314" t="str">
        <f>"Fuel Tech - "&amp;Commodities!$D82</f>
        <v xml:space="preserve">Fuel Tech - Liquid biofuel (UPS) </v>
      </c>
      <c r="L9" s="514" t="s">
        <v>112</v>
      </c>
      <c r="M9" s="514" t="s">
        <v>2670</v>
      </c>
    </row>
    <row r="10" spans="1:43" s="314" customFormat="1" ht="14.4">
      <c r="A10" s="314" t="str">
        <f t="shared" si="0"/>
        <v>FT-UPSBFG</v>
      </c>
      <c r="B10" s="314" t="str">
        <f t="shared" si="1"/>
        <v>Fuel Tech - Blast furnace gas (UPS)</v>
      </c>
      <c r="D10" s="327">
        <v>1</v>
      </c>
      <c r="E10" s="327">
        <v>1</v>
      </c>
      <c r="F10" s="328">
        <v>1</v>
      </c>
      <c r="I10" s="315" t="s">
        <v>651</v>
      </c>
      <c r="J10" s="314" t="str">
        <f>"FT-"&amp;Commodities!$C83</f>
        <v>FT-UPSBFG</v>
      </c>
      <c r="K10" s="314" t="str">
        <f>"Fuel Tech - "&amp;Commodities!$D83</f>
        <v>Fuel Tech - Blast furnace gas (UPS)</v>
      </c>
      <c r="L10" s="514" t="s">
        <v>112</v>
      </c>
      <c r="M10" s="514" t="s">
        <v>2670</v>
      </c>
    </row>
    <row r="11" spans="1:43" s="314" customFormat="1" ht="14.4">
      <c r="A11" s="314" t="str">
        <f t="shared" si="0"/>
        <v>FT-UPSBGS</v>
      </c>
      <c r="B11" s="314" t="str">
        <f t="shared" si="1"/>
        <v>Fuel Tech - Biogas (UPS)</v>
      </c>
      <c r="D11" s="327">
        <v>1</v>
      </c>
      <c r="E11" s="327">
        <v>1</v>
      </c>
      <c r="F11" s="328">
        <v>1</v>
      </c>
      <c r="I11" s="315" t="s">
        <v>651</v>
      </c>
      <c r="J11" s="314" t="str">
        <f>"FT-"&amp;Commodities!$C84</f>
        <v>FT-UPSBGS</v>
      </c>
      <c r="K11" s="314" t="str">
        <f>"Fuel Tech - "&amp;Commodities!$D84</f>
        <v>Fuel Tech - Biogas (UPS)</v>
      </c>
      <c r="L11" s="514" t="s">
        <v>112</v>
      </c>
      <c r="M11" s="514" t="s">
        <v>2670</v>
      </c>
    </row>
    <row r="12" spans="1:43" s="314" customFormat="1" ht="14.4">
      <c r="A12" s="314" t="str">
        <f t="shared" si="0"/>
        <v>FT-UPSBIO</v>
      </c>
      <c r="B12" s="314" t="str">
        <f t="shared" si="1"/>
        <v>Fuel Tech - Biomass (UPS)</v>
      </c>
      <c r="D12" s="327">
        <v>1</v>
      </c>
      <c r="E12" s="327">
        <v>1</v>
      </c>
      <c r="F12" s="328">
        <v>1</v>
      </c>
      <c r="I12" s="315" t="s">
        <v>651</v>
      </c>
      <c r="J12" s="314" t="str">
        <f>"FT-"&amp;Commodities!$C85</f>
        <v>FT-UPSBIO</v>
      </c>
      <c r="K12" s="314" t="str">
        <f>"Fuel Tech - "&amp;Commodities!$D85</f>
        <v>Fuel Tech - Biomass (UPS)</v>
      </c>
      <c r="L12" s="514" t="s">
        <v>112</v>
      </c>
      <c r="M12" s="514" t="s">
        <v>2670</v>
      </c>
    </row>
    <row r="13" spans="1:43" s="314" customFormat="1" ht="14.4">
      <c r="A13" s="314" t="str">
        <f t="shared" si="0"/>
        <v>FT-UPSCOA</v>
      </c>
      <c r="B13" s="314" t="str">
        <f t="shared" si="1"/>
        <v>Fuel Tech - Coal (UPS)</v>
      </c>
      <c r="D13" s="327">
        <v>1</v>
      </c>
      <c r="E13" s="327">
        <v>1</v>
      </c>
      <c r="F13" s="328">
        <v>1</v>
      </c>
      <c r="I13" s="315" t="s">
        <v>651</v>
      </c>
      <c r="J13" s="314" t="str">
        <f>"FT-"&amp;Commodities!$C86</f>
        <v>FT-UPSCOA</v>
      </c>
      <c r="K13" s="314" t="str">
        <f>"Fuel Tech - "&amp;Commodities!$D86</f>
        <v>Fuel Tech - Coal (UPS)</v>
      </c>
      <c r="L13" s="514" t="s">
        <v>112</v>
      </c>
      <c r="M13" s="514" t="s">
        <v>2670</v>
      </c>
    </row>
    <row r="14" spans="1:43" s="314" customFormat="1" ht="14.4">
      <c r="A14" s="314" t="str">
        <f t="shared" si="0"/>
        <v>FT-UPSCOACOL</v>
      </c>
      <c r="B14" s="314" t="str">
        <f t="shared" si="1"/>
        <v>Fuel Tech - Lignite (UPS)</v>
      </c>
      <c r="D14" s="327">
        <v>1</v>
      </c>
      <c r="E14" s="327">
        <v>1</v>
      </c>
      <c r="F14" s="328">
        <v>1</v>
      </c>
      <c r="I14" s="315" t="s">
        <v>651</v>
      </c>
      <c r="J14" s="314" t="str">
        <f>"FT-"&amp;Commodities!$C87</f>
        <v>FT-UPSCOACOL</v>
      </c>
      <c r="K14" s="314" t="str">
        <f>"Fuel Tech - "&amp;Commodities!$D87</f>
        <v>Fuel Tech - Lignite (UPS)</v>
      </c>
      <c r="L14" s="514" t="s">
        <v>112</v>
      </c>
      <c r="M14" s="514" t="s">
        <v>2670</v>
      </c>
    </row>
    <row r="15" spans="1:43" s="314" customFormat="1" ht="14.4">
      <c r="A15" s="314" t="str">
        <f t="shared" si="0"/>
        <v>FT-UPSCOG</v>
      </c>
      <c r="B15" s="314" t="str">
        <f t="shared" si="1"/>
        <v>Fuel Tech - Coke oven gas (UPS)</v>
      </c>
      <c r="D15" s="327">
        <v>1</v>
      </c>
      <c r="E15" s="327">
        <v>1</v>
      </c>
      <c r="F15" s="328">
        <v>1</v>
      </c>
      <c r="I15" s="315" t="s">
        <v>651</v>
      </c>
      <c r="J15" s="314" t="str">
        <f>"FT-"&amp;Commodities!$C88</f>
        <v>FT-UPSCOG</v>
      </c>
      <c r="K15" s="314" t="str">
        <f>"Fuel Tech - "&amp;Commodities!$D88</f>
        <v>Fuel Tech - Coke oven gas (UPS)</v>
      </c>
      <c r="L15" s="514" t="s">
        <v>112</v>
      </c>
      <c r="M15" s="514" t="s">
        <v>2670</v>
      </c>
    </row>
    <row r="16" spans="1:43" s="314" customFormat="1" ht="14.4">
      <c r="A16" s="314" t="str">
        <f t="shared" si="0"/>
        <v>FT-UPSCOK</v>
      </c>
      <c r="B16" s="314" t="str">
        <f t="shared" si="1"/>
        <v>Fuel Tech - Coke oven coke (UPS</v>
      </c>
      <c r="D16" s="327">
        <v>1</v>
      </c>
      <c r="E16" s="327">
        <v>1</v>
      </c>
      <c r="F16" s="328">
        <v>1</v>
      </c>
      <c r="I16" s="315" t="s">
        <v>651</v>
      </c>
      <c r="J16" s="314" t="str">
        <f>"FT-"&amp;Commodities!$C89</f>
        <v>FT-UPSCOK</v>
      </c>
      <c r="K16" s="314" t="str">
        <f>"Fuel Tech - "&amp;Commodities!$D89</f>
        <v>Fuel Tech - Coke oven coke (UPS</v>
      </c>
      <c r="L16" s="514" t="s">
        <v>112</v>
      </c>
      <c r="M16" s="514" t="s">
        <v>2670</v>
      </c>
    </row>
    <row r="17" spans="1:15" s="314" customFormat="1" ht="14.4">
      <c r="A17" s="314" t="str">
        <f t="shared" si="0"/>
        <v>FT-UPSDSL</v>
      </c>
      <c r="B17" s="314" t="str">
        <f t="shared" si="1"/>
        <v>Fuel Tech - Diesel (UPS)</v>
      </c>
      <c r="D17" s="327">
        <v>1</v>
      </c>
      <c r="E17" s="327">
        <v>1</v>
      </c>
      <c r="F17" s="328">
        <v>1</v>
      </c>
      <c r="I17" s="315" t="s">
        <v>651</v>
      </c>
      <c r="J17" s="314" t="str">
        <f>"FT-"&amp;Commodities!$C90</f>
        <v>FT-UPSDSL</v>
      </c>
      <c r="K17" s="314" t="str">
        <f>"Fuel Tech - "&amp;Commodities!$D90</f>
        <v>Fuel Tech - Diesel (UPS)</v>
      </c>
      <c r="L17" s="514" t="s">
        <v>112</v>
      </c>
      <c r="M17" s="514" t="s">
        <v>2670</v>
      </c>
    </row>
    <row r="18" spans="1:15" s="314" customFormat="1">
      <c r="A18" s="314" t="str">
        <f t="shared" si="0"/>
        <v>FT-UPSELC</v>
      </c>
      <c r="B18" s="314" t="str">
        <f t="shared" si="1"/>
        <v>Fuel Tech - Electricty (UPS)</v>
      </c>
      <c r="D18" s="327">
        <v>1</v>
      </c>
      <c r="E18" s="327">
        <v>1</v>
      </c>
      <c r="F18" s="328">
        <v>1</v>
      </c>
      <c r="I18" s="315" t="s">
        <v>651</v>
      </c>
      <c r="J18" s="314" t="str">
        <f>"FT-"&amp;Commodities!$C91</f>
        <v>FT-UPSELC</v>
      </c>
      <c r="K18" s="314" t="str">
        <f>"Fuel Tech - "&amp;Commodities!$D91</f>
        <v>Fuel Tech - Electricty (UPS)</v>
      </c>
      <c r="L18" s="514" t="s">
        <v>112</v>
      </c>
      <c r="M18" s="514" t="s">
        <v>2670</v>
      </c>
      <c r="N18" s="322" t="s">
        <v>539</v>
      </c>
    </row>
    <row r="19" spans="1:15" s="314" customFormat="1" ht="14.4">
      <c r="A19" s="314" t="str">
        <f t="shared" si="0"/>
        <v>FT-UPSGAS</v>
      </c>
      <c r="B19" s="314" t="str">
        <f t="shared" si="1"/>
        <v>Fuel Tech - Natural gas (UPS)</v>
      </c>
      <c r="D19" s="327">
        <v>1</v>
      </c>
      <c r="E19" s="327">
        <v>1</v>
      </c>
      <c r="F19" s="328">
        <v>1</v>
      </c>
      <c r="I19" s="315" t="s">
        <v>651</v>
      </c>
      <c r="J19" s="314" t="str">
        <f>"FT-"&amp;Commodities!$C92</f>
        <v>FT-UPSGAS</v>
      </c>
      <c r="K19" s="314" t="str">
        <f>"Fuel Tech - "&amp;Commodities!$D92</f>
        <v>Fuel Tech - Natural gas (UPS)</v>
      </c>
      <c r="L19" s="514" t="s">
        <v>112</v>
      </c>
      <c r="M19" s="514" t="s">
        <v>2670</v>
      </c>
    </row>
    <row r="20" spans="1:15" s="314" customFormat="1" ht="14.4">
      <c r="A20" s="314" t="str">
        <f t="shared" si="0"/>
        <v>FT-UPSGSL</v>
      </c>
      <c r="B20" s="314" t="str">
        <f t="shared" si="1"/>
        <v>Fuel Tech - Gasoline (UPS)</v>
      </c>
      <c r="D20" s="327">
        <v>1</v>
      </c>
      <c r="E20" s="327">
        <v>1</v>
      </c>
      <c r="F20" s="328">
        <v>1</v>
      </c>
      <c r="I20" s="315" t="s">
        <v>651</v>
      </c>
      <c r="J20" s="314" t="str">
        <f>"FT-"&amp;Commodities!$C93</f>
        <v>FT-UPSGSL</v>
      </c>
      <c r="K20" s="314" t="str">
        <f>"Fuel Tech - "&amp;Commodities!$D93</f>
        <v>Fuel Tech - Gasoline (UPS)</v>
      </c>
      <c r="L20" s="514" t="s">
        <v>112</v>
      </c>
      <c r="M20" s="514" t="s">
        <v>2670</v>
      </c>
    </row>
    <row r="21" spans="1:15" s="314" customFormat="1">
      <c r="A21" s="314" t="str">
        <f t="shared" si="0"/>
        <v>FT-UPSHET</v>
      </c>
      <c r="B21" s="314" t="str">
        <f t="shared" si="1"/>
        <v>Fuel Tech - Heat (UPS)</v>
      </c>
      <c r="D21" s="327">
        <v>1</v>
      </c>
      <c r="E21" s="327">
        <v>1</v>
      </c>
      <c r="F21" s="328">
        <v>1</v>
      </c>
      <c r="I21" s="315" t="s">
        <v>651</v>
      </c>
      <c r="J21" s="314" t="str">
        <f>"FT-"&amp;Commodities!$C94</f>
        <v>FT-UPSHET</v>
      </c>
      <c r="K21" s="314" t="str">
        <f>"Fuel Tech - "&amp;Commodities!$D94</f>
        <v>Fuel Tech - Heat (UPS)</v>
      </c>
      <c r="L21" s="514" t="s">
        <v>112</v>
      </c>
      <c r="M21" s="514" t="s">
        <v>2670</v>
      </c>
      <c r="N21" s="322" t="s">
        <v>539</v>
      </c>
    </row>
    <row r="22" spans="1:15" s="314" customFormat="1" ht="14.4">
      <c r="A22" s="314" t="str">
        <f t="shared" si="0"/>
        <v>FT-UPSHFO</v>
      </c>
      <c r="B22" s="314" t="str">
        <f t="shared" si="1"/>
        <v xml:space="preserve">Fuel Tech - Heavy fuel oil (UPS) </v>
      </c>
      <c r="D22" s="327">
        <v>1</v>
      </c>
      <c r="E22" s="327">
        <v>1</v>
      </c>
      <c r="F22" s="328">
        <v>1</v>
      </c>
      <c r="I22" s="315" t="s">
        <v>651</v>
      </c>
      <c r="J22" s="314" t="str">
        <f>"FT-"&amp;Commodities!$C95</f>
        <v>FT-UPSHFO</v>
      </c>
      <c r="K22" s="314" t="str">
        <f>"Fuel Tech - "&amp;Commodities!$D95</f>
        <v xml:space="preserve">Fuel Tech - Heavy fuel oil (UPS) </v>
      </c>
      <c r="L22" s="514" t="s">
        <v>112</v>
      </c>
      <c r="M22" s="514" t="s">
        <v>2670</v>
      </c>
    </row>
    <row r="23" spans="1:15" s="314" customFormat="1" ht="14.4">
      <c r="A23" s="314" t="str">
        <f t="shared" si="0"/>
        <v>FT-UPSKER</v>
      </c>
      <c r="B23" s="314" t="str">
        <f t="shared" si="1"/>
        <v xml:space="preserve">Fuel Tech - Kerosene (UPS) </v>
      </c>
      <c r="D23" s="327">
        <v>1</v>
      </c>
      <c r="E23" s="327">
        <v>1</v>
      </c>
      <c r="F23" s="328">
        <v>1</v>
      </c>
      <c r="I23" s="315" t="s">
        <v>651</v>
      </c>
      <c r="J23" s="314" t="str">
        <f>"FT-"&amp;Commodities!$C96</f>
        <v>FT-UPSKER</v>
      </c>
      <c r="K23" s="314" t="str">
        <f>"Fuel Tech - "&amp;Commodities!$D96</f>
        <v xml:space="preserve">Fuel Tech - Kerosene (UPS) </v>
      </c>
      <c r="L23" s="514" t="s">
        <v>112</v>
      </c>
      <c r="M23" s="514" t="s">
        <v>2670</v>
      </c>
    </row>
    <row r="24" spans="1:15" s="314" customFormat="1" ht="14.4">
      <c r="A24" s="314" t="str">
        <f t="shared" si="0"/>
        <v>FT-UPSLPG</v>
      </c>
      <c r="B24" s="314" t="str">
        <f t="shared" si="1"/>
        <v xml:space="preserve">Fuel Tech - Liquified petroleum gas (UPS) </v>
      </c>
      <c r="D24" s="327">
        <v>1</v>
      </c>
      <c r="E24" s="327">
        <v>1</v>
      </c>
      <c r="F24" s="328">
        <v>1</v>
      </c>
      <c r="I24" s="315" t="s">
        <v>651</v>
      </c>
      <c r="J24" s="314" t="str">
        <f>"FT-"&amp;Commodities!$C97</f>
        <v>FT-UPSLPG</v>
      </c>
      <c r="K24" s="314" t="str">
        <f>"Fuel Tech - "&amp;Commodities!$D97</f>
        <v xml:space="preserve">Fuel Tech - Liquified petroleum gas (UPS) </v>
      </c>
      <c r="L24" s="514" t="s">
        <v>112</v>
      </c>
      <c r="M24" s="514" t="s">
        <v>2670</v>
      </c>
    </row>
    <row r="25" spans="1:15" s="314" customFormat="1" ht="14.4">
      <c r="A25" s="314" t="str">
        <f t="shared" si="0"/>
        <v>FT-UPSNAP</v>
      </c>
      <c r="B25" s="314" t="str">
        <f t="shared" si="1"/>
        <v xml:space="preserve">Fuel Tech - Naphtas (UPS) </v>
      </c>
      <c r="D25" s="327">
        <v>1</v>
      </c>
      <c r="E25" s="327">
        <v>1</v>
      </c>
      <c r="F25" s="328">
        <v>1</v>
      </c>
      <c r="I25" s="315" t="s">
        <v>651</v>
      </c>
      <c r="J25" s="314" t="str">
        <f>"FT-"&amp;Commodities!$C98</f>
        <v>FT-UPSNAP</v>
      </c>
      <c r="K25" s="314" t="str">
        <f>"Fuel Tech - "&amp;Commodities!$D98</f>
        <v xml:space="preserve">Fuel Tech - Naphtas (UPS) </v>
      </c>
      <c r="L25" s="514" t="s">
        <v>112</v>
      </c>
      <c r="M25" s="514" t="s">
        <v>2670</v>
      </c>
    </row>
    <row r="26" spans="1:15" s="314" customFormat="1" ht="14.4">
      <c r="A26" s="314" t="str">
        <f t="shared" si="0"/>
        <v>FT-UPSOIL</v>
      </c>
      <c r="B26" s="314" t="str">
        <f t="shared" si="1"/>
        <v xml:space="preserve">Fuel Tech - Oil (UPS) </v>
      </c>
      <c r="D26" s="327">
        <v>1</v>
      </c>
      <c r="E26" s="327">
        <v>1</v>
      </c>
      <c r="F26" s="328">
        <v>1</v>
      </c>
      <c r="I26" s="315" t="s">
        <v>651</v>
      </c>
      <c r="J26" s="314" t="str">
        <f>"FT-"&amp;Commodities!$C99</f>
        <v>FT-UPSOIL</v>
      </c>
      <c r="K26" s="314" t="str">
        <f>"Fuel Tech - "&amp;Commodities!$D99</f>
        <v xml:space="preserve">Fuel Tech - Oil (UPS) </v>
      </c>
      <c r="L26" s="514" t="s">
        <v>112</v>
      </c>
      <c r="M26" s="514" t="s">
        <v>2670</v>
      </c>
    </row>
    <row r="27" spans="1:15" s="314" customFormat="1" ht="14.4">
      <c r="A27" s="314" t="str">
        <f t="shared" si="0"/>
        <v>FT-UPSOIL2</v>
      </c>
      <c r="B27" s="314" t="str">
        <f t="shared" si="1"/>
        <v xml:space="preserve">Fuel Tech - Other petroleum products (UPS) </v>
      </c>
      <c r="D27" s="327">
        <v>1</v>
      </c>
      <c r="E27" s="327">
        <v>1</v>
      </c>
      <c r="F27" s="328">
        <v>1</v>
      </c>
      <c r="I27" s="315" t="s">
        <v>651</v>
      </c>
      <c r="J27" s="314" t="str">
        <f>"FT-"&amp;Commodities!$C100</f>
        <v>FT-UPSOIL2</v>
      </c>
      <c r="K27" s="314" t="str">
        <f>"Fuel Tech - "&amp;Commodities!$D100</f>
        <v xml:space="preserve">Fuel Tech - Other petroleum products (UPS) </v>
      </c>
      <c r="L27" s="514" t="s">
        <v>112</v>
      </c>
      <c r="M27" s="514" t="s">
        <v>2670</v>
      </c>
    </row>
    <row r="28" spans="1:15" s="314" customFormat="1" ht="14.4">
      <c r="A28" s="314" t="str">
        <f>J28</f>
        <v>FT-UPSH2G</v>
      </c>
      <c r="B28" s="314" t="str">
        <f>K28</f>
        <v>Fuel Tech - Hydrogen gaseous (UPS)</v>
      </c>
      <c r="D28" s="327">
        <v>1</v>
      </c>
      <c r="E28" s="327">
        <v>1</v>
      </c>
      <c r="F28" s="328">
        <v>1</v>
      </c>
      <c r="I28" s="315" t="s">
        <v>651</v>
      </c>
      <c r="J28" s="314" t="str">
        <f>"FT-"&amp;Commodities!C102</f>
        <v>FT-UPSH2G</v>
      </c>
      <c r="K28" s="314" t="str">
        <f>"Fuel Tech - "&amp;Commodities!$D102</f>
        <v>Fuel Tech - Hydrogen gaseous (UPS)</v>
      </c>
      <c r="L28" s="514" t="s">
        <v>112</v>
      </c>
      <c r="M28" s="514" t="s">
        <v>2670</v>
      </c>
    </row>
    <row r="29" spans="1:15" s="314" customFormat="1" ht="14.4">
      <c r="A29" s="323" t="str">
        <f t="shared" si="0"/>
        <v>FT-UPSWAS</v>
      </c>
      <c r="B29" s="323" t="str">
        <f t="shared" si="1"/>
        <v xml:space="preserve">Fuel Tech - Waste (UPS) </v>
      </c>
      <c r="C29" s="323"/>
      <c r="D29" s="329">
        <v>1</v>
      </c>
      <c r="E29" s="329">
        <v>1</v>
      </c>
      <c r="F29" s="330">
        <v>1</v>
      </c>
      <c r="I29" s="324" t="s">
        <v>651</v>
      </c>
      <c r="J29" s="323" t="str">
        <f>"FT-"&amp;Commodities!$C101</f>
        <v>FT-UPSWAS</v>
      </c>
      <c r="K29" s="323" t="str">
        <f>"Fuel Tech - "&amp;Commodities!$D101</f>
        <v xml:space="preserve">Fuel Tech - Waste (UPS) </v>
      </c>
      <c r="L29" s="494" t="s">
        <v>112</v>
      </c>
      <c r="M29" s="494" t="s">
        <v>2670</v>
      </c>
      <c r="N29" s="323"/>
      <c r="O29" s="323"/>
    </row>
    <row r="30" spans="1:15" s="314" customFormat="1" ht="14.4"/>
    <row r="31" spans="1:15" s="314" customFormat="1" ht="14.4"/>
    <row r="32" spans="1:15" s="314" customFormat="1" ht="14.4"/>
    <row r="33" spans="1:42" s="314" customFormat="1" ht="14.4">
      <c r="A33" s="239" t="s">
        <v>625</v>
      </c>
    </row>
    <row r="34" spans="1:42" s="314" customFormat="1" ht="16.2" thickBot="1">
      <c r="A34" s="316" t="s">
        <v>627</v>
      </c>
      <c r="B34" s="316" t="s">
        <v>652</v>
      </c>
      <c r="C34" s="316" t="s">
        <v>653</v>
      </c>
      <c r="D34" s="11" t="s">
        <v>654</v>
      </c>
      <c r="E34" s="11" t="s">
        <v>376</v>
      </c>
      <c r="F34" s="11" t="s">
        <v>655</v>
      </c>
      <c r="G34" s="10" t="s">
        <v>172</v>
      </c>
      <c r="H34" s="10" t="s">
        <v>175</v>
      </c>
      <c r="I34" s="10" t="s">
        <v>178</v>
      </c>
      <c r="J34" s="10" t="s">
        <v>181</v>
      </c>
      <c r="K34" s="10" t="s">
        <v>184</v>
      </c>
      <c r="L34" s="10" t="s">
        <v>187</v>
      </c>
      <c r="M34" s="10" t="s">
        <v>190</v>
      </c>
      <c r="N34" s="10" t="s">
        <v>193</v>
      </c>
      <c r="O34" s="10" t="s">
        <v>196</v>
      </c>
      <c r="P34" s="10" t="s">
        <v>198</v>
      </c>
      <c r="Q34" s="10" t="s">
        <v>200</v>
      </c>
      <c r="R34" s="10" t="s">
        <v>202</v>
      </c>
      <c r="S34" s="10" t="s">
        <v>205</v>
      </c>
      <c r="T34" s="10" t="s">
        <v>208</v>
      </c>
      <c r="U34" s="10" t="s">
        <v>211</v>
      </c>
      <c r="V34" s="10" t="s">
        <v>214</v>
      </c>
      <c r="W34" s="10" t="s">
        <v>217</v>
      </c>
      <c r="X34" s="10" t="s">
        <v>220</v>
      </c>
      <c r="Y34" s="10" t="s">
        <v>223</v>
      </c>
      <c r="Z34" s="10" t="s">
        <v>225</v>
      </c>
      <c r="AA34" s="10" t="s">
        <v>227</v>
      </c>
      <c r="AB34" s="10" t="s">
        <v>230</v>
      </c>
      <c r="AC34" s="10" t="s">
        <v>233</v>
      </c>
      <c r="AD34" s="10" t="s">
        <v>236</v>
      </c>
      <c r="AE34" s="10" t="s">
        <v>238</v>
      </c>
      <c r="AF34" s="10" t="s">
        <v>240</v>
      </c>
      <c r="AG34" s="10" t="s">
        <v>243</v>
      </c>
      <c r="AH34" s="10" t="s">
        <v>245</v>
      </c>
    </row>
    <row r="35" spans="1:42" s="314" customFormat="1" ht="31.5" customHeight="1">
      <c r="A35" s="319" t="s">
        <v>639</v>
      </c>
      <c r="B35" s="319" t="s">
        <v>656</v>
      </c>
      <c r="C35" s="319" t="s">
        <v>657</v>
      </c>
      <c r="D35" s="241" t="s">
        <v>658</v>
      </c>
      <c r="E35" s="241" t="s">
        <v>659</v>
      </c>
      <c r="F35" s="241"/>
      <c r="G35" s="241" t="s">
        <v>173</v>
      </c>
      <c r="H35" s="241" t="s">
        <v>176</v>
      </c>
      <c r="I35" s="241" t="s">
        <v>179</v>
      </c>
      <c r="J35" s="241" t="s">
        <v>182</v>
      </c>
      <c r="K35" s="241" t="s">
        <v>185</v>
      </c>
      <c r="L35" s="241" t="s">
        <v>188</v>
      </c>
      <c r="M35" s="241" t="s">
        <v>191</v>
      </c>
      <c r="N35" s="241" t="s">
        <v>194</v>
      </c>
      <c r="O35" s="241" t="s">
        <v>197</v>
      </c>
      <c r="P35" s="241" t="s">
        <v>199</v>
      </c>
      <c r="Q35" s="241" t="s">
        <v>201</v>
      </c>
      <c r="R35" s="241" t="s">
        <v>203</v>
      </c>
      <c r="S35" s="241" t="s">
        <v>206</v>
      </c>
      <c r="T35" s="241" t="s">
        <v>209</v>
      </c>
      <c r="U35" s="241" t="s">
        <v>212</v>
      </c>
      <c r="V35" s="241" t="s">
        <v>215</v>
      </c>
      <c r="W35" s="241" t="s">
        <v>218</v>
      </c>
      <c r="X35" s="241" t="s">
        <v>221</v>
      </c>
      <c r="Y35" s="241" t="s">
        <v>224</v>
      </c>
      <c r="Z35" s="241" t="s">
        <v>226</v>
      </c>
      <c r="AA35" s="241" t="s">
        <v>228</v>
      </c>
      <c r="AB35" s="241" t="s">
        <v>231</v>
      </c>
      <c r="AC35" s="241" t="s">
        <v>234</v>
      </c>
      <c r="AD35" s="241" t="s">
        <v>237</v>
      </c>
      <c r="AE35" s="241" t="s">
        <v>239</v>
      </c>
      <c r="AF35" s="241" t="s">
        <v>241</v>
      </c>
      <c r="AG35" s="241" t="s">
        <v>1172</v>
      </c>
      <c r="AH35" s="241" t="s">
        <v>246</v>
      </c>
    </row>
    <row r="36" spans="1:42">
      <c r="A36" s="257" t="s">
        <v>649</v>
      </c>
      <c r="B36" s="257"/>
      <c r="C36" s="257"/>
      <c r="D36" s="257"/>
      <c r="E36" s="257"/>
      <c r="F36" s="257"/>
      <c r="G36" s="257" t="s">
        <v>650</v>
      </c>
      <c r="H36" s="257" t="s">
        <v>650</v>
      </c>
      <c r="I36" s="257" t="s">
        <v>650</v>
      </c>
      <c r="J36" s="257" t="s">
        <v>650</v>
      </c>
      <c r="K36" s="257" t="s">
        <v>650</v>
      </c>
      <c r="L36" s="257" t="s">
        <v>650</v>
      </c>
      <c r="M36" s="257" t="s">
        <v>650</v>
      </c>
      <c r="N36" s="257" t="s">
        <v>650</v>
      </c>
      <c r="O36" s="257" t="s">
        <v>650</v>
      </c>
      <c r="P36" s="257" t="s">
        <v>650</v>
      </c>
      <c r="Q36" s="257" t="s">
        <v>650</v>
      </c>
      <c r="R36" s="257" t="s">
        <v>650</v>
      </c>
      <c r="S36" s="257" t="s">
        <v>650</v>
      </c>
      <c r="T36" s="257" t="s">
        <v>650</v>
      </c>
      <c r="U36" s="257" t="s">
        <v>650</v>
      </c>
      <c r="V36" s="257" t="s">
        <v>650</v>
      </c>
      <c r="W36" s="257" t="s">
        <v>650</v>
      </c>
      <c r="X36" s="257" t="s">
        <v>650</v>
      </c>
      <c r="Y36" s="257" t="s">
        <v>650</v>
      </c>
      <c r="Z36" s="257" t="s">
        <v>650</v>
      </c>
      <c r="AA36" s="257" t="s">
        <v>650</v>
      </c>
      <c r="AB36" s="257" t="s">
        <v>650</v>
      </c>
      <c r="AC36" s="257" t="s">
        <v>650</v>
      </c>
      <c r="AD36" s="257" t="s">
        <v>650</v>
      </c>
      <c r="AE36" s="257" t="s">
        <v>650</v>
      </c>
      <c r="AF36" s="257" t="s">
        <v>650</v>
      </c>
      <c r="AG36" s="257" t="s">
        <v>650</v>
      </c>
      <c r="AH36" s="257" t="s">
        <v>650</v>
      </c>
      <c r="AJ36" s="314"/>
      <c r="AK36" s="314"/>
      <c r="AL36" s="314"/>
      <c r="AM36" s="314"/>
      <c r="AN36" s="314"/>
      <c r="AO36" s="314"/>
      <c r="AP36" s="314"/>
    </row>
    <row r="37" spans="1:42" s="314" customFormat="1">
      <c r="A37" s="314" t="str">
        <f>A7</f>
        <v>FT-UPSBDL</v>
      </c>
      <c r="B37" s="495" t="str">
        <f>Commodities!$C$77</f>
        <v>BIODSL</v>
      </c>
      <c r="C37" s="314" t="str">
        <f>Commodities!$C80</f>
        <v>UPSBDL</v>
      </c>
      <c r="D37" s="495" t="s">
        <v>660</v>
      </c>
      <c r="E37" s="495" t="s">
        <v>661</v>
      </c>
      <c r="F37" s="4">
        <v>2019</v>
      </c>
      <c r="G37" s="496">
        <v>1</v>
      </c>
      <c r="H37" s="496">
        <v>1</v>
      </c>
      <c r="I37" s="496">
        <v>1</v>
      </c>
      <c r="J37" s="496">
        <v>1</v>
      </c>
      <c r="K37" s="496">
        <v>1</v>
      </c>
      <c r="L37" s="496">
        <v>1</v>
      </c>
      <c r="M37" s="496">
        <v>1</v>
      </c>
      <c r="N37" s="496">
        <v>1</v>
      </c>
      <c r="O37" s="496">
        <v>1</v>
      </c>
      <c r="P37" s="496">
        <v>1</v>
      </c>
      <c r="Q37" s="496">
        <v>1</v>
      </c>
      <c r="R37" s="496">
        <v>1</v>
      </c>
      <c r="S37" s="496">
        <v>1</v>
      </c>
      <c r="T37" s="496">
        <v>1</v>
      </c>
      <c r="U37" s="496">
        <v>1</v>
      </c>
      <c r="V37" s="496">
        <v>1</v>
      </c>
      <c r="W37" s="496">
        <v>1</v>
      </c>
      <c r="X37" s="496">
        <v>1</v>
      </c>
      <c r="Y37" s="496">
        <v>1</v>
      </c>
      <c r="Z37" s="496">
        <v>1</v>
      </c>
      <c r="AA37" s="496">
        <v>1</v>
      </c>
      <c r="AB37" s="496">
        <v>1</v>
      </c>
      <c r="AC37" s="496">
        <v>1</v>
      </c>
      <c r="AD37" s="496">
        <v>1</v>
      </c>
      <c r="AE37" s="496">
        <v>1</v>
      </c>
      <c r="AF37" s="496">
        <v>1</v>
      </c>
      <c r="AG37" s="496">
        <v>1</v>
      </c>
      <c r="AH37" s="496">
        <v>1</v>
      </c>
    </row>
    <row r="38" spans="1:42" s="314" customFormat="1">
      <c r="B38" s="495" t="str">
        <f>Commodities!$C$73</f>
        <v>BIODIER</v>
      </c>
      <c r="D38" s="495" t="s">
        <v>660</v>
      </c>
      <c r="E38" s="495" t="s">
        <v>661</v>
      </c>
      <c r="F38" s="4">
        <v>2019</v>
      </c>
      <c r="G38" s="496">
        <v>1</v>
      </c>
      <c r="H38" s="496">
        <v>1</v>
      </c>
      <c r="I38" s="496">
        <v>1</v>
      </c>
      <c r="J38" s="496">
        <v>1</v>
      </c>
      <c r="K38" s="496">
        <v>1</v>
      </c>
      <c r="L38" s="496">
        <v>1</v>
      </c>
      <c r="M38" s="496">
        <v>1</v>
      </c>
      <c r="N38" s="496">
        <v>1</v>
      </c>
      <c r="O38" s="496">
        <v>1</v>
      </c>
      <c r="P38" s="496">
        <v>1</v>
      </c>
      <c r="Q38" s="496">
        <v>1</v>
      </c>
      <c r="R38" s="496">
        <v>1</v>
      </c>
      <c r="S38" s="496">
        <v>1</v>
      </c>
      <c r="T38" s="496">
        <v>1</v>
      </c>
      <c r="U38" s="496">
        <v>1</v>
      </c>
      <c r="V38" s="496">
        <v>1</v>
      </c>
      <c r="W38" s="496">
        <v>1</v>
      </c>
      <c r="X38" s="496">
        <v>1</v>
      </c>
      <c r="Y38" s="496">
        <v>1</v>
      </c>
      <c r="Z38" s="496">
        <v>1</v>
      </c>
      <c r="AA38" s="496">
        <v>1</v>
      </c>
      <c r="AB38" s="496">
        <v>1</v>
      </c>
      <c r="AC38" s="496">
        <v>1</v>
      </c>
      <c r="AD38" s="496">
        <v>1</v>
      </c>
      <c r="AE38" s="496">
        <v>1</v>
      </c>
      <c r="AF38" s="496">
        <v>1</v>
      </c>
      <c r="AG38" s="496">
        <v>1</v>
      </c>
      <c r="AH38" s="496">
        <v>1</v>
      </c>
    </row>
    <row r="39" spans="1:42" s="314" customFormat="1">
      <c r="B39" s="495" t="str">
        <f>Commodities!$C$75</f>
        <v>BIOFTD</v>
      </c>
      <c r="D39" s="495" t="s">
        <v>660</v>
      </c>
      <c r="E39" s="495" t="s">
        <v>661</v>
      </c>
      <c r="F39" s="4">
        <v>2019</v>
      </c>
      <c r="G39" s="496">
        <v>1</v>
      </c>
      <c r="H39" s="496">
        <v>1</v>
      </c>
      <c r="I39" s="496">
        <v>1</v>
      </c>
      <c r="J39" s="496">
        <v>1</v>
      </c>
      <c r="K39" s="496">
        <v>1</v>
      </c>
      <c r="L39" s="496">
        <v>1</v>
      </c>
      <c r="M39" s="496">
        <v>1</v>
      </c>
      <c r="N39" s="496">
        <v>1</v>
      </c>
      <c r="O39" s="496">
        <v>1</v>
      </c>
      <c r="P39" s="496">
        <v>1</v>
      </c>
      <c r="Q39" s="496">
        <v>1</v>
      </c>
      <c r="R39" s="496">
        <v>1</v>
      </c>
      <c r="S39" s="496">
        <v>1</v>
      </c>
      <c r="T39" s="496">
        <v>1</v>
      </c>
      <c r="U39" s="496">
        <v>1</v>
      </c>
      <c r="V39" s="496">
        <v>1</v>
      </c>
      <c r="W39" s="496">
        <v>1</v>
      </c>
      <c r="X39" s="496">
        <v>1</v>
      </c>
      <c r="Y39" s="496">
        <v>1</v>
      </c>
      <c r="Z39" s="496">
        <v>1</v>
      </c>
      <c r="AA39" s="496">
        <v>1</v>
      </c>
      <c r="AB39" s="496">
        <v>1</v>
      </c>
      <c r="AC39" s="496">
        <v>1</v>
      </c>
      <c r="AD39" s="496">
        <v>1</v>
      </c>
      <c r="AE39" s="496">
        <v>1</v>
      </c>
      <c r="AF39" s="496">
        <v>1</v>
      </c>
      <c r="AG39" s="496">
        <v>1</v>
      </c>
      <c r="AH39" s="496">
        <v>1</v>
      </c>
    </row>
    <row r="40" spans="1:42" s="314" customFormat="1">
      <c r="A40" s="314" t="str">
        <f>A8</f>
        <v>FT-UPSBGL</v>
      </c>
      <c r="B40" s="495" t="str">
        <f>Commodities!$C$78</f>
        <v>BIOETH</v>
      </c>
      <c r="C40" s="314" t="str">
        <f>Commodities!$C81</f>
        <v>UPSBGL</v>
      </c>
      <c r="D40" s="495" t="s">
        <v>660</v>
      </c>
      <c r="E40" s="495" t="s">
        <v>661</v>
      </c>
      <c r="F40" s="4">
        <v>2019</v>
      </c>
      <c r="G40" s="496">
        <v>1</v>
      </c>
      <c r="H40" s="496">
        <v>1</v>
      </c>
      <c r="I40" s="496">
        <v>1</v>
      </c>
      <c r="J40" s="496">
        <v>1</v>
      </c>
      <c r="K40" s="496">
        <v>1</v>
      </c>
      <c r="L40" s="496">
        <v>1</v>
      </c>
      <c r="M40" s="496">
        <v>1</v>
      </c>
      <c r="N40" s="496">
        <v>1</v>
      </c>
      <c r="O40" s="496">
        <v>1</v>
      </c>
      <c r="P40" s="496">
        <v>1</v>
      </c>
      <c r="Q40" s="496">
        <v>1</v>
      </c>
      <c r="R40" s="496">
        <v>1</v>
      </c>
      <c r="S40" s="496">
        <v>1</v>
      </c>
      <c r="T40" s="496">
        <v>1</v>
      </c>
      <c r="U40" s="496">
        <v>1</v>
      </c>
      <c r="V40" s="496">
        <v>1</v>
      </c>
      <c r="W40" s="496">
        <v>1</v>
      </c>
      <c r="X40" s="496">
        <v>1</v>
      </c>
      <c r="Y40" s="496">
        <v>1</v>
      </c>
      <c r="Z40" s="496">
        <v>1</v>
      </c>
      <c r="AA40" s="496">
        <v>1</v>
      </c>
      <c r="AB40" s="496">
        <v>1</v>
      </c>
      <c r="AC40" s="496">
        <v>1</v>
      </c>
      <c r="AD40" s="496">
        <v>1</v>
      </c>
      <c r="AE40" s="496">
        <v>1</v>
      </c>
      <c r="AF40" s="496">
        <v>1</v>
      </c>
      <c r="AG40" s="496">
        <v>1</v>
      </c>
      <c r="AH40" s="496">
        <v>1</v>
      </c>
    </row>
    <row r="41" spans="1:42" s="314" customFormat="1">
      <c r="B41" s="495" t="str">
        <f>Commodities!$C$70</f>
        <v>BIOETHC</v>
      </c>
      <c r="D41" s="495" t="s">
        <v>660</v>
      </c>
      <c r="E41" s="495" t="s">
        <v>661</v>
      </c>
      <c r="F41" s="4">
        <v>2019</v>
      </c>
      <c r="G41" s="496">
        <v>1</v>
      </c>
      <c r="H41" s="496">
        <v>1</v>
      </c>
      <c r="I41" s="496">
        <v>1</v>
      </c>
      <c r="J41" s="496">
        <v>1</v>
      </c>
      <c r="K41" s="496">
        <v>1</v>
      </c>
      <c r="L41" s="496">
        <v>1</v>
      </c>
      <c r="M41" s="496">
        <v>1</v>
      </c>
      <c r="N41" s="496">
        <v>1</v>
      </c>
      <c r="O41" s="496">
        <v>1</v>
      </c>
      <c r="P41" s="496">
        <v>1</v>
      </c>
      <c r="Q41" s="496">
        <v>1</v>
      </c>
      <c r="R41" s="496">
        <v>1</v>
      </c>
      <c r="S41" s="496">
        <v>1</v>
      </c>
      <c r="T41" s="496">
        <v>1</v>
      </c>
      <c r="U41" s="496">
        <v>1</v>
      </c>
      <c r="V41" s="496">
        <v>1</v>
      </c>
      <c r="W41" s="496">
        <v>1</v>
      </c>
      <c r="X41" s="496">
        <v>1</v>
      </c>
      <c r="Y41" s="496">
        <v>1</v>
      </c>
      <c r="Z41" s="496">
        <v>1</v>
      </c>
      <c r="AA41" s="496">
        <v>1</v>
      </c>
      <c r="AB41" s="496">
        <v>1</v>
      </c>
      <c r="AC41" s="496">
        <v>1</v>
      </c>
      <c r="AD41" s="496">
        <v>1</v>
      </c>
      <c r="AE41" s="496">
        <v>1</v>
      </c>
      <c r="AF41" s="496">
        <v>1</v>
      </c>
      <c r="AG41" s="496">
        <v>1</v>
      </c>
      <c r="AH41" s="496">
        <v>1</v>
      </c>
    </row>
    <row r="42" spans="1:42" s="314" customFormat="1">
      <c r="B42" s="495" t="str">
        <f>Commodities!$C$74</f>
        <v>BIOGSLR</v>
      </c>
      <c r="D42" s="495" t="s">
        <v>660</v>
      </c>
      <c r="E42" s="495" t="s">
        <v>661</v>
      </c>
      <c r="F42" s="4">
        <v>2019</v>
      </c>
      <c r="G42" s="496">
        <v>1</v>
      </c>
      <c r="H42" s="496">
        <v>1</v>
      </c>
      <c r="I42" s="496">
        <v>1</v>
      </c>
      <c r="J42" s="496">
        <v>1</v>
      </c>
      <c r="K42" s="496">
        <v>1</v>
      </c>
      <c r="L42" s="496">
        <v>1</v>
      </c>
      <c r="M42" s="496">
        <v>1</v>
      </c>
      <c r="N42" s="496">
        <v>1</v>
      </c>
      <c r="O42" s="496">
        <v>1</v>
      </c>
      <c r="P42" s="496">
        <v>1</v>
      </c>
      <c r="Q42" s="496">
        <v>1</v>
      </c>
      <c r="R42" s="496">
        <v>1</v>
      </c>
      <c r="S42" s="496">
        <v>1</v>
      </c>
      <c r="T42" s="496">
        <v>1</v>
      </c>
      <c r="U42" s="496">
        <v>1</v>
      </c>
      <c r="V42" s="496">
        <v>1</v>
      </c>
      <c r="W42" s="496">
        <v>1</v>
      </c>
      <c r="X42" s="496">
        <v>1</v>
      </c>
      <c r="Y42" s="496">
        <v>1</v>
      </c>
      <c r="Z42" s="496">
        <v>1</v>
      </c>
      <c r="AA42" s="496">
        <v>1</v>
      </c>
      <c r="AB42" s="496">
        <v>1</v>
      </c>
      <c r="AC42" s="496">
        <v>1</v>
      </c>
      <c r="AD42" s="496">
        <v>1</v>
      </c>
      <c r="AE42" s="496">
        <v>1</v>
      </c>
      <c r="AF42" s="496">
        <v>1</v>
      </c>
      <c r="AG42" s="496">
        <v>1</v>
      </c>
      <c r="AH42" s="496">
        <v>1</v>
      </c>
    </row>
    <row r="43" spans="1:42" s="314" customFormat="1">
      <c r="A43" s="314" t="str">
        <f>A9</f>
        <v>FT-UPSBLQ</v>
      </c>
      <c r="B43" s="314" t="str">
        <f>Commodities!$C$69</f>
        <v>BIOJET</v>
      </c>
      <c r="C43" s="314" t="str">
        <f>Commodities!$C82</f>
        <v>UPSBLQ</v>
      </c>
      <c r="D43" s="495"/>
      <c r="E43" s="495"/>
      <c r="F43" s="4"/>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row>
    <row r="44" spans="1:42" s="314" customFormat="1">
      <c r="A44" s="314" t="str">
        <f>A10</f>
        <v>FT-UPSBFG</v>
      </c>
      <c r="B44" s="495" t="str">
        <f>Commodities!$C$31</f>
        <v>GASBFG</v>
      </c>
      <c r="C44" s="314" t="str">
        <f>Commodities!$C83</f>
        <v>UPSBFG</v>
      </c>
      <c r="D44" s="495"/>
      <c r="E44" s="495"/>
      <c r="F44" s="4"/>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row>
    <row r="45" spans="1:42" s="314" customFormat="1">
      <c r="A45" s="314" t="str">
        <f>A11</f>
        <v>FT-UPSBGS</v>
      </c>
      <c r="B45" s="495" t="str">
        <f>Commodities!$C$72</f>
        <v>BIORNG</v>
      </c>
      <c r="C45" s="314" t="str">
        <f>Commodities!$C84</f>
        <v>UPSBGS</v>
      </c>
      <c r="D45" s="495"/>
      <c r="E45" s="495"/>
      <c r="F45" s="4"/>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row>
    <row r="46" spans="1:42" s="314" customFormat="1">
      <c r="A46" s="314" t="str">
        <f>A12</f>
        <v>FT-UPSBIO</v>
      </c>
      <c r="B46" s="495" t="str">
        <f>Commodities!$C$67</f>
        <v>BIOMASS</v>
      </c>
      <c r="C46" s="314" t="str">
        <f>Commodities!$C85</f>
        <v>UPSBIO</v>
      </c>
      <c r="D46" s="495" t="s">
        <v>660</v>
      </c>
      <c r="E46" s="495" t="s">
        <v>661</v>
      </c>
      <c r="F46" s="4">
        <v>2019</v>
      </c>
      <c r="G46" s="496">
        <v>1</v>
      </c>
      <c r="H46" s="496">
        <v>1</v>
      </c>
      <c r="I46" s="496">
        <v>1</v>
      </c>
      <c r="J46" s="496">
        <v>1</v>
      </c>
      <c r="K46" s="496">
        <v>1</v>
      </c>
      <c r="L46" s="496">
        <v>1</v>
      </c>
      <c r="M46" s="496">
        <v>1</v>
      </c>
      <c r="N46" s="496">
        <v>1</v>
      </c>
      <c r="O46" s="496">
        <v>1</v>
      </c>
      <c r="P46" s="496">
        <v>1</v>
      </c>
      <c r="Q46" s="496">
        <v>1</v>
      </c>
      <c r="R46" s="496">
        <v>1</v>
      </c>
      <c r="S46" s="496">
        <v>1</v>
      </c>
      <c r="T46" s="496">
        <v>1</v>
      </c>
      <c r="U46" s="496">
        <v>1</v>
      </c>
      <c r="V46" s="496">
        <v>1</v>
      </c>
      <c r="W46" s="496">
        <v>1</v>
      </c>
      <c r="X46" s="496">
        <v>1</v>
      </c>
      <c r="Y46" s="496">
        <v>1</v>
      </c>
      <c r="Z46" s="496">
        <v>1</v>
      </c>
      <c r="AA46" s="496">
        <v>1</v>
      </c>
      <c r="AB46" s="496">
        <v>1</v>
      </c>
      <c r="AC46" s="496">
        <v>1</v>
      </c>
      <c r="AD46" s="496">
        <v>1</v>
      </c>
      <c r="AE46" s="496">
        <v>1</v>
      </c>
      <c r="AF46" s="496">
        <v>1</v>
      </c>
      <c r="AG46" s="496">
        <v>1</v>
      </c>
      <c r="AH46" s="496">
        <v>1</v>
      </c>
    </row>
    <row r="47" spans="1:42" s="314" customFormat="1">
      <c r="B47" s="495" t="str">
        <f>Commodities!C68</f>
        <v>BIOPEL</v>
      </c>
      <c r="D47" s="495" t="s">
        <v>660</v>
      </c>
      <c r="E47" s="495" t="s">
        <v>661</v>
      </c>
      <c r="F47" s="4">
        <v>2019</v>
      </c>
      <c r="G47" s="496">
        <v>1</v>
      </c>
      <c r="H47" s="496">
        <v>1</v>
      </c>
      <c r="I47" s="496">
        <v>1</v>
      </c>
      <c r="J47" s="496">
        <v>1</v>
      </c>
      <c r="K47" s="496">
        <v>1</v>
      </c>
      <c r="L47" s="496">
        <v>1</v>
      </c>
      <c r="M47" s="496">
        <v>1</v>
      </c>
      <c r="N47" s="496">
        <v>1</v>
      </c>
      <c r="O47" s="496">
        <v>1</v>
      </c>
      <c r="P47" s="496">
        <v>1</v>
      </c>
      <c r="Q47" s="496">
        <v>1</v>
      </c>
      <c r="R47" s="496">
        <v>1</v>
      </c>
      <c r="S47" s="496">
        <v>1</v>
      </c>
      <c r="T47" s="496">
        <v>1</v>
      </c>
      <c r="U47" s="496">
        <v>1</v>
      </c>
      <c r="V47" s="496">
        <v>1</v>
      </c>
      <c r="W47" s="496">
        <v>1</v>
      </c>
      <c r="X47" s="496">
        <v>1</v>
      </c>
      <c r="Y47" s="496">
        <v>1</v>
      </c>
      <c r="Z47" s="496">
        <v>1</v>
      </c>
      <c r="AA47" s="496">
        <v>1</v>
      </c>
      <c r="AB47" s="496">
        <v>1</v>
      </c>
      <c r="AC47" s="496">
        <v>1</v>
      </c>
      <c r="AD47" s="496">
        <v>1</v>
      </c>
      <c r="AE47" s="496">
        <v>1</v>
      </c>
      <c r="AF47" s="496">
        <v>1</v>
      </c>
      <c r="AG47" s="496">
        <v>1</v>
      </c>
      <c r="AH47" s="496">
        <v>1</v>
      </c>
    </row>
    <row r="48" spans="1:42" s="314" customFormat="1">
      <c r="B48" s="495" t="str">
        <f>Commodities!$C$131</f>
        <v>BIOWAS</v>
      </c>
      <c r="D48" s="495" t="s">
        <v>660</v>
      </c>
      <c r="E48" s="495" t="s">
        <v>661</v>
      </c>
      <c r="F48" s="4">
        <v>2019</v>
      </c>
      <c r="G48" s="496">
        <v>1</v>
      </c>
      <c r="H48" s="496">
        <v>1</v>
      </c>
      <c r="I48" s="496">
        <v>1</v>
      </c>
      <c r="J48" s="496">
        <v>1</v>
      </c>
      <c r="K48" s="496">
        <v>1</v>
      </c>
      <c r="L48" s="496">
        <v>1</v>
      </c>
      <c r="M48" s="496">
        <v>1</v>
      </c>
      <c r="N48" s="496">
        <v>1</v>
      </c>
      <c r="O48" s="496">
        <v>1</v>
      </c>
      <c r="P48" s="496">
        <v>1</v>
      </c>
      <c r="Q48" s="496">
        <v>1</v>
      </c>
      <c r="R48" s="496">
        <v>1</v>
      </c>
      <c r="S48" s="496">
        <v>1</v>
      </c>
      <c r="T48" s="496">
        <v>1</v>
      </c>
      <c r="U48" s="496">
        <v>1</v>
      </c>
      <c r="V48" s="496">
        <v>1</v>
      </c>
      <c r="W48" s="496">
        <v>1</v>
      </c>
      <c r="X48" s="496">
        <v>1</v>
      </c>
      <c r="Y48" s="496">
        <v>1</v>
      </c>
      <c r="Z48" s="496">
        <v>1</v>
      </c>
      <c r="AA48" s="496">
        <v>1</v>
      </c>
      <c r="AB48" s="496">
        <v>1</v>
      </c>
      <c r="AC48" s="496">
        <v>1</v>
      </c>
      <c r="AD48" s="496">
        <v>1</v>
      </c>
      <c r="AE48" s="496">
        <v>1</v>
      </c>
      <c r="AF48" s="496">
        <v>1</v>
      </c>
      <c r="AG48" s="496">
        <v>1</v>
      </c>
      <c r="AH48" s="496">
        <v>1</v>
      </c>
    </row>
    <row r="49" spans="1:34" s="314" customFormat="1">
      <c r="A49" s="314" t="str">
        <f t="shared" ref="A49:A62" si="2">A13</f>
        <v>FT-UPSCOA</v>
      </c>
      <c r="B49" s="495" t="str">
        <f>Commodities!$C$22</f>
        <v>COA</v>
      </c>
      <c r="C49" s="314" t="str">
        <f>Commodities!$C86</f>
        <v>UPSCOA</v>
      </c>
      <c r="D49" s="495"/>
      <c r="E49" s="495"/>
      <c r="F49" s="4"/>
      <c r="G49" s="496"/>
      <c r="H49" s="496"/>
      <c r="I49" s="496"/>
      <c r="J49" s="496"/>
      <c r="K49" s="496"/>
      <c r="L49" s="496"/>
      <c r="M49" s="496"/>
      <c r="N49" s="496"/>
      <c r="O49" s="496"/>
      <c r="P49" s="496"/>
      <c r="Q49" s="496"/>
      <c r="R49" s="496"/>
      <c r="S49" s="496"/>
      <c r="T49" s="496"/>
      <c r="U49" s="496"/>
      <c r="V49" s="496"/>
      <c r="W49" s="496"/>
      <c r="X49" s="496"/>
      <c r="Y49" s="496"/>
      <c r="Z49" s="496"/>
      <c r="AA49" s="496"/>
      <c r="AB49" s="496"/>
      <c r="AC49" s="496"/>
      <c r="AD49" s="496"/>
      <c r="AE49" s="496"/>
      <c r="AF49" s="496"/>
      <c r="AG49" s="496"/>
      <c r="AH49" s="496"/>
    </row>
    <row r="50" spans="1:34" s="314" customFormat="1">
      <c r="A50" s="314" t="str">
        <f t="shared" si="2"/>
        <v>FT-UPSCOACOL</v>
      </c>
      <c r="B50" s="495" t="str">
        <f>Commodities!$C$23</f>
        <v>COACOL</v>
      </c>
      <c r="C50" s="314" t="str">
        <f>Commodities!$C87</f>
        <v>UPSCOACOL</v>
      </c>
      <c r="D50" s="495"/>
      <c r="E50" s="495"/>
      <c r="F50" s="4"/>
      <c r="G50" s="496"/>
      <c r="H50" s="496"/>
      <c r="I50" s="496"/>
      <c r="J50" s="496"/>
      <c r="K50" s="496"/>
      <c r="L50" s="496"/>
      <c r="M50" s="496"/>
      <c r="N50" s="496"/>
      <c r="O50" s="496"/>
      <c r="P50" s="496"/>
      <c r="Q50" s="496"/>
      <c r="R50" s="496"/>
      <c r="S50" s="496"/>
      <c r="T50" s="496"/>
      <c r="U50" s="496"/>
      <c r="V50" s="496"/>
      <c r="W50" s="496"/>
      <c r="X50" s="496"/>
      <c r="Y50" s="496"/>
      <c r="Z50" s="496"/>
      <c r="AA50" s="496"/>
      <c r="AB50" s="496"/>
      <c r="AC50" s="496"/>
      <c r="AD50" s="496"/>
      <c r="AE50" s="496"/>
      <c r="AF50" s="496"/>
      <c r="AG50" s="496"/>
      <c r="AH50" s="496"/>
    </row>
    <row r="51" spans="1:34" s="314" customFormat="1">
      <c r="A51" s="314" t="str">
        <f t="shared" si="2"/>
        <v>FT-UPSCOG</v>
      </c>
      <c r="B51" s="495" t="str">
        <f>Commodities!$C$29</f>
        <v>COACOG</v>
      </c>
      <c r="C51" s="314" t="str">
        <f>Commodities!$C88</f>
        <v>UPSCOG</v>
      </c>
      <c r="D51" s="495"/>
      <c r="E51" s="495"/>
      <c r="F51" s="4"/>
      <c r="G51" s="496"/>
      <c r="H51" s="496"/>
      <c r="I51" s="496"/>
      <c r="J51" s="496"/>
      <c r="K51" s="496"/>
      <c r="L51" s="496"/>
      <c r="M51" s="496"/>
      <c r="N51" s="496"/>
      <c r="O51" s="496"/>
      <c r="P51" s="496"/>
      <c r="Q51" s="496"/>
      <c r="R51" s="496"/>
      <c r="S51" s="496"/>
      <c r="T51" s="496"/>
      <c r="U51" s="496"/>
      <c r="V51" s="496"/>
      <c r="W51" s="496"/>
      <c r="X51" s="496"/>
      <c r="Y51" s="496"/>
      <c r="Z51" s="496"/>
      <c r="AA51" s="496"/>
      <c r="AB51" s="496"/>
      <c r="AC51" s="496"/>
      <c r="AD51" s="496"/>
      <c r="AE51" s="496"/>
      <c r="AF51" s="496"/>
      <c r="AG51" s="496"/>
      <c r="AH51" s="496"/>
    </row>
    <row r="52" spans="1:34" s="314" customFormat="1">
      <c r="A52" s="314" t="str">
        <f t="shared" si="2"/>
        <v>FT-UPSCOK</v>
      </c>
      <c r="B52" s="495" t="str">
        <f>Commodities!$C$30</f>
        <v>COACOK</v>
      </c>
      <c r="C52" s="314" t="str">
        <f>Commodities!$C89</f>
        <v>UPSCOK</v>
      </c>
      <c r="D52" s="495"/>
      <c r="E52" s="495"/>
      <c r="F52" s="4"/>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row>
    <row r="53" spans="1:34" s="314" customFormat="1">
      <c r="A53" s="314" t="str">
        <f t="shared" si="2"/>
        <v>FT-UPSDSL</v>
      </c>
      <c r="B53" s="495" t="str">
        <f>Commodities!$C$48</f>
        <v>OILDSL</v>
      </c>
      <c r="C53" s="314" t="str">
        <f>Commodities!$C90</f>
        <v>UPSDSL</v>
      </c>
      <c r="D53" s="495"/>
      <c r="E53" s="495"/>
      <c r="F53" s="4"/>
      <c r="G53" s="496"/>
      <c r="H53" s="496"/>
      <c r="I53" s="496"/>
      <c r="J53" s="496"/>
      <c r="K53" s="496"/>
      <c r="L53" s="496"/>
      <c r="M53" s="496"/>
      <c r="N53" s="496"/>
      <c r="O53" s="496"/>
      <c r="P53" s="496"/>
      <c r="Q53" s="496"/>
      <c r="R53" s="496"/>
      <c r="S53" s="496"/>
      <c r="T53" s="496"/>
      <c r="U53" s="496"/>
      <c r="V53" s="496"/>
      <c r="W53" s="496"/>
      <c r="X53" s="496"/>
      <c r="Y53" s="496"/>
      <c r="Z53" s="496"/>
      <c r="AA53" s="496"/>
      <c r="AB53" s="496"/>
      <c r="AC53" s="496"/>
      <c r="AD53" s="496"/>
      <c r="AE53" s="496"/>
      <c r="AF53" s="496"/>
      <c r="AG53" s="496"/>
      <c r="AH53" s="496"/>
    </row>
    <row r="54" spans="1:34" s="314" customFormat="1">
      <c r="A54" s="314" t="str">
        <f t="shared" si="2"/>
        <v>FT-UPSELC</v>
      </c>
      <c r="B54" s="495" t="str">
        <f>Commodities!$C$133</f>
        <v>ELCD</v>
      </c>
      <c r="C54" s="314" t="str">
        <f>Commodities!$C91</f>
        <v>UPSELC</v>
      </c>
      <c r="D54" s="495"/>
      <c r="E54" s="495"/>
      <c r="F54" s="4"/>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row>
    <row r="55" spans="1:34" s="314" customFormat="1">
      <c r="A55" s="314" t="str">
        <f t="shared" si="2"/>
        <v>FT-UPSGAS</v>
      </c>
      <c r="B55" s="495" t="str">
        <f>Commodities!$C$25</f>
        <v>GASNAT</v>
      </c>
      <c r="C55" s="314" t="str">
        <f>Commodities!$C92</f>
        <v>UPSGAS</v>
      </c>
      <c r="D55" s="495"/>
      <c r="E55" s="495"/>
      <c r="F55" s="4"/>
      <c r="G55" s="327"/>
      <c r="H55" s="327"/>
      <c r="I55" s="327"/>
      <c r="J55" s="327"/>
      <c r="K55" s="327"/>
      <c r="L55" s="327"/>
      <c r="M55" s="327"/>
      <c r="N55" s="327"/>
      <c r="O55" s="327"/>
      <c r="P55" s="327"/>
      <c r="Q55" s="327"/>
      <c r="R55" s="327"/>
      <c r="S55" s="327"/>
      <c r="T55" s="327"/>
      <c r="U55" s="327"/>
      <c r="V55" s="327"/>
      <c r="W55" s="327"/>
      <c r="X55" s="327"/>
      <c r="Y55" s="327"/>
      <c r="Z55" s="327"/>
      <c r="AA55" s="327"/>
      <c r="AB55" s="327"/>
      <c r="AC55" s="327"/>
      <c r="AD55" s="327"/>
      <c r="AE55" s="327"/>
      <c r="AF55" s="327"/>
      <c r="AG55" s="327"/>
      <c r="AH55" s="327"/>
    </row>
    <row r="56" spans="1:34" s="314" customFormat="1">
      <c r="A56" s="314" t="str">
        <f t="shared" si="2"/>
        <v>FT-UPSGSL</v>
      </c>
      <c r="B56" s="495" t="str">
        <f>Commodities!$C$49</f>
        <v>OILGSL</v>
      </c>
      <c r="C56" s="314" t="str">
        <f>Commodities!$C93</f>
        <v>UPSGSL</v>
      </c>
      <c r="D56" s="495"/>
      <c r="E56" s="495"/>
      <c r="F56" s="4"/>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row>
    <row r="57" spans="1:34" s="314" customFormat="1">
      <c r="A57" s="314" t="str">
        <f t="shared" si="2"/>
        <v>FT-UPSHET</v>
      </c>
      <c r="B57" s="495" t="str">
        <f>Commodities!$C$134</f>
        <v>HETD</v>
      </c>
      <c r="C57" s="314" t="str">
        <f>Commodities!$C94</f>
        <v>UPSHET</v>
      </c>
      <c r="D57" s="495"/>
      <c r="E57" s="495"/>
      <c r="F57" s="4"/>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row>
    <row r="58" spans="1:34" s="314" customFormat="1">
      <c r="A58" s="314" t="str">
        <f t="shared" si="2"/>
        <v>FT-UPSHFO</v>
      </c>
      <c r="B58" s="495" t="str">
        <f>Commodities!$C$50</f>
        <v>OILHFO</v>
      </c>
      <c r="C58" s="314" t="str">
        <f>Commodities!$C95</f>
        <v>UPSHFO</v>
      </c>
      <c r="D58" s="495"/>
      <c r="E58" s="495"/>
      <c r="F58" s="4"/>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row>
    <row r="59" spans="1:34" s="314" customFormat="1">
      <c r="A59" s="314" t="str">
        <f t="shared" si="2"/>
        <v>FT-UPSKER</v>
      </c>
      <c r="B59" s="495" t="str">
        <f>Commodities!$C$51</f>
        <v>OILKER</v>
      </c>
      <c r="C59" s="314" t="str">
        <f>Commodities!$C96</f>
        <v>UPSKER</v>
      </c>
      <c r="D59" s="495"/>
      <c r="E59" s="495"/>
      <c r="F59" s="4"/>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row>
    <row r="60" spans="1:34" s="314" customFormat="1">
      <c r="A60" s="314" t="str">
        <f t="shared" si="2"/>
        <v>FT-UPSLPG</v>
      </c>
      <c r="B60" s="495" t="str">
        <f>Commodities!$C$52</f>
        <v>OILLPG</v>
      </c>
      <c r="C60" s="314" t="str">
        <f>Commodities!$C97</f>
        <v>UPSLPG</v>
      </c>
      <c r="D60" s="495"/>
      <c r="E60" s="495"/>
      <c r="F60" s="4"/>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row>
    <row r="61" spans="1:34" s="314" customFormat="1">
      <c r="A61" s="314" t="str">
        <f t="shared" si="2"/>
        <v>FT-UPSNAP</v>
      </c>
      <c r="B61" s="495" t="str">
        <f>Commodities!$C$53</f>
        <v>OILNAP</v>
      </c>
      <c r="C61" s="314" t="str">
        <f>Commodities!$C98</f>
        <v>UPSNAP</v>
      </c>
      <c r="D61" s="495"/>
      <c r="E61" s="495"/>
      <c r="F61" s="4"/>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row>
    <row r="62" spans="1:34" s="314" customFormat="1">
      <c r="A62" s="314" t="str">
        <f t="shared" si="2"/>
        <v>FT-UPSOIL</v>
      </c>
      <c r="B62" s="495" t="str">
        <f>Commodities!$C$27</f>
        <v>OILCRD</v>
      </c>
      <c r="C62" s="314" t="str">
        <f>Commodities!$C99</f>
        <v>UPSOIL</v>
      </c>
      <c r="D62" s="495" t="s">
        <v>660</v>
      </c>
      <c r="E62" s="495" t="s">
        <v>661</v>
      </c>
      <c r="F62" s="4">
        <v>2019</v>
      </c>
      <c r="G62" s="496">
        <v>1</v>
      </c>
      <c r="H62" s="496">
        <v>1</v>
      </c>
      <c r="I62" s="496">
        <v>1</v>
      </c>
      <c r="J62" s="496">
        <v>1</v>
      </c>
      <c r="K62" s="496">
        <v>1</v>
      </c>
      <c r="L62" s="496">
        <v>1</v>
      </c>
      <c r="M62" s="496">
        <v>1</v>
      </c>
      <c r="N62" s="496">
        <v>1</v>
      </c>
      <c r="O62" s="496">
        <v>1</v>
      </c>
      <c r="P62" s="496">
        <v>1</v>
      </c>
      <c r="Q62" s="496">
        <v>1</v>
      </c>
      <c r="R62" s="496">
        <v>1</v>
      </c>
      <c r="S62" s="496">
        <v>1</v>
      </c>
      <c r="T62" s="496">
        <v>1</v>
      </c>
      <c r="U62" s="496">
        <v>1</v>
      </c>
      <c r="V62" s="496">
        <v>1</v>
      </c>
      <c r="W62" s="496">
        <v>1</v>
      </c>
      <c r="X62" s="496">
        <v>1</v>
      </c>
      <c r="Y62" s="496">
        <v>1</v>
      </c>
      <c r="Z62" s="496">
        <v>1</v>
      </c>
      <c r="AA62" s="496">
        <v>1</v>
      </c>
      <c r="AB62" s="496">
        <v>1</v>
      </c>
      <c r="AC62" s="496">
        <v>1</v>
      </c>
      <c r="AD62" s="496">
        <v>1</v>
      </c>
      <c r="AE62" s="496">
        <v>1</v>
      </c>
      <c r="AF62" s="496">
        <v>1</v>
      </c>
      <c r="AG62" s="496">
        <v>1</v>
      </c>
      <c r="AH62" s="496">
        <v>1</v>
      </c>
    </row>
    <row r="63" spans="1:34" s="314" customFormat="1">
      <c r="B63" s="495" t="str">
        <f>Commodities!$C$26</f>
        <v>OILNGL</v>
      </c>
      <c r="D63" s="495" t="s">
        <v>660</v>
      </c>
      <c r="E63" s="495" t="s">
        <v>661</v>
      </c>
      <c r="F63" s="4">
        <v>2019</v>
      </c>
      <c r="G63" s="496">
        <v>1</v>
      </c>
      <c r="H63" s="496">
        <v>1</v>
      </c>
      <c r="I63" s="496">
        <v>1</v>
      </c>
      <c r="J63" s="496">
        <v>1</v>
      </c>
      <c r="K63" s="496">
        <v>1</v>
      </c>
      <c r="L63" s="496">
        <v>1</v>
      </c>
      <c r="M63" s="496">
        <v>1</v>
      </c>
      <c r="N63" s="496">
        <v>1</v>
      </c>
      <c r="O63" s="496">
        <v>1</v>
      </c>
      <c r="P63" s="496">
        <v>1</v>
      </c>
      <c r="Q63" s="496">
        <v>1</v>
      </c>
      <c r="R63" s="496">
        <v>1</v>
      </c>
      <c r="S63" s="496">
        <v>1</v>
      </c>
      <c r="T63" s="496">
        <v>1</v>
      </c>
      <c r="U63" s="496">
        <v>1</v>
      </c>
      <c r="V63" s="496">
        <v>1</v>
      </c>
      <c r="W63" s="496">
        <v>1</v>
      </c>
      <c r="X63" s="496">
        <v>1</v>
      </c>
      <c r="Y63" s="496">
        <v>1</v>
      </c>
      <c r="Z63" s="496">
        <v>1</v>
      </c>
      <c r="AA63" s="496">
        <v>1</v>
      </c>
      <c r="AB63" s="496">
        <v>1</v>
      </c>
      <c r="AC63" s="496">
        <v>1</v>
      </c>
      <c r="AD63" s="496">
        <v>1</v>
      </c>
      <c r="AE63" s="496">
        <v>1</v>
      </c>
      <c r="AF63" s="496">
        <v>1</v>
      </c>
      <c r="AG63" s="496">
        <v>1</v>
      </c>
      <c r="AH63" s="496">
        <v>1</v>
      </c>
    </row>
    <row r="64" spans="1:34" s="314" customFormat="1">
      <c r="A64" s="314" t="str">
        <f>A27</f>
        <v>FT-UPSOIL2</v>
      </c>
      <c r="B64" s="495" t="str">
        <f>Commodities!$C$55</f>
        <v>OILOPP</v>
      </c>
      <c r="C64" s="314" t="str">
        <f>Commodities!$C100</f>
        <v>UPSOIL2</v>
      </c>
      <c r="D64" s="495"/>
      <c r="E64" s="495"/>
      <c r="F64" s="4"/>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row>
    <row r="65" spans="1:34" s="314" customFormat="1">
      <c r="A65" s="314" t="str">
        <f>A28</f>
        <v>FT-UPSH2G</v>
      </c>
      <c r="B65" s="495" t="str">
        <f>Commodities!$C$57</f>
        <v>GASHH2UPS</v>
      </c>
      <c r="C65" s="314" t="str">
        <f>Commodities!C102</f>
        <v>UPSH2G</v>
      </c>
      <c r="D65" s="495" t="s">
        <v>660</v>
      </c>
      <c r="E65" s="495" t="s">
        <v>661</v>
      </c>
      <c r="F65" s="4">
        <v>2019</v>
      </c>
      <c r="G65" s="496">
        <v>1</v>
      </c>
      <c r="H65" s="496">
        <v>1</v>
      </c>
      <c r="I65" s="496">
        <v>1</v>
      </c>
      <c r="J65" s="496">
        <v>1</v>
      </c>
      <c r="K65" s="496">
        <v>1</v>
      </c>
      <c r="L65" s="496">
        <v>1</v>
      </c>
      <c r="M65" s="496">
        <v>1</v>
      </c>
      <c r="N65" s="496">
        <v>1</v>
      </c>
      <c r="O65" s="496">
        <v>1</v>
      </c>
      <c r="P65" s="496">
        <v>1</v>
      </c>
      <c r="Q65" s="496">
        <v>1</v>
      </c>
      <c r="R65" s="496">
        <v>1</v>
      </c>
      <c r="S65" s="496">
        <v>1</v>
      </c>
      <c r="T65" s="496">
        <v>1</v>
      </c>
      <c r="U65" s="496">
        <v>1</v>
      </c>
      <c r="V65" s="496">
        <v>1</v>
      </c>
      <c r="W65" s="496">
        <v>1</v>
      </c>
      <c r="X65" s="496">
        <v>1</v>
      </c>
      <c r="Y65" s="496">
        <v>1</v>
      </c>
      <c r="Z65" s="496">
        <v>1</v>
      </c>
      <c r="AA65" s="496">
        <v>1</v>
      </c>
      <c r="AB65" s="496">
        <v>1</v>
      </c>
      <c r="AC65" s="496">
        <v>1</v>
      </c>
      <c r="AD65" s="496">
        <v>1</v>
      </c>
      <c r="AE65" s="496">
        <v>1</v>
      </c>
      <c r="AF65" s="496">
        <v>1</v>
      </c>
      <c r="AG65" s="496">
        <v>1</v>
      </c>
      <c r="AH65" s="496">
        <v>1</v>
      </c>
    </row>
    <row r="66" spans="1:34" s="314" customFormat="1">
      <c r="B66" s="495" t="str">
        <f>Commodities!$C$58</f>
        <v>H2G</v>
      </c>
      <c r="D66" s="495" t="s">
        <v>660</v>
      </c>
      <c r="E66" s="495" t="s">
        <v>661</v>
      </c>
      <c r="F66" s="4">
        <v>2019</v>
      </c>
      <c r="G66" s="496">
        <v>1</v>
      </c>
      <c r="H66" s="496">
        <v>1</v>
      </c>
      <c r="I66" s="496">
        <v>1</v>
      </c>
      <c r="J66" s="496">
        <v>1</v>
      </c>
      <c r="K66" s="496">
        <v>1</v>
      </c>
      <c r="L66" s="496">
        <v>1</v>
      </c>
      <c r="M66" s="496">
        <v>1</v>
      </c>
      <c r="N66" s="496">
        <v>1</v>
      </c>
      <c r="O66" s="496">
        <v>1</v>
      </c>
      <c r="P66" s="496">
        <v>1</v>
      </c>
      <c r="Q66" s="496">
        <v>1</v>
      </c>
      <c r="R66" s="496">
        <v>1</v>
      </c>
      <c r="S66" s="496">
        <v>1</v>
      </c>
      <c r="T66" s="496">
        <v>1</v>
      </c>
      <c r="U66" s="496">
        <v>1</v>
      </c>
      <c r="V66" s="496">
        <v>1</v>
      </c>
      <c r="W66" s="496">
        <v>1</v>
      </c>
      <c r="X66" s="496">
        <v>1</v>
      </c>
      <c r="Y66" s="496">
        <v>1</v>
      </c>
      <c r="Z66" s="496">
        <v>1</v>
      </c>
      <c r="AA66" s="496">
        <v>1</v>
      </c>
      <c r="AB66" s="496">
        <v>1</v>
      </c>
      <c r="AC66" s="496">
        <v>1</v>
      </c>
      <c r="AD66" s="496">
        <v>1</v>
      </c>
      <c r="AE66" s="496">
        <v>1</v>
      </c>
      <c r="AF66" s="496">
        <v>1</v>
      </c>
      <c r="AG66" s="496">
        <v>1</v>
      </c>
      <c r="AH66" s="496">
        <v>1</v>
      </c>
    </row>
    <row r="67" spans="1:34" s="314" customFormat="1">
      <c r="B67" s="495" t="str">
        <f>Commodities!C59</f>
        <v>GASHH2BYPRD</v>
      </c>
      <c r="D67" s="495" t="s">
        <v>660</v>
      </c>
      <c r="E67" s="495" t="s">
        <v>661</v>
      </c>
      <c r="F67" s="4">
        <v>2019</v>
      </c>
      <c r="G67" s="496">
        <v>1</v>
      </c>
      <c r="H67" s="496">
        <v>1</v>
      </c>
      <c r="I67" s="496">
        <v>1</v>
      </c>
      <c r="J67" s="496">
        <v>1</v>
      </c>
      <c r="K67" s="496">
        <v>1</v>
      </c>
      <c r="L67" s="496">
        <v>1</v>
      </c>
      <c r="M67" s="496">
        <v>1</v>
      </c>
      <c r="N67" s="496">
        <v>1</v>
      </c>
      <c r="O67" s="496">
        <v>1</v>
      </c>
      <c r="P67" s="496">
        <v>1</v>
      </c>
      <c r="Q67" s="496">
        <v>1</v>
      </c>
      <c r="R67" s="496">
        <v>1</v>
      </c>
      <c r="S67" s="496">
        <v>1</v>
      </c>
      <c r="T67" s="496">
        <v>1</v>
      </c>
      <c r="U67" s="496">
        <v>1</v>
      </c>
      <c r="V67" s="496">
        <v>1</v>
      </c>
      <c r="W67" s="496">
        <v>1</v>
      </c>
      <c r="X67" s="496">
        <v>1</v>
      </c>
      <c r="Y67" s="496">
        <v>1</v>
      </c>
      <c r="Z67" s="496">
        <v>1</v>
      </c>
      <c r="AA67" s="496">
        <v>1</v>
      </c>
      <c r="AB67" s="496">
        <v>1</v>
      </c>
      <c r="AC67" s="496">
        <v>1</v>
      </c>
      <c r="AD67" s="496">
        <v>1</v>
      </c>
      <c r="AE67" s="496">
        <v>1</v>
      </c>
      <c r="AF67" s="496">
        <v>1</v>
      </c>
      <c r="AG67" s="496">
        <v>1</v>
      </c>
      <c r="AH67" s="496">
        <v>1</v>
      </c>
    </row>
    <row r="68" spans="1:34" s="314" customFormat="1">
      <c r="A68" s="323" t="str">
        <f>A29</f>
        <v>FT-UPSWAS</v>
      </c>
      <c r="B68" s="497" t="str">
        <f>Commodities!$C$135</f>
        <v>WASTEN</v>
      </c>
      <c r="C68" s="323" t="str">
        <f>Commodities!$C101</f>
        <v>UPSWAS</v>
      </c>
      <c r="D68" s="497"/>
      <c r="E68" s="497"/>
      <c r="F68" s="259"/>
      <c r="G68" s="498"/>
      <c r="H68" s="498"/>
      <c r="I68" s="498"/>
      <c r="J68" s="498"/>
      <c r="K68" s="498"/>
      <c r="L68" s="498"/>
      <c r="M68" s="498"/>
      <c r="N68" s="498"/>
      <c r="O68" s="498"/>
      <c r="P68" s="498"/>
      <c r="Q68" s="498"/>
      <c r="R68" s="498"/>
      <c r="S68" s="498"/>
      <c r="T68" s="498"/>
      <c r="U68" s="498"/>
      <c r="V68" s="498"/>
      <c r="W68" s="498"/>
      <c r="X68" s="498"/>
      <c r="Y68" s="498"/>
      <c r="Z68" s="498"/>
      <c r="AA68" s="498"/>
      <c r="AB68" s="498"/>
      <c r="AC68" s="498"/>
      <c r="AD68" s="498"/>
      <c r="AE68" s="498"/>
      <c r="AF68" s="498"/>
      <c r="AG68" s="498"/>
      <c r="AH68" s="49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6B2BC-1A1C-46EA-AA42-C08B094EC125}">
  <sheetPr>
    <tabColor theme="9" tint="0.39997558519241921"/>
  </sheetPr>
  <dimension ref="A1:AQ60"/>
  <sheetViews>
    <sheetView topLeftCell="AA33" workbookViewId="0">
      <selection activeCell="N27" sqref="N27"/>
    </sheetView>
  </sheetViews>
  <sheetFormatPr defaultRowHeight="15.6"/>
  <cols>
    <col min="1" max="1" width="33.3984375" bestFit="1" customWidth="1"/>
    <col min="2" max="2" width="56.69921875" bestFit="1" customWidth="1"/>
    <col min="3" max="3" width="10.19921875" bestFit="1" customWidth="1"/>
    <col min="4" max="4" width="9.5" bestFit="1" customWidth="1"/>
    <col min="5" max="5" width="7.3984375" bestFit="1" customWidth="1"/>
    <col min="6" max="6" width="4.8984375" bestFit="1" customWidth="1"/>
    <col min="7" max="8" width="12.3984375" bestFit="1" customWidth="1"/>
    <col min="9" max="10" width="13.5" bestFit="1" customWidth="1"/>
    <col min="11" max="12" width="14.5" bestFit="1" customWidth="1"/>
    <col min="13" max="13" width="11" bestFit="1" customWidth="1"/>
    <col min="14" max="14" width="10.3984375" bestFit="1" customWidth="1"/>
    <col min="15" max="16" width="13.5" bestFit="1" customWidth="1"/>
    <col min="17" max="17" width="10.8984375" bestFit="1" customWidth="1"/>
    <col min="18" max="19" width="13.5" bestFit="1" customWidth="1"/>
    <col min="20" max="20" width="10.3984375" bestFit="1" customWidth="1"/>
    <col min="21" max="21" width="13.5" bestFit="1" customWidth="1"/>
    <col min="22" max="22" width="12.3984375" bestFit="1" customWidth="1"/>
    <col min="23" max="23" width="13.5" bestFit="1" customWidth="1"/>
    <col min="24" max="24" width="12.3984375" bestFit="1" customWidth="1"/>
    <col min="25" max="25" width="13.5" bestFit="1" customWidth="1"/>
    <col min="26" max="26" width="10.8984375" bestFit="1" customWidth="1"/>
    <col min="27" max="29" width="12.3984375" bestFit="1" customWidth="1"/>
    <col min="30" max="30" width="10.8984375" bestFit="1" customWidth="1"/>
    <col min="31" max="31" width="10.3984375" bestFit="1" customWidth="1"/>
    <col min="32" max="32" width="13.5" bestFit="1" customWidth="1"/>
    <col min="33" max="33" width="10.3984375" bestFit="1" customWidth="1"/>
    <col min="34" max="34" width="12.3984375" bestFit="1" customWidth="1"/>
    <col min="35" max="35" width="17.3984375" bestFit="1" customWidth="1"/>
    <col min="36" max="36" width="21.59765625" bestFit="1" customWidth="1"/>
    <col min="37" max="37" width="15.3984375" bestFit="1" customWidth="1"/>
    <col min="38" max="38" width="48.3984375" bestFit="1" customWidth="1"/>
    <col min="39" max="39" width="6" bestFit="1" customWidth="1"/>
    <col min="40" max="40" width="6.8984375" bestFit="1" customWidth="1"/>
    <col min="41" max="41" width="7.3984375" bestFit="1" customWidth="1"/>
    <col min="42" max="42" width="9.09765625" bestFit="1" customWidth="1"/>
    <col min="43" max="43" width="6.8984375" bestFit="1" customWidth="1"/>
  </cols>
  <sheetData>
    <row r="1" spans="1:43" s="4" customFormat="1" ht="23.4">
      <c r="A1" s="253" t="s">
        <v>662</v>
      </c>
    </row>
    <row r="2" spans="1:43" s="4" customFormat="1" ht="18">
      <c r="A2" s="8" t="s">
        <v>663</v>
      </c>
      <c r="B2" s="4" t="str">
        <f>Legend!B164&amp;" &amp; "&amp;Legend!B165</f>
        <v>S2 &amp; S3</v>
      </c>
    </row>
    <row r="3" spans="1:43" s="4" customFormat="1"/>
    <row r="4" spans="1:43" s="4" customFormat="1" ht="18">
      <c r="A4" s="8" t="s">
        <v>664</v>
      </c>
      <c r="G4"/>
      <c r="H4"/>
      <c r="K4" s="254"/>
      <c r="AJ4" s="8" t="s">
        <v>665</v>
      </c>
    </row>
    <row r="5" spans="1:43" s="4" customFormat="1" ht="18">
      <c r="A5" s="8"/>
      <c r="G5"/>
      <c r="H5"/>
      <c r="K5" s="254"/>
      <c r="AJ5" s="8"/>
    </row>
    <row r="6" spans="1:43" s="4" customFormat="1">
      <c r="A6" s="255" t="s">
        <v>625</v>
      </c>
      <c r="B6" s="255"/>
      <c r="C6"/>
      <c r="D6"/>
      <c r="E6"/>
      <c r="F6"/>
      <c r="G6"/>
      <c r="H6"/>
      <c r="I6"/>
      <c r="J6"/>
      <c r="K6"/>
      <c r="L6"/>
      <c r="M6"/>
      <c r="N6"/>
      <c r="O6"/>
      <c r="P6"/>
      <c r="Q6"/>
      <c r="R6"/>
      <c r="S6"/>
      <c r="T6"/>
      <c r="U6"/>
      <c r="V6"/>
      <c r="W6"/>
      <c r="X6"/>
      <c r="Y6"/>
      <c r="Z6"/>
      <c r="AA6"/>
      <c r="AB6"/>
      <c r="AC6"/>
      <c r="AD6"/>
      <c r="AE6"/>
      <c r="AF6"/>
      <c r="AG6"/>
      <c r="AH6"/>
      <c r="AI6"/>
      <c r="AK6" s="256" t="s">
        <v>626</v>
      </c>
      <c r="AL6" s="493"/>
      <c r="AM6" s="493"/>
      <c r="AN6" s="493"/>
      <c r="AO6" s="493"/>
      <c r="AP6" s="493"/>
      <c r="AQ6" s="493"/>
    </row>
    <row r="7" spans="1:43" s="4" customFormat="1" ht="16.2" thickBot="1">
      <c r="A7" s="11" t="s">
        <v>627</v>
      </c>
      <c r="B7" s="11" t="s">
        <v>666</v>
      </c>
      <c r="C7" s="240" t="s">
        <v>653</v>
      </c>
      <c r="D7" s="10" t="s">
        <v>654</v>
      </c>
      <c r="E7" s="10" t="s">
        <v>376</v>
      </c>
      <c r="F7" s="10" t="s">
        <v>655</v>
      </c>
      <c r="G7" s="10" t="s">
        <v>172</v>
      </c>
      <c r="H7" s="10" t="s">
        <v>175</v>
      </c>
      <c r="I7" s="10" t="s">
        <v>178</v>
      </c>
      <c r="J7" s="10" t="s">
        <v>181</v>
      </c>
      <c r="K7" s="10" t="s">
        <v>184</v>
      </c>
      <c r="L7" s="10" t="s">
        <v>187</v>
      </c>
      <c r="M7" s="10" t="s">
        <v>190</v>
      </c>
      <c r="N7" s="10" t="s">
        <v>193</v>
      </c>
      <c r="O7" s="10" t="s">
        <v>196</v>
      </c>
      <c r="P7" s="10" t="s">
        <v>198</v>
      </c>
      <c r="Q7" s="10" t="s">
        <v>200</v>
      </c>
      <c r="R7" s="10" t="s">
        <v>202</v>
      </c>
      <c r="S7" s="10" t="s">
        <v>205</v>
      </c>
      <c r="T7" s="10" t="s">
        <v>208</v>
      </c>
      <c r="U7" s="10" t="s">
        <v>211</v>
      </c>
      <c r="V7" s="10" t="s">
        <v>214</v>
      </c>
      <c r="W7" s="10" t="s">
        <v>217</v>
      </c>
      <c r="X7" s="10" t="s">
        <v>220</v>
      </c>
      <c r="Y7" s="10" t="s">
        <v>223</v>
      </c>
      <c r="Z7" s="10" t="s">
        <v>225</v>
      </c>
      <c r="AA7" s="10" t="s">
        <v>227</v>
      </c>
      <c r="AB7" s="10" t="s">
        <v>230</v>
      </c>
      <c r="AC7" s="10" t="s">
        <v>233</v>
      </c>
      <c r="AD7" s="10" t="s">
        <v>236</v>
      </c>
      <c r="AE7" s="10" t="s">
        <v>238</v>
      </c>
      <c r="AF7" s="10" t="s">
        <v>240</v>
      </c>
      <c r="AG7" s="10" t="s">
        <v>243</v>
      </c>
      <c r="AH7" s="10" t="s">
        <v>245</v>
      </c>
      <c r="AJ7" s="10" t="s">
        <v>633</v>
      </c>
      <c r="AK7" s="10" t="s">
        <v>627</v>
      </c>
      <c r="AL7" s="10" t="s">
        <v>634</v>
      </c>
      <c r="AM7" s="10" t="s">
        <v>635</v>
      </c>
      <c r="AN7" s="10" t="s">
        <v>636</v>
      </c>
      <c r="AO7" s="10" t="s">
        <v>637</v>
      </c>
      <c r="AP7" s="10" t="s">
        <v>638</v>
      </c>
      <c r="AQ7" s="10" t="s">
        <v>667</v>
      </c>
    </row>
    <row r="8" spans="1:43" s="4" customFormat="1" ht="55.2">
      <c r="A8" s="241" t="s">
        <v>639</v>
      </c>
      <c r="B8" s="241" t="s">
        <v>668</v>
      </c>
      <c r="C8" s="241" t="s">
        <v>657</v>
      </c>
      <c r="D8" s="241" t="s">
        <v>669</v>
      </c>
      <c r="E8" s="241"/>
      <c r="F8" s="241"/>
      <c r="G8" s="241" t="s">
        <v>173</v>
      </c>
      <c r="H8" s="241" t="s">
        <v>176</v>
      </c>
      <c r="I8" s="241" t="s">
        <v>179</v>
      </c>
      <c r="J8" s="241" t="s">
        <v>182</v>
      </c>
      <c r="K8" s="241" t="s">
        <v>185</v>
      </c>
      <c r="L8" s="241" t="s">
        <v>188</v>
      </c>
      <c r="M8" s="241" t="s">
        <v>191</v>
      </c>
      <c r="N8" s="241" t="s">
        <v>194</v>
      </c>
      <c r="O8" s="241" t="s">
        <v>197</v>
      </c>
      <c r="P8" s="241" t="s">
        <v>199</v>
      </c>
      <c r="Q8" s="241" t="s">
        <v>201</v>
      </c>
      <c r="R8" s="241" t="s">
        <v>203</v>
      </c>
      <c r="S8" s="241" t="s">
        <v>206</v>
      </c>
      <c r="T8" s="241" t="s">
        <v>209</v>
      </c>
      <c r="U8" s="241" t="s">
        <v>212</v>
      </c>
      <c r="V8" s="241" t="s">
        <v>215</v>
      </c>
      <c r="W8" s="241" t="s">
        <v>218</v>
      </c>
      <c r="X8" s="241" t="s">
        <v>221</v>
      </c>
      <c r="Y8" s="241" t="s">
        <v>224</v>
      </c>
      <c r="Z8" s="241" t="s">
        <v>226</v>
      </c>
      <c r="AA8" s="241" t="s">
        <v>228</v>
      </c>
      <c r="AB8" s="241" t="s">
        <v>231</v>
      </c>
      <c r="AC8" s="241" t="s">
        <v>234</v>
      </c>
      <c r="AD8" s="241" t="s">
        <v>237</v>
      </c>
      <c r="AE8" s="241" t="s">
        <v>239</v>
      </c>
      <c r="AF8" s="241" t="s">
        <v>241</v>
      </c>
      <c r="AG8" s="241" t="s">
        <v>1172</v>
      </c>
      <c r="AH8" s="241" t="s">
        <v>246</v>
      </c>
      <c r="AJ8" s="242" t="s">
        <v>670</v>
      </c>
      <c r="AK8" s="242" t="s">
        <v>644</v>
      </c>
      <c r="AL8" s="242" t="s">
        <v>23</v>
      </c>
      <c r="AM8" s="242" t="s">
        <v>645</v>
      </c>
      <c r="AN8" s="242" t="s">
        <v>646</v>
      </c>
      <c r="AO8" s="242" t="s">
        <v>647</v>
      </c>
      <c r="AP8" s="241" t="s">
        <v>648</v>
      </c>
      <c r="AQ8" s="241" t="s">
        <v>671</v>
      </c>
    </row>
    <row r="9" spans="1:43" s="4" customFormat="1">
      <c r="A9" s="257" t="s">
        <v>649</v>
      </c>
      <c r="B9" s="257"/>
      <c r="C9" s="257"/>
      <c r="D9" s="257"/>
      <c r="E9" s="257"/>
      <c r="F9" s="257"/>
      <c r="G9" s="257" t="s">
        <v>112</v>
      </c>
      <c r="H9" s="257" t="s">
        <v>112</v>
      </c>
      <c r="I9" s="257" t="s">
        <v>112</v>
      </c>
      <c r="J9" s="257" t="s">
        <v>112</v>
      </c>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J9" s="257" t="s">
        <v>629</v>
      </c>
      <c r="AK9" s="257"/>
      <c r="AL9" s="257"/>
      <c r="AM9" s="257"/>
      <c r="AN9" s="257"/>
      <c r="AO9" s="257"/>
      <c r="AP9" s="257"/>
      <c r="AQ9" s="257"/>
    </row>
    <row r="10" spans="1:43">
      <c r="A10" s="175" t="str">
        <f>IF(AK10="",AJ10,AK10)</f>
        <v>*Non-renewables</v>
      </c>
      <c r="C10" s="4"/>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J10" s="175" t="s">
        <v>383</v>
      </c>
    </row>
    <row r="11" spans="1:43" s="4" customFormat="1">
      <c r="A11" s="4" t="str">
        <f>IF(AK11="",AJ11,AK11)</f>
        <v>MIN-RSVCOA1</v>
      </c>
      <c r="B11" s="4" t="str">
        <f>IF($AK11="","",AL11)</f>
        <v>UPS Reserves of Coal - Reserve - Supply curve step 1</v>
      </c>
      <c r="C11" s="4" t="str">
        <f>Commodities!$C$8</f>
        <v>RSVCOA</v>
      </c>
      <c r="D11" s="4" t="s">
        <v>672</v>
      </c>
      <c r="F11" s="4">
        <v>2019</v>
      </c>
      <c r="G11" s="258">
        <f>SUMIFS('Key inputs_Reserves'!$C$9:$C$36,'Key inputs_Reserves'!$A$9:$A$36,G$7)*1/3</f>
        <v>27166.462780680788</v>
      </c>
      <c r="H11" s="258">
        <f>SUMIFS('Key inputs_Reserves'!$C$9:$C$36,'Key inputs_Reserves'!$A$9:$A$36,H$7)*1/3</f>
        <v>0</v>
      </c>
      <c r="I11" s="258">
        <f>SUMIFS('Key inputs_Reserves'!$C$9:$C$36,'Key inputs_Reserves'!$A$9:$A$36,I$7)*1/3</f>
        <v>7218.884433102442</v>
      </c>
      <c r="J11" s="258">
        <f>SUMIFS('Key inputs_Reserves'!$C$9:$C$36,'Key inputs_Reserves'!$A$9:$A$36,J$7)*1/3</f>
        <v>86625</v>
      </c>
      <c r="K11" s="258">
        <f>SUMIFS('Key inputs_Reserves'!$C$9:$C$36,'Key inputs_Reserves'!$A$9:$A$36,K$7)*1/3</f>
        <v>621200</v>
      </c>
      <c r="L11" s="258">
        <f>SUMIFS('Key inputs_Reserves'!$C$9:$C$36,'Key inputs_Reserves'!$A$9:$A$36,L$7)*1/3</f>
        <v>247158.33333333334</v>
      </c>
      <c r="M11" s="258">
        <f>SUMIFS('Key inputs_Reserves'!$C$9:$C$36,'Key inputs_Reserves'!$A$9:$A$36,M$7)*1/3</f>
        <v>9681.4207774412243</v>
      </c>
      <c r="N11" s="258">
        <f>SUMIFS('Key inputs_Reserves'!$C$9:$C$36,'Key inputs_Reserves'!$A$9:$A$36,N$7)*1/3</f>
        <v>3885.2458892254435</v>
      </c>
      <c r="O11" s="258">
        <f>SUMIFS('Key inputs_Reserves'!$C$9:$C$36,'Key inputs_Reserves'!$A$9:$A$36,O$7)*1/3</f>
        <v>12891.666666666666</v>
      </c>
      <c r="P11" s="258">
        <f>SUMIFS('Key inputs_Reserves'!$C$9:$C$36,'Key inputs_Reserves'!$A$9:$A$36,P$7)*1/3</f>
        <v>36216.666666666664</v>
      </c>
      <c r="Q11" s="258">
        <f>SUMIFS('Key inputs_Reserves'!$C$9:$C$36,'Key inputs_Reserves'!$A$9:$A$36,Q$7)*1/3</f>
        <v>137.22404028028544</v>
      </c>
      <c r="R11" s="258">
        <f>SUMIFS('Key inputs_Reserves'!$C$9:$C$36,'Key inputs_Reserves'!$A$9:$A$36,R$7)*1/3</f>
        <v>1125575</v>
      </c>
      <c r="S11" s="258">
        <f>SUMIFS('Key inputs_Reserves'!$C$9:$C$36,'Key inputs_Reserves'!$A$9:$A$36,S$7)*1/3</f>
        <v>270341.66666666669</v>
      </c>
      <c r="T11" s="258">
        <f>SUMIFS('Key inputs_Reserves'!$C$9:$C$36,'Key inputs_Reserves'!$A$9:$A$36,T$7)*1/3</f>
        <v>9458.3333333333339</v>
      </c>
      <c r="U11" s="258">
        <f>SUMIFS('Key inputs_Reserves'!$C$9:$C$36,'Key inputs_Reserves'!$A$9:$A$36,U$7)*1/3</f>
        <v>200750</v>
      </c>
      <c r="V11" s="258">
        <f>SUMIFS('Key inputs_Reserves'!$C$9:$C$36,'Key inputs_Reserves'!$A$9:$A$36,V$7)*1/3</f>
        <v>7233.3333333333348</v>
      </c>
      <c r="W11" s="258">
        <f>SUMIFS('Key inputs_Reserves'!$C$9:$C$36,'Key inputs_Reserves'!$A$9:$A$36,W$7)*1/3</f>
        <v>0</v>
      </c>
      <c r="X11" s="258">
        <f>SUMIFS('Key inputs_Reserves'!$C$9:$C$36,'Key inputs_Reserves'!$A$9:$A$36,X$7)*1/3</f>
        <v>218808.33333333328</v>
      </c>
      <c r="Y11" s="258">
        <f>SUMIFS('Key inputs_Reserves'!$C$9:$C$36,'Key inputs_Reserves'!$A$9:$A$36,Y$7)*1/3</f>
        <v>883158.33333333337</v>
      </c>
      <c r="Z11" s="258">
        <f>SUMIFS('Key inputs_Reserves'!$C$9:$C$36,'Key inputs_Reserves'!$A$9:$A$36,Z$7)*1/3</f>
        <v>2833.3333333333326</v>
      </c>
      <c r="AA11" s="258">
        <f>SUMIFS('Key inputs_Reserves'!$C$9:$C$36,'Key inputs_Reserves'!$A$9:$A$36,AA$7)*1/3</f>
        <v>58771.10929305305</v>
      </c>
      <c r="AB11" s="258">
        <f>SUMIFS('Key inputs_Reserves'!$C$9:$C$36,'Key inputs_Reserves'!$A$9:$A$36,AB$7)*1/3</f>
        <v>9595.3185443839648</v>
      </c>
      <c r="AC11" s="258">
        <f>SUMIFS('Key inputs_Reserves'!$C$9:$C$36,'Key inputs_Reserves'!$A$9:$A$36,AC$7)*1/3</f>
        <v>5013.0147889493683</v>
      </c>
      <c r="AD11" s="258">
        <f>SUMIFS('Key inputs_Reserves'!$C$9:$C$36,'Key inputs_Reserves'!$A$9:$A$36,AD$7)*1/3</f>
        <v>9666.6666666666661</v>
      </c>
      <c r="AE11" s="258">
        <f>SUMIFS('Key inputs_Reserves'!$C$9:$C$36,'Key inputs_Reserves'!$A$9:$A$36,AE$7)*1/3</f>
        <v>2081.3194528834342</v>
      </c>
      <c r="AF11" s="258">
        <f>SUMIFS('Key inputs_Reserves'!$C$9:$C$36,'Key inputs_Reserves'!$A$9:$A$36,AF$7)*1/3</f>
        <v>597658.33333333337</v>
      </c>
      <c r="AG11" s="258">
        <f>SUMIFS('Key inputs_Reserves'!$C$9:$C$36,'Key inputs_Reserves'!$A$9:$A$36,AG$7)*1/3</f>
        <v>2716.6666666666665</v>
      </c>
      <c r="AH11" s="258">
        <f>SUMIFS('Key inputs_Reserves'!$C$9:$C$36,'Key inputs_Reserves'!$A$9:$A$36,AH$7)*1/3</f>
        <v>1824483.3333333333</v>
      </c>
      <c r="AJ11" s="4" t="str">
        <f>IF($A11="*","*","MIN")</f>
        <v>MIN</v>
      </c>
      <c r="AK11" t="str">
        <f>"MIN-"&amp;C11&amp;"1"</f>
        <v>MIN-RSVCOA1</v>
      </c>
      <c r="AL11" t="str">
        <f>"UPS Reserves of "&amp;Commodities!$D$8 &amp; " - Supply curve step 1"</f>
        <v>UPS Reserves of Coal - Reserve - Supply curve step 1</v>
      </c>
      <c r="AM11" s="4" t="s">
        <v>112</v>
      </c>
    </row>
    <row r="12" spans="1:43" s="4" customFormat="1">
      <c r="A12" s="4" t="str">
        <f t="shared" ref="A12:A30" si="0">IF(AK12="",AJ12,AK12)</f>
        <v>MIN-RSVCOA2</v>
      </c>
      <c r="B12" s="4" t="str">
        <f t="shared" ref="B12:B30" si="1">IF($AK12="","",AL12)</f>
        <v>UPS Reserves of Coal - Reserve - Supply curve step 2</v>
      </c>
      <c r="C12" s="4" t="str">
        <f>Commodities!$C$8</f>
        <v>RSVCOA</v>
      </c>
      <c r="D12" s="4" t="s">
        <v>672</v>
      </c>
      <c r="F12" s="4">
        <v>2019</v>
      </c>
      <c r="G12" s="258">
        <f>SUMIFS('Key inputs_Reserves'!$C$9:$C$36,'Key inputs_Reserves'!$A$9:$A$36,G$7)*1/3</f>
        <v>27166.462780680788</v>
      </c>
      <c r="H12" s="258">
        <f>SUMIFS('Key inputs_Reserves'!$C$9:$C$36,'Key inputs_Reserves'!$A$9:$A$36,H$7)*1/3</f>
        <v>0</v>
      </c>
      <c r="I12" s="258">
        <f>SUMIFS('Key inputs_Reserves'!$C$9:$C$36,'Key inputs_Reserves'!$A$9:$A$36,I$7)*1/3</f>
        <v>7218.884433102442</v>
      </c>
      <c r="J12" s="258">
        <f>SUMIFS('Key inputs_Reserves'!$C$9:$C$36,'Key inputs_Reserves'!$A$9:$A$36,J$7)*1/3</f>
        <v>86625</v>
      </c>
      <c r="K12" s="258">
        <f>SUMIFS('Key inputs_Reserves'!$C$9:$C$36,'Key inputs_Reserves'!$A$9:$A$36,K$7)*1/3</f>
        <v>621200</v>
      </c>
      <c r="L12" s="258">
        <f>SUMIFS('Key inputs_Reserves'!$C$9:$C$36,'Key inputs_Reserves'!$A$9:$A$36,L$7)*1/3</f>
        <v>247158.33333333334</v>
      </c>
      <c r="M12" s="258">
        <f>SUMIFS('Key inputs_Reserves'!$C$9:$C$36,'Key inputs_Reserves'!$A$9:$A$36,M$7)*1/3</f>
        <v>9681.4207774412243</v>
      </c>
      <c r="N12" s="258">
        <f>SUMIFS('Key inputs_Reserves'!$C$9:$C$36,'Key inputs_Reserves'!$A$9:$A$36,N$7)*1/3</f>
        <v>3885.2458892254435</v>
      </c>
      <c r="O12" s="258">
        <f>SUMIFS('Key inputs_Reserves'!$C$9:$C$36,'Key inputs_Reserves'!$A$9:$A$36,O$7)*1/3</f>
        <v>12891.666666666666</v>
      </c>
      <c r="P12" s="258">
        <f>SUMIFS('Key inputs_Reserves'!$C$9:$C$36,'Key inputs_Reserves'!$A$9:$A$36,P$7)*1/3</f>
        <v>36216.666666666664</v>
      </c>
      <c r="Q12" s="258">
        <f>SUMIFS('Key inputs_Reserves'!$C$9:$C$36,'Key inputs_Reserves'!$A$9:$A$36,Q$7)*1/3</f>
        <v>137.22404028028544</v>
      </c>
      <c r="R12" s="258">
        <f>SUMIFS('Key inputs_Reserves'!$C$9:$C$36,'Key inputs_Reserves'!$A$9:$A$36,R$7)*1/3</f>
        <v>1125575</v>
      </c>
      <c r="S12" s="258">
        <f>SUMIFS('Key inputs_Reserves'!$C$9:$C$36,'Key inputs_Reserves'!$A$9:$A$36,S$7)*1/3</f>
        <v>270341.66666666669</v>
      </c>
      <c r="T12" s="258">
        <f>SUMIFS('Key inputs_Reserves'!$C$9:$C$36,'Key inputs_Reserves'!$A$9:$A$36,T$7)*1/3</f>
        <v>9458.3333333333339</v>
      </c>
      <c r="U12" s="258">
        <f>SUMIFS('Key inputs_Reserves'!$C$9:$C$36,'Key inputs_Reserves'!$A$9:$A$36,U$7)*1/3</f>
        <v>200750</v>
      </c>
      <c r="V12" s="258">
        <f>SUMIFS('Key inputs_Reserves'!$C$9:$C$36,'Key inputs_Reserves'!$A$9:$A$36,V$7)*1/3</f>
        <v>7233.3333333333348</v>
      </c>
      <c r="W12" s="258">
        <f>SUMIFS('Key inputs_Reserves'!$C$9:$C$36,'Key inputs_Reserves'!$A$9:$A$36,W$7)*1/3</f>
        <v>0</v>
      </c>
      <c r="X12" s="258">
        <f>SUMIFS('Key inputs_Reserves'!$C$9:$C$36,'Key inputs_Reserves'!$A$9:$A$36,X$7)*1/3</f>
        <v>218808.33333333328</v>
      </c>
      <c r="Y12" s="258">
        <f>SUMIFS('Key inputs_Reserves'!$C$9:$C$36,'Key inputs_Reserves'!$A$9:$A$36,Y$7)*1/3</f>
        <v>883158.33333333337</v>
      </c>
      <c r="Z12" s="258">
        <f>SUMIFS('Key inputs_Reserves'!$C$9:$C$36,'Key inputs_Reserves'!$A$9:$A$36,Z$7)*1/3</f>
        <v>2833.3333333333326</v>
      </c>
      <c r="AA12" s="258">
        <f>SUMIFS('Key inputs_Reserves'!$C$9:$C$36,'Key inputs_Reserves'!$A$9:$A$36,AA$7)*1/3</f>
        <v>58771.10929305305</v>
      </c>
      <c r="AB12" s="258">
        <f>SUMIFS('Key inputs_Reserves'!$C$9:$C$36,'Key inputs_Reserves'!$A$9:$A$36,AB$7)*1/3</f>
        <v>9595.3185443839648</v>
      </c>
      <c r="AC12" s="258">
        <f>SUMIFS('Key inputs_Reserves'!$C$9:$C$36,'Key inputs_Reserves'!$A$9:$A$36,AC$7)*1/3</f>
        <v>5013.0147889493683</v>
      </c>
      <c r="AD12" s="258">
        <f>SUMIFS('Key inputs_Reserves'!$C$9:$C$36,'Key inputs_Reserves'!$A$9:$A$36,AD$7)*1/3</f>
        <v>9666.6666666666661</v>
      </c>
      <c r="AE12" s="258">
        <f>SUMIFS('Key inputs_Reserves'!$C$9:$C$36,'Key inputs_Reserves'!$A$9:$A$36,AE$7)*1/3</f>
        <v>2081.3194528834342</v>
      </c>
      <c r="AF12" s="258">
        <f>SUMIFS('Key inputs_Reserves'!$C$9:$C$36,'Key inputs_Reserves'!$A$9:$A$36,AF$7)*1/3</f>
        <v>597658.33333333337</v>
      </c>
      <c r="AG12" s="258">
        <f>SUMIFS('Key inputs_Reserves'!$C$9:$C$36,'Key inputs_Reserves'!$A$9:$A$36,AG$7)*1/3</f>
        <v>2716.6666666666665</v>
      </c>
      <c r="AH12" s="258">
        <f>SUMIFS('Key inputs_Reserves'!$C$9:$C$36,'Key inputs_Reserves'!$A$9:$A$36,AH$7)*1/3</f>
        <v>1824483.3333333333</v>
      </c>
      <c r="AJ12" s="4" t="str">
        <f t="shared" ref="AJ12:AJ25" si="2">IF($A12="*","*","MIN")</f>
        <v>MIN</v>
      </c>
      <c r="AK12" t="str">
        <f>"MIN-"&amp;C12&amp;"2"</f>
        <v>MIN-RSVCOA2</v>
      </c>
      <c r="AL12" t="str">
        <f>"UPS Reserves of "&amp;Commodities!$D$8 &amp; " - Supply curve step 2"</f>
        <v>UPS Reserves of Coal - Reserve - Supply curve step 2</v>
      </c>
      <c r="AM12" s="4" t="s">
        <v>112</v>
      </c>
    </row>
    <row r="13" spans="1:43" s="4" customFormat="1">
      <c r="A13" s="4" t="str">
        <f t="shared" si="0"/>
        <v>MIN-RSVCOA3</v>
      </c>
      <c r="B13" s="4" t="str">
        <f t="shared" si="1"/>
        <v>UPS Reserves of Coal - Reserve - Supply curve step 3</v>
      </c>
      <c r="C13" s="4" t="str">
        <f>Commodities!$C$8</f>
        <v>RSVCOA</v>
      </c>
      <c r="D13" s="4" t="s">
        <v>672</v>
      </c>
      <c r="F13" s="4">
        <v>2019</v>
      </c>
      <c r="G13" s="258">
        <f>SUMIFS('Key inputs_Reserves'!$C$9:$C$36,'Key inputs_Reserves'!$A$9:$A$36,G$7)*1/3</f>
        <v>27166.462780680788</v>
      </c>
      <c r="H13" s="258">
        <f>SUMIFS('Key inputs_Reserves'!$C$9:$C$36,'Key inputs_Reserves'!$A$9:$A$36,H$7)*1/3</f>
        <v>0</v>
      </c>
      <c r="I13" s="258">
        <f>SUMIFS('Key inputs_Reserves'!$C$9:$C$36,'Key inputs_Reserves'!$A$9:$A$36,I$7)*1/3</f>
        <v>7218.884433102442</v>
      </c>
      <c r="J13" s="258">
        <f>SUMIFS('Key inputs_Reserves'!$C$9:$C$36,'Key inputs_Reserves'!$A$9:$A$36,J$7)*1/3</f>
        <v>86625</v>
      </c>
      <c r="K13" s="258">
        <f>SUMIFS('Key inputs_Reserves'!$C$9:$C$36,'Key inputs_Reserves'!$A$9:$A$36,K$7)*1/3</f>
        <v>621200</v>
      </c>
      <c r="L13" s="258">
        <f>SUMIFS('Key inputs_Reserves'!$C$9:$C$36,'Key inputs_Reserves'!$A$9:$A$36,L$7)*1/3</f>
        <v>247158.33333333334</v>
      </c>
      <c r="M13" s="258">
        <f>SUMIFS('Key inputs_Reserves'!$C$9:$C$36,'Key inputs_Reserves'!$A$9:$A$36,M$7)*1/3</f>
        <v>9681.4207774412243</v>
      </c>
      <c r="N13" s="258">
        <f>SUMIFS('Key inputs_Reserves'!$C$9:$C$36,'Key inputs_Reserves'!$A$9:$A$36,N$7)*1/3</f>
        <v>3885.2458892254435</v>
      </c>
      <c r="O13" s="258">
        <f>SUMIFS('Key inputs_Reserves'!$C$9:$C$36,'Key inputs_Reserves'!$A$9:$A$36,O$7)*1/3</f>
        <v>12891.666666666666</v>
      </c>
      <c r="P13" s="258">
        <f>SUMIFS('Key inputs_Reserves'!$C$9:$C$36,'Key inputs_Reserves'!$A$9:$A$36,P$7)*1/3</f>
        <v>36216.666666666664</v>
      </c>
      <c r="Q13" s="258">
        <f>SUMIFS('Key inputs_Reserves'!$C$9:$C$36,'Key inputs_Reserves'!$A$9:$A$36,Q$7)*1/3</f>
        <v>137.22404028028544</v>
      </c>
      <c r="R13" s="258">
        <f>SUMIFS('Key inputs_Reserves'!$C$9:$C$36,'Key inputs_Reserves'!$A$9:$A$36,R$7)*1/3</f>
        <v>1125575</v>
      </c>
      <c r="S13" s="258">
        <f>SUMIFS('Key inputs_Reserves'!$C$9:$C$36,'Key inputs_Reserves'!$A$9:$A$36,S$7)*1/3</f>
        <v>270341.66666666669</v>
      </c>
      <c r="T13" s="258">
        <f>SUMIFS('Key inputs_Reserves'!$C$9:$C$36,'Key inputs_Reserves'!$A$9:$A$36,T$7)*1/3</f>
        <v>9458.3333333333339</v>
      </c>
      <c r="U13" s="258">
        <f>SUMIFS('Key inputs_Reserves'!$C$9:$C$36,'Key inputs_Reserves'!$A$9:$A$36,U$7)*1/3</f>
        <v>200750</v>
      </c>
      <c r="V13" s="258">
        <f>SUMIFS('Key inputs_Reserves'!$C$9:$C$36,'Key inputs_Reserves'!$A$9:$A$36,V$7)*1/3</f>
        <v>7233.3333333333348</v>
      </c>
      <c r="W13" s="258">
        <f>SUMIFS('Key inputs_Reserves'!$C$9:$C$36,'Key inputs_Reserves'!$A$9:$A$36,W$7)*1/3</f>
        <v>0</v>
      </c>
      <c r="X13" s="258">
        <f>SUMIFS('Key inputs_Reserves'!$C$9:$C$36,'Key inputs_Reserves'!$A$9:$A$36,X$7)*1/3</f>
        <v>218808.33333333328</v>
      </c>
      <c r="Y13" s="258">
        <f>SUMIFS('Key inputs_Reserves'!$C$9:$C$36,'Key inputs_Reserves'!$A$9:$A$36,Y$7)*1/3</f>
        <v>883158.33333333337</v>
      </c>
      <c r="Z13" s="258">
        <f>SUMIFS('Key inputs_Reserves'!$C$9:$C$36,'Key inputs_Reserves'!$A$9:$A$36,Z$7)*1/3</f>
        <v>2833.3333333333326</v>
      </c>
      <c r="AA13" s="258">
        <f>SUMIFS('Key inputs_Reserves'!$C$9:$C$36,'Key inputs_Reserves'!$A$9:$A$36,AA$7)*1/3</f>
        <v>58771.10929305305</v>
      </c>
      <c r="AB13" s="258">
        <f>SUMIFS('Key inputs_Reserves'!$C$9:$C$36,'Key inputs_Reserves'!$A$9:$A$36,AB$7)*1/3</f>
        <v>9595.3185443839648</v>
      </c>
      <c r="AC13" s="258">
        <f>SUMIFS('Key inputs_Reserves'!$C$9:$C$36,'Key inputs_Reserves'!$A$9:$A$36,AC$7)*1/3</f>
        <v>5013.0147889493683</v>
      </c>
      <c r="AD13" s="258">
        <f>SUMIFS('Key inputs_Reserves'!$C$9:$C$36,'Key inputs_Reserves'!$A$9:$A$36,AD$7)*1/3</f>
        <v>9666.6666666666661</v>
      </c>
      <c r="AE13" s="258">
        <f>SUMIFS('Key inputs_Reserves'!$C$9:$C$36,'Key inputs_Reserves'!$A$9:$A$36,AE$7)*1/3</f>
        <v>2081.3194528834342</v>
      </c>
      <c r="AF13" s="258">
        <f>SUMIFS('Key inputs_Reserves'!$C$9:$C$36,'Key inputs_Reserves'!$A$9:$A$36,AF$7)*1/3</f>
        <v>597658.33333333337</v>
      </c>
      <c r="AG13" s="258">
        <f>SUMIFS('Key inputs_Reserves'!$C$9:$C$36,'Key inputs_Reserves'!$A$9:$A$36,AG$7)*1/3</f>
        <v>2716.6666666666665</v>
      </c>
      <c r="AH13" s="258">
        <f>SUMIFS('Key inputs_Reserves'!$C$9:$C$36,'Key inputs_Reserves'!$A$9:$A$36,AH$7)*1/3</f>
        <v>1824483.3333333333</v>
      </c>
      <c r="AJ13" s="4" t="str">
        <f t="shared" si="2"/>
        <v>MIN</v>
      </c>
      <c r="AK13" t="str">
        <f>"MIN-"&amp;C13&amp;"3"</f>
        <v>MIN-RSVCOA3</v>
      </c>
      <c r="AL13" t="str">
        <f>"UPS Reserves of "&amp;Commodities!$D$8 &amp; " - Supply curve step 3"</f>
        <v>UPS Reserves of Coal - Reserve - Supply curve step 3</v>
      </c>
      <c r="AM13" s="4" t="s">
        <v>112</v>
      </c>
    </row>
    <row r="14" spans="1:43" s="4" customFormat="1">
      <c r="A14" s="4" t="str">
        <f t="shared" si="0"/>
        <v>MIN-RSVLIG1</v>
      </c>
      <c r="B14" s="4" t="str">
        <f t="shared" si="1"/>
        <v>UPS Reserves of Lignite - Reserve - Supply curve step 1</v>
      </c>
      <c r="C14" s="4" t="str">
        <f>Commodities!$C$9</f>
        <v>RSVLIG</v>
      </c>
      <c r="D14" s="4" t="s">
        <v>672</v>
      </c>
      <c r="F14" s="4">
        <v>2019</v>
      </c>
      <c r="G14" s="258">
        <f>SUMIFS('Key inputs_Reserves'!$D$9:$D$36,'Key inputs_Reserves'!$A$9:$A$36,G$7)*1/3</f>
        <v>550</v>
      </c>
      <c r="H14" s="258">
        <f>SUMIFS('Key inputs_Reserves'!$D$9:$D$36,'Key inputs_Reserves'!$A$9:$A$36,H$7)*1/3</f>
        <v>0</v>
      </c>
      <c r="I14" s="258">
        <f>SUMIFS('Key inputs_Reserves'!$D$9:$D$36,'Key inputs_Reserves'!$A$9:$A$36,I$7)*1/3</f>
        <v>0</v>
      </c>
      <c r="J14" s="258">
        <f>SUMIFS('Key inputs_Reserves'!$D$9:$D$36,'Key inputs_Reserves'!$A$9:$A$36,J$7)*1/3</f>
        <v>0</v>
      </c>
      <c r="K14" s="258">
        <f>SUMIFS('Key inputs_Reserves'!$D$9:$D$36,'Key inputs_Reserves'!$A$9:$A$36,K$7)*1/3</f>
        <v>693816.66666666663</v>
      </c>
      <c r="L14" s="258">
        <f>SUMIFS('Key inputs_Reserves'!$D$9:$D$36,'Key inputs_Reserves'!$A$9:$A$36,L$7)*1/3</f>
        <v>11249.999999999998</v>
      </c>
      <c r="M14" s="258">
        <f>SUMIFS('Key inputs_Reserves'!$D$9:$D$36,'Key inputs_Reserves'!$A$9:$A$36,M$7)*1/3</f>
        <v>14893.398589829863</v>
      </c>
      <c r="N14" s="258">
        <f>SUMIFS('Key inputs_Reserves'!$D$9:$D$36,'Key inputs_Reserves'!$A$9:$A$36,N$7)*1/3</f>
        <v>23823.268076836801</v>
      </c>
      <c r="O14" s="258">
        <f>SUMIFS('Key inputs_Reserves'!$D$9:$D$36,'Key inputs_Reserves'!$A$9:$A$36,O$7)*1/3</f>
        <v>42075</v>
      </c>
      <c r="P14" s="258">
        <f>SUMIFS('Key inputs_Reserves'!$D$9:$D$36,'Key inputs_Reserves'!$A$9:$A$36,P$7)*1/3</f>
        <v>18633.333333333332</v>
      </c>
      <c r="Q14" s="258">
        <f>SUMIFS('Key inputs_Reserves'!$D$9:$D$36,'Key inputs_Reserves'!$A$9:$A$36,Q$7)*1/3</f>
        <v>0</v>
      </c>
      <c r="R14" s="258">
        <f>SUMIFS('Key inputs_Reserves'!$D$9:$D$36,'Key inputs_Reserves'!$A$9:$A$36,R$7)*1/3</f>
        <v>67733.333333333328</v>
      </c>
      <c r="S14" s="258">
        <f>SUMIFS('Key inputs_Reserves'!$D$9:$D$36,'Key inputs_Reserves'!$A$9:$A$36,S$7)*1/3</f>
        <v>78733.333333333328</v>
      </c>
      <c r="T14" s="258">
        <f>SUMIFS('Key inputs_Reserves'!$D$9:$D$36,'Key inputs_Reserves'!$A$9:$A$36,T$7)*1/3</f>
        <v>4017.6238262055958</v>
      </c>
      <c r="U14" s="258">
        <f>SUMIFS('Key inputs_Reserves'!$D$9:$D$36,'Key inputs_Reserves'!$A$9:$A$36,U$7)*1/3</f>
        <v>112216.66666666667</v>
      </c>
      <c r="V14" s="258">
        <f>SUMIFS('Key inputs_Reserves'!$D$9:$D$36,'Key inputs_Reserves'!$A$9:$A$36,V$7)*1/3</f>
        <v>26625</v>
      </c>
      <c r="W14" s="258">
        <f>SUMIFS('Key inputs_Reserves'!$D$9:$D$36,'Key inputs_Reserves'!$A$9:$A$36,W$7)*1/3</f>
        <v>338249.04284046107</v>
      </c>
      <c r="X14" s="258">
        <f>SUMIFS('Key inputs_Reserves'!$D$9:$D$36,'Key inputs_Reserves'!$A$9:$A$36,X$7)*1/3</f>
        <v>99766.666666666686</v>
      </c>
      <c r="Y14" s="258">
        <f>SUMIFS('Key inputs_Reserves'!$D$9:$D$36,'Key inputs_Reserves'!$A$9:$A$36,Y$7)*1/3</f>
        <v>42275</v>
      </c>
      <c r="Z14" s="258">
        <f>SUMIFS('Key inputs_Reserves'!$D$9:$D$36,'Key inputs_Reserves'!$A$9:$A$36,Z$7)*1/3</f>
        <v>83.333333333333329</v>
      </c>
      <c r="AA14" s="258">
        <f>SUMIFS('Key inputs_Reserves'!$D$9:$D$36,'Key inputs_Reserves'!$A$9:$A$36,AA$7)*1/3</f>
        <v>200</v>
      </c>
      <c r="AB14" s="258">
        <f>SUMIFS('Key inputs_Reserves'!$D$9:$D$36,'Key inputs_Reserves'!$A$9:$A$36,AB$7)*1/3</f>
        <v>91458.333333333328</v>
      </c>
      <c r="AC14" s="258">
        <f>SUMIFS('Key inputs_Reserves'!$D$9:$D$36,'Key inputs_Reserves'!$A$9:$A$36,AC$7)*1/3</f>
        <v>3.3333333333333335</v>
      </c>
      <c r="AD14" s="258">
        <f>SUMIFS('Key inputs_Reserves'!$D$9:$D$36,'Key inputs_Reserves'!$A$9:$A$36,AD$7)*1/3</f>
        <v>425</v>
      </c>
      <c r="AE14" s="258">
        <f>SUMIFS('Key inputs_Reserves'!$D$9:$D$36,'Key inputs_Reserves'!$A$9:$A$36,AE$7)*1/3</f>
        <v>0</v>
      </c>
      <c r="AF14" s="258">
        <f>SUMIFS('Key inputs_Reserves'!$D$9:$D$36,'Key inputs_Reserves'!$A$9:$A$36,AF$7)*1/3</f>
        <v>753724.99999999988</v>
      </c>
      <c r="AG14" s="258">
        <f>SUMIFS('Key inputs_Reserves'!$D$9:$D$36,'Key inputs_Reserves'!$A$9:$A$36,AG$7)*1/3</f>
        <v>0</v>
      </c>
      <c r="AH14" s="258">
        <f>SUMIFS('Key inputs_Reserves'!$D$9:$D$36,'Key inputs_Reserves'!$A$9:$A$36,AH$7)*1/3</f>
        <v>250025</v>
      </c>
      <c r="AJ14" s="4" t="str">
        <f t="shared" si="2"/>
        <v>MIN</v>
      </c>
      <c r="AK14" t="str">
        <f>"MIN-"&amp;C14&amp;"1"</f>
        <v>MIN-RSVLIG1</v>
      </c>
      <c r="AL14" t="str">
        <f>"UPS Reserves of "&amp;Commodities!$D$9 &amp; " - Supply curve step 1"</f>
        <v>UPS Reserves of Lignite - Reserve - Supply curve step 1</v>
      </c>
      <c r="AM14" s="4" t="s">
        <v>112</v>
      </c>
    </row>
    <row r="15" spans="1:43" s="4" customFormat="1">
      <c r="A15" s="4" t="str">
        <f t="shared" si="0"/>
        <v>MIN-RSVLIG2</v>
      </c>
      <c r="B15" s="4" t="str">
        <f t="shared" si="1"/>
        <v>UPS Reserves of Lignite - Reserve - Supply curve step 2</v>
      </c>
      <c r="C15" s="4" t="str">
        <f>Commodities!$C$9</f>
        <v>RSVLIG</v>
      </c>
      <c r="D15" s="4" t="s">
        <v>672</v>
      </c>
      <c r="F15" s="4">
        <v>2019</v>
      </c>
      <c r="G15" s="258">
        <f>SUMIFS('Key inputs_Reserves'!$D$9:$D$36,'Key inputs_Reserves'!$A$9:$A$36,G$7)*1/3</f>
        <v>550</v>
      </c>
      <c r="H15" s="258">
        <f>SUMIFS('Key inputs_Reserves'!$D$9:$D$36,'Key inputs_Reserves'!$A$9:$A$36,H$7)*1/3</f>
        <v>0</v>
      </c>
      <c r="I15" s="258">
        <f>SUMIFS('Key inputs_Reserves'!$D$9:$D$36,'Key inputs_Reserves'!$A$9:$A$36,I$7)*1/3</f>
        <v>0</v>
      </c>
      <c r="J15" s="258">
        <f>SUMIFS('Key inputs_Reserves'!$D$9:$D$36,'Key inputs_Reserves'!$A$9:$A$36,J$7)*1/3</f>
        <v>0</v>
      </c>
      <c r="K15" s="258">
        <f>SUMIFS('Key inputs_Reserves'!$D$9:$D$36,'Key inputs_Reserves'!$A$9:$A$36,K$7)*1/3</f>
        <v>693816.66666666663</v>
      </c>
      <c r="L15" s="258">
        <f>SUMIFS('Key inputs_Reserves'!$D$9:$D$36,'Key inputs_Reserves'!$A$9:$A$36,L$7)*1/3</f>
        <v>11249.999999999998</v>
      </c>
      <c r="M15" s="258">
        <f>SUMIFS('Key inputs_Reserves'!$D$9:$D$36,'Key inputs_Reserves'!$A$9:$A$36,M$7)*1/3</f>
        <v>14893.398589829863</v>
      </c>
      <c r="N15" s="258">
        <f>SUMIFS('Key inputs_Reserves'!$D$9:$D$36,'Key inputs_Reserves'!$A$9:$A$36,N$7)*1/3</f>
        <v>23823.268076836801</v>
      </c>
      <c r="O15" s="258">
        <f>SUMIFS('Key inputs_Reserves'!$D$9:$D$36,'Key inputs_Reserves'!$A$9:$A$36,O$7)*1/3</f>
        <v>42075</v>
      </c>
      <c r="P15" s="258">
        <f>SUMIFS('Key inputs_Reserves'!$D$9:$D$36,'Key inputs_Reserves'!$A$9:$A$36,P$7)*1/3</f>
        <v>18633.333333333332</v>
      </c>
      <c r="Q15" s="258">
        <f>SUMIFS('Key inputs_Reserves'!$D$9:$D$36,'Key inputs_Reserves'!$A$9:$A$36,Q$7)*1/3</f>
        <v>0</v>
      </c>
      <c r="R15" s="258">
        <f>SUMIFS('Key inputs_Reserves'!$D$9:$D$36,'Key inputs_Reserves'!$A$9:$A$36,R$7)*1/3</f>
        <v>67733.333333333328</v>
      </c>
      <c r="S15" s="258">
        <f>SUMIFS('Key inputs_Reserves'!$D$9:$D$36,'Key inputs_Reserves'!$A$9:$A$36,S$7)*1/3</f>
        <v>78733.333333333328</v>
      </c>
      <c r="T15" s="258">
        <f>SUMIFS('Key inputs_Reserves'!$D$9:$D$36,'Key inputs_Reserves'!$A$9:$A$36,T$7)*1/3</f>
        <v>4017.6238262055958</v>
      </c>
      <c r="U15" s="258">
        <f>SUMIFS('Key inputs_Reserves'!$D$9:$D$36,'Key inputs_Reserves'!$A$9:$A$36,U$7)*1/3</f>
        <v>112216.66666666667</v>
      </c>
      <c r="V15" s="258">
        <f>SUMIFS('Key inputs_Reserves'!$D$9:$D$36,'Key inputs_Reserves'!$A$9:$A$36,V$7)*1/3</f>
        <v>26625</v>
      </c>
      <c r="W15" s="258">
        <f>SUMIFS('Key inputs_Reserves'!$D$9:$D$36,'Key inputs_Reserves'!$A$9:$A$36,W$7)*1/3</f>
        <v>338249.04284046107</v>
      </c>
      <c r="X15" s="258">
        <f>SUMIFS('Key inputs_Reserves'!$D$9:$D$36,'Key inputs_Reserves'!$A$9:$A$36,X$7)*1/3</f>
        <v>99766.666666666686</v>
      </c>
      <c r="Y15" s="258">
        <f>SUMIFS('Key inputs_Reserves'!$D$9:$D$36,'Key inputs_Reserves'!$A$9:$A$36,Y$7)*1/3</f>
        <v>42275</v>
      </c>
      <c r="Z15" s="258">
        <f>SUMIFS('Key inputs_Reserves'!$D$9:$D$36,'Key inputs_Reserves'!$A$9:$A$36,Z$7)*1/3</f>
        <v>83.333333333333329</v>
      </c>
      <c r="AA15" s="258">
        <f>SUMIFS('Key inputs_Reserves'!$D$9:$D$36,'Key inputs_Reserves'!$A$9:$A$36,AA$7)*1/3</f>
        <v>200</v>
      </c>
      <c r="AB15" s="258">
        <f>SUMIFS('Key inputs_Reserves'!$D$9:$D$36,'Key inputs_Reserves'!$A$9:$A$36,AB$7)*1/3</f>
        <v>91458.333333333328</v>
      </c>
      <c r="AC15" s="258">
        <f>SUMIFS('Key inputs_Reserves'!$D$9:$D$36,'Key inputs_Reserves'!$A$9:$A$36,AC$7)*1/3</f>
        <v>3.3333333333333335</v>
      </c>
      <c r="AD15" s="258">
        <f>SUMIFS('Key inputs_Reserves'!$D$9:$D$36,'Key inputs_Reserves'!$A$9:$A$36,AD$7)*1/3</f>
        <v>425</v>
      </c>
      <c r="AE15" s="258">
        <f>SUMIFS('Key inputs_Reserves'!$D$9:$D$36,'Key inputs_Reserves'!$A$9:$A$36,AE$7)*1/3</f>
        <v>0</v>
      </c>
      <c r="AF15" s="258">
        <f>SUMIFS('Key inputs_Reserves'!$D$9:$D$36,'Key inputs_Reserves'!$A$9:$A$36,AF$7)*1/3</f>
        <v>753724.99999999988</v>
      </c>
      <c r="AG15" s="258">
        <f>SUMIFS('Key inputs_Reserves'!$D$9:$D$36,'Key inputs_Reserves'!$A$9:$A$36,AG$7)*1/3</f>
        <v>0</v>
      </c>
      <c r="AH15" s="258">
        <f>SUMIFS('Key inputs_Reserves'!$D$9:$D$36,'Key inputs_Reserves'!$A$9:$A$36,AH$7)*1/3</f>
        <v>250025</v>
      </c>
      <c r="AJ15" s="4" t="str">
        <f t="shared" si="2"/>
        <v>MIN</v>
      </c>
      <c r="AK15" t="str">
        <f>"MIN-"&amp;C15&amp;"2"</f>
        <v>MIN-RSVLIG2</v>
      </c>
      <c r="AL15" t="str">
        <f>"UPS Reserves of "&amp;Commodities!$D$9 &amp; " - Supply curve step 2"</f>
        <v>UPS Reserves of Lignite - Reserve - Supply curve step 2</v>
      </c>
      <c r="AM15" s="4" t="s">
        <v>112</v>
      </c>
    </row>
    <row r="16" spans="1:43" s="4" customFormat="1">
      <c r="A16" s="4" t="str">
        <f t="shared" si="0"/>
        <v>MIN-RSVLIG3</v>
      </c>
      <c r="B16" s="4" t="str">
        <f t="shared" si="1"/>
        <v>UPS Reserves of Lignite - Reserve - Supply curve step 3</v>
      </c>
      <c r="C16" s="4" t="str">
        <f>Commodities!$C$9</f>
        <v>RSVLIG</v>
      </c>
      <c r="D16" s="4" t="s">
        <v>672</v>
      </c>
      <c r="F16" s="4">
        <v>2019</v>
      </c>
      <c r="G16" s="258">
        <f>SUMIFS('Key inputs_Reserves'!$D$9:$D$36,'Key inputs_Reserves'!$A$9:$A$36,G$7)*1/3</f>
        <v>550</v>
      </c>
      <c r="H16" s="258">
        <f>SUMIFS('Key inputs_Reserves'!$D$9:$D$36,'Key inputs_Reserves'!$A$9:$A$36,H$7)*1/3</f>
        <v>0</v>
      </c>
      <c r="I16" s="258">
        <f>SUMIFS('Key inputs_Reserves'!$D$9:$D$36,'Key inputs_Reserves'!$A$9:$A$36,I$7)*1/3</f>
        <v>0</v>
      </c>
      <c r="J16" s="258">
        <f>SUMIFS('Key inputs_Reserves'!$D$9:$D$36,'Key inputs_Reserves'!$A$9:$A$36,J$7)*1/3</f>
        <v>0</v>
      </c>
      <c r="K16" s="258">
        <f>SUMIFS('Key inputs_Reserves'!$D$9:$D$36,'Key inputs_Reserves'!$A$9:$A$36,K$7)*1/3</f>
        <v>693816.66666666663</v>
      </c>
      <c r="L16" s="258">
        <f>SUMIFS('Key inputs_Reserves'!$D$9:$D$36,'Key inputs_Reserves'!$A$9:$A$36,L$7)*1/3</f>
        <v>11249.999999999998</v>
      </c>
      <c r="M16" s="258">
        <f>SUMIFS('Key inputs_Reserves'!$D$9:$D$36,'Key inputs_Reserves'!$A$9:$A$36,M$7)*1/3</f>
        <v>14893.398589829863</v>
      </c>
      <c r="N16" s="258">
        <f>SUMIFS('Key inputs_Reserves'!$D$9:$D$36,'Key inputs_Reserves'!$A$9:$A$36,N$7)*1/3</f>
        <v>23823.268076836801</v>
      </c>
      <c r="O16" s="258">
        <f>SUMIFS('Key inputs_Reserves'!$D$9:$D$36,'Key inputs_Reserves'!$A$9:$A$36,O$7)*1/3</f>
        <v>42075</v>
      </c>
      <c r="P16" s="258">
        <f>SUMIFS('Key inputs_Reserves'!$D$9:$D$36,'Key inputs_Reserves'!$A$9:$A$36,P$7)*1/3</f>
        <v>18633.333333333332</v>
      </c>
      <c r="Q16" s="258">
        <f>SUMIFS('Key inputs_Reserves'!$D$9:$D$36,'Key inputs_Reserves'!$A$9:$A$36,Q$7)*1/3</f>
        <v>0</v>
      </c>
      <c r="R16" s="258">
        <f>SUMIFS('Key inputs_Reserves'!$D$9:$D$36,'Key inputs_Reserves'!$A$9:$A$36,R$7)*1/3</f>
        <v>67733.333333333328</v>
      </c>
      <c r="S16" s="258">
        <f>SUMIFS('Key inputs_Reserves'!$D$9:$D$36,'Key inputs_Reserves'!$A$9:$A$36,S$7)*1/3</f>
        <v>78733.333333333328</v>
      </c>
      <c r="T16" s="258">
        <f>SUMIFS('Key inputs_Reserves'!$D$9:$D$36,'Key inputs_Reserves'!$A$9:$A$36,T$7)*1/3</f>
        <v>4017.6238262055958</v>
      </c>
      <c r="U16" s="258">
        <f>SUMIFS('Key inputs_Reserves'!$D$9:$D$36,'Key inputs_Reserves'!$A$9:$A$36,U$7)*1/3</f>
        <v>112216.66666666667</v>
      </c>
      <c r="V16" s="258">
        <f>SUMIFS('Key inputs_Reserves'!$D$9:$D$36,'Key inputs_Reserves'!$A$9:$A$36,V$7)*1/3</f>
        <v>26625</v>
      </c>
      <c r="W16" s="258">
        <f>SUMIFS('Key inputs_Reserves'!$D$9:$D$36,'Key inputs_Reserves'!$A$9:$A$36,W$7)*1/3</f>
        <v>338249.04284046107</v>
      </c>
      <c r="X16" s="258">
        <f>SUMIFS('Key inputs_Reserves'!$D$9:$D$36,'Key inputs_Reserves'!$A$9:$A$36,X$7)*1/3</f>
        <v>99766.666666666686</v>
      </c>
      <c r="Y16" s="258">
        <f>SUMIFS('Key inputs_Reserves'!$D$9:$D$36,'Key inputs_Reserves'!$A$9:$A$36,Y$7)*1/3</f>
        <v>42275</v>
      </c>
      <c r="Z16" s="258">
        <f>SUMIFS('Key inputs_Reserves'!$D$9:$D$36,'Key inputs_Reserves'!$A$9:$A$36,Z$7)*1/3</f>
        <v>83.333333333333329</v>
      </c>
      <c r="AA16" s="258">
        <f>SUMIFS('Key inputs_Reserves'!$D$9:$D$36,'Key inputs_Reserves'!$A$9:$A$36,AA$7)*1/3</f>
        <v>200</v>
      </c>
      <c r="AB16" s="258">
        <f>SUMIFS('Key inputs_Reserves'!$D$9:$D$36,'Key inputs_Reserves'!$A$9:$A$36,AB$7)*1/3</f>
        <v>91458.333333333328</v>
      </c>
      <c r="AC16" s="258">
        <f>SUMIFS('Key inputs_Reserves'!$D$9:$D$36,'Key inputs_Reserves'!$A$9:$A$36,AC$7)*1/3</f>
        <v>3.3333333333333335</v>
      </c>
      <c r="AD16" s="258">
        <f>SUMIFS('Key inputs_Reserves'!$D$9:$D$36,'Key inputs_Reserves'!$A$9:$A$36,AD$7)*1/3</f>
        <v>425</v>
      </c>
      <c r="AE16" s="258">
        <f>SUMIFS('Key inputs_Reserves'!$D$9:$D$36,'Key inputs_Reserves'!$A$9:$A$36,AE$7)*1/3</f>
        <v>0</v>
      </c>
      <c r="AF16" s="258">
        <f>SUMIFS('Key inputs_Reserves'!$D$9:$D$36,'Key inputs_Reserves'!$A$9:$A$36,AF$7)*1/3</f>
        <v>753724.99999999988</v>
      </c>
      <c r="AG16" s="258">
        <f>SUMIFS('Key inputs_Reserves'!$D$9:$D$36,'Key inputs_Reserves'!$A$9:$A$36,AG$7)*1/3</f>
        <v>0</v>
      </c>
      <c r="AH16" s="258">
        <f>SUMIFS('Key inputs_Reserves'!$D$9:$D$36,'Key inputs_Reserves'!$A$9:$A$36,AH$7)*1/3</f>
        <v>250025</v>
      </c>
      <c r="AJ16" s="4" t="str">
        <f t="shared" si="2"/>
        <v>MIN</v>
      </c>
      <c r="AK16" t="str">
        <f>"MIN-"&amp;C16&amp;"3"</f>
        <v>MIN-RSVLIG3</v>
      </c>
      <c r="AL16" t="str">
        <f>"UPS Reserves of "&amp;Commodities!$D$9 &amp; " - Supply curve step 3"</f>
        <v>UPS Reserves of Lignite - Reserve - Supply curve step 3</v>
      </c>
      <c r="AM16" s="4" t="s">
        <v>112</v>
      </c>
    </row>
    <row r="17" spans="1:39" s="4" customFormat="1">
      <c r="A17" s="4" t="str">
        <f t="shared" si="0"/>
        <v>MIN-RSVGAS1</v>
      </c>
      <c r="B17" s="4" t="str">
        <f t="shared" si="1"/>
        <v>UPS Reserves of Natural gas - Reserve - Supply curve step 1</v>
      </c>
      <c r="C17" s="4" t="str">
        <f>Commodities!$C$10</f>
        <v>RSVGAS</v>
      </c>
      <c r="D17" s="4" t="s">
        <v>672</v>
      </c>
      <c r="F17" s="4">
        <v>2019</v>
      </c>
      <c r="G17" s="258">
        <f>SUMIFS('Key inputs_Reserves'!$H$9:$H$36,'Key inputs_Reserves'!$A$9:$A$36,G$7)+SUMIFS('Key inputs_Reserves'!$G$9:$G$36,'Key inputs_Reserves'!$A$9:$A$36,G$7)</f>
        <v>2200.4191381885216</v>
      </c>
      <c r="H17" s="258">
        <f>SUMIFS('Key inputs_Reserves'!$H$9:$H$36,'Key inputs_Reserves'!$A$9:$A$36,H$7)+SUMIFS('Key inputs_Reserves'!$G$9:$G$36,'Key inputs_Reserves'!$A$9:$A$36,H$7)</f>
        <v>342302.49734936625</v>
      </c>
      <c r="I17" s="258">
        <f>SUMIFS('Key inputs_Reserves'!$H$9:$H$36,'Key inputs_Reserves'!$A$9:$A$36,I$7)+SUMIFS('Key inputs_Reserves'!$G$9:$G$36,'Key inputs_Reserves'!$A$9:$A$36,I$7)</f>
        <v>28968.757493417204</v>
      </c>
      <c r="J17" s="258">
        <f>SUMIFS('Key inputs_Reserves'!$H$9:$H$36,'Key inputs_Reserves'!$A$9:$A$36,J$7)+SUMIFS('Key inputs_Reserves'!$G$9:$G$36,'Key inputs_Reserves'!$A$9:$A$36,J$7)</f>
        <v>28653.072607588987</v>
      </c>
      <c r="K17" s="258">
        <f>SUMIFS('Key inputs_Reserves'!$H$9:$H$36,'Key inputs_Reserves'!$A$9:$A$36,K$7)+SUMIFS('Key inputs_Reserves'!$G$9:$G$36,'Key inputs_Reserves'!$A$9:$A$36,K$7)</f>
        <v>87982.017856990744</v>
      </c>
      <c r="L17" s="258">
        <f>SUMIFS('Key inputs_Reserves'!$H$9:$H$36,'Key inputs_Reserves'!$A$9:$A$36,L$7)+SUMIFS('Key inputs_Reserves'!$G$9:$G$36,'Key inputs_Reserves'!$A$9:$A$36,L$7)</f>
        <v>723329.37808624608</v>
      </c>
      <c r="M17" s="258">
        <f>SUMIFS('Key inputs_Reserves'!$H$9:$H$36,'Key inputs_Reserves'!$A$9:$A$36,M$7)+SUMIFS('Key inputs_Reserves'!$G$9:$G$36,'Key inputs_Reserves'!$A$9:$A$36,M$7)</f>
        <v>72867.716569138065</v>
      </c>
      <c r="N17" s="258">
        <f>SUMIFS('Key inputs_Reserves'!$H$9:$H$36,'Key inputs_Reserves'!$A$9:$A$36,N$7)+SUMIFS('Key inputs_Reserves'!$G$9:$G$36,'Key inputs_Reserves'!$A$9:$A$36,N$7)</f>
        <v>19229.492538391161</v>
      </c>
      <c r="O17" s="258">
        <f>SUMIFS('Key inputs_Reserves'!$H$9:$H$36,'Key inputs_Reserves'!$A$9:$A$36,O$7)+SUMIFS('Key inputs_Reserves'!$G$9:$G$36,'Key inputs_Reserves'!$A$9:$A$36,O$7)</f>
        <v>16642.849327067561</v>
      </c>
      <c r="P17" s="258">
        <f>SUMIFS('Key inputs_Reserves'!$H$9:$H$36,'Key inputs_Reserves'!$A$9:$A$36,P$7)+SUMIFS('Key inputs_Reserves'!$G$9:$G$36,'Key inputs_Reserves'!$A$9:$A$36,P$7)</f>
        <v>146893.05764232061</v>
      </c>
      <c r="Q17" s="258">
        <f>SUMIFS('Key inputs_Reserves'!$H$9:$H$36,'Key inputs_Reserves'!$A$9:$A$36,Q$7)+SUMIFS('Key inputs_Reserves'!$G$9:$G$36,'Key inputs_Reserves'!$A$9:$A$36,Q$7)</f>
        <v>4887.4669119592518</v>
      </c>
      <c r="R17" s="258">
        <f>SUMIFS('Key inputs_Reserves'!$H$9:$H$36,'Key inputs_Reserves'!$A$9:$A$36,R$7)+SUMIFS('Key inputs_Reserves'!$G$9:$G$36,'Key inputs_Reserves'!$A$9:$A$36,R$7)</f>
        <v>302347.7876106195</v>
      </c>
      <c r="S17" s="258">
        <f>SUMIFS('Key inputs_Reserves'!$H$9:$H$36,'Key inputs_Reserves'!$A$9:$A$36,S$7)+SUMIFS('Key inputs_Reserves'!$G$9:$G$36,'Key inputs_Reserves'!$A$9:$A$36,S$7)</f>
        <v>39777.354830591896</v>
      </c>
      <c r="T17" s="258">
        <f>SUMIFS('Key inputs_Reserves'!$H$9:$H$36,'Key inputs_Reserves'!$A$9:$A$36,T$7)+SUMIFS('Key inputs_Reserves'!$G$9:$G$36,'Key inputs_Reserves'!$A$9:$A$36,T$7)</f>
        <v>68327.23992869175</v>
      </c>
      <c r="U17" s="258">
        <f>SUMIFS('Key inputs_Reserves'!$H$9:$H$36,'Key inputs_Reserves'!$A$9:$A$36,U$7)+SUMIFS('Key inputs_Reserves'!$G$9:$G$36,'Key inputs_Reserves'!$A$9:$A$36,U$7)</f>
        <v>6654.1053144652205</v>
      </c>
      <c r="V17" s="258">
        <f>SUMIFS('Key inputs_Reserves'!$H$9:$H$36,'Key inputs_Reserves'!$A$9:$A$36,V$7)+SUMIFS('Key inputs_Reserves'!$G$9:$G$36,'Key inputs_Reserves'!$A$9:$A$36,V$7)</f>
        <v>1822.6557046028433</v>
      </c>
      <c r="W17" s="258">
        <f>SUMIFS('Key inputs_Reserves'!$H$9:$H$36,'Key inputs_Reserves'!$A$9:$A$36,W$7)+SUMIFS('Key inputs_Reserves'!$G$9:$G$36,'Key inputs_Reserves'!$A$9:$A$36,W$7)</f>
        <v>8738.2761563187869</v>
      </c>
      <c r="X17" s="258">
        <f>SUMIFS('Key inputs_Reserves'!$H$9:$H$36,'Key inputs_Reserves'!$A$9:$A$36,X$7)+SUMIFS('Key inputs_Reserves'!$G$9:$G$36,'Key inputs_Reserves'!$A$9:$A$36,X$7)</f>
        <v>76353.179726662187</v>
      </c>
      <c r="Y17" s="258">
        <f>SUMIFS('Key inputs_Reserves'!$H$9:$H$36,'Key inputs_Reserves'!$A$9:$A$36,Y$7)+SUMIFS('Key inputs_Reserves'!$G$9:$G$36,'Key inputs_Reserves'!$A$9:$A$36,Y$7)</f>
        <v>51660.158998872925</v>
      </c>
      <c r="Z17" s="258">
        <f>SUMIFS('Key inputs_Reserves'!$H$9:$H$36,'Key inputs_Reserves'!$A$9:$A$36,Z$7)+SUMIFS('Key inputs_Reserves'!$G$9:$G$36,'Key inputs_Reserves'!$A$9:$A$36,Z$7)</f>
        <v>6400.5005585050621</v>
      </c>
      <c r="AA17" s="258">
        <f>SUMIFS('Key inputs_Reserves'!$H$9:$H$36,'Key inputs_Reserves'!$A$9:$A$36,AA$7)+SUMIFS('Key inputs_Reserves'!$G$9:$G$36,'Key inputs_Reserves'!$A$9:$A$36,AA$7)</f>
        <v>416857.46101389907</v>
      </c>
      <c r="AB17" s="258">
        <f>SUMIFS('Key inputs_Reserves'!$H$9:$H$36,'Key inputs_Reserves'!$A$9:$A$36,AB$7)+SUMIFS('Key inputs_Reserves'!$G$9:$G$36,'Key inputs_Reserves'!$A$9:$A$36,AB$7)</f>
        <v>30554.151605287909</v>
      </c>
      <c r="AC17" s="258">
        <f>SUMIFS('Key inputs_Reserves'!$H$9:$H$36,'Key inputs_Reserves'!$A$9:$A$36,AC$7)+SUMIFS('Key inputs_Reserves'!$G$9:$G$36,'Key inputs_Reserves'!$A$9:$A$36,AC$7)</f>
        <v>3356081.7164622773</v>
      </c>
      <c r="AD17" s="258">
        <f>SUMIFS('Key inputs_Reserves'!$H$9:$H$36,'Key inputs_Reserves'!$A$9:$A$36,AD$7)+SUMIFS('Key inputs_Reserves'!$G$9:$G$36,'Key inputs_Reserves'!$A$9:$A$36,AD$7)</f>
        <v>8735.5574595971721</v>
      </c>
      <c r="AE17" s="258">
        <f>SUMIFS('Key inputs_Reserves'!$H$9:$H$36,'Key inputs_Reserves'!$A$9:$A$36,AE$7)+SUMIFS('Key inputs_Reserves'!$G$9:$G$36,'Key inputs_Reserves'!$A$9:$A$36,AE$7)</f>
        <v>208604.78143134824</v>
      </c>
      <c r="AF17" s="258">
        <f>SUMIFS('Key inputs_Reserves'!$H$9:$H$36,'Key inputs_Reserves'!$A$9:$A$36,AF$7)+SUMIFS('Key inputs_Reserves'!$G$9:$G$36,'Key inputs_Reserves'!$A$9:$A$36,AF$7)</f>
        <v>1393007.2293779156</v>
      </c>
      <c r="AG17" s="258">
        <f>SUMIFS('Key inputs_Reserves'!$H$9:$H$36,'Key inputs_Reserves'!$A$9:$A$36,AG$7)+SUMIFS('Key inputs_Reserves'!$G$9:$G$36,'Key inputs_Reserves'!$A$9:$A$36,AG$7)</f>
        <v>614.82946571422565</v>
      </c>
      <c r="AH17" s="258">
        <f>SUMIFS('Key inputs_Reserves'!$H$9:$H$36,'Key inputs_Reserves'!$A$9:$A$36,AH$7)+SUMIFS('Key inputs_Reserves'!$G$9:$G$36,'Key inputs_Reserves'!$A$9:$A$36,AH$7)</f>
        <v>535537.16471907496</v>
      </c>
      <c r="AJ17" s="4" t="str">
        <f t="shared" si="2"/>
        <v>MIN</v>
      </c>
      <c r="AK17" t="str">
        <f>"MIN-"&amp;C17&amp;"1"</f>
        <v>MIN-RSVGAS1</v>
      </c>
      <c r="AL17" t="str">
        <f>"UPS Reserves of "&amp;Commodities!$D$10 &amp; " - Supply curve step 1"</f>
        <v>UPS Reserves of Natural gas - Reserve - Supply curve step 1</v>
      </c>
      <c r="AM17" s="4" t="s">
        <v>112</v>
      </c>
    </row>
    <row r="18" spans="1:39" s="4" customFormat="1">
      <c r="A18" s="4" t="str">
        <f t="shared" si="0"/>
        <v>MIN-RSVGAS2</v>
      </c>
      <c r="B18" s="4" t="str">
        <f t="shared" si="1"/>
        <v>UPS Reserves of Natural gas - Reserve - Supply curve step 2</v>
      </c>
      <c r="C18" s="4" t="str">
        <f>Commodities!$C$10</f>
        <v>RSVGAS</v>
      </c>
      <c r="D18" s="4" t="s">
        <v>672</v>
      </c>
      <c r="F18" s="4">
        <v>2019</v>
      </c>
      <c r="G18" s="258">
        <f>+SUMIFS('Key inputs_Reserves'!$I$9:$I$36,'Key inputs_Reserves'!$A$9:$A$36,G$7)</f>
        <v>2105.3392988840797</v>
      </c>
      <c r="H18" s="258">
        <f>+SUMIFS('Key inputs_Reserves'!$I$9:$I$36,'Key inputs_Reserves'!$A$9:$A$36,H$7)</f>
        <v>272196.08517023828</v>
      </c>
      <c r="I18" s="258">
        <f>+SUMIFS('Key inputs_Reserves'!$I$9:$I$36,'Key inputs_Reserves'!$A$9:$A$36,I$7)</f>
        <v>26872.762993066506</v>
      </c>
      <c r="J18" s="258">
        <f>+SUMIFS('Key inputs_Reserves'!$I$9:$I$36,'Key inputs_Reserves'!$A$9:$A$36,J$7)</f>
        <v>25136.042296410425</v>
      </c>
      <c r="K18" s="258">
        <f>+SUMIFS('Key inputs_Reserves'!$I$9:$I$36,'Key inputs_Reserves'!$A$9:$A$36,K$7)</f>
        <v>82308.289598401461</v>
      </c>
      <c r="L18" s="258">
        <f>+SUMIFS('Key inputs_Reserves'!$I$9:$I$36,'Key inputs_Reserves'!$A$9:$A$36,L$7)</f>
        <v>661688.99725592276</v>
      </c>
      <c r="M18" s="258">
        <f>+SUMIFS('Key inputs_Reserves'!$I$9:$I$36,'Key inputs_Reserves'!$A$9:$A$36,M$7)</f>
        <v>65326.249310749474</v>
      </c>
      <c r="N18" s="258">
        <f>+SUMIFS('Key inputs_Reserves'!$I$9:$I$36,'Key inputs_Reserves'!$A$9:$A$36,N$7)</f>
        <v>17389.97799819069</v>
      </c>
      <c r="O18" s="258">
        <f>+SUMIFS('Key inputs_Reserves'!$I$9:$I$36,'Key inputs_Reserves'!$A$9:$A$36,O$7)</f>
        <v>12926.265058974999</v>
      </c>
      <c r="P18" s="258">
        <f>+SUMIFS('Key inputs_Reserves'!$I$9:$I$36,'Key inputs_Reserves'!$A$9:$A$36,P$7)</f>
        <v>68684.556528249988</v>
      </c>
      <c r="Q18" s="258">
        <f>+SUMIFS('Key inputs_Reserves'!$I$9:$I$36,'Key inputs_Reserves'!$A$9:$A$36,Q$7)</f>
        <v>1836.0550477414245</v>
      </c>
      <c r="R18" s="258">
        <f>+SUMIFS('Key inputs_Reserves'!$I$9:$I$36,'Key inputs_Reserves'!$A$9:$A$36,R$7)</f>
        <v>289283.37703485205</v>
      </c>
      <c r="S18" s="258">
        <f>+SUMIFS('Key inputs_Reserves'!$I$9:$I$36,'Key inputs_Reserves'!$A$9:$A$36,S$7)</f>
        <v>37586.155535079881</v>
      </c>
      <c r="T18" s="258">
        <f>+SUMIFS('Key inputs_Reserves'!$I$9:$I$36,'Key inputs_Reserves'!$A$9:$A$36,T$7)</f>
        <v>59232.643528740227</v>
      </c>
      <c r="U18" s="258">
        <f>+SUMIFS('Key inputs_Reserves'!$I$9:$I$36,'Key inputs_Reserves'!$A$9:$A$36,U$7)</f>
        <v>6040.8798514722803</v>
      </c>
      <c r="V18" s="258">
        <f>+SUMIFS('Key inputs_Reserves'!$I$9:$I$36,'Key inputs_Reserves'!$A$9:$A$36,V$7)</f>
        <v>1743.8989766261775</v>
      </c>
      <c r="W18" s="258">
        <f>+SUMIFS('Key inputs_Reserves'!$I$9:$I$36,'Key inputs_Reserves'!$A$9:$A$36,W$7)</f>
        <v>8269.500013592542</v>
      </c>
      <c r="X18" s="258">
        <f>+SUMIFS('Key inputs_Reserves'!$I$9:$I$36,'Key inputs_Reserves'!$A$9:$A$36,X$7)</f>
        <v>71488.653571030183</v>
      </c>
      <c r="Y18" s="258">
        <f>+SUMIFS('Key inputs_Reserves'!$I$9:$I$36,'Key inputs_Reserves'!$A$9:$A$36,Y$7)</f>
        <v>45772.054203650434</v>
      </c>
      <c r="Z18" s="258">
        <f>+SUMIFS('Key inputs_Reserves'!$I$9:$I$36,'Key inputs_Reserves'!$A$9:$A$36,Z$7)</f>
        <v>5988.5518512476583</v>
      </c>
      <c r="AA18" s="258">
        <f>+SUMIFS('Key inputs_Reserves'!$I$9:$I$36,'Key inputs_Reserves'!$A$9:$A$36,AA$7)</f>
        <v>258676.98499189428</v>
      </c>
      <c r="AB18" s="258">
        <f>+SUMIFS('Key inputs_Reserves'!$I$9:$I$36,'Key inputs_Reserves'!$A$9:$A$36,AB$7)</f>
        <v>28934.61336278194</v>
      </c>
      <c r="AC18" s="258">
        <f>+SUMIFS('Key inputs_Reserves'!$I$9:$I$36,'Key inputs_Reserves'!$A$9:$A$36,AC$7)</f>
        <v>2580682.5092257042</v>
      </c>
      <c r="AD18" s="258">
        <f>+SUMIFS('Key inputs_Reserves'!$I$9:$I$36,'Key inputs_Reserves'!$A$9:$A$36,AD$7)</f>
        <v>6133.5203239200018</v>
      </c>
      <c r="AE18" s="258">
        <f>+SUMIFS('Key inputs_Reserves'!$I$9:$I$36,'Key inputs_Reserves'!$A$9:$A$36,AE$7)</f>
        <v>188513.73661111109</v>
      </c>
      <c r="AF18" s="258">
        <f>+SUMIFS('Key inputs_Reserves'!$I$9:$I$36,'Key inputs_Reserves'!$A$9:$A$36,AF$7)</f>
        <v>1293621.0793242711</v>
      </c>
      <c r="AG18" s="258">
        <f>+SUMIFS('Key inputs_Reserves'!$I$9:$I$36,'Key inputs_Reserves'!$A$9:$A$36,AG$7)</f>
        <v>588.26276040558639</v>
      </c>
      <c r="AH18" s="258">
        <f>+SUMIFS('Key inputs_Reserves'!$I$9:$I$36,'Key inputs_Reserves'!$A$9:$A$36,AH$7)</f>
        <v>434644.26343630627</v>
      </c>
      <c r="AJ18" s="4" t="str">
        <f t="shared" si="2"/>
        <v>MIN</v>
      </c>
      <c r="AK18" t="str">
        <f>"MIN-"&amp;C18&amp;"2"</f>
        <v>MIN-RSVGAS2</v>
      </c>
      <c r="AL18" t="str">
        <f>"UPS Reserves of "&amp;Commodities!$D$10 &amp; " - Supply curve step 2"</f>
        <v>UPS Reserves of Natural gas - Reserve - Supply curve step 2</v>
      </c>
      <c r="AM18" s="4" t="s">
        <v>112</v>
      </c>
    </row>
    <row r="19" spans="1:39" s="4" customFormat="1">
      <c r="A19" s="4" t="str">
        <f t="shared" si="0"/>
        <v>MIN-RSVGAS3</v>
      </c>
      <c r="B19" s="4" t="str">
        <f t="shared" si="1"/>
        <v>UPS Reserves of Natural gas - Reserve - Supply curve step 3</v>
      </c>
      <c r="C19" s="4" t="str">
        <f>Commodities!$C$10</f>
        <v>RSVGAS</v>
      </c>
      <c r="D19" s="4" t="s">
        <v>672</v>
      </c>
      <c r="F19" s="4">
        <v>2019</v>
      </c>
      <c r="G19" s="258">
        <f>+SUMIFS('Key inputs_Reserves'!$J$9:$J$36,'Key inputs_Reserves'!$A$9:$A$36,G$7)</f>
        <v>7837.2953255233142</v>
      </c>
      <c r="H19" s="258">
        <f>+SUMIFS('Key inputs_Reserves'!$J$9:$J$36,'Key inputs_Reserves'!$A$9:$A$36,H$7)</f>
        <v>1013271.8783434029</v>
      </c>
      <c r="I19" s="258">
        <f>+SUMIFS('Key inputs_Reserves'!$J$9:$J$36,'Key inputs_Reserves'!$A$9:$A$36,I$7)</f>
        <v>100036.02739999596</v>
      </c>
      <c r="J19" s="258">
        <f>+SUMIFS('Key inputs_Reserves'!$J$9:$J$36,'Key inputs_Reserves'!$A$9:$A$36,J$7)</f>
        <v>93570.94454857301</v>
      </c>
      <c r="K19" s="258">
        <f>+SUMIFS('Key inputs_Reserves'!$J$9:$J$36,'Key inputs_Reserves'!$A$9:$A$36,K$7)</f>
        <v>306399.24579533964</v>
      </c>
      <c r="L19" s="258">
        <f>+SUMIFS('Key inputs_Reserves'!$J$9:$J$36,'Key inputs_Reserves'!$A$9:$A$36,L$7)</f>
        <v>2463190.6543010799</v>
      </c>
      <c r="M19" s="258">
        <f>+SUMIFS('Key inputs_Reserves'!$J$9:$J$36,'Key inputs_Reserves'!$A$9:$A$36,M$7)</f>
        <v>243182.23130517703</v>
      </c>
      <c r="N19" s="258">
        <f>+SUMIFS('Key inputs_Reserves'!$J$9:$J$36,'Key inputs_Reserves'!$A$9:$A$36,N$7)</f>
        <v>64735.595515845329</v>
      </c>
      <c r="O19" s="258">
        <f>+SUMIFS('Key inputs_Reserves'!$J$9:$J$36,'Key inputs_Reserves'!$A$9:$A$36,O$7)</f>
        <v>48119.06412276499</v>
      </c>
      <c r="P19" s="258">
        <f>+SUMIFS('Key inputs_Reserves'!$J$9:$J$36,'Key inputs_Reserves'!$A$9:$A$36,P$7)</f>
        <v>255683.80075354993</v>
      </c>
      <c r="Q19" s="258">
        <f>+SUMIFS('Key inputs_Reserves'!$J$9:$J$36,'Key inputs_Reserves'!$A$9:$A$36,Q$7)</f>
        <v>6834.8629841729144</v>
      </c>
      <c r="R19" s="258">
        <f>+SUMIFS('Key inputs_Reserves'!$J$9:$J$36,'Key inputs_Reserves'!$A$9:$A$36,R$7)</f>
        <v>1076880.7003168361</v>
      </c>
      <c r="S19" s="258">
        <f>+SUMIFS('Key inputs_Reserves'!$J$9:$J$36,'Key inputs_Reserves'!$A$9:$A$36,S$7)</f>
        <v>139917.49512091026</v>
      </c>
      <c r="T19" s="258">
        <f>+SUMIFS('Key inputs_Reserves'!$J$9:$J$36,'Key inputs_Reserves'!$A$9:$A$36,T$7)</f>
        <v>220498.29236182649</v>
      </c>
      <c r="U19" s="258">
        <f>+SUMIFS('Key inputs_Reserves'!$J$9:$J$36,'Key inputs_Reserves'!$A$9:$A$36,U$7)</f>
        <v>22487.662414835519</v>
      </c>
      <c r="V19" s="258">
        <f>+SUMIFS('Key inputs_Reserves'!$J$9:$J$36,'Key inputs_Reserves'!$A$9:$A$36,V$7)</f>
        <v>6491.8045775051896</v>
      </c>
      <c r="W19" s="258">
        <f>+SUMIFS('Key inputs_Reserves'!$J$9:$J$36,'Key inputs_Reserves'!$A$9:$A$36,W$7)</f>
        <v>30783.880695760614</v>
      </c>
      <c r="X19" s="258">
        <f>+SUMIFS('Key inputs_Reserves'!$J$9:$J$36,'Key inputs_Reserves'!$A$9:$A$36,X$7)</f>
        <v>266122.27813215746</v>
      </c>
      <c r="Y19" s="258">
        <f>+SUMIFS('Key inputs_Reserves'!$J$9:$J$36,'Key inputs_Reserves'!$A$9:$A$36,Y$7)</f>
        <v>170390.16306778256</v>
      </c>
      <c r="Z19" s="258">
        <f>+SUMIFS('Key inputs_Reserves'!$J$9:$J$36,'Key inputs_Reserves'!$A$9:$A$36,Z$7)</f>
        <v>22292.867213999343</v>
      </c>
      <c r="AA19" s="258">
        <f>+SUMIFS('Key inputs_Reserves'!$J$9:$J$36,'Key inputs_Reserves'!$A$9:$A$36,AA$7)</f>
        <v>962945.93767950323</v>
      </c>
      <c r="AB19" s="258">
        <f>+SUMIFS('Key inputs_Reserves'!$J$9:$J$36,'Key inputs_Reserves'!$A$9:$A$36,AB$7)</f>
        <v>107711.43167951728</v>
      </c>
      <c r="AC19" s="258">
        <f>+SUMIFS('Key inputs_Reserves'!$J$9:$J$36,'Key inputs_Reserves'!$A$9:$A$36,AC$7)</f>
        <v>9606798.7601498794</v>
      </c>
      <c r="AD19" s="258">
        <f>+SUMIFS('Key inputs_Reserves'!$J$9:$J$36,'Key inputs_Reserves'!$A$9:$A$36,AD$7)</f>
        <v>22832.524044528003</v>
      </c>
      <c r="AE19" s="258">
        <f>+SUMIFS('Key inputs_Reserves'!$J$9:$J$36,'Key inputs_Reserves'!$A$9:$A$36,AE$7)</f>
        <v>701757.58725555544</v>
      </c>
      <c r="AF19" s="258">
        <f>+SUMIFS('Key inputs_Reserves'!$J$9:$J$36,'Key inputs_Reserves'!$A$9:$A$36,AF$7)</f>
        <v>4815608.7920651892</v>
      </c>
      <c r="AG19" s="258">
        <f>+SUMIFS('Key inputs_Reserves'!$J$9:$J$36,'Key inputs_Reserves'!$A$9:$A$36,AG$7)</f>
        <v>2189.855566154989</v>
      </c>
      <c r="AH19" s="258">
        <f>+SUMIFS('Key inputs_Reserves'!$J$9:$J$36,'Key inputs_Reserves'!$A$9:$A$36,AH$7)</f>
        <v>1617998.3225983786</v>
      </c>
      <c r="AJ19" s="4" t="str">
        <f t="shared" si="2"/>
        <v>MIN</v>
      </c>
      <c r="AK19" t="str">
        <f>"MIN-"&amp;C19&amp;"3"</f>
        <v>MIN-RSVGAS3</v>
      </c>
      <c r="AL19" t="str">
        <f>"UPS Reserves of "&amp;Commodities!$D$10 &amp; " - Supply curve step 3"</f>
        <v>UPS Reserves of Natural gas - Reserve - Supply curve step 3</v>
      </c>
      <c r="AM19" s="4" t="s">
        <v>112</v>
      </c>
    </row>
    <row r="20" spans="1:39" s="4" customFormat="1">
      <c r="A20" s="4" t="str">
        <f t="shared" si="0"/>
        <v>MIN-RSVOIL1</v>
      </c>
      <c r="B20" s="4" t="str">
        <f t="shared" si="1"/>
        <v>UPS Reserves of Crude oil - Reserve - Supply curve step 1</v>
      </c>
      <c r="C20" s="4" t="str">
        <f>Commodities!$C$11</f>
        <v>RSVOIL</v>
      </c>
      <c r="D20" s="4" t="s">
        <v>672</v>
      </c>
      <c r="F20" s="4">
        <v>2019</v>
      </c>
      <c r="G20" s="258">
        <f>SUMIFS('Key inputs_Reserves'!$F$9:$F$36,'Key inputs_Reserves'!$A$9:$A$36,G$7)*1/3</f>
        <v>12740.358968973349</v>
      </c>
      <c r="H20" s="258">
        <f>SUMIFS('Key inputs_Reserves'!$F$9:$F$36,'Key inputs_Reserves'!$A$9:$A$36,H$7)*1/3</f>
        <v>111540.75341597165</v>
      </c>
      <c r="I20" s="258">
        <f>SUMIFS('Key inputs_Reserves'!$F$9:$F$36,'Key inputs_Reserves'!$A$9:$A$36,I$7)*1/3</f>
        <v>17508.683019289707</v>
      </c>
      <c r="J20" s="258">
        <f>SUMIFS('Key inputs_Reserves'!$F$9:$F$36,'Key inputs_Reserves'!$A$9:$A$36,J$7)*1/3</f>
        <v>17622.799899816782</v>
      </c>
      <c r="K20" s="258">
        <f>SUMIFS('Key inputs_Reserves'!$F$9:$F$36,'Key inputs_Reserves'!$A$9:$A$36,K$7)*1/3</f>
        <v>4223.3078626243978</v>
      </c>
      <c r="L20" s="258">
        <f>SUMIFS('Key inputs_Reserves'!$F$9:$F$36,'Key inputs_Reserves'!$A$9:$A$36,L$7)*1/3</f>
        <v>67317.144692669535</v>
      </c>
      <c r="M20" s="258">
        <f>SUMIFS('Key inputs_Reserves'!$F$9:$F$36,'Key inputs_Reserves'!$A$9:$A$36,M$7)*1/3</f>
        <v>6800.7039674731468</v>
      </c>
      <c r="N20" s="258">
        <f>SUMIFS('Key inputs_Reserves'!$F$9:$F$36,'Key inputs_Reserves'!$A$9:$A$36,N$7)*1/3</f>
        <v>1993.544782718898</v>
      </c>
      <c r="O20" s="574">
        <f>SUMIFS('Key inputs_Reserves'!$F$9:$F$36,'Key inputs_Reserves'!$A$9:$A$36,O$7)*1/3*3</f>
        <v>74667.819941022433</v>
      </c>
      <c r="P20" s="258">
        <f>SUMIFS('Key inputs_Reserves'!$F$9:$F$36,'Key inputs_Reserves'!$A$9:$A$36,P$7)*1/3</f>
        <v>319922.90136159683</v>
      </c>
      <c r="Q20" s="258">
        <f>SUMIFS('Key inputs_Reserves'!$F$9:$F$36,'Key inputs_Reserves'!$A$9:$A$36,Q$7)*1/3</f>
        <v>482.67882376023005</v>
      </c>
      <c r="R20" s="258">
        <f>SUMIFS('Key inputs_Reserves'!$F$9:$F$36,'Key inputs_Reserves'!$A$9:$A$36,R$7)*1/3</f>
        <v>52955.370802739992</v>
      </c>
      <c r="S20" s="258">
        <f>SUMIFS('Key inputs_Reserves'!$F$9:$F$36,'Key inputs_Reserves'!$A$9:$A$36,S$7)*1/3</f>
        <v>960.83715816265556</v>
      </c>
      <c r="T20" s="258">
        <f>SUMIFS('Key inputs_Reserves'!$F$9:$F$36,'Key inputs_Reserves'!$A$9:$A$36,T$7)*1/3</f>
        <v>20343.366572700994</v>
      </c>
      <c r="U20" s="258">
        <f>SUMIFS('Key inputs_Reserves'!$F$9:$F$36,'Key inputs_Reserves'!$A$9:$A$36,U$7)*1/3</f>
        <v>1853.1164496971285</v>
      </c>
      <c r="V20" s="258">
        <f>SUMIFS('Key inputs_Reserves'!$F$9:$F$36,'Key inputs_Reserves'!$A$9:$A$36,V$7)*1/3</f>
        <v>1815.3843037605036</v>
      </c>
      <c r="W20" s="258">
        <f>SUMIFS('Key inputs_Reserves'!$F$9:$F$36,'Key inputs_Reserves'!$A$9:$A$36,W$7)*1/3</f>
        <v>2042.0900811248496</v>
      </c>
      <c r="X20" s="258">
        <f>SUMIFS('Key inputs_Reserves'!$F$9:$F$36,'Key inputs_Reserves'!$A$9:$A$36,X$7)*1/3</f>
        <v>13495.668704353224</v>
      </c>
      <c r="Y20" s="258">
        <f>SUMIFS('Key inputs_Reserves'!$F$9:$F$36,'Key inputs_Reserves'!$A$9:$A$36,Y$7)*1/3</f>
        <v>8232.4397405706841</v>
      </c>
      <c r="Z20" s="258">
        <f>SUMIFS('Key inputs_Reserves'!$F$9:$F$36,'Key inputs_Reserves'!$A$9:$A$36,Z$7)*1/3</f>
        <v>46.254842786773111</v>
      </c>
      <c r="AA20" s="258">
        <f>SUMIFS('Key inputs_Reserves'!$F$9:$F$36,'Key inputs_Reserves'!$A$9:$A$36,AA$7)*1/3</f>
        <v>584681.90730251942</v>
      </c>
      <c r="AB20" s="258">
        <f>SUMIFS('Key inputs_Reserves'!$F$9:$F$36,'Key inputs_Reserves'!$A$9:$A$36,AB$7)*1/3</f>
        <v>5391.4678006474142</v>
      </c>
      <c r="AC20" s="258">
        <f>SUMIFS('Key inputs_Reserves'!$F$9:$F$36,'Key inputs_Reserves'!$A$9:$A$36,AC$7)*1/3</f>
        <v>1480065.3702643251</v>
      </c>
      <c r="AD20" s="258">
        <f>SUMIFS('Key inputs_Reserves'!$F$9:$F$36,'Key inputs_Reserves'!$A$9:$A$36,AD$7)*1/3</f>
        <v>11597.360092123607</v>
      </c>
      <c r="AE20" s="258">
        <f>SUMIFS('Key inputs_Reserves'!$F$9:$F$36,'Key inputs_Reserves'!$A$9:$A$36,AE$7)*1/3</f>
        <v>71384.129589550575</v>
      </c>
      <c r="AF20" s="258">
        <f>SUMIFS('Key inputs_Reserves'!$F$9:$F$36,'Key inputs_Reserves'!$A$9:$A$36,AF$7)*1/3</f>
        <v>206229.8622473095</v>
      </c>
      <c r="AG20" s="258">
        <f>SUMIFS('Key inputs_Reserves'!$F$9:$F$36,'Key inputs_Reserves'!$A$9:$A$36,AG$7)*1/3</f>
        <v>349.25068131519646</v>
      </c>
      <c r="AH20" s="258">
        <f>SUMIFS('Key inputs_Reserves'!$F$9:$F$36,'Key inputs_Reserves'!$A$9:$A$36,AH$7)*1/3</f>
        <v>113153.42582844086</v>
      </c>
      <c r="AJ20" s="4" t="str">
        <f t="shared" si="2"/>
        <v>MIN</v>
      </c>
      <c r="AK20" t="str">
        <f>"MIN-"&amp;C20&amp;"1"</f>
        <v>MIN-RSVOIL1</v>
      </c>
      <c r="AL20" t="str">
        <f>"UPS Reserves of "&amp;Commodities!$D$11 &amp; " - Supply curve step 1"</f>
        <v>UPS Reserves of Crude oil - Reserve - Supply curve step 1</v>
      </c>
      <c r="AM20" s="4" t="s">
        <v>112</v>
      </c>
    </row>
    <row r="21" spans="1:39" s="4" customFormat="1">
      <c r="A21" s="4" t="str">
        <f t="shared" si="0"/>
        <v>MIN-RSVOIL2</v>
      </c>
      <c r="B21" s="4" t="str">
        <f t="shared" si="1"/>
        <v>UPS Reserves of Crude oil - Reserve - Supply curve step 2</v>
      </c>
      <c r="C21" s="4" t="str">
        <f>Commodities!$C$11</f>
        <v>RSVOIL</v>
      </c>
      <c r="D21" s="4" t="s">
        <v>672</v>
      </c>
      <c r="F21" s="4">
        <v>2019</v>
      </c>
      <c r="G21" s="258">
        <f>SUMIFS('Key inputs_Reserves'!$F$9:$F$36,'Key inputs_Reserves'!$A$9:$A$36,G$7)*1/3</f>
        <v>12740.358968973349</v>
      </c>
      <c r="H21" s="258">
        <f>SUMIFS('Key inputs_Reserves'!$F$9:$F$36,'Key inputs_Reserves'!$A$9:$A$36,H$7)*1/3</f>
        <v>111540.75341597165</v>
      </c>
      <c r="I21" s="258">
        <f>SUMIFS('Key inputs_Reserves'!$F$9:$F$36,'Key inputs_Reserves'!$A$9:$A$36,I$7)*1/3</f>
        <v>17508.683019289707</v>
      </c>
      <c r="J21" s="258">
        <f>SUMIFS('Key inputs_Reserves'!$F$9:$F$36,'Key inputs_Reserves'!$A$9:$A$36,J$7)*1/3</f>
        <v>17622.799899816782</v>
      </c>
      <c r="K21" s="258">
        <f>SUMIFS('Key inputs_Reserves'!$F$9:$F$36,'Key inputs_Reserves'!$A$9:$A$36,K$7)*1/3</f>
        <v>4223.3078626243978</v>
      </c>
      <c r="L21" s="258">
        <f>SUMIFS('Key inputs_Reserves'!$F$9:$F$36,'Key inputs_Reserves'!$A$9:$A$36,L$7)*1/3</f>
        <v>67317.144692669535</v>
      </c>
      <c r="M21" s="258">
        <f>SUMIFS('Key inputs_Reserves'!$F$9:$F$36,'Key inputs_Reserves'!$A$9:$A$36,M$7)*1/3</f>
        <v>6800.7039674731468</v>
      </c>
      <c r="N21" s="258">
        <f>SUMIFS('Key inputs_Reserves'!$F$9:$F$36,'Key inputs_Reserves'!$A$9:$A$36,N$7)*1/3</f>
        <v>1993.544782718898</v>
      </c>
      <c r="O21" s="574">
        <f>SUMIFS('Key inputs_Reserves'!$F$9:$F$36,'Key inputs_Reserves'!$A$9:$A$36,O$7)*1/3*3</f>
        <v>74667.819941022433</v>
      </c>
      <c r="P21" s="258">
        <f>SUMIFS('Key inputs_Reserves'!$F$9:$F$36,'Key inputs_Reserves'!$A$9:$A$36,P$7)*1/3</f>
        <v>319922.90136159683</v>
      </c>
      <c r="Q21" s="258">
        <f>SUMIFS('Key inputs_Reserves'!$F$9:$F$36,'Key inputs_Reserves'!$A$9:$A$36,Q$7)*1/3</f>
        <v>482.67882376023005</v>
      </c>
      <c r="R21" s="258">
        <f>SUMIFS('Key inputs_Reserves'!$F$9:$F$36,'Key inputs_Reserves'!$A$9:$A$36,R$7)*1/3</f>
        <v>52955.370802739992</v>
      </c>
      <c r="S21" s="258">
        <f>SUMIFS('Key inputs_Reserves'!$F$9:$F$36,'Key inputs_Reserves'!$A$9:$A$36,S$7)*1/3</f>
        <v>960.83715816265556</v>
      </c>
      <c r="T21" s="258">
        <f>SUMIFS('Key inputs_Reserves'!$F$9:$F$36,'Key inputs_Reserves'!$A$9:$A$36,T$7)*1/3</f>
        <v>20343.366572700994</v>
      </c>
      <c r="U21" s="258">
        <f>SUMIFS('Key inputs_Reserves'!$F$9:$F$36,'Key inputs_Reserves'!$A$9:$A$36,U$7)*1/3</f>
        <v>1853.1164496971285</v>
      </c>
      <c r="V21" s="258">
        <f>SUMIFS('Key inputs_Reserves'!$F$9:$F$36,'Key inputs_Reserves'!$A$9:$A$36,V$7)*1/3</f>
        <v>1815.3843037605036</v>
      </c>
      <c r="W21" s="258">
        <f>SUMIFS('Key inputs_Reserves'!$F$9:$F$36,'Key inputs_Reserves'!$A$9:$A$36,W$7)*1/3</f>
        <v>2042.0900811248496</v>
      </c>
      <c r="X21" s="258">
        <f>SUMIFS('Key inputs_Reserves'!$F$9:$F$36,'Key inputs_Reserves'!$A$9:$A$36,X$7)*1/3</f>
        <v>13495.668704353224</v>
      </c>
      <c r="Y21" s="258">
        <f>SUMIFS('Key inputs_Reserves'!$F$9:$F$36,'Key inputs_Reserves'!$A$9:$A$36,Y$7)*1/3</f>
        <v>8232.4397405706841</v>
      </c>
      <c r="Z21" s="258">
        <f>SUMIFS('Key inputs_Reserves'!$F$9:$F$36,'Key inputs_Reserves'!$A$9:$A$36,Z$7)*1/3</f>
        <v>46.254842786773111</v>
      </c>
      <c r="AA21" s="258">
        <f>SUMIFS('Key inputs_Reserves'!$F$9:$F$36,'Key inputs_Reserves'!$A$9:$A$36,AA$7)*1/3</f>
        <v>584681.90730251942</v>
      </c>
      <c r="AB21" s="258">
        <f>SUMIFS('Key inputs_Reserves'!$F$9:$F$36,'Key inputs_Reserves'!$A$9:$A$36,AB$7)*1/3</f>
        <v>5391.4678006474142</v>
      </c>
      <c r="AC21" s="258">
        <f>SUMIFS('Key inputs_Reserves'!$F$9:$F$36,'Key inputs_Reserves'!$A$9:$A$36,AC$7)*1/3</f>
        <v>1480065.3702643251</v>
      </c>
      <c r="AD21" s="258">
        <f>SUMIFS('Key inputs_Reserves'!$F$9:$F$36,'Key inputs_Reserves'!$A$9:$A$36,AD$7)*1/3</f>
        <v>11597.360092123607</v>
      </c>
      <c r="AE21" s="258">
        <f>SUMIFS('Key inputs_Reserves'!$F$9:$F$36,'Key inputs_Reserves'!$A$9:$A$36,AE$7)*1/3</f>
        <v>71384.129589550575</v>
      </c>
      <c r="AF21" s="258">
        <f>SUMIFS('Key inputs_Reserves'!$F$9:$F$36,'Key inputs_Reserves'!$A$9:$A$36,AF$7)*1/3</f>
        <v>206229.8622473095</v>
      </c>
      <c r="AG21" s="258">
        <f>SUMIFS('Key inputs_Reserves'!$F$9:$F$36,'Key inputs_Reserves'!$A$9:$A$36,AG$7)*1/3</f>
        <v>349.25068131519646</v>
      </c>
      <c r="AH21" s="258">
        <f>SUMIFS('Key inputs_Reserves'!$F$9:$F$36,'Key inputs_Reserves'!$A$9:$A$36,AH$7)*1/3</f>
        <v>113153.42582844086</v>
      </c>
      <c r="AJ21" s="4" t="str">
        <f t="shared" si="2"/>
        <v>MIN</v>
      </c>
      <c r="AK21" t="str">
        <f>"MIN-"&amp;C21&amp;"2"</f>
        <v>MIN-RSVOIL2</v>
      </c>
      <c r="AL21" t="str">
        <f>"UPS Reserves of "&amp;Commodities!$D$11 &amp; " - Supply curve step 2"</f>
        <v>UPS Reserves of Crude oil - Reserve - Supply curve step 2</v>
      </c>
      <c r="AM21" s="4" t="s">
        <v>112</v>
      </c>
    </row>
    <row r="22" spans="1:39" s="4" customFormat="1">
      <c r="A22" s="4" t="str">
        <f t="shared" si="0"/>
        <v>MIN-RSVOIL3</v>
      </c>
      <c r="B22" s="4" t="str">
        <f t="shared" si="1"/>
        <v>UPS Reserves of Crude oil - Reserve - Supply curve step 3</v>
      </c>
      <c r="C22" s="4" t="str">
        <f>Commodities!$C$11</f>
        <v>RSVOIL</v>
      </c>
      <c r="D22" s="4" t="s">
        <v>672</v>
      </c>
      <c r="F22" s="4">
        <v>2019</v>
      </c>
      <c r="G22" s="258">
        <f>SUMIFS('Key inputs_Reserves'!$F$9:$F$36,'Key inputs_Reserves'!$A$9:$A$36,G$7)*1/3</f>
        <v>12740.358968973349</v>
      </c>
      <c r="H22" s="258">
        <f>SUMIFS('Key inputs_Reserves'!$F$9:$F$36,'Key inputs_Reserves'!$A$9:$A$36,H$7)*1/3</f>
        <v>111540.75341597165</v>
      </c>
      <c r="I22" s="258">
        <f>SUMIFS('Key inputs_Reserves'!$F$9:$F$36,'Key inputs_Reserves'!$A$9:$A$36,I$7)*1/3</f>
        <v>17508.683019289707</v>
      </c>
      <c r="J22" s="258">
        <f>SUMIFS('Key inputs_Reserves'!$F$9:$F$36,'Key inputs_Reserves'!$A$9:$A$36,J$7)*1/3</f>
        <v>17622.799899816782</v>
      </c>
      <c r="K22" s="258">
        <f>SUMIFS('Key inputs_Reserves'!$F$9:$F$36,'Key inputs_Reserves'!$A$9:$A$36,K$7)*1/3</f>
        <v>4223.3078626243978</v>
      </c>
      <c r="L22" s="258">
        <f>SUMIFS('Key inputs_Reserves'!$F$9:$F$36,'Key inputs_Reserves'!$A$9:$A$36,L$7)*1/3</f>
        <v>67317.144692669535</v>
      </c>
      <c r="M22" s="258">
        <f>SUMIFS('Key inputs_Reserves'!$F$9:$F$36,'Key inputs_Reserves'!$A$9:$A$36,M$7)*1/3</f>
        <v>6800.7039674731468</v>
      </c>
      <c r="N22" s="258">
        <f>SUMIFS('Key inputs_Reserves'!$F$9:$F$36,'Key inputs_Reserves'!$A$9:$A$36,N$7)*1/3</f>
        <v>1993.544782718898</v>
      </c>
      <c r="O22" s="574">
        <f>SUMIFS('Key inputs_Reserves'!$F$9:$F$36,'Key inputs_Reserves'!$A$9:$A$36,O$7)*1/3*3</f>
        <v>74667.819941022433</v>
      </c>
      <c r="P22" s="258">
        <f>SUMIFS('Key inputs_Reserves'!$F$9:$F$36,'Key inputs_Reserves'!$A$9:$A$36,P$7)*1/3</f>
        <v>319922.90136159683</v>
      </c>
      <c r="Q22" s="258">
        <f>SUMIFS('Key inputs_Reserves'!$F$9:$F$36,'Key inputs_Reserves'!$A$9:$A$36,Q$7)*1/3</f>
        <v>482.67882376023005</v>
      </c>
      <c r="R22" s="258">
        <f>SUMIFS('Key inputs_Reserves'!$F$9:$F$36,'Key inputs_Reserves'!$A$9:$A$36,R$7)*1/3</f>
        <v>52955.370802739992</v>
      </c>
      <c r="S22" s="258">
        <f>SUMIFS('Key inputs_Reserves'!$F$9:$F$36,'Key inputs_Reserves'!$A$9:$A$36,S$7)*1/3</f>
        <v>960.83715816265556</v>
      </c>
      <c r="T22" s="258">
        <f>SUMIFS('Key inputs_Reserves'!$F$9:$F$36,'Key inputs_Reserves'!$A$9:$A$36,T$7)*1/3</f>
        <v>20343.366572700994</v>
      </c>
      <c r="U22" s="258">
        <f>SUMIFS('Key inputs_Reserves'!$F$9:$F$36,'Key inputs_Reserves'!$A$9:$A$36,U$7)*1/3</f>
        <v>1853.1164496971285</v>
      </c>
      <c r="V22" s="258">
        <f>SUMIFS('Key inputs_Reserves'!$F$9:$F$36,'Key inputs_Reserves'!$A$9:$A$36,V$7)*1/3</f>
        <v>1815.3843037605036</v>
      </c>
      <c r="W22" s="258">
        <f>SUMIFS('Key inputs_Reserves'!$F$9:$F$36,'Key inputs_Reserves'!$A$9:$A$36,W$7)*1/3</f>
        <v>2042.0900811248496</v>
      </c>
      <c r="X22" s="258">
        <f>SUMIFS('Key inputs_Reserves'!$F$9:$F$36,'Key inputs_Reserves'!$A$9:$A$36,X$7)*1/3</f>
        <v>13495.668704353224</v>
      </c>
      <c r="Y22" s="258">
        <f>SUMIFS('Key inputs_Reserves'!$F$9:$F$36,'Key inputs_Reserves'!$A$9:$A$36,Y$7)*1/3</f>
        <v>8232.4397405706841</v>
      </c>
      <c r="Z22" s="258">
        <f>SUMIFS('Key inputs_Reserves'!$F$9:$F$36,'Key inputs_Reserves'!$A$9:$A$36,Z$7)*1/3</f>
        <v>46.254842786773111</v>
      </c>
      <c r="AA22" s="258">
        <f>SUMIFS('Key inputs_Reserves'!$F$9:$F$36,'Key inputs_Reserves'!$A$9:$A$36,AA$7)*1/3</f>
        <v>584681.90730251942</v>
      </c>
      <c r="AB22" s="258">
        <f>SUMIFS('Key inputs_Reserves'!$F$9:$F$36,'Key inputs_Reserves'!$A$9:$A$36,AB$7)*1/3</f>
        <v>5391.4678006474142</v>
      </c>
      <c r="AC22" s="258">
        <f>SUMIFS('Key inputs_Reserves'!$F$9:$F$36,'Key inputs_Reserves'!$A$9:$A$36,AC$7)*1/3</f>
        <v>1480065.3702643251</v>
      </c>
      <c r="AD22" s="258">
        <f>SUMIFS('Key inputs_Reserves'!$F$9:$F$36,'Key inputs_Reserves'!$A$9:$A$36,AD$7)*1/3</f>
        <v>11597.360092123607</v>
      </c>
      <c r="AE22" s="258">
        <f>SUMIFS('Key inputs_Reserves'!$F$9:$F$36,'Key inputs_Reserves'!$A$9:$A$36,AE$7)*1/3</f>
        <v>71384.129589550575</v>
      </c>
      <c r="AF22" s="258">
        <f>SUMIFS('Key inputs_Reserves'!$F$9:$F$36,'Key inputs_Reserves'!$A$9:$A$36,AF$7)*1/3</f>
        <v>206229.8622473095</v>
      </c>
      <c r="AG22" s="258">
        <f>SUMIFS('Key inputs_Reserves'!$F$9:$F$36,'Key inputs_Reserves'!$A$9:$A$36,AG$7)*1/3</f>
        <v>349.25068131519646</v>
      </c>
      <c r="AH22" s="258">
        <f>SUMIFS('Key inputs_Reserves'!$F$9:$F$36,'Key inputs_Reserves'!$A$9:$A$36,AH$7)*1/3</f>
        <v>113153.42582844086</v>
      </c>
      <c r="AJ22" s="4" t="str">
        <f t="shared" si="2"/>
        <v>MIN</v>
      </c>
      <c r="AK22" t="str">
        <f>"MIN-"&amp;C22&amp;"3"</f>
        <v>MIN-RSVOIL3</v>
      </c>
      <c r="AL22" t="str">
        <f>"UPS Reserves of "&amp;Commodities!$D$11 &amp; " - Supply curve step 3"</f>
        <v>UPS Reserves of Crude oil - Reserve - Supply curve step 3</v>
      </c>
      <c r="AM22" s="4" t="s">
        <v>112</v>
      </c>
    </row>
    <row r="23" spans="1:39" s="4" customFormat="1">
      <c r="A23" s="4" t="str">
        <f t="shared" ref="A23:A25" si="3">IF(AK23="",AJ23,AK23)</f>
        <v>MIN-RSVOILEOR1</v>
      </c>
      <c r="B23" s="4" t="str">
        <f t="shared" ref="B23:B25" si="4">IF($AK23="","",AL23)</f>
        <v>UPS Reserves of Crude oil - Reserve from EOR - Supply curve step 1</v>
      </c>
      <c r="C23" s="4" t="str">
        <f>Commodities!$C$12</f>
        <v>RSVOILEOR</v>
      </c>
      <c r="D23" s="4" t="s">
        <v>672</v>
      </c>
      <c r="F23" s="4">
        <v>2019</v>
      </c>
      <c r="G23" s="331">
        <f>SUMIFS('Key inputs_Reserves'!$F$9:$F$36,'Key inputs_Reserves'!$A$9:$A$36,G$7)*'Key inputs_Reserves'!$B$40/'Key inputs_Reserves'!$B$39*1/3</f>
        <v>6370.1794844866745</v>
      </c>
      <c r="H23" s="331">
        <f>SUMIFS('Key inputs_Reserves'!$F$9:$F$36,'Key inputs_Reserves'!$A$9:$A$36,H$7)*'Key inputs_Reserves'!$B$40/'Key inputs_Reserves'!$B$39*1/3</f>
        <v>55770.376707985823</v>
      </c>
      <c r="I23" s="331">
        <f>SUMIFS('Key inputs_Reserves'!$F$9:$F$36,'Key inputs_Reserves'!$A$9:$A$36,I$7)*'Key inputs_Reserves'!$B$40/'Key inputs_Reserves'!$B$39*1/3</f>
        <v>8754.3415096448534</v>
      </c>
      <c r="J23" s="331">
        <f>SUMIFS('Key inputs_Reserves'!$F$9:$F$36,'Key inputs_Reserves'!$A$9:$A$36,J$7)*'Key inputs_Reserves'!$B$40/'Key inputs_Reserves'!$B$39*1/3</f>
        <v>8811.3999499083911</v>
      </c>
      <c r="K23" s="331">
        <f>SUMIFS('Key inputs_Reserves'!$F$9:$F$36,'Key inputs_Reserves'!$A$9:$A$36,K$7)*'Key inputs_Reserves'!$B$40/'Key inputs_Reserves'!$B$39*1/3</f>
        <v>2111.6539313121989</v>
      </c>
      <c r="L23" s="331">
        <f>SUMIFS('Key inputs_Reserves'!$F$9:$F$36,'Key inputs_Reserves'!$A$9:$A$36,L$7)*'Key inputs_Reserves'!$B$40/'Key inputs_Reserves'!$B$39*1/3</f>
        <v>33658.572346334768</v>
      </c>
      <c r="M23" s="331">
        <f>SUMIFS('Key inputs_Reserves'!$F$9:$F$36,'Key inputs_Reserves'!$A$9:$A$36,M$7)*'Key inputs_Reserves'!$B$40/'Key inputs_Reserves'!$B$39*1/3</f>
        <v>3400.3519837365734</v>
      </c>
      <c r="N23" s="331">
        <f>SUMIFS('Key inputs_Reserves'!$F$9:$F$36,'Key inputs_Reserves'!$A$9:$A$36,N$7)*'Key inputs_Reserves'!$B$40/'Key inputs_Reserves'!$B$39*1/3</f>
        <v>996.77239135944899</v>
      </c>
      <c r="O23" s="331">
        <f>SUMIFS('Key inputs_Reserves'!$F$9:$F$36,'Key inputs_Reserves'!$A$9:$A$36,O$7)*'Key inputs_Reserves'!$B$40/'Key inputs_Reserves'!$B$39*1/3</f>
        <v>12444.636656837072</v>
      </c>
      <c r="P23" s="331">
        <f>SUMIFS('Key inputs_Reserves'!$F$9:$F$36,'Key inputs_Reserves'!$A$9:$A$36,P$7)*'Key inputs_Reserves'!$B$40/'Key inputs_Reserves'!$B$39*1/3</f>
        <v>159961.45068079841</v>
      </c>
      <c r="Q23" s="331">
        <f>SUMIFS('Key inputs_Reserves'!$F$9:$F$36,'Key inputs_Reserves'!$A$9:$A$36,Q$7)*'Key inputs_Reserves'!$B$40/'Key inputs_Reserves'!$B$39*1/3</f>
        <v>241.33941188011502</v>
      </c>
      <c r="R23" s="331">
        <f>SUMIFS('Key inputs_Reserves'!$F$9:$F$36,'Key inputs_Reserves'!$A$9:$A$36,R$7)*'Key inputs_Reserves'!$B$40/'Key inputs_Reserves'!$B$39*1/3</f>
        <v>26477.685401369996</v>
      </c>
      <c r="S23" s="331">
        <f>SUMIFS('Key inputs_Reserves'!$F$9:$F$36,'Key inputs_Reserves'!$A$9:$A$36,S$7)*'Key inputs_Reserves'!$B$40/'Key inputs_Reserves'!$B$39*1/3</f>
        <v>480.41857908132766</v>
      </c>
      <c r="T23" s="331">
        <f>SUMIFS('Key inputs_Reserves'!$F$9:$F$36,'Key inputs_Reserves'!$A$9:$A$36,T$7)*'Key inputs_Reserves'!$B$40/'Key inputs_Reserves'!$B$39*1/3</f>
        <v>10171.683286350497</v>
      </c>
      <c r="U23" s="331">
        <f>SUMIFS('Key inputs_Reserves'!$F$9:$F$36,'Key inputs_Reserves'!$A$9:$A$36,U$7)*'Key inputs_Reserves'!$B$40/'Key inputs_Reserves'!$B$39*1/3</f>
        <v>926.55822484856424</v>
      </c>
      <c r="V23" s="331">
        <f>SUMIFS('Key inputs_Reserves'!$F$9:$F$36,'Key inputs_Reserves'!$A$9:$A$36,V$7)*'Key inputs_Reserves'!$B$40/'Key inputs_Reserves'!$B$39*1/3</f>
        <v>907.6921518802518</v>
      </c>
      <c r="W23" s="331">
        <f>SUMIFS('Key inputs_Reserves'!$F$9:$F$36,'Key inputs_Reserves'!$A$9:$A$36,W$7)*'Key inputs_Reserves'!$B$40/'Key inputs_Reserves'!$B$39*1/3</f>
        <v>1021.0450405624248</v>
      </c>
      <c r="X23" s="331">
        <f>SUMIFS('Key inputs_Reserves'!$F$9:$F$36,'Key inputs_Reserves'!$A$9:$A$36,X$7)*'Key inputs_Reserves'!$B$40/'Key inputs_Reserves'!$B$39*1/3</f>
        <v>6747.8343521766119</v>
      </c>
      <c r="Y23" s="331">
        <f>SUMIFS('Key inputs_Reserves'!$F$9:$F$36,'Key inputs_Reserves'!$A$9:$A$36,Y$7)*'Key inputs_Reserves'!$B$40/'Key inputs_Reserves'!$B$39*1/3</f>
        <v>4116.219870285342</v>
      </c>
      <c r="Z23" s="331">
        <f>SUMIFS('Key inputs_Reserves'!$F$9:$F$36,'Key inputs_Reserves'!$A$9:$A$36,Z$7)*'Key inputs_Reserves'!$B$40/'Key inputs_Reserves'!$B$39*1/3</f>
        <v>23.127421393386555</v>
      </c>
      <c r="AA23" s="331">
        <f>SUMIFS('Key inputs_Reserves'!$F$9:$F$36,'Key inputs_Reserves'!$A$9:$A$36,AA$7)*'Key inputs_Reserves'!$B$40/'Key inputs_Reserves'!$B$39*1/3</f>
        <v>292340.95365125971</v>
      </c>
      <c r="AB23" s="331">
        <f>SUMIFS('Key inputs_Reserves'!$F$9:$F$36,'Key inputs_Reserves'!$A$9:$A$36,AB$7)*'Key inputs_Reserves'!$B$40/'Key inputs_Reserves'!$B$39*1/3</f>
        <v>2695.7339003237075</v>
      </c>
      <c r="AC23" s="331">
        <f>SUMIFS('Key inputs_Reserves'!$F$9:$F$36,'Key inputs_Reserves'!$A$9:$A$36,AC$7)*'Key inputs_Reserves'!$B$40/'Key inputs_Reserves'!$B$39*1/3</f>
        <v>740032.68513216253</v>
      </c>
      <c r="AD23" s="331">
        <f>SUMIFS('Key inputs_Reserves'!$F$9:$F$36,'Key inputs_Reserves'!$A$9:$A$36,AD$7)*'Key inputs_Reserves'!$B$40/'Key inputs_Reserves'!$B$39*1/3</f>
        <v>5798.6800460618033</v>
      </c>
      <c r="AE23" s="331">
        <f>SUMIFS('Key inputs_Reserves'!$F$9:$F$36,'Key inputs_Reserves'!$A$9:$A$36,AE$7)*'Key inputs_Reserves'!$B$40/'Key inputs_Reserves'!$B$39*1/3</f>
        <v>35692.064794775288</v>
      </c>
      <c r="AF23" s="331">
        <f>SUMIFS('Key inputs_Reserves'!$F$9:$F$36,'Key inputs_Reserves'!$A$9:$A$36,AF$7)*'Key inputs_Reserves'!$B$40/'Key inputs_Reserves'!$B$39*1/3</f>
        <v>103114.93112365475</v>
      </c>
      <c r="AG23" s="331">
        <f>SUMIFS('Key inputs_Reserves'!$F$9:$F$36,'Key inputs_Reserves'!$A$9:$A$36,AG$7)*'Key inputs_Reserves'!$B$40/'Key inputs_Reserves'!$B$39*1/3</f>
        <v>174.62534065759823</v>
      </c>
      <c r="AH23" s="331">
        <f>SUMIFS('Key inputs_Reserves'!$F$9:$F$36,'Key inputs_Reserves'!$A$9:$A$36,AH$7)*'Key inputs_Reserves'!$B$40/'Key inputs_Reserves'!$B$39*1/3</f>
        <v>56576.712914220429</v>
      </c>
      <c r="AJ23" s="4" t="str">
        <f t="shared" si="2"/>
        <v>MIN</v>
      </c>
      <c r="AK23" t="str">
        <f>"MIN-"&amp;C23&amp;"1"</f>
        <v>MIN-RSVOILEOR1</v>
      </c>
      <c r="AL23" t="str">
        <f>"UPS Reserves of "&amp;Commodities!$D$11 &amp; " from EOR - Supply curve step 1"</f>
        <v>UPS Reserves of Crude oil - Reserve from EOR - Supply curve step 1</v>
      </c>
      <c r="AM23" s="4" t="s">
        <v>112</v>
      </c>
    </row>
    <row r="24" spans="1:39" s="4" customFormat="1">
      <c r="A24" s="4" t="str">
        <f t="shared" si="3"/>
        <v>MIN-RSVOILEOR2</v>
      </c>
      <c r="B24" s="4" t="str">
        <f t="shared" si="4"/>
        <v>UPS Reserves of Crude oil - Reserve from EOR - Supply curve step 2</v>
      </c>
      <c r="C24" s="4" t="str">
        <f>Commodities!$C$12</f>
        <v>RSVOILEOR</v>
      </c>
      <c r="D24" s="4" t="s">
        <v>672</v>
      </c>
      <c r="F24" s="4">
        <v>2019</v>
      </c>
      <c r="G24" s="331">
        <f>SUMIFS('Key inputs_Reserves'!$F$9:$F$36,'Key inputs_Reserves'!$A$9:$A$36,G$7)*'Key inputs_Reserves'!$B$40/'Key inputs_Reserves'!$B$39*1/3</f>
        <v>6370.1794844866745</v>
      </c>
      <c r="H24" s="331">
        <f>SUMIFS('Key inputs_Reserves'!$F$9:$F$36,'Key inputs_Reserves'!$A$9:$A$36,H$7)*'Key inputs_Reserves'!$B$40/'Key inputs_Reserves'!$B$39*1/3</f>
        <v>55770.376707985823</v>
      </c>
      <c r="I24" s="331">
        <f>SUMIFS('Key inputs_Reserves'!$F$9:$F$36,'Key inputs_Reserves'!$A$9:$A$36,I$7)*'Key inputs_Reserves'!$B$40/'Key inputs_Reserves'!$B$39*1/3</f>
        <v>8754.3415096448534</v>
      </c>
      <c r="J24" s="331">
        <f>SUMIFS('Key inputs_Reserves'!$F$9:$F$36,'Key inputs_Reserves'!$A$9:$A$36,J$7)*'Key inputs_Reserves'!$B$40/'Key inputs_Reserves'!$B$39*1/3</f>
        <v>8811.3999499083911</v>
      </c>
      <c r="K24" s="331">
        <f>SUMIFS('Key inputs_Reserves'!$F$9:$F$36,'Key inputs_Reserves'!$A$9:$A$36,K$7)*'Key inputs_Reserves'!$B$40/'Key inputs_Reserves'!$B$39*1/3</f>
        <v>2111.6539313121989</v>
      </c>
      <c r="L24" s="331">
        <f>SUMIFS('Key inputs_Reserves'!$F$9:$F$36,'Key inputs_Reserves'!$A$9:$A$36,L$7)*'Key inputs_Reserves'!$B$40/'Key inputs_Reserves'!$B$39*1/3</f>
        <v>33658.572346334768</v>
      </c>
      <c r="M24" s="331">
        <f>SUMIFS('Key inputs_Reserves'!$F$9:$F$36,'Key inputs_Reserves'!$A$9:$A$36,M$7)*'Key inputs_Reserves'!$B$40/'Key inputs_Reserves'!$B$39*1/3</f>
        <v>3400.3519837365734</v>
      </c>
      <c r="N24" s="331">
        <f>SUMIFS('Key inputs_Reserves'!$F$9:$F$36,'Key inputs_Reserves'!$A$9:$A$36,N$7)*'Key inputs_Reserves'!$B$40/'Key inputs_Reserves'!$B$39*1/3</f>
        <v>996.77239135944899</v>
      </c>
      <c r="O24" s="331">
        <f>SUMIFS('Key inputs_Reserves'!$F$9:$F$36,'Key inputs_Reserves'!$A$9:$A$36,O$7)*'Key inputs_Reserves'!$B$40/'Key inputs_Reserves'!$B$39*1/3</f>
        <v>12444.636656837072</v>
      </c>
      <c r="P24" s="331">
        <f>SUMIFS('Key inputs_Reserves'!$F$9:$F$36,'Key inputs_Reserves'!$A$9:$A$36,P$7)*'Key inputs_Reserves'!$B$40/'Key inputs_Reserves'!$B$39*1/3</f>
        <v>159961.45068079841</v>
      </c>
      <c r="Q24" s="331">
        <f>SUMIFS('Key inputs_Reserves'!$F$9:$F$36,'Key inputs_Reserves'!$A$9:$A$36,Q$7)*'Key inputs_Reserves'!$B$40/'Key inputs_Reserves'!$B$39*1/3</f>
        <v>241.33941188011502</v>
      </c>
      <c r="R24" s="331">
        <f>SUMIFS('Key inputs_Reserves'!$F$9:$F$36,'Key inputs_Reserves'!$A$9:$A$36,R$7)*'Key inputs_Reserves'!$B$40/'Key inputs_Reserves'!$B$39*1/3</f>
        <v>26477.685401369996</v>
      </c>
      <c r="S24" s="331">
        <f>SUMIFS('Key inputs_Reserves'!$F$9:$F$36,'Key inputs_Reserves'!$A$9:$A$36,S$7)*'Key inputs_Reserves'!$B$40/'Key inputs_Reserves'!$B$39*1/3</f>
        <v>480.41857908132766</v>
      </c>
      <c r="T24" s="331">
        <f>SUMIFS('Key inputs_Reserves'!$F$9:$F$36,'Key inputs_Reserves'!$A$9:$A$36,T$7)*'Key inputs_Reserves'!$B$40/'Key inputs_Reserves'!$B$39*1/3</f>
        <v>10171.683286350497</v>
      </c>
      <c r="U24" s="331">
        <f>SUMIFS('Key inputs_Reserves'!$F$9:$F$36,'Key inputs_Reserves'!$A$9:$A$36,U$7)*'Key inputs_Reserves'!$B$40/'Key inputs_Reserves'!$B$39*1/3</f>
        <v>926.55822484856424</v>
      </c>
      <c r="V24" s="331">
        <f>SUMIFS('Key inputs_Reserves'!$F$9:$F$36,'Key inputs_Reserves'!$A$9:$A$36,V$7)*'Key inputs_Reserves'!$B$40/'Key inputs_Reserves'!$B$39*1/3</f>
        <v>907.6921518802518</v>
      </c>
      <c r="W24" s="331">
        <f>SUMIFS('Key inputs_Reserves'!$F$9:$F$36,'Key inputs_Reserves'!$A$9:$A$36,W$7)*'Key inputs_Reserves'!$B$40/'Key inputs_Reserves'!$B$39*1/3</f>
        <v>1021.0450405624248</v>
      </c>
      <c r="X24" s="331">
        <f>SUMIFS('Key inputs_Reserves'!$F$9:$F$36,'Key inputs_Reserves'!$A$9:$A$36,X$7)*'Key inputs_Reserves'!$B$40/'Key inputs_Reserves'!$B$39*1/3</f>
        <v>6747.8343521766119</v>
      </c>
      <c r="Y24" s="331">
        <f>SUMIFS('Key inputs_Reserves'!$F$9:$F$36,'Key inputs_Reserves'!$A$9:$A$36,Y$7)*'Key inputs_Reserves'!$B$40/'Key inputs_Reserves'!$B$39*1/3</f>
        <v>4116.219870285342</v>
      </c>
      <c r="Z24" s="331">
        <f>SUMIFS('Key inputs_Reserves'!$F$9:$F$36,'Key inputs_Reserves'!$A$9:$A$36,Z$7)*'Key inputs_Reserves'!$B$40/'Key inputs_Reserves'!$B$39*1/3</f>
        <v>23.127421393386555</v>
      </c>
      <c r="AA24" s="331">
        <f>SUMIFS('Key inputs_Reserves'!$F$9:$F$36,'Key inputs_Reserves'!$A$9:$A$36,AA$7)*'Key inputs_Reserves'!$B$40/'Key inputs_Reserves'!$B$39*1/3</f>
        <v>292340.95365125971</v>
      </c>
      <c r="AB24" s="331">
        <f>SUMIFS('Key inputs_Reserves'!$F$9:$F$36,'Key inputs_Reserves'!$A$9:$A$36,AB$7)*'Key inputs_Reserves'!$B$40/'Key inputs_Reserves'!$B$39*1/3</f>
        <v>2695.7339003237075</v>
      </c>
      <c r="AC24" s="331">
        <f>SUMIFS('Key inputs_Reserves'!$F$9:$F$36,'Key inputs_Reserves'!$A$9:$A$36,AC$7)*'Key inputs_Reserves'!$B$40/'Key inputs_Reserves'!$B$39*1/3</f>
        <v>740032.68513216253</v>
      </c>
      <c r="AD24" s="331">
        <f>SUMIFS('Key inputs_Reserves'!$F$9:$F$36,'Key inputs_Reserves'!$A$9:$A$36,AD$7)*'Key inputs_Reserves'!$B$40/'Key inputs_Reserves'!$B$39*1/3</f>
        <v>5798.6800460618033</v>
      </c>
      <c r="AE24" s="331">
        <f>SUMIFS('Key inputs_Reserves'!$F$9:$F$36,'Key inputs_Reserves'!$A$9:$A$36,AE$7)*'Key inputs_Reserves'!$B$40/'Key inputs_Reserves'!$B$39*1/3</f>
        <v>35692.064794775288</v>
      </c>
      <c r="AF24" s="331">
        <f>SUMIFS('Key inputs_Reserves'!$F$9:$F$36,'Key inputs_Reserves'!$A$9:$A$36,AF$7)*'Key inputs_Reserves'!$B$40/'Key inputs_Reserves'!$B$39*1/3</f>
        <v>103114.93112365475</v>
      </c>
      <c r="AG24" s="331">
        <f>SUMIFS('Key inputs_Reserves'!$F$9:$F$36,'Key inputs_Reserves'!$A$9:$A$36,AG$7)*'Key inputs_Reserves'!$B$40/'Key inputs_Reserves'!$B$39*1/3</f>
        <v>174.62534065759823</v>
      </c>
      <c r="AH24" s="331">
        <f>SUMIFS('Key inputs_Reserves'!$F$9:$F$36,'Key inputs_Reserves'!$A$9:$A$36,AH$7)*'Key inputs_Reserves'!$B$40/'Key inputs_Reserves'!$B$39*1/3</f>
        <v>56576.712914220429</v>
      </c>
      <c r="AJ24" s="4" t="str">
        <f t="shared" si="2"/>
        <v>MIN</v>
      </c>
      <c r="AK24" t="str">
        <f>"MIN-"&amp;C24&amp;"2"</f>
        <v>MIN-RSVOILEOR2</v>
      </c>
      <c r="AL24" t="str">
        <f>"UPS Reserves of "&amp;Commodities!$D$11 &amp; " from EOR - Supply curve step 2"</f>
        <v>UPS Reserves of Crude oil - Reserve from EOR - Supply curve step 2</v>
      </c>
      <c r="AM24" s="4" t="s">
        <v>112</v>
      </c>
    </row>
    <row r="25" spans="1:39" s="4" customFormat="1">
      <c r="A25" s="4" t="str">
        <f t="shared" si="3"/>
        <v>MIN-RSVOILEOR3</v>
      </c>
      <c r="B25" s="4" t="str">
        <f t="shared" si="4"/>
        <v>UPS Reserves of Crude oil - Reserve from EOR - Supply curve step 3</v>
      </c>
      <c r="C25" s="4" t="str">
        <f>Commodities!$C$12</f>
        <v>RSVOILEOR</v>
      </c>
      <c r="D25" s="4" t="s">
        <v>672</v>
      </c>
      <c r="F25" s="4">
        <v>2019</v>
      </c>
      <c r="G25" s="331">
        <f>SUMIFS('Key inputs_Reserves'!$F$9:$F$36,'Key inputs_Reserves'!$A$9:$A$36,G$7)*'Key inputs_Reserves'!$B$40/'Key inputs_Reserves'!$B$39*1/3</f>
        <v>6370.1794844866745</v>
      </c>
      <c r="H25" s="331">
        <f>SUMIFS('Key inputs_Reserves'!$F$9:$F$36,'Key inputs_Reserves'!$A$9:$A$36,H$7)*'Key inputs_Reserves'!$B$40/'Key inputs_Reserves'!$B$39*1/3</f>
        <v>55770.376707985823</v>
      </c>
      <c r="I25" s="331">
        <f>SUMIFS('Key inputs_Reserves'!$F$9:$F$36,'Key inputs_Reserves'!$A$9:$A$36,I$7)*'Key inputs_Reserves'!$B$40/'Key inputs_Reserves'!$B$39*1/3</f>
        <v>8754.3415096448534</v>
      </c>
      <c r="J25" s="331">
        <f>SUMIFS('Key inputs_Reserves'!$F$9:$F$36,'Key inputs_Reserves'!$A$9:$A$36,J$7)*'Key inputs_Reserves'!$B$40/'Key inputs_Reserves'!$B$39*1/3</f>
        <v>8811.3999499083911</v>
      </c>
      <c r="K25" s="331">
        <f>SUMIFS('Key inputs_Reserves'!$F$9:$F$36,'Key inputs_Reserves'!$A$9:$A$36,K$7)*'Key inputs_Reserves'!$B$40/'Key inputs_Reserves'!$B$39*1/3</f>
        <v>2111.6539313121989</v>
      </c>
      <c r="L25" s="331">
        <f>SUMIFS('Key inputs_Reserves'!$F$9:$F$36,'Key inputs_Reserves'!$A$9:$A$36,L$7)*'Key inputs_Reserves'!$B$40/'Key inputs_Reserves'!$B$39*1/3</f>
        <v>33658.572346334768</v>
      </c>
      <c r="M25" s="331">
        <f>SUMIFS('Key inputs_Reserves'!$F$9:$F$36,'Key inputs_Reserves'!$A$9:$A$36,M$7)*'Key inputs_Reserves'!$B$40/'Key inputs_Reserves'!$B$39*1/3</f>
        <v>3400.3519837365734</v>
      </c>
      <c r="N25" s="331">
        <f>SUMIFS('Key inputs_Reserves'!$F$9:$F$36,'Key inputs_Reserves'!$A$9:$A$36,N$7)*'Key inputs_Reserves'!$B$40/'Key inputs_Reserves'!$B$39*1/3</f>
        <v>996.77239135944899</v>
      </c>
      <c r="O25" s="331">
        <f>SUMIFS('Key inputs_Reserves'!$F$9:$F$36,'Key inputs_Reserves'!$A$9:$A$36,O$7)*'Key inputs_Reserves'!$B$40/'Key inputs_Reserves'!$B$39*1/3</f>
        <v>12444.636656837072</v>
      </c>
      <c r="P25" s="331">
        <f>SUMIFS('Key inputs_Reserves'!$F$9:$F$36,'Key inputs_Reserves'!$A$9:$A$36,P$7)*'Key inputs_Reserves'!$B$40/'Key inputs_Reserves'!$B$39*1/3</f>
        <v>159961.45068079841</v>
      </c>
      <c r="Q25" s="331">
        <f>SUMIFS('Key inputs_Reserves'!$F$9:$F$36,'Key inputs_Reserves'!$A$9:$A$36,Q$7)*'Key inputs_Reserves'!$B$40/'Key inputs_Reserves'!$B$39*1/3</f>
        <v>241.33941188011502</v>
      </c>
      <c r="R25" s="331">
        <f>SUMIFS('Key inputs_Reserves'!$F$9:$F$36,'Key inputs_Reserves'!$A$9:$A$36,R$7)*'Key inputs_Reserves'!$B$40/'Key inputs_Reserves'!$B$39*1/3</f>
        <v>26477.685401369996</v>
      </c>
      <c r="S25" s="331">
        <f>SUMIFS('Key inputs_Reserves'!$F$9:$F$36,'Key inputs_Reserves'!$A$9:$A$36,S$7)*'Key inputs_Reserves'!$B$40/'Key inputs_Reserves'!$B$39*1/3</f>
        <v>480.41857908132766</v>
      </c>
      <c r="T25" s="331">
        <f>SUMIFS('Key inputs_Reserves'!$F$9:$F$36,'Key inputs_Reserves'!$A$9:$A$36,T$7)*'Key inputs_Reserves'!$B$40/'Key inputs_Reserves'!$B$39*1/3</f>
        <v>10171.683286350497</v>
      </c>
      <c r="U25" s="331">
        <f>SUMIFS('Key inputs_Reserves'!$F$9:$F$36,'Key inputs_Reserves'!$A$9:$A$36,U$7)*'Key inputs_Reserves'!$B$40/'Key inputs_Reserves'!$B$39*1/3</f>
        <v>926.55822484856424</v>
      </c>
      <c r="V25" s="331">
        <f>SUMIFS('Key inputs_Reserves'!$F$9:$F$36,'Key inputs_Reserves'!$A$9:$A$36,V$7)*'Key inputs_Reserves'!$B$40/'Key inputs_Reserves'!$B$39*1/3</f>
        <v>907.6921518802518</v>
      </c>
      <c r="W25" s="331">
        <f>SUMIFS('Key inputs_Reserves'!$F$9:$F$36,'Key inputs_Reserves'!$A$9:$A$36,W$7)*'Key inputs_Reserves'!$B$40/'Key inputs_Reserves'!$B$39*1/3</f>
        <v>1021.0450405624248</v>
      </c>
      <c r="X25" s="331">
        <f>SUMIFS('Key inputs_Reserves'!$F$9:$F$36,'Key inputs_Reserves'!$A$9:$A$36,X$7)*'Key inputs_Reserves'!$B$40/'Key inputs_Reserves'!$B$39*1/3</f>
        <v>6747.8343521766119</v>
      </c>
      <c r="Y25" s="331">
        <f>SUMIFS('Key inputs_Reserves'!$F$9:$F$36,'Key inputs_Reserves'!$A$9:$A$36,Y$7)*'Key inputs_Reserves'!$B$40/'Key inputs_Reserves'!$B$39*1/3</f>
        <v>4116.219870285342</v>
      </c>
      <c r="Z25" s="331">
        <f>SUMIFS('Key inputs_Reserves'!$F$9:$F$36,'Key inputs_Reserves'!$A$9:$A$36,Z$7)*'Key inputs_Reserves'!$B$40/'Key inputs_Reserves'!$B$39*1/3</f>
        <v>23.127421393386555</v>
      </c>
      <c r="AA25" s="331">
        <f>SUMIFS('Key inputs_Reserves'!$F$9:$F$36,'Key inputs_Reserves'!$A$9:$A$36,AA$7)*'Key inputs_Reserves'!$B$40/'Key inputs_Reserves'!$B$39*1/3</f>
        <v>292340.95365125971</v>
      </c>
      <c r="AB25" s="331">
        <f>SUMIFS('Key inputs_Reserves'!$F$9:$F$36,'Key inputs_Reserves'!$A$9:$A$36,AB$7)*'Key inputs_Reserves'!$B$40/'Key inputs_Reserves'!$B$39*1/3</f>
        <v>2695.7339003237075</v>
      </c>
      <c r="AC25" s="331">
        <f>SUMIFS('Key inputs_Reserves'!$F$9:$F$36,'Key inputs_Reserves'!$A$9:$A$36,AC$7)*'Key inputs_Reserves'!$B$40/'Key inputs_Reserves'!$B$39*1/3</f>
        <v>740032.68513216253</v>
      </c>
      <c r="AD25" s="331">
        <f>SUMIFS('Key inputs_Reserves'!$F$9:$F$36,'Key inputs_Reserves'!$A$9:$A$36,AD$7)*'Key inputs_Reserves'!$B$40/'Key inputs_Reserves'!$B$39*1/3</f>
        <v>5798.6800460618033</v>
      </c>
      <c r="AE25" s="331">
        <f>SUMIFS('Key inputs_Reserves'!$F$9:$F$36,'Key inputs_Reserves'!$A$9:$A$36,AE$7)*'Key inputs_Reserves'!$B$40/'Key inputs_Reserves'!$B$39*1/3</f>
        <v>35692.064794775288</v>
      </c>
      <c r="AF25" s="331">
        <f>SUMIFS('Key inputs_Reserves'!$F$9:$F$36,'Key inputs_Reserves'!$A$9:$A$36,AF$7)*'Key inputs_Reserves'!$B$40/'Key inputs_Reserves'!$B$39*1/3</f>
        <v>103114.93112365475</v>
      </c>
      <c r="AG25" s="331">
        <f>SUMIFS('Key inputs_Reserves'!$F$9:$F$36,'Key inputs_Reserves'!$A$9:$A$36,AG$7)*'Key inputs_Reserves'!$B$40/'Key inputs_Reserves'!$B$39*1/3</f>
        <v>174.62534065759823</v>
      </c>
      <c r="AH25" s="331">
        <f>SUMIFS('Key inputs_Reserves'!$F$9:$F$36,'Key inputs_Reserves'!$A$9:$A$36,AH$7)*'Key inputs_Reserves'!$B$40/'Key inputs_Reserves'!$B$39*1/3</f>
        <v>56576.712914220429</v>
      </c>
      <c r="AJ25" s="4" t="str">
        <f t="shared" si="2"/>
        <v>MIN</v>
      </c>
      <c r="AK25" t="str">
        <f>"MIN-"&amp;C25&amp;"3"</f>
        <v>MIN-RSVOILEOR3</v>
      </c>
      <c r="AL25" t="str">
        <f>"UPS Reserves of "&amp;Commodities!$D$11 &amp; " from EOR - Supply curve step 3"</f>
        <v>UPS Reserves of Crude oil - Reserve from EOR - Supply curve step 3</v>
      </c>
      <c r="AM25" s="4" t="s">
        <v>112</v>
      </c>
    </row>
    <row r="26" spans="1:39" s="4" customFormat="1">
      <c r="G26" s="331"/>
      <c r="H26" s="331"/>
      <c r="I26" s="331"/>
      <c r="J26" s="331"/>
      <c r="K26" s="331"/>
      <c r="L26" s="331"/>
      <c r="M26" s="331"/>
      <c r="N26" s="331"/>
      <c r="O26" s="331"/>
      <c r="P26" s="331"/>
      <c r="Q26" s="331"/>
      <c r="R26" s="331"/>
      <c r="S26" s="331"/>
      <c r="T26" s="331"/>
      <c r="U26" s="331"/>
      <c r="V26" s="331"/>
      <c r="W26" s="331"/>
      <c r="X26" s="331"/>
      <c r="Y26" s="331"/>
      <c r="Z26" s="331"/>
      <c r="AA26" s="331"/>
      <c r="AB26" s="331"/>
      <c r="AC26" s="331"/>
      <c r="AD26" s="331"/>
      <c r="AE26" s="331"/>
      <c r="AF26" s="331"/>
      <c r="AG26" s="331"/>
      <c r="AH26" s="331"/>
      <c r="AK26"/>
      <c r="AL26"/>
    </row>
    <row r="27" spans="1:39" s="4" customFormat="1">
      <c r="A27" s="4" t="str">
        <f t="shared" si="0"/>
        <v>MIN-RSVNUC1</v>
      </c>
      <c r="B27" s="4" t="str">
        <f t="shared" si="1"/>
        <v>UPS Reserves of Uranium - Reserve - Supply curve step 1</v>
      </c>
      <c r="C27" s="4" t="str">
        <f>Commodities!$C$13</f>
        <v>RSVNUC</v>
      </c>
      <c r="D27" s="4" t="s">
        <v>672</v>
      </c>
      <c r="F27" s="4">
        <v>2019</v>
      </c>
      <c r="G27" s="258">
        <f>SUMIFS('Key inputs_Reserves'!$K$9:$K$36,'Key inputs_Reserves'!$A$9:$A$36,G$7)+SUMIFS('Key inputs_Reserves'!$O$9:$O$36,'Key inputs_Reserves'!$A$9:$A$36,G$7)</f>
        <v>0</v>
      </c>
      <c r="H27" s="258">
        <f>SUMIFS('Key inputs_Reserves'!$K$9:$K$36,'Key inputs_Reserves'!$A$9:$A$36,H$7)+SUMIFS('Key inputs_Reserves'!$O$9:$O$36,'Key inputs_Reserves'!$A$9:$A$36,H$7)</f>
        <v>0</v>
      </c>
      <c r="I27" s="258">
        <f>SUMIFS('Key inputs_Reserves'!$K$9:$K$36,'Key inputs_Reserves'!$A$9:$A$36,I$7)+SUMIFS('Key inputs_Reserves'!$O$9:$O$36,'Key inputs_Reserves'!$A$9:$A$36,I$7)</f>
        <v>0</v>
      </c>
      <c r="J27" s="258">
        <f>SUMIFS('Key inputs_Reserves'!$K$9:$K$36,'Key inputs_Reserves'!$A$9:$A$36,J$7)+SUMIFS('Key inputs_Reserves'!$O$9:$O$36,'Key inputs_Reserves'!$A$9:$A$36,J$7)</f>
        <v>0</v>
      </c>
      <c r="K27" s="258">
        <f>SUMIFS('Key inputs_Reserves'!$K$9:$K$36,'Key inputs_Reserves'!$A$9:$A$36,K$7)+SUMIFS('Key inputs_Reserves'!$O$9:$O$36,'Key inputs_Reserves'!$A$9:$A$36,K$7)</f>
        <v>0</v>
      </c>
      <c r="L27" s="258">
        <f>SUMIFS('Key inputs_Reserves'!$K$9:$K$36,'Key inputs_Reserves'!$A$9:$A$36,L$7)+SUMIFS('Key inputs_Reserves'!$O$9:$O$36,'Key inputs_Reserves'!$A$9:$A$36,L$7)</f>
        <v>48728696</v>
      </c>
      <c r="M27" s="258">
        <f>SUMIFS('Key inputs_Reserves'!$K$9:$K$36,'Key inputs_Reserves'!$A$9:$A$36,M$7)+SUMIFS('Key inputs_Reserves'!$O$9:$O$36,'Key inputs_Reserves'!$A$9:$A$36,M$7)</f>
        <v>0</v>
      </c>
      <c r="N27" s="576">
        <v>99</v>
      </c>
      <c r="O27" s="258">
        <f>SUMIFS('Key inputs_Reserves'!$K$9:$K$36,'Key inputs_Reserves'!$A$9:$A$36,O$7)+SUMIFS('Key inputs_Reserves'!$O$9:$O$36,'Key inputs_Reserves'!$A$9:$A$36,O$7)</f>
        <v>11495444</v>
      </c>
      <c r="P27" s="258">
        <f>SUMIFS('Key inputs_Reserves'!$K$9:$K$36,'Key inputs_Reserves'!$A$9:$A$36,P$7)+SUMIFS('Key inputs_Reserves'!$O$9:$O$36,'Key inputs_Reserves'!$A$9:$A$36,P$7)</f>
        <v>21675696</v>
      </c>
      <c r="Q27" s="258">
        <f>SUMIFS('Key inputs_Reserves'!$K$9:$K$36,'Key inputs_Reserves'!$A$9:$A$36,Q$7)+SUMIFS('Key inputs_Reserves'!$O$9:$O$36,'Key inputs_Reserves'!$A$9:$A$36,Q$7)</f>
        <v>0</v>
      </c>
      <c r="R27" s="258">
        <f>SUMIFS('Key inputs_Reserves'!$K$9:$K$36,'Key inputs_Reserves'!$A$9:$A$36,R$7)+SUMIFS('Key inputs_Reserves'!$O$9:$O$36,'Key inputs_Reserves'!$A$9:$A$36,R$7)</f>
        <v>7158640</v>
      </c>
      <c r="S27" s="258">
        <f>SUMIFS('Key inputs_Reserves'!$K$9:$K$36,'Key inputs_Reserves'!$A$9:$A$36,S$7)+SUMIFS('Key inputs_Reserves'!$O$9:$O$36,'Key inputs_Reserves'!$A$9:$A$36,S$7)</f>
        <v>0</v>
      </c>
      <c r="T27" s="576">
        <v>894</v>
      </c>
      <c r="U27" s="258">
        <f>SUMIFS('Key inputs_Reserves'!$K$9:$K$36,'Key inputs_Reserves'!$A$9:$A$36,U$7)+SUMIFS('Key inputs_Reserves'!$O$9:$O$36,'Key inputs_Reserves'!$A$9:$A$36,U$7)</f>
        <v>0</v>
      </c>
      <c r="V27" s="258">
        <f>SUMIFS('Key inputs_Reserves'!$K$9:$K$36,'Key inputs_Reserves'!$A$9:$A$36,V$7)+SUMIFS('Key inputs_Reserves'!$O$9:$O$36,'Key inputs_Reserves'!$A$9:$A$36,V$7)</f>
        <v>674244</v>
      </c>
      <c r="W27" s="258">
        <f>SUMIFS('Key inputs_Reserves'!$K$9:$K$36,'Key inputs_Reserves'!$A$9:$A$36,W$7)+SUMIFS('Key inputs_Reserves'!$O$9:$O$36,'Key inputs_Reserves'!$A$9:$A$36,W$7)</f>
        <v>0</v>
      </c>
      <c r="X27" s="258">
        <f>SUMIFS('Key inputs_Reserves'!$K$9:$K$36,'Key inputs_Reserves'!$A$9:$A$36,X$7)+SUMIFS('Key inputs_Reserves'!$O$9:$O$36,'Key inputs_Reserves'!$A$9:$A$36,X$7)</f>
        <v>0</v>
      </c>
      <c r="Y27" s="258">
        <f>SUMIFS('Key inputs_Reserves'!$K$9:$K$36,'Key inputs_Reserves'!$A$9:$A$36,Y$7)+SUMIFS('Key inputs_Reserves'!$O$9:$O$36,'Key inputs_Reserves'!$A$9:$A$36,Y$7)</f>
        <v>0</v>
      </c>
      <c r="Z27" s="258">
        <f>SUMIFS('Key inputs_Reserves'!$K$9:$K$36,'Key inputs_Reserves'!$A$9:$A$36,Z$7)+SUMIFS('Key inputs_Reserves'!$O$9:$O$36,'Key inputs_Reserves'!$A$9:$A$36,Z$7)</f>
        <v>0</v>
      </c>
      <c r="AA27" s="258">
        <f>SUMIFS('Key inputs_Reserves'!$K$9:$K$36,'Key inputs_Reserves'!$A$9:$A$36,AA$7)+SUMIFS('Key inputs_Reserves'!$O$9:$O$36,'Key inputs_Reserves'!$A$9:$A$36,AA$7)</f>
        <v>199776</v>
      </c>
      <c r="AB27" s="258">
        <f>SUMIFS('Key inputs_Reserves'!$K$9:$K$36,'Key inputs_Reserves'!$A$9:$A$36,AB$7)+SUMIFS('Key inputs_Reserves'!$O$9:$O$36,'Key inputs_Reserves'!$A$9:$A$36,AB$7)</f>
        <v>0</v>
      </c>
      <c r="AC27" s="258">
        <f>SUMIFS('Key inputs_Reserves'!$K$9:$K$36,'Key inputs_Reserves'!$A$9:$A$36,AC$7)+SUMIFS('Key inputs_Reserves'!$O$9:$O$36,'Key inputs_Reserves'!$A$9:$A$36,AC$7)</f>
        <v>0</v>
      </c>
      <c r="AD27" s="258">
        <f>SUMIFS('Key inputs_Reserves'!$K$9:$K$36,'Key inputs_Reserves'!$A$9:$A$36,AD$7)+SUMIFS('Key inputs_Reserves'!$O$9:$O$36,'Key inputs_Reserves'!$A$9:$A$36,AD$7)</f>
        <v>0</v>
      </c>
      <c r="AE27" s="258">
        <f>SUMIFS('Key inputs_Reserves'!$K$9:$K$36,'Key inputs_Reserves'!$A$9:$A$36,AE$7)+SUMIFS('Key inputs_Reserves'!$O$9:$O$36,'Key inputs_Reserves'!$A$9:$A$36,AE$7)</f>
        <v>0</v>
      </c>
      <c r="AF27" s="258">
        <f>SUMIFS('Key inputs_Reserves'!$K$9:$K$36,'Key inputs_Reserves'!$A$9:$A$36,AF$7)+SUMIFS('Key inputs_Reserves'!$O$9:$O$36,'Key inputs_Reserves'!$A$9:$A$36,AF$7)</f>
        <v>0</v>
      </c>
      <c r="AG27" s="576">
        <v>1576</v>
      </c>
      <c r="AH27" s="258">
        <f>SUMIFS('Key inputs_Reserves'!$K$9:$K$36,'Key inputs_Reserves'!$A$9:$A$36,AH$7)+SUMIFS('Key inputs_Reserves'!$O$9:$O$36,'Key inputs_Reserves'!$A$9:$A$36,AH$7)</f>
        <v>0</v>
      </c>
      <c r="AJ27" s="4" t="str">
        <f>IF($A27="*","*","MIN")</f>
        <v>MIN</v>
      </c>
      <c r="AK27" t="str">
        <f>"MIN-"&amp;C27&amp;"1"</f>
        <v>MIN-RSVNUC1</v>
      </c>
      <c r="AL27" t="str">
        <f>"UPS Reserves of "&amp;Commodities!$D$13 &amp; " - Supply curve step 1"</f>
        <v>UPS Reserves of Uranium - Reserve - Supply curve step 1</v>
      </c>
      <c r="AM27" s="4" t="s">
        <v>112</v>
      </c>
    </row>
    <row r="28" spans="1:39" s="4" customFormat="1">
      <c r="A28" s="4" t="str">
        <f t="shared" si="0"/>
        <v>MIN-RSVNUC2</v>
      </c>
      <c r="B28" s="4" t="str">
        <f t="shared" si="1"/>
        <v>UPS Reserves of Uranium - Reserve - Supply curve step 2</v>
      </c>
      <c r="C28" s="4" t="str">
        <f>Commodities!$C$13</f>
        <v>RSVNUC</v>
      </c>
      <c r="D28" s="4" t="s">
        <v>672</v>
      </c>
      <c r="F28" s="4">
        <v>2019</v>
      </c>
      <c r="G28" s="258">
        <f>SUMIFS('Key inputs_Reserves'!$L$9:$L$36,'Key inputs_Reserves'!$A$9:$A$36,G$7)+SUMIFS('Key inputs_Reserves'!$P$9:$P$36,'Key inputs_Reserves'!$A$9:$A$36,G$7)</f>
        <v>3895632</v>
      </c>
      <c r="H28" s="258">
        <f>SUMIFS('Key inputs_Reserves'!$L$9:$L$36,'Key inputs_Reserves'!$A$9:$A$36,H$7)+SUMIFS('Key inputs_Reserves'!$P$9:$P$36,'Key inputs_Reserves'!$A$9:$A$36,H$7)</f>
        <v>0</v>
      </c>
      <c r="I28" s="258">
        <f>SUMIFS('Key inputs_Reserves'!$L$9:$L$36,'Key inputs_Reserves'!$A$9:$A$36,I$7)+SUMIFS('Key inputs_Reserves'!$P$9:$P$36,'Key inputs_Reserves'!$A$9:$A$36,I$7)</f>
        <v>824076</v>
      </c>
      <c r="J28" s="258">
        <f>SUMIFS('Key inputs_Reserves'!$L$9:$L$36,'Key inputs_Reserves'!$A$9:$A$36,J$7)+SUMIFS('Key inputs_Reserves'!$P$9:$P$36,'Key inputs_Reserves'!$A$9:$A$36,J$7)</f>
        <v>18978720</v>
      </c>
      <c r="K28" s="258">
        <f>SUMIFS('Key inputs_Reserves'!$L$9:$L$36,'Key inputs_Reserves'!$A$9:$A$36,K$7)+SUMIFS('Key inputs_Reserves'!$P$9:$P$36,'Key inputs_Reserves'!$A$9:$A$36,K$7)</f>
        <v>0</v>
      </c>
      <c r="L28" s="258">
        <f>SUMIFS('Key inputs_Reserves'!$L$9:$L$36,'Key inputs_Reserves'!$A$9:$A$36,L$7)+SUMIFS('Key inputs_Reserves'!$P$9:$P$36,'Key inputs_Reserves'!$A$9:$A$36,L$7)</f>
        <v>69505400</v>
      </c>
      <c r="M28" s="258">
        <f>SUMIFS('Key inputs_Reserves'!$L$9:$L$36,'Key inputs_Reserves'!$A$9:$A$36,M$7)+SUMIFS('Key inputs_Reserves'!$P$9:$P$36,'Key inputs_Reserves'!$A$9:$A$36,M$7)</f>
        <v>0</v>
      </c>
      <c r="N28" s="258">
        <f>SUMIFS('Key inputs_Reserves'!$L$9:$L$36,'Key inputs_Reserves'!$A$9:$A$36,N$7)+SUMIFS('Key inputs_Reserves'!$P$9:$P$36,'Key inputs_Reserves'!$A$9:$A$36,N$7)</f>
        <v>0</v>
      </c>
      <c r="O28" s="258">
        <f>SUMIFS('Key inputs_Reserves'!$L$9:$L$36,'Key inputs_Reserves'!$A$9:$A$36,O$7)+SUMIFS('Key inputs_Reserves'!$P$9:$P$36,'Key inputs_Reserves'!$A$9:$A$36,O$7)</f>
        <v>19095256</v>
      </c>
      <c r="P28" s="258">
        <f>SUMIFS('Key inputs_Reserves'!$L$9:$L$36,'Key inputs_Reserves'!$A$9:$A$36,P$7)+SUMIFS('Key inputs_Reserves'!$P$9:$P$36,'Key inputs_Reserves'!$A$9:$A$36,P$7)</f>
        <v>22424856</v>
      </c>
      <c r="Q28" s="258">
        <f>SUMIFS('Key inputs_Reserves'!$L$9:$L$36,'Key inputs_Reserves'!$A$9:$A$36,Q$7)+SUMIFS('Key inputs_Reserves'!$P$9:$P$36,'Key inputs_Reserves'!$A$9:$A$36,Q$7)</f>
        <v>0</v>
      </c>
      <c r="R28" s="258">
        <f>SUMIFS('Key inputs_Reserves'!$L$9:$L$36,'Key inputs_Reserves'!$A$9:$A$36,R$7)+SUMIFS('Key inputs_Reserves'!$P$9:$P$36,'Key inputs_Reserves'!$A$9:$A$36,R$7)</f>
        <v>12835608</v>
      </c>
      <c r="S28" s="258">
        <f>SUMIFS('Key inputs_Reserves'!$L$9:$L$36,'Key inputs_Reserves'!$A$9:$A$36,S$7)+SUMIFS('Key inputs_Reserves'!$P$9:$P$36,'Key inputs_Reserves'!$A$9:$A$36,S$7)</f>
        <v>6068196</v>
      </c>
      <c r="T28" s="258">
        <f>SUMIFS('Key inputs_Reserves'!$L$9:$L$36,'Key inputs_Reserves'!$A$9:$A$36,T$7)+SUMIFS('Key inputs_Reserves'!$P$9:$P$36,'Key inputs_Reserves'!$A$9:$A$36,T$7)</f>
        <v>0</v>
      </c>
      <c r="U28" s="258">
        <f>SUMIFS('Key inputs_Reserves'!$L$9:$L$36,'Key inputs_Reserves'!$A$9:$A$36,U$7)+SUMIFS('Key inputs_Reserves'!$P$9:$P$36,'Key inputs_Reserves'!$A$9:$A$36,U$7)</f>
        <v>1514968</v>
      </c>
      <c r="V28" s="258">
        <f>SUMIFS('Key inputs_Reserves'!$L$9:$L$36,'Key inputs_Reserves'!$A$9:$A$36,V$7)+SUMIFS('Key inputs_Reserves'!$P$9:$P$36,'Key inputs_Reserves'!$A$9:$A$36,V$7)</f>
        <v>3254684</v>
      </c>
      <c r="W28" s="258">
        <f>SUMIFS('Key inputs_Reserves'!$L$9:$L$36,'Key inputs_Reserves'!$A$9:$A$36,W$7)+SUMIFS('Key inputs_Reserves'!$P$9:$P$36,'Key inputs_Reserves'!$A$9:$A$36,W$7)</f>
        <v>0</v>
      </c>
      <c r="X28" s="258">
        <f>SUMIFS('Key inputs_Reserves'!$L$9:$L$36,'Key inputs_Reserves'!$A$9:$A$36,X$7)+SUMIFS('Key inputs_Reserves'!$P$9:$P$36,'Key inputs_Reserves'!$A$9:$A$36,X$7)</f>
        <v>124859.99999999999</v>
      </c>
      <c r="Y28" s="258">
        <f>SUMIFS('Key inputs_Reserves'!$L$9:$L$36,'Key inputs_Reserves'!$A$9:$A$36,Y$7)+SUMIFS('Key inputs_Reserves'!$P$9:$P$36,'Key inputs_Reserves'!$A$9:$A$36,Y$7)</f>
        <v>0</v>
      </c>
      <c r="Z28" s="258">
        <f>SUMIFS('Key inputs_Reserves'!$L$9:$L$36,'Key inputs_Reserves'!$A$9:$A$36,Z$7)+SUMIFS('Key inputs_Reserves'!$P$9:$P$36,'Key inputs_Reserves'!$A$9:$A$36,Z$7)</f>
        <v>0</v>
      </c>
      <c r="AA28" s="258">
        <f>SUMIFS('Key inputs_Reserves'!$L$9:$L$36,'Key inputs_Reserves'!$A$9:$A$36,AA$7)+SUMIFS('Key inputs_Reserves'!$P$9:$P$36,'Key inputs_Reserves'!$A$9:$A$36,AA$7)</f>
        <v>4261888</v>
      </c>
      <c r="AB28" s="258">
        <f>SUMIFS('Key inputs_Reserves'!$L$9:$L$36,'Key inputs_Reserves'!$A$9:$A$36,AB$7)+SUMIFS('Key inputs_Reserves'!$P$9:$P$36,'Key inputs_Reserves'!$A$9:$A$36,AB$7)</f>
        <v>0</v>
      </c>
      <c r="AC28" s="258">
        <f>SUMIFS('Key inputs_Reserves'!$L$9:$L$36,'Key inputs_Reserves'!$A$9:$A$36,AC$7)+SUMIFS('Key inputs_Reserves'!$P$9:$P$36,'Key inputs_Reserves'!$A$9:$A$36,AC$7)</f>
        <v>0</v>
      </c>
      <c r="AD28" s="258">
        <f>SUMIFS('Key inputs_Reserves'!$L$9:$L$36,'Key inputs_Reserves'!$A$9:$A$36,AD$7)+SUMIFS('Key inputs_Reserves'!$P$9:$P$36,'Key inputs_Reserves'!$A$9:$A$36,AD$7)</f>
        <v>0</v>
      </c>
      <c r="AE28" s="258">
        <f>SUMIFS('Key inputs_Reserves'!$L$9:$L$36,'Key inputs_Reserves'!$A$9:$A$36,AE$7)+SUMIFS('Key inputs_Reserves'!$P$9:$P$36,'Key inputs_Reserves'!$A$9:$A$36,AE$7)</f>
        <v>0</v>
      </c>
      <c r="AF28" s="258">
        <f>SUMIFS('Key inputs_Reserves'!$L$9:$L$36,'Key inputs_Reserves'!$A$9:$A$36,AF$7)+SUMIFS('Key inputs_Reserves'!$P$9:$P$36,'Key inputs_Reserves'!$A$9:$A$36,AF$7)</f>
        <v>3163120</v>
      </c>
      <c r="AG28" s="258">
        <f>SUMIFS('Key inputs_Reserves'!$L$9:$L$36,'Key inputs_Reserves'!$A$9:$A$36,AG$7)+SUMIFS('Key inputs_Reserves'!$P$9:$P$36,'Key inputs_Reserves'!$A$9:$A$36,AG$7)</f>
        <v>0</v>
      </c>
      <c r="AH28" s="258">
        <f>SUMIFS('Key inputs_Reserves'!$L$9:$L$36,'Key inputs_Reserves'!$A$9:$A$36,AH$7)+SUMIFS('Key inputs_Reserves'!$P$9:$P$36,'Key inputs_Reserves'!$A$9:$A$36,AH$7)</f>
        <v>1157036</v>
      </c>
      <c r="AJ28" s="4" t="str">
        <f>IF($A28="*","*","MIN")</f>
        <v>MIN</v>
      </c>
      <c r="AK28" t="str">
        <f>"MIN-"&amp;C28&amp;"2"</f>
        <v>MIN-RSVNUC2</v>
      </c>
      <c r="AL28" t="str">
        <f>"UPS Reserves of "&amp;Commodities!$D$13 &amp; " - Supply curve step 2"</f>
        <v>UPS Reserves of Uranium - Reserve - Supply curve step 2</v>
      </c>
      <c r="AM28" s="4" t="s">
        <v>112</v>
      </c>
    </row>
    <row r="29" spans="1:39" s="4" customFormat="1">
      <c r="A29" s="4" t="str">
        <f t="shared" si="0"/>
        <v>MIN-RSVNUC3</v>
      </c>
      <c r="B29" s="4" t="str">
        <f t="shared" si="1"/>
        <v>UPS Reserves of Uranium - Reserve - Supply curve step 3</v>
      </c>
      <c r="C29" s="4" t="str">
        <f>Commodities!$C$13</f>
        <v>RSVNUC</v>
      </c>
      <c r="D29" s="4" t="s">
        <v>672</v>
      </c>
      <c r="F29" s="4">
        <v>2019</v>
      </c>
      <c r="G29" s="258">
        <f>SUMIFS('Key inputs_Reserves'!$M$9:$M$36,'Key inputs_Reserves'!$A$9:$A$36,G$7)+SUMIFS('Key inputs_Reserves'!$Q$9:$Q$36,'Key inputs_Reserves'!$A$9:$A$36,G$7)</f>
        <v>4844568</v>
      </c>
      <c r="H29" s="258">
        <f>SUMIFS('Key inputs_Reserves'!$M$9:$M$36,'Key inputs_Reserves'!$A$9:$A$36,H$7)+SUMIFS('Key inputs_Reserves'!$Q$9:$Q$36,'Key inputs_Reserves'!$A$9:$A$36,H$7)</f>
        <v>33296</v>
      </c>
      <c r="I29" s="258">
        <f>SUMIFS('Key inputs_Reserves'!$M$9:$M$36,'Key inputs_Reserves'!$A$9:$A$36,I$7)+SUMIFS('Key inputs_Reserves'!$Q$9:$Q$36,'Key inputs_Reserves'!$A$9:$A$36,I$7)</f>
        <v>28759420</v>
      </c>
      <c r="J29" s="258">
        <f>SUMIFS('Key inputs_Reserves'!$M$9:$M$36,'Key inputs_Reserves'!$A$9:$A$36,J$7)+SUMIFS('Key inputs_Reserves'!$Q$9:$Q$36,'Key inputs_Reserves'!$A$9:$A$36,J$7)</f>
        <v>73858852</v>
      </c>
      <c r="K29" s="258">
        <f>SUMIFS('Key inputs_Reserves'!$M$9:$M$36,'Key inputs_Reserves'!$A$9:$A$36,K$7)+SUMIFS('Key inputs_Reserves'!$Q$9:$Q$36,'Key inputs_Reserves'!$A$9:$A$36,K$7)</f>
        <v>140900348</v>
      </c>
      <c r="L29" s="258">
        <f>SUMIFS('Key inputs_Reserves'!$M$9:$M$36,'Key inputs_Reserves'!$A$9:$A$36,L$7)+SUMIFS('Key inputs_Reserves'!$Q$9:$Q$36,'Key inputs_Reserves'!$A$9:$A$36,L$7)</f>
        <v>98431300</v>
      </c>
      <c r="M29" s="258">
        <f>SUMIFS('Key inputs_Reserves'!$M$9:$M$36,'Key inputs_Reserves'!$A$9:$A$36,M$7)+SUMIFS('Key inputs_Reserves'!$Q$9:$Q$36,'Key inputs_Reserves'!$A$9:$A$36,M$7)</f>
        <v>0</v>
      </c>
      <c r="N29" s="258">
        <f>SUMIFS('Key inputs_Reserves'!$M$9:$M$36,'Key inputs_Reserves'!$A$9:$A$36,N$7)+SUMIFS('Key inputs_Reserves'!$Q$9:$Q$36,'Key inputs_Reserves'!$A$9:$A$36,N$7)</f>
        <v>0</v>
      </c>
      <c r="O29" s="258">
        <f>SUMIFS('Key inputs_Reserves'!$M$9:$M$36,'Key inputs_Reserves'!$A$9:$A$36,O$7)+SUMIFS('Key inputs_Reserves'!$Q$9:$Q$36,'Key inputs_Reserves'!$A$9:$A$36,O$7)</f>
        <v>23040832</v>
      </c>
      <c r="P29" s="258">
        <f>SUMIFS('Key inputs_Reserves'!$M$9:$M$36,'Key inputs_Reserves'!$A$9:$A$36,P$7)+SUMIFS('Key inputs_Reserves'!$Q$9:$Q$36,'Key inputs_Reserves'!$A$9:$A$36,P$7)</f>
        <v>47022276</v>
      </c>
      <c r="Q29" s="258">
        <f>SUMIFS('Key inputs_Reserves'!$M$9:$M$36,'Key inputs_Reserves'!$A$9:$A$36,Q$7)+SUMIFS('Key inputs_Reserves'!$Q$9:$Q$36,'Key inputs_Reserves'!$A$9:$A$36,Q$7)</f>
        <v>0</v>
      </c>
      <c r="R29" s="258">
        <f>SUMIFS('Key inputs_Reserves'!$M$9:$M$36,'Key inputs_Reserves'!$A$9:$A$36,R$7)+SUMIFS('Key inputs_Reserves'!$Q$9:$Q$36,'Key inputs_Reserves'!$A$9:$A$36,R$7)</f>
        <v>20718436</v>
      </c>
      <c r="S29" s="258">
        <f>SUMIFS('Key inputs_Reserves'!$M$9:$M$36,'Key inputs_Reserves'!$A$9:$A$36,S$7)+SUMIFS('Key inputs_Reserves'!$Q$9:$Q$36,'Key inputs_Reserves'!$A$9:$A$36,S$7)</f>
        <v>9048188</v>
      </c>
      <c r="T29" s="258">
        <f>SUMIFS('Key inputs_Reserves'!$M$9:$M$36,'Key inputs_Reserves'!$A$9:$A$36,T$7)+SUMIFS('Key inputs_Reserves'!$Q$9:$Q$36,'Key inputs_Reserves'!$A$9:$A$36,T$7)</f>
        <v>0</v>
      </c>
      <c r="U29" s="258">
        <f>SUMIFS('Key inputs_Reserves'!$M$9:$M$36,'Key inputs_Reserves'!$A$9:$A$36,U$7)+SUMIFS('Key inputs_Reserves'!$Q$9:$Q$36,'Key inputs_Reserves'!$A$9:$A$36,U$7)</f>
        <v>2680328</v>
      </c>
      <c r="V29" s="258">
        <f>SUMIFS('Key inputs_Reserves'!$M$9:$M$36,'Key inputs_Reserves'!$A$9:$A$36,V$7)+SUMIFS('Key inputs_Reserves'!$Q$9:$Q$36,'Key inputs_Reserves'!$A$9:$A$36,V$7)</f>
        <v>3462784</v>
      </c>
      <c r="W29" s="258">
        <f>SUMIFS('Key inputs_Reserves'!$M$9:$M$36,'Key inputs_Reserves'!$A$9:$A$36,W$7)+SUMIFS('Key inputs_Reserves'!$Q$9:$Q$36,'Key inputs_Reserves'!$A$9:$A$36,W$7)</f>
        <v>898992</v>
      </c>
      <c r="X29" s="258">
        <f>SUMIFS('Key inputs_Reserves'!$M$9:$M$36,'Key inputs_Reserves'!$A$9:$A$36,X$7)+SUMIFS('Key inputs_Reserves'!$Q$9:$Q$36,'Key inputs_Reserves'!$A$9:$A$36,X$7)</f>
        <v>690892</v>
      </c>
      <c r="Y29" s="258">
        <f>SUMIFS('Key inputs_Reserves'!$M$9:$M$36,'Key inputs_Reserves'!$A$9:$A$36,Y$7)+SUMIFS('Key inputs_Reserves'!$Q$9:$Q$36,'Key inputs_Reserves'!$A$9:$A$36,Y$7)</f>
        <v>0</v>
      </c>
      <c r="Z29" s="258">
        <f>SUMIFS('Key inputs_Reserves'!$M$9:$M$36,'Key inputs_Reserves'!$A$9:$A$36,Z$7)+SUMIFS('Key inputs_Reserves'!$Q$9:$Q$36,'Key inputs_Reserves'!$A$9:$A$36,Z$7)</f>
        <v>549384</v>
      </c>
      <c r="AA29" s="258">
        <f>SUMIFS('Key inputs_Reserves'!$M$9:$M$36,'Key inputs_Reserves'!$A$9:$A$36,AA$7)+SUMIFS('Key inputs_Reserves'!$Q$9:$Q$36,'Key inputs_Reserves'!$A$9:$A$36,AA$7)</f>
        <v>6001603.9999999991</v>
      </c>
      <c r="AB29" s="258">
        <f>SUMIFS('Key inputs_Reserves'!$M$9:$M$36,'Key inputs_Reserves'!$A$9:$A$36,AB$7)+SUMIFS('Key inputs_Reserves'!$Q$9:$Q$36,'Key inputs_Reserves'!$A$9:$A$36,AB$7)</f>
        <v>5410600</v>
      </c>
      <c r="AC29" s="258">
        <f>SUMIFS('Key inputs_Reserves'!$M$9:$M$36,'Key inputs_Reserves'!$A$9:$A$36,AC$7)+SUMIFS('Key inputs_Reserves'!$Q$9:$Q$36,'Key inputs_Reserves'!$A$9:$A$36,AC$7)</f>
        <v>615976</v>
      </c>
      <c r="AD29" s="258">
        <f>SUMIFS('Key inputs_Reserves'!$M$9:$M$36,'Key inputs_Reserves'!$A$9:$A$36,AD$7)+SUMIFS('Key inputs_Reserves'!$Q$9:$Q$36,'Key inputs_Reserves'!$A$9:$A$36,AD$7)</f>
        <v>299664</v>
      </c>
      <c r="AE29" s="258">
        <f>SUMIFS('Key inputs_Reserves'!$M$9:$M$36,'Key inputs_Reserves'!$A$9:$A$36,AE$7)+SUMIFS('Key inputs_Reserves'!$Q$9:$Q$36,'Key inputs_Reserves'!$A$9:$A$36,AE$7)</f>
        <v>0</v>
      </c>
      <c r="AF29" s="258">
        <f>SUMIFS('Key inputs_Reserves'!$M$9:$M$36,'Key inputs_Reserves'!$A$9:$A$36,AF$7)+SUMIFS('Key inputs_Reserves'!$Q$9:$Q$36,'Key inputs_Reserves'!$A$9:$A$36,AF$7)</f>
        <v>40454640</v>
      </c>
      <c r="AG29" s="258">
        <f>SUMIFS('Key inputs_Reserves'!$M$9:$M$36,'Key inputs_Reserves'!$A$9:$A$36,AG$7)+SUMIFS('Key inputs_Reserves'!$Q$9:$Q$36,'Key inputs_Reserves'!$A$9:$A$36,AG$7)</f>
        <v>0</v>
      </c>
      <c r="AH29" s="258">
        <f>SUMIFS('Key inputs_Reserves'!$M$9:$M$36,'Key inputs_Reserves'!$A$9:$A$36,AH$7)+SUMIFS('Key inputs_Reserves'!$Q$9:$Q$36,'Key inputs_Reserves'!$A$9:$A$36,AH$7)</f>
        <v>3987195.9999999995</v>
      </c>
      <c r="AJ29" s="4" t="str">
        <f>IF($A29="*","*","MIN")</f>
        <v>MIN</v>
      </c>
      <c r="AK29" t="str">
        <f>"MIN-"&amp;C29&amp;"3"</f>
        <v>MIN-RSVNUC3</v>
      </c>
      <c r="AL29" t="str">
        <f>"UPS Reserves of "&amp;Commodities!$D$13 &amp; " - Supply curve step 3"</f>
        <v>UPS Reserves of Uranium - Reserve - Supply curve step 3</v>
      </c>
      <c r="AM29" s="4" t="s">
        <v>112</v>
      </c>
    </row>
    <row r="30" spans="1:39">
      <c r="A30" s="4" t="str">
        <f t="shared" si="0"/>
        <v>MIN-RSVNUC4</v>
      </c>
      <c r="B30" s="4" t="str">
        <f t="shared" si="1"/>
        <v>UPS Reserves of Uranium - Reserve - Supply curve step 4</v>
      </c>
      <c r="C30" s="4" t="str">
        <f>Commodities!$C$13</f>
        <v>RSVNUC</v>
      </c>
      <c r="D30" s="4" t="s">
        <v>672</v>
      </c>
      <c r="F30" s="4">
        <v>2019</v>
      </c>
      <c r="G30" s="258">
        <f>SUMIFS('Key inputs_Reserves'!$N$9:$N$36,'Key inputs_Reserves'!$A$9:$A$36,G$7)+SUMIFS('Key inputs_Reserves'!$R$9:$R$36,'Key inputs_Reserves'!$A$9:$A$36,G$7)</f>
        <v>5477192</v>
      </c>
      <c r="H30" s="258">
        <f>SUMIFS('Key inputs_Reserves'!$N$9:$N$36,'Key inputs_Reserves'!$A$9:$A$36,H$7)+SUMIFS('Key inputs_Reserves'!$R$9:$R$36,'Key inputs_Reserves'!$A$9:$A$36,H$7)</f>
        <v>1781336</v>
      </c>
      <c r="I30" s="258">
        <f>SUMIFS('Key inputs_Reserves'!$N$9:$N$36,'Key inputs_Reserves'!$A$9:$A$36,I$7)+SUMIFS('Key inputs_Reserves'!$R$9:$R$36,'Key inputs_Reserves'!$A$9:$A$36,I$7)</f>
        <v>44200440</v>
      </c>
      <c r="J30" s="258">
        <f>SUMIFS('Key inputs_Reserves'!$N$9:$N$36,'Key inputs_Reserves'!$A$9:$A$36,J$7)+SUMIFS('Key inputs_Reserves'!$R$9:$R$36,'Key inputs_Reserves'!$A$9:$A$36,J$7)</f>
        <v>89191660</v>
      </c>
      <c r="K30" s="258">
        <f>SUMIFS('Key inputs_Reserves'!$N$9:$N$36,'Key inputs_Reserves'!$A$9:$A$36,K$7)+SUMIFS('Key inputs_Reserves'!$R$9:$R$36,'Key inputs_Reserves'!$A$9:$A$36,K$7)</f>
        <v>170592056</v>
      </c>
      <c r="L30" s="258">
        <f>SUMIFS('Key inputs_Reserves'!$N$9:$N$36,'Key inputs_Reserves'!$A$9:$A$36,L$7)+SUMIFS('Key inputs_Reserves'!$R$9:$R$36,'Key inputs_Reserves'!$A$9:$A$36,L$7)</f>
        <v>103617152</v>
      </c>
      <c r="M30" s="258">
        <f>SUMIFS('Key inputs_Reserves'!$N$9:$N$36,'Key inputs_Reserves'!$A$9:$A$36,M$7)+SUMIFS('Key inputs_Reserves'!$R$9:$R$36,'Key inputs_Reserves'!$A$9:$A$36,M$7)</f>
        <v>0</v>
      </c>
      <c r="N30" s="258">
        <f>SUMIFS('Key inputs_Reserves'!$N$9:$N$36,'Key inputs_Reserves'!$A$9:$A$36,N$7)+SUMIFS('Key inputs_Reserves'!$R$9:$R$36,'Key inputs_Reserves'!$A$9:$A$36,N$7)</f>
        <v>0</v>
      </c>
      <c r="O30" s="258">
        <f>SUMIFS('Key inputs_Reserves'!$N$9:$N$36,'Key inputs_Reserves'!$A$9:$A$36,O$7)+SUMIFS('Key inputs_Reserves'!$R$9:$R$36,'Key inputs_Reserves'!$A$9:$A$36,O$7)</f>
        <v>23040832</v>
      </c>
      <c r="P30" s="258">
        <f>SUMIFS('Key inputs_Reserves'!$N$9:$N$36,'Key inputs_Reserves'!$A$9:$A$36,P$7)+SUMIFS('Key inputs_Reserves'!$R$9:$R$36,'Key inputs_Reserves'!$A$9:$A$36,P$7)</f>
        <v>72668520</v>
      </c>
      <c r="Q30" s="258">
        <f>SUMIFS('Key inputs_Reserves'!$N$9:$N$36,'Key inputs_Reserves'!$A$9:$A$36,Q$7)+SUMIFS('Key inputs_Reserves'!$R$9:$R$36,'Key inputs_Reserves'!$A$9:$A$36,Q$7)</f>
        <v>124860</v>
      </c>
      <c r="R30" s="258">
        <f>SUMIFS('Key inputs_Reserves'!$N$9:$N$36,'Key inputs_Reserves'!$A$9:$A$36,R$7)+SUMIFS('Key inputs_Reserves'!$R$9:$R$36,'Key inputs_Reserves'!$A$9:$A$36,R$7)</f>
        <v>22449828</v>
      </c>
      <c r="S30" s="258">
        <f>SUMIFS('Key inputs_Reserves'!$N$9:$N$36,'Key inputs_Reserves'!$A$9:$A$36,S$7)+SUMIFS('Key inputs_Reserves'!$R$9:$R$36,'Key inputs_Reserves'!$A$9:$A$36,S$7)</f>
        <v>15557556</v>
      </c>
      <c r="T30" s="258">
        <f>SUMIFS('Key inputs_Reserves'!$N$9:$N$36,'Key inputs_Reserves'!$A$9:$A$36,T$7)+SUMIFS('Key inputs_Reserves'!$R$9:$R$36,'Key inputs_Reserves'!$A$9:$A$36,T$7)</f>
        <v>0</v>
      </c>
      <c r="U30" s="258">
        <f>SUMIFS('Key inputs_Reserves'!$N$9:$N$36,'Key inputs_Reserves'!$A$9:$A$36,U$7)+SUMIFS('Key inputs_Reserves'!$R$9:$R$36,'Key inputs_Reserves'!$A$9:$A$36,U$7)</f>
        <v>13651360</v>
      </c>
      <c r="V30" s="258">
        <f>SUMIFS('Key inputs_Reserves'!$N$9:$N$36,'Key inputs_Reserves'!$A$9:$A$36,V$7)+SUMIFS('Key inputs_Reserves'!$R$9:$R$36,'Key inputs_Reserves'!$A$9:$A$36,V$7)</f>
        <v>4045464</v>
      </c>
      <c r="W30" s="258">
        <f>SUMIFS('Key inputs_Reserves'!$N$9:$N$36,'Key inputs_Reserves'!$A$9:$A$36,W$7)+SUMIFS('Key inputs_Reserves'!$R$9:$R$36,'Key inputs_Reserves'!$A$9:$A$36,W$7)</f>
        <v>10971032</v>
      </c>
      <c r="X30" s="258">
        <f>SUMIFS('Key inputs_Reserves'!$N$9:$N$36,'Key inputs_Reserves'!$A$9:$A$36,X$7)+SUMIFS('Key inputs_Reserves'!$R$9:$R$36,'Key inputs_Reserves'!$A$9:$A$36,X$7)</f>
        <v>1015527.9999999999</v>
      </c>
      <c r="Y30" s="258">
        <f>SUMIFS('Key inputs_Reserves'!$N$9:$N$36,'Key inputs_Reserves'!$A$9:$A$36,Y$7)+SUMIFS('Key inputs_Reserves'!$R$9:$R$36,'Key inputs_Reserves'!$A$9:$A$36,Y$7)</f>
        <v>16315039.999999998</v>
      </c>
      <c r="Z30" s="258">
        <f>SUMIFS('Key inputs_Reserves'!$N$9:$N$36,'Key inputs_Reserves'!$A$9:$A$36,Z$7)+SUMIFS('Key inputs_Reserves'!$R$9:$R$36,'Key inputs_Reserves'!$A$9:$A$36,Z$7)</f>
        <v>549384</v>
      </c>
      <c r="AA30" s="258">
        <f>SUMIFS('Key inputs_Reserves'!$N$9:$N$36,'Key inputs_Reserves'!$A$9:$A$36,AA$7)+SUMIFS('Key inputs_Reserves'!$R$9:$R$36,'Key inputs_Reserves'!$A$9:$A$36,AA$7)</f>
        <v>6392832</v>
      </c>
      <c r="AB30" s="258">
        <f>SUMIFS('Key inputs_Reserves'!$N$9:$N$36,'Key inputs_Reserves'!$A$9:$A$36,AB$7)+SUMIFS('Key inputs_Reserves'!$R$9:$R$36,'Key inputs_Reserves'!$A$9:$A$36,AB$7)</f>
        <v>5502164</v>
      </c>
      <c r="AC30" s="258">
        <f>SUMIFS('Key inputs_Reserves'!$N$9:$N$36,'Key inputs_Reserves'!$A$9:$A$36,AC$7)+SUMIFS('Key inputs_Reserves'!$R$9:$R$36,'Key inputs_Reserves'!$A$9:$A$36,AC$7)</f>
        <v>615976</v>
      </c>
      <c r="AD30" s="258">
        <f>SUMIFS('Key inputs_Reserves'!$N$9:$N$36,'Key inputs_Reserves'!$A$9:$A$36,AD$7)+SUMIFS('Key inputs_Reserves'!$R$9:$R$36,'Key inputs_Reserves'!$A$9:$A$36,AD$7)</f>
        <v>416200</v>
      </c>
      <c r="AE30" s="258">
        <f>SUMIFS('Key inputs_Reserves'!$N$9:$N$36,'Key inputs_Reserves'!$A$9:$A$36,AE$7)+SUMIFS('Key inputs_Reserves'!$R$9:$R$36,'Key inputs_Reserves'!$A$9:$A$36,AE$7)</f>
        <v>0</v>
      </c>
      <c r="AF30" s="258">
        <f>SUMIFS('Key inputs_Reserves'!$N$9:$N$36,'Key inputs_Reserves'!$A$9:$A$36,AF$7)+SUMIFS('Key inputs_Reserves'!$R$9:$R$36,'Key inputs_Reserves'!$A$9:$A$36,AF$7)</f>
        <v>55096556</v>
      </c>
      <c r="AG30" s="258">
        <f>SUMIFS('Key inputs_Reserves'!$N$9:$N$36,'Key inputs_Reserves'!$A$9:$A$36,AG$7)+SUMIFS('Key inputs_Reserves'!$R$9:$R$36,'Key inputs_Reserves'!$A$9:$A$36,AG$7)</f>
        <v>0</v>
      </c>
      <c r="AH30" s="258">
        <f>SUMIFS('Key inputs_Reserves'!$N$9:$N$36,'Key inputs_Reserves'!$A$9:$A$36,AH$7)+SUMIFS('Key inputs_Reserves'!$R$9:$R$36,'Key inputs_Reserves'!$A$9:$A$36,AH$7)</f>
        <v>8482156</v>
      </c>
      <c r="AJ30" s="4" t="str">
        <f>IF($A30="*","*","MIN")</f>
        <v>MIN</v>
      </c>
      <c r="AK30" t="str">
        <f>"MIN-"&amp;C30&amp;"4"</f>
        <v>MIN-RSVNUC4</v>
      </c>
      <c r="AL30" t="str">
        <f>"UPS Reserves of "&amp;Commodities!$D$13 &amp; " - Supply curve step 4"</f>
        <v>UPS Reserves of Uranium - Reserve - Supply curve step 4</v>
      </c>
      <c r="AM30" s="4" t="s">
        <v>112</v>
      </c>
    </row>
    <row r="32" spans="1:39" ht="18">
      <c r="A32" s="8" t="s">
        <v>673</v>
      </c>
      <c r="B32" s="4"/>
      <c r="C32" s="4"/>
      <c r="D32" s="4"/>
      <c r="E32" s="4"/>
      <c r="F32" s="4"/>
      <c r="G32" s="4"/>
    </row>
    <row r="33" spans="1:37" ht="18">
      <c r="A33" s="8"/>
      <c r="B33" s="4"/>
      <c r="C33" s="4"/>
      <c r="D33" s="4"/>
      <c r="E33" s="4"/>
      <c r="F33" s="4"/>
      <c r="G33" s="4"/>
    </row>
    <row r="34" spans="1:37">
      <c r="A34" s="261" t="s">
        <v>625</v>
      </c>
      <c r="B34" s="4"/>
      <c r="C34" s="4"/>
      <c r="D34" s="4"/>
      <c r="E34" s="4"/>
      <c r="F34" s="4"/>
      <c r="G34" s="4"/>
    </row>
    <row r="35" spans="1:37" ht="16.2" thickBot="1">
      <c r="A35" s="11" t="s">
        <v>627</v>
      </c>
      <c r="B35" s="11" t="s">
        <v>666</v>
      </c>
      <c r="C35" s="240" t="s">
        <v>629</v>
      </c>
      <c r="D35" s="10" t="s">
        <v>654</v>
      </c>
      <c r="E35" s="10" t="s">
        <v>629</v>
      </c>
      <c r="F35" s="10" t="s">
        <v>629</v>
      </c>
      <c r="G35" s="10" t="s">
        <v>172</v>
      </c>
      <c r="H35" s="10" t="s">
        <v>175</v>
      </c>
      <c r="I35" s="10" t="s">
        <v>178</v>
      </c>
      <c r="J35" s="10" t="s">
        <v>181</v>
      </c>
      <c r="K35" s="10" t="s">
        <v>184</v>
      </c>
      <c r="L35" s="10" t="s">
        <v>187</v>
      </c>
      <c r="M35" s="10" t="s">
        <v>190</v>
      </c>
      <c r="N35" s="10" t="s">
        <v>193</v>
      </c>
      <c r="O35" s="10" t="s">
        <v>196</v>
      </c>
      <c r="P35" s="10" t="s">
        <v>198</v>
      </c>
      <c r="Q35" s="10" t="s">
        <v>200</v>
      </c>
      <c r="R35" s="10" t="s">
        <v>202</v>
      </c>
      <c r="S35" s="10" t="s">
        <v>205</v>
      </c>
      <c r="T35" s="10" t="s">
        <v>208</v>
      </c>
      <c r="U35" s="10" t="s">
        <v>211</v>
      </c>
      <c r="V35" s="10" t="s">
        <v>214</v>
      </c>
      <c r="W35" s="10" t="s">
        <v>217</v>
      </c>
      <c r="X35" s="10" t="s">
        <v>220</v>
      </c>
      <c r="Y35" s="10" t="s">
        <v>223</v>
      </c>
      <c r="Z35" s="10" t="s">
        <v>225</v>
      </c>
      <c r="AA35" s="10" t="s">
        <v>227</v>
      </c>
      <c r="AB35" s="10" t="s">
        <v>230</v>
      </c>
      <c r="AC35" s="10" t="s">
        <v>233</v>
      </c>
      <c r="AD35" s="10" t="s">
        <v>236</v>
      </c>
      <c r="AE35" s="10" t="s">
        <v>238</v>
      </c>
      <c r="AF35" s="10" t="s">
        <v>240</v>
      </c>
      <c r="AG35" s="10" t="s">
        <v>243</v>
      </c>
      <c r="AH35" s="10" t="s">
        <v>245</v>
      </c>
    </row>
    <row r="36" spans="1:37" ht="55.2">
      <c r="A36" s="241" t="s">
        <v>639</v>
      </c>
      <c r="B36" s="241" t="s">
        <v>668</v>
      </c>
      <c r="C36" s="241"/>
      <c r="D36" s="241" t="s">
        <v>669</v>
      </c>
      <c r="E36" s="241"/>
      <c r="F36" s="241"/>
      <c r="G36" s="241" t="s">
        <v>173</v>
      </c>
      <c r="H36" s="241" t="s">
        <v>176</v>
      </c>
      <c r="I36" s="241" t="s">
        <v>179</v>
      </c>
      <c r="J36" s="241" t="s">
        <v>182</v>
      </c>
      <c r="K36" s="241" t="s">
        <v>185</v>
      </c>
      <c r="L36" s="241" t="s">
        <v>188</v>
      </c>
      <c r="M36" s="241" t="s">
        <v>191</v>
      </c>
      <c r="N36" s="241" t="s">
        <v>194</v>
      </c>
      <c r="O36" s="241" t="s">
        <v>197</v>
      </c>
      <c r="P36" s="241" t="s">
        <v>199</v>
      </c>
      <c r="Q36" s="241" t="s">
        <v>201</v>
      </c>
      <c r="R36" s="241" t="s">
        <v>203</v>
      </c>
      <c r="S36" s="241" t="s">
        <v>206</v>
      </c>
      <c r="T36" s="241" t="s">
        <v>209</v>
      </c>
      <c r="U36" s="241" t="s">
        <v>212</v>
      </c>
      <c r="V36" s="241" t="s">
        <v>215</v>
      </c>
      <c r="W36" s="241" t="s">
        <v>218</v>
      </c>
      <c r="X36" s="241" t="s">
        <v>221</v>
      </c>
      <c r="Y36" s="241" t="s">
        <v>224</v>
      </c>
      <c r="Z36" s="241" t="s">
        <v>226</v>
      </c>
      <c r="AA36" s="241" t="s">
        <v>228</v>
      </c>
      <c r="AB36" s="241" t="s">
        <v>231</v>
      </c>
      <c r="AC36" s="241" t="s">
        <v>234</v>
      </c>
      <c r="AD36" s="241" t="s">
        <v>237</v>
      </c>
      <c r="AE36" s="241" t="s">
        <v>239</v>
      </c>
      <c r="AF36" s="241" t="s">
        <v>241</v>
      </c>
      <c r="AG36" s="241" t="s">
        <v>1172</v>
      </c>
      <c r="AH36" s="241" t="s">
        <v>246</v>
      </c>
      <c r="AK36" s="176"/>
    </row>
    <row r="37" spans="1:37">
      <c r="A37" s="257" t="s">
        <v>649</v>
      </c>
      <c r="B37" s="257"/>
      <c r="C37" s="257"/>
      <c r="D37" s="257"/>
      <c r="E37" s="257"/>
      <c r="F37" s="257"/>
      <c r="G37" s="262" t="s">
        <v>2662</v>
      </c>
      <c r="H37" s="262" t="s">
        <v>2662</v>
      </c>
      <c r="I37" s="262" t="s">
        <v>2662</v>
      </c>
      <c r="J37" s="262" t="s">
        <v>2662</v>
      </c>
      <c r="K37" s="262" t="s">
        <v>2662</v>
      </c>
      <c r="L37" s="262" t="s">
        <v>2662</v>
      </c>
      <c r="M37" s="262" t="s">
        <v>2662</v>
      </c>
      <c r="N37" s="262" t="s">
        <v>2662</v>
      </c>
      <c r="O37" s="262" t="s">
        <v>2662</v>
      </c>
      <c r="P37" s="262" t="s">
        <v>2662</v>
      </c>
      <c r="Q37" s="262" t="s">
        <v>2662</v>
      </c>
      <c r="R37" s="262" t="s">
        <v>2662</v>
      </c>
      <c r="S37" s="262" t="s">
        <v>2662</v>
      </c>
      <c r="T37" s="262" t="s">
        <v>2662</v>
      </c>
      <c r="U37" s="262" t="s">
        <v>2662</v>
      </c>
      <c r="V37" s="262" t="s">
        <v>2662</v>
      </c>
      <c r="W37" s="262" t="s">
        <v>2662</v>
      </c>
      <c r="X37" s="262" t="s">
        <v>2662</v>
      </c>
      <c r="Y37" s="262" t="s">
        <v>2662</v>
      </c>
      <c r="Z37" s="262" t="s">
        <v>2662</v>
      </c>
      <c r="AA37" s="262" t="s">
        <v>2662</v>
      </c>
      <c r="AB37" s="262" t="s">
        <v>2662</v>
      </c>
      <c r="AC37" s="262" t="s">
        <v>2662</v>
      </c>
      <c r="AD37" s="262" t="s">
        <v>2662</v>
      </c>
      <c r="AE37" s="262" t="s">
        <v>2662</v>
      </c>
      <c r="AF37" s="262" t="s">
        <v>2662</v>
      </c>
      <c r="AG37" s="262" t="s">
        <v>2662</v>
      </c>
      <c r="AH37" s="262" t="s">
        <v>2662</v>
      </c>
      <c r="AK37" s="174"/>
    </row>
    <row r="38" spans="1:37">
      <c r="A38" s="260" t="str">
        <f t="shared" ref="A38:A53" si="5">A10</f>
        <v>*Non-renewables</v>
      </c>
      <c r="B38" s="4"/>
      <c r="C38" s="4"/>
      <c r="D38" s="4"/>
      <c r="E38" s="4"/>
      <c r="F38" s="4"/>
      <c r="G38" s="4"/>
    </row>
    <row r="39" spans="1:37">
      <c r="A39" s="4" t="str">
        <f t="shared" si="5"/>
        <v>MIN-RSVCOA1</v>
      </c>
      <c r="B39" s="4" t="str">
        <f t="shared" ref="B39:B53" si="6">B11</f>
        <v>UPS Reserves of Coal - Reserve - Supply curve step 1</v>
      </c>
      <c r="C39" s="4"/>
      <c r="D39" s="4" t="s">
        <v>675</v>
      </c>
      <c r="E39" s="4"/>
      <c r="F39" s="4"/>
      <c r="G39" s="397">
        <f>SUMIFS('Key inputs_Reserves'!$I$50:$I$77,'Key inputs_Reserves'!$A$50:$A$77,G$35)/10^3</f>
        <v>1.6</v>
      </c>
      <c r="H39" s="397">
        <f>SUMIFS('Key inputs_Reserves'!$I$50:$I$77,'Key inputs_Reserves'!$A$50:$A$77,H$35)/10^3</f>
        <v>2</v>
      </c>
      <c r="I39" s="397">
        <f>SUMIFS('Key inputs_Reserves'!$I$50:$I$77,'Key inputs_Reserves'!$A$50:$A$77,I$35)/10^3</f>
        <v>1.6</v>
      </c>
      <c r="J39" s="397">
        <f>SUMIFS('Key inputs_Reserves'!$I$50:$I$77,'Key inputs_Reserves'!$A$50:$A$77,J$35)/10^3</f>
        <v>1.6</v>
      </c>
      <c r="K39" s="397">
        <f>SUMIFS('Key inputs_Reserves'!$I$50:$I$77,'Key inputs_Reserves'!$A$50:$A$77,K$35)/10^3</f>
        <v>1.6</v>
      </c>
      <c r="L39" s="397">
        <f>SUMIFS('Key inputs_Reserves'!$I$50:$I$77,'Key inputs_Reserves'!$A$50:$A$77,L$35)/10^3</f>
        <v>2</v>
      </c>
      <c r="M39" s="397">
        <f>SUMIFS('Key inputs_Reserves'!$I$50:$I$77,'Key inputs_Reserves'!$A$50:$A$77,M$35)/10^3</f>
        <v>2</v>
      </c>
      <c r="N39" s="397">
        <f>SUMIFS('Key inputs_Reserves'!$I$50:$I$77,'Key inputs_Reserves'!$A$50:$A$77,N$35)/10^3</f>
        <v>2</v>
      </c>
      <c r="O39" s="397">
        <f>SUMIFS('Key inputs_Reserves'!$I$50:$I$77,'Key inputs_Reserves'!$A$50:$A$77,O$35)/10^3</f>
        <v>2</v>
      </c>
      <c r="P39" s="397">
        <f>SUMIFS('Key inputs_Reserves'!$I$50:$I$77,'Key inputs_Reserves'!$A$50:$A$77,P$35)/10^3</f>
        <v>2</v>
      </c>
      <c r="Q39" s="397">
        <f>SUMIFS('Key inputs_Reserves'!$I$50:$I$77,'Key inputs_Reserves'!$A$50:$A$77,Q$35)/10^3</f>
        <v>2</v>
      </c>
      <c r="R39" s="397">
        <f>SUMIFS('Key inputs_Reserves'!$I$50:$I$77,'Key inputs_Reserves'!$A$50:$A$77,R$35)/10^3</f>
        <v>1.6</v>
      </c>
      <c r="S39" s="397">
        <f>SUMIFS('Key inputs_Reserves'!$I$50:$I$77,'Key inputs_Reserves'!$A$50:$A$77,S$35)/10^3</f>
        <v>3</v>
      </c>
      <c r="T39" s="397">
        <f>SUMIFS('Key inputs_Reserves'!$I$50:$I$77,'Key inputs_Reserves'!$A$50:$A$77,T$35)/10^3</f>
        <v>3</v>
      </c>
      <c r="U39" s="397">
        <f>SUMIFS('Key inputs_Reserves'!$I$50:$I$77,'Key inputs_Reserves'!$A$50:$A$77,U$35)/10^3</f>
        <v>3</v>
      </c>
      <c r="V39" s="397">
        <f>SUMIFS('Key inputs_Reserves'!$I$50:$I$77,'Key inputs_Reserves'!$A$50:$A$77,V$35)/10^3</f>
        <v>3</v>
      </c>
      <c r="W39" s="397">
        <f>SUMIFS('Key inputs_Reserves'!$I$50:$I$77,'Key inputs_Reserves'!$A$50:$A$77,W$35)/10^3</f>
        <v>3</v>
      </c>
      <c r="X39" s="397">
        <f>SUMIFS('Key inputs_Reserves'!$I$50:$I$77,'Key inputs_Reserves'!$A$50:$A$77,X$35)/10^3</f>
        <v>1.6</v>
      </c>
      <c r="Y39" s="397">
        <f>SUMIFS('Key inputs_Reserves'!$I$50:$I$77,'Key inputs_Reserves'!$A$50:$A$77,Y$35)/10^3</f>
        <v>2</v>
      </c>
      <c r="Z39" s="397">
        <f>SUMIFS('Key inputs_Reserves'!$I$50:$I$77,'Key inputs_Reserves'!$A$50:$A$77,Z$35)/10^3</f>
        <v>3</v>
      </c>
      <c r="AA39" s="397">
        <f>SUMIFS('Key inputs_Reserves'!$I$50:$I$77,'Key inputs_Reserves'!$A$50:$A$77,AA$35)/10^3</f>
        <v>2</v>
      </c>
      <c r="AB39" s="397">
        <f>SUMIFS('Key inputs_Reserves'!$I$50:$I$77,'Key inputs_Reserves'!$A$50:$A$77,AB$35)/10^3</f>
        <v>2.4</v>
      </c>
      <c r="AC39" s="397">
        <f>SUMIFS('Key inputs_Reserves'!$I$50:$I$77,'Key inputs_Reserves'!$A$50:$A$77,AC$35)/10^3</f>
        <v>3</v>
      </c>
      <c r="AD39" s="397">
        <f>SUMIFS('Key inputs_Reserves'!$I$50:$I$77,'Key inputs_Reserves'!$A$50:$A$77,AD$35)/10^3</f>
        <v>2</v>
      </c>
      <c r="AE39" s="397">
        <f>SUMIFS('Key inputs_Reserves'!$I$50:$I$77,'Key inputs_Reserves'!$A$50:$A$77,AE$35)/10^3</f>
        <v>2</v>
      </c>
      <c r="AF39" s="397">
        <f>SUMIFS('Key inputs_Reserves'!$I$50:$I$77,'Key inputs_Reserves'!$A$50:$A$77,AF$35)/10^3</f>
        <v>1.3</v>
      </c>
      <c r="AG39" s="397">
        <f>SUMIFS('Key inputs_Reserves'!$I$50:$I$77,'Key inputs_Reserves'!$A$50:$A$77,AG$35)/10^3</f>
        <v>3</v>
      </c>
      <c r="AH39" s="397">
        <f>SUMIFS('Key inputs_Reserves'!$I$50:$I$77,'Key inputs_Reserves'!$A$50:$A$77,AH$35)/10^3</f>
        <v>1.6</v>
      </c>
    </row>
    <row r="40" spans="1:37">
      <c r="A40" s="4" t="str">
        <f t="shared" si="5"/>
        <v>MIN-RSVCOA2</v>
      </c>
      <c r="B40" s="4" t="str">
        <f t="shared" si="6"/>
        <v>UPS Reserves of Coal - Reserve - Supply curve step 2</v>
      </c>
      <c r="C40" s="4"/>
      <c r="D40" s="4" t="s">
        <v>675</v>
      </c>
      <c r="E40" s="4"/>
      <c r="F40" s="4"/>
      <c r="G40" s="395">
        <f>G39*1.2</f>
        <v>1.92</v>
      </c>
      <c r="H40" s="395">
        <f t="shared" ref="H40:P41" si="7">H39*1.2</f>
        <v>2.4</v>
      </c>
      <c r="I40" s="395">
        <f t="shared" si="7"/>
        <v>1.92</v>
      </c>
      <c r="J40" s="395">
        <f t="shared" si="7"/>
        <v>1.92</v>
      </c>
      <c r="K40" s="395">
        <f t="shared" si="7"/>
        <v>1.92</v>
      </c>
      <c r="L40" s="395">
        <f t="shared" si="7"/>
        <v>2.4</v>
      </c>
      <c r="M40" s="395">
        <f t="shared" si="7"/>
        <v>2.4</v>
      </c>
      <c r="N40" s="395">
        <f t="shared" si="7"/>
        <v>2.4</v>
      </c>
      <c r="O40" s="395">
        <f t="shared" si="7"/>
        <v>2.4</v>
      </c>
      <c r="P40" s="395">
        <f t="shared" si="7"/>
        <v>2.4</v>
      </c>
      <c r="Q40" s="395">
        <f t="shared" ref="Q40:Z41" si="8">Q39*1.2</f>
        <v>2.4</v>
      </c>
      <c r="R40" s="395">
        <f t="shared" si="8"/>
        <v>1.92</v>
      </c>
      <c r="S40" s="395">
        <f t="shared" si="8"/>
        <v>3.5999999999999996</v>
      </c>
      <c r="T40" s="395">
        <f t="shared" si="8"/>
        <v>3.5999999999999996</v>
      </c>
      <c r="U40" s="395">
        <f t="shared" si="8"/>
        <v>3.5999999999999996</v>
      </c>
      <c r="V40" s="395">
        <f t="shared" si="8"/>
        <v>3.5999999999999996</v>
      </c>
      <c r="W40" s="395">
        <f t="shared" si="8"/>
        <v>3.5999999999999996</v>
      </c>
      <c r="X40" s="395">
        <f t="shared" si="8"/>
        <v>1.92</v>
      </c>
      <c r="Y40" s="395">
        <f t="shared" si="8"/>
        <v>2.4</v>
      </c>
      <c r="Z40" s="395">
        <f t="shared" si="8"/>
        <v>3.5999999999999996</v>
      </c>
      <c r="AA40" s="395">
        <f t="shared" ref="AA40:AH41" si="9">AA39*1.2</f>
        <v>2.4</v>
      </c>
      <c r="AB40" s="395">
        <f t="shared" si="9"/>
        <v>2.88</v>
      </c>
      <c r="AC40" s="395">
        <f t="shared" si="9"/>
        <v>3.5999999999999996</v>
      </c>
      <c r="AD40" s="395">
        <f t="shared" si="9"/>
        <v>2.4</v>
      </c>
      <c r="AE40" s="395">
        <f t="shared" si="9"/>
        <v>2.4</v>
      </c>
      <c r="AF40" s="395">
        <f t="shared" si="9"/>
        <v>1.56</v>
      </c>
      <c r="AG40" s="395">
        <f t="shared" si="9"/>
        <v>3.5999999999999996</v>
      </c>
      <c r="AH40" s="395">
        <f t="shared" si="9"/>
        <v>1.92</v>
      </c>
    </row>
    <row r="41" spans="1:37">
      <c r="A41" s="4" t="str">
        <f t="shared" si="5"/>
        <v>MIN-RSVCOA3</v>
      </c>
      <c r="B41" s="4" t="str">
        <f t="shared" si="6"/>
        <v>UPS Reserves of Coal - Reserve - Supply curve step 3</v>
      </c>
      <c r="C41" s="4"/>
      <c r="D41" s="4" t="s">
        <v>675</v>
      </c>
      <c r="E41" s="4"/>
      <c r="F41" s="4"/>
      <c r="G41" s="395">
        <f>G40*1.2</f>
        <v>2.3039999999999998</v>
      </c>
      <c r="H41" s="395">
        <f t="shared" si="7"/>
        <v>2.88</v>
      </c>
      <c r="I41" s="395">
        <f t="shared" si="7"/>
        <v>2.3039999999999998</v>
      </c>
      <c r="J41" s="395">
        <f t="shared" si="7"/>
        <v>2.3039999999999998</v>
      </c>
      <c r="K41" s="395">
        <f t="shared" si="7"/>
        <v>2.3039999999999998</v>
      </c>
      <c r="L41" s="395">
        <f t="shared" si="7"/>
        <v>2.88</v>
      </c>
      <c r="M41" s="395">
        <f t="shared" si="7"/>
        <v>2.88</v>
      </c>
      <c r="N41" s="395">
        <f t="shared" si="7"/>
        <v>2.88</v>
      </c>
      <c r="O41" s="395">
        <f t="shared" si="7"/>
        <v>2.88</v>
      </c>
      <c r="P41" s="395">
        <f t="shared" si="7"/>
        <v>2.88</v>
      </c>
      <c r="Q41" s="395">
        <f t="shared" si="8"/>
        <v>2.88</v>
      </c>
      <c r="R41" s="395">
        <f t="shared" si="8"/>
        <v>2.3039999999999998</v>
      </c>
      <c r="S41" s="395">
        <f t="shared" si="8"/>
        <v>4.3199999999999994</v>
      </c>
      <c r="T41" s="395">
        <f t="shared" si="8"/>
        <v>4.3199999999999994</v>
      </c>
      <c r="U41" s="395">
        <f t="shared" si="8"/>
        <v>4.3199999999999994</v>
      </c>
      <c r="V41" s="395">
        <f t="shared" si="8"/>
        <v>4.3199999999999994</v>
      </c>
      <c r="W41" s="395">
        <f t="shared" si="8"/>
        <v>4.3199999999999994</v>
      </c>
      <c r="X41" s="395">
        <f t="shared" si="8"/>
        <v>2.3039999999999998</v>
      </c>
      <c r="Y41" s="395">
        <f t="shared" si="8"/>
        <v>2.88</v>
      </c>
      <c r="Z41" s="395">
        <f t="shared" si="8"/>
        <v>4.3199999999999994</v>
      </c>
      <c r="AA41" s="395">
        <f t="shared" si="9"/>
        <v>2.88</v>
      </c>
      <c r="AB41" s="395">
        <f t="shared" si="9"/>
        <v>3.456</v>
      </c>
      <c r="AC41" s="395">
        <f t="shared" si="9"/>
        <v>4.3199999999999994</v>
      </c>
      <c r="AD41" s="395">
        <f t="shared" si="9"/>
        <v>2.88</v>
      </c>
      <c r="AE41" s="395">
        <f t="shared" si="9"/>
        <v>2.88</v>
      </c>
      <c r="AF41" s="395">
        <f t="shared" si="9"/>
        <v>1.8719999999999999</v>
      </c>
      <c r="AG41" s="395">
        <f t="shared" si="9"/>
        <v>4.3199999999999994</v>
      </c>
      <c r="AH41" s="395">
        <f t="shared" si="9"/>
        <v>2.3039999999999998</v>
      </c>
    </row>
    <row r="42" spans="1:37">
      <c r="A42" s="4" t="str">
        <f t="shared" si="5"/>
        <v>MIN-RSVLIG1</v>
      </c>
      <c r="B42" s="4" t="str">
        <f t="shared" si="6"/>
        <v>UPS Reserves of Lignite - Reserve - Supply curve step 1</v>
      </c>
      <c r="C42" s="4"/>
      <c r="D42" s="4" t="s">
        <v>675</v>
      </c>
      <c r="E42" s="4"/>
      <c r="F42" s="4"/>
      <c r="G42" s="397">
        <f>SUMIFS('Key inputs_Reserves'!$L$50:$L$77,'Key inputs_Reserves'!$A$50:$A$77,G$35)/10^3</f>
        <v>1.68</v>
      </c>
      <c r="H42" s="397">
        <f>SUMIFS('Key inputs_Reserves'!$L$50:$L$77,'Key inputs_Reserves'!$A$50:$A$77,H$35)/10^3</f>
        <v>2.1</v>
      </c>
      <c r="I42" s="397">
        <f>SUMIFS('Key inputs_Reserves'!$L$50:$L$77,'Key inputs_Reserves'!$A$50:$A$77,I$35)/10^3</f>
        <v>1.68</v>
      </c>
      <c r="J42" s="397">
        <f>SUMIFS('Key inputs_Reserves'!$L$50:$L$77,'Key inputs_Reserves'!$A$50:$A$77,J$35)/10^3</f>
        <v>1.68</v>
      </c>
      <c r="K42" s="397">
        <f>SUMIFS('Key inputs_Reserves'!$L$50:$L$77,'Key inputs_Reserves'!$A$50:$A$77,K$35)/10^3</f>
        <v>1.68</v>
      </c>
      <c r="L42" s="397">
        <f>SUMIFS('Key inputs_Reserves'!$L$50:$L$77,'Key inputs_Reserves'!$A$50:$A$77,L$35)/10^3</f>
        <v>2.1</v>
      </c>
      <c r="M42" s="397">
        <f>SUMIFS('Key inputs_Reserves'!$L$50:$L$77,'Key inputs_Reserves'!$A$50:$A$77,M$35)/10^3</f>
        <v>2.1</v>
      </c>
      <c r="N42" s="397">
        <f>SUMIFS('Key inputs_Reserves'!$L$50:$L$77,'Key inputs_Reserves'!$A$50:$A$77,N$35)/10^3</f>
        <v>2.1</v>
      </c>
      <c r="O42" s="397">
        <f>SUMIFS('Key inputs_Reserves'!$L$50:$L$77,'Key inputs_Reserves'!$A$50:$A$77,O$35)/10^3</f>
        <v>2.1</v>
      </c>
      <c r="P42" s="397">
        <f>SUMIFS('Key inputs_Reserves'!$L$50:$L$77,'Key inputs_Reserves'!$A$50:$A$77,P$35)/10^3</f>
        <v>2.1</v>
      </c>
      <c r="Q42" s="397">
        <f>SUMIFS('Key inputs_Reserves'!$L$50:$L$77,'Key inputs_Reserves'!$A$50:$A$77,Q$35)/10^3</f>
        <v>2.1</v>
      </c>
      <c r="R42" s="397">
        <f>SUMIFS('Key inputs_Reserves'!$L$50:$L$77,'Key inputs_Reserves'!$A$50:$A$77,R$35)/10^3</f>
        <v>1.68</v>
      </c>
      <c r="S42" s="397">
        <f>SUMIFS('Key inputs_Reserves'!$L$50:$L$77,'Key inputs_Reserves'!$A$50:$A$77,S$35)/10^3</f>
        <v>3.15</v>
      </c>
      <c r="T42" s="397">
        <f>SUMIFS('Key inputs_Reserves'!$L$50:$L$77,'Key inputs_Reserves'!$A$50:$A$77,T$35)/10^3</f>
        <v>3.15</v>
      </c>
      <c r="U42" s="397">
        <f>SUMIFS('Key inputs_Reserves'!$L$50:$L$77,'Key inputs_Reserves'!$A$50:$A$77,U$35)/10^3</f>
        <v>3.15</v>
      </c>
      <c r="V42" s="397">
        <f>SUMIFS('Key inputs_Reserves'!$L$50:$L$77,'Key inputs_Reserves'!$A$50:$A$77,V$35)/10^3</f>
        <v>3.15</v>
      </c>
      <c r="W42" s="397">
        <f>SUMIFS('Key inputs_Reserves'!$L$50:$L$77,'Key inputs_Reserves'!$A$50:$A$77,W$35)/10^3</f>
        <v>3.15</v>
      </c>
      <c r="X42" s="397">
        <f>SUMIFS('Key inputs_Reserves'!$L$50:$L$77,'Key inputs_Reserves'!$A$50:$A$77,X$35)/10^3</f>
        <v>1.68</v>
      </c>
      <c r="Y42" s="397">
        <f>SUMIFS('Key inputs_Reserves'!$L$50:$L$77,'Key inputs_Reserves'!$A$50:$A$77,Y$35)/10^3</f>
        <v>2.1</v>
      </c>
      <c r="Z42" s="397">
        <f>SUMIFS('Key inputs_Reserves'!$L$50:$L$77,'Key inputs_Reserves'!$A$50:$A$77,Z$35)/10^3</f>
        <v>3.15</v>
      </c>
      <c r="AA42" s="397">
        <f>SUMIFS('Key inputs_Reserves'!$L$50:$L$77,'Key inputs_Reserves'!$A$50:$A$77,AA$35)/10^3</f>
        <v>2.1</v>
      </c>
      <c r="AB42" s="397">
        <f>SUMIFS('Key inputs_Reserves'!$L$50:$L$77,'Key inputs_Reserves'!$A$50:$A$77,AB$35)/10^3</f>
        <v>2.52</v>
      </c>
      <c r="AC42" s="397">
        <f>SUMIFS('Key inputs_Reserves'!$L$50:$L$77,'Key inputs_Reserves'!$A$50:$A$77,AC$35)/10^3</f>
        <v>3.15</v>
      </c>
      <c r="AD42" s="397">
        <f>SUMIFS('Key inputs_Reserves'!$L$50:$L$77,'Key inputs_Reserves'!$A$50:$A$77,AD$35)/10^3</f>
        <v>2.1</v>
      </c>
      <c r="AE42" s="397">
        <f>SUMIFS('Key inputs_Reserves'!$L$50:$L$77,'Key inputs_Reserves'!$A$50:$A$77,AE$35)/10^3</f>
        <v>2.1</v>
      </c>
      <c r="AF42" s="397">
        <f>SUMIFS('Key inputs_Reserves'!$L$50:$L$77,'Key inputs_Reserves'!$A$50:$A$77,AF$35)/10^3</f>
        <v>1.365</v>
      </c>
      <c r="AG42" s="397">
        <f>SUMIFS('Key inputs_Reserves'!$L$50:$L$77,'Key inputs_Reserves'!$A$50:$A$77,AG$35)/10^3</f>
        <v>3.15</v>
      </c>
      <c r="AH42" s="397">
        <f>SUMIFS('Key inputs_Reserves'!$L$50:$L$77,'Key inputs_Reserves'!$A$50:$A$77,AH$35)/10^3</f>
        <v>1.68</v>
      </c>
    </row>
    <row r="43" spans="1:37">
      <c r="A43" s="4" t="str">
        <f t="shared" si="5"/>
        <v>MIN-RSVLIG2</v>
      </c>
      <c r="B43" s="4" t="str">
        <f t="shared" si="6"/>
        <v>UPS Reserves of Lignite - Reserve - Supply curve step 2</v>
      </c>
      <c r="C43" s="4"/>
      <c r="D43" s="4" t="s">
        <v>675</v>
      </c>
      <c r="E43" s="4"/>
      <c r="F43" s="4"/>
      <c r="G43" s="395">
        <f t="shared" ref="G43:P44" si="10">G42*1.2</f>
        <v>2.016</v>
      </c>
      <c r="H43" s="395">
        <f t="shared" si="10"/>
        <v>2.52</v>
      </c>
      <c r="I43" s="395">
        <f t="shared" si="10"/>
        <v>2.016</v>
      </c>
      <c r="J43" s="395">
        <f t="shared" si="10"/>
        <v>2.016</v>
      </c>
      <c r="K43" s="395">
        <f t="shared" si="10"/>
        <v>2.016</v>
      </c>
      <c r="L43" s="395">
        <f t="shared" si="10"/>
        <v>2.52</v>
      </c>
      <c r="M43" s="395">
        <f t="shared" si="10"/>
        <v>2.52</v>
      </c>
      <c r="N43" s="395">
        <f t="shared" si="10"/>
        <v>2.52</v>
      </c>
      <c r="O43" s="395">
        <f t="shared" si="10"/>
        <v>2.52</v>
      </c>
      <c r="P43" s="395">
        <f t="shared" si="10"/>
        <v>2.52</v>
      </c>
      <c r="Q43" s="395">
        <f t="shared" ref="Q43:Z44" si="11">Q42*1.2</f>
        <v>2.52</v>
      </c>
      <c r="R43" s="395">
        <f t="shared" si="11"/>
        <v>2.016</v>
      </c>
      <c r="S43" s="395">
        <f t="shared" si="11"/>
        <v>3.78</v>
      </c>
      <c r="T43" s="395">
        <f t="shared" si="11"/>
        <v>3.78</v>
      </c>
      <c r="U43" s="395">
        <f t="shared" si="11"/>
        <v>3.78</v>
      </c>
      <c r="V43" s="395">
        <f t="shared" si="11"/>
        <v>3.78</v>
      </c>
      <c r="W43" s="395">
        <f t="shared" si="11"/>
        <v>3.78</v>
      </c>
      <c r="X43" s="395">
        <f t="shared" si="11"/>
        <v>2.016</v>
      </c>
      <c r="Y43" s="395">
        <f t="shared" si="11"/>
        <v>2.52</v>
      </c>
      <c r="Z43" s="395">
        <f t="shared" si="11"/>
        <v>3.78</v>
      </c>
      <c r="AA43" s="395">
        <f t="shared" ref="AA43:AH44" si="12">AA42*1.2</f>
        <v>2.52</v>
      </c>
      <c r="AB43" s="395">
        <f t="shared" si="12"/>
        <v>3.024</v>
      </c>
      <c r="AC43" s="395">
        <f t="shared" si="12"/>
        <v>3.78</v>
      </c>
      <c r="AD43" s="395">
        <f t="shared" si="12"/>
        <v>2.52</v>
      </c>
      <c r="AE43" s="395">
        <f t="shared" si="12"/>
        <v>2.52</v>
      </c>
      <c r="AF43" s="395">
        <f t="shared" si="12"/>
        <v>1.6379999999999999</v>
      </c>
      <c r="AG43" s="395">
        <f t="shared" si="12"/>
        <v>3.78</v>
      </c>
      <c r="AH43" s="395">
        <f t="shared" si="12"/>
        <v>2.016</v>
      </c>
    </row>
    <row r="44" spans="1:37">
      <c r="A44" s="4" t="str">
        <f t="shared" si="5"/>
        <v>MIN-RSVLIG3</v>
      </c>
      <c r="B44" s="4" t="str">
        <f t="shared" si="6"/>
        <v>UPS Reserves of Lignite - Reserve - Supply curve step 3</v>
      </c>
      <c r="C44" s="4"/>
      <c r="D44" s="4" t="s">
        <v>675</v>
      </c>
      <c r="E44" s="4"/>
      <c r="F44" s="4"/>
      <c r="G44" s="395">
        <f t="shared" si="10"/>
        <v>2.4192</v>
      </c>
      <c r="H44" s="395">
        <f t="shared" si="10"/>
        <v>3.024</v>
      </c>
      <c r="I44" s="395">
        <f t="shared" si="10"/>
        <v>2.4192</v>
      </c>
      <c r="J44" s="395">
        <f t="shared" si="10"/>
        <v>2.4192</v>
      </c>
      <c r="K44" s="395">
        <f t="shared" si="10"/>
        <v>2.4192</v>
      </c>
      <c r="L44" s="395">
        <f t="shared" si="10"/>
        <v>3.024</v>
      </c>
      <c r="M44" s="395">
        <f t="shared" si="10"/>
        <v>3.024</v>
      </c>
      <c r="N44" s="395">
        <f t="shared" si="10"/>
        <v>3.024</v>
      </c>
      <c r="O44" s="395">
        <f t="shared" si="10"/>
        <v>3.024</v>
      </c>
      <c r="P44" s="395">
        <f t="shared" si="10"/>
        <v>3.024</v>
      </c>
      <c r="Q44" s="395">
        <f t="shared" si="11"/>
        <v>3.024</v>
      </c>
      <c r="R44" s="395">
        <f t="shared" si="11"/>
        <v>2.4192</v>
      </c>
      <c r="S44" s="395">
        <f t="shared" si="11"/>
        <v>4.5359999999999996</v>
      </c>
      <c r="T44" s="395">
        <f t="shared" si="11"/>
        <v>4.5359999999999996</v>
      </c>
      <c r="U44" s="395">
        <f t="shared" si="11"/>
        <v>4.5359999999999996</v>
      </c>
      <c r="V44" s="395">
        <f t="shared" si="11"/>
        <v>4.5359999999999996</v>
      </c>
      <c r="W44" s="395">
        <f t="shared" si="11"/>
        <v>4.5359999999999996</v>
      </c>
      <c r="X44" s="395">
        <f t="shared" si="11"/>
        <v>2.4192</v>
      </c>
      <c r="Y44" s="395">
        <f t="shared" si="11"/>
        <v>3.024</v>
      </c>
      <c r="Z44" s="395">
        <f t="shared" si="11"/>
        <v>4.5359999999999996</v>
      </c>
      <c r="AA44" s="395">
        <f t="shared" si="12"/>
        <v>3.024</v>
      </c>
      <c r="AB44" s="395">
        <f t="shared" si="12"/>
        <v>3.6288</v>
      </c>
      <c r="AC44" s="395">
        <f t="shared" si="12"/>
        <v>4.5359999999999996</v>
      </c>
      <c r="AD44" s="395">
        <f t="shared" si="12"/>
        <v>3.024</v>
      </c>
      <c r="AE44" s="395">
        <f t="shared" si="12"/>
        <v>3.024</v>
      </c>
      <c r="AF44" s="395">
        <f t="shared" si="12"/>
        <v>1.9655999999999998</v>
      </c>
      <c r="AG44" s="395">
        <f t="shared" si="12"/>
        <v>4.5359999999999996</v>
      </c>
      <c r="AH44" s="395">
        <f t="shared" si="12"/>
        <v>2.4192</v>
      </c>
    </row>
    <row r="45" spans="1:37">
      <c r="A45" s="4" t="str">
        <f t="shared" si="5"/>
        <v>MIN-RSVGAS1</v>
      </c>
      <c r="B45" s="4" t="str">
        <f t="shared" si="6"/>
        <v>UPS Reserves of Natural gas - Reserve - Supply curve step 1</v>
      </c>
      <c r="C45" s="4"/>
      <c r="D45" s="4" t="s">
        <v>675</v>
      </c>
      <c r="E45" s="4"/>
      <c r="F45" s="4"/>
      <c r="G45" s="394">
        <f>SUMIFS('Key inputs_Reserves'!$F$50:$F$77,'Key inputs_Reserves'!$A$50:$A$77,G$35)*10^3</f>
        <v>2.0653995108766297</v>
      </c>
      <c r="H45" s="394">
        <f>SUMIFS('Key inputs_Reserves'!$F$50:$F$77,'Key inputs_Reserves'!$A$50:$A$77,H$35)*10^3</f>
        <v>1.6523196087013037</v>
      </c>
      <c r="I45" s="394">
        <f>SUMIFS('Key inputs_Reserves'!$F$50:$F$77,'Key inputs_Reserves'!$A$50:$A$77,I$35)*10^3</f>
        <v>2.0653995108766297</v>
      </c>
      <c r="J45" s="394">
        <f>SUMIFS('Key inputs_Reserves'!$F$50:$F$77,'Key inputs_Reserves'!$A$50:$A$77,J$35)*10^3</f>
        <v>2.0653995108766297</v>
      </c>
      <c r="K45" s="394">
        <f>SUMIFS('Key inputs_Reserves'!$F$50:$F$77,'Key inputs_Reserves'!$A$50:$A$77,K$35)*10^3</f>
        <v>2.0653995108766297</v>
      </c>
      <c r="L45" s="394">
        <f>SUMIFS('Key inputs_Reserves'!$F$50:$F$77,'Key inputs_Reserves'!$A$50:$A$77,L$35)*10^3</f>
        <v>2.0653995108766297</v>
      </c>
      <c r="M45" s="394">
        <f>SUMIFS('Key inputs_Reserves'!$F$50:$F$77,'Key inputs_Reserves'!$A$50:$A$77,M$35)*10^3</f>
        <v>3.0980992663149447</v>
      </c>
      <c r="N45" s="394">
        <f>SUMIFS('Key inputs_Reserves'!$F$50:$F$77,'Key inputs_Reserves'!$A$50:$A$77,N$35)*10^3</f>
        <v>3.0980992663149447</v>
      </c>
      <c r="O45" s="394">
        <f>SUMIFS('Key inputs_Reserves'!$F$50:$F$77,'Key inputs_Reserves'!$A$50:$A$77,O$35)*10^3</f>
        <v>2.749897814582976</v>
      </c>
      <c r="P45" s="394">
        <f>SUMIFS('Key inputs_Reserves'!$F$50:$F$77,'Key inputs_Reserves'!$A$50:$A$77,P$35)*10^3</f>
        <v>1.8139088648861912</v>
      </c>
      <c r="Q45" s="394">
        <f>SUMIFS('Key inputs_Reserves'!$F$50:$F$77,'Key inputs_Reserves'!$A$50:$A$77,Q$35)*10^3</f>
        <v>2.4784794130519554</v>
      </c>
      <c r="R45" s="394">
        <f>SUMIFS('Key inputs_Reserves'!$F$50:$F$77,'Key inputs_Reserves'!$A$50:$A$77,R$35)*10^3</f>
        <v>3.3046392174026074</v>
      </c>
      <c r="S45" s="394">
        <f>SUMIFS('Key inputs_Reserves'!$F$50:$F$77,'Key inputs_Reserves'!$A$50:$A$77,S$35)*10^3</f>
        <v>4.1307990217532593</v>
      </c>
      <c r="T45" s="394">
        <f>SUMIFS('Key inputs_Reserves'!$F$50:$F$77,'Key inputs_Reserves'!$A$50:$A$77,T$35)*10^3</f>
        <v>5.7700311036081553</v>
      </c>
      <c r="U45" s="394">
        <f>SUMIFS('Key inputs_Reserves'!$F$50:$F$77,'Key inputs_Reserves'!$A$50:$A$77,U$35)*10^3</f>
        <v>4.1307990217532593</v>
      </c>
      <c r="V45" s="394">
        <f>SUMIFS('Key inputs_Reserves'!$F$50:$F$77,'Key inputs_Reserves'!$A$50:$A$77,V$35)*10^3</f>
        <v>4.1307990217532593</v>
      </c>
      <c r="W45" s="394">
        <f>SUMIFS('Key inputs_Reserves'!$F$50:$F$77,'Key inputs_Reserves'!$A$50:$A$77,W$35)*10^3</f>
        <v>4.1307990217532593</v>
      </c>
      <c r="X45" s="394">
        <f>SUMIFS('Key inputs_Reserves'!$F$50:$F$77,'Key inputs_Reserves'!$A$50:$A$77,X$35)*10^3</f>
        <v>1.9409766052724924</v>
      </c>
      <c r="Y45" s="394">
        <f>SUMIFS('Key inputs_Reserves'!$F$50:$F$77,'Key inputs_Reserves'!$A$50:$A$77,Y$35)*10^3</f>
        <v>3.5111791684902705</v>
      </c>
      <c r="Z45" s="394">
        <f>SUMIFS('Key inputs_Reserves'!$F$50:$F$77,'Key inputs_Reserves'!$A$50:$A$77,Z$35)*10^3</f>
        <v>3.5111791684902705</v>
      </c>
      <c r="AA45" s="394">
        <f>SUMIFS('Key inputs_Reserves'!$F$50:$F$77,'Key inputs_Reserves'!$A$50:$A$77,AA$35)*10^3</f>
        <v>1.4624166972738728</v>
      </c>
      <c r="AB45" s="394">
        <f>SUMIFS('Key inputs_Reserves'!$F$50:$F$77,'Key inputs_Reserves'!$A$50:$A$77,AB$35)*10^3</f>
        <v>3.0980992663149447</v>
      </c>
      <c r="AC45" s="394">
        <f>SUMIFS('Key inputs_Reserves'!$F$50:$F$77,'Key inputs_Reserves'!$A$50:$A$77,AC$35)*10^3</f>
        <v>1.3563250130047182</v>
      </c>
      <c r="AD45" s="394">
        <f>SUMIFS('Key inputs_Reserves'!$F$50:$F$77,'Key inputs_Reserves'!$A$50:$A$77,AD$35)*10^3</f>
        <v>2.0653995108766297</v>
      </c>
      <c r="AE45" s="394">
        <f>SUMIFS('Key inputs_Reserves'!$F$50:$F$77,'Key inputs_Reserves'!$A$50:$A$77,AE$35)*10^3</f>
        <v>1.8153649755047416</v>
      </c>
      <c r="AF45" s="394">
        <f>SUMIFS('Key inputs_Reserves'!$F$50:$F$77,'Key inputs_Reserves'!$A$50:$A$77,AF$35)*10^3</f>
        <v>1.0547760043380296</v>
      </c>
      <c r="AG45" s="394">
        <f>SUMIFS('Key inputs_Reserves'!$F$50:$F$77,'Key inputs_Reserves'!$A$50:$A$77,AG$35)*10^3</f>
        <v>3.5111791684902705</v>
      </c>
      <c r="AH45" s="394">
        <f>SUMIFS('Key inputs_Reserves'!$F$50:$F$77,'Key inputs_Reserves'!$A$50:$A$77,AH$35)*10^3</f>
        <v>1.7228568422941268</v>
      </c>
    </row>
    <row r="46" spans="1:37">
      <c r="A46" s="4" t="str">
        <f t="shared" si="5"/>
        <v>MIN-RSVGAS2</v>
      </c>
      <c r="B46" s="4" t="str">
        <f t="shared" si="6"/>
        <v>UPS Reserves of Natural gas - Reserve - Supply curve step 2</v>
      </c>
      <c r="C46" s="4"/>
      <c r="D46" s="4" t="s">
        <v>675</v>
      </c>
      <c r="E46" s="4"/>
      <c r="F46" s="4"/>
      <c r="G46" s="395">
        <f>G45*1.5</f>
        <v>3.0980992663149447</v>
      </c>
      <c r="H46" s="395">
        <f t="shared" ref="H46:AH46" si="13">H45*1.5</f>
        <v>2.4784794130519554</v>
      </c>
      <c r="I46" s="395">
        <f t="shared" si="13"/>
        <v>3.0980992663149447</v>
      </c>
      <c r="J46" s="395">
        <f t="shared" si="13"/>
        <v>3.0980992663149447</v>
      </c>
      <c r="K46" s="395">
        <f t="shared" si="13"/>
        <v>3.0980992663149447</v>
      </c>
      <c r="L46" s="395">
        <f t="shared" si="13"/>
        <v>3.0980992663149447</v>
      </c>
      <c r="M46" s="395">
        <f t="shared" si="13"/>
        <v>4.647148899472417</v>
      </c>
      <c r="N46" s="395">
        <f t="shared" si="13"/>
        <v>4.647148899472417</v>
      </c>
      <c r="O46" s="395">
        <f t="shared" si="13"/>
        <v>4.124846721874464</v>
      </c>
      <c r="P46" s="395">
        <f t="shared" si="13"/>
        <v>2.720863297329287</v>
      </c>
      <c r="Q46" s="395">
        <f t="shared" si="13"/>
        <v>3.7177191195779331</v>
      </c>
      <c r="R46" s="395">
        <f t="shared" si="13"/>
        <v>4.9569588261039108</v>
      </c>
      <c r="S46" s="395">
        <f t="shared" si="13"/>
        <v>6.1961985326298894</v>
      </c>
      <c r="T46" s="395">
        <f t="shared" si="13"/>
        <v>8.6550466554122334</v>
      </c>
      <c r="U46" s="395">
        <f t="shared" si="13"/>
        <v>6.1961985326298894</v>
      </c>
      <c r="V46" s="395">
        <f t="shared" si="13"/>
        <v>6.1961985326298894</v>
      </c>
      <c r="W46" s="395">
        <f t="shared" si="13"/>
        <v>6.1961985326298894</v>
      </c>
      <c r="X46" s="395">
        <f t="shared" si="13"/>
        <v>2.9114649079087385</v>
      </c>
      <c r="Y46" s="395">
        <f t="shared" si="13"/>
        <v>5.2667687527354055</v>
      </c>
      <c r="Z46" s="395">
        <f t="shared" si="13"/>
        <v>5.2667687527354055</v>
      </c>
      <c r="AA46" s="395">
        <f t="shared" si="13"/>
        <v>2.1936250459108093</v>
      </c>
      <c r="AB46" s="395">
        <f t="shared" si="13"/>
        <v>4.647148899472417</v>
      </c>
      <c r="AC46" s="395">
        <f t="shared" si="13"/>
        <v>2.0344875195070773</v>
      </c>
      <c r="AD46" s="395">
        <f t="shared" si="13"/>
        <v>3.0980992663149447</v>
      </c>
      <c r="AE46" s="395">
        <f t="shared" si="13"/>
        <v>2.7230474632571124</v>
      </c>
      <c r="AF46" s="395">
        <f t="shared" si="13"/>
        <v>1.5821640065070444</v>
      </c>
      <c r="AG46" s="395">
        <f t="shared" si="13"/>
        <v>5.2667687527354055</v>
      </c>
      <c r="AH46" s="395">
        <f t="shared" si="13"/>
        <v>2.5842852634411901</v>
      </c>
    </row>
    <row r="47" spans="1:37">
      <c r="A47" s="4" t="str">
        <f t="shared" si="5"/>
        <v>MIN-RSVGAS3</v>
      </c>
      <c r="B47" s="4" t="str">
        <f t="shared" si="6"/>
        <v>UPS Reserves of Natural gas - Reserve - Supply curve step 3</v>
      </c>
      <c r="C47" s="4"/>
      <c r="D47" s="4" t="s">
        <v>675</v>
      </c>
      <c r="E47" s="4"/>
      <c r="F47" s="4"/>
      <c r="G47" s="395">
        <f>G46*2</f>
        <v>6.1961985326298894</v>
      </c>
      <c r="H47" s="395">
        <f t="shared" ref="H47:AH47" si="14">H46*2</f>
        <v>4.9569588261039108</v>
      </c>
      <c r="I47" s="395">
        <f t="shared" si="14"/>
        <v>6.1961985326298894</v>
      </c>
      <c r="J47" s="395">
        <f t="shared" si="14"/>
        <v>6.1961985326298894</v>
      </c>
      <c r="K47" s="395">
        <f t="shared" si="14"/>
        <v>6.1961985326298894</v>
      </c>
      <c r="L47" s="395">
        <f t="shared" si="14"/>
        <v>6.1961985326298894</v>
      </c>
      <c r="M47" s="395">
        <f t="shared" si="14"/>
        <v>9.2942977989448341</v>
      </c>
      <c r="N47" s="395">
        <f t="shared" si="14"/>
        <v>9.2942977989448341</v>
      </c>
      <c r="O47" s="395">
        <f t="shared" si="14"/>
        <v>8.249693443748928</v>
      </c>
      <c r="P47" s="395">
        <f t="shared" si="14"/>
        <v>5.441726594658574</v>
      </c>
      <c r="Q47" s="395">
        <f t="shared" si="14"/>
        <v>7.4354382391558662</v>
      </c>
      <c r="R47" s="395">
        <f t="shared" si="14"/>
        <v>9.9139176522078216</v>
      </c>
      <c r="S47" s="395">
        <f t="shared" si="14"/>
        <v>12.392397065259779</v>
      </c>
      <c r="T47" s="395">
        <f t="shared" si="14"/>
        <v>17.310093310824467</v>
      </c>
      <c r="U47" s="395">
        <f t="shared" si="14"/>
        <v>12.392397065259779</v>
      </c>
      <c r="V47" s="395">
        <f t="shared" si="14"/>
        <v>12.392397065259779</v>
      </c>
      <c r="W47" s="395">
        <f t="shared" si="14"/>
        <v>12.392397065259779</v>
      </c>
      <c r="X47" s="395">
        <f t="shared" si="14"/>
        <v>5.8229298158174769</v>
      </c>
      <c r="Y47" s="395">
        <f t="shared" si="14"/>
        <v>10.533537505470811</v>
      </c>
      <c r="Z47" s="395">
        <f t="shared" si="14"/>
        <v>10.533537505470811</v>
      </c>
      <c r="AA47" s="395">
        <f t="shared" si="14"/>
        <v>4.3872500918216186</v>
      </c>
      <c r="AB47" s="395">
        <f t="shared" si="14"/>
        <v>9.2942977989448341</v>
      </c>
      <c r="AC47" s="395">
        <f t="shared" si="14"/>
        <v>4.0689750390141546</v>
      </c>
      <c r="AD47" s="395">
        <f t="shared" si="14"/>
        <v>6.1961985326298894</v>
      </c>
      <c r="AE47" s="395">
        <f t="shared" si="14"/>
        <v>5.4460949265142249</v>
      </c>
      <c r="AF47" s="395">
        <f t="shared" si="14"/>
        <v>3.1643280130140887</v>
      </c>
      <c r="AG47" s="395">
        <f t="shared" si="14"/>
        <v>10.533537505470811</v>
      </c>
      <c r="AH47" s="395">
        <f t="shared" si="14"/>
        <v>5.1685705268823803</v>
      </c>
    </row>
    <row r="48" spans="1:37">
      <c r="A48" s="4" t="str">
        <f t="shared" si="5"/>
        <v>MIN-RSVOIL1</v>
      </c>
      <c r="B48" s="4" t="str">
        <f t="shared" si="6"/>
        <v>UPS Reserves of Crude oil - Reserve - Supply curve step 1</v>
      </c>
      <c r="C48" s="4"/>
      <c r="D48" s="4" t="s">
        <v>675</v>
      </c>
      <c r="E48" s="4"/>
      <c r="F48" s="4"/>
      <c r="G48" s="394">
        <f>SUMIFS('Key inputs_Reserves'!$C$50:$C$77,'Key inputs_Reserves'!$A$50:$A$77,G$35)*10^3</f>
        <v>2.8464441626061436</v>
      </c>
      <c r="H48" s="394">
        <f>SUMIFS('Key inputs_Reserves'!$C$50:$C$77,'Key inputs_Reserves'!$A$50:$A$77,H$35)*10^3</f>
        <v>1.7074051428804509</v>
      </c>
      <c r="I48" s="394">
        <f>SUMIFS('Key inputs_Reserves'!$C$50:$C$77,'Key inputs_Reserves'!$A$50:$A$77,I$35)*10^3</f>
        <v>1.7074051428804509</v>
      </c>
      <c r="J48" s="394">
        <f>SUMIFS('Key inputs_Reserves'!$C$50:$C$77,'Key inputs_Reserves'!$A$50:$A$77,J$35)*10^3</f>
        <v>2.8464441626061436</v>
      </c>
      <c r="K48" s="394">
        <f>SUMIFS('Key inputs_Reserves'!$C$50:$C$77,'Key inputs_Reserves'!$A$50:$A$77,K$35)*10^3</f>
        <v>2.8464441626061436</v>
      </c>
      <c r="L48" s="394">
        <f>SUMIFS('Key inputs_Reserves'!$C$50:$C$77,'Key inputs_Reserves'!$A$50:$A$77,L$35)*10^3</f>
        <v>2.8464441626061436</v>
      </c>
      <c r="M48" s="394">
        <f>SUMIFS('Key inputs_Reserves'!$C$50:$C$77,'Key inputs_Reserves'!$A$50:$A$77,M$35)*10^3</f>
        <v>2.8464441626061436</v>
      </c>
      <c r="N48" s="394">
        <f>SUMIFS('Key inputs_Reserves'!$C$50:$C$77,'Key inputs_Reserves'!$A$50:$A$77,N$35)*10^3</f>
        <v>2.8464441626061436</v>
      </c>
      <c r="O48" s="394">
        <f>SUMIFS('Key inputs_Reserves'!$C$50:$C$77,'Key inputs_Reserves'!$A$50:$A$77,O$35)*10^3</f>
        <v>3.1581584018261197</v>
      </c>
      <c r="P48" s="394">
        <f>SUMIFS('Key inputs_Reserves'!$C$50:$C$77,'Key inputs_Reserves'!$A$50:$A$77,P$35)*10^3</f>
        <v>2.7235669962073406</v>
      </c>
      <c r="Q48" s="394">
        <f>SUMIFS('Key inputs_Reserves'!$C$50:$C$77,'Key inputs_Reserves'!$A$50:$A$77,Q$35)*10^3</f>
        <v>2.8464441626061436</v>
      </c>
      <c r="R48" s="394">
        <f>SUMIFS('Key inputs_Reserves'!$C$50:$C$77,'Key inputs_Reserves'!$A$50:$A$77,R$35)*10^3</f>
        <v>2.8464441626061436</v>
      </c>
      <c r="S48" s="394">
        <f>SUMIFS('Key inputs_Reserves'!$C$50:$C$77,'Key inputs_Reserves'!$A$50:$A$77,S$35)*10^3</f>
        <v>2.8464441626061436</v>
      </c>
      <c r="T48" s="394">
        <f>SUMIFS('Key inputs_Reserves'!$C$50:$C$77,'Key inputs_Reserves'!$A$50:$A$77,T$35)*10^3</f>
        <v>3.9760034962800863</v>
      </c>
      <c r="U48" s="394">
        <f>SUMIFS('Key inputs_Reserves'!$C$50:$C$77,'Key inputs_Reserves'!$A$50:$A$77,U$35)*10^3</f>
        <v>2.8464441626061436</v>
      </c>
      <c r="V48" s="394">
        <f>SUMIFS('Key inputs_Reserves'!$C$50:$C$77,'Key inputs_Reserves'!$A$50:$A$77,V$35)*10^3</f>
        <v>2.8464441626061436</v>
      </c>
      <c r="W48" s="394">
        <f>SUMIFS('Key inputs_Reserves'!$C$50:$C$77,'Key inputs_Reserves'!$A$50:$A$77,W$35)*10^3</f>
        <v>2.8464441626061436</v>
      </c>
      <c r="X48" s="394">
        <f>SUMIFS('Key inputs_Reserves'!$C$50:$C$77,'Key inputs_Reserves'!$A$50:$A$77,X$35)*10^3</f>
        <v>2.6749699023062208</v>
      </c>
      <c r="Y48" s="394">
        <f>SUMIFS('Key inputs_Reserves'!$C$50:$C$77,'Key inputs_Reserves'!$A$50:$A$77,Y$35)*10^3</f>
        <v>2.8464441626061436</v>
      </c>
      <c r="Z48" s="394">
        <f>SUMIFS('Key inputs_Reserves'!$C$50:$C$77,'Key inputs_Reserves'!$A$50:$A$77,Z$35)*10^3</f>
        <v>2.8464441626061436</v>
      </c>
      <c r="AA48" s="394">
        <f>SUMIFS('Key inputs_Reserves'!$C$50:$C$77,'Key inputs_Reserves'!$A$50:$A$77,AA$35)*10^3</f>
        <v>1.6795328011730835</v>
      </c>
      <c r="AB48" s="394">
        <f>SUMIFS('Key inputs_Reserves'!$C$50:$C$77,'Key inputs_Reserves'!$A$50:$A$77,AB$35)*10^3</f>
        <v>2.8464441626061436</v>
      </c>
      <c r="AC48" s="394">
        <f>SUMIFS('Key inputs_Reserves'!$C$50:$C$77,'Key inputs_Reserves'!$A$50:$A$77,AC$35)*10^3</f>
        <v>1.0252875075175858</v>
      </c>
      <c r="AD48" s="394">
        <f>SUMIFS('Key inputs_Reserves'!$C$50:$C$77,'Key inputs_Reserves'!$A$50:$A$77,AD$35)*10^3</f>
        <v>2.8464441626061436</v>
      </c>
      <c r="AE48" s="394">
        <f>SUMIFS('Key inputs_Reserves'!$C$50:$C$77,'Key inputs_Reserves'!$A$50:$A$77,AE$35)*10^3</f>
        <v>1.8758861657630788</v>
      </c>
      <c r="AF48" s="394">
        <f>SUMIFS('Key inputs_Reserves'!$C$50:$C$77,'Key inputs_Reserves'!$A$50:$A$77,AF$35)*10^3</f>
        <v>1.8170582643904007</v>
      </c>
      <c r="AG48" s="394">
        <f>SUMIFS('Key inputs_Reserves'!$C$50:$C$77,'Key inputs_Reserves'!$A$50:$A$77,AG$35)*10^3</f>
        <v>2.8464441626061436</v>
      </c>
      <c r="AH48" s="394">
        <f>SUMIFS('Key inputs_Reserves'!$C$50:$C$77,'Key inputs_Reserves'!$A$50:$A$77,AH$35)*10^3</f>
        <v>2.3743666907680878</v>
      </c>
    </row>
    <row r="49" spans="1:35">
      <c r="A49" s="4" t="str">
        <f t="shared" si="5"/>
        <v>MIN-RSVOIL2</v>
      </c>
      <c r="B49" s="4" t="str">
        <f t="shared" si="6"/>
        <v>UPS Reserves of Crude oil - Reserve - Supply curve step 2</v>
      </c>
      <c r="C49" s="4"/>
      <c r="D49" s="4" t="s">
        <v>675</v>
      </c>
      <c r="E49" s="4"/>
      <c r="F49" s="4"/>
      <c r="G49" s="395">
        <f t="shared" ref="G49:P50" si="15">G48*1.2</f>
        <v>3.4157329951273723</v>
      </c>
      <c r="H49" s="395">
        <f t="shared" si="15"/>
        <v>2.0488861714565409</v>
      </c>
      <c r="I49" s="395">
        <f t="shared" si="15"/>
        <v>2.0488861714565409</v>
      </c>
      <c r="J49" s="395">
        <f t="shared" si="15"/>
        <v>3.4157329951273723</v>
      </c>
      <c r="K49" s="395">
        <f t="shared" si="15"/>
        <v>3.4157329951273723</v>
      </c>
      <c r="L49" s="395">
        <f t="shared" si="15"/>
        <v>3.4157329951273723</v>
      </c>
      <c r="M49" s="395">
        <f t="shared" si="15"/>
        <v>3.4157329951273723</v>
      </c>
      <c r="N49" s="395">
        <f t="shared" si="15"/>
        <v>3.4157329951273723</v>
      </c>
      <c r="O49" s="395">
        <f t="shared" si="15"/>
        <v>3.7897900821913435</v>
      </c>
      <c r="P49" s="395">
        <f t="shared" si="15"/>
        <v>3.2682803954488087</v>
      </c>
      <c r="Q49" s="395">
        <f t="shared" ref="Q49:Z50" si="16">Q48*1.2</f>
        <v>3.4157329951273723</v>
      </c>
      <c r="R49" s="395">
        <f t="shared" si="16"/>
        <v>3.4157329951273723</v>
      </c>
      <c r="S49" s="395">
        <f t="shared" si="16"/>
        <v>3.4157329951273723</v>
      </c>
      <c r="T49" s="395">
        <f t="shared" si="16"/>
        <v>4.7712041955361038</v>
      </c>
      <c r="U49" s="395">
        <f t="shared" si="16"/>
        <v>3.4157329951273723</v>
      </c>
      <c r="V49" s="395">
        <f t="shared" si="16"/>
        <v>3.4157329951273723</v>
      </c>
      <c r="W49" s="395">
        <f t="shared" si="16"/>
        <v>3.4157329951273723</v>
      </c>
      <c r="X49" s="395">
        <f t="shared" si="16"/>
        <v>3.209963882767465</v>
      </c>
      <c r="Y49" s="395">
        <f t="shared" si="16"/>
        <v>3.4157329951273723</v>
      </c>
      <c r="Z49" s="395">
        <f t="shared" si="16"/>
        <v>3.4157329951273723</v>
      </c>
      <c r="AA49" s="395">
        <f t="shared" ref="AA49:AH50" si="17">AA48*1.2</f>
        <v>2.0154393614077</v>
      </c>
      <c r="AB49" s="395">
        <f t="shared" si="17"/>
        <v>3.4157329951273723</v>
      </c>
      <c r="AC49" s="395">
        <f t="shared" si="17"/>
        <v>1.230345009021103</v>
      </c>
      <c r="AD49" s="395">
        <f t="shared" si="17"/>
        <v>3.4157329951273723</v>
      </c>
      <c r="AE49" s="395">
        <f t="shared" si="17"/>
        <v>2.2510633989156945</v>
      </c>
      <c r="AF49" s="395">
        <f t="shared" si="17"/>
        <v>2.1804699172684807</v>
      </c>
      <c r="AG49" s="395">
        <f t="shared" si="17"/>
        <v>3.4157329951273723</v>
      </c>
      <c r="AH49" s="395">
        <f t="shared" si="17"/>
        <v>2.8492400289217055</v>
      </c>
    </row>
    <row r="50" spans="1:35">
      <c r="A50" s="4" t="str">
        <f t="shared" si="5"/>
        <v>MIN-RSVOIL3</v>
      </c>
      <c r="B50" s="4" t="str">
        <f t="shared" si="6"/>
        <v>UPS Reserves of Crude oil - Reserve - Supply curve step 3</v>
      </c>
      <c r="C50" s="4"/>
      <c r="D50" s="4" t="s">
        <v>675</v>
      </c>
      <c r="E50" s="4"/>
      <c r="F50" s="4"/>
      <c r="G50" s="395">
        <f t="shared" si="15"/>
        <v>4.0988795941528462</v>
      </c>
      <c r="H50" s="395">
        <f t="shared" si="15"/>
        <v>2.4586634057478491</v>
      </c>
      <c r="I50" s="395">
        <f t="shared" si="15"/>
        <v>2.4586634057478491</v>
      </c>
      <c r="J50" s="395">
        <f t="shared" si="15"/>
        <v>4.0988795941528462</v>
      </c>
      <c r="K50" s="395">
        <f t="shared" si="15"/>
        <v>4.0988795941528462</v>
      </c>
      <c r="L50" s="395">
        <f t="shared" si="15"/>
        <v>4.0988795941528462</v>
      </c>
      <c r="M50" s="395">
        <f t="shared" si="15"/>
        <v>4.0988795941528462</v>
      </c>
      <c r="N50" s="395">
        <f t="shared" si="15"/>
        <v>4.0988795941528462</v>
      </c>
      <c r="O50" s="395">
        <f t="shared" si="15"/>
        <v>4.5477480986296124</v>
      </c>
      <c r="P50" s="395">
        <f t="shared" si="15"/>
        <v>3.9219364745385703</v>
      </c>
      <c r="Q50" s="395">
        <f t="shared" si="16"/>
        <v>4.0988795941528462</v>
      </c>
      <c r="R50" s="395">
        <f t="shared" si="16"/>
        <v>4.0988795941528462</v>
      </c>
      <c r="S50" s="395">
        <f t="shared" si="16"/>
        <v>4.0988795941528462</v>
      </c>
      <c r="T50" s="395">
        <f t="shared" si="16"/>
        <v>5.7254450346433243</v>
      </c>
      <c r="U50" s="395">
        <f t="shared" si="16"/>
        <v>4.0988795941528462</v>
      </c>
      <c r="V50" s="395">
        <f t="shared" si="16"/>
        <v>4.0988795941528462</v>
      </c>
      <c r="W50" s="395">
        <f t="shared" si="16"/>
        <v>4.0988795941528462</v>
      </c>
      <c r="X50" s="395">
        <f t="shared" si="16"/>
        <v>3.8519566593209578</v>
      </c>
      <c r="Y50" s="395">
        <f t="shared" si="16"/>
        <v>4.0988795941528462</v>
      </c>
      <c r="Z50" s="395">
        <f t="shared" si="16"/>
        <v>4.0988795941528462</v>
      </c>
      <c r="AA50" s="395">
        <f t="shared" si="17"/>
        <v>2.4185272336892401</v>
      </c>
      <c r="AB50" s="395">
        <f t="shared" si="17"/>
        <v>4.0988795941528462</v>
      </c>
      <c r="AC50" s="395">
        <f t="shared" si="17"/>
        <v>1.4764140108253236</v>
      </c>
      <c r="AD50" s="395">
        <f t="shared" si="17"/>
        <v>4.0988795941528462</v>
      </c>
      <c r="AE50" s="395">
        <f t="shared" si="17"/>
        <v>2.7012760786988332</v>
      </c>
      <c r="AF50" s="395">
        <f t="shared" si="17"/>
        <v>2.6165639007221766</v>
      </c>
      <c r="AG50" s="395">
        <f t="shared" si="17"/>
        <v>4.0988795941528462</v>
      </c>
      <c r="AH50" s="395">
        <f t="shared" si="17"/>
        <v>3.4190880347060464</v>
      </c>
    </row>
    <row r="51" spans="1:35">
      <c r="A51" s="4" t="str">
        <f t="shared" si="5"/>
        <v>MIN-RSVOILEOR1</v>
      </c>
      <c r="B51" s="4" t="str">
        <f t="shared" si="6"/>
        <v>UPS Reserves of Crude oil - Reserve from EOR - Supply curve step 1</v>
      </c>
      <c r="C51" s="4"/>
      <c r="D51" s="4" t="s">
        <v>675</v>
      </c>
      <c r="E51" s="4"/>
      <c r="F51" s="4"/>
      <c r="G51" s="395">
        <f>SUMIFS('Key inputs_Reserves'!$C$50:$C$77,'Key inputs_Reserves'!$A$50:$A$77,G$35)*10^3</f>
        <v>2.8464441626061436</v>
      </c>
      <c r="H51" s="395">
        <f>SUMIFS('Key inputs_Reserves'!$C$50:$C$77,'Key inputs_Reserves'!$A$50:$A$77,H$35)*10^3</f>
        <v>1.7074051428804509</v>
      </c>
      <c r="I51" s="395">
        <f>SUMIFS('Key inputs_Reserves'!$C$50:$C$77,'Key inputs_Reserves'!$A$50:$A$77,I$35)*10^3</f>
        <v>1.7074051428804509</v>
      </c>
      <c r="J51" s="395">
        <f>SUMIFS('Key inputs_Reserves'!$C$50:$C$77,'Key inputs_Reserves'!$A$50:$A$77,J$35)*10^3</f>
        <v>2.8464441626061436</v>
      </c>
      <c r="K51" s="395">
        <f>SUMIFS('Key inputs_Reserves'!$C$50:$C$77,'Key inputs_Reserves'!$A$50:$A$77,K$35)*10^3</f>
        <v>2.8464441626061436</v>
      </c>
      <c r="L51" s="395">
        <f>SUMIFS('Key inputs_Reserves'!$C$50:$C$77,'Key inputs_Reserves'!$A$50:$A$77,L$35)*10^3</f>
        <v>2.8464441626061436</v>
      </c>
      <c r="M51" s="395">
        <f>SUMIFS('Key inputs_Reserves'!$C$50:$C$77,'Key inputs_Reserves'!$A$50:$A$77,M$35)*10^3</f>
        <v>2.8464441626061436</v>
      </c>
      <c r="N51" s="395">
        <f>SUMIFS('Key inputs_Reserves'!$C$50:$C$77,'Key inputs_Reserves'!$A$50:$A$77,N$35)*10^3</f>
        <v>2.8464441626061436</v>
      </c>
      <c r="O51" s="395">
        <f>SUMIFS('Key inputs_Reserves'!$C$50:$C$77,'Key inputs_Reserves'!$A$50:$A$77,O$35)*10^3</f>
        <v>3.1581584018261197</v>
      </c>
      <c r="P51" s="395">
        <f>SUMIFS('Key inputs_Reserves'!$C$50:$C$77,'Key inputs_Reserves'!$A$50:$A$77,P$35)*10^3</f>
        <v>2.7235669962073406</v>
      </c>
      <c r="Q51" s="395">
        <f>SUMIFS('Key inputs_Reserves'!$C$50:$C$77,'Key inputs_Reserves'!$A$50:$A$77,Q$35)*10^3</f>
        <v>2.8464441626061436</v>
      </c>
      <c r="R51" s="395">
        <f>SUMIFS('Key inputs_Reserves'!$C$50:$C$77,'Key inputs_Reserves'!$A$50:$A$77,R$35)*10^3</f>
        <v>2.8464441626061436</v>
      </c>
      <c r="S51" s="395">
        <f>SUMIFS('Key inputs_Reserves'!$C$50:$C$77,'Key inputs_Reserves'!$A$50:$A$77,S$35)*10^3</f>
        <v>2.8464441626061436</v>
      </c>
      <c r="T51" s="395">
        <f>SUMIFS('Key inputs_Reserves'!$C$50:$C$77,'Key inputs_Reserves'!$A$50:$A$77,T$35)*10^3</f>
        <v>3.9760034962800863</v>
      </c>
      <c r="U51" s="395">
        <f>SUMIFS('Key inputs_Reserves'!$C$50:$C$77,'Key inputs_Reserves'!$A$50:$A$77,U$35)*10^3</f>
        <v>2.8464441626061436</v>
      </c>
      <c r="V51" s="395">
        <f>SUMIFS('Key inputs_Reserves'!$C$50:$C$77,'Key inputs_Reserves'!$A$50:$A$77,V$35)*10^3</f>
        <v>2.8464441626061436</v>
      </c>
      <c r="W51" s="395">
        <f>SUMIFS('Key inputs_Reserves'!$C$50:$C$77,'Key inputs_Reserves'!$A$50:$A$77,W$35)*10^3</f>
        <v>2.8464441626061436</v>
      </c>
      <c r="X51" s="395">
        <f>SUMIFS('Key inputs_Reserves'!$C$50:$C$77,'Key inputs_Reserves'!$A$50:$A$77,X$35)*10^3</f>
        <v>2.6749699023062208</v>
      </c>
      <c r="Y51" s="395">
        <f>SUMIFS('Key inputs_Reserves'!$C$50:$C$77,'Key inputs_Reserves'!$A$50:$A$77,Y$35)*10^3</f>
        <v>2.8464441626061436</v>
      </c>
      <c r="Z51" s="395">
        <f>SUMIFS('Key inputs_Reserves'!$C$50:$C$77,'Key inputs_Reserves'!$A$50:$A$77,Z$35)*10^3</f>
        <v>2.8464441626061436</v>
      </c>
      <c r="AA51" s="395">
        <f>SUMIFS('Key inputs_Reserves'!$C$50:$C$77,'Key inputs_Reserves'!$A$50:$A$77,AA$35)*10^3</f>
        <v>1.6795328011730835</v>
      </c>
      <c r="AB51" s="395">
        <f>SUMIFS('Key inputs_Reserves'!$C$50:$C$77,'Key inputs_Reserves'!$A$50:$A$77,AB$35)*10^3</f>
        <v>2.8464441626061436</v>
      </c>
      <c r="AC51" s="395">
        <f>SUMIFS('Key inputs_Reserves'!$C$50:$C$77,'Key inputs_Reserves'!$A$50:$A$77,AC$35)*10^3</f>
        <v>1.0252875075175858</v>
      </c>
      <c r="AD51" s="395">
        <f>SUMIFS('Key inputs_Reserves'!$C$50:$C$77,'Key inputs_Reserves'!$A$50:$A$77,AD$35)*10^3</f>
        <v>2.8464441626061436</v>
      </c>
      <c r="AE51" s="395">
        <f>SUMIFS('Key inputs_Reserves'!$C$50:$C$77,'Key inputs_Reserves'!$A$50:$A$77,AE$35)*10^3</f>
        <v>1.8758861657630788</v>
      </c>
      <c r="AF51" s="395">
        <f>SUMIFS('Key inputs_Reserves'!$C$50:$C$77,'Key inputs_Reserves'!$A$50:$A$77,AF$35)*10^3</f>
        <v>1.8170582643904007</v>
      </c>
      <c r="AG51" s="395">
        <f>SUMIFS('Key inputs_Reserves'!$C$50:$C$77,'Key inputs_Reserves'!$A$50:$A$77,AG$35)*10^3</f>
        <v>2.8464441626061436</v>
      </c>
      <c r="AH51" s="395">
        <f>SUMIFS('Key inputs_Reserves'!$C$50:$C$77,'Key inputs_Reserves'!$A$50:$A$77,AH$35)*10^3</f>
        <v>2.3743666907680878</v>
      </c>
    </row>
    <row r="52" spans="1:35">
      <c r="A52" s="4" t="str">
        <f t="shared" si="5"/>
        <v>MIN-RSVOILEOR2</v>
      </c>
      <c r="B52" s="4" t="str">
        <f t="shared" si="6"/>
        <v>UPS Reserves of Crude oil - Reserve from EOR - Supply curve step 2</v>
      </c>
      <c r="C52" s="4"/>
      <c r="D52" s="4" t="s">
        <v>675</v>
      </c>
      <c r="E52" s="4"/>
      <c r="F52" s="4"/>
      <c r="G52" s="395">
        <f t="shared" ref="G52:AH52" si="18">G51*1.2</f>
        <v>3.4157329951273723</v>
      </c>
      <c r="H52" s="395">
        <f t="shared" si="18"/>
        <v>2.0488861714565409</v>
      </c>
      <c r="I52" s="395">
        <f t="shared" si="18"/>
        <v>2.0488861714565409</v>
      </c>
      <c r="J52" s="395">
        <f t="shared" si="18"/>
        <v>3.4157329951273723</v>
      </c>
      <c r="K52" s="395">
        <f t="shared" si="18"/>
        <v>3.4157329951273723</v>
      </c>
      <c r="L52" s="395">
        <f t="shared" si="18"/>
        <v>3.4157329951273723</v>
      </c>
      <c r="M52" s="395">
        <f t="shared" si="18"/>
        <v>3.4157329951273723</v>
      </c>
      <c r="N52" s="395">
        <f t="shared" si="18"/>
        <v>3.4157329951273723</v>
      </c>
      <c r="O52" s="395">
        <f t="shared" si="18"/>
        <v>3.7897900821913435</v>
      </c>
      <c r="P52" s="395">
        <f t="shared" si="18"/>
        <v>3.2682803954488087</v>
      </c>
      <c r="Q52" s="395">
        <f t="shared" si="18"/>
        <v>3.4157329951273723</v>
      </c>
      <c r="R52" s="395">
        <f t="shared" si="18"/>
        <v>3.4157329951273723</v>
      </c>
      <c r="S52" s="395">
        <f t="shared" si="18"/>
        <v>3.4157329951273723</v>
      </c>
      <c r="T52" s="395">
        <f t="shared" si="18"/>
        <v>4.7712041955361038</v>
      </c>
      <c r="U52" s="395">
        <f t="shared" si="18"/>
        <v>3.4157329951273723</v>
      </c>
      <c r="V52" s="395">
        <f t="shared" si="18"/>
        <v>3.4157329951273723</v>
      </c>
      <c r="W52" s="395">
        <f t="shared" si="18"/>
        <v>3.4157329951273723</v>
      </c>
      <c r="X52" s="395">
        <f t="shared" si="18"/>
        <v>3.209963882767465</v>
      </c>
      <c r="Y52" s="395">
        <f t="shared" si="18"/>
        <v>3.4157329951273723</v>
      </c>
      <c r="Z52" s="395">
        <f t="shared" si="18"/>
        <v>3.4157329951273723</v>
      </c>
      <c r="AA52" s="395">
        <f t="shared" si="18"/>
        <v>2.0154393614077</v>
      </c>
      <c r="AB52" s="395">
        <f t="shared" si="18"/>
        <v>3.4157329951273723</v>
      </c>
      <c r="AC52" s="395">
        <f t="shared" si="18"/>
        <v>1.230345009021103</v>
      </c>
      <c r="AD52" s="395">
        <f t="shared" si="18"/>
        <v>3.4157329951273723</v>
      </c>
      <c r="AE52" s="395">
        <f t="shared" si="18"/>
        <v>2.2510633989156945</v>
      </c>
      <c r="AF52" s="395">
        <f t="shared" si="18"/>
        <v>2.1804699172684807</v>
      </c>
      <c r="AG52" s="395">
        <f t="shared" si="18"/>
        <v>3.4157329951273723</v>
      </c>
      <c r="AH52" s="395">
        <f t="shared" si="18"/>
        <v>2.8492400289217055</v>
      </c>
    </row>
    <row r="53" spans="1:35">
      <c r="A53" s="4" t="str">
        <f t="shared" si="5"/>
        <v>MIN-RSVOILEOR3</v>
      </c>
      <c r="B53" s="4" t="str">
        <f t="shared" si="6"/>
        <v>UPS Reserves of Crude oil - Reserve from EOR - Supply curve step 3</v>
      </c>
      <c r="C53" s="4"/>
      <c r="D53" s="4" t="s">
        <v>675</v>
      </c>
      <c r="E53" s="4"/>
      <c r="F53" s="4"/>
      <c r="G53" s="395">
        <f t="shared" ref="G53:AH53" si="19">G52*1.2</f>
        <v>4.0988795941528462</v>
      </c>
      <c r="H53" s="395">
        <f t="shared" si="19"/>
        <v>2.4586634057478491</v>
      </c>
      <c r="I53" s="395">
        <f t="shared" si="19"/>
        <v>2.4586634057478491</v>
      </c>
      <c r="J53" s="395">
        <f t="shared" si="19"/>
        <v>4.0988795941528462</v>
      </c>
      <c r="K53" s="395">
        <f t="shared" si="19"/>
        <v>4.0988795941528462</v>
      </c>
      <c r="L53" s="395">
        <f t="shared" si="19"/>
        <v>4.0988795941528462</v>
      </c>
      <c r="M53" s="395">
        <f t="shared" si="19"/>
        <v>4.0988795941528462</v>
      </c>
      <c r="N53" s="395">
        <f t="shared" si="19"/>
        <v>4.0988795941528462</v>
      </c>
      <c r="O53" s="395">
        <f t="shared" si="19"/>
        <v>4.5477480986296124</v>
      </c>
      <c r="P53" s="395">
        <f t="shared" si="19"/>
        <v>3.9219364745385703</v>
      </c>
      <c r="Q53" s="395">
        <f t="shared" si="19"/>
        <v>4.0988795941528462</v>
      </c>
      <c r="R53" s="395">
        <f t="shared" si="19"/>
        <v>4.0988795941528462</v>
      </c>
      <c r="S53" s="395">
        <f t="shared" si="19"/>
        <v>4.0988795941528462</v>
      </c>
      <c r="T53" s="395">
        <f t="shared" si="19"/>
        <v>5.7254450346433243</v>
      </c>
      <c r="U53" s="395">
        <f t="shared" si="19"/>
        <v>4.0988795941528462</v>
      </c>
      <c r="V53" s="395">
        <f t="shared" si="19"/>
        <v>4.0988795941528462</v>
      </c>
      <c r="W53" s="395">
        <f t="shared" si="19"/>
        <v>4.0988795941528462</v>
      </c>
      <c r="X53" s="395">
        <f t="shared" si="19"/>
        <v>3.8519566593209578</v>
      </c>
      <c r="Y53" s="395">
        <f t="shared" si="19"/>
        <v>4.0988795941528462</v>
      </c>
      <c r="Z53" s="395">
        <f t="shared" si="19"/>
        <v>4.0988795941528462</v>
      </c>
      <c r="AA53" s="395">
        <f t="shared" si="19"/>
        <v>2.4185272336892401</v>
      </c>
      <c r="AB53" s="395">
        <f t="shared" si="19"/>
        <v>4.0988795941528462</v>
      </c>
      <c r="AC53" s="395">
        <f t="shared" si="19"/>
        <v>1.4764140108253236</v>
      </c>
      <c r="AD53" s="395">
        <f t="shared" si="19"/>
        <v>4.0988795941528462</v>
      </c>
      <c r="AE53" s="395">
        <f t="shared" si="19"/>
        <v>2.7012760786988332</v>
      </c>
      <c r="AF53" s="395">
        <f t="shared" si="19"/>
        <v>2.6165639007221766</v>
      </c>
      <c r="AG53" s="395">
        <f t="shared" si="19"/>
        <v>4.0988795941528462</v>
      </c>
      <c r="AH53" s="395">
        <f t="shared" si="19"/>
        <v>3.4190880347060464</v>
      </c>
    </row>
    <row r="54" spans="1:3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row>
    <row r="55" spans="1:3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row>
    <row r="56" spans="1:35">
      <c r="A56" s="260"/>
      <c r="B56" s="260"/>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row>
    <row r="57" spans="1:35">
      <c r="A57" s="260"/>
      <c r="B57" s="260"/>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row>
    <row r="58" spans="1:35">
      <c r="A58" s="4"/>
      <c r="B58" s="4"/>
      <c r="C58" s="4"/>
      <c r="D58" s="4"/>
      <c r="E58" s="4"/>
    </row>
    <row r="59" spans="1:35">
      <c r="A59" s="4"/>
      <c r="B59" s="4"/>
      <c r="C59" s="4"/>
      <c r="D59" s="4"/>
      <c r="E59" s="4"/>
    </row>
    <row r="60" spans="1:35">
      <c r="A60" s="4"/>
      <c r="B60" s="4"/>
      <c r="C60" s="4"/>
      <c r="D60" s="4"/>
      <c r="E60" s="4"/>
    </row>
  </sheetData>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A5462-58C6-4C9E-B3B4-7799840A900A}">
  <sheetPr>
    <tabColor theme="9" tint="0.39997558519241921"/>
  </sheetPr>
  <dimension ref="A1:AQ417"/>
  <sheetViews>
    <sheetView topLeftCell="W396" zoomScale="85" zoomScaleNormal="85" workbookViewId="0">
      <selection activeCell="AG210" sqref="AG210"/>
    </sheetView>
  </sheetViews>
  <sheetFormatPr defaultColWidth="8.8984375" defaultRowHeight="15.6"/>
  <cols>
    <col min="1" max="1" width="24" bestFit="1" customWidth="1"/>
    <col min="2" max="2" width="60.59765625" bestFit="1" customWidth="1"/>
    <col min="3" max="3" width="11.5" bestFit="1" customWidth="1"/>
    <col min="4" max="4" width="9.5" bestFit="1" customWidth="1"/>
    <col min="5" max="5" width="7.3984375" bestFit="1" customWidth="1"/>
    <col min="6" max="6" width="4.8984375" bestFit="1" customWidth="1"/>
    <col min="7" max="7" width="12.19921875" customWidth="1"/>
    <col min="8" max="8" width="11.5" bestFit="1" customWidth="1"/>
    <col min="9" max="9" width="11.09765625" bestFit="1" customWidth="1"/>
    <col min="10" max="10" width="11.5" bestFit="1" customWidth="1"/>
    <col min="11" max="11" width="19.59765625" bestFit="1" customWidth="1"/>
    <col min="12" max="12" width="10.8984375" bestFit="1" customWidth="1"/>
    <col min="13" max="13" width="11" bestFit="1" customWidth="1"/>
    <col min="14" max="18" width="10.8984375" bestFit="1" customWidth="1"/>
    <col min="19" max="19" width="16.59765625" bestFit="1" customWidth="1"/>
    <col min="20" max="20" width="17.3984375" bestFit="1" customWidth="1"/>
    <col min="21" max="21" width="15.69921875" bestFit="1" customWidth="1"/>
    <col min="22" max="22" width="21.59765625" bestFit="1" customWidth="1"/>
    <col min="23" max="23" width="16.3984375" bestFit="1" customWidth="1"/>
    <col min="24" max="24" width="23.09765625" bestFit="1" customWidth="1"/>
    <col min="25" max="27" width="10.8984375" bestFit="1" customWidth="1"/>
    <col min="28" max="28" width="14.59765625" bestFit="1" customWidth="1"/>
    <col min="29" max="29" width="18" bestFit="1" customWidth="1"/>
    <col min="30" max="31" width="10.8984375" bestFit="1" customWidth="1"/>
    <col min="32" max="32" width="13.3984375" bestFit="1" customWidth="1"/>
    <col min="33" max="33" width="15" bestFit="1" customWidth="1"/>
    <col min="34" max="34" width="10.8984375" bestFit="1" customWidth="1"/>
    <col min="36" max="36" width="21.59765625" bestFit="1" customWidth="1"/>
    <col min="37" max="37" width="16.59765625" bestFit="1" customWidth="1"/>
    <col min="38" max="38" width="60.59765625" bestFit="1" customWidth="1"/>
    <col min="39" max="39" width="6" bestFit="1" customWidth="1"/>
    <col min="40" max="40" width="6.8984375" bestFit="1" customWidth="1"/>
    <col min="41" max="41" width="7.3984375" bestFit="1" customWidth="1"/>
    <col min="42" max="42" width="9.09765625" bestFit="1" customWidth="1"/>
    <col min="43" max="43" width="6.8984375" bestFit="1" customWidth="1"/>
  </cols>
  <sheetData>
    <row r="1" spans="1:43" s="4" customFormat="1" ht="23.4">
      <c r="A1" s="253" t="s">
        <v>676</v>
      </c>
    </row>
    <row r="2" spans="1:43" s="4" customFormat="1" ht="18">
      <c r="A2" s="8" t="s">
        <v>663</v>
      </c>
      <c r="B2" s="4" t="str">
        <f>Legend!B182</f>
        <v>S23</v>
      </c>
    </row>
    <row r="3" spans="1:43" s="4" customFormat="1"/>
    <row r="4" spans="1:43" s="4" customFormat="1" ht="18">
      <c r="A4" s="8"/>
      <c r="G4"/>
      <c r="H4"/>
      <c r="K4" s="254"/>
      <c r="AJ4" s="8" t="s">
        <v>665</v>
      </c>
    </row>
    <row r="5" spans="1:43" s="4" customFormat="1" ht="18">
      <c r="A5" s="8"/>
      <c r="G5"/>
      <c r="H5"/>
      <c r="K5" s="254"/>
      <c r="AJ5" s="8"/>
    </row>
    <row r="6" spans="1:43" s="4" customFormat="1">
      <c r="A6" s="255" t="s">
        <v>625</v>
      </c>
      <c r="B6" s="255"/>
      <c r="C6"/>
      <c r="D6"/>
      <c r="E6"/>
      <c r="F6"/>
      <c r="G6"/>
      <c r="H6"/>
      <c r="I6"/>
      <c r="J6"/>
      <c r="K6"/>
      <c r="L6"/>
      <c r="M6"/>
      <c r="N6"/>
      <c r="O6"/>
      <c r="P6"/>
      <c r="Q6"/>
      <c r="R6"/>
      <c r="S6"/>
      <c r="T6"/>
      <c r="U6"/>
      <c r="V6"/>
      <c r="W6"/>
      <c r="X6"/>
      <c r="Y6"/>
      <c r="Z6"/>
      <c r="AA6"/>
      <c r="AB6"/>
      <c r="AC6"/>
      <c r="AD6"/>
      <c r="AE6"/>
      <c r="AF6"/>
      <c r="AG6"/>
      <c r="AH6"/>
      <c r="AI6"/>
      <c r="AK6" s="256" t="s">
        <v>626</v>
      </c>
      <c r="AL6" s="493"/>
      <c r="AM6" s="493"/>
      <c r="AN6" s="493"/>
      <c r="AO6" s="493"/>
      <c r="AP6" s="493"/>
      <c r="AQ6" s="493"/>
    </row>
    <row r="7" spans="1:43" s="4" customFormat="1" ht="16.2" thickBot="1">
      <c r="A7" s="11" t="s">
        <v>627</v>
      </c>
      <c r="B7" s="11" t="s">
        <v>666</v>
      </c>
      <c r="C7" s="240" t="s">
        <v>653</v>
      </c>
      <c r="D7" s="10" t="s">
        <v>654</v>
      </c>
      <c r="E7" s="10" t="s">
        <v>376</v>
      </c>
      <c r="F7" s="10" t="s">
        <v>655</v>
      </c>
      <c r="G7" s="10" t="s">
        <v>172</v>
      </c>
      <c r="H7" s="10" t="s">
        <v>175</v>
      </c>
      <c r="I7" s="10" t="s">
        <v>178</v>
      </c>
      <c r="J7" s="10" t="s">
        <v>181</v>
      </c>
      <c r="K7" s="10" t="s">
        <v>184</v>
      </c>
      <c r="L7" s="10" t="s">
        <v>187</v>
      </c>
      <c r="M7" s="10" t="s">
        <v>190</v>
      </c>
      <c r="N7" s="10" t="s">
        <v>193</v>
      </c>
      <c r="O7" s="10" t="s">
        <v>196</v>
      </c>
      <c r="P7" s="10" t="s">
        <v>198</v>
      </c>
      <c r="Q7" s="10" t="s">
        <v>200</v>
      </c>
      <c r="R7" s="10" t="s">
        <v>202</v>
      </c>
      <c r="S7" s="10" t="s">
        <v>205</v>
      </c>
      <c r="T7" s="10" t="s">
        <v>208</v>
      </c>
      <c r="U7" s="10" t="s">
        <v>211</v>
      </c>
      <c r="V7" s="10" t="s">
        <v>214</v>
      </c>
      <c r="W7" s="10" t="s">
        <v>217</v>
      </c>
      <c r="X7" s="10" t="s">
        <v>220</v>
      </c>
      <c r="Y7" s="10" t="s">
        <v>223</v>
      </c>
      <c r="Z7" s="10" t="s">
        <v>225</v>
      </c>
      <c r="AA7" s="10" t="s">
        <v>227</v>
      </c>
      <c r="AB7" s="10" t="s">
        <v>230</v>
      </c>
      <c r="AC7" s="10" t="s">
        <v>233</v>
      </c>
      <c r="AD7" s="10" t="s">
        <v>236</v>
      </c>
      <c r="AE7" s="10" t="s">
        <v>238</v>
      </c>
      <c r="AF7" s="10" t="s">
        <v>240</v>
      </c>
      <c r="AG7" s="10" t="s">
        <v>243</v>
      </c>
      <c r="AH7" s="10" t="s">
        <v>245</v>
      </c>
      <c r="AJ7" s="10" t="s">
        <v>633</v>
      </c>
      <c r="AK7" s="10" t="s">
        <v>627</v>
      </c>
      <c r="AL7" s="10" t="s">
        <v>634</v>
      </c>
      <c r="AM7" s="10" t="s">
        <v>635</v>
      </c>
      <c r="AN7" s="10" t="s">
        <v>636</v>
      </c>
      <c r="AO7" s="10" t="s">
        <v>637</v>
      </c>
      <c r="AP7" s="10" t="s">
        <v>638</v>
      </c>
      <c r="AQ7" s="10" t="s">
        <v>667</v>
      </c>
    </row>
    <row r="8" spans="1:43" s="4" customFormat="1" ht="55.2">
      <c r="A8" s="241" t="s">
        <v>639</v>
      </c>
      <c r="B8" s="241" t="s">
        <v>668</v>
      </c>
      <c r="C8" s="241" t="s">
        <v>657</v>
      </c>
      <c r="D8" s="241" t="s">
        <v>677</v>
      </c>
      <c r="E8" s="241"/>
      <c r="F8" s="241"/>
      <c r="G8" s="241" t="s">
        <v>173</v>
      </c>
      <c r="H8" s="241" t="s">
        <v>176</v>
      </c>
      <c r="I8" s="241" t="s">
        <v>179</v>
      </c>
      <c r="J8" s="241" t="s">
        <v>182</v>
      </c>
      <c r="K8" s="241" t="s">
        <v>185</v>
      </c>
      <c r="L8" s="241" t="s">
        <v>188</v>
      </c>
      <c r="M8" s="241" t="s">
        <v>191</v>
      </c>
      <c r="N8" s="241" t="s">
        <v>194</v>
      </c>
      <c r="O8" s="241" t="s">
        <v>197</v>
      </c>
      <c r="P8" s="241" t="s">
        <v>199</v>
      </c>
      <c r="Q8" s="241" t="s">
        <v>201</v>
      </c>
      <c r="R8" s="241" t="s">
        <v>203</v>
      </c>
      <c r="S8" s="241" t="s">
        <v>206</v>
      </c>
      <c r="T8" s="241" t="s">
        <v>209</v>
      </c>
      <c r="U8" s="241" t="s">
        <v>212</v>
      </c>
      <c r="V8" s="241" t="s">
        <v>215</v>
      </c>
      <c r="W8" s="241" t="s">
        <v>218</v>
      </c>
      <c r="X8" s="241" t="s">
        <v>221</v>
      </c>
      <c r="Y8" s="241" t="s">
        <v>224</v>
      </c>
      <c r="Z8" s="241" t="s">
        <v>226</v>
      </c>
      <c r="AA8" s="241" t="s">
        <v>228</v>
      </c>
      <c r="AB8" s="241" t="s">
        <v>231</v>
      </c>
      <c r="AC8" s="241" t="s">
        <v>234</v>
      </c>
      <c r="AD8" s="241" t="s">
        <v>237</v>
      </c>
      <c r="AE8" s="241" t="s">
        <v>239</v>
      </c>
      <c r="AF8" s="241" t="s">
        <v>241</v>
      </c>
      <c r="AG8" s="241" t="s">
        <v>1172</v>
      </c>
      <c r="AH8" s="241" t="s">
        <v>246</v>
      </c>
      <c r="AJ8" s="242" t="s">
        <v>670</v>
      </c>
      <c r="AK8" s="242" t="s">
        <v>644</v>
      </c>
      <c r="AL8" s="242" t="s">
        <v>23</v>
      </c>
      <c r="AM8" s="242" t="s">
        <v>645</v>
      </c>
      <c r="AN8" s="242" t="s">
        <v>646</v>
      </c>
      <c r="AO8" s="242" t="s">
        <v>647</v>
      </c>
      <c r="AP8" s="241" t="s">
        <v>648</v>
      </c>
      <c r="AQ8" s="241" t="s">
        <v>671</v>
      </c>
    </row>
    <row r="9" spans="1:43" s="4" customFormat="1">
      <c r="A9" s="257" t="s">
        <v>649</v>
      </c>
      <c r="B9" s="257"/>
      <c r="C9" s="257"/>
      <c r="D9" s="257"/>
      <c r="E9" s="257"/>
      <c r="F9" s="257"/>
      <c r="G9" s="257" t="s">
        <v>401</v>
      </c>
      <c r="H9" s="257" t="s">
        <v>401</v>
      </c>
      <c r="I9" s="257" t="s">
        <v>401</v>
      </c>
      <c r="J9" s="257" t="s">
        <v>401</v>
      </c>
      <c r="K9" s="257" t="s">
        <v>401</v>
      </c>
      <c r="L9" s="257" t="s">
        <v>401</v>
      </c>
      <c r="M9" s="257" t="s">
        <v>401</v>
      </c>
      <c r="N9" s="257" t="s">
        <v>401</v>
      </c>
      <c r="O9" s="257" t="s">
        <v>401</v>
      </c>
      <c r="P9" s="257" t="s">
        <v>401</v>
      </c>
      <c r="Q9" s="257" t="s">
        <v>401</v>
      </c>
      <c r="R9" s="257" t="s">
        <v>401</v>
      </c>
      <c r="S9" s="257" t="s">
        <v>401</v>
      </c>
      <c r="T9" s="257" t="s">
        <v>401</v>
      </c>
      <c r="U9" s="257" t="s">
        <v>401</v>
      </c>
      <c r="V9" s="257" t="s">
        <v>401</v>
      </c>
      <c r="W9" s="257" t="s">
        <v>401</v>
      </c>
      <c r="X9" s="257" t="s">
        <v>401</v>
      </c>
      <c r="Y9" s="257" t="s">
        <v>401</v>
      </c>
      <c r="Z9" s="257" t="s">
        <v>401</v>
      </c>
      <c r="AA9" s="257" t="s">
        <v>401</v>
      </c>
      <c r="AB9" s="257" t="s">
        <v>401</v>
      </c>
      <c r="AC9" s="257" t="s">
        <v>401</v>
      </c>
      <c r="AD9" s="257" t="s">
        <v>401</v>
      </c>
      <c r="AE9" s="257" t="s">
        <v>401</v>
      </c>
      <c r="AF9" s="257" t="s">
        <v>401</v>
      </c>
      <c r="AG9" s="257" t="s">
        <v>401</v>
      </c>
      <c r="AH9" s="257" t="s">
        <v>401</v>
      </c>
      <c r="AJ9" s="257" t="s">
        <v>629</v>
      </c>
      <c r="AK9" s="257"/>
      <c r="AL9" s="257"/>
      <c r="AM9" s="257"/>
      <c r="AN9" s="257"/>
      <c r="AO9" s="257"/>
      <c r="AP9" s="257"/>
      <c r="AQ9" s="257"/>
    </row>
    <row r="10" spans="1:43">
      <c r="A10" s="175" t="str">
        <f>IF(AK10="",AJ10,AK10)</f>
        <v>*Biomass</v>
      </c>
      <c r="C10" s="4"/>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J10" s="175" t="str">
        <f>Commodities!$B$14</f>
        <v>*Biomass</v>
      </c>
    </row>
    <row r="11" spans="1:43" s="4" customFormat="1">
      <c r="A11" s="4" t="str">
        <f>IF(AK11="",AJ11,AK11)</f>
        <v>MIN-RSVBIOWOO1</v>
      </c>
      <c r="B11" s="4" t="str">
        <f>IF($AK11="","",AL11)</f>
        <v>UPS Reserves of Biomass - Forest residues - Reserve - Supply curve step 1</v>
      </c>
      <c r="C11" s="4" t="str">
        <f>Commodities!$C$15</f>
        <v>RSVBIOWOO</v>
      </c>
      <c r="D11" s="4" t="s">
        <v>678</v>
      </c>
      <c r="E11" s="4" t="s">
        <v>661</v>
      </c>
      <c r="F11" s="4">
        <v>2019</v>
      </c>
      <c r="G11" s="258">
        <f>'Key input_Biomass_MAgPIE'!E6</f>
        <v>80998</v>
      </c>
      <c r="H11" s="258">
        <f>'Key input_Biomass_MAgPIE'!F6</f>
        <v>12.230409401185399</v>
      </c>
      <c r="I11" s="258">
        <f>'Key input_Biomass_MAgPIE'!G6</f>
        <v>74843</v>
      </c>
      <c r="J11" s="258">
        <f>'Key input_Biomass_MAgPIE'!H6</f>
        <v>22170.438792213299</v>
      </c>
      <c r="K11" s="258">
        <f>'Key input_Biomass_MAgPIE'!I6</f>
        <v>1705.55555555556</v>
      </c>
      <c r="L11" s="258">
        <f>'Key input_Biomass_MAgPIE'!J6</f>
        <v>1483.0775543647301</v>
      </c>
      <c r="M11" s="258">
        <f>'Key input_Biomass_MAgPIE'!K6</f>
        <v>25692</v>
      </c>
      <c r="N11" s="258">
        <f>'Key input_Biomass_MAgPIE'!L6</f>
        <v>22875</v>
      </c>
      <c r="O11" s="258">
        <f>'Key input_Biomass_MAgPIE'!M6</f>
        <v>33852</v>
      </c>
      <c r="P11" s="258">
        <f>'Key input_Biomass_MAgPIE'!N6</f>
        <v>1133</v>
      </c>
      <c r="Q11" s="258">
        <f>'Key input_Biomass_MAgPIE'!O6</f>
        <v>4074</v>
      </c>
      <c r="R11" s="258">
        <f>'Key input_Biomass_MAgPIE'!P6</f>
        <v>49458</v>
      </c>
      <c r="S11" s="258">
        <f>'Key input_Biomass_MAgPIE'!Q6</f>
        <v>10071.0327066875</v>
      </c>
      <c r="T11" s="258">
        <f>'Key input_Biomass_MAgPIE'!R6</f>
        <v>5443.5994575214499</v>
      </c>
      <c r="U11" s="258">
        <f>'Key input_Biomass_MAgPIE'!S6</f>
        <v>11941.710804084201</v>
      </c>
      <c r="V11" s="258">
        <f>'Key input_Biomass_MAgPIE'!T6</f>
        <v>13099</v>
      </c>
      <c r="W11" s="258">
        <f>'Key input_Biomass_MAgPIE'!U6</f>
        <v>19231.216157694198</v>
      </c>
      <c r="X11" s="258">
        <f>'Key input_Biomass_MAgPIE'!V6</f>
        <v>26810</v>
      </c>
      <c r="Y11" s="258">
        <f>'Key input_Biomass_MAgPIE'!W6</f>
        <v>78701.349145108295</v>
      </c>
      <c r="Z11" s="258">
        <f>'Key input_Biomass_MAgPIE'!X6</f>
        <v>193.333333333333</v>
      </c>
      <c r="AA11" s="258">
        <f>'Key input_Biomass_MAgPIE'!Y6</f>
        <v>27869</v>
      </c>
      <c r="AB11" s="258">
        <f>'Key input_Biomass_MAgPIE'!Z6</f>
        <v>1590.59295</v>
      </c>
      <c r="AC11" s="258">
        <f>'Key input_Biomass_MAgPIE'!AA6</f>
        <v>313.43378391884301</v>
      </c>
      <c r="AD11" s="258">
        <f>'Key input_Biomass_MAgPIE'!AB6</f>
        <v>12335</v>
      </c>
      <c r="AE11" s="258">
        <f>'Key input_Biomass_MAgPIE'!AC6</f>
        <v>20281.591409873199</v>
      </c>
      <c r="AF11" s="258">
        <f>'Key input_Biomass_MAgPIE'!AD6</f>
        <v>4991.3078590109999</v>
      </c>
      <c r="AG11" s="258">
        <f>'Key input_Biomass_MAgPIE'!AE6</f>
        <v>0</v>
      </c>
      <c r="AH11" s="258">
        <f>'Key input_Biomass_MAgPIE'!AF6</f>
        <v>13973.530081233201</v>
      </c>
      <c r="AJ11" s="4" t="str">
        <f>IF($A11="*","*","MIN")</f>
        <v>MIN</v>
      </c>
      <c r="AK11" t="str">
        <f>"MIN-"&amp;C11&amp;"1"</f>
        <v>MIN-RSVBIOWOO1</v>
      </c>
      <c r="AL11" t="str">
        <f>"UPS Reserves of "&amp;Commodities!$D$15 &amp; " - Supply curve step 1"</f>
        <v>UPS Reserves of Biomass - Forest residues - Reserve - Supply curve step 1</v>
      </c>
      <c r="AM11" s="4" t="s">
        <v>401</v>
      </c>
      <c r="AN11" s="4" t="s">
        <v>679</v>
      </c>
    </row>
    <row r="12" spans="1:43" s="4" customFormat="1">
      <c r="A12" s="4" t="str">
        <f>A11</f>
        <v>MIN-RSVBIOWOO1</v>
      </c>
      <c r="B12" s="4" t="str">
        <f t="shared" ref="B12:E12" si="0">B11</f>
        <v>UPS Reserves of Biomass - Forest residues - Reserve - Supply curve step 1</v>
      </c>
      <c r="C12" s="4" t="str">
        <f t="shared" si="0"/>
        <v>RSVBIOWOO</v>
      </c>
      <c r="D12" s="4" t="str">
        <f t="shared" si="0"/>
        <v>ACT_BND</v>
      </c>
      <c r="E12" s="4" t="str">
        <f t="shared" si="0"/>
        <v>UP</v>
      </c>
      <c r="F12" s="4">
        <v>2020</v>
      </c>
      <c r="G12" s="456">
        <f>'Key input_Biomass_MAgPIE'!E7</f>
        <v>80998</v>
      </c>
      <c r="H12" s="456">
        <f>'Key input_Biomass_MAgPIE'!F7</f>
        <v>12.230409401185399</v>
      </c>
      <c r="I12" s="456">
        <f>'Key input_Biomass_MAgPIE'!G7</f>
        <v>74843</v>
      </c>
      <c r="J12" s="456">
        <f>'Key input_Biomass_MAgPIE'!H7</f>
        <v>22170.438792213299</v>
      </c>
      <c r="K12" s="456">
        <f>'Key input_Biomass_MAgPIE'!I7</f>
        <v>1705.55555555556</v>
      </c>
      <c r="L12" s="456">
        <f>'Key input_Biomass_MAgPIE'!J7</f>
        <v>1483.0775543647301</v>
      </c>
      <c r="M12" s="456">
        <f>'Key input_Biomass_MAgPIE'!K7</f>
        <v>25692</v>
      </c>
      <c r="N12" s="456">
        <f>'Key input_Biomass_MAgPIE'!L7</f>
        <v>22875</v>
      </c>
      <c r="O12" s="456">
        <f>'Key input_Biomass_MAgPIE'!M7</f>
        <v>33852</v>
      </c>
      <c r="P12" s="456">
        <f>'Key input_Biomass_MAgPIE'!N7</f>
        <v>1133</v>
      </c>
      <c r="Q12" s="456">
        <f>'Key input_Biomass_MAgPIE'!O7</f>
        <v>4074</v>
      </c>
      <c r="R12" s="456">
        <f>'Key input_Biomass_MAgPIE'!P7</f>
        <v>49458</v>
      </c>
      <c r="S12" s="456">
        <f>'Key input_Biomass_MAgPIE'!Q7</f>
        <v>10071.0327066875</v>
      </c>
      <c r="T12" s="456">
        <f>'Key input_Biomass_MAgPIE'!R7</f>
        <v>5443.5994575214499</v>
      </c>
      <c r="U12" s="456">
        <f>'Key input_Biomass_MAgPIE'!S7</f>
        <v>11941.710804084201</v>
      </c>
      <c r="V12" s="456">
        <f>'Key input_Biomass_MAgPIE'!T7</f>
        <v>13099</v>
      </c>
      <c r="W12" s="456">
        <f>'Key input_Biomass_MAgPIE'!U7</f>
        <v>19231.216157694198</v>
      </c>
      <c r="X12" s="456">
        <f>'Key input_Biomass_MAgPIE'!V7</f>
        <v>26810</v>
      </c>
      <c r="Y12" s="456">
        <f>'Key input_Biomass_MAgPIE'!W7</f>
        <v>78701.349145108295</v>
      </c>
      <c r="Z12" s="456">
        <f>'Key input_Biomass_MAgPIE'!X7</f>
        <v>193.333333333333</v>
      </c>
      <c r="AA12" s="456">
        <f>'Key input_Biomass_MAgPIE'!Y7</f>
        <v>27869</v>
      </c>
      <c r="AB12" s="456">
        <f>'Key input_Biomass_MAgPIE'!Z7</f>
        <v>1590.59295</v>
      </c>
      <c r="AC12" s="456">
        <f>'Key input_Biomass_MAgPIE'!AA7</f>
        <v>313.43378391884301</v>
      </c>
      <c r="AD12" s="456">
        <f>'Key input_Biomass_MAgPIE'!AB7</f>
        <v>12335</v>
      </c>
      <c r="AE12" s="456">
        <f>'Key input_Biomass_MAgPIE'!AC7</f>
        <v>20281.591409873199</v>
      </c>
      <c r="AF12" s="456">
        <f>'Key input_Biomass_MAgPIE'!AD7</f>
        <v>4991.3078590109999</v>
      </c>
      <c r="AG12" s="456">
        <f>'Key input_Biomass_MAgPIE'!AE7</f>
        <v>0</v>
      </c>
      <c r="AH12" s="456">
        <f>'Key input_Biomass_MAgPIE'!AF7</f>
        <v>13973.530081233201</v>
      </c>
      <c r="AJ12" s="4" t="str">
        <f>IF($A24="*","*","MIN")</f>
        <v>MIN</v>
      </c>
      <c r="AK12" t="str">
        <f>"MIN-"&amp;C24&amp;"2"</f>
        <v>MIN-RSVBIOWOO2</v>
      </c>
      <c r="AL12" t="str">
        <f>"UPS Reserves of "&amp;Commodities!$D$15 &amp; " - Supply curve step 2"</f>
        <v>UPS Reserves of Biomass - Forest residues - Reserve - Supply curve step 2</v>
      </c>
      <c r="AM12" s="4" t="s">
        <v>401</v>
      </c>
      <c r="AN12" s="4" t="s">
        <v>679</v>
      </c>
    </row>
    <row r="13" spans="1:43" s="4" customFormat="1">
      <c r="A13" s="4" t="str">
        <f t="shared" ref="A13:A23" si="1">A12</f>
        <v>MIN-RSVBIOWOO1</v>
      </c>
      <c r="B13" s="4" t="str">
        <f t="shared" ref="B13:B23" si="2">B12</f>
        <v>UPS Reserves of Biomass - Forest residues - Reserve - Supply curve step 1</v>
      </c>
      <c r="C13" s="4" t="str">
        <f t="shared" ref="C13:C23" si="3">C12</f>
        <v>RSVBIOWOO</v>
      </c>
      <c r="D13" s="4" t="str">
        <f t="shared" ref="D13:D23" si="4">D12</f>
        <v>ACT_BND</v>
      </c>
      <c r="E13" s="4" t="str">
        <f t="shared" ref="E13:E23" si="5">E12</f>
        <v>UP</v>
      </c>
      <c r="F13" s="4">
        <v>2025</v>
      </c>
      <c r="G13" s="456">
        <f>'Key input_Biomass_MAgPIE'!E8</f>
        <v>87536</v>
      </c>
      <c r="H13" s="456">
        <f>'Key input_Biomass_MAgPIE'!F8</f>
        <v>12.583846143468302</v>
      </c>
      <c r="I13" s="456">
        <f>'Key input_Biomass_MAgPIE'!G8</f>
        <v>81707</v>
      </c>
      <c r="J13" s="456">
        <f>'Key input_Biomass_MAgPIE'!H8</f>
        <v>23375.929997470601</v>
      </c>
      <c r="K13" s="456">
        <f>'Key input_Biomass_MAgPIE'!I8</f>
        <v>1822.35294117647</v>
      </c>
      <c r="L13" s="456">
        <f>'Key input_Biomass_MAgPIE'!J8</f>
        <v>1451.9095979051099</v>
      </c>
      <c r="M13" s="456">
        <f>'Key input_Biomass_MAgPIE'!K8</f>
        <v>26180</v>
      </c>
      <c r="N13" s="456">
        <f>'Key input_Biomass_MAgPIE'!L8</f>
        <v>19609.167452617701</v>
      </c>
      <c r="O13" s="456">
        <f>'Key input_Biomass_MAgPIE'!M8</f>
        <v>33091</v>
      </c>
      <c r="P13" s="456">
        <f>'Key input_Biomass_MAgPIE'!N8</f>
        <v>1256.7176470588199</v>
      </c>
      <c r="Q13" s="456">
        <f>'Key input_Biomass_MAgPIE'!O8</f>
        <v>4125.45</v>
      </c>
      <c r="R13" s="456">
        <f>'Key input_Biomass_MAgPIE'!P8</f>
        <v>43439</v>
      </c>
      <c r="S13" s="456">
        <f>'Key input_Biomass_MAgPIE'!Q8</f>
        <v>12750.6201784881</v>
      </c>
      <c r="T13" s="456">
        <f>'Key input_Biomass_MAgPIE'!R8</f>
        <v>8913.8217240158592</v>
      </c>
      <c r="U13" s="456">
        <f>'Key input_Biomass_MAgPIE'!S8</f>
        <v>21349.4710501673</v>
      </c>
      <c r="V13" s="456">
        <f>'Key input_Biomass_MAgPIE'!T8</f>
        <v>12688</v>
      </c>
      <c r="W13" s="456">
        <f>'Key input_Biomass_MAgPIE'!U8</f>
        <v>18519.2975232303</v>
      </c>
      <c r="X13" s="456">
        <f>'Key input_Biomass_MAgPIE'!V8</f>
        <v>25169</v>
      </c>
      <c r="Y13" s="456">
        <f>'Key input_Biomass_MAgPIE'!W8</f>
        <v>67010.488965759199</v>
      </c>
      <c r="Z13" s="456">
        <f>'Key input_Biomass_MAgPIE'!X8</f>
        <v>190.58823529411799</v>
      </c>
      <c r="AA13" s="456">
        <f>'Key input_Biomass_MAgPIE'!Y8</f>
        <v>28135</v>
      </c>
      <c r="AB13" s="456">
        <f>'Key input_Biomass_MAgPIE'!Z8</f>
        <v>1539.81495</v>
      </c>
      <c r="AC13" s="456">
        <f>'Key input_Biomass_MAgPIE'!AA8</f>
        <v>331.44535673885599</v>
      </c>
      <c r="AD13" s="456">
        <f>'Key input_Biomass_MAgPIE'!AB8</f>
        <v>12335</v>
      </c>
      <c r="AE13" s="456">
        <f>'Key input_Biomass_MAgPIE'!AC8</f>
        <v>12639.5007136271</v>
      </c>
      <c r="AF13" s="456">
        <f>'Key input_Biomass_MAgPIE'!AD8</f>
        <v>5386.0081454476403</v>
      </c>
      <c r="AG13" s="456">
        <f>'Key input_Biomass_MAgPIE'!AE8</f>
        <v>0</v>
      </c>
      <c r="AH13" s="456">
        <f>'Key input_Biomass_MAgPIE'!AF8</f>
        <v>14804.831674859401</v>
      </c>
      <c r="AJ13" s="4" t="str">
        <f>IF($A37="*","*","MIN")</f>
        <v>MIN</v>
      </c>
      <c r="AK13" t="str">
        <f>"MIN-"&amp;C37&amp;"3"</f>
        <v>MIN-RSVBIOWOO3</v>
      </c>
      <c r="AL13" t="str">
        <f>"UPS Reserves of "&amp;Commodities!$D$15 &amp; " - Supply curve step 3"</f>
        <v>UPS Reserves of Biomass - Forest residues - Reserve - Supply curve step 3</v>
      </c>
      <c r="AM13" s="4" t="s">
        <v>401</v>
      </c>
      <c r="AN13" s="4" t="s">
        <v>679</v>
      </c>
    </row>
    <row r="14" spans="1:43" s="4" customFormat="1">
      <c r="A14" s="4" t="str">
        <f t="shared" si="1"/>
        <v>MIN-RSVBIOWOO1</v>
      </c>
      <c r="B14" s="4" t="str">
        <f t="shared" si="2"/>
        <v>UPS Reserves of Biomass - Forest residues - Reserve - Supply curve step 1</v>
      </c>
      <c r="C14" s="4" t="str">
        <f t="shared" si="3"/>
        <v>RSVBIOWOO</v>
      </c>
      <c r="D14" s="4" t="str">
        <f t="shared" si="4"/>
        <v>ACT_BND</v>
      </c>
      <c r="E14" s="4" t="str">
        <f t="shared" si="5"/>
        <v>UP</v>
      </c>
      <c r="F14" s="4">
        <v>2030</v>
      </c>
      <c r="G14" s="456">
        <f>'Key input_Biomass_MAgPIE'!E9</f>
        <v>89116</v>
      </c>
      <c r="H14" s="456">
        <f>'Key input_Biomass_MAgPIE'!F9</f>
        <v>12.9613351922011</v>
      </c>
      <c r="I14" s="456">
        <f>'Key input_Biomass_MAgPIE'!G9</f>
        <v>87809</v>
      </c>
      <c r="J14" s="456">
        <f>'Key input_Biomass_MAgPIE'!H9</f>
        <v>23155.7072378989</v>
      </c>
      <c r="K14" s="456">
        <f>'Key input_Biomass_MAgPIE'!I9</f>
        <v>1945</v>
      </c>
      <c r="L14" s="456">
        <f>'Key input_Biomass_MAgPIE'!J9</f>
        <v>1384.39355119725</v>
      </c>
      <c r="M14" s="456">
        <f>'Key input_Biomass_MAgPIE'!K9</f>
        <v>25130</v>
      </c>
      <c r="N14" s="456">
        <f>'Key input_Biomass_MAgPIE'!L9</f>
        <v>17716.7183180631</v>
      </c>
      <c r="O14" s="456">
        <f>'Key input_Biomass_MAgPIE'!M9</f>
        <v>32524</v>
      </c>
      <c r="P14" s="456">
        <f>'Key input_Biomass_MAgPIE'!N9</f>
        <v>1351.3500000000001</v>
      </c>
      <c r="Q14" s="456">
        <f>'Key input_Biomass_MAgPIE'!O9</f>
        <v>3856</v>
      </c>
      <c r="R14" s="456">
        <f>'Key input_Biomass_MAgPIE'!P9</f>
        <v>38986</v>
      </c>
      <c r="S14" s="456">
        <f>'Key input_Biomass_MAgPIE'!Q9</f>
        <v>14905.445688437901</v>
      </c>
      <c r="T14" s="456">
        <f>'Key input_Biomass_MAgPIE'!R9</f>
        <v>12598.8749754165</v>
      </c>
      <c r="U14" s="456">
        <f>'Key input_Biomass_MAgPIE'!S9</f>
        <v>28511.598163362803</v>
      </c>
      <c r="V14" s="456">
        <f>'Key input_Biomass_MAgPIE'!T9</f>
        <v>12291</v>
      </c>
      <c r="W14" s="456">
        <f>'Key input_Biomass_MAgPIE'!U9</f>
        <v>19484.268552323701</v>
      </c>
      <c r="X14" s="456">
        <f>'Key input_Biomass_MAgPIE'!V9</f>
        <v>23049</v>
      </c>
      <c r="Y14" s="456">
        <f>'Key input_Biomass_MAgPIE'!W9</f>
        <v>56608.779119912804</v>
      </c>
      <c r="Z14" s="456">
        <f>'Key input_Biomass_MAgPIE'!X9</f>
        <v>188.75</v>
      </c>
      <c r="AA14" s="456">
        <f>'Key input_Biomass_MAgPIE'!Y9</f>
        <v>28112</v>
      </c>
      <c r="AB14" s="456">
        <f>'Key input_Biomass_MAgPIE'!Z9</f>
        <v>1485.396</v>
      </c>
      <c r="AC14" s="456">
        <f>'Key input_Biomass_MAgPIE'!AA9</f>
        <v>251.31525795580001</v>
      </c>
      <c r="AD14" s="456">
        <f>'Key input_Biomass_MAgPIE'!AB9</f>
        <v>12259</v>
      </c>
      <c r="AE14" s="456">
        <f>'Key input_Biomass_MAgPIE'!AC9</f>
        <v>1993.54895011998</v>
      </c>
      <c r="AF14" s="456">
        <f>'Key input_Biomass_MAgPIE'!AD9</f>
        <v>5916.4464250595001</v>
      </c>
      <c r="AG14" s="456">
        <f>'Key input_Biomass_MAgPIE'!AE9</f>
        <v>0</v>
      </c>
      <c r="AH14" s="456">
        <f>'Key input_Biomass_MAgPIE'!AF9</f>
        <v>15916.446425059499</v>
      </c>
      <c r="AJ14" s="4" t="str">
        <f>IF($A50="*","*","MIN")</f>
        <v>MIN</v>
      </c>
      <c r="AK14" t="str">
        <f>"MIN-"&amp;C50&amp;"1"</f>
        <v>MIN-RSVBIOCRP1</v>
      </c>
      <c r="AL14" t="str">
        <f>"UPS Reserves of "&amp;Commodities!$D$16 &amp; " - Supply curve step 1"</f>
        <v>UPS Reserves of Biomass - Crops grown for energy - Reserve - Supply curve step 1</v>
      </c>
      <c r="AM14" s="4" t="s">
        <v>401</v>
      </c>
      <c r="AN14" s="4" t="s">
        <v>679</v>
      </c>
    </row>
    <row r="15" spans="1:43" s="4" customFormat="1">
      <c r="A15" s="4" t="str">
        <f t="shared" si="1"/>
        <v>MIN-RSVBIOWOO1</v>
      </c>
      <c r="B15" s="4" t="str">
        <f t="shared" si="2"/>
        <v>UPS Reserves of Biomass - Forest residues - Reserve - Supply curve step 1</v>
      </c>
      <c r="C15" s="4" t="str">
        <f t="shared" si="3"/>
        <v>RSVBIOWOO</v>
      </c>
      <c r="D15" s="4" t="str">
        <f t="shared" si="4"/>
        <v>ACT_BND</v>
      </c>
      <c r="E15" s="4" t="str">
        <f t="shared" si="5"/>
        <v>UP</v>
      </c>
      <c r="F15" s="4">
        <v>2035</v>
      </c>
      <c r="G15" s="456">
        <f>'Key input_Biomass_MAgPIE'!E10</f>
        <v>89347</v>
      </c>
      <c r="H15" s="456">
        <f>'Key input_Biomass_MAgPIE'!F10</f>
        <v>13.1657048222332</v>
      </c>
      <c r="I15" s="456">
        <f>'Key input_Biomass_MAgPIE'!G10</f>
        <v>89725</v>
      </c>
      <c r="J15" s="456">
        <f>'Key input_Biomass_MAgPIE'!H10</f>
        <v>22933.0325272023</v>
      </c>
      <c r="K15" s="456">
        <f>'Key input_Biomass_MAgPIE'!I10</f>
        <v>1906.25</v>
      </c>
      <c r="L15" s="456">
        <f>'Key input_Biomass_MAgPIE'!J10</f>
        <v>1416.5919639342399</v>
      </c>
      <c r="M15" s="456">
        <f>'Key input_Biomass_MAgPIE'!K10</f>
        <v>23329</v>
      </c>
      <c r="N15" s="456">
        <f>'Key input_Biomass_MAgPIE'!L10</f>
        <v>16753.1845055903</v>
      </c>
      <c r="O15" s="456">
        <f>'Key input_Biomass_MAgPIE'!M10</f>
        <v>31005</v>
      </c>
      <c r="P15" s="456">
        <f>'Key input_Biomass_MAgPIE'!N10</f>
        <v>1306.8</v>
      </c>
      <c r="Q15" s="456">
        <f>'Key input_Biomass_MAgPIE'!O10</f>
        <v>3739</v>
      </c>
      <c r="R15" s="456">
        <f>'Key input_Biomass_MAgPIE'!P10</f>
        <v>35187</v>
      </c>
      <c r="S15" s="456">
        <f>'Key input_Biomass_MAgPIE'!Q10</f>
        <v>14668.9733571631</v>
      </c>
      <c r="T15" s="456">
        <f>'Key input_Biomass_MAgPIE'!R10</f>
        <v>12657.7192255627</v>
      </c>
      <c r="U15" s="456">
        <f>'Key input_Biomass_MAgPIE'!S10</f>
        <v>28186.971967237099</v>
      </c>
      <c r="V15" s="456">
        <f>'Key input_Biomass_MAgPIE'!T10</f>
        <v>11920</v>
      </c>
      <c r="W15" s="456">
        <f>'Key input_Biomass_MAgPIE'!U10</f>
        <v>19163.8846552945</v>
      </c>
      <c r="X15" s="456">
        <f>'Key input_Biomass_MAgPIE'!V10</f>
        <v>21429</v>
      </c>
      <c r="Y15" s="456">
        <f>'Key input_Biomass_MAgPIE'!W10</f>
        <v>52312.826804902099</v>
      </c>
      <c r="Z15" s="456">
        <f>'Key input_Biomass_MAgPIE'!X10</f>
        <v>178.75</v>
      </c>
      <c r="AA15" s="456">
        <f>'Key input_Biomass_MAgPIE'!Y10</f>
        <v>27351</v>
      </c>
      <c r="AB15" s="456">
        <f>'Key input_Biomass_MAgPIE'!Z10</f>
        <v>1089.6096115938601</v>
      </c>
      <c r="AC15" s="456">
        <f>'Key input_Biomass_MAgPIE'!AA10</f>
        <v>103.31928971252501</v>
      </c>
      <c r="AD15" s="456">
        <f>'Key input_Biomass_MAgPIE'!AB10</f>
        <v>11974</v>
      </c>
      <c r="AE15" s="456">
        <f>'Key input_Biomass_MAgPIE'!AC10</f>
        <v>1610.0363225386</v>
      </c>
      <c r="AF15" s="456">
        <f>'Key input_Biomass_MAgPIE'!AD10</f>
        <v>5655.56703222325</v>
      </c>
      <c r="AG15" s="456">
        <f>'Key input_Biomass_MAgPIE'!AE10</f>
        <v>0</v>
      </c>
      <c r="AH15" s="456">
        <f>'Key input_Biomass_MAgPIE'!AF10</f>
        <v>15804.3170322232</v>
      </c>
      <c r="AJ15" s="4" t="str">
        <f>IF($A63="*","*","MIN")</f>
        <v>MIN</v>
      </c>
      <c r="AK15" t="str">
        <f>"MIN-"&amp;C63&amp;"2"</f>
        <v>MIN-RSVBIOCRP2</v>
      </c>
      <c r="AL15" t="str">
        <f>"UPS Reserves of "&amp;Commodities!$D$16 &amp; " - Supply curve step 2"</f>
        <v>UPS Reserves of Biomass - Crops grown for energy - Reserve - Supply curve step 2</v>
      </c>
      <c r="AM15" s="4" t="s">
        <v>401</v>
      </c>
      <c r="AN15" s="4" t="s">
        <v>679</v>
      </c>
    </row>
    <row r="16" spans="1:43" s="4" customFormat="1">
      <c r="A16" s="4" t="str">
        <f t="shared" si="1"/>
        <v>MIN-RSVBIOWOO1</v>
      </c>
      <c r="B16" s="4" t="str">
        <f t="shared" si="2"/>
        <v>UPS Reserves of Biomass - Forest residues - Reserve - Supply curve step 1</v>
      </c>
      <c r="C16" s="4" t="str">
        <f t="shared" si="3"/>
        <v>RSVBIOWOO</v>
      </c>
      <c r="D16" s="4" t="str">
        <f t="shared" si="4"/>
        <v>ACT_BND</v>
      </c>
      <c r="E16" s="4" t="str">
        <f t="shared" si="5"/>
        <v>UP</v>
      </c>
      <c r="F16" s="4">
        <v>2040</v>
      </c>
      <c r="G16" s="456">
        <f>'Key input_Biomass_MAgPIE'!E11</f>
        <v>89172</v>
      </c>
      <c r="H16" s="456">
        <f>'Key input_Biomass_MAgPIE'!F11</f>
        <v>13.5898797853774</v>
      </c>
      <c r="I16" s="456">
        <f>'Key input_Biomass_MAgPIE'!G11</f>
        <v>90148</v>
      </c>
      <c r="J16" s="456">
        <f>'Key input_Biomass_MAgPIE'!H11</f>
        <v>22707.768134480903</v>
      </c>
      <c r="K16" s="456">
        <f>'Key input_Biomass_MAgPIE'!I11</f>
        <v>1865</v>
      </c>
      <c r="L16" s="456">
        <f>'Key input_Biomass_MAgPIE'!J11</f>
        <v>1468.10942431341</v>
      </c>
      <c r="M16" s="456">
        <f>'Key input_Biomass_MAgPIE'!K11</f>
        <v>21554</v>
      </c>
      <c r="N16" s="456">
        <f>'Key input_Biomass_MAgPIE'!L11</f>
        <v>15812.8202458221</v>
      </c>
      <c r="O16" s="456">
        <f>'Key input_Biomass_MAgPIE'!M11</f>
        <v>28996</v>
      </c>
      <c r="P16" s="456">
        <f>'Key input_Biomass_MAgPIE'!N11</f>
        <v>1259.7750000000001</v>
      </c>
      <c r="Q16" s="456">
        <f>'Key input_Biomass_MAgPIE'!O11</f>
        <v>3597</v>
      </c>
      <c r="R16" s="456">
        <f>'Key input_Biomass_MAgPIE'!P11</f>
        <v>32295</v>
      </c>
      <c r="S16" s="456">
        <f>'Key input_Biomass_MAgPIE'!Q11</f>
        <v>14473.972226068501</v>
      </c>
      <c r="T16" s="456">
        <f>'Key input_Biomass_MAgPIE'!R11</f>
        <v>12713.071410663</v>
      </c>
      <c r="U16" s="456">
        <f>'Key input_Biomass_MAgPIE'!S11</f>
        <v>27959.7550649447</v>
      </c>
      <c r="V16" s="456">
        <f>'Key input_Biomass_MAgPIE'!T11</f>
        <v>11594</v>
      </c>
      <c r="W16" s="456">
        <f>'Key input_Biomass_MAgPIE'!U11</f>
        <v>18868.9012105724</v>
      </c>
      <c r="X16" s="456">
        <f>'Key input_Biomass_MAgPIE'!V11</f>
        <v>20102</v>
      </c>
      <c r="Y16" s="456">
        <f>'Key input_Biomass_MAgPIE'!W11</f>
        <v>48580.133999298501</v>
      </c>
      <c r="Z16" s="456">
        <f>'Key input_Biomass_MAgPIE'!X11</f>
        <v>168.75</v>
      </c>
      <c r="AA16" s="456">
        <f>'Key input_Biomass_MAgPIE'!Y11</f>
        <v>26259</v>
      </c>
      <c r="AB16" s="456">
        <f>'Key input_Biomass_MAgPIE'!Z11</f>
        <v>1048.9697034907799</v>
      </c>
      <c r="AC16" s="456">
        <f>'Key input_Biomass_MAgPIE'!AA11</f>
        <v>48.9049311543925</v>
      </c>
      <c r="AD16" s="456">
        <f>'Key input_Biomass_MAgPIE'!AB11</f>
        <v>11611</v>
      </c>
      <c r="AE16" s="456">
        <f>'Key input_Biomass_MAgPIE'!AC11</f>
        <v>941.029794930771</v>
      </c>
      <c r="AF16" s="456">
        <f>'Key input_Biomass_MAgPIE'!AD11</f>
        <v>5448.4744872375704</v>
      </c>
      <c r="AG16" s="456">
        <f>'Key input_Biomass_MAgPIE'!AE11</f>
        <v>0</v>
      </c>
      <c r="AH16" s="456">
        <f>'Key input_Biomass_MAgPIE'!AF11</f>
        <v>15745.9744872376</v>
      </c>
      <c r="AJ16" s="4" t="str">
        <f>IF($A76="*","*","MIN")</f>
        <v>MIN</v>
      </c>
      <c r="AK16" t="str">
        <f>"MIN-"&amp;C76&amp;"3"</f>
        <v>MIN-RSVBIOCRP3</v>
      </c>
      <c r="AL16" t="str">
        <f>"UPS Reserves of "&amp;Commodities!$D$16 &amp; " - Supply curve step 3"</f>
        <v>UPS Reserves of Biomass - Crops grown for energy - Reserve - Supply curve step 3</v>
      </c>
      <c r="AM16" s="4" t="s">
        <v>401</v>
      </c>
      <c r="AN16" s="4" t="s">
        <v>679</v>
      </c>
    </row>
    <row r="17" spans="1:40" s="4" customFormat="1">
      <c r="A17" s="4" t="str">
        <f t="shared" si="1"/>
        <v>MIN-RSVBIOWOO1</v>
      </c>
      <c r="B17" s="4" t="str">
        <f t="shared" si="2"/>
        <v>UPS Reserves of Biomass - Forest residues - Reserve - Supply curve step 1</v>
      </c>
      <c r="C17" s="4" t="str">
        <f t="shared" si="3"/>
        <v>RSVBIOWOO</v>
      </c>
      <c r="D17" s="4" t="str">
        <f t="shared" si="4"/>
        <v>ACT_BND</v>
      </c>
      <c r="E17" s="4" t="str">
        <f t="shared" si="5"/>
        <v>UP</v>
      </c>
      <c r="F17" s="4">
        <v>2045</v>
      </c>
      <c r="G17" s="456">
        <f>'Key input_Biomass_MAgPIE'!E12</f>
        <v>88200</v>
      </c>
      <c r="H17" s="456">
        <f>'Key input_Biomass_MAgPIE'!F12</f>
        <v>13.518138021882301</v>
      </c>
      <c r="I17" s="456">
        <f>'Key input_Biomass_MAgPIE'!G12</f>
        <v>89422</v>
      </c>
      <c r="J17" s="456">
        <f>'Key input_Biomass_MAgPIE'!H12</f>
        <v>22294.578207782</v>
      </c>
      <c r="K17" s="456">
        <f>'Key input_Biomass_MAgPIE'!I12</f>
        <v>1825</v>
      </c>
      <c r="L17" s="456">
        <f>'Key input_Biomass_MAgPIE'!J12</f>
        <v>1529.2864085136798</v>
      </c>
      <c r="M17" s="456">
        <f>'Key input_Biomass_MAgPIE'!K12</f>
        <v>19815</v>
      </c>
      <c r="N17" s="456">
        <f>'Key input_Biomass_MAgPIE'!L12</f>
        <v>14860.471734655001</v>
      </c>
      <c r="O17" s="456">
        <f>'Key input_Biomass_MAgPIE'!M12</f>
        <v>26756</v>
      </c>
      <c r="P17" s="456">
        <f>'Key input_Biomass_MAgPIE'!N12</f>
        <v>1215.2249999999999</v>
      </c>
      <c r="Q17" s="456">
        <f>'Key input_Biomass_MAgPIE'!O12</f>
        <v>3430</v>
      </c>
      <c r="R17" s="456">
        <f>'Key input_Biomass_MAgPIE'!P12</f>
        <v>29609</v>
      </c>
      <c r="S17" s="456">
        <f>'Key input_Biomass_MAgPIE'!Q12</f>
        <v>13989.4120047695</v>
      </c>
      <c r="T17" s="456">
        <f>'Key input_Biomass_MAgPIE'!R12</f>
        <v>12455.473374101401</v>
      </c>
      <c r="U17" s="456">
        <f>'Key input_Biomass_MAgPIE'!S12</f>
        <v>27162.944846352901</v>
      </c>
      <c r="V17" s="456">
        <f>'Key input_Biomass_MAgPIE'!T12</f>
        <v>11286</v>
      </c>
      <c r="W17" s="456">
        <f>'Key input_Biomass_MAgPIE'!U12</f>
        <v>18367.339307873099</v>
      </c>
      <c r="X17" s="456">
        <f>'Key input_Biomass_MAgPIE'!V12</f>
        <v>18956</v>
      </c>
      <c r="Y17" s="456">
        <f>'Key input_Biomass_MAgPIE'!W12</f>
        <v>45083.930292680197</v>
      </c>
      <c r="Z17" s="456">
        <f>'Key input_Biomass_MAgPIE'!X12</f>
        <v>158.75</v>
      </c>
      <c r="AA17" s="456">
        <f>'Key input_Biomass_MAgPIE'!Y12</f>
        <v>24958</v>
      </c>
      <c r="AB17" s="456">
        <f>'Key input_Biomass_MAgPIE'!Z12</f>
        <v>1012.1637489823401</v>
      </c>
      <c r="AC17" s="456">
        <f>'Key input_Biomass_MAgPIE'!AA12</f>
        <v>312.41554646507802</v>
      </c>
      <c r="AD17" s="456">
        <f>'Key input_Biomass_MAgPIE'!AB12</f>
        <v>11172</v>
      </c>
      <c r="AE17" s="456">
        <f>'Key input_Biomass_MAgPIE'!AC12</f>
        <v>1433.2489972026301</v>
      </c>
      <c r="AF17" s="456">
        <f>'Key input_Biomass_MAgPIE'!AD12</f>
        <v>5235.2461963002006</v>
      </c>
      <c r="AG17" s="456">
        <f>'Key input_Biomass_MAgPIE'!AE12</f>
        <v>0</v>
      </c>
      <c r="AH17" s="456">
        <f>'Key input_Biomass_MAgPIE'!AF12</f>
        <v>15643.996196300201</v>
      </c>
      <c r="AJ17" s="4" t="str">
        <f>IF($A89="*","*","MIN")</f>
        <v>MIN</v>
      </c>
      <c r="AK17" t="str">
        <f>"MIN-"&amp;C89&amp;"1"</f>
        <v>MIN-RSVBIOAGR1</v>
      </c>
      <c r="AL17" t="str">
        <f>"UPS Reserves of "&amp;Commodities!$D$17 &amp; " - Supply curve step 1"</f>
        <v>UPS Reserves of Biomass - Agricultural residues - Reserve - Supply curve step 1</v>
      </c>
      <c r="AM17" s="4" t="s">
        <v>401</v>
      </c>
      <c r="AN17" s="4" t="s">
        <v>679</v>
      </c>
    </row>
    <row r="18" spans="1:40" s="4" customFormat="1">
      <c r="A18" s="4" t="str">
        <f t="shared" si="1"/>
        <v>MIN-RSVBIOWOO1</v>
      </c>
      <c r="B18" s="4" t="str">
        <f t="shared" si="2"/>
        <v>UPS Reserves of Biomass - Forest residues - Reserve - Supply curve step 1</v>
      </c>
      <c r="C18" s="4" t="str">
        <f t="shared" si="3"/>
        <v>RSVBIOWOO</v>
      </c>
      <c r="D18" s="4" t="str">
        <f t="shared" si="4"/>
        <v>ACT_BND</v>
      </c>
      <c r="E18" s="4" t="str">
        <f t="shared" si="5"/>
        <v>UP</v>
      </c>
      <c r="F18" s="4">
        <v>2050</v>
      </c>
      <c r="G18" s="456">
        <f>'Key input_Biomass_MAgPIE'!E13</f>
        <v>86491</v>
      </c>
      <c r="H18" s="456">
        <f>'Key input_Biomass_MAgPIE'!F13</f>
        <v>13.6552945414767</v>
      </c>
      <c r="I18" s="456">
        <f>'Key input_Biomass_MAgPIE'!G13</f>
        <v>87752</v>
      </c>
      <c r="J18" s="456">
        <f>'Key input_Biomass_MAgPIE'!H13</f>
        <v>21632.624886945203</v>
      </c>
      <c r="K18" s="456">
        <f>'Key input_Biomass_MAgPIE'!I13</f>
        <v>1795</v>
      </c>
      <c r="L18" s="456">
        <f>'Key input_Biomass_MAgPIE'!J13</f>
        <v>1592.8782736692199</v>
      </c>
      <c r="M18" s="456">
        <f>'Key input_Biomass_MAgPIE'!K13</f>
        <v>18129</v>
      </c>
      <c r="N18" s="456">
        <f>'Key input_Biomass_MAgPIE'!L13</f>
        <v>13922.504325166499</v>
      </c>
      <c r="O18" s="456">
        <f>'Key input_Biomass_MAgPIE'!M13</f>
        <v>24491</v>
      </c>
      <c r="P18" s="456">
        <f>'Key input_Biomass_MAgPIE'!N13</f>
        <v>1180.5749999999998</v>
      </c>
      <c r="Q18" s="456">
        <f>'Key input_Biomass_MAgPIE'!O13</f>
        <v>3256</v>
      </c>
      <c r="R18" s="456">
        <f>'Key input_Biomass_MAgPIE'!P13</f>
        <v>27032</v>
      </c>
      <c r="S18" s="456">
        <f>'Key input_Biomass_MAgPIE'!Q13</f>
        <v>13126.3848040349</v>
      </c>
      <c r="T18" s="456">
        <f>'Key input_Biomass_MAgPIE'!R13</f>
        <v>11812.4855473158</v>
      </c>
      <c r="U18" s="456">
        <f>'Key input_Biomass_MAgPIE'!S13</f>
        <v>25607.470062297001</v>
      </c>
      <c r="V18" s="456">
        <f>'Key input_Biomass_MAgPIE'!T13</f>
        <v>10987</v>
      </c>
      <c r="W18" s="456">
        <f>'Key input_Biomass_MAgPIE'!U13</f>
        <v>17607.1887681997</v>
      </c>
      <c r="X18" s="456">
        <f>'Key input_Biomass_MAgPIE'!V13</f>
        <v>17922</v>
      </c>
      <c r="Y18" s="456">
        <f>'Key input_Biomass_MAgPIE'!W13</f>
        <v>41739.527021221198</v>
      </c>
      <c r="Z18" s="456">
        <f>'Key input_Biomass_MAgPIE'!X13</f>
        <v>150</v>
      </c>
      <c r="AA18" s="456">
        <f>'Key input_Biomass_MAgPIE'!Y13</f>
        <v>23560</v>
      </c>
      <c r="AB18" s="456">
        <f>'Key input_Biomass_MAgPIE'!Z13</f>
        <v>974.59100375496098</v>
      </c>
      <c r="AC18" s="456">
        <f>'Key input_Biomass_MAgPIE'!AA13</f>
        <v>157.64049821597601</v>
      </c>
      <c r="AD18" s="456">
        <f>'Key input_Biomass_MAgPIE'!AB13</f>
        <v>10690</v>
      </c>
      <c r="AE18" s="456">
        <f>'Key input_Biomass_MAgPIE'!AC13</f>
        <v>4055.7286439763498</v>
      </c>
      <c r="AF18" s="456">
        <f>'Key input_Biomass_MAgPIE'!AD13</f>
        <v>4992.4979353308299</v>
      </c>
      <c r="AG18" s="456">
        <f>'Key input_Biomass_MAgPIE'!AE13</f>
        <v>0</v>
      </c>
      <c r="AH18" s="456">
        <f>'Key input_Biomass_MAgPIE'!AF13</f>
        <v>15486.247935330801</v>
      </c>
      <c r="AJ18" s="4" t="str">
        <f>IF($A102="*","*","MIN")</f>
        <v>MIN</v>
      </c>
      <c r="AK18" t="str">
        <f>"MIN-"&amp;C102&amp;"2"</f>
        <v>MIN-RSVBIOAGR2</v>
      </c>
      <c r="AL18" t="str">
        <f>"UPS Reserves of "&amp;Commodities!$D$17 &amp; " - Supply curve step 2"</f>
        <v>UPS Reserves of Biomass - Agricultural residues - Reserve - Supply curve step 2</v>
      </c>
      <c r="AM18" s="4" t="s">
        <v>401</v>
      </c>
      <c r="AN18" s="4" t="s">
        <v>679</v>
      </c>
    </row>
    <row r="19" spans="1:40" s="4" customFormat="1">
      <c r="A19" s="4" t="str">
        <f t="shared" si="1"/>
        <v>MIN-RSVBIOWOO1</v>
      </c>
      <c r="B19" s="4" t="str">
        <f t="shared" si="2"/>
        <v>UPS Reserves of Biomass - Forest residues - Reserve - Supply curve step 1</v>
      </c>
      <c r="C19" s="4" t="str">
        <f t="shared" si="3"/>
        <v>RSVBIOWOO</v>
      </c>
      <c r="D19" s="4" t="str">
        <f t="shared" si="4"/>
        <v>ACT_BND</v>
      </c>
      <c r="E19" s="4" t="str">
        <f t="shared" si="5"/>
        <v>UP</v>
      </c>
      <c r="F19" s="4">
        <v>2060</v>
      </c>
      <c r="G19" s="456">
        <f>'Key input_Biomass_MAgPIE'!E14</f>
        <v>80821</v>
      </c>
      <c r="H19" s="456">
        <f>'Key input_Biomass_MAgPIE'!F14</f>
        <v>32.9876166940495</v>
      </c>
      <c r="I19" s="456">
        <f>'Key input_Biomass_MAgPIE'!G14</f>
        <v>82081</v>
      </c>
      <c r="J19" s="456">
        <f>'Key input_Biomass_MAgPIE'!H14</f>
        <v>20034.441642571099</v>
      </c>
      <c r="K19" s="456">
        <f>'Key input_Biomass_MAgPIE'!I14</f>
        <v>1737.5</v>
      </c>
      <c r="L19" s="456">
        <f>'Key input_Biomass_MAgPIE'!J14</f>
        <v>1702.3528769749701</v>
      </c>
      <c r="M19" s="456">
        <f>'Key input_Biomass_MAgPIE'!K14</f>
        <v>14998</v>
      </c>
      <c r="N19" s="456">
        <f>'Key input_Biomass_MAgPIE'!L14</f>
        <v>12112.083413837099</v>
      </c>
      <c r="O19" s="456">
        <f>'Key input_Biomass_MAgPIE'!M14</f>
        <v>20326</v>
      </c>
      <c r="P19" s="456">
        <f>'Key input_Biomass_MAgPIE'!N14</f>
        <v>1117.4625000000001</v>
      </c>
      <c r="Q19" s="456">
        <f>'Key input_Biomass_MAgPIE'!O14</f>
        <v>3079</v>
      </c>
      <c r="R19" s="456">
        <f>'Key input_Biomass_MAgPIE'!P14</f>
        <v>22185</v>
      </c>
      <c r="S19" s="456">
        <f>'Key input_Biomass_MAgPIE'!Q14</f>
        <v>13170.308558684799</v>
      </c>
      <c r="T19" s="456">
        <f>'Key input_Biomass_MAgPIE'!R14</f>
        <v>12139.8586835317</v>
      </c>
      <c r="U19" s="456">
        <f>'Key input_Biomass_MAgPIE'!S14</f>
        <v>23955.270260416699</v>
      </c>
      <c r="V19" s="456">
        <f>'Key input_Biomass_MAgPIE'!T14</f>
        <v>11266.3679985136</v>
      </c>
      <c r="W19" s="456">
        <f>'Key input_Biomass_MAgPIE'!U14</f>
        <v>17366.575891201803</v>
      </c>
      <c r="X19" s="456">
        <f>'Key input_Biomass_MAgPIE'!V14</f>
        <v>15988</v>
      </c>
      <c r="Y19" s="456">
        <f>'Key input_Biomass_MAgPIE'!W14</f>
        <v>35680.292809385297</v>
      </c>
      <c r="Z19" s="456">
        <f>'Key input_Biomass_MAgPIE'!X14</f>
        <v>130</v>
      </c>
      <c r="AA19" s="456">
        <f>'Key input_Biomass_MAgPIE'!Y14</f>
        <v>20727</v>
      </c>
      <c r="AB19" s="456">
        <f>'Key input_Biomass_MAgPIE'!Z14</f>
        <v>894.84476898665594</v>
      </c>
      <c r="AC19" s="456">
        <f>'Key input_Biomass_MAgPIE'!AA14</f>
        <v>36.044376247751103</v>
      </c>
      <c r="AD19" s="456">
        <f>'Key input_Biomass_MAgPIE'!AB14</f>
        <v>9734</v>
      </c>
      <c r="AE19" s="456">
        <f>'Key input_Biomass_MAgPIE'!AC14</f>
        <v>4106.2309988111601</v>
      </c>
      <c r="AF19" s="456">
        <f>'Key input_Biomass_MAgPIE'!AD14</f>
        <v>4711.9440976473898</v>
      </c>
      <c r="AG19" s="456">
        <f>'Key input_Biomass_MAgPIE'!AE14</f>
        <v>0</v>
      </c>
      <c r="AH19" s="456">
        <f>'Key input_Biomass_MAgPIE'!AF14</f>
        <v>11206.433506496101</v>
      </c>
      <c r="AJ19" s="4" t="str">
        <f>IF($A115="*","*","MIN")</f>
        <v>MIN</v>
      </c>
      <c r="AK19" t="str">
        <f>"MIN-"&amp;C115&amp;"3"</f>
        <v>MIN-RSVBIOAGR3</v>
      </c>
      <c r="AL19" t="str">
        <f>"UPS Reserves of "&amp;Commodities!$D$17 &amp; " - Supply curve step 3"</f>
        <v>UPS Reserves of Biomass - Agricultural residues - Reserve - Supply curve step 3</v>
      </c>
      <c r="AM19" s="4" t="s">
        <v>401</v>
      </c>
      <c r="AN19" s="4" t="s">
        <v>679</v>
      </c>
    </row>
    <row r="20" spans="1:40" s="4" customFormat="1">
      <c r="A20" s="4" t="str">
        <f t="shared" si="1"/>
        <v>MIN-RSVBIOWOO1</v>
      </c>
      <c r="B20" s="4" t="str">
        <f t="shared" si="2"/>
        <v>UPS Reserves of Biomass - Forest residues - Reserve - Supply curve step 1</v>
      </c>
      <c r="C20" s="4" t="str">
        <f t="shared" si="3"/>
        <v>RSVBIOWOO</v>
      </c>
      <c r="D20" s="4" t="str">
        <f t="shared" si="4"/>
        <v>ACT_BND</v>
      </c>
      <c r="E20" s="4" t="str">
        <f t="shared" si="5"/>
        <v>UP</v>
      </c>
      <c r="F20" s="4">
        <v>2070</v>
      </c>
      <c r="G20" s="456">
        <f>'Key input_Biomass_MAgPIE'!E15</f>
        <v>73032</v>
      </c>
      <c r="H20" s="456">
        <f>'Key input_Biomass_MAgPIE'!F15</f>
        <v>1496.5274651833899</v>
      </c>
      <c r="I20" s="456">
        <f>'Key input_Biomass_MAgPIE'!G15</f>
        <v>75078.045281647501</v>
      </c>
      <c r="J20" s="456">
        <f>'Key input_Biomass_MAgPIE'!H15</f>
        <v>17086.433789976501</v>
      </c>
      <c r="K20" s="456">
        <f>'Key input_Biomass_MAgPIE'!I15</f>
        <v>1670</v>
      </c>
      <c r="L20" s="456">
        <f>'Key input_Biomass_MAgPIE'!J15</f>
        <v>1778.03958279671</v>
      </c>
      <c r="M20" s="456">
        <f>'Key input_Biomass_MAgPIE'!K15</f>
        <v>12308</v>
      </c>
      <c r="N20" s="456">
        <f>'Key input_Biomass_MAgPIE'!L15</f>
        <v>10421.5050164968</v>
      </c>
      <c r="O20" s="456">
        <f>'Key input_Biomass_MAgPIE'!M15</f>
        <v>16783</v>
      </c>
      <c r="P20" s="456">
        <f>'Key input_Biomass_MAgPIE'!N15</f>
        <v>1063.0124999999998</v>
      </c>
      <c r="Q20" s="456">
        <f>'Key input_Biomass_MAgPIE'!O15</f>
        <v>3185</v>
      </c>
      <c r="R20" s="456">
        <f>'Key input_Biomass_MAgPIE'!P15</f>
        <v>22905.6741070307</v>
      </c>
      <c r="S20" s="456">
        <f>'Key input_Biomass_MAgPIE'!Q15</f>
        <v>6184.32285549271</v>
      </c>
      <c r="T20" s="456">
        <f>'Key input_Biomass_MAgPIE'!R15</f>
        <v>5716.9374984305705</v>
      </c>
      <c r="U20" s="456">
        <f>'Key input_Biomass_MAgPIE'!S15</f>
        <v>11460.9782867139</v>
      </c>
      <c r="V20" s="456">
        <f>'Key input_Biomass_MAgPIE'!T15</f>
        <v>12034.6875</v>
      </c>
      <c r="W20" s="456">
        <f>'Key input_Biomass_MAgPIE'!U15</f>
        <v>18617.709819522803</v>
      </c>
      <c r="X20" s="456">
        <f>'Key input_Biomass_MAgPIE'!V15</f>
        <v>17790</v>
      </c>
      <c r="Y20" s="456">
        <f>'Key input_Biomass_MAgPIE'!W15</f>
        <v>30423.204054917998</v>
      </c>
      <c r="Z20" s="456">
        <f>'Key input_Biomass_MAgPIE'!X15</f>
        <v>111.25</v>
      </c>
      <c r="AA20" s="456">
        <f>'Key input_Biomass_MAgPIE'!Y15</f>
        <v>22655</v>
      </c>
      <c r="AB20" s="456">
        <f>'Key input_Biomass_MAgPIE'!Z15</f>
        <v>818.16569709405496</v>
      </c>
      <c r="AC20" s="456">
        <f>'Key input_Biomass_MAgPIE'!AA15</f>
        <v>254.67798977659601</v>
      </c>
      <c r="AD20" s="456">
        <f>'Key input_Biomass_MAgPIE'!AB15</f>
        <v>8838</v>
      </c>
      <c r="AE20" s="456">
        <f>'Key input_Biomass_MAgPIE'!AC15</f>
        <v>5044.6321267966705</v>
      </c>
      <c r="AF20" s="456">
        <f>'Key input_Biomass_MAgPIE'!AD15</f>
        <v>3462.5982140615101</v>
      </c>
      <c r="AG20" s="456">
        <f>'Key input_Biomass_MAgPIE'!AE15</f>
        <v>0</v>
      </c>
      <c r="AH20" s="456">
        <f>'Key input_Biomass_MAgPIE'!AF15</f>
        <v>14187.5982140615</v>
      </c>
      <c r="AJ20" s="4" t="str">
        <f>IF($A128="*","*","MIN")</f>
        <v>MIN</v>
      </c>
      <c r="AK20" t="str">
        <f>"MIN-"&amp;C128&amp;"1"</f>
        <v>MIN-RSVBIOOLC1</v>
      </c>
      <c r="AL20" t="str">
        <f>"UPS Reserves of "&amp;Commodities!$D$18 &amp; " - Supply curve step 1"</f>
        <v>UPS Reserves of Biomass - Oil crops - Reserve - Supply curve step 1</v>
      </c>
      <c r="AM20" s="4" t="s">
        <v>401</v>
      </c>
      <c r="AN20" s="4" t="s">
        <v>679</v>
      </c>
    </row>
    <row r="21" spans="1:40" s="4" customFormat="1">
      <c r="A21" s="4" t="str">
        <f t="shared" si="1"/>
        <v>MIN-RSVBIOWOO1</v>
      </c>
      <c r="B21" s="4" t="str">
        <f t="shared" si="2"/>
        <v>UPS Reserves of Biomass - Forest residues - Reserve - Supply curve step 1</v>
      </c>
      <c r="C21" s="4" t="str">
        <f t="shared" si="3"/>
        <v>RSVBIOWOO</v>
      </c>
      <c r="D21" s="4" t="str">
        <f t="shared" si="4"/>
        <v>ACT_BND</v>
      </c>
      <c r="E21" s="4" t="str">
        <f t="shared" si="5"/>
        <v>UP</v>
      </c>
      <c r="F21" s="4">
        <v>2080</v>
      </c>
      <c r="G21" s="456">
        <f>'Key input_Biomass_MAgPIE'!E16</f>
        <v>64394.000000000007</v>
      </c>
      <c r="H21" s="456">
        <f>'Key input_Biomass_MAgPIE'!F16</f>
        <v>5477.9159413397601</v>
      </c>
      <c r="I21" s="456">
        <f>'Key input_Biomass_MAgPIE'!G16</f>
        <v>66516</v>
      </c>
      <c r="J21" s="456">
        <f>'Key input_Biomass_MAgPIE'!H16</f>
        <v>14806.6759599657</v>
      </c>
      <c r="K21" s="456">
        <f>'Key input_Biomass_MAgPIE'!I16</f>
        <v>1601.25</v>
      </c>
      <c r="L21" s="456">
        <f>'Key input_Biomass_MAgPIE'!J16</f>
        <v>1825.53224158377</v>
      </c>
      <c r="M21" s="456">
        <f>'Key input_Biomass_MAgPIE'!K16</f>
        <v>10168</v>
      </c>
      <c r="N21" s="456">
        <f>'Key input_Biomass_MAgPIE'!L16</f>
        <v>8931.4630925649508</v>
      </c>
      <c r="O21" s="456">
        <f>'Key input_Biomass_MAgPIE'!M16</f>
        <v>13866</v>
      </c>
      <c r="P21" s="456">
        <f>'Key input_Biomass_MAgPIE'!N16</f>
        <v>1012.2750000000001</v>
      </c>
      <c r="Q21" s="456">
        <f>'Key input_Biomass_MAgPIE'!O16</f>
        <v>2775</v>
      </c>
      <c r="R21" s="456">
        <f>'Key input_Biomass_MAgPIE'!P16</f>
        <v>19006.654001000301</v>
      </c>
      <c r="S21" s="456">
        <f>'Key input_Biomass_MAgPIE'!Q16</f>
        <v>5305.9468947243504</v>
      </c>
      <c r="T21" s="456">
        <f>'Key input_Biomass_MAgPIE'!R16</f>
        <v>5054.4060140041402</v>
      </c>
      <c r="U21" s="456">
        <f>'Key input_Biomass_MAgPIE'!S16</f>
        <v>10699.216029008599</v>
      </c>
      <c r="V21" s="456">
        <f>'Key input_Biomass_MAgPIE'!T16</f>
        <v>10674.114564072999</v>
      </c>
      <c r="W21" s="456">
        <f>'Key input_Biomass_MAgPIE'!U16</f>
        <v>15452.052380655499</v>
      </c>
      <c r="X21" s="456">
        <f>'Key input_Biomass_MAgPIE'!V16</f>
        <v>15841.25</v>
      </c>
      <c r="Y21" s="456">
        <f>'Key input_Biomass_MAgPIE'!W16</f>
        <v>25917.926929319001</v>
      </c>
      <c r="Z21" s="456">
        <f>'Key input_Biomass_MAgPIE'!X16</f>
        <v>96.25</v>
      </c>
      <c r="AA21" s="456">
        <f>'Key input_Biomass_MAgPIE'!Y16</f>
        <v>19816.25</v>
      </c>
      <c r="AB21" s="456">
        <f>'Key input_Biomass_MAgPIE'!Z16</f>
        <v>972.46012432078294</v>
      </c>
      <c r="AC21" s="456">
        <f>'Key input_Biomass_MAgPIE'!AA16</f>
        <v>226.99559958348701</v>
      </c>
      <c r="AD21" s="456">
        <f>'Key input_Biomass_MAgPIE'!AB16</f>
        <v>6413.5326633165805</v>
      </c>
      <c r="AE21" s="456">
        <f>'Key input_Biomass_MAgPIE'!AC16</f>
        <v>5929.71656053886</v>
      </c>
      <c r="AF21" s="456">
        <f>'Key input_Biomass_MAgPIE'!AD16</f>
        <v>3083.30800200059</v>
      </c>
      <c r="AG21" s="456">
        <f>'Key input_Biomass_MAgPIE'!AE16</f>
        <v>0</v>
      </c>
      <c r="AH21" s="456">
        <f>'Key input_Biomass_MAgPIE'!AF16</f>
        <v>13835.8080020006</v>
      </c>
      <c r="AJ21" s="4" t="str">
        <f>IF($A141="*","*","MIN")</f>
        <v>MIN</v>
      </c>
      <c r="AK21" t="str">
        <f>"MIN-"&amp;C141&amp;"2"</f>
        <v>MIN-RSVBIOOLC2</v>
      </c>
      <c r="AL21" t="str">
        <f>"UPS Reserves of "&amp;Commodities!$D$18 &amp; " - Supply curve step 2"</f>
        <v>UPS Reserves of Biomass - Oil crops - Reserve - Supply curve step 2</v>
      </c>
      <c r="AM21" s="4" t="s">
        <v>401</v>
      </c>
      <c r="AN21" s="4" t="s">
        <v>679</v>
      </c>
    </row>
    <row r="22" spans="1:40" s="4" customFormat="1">
      <c r="A22" s="4" t="str">
        <f t="shared" si="1"/>
        <v>MIN-RSVBIOWOO1</v>
      </c>
      <c r="B22" s="4" t="str">
        <f t="shared" si="2"/>
        <v>UPS Reserves of Biomass - Forest residues - Reserve - Supply curve step 1</v>
      </c>
      <c r="C22" s="4" t="str">
        <f t="shared" si="3"/>
        <v>RSVBIOWOO</v>
      </c>
      <c r="D22" s="4" t="str">
        <f t="shared" si="4"/>
        <v>ACT_BND</v>
      </c>
      <c r="E22" s="4" t="str">
        <f t="shared" si="5"/>
        <v>UP</v>
      </c>
      <c r="F22" s="4">
        <v>2090</v>
      </c>
      <c r="G22" s="456">
        <f>'Key input_Biomass_MAgPIE'!E17</f>
        <v>45818.091265627503</v>
      </c>
      <c r="H22" s="456">
        <f>'Key input_Biomass_MAgPIE'!F17</f>
        <v>1384.1984560968801</v>
      </c>
      <c r="I22" s="456">
        <f>'Key input_Biomass_MAgPIE'!G17</f>
        <v>62045.885201049299</v>
      </c>
      <c r="J22" s="456">
        <f>'Key input_Biomass_MAgPIE'!H17</f>
        <v>12681.0125789719</v>
      </c>
      <c r="K22" s="456">
        <f>'Key input_Biomass_MAgPIE'!I17</f>
        <v>1522.5</v>
      </c>
      <c r="L22" s="456">
        <f>'Key input_Biomass_MAgPIE'!J17</f>
        <v>1835.9967257232802</v>
      </c>
      <c r="M22" s="456">
        <f>'Key input_Biomass_MAgPIE'!K17</f>
        <v>10539.790329650299</v>
      </c>
      <c r="N22" s="456">
        <f>'Key input_Biomass_MAgPIE'!L17</f>
        <v>7683.50304689123</v>
      </c>
      <c r="O22" s="456">
        <f>'Key input_Biomass_MAgPIE'!M17</f>
        <v>13119.421848448799</v>
      </c>
      <c r="P22" s="456">
        <f>'Key input_Biomass_MAgPIE'!N17</f>
        <v>957.82500000000005</v>
      </c>
      <c r="Q22" s="456">
        <f>'Key input_Biomass_MAgPIE'!O17</f>
        <v>2413.75</v>
      </c>
      <c r="R22" s="456">
        <f>'Key input_Biomass_MAgPIE'!P17</f>
        <v>15872.3791558047</v>
      </c>
      <c r="S22" s="456">
        <f>'Key input_Biomass_MAgPIE'!Q17</f>
        <v>4919.8211734453998</v>
      </c>
      <c r="T22" s="456">
        <f>'Key input_Biomass_MAgPIE'!R17</f>
        <v>4819.5581812660002</v>
      </c>
      <c r="U22" s="456">
        <f>'Key input_Biomass_MAgPIE'!S17</f>
        <v>10055.2455183367</v>
      </c>
      <c r="V22" s="456">
        <f>'Key input_Biomass_MAgPIE'!T17</f>
        <v>10960.537499999999</v>
      </c>
      <c r="W22" s="456">
        <f>'Key input_Biomass_MAgPIE'!U17</f>
        <v>16304.195648680099</v>
      </c>
      <c r="X22" s="456">
        <f>'Key input_Biomass_MAgPIE'!V17</f>
        <v>14091.25</v>
      </c>
      <c r="Y22" s="456">
        <f>'Key input_Biomass_MAgPIE'!W17</f>
        <v>22174.847778151998</v>
      </c>
      <c r="Z22" s="456">
        <f>'Key input_Biomass_MAgPIE'!X17</f>
        <v>83.75</v>
      </c>
      <c r="AA22" s="456">
        <f>'Key input_Biomass_MAgPIE'!Y17</f>
        <v>17373.75</v>
      </c>
      <c r="AB22" s="456">
        <f>'Key input_Biomass_MAgPIE'!Z17</f>
        <v>1078.8</v>
      </c>
      <c r="AC22" s="456">
        <f>'Key input_Biomass_MAgPIE'!AA17</f>
        <v>203.26783656082301</v>
      </c>
      <c r="AD22" s="456">
        <f>'Key input_Biomass_MAgPIE'!AB17</f>
        <v>7332</v>
      </c>
      <c r="AE22" s="456">
        <f>'Key input_Biomass_MAgPIE'!AC17</f>
        <v>6803.8561320761701</v>
      </c>
      <c r="AF22" s="456">
        <f>'Key input_Biomass_MAgPIE'!AD17</f>
        <v>2799.7583116094302</v>
      </c>
      <c r="AG22" s="456">
        <f>'Key input_Biomass_MAgPIE'!AE17</f>
        <v>0</v>
      </c>
      <c r="AH22" s="456">
        <f>'Key input_Biomass_MAgPIE'!AF17</f>
        <v>13376.008311609401</v>
      </c>
      <c r="AJ22" s="4" t="str">
        <f>IF($A154="*","*","MIN")</f>
        <v>MIN</v>
      </c>
      <c r="AK22" t="str">
        <f>"MIN-"&amp;C154&amp;"3"</f>
        <v>MIN-RSVBIOOLC3</v>
      </c>
      <c r="AL22" t="str">
        <f>"UPS Reserves of "&amp;Commodities!$D$18 &amp; " - Supply curve step 3"</f>
        <v>UPS Reserves of Biomass - Oil crops - Reserve - Supply curve step 3</v>
      </c>
      <c r="AM22" s="4" t="s">
        <v>401</v>
      </c>
      <c r="AN22" s="4" t="s">
        <v>679</v>
      </c>
    </row>
    <row r="23" spans="1:40" s="4" customFormat="1">
      <c r="A23" s="259" t="str">
        <f t="shared" si="1"/>
        <v>MIN-RSVBIOWOO1</v>
      </c>
      <c r="B23" s="259" t="str">
        <f t="shared" si="2"/>
        <v>UPS Reserves of Biomass - Forest residues - Reserve - Supply curve step 1</v>
      </c>
      <c r="C23" s="259" t="str">
        <f t="shared" si="3"/>
        <v>RSVBIOWOO</v>
      </c>
      <c r="D23" s="259" t="str">
        <f t="shared" si="4"/>
        <v>ACT_BND</v>
      </c>
      <c r="E23" s="259" t="str">
        <f t="shared" si="5"/>
        <v>UP</v>
      </c>
      <c r="F23" s="259">
        <v>2100</v>
      </c>
      <c r="G23" s="435">
        <f>'Key input_Biomass_MAgPIE'!E18</f>
        <v>38841.996568427101</v>
      </c>
      <c r="H23" s="435">
        <f>'Key input_Biomass_MAgPIE'!F18</f>
        <v>140.389202438572</v>
      </c>
      <c r="I23" s="435">
        <f>'Key input_Biomass_MAgPIE'!G18</f>
        <v>53477.336577182905</v>
      </c>
      <c r="J23" s="435">
        <f>'Key input_Biomass_MAgPIE'!H18</f>
        <v>10776.0641273171</v>
      </c>
      <c r="K23" s="435">
        <f>'Key input_Biomass_MAgPIE'!I18</f>
        <v>1437.5</v>
      </c>
      <c r="L23" s="435">
        <f>'Key input_Biomass_MAgPIE'!J18</f>
        <v>1821.17261849798</v>
      </c>
      <c r="M23" s="435">
        <f>'Key input_Biomass_MAgPIE'!K18</f>
        <v>8860</v>
      </c>
      <c r="N23" s="435">
        <f>'Key input_Biomass_MAgPIE'!L18</f>
        <v>6652.0584764912601</v>
      </c>
      <c r="O23" s="435">
        <f>'Key input_Biomass_MAgPIE'!M18</f>
        <v>12106.25</v>
      </c>
      <c r="P23" s="435">
        <f>'Key input_Biomass_MAgPIE'!N18</f>
        <v>899.66250000000002</v>
      </c>
      <c r="Q23" s="435">
        <f>'Key input_Biomass_MAgPIE'!O18</f>
        <v>2111.25</v>
      </c>
      <c r="R23" s="435">
        <f>'Key input_Biomass_MAgPIE'!P18</f>
        <v>13398.6283921331</v>
      </c>
      <c r="S23" s="435">
        <f>'Key input_Biomass_MAgPIE'!Q18</f>
        <v>4545.4099321992298</v>
      </c>
      <c r="T23" s="435">
        <f>'Key input_Biomass_MAgPIE'!R18</f>
        <v>4568.2974898634002</v>
      </c>
      <c r="U23" s="435">
        <f>'Key input_Biomass_MAgPIE'!S18</f>
        <v>9430.2233718599</v>
      </c>
      <c r="V23" s="435">
        <f>'Key input_Biomass_MAgPIE'!T18</f>
        <v>10454.4</v>
      </c>
      <c r="W23" s="435">
        <f>'Key input_Biomass_MAgPIE'!U18</f>
        <v>15437.932666262701</v>
      </c>
      <c r="X23" s="435">
        <f>'Key input_Biomass_MAgPIE'!V18</f>
        <v>12533.75</v>
      </c>
      <c r="Y23" s="435">
        <f>'Key input_Biomass_MAgPIE'!W18</f>
        <v>19100.489491345001</v>
      </c>
      <c r="Z23" s="435">
        <f>'Key input_Biomass_MAgPIE'!X18</f>
        <v>73.75</v>
      </c>
      <c r="AA23" s="435">
        <f>'Key input_Biomass_MAgPIE'!Y18</f>
        <v>15292.5</v>
      </c>
      <c r="AB23" s="435">
        <f>'Key input_Biomass_MAgPIE'!Z18</f>
        <v>986.40000000000009</v>
      </c>
      <c r="AC23" s="435">
        <f>'Key input_Biomass_MAgPIE'!AA18</f>
        <v>181.121924406337</v>
      </c>
      <c r="AD23" s="435">
        <f>'Key input_Biomass_MAgPIE'!AB18</f>
        <v>6751</v>
      </c>
      <c r="AE23" s="435">
        <f>'Key input_Biomass_MAgPIE'!AC18</f>
        <v>5464.9030930430699</v>
      </c>
      <c r="AF23" s="435">
        <f>'Key input_Biomass_MAgPIE'!AD18</f>
        <v>2528.5067842662002</v>
      </c>
      <c r="AG23" s="435">
        <f>'Key input_Biomass_MAgPIE'!AE18</f>
        <v>0</v>
      </c>
      <c r="AH23" s="435">
        <f>'Key input_Biomass_MAgPIE'!AF18</f>
        <v>12816.006784266201</v>
      </c>
      <c r="AJ23" s="4" t="str">
        <f>IF($A167="*","*","MIN")</f>
        <v>MIN</v>
      </c>
      <c r="AK23" t="str">
        <f>"MIN-"&amp;C167&amp;"1"</f>
        <v>MIN-RSVBIOCRL1</v>
      </c>
      <c r="AL23" t="str">
        <f>"UPS Reserves of "&amp;Commodities!$D$19 &amp; " - Supply curve step 1"</f>
        <v>UPS Reserves of Biomass - Cereals - Reserve - Supply curve step 1</v>
      </c>
      <c r="AM23" s="4" t="s">
        <v>401</v>
      </c>
      <c r="AN23" s="4" t="s">
        <v>679</v>
      </c>
    </row>
    <row r="24" spans="1:40" s="4" customFormat="1">
      <c r="A24" s="4" t="str">
        <f t="shared" ref="A24" si="6">IF(AK12="",AJ12,AK12)</f>
        <v>MIN-RSVBIOWOO2</v>
      </c>
      <c r="B24" s="4" t="str">
        <f t="shared" ref="B24" si="7">IF($AK12="","",AL12)</f>
        <v>UPS Reserves of Biomass - Forest residues - Reserve - Supply curve step 2</v>
      </c>
      <c r="C24" s="4" t="str">
        <f>Commodities!$C$15</f>
        <v>RSVBIOWOO</v>
      </c>
      <c r="D24" s="4" t="s">
        <v>678</v>
      </c>
      <c r="E24" s="4" t="s">
        <v>661</v>
      </c>
      <c r="F24" s="4">
        <v>2019</v>
      </c>
      <c r="G24" s="258">
        <f>'Key input_Biomass_MAgPIE'!E19</f>
        <v>127853622.25263157</v>
      </c>
      <c r="H24" s="258">
        <f>'Key input_Biomass_MAgPIE'!F19</f>
        <v>9374929.5038596224</v>
      </c>
      <c r="I24" s="258">
        <f>'Key input_Biomass_MAgPIE'!G19</f>
        <v>101738273.14736842</v>
      </c>
      <c r="J24" s="258">
        <f>'Key input_Biomass_MAgPIE'!H19</f>
        <v>42182455.631461516</v>
      </c>
      <c r="K24" s="258">
        <f>'Key input_Biomass_MAgPIE'!I19</f>
        <v>7107050.3508771928</v>
      </c>
      <c r="L24" s="258">
        <f>'Key input_Biomass_MAgPIE'!J19</f>
        <v>2908162.7850463288</v>
      </c>
      <c r="M24" s="258">
        <f>'Key input_Biomass_MAgPIE'!K19</f>
        <v>49904016.37894737</v>
      </c>
      <c r="N24" s="258">
        <f>'Key input_Biomass_MAgPIE'!L19</f>
        <v>45508432.894736849</v>
      </c>
      <c r="O24" s="258">
        <f>'Key input_Biomass_MAgPIE'!M19</f>
        <v>76046583.536842108</v>
      </c>
      <c r="P24" s="258">
        <f>'Key input_Biomass_MAgPIE'!N19</f>
        <v>17264509.67368421</v>
      </c>
      <c r="Q24" s="258">
        <f>'Key input_Biomass_MAgPIE'!O19</f>
        <v>11065629.284210525</v>
      </c>
      <c r="R24" s="258">
        <f>'Key input_Biomass_MAgPIE'!P19</f>
        <v>58152704.147368416</v>
      </c>
      <c r="S24" s="258">
        <f>'Key input_Biomass_MAgPIE'!Q19</f>
        <v>12786715.275112828</v>
      </c>
      <c r="T24" s="258">
        <f>'Key input_Biomass_MAgPIE'!R19</f>
        <v>6333239.1034833826</v>
      </c>
      <c r="U24" s="258">
        <f>'Key input_Biomass_MAgPIE'!S19</f>
        <v>40409024.447201751</v>
      </c>
      <c r="V24" s="258">
        <f>'Key input_Biomass_MAgPIE'!T19</f>
        <v>36242751.126315787</v>
      </c>
      <c r="W24" s="258">
        <f>'Key input_Biomass_MAgPIE'!U19</f>
        <v>59931998.11241065</v>
      </c>
      <c r="X24" s="258">
        <f>'Key input_Biomass_MAgPIE'!V19</f>
        <v>63343471.894736841</v>
      </c>
      <c r="Y24" s="258">
        <f>'Key input_Biomass_MAgPIE'!W19</f>
        <v>206679116.03261819</v>
      </c>
      <c r="Z24" s="258">
        <f>'Key input_Biomass_MAgPIE'!X19</f>
        <v>4493284</v>
      </c>
      <c r="AA24" s="258">
        <f>'Key input_Biomass_MAgPIE'!Y19</f>
        <v>44240099.652631581</v>
      </c>
      <c r="AB24" s="258">
        <f>'Key input_Biomass_MAgPIE'!Z19</f>
        <v>2141361.4337036842</v>
      </c>
      <c r="AC24" s="258">
        <f>'Key input_Biomass_MAgPIE'!AA19</f>
        <v>2704454.0449928064</v>
      </c>
      <c r="AD24" s="258">
        <f>'Key input_Biomass_MAgPIE'!AB19</f>
        <v>12303430.578947369</v>
      </c>
      <c r="AE24" s="258">
        <f>'Key input_Biomass_MAgPIE'!AC19</f>
        <v>90802220.518838286</v>
      </c>
      <c r="AF24" s="258">
        <f>'Key input_Biomass_MAgPIE'!AD19</f>
        <v>4661689.4258109089</v>
      </c>
      <c r="AG24" s="258">
        <f>'Key input_Biomass_MAgPIE'!AE19</f>
        <v>3041747.368421053</v>
      </c>
      <c r="AH24" s="258">
        <f>'Key input_Biomass_MAgPIE'!AF19</f>
        <v>77654700.092477575</v>
      </c>
      <c r="AJ24" s="4" t="str">
        <f>IF($A180="*","*","MIN")</f>
        <v>MIN</v>
      </c>
      <c r="AK24" t="str">
        <f>"MIN-"&amp;C180&amp;"2"</f>
        <v>MIN-RSVBIOCRL2</v>
      </c>
      <c r="AL24" t="str">
        <f>"UPS Reserves of "&amp;Commodities!$D$19 &amp; " - Supply curve step 2"</f>
        <v>UPS Reserves of Biomass - Cereals - Reserve - Supply curve step 2</v>
      </c>
      <c r="AM24" s="4" t="s">
        <v>401</v>
      </c>
      <c r="AN24" s="4" t="s">
        <v>679</v>
      </c>
    </row>
    <row r="25" spans="1:40" s="4" customFormat="1">
      <c r="A25" s="4" t="str">
        <f>A24</f>
        <v>MIN-RSVBIOWOO2</v>
      </c>
      <c r="B25" s="4" t="str">
        <f t="shared" ref="B25:B36" si="8">B24</f>
        <v>UPS Reserves of Biomass - Forest residues - Reserve - Supply curve step 2</v>
      </c>
      <c r="C25" s="4" t="str">
        <f t="shared" ref="C25:C36" si="9">C24</f>
        <v>RSVBIOWOO</v>
      </c>
      <c r="D25" s="4" t="str">
        <f t="shared" ref="D25:D36" si="10">D24</f>
        <v>ACT_BND</v>
      </c>
      <c r="E25" s="4" t="str">
        <f t="shared" ref="E25:E36" si="11">E24</f>
        <v>UP</v>
      </c>
      <c r="F25" s="4">
        <v>2020</v>
      </c>
      <c r="G25" s="456">
        <f>'Key input_Biomass_MAgPIE'!E20</f>
        <v>127853622.25263157</v>
      </c>
      <c r="H25" s="456">
        <f>'Key input_Biomass_MAgPIE'!F20</f>
        <v>9374929.5038596224</v>
      </c>
      <c r="I25" s="456">
        <f>'Key input_Biomass_MAgPIE'!G20</f>
        <v>101738273.14736842</v>
      </c>
      <c r="J25" s="456">
        <f>'Key input_Biomass_MAgPIE'!H20</f>
        <v>42182455.631461516</v>
      </c>
      <c r="K25" s="456">
        <f>'Key input_Biomass_MAgPIE'!I20</f>
        <v>7107050.3508771919</v>
      </c>
      <c r="L25" s="456">
        <f>'Key input_Biomass_MAgPIE'!J20</f>
        <v>2908162.7850463288</v>
      </c>
      <c r="M25" s="456">
        <f>'Key input_Biomass_MAgPIE'!K20</f>
        <v>49904016.37894737</v>
      </c>
      <c r="N25" s="456">
        <f>'Key input_Biomass_MAgPIE'!L20</f>
        <v>45508432.894736849</v>
      </c>
      <c r="O25" s="456">
        <f>'Key input_Biomass_MAgPIE'!M20</f>
        <v>76046583.536842108</v>
      </c>
      <c r="P25" s="456">
        <f>'Key input_Biomass_MAgPIE'!N20</f>
        <v>17264509.67368421</v>
      </c>
      <c r="Q25" s="456">
        <f>'Key input_Biomass_MAgPIE'!O20</f>
        <v>11065629.284210525</v>
      </c>
      <c r="R25" s="456">
        <f>'Key input_Biomass_MAgPIE'!P20</f>
        <v>58152704.147368424</v>
      </c>
      <c r="S25" s="456">
        <f>'Key input_Biomass_MAgPIE'!Q20</f>
        <v>12786715.275112828</v>
      </c>
      <c r="T25" s="456">
        <f>'Key input_Biomass_MAgPIE'!R20</f>
        <v>6333239.1034833826</v>
      </c>
      <c r="U25" s="456">
        <f>'Key input_Biomass_MAgPIE'!S20</f>
        <v>40409024.447201751</v>
      </c>
      <c r="V25" s="456">
        <f>'Key input_Biomass_MAgPIE'!T20</f>
        <v>36242751.126315787</v>
      </c>
      <c r="W25" s="456">
        <f>'Key input_Biomass_MAgPIE'!U20</f>
        <v>59931998.11241065</v>
      </c>
      <c r="X25" s="456">
        <f>'Key input_Biomass_MAgPIE'!V20</f>
        <v>63343471.894736841</v>
      </c>
      <c r="Y25" s="456">
        <f>'Key input_Biomass_MAgPIE'!W20</f>
        <v>206679116.03261819</v>
      </c>
      <c r="Z25" s="456">
        <f>'Key input_Biomass_MAgPIE'!X20</f>
        <v>4493284</v>
      </c>
      <c r="AA25" s="456">
        <f>'Key input_Biomass_MAgPIE'!Y20</f>
        <v>44240099.652631581</v>
      </c>
      <c r="AB25" s="456">
        <f>'Key input_Biomass_MAgPIE'!Z20</f>
        <v>2141361.4337036842</v>
      </c>
      <c r="AC25" s="456">
        <f>'Key input_Biomass_MAgPIE'!AA20</f>
        <v>2704454.0449928064</v>
      </c>
      <c r="AD25" s="456">
        <f>'Key input_Biomass_MAgPIE'!AB20</f>
        <v>12303430.578947369</v>
      </c>
      <c r="AE25" s="456">
        <f>'Key input_Biomass_MAgPIE'!AC20</f>
        <v>90802220.518838286</v>
      </c>
      <c r="AF25" s="456">
        <f>'Key input_Biomass_MAgPIE'!AD20</f>
        <v>4661689.4258109089</v>
      </c>
      <c r="AG25" s="456">
        <f>'Key input_Biomass_MAgPIE'!AE20</f>
        <v>3041747.368421053</v>
      </c>
      <c r="AH25" s="456">
        <f>'Key input_Biomass_MAgPIE'!AF20</f>
        <v>77654700.092477575</v>
      </c>
      <c r="AJ25" s="4" t="str">
        <f>IF($A193="*","*","MIN")</f>
        <v>MIN</v>
      </c>
      <c r="AK25" t="str">
        <f>"MIN-"&amp;C193&amp;"3"</f>
        <v>MIN-RSVBIOCRL3</v>
      </c>
      <c r="AL25" t="str">
        <f>"UPS Reserves of "&amp;Commodities!$D$19 &amp; " - Supply curve step 3"</f>
        <v>UPS Reserves of Biomass - Cereals - Reserve - Supply curve step 3</v>
      </c>
      <c r="AM25" s="4" t="s">
        <v>401</v>
      </c>
      <c r="AN25" s="4" t="s">
        <v>679</v>
      </c>
    </row>
    <row r="26" spans="1:40" s="4" customFormat="1">
      <c r="A26" s="4" t="str">
        <f t="shared" ref="A26:A36" si="12">A25</f>
        <v>MIN-RSVBIOWOO2</v>
      </c>
      <c r="B26" s="4" t="str">
        <f t="shared" si="8"/>
        <v>UPS Reserves of Biomass - Forest residues - Reserve - Supply curve step 2</v>
      </c>
      <c r="C26" s="4" t="str">
        <f t="shared" si="9"/>
        <v>RSVBIOWOO</v>
      </c>
      <c r="D26" s="4" t="str">
        <f t="shared" si="10"/>
        <v>ACT_BND</v>
      </c>
      <c r="E26" s="4" t="str">
        <f t="shared" si="11"/>
        <v>UP</v>
      </c>
      <c r="F26" s="4">
        <v>2025</v>
      </c>
      <c r="G26" s="456">
        <f>'Key input_Biomass_MAgPIE'!E21</f>
        <v>138173716.35727251</v>
      </c>
      <c r="H26" s="456">
        <f>'Key input_Biomass_MAgPIE'!F21</f>
        <v>9645848.0344081484</v>
      </c>
      <c r="I26" s="456">
        <f>'Key input_Biomass_MAgPIE'!G21</f>
        <v>111068892.00128311</v>
      </c>
      <c r="J26" s="456">
        <f>'Key input_Biomass_MAgPIE'!H21</f>
        <v>44476076.418874301</v>
      </c>
      <c r="K26" s="456">
        <f>'Key input_Biomass_MAgPIE'!I21</f>
        <v>7593745.0807877872</v>
      </c>
      <c r="L26" s="456">
        <f>'Key input_Biomass_MAgPIE'!J21</f>
        <v>2847045.6231048969</v>
      </c>
      <c r="M26" s="456">
        <f>'Key input_Biomass_MAgPIE'!K21</f>
        <v>50851905.215664096</v>
      </c>
      <c r="N26" s="456">
        <f>'Key input_Biomass_MAgPIE'!L21</f>
        <v>39011256.006081335</v>
      </c>
      <c r="O26" s="456">
        <f>'Key input_Biomass_MAgPIE'!M21</f>
        <v>74337040.523976192</v>
      </c>
      <c r="P26" s="456">
        <f>'Key input_Biomass_MAgPIE'!N21</f>
        <v>19149703.419891134</v>
      </c>
      <c r="Q26" s="456">
        <f>'Key input_Biomass_MAgPIE'!O21</f>
        <v>11205375.633418338</v>
      </c>
      <c r="R26" s="456">
        <f>'Key input_Biomass_MAgPIE'!P21</f>
        <v>51075565.43850413</v>
      </c>
      <c r="S26" s="456">
        <f>'Key input_Biomass_MAgPIE'!Q21</f>
        <v>16188861.118003583</v>
      </c>
      <c r="T26" s="456">
        <f>'Key input_Biomass_MAgPIE'!R21</f>
        <v>10370594.814064614</v>
      </c>
      <c r="U26" s="456">
        <f>'Key input_Biomass_MAgPIE'!S21</f>
        <v>72243526.221216097</v>
      </c>
      <c r="V26" s="456">
        <f>'Key input_Biomass_MAgPIE'!T21</f>
        <v>35105582.585746601</v>
      </c>
      <c r="W26" s="456">
        <f>'Key input_Biomass_MAgPIE'!U21</f>
        <v>57713380.948159702</v>
      </c>
      <c r="X26" s="456">
        <f>'Key input_Biomass_MAgPIE'!V21</f>
        <v>59466312.723559551</v>
      </c>
      <c r="Y26" s="456">
        <f>'Key input_Biomass_MAgPIE'!W21</f>
        <v>175977524.84294555</v>
      </c>
      <c r="Z26" s="456">
        <f>'Key input_Biomass_MAgPIE'!X21</f>
        <v>4429484.8356998125</v>
      </c>
      <c r="AA26" s="456">
        <f>'Key input_Biomass_MAgPIE'!Y21</f>
        <v>44662356.156546324</v>
      </c>
      <c r="AB26" s="456">
        <f>'Key input_Biomass_MAgPIE'!Z21</f>
        <v>2073000.7315638906</v>
      </c>
      <c r="AC26" s="456">
        <f>'Key input_Biomass_MAgPIE'!AA21</f>
        <v>2859866.3632206949</v>
      </c>
      <c r="AD26" s="456">
        <f>'Key input_Biomass_MAgPIE'!AB21</f>
        <v>12303430.578947369</v>
      </c>
      <c r="AE26" s="456">
        <f>'Key input_Biomass_MAgPIE'!AC21</f>
        <v>56588001.792013086</v>
      </c>
      <c r="AF26" s="456">
        <f>'Key input_Biomass_MAgPIE'!AD21</f>
        <v>5030324.3014025744</v>
      </c>
      <c r="AG26" s="456">
        <f>'Key input_Biomass_MAgPIE'!AE21</f>
        <v>3222704.4651658982</v>
      </c>
      <c r="AH26" s="456">
        <f>'Key input_Biomass_MAgPIE'!AF21</f>
        <v>82274468.723894462</v>
      </c>
      <c r="AK26"/>
      <c r="AL26"/>
    </row>
    <row r="27" spans="1:40" s="4" customFormat="1">
      <c r="A27" s="4" t="str">
        <f t="shared" si="12"/>
        <v>MIN-RSVBIOWOO2</v>
      </c>
      <c r="B27" s="4" t="str">
        <f t="shared" si="8"/>
        <v>UPS Reserves of Biomass - Forest residues - Reserve - Supply curve step 2</v>
      </c>
      <c r="C27" s="4" t="str">
        <f t="shared" si="9"/>
        <v>RSVBIOWOO</v>
      </c>
      <c r="D27" s="4" t="str">
        <f t="shared" si="10"/>
        <v>ACT_BND</v>
      </c>
      <c r="E27" s="4" t="str">
        <f t="shared" si="11"/>
        <v>UP</v>
      </c>
      <c r="F27" s="4">
        <v>2030</v>
      </c>
      <c r="G27" s="456">
        <f>'Key input_Biomass_MAgPIE'!E22</f>
        <v>140667712.79124814</v>
      </c>
      <c r="H27" s="456">
        <f>'Key input_Biomass_MAgPIE'!F22</f>
        <v>9935203.2885344736</v>
      </c>
      <c r="I27" s="456">
        <f>'Key input_Biomass_MAgPIE'!G22</f>
        <v>119363681.66424747</v>
      </c>
      <c r="J27" s="456">
        <f>'Key input_Biomass_MAgPIE'!H22</f>
        <v>44057070.874070473</v>
      </c>
      <c r="K27" s="456">
        <f>'Key input_Biomass_MAgPIE'!I22</f>
        <v>8104815.4001371292</v>
      </c>
      <c r="L27" s="456">
        <f>'Key input_Biomass_MAgPIE'!J22</f>
        <v>2714653.588816877</v>
      </c>
      <c r="M27" s="456">
        <f>'Key input_Biomass_MAgPIE'!K22</f>
        <v>48812390.300597355</v>
      </c>
      <c r="N27" s="456">
        <f>'Key input_Biomass_MAgPIE'!L22</f>
        <v>35246342.587651573</v>
      </c>
      <c r="O27" s="456">
        <f>'Key input_Biomass_MAgPIE'!M22</f>
        <v>73063307.425034046</v>
      </c>
      <c r="P27" s="456">
        <f>'Key input_Biomass_MAgPIE'!N22</f>
        <v>20591699.159340829</v>
      </c>
      <c r="Q27" s="456">
        <f>'Key input_Biomass_MAgPIE'!O22</f>
        <v>10473506.755011238</v>
      </c>
      <c r="R27" s="456">
        <f>'Key input_Biomass_MAgPIE'!P22</f>
        <v>45839729.141681947</v>
      </c>
      <c r="S27" s="456">
        <f>'Key input_Biomass_MAgPIE'!Q22</f>
        <v>18924741.445845407</v>
      </c>
      <c r="T27" s="456">
        <f>'Key input_Biomass_MAgPIE'!R22</f>
        <v>14657891.029061189</v>
      </c>
      <c r="U27" s="456">
        <f>'Key input_Biomass_MAgPIE'!S22</f>
        <v>96479129.842775971</v>
      </c>
      <c r="V27" s="456">
        <f>'Key input_Biomass_MAgPIE'!T22</f>
        <v>34007149.713225998</v>
      </c>
      <c r="W27" s="456">
        <f>'Key input_Biomass_MAgPIE'!U22</f>
        <v>60720608.43808724</v>
      </c>
      <c r="X27" s="456">
        <f>'Key input_Biomass_MAgPIE'!V22</f>
        <v>54457429.455493823</v>
      </c>
      <c r="Y27" s="456">
        <f>'Key input_Biomass_MAgPIE'!W22</f>
        <v>148661395.9643476</v>
      </c>
      <c r="Z27" s="456">
        <f>'Key input_Biomass_MAgPIE'!X22</f>
        <v>4386762.1810344905</v>
      </c>
      <c r="AA27" s="456">
        <f>'Key input_Biomass_MAgPIE'!Y22</f>
        <v>44625845.25583189</v>
      </c>
      <c r="AB27" s="456">
        <f>'Key input_Biomass_MAgPIE'!Z22</f>
        <v>1999738.3417157219</v>
      </c>
      <c r="AC27" s="456">
        <f>'Key input_Biomass_MAgPIE'!AA22</f>
        <v>2168466.1986627453</v>
      </c>
      <c r="AD27" s="456">
        <f>'Key input_Biomass_MAgPIE'!AB22</f>
        <v>12227625.088554179</v>
      </c>
      <c r="AE27" s="456">
        <f>'Key input_Biomass_MAgPIE'!AC22</f>
        <v>8925269.6065936927</v>
      </c>
      <c r="AF27" s="456">
        <f>'Key input_Biomass_MAgPIE'!AD22</f>
        <v>5525733.2380899405</v>
      </c>
      <c r="AG27" s="456">
        <f>'Key input_Biomass_MAgPIE'!AE22</f>
        <v>3464679.9159977734</v>
      </c>
      <c r="AH27" s="456">
        <f>'Key input_Biomass_MAgPIE'!AF22</f>
        <v>88452013.663744405</v>
      </c>
      <c r="AK27"/>
      <c r="AL27"/>
    </row>
    <row r="28" spans="1:40" s="4" customFormat="1">
      <c r="A28" s="4" t="str">
        <f t="shared" si="12"/>
        <v>MIN-RSVBIOWOO2</v>
      </c>
      <c r="B28" s="4" t="str">
        <f t="shared" si="8"/>
        <v>UPS Reserves of Biomass - Forest residues - Reserve - Supply curve step 2</v>
      </c>
      <c r="C28" s="4" t="str">
        <f t="shared" si="9"/>
        <v>RSVBIOWOO</v>
      </c>
      <c r="D28" s="4" t="str">
        <f t="shared" si="10"/>
        <v>ACT_BND</v>
      </c>
      <c r="E28" s="4" t="str">
        <f t="shared" si="11"/>
        <v>UP</v>
      </c>
      <c r="F28" s="4">
        <v>2035</v>
      </c>
      <c r="G28" s="456">
        <f>'Key input_Biomass_MAgPIE'!E23</f>
        <v>141032341.3838104</v>
      </c>
      <c r="H28" s="456">
        <f>'Key input_Biomass_MAgPIE'!F23</f>
        <v>10091857.968801768</v>
      </c>
      <c r="I28" s="456">
        <f>'Key input_Biomass_MAgPIE'!G23</f>
        <v>121968207.55645326</v>
      </c>
      <c r="J28" s="456">
        <f>'Key input_Biomass_MAgPIE'!H23</f>
        <v>43633400.138807133</v>
      </c>
      <c r="K28" s="456">
        <f>'Key input_Biomass_MAgPIE'!I23</f>
        <v>7943344.1421652455</v>
      </c>
      <c r="L28" s="456">
        <f>'Key input_Biomass_MAgPIE'!J23</f>
        <v>2777791.369699405</v>
      </c>
      <c r="M28" s="456">
        <f>'Key input_Biomass_MAgPIE'!K23</f>
        <v>45314136.622468591</v>
      </c>
      <c r="N28" s="456">
        <f>'Key input_Biomass_MAgPIE'!L23</f>
        <v>33329450.179051425</v>
      </c>
      <c r="O28" s="456">
        <f>'Key input_Biomass_MAgPIE'!M23</f>
        <v>69650960.72786805</v>
      </c>
      <c r="P28" s="456">
        <f>'Key input_Biomass_MAgPIE'!N23</f>
        <v>19912851.934307612</v>
      </c>
      <c r="Q28" s="456">
        <f>'Key input_Biomass_MAgPIE'!O23</f>
        <v>10155716.223285016</v>
      </c>
      <c r="R28" s="456">
        <f>'Key input_Biomass_MAgPIE'!P23</f>
        <v>41372865.882839032</v>
      </c>
      <c r="S28" s="456">
        <f>'Key input_Biomass_MAgPIE'!Q23</f>
        <v>18624503.678923532</v>
      </c>
      <c r="T28" s="456">
        <f>'Key input_Biomass_MAgPIE'!R23</f>
        <v>14726352.110547656</v>
      </c>
      <c r="U28" s="456">
        <f>'Key input_Biomass_MAgPIE'!S23</f>
        <v>95380641.685538128</v>
      </c>
      <c r="V28" s="456">
        <f>'Key input_Biomass_MAgPIE'!T23</f>
        <v>32980654.509938482</v>
      </c>
      <c r="W28" s="456">
        <f>'Key input_Biomass_MAgPIE'!U23</f>
        <v>59722166.792246826</v>
      </c>
      <c r="X28" s="456">
        <f>'Key input_Biomass_MAgPIE'!V23</f>
        <v>50629886.58083982</v>
      </c>
      <c r="Y28" s="456">
        <f>'Key input_Biomass_MAgPIE'!W23</f>
        <v>137379713.54556686</v>
      </c>
      <c r="Z28" s="456">
        <f>'Key input_Biomass_MAgPIE'!X23</f>
        <v>4154350.9396551796</v>
      </c>
      <c r="AA28" s="456">
        <f>'Key input_Biomass_MAgPIE'!Y23</f>
        <v>43417810.671323918</v>
      </c>
      <c r="AB28" s="456">
        <f>'Key input_Biomass_MAgPIE'!Z23</f>
        <v>1466904.527685693</v>
      </c>
      <c r="AC28" s="456">
        <f>'Key input_Biomass_MAgPIE'!AA23</f>
        <v>891487.4060326959</v>
      </c>
      <c r="AD28" s="456">
        <f>'Key input_Biomass_MAgPIE'!AB23</f>
        <v>11943354.499579716</v>
      </c>
      <c r="AE28" s="456">
        <f>'Key input_Biomass_MAgPIE'!AC23</f>
        <v>7208254.5323006986</v>
      </c>
      <c r="AF28" s="456">
        <f>'Key input_Biomass_MAgPIE'!AD23</f>
        <v>5282081.9263798892</v>
      </c>
      <c r="AG28" s="456">
        <f>'Key input_Biomass_MAgPIE'!AE23</f>
        <v>3440271.675302709</v>
      </c>
      <c r="AH28" s="456">
        <f>'Key input_Biomass_MAgPIE'!AF23</f>
        <v>87828880.187691092</v>
      </c>
      <c r="AK28"/>
      <c r="AL28"/>
    </row>
    <row r="29" spans="1:40" s="4" customFormat="1">
      <c r="A29" s="4" t="str">
        <f t="shared" si="12"/>
        <v>MIN-RSVBIOWOO2</v>
      </c>
      <c r="B29" s="4" t="str">
        <f t="shared" si="8"/>
        <v>UPS Reserves of Biomass - Forest residues - Reserve - Supply curve step 2</v>
      </c>
      <c r="C29" s="4" t="str">
        <f t="shared" si="9"/>
        <v>RSVBIOWOO</v>
      </c>
      <c r="D29" s="4" t="str">
        <f t="shared" si="10"/>
        <v>ACT_BND</v>
      </c>
      <c r="E29" s="4" t="str">
        <f t="shared" si="11"/>
        <v>UP</v>
      </c>
      <c r="F29" s="4">
        <v>2040</v>
      </c>
      <c r="G29" s="456">
        <f>'Key input_Biomass_MAgPIE'!E24</f>
        <v>140756107.60156626</v>
      </c>
      <c r="H29" s="456">
        <f>'Key input_Biomass_MAgPIE'!F24</f>
        <v>10416999.200492159</v>
      </c>
      <c r="I29" s="456">
        <f>'Key input_Biomass_MAgPIE'!G24</f>
        <v>122543215.09946111</v>
      </c>
      <c r="J29" s="456">
        <f>'Key input_Biomass_MAgPIE'!H24</f>
        <v>43204802.160193563</v>
      </c>
      <c r="K29" s="456">
        <f>'Key input_Biomass_MAgPIE'!I24</f>
        <v>7771455.3836790472</v>
      </c>
      <c r="L29" s="456">
        <f>'Key input_Biomass_MAgPIE'!J24</f>
        <v>2878811.8191114226</v>
      </c>
      <c r="M29" s="456">
        <f>'Key input_Biomass_MAgPIE'!K24</f>
        <v>41866385.218427196</v>
      </c>
      <c r="N29" s="456">
        <f>'Key input_Biomass_MAgPIE'!L24</f>
        <v>31458652.198187165</v>
      </c>
      <c r="O29" s="456">
        <f>'Key input_Biomass_MAgPIE'!M24</f>
        <v>65137857.031616256</v>
      </c>
      <c r="P29" s="456">
        <f>'Key input_Biomass_MAgPIE'!N24</f>
        <v>19196290.974550333</v>
      </c>
      <c r="Q29" s="456">
        <f>'Key input_Biomass_MAgPIE'!O24</f>
        <v>9770021.7317882329</v>
      </c>
      <c r="R29" s="456">
        <f>'Key input_Biomass_MAgPIE'!P24</f>
        <v>37972452.999297656</v>
      </c>
      <c r="S29" s="456">
        <f>'Key input_Biomass_MAgPIE'!Q24</f>
        <v>18376919.939077679</v>
      </c>
      <c r="T29" s="456">
        <f>'Key input_Biomass_MAgPIE'!R24</f>
        <v>14790750.423810052</v>
      </c>
      <c r="U29" s="456">
        <f>'Key input_Biomass_MAgPIE'!S24</f>
        <v>94611772.508400559</v>
      </c>
      <c r="V29" s="456">
        <f>'Key input_Biomass_MAgPIE'!T24</f>
        <v>32078666.811092846</v>
      </c>
      <c r="W29" s="456">
        <f>'Key input_Biomass_MAgPIE'!U24</f>
        <v>58802882.899470024</v>
      </c>
      <c r="X29" s="456">
        <f>'Key input_Biomass_MAgPIE'!V24</f>
        <v>47494609.176725097</v>
      </c>
      <c r="Y29" s="456">
        <f>'Key input_Biomass_MAgPIE'!W24</f>
        <v>127577217.68160088</v>
      </c>
      <c r="Z29" s="456">
        <f>'Key input_Biomass_MAgPIE'!X24</f>
        <v>3921939.6982758688</v>
      </c>
      <c r="AA29" s="456">
        <f>'Key input_Biomass_MAgPIE'!Y24</f>
        <v>41684336.60262128</v>
      </c>
      <c r="AB29" s="456">
        <f>'Key input_Biomass_MAgPIE'!Z24</f>
        <v>1412192.3954074772</v>
      </c>
      <c r="AC29" s="456">
        <f>'Key input_Biomass_MAgPIE'!AA24</f>
        <v>421974.73809918878</v>
      </c>
      <c r="AD29" s="456">
        <f>'Key input_Biomass_MAgPIE'!AB24</f>
        <v>11581283.538885927</v>
      </c>
      <c r="AE29" s="456">
        <f>'Key input_Biomass_MAgPIE'!AC24</f>
        <v>4213061.6492207143</v>
      </c>
      <c r="AF29" s="456">
        <f>'Key input_Biomass_MAgPIE'!AD24</f>
        <v>5088665.460316564</v>
      </c>
      <c r="AG29" s="456">
        <f>'Key input_Biomass_MAgPIE'!AE24</f>
        <v>3427571.7146166638</v>
      </c>
      <c r="AH29" s="456">
        <f>'Key input_Biomass_MAgPIE'!AF24</f>
        <v>87504654.826801553</v>
      </c>
      <c r="AK29"/>
      <c r="AL29"/>
    </row>
    <row r="30" spans="1:40" s="4" customFormat="1">
      <c r="A30" s="4" t="str">
        <f t="shared" si="12"/>
        <v>MIN-RSVBIOWOO2</v>
      </c>
      <c r="B30" s="4" t="str">
        <f t="shared" si="8"/>
        <v>UPS Reserves of Biomass - Forest residues - Reserve - Supply curve step 2</v>
      </c>
      <c r="C30" s="4" t="str">
        <f t="shared" si="9"/>
        <v>RSVBIOWOO</v>
      </c>
      <c r="D30" s="4" t="str">
        <f t="shared" si="10"/>
        <v>ACT_BND</v>
      </c>
      <c r="E30" s="4" t="str">
        <f t="shared" si="11"/>
        <v>UP</v>
      </c>
      <c r="F30" s="4">
        <v>2045</v>
      </c>
      <c r="G30" s="456">
        <f>'Key input_Biomass_MAgPIE'!E25</f>
        <v>139221826.25104454</v>
      </c>
      <c r="H30" s="456">
        <f>'Key input_Biomass_MAgPIE'!F25</f>
        <v>10362007.257607244</v>
      </c>
      <c r="I30" s="456">
        <f>'Key input_Biomass_MAgPIE'!G25</f>
        <v>121556322.72068168</v>
      </c>
      <c r="J30" s="456">
        <f>'Key input_Biomass_MAgPIE'!H25</f>
        <v>42418648.764056683</v>
      </c>
      <c r="K30" s="456">
        <f>'Key input_Biomass_MAgPIE'!I25</f>
        <v>7604775.3754500067</v>
      </c>
      <c r="L30" s="456">
        <f>'Key input_Biomass_MAgPIE'!J25</f>
        <v>2998773.6027882043</v>
      </c>
      <c r="M30" s="456">
        <f>'Key input_Biomass_MAgPIE'!K25</f>
        <v>38488560.040045232</v>
      </c>
      <c r="N30" s="456">
        <f>'Key input_Biomass_MAgPIE'!L25</f>
        <v>29564012.271942332</v>
      </c>
      <c r="O30" s="456">
        <f>'Key input_Biomass_MAgPIE'!M25</f>
        <v>60105825.035795443</v>
      </c>
      <c r="P30" s="456">
        <f>'Key input_Biomass_MAgPIE'!N25</f>
        <v>18517443.749517117</v>
      </c>
      <c r="Q30" s="456">
        <f>'Key input_Biomass_MAgPIE'!O25</f>
        <v>9316423.2805208899</v>
      </c>
      <c r="R30" s="456">
        <f>'Key input_Biomass_MAgPIE'!P25</f>
        <v>34814254.86472223</v>
      </c>
      <c r="S30" s="456">
        <f>'Key input_Biomass_MAgPIE'!Q25</f>
        <v>17761696.678082637</v>
      </c>
      <c r="T30" s="456">
        <f>'Key input_Biomass_MAgPIE'!R25</f>
        <v>14491053.509872289</v>
      </c>
      <c r="U30" s="456">
        <f>'Key input_Biomass_MAgPIE'!S25</f>
        <v>91915481.823497683</v>
      </c>
      <c r="V30" s="456">
        <f>'Key input_Biomass_MAgPIE'!T25</f>
        <v>31226482.114023965</v>
      </c>
      <c r="W30" s="456">
        <f>'Key input_Biomass_MAgPIE'!U25</f>
        <v>57239819.661069207</v>
      </c>
      <c r="X30" s="456">
        <f>'Key input_Biomass_MAgPIE'!V25</f>
        <v>44786976.995025419</v>
      </c>
      <c r="Y30" s="456">
        <f>'Key input_Biomass_MAgPIE'!W25</f>
        <v>118395770.35696189</v>
      </c>
      <c r="Z30" s="456">
        <f>'Key input_Biomass_MAgPIE'!X25</f>
        <v>3689528.4568965579</v>
      </c>
      <c r="AA30" s="456">
        <f>'Key input_Biomass_MAgPIE'!Y25</f>
        <v>39619089.566557065</v>
      </c>
      <c r="AB30" s="456">
        <f>'Key input_Biomass_MAgPIE'!Z25</f>
        <v>1362641.7850423141</v>
      </c>
      <c r="AC30" s="456">
        <f>'Key input_Biomass_MAgPIE'!AA25</f>
        <v>2695668.2135289237</v>
      </c>
      <c r="AD30" s="456">
        <f>'Key input_Biomass_MAgPIE'!AB25</f>
        <v>11143407.087798947</v>
      </c>
      <c r="AE30" s="456">
        <f>'Key input_Biomass_MAgPIE'!AC25</f>
        <v>6416764.2899581883</v>
      </c>
      <c r="AF30" s="456">
        <f>'Key input_Biomass_MAgPIE'!AD25</f>
        <v>4889518.4436980728</v>
      </c>
      <c r="AG30" s="456">
        <f>'Key input_Biomass_MAgPIE'!AE25</f>
        <v>3405373.1580392173</v>
      </c>
      <c r="AH30" s="456">
        <f>'Key input_Biomass_MAgPIE'!AF25</f>
        <v>86937933.77974683</v>
      </c>
      <c r="AK30"/>
      <c r="AL30"/>
    </row>
    <row r="31" spans="1:40" s="4" customFormat="1">
      <c r="A31" s="4" t="str">
        <f t="shared" si="12"/>
        <v>MIN-RSVBIOWOO2</v>
      </c>
      <c r="B31" s="4" t="str">
        <f t="shared" si="8"/>
        <v>UPS Reserves of Biomass - Forest residues - Reserve - Supply curve step 2</v>
      </c>
      <c r="C31" s="4" t="str">
        <f t="shared" si="9"/>
        <v>RSVBIOWOO</v>
      </c>
      <c r="D31" s="4" t="str">
        <f t="shared" si="10"/>
        <v>ACT_BND</v>
      </c>
      <c r="E31" s="4" t="str">
        <f t="shared" si="11"/>
        <v>UP</v>
      </c>
      <c r="F31" s="4">
        <v>2050</v>
      </c>
      <c r="G31" s="456">
        <f>'Key input_Biomass_MAgPIE'!E26</f>
        <v>136524206.0575861</v>
      </c>
      <c r="H31" s="456">
        <f>'Key input_Biomass_MAgPIE'!F26</f>
        <v>10467141.326305516</v>
      </c>
      <c r="I31" s="456">
        <f>'Key input_Biomass_MAgPIE'!G26</f>
        <v>119286198.37831026</v>
      </c>
      <c r="J31" s="456">
        <f>'Key input_Biomass_MAgPIE'!H26</f>
        <v>41159187.151772134</v>
      </c>
      <c r="K31" s="456">
        <f>'Key input_Biomass_MAgPIE'!I26</f>
        <v>7479765.369278226</v>
      </c>
      <c r="L31" s="456">
        <f>'Key input_Biomass_MAgPIE'!J26</f>
        <v>3123470.7200311674</v>
      </c>
      <c r="M31" s="456">
        <f>'Key input_Biomass_MAgPIE'!K26</f>
        <v>35213681.804995202</v>
      </c>
      <c r="N31" s="456">
        <f>'Key input_Biomass_MAgPIE'!L26</f>
        <v>27697982.680154022</v>
      </c>
      <c r="O31" s="456">
        <f>'Key input_Biomass_MAgPIE'!M26</f>
        <v>55017631.968592696</v>
      </c>
      <c r="P31" s="456">
        <f>'Key input_Biomass_MAgPIE'!N26</f>
        <v>17989451.463380169</v>
      </c>
      <c r="Q31" s="456">
        <f>'Key input_Biomass_MAgPIE'!O26</f>
        <v>8843811.7205177899</v>
      </c>
      <c r="R31" s="456">
        <f>'Key input_Biomass_MAgPIE'!P26</f>
        <v>31784218.903143343</v>
      </c>
      <c r="S31" s="456">
        <f>'Key input_Biomass_MAgPIE'!Q26</f>
        <v>16665951.74190115</v>
      </c>
      <c r="T31" s="456">
        <f>'Key input_Biomass_MAgPIE'!R26</f>
        <v>13742983.105457101</v>
      </c>
      <c r="U31" s="456">
        <f>'Key input_Biomass_MAgPIE'!S26</f>
        <v>86651979.833948299</v>
      </c>
      <c r="V31" s="456">
        <f>'Key input_Biomass_MAgPIE'!T26</f>
        <v>30399198.917843461</v>
      </c>
      <c r="W31" s="456">
        <f>'Key input_Biomass_MAgPIE'!U26</f>
        <v>54870892.998538449</v>
      </c>
      <c r="X31" s="456">
        <f>'Key input_Biomass_MAgPIE'!V26</f>
        <v>42343965.061449967</v>
      </c>
      <c r="Y31" s="456">
        <f>'Key input_Biomass_MAgPIE'!W26</f>
        <v>109612969.05418773</v>
      </c>
      <c r="Z31" s="456">
        <f>'Key input_Biomass_MAgPIE'!X26</f>
        <v>3486168.6206896608</v>
      </c>
      <c r="AA31" s="456">
        <f>'Key input_Biomass_MAgPIE'!Y26</f>
        <v>37399861.77530589</v>
      </c>
      <c r="AB31" s="456">
        <f>'Key input_Biomass_MAgPIE'!Z26</f>
        <v>1312058.8702945255</v>
      </c>
      <c r="AC31" s="456">
        <f>'Key input_Biomass_MAgPIE'!AA26</f>
        <v>1360196.3315009687</v>
      </c>
      <c r="AD31" s="456">
        <f>'Key input_Biomass_MAgPIE'!AB26</f>
        <v>10662640.688200032</v>
      </c>
      <c r="AE31" s="456">
        <f>'Key input_Biomass_MAgPIE'!AC26</f>
        <v>18157804.249800336</v>
      </c>
      <c r="AF31" s="456">
        <f>'Key input_Biomass_MAgPIE'!AD26</f>
        <v>4662800.9112878144</v>
      </c>
      <c r="AG31" s="456">
        <f>'Key input_Biomass_MAgPIE'!AE26</f>
        <v>3371034.6369291442</v>
      </c>
      <c r="AH31" s="456">
        <f>'Key input_Biomass_MAgPIE'!AF26</f>
        <v>86061283.869203433</v>
      </c>
      <c r="AK31"/>
      <c r="AL31"/>
    </row>
    <row r="32" spans="1:40" s="4" customFormat="1">
      <c r="A32" s="4" t="str">
        <f t="shared" si="12"/>
        <v>MIN-RSVBIOWOO2</v>
      </c>
      <c r="B32" s="4" t="str">
        <f t="shared" si="8"/>
        <v>UPS Reserves of Biomass - Forest residues - Reserve - Supply curve step 2</v>
      </c>
      <c r="C32" s="4" t="str">
        <f t="shared" si="9"/>
        <v>RSVBIOWOO</v>
      </c>
      <c r="D32" s="4" t="str">
        <f t="shared" si="10"/>
        <v>ACT_BND</v>
      </c>
      <c r="E32" s="4" t="str">
        <f t="shared" si="11"/>
        <v>UP</v>
      </c>
      <c r="F32" s="4">
        <v>2060</v>
      </c>
      <c r="G32" s="456">
        <f>'Key input_Biomass_MAgPIE'!E27</f>
        <v>127574231.51287609</v>
      </c>
      <c r="H32" s="456">
        <f>'Key input_Biomass_MAgPIE'!F27</f>
        <v>25285873.175846677</v>
      </c>
      <c r="I32" s="456">
        <f>'Key input_Biomass_MAgPIE'!G27</f>
        <v>111577291.10550283</v>
      </c>
      <c r="J32" s="456">
        <f>'Key input_Biomass_MAgPIE'!H27</f>
        <v>38118413.154081412</v>
      </c>
      <c r="K32" s="456">
        <f>'Key input_Biomass_MAgPIE'!I27</f>
        <v>7240162.8574489793</v>
      </c>
      <c r="L32" s="456">
        <f>'Key input_Biomass_MAgPIE'!J27</f>
        <v>3338139.1750317323</v>
      </c>
      <c r="M32" s="456">
        <f>'Key input_Biomass_MAgPIE'!K27</f>
        <v>29132042.567781899</v>
      </c>
      <c r="N32" s="456">
        <f>'Key input_Biomass_MAgPIE'!L27</f>
        <v>24096259.464658402</v>
      </c>
      <c r="O32" s="456">
        <f>'Key input_Biomass_MAgPIE'!M27</f>
        <v>45661197.476363368</v>
      </c>
      <c r="P32" s="456">
        <f>'Key input_Biomass_MAgPIE'!N27</f>
        <v>17027751.227916453</v>
      </c>
      <c r="Q32" s="456">
        <f>'Key input_Biomass_MAgPIE'!O27</f>
        <v>8363051.6853422215</v>
      </c>
      <c r="R32" s="456">
        <f>'Key input_Biomass_MAgPIE'!P27</f>
        <v>26085117.503929976</v>
      </c>
      <c r="S32" s="456">
        <f>'Key input_Biomass_MAgPIE'!Q27</f>
        <v>16721719.66172423</v>
      </c>
      <c r="T32" s="456">
        <f>'Key input_Biomass_MAgPIE'!R27</f>
        <v>14123858.363435129</v>
      </c>
      <c r="U32" s="456">
        <f>'Key input_Biomass_MAgPIE'!S27</f>
        <v>81061174.355472878</v>
      </c>
      <c r="V32" s="456">
        <f>'Key input_Biomass_MAgPIE'!T27</f>
        <v>31172163.635973502</v>
      </c>
      <c r="W32" s="456">
        <f>'Key input_Biomass_MAgPIE'!U27</f>
        <v>54121049.079578064</v>
      </c>
      <c r="X32" s="456">
        <f>'Key input_Biomass_MAgPIE'!V27</f>
        <v>37774540.419733405</v>
      </c>
      <c r="Y32" s="456">
        <f>'Key input_Biomass_MAgPIE'!W27</f>
        <v>93700698.370900705</v>
      </c>
      <c r="Z32" s="456">
        <f>'Key input_Biomass_MAgPIE'!X27</f>
        <v>3021346.1379310396</v>
      </c>
      <c r="AA32" s="456">
        <f>'Key input_Biomass_MAgPIE'!Y27</f>
        <v>32902671.26556728</v>
      </c>
      <c r="AB32" s="456">
        <f>'Key input_Biomass_MAgPIE'!Z27</f>
        <v>1204699.2145033136</v>
      </c>
      <c r="AC32" s="456">
        <f>'Key input_Biomass_MAgPIE'!AA27</f>
        <v>311007.8241205599</v>
      </c>
      <c r="AD32" s="456">
        <f>'Key input_Biomass_MAgPIE'!AB27</f>
        <v>9709087.4143067468</v>
      </c>
      <c r="AE32" s="456">
        <f>'Key input_Biomass_MAgPIE'!AC27</f>
        <v>18383907.116570383</v>
      </c>
      <c r="AF32" s="456">
        <f>'Key input_Biomass_MAgPIE'!AD27</f>
        <v>4400774.4253561879</v>
      </c>
      <c r="AG32" s="456">
        <f>'Key input_Biomass_MAgPIE'!AE27</f>
        <v>2439407.8969028676</v>
      </c>
      <c r="AH32" s="456">
        <f>'Key input_Biomass_MAgPIE'!AF27</f>
        <v>62277193.235658504</v>
      </c>
      <c r="AK32"/>
      <c r="AL32"/>
    </row>
    <row r="33" spans="1:38" s="4" customFormat="1">
      <c r="A33" s="4" t="str">
        <f t="shared" si="12"/>
        <v>MIN-RSVBIOWOO2</v>
      </c>
      <c r="B33" s="4" t="str">
        <f t="shared" si="8"/>
        <v>UPS Reserves of Biomass - Forest residues - Reserve - Supply curve step 2</v>
      </c>
      <c r="C33" s="4" t="str">
        <f t="shared" si="9"/>
        <v>RSVBIOWOO</v>
      </c>
      <c r="D33" s="4" t="str">
        <f t="shared" si="10"/>
        <v>ACT_BND</v>
      </c>
      <c r="E33" s="4" t="str">
        <f t="shared" si="11"/>
        <v>UP</v>
      </c>
      <c r="F33" s="4">
        <v>2070</v>
      </c>
      <c r="G33" s="456">
        <f>'Key input_Biomass_MAgPIE'!E28</f>
        <v>115279460.48487853</v>
      </c>
      <c r="H33" s="456">
        <f>'Key input_Biomass_MAgPIE'!F28</f>
        <v>1147127543.0341859</v>
      </c>
      <c r="I33" s="456">
        <f>'Key input_Biomass_MAgPIE'!G28</f>
        <v>102057783.33624719</v>
      </c>
      <c r="J33" s="456">
        <f>'Key input_Biomass_MAgPIE'!H28</f>
        <v>32509403.264437396</v>
      </c>
      <c r="K33" s="456">
        <f>'Key input_Biomass_MAgPIE'!I28</f>
        <v>6958890.3435624717</v>
      </c>
      <c r="L33" s="456">
        <f>'Key input_Biomass_MAgPIE'!J28</f>
        <v>3486553.0327870105</v>
      </c>
      <c r="M33" s="456">
        <f>'Key input_Biomass_MAgPIE'!K28</f>
        <v>23906999.594896629</v>
      </c>
      <c r="N33" s="456">
        <f>'Key input_Biomass_MAgPIE'!L28</f>
        <v>20732955.702968661</v>
      </c>
      <c r="O33" s="456">
        <f>'Key input_Biomass_MAgPIE'!M28</f>
        <v>37702050.44011642</v>
      </c>
      <c r="P33" s="456">
        <f>'Key input_Biomass_MAgPIE'!N28</f>
        <v>16198049.063986965</v>
      </c>
      <c r="Q33" s="456">
        <f>'Key input_Biomass_MAgPIE'!O28</f>
        <v>8650964.4747693986</v>
      </c>
      <c r="R33" s="456">
        <f>'Key input_Biomass_MAgPIE'!P28</f>
        <v>26932485.940438233</v>
      </c>
      <c r="S33" s="456">
        <f>'Key input_Biomass_MAgPIE'!Q28</f>
        <v>7851943.0753162149</v>
      </c>
      <c r="T33" s="456">
        <f>'Key input_Biomass_MAgPIE'!R28</f>
        <v>6651248.3880870268</v>
      </c>
      <c r="U33" s="456">
        <f>'Key input_Biomass_MAgPIE'!S28</f>
        <v>38782295.047563523</v>
      </c>
      <c r="V33" s="456">
        <f>'Key input_Biomass_MAgPIE'!T28</f>
        <v>33297975.719175778</v>
      </c>
      <c r="W33" s="456">
        <f>'Key input_Biomass_MAgPIE'!U28</f>
        <v>58020072.189487167</v>
      </c>
      <c r="X33" s="456">
        <f>'Key input_Biomass_MAgPIE'!V28</f>
        <v>42032091.197589271</v>
      </c>
      <c r="Y33" s="456">
        <f>'Key input_Biomass_MAgPIE'!W28</f>
        <v>79894957.192626968</v>
      </c>
      <c r="Z33" s="456">
        <f>'Key input_Biomass_MAgPIE'!X28</f>
        <v>2585575.0603448316</v>
      </c>
      <c r="AA33" s="456">
        <f>'Key input_Biomass_MAgPIE'!Y28</f>
        <v>35963237.203716256</v>
      </c>
      <c r="AB33" s="456">
        <f>'Key input_Biomass_MAgPIE'!Z28</f>
        <v>1101468.776242533</v>
      </c>
      <c r="AC33" s="456">
        <f>'Key input_Biomass_MAgPIE'!AA28</f>
        <v>2197481.4297628254</v>
      </c>
      <c r="AD33" s="456">
        <f>'Key input_Biomass_MAgPIE'!AB28</f>
        <v>8815380.5801975578</v>
      </c>
      <c r="AE33" s="456">
        <f>'Key input_Biomass_MAgPIE'!AC28</f>
        <v>22585200.024827413</v>
      </c>
      <c r="AF33" s="456">
        <f>'Key input_Biomass_MAgPIE'!AD28</f>
        <v>3233933.4571762192</v>
      </c>
      <c r="AG33" s="456">
        <f>'Key input_Biomass_MAgPIE'!AE28</f>
        <v>3088345.5562739419</v>
      </c>
      <c r="AH33" s="456">
        <f>'Key input_Biomass_MAgPIE'!AF28</f>
        <v>78844334.820245057</v>
      </c>
      <c r="AK33"/>
      <c r="AL33"/>
    </row>
    <row r="34" spans="1:38" s="4" customFormat="1">
      <c r="A34" s="4" t="str">
        <f t="shared" si="12"/>
        <v>MIN-RSVBIOWOO2</v>
      </c>
      <c r="B34" s="4" t="str">
        <f t="shared" si="8"/>
        <v>UPS Reserves of Biomass - Forest residues - Reserve - Supply curve step 2</v>
      </c>
      <c r="C34" s="4" t="str">
        <f t="shared" si="9"/>
        <v>RSVBIOWOO</v>
      </c>
      <c r="D34" s="4" t="str">
        <f t="shared" si="10"/>
        <v>ACT_BND</v>
      </c>
      <c r="E34" s="4" t="str">
        <f t="shared" si="11"/>
        <v>UP</v>
      </c>
      <c r="F34" s="4">
        <v>2080</v>
      </c>
      <c r="G34" s="456">
        <f>'Key input_Biomass_MAgPIE'!E29</f>
        <v>101644560.99330798</v>
      </c>
      <c r="H34" s="456">
        <f>'Key input_Biomass_MAgPIE'!F29</f>
        <v>4198966207.3905411</v>
      </c>
      <c r="I34" s="456">
        <f>'Key input_Biomass_MAgPIE'!G29</f>
        <v>90418916.621064872</v>
      </c>
      <c r="J34" s="456">
        <f>'Key input_Biomass_MAgPIE'!H29</f>
        <v>28171835.369809933</v>
      </c>
      <c r="K34" s="456">
        <f>'Key input_Biomass_MAgPIE'!I29</f>
        <v>6672409.0794188073</v>
      </c>
      <c r="L34" s="456">
        <f>'Key input_Biomass_MAgPIE'!J29</f>
        <v>3579681.2595887394</v>
      </c>
      <c r="M34" s="456">
        <f>'Key input_Biomass_MAgPIE'!K29</f>
        <v>19750273.958474889</v>
      </c>
      <c r="N34" s="456">
        <f>'Key input_Biomass_MAgPIE'!L29</f>
        <v>17768607.160647474</v>
      </c>
      <c r="O34" s="456">
        <f>'Key input_Biomass_MAgPIE'!M29</f>
        <v>31149176.631272972</v>
      </c>
      <c r="P34" s="456">
        <f>'Key input_Biomass_MAgPIE'!N29</f>
        <v>15424917.502143586</v>
      </c>
      <c r="Q34" s="456">
        <f>'Key input_Biomass_MAgPIE'!O29</f>
        <v>7537339.5345322071</v>
      </c>
      <c r="R34" s="456">
        <f>'Key input_Biomass_MAgPIE'!P29</f>
        <v>22348019.065703571</v>
      </c>
      <c r="S34" s="456">
        <f>'Key input_Biomass_MAgPIE'!Q29</f>
        <v>6736710.5423714481</v>
      </c>
      <c r="T34" s="456">
        <f>'Key input_Biomass_MAgPIE'!R29</f>
        <v>5880440.3341144361</v>
      </c>
      <c r="U34" s="456">
        <f>'Key input_Biomass_MAgPIE'!S29</f>
        <v>36204601.599817216</v>
      </c>
      <c r="V34" s="456">
        <f>'Key input_Biomass_MAgPIE'!T29</f>
        <v>29533497.03332166</v>
      </c>
      <c r="W34" s="456">
        <f>'Key input_Biomass_MAgPIE'!U29</f>
        <v>48154644.330166511</v>
      </c>
      <c r="X34" s="456">
        <f>'Key input_Biomass_MAgPIE'!V29</f>
        <v>37427817.014267065</v>
      </c>
      <c r="Y34" s="456">
        <f>'Key input_Biomass_MAgPIE'!W29</f>
        <v>68063562.89106369</v>
      </c>
      <c r="Z34" s="456">
        <f>'Key input_Biomass_MAgPIE'!X29</f>
        <v>2236958.1982758655</v>
      </c>
      <c r="AA34" s="456">
        <f>'Key input_Biomass_MAgPIE'!Y29</f>
        <v>31456918.96879904</v>
      </c>
      <c r="AB34" s="456">
        <f>'Key input_Biomass_MAgPIE'!Z29</f>
        <v>1309190.1394603916</v>
      </c>
      <c r="AC34" s="456">
        <f>'Key input_Biomass_MAgPIE'!AA29</f>
        <v>1958624.752614686</v>
      </c>
      <c r="AD34" s="456">
        <f>'Key input_Biomass_MAgPIE'!AB29</f>
        <v>6397118.2723086337</v>
      </c>
      <c r="AE34" s="456">
        <f>'Key input_Biomass_MAgPIE'!AC29</f>
        <v>26547790.055673119</v>
      </c>
      <c r="AF34" s="456">
        <f>'Key input_Biomass_MAgPIE'!AD29</f>
        <v>2879690.9979205979</v>
      </c>
      <c r="AG34" s="456">
        <f>'Key input_Biomass_MAgPIE'!AE29</f>
        <v>3011768.1312745395</v>
      </c>
      <c r="AH34" s="456">
        <f>'Key input_Biomass_MAgPIE'!AF29</f>
        <v>76889341.110405967</v>
      </c>
      <c r="AK34"/>
      <c r="AL34"/>
    </row>
    <row r="35" spans="1:38" s="4" customFormat="1">
      <c r="A35" s="4" t="str">
        <f t="shared" si="12"/>
        <v>MIN-RSVBIOWOO2</v>
      </c>
      <c r="B35" s="4" t="str">
        <f t="shared" si="8"/>
        <v>UPS Reserves of Biomass - Forest residues - Reserve - Supply curve step 2</v>
      </c>
      <c r="C35" s="4" t="str">
        <f t="shared" si="9"/>
        <v>RSVBIOWOO</v>
      </c>
      <c r="D35" s="4" t="str">
        <f t="shared" si="10"/>
        <v>ACT_BND</v>
      </c>
      <c r="E35" s="4" t="str">
        <f t="shared" si="11"/>
        <v>UP</v>
      </c>
      <c r="F35" s="4">
        <v>2090</v>
      </c>
      <c r="G35" s="456">
        <f>'Key input_Biomass_MAgPIE'!E30</f>
        <v>72322883.68863599</v>
      </c>
      <c r="H35" s="456">
        <f>'Key input_Biomass_MAgPIE'!F30</f>
        <v>1061024412.1510636</v>
      </c>
      <c r="I35" s="456">
        <f>'Key input_Biomass_MAgPIE'!G30</f>
        <v>84342439.723883569</v>
      </c>
      <c r="J35" s="456">
        <f>'Key input_Biomass_MAgPIE'!H30</f>
        <v>24127454.37687777</v>
      </c>
      <c r="K35" s="456">
        <f>'Key input_Biomass_MAgPIE'!I30</f>
        <v>6344257.813217883</v>
      </c>
      <c r="L35" s="456">
        <f>'Key input_Biomass_MAgPIE'!J30</f>
        <v>3600201.0383755383</v>
      </c>
      <c r="M35" s="456">
        <f>'Key input_Biomass_MAgPIE'!K30</f>
        <v>20472437.69428381</v>
      </c>
      <c r="N35" s="456">
        <f>'Key input_Biomass_MAgPIE'!L30</f>
        <v>15285865.915014457</v>
      </c>
      <c r="O35" s="456">
        <f>'Key input_Biomass_MAgPIE'!M30</f>
        <v>29472031.476814754</v>
      </c>
      <c r="P35" s="456">
        <f>'Key input_Biomass_MAgPIE'!N30</f>
        <v>14595215.338214101</v>
      </c>
      <c r="Q35" s="456">
        <f>'Key input_Biomass_MAgPIE'!O30</f>
        <v>6556127.3158476092</v>
      </c>
      <c r="R35" s="456">
        <f>'Key input_Biomass_MAgPIE'!P30</f>
        <v>18662739.479201917</v>
      </c>
      <c r="S35" s="456">
        <f>'Key input_Biomass_MAgPIE'!Q30</f>
        <v>6246464.9238547897</v>
      </c>
      <c r="T35" s="456">
        <f>'Key input_Biomass_MAgPIE'!R30</f>
        <v>5607211.6571568698</v>
      </c>
      <c r="U35" s="456">
        <f>'Key input_Biomass_MAgPIE'!S30</f>
        <v>34025498.409668125</v>
      </c>
      <c r="V35" s="456">
        <f>'Key input_Biomass_MAgPIE'!T30</f>
        <v>30325981.588148054</v>
      </c>
      <c r="W35" s="456">
        <f>'Key input_Biomass_MAgPIE'!U30</f>
        <v>50810256.347211048</v>
      </c>
      <c r="X35" s="456">
        <f>'Key input_Biomass_MAgPIE'!V30</f>
        <v>33293125.637326017</v>
      </c>
      <c r="Y35" s="456">
        <f>'Key input_Biomass_MAgPIE'!W30</f>
        <v>58233791.246654682</v>
      </c>
      <c r="Z35" s="456">
        <f>'Key input_Biomass_MAgPIE'!X30</f>
        <v>1946444.1465517271</v>
      </c>
      <c r="AA35" s="456">
        <f>'Key input_Biomass_MAgPIE'!Y30</f>
        <v>27579620.055972867</v>
      </c>
      <c r="AB35" s="456">
        <f>'Key input_Biomass_MAgPIE'!Z30</f>
        <v>1452351.9135926859</v>
      </c>
      <c r="AC35" s="456">
        <f>'Key input_Biomass_MAgPIE'!AA30</f>
        <v>1753890.4579162882</v>
      </c>
      <c r="AD35" s="456">
        <f>'Key input_Biomass_MAgPIE'!AB30</f>
        <v>7313234.9416167112</v>
      </c>
      <c r="AE35" s="456">
        <f>'Key input_Biomass_MAgPIE'!AC30</f>
        <v>30461379.109653074</v>
      </c>
      <c r="AF35" s="456">
        <f>'Key input_Biomass_MAgPIE'!AD30</f>
        <v>2614866.5008697715</v>
      </c>
      <c r="AG35" s="456">
        <f>'Key input_Biomass_MAgPIE'!AE30</f>
        <v>2911679.285426876</v>
      </c>
      <c r="AH35" s="456">
        <f>'Key input_Biomass_MAgPIE'!AF30</f>
        <v>74334109.407867447</v>
      </c>
      <c r="AK35"/>
      <c r="AL35"/>
    </row>
    <row r="36" spans="1:38" s="4" customFormat="1">
      <c r="A36" s="259" t="str">
        <f t="shared" si="12"/>
        <v>MIN-RSVBIOWOO2</v>
      </c>
      <c r="B36" s="259" t="str">
        <f t="shared" si="8"/>
        <v>UPS Reserves of Biomass - Forest residues - Reserve - Supply curve step 2</v>
      </c>
      <c r="C36" s="259" t="str">
        <f t="shared" si="9"/>
        <v>RSVBIOWOO</v>
      </c>
      <c r="D36" s="259" t="str">
        <f t="shared" si="10"/>
        <v>ACT_BND</v>
      </c>
      <c r="E36" s="259" t="str">
        <f t="shared" si="11"/>
        <v>UP</v>
      </c>
      <c r="F36" s="259">
        <v>2100</v>
      </c>
      <c r="G36" s="435">
        <f>'Key input_Biomass_MAgPIE'!E31</f>
        <v>61311266.411487833</v>
      </c>
      <c r="H36" s="435">
        <f>'Key input_Biomass_MAgPIE'!F31</f>
        <v>107612004.8636415</v>
      </c>
      <c r="I36" s="435">
        <f>'Key input_Biomass_MAgPIE'!G31</f>
        <v>72694732.652127653</v>
      </c>
      <c r="J36" s="435">
        <f>'Key input_Biomass_MAgPIE'!H31</f>
        <v>20503015.352677114</v>
      </c>
      <c r="K36" s="435">
        <f>'Key input_Biomass_MAgPIE'!I31</f>
        <v>5990062.795731171</v>
      </c>
      <c r="L36" s="435">
        <f>'Key input_Biomass_MAgPIE'!J31</f>
        <v>3571132.4864125759</v>
      </c>
      <c r="M36" s="435">
        <f>'Key input_Biomass_MAgPIE'!K31</f>
        <v>17209621.09284889</v>
      </c>
      <c r="N36" s="435">
        <f>'Key input_Biomass_MAgPIE'!L31</f>
        <v>13233869.149257615</v>
      </c>
      <c r="O36" s="435">
        <f>'Key input_Biomass_MAgPIE'!M31</f>
        <v>27195998.816699002</v>
      </c>
      <c r="P36" s="435">
        <f>'Key input_Biomass_MAgPIE'!N31</f>
        <v>13708942.572198516</v>
      </c>
      <c r="Q36" s="435">
        <f>'Key input_Biomass_MAgPIE'!O31</f>
        <v>5734489.4026238285</v>
      </c>
      <c r="R36" s="435">
        <f>'Key input_Biomass_MAgPIE'!P31</f>
        <v>15754103.944119195</v>
      </c>
      <c r="S36" s="435">
        <f>'Key input_Biomass_MAgPIE'!Q31</f>
        <v>5771092.6281777723</v>
      </c>
      <c r="T36" s="435">
        <f>'Key input_Biomass_MAgPIE'!R31</f>
        <v>5314887.7916012369</v>
      </c>
      <c r="U36" s="435">
        <f>'Key input_Biomass_MAgPIE'!S31</f>
        <v>31910513.746969253</v>
      </c>
      <c r="V36" s="435">
        <f>'Key input_Biomass_MAgPIE'!T31</f>
        <v>28925583.431937993</v>
      </c>
      <c r="W36" s="435">
        <f>'Key input_Biomass_MAgPIE'!U31</f>
        <v>48110641.772585228</v>
      </c>
      <c r="X36" s="435">
        <f>'Key input_Biomass_MAgPIE'!V31</f>
        <v>29613250.311848484</v>
      </c>
      <c r="Y36" s="435">
        <f>'Key input_Biomass_MAgPIE'!W31</f>
        <v>50160160.235408947</v>
      </c>
      <c r="Z36" s="435">
        <f>'Key input_Biomass_MAgPIE'!X31</f>
        <v>1714032.9051724162</v>
      </c>
      <c r="AA36" s="435">
        <f>'Key input_Biomass_MAgPIE'!Y31</f>
        <v>24275780.398933165</v>
      </c>
      <c r="AB36" s="435">
        <f>'Key input_Biomass_MAgPIE'!Z31</f>
        <v>1327956.9221058821</v>
      </c>
      <c r="AC36" s="435">
        <f>'Key input_Biomass_MAgPIE'!AA31</f>
        <v>1562805.1161977868</v>
      </c>
      <c r="AD36" s="435">
        <f>'Key input_Biomass_MAgPIE'!AB31</f>
        <v>6733721.9163740342</v>
      </c>
      <c r="AE36" s="435">
        <f>'Key input_Biomass_MAgPIE'!AC31</f>
        <v>24466784.964764304</v>
      </c>
      <c r="AF36" s="435">
        <f>'Key input_Biomass_MAgPIE'!AD31</f>
        <v>2361528.014751717</v>
      </c>
      <c r="AG36" s="435">
        <f>'Key input_Biomass_MAgPIE'!AE31</f>
        <v>2789778.5801501446</v>
      </c>
      <c r="AH36" s="435">
        <f>'Key input_Biomass_MAgPIE'!AF31</f>
        <v>71222028.895329714</v>
      </c>
      <c r="AK36"/>
      <c r="AL36"/>
    </row>
    <row r="37" spans="1:38" s="4" customFormat="1">
      <c r="A37" s="4" t="str">
        <f>IF(AK13="",AJ13,AK13)</f>
        <v>MIN-RSVBIOWOO3</v>
      </c>
      <c r="B37" s="4" t="str">
        <f>IF($AK13="","",AL13)</f>
        <v>UPS Reserves of Biomass - Forest residues - Reserve - Supply curve step 3</v>
      </c>
      <c r="C37" s="4" t="str">
        <f>Commodities!$C$15</f>
        <v>RSVBIOWOO</v>
      </c>
      <c r="D37" s="4" t="s">
        <v>678</v>
      </c>
      <c r="E37" s="4" t="s">
        <v>661</v>
      </c>
      <c r="F37" s="4">
        <v>2019</v>
      </c>
      <c r="G37" s="258">
        <f>'Key input_Biomass_MAgPIE'!E32</f>
        <v>85235748.16842106</v>
      </c>
      <c r="H37" s="258">
        <f>'Key input_Biomass_MAgPIE'!F32</f>
        <v>6249953.0025730822</v>
      </c>
      <c r="I37" s="258">
        <f>'Key input_Biomass_MAgPIE'!G32</f>
        <v>67825515.431578949</v>
      </c>
      <c r="J37" s="258">
        <f>'Key input_Biomass_MAgPIE'!H32</f>
        <v>28121637.087641016</v>
      </c>
      <c r="K37" s="258">
        <f>'Key input_Biomass_MAgPIE'!I32</f>
        <v>4738033.5672514616</v>
      </c>
      <c r="L37" s="258">
        <f>'Key input_Biomass_MAgPIE'!J32</f>
        <v>1938775.1900308859</v>
      </c>
      <c r="M37" s="258">
        <f>'Key input_Biomass_MAgPIE'!K32</f>
        <v>33269344.252631582</v>
      </c>
      <c r="N37" s="258">
        <f>'Key input_Biomass_MAgPIE'!L32</f>
        <v>30338955.263157897</v>
      </c>
      <c r="O37" s="258">
        <f>'Key input_Biomass_MAgPIE'!M32</f>
        <v>50697722.357894734</v>
      </c>
      <c r="P37" s="258">
        <f>'Key input_Biomass_MAgPIE'!N32</f>
        <v>11509673.115789477</v>
      </c>
      <c r="Q37" s="258">
        <f>'Key input_Biomass_MAgPIE'!O32</f>
        <v>7377086.1894736849</v>
      </c>
      <c r="R37" s="258">
        <f>'Key input_Biomass_MAgPIE'!P32</f>
        <v>38768469.431578949</v>
      </c>
      <c r="S37" s="258">
        <f>'Key input_Biomass_MAgPIE'!Q32</f>
        <v>8524476.8500752207</v>
      </c>
      <c r="T37" s="258">
        <f>'Key input_Biomass_MAgPIE'!R32</f>
        <v>4222159.4023222551</v>
      </c>
      <c r="U37" s="258">
        <f>'Key input_Biomass_MAgPIE'!S32</f>
        <v>26939349.631467842</v>
      </c>
      <c r="V37" s="258">
        <f>'Key input_Biomass_MAgPIE'!T32</f>
        <v>24161834.08421053</v>
      </c>
      <c r="W37" s="258">
        <f>'Key input_Biomass_MAgPIE'!U32</f>
        <v>39954665.408273771</v>
      </c>
      <c r="X37" s="258">
        <f>'Key input_Biomass_MAgPIE'!V32</f>
        <v>42228981.263157904</v>
      </c>
      <c r="Y37" s="258">
        <f>'Key input_Biomass_MAgPIE'!W32</f>
        <v>137786077.35507879</v>
      </c>
      <c r="Z37" s="258">
        <f>'Key input_Biomass_MAgPIE'!X32</f>
        <v>2995522.666666667</v>
      </c>
      <c r="AA37" s="258">
        <f>'Key input_Biomass_MAgPIE'!Y32</f>
        <v>29493399.768421054</v>
      </c>
      <c r="AB37" s="258">
        <f>'Key input_Biomass_MAgPIE'!Z32</f>
        <v>1427574.2891357895</v>
      </c>
      <c r="AC37" s="258">
        <f>'Key input_Biomass_MAgPIE'!AA32</f>
        <v>1802969.3633285379</v>
      </c>
      <c r="AD37" s="258">
        <f>'Key input_Biomass_MAgPIE'!AB32</f>
        <v>8202287.0526315793</v>
      </c>
      <c r="AE37" s="258">
        <f>'Key input_Biomass_MAgPIE'!AC32</f>
        <v>60534813.679225534</v>
      </c>
      <c r="AF37" s="258">
        <f>'Key input_Biomass_MAgPIE'!AD32</f>
        <v>3107792.9505406069</v>
      </c>
      <c r="AG37" s="258">
        <f>'Key input_Biomass_MAgPIE'!AE32</f>
        <v>2027831.5789473685</v>
      </c>
      <c r="AH37" s="258">
        <f>'Key input_Biomass_MAgPIE'!AF32</f>
        <v>51769800.061651722</v>
      </c>
      <c r="AK37"/>
      <c r="AL37"/>
    </row>
    <row r="38" spans="1:38" s="4" customFormat="1">
      <c r="A38" s="4" t="str">
        <f>A37</f>
        <v>MIN-RSVBIOWOO3</v>
      </c>
      <c r="B38" s="4" t="str">
        <f t="shared" ref="B38:B49" si="13">B37</f>
        <v>UPS Reserves of Biomass - Forest residues - Reserve - Supply curve step 3</v>
      </c>
      <c r="C38" s="4" t="str">
        <f t="shared" ref="C38:C49" si="14">C37</f>
        <v>RSVBIOWOO</v>
      </c>
      <c r="D38" s="4" t="str">
        <f t="shared" ref="D38:D49" si="15">D37</f>
        <v>ACT_BND</v>
      </c>
      <c r="E38" s="4" t="str">
        <f t="shared" ref="E38:E49" si="16">E37</f>
        <v>UP</v>
      </c>
      <c r="F38" s="4">
        <v>2020</v>
      </c>
      <c r="G38" s="456">
        <f>'Key input_Biomass_MAgPIE'!E33</f>
        <v>85235748.16842106</v>
      </c>
      <c r="H38" s="456">
        <f>'Key input_Biomass_MAgPIE'!F33</f>
        <v>6249953.0025730813</v>
      </c>
      <c r="I38" s="456">
        <f>'Key input_Biomass_MAgPIE'!G33</f>
        <v>67825515.431578949</v>
      </c>
      <c r="J38" s="456">
        <f>'Key input_Biomass_MAgPIE'!H33</f>
        <v>28121637.087641016</v>
      </c>
      <c r="K38" s="456">
        <f>'Key input_Biomass_MAgPIE'!I33</f>
        <v>4738033.5672514616</v>
      </c>
      <c r="L38" s="456">
        <f>'Key input_Biomass_MAgPIE'!J33</f>
        <v>1938775.1900308859</v>
      </c>
      <c r="M38" s="456">
        <f>'Key input_Biomass_MAgPIE'!K33</f>
        <v>33269344.252631582</v>
      </c>
      <c r="N38" s="456">
        <f>'Key input_Biomass_MAgPIE'!L33</f>
        <v>30338955.2631579</v>
      </c>
      <c r="O38" s="456">
        <f>'Key input_Biomass_MAgPIE'!M33</f>
        <v>50697722.357894734</v>
      </c>
      <c r="P38" s="456">
        <f>'Key input_Biomass_MAgPIE'!N33</f>
        <v>11509673.115789477</v>
      </c>
      <c r="Q38" s="456">
        <f>'Key input_Biomass_MAgPIE'!O33</f>
        <v>7377086.1894736849</v>
      </c>
      <c r="R38" s="456">
        <f>'Key input_Biomass_MAgPIE'!P33</f>
        <v>38768469.431578949</v>
      </c>
      <c r="S38" s="456">
        <f>'Key input_Biomass_MAgPIE'!Q33</f>
        <v>8524476.8500752207</v>
      </c>
      <c r="T38" s="456">
        <f>'Key input_Biomass_MAgPIE'!R33</f>
        <v>4222159.4023222551</v>
      </c>
      <c r="U38" s="456">
        <f>'Key input_Biomass_MAgPIE'!S33</f>
        <v>26939349.631467842</v>
      </c>
      <c r="V38" s="456">
        <f>'Key input_Biomass_MAgPIE'!T33</f>
        <v>24161834.08421053</v>
      </c>
      <c r="W38" s="456">
        <f>'Key input_Biomass_MAgPIE'!U33</f>
        <v>39954665.408273771</v>
      </c>
      <c r="X38" s="456">
        <f>'Key input_Biomass_MAgPIE'!V33</f>
        <v>42228981.263157904</v>
      </c>
      <c r="Y38" s="456">
        <f>'Key input_Biomass_MAgPIE'!W33</f>
        <v>137786077.35507879</v>
      </c>
      <c r="Z38" s="456">
        <f>'Key input_Biomass_MAgPIE'!X33</f>
        <v>2995522.666666667</v>
      </c>
      <c r="AA38" s="456">
        <f>'Key input_Biomass_MAgPIE'!Y33</f>
        <v>29493399.768421054</v>
      </c>
      <c r="AB38" s="456">
        <f>'Key input_Biomass_MAgPIE'!Z33</f>
        <v>1427574.2891357893</v>
      </c>
      <c r="AC38" s="456">
        <f>'Key input_Biomass_MAgPIE'!AA33</f>
        <v>1802969.3633285379</v>
      </c>
      <c r="AD38" s="456">
        <f>'Key input_Biomass_MAgPIE'!AB33</f>
        <v>8202287.0526315793</v>
      </c>
      <c r="AE38" s="456">
        <f>'Key input_Biomass_MAgPIE'!AC33</f>
        <v>60534813.679225534</v>
      </c>
      <c r="AF38" s="456">
        <f>'Key input_Biomass_MAgPIE'!AD33</f>
        <v>3107792.9505406069</v>
      </c>
      <c r="AG38" s="456">
        <f>'Key input_Biomass_MAgPIE'!AE33</f>
        <v>2027831.5789473685</v>
      </c>
      <c r="AH38" s="456">
        <f>'Key input_Biomass_MAgPIE'!AF33</f>
        <v>51769800.061651722</v>
      </c>
      <c r="AK38"/>
      <c r="AL38"/>
    </row>
    <row r="39" spans="1:38" s="4" customFormat="1">
      <c r="A39" s="4" t="str">
        <f t="shared" ref="A39:A49" si="17">A38</f>
        <v>MIN-RSVBIOWOO3</v>
      </c>
      <c r="B39" s="4" t="str">
        <f t="shared" si="13"/>
        <v>UPS Reserves of Biomass - Forest residues - Reserve - Supply curve step 3</v>
      </c>
      <c r="C39" s="4" t="str">
        <f t="shared" si="14"/>
        <v>RSVBIOWOO</v>
      </c>
      <c r="D39" s="4" t="str">
        <f t="shared" si="15"/>
        <v>ACT_BND</v>
      </c>
      <c r="E39" s="4" t="str">
        <f t="shared" si="16"/>
        <v>UP</v>
      </c>
      <c r="F39" s="4">
        <v>2025</v>
      </c>
      <c r="G39" s="456">
        <f>'Key input_Biomass_MAgPIE'!E34</f>
        <v>92115810.904848352</v>
      </c>
      <c r="H39" s="456">
        <f>'Key input_Biomass_MAgPIE'!F34</f>
        <v>6430565.3562720977</v>
      </c>
      <c r="I39" s="456">
        <f>'Key input_Biomass_MAgPIE'!G34</f>
        <v>74045928.000855416</v>
      </c>
      <c r="J39" s="456">
        <f>'Key input_Biomass_MAgPIE'!H34</f>
        <v>29650717.61258287</v>
      </c>
      <c r="K39" s="456">
        <f>'Key input_Biomass_MAgPIE'!I34</f>
        <v>5062496.7205251921</v>
      </c>
      <c r="L39" s="456">
        <f>'Key input_Biomass_MAgPIE'!J34</f>
        <v>1898030.4154032646</v>
      </c>
      <c r="M39" s="456">
        <f>'Key input_Biomass_MAgPIE'!K34</f>
        <v>33901270.143776067</v>
      </c>
      <c r="N39" s="456">
        <f>'Key input_Biomass_MAgPIE'!L34</f>
        <v>26007504.004054222</v>
      </c>
      <c r="O39" s="456">
        <f>'Key input_Biomass_MAgPIE'!M34</f>
        <v>49558027.015984125</v>
      </c>
      <c r="P39" s="456">
        <f>'Key input_Biomass_MAgPIE'!N34</f>
        <v>12766468.946594093</v>
      </c>
      <c r="Q39" s="456">
        <f>'Key input_Biomass_MAgPIE'!O34</f>
        <v>7470250.4222788932</v>
      </c>
      <c r="R39" s="456">
        <f>'Key input_Biomass_MAgPIE'!P34</f>
        <v>34050534.037588939</v>
      </c>
      <c r="S39" s="456">
        <f>'Key input_Biomass_MAgPIE'!Q34</f>
        <v>10792574.078669056</v>
      </c>
      <c r="T39" s="456">
        <f>'Key input_Biomass_MAgPIE'!R34</f>
        <v>6913729.8760430766</v>
      </c>
      <c r="U39" s="456">
        <f>'Key input_Biomass_MAgPIE'!S34</f>
        <v>48162350.814144075</v>
      </c>
      <c r="V39" s="456">
        <f>'Key input_Biomass_MAgPIE'!T34</f>
        <v>23403721.723831072</v>
      </c>
      <c r="W39" s="456">
        <f>'Key input_Biomass_MAgPIE'!U34</f>
        <v>38475587.298773147</v>
      </c>
      <c r="X39" s="456">
        <f>'Key input_Biomass_MAgPIE'!V34</f>
        <v>39644208.482373044</v>
      </c>
      <c r="Y39" s="456">
        <f>'Key input_Biomass_MAgPIE'!W34</f>
        <v>117318349.89529702</v>
      </c>
      <c r="Z39" s="456">
        <f>'Key input_Biomass_MAgPIE'!X34</f>
        <v>2952989.8904665424</v>
      </c>
      <c r="AA39" s="456">
        <f>'Key input_Biomass_MAgPIE'!Y34</f>
        <v>29774904.104364216</v>
      </c>
      <c r="AB39" s="456">
        <f>'Key input_Biomass_MAgPIE'!Z34</f>
        <v>1382000.4877092601</v>
      </c>
      <c r="AC39" s="456">
        <f>'Key input_Biomass_MAgPIE'!AA34</f>
        <v>1906577.5754804639</v>
      </c>
      <c r="AD39" s="456">
        <f>'Key input_Biomass_MAgPIE'!AB34</f>
        <v>8202287.0526315793</v>
      </c>
      <c r="AE39" s="456">
        <f>'Key input_Biomass_MAgPIE'!AC34</f>
        <v>37725334.528008729</v>
      </c>
      <c r="AF39" s="456">
        <f>'Key input_Biomass_MAgPIE'!AD34</f>
        <v>3353549.5342683839</v>
      </c>
      <c r="AG39" s="456">
        <f>'Key input_Biomass_MAgPIE'!AE34</f>
        <v>2148469.6434439318</v>
      </c>
      <c r="AH39" s="456">
        <f>'Key input_Biomass_MAgPIE'!AF34</f>
        <v>54849645.815929636</v>
      </c>
      <c r="AK39"/>
      <c r="AL39"/>
    </row>
    <row r="40" spans="1:38" s="4" customFormat="1">
      <c r="A40" s="4" t="str">
        <f t="shared" si="17"/>
        <v>MIN-RSVBIOWOO3</v>
      </c>
      <c r="B40" s="4" t="str">
        <f t="shared" si="13"/>
        <v>UPS Reserves of Biomass - Forest residues - Reserve - Supply curve step 3</v>
      </c>
      <c r="C40" s="4" t="str">
        <f t="shared" si="14"/>
        <v>RSVBIOWOO</v>
      </c>
      <c r="D40" s="4" t="str">
        <f t="shared" si="15"/>
        <v>ACT_BND</v>
      </c>
      <c r="E40" s="4" t="str">
        <f t="shared" si="16"/>
        <v>UP</v>
      </c>
      <c r="F40" s="4">
        <v>2030</v>
      </c>
      <c r="G40" s="456">
        <f>'Key input_Biomass_MAgPIE'!E35</f>
        <v>93778475.194165438</v>
      </c>
      <c r="H40" s="456">
        <f>'Key input_Biomass_MAgPIE'!F35</f>
        <v>6623468.8590229824</v>
      </c>
      <c r="I40" s="456">
        <f>'Key input_Biomass_MAgPIE'!G35</f>
        <v>79575787.776164994</v>
      </c>
      <c r="J40" s="456">
        <f>'Key input_Biomass_MAgPIE'!H35</f>
        <v>29371380.582713649</v>
      </c>
      <c r="K40" s="456">
        <f>'Key input_Biomass_MAgPIE'!I35</f>
        <v>5403210.2667580871</v>
      </c>
      <c r="L40" s="456">
        <f>'Key input_Biomass_MAgPIE'!J35</f>
        <v>1809769.0592112513</v>
      </c>
      <c r="M40" s="456">
        <f>'Key input_Biomass_MAgPIE'!K35</f>
        <v>32541593.533731572</v>
      </c>
      <c r="N40" s="456">
        <f>'Key input_Biomass_MAgPIE'!L35</f>
        <v>23497561.725101046</v>
      </c>
      <c r="O40" s="456">
        <f>'Key input_Biomass_MAgPIE'!M35</f>
        <v>48708871.616689362</v>
      </c>
      <c r="P40" s="456">
        <f>'Key input_Biomass_MAgPIE'!N35</f>
        <v>13727799.439560557</v>
      </c>
      <c r="Q40" s="456">
        <f>'Key input_Biomass_MAgPIE'!O35</f>
        <v>6982337.8366741594</v>
      </c>
      <c r="R40" s="456">
        <f>'Key input_Biomass_MAgPIE'!P35</f>
        <v>30569100.37036955</v>
      </c>
      <c r="S40" s="456">
        <f>'Key input_Biomass_MAgPIE'!Q35</f>
        <v>12616494.297230272</v>
      </c>
      <c r="T40" s="456">
        <f>'Key input_Biomass_MAgPIE'!R35</f>
        <v>9771927.3527074605</v>
      </c>
      <c r="U40" s="456">
        <f>'Key input_Biomass_MAgPIE'!S35</f>
        <v>64319419.895183988</v>
      </c>
      <c r="V40" s="456">
        <f>'Key input_Biomass_MAgPIE'!T35</f>
        <v>22671433.14215067</v>
      </c>
      <c r="W40" s="456">
        <f>'Key input_Biomass_MAgPIE'!U35</f>
        <v>40480405.625391513</v>
      </c>
      <c r="X40" s="456">
        <f>'Key input_Biomass_MAgPIE'!V35</f>
        <v>36304952.970329225</v>
      </c>
      <c r="Y40" s="456">
        <f>'Key input_Biomass_MAgPIE'!W35</f>
        <v>99107597.309565052</v>
      </c>
      <c r="Z40" s="456">
        <f>'Key input_Biomass_MAgPIE'!X35</f>
        <v>2924508.1206896608</v>
      </c>
      <c r="AA40" s="456">
        <f>'Key input_Biomass_MAgPIE'!Y35</f>
        <v>29750563.503887929</v>
      </c>
      <c r="AB40" s="456">
        <f>'Key input_Biomass_MAgPIE'!Z35</f>
        <v>1333158.8944771474</v>
      </c>
      <c r="AC40" s="456">
        <f>'Key input_Biomass_MAgPIE'!AA35</f>
        <v>1445644.1324418306</v>
      </c>
      <c r="AD40" s="456">
        <f>'Key input_Biomass_MAgPIE'!AB35</f>
        <v>8151750.0590361189</v>
      </c>
      <c r="AE40" s="456">
        <f>'Key input_Biomass_MAgPIE'!AC35</f>
        <v>5950179.7377291285</v>
      </c>
      <c r="AF40" s="456">
        <f>'Key input_Biomass_MAgPIE'!AD35</f>
        <v>3683822.1587266284</v>
      </c>
      <c r="AG40" s="456">
        <f>'Key input_Biomass_MAgPIE'!AE35</f>
        <v>2309786.6106651821</v>
      </c>
      <c r="AH40" s="456">
        <f>'Key input_Biomass_MAgPIE'!AF35</f>
        <v>58968009.109162934</v>
      </c>
      <c r="AK40"/>
      <c r="AL40"/>
    </row>
    <row r="41" spans="1:38" s="4" customFormat="1">
      <c r="A41" s="4" t="str">
        <f t="shared" si="17"/>
        <v>MIN-RSVBIOWOO3</v>
      </c>
      <c r="B41" s="4" t="str">
        <f t="shared" si="13"/>
        <v>UPS Reserves of Biomass - Forest residues - Reserve - Supply curve step 3</v>
      </c>
      <c r="C41" s="4" t="str">
        <f t="shared" si="14"/>
        <v>RSVBIOWOO</v>
      </c>
      <c r="D41" s="4" t="str">
        <f t="shared" si="15"/>
        <v>ACT_BND</v>
      </c>
      <c r="E41" s="4" t="str">
        <f t="shared" si="16"/>
        <v>UP</v>
      </c>
      <c r="F41" s="4">
        <v>2035</v>
      </c>
      <c r="G41" s="456">
        <f>'Key input_Biomass_MAgPIE'!E36</f>
        <v>94021560.922540277</v>
      </c>
      <c r="H41" s="456">
        <f>'Key input_Biomass_MAgPIE'!F36</f>
        <v>6727905.312534512</v>
      </c>
      <c r="I41" s="456">
        <f>'Key input_Biomass_MAgPIE'!G36</f>
        <v>81312138.370968863</v>
      </c>
      <c r="J41" s="456">
        <f>'Key input_Biomass_MAgPIE'!H36</f>
        <v>29088933.425871424</v>
      </c>
      <c r="K41" s="456">
        <f>'Key input_Biomass_MAgPIE'!I36</f>
        <v>5295562.7614434976</v>
      </c>
      <c r="L41" s="456">
        <f>'Key input_Biomass_MAgPIE'!J36</f>
        <v>1851860.9131329367</v>
      </c>
      <c r="M41" s="456">
        <f>'Key input_Biomass_MAgPIE'!K36</f>
        <v>30209424.414979063</v>
      </c>
      <c r="N41" s="456">
        <f>'Key input_Biomass_MAgPIE'!L36</f>
        <v>22219633.452700946</v>
      </c>
      <c r="O41" s="456">
        <f>'Key input_Biomass_MAgPIE'!M36</f>
        <v>46433973.818578698</v>
      </c>
      <c r="P41" s="456">
        <f>'Key input_Biomass_MAgPIE'!N36</f>
        <v>13275234.622871747</v>
      </c>
      <c r="Q41" s="456">
        <f>'Key input_Biomass_MAgPIE'!O36</f>
        <v>6770477.4821900101</v>
      </c>
      <c r="R41" s="456">
        <f>'Key input_Biomass_MAgPIE'!P36</f>
        <v>27598446.330692451</v>
      </c>
      <c r="S41" s="456">
        <f>'Key input_Biomass_MAgPIE'!Q36</f>
        <v>12416335.785949022</v>
      </c>
      <c r="T41" s="456">
        <f>'Key input_Biomass_MAgPIE'!R36</f>
        <v>9817568.0736984387</v>
      </c>
      <c r="U41" s="456">
        <f>'Key input_Biomass_MAgPIE'!S36</f>
        <v>63587094.457025424</v>
      </c>
      <c r="V41" s="456">
        <f>'Key input_Biomass_MAgPIE'!T36</f>
        <v>21987103.00662566</v>
      </c>
      <c r="W41" s="456">
        <f>'Key input_Biomass_MAgPIE'!U36</f>
        <v>39814777.861497909</v>
      </c>
      <c r="X41" s="456">
        <f>'Key input_Biomass_MAgPIE'!V36</f>
        <v>33753257.720559895</v>
      </c>
      <c r="Y41" s="456">
        <f>'Key input_Biomass_MAgPIE'!W36</f>
        <v>91586475.697044566</v>
      </c>
      <c r="Z41" s="456">
        <f>'Key input_Biomass_MAgPIE'!X36</f>
        <v>2769567.2931034537</v>
      </c>
      <c r="AA41" s="456">
        <f>'Key input_Biomass_MAgPIE'!Y36</f>
        <v>28945207.114215948</v>
      </c>
      <c r="AB41" s="456">
        <f>'Key input_Biomass_MAgPIE'!Z36</f>
        <v>977936.35179046157</v>
      </c>
      <c r="AC41" s="456">
        <f>'Key input_Biomass_MAgPIE'!AA36</f>
        <v>594324.93735513079</v>
      </c>
      <c r="AD41" s="456">
        <f>'Key input_Biomass_MAgPIE'!AB36</f>
        <v>7962236.3330531437</v>
      </c>
      <c r="AE41" s="456">
        <f>'Key input_Biomass_MAgPIE'!AC36</f>
        <v>4805503.0215337994</v>
      </c>
      <c r="AF41" s="456">
        <f>'Key input_Biomass_MAgPIE'!AD36</f>
        <v>3521387.9509199276</v>
      </c>
      <c r="AG41" s="456">
        <f>'Key input_Biomass_MAgPIE'!AE36</f>
        <v>2293514.4502018057</v>
      </c>
      <c r="AH41" s="456">
        <f>'Key input_Biomass_MAgPIE'!AF36</f>
        <v>58552586.791794054</v>
      </c>
      <c r="AK41"/>
      <c r="AL41"/>
    </row>
    <row r="42" spans="1:38" s="4" customFormat="1">
      <c r="A42" s="4" t="str">
        <f t="shared" si="17"/>
        <v>MIN-RSVBIOWOO3</v>
      </c>
      <c r="B42" s="4" t="str">
        <f t="shared" si="13"/>
        <v>UPS Reserves of Biomass - Forest residues - Reserve - Supply curve step 3</v>
      </c>
      <c r="C42" s="4" t="str">
        <f t="shared" si="14"/>
        <v>RSVBIOWOO</v>
      </c>
      <c r="D42" s="4" t="str">
        <f t="shared" si="15"/>
        <v>ACT_BND</v>
      </c>
      <c r="E42" s="4" t="str">
        <f t="shared" si="16"/>
        <v>UP</v>
      </c>
      <c r="F42" s="4">
        <v>2040</v>
      </c>
      <c r="G42" s="456">
        <f>'Key input_Biomass_MAgPIE'!E37</f>
        <v>93837405.067710862</v>
      </c>
      <c r="H42" s="456">
        <f>'Key input_Biomass_MAgPIE'!F37</f>
        <v>6944666.1336614368</v>
      </c>
      <c r="I42" s="456">
        <f>'Key input_Biomass_MAgPIE'!G37</f>
        <v>81695476.732974112</v>
      </c>
      <c r="J42" s="456">
        <f>'Key input_Biomass_MAgPIE'!H37</f>
        <v>28803201.440129045</v>
      </c>
      <c r="K42" s="456">
        <f>'Key input_Biomass_MAgPIE'!I37</f>
        <v>5180970.2557860315</v>
      </c>
      <c r="L42" s="456">
        <f>'Key input_Biomass_MAgPIE'!J37</f>
        <v>1919207.8794076152</v>
      </c>
      <c r="M42" s="456">
        <f>'Key input_Biomass_MAgPIE'!K37</f>
        <v>27910923.478951465</v>
      </c>
      <c r="N42" s="456">
        <f>'Key input_Biomass_MAgPIE'!L37</f>
        <v>20972434.798791438</v>
      </c>
      <c r="O42" s="456">
        <f>'Key input_Biomass_MAgPIE'!M37</f>
        <v>43425238.021077499</v>
      </c>
      <c r="P42" s="456">
        <f>'Key input_Biomass_MAgPIE'!N37</f>
        <v>12797527.316366894</v>
      </c>
      <c r="Q42" s="456">
        <f>'Key input_Biomass_MAgPIE'!O37</f>
        <v>6513347.8211921547</v>
      </c>
      <c r="R42" s="456">
        <f>'Key input_Biomass_MAgPIE'!P37</f>
        <v>25339565.725309998</v>
      </c>
      <c r="S42" s="456">
        <f>'Key input_Biomass_MAgPIE'!Q37</f>
        <v>12251279.959385119</v>
      </c>
      <c r="T42" s="456">
        <f>'Key input_Biomass_MAgPIE'!R37</f>
        <v>9860500.2825400364</v>
      </c>
      <c r="U42" s="456">
        <f>'Key input_Biomass_MAgPIE'!S37</f>
        <v>63074515.005600378</v>
      </c>
      <c r="V42" s="456">
        <f>'Key input_Biomass_MAgPIE'!T37</f>
        <v>21385777.874061905</v>
      </c>
      <c r="W42" s="456">
        <f>'Key input_Biomass_MAgPIE'!U37</f>
        <v>39201921.932980038</v>
      </c>
      <c r="X42" s="456">
        <f>'Key input_Biomass_MAgPIE'!V37</f>
        <v>31663072.784483414</v>
      </c>
      <c r="Y42" s="456">
        <f>'Key input_Biomass_MAgPIE'!W37</f>
        <v>85051478.454400599</v>
      </c>
      <c r="Z42" s="456">
        <f>'Key input_Biomass_MAgPIE'!X37</f>
        <v>2614626.4655172466</v>
      </c>
      <c r="AA42" s="456">
        <f>'Key input_Biomass_MAgPIE'!Y37</f>
        <v>27789557.735080857</v>
      </c>
      <c r="AB42" s="456">
        <f>'Key input_Biomass_MAgPIE'!Z37</f>
        <v>941461.59693831753</v>
      </c>
      <c r="AC42" s="456">
        <f>'Key input_Biomass_MAgPIE'!AA37</f>
        <v>281316.49206612591</v>
      </c>
      <c r="AD42" s="456">
        <f>'Key input_Biomass_MAgPIE'!AB37</f>
        <v>7720855.6925906166</v>
      </c>
      <c r="AE42" s="456">
        <f>'Key input_Biomass_MAgPIE'!AC37</f>
        <v>2808707.7661471423</v>
      </c>
      <c r="AF42" s="456">
        <f>'Key input_Biomass_MAgPIE'!AD37</f>
        <v>3392443.6402110434</v>
      </c>
      <c r="AG42" s="456">
        <f>'Key input_Biomass_MAgPIE'!AE37</f>
        <v>2285047.8097444419</v>
      </c>
      <c r="AH42" s="456">
        <f>'Key input_Biomass_MAgPIE'!AF37</f>
        <v>58336436.551201023</v>
      </c>
      <c r="AK42"/>
      <c r="AL42"/>
    </row>
    <row r="43" spans="1:38" s="4" customFormat="1">
      <c r="A43" s="4" t="str">
        <f t="shared" si="17"/>
        <v>MIN-RSVBIOWOO3</v>
      </c>
      <c r="B43" s="4" t="str">
        <f t="shared" si="13"/>
        <v>UPS Reserves of Biomass - Forest residues - Reserve - Supply curve step 3</v>
      </c>
      <c r="C43" s="4" t="str">
        <f t="shared" si="14"/>
        <v>RSVBIOWOO</v>
      </c>
      <c r="D43" s="4" t="str">
        <f t="shared" si="15"/>
        <v>ACT_BND</v>
      </c>
      <c r="E43" s="4" t="str">
        <f t="shared" si="16"/>
        <v>UP</v>
      </c>
      <c r="F43" s="4">
        <v>2045</v>
      </c>
      <c r="G43" s="456">
        <f>'Key input_Biomass_MAgPIE'!E38</f>
        <v>92814550.834029719</v>
      </c>
      <c r="H43" s="456">
        <f>'Key input_Biomass_MAgPIE'!F38</f>
        <v>6908004.8384048259</v>
      </c>
      <c r="I43" s="456">
        <f>'Key input_Biomass_MAgPIE'!G38</f>
        <v>81037548.48045449</v>
      </c>
      <c r="J43" s="456">
        <f>'Key input_Biomass_MAgPIE'!H38</f>
        <v>28279099.176037796</v>
      </c>
      <c r="K43" s="456">
        <f>'Key input_Biomass_MAgPIE'!I38</f>
        <v>5069850.2503000041</v>
      </c>
      <c r="L43" s="456">
        <f>'Key input_Biomass_MAgPIE'!J38</f>
        <v>1999182.4018588029</v>
      </c>
      <c r="M43" s="456">
        <f>'Key input_Biomass_MAgPIE'!K38</f>
        <v>25659040.026696824</v>
      </c>
      <c r="N43" s="456">
        <f>'Key input_Biomass_MAgPIE'!L38</f>
        <v>19709341.514628217</v>
      </c>
      <c r="O43" s="456">
        <f>'Key input_Biomass_MAgPIE'!M38</f>
        <v>40070550.023863621</v>
      </c>
      <c r="P43" s="456">
        <f>'Key input_Biomass_MAgPIE'!N38</f>
        <v>12344962.499678083</v>
      </c>
      <c r="Q43" s="456">
        <f>'Key input_Biomass_MAgPIE'!O38</f>
        <v>6210948.853680592</v>
      </c>
      <c r="R43" s="456">
        <f>'Key input_Biomass_MAgPIE'!P38</f>
        <v>23241862.218265757</v>
      </c>
      <c r="S43" s="456">
        <f>'Key input_Biomass_MAgPIE'!Q38</f>
        <v>11841131.118721759</v>
      </c>
      <c r="T43" s="456">
        <f>'Key input_Biomass_MAgPIE'!R38</f>
        <v>9660702.3399148602</v>
      </c>
      <c r="U43" s="456">
        <f>'Key input_Biomass_MAgPIE'!S38</f>
        <v>61276987.882331796</v>
      </c>
      <c r="V43" s="456">
        <f>'Key input_Biomass_MAgPIE'!T38</f>
        <v>20817654.742682651</v>
      </c>
      <c r="W43" s="456">
        <f>'Key input_Biomass_MAgPIE'!U38</f>
        <v>38159879.77404616</v>
      </c>
      <c r="X43" s="456">
        <f>'Key input_Biomass_MAgPIE'!V38</f>
        <v>29857984.663350295</v>
      </c>
      <c r="Y43" s="456">
        <f>'Key input_Biomass_MAgPIE'!W38</f>
        <v>78930513.571307942</v>
      </c>
      <c r="Z43" s="456">
        <f>'Key input_Biomass_MAgPIE'!X38</f>
        <v>2459685.6379310396</v>
      </c>
      <c r="AA43" s="456">
        <f>'Key input_Biomass_MAgPIE'!Y38</f>
        <v>26412726.377704713</v>
      </c>
      <c r="AB43" s="456">
        <f>'Key input_Biomass_MAgPIE'!Z38</f>
        <v>908427.8566948754</v>
      </c>
      <c r="AC43" s="456">
        <f>'Key input_Biomass_MAgPIE'!AA38</f>
        <v>1797112.1423526162</v>
      </c>
      <c r="AD43" s="456">
        <f>'Key input_Biomass_MAgPIE'!AB38</f>
        <v>7428938.058532631</v>
      </c>
      <c r="AE43" s="456">
        <f>'Key input_Biomass_MAgPIE'!AC38</f>
        <v>4277842.859972124</v>
      </c>
      <c r="AF43" s="456">
        <f>'Key input_Biomass_MAgPIE'!AD38</f>
        <v>3259678.9624653826</v>
      </c>
      <c r="AG43" s="456">
        <f>'Key input_Biomass_MAgPIE'!AE38</f>
        <v>2270248.7720261444</v>
      </c>
      <c r="AH43" s="456">
        <f>'Key input_Biomass_MAgPIE'!AF38</f>
        <v>57958622.51983121</v>
      </c>
      <c r="AK43"/>
      <c r="AL43"/>
    </row>
    <row r="44" spans="1:38" s="4" customFormat="1">
      <c r="A44" s="4" t="str">
        <f t="shared" si="17"/>
        <v>MIN-RSVBIOWOO3</v>
      </c>
      <c r="B44" s="4" t="str">
        <f t="shared" si="13"/>
        <v>UPS Reserves of Biomass - Forest residues - Reserve - Supply curve step 3</v>
      </c>
      <c r="C44" s="4" t="str">
        <f t="shared" si="14"/>
        <v>RSVBIOWOO</v>
      </c>
      <c r="D44" s="4" t="str">
        <f t="shared" si="15"/>
        <v>ACT_BND</v>
      </c>
      <c r="E44" s="4" t="str">
        <f t="shared" si="16"/>
        <v>UP</v>
      </c>
      <c r="F44" s="4">
        <v>2050</v>
      </c>
      <c r="G44" s="456">
        <f>'Key input_Biomass_MAgPIE'!E39</f>
        <v>91016137.371724084</v>
      </c>
      <c r="H44" s="456">
        <f>'Key input_Biomass_MAgPIE'!F39</f>
        <v>6978094.2175370073</v>
      </c>
      <c r="I44" s="456">
        <f>'Key input_Biomass_MAgPIE'!G39</f>
        <v>79524132.252206877</v>
      </c>
      <c r="J44" s="456">
        <f>'Key input_Biomass_MAgPIE'!H39</f>
        <v>27439458.101181429</v>
      </c>
      <c r="K44" s="456">
        <f>'Key input_Biomass_MAgPIE'!I39</f>
        <v>4986510.2461854834</v>
      </c>
      <c r="L44" s="456">
        <f>'Key input_Biomass_MAgPIE'!J39</f>
        <v>2082313.8133541117</v>
      </c>
      <c r="M44" s="456">
        <f>'Key input_Biomass_MAgPIE'!K39</f>
        <v>23475787.869996805</v>
      </c>
      <c r="N44" s="456">
        <f>'Key input_Biomass_MAgPIE'!L39</f>
        <v>18465321.786769345</v>
      </c>
      <c r="O44" s="456">
        <f>'Key input_Biomass_MAgPIE'!M39</f>
        <v>36678421.312395126</v>
      </c>
      <c r="P44" s="456">
        <f>'Key input_Biomass_MAgPIE'!N39</f>
        <v>11992967.642253453</v>
      </c>
      <c r="Q44" s="456">
        <f>'Key input_Biomass_MAgPIE'!O39</f>
        <v>5895874.4803451914</v>
      </c>
      <c r="R44" s="456">
        <f>'Key input_Biomass_MAgPIE'!P39</f>
        <v>21237311.189857837</v>
      </c>
      <c r="S44" s="456">
        <f>'Key input_Biomass_MAgPIE'!Q39</f>
        <v>11110634.494600767</v>
      </c>
      <c r="T44" s="456">
        <f>'Key input_Biomass_MAgPIE'!R39</f>
        <v>9161988.7369714025</v>
      </c>
      <c r="U44" s="456">
        <f>'Key input_Biomass_MAgPIE'!S39</f>
        <v>57767986.555965535</v>
      </c>
      <c r="V44" s="456">
        <f>'Key input_Biomass_MAgPIE'!T39</f>
        <v>20266132.611895647</v>
      </c>
      <c r="W44" s="456">
        <f>'Key input_Biomass_MAgPIE'!U39</f>
        <v>36580595.332358986</v>
      </c>
      <c r="X44" s="456">
        <f>'Key input_Biomass_MAgPIE'!V39</f>
        <v>28229310.040966656</v>
      </c>
      <c r="Y44" s="456">
        <f>'Key input_Biomass_MAgPIE'!W39</f>
        <v>73075312.702791825</v>
      </c>
      <c r="Z44" s="456">
        <f>'Key input_Biomass_MAgPIE'!X39</f>
        <v>2324112.4137931084</v>
      </c>
      <c r="AA44" s="456">
        <f>'Key input_Biomass_MAgPIE'!Y39</f>
        <v>24933241.183537263</v>
      </c>
      <c r="AB44" s="456">
        <f>'Key input_Biomass_MAgPIE'!Z39</f>
        <v>874705.9135296829</v>
      </c>
      <c r="AC44" s="456">
        <f>'Key input_Biomass_MAgPIE'!AA39</f>
        <v>906797.55433397926</v>
      </c>
      <c r="AD44" s="456">
        <f>'Key input_Biomass_MAgPIE'!AB39</f>
        <v>7108427.1254666867</v>
      </c>
      <c r="AE44" s="456">
        <f>'Key input_Biomass_MAgPIE'!AC39</f>
        <v>12105202.83320022</v>
      </c>
      <c r="AF44" s="456">
        <f>'Key input_Biomass_MAgPIE'!AD39</f>
        <v>3108533.9408585439</v>
      </c>
      <c r="AG44" s="456">
        <f>'Key input_Biomass_MAgPIE'!AE39</f>
        <v>2247356.4246194288</v>
      </c>
      <c r="AH44" s="456">
        <f>'Key input_Biomass_MAgPIE'!AF39</f>
        <v>57374189.246135615</v>
      </c>
      <c r="AK44"/>
      <c r="AL44"/>
    </row>
    <row r="45" spans="1:38" s="4" customFormat="1">
      <c r="A45" s="4" t="str">
        <f t="shared" si="17"/>
        <v>MIN-RSVBIOWOO3</v>
      </c>
      <c r="B45" s="4" t="str">
        <f t="shared" si="13"/>
        <v>UPS Reserves of Biomass - Forest residues - Reserve - Supply curve step 3</v>
      </c>
      <c r="C45" s="4" t="str">
        <f t="shared" si="14"/>
        <v>RSVBIOWOO</v>
      </c>
      <c r="D45" s="4" t="str">
        <f t="shared" si="15"/>
        <v>ACT_BND</v>
      </c>
      <c r="E45" s="4" t="str">
        <f t="shared" si="16"/>
        <v>UP</v>
      </c>
      <c r="F45" s="4">
        <v>2060</v>
      </c>
      <c r="G45" s="456">
        <f>'Key input_Biomass_MAgPIE'!E40</f>
        <v>85049487.675250754</v>
      </c>
      <c r="H45" s="456">
        <f>'Key input_Biomass_MAgPIE'!F40</f>
        <v>16857248.78389778</v>
      </c>
      <c r="I45" s="456">
        <f>'Key input_Biomass_MAgPIE'!G40</f>
        <v>74384860.737001926</v>
      </c>
      <c r="J45" s="456">
        <f>'Key input_Biomass_MAgPIE'!H40</f>
        <v>25412275.436054282</v>
      </c>
      <c r="K45" s="456">
        <f>'Key input_Biomass_MAgPIE'!I40</f>
        <v>4826775.2382993195</v>
      </c>
      <c r="L45" s="456">
        <f>'Key input_Biomass_MAgPIE'!J40</f>
        <v>2225426.1166878217</v>
      </c>
      <c r="M45" s="456">
        <f>'Key input_Biomass_MAgPIE'!K40</f>
        <v>19421361.711854603</v>
      </c>
      <c r="N45" s="456">
        <f>'Key input_Biomass_MAgPIE'!L40</f>
        <v>16064172.976438932</v>
      </c>
      <c r="O45" s="456">
        <f>'Key input_Biomass_MAgPIE'!M40</f>
        <v>30440798.31757557</v>
      </c>
      <c r="P45" s="456">
        <f>'Key input_Biomass_MAgPIE'!N40</f>
        <v>11351834.151944309</v>
      </c>
      <c r="Q45" s="456">
        <f>'Key input_Biomass_MAgPIE'!O40</f>
        <v>5575367.7902281461</v>
      </c>
      <c r="R45" s="456">
        <f>'Key input_Biomass_MAgPIE'!P40</f>
        <v>17390078.335953314</v>
      </c>
      <c r="S45" s="456">
        <f>'Key input_Biomass_MAgPIE'!Q40</f>
        <v>11147813.107816156</v>
      </c>
      <c r="T45" s="456">
        <f>'Key input_Biomass_MAgPIE'!R40</f>
        <v>9415905.5756234191</v>
      </c>
      <c r="U45" s="456">
        <f>'Key input_Biomass_MAgPIE'!S40</f>
        <v>54040782.903648593</v>
      </c>
      <c r="V45" s="456">
        <f>'Key input_Biomass_MAgPIE'!T40</f>
        <v>20781442.423982341</v>
      </c>
      <c r="W45" s="456">
        <f>'Key input_Biomass_MAgPIE'!U40</f>
        <v>36080699.386385396</v>
      </c>
      <c r="X45" s="456">
        <f>'Key input_Biomass_MAgPIE'!V40</f>
        <v>25183026.946488947</v>
      </c>
      <c r="Y45" s="456">
        <f>'Key input_Biomass_MAgPIE'!W40</f>
        <v>62467132.247267149</v>
      </c>
      <c r="Z45" s="456">
        <f>'Key input_Biomass_MAgPIE'!X40</f>
        <v>2014230.758620694</v>
      </c>
      <c r="AA45" s="456">
        <f>'Key input_Biomass_MAgPIE'!Y40</f>
        <v>21935114.177044857</v>
      </c>
      <c r="AB45" s="456">
        <f>'Key input_Biomass_MAgPIE'!Z40</f>
        <v>803132.80966887495</v>
      </c>
      <c r="AC45" s="456">
        <f>'Key input_Biomass_MAgPIE'!AA40</f>
        <v>207338.54941370661</v>
      </c>
      <c r="AD45" s="456">
        <f>'Key input_Biomass_MAgPIE'!AB40</f>
        <v>6472724.9428711627</v>
      </c>
      <c r="AE45" s="456">
        <f>'Key input_Biomass_MAgPIE'!AC40</f>
        <v>12255938.077713585</v>
      </c>
      <c r="AF45" s="456">
        <f>'Key input_Biomass_MAgPIE'!AD40</f>
        <v>2933849.616904126</v>
      </c>
      <c r="AG45" s="456">
        <f>'Key input_Biomass_MAgPIE'!AE40</f>
        <v>1626271.9312685779</v>
      </c>
      <c r="AH45" s="456">
        <f>'Key input_Biomass_MAgPIE'!AF40</f>
        <v>41518128.823772334</v>
      </c>
      <c r="AK45"/>
      <c r="AL45"/>
    </row>
    <row r="46" spans="1:38" s="4" customFormat="1">
      <c r="A46" s="4" t="str">
        <f t="shared" si="17"/>
        <v>MIN-RSVBIOWOO3</v>
      </c>
      <c r="B46" s="4" t="str">
        <f t="shared" si="13"/>
        <v>UPS Reserves of Biomass - Forest residues - Reserve - Supply curve step 3</v>
      </c>
      <c r="C46" s="4" t="str">
        <f t="shared" si="14"/>
        <v>RSVBIOWOO</v>
      </c>
      <c r="D46" s="4" t="str">
        <f t="shared" si="15"/>
        <v>ACT_BND</v>
      </c>
      <c r="E46" s="4" t="str">
        <f t="shared" si="16"/>
        <v>UP</v>
      </c>
      <c r="F46" s="4">
        <v>2070</v>
      </c>
      <c r="G46" s="456">
        <f>'Key input_Biomass_MAgPIE'!E41</f>
        <v>76852973.656585708</v>
      </c>
      <c r="H46" s="456">
        <f>'Key input_Biomass_MAgPIE'!F41</f>
        <v>764751695.35612381</v>
      </c>
      <c r="I46" s="456">
        <f>'Key input_Biomass_MAgPIE'!G41</f>
        <v>68038522.224164829</v>
      </c>
      <c r="J46" s="456">
        <f>'Key input_Biomass_MAgPIE'!H41</f>
        <v>21672935.509624936</v>
      </c>
      <c r="K46" s="456">
        <f>'Key input_Biomass_MAgPIE'!I41</f>
        <v>4639260.2290416481</v>
      </c>
      <c r="L46" s="456">
        <f>'Key input_Biomass_MAgPIE'!J41</f>
        <v>2324368.6885246742</v>
      </c>
      <c r="M46" s="456">
        <f>'Key input_Biomass_MAgPIE'!K41</f>
        <v>15937999.729931088</v>
      </c>
      <c r="N46" s="456">
        <f>'Key input_Biomass_MAgPIE'!L41</f>
        <v>13821970.468645772</v>
      </c>
      <c r="O46" s="456">
        <f>'Key input_Biomass_MAgPIE'!M41</f>
        <v>25134700.293410942</v>
      </c>
      <c r="P46" s="456">
        <f>'Key input_Biomass_MAgPIE'!N41</f>
        <v>10798699.375991318</v>
      </c>
      <c r="Q46" s="456">
        <f>'Key input_Biomass_MAgPIE'!O41</f>
        <v>5767309.6498462632</v>
      </c>
      <c r="R46" s="456">
        <f>'Key input_Biomass_MAgPIE'!P41</f>
        <v>17954990.626958817</v>
      </c>
      <c r="S46" s="456">
        <f>'Key input_Biomass_MAgPIE'!Q41</f>
        <v>5234628.7168774772</v>
      </c>
      <c r="T46" s="456">
        <f>'Key input_Biomass_MAgPIE'!R41</f>
        <v>4434165.5920580178</v>
      </c>
      <c r="U46" s="456">
        <f>'Key input_Biomass_MAgPIE'!S41</f>
        <v>25854863.365042355</v>
      </c>
      <c r="V46" s="456">
        <f>'Key input_Biomass_MAgPIE'!T41</f>
        <v>22198650.479450524</v>
      </c>
      <c r="W46" s="456">
        <f>'Key input_Biomass_MAgPIE'!U41</f>
        <v>38680048.126324803</v>
      </c>
      <c r="X46" s="456">
        <f>'Key input_Biomass_MAgPIE'!V41</f>
        <v>28021394.131726194</v>
      </c>
      <c r="Y46" s="456">
        <f>'Key input_Biomass_MAgPIE'!W41</f>
        <v>53263304.795084663</v>
      </c>
      <c r="Z46" s="456">
        <f>'Key input_Biomass_MAgPIE'!X41</f>
        <v>1723716.7068965554</v>
      </c>
      <c r="AA46" s="456">
        <f>'Key input_Biomass_MAgPIE'!Y41</f>
        <v>23975491.469144169</v>
      </c>
      <c r="AB46" s="456">
        <f>'Key input_Biomass_MAgPIE'!Z41</f>
        <v>734312.51749502134</v>
      </c>
      <c r="AC46" s="456">
        <f>'Key input_Biomass_MAgPIE'!AA41</f>
        <v>1464987.6198418837</v>
      </c>
      <c r="AD46" s="456">
        <f>'Key input_Biomass_MAgPIE'!AB41</f>
        <v>5876920.3867983706</v>
      </c>
      <c r="AE46" s="456">
        <f>'Key input_Biomass_MAgPIE'!AC41</f>
        <v>15056800.016551603</v>
      </c>
      <c r="AF46" s="456">
        <f>'Key input_Biomass_MAgPIE'!AD41</f>
        <v>2155955.6381174801</v>
      </c>
      <c r="AG46" s="456">
        <f>'Key input_Biomass_MAgPIE'!AE41</f>
        <v>2058897.0375159604</v>
      </c>
      <c r="AH46" s="456">
        <f>'Key input_Biomass_MAgPIE'!AF41</f>
        <v>52562889.880163372</v>
      </c>
      <c r="AK46"/>
      <c r="AL46"/>
    </row>
    <row r="47" spans="1:38" s="4" customFormat="1">
      <c r="A47" s="4" t="str">
        <f t="shared" si="17"/>
        <v>MIN-RSVBIOWOO3</v>
      </c>
      <c r="B47" s="4" t="str">
        <f t="shared" si="13"/>
        <v>UPS Reserves of Biomass - Forest residues - Reserve - Supply curve step 3</v>
      </c>
      <c r="C47" s="4" t="str">
        <f t="shared" si="14"/>
        <v>RSVBIOWOO</v>
      </c>
      <c r="D47" s="4" t="str">
        <f t="shared" si="15"/>
        <v>ACT_BND</v>
      </c>
      <c r="E47" s="4" t="str">
        <f t="shared" si="16"/>
        <v>UP</v>
      </c>
      <c r="F47" s="4">
        <v>2080</v>
      </c>
      <c r="G47" s="456">
        <f>'Key input_Biomass_MAgPIE'!E42</f>
        <v>67763040.662205338</v>
      </c>
      <c r="H47" s="456">
        <f>'Key input_Biomass_MAgPIE'!F42</f>
        <v>2799310804.9270267</v>
      </c>
      <c r="I47" s="456">
        <f>'Key input_Biomass_MAgPIE'!G42</f>
        <v>60279277.747376613</v>
      </c>
      <c r="J47" s="456">
        <f>'Key input_Biomass_MAgPIE'!H42</f>
        <v>18781223.579873294</v>
      </c>
      <c r="K47" s="456">
        <f>'Key input_Biomass_MAgPIE'!I42</f>
        <v>4448272.7196125388</v>
      </c>
      <c r="L47" s="456">
        <f>'Key input_Biomass_MAgPIE'!J42</f>
        <v>2386454.1730591599</v>
      </c>
      <c r="M47" s="456">
        <f>'Key input_Biomass_MAgPIE'!K42</f>
        <v>13166849.305649927</v>
      </c>
      <c r="N47" s="456">
        <f>'Key input_Biomass_MAgPIE'!L42</f>
        <v>11845738.107098315</v>
      </c>
      <c r="O47" s="456">
        <f>'Key input_Biomass_MAgPIE'!M42</f>
        <v>20766117.754181977</v>
      </c>
      <c r="P47" s="456">
        <f>'Key input_Biomass_MAgPIE'!N42</f>
        <v>10283278.3347624</v>
      </c>
      <c r="Q47" s="456">
        <f>'Key input_Biomass_MAgPIE'!O42</f>
        <v>5024893.0230214689</v>
      </c>
      <c r="R47" s="456">
        <f>'Key input_Biomass_MAgPIE'!P42</f>
        <v>14898679.377135709</v>
      </c>
      <c r="S47" s="456">
        <f>'Key input_Biomass_MAgPIE'!Q42</f>
        <v>4491140.361580966</v>
      </c>
      <c r="T47" s="456">
        <f>'Key input_Biomass_MAgPIE'!R42</f>
        <v>3920293.556076291</v>
      </c>
      <c r="U47" s="456">
        <f>'Key input_Biomass_MAgPIE'!S42</f>
        <v>24136401.06654482</v>
      </c>
      <c r="V47" s="456">
        <f>'Key input_Biomass_MAgPIE'!T42</f>
        <v>19688998.022214446</v>
      </c>
      <c r="W47" s="456">
        <f>'Key input_Biomass_MAgPIE'!U42</f>
        <v>32103096.220111027</v>
      </c>
      <c r="X47" s="456">
        <f>'Key input_Biomass_MAgPIE'!V42</f>
        <v>24951878.009511389</v>
      </c>
      <c r="Y47" s="456">
        <f>'Key input_Biomass_MAgPIE'!W42</f>
        <v>45375708.59404248</v>
      </c>
      <c r="Z47" s="456">
        <f>'Key input_Biomass_MAgPIE'!X42</f>
        <v>1491305.4655172445</v>
      </c>
      <c r="AA47" s="456">
        <f>'Key input_Biomass_MAgPIE'!Y42</f>
        <v>20971279.312532693</v>
      </c>
      <c r="AB47" s="456">
        <f>'Key input_Biomass_MAgPIE'!Z42</f>
        <v>872793.42630692688</v>
      </c>
      <c r="AC47" s="456">
        <f>'Key input_Biomass_MAgPIE'!AA42</f>
        <v>1305749.8350764574</v>
      </c>
      <c r="AD47" s="456">
        <f>'Key input_Biomass_MAgPIE'!AB42</f>
        <v>4264745.5148724215</v>
      </c>
      <c r="AE47" s="456">
        <f>'Key input_Biomass_MAgPIE'!AC42</f>
        <v>17698526.70378207</v>
      </c>
      <c r="AF47" s="456">
        <f>'Key input_Biomass_MAgPIE'!AD42</f>
        <v>1919793.9986137324</v>
      </c>
      <c r="AG47" s="456">
        <f>'Key input_Biomass_MAgPIE'!AE42</f>
        <v>2007845.4208496923</v>
      </c>
      <c r="AH47" s="456">
        <f>'Key input_Biomass_MAgPIE'!AF42</f>
        <v>51259560.740270644</v>
      </c>
      <c r="AK47"/>
      <c r="AL47"/>
    </row>
    <row r="48" spans="1:38" s="4" customFormat="1">
      <c r="A48" s="4" t="str">
        <f t="shared" si="17"/>
        <v>MIN-RSVBIOWOO3</v>
      </c>
      <c r="B48" s="4" t="str">
        <f t="shared" si="13"/>
        <v>UPS Reserves of Biomass - Forest residues - Reserve - Supply curve step 3</v>
      </c>
      <c r="C48" s="4" t="str">
        <f t="shared" si="14"/>
        <v>RSVBIOWOO</v>
      </c>
      <c r="D48" s="4" t="str">
        <f t="shared" si="15"/>
        <v>ACT_BND</v>
      </c>
      <c r="E48" s="4" t="str">
        <f t="shared" si="16"/>
        <v>UP</v>
      </c>
      <c r="F48" s="4">
        <v>2090</v>
      </c>
      <c r="G48" s="456">
        <f>'Key input_Biomass_MAgPIE'!E43</f>
        <v>48215255.792424001</v>
      </c>
      <c r="H48" s="456">
        <f>'Key input_Biomass_MAgPIE'!F43</f>
        <v>707349608.10070884</v>
      </c>
      <c r="I48" s="456">
        <f>'Key input_Biomass_MAgPIE'!G43</f>
        <v>56228293.149255745</v>
      </c>
      <c r="J48" s="456">
        <f>'Key input_Biomass_MAgPIE'!H43</f>
        <v>16084969.584585184</v>
      </c>
      <c r="K48" s="456">
        <f>'Key input_Biomass_MAgPIE'!I43</f>
        <v>4229505.208811922</v>
      </c>
      <c r="L48" s="456">
        <f>'Key input_Biomass_MAgPIE'!J43</f>
        <v>2400134.0255836924</v>
      </c>
      <c r="M48" s="456">
        <f>'Key input_Biomass_MAgPIE'!K43</f>
        <v>13648291.796189208</v>
      </c>
      <c r="N48" s="456">
        <f>'Key input_Biomass_MAgPIE'!L43</f>
        <v>10190577.276676305</v>
      </c>
      <c r="O48" s="456">
        <f>'Key input_Biomass_MAgPIE'!M43</f>
        <v>19648020.984543167</v>
      </c>
      <c r="P48" s="456">
        <f>'Key input_Biomass_MAgPIE'!N43</f>
        <v>9730143.5588094089</v>
      </c>
      <c r="Q48" s="456">
        <f>'Key input_Biomass_MAgPIE'!O43</f>
        <v>4370751.5438984036</v>
      </c>
      <c r="R48" s="456">
        <f>'Key input_Biomass_MAgPIE'!P43</f>
        <v>12441826.319467939</v>
      </c>
      <c r="S48" s="456">
        <f>'Key input_Biomass_MAgPIE'!Q43</f>
        <v>4164309.9492365266</v>
      </c>
      <c r="T48" s="456">
        <f>'Key input_Biomass_MAgPIE'!R43</f>
        <v>3738141.1047712467</v>
      </c>
      <c r="U48" s="456">
        <f>'Key input_Biomass_MAgPIE'!S43</f>
        <v>22683665.606445424</v>
      </c>
      <c r="V48" s="456">
        <f>'Key input_Biomass_MAgPIE'!T43</f>
        <v>20217321.058765378</v>
      </c>
      <c r="W48" s="456">
        <f>'Key input_Biomass_MAgPIE'!U43</f>
        <v>33873504.231474057</v>
      </c>
      <c r="X48" s="456">
        <f>'Key input_Biomass_MAgPIE'!V43</f>
        <v>22195417.091550689</v>
      </c>
      <c r="Y48" s="456">
        <f>'Key input_Biomass_MAgPIE'!W43</f>
        <v>38822527.497769803</v>
      </c>
      <c r="Z48" s="456">
        <f>'Key input_Biomass_MAgPIE'!X43</f>
        <v>1297629.4310344856</v>
      </c>
      <c r="AA48" s="456">
        <f>'Key input_Biomass_MAgPIE'!Y43</f>
        <v>18386413.370648578</v>
      </c>
      <c r="AB48" s="456">
        <f>'Key input_Biomass_MAgPIE'!Z43</f>
        <v>968234.6090617897</v>
      </c>
      <c r="AC48" s="456">
        <f>'Key input_Biomass_MAgPIE'!AA43</f>
        <v>1169260.3052775254</v>
      </c>
      <c r="AD48" s="456">
        <f>'Key input_Biomass_MAgPIE'!AB43</f>
        <v>4875489.9610778065</v>
      </c>
      <c r="AE48" s="456">
        <f>'Key input_Biomass_MAgPIE'!AC43</f>
        <v>20307586.073102042</v>
      </c>
      <c r="AF48" s="456">
        <f>'Key input_Biomass_MAgPIE'!AD43</f>
        <v>1743244.3339131812</v>
      </c>
      <c r="AG48" s="456">
        <f>'Key input_Biomass_MAgPIE'!AE43</f>
        <v>1941119.5236179165</v>
      </c>
      <c r="AH48" s="456">
        <f>'Key input_Biomass_MAgPIE'!AF43</f>
        <v>49556072.938578308</v>
      </c>
      <c r="AK48"/>
      <c r="AL48"/>
    </row>
    <row r="49" spans="1:38" s="4" customFormat="1" ht="16.2" thickBot="1">
      <c r="A49" s="454" t="str">
        <f t="shared" si="17"/>
        <v>MIN-RSVBIOWOO3</v>
      </c>
      <c r="B49" s="454" t="str">
        <f t="shared" si="13"/>
        <v>UPS Reserves of Biomass - Forest residues - Reserve - Supply curve step 3</v>
      </c>
      <c r="C49" s="454" t="str">
        <f t="shared" si="14"/>
        <v>RSVBIOWOO</v>
      </c>
      <c r="D49" s="454" t="str">
        <f t="shared" si="15"/>
        <v>ACT_BND</v>
      </c>
      <c r="E49" s="454" t="str">
        <f t="shared" si="16"/>
        <v>UP</v>
      </c>
      <c r="F49" s="454">
        <v>2100</v>
      </c>
      <c r="G49" s="455">
        <f>'Key input_Biomass_MAgPIE'!E44</f>
        <v>40874177.607658558</v>
      </c>
      <c r="H49" s="455">
        <f>'Key input_Biomass_MAgPIE'!F44</f>
        <v>71741336.575760975</v>
      </c>
      <c r="I49" s="455">
        <f>'Key input_Biomass_MAgPIE'!G44</f>
        <v>48463155.101418473</v>
      </c>
      <c r="J49" s="455">
        <f>'Key input_Biomass_MAgPIE'!H44</f>
        <v>13668676.901784748</v>
      </c>
      <c r="K49" s="455">
        <f>'Key input_Biomass_MAgPIE'!I44</f>
        <v>3993375.1971541136</v>
      </c>
      <c r="L49" s="455">
        <f>'Key input_Biomass_MAgPIE'!J44</f>
        <v>2380754.9909417178</v>
      </c>
      <c r="M49" s="455">
        <f>'Key input_Biomass_MAgPIE'!K44</f>
        <v>11473080.728565928</v>
      </c>
      <c r="N49" s="455">
        <f>'Key input_Biomass_MAgPIE'!L44</f>
        <v>8822579.4328384101</v>
      </c>
      <c r="O49" s="455">
        <f>'Key input_Biomass_MAgPIE'!M44</f>
        <v>18130665.877799332</v>
      </c>
      <c r="P49" s="455">
        <f>'Key input_Biomass_MAgPIE'!N44</f>
        <v>9139295.0481323507</v>
      </c>
      <c r="Q49" s="455">
        <f>'Key input_Biomass_MAgPIE'!O44</f>
        <v>3822992.9350825497</v>
      </c>
      <c r="R49" s="455">
        <f>'Key input_Biomass_MAgPIE'!P44</f>
        <v>10502735.962746125</v>
      </c>
      <c r="S49" s="455">
        <f>'Key input_Biomass_MAgPIE'!Q44</f>
        <v>3847395.0854518483</v>
      </c>
      <c r="T49" s="455">
        <f>'Key input_Biomass_MAgPIE'!R44</f>
        <v>3543258.5277341581</v>
      </c>
      <c r="U49" s="455">
        <f>'Key input_Biomass_MAgPIE'!S44</f>
        <v>21273675.831312839</v>
      </c>
      <c r="V49" s="455">
        <f>'Key input_Biomass_MAgPIE'!T44</f>
        <v>19283722.287958667</v>
      </c>
      <c r="W49" s="455">
        <f>'Key input_Biomass_MAgPIE'!U44</f>
        <v>32073761.181723513</v>
      </c>
      <c r="X49" s="455">
        <f>'Key input_Biomass_MAgPIE'!V44</f>
        <v>19742166.874565668</v>
      </c>
      <c r="Y49" s="455">
        <f>'Key input_Biomass_MAgPIE'!W44</f>
        <v>33440106.823605977</v>
      </c>
      <c r="Z49" s="455">
        <f>'Key input_Biomass_MAgPIE'!X44</f>
        <v>1142688.6034482783</v>
      </c>
      <c r="AA49" s="455">
        <f>'Key input_Biomass_MAgPIE'!Y44</f>
        <v>16183853.599288777</v>
      </c>
      <c r="AB49" s="455">
        <f>'Key input_Biomass_MAgPIE'!Z44</f>
        <v>885304.61473725387</v>
      </c>
      <c r="AC49" s="455">
        <f>'Key input_Biomass_MAgPIE'!AA44</f>
        <v>1041870.0774651911</v>
      </c>
      <c r="AD49" s="455">
        <f>'Key input_Biomass_MAgPIE'!AB44</f>
        <v>4489147.9442493552</v>
      </c>
      <c r="AE49" s="455">
        <f>'Key input_Biomass_MAgPIE'!AC44</f>
        <v>16311189.976509528</v>
      </c>
      <c r="AF49" s="455">
        <f>'Key input_Biomass_MAgPIE'!AD44</f>
        <v>1574352.0098344784</v>
      </c>
      <c r="AG49" s="455">
        <f>'Key input_Biomass_MAgPIE'!AE44</f>
        <v>1859852.3867667622</v>
      </c>
      <c r="AH49" s="455">
        <f>'Key input_Biomass_MAgPIE'!AF44</f>
        <v>47481352.596886486</v>
      </c>
      <c r="AK49"/>
      <c r="AL49"/>
    </row>
    <row r="50" spans="1:38" s="4" customFormat="1">
      <c r="A50" s="4" t="str">
        <f>IF(AK14="",AJ14,AK14)</f>
        <v>MIN-RSVBIOCRP1</v>
      </c>
      <c r="B50" s="4" t="str">
        <f>IF($AK14="","",AL14)</f>
        <v>UPS Reserves of Biomass - Crops grown for energy - Reserve - Supply curve step 1</v>
      </c>
      <c r="C50" s="4" t="str">
        <f>Commodities!$C$16</f>
        <v>RSVBIOCRP</v>
      </c>
      <c r="D50" s="4" t="s">
        <v>678</v>
      </c>
      <c r="E50" s="4" t="s">
        <v>661</v>
      </c>
      <c r="F50" s="4">
        <v>2019</v>
      </c>
      <c r="G50" s="258">
        <f>'Key input_Biomass_MAgPIE'!E45</f>
        <v>492.14210534873104</v>
      </c>
      <c r="H50" s="258">
        <f>'Key input_Biomass_MAgPIE'!F45</f>
        <v>64.863369934056323</v>
      </c>
      <c r="I50" s="258">
        <f>'Key input_Biomass_MAgPIE'!G45</f>
        <v>487.75311720390317</v>
      </c>
      <c r="J50" s="258">
        <f>'Key input_Biomass_MAgPIE'!H45</f>
        <v>232.76368563348052</v>
      </c>
      <c r="K50" s="258">
        <f>'Key input_Biomass_MAgPIE'!I45</f>
        <v>397.15212252879837</v>
      </c>
      <c r="L50" s="258">
        <f>'Key input_Biomass_MAgPIE'!J45</f>
        <v>2416.0793462020051</v>
      </c>
      <c r="M50" s="258">
        <f>'Key input_Biomass_MAgPIE'!K45</f>
        <v>930.34185375882623</v>
      </c>
      <c r="N50" s="258">
        <f>'Key input_Biomass_MAgPIE'!L45</f>
        <v>1747.3923098144051</v>
      </c>
      <c r="O50" s="258">
        <f>'Key input_Biomass_MAgPIE'!M45</f>
        <v>6540.6070258238415</v>
      </c>
      <c r="P50" s="258">
        <f>'Key input_Biomass_MAgPIE'!N45</f>
        <v>511.77551902102527</v>
      </c>
      <c r="Q50" s="258">
        <f>'Key input_Biomass_MAgPIE'!O45</f>
        <v>566.45658790534742</v>
      </c>
      <c r="R50" s="258">
        <f>'Key input_Biomass_MAgPIE'!P45</f>
        <v>5247.8262117338099</v>
      </c>
      <c r="S50" s="258">
        <f>'Key input_Biomass_MAgPIE'!Q45</f>
        <v>3096.6602556300318</v>
      </c>
      <c r="T50" s="258">
        <f>'Key input_Biomass_MAgPIE'!R45</f>
        <v>2462.1330122619997</v>
      </c>
      <c r="U50" s="258">
        <f>'Key input_Biomass_MAgPIE'!S45</f>
        <v>2423.383111822774</v>
      </c>
      <c r="V50" s="258">
        <f>'Key input_Biomass_MAgPIE'!T45</f>
        <v>4513.1539888157267</v>
      </c>
      <c r="W50" s="258">
        <f>'Key input_Biomass_MAgPIE'!U45</f>
        <v>3335.5179768155845</v>
      </c>
      <c r="X50" s="258">
        <f>'Key input_Biomass_MAgPIE'!V45</f>
        <v>1899.0867067713789</v>
      </c>
      <c r="Y50" s="258">
        <f>'Key input_Biomass_MAgPIE'!W45</f>
        <v>780.4198170743947</v>
      </c>
      <c r="Z50" s="258">
        <f>'Key input_Biomass_MAgPIE'!X45</f>
        <v>3498.7741897954998</v>
      </c>
      <c r="AA50" s="258">
        <f>'Key input_Biomass_MAgPIE'!Y45</f>
        <v>8798.5206880717888</v>
      </c>
      <c r="AB50" s="258">
        <f>'Key input_Biomass_MAgPIE'!Z45</f>
        <v>5623.5348248553164</v>
      </c>
      <c r="AC50" s="258">
        <f>'Key input_Biomass_MAgPIE'!AA45</f>
        <v>65.670444173451045</v>
      </c>
      <c r="AD50" s="258">
        <f>'Key input_Biomass_MAgPIE'!AB45</f>
        <v>3748.6880047498425</v>
      </c>
      <c r="AE50" s="258">
        <f>'Key input_Biomass_MAgPIE'!AC45</f>
        <v>283.35738246463421</v>
      </c>
      <c r="AF50" s="258">
        <f>'Key input_Biomass_MAgPIE'!AD45</f>
        <v>4117.3468537135104</v>
      </c>
      <c r="AG50" s="258">
        <f>'Key input_Biomass_MAgPIE'!AE45</f>
        <v>3498.7741897954998</v>
      </c>
      <c r="AH50" s="258">
        <f>'Key input_Biomass_MAgPIE'!AF45</f>
        <v>4114.9864439136054</v>
      </c>
      <c r="AK50"/>
      <c r="AL50"/>
    </row>
    <row r="51" spans="1:38" s="4" customFormat="1">
      <c r="A51" s="4" t="str">
        <f>A50</f>
        <v>MIN-RSVBIOCRP1</v>
      </c>
      <c r="B51" s="4" t="str">
        <f t="shared" ref="B51:B62" si="18">B50</f>
        <v>UPS Reserves of Biomass - Crops grown for energy - Reserve - Supply curve step 1</v>
      </c>
      <c r="C51" s="4" t="str">
        <f t="shared" ref="C51:C62" si="19">C50</f>
        <v>RSVBIOCRP</v>
      </c>
      <c r="D51" s="4" t="str">
        <f t="shared" ref="D51:D62" si="20">D50</f>
        <v>ACT_BND</v>
      </c>
      <c r="E51" s="4" t="str">
        <f t="shared" ref="E51:E62" si="21">E50</f>
        <v>UP</v>
      </c>
      <c r="F51" s="4">
        <v>2020</v>
      </c>
      <c r="G51" s="456">
        <f>'Key input_Biomass_MAgPIE'!E46</f>
        <v>492.14210534873104</v>
      </c>
      <c r="H51" s="456">
        <f>'Key input_Biomass_MAgPIE'!F46</f>
        <v>64.863369934056323</v>
      </c>
      <c r="I51" s="456">
        <f>'Key input_Biomass_MAgPIE'!G46</f>
        <v>487.75311720390317</v>
      </c>
      <c r="J51" s="456">
        <f>'Key input_Biomass_MAgPIE'!H46</f>
        <v>232.76368563348052</v>
      </c>
      <c r="K51" s="456">
        <f>'Key input_Biomass_MAgPIE'!I46</f>
        <v>397.15212252879837</v>
      </c>
      <c r="L51" s="456">
        <f>'Key input_Biomass_MAgPIE'!J46</f>
        <v>2416.0793462020051</v>
      </c>
      <c r="M51" s="456">
        <f>'Key input_Biomass_MAgPIE'!K46</f>
        <v>930.34185375882623</v>
      </c>
      <c r="N51" s="456">
        <f>'Key input_Biomass_MAgPIE'!L46</f>
        <v>1747.3923098144051</v>
      </c>
      <c r="O51" s="456">
        <f>'Key input_Biomass_MAgPIE'!M46</f>
        <v>6540.6070258238415</v>
      </c>
      <c r="P51" s="456">
        <f>'Key input_Biomass_MAgPIE'!N46</f>
        <v>511.77551902102527</v>
      </c>
      <c r="Q51" s="456">
        <f>'Key input_Biomass_MAgPIE'!O46</f>
        <v>566.45658790534742</v>
      </c>
      <c r="R51" s="456">
        <f>'Key input_Biomass_MAgPIE'!P46</f>
        <v>5247.8262117338099</v>
      </c>
      <c r="S51" s="456">
        <f>'Key input_Biomass_MAgPIE'!Q46</f>
        <v>3096.6602556300318</v>
      </c>
      <c r="T51" s="456">
        <f>'Key input_Biomass_MAgPIE'!R46</f>
        <v>2462.1330122619997</v>
      </c>
      <c r="U51" s="456">
        <f>'Key input_Biomass_MAgPIE'!S46</f>
        <v>2423.383111822774</v>
      </c>
      <c r="V51" s="456">
        <f>'Key input_Biomass_MAgPIE'!T46</f>
        <v>4513.1539888157267</v>
      </c>
      <c r="W51" s="456">
        <f>'Key input_Biomass_MAgPIE'!U46</f>
        <v>3335.5179768155845</v>
      </c>
      <c r="X51" s="456">
        <f>'Key input_Biomass_MAgPIE'!V46</f>
        <v>1899.0867067713789</v>
      </c>
      <c r="Y51" s="456">
        <f>'Key input_Biomass_MAgPIE'!W46</f>
        <v>780.4198170743947</v>
      </c>
      <c r="Z51" s="456">
        <f>'Key input_Biomass_MAgPIE'!X46</f>
        <v>3498.7741897954998</v>
      </c>
      <c r="AA51" s="456">
        <f>'Key input_Biomass_MAgPIE'!Y46</f>
        <v>8798.5206880717888</v>
      </c>
      <c r="AB51" s="456">
        <f>'Key input_Biomass_MAgPIE'!Z46</f>
        <v>5623.5348248553164</v>
      </c>
      <c r="AC51" s="456">
        <f>'Key input_Biomass_MAgPIE'!AA46</f>
        <v>65.670444173451045</v>
      </c>
      <c r="AD51" s="456">
        <f>'Key input_Biomass_MAgPIE'!AB46</f>
        <v>3748.6880047498425</v>
      </c>
      <c r="AE51" s="456">
        <f>'Key input_Biomass_MAgPIE'!AC46</f>
        <v>283.35738246463421</v>
      </c>
      <c r="AF51" s="456">
        <f>'Key input_Biomass_MAgPIE'!AD46</f>
        <v>4117.3468537135104</v>
      </c>
      <c r="AG51" s="456">
        <f>'Key input_Biomass_MAgPIE'!AE46</f>
        <v>3498.7741897954998</v>
      </c>
      <c r="AH51" s="456">
        <f>'Key input_Biomass_MAgPIE'!AF46</f>
        <v>4114.9864439136054</v>
      </c>
      <c r="AK51"/>
      <c r="AL51"/>
    </row>
    <row r="52" spans="1:38" s="4" customFormat="1">
      <c r="A52" s="4" t="str">
        <f t="shared" ref="A52:A62" si="22">A51</f>
        <v>MIN-RSVBIOCRP1</v>
      </c>
      <c r="B52" s="4" t="str">
        <f t="shared" si="18"/>
        <v>UPS Reserves of Biomass - Crops grown for energy - Reserve - Supply curve step 1</v>
      </c>
      <c r="C52" s="4" t="str">
        <f t="shared" si="19"/>
        <v>RSVBIOCRP</v>
      </c>
      <c r="D52" s="4" t="str">
        <f t="shared" si="20"/>
        <v>ACT_BND</v>
      </c>
      <c r="E52" s="4" t="str">
        <f t="shared" si="21"/>
        <v>UP</v>
      </c>
      <c r="F52" s="4">
        <v>2025</v>
      </c>
      <c r="G52" s="456">
        <f>'Key input_Biomass_MAgPIE'!E47</f>
        <v>1161.5832366146421</v>
      </c>
      <c r="H52" s="456">
        <f>'Key input_Biomass_MAgPIE'!F47</f>
        <v>64.793154001014216</v>
      </c>
      <c r="I52" s="456">
        <f>'Key input_Biomass_MAgPIE'!G47</f>
        <v>1153.8853355920578</v>
      </c>
      <c r="J52" s="456">
        <f>'Key input_Biomass_MAgPIE'!H47</f>
        <v>551.54658868829472</v>
      </c>
      <c r="K52" s="456">
        <f>'Key input_Biomass_MAgPIE'!I47</f>
        <v>1010.0879279784103</v>
      </c>
      <c r="L52" s="456">
        <f>'Key input_Biomass_MAgPIE'!J47</f>
        <v>3343.3738926054739</v>
      </c>
      <c r="M52" s="456">
        <f>'Key input_Biomass_MAgPIE'!K47</f>
        <v>1644.8595060904893</v>
      </c>
      <c r="N52" s="456">
        <f>'Key input_Biomass_MAgPIE'!L47</f>
        <v>3088.5071513202474</v>
      </c>
      <c r="O52" s="456">
        <f>'Key input_Biomass_MAgPIE'!M47</f>
        <v>16346.43254214921</v>
      </c>
      <c r="P52" s="456">
        <f>'Key input_Biomass_MAgPIE'!N47</f>
        <v>1301.8334245955211</v>
      </c>
      <c r="Q52" s="456">
        <f>'Key input_Biomass_MAgPIE'!O47</f>
        <v>1415.6457501827579</v>
      </c>
      <c r="R52" s="456">
        <f>'Key input_Biomass_MAgPIE'!P47</f>
        <v>9581.5851146720524</v>
      </c>
      <c r="S52" s="456">
        <f>'Key input_Biomass_MAgPIE'!Q47</f>
        <v>4452.0904687250577</v>
      </c>
      <c r="T52" s="456">
        <f>'Key input_Biomass_MAgPIE'!R47</f>
        <v>6733.1232569748945</v>
      </c>
      <c r="U52" s="456">
        <f>'Key input_Biomass_MAgPIE'!S47</f>
        <v>8642.5595874562114</v>
      </c>
      <c r="V52" s="456">
        <f>'Key input_Biomass_MAgPIE'!T47</f>
        <v>16089.037909963155</v>
      </c>
      <c r="W52" s="456">
        <f>'Key input_Biomass_MAgPIE'!U47</f>
        <v>11868.857041601685</v>
      </c>
      <c r="X52" s="456">
        <f>'Key input_Biomass_MAgPIE'!V47</f>
        <v>3356.8747886384945</v>
      </c>
      <c r="Y52" s="456">
        <f>'Key input_Biomass_MAgPIE'!W47</f>
        <v>1779.1541894746579</v>
      </c>
      <c r="Z52" s="456">
        <f>'Key input_Biomass_MAgPIE'!X47</f>
        <v>5468.8848413530004</v>
      </c>
      <c r="AA52" s="456">
        <f>'Key input_Biomass_MAgPIE'!Y47</f>
        <v>21988.905846869315</v>
      </c>
      <c r="AB52" s="456">
        <f>'Key input_Biomass_MAgPIE'!Z47</f>
        <v>8594.2301541347351</v>
      </c>
      <c r="AC52" s="456">
        <f>'Key input_Biomass_MAgPIE'!AA47</f>
        <v>65.598453175090526</v>
      </c>
      <c r="AD52" s="456">
        <f>'Key input_Biomass_MAgPIE'!AB47</f>
        <v>9368.5393827704211</v>
      </c>
      <c r="AE52" s="456">
        <f>'Key input_Biomass_MAgPIE'!AC47</f>
        <v>670.86179231144206</v>
      </c>
      <c r="AF52" s="456">
        <f>'Key input_Biomass_MAgPIE'!AD47</f>
        <v>5602.9010705865267</v>
      </c>
      <c r="AG52" s="456">
        <f>'Key input_Biomass_MAgPIE'!AE47</f>
        <v>5468.8848413530004</v>
      </c>
      <c r="AH52" s="456">
        <f>'Key input_Biomass_MAgPIE'!AF47</f>
        <v>7387.1361453263689</v>
      </c>
      <c r="AK52"/>
      <c r="AL52"/>
    </row>
    <row r="53" spans="1:38" s="4" customFormat="1">
      <c r="A53" s="4" t="str">
        <f t="shared" si="22"/>
        <v>MIN-RSVBIOCRP1</v>
      </c>
      <c r="B53" s="4" t="str">
        <f t="shared" si="18"/>
        <v>UPS Reserves of Biomass - Crops grown for energy - Reserve - Supply curve step 1</v>
      </c>
      <c r="C53" s="4" t="str">
        <f t="shared" si="19"/>
        <v>RSVBIOCRP</v>
      </c>
      <c r="D53" s="4" t="str">
        <f t="shared" si="20"/>
        <v>ACT_BND</v>
      </c>
      <c r="E53" s="4" t="str">
        <f t="shared" si="21"/>
        <v>UP</v>
      </c>
      <c r="F53" s="4">
        <v>2030</v>
      </c>
      <c r="G53" s="456">
        <f>'Key input_Biomass_MAgPIE'!E48</f>
        <v>4202.0523305057532</v>
      </c>
      <c r="H53" s="456">
        <f>'Key input_Biomass_MAgPIE'!F48</f>
        <v>3350.7028297136158</v>
      </c>
      <c r="I53" s="456">
        <f>'Key input_Biomass_MAgPIE'!G48</f>
        <v>3530.8891383533369</v>
      </c>
      <c r="J53" s="456">
        <f>'Key input_Biomass_MAgPIE'!H48</f>
        <v>1688.9036184800107</v>
      </c>
      <c r="K53" s="456">
        <f>'Key input_Biomass_MAgPIE'!I48</f>
        <v>3621.7924661740476</v>
      </c>
      <c r="L53" s="456">
        <f>'Key input_Biomass_MAgPIE'!J48</f>
        <v>3385.8086483669949</v>
      </c>
      <c r="M53" s="456">
        <f>'Key input_Biomass_MAgPIE'!K48</f>
        <v>1698.9633770377156</v>
      </c>
      <c r="N53" s="456">
        <f>'Key input_Biomass_MAgPIE'!L48</f>
        <v>3189.9549275312843</v>
      </c>
      <c r="O53" s="456">
        <f>'Key input_Biomass_MAgPIE'!M48</f>
        <v>14316.447008100791</v>
      </c>
      <c r="P53" s="456">
        <f>'Key input_Biomass_MAgPIE'!N48</f>
        <v>4668.1022398291843</v>
      </c>
      <c r="Q53" s="456">
        <f>'Key input_Biomass_MAgPIE'!O48</f>
        <v>1239.8651816644422</v>
      </c>
      <c r="R53" s="456">
        <f>'Key input_Biomass_MAgPIE'!P48</f>
        <v>10915.162772852369</v>
      </c>
      <c r="S53" s="456">
        <f>'Key input_Biomass_MAgPIE'!Q48</f>
        <v>4171.7075703475211</v>
      </c>
      <c r="T53" s="456">
        <f>'Key input_Biomass_MAgPIE'!R48</f>
        <v>3398.1029281141268</v>
      </c>
      <c r="U53" s="456">
        <f>'Key input_Biomass_MAgPIE'!S48</f>
        <v>3456.8662035282528</v>
      </c>
      <c r="V53" s="456">
        <f>'Key input_Biomass_MAgPIE'!T48</f>
        <v>6437.2696605975261</v>
      </c>
      <c r="W53" s="456">
        <f>'Key input_Biomass_MAgPIE'!U48</f>
        <v>4756.2847707366527</v>
      </c>
      <c r="X53" s="456">
        <f>'Key input_Biomass_MAgPIE'!V48</f>
        <v>3467.2556564244373</v>
      </c>
      <c r="Y53" s="456">
        <f>'Key input_Biomass_MAgPIE'!W48</f>
        <v>8795.8276683669465</v>
      </c>
      <c r="Z53" s="456">
        <f>'Key input_Biomass_MAgPIE'!X48</f>
        <v>6430.7830658226048</v>
      </c>
      <c r="AA53" s="456">
        <f>'Key input_Biomass_MAgPIE'!Y48</f>
        <v>19258.777568593898</v>
      </c>
      <c r="AB53" s="456">
        <f>'Key input_Biomass_MAgPIE'!Z48</f>
        <v>8264.9380492734217</v>
      </c>
      <c r="AC53" s="456">
        <f>'Key input_Biomass_MAgPIE'!AA48</f>
        <v>3457.3666098669</v>
      </c>
      <c r="AD53" s="456">
        <f>'Key input_Biomass_MAgPIE'!AB48</f>
        <v>8205.1008818322625</v>
      </c>
      <c r="AE53" s="456">
        <f>'Key input_Biomass_MAgPIE'!AC48</f>
        <v>2053.6823301348632</v>
      </c>
      <c r="AF53" s="456">
        <f>'Key input_Biomass_MAgPIE'!AD48</f>
        <v>5665.2013601030521</v>
      </c>
      <c r="AG53" s="456">
        <f>'Key input_Biomass_MAgPIE'!AE48</f>
        <v>6430.7830658226048</v>
      </c>
      <c r="AH53" s="456">
        <f>'Key input_Biomass_MAgPIE'!AF48</f>
        <v>15213.875247335947</v>
      </c>
      <c r="AK53"/>
      <c r="AL53"/>
    </row>
    <row r="54" spans="1:38" s="4" customFormat="1">
      <c r="A54" s="4" t="str">
        <f t="shared" si="22"/>
        <v>MIN-RSVBIOCRP1</v>
      </c>
      <c r="B54" s="4" t="str">
        <f t="shared" si="18"/>
        <v>UPS Reserves of Biomass - Crops grown for energy - Reserve - Supply curve step 1</v>
      </c>
      <c r="C54" s="4" t="str">
        <f t="shared" si="19"/>
        <v>RSVBIOCRP</v>
      </c>
      <c r="D54" s="4" t="str">
        <f t="shared" si="20"/>
        <v>ACT_BND</v>
      </c>
      <c r="E54" s="4" t="str">
        <f t="shared" si="21"/>
        <v>UP</v>
      </c>
      <c r="F54" s="4">
        <v>2035</v>
      </c>
      <c r="G54" s="456">
        <f>'Key input_Biomass_MAgPIE'!E49</f>
        <v>3980.0821553568162</v>
      </c>
      <c r="H54" s="456">
        <f>'Key input_Biomass_MAgPIE'!F49</f>
        <v>3186.9294893915421</v>
      </c>
      <c r="I54" s="456">
        <f>'Key input_Biomass_MAgPIE'!G49</f>
        <v>3341.8586334142897</v>
      </c>
      <c r="J54" s="456">
        <f>'Key input_Biomass_MAgPIE'!H49</f>
        <v>1598.4851061379156</v>
      </c>
      <c r="K54" s="456">
        <f>'Key input_Biomass_MAgPIE'!I49</f>
        <v>3371.0372667821953</v>
      </c>
      <c r="L54" s="456">
        <f>'Key input_Biomass_MAgPIE'!J49</f>
        <v>3373.1967308228627</v>
      </c>
      <c r="M54" s="456">
        <f>'Key input_Biomass_MAgPIE'!K49</f>
        <v>1676.2694983193949</v>
      </c>
      <c r="N54" s="456">
        <f>'Key input_Biomass_MAgPIE'!L49</f>
        <v>3178.3686116349108</v>
      </c>
      <c r="O54" s="456">
        <f>'Key input_Biomass_MAgPIE'!M49</f>
        <v>9967.8831061652618</v>
      </c>
      <c r="P54" s="456">
        <f>'Key input_Biomass_MAgPIE'!N49</f>
        <v>4344.8992815899046</v>
      </c>
      <c r="Q54" s="456">
        <f>'Key input_Biomass_MAgPIE'!O49</f>
        <v>863.27925869189471</v>
      </c>
      <c r="R54" s="456">
        <f>'Key input_Biomass_MAgPIE'!P49</f>
        <v>16785.380111287315</v>
      </c>
      <c r="S54" s="456">
        <f>'Key input_Biomass_MAgPIE'!Q49</f>
        <v>4100.7121072792579</v>
      </c>
      <c r="T54" s="456">
        <f>'Key input_Biomass_MAgPIE'!R49</f>
        <v>3104.0047026857997</v>
      </c>
      <c r="U54" s="456">
        <f>'Key input_Biomass_MAgPIE'!S49</f>
        <v>3043.3952162176947</v>
      </c>
      <c r="V54" s="456">
        <f>'Key input_Biomass_MAgPIE'!T49</f>
        <v>5667.5693632773682</v>
      </c>
      <c r="W54" s="456">
        <f>'Key input_Biomass_MAgPIE'!U49</f>
        <v>4188.7766377632524</v>
      </c>
      <c r="X54" s="456">
        <f>'Key input_Biomass_MAgPIE'!V49</f>
        <v>3420.9780225777422</v>
      </c>
      <c r="Y54" s="456">
        <f>'Key input_Biomass_MAgPIE'!W49</f>
        <v>8949.6395170597898</v>
      </c>
      <c r="Z54" s="456">
        <f>'Key input_Biomass_MAgPIE'!X49</f>
        <v>6376.2736428578946</v>
      </c>
      <c r="AA54" s="456">
        <f>'Key input_Biomass_MAgPIE'!Y49</f>
        <v>13409.315386135422</v>
      </c>
      <c r="AB54" s="456">
        <f>'Key input_Biomass_MAgPIE'!Z49</f>
        <v>7967.387342806579</v>
      </c>
      <c r="AC54" s="456">
        <f>'Key input_Biomass_MAgPIE'!AA49</f>
        <v>3288.3845358169424</v>
      </c>
      <c r="AD54" s="456">
        <f>'Key input_Biomass_MAgPIE'!AB49</f>
        <v>5712.931499340526</v>
      </c>
      <c r="AE54" s="456">
        <f>'Key input_Biomass_MAgPIE'!AC49</f>
        <v>1943.7420398016368</v>
      </c>
      <c r="AF54" s="456">
        <f>'Key input_Biomass_MAgPIE'!AD49</f>
        <v>5648.5560414251577</v>
      </c>
      <c r="AG54" s="456">
        <f>'Key input_Biomass_MAgPIE'!AE49</f>
        <v>6376.2736428578946</v>
      </c>
      <c r="AH54" s="456">
        <f>'Key input_Biomass_MAgPIE'!AF49</f>
        <v>14183.959292232736</v>
      </c>
      <c r="AK54"/>
      <c r="AL54"/>
    </row>
    <row r="55" spans="1:38" s="4" customFormat="1">
      <c r="A55" s="4" t="str">
        <f t="shared" si="22"/>
        <v>MIN-RSVBIOCRP1</v>
      </c>
      <c r="B55" s="4" t="str">
        <f t="shared" si="18"/>
        <v>UPS Reserves of Biomass - Crops grown for energy - Reserve - Supply curve step 1</v>
      </c>
      <c r="C55" s="4" t="str">
        <f t="shared" si="19"/>
        <v>RSVBIOCRP</v>
      </c>
      <c r="D55" s="4" t="str">
        <f t="shared" si="20"/>
        <v>ACT_BND</v>
      </c>
      <c r="E55" s="4" t="str">
        <f t="shared" si="21"/>
        <v>UP</v>
      </c>
      <c r="F55" s="4">
        <v>2040</v>
      </c>
      <c r="G55" s="456">
        <f>'Key input_Biomass_MAgPIE'!E50</f>
        <v>4187.3201076987152</v>
      </c>
      <c r="H55" s="456">
        <f>'Key input_Biomass_MAgPIE'!F50</f>
        <v>3061.6613201106684</v>
      </c>
      <c r="I55" s="456">
        <f>'Key input_Biomass_MAgPIE'!G50</f>
        <v>3572.3598653476524</v>
      </c>
      <c r="J55" s="456">
        <f>'Key input_Biomass_MAgPIE'!H50</f>
        <v>1708.8206563938472</v>
      </c>
      <c r="K55" s="456">
        <f>'Key input_Biomass_MAgPIE'!I50</f>
        <v>3186.4479595540051</v>
      </c>
      <c r="L55" s="456">
        <f>'Key input_Biomass_MAgPIE'!J50</f>
        <v>3380.2419422223998</v>
      </c>
      <c r="M55" s="456">
        <f>'Key input_Biomass_MAgPIE'!K50</f>
        <v>1755.0329409156313</v>
      </c>
      <c r="N55" s="456">
        <f>'Key input_Biomass_MAgPIE'!L50</f>
        <v>3294.9767065982364</v>
      </c>
      <c r="O55" s="456">
        <f>'Key input_Biomass_MAgPIE'!M50</f>
        <v>8339.4091632588952</v>
      </c>
      <c r="P55" s="456">
        <f>'Key input_Biomass_MAgPIE'!N50</f>
        <v>4106.9820404034735</v>
      </c>
      <c r="Q55" s="456">
        <f>'Key input_Biomass_MAgPIE'!O50</f>
        <v>722.24643440750526</v>
      </c>
      <c r="R55" s="456">
        <f>'Key input_Biomass_MAgPIE'!P50</f>
        <v>35188.64757785837</v>
      </c>
      <c r="S55" s="456">
        <f>'Key input_Biomass_MAgPIE'!Q50</f>
        <v>4025.9561917879159</v>
      </c>
      <c r="T55" s="456">
        <f>'Key input_Biomass_MAgPIE'!R50</f>
        <v>2618.4994846123313</v>
      </c>
      <c r="U55" s="456">
        <f>'Key input_Biomass_MAgPIE'!S50</f>
        <v>2320.2036756919733</v>
      </c>
      <c r="V55" s="456">
        <f>'Key input_Biomass_MAgPIE'!T50</f>
        <v>4321.5488925389</v>
      </c>
      <c r="W55" s="456">
        <f>'Key input_Biomass_MAgPIE'!U50</f>
        <v>3196.6171833132844</v>
      </c>
      <c r="X55" s="456">
        <f>'Key input_Biomass_MAgPIE'!V50</f>
        <v>3581.6428839100736</v>
      </c>
      <c r="Y55" s="456">
        <f>'Key input_Biomass_MAgPIE'!W50</f>
        <v>9223.6129273509996</v>
      </c>
      <c r="Z55" s="456">
        <f>'Key input_Biomass_MAgPIE'!X50</f>
        <v>6079.2313258373952</v>
      </c>
      <c r="AA55" s="456">
        <f>'Key input_Biomass_MAgPIE'!Y50</f>
        <v>11218.668621390105</v>
      </c>
      <c r="AB55" s="456">
        <f>'Key input_Biomass_MAgPIE'!Z50</f>
        <v>7651.2513881329478</v>
      </c>
      <c r="AC55" s="456">
        <f>'Key input_Biomass_MAgPIE'!AA50</f>
        <v>3159.1487629823155</v>
      </c>
      <c r="AD55" s="456">
        <f>'Key input_Biomass_MAgPIE'!AB50</f>
        <v>4779.5683868656006</v>
      </c>
      <c r="AE55" s="456">
        <f>'Key input_Biomass_MAgPIE'!AC50</f>
        <v>2077.8776111450843</v>
      </c>
      <c r="AF55" s="456">
        <f>'Key input_Biomass_MAgPIE'!AD50</f>
        <v>5640.343724389737</v>
      </c>
      <c r="AG55" s="456">
        <f>'Key input_Biomass_MAgPIE'!AE50</f>
        <v>6079.2313258373952</v>
      </c>
      <c r="AH55" s="456">
        <f>'Key input_Biomass_MAgPIE'!AF50</f>
        <v>16953.610741229895</v>
      </c>
      <c r="AK55"/>
      <c r="AL55"/>
    </row>
    <row r="56" spans="1:38" s="4" customFormat="1">
      <c r="A56" s="4" t="str">
        <f t="shared" si="22"/>
        <v>MIN-RSVBIOCRP1</v>
      </c>
      <c r="B56" s="4" t="str">
        <f t="shared" si="18"/>
        <v>UPS Reserves of Biomass - Crops grown for energy - Reserve - Supply curve step 1</v>
      </c>
      <c r="C56" s="4" t="str">
        <f t="shared" si="19"/>
        <v>RSVBIOCRP</v>
      </c>
      <c r="D56" s="4" t="str">
        <f t="shared" si="20"/>
        <v>ACT_BND</v>
      </c>
      <c r="E56" s="4" t="str">
        <f t="shared" si="21"/>
        <v>UP</v>
      </c>
      <c r="F56" s="4">
        <v>2045</v>
      </c>
      <c r="G56" s="456">
        <f>'Key input_Biomass_MAgPIE'!E51</f>
        <v>7031.2925089436312</v>
      </c>
      <c r="H56" s="456">
        <f>'Key input_Biomass_MAgPIE'!F51</f>
        <v>3096.1259077705104</v>
      </c>
      <c r="I56" s="456">
        <f>'Key input_Biomass_MAgPIE'!G51</f>
        <v>6395.3857393344206</v>
      </c>
      <c r="J56" s="456">
        <f>'Key input_Biomass_MAgPIE'!H51</f>
        <v>3059.5986640060682</v>
      </c>
      <c r="K56" s="456">
        <f>'Key input_Biomass_MAgPIE'!I51</f>
        <v>3190.6876285932526</v>
      </c>
      <c r="L56" s="456">
        <f>'Key input_Biomass_MAgPIE'!J51</f>
        <v>3618.9216048748581</v>
      </c>
      <c r="M56" s="456">
        <f>'Key input_Biomass_MAgPIE'!K51</f>
        <v>2719.839634269405</v>
      </c>
      <c r="N56" s="456">
        <f>'Key input_Biomass_MAgPIE'!L51</f>
        <v>5105.8396979289519</v>
      </c>
      <c r="O56" s="456">
        <f>'Key input_Biomass_MAgPIE'!M51</f>
        <v>13864.42866938716</v>
      </c>
      <c r="P56" s="456">
        <f>'Key input_Biomass_MAgPIE'!N51</f>
        <v>4112.4585019229735</v>
      </c>
      <c r="Q56" s="456">
        <f>'Key input_Biomass_MAgPIE'!O51</f>
        <v>1200.7092488603737</v>
      </c>
      <c r="R56" s="456">
        <f>'Key input_Biomass_MAgPIE'!P51</f>
        <v>76887.667307685784</v>
      </c>
      <c r="S56" s="456">
        <f>'Key input_Biomass_MAgPIE'!Q51</f>
        <v>4121.7175886305413</v>
      </c>
      <c r="T56" s="456">
        <f>'Key input_Biomass_MAgPIE'!R51</f>
        <v>2460.3304922799689</v>
      </c>
      <c r="U56" s="456">
        <f>'Key input_Biomass_MAgPIE'!S51</f>
        <v>2027.5703237727314</v>
      </c>
      <c r="V56" s="456">
        <f>'Key input_Biomass_MAgPIE'!T51</f>
        <v>3776.9755831569369</v>
      </c>
      <c r="W56" s="456">
        <f>'Key input_Biomass_MAgPIE'!U51</f>
        <v>2795.649334859821</v>
      </c>
      <c r="X56" s="456">
        <f>'Key input_Biomass_MAgPIE'!V51</f>
        <v>5550.109186475579</v>
      </c>
      <c r="Y56" s="456">
        <f>'Key input_Biomass_MAgPIE'!W51</f>
        <v>10666.872649050947</v>
      </c>
      <c r="Z56" s="456">
        <f>'Key input_Biomass_MAgPIE'!X51</f>
        <v>6410.3388699104207</v>
      </c>
      <c r="AA56" s="456">
        <f>'Key input_Biomass_MAgPIE'!Y51</f>
        <v>18650.638812291581</v>
      </c>
      <c r="AB56" s="456">
        <f>'Key input_Biomass_MAgPIE'!Z51</f>
        <v>7759.6624553399479</v>
      </c>
      <c r="AC56" s="456">
        <f>'Key input_Biomass_MAgPIE'!AA51</f>
        <v>3194.6922245978421</v>
      </c>
      <c r="AD56" s="456">
        <f>'Key input_Biomass_MAgPIE'!AB51</f>
        <v>7946.0442078213155</v>
      </c>
      <c r="AE56" s="456">
        <f>'Key input_Biomass_MAgPIE'!AC51</f>
        <v>3720.165496557247</v>
      </c>
      <c r="AF56" s="456">
        <f>'Key input_Biomass_MAgPIE'!AD51</f>
        <v>5813.872232711421</v>
      </c>
      <c r="AG56" s="456">
        <f>'Key input_Biomass_MAgPIE'!AE51</f>
        <v>6410.3388699104207</v>
      </c>
      <c r="AH56" s="456">
        <f>'Key input_Biomass_MAgPIE'!AF51</f>
        <v>33011.762288664053</v>
      </c>
      <c r="AK56"/>
      <c r="AL56"/>
    </row>
    <row r="57" spans="1:38" s="4" customFormat="1">
      <c r="A57" s="4" t="str">
        <f t="shared" si="22"/>
        <v>MIN-RSVBIOCRP1</v>
      </c>
      <c r="B57" s="4" t="str">
        <f t="shared" si="18"/>
        <v>UPS Reserves of Biomass - Crops grown for energy - Reserve - Supply curve step 1</v>
      </c>
      <c r="C57" s="4" t="str">
        <f t="shared" si="19"/>
        <v>RSVBIOCRP</v>
      </c>
      <c r="D57" s="4" t="str">
        <f t="shared" si="20"/>
        <v>ACT_BND</v>
      </c>
      <c r="E57" s="4" t="str">
        <f t="shared" si="21"/>
        <v>UP</v>
      </c>
      <c r="F57" s="4">
        <v>2050</v>
      </c>
      <c r="G57" s="456">
        <f>'Key input_Biomass_MAgPIE'!E52</f>
        <v>17511.248288221526</v>
      </c>
      <c r="H57" s="456">
        <f>'Key input_Biomass_MAgPIE'!F52</f>
        <v>3248.3721892732319</v>
      </c>
      <c r="I57" s="456">
        <f>'Key input_Biomass_MAgPIE'!G52</f>
        <v>16793.323999237473</v>
      </c>
      <c r="J57" s="456">
        <f>'Key input_Biomass_MAgPIE'!H52</f>
        <v>8034.6548055128951</v>
      </c>
      <c r="K57" s="456">
        <f>'Key input_Biomass_MAgPIE'!I52</f>
        <v>3302.6071545063528</v>
      </c>
      <c r="L57" s="456">
        <f>'Key input_Biomass_MAgPIE'!J52</f>
        <v>4379.4079744463261</v>
      </c>
      <c r="M57" s="456">
        <f>'Key input_Biomass_MAgPIE'!K52</f>
        <v>6637.768699825474</v>
      </c>
      <c r="N57" s="456">
        <f>'Key input_Biomass_MAgPIE'!L52</f>
        <v>12459.955435858526</v>
      </c>
      <c r="O57" s="456">
        <f>'Key input_Biomass_MAgPIE'!M52</f>
        <v>30202.985761647364</v>
      </c>
      <c r="P57" s="456">
        <f>'Key input_Biomass_MAgPIE'!N52</f>
        <v>4256.7102193871524</v>
      </c>
      <c r="Q57" s="456">
        <f>'Key input_Biomass_MAgPIE'!O52</f>
        <v>2615.5850882586001</v>
      </c>
      <c r="R57" s="456">
        <f>'Key input_Biomass_MAgPIE'!P52</f>
        <v>148747.6044752679</v>
      </c>
      <c r="S57" s="456">
        <f>'Key input_Biomass_MAgPIE'!Q52</f>
        <v>4432.9472550803839</v>
      </c>
      <c r="T57" s="456">
        <f>'Key input_Biomass_MAgPIE'!R52</f>
        <v>2965.4807066400685</v>
      </c>
      <c r="U57" s="456">
        <f>'Key input_Biomass_MAgPIE'!S52</f>
        <v>2657.8685410453945</v>
      </c>
      <c r="V57" s="456">
        <f>'Key input_Biomass_MAgPIE'!T52</f>
        <v>4950.2838444197478</v>
      </c>
      <c r="W57" s="456">
        <f>'Key input_Biomass_MAgPIE'!U52</f>
        <v>3661.3299255309416</v>
      </c>
      <c r="X57" s="456">
        <f>'Key input_Biomass_MAgPIE'!V52</f>
        <v>13543.938154953476</v>
      </c>
      <c r="Y57" s="456">
        <f>'Key input_Biomass_MAgPIE'!W52</f>
        <v>14246.343748704894</v>
      </c>
      <c r="Z57" s="456">
        <f>'Key input_Biomass_MAgPIE'!X52</f>
        <v>9282.4098607409742</v>
      </c>
      <c r="AA57" s="456">
        <f>'Key input_Biomass_MAgPIE'!Y52</f>
        <v>40628.319430160838</v>
      </c>
      <c r="AB57" s="456">
        <f>'Key input_Biomass_MAgPIE'!Z52</f>
        <v>8504.5431608810541</v>
      </c>
      <c r="AC57" s="456">
        <f>'Key input_Biomass_MAgPIE'!AA52</f>
        <v>3351.7801081784683</v>
      </c>
      <c r="AD57" s="456">
        <f>'Key input_Biomass_MAgPIE'!AB52</f>
        <v>17309.834851011739</v>
      </c>
      <c r="AE57" s="456">
        <f>'Key input_Biomass_MAgPIE'!AC52</f>
        <v>9769.0498033173153</v>
      </c>
      <c r="AF57" s="456">
        <f>'Key input_Biomass_MAgPIE'!AD52</f>
        <v>6140.9448707979473</v>
      </c>
      <c r="AG57" s="456">
        <f>'Key input_Biomass_MAgPIE'!AE52</f>
        <v>9282.4098607409742</v>
      </c>
      <c r="AH57" s="456">
        <f>'Key input_Biomass_MAgPIE'!AF52</f>
        <v>74263.411946868422</v>
      </c>
      <c r="AK57"/>
      <c r="AL57"/>
    </row>
    <row r="58" spans="1:38" s="4" customFormat="1">
      <c r="A58" s="4" t="str">
        <f t="shared" si="22"/>
        <v>MIN-RSVBIOCRP1</v>
      </c>
      <c r="B58" s="4" t="str">
        <f t="shared" si="18"/>
        <v>UPS Reserves of Biomass - Crops grown for energy - Reserve - Supply curve step 1</v>
      </c>
      <c r="C58" s="4" t="str">
        <f t="shared" si="19"/>
        <v>RSVBIOCRP</v>
      </c>
      <c r="D58" s="4" t="str">
        <f t="shared" si="20"/>
        <v>ACT_BND</v>
      </c>
      <c r="E58" s="4" t="str">
        <f t="shared" si="21"/>
        <v>UP</v>
      </c>
      <c r="F58" s="4">
        <v>2060</v>
      </c>
      <c r="G58" s="456">
        <f>'Key input_Biomass_MAgPIE'!E53</f>
        <v>82927.411198218411</v>
      </c>
      <c r="H58" s="456">
        <f>'Key input_Biomass_MAgPIE'!F53</f>
        <v>3542.0374973682101</v>
      </c>
      <c r="I58" s="456">
        <f>'Key input_Biomass_MAgPIE'!G53</f>
        <v>81824.858723926853</v>
      </c>
      <c r="J58" s="456">
        <f>'Key input_Biomass_MAgPIE'!H53</f>
        <v>39150.142509942423</v>
      </c>
      <c r="K58" s="456">
        <f>'Key input_Biomass_MAgPIE'!I53</f>
        <v>2664.6846188826212</v>
      </c>
      <c r="L58" s="456">
        <f>'Key input_Biomass_MAgPIE'!J53</f>
        <v>8248.5639841492102</v>
      </c>
      <c r="M58" s="456">
        <f>'Key input_Biomass_MAgPIE'!K53</f>
        <v>33330.729424166318</v>
      </c>
      <c r="N58" s="456">
        <f>'Key input_Biomass_MAgPIE'!L53</f>
        <v>62564.470631724726</v>
      </c>
      <c r="O58" s="456">
        <f>'Key input_Biomass_MAgPIE'!M53</f>
        <v>90344.180632835269</v>
      </c>
      <c r="P58" s="456">
        <f>'Key input_Biomass_MAgPIE'!N53</f>
        <v>3434.4721856462215</v>
      </c>
      <c r="Q58" s="456">
        <f>'Key input_Biomass_MAgPIE'!O53</f>
        <v>7823.8021295763683</v>
      </c>
      <c r="R58" s="456">
        <f>'Key input_Biomass_MAgPIE'!P53</f>
        <v>359853.54204988579</v>
      </c>
      <c r="S58" s="456">
        <f>'Key input_Biomass_MAgPIE'!Q53</f>
        <v>5020.7653483051045</v>
      </c>
      <c r="T58" s="456">
        <f>'Key input_Biomass_MAgPIE'!R53</f>
        <v>8661.9796519223673</v>
      </c>
      <c r="U58" s="456">
        <f>'Key input_Biomass_MAgPIE'!S53</f>
        <v>11367.173584905368</v>
      </c>
      <c r="V58" s="456">
        <f>'Key input_Biomass_MAgPIE'!T53</f>
        <v>21160.539186878683</v>
      </c>
      <c r="W58" s="456">
        <f>'Key input_Biomass_MAgPIE'!U53</f>
        <v>15607.944647474947</v>
      </c>
      <c r="X58" s="456">
        <f>'Key input_Biomass_MAgPIE'!V53</f>
        <v>68006.712106290535</v>
      </c>
      <c r="Y58" s="456">
        <f>'Key input_Biomass_MAgPIE'!W53</f>
        <v>19408.882829442315</v>
      </c>
      <c r="Z58" s="456">
        <f>'Key input_Biomass_MAgPIE'!X53</f>
        <v>21619.011146940156</v>
      </c>
      <c r="AA58" s="456">
        <f>'Key input_Biomass_MAgPIE'!Y53</f>
        <v>121526.77329698209</v>
      </c>
      <c r="AB58" s="456">
        <f>'Key input_Biomass_MAgPIE'!Z53</f>
        <v>11142.758975774632</v>
      </c>
      <c r="AC58" s="456">
        <f>'Key input_Biomass_MAgPIE'!AA53</f>
        <v>3654.8053205734313</v>
      </c>
      <c r="AD58" s="456">
        <f>'Key input_Biomass_MAgPIE'!AB53</f>
        <v>51777.434827361896</v>
      </c>
      <c r="AE58" s="456">
        <f>'Key input_Biomass_MAgPIE'!AC53</f>
        <v>47600.257581781851</v>
      </c>
      <c r="AF58" s="456">
        <f>'Key input_Biomass_MAgPIE'!AD53</f>
        <v>5997.0173621784215</v>
      </c>
      <c r="AG58" s="456">
        <f>'Key input_Biomass_MAgPIE'!AE53</f>
        <v>21619.011146940156</v>
      </c>
      <c r="AH58" s="456">
        <f>'Key input_Biomass_MAgPIE'!AF53</f>
        <v>245384.91301196843</v>
      </c>
      <c r="AK58"/>
      <c r="AL58"/>
    </row>
    <row r="59" spans="1:38" s="4" customFormat="1">
      <c r="A59" s="4" t="str">
        <f t="shared" si="22"/>
        <v>MIN-RSVBIOCRP1</v>
      </c>
      <c r="B59" s="4" t="str">
        <f t="shared" si="18"/>
        <v>UPS Reserves of Biomass - Crops grown for energy - Reserve - Supply curve step 1</v>
      </c>
      <c r="C59" s="4" t="str">
        <f t="shared" si="19"/>
        <v>RSVBIOCRP</v>
      </c>
      <c r="D59" s="4" t="str">
        <f t="shared" si="20"/>
        <v>ACT_BND</v>
      </c>
      <c r="E59" s="4" t="str">
        <f t="shared" si="21"/>
        <v>UP</v>
      </c>
      <c r="F59" s="4">
        <v>2070</v>
      </c>
      <c r="G59" s="456">
        <f>'Key input_Biomass_MAgPIE'!E54</f>
        <v>189194.34674547156</v>
      </c>
      <c r="H59" s="456">
        <f>'Key input_Biomass_MAgPIE'!F54</f>
        <v>4536.0340289462938</v>
      </c>
      <c r="I59" s="456">
        <f>'Key input_Biomass_MAgPIE'!G54</f>
        <v>187366.8431076</v>
      </c>
      <c r="J59" s="456">
        <f>'Key input_Biomass_MAgPIE'!H54</f>
        <v>89648.308707458418</v>
      </c>
      <c r="K59" s="456">
        <f>'Key input_Biomass_MAgPIE'!I54</f>
        <v>977.40983873688424</v>
      </c>
      <c r="L59" s="456">
        <f>'Key input_Biomass_MAgPIE'!J54</f>
        <v>14385.107842402527</v>
      </c>
      <c r="M59" s="456">
        <f>'Key input_Biomass_MAgPIE'!K54</f>
        <v>83573.108626393689</v>
      </c>
      <c r="N59" s="456">
        <f>'Key input_Biomass_MAgPIE'!L54</f>
        <v>156873.02760581052</v>
      </c>
      <c r="O59" s="456">
        <f>'Key input_Biomass_MAgPIE'!M54</f>
        <v>152049.93390128895</v>
      </c>
      <c r="P59" s="456">
        <f>'Key input_Biomass_MAgPIE'!N54</f>
        <v>1259.7118362343315</v>
      </c>
      <c r="Q59" s="456">
        <f>'Key input_Biomass_MAgPIE'!O54</f>
        <v>13167.519131768262</v>
      </c>
      <c r="R59" s="456">
        <f>'Key input_Biomass_MAgPIE'!P54</f>
        <v>541126.1130286</v>
      </c>
      <c r="S59" s="456">
        <f>'Key input_Biomass_MAgPIE'!Q54</f>
        <v>4578.3952929532898</v>
      </c>
      <c r="T59" s="456">
        <f>'Key input_Biomass_MAgPIE'!R54</f>
        <v>18362.082884016894</v>
      </c>
      <c r="U59" s="456">
        <f>'Key input_Biomass_MAgPIE'!S54</f>
        <v>26889.95089905526</v>
      </c>
      <c r="V59" s="456">
        <f>'Key input_Biomass_MAgPIE'!T54</f>
        <v>50051.194961432528</v>
      </c>
      <c r="W59" s="456">
        <f>'Key input_Biomass_MAgPIE'!U54</f>
        <v>36895.001302181736</v>
      </c>
      <c r="X59" s="456">
        <f>'Key input_Biomass_MAgPIE'!V54</f>
        <v>170518.35206432053</v>
      </c>
      <c r="Y59" s="456">
        <f>'Key input_Biomass_MAgPIE'!W54</f>
        <v>7650.679342820421</v>
      </c>
      <c r="Z59" s="456">
        <f>'Key input_Biomass_MAgPIE'!X54</f>
        <v>29127.072402433947</v>
      </c>
      <c r="AA59" s="456">
        <f>'Key input_Biomass_MAgPIE'!Y54</f>
        <v>204529.60816707314</v>
      </c>
      <c r="AB59" s="456">
        <f>'Key input_Biomass_MAgPIE'!Z54</f>
        <v>13435.988004935212</v>
      </c>
      <c r="AC59" s="456">
        <f>'Key input_Biomass_MAgPIE'!AA54</f>
        <v>4680.3354692921257</v>
      </c>
      <c r="AD59" s="456">
        <f>'Key input_Biomass_MAgPIE'!AB54</f>
        <v>87141.715014543166</v>
      </c>
      <c r="AE59" s="456">
        <f>'Key input_Biomass_MAgPIE'!AC54</f>
        <v>108997.83927712632</v>
      </c>
      <c r="AF59" s="456">
        <f>'Key input_Biomass_MAgPIE'!AD54</f>
        <v>3653.5695343071529</v>
      </c>
      <c r="AG59" s="456">
        <f>'Key input_Biomass_MAgPIE'!AE54</f>
        <v>29127.072402433947</v>
      </c>
      <c r="AH59" s="456">
        <f>'Key input_Biomass_MAgPIE'!AF54</f>
        <v>433893.2188777079</v>
      </c>
      <c r="AK59"/>
      <c r="AL59"/>
    </row>
    <row r="60" spans="1:38" s="4" customFormat="1">
      <c r="A60" s="4" t="str">
        <f t="shared" si="22"/>
        <v>MIN-RSVBIOCRP1</v>
      </c>
      <c r="B60" s="4" t="str">
        <f t="shared" si="18"/>
        <v>UPS Reserves of Biomass - Crops grown for energy - Reserve - Supply curve step 1</v>
      </c>
      <c r="C60" s="4" t="str">
        <f t="shared" si="19"/>
        <v>RSVBIOCRP</v>
      </c>
      <c r="D60" s="4" t="str">
        <f t="shared" si="20"/>
        <v>ACT_BND</v>
      </c>
      <c r="E60" s="4" t="str">
        <f t="shared" si="21"/>
        <v>UP</v>
      </c>
      <c r="F60" s="4">
        <v>2080</v>
      </c>
      <c r="G60" s="456">
        <f>'Key input_Biomass_MAgPIE'!E55</f>
        <v>286569.41862774</v>
      </c>
      <c r="H60" s="456">
        <f>'Key input_Biomass_MAgPIE'!F55</f>
        <v>7413.094538800683</v>
      </c>
      <c r="I60" s="456">
        <f>'Key input_Biomass_MAgPIE'!G55</f>
        <v>283695.92183174368</v>
      </c>
      <c r="J60" s="456">
        <f>'Key input_Biomass_MAgPIE'!H55</f>
        <v>135738.53967776842</v>
      </c>
      <c r="K60" s="456">
        <f>'Key input_Biomass_MAgPIE'!I55</f>
        <v>1763.6563478582107</v>
      </c>
      <c r="L60" s="456">
        <f>'Key input_Biomass_MAgPIE'!J55</f>
        <v>25183.879167671577</v>
      </c>
      <c r="M60" s="456">
        <f>'Key input_Biomass_MAgPIE'!K55</f>
        <v>141030.8010246442</v>
      </c>
      <c r="N60" s="456">
        <f>'Key input_Biomass_MAgPIE'!L55</f>
        <v>264725.30082569848</v>
      </c>
      <c r="O60" s="456">
        <f>'Key input_Biomass_MAgPIE'!M55</f>
        <v>198442.97505453211</v>
      </c>
      <c r="P60" s="456">
        <f>'Key input_Biomass_MAgPIE'!N55</f>
        <v>2273.134498183605</v>
      </c>
      <c r="Q60" s="456">
        <f>'Key input_Biomass_MAgPIE'!O55</f>
        <v>17185.136491586265</v>
      </c>
      <c r="R60" s="456">
        <f>'Key input_Biomass_MAgPIE'!P55</f>
        <v>589518.5771021106</v>
      </c>
      <c r="S60" s="456">
        <f>'Key input_Biomass_MAgPIE'!Q55</f>
        <v>6857.9958751713157</v>
      </c>
      <c r="T60" s="456">
        <f>'Key input_Biomass_MAgPIE'!R55</f>
        <v>18218.251857464213</v>
      </c>
      <c r="U60" s="456">
        <f>'Key input_Biomass_MAgPIE'!S55</f>
        <v>25958.170295789001</v>
      </c>
      <c r="V60" s="456">
        <f>'Key input_Biomass_MAgPIE'!T55</f>
        <v>48318.118668939103</v>
      </c>
      <c r="W60" s="456">
        <f>'Key input_Biomass_MAgPIE'!U55</f>
        <v>35622.606456697213</v>
      </c>
      <c r="X60" s="456">
        <f>'Key input_Biomass_MAgPIE'!V55</f>
        <v>287751.75244936155</v>
      </c>
      <c r="Y60" s="456">
        <f>'Key input_Biomass_MAgPIE'!W55</f>
        <v>1481.1451006244947</v>
      </c>
      <c r="Z60" s="456">
        <f>'Key input_Biomass_MAgPIE'!X55</f>
        <v>49605.599127723683</v>
      </c>
      <c r="AA60" s="456">
        <f>'Key input_Biomass_MAgPIE'!Y55</f>
        <v>266935.13115572109</v>
      </c>
      <c r="AB60" s="456">
        <f>'Key input_Biomass_MAgPIE'!Z55</f>
        <v>16516.275848003264</v>
      </c>
      <c r="AC60" s="456">
        <f>'Key input_Biomass_MAgPIE'!AA55</f>
        <v>7648.5590826698954</v>
      </c>
      <c r="AD60" s="456">
        <f>'Key input_Biomass_MAgPIE'!AB55</f>
        <v>113730.05484635527</v>
      </c>
      <c r="AE60" s="456">
        <f>'Key input_Biomass_MAgPIE'!AC55</f>
        <v>165035.92010229052</v>
      </c>
      <c r="AF60" s="456">
        <f>'Key input_Biomass_MAgPIE'!AD55</f>
        <v>7809.5909731509482</v>
      </c>
      <c r="AG60" s="456">
        <f>'Key input_Biomass_MAgPIE'!AE55</f>
        <v>49605.599127723683</v>
      </c>
      <c r="AH60" s="456">
        <f>'Key input_Biomass_MAgPIE'!AF55</f>
        <v>534707.31362523686</v>
      </c>
      <c r="AK60"/>
      <c r="AL60"/>
    </row>
    <row r="61" spans="1:38" s="4" customFormat="1">
      <c r="A61" s="4" t="str">
        <f t="shared" si="22"/>
        <v>MIN-RSVBIOCRP1</v>
      </c>
      <c r="B61" s="4" t="str">
        <f t="shared" si="18"/>
        <v>UPS Reserves of Biomass - Crops grown for energy - Reserve - Supply curve step 1</v>
      </c>
      <c r="C61" s="4" t="str">
        <f t="shared" si="19"/>
        <v>RSVBIOCRP</v>
      </c>
      <c r="D61" s="4" t="str">
        <f t="shared" si="20"/>
        <v>ACT_BND</v>
      </c>
      <c r="E61" s="4" t="str">
        <f t="shared" si="21"/>
        <v>UP</v>
      </c>
      <c r="F61" s="4">
        <v>2090</v>
      </c>
      <c r="G61" s="456">
        <f>'Key input_Biomass_MAgPIE'!E56</f>
        <v>405054.36199912737</v>
      </c>
      <c r="H61" s="456">
        <f>'Key input_Biomass_MAgPIE'!F56</f>
        <v>13385.826582223524</v>
      </c>
      <c r="I61" s="456">
        <f>'Key input_Biomass_MAgPIE'!G56</f>
        <v>400428.30329943157</v>
      </c>
      <c r="J61" s="456">
        <f>'Key input_Biomass_MAgPIE'!H56</f>
        <v>191590.99042970949</v>
      </c>
      <c r="K61" s="456">
        <f>'Key input_Biomass_MAgPIE'!I56</f>
        <v>5725.1998177564747</v>
      </c>
      <c r="L61" s="456">
        <f>'Key input_Biomass_MAgPIE'!J56</f>
        <v>45403.343799740418</v>
      </c>
      <c r="M61" s="456">
        <f>'Key input_Biomass_MAgPIE'!K56</f>
        <v>189541.62721122894</v>
      </c>
      <c r="N61" s="456">
        <f>'Key input_Biomass_MAgPIE'!L56</f>
        <v>355783.54685757734</v>
      </c>
      <c r="O61" s="456">
        <f>'Key input_Biomass_MAgPIE'!M56</f>
        <v>217781.35370327896</v>
      </c>
      <c r="P61" s="456">
        <f>'Key input_Biomass_MAgPIE'!N56</f>
        <v>7379.3082143911051</v>
      </c>
      <c r="Q61" s="456">
        <f>'Key input_Biomass_MAgPIE'!O56</f>
        <v>18859.843978082947</v>
      </c>
      <c r="R61" s="456">
        <f>'Key input_Biomass_MAgPIE'!P56</f>
        <v>456487.11791113735</v>
      </c>
      <c r="S61" s="456">
        <f>'Key input_Biomass_MAgPIE'!Q56</f>
        <v>17748.015487197368</v>
      </c>
      <c r="T61" s="456">
        <f>'Key input_Biomass_MAgPIE'!R56</f>
        <v>12044.132096266316</v>
      </c>
      <c r="U61" s="456">
        <f>'Key input_Biomass_MAgPIE'!S56</f>
        <v>14182.082575502578</v>
      </c>
      <c r="V61" s="456">
        <f>'Key input_Biomass_MAgPIE'!T56</f>
        <v>26403.515283631157</v>
      </c>
      <c r="W61" s="456">
        <f>'Key input_Biomass_MAgPIE'!U56</f>
        <v>19488.128365965629</v>
      </c>
      <c r="X61" s="456">
        <f>'Key input_Biomass_MAgPIE'!V56</f>
        <v>386730.34836907737</v>
      </c>
      <c r="Y61" s="456">
        <f>'Key input_Biomass_MAgPIE'!W56</f>
        <v>8496.5804851713692</v>
      </c>
      <c r="Z61" s="456">
        <f>'Key input_Biomass_MAgPIE'!X56</f>
        <v>57837.345794046851</v>
      </c>
      <c r="AA61" s="456">
        <f>'Key input_Biomass_MAgPIE'!Y56</f>
        <v>292948.89047134155</v>
      </c>
      <c r="AB61" s="456">
        <f>'Key input_Biomass_MAgPIE'!Z56</f>
        <v>23161.500521967002</v>
      </c>
      <c r="AC61" s="456">
        <f>'Key input_Biomass_MAgPIE'!AA56</f>
        <v>13810.634998152842</v>
      </c>
      <c r="AD61" s="456">
        <f>'Key input_Biomass_MAgPIE'!AB56</f>
        <v>124813.03130457633</v>
      </c>
      <c r="AE61" s="456">
        <f>'Key input_Biomass_MAgPIE'!AC56</f>
        <v>232943.35473362106</v>
      </c>
      <c r="AF61" s="456">
        <f>'Key input_Biomass_MAgPIE'!AD56</f>
        <v>31470.074029534211</v>
      </c>
      <c r="AG61" s="456">
        <f>'Key input_Biomass_MAgPIE'!AE56</f>
        <v>57837.345794046851</v>
      </c>
      <c r="AH61" s="456">
        <f>'Key input_Biomass_MAgPIE'!AF56</f>
        <v>556936.3928895368</v>
      </c>
      <c r="AK61"/>
      <c r="AL61"/>
    </row>
    <row r="62" spans="1:38" s="4" customFormat="1">
      <c r="A62" s="259" t="str">
        <f t="shared" si="22"/>
        <v>MIN-RSVBIOCRP1</v>
      </c>
      <c r="B62" s="259" t="str">
        <f t="shared" si="18"/>
        <v>UPS Reserves of Biomass - Crops grown for energy - Reserve - Supply curve step 1</v>
      </c>
      <c r="C62" s="259" t="str">
        <f t="shared" si="19"/>
        <v>RSVBIOCRP</v>
      </c>
      <c r="D62" s="259" t="str">
        <f t="shared" si="20"/>
        <v>ACT_BND</v>
      </c>
      <c r="E62" s="259" t="str">
        <f t="shared" si="21"/>
        <v>UP</v>
      </c>
      <c r="F62" s="259">
        <v>2100</v>
      </c>
      <c r="G62" s="435">
        <f>'Key input_Biomass_MAgPIE'!E57</f>
        <v>539747.35390042106</v>
      </c>
      <c r="H62" s="435">
        <f>'Key input_Biomass_MAgPIE'!F57</f>
        <v>19647.72556504684</v>
      </c>
      <c r="I62" s="435">
        <f>'Key input_Biomass_MAgPIE'!G57</f>
        <v>533231.45934668416</v>
      </c>
      <c r="J62" s="435">
        <f>'Key input_Biomass_MAgPIE'!H57</f>
        <v>255132.7346398884</v>
      </c>
      <c r="K62" s="435">
        <f>'Key input_Biomass_MAgPIE'!I57</f>
        <v>8566.3372201246839</v>
      </c>
      <c r="L62" s="435">
        <f>'Key input_Biomass_MAgPIE'!J57</f>
        <v>63643.660260026831</v>
      </c>
      <c r="M62" s="435">
        <f>'Key input_Biomass_MAgPIE'!K57</f>
        <v>213247.03873195002</v>
      </c>
      <c r="N62" s="435">
        <f>'Key input_Biomass_MAgPIE'!L57</f>
        <v>400280.34307927004</v>
      </c>
      <c r="O62" s="435">
        <f>'Key input_Biomass_MAgPIE'!M57</f>
        <v>640379.58105452638</v>
      </c>
      <c r="P62" s="435">
        <f>'Key input_Biomass_MAgPIE'!N57</f>
        <v>11041.284474133157</v>
      </c>
      <c r="Q62" s="435">
        <f>'Key input_Biomass_MAgPIE'!O57</f>
        <v>19734.232365359214</v>
      </c>
      <c r="R62" s="435">
        <f>'Key input_Biomass_MAgPIE'!P57</f>
        <v>1038583.2692440579</v>
      </c>
      <c r="S62" s="435">
        <f>'Key input_Biomass_MAgPIE'!Q57</f>
        <v>29757.206868040212</v>
      </c>
      <c r="T62" s="435">
        <f>'Key input_Biomass_MAgPIE'!R57</f>
        <v>12186.883541365316</v>
      </c>
      <c r="U62" s="435">
        <f>'Key input_Biomass_MAgPIE'!S57</f>
        <v>4792.9958625581103</v>
      </c>
      <c r="V62" s="435">
        <f>'Key input_Biomass_MAgPIE'!T57</f>
        <v>8931.337918984631</v>
      </c>
      <c r="W62" s="435">
        <f>'Key input_Biomass_MAgPIE'!U57</f>
        <v>6625.2452394563161</v>
      </c>
      <c r="X62" s="435">
        <f>'Key input_Biomass_MAgPIE'!V57</f>
        <v>435097.52980318584</v>
      </c>
      <c r="Y62" s="435">
        <f>'Key input_Biomass_MAgPIE'!W57</f>
        <v>29012.444484790001</v>
      </c>
      <c r="Z62" s="435">
        <f>'Key input_Biomass_MAgPIE'!X57</f>
        <v>59567.061568897108</v>
      </c>
      <c r="AA62" s="435">
        <f>'Key input_Biomass_MAgPIE'!Y57</f>
        <v>441324.01252377901</v>
      </c>
      <c r="AB62" s="435">
        <f>'Key input_Biomass_MAgPIE'!Z57</f>
        <v>29382.294869563317</v>
      </c>
      <c r="AC62" s="435">
        <f>'Key input_Biomass_MAgPIE'!AA57</f>
        <v>20271.004427953369</v>
      </c>
      <c r="AD62" s="435">
        <f>'Key input_Biomass_MAgPIE'!AB57</f>
        <v>120784.25040404788</v>
      </c>
      <c r="AE62" s="435">
        <f>'Key input_Biomass_MAgPIE'!AC57</f>
        <v>310199.65224154212</v>
      </c>
      <c r="AF62" s="435">
        <f>'Key input_Biomass_MAgPIE'!AD57</f>
        <v>77348.13281211369</v>
      </c>
      <c r="AG62" s="435">
        <f>'Key input_Biomass_MAgPIE'!AE57</f>
        <v>59567.061568897108</v>
      </c>
      <c r="AH62" s="435">
        <f>'Key input_Biomass_MAgPIE'!AF57</f>
        <v>526099.97187242948</v>
      </c>
      <c r="AK62"/>
      <c r="AL62"/>
    </row>
    <row r="63" spans="1:38" s="4" customFormat="1">
      <c r="A63" s="4" t="str">
        <f t="shared" ref="A63" si="23">IF(AK15="",AJ15,AK15)</f>
        <v>MIN-RSVBIOCRP2</v>
      </c>
      <c r="B63" s="4" t="str">
        <f t="shared" ref="B63" si="24">IF($AK15="","",AL15)</f>
        <v>UPS Reserves of Biomass - Crops grown for energy - Reserve - Supply curve step 2</v>
      </c>
      <c r="C63" s="4" t="str">
        <f>Commodities!$C$16</f>
        <v>RSVBIOCRP</v>
      </c>
      <c r="D63" s="4" t="s">
        <v>678</v>
      </c>
      <c r="E63" s="4" t="s">
        <v>661</v>
      </c>
      <c r="F63" s="4">
        <v>2019</v>
      </c>
      <c r="G63" s="258">
        <f>'Key input_Biomass_MAgPIE'!E58</f>
        <v>0</v>
      </c>
      <c r="H63" s="258">
        <f>'Key input_Biomass_MAgPIE'!F58</f>
        <v>0</v>
      </c>
      <c r="I63" s="258">
        <f>'Key input_Biomass_MAgPIE'!G58</f>
        <v>0</v>
      </c>
      <c r="J63" s="258">
        <f>'Key input_Biomass_MAgPIE'!H58</f>
        <v>0</v>
      </c>
      <c r="K63" s="258">
        <f>'Key input_Biomass_MAgPIE'!I58</f>
        <v>0</v>
      </c>
      <c r="L63" s="258">
        <f>'Key input_Biomass_MAgPIE'!J58</f>
        <v>0</v>
      </c>
      <c r="M63" s="258">
        <f>'Key input_Biomass_MAgPIE'!K58</f>
        <v>0</v>
      </c>
      <c r="N63" s="258">
        <f>'Key input_Biomass_MAgPIE'!L58</f>
        <v>0</v>
      </c>
      <c r="O63" s="258">
        <f>'Key input_Biomass_MAgPIE'!M58</f>
        <v>0</v>
      </c>
      <c r="P63" s="258">
        <f>'Key input_Biomass_MAgPIE'!N58</f>
        <v>0</v>
      </c>
      <c r="Q63" s="258">
        <f>'Key input_Biomass_MAgPIE'!O58</f>
        <v>0</v>
      </c>
      <c r="R63" s="258">
        <f>'Key input_Biomass_MAgPIE'!P58</f>
        <v>0</v>
      </c>
      <c r="S63" s="258">
        <f>'Key input_Biomass_MAgPIE'!Q58</f>
        <v>0</v>
      </c>
      <c r="T63" s="258">
        <f>'Key input_Biomass_MAgPIE'!R58</f>
        <v>0</v>
      </c>
      <c r="U63" s="258">
        <f>'Key input_Biomass_MAgPIE'!S58</f>
        <v>0</v>
      </c>
      <c r="V63" s="258">
        <f>'Key input_Biomass_MAgPIE'!T58</f>
        <v>0</v>
      </c>
      <c r="W63" s="258">
        <f>'Key input_Biomass_MAgPIE'!U58</f>
        <v>0</v>
      </c>
      <c r="X63" s="258">
        <f>'Key input_Biomass_MAgPIE'!V58</f>
        <v>0</v>
      </c>
      <c r="Y63" s="258">
        <f>'Key input_Biomass_MAgPIE'!W58</f>
        <v>0</v>
      </c>
      <c r="Z63" s="258">
        <f>'Key input_Biomass_MAgPIE'!X58</f>
        <v>0</v>
      </c>
      <c r="AA63" s="258">
        <f>'Key input_Biomass_MAgPIE'!Y58</f>
        <v>0</v>
      </c>
      <c r="AB63" s="258">
        <f>'Key input_Biomass_MAgPIE'!Z58</f>
        <v>0</v>
      </c>
      <c r="AC63" s="258">
        <f>'Key input_Biomass_MAgPIE'!AA58</f>
        <v>0</v>
      </c>
      <c r="AD63" s="258">
        <f>'Key input_Biomass_MAgPIE'!AB58</f>
        <v>0</v>
      </c>
      <c r="AE63" s="258">
        <f>'Key input_Biomass_MAgPIE'!AC58</f>
        <v>0</v>
      </c>
      <c r="AF63" s="258">
        <f>'Key input_Biomass_MAgPIE'!AD58</f>
        <v>0</v>
      </c>
      <c r="AG63" s="258">
        <f>'Key input_Biomass_MAgPIE'!AE58</f>
        <v>0</v>
      </c>
      <c r="AH63" s="258">
        <f>'Key input_Biomass_MAgPIE'!AF58</f>
        <v>0</v>
      </c>
      <c r="AK63"/>
      <c r="AL63"/>
    </row>
    <row r="64" spans="1:38" s="4" customFormat="1">
      <c r="A64" s="4" t="str">
        <f>A63</f>
        <v>MIN-RSVBIOCRP2</v>
      </c>
      <c r="B64" s="4" t="str">
        <f t="shared" ref="B64:B75" si="25">B63</f>
        <v>UPS Reserves of Biomass - Crops grown for energy - Reserve - Supply curve step 2</v>
      </c>
      <c r="C64" s="4" t="str">
        <f t="shared" ref="C64:C75" si="26">C63</f>
        <v>RSVBIOCRP</v>
      </c>
      <c r="D64" s="4" t="str">
        <f t="shared" ref="D64:D75" si="27">D63</f>
        <v>ACT_BND</v>
      </c>
      <c r="E64" s="4" t="str">
        <f t="shared" ref="E64:E75" si="28">E63</f>
        <v>UP</v>
      </c>
      <c r="F64" s="4">
        <v>2020</v>
      </c>
      <c r="G64" s="456">
        <f>'Key input_Biomass_MAgPIE'!E59</f>
        <v>0</v>
      </c>
      <c r="H64" s="456">
        <f>'Key input_Biomass_MAgPIE'!F59</f>
        <v>0</v>
      </c>
      <c r="I64" s="456">
        <f>'Key input_Biomass_MAgPIE'!G59</f>
        <v>0</v>
      </c>
      <c r="J64" s="456">
        <f>'Key input_Biomass_MAgPIE'!H59</f>
        <v>0</v>
      </c>
      <c r="K64" s="456">
        <f>'Key input_Biomass_MAgPIE'!I59</f>
        <v>0</v>
      </c>
      <c r="L64" s="456">
        <f>'Key input_Biomass_MAgPIE'!J59</f>
        <v>0</v>
      </c>
      <c r="M64" s="456">
        <f>'Key input_Biomass_MAgPIE'!K59</f>
        <v>0</v>
      </c>
      <c r="N64" s="456">
        <f>'Key input_Biomass_MAgPIE'!L59</f>
        <v>0</v>
      </c>
      <c r="O64" s="456">
        <f>'Key input_Biomass_MAgPIE'!M59</f>
        <v>0</v>
      </c>
      <c r="P64" s="456">
        <f>'Key input_Biomass_MAgPIE'!N59</f>
        <v>0</v>
      </c>
      <c r="Q64" s="456">
        <f>'Key input_Biomass_MAgPIE'!O59</f>
        <v>0</v>
      </c>
      <c r="R64" s="456">
        <f>'Key input_Biomass_MAgPIE'!P59</f>
        <v>0</v>
      </c>
      <c r="S64" s="456">
        <f>'Key input_Biomass_MAgPIE'!Q59</f>
        <v>0</v>
      </c>
      <c r="T64" s="456">
        <f>'Key input_Biomass_MAgPIE'!R59</f>
        <v>0</v>
      </c>
      <c r="U64" s="456">
        <f>'Key input_Biomass_MAgPIE'!S59</f>
        <v>0</v>
      </c>
      <c r="V64" s="456">
        <f>'Key input_Biomass_MAgPIE'!T59</f>
        <v>0</v>
      </c>
      <c r="W64" s="456">
        <f>'Key input_Biomass_MAgPIE'!U59</f>
        <v>0</v>
      </c>
      <c r="X64" s="456">
        <f>'Key input_Biomass_MAgPIE'!V59</f>
        <v>0</v>
      </c>
      <c r="Y64" s="456">
        <f>'Key input_Biomass_MAgPIE'!W59</f>
        <v>0</v>
      </c>
      <c r="Z64" s="456">
        <f>'Key input_Biomass_MAgPIE'!X59</f>
        <v>0</v>
      </c>
      <c r="AA64" s="456">
        <f>'Key input_Biomass_MAgPIE'!Y59</f>
        <v>0</v>
      </c>
      <c r="AB64" s="456">
        <f>'Key input_Biomass_MAgPIE'!Z59</f>
        <v>0</v>
      </c>
      <c r="AC64" s="456">
        <f>'Key input_Biomass_MAgPIE'!AA59</f>
        <v>0</v>
      </c>
      <c r="AD64" s="456">
        <f>'Key input_Biomass_MAgPIE'!AB59</f>
        <v>0</v>
      </c>
      <c r="AE64" s="456">
        <f>'Key input_Biomass_MAgPIE'!AC59</f>
        <v>0</v>
      </c>
      <c r="AF64" s="456">
        <f>'Key input_Biomass_MAgPIE'!AD59</f>
        <v>0</v>
      </c>
      <c r="AG64" s="456">
        <f>'Key input_Biomass_MAgPIE'!AE59</f>
        <v>0</v>
      </c>
      <c r="AH64" s="456">
        <f>'Key input_Biomass_MAgPIE'!AF59</f>
        <v>0</v>
      </c>
      <c r="AK64"/>
      <c r="AL64"/>
    </row>
    <row r="65" spans="1:38" s="4" customFormat="1">
      <c r="A65" s="4" t="str">
        <f t="shared" ref="A65:A75" si="29">A64</f>
        <v>MIN-RSVBIOCRP2</v>
      </c>
      <c r="B65" s="4" t="str">
        <f t="shared" si="25"/>
        <v>UPS Reserves of Biomass - Crops grown for energy - Reserve - Supply curve step 2</v>
      </c>
      <c r="C65" s="4" t="str">
        <f t="shared" si="26"/>
        <v>RSVBIOCRP</v>
      </c>
      <c r="D65" s="4" t="str">
        <f t="shared" si="27"/>
        <v>ACT_BND</v>
      </c>
      <c r="E65" s="4" t="str">
        <f t="shared" si="28"/>
        <v>UP</v>
      </c>
      <c r="F65" s="4">
        <v>2025</v>
      </c>
      <c r="G65" s="456">
        <f>'Key input_Biomass_MAgPIE'!E60</f>
        <v>0</v>
      </c>
      <c r="H65" s="456">
        <f>'Key input_Biomass_MAgPIE'!F60</f>
        <v>0</v>
      </c>
      <c r="I65" s="456">
        <f>'Key input_Biomass_MAgPIE'!G60</f>
        <v>0</v>
      </c>
      <c r="J65" s="456">
        <f>'Key input_Biomass_MAgPIE'!H60</f>
        <v>0</v>
      </c>
      <c r="K65" s="456">
        <f>'Key input_Biomass_MAgPIE'!I60</f>
        <v>0</v>
      </c>
      <c r="L65" s="456">
        <f>'Key input_Biomass_MAgPIE'!J60</f>
        <v>0</v>
      </c>
      <c r="M65" s="456">
        <f>'Key input_Biomass_MAgPIE'!K60</f>
        <v>0</v>
      </c>
      <c r="N65" s="456">
        <f>'Key input_Biomass_MAgPIE'!L60</f>
        <v>0</v>
      </c>
      <c r="O65" s="456">
        <f>'Key input_Biomass_MAgPIE'!M60</f>
        <v>0</v>
      </c>
      <c r="P65" s="456">
        <f>'Key input_Biomass_MAgPIE'!N60</f>
        <v>0</v>
      </c>
      <c r="Q65" s="456">
        <f>'Key input_Biomass_MAgPIE'!O60</f>
        <v>0</v>
      </c>
      <c r="R65" s="456">
        <f>'Key input_Biomass_MAgPIE'!P60</f>
        <v>0</v>
      </c>
      <c r="S65" s="456">
        <f>'Key input_Biomass_MAgPIE'!Q60</f>
        <v>0</v>
      </c>
      <c r="T65" s="456">
        <f>'Key input_Biomass_MAgPIE'!R60</f>
        <v>0</v>
      </c>
      <c r="U65" s="456">
        <f>'Key input_Biomass_MAgPIE'!S60</f>
        <v>0</v>
      </c>
      <c r="V65" s="456">
        <f>'Key input_Biomass_MAgPIE'!T60</f>
        <v>0</v>
      </c>
      <c r="W65" s="456">
        <f>'Key input_Biomass_MAgPIE'!U60</f>
        <v>0</v>
      </c>
      <c r="X65" s="456">
        <f>'Key input_Biomass_MAgPIE'!V60</f>
        <v>0</v>
      </c>
      <c r="Y65" s="456">
        <f>'Key input_Biomass_MAgPIE'!W60</f>
        <v>0</v>
      </c>
      <c r="Z65" s="456">
        <f>'Key input_Biomass_MAgPIE'!X60</f>
        <v>0</v>
      </c>
      <c r="AA65" s="456">
        <f>'Key input_Biomass_MAgPIE'!Y60</f>
        <v>0</v>
      </c>
      <c r="AB65" s="456">
        <f>'Key input_Biomass_MAgPIE'!Z60</f>
        <v>0</v>
      </c>
      <c r="AC65" s="456">
        <f>'Key input_Biomass_MAgPIE'!AA60</f>
        <v>0</v>
      </c>
      <c r="AD65" s="456">
        <f>'Key input_Biomass_MAgPIE'!AB60</f>
        <v>0</v>
      </c>
      <c r="AE65" s="456">
        <f>'Key input_Biomass_MAgPIE'!AC60</f>
        <v>0</v>
      </c>
      <c r="AF65" s="456">
        <f>'Key input_Biomass_MAgPIE'!AD60</f>
        <v>0</v>
      </c>
      <c r="AG65" s="456">
        <f>'Key input_Biomass_MAgPIE'!AE60</f>
        <v>0</v>
      </c>
      <c r="AH65" s="456">
        <f>'Key input_Biomass_MAgPIE'!AF60</f>
        <v>0</v>
      </c>
      <c r="AK65"/>
      <c r="AL65"/>
    </row>
    <row r="66" spans="1:38" s="4" customFormat="1">
      <c r="A66" s="4" t="str">
        <f t="shared" si="29"/>
        <v>MIN-RSVBIOCRP2</v>
      </c>
      <c r="B66" s="4" t="str">
        <f t="shared" si="25"/>
        <v>UPS Reserves of Biomass - Crops grown for energy - Reserve - Supply curve step 2</v>
      </c>
      <c r="C66" s="4" t="str">
        <f t="shared" si="26"/>
        <v>RSVBIOCRP</v>
      </c>
      <c r="D66" s="4" t="str">
        <f t="shared" si="27"/>
        <v>ACT_BND</v>
      </c>
      <c r="E66" s="4" t="str">
        <f t="shared" si="28"/>
        <v>UP</v>
      </c>
      <c r="F66" s="4">
        <v>2030</v>
      </c>
      <c r="G66" s="456">
        <f>'Key input_Biomass_MAgPIE'!E61</f>
        <v>0</v>
      </c>
      <c r="H66" s="456">
        <f>'Key input_Biomass_MAgPIE'!F61</f>
        <v>0</v>
      </c>
      <c r="I66" s="456">
        <f>'Key input_Biomass_MAgPIE'!G61</f>
        <v>0</v>
      </c>
      <c r="J66" s="456">
        <f>'Key input_Biomass_MAgPIE'!H61</f>
        <v>0</v>
      </c>
      <c r="K66" s="456">
        <f>'Key input_Biomass_MAgPIE'!I61</f>
        <v>0</v>
      </c>
      <c r="L66" s="456">
        <f>'Key input_Biomass_MAgPIE'!J61</f>
        <v>0</v>
      </c>
      <c r="M66" s="456">
        <f>'Key input_Biomass_MAgPIE'!K61</f>
        <v>0</v>
      </c>
      <c r="N66" s="456">
        <f>'Key input_Biomass_MAgPIE'!L61</f>
        <v>0</v>
      </c>
      <c r="O66" s="456">
        <f>'Key input_Biomass_MAgPIE'!M61</f>
        <v>0</v>
      </c>
      <c r="P66" s="456">
        <f>'Key input_Biomass_MAgPIE'!N61</f>
        <v>0</v>
      </c>
      <c r="Q66" s="456">
        <f>'Key input_Biomass_MAgPIE'!O61</f>
        <v>0</v>
      </c>
      <c r="R66" s="456">
        <f>'Key input_Biomass_MAgPIE'!P61</f>
        <v>0</v>
      </c>
      <c r="S66" s="456">
        <f>'Key input_Biomass_MAgPIE'!Q61</f>
        <v>0</v>
      </c>
      <c r="T66" s="456">
        <f>'Key input_Biomass_MAgPIE'!R61</f>
        <v>0</v>
      </c>
      <c r="U66" s="456">
        <f>'Key input_Biomass_MAgPIE'!S61</f>
        <v>0</v>
      </c>
      <c r="V66" s="456">
        <f>'Key input_Biomass_MAgPIE'!T61</f>
        <v>0</v>
      </c>
      <c r="W66" s="456">
        <f>'Key input_Biomass_MAgPIE'!U61</f>
        <v>0</v>
      </c>
      <c r="X66" s="456">
        <f>'Key input_Biomass_MAgPIE'!V61</f>
        <v>0</v>
      </c>
      <c r="Y66" s="456">
        <f>'Key input_Biomass_MAgPIE'!W61</f>
        <v>0</v>
      </c>
      <c r="Z66" s="456">
        <f>'Key input_Biomass_MAgPIE'!X61</f>
        <v>0</v>
      </c>
      <c r="AA66" s="456">
        <f>'Key input_Biomass_MAgPIE'!Y61</f>
        <v>0</v>
      </c>
      <c r="AB66" s="456">
        <f>'Key input_Biomass_MAgPIE'!Z61</f>
        <v>0</v>
      </c>
      <c r="AC66" s="456">
        <f>'Key input_Biomass_MAgPIE'!AA61</f>
        <v>0</v>
      </c>
      <c r="AD66" s="456">
        <f>'Key input_Biomass_MAgPIE'!AB61</f>
        <v>0</v>
      </c>
      <c r="AE66" s="456">
        <f>'Key input_Biomass_MAgPIE'!AC61</f>
        <v>0</v>
      </c>
      <c r="AF66" s="456">
        <f>'Key input_Biomass_MAgPIE'!AD61</f>
        <v>0</v>
      </c>
      <c r="AG66" s="456">
        <f>'Key input_Biomass_MAgPIE'!AE61</f>
        <v>0</v>
      </c>
      <c r="AH66" s="456">
        <f>'Key input_Biomass_MAgPIE'!AF61</f>
        <v>0</v>
      </c>
      <c r="AK66"/>
      <c r="AL66"/>
    </row>
    <row r="67" spans="1:38" s="4" customFormat="1">
      <c r="A67" s="4" t="str">
        <f t="shared" si="29"/>
        <v>MIN-RSVBIOCRP2</v>
      </c>
      <c r="B67" s="4" t="str">
        <f t="shared" si="25"/>
        <v>UPS Reserves of Biomass - Crops grown for energy - Reserve - Supply curve step 2</v>
      </c>
      <c r="C67" s="4" t="str">
        <f t="shared" si="26"/>
        <v>RSVBIOCRP</v>
      </c>
      <c r="D67" s="4" t="str">
        <f t="shared" si="27"/>
        <v>ACT_BND</v>
      </c>
      <c r="E67" s="4" t="str">
        <f t="shared" si="28"/>
        <v>UP</v>
      </c>
      <c r="F67" s="4">
        <v>2035</v>
      </c>
      <c r="G67" s="456">
        <f>'Key input_Biomass_MAgPIE'!E62</f>
        <v>0</v>
      </c>
      <c r="H67" s="456">
        <f>'Key input_Biomass_MAgPIE'!F62</f>
        <v>0</v>
      </c>
      <c r="I67" s="456">
        <f>'Key input_Biomass_MAgPIE'!G62</f>
        <v>0</v>
      </c>
      <c r="J67" s="456">
        <f>'Key input_Biomass_MAgPIE'!H62</f>
        <v>0</v>
      </c>
      <c r="K67" s="456">
        <f>'Key input_Biomass_MAgPIE'!I62</f>
        <v>0</v>
      </c>
      <c r="L67" s="456">
        <f>'Key input_Biomass_MAgPIE'!J62</f>
        <v>0</v>
      </c>
      <c r="M67" s="456">
        <f>'Key input_Biomass_MAgPIE'!K62</f>
        <v>0</v>
      </c>
      <c r="N67" s="456">
        <f>'Key input_Biomass_MAgPIE'!L62</f>
        <v>0</v>
      </c>
      <c r="O67" s="456">
        <f>'Key input_Biomass_MAgPIE'!M62</f>
        <v>0</v>
      </c>
      <c r="P67" s="456">
        <f>'Key input_Biomass_MAgPIE'!N62</f>
        <v>0</v>
      </c>
      <c r="Q67" s="456">
        <f>'Key input_Biomass_MAgPIE'!O62</f>
        <v>0</v>
      </c>
      <c r="R67" s="456">
        <f>'Key input_Biomass_MAgPIE'!P62</f>
        <v>0</v>
      </c>
      <c r="S67" s="456">
        <f>'Key input_Biomass_MAgPIE'!Q62</f>
        <v>0</v>
      </c>
      <c r="T67" s="456">
        <f>'Key input_Biomass_MAgPIE'!R62</f>
        <v>0</v>
      </c>
      <c r="U67" s="456">
        <f>'Key input_Biomass_MAgPIE'!S62</f>
        <v>0</v>
      </c>
      <c r="V67" s="456">
        <f>'Key input_Biomass_MAgPIE'!T62</f>
        <v>0</v>
      </c>
      <c r="W67" s="456">
        <f>'Key input_Biomass_MAgPIE'!U62</f>
        <v>0</v>
      </c>
      <c r="X67" s="456">
        <f>'Key input_Biomass_MAgPIE'!V62</f>
        <v>0</v>
      </c>
      <c r="Y67" s="456">
        <f>'Key input_Biomass_MAgPIE'!W62</f>
        <v>0</v>
      </c>
      <c r="Z67" s="456">
        <f>'Key input_Biomass_MAgPIE'!X62</f>
        <v>0</v>
      </c>
      <c r="AA67" s="456">
        <f>'Key input_Biomass_MAgPIE'!Y62</f>
        <v>0</v>
      </c>
      <c r="AB67" s="456">
        <f>'Key input_Biomass_MAgPIE'!Z62</f>
        <v>0</v>
      </c>
      <c r="AC67" s="456">
        <f>'Key input_Biomass_MAgPIE'!AA62</f>
        <v>0</v>
      </c>
      <c r="AD67" s="456">
        <f>'Key input_Biomass_MAgPIE'!AB62</f>
        <v>0</v>
      </c>
      <c r="AE67" s="456">
        <f>'Key input_Biomass_MAgPIE'!AC62</f>
        <v>0</v>
      </c>
      <c r="AF67" s="456">
        <f>'Key input_Biomass_MAgPIE'!AD62</f>
        <v>0</v>
      </c>
      <c r="AG67" s="456">
        <f>'Key input_Biomass_MAgPIE'!AE62</f>
        <v>0</v>
      </c>
      <c r="AH67" s="456">
        <f>'Key input_Biomass_MAgPIE'!AF62</f>
        <v>0</v>
      </c>
      <c r="AK67"/>
      <c r="AL67"/>
    </row>
    <row r="68" spans="1:38" s="4" customFormat="1">
      <c r="A68" s="4" t="str">
        <f t="shared" si="29"/>
        <v>MIN-RSVBIOCRP2</v>
      </c>
      <c r="B68" s="4" t="str">
        <f t="shared" si="25"/>
        <v>UPS Reserves of Biomass - Crops grown for energy - Reserve - Supply curve step 2</v>
      </c>
      <c r="C68" s="4" t="str">
        <f t="shared" si="26"/>
        <v>RSVBIOCRP</v>
      </c>
      <c r="D68" s="4" t="str">
        <f t="shared" si="27"/>
        <v>ACT_BND</v>
      </c>
      <c r="E68" s="4" t="str">
        <f t="shared" si="28"/>
        <v>UP</v>
      </c>
      <c r="F68" s="4">
        <v>2040</v>
      </c>
      <c r="G68" s="456">
        <f>'Key input_Biomass_MAgPIE'!E63</f>
        <v>0</v>
      </c>
      <c r="H68" s="456">
        <f>'Key input_Biomass_MAgPIE'!F63</f>
        <v>2.4096533051073802E-3</v>
      </c>
      <c r="I68" s="456">
        <f>'Key input_Biomass_MAgPIE'!G63</f>
        <v>0</v>
      </c>
      <c r="J68" s="456">
        <f>'Key input_Biomass_MAgPIE'!H63</f>
        <v>0</v>
      </c>
      <c r="K68" s="456">
        <f>'Key input_Biomass_MAgPIE'!I63</f>
        <v>0</v>
      </c>
      <c r="L68" s="456">
        <f>'Key input_Biomass_MAgPIE'!J63</f>
        <v>0</v>
      </c>
      <c r="M68" s="456">
        <f>'Key input_Biomass_MAgPIE'!K63</f>
        <v>0</v>
      </c>
      <c r="N68" s="456">
        <f>'Key input_Biomass_MAgPIE'!L63</f>
        <v>0</v>
      </c>
      <c r="O68" s="456">
        <f>'Key input_Biomass_MAgPIE'!M63</f>
        <v>0</v>
      </c>
      <c r="P68" s="456">
        <f>'Key input_Biomass_MAgPIE'!N63</f>
        <v>0</v>
      </c>
      <c r="Q68" s="456">
        <f>'Key input_Biomass_MAgPIE'!O63</f>
        <v>0</v>
      </c>
      <c r="R68" s="456">
        <f>'Key input_Biomass_MAgPIE'!P63</f>
        <v>0</v>
      </c>
      <c r="S68" s="456">
        <f>'Key input_Biomass_MAgPIE'!Q63</f>
        <v>0</v>
      </c>
      <c r="T68" s="456">
        <f>'Key input_Biomass_MAgPIE'!R63</f>
        <v>0</v>
      </c>
      <c r="U68" s="456">
        <f>'Key input_Biomass_MAgPIE'!S63</f>
        <v>0</v>
      </c>
      <c r="V68" s="456">
        <f>'Key input_Biomass_MAgPIE'!T63</f>
        <v>0</v>
      </c>
      <c r="W68" s="456">
        <f>'Key input_Biomass_MAgPIE'!U63</f>
        <v>0</v>
      </c>
      <c r="X68" s="456">
        <f>'Key input_Biomass_MAgPIE'!V63</f>
        <v>0</v>
      </c>
      <c r="Y68" s="456">
        <f>'Key input_Biomass_MAgPIE'!W63</f>
        <v>0</v>
      </c>
      <c r="Z68" s="456">
        <f>'Key input_Biomass_MAgPIE'!X63</f>
        <v>0</v>
      </c>
      <c r="AA68" s="456">
        <f>'Key input_Biomass_MAgPIE'!Y63</f>
        <v>0</v>
      </c>
      <c r="AB68" s="456">
        <f>'Key input_Biomass_MAgPIE'!Z63</f>
        <v>0</v>
      </c>
      <c r="AC68" s="456">
        <f>'Key input_Biomass_MAgPIE'!AA63</f>
        <v>0</v>
      </c>
      <c r="AD68" s="456">
        <f>'Key input_Biomass_MAgPIE'!AB63</f>
        <v>0</v>
      </c>
      <c r="AE68" s="456">
        <f>'Key input_Biomass_MAgPIE'!AC63</f>
        <v>0</v>
      </c>
      <c r="AF68" s="456">
        <f>'Key input_Biomass_MAgPIE'!AD63</f>
        <v>0</v>
      </c>
      <c r="AG68" s="456">
        <f>'Key input_Biomass_MAgPIE'!AE63</f>
        <v>0</v>
      </c>
      <c r="AH68" s="456">
        <f>'Key input_Biomass_MAgPIE'!AF63</f>
        <v>0</v>
      </c>
      <c r="AK68"/>
      <c r="AL68"/>
    </row>
    <row r="69" spans="1:38" s="4" customFormat="1">
      <c r="A69" s="4" t="str">
        <f t="shared" si="29"/>
        <v>MIN-RSVBIOCRP2</v>
      </c>
      <c r="B69" s="4" t="str">
        <f t="shared" si="25"/>
        <v>UPS Reserves of Biomass - Crops grown for energy - Reserve - Supply curve step 2</v>
      </c>
      <c r="C69" s="4" t="str">
        <f t="shared" si="26"/>
        <v>RSVBIOCRP</v>
      </c>
      <c r="D69" s="4" t="str">
        <f t="shared" si="27"/>
        <v>ACT_BND</v>
      </c>
      <c r="E69" s="4" t="str">
        <f t="shared" si="28"/>
        <v>UP</v>
      </c>
      <c r="F69" s="4">
        <v>2045</v>
      </c>
      <c r="G69" s="456">
        <f>'Key input_Biomass_MAgPIE'!E64</f>
        <v>0</v>
      </c>
      <c r="H69" s="456">
        <f>'Key input_Biomass_MAgPIE'!F64</f>
        <v>0</v>
      </c>
      <c r="I69" s="456">
        <f>'Key input_Biomass_MAgPIE'!G64</f>
        <v>0</v>
      </c>
      <c r="J69" s="456">
        <f>'Key input_Biomass_MAgPIE'!H64</f>
        <v>0</v>
      </c>
      <c r="K69" s="456">
        <f>'Key input_Biomass_MAgPIE'!I64</f>
        <v>0</v>
      </c>
      <c r="L69" s="456">
        <f>'Key input_Biomass_MAgPIE'!J64</f>
        <v>0</v>
      </c>
      <c r="M69" s="456">
        <f>'Key input_Biomass_MAgPIE'!K64</f>
        <v>0</v>
      </c>
      <c r="N69" s="456">
        <f>'Key input_Biomass_MAgPIE'!L64</f>
        <v>0</v>
      </c>
      <c r="O69" s="456">
        <f>'Key input_Biomass_MAgPIE'!M64</f>
        <v>0</v>
      </c>
      <c r="P69" s="456">
        <f>'Key input_Biomass_MAgPIE'!N64</f>
        <v>0</v>
      </c>
      <c r="Q69" s="456">
        <f>'Key input_Biomass_MAgPIE'!O64</f>
        <v>0</v>
      </c>
      <c r="R69" s="456">
        <f>'Key input_Biomass_MAgPIE'!P64</f>
        <v>0</v>
      </c>
      <c r="S69" s="456">
        <f>'Key input_Biomass_MAgPIE'!Q64</f>
        <v>0</v>
      </c>
      <c r="T69" s="456">
        <f>'Key input_Biomass_MAgPIE'!R64</f>
        <v>0</v>
      </c>
      <c r="U69" s="456">
        <f>'Key input_Biomass_MAgPIE'!S64</f>
        <v>0</v>
      </c>
      <c r="V69" s="456">
        <f>'Key input_Biomass_MAgPIE'!T64</f>
        <v>0</v>
      </c>
      <c r="W69" s="456">
        <f>'Key input_Biomass_MAgPIE'!U64</f>
        <v>0</v>
      </c>
      <c r="X69" s="456">
        <f>'Key input_Biomass_MAgPIE'!V64</f>
        <v>0</v>
      </c>
      <c r="Y69" s="456">
        <f>'Key input_Biomass_MAgPIE'!W64</f>
        <v>0</v>
      </c>
      <c r="Z69" s="456">
        <f>'Key input_Biomass_MAgPIE'!X64</f>
        <v>3.5718186055054761E-3</v>
      </c>
      <c r="AA69" s="456">
        <f>'Key input_Biomass_MAgPIE'!Y64</f>
        <v>0</v>
      </c>
      <c r="AB69" s="456">
        <f>'Key input_Biomass_MAgPIE'!Z64</f>
        <v>0</v>
      </c>
      <c r="AC69" s="456">
        <f>'Key input_Biomass_MAgPIE'!AA64</f>
        <v>0</v>
      </c>
      <c r="AD69" s="456">
        <f>'Key input_Biomass_MAgPIE'!AB64</f>
        <v>0</v>
      </c>
      <c r="AE69" s="456">
        <f>'Key input_Biomass_MAgPIE'!AC64</f>
        <v>0</v>
      </c>
      <c r="AF69" s="456">
        <f>'Key input_Biomass_MAgPIE'!AD64</f>
        <v>0</v>
      </c>
      <c r="AG69" s="456">
        <f>'Key input_Biomass_MAgPIE'!AE64</f>
        <v>3.5718186055054761E-3</v>
      </c>
      <c r="AH69" s="456">
        <f>'Key input_Biomass_MAgPIE'!AF64</f>
        <v>0</v>
      </c>
      <c r="AK69"/>
      <c r="AL69"/>
    </row>
    <row r="70" spans="1:38" s="4" customFormat="1">
      <c r="A70" s="4" t="str">
        <f t="shared" si="29"/>
        <v>MIN-RSVBIOCRP2</v>
      </c>
      <c r="B70" s="4" t="str">
        <f t="shared" si="25"/>
        <v>UPS Reserves of Biomass - Crops grown for energy - Reserve - Supply curve step 2</v>
      </c>
      <c r="C70" s="4" t="str">
        <f t="shared" si="26"/>
        <v>RSVBIOCRP</v>
      </c>
      <c r="D70" s="4" t="str">
        <f t="shared" si="27"/>
        <v>ACT_BND</v>
      </c>
      <c r="E70" s="4" t="str">
        <f t="shared" si="28"/>
        <v>UP</v>
      </c>
      <c r="F70" s="4">
        <v>2050</v>
      </c>
      <c r="G70" s="456">
        <f>'Key input_Biomass_MAgPIE'!E65</f>
        <v>0</v>
      </c>
      <c r="H70" s="456">
        <f>'Key input_Biomass_MAgPIE'!F65</f>
        <v>0</v>
      </c>
      <c r="I70" s="456">
        <f>'Key input_Biomass_MAgPIE'!G65</f>
        <v>0</v>
      </c>
      <c r="J70" s="456">
        <f>'Key input_Biomass_MAgPIE'!H65</f>
        <v>0</v>
      </c>
      <c r="K70" s="456">
        <f>'Key input_Biomass_MAgPIE'!I65</f>
        <v>0</v>
      </c>
      <c r="L70" s="456">
        <f>'Key input_Biomass_MAgPIE'!J65</f>
        <v>0</v>
      </c>
      <c r="M70" s="456">
        <f>'Key input_Biomass_MAgPIE'!K65</f>
        <v>0</v>
      </c>
      <c r="N70" s="456">
        <f>'Key input_Biomass_MAgPIE'!L65</f>
        <v>0</v>
      </c>
      <c r="O70" s="456">
        <f>'Key input_Biomass_MAgPIE'!M65</f>
        <v>0</v>
      </c>
      <c r="P70" s="456">
        <f>'Key input_Biomass_MAgPIE'!N65</f>
        <v>0</v>
      </c>
      <c r="Q70" s="456">
        <f>'Key input_Biomass_MAgPIE'!O65</f>
        <v>0</v>
      </c>
      <c r="R70" s="456">
        <f>'Key input_Biomass_MAgPIE'!P65</f>
        <v>0</v>
      </c>
      <c r="S70" s="456">
        <f>'Key input_Biomass_MAgPIE'!Q65</f>
        <v>0</v>
      </c>
      <c r="T70" s="456">
        <f>'Key input_Biomass_MAgPIE'!R65</f>
        <v>0</v>
      </c>
      <c r="U70" s="456">
        <f>'Key input_Biomass_MAgPIE'!S65</f>
        <v>0</v>
      </c>
      <c r="V70" s="456">
        <f>'Key input_Biomass_MAgPIE'!T65</f>
        <v>0</v>
      </c>
      <c r="W70" s="456">
        <f>'Key input_Biomass_MAgPIE'!U65</f>
        <v>0</v>
      </c>
      <c r="X70" s="456">
        <f>'Key input_Biomass_MAgPIE'!V65</f>
        <v>0</v>
      </c>
      <c r="Y70" s="456">
        <f>'Key input_Biomass_MAgPIE'!W65</f>
        <v>0</v>
      </c>
      <c r="Z70" s="456">
        <f>'Key input_Biomass_MAgPIE'!X65</f>
        <v>1.867624320984225E-2</v>
      </c>
      <c r="AA70" s="456">
        <f>'Key input_Biomass_MAgPIE'!Y65</f>
        <v>0</v>
      </c>
      <c r="AB70" s="456">
        <f>'Key input_Biomass_MAgPIE'!Z65</f>
        <v>0</v>
      </c>
      <c r="AC70" s="456">
        <f>'Key input_Biomass_MAgPIE'!AA65</f>
        <v>0</v>
      </c>
      <c r="AD70" s="456">
        <f>'Key input_Biomass_MAgPIE'!AB65</f>
        <v>0</v>
      </c>
      <c r="AE70" s="456">
        <f>'Key input_Biomass_MAgPIE'!AC65</f>
        <v>0</v>
      </c>
      <c r="AF70" s="456">
        <f>'Key input_Biomass_MAgPIE'!AD65</f>
        <v>0</v>
      </c>
      <c r="AG70" s="456">
        <f>'Key input_Biomass_MAgPIE'!AE65</f>
        <v>1.867624320984225E-2</v>
      </c>
      <c r="AH70" s="456">
        <f>'Key input_Biomass_MAgPIE'!AF65</f>
        <v>0</v>
      </c>
      <c r="AK70"/>
      <c r="AL70"/>
    </row>
    <row r="71" spans="1:38" s="4" customFormat="1">
      <c r="A71" s="4" t="str">
        <f t="shared" si="29"/>
        <v>MIN-RSVBIOCRP2</v>
      </c>
      <c r="B71" s="4" t="str">
        <f t="shared" si="25"/>
        <v>UPS Reserves of Biomass - Crops grown for energy - Reserve - Supply curve step 2</v>
      </c>
      <c r="C71" s="4" t="str">
        <f t="shared" si="26"/>
        <v>RSVBIOCRP</v>
      </c>
      <c r="D71" s="4" t="str">
        <f t="shared" si="27"/>
        <v>ACT_BND</v>
      </c>
      <c r="E71" s="4" t="str">
        <f t="shared" si="28"/>
        <v>UP</v>
      </c>
      <c r="F71" s="4">
        <v>2060</v>
      </c>
      <c r="G71" s="456">
        <f>'Key input_Biomass_MAgPIE'!E66</f>
        <v>0</v>
      </c>
      <c r="H71" s="456">
        <f>'Key input_Biomass_MAgPIE'!F66</f>
        <v>0</v>
      </c>
      <c r="I71" s="456">
        <f>'Key input_Biomass_MAgPIE'!G66</f>
        <v>0</v>
      </c>
      <c r="J71" s="456">
        <f>'Key input_Biomass_MAgPIE'!H66</f>
        <v>0</v>
      </c>
      <c r="K71" s="456">
        <f>'Key input_Biomass_MAgPIE'!I66</f>
        <v>0</v>
      </c>
      <c r="L71" s="456">
        <f>'Key input_Biomass_MAgPIE'!J66</f>
        <v>0</v>
      </c>
      <c r="M71" s="456">
        <f>'Key input_Biomass_MAgPIE'!K66</f>
        <v>0</v>
      </c>
      <c r="N71" s="456">
        <f>'Key input_Biomass_MAgPIE'!L66</f>
        <v>0</v>
      </c>
      <c r="O71" s="456">
        <f>'Key input_Biomass_MAgPIE'!M66</f>
        <v>0</v>
      </c>
      <c r="P71" s="456">
        <f>'Key input_Biomass_MAgPIE'!N66</f>
        <v>0</v>
      </c>
      <c r="Q71" s="456">
        <f>'Key input_Biomass_MAgPIE'!O66</f>
        <v>0</v>
      </c>
      <c r="R71" s="456">
        <f>'Key input_Biomass_MAgPIE'!P66</f>
        <v>0</v>
      </c>
      <c r="S71" s="456">
        <f>'Key input_Biomass_MAgPIE'!Q66</f>
        <v>0</v>
      </c>
      <c r="T71" s="456">
        <f>'Key input_Biomass_MAgPIE'!R66</f>
        <v>0</v>
      </c>
      <c r="U71" s="456">
        <f>'Key input_Biomass_MAgPIE'!S66</f>
        <v>0</v>
      </c>
      <c r="V71" s="456">
        <f>'Key input_Biomass_MAgPIE'!T66</f>
        <v>0</v>
      </c>
      <c r="W71" s="456">
        <f>'Key input_Biomass_MAgPIE'!U66</f>
        <v>0</v>
      </c>
      <c r="X71" s="456">
        <f>'Key input_Biomass_MAgPIE'!V66</f>
        <v>0</v>
      </c>
      <c r="Y71" s="456">
        <f>'Key input_Biomass_MAgPIE'!W66</f>
        <v>0</v>
      </c>
      <c r="Z71" s="456">
        <f>'Key input_Biomass_MAgPIE'!X66</f>
        <v>2.5149774052797631E-2</v>
      </c>
      <c r="AA71" s="456">
        <f>'Key input_Biomass_MAgPIE'!Y66</f>
        <v>0</v>
      </c>
      <c r="AB71" s="456">
        <f>'Key input_Biomass_MAgPIE'!Z66</f>
        <v>0</v>
      </c>
      <c r="AC71" s="456">
        <f>'Key input_Biomass_MAgPIE'!AA66</f>
        <v>0</v>
      </c>
      <c r="AD71" s="456">
        <f>'Key input_Biomass_MAgPIE'!AB66</f>
        <v>0</v>
      </c>
      <c r="AE71" s="456">
        <f>'Key input_Biomass_MAgPIE'!AC66</f>
        <v>0</v>
      </c>
      <c r="AF71" s="456">
        <f>'Key input_Biomass_MAgPIE'!AD66</f>
        <v>0</v>
      </c>
      <c r="AG71" s="456">
        <f>'Key input_Biomass_MAgPIE'!AE66</f>
        <v>2.5149774052797631E-2</v>
      </c>
      <c r="AH71" s="456">
        <f>'Key input_Biomass_MAgPIE'!AF66</f>
        <v>0</v>
      </c>
      <c r="AK71"/>
      <c r="AL71"/>
    </row>
    <row r="72" spans="1:38" s="4" customFormat="1">
      <c r="A72" s="4" t="str">
        <f t="shared" si="29"/>
        <v>MIN-RSVBIOCRP2</v>
      </c>
      <c r="B72" s="4" t="str">
        <f t="shared" si="25"/>
        <v>UPS Reserves of Biomass - Crops grown for energy - Reserve - Supply curve step 2</v>
      </c>
      <c r="C72" s="4" t="str">
        <f t="shared" si="26"/>
        <v>RSVBIOCRP</v>
      </c>
      <c r="D72" s="4" t="str">
        <f t="shared" si="27"/>
        <v>ACT_BND</v>
      </c>
      <c r="E72" s="4" t="str">
        <f t="shared" si="28"/>
        <v>UP</v>
      </c>
      <c r="F72" s="4">
        <v>2070</v>
      </c>
      <c r="G72" s="456">
        <f>'Key input_Biomass_MAgPIE'!E67</f>
        <v>0</v>
      </c>
      <c r="H72" s="456">
        <f>'Key input_Biomass_MAgPIE'!F67</f>
        <v>0</v>
      </c>
      <c r="I72" s="456">
        <f>'Key input_Biomass_MAgPIE'!G67</f>
        <v>0</v>
      </c>
      <c r="J72" s="456">
        <f>'Key input_Biomass_MAgPIE'!H67</f>
        <v>0</v>
      </c>
      <c r="K72" s="456">
        <f>'Key input_Biomass_MAgPIE'!I67</f>
        <v>0</v>
      </c>
      <c r="L72" s="456">
        <f>'Key input_Biomass_MAgPIE'!J67</f>
        <v>0</v>
      </c>
      <c r="M72" s="456">
        <f>'Key input_Biomass_MAgPIE'!K67</f>
        <v>0</v>
      </c>
      <c r="N72" s="456">
        <f>'Key input_Biomass_MAgPIE'!L67</f>
        <v>0</v>
      </c>
      <c r="O72" s="456">
        <f>'Key input_Biomass_MAgPIE'!M67</f>
        <v>0</v>
      </c>
      <c r="P72" s="456">
        <f>'Key input_Biomass_MAgPIE'!N67</f>
        <v>0</v>
      </c>
      <c r="Q72" s="456">
        <f>'Key input_Biomass_MAgPIE'!O67</f>
        <v>0</v>
      </c>
      <c r="R72" s="456">
        <f>'Key input_Biomass_MAgPIE'!P67</f>
        <v>0</v>
      </c>
      <c r="S72" s="456">
        <f>'Key input_Biomass_MAgPIE'!Q67</f>
        <v>0</v>
      </c>
      <c r="T72" s="456">
        <f>'Key input_Biomass_MAgPIE'!R67</f>
        <v>0</v>
      </c>
      <c r="U72" s="456">
        <f>'Key input_Biomass_MAgPIE'!S67</f>
        <v>0</v>
      </c>
      <c r="V72" s="456">
        <f>'Key input_Biomass_MAgPIE'!T67</f>
        <v>0</v>
      </c>
      <c r="W72" s="456">
        <f>'Key input_Biomass_MAgPIE'!U67</f>
        <v>0</v>
      </c>
      <c r="X72" s="456">
        <f>'Key input_Biomass_MAgPIE'!V67</f>
        <v>0</v>
      </c>
      <c r="Y72" s="456">
        <f>'Key input_Biomass_MAgPIE'!W67</f>
        <v>0</v>
      </c>
      <c r="Z72" s="456">
        <f>'Key input_Biomass_MAgPIE'!X67</f>
        <v>0</v>
      </c>
      <c r="AA72" s="456">
        <f>'Key input_Biomass_MAgPIE'!Y67</f>
        <v>0</v>
      </c>
      <c r="AB72" s="456">
        <f>'Key input_Biomass_MAgPIE'!Z67</f>
        <v>0</v>
      </c>
      <c r="AC72" s="456">
        <f>'Key input_Biomass_MAgPIE'!AA67</f>
        <v>0</v>
      </c>
      <c r="AD72" s="456">
        <f>'Key input_Biomass_MAgPIE'!AB67</f>
        <v>0</v>
      </c>
      <c r="AE72" s="456">
        <f>'Key input_Biomass_MAgPIE'!AC67</f>
        <v>0</v>
      </c>
      <c r="AF72" s="456">
        <f>'Key input_Biomass_MAgPIE'!AD67</f>
        <v>25287.254912565637</v>
      </c>
      <c r="AG72" s="456">
        <f>'Key input_Biomass_MAgPIE'!AE67</f>
        <v>0</v>
      </c>
      <c r="AH72" s="456">
        <f>'Key input_Biomass_MAgPIE'!AF67</f>
        <v>0</v>
      </c>
      <c r="AK72"/>
      <c r="AL72"/>
    </row>
    <row r="73" spans="1:38" s="4" customFormat="1">
      <c r="A73" s="4" t="str">
        <f t="shared" si="29"/>
        <v>MIN-RSVBIOCRP2</v>
      </c>
      <c r="B73" s="4" t="str">
        <f t="shared" si="25"/>
        <v>UPS Reserves of Biomass - Crops grown for energy - Reserve - Supply curve step 2</v>
      </c>
      <c r="C73" s="4" t="str">
        <f t="shared" si="26"/>
        <v>RSVBIOCRP</v>
      </c>
      <c r="D73" s="4" t="str">
        <f t="shared" si="27"/>
        <v>ACT_BND</v>
      </c>
      <c r="E73" s="4" t="str">
        <f t="shared" si="28"/>
        <v>UP</v>
      </c>
      <c r="F73" s="4">
        <v>2080</v>
      </c>
      <c r="G73" s="456">
        <f>'Key input_Biomass_MAgPIE'!E68</f>
        <v>0</v>
      </c>
      <c r="H73" s="456">
        <f>'Key input_Biomass_MAgPIE'!F68</f>
        <v>0</v>
      </c>
      <c r="I73" s="456">
        <f>'Key input_Biomass_MAgPIE'!G68</f>
        <v>0</v>
      </c>
      <c r="J73" s="456">
        <f>'Key input_Biomass_MAgPIE'!H68</f>
        <v>9435.3899695720957</v>
      </c>
      <c r="K73" s="456">
        <f>'Key input_Biomass_MAgPIE'!I68</f>
        <v>0</v>
      </c>
      <c r="L73" s="456">
        <f>'Key input_Biomass_MAgPIE'!J68</f>
        <v>0</v>
      </c>
      <c r="M73" s="456">
        <f>'Key input_Biomass_MAgPIE'!K68</f>
        <v>4.6406531716806851E-3</v>
      </c>
      <c r="N73" s="456">
        <f>'Key input_Biomass_MAgPIE'!L68</f>
        <v>0</v>
      </c>
      <c r="O73" s="456">
        <f>'Key input_Biomass_MAgPIE'!M68</f>
        <v>911837.64035837841</v>
      </c>
      <c r="P73" s="456">
        <f>'Key input_Biomass_MAgPIE'!N68</f>
        <v>0</v>
      </c>
      <c r="Q73" s="456">
        <f>'Key input_Biomass_MAgPIE'!O68</f>
        <v>0</v>
      </c>
      <c r="R73" s="456">
        <f>'Key input_Biomass_MAgPIE'!P68</f>
        <v>15962.838815378922</v>
      </c>
      <c r="S73" s="456">
        <f>'Key input_Biomass_MAgPIE'!Q68</f>
        <v>0</v>
      </c>
      <c r="T73" s="456">
        <f>'Key input_Biomass_MAgPIE'!R68</f>
        <v>3015.1708440935786</v>
      </c>
      <c r="U73" s="456">
        <f>'Key input_Biomass_MAgPIE'!S68</f>
        <v>0</v>
      </c>
      <c r="V73" s="456">
        <f>'Key input_Biomass_MAgPIE'!T68</f>
        <v>0</v>
      </c>
      <c r="W73" s="456">
        <f>'Key input_Biomass_MAgPIE'!U68</f>
        <v>0</v>
      </c>
      <c r="X73" s="456">
        <f>'Key input_Biomass_MAgPIE'!V68</f>
        <v>0</v>
      </c>
      <c r="Y73" s="456">
        <f>'Key input_Biomass_MAgPIE'!W68</f>
        <v>0</v>
      </c>
      <c r="Z73" s="456">
        <f>'Key input_Biomass_MAgPIE'!X68</f>
        <v>1.1128708948523296E-2</v>
      </c>
      <c r="AA73" s="456">
        <f>'Key input_Biomass_MAgPIE'!Y68</f>
        <v>385940.92508276843</v>
      </c>
      <c r="AB73" s="456">
        <f>'Key input_Biomass_MAgPIE'!Z68</f>
        <v>0</v>
      </c>
      <c r="AC73" s="456">
        <f>'Key input_Biomass_MAgPIE'!AA68</f>
        <v>0</v>
      </c>
      <c r="AD73" s="456">
        <f>'Key input_Biomass_MAgPIE'!AB68</f>
        <v>0</v>
      </c>
      <c r="AE73" s="456">
        <f>'Key input_Biomass_MAgPIE'!AC68</f>
        <v>0</v>
      </c>
      <c r="AF73" s="456">
        <f>'Key input_Biomass_MAgPIE'!AD68</f>
        <v>108623.78311732327</v>
      </c>
      <c r="AG73" s="456">
        <f>'Key input_Biomass_MAgPIE'!AE68</f>
        <v>1.1128708948523296E-2</v>
      </c>
      <c r="AH73" s="456">
        <f>'Key input_Biomass_MAgPIE'!AF68</f>
        <v>0</v>
      </c>
      <c r="AK73"/>
      <c r="AL73"/>
    </row>
    <row r="74" spans="1:38" s="4" customFormat="1">
      <c r="A74" s="4" t="str">
        <f t="shared" si="29"/>
        <v>MIN-RSVBIOCRP2</v>
      </c>
      <c r="B74" s="4" t="str">
        <f t="shared" si="25"/>
        <v>UPS Reserves of Biomass - Crops grown for energy - Reserve - Supply curve step 2</v>
      </c>
      <c r="C74" s="4" t="str">
        <f t="shared" si="26"/>
        <v>RSVBIOCRP</v>
      </c>
      <c r="D74" s="4" t="str">
        <f t="shared" si="27"/>
        <v>ACT_BND</v>
      </c>
      <c r="E74" s="4" t="str">
        <f t="shared" si="28"/>
        <v>UP</v>
      </c>
      <c r="F74" s="4">
        <v>2090</v>
      </c>
      <c r="G74" s="456">
        <f>'Key input_Biomass_MAgPIE'!E69</f>
        <v>386283.53138111479</v>
      </c>
      <c r="H74" s="456">
        <f>'Key input_Biomass_MAgPIE'!F69</f>
        <v>0</v>
      </c>
      <c r="I74" s="456">
        <f>'Key input_Biomass_MAgPIE'!G69</f>
        <v>2552251.6703412789</v>
      </c>
      <c r="J74" s="456">
        <f>'Key input_Biomass_MAgPIE'!H69</f>
        <v>782550.45425199578</v>
      </c>
      <c r="K74" s="456">
        <f>'Key input_Biomass_MAgPIE'!I69</f>
        <v>211462.16960453457</v>
      </c>
      <c r="L74" s="456">
        <f>'Key input_Biomass_MAgPIE'!J69</f>
        <v>0</v>
      </c>
      <c r="M74" s="456">
        <f>'Key input_Biomass_MAgPIE'!K69</f>
        <v>1652621.6594293974</v>
      </c>
      <c r="N74" s="456">
        <f>'Key input_Biomass_MAgPIE'!L69</f>
        <v>0</v>
      </c>
      <c r="O74" s="456">
        <f>'Key input_Biomass_MAgPIE'!M69</f>
        <v>2271456.1874876106</v>
      </c>
      <c r="P74" s="456">
        <f>'Key input_Biomass_MAgPIE'!N69</f>
        <v>560356.18627075106</v>
      </c>
      <c r="Q74" s="456">
        <f>'Key input_Biomass_MAgPIE'!O69</f>
        <v>0</v>
      </c>
      <c r="R74" s="456">
        <f>'Key input_Biomass_MAgPIE'!P69</f>
        <v>1302798.1162879732</v>
      </c>
      <c r="S74" s="456">
        <f>'Key input_Biomass_MAgPIE'!Q69</f>
        <v>104276.50975075579</v>
      </c>
      <c r="T74" s="456">
        <f>'Key input_Biomass_MAgPIE'!R69</f>
        <v>43153.592936253153</v>
      </c>
      <c r="U74" s="456">
        <f>'Key input_Biomass_MAgPIE'!S69</f>
        <v>22136.290959809528</v>
      </c>
      <c r="V74" s="456">
        <f>'Key input_Biomass_MAgPIE'!T69</f>
        <v>55329.66295281674</v>
      </c>
      <c r="W74" s="456">
        <f>'Key input_Biomass_MAgPIE'!U69</f>
        <v>0</v>
      </c>
      <c r="X74" s="456">
        <f>'Key input_Biomass_MAgPIE'!V69</f>
        <v>1705952.8956922598</v>
      </c>
      <c r="Y74" s="456">
        <f>'Key input_Biomass_MAgPIE'!W69</f>
        <v>0</v>
      </c>
      <c r="Z74" s="456">
        <f>'Key input_Biomass_MAgPIE'!X69</f>
        <v>415.61045897946735</v>
      </c>
      <c r="AA74" s="456">
        <f>'Key input_Biomass_MAgPIE'!Y69</f>
        <v>5124886.8423008695</v>
      </c>
      <c r="AB74" s="456">
        <f>'Key input_Biomass_MAgPIE'!Z69</f>
        <v>0</v>
      </c>
      <c r="AC74" s="456">
        <f>'Key input_Biomass_MAgPIE'!AA69</f>
        <v>0</v>
      </c>
      <c r="AD74" s="456">
        <f>'Key input_Biomass_MAgPIE'!AB69</f>
        <v>241596.83017464521</v>
      </c>
      <c r="AE74" s="456">
        <f>'Key input_Biomass_MAgPIE'!AC69</f>
        <v>0</v>
      </c>
      <c r="AF74" s="456">
        <f>'Key input_Biomass_MAgPIE'!AD69</f>
        <v>115560.81671756369</v>
      </c>
      <c r="AG74" s="456">
        <f>'Key input_Biomass_MAgPIE'!AE69</f>
        <v>415.61045897946735</v>
      </c>
      <c r="AH74" s="456">
        <f>'Key input_Biomass_MAgPIE'!AF69</f>
        <v>1278005.8556094735</v>
      </c>
      <c r="AK74"/>
      <c r="AL74"/>
    </row>
    <row r="75" spans="1:38" s="4" customFormat="1">
      <c r="A75" s="259" t="str">
        <f t="shared" si="29"/>
        <v>MIN-RSVBIOCRP2</v>
      </c>
      <c r="B75" s="259" t="str">
        <f t="shared" si="25"/>
        <v>UPS Reserves of Biomass - Crops grown for energy - Reserve - Supply curve step 2</v>
      </c>
      <c r="C75" s="259" t="str">
        <f t="shared" si="26"/>
        <v>RSVBIOCRP</v>
      </c>
      <c r="D75" s="259" t="str">
        <f t="shared" si="27"/>
        <v>ACT_BND</v>
      </c>
      <c r="E75" s="259" t="str">
        <f t="shared" si="28"/>
        <v>UP</v>
      </c>
      <c r="F75" s="259">
        <v>2100</v>
      </c>
      <c r="G75" s="435">
        <f>'Key input_Biomass_MAgPIE'!E70</f>
        <v>439160.89733595261</v>
      </c>
      <c r="H75" s="435">
        <f>'Key input_Biomass_MAgPIE'!F70</f>
        <v>0</v>
      </c>
      <c r="I75" s="435">
        <f>'Key input_Biomass_MAgPIE'!G70</f>
        <v>2217993.3249284266</v>
      </c>
      <c r="J75" s="435">
        <f>'Key input_Biomass_MAgPIE'!H70</f>
        <v>1576502.6266903854</v>
      </c>
      <c r="K75" s="435">
        <f>'Key input_Biomass_MAgPIE'!I70</f>
        <v>1441353.3602991491</v>
      </c>
      <c r="L75" s="435">
        <f>'Key input_Biomass_MAgPIE'!J70</f>
        <v>0</v>
      </c>
      <c r="M75" s="435">
        <f>'Key input_Biomass_MAgPIE'!K70</f>
        <v>3027871.256548408</v>
      </c>
      <c r="N75" s="435">
        <f>'Key input_Biomass_MAgPIE'!L70</f>
        <v>0</v>
      </c>
      <c r="O75" s="435">
        <f>'Key input_Biomass_MAgPIE'!M70</f>
        <v>2916321.0522408993</v>
      </c>
      <c r="P75" s="435">
        <f>'Key input_Biomass_MAgPIE'!N70</f>
        <v>1000815.4277519352</v>
      </c>
      <c r="Q75" s="435">
        <f>'Key input_Biomass_MAgPIE'!O70</f>
        <v>1293.794002169788</v>
      </c>
      <c r="R75" s="435">
        <f>'Key input_Biomass_MAgPIE'!P70</f>
        <v>3093587.792975374</v>
      </c>
      <c r="S75" s="435">
        <f>'Key input_Biomass_MAgPIE'!Q70</f>
        <v>273246.50154005241</v>
      </c>
      <c r="T75" s="435">
        <f>'Key input_Biomass_MAgPIE'!R70</f>
        <v>71217.082425438377</v>
      </c>
      <c r="U75" s="435">
        <f>'Key input_Biomass_MAgPIE'!S70</f>
        <v>43986.302901263152</v>
      </c>
      <c r="V75" s="435">
        <f>'Key input_Biomass_MAgPIE'!T70</f>
        <v>371520.35029014642</v>
      </c>
      <c r="W75" s="435">
        <f>'Key input_Biomass_MAgPIE'!U70</f>
        <v>0</v>
      </c>
      <c r="X75" s="435">
        <f>'Key input_Biomass_MAgPIE'!V70</f>
        <v>2253215.7848206982</v>
      </c>
      <c r="Y75" s="435">
        <f>'Key input_Biomass_MAgPIE'!W70</f>
        <v>1096794.4332442994</v>
      </c>
      <c r="Z75" s="435">
        <f>'Key input_Biomass_MAgPIE'!X70</f>
        <v>68332.472328999967</v>
      </c>
      <c r="AA75" s="435">
        <f>'Key input_Biomass_MAgPIE'!Y70</f>
        <v>8692641.7454460636</v>
      </c>
      <c r="AB75" s="435">
        <f>'Key input_Biomass_MAgPIE'!Z70</f>
        <v>1728.0924268151005</v>
      </c>
      <c r="AC75" s="435">
        <f>'Key input_Biomass_MAgPIE'!AA70</f>
        <v>0</v>
      </c>
      <c r="AD75" s="435">
        <f>'Key input_Biomass_MAgPIE'!AB70</f>
        <v>582712.81846688362</v>
      </c>
      <c r="AE75" s="435">
        <f>'Key input_Biomass_MAgPIE'!AC70</f>
        <v>78057.620941849935</v>
      </c>
      <c r="AF75" s="435">
        <f>'Key input_Biomass_MAgPIE'!AD70</f>
        <v>243090.08343731047</v>
      </c>
      <c r="AG75" s="435">
        <f>'Key input_Biomass_MAgPIE'!AE70</f>
        <v>68332.472328999967</v>
      </c>
      <c r="AH75" s="435">
        <f>'Key input_Biomass_MAgPIE'!AF70</f>
        <v>3769177.6105897967</v>
      </c>
      <c r="AK75"/>
      <c r="AL75"/>
    </row>
    <row r="76" spans="1:38" s="4" customFormat="1">
      <c r="A76" s="4" t="str">
        <f>IF(AK16="",AJ16,AK16)</f>
        <v>MIN-RSVBIOCRP3</v>
      </c>
      <c r="B76" s="4" t="str">
        <f>IF($AK16="","",AL16)</f>
        <v>UPS Reserves of Biomass - Crops grown for energy - Reserve - Supply curve step 3</v>
      </c>
      <c r="C76" s="4" t="str">
        <f>Commodities!$C$16</f>
        <v>RSVBIOCRP</v>
      </c>
      <c r="D76" s="4" t="s">
        <v>678</v>
      </c>
      <c r="E76" s="4" t="s">
        <v>661</v>
      </c>
      <c r="F76" s="4">
        <v>2019</v>
      </c>
      <c r="G76" s="258">
        <f>'Key input_Biomass_MAgPIE'!E71</f>
        <v>0</v>
      </c>
      <c r="H76" s="258">
        <f>'Key input_Biomass_MAgPIE'!F71</f>
        <v>0</v>
      </c>
      <c r="I76" s="258">
        <f>'Key input_Biomass_MAgPIE'!G71</f>
        <v>0</v>
      </c>
      <c r="J76" s="258">
        <f>'Key input_Biomass_MAgPIE'!H71</f>
        <v>0</v>
      </c>
      <c r="K76" s="258">
        <f>'Key input_Biomass_MAgPIE'!I71</f>
        <v>0</v>
      </c>
      <c r="L76" s="258">
        <f>'Key input_Biomass_MAgPIE'!J71</f>
        <v>0</v>
      </c>
      <c r="M76" s="258">
        <f>'Key input_Biomass_MAgPIE'!K71</f>
        <v>0</v>
      </c>
      <c r="N76" s="258">
        <f>'Key input_Biomass_MAgPIE'!L71</f>
        <v>0</v>
      </c>
      <c r="O76" s="258">
        <f>'Key input_Biomass_MAgPIE'!M71</f>
        <v>0</v>
      </c>
      <c r="P76" s="258">
        <f>'Key input_Biomass_MAgPIE'!N71</f>
        <v>0</v>
      </c>
      <c r="Q76" s="258">
        <f>'Key input_Biomass_MAgPIE'!O71</f>
        <v>0</v>
      </c>
      <c r="R76" s="258">
        <f>'Key input_Biomass_MAgPIE'!P71</f>
        <v>0</v>
      </c>
      <c r="S76" s="258">
        <f>'Key input_Biomass_MAgPIE'!Q71</f>
        <v>0</v>
      </c>
      <c r="T76" s="258">
        <f>'Key input_Biomass_MAgPIE'!R71</f>
        <v>0</v>
      </c>
      <c r="U76" s="258">
        <f>'Key input_Biomass_MAgPIE'!S71</f>
        <v>0</v>
      </c>
      <c r="V76" s="258">
        <f>'Key input_Biomass_MAgPIE'!T71</f>
        <v>0</v>
      </c>
      <c r="W76" s="258">
        <f>'Key input_Biomass_MAgPIE'!U71</f>
        <v>0</v>
      </c>
      <c r="X76" s="258">
        <f>'Key input_Biomass_MAgPIE'!V71</f>
        <v>0</v>
      </c>
      <c r="Y76" s="258">
        <f>'Key input_Biomass_MAgPIE'!W71</f>
        <v>0</v>
      </c>
      <c r="Z76" s="258">
        <f>'Key input_Biomass_MAgPIE'!X71</f>
        <v>0</v>
      </c>
      <c r="AA76" s="258">
        <f>'Key input_Biomass_MAgPIE'!Y71</f>
        <v>0</v>
      </c>
      <c r="AB76" s="258">
        <f>'Key input_Biomass_MAgPIE'!Z71</f>
        <v>0</v>
      </c>
      <c r="AC76" s="258">
        <f>'Key input_Biomass_MAgPIE'!AA71</f>
        <v>0</v>
      </c>
      <c r="AD76" s="258">
        <f>'Key input_Biomass_MAgPIE'!AB71</f>
        <v>0</v>
      </c>
      <c r="AE76" s="258">
        <f>'Key input_Biomass_MAgPIE'!AC71</f>
        <v>0</v>
      </c>
      <c r="AF76" s="258">
        <f>'Key input_Biomass_MAgPIE'!AD71</f>
        <v>0</v>
      </c>
      <c r="AG76" s="258">
        <f>'Key input_Biomass_MAgPIE'!AE71</f>
        <v>0</v>
      </c>
      <c r="AH76" s="258">
        <f>'Key input_Biomass_MAgPIE'!AF71</f>
        <v>0</v>
      </c>
      <c r="AK76"/>
      <c r="AL76"/>
    </row>
    <row r="77" spans="1:38" s="4" customFormat="1">
      <c r="A77" s="4" t="str">
        <f>A76</f>
        <v>MIN-RSVBIOCRP3</v>
      </c>
      <c r="B77" s="4" t="str">
        <f t="shared" ref="B77:B88" si="30">B76</f>
        <v>UPS Reserves of Biomass - Crops grown for energy - Reserve - Supply curve step 3</v>
      </c>
      <c r="C77" s="4" t="str">
        <f t="shared" ref="C77:C88" si="31">C76</f>
        <v>RSVBIOCRP</v>
      </c>
      <c r="D77" s="4" t="str">
        <f t="shared" ref="D77:D88" si="32">D76</f>
        <v>ACT_BND</v>
      </c>
      <c r="E77" s="4" t="str">
        <f t="shared" ref="E77:E88" si="33">E76</f>
        <v>UP</v>
      </c>
      <c r="F77" s="4">
        <v>2020</v>
      </c>
      <c r="G77" s="456">
        <f>'Key input_Biomass_MAgPIE'!E72</f>
        <v>0</v>
      </c>
      <c r="H77" s="456">
        <f>'Key input_Biomass_MAgPIE'!F72</f>
        <v>0</v>
      </c>
      <c r="I77" s="456">
        <f>'Key input_Biomass_MAgPIE'!G72</f>
        <v>0</v>
      </c>
      <c r="J77" s="456">
        <f>'Key input_Biomass_MAgPIE'!H72</f>
        <v>0</v>
      </c>
      <c r="K77" s="456">
        <f>'Key input_Biomass_MAgPIE'!I72</f>
        <v>0</v>
      </c>
      <c r="L77" s="456">
        <f>'Key input_Biomass_MAgPIE'!J72</f>
        <v>0</v>
      </c>
      <c r="M77" s="456">
        <f>'Key input_Biomass_MAgPIE'!K72</f>
        <v>0</v>
      </c>
      <c r="N77" s="456">
        <f>'Key input_Biomass_MAgPIE'!L72</f>
        <v>0</v>
      </c>
      <c r="O77" s="456">
        <f>'Key input_Biomass_MAgPIE'!M72</f>
        <v>0</v>
      </c>
      <c r="P77" s="456">
        <f>'Key input_Biomass_MAgPIE'!N72</f>
        <v>0</v>
      </c>
      <c r="Q77" s="456">
        <f>'Key input_Biomass_MAgPIE'!O72</f>
        <v>0</v>
      </c>
      <c r="R77" s="456">
        <f>'Key input_Biomass_MAgPIE'!P72</f>
        <v>0</v>
      </c>
      <c r="S77" s="456">
        <f>'Key input_Biomass_MAgPIE'!Q72</f>
        <v>0</v>
      </c>
      <c r="T77" s="456">
        <f>'Key input_Biomass_MAgPIE'!R72</f>
        <v>0</v>
      </c>
      <c r="U77" s="456">
        <f>'Key input_Biomass_MAgPIE'!S72</f>
        <v>0</v>
      </c>
      <c r="V77" s="456">
        <f>'Key input_Biomass_MAgPIE'!T72</f>
        <v>0</v>
      </c>
      <c r="W77" s="456">
        <f>'Key input_Biomass_MAgPIE'!U72</f>
        <v>0</v>
      </c>
      <c r="X77" s="456">
        <f>'Key input_Biomass_MAgPIE'!V72</f>
        <v>0</v>
      </c>
      <c r="Y77" s="456">
        <f>'Key input_Biomass_MAgPIE'!W72</f>
        <v>0</v>
      </c>
      <c r="Z77" s="456">
        <f>'Key input_Biomass_MAgPIE'!X72</f>
        <v>0</v>
      </c>
      <c r="AA77" s="456">
        <f>'Key input_Biomass_MAgPIE'!Y72</f>
        <v>0</v>
      </c>
      <c r="AB77" s="456">
        <f>'Key input_Biomass_MAgPIE'!Z72</f>
        <v>0</v>
      </c>
      <c r="AC77" s="456">
        <f>'Key input_Biomass_MAgPIE'!AA72</f>
        <v>0</v>
      </c>
      <c r="AD77" s="456">
        <f>'Key input_Biomass_MAgPIE'!AB72</f>
        <v>0</v>
      </c>
      <c r="AE77" s="456">
        <f>'Key input_Biomass_MAgPIE'!AC72</f>
        <v>0</v>
      </c>
      <c r="AF77" s="456">
        <f>'Key input_Biomass_MAgPIE'!AD72</f>
        <v>0</v>
      </c>
      <c r="AG77" s="456">
        <f>'Key input_Biomass_MAgPIE'!AE72</f>
        <v>0</v>
      </c>
      <c r="AH77" s="456">
        <f>'Key input_Biomass_MAgPIE'!AF72</f>
        <v>0</v>
      </c>
      <c r="AK77"/>
      <c r="AL77"/>
    </row>
    <row r="78" spans="1:38" s="4" customFormat="1">
      <c r="A78" s="4" t="str">
        <f t="shared" ref="A78:A88" si="34">A77</f>
        <v>MIN-RSVBIOCRP3</v>
      </c>
      <c r="B78" s="4" t="str">
        <f t="shared" si="30"/>
        <v>UPS Reserves of Biomass - Crops grown for energy - Reserve - Supply curve step 3</v>
      </c>
      <c r="C78" s="4" t="str">
        <f t="shared" si="31"/>
        <v>RSVBIOCRP</v>
      </c>
      <c r="D78" s="4" t="str">
        <f t="shared" si="32"/>
        <v>ACT_BND</v>
      </c>
      <c r="E78" s="4" t="str">
        <f t="shared" si="33"/>
        <v>UP</v>
      </c>
      <c r="F78" s="4">
        <v>2025</v>
      </c>
      <c r="G78" s="456">
        <f>'Key input_Biomass_MAgPIE'!E73</f>
        <v>0</v>
      </c>
      <c r="H78" s="456">
        <f>'Key input_Biomass_MAgPIE'!F73</f>
        <v>0</v>
      </c>
      <c r="I78" s="456">
        <f>'Key input_Biomass_MAgPIE'!G73</f>
        <v>0</v>
      </c>
      <c r="J78" s="456">
        <f>'Key input_Biomass_MAgPIE'!H73</f>
        <v>0</v>
      </c>
      <c r="K78" s="456">
        <f>'Key input_Biomass_MAgPIE'!I73</f>
        <v>0</v>
      </c>
      <c r="L78" s="456">
        <f>'Key input_Biomass_MAgPIE'!J73</f>
        <v>0</v>
      </c>
      <c r="M78" s="456">
        <f>'Key input_Biomass_MAgPIE'!K73</f>
        <v>0</v>
      </c>
      <c r="N78" s="456">
        <f>'Key input_Biomass_MAgPIE'!L73</f>
        <v>0</v>
      </c>
      <c r="O78" s="456">
        <f>'Key input_Biomass_MAgPIE'!M73</f>
        <v>0</v>
      </c>
      <c r="P78" s="456">
        <f>'Key input_Biomass_MAgPIE'!N73</f>
        <v>0</v>
      </c>
      <c r="Q78" s="456">
        <f>'Key input_Biomass_MAgPIE'!O73</f>
        <v>0</v>
      </c>
      <c r="R78" s="456">
        <f>'Key input_Biomass_MAgPIE'!P73</f>
        <v>0</v>
      </c>
      <c r="S78" s="456">
        <f>'Key input_Biomass_MAgPIE'!Q73</f>
        <v>0</v>
      </c>
      <c r="T78" s="456">
        <f>'Key input_Biomass_MAgPIE'!R73</f>
        <v>0</v>
      </c>
      <c r="U78" s="456">
        <f>'Key input_Biomass_MAgPIE'!S73</f>
        <v>0</v>
      </c>
      <c r="V78" s="456">
        <f>'Key input_Biomass_MAgPIE'!T73</f>
        <v>0</v>
      </c>
      <c r="W78" s="456">
        <f>'Key input_Biomass_MAgPIE'!U73</f>
        <v>0</v>
      </c>
      <c r="X78" s="456">
        <f>'Key input_Biomass_MAgPIE'!V73</f>
        <v>0</v>
      </c>
      <c r="Y78" s="456">
        <f>'Key input_Biomass_MAgPIE'!W73</f>
        <v>0</v>
      </c>
      <c r="Z78" s="456">
        <f>'Key input_Biomass_MAgPIE'!X73</f>
        <v>0</v>
      </c>
      <c r="AA78" s="456">
        <f>'Key input_Biomass_MAgPIE'!Y73</f>
        <v>0</v>
      </c>
      <c r="AB78" s="456">
        <f>'Key input_Biomass_MAgPIE'!Z73</f>
        <v>0</v>
      </c>
      <c r="AC78" s="456">
        <f>'Key input_Biomass_MAgPIE'!AA73</f>
        <v>0</v>
      </c>
      <c r="AD78" s="456">
        <f>'Key input_Biomass_MAgPIE'!AB73</f>
        <v>0</v>
      </c>
      <c r="AE78" s="456">
        <f>'Key input_Biomass_MAgPIE'!AC73</f>
        <v>0</v>
      </c>
      <c r="AF78" s="456">
        <f>'Key input_Biomass_MAgPIE'!AD73</f>
        <v>0</v>
      </c>
      <c r="AG78" s="456">
        <f>'Key input_Biomass_MAgPIE'!AE73</f>
        <v>0</v>
      </c>
      <c r="AH78" s="456">
        <f>'Key input_Biomass_MAgPIE'!AF73</f>
        <v>0</v>
      </c>
      <c r="AK78"/>
      <c r="AL78"/>
    </row>
    <row r="79" spans="1:38" s="4" customFormat="1">
      <c r="A79" s="4" t="str">
        <f t="shared" si="34"/>
        <v>MIN-RSVBIOCRP3</v>
      </c>
      <c r="B79" s="4" t="str">
        <f t="shared" si="30"/>
        <v>UPS Reserves of Biomass - Crops grown for energy - Reserve - Supply curve step 3</v>
      </c>
      <c r="C79" s="4" t="str">
        <f t="shared" si="31"/>
        <v>RSVBIOCRP</v>
      </c>
      <c r="D79" s="4" t="str">
        <f t="shared" si="32"/>
        <v>ACT_BND</v>
      </c>
      <c r="E79" s="4" t="str">
        <f t="shared" si="33"/>
        <v>UP</v>
      </c>
      <c r="F79" s="4">
        <v>2030</v>
      </c>
      <c r="G79" s="456">
        <f>'Key input_Biomass_MAgPIE'!E74</f>
        <v>0</v>
      </c>
      <c r="H79" s="456">
        <f>'Key input_Biomass_MAgPIE'!F74</f>
        <v>0</v>
      </c>
      <c r="I79" s="456">
        <f>'Key input_Biomass_MAgPIE'!G74</f>
        <v>0</v>
      </c>
      <c r="J79" s="456">
        <f>'Key input_Biomass_MAgPIE'!H74</f>
        <v>0</v>
      </c>
      <c r="K79" s="456">
        <f>'Key input_Biomass_MAgPIE'!I74</f>
        <v>0</v>
      </c>
      <c r="L79" s="456">
        <f>'Key input_Biomass_MAgPIE'!J74</f>
        <v>0</v>
      </c>
      <c r="M79" s="456">
        <f>'Key input_Biomass_MAgPIE'!K74</f>
        <v>0</v>
      </c>
      <c r="N79" s="456">
        <f>'Key input_Biomass_MAgPIE'!L74</f>
        <v>0</v>
      </c>
      <c r="O79" s="456">
        <f>'Key input_Biomass_MAgPIE'!M74</f>
        <v>0</v>
      </c>
      <c r="P79" s="456">
        <f>'Key input_Biomass_MAgPIE'!N74</f>
        <v>0</v>
      </c>
      <c r="Q79" s="456">
        <f>'Key input_Biomass_MAgPIE'!O74</f>
        <v>0</v>
      </c>
      <c r="R79" s="456">
        <f>'Key input_Biomass_MAgPIE'!P74</f>
        <v>0</v>
      </c>
      <c r="S79" s="456">
        <f>'Key input_Biomass_MAgPIE'!Q74</f>
        <v>0</v>
      </c>
      <c r="T79" s="456">
        <f>'Key input_Biomass_MAgPIE'!R74</f>
        <v>0</v>
      </c>
      <c r="U79" s="456">
        <f>'Key input_Biomass_MAgPIE'!S74</f>
        <v>0</v>
      </c>
      <c r="V79" s="456">
        <f>'Key input_Biomass_MAgPIE'!T74</f>
        <v>0</v>
      </c>
      <c r="W79" s="456">
        <f>'Key input_Biomass_MAgPIE'!U74</f>
        <v>0</v>
      </c>
      <c r="X79" s="456">
        <f>'Key input_Biomass_MAgPIE'!V74</f>
        <v>0</v>
      </c>
      <c r="Y79" s="456">
        <f>'Key input_Biomass_MAgPIE'!W74</f>
        <v>0</v>
      </c>
      <c r="Z79" s="456">
        <f>'Key input_Biomass_MAgPIE'!X74</f>
        <v>0</v>
      </c>
      <c r="AA79" s="456">
        <f>'Key input_Biomass_MAgPIE'!Y74</f>
        <v>0</v>
      </c>
      <c r="AB79" s="456">
        <f>'Key input_Biomass_MAgPIE'!Z74</f>
        <v>0</v>
      </c>
      <c r="AC79" s="456">
        <f>'Key input_Biomass_MAgPIE'!AA74</f>
        <v>0</v>
      </c>
      <c r="AD79" s="456">
        <f>'Key input_Biomass_MAgPIE'!AB74</f>
        <v>0</v>
      </c>
      <c r="AE79" s="456">
        <f>'Key input_Biomass_MAgPIE'!AC74</f>
        <v>0</v>
      </c>
      <c r="AF79" s="456">
        <f>'Key input_Biomass_MAgPIE'!AD74</f>
        <v>0</v>
      </c>
      <c r="AG79" s="456">
        <f>'Key input_Biomass_MAgPIE'!AE74</f>
        <v>0</v>
      </c>
      <c r="AH79" s="456">
        <f>'Key input_Biomass_MAgPIE'!AF74</f>
        <v>0</v>
      </c>
      <c r="AK79"/>
      <c r="AL79"/>
    </row>
    <row r="80" spans="1:38" s="4" customFormat="1">
      <c r="A80" s="4" t="str">
        <f t="shared" si="34"/>
        <v>MIN-RSVBIOCRP3</v>
      </c>
      <c r="B80" s="4" t="str">
        <f t="shared" si="30"/>
        <v>UPS Reserves of Biomass - Crops grown for energy - Reserve - Supply curve step 3</v>
      </c>
      <c r="C80" s="4" t="str">
        <f t="shared" si="31"/>
        <v>RSVBIOCRP</v>
      </c>
      <c r="D80" s="4" t="str">
        <f t="shared" si="32"/>
        <v>ACT_BND</v>
      </c>
      <c r="E80" s="4" t="str">
        <f t="shared" si="33"/>
        <v>UP</v>
      </c>
      <c r="F80" s="4">
        <v>2035</v>
      </c>
      <c r="G80" s="456">
        <f>'Key input_Biomass_MAgPIE'!E75</f>
        <v>0</v>
      </c>
      <c r="H80" s="456">
        <f>'Key input_Biomass_MAgPIE'!F75</f>
        <v>0</v>
      </c>
      <c r="I80" s="456">
        <f>'Key input_Biomass_MAgPIE'!G75</f>
        <v>0</v>
      </c>
      <c r="J80" s="456">
        <f>'Key input_Biomass_MAgPIE'!H75</f>
        <v>0</v>
      </c>
      <c r="K80" s="456">
        <f>'Key input_Biomass_MAgPIE'!I75</f>
        <v>0</v>
      </c>
      <c r="L80" s="456">
        <f>'Key input_Biomass_MAgPIE'!J75</f>
        <v>0</v>
      </c>
      <c r="M80" s="456">
        <f>'Key input_Biomass_MAgPIE'!K75</f>
        <v>10.005531343968158</v>
      </c>
      <c r="N80" s="456">
        <f>'Key input_Biomass_MAgPIE'!L75</f>
        <v>0</v>
      </c>
      <c r="O80" s="456">
        <f>'Key input_Biomass_MAgPIE'!M75</f>
        <v>0</v>
      </c>
      <c r="P80" s="456">
        <f>'Key input_Biomass_MAgPIE'!N75</f>
        <v>0</v>
      </c>
      <c r="Q80" s="456">
        <f>'Key input_Biomass_MAgPIE'!O75</f>
        <v>0</v>
      </c>
      <c r="R80" s="456">
        <f>'Key input_Biomass_MAgPIE'!P75</f>
        <v>0</v>
      </c>
      <c r="S80" s="456">
        <f>'Key input_Biomass_MAgPIE'!Q75</f>
        <v>0</v>
      </c>
      <c r="T80" s="456">
        <f>'Key input_Biomass_MAgPIE'!R75</f>
        <v>0</v>
      </c>
      <c r="U80" s="456">
        <f>'Key input_Biomass_MAgPIE'!S75</f>
        <v>0</v>
      </c>
      <c r="V80" s="456">
        <f>'Key input_Biomass_MAgPIE'!T75</f>
        <v>0</v>
      </c>
      <c r="W80" s="456">
        <f>'Key input_Biomass_MAgPIE'!U75</f>
        <v>0</v>
      </c>
      <c r="X80" s="456">
        <f>'Key input_Biomass_MAgPIE'!V75</f>
        <v>0</v>
      </c>
      <c r="Y80" s="456">
        <f>'Key input_Biomass_MAgPIE'!W75</f>
        <v>0</v>
      </c>
      <c r="Z80" s="456">
        <f>'Key input_Biomass_MAgPIE'!X75</f>
        <v>0</v>
      </c>
      <c r="AA80" s="456">
        <f>'Key input_Biomass_MAgPIE'!Y75</f>
        <v>0</v>
      </c>
      <c r="AB80" s="456">
        <f>'Key input_Biomass_MAgPIE'!Z75</f>
        <v>0</v>
      </c>
      <c r="AC80" s="456">
        <f>'Key input_Biomass_MAgPIE'!AA75</f>
        <v>0</v>
      </c>
      <c r="AD80" s="456">
        <f>'Key input_Biomass_MAgPIE'!AB75</f>
        <v>0</v>
      </c>
      <c r="AE80" s="456">
        <f>'Key input_Biomass_MAgPIE'!AC75</f>
        <v>0</v>
      </c>
      <c r="AF80" s="456">
        <f>'Key input_Biomass_MAgPIE'!AD75</f>
        <v>0</v>
      </c>
      <c r="AG80" s="456">
        <f>'Key input_Biomass_MAgPIE'!AE75</f>
        <v>0</v>
      </c>
      <c r="AH80" s="456">
        <f>'Key input_Biomass_MAgPIE'!AF75</f>
        <v>0</v>
      </c>
      <c r="AK80"/>
      <c r="AL80"/>
    </row>
    <row r="81" spans="1:38" s="4" customFormat="1">
      <c r="A81" s="4" t="str">
        <f t="shared" si="34"/>
        <v>MIN-RSVBIOCRP3</v>
      </c>
      <c r="B81" s="4" t="str">
        <f t="shared" si="30"/>
        <v>UPS Reserves of Biomass - Crops grown for energy - Reserve - Supply curve step 3</v>
      </c>
      <c r="C81" s="4" t="str">
        <f t="shared" si="31"/>
        <v>RSVBIOCRP</v>
      </c>
      <c r="D81" s="4" t="str">
        <f t="shared" si="32"/>
        <v>ACT_BND</v>
      </c>
      <c r="E81" s="4" t="str">
        <f t="shared" si="33"/>
        <v>UP</v>
      </c>
      <c r="F81" s="4">
        <v>2040</v>
      </c>
      <c r="G81" s="456">
        <f>'Key input_Biomass_MAgPIE'!E76</f>
        <v>0</v>
      </c>
      <c r="H81" s="456">
        <f>'Key input_Biomass_MAgPIE'!F76</f>
        <v>0</v>
      </c>
      <c r="I81" s="456">
        <f>'Key input_Biomass_MAgPIE'!G76</f>
        <v>0</v>
      </c>
      <c r="J81" s="456">
        <f>'Key input_Biomass_MAgPIE'!H76</f>
        <v>0</v>
      </c>
      <c r="K81" s="456">
        <f>'Key input_Biomass_MAgPIE'!I76</f>
        <v>0</v>
      </c>
      <c r="L81" s="456">
        <f>'Key input_Biomass_MAgPIE'!J76</f>
        <v>0</v>
      </c>
      <c r="M81" s="456">
        <f>'Key input_Biomass_MAgPIE'!K76</f>
        <v>1.7066908683089088E-3</v>
      </c>
      <c r="N81" s="456">
        <f>'Key input_Biomass_MAgPIE'!L76</f>
        <v>0</v>
      </c>
      <c r="O81" s="456">
        <f>'Key input_Biomass_MAgPIE'!M76</f>
        <v>0</v>
      </c>
      <c r="P81" s="456">
        <f>'Key input_Biomass_MAgPIE'!N76</f>
        <v>0</v>
      </c>
      <c r="Q81" s="456">
        <f>'Key input_Biomass_MAgPIE'!O76</f>
        <v>0</v>
      </c>
      <c r="R81" s="456">
        <f>'Key input_Biomass_MAgPIE'!P76</f>
        <v>0</v>
      </c>
      <c r="S81" s="456">
        <f>'Key input_Biomass_MAgPIE'!Q76</f>
        <v>0</v>
      </c>
      <c r="T81" s="456">
        <f>'Key input_Biomass_MAgPIE'!R76</f>
        <v>0</v>
      </c>
      <c r="U81" s="456">
        <f>'Key input_Biomass_MAgPIE'!S76</f>
        <v>0</v>
      </c>
      <c r="V81" s="456">
        <f>'Key input_Biomass_MAgPIE'!T76</f>
        <v>0</v>
      </c>
      <c r="W81" s="456">
        <f>'Key input_Biomass_MAgPIE'!U76</f>
        <v>0</v>
      </c>
      <c r="X81" s="456">
        <f>'Key input_Biomass_MAgPIE'!V76</f>
        <v>0</v>
      </c>
      <c r="Y81" s="456">
        <f>'Key input_Biomass_MAgPIE'!W76</f>
        <v>0</v>
      </c>
      <c r="Z81" s="456">
        <f>'Key input_Biomass_MAgPIE'!X76</f>
        <v>0</v>
      </c>
      <c r="AA81" s="456">
        <f>'Key input_Biomass_MAgPIE'!Y76</f>
        <v>0</v>
      </c>
      <c r="AB81" s="456">
        <f>'Key input_Biomass_MAgPIE'!Z76</f>
        <v>0</v>
      </c>
      <c r="AC81" s="456">
        <f>'Key input_Biomass_MAgPIE'!AA76</f>
        <v>0</v>
      </c>
      <c r="AD81" s="456">
        <f>'Key input_Biomass_MAgPIE'!AB76</f>
        <v>0</v>
      </c>
      <c r="AE81" s="456">
        <f>'Key input_Biomass_MAgPIE'!AC76</f>
        <v>0</v>
      </c>
      <c r="AF81" s="456">
        <f>'Key input_Biomass_MAgPIE'!AD76</f>
        <v>0</v>
      </c>
      <c r="AG81" s="456">
        <f>'Key input_Biomass_MAgPIE'!AE76</f>
        <v>0</v>
      </c>
      <c r="AH81" s="456">
        <f>'Key input_Biomass_MAgPIE'!AF76</f>
        <v>0</v>
      </c>
      <c r="AK81"/>
      <c r="AL81"/>
    </row>
    <row r="82" spans="1:38" s="4" customFormat="1">
      <c r="A82" s="4" t="str">
        <f t="shared" si="34"/>
        <v>MIN-RSVBIOCRP3</v>
      </c>
      <c r="B82" s="4" t="str">
        <f t="shared" si="30"/>
        <v>UPS Reserves of Biomass - Crops grown for energy - Reserve - Supply curve step 3</v>
      </c>
      <c r="C82" s="4" t="str">
        <f t="shared" si="31"/>
        <v>RSVBIOCRP</v>
      </c>
      <c r="D82" s="4" t="str">
        <f t="shared" si="32"/>
        <v>ACT_BND</v>
      </c>
      <c r="E82" s="4" t="str">
        <f t="shared" si="33"/>
        <v>UP</v>
      </c>
      <c r="F82" s="4">
        <v>2045</v>
      </c>
      <c r="G82" s="456">
        <f>'Key input_Biomass_MAgPIE'!E77</f>
        <v>0</v>
      </c>
      <c r="H82" s="456">
        <f>'Key input_Biomass_MAgPIE'!F77</f>
        <v>0</v>
      </c>
      <c r="I82" s="456">
        <f>'Key input_Biomass_MAgPIE'!G77</f>
        <v>0</v>
      </c>
      <c r="J82" s="456">
        <f>'Key input_Biomass_MAgPIE'!H77</f>
        <v>0</v>
      </c>
      <c r="K82" s="456">
        <f>'Key input_Biomass_MAgPIE'!I77</f>
        <v>0</v>
      </c>
      <c r="L82" s="456">
        <f>'Key input_Biomass_MAgPIE'!J77</f>
        <v>0</v>
      </c>
      <c r="M82" s="456">
        <f>'Key input_Biomass_MAgPIE'!K77</f>
        <v>2.6986839053648967E-3</v>
      </c>
      <c r="N82" s="456">
        <f>'Key input_Biomass_MAgPIE'!L77</f>
        <v>0</v>
      </c>
      <c r="O82" s="456">
        <f>'Key input_Biomass_MAgPIE'!M77</f>
        <v>0</v>
      </c>
      <c r="P82" s="456">
        <f>'Key input_Biomass_MAgPIE'!N77</f>
        <v>0</v>
      </c>
      <c r="Q82" s="456">
        <f>'Key input_Biomass_MAgPIE'!O77</f>
        <v>0</v>
      </c>
      <c r="R82" s="456">
        <f>'Key input_Biomass_MAgPIE'!P77</f>
        <v>0</v>
      </c>
      <c r="S82" s="456">
        <f>'Key input_Biomass_MAgPIE'!Q77</f>
        <v>0</v>
      </c>
      <c r="T82" s="456">
        <f>'Key input_Biomass_MAgPIE'!R77</f>
        <v>0</v>
      </c>
      <c r="U82" s="456">
        <f>'Key input_Biomass_MAgPIE'!S77</f>
        <v>0</v>
      </c>
      <c r="V82" s="456">
        <f>'Key input_Biomass_MAgPIE'!T77</f>
        <v>0</v>
      </c>
      <c r="W82" s="456">
        <f>'Key input_Biomass_MAgPIE'!U77</f>
        <v>0</v>
      </c>
      <c r="X82" s="456">
        <f>'Key input_Biomass_MAgPIE'!V77</f>
        <v>0</v>
      </c>
      <c r="Y82" s="456">
        <f>'Key input_Biomass_MAgPIE'!W77</f>
        <v>9.6135630789362367E-2</v>
      </c>
      <c r="Z82" s="456">
        <f>'Key input_Biomass_MAgPIE'!X77</f>
        <v>0</v>
      </c>
      <c r="AA82" s="456">
        <f>'Key input_Biomass_MAgPIE'!Y77</f>
        <v>0</v>
      </c>
      <c r="AB82" s="456">
        <f>'Key input_Biomass_MAgPIE'!Z77</f>
        <v>0</v>
      </c>
      <c r="AC82" s="456">
        <f>'Key input_Biomass_MAgPIE'!AA77</f>
        <v>0</v>
      </c>
      <c r="AD82" s="456">
        <f>'Key input_Biomass_MAgPIE'!AB77</f>
        <v>0</v>
      </c>
      <c r="AE82" s="456">
        <f>'Key input_Biomass_MAgPIE'!AC77</f>
        <v>0</v>
      </c>
      <c r="AF82" s="456">
        <f>'Key input_Biomass_MAgPIE'!AD77</f>
        <v>0</v>
      </c>
      <c r="AG82" s="456">
        <f>'Key input_Biomass_MAgPIE'!AE77</f>
        <v>0</v>
      </c>
      <c r="AH82" s="456">
        <f>'Key input_Biomass_MAgPIE'!AF77</f>
        <v>0</v>
      </c>
      <c r="AK82"/>
      <c r="AL82"/>
    </row>
    <row r="83" spans="1:38" s="4" customFormat="1">
      <c r="A83" s="4" t="str">
        <f t="shared" si="34"/>
        <v>MIN-RSVBIOCRP3</v>
      </c>
      <c r="B83" s="4" t="str">
        <f t="shared" si="30"/>
        <v>UPS Reserves of Biomass - Crops grown for energy - Reserve - Supply curve step 3</v>
      </c>
      <c r="C83" s="4" t="str">
        <f t="shared" si="31"/>
        <v>RSVBIOCRP</v>
      </c>
      <c r="D83" s="4" t="str">
        <f t="shared" si="32"/>
        <v>ACT_BND</v>
      </c>
      <c r="E83" s="4" t="str">
        <f t="shared" si="33"/>
        <v>UP</v>
      </c>
      <c r="F83" s="4">
        <v>2050</v>
      </c>
      <c r="G83" s="456">
        <f>'Key input_Biomass_MAgPIE'!E78</f>
        <v>0</v>
      </c>
      <c r="H83" s="456">
        <f>'Key input_Biomass_MAgPIE'!F78</f>
        <v>0</v>
      </c>
      <c r="I83" s="456">
        <f>'Key input_Biomass_MAgPIE'!G78</f>
        <v>0</v>
      </c>
      <c r="J83" s="456">
        <f>'Key input_Biomass_MAgPIE'!H78</f>
        <v>0</v>
      </c>
      <c r="K83" s="456">
        <f>'Key input_Biomass_MAgPIE'!I78</f>
        <v>0</v>
      </c>
      <c r="L83" s="456">
        <f>'Key input_Biomass_MAgPIE'!J78</f>
        <v>0</v>
      </c>
      <c r="M83" s="456">
        <f>'Key input_Biomass_MAgPIE'!K78</f>
        <v>4.7907854744692231E-3</v>
      </c>
      <c r="N83" s="456">
        <f>'Key input_Biomass_MAgPIE'!L78</f>
        <v>0</v>
      </c>
      <c r="O83" s="456">
        <f>'Key input_Biomass_MAgPIE'!M78</f>
        <v>0</v>
      </c>
      <c r="P83" s="456">
        <f>'Key input_Biomass_MAgPIE'!N78</f>
        <v>0</v>
      </c>
      <c r="Q83" s="456">
        <f>'Key input_Biomass_MAgPIE'!O78</f>
        <v>0</v>
      </c>
      <c r="R83" s="456">
        <f>'Key input_Biomass_MAgPIE'!P78</f>
        <v>0</v>
      </c>
      <c r="S83" s="456">
        <f>'Key input_Biomass_MAgPIE'!Q78</f>
        <v>0</v>
      </c>
      <c r="T83" s="456">
        <f>'Key input_Biomass_MAgPIE'!R78</f>
        <v>0</v>
      </c>
      <c r="U83" s="456">
        <f>'Key input_Biomass_MAgPIE'!S78</f>
        <v>0</v>
      </c>
      <c r="V83" s="456">
        <f>'Key input_Biomass_MAgPIE'!T78</f>
        <v>0</v>
      </c>
      <c r="W83" s="456">
        <f>'Key input_Biomass_MAgPIE'!U78</f>
        <v>0</v>
      </c>
      <c r="X83" s="456">
        <f>'Key input_Biomass_MAgPIE'!V78</f>
        <v>0</v>
      </c>
      <c r="Y83" s="456">
        <f>'Key input_Biomass_MAgPIE'!W78</f>
        <v>0</v>
      </c>
      <c r="Z83" s="456">
        <f>'Key input_Biomass_MAgPIE'!X78</f>
        <v>0</v>
      </c>
      <c r="AA83" s="456">
        <f>'Key input_Biomass_MAgPIE'!Y78</f>
        <v>0</v>
      </c>
      <c r="AB83" s="456">
        <f>'Key input_Biomass_MAgPIE'!Z78</f>
        <v>0</v>
      </c>
      <c r="AC83" s="456">
        <f>'Key input_Biomass_MAgPIE'!AA78</f>
        <v>0</v>
      </c>
      <c r="AD83" s="456">
        <f>'Key input_Biomass_MAgPIE'!AB78</f>
        <v>0</v>
      </c>
      <c r="AE83" s="456">
        <f>'Key input_Biomass_MAgPIE'!AC78</f>
        <v>0</v>
      </c>
      <c r="AF83" s="456">
        <f>'Key input_Biomass_MAgPIE'!AD78</f>
        <v>0</v>
      </c>
      <c r="AG83" s="456">
        <f>'Key input_Biomass_MAgPIE'!AE78</f>
        <v>0</v>
      </c>
      <c r="AH83" s="456">
        <f>'Key input_Biomass_MAgPIE'!AF78</f>
        <v>0</v>
      </c>
      <c r="AK83"/>
      <c r="AL83"/>
    </row>
    <row r="84" spans="1:38" s="4" customFormat="1">
      <c r="A84" s="4" t="str">
        <f t="shared" si="34"/>
        <v>MIN-RSVBIOCRP3</v>
      </c>
      <c r="B84" s="4" t="str">
        <f t="shared" si="30"/>
        <v>UPS Reserves of Biomass - Crops grown for energy - Reserve - Supply curve step 3</v>
      </c>
      <c r="C84" s="4" t="str">
        <f t="shared" si="31"/>
        <v>RSVBIOCRP</v>
      </c>
      <c r="D84" s="4" t="str">
        <f t="shared" si="32"/>
        <v>ACT_BND</v>
      </c>
      <c r="E84" s="4" t="str">
        <f t="shared" si="33"/>
        <v>UP</v>
      </c>
      <c r="F84" s="4">
        <v>2060</v>
      </c>
      <c r="G84" s="456">
        <f>'Key input_Biomass_MAgPIE'!E79</f>
        <v>0</v>
      </c>
      <c r="H84" s="456">
        <f>'Key input_Biomass_MAgPIE'!F79</f>
        <v>0</v>
      </c>
      <c r="I84" s="456">
        <f>'Key input_Biomass_MAgPIE'!G79</f>
        <v>0</v>
      </c>
      <c r="J84" s="456">
        <f>'Key input_Biomass_MAgPIE'!H79</f>
        <v>0</v>
      </c>
      <c r="K84" s="456">
        <f>'Key input_Biomass_MAgPIE'!I79</f>
        <v>0</v>
      </c>
      <c r="L84" s="456">
        <f>'Key input_Biomass_MAgPIE'!J79</f>
        <v>0</v>
      </c>
      <c r="M84" s="456">
        <f>'Key input_Biomass_MAgPIE'!K79</f>
        <v>8.3564089975159787E-3</v>
      </c>
      <c r="N84" s="456">
        <f>'Key input_Biomass_MAgPIE'!L79</f>
        <v>0</v>
      </c>
      <c r="O84" s="456">
        <f>'Key input_Biomass_MAgPIE'!M79</f>
        <v>86210.708614822113</v>
      </c>
      <c r="P84" s="456">
        <f>'Key input_Biomass_MAgPIE'!N79</f>
        <v>0</v>
      </c>
      <c r="Q84" s="456">
        <f>'Key input_Biomass_MAgPIE'!O79</f>
        <v>0</v>
      </c>
      <c r="R84" s="456">
        <f>'Key input_Biomass_MAgPIE'!P79</f>
        <v>0</v>
      </c>
      <c r="S84" s="456">
        <f>'Key input_Biomass_MAgPIE'!Q79</f>
        <v>0</v>
      </c>
      <c r="T84" s="456">
        <f>'Key input_Biomass_MAgPIE'!R79</f>
        <v>0</v>
      </c>
      <c r="U84" s="456">
        <f>'Key input_Biomass_MAgPIE'!S79</f>
        <v>0</v>
      </c>
      <c r="V84" s="456">
        <f>'Key input_Biomass_MAgPIE'!T79</f>
        <v>0</v>
      </c>
      <c r="W84" s="456">
        <f>'Key input_Biomass_MAgPIE'!U79</f>
        <v>0</v>
      </c>
      <c r="X84" s="456">
        <f>'Key input_Biomass_MAgPIE'!V79</f>
        <v>0</v>
      </c>
      <c r="Y84" s="456">
        <f>'Key input_Biomass_MAgPIE'!W79</f>
        <v>0</v>
      </c>
      <c r="Z84" s="456">
        <f>'Key input_Biomass_MAgPIE'!X79</f>
        <v>0</v>
      </c>
      <c r="AA84" s="456">
        <f>'Key input_Biomass_MAgPIE'!Y79</f>
        <v>0</v>
      </c>
      <c r="AB84" s="456">
        <f>'Key input_Biomass_MAgPIE'!Z79</f>
        <v>0</v>
      </c>
      <c r="AC84" s="456">
        <f>'Key input_Biomass_MAgPIE'!AA79</f>
        <v>0</v>
      </c>
      <c r="AD84" s="456">
        <f>'Key input_Biomass_MAgPIE'!AB79</f>
        <v>0</v>
      </c>
      <c r="AE84" s="456">
        <f>'Key input_Biomass_MAgPIE'!AC79</f>
        <v>0</v>
      </c>
      <c r="AF84" s="456">
        <f>'Key input_Biomass_MAgPIE'!AD79</f>
        <v>39231.613651310108</v>
      </c>
      <c r="AG84" s="456">
        <f>'Key input_Biomass_MAgPIE'!AE79</f>
        <v>0</v>
      </c>
      <c r="AH84" s="456">
        <f>'Key input_Biomass_MAgPIE'!AF79</f>
        <v>0</v>
      </c>
      <c r="AK84"/>
      <c r="AL84"/>
    </row>
    <row r="85" spans="1:38" s="4" customFormat="1">
      <c r="A85" s="4" t="str">
        <f t="shared" si="34"/>
        <v>MIN-RSVBIOCRP3</v>
      </c>
      <c r="B85" s="4" t="str">
        <f t="shared" si="30"/>
        <v>UPS Reserves of Biomass - Crops grown for energy - Reserve - Supply curve step 3</v>
      </c>
      <c r="C85" s="4" t="str">
        <f t="shared" si="31"/>
        <v>RSVBIOCRP</v>
      </c>
      <c r="D85" s="4" t="str">
        <f t="shared" si="32"/>
        <v>ACT_BND</v>
      </c>
      <c r="E85" s="4" t="str">
        <f t="shared" si="33"/>
        <v>UP</v>
      </c>
      <c r="F85" s="4">
        <v>2070</v>
      </c>
      <c r="G85" s="456">
        <f>'Key input_Biomass_MAgPIE'!E80</f>
        <v>0</v>
      </c>
      <c r="H85" s="456">
        <f>'Key input_Biomass_MAgPIE'!F80</f>
        <v>0</v>
      </c>
      <c r="I85" s="456">
        <f>'Key input_Biomass_MAgPIE'!G80</f>
        <v>622356.4909612895</v>
      </c>
      <c r="J85" s="456">
        <f>'Key input_Biomass_MAgPIE'!H80</f>
        <v>54564.473214788421</v>
      </c>
      <c r="K85" s="456">
        <f>'Key input_Biomass_MAgPIE'!I80</f>
        <v>0</v>
      </c>
      <c r="L85" s="456">
        <f>'Key input_Biomass_MAgPIE'!J80</f>
        <v>0</v>
      </c>
      <c r="M85" s="456">
        <f>'Key input_Biomass_MAgPIE'!K80</f>
        <v>1021670.2489723379</v>
      </c>
      <c r="N85" s="456">
        <f>'Key input_Biomass_MAgPIE'!L80</f>
        <v>0</v>
      </c>
      <c r="O85" s="456">
        <f>'Key input_Biomass_MAgPIE'!M80</f>
        <v>1821803.6956138902</v>
      </c>
      <c r="P85" s="456">
        <f>'Key input_Biomass_MAgPIE'!N80</f>
        <v>0</v>
      </c>
      <c r="Q85" s="456">
        <f>'Key input_Biomass_MAgPIE'!O80</f>
        <v>0</v>
      </c>
      <c r="R85" s="456">
        <f>'Key input_Biomass_MAgPIE'!P80</f>
        <v>0</v>
      </c>
      <c r="S85" s="456">
        <f>'Key input_Biomass_MAgPIE'!Q80</f>
        <v>25094.785911495554</v>
      </c>
      <c r="T85" s="456">
        <f>'Key input_Biomass_MAgPIE'!R80</f>
        <v>0</v>
      </c>
      <c r="U85" s="456">
        <f>'Key input_Biomass_MAgPIE'!S80</f>
        <v>6219.4684958901107</v>
      </c>
      <c r="V85" s="456">
        <f>'Key input_Biomass_MAgPIE'!T80</f>
        <v>0</v>
      </c>
      <c r="W85" s="456">
        <f>'Key input_Biomass_MAgPIE'!U80</f>
        <v>0</v>
      </c>
      <c r="X85" s="456">
        <f>'Key input_Biomass_MAgPIE'!V80</f>
        <v>1230498.7690039007</v>
      </c>
      <c r="Y85" s="456">
        <f>'Key input_Biomass_MAgPIE'!W80</f>
        <v>0</v>
      </c>
      <c r="Z85" s="456">
        <f>'Key input_Biomass_MAgPIE'!X80</f>
        <v>1.2035200263283448E-2</v>
      </c>
      <c r="AA85" s="456">
        <f>'Key input_Biomass_MAgPIE'!Y80</f>
        <v>2025237.2788222649</v>
      </c>
      <c r="AB85" s="456">
        <f>'Key input_Biomass_MAgPIE'!Z80</f>
        <v>0</v>
      </c>
      <c r="AC85" s="456">
        <f>'Key input_Biomass_MAgPIE'!AA80</f>
        <v>0</v>
      </c>
      <c r="AD85" s="456">
        <f>'Key input_Biomass_MAgPIE'!AB80</f>
        <v>0</v>
      </c>
      <c r="AE85" s="456">
        <f>'Key input_Biomass_MAgPIE'!AC80</f>
        <v>0</v>
      </c>
      <c r="AF85" s="456">
        <f>'Key input_Biomass_MAgPIE'!AD80</f>
        <v>103842.63425968458</v>
      </c>
      <c r="AG85" s="456">
        <f>'Key input_Biomass_MAgPIE'!AE80</f>
        <v>1.2035200263283448E-2</v>
      </c>
      <c r="AH85" s="456">
        <f>'Key input_Biomass_MAgPIE'!AF80</f>
        <v>1.14894099380679E-2</v>
      </c>
      <c r="AK85"/>
      <c r="AL85"/>
    </row>
    <row r="86" spans="1:38" s="4" customFormat="1">
      <c r="A86" s="4" t="str">
        <f t="shared" si="34"/>
        <v>MIN-RSVBIOCRP3</v>
      </c>
      <c r="B86" s="4" t="str">
        <f t="shared" si="30"/>
        <v>UPS Reserves of Biomass - Crops grown for energy - Reserve - Supply curve step 3</v>
      </c>
      <c r="C86" s="4" t="str">
        <f t="shared" si="31"/>
        <v>RSVBIOCRP</v>
      </c>
      <c r="D86" s="4" t="str">
        <f t="shared" si="32"/>
        <v>ACT_BND</v>
      </c>
      <c r="E86" s="4" t="str">
        <f t="shared" si="33"/>
        <v>UP</v>
      </c>
      <c r="F86" s="4">
        <v>2080</v>
      </c>
      <c r="G86" s="456">
        <f>'Key input_Biomass_MAgPIE'!E81</f>
        <v>370752.27382190205</v>
      </c>
      <c r="H86" s="456">
        <f>'Key input_Biomass_MAgPIE'!F81</f>
        <v>0</v>
      </c>
      <c r="I86" s="456">
        <f>'Key input_Biomass_MAgPIE'!G81</f>
        <v>2733061.7908390141</v>
      </c>
      <c r="J86" s="456">
        <f>'Key input_Biomass_MAgPIE'!H81</f>
        <v>832849.15279441734</v>
      </c>
      <c r="K86" s="456">
        <f>'Key input_Biomass_MAgPIE'!I81</f>
        <v>219979.93996946866</v>
      </c>
      <c r="L86" s="456">
        <f>'Key input_Biomass_MAgPIE'!J81</f>
        <v>0</v>
      </c>
      <c r="M86" s="456">
        <f>'Key input_Biomass_MAgPIE'!K81</f>
        <v>2187934.8514221818</v>
      </c>
      <c r="N86" s="456">
        <f>'Key input_Biomass_MAgPIE'!L81</f>
        <v>0</v>
      </c>
      <c r="O86" s="456">
        <f>'Key input_Biomass_MAgPIE'!M81</f>
        <v>1251020.9193740052</v>
      </c>
      <c r="P86" s="456">
        <f>'Key input_Biomass_MAgPIE'!N81</f>
        <v>515937.22329541435</v>
      </c>
      <c r="Q86" s="456">
        <f>'Key input_Biomass_MAgPIE'!O81</f>
        <v>4874.6780140258925</v>
      </c>
      <c r="R86" s="456">
        <f>'Key input_Biomass_MAgPIE'!P81</f>
        <v>148664.80078798416</v>
      </c>
      <c r="S86" s="456">
        <f>'Key input_Biomass_MAgPIE'!Q81</f>
        <v>97151.854994943409</v>
      </c>
      <c r="T86" s="456">
        <f>'Key input_Biomass_MAgPIE'!R81</f>
        <v>17146.059399527789</v>
      </c>
      <c r="U86" s="456">
        <f>'Key input_Biomass_MAgPIE'!S81</f>
        <v>79099.550080047848</v>
      </c>
      <c r="V86" s="456">
        <f>'Key input_Biomass_MAgPIE'!T81</f>
        <v>167867.72080363223</v>
      </c>
      <c r="W86" s="456">
        <f>'Key input_Biomass_MAgPIE'!U81</f>
        <v>0</v>
      </c>
      <c r="X86" s="456">
        <f>'Key input_Biomass_MAgPIE'!V81</f>
        <v>1606174.2706305701</v>
      </c>
      <c r="Y86" s="456">
        <f>'Key input_Biomass_MAgPIE'!W81</f>
        <v>27684.297229692038</v>
      </c>
      <c r="Z86" s="456">
        <f>'Key input_Biomass_MAgPIE'!X81</f>
        <v>24123.420265085784</v>
      </c>
      <c r="AA86" s="456">
        <f>'Key input_Biomass_MAgPIE'!Y81</f>
        <v>3289488.7495977837</v>
      </c>
      <c r="AB86" s="456">
        <f>'Key input_Biomass_MAgPIE'!Z81</f>
        <v>0</v>
      </c>
      <c r="AC86" s="456">
        <f>'Key input_Biomass_MAgPIE'!AA81</f>
        <v>0</v>
      </c>
      <c r="AD86" s="456">
        <f>'Key input_Biomass_MAgPIE'!AB81</f>
        <v>166364.90225767315</v>
      </c>
      <c r="AE86" s="456">
        <f>'Key input_Biomass_MAgPIE'!AC81</f>
        <v>0</v>
      </c>
      <c r="AF86" s="456">
        <f>'Key input_Biomass_MAgPIE'!AD81</f>
        <v>22985.467283223152</v>
      </c>
      <c r="AG86" s="456">
        <f>'Key input_Biomass_MAgPIE'!AE81</f>
        <v>24123.420265085784</v>
      </c>
      <c r="AH86" s="456">
        <f>'Key input_Biomass_MAgPIE'!AF81</f>
        <v>1212951.0226892314</v>
      </c>
      <c r="AK86"/>
      <c r="AL86"/>
    </row>
    <row r="87" spans="1:38" s="4" customFormat="1">
      <c r="A87" s="4" t="str">
        <f t="shared" si="34"/>
        <v>MIN-RSVBIOCRP3</v>
      </c>
      <c r="B87" s="4" t="str">
        <f t="shared" si="30"/>
        <v>UPS Reserves of Biomass - Crops grown for energy - Reserve - Supply curve step 3</v>
      </c>
      <c r="C87" s="4" t="str">
        <f t="shared" si="31"/>
        <v>RSVBIOCRP</v>
      </c>
      <c r="D87" s="4" t="str">
        <f t="shared" si="32"/>
        <v>ACT_BND</v>
      </c>
      <c r="E87" s="4" t="str">
        <f t="shared" si="33"/>
        <v>UP</v>
      </c>
      <c r="F87" s="4">
        <v>2090</v>
      </c>
      <c r="G87" s="456">
        <f>'Key input_Biomass_MAgPIE'!E82</f>
        <v>135482.12919482106</v>
      </c>
      <c r="H87" s="456">
        <f>'Key input_Biomass_MAgPIE'!F82</f>
        <v>5851.7635044000526</v>
      </c>
      <c r="I87" s="456">
        <f>'Key input_Biomass_MAgPIE'!G82</f>
        <v>98749.992517468476</v>
      </c>
      <c r="J87" s="456">
        <f>'Key input_Biomass_MAgPIE'!H82</f>
        <v>521904.50600994204</v>
      </c>
      <c r="K87" s="456">
        <f>'Key input_Biomass_MAgPIE'!I82</f>
        <v>1233082.564625409</v>
      </c>
      <c r="L87" s="456">
        <f>'Key input_Biomass_MAgPIE'!J82</f>
        <v>20009.344679797479</v>
      </c>
      <c r="M87" s="456">
        <f>'Key input_Biomass_MAgPIE'!K82</f>
        <v>786384.64936614735</v>
      </c>
      <c r="N87" s="456">
        <f>'Key input_Biomass_MAgPIE'!L82</f>
        <v>0</v>
      </c>
      <c r="O87" s="456">
        <f>'Key input_Biomass_MAgPIE'!M82</f>
        <v>399058.255462058</v>
      </c>
      <c r="P87" s="456">
        <f>'Key input_Biomass_MAgPIE'!N82</f>
        <v>257843.27465538422</v>
      </c>
      <c r="Q87" s="456">
        <f>'Key input_Biomass_MAgPIE'!O82</f>
        <v>127914.05380876179</v>
      </c>
      <c r="R87" s="456">
        <f>'Key input_Biomass_MAgPIE'!P82</f>
        <v>1899403.0983329897</v>
      </c>
      <c r="S87" s="456">
        <f>'Key input_Biomass_MAgPIE'!Q82</f>
        <v>134648.18000058841</v>
      </c>
      <c r="T87" s="456">
        <f>'Key input_Biomass_MAgPIE'!R82</f>
        <v>21858.086253737903</v>
      </c>
      <c r="U87" s="456">
        <f>'Key input_Biomass_MAgPIE'!S82</f>
        <v>177804.44143069946</v>
      </c>
      <c r="V87" s="456">
        <f>'Key input_Biomass_MAgPIE'!T82</f>
        <v>148635.42795414632</v>
      </c>
      <c r="W87" s="456">
        <f>'Key input_Biomass_MAgPIE'!U82</f>
        <v>0</v>
      </c>
      <c r="X87" s="456">
        <f>'Key input_Biomass_MAgPIE'!V82</f>
        <v>47819.773469905231</v>
      </c>
      <c r="Y87" s="456">
        <f>'Key input_Biomass_MAgPIE'!W82</f>
        <v>810727.53186235158</v>
      </c>
      <c r="Z87" s="456">
        <f>'Key input_Biomass_MAgPIE'!X82</f>
        <v>63466.720159562094</v>
      </c>
      <c r="AA87" s="456">
        <f>'Key input_Biomass_MAgPIE'!Y82</f>
        <v>1786859.909998579</v>
      </c>
      <c r="AB87" s="456">
        <f>'Key input_Biomass_MAgPIE'!Z82</f>
        <v>0</v>
      </c>
      <c r="AC87" s="456">
        <f>'Key input_Biomass_MAgPIE'!AA82</f>
        <v>0</v>
      </c>
      <c r="AD87" s="456">
        <f>'Key input_Biomass_MAgPIE'!AB82</f>
        <v>185459.8702901837</v>
      </c>
      <c r="AE87" s="456">
        <f>'Key input_Biomass_MAgPIE'!AC82</f>
        <v>0</v>
      </c>
      <c r="AF87" s="456">
        <f>'Key input_Biomass_MAgPIE'!AD82</f>
        <v>943132.93544408109</v>
      </c>
      <c r="AG87" s="456">
        <f>'Key input_Biomass_MAgPIE'!AE82</f>
        <v>63466.720159562094</v>
      </c>
      <c r="AH87" s="456">
        <f>'Key input_Biomass_MAgPIE'!AF82</f>
        <v>424555.12365638418</v>
      </c>
      <c r="AK87"/>
      <c r="AL87"/>
    </row>
    <row r="88" spans="1:38" s="4" customFormat="1" ht="16.2" thickBot="1">
      <c r="A88" s="454" t="str">
        <f t="shared" si="34"/>
        <v>MIN-RSVBIOCRP3</v>
      </c>
      <c r="B88" s="454" t="str">
        <f t="shared" si="30"/>
        <v>UPS Reserves of Biomass - Crops grown for energy - Reserve - Supply curve step 3</v>
      </c>
      <c r="C88" s="454" t="str">
        <f t="shared" si="31"/>
        <v>RSVBIOCRP</v>
      </c>
      <c r="D88" s="454" t="str">
        <f t="shared" si="32"/>
        <v>ACT_BND</v>
      </c>
      <c r="E88" s="454" t="str">
        <f t="shared" si="33"/>
        <v>UP</v>
      </c>
      <c r="F88" s="454">
        <v>2100</v>
      </c>
      <c r="G88" s="455">
        <f>'Key input_Biomass_MAgPIE'!E83</f>
        <v>833220.26592394209</v>
      </c>
      <c r="H88" s="455">
        <f>'Key input_Biomass_MAgPIE'!F83</f>
        <v>0</v>
      </c>
      <c r="I88" s="455">
        <f>'Key input_Biomass_MAgPIE'!G83</f>
        <v>1654671.7258305743</v>
      </c>
      <c r="J88" s="455">
        <f>'Key input_Biomass_MAgPIE'!H83</f>
        <v>17422.488317342228</v>
      </c>
      <c r="K88" s="455">
        <f>'Key input_Biomass_MAgPIE'!I83</f>
        <v>827430.05379458424</v>
      </c>
      <c r="L88" s="455">
        <f>'Key input_Biomass_MAgPIE'!J83</f>
        <v>233926.65494455735</v>
      </c>
      <c r="M88" s="455">
        <f>'Key input_Biomass_MAgPIE'!K83</f>
        <v>0</v>
      </c>
      <c r="N88" s="455">
        <f>'Key input_Biomass_MAgPIE'!L83</f>
        <v>0</v>
      </c>
      <c r="O88" s="455">
        <f>'Key input_Biomass_MAgPIE'!M83</f>
        <v>62883.860320353255</v>
      </c>
      <c r="P88" s="455">
        <f>'Key input_Biomass_MAgPIE'!N83</f>
        <v>80608.978404199952</v>
      </c>
      <c r="Q88" s="455">
        <f>'Key input_Biomass_MAgPIE'!O83</f>
        <v>222343.67847568469</v>
      </c>
      <c r="R88" s="455">
        <f>'Key input_Biomass_MAgPIE'!P83</f>
        <v>291561.79293038364</v>
      </c>
      <c r="S88" s="455">
        <f>'Key input_Biomass_MAgPIE'!Q83</f>
        <v>83725.997549456835</v>
      </c>
      <c r="T88" s="455">
        <f>'Key input_Biomass_MAgPIE'!R83</f>
        <v>81701.459053257902</v>
      </c>
      <c r="U88" s="455">
        <f>'Key input_Biomass_MAgPIE'!S83</f>
        <v>304213.64846358821</v>
      </c>
      <c r="V88" s="455">
        <f>'Key input_Biomass_MAgPIE'!T83</f>
        <v>0</v>
      </c>
      <c r="W88" s="455">
        <f>'Key input_Biomass_MAgPIE'!U83</f>
        <v>99873.611840423066</v>
      </c>
      <c r="X88" s="455">
        <f>'Key input_Biomass_MAgPIE'!V83</f>
        <v>0</v>
      </c>
      <c r="Y88" s="455">
        <f>'Key input_Biomass_MAgPIE'!W83</f>
        <v>234704.60953999474</v>
      </c>
      <c r="Z88" s="455">
        <f>'Key input_Biomass_MAgPIE'!X83</f>
        <v>8171.8567788392184</v>
      </c>
      <c r="AA88" s="455">
        <f>'Key input_Biomass_MAgPIE'!Y83</f>
        <v>324157.88166294812</v>
      </c>
      <c r="AB88" s="455">
        <f>'Key input_Biomass_MAgPIE'!Z83</f>
        <v>42029.250885653164</v>
      </c>
      <c r="AC88" s="455">
        <f>'Key input_Biomass_MAgPIE'!AA83</f>
        <v>154054.65788620926</v>
      </c>
      <c r="AD88" s="455">
        <f>'Key input_Biomass_MAgPIE'!AB83</f>
        <v>34875.745884331525</v>
      </c>
      <c r="AE88" s="455">
        <f>'Key input_Biomass_MAgPIE'!AC83</f>
        <v>0</v>
      </c>
      <c r="AF88" s="455">
        <f>'Key input_Biomass_MAgPIE'!AD83</f>
        <v>1178206.3626930653</v>
      </c>
      <c r="AG88" s="455">
        <f>'Key input_Biomass_MAgPIE'!AE83</f>
        <v>8171.8567788392184</v>
      </c>
      <c r="AH88" s="455">
        <f>'Key input_Biomass_MAgPIE'!AF83</f>
        <v>251888.36147956894</v>
      </c>
      <c r="AK88"/>
      <c r="AL88"/>
    </row>
    <row r="89" spans="1:38" s="4" customFormat="1">
      <c r="A89" s="4" t="str">
        <f>IF(AK17="",AJ17,AK17)</f>
        <v>MIN-RSVBIOAGR1</v>
      </c>
      <c r="B89" s="4" t="str">
        <f>IF($AK17="","",AL17)</f>
        <v>UPS Reserves of Biomass - Agricultural residues - Reserve - Supply curve step 1</v>
      </c>
      <c r="C89" s="4" t="str">
        <f>Commodities!$C$17</f>
        <v>RSVBIOAGR</v>
      </c>
      <c r="D89" s="4" t="s">
        <v>678</v>
      </c>
      <c r="E89" s="4" t="s">
        <v>661</v>
      </c>
      <c r="F89" s="4">
        <v>2019</v>
      </c>
      <c r="G89" s="258">
        <f>'Key input_Biomass_MAgPIE'!E84</f>
        <v>88118.315879770409</v>
      </c>
      <c r="H89" s="258">
        <f>'Key input_Biomass_MAgPIE'!F84</f>
        <v>34820.672193760103</v>
      </c>
      <c r="I89" s="258">
        <f>'Key input_Biomass_MAgPIE'!G84</f>
        <v>91314.609815583302</v>
      </c>
      <c r="J89" s="258">
        <f>'Key input_Biomass_MAgPIE'!H84</f>
        <v>21857.419414087701</v>
      </c>
      <c r="K89" s="258">
        <f>'Key input_Biomass_MAgPIE'!I84</f>
        <v>23205.099462189701</v>
      </c>
      <c r="L89" s="258">
        <f>'Key input_Biomass_MAgPIE'!J84</f>
        <v>31153.041557348799</v>
      </c>
      <c r="M89" s="258">
        <f>'Key input_Biomass_MAgPIE'!K84</f>
        <v>71069.046436641991</v>
      </c>
      <c r="N89" s="258">
        <f>'Key input_Biomass_MAgPIE'!L84</f>
        <v>115057.788714018</v>
      </c>
      <c r="O89" s="258">
        <f>'Key input_Biomass_MAgPIE'!M84</f>
        <v>101513.834898726</v>
      </c>
      <c r="P89" s="258">
        <f>'Key input_Biomass_MAgPIE'!N84</f>
        <v>7635.0230792331204</v>
      </c>
      <c r="Q89" s="258">
        <f>'Key input_Biomass_MAgPIE'!O84</f>
        <v>3504.4834195040503</v>
      </c>
      <c r="R89" s="258">
        <f>'Key input_Biomass_MAgPIE'!P84</f>
        <v>374384.23321115196</v>
      </c>
      <c r="S89" s="258">
        <f>'Key input_Biomass_MAgPIE'!Q84</f>
        <v>19859.503180883901</v>
      </c>
      <c r="T89" s="258">
        <f>'Key input_Biomass_MAgPIE'!R84</f>
        <v>18375.7555964764</v>
      </c>
      <c r="U89" s="258">
        <f>'Key input_Biomass_MAgPIE'!S84</f>
        <v>6043.6523159644994</v>
      </c>
      <c r="V89" s="258">
        <f>'Key input_Biomass_MAgPIE'!T84</f>
        <v>62693.086791597205</v>
      </c>
      <c r="W89" s="258">
        <f>'Key input_Biomass_MAgPIE'!U84</f>
        <v>31615.250640357601</v>
      </c>
      <c r="X89" s="258">
        <f>'Key input_Biomass_MAgPIE'!V84</f>
        <v>177284.19155243601</v>
      </c>
      <c r="Y89" s="258">
        <f>'Key input_Biomass_MAgPIE'!W84</f>
        <v>379930.213220014</v>
      </c>
      <c r="Z89" s="258">
        <f>'Key input_Biomass_MAgPIE'!X84</f>
        <v>5256.4639687178496</v>
      </c>
      <c r="AA89" s="258">
        <f>'Key input_Biomass_MAgPIE'!Y84</f>
        <v>88270.413724376194</v>
      </c>
      <c r="AB89" s="258">
        <f>'Key input_Biomass_MAgPIE'!Z84</f>
        <v>21732.129314031499</v>
      </c>
      <c r="AC89" s="258">
        <f>'Key input_Biomass_MAgPIE'!AA84</f>
        <v>16066.3979764708</v>
      </c>
      <c r="AD89" s="258">
        <f>'Key input_Biomass_MAgPIE'!AB84</f>
        <v>17727.724170854101</v>
      </c>
      <c r="AE89" s="258">
        <f>'Key input_Biomass_MAgPIE'!AC84</f>
        <v>49761.788056130201</v>
      </c>
      <c r="AF89" s="258">
        <f>'Key input_Biomass_MAgPIE'!AD84</f>
        <v>19861.670026142201</v>
      </c>
      <c r="AG89" s="258">
        <f>'Key input_Biomass_MAgPIE'!AE84</f>
        <v>5256.4639687178496</v>
      </c>
      <c r="AH89" s="258">
        <f>'Key input_Biomass_MAgPIE'!AF84</f>
        <v>103735.85058538901</v>
      </c>
      <c r="AK89"/>
      <c r="AL89"/>
    </row>
    <row r="90" spans="1:38" s="4" customFormat="1">
      <c r="A90" s="4" t="str">
        <f>A89</f>
        <v>MIN-RSVBIOAGR1</v>
      </c>
      <c r="B90" s="4" t="str">
        <f t="shared" ref="B90:B101" si="35">B89</f>
        <v>UPS Reserves of Biomass - Agricultural residues - Reserve - Supply curve step 1</v>
      </c>
      <c r="C90" s="4" t="str">
        <f t="shared" ref="C90:C101" si="36">C89</f>
        <v>RSVBIOAGR</v>
      </c>
      <c r="D90" s="4" t="str">
        <f t="shared" ref="D90:D101" si="37">D89</f>
        <v>ACT_BND</v>
      </c>
      <c r="E90" s="4" t="str">
        <f t="shared" ref="E90:E101" si="38">E89</f>
        <v>UP</v>
      </c>
      <c r="F90" s="4">
        <v>2020</v>
      </c>
      <c r="G90" s="456">
        <f>'Key input_Biomass_MAgPIE'!E85</f>
        <v>88118.315879770409</v>
      </c>
      <c r="H90" s="456">
        <f>'Key input_Biomass_MAgPIE'!F85</f>
        <v>34820.672193760103</v>
      </c>
      <c r="I90" s="456">
        <f>'Key input_Biomass_MAgPIE'!G85</f>
        <v>91314.609815583302</v>
      </c>
      <c r="J90" s="456">
        <f>'Key input_Biomass_MAgPIE'!H85</f>
        <v>21857.419414087701</v>
      </c>
      <c r="K90" s="456">
        <f>'Key input_Biomass_MAgPIE'!I85</f>
        <v>23205.099462189701</v>
      </c>
      <c r="L90" s="456">
        <f>'Key input_Biomass_MAgPIE'!J85</f>
        <v>31153.041557348799</v>
      </c>
      <c r="M90" s="456">
        <f>'Key input_Biomass_MAgPIE'!K85</f>
        <v>71069.046436641991</v>
      </c>
      <c r="N90" s="456">
        <f>'Key input_Biomass_MAgPIE'!L85</f>
        <v>115057.788714018</v>
      </c>
      <c r="O90" s="456">
        <f>'Key input_Biomass_MAgPIE'!M85</f>
        <v>101513.834898726</v>
      </c>
      <c r="P90" s="456">
        <f>'Key input_Biomass_MAgPIE'!N85</f>
        <v>7635.0230792331204</v>
      </c>
      <c r="Q90" s="456">
        <f>'Key input_Biomass_MAgPIE'!O85</f>
        <v>3504.4834195040503</v>
      </c>
      <c r="R90" s="456">
        <f>'Key input_Biomass_MAgPIE'!P85</f>
        <v>374384.23321115196</v>
      </c>
      <c r="S90" s="456">
        <f>'Key input_Biomass_MAgPIE'!Q85</f>
        <v>19859.503180883901</v>
      </c>
      <c r="T90" s="456">
        <f>'Key input_Biomass_MAgPIE'!R85</f>
        <v>18375.7555964764</v>
      </c>
      <c r="U90" s="456">
        <f>'Key input_Biomass_MAgPIE'!S85</f>
        <v>6043.6523159644994</v>
      </c>
      <c r="V90" s="456">
        <f>'Key input_Biomass_MAgPIE'!T85</f>
        <v>62693.086791597205</v>
      </c>
      <c r="W90" s="456">
        <f>'Key input_Biomass_MAgPIE'!U85</f>
        <v>31615.250640357601</v>
      </c>
      <c r="X90" s="456">
        <f>'Key input_Biomass_MAgPIE'!V85</f>
        <v>177284.19155243601</v>
      </c>
      <c r="Y90" s="456">
        <f>'Key input_Biomass_MAgPIE'!W85</f>
        <v>379930.213220014</v>
      </c>
      <c r="Z90" s="456">
        <f>'Key input_Biomass_MAgPIE'!X85</f>
        <v>5256.4639687178496</v>
      </c>
      <c r="AA90" s="456">
        <f>'Key input_Biomass_MAgPIE'!Y85</f>
        <v>88270.413724376194</v>
      </c>
      <c r="AB90" s="456">
        <f>'Key input_Biomass_MAgPIE'!Z85</f>
        <v>21732.129314031499</v>
      </c>
      <c r="AC90" s="456">
        <f>'Key input_Biomass_MAgPIE'!AA85</f>
        <v>16066.3979764708</v>
      </c>
      <c r="AD90" s="456">
        <f>'Key input_Biomass_MAgPIE'!AB85</f>
        <v>17727.724170854101</v>
      </c>
      <c r="AE90" s="456">
        <f>'Key input_Biomass_MAgPIE'!AC85</f>
        <v>49761.788056130201</v>
      </c>
      <c r="AF90" s="456">
        <f>'Key input_Biomass_MAgPIE'!AD85</f>
        <v>19861.670026142201</v>
      </c>
      <c r="AG90" s="456">
        <f>'Key input_Biomass_MAgPIE'!AE85</f>
        <v>5256.4639687178496</v>
      </c>
      <c r="AH90" s="456">
        <f>'Key input_Biomass_MAgPIE'!AF85</f>
        <v>103735.85058538901</v>
      </c>
      <c r="AK90"/>
      <c r="AL90"/>
    </row>
    <row r="91" spans="1:38" s="4" customFormat="1">
      <c r="A91" s="4" t="str">
        <f t="shared" ref="A91:A101" si="39">A90</f>
        <v>MIN-RSVBIOAGR1</v>
      </c>
      <c r="B91" s="4" t="str">
        <f t="shared" si="35"/>
        <v>UPS Reserves of Biomass - Agricultural residues - Reserve - Supply curve step 1</v>
      </c>
      <c r="C91" s="4" t="str">
        <f t="shared" si="36"/>
        <v>RSVBIOAGR</v>
      </c>
      <c r="D91" s="4" t="str">
        <f t="shared" si="37"/>
        <v>ACT_BND</v>
      </c>
      <c r="E91" s="4" t="str">
        <f t="shared" si="38"/>
        <v>UP</v>
      </c>
      <c r="F91" s="4">
        <v>2025</v>
      </c>
      <c r="G91" s="456">
        <f>'Key input_Biomass_MAgPIE'!E86</f>
        <v>93810.783830342698</v>
      </c>
      <c r="H91" s="456">
        <f>'Key input_Biomass_MAgPIE'!F86</f>
        <v>37682.462503941701</v>
      </c>
      <c r="I91" s="456">
        <f>'Key input_Biomass_MAgPIE'!G86</f>
        <v>95562.962405355094</v>
      </c>
      <c r="J91" s="456">
        <f>'Key input_Biomass_MAgPIE'!H86</f>
        <v>22495.8842774197</v>
      </c>
      <c r="K91" s="456">
        <f>'Key input_Biomass_MAgPIE'!I86</f>
        <v>23869.753089242</v>
      </c>
      <c r="L91" s="456">
        <f>'Key input_Biomass_MAgPIE'!J86</f>
        <v>34112.2394327847</v>
      </c>
      <c r="M91" s="456">
        <f>'Key input_Biomass_MAgPIE'!K86</f>
        <v>69253.563807551298</v>
      </c>
      <c r="N91" s="456">
        <f>'Key input_Biomass_MAgPIE'!L86</f>
        <v>120330.268153125</v>
      </c>
      <c r="O91" s="456">
        <f>'Key input_Biomass_MAgPIE'!M86</f>
        <v>105472.456098215</v>
      </c>
      <c r="P91" s="456">
        <f>'Key input_Biomass_MAgPIE'!N86</f>
        <v>8905.9584007293888</v>
      </c>
      <c r="Q91" s="456">
        <f>'Key input_Biomass_MAgPIE'!O86</f>
        <v>4061.6434654289701</v>
      </c>
      <c r="R91" s="456">
        <f>'Key input_Biomass_MAgPIE'!P86</f>
        <v>405532.86652640899</v>
      </c>
      <c r="S91" s="456">
        <f>'Key input_Biomass_MAgPIE'!Q86</f>
        <v>22193.4350357533</v>
      </c>
      <c r="T91" s="456">
        <f>'Key input_Biomass_MAgPIE'!R86</f>
        <v>20897.164051443498</v>
      </c>
      <c r="U91" s="456">
        <f>'Key input_Biomass_MAgPIE'!S86</f>
        <v>6173.2475152201805</v>
      </c>
      <c r="V91" s="456">
        <f>'Key input_Biomass_MAgPIE'!T86</f>
        <v>65591.95085241209</v>
      </c>
      <c r="W91" s="456">
        <f>'Key input_Biomass_MAgPIE'!U86</f>
        <v>33516.726717788399</v>
      </c>
      <c r="X91" s="456">
        <f>'Key input_Biomass_MAgPIE'!V86</f>
        <v>188990.67810316398</v>
      </c>
      <c r="Y91" s="456">
        <f>'Key input_Biomass_MAgPIE'!W86</f>
        <v>436288.50407151901</v>
      </c>
      <c r="Z91" s="456">
        <f>'Key input_Biomass_MAgPIE'!X86</f>
        <v>6347.1981145812497</v>
      </c>
      <c r="AA91" s="456">
        <f>'Key input_Biomass_MAgPIE'!Y86</f>
        <v>94730.216008486808</v>
      </c>
      <c r="AB91" s="456">
        <f>'Key input_Biomass_MAgPIE'!Z86</f>
        <v>27121.4124943766</v>
      </c>
      <c r="AC91" s="456">
        <f>'Key input_Biomass_MAgPIE'!AA86</f>
        <v>17248.039935220302</v>
      </c>
      <c r="AD91" s="456">
        <f>'Key input_Biomass_MAgPIE'!AB86</f>
        <v>18660.1643300367</v>
      </c>
      <c r="AE91" s="456">
        <f>'Key input_Biomass_MAgPIE'!AC86</f>
        <v>46840.586784698498</v>
      </c>
      <c r="AF91" s="456">
        <f>'Key input_Biomass_MAgPIE'!AD86</f>
        <v>22070.306328628001</v>
      </c>
      <c r="AG91" s="456">
        <f>'Key input_Biomass_MAgPIE'!AE86</f>
        <v>6347.1981145812497</v>
      </c>
      <c r="AH91" s="456">
        <f>'Key input_Biomass_MAgPIE'!AF86</f>
        <v>109656.855360423</v>
      </c>
      <c r="AK91"/>
      <c r="AL91"/>
    </row>
    <row r="92" spans="1:38" s="4" customFormat="1">
      <c r="A92" s="4" t="str">
        <f t="shared" si="39"/>
        <v>MIN-RSVBIOAGR1</v>
      </c>
      <c r="B92" s="4" t="str">
        <f t="shared" si="35"/>
        <v>UPS Reserves of Biomass - Agricultural residues - Reserve - Supply curve step 1</v>
      </c>
      <c r="C92" s="4" t="str">
        <f t="shared" si="36"/>
        <v>RSVBIOAGR</v>
      </c>
      <c r="D92" s="4" t="str">
        <f t="shared" si="37"/>
        <v>ACT_BND</v>
      </c>
      <c r="E92" s="4" t="str">
        <f t="shared" si="38"/>
        <v>UP</v>
      </c>
      <c r="F92" s="4">
        <v>2030</v>
      </c>
      <c r="G92" s="456">
        <f>'Key input_Biomass_MAgPIE'!E87</f>
        <v>103706.44136624099</v>
      </c>
      <c r="H92" s="456">
        <f>'Key input_Biomass_MAgPIE'!F87</f>
        <v>40259.828622531597</v>
      </c>
      <c r="I92" s="456">
        <f>'Key input_Biomass_MAgPIE'!G87</f>
        <v>99162.673700510888</v>
      </c>
      <c r="J92" s="456">
        <f>'Key input_Biomass_MAgPIE'!H87</f>
        <v>23854.864656899899</v>
      </c>
      <c r="K92" s="456">
        <f>'Key input_Biomass_MAgPIE'!I87</f>
        <v>22726.5977973314</v>
      </c>
      <c r="L92" s="456">
        <f>'Key input_Biomass_MAgPIE'!J87</f>
        <v>36021.738987837896</v>
      </c>
      <c r="M92" s="456">
        <f>'Key input_Biomass_MAgPIE'!K87</f>
        <v>72067.219883326397</v>
      </c>
      <c r="N92" s="456">
        <f>'Key input_Biomass_MAgPIE'!L87</f>
        <v>133571.82398353398</v>
      </c>
      <c r="O92" s="456">
        <f>'Key input_Biomass_MAgPIE'!M87</f>
        <v>106839.863634013</v>
      </c>
      <c r="P92" s="456">
        <f>'Key input_Biomass_MAgPIE'!N87</f>
        <v>10022.562821952199</v>
      </c>
      <c r="Q92" s="456">
        <f>'Key input_Biomass_MAgPIE'!O87</f>
        <v>4468.7800354889405</v>
      </c>
      <c r="R92" s="456">
        <f>'Key input_Biomass_MAgPIE'!P87</f>
        <v>469377.83084135404</v>
      </c>
      <c r="S92" s="456">
        <f>'Key input_Biomass_MAgPIE'!Q87</f>
        <v>26841.6867495964</v>
      </c>
      <c r="T92" s="456">
        <f>'Key input_Biomass_MAgPIE'!R87</f>
        <v>23125.544660003201</v>
      </c>
      <c r="U92" s="456">
        <f>'Key input_Biomass_MAgPIE'!S87</f>
        <v>6360.3022006486099</v>
      </c>
      <c r="V92" s="456">
        <f>'Key input_Biomass_MAgPIE'!T87</f>
        <v>65523.677120958593</v>
      </c>
      <c r="W92" s="456">
        <f>'Key input_Biomass_MAgPIE'!U87</f>
        <v>34468.291928229301</v>
      </c>
      <c r="X92" s="456">
        <f>'Key input_Biomass_MAgPIE'!V87</f>
        <v>208867.224692786</v>
      </c>
      <c r="Y92" s="456">
        <f>'Key input_Biomass_MAgPIE'!W87</f>
        <v>486437.20242637099</v>
      </c>
      <c r="Z92" s="456">
        <f>'Key input_Biomass_MAgPIE'!X87</f>
        <v>9006.7419901348512</v>
      </c>
      <c r="AA92" s="456">
        <f>'Key input_Biomass_MAgPIE'!Y87</f>
        <v>99114.313286013305</v>
      </c>
      <c r="AB92" s="456">
        <f>'Key input_Biomass_MAgPIE'!Z87</f>
        <v>32843.749930850798</v>
      </c>
      <c r="AC92" s="456">
        <f>'Key input_Biomass_MAgPIE'!AA87</f>
        <v>19765.604948888002</v>
      </c>
      <c r="AD92" s="456">
        <f>'Key input_Biomass_MAgPIE'!AB87</f>
        <v>19403.535795124099</v>
      </c>
      <c r="AE92" s="456">
        <f>'Key input_Biomass_MAgPIE'!AC87</f>
        <v>46111.201047504896</v>
      </c>
      <c r="AF92" s="456">
        <f>'Key input_Biomass_MAgPIE'!AD87</f>
        <v>23340.033247699099</v>
      </c>
      <c r="AG92" s="456">
        <f>'Key input_Biomass_MAgPIE'!AE87</f>
        <v>9006.7419901348512</v>
      </c>
      <c r="AH92" s="456">
        <f>'Key input_Biomass_MAgPIE'!AF87</f>
        <v>115330.87294996101</v>
      </c>
      <c r="AK92"/>
      <c r="AL92"/>
    </row>
    <row r="93" spans="1:38" s="4" customFormat="1">
      <c r="A93" s="4" t="str">
        <f t="shared" si="39"/>
        <v>MIN-RSVBIOAGR1</v>
      </c>
      <c r="B93" s="4" t="str">
        <f t="shared" si="35"/>
        <v>UPS Reserves of Biomass - Agricultural residues - Reserve - Supply curve step 1</v>
      </c>
      <c r="C93" s="4" t="str">
        <f t="shared" si="36"/>
        <v>RSVBIOAGR</v>
      </c>
      <c r="D93" s="4" t="str">
        <f t="shared" si="37"/>
        <v>ACT_BND</v>
      </c>
      <c r="E93" s="4" t="str">
        <f t="shared" si="38"/>
        <v>UP</v>
      </c>
      <c r="F93" s="4">
        <v>2035</v>
      </c>
      <c r="G93" s="456">
        <f>'Key input_Biomass_MAgPIE'!E88</f>
        <v>114519.16151571101</v>
      </c>
      <c r="H93" s="456">
        <f>'Key input_Biomass_MAgPIE'!F88</f>
        <v>37967.783292079701</v>
      </c>
      <c r="I93" s="456">
        <f>'Key input_Biomass_MAgPIE'!G88</f>
        <v>111027.128699693</v>
      </c>
      <c r="J93" s="456">
        <f>'Key input_Biomass_MAgPIE'!H88</f>
        <v>25626.129929809602</v>
      </c>
      <c r="K93" s="456">
        <f>'Key input_Biomass_MAgPIE'!I88</f>
        <v>24537.799707451399</v>
      </c>
      <c r="L93" s="456">
        <f>'Key input_Biomass_MAgPIE'!J88</f>
        <v>37813.3292128748</v>
      </c>
      <c r="M93" s="456">
        <f>'Key input_Biomass_MAgPIE'!K88</f>
        <v>77731.476140504892</v>
      </c>
      <c r="N93" s="456">
        <f>'Key input_Biomass_MAgPIE'!L88</f>
        <v>142537.761922615</v>
      </c>
      <c r="O93" s="456">
        <f>'Key input_Biomass_MAgPIE'!M88</f>
        <v>110029.096229098</v>
      </c>
      <c r="P93" s="456">
        <f>'Key input_Biomass_MAgPIE'!N88</f>
        <v>11495.890925076801</v>
      </c>
      <c r="Q93" s="456">
        <f>'Key input_Biomass_MAgPIE'!O88</f>
        <v>5007.6954329973096</v>
      </c>
      <c r="R93" s="456">
        <f>'Key input_Biomass_MAgPIE'!P88</f>
        <v>486989.33557997202</v>
      </c>
      <c r="S93" s="456">
        <f>'Key input_Biomass_MAgPIE'!Q88</f>
        <v>29835.199590886699</v>
      </c>
      <c r="T93" s="456">
        <f>'Key input_Biomass_MAgPIE'!R88</f>
        <v>24264.189607531102</v>
      </c>
      <c r="U93" s="456">
        <f>'Key input_Biomass_MAgPIE'!S88</f>
        <v>6554.1107294267094</v>
      </c>
      <c r="V93" s="456">
        <f>'Key input_Biomass_MAgPIE'!T88</f>
        <v>67628.1027659299</v>
      </c>
      <c r="W93" s="456">
        <f>'Key input_Biomass_MAgPIE'!U88</f>
        <v>35310.092558328899</v>
      </c>
      <c r="X93" s="456">
        <f>'Key input_Biomass_MAgPIE'!V88</f>
        <v>231522.787495611</v>
      </c>
      <c r="Y93" s="456">
        <f>'Key input_Biomass_MAgPIE'!W88</f>
        <v>512025.17863569799</v>
      </c>
      <c r="Z93" s="456">
        <f>'Key input_Biomass_MAgPIE'!X88</f>
        <v>12263.99237269</v>
      </c>
      <c r="AA93" s="456">
        <f>'Key input_Biomass_MAgPIE'!Y88</f>
        <v>106195.740178383</v>
      </c>
      <c r="AB93" s="456">
        <f>'Key input_Biomass_MAgPIE'!Z88</f>
        <v>40219.4779183176</v>
      </c>
      <c r="AC93" s="456">
        <f>'Key input_Biomass_MAgPIE'!AA88</f>
        <v>22951.508905035498</v>
      </c>
      <c r="AD93" s="456">
        <f>'Key input_Biomass_MAgPIE'!AB88</f>
        <v>20330.388350255402</v>
      </c>
      <c r="AE93" s="456">
        <f>'Key input_Biomass_MAgPIE'!AC88</f>
        <v>53555.502048853697</v>
      </c>
      <c r="AF93" s="456">
        <f>'Key input_Biomass_MAgPIE'!AD88</f>
        <v>25076.426683840298</v>
      </c>
      <c r="AG93" s="456">
        <f>'Key input_Biomass_MAgPIE'!AE88</f>
        <v>12263.99237269</v>
      </c>
      <c r="AH93" s="456">
        <f>'Key input_Biomass_MAgPIE'!AF88</f>
        <v>121563.217493203</v>
      </c>
      <c r="AK93"/>
      <c r="AL93"/>
    </row>
    <row r="94" spans="1:38" s="4" customFormat="1">
      <c r="A94" s="4" t="str">
        <f t="shared" si="39"/>
        <v>MIN-RSVBIOAGR1</v>
      </c>
      <c r="B94" s="4" t="str">
        <f t="shared" si="35"/>
        <v>UPS Reserves of Biomass - Agricultural residues - Reserve - Supply curve step 1</v>
      </c>
      <c r="C94" s="4" t="str">
        <f t="shared" si="36"/>
        <v>RSVBIOAGR</v>
      </c>
      <c r="D94" s="4" t="str">
        <f t="shared" si="37"/>
        <v>ACT_BND</v>
      </c>
      <c r="E94" s="4" t="str">
        <f t="shared" si="38"/>
        <v>UP</v>
      </c>
      <c r="F94" s="4">
        <v>2040</v>
      </c>
      <c r="G94" s="456">
        <f>'Key input_Biomass_MAgPIE'!E89</f>
        <v>132833.560445893</v>
      </c>
      <c r="H94" s="456">
        <f>'Key input_Biomass_MAgPIE'!F89</f>
        <v>38862.366555655601</v>
      </c>
      <c r="I94" s="456">
        <f>'Key input_Biomass_MAgPIE'!G89</f>
        <v>126896.499838677</v>
      </c>
      <c r="J94" s="456">
        <f>'Key input_Biomass_MAgPIE'!H89</f>
        <v>28932.7652436393</v>
      </c>
      <c r="K94" s="456">
        <f>'Key input_Biomass_MAgPIE'!I89</f>
        <v>26477.498432217602</v>
      </c>
      <c r="L94" s="456">
        <f>'Key input_Biomass_MAgPIE'!J89</f>
        <v>39446.240035220399</v>
      </c>
      <c r="M94" s="456">
        <f>'Key input_Biomass_MAgPIE'!K89</f>
        <v>80299.474754157796</v>
      </c>
      <c r="N94" s="456">
        <f>'Key input_Biomass_MAgPIE'!L89</f>
        <v>149599.23732446501</v>
      </c>
      <c r="O94" s="456">
        <f>'Key input_Biomass_MAgPIE'!M89</f>
        <v>118118.889121225</v>
      </c>
      <c r="P94" s="456">
        <f>'Key input_Biomass_MAgPIE'!N89</f>
        <v>12870.9821441559</v>
      </c>
      <c r="Q94" s="456">
        <f>'Key input_Biomass_MAgPIE'!O89</f>
        <v>6078.7644979623501</v>
      </c>
      <c r="R94" s="456">
        <f>'Key input_Biomass_MAgPIE'!P89</f>
        <v>503379.94827208796</v>
      </c>
      <c r="S94" s="456">
        <f>'Key input_Biomass_MAgPIE'!Q89</f>
        <v>30963.303608729799</v>
      </c>
      <c r="T94" s="456">
        <f>'Key input_Biomass_MAgPIE'!R89</f>
        <v>25914.677301293199</v>
      </c>
      <c r="U94" s="456">
        <f>'Key input_Biomass_MAgPIE'!S89</f>
        <v>6678.7705523455897</v>
      </c>
      <c r="V94" s="456">
        <f>'Key input_Biomass_MAgPIE'!T89</f>
        <v>66562.407057124699</v>
      </c>
      <c r="W94" s="456">
        <f>'Key input_Biomass_MAgPIE'!U89</f>
        <v>35545.367739962901</v>
      </c>
      <c r="X94" s="456">
        <f>'Key input_Biomass_MAgPIE'!V89</f>
        <v>255153.66620544402</v>
      </c>
      <c r="Y94" s="456">
        <f>'Key input_Biomass_MAgPIE'!W89</f>
        <v>524629.934214312</v>
      </c>
      <c r="Z94" s="456">
        <f>'Key input_Biomass_MAgPIE'!X89</f>
        <v>14707.41132168365</v>
      </c>
      <c r="AA94" s="456">
        <f>'Key input_Biomass_MAgPIE'!Y89</f>
        <v>121466.83925899499</v>
      </c>
      <c r="AB94" s="456">
        <f>'Key input_Biomass_MAgPIE'!Z89</f>
        <v>49936.616435504497</v>
      </c>
      <c r="AC94" s="456">
        <f>'Key input_Biomass_MAgPIE'!AA89</f>
        <v>25544.353567026199</v>
      </c>
      <c r="AD94" s="456">
        <f>'Key input_Biomass_MAgPIE'!AB89</f>
        <v>22055.818134041398</v>
      </c>
      <c r="AE94" s="456">
        <f>'Key input_Biomass_MAgPIE'!AC89</f>
        <v>62364.531890070801</v>
      </c>
      <c r="AF94" s="456">
        <f>'Key input_Biomass_MAgPIE'!AD89</f>
        <v>27042.640001430598</v>
      </c>
      <c r="AG94" s="456">
        <f>'Key input_Biomass_MAgPIE'!AE89</f>
        <v>14707.41132168365</v>
      </c>
      <c r="AH94" s="456">
        <f>'Key input_Biomass_MAgPIE'!AF89</f>
        <v>126572.89469019799</v>
      </c>
      <c r="AK94"/>
      <c r="AL94"/>
    </row>
    <row r="95" spans="1:38" s="4" customFormat="1">
      <c r="A95" s="4" t="str">
        <f t="shared" si="39"/>
        <v>MIN-RSVBIOAGR1</v>
      </c>
      <c r="B95" s="4" t="str">
        <f t="shared" si="35"/>
        <v>UPS Reserves of Biomass - Agricultural residues - Reserve - Supply curve step 1</v>
      </c>
      <c r="C95" s="4" t="str">
        <f t="shared" si="36"/>
        <v>RSVBIOAGR</v>
      </c>
      <c r="D95" s="4" t="str">
        <f t="shared" si="37"/>
        <v>ACT_BND</v>
      </c>
      <c r="E95" s="4" t="str">
        <f t="shared" si="38"/>
        <v>UP</v>
      </c>
      <c r="F95" s="4">
        <v>2045</v>
      </c>
      <c r="G95" s="456">
        <f>'Key input_Biomass_MAgPIE'!E90</f>
        <v>148565.74211007199</v>
      </c>
      <c r="H95" s="456">
        <f>'Key input_Biomass_MAgPIE'!F90</f>
        <v>39288.516242884805</v>
      </c>
      <c r="I95" s="456">
        <f>'Key input_Biomass_MAgPIE'!G90</f>
        <v>144735.549947397</v>
      </c>
      <c r="J95" s="456">
        <f>'Key input_Biomass_MAgPIE'!H90</f>
        <v>32029.855886206904</v>
      </c>
      <c r="K95" s="456">
        <f>'Key input_Biomass_MAgPIE'!I90</f>
        <v>30967.7996176751</v>
      </c>
      <c r="L95" s="456">
        <f>'Key input_Biomass_MAgPIE'!J90</f>
        <v>40769.0015902132</v>
      </c>
      <c r="M95" s="456">
        <f>'Key input_Biomass_MAgPIE'!K90</f>
        <v>85095.725170727805</v>
      </c>
      <c r="N95" s="456">
        <f>'Key input_Biomass_MAgPIE'!L90</f>
        <v>148877.516391365</v>
      </c>
      <c r="O95" s="456">
        <f>'Key input_Biomass_MAgPIE'!M90</f>
        <v>122135.55946712301</v>
      </c>
      <c r="P95" s="456">
        <f>'Key input_Biomass_MAgPIE'!N90</f>
        <v>13914.709126743101</v>
      </c>
      <c r="Q95" s="456">
        <f>'Key input_Biomass_MAgPIE'!O90</f>
        <v>6748.1705547799102</v>
      </c>
      <c r="R95" s="456">
        <f>'Key input_Biomass_MAgPIE'!P90</f>
        <v>526544.04962805205</v>
      </c>
      <c r="S95" s="456">
        <f>'Key input_Biomass_MAgPIE'!Q90</f>
        <v>33676.493459149395</v>
      </c>
      <c r="T95" s="456">
        <f>'Key input_Biomass_MAgPIE'!R90</f>
        <v>27363.148851400598</v>
      </c>
      <c r="U95" s="456">
        <f>'Key input_Biomass_MAgPIE'!S90</f>
        <v>6786.6662836918704</v>
      </c>
      <c r="V95" s="456">
        <f>'Key input_Biomass_MAgPIE'!T90</f>
        <v>66362.5361459462</v>
      </c>
      <c r="W95" s="456">
        <f>'Key input_Biomass_MAgPIE'!U90</f>
        <v>36070.470144332197</v>
      </c>
      <c r="X95" s="456">
        <f>'Key input_Biomass_MAgPIE'!V90</f>
        <v>290986.932640496</v>
      </c>
      <c r="Y95" s="456">
        <f>'Key input_Biomass_MAgPIE'!W90</f>
        <v>530755.1906737861</v>
      </c>
      <c r="Z95" s="456">
        <f>'Key input_Biomass_MAgPIE'!X90</f>
        <v>17879.716620561951</v>
      </c>
      <c r="AA95" s="456">
        <f>'Key input_Biomass_MAgPIE'!Y90</f>
        <v>134929.73895991698</v>
      </c>
      <c r="AB95" s="456">
        <f>'Key input_Biomass_MAgPIE'!Z90</f>
        <v>55817.904029000201</v>
      </c>
      <c r="AC95" s="456">
        <f>'Key input_Biomass_MAgPIE'!AA90</f>
        <v>27352.3335367775</v>
      </c>
      <c r="AD95" s="456">
        <f>'Key input_Biomass_MAgPIE'!AB90</f>
        <v>25207.910426868901</v>
      </c>
      <c r="AE95" s="456">
        <f>'Key input_Biomass_MAgPIE'!AC90</f>
        <v>71623.077475341401</v>
      </c>
      <c r="AF95" s="456">
        <f>'Key input_Biomass_MAgPIE'!AD90</f>
        <v>28947.0114855678</v>
      </c>
      <c r="AG95" s="456">
        <f>'Key input_Biomass_MAgPIE'!AE90</f>
        <v>17879.716620561951</v>
      </c>
      <c r="AH95" s="456">
        <f>'Key input_Biomass_MAgPIE'!AF90</f>
        <v>131508.82247326299</v>
      </c>
      <c r="AK95"/>
      <c r="AL95"/>
    </row>
    <row r="96" spans="1:38" s="4" customFormat="1">
      <c r="A96" s="4" t="str">
        <f t="shared" si="39"/>
        <v>MIN-RSVBIOAGR1</v>
      </c>
      <c r="B96" s="4" t="str">
        <f t="shared" si="35"/>
        <v>UPS Reserves of Biomass - Agricultural residues - Reserve - Supply curve step 1</v>
      </c>
      <c r="C96" s="4" t="str">
        <f t="shared" si="36"/>
        <v>RSVBIOAGR</v>
      </c>
      <c r="D96" s="4" t="str">
        <f t="shared" si="37"/>
        <v>ACT_BND</v>
      </c>
      <c r="E96" s="4" t="str">
        <f t="shared" si="38"/>
        <v>UP</v>
      </c>
      <c r="F96" s="4">
        <v>2050</v>
      </c>
      <c r="G96" s="456">
        <f>'Key input_Biomass_MAgPIE'!E91</f>
        <v>164798.40944297099</v>
      </c>
      <c r="H96" s="456">
        <f>'Key input_Biomass_MAgPIE'!F91</f>
        <v>38987.970263400101</v>
      </c>
      <c r="I96" s="456">
        <f>'Key input_Biomass_MAgPIE'!G91</f>
        <v>165802.77583710302</v>
      </c>
      <c r="J96" s="456">
        <f>'Key input_Biomass_MAgPIE'!H91</f>
        <v>36237.189074725698</v>
      </c>
      <c r="K96" s="456">
        <f>'Key input_Biomass_MAgPIE'!I91</f>
        <v>33485.002734989299</v>
      </c>
      <c r="L96" s="456">
        <f>'Key input_Biomass_MAgPIE'!J91</f>
        <v>41784.830306058902</v>
      </c>
      <c r="M96" s="456">
        <f>'Key input_Biomass_MAgPIE'!K91</f>
        <v>90146.074950283801</v>
      </c>
      <c r="N96" s="456">
        <f>'Key input_Biomass_MAgPIE'!L91</f>
        <v>155972.20722060101</v>
      </c>
      <c r="O96" s="456">
        <f>'Key input_Biomass_MAgPIE'!M91</f>
        <v>126424.58815928</v>
      </c>
      <c r="P96" s="456">
        <f>'Key input_Biomass_MAgPIE'!N91</f>
        <v>15251.4529329091</v>
      </c>
      <c r="Q96" s="456">
        <f>'Key input_Biomass_MAgPIE'!O91</f>
        <v>7344.7728384172897</v>
      </c>
      <c r="R96" s="456">
        <f>'Key input_Biomass_MAgPIE'!P91</f>
        <v>554735.72853987897</v>
      </c>
      <c r="S96" s="456">
        <f>'Key input_Biomass_MAgPIE'!Q91</f>
        <v>36468.3572681269</v>
      </c>
      <c r="T96" s="456">
        <f>'Key input_Biomass_MAgPIE'!R91</f>
        <v>28904.0336504101</v>
      </c>
      <c r="U96" s="456">
        <f>'Key input_Biomass_MAgPIE'!S91</f>
        <v>7019.9505086202698</v>
      </c>
      <c r="V96" s="456">
        <f>'Key input_Biomass_MAgPIE'!T91</f>
        <v>68206.299097047711</v>
      </c>
      <c r="W96" s="456">
        <f>'Key input_Biomass_MAgPIE'!U91</f>
        <v>37315.324780278701</v>
      </c>
      <c r="X96" s="456">
        <f>'Key input_Biomass_MAgPIE'!V91</f>
        <v>302114.982477371</v>
      </c>
      <c r="Y96" s="456">
        <f>'Key input_Biomass_MAgPIE'!W91</f>
        <v>536898.15250036097</v>
      </c>
      <c r="Z96" s="456">
        <f>'Key input_Biomass_MAgPIE'!X91</f>
        <v>20945.38397231065</v>
      </c>
      <c r="AA96" s="456">
        <f>'Key input_Biomass_MAgPIE'!Y91</f>
        <v>143354.07773601598</v>
      </c>
      <c r="AB96" s="456">
        <f>'Key input_Biomass_MAgPIE'!Z91</f>
        <v>60522.765544445698</v>
      </c>
      <c r="AC96" s="456">
        <f>'Key input_Biomass_MAgPIE'!AA91</f>
        <v>34180.927484489599</v>
      </c>
      <c r="AD96" s="456">
        <f>'Key input_Biomass_MAgPIE'!AB91</f>
        <v>26363.0553229957</v>
      </c>
      <c r="AE96" s="456">
        <f>'Key input_Biomass_MAgPIE'!AC91</f>
        <v>82353.9471495896</v>
      </c>
      <c r="AF96" s="456">
        <f>'Key input_Biomass_MAgPIE'!AD91</f>
        <v>30652.6456465915</v>
      </c>
      <c r="AG96" s="456">
        <f>'Key input_Biomass_MAgPIE'!AE91</f>
        <v>20945.38397231065</v>
      </c>
      <c r="AH96" s="456">
        <f>'Key input_Biomass_MAgPIE'!AF91</f>
        <v>137174.08688933501</v>
      </c>
      <c r="AK96"/>
      <c r="AL96"/>
    </row>
    <row r="97" spans="1:38" s="4" customFormat="1">
      <c r="A97" s="4" t="str">
        <f t="shared" si="39"/>
        <v>MIN-RSVBIOAGR1</v>
      </c>
      <c r="B97" s="4" t="str">
        <f t="shared" si="35"/>
        <v>UPS Reserves of Biomass - Agricultural residues - Reserve - Supply curve step 1</v>
      </c>
      <c r="C97" s="4" t="str">
        <f t="shared" si="36"/>
        <v>RSVBIOAGR</v>
      </c>
      <c r="D97" s="4" t="str">
        <f t="shared" si="37"/>
        <v>ACT_BND</v>
      </c>
      <c r="E97" s="4" t="str">
        <f t="shared" si="38"/>
        <v>UP</v>
      </c>
      <c r="F97" s="4">
        <v>2060</v>
      </c>
      <c r="G97" s="456">
        <f>'Key input_Biomass_MAgPIE'!E92</f>
        <v>184008.116827277</v>
      </c>
      <c r="H97" s="456">
        <f>'Key input_Biomass_MAgPIE'!F92</f>
        <v>39727.2565014098</v>
      </c>
      <c r="I97" s="456">
        <f>'Key input_Biomass_MAgPIE'!G92</f>
        <v>186881.21759395802</v>
      </c>
      <c r="J97" s="456">
        <f>'Key input_Biomass_MAgPIE'!H92</f>
        <v>44366.707540735501</v>
      </c>
      <c r="K97" s="456">
        <f>'Key input_Biomass_MAgPIE'!I92</f>
        <v>34024.852083268896</v>
      </c>
      <c r="L97" s="456">
        <f>'Key input_Biomass_MAgPIE'!J92</f>
        <v>41260.905694743</v>
      </c>
      <c r="M97" s="456">
        <f>'Key input_Biomass_MAgPIE'!K92</f>
        <v>94369.009993055006</v>
      </c>
      <c r="N97" s="456">
        <f>'Key input_Biomass_MAgPIE'!L92</f>
        <v>166431.444407503</v>
      </c>
      <c r="O97" s="456">
        <f>'Key input_Biomass_MAgPIE'!M92</f>
        <v>120671.706154625</v>
      </c>
      <c r="P97" s="456">
        <f>'Key input_Biomass_MAgPIE'!N92</f>
        <v>15592.6103803101</v>
      </c>
      <c r="Q97" s="456">
        <f>'Key input_Biomass_MAgPIE'!O92</f>
        <v>7498.8033478634297</v>
      </c>
      <c r="R97" s="456">
        <f>'Key input_Biomass_MAgPIE'!P92</f>
        <v>549913.22166979499</v>
      </c>
      <c r="S97" s="456">
        <f>'Key input_Biomass_MAgPIE'!Q92</f>
        <v>35973.914241393803</v>
      </c>
      <c r="T97" s="456">
        <f>'Key input_Biomass_MAgPIE'!R92</f>
        <v>29268.241068724401</v>
      </c>
      <c r="U97" s="456">
        <f>'Key input_Biomass_MAgPIE'!S92</f>
        <v>6906.8124605167704</v>
      </c>
      <c r="V97" s="456">
        <f>'Key input_Biomass_MAgPIE'!T92</f>
        <v>65269.131071549695</v>
      </c>
      <c r="W97" s="456">
        <f>'Key input_Biomass_MAgPIE'!U92</f>
        <v>36405.7487653196</v>
      </c>
      <c r="X97" s="456">
        <f>'Key input_Biomass_MAgPIE'!V92</f>
        <v>304115.69537754502</v>
      </c>
      <c r="Y97" s="456">
        <f>'Key input_Biomass_MAgPIE'!W92</f>
        <v>521205.01561830397</v>
      </c>
      <c r="Z97" s="456">
        <f>'Key input_Biomass_MAgPIE'!X92</f>
        <v>25707.055604636149</v>
      </c>
      <c r="AA97" s="456">
        <f>'Key input_Biomass_MAgPIE'!Y92</f>
        <v>144088.12513646399</v>
      </c>
      <c r="AB97" s="456">
        <f>'Key input_Biomass_MAgPIE'!Z92</f>
        <v>61285.293924951198</v>
      </c>
      <c r="AC97" s="456">
        <f>'Key input_Biomass_MAgPIE'!AA92</f>
        <v>38603.948137318606</v>
      </c>
      <c r="AD97" s="456">
        <f>'Key input_Biomass_MAgPIE'!AB92</f>
        <v>26714.534468285899</v>
      </c>
      <c r="AE97" s="456">
        <f>'Key input_Biomass_MAgPIE'!AC92</f>
        <v>95076.376033787295</v>
      </c>
      <c r="AF97" s="456">
        <f>'Key input_Biomass_MAgPIE'!AD92</f>
        <v>30746.318614322499</v>
      </c>
      <c r="AG97" s="456">
        <f>'Key input_Biomass_MAgPIE'!AE92</f>
        <v>25707.055604636149</v>
      </c>
      <c r="AH97" s="456">
        <f>'Key input_Biomass_MAgPIE'!AF92</f>
        <v>136839.01506472501</v>
      </c>
      <c r="AK97"/>
      <c r="AL97"/>
    </row>
    <row r="98" spans="1:38" s="4" customFormat="1">
      <c r="A98" s="4" t="str">
        <f t="shared" si="39"/>
        <v>MIN-RSVBIOAGR1</v>
      </c>
      <c r="B98" s="4" t="str">
        <f t="shared" si="35"/>
        <v>UPS Reserves of Biomass - Agricultural residues - Reserve - Supply curve step 1</v>
      </c>
      <c r="C98" s="4" t="str">
        <f t="shared" si="36"/>
        <v>RSVBIOAGR</v>
      </c>
      <c r="D98" s="4" t="str">
        <f t="shared" si="37"/>
        <v>ACT_BND</v>
      </c>
      <c r="E98" s="4" t="str">
        <f t="shared" si="38"/>
        <v>UP</v>
      </c>
      <c r="F98" s="4">
        <v>2070</v>
      </c>
      <c r="G98" s="456">
        <f>'Key input_Biomass_MAgPIE'!E93</f>
        <v>188712.573424779</v>
      </c>
      <c r="H98" s="456">
        <f>'Key input_Biomass_MAgPIE'!F93</f>
        <v>39327.865571397604</v>
      </c>
      <c r="I98" s="456">
        <f>'Key input_Biomass_MAgPIE'!G93</f>
        <v>201953.98170228201</v>
      </c>
      <c r="J98" s="456">
        <f>'Key input_Biomass_MAgPIE'!H93</f>
        <v>54085.953787577702</v>
      </c>
      <c r="K98" s="456">
        <f>'Key input_Biomass_MAgPIE'!I93</f>
        <v>33696.993876210799</v>
      </c>
      <c r="L98" s="456">
        <f>'Key input_Biomass_MAgPIE'!J93</f>
        <v>41339.8929051663</v>
      </c>
      <c r="M98" s="456">
        <f>'Key input_Biomass_MAgPIE'!K93</f>
        <v>104121.57944320001</v>
      </c>
      <c r="N98" s="456">
        <f>'Key input_Biomass_MAgPIE'!L93</f>
        <v>177111.28382005898</v>
      </c>
      <c r="O98" s="456">
        <f>'Key input_Biomass_MAgPIE'!M93</f>
        <v>116850.34118793899</v>
      </c>
      <c r="P98" s="456">
        <f>'Key input_Biomass_MAgPIE'!N93</f>
        <v>16445.6059453696</v>
      </c>
      <c r="Q98" s="456">
        <f>'Key input_Biomass_MAgPIE'!O93</f>
        <v>7744.8640233890492</v>
      </c>
      <c r="R98" s="456">
        <f>'Key input_Biomass_MAgPIE'!P93</f>
        <v>533987.72743813694</v>
      </c>
      <c r="S98" s="456">
        <f>'Key input_Biomass_MAgPIE'!Q93</f>
        <v>33348.534236438602</v>
      </c>
      <c r="T98" s="456">
        <f>'Key input_Biomass_MAgPIE'!R93</f>
        <v>29610.1526275912</v>
      </c>
      <c r="U98" s="456">
        <f>'Key input_Biomass_MAgPIE'!S93</f>
        <v>6828.2254463912304</v>
      </c>
      <c r="V98" s="456">
        <f>'Key input_Biomass_MAgPIE'!T93</f>
        <v>64917.322902152904</v>
      </c>
      <c r="W98" s="456">
        <f>'Key input_Biomass_MAgPIE'!U93</f>
        <v>36405.832075188897</v>
      </c>
      <c r="X98" s="456">
        <f>'Key input_Biomass_MAgPIE'!V93</f>
        <v>296489.47035831801</v>
      </c>
      <c r="Y98" s="456">
        <f>'Key input_Biomass_MAgPIE'!W93</f>
        <v>492955.86372446502</v>
      </c>
      <c r="Z98" s="456">
        <f>'Key input_Biomass_MAgPIE'!X93</f>
        <v>28716.648550173202</v>
      </c>
      <c r="AA98" s="456">
        <f>'Key input_Biomass_MAgPIE'!Y93</f>
        <v>143463.300830744</v>
      </c>
      <c r="AB98" s="456">
        <f>'Key input_Biomass_MAgPIE'!Z93</f>
        <v>62029.958549587594</v>
      </c>
      <c r="AC98" s="456">
        <f>'Key input_Biomass_MAgPIE'!AA93</f>
        <v>39803.330142578401</v>
      </c>
      <c r="AD98" s="456">
        <f>'Key input_Biomass_MAgPIE'!AB93</f>
        <v>26728.4998909061</v>
      </c>
      <c r="AE98" s="456">
        <f>'Key input_Biomass_MAgPIE'!AC93</f>
        <v>101473.042923669</v>
      </c>
      <c r="AF98" s="456">
        <f>'Key input_Biomass_MAgPIE'!AD93</f>
        <v>28999.668011931997</v>
      </c>
      <c r="AG98" s="456">
        <f>'Key input_Biomass_MAgPIE'!AE93</f>
        <v>28716.648550173202</v>
      </c>
      <c r="AH98" s="456">
        <f>'Key input_Biomass_MAgPIE'!AF93</f>
        <v>136695.467632527</v>
      </c>
      <c r="AK98"/>
      <c r="AL98"/>
    </row>
    <row r="99" spans="1:38" s="4" customFormat="1">
      <c r="A99" s="4" t="str">
        <f t="shared" si="39"/>
        <v>MIN-RSVBIOAGR1</v>
      </c>
      <c r="B99" s="4" t="str">
        <f t="shared" si="35"/>
        <v>UPS Reserves of Biomass - Agricultural residues - Reserve - Supply curve step 1</v>
      </c>
      <c r="C99" s="4" t="str">
        <f t="shared" si="36"/>
        <v>RSVBIOAGR</v>
      </c>
      <c r="D99" s="4" t="str">
        <f t="shared" si="37"/>
        <v>ACT_BND</v>
      </c>
      <c r="E99" s="4" t="str">
        <f t="shared" si="38"/>
        <v>UP</v>
      </c>
      <c r="F99" s="4">
        <v>2080</v>
      </c>
      <c r="G99" s="456">
        <f>'Key input_Biomass_MAgPIE'!E94</f>
        <v>196726.09468392699</v>
      </c>
      <c r="H99" s="456">
        <f>'Key input_Biomass_MAgPIE'!F94</f>
        <v>38305.798740295701</v>
      </c>
      <c r="I99" s="456">
        <f>'Key input_Biomass_MAgPIE'!G94</f>
        <v>201637.65420085701</v>
      </c>
      <c r="J99" s="456">
        <f>'Key input_Biomass_MAgPIE'!H94</f>
        <v>63750.245950829703</v>
      </c>
      <c r="K99" s="456">
        <f>'Key input_Biomass_MAgPIE'!I94</f>
        <v>34508.753262463797</v>
      </c>
      <c r="L99" s="456">
        <f>'Key input_Biomass_MAgPIE'!J94</f>
        <v>38750.1410926752</v>
      </c>
      <c r="M99" s="456">
        <f>'Key input_Biomass_MAgPIE'!K94</f>
        <v>103609.62632015401</v>
      </c>
      <c r="N99" s="456">
        <f>'Key input_Biomass_MAgPIE'!L94</f>
        <v>178863.95735289098</v>
      </c>
      <c r="O99" s="456">
        <f>'Key input_Biomass_MAgPIE'!M94</f>
        <v>110393.692057459</v>
      </c>
      <c r="P99" s="456">
        <f>'Key input_Biomass_MAgPIE'!N94</f>
        <v>17085.2084665086</v>
      </c>
      <c r="Q99" s="456">
        <f>'Key input_Biomass_MAgPIE'!O94</f>
        <v>7789.7236292772604</v>
      </c>
      <c r="R99" s="456">
        <f>'Key input_Biomass_MAgPIE'!P94</f>
        <v>514844.486168025</v>
      </c>
      <c r="S99" s="456">
        <f>'Key input_Biomass_MAgPIE'!Q94</f>
        <v>31415.276664160599</v>
      </c>
      <c r="T99" s="456">
        <f>'Key input_Biomass_MAgPIE'!R94</f>
        <v>29698.048348341901</v>
      </c>
      <c r="U99" s="456">
        <f>'Key input_Biomass_MAgPIE'!S94</f>
        <v>6673.5645068582398</v>
      </c>
      <c r="V99" s="456">
        <f>'Key input_Biomass_MAgPIE'!T94</f>
        <v>63609.111546679502</v>
      </c>
      <c r="W99" s="456">
        <f>'Key input_Biomass_MAgPIE'!U94</f>
        <v>35321.212519364402</v>
      </c>
      <c r="X99" s="456">
        <f>'Key input_Biomass_MAgPIE'!V94</f>
        <v>285282.454358163</v>
      </c>
      <c r="Y99" s="456">
        <f>'Key input_Biomass_MAgPIE'!W94</f>
        <v>493285.989291401</v>
      </c>
      <c r="Z99" s="456">
        <f>'Key input_Biomass_MAgPIE'!X94</f>
        <v>30820.871344155701</v>
      </c>
      <c r="AA99" s="456">
        <f>'Key input_Biomass_MAgPIE'!Y94</f>
        <v>140146.31490577001</v>
      </c>
      <c r="AB99" s="456">
        <f>'Key input_Biomass_MAgPIE'!Z94</f>
        <v>66828.5880463207</v>
      </c>
      <c r="AC99" s="456">
        <f>'Key input_Biomass_MAgPIE'!AA94</f>
        <v>40843.266278702897</v>
      </c>
      <c r="AD99" s="456">
        <f>'Key input_Biomass_MAgPIE'!AB94</f>
        <v>26547.6011082648</v>
      </c>
      <c r="AE99" s="456">
        <f>'Key input_Biomass_MAgPIE'!AC94</f>
        <v>99660.476857383997</v>
      </c>
      <c r="AF99" s="456">
        <f>'Key input_Biomass_MAgPIE'!AD94</f>
        <v>25995.056751993299</v>
      </c>
      <c r="AG99" s="456">
        <f>'Key input_Biomass_MAgPIE'!AE94</f>
        <v>30820.871344155701</v>
      </c>
      <c r="AH99" s="456">
        <f>'Key input_Biomass_MAgPIE'!AF94</f>
        <v>135533.31442233702</v>
      </c>
      <c r="AK99"/>
      <c r="AL99"/>
    </row>
    <row r="100" spans="1:38" s="4" customFormat="1">
      <c r="A100" s="4" t="str">
        <f t="shared" si="39"/>
        <v>MIN-RSVBIOAGR1</v>
      </c>
      <c r="B100" s="4" t="str">
        <f t="shared" si="35"/>
        <v>UPS Reserves of Biomass - Agricultural residues - Reserve - Supply curve step 1</v>
      </c>
      <c r="C100" s="4" t="str">
        <f t="shared" si="36"/>
        <v>RSVBIOAGR</v>
      </c>
      <c r="D100" s="4" t="str">
        <f t="shared" si="37"/>
        <v>ACT_BND</v>
      </c>
      <c r="E100" s="4" t="str">
        <f t="shared" si="38"/>
        <v>UP</v>
      </c>
      <c r="F100" s="4">
        <v>2090</v>
      </c>
      <c r="G100" s="456">
        <f>'Key input_Biomass_MAgPIE'!E95</f>
        <v>195761.25543948001</v>
      </c>
      <c r="H100" s="456">
        <f>'Key input_Biomass_MAgPIE'!F95</f>
        <v>36288.777247453101</v>
      </c>
      <c r="I100" s="456">
        <f>'Key input_Biomass_MAgPIE'!G95</f>
        <v>190666.019212076</v>
      </c>
      <c r="J100" s="456">
        <f>'Key input_Biomass_MAgPIE'!H95</f>
        <v>64809.169806870996</v>
      </c>
      <c r="K100" s="456">
        <f>'Key input_Biomass_MAgPIE'!I95</f>
        <v>33131.762109114097</v>
      </c>
      <c r="L100" s="456">
        <f>'Key input_Biomass_MAgPIE'!J95</f>
        <v>37391.330123435306</v>
      </c>
      <c r="M100" s="456">
        <f>'Key input_Biomass_MAgPIE'!K95</f>
        <v>102348.466790337</v>
      </c>
      <c r="N100" s="456">
        <f>'Key input_Biomass_MAgPIE'!L95</f>
        <v>178182.207358791</v>
      </c>
      <c r="O100" s="456">
        <f>'Key input_Biomass_MAgPIE'!M95</f>
        <v>106094.66786961499</v>
      </c>
      <c r="P100" s="456">
        <f>'Key input_Biomass_MAgPIE'!N95</f>
        <v>16037.281776862201</v>
      </c>
      <c r="Q100" s="456">
        <f>'Key input_Biomass_MAgPIE'!O95</f>
        <v>7803.63769372963</v>
      </c>
      <c r="R100" s="456">
        <f>'Key input_Biomass_MAgPIE'!P95</f>
        <v>495521.36477648298</v>
      </c>
      <c r="S100" s="456">
        <f>'Key input_Biomass_MAgPIE'!Q95</f>
        <v>29444.769378095098</v>
      </c>
      <c r="T100" s="456">
        <f>'Key input_Biomass_MAgPIE'!R95</f>
        <v>29828.816993726199</v>
      </c>
      <c r="U100" s="456">
        <f>'Key input_Biomass_MAgPIE'!S95</f>
        <v>6691.3039362092404</v>
      </c>
      <c r="V100" s="456">
        <f>'Key input_Biomass_MAgPIE'!T95</f>
        <v>63500.9629651867</v>
      </c>
      <c r="W100" s="456">
        <f>'Key input_Biomass_MAgPIE'!U95</f>
        <v>34514.037025973106</v>
      </c>
      <c r="X100" s="456">
        <f>'Key input_Biomass_MAgPIE'!V95</f>
        <v>270793.79728039901</v>
      </c>
      <c r="Y100" s="456">
        <f>'Key input_Biomass_MAgPIE'!W95</f>
        <v>485285.26226154401</v>
      </c>
      <c r="Z100" s="456">
        <f>'Key input_Biomass_MAgPIE'!X95</f>
        <v>32620.928666372598</v>
      </c>
      <c r="AA100" s="456">
        <f>'Key input_Biomass_MAgPIE'!Y95</f>
        <v>139677.63908945699</v>
      </c>
      <c r="AB100" s="456">
        <f>'Key input_Biomass_MAgPIE'!Z95</f>
        <v>67180.145438171807</v>
      </c>
      <c r="AC100" s="456">
        <f>'Key input_Biomass_MAgPIE'!AA95</f>
        <v>41471.569039447801</v>
      </c>
      <c r="AD100" s="456">
        <f>'Key input_Biomass_MAgPIE'!AB95</f>
        <v>26425.847089404702</v>
      </c>
      <c r="AE100" s="456">
        <f>'Key input_Biomass_MAgPIE'!AC95</f>
        <v>87879.20809993599</v>
      </c>
      <c r="AF100" s="456">
        <f>'Key input_Biomass_MAgPIE'!AD95</f>
        <v>23183.208843223001</v>
      </c>
      <c r="AG100" s="456">
        <f>'Key input_Biomass_MAgPIE'!AE95</f>
        <v>32620.928666372598</v>
      </c>
      <c r="AH100" s="456">
        <f>'Key input_Biomass_MAgPIE'!AF95</f>
        <v>134767.04992518402</v>
      </c>
      <c r="AK100"/>
      <c r="AL100"/>
    </row>
    <row r="101" spans="1:38" s="4" customFormat="1">
      <c r="A101" s="259" t="str">
        <f t="shared" si="39"/>
        <v>MIN-RSVBIOAGR1</v>
      </c>
      <c r="B101" s="259" t="str">
        <f t="shared" si="35"/>
        <v>UPS Reserves of Biomass - Agricultural residues - Reserve - Supply curve step 1</v>
      </c>
      <c r="C101" s="259" t="str">
        <f t="shared" si="36"/>
        <v>RSVBIOAGR</v>
      </c>
      <c r="D101" s="259" t="str">
        <f t="shared" si="37"/>
        <v>ACT_BND</v>
      </c>
      <c r="E101" s="259" t="str">
        <f t="shared" si="38"/>
        <v>UP</v>
      </c>
      <c r="F101" s="259">
        <v>2100</v>
      </c>
      <c r="G101" s="435">
        <f>'Key input_Biomass_MAgPIE'!E96</f>
        <v>193983.82957070199</v>
      </c>
      <c r="H101" s="435">
        <f>'Key input_Biomass_MAgPIE'!F96</f>
        <v>35669.798474366704</v>
      </c>
      <c r="I101" s="435">
        <f>'Key input_Biomass_MAgPIE'!G96</f>
        <v>190925.274286759</v>
      </c>
      <c r="J101" s="435">
        <f>'Key input_Biomass_MAgPIE'!H96</f>
        <v>65230.202524617096</v>
      </c>
      <c r="K101" s="435">
        <f>'Key input_Biomass_MAgPIE'!I96</f>
        <v>33926.964710706205</v>
      </c>
      <c r="L101" s="435">
        <f>'Key input_Biomass_MAgPIE'!J96</f>
        <v>37980.668139870897</v>
      </c>
      <c r="M101" s="435">
        <f>'Key input_Biomass_MAgPIE'!K96</f>
        <v>101350.307597027</v>
      </c>
      <c r="N101" s="435">
        <f>'Key input_Biomass_MAgPIE'!L96</f>
        <v>176567.59276675398</v>
      </c>
      <c r="O101" s="435">
        <f>'Key input_Biomass_MAgPIE'!M96</f>
        <v>95876.073846229701</v>
      </c>
      <c r="P101" s="435">
        <f>'Key input_Biomass_MAgPIE'!N96</f>
        <v>14942.3635095503</v>
      </c>
      <c r="Q101" s="435">
        <f>'Key input_Biomass_MAgPIE'!O96</f>
        <v>7965.8242360107197</v>
      </c>
      <c r="R101" s="435">
        <f>'Key input_Biomass_MAgPIE'!P96</f>
        <v>492342.59776934801</v>
      </c>
      <c r="S101" s="435">
        <f>'Key input_Biomass_MAgPIE'!Q96</f>
        <v>28642.6704283297</v>
      </c>
      <c r="T101" s="435">
        <f>'Key input_Biomass_MAgPIE'!R96</f>
        <v>29611.141842895398</v>
      </c>
      <c r="U101" s="435">
        <f>'Key input_Biomass_MAgPIE'!S96</f>
        <v>6690.5850501089108</v>
      </c>
      <c r="V101" s="435">
        <f>'Key input_Biomass_MAgPIE'!T96</f>
        <v>60136.110840019202</v>
      </c>
      <c r="W101" s="435">
        <f>'Key input_Biomass_MAgPIE'!U96</f>
        <v>33750.354783747804</v>
      </c>
      <c r="X101" s="435">
        <f>'Key input_Biomass_MAgPIE'!V96</f>
        <v>269883.90279657999</v>
      </c>
      <c r="Y101" s="435">
        <f>'Key input_Biomass_MAgPIE'!W96</f>
        <v>467048.75470876903</v>
      </c>
      <c r="Z101" s="435">
        <f>'Key input_Biomass_MAgPIE'!X96</f>
        <v>33136.953482034747</v>
      </c>
      <c r="AA101" s="435">
        <f>'Key input_Biomass_MAgPIE'!Y96</f>
        <v>140710.64933265699</v>
      </c>
      <c r="AB101" s="435">
        <f>'Key input_Biomass_MAgPIE'!Z96</f>
        <v>64926.309118575307</v>
      </c>
      <c r="AC101" s="435">
        <f>'Key input_Biomass_MAgPIE'!AA96</f>
        <v>41750.433212583703</v>
      </c>
      <c r="AD101" s="435">
        <f>'Key input_Biomass_MAgPIE'!AB96</f>
        <v>26090.2315371076</v>
      </c>
      <c r="AE101" s="435">
        <f>'Key input_Biomass_MAgPIE'!AC96</f>
        <v>92622.578007137898</v>
      </c>
      <c r="AF101" s="435">
        <f>'Key input_Biomass_MAgPIE'!AD96</f>
        <v>22930.549916639102</v>
      </c>
      <c r="AG101" s="435">
        <f>'Key input_Biomass_MAgPIE'!AE96</f>
        <v>33136.953482034747</v>
      </c>
      <c r="AH101" s="435">
        <f>'Key input_Biomass_MAgPIE'!AF96</f>
        <v>135856.81865938599</v>
      </c>
      <c r="AK101"/>
      <c r="AL101"/>
    </row>
    <row r="102" spans="1:38" s="4" customFormat="1">
      <c r="A102" s="4" t="str">
        <f t="shared" ref="A102" si="40">IF(AK18="",AJ18,AK18)</f>
        <v>MIN-RSVBIOAGR2</v>
      </c>
      <c r="B102" s="4" t="str">
        <f t="shared" ref="B102" si="41">IF($AK18="","",AL18)</f>
        <v>UPS Reserves of Biomass - Agricultural residues - Reserve - Supply curve step 2</v>
      </c>
      <c r="C102" s="4" t="str">
        <f>Commodities!$C$17</f>
        <v>RSVBIOAGR</v>
      </c>
      <c r="D102" s="4" t="s">
        <v>678</v>
      </c>
      <c r="E102" s="4" t="s">
        <v>661</v>
      </c>
      <c r="F102" s="4">
        <v>2019</v>
      </c>
      <c r="G102" s="258">
        <f>'Key input_Biomass_MAgPIE'!E97</f>
        <v>0</v>
      </c>
      <c r="H102" s="258">
        <f>'Key input_Biomass_MAgPIE'!F97</f>
        <v>0</v>
      </c>
      <c r="I102" s="258">
        <f>'Key input_Biomass_MAgPIE'!G97</f>
        <v>0</v>
      </c>
      <c r="J102" s="258">
        <f>'Key input_Biomass_MAgPIE'!H97</f>
        <v>0</v>
      </c>
      <c r="K102" s="258">
        <f>'Key input_Biomass_MAgPIE'!I97</f>
        <v>0</v>
      </c>
      <c r="L102" s="258">
        <f>'Key input_Biomass_MAgPIE'!J97</f>
        <v>0</v>
      </c>
      <c r="M102" s="258">
        <f>'Key input_Biomass_MAgPIE'!K97</f>
        <v>0</v>
      </c>
      <c r="N102" s="258">
        <f>'Key input_Biomass_MAgPIE'!L97</f>
        <v>0</v>
      </c>
      <c r="O102" s="258">
        <f>'Key input_Biomass_MAgPIE'!M97</f>
        <v>0</v>
      </c>
      <c r="P102" s="258">
        <f>'Key input_Biomass_MAgPIE'!N97</f>
        <v>0</v>
      </c>
      <c r="Q102" s="258">
        <f>'Key input_Biomass_MAgPIE'!O97</f>
        <v>0</v>
      </c>
      <c r="R102" s="258">
        <f>'Key input_Biomass_MAgPIE'!P97</f>
        <v>0</v>
      </c>
      <c r="S102" s="258">
        <f>'Key input_Biomass_MAgPIE'!Q97</f>
        <v>0</v>
      </c>
      <c r="T102" s="258">
        <f>'Key input_Biomass_MAgPIE'!R97</f>
        <v>0</v>
      </c>
      <c r="U102" s="258">
        <f>'Key input_Biomass_MAgPIE'!S97</f>
        <v>0</v>
      </c>
      <c r="V102" s="258">
        <f>'Key input_Biomass_MAgPIE'!T97</f>
        <v>0</v>
      </c>
      <c r="W102" s="258">
        <f>'Key input_Biomass_MAgPIE'!U97</f>
        <v>0</v>
      </c>
      <c r="X102" s="258">
        <f>'Key input_Biomass_MAgPIE'!V97</f>
        <v>0</v>
      </c>
      <c r="Y102" s="258">
        <f>'Key input_Biomass_MAgPIE'!W97</f>
        <v>0</v>
      </c>
      <c r="Z102" s="258">
        <f>'Key input_Biomass_MAgPIE'!X97</f>
        <v>0</v>
      </c>
      <c r="AA102" s="258">
        <f>'Key input_Biomass_MAgPIE'!Y97</f>
        <v>0</v>
      </c>
      <c r="AB102" s="258">
        <f>'Key input_Biomass_MAgPIE'!Z97</f>
        <v>0</v>
      </c>
      <c r="AC102" s="258">
        <f>'Key input_Biomass_MAgPIE'!AA97</f>
        <v>0</v>
      </c>
      <c r="AD102" s="258">
        <f>'Key input_Biomass_MAgPIE'!AB97</f>
        <v>0</v>
      </c>
      <c r="AE102" s="258">
        <f>'Key input_Biomass_MAgPIE'!AC97</f>
        <v>0</v>
      </c>
      <c r="AF102" s="258">
        <f>'Key input_Biomass_MAgPIE'!AD97</f>
        <v>0</v>
      </c>
      <c r="AG102" s="258">
        <f>'Key input_Biomass_MAgPIE'!AE97</f>
        <v>0</v>
      </c>
      <c r="AH102" s="258">
        <f>'Key input_Biomass_MAgPIE'!AF97</f>
        <v>0</v>
      </c>
      <c r="AK102"/>
      <c r="AL102"/>
    </row>
    <row r="103" spans="1:38" s="4" customFormat="1">
      <c r="A103" s="4" t="str">
        <f>A102</f>
        <v>MIN-RSVBIOAGR2</v>
      </c>
      <c r="B103" s="4" t="str">
        <f t="shared" ref="B103:B114" si="42">B102</f>
        <v>UPS Reserves of Biomass - Agricultural residues - Reserve - Supply curve step 2</v>
      </c>
      <c r="C103" s="4" t="str">
        <f t="shared" ref="C103:C114" si="43">C102</f>
        <v>RSVBIOAGR</v>
      </c>
      <c r="D103" s="4" t="str">
        <f t="shared" ref="D103:D114" si="44">D102</f>
        <v>ACT_BND</v>
      </c>
      <c r="E103" s="4" t="str">
        <f t="shared" ref="E103:E114" si="45">E102</f>
        <v>UP</v>
      </c>
      <c r="F103" s="4">
        <v>2020</v>
      </c>
      <c r="G103" s="456">
        <f>'Key input_Biomass_MAgPIE'!E98</f>
        <v>0</v>
      </c>
      <c r="H103" s="456">
        <f>'Key input_Biomass_MAgPIE'!F98</f>
        <v>0</v>
      </c>
      <c r="I103" s="456">
        <f>'Key input_Biomass_MAgPIE'!G98</f>
        <v>0</v>
      </c>
      <c r="J103" s="456">
        <f>'Key input_Biomass_MAgPIE'!H98</f>
        <v>0</v>
      </c>
      <c r="K103" s="456">
        <f>'Key input_Biomass_MAgPIE'!I98</f>
        <v>0</v>
      </c>
      <c r="L103" s="456">
        <f>'Key input_Biomass_MAgPIE'!J98</f>
        <v>0</v>
      </c>
      <c r="M103" s="456">
        <f>'Key input_Biomass_MAgPIE'!K98</f>
        <v>0</v>
      </c>
      <c r="N103" s="456">
        <f>'Key input_Biomass_MAgPIE'!L98</f>
        <v>0</v>
      </c>
      <c r="O103" s="456">
        <f>'Key input_Biomass_MAgPIE'!M98</f>
        <v>0</v>
      </c>
      <c r="P103" s="456">
        <f>'Key input_Biomass_MAgPIE'!N98</f>
        <v>0</v>
      </c>
      <c r="Q103" s="456">
        <f>'Key input_Biomass_MAgPIE'!O98</f>
        <v>0</v>
      </c>
      <c r="R103" s="456">
        <f>'Key input_Biomass_MAgPIE'!P98</f>
        <v>0</v>
      </c>
      <c r="S103" s="456">
        <f>'Key input_Biomass_MAgPIE'!Q98</f>
        <v>0</v>
      </c>
      <c r="T103" s="456">
        <f>'Key input_Biomass_MAgPIE'!R98</f>
        <v>0</v>
      </c>
      <c r="U103" s="456">
        <f>'Key input_Biomass_MAgPIE'!S98</f>
        <v>0</v>
      </c>
      <c r="V103" s="456">
        <f>'Key input_Biomass_MAgPIE'!T98</f>
        <v>0</v>
      </c>
      <c r="W103" s="456">
        <f>'Key input_Biomass_MAgPIE'!U98</f>
        <v>0</v>
      </c>
      <c r="X103" s="456">
        <f>'Key input_Biomass_MAgPIE'!V98</f>
        <v>0</v>
      </c>
      <c r="Y103" s="456">
        <f>'Key input_Biomass_MAgPIE'!W98</f>
        <v>0</v>
      </c>
      <c r="Z103" s="456">
        <f>'Key input_Biomass_MAgPIE'!X98</f>
        <v>0</v>
      </c>
      <c r="AA103" s="456">
        <f>'Key input_Biomass_MAgPIE'!Y98</f>
        <v>0</v>
      </c>
      <c r="AB103" s="456">
        <f>'Key input_Biomass_MAgPIE'!Z98</f>
        <v>0</v>
      </c>
      <c r="AC103" s="456">
        <f>'Key input_Biomass_MAgPIE'!AA98</f>
        <v>0</v>
      </c>
      <c r="AD103" s="456">
        <f>'Key input_Biomass_MAgPIE'!AB98</f>
        <v>0</v>
      </c>
      <c r="AE103" s="456">
        <f>'Key input_Biomass_MAgPIE'!AC98</f>
        <v>0</v>
      </c>
      <c r="AF103" s="456">
        <f>'Key input_Biomass_MAgPIE'!AD98</f>
        <v>0</v>
      </c>
      <c r="AG103" s="456">
        <f>'Key input_Biomass_MAgPIE'!AE98</f>
        <v>0</v>
      </c>
      <c r="AH103" s="456">
        <f>'Key input_Biomass_MAgPIE'!AF98</f>
        <v>0</v>
      </c>
      <c r="AK103"/>
      <c r="AL103"/>
    </row>
    <row r="104" spans="1:38" s="4" customFormat="1">
      <c r="A104" s="4" t="str">
        <f t="shared" ref="A104:A114" si="46">A103</f>
        <v>MIN-RSVBIOAGR2</v>
      </c>
      <c r="B104" s="4" t="str">
        <f t="shared" si="42"/>
        <v>UPS Reserves of Biomass - Agricultural residues - Reserve - Supply curve step 2</v>
      </c>
      <c r="C104" s="4" t="str">
        <f t="shared" si="43"/>
        <v>RSVBIOAGR</v>
      </c>
      <c r="D104" s="4" t="str">
        <f t="shared" si="44"/>
        <v>ACT_BND</v>
      </c>
      <c r="E104" s="4" t="str">
        <f t="shared" si="45"/>
        <v>UP</v>
      </c>
      <c r="F104" s="4">
        <v>2025</v>
      </c>
      <c r="G104" s="456">
        <f>'Key input_Biomass_MAgPIE'!E99</f>
        <v>0</v>
      </c>
      <c r="H104" s="456">
        <f>'Key input_Biomass_MAgPIE'!F99</f>
        <v>0</v>
      </c>
      <c r="I104" s="456">
        <f>'Key input_Biomass_MAgPIE'!G99</f>
        <v>0</v>
      </c>
      <c r="J104" s="456">
        <f>'Key input_Biomass_MAgPIE'!H99</f>
        <v>0</v>
      </c>
      <c r="K104" s="456">
        <f>'Key input_Biomass_MAgPIE'!I99</f>
        <v>0</v>
      </c>
      <c r="L104" s="456">
        <f>'Key input_Biomass_MAgPIE'!J99</f>
        <v>0</v>
      </c>
      <c r="M104" s="456">
        <f>'Key input_Biomass_MAgPIE'!K99</f>
        <v>0</v>
      </c>
      <c r="N104" s="456">
        <f>'Key input_Biomass_MAgPIE'!L99</f>
        <v>0</v>
      </c>
      <c r="O104" s="456">
        <f>'Key input_Biomass_MAgPIE'!M99</f>
        <v>0</v>
      </c>
      <c r="P104" s="456">
        <f>'Key input_Biomass_MAgPIE'!N99</f>
        <v>0</v>
      </c>
      <c r="Q104" s="456">
        <f>'Key input_Biomass_MAgPIE'!O99</f>
        <v>0</v>
      </c>
      <c r="R104" s="456">
        <f>'Key input_Biomass_MAgPIE'!P99</f>
        <v>0</v>
      </c>
      <c r="S104" s="456">
        <f>'Key input_Biomass_MAgPIE'!Q99</f>
        <v>0</v>
      </c>
      <c r="T104" s="456">
        <f>'Key input_Biomass_MAgPIE'!R99</f>
        <v>0</v>
      </c>
      <c r="U104" s="456">
        <f>'Key input_Biomass_MAgPIE'!S99</f>
        <v>0</v>
      </c>
      <c r="V104" s="456">
        <f>'Key input_Biomass_MAgPIE'!T99</f>
        <v>0</v>
      </c>
      <c r="W104" s="456">
        <f>'Key input_Biomass_MAgPIE'!U99</f>
        <v>0</v>
      </c>
      <c r="X104" s="456">
        <f>'Key input_Biomass_MAgPIE'!V99</f>
        <v>0</v>
      </c>
      <c r="Y104" s="456">
        <f>'Key input_Biomass_MAgPIE'!W99</f>
        <v>0</v>
      </c>
      <c r="Z104" s="456">
        <f>'Key input_Biomass_MAgPIE'!X99</f>
        <v>0</v>
      </c>
      <c r="AA104" s="456">
        <f>'Key input_Biomass_MAgPIE'!Y99</f>
        <v>0</v>
      </c>
      <c r="AB104" s="456">
        <f>'Key input_Biomass_MAgPIE'!Z99</f>
        <v>0</v>
      </c>
      <c r="AC104" s="456">
        <f>'Key input_Biomass_MAgPIE'!AA99</f>
        <v>0</v>
      </c>
      <c r="AD104" s="456">
        <f>'Key input_Biomass_MAgPIE'!AB99</f>
        <v>0</v>
      </c>
      <c r="AE104" s="456">
        <f>'Key input_Biomass_MAgPIE'!AC99</f>
        <v>0</v>
      </c>
      <c r="AF104" s="456">
        <f>'Key input_Biomass_MAgPIE'!AD99</f>
        <v>0</v>
      </c>
      <c r="AG104" s="456">
        <f>'Key input_Biomass_MAgPIE'!AE99</f>
        <v>0</v>
      </c>
      <c r="AH104" s="456">
        <f>'Key input_Biomass_MAgPIE'!AF99</f>
        <v>0</v>
      </c>
      <c r="AK104"/>
      <c r="AL104"/>
    </row>
    <row r="105" spans="1:38" s="4" customFormat="1">
      <c r="A105" s="4" t="str">
        <f t="shared" si="46"/>
        <v>MIN-RSVBIOAGR2</v>
      </c>
      <c r="B105" s="4" t="str">
        <f t="shared" si="42"/>
        <v>UPS Reserves of Biomass - Agricultural residues - Reserve - Supply curve step 2</v>
      </c>
      <c r="C105" s="4" t="str">
        <f t="shared" si="43"/>
        <v>RSVBIOAGR</v>
      </c>
      <c r="D105" s="4" t="str">
        <f t="shared" si="44"/>
        <v>ACT_BND</v>
      </c>
      <c r="E105" s="4" t="str">
        <f t="shared" si="45"/>
        <v>UP</v>
      </c>
      <c r="F105" s="4">
        <v>2030</v>
      </c>
      <c r="G105" s="456">
        <f>'Key input_Biomass_MAgPIE'!E100</f>
        <v>0</v>
      </c>
      <c r="H105" s="456">
        <f>'Key input_Biomass_MAgPIE'!F100</f>
        <v>0</v>
      </c>
      <c r="I105" s="456">
        <f>'Key input_Biomass_MAgPIE'!G100</f>
        <v>0</v>
      </c>
      <c r="J105" s="456">
        <f>'Key input_Biomass_MAgPIE'!H100</f>
        <v>0</v>
      </c>
      <c r="K105" s="456">
        <f>'Key input_Biomass_MAgPIE'!I100</f>
        <v>0</v>
      </c>
      <c r="L105" s="456">
        <f>'Key input_Biomass_MAgPIE'!J100</f>
        <v>0</v>
      </c>
      <c r="M105" s="456">
        <f>'Key input_Biomass_MAgPIE'!K100</f>
        <v>0</v>
      </c>
      <c r="N105" s="456">
        <f>'Key input_Biomass_MAgPIE'!L100</f>
        <v>0</v>
      </c>
      <c r="O105" s="456">
        <f>'Key input_Biomass_MAgPIE'!M100</f>
        <v>0</v>
      </c>
      <c r="P105" s="456">
        <f>'Key input_Biomass_MAgPIE'!N100</f>
        <v>0</v>
      </c>
      <c r="Q105" s="456">
        <f>'Key input_Biomass_MAgPIE'!O100</f>
        <v>0</v>
      </c>
      <c r="R105" s="456">
        <f>'Key input_Biomass_MAgPIE'!P100</f>
        <v>0</v>
      </c>
      <c r="S105" s="456">
        <f>'Key input_Biomass_MAgPIE'!Q100</f>
        <v>0</v>
      </c>
      <c r="T105" s="456">
        <f>'Key input_Biomass_MAgPIE'!R100</f>
        <v>0</v>
      </c>
      <c r="U105" s="456">
        <f>'Key input_Biomass_MAgPIE'!S100</f>
        <v>0</v>
      </c>
      <c r="V105" s="456">
        <f>'Key input_Biomass_MAgPIE'!T100</f>
        <v>0</v>
      </c>
      <c r="W105" s="456">
        <f>'Key input_Biomass_MAgPIE'!U100</f>
        <v>0</v>
      </c>
      <c r="X105" s="456">
        <f>'Key input_Biomass_MAgPIE'!V100</f>
        <v>0</v>
      </c>
      <c r="Y105" s="456">
        <f>'Key input_Biomass_MAgPIE'!W100</f>
        <v>0</v>
      </c>
      <c r="Z105" s="456">
        <f>'Key input_Biomass_MAgPIE'!X100</f>
        <v>0</v>
      </c>
      <c r="AA105" s="456">
        <f>'Key input_Biomass_MAgPIE'!Y100</f>
        <v>0</v>
      </c>
      <c r="AB105" s="456">
        <f>'Key input_Biomass_MAgPIE'!Z100</f>
        <v>0</v>
      </c>
      <c r="AC105" s="456">
        <f>'Key input_Biomass_MAgPIE'!AA100</f>
        <v>0</v>
      </c>
      <c r="AD105" s="456">
        <f>'Key input_Biomass_MAgPIE'!AB100</f>
        <v>0</v>
      </c>
      <c r="AE105" s="456">
        <f>'Key input_Biomass_MAgPIE'!AC100</f>
        <v>0</v>
      </c>
      <c r="AF105" s="456">
        <f>'Key input_Biomass_MAgPIE'!AD100</f>
        <v>0</v>
      </c>
      <c r="AG105" s="456">
        <f>'Key input_Biomass_MAgPIE'!AE100</f>
        <v>0</v>
      </c>
      <c r="AH105" s="456">
        <f>'Key input_Biomass_MAgPIE'!AF100</f>
        <v>0</v>
      </c>
      <c r="AK105"/>
      <c r="AL105"/>
    </row>
    <row r="106" spans="1:38" s="4" customFormat="1">
      <c r="A106" s="4" t="str">
        <f t="shared" si="46"/>
        <v>MIN-RSVBIOAGR2</v>
      </c>
      <c r="B106" s="4" t="str">
        <f t="shared" si="42"/>
        <v>UPS Reserves of Biomass - Agricultural residues - Reserve - Supply curve step 2</v>
      </c>
      <c r="C106" s="4" t="str">
        <f t="shared" si="43"/>
        <v>RSVBIOAGR</v>
      </c>
      <c r="D106" s="4" t="str">
        <f t="shared" si="44"/>
        <v>ACT_BND</v>
      </c>
      <c r="E106" s="4" t="str">
        <f t="shared" si="45"/>
        <v>UP</v>
      </c>
      <c r="F106" s="4">
        <v>2035</v>
      </c>
      <c r="G106" s="456">
        <f>'Key input_Biomass_MAgPIE'!E101</f>
        <v>0</v>
      </c>
      <c r="H106" s="456">
        <f>'Key input_Biomass_MAgPIE'!F101</f>
        <v>0</v>
      </c>
      <c r="I106" s="456">
        <f>'Key input_Biomass_MAgPIE'!G101</f>
        <v>0</v>
      </c>
      <c r="J106" s="456">
        <f>'Key input_Biomass_MAgPIE'!H101</f>
        <v>0</v>
      </c>
      <c r="K106" s="456">
        <f>'Key input_Biomass_MAgPIE'!I101</f>
        <v>0</v>
      </c>
      <c r="L106" s="456">
        <f>'Key input_Biomass_MAgPIE'!J101</f>
        <v>0</v>
      </c>
      <c r="M106" s="456">
        <f>'Key input_Biomass_MAgPIE'!K101</f>
        <v>0</v>
      </c>
      <c r="N106" s="456">
        <f>'Key input_Biomass_MAgPIE'!L101</f>
        <v>0</v>
      </c>
      <c r="O106" s="456">
        <f>'Key input_Biomass_MAgPIE'!M101</f>
        <v>0</v>
      </c>
      <c r="P106" s="456">
        <f>'Key input_Biomass_MAgPIE'!N101</f>
        <v>0</v>
      </c>
      <c r="Q106" s="456">
        <f>'Key input_Biomass_MAgPIE'!O101</f>
        <v>0</v>
      </c>
      <c r="R106" s="456">
        <f>'Key input_Biomass_MAgPIE'!P101</f>
        <v>0</v>
      </c>
      <c r="S106" s="456">
        <f>'Key input_Biomass_MAgPIE'!Q101</f>
        <v>0</v>
      </c>
      <c r="T106" s="456">
        <f>'Key input_Biomass_MAgPIE'!R101</f>
        <v>0</v>
      </c>
      <c r="U106" s="456">
        <f>'Key input_Biomass_MAgPIE'!S101</f>
        <v>0</v>
      </c>
      <c r="V106" s="456">
        <f>'Key input_Biomass_MAgPIE'!T101</f>
        <v>0</v>
      </c>
      <c r="W106" s="456">
        <f>'Key input_Biomass_MAgPIE'!U101</f>
        <v>0</v>
      </c>
      <c r="X106" s="456">
        <f>'Key input_Biomass_MAgPIE'!V101</f>
        <v>0</v>
      </c>
      <c r="Y106" s="456">
        <f>'Key input_Biomass_MAgPIE'!W101</f>
        <v>0</v>
      </c>
      <c r="Z106" s="456">
        <f>'Key input_Biomass_MAgPIE'!X101</f>
        <v>0</v>
      </c>
      <c r="AA106" s="456">
        <f>'Key input_Biomass_MAgPIE'!Y101</f>
        <v>0</v>
      </c>
      <c r="AB106" s="456">
        <f>'Key input_Biomass_MAgPIE'!Z101</f>
        <v>0</v>
      </c>
      <c r="AC106" s="456">
        <f>'Key input_Biomass_MAgPIE'!AA101</f>
        <v>0</v>
      </c>
      <c r="AD106" s="456">
        <f>'Key input_Biomass_MAgPIE'!AB101</f>
        <v>0</v>
      </c>
      <c r="AE106" s="456">
        <f>'Key input_Biomass_MAgPIE'!AC101</f>
        <v>0</v>
      </c>
      <c r="AF106" s="456">
        <f>'Key input_Biomass_MAgPIE'!AD101</f>
        <v>0</v>
      </c>
      <c r="AG106" s="456">
        <f>'Key input_Biomass_MAgPIE'!AE101</f>
        <v>0</v>
      </c>
      <c r="AH106" s="456">
        <f>'Key input_Biomass_MAgPIE'!AF101</f>
        <v>0</v>
      </c>
      <c r="AK106"/>
      <c r="AL106"/>
    </row>
    <row r="107" spans="1:38" s="4" customFormat="1">
      <c r="A107" s="4" t="str">
        <f t="shared" si="46"/>
        <v>MIN-RSVBIOAGR2</v>
      </c>
      <c r="B107" s="4" t="str">
        <f t="shared" si="42"/>
        <v>UPS Reserves of Biomass - Agricultural residues - Reserve - Supply curve step 2</v>
      </c>
      <c r="C107" s="4" t="str">
        <f t="shared" si="43"/>
        <v>RSVBIOAGR</v>
      </c>
      <c r="D107" s="4" t="str">
        <f t="shared" si="44"/>
        <v>ACT_BND</v>
      </c>
      <c r="E107" s="4" t="str">
        <f t="shared" si="45"/>
        <v>UP</v>
      </c>
      <c r="F107" s="4">
        <v>2040</v>
      </c>
      <c r="G107" s="456">
        <f>'Key input_Biomass_MAgPIE'!E102</f>
        <v>0</v>
      </c>
      <c r="H107" s="456">
        <f>'Key input_Biomass_MAgPIE'!F102</f>
        <v>0</v>
      </c>
      <c r="I107" s="456">
        <f>'Key input_Biomass_MAgPIE'!G102</f>
        <v>0</v>
      </c>
      <c r="J107" s="456">
        <f>'Key input_Biomass_MAgPIE'!H102</f>
        <v>0</v>
      </c>
      <c r="K107" s="456">
        <f>'Key input_Biomass_MAgPIE'!I102</f>
        <v>0</v>
      </c>
      <c r="L107" s="456">
        <f>'Key input_Biomass_MAgPIE'!J102</f>
        <v>0</v>
      </c>
      <c r="M107" s="456">
        <f>'Key input_Biomass_MAgPIE'!K102</f>
        <v>0</v>
      </c>
      <c r="N107" s="456">
        <f>'Key input_Biomass_MAgPIE'!L102</f>
        <v>0</v>
      </c>
      <c r="O107" s="456">
        <f>'Key input_Biomass_MAgPIE'!M102</f>
        <v>0</v>
      </c>
      <c r="P107" s="456">
        <f>'Key input_Biomass_MAgPIE'!N102</f>
        <v>0</v>
      </c>
      <c r="Q107" s="456">
        <f>'Key input_Biomass_MAgPIE'!O102</f>
        <v>0</v>
      </c>
      <c r="R107" s="456">
        <f>'Key input_Biomass_MAgPIE'!P102</f>
        <v>0</v>
      </c>
      <c r="S107" s="456">
        <f>'Key input_Biomass_MAgPIE'!Q102</f>
        <v>0</v>
      </c>
      <c r="T107" s="456">
        <f>'Key input_Biomass_MAgPIE'!R102</f>
        <v>0</v>
      </c>
      <c r="U107" s="456">
        <f>'Key input_Biomass_MAgPIE'!S102</f>
        <v>0</v>
      </c>
      <c r="V107" s="456">
        <f>'Key input_Biomass_MAgPIE'!T102</f>
        <v>0</v>
      </c>
      <c r="W107" s="456">
        <f>'Key input_Biomass_MAgPIE'!U102</f>
        <v>0</v>
      </c>
      <c r="X107" s="456">
        <f>'Key input_Biomass_MAgPIE'!V102</f>
        <v>0</v>
      </c>
      <c r="Y107" s="456">
        <f>'Key input_Biomass_MAgPIE'!W102</f>
        <v>0</v>
      </c>
      <c r="Z107" s="456">
        <f>'Key input_Biomass_MAgPIE'!X102</f>
        <v>0</v>
      </c>
      <c r="AA107" s="456">
        <f>'Key input_Biomass_MAgPIE'!Y102</f>
        <v>0</v>
      </c>
      <c r="AB107" s="456">
        <f>'Key input_Biomass_MAgPIE'!Z102</f>
        <v>0</v>
      </c>
      <c r="AC107" s="456">
        <f>'Key input_Biomass_MAgPIE'!AA102</f>
        <v>0</v>
      </c>
      <c r="AD107" s="456">
        <f>'Key input_Biomass_MAgPIE'!AB102</f>
        <v>0</v>
      </c>
      <c r="AE107" s="456">
        <f>'Key input_Biomass_MAgPIE'!AC102</f>
        <v>0</v>
      </c>
      <c r="AF107" s="456">
        <f>'Key input_Biomass_MAgPIE'!AD102</f>
        <v>0</v>
      </c>
      <c r="AG107" s="456">
        <f>'Key input_Biomass_MAgPIE'!AE102</f>
        <v>0</v>
      </c>
      <c r="AH107" s="456">
        <f>'Key input_Biomass_MAgPIE'!AF102</f>
        <v>0</v>
      </c>
      <c r="AK107"/>
      <c r="AL107"/>
    </row>
    <row r="108" spans="1:38" s="4" customFormat="1">
      <c r="A108" s="4" t="str">
        <f t="shared" si="46"/>
        <v>MIN-RSVBIOAGR2</v>
      </c>
      <c r="B108" s="4" t="str">
        <f t="shared" si="42"/>
        <v>UPS Reserves of Biomass - Agricultural residues - Reserve - Supply curve step 2</v>
      </c>
      <c r="C108" s="4" t="str">
        <f t="shared" si="43"/>
        <v>RSVBIOAGR</v>
      </c>
      <c r="D108" s="4" t="str">
        <f t="shared" si="44"/>
        <v>ACT_BND</v>
      </c>
      <c r="E108" s="4" t="str">
        <f t="shared" si="45"/>
        <v>UP</v>
      </c>
      <c r="F108" s="4">
        <v>2045</v>
      </c>
      <c r="G108" s="456">
        <f>'Key input_Biomass_MAgPIE'!E103</f>
        <v>0</v>
      </c>
      <c r="H108" s="456">
        <f>'Key input_Biomass_MAgPIE'!F103</f>
        <v>0</v>
      </c>
      <c r="I108" s="456">
        <f>'Key input_Biomass_MAgPIE'!G103</f>
        <v>0</v>
      </c>
      <c r="J108" s="456">
        <f>'Key input_Biomass_MAgPIE'!H103</f>
        <v>0</v>
      </c>
      <c r="K108" s="456">
        <f>'Key input_Biomass_MAgPIE'!I103</f>
        <v>0</v>
      </c>
      <c r="L108" s="456">
        <f>'Key input_Biomass_MAgPIE'!J103</f>
        <v>0</v>
      </c>
      <c r="M108" s="456">
        <f>'Key input_Biomass_MAgPIE'!K103</f>
        <v>0</v>
      </c>
      <c r="N108" s="456">
        <f>'Key input_Biomass_MAgPIE'!L103</f>
        <v>0</v>
      </c>
      <c r="O108" s="456">
        <f>'Key input_Biomass_MAgPIE'!M103</f>
        <v>0</v>
      </c>
      <c r="P108" s="456">
        <f>'Key input_Biomass_MAgPIE'!N103</f>
        <v>0</v>
      </c>
      <c r="Q108" s="456">
        <f>'Key input_Biomass_MAgPIE'!O103</f>
        <v>0</v>
      </c>
      <c r="R108" s="456">
        <f>'Key input_Biomass_MAgPIE'!P103</f>
        <v>0</v>
      </c>
      <c r="S108" s="456">
        <f>'Key input_Biomass_MAgPIE'!Q103</f>
        <v>0</v>
      </c>
      <c r="T108" s="456">
        <f>'Key input_Biomass_MAgPIE'!R103</f>
        <v>0</v>
      </c>
      <c r="U108" s="456">
        <f>'Key input_Biomass_MAgPIE'!S103</f>
        <v>0</v>
      </c>
      <c r="V108" s="456">
        <f>'Key input_Biomass_MAgPIE'!T103</f>
        <v>0</v>
      </c>
      <c r="W108" s="456">
        <f>'Key input_Biomass_MAgPIE'!U103</f>
        <v>0</v>
      </c>
      <c r="X108" s="456">
        <f>'Key input_Biomass_MAgPIE'!V103</f>
        <v>0</v>
      </c>
      <c r="Y108" s="456">
        <f>'Key input_Biomass_MAgPIE'!W103</f>
        <v>0</v>
      </c>
      <c r="Z108" s="456">
        <f>'Key input_Biomass_MAgPIE'!X103</f>
        <v>0</v>
      </c>
      <c r="AA108" s="456">
        <f>'Key input_Biomass_MAgPIE'!Y103</f>
        <v>0</v>
      </c>
      <c r="AB108" s="456">
        <f>'Key input_Biomass_MAgPIE'!Z103</f>
        <v>0</v>
      </c>
      <c r="AC108" s="456">
        <f>'Key input_Biomass_MAgPIE'!AA103</f>
        <v>0</v>
      </c>
      <c r="AD108" s="456">
        <f>'Key input_Biomass_MAgPIE'!AB103</f>
        <v>0</v>
      </c>
      <c r="AE108" s="456">
        <f>'Key input_Biomass_MAgPIE'!AC103</f>
        <v>0</v>
      </c>
      <c r="AF108" s="456">
        <f>'Key input_Biomass_MAgPIE'!AD103</f>
        <v>0</v>
      </c>
      <c r="AG108" s="456">
        <f>'Key input_Biomass_MAgPIE'!AE103</f>
        <v>0</v>
      </c>
      <c r="AH108" s="456">
        <f>'Key input_Biomass_MAgPIE'!AF103</f>
        <v>0</v>
      </c>
      <c r="AK108"/>
      <c r="AL108"/>
    </row>
    <row r="109" spans="1:38" s="4" customFormat="1">
      <c r="A109" s="4" t="str">
        <f t="shared" si="46"/>
        <v>MIN-RSVBIOAGR2</v>
      </c>
      <c r="B109" s="4" t="str">
        <f t="shared" si="42"/>
        <v>UPS Reserves of Biomass - Agricultural residues - Reserve - Supply curve step 2</v>
      </c>
      <c r="C109" s="4" t="str">
        <f t="shared" si="43"/>
        <v>RSVBIOAGR</v>
      </c>
      <c r="D109" s="4" t="str">
        <f t="shared" si="44"/>
        <v>ACT_BND</v>
      </c>
      <c r="E109" s="4" t="str">
        <f t="shared" si="45"/>
        <v>UP</v>
      </c>
      <c r="F109" s="4">
        <v>2050</v>
      </c>
      <c r="G109" s="456">
        <f>'Key input_Biomass_MAgPIE'!E104</f>
        <v>0</v>
      </c>
      <c r="H109" s="456">
        <f>'Key input_Biomass_MAgPIE'!F104</f>
        <v>0</v>
      </c>
      <c r="I109" s="456">
        <f>'Key input_Biomass_MAgPIE'!G104</f>
        <v>0</v>
      </c>
      <c r="J109" s="456">
        <f>'Key input_Biomass_MAgPIE'!H104</f>
        <v>0</v>
      </c>
      <c r="K109" s="456">
        <f>'Key input_Biomass_MAgPIE'!I104</f>
        <v>0</v>
      </c>
      <c r="L109" s="456">
        <f>'Key input_Biomass_MAgPIE'!J104</f>
        <v>0</v>
      </c>
      <c r="M109" s="456">
        <f>'Key input_Biomass_MAgPIE'!K104</f>
        <v>0</v>
      </c>
      <c r="N109" s="456">
        <f>'Key input_Biomass_MAgPIE'!L104</f>
        <v>0</v>
      </c>
      <c r="O109" s="456">
        <f>'Key input_Biomass_MAgPIE'!M104</f>
        <v>0</v>
      </c>
      <c r="P109" s="456">
        <f>'Key input_Biomass_MAgPIE'!N104</f>
        <v>0</v>
      </c>
      <c r="Q109" s="456">
        <f>'Key input_Biomass_MAgPIE'!O104</f>
        <v>0</v>
      </c>
      <c r="R109" s="456">
        <f>'Key input_Biomass_MAgPIE'!P104</f>
        <v>0</v>
      </c>
      <c r="S109" s="456">
        <f>'Key input_Biomass_MAgPIE'!Q104</f>
        <v>0</v>
      </c>
      <c r="T109" s="456">
        <f>'Key input_Biomass_MAgPIE'!R104</f>
        <v>0</v>
      </c>
      <c r="U109" s="456">
        <f>'Key input_Biomass_MAgPIE'!S104</f>
        <v>0</v>
      </c>
      <c r="V109" s="456">
        <f>'Key input_Biomass_MAgPIE'!T104</f>
        <v>0</v>
      </c>
      <c r="W109" s="456">
        <f>'Key input_Biomass_MAgPIE'!U104</f>
        <v>0</v>
      </c>
      <c r="X109" s="456">
        <f>'Key input_Biomass_MAgPIE'!V104</f>
        <v>0</v>
      </c>
      <c r="Y109" s="456">
        <f>'Key input_Biomass_MAgPIE'!W104</f>
        <v>0</v>
      </c>
      <c r="Z109" s="456">
        <f>'Key input_Biomass_MAgPIE'!X104</f>
        <v>0</v>
      </c>
      <c r="AA109" s="456">
        <f>'Key input_Biomass_MAgPIE'!Y104</f>
        <v>0</v>
      </c>
      <c r="AB109" s="456">
        <f>'Key input_Biomass_MAgPIE'!Z104</f>
        <v>0</v>
      </c>
      <c r="AC109" s="456">
        <f>'Key input_Biomass_MAgPIE'!AA104</f>
        <v>0</v>
      </c>
      <c r="AD109" s="456">
        <f>'Key input_Biomass_MAgPIE'!AB104</f>
        <v>0</v>
      </c>
      <c r="AE109" s="456">
        <f>'Key input_Biomass_MAgPIE'!AC104</f>
        <v>0</v>
      </c>
      <c r="AF109" s="456">
        <f>'Key input_Biomass_MAgPIE'!AD104</f>
        <v>0</v>
      </c>
      <c r="AG109" s="456">
        <f>'Key input_Biomass_MAgPIE'!AE104</f>
        <v>0</v>
      </c>
      <c r="AH109" s="456">
        <f>'Key input_Biomass_MAgPIE'!AF104</f>
        <v>0</v>
      </c>
      <c r="AK109"/>
      <c r="AL109"/>
    </row>
    <row r="110" spans="1:38" s="4" customFormat="1">
      <c r="A110" s="4" t="str">
        <f t="shared" si="46"/>
        <v>MIN-RSVBIOAGR2</v>
      </c>
      <c r="B110" s="4" t="str">
        <f t="shared" si="42"/>
        <v>UPS Reserves of Biomass - Agricultural residues - Reserve - Supply curve step 2</v>
      </c>
      <c r="C110" s="4" t="str">
        <f t="shared" si="43"/>
        <v>RSVBIOAGR</v>
      </c>
      <c r="D110" s="4" t="str">
        <f t="shared" si="44"/>
        <v>ACT_BND</v>
      </c>
      <c r="E110" s="4" t="str">
        <f t="shared" si="45"/>
        <v>UP</v>
      </c>
      <c r="F110" s="4">
        <v>2060</v>
      </c>
      <c r="G110" s="456">
        <f>'Key input_Biomass_MAgPIE'!E105</f>
        <v>0</v>
      </c>
      <c r="H110" s="456">
        <f>'Key input_Biomass_MAgPIE'!F105</f>
        <v>0</v>
      </c>
      <c r="I110" s="456">
        <f>'Key input_Biomass_MAgPIE'!G105</f>
        <v>0</v>
      </c>
      <c r="J110" s="456">
        <f>'Key input_Biomass_MAgPIE'!H105</f>
        <v>0</v>
      </c>
      <c r="K110" s="456">
        <f>'Key input_Biomass_MAgPIE'!I105</f>
        <v>0</v>
      </c>
      <c r="L110" s="456">
        <f>'Key input_Biomass_MAgPIE'!J105</f>
        <v>0</v>
      </c>
      <c r="M110" s="456">
        <f>'Key input_Biomass_MAgPIE'!K105</f>
        <v>0</v>
      </c>
      <c r="N110" s="456">
        <f>'Key input_Biomass_MAgPIE'!L105</f>
        <v>0</v>
      </c>
      <c r="O110" s="456">
        <f>'Key input_Biomass_MAgPIE'!M105</f>
        <v>0</v>
      </c>
      <c r="P110" s="456">
        <f>'Key input_Biomass_MAgPIE'!N105</f>
        <v>0</v>
      </c>
      <c r="Q110" s="456">
        <f>'Key input_Biomass_MAgPIE'!O105</f>
        <v>0</v>
      </c>
      <c r="R110" s="456">
        <f>'Key input_Biomass_MAgPIE'!P105</f>
        <v>0</v>
      </c>
      <c r="S110" s="456">
        <f>'Key input_Biomass_MAgPIE'!Q105</f>
        <v>0</v>
      </c>
      <c r="T110" s="456">
        <f>'Key input_Biomass_MAgPIE'!R105</f>
        <v>0</v>
      </c>
      <c r="U110" s="456">
        <f>'Key input_Biomass_MAgPIE'!S105</f>
        <v>0</v>
      </c>
      <c r="V110" s="456">
        <f>'Key input_Biomass_MAgPIE'!T105</f>
        <v>0</v>
      </c>
      <c r="W110" s="456">
        <f>'Key input_Biomass_MAgPIE'!U105</f>
        <v>0</v>
      </c>
      <c r="X110" s="456">
        <f>'Key input_Biomass_MAgPIE'!V105</f>
        <v>0</v>
      </c>
      <c r="Y110" s="456">
        <f>'Key input_Biomass_MAgPIE'!W105</f>
        <v>0</v>
      </c>
      <c r="Z110" s="456">
        <f>'Key input_Biomass_MAgPIE'!X105</f>
        <v>0</v>
      </c>
      <c r="AA110" s="456">
        <f>'Key input_Biomass_MAgPIE'!Y105</f>
        <v>0</v>
      </c>
      <c r="AB110" s="456">
        <f>'Key input_Biomass_MAgPIE'!Z105</f>
        <v>0</v>
      </c>
      <c r="AC110" s="456">
        <f>'Key input_Biomass_MAgPIE'!AA105</f>
        <v>0</v>
      </c>
      <c r="AD110" s="456">
        <f>'Key input_Biomass_MAgPIE'!AB105</f>
        <v>0</v>
      </c>
      <c r="AE110" s="456">
        <f>'Key input_Biomass_MAgPIE'!AC105</f>
        <v>0</v>
      </c>
      <c r="AF110" s="456">
        <f>'Key input_Biomass_MAgPIE'!AD105</f>
        <v>0</v>
      </c>
      <c r="AG110" s="456">
        <f>'Key input_Biomass_MAgPIE'!AE105</f>
        <v>0</v>
      </c>
      <c r="AH110" s="456">
        <f>'Key input_Biomass_MAgPIE'!AF105</f>
        <v>0</v>
      </c>
      <c r="AK110"/>
      <c r="AL110"/>
    </row>
    <row r="111" spans="1:38" s="4" customFormat="1">
      <c r="A111" s="4" t="str">
        <f t="shared" si="46"/>
        <v>MIN-RSVBIOAGR2</v>
      </c>
      <c r="B111" s="4" t="str">
        <f t="shared" si="42"/>
        <v>UPS Reserves of Biomass - Agricultural residues - Reserve - Supply curve step 2</v>
      </c>
      <c r="C111" s="4" t="str">
        <f t="shared" si="43"/>
        <v>RSVBIOAGR</v>
      </c>
      <c r="D111" s="4" t="str">
        <f t="shared" si="44"/>
        <v>ACT_BND</v>
      </c>
      <c r="E111" s="4" t="str">
        <f t="shared" si="45"/>
        <v>UP</v>
      </c>
      <c r="F111" s="4">
        <v>2070</v>
      </c>
      <c r="G111" s="456">
        <f>'Key input_Biomass_MAgPIE'!E106</f>
        <v>0</v>
      </c>
      <c r="H111" s="456">
        <f>'Key input_Biomass_MAgPIE'!F106</f>
        <v>0</v>
      </c>
      <c r="I111" s="456">
        <f>'Key input_Biomass_MAgPIE'!G106</f>
        <v>0</v>
      </c>
      <c r="J111" s="456">
        <f>'Key input_Biomass_MAgPIE'!H106</f>
        <v>0</v>
      </c>
      <c r="K111" s="456">
        <f>'Key input_Biomass_MAgPIE'!I106</f>
        <v>0</v>
      </c>
      <c r="L111" s="456">
        <f>'Key input_Biomass_MAgPIE'!J106</f>
        <v>0</v>
      </c>
      <c r="M111" s="456">
        <f>'Key input_Biomass_MAgPIE'!K106</f>
        <v>0</v>
      </c>
      <c r="N111" s="456">
        <f>'Key input_Biomass_MAgPIE'!L106</f>
        <v>0</v>
      </c>
      <c r="O111" s="456">
        <f>'Key input_Biomass_MAgPIE'!M106</f>
        <v>0</v>
      </c>
      <c r="P111" s="456">
        <f>'Key input_Biomass_MAgPIE'!N106</f>
        <v>0</v>
      </c>
      <c r="Q111" s="456">
        <f>'Key input_Biomass_MAgPIE'!O106</f>
        <v>0</v>
      </c>
      <c r="R111" s="456">
        <f>'Key input_Biomass_MAgPIE'!P106</f>
        <v>0</v>
      </c>
      <c r="S111" s="456">
        <f>'Key input_Biomass_MAgPIE'!Q106</f>
        <v>0</v>
      </c>
      <c r="T111" s="456">
        <f>'Key input_Biomass_MAgPIE'!R106</f>
        <v>0</v>
      </c>
      <c r="U111" s="456">
        <f>'Key input_Biomass_MAgPIE'!S106</f>
        <v>0</v>
      </c>
      <c r="V111" s="456">
        <f>'Key input_Biomass_MAgPIE'!T106</f>
        <v>0</v>
      </c>
      <c r="W111" s="456">
        <f>'Key input_Biomass_MAgPIE'!U106</f>
        <v>0</v>
      </c>
      <c r="X111" s="456">
        <f>'Key input_Biomass_MAgPIE'!V106</f>
        <v>0</v>
      </c>
      <c r="Y111" s="456">
        <f>'Key input_Biomass_MAgPIE'!W106</f>
        <v>0</v>
      </c>
      <c r="Z111" s="456">
        <f>'Key input_Biomass_MAgPIE'!X106</f>
        <v>0</v>
      </c>
      <c r="AA111" s="456">
        <f>'Key input_Biomass_MAgPIE'!Y106</f>
        <v>0</v>
      </c>
      <c r="AB111" s="456">
        <f>'Key input_Biomass_MAgPIE'!Z106</f>
        <v>0</v>
      </c>
      <c r="AC111" s="456">
        <f>'Key input_Biomass_MAgPIE'!AA106</f>
        <v>0</v>
      </c>
      <c r="AD111" s="456">
        <f>'Key input_Biomass_MAgPIE'!AB106</f>
        <v>0</v>
      </c>
      <c r="AE111" s="456">
        <f>'Key input_Biomass_MAgPIE'!AC106</f>
        <v>0</v>
      </c>
      <c r="AF111" s="456">
        <f>'Key input_Biomass_MAgPIE'!AD106</f>
        <v>0</v>
      </c>
      <c r="AG111" s="456">
        <f>'Key input_Biomass_MAgPIE'!AE106</f>
        <v>0</v>
      </c>
      <c r="AH111" s="456">
        <f>'Key input_Biomass_MAgPIE'!AF106</f>
        <v>0</v>
      </c>
      <c r="AK111"/>
      <c r="AL111"/>
    </row>
    <row r="112" spans="1:38" s="4" customFormat="1">
      <c r="A112" s="4" t="str">
        <f t="shared" si="46"/>
        <v>MIN-RSVBIOAGR2</v>
      </c>
      <c r="B112" s="4" t="str">
        <f t="shared" si="42"/>
        <v>UPS Reserves of Biomass - Agricultural residues - Reserve - Supply curve step 2</v>
      </c>
      <c r="C112" s="4" t="str">
        <f t="shared" si="43"/>
        <v>RSVBIOAGR</v>
      </c>
      <c r="D112" s="4" t="str">
        <f t="shared" si="44"/>
        <v>ACT_BND</v>
      </c>
      <c r="E112" s="4" t="str">
        <f t="shared" si="45"/>
        <v>UP</v>
      </c>
      <c r="F112" s="4">
        <v>2080</v>
      </c>
      <c r="G112" s="456">
        <f>'Key input_Biomass_MAgPIE'!E107</f>
        <v>0</v>
      </c>
      <c r="H112" s="456">
        <f>'Key input_Biomass_MAgPIE'!F107</f>
        <v>0</v>
      </c>
      <c r="I112" s="456">
        <f>'Key input_Biomass_MAgPIE'!G107</f>
        <v>0</v>
      </c>
      <c r="J112" s="456">
        <f>'Key input_Biomass_MAgPIE'!H107</f>
        <v>0</v>
      </c>
      <c r="K112" s="456">
        <f>'Key input_Biomass_MAgPIE'!I107</f>
        <v>0</v>
      </c>
      <c r="L112" s="456">
        <f>'Key input_Biomass_MAgPIE'!J107</f>
        <v>0</v>
      </c>
      <c r="M112" s="456">
        <f>'Key input_Biomass_MAgPIE'!K107</f>
        <v>0</v>
      </c>
      <c r="N112" s="456">
        <f>'Key input_Biomass_MAgPIE'!L107</f>
        <v>0</v>
      </c>
      <c r="O112" s="456">
        <f>'Key input_Biomass_MAgPIE'!M107</f>
        <v>0</v>
      </c>
      <c r="P112" s="456">
        <f>'Key input_Biomass_MAgPIE'!N107</f>
        <v>0</v>
      </c>
      <c r="Q112" s="456">
        <f>'Key input_Biomass_MAgPIE'!O107</f>
        <v>0</v>
      </c>
      <c r="R112" s="456">
        <f>'Key input_Biomass_MAgPIE'!P107</f>
        <v>0</v>
      </c>
      <c r="S112" s="456">
        <f>'Key input_Biomass_MAgPIE'!Q107</f>
        <v>0</v>
      </c>
      <c r="T112" s="456">
        <f>'Key input_Biomass_MAgPIE'!R107</f>
        <v>0</v>
      </c>
      <c r="U112" s="456">
        <f>'Key input_Biomass_MAgPIE'!S107</f>
        <v>0</v>
      </c>
      <c r="V112" s="456">
        <f>'Key input_Biomass_MAgPIE'!T107</f>
        <v>0</v>
      </c>
      <c r="W112" s="456">
        <f>'Key input_Biomass_MAgPIE'!U107</f>
        <v>0</v>
      </c>
      <c r="X112" s="456">
        <f>'Key input_Biomass_MAgPIE'!V107</f>
        <v>0</v>
      </c>
      <c r="Y112" s="456">
        <f>'Key input_Biomass_MAgPIE'!W107</f>
        <v>0</v>
      </c>
      <c r="Z112" s="456">
        <f>'Key input_Biomass_MAgPIE'!X107</f>
        <v>0</v>
      </c>
      <c r="AA112" s="456">
        <f>'Key input_Biomass_MAgPIE'!Y107</f>
        <v>0</v>
      </c>
      <c r="AB112" s="456">
        <f>'Key input_Biomass_MAgPIE'!Z107</f>
        <v>0</v>
      </c>
      <c r="AC112" s="456">
        <f>'Key input_Biomass_MAgPIE'!AA107</f>
        <v>0</v>
      </c>
      <c r="AD112" s="456">
        <f>'Key input_Biomass_MAgPIE'!AB107</f>
        <v>0</v>
      </c>
      <c r="AE112" s="456">
        <f>'Key input_Biomass_MAgPIE'!AC107</f>
        <v>0</v>
      </c>
      <c r="AF112" s="456">
        <f>'Key input_Biomass_MAgPIE'!AD107</f>
        <v>0</v>
      </c>
      <c r="AG112" s="456">
        <f>'Key input_Biomass_MAgPIE'!AE107</f>
        <v>0</v>
      </c>
      <c r="AH112" s="456">
        <f>'Key input_Biomass_MAgPIE'!AF107</f>
        <v>0</v>
      </c>
      <c r="AK112"/>
      <c r="AL112"/>
    </row>
    <row r="113" spans="1:38" s="4" customFormat="1">
      <c r="A113" s="4" t="str">
        <f t="shared" si="46"/>
        <v>MIN-RSVBIOAGR2</v>
      </c>
      <c r="B113" s="4" t="str">
        <f t="shared" si="42"/>
        <v>UPS Reserves of Biomass - Agricultural residues - Reserve - Supply curve step 2</v>
      </c>
      <c r="C113" s="4" t="str">
        <f t="shared" si="43"/>
        <v>RSVBIOAGR</v>
      </c>
      <c r="D113" s="4" t="str">
        <f t="shared" si="44"/>
        <v>ACT_BND</v>
      </c>
      <c r="E113" s="4" t="str">
        <f t="shared" si="45"/>
        <v>UP</v>
      </c>
      <c r="F113" s="4">
        <v>2090</v>
      </c>
      <c r="G113" s="456">
        <f>'Key input_Biomass_MAgPIE'!E108</f>
        <v>0</v>
      </c>
      <c r="H113" s="456">
        <f>'Key input_Biomass_MAgPIE'!F108</f>
        <v>0</v>
      </c>
      <c r="I113" s="456">
        <f>'Key input_Biomass_MAgPIE'!G108</f>
        <v>0</v>
      </c>
      <c r="J113" s="456">
        <f>'Key input_Biomass_MAgPIE'!H108</f>
        <v>0</v>
      </c>
      <c r="K113" s="456">
        <f>'Key input_Biomass_MAgPIE'!I108</f>
        <v>0</v>
      </c>
      <c r="L113" s="456">
        <f>'Key input_Biomass_MAgPIE'!J108</f>
        <v>0</v>
      </c>
      <c r="M113" s="456">
        <f>'Key input_Biomass_MAgPIE'!K108</f>
        <v>0</v>
      </c>
      <c r="N113" s="456">
        <f>'Key input_Biomass_MAgPIE'!L108</f>
        <v>0</v>
      </c>
      <c r="O113" s="456">
        <f>'Key input_Biomass_MAgPIE'!M108</f>
        <v>0</v>
      </c>
      <c r="P113" s="456">
        <f>'Key input_Biomass_MAgPIE'!N108</f>
        <v>0</v>
      </c>
      <c r="Q113" s="456">
        <f>'Key input_Biomass_MAgPIE'!O108</f>
        <v>0</v>
      </c>
      <c r="R113" s="456">
        <f>'Key input_Biomass_MAgPIE'!P108</f>
        <v>0</v>
      </c>
      <c r="S113" s="456">
        <f>'Key input_Biomass_MAgPIE'!Q108</f>
        <v>0</v>
      </c>
      <c r="T113" s="456">
        <f>'Key input_Biomass_MAgPIE'!R108</f>
        <v>0</v>
      </c>
      <c r="U113" s="456">
        <f>'Key input_Biomass_MAgPIE'!S108</f>
        <v>0</v>
      </c>
      <c r="V113" s="456">
        <f>'Key input_Biomass_MAgPIE'!T108</f>
        <v>0</v>
      </c>
      <c r="W113" s="456">
        <f>'Key input_Biomass_MAgPIE'!U108</f>
        <v>0</v>
      </c>
      <c r="X113" s="456">
        <f>'Key input_Biomass_MAgPIE'!V108</f>
        <v>0</v>
      </c>
      <c r="Y113" s="456">
        <f>'Key input_Biomass_MAgPIE'!W108</f>
        <v>0</v>
      </c>
      <c r="Z113" s="456">
        <f>'Key input_Biomass_MAgPIE'!X108</f>
        <v>0</v>
      </c>
      <c r="AA113" s="456">
        <f>'Key input_Biomass_MAgPIE'!Y108</f>
        <v>0</v>
      </c>
      <c r="AB113" s="456">
        <f>'Key input_Biomass_MAgPIE'!Z108</f>
        <v>0</v>
      </c>
      <c r="AC113" s="456">
        <f>'Key input_Biomass_MAgPIE'!AA108</f>
        <v>0</v>
      </c>
      <c r="AD113" s="456">
        <f>'Key input_Biomass_MAgPIE'!AB108</f>
        <v>0</v>
      </c>
      <c r="AE113" s="456">
        <f>'Key input_Biomass_MAgPIE'!AC108</f>
        <v>0</v>
      </c>
      <c r="AF113" s="456">
        <f>'Key input_Biomass_MAgPIE'!AD108</f>
        <v>0</v>
      </c>
      <c r="AG113" s="456">
        <f>'Key input_Biomass_MAgPIE'!AE108</f>
        <v>0</v>
      </c>
      <c r="AH113" s="456">
        <f>'Key input_Biomass_MAgPIE'!AF108</f>
        <v>0</v>
      </c>
      <c r="AK113"/>
      <c r="AL113"/>
    </row>
    <row r="114" spans="1:38" s="4" customFormat="1">
      <c r="A114" s="259" t="str">
        <f t="shared" si="46"/>
        <v>MIN-RSVBIOAGR2</v>
      </c>
      <c r="B114" s="259" t="str">
        <f t="shared" si="42"/>
        <v>UPS Reserves of Biomass - Agricultural residues - Reserve - Supply curve step 2</v>
      </c>
      <c r="C114" s="259" t="str">
        <f t="shared" si="43"/>
        <v>RSVBIOAGR</v>
      </c>
      <c r="D114" s="259" t="str">
        <f t="shared" si="44"/>
        <v>ACT_BND</v>
      </c>
      <c r="E114" s="259" t="str">
        <f t="shared" si="45"/>
        <v>UP</v>
      </c>
      <c r="F114" s="259">
        <v>2100</v>
      </c>
      <c r="G114" s="435">
        <f>'Key input_Biomass_MAgPIE'!E109</f>
        <v>0</v>
      </c>
      <c r="H114" s="435">
        <f>'Key input_Biomass_MAgPIE'!F109</f>
        <v>0</v>
      </c>
      <c r="I114" s="435">
        <f>'Key input_Biomass_MAgPIE'!G109</f>
        <v>0</v>
      </c>
      <c r="J114" s="435">
        <f>'Key input_Biomass_MAgPIE'!H109</f>
        <v>0</v>
      </c>
      <c r="K114" s="435">
        <f>'Key input_Biomass_MAgPIE'!I109</f>
        <v>0</v>
      </c>
      <c r="L114" s="435">
        <f>'Key input_Biomass_MAgPIE'!J109</f>
        <v>0</v>
      </c>
      <c r="M114" s="435">
        <f>'Key input_Biomass_MAgPIE'!K109</f>
        <v>0</v>
      </c>
      <c r="N114" s="435">
        <f>'Key input_Biomass_MAgPIE'!L109</f>
        <v>0</v>
      </c>
      <c r="O114" s="435">
        <f>'Key input_Biomass_MAgPIE'!M109</f>
        <v>0</v>
      </c>
      <c r="P114" s="435">
        <f>'Key input_Biomass_MAgPIE'!N109</f>
        <v>0</v>
      </c>
      <c r="Q114" s="435">
        <f>'Key input_Biomass_MAgPIE'!O109</f>
        <v>0</v>
      </c>
      <c r="R114" s="435">
        <f>'Key input_Biomass_MAgPIE'!P109</f>
        <v>0</v>
      </c>
      <c r="S114" s="435">
        <f>'Key input_Biomass_MAgPIE'!Q109</f>
        <v>0</v>
      </c>
      <c r="T114" s="435">
        <f>'Key input_Biomass_MAgPIE'!R109</f>
        <v>0</v>
      </c>
      <c r="U114" s="435">
        <f>'Key input_Biomass_MAgPIE'!S109</f>
        <v>0</v>
      </c>
      <c r="V114" s="435">
        <f>'Key input_Biomass_MAgPIE'!T109</f>
        <v>0</v>
      </c>
      <c r="W114" s="435">
        <f>'Key input_Biomass_MAgPIE'!U109</f>
        <v>0</v>
      </c>
      <c r="X114" s="435">
        <f>'Key input_Biomass_MAgPIE'!V109</f>
        <v>0</v>
      </c>
      <c r="Y114" s="435">
        <f>'Key input_Biomass_MAgPIE'!W109</f>
        <v>0</v>
      </c>
      <c r="Z114" s="435">
        <f>'Key input_Biomass_MAgPIE'!X109</f>
        <v>0</v>
      </c>
      <c r="AA114" s="435">
        <f>'Key input_Biomass_MAgPIE'!Y109</f>
        <v>0</v>
      </c>
      <c r="AB114" s="435">
        <f>'Key input_Biomass_MAgPIE'!Z109</f>
        <v>0</v>
      </c>
      <c r="AC114" s="435">
        <f>'Key input_Biomass_MAgPIE'!AA109</f>
        <v>0</v>
      </c>
      <c r="AD114" s="435">
        <f>'Key input_Biomass_MAgPIE'!AB109</f>
        <v>0</v>
      </c>
      <c r="AE114" s="435">
        <f>'Key input_Biomass_MAgPIE'!AC109</f>
        <v>0</v>
      </c>
      <c r="AF114" s="435">
        <f>'Key input_Biomass_MAgPIE'!AD109</f>
        <v>0</v>
      </c>
      <c r="AG114" s="435">
        <f>'Key input_Biomass_MAgPIE'!AE109</f>
        <v>0</v>
      </c>
      <c r="AH114" s="435">
        <f>'Key input_Biomass_MAgPIE'!AF109</f>
        <v>0</v>
      </c>
      <c r="AK114"/>
      <c r="AL114"/>
    </row>
    <row r="115" spans="1:38" s="4" customFormat="1">
      <c r="A115" s="4" t="str">
        <f>IF(AK19="",AJ19,AK19)</f>
        <v>MIN-RSVBIOAGR3</v>
      </c>
      <c r="B115" s="4" t="str">
        <f>IF($AK19="","",AL19)</f>
        <v>UPS Reserves of Biomass - Agricultural residues - Reserve - Supply curve step 3</v>
      </c>
      <c r="C115" s="4" t="str">
        <f>Commodities!$C$17</f>
        <v>RSVBIOAGR</v>
      </c>
      <c r="D115" s="4" t="s">
        <v>678</v>
      </c>
      <c r="E115" s="4" t="s">
        <v>661</v>
      </c>
      <c r="F115" s="4">
        <v>2019</v>
      </c>
      <c r="G115" s="258">
        <f>'Key input_Biomass_MAgPIE'!E110</f>
        <v>0</v>
      </c>
      <c r="H115" s="258">
        <f>'Key input_Biomass_MAgPIE'!F110</f>
        <v>0</v>
      </c>
      <c r="I115" s="258">
        <f>'Key input_Biomass_MAgPIE'!G110</f>
        <v>0</v>
      </c>
      <c r="J115" s="258">
        <f>'Key input_Biomass_MAgPIE'!H110</f>
        <v>0</v>
      </c>
      <c r="K115" s="258">
        <f>'Key input_Biomass_MAgPIE'!I110</f>
        <v>0</v>
      </c>
      <c r="L115" s="258">
        <f>'Key input_Biomass_MAgPIE'!J110</f>
        <v>0</v>
      </c>
      <c r="M115" s="258">
        <f>'Key input_Biomass_MAgPIE'!K110</f>
        <v>0</v>
      </c>
      <c r="N115" s="258">
        <f>'Key input_Biomass_MAgPIE'!L110</f>
        <v>0</v>
      </c>
      <c r="O115" s="258">
        <f>'Key input_Biomass_MAgPIE'!M110</f>
        <v>0</v>
      </c>
      <c r="P115" s="258">
        <f>'Key input_Biomass_MAgPIE'!N110</f>
        <v>0</v>
      </c>
      <c r="Q115" s="258">
        <f>'Key input_Biomass_MAgPIE'!O110</f>
        <v>0</v>
      </c>
      <c r="R115" s="258">
        <f>'Key input_Biomass_MAgPIE'!P110</f>
        <v>0</v>
      </c>
      <c r="S115" s="258">
        <f>'Key input_Biomass_MAgPIE'!Q110</f>
        <v>0</v>
      </c>
      <c r="T115" s="258">
        <f>'Key input_Biomass_MAgPIE'!R110</f>
        <v>0</v>
      </c>
      <c r="U115" s="258">
        <f>'Key input_Biomass_MAgPIE'!S110</f>
        <v>0</v>
      </c>
      <c r="V115" s="258">
        <f>'Key input_Biomass_MAgPIE'!T110</f>
        <v>0</v>
      </c>
      <c r="W115" s="258">
        <f>'Key input_Biomass_MAgPIE'!U110</f>
        <v>0</v>
      </c>
      <c r="X115" s="258">
        <f>'Key input_Biomass_MAgPIE'!V110</f>
        <v>0</v>
      </c>
      <c r="Y115" s="258">
        <f>'Key input_Biomass_MAgPIE'!W110</f>
        <v>0</v>
      </c>
      <c r="Z115" s="258">
        <f>'Key input_Biomass_MAgPIE'!X110</f>
        <v>0</v>
      </c>
      <c r="AA115" s="258">
        <f>'Key input_Biomass_MAgPIE'!Y110</f>
        <v>0</v>
      </c>
      <c r="AB115" s="258">
        <f>'Key input_Biomass_MAgPIE'!Z110</f>
        <v>0</v>
      </c>
      <c r="AC115" s="258">
        <f>'Key input_Biomass_MAgPIE'!AA110</f>
        <v>0</v>
      </c>
      <c r="AD115" s="258">
        <f>'Key input_Biomass_MAgPIE'!AB110</f>
        <v>0</v>
      </c>
      <c r="AE115" s="258">
        <f>'Key input_Biomass_MAgPIE'!AC110</f>
        <v>0</v>
      </c>
      <c r="AF115" s="258">
        <f>'Key input_Biomass_MAgPIE'!AD110</f>
        <v>0</v>
      </c>
      <c r="AG115" s="258">
        <f>'Key input_Biomass_MAgPIE'!AE110</f>
        <v>0</v>
      </c>
      <c r="AH115" s="258">
        <f>'Key input_Biomass_MAgPIE'!AF110</f>
        <v>0</v>
      </c>
      <c r="AK115"/>
      <c r="AL115"/>
    </row>
    <row r="116" spans="1:38" s="4" customFormat="1">
      <c r="A116" s="4" t="str">
        <f>A115</f>
        <v>MIN-RSVBIOAGR3</v>
      </c>
      <c r="B116" s="4" t="str">
        <f t="shared" ref="B116:B127" si="47">B115</f>
        <v>UPS Reserves of Biomass - Agricultural residues - Reserve - Supply curve step 3</v>
      </c>
      <c r="C116" s="4" t="str">
        <f t="shared" ref="C116:C127" si="48">C115</f>
        <v>RSVBIOAGR</v>
      </c>
      <c r="D116" s="4" t="str">
        <f t="shared" ref="D116:D127" si="49">D115</f>
        <v>ACT_BND</v>
      </c>
      <c r="E116" s="4" t="str">
        <f t="shared" ref="E116:E127" si="50">E115</f>
        <v>UP</v>
      </c>
      <c r="F116" s="4">
        <v>2020</v>
      </c>
      <c r="G116" s="456">
        <f>'Key input_Biomass_MAgPIE'!E111</f>
        <v>0</v>
      </c>
      <c r="H116" s="456">
        <f>'Key input_Biomass_MAgPIE'!F111</f>
        <v>0</v>
      </c>
      <c r="I116" s="456">
        <f>'Key input_Biomass_MAgPIE'!G111</f>
        <v>0</v>
      </c>
      <c r="J116" s="456">
        <f>'Key input_Biomass_MAgPIE'!H111</f>
        <v>0</v>
      </c>
      <c r="K116" s="456">
        <f>'Key input_Biomass_MAgPIE'!I111</f>
        <v>0</v>
      </c>
      <c r="L116" s="456">
        <f>'Key input_Biomass_MAgPIE'!J111</f>
        <v>0</v>
      </c>
      <c r="M116" s="456">
        <f>'Key input_Biomass_MAgPIE'!K111</f>
        <v>0</v>
      </c>
      <c r="N116" s="456">
        <f>'Key input_Biomass_MAgPIE'!L111</f>
        <v>0</v>
      </c>
      <c r="O116" s="456">
        <f>'Key input_Biomass_MAgPIE'!M111</f>
        <v>0</v>
      </c>
      <c r="P116" s="456">
        <f>'Key input_Biomass_MAgPIE'!N111</f>
        <v>0</v>
      </c>
      <c r="Q116" s="456">
        <f>'Key input_Biomass_MAgPIE'!O111</f>
        <v>0</v>
      </c>
      <c r="R116" s="456">
        <f>'Key input_Biomass_MAgPIE'!P111</f>
        <v>0</v>
      </c>
      <c r="S116" s="456">
        <f>'Key input_Biomass_MAgPIE'!Q111</f>
        <v>0</v>
      </c>
      <c r="T116" s="456">
        <f>'Key input_Biomass_MAgPIE'!R111</f>
        <v>0</v>
      </c>
      <c r="U116" s="456">
        <f>'Key input_Biomass_MAgPIE'!S111</f>
        <v>0</v>
      </c>
      <c r="V116" s="456">
        <f>'Key input_Biomass_MAgPIE'!T111</f>
        <v>0</v>
      </c>
      <c r="W116" s="456">
        <f>'Key input_Biomass_MAgPIE'!U111</f>
        <v>0</v>
      </c>
      <c r="X116" s="456">
        <f>'Key input_Biomass_MAgPIE'!V111</f>
        <v>0</v>
      </c>
      <c r="Y116" s="456">
        <f>'Key input_Biomass_MAgPIE'!W111</f>
        <v>0</v>
      </c>
      <c r="Z116" s="456">
        <f>'Key input_Biomass_MAgPIE'!X111</f>
        <v>0</v>
      </c>
      <c r="AA116" s="456">
        <f>'Key input_Biomass_MAgPIE'!Y111</f>
        <v>0</v>
      </c>
      <c r="AB116" s="456">
        <f>'Key input_Biomass_MAgPIE'!Z111</f>
        <v>0</v>
      </c>
      <c r="AC116" s="456">
        <f>'Key input_Biomass_MAgPIE'!AA111</f>
        <v>0</v>
      </c>
      <c r="AD116" s="456">
        <f>'Key input_Biomass_MAgPIE'!AB111</f>
        <v>0</v>
      </c>
      <c r="AE116" s="456">
        <f>'Key input_Biomass_MAgPIE'!AC111</f>
        <v>0</v>
      </c>
      <c r="AF116" s="456">
        <f>'Key input_Biomass_MAgPIE'!AD111</f>
        <v>0</v>
      </c>
      <c r="AG116" s="456">
        <f>'Key input_Biomass_MAgPIE'!AE111</f>
        <v>0</v>
      </c>
      <c r="AH116" s="456">
        <f>'Key input_Biomass_MAgPIE'!AF111</f>
        <v>0</v>
      </c>
      <c r="AK116"/>
      <c r="AL116"/>
    </row>
    <row r="117" spans="1:38" s="4" customFormat="1">
      <c r="A117" s="4" t="str">
        <f t="shared" ref="A117:A127" si="51">A116</f>
        <v>MIN-RSVBIOAGR3</v>
      </c>
      <c r="B117" s="4" t="str">
        <f t="shared" si="47"/>
        <v>UPS Reserves of Biomass - Agricultural residues - Reserve - Supply curve step 3</v>
      </c>
      <c r="C117" s="4" t="str">
        <f t="shared" si="48"/>
        <v>RSVBIOAGR</v>
      </c>
      <c r="D117" s="4" t="str">
        <f t="shared" si="49"/>
        <v>ACT_BND</v>
      </c>
      <c r="E117" s="4" t="str">
        <f t="shared" si="50"/>
        <v>UP</v>
      </c>
      <c r="F117" s="4">
        <v>2025</v>
      </c>
      <c r="G117" s="456">
        <f>'Key input_Biomass_MAgPIE'!E112</f>
        <v>0</v>
      </c>
      <c r="H117" s="456">
        <f>'Key input_Biomass_MAgPIE'!F112</f>
        <v>0</v>
      </c>
      <c r="I117" s="456">
        <f>'Key input_Biomass_MAgPIE'!G112</f>
        <v>0</v>
      </c>
      <c r="J117" s="456">
        <f>'Key input_Biomass_MAgPIE'!H112</f>
        <v>0</v>
      </c>
      <c r="K117" s="456">
        <f>'Key input_Biomass_MAgPIE'!I112</f>
        <v>0</v>
      </c>
      <c r="L117" s="456">
        <f>'Key input_Biomass_MAgPIE'!J112</f>
        <v>0</v>
      </c>
      <c r="M117" s="456">
        <f>'Key input_Biomass_MAgPIE'!K112</f>
        <v>0</v>
      </c>
      <c r="N117" s="456">
        <f>'Key input_Biomass_MAgPIE'!L112</f>
        <v>0</v>
      </c>
      <c r="O117" s="456">
        <f>'Key input_Biomass_MAgPIE'!M112</f>
        <v>0</v>
      </c>
      <c r="P117" s="456">
        <f>'Key input_Biomass_MAgPIE'!N112</f>
        <v>0</v>
      </c>
      <c r="Q117" s="456">
        <f>'Key input_Biomass_MAgPIE'!O112</f>
        <v>0</v>
      </c>
      <c r="R117" s="456">
        <f>'Key input_Biomass_MAgPIE'!P112</f>
        <v>0</v>
      </c>
      <c r="S117" s="456">
        <f>'Key input_Biomass_MAgPIE'!Q112</f>
        <v>0</v>
      </c>
      <c r="T117" s="456">
        <f>'Key input_Biomass_MAgPIE'!R112</f>
        <v>0</v>
      </c>
      <c r="U117" s="456">
        <f>'Key input_Biomass_MAgPIE'!S112</f>
        <v>0</v>
      </c>
      <c r="V117" s="456">
        <f>'Key input_Biomass_MAgPIE'!T112</f>
        <v>0</v>
      </c>
      <c r="W117" s="456">
        <f>'Key input_Biomass_MAgPIE'!U112</f>
        <v>0</v>
      </c>
      <c r="X117" s="456">
        <f>'Key input_Biomass_MAgPIE'!V112</f>
        <v>0</v>
      </c>
      <c r="Y117" s="456">
        <f>'Key input_Biomass_MAgPIE'!W112</f>
        <v>0</v>
      </c>
      <c r="Z117" s="456">
        <f>'Key input_Biomass_MAgPIE'!X112</f>
        <v>0</v>
      </c>
      <c r="AA117" s="456">
        <f>'Key input_Biomass_MAgPIE'!Y112</f>
        <v>0</v>
      </c>
      <c r="AB117" s="456">
        <f>'Key input_Biomass_MAgPIE'!Z112</f>
        <v>0</v>
      </c>
      <c r="AC117" s="456">
        <f>'Key input_Biomass_MAgPIE'!AA112</f>
        <v>0</v>
      </c>
      <c r="AD117" s="456">
        <f>'Key input_Biomass_MAgPIE'!AB112</f>
        <v>0</v>
      </c>
      <c r="AE117" s="456">
        <f>'Key input_Biomass_MAgPIE'!AC112</f>
        <v>0</v>
      </c>
      <c r="AF117" s="456">
        <f>'Key input_Biomass_MAgPIE'!AD112</f>
        <v>0</v>
      </c>
      <c r="AG117" s="456">
        <f>'Key input_Biomass_MAgPIE'!AE112</f>
        <v>0</v>
      </c>
      <c r="AH117" s="456">
        <f>'Key input_Biomass_MAgPIE'!AF112</f>
        <v>0</v>
      </c>
      <c r="AK117"/>
      <c r="AL117"/>
    </row>
    <row r="118" spans="1:38" s="4" customFormat="1">
      <c r="A118" s="4" t="str">
        <f t="shared" si="51"/>
        <v>MIN-RSVBIOAGR3</v>
      </c>
      <c r="B118" s="4" t="str">
        <f t="shared" si="47"/>
        <v>UPS Reserves of Biomass - Agricultural residues - Reserve - Supply curve step 3</v>
      </c>
      <c r="C118" s="4" t="str">
        <f t="shared" si="48"/>
        <v>RSVBIOAGR</v>
      </c>
      <c r="D118" s="4" t="str">
        <f t="shared" si="49"/>
        <v>ACT_BND</v>
      </c>
      <c r="E118" s="4" t="str">
        <f t="shared" si="50"/>
        <v>UP</v>
      </c>
      <c r="F118" s="4">
        <v>2030</v>
      </c>
      <c r="G118" s="456">
        <f>'Key input_Biomass_MAgPIE'!E113</f>
        <v>0</v>
      </c>
      <c r="H118" s="456">
        <f>'Key input_Biomass_MAgPIE'!F113</f>
        <v>0</v>
      </c>
      <c r="I118" s="456">
        <f>'Key input_Biomass_MAgPIE'!G113</f>
        <v>0</v>
      </c>
      <c r="J118" s="456">
        <f>'Key input_Biomass_MAgPIE'!H113</f>
        <v>0</v>
      </c>
      <c r="K118" s="456">
        <f>'Key input_Biomass_MAgPIE'!I113</f>
        <v>0</v>
      </c>
      <c r="L118" s="456">
        <f>'Key input_Biomass_MAgPIE'!J113</f>
        <v>0</v>
      </c>
      <c r="M118" s="456">
        <f>'Key input_Biomass_MAgPIE'!K113</f>
        <v>0</v>
      </c>
      <c r="N118" s="456">
        <f>'Key input_Biomass_MAgPIE'!L113</f>
        <v>0</v>
      </c>
      <c r="O118" s="456">
        <f>'Key input_Biomass_MAgPIE'!M113</f>
        <v>0</v>
      </c>
      <c r="P118" s="456">
        <f>'Key input_Biomass_MAgPIE'!N113</f>
        <v>0</v>
      </c>
      <c r="Q118" s="456">
        <f>'Key input_Biomass_MAgPIE'!O113</f>
        <v>0</v>
      </c>
      <c r="R118" s="456">
        <f>'Key input_Biomass_MAgPIE'!P113</f>
        <v>0</v>
      </c>
      <c r="S118" s="456">
        <f>'Key input_Biomass_MAgPIE'!Q113</f>
        <v>0</v>
      </c>
      <c r="T118" s="456">
        <f>'Key input_Biomass_MAgPIE'!R113</f>
        <v>0</v>
      </c>
      <c r="U118" s="456">
        <f>'Key input_Biomass_MAgPIE'!S113</f>
        <v>0</v>
      </c>
      <c r="V118" s="456">
        <f>'Key input_Biomass_MAgPIE'!T113</f>
        <v>0</v>
      </c>
      <c r="W118" s="456">
        <f>'Key input_Biomass_MAgPIE'!U113</f>
        <v>0</v>
      </c>
      <c r="X118" s="456">
        <f>'Key input_Biomass_MAgPIE'!V113</f>
        <v>0</v>
      </c>
      <c r="Y118" s="456">
        <f>'Key input_Biomass_MAgPIE'!W113</f>
        <v>0</v>
      </c>
      <c r="Z118" s="456">
        <f>'Key input_Biomass_MAgPIE'!X113</f>
        <v>0</v>
      </c>
      <c r="AA118" s="456">
        <f>'Key input_Biomass_MAgPIE'!Y113</f>
        <v>0</v>
      </c>
      <c r="AB118" s="456">
        <f>'Key input_Biomass_MAgPIE'!Z113</f>
        <v>0</v>
      </c>
      <c r="AC118" s="456">
        <f>'Key input_Biomass_MAgPIE'!AA113</f>
        <v>0</v>
      </c>
      <c r="AD118" s="456">
        <f>'Key input_Biomass_MAgPIE'!AB113</f>
        <v>0</v>
      </c>
      <c r="AE118" s="456">
        <f>'Key input_Biomass_MAgPIE'!AC113</f>
        <v>0</v>
      </c>
      <c r="AF118" s="456">
        <f>'Key input_Biomass_MAgPIE'!AD113</f>
        <v>0</v>
      </c>
      <c r="AG118" s="456">
        <f>'Key input_Biomass_MAgPIE'!AE113</f>
        <v>0</v>
      </c>
      <c r="AH118" s="456">
        <f>'Key input_Biomass_MAgPIE'!AF113</f>
        <v>0</v>
      </c>
      <c r="AK118"/>
      <c r="AL118"/>
    </row>
    <row r="119" spans="1:38" s="4" customFormat="1">
      <c r="A119" s="4" t="str">
        <f t="shared" si="51"/>
        <v>MIN-RSVBIOAGR3</v>
      </c>
      <c r="B119" s="4" t="str">
        <f t="shared" si="47"/>
        <v>UPS Reserves of Biomass - Agricultural residues - Reserve - Supply curve step 3</v>
      </c>
      <c r="C119" s="4" t="str">
        <f t="shared" si="48"/>
        <v>RSVBIOAGR</v>
      </c>
      <c r="D119" s="4" t="str">
        <f t="shared" si="49"/>
        <v>ACT_BND</v>
      </c>
      <c r="E119" s="4" t="str">
        <f t="shared" si="50"/>
        <v>UP</v>
      </c>
      <c r="F119" s="4">
        <v>2035</v>
      </c>
      <c r="G119" s="456">
        <f>'Key input_Biomass_MAgPIE'!E114</f>
        <v>0</v>
      </c>
      <c r="H119" s="456">
        <f>'Key input_Biomass_MAgPIE'!F114</f>
        <v>0</v>
      </c>
      <c r="I119" s="456">
        <f>'Key input_Biomass_MAgPIE'!G114</f>
        <v>0</v>
      </c>
      <c r="J119" s="456">
        <f>'Key input_Biomass_MAgPIE'!H114</f>
        <v>0</v>
      </c>
      <c r="K119" s="456">
        <f>'Key input_Biomass_MAgPIE'!I114</f>
        <v>0</v>
      </c>
      <c r="L119" s="456">
        <f>'Key input_Biomass_MAgPIE'!J114</f>
        <v>0</v>
      </c>
      <c r="M119" s="456">
        <f>'Key input_Biomass_MAgPIE'!K114</f>
        <v>0</v>
      </c>
      <c r="N119" s="456">
        <f>'Key input_Biomass_MAgPIE'!L114</f>
        <v>0</v>
      </c>
      <c r="O119" s="456">
        <f>'Key input_Biomass_MAgPIE'!M114</f>
        <v>0</v>
      </c>
      <c r="P119" s="456">
        <f>'Key input_Biomass_MAgPIE'!N114</f>
        <v>0</v>
      </c>
      <c r="Q119" s="456">
        <f>'Key input_Biomass_MAgPIE'!O114</f>
        <v>0</v>
      </c>
      <c r="R119" s="456">
        <f>'Key input_Biomass_MAgPIE'!P114</f>
        <v>0</v>
      </c>
      <c r="S119" s="456">
        <f>'Key input_Biomass_MAgPIE'!Q114</f>
        <v>0</v>
      </c>
      <c r="T119" s="456">
        <f>'Key input_Biomass_MAgPIE'!R114</f>
        <v>0</v>
      </c>
      <c r="U119" s="456">
        <f>'Key input_Biomass_MAgPIE'!S114</f>
        <v>0</v>
      </c>
      <c r="V119" s="456">
        <f>'Key input_Biomass_MAgPIE'!T114</f>
        <v>0</v>
      </c>
      <c r="W119" s="456">
        <f>'Key input_Biomass_MAgPIE'!U114</f>
        <v>0</v>
      </c>
      <c r="X119" s="456">
        <f>'Key input_Biomass_MAgPIE'!V114</f>
        <v>0</v>
      </c>
      <c r="Y119" s="456">
        <f>'Key input_Biomass_MAgPIE'!W114</f>
        <v>0</v>
      </c>
      <c r="Z119" s="456">
        <f>'Key input_Biomass_MAgPIE'!X114</f>
        <v>0</v>
      </c>
      <c r="AA119" s="456">
        <f>'Key input_Biomass_MAgPIE'!Y114</f>
        <v>0</v>
      </c>
      <c r="AB119" s="456">
        <f>'Key input_Biomass_MAgPIE'!Z114</f>
        <v>0</v>
      </c>
      <c r="AC119" s="456">
        <f>'Key input_Biomass_MAgPIE'!AA114</f>
        <v>0</v>
      </c>
      <c r="AD119" s="456">
        <f>'Key input_Biomass_MAgPIE'!AB114</f>
        <v>0</v>
      </c>
      <c r="AE119" s="456">
        <f>'Key input_Biomass_MAgPIE'!AC114</f>
        <v>0</v>
      </c>
      <c r="AF119" s="456">
        <f>'Key input_Biomass_MAgPIE'!AD114</f>
        <v>0</v>
      </c>
      <c r="AG119" s="456">
        <f>'Key input_Biomass_MAgPIE'!AE114</f>
        <v>0</v>
      </c>
      <c r="AH119" s="456">
        <f>'Key input_Biomass_MAgPIE'!AF114</f>
        <v>0</v>
      </c>
      <c r="AK119"/>
      <c r="AL119"/>
    </row>
    <row r="120" spans="1:38" s="4" customFormat="1">
      <c r="A120" s="4" t="str">
        <f t="shared" si="51"/>
        <v>MIN-RSVBIOAGR3</v>
      </c>
      <c r="B120" s="4" t="str">
        <f t="shared" si="47"/>
        <v>UPS Reserves of Biomass - Agricultural residues - Reserve - Supply curve step 3</v>
      </c>
      <c r="C120" s="4" t="str">
        <f t="shared" si="48"/>
        <v>RSVBIOAGR</v>
      </c>
      <c r="D120" s="4" t="str">
        <f t="shared" si="49"/>
        <v>ACT_BND</v>
      </c>
      <c r="E120" s="4" t="str">
        <f t="shared" si="50"/>
        <v>UP</v>
      </c>
      <c r="F120" s="4">
        <v>2040</v>
      </c>
      <c r="G120" s="456">
        <f>'Key input_Biomass_MAgPIE'!E115</f>
        <v>0</v>
      </c>
      <c r="H120" s="456">
        <f>'Key input_Biomass_MAgPIE'!F115</f>
        <v>0</v>
      </c>
      <c r="I120" s="456">
        <f>'Key input_Biomass_MAgPIE'!G115</f>
        <v>0</v>
      </c>
      <c r="J120" s="456">
        <f>'Key input_Biomass_MAgPIE'!H115</f>
        <v>0</v>
      </c>
      <c r="K120" s="456">
        <f>'Key input_Biomass_MAgPIE'!I115</f>
        <v>0</v>
      </c>
      <c r="L120" s="456">
        <f>'Key input_Biomass_MAgPIE'!J115</f>
        <v>0</v>
      </c>
      <c r="M120" s="456">
        <f>'Key input_Biomass_MAgPIE'!K115</f>
        <v>0</v>
      </c>
      <c r="N120" s="456">
        <f>'Key input_Biomass_MAgPIE'!L115</f>
        <v>0</v>
      </c>
      <c r="O120" s="456">
        <f>'Key input_Biomass_MAgPIE'!M115</f>
        <v>0</v>
      </c>
      <c r="P120" s="456">
        <f>'Key input_Biomass_MAgPIE'!N115</f>
        <v>0</v>
      </c>
      <c r="Q120" s="456">
        <f>'Key input_Biomass_MAgPIE'!O115</f>
        <v>0</v>
      </c>
      <c r="R120" s="456">
        <f>'Key input_Biomass_MAgPIE'!P115</f>
        <v>0</v>
      </c>
      <c r="S120" s="456">
        <f>'Key input_Biomass_MAgPIE'!Q115</f>
        <v>0</v>
      </c>
      <c r="T120" s="456">
        <f>'Key input_Biomass_MAgPIE'!R115</f>
        <v>0</v>
      </c>
      <c r="U120" s="456">
        <f>'Key input_Biomass_MAgPIE'!S115</f>
        <v>0</v>
      </c>
      <c r="V120" s="456">
        <f>'Key input_Biomass_MAgPIE'!T115</f>
        <v>0</v>
      </c>
      <c r="W120" s="456">
        <f>'Key input_Biomass_MAgPIE'!U115</f>
        <v>0</v>
      </c>
      <c r="X120" s="456">
        <f>'Key input_Biomass_MAgPIE'!V115</f>
        <v>0</v>
      </c>
      <c r="Y120" s="456">
        <f>'Key input_Biomass_MAgPIE'!W115</f>
        <v>0</v>
      </c>
      <c r="Z120" s="456">
        <f>'Key input_Biomass_MAgPIE'!X115</f>
        <v>0</v>
      </c>
      <c r="AA120" s="456">
        <f>'Key input_Biomass_MAgPIE'!Y115</f>
        <v>0</v>
      </c>
      <c r="AB120" s="456">
        <f>'Key input_Biomass_MAgPIE'!Z115</f>
        <v>0</v>
      </c>
      <c r="AC120" s="456">
        <f>'Key input_Biomass_MAgPIE'!AA115</f>
        <v>0</v>
      </c>
      <c r="AD120" s="456">
        <f>'Key input_Biomass_MAgPIE'!AB115</f>
        <v>0</v>
      </c>
      <c r="AE120" s="456">
        <f>'Key input_Biomass_MAgPIE'!AC115</f>
        <v>0</v>
      </c>
      <c r="AF120" s="456">
        <f>'Key input_Biomass_MAgPIE'!AD115</f>
        <v>0</v>
      </c>
      <c r="AG120" s="456">
        <f>'Key input_Biomass_MAgPIE'!AE115</f>
        <v>0</v>
      </c>
      <c r="AH120" s="456">
        <f>'Key input_Biomass_MAgPIE'!AF115</f>
        <v>0</v>
      </c>
      <c r="AK120"/>
      <c r="AL120"/>
    </row>
    <row r="121" spans="1:38" s="4" customFormat="1">
      <c r="A121" s="4" t="str">
        <f t="shared" si="51"/>
        <v>MIN-RSVBIOAGR3</v>
      </c>
      <c r="B121" s="4" t="str">
        <f t="shared" si="47"/>
        <v>UPS Reserves of Biomass - Agricultural residues - Reserve - Supply curve step 3</v>
      </c>
      <c r="C121" s="4" t="str">
        <f t="shared" si="48"/>
        <v>RSVBIOAGR</v>
      </c>
      <c r="D121" s="4" t="str">
        <f t="shared" si="49"/>
        <v>ACT_BND</v>
      </c>
      <c r="E121" s="4" t="str">
        <f t="shared" si="50"/>
        <v>UP</v>
      </c>
      <c r="F121" s="4">
        <v>2045</v>
      </c>
      <c r="G121" s="456">
        <f>'Key input_Biomass_MAgPIE'!E116</f>
        <v>0</v>
      </c>
      <c r="H121" s="456">
        <f>'Key input_Biomass_MAgPIE'!F116</f>
        <v>0</v>
      </c>
      <c r="I121" s="456">
        <f>'Key input_Biomass_MAgPIE'!G116</f>
        <v>0</v>
      </c>
      <c r="J121" s="456">
        <f>'Key input_Biomass_MAgPIE'!H116</f>
        <v>0</v>
      </c>
      <c r="K121" s="456">
        <f>'Key input_Biomass_MAgPIE'!I116</f>
        <v>0</v>
      </c>
      <c r="L121" s="456">
        <f>'Key input_Biomass_MAgPIE'!J116</f>
        <v>0</v>
      </c>
      <c r="M121" s="456">
        <f>'Key input_Biomass_MAgPIE'!K116</f>
        <v>0</v>
      </c>
      <c r="N121" s="456">
        <f>'Key input_Biomass_MAgPIE'!L116</f>
        <v>0</v>
      </c>
      <c r="O121" s="456">
        <f>'Key input_Biomass_MAgPIE'!M116</f>
        <v>0</v>
      </c>
      <c r="P121" s="456">
        <f>'Key input_Biomass_MAgPIE'!N116</f>
        <v>0</v>
      </c>
      <c r="Q121" s="456">
        <f>'Key input_Biomass_MAgPIE'!O116</f>
        <v>0</v>
      </c>
      <c r="R121" s="456">
        <f>'Key input_Biomass_MAgPIE'!P116</f>
        <v>0</v>
      </c>
      <c r="S121" s="456">
        <f>'Key input_Biomass_MAgPIE'!Q116</f>
        <v>0</v>
      </c>
      <c r="T121" s="456">
        <f>'Key input_Biomass_MAgPIE'!R116</f>
        <v>0</v>
      </c>
      <c r="U121" s="456">
        <f>'Key input_Biomass_MAgPIE'!S116</f>
        <v>0</v>
      </c>
      <c r="V121" s="456">
        <f>'Key input_Biomass_MAgPIE'!T116</f>
        <v>0</v>
      </c>
      <c r="W121" s="456">
        <f>'Key input_Biomass_MAgPIE'!U116</f>
        <v>0</v>
      </c>
      <c r="X121" s="456">
        <f>'Key input_Biomass_MAgPIE'!V116</f>
        <v>0</v>
      </c>
      <c r="Y121" s="456">
        <f>'Key input_Biomass_MAgPIE'!W116</f>
        <v>0</v>
      </c>
      <c r="Z121" s="456">
        <f>'Key input_Biomass_MAgPIE'!X116</f>
        <v>0</v>
      </c>
      <c r="AA121" s="456">
        <f>'Key input_Biomass_MAgPIE'!Y116</f>
        <v>0</v>
      </c>
      <c r="AB121" s="456">
        <f>'Key input_Biomass_MAgPIE'!Z116</f>
        <v>0</v>
      </c>
      <c r="AC121" s="456">
        <f>'Key input_Biomass_MAgPIE'!AA116</f>
        <v>0</v>
      </c>
      <c r="AD121" s="456">
        <f>'Key input_Biomass_MAgPIE'!AB116</f>
        <v>0</v>
      </c>
      <c r="AE121" s="456">
        <f>'Key input_Biomass_MAgPIE'!AC116</f>
        <v>0</v>
      </c>
      <c r="AF121" s="456">
        <f>'Key input_Biomass_MAgPIE'!AD116</f>
        <v>0</v>
      </c>
      <c r="AG121" s="456">
        <f>'Key input_Biomass_MAgPIE'!AE116</f>
        <v>0</v>
      </c>
      <c r="AH121" s="456">
        <f>'Key input_Biomass_MAgPIE'!AF116</f>
        <v>0</v>
      </c>
      <c r="AK121"/>
      <c r="AL121"/>
    </row>
    <row r="122" spans="1:38" s="4" customFormat="1">
      <c r="A122" s="4" t="str">
        <f t="shared" si="51"/>
        <v>MIN-RSVBIOAGR3</v>
      </c>
      <c r="B122" s="4" t="str">
        <f t="shared" si="47"/>
        <v>UPS Reserves of Biomass - Agricultural residues - Reserve - Supply curve step 3</v>
      </c>
      <c r="C122" s="4" t="str">
        <f t="shared" si="48"/>
        <v>RSVBIOAGR</v>
      </c>
      <c r="D122" s="4" t="str">
        <f t="shared" si="49"/>
        <v>ACT_BND</v>
      </c>
      <c r="E122" s="4" t="str">
        <f t="shared" si="50"/>
        <v>UP</v>
      </c>
      <c r="F122" s="4">
        <v>2050</v>
      </c>
      <c r="G122" s="456">
        <f>'Key input_Biomass_MAgPIE'!E117</f>
        <v>0</v>
      </c>
      <c r="H122" s="456">
        <f>'Key input_Biomass_MAgPIE'!F117</f>
        <v>0</v>
      </c>
      <c r="I122" s="456">
        <f>'Key input_Biomass_MAgPIE'!G117</f>
        <v>0</v>
      </c>
      <c r="J122" s="456">
        <f>'Key input_Biomass_MAgPIE'!H117</f>
        <v>0</v>
      </c>
      <c r="K122" s="456">
        <f>'Key input_Biomass_MAgPIE'!I117</f>
        <v>0</v>
      </c>
      <c r="L122" s="456">
        <f>'Key input_Biomass_MAgPIE'!J117</f>
        <v>0</v>
      </c>
      <c r="M122" s="456">
        <f>'Key input_Biomass_MAgPIE'!K117</f>
        <v>0</v>
      </c>
      <c r="N122" s="456">
        <f>'Key input_Biomass_MAgPIE'!L117</f>
        <v>0</v>
      </c>
      <c r="O122" s="456">
        <f>'Key input_Biomass_MAgPIE'!M117</f>
        <v>0</v>
      </c>
      <c r="P122" s="456">
        <f>'Key input_Biomass_MAgPIE'!N117</f>
        <v>0</v>
      </c>
      <c r="Q122" s="456">
        <f>'Key input_Biomass_MAgPIE'!O117</f>
        <v>0</v>
      </c>
      <c r="R122" s="456">
        <f>'Key input_Biomass_MAgPIE'!P117</f>
        <v>0</v>
      </c>
      <c r="S122" s="456">
        <f>'Key input_Biomass_MAgPIE'!Q117</f>
        <v>0</v>
      </c>
      <c r="T122" s="456">
        <f>'Key input_Biomass_MAgPIE'!R117</f>
        <v>0</v>
      </c>
      <c r="U122" s="456">
        <f>'Key input_Biomass_MAgPIE'!S117</f>
        <v>0</v>
      </c>
      <c r="V122" s="456">
        <f>'Key input_Biomass_MAgPIE'!T117</f>
        <v>0</v>
      </c>
      <c r="W122" s="456">
        <f>'Key input_Biomass_MAgPIE'!U117</f>
        <v>0</v>
      </c>
      <c r="X122" s="456">
        <f>'Key input_Biomass_MAgPIE'!V117</f>
        <v>0</v>
      </c>
      <c r="Y122" s="456">
        <f>'Key input_Biomass_MAgPIE'!W117</f>
        <v>0</v>
      </c>
      <c r="Z122" s="456">
        <f>'Key input_Biomass_MAgPIE'!X117</f>
        <v>0</v>
      </c>
      <c r="AA122" s="456">
        <f>'Key input_Biomass_MAgPIE'!Y117</f>
        <v>0</v>
      </c>
      <c r="AB122" s="456">
        <f>'Key input_Biomass_MAgPIE'!Z117</f>
        <v>0</v>
      </c>
      <c r="AC122" s="456">
        <f>'Key input_Biomass_MAgPIE'!AA117</f>
        <v>0</v>
      </c>
      <c r="AD122" s="456">
        <f>'Key input_Biomass_MAgPIE'!AB117</f>
        <v>0</v>
      </c>
      <c r="AE122" s="456">
        <f>'Key input_Biomass_MAgPIE'!AC117</f>
        <v>0</v>
      </c>
      <c r="AF122" s="456">
        <f>'Key input_Biomass_MAgPIE'!AD117</f>
        <v>0</v>
      </c>
      <c r="AG122" s="456">
        <f>'Key input_Biomass_MAgPIE'!AE117</f>
        <v>0</v>
      </c>
      <c r="AH122" s="456">
        <f>'Key input_Biomass_MAgPIE'!AF117</f>
        <v>0</v>
      </c>
      <c r="AK122"/>
      <c r="AL122"/>
    </row>
    <row r="123" spans="1:38" s="4" customFormat="1">
      <c r="A123" s="4" t="str">
        <f t="shared" si="51"/>
        <v>MIN-RSVBIOAGR3</v>
      </c>
      <c r="B123" s="4" t="str">
        <f t="shared" si="47"/>
        <v>UPS Reserves of Biomass - Agricultural residues - Reserve - Supply curve step 3</v>
      </c>
      <c r="C123" s="4" t="str">
        <f t="shared" si="48"/>
        <v>RSVBIOAGR</v>
      </c>
      <c r="D123" s="4" t="str">
        <f t="shared" si="49"/>
        <v>ACT_BND</v>
      </c>
      <c r="E123" s="4" t="str">
        <f t="shared" si="50"/>
        <v>UP</v>
      </c>
      <c r="F123" s="4">
        <v>2060</v>
      </c>
      <c r="G123" s="456">
        <f>'Key input_Biomass_MAgPIE'!E118</f>
        <v>0</v>
      </c>
      <c r="H123" s="456">
        <f>'Key input_Biomass_MAgPIE'!F118</f>
        <v>0</v>
      </c>
      <c r="I123" s="456">
        <f>'Key input_Biomass_MAgPIE'!G118</f>
        <v>0</v>
      </c>
      <c r="J123" s="456">
        <f>'Key input_Biomass_MAgPIE'!H118</f>
        <v>0</v>
      </c>
      <c r="K123" s="456">
        <f>'Key input_Biomass_MAgPIE'!I118</f>
        <v>0</v>
      </c>
      <c r="L123" s="456">
        <f>'Key input_Biomass_MAgPIE'!J118</f>
        <v>0</v>
      </c>
      <c r="M123" s="456">
        <f>'Key input_Biomass_MAgPIE'!K118</f>
        <v>0</v>
      </c>
      <c r="N123" s="456">
        <f>'Key input_Biomass_MAgPIE'!L118</f>
        <v>0</v>
      </c>
      <c r="O123" s="456">
        <f>'Key input_Biomass_MAgPIE'!M118</f>
        <v>0</v>
      </c>
      <c r="P123" s="456">
        <f>'Key input_Biomass_MAgPIE'!N118</f>
        <v>0</v>
      </c>
      <c r="Q123" s="456">
        <f>'Key input_Biomass_MAgPIE'!O118</f>
        <v>0</v>
      </c>
      <c r="R123" s="456">
        <f>'Key input_Biomass_MAgPIE'!P118</f>
        <v>0</v>
      </c>
      <c r="S123" s="456">
        <f>'Key input_Biomass_MAgPIE'!Q118</f>
        <v>0</v>
      </c>
      <c r="T123" s="456">
        <f>'Key input_Biomass_MAgPIE'!R118</f>
        <v>0</v>
      </c>
      <c r="U123" s="456">
        <f>'Key input_Biomass_MAgPIE'!S118</f>
        <v>0</v>
      </c>
      <c r="V123" s="456">
        <f>'Key input_Biomass_MAgPIE'!T118</f>
        <v>0</v>
      </c>
      <c r="W123" s="456">
        <f>'Key input_Biomass_MAgPIE'!U118</f>
        <v>0</v>
      </c>
      <c r="X123" s="456">
        <f>'Key input_Biomass_MAgPIE'!V118</f>
        <v>0</v>
      </c>
      <c r="Y123" s="456">
        <f>'Key input_Biomass_MAgPIE'!W118</f>
        <v>0</v>
      </c>
      <c r="Z123" s="456">
        <f>'Key input_Biomass_MAgPIE'!X118</f>
        <v>0</v>
      </c>
      <c r="AA123" s="456">
        <f>'Key input_Biomass_MAgPIE'!Y118</f>
        <v>0</v>
      </c>
      <c r="AB123" s="456">
        <f>'Key input_Biomass_MAgPIE'!Z118</f>
        <v>0</v>
      </c>
      <c r="AC123" s="456">
        <f>'Key input_Biomass_MAgPIE'!AA118</f>
        <v>0</v>
      </c>
      <c r="AD123" s="456">
        <f>'Key input_Biomass_MAgPIE'!AB118</f>
        <v>0</v>
      </c>
      <c r="AE123" s="456">
        <f>'Key input_Biomass_MAgPIE'!AC118</f>
        <v>0</v>
      </c>
      <c r="AF123" s="456">
        <f>'Key input_Biomass_MAgPIE'!AD118</f>
        <v>0</v>
      </c>
      <c r="AG123" s="456">
        <f>'Key input_Biomass_MAgPIE'!AE118</f>
        <v>0</v>
      </c>
      <c r="AH123" s="456">
        <f>'Key input_Biomass_MAgPIE'!AF118</f>
        <v>0</v>
      </c>
      <c r="AK123"/>
      <c r="AL123"/>
    </row>
    <row r="124" spans="1:38" s="4" customFormat="1">
      <c r="A124" s="4" t="str">
        <f t="shared" si="51"/>
        <v>MIN-RSVBIOAGR3</v>
      </c>
      <c r="B124" s="4" t="str">
        <f t="shared" si="47"/>
        <v>UPS Reserves of Biomass - Agricultural residues - Reserve - Supply curve step 3</v>
      </c>
      <c r="C124" s="4" t="str">
        <f t="shared" si="48"/>
        <v>RSVBIOAGR</v>
      </c>
      <c r="D124" s="4" t="str">
        <f t="shared" si="49"/>
        <v>ACT_BND</v>
      </c>
      <c r="E124" s="4" t="str">
        <f t="shared" si="50"/>
        <v>UP</v>
      </c>
      <c r="F124" s="4">
        <v>2070</v>
      </c>
      <c r="G124" s="456">
        <f>'Key input_Biomass_MAgPIE'!E119</f>
        <v>0</v>
      </c>
      <c r="H124" s="456">
        <f>'Key input_Biomass_MAgPIE'!F119</f>
        <v>0</v>
      </c>
      <c r="I124" s="456">
        <f>'Key input_Biomass_MAgPIE'!G119</f>
        <v>0</v>
      </c>
      <c r="J124" s="456">
        <f>'Key input_Biomass_MAgPIE'!H119</f>
        <v>0</v>
      </c>
      <c r="K124" s="456">
        <f>'Key input_Biomass_MAgPIE'!I119</f>
        <v>0</v>
      </c>
      <c r="L124" s="456">
        <f>'Key input_Biomass_MAgPIE'!J119</f>
        <v>0</v>
      </c>
      <c r="M124" s="456">
        <f>'Key input_Biomass_MAgPIE'!K119</f>
        <v>0</v>
      </c>
      <c r="N124" s="456">
        <f>'Key input_Biomass_MAgPIE'!L119</f>
        <v>0</v>
      </c>
      <c r="O124" s="456">
        <f>'Key input_Biomass_MAgPIE'!M119</f>
        <v>0</v>
      </c>
      <c r="P124" s="456">
        <f>'Key input_Biomass_MAgPIE'!N119</f>
        <v>0</v>
      </c>
      <c r="Q124" s="456">
        <f>'Key input_Biomass_MAgPIE'!O119</f>
        <v>0</v>
      </c>
      <c r="R124" s="456">
        <f>'Key input_Biomass_MAgPIE'!P119</f>
        <v>0</v>
      </c>
      <c r="S124" s="456">
        <f>'Key input_Biomass_MAgPIE'!Q119</f>
        <v>0</v>
      </c>
      <c r="T124" s="456">
        <f>'Key input_Biomass_MAgPIE'!R119</f>
        <v>0</v>
      </c>
      <c r="U124" s="456">
        <f>'Key input_Biomass_MAgPIE'!S119</f>
        <v>0</v>
      </c>
      <c r="V124" s="456">
        <f>'Key input_Biomass_MAgPIE'!T119</f>
        <v>0</v>
      </c>
      <c r="W124" s="456">
        <f>'Key input_Biomass_MAgPIE'!U119</f>
        <v>0</v>
      </c>
      <c r="X124" s="456">
        <f>'Key input_Biomass_MAgPIE'!V119</f>
        <v>0</v>
      </c>
      <c r="Y124" s="456">
        <f>'Key input_Biomass_MAgPIE'!W119</f>
        <v>0</v>
      </c>
      <c r="Z124" s="456">
        <f>'Key input_Biomass_MAgPIE'!X119</f>
        <v>0</v>
      </c>
      <c r="AA124" s="456">
        <f>'Key input_Biomass_MAgPIE'!Y119</f>
        <v>0</v>
      </c>
      <c r="AB124" s="456">
        <f>'Key input_Biomass_MAgPIE'!Z119</f>
        <v>0</v>
      </c>
      <c r="AC124" s="456">
        <f>'Key input_Biomass_MAgPIE'!AA119</f>
        <v>0</v>
      </c>
      <c r="AD124" s="456">
        <f>'Key input_Biomass_MAgPIE'!AB119</f>
        <v>0</v>
      </c>
      <c r="AE124" s="456">
        <f>'Key input_Biomass_MAgPIE'!AC119</f>
        <v>0</v>
      </c>
      <c r="AF124" s="456">
        <f>'Key input_Biomass_MAgPIE'!AD119</f>
        <v>0</v>
      </c>
      <c r="AG124" s="456">
        <f>'Key input_Biomass_MAgPIE'!AE119</f>
        <v>0</v>
      </c>
      <c r="AH124" s="456">
        <f>'Key input_Biomass_MAgPIE'!AF119</f>
        <v>0</v>
      </c>
      <c r="AK124"/>
      <c r="AL124"/>
    </row>
    <row r="125" spans="1:38" s="4" customFormat="1">
      <c r="A125" s="4" t="str">
        <f t="shared" si="51"/>
        <v>MIN-RSVBIOAGR3</v>
      </c>
      <c r="B125" s="4" t="str">
        <f t="shared" si="47"/>
        <v>UPS Reserves of Biomass - Agricultural residues - Reserve - Supply curve step 3</v>
      </c>
      <c r="C125" s="4" t="str">
        <f t="shared" si="48"/>
        <v>RSVBIOAGR</v>
      </c>
      <c r="D125" s="4" t="str">
        <f t="shared" si="49"/>
        <v>ACT_BND</v>
      </c>
      <c r="E125" s="4" t="str">
        <f t="shared" si="50"/>
        <v>UP</v>
      </c>
      <c r="F125" s="4">
        <v>2080</v>
      </c>
      <c r="G125" s="456">
        <f>'Key input_Biomass_MAgPIE'!E120</f>
        <v>0</v>
      </c>
      <c r="H125" s="456">
        <f>'Key input_Biomass_MAgPIE'!F120</f>
        <v>0</v>
      </c>
      <c r="I125" s="456">
        <f>'Key input_Biomass_MAgPIE'!G120</f>
        <v>0</v>
      </c>
      <c r="J125" s="456">
        <f>'Key input_Biomass_MAgPIE'!H120</f>
        <v>0</v>
      </c>
      <c r="K125" s="456">
        <f>'Key input_Biomass_MAgPIE'!I120</f>
        <v>0</v>
      </c>
      <c r="L125" s="456">
        <f>'Key input_Biomass_MAgPIE'!J120</f>
        <v>0</v>
      </c>
      <c r="M125" s="456">
        <f>'Key input_Biomass_MAgPIE'!K120</f>
        <v>0</v>
      </c>
      <c r="N125" s="456">
        <f>'Key input_Biomass_MAgPIE'!L120</f>
        <v>0</v>
      </c>
      <c r="O125" s="456">
        <f>'Key input_Biomass_MAgPIE'!M120</f>
        <v>0</v>
      </c>
      <c r="P125" s="456">
        <f>'Key input_Biomass_MAgPIE'!N120</f>
        <v>0</v>
      </c>
      <c r="Q125" s="456">
        <f>'Key input_Biomass_MAgPIE'!O120</f>
        <v>0</v>
      </c>
      <c r="R125" s="456">
        <f>'Key input_Biomass_MAgPIE'!P120</f>
        <v>0</v>
      </c>
      <c r="S125" s="456">
        <f>'Key input_Biomass_MAgPIE'!Q120</f>
        <v>0</v>
      </c>
      <c r="T125" s="456">
        <f>'Key input_Biomass_MAgPIE'!R120</f>
        <v>0</v>
      </c>
      <c r="U125" s="456">
        <f>'Key input_Biomass_MAgPIE'!S120</f>
        <v>0</v>
      </c>
      <c r="V125" s="456">
        <f>'Key input_Biomass_MAgPIE'!T120</f>
        <v>0</v>
      </c>
      <c r="W125" s="456">
        <f>'Key input_Biomass_MAgPIE'!U120</f>
        <v>0</v>
      </c>
      <c r="X125" s="456">
        <f>'Key input_Biomass_MAgPIE'!V120</f>
        <v>0</v>
      </c>
      <c r="Y125" s="456">
        <f>'Key input_Biomass_MAgPIE'!W120</f>
        <v>0</v>
      </c>
      <c r="Z125" s="456">
        <f>'Key input_Biomass_MAgPIE'!X120</f>
        <v>0</v>
      </c>
      <c r="AA125" s="456">
        <f>'Key input_Biomass_MAgPIE'!Y120</f>
        <v>0</v>
      </c>
      <c r="AB125" s="456">
        <f>'Key input_Biomass_MAgPIE'!Z120</f>
        <v>0</v>
      </c>
      <c r="AC125" s="456">
        <f>'Key input_Biomass_MAgPIE'!AA120</f>
        <v>0</v>
      </c>
      <c r="AD125" s="456">
        <f>'Key input_Biomass_MAgPIE'!AB120</f>
        <v>0</v>
      </c>
      <c r="AE125" s="456">
        <f>'Key input_Biomass_MAgPIE'!AC120</f>
        <v>0</v>
      </c>
      <c r="AF125" s="456">
        <f>'Key input_Biomass_MAgPIE'!AD120</f>
        <v>0</v>
      </c>
      <c r="AG125" s="456">
        <f>'Key input_Biomass_MAgPIE'!AE120</f>
        <v>0</v>
      </c>
      <c r="AH125" s="456">
        <f>'Key input_Biomass_MAgPIE'!AF120</f>
        <v>0</v>
      </c>
      <c r="AK125"/>
      <c r="AL125"/>
    </row>
    <row r="126" spans="1:38" s="4" customFormat="1">
      <c r="A126" s="4" t="str">
        <f t="shared" si="51"/>
        <v>MIN-RSVBIOAGR3</v>
      </c>
      <c r="B126" s="4" t="str">
        <f t="shared" si="47"/>
        <v>UPS Reserves of Biomass - Agricultural residues - Reserve - Supply curve step 3</v>
      </c>
      <c r="C126" s="4" t="str">
        <f t="shared" si="48"/>
        <v>RSVBIOAGR</v>
      </c>
      <c r="D126" s="4" t="str">
        <f t="shared" si="49"/>
        <v>ACT_BND</v>
      </c>
      <c r="E126" s="4" t="str">
        <f t="shared" si="50"/>
        <v>UP</v>
      </c>
      <c r="F126" s="4">
        <v>2090</v>
      </c>
      <c r="G126" s="456">
        <f>'Key input_Biomass_MAgPIE'!E121</f>
        <v>0</v>
      </c>
      <c r="H126" s="456">
        <f>'Key input_Biomass_MAgPIE'!F121</f>
        <v>0</v>
      </c>
      <c r="I126" s="456">
        <f>'Key input_Biomass_MAgPIE'!G121</f>
        <v>0</v>
      </c>
      <c r="J126" s="456">
        <f>'Key input_Biomass_MAgPIE'!H121</f>
        <v>0</v>
      </c>
      <c r="K126" s="456">
        <f>'Key input_Biomass_MAgPIE'!I121</f>
        <v>0</v>
      </c>
      <c r="L126" s="456">
        <f>'Key input_Biomass_MAgPIE'!J121</f>
        <v>0</v>
      </c>
      <c r="M126" s="456">
        <f>'Key input_Biomass_MAgPIE'!K121</f>
        <v>0</v>
      </c>
      <c r="N126" s="456">
        <f>'Key input_Biomass_MAgPIE'!L121</f>
        <v>0</v>
      </c>
      <c r="O126" s="456">
        <f>'Key input_Biomass_MAgPIE'!M121</f>
        <v>0</v>
      </c>
      <c r="P126" s="456">
        <f>'Key input_Biomass_MAgPIE'!N121</f>
        <v>0</v>
      </c>
      <c r="Q126" s="456">
        <f>'Key input_Biomass_MAgPIE'!O121</f>
        <v>0</v>
      </c>
      <c r="R126" s="456">
        <f>'Key input_Biomass_MAgPIE'!P121</f>
        <v>0</v>
      </c>
      <c r="S126" s="456">
        <f>'Key input_Biomass_MAgPIE'!Q121</f>
        <v>0</v>
      </c>
      <c r="T126" s="456">
        <f>'Key input_Biomass_MAgPIE'!R121</f>
        <v>0</v>
      </c>
      <c r="U126" s="456">
        <f>'Key input_Biomass_MAgPIE'!S121</f>
        <v>0</v>
      </c>
      <c r="V126" s="456">
        <f>'Key input_Biomass_MAgPIE'!T121</f>
        <v>0</v>
      </c>
      <c r="W126" s="456">
        <f>'Key input_Biomass_MAgPIE'!U121</f>
        <v>0</v>
      </c>
      <c r="X126" s="456">
        <f>'Key input_Biomass_MAgPIE'!V121</f>
        <v>0</v>
      </c>
      <c r="Y126" s="456">
        <f>'Key input_Biomass_MAgPIE'!W121</f>
        <v>0</v>
      </c>
      <c r="Z126" s="456">
        <f>'Key input_Biomass_MAgPIE'!X121</f>
        <v>0</v>
      </c>
      <c r="AA126" s="456">
        <f>'Key input_Biomass_MAgPIE'!Y121</f>
        <v>0</v>
      </c>
      <c r="AB126" s="456">
        <f>'Key input_Biomass_MAgPIE'!Z121</f>
        <v>0</v>
      </c>
      <c r="AC126" s="456">
        <f>'Key input_Biomass_MAgPIE'!AA121</f>
        <v>0</v>
      </c>
      <c r="AD126" s="456">
        <f>'Key input_Biomass_MAgPIE'!AB121</f>
        <v>0</v>
      </c>
      <c r="AE126" s="456">
        <f>'Key input_Biomass_MAgPIE'!AC121</f>
        <v>0</v>
      </c>
      <c r="AF126" s="456">
        <f>'Key input_Biomass_MAgPIE'!AD121</f>
        <v>0</v>
      </c>
      <c r="AG126" s="456">
        <f>'Key input_Biomass_MAgPIE'!AE121</f>
        <v>0</v>
      </c>
      <c r="AH126" s="456">
        <f>'Key input_Biomass_MAgPIE'!AF121</f>
        <v>0</v>
      </c>
      <c r="AK126"/>
      <c r="AL126"/>
    </row>
    <row r="127" spans="1:38" s="4" customFormat="1" ht="16.2" thickBot="1">
      <c r="A127" s="454" t="str">
        <f t="shared" si="51"/>
        <v>MIN-RSVBIOAGR3</v>
      </c>
      <c r="B127" s="454" t="str">
        <f t="shared" si="47"/>
        <v>UPS Reserves of Biomass - Agricultural residues - Reserve - Supply curve step 3</v>
      </c>
      <c r="C127" s="454" t="str">
        <f t="shared" si="48"/>
        <v>RSVBIOAGR</v>
      </c>
      <c r="D127" s="454" t="str">
        <f t="shared" si="49"/>
        <v>ACT_BND</v>
      </c>
      <c r="E127" s="454" t="str">
        <f t="shared" si="50"/>
        <v>UP</v>
      </c>
      <c r="F127" s="454">
        <v>2100</v>
      </c>
      <c r="G127" s="455">
        <f>'Key input_Biomass_MAgPIE'!E122</f>
        <v>0</v>
      </c>
      <c r="H127" s="455">
        <f>'Key input_Biomass_MAgPIE'!F122</f>
        <v>0</v>
      </c>
      <c r="I127" s="455">
        <f>'Key input_Biomass_MAgPIE'!G122</f>
        <v>0</v>
      </c>
      <c r="J127" s="455">
        <f>'Key input_Biomass_MAgPIE'!H122</f>
        <v>0</v>
      </c>
      <c r="K127" s="455">
        <f>'Key input_Biomass_MAgPIE'!I122</f>
        <v>0</v>
      </c>
      <c r="L127" s="455">
        <f>'Key input_Biomass_MAgPIE'!J122</f>
        <v>0</v>
      </c>
      <c r="M127" s="455">
        <f>'Key input_Biomass_MAgPIE'!K122</f>
        <v>0</v>
      </c>
      <c r="N127" s="455">
        <f>'Key input_Biomass_MAgPIE'!L122</f>
        <v>0</v>
      </c>
      <c r="O127" s="455">
        <f>'Key input_Biomass_MAgPIE'!M122</f>
        <v>0</v>
      </c>
      <c r="P127" s="455">
        <f>'Key input_Biomass_MAgPIE'!N122</f>
        <v>0</v>
      </c>
      <c r="Q127" s="455">
        <f>'Key input_Biomass_MAgPIE'!O122</f>
        <v>0</v>
      </c>
      <c r="R127" s="455">
        <f>'Key input_Biomass_MAgPIE'!P122</f>
        <v>0</v>
      </c>
      <c r="S127" s="455">
        <f>'Key input_Biomass_MAgPIE'!Q122</f>
        <v>0</v>
      </c>
      <c r="T127" s="455">
        <f>'Key input_Biomass_MAgPIE'!R122</f>
        <v>0</v>
      </c>
      <c r="U127" s="455">
        <f>'Key input_Biomass_MAgPIE'!S122</f>
        <v>0</v>
      </c>
      <c r="V127" s="455">
        <f>'Key input_Biomass_MAgPIE'!T122</f>
        <v>0</v>
      </c>
      <c r="W127" s="455">
        <f>'Key input_Biomass_MAgPIE'!U122</f>
        <v>0</v>
      </c>
      <c r="X127" s="455">
        <f>'Key input_Biomass_MAgPIE'!V122</f>
        <v>0</v>
      </c>
      <c r="Y127" s="455">
        <f>'Key input_Biomass_MAgPIE'!W122</f>
        <v>0</v>
      </c>
      <c r="Z127" s="455">
        <f>'Key input_Biomass_MAgPIE'!X122</f>
        <v>0</v>
      </c>
      <c r="AA127" s="455">
        <f>'Key input_Biomass_MAgPIE'!Y122</f>
        <v>0</v>
      </c>
      <c r="AB127" s="455">
        <f>'Key input_Biomass_MAgPIE'!Z122</f>
        <v>0</v>
      </c>
      <c r="AC127" s="455">
        <f>'Key input_Biomass_MAgPIE'!AA122</f>
        <v>0</v>
      </c>
      <c r="AD127" s="455">
        <f>'Key input_Biomass_MAgPIE'!AB122</f>
        <v>0</v>
      </c>
      <c r="AE127" s="455">
        <f>'Key input_Biomass_MAgPIE'!AC122</f>
        <v>0</v>
      </c>
      <c r="AF127" s="455">
        <f>'Key input_Biomass_MAgPIE'!AD122</f>
        <v>0</v>
      </c>
      <c r="AG127" s="455">
        <f>'Key input_Biomass_MAgPIE'!AE122</f>
        <v>0</v>
      </c>
      <c r="AH127" s="455">
        <f>'Key input_Biomass_MAgPIE'!AF122</f>
        <v>0</v>
      </c>
      <c r="AK127"/>
      <c r="AL127"/>
    </row>
    <row r="128" spans="1:38" s="4" customFormat="1">
      <c r="A128" s="4" t="str">
        <f>IF(AK20="",AJ20,AK20)</f>
        <v>MIN-RSVBIOOLC1</v>
      </c>
      <c r="B128" s="4" t="str">
        <f>IF($AK20="","",AL20)</f>
        <v>UPS Reserves of Biomass - Oil crops - Reserve - Supply curve step 1</v>
      </c>
      <c r="C128" s="4" t="str">
        <f>Commodities!$C$18</f>
        <v>RSVBIOOLC</v>
      </c>
      <c r="D128" s="4" t="s">
        <v>678</v>
      </c>
      <c r="E128" s="4" t="s">
        <v>661</v>
      </c>
      <c r="F128" s="4">
        <v>2019</v>
      </c>
      <c r="G128" s="258">
        <f>'Key input_Biomass_MAgPIE'!E123</f>
        <v>3.0382535240995399E-2</v>
      </c>
      <c r="H128" s="258">
        <f>'Key input_Biomass_MAgPIE'!F123</f>
        <v>2.7741580111071102E-2</v>
      </c>
      <c r="I128" s="258">
        <f>'Key input_Biomass_MAgPIE'!G123</f>
        <v>219.92361433181699</v>
      </c>
      <c r="J128" s="258">
        <f>'Key input_Biomass_MAgPIE'!H123</f>
        <v>2.7918067096299497E-2</v>
      </c>
      <c r="K128" s="258">
        <f>'Key input_Biomass_MAgPIE'!I123</f>
        <v>1490.0003142970199</v>
      </c>
      <c r="L128" s="258">
        <f>'Key input_Biomass_MAgPIE'!J123</f>
        <v>196.12458171137402</v>
      </c>
      <c r="M128" s="258">
        <f>'Key input_Biomass_MAgPIE'!K123</f>
        <v>1016220.00034359</v>
      </c>
      <c r="N128" s="258">
        <f>'Key input_Biomass_MAgPIE'!L123</f>
        <v>3.6200009662161997E-2</v>
      </c>
      <c r="O128" s="258">
        <f>'Key input_Biomass_MAgPIE'!M123</f>
        <v>1427110.00015497</v>
      </c>
      <c r="P128" s="258">
        <f>'Key input_Biomass_MAgPIE'!N123</f>
        <v>104150.000311182</v>
      </c>
      <c r="Q128" s="258">
        <f>'Key input_Biomass_MAgPIE'!O123</f>
        <v>2.5876602594380099E-2</v>
      </c>
      <c r="R128" s="258">
        <f>'Key input_Biomass_MAgPIE'!P123</f>
        <v>3076249.99939021</v>
      </c>
      <c r="S128" s="258">
        <f>'Key input_Biomass_MAgPIE'!Q123</f>
        <v>7485.3149452341495</v>
      </c>
      <c r="T128" s="258">
        <f>'Key input_Biomass_MAgPIE'!R123</f>
        <v>356550.00032095402</v>
      </c>
      <c r="U128" s="258">
        <f>'Key input_Biomass_MAgPIE'!S123</f>
        <v>741240.00031688996</v>
      </c>
      <c r="V128" s="258">
        <f>'Key input_Biomass_MAgPIE'!T123</f>
        <v>2237420.0003140699</v>
      </c>
      <c r="W128" s="258">
        <f>'Key input_Biomass_MAgPIE'!U123</f>
        <v>2600989.9998852699</v>
      </c>
      <c r="X128" s="258">
        <f>'Key input_Biomass_MAgPIE'!V123</f>
        <v>2389840.00066151</v>
      </c>
      <c r="Y128" s="258">
        <f>'Key input_Biomass_MAgPIE'!W123</f>
        <v>2.6147628821777801E-2</v>
      </c>
      <c r="Z128" s="258">
        <f>'Key input_Biomass_MAgPIE'!X123</f>
        <v>5292.8275675854102</v>
      </c>
      <c r="AA128" s="258">
        <f>'Key input_Biomass_MAgPIE'!Y123</f>
        <v>1000620.00031301</v>
      </c>
      <c r="AB128" s="258">
        <f>'Key input_Biomass_MAgPIE'!Z123</f>
        <v>41840.000312384102</v>
      </c>
      <c r="AC128" s="258">
        <f>'Key input_Biomass_MAgPIE'!AA123</f>
        <v>12394.873394422701</v>
      </c>
      <c r="AD128" s="258">
        <f>'Key input_Biomass_MAgPIE'!AB123</f>
        <v>3.0954936647878503E-2</v>
      </c>
      <c r="AE128" s="258">
        <f>'Key input_Biomass_MAgPIE'!AC123</f>
        <v>327.30553273789099</v>
      </c>
      <c r="AF128" s="258">
        <f>'Key input_Biomass_MAgPIE'!AD123</f>
        <v>51700.000311987096</v>
      </c>
      <c r="AG128" s="258">
        <f>'Key input_Biomass_MAgPIE'!AE123</f>
        <v>351370.00031280395</v>
      </c>
      <c r="AH128" s="258">
        <f>'Key input_Biomass_MAgPIE'!AF123</f>
        <v>1805790.00047965</v>
      </c>
      <c r="AK128"/>
      <c r="AL128"/>
    </row>
    <row r="129" spans="1:38" s="4" customFormat="1">
      <c r="A129" s="4" t="str">
        <f>A128</f>
        <v>MIN-RSVBIOOLC1</v>
      </c>
      <c r="B129" s="4" t="str">
        <f t="shared" ref="B129:B140" si="52">B128</f>
        <v>UPS Reserves of Biomass - Oil crops - Reserve - Supply curve step 1</v>
      </c>
      <c r="C129" s="4" t="str">
        <f t="shared" ref="C129:C140" si="53">C128</f>
        <v>RSVBIOOLC</v>
      </c>
      <c r="D129" s="4" t="str">
        <f t="shared" ref="D129:D140" si="54">D128</f>
        <v>ACT_BND</v>
      </c>
      <c r="E129" s="4" t="str">
        <f t="shared" ref="E129:E140" si="55">E128</f>
        <v>UP</v>
      </c>
      <c r="F129" s="4">
        <v>2020</v>
      </c>
      <c r="G129" s="456">
        <f>'Key input_Biomass_MAgPIE'!E124</f>
        <v>3.0382535240995399E-2</v>
      </c>
      <c r="H129" s="456">
        <f>'Key input_Biomass_MAgPIE'!F124</f>
        <v>2.7741580111071102E-2</v>
      </c>
      <c r="I129" s="456">
        <f>'Key input_Biomass_MAgPIE'!G124</f>
        <v>219.92361433181699</v>
      </c>
      <c r="J129" s="456">
        <f>'Key input_Biomass_MAgPIE'!H124</f>
        <v>2.7918067096299497E-2</v>
      </c>
      <c r="K129" s="456">
        <f>'Key input_Biomass_MAgPIE'!I124</f>
        <v>1490.0003142970199</v>
      </c>
      <c r="L129" s="456">
        <f>'Key input_Biomass_MAgPIE'!J124</f>
        <v>196.12458171137402</v>
      </c>
      <c r="M129" s="456">
        <f>'Key input_Biomass_MAgPIE'!K124</f>
        <v>1016220.00034359</v>
      </c>
      <c r="N129" s="456">
        <f>'Key input_Biomass_MAgPIE'!L124</f>
        <v>3.6200009662161997E-2</v>
      </c>
      <c r="O129" s="456">
        <f>'Key input_Biomass_MAgPIE'!M124</f>
        <v>1427110.00015497</v>
      </c>
      <c r="P129" s="456">
        <f>'Key input_Biomass_MAgPIE'!N124</f>
        <v>104150.000311182</v>
      </c>
      <c r="Q129" s="456">
        <f>'Key input_Biomass_MAgPIE'!O124</f>
        <v>2.5876602594380099E-2</v>
      </c>
      <c r="R129" s="456">
        <f>'Key input_Biomass_MAgPIE'!P124</f>
        <v>3076249.99939021</v>
      </c>
      <c r="S129" s="456">
        <f>'Key input_Biomass_MAgPIE'!Q124</f>
        <v>7485.3149452341495</v>
      </c>
      <c r="T129" s="456">
        <f>'Key input_Biomass_MAgPIE'!R124</f>
        <v>356550.00032095402</v>
      </c>
      <c r="U129" s="456">
        <f>'Key input_Biomass_MAgPIE'!S124</f>
        <v>741240.00031688996</v>
      </c>
      <c r="V129" s="456">
        <f>'Key input_Biomass_MAgPIE'!T124</f>
        <v>2237420.0003140699</v>
      </c>
      <c r="W129" s="456">
        <f>'Key input_Biomass_MAgPIE'!U124</f>
        <v>2600989.9998852699</v>
      </c>
      <c r="X129" s="456">
        <f>'Key input_Biomass_MAgPIE'!V124</f>
        <v>2389840.00066151</v>
      </c>
      <c r="Y129" s="456">
        <f>'Key input_Biomass_MAgPIE'!W124</f>
        <v>2.6147628821777801E-2</v>
      </c>
      <c r="Z129" s="456">
        <f>'Key input_Biomass_MAgPIE'!X124</f>
        <v>5292.8275675854102</v>
      </c>
      <c r="AA129" s="456">
        <f>'Key input_Biomass_MAgPIE'!Y124</f>
        <v>1000620.00031301</v>
      </c>
      <c r="AB129" s="456">
        <f>'Key input_Biomass_MAgPIE'!Z124</f>
        <v>41840.000312384102</v>
      </c>
      <c r="AC129" s="456">
        <f>'Key input_Biomass_MAgPIE'!AA124</f>
        <v>12394.873394422701</v>
      </c>
      <c r="AD129" s="456">
        <f>'Key input_Biomass_MAgPIE'!AB124</f>
        <v>3.0954936647878503E-2</v>
      </c>
      <c r="AE129" s="456">
        <f>'Key input_Biomass_MAgPIE'!AC124</f>
        <v>327.30553273789099</v>
      </c>
      <c r="AF129" s="456">
        <f>'Key input_Biomass_MAgPIE'!AD124</f>
        <v>51700.000311987096</v>
      </c>
      <c r="AG129" s="456">
        <f>'Key input_Biomass_MAgPIE'!AE124</f>
        <v>351370.00031280395</v>
      </c>
      <c r="AH129" s="456">
        <f>'Key input_Biomass_MAgPIE'!AF124</f>
        <v>1805790.00047965</v>
      </c>
      <c r="AK129"/>
      <c r="AL129"/>
    </row>
    <row r="130" spans="1:38" s="4" customFormat="1">
      <c r="A130" s="4" t="str">
        <f t="shared" ref="A130:A140" si="56">A129</f>
        <v>MIN-RSVBIOOLC1</v>
      </c>
      <c r="B130" s="4" t="str">
        <f t="shared" si="52"/>
        <v>UPS Reserves of Biomass - Oil crops - Reserve - Supply curve step 1</v>
      </c>
      <c r="C130" s="4" t="str">
        <f t="shared" si="53"/>
        <v>RSVBIOOLC</v>
      </c>
      <c r="D130" s="4" t="str">
        <f t="shared" si="54"/>
        <v>ACT_BND</v>
      </c>
      <c r="E130" s="4" t="str">
        <f t="shared" si="55"/>
        <v>UP</v>
      </c>
      <c r="F130" s="4">
        <v>2025</v>
      </c>
      <c r="G130" s="456">
        <f>'Key input_Biomass_MAgPIE'!E125</f>
        <v>3.0382535240995399E-2</v>
      </c>
      <c r="H130" s="456">
        <f>'Key input_Biomass_MAgPIE'!F125</f>
        <v>2.7741580111071102E-2</v>
      </c>
      <c r="I130" s="456">
        <f>'Key input_Biomass_MAgPIE'!G125</f>
        <v>219.92361433181699</v>
      </c>
      <c r="J130" s="456">
        <f>'Key input_Biomass_MAgPIE'!H125</f>
        <v>2.7918067096299497E-2</v>
      </c>
      <c r="K130" s="456">
        <f>'Key input_Biomass_MAgPIE'!I125</f>
        <v>1490.0003142970199</v>
      </c>
      <c r="L130" s="456">
        <f>'Key input_Biomass_MAgPIE'!J125</f>
        <v>196.12458171137402</v>
      </c>
      <c r="M130" s="456">
        <f>'Key input_Biomass_MAgPIE'!K125</f>
        <v>1016220.00034359</v>
      </c>
      <c r="N130" s="456">
        <f>'Key input_Biomass_MAgPIE'!L125</f>
        <v>3.6200009662161997E-2</v>
      </c>
      <c r="O130" s="456">
        <f>'Key input_Biomass_MAgPIE'!M125</f>
        <v>1427110.00015497</v>
      </c>
      <c r="P130" s="456">
        <f>'Key input_Biomass_MAgPIE'!N125</f>
        <v>104150.000311182</v>
      </c>
      <c r="Q130" s="456">
        <f>'Key input_Biomass_MAgPIE'!O125</f>
        <v>2.5876602594380099E-2</v>
      </c>
      <c r="R130" s="456">
        <f>'Key input_Biomass_MAgPIE'!P125</f>
        <v>3076249.99939021</v>
      </c>
      <c r="S130" s="456">
        <f>'Key input_Biomass_MAgPIE'!Q125</f>
        <v>7485.3149452341495</v>
      </c>
      <c r="T130" s="456">
        <f>'Key input_Biomass_MAgPIE'!R125</f>
        <v>356550.00032095402</v>
      </c>
      <c r="U130" s="456">
        <f>'Key input_Biomass_MAgPIE'!S125</f>
        <v>741240.00031688996</v>
      </c>
      <c r="V130" s="456">
        <f>'Key input_Biomass_MAgPIE'!T125</f>
        <v>2237420.0003140699</v>
      </c>
      <c r="W130" s="456">
        <f>'Key input_Biomass_MAgPIE'!U125</f>
        <v>2600989.9998852699</v>
      </c>
      <c r="X130" s="456">
        <f>'Key input_Biomass_MAgPIE'!V125</f>
        <v>2389840.00066151</v>
      </c>
      <c r="Y130" s="456">
        <f>'Key input_Biomass_MAgPIE'!W125</f>
        <v>2.6147628821777801E-2</v>
      </c>
      <c r="Z130" s="456">
        <f>'Key input_Biomass_MAgPIE'!X125</f>
        <v>5292.8275675854102</v>
      </c>
      <c r="AA130" s="456">
        <f>'Key input_Biomass_MAgPIE'!Y125</f>
        <v>1000620.00031301</v>
      </c>
      <c r="AB130" s="456">
        <f>'Key input_Biomass_MAgPIE'!Z125</f>
        <v>41840.000312384102</v>
      </c>
      <c r="AC130" s="456">
        <f>'Key input_Biomass_MAgPIE'!AA125</f>
        <v>12394.873394422701</v>
      </c>
      <c r="AD130" s="456">
        <f>'Key input_Biomass_MAgPIE'!AB125</f>
        <v>3.0954936647878503E-2</v>
      </c>
      <c r="AE130" s="456">
        <f>'Key input_Biomass_MAgPIE'!AC125</f>
        <v>327.30553273789099</v>
      </c>
      <c r="AF130" s="456">
        <f>'Key input_Biomass_MAgPIE'!AD125</f>
        <v>51700.000311987096</v>
      </c>
      <c r="AG130" s="456">
        <f>'Key input_Biomass_MAgPIE'!AE125</f>
        <v>351370.00031280395</v>
      </c>
      <c r="AH130" s="456">
        <f>'Key input_Biomass_MAgPIE'!AF125</f>
        <v>1805790.00047965</v>
      </c>
      <c r="AK130"/>
      <c r="AL130"/>
    </row>
    <row r="131" spans="1:38" s="4" customFormat="1">
      <c r="A131" s="4" t="str">
        <f t="shared" si="56"/>
        <v>MIN-RSVBIOOLC1</v>
      </c>
      <c r="B131" s="4" t="str">
        <f t="shared" si="52"/>
        <v>UPS Reserves of Biomass - Oil crops - Reserve - Supply curve step 1</v>
      </c>
      <c r="C131" s="4" t="str">
        <f t="shared" si="53"/>
        <v>RSVBIOOLC</v>
      </c>
      <c r="D131" s="4" t="str">
        <f t="shared" si="54"/>
        <v>ACT_BND</v>
      </c>
      <c r="E131" s="4" t="str">
        <f t="shared" si="55"/>
        <v>UP</v>
      </c>
      <c r="F131" s="4">
        <v>2030</v>
      </c>
      <c r="G131" s="456">
        <f>'Key input_Biomass_MAgPIE'!E126</f>
        <v>3.0382535240995399E-2</v>
      </c>
      <c r="H131" s="456">
        <f>'Key input_Biomass_MAgPIE'!F126</f>
        <v>2.7741580111071102E-2</v>
      </c>
      <c r="I131" s="456">
        <f>'Key input_Biomass_MAgPIE'!G126</f>
        <v>219.92361433181699</v>
      </c>
      <c r="J131" s="456">
        <f>'Key input_Biomass_MAgPIE'!H126</f>
        <v>2.7918067096299497E-2</v>
      </c>
      <c r="K131" s="456">
        <f>'Key input_Biomass_MAgPIE'!I126</f>
        <v>1490.0003142970199</v>
      </c>
      <c r="L131" s="456">
        <f>'Key input_Biomass_MAgPIE'!J126</f>
        <v>196.12458171137402</v>
      </c>
      <c r="M131" s="456">
        <f>'Key input_Biomass_MAgPIE'!K126</f>
        <v>1016220.00034359</v>
      </c>
      <c r="N131" s="456">
        <f>'Key input_Biomass_MAgPIE'!L126</f>
        <v>3.6200009662161997E-2</v>
      </c>
      <c r="O131" s="456">
        <f>'Key input_Biomass_MAgPIE'!M126</f>
        <v>1427110.00015497</v>
      </c>
      <c r="P131" s="456">
        <f>'Key input_Biomass_MAgPIE'!N126</f>
        <v>104150.000311182</v>
      </c>
      <c r="Q131" s="456">
        <f>'Key input_Biomass_MAgPIE'!O126</f>
        <v>2.5876602594380099E-2</v>
      </c>
      <c r="R131" s="456">
        <f>'Key input_Biomass_MAgPIE'!P126</f>
        <v>3076249.99939021</v>
      </c>
      <c r="S131" s="456">
        <f>'Key input_Biomass_MAgPIE'!Q126</f>
        <v>7485.3149452341495</v>
      </c>
      <c r="T131" s="456">
        <f>'Key input_Biomass_MAgPIE'!R126</f>
        <v>356550.00032095402</v>
      </c>
      <c r="U131" s="456">
        <f>'Key input_Biomass_MAgPIE'!S126</f>
        <v>741240.00031688996</v>
      </c>
      <c r="V131" s="456">
        <f>'Key input_Biomass_MAgPIE'!T126</f>
        <v>2237420.0003140699</v>
      </c>
      <c r="W131" s="456">
        <f>'Key input_Biomass_MAgPIE'!U126</f>
        <v>2600989.9998852699</v>
      </c>
      <c r="X131" s="456">
        <f>'Key input_Biomass_MAgPIE'!V126</f>
        <v>2389840.00066151</v>
      </c>
      <c r="Y131" s="456">
        <f>'Key input_Biomass_MAgPIE'!W126</f>
        <v>2.6147628821777801E-2</v>
      </c>
      <c r="Z131" s="456">
        <f>'Key input_Biomass_MAgPIE'!X126</f>
        <v>5292.8275675854102</v>
      </c>
      <c r="AA131" s="456">
        <f>'Key input_Biomass_MAgPIE'!Y126</f>
        <v>1000620.00031301</v>
      </c>
      <c r="AB131" s="456">
        <f>'Key input_Biomass_MAgPIE'!Z126</f>
        <v>41840.000312384102</v>
      </c>
      <c r="AC131" s="456">
        <f>'Key input_Biomass_MAgPIE'!AA126</f>
        <v>12394.873394422701</v>
      </c>
      <c r="AD131" s="456">
        <f>'Key input_Biomass_MAgPIE'!AB126</f>
        <v>3.0954936647878503E-2</v>
      </c>
      <c r="AE131" s="456">
        <f>'Key input_Biomass_MAgPIE'!AC126</f>
        <v>327.30553273789099</v>
      </c>
      <c r="AF131" s="456">
        <f>'Key input_Biomass_MAgPIE'!AD126</f>
        <v>51700.000311987096</v>
      </c>
      <c r="AG131" s="456">
        <f>'Key input_Biomass_MAgPIE'!AE126</f>
        <v>351370.00031280395</v>
      </c>
      <c r="AH131" s="456">
        <f>'Key input_Biomass_MAgPIE'!AF126</f>
        <v>1805790.00047965</v>
      </c>
      <c r="AK131"/>
      <c r="AL131"/>
    </row>
    <row r="132" spans="1:38" s="4" customFormat="1">
      <c r="A132" s="4" t="str">
        <f t="shared" si="56"/>
        <v>MIN-RSVBIOOLC1</v>
      </c>
      <c r="B132" s="4" t="str">
        <f t="shared" si="52"/>
        <v>UPS Reserves of Biomass - Oil crops - Reserve - Supply curve step 1</v>
      </c>
      <c r="C132" s="4" t="str">
        <f t="shared" si="53"/>
        <v>RSVBIOOLC</v>
      </c>
      <c r="D132" s="4" t="str">
        <f t="shared" si="54"/>
        <v>ACT_BND</v>
      </c>
      <c r="E132" s="4" t="str">
        <f t="shared" si="55"/>
        <v>UP</v>
      </c>
      <c r="F132" s="4">
        <v>2035</v>
      </c>
      <c r="G132" s="456">
        <f>'Key input_Biomass_MAgPIE'!E127</f>
        <v>3.0382535240995399E-2</v>
      </c>
      <c r="H132" s="456">
        <f>'Key input_Biomass_MAgPIE'!F127</f>
        <v>2.7741580111071102E-2</v>
      </c>
      <c r="I132" s="456">
        <f>'Key input_Biomass_MAgPIE'!G127</f>
        <v>219.92361433181699</v>
      </c>
      <c r="J132" s="456">
        <f>'Key input_Biomass_MAgPIE'!H127</f>
        <v>2.7918067096299497E-2</v>
      </c>
      <c r="K132" s="456">
        <f>'Key input_Biomass_MAgPIE'!I127</f>
        <v>1490.0003142970199</v>
      </c>
      <c r="L132" s="456">
        <f>'Key input_Biomass_MAgPIE'!J127</f>
        <v>196.12458171137402</v>
      </c>
      <c r="M132" s="456">
        <f>'Key input_Biomass_MAgPIE'!K127</f>
        <v>1016220.00034359</v>
      </c>
      <c r="N132" s="456">
        <f>'Key input_Biomass_MAgPIE'!L127</f>
        <v>3.6200009662161997E-2</v>
      </c>
      <c r="O132" s="456">
        <f>'Key input_Biomass_MAgPIE'!M127</f>
        <v>1427110.00015497</v>
      </c>
      <c r="P132" s="456">
        <f>'Key input_Biomass_MAgPIE'!N127</f>
        <v>104150.000311182</v>
      </c>
      <c r="Q132" s="456">
        <f>'Key input_Biomass_MAgPIE'!O127</f>
        <v>2.5876602594380099E-2</v>
      </c>
      <c r="R132" s="456">
        <f>'Key input_Biomass_MAgPIE'!P127</f>
        <v>3076249.99939021</v>
      </c>
      <c r="S132" s="456">
        <f>'Key input_Biomass_MAgPIE'!Q127</f>
        <v>7485.3149452341495</v>
      </c>
      <c r="T132" s="456">
        <f>'Key input_Biomass_MAgPIE'!R127</f>
        <v>356550.00032095402</v>
      </c>
      <c r="U132" s="456">
        <f>'Key input_Biomass_MAgPIE'!S127</f>
        <v>741240.00031688996</v>
      </c>
      <c r="V132" s="456">
        <f>'Key input_Biomass_MAgPIE'!T127</f>
        <v>2237420.0003140699</v>
      </c>
      <c r="W132" s="456">
        <f>'Key input_Biomass_MAgPIE'!U127</f>
        <v>2600989.9998852699</v>
      </c>
      <c r="X132" s="456">
        <f>'Key input_Biomass_MAgPIE'!V127</f>
        <v>2389840.00066151</v>
      </c>
      <c r="Y132" s="456">
        <f>'Key input_Biomass_MAgPIE'!W127</f>
        <v>2.6147628821777801E-2</v>
      </c>
      <c r="Z132" s="456">
        <f>'Key input_Biomass_MAgPIE'!X127</f>
        <v>5292.8275675854102</v>
      </c>
      <c r="AA132" s="456">
        <f>'Key input_Biomass_MAgPIE'!Y127</f>
        <v>1000620.00031301</v>
      </c>
      <c r="AB132" s="456">
        <f>'Key input_Biomass_MAgPIE'!Z127</f>
        <v>41840.000312384102</v>
      </c>
      <c r="AC132" s="456">
        <f>'Key input_Biomass_MAgPIE'!AA127</f>
        <v>12394.873394422701</v>
      </c>
      <c r="AD132" s="456">
        <f>'Key input_Biomass_MAgPIE'!AB127</f>
        <v>3.0954936647878503E-2</v>
      </c>
      <c r="AE132" s="456">
        <f>'Key input_Biomass_MAgPIE'!AC127</f>
        <v>327.30553273789099</v>
      </c>
      <c r="AF132" s="456">
        <f>'Key input_Biomass_MAgPIE'!AD127</f>
        <v>51700.000311987096</v>
      </c>
      <c r="AG132" s="456">
        <f>'Key input_Biomass_MAgPIE'!AE127</f>
        <v>351370.00031280395</v>
      </c>
      <c r="AH132" s="456">
        <f>'Key input_Biomass_MAgPIE'!AF127</f>
        <v>1805790.00047965</v>
      </c>
      <c r="AK132"/>
      <c r="AL132"/>
    </row>
    <row r="133" spans="1:38" s="4" customFormat="1">
      <c r="A133" s="4" t="str">
        <f t="shared" si="56"/>
        <v>MIN-RSVBIOOLC1</v>
      </c>
      <c r="B133" s="4" t="str">
        <f t="shared" si="52"/>
        <v>UPS Reserves of Biomass - Oil crops - Reserve - Supply curve step 1</v>
      </c>
      <c r="C133" s="4" t="str">
        <f t="shared" si="53"/>
        <v>RSVBIOOLC</v>
      </c>
      <c r="D133" s="4" t="str">
        <f t="shared" si="54"/>
        <v>ACT_BND</v>
      </c>
      <c r="E133" s="4" t="str">
        <f t="shared" si="55"/>
        <v>UP</v>
      </c>
      <c r="F133" s="4">
        <v>2040</v>
      </c>
      <c r="G133" s="456">
        <f>'Key input_Biomass_MAgPIE'!E128</f>
        <v>3.0382535240995399E-2</v>
      </c>
      <c r="H133" s="456">
        <f>'Key input_Biomass_MAgPIE'!F128</f>
        <v>2.7741580111071102E-2</v>
      </c>
      <c r="I133" s="456">
        <f>'Key input_Biomass_MAgPIE'!G128</f>
        <v>219.92361433181699</v>
      </c>
      <c r="J133" s="456">
        <f>'Key input_Biomass_MAgPIE'!H128</f>
        <v>2.7918067096299497E-2</v>
      </c>
      <c r="K133" s="456">
        <f>'Key input_Biomass_MAgPIE'!I128</f>
        <v>1490.0003142970199</v>
      </c>
      <c r="L133" s="456">
        <f>'Key input_Biomass_MAgPIE'!J128</f>
        <v>196.12458171137402</v>
      </c>
      <c r="M133" s="456">
        <f>'Key input_Biomass_MAgPIE'!K128</f>
        <v>1016220.00034359</v>
      </c>
      <c r="N133" s="456">
        <f>'Key input_Biomass_MAgPIE'!L128</f>
        <v>3.6200009662161997E-2</v>
      </c>
      <c r="O133" s="456">
        <f>'Key input_Biomass_MAgPIE'!M128</f>
        <v>1427110.00015497</v>
      </c>
      <c r="P133" s="456">
        <f>'Key input_Biomass_MAgPIE'!N128</f>
        <v>104150.000311182</v>
      </c>
      <c r="Q133" s="456">
        <f>'Key input_Biomass_MAgPIE'!O128</f>
        <v>2.5876602594380099E-2</v>
      </c>
      <c r="R133" s="456">
        <f>'Key input_Biomass_MAgPIE'!P128</f>
        <v>3076249.99939021</v>
      </c>
      <c r="S133" s="456">
        <f>'Key input_Biomass_MAgPIE'!Q128</f>
        <v>7485.3149452341495</v>
      </c>
      <c r="T133" s="456">
        <f>'Key input_Biomass_MAgPIE'!R128</f>
        <v>356550.00032095402</v>
      </c>
      <c r="U133" s="456">
        <f>'Key input_Biomass_MAgPIE'!S128</f>
        <v>741240.00031688996</v>
      </c>
      <c r="V133" s="456">
        <f>'Key input_Biomass_MAgPIE'!T128</f>
        <v>2237420.0003140699</v>
      </c>
      <c r="W133" s="456">
        <f>'Key input_Biomass_MAgPIE'!U128</f>
        <v>2600989.9998852699</v>
      </c>
      <c r="X133" s="456">
        <f>'Key input_Biomass_MAgPIE'!V128</f>
        <v>2389840.00066151</v>
      </c>
      <c r="Y133" s="456">
        <f>'Key input_Biomass_MAgPIE'!W128</f>
        <v>2.6147628821777801E-2</v>
      </c>
      <c r="Z133" s="456">
        <f>'Key input_Biomass_MAgPIE'!X128</f>
        <v>5292.8275675854102</v>
      </c>
      <c r="AA133" s="456">
        <f>'Key input_Biomass_MAgPIE'!Y128</f>
        <v>1000620.00031301</v>
      </c>
      <c r="AB133" s="456">
        <f>'Key input_Biomass_MAgPIE'!Z128</f>
        <v>41840.000312384102</v>
      </c>
      <c r="AC133" s="456">
        <f>'Key input_Biomass_MAgPIE'!AA128</f>
        <v>12394.873394422701</v>
      </c>
      <c r="AD133" s="456">
        <f>'Key input_Biomass_MAgPIE'!AB128</f>
        <v>3.0954936647878503E-2</v>
      </c>
      <c r="AE133" s="456">
        <f>'Key input_Biomass_MAgPIE'!AC128</f>
        <v>327.30553273789099</v>
      </c>
      <c r="AF133" s="456">
        <f>'Key input_Biomass_MAgPIE'!AD128</f>
        <v>51700.000311987096</v>
      </c>
      <c r="AG133" s="456">
        <f>'Key input_Biomass_MAgPIE'!AE128</f>
        <v>351370.00031280395</v>
      </c>
      <c r="AH133" s="456">
        <f>'Key input_Biomass_MAgPIE'!AF128</f>
        <v>1805790.00047965</v>
      </c>
      <c r="AK133"/>
      <c r="AL133"/>
    </row>
    <row r="134" spans="1:38" s="4" customFormat="1">
      <c r="A134" s="4" t="str">
        <f t="shared" si="56"/>
        <v>MIN-RSVBIOOLC1</v>
      </c>
      <c r="B134" s="4" t="str">
        <f t="shared" si="52"/>
        <v>UPS Reserves of Biomass - Oil crops - Reserve - Supply curve step 1</v>
      </c>
      <c r="C134" s="4" t="str">
        <f t="shared" si="53"/>
        <v>RSVBIOOLC</v>
      </c>
      <c r="D134" s="4" t="str">
        <f t="shared" si="54"/>
        <v>ACT_BND</v>
      </c>
      <c r="E134" s="4" t="str">
        <f t="shared" si="55"/>
        <v>UP</v>
      </c>
      <c r="F134" s="4">
        <v>2045</v>
      </c>
      <c r="G134" s="456">
        <f>'Key input_Biomass_MAgPIE'!E129</f>
        <v>3.0382535240995399E-2</v>
      </c>
      <c r="H134" s="456">
        <f>'Key input_Biomass_MAgPIE'!F129</f>
        <v>2.7741580111071102E-2</v>
      </c>
      <c r="I134" s="456">
        <f>'Key input_Biomass_MAgPIE'!G129</f>
        <v>219.92361433181699</v>
      </c>
      <c r="J134" s="456">
        <f>'Key input_Biomass_MAgPIE'!H129</f>
        <v>2.7918067096299497E-2</v>
      </c>
      <c r="K134" s="456">
        <f>'Key input_Biomass_MAgPIE'!I129</f>
        <v>1490.0003142970199</v>
      </c>
      <c r="L134" s="456">
        <f>'Key input_Biomass_MAgPIE'!J129</f>
        <v>196.12458171137402</v>
      </c>
      <c r="M134" s="456">
        <f>'Key input_Biomass_MAgPIE'!K129</f>
        <v>1016220.00034359</v>
      </c>
      <c r="N134" s="456">
        <f>'Key input_Biomass_MAgPIE'!L129</f>
        <v>3.6200009662161997E-2</v>
      </c>
      <c r="O134" s="456">
        <f>'Key input_Biomass_MAgPIE'!M129</f>
        <v>1427110.00015497</v>
      </c>
      <c r="P134" s="456">
        <f>'Key input_Biomass_MAgPIE'!N129</f>
        <v>104150.000311182</v>
      </c>
      <c r="Q134" s="456">
        <f>'Key input_Biomass_MAgPIE'!O129</f>
        <v>2.5876602594380099E-2</v>
      </c>
      <c r="R134" s="456">
        <f>'Key input_Biomass_MAgPIE'!P129</f>
        <v>3076249.99939021</v>
      </c>
      <c r="S134" s="456">
        <f>'Key input_Biomass_MAgPIE'!Q129</f>
        <v>7485.3149452341495</v>
      </c>
      <c r="T134" s="456">
        <f>'Key input_Biomass_MAgPIE'!R129</f>
        <v>356550.00032095402</v>
      </c>
      <c r="U134" s="456">
        <f>'Key input_Biomass_MAgPIE'!S129</f>
        <v>741240.00031688996</v>
      </c>
      <c r="V134" s="456">
        <f>'Key input_Biomass_MAgPIE'!T129</f>
        <v>2237420.0003140699</v>
      </c>
      <c r="W134" s="456">
        <f>'Key input_Biomass_MAgPIE'!U129</f>
        <v>2600989.9998852699</v>
      </c>
      <c r="X134" s="456">
        <f>'Key input_Biomass_MAgPIE'!V129</f>
        <v>2389840.00066151</v>
      </c>
      <c r="Y134" s="456">
        <f>'Key input_Biomass_MAgPIE'!W129</f>
        <v>2.6147628821777801E-2</v>
      </c>
      <c r="Z134" s="456">
        <f>'Key input_Biomass_MAgPIE'!X129</f>
        <v>5292.8275675854102</v>
      </c>
      <c r="AA134" s="456">
        <f>'Key input_Biomass_MAgPIE'!Y129</f>
        <v>1000620.00031301</v>
      </c>
      <c r="AB134" s="456">
        <f>'Key input_Biomass_MAgPIE'!Z129</f>
        <v>41840.000312384102</v>
      </c>
      <c r="AC134" s="456">
        <f>'Key input_Biomass_MAgPIE'!AA129</f>
        <v>12394.873394422701</v>
      </c>
      <c r="AD134" s="456">
        <f>'Key input_Biomass_MAgPIE'!AB129</f>
        <v>3.0954936647878503E-2</v>
      </c>
      <c r="AE134" s="456">
        <f>'Key input_Biomass_MAgPIE'!AC129</f>
        <v>327.30553273789099</v>
      </c>
      <c r="AF134" s="456">
        <f>'Key input_Biomass_MAgPIE'!AD129</f>
        <v>51700.000311987096</v>
      </c>
      <c r="AG134" s="456">
        <f>'Key input_Biomass_MAgPIE'!AE129</f>
        <v>351370.00031280395</v>
      </c>
      <c r="AH134" s="456">
        <f>'Key input_Biomass_MAgPIE'!AF129</f>
        <v>1805790.00047965</v>
      </c>
      <c r="AK134"/>
      <c r="AL134"/>
    </row>
    <row r="135" spans="1:38" s="4" customFormat="1">
      <c r="A135" s="4" t="str">
        <f t="shared" si="56"/>
        <v>MIN-RSVBIOOLC1</v>
      </c>
      <c r="B135" s="4" t="str">
        <f t="shared" si="52"/>
        <v>UPS Reserves of Biomass - Oil crops - Reserve - Supply curve step 1</v>
      </c>
      <c r="C135" s="4" t="str">
        <f t="shared" si="53"/>
        <v>RSVBIOOLC</v>
      </c>
      <c r="D135" s="4" t="str">
        <f t="shared" si="54"/>
        <v>ACT_BND</v>
      </c>
      <c r="E135" s="4" t="str">
        <f t="shared" si="55"/>
        <v>UP</v>
      </c>
      <c r="F135" s="4">
        <v>2050</v>
      </c>
      <c r="G135" s="456">
        <f>'Key input_Biomass_MAgPIE'!E130</f>
        <v>3.0382535240995399E-2</v>
      </c>
      <c r="H135" s="456">
        <f>'Key input_Biomass_MAgPIE'!F130</f>
        <v>2.7741580111071102E-2</v>
      </c>
      <c r="I135" s="456">
        <f>'Key input_Biomass_MAgPIE'!G130</f>
        <v>219.92361433181699</v>
      </c>
      <c r="J135" s="456">
        <f>'Key input_Biomass_MAgPIE'!H130</f>
        <v>2.7918067096299497E-2</v>
      </c>
      <c r="K135" s="456">
        <f>'Key input_Biomass_MAgPIE'!I130</f>
        <v>1490.0003142970199</v>
      </c>
      <c r="L135" s="456">
        <f>'Key input_Biomass_MAgPIE'!J130</f>
        <v>196.12458171137402</v>
      </c>
      <c r="M135" s="456">
        <f>'Key input_Biomass_MAgPIE'!K130</f>
        <v>1016220.00034359</v>
      </c>
      <c r="N135" s="456">
        <f>'Key input_Biomass_MAgPIE'!L130</f>
        <v>3.6200009662161997E-2</v>
      </c>
      <c r="O135" s="456">
        <f>'Key input_Biomass_MAgPIE'!M130</f>
        <v>1427110.00015497</v>
      </c>
      <c r="P135" s="456">
        <f>'Key input_Biomass_MAgPIE'!N130</f>
        <v>104150.000311182</v>
      </c>
      <c r="Q135" s="456">
        <f>'Key input_Biomass_MAgPIE'!O130</f>
        <v>2.5876602594380099E-2</v>
      </c>
      <c r="R135" s="456">
        <f>'Key input_Biomass_MAgPIE'!P130</f>
        <v>3076249.99939021</v>
      </c>
      <c r="S135" s="456">
        <f>'Key input_Biomass_MAgPIE'!Q130</f>
        <v>7485.3149452341495</v>
      </c>
      <c r="T135" s="456">
        <f>'Key input_Biomass_MAgPIE'!R130</f>
        <v>356550.00032095402</v>
      </c>
      <c r="U135" s="456">
        <f>'Key input_Biomass_MAgPIE'!S130</f>
        <v>741240.00031688996</v>
      </c>
      <c r="V135" s="456">
        <f>'Key input_Biomass_MAgPIE'!T130</f>
        <v>2237420.0003140699</v>
      </c>
      <c r="W135" s="456">
        <f>'Key input_Biomass_MAgPIE'!U130</f>
        <v>2600989.9998852699</v>
      </c>
      <c r="X135" s="456">
        <f>'Key input_Biomass_MAgPIE'!V130</f>
        <v>2389840.00066151</v>
      </c>
      <c r="Y135" s="456">
        <f>'Key input_Biomass_MAgPIE'!W130</f>
        <v>2.6147628821777801E-2</v>
      </c>
      <c r="Z135" s="456">
        <f>'Key input_Biomass_MAgPIE'!X130</f>
        <v>5292.8275675854102</v>
      </c>
      <c r="AA135" s="456">
        <f>'Key input_Biomass_MAgPIE'!Y130</f>
        <v>1000620.00031301</v>
      </c>
      <c r="AB135" s="456">
        <f>'Key input_Biomass_MAgPIE'!Z130</f>
        <v>41840.000312384102</v>
      </c>
      <c r="AC135" s="456">
        <f>'Key input_Biomass_MAgPIE'!AA130</f>
        <v>12394.873394422701</v>
      </c>
      <c r="AD135" s="456">
        <f>'Key input_Biomass_MAgPIE'!AB130</f>
        <v>3.0954936647878503E-2</v>
      </c>
      <c r="AE135" s="456">
        <f>'Key input_Biomass_MAgPIE'!AC130</f>
        <v>327.30553273789099</v>
      </c>
      <c r="AF135" s="456">
        <f>'Key input_Biomass_MAgPIE'!AD130</f>
        <v>51700.000311987096</v>
      </c>
      <c r="AG135" s="456">
        <f>'Key input_Biomass_MAgPIE'!AE130</f>
        <v>351370.00031280395</v>
      </c>
      <c r="AH135" s="456">
        <f>'Key input_Biomass_MAgPIE'!AF130</f>
        <v>1805790.00047965</v>
      </c>
      <c r="AK135"/>
      <c r="AL135"/>
    </row>
    <row r="136" spans="1:38" s="4" customFormat="1">
      <c r="A136" s="4" t="str">
        <f t="shared" si="56"/>
        <v>MIN-RSVBIOOLC1</v>
      </c>
      <c r="B136" s="4" t="str">
        <f t="shared" si="52"/>
        <v>UPS Reserves of Biomass - Oil crops - Reserve - Supply curve step 1</v>
      </c>
      <c r="C136" s="4" t="str">
        <f t="shared" si="53"/>
        <v>RSVBIOOLC</v>
      </c>
      <c r="D136" s="4" t="str">
        <f t="shared" si="54"/>
        <v>ACT_BND</v>
      </c>
      <c r="E136" s="4" t="str">
        <f t="shared" si="55"/>
        <v>UP</v>
      </c>
      <c r="F136" s="4">
        <v>2060</v>
      </c>
      <c r="G136" s="456">
        <f>'Key input_Biomass_MAgPIE'!E131</f>
        <v>3.0382535240995399E-2</v>
      </c>
      <c r="H136" s="456">
        <f>'Key input_Biomass_MAgPIE'!F131</f>
        <v>2.7741580111071102E-2</v>
      </c>
      <c r="I136" s="456">
        <f>'Key input_Biomass_MAgPIE'!G131</f>
        <v>219.92361433181699</v>
      </c>
      <c r="J136" s="456">
        <f>'Key input_Biomass_MAgPIE'!H131</f>
        <v>2.7918067096299497E-2</v>
      </c>
      <c r="K136" s="456">
        <f>'Key input_Biomass_MAgPIE'!I131</f>
        <v>1490.0003142970199</v>
      </c>
      <c r="L136" s="456">
        <f>'Key input_Biomass_MAgPIE'!J131</f>
        <v>196.12458171137402</v>
      </c>
      <c r="M136" s="456">
        <f>'Key input_Biomass_MAgPIE'!K131</f>
        <v>1016220.00034359</v>
      </c>
      <c r="N136" s="456">
        <f>'Key input_Biomass_MAgPIE'!L131</f>
        <v>3.6200009662161997E-2</v>
      </c>
      <c r="O136" s="456">
        <f>'Key input_Biomass_MAgPIE'!M131</f>
        <v>1427110.00015497</v>
      </c>
      <c r="P136" s="456">
        <f>'Key input_Biomass_MAgPIE'!N131</f>
        <v>104150.000311182</v>
      </c>
      <c r="Q136" s="456">
        <f>'Key input_Biomass_MAgPIE'!O131</f>
        <v>2.5876602594380099E-2</v>
      </c>
      <c r="R136" s="456">
        <f>'Key input_Biomass_MAgPIE'!P131</f>
        <v>3076249.99939021</v>
      </c>
      <c r="S136" s="456">
        <f>'Key input_Biomass_MAgPIE'!Q131</f>
        <v>7485.3149452341495</v>
      </c>
      <c r="T136" s="456">
        <f>'Key input_Biomass_MAgPIE'!R131</f>
        <v>356550.00032095402</v>
      </c>
      <c r="U136" s="456">
        <f>'Key input_Biomass_MAgPIE'!S131</f>
        <v>741240.00031688996</v>
      </c>
      <c r="V136" s="456">
        <f>'Key input_Biomass_MAgPIE'!T131</f>
        <v>2237420.0003140699</v>
      </c>
      <c r="W136" s="456">
        <f>'Key input_Biomass_MAgPIE'!U131</f>
        <v>2600989.9998852699</v>
      </c>
      <c r="X136" s="456">
        <f>'Key input_Biomass_MAgPIE'!V131</f>
        <v>2389840.00066151</v>
      </c>
      <c r="Y136" s="456">
        <f>'Key input_Biomass_MAgPIE'!W131</f>
        <v>2.6147628821777801E-2</v>
      </c>
      <c r="Z136" s="456">
        <f>'Key input_Biomass_MAgPIE'!X131</f>
        <v>5292.8275675854102</v>
      </c>
      <c r="AA136" s="456">
        <f>'Key input_Biomass_MAgPIE'!Y131</f>
        <v>1000620.00031301</v>
      </c>
      <c r="AB136" s="456">
        <f>'Key input_Biomass_MAgPIE'!Z131</f>
        <v>41840.000312384102</v>
      </c>
      <c r="AC136" s="456">
        <f>'Key input_Biomass_MAgPIE'!AA131</f>
        <v>12394.873394422701</v>
      </c>
      <c r="AD136" s="456">
        <f>'Key input_Biomass_MAgPIE'!AB131</f>
        <v>3.0954936647878503E-2</v>
      </c>
      <c r="AE136" s="456">
        <f>'Key input_Biomass_MAgPIE'!AC131</f>
        <v>327.30553273789099</v>
      </c>
      <c r="AF136" s="456">
        <f>'Key input_Biomass_MAgPIE'!AD131</f>
        <v>51700.000311987096</v>
      </c>
      <c r="AG136" s="456">
        <f>'Key input_Biomass_MAgPIE'!AE131</f>
        <v>351370.00031280395</v>
      </c>
      <c r="AH136" s="456">
        <f>'Key input_Biomass_MAgPIE'!AF131</f>
        <v>1805790.00047965</v>
      </c>
      <c r="AK136"/>
      <c r="AL136"/>
    </row>
    <row r="137" spans="1:38" s="4" customFormat="1">
      <c r="A137" s="4" t="str">
        <f t="shared" si="56"/>
        <v>MIN-RSVBIOOLC1</v>
      </c>
      <c r="B137" s="4" t="str">
        <f t="shared" si="52"/>
        <v>UPS Reserves of Biomass - Oil crops - Reserve - Supply curve step 1</v>
      </c>
      <c r="C137" s="4" t="str">
        <f t="shared" si="53"/>
        <v>RSVBIOOLC</v>
      </c>
      <c r="D137" s="4" t="str">
        <f t="shared" si="54"/>
        <v>ACT_BND</v>
      </c>
      <c r="E137" s="4" t="str">
        <f t="shared" si="55"/>
        <v>UP</v>
      </c>
      <c r="F137" s="4">
        <v>2070</v>
      </c>
      <c r="G137" s="456">
        <f>'Key input_Biomass_MAgPIE'!E132</f>
        <v>3.0382535240995399E-2</v>
      </c>
      <c r="H137" s="456">
        <f>'Key input_Biomass_MAgPIE'!F132</f>
        <v>2.7741580111071102E-2</v>
      </c>
      <c r="I137" s="456">
        <f>'Key input_Biomass_MAgPIE'!G132</f>
        <v>219.92361433181699</v>
      </c>
      <c r="J137" s="456">
        <f>'Key input_Biomass_MAgPIE'!H132</f>
        <v>2.7918067096299497E-2</v>
      </c>
      <c r="K137" s="456">
        <f>'Key input_Biomass_MAgPIE'!I132</f>
        <v>1490.0003142970199</v>
      </c>
      <c r="L137" s="456">
        <f>'Key input_Biomass_MAgPIE'!J132</f>
        <v>196.12458171137402</v>
      </c>
      <c r="M137" s="456">
        <f>'Key input_Biomass_MAgPIE'!K132</f>
        <v>1016220.00034359</v>
      </c>
      <c r="N137" s="456">
        <f>'Key input_Biomass_MAgPIE'!L132</f>
        <v>3.6200009662161997E-2</v>
      </c>
      <c r="O137" s="456">
        <f>'Key input_Biomass_MAgPIE'!M132</f>
        <v>1427110.00015497</v>
      </c>
      <c r="P137" s="456">
        <f>'Key input_Biomass_MAgPIE'!N132</f>
        <v>104150.000311182</v>
      </c>
      <c r="Q137" s="456">
        <f>'Key input_Biomass_MAgPIE'!O132</f>
        <v>2.5876602594380099E-2</v>
      </c>
      <c r="R137" s="456">
        <f>'Key input_Biomass_MAgPIE'!P132</f>
        <v>3076249.99939021</v>
      </c>
      <c r="S137" s="456">
        <f>'Key input_Biomass_MAgPIE'!Q132</f>
        <v>7485.3149452341495</v>
      </c>
      <c r="T137" s="456">
        <f>'Key input_Biomass_MAgPIE'!R132</f>
        <v>356550.00032095402</v>
      </c>
      <c r="U137" s="456">
        <f>'Key input_Biomass_MAgPIE'!S132</f>
        <v>741240.00031688996</v>
      </c>
      <c r="V137" s="456">
        <f>'Key input_Biomass_MAgPIE'!T132</f>
        <v>2237420.0003140699</v>
      </c>
      <c r="W137" s="456">
        <f>'Key input_Biomass_MAgPIE'!U132</f>
        <v>2600989.9998852699</v>
      </c>
      <c r="X137" s="456">
        <f>'Key input_Biomass_MAgPIE'!V132</f>
        <v>2389840.00066151</v>
      </c>
      <c r="Y137" s="456">
        <f>'Key input_Biomass_MAgPIE'!W132</f>
        <v>2.6147628821777801E-2</v>
      </c>
      <c r="Z137" s="456">
        <f>'Key input_Biomass_MAgPIE'!X132</f>
        <v>5292.8275675854102</v>
      </c>
      <c r="AA137" s="456">
        <f>'Key input_Biomass_MAgPIE'!Y132</f>
        <v>1000620.00031301</v>
      </c>
      <c r="AB137" s="456">
        <f>'Key input_Biomass_MAgPIE'!Z132</f>
        <v>41840.000312384102</v>
      </c>
      <c r="AC137" s="456">
        <f>'Key input_Biomass_MAgPIE'!AA132</f>
        <v>12394.873394422701</v>
      </c>
      <c r="AD137" s="456">
        <f>'Key input_Biomass_MAgPIE'!AB132</f>
        <v>3.0954936647878503E-2</v>
      </c>
      <c r="AE137" s="456">
        <f>'Key input_Biomass_MAgPIE'!AC132</f>
        <v>327.30553273789099</v>
      </c>
      <c r="AF137" s="456">
        <f>'Key input_Biomass_MAgPIE'!AD132</f>
        <v>51700.000311987096</v>
      </c>
      <c r="AG137" s="456">
        <f>'Key input_Biomass_MAgPIE'!AE132</f>
        <v>351370.00031280395</v>
      </c>
      <c r="AH137" s="456">
        <f>'Key input_Biomass_MAgPIE'!AF132</f>
        <v>1805790.00047965</v>
      </c>
      <c r="AK137"/>
      <c r="AL137"/>
    </row>
    <row r="138" spans="1:38" s="4" customFormat="1">
      <c r="A138" s="4" t="str">
        <f t="shared" si="56"/>
        <v>MIN-RSVBIOOLC1</v>
      </c>
      <c r="B138" s="4" t="str">
        <f t="shared" si="52"/>
        <v>UPS Reserves of Biomass - Oil crops - Reserve - Supply curve step 1</v>
      </c>
      <c r="C138" s="4" t="str">
        <f t="shared" si="53"/>
        <v>RSVBIOOLC</v>
      </c>
      <c r="D138" s="4" t="str">
        <f t="shared" si="54"/>
        <v>ACT_BND</v>
      </c>
      <c r="E138" s="4" t="str">
        <f t="shared" si="55"/>
        <v>UP</v>
      </c>
      <c r="F138" s="4">
        <v>2080</v>
      </c>
      <c r="G138" s="456">
        <f>'Key input_Biomass_MAgPIE'!E133</f>
        <v>3.0382535240995399E-2</v>
      </c>
      <c r="H138" s="456">
        <f>'Key input_Biomass_MAgPIE'!F133</f>
        <v>2.7741580111071102E-2</v>
      </c>
      <c r="I138" s="456">
        <f>'Key input_Biomass_MAgPIE'!G133</f>
        <v>219.92361433181699</v>
      </c>
      <c r="J138" s="456">
        <f>'Key input_Biomass_MAgPIE'!H133</f>
        <v>2.7918067096299497E-2</v>
      </c>
      <c r="K138" s="456">
        <f>'Key input_Biomass_MAgPIE'!I133</f>
        <v>1490.0003142970199</v>
      </c>
      <c r="L138" s="456">
        <f>'Key input_Biomass_MAgPIE'!J133</f>
        <v>196.12458171137402</v>
      </c>
      <c r="M138" s="456">
        <f>'Key input_Biomass_MAgPIE'!K133</f>
        <v>1016220.00034359</v>
      </c>
      <c r="N138" s="456">
        <f>'Key input_Biomass_MAgPIE'!L133</f>
        <v>3.6200009662161997E-2</v>
      </c>
      <c r="O138" s="456">
        <f>'Key input_Biomass_MAgPIE'!M133</f>
        <v>1427110.00015497</v>
      </c>
      <c r="P138" s="456">
        <f>'Key input_Biomass_MAgPIE'!N133</f>
        <v>104150.000311182</v>
      </c>
      <c r="Q138" s="456">
        <f>'Key input_Biomass_MAgPIE'!O133</f>
        <v>2.5876602594380099E-2</v>
      </c>
      <c r="R138" s="456">
        <f>'Key input_Biomass_MAgPIE'!P133</f>
        <v>3076249.99939021</v>
      </c>
      <c r="S138" s="456">
        <f>'Key input_Biomass_MAgPIE'!Q133</f>
        <v>7485.3149452341495</v>
      </c>
      <c r="T138" s="456">
        <f>'Key input_Biomass_MAgPIE'!R133</f>
        <v>356550.00032095402</v>
      </c>
      <c r="U138" s="456">
        <f>'Key input_Biomass_MAgPIE'!S133</f>
        <v>741240.00031688996</v>
      </c>
      <c r="V138" s="456">
        <f>'Key input_Biomass_MAgPIE'!T133</f>
        <v>2237420.0003140699</v>
      </c>
      <c r="W138" s="456">
        <f>'Key input_Biomass_MAgPIE'!U133</f>
        <v>2600989.9998852699</v>
      </c>
      <c r="X138" s="456">
        <f>'Key input_Biomass_MAgPIE'!V133</f>
        <v>2389840.00066151</v>
      </c>
      <c r="Y138" s="456">
        <f>'Key input_Biomass_MAgPIE'!W133</f>
        <v>2.6147628821777801E-2</v>
      </c>
      <c r="Z138" s="456">
        <f>'Key input_Biomass_MAgPIE'!X133</f>
        <v>5292.8275675854102</v>
      </c>
      <c r="AA138" s="456">
        <f>'Key input_Biomass_MAgPIE'!Y133</f>
        <v>1000620.00031301</v>
      </c>
      <c r="AB138" s="456">
        <f>'Key input_Biomass_MAgPIE'!Z133</f>
        <v>41840.000312384102</v>
      </c>
      <c r="AC138" s="456">
        <f>'Key input_Biomass_MAgPIE'!AA133</f>
        <v>12394.873394422701</v>
      </c>
      <c r="AD138" s="456">
        <f>'Key input_Biomass_MAgPIE'!AB133</f>
        <v>3.0954936647878503E-2</v>
      </c>
      <c r="AE138" s="456">
        <f>'Key input_Biomass_MAgPIE'!AC133</f>
        <v>327.30553273789099</v>
      </c>
      <c r="AF138" s="456">
        <f>'Key input_Biomass_MAgPIE'!AD133</f>
        <v>51700.000311987096</v>
      </c>
      <c r="AG138" s="456">
        <f>'Key input_Biomass_MAgPIE'!AE133</f>
        <v>351370.00031280395</v>
      </c>
      <c r="AH138" s="456">
        <f>'Key input_Biomass_MAgPIE'!AF133</f>
        <v>1805790.00047965</v>
      </c>
      <c r="AK138"/>
      <c r="AL138"/>
    </row>
    <row r="139" spans="1:38" s="4" customFormat="1">
      <c r="A139" s="4" t="str">
        <f t="shared" si="56"/>
        <v>MIN-RSVBIOOLC1</v>
      </c>
      <c r="B139" s="4" t="str">
        <f t="shared" si="52"/>
        <v>UPS Reserves of Biomass - Oil crops - Reserve - Supply curve step 1</v>
      </c>
      <c r="C139" s="4" t="str">
        <f t="shared" si="53"/>
        <v>RSVBIOOLC</v>
      </c>
      <c r="D139" s="4" t="str">
        <f t="shared" si="54"/>
        <v>ACT_BND</v>
      </c>
      <c r="E139" s="4" t="str">
        <f t="shared" si="55"/>
        <v>UP</v>
      </c>
      <c r="F139" s="4">
        <v>2090</v>
      </c>
      <c r="G139" s="456">
        <f>'Key input_Biomass_MAgPIE'!E134</f>
        <v>3.0382535240995399E-2</v>
      </c>
      <c r="H139" s="456">
        <f>'Key input_Biomass_MAgPIE'!F134</f>
        <v>2.7741580111071102E-2</v>
      </c>
      <c r="I139" s="456">
        <f>'Key input_Biomass_MAgPIE'!G134</f>
        <v>219.92361433181699</v>
      </c>
      <c r="J139" s="456">
        <f>'Key input_Biomass_MAgPIE'!H134</f>
        <v>2.7918067096299497E-2</v>
      </c>
      <c r="K139" s="456">
        <f>'Key input_Biomass_MAgPIE'!I134</f>
        <v>1490.0003142970199</v>
      </c>
      <c r="L139" s="456">
        <f>'Key input_Biomass_MAgPIE'!J134</f>
        <v>196.12458171137402</v>
      </c>
      <c r="M139" s="456">
        <f>'Key input_Biomass_MAgPIE'!K134</f>
        <v>1016220.00034359</v>
      </c>
      <c r="N139" s="456">
        <f>'Key input_Biomass_MAgPIE'!L134</f>
        <v>3.6200009662161997E-2</v>
      </c>
      <c r="O139" s="456">
        <f>'Key input_Biomass_MAgPIE'!M134</f>
        <v>1427110.00015497</v>
      </c>
      <c r="P139" s="456">
        <f>'Key input_Biomass_MAgPIE'!N134</f>
        <v>104150.000311182</v>
      </c>
      <c r="Q139" s="456">
        <f>'Key input_Biomass_MAgPIE'!O134</f>
        <v>2.5876602594380099E-2</v>
      </c>
      <c r="R139" s="456">
        <f>'Key input_Biomass_MAgPIE'!P134</f>
        <v>3076249.99939021</v>
      </c>
      <c r="S139" s="456">
        <f>'Key input_Biomass_MAgPIE'!Q134</f>
        <v>7485.3149452341495</v>
      </c>
      <c r="T139" s="456">
        <f>'Key input_Biomass_MAgPIE'!R134</f>
        <v>356550.00032095402</v>
      </c>
      <c r="U139" s="456">
        <f>'Key input_Biomass_MAgPIE'!S134</f>
        <v>741240.00031688996</v>
      </c>
      <c r="V139" s="456">
        <f>'Key input_Biomass_MAgPIE'!T134</f>
        <v>2237420.0003140699</v>
      </c>
      <c r="W139" s="456">
        <f>'Key input_Biomass_MAgPIE'!U134</f>
        <v>2600989.9998852699</v>
      </c>
      <c r="X139" s="456">
        <f>'Key input_Biomass_MAgPIE'!V134</f>
        <v>2389840.00066151</v>
      </c>
      <c r="Y139" s="456">
        <f>'Key input_Biomass_MAgPIE'!W134</f>
        <v>2.6147628821777801E-2</v>
      </c>
      <c r="Z139" s="456">
        <f>'Key input_Biomass_MAgPIE'!X134</f>
        <v>5292.8275675854102</v>
      </c>
      <c r="AA139" s="456">
        <f>'Key input_Biomass_MAgPIE'!Y134</f>
        <v>1000620.00031301</v>
      </c>
      <c r="AB139" s="456">
        <f>'Key input_Biomass_MAgPIE'!Z134</f>
        <v>41840.000312384102</v>
      </c>
      <c r="AC139" s="456">
        <f>'Key input_Biomass_MAgPIE'!AA134</f>
        <v>12394.873394422701</v>
      </c>
      <c r="AD139" s="456">
        <f>'Key input_Biomass_MAgPIE'!AB134</f>
        <v>3.0954936647878503E-2</v>
      </c>
      <c r="AE139" s="456">
        <f>'Key input_Biomass_MAgPIE'!AC134</f>
        <v>327.30553273789099</v>
      </c>
      <c r="AF139" s="456">
        <f>'Key input_Biomass_MAgPIE'!AD134</f>
        <v>51700.000311987096</v>
      </c>
      <c r="AG139" s="456">
        <f>'Key input_Biomass_MAgPIE'!AE134</f>
        <v>351370.00031280395</v>
      </c>
      <c r="AH139" s="456">
        <f>'Key input_Biomass_MAgPIE'!AF134</f>
        <v>1805790.00047965</v>
      </c>
      <c r="AK139"/>
      <c r="AL139"/>
    </row>
    <row r="140" spans="1:38" s="4" customFormat="1">
      <c r="A140" s="259" t="str">
        <f t="shared" si="56"/>
        <v>MIN-RSVBIOOLC1</v>
      </c>
      <c r="B140" s="259" t="str">
        <f t="shared" si="52"/>
        <v>UPS Reserves of Biomass - Oil crops - Reserve - Supply curve step 1</v>
      </c>
      <c r="C140" s="259" t="str">
        <f t="shared" si="53"/>
        <v>RSVBIOOLC</v>
      </c>
      <c r="D140" s="259" t="str">
        <f t="shared" si="54"/>
        <v>ACT_BND</v>
      </c>
      <c r="E140" s="259" t="str">
        <f t="shared" si="55"/>
        <v>UP</v>
      </c>
      <c r="F140" s="259">
        <v>2100</v>
      </c>
      <c r="G140" s="435">
        <f>'Key input_Biomass_MAgPIE'!E135</f>
        <v>3.0382535240995399E-2</v>
      </c>
      <c r="H140" s="435">
        <f>'Key input_Biomass_MAgPIE'!F135</f>
        <v>2.7741580111071102E-2</v>
      </c>
      <c r="I140" s="435">
        <f>'Key input_Biomass_MAgPIE'!G135</f>
        <v>219.92361433181699</v>
      </c>
      <c r="J140" s="435">
        <f>'Key input_Biomass_MAgPIE'!H135</f>
        <v>2.7918067096299497E-2</v>
      </c>
      <c r="K140" s="435">
        <f>'Key input_Biomass_MAgPIE'!I135</f>
        <v>1490.0003142970199</v>
      </c>
      <c r="L140" s="435">
        <f>'Key input_Biomass_MAgPIE'!J135</f>
        <v>196.12458171137402</v>
      </c>
      <c r="M140" s="435">
        <f>'Key input_Biomass_MAgPIE'!K135</f>
        <v>1016220.00034359</v>
      </c>
      <c r="N140" s="435">
        <f>'Key input_Biomass_MAgPIE'!L135</f>
        <v>3.6200009662161997E-2</v>
      </c>
      <c r="O140" s="435">
        <f>'Key input_Biomass_MAgPIE'!M135</f>
        <v>1427110.00015497</v>
      </c>
      <c r="P140" s="435">
        <f>'Key input_Biomass_MAgPIE'!N135</f>
        <v>104150.000311182</v>
      </c>
      <c r="Q140" s="435">
        <f>'Key input_Biomass_MAgPIE'!O135</f>
        <v>2.5876602594380099E-2</v>
      </c>
      <c r="R140" s="435">
        <f>'Key input_Biomass_MAgPIE'!P135</f>
        <v>3076249.99939021</v>
      </c>
      <c r="S140" s="435">
        <f>'Key input_Biomass_MAgPIE'!Q135</f>
        <v>7485.3149452341495</v>
      </c>
      <c r="T140" s="435">
        <f>'Key input_Biomass_MAgPIE'!R135</f>
        <v>356550.00032095402</v>
      </c>
      <c r="U140" s="435">
        <f>'Key input_Biomass_MAgPIE'!S135</f>
        <v>741240.00031688996</v>
      </c>
      <c r="V140" s="435">
        <f>'Key input_Biomass_MAgPIE'!T135</f>
        <v>2237420.0003140699</v>
      </c>
      <c r="W140" s="435">
        <f>'Key input_Biomass_MAgPIE'!U135</f>
        <v>2600989.9998852699</v>
      </c>
      <c r="X140" s="435">
        <f>'Key input_Biomass_MAgPIE'!V135</f>
        <v>2389840.00066151</v>
      </c>
      <c r="Y140" s="435">
        <f>'Key input_Biomass_MAgPIE'!W135</f>
        <v>2.6147628821777801E-2</v>
      </c>
      <c r="Z140" s="435">
        <f>'Key input_Biomass_MAgPIE'!X135</f>
        <v>5292.8275675854102</v>
      </c>
      <c r="AA140" s="435">
        <f>'Key input_Biomass_MAgPIE'!Y135</f>
        <v>1000620.00031301</v>
      </c>
      <c r="AB140" s="435">
        <f>'Key input_Biomass_MAgPIE'!Z135</f>
        <v>41840.000312384102</v>
      </c>
      <c r="AC140" s="435">
        <f>'Key input_Biomass_MAgPIE'!AA135</f>
        <v>12394.873394422701</v>
      </c>
      <c r="AD140" s="435">
        <f>'Key input_Biomass_MAgPIE'!AB135</f>
        <v>3.0954936647878503E-2</v>
      </c>
      <c r="AE140" s="435">
        <f>'Key input_Biomass_MAgPIE'!AC135</f>
        <v>327.30553273789099</v>
      </c>
      <c r="AF140" s="435">
        <f>'Key input_Biomass_MAgPIE'!AD135</f>
        <v>51700.000311987096</v>
      </c>
      <c r="AG140" s="435">
        <f>'Key input_Biomass_MAgPIE'!AE135</f>
        <v>351370.00031280395</v>
      </c>
      <c r="AH140" s="435">
        <f>'Key input_Biomass_MAgPIE'!AF135</f>
        <v>1805790.00047965</v>
      </c>
      <c r="AK140"/>
      <c r="AL140"/>
    </row>
    <row r="141" spans="1:38" s="4" customFormat="1">
      <c r="A141" s="4" t="str">
        <f t="shared" ref="A141" si="57">IF(AK21="",AJ21,AK21)</f>
        <v>MIN-RSVBIOOLC2</v>
      </c>
      <c r="B141" s="4" t="str">
        <f t="shared" ref="B141" si="58">IF($AK21="","",AL21)</f>
        <v>UPS Reserves of Biomass - Oil crops - Reserve - Supply curve step 2</v>
      </c>
      <c r="C141" s="4" t="str">
        <f>Commodities!$C$18</f>
        <v>RSVBIOOLC</v>
      </c>
      <c r="D141" s="4" t="s">
        <v>678</v>
      </c>
      <c r="E141" s="4" t="s">
        <v>661</v>
      </c>
      <c r="F141" s="4">
        <v>2019</v>
      </c>
      <c r="G141" s="258">
        <f>'Key input_Biomass_MAgPIE'!E136</f>
        <v>0</v>
      </c>
      <c r="H141" s="258">
        <f>'Key input_Biomass_MAgPIE'!F136</f>
        <v>0</v>
      </c>
      <c r="I141" s="258">
        <f>'Key input_Biomass_MAgPIE'!G136</f>
        <v>0</v>
      </c>
      <c r="J141" s="258">
        <f>'Key input_Biomass_MAgPIE'!H136</f>
        <v>0</v>
      </c>
      <c r="K141" s="258">
        <f>'Key input_Biomass_MAgPIE'!I136</f>
        <v>0</v>
      </c>
      <c r="L141" s="258">
        <f>'Key input_Biomass_MAgPIE'!J136</f>
        <v>0</v>
      </c>
      <c r="M141" s="258">
        <f>'Key input_Biomass_MAgPIE'!K136</f>
        <v>0</v>
      </c>
      <c r="N141" s="258">
        <f>'Key input_Biomass_MAgPIE'!L136</f>
        <v>0</v>
      </c>
      <c r="O141" s="258">
        <f>'Key input_Biomass_MAgPIE'!M136</f>
        <v>0</v>
      </c>
      <c r="P141" s="258">
        <f>'Key input_Biomass_MAgPIE'!N136</f>
        <v>0</v>
      </c>
      <c r="Q141" s="258">
        <f>'Key input_Biomass_MAgPIE'!O136</f>
        <v>0</v>
      </c>
      <c r="R141" s="258">
        <f>'Key input_Biomass_MAgPIE'!P136</f>
        <v>0</v>
      </c>
      <c r="S141" s="258">
        <f>'Key input_Biomass_MAgPIE'!Q136</f>
        <v>0</v>
      </c>
      <c r="T141" s="258">
        <f>'Key input_Biomass_MAgPIE'!R136</f>
        <v>0</v>
      </c>
      <c r="U141" s="258">
        <f>'Key input_Biomass_MAgPIE'!S136</f>
        <v>0</v>
      </c>
      <c r="V141" s="258">
        <f>'Key input_Biomass_MAgPIE'!T136</f>
        <v>0</v>
      </c>
      <c r="W141" s="258">
        <f>'Key input_Biomass_MAgPIE'!U136</f>
        <v>0</v>
      </c>
      <c r="X141" s="258">
        <f>'Key input_Biomass_MAgPIE'!V136</f>
        <v>0</v>
      </c>
      <c r="Y141" s="258">
        <f>'Key input_Biomass_MAgPIE'!W136</f>
        <v>0</v>
      </c>
      <c r="Z141" s="258">
        <f>'Key input_Biomass_MAgPIE'!X136</f>
        <v>0</v>
      </c>
      <c r="AA141" s="258">
        <f>'Key input_Biomass_MAgPIE'!Y136</f>
        <v>0</v>
      </c>
      <c r="AB141" s="258">
        <f>'Key input_Biomass_MAgPIE'!Z136</f>
        <v>0</v>
      </c>
      <c r="AC141" s="258">
        <f>'Key input_Biomass_MAgPIE'!AA136</f>
        <v>0</v>
      </c>
      <c r="AD141" s="258">
        <f>'Key input_Biomass_MAgPIE'!AB136</f>
        <v>0</v>
      </c>
      <c r="AE141" s="258">
        <f>'Key input_Biomass_MAgPIE'!AC136</f>
        <v>0</v>
      </c>
      <c r="AF141" s="258">
        <f>'Key input_Biomass_MAgPIE'!AD136</f>
        <v>0</v>
      </c>
      <c r="AG141" s="258">
        <f>'Key input_Biomass_MAgPIE'!AE136</f>
        <v>0</v>
      </c>
      <c r="AH141" s="258">
        <f>'Key input_Biomass_MAgPIE'!AF136</f>
        <v>0</v>
      </c>
      <c r="AK141"/>
      <c r="AL141"/>
    </row>
    <row r="142" spans="1:38" s="4" customFormat="1">
      <c r="A142" s="4" t="str">
        <f>A141</f>
        <v>MIN-RSVBIOOLC2</v>
      </c>
      <c r="B142" s="4" t="str">
        <f t="shared" ref="B142:B153" si="59">B141</f>
        <v>UPS Reserves of Biomass - Oil crops - Reserve - Supply curve step 2</v>
      </c>
      <c r="C142" s="4" t="str">
        <f t="shared" ref="C142:C153" si="60">C141</f>
        <v>RSVBIOOLC</v>
      </c>
      <c r="D142" s="4" t="str">
        <f t="shared" ref="D142:D153" si="61">D141</f>
        <v>ACT_BND</v>
      </c>
      <c r="E142" s="4" t="str">
        <f t="shared" ref="E142:E153" si="62">E141</f>
        <v>UP</v>
      </c>
      <c r="F142" s="4">
        <v>2020</v>
      </c>
      <c r="G142" s="456">
        <f>'Key input_Biomass_MAgPIE'!E137</f>
        <v>0</v>
      </c>
      <c r="H142" s="456">
        <f>'Key input_Biomass_MAgPIE'!F137</f>
        <v>0</v>
      </c>
      <c r="I142" s="456">
        <f>'Key input_Biomass_MAgPIE'!G137</f>
        <v>0</v>
      </c>
      <c r="J142" s="456">
        <f>'Key input_Biomass_MAgPIE'!H137</f>
        <v>0</v>
      </c>
      <c r="K142" s="456">
        <f>'Key input_Biomass_MAgPIE'!I137</f>
        <v>0</v>
      </c>
      <c r="L142" s="456">
        <f>'Key input_Biomass_MAgPIE'!J137</f>
        <v>0</v>
      </c>
      <c r="M142" s="456">
        <f>'Key input_Biomass_MAgPIE'!K137</f>
        <v>0</v>
      </c>
      <c r="N142" s="456">
        <f>'Key input_Biomass_MAgPIE'!L137</f>
        <v>0</v>
      </c>
      <c r="O142" s="456">
        <f>'Key input_Biomass_MAgPIE'!M137</f>
        <v>0</v>
      </c>
      <c r="P142" s="456">
        <f>'Key input_Biomass_MAgPIE'!N137</f>
        <v>0</v>
      </c>
      <c r="Q142" s="456">
        <f>'Key input_Biomass_MAgPIE'!O137</f>
        <v>0</v>
      </c>
      <c r="R142" s="456">
        <f>'Key input_Biomass_MAgPIE'!P137</f>
        <v>0</v>
      </c>
      <c r="S142" s="456">
        <f>'Key input_Biomass_MAgPIE'!Q137</f>
        <v>0</v>
      </c>
      <c r="T142" s="456">
        <f>'Key input_Biomass_MAgPIE'!R137</f>
        <v>0</v>
      </c>
      <c r="U142" s="456">
        <f>'Key input_Biomass_MAgPIE'!S137</f>
        <v>0</v>
      </c>
      <c r="V142" s="456">
        <f>'Key input_Biomass_MAgPIE'!T137</f>
        <v>0</v>
      </c>
      <c r="W142" s="456">
        <f>'Key input_Biomass_MAgPIE'!U137</f>
        <v>0</v>
      </c>
      <c r="X142" s="456">
        <f>'Key input_Biomass_MAgPIE'!V137</f>
        <v>0</v>
      </c>
      <c r="Y142" s="456">
        <f>'Key input_Biomass_MAgPIE'!W137</f>
        <v>0</v>
      </c>
      <c r="Z142" s="456">
        <f>'Key input_Biomass_MAgPIE'!X137</f>
        <v>0</v>
      </c>
      <c r="AA142" s="456">
        <f>'Key input_Biomass_MAgPIE'!Y137</f>
        <v>0</v>
      </c>
      <c r="AB142" s="456">
        <f>'Key input_Biomass_MAgPIE'!Z137</f>
        <v>0</v>
      </c>
      <c r="AC142" s="456">
        <f>'Key input_Biomass_MAgPIE'!AA137</f>
        <v>0</v>
      </c>
      <c r="AD142" s="456">
        <f>'Key input_Biomass_MAgPIE'!AB137</f>
        <v>0</v>
      </c>
      <c r="AE142" s="456">
        <f>'Key input_Biomass_MAgPIE'!AC137</f>
        <v>0</v>
      </c>
      <c r="AF142" s="456">
        <f>'Key input_Biomass_MAgPIE'!AD137</f>
        <v>0</v>
      </c>
      <c r="AG142" s="456">
        <f>'Key input_Biomass_MAgPIE'!AE137</f>
        <v>0</v>
      </c>
      <c r="AH142" s="456">
        <f>'Key input_Biomass_MAgPIE'!AF137</f>
        <v>0</v>
      </c>
      <c r="AK142"/>
      <c r="AL142"/>
    </row>
    <row r="143" spans="1:38" s="4" customFormat="1">
      <c r="A143" s="4" t="str">
        <f t="shared" ref="A143:A153" si="63">A142</f>
        <v>MIN-RSVBIOOLC2</v>
      </c>
      <c r="B143" s="4" t="str">
        <f t="shared" si="59"/>
        <v>UPS Reserves of Biomass - Oil crops - Reserve - Supply curve step 2</v>
      </c>
      <c r="C143" s="4" t="str">
        <f t="shared" si="60"/>
        <v>RSVBIOOLC</v>
      </c>
      <c r="D143" s="4" t="str">
        <f t="shared" si="61"/>
        <v>ACT_BND</v>
      </c>
      <c r="E143" s="4" t="str">
        <f t="shared" si="62"/>
        <v>UP</v>
      </c>
      <c r="F143" s="4">
        <v>2025</v>
      </c>
      <c r="G143" s="456">
        <f>'Key input_Biomass_MAgPIE'!E138</f>
        <v>0</v>
      </c>
      <c r="H143" s="456">
        <f>'Key input_Biomass_MAgPIE'!F138</f>
        <v>0</v>
      </c>
      <c r="I143" s="456">
        <f>'Key input_Biomass_MAgPIE'!G138</f>
        <v>0</v>
      </c>
      <c r="J143" s="456">
        <f>'Key input_Biomass_MAgPIE'!H138</f>
        <v>0</v>
      </c>
      <c r="K143" s="456">
        <f>'Key input_Biomass_MAgPIE'!I138</f>
        <v>0</v>
      </c>
      <c r="L143" s="456">
        <f>'Key input_Biomass_MAgPIE'!J138</f>
        <v>0</v>
      </c>
      <c r="M143" s="456">
        <f>'Key input_Biomass_MAgPIE'!K138</f>
        <v>0</v>
      </c>
      <c r="N143" s="456">
        <f>'Key input_Biomass_MAgPIE'!L138</f>
        <v>0</v>
      </c>
      <c r="O143" s="456">
        <f>'Key input_Biomass_MAgPIE'!M138</f>
        <v>0</v>
      </c>
      <c r="P143" s="456">
        <f>'Key input_Biomass_MAgPIE'!N138</f>
        <v>0</v>
      </c>
      <c r="Q143" s="456">
        <f>'Key input_Biomass_MAgPIE'!O138</f>
        <v>0</v>
      </c>
      <c r="R143" s="456">
        <f>'Key input_Biomass_MAgPIE'!P138</f>
        <v>0</v>
      </c>
      <c r="S143" s="456">
        <f>'Key input_Biomass_MAgPIE'!Q138</f>
        <v>0</v>
      </c>
      <c r="T143" s="456">
        <f>'Key input_Biomass_MAgPIE'!R138</f>
        <v>0</v>
      </c>
      <c r="U143" s="456">
        <f>'Key input_Biomass_MAgPIE'!S138</f>
        <v>0</v>
      </c>
      <c r="V143" s="456">
        <f>'Key input_Biomass_MAgPIE'!T138</f>
        <v>0</v>
      </c>
      <c r="W143" s="456">
        <f>'Key input_Biomass_MAgPIE'!U138</f>
        <v>0</v>
      </c>
      <c r="X143" s="456">
        <f>'Key input_Biomass_MAgPIE'!V138</f>
        <v>0</v>
      </c>
      <c r="Y143" s="456">
        <f>'Key input_Biomass_MAgPIE'!W138</f>
        <v>0</v>
      </c>
      <c r="Z143" s="456">
        <f>'Key input_Biomass_MAgPIE'!X138</f>
        <v>0</v>
      </c>
      <c r="AA143" s="456">
        <f>'Key input_Biomass_MAgPIE'!Y138</f>
        <v>0</v>
      </c>
      <c r="AB143" s="456">
        <f>'Key input_Biomass_MAgPIE'!Z138</f>
        <v>0</v>
      </c>
      <c r="AC143" s="456">
        <f>'Key input_Biomass_MAgPIE'!AA138</f>
        <v>0</v>
      </c>
      <c r="AD143" s="456">
        <f>'Key input_Biomass_MAgPIE'!AB138</f>
        <v>0</v>
      </c>
      <c r="AE143" s="456">
        <f>'Key input_Biomass_MAgPIE'!AC138</f>
        <v>0</v>
      </c>
      <c r="AF143" s="456">
        <f>'Key input_Biomass_MAgPIE'!AD138</f>
        <v>0</v>
      </c>
      <c r="AG143" s="456">
        <f>'Key input_Biomass_MAgPIE'!AE138</f>
        <v>0</v>
      </c>
      <c r="AH143" s="456">
        <f>'Key input_Biomass_MAgPIE'!AF138</f>
        <v>0</v>
      </c>
      <c r="AK143"/>
      <c r="AL143"/>
    </row>
    <row r="144" spans="1:38" s="4" customFormat="1">
      <c r="A144" s="4" t="str">
        <f t="shared" si="63"/>
        <v>MIN-RSVBIOOLC2</v>
      </c>
      <c r="B144" s="4" t="str">
        <f t="shared" si="59"/>
        <v>UPS Reserves of Biomass - Oil crops - Reserve - Supply curve step 2</v>
      </c>
      <c r="C144" s="4" t="str">
        <f t="shared" si="60"/>
        <v>RSVBIOOLC</v>
      </c>
      <c r="D144" s="4" t="str">
        <f t="shared" si="61"/>
        <v>ACT_BND</v>
      </c>
      <c r="E144" s="4" t="str">
        <f t="shared" si="62"/>
        <v>UP</v>
      </c>
      <c r="F144" s="4">
        <v>2030</v>
      </c>
      <c r="G144" s="456">
        <f>'Key input_Biomass_MAgPIE'!E139</f>
        <v>0</v>
      </c>
      <c r="H144" s="456">
        <f>'Key input_Biomass_MAgPIE'!F139</f>
        <v>0</v>
      </c>
      <c r="I144" s="456">
        <f>'Key input_Biomass_MAgPIE'!G139</f>
        <v>0</v>
      </c>
      <c r="J144" s="456">
        <f>'Key input_Biomass_MAgPIE'!H139</f>
        <v>0</v>
      </c>
      <c r="K144" s="456">
        <f>'Key input_Biomass_MAgPIE'!I139</f>
        <v>0</v>
      </c>
      <c r="L144" s="456">
        <f>'Key input_Biomass_MAgPIE'!J139</f>
        <v>0</v>
      </c>
      <c r="M144" s="456">
        <f>'Key input_Biomass_MAgPIE'!K139</f>
        <v>0</v>
      </c>
      <c r="N144" s="456">
        <f>'Key input_Biomass_MAgPIE'!L139</f>
        <v>0</v>
      </c>
      <c r="O144" s="456">
        <f>'Key input_Biomass_MAgPIE'!M139</f>
        <v>0</v>
      </c>
      <c r="P144" s="456">
        <f>'Key input_Biomass_MAgPIE'!N139</f>
        <v>0</v>
      </c>
      <c r="Q144" s="456">
        <f>'Key input_Biomass_MAgPIE'!O139</f>
        <v>0</v>
      </c>
      <c r="R144" s="456">
        <f>'Key input_Biomass_MAgPIE'!P139</f>
        <v>0</v>
      </c>
      <c r="S144" s="456">
        <f>'Key input_Biomass_MAgPIE'!Q139</f>
        <v>0</v>
      </c>
      <c r="T144" s="456">
        <f>'Key input_Biomass_MAgPIE'!R139</f>
        <v>0</v>
      </c>
      <c r="U144" s="456">
        <f>'Key input_Biomass_MAgPIE'!S139</f>
        <v>0</v>
      </c>
      <c r="V144" s="456">
        <f>'Key input_Biomass_MAgPIE'!T139</f>
        <v>0</v>
      </c>
      <c r="W144" s="456">
        <f>'Key input_Biomass_MAgPIE'!U139</f>
        <v>0</v>
      </c>
      <c r="X144" s="456">
        <f>'Key input_Biomass_MAgPIE'!V139</f>
        <v>0</v>
      </c>
      <c r="Y144" s="456">
        <f>'Key input_Biomass_MAgPIE'!W139</f>
        <v>0</v>
      </c>
      <c r="Z144" s="456">
        <f>'Key input_Biomass_MAgPIE'!X139</f>
        <v>0</v>
      </c>
      <c r="AA144" s="456">
        <f>'Key input_Biomass_MAgPIE'!Y139</f>
        <v>0</v>
      </c>
      <c r="AB144" s="456">
        <f>'Key input_Biomass_MAgPIE'!Z139</f>
        <v>0</v>
      </c>
      <c r="AC144" s="456">
        <f>'Key input_Biomass_MAgPIE'!AA139</f>
        <v>0</v>
      </c>
      <c r="AD144" s="456">
        <f>'Key input_Biomass_MAgPIE'!AB139</f>
        <v>0</v>
      </c>
      <c r="AE144" s="456">
        <f>'Key input_Biomass_MAgPIE'!AC139</f>
        <v>0</v>
      </c>
      <c r="AF144" s="456">
        <f>'Key input_Biomass_MAgPIE'!AD139</f>
        <v>0</v>
      </c>
      <c r="AG144" s="456">
        <f>'Key input_Biomass_MAgPIE'!AE139</f>
        <v>0</v>
      </c>
      <c r="AH144" s="456">
        <f>'Key input_Biomass_MAgPIE'!AF139</f>
        <v>0</v>
      </c>
      <c r="AK144"/>
      <c r="AL144"/>
    </row>
    <row r="145" spans="1:38" s="4" customFormat="1">
      <c r="A145" s="4" t="str">
        <f t="shared" si="63"/>
        <v>MIN-RSVBIOOLC2</v>
      </c>
      <c r="B145" s="4" t="str">
        <f t="shared" si="59"/>
        <v>UPS Reserves of Biomass - Oil crops - Reserve - Supply curve step 2</v>
      </c>
      <c r="C145" s="4" t="str">
        <f t="shared" si="60"/>
        <v>RSVBIOOLC</v>
      </c>
      <c r="D145" s="4" t="str">
        <f t="shared" si="61"/>
        <v>ACT_BND</v>
      </c>
      <c r="E145" s="4" t="str">
        <f t="shared" si="62"/>
        <v>UP</v>
      </c>
      <c r="F145" s="4">
        <v>2035</v>
      </c>
      <c r="G145" s="456">
        <f>'Key input_Biomass_MAgPIE'!E140</f>
        <v>0</v>
      </c>
      <c r="H145" s="456">
        <f>'Key input_Biomass_MAgPIE'!F140</f>
        <v>0</v>
      </c>
      <c r="I145" s="456">
        <f>'Key input_Biomass_MAgPIE'!G140</f>
        <v>0</v>
      </c>
      <c r="J145" s="456">
        <f>'Key input_Biomass_MAgPIE'!H140</f>
        <v>0</v>
      </c>
      <c r="K145" s="456">
        <f>'Key input_Biomass_MAgPIE'!I140</f>
        <v>0</v>
      </c>
      <c r="L145" s="456">
        <f>'Key input_Biomass_MAgPIE'!J140</f>
        <v>0</v>
      </c>
      <c r="M145" s="456">
        <f>'Key input_Biomass_MAgPIE'!K140</f>
        <v>0</v>
      </c>
      <c r="N145" s="456">
        <f>'Key input_Biomass_MAgPIE'!L140</f>
        <v>0</v>
      </c>
      <c r="O145" s="456">
        <f>'Key input_Biomass_MAgPIE'!M140</f>
        <v>0</v>
      </c>
      <c r="P145" s="456">
        <f>'Key input_Biomass_MAgPIE'!N140</f>
        <v>0</v>
      </c>
      <c r="Q145" s="456">
        <f>'Key input_Biomass_MAgPIE'!O140</f>
        <v>0</v>
      </c>
      <c r="R145" s="456">
        <f>'Key input_Biomass_MAgPIE'!P140</f>
        <v>0</v>
      </c>
      <c r="S145" s="456">
        <f>'Key input_Biomass_MAgPIE'!Q140</f>
        <v>0</v>
      </c>
      <c r="T145" s="456">
        <f>'Key input_Biomass_MAgPIE'!R140</f>
        <v>0</v>
      </c>
      <c r="U145" s="456">
        <f>'Key input_Biomass_MAgPIE'!S140</f>
        <v>0</v>
      </c>
      <c r="V145" s="456">
        <f>'Key input_Biomass_MAgPIE'!T140</f>
        <v>0</v>
      </c>
      <c r="W145" s="456">
        <f>'Key input_Biomass_MAgPIE'!U140</f>
        <v>0</v>
      </c>
      <c r="X145" s="456">
        <f>'Key input_Biomass_MAgPIE'!V140</f>
        <v>0</v>
      </c>
      <c r="Y145" s="456">
        <f>'Key input_Biomass_MAgPIE'!W140</f>
        <v>0</v>
      </c>
      <c r="Z145" s="456">
        <f>'Key input_Biomass_MAgPIE'!X140</f>
        <v>0</v>
      </c>
      <c r="AA145" s="456">
        <f>'Key input_Biomass_MAgPIE'!Y140</f>
        <v>0</v>
      </c>
      <c r="AB145" s="456">
        <f>'Key input_Biomass_MAgPIE'!Z140</f>
        <v>0</v>
      </c>
      <c r="AC145" s="456">
        <f>'Key input_Biomass_MAgPIE'!AA140</f>
        <v>0</v>
      </c>
      <c r="AD145" s="456">
        <f>'Key input_Biomass_MAgPIE'!AB140</f>
        <v>0</v>
      </c>
      <c r="AE145" s="456">
        <f>'Key input_Biomass_MAgPIE'!AC140</f>
        <v>0</v>
      </c>
      <c r="AF145" s="456">
        <f>'Key input_Biomass_MAgPIE'!AD140</f>
        <v>0</v>
      </c>
      <c r="AG145" s="456">
        <f>'Key input_Biomass_MAgPIE'!AE140</f>
        <v>0</v>
      </c>
      <c r="AH145" s="456">
        <f>'Key input_Biomass_MAgPIE'!AF140</f>
        <v>0</v>
      </c>
      <c r="AK145"/>
      <c r="AL145"/>
    </row>
    <row r="146" spans="1:38" s="4" customFormat="1">
      <c r="A146" s="4" t="str">
        <f t="shared" si="63"/>
        <v>MIN-RSVBIOOLC2</v>
      </c>
      <c r="B146" s="4" t="str">
        <f t="shared" si="59"/>
        <v>UPS Reserves of Biomass - Oil crops - Reserve - Supply curve step 2</v>
      </c>
      <c r="C146" s="4" t="str">
        <f t="shared" si="60"/>
        <v>RSVBIOOLC</v>
      </c>
      <c r="D146" s="4" t="str">
        <f t="shared" si="61"/>
        <v>ACT_BND</v>
      </c>
      <c r="E146" s="4" t="str">
        <f t="shared" si="62"/>
        <v>UP</v>
      </c>
      <c r="F146" s="4">
        <v>2040</v>
      </c>
      <c r="G146" s="456">
        <f>'Key input_Biomass_MAgPIE'!E141</f>
        <v>0</v>
      </c>
      <c r="H146" s="456">
        <f>'Key input_Biomass_MAgPIE'!F141</f>
        <v>0</v>
      </c>
      <c r="I146" s="456">
        <f>'Key input_Biomass_MAgPIE'!G141</f>
        <v>0</v>
      </c>
      <c r="J146" s="456">
        <f>'Key input_Biomass_MAgPIE'!H141</f>
        <v>0</v>
      </c>
      <c r="K146" s="456">
        <f>'Key input_Biomass_MAgPIE'!I141</f>
        <v>0</v>
      </c>
      <c r="L146" s="456">
        <f>'Key input_Biomass_MAgPIE'!J141</f>
        <v>0</v>
      </c>
      <c r="M146" s="456">
        <f>'Key input_Biomass_MAgPIE'!K141</f>
        <v>0</v>
      </c>
      <c r="N146" s="456">
        <f>'Key input_Biomass_MAgPIE'!L141</f>
        <v>0</v>
      </c>
      <c r="O146" s="456">
        <f>'Key input_Biomass_MAgPIE'!M141</f>
        <v>0</v>
      </c>
      <c r="P146" s="456">
        <f>'Key input_Biomass_MAgPIE'!N141</f>
        <v>0</v>
      </c>
      <c r="Q146" s="456">
        <f>'Key input_Biomass_MAgPIE'!O141</f>
        <v>0</v>
      </c>
      <c r="R146" s="456">
        <f>'Key input_Biomass_MAgPIE'!P141</f>
        <v>0</v>
      </c>
      <c r="S146" s="456">
        <f>'Key input_Biomass_MAgPIE'!Q141</f>
        <v>0</v>
      </c>
      <c r="T146" s="456">
        <f>'Key input_Biomass_MAgPIE'!R141</f>
        <v>0</v>
      </c>
      <c r="U146" s="456">
        <f>'Key input_Biomass_MAgPIE'!S141</f>
        <v>0</v>
      </c>
      <c r="V146" s="456">
        <f>'Key input_Biomass_MAgPIE'!T141</f>
        <v>0</v>
      </c>
      <c r="W146" s="456">
        <f>'Key input_Biomass_MAgPIE'!U141</f>
        <v>0</v>
      </c>
      <c r="X146" s="456">
        <f>'Key input_Biomass_MAgPIE'!V141</f>
        <v>0</v>
      </c>
      <c r="Y146" s="456">
        <f>'Key input_Biomass_MAgPIE'!W141</f>
        <v>0</v>
      </c>
      <c r="Z146" s="456">
        <f>'Key input_Biomass_MAgPIE'!X141</f>
        <v>0</v>
      </c>
      <c r="AA146" s="456">
        <f>'Key input_Biomass_MAgPIE'!Y141</f>
        <v>0</v>
      </c>
      <c r="AB146" s="456">
        <f>'Key input_Biomass_MAgPIE'!Z141</f>
        <v>0</v>
      </c>
      <c r="AC146" s="456">
        <f>'Key input_Biomass_MAgPIE'!AA141</f>
        <v>0</v>
      </c>
      <c r="AD146" s="456">
        <f>'Key input_Biomass_MAgPIE'!AB141</f>
        <v>0</v>
      </c>
      <c r="AE146" s="456">
        <f>'Key input_Biomass_MAgPIE'!AC141</f>
        <v>0</v>
      </c>
      <c r="AF146" s="456">
        <f>'Key input_Biomass_MAgPIE'!AD141</f>
        <v>0</v>
      </c>
      <c r="AG146" s="456">
        <f>'Key input_Biomass_MAgPIE'!AE141</f>
        <v>0</v>
      </c>
      <c r="AH146" s="456">
        <f>'Key input_Biomass_MAgPIE'!AF141</f>
        <v>0</v>
      </c>
      <c r="AK146"/>
      <c r="AL146"/>
    </row>
    <row r="147" spans="1:38" s="4" customFormat="1">
      <c r="A147" s="4" t="str">
        <f t="shared" si="63"/>
        <v>MIN-RSVBIOOLC2</v>
      </c>
      <c r="B147" s="4" t="str">
        <f t="shared" si="59"/>
        <v>UPS Reserves of Biomass - Oil crops - Reserve - Supply curve step 2</v>
      </c>
      <c r="C147" s="4" t="str">
        <f t="shared" si="60"/>
        <v>RSVBIOOLC</v>
      </c>
      <c r="D147" s="4" t="str">
        <f t="shared" si="61"/>
        <v>ACT_BND</v>
      </c>
      <c r="E147" s="4" t="str">
        <f t="shared" si="62"/>
        <v>UP</v>
      </c>
      <c r="F147" s="4">
        <v>2045</v>
      </c>
      <c r="G147" s="456">
        <f>'Key input_Biomass_MAgPIE'!E142</f>
        <v>0</v>
      </c>
      <c r="H147" s="456">
        <f>'Key input_Biomass_MAgPIE'!F142</f>
        <v>0</v>
      </c>
      <c r="I147" s="456">
        <f>'Key input_Biomass_MAgPIE'!G142</f>
        <v>0</v>
      </c>
      <c r="J147" s="456">
        <f>'Key input_Biomass_MAgPIE'!H142</f>
        <v>0</v>
      </c>
      <c r="K147" s="456">
        <f>'Key input_Biomass_MAgPIE'!I142</f>
        <v>0</v>
      </c>
      <c r="L147" s="456">
        <f>'Key input_Biomass_MAgPIE'!J142</f>
        <v>0</v>
      </c>
      <c r="M147" s="456">
        <f>'Key input_Biomass_MAgPIE'!K142</f>
        <v>0</v>
      </c>
      <c r="N147" s="456">
        <f>'Key input_Biomass_MAgPIE'!L142</f>
        <v>0</v>
      </c>
      <c r="O147" s="456">
        <f>'Key input_Biomass_MAgPIE'!M142</f>
        <v>0</v>
      </c>
      <c r="P147" s="456">
        <f>'Key input_Biomass_MAgPIE'!N142</f>
        <v>0</v>
      </c>
      <c r="Q147" s="456">
        <f>'Key input_Biomass_MAgPIE'!O142</f>
        <v>0</v>
      </c>
      <c r="R147" s="456">
        <f>'Key input_Biomass_MAgPIE'!P142</f>
        <v>0</v>
      </c>
      <c r="S147" s="456">
        <f>'Key input_Biomass_MAgPIE'!Q142</f>
        <v>0</v>
      </c>
      <c r="T147" s="456">
        <f>'Key input_Biomass_MAgPIE'!R142</f>
        <v>0</v>
      </c>
      <c r="U147" s="456">
        <f>'Key input_Biomass_MAgPIE'!S142</f>
        <v>0</v>
      </c>
      <c r="V147" s="456">
        <f>'Key input_Biomass_MAgPIE'!T142</f>
        <v>0</v>
      </c>
      <c r="W147" s="456">
        <f>'Key input_Biomass_MAgPIE'!U142</f>
        <v>0</v>
      </c>
      <c r="X147" s="456">
        <f>'Key input_Biomass_MAgPIE'!V142</f>
        <v>0</v>
      </c>
      <c r="Y147" s="456">
        <f>'Key input_Biomass_MAgPIE'!W142</f>
        <v>0</v>
      </c>
      <c r="Z147" s="456">
        <f>'Key input_Biomass_MAgPIE'!X142</f>
        <v>0</v>
      </c>
      <c r="AA147" s="456">
        <f>'Key input_Biomass_MAgPIE'!Y142</f>
        <v>0</v>
      </c>
      <c r="AB147" s="456">
        <f>'Key input_Biomass_MAgPIE'!Z142</f>
        <v>0</v>
      </c>
      <c r="AC147" s="456">
        <f>'Key input_Biomass_MAgPIE'!AA142</f>
        <v>0</v>
      </c>
      <c r="AD147" s="456">
        <f>'Key input_Biomass_MAgPIE'!AB142</f>
        <v>0</v>
      </c>
      <c r="AE147" s="456">
        <f>'Key input_Biomass_MAgPIE'!AC142</f>
        <v>0</v>
      </c>
      <c r="AF147" s="456">
        <f>'Key input_Biomass_MAgPIE'!AD142</f>
        <v>0</v>
      </c>
      <c r="AG147" s="456">
        <f>'Key input_Biomass_MAgPIE'!AE142</f>
        <v>0</v>
      </c>
      <c r="AH147" s="456">
        <f>'Key input_Biomass_MAgPIE'!AF142</f>
        <v>0</v>
      </c>
      <c r="AK147"/>
      <c r="AL147"/>
    </row>
    <row r="148" spans="1:38" s="4" customFormat="1">
      <c r="A148" s="4" t="str">
        <f t="shared" si="63"/>
        <v>MIN-RSVBIOOLC2</v>
      </c>
      <c r="B148" s="4" t="str">
        <f t="shared" si="59"/>
        <v>UPS Reserves of Biomass - Oil crops - Reserve - Supply curve step 2</v>
      </c>
      <c r="C148" s="4" t="str">
        <f t="shared" si="60"/>
        <v>RSVBIOOLC</v>
      </c>
      <c r="D148" s="4" t="str">
        <f t="shared" si="61"/>
        <v>ACT_BND</v>
      </c>
      <c r="E148" s="4" t="str">
        <f t="shared" si="62"/>
        <v>UP</v>
      </c>
      <c r="F148" s="4">
        <v>2050</v>
      </c>
      <c r="G148" s="456">
        <f>'Key input_Biomass_MAgPIE'!E143</f>
        <v>0</v>
      </c>
      <c r="H148" s="456">
        <f>'Key input_Biomass_MAgPIE'!F143</f>
        <v>0</v>
      </c>
      <c r="I148" s="456">
        <f>'Key input_Biomass_MAgPIE'!G143</f>
        <v>0</v>
      </c>
      <c r="J148" s="456">
        <f>'Key input_Biomass_MAgPIE'!H143</f>
        <v>0</v>
      </c>
      <c r="K148" s="456">
        <f>'Key input_Biomass_MAgPIE'!I143</f>
        <v>0</v>
      </c>
      <c r="L148" s="456">
        <f>'Key input_Biomass_MAgPIE'!J143</f>
        <v>0</v>
      </c>
      <c r="M148" s="456">
        <f>'Key input_Biomass_MAgPIE'!K143</f>
        <v>0</v>
      </c>
      <c r="N148" s="456">
        <f>'Key input_Biomass_MAgPIE'!L143</f>
        <v>0</v>
      </c>
      <c r="O148" s="456">
        <f>'Key input_Biomass_MAgPIE'!M143</f>
        <v>0</v>
      </c>
      <c r="P148" s="456">
        <f>'Key input_Biomass_MAgPIE'!N143</f>
        <v>0</v>
      </c>
      <c r="Q148" s="456">
        <f>'Key input_Biomass_MAgPIE'!O143</f>
        <v>0</v>
      </c>
      <c r="R148" s="456">
        <f>'Key input_Biomass_MAgPIE'!P143</f>
        <v>0</v>
      </c>
      <c r="S148" s="456">
        <f>'Key input_Biomass_MAgPIE'!Q143</f>
        <v>0</v>
      </c>
      <c r="T148" s="456">
        <f>'Key input_Biomass_MAgPIE'!R143</f>
        <v>0</v>
      </c>
      <c r="U148" s="456">
        <f>'Key input_Biomass_MAgPIE'!S143</f>
        <v>0</v>
      </c>
      <c r="V148" s="456">
        <f>'Key input_Biomass_MAgPIE'!T143</f>
        <v>0</v>
      </c>
      <c r="W148" s="456">
        <f>'Key input_Biomass_MAgPIE'!U143</f>
        <v>0</v>
      </c>
      <c r="X148" s="456">
        <f>'Key input_Biomass_MAgPIE'!V143</f>
        <v>0</v>
      </c>
      <c r="Y148" s="456">
        <f>'Key input_Biomass_MAgPIE'!W143</f>
        <v>0</v>
      </c>
      <c r="Z148" s="456">
        <f>'Key input_Biomass_MAgPIE'!X143</f>
        <v>0</v>
      </c>
      <c r="AA148" s="456">
        <f>'Key input_Biomass_MAgPIE'!Y143</f>
        <v>0</v>
      </c>
      <c r="AB148" s="456">
        <f>'Key input_Biomass_MAgPIE'!Z143</f>
        <v>0</v>
      </c>
      <c r="AC148" s="456">
        <f>'Key input_Biomass_MAgPIE'!AA143</f>
        <v>0</v>
      </c>
      <c r="AD148" s="456">
        <f>'Key input_Biomass_MAgPIE'!AB143</f>
        <v>0</v>
      </c>
      <c r="AE148" s="456">
        <f>'Key input_Biomass_MAgPIE'!AC143</f>
        <v>0</v>
      </c>
      <c r="AF148" s="456">
        <f>'Key input_Biomass_MAgPIE'!AD143</f>
        <v>0</v>
      </c>
      <c r="AG148" s="456">
        <f>'Key input_Biomass_MAgPIE'!AE143</f>
        <v>0</v>
      </c>
      <c r="AH148" s="456">
        <f>'Key input_Biomass_MAgPIE'!AF143</f>
        <v>0</v>
      </c>
      <c r="AK148"/>
      <c r="AL148"/>
    </row>
    <row r="149" spans="1:38" s="4" customFormat="1">
      <c r="A149" s="4" t="str">
        <f t="shared" si="63"/>
        <v>MIN-RSVBIOOLC2</v>
      </c>
      <c r="B149" s="4" t="str">
        <f t="shared" si="59"/>
        <v>UPS Reserves of Biomass - Oil crops - Reserve - Supply curve step 2</v>
      </c>
      <c r="C149" s="4" t="str">
        <f t="shared" si="60"/>
        <v>RSVBIOOLC</v>
      </c>
      <c r="D149" s="4" t="str">
        <f t="shared" si="61"/>
        <v>ACT_BND</v>
      </c>
      <c r="E149" s="4" t="str">
        <f t="shared" si="62"/>
        <v>UP</v>
      </c>
      <c r="F149" s="4">
        <v>2060</v>
      </c>
      <c r="G149" s="456">
        <f>'Key input_Biomass_MAgPIE'!E144</f>
        <v>0</v>
      </c>
      <c r="H149" s="456">
        <f>'Key input_Biomass_MAgPIE'!F144</f>
        <v>0</v>
      </c>
      <c r="I149" s="456">
        <f>'Key input_Biomass_MAgPIE'!G144</f>
        <v>0</v>
      </c>
      <c r="J149" s="456">
        <f>'Key input_Biomass_MAgPIE'!H144</f>
        <v>0</v>
      </c>
      <c r="K149" s="456">
        <f>'Key input_Biomass_MAgPIE'!I144</f>
        <v>0</v>
      </c>
      <c r="L149" s="456">
        <f>'Key input_Biomass_MAgPIE'!J144</f>
        <v>0</v>
      </c>
      <c r="M149" s="456">
        <f>'Key input_Biomass_MAgPIE'!K144</f>
        <v>0</v>
      </c>
      <c r="N149" s="456">
        <f>'Key input_Biomass_MAgPIE'!L144</f>
        <v>0</v>
      </c>
      <c r="O149" s="456">
        <f>'Key input_Biomass_MAgPIE'!M144</f>
        <v>0</v>
      </c>
      <c r="P149" s="456">
        <f>'Key input_Biomass_MAgPIE'!N144</f>
        <v>0</v>
      </c>
      <c r="Q149" s="456">
        <f>'Key input_Biomass_MAgPIE'!O144</f>
        <v>0</v>
      </c>
      <c r="R149" s="456">
        <f>'Key input_Biomass_MAgPIE'!P144</f>
        <v>0</v>
      </c>
      <c r="S149" s="456">
        <f>'Key input_Biomass_MAgPIE'!Q144</f>
        <v>0</v>
      </c>
      <c r="T149" s="456">
        <f>'Key input_Biomass_MAgPIE'!R144</f>
        <v>0</v>
      </c>
      <c r="U149" s="456">
        <f>'Key input_Biomass_MAgPIE'!S144</f>
        <v>0</v>
      </c>
      <c r="V149" s="456">
        <f>'Key input_Biomass_MAgPIE'!T144</f>
        <v>0</v>
      </c>
      <c r="W149" s="456">
        <f>'Key input_Biomass_MAgPIE'!U144</f>
        <v>0</v>
      </c>
      <c r="X149" s="456">
        <f>'Key input_Biomass_MAgPIE'!V144</f>
        <v>0</v>
      </c>
      <c r="Y149" s="456">
        <f>'Key input_Biomass_MAgPIE'!W144</f>
        <v>0</v>
      </c>
      <c r="Z149" s="456">
        <f>'Key input_Biomass_MAgPIE'!X144</f>
        <v>0</v>
      </c>
      <c r="AA149" s="456">
        <f>'Key input_Biomass_MAgPIE'!Y144</f>
        <v>0</v>
      </c>
      <c r="AB149" s="456">
        <f>'Key input_Biomass_MAgPIE'!Z144</f>
        <v>0</v>
      </c>
      <c r="AC149" s="456">
        <f>'Key input_Biomass_MAgPIE'!AA144</f>
        <v>0</v>
      </c>
      <c r="AD149" s="456">
        <f>'Key input_Biomass_MAgPIE'!AB144</f>
        <v>0</v>
      </c>
      <c r="AE149" s="456">
        <f>'Key input_Biomass_MAgPIE'!AC144</f>
        <v>0</v>
      </c>
      <c r="AF149" s="456">
        <f>'Key input_Biomass_MAgPIE'!AD144</f>
        <v>0</v>
      </c>
      <c r="AG149" s="456">
        <f>'Key input_Biomass_MAgPIE'!AE144</f>
        <v>0</v>
      </c>
      <c r="AH149" s="456">
        <f>'Key input_Biomass_MAgPIE'!AF144</f>
        <v>0</v>
      </c>
      <c r="AK149"/>
      <c r="AL149"/>
    </row>
    <row r="150" spans="1:38" s="4" customFormat="1">
      <c r="A150" s="4" t="str">
        <f t="shared" si="63"/>
        <v>MIN-RSVBIOOLC2</v>
      </c>
      <c r="B150" s="4" t="str">
        <f t="shared" si="59"/>
        <v>UPS Reserves of Biomass - Oil crops - Reserve - Supply curve step 2</v>
      </c>
      <c r="C150" s="4" t="str">
        <f t="shared" si="60"/>
        <v>RSVBIOOLC</v>
      </c>
      <c r="D150" s="4" t="str">
        <f t="shared" si="61"/>
        <v>ACT_BND</v>
      </c>
      <c r="E150" s="4" t="str">
        <f t="shared" si="62"/>
        <v>UP</v>
      </c>
      <c r="F150" s="4">
        <v>2070</v>
      </c>
      <c r="G150" s="456">
        <f>'Key input_Biomass_MAgPIE'!E145</f>
        <v>0</v>
      </c>
      <c r="H150" s="456">
        <f>'Key input_Biomass_MAgPIE'!F145</f>
        <v>0</v>
      </c>
      <c r="I150" s="456">
        <f>'Key input_Biomass_MAgPIE'!G145</f>
        <v>0</v>
      </c>
      <c r="J150" s="456">
        <f>'Key input_Biomass_MAgPIE'!H145</f>
        <v>0</v>
      </c>
      <c r="K150" s="456">
        <f>'Key input_Biomass_MAgPIE'!I145</f>
        <v>0</v>
      </c>
      <c r="L150" s="456">
        <f>'Key input_Biomass_MAgPIE'!J145</f>
        <v>0</v>
      </c>
      <c r="M150" s="456">
        <f>'Key input_Biomass_MAgPIE'!K145</f>
        <v>0</v>
      </c>
      <c r="N150" s="456">
        <f>'Key input_Biomass_MAgPIE'!L145</f>
        <v>0</v>
      </c>
      <c r="O150" s="456">
        <f>'Key input_Biomass_MAgPIE'!M145</f>
        <v>0</v>
      </c>
      <c r="P150" s="456">
        <f>'Key input_Biomass_MAgPIE'!N145</f>
        <v>0</v>
      </c>
      <c r="Q150" s="456">
        <f>'Key input_Biomass_MAgPIE'!O145</f>
        <v>0</v>
      </c>
      <c r="R150" s="456">
        <f>'Key input_Biomass_MAgPIE'!P145</f>
        <v>0</v>
      </c>
      <c r="S150" s="456">
        <f>'Key input_Biomass_MAgPIE'!Q145</f>
        <v>0</v>
      </c>
      <c r="T150" s="456">
        <f>'Key input_Biomass_MAgPIE'!R145</f>
        <v>0</v>
      </c>
      <c r="U150" s="456">
        <f>'Key input_Biomass_MAgPIE'!S145</f>
        <v>0</v>
      </c>
      <c r="V150" s="456">
        <f>'Key input_Biomass_MAgPIE'!T145</f>
        <v>0</v>
      </c>
      <c r="W150" s="456">
        <f>'Key input_Biomass_MAgPIE'!U145</f>
        <v>0</v>
      </c>
      <c r="X150" s="456">
        <f>'Key input_Biomass_MAgPIE'!V145</f>
        <v>0</v>
      </c>
      <c r="Y150" s="456">
        <f>'Key input_Biomass_MAgPIE'!W145</f>
        <v>0</v>
      </c>
      <c r="Z150" s="456">
        <f>'Key input_Biomass_MAgPIE'!X145</f>
        <v>0</v>
      </c>
      <c r="AA150" s="456">
        <f>'Key input_Biomass_MAgPIE'!Y145</f>
        <v>0</v>
      </c>
      <c r="AB150" s="456">
        <f>'Key input_Biomass_MAgPIE'!Z145</f>
        <v>0</v>
      </c>
      <c r="AC150" s="456">
        <f>'Key input_Biomass_MAgPIE'!AA145</f>
        <v>0</v>
      </c>
      <c r="AD150" s="456">
        <f>'Key input_Biomass_MAgPIE'!AB145</f>
        <v>0</v>
      </c>
      <c r="AE150" s="456">
        <f>'Key input_Biomass_MAgPIE'!AC145</f>
        <v>0</v>
      </c>
      <c r="AF150" s="456">
        <f>'Key input_Biomass_MAgPIE'!AD145</f>
        <v>0</v>
      </c>
      <c r="AG150" s="456">
        <f>'Key input_Biomass_MAgPIE'!AE145</f>
        <v>0</v>
      </c>
      <c r="AH150" s="456">
        <f>'Key input_Biomass_MAgPIE'!AF145</f>
        <v>0</v>
      </c>
      <c r="AK150"/>
      <c r="AL150"/>
    </row>
    <row r="151" spans="1:38" s="4" customFormat="1">
      <c r="A151" s="4" t="str">
        <f t="shared" si="63"/>
        <v>MIN-RSVBIOOLC2</v>
      </c>
      <c r="B151" s="4" t="str">
        <f t="shared" si="59"/>
        <v>UPS Reserves of Biomass - Oil crops - Reserve - Supply curve step 2</v>
      </c>
      <c r="C151" s="4" t="str">
        <f t="shared" si="60"/>
        <v>RSVBIOOLC</v>
      </c>
      <c r="D151" s="4" t="str">
        <f t="shared" si="61"/>
        <v>ACT_BND</v>
      </c>
      <c r="E151" s="4" t="str">
        <f t="shared" si="62"/>
        <v>UP</v>
      </c>
      <c r="F151" s="4">
        <v>2080</v>
      </c>
      <c r="G151" s="456">
        <f>'Key input_Biomass_MAgPIE'!E146</f>
        <v>0</v>
      </c>
      <c r="H151" s="456">
        <f>'Key input_Biomass_MAgPIE'!F146</f>
        <v>0</v>
      </c>
      <c r="I151" s="456">
        <f>'Key input_Biomass_MAgPIE'!G146</f>
        <v>0</v>
      </c>
      <c r="J151" s="456">
        <f>'Key input_Biomass_MAgPIE'!H146</f>
        <v>0</v>
      </c>
      <c r="K151" s="456">
        <f>'Key input_Biomass_MAgPIE'!I146</f>
        <v>0</v>
      </c>
      <c r="L151" s="456">
        <f>'Key input_Biomass_MAgPIE'!J146</f>
        <v>0</v>
      </c>
      <c r="M151" s="456">
        <f>'Key input_Biomass_MAgPIE'!K146</f>
        <v>0</v>
      </c>
      <c r="N151" s="456">
        <f>'Key input_Biomass_MAgPIE'!L146</f>
        <v>0</v>
      </c>
      <c r="O151" s="456">
        <f>'Key input_Biomass_MAgPIE'!M146</f>
        <v>0</v>
      </c>
      <c r="P151" s="456">
        <f>'Key input_Biomass_MAgPIE'!N146</f>
        <v>0</v>
      </c>
      <c r="Q151" s="456">
        <f>'Key input_Biomass_MAgPIE'!O146</f>
        <v>0</v>
      </c>
      <c r="R151" s="456">
        <f>'Key input_Biomass_MAgPIE'!P146</f>
        <v>0</v>
      </c>
      <c r="S151" s="456">
        <f>'Key input_Biomass_MAgPIE'!Q146</f>
        <v>0</v>
      </c>
      <c r="T151" s="456">
        <f>'Key input_Biomass_MAgPIE'!R146</f>
        <v>0</v>
      </c>
      <c r="U151" s="456">
        <f>'Key input_Biomass_MAgPIE'!S146</f>
        <v>0</v>
      </c>
      <c r="V151" s="456">
        <f>'Key input_Biomass_MAgPIE'!T146</f>
        <v>0</v>
      </c>
      <c r="W151" s="456">
        <f>'Key input_Biomass_MAgPIE'!U146</f>
        <v>0</v>
      </c>
      <c r="X151" s="456">
        <f>'Key input_Biomass_MAgPIE'!V146</f>
        <v>0</v>
      </c>
      <c r="Y151" s="456">
        <f>'Key input_Biomass_MAgPIE'!W146</f>
        <v>0</v>
      </c>
      <c r="Z151" s="456">
        <f>'Key input_Biomass_MAgPIE'!X146</f>
        <v>0</v>
      </c>
      <c r="AA151" s="456">
        <f>'Key input_Biomass_MAgPIE'!Y146</f>
        <v>0</v>
      </c>
      <c r="AB151" s="456">
        <f>'Key input_Biomass_MAgPIE'!Z146</f>
        <v>0</v>
      </c>
      <c r="AC151" s="456">
        <f>'Key input_Biomass_MAgPIE'!AA146</f>
        <v>0</v>
      </c>
      <c r="AD151" s="456">
        <f>'Key input_Biomass_MAgPIE'!AB146</f>
        <v>0</v>
      </c>
      <c r="AE151" s="456">
        <f>'Key input_Biomass_MAgPIE'!AC146</f>
        <v>0</v>
      </c>
      <c r="AF151" s="456">
        <f>'Key input_Biomass_MAgPIE'!AD146</f>
        <v>0</v>
      </c>
      <c r="AG151" s="456">
        <f>'Key input_Biomass_MAgPIE'!AE146</f>
        <v>0</v>
      </c>
      <c r="AH151" s="456">
        <f>'Key input_Biomass_MAgPIE'!AF146</f>
        <v>0</v>
      </c>
      <c r="AK151"/>
      <c r="AL151"/>
    </row>
    <row r="152" spans="1:38" s="4" customFormat="1">
      <c r="A152" s="4" t="str">
        <f t="shared" si="63"/>
        <v>MIN-RSVBIOOLC2</v>
      </c>
      <c r="B152" s="4" t="str">
        <f t="shared" si="59"/>
        <v>UPS Reserves of Biomass - Oil crops - Reserve - Supply curve step 2</v>
      </c>
      <c r="C152" s="4" t="str">
        <f t="shared" si="60"/>
        <v>RSVBIOOLC</v>
      </c>
      <c r="D152" s="4" t="str">
        <f t="shared" si="61"/>
        <v>ACT_BND</v>
      </c>
      <c r="E152" s="4" t="str">
        <f t="shared" si="62"/>
        <v>UP</v>
      </c>
      <c r="F152" s="4">
        <v>2090</v>
      </c>
      <c r="G152" s="456">
        <f>'Key input_Biomass_MAgPIE'!E147</f>
        <v>0</v>
      </c>
      <c r="H152" s="456">
        <f>'Key input_Biomass_MAgPIE'!F147</f>
        <v>0</v>
      </c>
      <c r="I152" s="456">
        <f>'Key input_Biomass_MAgPIE'!G147</f>
        <v>0</v>
      </c>
      <c r="J152" s="456">
        <f>'Key input_Biomass_MAgPIE'!H147</f>
        <v>0</v>
      </c>
      <c r="K152" s="456">
        <f>'Key input_Biomass_MAgPIE'!I147</f>
        <v>0</v>
      </c>
      <c r="L152" s="456">
        <f>'Key input_Biomass_MAgPIE'!J147</f>
        <v>0</v>
      </c>
      <c r="M152" s="456">
        <f>'Key input_Biomass_MAgPIE'!K147</f>
        <v>0</v>
      </c>
      <c r="N152" s="456">
        <f>'Key input_Biomass_MAgPIE'!L147</f>
        <v>0</v>
      </c>
      <c r="O152" s="456">
        <f>'Key input_Biomass_MAgPIE'!M147</f>
        <v>0</v>
      </c>
      <c r="P152" s="456">
        <f>'Key input_Biomass_MAgPIE'!N147</f>
        <v>0</v>
      </c>
      <c r="Q152" s="456">
        <f>'Key input_Biomass_MAgPIE'!O147</f>
        <v>0</v>
      </c>
      <c r="R152" s="456">
        <f>'Key input_Biomass_MAgPIE'!P147</f>
        <v>0</v>
      </c>
      <c r="S152" s="456">
        <f>'Key input_Biomass_MAgPIE'!Q147</f>
        <v>0</v>
      </c>
      <c r="T152" s="456">
        <f>'Key input_Biomass_MAgPIE'!R147</f>
        <v>0</v>
      </c>
      <c r="U152" s="456">
        <f>'Key input_Biomass_MAgPIE'!S147</f>
        <v>0</v>
      </c>
      <c r="V152" s="456">
        <f>'Key input_Biomass_MAgPIE'!T147</f>
        <v>0</v>
      </c>
      <c r="W152" s="456">
        <f>'Key input_Biomass_MAgPIE'!U147</f>
        <v>0</v>
      </c>
      <c r="X152" s="456">
        <f>'Key input_Biomass_MAgPIE'!V147</f>
        <v>0</v>
      </c>
      <c r="Y152" s="456">
        <f>'Key input_Biomass_MAgPIE'!W147</f>
        <v>0</v>
      </c>
      <c r="Z152" s="456">
        <f>'Key input_Biomass_MAgPIE'!X147</f>
        <v>0</v>
      </c>
      <c r="AA152" s="456">
        <f>'Key input_Biomass_MAgPIE'!Y147</f>
        <v>0</v>
      </c>
      <c r="AB152" s="456">
        <f>'Key input_Biomass_MAgPIE'!Z147</f>
        <v>0</v>
      </c>
      <c r="AC152" s="456">
        <f>'Key input_Biomass_MAgPIE'!AA147</f>
        <v>0</v>
      </c>
      <c r="AD152" s="456">
        <f>'Key input_Biomass_MAgPIE'!AB147</f>
        <v>0</v>
      </c>
      <c r="AE152" s="456">
        <f>'Key input_Biomass_MAgPIE'!AC147</f>
        <v>0</v>
      </c>
      <c r="AF152" s="456">
        <f>'Key input_Biomass_MAgPIE'!AD147</f>
        <v>0</v>
      </c>
      <c r="AG152" s="456">
        <f>'Key input_Biomass_MAgPIE'!AE147</f>
        <v>0</v>
      </c>
      <c r="AH152" s="456">
        <f>'Key input_Biomass_MAgPIE'!AF147</f>
        <v>0</v>
      </c>
      <c r="AK152"/>
      <c r="AL152"/>
    </row>
    <row r="153" spans="1:38" s="4" customFormat="1">
      <c r="A153" s="259" t="str">
        <f t="shared" si="63"/>
        <v>MIN-RSVBIOOLC2</v>
      </c>
      <c r="B153" s="259" t="str">
        <f t="shared" si="59"/>
        <v>UPS Reserves of Biomass - Oil crops - Reserve - Supply curve step 2</v>
      </c>
      <c r="C153" s="259" t="str">
        <f t="shared" si="60"/>
        <v>RSVBIOOLC</v>
      </c>
      <c r="D153" s="259" t="str">
        <f t="shared" si="61"/>
        <v>ACT_BND</v>
      </c>
      <c r="E153" s="259" t="str">
        <f t="shared" si="62"/>
        <v>UP</v>
      </c>
      <c r="F153" s="259">
        <v>2100</v>
      </c>
      <c r="G153" s="435">
        <f>'Key input_Biomass_MAgPIE'!E148</f>
        <v>0</v>
      </c>
      <c r="H153" s="435">
        <f>'Key input_Biomass_MAgPIE'!F148</f>
        <v>0</v>
      </c>
      <c r="I153" s="435">
        <f>'Key input_Biomass_MAgPIE'!G148</f>
        <v>0</v>
      </c>
      <c r="J153" s="435">
        <f>'Key input_Biomass_MAgPIE'!H148</f>
        <v>0</v>
      </c>
      <c r="K153" s="435">
        <f>'Key input_Biomass_MAgPIE'!I148</f>
        <v>0</v>
      </c>
      <c r="L153" s="435">
        <f>'Key input_Biomass_MAgPIE'!J148</f>
        <v>0</v>
      </c>
      <c r="M153" s="435">
        <f>'Key input_Biomass_MAgPIE'!K148</f>
        <v>0</v>
      </c>
      <c r="N153" s="435">
        <f>'Key input_Biomass_MAgPIE'!L148</f>
        <v>0</v>
      </c>
      <c r="O153" s="435">
        <f>'Key input_Biomass_MAgPIE'!M148</f>
        <v>0</v>
      </c>
      <c r="P153" s="435">
        <f>'Key input_Biomass_MAgPIE'!N148</f>
        <v>0</v>
      </c>
      <c r="Q153" s="435">
        <f>'Key input_Biomass_MAgPIE'!O148</f>
        <v>0</v>
      </c>
      <c r="R153" s="435">
        <f>'Key input_Biomass_MAgPIE'!P148</f>
        <v>0</v>
      </c>
      <c r="S153" s="435">
        <f>'Key input_Biomass_MAgPIE'!Q148</f>
        <v>0</v>
      </c>
      <c r="T153" s="435">
        <f>'Key input_Biomass_MAgPIE'!R148</f>
        <v>0</v>
      </c>
      <c r="U153" s="435">
        <f>'Key input_Biomass_MAgPIE'!S148</f>
        <v>0</v>
      </c>
      <c r="V153" s="435">
        <f>'Key input_Biomass_MAgPIE'!T148</f>
        <v>0</v>
      </c>
      <c r="W153" s="435">
        <f>'Key input_Biomass_MAgPIE'!U148</f>
        <v>0</v>
      </c>
      <c r="X153" s="435">
        <f>'Key input_Biomass_MAgPIE'!V148</f>
        <v>0</v>
      </c>
      <c r="Y153" s="435">
        <f>'Key input_Biomass_MAgPIE'!W148</f>
        <v>0</v>
      </c>
      <c r="Z153" s="435">
        <f>'Key input_Biomass_MAgPIE'!X148</f>
        <v>0</v>
      </c>
      <c r="AA153" s="435">
        <f>'Key input_Biomass_MAgPIE'!Y148</f>
        <v>0</v>
      </c>
      <c r="AB153" s="435">
        <f>'Key input_Biomass_MAgPIE'!Z148</f>
        <v>0</v>
      </c>
      <c r="AC153" s="435">
        <f>'Key input_Biomass_MAgPIE'!AA148</f>
        <v>0</v>
      </c>
      <c r="AD153" s="435">
        <f>'Key input_Biomass_MAgPIE'!AB148</f>
        <v>0</v>
      </c>
      <c r="AE153" s="435">
        <f>'Key input_Biomass_MAgPIE'!AC148</f>
        <v>0</v>
      </c>
      <c r="AF153" s="435">
        <f>'Key input_Biomass_MAgPIE'!AD148</f>
        <v>0</v>
      </c>
      <c r="AG153" s="435">
        <f>'Key input_Biomass_MAgPIE'!AE148</f>
        <v>0</v>
      </c>
      <c r="AH153" s="435">
        <f>'Key input_Biomass_MAgPIE'!AF148</f>
        <v>0</v>
      </c>
      <c r="AK153"/>
      <c r="AL153"/>
    </row>
    <row r="154" spans="1:38" s="4" customFormat="1">
      <c r="A154" s="4" t="str">
        <f>IF(AK22="",AJ22,AK22)</f>
        <v>MIN-RSVBIOOLC3</v>
      </c>
      <c r="B154" s="4" t="str">
        <f>IF($AK22="","",AL22)</f>
        <v>UPS Reserves of Biomass - Oil crops - Reserve - Supply curve step 3</v>
      </c>
      <c r="C154" s="4" t="str">
        <f>Commodities!$C$18</f>
        <v>RSVBIOOLC</v>
      </c>
      <c r="D154" s="4" t="s">
        <v>678</v>
      </c>
      <c r="E154" s="4" t="s">
        <v>661</v>
      </c>
      <c r="F154" s="4">
        <v>2019</v>
      </c>
      <c r="G154" s="258">
        <f>'Key input_Biomass_MAgPIE'!E149</f>
        <v>0</v>
      </c>
      <c r="H154" s="258">
        <f>'Key input_Biomass_MAgPIE'!F149</f>
        <v>0</v>
      </c>
      <c r="I154" s="258">
        <f>'Key input_Biomass_MAgPIE'!G149</f>
        <v>0</v>
      </c>
      <c r="J154" s="258">
        <f>'Key input_Biomass_MAgPIE'!H149</f>
        <v>0</v>
      </c>
      <c r="K154" s="258">
        <f>'Key input_Biomass_MAgPIE'!I149</f>
        <v>0</v>
      </c>
      <c r="L154" s="258">
        <f>'Key input_Biomass_MAgPIE'!J149</f>
        <v>0</v>
      </c>
      <c r="M154" s="258">
        <f>'Key input_Biomass_MAgPIE'!K149</f>
        <v>0</v>
      </c>
      <c r="N154" s="258">
        <f>'Key input_Biomass_MAgPIE'!L149</f>
        <v>0</v>
      </c>
      <c r="O154" s="258">
        <f>'Key input_Biomass_MAgPIE'!M149</f>
        <v>0</v>
      </c>
      <c r="P154" s="258">
        <f>'Key input_Biomass_MAgPIE'!N149</f>
        <v>0</v>
      </c>
      <c r="Q154" s="258">
        <f>'Key input_Biomass_MAgPIE'!O149</f>
        <v>0</v>
      </c>
      <c r="R154" s="258">
        <f>'Key input_Biomass_MAgPIE'!P149</f>
        <v>0</v>
      </c>
      <c r="S154" s="258">
        <f>'Key input_Biomass_MAgPIE'!Q149</f>
        <v>0</v>
      </c>
      <c r="T154" s="258">
        <f>'Key input_Biomass_MAgPIE'!R149</f>
        <v>0</v>
      </c>
      <c r="U154" s="258">
        <f>'Key input_Biomass_MAgPIE'!S149</f>
        <v>0</v>
      </c>
      <c r="V154" s="258">
        <f>'Key input_Biomass_MAgPIE'!T149</f>
        <v>0</v>
      </c>
      <c r="W154" s="258">
        <f>'Key input_Biomass_MAgPIE'!U149</f>
        <v>0</v>
      </c>
      <c r="X154" s="258">
        <f>'Key input_Biomass_MAgPIE'!V149</f>
        <v>0</v>
      </c>
      <c r="Y154" s="258">
        <f>'Key input_Biomass_MAgPIE'!W149</f>
        <v>0</v>
      </c>
      <c r="Z154" s="258">
        <f>'Key input_Biomass_MAgPIE'!X149</f>
        <v>0</v>
      </c>
      <c r="AA154" s="258">
        <f>'Key input_Biomass_MAgPIE'!Y149</f>
        <v>0</v>
      </c>
      <c r="AB154" s="258">
        <f>'Key input_Biomass_MAgPIE'!Z149</f>
        <v>0</v>
      </c>
      <c r="AC154" s="258">
        <f>'Key input_Biomass_MAgPIE'!AA149</f>
        <v>0</v>
      </c>
      <c r="AD154" s="258">
        <f>'Key input_Biomass_MAgPIE'!AB149</f>
        <v>0</v>
      </c>
      <c r="AE154" s="258">
        <f>'Key input_Biomass_MAgPIE'!AC149</f>
        <v>0</v>
      </c>
      <c r="AF154" s="258">
        <f>'Key input_Biomass_MAgPIE'!AD149</f>
        <v>0</v>
      </c>
      <c r="AG154" s="258">
        <f>'Key input_Biomass_MAgPIE'!AE149</f>
        <v>0</v>
      </c>
      <c r="AH154" s="258">
        <f>'Key input_Biomass_MAgPIE'!AF149</f>
        <v>0</v>
      </c>
      <c r="AK154"/>
      <c r="AL154"/>
    </row>
    <row r="155" spans="1:38" s="4" customFormat="1">
      <c r="A155" s="4" t="str">
        <f>A154</f>
        <v>MIN-RSVBIOOLC3</v>
      </c>
      <c r="B155" s="4" t="str">
        <f t="shared" ref="B155:B166" si="64">B154</f>
        <v>UPS Reserves of Biomass - Oil crops - Reserve - Supply curve step 3</v>
      </c>
      <c r="C155" s="4" t="str">
        <f t="shared" ref="C155:C166" si="65">C154</f>
        <v>RSVBIOOLC</v>
      </c>
      <c r="D155" s="4" t="str">
        <f t="shared" ref="D155:D166" si="66">D154</f>
        <v>ACT_BND</v>
      </c>
      <c r="E155" s="4" t="str">
        <f t="shared" ref="E155:E166" si="67">E154</f>
        <v>UP</v>
      </c>
      <c r="F155" s="4">
        <v>2020</v>
      </c>
      <c r="G155" s="456">
        <f>'Key input_Biomass_MAgPIE'!E150</f>
        <v>0</v>
      </c>
      <c r="H155" s="456">
        <f>'Key input_Biomass_MAgPIE'!F150</f>
        <v>0</v>
      </c>
      <c r="I155" s="456">
        <f>'Key input_Biomass_MAgPIE'!G150</f>
        <v>0</v>
      </c>
      <c r="J155" s="456">
        <f>'Key input_Biomass_MAgPIE'!H150</f>
        <v>0</v>
      </c>
      <c r="K155" s="456">
        <f>'Key input_Biomass_MAgPIE'!I150</f>
        <v>0</v>
      </c>
      <c r="L155" s="456">
        <f>'Key input_Biomass_MAgPIE'!J150</f>
        <v>0</v>
      </c>
      <c r="M155" s="456">
        <f>'Key input_Biomass_MAgPIE'!K150</f>
        <v>0</v>
      </c>
      <c r="N155" s="456">
        <f>'Key input_Biomass_MAgPIE'!L150</f>
        <v>0</v>
      </c>
      <c r="O155" s="456">
        <f>'Key input_Biomass_MAgPIE'!M150</f>
        <v>0</v>
      </c>
      <c r="P155" s="456">
        <f>'Key input_Biomass_MAgPIE'!N150</f>
        <v>0</v>
      </c>
      <c r="Q155" s="456">
        <f>'Key input_Biomass_MAgPIE'!O150</f>
        <v>0</v>
      </c>
      <c r="R155" s="456">
        <f>'Key input_Biomass_MAgPIE'!P150</f>
        <v>0</v>
      </c>
      <c r="S155" s="456">
        <f>'Key input_Biomass_MAgPIE'!Q150</f>
        <v>0</v>
      </c>
      <c r="T155" s="456">
        <f>'Key input_Biomass_MAgPIE'!R150</f>
        <v>0</v>
      </c>
      <c r="U155" s="456">
        <f>'Key input_Biomass_MAgPIE'!S150</f>
        <v>0</v>
      </c>
      <c r="V155" s="456">
        <f>'Key input_Biomass_MAgPIE'!T150</f>
        <v>0</v>
      </c>
      <c r="W155" s="456">
        <f>'Key input_Biomass_MAgPIE'!U150</f>
        <v>0</v>
      </c>
      <c r="X155" s="456">
        <f>'Key input_Biomass_MAgPIE'!V150</f>
        <v>0</v>
      </c>
      <c r="Y155" s="456">
        <f>'Key input_Biomass_MAgPIE'!W150</f>
        <v>0</v>
      </c>
      <c r="Z155" s="456">
        <f>'Key input_Biomass_MAgPIE'!X150</f>
        <v>0</v>
      </c>
      <c r="AA155" s="456">
        <f>'Key input_Biomass_MAgPIE'!Y150</f>
        <v>0</v>
      </c>
      <c r="AB155" s="456">
        <f>'Key input_Biomass_MAgPIE'!Z150</f>
        <v>0</v>
      </c>
      <c r="AC155" s="456">
        <f>'Key input_Biomass_MAgPIE'!AA150</f>
        <v>0</v>
      </c>
      <c r="AD155" s="456">
        <f>'Key input_Biomass_MAgPIE'!AB150</f>
        <v>0</v>
      </c>
      <c r="AE155" s="456">
        <f>'Key input_Biomass_MAgPIE'!AC150</f>
        <v>0</v>
      </c>
      <c r="AF155" s="456">
        <f>'Key input_Biomass_MAgPIE'!AD150</f>
        <v>0</v>
      </c>
      <c r="AG155" s="456">
        <f>'Key input_Biomass_MAgPIE'!AE150</f>
        <v>0</v>
      </c>
      <c r="AH155" s="456">
        <f>'Key input_Biomass_MAgPIE'!AF150</f>
        <v>0</v>
      </c>
      <c r="AK155"/>
      <c r="AL155"/>
    </row>
    <row r="156" spans="1:38" s="4" customFormat="1">
      <c r="A156" s="4" t="str">
        <f t="shared" ref="A156:A166" si="68">A155</f>
        <v>MIN-RSVBIOOLC3</v>
      </c>
      <c r="B156" s="4" t="str">
        <f t="shared" si="64"/>
        <v>UPS Reserves of Biomass - Oil crops - Reserve - Supply curve step 3</v>
      </c>
      <c r="C156" s="4" t="str">
        <f t="shared" si="65"/>
        <v>RSVBIOOLC</v>
      </c>
      <c r="D156" s="4" t="str">
        <f t="shared" si="66"/>
        <v>ACT_BND</v>
      </c>
      <c r="E156" s="4" t="str">
        <f t="shared" si="67"/>
        <v>UP</v>
      </c>
      <c r="F156" s="4">
        <v>2025</v>
      </c>
      <c r="G156" s="456">
        <f>'Key input_Biomass_MAgPIE'!E151</f>
        <v>0</v>
      </c>
      <c r="H156" s="456">
        <f>'Key input_Biomass_MAgPIE'!F151</f>
        <v>0</v>
      </c>
      <c r="I156" s="456">
        <f>'Key input_Biomass_MAgPIE'!G151</f>
        <v>0</v>
      </c>
      <c r="J156" s="456">
        <f>'Key input_Biomass_MAgPIE'!H151</f>
        <v>0</v>
      </c>
      <c r="K156" s="456">
        <f>'Key input_Biomass_MAgPIE'!I151</f>
        <v>0</v>
      </c>
      <c r="L156" s="456">
        <f>'Key input_Biomass_MAgPIE'!J151</f>
        <v>0</v>
      </c>
      <c r="M156" s="456">
        <f>'Key input_Biomass_MAgPIE'!K151</f>
        <v>0</v>
      </c>
      <c r="N156" s="456">
        <f>'Key input_Biomass_MAgPIE'!L151</f>
        <v>0</v>
      </c>
      <c r="O156" s="456">
        <f>'Key input_Biomass_MAgPIE'!M151</f>
        <v>0</v>
      </c>
      <c r="P156" s="456">
        <f>'Key input_Biomass_MAgPIE'!N151</f>
        <v>0</v>
      </c>
      <c r="Q156" s="456">
        <f>'Key input_Biomass_MAgPIE'!O151</f>
        <v>0</v>
      </c>
      <c r="R156" s="456">
        <f>'Key input_Biomass_MAgPIE'!P151</f>
        <v>0</v>
      </c>
      <c r="S156" s="456">
        <f>'Key input_Biomass_MAgPIE'!Q151</f>
        <v>0</v>
      </c>
      <c r="T156" s="456">
        <f>'Key input_Biomass_MAgPIE'!R151</f>
        <v>0</v>
      </c>
      <c r="U156" s="456">
        <f>'Key input_Biomass_MAgPIE'!S151</f>
        <v>0</v>
      </c>
      <c r="V156" s="456">
        <f>'Key input_Biomass_MAgPIE'!T151</f>
        <v>0</v>
      </c>
      <c r="W156" s="456">
        <f>'Key input_Biomass_MAgPIE'!U151</f>
        <v>0</v>
      </c>
      <c r="X156" s="456">
        <f>'Key input_Biomass_MAgPIE'!V151</f>
        <v>0</v>
      </c>
      <c r="Y156" s="456">
        <f>'Key input_Biomass_MAgPIE'!W151</f>
        <v>0</v>
      </c>
      <c r="Z156" s="456">
        <f>'Key input_Biomass_MAgPIE'!X151</f>
        <v>0</v>
      </c>
      <c r="AA156" s="456">
        <f>'Key input_Biomass_MAgPIE'!Y151</f>
        <v>0</v>
      </c>
      <c r="AB156" s="456">
        <f>'Key input_Biomass_MAgPIE'!Z151</f>
        <v>0</v>
      </c>
      <c r="AC156" s="456">
        <f>'Key input_Biomass_MAgPIE'!AA151</f>
        <v>0</v>
      </c>
      <c r="AD156" s="456">
        <f>'Key input_Biomass_MAgPIE'!AB151</f>
        <v>0</v>
      </c>
      <c r="AE156" s="456">
        <f>'Key input_Biomass_MAgPIE'!AC151</f>
        <v>0</v>
      </c>
      <c r="AF156" s="456">
        <f>'Key input_Biomass_MAgPIE'!AD151</f>
        <v>0</v>
      </c>
      <c r="AG156" s="456">
        <f>'Key input_Biomass_MAgPIE'!AE151</f>
        <v>0</v>
      </c>
      <c r="AH156" s="456">
        <f>'Key input_Biomass_MAgPIE'!AF151</f>
        <v>0</v>
      </c>
      <c r="AK156"/>
      <c r="AL156"/>
    </row>
    <row r="157" spans="1:38" s="4" customFormat="1">
      <c r="A157" s="4" t="str">
        <f t="shared" si="68"/>
        <v>MIN-RSVBIOOLC3</v>
      </c>
      <c r="B157" s="4" t="str">
        <f t="shared" si="64"/>
        <v>UPS Reserves of Biomass - Oil crops - Reserve - Supply curve step 3</v>
      </c>
      <c r="C157" s="4" t="str">
        <f t="shared" si="65"/>
        <v>RSVBIOOLC</v>
      </c>
      <c r="D157" s="4" t="str">
        <f t="shared" si="66"/>
        <v>ACT_BND</v>
      </c>
      <c r="E157" s="4" t="str">
        <f t="shared" si="67"/>
        <v>UP</v>
      </c>
      <c r="F157" s="4">
        <v>2030</v>
      </c>
      <c r="G157" s="456">
        <f>'Key input_Biomass_MAgPIE'!E152</f>
        <v>0</v>
      </c>
      <c r="H157" s="456">
        <f>'Key input_Biomass_MAgPIE'!F152</f>
        <v>0</v>
      </c>
      <c r="I157" s="456">
        <f>'Key input_Biomass_MAgPIE'!G152</f>
        <v>0</v>
      </c>
      <c r="J157" s="456">
        <f>'Key input_Biomass_MAgPIE'!H152</f>
        <v>0</v>
      </c>
      <c r="K157" s="456">
        <f>'Key input_Biomass_MAgPIE'!I152</f>
        <v>0</v>
      </c>
      <c r="L157" s="456">
        <f>'Key input_Biomass_MAgPIE'!J152</f>
        <v>0</v>
      </c>
      <c r="M157" s="456">
        <f>'Key input_Biomass_MAgPIE'!K152</f>
        <v>0</v>
      </c>
      <c r="N157" s="456">
        <f>'Key input_Biomass_MAgPIE'!L152</f>
        <v>0</v>
      </c>
      <c r="O157" s="456">
        <f>'Key input_Biomass_MAgPIE'!M152</f>
        <v>0</v>
      </c>
      <c r="P157" s="456">
        <f>'Key input_Biomass_MAgPIE'!N152</f>
        <v>0</v>
      </c>
      <c r="Q157" s="456">
        <f>'Key input_Biomass_MAgPIE'!O152</f>
        <v>0</v>
      </c>
      <c r="R157" s="456">
        <f>'Key input_Biomass_MAgPIE'!P152</f>
        <v>0</v>
      </c>
      <c r="S157" s="456">
        <f>'Key input_Biomass_MAgPIE'!Q152</f>
        <v>0</v>
      </c>
      <c r="T157" s="456">
        <f>'Key input_Biomass_MAgPIE'!R152</f>
        <v>0</v>
      </c>
      <c r="U157" s="456">
        <f>'Key input_Biomass_MAgPIE'!S152</f>
        <v>0</v>
      </c>
      <c r="V157" s="456">
        <f>'Key input_Biomass_MAgPIE'!T152</f>
        <v>0</v>
      </c>
      <c r="W157" s="456">
        <f>'Key input_Biomass_MAgPIE'!U152</f>
        <v>0</v>
      </c>
      <c r="X157" s="456">
        <f>'Key input_Biomass_MAgPIE'!V152</f>
        <v>0</v>
      </c>
      <c r="Y157" s="456">
        <f>'Key input_Biomass_MAgPIE'!W152</f>
        <v>0</v>
      </c>
      <c r="Z157" s="456">
        <f>'Key input_Biomass_MAgPIE'!X152</f>
        <v>0</v>
      </c>
      <c r="AA157" s="456">
        <f>'Key input_Biomass_MAgPIE'!Y152</f>
        <v>0</v>
      </c>
      <c r="AB157" s="456">
        <f>'Key input_Biomass_MAgPIE'!Z152</f>
        <v>0</v>
      </c>
      <c r="AC157" s="456">
        <f>'Key input_Biomass_MAgPIE'!AA152</f>
        <v>0</v>
      </c>
      <c r="AD157" s="456">
        <f>'Key input_Biomass_MAgPIE'!AB152</f>
        <v>0</v>
      </c>
      <c r="AE157" s="456">
        <f>'Key input_Biomass_MAgPIE'!AC152</f>
        <v>0</v>
      </c>
      <c r="AF157" s="456">
        <f>'Key input_Biomass_MAgPIE'!AD152</f>
        <v>0</v>
      </c>
      <c r="AG157" s="456">
        <f>'Key input_Biomass_MAgPIE'!AE152</f>
        <v>0</v>
      </c>
      <c r="AH157" s="456">
        <f>'Key input_Biomass_MAgPIE'!AF152</f>
        <v>0</v>
      </c>
      <c r="AK157"/>
      <c r="AL157"/>
    </row>
    <row r="158" spans="1:38" s="4" customFormat="1">
      <c r="A158" s="4" t="str">
        <f t="shared" si="68"/>
        <v>MIN-RSVBIOOLC3</v>
      </c>
      <c r="B158" s="4" t="str">
        <f t="shared" si="64"/>
        <v>UPS Reserves of Biomass - Oil crops - Reserve - Supply curve step 3</v>
      </c>
      <c r="C158" s="4" t="str">
        <f t="shared" si="65"/>
        <v>RSVBIOOLC</v>
      </c>
      <c r="D158" s="4" t="str">
        <f t="shared" si="66"/>
        <v>ACT_BND</v>
      </c>
      <c r="E158" s="4" t="str">
        <f t="shared" si="67"/>
        <v>UP</v>
      </c>
      <c r="F158" s="4">
        <v>2035</v>
      </c>
      <c r="G158" s="456">
        <f>'Key input_Biomass_MAgPIE'!E153</f>
        <v>0</v>
      </c>
      <c r="H158" s="456">
        <f>'Key input_Biomass_MAgPIE'!F153</f>
        <v>0</v>
      </c>
      <c r="I158" s="456">
        <f>'Key input_Biomass_MAgPIE'!G153</f>
        <v>0</v>
      </c>
      <c r="J158" s="456">
        <f>'Key input_Biomass_MAgPIE'!H153</f>
        <v>0</v>
      </c>
      <c r="K158" s="456">
        <f>'Key input_Biomass_MAgPIE'!I153</f>
        <v>0</v>
      </c>
      <c r="L158" s="456">
        <f>'Key input_Biomass_MAgPIE'!J153</f>
        <v>0</v>
      </c>
      <c r="M158" s="456">
        <f>'Key input_Biomass_MAgPIE'!K153</f>
        <v>0</v>
      </c>
      <c r="N158" s="456">
        <f>'Key input_Biomass_MAgPIE'!L153</f>
        <v>0</v>
      </c>
      <c r="O158" s="456">
        <f>'Key input_Biomass_MAgPIE'!M153</f>
        <v>0</v>
      </c>
      <c r="P158" s="456">
        <f>'Key input_Biomass_MAgPIE'!N153</f>
        <v>0</v>
      </c>
      <c r="Q158" s="456">
        <f>'Key input_Biomass_MAgPIE'!O153</f>
        <v>0</v>
      </c>
      <c r="R158" s="456">
        <f>'Key input_Biomass_MAgPIE'!P153</f>
        <v>0</v>
      </c>
      <c r="S158" s="456">
        <f>'Key input_Biomass_MAgPIE'!Q153</f>
        <v>0</v>
      </c>
      <c r="T158" s="456">
        <f>'Key input_Biomass_MAgPIE'!R153</f>
        <v>0</v>
      </c>
      <c r="U158" s="456">
        <f>'Key input_Biomass_MAgPIE'!S153</f>
        <v>0</v>
      </c>
      <c r="V158" s="456">
        <f>'Key input_Biomass_MAgPIE'!T153</f>
        <v>0</v>
      </c>
      <c r="W158" s="456">
        <f>'Key input_Biomass_MAgPIE'!U153</f>
        <v>0</v>
      </c>
      <c r="X158" s="456">
        <f>'Key input_Biomass_MAgPIE'!V153</f>
        <v>0</v>
      </c>
      <c r="Y158" s="456">
        <f>'Key input_Biomass_MAgPIE'!W153</f>
        <v>0</v>
      </c>
      <c r="Z158" s="456">
        <f>'Key input_Biomass_MAgPIE'!X153</f>
        <v>0</v>
      </c>
      <c r="AA158" s="456">
        <f>'Key input_Biomass_MAgPIE'!Y153</f>
        <v>0</v>
      </c>
      <c r="AB158" s="456">
        <f>'Key input_Biomass_MAgPIE'!Z153</f>
        <v>0</v>
      </c>
      <c r="AC158" s="456">
        <f>'Key input_Biomass_MAgPIE'!AA153</f>
        <v>0</v>
      </c>
      <c r="AD158" s="456">
        <f>'Key input_Biomass_MAgPIE'!AB153</f>
        <v>0</v>
      </c>
      <c r="AE158" s="456">
        <f>'Key input_Biomass_MAgPIE'!AC153</f>
        <v>0</v>
      </c>
      <c r="AF158" s="456">
        <f>'Key input_Biomass_MAgPIE'!AD153</f>
        <v>0</v>
      </c>
      <c r="AG158" s="456">
        <f>'Key input_Biomass_MAgPIE'!AE153</f>
        <v>0</v>
      </c>
      <c r="AH158" s="456">
        <f>'Key input_Biomass_MAgPIE'!AF153</f>
        <v>0</v>
      </c>
      <c r="AK158"/>
      <c r="AL158"/>
    </row>
    <row r="159" spans="1:38" s="4" customFormat="1">
      <c r="A159" s="4" t="str">
        <f t="shared" si="68"/>
        <v>MIN-RSVBIOOLC3</v>
      </c>
      <c r="B159" s="4" t="str">
        <f t="shared" si="64"/>
        <v>UPS Reserves of Biomass - Oil crops - Reserve - Supply curve step 3</v>
      </c>
      <c r="C159" s="4" t="str">
        <f t="shared" si="65"/>
        <v>RSVBIOOLC</v>
      </c>
      <c r="D159" s="4" t="str">
        <f t="shared" si="66"/>
        <v>ACT_BND</v>
      </c>
      <c r="E159" s="4" t="str">
        <f t="shared" si="67"/>
        <v>UP</v>
      </c>
      <c r="F159" s="4">
        <v>2040</v>
      </c>
      <c r="G159" s="456">
        <f>'Key input_Biomass_MAgPIE'!E154</f>
        <v>0</v>
      </c>
      <c r="H159" s="456">
        <f>'Key input_Biomass_MAgPIE'!F154</f>
        <v>0</v>
      </c>
      <c r="I159" s="456">
        <f>'Key input_Biomass_MAgPIE'!G154</f>
        <v>0</v>
      </c>
      <c r="J159" s="456">
        <f>'Key input_Biomass_MAgPIE'!H154</f>
        <v>0</v>
      </c>
      <c r="K159" s="456">
        <f>'Key input_Biomass_MAgPIE'!I154</f>
        <v>0</v>
      </c>
      <c r="L159" s="456">
        <f>'Key input_Biomass_MAgPIE'!J154</f>
        <v>0</v>
      </c>
      <c r="M159" s="456">
        <f>'Key input_Biomass_MAgPIE'!K154</f>
        <v>0</v>
      </c>
      <c r="N159" s="456">
        <f>'Key input_Biomass_MAgPIE'!L154</f>
        <v>0</v>
      </c>
      <c r="O159" s="456">
        <f>'Key input_Biomass_MAgPIE'!M154</f>
        <v>0</v>
      </c>
      <c r="P159" s="456">
        <f>'Key input_Biomass_MAgPIE'!N154</f>
        <v>0</v>
      </c>
      <c r="Q159" s="456">
        <f>'Key input_Biomass_MAgPIE'!O154</f>
        <v>0</v>
      </c>
      <c r="R159" s="456">
        <f>'Key input_Biomass_MAgPIE'!P154</f>
        <v>0</v>
      </c>
      <c r="S159" s="456">
        <f>'Key input_Biomass_MAgPIE'!Q154</f>
        <v>0</v>
      </c>
      <c r="T159" s="456">
        <f>'Key input_Biomass_MAgPIE'!R154</f>
        <v>0</v>
      </c>
      <c r="U159" s="456">
        <f>'Key input_Biomass_MAgPIE'!S154</f>
        <v>0</v>
      </c>
      <c r="V159" s="456">
        <f>'Key input_Biomass_MAgPIE'!T154</f>
        <v>0</v>
      </c>
      <c r="W159" s="456">
        <f>'Key input_Biomass_MAgPIE'!U154</f>
        <v>0</v>
      </c>
      <c r="X159" s="456">
        <f>'Key input_Biomass_MAgPIE'!V154</f>
        <v>0</v>
      </c>
      <c r="Y159" s="456">
        <f>'Key input_Biomass_MAgPIE'!W154</f>
        <v>0</v>
      </c>
      <c r="Z159" s="456">
        <f>'Key input_Biomass_MAgPIE'!X154</f>
        <v>0</v>
      </c>
      <c r="AA159" s="456">
        <f>'Key input_Biomass_MAgPIE'!Y154</f>
        <v>0</v>
      </c>
      <c r="AB159" s="456">
        <f>'Key input_Biomass_MAgPIE'!Z154</f>
        <v>0</v>
      </c>
      <c r="AC159" s="456">
        <f>'Key input_Biomass_MAgPIE'!AA154</f>
        <v>0</v>
      </c>
      <c r="AD159" s="456">
        <f>'Key input_Biomass_MAgPIE'!AB154</f>
        <v>0</v>
      </c>
      <c r="AE159" s="456">
        <f>'Key input_Biomass_MAgPIE'!AC154</f>
        <v>0</v>
      </c>
      <c r="AF159" s="456">
        <f>'Key input_Biomass_MAgPIE'!AD154</f>
        <v>0</v>
      </c>
      <c r="AG159" s="456">
        <f>'Key input_Biomass_MAgPIE'!AE154</f>
        <v>0</v>
      </c>
      <c r="AH159" s="456">
        <f>'Key input_Biomass_MAgPIE'!AF154</f>
        <v>0</v>
      </c>
      <c r="AK159"/>
      <c r="AL159"/>
    </row>
    <row r="160" spans="1:38" s="4" customFormat="1">
      <c r="A160" s="4" t="str">
        <f t="shared" si="68"/>
        <v>MIN-RSVBIOOLC3</v>
      </c>
      <c r="B160" s="4" t="str">
        <f t="shared" si="64"/>
        <v>UPS Reserves of Biomass - Oil crops - Reserve - Supply curve step 3</v>
      </c>
      <c r="C160" s="4" t="str">
        <f t="shared" si="65"/>
        <v>RSVBIOOLC</v>
      </c>
      <c r="D160" s="4" t="str">
        <f t="shared" si="66"/>
        <v>ACT_BND</v>
      </c>
      <c r="E160" s="4" t="str">
        <f t="shared" si="67"/>
        <v>UP</v>
      </c>
      <c r="F160" s="4">
        <v>2045</v>
      </c>
      <c r="G160" s="456">
        <f>'Key input_Biomass_MAgPIE'!E155</f>
        <v>0</v>
      </c>
      <c r="H160" s="456">
        <f>'Key input_Biomass_MAgPIE'!F155</f>
        <v>0</v>
      </c>
      <c r="I160" s="456">
        <f>'Key input_Biomass_MAgPIE'!G155</f>
        <v>0</v>
      </c>
      <c r="J160" s="456">
        <f>'Key input_Biomass_MAgPIE'!H155</f>
        <v>0</v>
      </c>
      <c r="K160" s="456">
        <f>'Key input_Biomass_MAgPIE'!I155</f>
        <v>0</v>
      </c>
      <c r="L160" s="456">
        <f>'Key input_Biomass_MAgPIE'!J155</f>
        <v>0</v>
      </c>
      <c r="M160" s="456">
        <f>'Key input_Biomass_MAgPIE'!K155</f>
        <v>0</v>
      </c>
      <c r="N160" s="456">
        <f>'Key input_Biomass_MAgPIE'!L155</f>
        <v>0</v>
      </c>
      <c r="O160" s="456">
        <f>'Key input_Biomass_MAgPIE'!M155</f>
        <v>0</v>
      </c>
      <c r="P160" s="456">
        <f>'Key input_Biomass_MAgPIE'!N155</f>
        <v>0</v>
      </c>
      <c r="Q160" s="456">
        <f>'Key input_Biomass_MAgPIE'!O155</f>
        <v>0</v>
      </c>
      <c r="R160" s="456">
        <f>'Key input_Biomass_MAgPIE'!P155</f>
        <v>0</v>
      </c>
      <c r="S160" s="456">
        <f>'Key input_Biomass_MAgPIE'!Q155</f>
        <v>0</v>
      </c>
      <c r="T160" s="456">
        <f>'Key input_Biomass_MAgPIE'!R155</f>
        <v>0</v>
      </c>
      <c r="U160" s="456">
        <f>'Key input_Biomass_MAgPIE'!S155</f>
        <v>0</v>
      </c>
      <c r="V160" s="456">
        <f>'Key input_Biomass_MAgPIE'!T155</f>
        <v>0</v>
      </c>
      <c r="W160" s="456">
        <f>'Key input_Biomass_MAgPIE'!U155</f>
        <v>0</v>
      </c>
      <c r="X160" s="456">
        <f>'Key input_Biomass_MAgPIE'!V155</f>
        <v>0</v>
      </c>
      <c r="Y160" s="456">
        <f>'Key input_Biomass_MAgPIE'!W155</f>
        <v>0</v>
      </c>
      <c r="Z160" s="456">
        <f>'Key input_Biomass_MAgPIE'!X155</f>
        <v>0</v>
      </c>
      <c r="AA160" s="456">
        <f>'Key input_Biomass_MAgPIE'!Y155</f>
        <v>0</v>
      </c>
      <c r="AB160" s="456">
        <f>'Key input_Biomass_MAgPIE'!Z155</f>
        <v>0</v>
      </c>
      <c r="AC160" s="456">
        <f>'Key input_Biomass_MAgPIE'!AA155</f>
        <v>0</v>
      </c>
      <c r="AD160" s="456">
        <f>'Key input_Biomass_MAgPIE'!AB155</f>
        <v>0</v>
      </c>
      <c r="AE160" s="456">
        <f>'Key input_Biomass_MAgPIE'!AC155</f>
        <v>0</v>
      </c>
      <c r="AF160" s="456">
        <f>'Key input_Biomass_MAgPIE'!AD155</f>
        <v>0</v>
      </c>
      <c r="AG160" s="456">
        <f>'Key input_Biomass_MAgPIE'!AE155</f>
        <v>0</v>
      </c>
      <c r="AH160" s="456">
        <f>'Key input_Biomass_MAgPIE'!AF155</f>
        <v>0</v>
      </c>
      <c r="AK160"/>
      <c r="AL160"/>
    </row>
    <row r="161" spans="1:38" s="4" customFormat="1">
      <c r="A161" s="4" t="str">
        <f t="shared" si="68"/>
        <v>MIN-RSVBIOOLC3</v>
      </c>
      <c r="B161" s="4" t="str">
        <f t="shared" si="64"/>
        <v>UPS Reserves of Biomass - Oil crops - Reserve - Supply curve step 3</v>
      </c>
      <c r="C161" s="4" t="str">
        <f t="shared" si="65"/>
        <v>RSVBIOOLC</v>
      </c>
      <c r="D161" s="4" t="str">
        <f t="shared" si="66"/>
        <v>ACT_BND</v>
      </c>
      <c r="E161" s="4" t="str">
        <f t="shared" si="67"/>
        <v>UP</v>
      </c>
      <c r="F161" s="4">
        <v>2050</v>
      </c>
      <c r="G161" s="456">
        <f>'Key input_Biomass_MAgPIE'!E156</f>
        <v>0</v>
      </c>
      <c r="H161" s="456">
        <f>'Key input_Biomass_MAgPIE'!F156</f>
        <v>0</v>
      </c>
      <c r="I161" s="456">
        <f>'Key input_Biomass_MAgPIE'!G156</f>
        <v>0</v>
      </c>
      <c r="J161" s="456">
        <f>'Key input_Biomass_MAgPIE'!H156</f>
        <v>0</v>
      </c>
      <c r="K161" s="456">
        <f>'Key input_Biomass_MAgPIE'!I156</f>
        <v>0</v>
      </c>
      <c r="L161" s="456">
        <f>'Key input_Biomass_MAgPIE'!J156</f>
        <v>0</v>
      </c>
      <c r="M161" s="456">
        <f>'Key input_Biomass_MAgPIE'!K156</f>
        <v>0</v>
      </c>
      <c r="N161" s="456">
        <f>'Key input_Biomass_MAgPIE'!L156</f>
        <v>0</v>
      </c>
      <c r="O161" s="456">
        <f>'Key input_Biomass_MAgPIE'!M156</f>
        <v>0</v>
      </c>
      <c r="P161" s="456">
        <f>'Key input_Biomass_MAgPIE'!N156</f>
        <v>0</v>
      </c>
      <c r="Q161" s="456">
        <f>'Key input_Biomass_MAgPIE'!O156</f>
        <v>0</v>
      </c>
      <c r="R161" s="456">
        <f>'Key input_Biomass_MAgPIE'!P156</f>
        <v>0</v>
      </c>
      <c r="S161" s="456">
        <f>'Key input_Biomass_MAgPIE'!Q156</f>
        <v>0</v>
      </c>
      <c r="T161" s="456">
        <f>'Key input_Biomass_MAgPIE'!R156</f>
        <v>0</v>
      </c>
      <c r="U161" s="456">
        <f>'Key input_Biomass_MAgPIE'!S156</f>
        <v>0</v>
      </c>
      <c r="V161" s="456">
        <f>'Key input_Biomass_MAgPIE'!T156</f>
        <v>0</v>
      </c>
      <c r="W161" s="456">
        <f>'Key input_Biomass_MAgPIE'!U156</f>
        <v>0</v>
      </c>
      <c r="X161" s="456">
        <f>'Key input_Biomass_MAgPIE'!V156</f>
        <v>0</v>
      </c>
      <c r="Y161" s="456">
        <f>'Key input_Biomass_MAgPIE'!W156</f>
        <v>0</v>
      </c>
      <c r="Z161" s="456">
        <f>'Key input_Biomass_MAgPIE'!X156</f>
        <v>0</v>
      </c>
      <c r="AA161" s="456">
        <f>'Key input_Biomass_MAgPIE'!Y156</f>
        <v>0</v>
      </c>
      <c r="AB161" s="456">
        <f>'Key input_Biomass_MAgPIE'!Z156</f>
        <v>0</v>
      </c>
      <c r="AC161" s="456">
        <f>'Key input_Biomass_MAgPIE'!AA156</f>
        <v>0</v>
      </c>
      <c r="AD161" s="456">
        <f>'Key input_Biomass_MAgPIE'!AB156</f>
        <v>0</v>
      </c>
      <c r="AE161" s="456">
        <f>'Key input_Biomass_MAgPIE'!AC156</f>
        <v>0</v>
      </c>
      <c r="AF161" s="456">
        <f>'Key input_Biomass_MAgPIE'!AD156</f>
        <v>0</v>
      </c>
      <c r="AG161" s="456">
        <f>'Key input_Biomass_MAgPIE'!AE156</f>
        <v>0</v>
      </c>
      <c r="AH161" s="456">
        <f>'Key input_Biomass_MAgPIE'!AF156</f>
        <v>0</v>
      </c>
      <c r="AK161"/>
      <c r="AL161"/>
    </row>
    <row r="162" spans="1:38" s="4" customFormat="1">
      <c r="A162" s="4" t="str">
        <f t="shared" si="68"/>
        <v>MIN-RSVBIOOLC3</v>
      </c>
      <c r="B162" s="4" t="str">
        <f t="shared" si="64"/>
        <v>UPS Reserves of Biomass - Oil crops - Reserve - Supply curve step 3</v>
      </c>
      <c r="C162" s="4" t="str">
        <f t="shared" si="65"/>
        <v>RSVBIOOLC</v>
      </c>
      <c r="D162" s="4" t="str">
        <f t="shared" si="66"/>
        <v>ACT_BND</v>
      </c>
      <c r="E162" s="4" t="str">
        <f t="shared" si="67"/>
        <v>UP</v>
      </c>
      <c r="F162" s="4">
        <v>2060</v>
      </c>
      <c r="G162" s="456">
        <f>'Key input_Biomass_MAgPIE'!E157</f>
        <v>0</v>
      </c>
      <c r="H162" s="456">
        <f>'Key input_Biomass_MAgPIE'!F157</f>
        <v>0</v>
      </c>
      <c r="I162" s="456">
        <f>'Key input_Biomass_MAgPIE'!G157</f>
        <v>0</v>
      </c>
      <c r="J162" s="456">
        <f>'Key input_Biomass_MAgPIE'!H157</f>
        <v>0</v>
      </c>
      <c r="K162" s="456">
        <f>'Key input_Biomass_MAgPIE'!I157</f>
        <v>0</v>
      </c>
      <c r="L162" s="456">
        <f>'Key input_Biomass_MAgPIE'!J157</f>
        <v>0</v>
      </c>
      <c r="M162" s="456">
        <f>'Key input_Biomass_MAgPIE'!K157</f>
        <v>0</v>
      </c>
      <c r="N162" s="456">
        <f>'Key input_Biomass_MAgPIE'!L157</f>
        <v>0</v>
      </c>
      <c r="O162" s="456">
        <f>'Key input_Biomass_MAgPIE'!M157</f>
        <v>0</v>
      </c>
      <c r="P162" s="456">
        <f>'Key input_Biomass_MAgPIE'!N157</f>
        <v>0</v>
      </c>
      <c r="Q162" s="456">
        <f>'Key input_Biomass_MAgPIE'!O157</f>
        <v>0</v>
      </c>
      <c r="R162" s="456">
        <f>'Key input_Biomass_MAgPIE'!P157</f>
        <v>0</v>
      </c>
      <c r="S162" s="456">
        <f>'Key input_Biomass_MAgPIE'!Q157</f>
        <v>0</v>
      </c>
      <c r="T162" s="456">
        <f>'Key input_Biomass_MAgPIE'!R157</f>
        <v>0</v>
      </c>
      <c r="U162" s="456">
        <f>'Key input_Biomass_MAgPIE'!S157</f>
        <v>0</v>
      </c>
      <c r="V162" s="456">
        <f>'Key input_Biomass_MAgPIE'!T157</f>
        <v>0</v>
      </c>
      <c r="W162" s="456">
        <f>'Key input_Biomass_MAgPIE'!U157</f>
        <v>0</v>
      </c>
      <c r="X162" s="456">
        <f>'Key input_Biomass_MAgPIE'!V157</f>
        <v>0</v>
      </c>
      <c r="Y162" s="456">
        <f>'Key input_Biomass_MAgPIE'!W157</f>
        <v>0</v>
      </c>
      <c r="Z162" s="456">
        <f>'Key input_Biomass_MAgPIE'!X157</f>
        <v>0</v>
      </c>
      <c r="AA162" s="456">
        <f>'Key input_Biomass_MAgPIE'!Y157</f>
        <v>0</v>
      </c>
      <c r="AB162" s="456">
        <f>'Key input_Biomass_MAgPIE'!Z157</f>
        <v>0</v>
      </c>
      <c r="AC162" s="456">
        <f>'Key input_Biomass_MAgPIE'!AA157</f>
        <v>0</v>
      </c>
      <c r="AD162" s="456">
        <f>'Key input_Biomass_MAgPIE'!AB157</f>
        <v>0</v>
      </c>
      <c r="AE162" s="456">
        <f>'Key input_Biomass_MAgPIE'!AC157</f>
        <v>0</v>
      </c>
      <c r="AF162" s="456">
        <f>'Key input_Biomass_MAgPIE'!AD157</f>
        <v>0</v>
      </c>
      <c r="AG162" s="456">
        <f>'Key input_Biomass_MAgPIE'!AE157</f>
        <v>0</v>
      </c>
      <c r="AH162" s="456">
        <f>'Key input_Biomass_MAgPIE'!AF157</f>
        <v>0</v>
      </c>
      <c r="AK162"/>
      <c r="AL162"/>
    </row>
    <row r="163" spans="1:38" s="4" customFormat="1">
      <c r="A163" s="4" t="str">
        <f t="shared" si="68"/>
        <v>MIN-RSVBIOOLC3</v>
      </c>
      <c r="B163" s="4" t="str">
        <f t="shared" si="64"/>
        <v>UPS Reserves of Biomass - Oil crops - Reserve - Supply curve step 3</v>
      </c>
      <c r="C163" s="4" t="str">
        <f t="shared" si="65"/>
        <v>RSVBIOOLC</v>
      </c>
      <c r="D163" s="4" t="str">
        <f t="shared" si="66"/>
        <v>ACT_BND</v>
      </c>
      <c r="E163" s="4" t="str">
        <f t="shared" si="67"/>
        <v>UP</v>
      </c>
      <c r="F163" s="4">
        <v>2070</v>
      </c>
      <c r="G163" s="456">
        <f>'Key input_Biomass_MAgPIE'!E158</f>
        <v>0</v>
      </c>
      <c r="H163" s="456">
        <f>'Key input_Biomass_MAgPIE'!F158</f>
        <v>0</v>
      </c>
      <c r="I163" s="456">
        <f>'Key input_Biomass_MAgPIE'!G158</f>
        <v>0</v>
      </c>
      <c r="J163" s="456">
        <f>'Key input_Biomass_MAgPIE'!H158</f>
        <v>0</v>
      </c>
      <c r="K163" s="456">
        <f>'Key input_Biomass_MAgPIE'!I158</f>
        <v>0</v>
      </c>
      <c r="L163" s="456">
        <f>'Key input_Biomass_MAgPIE'!J158</f>
        <v>0</v>
      </c>
      <c r="M163" s="456">
        <f>'Key input_Biomass_MAgPIE'!K158</f>
        <v>0</v>
      </c>
      <c r="N163" s="456">
        <f>'Key input_Biomass_MAgPIE'!L158</f>
        <v>0</v>
      </c>
      <c r="O163" s="456">
        <f>'Key input_Biomass_MAgPIE'!M158</f>
        <v>0</v>
      </c>
      <c r="P163" s="456">
        <f>'Key input_Biomass_MAgPIE'!N158</f>
        <v>0</v>
      </c>
      <c r="Q163" s="456">
        <f>'Key input_Biomass_MAgPIE'!O158</f>
        <v>0</v>
      </c>
      <c r="R163" s="456">
        <f>'Key input_Biomass_MAgPIE'!P158</f>
        <v>0</v>
      </c>
      <c r="S163" s="456">
        <f>'Key input_Biomass_MAgPIE'!Q158</f>
        <v>0</v>
      </c>
      <c r="T163" s="456">
        <f>'Key input_Biomass_MAgPIE'!R158</f>
        <v>0</v>
      </c>
      <c r="U163" s="456">
        <f>'Key input_Biomass_MAgPIE'!S158</f>
        <v>0</v>
      </c>
      <c r="V163" s="456">
        <f>'Key input_Biomass_MAgPIE'!T158</f>
        <v>0</v>
      </c>
      <c r="W163" s="456">
        <f>'Key input_Biomass_MAgPIE'!U158</f>
        <v>0</v>
      </c>
      <c r="X163" s="456">
        <f>'Key input_Biomass_MAgPIE'!V158</f>
        <v>0</v>
      </c>
      <c r="Y163" s="456">
        <f>'Key input_Biomass_MAgPIE'!W158</f>
        <v>0</v>
      </c>
      <c r="Z163" s="456">
        <f>'Key input_Biomass_MAgPIE'!X158</f>
        <v>0</v>
      </c>
      <c r="AA163" s="456">
        <f>'Key input_Biomass_MAgPIE'!Y158</f>
        <v>0</v>
      </c>
      <c r="AB163" s="456">
        <f>'Key input_Biomass_MAgPIE'!Z158</f>
        <v>0</v>
      </c>
      <c r="AC163" s="456">
        <f>'Key input_Biomass_MAgPIE'!AA158</f>
        <v>0</v>
      </c>
      <c r="AD163" s="456">
        <f>'Key input_Biomass_MAgPIE'!AB158</f>
        <v>0</v>
      </c>
      <c r="AE163" s="456">
        <f>'Key input_Biomass_MAgPIE'!AC158</f>
        <v>0</v>
      </c>
      <c r="AF163" s="456">
        <f>'Key input_Biomass_MAgPIE'!AD158</f>
        <v>0</v>
      </c>
      <c r="AG163" s="456">
        <f>'Key input_Biomass_MAgPIE'!AE158</f>
        <v>0</v>
      </c>
      <c r="AH163" s="456">
        <f>'Key input_Biomass_MAgPIE'!AF158</f>
        <v>0</v>
      </c>
      <c r="AK163"/>
      <c r="AL163"/>
    </row>
    <row r="164" spans="1:38" s="4" customFormat="1">
      <c r="A164" s="4" t="str">
        <f t="shared" si="68"/>
        <v>MIN-RSVBIOOLC3</v>
      </c>
      <c r="B164" s="4" t="str">
        <f t="shared" si="64"/>
        <v>UPS Reserves of Biomass - Oil crops - Reserve - Supply curve step 3</v>
      </c>
      <c r="C164" s="4" t="str">
        <f t="shared" si="65"/>
        <v>RSVBIOOLC</v>
      </c>
      <c r="D164" s="4" t="str">
        <f t="shared" si="66"/>
        <v>ACT_BND</v>
      </c>
      <c r="E164" s="4" t="str">
        <f t="shared" si="67"/>
        <v>UP</v>
      </c>
      <c r="F164" s="4">
        <v>2080</v>
      </c>
      <c r="G164" s="456">
        <f>'Key input_Biomass_MAgPIE'!E159</f>
        <v>0</v>
      </c>
      <c r="H164" s="456">
        <f>'Key input_Biomass_MAgPIE'!F159</f>
        <v>0</v>
      </c>
      <c r="I164" s="456">
        <f>'Key input_Biomass_MAgPIE'!G159</f>
        <v>0</v>
      </c>
      <c r="J164" s="456">
        <f>'Key input_Biomass_MAgPIE'!H159</f>
        <v>0</v>
      </c>
      <c r="K164" s="456">
        <f>'Key input_Biomass_MAgPIE'!I159</f>
        <v>0</v>
      </c>
      <c r="L164" s="456">
        <f>'Key input_Biomass_MAgPIE'!J159</f>
        <v>0</v>
      </c>
      <c r="M164" s="456">
        <f>'Key input_Biomass_MAgPIE'!K159</f>
        <v>0</v>
      </c>
      <c r="N164" s="456">
        <f>'Key input_Biomass_MAgPIE'!L159</f>
        <v>0</v>
      </c>
      <c r="O164" s="456">
        <f>'Key input_Biomass_MAgPIE'!M159</f>
        <v>0</v>
      </c>
      <c r="P164" s="456">
        <f>'Key input_Biomass_MAgPIE'!N159</f>
        <v>0</v>
      </c>
      <c r="Q164" s="456">
        <f>'Key input_Biomass_MAgPIE'!O159</f>
        <v>0</v>
      </c>
      <c r="R164" s="456">
        <f>'Key input_Biomass_MAgPIE'!P159</f>
        <v>0</v>
      </c>
      <c r="S164" s="456">
        <f>'Key input_Biomass_MAgPIE'!Q159</f>
        <v>0</v>
      </c>
      <c r="T164" s="456">
        <f>'Key input_Biomass_MAgPIE'!R159</f>
        <v>0</v>
      </c>
      <c r="U164" s="456">
        <f>'Key input_Biomass_MAgPIE'!S159</f>
        <v>0</v>
      </c>
      <c r="V164" s="456">
        <f>'Key input_Biomass_MAgPIE'!T159</f>
        <v>0</v>
      </c>
      <c r="W164" s="456">
        <f>'Key input_Biomass_MAgPIE'!U159</f>
        <v>0</v>
      </c>
      <c r="X164" s="456">
        <f>'Key input_Biomass_MAgPIE'!V159</f>
        <v>0</v>
      </c>
      <c r="Y164" s="456">
        <f>'Key input_Biomass_MAgPIE'!W159</f>
        <v>0</v>
      </c>
      <c r="Z164" s="456">
        <f>'Key input_Biomass_MAgPIE'!X159</f>
        <v>0</v>
      </c>
      <c r="AA164" s="456">
        <f>'Key input_Biomass_MAgPIE'!Y159</f>
        <v>0</v>
      </c>
      <c r="AB164" s="456">
        <f>'Key input_Biomass_MAgPIE'!Z159</f>
        <v>0</v>
      </c>
      <c r="AC164" s="456">
        <f>'Key input_Biomass_MAgPIE'!AA159</f>
        <v>0</v>
      </c>
      <c r="AD164" s="456">
        <f>'Key input_Biomass_MAgPIE'!AB159</f>
        <v>0</v>
      </c>
      <c r="AE164" s="456">
        <f>'Key input_Biomass_MAgPIE'!AC159</f>
        <v>0</v>
      </c>
      <c r="AF164" s="456">
        <f>'Key input_Biomass_MAgPIE'!AD159</f>
        <v>0</v>
      </c>
      <c r="AG164" s="456">
        <f>'Key input_Biomass_MAgPIE'!AE159</f>
        <v>0</v>
      </c>
      <c r="AH164" s="456">
        <f>'Key input_Biomass_MAgPIE'!AF159</f>
        <v>0</v>
      </c>
      <c r="AK164"/>
      <c r="AL164"/>
    </row>
    <row r="165" spans="1:38" s="4" customFormat="1">
      <c r="A165" s="4" t="str">
        <f t="shared" si="68"/>
        <v>MIN-RSVBIOOLC3</v>
      </c>
      <c r="B165" s="4" t="str">
        <f t="shared" si="64"/>
        <v>UPS Reserves of Biomass - Oil crops - Reserve - Supply curve step 3</v>
      </c>
      <c r="C165" s="4" t="str">
        <f t="shared" si="65"/>
        <v>RSVBIOOLC</v>
      </c>
      <c r="D165" s="4" t="str">
        <f t="shared" si="66"/>
        <v>ACT_BND</v>
      </c>
      <c r="E165" s="4" t="str">
        <f t="shared" si="67"/>
        <v>UP</v>
      </c>
      <c r="F165" s="4">
        <v>2090</v>
      </c>
      <c r="G165" s="456">
        <f>'Key input_Biomass_MAgPIE'!E160</f>
        <v>0</v>
      </c>
      <c r="H165" s="456">
        <f>'Key input_Biomass_MAgPIE'!F160</f>
        <v>0</v>
      </c>
      <c r="I165" s="456">
        <f>'Key input_Biomass_MAgPIE'!G160</f>
        <v>0</v>
      </c>
      <c r="J165" s="456">
        <f>'Key input_Biomass_MAgPIE'!H160</f>
        <v>0</v>
      </c>
      <c r="K165" s="456">
        <f>'Key input_Biomass_MAgPIE'!I160</f>
        <v>0</v>
      </c>
      <c r="L165" s="456">
        <f>'Key input_Biomass_MAgPIE'!J160</f>
        <v>0</v>
      </c>
      <c r="M165" s="456">
        <f>'Key input_Biomass_MAgPIE'!K160</f>
        <v>0</v>
      </c>
      <c r="N165" s="456">
        <f>'Key input_Biomass_MAgPIE'!L160</f>
        <v>0</v>
      </c>
      <c r="O165" s="456">
        <f>'Key input_Biomass_MAgPIE'!M160</f>
        <v>0</v>
      </c>
      <c r="P165" s="456">
        <f>'Key input_Biomass_MAgPIE'!N160</f>
        <v>0</v>
      </c>
      <c r="Q165" s="456">
        <f>'Key input_Biomass_MAgPIE'!O160</f>
        <v>0</v>
      </c>
      <c r="R165" s="456">
        <f>'Key input_Biomass_MAgPIE'!P160</f>
        <v>0</v>
      </c>
      <c r="S165" s="456">
        <f>'Key input_Biomass_MAgPIE'!Q160</f>
        <v>0</v>
      </c>
      <c r="T165" s="456">
        <f>'Key input_Biomass_MAgPIE'!R160</f>
        <v>0</v>
      </c>
      <c r="U165" s="456">
        <f>'Key input_Biomass_MAgPIE'!S160</f>
        <v>0</v>
      </c>
      <c r="V165" s="456">
        <f>'Key input_Biomass_MAgPIE'!T160</f>
        <v>0</v>
      </c>
      <c r="W165" s="456">
        <f>'Key input_Biomass_MAgPIE'!U160</f>
        <v>0</v>
      </c>
      <c r="X165" s="456">
        <f>'Key input_Biomass_MAgPIE'!V160</f>
        <v>0</v>
      </c>
      <c r="Y165" s="456">
        <f>'Key input_Biomass_MAgPIE'!W160</f>
        <v>0</v>
      </c>
      <c r="Z165" s="456">
        <f>'Key input_Biomass_MAgPIE'!X160</f>
        <v>0</v>
      </c>
      <c r="AA165" s="456">
        <f>'Key input_Biomass_MAgPIE'!Y160</f>
        <v>0</v>
      </c>
      <c r="AB165" s="456">
        <f>'Key input_Biomass_MAgPIE'!Z160</f>
        <v>0</v>
      </c>
      <c r="AC165" s="456">
        <f>'Key input_Biomass_MAgPIE'!AA160</f>
        <v>0</v>
      </c>
      <c r="AD165" s="456">
        <f>'Key input_Biomass_MAgPIE'!AB160</f>
        <v>0</v>
      </c>
      <c r="AE165" s="456">
        <f>'Key input_Biomass_MAgPIE'!AC160</f>
        <v>0</v>
      </c>
      <c r="AF165" s="456">
        <f>'Key input_Biomass_MAgPIE'!AD160</f>
        <v>0</v>
      </c>
      <c r="AG165" s="456">
        <f>'Key input_Biomass_MAgPIE'!AE160</f>
        <v>0</v>
      </c>
      <c r="AH165" s="456">
        <f>'Key input_Biomass_MAgPIE'!AF160</f>
        <v>0</v>
      </c>
      <c r="AK165"/>
      <c r="AL165"/>
    </row>
    <row r="166" spans="1:38" s="4" customFormat="1" ht="16.2" thickBot="1">
      <c r="A166" s="454" t="str">
        <f t="shared" si="68"/>
        <v>MIN-RSVBIOOLC3</v>
      </c>
      <c r="B166" s="454" t="str">
        <f t="shared" si="64"/>
        <v>UPS Reserves of Biomass - Oil crops - Reserve - Supply curve step 3</v>
      </c>
      <c r="C166" s="454" t="str">
        <f t="shared" si="65"/>
        <v>RSVBIOOLC</v>
      </c>
      <c r="D166" s="454" t="str">
        <f t="shared" si="66"/>
        <v>ACT_BND</v>
      </c>
      <c r="E166" s="454" t="str">
        <f t="shared" si="67"/>
        <v>UP</v>
      </c>
      <c r="F166" s="454">
        <v>2100</v>
      </c>
      <c r="G166" s="455">
        <f>'Key input_Biomass_MAgPIE'!E161</f>
        <v>0</v>
      </c>
      <c r="H166" s="455">
        <f>'Key input_Biomass_MAgPIE'!F161</f>
        <v>0</v>
      </c>
      <c r="I166" s="455">
        <f>'Key input_Biomass_MAgPIE'!G161</f>
        <v>0</v>
      </c>
      <c r="J166" s="455">
        <f>'Key input_Biomass_MAgPIE'!H161</f>
        <v>0</v>
      </c>
      <c r="K166" s="455">
        <f>'Key input_Biomass_MAgPIE'!I161</f>
        <v>0</v>
      </c>
      <c r="L166" s="455">
        <f>'Key input_Biomass_MAgPIE'!J161</f>
        <v>0</v>
      </c>
      <c r="M166" s="455">
        <f>'Key input_Biomass_MAgPIE'!K161</f>
        <v>0</v>
      </c>
      <c r="N166" s="455">
        <f>'Key input_Biomass_MAgPIE'!L161</f>
        <v>0</v>
      </c>
      <c r="O166" s="455">
        <f>'Key input_Biomass_MAgPIE'!M161</f>
        <v>0</v>
      </c>
      <c r="P166" s="455">
        <f>'Key input_Biomass_MAgPIE'!N161</f>
        <v>0</v>
      </c>
      <c r="Q166" s="455">
        <f>'Key input_Biomass_MAgPIE'!O161</f>
        <v>0</v>
      </c>
      <c r="R166" s="455">
        <f>'Key input_Biomass_MAgPIE'!P161</f>
        <v>0</v>
      </c>
      <c r="S166" s="455">
        <f>'Key input_Biomass_MAgPIE'!Q161</f>
        <v>0</v>
      </c>
      <c r="T166" s="455">
        <f>'Key input_Biomass_MAgPIE'!R161</f>
        <v>0</v>
      </c>
      <c r="U166" s="455">
        <f>'Key input_Biomass_MAgPIE'!S161</f>
        <v>0</v>
      </c>
      <c r="V166" s="455">
        <f>'Key input_Biomass_MAgPIE'!T161</f>
        <v>0</v>
      </c>
      <c r="W166" s="455">
        <f>'Key input_Biomass_MAgPIE'!U161</f>
        <v>0</v>
      </c>
      <c r="X166" s="455">
        <f>'Key input_Biomass_MAgPIE'!V161</f>
        <v>0</v>
      </c>
      <c r="Y166" s="455">
        <f>'Key input_Biomass_MAgPIE'!W161</f>
        <v>0</v>
      </c>
      <c r="Z166" s="455">
        <f>'Key input_Biomass_MAgPIE'!X161</f>
        <v>0</v>
      </c>
      <c r="AA166" s="455">
        <f>'Key input_Biomass_MAgPIE'!Y161</f>
        <v>0</v>
      </c>
      <c r="AB166" s="455">
        <f>'Key input_Biomass_MAgPIE'!Z161</f>
        <v>0</v>
      </c>
      <c r="AC166" s="455">
        <f>'Key input_Biomass_MAgPIE'!AA161</f>
        <v>0</v>
      </c>
      <c r="AD166" s="455">
        <f>'Key input_Biomass_MAgPIE'!AB161</f>
        <v>0</v>
      </c>
      <c r="AE166" s="455">
        <f>'Key input_Biomass_MAgPIE'!AC161</f>
        <v>0</v>
      </c>
      <c r="AF166" s="455">
        <f>'Key input_Biomass_MAgPIE'!AD161</f>
        <v>0</v>
      </c>
      <c r="AG166" s="455">
        <f>'Key input_Biomass_MAgPIE'!AE161</f>
        <v>0</v>
      </c>
      <c r="AH166" s="455">
        <f>'Key input_Biomass_MAgPIE'!AF161</f>
        <v>0</v>
      </c>
      <c r="AK166"/>
      <c r="AL166"/>
    </row>
    <row r="167" spans="1:38" s="4" customFormat="1">
      <c r="A167" s="4" t="str">
        <f>IF(AK23="",AJ23,AK23)</f>
        <v>MIN-RSVBIOCRL1</v>
      </c>
      <c r="B167" s="4" t="str">
        <f>IF($AK23="","",AL23)</f>
        <v>UPS Reserves of Biomass - Cereals - Reserve - Supply curve step 1</v>
      </c>
      <c r="C167" s="4" t="str">
        <f>Commodities!$C$19</f>
        <v>RSVBIOCRL</v>
      </c>
      <c r="D167" s="4" t="s">
        <v>678</v>
      </c>
      <c r="E167" s="4" t="s">
        <v>661</v>
      </c>
      <c r="F167" s="4">
        <v>2019</v>
      </c>
      <c r="G167" s="258">
        <f>'Key input_Biomass_MAgPIE'!E162</f>
        <v>80</v>
      </c>
      <c r="H167" s="258">
        <f>'Key input_Biomass_MAgPIE'!F162</f>
        <v>0</v>
      </c>
      <c r="I167" s="258">
        <f>'Key input_Biomass_MAgPIE'!G162</f>
        <v>0</v>
      </c>
      <c r="J167" s="258">
        <f>'Key input_Biomass_MAgPIE'!H162</f>
        <v>0</v>
      </c>
      <c r="K167" s="258">
        <f>'Key input_Biomass_MAgPIE'!I162</f>
        <v>4399</v>
      </c>
      <c r="L167" s="258">
        <f>'Key input_Biomass_MAgPIE'!J162</f>
        <v>0</v>
      </c>
      <c r="M167" s="258">
        <f>'Key input_Biomass_MAgPIE'!K162</f>
        <v>0</v>
      </c>
      <c r="N167" s="258">
        <f>'Key input_Biomass_MAgPIE'!L162</f>
        <v>0</v>
      </c>
      <c r="O167" s="258">
        <f>'Key input_Biomass_MAgPIE'!M162</f>
        <v>1090000</v>
      </c>
      <c r="P167" s="258">
        <f>'Key input_Biomass_MAgPIE'!N162</f>
        <v>40000</v>
      </c>
      <c r="Q167" s="258">
        <f>'Key input_Biomass_MAgPIE'!O162</f>
        <v>0</v>
      </c>
      <c r="R167" s="258">
        <f>'Key input_Biomass_MAgPIE'!P162</f>
        <v>100000</v>
      </c>
      <c r="S167" s="258">
        <f>'Key input_Biomass_MAgPIE'!Q162</f>
        <v>0</v>
      </c>
      <c r="T167" s="258">
        <f>'Key input_Biomass_MAgPIE'!R162</f>
        <v>37685</v>
      </c>
      <c r="U167" s="258">
        <f>'Key input_Biomass_MAgPIE'!S162</f>
        <v>60073</v>
      </c>
      <c r="V167" s="258">
        <f>'Key input_Biomass_MAgPIE'!T162</f>
        <v>116469</v>
      </c>
      <c r="W167" s="258">
        <f>'Key input_Biomass_MAgPIE'!U162</f>
        <v>85801</v>
      </c>
      <c r="X167" s="258">
        <f>'Key input_Biomass_MAgPIE'!V162</f>
        <v>291</v>
      </c>
      <c r="Y167" s="258">
        <f>'Key input_Biomass_MAgPIE'!W162</f>
        <v>418</v>
      </c>
      <c r="Z167" s="258">
        <f>'Key input_Biomass_MAgPIE'!X162</f>
        <v>375.5</v>
      </c>
      <c r="AA167" s="258">
        <f>'Key input_Biomass_MAgPIE'!Y162</f>
        <v>11901</v>
      </c>
      <c r="AB167" s="258">
        <f>'Key input_Biomass_MAgPIE'!Z162</f>
        <v>0</v>
      </c>
      <c r="AC167" s="258">
        <f>'Key input_Biomass_MAgPIE'!AA162</f>
        <v>0</v>
      </c>
      <c r="AD167" s="258">
        <f>'Key input_Biomass_MAgPIE'!AB162</f>
        <v>0</v>
      </c>
      <c r="AE167" s="258">
        <f>'Key input_Biomass_MAgPIE'!AC162</f>
        <v>0</v>
      </c>
      <c r="AF167" s="258">
        <f>'Key input_Biomass_MAgPIE'!AD162</f>
        <v>0</v>
      </c>
      <c r="AG167" s="258">
        <f>'Key input_Biomass_MAgPIE'!AE162</f>
        <v>375.5</v>
      </c>
      <c r="AH167" s="258">
        <f>'Key input_Biomass_MAgPIE'!AF162</f>
        <v>1400000</v>
      </c>
      <c r="AK167"/>
      <c r="AL167"/>
    </row>
    <row r="168" spans="1:38" s="4" customFormat="1">
      <c r="A168" s="4" t="str">
        <f>A167</f>
        <v>MIN-RSVBIOCRL1</v>
      </c>
      <c r="B168" s="4" t="str">
        <f t="shared" ref="B168:B179" si="69">B167</f>
        <v>UPS Reserves of Biomass - Cereals - Reserve - Supply curve step 1</v>
      </c>
      <c r="C168" s="4" t="str">
        <f t="shared" ref="C168:C179" si="70">C167</f>
        <v>RSVBIOCRL</v>
      </c>
      <c r="D168" s="4" t="str">
        <f t="shared" ref="D168:D179" si="71">D167</f>
        <v>ACT_BND</v>
      </c>
      <c r="E168" s="4" t="str">
        <f t="shared" ref="E168:E179" si="72">E167</f>
        <v>UP</v>
      </c>
      <c r="F168" s="4">
        <v>2020</v>
      </c>
      <c r="G168" s="456">
        <f>'Key input_Biomass_MAgPIE'!E163</f>
        <v>80</v>
      </c>
      <c r="H168" s="456">
        <f>'Key input_Biomass_MAgPIE'!F163</f>
        <v>0</v>
      </c>
      <c r="I168" s="456">
        <f>'Key input_Biomass_MAgPIE'!G163</f>
        <v>0</v>
      </c>
      <c r="J168" s="456">
        <f>'Key input_Biomass_MAgPIE'!H163</f>
        <v>0</v>
      </c>
      <c r="K168" s="456">
        <f>'Key input_Biomass_MAgPIE'!I163</f>
        <v>4399</v>
      </c>
      <c r="L168" s="456">
        <f>'Key input_Biomass_MAgPIE'!J163</f>
        <v>0</v>
      </c>
      <c r="M168" s="456">
        <f>'Key input_Biomass_MAgPIE'!K163</f>
        <v>0</v>
      </c>
      <c r="N168" s="456">
        <f>'Key input_Biomass_MAgPIE'!L163</f>
        <v>0</v>
      </c>
      <c r="O168" s="456">
        <f>'Key input_Biomass_MAgPIE'!M163</f>
        <v>1090000</v>
      </c>
      <c r="P168" s="456">
        <f>'Key input_Biomass_MAgPIE'!N163</f>
        <v>40000</v>
      </c>
      <c r="Q168" s="456">
        <f>'Key input_Biomass_MAgPIE'!O163</f>
        <v>0</v>
      </c>
      <c r="R168" s="456">
        <f>'Key input_Biomass_MAgPIE'!P163</f>
        <v>100000</v>
      </c>
      <c r="S168" s="456">
        <f>'Key input_Biomass_MAgPIE'!Q163</f>
        <v>0</v>
      </c>
      <c r="T168" s="456">
        <f>'Key input_Biomass_MAgPIE'!R163</f>
        <v>37685</v>
      </c>
      <c r="U168" s="456">
        <f>'Key input_Biomass_MAgPIE'!S163</f>
        <v>60073</v>
      </c>
      <c r="V168" s="456">
        <f>'Key input_Biomass_MAgPIE'!T163</f>
        <v>116469</v>
      </c>
      <c r="W168" s="456">
        <f>'Key input_Biomass_MAgPIE'!U163</f>
        <v>85801</v>
      </c>
      <c r="X168" s="456">
        <f>'Key input_Biomass_MAgPIE'!V163</f>
        <v>291</v>
      </c>
      <c r="Y168" s="456">
        <f>'Key input_Biomass_MAgPIE'!W163</f>
        <v>418</v>
      </c>
      <c r="Z168" s="456">
        <f>'Key input_Biomass_MAgPIE'!X163</f>
        <v>375.5</v>
      </c>
      <c r="AA168" s="456">
        <f>'Key input_Biomass_MAgPIE'!Y163</f>
        <v>11901</v>
      </c>
      <c r="AB168" s="456">
        <f>'Key input_Biomass_MAgPIE'!Z163</f>
        <v>0</v>
      </c>
      <c r="AC168" s="456">
        <f>'Key input_Biomass_MAgPIE'!AA163</f>
        <v>0</v>
      </c>
      <c r="AD168" s="456">
        <f>'Key input_Biomass_MAgPIE'!AB163</f>
        <v>0</v>
      </c>
      <c r="AE168" s="456">
        <f>'Key input_Biomass_MAgPIE'!AC163</f>
        <v>0</v>
      </c>
      <c r="AF168" s="456">
        <f>'Key input_Biomass_MAgPIE'!AD163</f>
        <v>0</v>
      </c>
      <c r="AG168" s="456">
        <f>'Key input_Biomass_MAgPIE'!AE163</f>
        <v>375.5</v>
      </c>
      <c r="AH168" s="456">
        <f>'Key input_Biomass_MAgPIE'!AF163</f>
        <v>1400000</v>
      </c>
      <c r="AK168"/>
      <c r="AL168"/>
    </row>
    <row r="169" spans="1:38" s="4" customFormat="1">
      <c r="A169" s="4" t="str">
        <f t="shared" ref="A169:A179" si="73">A168</f>
        <v>MIN-RSVBIOCRL1</v>
      </c>
      <c r="B169" s="4" t="str">
        <f t="shared" si="69"/>
        <v>UPS Reserves of Biomass - Cereals - Reserve - Supply curve step 1</v>
      </c>
      <c r="C169" s="4" t="str">
        <f t="shared" si="70"/>
        <v>RSVBIOCRL</v>
      </c>
      <c r="D169" s="4" t="str">
        <f t="shared" si="71"/>
        <v>ACT_BND</v>
      </c>
      <c r="E169" s="4" t="str">
        <f t="shared" si="72"/>
        <v>UP</v>
      </c>
      <c r="F169" s="4">
        <v>2025</v>
      </c>
      <c r="G169" s="456">
        <f>'Key input_Biomass_MAgPIE'!E164</f>
        <v>80</v>
      </c>
      <c r="H169" s="456">
        <f>'Key input_Biomass_MAgPIE'!F164</f>
        <v>0</v>
      </c>
      <c r="I169" s="456">
        <f>'Key input_Biomass_MAgPIE'!G164</f>
        <v>0</v>
      </c>
      <c r="J169" s="456">
        <f>'Key input_Biomass_MAgPIE'!H164</f>
        <v>0</v>
      </c>
      <c r="K169" s="456">
        <f>'Key input_Biomass_MAgPIE'!I164</f>
        <v>4399</v>
      </c>
      <c r="L169" s="456">
        <f>'Key input_Biomass_MAgPIE'!J164</f>
        <v>0</v>
      </c>
      <c r="M169" s="456">
        <f>'Key input_Biomass_MAgPIE'!K164</f>
        <v>0</v>
      </c>
      <c r="N169" s="456">
        <f>'Key input_Biomass_MAgPIE'!L164</f>
        <v>0</v>
      </c>
      <c r="O169" s="456">
        <f>'Key input_Biomass_MAgPIE'!M164</f>
        <v>1090000</v>
      </c>
      <c r="P169" s="456">
        <f>'Key input_Biomass_MAgPIE'!N164</f>
        <v>40000</v>
      </c>
      <c r="Q169" s="456">
        <f>'Key input_Biomass_MAgPIE'!O164</f>
        <v>0</v>
      </c>
      <c r="R169" s="456">
        <f>'Key input_Biomass_MAgPIE'!P164</f>
        <v>100000</v>
      </c>
      <c r="S169" s="456">
        <f>'Key input_Biomass_MAgPIE'!Q164</f>
        <v>0</v>
      </c>
      <c r="T169" s="456">
        <f>'Key input_Biomass_MAgPIE'!R164</f>
        <v>37685</v>
      </c>
      <c r="U169" s="456">
        <f>'Key input_Biomass_MAgPIE'!S164</f>
        <v>60073</v>
      </c>
      <c r="V169" s="456">
        <f>'Key input_Biomass_MAgPIE'!T164</f>
        <v>116469</v>
      </c>
      <c r="W169" s="456">
        <f>'Key input_Biomass_MAgPIE'!U164</f>
        <v>85801</v>
      </c>
      <c r="X169" s="456">
        <f>'Key input_Biomass_MAgPIE'!V164</f>
        <v>291</v>
      </c>
      <c r="Y169" s="456">
        <f>'Key input_Biomass_MAgPIE'!W164</f>
        <v>418</v>
      </c>
      <c r="Z169" s="456">
        <f>'Key input_Biomass_MAgPIE'!X164</f>
        <v>375.5</v>
      </c>
      <c r="AA169" s="456">
        <f>'Key input_Biomass_MAgPIE'!Y164</f>
        <v>11901</v>
      </c>
      <c r="AB169" s="456">
        <f>'Key input_Biomass_MAgPIE'!Z164</f>
        <v>0</v>
      </c>
      <c r="AC169" s="456">
        <f>'Key input_Biomass_MAgPIE'!AA164</f>
        <v>0</v>
      </c>
      <c r="AD169" s="456">
        <f>'Key input_Biomass_MAgPIE'!AB164</f>
        <v>0</v>
      </c>
      <c r="AE169" s="456">
        <f>'Key input_Biomass_MAgPIE'!AC164</f>
        <v>0</v>
      </c>
      <c r="AF169" s="456">
        <f>'Key input_Biomass_MAgPIE'!AD164</f>
        <v>0</v>
      </c>
      <c r="AG169" s="456">
        <f>'Key input_Biomass_MAgPIE'!AE164</f>
        <v>375.5</v>
      </c>
      <c r="AH169" s="456">
        <f>'Key input_Biomass_MAgPIE'!AF164</f>
        <v>1400000</v>
      </c>
      <c r="AK169"/>
      <c r="AL169"/>
    </row>
    <row r="170" spans="1:38" s="4" customFormat="1">
      <c r="A170" s="4" t="str">
        <f t="shared" si="73"/>
        <v>MIN-RSVBIOCRL1</v>
      </c>
      <c r="B170" s="4" t="str">
        <f t="shared" si="69"/>
        <v>UPS Reserves of Biomass - Cereals - Reserve - Supply curve step 1</v>
      </c>
      <c r="C170" s="4" t="str">
        <f t="shared" si="70"/>
        <v>RSVBIOCRL</v>
      </c>
      <c r="D170" s="4" t="str">
        <f t="shared" si="71"/>
        <v>ACT_BND</v>
      </c>
      <c r="E170" s="4" t="str">
        <f t="shared" si="72"/>
        <v>UP</v>
      </c>
      <c r="F170" s="4">
        <v>2030</v>
      </c>
      <c r="G170" s="456">
        <f>'Key input_Biomass_MAgPIE'!E165</f>
        <v>80</v>
      </c>
      <c r="H170" s="456">
        <f>'Key input_Biomass_MAgPIE'!F165</f>
        <v>0</v>
      </c>
      <c r="I170" s="456">
        <f>'Key input_Biomass_MAgPIE'!G165</f>
        <v>0</v>
      </c>
      <c r="J170" s="456">
        <f>'Key input_Biomass_MAgPIE'!H165</f>
        <v>0</v>
      </c>
      <c r="K170" s="456">
        <f>'Key input_Biomass_MAgPIE'!I165</f>
        <v>4399</v>
      </c>
      <c r="L170" s="456">
        <f>'Key input_Biomass_MAgPIE'!J165</f>
        <v>0</v>
      </c>
      <c r="M170" s="456">
        <f>'Key input_Biomass_MAgPIE'!K165</f>
        <v>0</v>
      </c>
      <c r="N170" s="456">
        <f>'Key input_Biomass_MAgPIE'!L165</f>
        <v>0</v>
      </c>
      <c r="O170" s="456">
        <f>'Key input_Biomass_MAgPIE'!M165</f>
        <v>1090000</v>
      </c>
      <c r="P170" s="456">
        <f>'Key input_Biomass_MAgPIE'!N165</f>
        <v>40000</v>
      </c>
      <c r="Q170" s="456">
        <f>'Key input_Biomass_MAgPIE'!O165</f>
        <v>0</v>
      </c>
      <c r="R170" s="456">
        <f>'Key input_Biomass_MAgPIE'!P165</f>
        <v>100000</v>
      </c>
      <c r="S170" s="456">
        <f>'Key input_Biomass_MAgPIE'!Q165</f>
        <v>0</v>
      </c>
      <c r="T170" s="456">
        <f>'Key input_Biomass_MAgPIE'!R165</f>
        <v>37685</v>
      </c>
      <c r="U170" s="456">
        <f>'Key input_Biomass_MAgPIE'!S165</f>
        <v>60073</v>
      </c>
      <c r="V170" s="456">
        <f>'Key input_Biomass_MAgPIE'!T165</f>
        <v>116469</v>
      </c>
      <c r="W170" s="456">
        <f>'Key input_Biomass_MAgPIE'!U165</f>
        <v>85801</v>
      </c>
      <c r="X170" s="456">
        <f>'Key input_Biomass_MAgPIE'!V165</f>
        <v>291</v>
      </c>
      <c r="Y170" s="456">
        <f>'Key input_Biomass_MAgPIE'!W165</f>
        <v>418</v>
      </c>
      <c r="Z170" s="456">
        <f>'Key input_Biomass_MAgPIE'!X165</f>
        <v>375.5</v>
      </c>
      <c r="AA170" s="456">
        <f>'Key input_Biomass_MAgPIE'!Y165</f>
        <v>11901</v>
      </c>
      <c r="AB170" s="456">
        <f>'Key input_Biomass_MAgPIE'!Z165</f>
        <v>0</v>
      </c>
      <c r="AC170" s="456">
        <f>'Key input_Biomass_MAgPIE'!AA165</f>
        <v>0</v>
      </c>
      <c r="AD170" s="456">
        <f>'Key input_Biomass_MAgPIE'!AB165</f>
        <v>0</v>
      </c>
      <c r="AE170" s="456">
        <f>'Key input_Biomass_MAgPIE'!AC165</f>
        <v>0</v>
      </c>
      <c r="AF170" s="456">
        <f>'Key input_Biomass_MAgPIE'!AD165</f>
        <v>0</v>
      </c>
      <c r="AG170" s="456">
        <f>'Key input_Biomass_MAgPIE'!AE165</f>
        <v>375.5</v>
      </c>
      <c r="AH170" s="456">
        <f>'Key input_Biomass_MAgPIE'!AF165</f>
        <v>1400000</v>
      </c>
      <c r="AK170"/>
      <c r="AL170"/>
    </row>
    <row r="171" spans="1:38" s="4" customFormat="1">
      <c r="A171" s="4" t="str">
        <f t="shared" si="73"/>
        <v>MIN-RSVBIOCRL1</v>
      </c>
      <c r="B171" s="4" t="str">
        <f t="shared" si="69"/>
        <v>UPS Reserves of Biomass - Cereals - Reserve - Supply curve step 1</v>
      </c>
      <c r="C171" s="4" t="str">
        <f t="shared" si="70"/>
        <v>RSVBIOCRL</v>
      </c>
      <c r="D171" s="4" t="str">
        <f t="shared" si="71"/>
        <v>ACT_BND</v>
      </c>
      <c r="E171" s="4" t="str">
        <f t="shared" si="72"/>
        <v>UP</v>
      </c>
      <c r="F171" s="4">
        <v>2035</v>
      </c>
      <c r="G171" s="456">
        <f>'Key input_Biomass_MAgPIE'!E166</f>
        <v>80</v>
      </c>
      <c r="H171" s="456">
        <f>'Key input_Biomass_MAgPIE'!F166</f>
        <v>0</v>
      </c>
      <c r="I171" s="456">
        <f>'Key input_Biomass_MAgPIE'!G166</f>
        <v>0</v>
      </c>
      <c r="J171" s="456">
        <f>'Key input_Biomass_MAgPIE'!H166</f>
        <v>0</v>
      </c>
      <c r="K171" s="456">
        <f>'Key input_Biomass_MAgPIE'!I166</f>
        <v>4399</v>
      </c>
      <c r="L171" s="456">
        <f>'Key input_Biomass_MAgPIE'!J166</f>
        <v>0</v>
      </c>
      <c r="M171" s="456">
        <f>'Key input_Biomass_MAgPIE'!K166</f>
        <v>0</v>
      </c>
      <c r="N171" s="456">
        <f>'Key input_Biomass_MAgPIE'!L166</f>
        <v>0</v>
      </c>
      <c r="O171" s="456">
        <f>'Key input_Biomass_MAgPIE'!M166</f>
        <v>1090000</v>
      </c>
      <c r="P171" s="456">
        <f>'Key input_Biomass_MAgPIE'!N166</f>
        <v>40000</v>
      </c>
      <c r="Q171" s="456">
        <f>'Key input_Biomass_MAgPIE'!O166</f>
        <v>0</v>
      </c>
      <c r="R171" s="456">
        <f>'Key input_Biomass_MAgPIE'!P166</f>
        <v>100000</v>
      </c>
      <c r="S171" s="456">
        <f>'Key input_Biomass_MAgPIE'!Q166</f>
        <v>0</v>
      </c>
      <c r="T171" s="456">
        <f>'Key input_Biomass_MAgPIE'!R166</f>
        <v>37685</v>
      </c>
      <c r="U171" s="456">
        <f>'Key input_Biomass_MAgPIE'!S166</f>
        <v>60073</v>
      </c>
      <c r="V171" s="456">
        <f>'Key input_Biomass_MAgPIE'!T166</f>
        <v>116469</v>
      </c>
      <c r="W171" s="456">
        <f>'Key input_Biomass_MAgPIE'!U166</f>
        <v>85801</v>
      </c>
      <c r="X171" s="456">
        <f>'Key input_Biomass_MAgPIE'!V166</f>
        <v>291</v>
      </c>
      <c r="Y171" s="456">
        <f>'Key input_Biomass_MAgPIE'!W166</f>
        <v>418</v>
      </c>
      <c r="Z171" s="456">
        <f>'Key input_Biomass_MAgPIE'!X166</f>
        <v>375.5</v>
      </c>
      <c r="AA171" s="456">
        <f>'Key input_Biomass_MAgPIE'!Y166</f>
        <v>11901</v>
      </c>
      <c r="AB171" s="456">
        <f>'Key input_Biomass_MAgPIE'!Z166</f>
        <v>0</v>
      </c>
      <c r="AC171" s="456">
        <f>'Key input_Biomass_MAgPIE'!AA166</f>
        <v>0</v>
      </c>
      <c r="AD171" s="456">
        <f>'Key input_Biomass_MAgPIE'!AB166</f>
        <v>0</v>
      </c>
      <c r="AE171" s="456">
        <f>'Key input_Biomass_MAgPIE'!AC166</f>
        <v>0</v>
      </c>
      <c r="AF171" s="456">
        <f>'Key input_Biomass_MAgPIE'!AD166</f>
        <v>0</v>
      </c>
      <c r="AG171" s="456">
        <f>'Key input_Biomass_MAgPIE'!AE166</f>
        <v>375.5</v>
      </c>
      <c r="AH171" s="456">
        <f>'Key input_Biomass_MAgPIE'!AF166</f>
        <v>1400000</v>
      </c>
      <c r="AK171"/>
      <c r="AL171"/>
    </row>
    <row r="172" spans="1:38" s="4" customFormat="1">
      <c r="A172" s="4" t="str">
        <f t="shared" si="73"/>
        <v>MIN-RSVBIOCRL1</v>
      </c>
      <c r="B172" s="4" t="str">
        <f t="shared" si="69"/>
        <v>UPS Reserves of Biomass - Cereals - Reserve - Supply curve step 1</v>
      </c>
      <c r="C172" s="4" t="str">
        <f t="shared" si="70"/>
        <v>RSVBIOCRL</v>
      </c>
      <c r="D172" s="4" t="str">
        <f t="shared" si="71"/>
        <v>ACT_BND</v>
      </c>
      <c r="E172" s="4" t="str">
        <f t="shared" si="72"/>
        <v>UP</v>
      </c>
      <c r="F172" s="4">
        <v>2040</v>
      </c>
      <c r="G172" s="456">
        <f>'Key input_Biomass_MAgPIE'!E167</f>
        <v>80</v>
      </c>
      <c r="H172" s="456">
        <f>'Key input_Biomass_MAgPIE'!F167</f>
        <v>0</v>
      </c>
      <c r="I172" s="456">
        <f>'Key input_Biomass_MAgPIE'!G167</f>
        <v>0</v>
      </c>
      <c r="J172" s="456">
        <f>'Key input_Biomass_MAgPIE'!H167</f>
        <v>0</v>
      </c>
      <c r="K172" s="456">
        <f>'Key input_Biomass_MAgPIE'!I167</f>
        <v>4399</v>
      </c>
      <c r="L172" s="456">
        <f>'Key input_Biomass_MAgPIE'!J167</f>
        <v>0</v>
      </c>
      <c r="M172" s="456">
        <f>'Key input_Biomass_MAgPIE'!K167</f>
        <v>0</v>
      </c>
      <c r="N172" s="456">
        <f>'Key input_Biomass_MAgPIE'!L167</f>
        <v>0</v>
      </c>
      <c r="O172" s="456">
        <f>'Key input_Biomass_MAgPIE'!M167</f>
        <v>1090000</v>
      </c>
      <c r="P172" s="456">
        <f>'Key input_Biomass_MAgPIE'!N167</f>
        <v>40000</v>
      </c>
      <c r="Q172" s="456">
        <f>'Key input_Biomass_MAgPIE'!O167</f>
        <v>0</v>
      </c>
      <c r="R172" s="456">
        <f>'Key input_Biomass_MAgPIE'!P167</f>
        <v>100000</v>
      </c>
      <c r="S172" s="456">
        <f>'Key input_Biomass_MAgPIE'!Q167</f>
        <v>0</v>
      </c>
      <c r="T172" s="456">
        <f>'Key input_Biomass_MAgPIE'!R167</f>
        <v>37685</v>
      </c>
      <c r="U172" s="456">
        <f>'Key input_Biomass_MAgPIE'!S167</f>
        <v>60073</v>
      </c>
      <c r="V172" s="456">
        <f>'Key input_Biomass_MAgPIE'!T167</f>
        <v>116469</v>
      </c>
      <c r="W172" s="456">
        <f>'Key input_Biomass_MAgPIE'!U167</f>
        <v>85801</v>
      </c>
      <c r="X172" s="456">
        <f>'Key input_Biomass_MAgPIE'!V167</f>
        <v>291</v>
      </c>
      <c r="Y172" s="456">
        <f>'Key input_Biomass_MAgPIE'!W167</f>
        <v>418</v>
      </c>
      <c r="Z172" s="456">
        <f>'Key input_Biomass_MAgPIE'!X167</f>
        <v>375.5</v>
      </c>
      <c r="AA172" s="456">
        <f>'Key input_Biomass_MAgPIE'!Y167</f>
        <v>11901</v>
      </c>
      <c r="AB172" s="456">
        <f>'Key input_Biomass_MAgPIE'!Z167</f>
        <v>0</v>
      </c>
      <c r="AC172" s="456">
        <f>'Key input_Biomass_MAgPIE'!AA167</f>
        <v>0</v>
      </c>
      <c r="AD172" s="456">
        <f>'Key input_Biomass_MAgPIE'!AB167</f>
        <v>0</v>
      </c>
      <c r="AE172" s="456">
        <f>'Key input_Biomass_MAgPIE'!AC167</f>
        <v>0</v>
      </c>
      <c r="AF172" s="456">
        <f>'Key input_Biomass_MAgPIE'!AD167</f>
        <v>0</v>
      </c>
      <c r="AG172" s="456">
        <f>'Key input_Biomass_MAgPIE'!AE167</f>
        <v>375.5</v>
      </c>
      <c r="AH172" s="456">
        <f>'Key input_Biomass_MAgPIE'!AF167</f>
        <v>1400000</v>
      </c>
      <c r="AK172"/>
      <c r="AL172"/>
    </row>
    <row r="173" spans="1:38" s="4" customFormat="1">
      <c r="A173" s="4" t="str">
        <f t="shared" si="73"/>
        <v>MIN-RSVBIOCRL1</v>
      </c>
      <c r="B173" s="4" t="str">
        <f t="shared" si="69"/>
        <v>UPS Reserves of Biomass - Cereals - Reserve - Supply curve step 1</v>
      </c>
      <c r="C173" s="4" t="str">
        <f t="shared" si="70"/>
        <v>RSVBIOCRL</v>
      </c>
      <c r="D173" s="4" t="str">
        <f t="shared" si="71"/>
        <v>ACT_BND</v>
      </c>
      <c r="E173" s="4" t="str">
        <f t="shared" si="72"/>
        <v>UP</v>
      </c>
      <c r="F173" s="4">
        <v>2045</v>
      </c>
      <c r="G173" s="456">
        <f>'Key input_Biomass_MAgPIE'!E168</f>
        <v>80</v>
      </c>
      <c r="H173" s="456">
        <f>'Key input_Biomass_MAgPIE'!F168</f>
        <v>0</v>
      </c>
      <c r="I173" s="456">
        <f>'Key input_Biomass_MAgPIE'!G168</f>
        <v>0</v>
      </c>
      <c r="J173" s="456">
        <f>'Key input_Biomass_MAgPIE'!H168</f>
        <v>0</v>
      </c>
      <c r="K173" s="456">
        <f>'Key input_Biomass_MAgPIE'!I168</f>
        <v>4399</v>
      </c>
      <c r="L173" s="456">
        <f>'Key input_Biomass_MAgPIE'!J168</f>
        <v>0</v>
      </c>
      <c r="M173" s="456">
        <f>'Key input_Biomass_MAgPIE'!K168</f>
        <v>0</v>
      </c>
      <c r="N173" s="456">
        <f>'Key input_Biomass_MAgPIE'!L168</f>
        <v>0</v>
      </c>
      <c r="O173" s="456">
        <f>'Key input_Biomass_MAgPIE'!M168</f>
        <v>1090000</v>
      </c>
      <c r="P173" s="456">
        <f>'Key input_Biomass_MAgPIE'!N168</f>
        <v>40000</v>
      </c>
      <c r="Q173" s="456">
        <f>'Key input_Biomass_MAgPIE'!O168</f>
        <v>0</v>
      </c>
      <c r="R173" s="456">
        <f>'Key input_Biomass_MAgPIE'!P168</f>
        <v>100000</v>
      </c>
      <c r="S173" s="456">
        <f>'Key input_Biomass_MAgPIE'!Q168</f>
        <v>0</v>
      </c>
      <c r="T173" s="456">
        <f>'Key input_Biomass_MAgPIE'!R168</f>
        <v>37685</v>
      </c>
      <c r="U173" s="456">
        <f>'Key input_Biomass_MAgPIE'!S168</f>
        <v>60073</v>
      </c>
      <c r="V173" s="456">
        <f>'Key input_Biomass_MAgPIE'!T168</f>
        <v>116469</v>
      </c>
      <c r="W173" s="456">
        <f>'Key input_Biomass_MAgPIE'!U168</f>
        <v>85801</v>
      </c>
      <c r="X173" s="456">
        <f>'Key input_Biomass_MAgPIE'!V168</f>
        <v>291</v>
      </c>
      <c r="Y173" s="456">
        <f>'Key input_Biomass_MAgPIE'!W168</f>
        <v>418</v>
      </c>
      <c r="Z173" s="456">
        <f>'Key input_Biomass_MAgPIE'!X168</f>
        <v>375.5</v>
      </c>
      <c r="AA173" s="456">
        <f>'Key input_Biomass_MAgPIE'!Y168</f>
        <v>11901</v>
      </c>
      <c r="AB173" s="456">
        <f>'Key input_Biomass_MAgPIE'!Z168</f>
        <v>0</v>
      </c>
      <c r="AC173" s="456">
        <f>'Key input_Biomass_MAgPIE'!AA168</f>
        <v>0</v>
      </c>
      <c r="AD173" s="456">
        <f>'Key input_Biomass_MAgPIE'!AB168</f>
        <v>0</v>
      </c>
      <c r="AE173" s="456">
        <f>'Key input_Biomass_MAgPIE'!AC168</f>
        <v>0</v>
      </c>
      <c r="AF173" s="456">
        <f>'Key input_Biomass_MAgPIE'!AD168</f>
        <v>0</v>
      </c>
      <c r="AG173" s="456">
        <f>'Key input_Biomass_MAgPIE'!AE168</f>
        <v>375.5</v>
      </c>
      <c r="AH173" s="456">
        <f>'Key input_Biomass_MAgPIE'!AF168</f>
        <v>1400000</v>
      </c>
      <c r="AK173"/>
      <c r="AL173"/>
    </row>
    <row r="174" spans="1:38" s="4" customFormat="1">
      <c r="A174" s="4" t="str">
        <f t="shared" si="73"/>
        <v>MIN-RSVBIOCRL1</v>
      </c>
      <c r="B174" s="4" t="str">
        <f t="shared" si="69"/>
        <v>UPS Reserves of Biomass - Cereals - Reserve - Supply curve step 1</v>
      </c>
      <c r="C174" s="4" t="str">
        <f t="shared" si="70"/>
        <v>RSVBIOCRL</v>
      </c>
      <c r="D174" s="4" t="str">
        <f t="shared" si="71"/>
        <v>ACT_BND</v>
      </c>
      <c r="E174" s="4" t="str">
        <f t="shared" si="72"/>
        <v>UP</v>
      </c>
      <c r="F174" s="4">
        <v>2050</v>
      </c>
      <c r="G174" s="456">
        <f>'Key input_Biomass_MAgPIE'!E169</f>
        <v>80</v>
      </c>
      <c r="H174" s="456">
        <f>'Key input_Biomass_MAgPIE'!F169</f>
        <v>0</v>
      </c>
      <c r="I174" s="456">
        <f>'Key input_Biomass_MAgPIE'!G169</f>
        <v>0</v>
      </c>
      <c r="J174" s="456">
        <f>'Key input_Biomass_MAgPIE'!H169</f>
        <v>0</v>
      </c>
      <c r="K174" s="456">
        <f>'Key input_Biomass_MAgPIE'!I169</f>
        <v>4399</v>
      </c>
      <c r="L174" s="456">
        <f>'Key input_Biomass_MAgPIE'!J169</f>
        <v>0</v>
      </c>
      <c r="M174" s="456">
        <f>'Key input_Biomass_MAgPIE'!K169</f>
        <v>0</v>
      </c>
      <c r="N174" s="456">
        <f>'Key input_Biomass_MAgPIE'!L169</f>
        <v>0</v>
      </c>
      <c r="O174" s="456">
        <f>'Key input_Biomass_MAgPIE'!M169</f>
        <v>1090000</v>
      </c>
      <c r="P174" s="456">
        <f>'Key input_Biomass_MAgPIE'!N169</f>
        <v>40000</v>
      </c>
      <c r="Q174" s="456">
        <f>'Key input_Biomass_MAgPIE'!O169</f>
        <v>0</v>
      </c>
      <c r="R174" s="456">
        <f>'Key input_Biomass_MAgPIE'!P169</f>
        <v>100000</v>
      </c>
      <c r="S174" s="456">
        <f>'Key input_Biomass_MAgPIE'!Q169</f>
        <v>0</v>
      </c>
      <c r="T174" s="456">
        <f>'Key input_Biomass_MAgPIE'!R169</f>
        <v>37685</v>
      </c>
      <c r="U174" s="456">
        <f>'Key input_Biomass_MAgPIE'!S169</f>
        <v>60073</v>
      </c>
      <c r="V174" s="456">
        <f>'Key input_Biomass_MAgPIE'!T169</f>
        <v>116469</v>
      </c>
      <c r="W174" s="456">
        <f>'Key input_Biomass_MAgPIE'!U169</f>
        <v>85801</v>
      </c>
      <c r="X174" s="456">
        <f>'Key input_Biomass_MAgPIE'!V169</f>
        <v>291</v>
      </c>
      <c r="Y174" s="456">
        <f>'Key input_Biomass_MAgPIE'!W169</f>
        <v>418</v>
      </c>
      <c r="Z174" s="456">
        <f>'Key input_Biomass_MAgPIE'!X169</f>
        <v>375.5</v>
      </c>
      <c r="AA174" s="456">
        <f>'Key input_Biomass_MAgPIE'!Y169</f>
        <v>11901</v>
      </c>
      <c r="AB174" s="456">
        <f>'Key input_Biomass_MAgPIE'!Z169</f>
        <v>0</v>
      </c>
      <c r="AC174" s="456">
        <f>'Key input_Biomass_MAgPIE'!AA169</f>
        <v>0</v>
      </c>
      <c r="AD174" s="456">
        <f>'Key input_Biomass_MAgPIE'!AB169</f>
        <v>0</v>
      </c>
      <c r="AE174" s="456">
        <f>'Key input_Biomass_MAgPIE'!AC169</f>
        <v>0</v>
      </c>
      <c r="AF174" s="456">
        <f>'Key input_Biomass_MAgPIE'!AD169</f>
        <v>0</v>
      </c>
      <c r="AG174" s="456">
        <f>'Key input_Biomass_MAgPIE'!AE169</f>
        <v>375.5</v>
      </c>
      <c r="AH174" s="456">
        <f>'Key input_Biomass_MAgPIE'!AF169</f>
        <v>1400000</v>
      </c>
      <c r="AK174"/>
      <c r="AL174"/>
    </row>
    <row r="175" spans="1:38" s="4" customFormat="1">
      <c r="A175" s="4" t="str">
        <f t="shared" si="73"/>
        <v>MIN-RSVBIOCRL1</v>
      </c>
      <c r="B175" s="4" t="str">
        <f t="shared" si="69"/>
        <v>UPS Reserves of Biomass - Cereals - Reserve - Supply curve step 1</v>
      </c>
      <c r="C175" s="4" t="str">
        <f t="shared" si="70"/>
        <v>RSVBIOCRL</v>
      </c>
      <c r="D175" s="4" t="str">
        <f t="shared" si="71"/>
        <v>ACT_BND</v>
      </c>
      <c r="E175" s="4" t="str">
        <f t="shared" si="72"/>
        <v>UP</v>
      </c>
      <c r="F175" s="4">
        <v>2060</v>
      </c>
      <c r="G175" s="456">
        <f>'Key input_Biomass_MAgPIE'!E170</f>
        <v>80</v>
      </c>
      <c r="H175" s="456">
        <f>'Key input_Biomass_MAgPIE'!F170</f>
        <v>0</v>
      </c>
      <c r="I175" s="456">
        <f>'Key input_Biomass_MAgPIE'!G170</f>
        <v>0</v>
      </c>
      <c r="J175" s="456">
        <f>'Key input_Biomass_MAgPIE'!H170</f>
        <v>0</v>
      </c>
      <c r="K175" s="456">
        <f>'Key input_Biomass_MAgPIE'!I170</f>
        <v>4399</v>
      </c>
      <c r="L175" s="456">
        <f>'Key input_Biomass_MAgPIE'!J170</f>
        <v>0</v>
      </c>
      <c r="M175" s="456">
        <f>'Key input_Biomass_MAgPIE'!K170</f>
        <v>0</v>
      </c>
      <c r="N175" s="456">
        <f>'Key input_Biomass_MAgPIE'!L170</f>
        <v>0</v>
      </c>
      <c r="O175" s="456">
        <f>'Key input_Biomass_MAgPIE'!M170</f>
        <v>1090000</v>
      </c>
      <c r="P175" s="456">
        <f>'Key input_Biomass_MAgPIE'!N170</f>
        <v>40000</v>
      </c>
      <c r="Q175" s="456">
        <f>'Key input_Biomass_MAgPIE'!O170</f>
        <v>0</v>
      </c>
      <c r="R175" s="456">
        <f>'Key input_Biomass_MAgPIE'!P170</f>
        <v>100000</v>
      </c>
      <c r="S175" s="456">
        <f>'Key input_Biomass_MAgPIE'!Q170</f>
        <v>0</v>
      </c>
      <c r="T175" s="456">
        <f>'Key input_Biomass_MAgPIE'!R170</f>
        <v>37685</v>
      </c>
      <c r="U175" s="456">
        <f>'Key input_Biomass_MAgPIE'!S170</f>
        <v>60073</v>
      </c>
      <c r="V175" s="456">
        <f>'Key input_Biomass_MAgPIE'!T170</f>
        <v>116469</v>
      </c>
      <c r="W175" s="456">
        <f>'Key input_Biomass_MAgPIE'!U170</f>
        <v>85801</v>
      </c>
      <c r="X175" s="456">
        <f>'Key input_Biomass_MAgPIE'!V170</f>
        <v>291</v>
      </c>
      <c r="Y175" s="456">
        <f>'Key input_Biomass_MAgPIE'!W170</f>
        <v>418</v>
      </c>
      <c r="Z175" s="456">
        <f>'Key input_Biomass_MAgPIE'!X170</f>
        <v>375.5</v>
      </c>
      <c r="AA175" s="456">
        <f>'Key input_Biomass_MAgPIE'!Y170</f>
        <v>11901</v>
      </c>
      <c r="AB175" s="456">
        <f>'Key input_Biomass_MAgPIE'!Z170</f>
        <v>0</v>
      </c>
      <c r="AC175" s="456">
        <f>'Key input_Biomass_MAgPIE'!AA170</f>
        <v>0</v>
      </c>
      <c r="AD175" s="456">
        <f>'Key input_Biomass_MAgPIE'!AB170</f>
        <v>0</v>
      </c>
      <c r="AE175" s="456">
        <f>'Key input_Biomass_MAgPIE'!AC170</f>
        <v>0</v>
      </c>
      <c r="AF175" s="456">
        <f>'Key input_Biomass_MAgPIE'!AD170</f>
        <v>0</v>
      </c>
      <c r="AG175" s="456">
        <f>'Key input_Biomass_MAgPIE'!AE170</f>
        <v>375.5</v>
      </c>
      <c r="AH175" s="456">
        <f>'Key input_Biomass_MAgPIE'!AF170</f>
        <v>1400000</v>
      </c>
      <c r="AK175"/>
      <c r="AL175"/>
    </row>
    <row r="176" spans="1:38" s="4" customFormat="1">
      <c r="A176" s="4" t="str">
        <f t="shared" si="73"/>
        <v>MIN-RSVBIOCRL1</v>
      </c>
      <c r="B176" s="4" t="str">
        <f t="shared" si="69"/>
        <v>UPS Reserves of Biomass - Cereals - Reserve - Supply curve step 1</v>
      </c>
      <c r="C176" s="4" t="str">
        <f t="shared" si="70"/>
        <v>RSVBIOCRL</v>
      </c>
      <c r="D176" s="4" t="str">
        <f t="shared" si="71"/>
        <v>ACT_BND</v>
      </c>
      <c r="E176" s="4" t="str">
        <f t="shared" si="72"/>
        <v>UP</v>
      </c>
      <c r="F176" s="4">
        <v>2070</v>
      </c>
      <c r="G176" s="456">
        <f>'Key input_Biomass_MAgPIE'!E171</f>
        <v>80</v>
      </c>
      <c r="H176" s="456">
        <f>'Key input_Biomass_MAgPIE'!F171</f>
        <v>0</v>
      </c>
      <c r="I176" s="456">
        <f>'Key input_Biomass_MAgPIE'!G171</f>
        <v>0</v>
      </c>
      <c r="J176" s="456">
        <f>'Key input_Biomass_MAgPIE'!H171</f>
        <v>0</v>
      </c>
      <c r="K176" s="456">
        <f>'Key input_Biomass_MAgPIE'!I171</f>
        <v>4399</v>
      </c>
      <c r="L176" s="456">
        <f>'Key input_Biomass_MAgPIE'!J171</f>
        <v>0</v>
      </c>
      <c r="M176" s="456">
        <f>'Key input_Biomass_MAgPIE'!K171</f>
        <v>0</v>
      </c>
      <c r="N176" s="456">
        <f>'Key input_Biomass_MAgPIE'!L171</f>
        <v>0</v>
      </c>
      <c r="O176" s="456">
        <f>'Key input_Biomass_MAgPIE'!M171</f>
        <v>1090000</v>
      </c>
      <c r="P176" s="456">
        <f>'Key input_Biomass_MAgPIE'!N171</f>
        <v>40000</v>
      </c>
      <c r="Q176" s="456">
        <f>'Key input_Biomass_MAgPIE'!O171</f>
        <v>0</v>
      </c>
      <c r="R176" s="456">
        <f>'Key input_Biomass_MAgPIE'!P171</f>
        <v>100000</v>
      </c>
      <c r="S176" s="456">
        <f>'Key input_Biomass_MAgPIE'!Q171</f>
        <v>0</v>
      </c>
      <c r="T176" s="456">
        <f>'Key input_Biomass_MAgPIE'!R171</f>
        <v>37685</v>
      </c>
      <c r="U176" s="456">
        <f>'Key input_Biomass_MAgPIE'!S171</f>
        <v>60073</v>
      </c>
      <c r="V176" s="456">
        <f>'Key input_Biomass_MAgPIE'!T171</f>
        <v>116469</v>
      </c>
      <c r="W176" s="456">
        <f>'Key input_Biomass_MAgPIE'!U171</f>
        <v>85801</v>
      </c>
      <c r="X176" s="456">
        <f>'Key input_Biomass_MAgPIE'!V171</f>
        <v>291</v>
      </c>
      <c r="Y176" s="456">
        <f>'Key input_Biomass_MAgPIE'!W171</f>
        <v>418</v>
      </c>
      <c r="Z176" s="456">
        <f>'Key input_Biomass_MAgPIE'!X171</f>
        <v>375.5</v>
      </c>
      <c r="AA176" s="456">
        <f>'Key input_Biomass_MAgPIE'!Y171</f>
        <v>11901</v>
      </c>
      <c r="AB176" s="456">
        <f>'Key input_Biomass_MAgPIE'!Z171</f>
        <v>0</v>
      </c>
      <c r="AC176" s="456">
        <f>'Key input_Biomass_MAgPIE'!AA171</f>
        <v>0</v>
      </c>
      <c r="AD176" s="456">
        <f>'Key input_Biomass_MAgPIE'!AB171</f>
        <v>0</v>
      </c>
      <c r="AE176" s="456">
        <f>'Key input_Biomass_MAgPIE'!AC171</f>
        <v>0</v>
      </c>
      <c r="AF176" s="456">
        <f>'Key input_Biomass_MAgPIE'!AD171</f>
        <v>0</v>
      </c>
      <c r="AG176" s="456">
        <f>'Key input_Biomass_MAgPIE'!AE171</f>
        <v>375.5</v>
      </c>
      <c r="AH176" s="456">
        <f>'Key input_Biomass_MAgPIE'!AF171</f>
        <v>1400000</v>
      </c>
      <c r="AK176"/>
      <c r="AL176"/>
    </row>
    <row r="177" spans="1:38" s="4" customFormat="1">
      <c r="A177" s="4" t="str">
        <f t="shared" si="73"/>
        <v>MIN-RSVBIOCRL1</v>
      </c>
      <c r="B177" s="4" t="str">
        <f t="shared" si="69"/>
        <v>UPS Reserves of Biomass - Cereals - Reserve - Supply curve step 1</v>
      </c>
      <c r="C177" s="4" t="str">
        <f t="shared" si="70"/>
        <v>RSVBIOCRL</v>
      </c>
      <c r="D177" s="4" t="str">
        <f t="shared" si="71"/>
        <v>ACT_BND</v>
      </c>
      <c r="E177" s="4" t="str">
        <f t="shared" si="72"/>
        <v>UP</v>
      </c>
      <c r="F177" s="4">
        <v>2080</v>
      </c>
      <c r="G177" s="456">
        <f>'Key input_Biomass_MAgPIE'!E172</f>
        <v>80</v>
      </c>
      <c r="H177" s="456">
        <f>'Key input_Biomass_MAgPIE'!F172</f>
        <v>0</v>
      </c>
      <c r="I177" s="456">
        <f>'Key input_Biomass_MAgPIE'!G172</f>
        <v>0</v>
      </c>
      <c r="J177" s="456">
        <f>'Key input_Biomass_MAgPIE'!H172</f>
        <v>0</v>
      </c>
      <c r="K177" s="456">
        <f>'Key input_Biomass_MAgPIE'!I172</f>
        <v>4399</v>
      </c>
      <c r="L177" s="456">
        <f>'Key input_Biomass_MAgPIE'!J172</f>
        <v>0</v>
      </c>
      <c r="M177" s="456">
        <f>'Key input_Biomass_MAgPIE'!K172</f>
        <v>0</v>
      </c>
      <c r="N177" s="456">
        <f>'Key input_Biomass_MAgPIE'!L172</f>
        <v>0</v>
      </c>
      <c r="O177" s="456">
        <f>'Key input_Biomass_MAgPIE'!M172</f>
        <v>1090000</v>
      </c>
      <c r="P177" s="456">
        <f>'Key input_Biomass_MAgPIE'!N172</f>
        <v>40000</v>
      </c>
      <c r="Q177" s="456">
        <f>'Key input_Biomass_MAgPIE'!O172</f>
        <v>0</v>
      </c>
      <c r="R177" s="456">
        <f>'Key input_Biomass_MAgPIE'!P172</f>
        <v>100000</v>
      </c>
      <c r="S177" s="456">
        <f>'Key input_Biomass_MAgPIE'!Q172</f>
        <v>0</v>
      </c>
      <c r="T177" s="456">
        <f>'Key input_Biomass_MAgPIE'!R172</f>
        <v>37685</v>
      </c>
      <c r="U177" s="456">
        <f>'Key input_Biomass_MAgPIE'!S172</f>
        <v>60073</v>
      </c>
      <c r="V177" s="456">
        <f>'Key input_Biomass_MAgPIE'!T172</f>
        <v>116469</v>
      </c>
      <c r="W177" s="456">
        <f>'Key input_Biomass_MAgPIE'!U172</f>
        <v>85801</v>
      </c>
      <c r="X177" s="456">
        <f>'Key input_Biomass_MAgPIE'!V172</f>
        <v>291</v>
      </c>
      <c r="Y177" s="456">
        <f>'Key input_Biomass_MAgPIE'!W172</f>
        <v>418</v>
      </c>
      <c r="Z177" s="456">
        <f>'Key input_Biomass_MAgPIE'!X172</f>
        <v>375.5</v>
      </c>
      <c r="AA177" s="456">
        <f>'Key input_Biomass_MAgPIE'!Y172</f>
        <v>11901</v>
      </c>
      <c r="AB177" s="456">
        <f>'Key input_Biomass_MAgPIE'!Z172</f>
        <v>0</v>
      </c>
      <c r="AC177" s="456">
        <f>'Key input_Biomass_MAgPIE'!AA172</f>
        <v>0</v>
      </c>
      <c r="AD177" s="456">
        <f>'Key input_Biomass_MAgPIE'!AB172</f>
        <v>0</v>
      </c>
      <c r="AE177" s="456">
        <f>'Key input_Biomass_MAgPIE'!AC172</f>
        <v>0</v>
      </c>
      <c r="AF177" s="456">
        <f>'Key input_Biomass_MAgPIE'!AD172</f>
        <v>0</v>
      </c>
      <c r="AG177" s="456">
        <f>'Key input_Biomass_MAgPIE'!AE172</f>
        <v>375.5</v>
      </c>
      <c r="AH177" s="456">
        <f>'Key input_Biomass_MAgPIE'!AF172</f>
        <v>1400000</v>
      </c>
      <c r="AK177"/>
      <c r="AL177"/>
    </row>
    <row r="178" spans="1:38" s="4" customFormat="1">
      <c r="A178" s="4" t="str">
        <f t="shared" si="73"/>
        <v>MIN-RSVBIOCRL1</v>
      </c>
      <c r="B178" s="4" t="str">
        <f t="shared" si="69"/>
        <v>UPS Reserves of Biomass - Cereals - Reserve - Supply curve step 1</v>
      </c>
      <c r="C178" s="4" t="str">
        <f t="shared" si="70"/>
        <v>RSVBIOCRL</v>
      </c>
      <c r="D178" s="4" t="str">
        <f t="shared" si="71"/>
        <v>ACT_BND</v>
      </c>
      <c r="E178" s="4" t="str">
        <f t="shared" si="72"/>
        <v>UP</v>
      </c>
      <c r="F178" s="4">
        <v>2090</v>
      </c>
      <c r="G178" s="456">
        <f>'Key input_Biomass_MAgPIE'!E173</f>
        <v>80</v>
      </c>
      <c r="H178" s="456">
        <f>'Key input_Biomass_MAgPIE'!F173</f>
        <v>0</v>
      </c>
      <c r="I178" s="456">
        <f>'Key input_Biomass_MAgPIE'!G173</f>
        <v>0</v>
      </c>
      <c r="J178" s="456">
        <f>'Key input_Biomass_MAgPIE'!H173</f>
        <v>0</v>
      </c>
      <c r="K178" s="456">
        <f>'Key input_Biomass_MAgPIE'!I173</f>
        <v>4399</v>
      </c>
      <c r="L178" s="456">
        <f>'Key input_Biomass_MAgPIE'!J173</f>
        <v>0</v>
      </c>
      <c r="M178" s="456">
        <f>'Key input_Biomass_MAgPIE'!K173</f>
        <v>0</v>
      </c>
      <c r="N178" s="456">
        <f>'Key input_Biomass_MAgPIE'!L173</f>
        <v>0</v>
      </c>
      <c r="O178" s="456">
        <f>'Key input_Biomass_MAgPIE'!M173</f>
        <v>1090000</v>
      </c>
      <c r="P178" s="456">
        <f>'Key input_Biomass_MAgPIE'!N173</f>
        <v>40000</v>
      </c>
      <c r="Q178" s="456">
        <f>'Key input_Biomass_MAgPIE'!O173</f>
        <v>0</v>
      </c>
      <c r="R178" s="456">
        <f>'Key input_Biomass_MAgPIE'!P173</f>
        <v>100000</v>
      </c>
      <c r="S178" s="456">
        <f>'Key input_Biomass_MAgPIE'!Q173</f>
        <v>0</v>
      </c>
      <c r="T178" s="456">
        <f>'Key input_Biomass_MAgPIE'!R173</f>
        <v>37685</v>
      </c>
      <c r="U178" s="456">
        <f>'Key input_Biomass_MAgPIE'!S173</f>
        <v>60073</v>
      </c>
      <c r="V178" s="456">
        <f>'Key input_Biomass_MAgPIE'!T173</f>
        <v>116469</v>
      </c>
      <c r="W178" s="456">
        <f>'Key input_Biomass_MAgPIE'!U173</f>
        <v>85801</v>
      </c>
      <c r="X178" s="456">
        <f>'Key input_Biomass_MAgPIE'!V173</f>
        <v>291</v>
      </c>
      <c r="Y178" s="456">
        <f>'Key input_Biomass_MAgPIE'!W173</f>
        <v>418</v>
      </c>
      <c r="Z178" s="456">
        <f>'Key input_Biomass_MAgPIE'!X173</f>
        <v>375.5</v>
      </c>
      <c r="AA178" s="456">
        <f>'Key input_Biomass_MAgPIE'!Y173</f>
        <v>11901</v>
      </c>
      <c r="AB178" s="456">
        <f>'Key input_Biomass_MAgPIE'!Z173</f>
        <v>0</v>
      </c>
      <c r="AC178" s="456">
        <f>'Key input_Biomass_MAgPIE'!AA173</f>
        <v>0</v>
      </c>
      <c r="AD178" s="456">
        <f>'Key input_Biomass_MAgPIE'!AB173</f>
        <v>0</v>
      </c>
      <c r="AE178" s="456">
        <f>'Key input_Biomass_MAgPIE'!AC173</f>
        <v>0</v>
      </c>
      <c r="AF178" s="456">
        <f>'Key input_Biomass_MAgPIE'!AD173</f>
        <v>0</v>
      </c>
      <c r="AG178" s="456">
        <f>'Key input_Biomass_MAgPIE'!AE173</f>
        <v>375.5</v>
      </c>
      <c r="AH178" s="456">
        <f>'Key input_Biomass_MAgPIE'!AF173</f>
        <v>1400000</v>
      </c>
      <c r="AK178"/>
      <c r="AL178"/>
    </row>
    <row r="179" spans="1:38" s="4" customFormat="1">
      <c r="A179" s="259" t="str">
        <f t="shared" si="73"/>
        <v>MIN-RSVBIOCRL1</v>
      </c>
      <c r="B179" s="259" t="str">
        <f t="shared" si="69"/>
        <v>UPS Reserves of Biomass - Cereals - Reserve - Supply curve step 1</v>
      </c>
      <c r="C179" s="259" t="str">
        <f t="shared" si="70"/>
        <v>RSVBIOCRL</v>
      </c>
      <c r="D179" s="259" t="str">
        <f t="shared" si="71"/>
        <v>ACT_BND</v>
      </c>
      <c r="E179" s="259" t="str">
        <f t="shared" si="72"/>
        <v>UP</v>
      </c>
      <c r="F179" s="259">
        <v>2100</v>
      </c>
      <c r="G179" s="435">
        <f>'Key input_Biomass_MAgPIE'!E174</f>
        <v>80</v>
      </c>
      <c r="H179" s="435">
        <f>'Key input_Biomass_MAgPIE'!F174</f>
        <v>0</v>
      </c>
      <c r="I179" s="435">
        <f>'Key input_Biomass_MAgPIE'!G174</f>
        <v>0</v>
      </c>
      <c r="J179" s="435">
        <f>'Key input_Biomass_MAgPIE'!H174</f>
        <v>0</v>
      </c>
      <c r="K179" s="435">
        <f>'Key input_Biomass_MAgPIE'!I174</f>
        <v>4399</v>
      </c>
      <c r="L179" s="435">
        <f>'Key input_Biomass_MAgPIE'!J174</f>
        <v>0</v>
      </c>
      <c r="M179" s="435">
        <f>'Key input_Biomass_MAgPIE'!K174</f>
        <v>0</v>
      </c>
      <c r="N179" s="435">
        <f>'Key input_Biomass_MAgPIE'!L174</f>
        <v>0</v>
      </c>
      <c r="O179" s="435">
        <f>'Key input_Biomass_MAgPIE'!M174</f>
        <v>1090000</v>
      </c>
      <c r="P179" s="435">
        <f>'Key input_Biomass_MAgPIE'!N174</f>
        <v>40000</v>
      </c>
      <c r="Q179" s="435">
        <f>'Key input_Biomass_MAgPIE'!O174</f>
        <v>0</v>
      </c>
      <c r="R179" s="435">
        <f>'Key input_Biomass_MAgPIE'!P174</f>
        <v>100000</v>
      </c>
      <c r="S179" s="435">
        <f>'Key input_Biomass_MAgPIE'!Q174</f>
        <v>0</v>
      </c>
      <c r="T179" s="435">
        <f>'Key input_Biomass_MAgPIE'!R174</f>
        <v>37685</v>
      </c>
      <c r="U179" s="435">
        <f>'Key input_Biomass_MAgPIE'!S174</f>
        <v>60073</v>
      </c>
      <c r="V179" s="435">
        <f>'Key input_Biomass_MAgPIE'!T174</f>
        <v>116469</v>
      </c>
      <c r="W179" s="435">
        <f>'Key input_Biomass_MAgPIE'!U174</f>
        <v>85801</v>
      </c>
      <c r="X179" s="435">
        <f>'Key input_Biomass_MAgPIE'!V174</f>
        <v>291</v>
      </c>
      <c r="Y179" s="435">
        <f>'Key input_Biomass_MAgPIE'!W174</f>
        <v>418</v>
      </c>
      <c r="Z179" s="435">
        <f>'Key input_Biomass_MAgPIE'!X174</f>
        <v>375.5</v>
      </c>
      <c r="AA179" s="435">
        <f>'Key input_Biomass_MAgPIE'!Y174</f>
        <v>11901</v>
      </c>
      <c r="AB179" s="435">
        <f>'Key input_Biomass_MAgPIE'!Z174</f>
        <v>0</v>
      </c>
      <c r="AC179" s="435">
        <f>'Key input_Biomass_MAgPIE'!AA174</f>
        <v>0</v>
      </c>
      <c r="AD179" s="435">
        <f>'Key input_Biomass_MAgPIE'!AB174</f>
        <v>0</v>
      </c>
      <c r="AE179" s="435">
        <f>'Key input_Biomass_MAgPIE'!AC174</f>
        <v>0</v>
      </c>
      <c r="AF179" s="435">
        <f>'Key input_Biomass_MAgPIE'!AD174</f>
        <v>0</v>
      </c>
      <c r="AG179" s="435">
        <f>'Key input_Biomass_MAgPIE'!AE174</f>
        <v>375.5</v>
      </c>
      <c r="AH179" s="435">
        <f>'Key input_Biomass_MAgPIE'!AF174</f>
        <v>1400000</v>
      </c>
      <c r="AK179"/>
      <c r="AL179"/>
    </row>
    <row r="180" spans="1:38" s="4" customFormat="1">
      <c r="A180" s="4" t="str">
        <f t="shared" ref="A180" si="74">IF(AK24="",AJ24,AK24)</f>
        <v>MIN-RSVBIOCRL2</v>
      </c>
      <c r="B180" s="4" t="str">
        <f t="shared" ref="B180" si="75">IF($AK24="","",AL24)</f>
        <v>UPS Reserves of Biomass - Cereals - Reserve - Supply curve step 2</v>
      </c>
      <c r="C180" s="4" t="str">
        <f>Commodities!$C$19</f>
        <v>RSVBIOCRL</v>
      </c>
      <c r="D180" s="4" t="s">
        <v>678</v>
      </c>
      <c r="E180" s="4" t="s">
        <v>661</v>
      </c>
      <c r="F180" s="4">
        <v>2019</v>
      </c>
      <c r="G180" s="258">
        <f>'Key input_Biomass_MAgPIE'!E175</f>
        <v>54.0000188514882</v>
      </c>
      <c r="H180" s="258">
        <f>'Key input_Biomass_MAgPIE'!F175</f>
        <v>0</v>
      </c>
      <c r="I180" s="258">
        <f>'Key input_Biomass_MAgPIE'!G175</f>
        <v>222.60001881834</v>
      </c>
      <c r="J180" s="258">
        <f>'Key input_Biomass_MAgPIE'!H175</f>
        <v>1030.8000187606799</v>
      </c>
      <c r="K180" s="258">
        <f>'Key input_Biomass_MAgPIE'!I175</f>
        <v>662.40001872334631</v>
      </c>
      <c r="L180" s="258">
        <f>'Key input_Biomass_MAgPIE'!J175</f>
        <v>0</v>
      </c>
      <c r="M180" s="258">
        <f>'Key input_Biomass_MAgPIE'!K175</f>
        <v>22978.800019097242</v>
      </c>
      <c r="N180" s="258">
        <f>'Key input_Biomass_MAgPIE'!L175</f>
        <v>0</v>
      </c>
      <c r="O180" s="258">
        <f>'Key input_Biomass_MAgPIE'!M175</f>
        <v>0</v>
      </c>
      <c r="P180" s="258">
        <f>'Key input_Biomass_MAgPIE'!N175</f>
        <v>834.00001945767576</v>
      </c>
      <c r="Q180" s="258">
        <f>'Key input_Biomass_MAgPIE'!O175</f>
        <v>0</v>
      </c>
      <c r="R180" s="258">
        <f>'Key input_Biomass_MAgPIE'!P175</f>
        <v>8817.6000180742467</v>
      </c>
      <c r="S180" s="258">
        <f>'Key input_Biomass_MAgPIE'!Q175</f>
        <v>1233.6000187558902</v>
      </c>
      <c r="T180" s="258">
        <f>'Key input_Biomass_MAgPIE'!R175</f>
        <v>0</v>
      </c>
      <c r="U180" s="258">
        <f>'Key input_Biomass_MAgPIE'!S175</f>
        <v>0</v>
      </c>
      <c r="V180" s="258">
        <f>'Key input_Biomass_MAgPIE'!T175</f>
        <v>0</v>
      </c>
      <c r="W180" s="258">
        <f>'Key input_Biomass_MAgPIE'!U175</f>
        <v>0</v>
      </c>
      <c r="X180" s="258">
        <f>'Key input_Biomass_MAgPIE'!V175</f>
        <v>18022.800018785943</v>
      </c>
      <c r="Y180" s="258">
        <f>'Key input_Biomass_MAgPIE'!W175</f>
        <v>0</v>
      </c>
      <c r="Z180" s="258">
        <f>'Key input_Biomass_MAgPIE'!X175</f>
        <v>515.10001877354887</v>
      </c>
      <c r="AA180" s="258">
        <f>'Key input_Biomass_MAgPIE'!Y175</f>
        <v>26220.600017041656</v>
      </c>
      <c r="AB180" s="258">
        <f>'Key input_Biomass_MAgPIE'!Z175</f>
        <v>1502.4000187500094</v>
      </c>
      <c r="AC180" s="258">
        <f>'Key input_Biomass_MAgPIE'!AA175</f>
        <v>0</v>
      </c>
      <c r="AD180" s="258">
        <f>'Key input_Biomass_MAgPIE'!AB175</f>
        <v>0</v>
      </c>
      <c r="AE180" s="258">
        <f>'Key input_Biomass_MAgPIE'!AC175</f>
        <v>0</v>
      </c>
      <c r="AF180" s="258">
        <f>'Key input_Biomass_MAgPIE'!AD175</f>
        <v>0</v>
      </c>
      <c r="AG180" s="258">
        <f>'Key input_Biomass_MAgPIE'!AE175</f>
        <v>0</v>
      </c>
      <c r="AH180" s="258">
        <f>'Key input_Biomass_MAgPIE'!AF175</f>
        <v>0</v>
      </c>
      <c r="AK180"/>
      <c r="AL180"/>
    </row>
    <row r="181" spans="1:38" s="4" customFormat="1">
      <c r="A181" s="4" t="str">
        <f>A180</f>
        <v>MIN-RSVBIOCRL2</v>
      </c>
      <c r="B181" s="4" t="str">
        <f t="shared" ref="B181:B192" si="76">B180</f>
        <v>UPS Reserves of Biomass - Cereals - Reserve - Supply curve step 2</v>
      </c>
      <c r="C181" s="4" t="str">
        <f t="shared" ref="C181:C192" si="77">C180</f>
        <v>RSVBIOCRL</v>
      </c>
      <c r="D181" s="4" t="str">
        <f t="shared" ref="D181:D192" si="78">D180</f>
        <v>ACT_BND</v>
      </c>
      <c r="E181" s="4" t="str">
        <f t="shared" ref="E181:E192" si="79">E180</f>
        <v>UP</v>
      </c>
      <c r="F181" s="4">
        <v>2020</v>
      </c>
      <c r="G181" s="456">
        <f>'Key input_Biomass_MAgPIE'!E176</f>
        <v>54.0000188514882</v>
      </c>
      <c r="H181" s="456">
        <f>'Key input_Biomass_MAgPIE'!F176</f>
        <v>0</v>
      </c>
      <c r="I181" s="456">
        <f>'Key input_Biomass_MAgPIE'!G176</f>
        <v>222.60001881834</v>
      </c>
      <c r="J181" s="456">
        <f>'Key input_Biomass_MAgPIE'!H176</f>
        <v>1030.8000187606799</v>
      </c>
      <c r="K181" s="456">
        <f>'Key input_Biomass_MAgPIE'!I176</f>
        <v>662.40001872334631</v>
      </c>
      <c r="L181" s="456">
        <f>'Key input_Biomass_MAgPIE'!J176</f>
        <v>0</v>
      </c>
      <c r="M181" s="456">
        <f>'Key input_Biomass_MAgPIE'!K176</f>
        <v>22978.800019097242</v>
      </c>
      <c r="N181" s="456">
        <f>'Key input_Biomass_MAgPIE'!L176</f>
        <v>0</v>
      </c>
      <c r="O181" s="456">
        <f>'Key input_Biomass_MAgPIE'!M176</f>
        <v>0</v>
      </c>
      <c r="P181" s="456">
        <f>'Key input_Biomass_MAgPIE'!N176</f>
        <v>834.00001945767576</v>
      </c>
      <c r="Q181" s="456">
        <f>'Key input_Biomass_MAgPIE'!O176</f>
        <v>0</v>
      </c>
      <c r="R181" s="456">
        <f>'Key input_Biomass_MAgPIE'!P176</f>
        <v>8817.6000180742467</v>
      </c>
      <c r="S181" s="456">
        <f>'Key input_Biomass_MAgPIE'!Q176</f>
        <v>1233.6000187558902</v>
      </c>
      <c r="T181" s="456">
        <f>'Key input_Biomass_MAgPIE'!R176</f>
        <v>0</v>
      </c>
      <c r="U181" s="456">
        <f>'Key input_Biomass_MAgPIE'!S176</f>
        <v>0</v>
      </c>
      <c r="V181" s="456">
        <f>'Key input_Biomass_MAgPIE'!T176</f>
        <v>0</v>
      </c>
      <c r="W181" s="456">
        <f>'Key input_Biomass_MAgPIE'!U176</f>
        <v>0</v>
      </c>
      <c r="X181" s="456">
        <f>'Key input_Biomass_MAgPIE'!V176</f>
        <v>18022.800018785943</v>
      </c>
      <c r="Y181" s="456">
        <f>'Key input_Biomass_MAgPIE'!W176</f>
        <v>0</v>
      </c>
      <c r="Z181" s="456">
        <f>'Key input_Biomass_MAgPIE'!X176</f>
        <v>515.10001877354887</v>
      </c>
      <c r="AA181" s="456">
        <f>'Key input_Biomass_MAgPIE'!Y176</f>
        <v>26220.600017041656</v>
      </c>
      <c r="AB181" s="456">
        <f>'Key input_Biomass_MAgPIE'!Z176</f>
        <v>1502.4000187500094</v>
      </c>
      <c r="AC181" s="456">
        <f>'Key input_Biomass_MAgPIE'!AA176</f>
        <v>0</v>
      </c>
      <c r="AD181" s="456">
        <f>'Key input_Biomass_MAgPIE'!AB176</f>
        <v>0</v>
      </c>
      <c r="AE181" s="456">
        <f>'Key input_Biomass_MAgPIE'!AC176</f>
        <v>0</v>
      </c>
      <c r="AF181" s="456">
        <f>'Key input_Biomass_MAgPIE'!AD176</f>
        <v>0</v>
      </c>
      <c r="AG181" s="456">
        <f>'Key input_Biomass_MAgPIE'!AE176</f>
        <v>0</v>
      </c>
      <c r="AH181" s="456">
        <f>'Key input_Biomass_MAgPIE'!AF176</f>
        <v>0</v>
      </c>
      <c r="AK181"/>
      <c r="AL181"/>
    </row>
    <row r="182" spans="1:38" s="4" customFormat="1">
      <c r="A182" s="4" t="str">
        <f t="shared" ref="A182:A192" si="80">A181</f>
        <v>MIN-RSVBIOCRL2</v>
      </c>
      <c r="B182" s="4" t="str">
        <f t="shared" si="76"/>
        <v>UPS Reserves of Biomass - Cereals - Reserve - Supply curve step 2</v>
      </c>
      <c r="C182" s="4" t="str">
        <f t="shared" si="77"/>
        <v>RSVBIOCRL</v>
      </c>
      <c r="D182" s="4" t="str">
        <f t="shared" si="78"/>
        <v>ACT_BND</v>
      </c>
      <c r="E182" s="4" t="str">
        <f t="shared" si="79"/>
        <v>UP</v>
      </c>
      <c r="F182" s="4">
        <v>2025</v>
      </c>
      <c r="G182" s="456">
        <f>'Key input_Biomass_MAgPIE'!E177</f>
        <v>54.0000188514882</v>
      </c>
      <c r="H182" s="456">
        <f>'Key input_Biomass_MAgPIE'!F177</f>
        <v>0</v>
      </c>
      <c r="I182" s="456">
        <f>'Key input_Biomass_MAgPIE'!G177</f>
        <v>222.60001881834</v>
      </c>
      <c r="J182" s="456">
        <f>'Key input_Biomass_MAgPIE'!H177</f>
        <v>1030.8000187606799</v>
      </c>
      <c r="K182" s="456">
        <f>'Key input_Biomass_MAgPIE'!I177</f>
        <v>662.40001872334631</v>
      </c>
      <c r="L182" s="456">
        <f>'Key input_Biomass_MAgPIE'!J177</f>
        <v>0</v>
      </c>
      <c r="M182" s="456">
        <f>'Key input_Biomass_MAgPIE'!K177</f>
        <v>22978.800019097242</v>
      </c>
      <c r="N182" s="456">
        <f>'Key input_Biomass_MAgPIE'!L177</f>
        <v>0</v>
      </c>
      <c r="O182" s="456">
        <f>'Key input_Biomass_MAgPIE'!M177</f>
        <v>0</v>
      </c>
      <c r="P182" s="456">
        <f>'Key input_Biomass_MAgPIE'!N177</f>
        <v>834.00001945767576</v>
      </c>
      <c r="Q182" s="456">
        <f>'Key input_Biomass_MAgPIE'!O177</f>
        <v>0</v>
      </c>
      <c r="R182" s="456">
        <f>'Key input_Biomass_MAgPIE'!P177</f>
        <v>8817.6000180742467</v>
      </c>
      <c r="S182" s="456">
        <f>'Key input_Biomass_MAgPIE'!Q177</f>
        <v>1233.6000187558902</v>
      </c>
      <c r="T182" s="456">
        <f>'Key input_Biomass_MAgPIE'!R177</f>
        <v>0</v>
      </c>
      <c r="U182" s="456">
        <f>'Key input_Biomass_MAgPIE'!S177</f>
        <v>0</v>
      </c>
      <c r="V182" s="456">
        <f>'Key input_Biomass_MAgPIE'!T177</f>
        <v>0</v>
      </c>
      <c r="W182" s="456">
        <f>'Key input_Biomass_MAgPIE'!U177</f>
        <v>0</v>
      </c>
      <c r="X182" s="456">
        <f>'Key input_Biomass_MAgPIE'!V177</f>
        <v>18022.800018785943</v>
      </c>
      <c r="Y182" s="456">
        <f>'Key input_Biomass_MAgPIE'!W177</f>
        <v>0</v>
      </c>
      <c r="Z182" s="456">
        <f>'Key input_Biomass_MAgPIE'!X177</f>
        <v>515.10001877354887</v>
      </c>
      <c r="AA182" s="456">
        <f>'Key input_Biomass_MAgPIE'!Y177</f>
        <v>26220.600017041656</v>
      </c>
      <c r="AB182" s="456">
        <f>'Key input_Biomass_MAgPIE'!Z177</f>
        <v>1502.4000187500094</v>
      </c>
      <c r="AC182" s="456">
        <f>'Key input_Biomass_MAgPIE'!AA177</f>
        <v>0</v>
      </c>
      <c r="AD182" s="456">
        <f>'Key input_Biomass_MAgPIE'!AB177</f>
        <v>0</v>
      </c>
      <c r="AE182" s="456">
        <f>'Key input_Biomass_MAgPIE'!AC177</f>
        <v>0</v>
      </c>
      <c r="AF182" s="456">
        <f>'Key input_Biomass_MAgPIE'!AD177</f>
        <v>0</v>
      </c>
      <c r="AG182" s="456">
        <f>'Key input_Biomass_MAgPIE'!AE177</f>
        <v>0</v>
      </c>
      <c r="AH182" s="456">
        <f>'Key input_Biomass_MAgPIE'!AF177</f>
        <v>0</v>
      </c>
      <c r="AK182"/>
      <c r="AL182"/>
    </row>
    <row r="183" spans="1:38" s="4" customFormat="1">
      <c r="A183" s="4" t="str">
        <f t="shared" si="80"/>
        <v>MIN-RSVBIOCRL2</v>
      </c>
      <c r="B183" s="4" t="str">
        <f t="shared" si="76"/>
        <v>UPS Reserves of Biomass - Cereals - Reserve - Supply curve step 2</v>
      </c>
      <c r="C183" s="4" t="str">
        <f t="shared" si="77"/>
        <v>RSVBIOCRL</v>
      </c>
      <c r="D183" s="4" t="str">
        <f t="shared" si="78"/>
        <v>ACT_BND</v>
      </c>
      <c r="E183" s="4" t="str">
        <f t="shared" si="79"/>
        <v>UP</v>
      </c>
      <c r="F183" s="4">
        <v>2030</v>
      </c>
      <c r="G183" s="456">
        <f>'Key input_Biomass_MAgPIE'!E178</f>
        <v>54.0000188514882</v>
      </c>
      <c r="H183" s="456">
        <f>'Key input_Biomass_MAgPIE'!F178</f>
        <v>0</v>
      </c>
      <c r="I183" s="456">
        <f>'Key input_Biomass_MAgPIE'!G178</f>
        <v>222.60001881834</v>
      </c>
      <c r="J183" s="456">
        <f>'Key input_Biomass_MAgPIE'!H178</f>
        <v>1030.8000187606799</v>
      </c>
      <c r="K183" s="456">
        <f>'Key input_Biomass_MAgPIE'!I178</f>
        <v>662.40001872334631</v>
      </c>
      <c r="L183" s="456">
        <f>'Key input_Biomass_MAgPIE'!J178</f>
        <v>0</v>
      </c>
      <c r="M183" s="456">
        <f>'Key input_Biomass_MAgPIE'!K178</f>
        <v>22978.800019097242</v>
      </c>
      <c r="N183" s="456">
        <f>'Key input_Biomass_MAgPIE'!L178</f>
        <v>0</v>
      </c>
      <c r="O183" s="456">
        <f>'Key input_Biomass_MAgPIE'!M178</f>
        <v>0</v>
      </c>
      <c r="P183" s="456">
        <f>'Key input_Biomass_MAgPIE'!N178</f>
        <v>834.00001945767576</v>
      </c>
      <c r="Q183" s="456">
        <f>'Key input_Biomass_MAgPIE'!O178</f>
        <v>0</v>
      </c>
      <c r="R183" s="456">
        <f>'Key input_Biomass_MAgPIE'!P178</f>
        <v>8817.6000180742467</v>
      </c>
      <c r="S183" s="456">
        <f>'Key input_Biomass_MAgPIE'!Q178</f>
        <v>1233.6000187558902</v>
      </c>
      <c r="T183" s="456">
        <f>'Key input_Biomass_MAgPIE'!R178</f>
        <v>0</v>
      </c>
      <c r="U183" s="456">
        <f>'Key input_Biomass_MAgPIE'!S178</f>
        <v>0</v>
      </c>
      <c r="V183" s="456">
        <f>'Key input_Biomass_MAgPIE'!T178</f>
        <v>0</v>
      </c>
      <c r="W183" s="456">
        <f>'Key input_Biomass_MAgPIE'!U178</f>
        <v>0</v>
      </c>
      <c r="X183" s="456">
        <f>'Key input_Biomass_MAgPIE'!V178</f>
        <v>18022.800018785943</v>
      </c>
      <c r="Y183" s="456">
        <f>'Key input_Biomass_MAgPIE'!W178</f>
        <v>0</v>
      </c>
      <c r="Z183" s="456">
        <f>'Key input_Biomass_MAgPIE'!X178</f>
        <v>515.10001877354887</v>
      </c>
      <c r="AA183" s="456">
        <f>'Key input_Biomass_MAgPIE'!Y178</f>
        <v>26220.600017041656</v>
      </c>
      <c r="AB183" s="456">
        <f>'Key input_Biomass_MAgPIE'!Z178</f>
        <v>1502.4000187500094</v>
      </c>
      <c r="AC183" s="456">
        <f>'Key input_Biomass_MAgPIE'!AA178</f>
        <v>0</v>
      </c>
      <c r="AD183" s="456">
        <f>'Key input_Biomass_MAgPIE'!AB178</f>
        <v>0</v>
      </c>
      <c r="AE183" s="456">
        <f>'Key input_Biomass_MAgPIE'!AC178</f>
        <v>0</v>
      </c>
      <c r="AF183" s="456">
        <f>'Key input_Biomass_MAgPIE'!AD178</f>
        <v>0</v>
      </c>
      <c r="AG183" s="456">
        <f>'Key input_Biomass_MAgPIE'!AE178</f>
        <v>0</v>
      </c>
      <c r="AH183" s="456">
        <f>'Key input_Biomass_MAgPIE'!AF178</f>
        <v>0</v>
      </c>
      <c r="AK183"/>
      <c r="AL183"/>
    </row>
    <row r="184" spans="1:38" s="4" customFormat="1">
      <c r="A184" s="4" t="str">
        <f t="shared" si="80"/>
        <v>MIN-RSVBIOCRL2</v>
      </c>
      <c r="B184" s="4" t="str">
        <f t="shared" si="76"/>
        <v>UPS Reserves of Biomass - Cereals - Reserve - Supply curve step 2</v>
      </c>
      <c r="C184" s="4" t="str">
        <f t="shared" si="77"/>
        <v>RSVBIOCRL</v>
      </c>
      <c r="D184" s="4" t="str">
        <f t="shared" si="78"/>
        <v>ACT_BND</v>
      </c>
      <c r="E184" s="4" t="str">
        <f t="shared" si="79"/>
        <v>UP</v>
      </c>
      <c r="F184" s="4">
        <v>2035</v>
      </c>
      <c r="G184" s="456">
        <f>'Key input_Biomass_MAgPIE'!E179</f>
        <v>54.0000188514882</v>
      </c>
      <c r="H184" s="456">
        <f>'Key input_Biomass_MAgPIE'!F179</f>
        <v>0</v>
      </c>
      <c r="I184" s="456">
        <f>'Key input_Biomass_MAgPIE'!G179</f>
        <v>222.60001881834</v>
      </c>
      <c r="J184" s="456">
        <f>'Key input_Biomass_MAgPIE'!H179</f>
        <v>1030.8000187606799</v>
      </c>
      <c r="K184" s="456">
        <f>'Key input_Biomass_MAgPIE'!I179</f>
        <v>662.40001872334631</v>
      </c>
      <c r="L184" s="456">
        <f>'Key input_Biomass_MAgPIE'!J179</f>
        <v>0</v>
      </c>
      <c r="M184" s="456">
        <f>'Key input_Biomass_MAgPIE'!K179</f>
        <v>22978.800019097242</v>
      </c>
      <c r="N184" s="456">
        <f>'Key input_Biomass_MAgPIE'!L179</f>
        <v>0</v>
      </c>
      <c r="O184" s="456">
        <f>'Key input_Biomass_MAgPIE'!M179</f>
        <v>0</v>
      </c>
      <c r="P184" s="456">
        <f>'Key input_Biomass_MAgPIE'!N179</f>
        <v>834.00001945767576</v>
      </c>
      <c r="Q184" s="456">
        <f>'Key input_Biomass_MAgPIE'!O179</f>
        <v>0</v>
      </c>
      <c r="R184" s="456">
        <f>'Key input_Biomass_MAgPIE'!P179</f>
        <v>8817.6000180742467</v>
      </c>
      <c r="S184" s="456">
        <f>'Key input_Biomass_MAgPIE'!Q179</f>
        <v>1233.6000187558902</v>
      </c>
      <c r="T184" s="456">
        <f>'Key input_Biomass_MAgPIE'!R179</f>
        <v>0</v>
      </c>
      <c r="U184" s="456">
        <f>'Key input_Biomass_MAgPIE'!S179</f>
        <v>0</v>
      </c>
      <c r="V184" s="456">
        <f>'Key input_Biomass_MAgPIE'!T179</f>
        <v>0</v>
      </c>
      <c r="W184" s="456">
        <f>'Key input_Biomass_MAgPIE'!U179</f>
        <v>0</v>
      </c>
      <c r="X184" s="456">
        <f>'Key input_Biomass_MAgPIE'!V179</f>
        <v>18022.800018785943</v>
      </c>
      <c r="Y184" s="456">
        <f>'Key input_Biomass_MAgPIE'!W179</f>
        <v>0</v>
      </c>
      <c r="Z184" s="456">
        <f>'Key input_Biomass_MAgPIE'!X179</f>
        <v>515.10001877354887</v>
      </c>
      <c r="AA184" s="456">
        <f>'Key input_Biomass_MAgPIE'!Y179</f>
        <v>26220.600017041656</v>
      </c>
      <c r="AB184" s="456">
        <f>'Key input_Biomass_MAgPIE'!Z179</f>
        <v>1502.4000187500094</v>
      </c>
      <c r="AC184" s="456">
        <f>'Key input_Biomass_MAgPIE'!AA179</f>
        <v>0</v>
      </c>
      <c r="AD184" s="456">
        <f>'Key input_Biomass_MAgPIE'!AB179</f>
        <v>0</v>
      </c>
      <c r="AE184" s="456">
        <f>'Key input_Biomass_MAgPIE'!AC179</f>
        <v>0</v>
      </c>
      <c r="AF184" s="456">
        <f>'Key input_Biomass_MAgPIE'!AD179</f>
        <v>0</v>
      </c>
      <c r="AG184" s="456">
        <f>'Key input_Biomass_MAgPIE'!AE179</f>
        <v>0</v>
      </c>
      <c r="AH184" s="456">
        <f>'Key input_Biomass_MAgPIE'!AF179</f>
        <v>0</v>
      </c>
      <c r="AK184"/>
      <c r="AL184"/>
    </row>
    <row r="185" spans="1:38" s="4" customFormat="1">
      <c r="A185" s="4" t="str">
        <f t="shared" si="80"/>
        <v>MIN-RSVBIOCRL2</v>
      </c>
      <c r="B185" s="4" t="str">
        <f t="shared" si="76"/>
        <v>UPS Reserves of Biomass - Cereals - Reserve - Supply curve step 2</v>
      </c>
      <c r="C185" s="4" t="str">
        <f t="shared" si="77"/>
        <v>RSVBIOCRL</v>
      </c>
      <c r="D185" s="4" t="str">
        <f t="shared" si="78"/>
        <v>ACT_BND</v>
      </c>
      <c r="E185" s="4" t="str">
        <f t="shared" si="79"/>
        <v>UP</v>
      </c>
      <c r="F185" s="4">
        <v>2040</v>
      </c>
      <c r="G185" s="456">
        <f>'Key input_Biomass_MAgPIE'!E180</f>
        <v>54.0000188514882</v>
      </c>
      <c r="H185" s="456">
        <f>'Key input_Biomass_MAgPIE'!F180</f>
        <v>0</v>
      </c>
      <c r="I185" s="456">
        <f>'Key input_Biomass_MAgPIE'!G180</f>
        <v>222.60001881834</v>
      </c>
      <c r="J185" s="456">
        <f>'Key input_Biomass_MAgPIE'!H180</f>
        <v>1030.8000187606799</v>
      </c>
      <c r="K185" s="456">
        <f>'Key input_Biomass_MAgPIE'!I180</f>
        <v>662.40001872334631</v>
      </c>
      <c r="L185" s="456">
        <f>'Key input_Biomass_MAgPIE'!J180</f>
        <v>0</v>
      </c>
      <c r="M185" s="456">
        <f>'Key input_Biomass_MAgPIE'!K180</f>
        <v>22978.800019097242</v>
      </c>
      <c r="N185" s="456">
        <f>'Key input_Biomass_MAgPIE'!L180</f>
        <v>0</v>
      </c>
      <c r="O185" s="456">
        <f>'Key input_Biomass_MAgPIE'!M180</f>
        <v>0</v>
      </c>
      <c r="P185" s="456">
        <f>'Key input_Biomass_MAgPIE'!N180</f>
        <v>834.00001945767576</v>
      </c>
      <c r="Q185" s="456">
        <f>'Key input_Biomass_MAgPIE'!O180</f>
        <v>0</v>
      </c>
      <c r="R185" s="456">
        <f>'Key input_Biomass_MAgPIE'!P180</f>
        <v>8817.6000180742467</v>
      </c>
      <c r="S185" s="456">
        <f>'Key input_Biomass_MAgPIE'!Q180</f>
        <v>1233.6000187558902</v>
      </c>
      <c r="T185" s="456">
        <f>'Key input_Biomass_MAgPIE'!R180</f>
        <v>0</v>
      </c>
      <c r="U185" s="456">
        <f>'Key input_Biomass_MAgPIE'!S180</f>
        <v>0</v>
      </c>
      <c r="V185" s="456">
        <f>'Key input_Biomass_MAgPIE'!T180</f>
        <v>0</v>
      </c>
      <c r="W185" s="456">
        <f>'Key input_Biomass_MAgPIE'!U180</f>
        <v>0</v>
      </c>
      <c r="X185" s="456">
        <f>'Key input_Biomass_MAgPIE'!V180</f>
        <v>18022.800018785943</v>
      </c>
      <c r="Y185" s="456">
        <f>'Key input_Biomass_MAgPIE'!W180</f>
        <v>0</v>
      </c>
      <c r="Z185" s="456">
        <f>'Key input_Biomass_MAgPIE'!X180</f>
        <v>515.10001877354887</v>
      </c>
      <c r="AA185" s="456">
        <f>'Key input_Biomass_MAgPIE'!Y180</f>
        <v>26220.600017041656</v>
      </c>
      <c r="AB185" s="456">
        <f>'Key input_Biomass_MAgPIE'!Z180</f>
        <v>1502.4000187500094</v>
      </c>
      <c r="AC185" s="456">
        <f>'Key input_Biomass_MAgPIE'!AA180</f>
        <v>0</v>
      </c>
      <c r="AD185" s="456">
        <f>'Key input_Biomass_MAgPIE'!AB180</f>
        <v>0</v>
      </c>
      <c r="AE185" s="456">
        <f>'Key input_Biomass_MAgPIE'!AC180</f>
        <v>0</v>
      </c>
      <c r="AF185" s="456">
        <f>'Key input_Biomass_MAgPIE'!AD180</f>
        <v>0</v>
      </c>
      <c r="AG185" s="456">
        <f>'Key input_Biomass_MAgPIE'!AE180</f>
        <v>0</v>
      </c>
      <c r="AH185" s="456">
        <f>'Key input_Biomass_MAgPIE'!AF180</f>
        <v>0</v>
      </c>
      <c r="AK185"/>
      <c r="AL185"/>
    </row>
    <row r="186" spans="1:38" s="4" customFormat="1">
      <c r="A186" s="4" t="str">
        <f t="shared" si="80"/>
        <v>MIN-RSVBIOCRL2</v>
      </c>
      <c r="B186" s="4" t="str">
        <f t="shared" si="76"/>
        <v>UPS Reserves of Biomass - Cereals - Reserve - Supply curve step 2</v>
      </c>
      <c r="C186" s="4" t="str">
        <f t="shared" si="77"/>
        <v>RSVBIOCRL</v>
      </c>
      <c r="D186" s="4" t="str">
        <f t="shared" si="78"/>
        <v>ACT_BND</v>
      </c>
      <c r="E186" s="4" t="str">
        <f t="shared" si="79"/>
        <v>UP</v>
      </c>
      <c r="F186" s="4">
        <v>2045</v>
      </c>
      <c r="G186" s="456">
        <f>'Key input_Biomass_MAgPIE'!E181</f>
        <v>54.0000188514882</v>
      </c>
      <c r="H186" s="456">
        <f>'Key input_Biomass_MAgPIE'!F181</f>
        <v>0</v>
      </c>
      <c r="I186" s="456">
        <f>'Key input_Biomass_MAgPIE'!G181</f>
        <v>222.60001881834</v>
      </c>
      <c r="J186" s="456">
        <f>'Key input_Biomass_MAgPIE'!H181</f>
        <v>1030.8000187606799</v>
      </c>
      <c r="K186" s="456">
        <f>'Key input_Biomass_MAgPIE'!I181</f>
        <v>662.40001872334631</v>
      </c>
      <c r="L186" s="456">
        <f>'Key input_Biomass_MAgPIE'!J181</f>
        <v>0</v>
      </c>
      <c r="M186" s="456">
        <f>'Key input_Biomass_MAgPIE'!K181</f>
        <v>22978.800019097242</v>
      </c>
      <c r="N186" s="456">
        <f>'Key input_Biomass_MAgPIE'!L181</f>
        <v>0</v>
      </c>
      <c r="O186" s="456">
        <f>'Key input_Biomass_MAgPIE'!M181</f>
        <v>0</v>
      </c>
      <c r="P186" s="456">
        <f>'Key input_Biomass_MAgPIE'!N181</f>
        <v>834.00001945767576</v>
      </c>
      <c r="Q186" s="456">
        <f>'Key input_Biomass_MAgPIE'!O181</f>
        <v>0</v>
      </c>
      <c r="R186" s="456">
        <f>'Key input_Biomass_MAgPIE'!P181</f>
        <v>8817.6000180742467</v>
      </c>
      <c r="S186" s="456">
        <f>'Key input_Biomass_MAgPIE'!Q181</f>
        <v>1233.6000187558902</v>
      </c>
      <c r="T186" s="456">
        <f>'Key input_Biomass_MAgPIE'!R181</f>
        <v>0</v>
      </c>
      <c r="U186" s="456">
        <f>'Key input_Biomass_MAgPIE'!S181</f>
        <v>0</v>
      </c>
      <c r="V186" s="456">
        <f>'Key input_Biomass_MAgPIE'!T181</f>
        <v>0</v>
      </c>
      <c r="W186" s="456">
        <f>'Key input_Biomass_MAgPIE'!U181</f>
        <v>0</v>
      </c>
      <c r="X186" s="456">
        <f>'Key input_Biomass_MAgPIE'!V181</f>
        <v>18022.800018785943</v>
      </c>
      <c r="Y186" s="456">
        <f>'Key input_Biomass_MAgPIE'!W181</f>
        <v>0</v>
      </c>
      <c r="Z186" s="456">
        <f>'Key input_Biomass_MAgPIE'!X181</f>
        <v>515.10001877354887</v>
      </c>
      <c r="AA186" s="456">
        <f>'Key input_Biomass_MAgPIE'!Y181</f>
        <v>26220.600017041656</v>
      </c>
      <c r="AB186" s="456">
        <f>'Key input_Biomass_MAgPIE'!Z181</f>
        <v>1502.4000187500094</v>
      </c>
      <c r="AC186" s="456">
        <f>'Key input_Biomass_MAgPIE'!AA181</f>
        <v>0</v>
      </c>
      <c r="AD186" s="456">
        <f>'Key input_Biomass_MAgPIE'!AB181</f>
        <v>0</v>
      </c>
      <c r="AE186" s="456">
        <f>'Key input_Biomass_MAgPIE'!AC181</f>
        <v>0</v>
      </c>
      <c r="AF186" s="456">
        <f>'Key input_Biomass_MAgPIE'!AD181</f>
        <v>0</v>
      </c>
      <c r="AG186" s="456">
        <f>'Key input_Biomass_MAgPIE'!AE181</f>
        <v>0</v>
      </c>
      <c r="AH186" s="456">
        <f>'Key input_Biomass_MAgPIE'!AF181</f>
        <v>0</v>
      </c>
      <c r="AK186"/>
      <c r="AL186"/>
    </row>
    <row r="187" spans="1:38" s="4" customFormat="1">
      <c r="A187" s="4" t="str">
        <f t="shared" si="80"/>
        <v>MIN-RSVBIOCRL2</v>
      </c>
      <c r="B187" s="4" t="str">
        <f t="shared" si="76"/>
        <v>UPS Reserves of Biomass - Cereals - Reserve - Supply curve step 2</v>
      </c>
      <c r="C187" s="4" t="str">
        <f t="shared" si="77"/>
        <v>RSVBIOCRL</v>
      </c>
      <c r="D187" s="4" t="str">
        <f t="shared" si="78"/>
        <v>ACT_BND</v>
      </c>
      <c r="E187" s="4" t="str">
        <f t="shared" si="79"/>
        <v>UP</v>
      </c>
      <c r="F187" s="4">
        <v>2050</v>
      </c>
      <c r="G187" s="456">
        <f>'Key input_Biomass_MAgPIE'!E182</f>
        <v>54.0000188514882</v>
      </c>
      <c r="H187" s="456">
        <f>'Key input_Biomass_MAgPIE'!F182</f>
        <v>0</v>
      </c>
      <c r="I187" s="456">
        <f>'Key input_Biomass_MAgPIE'!G182</f>
        <v>222.60001881834</v>
      </c>
      <c r="J187" s="456">
        <f>'Key input_Biomass_MAgPIE'!H182</f>
        <v>1030.8000187606799</v>
      </c>
      <c r="K187" s="456">
        <f>'Key input_Biomass_MAgPIE'!I182</f>
        <v>662.40001872334631</v>
      </c>
      <c r="L187" s="456">
        <f>'Key input_Biomass_MAgPIE'!J182</f>
        <v>0</v>
      </c>
      <c r="M187" s="456">
        <f>'Key input_Biomass_MAgPIE'!K182</f>
        <v>22978.800019097242</v>
      </c>
      <c r="N187" s="456">
        <f>'Key input_Biomass_MAgPIE'!L182</f>
        <v>0</v>
      </c>
      <c r="O187" s="456">
        <f>'Key input_Biomass_MAgPIE'!M182</f>
        <v>0</v>
      </c>
      <c r="P187" s="456">
        <f>'Key input_Biomass_MAgPIE'!N182</f>
        <v>834.00001945767576</v>
      </c>
      <c r="Q187" s="456">
        <f>'Key input_Biomass_MAgPIE'!O182</f>
        <v>0</v>
      </c>
      <c r="R187" s="456">
        <f>'Key input_Biomass_MAgPIE'!P182</f>
        <v>8817.6000180742467</v>
      </c>
      <c r="S187" s="456">
        <f>'Key input_Biomass_MAgPIE'!Q182</f>
        <v>1233.6000187558902</v>
      </c>
      <c r="T187" s="456">
        <f>'Key input_Biomass_MAgPIE'!R182</f>
        <v>0</v>
      </c>
      <c r="U187" s="456">
        <f>'Key input_Biomass_MAgPIE'!S182</f>
        <v>0</v>
      </c>
      <c r="V187" s="456">
        <f>'Key input_Biomass_MAgPIE'!T182</f>
        <v>0</v>
      </c>
      <c r="W187" s="456">
        <f>'Key input_Biomass_MAgPIE'!U182</f>
        <v>0</v>
      </c>
      <c r="X187" s="456">
        <f>'Key input_Biomass_MAgPIE'!V182</f>
        <v>18022.800018785943</v>
      </c>
      <c r="Y187" s="456">
        <f>'Key input_Biomass_MAgPIE'!W182</f>
        <v>0</v>
      </c>
      <c r="Z187" s="456">
        <f>'Key input_Biomass_MAgPIE'!X182</f>
        <v>515.10001877354887</v>
      </c>
      <c r="AA187" s="456">
        <f>'Key input_Biomass_MAgPIE'!Y182</f>
        <v>26220.600017041656</v>
      </c>
      <c r="AB187" s="456">
        <f>'Key input_Biomass_MAgPIE'!Z182</f>
        <v>1502.4000187500094</v>
      </c>
      <c r="AC187" s="456">
        <f>'Key input_Biomass_MAgPIE'!AA182</f>
        <v>0</v>
      </c>
      <c r="AD187" s="456">
        <f>'Key input_Biomass_MAgPIE'!AB182</f>
        <v>0</v>
      </c>
      <c r="AE187" s="456">
        <f>'Key input_Biomass_MAgPIE'!AC182</f>
        <v>0</v>
      </c>
      <c r="AF187" s="456">
        <f>'Key input_Biomass_MAgPIE'!AD182</f>
        <v>0</v>
      </c>
      <c r="AG187" s="456">
        <f>'Key input_Biomass_MAgPIE'!AE182</f>
        <v>0</v>
      </c>
      <c r="AH187" s="456">
        <f>'Key input_Biomass_MAgPIE'!AF182</f>
        <v>0</v>
      </c>
      <c r="AK187"/>
      <c r="AL187"/>
    </row>
    <row r="188" spans="1:38" s="4" customFormat="1">
      <c r="A188" s="4" t="str">
        <f t="shared" si="80"/>
        <v>MIN-RSVBIOCRL2</v>
      </c>
      <c r="B188" s="4" t="str">
        <f t="shared" si="76"/>
        <v>UPS Reserves of Biomass - Cereals - Reserve - Supply curve step 2</v>
      </c>
      <c r="C188" s="4" t="str">
        <f t="shared" si="77"/>
        <v>RSVBIOCRL</v>
      </c>
      <c r="D188" s="4" t="str">
        <f t="shared" si="78"/>
        <v>ACT_BND</v>
      </c>
      <c r="E188" s="4" t="str">
        <f t="shared" si="79"/>
        <v>UP</v>
      </c>
      <c r="F188" s="4">
        <v>2060</v>
      </c>
      <c r="G188" s="456">
        <f>'Key input_Biomass_MAgPIE'!E183</f>
        <v>54.0000188514882</v>
      </c>
      <c r="H188" s="456">
        <f>'Key input_Biomass_MAgPIE'!F183</f>
        <v>0</v>
      </c>
      <c r="I188" s="456">
        <f>'Key input_Biomass_MAgPIE'!G183</f>
        <v>222.60001881834</v>
      </c>
      <c r="J188" s="456">
        <f>'Key input_Biomass_MAgPIE'!H183</f>
        <v>1030.8000187606799</v>
      </c>
      <c r="K188" s="456">
        <f>'Key input_Biomass_MAgPIE'!I183</f>
        <v>662.40001872334631</v>
      </c>
      <c r="L188" s="456">
        <f>'Key input_Biomass_MAgPIE'!J183</f>
        <v>0</v>
      </c>
      <c r="M188" s="456">
        <f>'Key input_Biomass_MAgPIE'!K183</f>
        <v>22978.800019097242</v>
      </c>
      <c r="N188" s="456">
        <f>'Key input_Biomass_MAgPIE'!L183</f>
        <v>0</v>
      </c>
      <c r="O188" s="456">
        <f>'Key input_Biomass_MAgPIE'!M183</f>
        <v>0</v>
      </c>
      <c r="P188" s="456">
        <f>'Key input_Biomass_MAgPIE'!N183</f>
        <v>834.00001945767576</v>
      </c>
      <c r="Q188" s="456">
        <f>'Key input_Biomass_MAgPIE'!O183</f>
        <v>0</v>
      </c>
      <c r="R188" s="456">
        <f>'Key input_Biomass_MAgPIE'!P183</f>
        <v>8817.6000180742467</v>
      </c>
      <c r="S188" s="456">
        <f>'Key input_Biomass_MAgPIE'!Q183</f>
        <v>1233.6000187558902</v>
      </c>
      <c r="T188" s="456">
        <f>'Key input_Biomass_MAgPIE'!R183</f>
        <v>0</v>
      </c>
      <c r="U188" s="456">
        <f>'Key input_Biomass_MAgPIE'!S183</f>
        <v>0</v>
      </c>
      <c r="V188" s="456">
        <f>'Key input_Biomass_MAgPIE'!T183</f>
        <v>0</v>
      </c>
      <c r="W188" s="456">
        <f>'Key input_Biomass_MAgPIE'!U183</f>
        <v>0</v>
      </c>
      <c r="X188" s="456">
        <f>'Key input_Biomass_MAgPIE'!V183</f>
        <v>18022.800018785943</v>
      </c>
      <c r="Y188" s="456">
        <f>'Key input_Biomass_MAgPIE'!W183</f>
        <v>0</v>
      </c>
      <c r="Z188" s="456">
        <f>'Key input_Biomass_MAgPIE'!X183</f>
        <v>515.10001877354887</v>
      </c>
      <c r="AA188" s="456">
        <f>'Key input_Biomass_MAgPIE'!Y183</f>
        <v>26220.600017041656</v>
      </c>
      <c r="AB188" s="456">
        <f>'Key input_Biomass_MAgPIE'!Z183</f>
        <v>1502.4000187500094</v>
      </c>
      <c r="AC188" s="456">
        <f>'Key input_Biomass_MAgPIE'!AA183</f>
        <v>0</v>
      </c>
      <c r="AD188" s="456">
        <f>'Key input_Biomass_MAgPIE'!AB183</f>
        <v>0</v>
      </c>
      <c r="AE188" s="456">
        <f>'Key input_Biomass_MAgPIE'!AC183</f>
        <v>0</v>
      </c>
      <c r="AF188" s="456">
        <f>'Key input_Biomass_MAgPIE'!AD183</f>
        <v>0</v>
      </c>
      <c r="AG188" s="456">
        <f>'Key input_Biomass_MAgPIE'!AE183</f>
        <v>0</v>
      </c>
      <c r="AH188" s="456">
        <f>'Key input_Biomass_MAgPIE'!AF183</f>
        <v>0</v>
      </c>
      <c r="AK188"/>
      <c r="AL188"/>
    </row>
    <row r="189" spans="1:38" s="4" customFormat="1">
      <c r="A189" s="4" t="str">
        <f t="shared" si="80"/>
        <v>MIN-RSVBIOCRL2</v>
      </c>
      <c r="B189" s="4" t="str">
        <f t="shared" si="76"/>
        <v>UPS Reserves of Biomass - Cereals - Reserve - Supply curve step 2</v>
      </c>
      <c r="C189" s="4" t="str">
        <f t="shared" si="77"/>
        <v>RSVBIOCRL</v>
      </c>
      <c r="D189" s="4" t="str">
        <f t="shared" si="78"/>
        <v>ACT_BND</v>
      </c>
      <c r="E189" s="4" t="str">
        <f t="shared" si="79"/>
        <v>UP</v>
      </c>
      <c r="F189" s="4">
        <v>2070</v>
      </c>
      <c r="G189" s="456">
        <f>'Key input_Biomass_MAgPIE'!E184</f>
        <v>54.0000188514882</v>
      </c>
      <c r="H189" s="456">
        <f>'Key input_Biomass_MAgPIE'!F184</f>
        <v>0</v>
      </c>
      <c r="I189" s="456">
        <f>'Key input_Biomass_MAgPIE'!G184</f>
        <v>222.60001881834</v>
      </c>
      <c r="J189" s="456">
        <f>'Key input_Biomass_MAgPIE'!H184</f>
        <v>1030.8000187606799</v>
      </c>
      <c r="K189" s="456">
        <f>'Key input_Biomass_MAgPIE'!I184</f>
        <v>662.40001872334631</v>
      </c>
      <c r="L189" s="456">
        <f>'Key input_Biomass_MAgPIE'!J184</f>
        <v>0</v>
      </c>
      <c r="M189" s="456">
        <f>'Key input_Biomass_MAgPIE'!K184</f>
        <v>22978.800019097242</v>
      </c>
      <c r="N189" s="456">
        <f>'Key input_Biomass_MAgPIE'!L184</f>
        <v>0</v>
      </c>
      <c r="O189" s="456">
        <f>'Key input_Biomass_MAgPIE'!M184</f>
        <v>0</v>
      </c>
      <c r="P189" s="456">
        <f>'Key input_Biomass_MAgPIE'!N184</f>
        <v>834.00001945767576</v>
      </c>
      <c r="Q189" s="456">
        <f>'Key input_Biomass_MAgPIE'!O184</f>
        <v>0</v>
      </c>
      <c r="R189" s="456">
        <f>'Key input_Biomass_MAgPIE'!P184</f>
        <v>8817.6000180742467</v>
      </c>
      <c r="S189" s="456">
        <f>'Key input_Biomass_MAgPIE'!Q184</f>
        <v>1233.6000187558902</v>
      </c>
      <c r="T189" s="456">
        <f>'Key input_Biomass_MAgPIE'!R184</f>
        <v>0</v>
      </c>
      <c r="U189" s="456">
        <f>'Key input_Biomass_MAgPIE'!S184</f>
        <v>0</v>
      </c>
      <c r="V189" s="456">
        <f>'Key input_Biomass_MAgPIE'!T184</f>
        <v>0</v>
      </c>
      <c r="W189" s="456">
        <f>'Key input_Biomass_MAgPIE'!U184</f>
        <v>0</v>
      </c>
      <c r="X189" s="456">
        <f>'Key input_Biomass_MAgPIE'!V184</f>
        <v>18022.800018785943</v>
      </c>
      <c r="Y189" s="456">
        <f>'Key input_Biomass_MAgPIE'!W184</f>
        <v>0</v>
      </c>
      <c r="Z189" s="456">
        <f>'Key input_Biomass_MAgPIE'!X184</f>
        <v>515.10001877354887</v>
      </c>
      <c r="AA189" s="456">
        <f>'Key input_Biomass_MAgPIE'!Y184</f>
        <v>26220.600017041656</v>
      </c>
      <c r="AB189" s="456">
        <f>'Key input_Biomass_MAgPIE'!Z184</f>
        <v>1502.4000187500094</v>
      </c>
      <c r="AC189" s="456">
        <f>'Key input_Biomass_MAgPIE'!AA184</f>
        <v>0</v>
      </c>
      <c r="AD189" s="456">
        <f>'Key input_Biomass_MAgPIE'!AB184</f>
        <v>0</v>
      </c>
      <c r="AE189" s="456">
        <f>'Key input_Biomass_MAgPIE'!AC184</f>
        <v>0</v>
      </c>
      <c r="AF189" s="456">
        <f>'Key input_Biomass_MAgPIE'!AD184</f>
        <v>0</v>
      </c>
      <c r="AG189" s="456">
        <f>'Key input_Biomass_MAgPIE'!AE184</f>
        <v>0</v>
      </c>
      <c r="AH189" s="456">
        <f>'Key input_Biomass_MAgPIE'!AF184</f>
        <v>0</v>
      </c>
      <c r="AK189"/>
      <c r="AL189"/>
    </row>
    <row r="190" spans="1:38" s="4" customFormat="1">
      <c r="A190" s="4" t="str">
        <f t="shared" si="80"/>
        <v>MIN-RSVBIOCRL2</v>
      </c>
      <c r="B190" s="4" t="str">
        <f t="shared" si="76"/>
        <v>UPS Reserves of Biomass - Cereals - Reserve - Supply curve step 2</v>
      </c>
      <c r="C190" s="4" t="str">
        <f t="shared" si="77"/>
        <v>RSVBIOCRL</v>
      </c>
      <c r="D190" s="4" t="str">
        <f t="shared" si="78"/>
        <v>ACT_BND</v>
      </c>
      <c r="E190" s="4" t="str">
        <f t="shared" si="79"/>
        <v>UP</v>
      </c>
      <c r="F190" s="4">
        <v>2080</v>
      </c>
      <c r="G190" s="456">
        <f>'Key input_Biomass_MAgPIE'!E185</f>
        <v>54.0000188514882</v>
      </c>
      <c r="H190" s="456">
        <f>'Key input_Biomass_MAgPIE'!F185</f>
        <v>0</v>
      </c>
      <c r="I190" s="456">
        <f>'Key input_Biomass_MAgPIE'!G185</f>
        <v>222.60001881834</v>
      </c>
      <c r="J190" s="456">
        <f>'Key input_Biomass_MAgPIE'!H185</f>
        <v>1030.8000187606799</v>
      </c>
      <c r="K190" s="456">
        <f>'Key input_Biomass_MAgPIE'!I185</f>
        <v>662.40001872334631</v>
      </c>
      <c r="L190" s="456">
        <f>'Key input_Biomass_MAgPIE'!J185</f>
        <v>0</v>
      </c>
      <c r="M190" s="456">
        <f>'Key input_Biomass_MAgPIE'!K185</f>
        <v>22978.800019097242</v>
      </c>
      <c r="N190" s="456">
        <f>'Key input_Biomass_MAgPIE'!L185</f>
        <v>0</v>
      </c>
      <c r="O190" s="456">
        <f>'Key input_Biomass_MAgPIE'!M185</f>
        <v>0</v>
      </c>
      <c r="P190" s="456">
        <f>'Key input_Biomass_MAgPIE'!N185</f>
        <v>834.00001945767576</v>
      </c>
      <c r="Q190" s="456">
        <f>'Key input_Biomass_MAgPIE'!O185</f>
        <v>0</v>
      </c>
      <c r="R190" s="456">
        <f>'Key input_Biomass_MAgPIE'!P185</f>
        <v>8817.6000180742467</v>
      </c>
      <c r="S190" s="456">
        <f>'Key input_Biomass_MAgPIE'!Q185</f>
        <v>1233.6000187558902</v>
      </c>
      <c r="T190" s="456">
        <f>'Key input_Biomass_MAgPIE'!R185</f>
        <v>0</v>
      </c>
      <c r="U190" s="456">
        <f>'Key input_Biomass_MAgPIE'!S185</f>
        <v>0</v>
      </c>
      <c r="V190" s="456">
        <f>'Key input_Biomass_MAgPIE'!T185</f>
        <v>0</v>
      </c>
      <c r="W190" s="456">
        <f>'Key input_Biomass_MAgPIE'!U185</f>
        <v>0</v>
      </c>
      <c r="X190" s="456">
        <f>'Key input_Biomass_MAgPIE'!V185</f>
        <v>18022.800018785943</v>
      </c>
      <c r="Y190" s="456">
        <f>'Key input_Biomass_MAgPIE'!W185</f>
        <v>0</v>
      </c>
      <c r="Z190" s="456">
        <f>'Key input_Biomass_MAgPIE'!X185</f>
        <v>515.10001877354887</v>
      </c>
      <c r="AA190" s="456">
        <f>'Key input_Biomass_MAgPIE'!Y185</f>
        <v>26220.600017041656</v>
      </c>
      <c r="AB190" s="456">
        <f>'Key input_Biomass_MAgPIE'!Z185</f>
        <v>1502.4000187500094</v>
      </c>
      <c r="AC190" s="456">
        <f>'Key input_Biomass_MAgPIE'!AA185</f>
        <v>0</v>
      </c>
      <c r="AD190" s="456">
        <f>'Key input_Biomass_MAgPIE'!AB185</f>
        <v>0</v>
      </c>
      <c r="AE190" s="456">
        <f>'Key input_Biomass_MAgPIE'!AC185</f>
        <v>0</v>
      </c>
      <c r="AF190" s="456">
        <f>'Key input_Biomass_MAgPIE'!AD185</f>
        <v>0</v>
      </c>
      <c r="AG190" s="456">
        <f>'Key input_Biomass_MAgPIE'!AE185</f>
        <v>0</v>
      </c>
      <c r="AH190" s="456">
        <f>'Key input_Biomass_MAgPIE'!AF185</f>
        <v>0</v>
      </c>
      <c r="AK190"/>
      <c r="AL190"/>
    </row>
    <row r="191" spans="1:38" s="4" customFormat="1">
      <c r="A191" s="4" t="str">
        <f t="shared" si="80"/>
        <v>MIN-RSVBIOCRL2</v>
      </c>
      <c r="B191" s="4" t="str">
        <f t="shared" si="76"/>
        <v>UPS Reserves of Biomass - Cereals - Reserve - Supply curve step 2</v>
      </c>
      <c r="C191" s="4" t="str">
        <f t="shared" si="77"/>
        <v>RSVBIOCRL</v>
      </c>
      <c r="D191" s="4" t="str">
        <f t="shared" si="78"/>
        <v>ACT_BND</v>
      </c>
      <c r="E191" s="4" t="str">
        <f t="shared" si="79"/>
        <v>UP</v>
      </c>
      <c r="F191" s="4">
        <v>2090</v>
      </c>
      <c r="G191" s="456">
        <f>'Key input_Biomass_MAgPIE'!E186</f>
        <v>54.0000188514882</v>
      </c>
      <c r="H191" s="456">
        <f>'Key input_Biomass_MAgPIE'!F186</f>
        <v>0</v>
      </c>
      <c r="I191" s="456">
        <f>'Key input_Biomass_MAgPIE'!G186</f>
        <v>222.60001881834</v>
      </c>
      <c r="J191" s="456">
        <f>'Key input_Biomass_MAgPIE'!H186</f>
        <v>1030.8000187606799</v>
      </c>
      <c r="K191" s="456">
        <f>'Key input_Biomass_MAgPIE'!I186</f>
        <v>662.40001872334631</v>
      </c>
      <c r="L191" s="456">
        <f>'Key input_Biomass_MAgPIE'!J186</f>
        <v>0</v>
      </c>
      <c r="M191" s="456">
        <f>'Key input_Biomass_MAgPIE'!K186</f>
        <v>22978.800019097242</v>
      </c>
      <c r="N191" s="456">
        <f>'Key input_Biomass_MAgPIE'!L186</f>
        <v>0</v>
      </c>
      <c r="O191" s="456">
        <f>'Key input_Biomass_MAgPIE'!M186</f>
        <v>0</v>
      </c>
      <c r="P191" s="456">
        <f>'Key input_Biomass_MAgPIE'!N186</f>
        <v>834.00001945767576</v>
      </c>
      <c r="Q191" s="456">
        <f>'Key input_Biomass_MAgPIE'!O186</f>
        <v>0</v>
      </c>
      <c r="R191" s="456">
        <f>'Key input_Biomass_MAgPIE'!P186</f>
        <v>8817.6000180742467</v>
      </c>
      <c r="S191" s="456">
        <f>'Key input_Biomass_MAgPIE'!Q186</f>
        <v>1233.6000187558902</v>
      </c>
      <c r="T191" s="456">
        <f>'Key input_Biomass_MAgPIE'!R186</f>
        <v>0</v>
      </c>
      <c r="U191" s="456">
        <f>'Key input_Biomass_MAgPIE'!S186</f>
        <v>0</v>
      </c>
      <c r="V191" s="456">
        <f>'Key input_Biomass_MAgPIE'!T186</f>
        <v>0</v>
      </c>
      <c r="W191" s="456">
        <f>'Key input_Biomass_MAgPIE'!U186</f>
        <v>0</v>
      </c>
      <c r="X191" s="456">
        <f>'Key input_Biomass_MAgPIE'!V186</f>
        <v>18022.800018785943</v>
      </c>
      <c r="Y191" s="456">
        <f>'Key input_Biomass_MAgPIE'!W186</f>
        <v>0</v>
      </c>
      <c r="Z191" s="456">
        <f>'Key input_Biomass_MAgPIE'!X186</f>
        <v>515.10001877354887</v>
      </c>
      <c r="AA191" s="456">
        <f>'Key input_Biomass_MAgPIE'!Y186</f>
        <v>26220.600017041656</v>
      </c>
      <c r="AB191" s="456">
        <f>'Key input_Biomass_MAgPIE'!Z186</f>
        <v>1502.4000187500094</v>
      </c>
      <c r="AC191" s="456">
        <f>'Key input_Biomass_MAgPIE'!AA186</f>
        <v>0</v>
      </c>
      <c r="AD191" s="456">
        <f>'Key input_Biomass_MAgPIE'!AB186</f>
        <v>0</v>
      </c>
      <c r="AE191" s="456">
        <f>'Key input_Biomass_MAgPIE'!AC186</f>
        <v>0</v>
      </c>
      <c r="AF191" s="456">
        <f>'Key input_Biomass_MAgPIE'!AD186</f>
        <v>0</v>
      </c>
      <c r="AG191" s="456">
        <f>'Key input_Biomass_MAgPIE'!AE186</f>
        <v>0</v>
      </c>
      <c r="AH191" s="456">
        <f>'Key input_Biomass_MAgPIE'!AF186</f>
        <v>0</v>
      </c>
      <c r="AK191"/>
      <c r="AL191"/>
    </row>
    <row r="192" spans="1:38" s="4" customFormat="1">
      <c r="A192" s="259" t="str">
        <f t="shared" si="80"/>
        <v>MIN-RSVBIOCRL2</v>
      </c>
      <c r="B192" s="259" t="str">
        <f t="shared" si="76"/>
        <v>UPS Reserves of Biomass - Cereals - Reserve - Supply curve step 2</v>
      </c>
      <c r="C192" s="259" t="str">
        <f t="shared" si="77"/>
        <v>RSVBIOCRL</v>
      </c>
      <c r="D192" s="259" t="str">
        <f t="shared" si="78"/>
        <v>ACT_BND</v>
      </c>
      <c r="E192" s="259" t="str">
        <f t="shared" si="79"/>
        <v>UP</v>
      </c>
      <c r="F192" s="259">
        <v>2100</v>
      </c>
      <c r="G192" s="435">
        <f>'Key input_Biomass_MAgPIE'!E187</f>
        <v>54.0000188514882</v>
      </c>
      <c r="H192" s="435">
        <f>'Key input_Biomass_MAgPIE'!F187</f>
        <v>0</v>
      </c>
      <c r="I192" s="435">
        <f>'Key input_Biomass_MAgPIE'!G187</f>
        <v>222.60001881834</v>
      </c>
      <c r="J192" s="435">
        <f>'Key input_Biomass_MAgPIE'!H187</f>
        <v>1030.8000187606799</v>
      </c>
      <c r="K192" s="435">
        <f>'Key input_Biomass_MAgPIE'!I187</f>
        <v>662.40001872334631</v>
      </c>
      <c r="L192" s="435">
        <f>'Key input_Biomass_MAgPIE'!J187</f>
        <v>0</v>
      </c>
      <c r="M192" s="435">
        <f>'Key input_Biomass_MAgPIE'!K187</f>
        <v>22978.800019097242</v>
      </c>
      <c r="N192" s="435">
        <f>'Key input_Biomass_MAgPIE'!L187</f>
        <v>0</v>
      </c>
      <c r="O192" s="435">
        <f>'Key input_Biomass_MAgPIE'!M187</f>
        <v>0</v>
      </c>
      <c r="P192" s="435">
        <f>'Key input_Biomass_MAgPIE'!N187</f>
        <v>834.00001945767576</v>
      </c>
      <c r="Q192" s="435">
        <f>'Key input_Biomass_MAgPIE'!O187</f>
        <v>0</v>
      </c>
      <c r="R192" s="435">
        <f>'Key input_Biomass_MAgPIE'!P187</f>
        <v>8817.6000180742467</v>
      </c>
      <c r="S192" s="435">
        <f>'Key input_Biomass_MAgPIE'!Q187</f>
        <v>1233.6000187558902</v>
      </c>
      <c r="T192" s="435">
        <f>'Key input_Biomass_MAgPIE'!R187</f>
        <v>0</v>
      </c>
      <c r="U192" s="435">
        <f>'Key input_Biomass_MAgPIE'!S187</f>
        <v>0</v>
      </c>
      <c r="V192" s="435">
        <f>'Key input_Biomass_MAgPIE'!T187</f>
        <v>0</v>
      </c>
      <c r="W192" s="435">
        <f>'Key input_Biomass_MAgPIE'!U187</f>
        <v>0</v>
      </c>
      <c r="X192" s="435">
        <f>'Key input_Biomass_MAgPIE'!V187</f>
        <v>18022.800018785943</v>
      </c>
      <c r="Y192" s="435">
        <f>'Key input_Biomass_MAgPIE'!W187</f>
        <v>0</v>
      </c>
      <c r="Z192" s="435">
        <f>'Key input_Biomass_MAgPIE'!X187</f>
        <v>515.10001877354887</v>
      </c>
      <c r="AA192" s="435">
        <f>'Key input_Biomass_MAgPIE'!Y187</f>
        <v>26220.600017041656</v>
      </c>
      <c r="AB192" s="435">
        <f>'Key input_Biomass_MAgPIE'!Z187</f>
        <v>1502.4000187500094</v>
      </c>
      <c r="AC192" s="435">
        <f>'Key input_Biomass_MAgPIE'!AA187</f>
        <v>0</v>
      </c>
      <c r="AD192" s="435">
        <f>'Key input_Biomass_MAgPIE'!AB187</f>
        <v>0</v>
      </c>
      <c r="AE192" s="435">
        <f>'Key input_Biomass_MAgPIE'!AC187</f>
        <v>0</v>
      </c>
      <c r="AF192" s="435">
        <f>'Key input_Biomass_MAgPIE'!AD187</f>
        <v>0</v>
      </c>
      <c r="AG192" s="435">
        <f>'Key input_Biomass_MAgPIE'!AE187</f>
        <v>0</v>
      </c>
      <c r="AH192" s="435">
        <f>'Key input_Biomass_MAgPIE'!AF187</f>
        <v>0</v>
      </c>
      <c r="AK192"/>
      <c r="AL192"/>
    </row>
    <row r="193" spans="1:38" s="4" customFormat="1">
      <c r="A193" s="4" t="str">
        <f>IF(AK25="",AJ25,AK25)</f>
        <v>MIN-RSVBIOCRL3</v>
      </c>
      <c r="B193" s="4" t="str">
        <f>IF($AK25="","",AL25)</f>
        <v>UPS Reserves of Biomass - Cereals - Reserve - Supply curve step 3</v>
      </c>
      <c r="C193" s="4" t="str">
        <f>Commodities!$C$19</f>
        <v>RSVBIOCRL</v>
      </c>
      <c r="D193" s="4" t="s">
        <v>678</v>
      </c>
      <c r="E193" s="4" t="s">
        <v>661</v>
      </c>
      <c r="F193" s="4">
        <v>2019</v>
      </c>
      <c r="G193" s="258">
        <f>'Key input_Biomass_MAgPIE'!E188</f>
        <v>72.000025135317614</v>
      </c>
      <c r="H193" s="258">
        <f>'Key input_Biomass_MAgPIE'!F188</f>
        <v>0</v>
      </c>
      <c r="I193" s="258">
        <f>'Key input_Biomass_MAgPIE'!G188</f>
        <v>296.80002509112001</v>
      </c>
      <c r="J193" s="258">
        <f>'Key input_Biomass_MAgPIE'!H188</f>
        <v>1374.4000250142399</v>
      </c>
      <c r="K193" s="258">
        <f>'Key input_Biomass_MAgPIE'!I188</f>
        <v>883.20002496446182</v>
      </c>
      <c r="L193" s="258">
        <f>'Key input_Biomass_MAgPIE'!J188</f>
        <v>0</v>
      </c>
      <c r="M193" s="258">
        <f>'Key input_Biomass_MAgPIE'!K188</f>
        <v>30638.400025462986</v>
      </c>
      <c r="N193" s="258">
        <f>'Key input_Biomass_MAgPIE'!L188</f>
        <v>0</v>
      </c>
      <c r="O193" s="258">
        <f>'Key input_Biomass_MAgPIE'!M188</f>
        <v>0</v>
      </c>
      <c r="P193" s="258">
        <f>'Key input_Biomass_MAgPIE'!N188</f>
        <v>1112.0000259435678</v>
      </c>
      <c r="Q193" s="258">
        <f>'Key input_Biomass_MAgPIE'!O188</f>
        <v>0</v>
      </c>
      <c r="R193" s="258">
        <f>'Key input_Biomass_MAgPIE'!P188</f>
        <v>11756.800024098997</v>
      </c>
      <c r="S193" s="258">
        <f>'Key input_Biomass_MAgPIE'!Q188</f>
        <v>1644.8000250078539</v>
      </c>
      <c r="T193" s="258">
        <f>'Key input_Biomass_MAgPIE'!R188</f>
        <v>0</v>
      </c>
      <c r="U193" s="258">
        <f>'Key input_Biomass_MAgPIE'!S188</f>
        <v>0</v>
      </c>
      <c r="V193" s="258">
        <f>'Key input_Biomass_MAgPIE'!T188</f>
        <v>0</v>
      </c>
      <c r="W193" s="258">
        <f>'Key input_Biomass_MAgPIE'!U188</f>
        <v>0</v>
      </c>
      <c r="X193" s="258">
        <f>'Key input_Biomass_MAgPIE'!V188</f>
        <v>24030.400025047929</v>
      </c>
      <c r="Y193" s="258">
        <f>'Key input_Biomass_MAgPIE'!W188</f>
        <v>0</v>
      </c>
      <c r="Z193" s="258">
        <f>'Key input_Biomass_MAgPIE'!X188</f>
        <v>686.80002503139872</v>
      </c>
      <c r="AA193" s="258">
        <f>'Key input_Biomass_MAgPIE'!Y188</f>
        <v>34960.800022722215</v>
      </c>
      <c r="AB193" s="258">
        <f>'Key input_Biomass_MAgPIE'!Z188</f>
        <v>2003.2000250000124</v>
      </c>
      <c r="AC193" s="258">
        <f>'Key input_Biomass_MAgPIE'!AA188</f>
        <v>0</v>
      </c>
      <c r="AD193" s="258">
        <f>'Key input_Biomass_MAgPIE'!AB188</f>
        <v>0</v>
      </c>
      <c r="AE193" s="258">
        <f>'Key input_Biomass_MAgPIE'!AC188</f>
        <v>0</v>
      </c>
      <c r="AF193" s="258">
        <f>'Key input_Biomass_MAgPIE'!AD188</f>
        <v>0</v>
      </c>
      <c r="AG193" s="258">
        <f>'Key input_Biomass_MAgPIE'!AE188</f>
        <v>0</v>
      </c>
      <c r="AH193" s="258">
        <f>'Key input_Biomass_MAgPIE'!AF188</f>
        <v>0</v>
      </c>
      <c r="AK193"/>
      <c r="AL193"/>
    </row>
    <row r="194" spans="1:38" s="4" customFormat="1">
      <c r="A194" s="4" t="str">
        <f>A193</f>
        <v>MIN-RSVBIOCRL3</v>
      </c>
      <c r="B194" s="4" t="str">
        <f t="shared" ref="B194:B205" si="81">B193</f>
        <v>UPS Reserves of Biomass - Cereals - Reserve - Supply curve step 3</v>
      </c>
      <c r="C194" s="4" t="str">
        <f t="shared" ref="C194:C205" si="82">C193</f>
        <v>RSVBIOCRL</v>
      </c>
      <c r="D194" s="4" t="str">
        <f t="shared" ref="D194:D205" si="83">D193</f>
        <v>ACT_BND</v>
      </c>
      <c r="E194" s="4" t="str">
        <f t="shared" ref="E194:E205" si="84">E193</f>
        <v>UP</v>
      </c>
      <c r="F194" s="4">
        <v>2020</v>
      </c>
      <c r="G194" s="456">
        <f>'Key input_Biomass_MAgPIE'!E189</f>
        <v>72.000025135317614</v>
      </c>
      <c r="H194" s="456">
        <f>'Key input_Biomass_MAgPIE'!F189</f>
        <v>0</v>
      </c>
      <c r="I194" s="456">
        <f>'Key input_Biomass_MAgPIE'!G189</f>
        <v>296.80002509112001</v>
      </c>
      <c r="J194" s="456">
        <f>'Key input_Biomass_MAgPIE'!H189</f>
        <v>1374.4000250142399</v>
      </c>
      <c r="K194" s="456">
        <f>'Key input_Biomass_MAgPIE'!I189</f>
        <v>883.20002496446182</v>
      </c>
      <c r="L194" s="456">
        <f>'Key input_Biomass_MAgPIE'!J189</f>
        <v>0</v>
      </c>
      <c r="M194" s="456">
        <f>'Key input_Biomass_MAgPIE'!K189</f>
        <v>30638.400025462986</v>
      </c>
      <c r="N194" s="456">
        <f>'Key input_Biomass_MAgPIE'!L189</f>
        <v>0</v>
      </c>
      <c r="O194" s="456">
        <f>'Key input_Biomass_MAgPIE'!M189</f>
        <v>0</v>
      </c>
      <c r="P194" s="456">
        <f>'Key input_Biomass_MAgPIE'!N189</f>
        <v>1112.0000259435678</v>
      </c>
      <c r="Q194" s="456">
        <f>'Key input_Biomass_MAgPIE'!O189</f>
        <v>0</v>
      </c>
      <c r="R194" s="456">
        <f>'Key input_Biomass_MAgPIE'!P189</f>
        <v>11756.800024098997</v>
      </c>
      <c r="S194" s="456">
        <f>'Key input_Biomass_MAgPIE'!Q189</f>
        <v>1644.8000250078539</v>
      </c>
      <c r="T194" s="456">
        <f>'Key input_Biomass_MAgPIE'!R189</f>
        <v>0</v>
      </c>
      <c r="U194" s="456">
        <f>'Key input_Biomass_MAgPIE'!S189</f>
        <v>0</v>
      </c>
      <c r="V194" s="456">
        <f>'Key input_Biomass_MAgPIE'!T189</f>
        <v>0</v>
      </c>
      <c r="W194" s="456">
        <f>'Key input_Biomass_MAgPIE'!U189</f>
        <v>0</v>
      </c>
      <c r="X194" s="456">
        <f>'Key input_Biomass_MAgPIE'!V189</f>
        <v>24030.400025047929</v>
      </c>
      <c r="Y194" s="456">
        <f>'Key input_Biomass_MAgPIE'!W189</f>
        <v>0</v>
      </c>
      <c r="Z194" s="456">
        <f>'Key input_Biomass_MAgPIE'!X189</f>
        <v>686.80002503139872</v>
      </c>
      <c r="AA194" s="456">
        <f>'Key input_Biomass_MAgPIE'!Y189</f>
        <v>34960.800022722215</v>
      </c>
      <c r="AB194" s="456">
        <f>'Key input_Biomass_MAgPIE'!Z189</f>
        <v>2003.2000250000124</v>
      </c>
      <c r="AC194" s="456">
        <f>'Key input_Biomass_MAgPIE'!AA189</f>
        <v>0</v>
      </c>
      <c r="AD194" s="456">
        <f>'Key input_Biomass_MAgPIE'!AB189</f>
        <v>0</v>
      </c>
      <c r="AE194" s="456">
        <f>'Key input_Biomass_MAgPIE'!AC189</f>
        <v>0</v>
      </c>
      <c r="AF194" s="456">
        <f>'Key input_Biomass_MAgPIE'!AD189</f>
        <v>0</v>
      </c>
      <c r="AG194" s="456">
        <f>'Key input_Biomass_MAgPIE'!AE189</f>
        <v>0</v>
      </c>
      <c r="AH194" s="456">
        <f>'Key input_Biomass_MAgPIE'!AF189</f>
        <v>0</v>
      </c>
      <c r="AK194"/>
      <c r="AL194"/>
    </row>
    <row r="195" spans="1:38" s="4" customFormat="1">
      <c r="A195" s="4" t="str">
        <f t="shared" ref="A195:A205" si="85">A194</f>
        <v>MIN-RSVBIOCRL3</v>
      </c>
      <c r="B195" s="4" t="str">
        <f t="shared" si="81"/>
        <v>UPS Reserves of Biomass - Cereals - Reserve - Supply curve step 3</v>
      </c>
      <c r="C195" s="4" t="str">
        <f t="shared" si="82"/>
        <v>RSVBIOCRL</v>
      </c>
      <c r="D195" s="4" t="str">
        <f t="shared" si="83"/>
        <v>ACT_BND</v>
      </c>
      <c r="E195" s="4" t="str">
        <f t="shared" si="84"/>
        <v>UP</v>
      </c>
      <c r="F195" s="4">
        <v>2025</v>
      </c>
      <c r="G195" s="456">
        <f>'Key input_Biomass_MAgPIE'!E190</f>
        <v>72.000025135317614</v>
      </c>
      <c r="H195" s="456">
        <f>'Key input_Biomass_MAgPIE'!F190</f>
        <v>0</v>
      </c>
      <c r="I195" s="456">
        <f>'Key input_Biomass_MAgPIE'!G190</f>
        <v>296.80002509112001</v>
      </c>
      <c r="J195" s="456">
        <f>'Key input_Biomass_MAgPIE'!H190</f>
        <v>1374.4000250142399</v>
      </c>
      <c r="K195" s="456">
        <f>'Key input_Biomass_MAgPIE'!I190</f>
        <v>883.20002496446182</v>
      </c>
      <c r="L195" s="456">
        <f>'Key input_Biomass_MAgPIE'!J190</f>
        <v>0</v>
      </c>
      <c r="M195" s="456">
        <f>'Key input_Biomass_MAgPIE'!K190</f>
        <v>30638.400025462986</v>
      </c>
      <c r="N195" s="456">
        <f>'Key input_Biomass_MAgPIE'!L190</f>
        <v>0</v>
      </c>
      <c r="O195" s="456">
        <f>'Key input_Biomass_MAgPIE'!M190</f>
        <v>0</v>
      </c>
      <c r="P195" s="456">
        <f>'Key input_Biomass_MAgPIE'!N190</f>
        <v>1112.0000259435678</v>
      </c>
      <c r="Q195" s="456">
        <f>'Key input_Biomass_MAgPIE'!O190</f>
        <v>0</v>
      </c>
      <c r="R195" s="456">
        <f>'Key input_Biomass_MAgPIE'!P190</f>
        <v>11756.800024098997</v>
      </c>
      <c r="S195" s="456">
        <f>'Key input_Biomass_MAgPIE'!Q190</f>
        <v>1644.8000250078539</v>
      </c>
      <c r="T195" s="456">
        <f>'Key input_Biomass_MAgPIE'!R190</f>
        <v>0</v>
      </c>
      <c r="U195" s="456">
        <f>'Key input_Biomass_MAgPIE'!S190</f>
        <v>0</v>
      </c>
      <c r="V195" s="456">
        <f>'Key input_Biomass_MAgPIE'!T190</f>
        <v>0</v>
      </c>
      <c r="W195" s="456">
        <f>'Key input_Biomass_MAgPIE'!U190</f>
        <v>0</v>
      </c>
      <c r="X195" s="456">
        <f>'Key input_Biomass_MAgPIE'!V190</f>
        <v>24030.400025047929</v>
      </c>
      <c r="Y195" s="456">
        <f>'Key input_Biomass_MAgPIE'!W190</f>
        <v>0</v>
      </c>
      <c r="Z195" s="456">
        <f>'Key input_Biomass_MAgPIE'!X190</f>
        <v>686.80002503139872</v>
      </c>
      <c r="AA195" s="456">
        <f>'Key input_Biomass_MAgPIE'!Y190</f>
        <v>34960.800022722215</v>
      </c>
      <c r="AB195" s="456">
        <f>'Key input_Biomass_MAgPIE'!Z190</f>
        <v>2003.2000250000124</v>
      </c>
      <c r="AC195" s="456">
        <f>'Key input_Biomass_MAgPIE'!AA190</f>
        <v>0</v>
      </c>
      <c r="AD195" s="456">
        <f>'Key input_Biomass_MAgPIE'!AB190</f>
        <v>0</v>
      </c>
      <c r="AE195" s="456">
        <f>'Key input_Biomass_MAgPIE'!AC190</f>
        <v>0</v>
      </c>
      <c r="AF195" s="456">
        <f>'Key input_Biomass_MAgPIE'!AD190</f>
        <v>0</v>
      </c>
      <c r="AG195" s="456">
        <f>'Key input_Biomass_MAgPIE'!AE190</f>
        <v>0</v>
      </c>
      <c r="AH195" s="456">
        <f>'Key input_Biomass_MAgPIE'!AF190</f>
        <v>0</v>
      </c>
      <c r="AK195"/>
      <c r="AL195"/>
    </row>
    <row r="196" spans="1:38" s="4" customFormat="1">
      <c r="A196" s="4" t="str">
        <f t="shared" si="85"/>
        <v>MIN-RSVBIOCRL3</v>
      </c>
      <c r="B196" s="4" t="str">
        <f t="shared" si="81"/>
        <v>UPS Reserves of Biomass - Cereals - Reserve - Supply curve step 3</v>
      </c>
      <c r="C196" s="4" t="str">
        <f t="shared" si="82"/>
        <v>RSVBIOCRL</v>
      </c>
      <c r="D196" s="4" t="str">
        <f t="shared" si="83"/>
        <v>ACT_BND</v>
      </c>
      <c r="E196" s="4" t="str">
        <f t="shared" si="84"/>
        <v>UP</v>
      </c>
      <c r="F196" s="4">
        <v>2030</v>
      </c>
      <c r="G196" s="456">
        <f>'Key input_Biomass_MAgPIE'!E191</f>
        <v>72.000025135317614</v>
      </c>
      <c r="H196" s="456">
        <f>'Key input_Biomass_MAgPIE'!F191</f>
        <v>0</v>
      </c>
      <c r="I196" s="456">
        <f>'Key input_Biomass_MAgPIE'!G191</f>
        <v>296.80002509112001</v>
      </c>
      <c r="J196" s="456">
        <f>'Key input_Biomass_MAgPIE'!H191</f>
        <v>1374.4000250142399</v>
      </c>
      <c r="K196" s="456">
        <f>'Key input_Biomass_MAgPIE'!I191</f>
        <v>883.20002496446182</v>
      </c>
      <c r="L196" s="456">
        <f>'Key input_Biomass_MAgPIE'!J191</f>
        <v>0</v>
      </c>
      <c r="M196" s="456">
        <f>'Key input_Biomass_MAgPIE'!K191</f>
        <v>30638.400025462986</v>
      </c>
      <c r="N196" s="456">
        <f>'Key input_Biomass_MAgPIE'!L191</f>
        <v>0</v>
      </c>
      <c r="O196" s="456">
        <f>'Key input_Biomass_MAgPIE'!M191</f>
        <v>0</v>
      </c>
      <c r="P196" s="456">
        <f>'Key input_Biomass_MAgPIE'!N191</f>
        <v>1112.0000259435678</v>
      </c>
      <c r="Q196" s="456">
        <f>'Key input_Biomass_MAgPIE'!O191</f>
        <v>0</v>
      </c>
      <c r="R196" s="456">
        <f>'Key input_Biomass_MAgPIE'!P191</f>
        <v>11756.800024098997</v>
      </c>
      <c r="S196" s="456">
        <f>'Key input_Biomass_MAgPIE'!Q191</f>
        <v>1644.8000250078539</v>
      </c>
      <c r="T196" s="456">
        <f>'Key input_Biomass_MAgPIE'!R191</f>
        <v>0</v>
      </c>
      <c r="U196" s="456">
        <f>'Key input_Biomass_MAgPIE'!S191</f>
        <v>0</v>
      </c>
      <c r="V196" s="456">
        <f>'Key input_Biomass_MAgPIE'!T191</f>
        <v>0</v>
      </c>
      <c r="W196" s="456">
        <f>'Key input_Biomass_MAgPIE'!U191</f>
        <v>0</v>
      </c>
      <c r="X196" s="456">
        <f>'Key input_Biomass_MAgPIE'!V191</f>
        <v>24030.400025047929</v>
      </c>
      <c r="Y196" s="456">
        <f>'Key input_Biomass_MAgPIE'!W191</f>
        <v>0</v>
      </c>
      <c r="Z196" s="456">
        <f>'Key input_Biomass_MAgPIE'!X191</f>
        <v>686.80002503139872</v>
      </c>
      <c r="AA196" s="456">
        <f>'Key input_Biomass_MAgPIE'!Y191</f>
        <v>34960.800022722215</v>
      </c>
      <c r="AB196" s="456">
        <f>'Key input_Biomass_MAgPIE'!Z191</f>
        <v>2003.2000250000124</v>
      </c>
      <c r="AC196" s="456">
        <f>'Key input_Biomass_MAgPIE'!AA191</f>
        <v>0</v>
      </c>
      <c r="AD196" s="456">
        <f>'Key input_Biomass_MAgPIE'!AB191</f>
        <v>0</v>
      </c>
      <c r="AE196" s="456">
        <f>'Key input_Biomass_MAgPIE'!AC191</f>
        <v>0</v>
      </c>
      <c r="AF196" s="456">
        <f>'Key input_Biomass_MAgPIE'!AD191</f>
        <v>0</v>
      </c>
      <c r="AG196" s="456">
        <f>'Key input_Biomass_MAgPIE'!AE191</f>
        <v>0</v>
      </c>
      <c r="AH196" s="456">
        <f>'Key input_Biomass_MAgPIE'!AF191</f>
        <v>0</v>
      </c>
      <c r="AK196"/>
      <c r="AL196"/>
    </row>
    <row r="197" spans="1:38" s="4" customFormat="1">
      <c r="A197" s="4" t="str">
        <f t="shared" si="85"/>
        <v>MIN-RSVBIOCRL3</v>
      </c>
      <c r="B197" s="4" t="str">
        <f t="shared" si="81"/>
        <v>UPS Reserves of Biomass - Cereals - Reserve - Supply curve step 3</v>
      </c>
      <c r="C197" s="4" t="str">
        <f t="shared" si="82"/>
        <v>RSVBIOCRL</v>
      </c>
      <c r="D197" s="4" t="str">
        <f t="shared" si="83"/>
        <v>ACT_BND</v>
      </c>
      <c r="E197" s="4" t="str">
        <f t="shared" si="84"/>
        <v>UP</v>
      </c>
      <c r="F197" s="4">
        <v>2035</v>
      </c>
      <c r="G197" s="456">
        <f>'Key input_Biomass_MAgPIE'!E192</f>
        <v>72.000025135317614</v>
      </c>
      <c r="H197" s="456">
        <f>'Key input_Biomass_MAgPIE'!F192</f>
        <v>0</v>
      </c>
      <c r="I197" s="456">
        <f>'Key input_Biomass_MAgPIE'!G192</f>
        <v>296.80002509112001</v>
      </c>
      <c r="J197" s="456">
        <f>'Key input_Biomass_MAgPIE'!H192</f>
        <v>1374.4000250142399</v>
      </c>
      <c r="K197" s="456">
        <f>'Key input_Biomass_MAgPIE'!I192</f>
        <v>883.20002496446182</v>
      </c>
      <c r="L197" s="456">
        <f>'Key input_Biomass_MAgPIE'!J192</f>
        <v>0</v>
      </c>
      <c r="M197" s="456">
        <f>'Key input_Biomass_MAgPIE'!K192</f>
        <v>30638.400025462986</v>
      </c>
      <c r="N197" s="456">
        <f>'Key input_Biomass_MAgPIE'!L192</f>
        <v>0</v>
      </c>
      <c r="O197" s="456">
        <f>'Key input_Biomass_MAgPIE'!M192</f>
        <v>0</v>
      </c>
      <c r="P197" s="456">
        <f>'Key input_Biomass_MAgPIE'!N192</f>
        <v>1112.0000259435678</v>
      </c>
      <c r="Q197" s="456">
        <f>'Key input_Biomass_MAgPIE'!O192</f>
        <v>0</v>
      </c>
      <c r="R197" s="456">
        <f>'Key input_Biomass_MAgPIE'!P192</f>
        <v>11756.800024098997</v>
      </c>
      <c r="S197" s="456">
        <f>'Key input_Biomass_MAgPIE'!Q192</f>
        <v>1644.8000250078539</v>
      </c>
      <c r="T197" s="456">
        <f>'Key input_Biomass_MAgPIE'!R192</f>
        <v>0</v>
      </c>
      <c r="U197" s="456">
        <f>'Key input_Biomass_MAgPIE'!S192</f>
        <v>0</v>
      </c>
      <c r="V197" s="456">
        <f>'Key input_Biomass_MAgPIE'!T192</f>
        <v>0</v>
      </c>
      <c r="W197" s="456">
        <f>'Key input_Biomass_MAgPIE'!U192</f>
        <v>0</v>
      </c>
      <c r="X197" s="456">
        <f>'Key input_Biomass_MAgPIE'!V192</f>
        <v>24030.400025047929</v>
      </c>
      <c r="Y197" s="456">
        <f>'Key input_Biomass_MAgPIE'!W192</f>
        <v>0</v>
      </c>
      <c r="Z197" s="456">
        <f>'Key input_Biomass_MAgPIE'!X192</f>
        <v>686.80002503139872</v>
      </c>
      <c r="AA197" s="456">
        <f>'Key input_Biomass_MAgPIE'!Y192</f>
        <v>34960.800022722215</v>
      </c>
      <c r="AB197" s="456">
        <f>'Key input_Biomass_MAgPIE'!Z192</f>
        <v>2003.2000250000124</v>
      </c>
      <c r="AC197" s="456">
        <f>'Key input_Biomass_MAgPIE'!AA192</f>
        <v>0</v>
      </c>
      <c r="AD197" s="456">
        <f>'Key input_Biomass_MAgPIE'!AB192</f>
        <v>0</v>
      </c>
      <c r="AE197" s="456">
        <f>'Key input_Biomass_MAgPIE'!AC192</f>
        <v>0</v>
      </c>
      <c r="AF197" s="456">
        <f>'Key input_Biomass_MAgPIE'!AD192</f>
        <v>0</v>
      </c>
      <c r="AG197" s="456">
        <f>'Key input_Biomass_MAgPIE'!AE192</f>
        <v>0</v>
      </c>
      <c r="AH197" s="456">
        <f>'Key input_Biomass_MAgPIE'!AF192</f>
        <v>0</v>
      </c>
      <c r="AK197"/>
      <c r="AL197"/>
    </row>
    <row r="198" spans="1:38" s="4" customFormat="1">
      <c r="A198" s="4" t="str">
        <f t="shared" si="85"/>
        <v>MIN-RSVBIOCRL3</v>
      </c>
      <c r="B198" s="4" t="str">
        <f t="shared" si="81"/>
        <v>UPS Reserves of Biomass - Cereals - Reserve - Supply curve step 3</v>
      </c>
      <c r="C198" s="4" t="str">
        <f t="shared" si="82"/>
        <v>RSVBIOCRL</v>
      </c>
      <c r="D198" s="4" t="str">
        <f t="shared" si="83"/>
        <v>ACT_BND</v>
      </c>
      <c r="E198" s="4" t="str">
        <f t="shared" si="84"/>
        <v>UP</v>
      </c>
      <c r="F198" s="4">
        <v>2040</v>
      </c>
      <c r="G198" s="456">
        <f>'Key input_Biomass_MAgPIE'!E193</f>
        <v>72.000025135317614</v>
      </c>
      <c r="H198" s="456">
        <f>'Key input_Biomass_MAgPIE'!F193</f>
        <v>0</v>
      </c>
      <c r="I198" s="456">
        <f>'Key input_Biomass_MAgPIE'!G193</f>
        <v>296.80002509112001</v>
      </c>
      <c r="J198" s="456">
        <f>'Key input_Biomass_MAgPIE'!H193</f>
        <v>1374.4000250142399</v>
      </c>
      <c r="K198" s="456">
        <f>'Key input_Biomass_MAgPIE'!I193</f>
        <v>883.20002496446182</v>
      </c>
      <c r="L198" s="456">
        <f>'Key input_Biomass_MAgPIE'!J193</f>
        <v>0</v>
      </c>
      <c r="M198" s="456">
        <f>'Key input_Biomass_MAgPIE'!K193</f>
        <v>30638.400025462986</v>
      </c>
      <c r="N198" s="456">
        <f>'Key input_Biomass_MAgPIE'!L193</f>
        <v>0</v>
      </c>
      <c r="O198" s="456">
        <f>'Key input_Biomass_MAgPIE'!M193</f>
        <v>0</v>
      </c>
      <c r="P198" s="456">
        <f>'Key input_Biomass_MAgPIE'!N193</f>
        <v>1112.0000259435678</v>
      </c>
      <c r="Q198" s="456">
        <f>'Key input_Biomass_MAgPIE'!O193</f>
        <v>0</v>
      </c>
      <c r="R198" s="456">
        <f>'Key input_Biomass_MAgPIE'!P193</f>
        <v>11756.800024098997</v>
      </c>
      <c r="S198" s="456">
        <f>'Key input_Biomass_MAgPIE'!Q193</f>
        <v>1644.8000250078539</v>
      </c>
      <c r="T198" s="456">
        <f>'Key input_Biomass_MAgPIE'!R193</f>
        <v>0</v>
      </c>
      <c r="U198" s="456">
        <f>'Key input_Biomass_MAgPIE'!S193</f>
        <v>0</v>
      </c>
      <c r="V198" s="456">
        <f>'Key input_Biomass_MAgPIE'!T193</f>
        <v>0</v>
      </c>
      <c r="W198" s="456">
        <f>'Key input_Biomass_MAgPIE'!U193</f>
        <v>0</v>
      </c>
      <c r="X198" s="456">
        <f>'Key input_Biomass_MAgPIE'!V193</f>
        <v>24030.400025047929</v>
      </c>
      <c r="Y198" s="456">
        <f>'Key input_Biomass_MAgPIE'!W193</f>
        <v>0</v>
      </c>
      <c r="Z198" s="456">
        <f>'Key input_Biomass_MAgPIE'!X193</f>
        <v>686.80002503139872</v>
      </c>
      <c r="AA198" s="456">
        <f>'Key input_Biomass_MAgPIE'!Y193</f>
        <v>34960.800022722215</v>
      </c>
      <c r="AB198" s="456">
        <f>'Key input_Biomass_MAgPIE'!Z193</f>
        <v>2003.2000250000124</v>
      </c>
      <c r="AC198" s="456">
        <f>'Key input_Biomass_MAgPIE'!AA193</f>
        <v>0</v>
      </c>
      <c r="AD198" s="456">
        <f>'Key input_Biomass_MAgPIE'!AB193</f>
        <v>0</v>
      </c>
      <c r="AE198" s="456">
        <f>'Key input_Biomass_MAgPIE'!AC193</f>
        <v>0</v>
      </c>
      <c r="AF198" s="456">
        <f>'Key input_Biomass_MAgPIE'!AD193</f>
        <v>0</v>
      </c>
      <c r="AG198" s="456">
        <f>'Key input_Biomass_MAgPIE'!AE193</f>
        <v>0</v>
      </c>
      <c r="AH198" s="456">
        <f>'Key input_Biomass_MAgPIE'!AF193</f>
        <v>0</v>
      </c>
      <c r="AK198"/>
      <c r="AL198"/>
    </row>
    <row r="199" spans="1:38" s="4" customFormat="1">
      <c r="A199" s="4" t="str">
        <f t="shared" si="85"/>
        <v>MIN-RSVBIOCRL3</v>
      </c>
      <c r="B199" s="4" t="str">
        <f t="shared" si="81"/>
        <v>UPS Reserves of Biomass - Cereals - Reserve - Supply curve step 3</v>
      </c>
      <c r="C199" s="4" t="str">
        <f t="shared" si="82"/>
        <v>RSVBIOCRL</v>
      </c>
      <c r="D199" s="4" t="str">
        <f t="shared" si="83"/>
        <v>ACT_BND</v>
      </c>
      <c r="E199" s="4" t="str">
        <f t="shared" si="84"/>
        <v>UP</v>
      </c>
      <c r="F199" s="4">
        <v>2045</v>
      </c>
      <c r="G199" s="456">
        <f>'Key input_Biomass_MAgPIE'!E194</f>
        <v>72.000025135317614</v>
      </c>
      <c r="H199" s="456">
        <f>'Key input_Biomass_MAgPIE'!F194</f>
        <v>0</v>
      </c>
      <c r="I199" s="456">
        <f>'Key input_Biomass_MAgPIE'!G194</f>
        <v>296.80002509112001</v>
      </c>
      <c r="J199" s="456">
        <f>'Key input_Biomass_MAgPIE'!H194</f>
        <v>1374.4000250142399</v>
      </c>
      <c r="K199" s="456">
        <f>'Key input_Biomass_MAgPIE'!I194</f>
        <v>883.20002496446182</v>
      </c>
      <c r="L199" s="456">
        <f>'Key input_Biomass_MAgPIE'!J194</f>
        <v>0</v>
      </c>
      <c r="M199" s="456">
        <f>'Key input_Biomass_MAgPIE'!K194</f>
        <v>30638.400025462986</v>
      </c>
      <c r="N199" s="456">
        <f>'Key input_Biomass_MAgPIE'!L194</f>
        <v>0</v>
      </c>
      <c r="O199" s="456">
        <f>'Key input_Biomass_MAgPIE'!M194</f>
        <v>0</v>
      </c>
      <c r="P199" s="456">
        <f>'Key input_Biomass_MAgPIE'!N194</f>
        <v>1112.0000259435678</v>
      </c>
      <c r="Q199" s="456">
        <f>'Key input_Biomass_MAgPIE'!O194</f>
        <v>0</v>
      </c>
      <c r="R199" s="456">
        <f>'Key input_Biomass_MAgPIE'!P194</f>
        <v>11756.800024098997</v>
      </c>
      <c r="S199" s="456">
        <f>'Key input_Biomass_MAgPIE'!Q194</f>
        <v>1644.8000250078539</v>
      </c>
      <c r="T199" s="456">
        <f>'Key input_Biomass_MAgPIE'!R194</f>
        <v>0</v>
      </c>
      <c r="U199" s="456">
        <f>'Key input_Biomass_MAgPIE'!S194</f>
        <v>0</v>
      </c>
      <c r="V199" s="456">
        <f>'Key input_Biomass_MAgPIE'!T194</f>
        <v>0</v>
      </c>
      <c r="W199" s="456">
        <f>'Key input_Biomass_MAgPIE'!U194</f>
        <v>0</v>
      </c>
      <c r="X199" s="456">
        <f>'Key input_Biomass_MAgPIE'!V194</f>
        <v>24030.400025047929</v>
      </c>
      <c r="Y199" s="456">
        <f>'Key input_Biomass_MAgPIE'!W194</f>
        <v>0</v>
      </c>
      <c r="Z199" s="456">
        <f>'Key input_Biomass_MAgPIE'!X194</f>
        <v>686.80002503139872</v>
      </c>
      <c r="AA199" s="456">
        <f>'Key input_Biomass_MAgPIE'!Y194</f>
        <v>34960.800022722215</v>
      </c>
      <c r="AB199" s="456">
        <f>'Key input_Biomass_MAgPIE'!Z194</f>
        <v>2003.2000250000124</v>
      </c>
      <c r="AC199" s="456">
        <f>'Key input_Biomass_MAgPIE'!AA194</f>
        <v>0</v>
      </c>
      <c r="AD199" s="456">
        <f>'Key input_Biomass_MAgPIE'!AB194</f>
        <v>0</v>
      </c>
      <c r="AE199" s="456">
        <f>'Key input_Biomass_MAgPIE'!AC194</f>
        <v>0</v>
      </c>
      <c r="AF199" s="456">
        <f>'Key input_Biomass_MAgPIE'!AD194</f>
        <v>0</v>
      </c>
      <c r="AG199" s="456">
        <f>'Key input_Biomass_MAgPIE'!AE194</f>
        <v>0</v>
      </c>
      <c r="AH199" s="456">
        <f>'Key input_Biomass_MAgPIE'!AF194</f>
        <v>0</v>
      </c>
      <c r="AK199"/>
      <c r="AL199"/>
    </row>
    <row r="200" spans="1:38" s="4" customFormat="1">
      <c r="A200" s="4" t="str">
        <f t="shared" si="85"/>
        <v>MIN-RSVBIOCRL3</v>
      </c>
      <c r="B200" s="4" t="str">
        <f t="shared" si="81"/>
        <v>UPS Reserves of Biomass - Cereals - Reserve - Supply curve step 3</v>
      </c>
      <c r="C200" s="4" t="str">
        <f t="shared" si="82"/>
        <v>RSVBIOCRL</v>
      </c>
      <c r="D200" s="4" t="str">
        <f t="shared" si="83"/>
        <v>ACT_BND</v>
      </c>
      <c r="E200" s="4" t="str">
        <f t="shared" si="84"/>
        <v>UP</v>
      </c>
      <c r="F200" s="4">
        <v>2050</v>
      </c>
      <c r="G200" s="456">
        <f>'Key input_Biomass_MAgPIE'!E195</f>
        <v>72.000025135317614</v>
      </c>
      <c r="H200" s="456">
        <f>'Key input_Biomass_MAgPIE'!F195</f>
        <v>0</v>
      </c>
      <c r="I200" s="456">
        <f>'Key input_Biomass_MAgPIE'!G195</f>
        <v>296.80002509112001</v>
      </c>
      <c r="J200" s="456">
        <f>'Key input_Biomass_MAgPIE'!H195</f>
        <v>1374.4000250142399</v>
      </c>
      <c r="K200" s="456">
        <f>'Key input_Biomass_MAgPIE'!I195</f>
        <v>883.20002496446182</v>
      </c>
      <c r="L200" s="456">
        <f>'Key input_Biomass_MAgPIE'!J195</f>
        <v>0</v>
      </c>
      <c r="M200" s="456">
        <f>'Key input_Biomass_MAgPIE'!K195</f>
        <v>30638.400025462986</v>
      </c>
      <c r="N200" s="456">
        <f>'Key input_Biomass_MAgPIE'!L195</f>
        <v>0</v>
      </c>
      <c r="O200" s="456">
        <f>'Key input_Biomass_MAgPIE'!M195</f>
        <v>0</v>
      </c>
      <c r="P200" s="456">
        <f>'Key input_Biomass_MAgPIE'!N195</f>
        <v>1112.0000259435678</v>
      </c>
      <c r="Q200" s="456">
        <f>'Key input_Biomass_MAgPIE'!O195</f>
        <v>0</v>
      </c>
      <c r="R200" s="456">
        <f>'Key input_Biomass_MAgPIE'!P195</f>
        <v>11756.800024098997</v>
      </c>
      <c r="S200" s="456">
        <f>'Key input_Biomass_MAgPIE'!Q195</f>
        <v>1644.8000250078539</v>
      </c>
      <c r="T200" s="456">
        <f>'Key input_Biomass_MAgPIE'!R195</f>
        <v>0</v>
      </c>
      <c r="U200" s="456">
        <f>'Key input_Biomass_MAgPIE'!S195</f>
        <v>0</v>
      </c>
      <c r="V200" s="456">
        <f>'Key input_Biomass_MAgPIE'!T195</f>
        <v>0</v>
      </c>
      <c r="W200" s="456">
        <f>'Key input_Biomass_MAgPIE'!U195</f>
        <v>0</v>
      </c>
      <c r="X200" s="456">
        <f>'Key input_Biomass_MAgPIE'!V195</f>
        <v>24030.400025047929</v>
      </c>
      <c r="Y200" s="456">
        <f>'Key input_Biomass_MAgPIE'!W195</f>
        <v>0</v>
      </c>
      <c r="Z200" s="456">
        <f>'Key input_Biomass_MAgPIE'!X195</f>
        <v>686.80002503139872</v>
      </c>
      <c r="AA200" s="456">
        <f>'Key input_Biomass_MAgPIE'!Y195</f>
        <v>34960.800022722215</v>
      </c>
      <c r="AB200" s="456">
        <f>'Key input_Biomass_MAgPIE'!Z195</f>
        <v>2003.2000250000124</v>
      </c>
      <c r="AC200" s="456">
        <f>'Key input_Biomass_MAgPIE'!AA195</f>
        <v>0</v>
      </c>
      <c r="AD200" s="456">
        <f>'Key input_Biomass_MAgPIE'!AB195</f>
        <v>0</v>
      </c>
      <c r="AE200" s="456">
        <f>'Key input_Biomass_MAgPIE'!AC195</f>
        <v>0</v>
      </c>
      <c r="AF200" s="456">
        <f>'Key input_Biomass_MAgPIE'!AD195</f>
        <v>0</v>
      </c>
      <c r="AG200" s="456">
        <f>'Key input_Biomass_MAgPIE'!AE195</f>
        <v>0</v>
      </c>
      <c r="AH200" s="456">
        <f>'Key input_Biomass_MAgPIE'!AF195</f>
        <v>0</v>
      </c>
      <c r="AK200"/>
      <c r="AL200"/>
    </row>
    <row r="201" spans="1:38" s="4" customFormat="1">
      <c r="A201" s="4" t="str">
        <f t="shared" si="85"/>
        <v>MIN-RSVBIOCRL3</v>
      </c>
      <c r="B201" s="4" t="str">
        <f t="shared" si="81"/>
        <v>UPS Reserves of Biomass - Cereals - Reserve - Supply curve step 3</v>
      </c>
      <c r="C201" s="4" t="str">
        <f t="shared" si="82"/>
        <v>RSVBIOCRL</v>
      </c>
      <c r="D201" s="4" t="str">
        <f t="shared" si="83"/>
        <v>ACT_BND</v>
      </c>
      <c r="E201" s="4" t="str">
        <f t="shared" si="84"/>
        <v>UP</v>
      </c>
      <c r="F201" s="4">
        <v>2060</v>
      </c>
      <c r="G201" s="456">
        <f>'Key input_Biomass_MAgPIE'!E196</f>
        <v>72.000025135317614</v>
      </c>
      <c r="H201" s="456">
        <f>'Key input_Biomass_MAgPIE'!F196</f>
        <v>0</v>
      </c>
      <c r="I201" s="456">
        <f>'Key input_Biomass_MAgPIE'!G196</f>
        <v>296.80002509112001</v>
      </c>
      <c r="J201" s="456">
        <f>'Key input_Biomass_MAgPIE'!H196</f>
        <v>1374.4000250142399</v>
      </c>
      <c r="K201" s="456">
        <f>'Key input_Biomass_MAgPIE'!I196</f>
        <v>883.20002496446182</v>
      </c>
      <c r="L201" s="456">
        <f>'Key input_Biomass_MAgPIE'!J196</f>
        <v>0</v>
      </c>
      <c r="M201" s="456">
        <f>'Key input_Biomass_MAgPIE'!K196</f>
        <v>30638.400025462986</v>
      </c>
      <c r="N201" s="456">
        <f>'Key input_Biomass_MAgPIE'!L196</f>
        <v>0</v>
      </c>
      <c r="O201" s="456">
        <f>'Key input_Biomass_MAgPIE'!M196</f>
        <v>0</v>
      </c>
      <c r="P201" s="456">
        <f>'Key input_Biomass_MAgPIE'!N196</f>
        <v>1112.0000259435678</v>
      </c>
      <c r="Q201" s="456">
        <f>'Key input_Biomass_MAgPIE'!O196</f>
        <v>0</v>
      </c>
      <c r="R201" s="456">
        <f>'Key input_Biomass_MAgPIE'!P196</f>
        <v>11756.800024098997</v>
      </c>
      <c r="S201" s="456">
        <f>'Key input_Biomass_MAgPIE'!Q196</f>
        <v>1644.8000250078539</v>
      </c>
      <c r="T201" s="456">
        <f>'Key input_Biomass_MAgPIE'!R196</f>
        <v>0</v>
      </c>
      <c r="U201" s="456">
        <f>'Key input_Biomass_MAgPIE'!S196</f>
        <v>0</v>
      </c>
      <c r="V201" s="456">
        <f>'Key input_Biomass_MAgPIE'!T196</f>
        <v>0</v>
      </c>
      <c r="W201" s="456">
        <f>'Key input_Biomass_MAgPIE'!U196</f>
        <v>0</v>
      </c>
      <c r="X201" s="456">
        <f>'Key input_Biomass_MAgPIE'!V196</f>
        <v>24030.400025047929</v>
      </c>
      <c r="Y201" s="456">
        <f>'Key input_Biomass_MAgPIE'!W196</f>
        <v>0</v>
      </c>
      <c r="Z201" s="456">
        <f>'Key input_Biomass_MAgPIE'!X196</f>
        <v>686.80002503139872</v>
      </c>
      <c r="AA201" s="456">
        <f>'Key input_Biomass_MAgPIE'!Y196</f>
        <v>34960.800022722215</v>
      </c>
      <c r="AB201" s="456">
        <f>'Key input_Biomass_MAgPIE'!Z196</f>
        <v>2003.2000250000124</v>
      </c>
      <c r="AC201" s="456">
        <f>'Key input_Biomass_MAgPIE'!AA196</f>
        <v>0</v>
      </c>
      <c r="AD201" s="456">
        <f>'Key input_Biomass_MAgPIE'!AB196</f>
        <v>0</v>
      </c>
      <c r="AE201" s="456">
        <f>'Key input_Biomass_MAgPIE'!AC196</f>
        <v>0</v>
      </c>
      <c r="AF201" s="456">
        <f>'Key input_Biomass_MAgPIE'!AD196</f>
        <v>0</v>
      </c>
      <c r="AG201" s="456">
        <f>'Key input_Biomass_MAgPIE'!AE196</f>
        <v>0</v>
      </c>
      <c r="AH201" s="456">
        <f>'Key input_Biomass_MAgPIE'!AF196</f>
        <v>0</v>
      </c>
      <c r="AK201"/>
      <c r="AL201"/>
    </row>
    <row r="202" spans="1:38" s="4" customFormat="1">
      <c r="A202" s="4" t="str">
        <f t="shared" si="85"/>
        <v>MIN-RSVBIOCRL3</v>
      </c>
      <c r="B202" s="4" t="str">
        <f t="shared" si="81"/>
        <v>UPS Reserves of Biomass - Cereals - Reserve - Supply curve step 3</v>
      </c>
      <c r="C202" s="4" t="str">
        <f t="shared" si="82"/>
        <v>RSVBIOCRL</v>
      </c>
      <c r="D202" s="4" t="str">
        <f t="shared" si="83"/>
        <v>ACT_BND</v>
      </c>
      <c r="E202" s="4" t="str">
        <f t="shared" si="84"/>
        <v>UP</v>
      </c>
      <c r="F202" s="4">
        <v>2070</v>
      </c>
      <c r="G202" s="456">
        <f>'Key input_Biomass_MAgPIE'!E197</f>
        <v>72.000025135317614</v>
      </c>
      <c r="H202" s="456">
        <f>'Key input_Biomass_MAgPIE'!F197</f>
        <v>0</v>
      </c>
      <c r="I202" s="456">
        <f>'Key input_Biomass_MAgPIE'!G197</f>
        <v>296.80002509112001</v>
      </c>
      <c r="J202" s="456">
        <f>'Key input_Biomass_MAgPIE'!H197</f>
        <v>1374.4000250142399</v>
      </c>
      <c r="K202" s="456">
        <f>'Key input_Biomass_MAgPIE'!I197</f>
        <v>883.20002496446182</v>
      </c>
      <c r="L202" s="456">
        <f>'Key input_Biomass_MAgPIE'!J197</f>
        <v>0</v>
      </c>
      <c r="M202" s="456">
        <f>'Key input_Biomass_MAgPIE'!K197</f>
        <v>30638.400025462986</v>
      </c>
      <c r="N202" s="456">
        <f>'Key input_Biomass_MAgPIE'!L197</f>
        <v>0</v>
      </c>
      <c r="O202" s="456">
        <f>'Key input_Biomass_MAgPIE'!M197</f>
        <v>0</v>
      </c>
      <c r="P202" s="456">
        <f>'Key input_Biomass_MAgPIE'!N197</f>
        <v>1112.0000259435678</v>
      </c>
      <c r="Q202" s="456">
        <f>'Key input_Biomass_MAgPIE'!O197</f>
        <v>0</v>
      </c>
      <c r="R202" s="456">
        <f>'Key input_Biomass_MAgPIE'!P197</f>
        <v>11756.800024098997</v>
      </c>
      <c r="S202" s="456">
        <f>'Key input_Biomass_MAgPIE'!Q197</f>
        <v>1644.8000250078539</v>
      </c>
      <c r="T202" s="456">
        <f>'Key input_Biomass_MAgPIE'!R197</f>
        <v>0</v>
      </c>
      <c r="U202" s="456">
        <f>'Key input_Biomass_MAgPIE'!S197</f>
        <v>0</v>
      </c>
      <c r="V202" s="456">
        <f>'Key input_Biomass_MAgPIE'!T197</f>
        <v>0</v>
      </c>
      <c r="W202" s="456">
        <f>'Key input_Biomass_MAgPIE'!U197</f>
        <v>0</v>
      </c>
      <c r="X202" s="456">
        <f>'Key input_Biomass_MAgPIE'!V197</f>
        <v>24030.400025047929</v>
      </c>
      <c r="Y202" s="456">
        <f>'Key input_Biomass_MAgPIE'!W197</f>
        <v>0</v>
      </c>
      <c r="Z202" s="456">
        <f>'Key input_Biomass_MAgPIE'!X197</f>
        <v>686.80002503139872</v>
      </c>
      <c r="AA202" s="456">
        <f>'Key input_Biomass_MAgPIE'!Y197</f>
        <v>34960.800022722215</v>
      </c>
      <c r="AB202" s="456">
        <f>'Key input_Biomass_MAgPIE'!Z197</f>
        <v>2003.2000250000124</v>
      </c>
      <c r="AC202" s="456">
        <f>'Key input_Biomass_MAgPIE'!AA197</f>
        <v>0</v>
      </c>
      <c r="AD202" s="456">
        <f>'Key input_Biomass_MAgPIE'!AB197</f>
        <v>0</v>
      </c>
      <c r="AE202" s="456">
        <f>'Key input_Biomass_MAgPIE'!AC197</f>
        <v>0</v>
      </c>
      <c r="AF202" s="456">
        <f>'Key input_Biomass_MAgPIE'!AD197</f>
        <v>0</v>
      </c>
      <c r="AG202" s="456">
        <f>'Key input_Biomass_MAgPIE'!AE197</f>
        <v>0</v>
      </c>
      <c r="AH202" s="456">
        <f>'Key input_Biomass_MAgPIE'!AF197</f>
        <v>0</v>
      </c>
      <c r="AK202"/>
      <c r="AL202"/>
    </row>
    <row r="203" spans="1:38" s="4" customFormat="1">
      <c r="A203" s="4" t="str">
        <f t="shared" si="85"/>
        <v>MIN-RSVBIOCRL3</v>
      </c>
      <c r="B203" s="4" t="str">
        <f t="shared" si="81"/>
        <v>UPS Reserves of Biomass - Cereals - Reserve - Supply curve step 3</v>
      </c>
      <c r="C203" s="4" t="str">
        <f t="shared" si="82"/>
        <v>RSVBIOCRL</v>
      </c>
      <c r="D203" s="4" t="str">
        <f t="shared" si="83"/>
        <v>ACT_BND</v>
      </c>
      <c r="E203" s="4" t="str">
        <f t="shared" si="84"/>
        <v>UP</v>
      </c>
      <c r="F203" s="4">
        <v>2080</v>
      </c>
      <c r="G203" s="456">
        <f>'Key input_Biomass_MAgPIE'!E198</f>
        <v>72.000025135317614</v>
      </c>
      <c r="H203" s="456">
        <f>'Key input_Biomass_MAgPIE'!F198</f>
        <v>0</v>
      </c>
      <c r="I203" s="456">
        <f>'Key input_Biomass_MAgPIE'!G198</f>
        <v>296.80002509112001</v>
      </c>
      <c r="J203" s="456">
        <f>'Key input_Biomass_MAgPIE'!H198</f>
        <v>1374.4000250142399</v>
      </c>
      <c r="K203" s="456">
        <f>'Key input_Biomass_MAgPIE'!I198</f>
        <v>883.20002496446182</v>
      </c>
      <c r="L203" s="456">
        <f>'Key input_Biomass_MAgPIE'!J198</f>
        <v>0</v>
      </c>
      <c r="M203" s="456">
        <f>'Key input_Biomass_MAgPIE'!K198</f>
        <v>30638.400025462986</v>
      </c>
      <c r="N203" s="456">
        <f>'Key input_Biomass_MAgPIE'!L198</f>
        <v>0</v>
      </c>
      <c r="O203" s="456">
        <f>'Key input_Biomass_MAgPIE'!M198</f>
        <v>0</v>
      </c>
      <c r="P203" s="456">
        <f>'Key input_Biomass_MAgPIE'!N198</f>
        <v>1112.0000259435678</v>
      </c>
      <c r="Q203" s="456">
        <f>'Key input_Biomass_MAgPIE'!O198</f>
        <v>0</v>
      </c>
      <c r="R203" s="456">
        <f>'Key input_Biomass_MAgPIE'!P198</f>
        <v>11756.800024098997</v>
      </c>
      <c r="S203" s="456">
        <f>'Key input_Biomass_MAgPIE'!Q198</f>
        <v>1644.8000250078539</v>
      </c>
      <c r="T203" s="456">
        <f>'Key input_Biomass_MAgPIE'!R198</f>
        <v>0</v>
      </c>
      <c r="U203" s="456">
        <f>'Key input_Biomass_MAgPIE'!S198</f>
        <v>0</v>
      </c>
      <c r="V203" s="456">
        <f>'Key input_Biomass_MAgPIE'!T198</f>
        <v>0</v>
      </c>
      <c r="W203" s="456">
        <f>'Key input_Biomass_MAgPIE'!U198</f>
        <v>0</v>
      </c>
      <c r="X203" s="456">
        <f>'Key input_Biomass_MAgPIE'!V198</f>
        <v>24030.400025047929</v>
      </c>
      <c r="Y203" s="456">
        <f>'Key input_Biomass_MAgPIE'!W198</f>
        <v>0</v>
      </c>
      <c r="Z203" s="456">
        <f>'Key input_Biomass_MAgPIE'!X198</f>
        <v>686.80002503139872</v>
      </c>
      <c r="AA203" s="456">
        <f>'Key input_Biomass_MAgPIE'!Y198</f>
        <v>34960.800022722215</v>
      </c>
      <c r="AB203" s="456">
        <f>'Key input_Biomass_MAgPIE'!Z198</f>
        <v>2003.2000250000124</v>
      </c>
      <c r="AC203" s="456">
        <f>'Key input_Biomass_MAgPIE'!AA198</f>
        <v>0</v>
      </c>
      <c r="AD203" s="456">
        <f>'Key input_Biomass_MAgPIE'!AB198</f>
        <v>0</v>
      </c>
      <c r="AE203" s="456">
        <f>'Key input_Biomass_MAgPIE'!AC198</f>
        <v>0</v>
      </c>
      <c r="AF203" s="456">
        <f>'Key input_Biomass_MAgPIE'!AD198</f>
        <v>0</v>
      </c>
      <c r="AG203" s="456">
        <f>'Key input_Biomass_MAgPIE'!AE198</f>
        <v>0</v>
      </c>
      <c r="AH203" s="456">
        <f>'Key input_Biomass_MAgPIE'!AF198</f>
        <v>0</v>
      </c>
      <c r="AK203"/>
      <c r="AL203"/>
    </row>
    <row r="204" spans="1:38" s="4" customFormat="1">
      <c r="A204" s="4" t="str">
        <f t="shared" si="85"/>
        <v>MIN-RSVBIOCRL3</v>
      </c>
      <c r="B204" s="4" t="str">
        <f t="shared" si="81"/>
        <v>UPS Reserves of Biomass - Cereals - Reserve - Supply curve step 3</v>
      </c>
      <c r="C204" s="4" t="str">
        <f t="shared" si="82"/>
        <v>RSVBIOCRL</v>
      </c>
      <c r="D204" s="4" t="str">
        <f t="shared" si="83"/>
        <v>ACT_BND</v>
      </c>
      <c r="E204" s="4" t="str">
        <f t="shared" si="84"/>
        <v>UP</v>
      </c>
      <c r="F204" s="4">
        <v>2090</v>
      </c>
      <c r="G204" s="456">
        <f>'Key input_Biomass_MAgPIE'!E199</f>
        <v>72.000025135317614</v>
      </c>
      <c r="H204" s="456">
        <f>'Key input_Biomass_MAgPIE'!F199</f>
        <v>0</v>
      </c>
      <c r="I204" s="456">
        <f>'Key input_Biomass_MAgPIE'!G199</f>
        <v>296.80002509112001</v>
      </c>
      <c r="J204" s="456">
        <f>'Key input_Biomass_MAgPIE'!H199</f>
        <v>1374.4000250142399</v>
      </c>
      <c r="K204" s="456">
        <f>'Key input_Biomass_MAgPIE'!I199</f>
        <v>883.20002496446182</v>
      </c>
      <c r="L204" s="456">
        <f>'Key input_Biomass_MAgPIE'!J199</f>
        <v>0</v>
      </c>
      <c r="M204" s="456">
        <f>'Key input_Biomass_MAgPIE'!K199</f>
        <v>30638.400025462986</v>
      </c>
      <c r="N204" s="456">
        <f>'Key input_Biomass_MAgPIE'!L199</f>
        <v>0</v>
      </c>
      <c r="O204" s="456">
        <f>'Key input_Biomass_MAgPIE'!M199</f>
        <v>0</v>
      </c>
      <c r="P204" s="456">
        <f>'Key input_Biomass_MAgPIE'!N199</f>
        <v>1112.0000259435678</v>
      </c>
      <c r="Q204" s="456">
        <f>'Key input_Biomass_MAgPIE'!O199</f>
        <v>0</v>
      </c>
      <c r="R204" s="456">
        <f>'Key input_Biomass_MAgPIE'!P199</f>
        <v>11756.800024098997</v>
      </c>
      <c r="S204" s="456">
        <f>'Key input_Biomass_MAgPIE'!Q199</f>
        <v>1644.8000250078539</v>
      </c>
      <c r="T204" s="456">
        <f>'Key input_Biomass_MAgPIE'!R199</f>
        <v>0</v>
      </c>
      <c r="U204" s="456">
        <f>'Key input_Biomass_MAgPIE'!S199</f>
        <v>0</v>
      </c>
      <c r="V204" s="456">
        <f>'Key input_Biomass_MAgPIE'!T199</f>
        <v>0</v>
      </c>
      <c r="W204" s="456">
        <f>'Key input_Biomass_MAgPIE'!U199</f>
        <v>0</v>
      </c>
      <c r="X204" s="456">
        <f>'Key input_Biomass_MAgPIE'!V199</f>
        <v>24030.400025047929</v>
      </c>
      <c r="Y204" s="456">
        <f>'Key input_Biomass_MAgPIE'!W199</f>
        <v>0</v>
      </c>
      <c r="Z204" s="456">
        <f>'Key input_Biomass_MAgPIE'!X199</f>
        <v>686.80002503139872</v>
      </c>
      <c r="AA204" s="456">
        <f>'Key input_Biomass_MAgPIE'!Y199</f>
        <v>34960.800022722215</v>
      </c>
      <c r="AB204" s="456">
        <f>'Key input_Biomass_MAgPIE'!Z199</f>
        <v>2003.2000250000124</v>
      </c>
      <c r="AC204" s="456">
        <f>'Key input_Biomass_MAgPIE'!AA199</f>
        <v>0</v>
      </c>
      <c r="AD204" s="456">
        <f>'Key input_Biomass_MAgPIE'!AB199</f>
        <v>0</v>
      </c>
      <c r="AE204" s="456">
        <f>'Key input_Biomass_MAgPIE'!AC199</f>
        <v>0</v>
      </c>
      <c r="AF204" s="456">
        <f>'Key input_Biomass_MAgPIE'!AD199</f>
        <v>0</v>
      </c>
      <c r="AG204" s="456">
        <f>'Key input_Biomass_MAgPIE'!AE199</f>
        <v>0</v>
      </c>
      <c r="AH204" s="456">
        <f>'Key input_Biomass_MAgPIE'!AF199</f>
        <v>0</v>
      </c>
      <c r="AK204"/>
      <c r="AL204"/>
    </row>
    <row r="205" spans="1:38" s="4" customFormat="1" ht="16.2" thickBot="1">
      <c r="A205" s="454" t="str">
        <f t="shared" si="85"/>
        <v>MIN-RSVBIOCRL3</v>
      </c>
      <c r="B205" s="454" t="str">
        <f t="shared" si="81"/>
        <v>UPS Reserves of Biomass - Cereals - Reserve - Supply curve step 3</v>
      </c>
      <c r="C205" s="454" t="str">
        <f t="shared" si="82"/>
        <v>RSVBIOCRL</v>
      </c>
      <c r="D205" s="454" t="str">
        <f t="shared" si="83"/>
        <v>ACT_BND</v>
      </c>
      <c r="E205" s="454" t="str">
        <f t="shared" si="84"/>
        <v>UP</v>
      </c>
      <c r="F205" s="454">
        <v>2100</v>
      </c>
      <c r="G205" s="455">
        <f>'Key input_Biomass_MAgPIE'!E200</f>
        <v>72.000025135317614</v>
      </c>
      <c r="H205" s="455">
        <f>'Key input_Biomass_MAgPIE'!F200</f>
        <v>0</v>
      </c>
      <c r="I205" s="455">
        <f>'Key input_Biomass_MAgPIE'!G200</f>
        <v>296.80002509112001</v>
      </c>
      <c r="J205" s="455">
        <f>'Key input_Biomass_MAgPIE'!H200</f>
        <v>1374.4000250142399</v>
      </c>
      <c r="K205" s="455">
        <f>'Key input_Biomass_MAgPIE'!I200</f>
        <v>883.20002496446182</v>
      </c>
      <c r="L205" s="455">
        <f>'Key input_Biomass_MAgPIE'!J200</f>
        <v>0</v>
      </c>
      <c r="M205" s="455">
        <f>'Key input_Biomass_MAgPIE'!K200</f>
        <v>30638.400025462986</v>
      </c>
      <c r="N205" s="455">
        <f>'Key input_Biomass_MAgPIE'!L200</f>
        <v>0</v>
      </c>
      <c r="O205" s="455">
        <f>'Key input_Biomass_MAgPIE'!M200</f>
        <v>0</v>
      </c>
      <c r="P205" s="455">
        <f>'Key input_Biomass_MAgPIE'!N200</f>
        <v>1112.0000259435678</v>
      </c>
      <c r="Q205" s="455">
        <f>'Key input_Biomass_MAgPIE'!O200</f>
        <v>0</v>
      </c>
      <c r="R205" s="455">
        <f>'Key input_Biomass_MAgPIE'!P200</f>
        <v>11756.800024098997</v>
      </c>
      <c r="S205" s="455">
        <f>'Key input_Biomass_MAgPIE'!Q200</f>
        <v>1644.8000250078539</v>
      </c>
      <c r="T205" s="455">
        <f>'Key input_Biomass_MAgPIE'!R200</f>
        <v>0</v>
      </c>
      <c r="U205" s="455">
        <f>'Key input_Biomass_MAgPIE'!S200</f>
        <v>0</v>
      </c>
      <c r="V205" s="455">
        <f>'Key input_Biomass_MAgPIE'!T200</f>
        <v>0</v>
      </c>
      <c r="W205" s="455">
        <f>'Key input_Biomass_MAgPIE'!U200</f>
        <v>0</v>
      </c>
      <c r="X205" s="455">
        <f>'Key input_Biomass_MAgPIE'!V200</f>
        <v>24030.400025047929</v>
      </c>
      <c r="Y205" s="455">
        <f>'Key input_Biomass_MAgPIE'!W200</f>
        <v>0</v>
      </c>
      <c r="Z205" s="455">
        <f>'Key input_Biomass_MAgPIE'!X200</f>
        <v>686.80002503139872</v>
      </c>
      <c r="AA205" s="455">
        <f>'Key input_Biomass_MAgPIE'!Y200</f>
        <v>34960.800022722215</v>
      </c>
      <c r="AB205" s="455">
        <f>'Key input_Biomass_MAgPIE'!Z200</f>
        <v>2003.2000250000124</v>
      </c>
      <c r="AC205" s="455">
        <f>'Key input_Biomass_MAgPIE'!AA200</f>
        <v>0</v>
      </c>
      <c r="AD205" s="455">
        <f>'Key input_Biomass_MAgPIE'!AB200</f>
        <v>0</v>
      </c>
      <c r="AE205" s="455">
        <f>'Key input_Biomass_MAgPIE'!AC200</f>
        <v>0</v>
      </c>
      <c r="AF205" s="455">
        <f>'Key input_Biomass_MAgPIE'!AD200</f>
        <v>0</v>
      </c>
      <c r="AG205" s="455">
        <f>'Key input_Biomass_MAgPIE'!AE200</f>
        <v>0</v>
      </c>
      <c r="AH205" s="455">
        <f>'Key input_Biomass_MAgPIE'!AF200</f>
        <v>0</v>
      </c>
      <c r="AK205"/>
      <c r="AL205"/>
    </row>
    <row r="206" spans="1:38">
      <c r="A206" s="4"/>
      <c r="B206" s="4"/>
      <c r="C206" s="4"/>
      <c r="D206" s="4"/>
      <c r="E206" s="4"/>
      <c r="F206" s="4"/>
      <c r="G206" s="258"/>
      <c r="H206" s="258"/>
      <c r="I206" s="258"/>
      <c r="J206" s="258"/>
      <c r="K206" s="258"/>
      <c r="L206" s="258"/>
      <c r="M206" s="258"/>
      <c r="N206" s="258"/>
      <c r="O206" s="258"/>
      <c r="P206" s="258"/>
      <c r="Q206" s="258"/>
      <c r="R206" s="258"/>
      <c r="S206" s="258"/>
      <c r="T206" s="258"/>
      <c r="U206" s="258"/>
      <c r="V206" s="258"/>
      <c r="W206" s="258"/>
      <c r="X206" s="258"/>
      <c r="Y206" s="258"/>
      <c r="Z206" s="258"/>
      <c r="AA206" s="258"/>
      <c r="AB206" s="258"/>
      <c r="AC206" s="258"/>
      <c r="AD206" s="258"/>
      <c r="AE206" s="258"/>
      <c r="AF206" s="258"/>
      <c r="AG206" s="258"/>
      <c r="AH206" s="258"/>
    </row>
    <row r="207" spans="1:38">
      <c r="A207" s="4"/>
      <c r="B207" s="4"/>
      <c r="C207" s="4"/>
      <c r="D207" s="4"/>
      <c r="E207" s="4"/>
      <c r="F207" s="4"/>
      <c r="G207" s="258"/>
      <c r="H207" s="258"/>
      <c r="I207" s="258"/>
      <c r="J207" s="258"/>
      <c r="K207" s="258"/>
      <c r="L207" s="258"/>
      <c r="M207" s="258"/>
      <c r="N207" s="258"/>
      <c r="O207" s="258"/>
      <c r="P207" s="258"/>
      <c r="Q207" s="258"/>
      <c r="R207" s="258"/>
      <c r="S207" s="258"/>
      <c r="T207" s="258"/>
      <c r="U207" s="258"/>
      <c r="V207" s="258"/>
      <c r="W207" s="258"/>
      <c r="X207" s="258"/>
      <c r="Y207" s="258"/>
      <c r="Z207" s="258"/>
      <c r="AA207" s="258"/>
      <c r="AB207" s="258"/>
      <c r="AC207" s="258"/>
      <c r="AD207" s="258"/>
      <c r="AE207" s="258"/>
      <c r="AF207" s="258"/>
      <c r="AG207" s="258"/>
      <c r="AH207" s="258"/>
    </row>
    <row r="208" spans="1:38">
      <c r="A208" s="255" t="s">
        <v>625</v>
      </c>
      <c r="B208" s="255"/>
    </row>
    <row r="209" spans="1:34" ht="16.2" thickBot="1">
      <c r="A209" s="11" t="s">
        <v>627</v>
      </c>
      <c r="B209" s="11" t="s">
        <v>666</v>
      </c>
      <c r="C209" s="240" t="s">
        <v>653</v>
      </c>
      <c r="D209" s="10" t="s">
        <v>654</v>
      </c>
      <c r="E209" s="10" t="s">
        <v>376</v>
      </c>
      <c r="F209" s="10" t="s">
        <v>655</v>
      </c>
      <c r="G209" s="10" t="s">
        <v>172</v>
      </c>
      <c r="H209" s="10" t="s">
        <v>175</v>
      </c>
      <c r="I209" s="10" t="s">
        <v>178</v>
      </c>
      <c r="J209" s="10" t="s">
        <v>181</v>
      </c>
      <c r="K209" s="10" t="s">
        <v>184</v>
      </c>
      <c r="L209" s="10" t="s">
        <v>187</v>
      </c>
      <c r="M209" s="10" t="s">
        <v>190</v>
      </c>
      <c r="N209" s="10" t="s">
        <v>193</v>
      </c>
      <c r="O209" s="10" t="s">
        <v>196</v>
      </c>
      <c r="P209" s="10" t="s">
        <v>198</v>
      </c>
      <c r="Q209" s="10" t="s">
        <v>200</v>
      </c>
      <c r="R209" s="10" t="s">
        <v>202</v>
      </c>
      <c r="S209" s="10" t="s">
        <v>205</v>
      </c>
      <c r="T209" s="10" t="s">
        <v>208</v>
      </c>
      <c r="U209" s="10" t="s">
        <v>211</v>
      </c>
      <c r="V209" s="10" t="s">
        <v>214</v>
      </c>
      <c r="W209" s="10" t="s">
        <v>217</v>
      </c>
      <c r="X209" s="10" t="s">
        <v>220</v>
      </c>
      <c r="Y209" s="10" t="s">
        <v>223</v>
      </c>
      <c r="Z209" s="10" t="s">
        <v>225</v>
      </c>
      <c r="AA209" s="10" t="s">
        <v>227</v>
      </c>
      <c r="AB209" s="10" t="s">
        <v>230</v>
      </c>
      <c r="AC209" s="10" t="s">
        <v>233</v>
      </c>
      <c r="AD209" s="10" t="s">
        <v>236</v>
      </c>
      <c r="AE209" s="10" t="s">
        <v>238</v>
      </c>
      <c r="AF209" s="10" t="s">
        <v>240</v>
      </c>
      <c r="AG209" s="10" t="s">
        <v>243</v>
      </c>
      <c r="AH209" s="10" t="s">
        <v>245</v>
      </c>
    </row>
    <row r="210" spans="1:34" ht="55.2">
      <c r="A210" s="241" t="s">
        <v>639</v>
      </c>
      <c r="B210" s="241" t="s">
        <v>668</v>
      </c>
      <c r="C210" s="241" t="s">
        <v>657</v>
      </c>
      <c r="D210" s="241" t="s">
        <v>669</v>
      </c>
      <c r="E210" s="241"/>
      <c r="F210" s="241"/>
      <c r="G210" s="241" t="s">
        <v>173</v>
      </c>
      <c r="H210" s="241" t="s">
        <v>176</v>
      </c>
      <c r="I210" s="241" t="s">
        <v>179</v>
      </c>
      <c r="J210" s="241" t="s">
        <v>182</v>
      </c>
      <c r="K210" s="241" t="s">
        <v>185</v>
      </c>
      <c r="L210" s="241" t="s">
        <v>188</v>
      </c>
      <c r="M210" s="241" t="s">
        <v>191</v>
      </c>
      <c r="N210" s="241" t="s">
        <v>194</v>
      </c>
      <c r="O210" s="241" t="s">
        <v>197</v>
      </c>
      <c r="P210" s="241" t="s">
        <v>199</v>
      </c>
      <c r="Q210" s="241" t="s">
        <v>201</v>
      </c>
      <c r="R210" s="241" t="s">
        <v>203</v>
      </c>
      <c r="S210" s="241" t="s">
        <v>206</v>
      </c>
      <c r="T210" s="241" t="s">
        <v>209</v>
      </c>
      <c r="U210" s="241" t="s">
        <v>212</v>
      </c>
      <c r="V210" s="241" t="s">
        <v>215</v>
      </c>
      <c r="W210" s="241" t="s">
        <v>218</v>
      </c>
      <c r="X210" s="241" t="s">
        <v>221</v>
      </c>
      <c r="Y210" s="241" t="s">
        <v>224</v>
      </c>
      <c r="Z210" s="241" t="s">
        <v>226</v>
      </c>
      <c r="AA210" s="241" t="s">
        <v>228</v>
      </c>
      <c r="AB210" s="241" t="s">
        <v>231</v>
      </c>
      <c r="AC210" s="241" t="s">
        <v>234</v>
      </c>
      <c r="AD210" s="241" t="s">
        <v>237</v>
      </c>
      <c r="AE210" s="241" t="s">
        <v>239</v>
      </c>
      <c r="AF210" s="241" t="s">
        <v>241</v>
      </c>
      <c r="AG210" s="241" t="s">
        <v>1172</v>
      </c>
      <c r="AH210" s="241" t="s">
        <v>246</v>
      </c>
    </row>
    <row r="211" spans="1:34" ht="27.6">
      <c r="A211" s="257" t="s">
        <v>649</v>
      </c>
      <c r="B211" s="257"/>
      <c r="C211" s="257"/>
      <c r="D211" s="257"/>
      <c r="E211" s="257"/>
      <c r="F211" s="257"/>
      <c r="G211" s="257" t="s">
        <v>680</v>
      </c>
      <c r="H211" s="257" t="s">
        <v>680</v>
      </c>
      <c r="I211" s="257" t="s">
        <v>680</v>
      </c>
      <c r="J211" s="257" t="s">
        <v>680</v>
      </c>
      <c r="K211" s="257" t="s">
        <v>680</v>
      </c>
      <c r="L211" s="257" t="s">
        <v>680</v>
      </c>
      <c r="M211" s="257" t="s">
        <v>680</v>
      </c>
      <c r="N211" s="257" t="s">
        <v>680</v>
      </c>
      <c r="O211" s="257" t="s">
        <v>680</v>
      </c>
      <c r="P211" s="257" t="s">
        <v>680</v>
      </c>
      <c r="Q211" s="257" t="s">
        <v>680</v>
      </c>
      <c r="R211" s="257" t="s">
        <v>680</v>
      </c>
      <c r="S211" s="257" t="s">
        <v>680</v>
      </c>
      <c r="T211" s="257" t="s">
        <v>680</v>
      </c>
      <c r="U211" s="257" t="s">
        <v>680</v>
      </c>
      <c r="V211" s="257" t="s">
        <v>680</v>
      </c>
      <c r="W211" s="257" t="s">
        <v>680</v>
      </c>
      <c r="X211" s="257" t="s">
        <v>680</v>
      </c>
      <c r="Y211" s="257" t="s">
        <v>680</v>
      </c>
      <c r="Z211" s="257" t="s">
        <v>680</v>
      </c>
      <c r="AA211" s="257" t="s">
        <v>680</v>
      </c>
      <c r="AB211" s="257" t="s">
        <v>680</v>
      </c>
      <c r="AC211" s="257" t="s">
        <v>680</v>
      </c>
      <c r="AD211" s="257" t="s">
        <v>680</v>
      </c>
      <c r="AE211" s="257" t="s">
        <v>680</v>
      </c>
      <c r="AF211" s="257" t="s">
        <v>680</v>
      </c>
      <c r="AG211" s="257" t="s">
        <v>680</v>
      </c>
      <c r="AH211" s="257" t="s">
        <v>680</v>
      </c>
    </row>
    <row r="212" spans="1:34">
      <c r="A212" s="175" t="str">
        <f>AJ10</f>
        <v>*Biomass</v>
      </c>
      <c r="C212" s="4"/>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row>
    <row r="213" spans="1:34">
      <c r="A213" s="4" t="str">
        <f>AK11</f>
        <v>MIN-RSVBIOWOO1</v>
      </c>
      <c r="B213" s="4" t="str">
        <f>AL11</f>
        <v>UPS Reserves of Biomass - Forest residues - Reserve - Supply curve step 1</v>
      </c>
      <c r="C213" s="4" t="str">
        <f>Commodities!$C$15</f>
        <v>RSVBIOWOO</v>
      </c>
      <c r="D213" s="4" t="s">
        <v>675</v>
      </c>
      <c r="E213" s="4"/>
      <c r="F213" s="4">
        <v>2019</v>
      </c>
      <c r="G213" s="258">
        <f>'Key input_Biomass_MAgPIE'!E204</f>
        <v>9.5000000000000001E-2</v>
      </c>
      <c r="H213" s="258">
        <f>'Key input_Biomass_MAgPIE'!F204</f>
        <v>9.5000000000000001E-2</v>
      </c>
      <c r="I213" s="258">
        <f>'Key input_Biomass_MAgPIE'!G204</f>
        <v>9.5000000000000001E-2</v>
      </c>
      <c r="J213" s="258">
        <f>'Key input_Biomass_MAgPIE'!H204</f>
        <v>9.5000000000000001E-2</v>
      </c>
      <c r="K213" s="258">
        <f>'Key input_Biomass_MAgPIE'!I204</f>
        <v>9.5000000000000001E-2</v>
      </c>
      <c r="L213" s="258">
        <f>'Key input_Biomass_MAgPIE'!J204</f>
        <v>9.5000000000000001E-2</v>
      </c>
      <c r="M213" s="258">
        <f>'Key input_Biomass_MAgPIE'!K204</f>
        <v>9.5000000000000001E-2</v>
      </c>
      <c r="N213" s="258">
        <f>'Key input_Biomass_MAgPIE'!L204</f>
        <v>9.5000000000000001E-2</v>
      </c>
      <c r="O213" s="258">
        <f>'Key input_Biomass_MAgPIE'!M204</f>
        <v>9.5000000000000001E-2</v>
      </c>
      <c r="P213" s="258">
        <f>'Key input_Biomass_MAgPIE'!N204</f>
        <v>9.5000000000000001E-2</v>
      </c>
      <c r="Q213" s="258">
        <f>'Key input_Biomass_MAgPIE'!O204</f>
        <v>9.5000000000000001E-2</v>
      </c>
      <c r="R213" s="258">
        <f>'Key input_Biomass_MAgPIE'!P204</f>
        <v>9.5000000000000001E-2</v>
      </c>
      <c r="S213" s="258">
        <f>'Key input_Biomass_MAgPIE'!Q204</f>
        <v>9.5000000000000001E-2</v>
      </c>
      <c r="T213" s="258">
        <f>'Key input_Biomass_MAgPIE'!R204</f>
        <v>9.5000000000000001E-2</v>
      </c>
      <c r="U213" s="258">
        <f>'Key input_Biomass_MAgPIE'!S204</f>
        <v>9.5000000000000001E-2</v>
      </c>
      <c r="V213" s="258">
        <f>'Key input_Biomass_MAgPIE'!T204</f>
        <v>9.5000000000000001E-2</v>
      </c>
      <c r="W213" s="258">
        <f>'Key input_Biomass_MAgPIE'!U204</f>
        <v>9.5000000000000001E-2</v>
      </c>
      <c r="X213" s="258">
        <f>'Key input_Biomass_MAgPIE'!V204</f>
        <v>9.5000000000000001E-2</v>
      </c>
      <c r="Y213" s="258">
        <f>'Key input_Biomass_MAgPIE'!W204</f>
        <v>9.5000000000000001E-2</v>
      </c>
      <c r="Z213" s="258">
        <f>'Key input_Biomass_MAgPIE'!X204</f>
        <v>9.5000000000000001E-2</v>
      </c>
      <c r="AA213" s="258">
        <f>'Key input_Biomass_MAgPIE'!Y204</f>
        <v>9.5000000000000001E-2</v>
      </c>
      <c r="AB213" s="258">
        <f>'Key input_Biomass_MAgPIE'!Z204</f>
        <v>9.5000000000000001E-2</v>
      </c>
      <c r="AC213" s="258">
        <f>'Key input_Biomass_MAgPIE'!AA204</f>
        <v>9.5000000000000001E-2</v>
      </c>
      <c r="AD213" s="258">
        <f>'Key input_Biomass_MAgPIE'!AB204</f>
        <v>9.5000000000000001E-2</v>
      </c>
      <c r="AE213" s="258">
        <f>'Key input_Biomass_MAgPIE'!AC204</f>
        <v>9.5000000000000001E-2</v>
      </c>
      <c r="AF213" s="258">
        <f>'Key input_Biomass_MAgPIE'!AD204</f>
        <v>9.5000000000000001E-2</v>
      </c>
      <c r="AG213" s="258">
        <f>'Key input_Biomass_MAgPIE'!AE204</f>
        <v>9.5000000000000001E-2</v>
      </c>
      <c r="AH213" s="258">
        <f>'Key input_Biomass_MAgPIE'!AF204</f>
        <v>9.5000000000000001E-2</v>
      </c>
    </row>
    <row r="214" spans="1:34">
      <c r="A214" s="4" t="str">
        <f>A213</f>
        <v>MIN-RSVBIOWOO1</v>
      </c>
      <c r="B214" s="4" t="str">
        <f t="shared" ref="B214:D225" si="86">B213</f>
        <v>UPS Reserves of Biomass - Forest residues - Reserve - Supply curve step 1</v>
      </c>
      <c r="C214" s="4" t="str">
        <f t="shared" si="86"/>
        <v>RSVBIOWOO</v>
      </c>
      <c r="D214" s="4" t="str">
        <f t="shared" si="86"/>
        <v>ACT_COST</v>
      </c>
      <c r="E214" s="4"/>
      <c r="F214" s="4">
        <v>2020</v>
      </c>
      <c r="G214" s="456">
        <f>'Key input_Biomass_MAgPIE'!E205</f>
        <v>9.5000000000000001E-2</v>
      </c>
      <c r="H214" s="456">
        <f>'Key input_Biomass_MAgPIE'!F205</f>
        <v>9.5000000000000001E-2</v>
      </c>
      <c r="I214" s="456">
        <f>'Key input_Biomass_MAgPIE'!G205</f>
        <v>9.5000000000000001E-2</v>
      </c>
      <c r="J214" s="456">
        <f>'Key input_Biomass_MAgPIE'!H205</f>
        <v>9.5000000000000001E-2</v>
      </c>
      <c r="K214" s="456">
        <f>'Key input_Biomass_MAgPIE'!I205</f>
        <v>9.5000000000000001E-2</v>
      </c>
      <c r="L214" s="456">
        <f>'Key input_Biomass_MAgPIE'!J205</f>
        <v>9.5000000000000001E-2</v>
      </c>
      <c r="M214" s="456">
        <f>'Key input_Biomass_MAgPIE'!K205</f>
        <v>9.5000000000000001E-2</v>
      </c>
      <c r="N214" s="456">
        <f>'Key input_Biomass_MAgPIE'!L205</f>
        <v>9.5000000000000001E-2</v>
      </c>
      <c r="O214" s="456">
        <f>'Key input_Biomass_MAgPIE'!M205</f>
        <v>9.5000000000000001E-2</v>
      </c>
      <c r="P214" s="456">
        <f>'Key input_Biomass_MAgPIE'!N205</f>
        <v>9.5000000000000001E-2</v>
      </c>
      <c r="Q214" s="456">
        <f>'Key input_Biomass_MAgPIE'!O205</f>
        <v>9.5000000000000001E-2</v>
      </c>
      <c r="R214" s="456">
        <f>'Key input_Biomass_MAgPIE'!P205</f>
        <v>9.5000000000000001E-2</v>
      </c>
      <c r="S214" s="456">
        <f>'Key input_Biomass_MAgPIE'!Q205</f>
        <v>9.5000000000000001E-2</v>
      </c>
      <c r="T214" s="456">
        <f>'Key input_Biomass_MAgPIE'!R205</f>
        <v>9.5000000000000001E-2</v>
      </c>
      <c r="U214" s="456">
        <f>'Key input_Biomass_MAgPIE'!S205</f>
        <v>9.5000000000000001E-2</v>
      </c>
      <c r="V214" s="456">
        <f>'Key input_Biomass_MAgPIE'!T205</f>
        <v>9.5000000000000001E-2</v>
      </c>
      <c r="W214" s="456">
        <f>'Key input_Biomass_MAgPIE'!U205</f>
        <v>9.5000000000000001E-2</v>
      </c>
      <c r="X214" s="456">
        <f>'Key input_Biomass_MAgPIE'!V205</f>
        <v>9.5000000000000001E-2</v>
      </c>
      <c r="Y214" s="456">
        <f>'Key input_Biomass_MAgPIE'!W205</f>
        <v>9.5000000000000001E-2</v>
      </c>
      <c r="Z214" s="456">
        <f>'Key input_Biomass_MAgPIE'!X205</f>
        <v>9.5000000000000001E-2</v>
      </c>
      <c r="AA214" s="456">
        <f>'Key input_Biomass_MAgPIE'!Y205</f>
        <v>9.5000000000000001E-2</v>
      </c>
      <c r="AB214" s="456">
        <f>'Key input_Biomass_MAgPIE'!Z205</f>
        <v>9.5000000000000001E-2</v>
      </c>
      <c r="AC214" s="456">
        <f>'Key input_Biomass_MAgPIE'!AA205</f>
        <v>9.5000000000000001E-2</v>
      </c>
      <c r="AD214" s="456">
        <f>'Key input_Biomass_MAgPIE'!AB205</f>
        <v>9.5000000000000001E-2</v>
      </c>
      <c r="AE214" s="456">
        <f>'Key input_Biomass_MAgPIE'!AC205</f>
        <v>9.5000000000000001E-2</v>
      </c>
      <c r="AF214" s="456">
        <f>'Key input_Biomass_MAgPIE'!AD205</f>
        <v>9.5000000000000001E-2</v>
      </c>
      <c r="AG214" s="456">
        <f>'Key input_Biomass_MAgPIE'!AE205</f>
        <v>9.5000000000000001E-2</v>
      </c>
      <c r="AH214" s="456">
        <f>'Key input_Biomass_MAgPIE'!AF205</f>
        <v>9.5000000000000001E-2</v>
      </c>
    </row>
    <row r="215" spans="1:34">
      <c r="A215" s="4" t="str">
        <f t="shared" ref="A215:A225" si="87">A214</f>
        <v>MIN-RSVBIOWOO1</v>
      </c>
      <c r="B215" s="4" t="str">
        <f t="shared" si="86"/>
        <v>UPS Reserves of Biomass - Forest residues - Reserve - Supply curve step 1</v>
      </c>
      <c r="C215" s="4" t="str">
        <f t="shared" si="86"/>
        <v>RSVBIOWOO</v>
      </c>
      <c r="D215" s="4" t="str">
        <f t="shared" si="86"/>
        <v>ACT_COST</v>
      </c>
      <c r="E215" s="4"/>
      <c r="F215" s="4">
        <v>2025</v>
      </c>
      <c r="G215" s="456">
        <f>'Key input_Biomass_MAgPIE'!E206</f>
        <v>9.5000000000000001E-2</v>
      </c>
      <c r="H215" s="456">
        <f>'Key input_Biomass_MAgPIE'!F206</f>
        <v>9.5000000000000001E-2</v>
      </c>
      <c r="I215" s="456">
        <f>'Key input_Biomass_MAgPIE'!G206</f>
        <v>9.5000000000000001E-2</v>
      </c>
      <c r="J215" s="456">
        <f>'Key input_Biomass_MAgPIE'!H206</f>
        <v>9.5000000000000001E-2</v>
      </c>
      <c r="K215" s="456">
        <f>'Key input_Biomass_MAgPIE'!I206</f>
        <v>9.5000000000000001E-2</v>
      </c>
      <c r="L215" s="456">
        <f>'Key input_Biomass_MAgPIE'!J206</f>
        <v>9.5000000000000001E-2</v>
      </c>
      <c r="M215" s="456">
        <f>'Key input_Biomass_MAgPIE'!K206</f>
        <v>9.5000000000000001E-2</v>
      </c>
      <c r="N215" s="456">
        <f>'Key input_Biomass_MAgPIE'!L206</f>
        <v>9.5000000000000001E-2</v>
      </c>
      <c r="O215" s="456">
        <f>'Key input_Biomass_MAgPIE'!M206</f>
        <v>9.5000000000000001E-2</v>
      </c>
      <c r="P215" s="456">
        <f>'Key input_Biomass_MAgPIE'!N206</f>
        <v>9.5000000000000001E-2</v>
      </c>
      <c r="Q215" s="456">
        <f>'Key input_Biomass_MAgPIE'!O206</f>
        <v>9.5000000000000001E-2</v>
      </c>
      <c r="R215" s="456">
        <f>'Key input_Biomass_MAgPIE'!P206</f>
        <v>9.5000000000000001E-2</v>
      </c>
      <c r="S215" s="456">
        <f>'Key input_Biomass_MAgPIE'!Q206</f>
        <v>9.5000000000000001E-2</v>
      </c>
      <c r="T215" s="456">
        <f>'Key input_Biomass_MAgPIE'!R206</f>
        <v>9.5000000000000001E-2</v>
      </c>
      <c r="U215" s="456">
        <f>'Key input_Biomass_MAgPIE'!S206</f>
        <v>9.5000000000000001E-2</v>
      </c>
      <c r="V215" s="456">
        <f>'Key input_Biomass_MAgPIE'!T206</f>
        <v>9.5000000000000001E-2</v>
      </c>
      <c r="W215" s="456">
        <f>'Key input_Biomass_MAgPIE'!U206</f>
        <v>9.5000000000000001E-2</v>
      </c>
      <c r="X215" s="456">
        <f>'Key input_Biomass_MAgPIE'!V206</f>
        <v>9.5000000000000001E-2</v>
      </c>
      <c r="Y215" s="456">
        <f>'Key input_Biomass_MAgPIE'!W206</f>
        <v>9.5000000000000001E-2</v>
      </c>
      <c r="Z215" s="456">
        <f>'Key input_Biomass_MAgPIE'!X206</f>
        <v>9.5000000000000001E-2</v>
      </c>
      <c r="AA215" s="456">
        <f>'Key input_Biomass_MAgPIE'!Y206</f>
        <v>9.5000000000000001E-2</v>
      </c>
      <c r="AB215" s="456">
        <f>'Key input_Biomass_MAgPIE'!Z206</f>
        <v>9.5000000000000001E-2</v>
      </c>
      <c r="AC215" s="456">
        <f>'Key input_Biomass_MAgPIE'!AA206</f>
        <v>9.5000000000000001E-2</v>
      </c>
      <c r="AD215" s="456">
        <f>'Key input_Biomass_MAgPIE'!AB206</f>
        <v>9.5000000000000001E-2</v>
      </c>
      <c r="AE215" s="456">
        <f>'Key input_Biomass_MAgPIE'!AC206</f>
        <v>9.5000000000000001E-2</v>
      </c>
      <c r="AF215" s="456">
        <f>'Key input_Biomass_MAgPIE'!AD206</f>
        <v>9.5000000000000001E-2</v>
      </c>
      <c r="AG215" s="456">
        <f>'Key input_Biomass_MAgPIE'!AE206</f>
        <v>9.5000000000000001E-2</v>
      </c>
      <c r="AH215" s="456">
        <f>'Key input_Biomass_MAgPIE'!AF206</f>
        <v>9.5000000000000001E-2</v>
      </c>
    </row>
    <row r="216" spans="1:34">
      <c r="A216" s="4" t="str">
        <f t="shared" si="87"/>
        <v>MIN-RSVBIOWOO1</v>
      </c>
      <c r="B216" s="4" t="str">
        <f t="shared" si="86"/>
        <v>UPS Reserves of Biomass - Forest residues - Reserve - Supply curve step 1</v>
      </c>
      <c r="C216" s="4" t="str">
        <f t="shared" si="86"/>
        <v>RSVBIOWOO</v>
      </c>
      <c r="D216" s="4" t="str">
        <f t="shared" si="86"/>
        <v>ACT_COST</v>
      </c>
      <c r="E216" s="4"/>
      <c r="F216" s="4">
        <v>2030</v>
      </c>
      <c r="G216" s="456">
        <f>'Key input_Biomass_MAgPIE'!E207</f>
        <v>9.5000000000000001E-2</v>
      </c>
      <c r="H216" s="456">
        <f>'Key input_Biomass_MAgPIE'!F207</f>
        <v>9.5000000000000001E-2</v>
      </c>
      <c r="I216" s="456">
        <f>'Key input_Biomass_MAgPIE'!G207</f>
        <v>9.5000000000000001E-2</v>
      </c>
      <c r="J216" s="456">
        <f>'Key input_Biomass_MAgPIE'!H207</f>
        <v>9.5000000000000001E-2</v>
      </c>
      <c r="K216" s="456">
        <f>'Key input_Biomass_MAgPIE'!I207</f>
        <v>9.5000000000000001E-2</v>
      </c>
      <c r="L216" s="456">
        <f>'Key input_Biomass_MAgPIE'!J207</f>
        <v>9.5000000000000001E-2</v>
      </c>
      <c r="M216" s="456">
        <f>'Key input_Biomass_MAgPIE'!K207</f>
        <v>9.5000000000000001E-2</v>
      </c>
      <c r="N216" s="456">
        <f>'Key input_Biomass_MAgPIE'!L207</f>
        <v>9.5000000000000001E-2</v>
      </c>
      <c r="O216" s="456">
        <f>'Key input_Biomass_MAgPIE'!M207</f>
        <v>9.5000000000000001E-2</v>
      </c>
      <c r="P216" s="456">
        <f>'Key input_Biomass_MAgPIE'!N207</f>
        <v>9.5000000000000001E-2</v>
      </c>
      <c r="Q216" s="456">
        <f>'Key input_Biomass_MAgPIE'!O207</f>
        <v>9.5000000000000001E-2</v>
      </c>
      <c r="R216" s="456">
        <f>'Key input_Biomass_MAgPIE'!P207</f>
        <v>9.5000000000000001E-2</v>
      </c>
      <c r="S216" s="456">
        <f>'Key input_Biomass_MAgPIE'!Q207</f>
        <v>9.5000000000000001E-2</v>
      </c>
      <c r="T216" s="456">
        <f>'Key input_Biomass_MAgPIE'!R207</f>
        <v>9.5000000000000001E-2</v>
      </c>
      <c r="U216" s="456">
        <f>'Key input_Biomass_MAgPIE'!S207</f>
        <v>9.5000000000000001E-2</v>
      </c>
      <c r="V216" s="456">
        <f>'Key input_Biomass_MAgPIE'!T207</f>
        <v>9.5000000000000001E-2</v>
      </c>
      <c r="W216" s="456">
        <f>'Key input_Biomass_MAgPIE'!U207</f>
        <v>9.5000000000000001E-2</v>
      </c>
      <c r="X216" s="456">
        <f>'Key input_Biomass_MAgPIE'!V207</f>
        <v>9.5000000000000001E-2</v>
      </c>
      <c r="Y216" s="456">
        <f>'Key input_Biomass_MAgPIE'!W207</f>
        <v>9.5000000000000001E-2</v>
      </c>
      <c r="Z216" s="456">
        <f>'Key input_Biomass_MAgPIE'!X207</f>
        <v>9.5000000000000001E-2</v>
      </c>
      <c r="AA216" s="456">
        <f>'Key input_Biomass_MAgPIE'!Y207</f>
        <v>9.5000000000000001E-2</v>
      </c>
      <c r="AB216" s="456">
        <f>'Key input_Biomass_MAgPIE'!Z207</f>
        <v>9.5000000000000001E-2</v>
      </c>
      <c r="AC216" s="456">
        <f>'Key input_Biomass_MAgPIE'!AA207</f>
        <v>9.5000000000000001E-2</v>
      </c>
      <c r="AD216" s="456">
        <f>'Key input_Biomass_MAgPIE'!AB207</f>
        <v>9.5000000000000001E-2</v>
      </c>
      <c r="AE216" s="456">
        <f>'Key input_Biomass_MAgPIE'!AC207</f>
        <v>9.5000000000000001E-2</v>
      </c>
      <c r="AF216" s="456">
        <f>'Key input_Biomass_MAgPIE'!AD207</f>
        <v>9.5000000000000001E-2</v>
      </c>
      <c r="AG216" s="456">
        <f>'Key input_Biomass_MAgPIE'!AE207</f>
        <v>9.5000000000000001E-2</v>
      </c>
      <c r="AH216" s="456">
        <f>'Key input_Biomass_MAgPIE'!AF207</f>
        <v>9.5000000000000001E-2</v>
      </c>
    </row>
    <row r="217" spans="1:34">
      <c r="A217" s="4" t="str">
        <f t="shared" si="87"/>
        <v>MIN-RSVBIOWOO1</v>
      </c>
      <c r="B217" s="4" t="str">
        <f t="shared" si="86"/>
        <v>UPS Reserves of Biomass - Forest residues - Reserve - Supply curve step 1</v>
      </c>
      <c r="C217" s="4" t="str">
        <f t="shared" si="86"/>
        <v>RSVBIOWOO</v>
      </c>
      <c r="D217" s="4" t="str">
        <f t="shared" si="86"/>
        <v>ACT_COST</v>
      </c>
      <c r="E217" s="4"/>
      <c r="F217" s="4">
        <v>2035</v>
      </c>
      <c r="G217" s="456">
        <f>'Key input_Biomass_MAgPIE'!E208</f>
        <v>9.5000000000000001E-2</v>
      </c>
      <c r="H217" s="456">
        <f>'Key input_Biomass_MAgPIE'!F208</f>
        <v>9.5000000000000001E-2</v>
      </c>
      <c r="I217" s="456">
        <f>'Key input_Biomass_MAgPIE'!G208</f>
        <v>9.5000000000000001E-2</v>
      </c>
      <c r="J217" s="456">
        <f>'Key input_Biomass_MAgPIE'!H208</f>
        <v>9.5000000000000001E-2</v>
      </c>
      <c r="K217" s="456">
        <f>'Key input_Biomass_MAgPIE'!I208</f>
        <v>9.5000000000000001E-2</v>
      </c>
      <c r="L217" s="456">
        <f>'Key input_Biomass_MAgPIE'!J208</f>
        <v>9.5000000000000001E-2</v>
      </c>
      <c r="M217" s="456">
        <f>'Key input_Biomass_MAgPIE'!K208</f>
        <v>9.5000000000000001E-2</v>
      </c>
      <c r="N217" s="456">
        <f>'Key input_Biomass_MAgPIE'!L208</f>
        <v>9.5000000000000001E-2</v>
      </c>
      <c r="O217" s="456">
        <f>'Key input_Biomass_MAgPIE'!M208</f>
        <v>9.5000000000000001E-2</v>
      </c>
      <c r="P217" s="456">
        <f>'Key input_Biomass_MAgPIE'!N208</f>
        <v>9.5000000000000001E-2</v>
      </c>
      <c r="Q217" s="456">
        <f>'Key input_Biomass_MAgPIE'!O208</f>
        <v>9.5000000000000001E-2</v>
      </c>
      <c r="R217" s="456">
        <f>'Key input_Biomass_MAgPIE'!P208</f>
        <v>9.5000000000000001E-2</v>
      </c>
      <c r="S217" s="456">
        <f>'Key input_Biomass_MAgPIE'!Q208</f>
        <v>9.5000000000000001E-2</v>
      </c>
      <c r="T217" s="456">
        <f>'Key input_Biomass_MAgPIE'!R208</f>
        <v>9.5000000000000001E-2</v>
      </c>
      <c r="U217" s="456">
        <f>'Key input_Biomass_MAgPIE'!S208</f>
        <v>9.5000000000000001E-2</v>
      </c>
      <c r="V217" s="456">
        <f>'Key input_Biomass_MAgPIE'!T208</f>
        <v>9.5000000000000001E-2</v>
      </c>
      <c r="W217" s="456">
        <f>'Key input_Biomass_MAgPIE'!U208</f>
        <v>9.5000000000000001E-2</v>
      </c>
      <c r="X217" s="456">
        <f>'Key input_Biomass_MAgPIE'!V208</f>
        <v>9.5000000000000001E-2</v>
      </c>
      <c r="Y217" s="456">
        <f>'Key input_Biomass_MAgPIE'!W208</f>
        <v>9.5000000000000001E-2</v>
      </c>
      <c r="Z217" s="456">
        <f>'Key input_Biomass_MAgPIE'!X208</f>
        <v>9.5000000000000001E-2</v>
      </c>
      <c r="AA217" s="456">
        <f>'Key input_Biomass_MAgPIE'!Y208</f>
        <v>9.5000000000000001E-2</v>
      </c>
      <c r="AB217" s="456">
        <f>'Key input_Biomass_MAgPIE'!Z208</f>
        <v>9.5000000000000001E-2</v>
      </c>
      <c r="AC217" s="456">
        <f>'Key input_Biomass_MAgPIE'!AA208</f>
        <v>9.5000000000000001E-2</v>
      </c>
      <c r="AD217" s="456">
        <f>'Key input_Biomass_MAgPIE'!AB208</f>
        <v>9.5000000000000001E-2</v>
      </c>
      <c r="AE217" s="456">
        <f>'Key input_Biomass_MAgPIE'!AC208</f>
        <v>9.5000000000000001E-2</v>
      </c>
      <c r="AF217" s="456">
        <f>'Key input_Biomass_MAgPIE'!AD208</f>
        <v>9.5000000000000001E-2</v>
      </c>
      <c r="AG217" s="456">
        <f>'Key input_Biomass_MAgPIE'!AE208</f>
        <v>9.5000000000000001E-2</v>
      </c>
      <c r="AH217" s="456">
        <f>'Key input_Biomass_MAgPIE'!AF208</f>
        <v>9.5000000000000001E-2</v>
      </c>
    </row>
    <row r="218" spans="1:34">
      <c r="A218" s="4" t="str">
        <f t="shared" si="87"/>
        <v>MIN-RSVBIOWOO1</v>
      </c>
      <c r="B218" s="4" t="str">
        <f t="shared" si="86"/>
        <v>UPS Reserves of Biomass - Forest residues - Reserve - Supply curve step 1</v>
      </c>
      <c r="C218" s="4" t="str">
        <f t="shared" si="86"/>
        <v>RSVBIOWOO</v>
      </c>
      <c r="D218" s="4" t="str">
        <f t="shared" si="86"/>
        <v>ACT_COST</v>
      </c>
      <c r="E218" s="4"/>
      <c r="F218" s="4">
        <v>2040</v>
      </c>
      <c r="G218" s="456">
        <f>'Key input_Biomass_MAgPIE'!E209</f>
        <v>9.5000000000000001E-2</v>
      </c>
      <c r="H218" s="456">
        <f>'Key input_Biomass_MAgPIE'!F209</f>
        <v>9.5000000000000001E-2</v>
      </c>
      <c r="I218" s="456">
        <f>'Key input_Biomass_MAgPIE'!G209</f>
        <v>9.5000000000000001E-2</v>
      </c>
      <c r="J218" s="456">
        <f>'Key input_Biomass_MAgPIE'!H209</f>
        <v>9.5000000000000001E-2</v>
      </c>
      <c r="K218" s="456">
        <f>'Key input_Biomass_MAgPIE'!I209</f>
        <v>9.5000000000000001E-2</v>
      </c>
      <c r="L218" s="456">
        <f>'Key input_Biomass_MAgPIE'!J209</f>
        <v>9.5000000000000001E-2</v>
      </c>
      <c r="M218" s="456">
        <f>'Key input_Biomass_MAgPIE'!K209</f>
        <v>9.5000000000000001E-2</v>
      </c>
      <c r="N218" s="456">
        <f>'Key input_Biomass_MAgPIE'!L209</f>
        <v>9.5000000000000001E-2</v>
      </c>
      <c r="O218" s="456">
        <f>'Key input_Biomass_MAgPIE'!M209</f>
        <v>9.5000000000000001E-2</v>
      </c>
      <c r="P218" s="456">
        <f>'Key input_Biomass_MAgPIE'!N209</f>
        <v>9.5000000000000001E-2</v>
      </c>
      <c r="Q218" s="456">
        <f>'Key input_Biomass_MAgPIE'!O209</f>
        <v>9.5000000000000001E-2</v>
      </c>
      <c r="R218" s="456">
        <f>'Key input_Biomass_MAgPIE'!P209</f>
        <v>9.5000000000000001E-2</v>
      </c>
      <c r="S218" s="456">
        <f>'Key input_Biomass_MAgPIE'!Q209</f>
        <v>9.5000000000000001E-2</v>
      </c>
      <c r="T218" s="456">
        <f>'Key input_Biomass_MAgPIE'!R209</f>
        <v>9.5000000000000001E-2</v>
      </c>
      <c r="U218" s="456">
        <f>'Key input_Biomass_MAgPIE'!S209</f>
        <v>9.5000000000000001E-2</v>
      </c>
      <c r="V218" s="456">
        <f>'Key input_Biomass_MAgPIE'!T209</f>
        <v>9.5000000000000001E-2</v>
      </c>
      <c r="W218" s="456">
        <f>'Key input_Biomass_MAgPIE'!U209</f>
        <v>9.5000000000000001E-2</v>
      </c>
      <c r="X218" s="456">
        <f>'Key input_Biomass_MAgPIE'!V209</f>
        <v>9.5000000000000001E-2</v>
      </c>
      <c r="Y218" s="456">
        <f>'Key input_Biomass_MAgPIE'!W209</f>
        <v>9.5000000000000001E-2</v>
      </c>
      <c r="Z218" s="456">
        <f>'Key input_Biomass_MAgPIE'!X209</f>
        <v>9.5000000000000001E-2</v>
      </c>
      <c r="AA218" s="456">
        <f>'Key input_Biomass_MAgPIE'!Y209</f>
        <v>9.5000000000000001E-2</v>
      </c>
      <c r="AB218" s="456">
        <f>'Key input_Biomass_MAgPIE'!Z209</f>
        <v>9.5000000000000001E-2</v>
      </c>
      <c r="AC218" s="456">
        <f>'Key input_Biomass_MAgPIE'!AA209</f>
        <v>9.5000000000000001E-2</v>
      </c>
      <c r="AD218" s="456">
        <f>'Key input_Biomass_MAgPIE'!AB209</f>
        <v>9.5000000000000001E-2</v>
      </c>
      <c r="AE218" s="456">
        <f>'Key input_Biomass_MAgPIE'!AC209</f>
        <v>9.5000000000000001E-2</v>
      </c>
      <c r="AF218" s="456">
        <f>'Key input_Biomass_MAgPIE'!AD209</f>
        <v>9.5000000000000001E-2</v>
      </c>
      <c r="AG218" s="456">
        <f>'Key input_Biomass_MAgPIE'!AE209</f>
        <v>9.5000000000000001E-2</v>
      </c>
      <c r="AH218" s="456">
        <f>'Key input_Biomass_MAgPIE'!AF209</f>
        <v>9.5000000000000001E-2</v>
      </c>
    </row>
    <row r="219" spans="1:34">
      <c r="A219" s="4" t="str">
        <f t="shared" si="87"/>
        <v>MIN-RSVBIOWOO1</v>
      </c>
      <c r="B219" s="4" t="str">
        <f t="shared" si="86"/>
        <v>UPS Reserves of Biomass - Forest residues - Reserve - Supply curve step 1</v>
      </c>
      <c r="C219" s="4" t="str">
        <f t="shared" si="86"/>
        <v>RSVBIOWOO</v>
      </c>
      <c r="D219" s="4" t="str">
        <f t="shared" si="86"/>
        <v>ACT_COST</v>
      </c>
      <c r="E219" s="4"/>
      <c r="F219" s="4">
        <v>2045</v>
      </c>
      <c r="G219" s="456">
        <f>'Key input_Biomass_MAgPIE'!E210</f>
        <v>9.5000000000000001E-2</v>
      </c>
      <c r="H219" s="456">
        <f>'Key input_Biomass_MAgPIE'!F210</f>
        <v>9.5000000000000001E-2</v>
      </c>
      <c r="I219" s="456">
        <f>'Key input_Biomass_MAgPIE'!G210</f>
        <v>9.5000000000000001E-2</v>
      </c>
      <c r="J219" s="456">
        <f>'Key input_Biomass_MAgPIE'!H210</f>
        <v>9.5000000000000001E-2</v>
      </c>
      <c r="K219" s="456">
        <f>'Key input_Biomass_MAgPIE'!I210</f>
        <v>9.5000000000000001E-2</v>
      </c>
      <c r="L219" s="456">
        <f>'Key input_Biomass_MAgPIE'!J210</f>
        <v>9.5000000000000001E-2</v>
      </c>
      <c r="M219" s="456">
        <f>'Key input_Biomass_MAgPIE'!K210</f>
        <v>9.5000000000000001E-2</v>
      </c>
      <c r="N219" s="456">
        <f>'Key input_Biomass_MAgPIE'!L210</f>
        <v>9.5000000000000001E-2</v>
      </c>
      <c r="O219" s="456">
        <f>'Key input_Biomass_MAgPIE'!M210</f>
        <v>9.5000000000000001E-2</v>
      </c>
      <c r="P219" s="456">
        <f>'Key input_Biomass_MAgPIE'!N210</f>
        <v>9.5000000000000001E-2</v>
      </c>
      <c r="Q219" s="456">
        <f>'Key input_Biomass_MAgPIE'!O210</f>
        <v>9.5000000000000001E-2</v>
      </c>
      <c r="R219" s="456">
        <f>'Key input_Biomass_MAgPIE'!P210</f>
        <v>9.5000000000000001E-2</v>
      </c>
      <c r="S219" s="456">
        <f>'Key input_Biomass_MAgPIE'!Q210</f>
        <v>9.5000000000000001E-2</v>
      </c>
      <c r="T219" s="456">
        <f>'Key input_Biomass_MAgPIE'!R210</f>
        <v>9.5000000000000001E-2</v>
      </c>
      <c r="U219" s="456">
        <f>'Key input_Biomass_MAgPIE'!S210</f>
        <v>9.5000000000000001E-2</v>
      </c>
      <c r="V219" s="456">
        <f>'Key input_Biomass_MAgPIE'!T210</f>
        <v>9.5000000000000001E-2</v>
      </c>
      <c r="W219" s="456">
        <f>'Key input_Biomass_MAgPIE'!U210</f>
        <v>9.5000000000000001E-2</v>
      </c>
      <c r="X219" s="456">
        <f>'Key input_Biomass_MAgPIE'!V210</f>
        <v>9.5000000000000001E-2</v>
      </c>
      <c r="Y219" s="456">
        <f>'Key input_Biomass_MAgPIE'!W210</f>
        <v>9.5000000000000001E-2</v>
      </c>
      <c r="Z219" s="456">
        <f>'Key input_Biomass_MAgPIE'!X210</f>
        <v>9.5000000000000001E-2</v>
      </c>
      <c r="AA219" s="456">
        <f>'Key input_Biomass_MAgPIE'!Y210</f>
        <v>9.5000000000000001E-2</v>
      </c>
      <c r="AB219" s="456">
        <f>'Key input_Biomass_MAgPIE'!Z210</f>
        <v>9.5000000000000001E-2</v>
      </c>
      <c r="AC219" s="456">
        <f>'Key input_Biomass_MAgPIE'!AA210</f>
        <v>9.5000000000000001E-2</v>
      </c>
      <c r="AD219" s="456">
        <f>'Key input_Biomass_MAgPIE'!AB210</f>
        <v>9.5000000000000001E-2</v>
      </c>
      <c r="AE219" s="456">
        <f>'Key input_Biomass_MAgPIE'!AC210</f>
        <v>9.5000000000000001E-2</v>
      </c>
      <c r="AF219" s="456">
        <f>'Key input_Biomass_MAgPIE'!AD210</f>
        <v>9.5000000000000001E-2</v>
      </c>
      <c r="AG219" s="456">
        <f>'Key input_Biomass_MAgPIE'!AE210</f>
        <v>9.5000000000000001E-2</v>
      </c>
      <c r="AH219" s="456">
        <f>'Key input_Biomass_MAgPIE'!AF210</f>
        <v>9.5000000000000001E-2</v>
      </c>
    </row>
    <row r="220" spans="1:34">
      <c r="A220" s="4" t="str">
        <f t="shared" si="87"/>
        <v>MIN-RSVBIOWOO1</v>
      </c>
      <c r="B220" s="4" t="str">
        <f t="shared" si="86"/>
        <v>UPS Reserves of Biomass - Forest residues - Reserve - Supply curve step 1</v>
      </c>
      <c r="C220" s="4" t="str">
        <f t="shared" si="86"/>
        <v>RSVBIOWOO</v>
      </c>
      <c r="D220" s="4" t="str">
        <f t="shared" si="86"/>
        <v>ACT_COST</v>
      </c>
      <c r="E220" s="4"/>
      <c r="F220" s="4">
        <v>2050</v>
      </c>
      <c r="G220" s="456">
        <f>'Key input_Biomass_MAgPIE'!E211</f>
        <v>9.5000000000000001E-2</v>
      </c>
      <c r="H220" s="456">
        <f>'Key input_Biomass_MAgPIE'!F211</f>
        <v>9.5000000000000001E-2</v>
      </c>
      <c r="I220" s="456">
        <f>'Key input_Biomass_MAgPIE'!G211</f>
        <v>9.5000000000000001E-2</v>
      </c>
      <c r="J220" s="456">
        <f>'Key input_Biomass_MAgPIE'!H211</f>
        <v>9.5000000000000001E-2</v>
      </c>
      <c r="K220" s="456">
        <f>'Key input_Biomass_MAgPIE'!I211</f>
        <v>9.5000000000000001E-2</v>
      </c>
      <c r="L220" s="456">
        <f>'Key input_Biomass_MAgPIE'!J211</f>
        <v>9.5000000000000001E-2</v>
      </c>
      <c r="M220" s="456">
        <f>'Key input_Biomass_MAgPIE'!K211</f>
        <v>9.5000000000000001E-2</v>
      </c>
      <c r="N220" s="456">
        <f>'Key input_Biomass_MAgPIE'!L211</f>
        <v>9.5000000000000001E-2</v>
      </c>
      <c r="O220" s="456">
        <f>'Key input_Biomass_MAgPIE'!M211</f>
        <v>9.5000000000000001E-2</v>
      </c>
      <c r="P220" s="456">
        <f>'Key input_Biomass_MAgPIE'!N211</f>
        <v>9.5000000000000001E-2</v>
      </c>
      <c r="Q220" s="456">
        <f>'Key input_Biomass_MAgPIE'!O211</f>
        <v>9.5000000000000001E-2</v>
      </c>
      <c r="R220" s="456">
        <f>'Key input_Biomass_MAgPIE'!P211</f>
        <v>9.5000000000000001E-2</v>
      </c>
      <c r="S220" s="456">
        <f>'Key input_Biomass_MAgPIE'!Q211</f>
        <v>9.5000000000000001E-2</v>
      </c>
      <c r="T220" s="456">
        <f>'Key input_Biomass_MAgPIE'!R211</f>
        <v>9.5000000000000001E-2</v>
      </c>
      <c r="U220" s="456">
        <f>'Key input_Biomass_MAgPIE'!S211</f>
        <v>9.5000000000000001E-2</v>
      </c>
      <c r="V220" s="456">
        <f>'Key input_Biomass_MAgPIE'!T211</f>
        <v>9.5000000000000001E-2</v>
      </c>
      <c r="W220" s="456">
        <f>'Key input_Biomass_MAgPIE'!U211</f>
        <v>9.5000000000000001E-2</v>
      </c>
      <c r="X220" s="456">
        <f>'Key input_Biomass_MAgPIE'!V211</f>
        <v>9.5000000000000001E-2</v>
      </c>
      <c r="Y220" s="456">
        <f>'Key input_Biomass_MAgPIE'!W211</f>
        <v>9.5000000000000001E-2</v>
      </c>
      <c r="Z220" s="456">
        <f>'Key input_Biomass_MAgPIE'!X211</f>
        <v>9.5000000000000001E-2</v>
      </c>
      <c r="AA220" s="456">
        <f>'Key input_Biomass_MAgPIE'!Y211</f>
        <v>9.5000000000000001E-2</v>
      </c>
      <c r="AB220" s="456">
        <f>'Key input_Biomass_MAgPIE'!Z211</f>
        <v>9.5000000000000001E-2</v>
      </c>
      <c r="AC220" s="456">
        <f>'Key input_Biomass_MAgPIE'!AA211</f>
        <v>9.5000000000000001E-2</v>
      </c>
      <c r="AD220" s="456">
        <f>'Key input_Biomass_MAgPIE'!AB211</f>
        <v>9.5000000000000001E-2</v>
      </c>
      <c r="AE220" s="456">
        <f>'Key input_Biomass_MAgPIE'!AC211</f>
        <v>9.5000000000000001E-2</v>
      </c>
      <c r="AF220" s="456">
        <f>'Key input_Biomass_MAgPIE'!AD211</f>
        <v>9.5000000000000001E-2</v>
      </c>
      <c r="AG220" s="456">
        <f>'Key input_Biomass_MAgPIE'!AE211</f>
        <v>9.5000000000000001E-2</v>
      </c>
      <c r="AH220" s="456">
        <f>'Key input_Biomass_MAgPIE'!AF211</f>
        <v>9.5000000000000001E-2</v>
      </c>
    </row>
    <row r="221" spans="1:34">
      <c r="A221" s="4" t="str">
        <f t="shared" si="87"/>
        <v>MIN-RSVBIOWOO1</v>
      </c>
      <c r="B221" s="4" t="str">
        <f t="shared" si="86"/>
        <v>UPS Reserves of Biomass - Forest residues - Reserve - Supply curve step 1</v>
      </c>
      <c r="C221" s="4" t="str">
        <f t="shared" si="86"/>
        <v>RSVBIOWOO</v>
      </c>
      <c r="D221" s="4" t="str">
        <f t="shared" si="86"/>
        <v>ACT_COST</v>
      </c>
      <c r="E221" s="4"/>
      <c r="F221" s="4">
        <v>2060</v>
      </c>
      <c r="G221" s="456">
        <f>'Key input_Biomass_MAgPIE'!E212</f>
        <v>9.5000000000000001E-2</v>
      </c>
      <c r="H221" s="456">
        <f>'Key input_Biomass_MAgPIE'!F212</f>
        <v>9.5000000000000001E-2</v>
      </c>
      <c r="I221" s="456">
        <f>'Key input_Biomass_MAgPIE'!G212</f>
        <v>9.5000000000000001E-2</v>
      </c>
      <c r="J221" s="456">
        <f>'Key input_Biomass_MAgPIE'!H212</f>
        <v>9.5000000000000001E-2</v>
      </c>
      <c r="K221" s="456">
        <f>'Key input_Biomass_MAgPIE'!I212</f>
        <v>9.5000000000000001E-2</v>
      </c>
      <c r="L221" s="456">
        <f>'Key input_Biomass_MAgPIE'!J212</f>
        <v>9.5000000000000001E-2</v>
      </c>
      <c r="M221" s="456">
        <f>'Key input_Biomass_MAgPIE'!K212</f>
        <v>9.5000000000000001E-2</v>
      </c>
      <c r="N221" s="456">
        <f>'Key input_Biomass_MAgPIE'!L212</f>
        <v>9.5000000000000001E-2</v>
      </c>
      <c r="O221" s="456">
        <f>'Key input_Biomass_MAgPIE'!M212</f>
        <v>9.5000000000000001E-2</v>
      </c>
      <c r="P221" s="456">
        <f>'Key input_Biomass_MAgPIE'!N212</f>
        <v>9.5000000000000001E-2</v>
      </c>
      <c r="Q221" s="456">
        <f>'Key input_Biomass_MAgPIE'!O212</f>
        <v>9.5000000000000001E-2</v>
      </c>
      <c r="R221" s="456">
        <f>'Key input_Biomass_MAgPIE'!P212</f>
        <v>9.5000000000000001E-2</v>
      </c>
      <c r="S221" s="456">
        <f>'Key input_Biomass_MAgPIE'!Q212</f>
        <v>9.5000000000000001E-2</v>
      </c>
      <c r="T221" s="456">
        <f>'Key input_Biomass_MAgPIE'!R212</f>
        <v>9.5000000000000001E-2</v>
      </c>
      <c r="U221" s="456">
        <f>'Key input_Biomass_MAgPIE'!S212</f>
        <v>9.5000000000000001E-2</v>
      </c>
      <c r="V221" s="456">
        <f>'Key input_Biomass_MAgPIE'!T212</f>
        <v>9.5000000000000001E-2</v>
      </c>
      <c r="W221" s="456">
        <f>'Key input_Biomass_MAgPIE'!U212</f>
        <v>9.5000000000000001E-2</v>
      </c>
      <c r="X221" s="456">
        <f>'Key input_Biomass_MAgPIE'!V212</f>
        <v>9.5000000000000001E-2</v>
      </c>
      <c r="Y221" s="456">
        <f>'Key input_Biomass_MAgPIE'!W212</f>
        <v>9.5000000000000001E-2</v>
      </c>
      <c r="Z221" s="456">
        <f>'Key input_Biomass_MAgPIE'!X212</f>
        <v>9.5000000000000001E-2</v>
      </c>
      <c r="AA221" s="456">
        <f>'Key input_Biomass_MAgPIE'!Y212</f>
        <v>9.5000000000000001E-2</v>
      </c>
      <c r="AB221" s="456">
        <f>'Key input_Biomass_MAgPIE'!Z212</f>
        <v>9.5000000000000001E-2</v>
      </c>
      <c r="AC221" s="456">
        <f>'Key input_Biomass_MAgPIE'!AA212</f>
        <v>9.5000000000000001E-2</v>
      </c>
      <c r="AD221" s="456">
        <f>'Key input_Biomass_MAgPIE'!AB212</f>
        <v>9.5000000000000001E-2</v>
      </c>
      <c r="AE221" s="456">
        <f>'Key input_Biomass_MAgPIE'!AC212</f>
        <v>9.5000000000000001E-2</v>
      </c>
      <c r="AF221" s="456">
        <f>'Key input_Biomass_MAgPIE'!AD212</f>
        <v>9.5000000000000001E-2</v>
      </c>
      <c r="AG221" s="456">
        <f>'Key input_Biomass_MAgPIE'!AE212</f>
        <v>9.5000000000000001E-2</v>
      </c>
      <c r="AH221" s="456">
        <f>'Key input_Biomass_MAgPIE'!AF212</f>
        <v>9.5000000000000001E-2</v>
      </c>
    </row>
    <row r="222" spans="1:34">
      <c r="A222" s="4" t="str">
        <f t="shared" si="87"/>
        <v>MIN-RSVBIOWOO1</v>
      </c>
      <c r="B222" s="4" t="str">
        <f t="shared" si="86"/>
        <v>UPS Reserves of Biomass - Forest residues - Reserve - Supply curve step 1</v>
      </c>
      <c r="C222" s="4" t="str">
        <f t="shared" si="86"/>
        <v>RSVBIOWOO</v>
      </c>
      <c r="D222" s="4" t="str">
        <f t="shared" si="86"/>
        <v>ACT_COST</v>
      </c>
      <c r="E222" s="4"/>
      <c r="F222" s="4">
        <v>2070</v>
      </c>
      <c r="G222" s="456">
        <f>'Key input_Biomass_MAgPIE'!E213</f>
        <v>9.5000000000000001E-2</v>
      </c>
      <c r="H222" s="456">
        <f>'Key input_Biomass_MAgPIE'!F213</f>
        <v>9.5000000000000001E-2</v>
      </c>
      <c r="I222" s="456">
        <f>'Key input_Biomass_MAgPIE'!G213</f>
        <v>9.5000000000000001E-2</v>
      </c>
      <c r="J222" s="456">
        <f>'Key input_Biomass_MAgPIE'!H213</f>
        <v>9.5000000000000001E-2</v>
      </c>
      <c r="K222" s="456">
        <f>'Key input_Biomass_MAgPIE'!I213</f>
        <v>9.5000000000000001E-2</v>
      </c>
      <c r="L222" s="456">
        <f>'Key input_Biomass_MAgPIE'!J213</f>
        <v>9.5000000000000001E-2</v>
      </c>
      <c r="M222" s="456">
        <f>'Key input_Biomass_MAgPIE'!K213</f>
        <v>9.5000000000000001E-2</v>
      </c>
      <c r="N222" s="456">
        <f>'Key input_Biomass_MAgPIE'!L213</f>
        <v>9.5000000000000001E-2</v>
      </c>
      <c r="O222" s="456">
        <f>'Key input_Biomass_MAgPIE'!M213</f>
        <v>9.5000000000000001E-2</v>
      </c>
      <c r="P222" s="456">
        <f>'Key input_Biomass_MAgPIE'!N213</f>
        <v>9.5000000000000001E-2</v>
      </c>
      <c r="Q222" s="456">
        <f>'Key input_Biomass_MAgPIE'!O213</f>
        <v>9.5000000000000001E-2</v>
      </c>
      <c r="R222" s="456">
        <f>'Key input_Biomass_MAgPIE'!P213</f>
        <v>9.5000000000000001E-2</v>
      </c>
      <c r="S222" s="456">
        <f>'Key input_Biomass_MAgPIE'!Q213</f>
        <v>9.5000000000000001E-2</v>
      </c>
      <c r="T222" s="456">
        <f>'Key input_Biomass_MAgPIE'!R213</f>
        <v>9.5000000000000001E-2</v>
      </c>
      <c r="U222" s="456">
        <f>'Key input_Biomass_MAgPIE'!S213</f>
        <v>9.5000000000000001E-2</v>
      </c>
      <c r="V222" s="456">
        <f>'Key input_Biomass_MAgPIE'!T213</f>
        <v>9.5000000000000001E-2</v>
      </c>
      <c r="W222" s="456">
        <f>'Key input_Biomass_MAgPIE'!U213</f>
        <v>9.5000000000000001E-2</v>
      </c>
      <c r="X222" s="456">
        <f>'Key input_Biomass_MAgPIE'!V213</f>
        <v>9.5000000000000001E-2</v>
      </c>
      <c r="Y222" s="456">
        <f>'Key input_Biomass_MAgPIE'!W213</f>
        <v>9.5000000000000001E-2</v>
      </c>
      <c r="Z222" s="456">
        <f>'Key input_Biomass_MAgPIE'!X213</f>
        <v>9.5000000000000001E-2</v>
      </c>
      <c r="AA222" s="456">
        <f>'Key input_Biomass_MAgPIE'!Y213</f>
        <v>9.5000000000000001E-2</v>
      </c>
      <c r="AB222" s="456">
        <f>'Key input_Biomass_MAgPIE'!Z213</f>
        <v>9.5000000000000001E-2</v>
      </c>
      <c r="AC222" s="456">
        <f>'Key input_Biomass_MAgPIE'!AA213</f>
        <v>9.5000000000000001E-2</v>
      </c>
      <c r="AD222" s="456">
        <f>'Key input_Biomass_MAgPIE'!AB213</f>
        <v>9.5000000000000001E-2</v>
      </c>
      <c r="AE222" s="456">
        <f>'Key input_Biomass_MAgPIE'!AC213</f>
        <v>9.5000000000000001E-2</v>
      </c>
      <c r="AF222" s="456">
        <f>'Key input_Biomass_MAgPIE'!AD213</f>
        <v>9.5000000000000001E-2</v>
      </c>
      <c r="AG222" s="456">
        <f>'Key input_Biomass_MAgPIE'!AE213</f>
        <v>9.5000000000000001E-2</v>
      </c>
      <c r="AH222" s="456">
        <f>'Key input_Biomass_MAgPIE'!AF213</f>
        <v>9.5000000000000001E-2</v>
      </c>
    </row>
    <row r="223" spans="1:34">
      <c r="A223" s="4" t="str">
        <f t="shared" si="87"/>
        <v>MIN-RSVBIOWOO1</v>
      </c>
      <c r="B223" s="4" t="str">
        <f t="shared" si="86"/>
        <v>UPS Reserves of Biomass - Forest residues - Reserve - Supply curve step 1</v>
      </c>
      <c r="C223" s="4" t="str">
        <f t="shared" si="86"/>
        <v>RSVBIOWOO</v>
      </c>
      <c r="D223" s="4" t="str">
        <f t="shared" si="86"/>
        <v>ACT_COST</v>
      </c>
      <c r="E223" s="4"/>
      <c r="F223" s="4">
        <v>2080</v>
      </c>
      <c r="G223" s="456">
        <f>'Key input_Biomass_MAgPIE'!E214</f>
        <v>9.5000000000000001E-2</v>
      </c>
      <c r="H223" s="456">
        <f>'Key input_Biomass_MAgPIE'!F214</f>
        <v>9.5000000000000001E-2</v>
      </c>
      <c r="I223" s="456">
        <f>'Key input_Biomass_MAgPIE'!G214</f>
        <v>9.5000000000000001E-2</v>
      </c>
      <c r="J223" s="456">
        <f>'Key input_Biomass_MAgPIE'!H214</f>
        <v>9.5000000000000001E-2</v>
      </c>
      <c r="K223" s="456">
        <f>'Key input_Biomass_MAgPIE'!I214</f>
        <v>9.5000000000000001E-2</v>
      </c>
      <c r="L223" s="456">
        <f>'Key input_Biomass_MAgPIE'!J214</f>
        <v>9.5000000000000001E-2</v>
      </c>
      <c r="M223" s="456">
        <f>'Key input_Biomass_MAgPIE'!K214</f>
        <v>9.5000000000000001E-2</v>
      </c>
      <c r="N223" s="456">
        <f>'Key input_Biomass_MAgPIE'!L214</f>
        <v>9.5000000000000001E-2</v>
      </c>
      <c r="O223" s="456">
        <f>'Key input_Biomass_MAgPIE'!M214</f>
        <v>9.5000000000000001E-2</v>
      </c>
      <c r="P223" s="456">
        <f>'Key input_Biomass_MAgPIE'!N214</f>
        <v>9.5000000000000001E-2</v>
      </c>
      <c r="Q223" s="456">
        <f>'Key input_Biomass_MAgPIE'!O214</f>
        <v>9.5000000000000001E-2</v>
      </c>
      <c r="R223" s="456">
        <f>'Key input_Biomass_MAgPIE'!P214</f>
        <v>9.5000000000000001E-2</v>
      </c>
      <c r="S223" s="456">
        <f>'Key input_Biomass_MAgPIE'!Q214</f>
        <v>9.5000000000000001E-2</v>
      </c>
      <c r="T223" s="456">
        <f>'Key input_Biomass_MAgPIE'!R214</f>
        <v>9.5000000000000001E-2</v>
      </c>
      <c r="U223" s="456">
        <f>'Key input_Biomass_MAgPIE'!S214</f>
        <v>9.5000000000000001E-2</v>
      </c>
      <c r="V223" s="456">
        <f>'Key input_Biomass_MAgPIE'!T214</f>
        <v>9.5000000000000001E-2</v>
      </c>
      <c r="W223" s="456">
        <f>'Key input_Biomass_MAgPIE'!U214</f>
        <v>9.5000000000000001E-2</v>
      </c>
      <c r="X223" s="456">
        <f>'Key input_Biomass_MAgPIE'!V214</f>
        <v>9.5000000000000001E-2</v>
      </c>
      <c r="Y223" s="456">
        <f>'Key input_Biomass_MAgPIE'!W214</f>
        <v>9.5000000000000001E-2</v>
      </c>
      <c r="Z223" s="456">
        <f>'Key input_Biomass_MAgPIE'!X214</f>
        <v>9.5000000000000001E-2</v>
      </c>
      <c r="AA223" s="456">
        <f>'Key input_Biomass_MAgPIE'!Y214</f>
        <v>9.5000000000000001E-2</v>
      </c>
      <c r="AB223" s="456">
        <f>'Key input_Biomass_MAgPIE'!Z214</f>
        <v>9.5000000000000001E-2</v>
      </c>
      <c r="AC223" s="456">
        <f>'Key input_Biomass_MAgPIE'!AA214</f>
        <v>9.5000000000000001E-2</v>
      </c>
      <c r="AD223" s="456">
        <f>'Key input_Biomass_MAgPIE'!AB214</f>
        <v>9.5000000000000001E-2</v>
      </c>
      <c r="AE223" s="456">
        <f>'Key input_Biomass_MAgPIE'!AC214</f>
        <v>9.5000000000000001E-2</v>
      </c>
      <c r="AF223" s="456">
        <f>'Key input_Biomass_MAgPIE'!AD214</f>
        <v>9.5000000000000001E-2</v>
      </c>
      <c r="AG223" s="456">
        <f>'Key input_Biomass_MAgPIE'!AE214</f>
        <v>9.5000000000000001E-2</v>
      </c>
      <c r="AH223" s="456">
        <f>'Key input_Biomass_MAgPIE'!AF214</f>
        <v>9.5000000000000001E-2</v>
      </c>
    </row>
    <row r="224" spans="1:34">
      <c r="A224" s="4" t="str">
        <f t="shared" si="87"/>
        <v>MIN-RSVBIOWOO1</v>
      </c>
      <c r="B224" s="4" t="str">
        <f t="shared" si="86"/>
        <v>UPS Reserves of Biomass - Forest residues - Reserve - Supply curve step 1</v>
      </c>
      <c r="C224" s="4" t="str">
        <f t="shared" si="86"/>
        <v>RSVBIOWOO</v>
      </c>
      <c r="D224" s="4" t="str">
        <f t="shared" si="86"/>
        <v>ACT_COST</v>
      </c>
      <c r="E224" s="4"/>
      <c r="F224" s="4">
        <v>2090</v>
      </c>
      <c r="G224" s="456">
        <f>'Key input_Biomass_MAgPIE'!E215</f>
        <v>9.5000000000000001E-2</v>
      </c>
      <c r="H224" s="456">
        <f>'Key input_Biomass_MAgPIE'!F215</f>
        <v>9.5000000000000001E-2</v>
      </c>
      <c r="I224" s="456">
        <f>'Key input_Biomass_MAgPIE'!G215</f>
        <v>9.5000000000000001E-2</v>
      </c>
      <c r="J224" s="456">
        <f>'Key input_Biomass_MAgPIE'!H215</f>
        <v>9.5000000000000001E-2</v>
      </c>
      <c r="K224" s="456">
        <f>'Key input_Biomass_MAgPIE'!I215</f>
        <v>9.5000000000000001E-2</v>
      </c>
      <c r="L224" s="456">
        <f>'Key input_Biomass_MAgPIE'!J215</f>
        <v>9.5000000000000001E-2</v>
      </c>
      <c r="M224" s="456">
        <f>'Key input_Biomass_MAgPIE'!K215</f>
        <v>9.5000000000000001E-2</v>
      </c>
      <c r="N224" s="456">
        <f>'Key input_Biomass_MAgPIE'!L215</f>
        <v>9.5000000000000001E-2</v>
      </c>
      <c r="O224" s="456">
        <f>'Key input_Biomass_MAgPIE'!M215</f>
        <v>9.5000000000000001E-2</v>
      </c>
      <c r="P224" s="456">
        <f>'Key input_Biomass_MAgPIE'!N215</f>
        <v>9.5000000000000001E-2</v>
      </c>
      <c r="Q224" s="456">
        <f>'Key input_Biomass_MAgPIE'!O215</f>
        <v>9.5000000000000001E-2</v>
      </c>
      <c r="R224" s="456">
        <f>'Key input_Biomass_MAgPIE'!P215</f>
        <v>9.5000000000000001E-2</v>
      </c>
      <c r="S224" s="456">
        <f>'Key input_Biomass_MAgPIE'!Q215</f>
        <v>9.5000000000000001E-2</v>
      </c>
      <c r="T224" s="456">
        <f>'Key input_Biomass_MAgPIE'!R215</f>
        <v>9.5000000000000001E-2</v>
      </c>
      <c r="U224" s="456">
        <f>'Key input_Biomass_MAgPIE'!S215</f>
        <v>9.5000000000000001E-2</v>
      </c>
      <c r="V224" s="456">
        <f>'Key input_Biomass_MAgPIE'!T215</f>
        <v>9.5000000000000001E-2</v>
      </c>
      <c r="W224" s="456">
        <f>'Key input_Biomass_MAgPIE'!U215</f>
        <v>9.5000000000000001E-2</v>
      </c>
      <c r="X224" s="456">
        <f>'Key input_Biomass_MAgPIE'!V215</f>
        <v>9.5000000000000001E-2</v>
      </c>
      <c r="Y224" s="456">
        <f>'Key input_Biomass_MAgPIE'!W215</f>
        <v>9.5000000000000001E-2</v>
      </c>
      <c r="Z224" s="456">
        <f>'Key input_Biomass_MAgPIE'!X215</f>
        <v>9.5000000000000001E-2</v>
      </c>
      <c r="AA224" s="456">
        <f>'Key input_Biomass_MAgPIE'!Y215</f>
        <v>9.5000000000000001E-2</v>
      </c>
      <c r="AB224" s="456">
        <f>'Key input_Biomass_MAgPIE'!Z215</f>
        <v>9.5000000000000001E-2</v>
      </c>
      <c r="AC224" s="456">
        <f>'Key input_Biomass_MAgPIE'!AA215</f>
        <v>9.5000000000000001E-2</v>
      </c>
      <c r="AD224" s="456">
        <f>'Key input_Biomass_MAgPIE'!AB215</f>
        <v>9.5000000000000001E-2</v>
      </c>
      <c r="AE224" s="456">
        <f>'Key input_Biomass_MAgPIE'!AC215</f>
        <v>9.5000000000000001E-2</v>
      </c>
      <c r="AF224" s="456">
        <f>'Key input_Biomass_MAgPIE'!AD215</f>
        <v>9.5000000000000001E-2</v>
      </c>
      <c r="AG224" s="456">
        <f>'Key input_Biomass_MAgPIE'!AE215</f>
        <v>9.5000000000000001E-2</v>
      </c>
      <c r="AH224" s="456">
        <f>'Key input_Biomass_MAgPIE'!AF215</f>
        <v>9.5000000000000001E-2</v>
      </c>
    </row>
    <row r="225" spans="1:34">
      <c r="A225" s="259" t="str">
        <f t="shared" si="87"/>
        <v>MIN-RSVBIOWOO1</v>
      </c>
      <c r="B225" s="259" t="str">
        <f t="shared" si="86"/>
        <v>UPS Reserves of Biomass - Forest residues - Reserve - Supply curve step 1</v>
      </c>
      <c r="C225" s="259" t="str">
        <f t="shared" si="86"/>
        <v>RSVBIOWOO</v>
      </c>
      <c r="D225" s="259" t="str">
        <f t="shared" si="86"/>
        <v>ACT_COST</v>
      </c>
      <c r="E225" s="259"/>
      <c r="F225" s="259">
        <v>2100</v>
      </c>
      <c r="G225" s="435">
        <f>'Key input_Biomass_MAgPIE'!E216</f>
        <v>9.5000000000000001E-2</v>
      </c>
      <c r="H225" s="435">
        <f>'Key input_Biomass_MAgPIE'!F216</f>
        <v>9.5000000000000001E-2</v>
      </c>
      <c r="I225" s="435">
        <f>'Key input_Biomass_MAgPIE'!G216</f>
        <v>9.5000000000000001E-2</v>
      </c>
      <c r="J225" s="435">
        <f>'Key input_Biomass_MAgPIE'!H216</f>
        <v>9.5000000000000001E-2</v>
      </c>
      <c r="K225" s="435">
        <f>'Key input_Biomass_MAgPIE'!I216</f>
        <v>9.5000000000000001E-2</v>
      </c>
      <c r="L225" s="435">
        <f>'Key input_Biomass_MAgPIE'!J216</f>
        <v>9.5000000000000001E-2</v>
      </c>
      <c r="M225" s="435">
        <f>'Key input_Biomass_MAgPIE'!K216</f>
        <v>9.5000000000000001E-2</v>
      </c>
      <c r="N225" s="435">
        <f>'Key input_Biomass_MAgPIE'!L216</f>
        <v>9.5000000000000001E-2</v>
      </c>
      <c r="O225" s="435">
        <f>'Key input_Biomass_MAgPIE'!M216</f>
        <v>9.5000000000000001E-2</v>
      </c>
      <c r="P225" s="435">
        <f>'Key input_Biomass_MAgPIE'!N216</f>
        <v>9.5000000000000001E-2</v>
      </c>
      <c r="Q225" s="435">
        <f>'Key input_Biomass_MAgPIE'!O216</f>
        <v>9.5000000000000001E-2</v>
      </c>
      <c r="R225" s="435">
        <f>'Key input_Biomass_MAgPIE'!P216</f>
        <v>9.5000000000000001E-2</v>
      </c>
      <c r="S225" s="435">
        <f>'Key input_Biomass_MAgPIE'!Q216</f>
        <v>9.5000000000000001E-2</v>
      </c>
      <c r="T225" s="435">
        <f>'Key input_Biomass_MAgPIE'!R216</f>
        <v>9.5000000000000001E-2</v>
      </c>
      <c r="U225" s="435">
        <f>'Key input_Biomass_MAgPIE'!S216</f>
        <v>9.5000000000000001E-2</v>
      </c>
      <c r="V225" s="435">
        <f>'Key input_Biomass_MAgPIE'!T216</f>
        <v>9.5000000000000001E-2</v>
      </c>
      <c r="W225" s="435">
        <f>'Key input_Biomass_MAgPIE'!U216</f>
        <v>9.5000000000000001E-2</v>
      </c>
      <c r="X225" s="435">
        <f>'Key input_Biomass_MAgPIE'!V216</f>
        <v>9.5000000000000001E-2</v>
      </c>
      <c r="Y225" s="435">
        <f>'Key input_Biomass_MAgPIE'!W216</f>
        <v>9.5000000000000001E-2</v>
      </c>
      <c r="Z225" s="435">
        <f>'Key input_Biomass_MAgPIE'!X216</f>
        <v>9.5000000000000001E-2</v>
      </c>
      <c r="AA225" s="435">
        <f>'Key input_Biomass_MAgPIE'!Y216</f>
        <v>9.5000000000000001E-2</v>
      </c>
      <c r="AB225" s="435">
        <f>'Key input_Biomass_MAgPIE'!Z216</f>
        <v>9.5000000000000001E-2</v>
      </c>
      <c r="AC225" s="435">
        <f>'Key input_Biomass_MAgPIE'!AA216</f>
        <v>9.5000000000000001E-2</v>
      </c>
      <c r="AD225" s="435">
        <f>'Key input_Biomass_MAgPIE'!AB216</f>
        <v>9.5000000000000001E-2</v>
      </c>
      <c r="AE225" s="435">
        <f>'Key input_Biomass_MAgPIE'!AC216</f>
        <v>9.5000000000000001E-2</v>
      </c>
      <c r="AF225" s="435">
        <f>'Key input_Biomass_MAgPIE'!AD216</f>
        <v>9.5000000000000001E-2</v>
      </c>
      <c r="AG225" s="435">
        <f>'Key input_Biomass_MAgPIE'!AE216</f>
        <v>9.5000000000000001E-2</v>
      </c>
      <c r="AH225" s="435">
        <f>'Key input_Biomass_MAgPIE'!AF216</f>
        <v>9.5000000000000001E-2</v>
      </c>
    </row>
    <row r="226" spans="1:34">
      <c r="A226" s="4" t="str">
        <f t="shared" ref="A226:B226" si="88">AK12</f>
        <v>MIN-RSVBIOWOO2</v>
      </c>
      <c r="B226" s="4" t="str">
        <f t="shared" si="88"/>
        <v>UPS Reserves of Biomass - Forest residues - Reserve - Supply curve step 2</v>
      </c>
      <c r="C226" s="4" t="str">
        <f>Commodities!$C$15</f>
        <v>RSVBIOWOO</v>
      </c>
      <c r="D226" s="4" t="s">
        <v>675</v>
      </c>
      <c r="E226" s="4"/>
      <c r="F226" s="4">
        <v>2019</v>
      </c>
      <c r="G226" s="258">
        <f>'Key input_Biomass_MAgPIE'!E217</f>
        <v>0.19</v>
      </c>
      <c r="H226" s="258">
        <f>'Key input_Biomass_MAgPIE'!F217</f>
        <v>0.19</v>
      </c>
      <c r="I226" s="258">
        <f>'Key input_Biomass_MAgPIE'!G217</f>
        <v>0.19</v>
      </c>
      <c r="J226" s="258">
        <f>'Key input_Biomass_MAgPIE'!H217</f>
        <v>0.19</v>
      </c>
      <c r="K226" s="258">
        <f>'Key input_Biomass_MAgPIE'!I217</f>
        <v>0.19</v>
      </c>
      <c r="L226" s="258">
        <f>'Key input_Biomass_MAgPIE'!J217</f>
        <v>0.19</v>
      </c>
      <c r="M226" s="258">
        <f>'Key input_Biomass_MAgPIE'!K217</f>
        <v>0.19</v>
      </c>
      <c r="N226" s="258">
        <f>'Key input_Biomass_MAgPIE'!L217</f>
        <v>0.19</v>
      </c>
      <c r="O226" s="258">
        <f>'Key input_Biomass_MAgPIE'!M217</f>
        <v>0.19</v>
      </c>
      <c r="P226" s="258">
        <f>'Key input_Biomass_MAgPIE'!N217</f>
        <v>0.19</v>
      </c>
      <c r="Q226" s="258">
        <f>'Key input_Biomass_MAgPIE'!O217</f>
        <v>0.19</v>
      </c>
      <c r="R226" s="258">
        <f>'Key input_Biomass_MAgPIE'!P217</f>
        <v>0.19</v>
      </c>
      <c r="S226" s="258">
        <f>'Key input_Biomass_MAgPIE'!Q217</f>
        <v>0.19</v>
      </c>
      <c r="T226" s="258">
        <f>'Key input_Biomass_MAgPIE'!R217</f>
        <v>0.19</v>
      </c>
      <c r="U226" s="258">
        <f>'Key input_Biomass_MAgPIE'!S217</f>
        <v>0.19</v>
      </c>
      <c r="V226" s="258">
        <f>'Key input_Biomass_MAgPIE'!T217</f>
        <v>0.19</v>
      </c>
      <c r="W226" s="258">
        <f>'Key input_Biomass_MAgPIE'!U217</f>
        <v>0.19</v>
      </c>
      <c r="X226" s="258">
        <f>'Key input_Biomass_MAgPIE'!V217</f>
        <v>0.19</v>
      </c>
      <c r="Y226" s="258">
        <f>'Key input_Biomass_MAgPIE'!W217</f>
        <v>0.19</v>
      </c>
      <c r="Z226" s="258">
        <f>'Key input_Biomass_MAgPIE'!X217</f>
        <v>0.19</v>
      </c>
      <c r="AA226" s="258">
        <f>'Key input_Biomass_MAgPIE'!Y217</f>
        <v>0.19</v>
      </c>
      <c r="AB226" s="258">
        <f>'Key input_Biomass_MAgPIE'!Z217</f>
        <v>0.19</v>
      </c>
      <c r="AC226" s="258">
        <f>'Key input_Biomass_MAgPIE'!AA217</f>
        <v>0.19</v>
      </c>
      <c r="AD226" s="258">
        <f>'Key input_Biomass_MAgPIE'!AB217</f>
        <v>0.19</v>
      </c>
      <c r="AE226" s="258">
        <f>'Key input_Biomass_MAgPIE'!AC217</f>
        <v>0.19</v>
      </c>
      <c r="AF226" s="258">
        <f>'Key input_Biomass_MAgPIE'!AD217</f>
        <v>0.19</v>
      </c>
      <c r="AG226" s="258">
        <f>'Key input_Biomass_MAgPIE'!AE217</f>
        <v>0.19</v>
      </c>
      <c r="AH226" s="258">
        <f>'Key input_Biomass_MAgPIE'!AF217</f>
        <v>0.19</v>
      </c>
    </row>
    <row r="227" spans="1:34">
      <c r="A227" s="4" t="str">
        <f>A226</f>
        <v>MIN-RSVBIOWOO2</v>
      </c>
      <c r="B227" s="4" t="str">
        <f t="shared" ref="B227:B238" si="89">B226</f>
        <v>UPS Reserves of Biomass - Forest residues - Reserve - Supply curve step 2</v>
      </c>
      <c r="C227" s="4" t="str">
        <f t="shared" ref="C227:C238" si="90">C226</f>
        <v>RSVBIOWOO</v>
      </c>
      <c r="D227" s="4" t="str">
        <f t="shared" ref="D227:D238" si="91">D226</f>
        <v>ACT_COST</v>
      </c>
      <c r="E227" s="4"/>
      <c r="F227" s="4">
        <v>2020</v>
      </c>
      <c r="G227" s="456">
        <f>'Key input_Biomass_MAgPIE'!E218</f>
        <v>0.19</v>
      </c>
      <c r="H227" s="456">
        <f>'Key input_Biomass_MAgPIE'!F218</f>
        <v>0.19</v>
      </c>
      <c r="I227" s="456">
        <f>'Key input_Biomass_MAgPIE'!G218</f>
        <v>0.19</v>
      </c>
      <c r="J227" s="456">
        <f>'Key input_Biomass_MAgPIE'!H218</f>
        <v>0.19</v>
      </c>
      <c r="K227" s="456">
        <f>'Key input_Biomass_MAgPIE'!I218</f>
        <v>0.19</v>
      </c>
      <c r="L227" s="456">
        <f>'Key input_Biomass_MAgPIE'!J218</f>
        <v>0.19</v>
      </c>
      <c r="M227" s="456">
        <f>'Key input_Biomass_MAgPIE'!K218</f>
        <v>0.19</v>
      </c>
      <c r="N227" s="456">
        <f>'Key input_Biomass_MAgPIE'!L218</f>
        <v>0.19</v>
      </c>
      <c r="O227" s="456">
        <f>'Key input_Biomass_MAgPIE'!M218</f>
        <v>0.19</v>
      </c>
      <c r="P227" s="456">
        <f>'Key input_Biomass_MAgPIE'!N218</f>
        <v>0.19</v>
      </c>
      <c r="Q227" s="456">
        <f>'Key input_Biomass_MAgPIE'!O218</f>
        <v>0.19</v>
      </c>
      <c r="R227" s="456">
        <f>'Key input_Biomass_MAgPIE'!P218</f>
        <v>0.19</v>
      </c>
      <c r="S227" s="456">
        <f>'Key input_Biomass_MAgPIE'!Q218</f>
        <v>0.19</v>
      </c>
      <c r="T227" s="456">
        <f>'Key input_Biomass_MAgPIE'!R218</f>
        <v>0.19</v>
      </c>
      <c r="U227" s="456">
        <f>'Key input_Biomass_MAgPIE'!S218</f>
        <v>0.19</v>
      </c>
      <c r="V227" s="456">
        <f>'Key input_Biomass_MAgPIE'!T218</f>
        <v>0.19</v>
      </c>
      <c r="W227" s="456">
        <f>'Key input_Biomass_MAgPIE'!U218</f>
        <v>0.19</v>
      </c>
      <c r="X227" s="456">
        <f>'Key input_Biomass_MAgPIE'!V218</f>
        <v>0.19</v>
      </c>
      <c r="Y227" s="456">
        <f>'Key input_Biomass_MAgPIE'!W218</f>
        <v>0.19</v>
      </c>
      <c r="Z227" s="456">
        <f>'Key input_Biomass_MAgPIE'!X218</f>
        <v>0.19</v>
      </c>
      <c r="AA227" s="456">
        <f>'Key input_Biomass_MAgPIE'!Y218</f>
        <v>0.19</v>
      </c>
      <c r="AB227" s="456">
        <f>'Key input_Biomass_MAgPIE'!Z218</f>
        <v>0.19</v>
      </c>
      <c r="AC227" s="456">
        <f>'Key input_Biomass_MAgPIE'!AA218</f>
        <v>0.19</v>
      </c>
      <c r="AD227" s="456">
        <f>'Key input_Biomass_MAgPIE'!AB218</f>
        <v>0.19</v>
      </c>
      <c r="AE227" s="456">
        <f>'Key input_Biomass_MAgPIE'!AC218</f>
        <v>0.19</v>
      </c>
      <c r="AF227" s="456">
        <f>'Key input_Biomass_MAgPIE'!AD218</f>
        <v>0.19</v>
      </c>
      <c r="AG227" s="456">
        <f>'Key input_Biomass_MAgPIE'!AE218</f>
        <v>0.19</v>
      </c>
      <c r="AH227" s="456">
        <f>'Key input_Biomass_MAgPIE'!AF218</f>
        <v>0.19</v>
      </c>
    </row>
    <row r="228" spans="1:34">
      <c r="A228" s="4" t="str">
        <f t="shared" ref="A228:A238" si="92">A227</f>
        <v>MIN-RSVBIOWOO2</v>
      </c>
      <c r="B228" s="4" t="str">
        <f t="shared" si="89"/>
        <v>UPS Reserves of Biomass - Forest residues - Reserve - Supply curve step 2</v>
      </c>
      <c r="C228" s="4" t="str">
        <f t="shared" si="90"/>
        <v>RSVBIOWOO</v>
      </c>
      <c r="D228" s="4" t="str">
        <f t="shared" si="91"/>
        <v>ACT_COST</v>
      </c>
      <c r="E228" s="4"/>
      <c r="F228" s="4">
        <v>2025</v>
      </c>
      <c r="G228" s="456">
        <f>'Key input_Biomass_MAgPIE'!E219</f>
        <v>0.19</v>
      </c>
      <c r="H228" s="456">
        <f>'Key input_Biomass_MAgPIE'!F219</f>
        <v>0.19</v>
      </c>
      <c r="I228" s="456">
        <f>'Key input_Biomass_MAgPIE'!G219</f>
        <v>0.19</v>
      </c>
      <c r="J228" s="456">
        <f>'Key input_Biomass_MAgPIE'!H219</f>
        <v>0.19</v>
      </c>
      <c r="K228" s="456">
        <f>'Key input_Biomass_MAgPIE'!I219</f>
        <v>0.19</v>
      </c>
      <c r="L228" s="456">
        <f>'Key input_Biomass_MAgPIE'!J219</f>
        <v>0.19</v>
      </c>
      <c r="M228" s="456">
        <f>'Key input_Biomass_MAgPIE'!K219</f>
        <v>0.19</v>
      </c>
      <c r="N228" s="456">
        <f>'Key input_Biomass_MAgPIE'!L219</f>
        <v>0.19</v>
      </c>
      <c r="O228" s="456">
        <f>'Key input_Biomass_MAgPIE'!M219</f>
        <v>0.19</v>
      </c>
      <c r="P228" s="456">
        <f>'Key input_Biomass_MAgPIE'!N219</f>
        <v>0.19</v>
      </c>
      <c r="Q228" s="456">
        <f>'Key input_Biomass_MAgPIE'!O219</f>
        <v>0.19</v>
      </c>
      <c r="R228" s="456">
        <f>'Key input_Biomass_MAgPIE'!P219</f>
        <v>0.19</v>
      </c>
      <c r="S228" s="456">
        <f>'Key input_Biomass_MAgPIE'!Q219</f>
        <v>0.19</v>
      </c>
      <c r="T228" s="456">
        <f>'Key input_Biomass_MAgPIE'!R219</f>
        <v>0.19</v>
      </c>
      <c r="U228" s="456">
        <f>'Key input_Biomass_MAgPIE'!S219</f>
        <v>0.19</v>
      </c>
      <c r="V228" s="456">
        <f>'Key input_Biomass_MAgPIE'!T219</f>
        <v>0.19</v>
      </c>
      <c r="W228" s="456">
        <f>'Key input_Biomass_MAgPIE'!U219</f>
        <v>0.19</v>
      </c>
      <c r="X228" s="456">
        <f>'Key input_Biomass_MAgPIE'!V219</f>
        <v>0.19</v>
      </c>
      <c r="Y228" s="456">
        <f>'Key input_Biomass_MAgPIE'!W219</f>
        <v>0.19</v>
      </c>
      <c r="Z228" s="456">
        <f>'Key input_Biomass_MAgPIE'!X219</f>
        <v>0.19</v>
      </c>
      <c r="AA228" s="456">
        <f>'Key input_Biomass_MAgPIE'!Y219</f>
        <v>0.19</v>
      </c>
      <c r="AB228" s="456">
        <f>'Key input_Biomass_MAgPIE'!Z219</f>
        <v>0.19</v>
      </c>
      <c r="AC228" s="456">
        <f>'Key input_Biomass_MAgPIE'!AA219</f>
        <v>0.19</v>
      </c>
      <c r="AD228" s="456">
        <f>'Key input_Biomass_MAgPIE'!AB219</f>
        <v>0.19</v>
      </c>
      <c r="AE228" s="456">
        <f>'Key input_Biomass_MAgPIE'!AC219</f>
        <v>0.19</v>
      </c>
      <c r="AF228" s="456">
        <f>'Key input_Biomass_MAgPIE'!AD219</f>
        <v>0.19</v>
      </c>
      <c r="AG228" s="456">
        <f>'Key input_Biomass_MAgPIE'!AE219</f>
        <v>0.19</v>
      </c>
      <c r="AH228" s="456">
        <f>'Key input_Biomass_MAgPIE'!AF219</f>
        <v>0.19</v>
      </c>
    </row>
    <row r="229" spans="1:34">
      <c r="A229" s="4" t="str">
        <f t="shared" si="92"/>
        <v>MIN-RSVBIOWOO2</v>
      </c>
      <c r="B229" s="4" t="str">
        <f t="shared" si="89"/>
        <v>UPS Reserves of Biomass - Forest residues - Reserve - Supply curve step 2</v>
      </c>
      <c r="C229" s="4" t="str">
        <f t="shared" si="90"/>
        <v>RSVBIOWOO</v>
      </c>
      <c r="D229" s="4" t="str">
        <f t="shared" si="91"/>
        <v>ACT_COST</v>
      </c>
      <c r="E229" s="4"/>
      <c r="F229" s="4">
        <v>2030</v>
      </c>
      <c r="G229" s="456">
        <f>'Key input_Biomass_MAgPIE'!E220</f>
        <v>0.19</v>
      </c>
      <c r="H229" s="456">
        <f>'Key input_Biomass_MAgPIE'!F220</f>
        <v>0.19</v>
      </c>
      <c r="I229" s="456">
        <f>'Key input_Biomass_MAgPIE'!G220</f>
        <v>0.19</v>
      </c>
      <c r="J229" s="456">
        <f>'Key input_Biomass_MAgPIE'!H220</f>
        <v>0.19</v>
      </c>
      <c r="K229" s="456">
        <f>'Key input_Biomass_MAgPIE'!I220</f>
        <v>0.19</v>
      </c>
      <c r="L229" s="456">
        <f>'Key input_Biomass_MAgPIE'!J220</f>
        <v>0.19</v>
      </c>
      <c r="M229" s="456">
        <f>'Key input_Biomass_MAgPIE'!K220</f>
        <v>0.19</v>
      </c>
      <c r="N229" s="456">
        <f>'Key input_Biomass_MAgPIE'!L220</f>
        <v>0.19</v>
      </c>
      <c r="O229" s="456">
        <f>'Key input_Biomass_MAgPIE'!M220</f>
        <v>0.19</v>
      </c>
      <c r="P229" s="456">
        <f>'Key input_Biomass_MAgPIE'!N220</f>
        <v>0.19</v>
      </c>
      <c r="Q229" s="456">
        <f>'Key input_Biomass_MAgPIE'!O220</f>
        <v>0.19</v>
      </c>
      <c r="R229" s="456">
        <f>'Key input_Biomass_MAgPIE'!P220</f>
        <v>0.19</v>
      </c>
      <c r="S229" s="456">
        <f>'Key input_Biomass_MAgPIE'!Q220</f>
        <v>0.19</v>
      </c>
      <c r="T229" s="456">
        <f>'Key input_Biomass_MAgPIE'!R220</f>
        <v>0.19</v>
      </c>
      <c r="U229" s="456">
        <f>'Key input_Biomass_MAgPIE'!S220</f>
        <v>0.19</v>
      </c>
      <c r="V229" s="456">
        <f>'Key input_Biomass_MAgPIE'!T220</f>
        <v>0.19</v>
      </c>
      <c r="W229" s="456">
        <f>'Key input_Biomass_MAgPIE'!U220</f>
        <v>0.19</v>
      </c>
      <c r="X229" s="456">
        <f>'Key input_Biomass_MAgPIE'!V220</f>
        <v>0.19</v>
      </c>
      <c r="Y229" s="456">
        <f>'Key input_Biomass_MAgPIE'!W220</f>
        <v>0.19</v>
      </c>
      <c r="Z229" s="456">
        <f>'Key input_Biomass_MAgPIE'!X220</f>
        <v>0.19</v>
      </c>
      <c r="AA229" s="456">
        <f>'Key input_Biomass_MAgPIE'!Y220</f>
        <v>0.19</v>
      </c>
      <c r="AB229" s="456">
        <f>'Key input_Biomass_MAgPIE'!Z220</f>
        <v>0.19</v>
      </c>
      <c r="AC229" s="456">
        <f>'Key input_Biomass_MAgPIE'!AA220</f>
        <v>0.19</v>
      </c>
      <c r="AD229" s="456">
        <f>'Key input_Biomass_MAgPIE'!AB220</f>
        <v>0.19</v>
      </c>
      <c r="AE229" s="456">
        <f>'Key input_Biomass_MAgPIE'!AC220</f>
        <v>0.19</v>
      </c>
      <c r="AF229" s="456">
        <f>'Key input_Biomass_MAgPIE'!AD220</f>
        <v>0.19</v>
      </c>
      <c r="AG229" s="456">
        <f>'Key input_Biomass_MAgPIE'!AE220</f>
        <v>0.19</v>
      </c>
      <c r="AH229" s="456">
        <f>'Key input_Biomass_MAgPIE'!AF220</f>
        <v>0.19</v>
      </c>
    </row>
    <row r="230" spans="1:34">
      <c r="A230" s="4" t="str">
        <f t="shared" si="92"/>
        <v>MIN-RSVBIOWOO2</v>
      </c>
      <c r="B230" s="4" t="str">
        <f t="shared" si="89"/>
        <v>UPS Reserves of Biomass - Forest residues - Reserve - Supply curve step 2</v>
      </c>
      <c r="C230" s="4" t="str">
        <f t="shared" si="90"/>
        <v>RSVBIOWOO</v>
      </c>
      <c r="D230" s="4" t="str">
        <f t="shared" si="91"/>
        <v>ACT_COST</v>
      </c>
      <c r="E230" s="4"/>
      <c r="F230" s="4">
        <v>2035</v>
      </c>
      <c r="G230" s="456">
        <f>'Key input_Biomass_MAgPIE'!E221</f>
        <v>0.19</v>
      </c>
      <c r="H230" s="456">
        <f>'Key input_Biomass_MAgPIE'!F221</f>
        <v>0.19</v>
      </c>
      <c r="I230" s="456">
        <f>'Key input_Biomass_MAgPIE'!G221</f>
        <v>0.19</v>
      </c>
      <c r="J230" s="456">
        <f>'Key input_Biomass_MAgPIE'!H221</f>
        <v>0.19</v>
      </c>
      <c r="K230" s="456">
        <f>'Key input_Biomass_MAgPIE'!I221</f>
        <v>0.19</v>
      </c>
      <c r="L230" s="456">
        <f>'Key input_Biomass_MAgPIE'!J221</f>
        <v>0.19</v>
      </c>
      <c r="M230" s="456">
        <f>'Key input_Biomass_MAgPIE'!K221</f>
        <v>0.19</v>
      </c>
      <c r="N230" s="456">
        <f>'Key input_Biomass_MAgPIE'!L221</f>
        <v>0.19</v>
      </c>
      <c r="O230" s="456">
        <f>'Key input_Biomass_MAgPIE'!M221</f>
        <v>0.19</v>
      </c>
      <c r="P230" s="456">
        <f>'Key input_Biomass_MAgPIE'!N221</f>
        <v>0.19</v>
      </c>
      <c r="Q230" s="456">
        <f>'Key input_Biomass_MAgPIE'!O221</f>
        <v>0.19</v>
      </c>
      <c r="R230" s="456">
        <f>'Key input_Biomass_MAgPIE'!P221</f>
        <v>0.19</v>
      </c>
      <c r="S230" s="456">
        <f>'Key input_Biomass_MAgPIE'!Q221</f>
        <v>0.19</v>
      </c>
      <c r="T230" s="456">
        <f>'Key input_Biomass_MAgPIE'!R221</f>
        <v>0.19</v>
      </c>
      <c r="U230" s="456">
        <f>'Key input_Biomass_MAgPIE'!S221</f>
        <v>0.19</v>
      </c>
      <c r="V230" s="456">
        <f>'Key input_Biomass_MAgPIE'!T221</f>
        <v>0.19</v>
      </c>
      <c r="W230" s="456">
        <f>'Key input_Biomass_MAgPIE'!U221</f>
        <v>0.19</v>
      </c>
      <c r="X230" s="456">
        <f>'Key input_Biomass_MAgPIE'!V221</f>
        <v>0.19</v>
      </c>
      <c r="Y230" s="456">
        <f>'Key input_Biomass_MAgPIE'!W221</f>
        <v>0.19</v>
      </c>
      <c r="Z230" s="456">
        <f>'Key input_Biomass_MAgPIE'!X221</f>
        <v>0.19</v>
      </c>
      <c r="AA230" s="456">
        <f>'Key input_Biomass_MAgPIE'!Y221</f>
        <v>0.19</v>
      </c>
      <c r="AB230" s="456">
        <f>'Key input_Biomass_MAgPIE'!Z221</f>
        <v>0.19</v>
      </c>
      <c r="AC230" s="456">
        <f>'Key input_Biomass_MAgPIE'!AA221</f>
        <v>0.19</v>
      </c>
      <c r="AD230" s="456">
        <f>'Key input_Biomass_MAgPIE'!AB221</f>
        <v>0.19</v>
      </c>
      <c r="AE230" s="456">
        <f>'Key input_Biomass_MAgPIE'!AC221</f>
        <v>0.19</v>
      </c>
      <c r="AF230" s="456">
        <f>'Key input_Biomass_MAgPIE'!AD221</f>
        <v>0.19</v>
      </c>
      <c r="AG230" s="456">
        <f>'Key input_Biomass_MAgPIE'!AE221</f>
        <v>0.19</v>
      </c>
      <c r="AH230" s="456">
        <f>'Key input_Biomass_MAgPIE'!AF221</f>
        <v>0.19</v>
      </c>
    </row>
    <row r="231" spans="1:34">
      <c r="A231" s="4" t="str">
        <f t="shared" si="92"/>
        <v>MIN-RSVBIOWOO2</v>
      </c>
      <c r="B231" s="4" t="str">
        <f t="shared" si="89"/>
        <v>UPS Reserves of Biomass - Forest residues - Reserve - Supply curve step 2</v>
      </c>
      <c r="C231" s="4" t="str">
        <f t="shared" si="90"/>
        <v>RSVBIOWOO</v>
      </c>
      <c r="D231" s="4" t="str">
        <f t="shared" si="91"/>
        <v>ACT_COST</v>
      </c>
      <c r="E231" s="4"/>
      <c r="F231" s="4">
        <v>2040</v>
      </c>
      <c r="G231" s="456">
        <f>'Key input_Biomass_MAgPIE'!E222</f>
        <v>0.19</v>
      </c>
      <c r="H231" s="456">
        <f>'Key input_Biomass_MAgPIE'!F222</f>
        <v>0.19</v>
      </c>
      <c r="I231" s="456">
        <f>'Key input_Biomass_MAgPIE'!G222</f>
        <v>0.19</v>
      </c>
      <c r="J231" s="456">
        <f>'Key input_Biomass_MAgPIE'!H222</f>
        <v>0.19</v>
      </c>
      <c r="K231" s="456">
        <f>'Key input_Biomass_MAgPIE'!I222</f>
        <v>0.19</v>
      </c>
      <c r="L231" s="456">
        <f>'Key input_Biomass_MAgPIE'!J222</f>
        <v>0.19</v>
      </c>
      <c r="M231" s="456">
        <f>'Key input_Biomass_MAgPIE'!K222</f>
        <v>0.19</v>
      </c>
      <c r="N231" s="456">
        <f>'Key input_Biomass_MAgPIE'!L222</f>
        <v>0.19</v>
      </c>
      <c r="O231" s="456">
        <f>'Key input_Biomass_MAgPIE'!M222</f>
        <v>0.19</v>
      </c>
      <c r="P231" s="456">
        <f>'Key input_Biomass_MAgPIE'!N222</f>
        <v>0.19</v>
      </c>
      <c r="Q231" s="456">
        <f>'Key input_Biomass_MAgPIE'!O222</f>
        <v>0.19</v>
      </c>
      <c r="R231" s="456">
        <f>'Key input_Biomass_MAgPIE'!P222</f>
        <v>0.19</v>
      </c>
      <c r="S231" s="456">
        <f>'Key input_Biomass_MAgPIE'!Q222</f>
        <v>0.19</v>
      </c>
      <c r="T231" s="456">
        <f>'Key input_Biomass_MAgPIE'!R222</f>
        <v>0.19</v>
      </c>
      <c r="U231" s="456">
        <f>'Key input_Biomass_MAgPIE'!S222</f>
        <v>0.19</v>
      </c>
      <c r="V231" s="456">
        <f>'Key input_Biomass_MAgPIE'!T222</f>
        <v>0.19</v>
      </c>
      <c r="W231" s="456">
        <f>'Key input_Biomass_MAgPIE'!U222</f>
        <v>0.19</v>
      </c>
      <c r="X231" s="456">
        <f>'Key input_Biomass_MAgPIE'!V222</f>
        <v>0.19</v>
      </c>
      <c r="Y231" s="456">
        <f>'Key input_Biomass_MAgPIE'!W222</f>
        <v>0.19</v>
      </c>
      <c r="Z231" s="456">
        <f>'Key input_Biomass_MAgPIE'!X222</f>
        <v>0.19</v>
      </c>
      <c r="AA231" s="456">
        <f>'Key input_Biomass_MAgPIE'!Y222</f>
        <v>0.19</v>
      </c>
      <c r="AB231" s="456">
        <f>'Key input_Biomass_MAgPIE'!Z222</f>
        <v>0.19</v>
      </c>
      <c r="AC231" s="456">
        <f>'Key input_Biomass_MAgPIE'!AA222</f>
        <v>0.19</v>
      </c>
      <c r="AD231" s="456">
        <f>'Key input_Biomass_MAgPIE'!AB222</f>
        <v>0.19</v>
      </c>
      <c r="AE231" s="456">
        <f>'Key input_Biomass_MAgPIE'!AC222</f>
        <v>0.19</v>
      </c>
      <c r="AF231" s="456">
        <f>'Key input_Biomass_MAgPIE'!AD222</f>
        <v>0.19</v>
      </c>
      <c r="AG231" s="456">
        <f>'Key input_Biomass_MAgPIE'!AE222</f>
        <v>0.19</v>
      </c>
      <c r="AH231" s="456">
        <f>'Key input_Biomass_MAgPIE'!AF222</f>
        <v>0.19</v>
      </c>
    </row>
    <row r="232" spans="1:34">
      <c r="A232" s="4" t="str">
        <f t="shared" si="92"/>
        <v>MIN-RSVBIOWOO2</v>
      </c>
      <c r="B232" s="4" t="str">
        <f t="shared" si="89"/>
        <v>UPS Reserves of Biomass - Forest residues - Reserve - Supply curve step 2</v>
      </c>
      <c r="C232" s="4" t="str">
        <f t="shared" si="90"/>
        <v>RSVBIOWOO</v>
      </c>
      <c r="D232" s="4" t="str">
        <f t="shared" si="91"/>
        <v>ACT_COST</v>
      </c>
      <c r="E232" s="4"/>
      <c r="F232" s="4">
        <v>2045</v>
      </c>
      <c r="G232" s="456">
        <f>'Key input_Biomass_MAgPIE'!E223</f>
        <v>0.19</v>
      </c>
      <c r="H232" s="456">
        <f>'Key input_Biomass_MAgPIE'!F223</f>
        <v>0.19</v>
      </c>
      <c r="I232" s="456">
        <f>'Key input_Biomass_MAgPIE'!G223</f>
        <v>0.19</v>
      </c>
      <c r="J232" s="456">
        <f>'Key input_Biomass_MAgPIE'!H223</f>
        <v>0.19</v>
      </c>
      <c r="K232" s="456">
        <f>'Key input_Biomass_MAgPIE'!I223</f>
        <v>0.19</v>
      </c>
      <c r="L232" s="456">
        <f>'Key input_Biomass_MAgPIE'!J223</f>
        <v>0.19</v>
      </c>
      <c r="M232" s="456">
        <f>'Key input_Biomass_MAgPIE'!K223</f>
        <v>0.19</v>
      </c>
      <c r="N232" s="456">
        <f>'Key input_Biomass_MAgPIE'!L223</f>
        <v>0.19</v>
      </c>
      <c r="O232" s="456">
        <f>'Key input_Biomass_MAgPIE'!M223</f>
        <v>0.19</v>
      </c>
      <c r="P232" s="456">
        <f>'Key input_Biomass_MAgPIE'!N223</f>
        <v>0.19</v>
      </c>
      <c r="Q232" s="456">
        <f>'Key input_Biomass_MAgPIE'!O223</f>
        <v>0.19</v>
      </c>
      <c r="R232" s="456">
        <f>'Key input_Biomass_MAgPIE'!P223</f>
        <v>0.19</v>
      </c>
      <c r="S232" s="456">
        <f>'Key input_Biomass_MAgPIE'!Q223</f>
        <v>0.19</v>
      </c>
      <c r="T232" s="456">
        <f>'Key input_Biomass_MAgPIE'!R223</f>
        <v>0.19</v>
      </c>
      <c r="U232" s="456">
        <f>'Key input_Biomass_MAgPIE'!S223</f>
        <v>0.19</v>
      </c>
      <c r="V232" s="456">
        <f>'Key input_Biomass_MAgPIE'!T223</f>
        <v>0.19</v>
      </c>
      <c r="W232" s="456">
        <f>'Key input_Biomass_MAgPIE'!U223</f>
        <v>0.19</v>
      </c>
      <c r="X232" s="456">
        <f>'Key input_Biomass_MAgPIE'!V223</f>
        <v>0.19</v>
      </c>
      <c r="Y232" s="456">
        <f>'Key input_Biomass_MAgPIE'!W223</f>
        <v>0.19</v>
      </c>
      <c r="Z232" s="456">
        <f>'Key input_Biomass_MAgPIE'!X223</f>
        <v>0.19</v>
      </c>
      <c r="AA232" s="456">
        <f>'Key input_Biomass_MAgPIE'!Y223</f>
        <v>0.19</v>
      </c>
      <c r="AB232" s="456">
        <f>'Key input_Biomass_MAgPIE'!Z223</f>
        <v>0.19</v>
      </c>
      <c r="AC232" s="456">
        <f>'Key input_Biomass_MAgPIE'!AA223</f>
        <v>0.19</v>
      </c>
      <c r="AD232" s="456">
        <f>'Key input_Biomass_MAgPIE'!AB223</f>
        <v>0.19</v>
      </c>
      <c r="AE232" s="456">
        <f>'Key input_Biomass_MAgPIE'!AC223</f>
        <v>0.19</v>
      </c>
      <c r="AF232" s="456">
        <f>'Key input_Biomass_MAgPIE'!AD223</f>
        <v>0.19</v>
      </c>
      <c r="AG232" s="456">
        <f>'Key input_Biomass_MAgPIE'!AE223</f>
        <v>0.19</v>
      </c>
      <c r="AH232" s="456">
        <f>'Key input_Biomass_MAgPIE'!AF223</f>
        <v>0.19</v>
      </c>
    </row>
    <row r="233" spans="1:34">
      <c r="A233" s="4" t="str">
        <f t="shared" si="92"/>
        <v>MIN-RSVBIOWOO2</v>
      </c>
      <c r="B233" s="4" t="str">
        <f t="shared" si="89"/>
        <v>UPS Reserves of Biomass - Forest residues - Reserve - Supply curve step 2</v>
      </c>
      <c r="C233" s="4" t="str">
        <f t="shared" si="90"/>
        <v>RSVBIOWOO</v>
      </c>
      <c r="D233" s="4" t="str">
        <f t="shared" si="91"/>
        <v>ACT_COST</v>
      </c>
      <c r="E233" s="4"/>
      <c r="F233" s="4">
        <v>2050</v>
      </c>
      <c r="G233" s="456">
        <f>'Key input_Biomass_MAgPIE'!E224</f>
        <v>0.19</v>
      </c>
      <c r="H233" s="456">
        <f>'Key input_Biomass_MAgPIE'!F224</f>
        <v>0.19</v>
      </c>
      <c r="I233" s="456">
        <f>'Key input_Biomass_MAgPIE'!G224</f>
        <v>0.19</v>
      </c>
      <c r="J233" s="456">
        <f>'Key input_Biomass_MAgPIE'!H224</f>
        <v>0.19</v>
      </c>
      <c r="K233" s="456">
        <f>'Key input_Biomass_MAgPIE'!I224</f>
        <v>0.19</v>
      </c>
      <c r="L233" s="456">
        <f>'Key input_Biomass_MAgPIE'!J224</f>
        <v>0.19</v>
      </c>
      <c r="M233" s="456">
        <f>'Key input_Biomass_MAgPIE'!K224</f>
        <v>0.19</v>
      </c>
      <c r="N233" s="456">
        <f>'Key input_Biomass_MAgPIE'!L224</f>
        <v>0.19</v>
      </c>
      <c r="O233" s="456">
        <f>'Key input_Biomass_MAgPIE'!M224</f>
        <v>0.19</v>
      </c>
      <c r="P233" s="456">
        <f>'Key input_Biomass_MAgPIE'!N224</f>
        <v>0.19</v>
      </c>
      <c r="Q233" s="456">
        <f>'Key input_Biomass_MAgPIE'!O224</f>
        <v>0.19</v>
      </c>
      <c r="R233" s="456">
        <f>'Key input_Biomass_MAgPIE'!P224</f>
        <v>0.19</v>
      </c>
      <c r="S233" s="456">
        <f>'Key input_Biomass_MAgPIE'!Q224</f>
        <v>0.19</v>
      </c>
      <c r="T233" s="456">
        <f>'Key input_Biomass_MAgPIE'!R224</f>
        <v>0.19</v>
      </c>
      <c r="U233" s="456">
        <f>'Key input_Biomass_MAgPIE'!S224</f>
        <v>0.19</v>
      </c>
      <c r="V233" s="456">
        <f>'Key input_Biomass_MAgPIE'!T224</f>
        <v>0.19</v>
      </c>
      <c r="W233" s="456">
        <f>'Key input_Biomass_MAgPIE'!U224</f>
        <v>0.19</v>
      </c>
      <c r="X233" s="456">
        <f>'Key input_Biomass_MAgPIE'!V224</f>
        <v>0.19</v>
      </c>
      <c r="Y233" s="456">
        <f>'Key input_Biomass_MAgPIE'!W224</f>
        <v>0.19</v>
      </c>
      <c r="Z233" s="456">
        <f>'Key input_Biomass_MAgPIE'!X224</f>
        <v>0.19</v>
      </c>
      <c r="AA233" s="456">
        <f>'Key input_Biomass_MAgPIE'!Y224</f>
        <v>0.19</v>
      </c>
      <c r="AB233" s="456">
        <f>'Key input_Biomass_MAgPIE'!Z224</f>
        <v>0.19</v>
      </c>
      <c r="AC233" s="456">
        <f>'Key input_Biomass_MAgPIE'!AA224</f>
        <v>0.19</v>
      </c>
      <c r="AD233" s="456">
        <f>'Key input_Biomass_MAgPIE'!AB224</f>
        <v>0.19</v>
      </c>
      <c r="AE233" s="456">
        <f>'Key input_Biomass_MAgPIE'!AC224</f>
        <v>0.19</v>
      </c>
      <c r="AF233" s="456">
        <f>'Key input_Biomass_MAgPIE'!AD224</f>
        <v>0.19</v>
      </c>
      <c r="AG233" s="456">
        <f>'Key input_Biomass_MAgPIE'!AE224</f>
        <v>0.19</v>
      </c>
      <c r="AH233" s="456">
        <f>'Key input_Biomass_MAgPIE'!AF224</f>
        <v>0.19</v>
      </c>
    </row>
    <row r="234" spans="1:34">
      <c r="A234" s="4" t="str">
        <f t="shared" si="92"/>
        <v>MIN-RSVBIOWOO2</v>
      </c>
      <c r="B234" s="4" t="str">
        <f t="shared" si="89"/>
        <v>UPS Reserves of Biomass - Forest residues - Reserve - Supply curve step 2</v>
      </c>
      <c r="C234" s="4" t="str">
        <f t="shared" si="90"/>
        <v>RSVBIOWOO</v>
      </c>
      <c r="D234" s="4" t="str">
        <f t="shared" si="91"/>
        <v>ACT_COST</v>
      </c>
      <c r="E234" s="4"/>
      <c r="F234" s="4">
        <v>2060</v>
      </c>
      <c r="G234" s="456">
        <f>'Key input_Biomass_MAgPIE'!E225</f>
        <v>0.19</v>
      </c>
      <c r="H234" s="456">
        <f>'Key input_Biomass_MAgPIE'!F225</f>
        <v>0.19</v>
      </c>
      <c r="I234" s="456">
        <f>'Key input_Biomass_MAgPIE'!G225</f>
        <v>0.19</v>
      </c>
      <c r="J234" s="456">
        <f>'Key input_Biomass_MAgPIE'!H225</f>
        <v>0.19</v>
      </c>
      <c r="K234" s="456">
        <f>'Key input_Biomass_MAgPIE'!I225</f>
        <v>0.19</v>
      </c>
      <c r="L234" s="456">
        <f>'Key input_Biomass_MAgPIE'!J225</f>
        <v>0.19</v>
      </c>
      <c r="M234" s="456">
        <f>'Key input_Biomass_MAgPIE'!K225</f>
        <v>0.19</v>
      </c>
      <c r="N234" s="456">
        <f>'Key input_Biomass_MAgPIE'!L225</f>
        <v>0.19</v>
      </c>
      <c r="O234" s="456">
        <f>'Key input_Biomass_MAgPIE'!M225</f>
        <v>0.19</v>
      </c>
      <c r="P234" s="456">
        <f>'Key input_Biomass_MAgPIE'!N225</f>
        <v>0.19</v>
      </c>
      <c r="Q234" s="456">
        <f>'Key input_Biomass_MAgPIE'!O225</f>
        <v>0.19</v>
      </c>
      <c r="R234" s="456">
        <f>'Key input_Biomass_MAgPIE'!P225</f>
        <v>0.19</v>
      </c>
      <c r="S234" s="456">
        <f>'Key input_Biomass_MAgPIE'!Q225</f>
        <v>0.19</v>
      </c>
      <c r="T234" s="456">
        <f>'Key input_Biomass_MAgPIE'!R225</f>
        <v>0.19</v>
      </c>
      <c r="U234" s="456">
        <f>'Key input_Biomass_MAgPIE'!S225</f>
        <v>0.19</v>
      </c>
      <c r="V234" s="456">
        <f>'Key input_Biomass_MAgPIE'!T225</f>
        <v>0.19</v>
      </c>
      <c r="W234" s="456">
        <f>'Key input_Biomass_MAgPIE'!U225</f>
        <v>0.19</v>
      </c>
      <c r="X234" s="456">
        <f>'Key input_Biomass_MAgPIE'!V225</f>
        <v>0.19</v>
      </c>
      <c r="Y234" s="456">
        <f>'Key input_Biomass_MAgPIE'!W225</f>
        <v>0.19</v>
      </c>
      <c r="Z234" s="456">
        <f>'Key input_Biomass_MAgPIE'!X225</f>
        <v>0.19</v>
      </c>
      <c r="AA234" s="456">
        <f>'Key input_Biomass_MAgPIE'!Y225</f>
        <v>0.19</v>
      </c>
      <c r="AB234" s="456">
        <f>'Key input_Biomass_MAgPIE'!Z225</f>
        <v>0.19</v>
      </c>
      <c r="AC234" s="456">
        <f>'Key input_Biomass_MAgPIE'!AA225</f>
        <v>0.19</v>
      </c>
      <c r="AD234" s="456">
        <f>'Key input_Biomass_MAgPIE'!AB225</f>
        <v>0.19</v>
      </c>
      <c r="AE234" s="456">
        <f>'Key input_Biomass_MAgPIE'!AC225</f>
        <v>0.19</v>
      </c>
      <c r="AF234" s="456">
        <f>'Key input_Biomass_MAgPIE'!AD225</f>
        <v>0.19</v>
      </c>
      <c r="AG234" s="456">
        <f>'Key input_Biomass_MAgPIE'!AE225</f>
        <v>0.19</v>
      </c>
      <c r="AH234" s="456">
        <f>'Key input_Biomass_MAgPIE'!AF225</f>
        <v>0.19</v>
      </c>
    </row>
    <row r="235" spans="1:34">
      <c r="A235" s="4" t="str">
        <f t="shared" si="92"/>
        <v>MIN-RSVBIOWOO2</v>
      </c>
      <c r="B235" s="4" t="str">
        <f t="shared" si="89"/>
        <v>UPS Reserves of Biomass - Forest residues - Reserve - Supply curve step 2</v>
      </c>
      <c r="C235" s="4" t="str">
        <f t="shared" si="90"/>
        <v>RSVBIOWOO</v>
      </c>
      <c r="D235" s="4" t="str">
        <f t="shared" si="91"/>
        <v>ACT_COST</v>
      </c>
      <c r="E235" s="4"/>
      <c r="F235" s="4">
        <v>2070</v>
      </c>
      <c r="G235" s="456">
        <f>'Key input_Biomass_MAgPIE'!E226</f>
        <v>0.19</v>
      </c>
      <c r="H235" s="456">
        <f>'Key input_Biomass_MAgPIE'!F226</f>
        <v>0.19</v>
      </c>
      <c r="I235" s="456">
        <f>'Key input_Biomass_MAgPIE'!G226</f>
        <v>0.19</v>
      </c>
      <c r="J235" s="456">
        <f>'Key input_Biomass_MAgPIE'!H226</f>
        <v>0.19</v>
      </c>
      <c r="K235" s="456">
        <f>'Key input_Biomass_MAgPIE'!I226</f>
        <v>0.19</v>
      </c>
      <c r="L235" s="456">
        <f>'Key input_Biomass_MAgPIE'!J226</f>
        <v>0.19</v>
      </c>
      <c r="M235" s="456">
        <f>'Key input_Biomass_MAgPIE'!K226</f>
        <v>0.19</v>
      </c>
      <c r="N235" s="456">
        <f>'Key input_Biomass_MAgPIE'!L226</f>
        <v>0.19</v>
      </c>
      <c r="O235" s="456">
        <f>'Key input_Biomass_MAgPIE'!M226</f>
        <v>0.19</v>
      </c>
      <c r="P235" s="456">
        <f>'Key input_Biomass_MAgPIE'!N226</f>
        <v>0.19</v>
      </c>
      <c r="Q235" s="456">
        <f>'Key input_Biomass_MAgPIE'!O226</f>
        <v>0.19</v>
      </c>
      <c r="R235" s="456">
        <f>'Key input_Biomass_MAgPIE'!P226</f>
        <v>0.19</v>
      </c>
      <c r="S235" s="456">
        <f>'Key input_Biomass_MAgPIE'!Q226</f>
        <v>0.19</v>
      </c>
      <c r="T235" s="456">
        <f>'Key input_Biomass_MAgPIE'!R226</f>
        <v>0.19</v>
      </c>
      <c r="U235" s="456">
        <f>'Key input_Biomass_MAgPIE'!S226</f>
        <v>0.19</v>
      </c>
      <c r="V235" s="456">
        <f>'Key input_Biomass_MAgPIE'!T226</f>
        <v>0.19</v>
      </c>
      <c r="W235" s="456">
        <f>'Key input_Biomass_MAgPIE'!U226</f>
        <v>0.19</v>
      </c>
      <c r="X235" s="456">
        <f>'Key input_Biomass_MAgPIE'!V226</f>
        <v>0.19</v>
      </c>
      <c r="Y235" s="456">
        <f>'Key input_Biomass_MAgPIE'!W226</f>
        <v>0.19</v>
      </c>
      <c r="Z235" s="456">
        <f>'Key input_Biomass_MAgPIE'!X226</f>
        <v>0.19</v>
      </c>
      <c r="AA235" s="456">
        <f>'Key input_Biomass_MAgPIE'!Y226</f>
        <v>0.19</v>
      </c>
      <c r="AB235" s="456">
        <f>'Key input_Biomass_MAgPIE'!Z226</f>
        <v>0.19</v>
      </c>
      <c r="AC235" s="456">
        <f>'Key input_Biomass_MAgPIE'!AA226</f>
        <v>0.19</v>
      </c>
      <c r="AD235" s="456">
        <f>'Key input_Biomass_MAgPIE'!AB226</f>
        <v>0.19</v>
      </c>
      <c r="AE235" s="456">
        <f>'Key input_Biomass_MAgPIE'!AC226</f>
        <v>0.19</v>
      </c>
      <c r="AF235" s="456">
        <f>'Key input_Biomass_MAgPIE'!AD226</f>
        <v>0.19</v>
      </c>
      <c r="AG235" s="456">
        <f>'Key input_Biomass_MAgPIE'!AE226</f>
        <v>0.19</v>
      </c>
      <c r="AH235" s="456">
        <f>'Key input_Biomass_MAgPIE'!AF226</f>
        <v>0.19</v>
      </c>
    </row>
    <row r="236" spans="1:34">
      <c r="A236" s="4" t="str">
        <f t="shared" si="92"/>
        <v>MIN-RSVBIOWOO2</v>
      </c>
      <c r="B236" s="4" t="str">
        <f t="shared" si="89"/>
        <v>UPS Reserves of Biomass - Forest residues - Reserve - Supply curve step 2</v>
      </c>
      <c r="C236" s="4" t="str">
        <f t="shared" si="90"/>
        <v>RSVBIOWOO</v>
      </c>
      <c r="D236" s="4" t="str">
        <f t="shared" si="91"/>
        <v>ACT_COST</v>
      </c>
      <c r="E236" s="4"/>
      <c r="F236" s="4">
        <v>2080</v>
      </c>
      <c r="G236" s="456">
        <f>'Key input_Biomass_MAgPIE'!E227</f>
        <v>0.19</v>
      </c>
      <c r="H236" s="456">
        <f>'Key input_Biomass_MAgPIE'!F227</f>
        <v>0.19</v>
      </c>
      <c r="I236" s="456">
        <f>'Key input_Biomass_MAgPIE'!G227</f>
        <v>0.19</v>
      </c>
      <c r="J236" s="456">
        <f>'Key input_Biomass_MAgPIE'!H227</f>
        <v>0.19</v>
      </c>
      <c r="K236" s="456">
        <f>'Key input_Biomass_MAgPIE'!I227</f>
        <v>0.19</v>
      </c>
      <c r="L236" s="456">
        <f>'Key input_Biomass_MAgPIE'!J227</f>
        <v>0.19</v>
      </c>
      <c r="M236" s="456">
        <f>'Key input_Biomass_MAgPIE'!K227</f>
        <v>0.19</v>
      </c>
      <c r="N236" s="456">
        <f>'Key input_Biomass_MAgPIE'!L227</f>
        <v>0.19</v>
      </c>
      <c r="O236" s="456">
        <f>'Key input_Biomass_MAgPIE'!M227</f>
        <v>0.19</v>
      </c>
      <c r="P236" s="456">
        <f>'Key input_Biomass_MAgPIE'!N227</f>
        <v>0.19</v>
      </c>
      <c r="Q236" s="456">
        <f>'Key input_Biomass_MAgPIE'!O227</f>
        <v>0.19</v>
      </c>
      <c r="R236" s="456">
        <f>'Key input_Biomass_MAgPIE'!P227</f>
        <v>0.19</v>
      </c>
      <c r="S236" s="456">
        <f>'Key input_Biomass_MAgPIE'!Q227</f>
        <v>0.19</v>
      </c>
      <c r="T236" s="456">
        <f>'Key input_Biomass_MAgPIE'!R227</f>
        <v>0.19</v>
      </c>
      <c r="U236" s="456">
        <f>'Key input_Biomass_MAgPIE'!S227</f>
        <v>0.19</v>
      </c>
      <c r="V236" s="456">
        <f>'Key input_Biomass_MAgPIE'!T227</f>
        <v>0.19</v>
      </c>
      <c r="W236" s="456">
        <f>'Key input_Biomass_MAgPIE'!U227</f>
        <v>0.19</v>
      </c>
      <c r="X236" s="456">
        <f>'Key input_Biomass_MAgPIE'!V227</f>
        <v>0.19</v>
      </c>
      <c r="Y236" s="456">
        <f>'Key input_Biomass_MAgPIE'!W227</f>
        <v>0.19</v>
      </c>
      <c r="Z236" s="456">
        <f>'Key input_Biomass_MAgPIE'!X227</f>
        <v>0.19</v>
      </c>
      <c r="AA236" s="456">
        <f>'Key input_Biomass_MAgPIE'!Y227</f>
        <v>0.19</v>
      </c>
      <c r="AB236" s="456">
        <f>'Key input_Biomass_MAgPIE'!Z227</f>
        <v>0.19</v>
      </c>
      <c r="AC236" s="456">
        <f>'Key input_Biomass_MAgPIE'!AA227</f>
        <v>0.19</v>
      </c>
      <c r="AD236" s="456">
        <f>'Key input_Biomass_MAgPIE'!AB227</f>
        <v>0.19</v>
      </c>
      <c r="AE236" s="456">
        <f>'Key input_Biomass_MAgPIE'!AC227</f>
        <v>0.19</v>
      </c>
      <c r="AF236" s="456">
        <f>'Key input_Biomass_MAgPIE'!AD227</f>
        <v>0.19</v>
      </c>
      <c r="AG236" s="456">
        <f>'Key input_Biomass_MAgPIE'!AE227</f>
        <v>0.19</v>
      </c>
      <c r="AH236" s="456">
        <f>'Key input_Biomass_MAgPIE'!AF227</f>
        <v>0.19</v>
      </c>
    </row>
    <row r="237" spans="1:34">
      <c r="A237" s="4" t="str">
        <f t="shared" si="92"/>
        <v>MIN-RSVBIOWOO2</v>
      </c>
      <c r="B237" s="4" t="str">
        <f t="shared" si="89"/>
        <v>UPS Reserves of Biomass - Forest residues - Reserve - Supply curve step 2</v>
      </c>
      <c r="C237" s="4" t="str">
        <f t="shared" si="90"/>
        <v>RSVBIOWOO</v>
      </c>
      <c r="D237" s="4" t="str">
        <f t="shared" si="91"/>
        <v>ACT_COST</v>
      </c>
      <c r="E237" s="4"/>
      <c r="F237" s="4">
        <v>2090</v>
      </c>
      <c r="G237" s="456">
        <f>'Key input_Biomass_MAgPIE'!E228</f>
        <v>0.19</v>
      </c>
      <c r="H237" s="456">
        <f>'Key input_Biomass_MAgPIE'!F228</f>
        <v>0.19</v>
      </c>
      <c r="I237" s="456">
        <f>'Key input_Biomass_MAgPIE'!G228</f>
        <v>0.19</v>
      </c>
      <c r="J237" s="456">
        <f>'Key input_Biomass_MAgPIE'!H228</f>
        <v>0.19</v>
      </c>
      <c r="K237" s="456">
        <f>'Key input_Biomass_MAgPIE'!I228</f>
        <v>0.19</v>
      </c>
      <c r="L237" s="456">
        <f>'Key input_Biomass_MAgPIE'!J228</f>
        <v>0.19</v>
      </c>
      <c r="M237" s="456">
        <f>'Key input_Biomass_MAgPIE'!K228</f>
        <v>0.19</v>
      </c>
      <c r="N237" s="456">
        <f>'Key input_Biomass_MAgPIE'!L228</f>
        <v>0.19</v>
      </c>
      <c r="O237" s="456">
        <f>'Key input_Biomass_MAgPIE'!M228</f>
        <v>0.19</v>
      </c>
      <c r="P237" s="456">
        <f>'Key input_Biomass_MAgPIE'!N228</f>
        <v>0.19</v>
      </c>
      <c r="Q237" s="456">
        <f>'Key input_Biomass_MAgPIE'!O228</f>
        <v>0.19</v>
      </c>
      <c r="R237" s="456">
        <f>'Key input_Biomass_MAgPIE'!P228</f>
        <v>0.19</v>
      </c>
      <c r="S237" s="456">
        <f>'Key input_Biomass_MAgPIE'!Q228</f>
        <v>0.19</v>
      </c>
      <c r="T237" s="456">
        <f>'Key input_Biomass_MAgPIE'!R228</f>
        <v>0.19</v>
      </c>
      <c r="U237" s="456">
        <f>'Key input_Biomass_MAgPIE'!S228</f>
        <v>0.19</v>
      </c>
      <c r="V237" s="456">
        <f>'Key input_Biomass_MAgPIE'!T228</f>
        <v>0.19</v>
      </c>
      <c r="W237" s="456">
        <f>'Key input_Biomass_MAgPIE'!U228</f>
        <v>0.19</v>
      </c>
      <c r="X237" s="456">
        <f>'Key input_Biomass_MAgPIE'!V228</f>
        <v>0.19</v>
      </c>
      <c r="Y237" s="456">
        <f>'Key input_Biomass_MAgPIE'!W228</f>
        <v>0.19</v>
      </c>
      <c r="Z237" s="456">
        <f>'Key input_Biomass_MAgPIE'!X228</f>
        <v>0.19</v>
      </c>
      <c r="AA237" s="456">
        <f>'Key input_Biomass_MAgPIE'!Y228</f>
        <v>0.19</v>
      </c>
      <c r="AB237" s="456">
        <f>'Key input_Biomass_MAgPIE'!Z228</f>
        <v>0.19</v>
      </c>
      <c r="AC237" s="456">
        <f>'Key input_Biomass_MAgPIE'!AA228</f>
        <v>0.19</v>
      </c>
      <c r="AD237" s="456">
        <f>'Key input_Biomass_MAgPIE'!AB228</f>
        <v>0.19</v>
      </c>
      <c r="AE237" s="456">
        <f>'Key input_Biomass_MAgPIE'!AC228</f>
        <v>0.19</v>
      </c>
      <c r="AF237" s="456">
        <f>'Key input_Biomass_MAgPIE'!AD228</f>
        <v>0.19</v>
      </c>
      <c r="AG237" s="456">
        <f>'Key input_Biomass_MAgPIE'!AE228</f>
        <v>0.19</v>
      </c>
      <c r="AH237" s="456">
        <f>'Key input_Biomass_MAgPIE'!AF228</f>
        <v>0.19</v>
      </c>
    </row>
    <row r="238" spans="1:34">
      <c r="A238" s="259" t="str">
        <f t="shared" si="92"/>
        <v>MIN-RSVBIOWOO2</v>
      </c>
      <c r="B238" s="259" t="str">
        <f t="shared" si="89"/>
        <v>UPS Reserves of Biomass - Forest residues - Reserve - Supply curve step 2</v>
      </c>
      <c r="C238" s="259" t="str">
        <f t="shared" si="90"/>
        <v>RSVBIOWOO</v>
      </c>
      <c r="D238" s="259" t="str">
        <f t="shared" si="91"/>
        <v>ACT_COST</v>
      </c>
      <c r="E238" s="259"/>
      <c r="F238" s="259">
        <v>2100</v>
      </c>
      <c r="G238" s="435">
        <f>'Key input_Biomass_MAgPIE'!E229</f>
        <v>0.19</v>
      </c>
      <c r="H238" s="435">
        <f>'Key input_Biomass_MAgPIE'!F229</f>
        <v>0.19</v>
      </c>
      <c r="I238" s="435">
        <f>'Key input_Biomass_MAgPIE'!G229</f>
        <v>0.19</v>
      </c>
      <c r="J238" s="435">
        <f>'Key input_Biomass_MAgPIE'!H229</f>
        <v>0.19</v>
      </c>
      <c r="K238" s="435">
        <f>'Key input_Biomass_MAgPIE'!I229</f>
        <v>0.19</v>
      </c>
      <c r="L238" s="435">
        <f>'Key input_Biomass_MAgPIE'!J229</f>
        <v>0.19</v>
      </c>
      <c r="M238" s="435">
        <f>'Key input_Biomass_MAgPIE'!K229</f>
        <v>0.19</v>
      </c>
      <c r="N238" s="435">
        <f>'Key input_Biomass_MAgPIE'!L229</f>
        <v>0.19</v>
      </c>
      <c r="O238" s="435">
        <f>'Key input_Biomass_MAgPIE'!M229</f>
        <v>0.19</v>
      </c>
      <c r="P238" s="435">
        <f>'Key input_Biomass_MAgPIE'!N229</f>
        <v>0.19</v>
      </c>
      <c r="Q238" s="435">
        <f>'Key input_Biomass_MAgPIE'!O229</f>
        <v>0.19</v>
      </c>
      <c r="R238" s="435">
        <f>'Key input_Biomass_MAgPIE'!P229</f>
        <v>0.19</v>
      </c>
      <c r="S238" s="435">
        <f>'Key input_Biomass_MAgPIE'!Q229</f>
        <v>0.19</v>
      </c>
      <c r="T238" s="435">
        <f>'Key input_Biomass_MAgPIE'!R229</f>
        <v>0.19</v>
      </c>
      <c r="U238" s="435">
        <f>'Key input_Biomass_MAgPIE'!S229</f>
        <v>0.19</v>
      </c>
      <c r="V238" s="435">
        <f>'Key input_Biomass_MAgPIE'!T229</f>
        <v>0.19</v>
      </c>
      <c r="W238" s="435">
        <f>'Key input_Biomass_MAgPIE'!U229</f>
        <v>0.19</v>
      </c>
      <c r="X238" s="435">
        <f>'Key input_Biomass_MAgPIE'!V229</f>
        <v>0.19</v>
      </c>
      <c r="Y238" s="435">
        <f>'Key input_Biomass_MAgPIE'!W229</f>
        <v>0.19</v>
      </c>
      <c r="Z238" s="435">
        <f>'Key input_Biomass_MAgPIE'!X229</f>
        <v>0.19</v>
      </c>
      <c r="AA238" s="435">
        <f>'Key input_Biomass_MAgPIE'!Y229</f>
        <v>0.19</v>
      </c>
      <c r="AB238" s="435">
        <f>'Key input_Biomass_MAgPIE'!Z229</f>
        <v>0.19</v>
      </c>
      <c r="AC238" s="435">
        <f>'Key input_Biomass_MAgPIE'!AA229</f>
        <v>0.19</v>
      </c>
      <c r="AD238" s="435">
        <f>'Key input_Biomass_MAgPIE'!AB229</f>
        <v>0.19</v>
      </c>
      <c r="AE238" s="435">
        <f>'Key input_Biomass_MAgPIE'!AC229</f>
        <v>0.19</v>
      </c>
      <c r="AF238" s="435">
        <f>'Key input_Biomass_MAgPIE'!AD229</f>
        <v>0.19</v>
      </c>
      <c r="AG238" s="435">
        <f>'Key input_Biomass_MAgPIE'!AE229</f>
        <v>0.19</v>
      </c>
      <c r="AH238" s="435">
        <f>'Key input_Biomass_MAgPIE'!AF229</f>
        <v>0.19</v>
      </c>
    </row>
    <row r="239" spans="1:34">
      <c r="A239" s="4" t="str">
        <f>AK13</f>
        <v>MIN-RSVBIOWOO3</v>
      </c>
      <c r="B239" s="4" t="str">
        <f>AL13</f>
        <v>UPS Reserves of Biomass - Forest residues - Reserve - Supply curve step 3</v>
      </c>
      <c r="C239" s="4" t="str">
        <f>Commodities!$C$15</f>
        <v>RSVBIOWOO</v>
      </c>
      <c r="D239" s="4" t="s">
        <v>675</v>
      </c>
      <c r="E239" s="4"/>
      <c r="F239" s="4">
        <v>2019</v>
      </c>
      <c r="G239" s="258">
        <f>'Key input_Biomass_MAgPIE'!E230</f>
        <v>0.28499999999999998</v>
      </c>
      <c r="H239" s="258">
        <f>'Key input_Biomass_MAgPIE'!F230</f>
        <v>0.28499999999999998</v>
      </c>
      <c r="I239" s="258">
        <f>'Key input_Biomass_MAgPIE'!G230</f>
        <v>0.28499999999999998</v>
      </c>
      <c r="J239" s="258">
        <f>'Key input_Biomass_MAgPIE'!H230</f>
        <v>0.28499999999999998</v>
      </c>
      <c r="K239" s="258">
        <f>'Key input_Biomass_MAgPIE'!I230</f>
        <v>0.28499999999999998</v>
      </c>
      <c r="L239" s="258">
        <f>'Key input_Biomass_MAgPIE'!J230</f>
        <v>0.28499999999999998</v>
      </c>
      <c r="M239" s="258">
        <f>'Key input_Biomass_MAgPIE'!K230</f>
        <v>0.28499999999999998</v>
      </c>
      <c r="N239" s="258">
        <f>'Key input_Biomass_MAgPIE'!L230</f>
        <v>0.28499999999999998</v>
      </c>
      <c r="O239" s="258">
        <f>'Key input_Biomass_MAgPIE'!M230</f>
        <v>0.28499999999999998</v>
      </c>
      <c r="P239" s="258">
        <f>'Key input_Biomass_MAgPIE'!N230</f>
        <v>0.28499999999999998</v>
      </c>
      <c r="Q239" s="258">
        <f>'Key input_Biomass_MAgPIE'!O230</f>
        <v>0.28499999999999998</v>
      </c>
      <c r="R239" s="258">
        <f>'Key input_Biomass_MAgPIE'!P230</f>
        <v>0.28499999999999998</v>
      </c>
      <c r="S239" s="258">
        <f>'Key input_Biomass_MAgPIE'!Q230</f>
        <v>0.28499999999999998</v>
      </c>
      <c r="T239" s="258">
        <f>'Key input_Biomass_MAgPIE'!R230</f>
        <v>0.28499999999999998</v>
      </c>
      <c r="U239" s="258">
        <f>'Key input_Biomass_MAgPIE'!S230</f>
        <v>0.28499999999999998</v>
      </c>
      <c r="V239" s="258">
        <f>'Key input_Biomass_MAgPIE'!T230</f>
        <v>0.28499999999999998</v>
      </c>
      <c r="W239" s="258">
        <f>'Key input_Biomass_MAgPIE'!U230</f>
        <v>0.28499999999999998</v>
      </c>
      <c r="X239" s="258">
        <f>'Key input_Biomass_MAgPIE'!V230</f>
        <v>0.28499999999999998</v>
      </c>
      <c r="Y239" s="258">
        <f>'Key input_Biomass_MAgPIE'!W230</f>
        <v>0.28499999999999998</v>
      </c>
      <c r="Z239" s="258">
        <f>'Key input_Biomass_MAgPIE'!X230</f>
        <v>0.28499999999999998</v>
      </c>
      <c r="AA239" s="258">
        <f>'Key input_Biomass_MAgPIE'!Y230</f>
        <v>0.28499999999999998</v>
      </c>
      <c r="AB239" s="258">
        <f>'Key input_Biomass_MAgPIE'!Z230</f>
        <v>0.28499999999999998</v>
      </c>
      <c r="AC239" s="258">
        <f>'Key input_Biomass_MAgPIE'!AA230</f>
        <v>0.28499999999999998</v>
      </c>
      <c r="AD239" s="258">
        <f>'Key input_Biomass_MAgPIE'!AB230</f>
        <v>0.28499999999999998</v>
      </c>
      <c r="AE239" s="258">
        <f>'Key input_Biomass_MAgPIE'!AC230</f>
        <v>0.28499999999999998</v>
      </c>
      <c r="AF239" s="258">
        <f>'Key input_Biomass_MAgPIE'!AD230</f>
        <v>0.28499999999999998</v>
      </c>
      <c r="AG239" s="258">
        <f>'Key input_Biomass_MAgPIE'!AE230</f>
        <v>0.28499999999999998</v>
      </c>
      <c r="AH239" s="258">
        <f>'Key input_Biomass_MAgPIE'!AF230</f>
        <v>0.28499999999999998</v>
      </c>
    </row>
    <row r="240" spans="1:34">
      <c r="A240" s="4" t="str">
        <f>A239</f>
        <v>MIN-RSVBIOWOO3</v>
      </c>
      <c r="B240" s="4" t="str">
        <f t="shared" ref="B240:B251" si="93">B239</f>
        <v>UPS Reserves of Biomass - Forest residues - Reserve - Supply curve step 3</v>
      </c>
      <c r="C240" s="4" t="str">
        <f t="shared" ref="C240:C251" si="94">C239</f>
        <v>RSVBIOWOO</v>
      </c>
      <c r="D240" s="4" t="str">
        <f t="shared" ref="D240:D251" si="95">D239</f>
        <v>ACT_COST</v>
      </c>
      <c r="E240" s="4"/>
      <c r="F240" s="4">
        <v>2020</v>
      </c>
      <c r="G240" s="456">
        <f>'Key input_Biomass_MAgPIE'!E231</f>
        <v>0.28499999999999998</v>
      </c>
      <c r="H240" s="456">
        <f>'Key input_Biomass_MAgPIE'!F231</f>
        <v>0.28499999999999998</v>
      </c>
      <c r="I240" s="456">
        <f>'Key input_Biomass_MAgPIE'!G231</f>
        <v>0.28499999999999998</v>
      </c>
      <c r="J240" s="456">
        <f>'Key input_Biomass_MAgPIE'!H231</f>
        <v>0.28499999999999998</v>
      </c>
      <c r="K240" s="456">
        <f>'Key input_Biomass_MAgPIE'!I231</f>
        <v>0.28499999999999998</v>
      </c>
      <c r="L240" s="456">
        <f>'Key input_Biomass_MAgPIE'!J231</f>
        <v>0.28499999999999998</v>
      </c>
      <c r="M240" s="456">
        <f>'Key input_Biomass_MAgPIE'!K231</f>
        <v>0.28499999999999998</v>
      </c>
      <c r="N240" s="456">
        <f>'Key input_Biomass_MAgPIE'!L231</f>
        <v>0.28499999999999998</v>
      </c>
      <c r="O240" s="456">
        <f>'Key input_Biomass_MAgPIE'!M231</f>
        <v>0.28499999999999998</v>
      </c>
      <c r="P240" s="456">
        <f>'Key input_Biomass_MAgPIE'!N231</f>
        <v>0.28499999999999998</v>
      </c>
      <c r="Q240" s="456">
        <f>'Key input_Biomass_MAgPIE'!O231</f>
        <v>0.28499999999999998</v>
      </c>
      <c r="R240" s="456">
        <f>'Key input_Biomass_MAgPIE'!P231</f>
        <v>0.28499999999999998</v>
      </c>
      <c r="S240" s="456">
        <f>'Key input_Biomass_MAgPIE'!Q231</f>
        <v>0.28499999999999998</v>
      </c>
      <c r="T240" s="456">
        <f>'Key input_Biomass_MAgPIE'!R231</f>
        <v>0.28499999999999998</v>
      </c>
      <c r="U240" s="456">
        <f>'Key input_Biomass_MAgPIE'!S231</f>
        <v>0.28499999999999998</v>
      </c>
      <c r="V240" s="456">
        <f>'Key input_Biomass_MAgPIE'!T231</f>
        <v>0.28499999999999998</v>
      </c>
      <c r="W240" s="456">
        <f>'Key input_Biomass_MAgPIE'!U231</f>
        <v>0.28499999999999998</v>
      </c>
      <c r="X240" s="456">
        <f>'Key input_Biomass_MAgPIE'!V231</f>
        <v>0.28499999999999998</v>
      </c>
      <c r="Y240" s="456">
        <f>'Key input_Biomass_MAgPIE'!W231</f>
        <v>0.28499999999999998</v>
      </c>
      <c r="Z240" s="456">
        <f>'Key input_Biomass_MAgPIE'!X231</f>
        <v>0.28499999999999998</v>
      </c>
      <c r="AA240" s="456">
        <f>'Key input_Biomass_MAgPIE'!Y231</f>
        <v>0.28499999999999998</v>
      </c>
      <c r="AB240" s="456">
        <f>'Key input_Biomass_MAgPIE'!Z231</f>
        <v>0.28499999999999998</v>
      </c>
      <c r="AC240" s="456">
        <f>'Key input_Biomass_MAgPIE'!AA231</f>
        <v>0.28499999999999998</v>
      </c>
      <c r="AD240" s="456">
        <f>'Key input_Biomass_MAgPIE'!AB231</f>
        <v>0.28499999999999998</v>
      </c>
      <c r="AE240" s="456">
        <f>'Key input_Biomass_MAgPIE'!AC231</f>
        <v>0.28499999999999998</v>
      </c>
      <c r="AF240" s="456">
        <f>'Key input_Biomass_MAgPIE'!AD231</f>
        <v>0.28499999999999998</v>
      </c>
      <c r="AG240" s="456">
        <f>'Key input_Biomass_MAgPIE'!AE231</f>
        <v>0.28499999999999998</v>
      </c>
      <c r="AH240" s="456">
        <f>'Key input_Biomass_MAgPIE'!AF231</f>
        <v>0.28499999999999998</v>
      </c>
    </row>
    <row r="241" spans="1:34">
      <c r="A241" s="4" t="str">
        <f t="shared" ref="A241:A251" si="96">A240</f>
        <v>MIN-RSVBIOWOO3</v>
      </c>
      <c r="B241" s="4" t="str">
        <f t="shared" si="93"/>
        <v>UPS Reserves of Biomass - Forest residues - Reserve - Supply curve step 3</v>
      </c>
      <c r="C241" s="4" t="str">
        <f t="shared" si="94"/>
        <v>RSVBIOWOO</v>
      </c>
      <c r="D241" s="4" t="str">
        <f t="shared" si="95"/>
        <v>ACT_COST</v>
      </c>
      <c r="E241" s="4"/>
      <c r="F241" s="4">
        <v>2025</v>
      </c>
      <c r="G241" s="456">
        <f>'Key input_Biomass_MAgPIE'!E232</f>
        <v>0.28499999999999998</v>
      </c>
      <c r="H241" s="456">
        <f>'Key input_Biomass_MAgPIE'!F232</f>
        <v>0.28499999999999998</v>
      </c>
      <c r="I241" s="456">
        <f>'Key input_Biomass_MAgPIE'!G232</f>
        <v>0.28499999999999998</v>
      </c>
      <c r="J241" s="456">
        <f>'Key input_Biomass_MAgPIE'!H232</f>
        <v>0.28499999999999998</v>
      </c>
      <c r="K241" s="456">
        <f>'Key input_Biomass_MAgPIE'!I232</f>
        <v>0.28499999999999998</v>
      </c>
      <c r="L241" s="456">
        <f>'Key input_Biomass_MAgPIE'!J232</f>
        <v>0.28499999999999998</v>
      </c>
      <c r="M241" s="456">
        <f>'Key input_Biomass_MAgPIE'!K232</f>
        <v>0.28499999999999998</v>
      </c>
      <c r="N241" s="456">
        <f>'Key input_Biomass_MAgPIE'!L232</f>
        <v>0.28499999999999998</v>
      </c>
      <c r="O241" s="456">
        <f>'Key input_Biomass_MAgPIE'!M232</f>
        <v>0.28499999999999998</v>
      </c>
      <c r="P241" s="456">
        <f>'Key input_Biomass_MAgPIE'!N232</f>
        <v>0.28499999999999998</v>
      </c>
      <c r="Q241" s="456">
        <f>'Key input_Biomass_MAgPIE'!O232</f>
        <v>0.28499999999999998</v>
      </c>
      <c r="R241" s="456">
        <f>'Key input_Biomass_MAgPIE'!P232</f>
        <v>0.28499999999999998</v>
      </c>
      <c r="S241" s="456">
        <f>'Key input_Biomass_MAgPIE'!Q232</f>
        <v>0.28499999999999998</v>
      </c>
      <c r="T241" s="456">
        <f>'Key input_Biomass_MAgPIE'!R232</f>
        <v>0.28499999999999998</v>
      </c>
      <c r="U241" s="456">
        <f>'Key input_Biomass_MAgPIE'!S232</f>
        <v>0.28499999999999998</v>
      </c>
      <c r="V241" s="456">
        <f>'Key input_Biomass_MAgPIE'!T232</f>
        <v>0.28499999999999998</v>
      </c>
      <c r="W241" s="456">
        <f>'Key input_Biomass_MAgPIE'!U232</f>
        <v>0.28499999999999998</v>
      </c>
      <c r="X241" s="456">
        <f>'Key input_Biomass_MAgPIE'!V232</f>
        <v>0.28499999999999998</v>
      </c>
      <c r="Y241" s="456">
        <f>'Key input_Biomass_MAgPIE'!W232</f>
        <v>0.28499999999999998</v>
      </c>
      <c r="Z241" s="456">
        <f>'Key input_Biomass_MAgPIE'!X232</f>
        <v>0.28499999999999998</v>
      </c>
      <c r="AA241" s="456">
        <f>'Key input_Biomass_MAgPIE'!Y232</f>
        <v>0.28499999999999998</v>
      </c>
      <c r="AB241" s="456">
        <f>'Key input_Biomass_MAgPIE'!Z232</f>
        <v>0.28499999999999998</v>
      </c>
      <c r="AC241" s="456">
        <f>'Key input_Biomass_MAgPIE'!AA232</f>
        <v>0.28499999999999998</v>
      </c>
      <c r="AD241" s="456">
        <f>'Key input_Biomass_MAgPIE'!AB232</f>
        <v>0.28499999999999998</v>
      </c>
      <c r="AE241" s="456">
        <f>'Key input_Biomass_MAgPIE'!AC232</f>
        <v>0.28499999999999998</v>
      </c>
      <c r="AF241" s="456">
        <f>'Key input_Biomass_MAgPIE'!AD232</f>
        <v>0.28499999999999998</v>
      </c>
      <c r="AG241" s="456">
        <f>'Key input_Biomass_MAgPIE'!AE232</f>
        <v>0.28499999999999998</v>
      </c>
      <c r="AH241" s="456">
        <f>'Key input_Biomass_MAgPIE'!AF232</f>
        <v>0.28499999999999998</v>
      </c>
    </row>
    <row r="242" spans="1:34">
      <c r="A242" s="4" t="str">
        <f t="shared" si="96"/>
        <v>MIN-RSVBIOWOO3</v>
      </c>
      <c r="B242" s="4" t="str">
        <f t="shared" si="93"/>
        <v>UPS Reserves of Biomass - Forest residues - Reserve - Supply curve step 3</v>
      </c>
      <c r="C242" s="4" t="str">
        <f t="shared" si="94"/>
        <v>RSVBIOWOO</v>
      </c>
      <c r="D242" s="4" t="str">
        <f t="shared" si="95"/>
        <v>ACT_COST</v>
      </c>
      <c r="E242" s="4"/>
      <c r="F242" s="4">
        <v>2030</v>
      </c>
      <c r="G242" s="456">
        <f>'Key input_Biomass_MAgPIE'!E233</f>
        <v>0.28499999999999998</v>
      </c>
      <c r="H242" s="456">
        <f>'Key input_Biomass_MAgPIE'!F233</f>
        <v>0.28499999999999998</v>
      </c>
      <c r="I242" s="456">
        <f>'Key input_Biomass_MAgPIE'!G233</f>
        <v>0.28499999999999998</v>
      </c>
      <c r="J242" s="456">
        <f>'Key input_Biomass_MAgPIE'!H233</f>
        <v>0.28499999999999998</v>
      </c>
      <c r="K242" s="456">
        <f>'Key input_Biomass_MAgPIE'!I233</f>
        <v>0.28499999999999998</v>
      </c>
      <c r="L242" s="456">
        <f>'Key input_Biomass_MAgPIE'!J233</f>
        <v>0.28499999999999998</v>
      </c>
      <c r="M242" s="456">
        <f>'Key input_Biomass_MAgPIE'!K233</f>
        <v>0.28499999999999998</v>
      </c>
      <c r="N242" s="456">
        <f>'Key input_Biomass_MAgPIE'!L233</f>
        <v>0.28499999999999998</v>
      </c>
      <c r="O242" s="456">
        <f>'Key input_Biomass_MAgPIE'!M233</f>
        <v>0.28499999999999998</v>
      </c>
      <c r="P242" s="456">
        <f>'Key input_Biomass_MAgPIE'!N233</f>
        <v>0.28499999999999998</v>
      </c>
      <c r="Q242" s="456">
        <f>'Key input_Biomass_MAgPIE'!O233</f>
        <v>0.28499999999999998</v>
      </c>
      <c r="R242" s="456">
        <f>'Key input_Biomass_MAgPIE'!P233</f>
        <v>0.28499999999999998</v>
      </c>
      <c r="S242" s="456">
        <f>'Key input_Biomass_MAgPIE'!Q233</f>
        <v>0.28499999999999998</v>
      </c>
      <c r="T242" s="456">
        <f>'Key input_Biomass_MAgPIE'!R233</f>
        <v>0.28499999999999998</v>
      </c>
      <c r="U242" s="456">
        <f>'Key input_Biomass_MAgPIE'!S233</f>
        <v>0.28499999999999998</v>
      </c>
      <c r="V242" s="456">
        <f>'Key input_Biomass_MAgPIE'!T233</f>
        <v>0.28499999999999998</v>
      </c>
      <c r="W242" s="456">
        <f>'Key input_Biomass_MAgPIE'!U233</f>
        <v>0.28499999999999998</v>
      </c>
      <c r="X242" s="456">
        <f>'Key input_Biomass_MAgPIE'!V233</f>
        <v>0.28499999999999998</v>
      </c>
      <c r="Y242" s="456">
        <f>'Key input_Biomass_MAgPIE'!W233</f>
        <v>0.28499999999999998</v>
      </c>
      <c r="Z242" s="456">
        <f>'Key input_Biomass_MAgPIE'!X233</f>
        <v>0.28499999999999998</v>
      </c>
      <c r="AA242" s="456">
        <f>'Key input_Biomass_MAgPIE'!Y233</f>
        <v>0.28499999999999998</v>
      </c>
      <c r="AB242" s="456">
        <f>'Key input_Biomass_MAgPIE'!Z233</f>
        <v>0.28499999999999998</v>
      </c>
      <c r="AC242" s="456">
        <f>'Key input_Biomass_MAgPIE'!AA233</f>
        <v>0.28499999999999998</v>
      </c>
      <c r="AD242" s="456">
        <f>'Key input_Biomass_MAgPIE'!AB233</f>
        <v>0.28499999999999998</v>
      </c>
      <c r="AE242" s="456">
        <f>'Key input_Biomass_MAgPIE'!AC233</f>
        <v>0.28499999999999998</v>
      </c>
      <c r="AF242" s="456">
        <f>'Key input_Biomass_MAgPIE'!AD233</f>
        <v>0.28499999999999998</v>
      </c>
      <c r="AG242" s="456">
        <f>'Key input_Biomass_MAgPIE'!AE233</f>
        <v>0.28499999999999998</v>
      </c>
      <c r="AH242" s="456">
        <f>'Key input_Biomass_MAgPIE'!AF233</f>
        <v>0.28499999999999998</v>
      </c>
    </row>
    <row r="243" spans="1:34">
      <c r="A243" s="4" t="str">
        <f t="shared" si="96"/>
        <v>MIN-RSVBIOWOO3</v>
      </c>
      <c r="B243" s="4" t="str">
        <f t="shared" si="93"/>
        <v>UPS Reserves of Biomass - Forest residues - Reserve - Supply curve step 3</v>
      </c>
      <c r="C243" s="4" t="str">
        <f t="shared" si="94"/>
        <v>RSVBIOWOO</v>
      </c>
      <c r="D243" s="4" t="str">
        <f t="shared" si="95"/>
        <v>ACT_COST</v>
      </c>
      <c r="E243" s="4"/>
      <c r="F243" s="4">
        <v>2035</v>
      </c>
      <c r="G243" s="456">
        <f>'Key input_Biomass_MAgPIE'!E234</f>
        <v>0.28499999999999998</v>
      </c>
      <c r="H243" s="456">
        <f>'Key input_Biomass_MAgPIE'!F234</f>
        <v>0.28499999999999998</v>
      </c>
      <c r="I243" s="456">
        <f>'Key input_Biomass_MAgPIE'!G234</f>
        <v>0.28499999999999998</v>
      </c>
      <c r="J243" s="456">
        <f>'Key input_Biomass_MAgPIE'!H234</f>
        <v>0.28499999999999998</v>
      </c>
      <c r="K243" s="456">
        <f>'Key input_Biomass_MAgPIE'!I234</f>
        <v>0.28499999999999998</v>
      </c>
      <c r="L243" s="456">
        <f>'Key input_Biomass_MAgPIE'!J234</f>
        <v>0.28499999999999998</v>
      </c>
      <c r="M243" s="456">
        <f>'Key input_Biomass_MAgPIE'!K234</f>
        <v>0.28499999999999998</v>
      </c>
      <c r="N243" s="456">
        <f>'Key input_Biomass_MAgPIE'!L234</f>
        <v>0.28499999999999998</v>
      </c>
      <c r="O243" s="456">
        <f>'Key input_Biomass_MAgPIE'!M234</f>
        <v>0.28499999999999998</v>
      </c>
      <c r="P243" s="456">
        <f>'Key input_Biomass_MAgPIE'!N234</f>
        <v>0.28499999999999998</v>
      </c>
      <c r="Q243" s="456">
        <f>'Key input_Biomass_MAgPIE'!O234</f>
        <v>0.28499999999999998</v>
      </c>
      <c r="R243" s="456">
        <f>'Key input_Biomass_MAgPIE'!P234</f>
        <v>0.28499999999999998</v>
      </c>
      <c r="S243" s="456">
        <f>'Key input_Biomass_MAgPIE'!Q234</f>
        <v>0.28499999999999998</v>
      </c>
      <c r="T243" s="456">
        <f>'Key input_Biomass_MAgPIE'!R234</f>
        <v>0.28499999999999998</v>
      </c>
      <c r="U243" s="456">
        <f>'Key input_Biomass_MAgPIE'!S234</f>
        <v>0.28499999999999998</v>
      </c>
      <c r="V243" s="456">
        <f>'Key input_Biomass_MAgPIE'!T234</f>
        <v>0.28499999999999998</v>
      </c>
      <c r="W243" s="456">
        <f>'Key input_Biomass_MAgPIE'!U234</f>
        <v>0.28499999999999998</v>
      </c>
      <c r="X243" s="456">
        <f>'Key input_Biomass_MAgPIE'!V234</f>
        <v>0.28499999999999998</v>
      </c>
      <c r="Y243" s="456">
        <f>'Key input_Biomass_MAgPIE'!W234</f>
        <v>0.28499999999999998</v>
      </c>
      <c r="Z243" s="456">
        <f>'Key input_Biomass_MAgPIE'!X234</f>
        <v>0.28499999999999998</v>
      </c>
      <c r="AA243" s="456">
        <f>'Key input_Biomass_MAgPIE'!Y234</f>
        <v>0.28499999999999998</v>
      </c>
      <c r="AB243" s="456">
        <f>'Key input_Biomass_MAgPIE'!Z234</f>
        <v>0.28499999999999998</v>
      </c>
      <c r="AC243" s="456">
        <f>'Key input_Biomass_MAgPIE'!AA234</f>
        <v>0.28499999999999998</v>
      </c>
      <c r="AD243" s="456">
        <f>'Key input_Biomass_MAgPIE'!AB234</f>
        <v>0.28499999999999998</v>
      </c>
      <c r="AE243" s="456">
        <f>'Key input_Biomass_MAgPIE'!AC234</f>
        <v>0.28499999999999998</v>
      </c>
      <c r="AF243" s="456">
        <f>'Key input_Biomass_MAgPIE'!AD234</f>
        <v>0.28499999999999998</v>
      </c>
      <c r="AG243" s="456">
        <f>'Key input_Biomass_MAgPIE'!AE234</f>
        <v>0.28499999999999998</v>
      </c>
      <c r="AH243" s="456">
        <f>'Key input_Biomass_MAgPIE'!AF234</f>
        <v>0.28499999999999998</v>
      </c>
    </row>
    <row r="244" spans="1:34">
      <c r="A244" s="4" t="str">
        <f t="shared" si="96"/>
        <v>MIN-RSVBIOWOO3</v>
      </c>
      <c r="B244" s="4" t="str">
        <f t="shared" si="93"/>
        <v>UPS Reserves of Biomass - Forest residues - Reserve - Supply curve step 3</v>
      </c>
      <c r="C244" s="4" t="str">
        <f t="shared" si="94"/>
        <v>RSVBIOWOO</v>
      </c>
      <c r="D244" s="4" t="str">
        <f t="shared" si="95"/>
        <v>ACT_COST</v>
      </c>
      <c r="E244" s="4"/>
      <c r="F244" s="4">
        <v>2040</v>
      </c>
      <c r="G244" s="456">
        <f>'Key input_Biomass_MAgPIE'!E235</f>
        <v>0.28499999999999998</v>
      </c>
      <c r="H244" s="456">
        <f>'Key input_Biomass_MAgPIE'!F235</f>
        <v>0.28499999999999998</v>
      </c>
      <c r="I244" s="456">
        <f>'Key input_Biomass_MAgPIE'!G235</f>
        <v>0.28499999999999998</v>
      </c>
      <c r="J244" s="456">
        <f>'Key input_Biomass_MAgPIE'!H235</f>
        <v>0.28499999999999998</v>
      </c>
      <c r="K244" s="456">
        <f>'Key input_Biomass_MAgPIE'!I235</f>
        <v>0.28499999999999998</v>
      </c>
      <c r="L244" s="456">
        <f>'Key input_Biomass_MAgPIE'!J235</f>
        <v>0.28499999999999998</v>
      </c>
      <c r="M244" s="456">
        <f>'Key input_Biomass_MAgPIE'!K235</f>
        <v>0.28499999999999998</v>
      </c>
      <c r="N244" s="456">
        <f>'Key input_Biomass_MAgPIE'!L235</f>
        <v>0.28499999999999998</v>
      </c>
      <c r="O244" s="456">
        <f>'Key input_Biomass_MAgPIE'!M235</f>
        <v>0.28499999999999998</v>
      </c>
      <c r="P244" s="456">
        <f>'Key input_Biomass_MAgPIE'!N235</f>
        <v>0.28499999999999998</v>
      </c>
      <c r="Q244" s="456">
        <f>'Key input_Biomass_MAgPIE'!O235</f>
        <v>0.28499999999999998</v>
      </c>
      <c r="R244" s="456">
        <f>'Key input_Biomass_MAgPIE'!P235</f>
        <v>0.28499999999999998</v>
      </c>
      <c r="S244" s="456">
        <f>'Key input_Biomass_MAgPIE'!Q235</f>
        <v>0.28499999999999998</v>
      </c>
      <c r="T244" s="456">
        <f>'Key input_Biomass_MAgPIE'!R235</f>
        <v>0.28499999999999998</v>
      </c>
      <c r="U244" s="456">
        <f>'Key input_Biomass_MAgPIE'!S235</f>
        <v>0.28499999999999998</v>
      </c>
      <c r="V244" s="456">
        <f>'Key input_Biomass_MAgPIE'!T235</f>
        <v>0.28499999999999998</v>
      </c>
      <c r="W244" s="456">
        <f>'Key input_Biomass_MAgPIE'!U235</f>
        <v>0.28499999999999998</v>
      </c>
      <c r="X244" s="456">
        <f>'Key input_Biomass_MAgPIE'!V235</f>
        <v>0.28499999999999998</v>
      </c>
      <c r="Y244" s="456">
        <f>'Key input_Biomass_MAgPIE'!W235</f>
        <v>0.28499999999999998</v>
      </c>
      <c r="Z244" s="456">
        <f>'Key input_Biomass_MAgPIE'!X235</f>
        <v>0.28499999999999998</v>
      </c>
      <c r="AA244" s="456">
        <f>'Key input_Biomass_MAgPIE'!Y235</f>
        <v>0.28499999999999998</v>
      </c>
      <c r="AB244" s="456">
        <f>'Key input_Biomass_MAgPIE'!Z235</f>
        <v>0.28499999999999998</v>
      </c>
      <c r="AC244" s="456">
        <f>'Key input_Biomass_MAgPIE'!AA235</f>
        <v>0.28499999999999998</v>
      </c>
      <c r="AD244" s="456">
        <f>'Key input_Biomass_MAgPIE'!AB235</f>
        <v>0.28499999999999998</v>
      </c>
      <c r="AE244" s="456">
        <f>'Key input_Biomass_MAgPIE'!AC235</f>
        <v>0.28499999999999998</v>
      </c>
      <c r="AF244" s="456">
        <f>'Key input_Biomass_MAgPIE'!AD235</f>
        <v>0.28499999999999998</v>
      </c>
      <c r="AG244" s="456">
        <f>'Key input_Biomass_MAgPIE'!AE235</f>
        <v>0.28499999999999998</v>
      </c>
      <c r="AH244" s="456">
        <f>'Key input_Biomass_MAgPIE'!AF235</f>
        <v>0.28499999999999998</v>
      </c>
    </row>
    <row r="245" spans="1:34">
      <c r="A245" s="4" t="str">
        <f t="shared" si="96"/>
        <v>MIN-RSVBIOWOO3</v>
      </c>
      <c r="B245" s="4" t="str">
        <f t="shared" si="93"/>
        <v>UPS Reserves of Biomass - Forest residues - Reserve - Supply curve step 3</v>
      </c>
      <c r="C245" s="4" t="str">
        <f t="shared" si="94"/>
        <v>RSVBIOWOO</v>
      </c>
      <c r="D245" s="4" t="str">
        <f t="shared" si="95"/>
        <v>ACT_COST</v>
      </c>
      <c r="E245" s="4"/>
      <c r="F245" s="4">
        <v>2045</v>
      </c>
      <c r="G245" s="456">
        <f>'Key input_Biomass_MAgPIE'!E236</f>
        <v>0.28499999999999998</v>
      </c>
      <c r="H245" s="456">
        <f>'Key input_Biomass_MAgPIE'!F236</f>
        <v>0.28499999999999998</v>
      </c>
      <c r="I245" s="456">
        <f>'Key input_Biomass_MAgPIE'!G236</f>
        <v>0.28499999999999998</v>
      </c>
      <c r="J245" s="456">
        <f>'Key input_Biomass_MAgPIE'!H236</f>
        <v>0.28499999999999998</v>
      </c>
      <c r="K245" s="456">
        <f>'Key input_Biomass_MAgPIE'!I236</f>
        <v>0.28499999999999998</v>
      </c>
      <c r="L245" s="456">
        <f>'Key input_Biomass_MAgPIE'!J236</f>
        <v>0.28499999999999998</v>
      </c>
      <c r="M245" s="456">
        <f>'Key input_Biomass_MAgPIE'!K236</f>
        <v>0.28499999999999998</v>
      </c>
      <c r="N245" s="456">
        <f>'Key input_Biomass_MAgPIE'!L236</f>
        <v>0.28499999999999998</v>
      </c>
      <c r="O245" s="456">
        <f>'Key input_Biomass_MAgPIE'!M236</f>
        <v>0.28499999999999998</v>
      </c>
      <c r="P245" s="456">
        <f>'Key input_Biomass_MAgPIE'!N236</f>
        <v>0.28499999999999998</v>
      </c>
      <c r="Q245" s="456">
        <f>'Key input_Biomass_MAgPIE'!O236</f>
        <v>0.28499999999999998</v>
      </c>
      <c r="R245" s="456">
        <f>'Key input_Biomass_MAgPIE'!P236</f>
        <v>0.28499999999999998</v>
      </c>
      <c r="S245" s="456">
        <f>'Key input_Biomass_MAgPIE'!Q236</f>
        <v>0.28499999999999998</v>
      </c>
      <c r="T245" s="456">
        <f>'Key input_Biomass_MAgPIE'!R236</f>
        <v>0.28499999999999998</v>
      </c>
      <c r="U245" s="456">
        <f>'Key input_Biomass_MAgPIE'!S236</f>
        <v>0.28499999999999998</v>
      </c>
      <c r="V245" s="456">
        <f>'Key input_Biomass_MAgPIE'!T236</f>
        <v>0.28499999999999998</v>
      </c>
      <c r="W245" s="456">
        <f>'Key input_Biomass_MAgPIE'!U236</f>
        <v>0.28499999999999998</v>
      </c>
      <c r="X245" s="456">
        <f>'Key input_Biomass_MAgPIE'!V236</f>
        <v>0.28499999999999998</v>
      </c>
      <c r="Y245" s="456">
        <f>'Key input_Biomass_MAgPIE'!W236</f>
        <v>0.28499999999999998</v>
      </c>
      <c r="Z245" s="456">
        <f>'Key input_Biomass_MAgPIE'!X236</f>
        <v>0.28499999999999998</v>
      </c>
      <c r="AA245" s="456">
        <f>'Key input_Biomass_MAgPIE'!Y236</f>
        <v>0.28499999999999998</v>
      </c>
      <c r="AB245" s="456">
        <f>'Key input_Biomass_MAgPIE'!Z236</f>
        <v>0.28499999999999998</v>
      </c>
      <c r="AC245" s="456">
        <f>'Key input_Biomass_MAgPIE'!AA236</f>
        <v>0.28499999999999998</v>
      </c>
      <c r="AD245" s="456">
        <f>'Key input_Biomass_MAgPIE'!AB236</f>
        <v>0.28499999999999998</v>
      </c>
      <c r="AE245" s="456">
        <f>'Key input_Biomass_MAgPIE'!AC236</f>
        <v>0.28499999999999998</v>
      </c>
      <c r="AF245" s="456">
        <f>'Key input_Biomass_MAgPIE'!AD236</f>
        <v>0.28499999999999998</v>
      </c>
      <c r="AG245" s="456">
        <f>'Key input_Biomass_MAgPIE'!AE236</f>
        <v>0.28499999999999998</v>
      </c>
      <c r="AH245" s="456">
        <f>'Key input_Biomass_MAgPIE'!AF236</f>
        <v>0.28499999999999998</v>
      </c>
    </row>
    <row r="246" spans="1:34">
      <c r="A246" s="4" t="str">
        <f t="shared" si="96"/>
        <v>MIN-RSVBIOWOO3</v>
      </c>
      <c r="B246" s="4" t="str">
        <f t="shared" si="93"/>
        <v>UPS Reserves of Biomass - Forest residues - Reserve - Supply curve step 3</v>
      </c>
      <c r="C246" s="4" t="str">
        <f t="shared" si="94"/>
        <v>RSVBIOWOO</v>
      </c>
      <c r="D246" s="4" t="str">
        <f t="shared" si="95"/>
        <v>ACT_COST</v>
      </c>
      <c r="E246" s="4"/>
      <c r="F246" s="4">
        <v>2050</v>
      </c>
      <c r="G246" s="456">
        <f>'Key input_Biomass_MAgPIE'!E237</f>
        <v>0.28499999999999998</v>
      </c>
      <c r="H246" s="456">
        <f>'Key input_Biomass_MAgPIE'!F237</f>
        <v>0.28499999999999998</v>
      </c>
      <c r="I246" s="456">
        <f>'Key input_Biomass_MAgPIE'!G237</f>
        <v>0.28499999999999998</v>
      </c>
      <c r="J246" s="456">
        <f>'Key input_Biomass_MAgPIE'!H237</f>
        <v>0.28499999999999998</v>
      </c>
      <c r="K246" s="456">
        <f>'Key input_Biomass_MAgPIE'!I237</f>
        <v>0.28499999999999998</v>
      </c>
      <c r="L246" s="456">
        <f>'Key input_Biomass_MAgPIE'!J237</f>
        <v>0.28499999999999998</v>
      </c>
      <c r="M246" s="456">
        <f>'Key input_Biomass_MAgPIE'!K237</f>
        <v>0.28499999999999998</v>
      </c>
      <c r="N246" s="456">
        <f>'Key input_Biomass_MAgPIE'!L237</f>
        <v>0.28499999999999998</v>
      </c>
      <c r="O246" s="456">
        <f>'Key input_Biomass_MAgPIE'!M237</f>
        <v>0.28499999999999998</v>
      </c>
      <c r="P246" s="456">
        <f>'Key input_Biomass_MAgPIE'!N237</f>
        <v>0.28499999999999998</v>
      </c>
      <c r="Q246" s="456">
        <f>'Key input_Biomass_MAgPIE'!O237</f>
        <v>0.28499999999999998</v>
      </c>
      <c r="R246" s="456">
        <f>'Key input_Biomass_MAgPIE'!P237</f>
        <v>0.28499999999999998</v>
      </c>
      <c r="S246" s="456">
        <f>'Key input_Biomass_MAgPIE'!Q237</f>
        <v>0.28499999999999998</v>
      </c>
      <c r="T246" s="456">
        <f>'Key input_Biomass_MAgPIE'!R237</f>
        <v>0.28499999999999998</v>
      </c>
      <c r="U246" s="456">
        <f>'Key input_Biomass_MAgPIE'!S237</f>
        <v>0.28499999999999998</v>
      </c>
      <c r="V246" s="456">
        <f>'Key input_Biomass_MAgPIE'!T237</f>
        <v>0.28499999999999998</v>
      </c>
      <c r="W246" s="456">
        <f>'Key input_Biomass_MAgPIE'!U237</f>
        <v>0.28499999999999998</v>
      </c>
      <c r="X246" s="456">
        <f>'Key input_Biomass_MAgPIE'!V237</f>
        <v>0.28499999999999998</v>
      </c>
      <c r="Y246" s="456">
        <f>'Key input_Biomass_MAgPIE'!W237</f>
        <v>0.28499999999999998</v>
      </c>
      <c r="Z246" s="456">
        <f>'Key input_Biomass_MAgPIE'!X237</f>
        <v>0.28499999999999998</v>
      </c>
      <c r="AA246" s="456">
        <f>'Key input_Biomass_MAgPIE'!Y237</f>
        <v>0.28499999999999998</v>
      </c>
      <c r="AB246" s="456">
        <f>'Key input_Biomass_MAgPIE'!Z237</f>
        <v>0.28499999999999998</v>
      </c>
      <c r="AC246" s="456">
        <f>'Key input_Biomass_MAgPIE'!AA237</f>
        <v>0.28499999999999998</v>
      </c>
      <c r="AD246" s="456">
        <f>'Key input_Biomass_MAgPIE'!AB237</f>
        <v>0.28499999999999998</v>
      </c>
      <c r="AE246" s="456">
        <f>'Key input_Biomass_MAgPIE'!AC237</f>
        <v>0.28499999999999998</v>
      </c>
      <c r="AF246" s="456">
        <f>'Key input_Biomass_MAgPIE'!AD237</f>
        <v>0.28499999999999998</v>
      </c>
      <c r="AG246" s="456">
        <f>'Key input_Biomass_MAgPIE'!AE237</f>
        <v>0.28499999999999998</v>
      </c>
      <c r="AH246" s="456">
        <f>'Key input_Biomass_MAgPIE'!AF237</f>
        <v>0.28499999999999998</v>
      </c>
    </row>
    <row r="247" spans="1:34">
      <c r="A247" s="4" t="str">
        <f t="shared" si="96"/>
        <v>MIN-RSVBIOWOO3</v>
      </c>
      <c r="B247" s="4" t="str">
        <f t="shared" si="93"/>
        <v>UPS Reserves of Biomass - Forest residues - Reserve - Supply curve step 3</v>
      </c>
      <c r="C247" s="4" t="str">
        <f t="shared" si="94"/>
        <v>RSVBIOWOO</v>
      </c>
      <c r="D247" s="4" t="str">
        <f t="shared" si="95"/>
        <v>ACT_COST</v>
      </c>
      <c r="E247" s="4"/>
      <c r="F247" s="4">
        <v>2060</v>
      </c>
      <c r="G247" s="456">
        <f>'Key input_Biomass_MAgPIE'!E238</f>
        <v>0.28499999999999998</v>
      </c>
      <c r="H247" s="456">
        <f>'Key input_Biomass_MAgPIE'!F238</f>
        <v>0.28499999999999998</v>
      </c>
      <c r="I247" s="456">
        <f>'Key input_Biomass_MAgPIE'!G238</f>
        <v>0.28499999999999998</v>
      </c>
      <c r="J247" s="456">
        <f>'Key input_Biomass_MAgPIE'!H238</f>
        <v>0.28499999999999998</v>
      </c>
      <c r="K247" s="456">
        <f>'Key input_Biomass_MAgPIE'!I238</f>
        <v>0.28499999999999998</v>
      </c>
      <c r="L247" s="456">
        <f>'Key input_Biomass_MAgPIE'!J238</f>
        <v>0.28499999999999998</v>
      </c>
      <c r="M247" s="456">
        <f>'Key input_Biomass_MAgPIE'!K238</f>
        <v>0.28499999999999998</v>
      </c>
      <c r="N247" s="456">
        <f>'Key input_Biomass_MAgPIE'!L238</f>
        <v>0.28499999999999998</v>
      </c>
      <c r="O247" s="456">
        <f>'Key input_Biomass_MAgPIE'!M238</f>
        <v>0.28499999999999998</v>
      </c>
      <c r="P247" s="456">
        <f>'Key input_Biomass_MAgPIE'!N238</f>
        <v>0.28499999999999998</v>
      </c>
      <c r="Q247" s="456">
        <f>'Key input_Biomass_MAgPIE'!O238</f>
        <v>0.28499999999999998</v>
      </c>
      <c r="R247" s="456">
        <f>'Key input_Biomass_MAgPIE'!P238</f>
        <v>0.28499999999999998</v>
      </c>
      <c r="S247" s="456">
        <f>'Key input_Biomass_MAgPIE'!Q238</f>
        <v>0.28499999999999998</v>
      </c>
      <c r="T247" s="456">
        <f>'Key input_Biomass_MAgPIE'!R238</f>
        <v>0.28499999999999998</v>
      </c>
      <c r="U247" s="456">
        <f>'Key input_Biomass_MAgPIE'!S238</f>
        <v>0.28499999999999998</v>
      </c>
      <c r="V247" s="456">
        <f>'Key input_Biomass_MAgPIE'!T238</f>
        <v>0.28499999999999998</v>
      </c>
      <c r="W247" s="456">
        <f>'Key input_Biomass_MAgPIE'!U238</f>
        <v>0.28499999999999998</v>
      </c>
      <c r="X247" s="456">
        <f>'Key input_Biomass_MAgPIE'!V238</f>
        <v>0.28499999999999998</v>
      </c>
      <c r="Y247" s="456">
        <f>'Key input_Biomass_MAgPIE'!W238</f>
        <v>0.28499999999999998</v>
      </c>
      <c r="Z247" s="456">
        <f>'Key input_Biomass_MAgPIE'!X238</f>
        <v>0.28499999999999998</v>
      </c>
      <c r="AA247" s="456">
        <f>'Key input_Biomass_MAgPIE'!Y238</f>
        <v>0.28499999999999998</v>
      </c>
      <c r="AB247" s="456">
        <f>'Key input_Biomass_MAgPIE'!Z238</f>
        <v>0.28499999999999998</v>
      </c>
      <c r="AC247" s="456">
        <f>'Key input_Biomass_MAgPIE'!AA238</f>
        <v>0.28499999999999998</v>
      </c>
      <c r="AD247" s="456">
        <f>'Key input_Biomass_MAgPIE'!AB238</f>
        <v>0.28499999999999998</v>
      </c>
      <c r="AE247" s="456">
        <f>'Key input_Biomass_MAgPIE'!AC238</f>
        <v>0.28499999999999998</v>
      </c>
      <c r="AF247" s="456">
        <f>'Key input_Biomass_MAgPIE'!AD238</f>
        <v>0.28499999999999998</v>
      </c>
      <c r="AG247" s="456">
        <f>'Key input_Biomass_MAgPIE'!AE238</f>
        <v>0.28499999999999998</v>
      </c>
      <c r="AH247" s="456">
        <f>'Key input_Biomass_MAgPIE'!AF238</f>
        <v>0.28499999999999998</v>
      </c>
    </row>
    <row r="248" spans="1:34">
      <c r="A248" s="4" t="str">
        <f t="shared" si="96"/>
        <v>MIN-RSVBIOWOO3</v>
      </c>
      <c r="B248" s="4" t="str">
        <f t="shared" si="93"/>
        <v>UPS Reserves of Biomass - Forest residues - Reserve - Supply curve step 3</v>
      </c>
      <c r="C248" s="4" t="str">
        <f t="shared" si="94"/>
        <v>RSVBIOWOO</v>
      </c>
      <c r="D248" s="4" t="str">
        <f t="shared" si="95"/>
        <v>ACT_COST</v>
      </c>
      <c r="E248" s="4"/>
      <c r="F248" s="4">
        <v>2070</v>
      </c>
      <c r="G248" s="456">
        <f>'Key input_Biomass_MAgPIE'!E239</f>
        <v>0.28499999999999998</v>
      </c>
      <c r="H248" s="456">
        <f>'Key input_Biomass_MAgPIE'!F239</f>
        <v>0.28499999999999998</v>
      </c>
      <c r="I248" s="456">
        <f>'Key input_Biomass_MAgPIE'!G239</f>
        <v>0.28499999999999998</v>
      </c>
      <c r="J248" s="456">
        <f>'Key input_Biomass_MAgPIE'!H239</f>
        <v>0.28499999999999998</v>
      </c>
      <c r="K248" s="456">
        <f>'Key input_Biomass_MAgPIE'!I239</f>
        <v>0.28499999999999998</v>
      </c>
      <c r="L248" s="456">
        <f>'Key input_Biomass_MAgPIE'!J239</f>
        <v>0.28499999999999998</v>
      </c>
      <c r="M248" s="456">
        <f>'Key input_Biomass_MAgPIE'!K239</f>
        <v>0.28499999999999998</v>
      </c>
      <c r="N248" s="456">
        <f>'Key input_Biomass_MAgPIE'!L239</f>
        <v>0.28499999999999998</v>
      </c>
      <c r="O248" s="456">
        <f>'Key input_Biomass_MAgPIE'!M239</f>
        <v>0.28499999999999998</v>
      </c>
      <c r="P248" s="456">
        <f>'Key input_Biomass_MAgPIE'!N239</f>
        <v>0.28499999999999998</v>
      </c>
      <c r="Q248" s="456">
        <f>'Key input_Biomass_MAgPIE'!O239</f>
        <v>0.28499999999999998</v>
      </c>
      <c r="R248" s="456">
        <f>'Key input_Biomass_MAgPIE'!P239</f>
        <v>0.28499999999999998</v>
      </c>
      <c r="S248" s="456">
        <f>'Key input_Biomass_MAgPIE'!Q239</f>
        <v>0.28499999999999998</v>
      </c>
      <c r="T248" s="456">
        <f>'Key input_Biomass_MAgPIE'!R239</f>
        <v>0.28499999999999998</v>
      </c>
      <c r="U248" s="456">
        <f>'Key input_Biomass_MAgPIE'!S239</f>
        <v>0.28499999999999998</v>
      </c>
      <c r="V248" s="456">
        <f>'Key input_Biomass_MAgPIE'!T239</f>
        <v>0.28499999999999998</v>
      </c>
      <c r="W248" s="456">
        <f>'Key input_Biomass_MAgPIE'!U239</f>
        <v>0.28499999999999998</v>
      </c>
      <c r="X248" s="456">
        <f>'Key input_Biomass_MAgPIE'!V239</f>
        <v>0.28499999999999998</v>
      </c>
      <c r="Y248" s="456">
        <f>'Key input_Biomass_MAgPIE'!W239</f>
        <v>0.28499999999999998</v>
      </c>
      <c r="Z248" s="456">
        <f>'Key input_Biomass_MAgPIE'!X239</f>
        <v>0.28499999999999998</v>
      </c>
      <c r="AA248" s="456">
        <f>'Key input_Biomass_MAgPIE'!Y239</f>
        <v>0.28499999999999998</v>
      </c>
      <c r="AB248" s="456">
        <f>'Key input_Biomass_MAgPIE'!Z239</f>
        <v>0.28499999999999998</v>
      </c>
      <c r="AC248" s="456">
        <f>'Key input_Biomass_MAgPIE'!AA239</f>
        <v>0.28499999999999998</v>
      </c>
      <c r="AD248" s="456">
        <f>'Key input_Biomass_MAgPIE'!AB239</f>
        <v>0.28499999999999998</v>
      </c>
      <c r="AE248" s="456">
        <f>'Key input_Biomass_MAgPIE'!AC239</f>
        <v>0.28499999999999998</v>
      </c>
      <c r="AF248" s="456">
        <f>'Key input_Biomass_MAgPIE'!AD239</f>
        <v>0.28499999999999998</v>
      </c>
      <c r="AG248" s="456">
        <f>'Key input_Biomass_MAgPIE'!AE239</f>
        <v>0.28499999999999998</v>
      </c>
      <c r="AH248" s="456">
        <f>'Key input_Biomass_MAgPIE'!AF239</f>
        <v>0.28499999999999998</v>
      </c>
    </row>
    <row r="249" spans="1:34">
      <c r="A249" s="4" t="str">
        <f t="shared" si="96"/>
        <v>MIN-RSVBIOWOO3</v>
      </c>
      <c r="B249" s="4" t="str">
        <f t="shared" si="93"/>
        <v>UPS Reserves of Biomass - Forest residues - Reserve - Supply curve step 3</v>
      </c>
      <c r="C249" s="4" t="str">
        <f t="shared" si="94"/>
        <v>RSVBIOWOO</v>
      </c>
      <c r="D249" s="4" t="str">
        <f t="shared" si="95"/>
        <v>ACT_COST</v>
      </c>
      <c r="E249" s="4"/>
      <c r="F249" s="4">
        <v>2080</v>
      </c>
      <c r="G249" s="456">
        <f>'Key input_Biomass_MAgPIE'!E240</f>
        <v>0.28499999999999998</v>
      </c>
      <c r="H249" s="456">
        <f>'Key input_Biomass_MAgPIE'!F240</f>
        <v>0.28499999999999998</v>
      </c>
      <c r="I249" s="456">
        <f>'Key input_Biomass_MAgPIE'!G240</f>
        <v>0.28499999999999998</v>
      </c>
      <c r="J249" s="456">
        <f>'Key input_Biomass_MAgPIE'!H240</f>
        <v>0.28499999999999998</v>
      </c>
      <c r="K249" s="456">
        <f>'Key input_Biomass_MAgPIE'!I240</f>
        <v>0.28499999999999998</v>
      </c>
      <c r="L249" s="456">
        <f>'Key input_Biomass_MAgPIE'!J240</f>
        <v>0.28499999999999998</v>
      </c>
      <c r="M249" s="456">
        <f>'Key input_Biomass_MAgPIE'!K240</f>
        <v>0.28499999999999998</v>
      </c>
      <c r="N249" s="456">
        <f>'Key input_Biomass_MAgPIE'!L240</f>
        <v>0.28499999999999998</v>
      </c>
      <c r="O249" s="456">
        <f>'Key input_Biomass_MAgPIE'!M240</f>
        <v>0.28499999999999998</v>
      </c>
      <c r="P249" s="456">
        <f>'Key input_Biomass_MAgPIE'!N240</f>
        <v>0.28499999999999998</v>
      </c>
      <c r="Q249" s="456">
        <f>'Key input_Biomass_MAgPIE'!O240</f>
        <v>0.28499999999999998</v>
      </c>
      <c r="R249" s="456">
        <f>'Key input_Biomass_MAgPIE'!P240</f>
        <v>0.28499999999999998</v>
      </c>
      <c r="S249" s="456">
        <f>'Key input_Biomass_MAgPIE'!Q240</f>
        <v>0.28499999999999998</v>
      </c>
      <c r="T249" s="456">
        <f>'Key input_Biomass_MAgPIE'!R240</f>
        <v>0.28499999999999998</v>
      </c>
      <c r="U249" s="456">
        <f>'Key input_Biomass_MAgPIE'!S240</f>
        <v>0.28499999999999998</v>
      </c>
      <c r="V249" s="456">
        <f>'Key input_Biomass_MAgPIE'!T240</f>
        <v>0.28499999999999998</v>
      </c>
      <c r="W249" s="456">
        <f>'Key input_Biomass_MAgPIE'!U240</f>
        <v>0.28499999999999998</v>
      </c>
      <c r="X249" s="456">
        <f>'Key input_Biomass_MAgPIE'!V240</f>
        <v>0.28499999999999998</v>
      </c>
      <c r="Y249" s="456">
        <f>'Key input_Biomass_MAgPIE'!W240</f>
        <v>0.28499999999999998</v>
      </c>
      <c r="Z249" s="456">
        <f>'Key input_Biomass_MAgPIE'!X240</f>
        <v>0.28499999999999998</v>
      </c>
      <c r="AA249" s="456">
        <f>'Key input_Biomass_MAgPIE'!Y240</f>
        <v>0.28499999999999998</v>
      </c>
      <c r="AB249" s="456">
        <f>'Key input_Biomass_MAgPIE'!Z240</f>
        <v>0.28499999999999998</v>
      </c>
      <c r="AC249" s="456">
        <f>'Key input_Biomass_MAgPIE'!AA240</f>
        <v>0.28499999999999998</v>
      </c>
      <c r="AD249" s="456">
        <f>'Key input_Biomass_MAgPIE'!AB240</f>
        <v>0.28499999999999998</v>
      </c>
      <c r="AE249" s="456">
        <f>'Key input_Biomass_MAgPIE'!AC240</f>
        <v>0.28499999999999998</v>
      </c>
      <c r="AF249" s="456">
        <f>'Key input_Biomass_MAgPIE'!AD240</f>
        <v>0.28499999999999998</v>
      </c>
      <c r="AG249" s="456">
        <f>'Key input_Biomass_MAgPIE'!AE240</f>
        <v>0.28499999999999998</v>
      </c>
      <c r="AH249" s="456">
        <f>'Key input_Biomass_MAgPIE'!AF240</f>
        <v>0.28499999999999998</v>
      </c>
    </row>
    <row r="250" spans="1:34">
      <c r="A250" s="4" t="str">
        <f t="shared" si="96"/>
        <v>MIN-RSVBIOWOO3</v>
      </c>
      <c r="B250" s="4" t="str">
        <f t="shared" si="93"/>
        <v>UPS Reserves of Biomass - Forest residues - Reserve - Supply curve step 3</v>
      </c>
      <c r="C250" s="4" t="str">
        <f t="shared" si="94"/>
        <v>RSVBIOWOO</v>
      </c>
      <c r="D250" s="4" t="str">
        <f t="shared" si="95"/>
        <v>ACT_COST</v>
      </c>
      <c r="E250" s="4"/>
      <c r="F250" s="4">
        <v>2090</v>
      </c>
      <c r="G250" s="456">
        <f>'Key input_Biomass_MAgPIE'!E241</f>
        <v>0.28499999999999998</v>
      </c>
      <c r="H250" s="456">
        <f>'Key input_Biomass_MAgPIE'!F241</f>
        <v>0.28499999999999998</v>
      </c>
      <c r="I250" s="456">
        <f>'Key input_Biomass_MAgPIE'!G241</f>
        <v>0.28499999999999998</v>
      </c>
      <c r="J250" s="456">
        <f>'Key input_Biomass_MAgPIE'!H241</f>
        <v>0.28499999999999998</v>
      </c>
      <c r="K250" s="456">
        <f>'Key input_Biomass_MAgPIE'!I241</f>
        <v>0.28499999999999998</v>
      </c>
      <c r="L250" s="456">
        <f>'Key input_Biomass_MAgPIE'!J241</f>
        <v>0.28499999999999998</v>
      </c>
      <c r="M250" s="456">
        <f>'Key input_Biomass_MAgPIE'!K241</f>
        <v>0.28499999999999998</v>
      </c>
      <c r="N250" s="456">
        <f>'Key input_Biomass_MAgPIE'!L241</f>
        <v>0.28499999999999998</v>
      </c>
      <c r="O250" s="456">
        <f>'Key input_Biomass_MAgPIE'!M241</f>
        <v>0.28499999999999998</v>
      </c>
      <c r="P250" s="456">
        <f>'Key input_Biomass_MAgPIE'!N241</f>
        <v>0.28499999999999998</v>
      </c>
      <c r="Q250" s="456">
        <f>'Key input_Biomass_MAgPIE'!O241</f>
        <v>0.28499999999999998</v>
      </c>
      <c r="R250" s="456">
        <f>'Key input_Biomass_MAgPIE'!P241</f>
        <v>0.28499999999999998</v>
      </c>
      <c r="S250" s="456">
        <f>'Key input_Biomass_MAgPIE'!Q241</f>
        <v>0.28499999999999998</v>
      </c>
      <c r="T250" s="456">
        <f>'Key input_Biomass_MAgPIE'!R241</f>
        <v>0.28499999999999998</v>
      </c>
      <c r="U250" s="456">
        <f>'Key input_Biomass_MAgPIE'!S241</f>
        <v>0.28499999999999998</v>
      </c>
      <c r="V250" s="456">
        <f>'Key input_Biomass_MAgPIE'!T241</f>
        <v>0.28499999999999998</v>
      </c>
      <c r="W250" s="456">
        <f>'Key input_Biomass_MAgPIE'!U241</f>
        <v>0.28499999999999998</v>
      </c>
      <c r="X250" s="456">
        <f>'Key input_Biomass_MAgPIE'!V241</f>
        <v>0.28499999999999998</v>
      </c>
      <c r="Y250" s="456">
        <f>'Key input_Biomass_MAgPIE'!W241</f>
        <v>0.28499999999999998</v>
      </c>
      <c r="Z250" s="456">
        <f>'Key input_Biomass_MAgPIE'!X241</f>
        <v>0.28499999999999998</v>
      </c>
      <c r="AA250" s="456">
        <f>'Key input_Biomass_MAgPIE'!Y241</f>
        <v>0.28499999999999998</v>
      </c>
      <c r="AB250" s="456">
        <f>'Key input_Biomass_MAgPIE'!Z241</f>
        <v>0.28499999999999998</v>
      </c>
      <c r="AC250" s="456">
        <f>'Key input_Biomass_MAgPIE'!AA241</f>
        <v>0.28499999999999998</v>
      </c>
      <c r="AD250" s="456">
        <f>'Key input_Biomass_MAgPIE'!AB241</f>
        <v>0.28499999999999998</v>
      </c>
      <c r="AE250" s="456">
        <f>'Key input_Biomass_MAgPIE'!AC241</f>
        <v>0.28499999999999998</v>
      </c>
      <c r="AF250" s="456">
        <f>'Key input_Biomass_MAgPIE'!AD241</f>
        <v>0.28499999999999998</v>
      </c>
      <c r="AG250" s="456">
        <f>'Key input_Biomass_MAgPIE'!AE241</f>
        <v>0.28499999999999998</v>
      </c>
      <c r="AH250" s="456">
        <f>'Key input_Biomass_MAgPIE'!AF241</f>
        <v>0.28499999999999998</v>
      </c>
    </row>
    <row r="251" spans="1:34" ht="16.2" thickBot="1">
      <c r="A251" s="454" t="str">
        <f t="shared" si="96"/>
        <v>MIN-RSVBIOWOO3</v>
      </c>
      <c r="B251" s="454" t="str">
        <f t="shared" si="93"/>
        <v>UPS Reserves of Biomass - Forest residues - Reserve - Supply curve step 3</v>
      </c>
      <c r="C251" s="454" t="str">
        <f t="shared" si="94"/>
        <v>RSVBIOWOO</v>
      </c>
      <c r="D251" s="454" t="str">
        <f t="shared" si="95"/>
        <v>ACT_COST</v>
      </c>
      <c r="E251" s="454"/>
      <c r="F251" s="454">
        <v>2100</v>
      </c>
      <c r="G251" s="455">
        <f>'Key input_Biomass_MAgPIE'!E242</f>
        <v>0.28499999999999998</v>
      </c>
      <c r="H251" s="455">
        <f>'Key input_Biomass_MAgPIE'!F242</f>
        <v>0.28499999999999998</v>
      </c>
      <c r="I251" s="455">
        <f>'Key input_Biomass_MAgPIE'!G242</f>
        <v>0.28499999999999998</v>
      </c>
      <c r="J251" s="455">
        <f>'Key input_Biomass_MAgPIE'!H242</f>
        <v>0.28499999999999998</v>
      </c>
      <c r="K251" s="455">
        <f>'Key input_Biomass_MAgPIE'!I242</f>
        <v>0.28499999999999998</v>
      </c>
      <c r="L251" s="455">
        <f>'Key input_Biomass_MAgPIE'!J242</f>
        <v>0.28499999999999998</v>
      </c>
      <c r="M251" s="455">
        <f>'Key input_Biomass_MAgPIE'!K242</f>
        <v>0.28499999999999998</v>
      </c>
      <c r="N251" s="455">
        <f>'Key input_Biomass_MAgPIE'!L242</f>
        <v>0.28499999999999998</v>
      </c>
      <c r="O251" s="455">
        <f>'Key input_Biomass_MAgPIE'!M242</f>
        <v>0.28499999999999998</v>
      </c>
      <c r="P251" s="455">
        <f>'Key input_Biomass_MAgPIE'!N242</f>
        <v>0.28499999999999998</v>
      </c>
      <c r="Q251" s="455">
        <f>'Key input_Biomass_MAgPIE'!O242</f>
        <v>0.28499999999999998</v>
      </c>
      <c r="R251" s="455">
        <f>'Key input_Biomass_MAgPIE'!P242</f>
        <v>0.28499999999999998</v>
      </c>
      <c r="S251" s="455">
        <f>'Key input_Biomass_MAgPIE'!Q242</f>
        <v>0.28499999999999998</v>
      </c>
      <c r="T251" s="455">
        <f>'Key input_Biomass_MAgPIE'!R242</f>
        <v>0.28499999999999998</v>
      </c>
      <c r="U251" s="455">
        <f>'Key input_Biomass_MAgPIE'!S242</f>
        <v>0.28499999999999998</v>
      </c>
      <c r="V251" s="455">
        <f>'Key input_Biomass_MAgPIE'!T242</f>
        <v>0.28499999999999998</v>
      </c>
      <c r="W251" s="455">
        <f>'Key input_Biomass_MAgPIE'!U242</f>
        <v>0.28499999999999998</v>
      </c>
      <c r="X251" s="455">
        <f>'Key input_Biomass_MAgPIE'!V242</f>
        <v>0.28499999999999998</v>
      </c>
      <c r="Y251" s="455">
        <f>'Key input_Biomass_MAgPIE'!W242</f>
        <v>0.28499999999999998</v>
      </c>
      <c r="Z251" s="455">
        <f>'Key input_Biomass_MAgPIE'!X242</f>
        <v>0.28499999999999998</v>
      </c>
      <c r="AA251" s="455">
        <f>'Key input_Biomass_MAgPIE'!Y242</f>
        <v>0.28499999999999998</v>
      </c>
      <c r="AB251" s="455">
        <f>'Key input_Biomass_MAgPIE'!Z242</f>
        <v>0.28499999999999998</v>
      </c>
      <c r="AC251" s="455">
        <f>'Key input_Biomass_MAgPIE'!AA242</f>
        <v>0.28499999999999998</v>
      </c>
      <c r="AD251" s="455">
        <f>'Key input_Biomass_MAgPIE'!AB242</f>
        <v>0.28499999999999998</v>
      </c>
      <c r="AE251" s="455">
        <f>'Key input_Biomass_MAgPIE'!AC242</f>
        <v>0.28499999999999998</v>
      </c>
      <c r="AF251" s="455">
        <f>'Key input_Biomass_MAgPIE'!AD242</f>
        <v>0.28499999999999998</v>
      </c>
      <c r="AG251" s="455">
        <f>'Key input_Biomass_MAgPIE'!AE242</f>
        <v>0.28499999999999998</v>
      </c>
      <c r="AH251" s="455">
        <f>'Key input_Biomass_MAgPIE'!AF242</f>
        <v>0.28499999999999998</v>
      </c>
    </row>
    <row r="252" spans="1:34">
      <c r="A252" s="4" t="str">
        <f>AK14</f>
        <v>MIN-RSVBIOCRP1</v>
      </c>
      <c r="B252" s="4" t="str">
        <f>AL14</f>
        <v>UPS Reserves of Biomass - Crops grown for energy - Reserve - Supply curve step 1</v>
      </c>
      <c r="C252" s="4" t="str">
        <f>Commodities!$C$16</f>
        <v>RSVBIOCRP</v>
      </c>
      <c r="D252" s="4" t="s">
        <v>675</v>
      </c>
      <c r="E252" s="4"/>
      <c r="F252" s="4">
        <v>2019</v>
      </c>
      <c r="G252" s="258">
        <f>'Key input_Biomass_MAgPIE'!E243</f>
        <v>9.5000000000000001E-2</v>
      </c>
      <c r="H252" s="258">
        <f>'Key input_Biomass_MAgPIE'!F243</f>
        <v>9.5000000000000001E-2</v>
      </c>
      <c r="I252" s="258">
        <f>'Key input_Biomass_MAgPIE'!G243</f>
        <v>9.5000000000000001E-2</v>
      </c>
      <c r="J252" s="258">
        <f>'Key input_Biomass_MAgPIE'!H243</f>
        <v>9.5000000000000001E-2</v>
      </c>
      <c r="K252" s="258">
        <f>'Key input_Biomass_MAgPIE'!I243</f>
        <v>9.5000000000000001E-2</v>
      </c>
      <c r="L252" s="258">
        <f>'Key input_Biomass_MAgPIE'!J243</f>
        <v>9.5000000000000001E-2</v>
      </c>
      <c r="M252" s="258">
        <f>'Key input_Biomass_MAgPIE'!K243</f>
        <v>9.5000000000000001E-2</v>
      </c>
      <c r="N252" s="258">
        <f>'Key input_Biomass_MAgPIE'!L243</f>
        <v>9.5000000000000001E-2</v>
      </c>
      <c r="O252" s="258">
        <f>'Key input_Biomass_MAgPIE'!M243</f>
        <v>9.5000000000000001E-2</v>
      </c>
      <c r="P252" s="258">
        <f>'Key input_Biomass_MAgPIE'!N243</f>
        <v>9.5000000000000001E-2</v>
      </c>
      <c r="Q252" s="258">
        <f>'Key input_Biomass_MAgPIE'!O243</f>
        <v>9.5000000000000001E-2</v>
      </c>
      <c r="R252" s="258">
        <f>'Key input_Biomass_MAgPIE'!P243</f>
        <v>9.5000000000000001E-2</v>
      </c>
      <c r="S252" s="258">
        <f>'Key input_Biomass_MAgPIE'!Q243</f>
        <v>9.5000000000000001E-2</v>
      </c>
      <c r="T252" s="258">
        <f>'Key input_Biomass_MAgPIE'!R243</f>
        <v>9.5000000000000001E-2</v>
      </c>
      <c r="U252" s="258">
        <f>'Key input_Biomass_MAgPIE'!S243</f>
        <v>9.5000000000000001E-2</v>
      </c>
      <c r="V252" s="258">
        <f>'Key input_Biomass_MAgPIE'!T243</f>
        <v>9.5000000000000001E-2</v>
      </c>
      <c r="W252" s="258">
        <f>'Key input_Biomass_MAgPIE'!U243</f>
        <v>9.5000000000000001E-2</v>
      </c>
      <c r="X252" s="258">
        <f>'Key input_Biomass_MAgPIE'!V243</f>
        <v>9.5000000000000001E-2</v>
      </c>
      <c r="Y252" s="258">
        <f>'Key input_Biomass_MAgPIE'!W243</f>
        <v>9.5000000000000001E-2</v>
      </c>
      <c r="Z252" s="258">
        <f>'Key input_Biomass_MAgPIE'!X243</f>
        <v>9.5000000000000001E-2</v>
      </c>
      <c r="AA252" s="258">
        <f>'Key input_Biomass_MAgPIE'!Y243</f>
        <v>9.5000000000000001E-2</v>
      </c>
      <c r="AB252" s="258">
        <f>'Key input_Biomass_MAgPIE'!Z243</f>
        <v>9.5000000000000001E-2</v>
      </c>
      <c r="AC252" s="258">
        <f>'Key input_Biomass_MAgPIE'!AA243</f>
        <v>9.5000000000000001E-2</v>
      </c>
      <c r="AD252" s="258">
        <f>'Key input_Biomass_MAgPIE'!AB243</f>
        <v>9.5000000000000001E-2</v>
      </c>
      <c r="AE252" s="258">
        <f>'Key input_Biomass_MAgPIE'!AC243</f>
        <v>9.5000000000000001E-2</v>
      </c>
      <c r="AF252" s="258">
        <f>'Key input_Biomass_MAgPIE'!AD243</f>
        <v>9.5000000000000001E-2</v>
      </c>
      <c r="AG252" s="258">
        <f>'Key input_Biomass_MAgPIE'!AE243</f>
        <v>9.5000000000000001E-2</v>
      </c>
      <c r="AH252" s="258">
        <f>'Key input_Biomass_MAgPIE'!AF243</f>
        <v>9.5000000000000001E-2</v>
      </c>
    </row>
    <row r="253" spans="1:34">
      <c r="A253" s="4" t="str">
        <f>A252</f>
        <v>MIN-RSVBIOCRP1</v>
      </c>
      <c r="B253" s="4" t="str">
        <f t="shared" ref="B253:B264" si="97">B252</f>
        <v>UPS Reserves of Biomass - Crops grown for energy - Reserve - Supply curve step 1</v>
      </c>
      <c r="C253" s="4" t="str">
        <f t="shared" ref="C253:C264" si="98">C252</f>
        <v>RSVBIOCRP</v>
      </c>
      <c r="D253" s="4" t="str">
        <f t="shared" ref="D253:D264" si="99">D252</f>
        <v>ACT_COST</v>
      </c>
      <c r="E253" s="4"/>
      <c r="F253" s="4">
        <v>2020</v>
      </c>
      <c r="G253" s="456">
        <f>'Key input_Biomass_MAgPIE'!E244</f>
        <v>9.5000000000000001E-2</v>
      </c>
      <c r="H253" s="456">
        <f>'Key input_Biomass_MAgPIE'!F244</f>
        <v>9.5000000000000001E-2</v>
      </c>
      <c r="I253" s="456">
        <f>'Key input_Biomass_MAgPIE'!G244</f>
        <v>9.5000000000000001E-2</v>
      </c>
      <c r="J253" s="456">
        <f>'Key input_Biomass_MAgPIE'!H244</f>
        <v>9.5000000000000001E-2</v>
      </c>
      <c r="K253" s="456">
        <f>'Key input_Biomass_MAgPIE'!I244</f>
        <v>9.5000000000000001E-2</v>
      </c>
      <c r="L253" s="456">
        <f>'Key input_Biomass_MAgPIE'!J244</f>
        <v>9.5000000000000001E-2</v>
      </c>
      <c r="M253" s="456">
        <f>'Key input_Biomass_MAgPIE'!K244</f>
        <v>9.5000000000000001E-2</v>
      </c>
      <c r="N253" s="456">
        <f>'Key input_Biomass_MAgPIE'!L244</f>
        <v>9.5000000000000001E-2</v>
      </c>
      <c r="O253" s="456">
        <f>'Key input_Biomass_MAgPIE'!M244</f>
        <v>9.5000000000000001E-2</v>
      </c>
      <c r="P253" s="456">
        <f>'Key input_Biomass_MAgPIE'!N244</f>
        <v>9.5000000000000001E-2</v>
      </c>
      <c r="Q253" s="456">
        <f>'Key input_Biomass_MAgPIE'!O244</f>
        <v>9.5000000000000001E-2</v>
      </c>
      <c r="R253" s="456">
        <f>'Key input_Biomass_MAgPIE'!P244</f>
        <v>9.5000000000000001E-2</v>
      </c>
      <c r="S253" s="456">
        <f>'Key input_Biomass_MAgPIE'!Q244</f>
        <v>9.5000000000000001E-2</v>
      </c>
      <c r="T253" s="456">
        <f>'Key input_Biomass_MAgPIE'!R244</f>
        <v>9.5000000000000001E-2</v>
      </c>
      <c r="U253" s="456">
        <f>'Key input_Biomass_MAgPIE'!S244</f>
        <v>9.5000000000000001E-2</v>
      </c>
      <c r="V253" s="456">
        <f>'Key input_Biomass_MAgPIE'!T244</f>
        <v>9.5000000000000001E-2</v>
      </c>
      <c r="W253" s="456">
        <f>'Key input_Biomass_MAgPIE'!U244</f>
        <v>9.5000000000000001E-2</v>
      </c>
      <c r="X253" s="456">
        <f>'Key input_Biomass_MAgPIE'!V244</f>
        <v>9.5000000000000001E-2</v>
      </c>
      <c r="Y253" s="456">
        <f>'Key input_Biomass_MAgPIE'!W244</f>
        <v>9.5000000000000001E-2</v>
      </c>
      <c r="Z253" s="456">
        <f>'Key input_Biomass_MAgPIE'!X244</f>
        <v>9.5000000000000001E-2</v>
      </c>
      <c r="AA253" s="456">
        <f>'Key input_Biomass_MAgPIE'!Y244</f>
        <v>9.5000000000000001E-2</v>
      </c>
      <c r="AB253" s="456">
        <f>'Key input_Biomass_MAgPIE'!Z244</f>
        <v>9.5000000000000001E-2</v>
      </c>
      <c r="AC253" s="456">
        <f>'Key input_Biomass_MAgPIE'!AA244</f>
        <v>9.5000000000000001E-2</v>
      </c>
      <c r="AD253" s="456">
        <f>'Key input_Biomass_MAgPIE'!AB244</f>
        <v>9.5000000000000001E-2</v>
      </c>
      <c r="AE253" s="456">
        <f>'Key input_Biomass_MAgPIE'!AC244</f>
        <v>9.5000000000000001E-2</v>
      </c>
      <c r="AF253" s="456">
        <f>'Key input_Biomass_MAgPIE'!AD244</f>
        <v>9.5000000000000001E-2</v>
      </c>
      <c r="AG253" s="456">
        <f>'Key input_Biomass_MAgPIE'!AE244</f>
        <v>9.5000000000000001E-2</v>
      </c>
      <c r="AH253" s="456">
        <f>'Key input_Biomass_MAgPIE'!AF244</f>
        <v>9.5000000000000001E-2</v>
      </c>
    </row>
    <row r="254" spans="1:34">
      <c r="A254" s="4" t="str">
        <f t="shared" ref="A254:A264" si="100">A253</f>
        <v>MIN-RSVBIOCRP1</v>
      </c>
      <c r="B254" s="4" t="str">
        <f t="shared" si="97"/>
        <v>UPS Reserves of Biomass - Crops grown for energy - Reserve - Supply curve step 1</v>
      </c>
      <c r="C254" s="4" t="str">
        <f t="shared" si="98"/>
        <v>RSVBIOCRP</v>
      </c>
      <c r="D254" s="4" t="str">
        <f t="shared" si="99"/>
        <v>ACT_COST</v>
      </c>
      <c r="E254" s="4"/>
      <c r="F254" s="4">
        <v>2025</v>
      </c>
      <c r="G254" s="456">
        <f>'Key input_Biomass_MAgPIE'!E245</f>
        <v>9.5000000000000001E-2</v>
      </c>
      <c r="H254" s="456">
        <f>'Key input_Biomass_MAgPIE'!F245</f>
        <v>9.5000000000000001E-2</v>
      </c>
      <c r="I254" s="456">
        <f>'Key input_Biomass_MAgPIE'!G245</f>
        <v>9.5000000000000001E-2</v>
      </c>
      <c r="J254" s="456">
        <f>'Key input_Biomass_MAgPIE'!H245</f>
        <v>9.5000000000000001E-2</v>
      </c>
      <c r="K254" s="456">
        <f>'Key input_Biomass_MAgPIE'!I245</f>
        <v>9.5000000000000001E-2</v>
      </c>
      <c r="L254" s="456">
        <f>'Key input_Biomass_MAgPIE'!J245</f>
        <v>9.5000000000000001E-2</v>
      </c>
      <c r="M254" s="456">
        <f>'Key input_Biomass_MAgPIE'!K245</f>
        <v>9.5000000000000001E-2</v>
      </c>
      <c r="N254" s="456">
        <f>'Key input_Biomass_MAgPIE'!L245</f>
        <v>9.5000000000000001E-2</v>
      </c>
      <c r="O254" s="456">
        <f>'Key input_Biomass_MAgPIE'!M245</f>
        <v>9.5000000000000001E-2</v>
      </c>
      <c r="P254" s="456">
        <f>'Key input_Biomass_MAgPIE'!N245</f>
        <v>9.5000000000000001E-2</v>
      </c>
      <c r="Q254" s="456">
        <f>'Key input_Biomass_MAgPIE'!O245</f>
        <v>9.5000000000000001E-2</v>
      </c>
      <c r="R254" s="456">
        <f>'Key input_Biomass_MAgPIE'!P245</f>
        <v>9.5000000000000001E-2</v>
      </c>
      <c r="S254" s="456">
        <f>'Key input_Biomass_MAgPIE'!Q245</f>
        <v>9.5000000000000001E-2</v>
      </c>
      <c r="T254" s="456">
        <f>'Key input_Biomass_MAgPIE'!R245</f>
        <v>9.5000000000000001E-2</v>
      </c>
      <c r="U254" s="456">
        <f>'Key input_Biomass_MAgPIE'!S245</f>
        <v>9.5000000000000001E-2</v>
      </c>
      <c r="V254" s="456">
        <f>'Key input_Biomass_MAgPIE'!T245</f>
        <v>9.5000000000000001E-2</v>
      </c>
      <c r="W254" s="456">
        <f>'Key input_Biomass_MAgPIE'!U245</f>
        <v>9.5000000000000001E-2</v>
      </c>
      <c r="X254" s="456">
        <f>'Key input_Biomass_MAgPIE'!V245</f>
        <v>9.5000000000000001E-2</v>
      </c>
      <c r="Y254" s="456">
        <f>'Key input_Biomass_MAgPIE'!W245</f>
        <v>9.5000000000000001E-2</v>
      </c>
      <c r="Z254" s="456">
        <f>'Key input_Biomass_MAgPIE'!X245</f>
        <v>9.5000000000000001E-2</v>
      </c>
      <c r="AA254" s="456">
        <f>'Key input_Biomass_MAgPIE'!Y245</f>
        <v>9.5000000000000001E-2</v>
      </c>
      <c r="AB254" s="456">
        <f>'Key input_Biomass_MAgPIE'!Z245</f>
        <v>9.5000000000000001E-2</v>
      </c>
      <c r="AC254" s="456">
        <f>'Key input_Biomass_MAgPIE'!AA245</f>
        <v>9.5000000000000001E-2</v>
      </c>
      <c r="AD254" s="456">
        <f>'Key input_Biomass_MAgPIE'!AB245</f>
        <v>9.5000000000000001E-2</v>
      </c>
      <c r="AE254" s="456">
        <f>'Key input_Biomass_MAgPIE'!AC245</f>
        <v>9.5000000000000001E-2</v>
      </c>
      <c r="AF254" s="456">
        <f>'Key input_Biomass_MAgPIE'!AD245</f>
        <v>9.5000000000000001E-2</v>
      </c>
      <c r="AG254" s="456">
        <f>'Key input_Biomass_MAgPIE'!AE245</f>
        <v>9.5000000000000001E-2</v>
      </c>
      <c r="AH254" s="456">
        <f>'Key input_Biomass_MAgPIE'!AF245</f>
        <v>9.5000000000000001E-2</v>
      </c>
    </row>
    <row r="255" spans="1:34">
      <c r="A255" s="4" t="str">
        <f t="shared" si="100"/>
        <v>MIN-RSVBIOCRP1</v>
      </c>
      <c r="B255" s="4" t="str">
        <f t="shared" si="97"/>
        <v>UPS Reserves of Biomass - Crops grown for energy - Reserve - Supply curve step 1</v>
      </c>
      <c r="C255" s="4" t="str">
        <f t="shared" si="98"/>
        <v>RSVBIOCRP</v>
      </c>
      <c r="D255" s="4" t="str">
        <f t="shared" si="99"/>
        <v>ACT_COST</v>
      </c>
      <c r="E255" s="4"/>
      <c r="F255" s="4">
        <v>2030</v>
      </c>
      <c r="G255" s="456">
        <f>'Key input_Biomass_MAgPIE'!E246</f>
        <v>9.5000000000000001E-2</v>
      </c>
      <c r="H255" s="456">
        <f>'Key input_Biomass_MAgPIE'!F246</f>
        <v>9.5000000000000001E-2</v>
      </c>
      <c r="I255" s="456">
        <f>'Key input_Biomass_MAgPIE'!G246</f>
        <v>9.5000000000000001E-2</v>
      </c>
      <c r="J255" s="456">
        <f>'Key input_Biomass_MAgPIE'!H246</f>
        <v>9.5000000000000001E-2</v>
      </c>
      <c r="K255" s="456">
        <f>'Key input_Biomass_MAgPIE'!I246</f>
        <v>9.5000000000000001E-2</v>
      </c>
      <c r="L255" s="456">
        <f>'Key input_Biomass_MAgPIE'!J246</f>
        <v>9.5000000000000001E-2</v>
      </c>
      <c r="M255" s="456">
        <f>'Key input_Biomass_MAgPIE'!K246</f>
        <v>9.5000000000000001E-2</v>
      </c>
      <c r="N255" s="456">
        <f>'Key input_Biomass_MAgPIE'!L246</f>
        <v>9.5000000000000001E-2</v>
      </c>
      <c r="O255" s="456">
        <f>'Key input_Biomass_MAgPIE'!M246</f>
        <v>9.5000000000000001E-2</v>
      </c>
      <c r="P255" s="456">
        <f>'Key input_Biomass_MAgPIE'!N246</f>
        <v>9.5000000000000001E-2</v>
      </c>
      <c r="Q255" s="456">
        <f>'Key input_Biomass_MAgPIE'!O246</f>
        <v>9.5000000000000001E-2</v>
      </c>
      <c r="R255" s="456">
        <f>'Key input_Biomass_MAgPIE'!P246</f>
        <v>9.5000000000000001E-2</v>
      </c>
      <c r="S255" s="456">
        <f>'Key input_Biomass_MAgPIE'!Q246</f>
        <v>9.5000000000000001E-2</v>
      </c>
      <c r="T255" s="456">
        <f>'Key input_Biomass_MAgPIE'!R246</f>
        <v>9.5000000000000001E-2</v>
      </c>
      <c r="U255" s="456">
        <f>'Key input_Biomass_MAgPIE'!S246</f>
        <v>9.5000000000000001E-2</v>
      </c>
      <c r="V255" s="456">
        <f>'Key input_Biomass_MAgPIE'!T246</f>
        <v>9.5000000000000001E-2</v>
      </c>
      <c r="W255" s="456">
        <f>'Key input_Biomass_MAgPIE'!U246</f>
        <v>9.5000000000000001E-2</v>
      </c>
      <c r="X255" s="456">
        <f>'Key input_Biomass_MAgPIE'!V246</f>
        <v>9.5000000000000001E-2</v>
      </c>
      <c r="Y255" s="456">
        <f>'Key input_Biomass_MAgPIE'!W246</f>
        <v>9.5000000000000001E-2</v>
      </c>
      <c r="Z255" s="456">
        <f>'Key input_Biomass_MAgPIE'!X246</f>
        <v>9.5000000000000001E-2</v>
      </c>
      <c r="AA255" s="456">
        <f>'Key input_Biomass_MAgPIE'!Y246</f>
        <v>9.5000000000000001E-2</v>
      </c>
      <c r="AB255" s="456">
        <f>'Key input_Biomass_MAgPIE'!Z246</f>
        <v>9.5000000000000001E-2</v>
      </c>
      <c r="AC255" s="456">
        <f>'Key input_Biomass_MAgPIE'!AA246</f>
        <v>9.5000000000000001E-2</v>
      </c>
      <c r="AD255" s="456">
        <f>'Key input_Biomass_MAgPIE'!AB246</f>
        <v>9.5000000000000001E-2</v>
      </c>
      <c r="AE255" s="456">
        <f>'Key input_Biomass_MAgPIE'!AC246</f>
        <v>9.5000000000000001E-2</v>
      </c>
      <c r="AF255" s="456">
        <f>'Key input_Biomass_MAgPIE'!AD246</f>
        <v>9.5000000000000001E-2</v>
      </c>
      <c r="AG255" s="456">
        <f>'Key input_Biomass_MAgPIE'!AE246</f>
        <v>9.5000000000000001E-2</v>
      </c>
      <c r="AH255" s="456">
        <f>'Key input_Biomass_MAgPIE'!AF246</f>
        <v>9.5000000000000001E-2</v>
      </c>
    </row>
    <row r="256" spans="1:34">
      <c r="A256" s="4" t="str">
        <f t="shared" si="100"/>
        <v>MIN-RSVBIOCRP1</v>
      </c>
      <c r="B256" s="4" t="str">
        <f t="shared" si="97"/>
        <v>UPS Reserves of Biomass - Crops grown for energy - Reserve - Supply curve step 1</v>
      </c>
      <c r="C256" s="4" t="str">
        <f t="shared" si="98"/>
        <v>RSVBIOCRP</v>
      </c>
      <c r="D256" s="4" t="str">
        <f t="shared" si="99"/>
        <v>ACT_COST</v>
      </c>
      <c r="E256" s="4"/>
      <c r="F256" s="4">
        <v>2035</v>
      </c>
      <c r="G256" s="456">
        <f>'Key input_Biomass_MAgPIE'!E247</f>
        <v>9.5000000000000001E-2</v>
      </c>
      <c r="H256" s="456">
        <f>'Key input_Biomass_MAgPIE'!F247</f>
        <v>9.5000000000000001E-2</v>
      </c>
      <c r="I256" s="456">
        <f>'Key input_Biomass_MAgPIE'!G247</f>
        <v>9.5000000000000001E-2</v>
      </c>
      <c r="J256" s="456">
        <f>'Key input_Biomass_MAgPIE'!H247</f>
        <v>9.5000000000000001E-2</v>
      </c>
      <c r="K256" s="456">
        <f>'Key input_Biomass_MAgPIE'!I247</f>
        <v>9.5000000000000001E-2</v>
      </c>
      <c r="L256" s="456">
        <f>'Key input_Biomass_MAgPIE'!J247</f>
        <v>9.5000000000000001E-2</v>
      </c>
      <c r="M256" s="456">
        <f>'Key input_Biomass_MAgPIE'!K247</f>
        <v>9.5000000000000001E-2</v>
      </c>
      <c r="N256" s="456">
        <f>'Key input_Biomass_MAgPIE'!L247</f>
        <v>9.5000000000000001E-2</v>
      </c>
      <c r="O256" s="456">
        <f>'Key input_Biomass_MAgPIE'!M247</f>
        <v>9.5000000000000001E-2</v>
      </c>
      <c r="P256" s="456">
        <f>'Key input_Biomass_MAgPIE'!N247</f>
        <v>9.5000000000000001E-2</v>
      </c>
      <c r="Q256" s="456">
        <f>'Key input_Biomass_MAgPIE'!O247</f>
        <v>9.5000000000000001E-2</v>
      </c>
      <c r="R256" s="456">
        <f>'Key input_Biomass_MAgPIE'!P247</f>
        <v>9.5000000000000001E-2</v>
      </c>
      <c r="S256" s="456">
        <f>'Key input_Biomass_MAgPIE'!Q247</f>
        <v>9.5000000000000001E-2</v>
      </c>
      <c r="T256" s="456">
        <f>'Key input_Biomass_MAgPIE'!R247</f>
        <v>9.5000000000000001E-2</v>
      </c>
      <c r="U256" s="456">
        <f>'Key input_Biomass_MAgPIE'!S247</f>
        <v>9.5000000000000001E-2</v>
      </c>
      <c r="V256" s="456">
        <f>'Key input_Biomass_MAgPIE'!T247</f>
        <v>9.5000000000000001E-2</v>
      </c>
      <c r="W256" s="456">
        <f>'Key input_Biomass_MAgPIE'!U247</f>
        <v>9.5000000000000001E-2</v>
      </c>
      <c r="X256" s="456">
        <f>'Key input_Biomass_MAgPIE'!V247</f>
        <v>9.5000000000000001E-2</v>
      </c>
      <c r="Y256" s="456">
        <f>'Key input_Biomass_MAgPIE'!W247</f>
        <v>9.5000000000000001E-2</v>
      </c>
      <c r="Z256" s="456">
        <f>'Key input_Biomass_MAgPIE'!X247</f>
        <v>9.5000000000000001E-2</v>
      </c>
      <c r="AA256" s="456">
        <f>'Key input_Biomass_MAgPIE'!Y247</f>
        <v>9.5000000000000001E-2</v>
      </c>
      <c r="AB256" s="456">
        <f>'Key input_Biomass_MAgPIE'!Z247</f>
        <v>9.5000000000000001E-2</v>
      </c>
      <c r="AC256" s="456">
        <f>'Key input_Biomass_MAgPIE'!AA247</f>
        <v>9.5000000000000001E-2</v>
      </c>
      <c r="AD256" s="456">
        <f>'Key input_Biomass_MAgPIE'!AB247</f>
        <v>9.5000000000000001E-2</v>
      </c>
      <c r="AE256" s="456">
        <f>'Key input_Biomass_MAgPIE'!AC247</f>
        <v>9.5000000000000001E-2</v>
      </c>
      <c r="AF256" s="456">
        <f>'Key input_Biomass_MAgPIE'!AD247</f>
        <v>9.5000000000000001E-2</v>
      </c>
      <c r="AG256" s="456">
        <f>'Key input_Biomass_MAgPIE'!AE247</f>
        <v>9.5000000000000001E-2</v>
      </c>
      <c r="AH256" s="456">
        <f>'Key input_Biomass_MAgPIE'!AF247</f>
        <v>9.5000000000000001E-2</v>
      </c>
    </row>
    <row r="257" spans="1:34">
      <c r="A257" s="4" t="str">
        <f t="shared" si="100"/>
        <v>MIN-RSVBIOCRP1</v>
      </c>
      <c r="B257" s="4" t="str">
        <f t="shared" si="97"/>
        <v>UPS Reserves of Biomass - Crops grown for energy - Reserve - Supply curve step 1</v>
      </c>
      <c r="C257" s="4" t="str">
        <f t="shared" si="98"/>
        <v>RSVBIOCRP</v>
      </c>
      <c r="D257" s="4" t="str">
        <f t="shared" si="99"/>
        <v>ACT_COST</v>
      </c>
      <c r="E257" s="4"/>
      <c r="F257" s="4">
        <v>2040</v>
      </c>
      <c r="G257" s="456">
        <f>'Key input_Biomass_MAgPIE'!E248</f>
        <v>9.5000000000000001E-2</v>
      </c>
      <c r="H257" s="456">
        <f>'Key input_Biomass_MAgPIE'!F248</f>
        <v>9.5000000000000001E-2</v>
      </c>
      <c r="I257" s="456">
        <f>'Key input_Biomass_MAgPIE'!G248</f>
        <v>9.5000000000000001E-2</v>
      </c>
      <c r="J257" s="456">
        <f>'Key input_Biomass_MAgPIE'!H248</f>
        <v>9.5000000000000001E-2</v>
      </c>
      <c r="K257" s="456">
        <f>'Key input_Biomass_MAgPIE'!I248</f>
        <v>9.5000000000000001E-2</v>
      </c>
      <c r="L257" s="456">
        <f>'Key input_Biomass_MAgPIE'!J248</f>
        <v>9.5000000000000001E-2</v>
      </c>
      <c r="M257" s="456">
        <f>'Key input_Biomass_MAgPIE'!K248</f>
        <v>9.5000000000000001E-2</v>
      </c>
      <c r="N257" s="456">
        <f>'Key input_Biomass_MAgPIE'!L248</f>
        <v>9.5000000000000001E-2</v>
      </c>
      <c r="O257" s="456">
        <f>'Key input_Biomass_MAgPIE'!M248</f>
        <v>9.5000000000000001E-2</v>
      </c>
      <c r="P257" s="456">
        <f>'Key input_Biomass_MAgPIE'!N248</f>
        <v>9.5000000000000001E-2</v>
      </c>
      <c r="Q257" s="456">
        <f>'Key input_Biomass_MAgPIE'!O248</f>
        <v>9.5000000000000001E-2</v>
      </c>
      <c r="R257" s="456">
        <f>'Key input_Biomass_MAgPIE'!P248</f>
        <v>9.5000000000000001E-2</v>
      </c>
      <c r="S257" s="456">
        <f>'Key input_Biomass_MAgPIE'!Q248</f>
        <v>9.5000000000000001E-2</v>
      </c>
      <c r="T257" s="456">
        <f>'Key input_Biomass_MAgPIE'!R248</f>
        <v>9.5000000000000001E-2</v>
      </c>
      <c r="U257" s="456">
        <f>'Key input_Biomass_MAgPIE'!S248</f>
        <v>9.5000000000000001E-2</v>
      </c>
      <c r="V257" s="456">
        <f>'Key input_Biomass_MAgPIE'!T248</f>
        <v>9.5000000000000001E-2</v>
      </c>
      <c r="W257" s="456">
        <f>'Key input_Biomass_MAgPIE'!U248</f>
        <v>9.5000000000000001E-2</v>
      </c>
      <c r="X257" s="456">
        <f>'Key input_Biomass_MAgPIE'!V248</f>
        <v>9.5000000000000001E-2</v>
      </c>
      <c r="Y257" s="456">
        <f>'Key input_Biomass_MAgPIE'!W248</f>
        <v>9.5000000000000001E-2</v>
      </c>
      <c r="Z257" s="456">
        <f>'Key input_Biomass_MAgPIE'!X248</f>
        <v>9.5000000000000001E-2</v>
      </c>
      <c r="AA257" s="456">
        <f>'Key input_Biomass_MAgPIE'!Y248</f>
        <v>9.5000000000000001E-2</v>
      </c>
      <c r="AB257" s="456">
        <f>'Key input_Biomass_MAgPIE'!Z248</f>
        <v>9.5000000000000001E-2</v>
      </c>
      <c r="AC257" s="456">
        <f>'Key input_Biomass_MAgPIE'!AA248</f>
        <v>9.5000000000000001E-2</v>
      </c>
      <c r="AD257" s="456">
        <f>'Key input_Biomass_MAgPIE'!AB248</f>
        <v>9.5000000000000001E-2</v>
      </c>
      <c r="AE257" s="456">
        <f>'Key input_Biomass_MAgPIE'!AC248</f>
        <v>9.5000000000000001E-2</v>
      </c>
      <c r="AF257" s="456">
        <f>'Key input_Biomass_MAgPIE'!AD248</f>
        <v>9.5000000000000001E-2</v>
      </c>
      <c r="AG257" s="456">
        <f>'Key input_Biomass_MAgPIE'!AE248</f>
        <v>9.5000000000000001E-2</v>
      </c>
      <c r="AH257" s="456">
        <f>'Key input_Biomass_MAgPIE'!AF248</f>
        <v>9.5000000000000001E-2</v>
      </c>
    </row>
    <row r="258" spans="1:34">
      <c r="A258" s="4" t="str">
        <f t="shared" si="100"/>
        <v>MIN-RSVBIOCRP1</v>
      </c>
      <c r="B258" s="4" t="str">
        <f t="shared" si="97"/>
        <v>UPS Reserves of Biomass - Crops grown for energy - Reserve - Supply curve step 1</v>
      </c>
      <c r="C258" s="4" t="str">
        <f t="shared" si="98"/>
        <v>RSVBIOCRP</v>
      </c>
      <c r="D258" s="4" t="str">
        <f t="shared" si="99"/>
        <v>ACT_COST</v>
      </c>
      <c r="E258" s="4"/>
      <c r="F258" s="4">
        <v>2045</v>
      </c>
      <c r="G258" s="456">
        <f>'Key input_Biomass_MAgPIE'!E249</f>
        <v>9.5000000000000001E-2</v>
      </c>
      <c r="H258" s="456">
        <f>'Key input_Biomass_MAgPIE'!F249</f>
        <v>9.5000000000000001E-2</v>
      </c>
      <c r="I258" s="456">
        <f>'Key input_Biomass_MAgPIE'!G249</f>
        <v>9.5000000000000001E-2</v>
      </c>
      <c r="J258" s="456">
        <f>'Key input_Biomass_MAgPIE'!H249</f>
        <v>9.5000000000000001E-2</v>
      </c>
      <c r="K258" s="456">
        <f>'Key input_Biomass_MAgPIE'!I249</f>
        <v>9.5000000000000001E-2</v>
      </c>
      <c r="L258" s="456">
        <f>'Key input_Biomass_MAgPIE'!J249</f>
        <v>9.5000000000000001E-2</v>
      </c>
      <c r="M258" s="456">
        <f>'Key input_Biomass_MAgPIE'!K249</f>
        <v>9.5000000000000001E-2</v>
      </c>
      <c r="N258" s="456">
        <f>'Key input_Biomass_MAgPIE'!L249</f>
        <v>9.5000000000000001E-2</v>
      </c>
      <c r="O258" s="456">
        <f>'Key input_Biomass_MAgPIE'!M249</f>
        <v>9.5000000000000001E-2</v>
      </c>
      <c r="P258" s="456">
        <f>'Key input_Biomass_MAgPIE'!N249</f>
        <v>9.5000000000000001E-2</v>
      </c>
      <c r="Q258" s="456">
        <f>'Key input_Biomass_MAgPIE'!O249</f>
        <v>9.5000000000000001E-2</v>
      </c>
      <c r="R258" s="456">
        <f>'Key input_Biomass_MAgPIE'!P249</f>
        <v>9.5000000000000001E-2</v>
      </c>
      <c r="S258" s="456">
        <f>'Key input_Biomass_MAgPIE'!Q249</f>
        <v>9.5000000000000001E-2</v>
      </c>
      <c r="T258" s="456">
        <f>'Key input_Biomass_MAgPIE'!R249</f>
        <v>9.5000000000000001E-2</v>
      </c>
      <c r="U258" s="456">
        <f>'Key input_Biomass_MAgPIE'!S249</f>
        <v>9.5000000000000001E-2</v>
      </c>
      <c r="V258" s="456">
        <f>'Key input_Biomass_MAgPIE'!T249</f>
        <v>9.5000000000000001E-2</v>
      </c>
      <c r="W258" s="456">
        <f>'Key input_Biomass_MAgPIE'!U249</f>
        <v>9.5000000000000001E-2</v>
      </c>
      <c r="X258" s="456">
        <f>'Key input_Biomass_MAgPIE'!V249</f>
        <v>9.5000000000000001E-2</v>
      </c>
      <c r="Y258" s="456">
        <f>'Key input_Biomass_MAgPIE'!W249</f>
        <v>9.5000000000000001E-2</v>
      </c>
      <c r="Z258" s="456">
        <f>'Key input_Biomass_MAgPIE'!X249</f>
        <v>9.5000000000000001E-2</v>
      </c>
      <c r="AA258" s="456">
        <f>'Key input_Biomass_MAgPIE'!Y249</f>
        <v>9.5000000000000001E-2</v>
      </c>
      <c r="AB258" s="456">
        <f>'Key input_Biomass_MAgPIE'!Z249</f>
        <v>9.5000000000000001E-2</v>
      </c>
      <c r="AC258" s="456">
        <f>'Key input_Biomass_MAgPIE'!AA249</f>
        <v>9.5000000000000001E-2</v>
      </c>
      <c r="AD258" s="456">
        <f>'Key input_Biomass_MAgPIE'!AB249</f>
        <v>9.5000000000000001E-2</v>
      </c>
      <c r="AE258" s="456">
        <f>'Key input_Biomass_MAgPIE'!AC249</f>
        <v>9.5000000000000001E-2</v>
      </c>
      <c r="AF258" s="456">
        <f>'Key input_Biomass_MAgPIE'!AD249</f>
        <v>9.5000000000000001E-2</v>
      </c>
      <c r="AG258" s="456">
        <f>'Key input_Biomass_MAgPIE'!AE249</f>
        <v>9.5000000000000001E-2</v>
      </c>
      <c r="AH258" s="456">
        <f>'Key input_Biomass_MAgPIE'!AF249</f>
        <v>9.5000000000000001E-2</v>
      </c>
    </row>
    <row r="259" spans="1:34">
      <c r="A259" s="4" t="str">
        <f t="shared" si="100"/>
        <v>MIN-RSVBIOCRP1</v>
      </c>
      <c r="B259" s="4" t="str">
        <f t="shared" si="97"/>
        <v>UPS Reserves of Biomass - Crops grown for energy - Reserve - Supply curve step 1</v>
      </c>
      <c r="C259" s="4" t="str">
        <f t="shared" si="98"/>
        <v>RSVBIOCRP</v>
      </c>
      <c r="D259" s="4" t="str">
        <f t="shared" si="99"/>
        <v>ACT_COST</v>
      </c>
      <c r="E259" s="4"/>
      <c r="F259" s="4">
        <v>2050</v>
      </c>
      <c r="G259" s="456">
        <f>'Key input_Biomass_MAgPIE'!E250</f>
        <v>9.5000000000000001E-2</v>
      </c>
      <c r="H259" s="456">
        <f>'Key input_Biomass_MAgPIE'!F250</f>
        <v>9.5000000000000001E-2</v>
      </c>
      <c r="I259" s="456">
        <f>'Key input_Biomass_MAgPIE'!G250</f>
        <v>9.5000000000000001E-2</v>
      </c>
      <c r="J259" s="456">
        <f>'Key input_Biomass_MAgPIE'!H250</f>
        <v>9.5000000000000001E-2</v>
      </c>
      <c r="K259" s="456">
        <f>'Key input_Biomass_MAgPIE'!I250</f>
        <v>9.5000000000000001E-2</v>
      </c>
      <c r="L259" s="456">
        <f>'Key input_Biomass_MAgPIE'!J250</f>
        <v>9.5000000000000001E-2</v>
      </c>
      <c r="M259" s="456">
        <f>'Key input_Biomass_MAgPIE'!K250</f>
        <v>9.5000000000000001E-2</v>
      </c>
      <c r="N259" s="456">
        <f>'Key input_Biomass_MAgPIE'!L250</f>
        <v>9.5000000000000001E-2</v>
      </c>
      <c r="O259" s="456">
        <f>'Key input_Biomass_MAgPIE'!M250</f>
        <v>9.5000000000000001E-2</v>
      </c>
      <c r="P259" s="456">
        <f>'Key input_Biomass_MAgPIE'!N250</f>
        <v>9.5000000000000001E-2</v>
      </c>
      <c r="Q259" s="456">
        <f>'Key input_Biomass_MAgPIE'!O250</f>
        <v>9.5000000000000001E-2</v>
      </c>
      <c r="R259" s="456">
        <f>'Key input_Biomass_MAgPIE'!P250</f>
        <v>9.5000000000000001E-2</v>
      </c>
      <c r="S259" s="456">
        <f>'Key input_Biomass_MAgPIE'!Q250</f>
        <v>9.5000000000000001E-2</v>
      </c>
      <c r="T259" s="456">
        <f>'Key input_Biomass_MAgPIE'!R250</f>
        <v>9.5000000000000001E-2</v>
      </c>
      <c r="U259" s="456">
        <f>'Key input_Biomass_MAgPIE'!S250</f>
        <v>9.5000000000000001E-2</v>
      </c>
      <c r="V259" s="456">
        <f>'Key input_Biomass_MAgPIE'!T250</f>
        <v>9.5000000000000001E-2</v>
      </c>
      <c r="W259" s="456">
        <f>'Key input_Biomass_MAgPIE'!U250</f>
        <v>9.5000000000000001E-2</v>
      </c>
      <c r="X259" s="456">
        <f>'Key input_Biomass_MAgPIE'!V250</f>
        <v>9.5000000000000001E-2</v>
      </c>
      <c r="Y259" s="456">
        <f>'Key input_Biomass_MAgPIE'!W250</f>
        <v>9.5000000000000001E-2</v>
      </c>
      <c r="Z259" s="456">
        <f>'Key input_Biomass_MAgPIE'!X250</f>
        <v>9.5000000000000001E-2</v>
      </c>
      <c r="AA259" s="456">
        <f>'Key input_Biomass_MAgPIE'!Y250</f>
        <v>9.5000000000000001E-2</v>
      </c>
      <c r="AB259" s="456">
        <f>'Key input_Biomass_MAgPIE'!Z250</f>
        <v>9.5000000000000001E-2</v>
      </c>
      <c r="AC259" s="456">
        <f>'Key input_Biomass_MAgPIE'!AA250</f>
        <v>9.5000000000000001E-2</v>
      </c>
      <c r="AD259" s="456">
        <f>'Key input_Biomass_MAgPIE'!AB250</f>
        <v>9.5000000000000001E-2</v>
      </c>
      <c r="AE259" s="456">
        <f>'Key input_Biomass_MAgPIE'!AC250</f>
        <v>9.5000000000000001E-2</v>
      </c>
      <c r="AF259" s="456">
        <f>'Key input_Biomass_MAgPIE'!AD250</f>
        <v>9.5000000000000001E-2</v>
      </c>
      <c r="AG259" s="456">
        <f>'Key input_Biomass_MAgPIE'!AE250</f>
        <v>9.5000000000000001E-2</v>
      </c>
      <c r="AH259" s="456">
        <f>'Key input_Biomass_MAgPIE'!AF250</f>
        <v>9.5000000000000001E-2</v>
      </c>
    </row>
    <row r="260" spans="1:34">
      <c r="A260" s="4" t="str">
        <f t="shared" si="100"/>
        <v>MIN-RSVBIOCRP1</v>
      </c>
      <c r="B260" s="4" t="str">
        <f t="shared" si="97"/>
        <v>UPS Reserves of Biomass - Crops grown for energy - Reserve - Supply curve step 1</v>
      </c>
      <c r="C260" s="4" t="str">
        <f t="shared" si="98"/>
        <v>RSVBIOCRP</v>
      </c>
      <c r="D260" s="4" t="str">
        <f t="shared" si="99"/>
        <v>ACT_COST</v>
      </c>
      <c r="E260" s="4"/>
      <c r="F260" s="4">
        <v>2060</v>
      </c>
      <c r="G260" s="456">
        <f>'Key input_Biomass_MAgPIE'!E251</f>
        <v>9.5000000000000001E-2</v>
      </c>
      <c r="H260" s="456">
        <f>'Key input_Biomass_MAgPIE'!F251</f>
        <v>9.5000000000000001E-2</v>
      </c>
      <c r="I260" s="456">
        <f>'Key input_Biomass_MAgPIE'!G251</f>
        <v>9.5000000000000001E-2</v>
      </c>
      <c r="J260" s="456">
        <f>'Key input_Biomass_MAgPIE'!H251</f>
        <v>9.5000000000000001E-2</v>
      </c>
      <c r="K260" s="456">
        <f>'Key input_Biomass_MAgPIE'!I251</f>
        <v>9.5000000000000001E-2</v>
      </c>
      <c r="L260" s="456">
        <f>'Key input_Biomass_MAgPIE'!J251</f>
        <v>9.5000000000000001E-2</v>
      </c>
      <c r="M260" s="456">
        <f>'Key input_Biomass_MAgPIE'!K251</f>
        <v>9.5000000000000001E-2</v>
      </c>
      <c r="N260" s="456">
        <f>'Key input_Biomass_MAgPIE'!L251</f>
        <v>9.5000000000000001E-2</v>
      </c>
      <c r="O260" s="456">
        <f>'Key input_Biomass_MAgPIE'!M251</f>
        <v>9.5000000000000001E-2</v>
      </c>
      <c r="P260" s="456">
        <f>'Key input_Biomass_MAgPIE'!N251</f>
        <v>9.5000000000000001E-2</v>
      </c>
      <c r="Q260" s="456">
        <f>'Key input_Biomass_MAgPIE'!O251</f>
        <v>9.5000000000000001E-2</v>
      </c>
      <c r="R260" s="456">
        <f>'Key input_Biomass_MAgPIE'!P251</f>
        <v>9.5000000000000001E-2</v>
      </c>
      <c r="S260" s="456">
        <f>'Key input_Biomass_MAgPIE'!Q251</f>
        <v>9.5000000000000001E-2</v>
      </c>
      <c r="T260" s="456">
        <f>'Key input_Biomass_MAgPIE'!R251</f>
        <v>9.5000000000000001E-2</v>
      </c>
      <c r="U260" s="456">
        <f>'Key input_Biomass_MAgPIE'!S251</f>
        <v>9.5000000000000001E-2</v>
      </c>
      <c r="V260" s="456">
        <f>'Key input_Biomass_MAgPIE'!T251</f>
        <v>9.5000000000000001E-2</v>
      </c>
      <c r="W260" s="456">
        <f>'Key input_Biomass_MAgPIE'!U251</f>
        <v>9.5000000000000001E-2</v>
      </c>
      <c r="X260" s="456">
        <f>'Key input_Biomass_MAgPIE'!V251</f>
        <v>9.5000000000000001E-2</v>
      </c>
      <c r="Y260" s="456">
        <f>'Key input_Biomass_MAgPIE'!W251</f>
        <v>9.5000000000000001E-2</v>
      </c>
      <c r="Z260" s="456">
        <f>'Key input_Biomass_MAgPIE'!X251</f>
        <v>9.5000000000000001E-2</v>
      </c>
      <c r="AA260" s="456">
        <f>'Key input_Biomass_MAgPIE'!Y251</f>
        <v>9.5000000000000001E-2</v>
      </c>
      <c r="AB260" s="456">
        <f>'Key input_Biomass_MAgPIE'!Z251</f>
        <v>9.5000000000000001E-2</v>
      </c>
      <c r="AC260" s="456">
        <f>'Key input_Biomass_MAgPIE'!AA251</f>
        <v>9.5000000000000001E-2</v>
      </c>
      <c r="AD260" s="456">
        <f>'Key input_Biomass_MAgPIE'!AB251</f>
        <v>9.5000000000000001E-2</v>
      </c>
      <c r="AE260" s="456">
        <f>'Key input_Biomass_MAgPIE'!AC251</f>
        <v>9.5000000000000001E-2</v>
      </c>
      <c r="AF260" s="456">
        <f>'Key input_Biomass_MAgPIE'!AD251</f>
        <v>9.5000000000000001E-2</v>
      </c>
      <c r="AG260" s="456">
        <f>'Key input_Biomass_MAgPIE'!AE251</f>
        <v>9.5000000000000001E-2</v>
      </c>
      <c r="AH260" s="456">
        <f>'Key input_Biomass_MAgPIE'!AF251</f>
        <v>9.5000000000000001E-2</v>
      </c>
    </row>
    <row r="261" spans="1:34">
      <c r="A261" s="4" t="str">
        <f t="shared" si="100"/>
        <v>MIN-RSVBIOCRP1</v>
      </c>
      <c r="B261" s="4" t="str">
        <f t="shared" si="97"/>
        <v>UPS Reserves of Biomass - Crops grown for energy - Reserve - Supply curve step 1</v>
      </c>
      <c r="C261" s="4" t="str">
        <f t="shared" si="98"/>
        <v>RSVBIOCRP</v>
      </c>
      <c r="D261" s="4" t="str">
        <f t="shared" si="99"/>
        <v>ACT_COST</v>
      </c>
      <c r="E261" s="4"/>
      <c r="F261" s="4">
        <v>2070</v>
      </c>
      <c r="G261" s="456">
        <f>'Key input_Biomass_MAgPIE'!E252</f>
        <v>9.5000000000000001E-2</v>
      </c>
      <c r="H261" s="456">
        <f>'Key input_Biomass_MAgPIE'!F252</f>
        <v>9.5000000000000001E-2</v>
      </c>
      <c r="I261" s="456">
        <f>'Key input_Biomass_MAgPIE'!G252</f>
        <v>9.5000000000000001E-2</v>
      </c>
      <c r="J261" s="456">
        <f>'Key input_Biomass_MAgPIE'!H252</f>
        <v>9.5000000000000001E-2</v>
      </c>
      <c r="K261" s="456">
        <f>'Key input_Biomass_MAgPIE'!I252</f>
        <v>9.5000000000000001E-2</v>
      </c>
      <c r="L261" s="456">
        <f>'Key input_Biomass_MAgPIE'!J252</f>
        <v>9.5000000000000001E-2</v>
      </c>
      <c r="M261" s="456">
        <f>'Key input_Biomass_MAgPIE'!K252</f>
        <v>9.5000000000000001E-2</v>
      </c>
      <c r="N261" s="456">
        <f>'Key input_Biomass_MAgPIE'!L252</f>
        <v>9.5000000000000001E-2</v>
      </c>
      <c r="O261" s="456">
        <f>'Key input_Biomass_MAgPIE'!M252</f>
        <v>9.5000000000000001E-2</v>
      </c>
      <c r="P261" s="456">
        <f>'Key input_Biomass_MAgPIE'!N252</f>
        <v>9.5000000000000001E-2</v>
      </c>
      <c r="Q261" s="456">
        <f>'Key input_Biomass_MAgPIE'!O252</f>
        <v>9.5000000000000001E-2</v>
      </c>
      <c r="R261" s="456">
        <f>'Key input_Biomass_MAgPIE'!P252</f>
        <v>9.5000000000000001E-2</v>
      </c>
      <c r="S261" s="456">
        <f>'Key input_Biomass_MAgPIE'!Q252</f>
        <v>9.5000000000000001E-2</v>
      </c>
      <c r="T261" s="456">
        <f>'Key input_Biomass_MAgPIE'!R252</f>
        <v>9.5000000000000001E-2</v>
      </c>
      <c r="U261" s="456">
        <f>'Key input_Biomass_MAgPIE'!S252</f>
        <v>9.5000000000000001E-2</v>
      </c>
      <c r="V261" s="456">
        <f>'Key input_Biomass_MAgPIE'!T252</f>
        <v>9.5000000000000001E-2</v>
      </c>
      <c r="W261" s="456">
        <f>'Key input_Biomass_MAgPIE'!U252</f>
        <v>9.5000000000000001E-2</v>
      </c>
      <c r="X261" s="456">
        <f>'Key input_Biomass_MAgPIE'!V252</f>
        <v>9.5000000000000001E-2</v>
      </c>
      <c r="Y261" s="456">
        <f>'Key input_Biomass_MAgPIE'!W252</f>
        <v>9.5000000000000001E-2</v>
      </c>
      <c r="Z261" s="456">
        <f>'Key input_Biomass_MAgPIE'!X252</f>
        <v>9.5000000000000001E-2</v>
      </c>
      <c r="AA261" s="456">
        <f>'Key input_Biomass_MAgPIE'!Y252</f>
        <v>9.5000000000000001E-2</v>
      </c>
      <c r="AB261" s="456">
        <f>'Key input_Biomass_MAgPIE'!Z252</f>
        <v>9.5000000000000001E-2</v>
      </c>
      <c r="AC261" s="456">
        <f>'Key input_Biomass_MAgPIE'!AA252</f>
        <v>9.5000000000000001E-2</v>
      </c>
      <c r="AD261" s="456">
        <f>'Key input_Biomass_MAgPIE'!AB252</f>
        <v>9.5000000000000001E-2</v>
      </c>
      <c r="AE261" s="456">
        <f>'Key input_Biomass_MAgPIE'!AC252</f>
        <v>9.5000000000000001E-2</v>
      </c>
      <c r="AF261" s="456">
        <f>'Key input_Biomass_MAgPIE'!AD252</f>
        <v>9.5000000000000001E-2</v>
      </c>
      <c r="AG261" s="456">
        <f>'Key input_Biomass_MAgPIE'!AE252</f>
        <v>9.5000000000000001E-2</v>
      </c>
      <c r="AH261" s="456">
        <f>'Key input_Biomass_MAgPIE'!AF252</f>
        <v>9.5000000000000001E-2</v>
      </c>
    </row>
    <row r="262" spans="1:34">
      <c r="A262" s="4" t="str">
        <f t="shared" si="100"/>
        <v>MIN-RSVBIOCRP1</v>
      </c>
      <c r="B262" s="4" t="str">
        <f t="shared" si="97"/>
        <v>UPS Reserves of Biomass - Crops grown for energy - Reserve - Supply curve step 1</v>
      </c>
      <c r="C262" s="4" t="str">
        <f t="shared" si="98"/>
        <v>RSVBIOCRP</v>
      </c>
      <c r="D262" s="4" t="str">
        <f t="shared" si="99"/>
        <v>ACT_COST</v>
      </c>
      <c r="E262" s="4"/>
      <c r="F262" s="4">
        <v>2080</v>
      </c>
      <c r="G262" s="456">
        <f>'Key input_Biomass_MAgPIE'!E253</f>
        <v>9.5000000000000001E-2</v>
      </c>
      <c r="H262" s="456">
        <f>'Key input_Biomass_MAgPIE'!F253</f>
        <v>9.5000000000000001E-2</v>
      </c>
      <c r="I262" s="456">
        <f>'Key input_Biomass_MAgPIE'!G253</f>
        <v>9.5000000000000001E-2</v>
      </c>
      <c r="J262" s="456">
        <f>'Key input_Biomass_MAgPIE'!H253</f>
        <v>9.5000000000000001E-2</v>
      </c>
      <c r="K262" s="456">
        <f>'Key input_Biomass_MAgPIE'!I253</f>
        <v>9.5000000000000001E-2</v>
      </c>
      <c r="L262" s="456">
        <f>'Key input_Biomass_MAgPIE'!J253</f>
        <v>9.5000000000000001E-2</v>
      </c>
      <c r="M262" s="456">
        <f>'Key input_Biomass_MAgPIE'!K253</f>
        <v>9.5000000000000001E-2</v>
      </c>
      <c r="N262" s="456">
        <f>'Key input_Biomass_MAgPIE'!L253</f>
        <v>9.5000000000000001E-2</v>
      </c>
      <c r="O262" s="456">
        <f>'Key input_Biomass_MAgPIE'!M253</f>
        <v>9.5000000000000001E-2</v>
      </c>
      <c r="P262" s="456">
        <f>'Key input_Biomass_MAgPIE'!N253</f>
        <v>9.5000000000000001E-2</v>
      </c>
      <c r="Q262" s="456">
        <f>'Key input_Biomass_MAgPIE'!O253</f>
        <v>9.5000000000000001E-2</v>
      </c>
      <c r="R262" s="456">
        <f>'Key input_Biomass_MAgPIE'!P253</f>
        <v>9.5000000000000001E-2</v>
      </c>
      <c r="S262" s="456">
        <f>'Key input_Biomass_MAgPIE'!Q253</f>
        <v>9.5000000000000001E-2</v>
      </c>
      <c r="T262" s="456">
        <f>'Key input_Biomass_MAgPIE'!R253</f>
        <v>9.5000000000000001E-2</v>
      </c>
      <c r="U262" s="456">
        <f>'Key input_Biomass_MAgPIE'!S253</f>
        <v>9.5000000000000001E-2</v>
      </c>
      <c r="V262" s="456">
        <f>'Key input_Biomass_MAgPIE'!T253</f>
        <v>9.5000000000000001E-2</v>
      </c>
      <c r="W262" s="456">
        <f>'Key input_Biomass_MAgPIE'!U253</f>
        <v>9.5000000000000001E-2</v>
      </c>
      <c r="X262" s="456">
        <f>'Key input_Biomass_MAgPIE'!V253</f>
        <v>9.5000000000000001E-2</v>
      </c>
      <c r="Y262" s="456">
        <f>'Key input_Biomass_MAgPIE'!W253</f>
        <v>9.5000000000000001E-2</v>
      </c>
      <c r="Z262" s="456">
        <f>'Key input_Biomass_MAgPIE'!X253</f>
        <v>9.5000000000000001E-2</v>
      </c>
      <c r="AA262" s="456">
        <f>'Key input_Biomass_MAgPIE'!Y253</f>
        <v>9.5000000000000001E-2</v>
      </c>
      <c r="AB262" s="456">
        <f>'Key input_Biomass_MAgPIE'!Z253</f>
        <v>9.5000000000000001E-2</v>
      </c>
      <c r="AC262" s="456">
        <f>'Key input_Biomass_MAgPIE'!AA253</f>
        <v>9.5000000000000001E-2</v>
      </c>
      <c r="AD262" s="456">
        <f>'Key input_Biomass_MAgPIE'!AB253</f>
        <v>9.5000000000000001E-2</v>
      </c>
      <c r="AE262" s="456">
        <f>'Key input_Biomass_MAgPIE'!AC253</f>
        <v>9.5000000000000001E-2</v>
      </c>
      <c r="AF262" s="456">
        <f>'Key input_Biomass_MAgPIE'!AD253</f>
        <v>9.5000000000000001E-2</v>
      </c>
      <c r="AG262" s="456">
        <f>'Key input_Biomass_MAgPIE'!AE253</f>
        <v>9.5000000000000001E-2</v>
      </c>
      <c r="AH262" s="456">
        <f>'Key input_Biomass_MAgPIE'!AF253</f>
        <v>9.5000000000000001E-2</v>
      </c>
    </row>
    <row r="263" spans="1:34">
      <c r="A263" s="4" t="str">
        <f t="shared" si="100"/>
        <v>MIN-RSVBIOCRP1</v>
      </c>
      <c r="B263" s="4" t="str">
        <f t="shared" si="97"/>
        <v>UPS Reserves of Biomass - Crops grown for energy - Reserve - Supply curve step 1</v>
      </c>
      <c r="C263" s="4" t="str">
        <f t="shared" si="98"/>
        <v>RSVBIOCRP</v>
      </c>
      <c r="D263" s="4" t="str">
        <f t="shared" si="99"/>
        <v>ACT_COST</v>
      </c>
      <c r="E263" s="4"/>
      <c r="F263" s="4">
        <v>2090</v>
      </c>
      <c r="G263" s="456">
        <f>'Key input_Biomass_MAgPIE'!E254</f>
        <v>9.5000000000000001E-2</v>
      </c>
      <c r="H263" s="456">
        <f>'Key input_Biomass_MAgPIE'!F254</f>
        <v>9.5000000000000001E-2</v>
      </c>
      <c r="I263" s="456">
        <f>'Key input_Biomass_MAgPIE'!G254</f>
        <v>9.5000000000000001E-2</v>
      </c>
      <c r="J263" s="456">
        <f>'Key input_Biomass_MAgPIE'!H254</f>
        <v>9.5000000000000001E-2</v>
      </c>
      <c r="K263" s="456">
        <f>'Key input_Biomass_MAgPIE'!I254</f>
        <v>9.5000000000000001E-2</v>
      </c>
      <c r="L263" s="456">
        <f>'Key input_Biomass_MAgPIE'!J254</f>
        <v>9.5000000000000001E-2</v>
      </c>
      <c r="M263" s="456">
        <f>'Key input_Biomass_MAgPIE'!K254</f>
        <v>9.5000000000000001E-2</v>
      </c>
      <c r="N263" s="456">
        <f>'Key input_Biomass_MAgPIE'!L254</f>
        <v>9.5000000000000001E-2</v>
      </c>
      <c r="O263" s="456">
        <f>'Key input_Biomass_MAgPIE'!M254</f>
        <v>9.5000000000000001E-2</v>
      </c>
      <c r="P263" s="456">
        <f>'Key input_Biomass_MAgPIE'!N254</f>
        <v>9.5000000000000001E-2</v>
      </c>
      <c r="Q263" s="456">
        <f>'Key input_Biomass_MAgPIE'!O254</f>
        <v>9.5000000000000001E-2</v>
      </c>
      <c r="R263" s="456">
        <f>'Key input_Biomass_MAgPIE'!P254</f>
        <v>9.5000000000000001E-2</v>
      </c>
      <c r="S263" s="456">
        <f>'Key input_Biomass_MAgPIE'!Q254</f>
        <v>9.5000000000000001E-2</v>
      </c>
      <c r="T263" s="456">
        <f>'Key input_Biomass_MAgPIE'!R254</f>
        <v>9.5000000000000001E-2</v>
      </c>
      <c r="U263" s="456">
        <f>'Key input_Biomass_MAgPIE'!S254</f>
        <v>9.5000000000000001E-2</v>
      </c>
      <c r="V263" s="456">
        <f>'Key input_Biomass_MAgPIE'!T254</f>
        <v>9.5000000000000001E-2</v>
      </c>
      <c r="W263" s="456">
        <f>'Key input_Biomass_MAgPIE'!U254</f>
        <v>9.5000000000000001E-2</v>
      </c>
      <c r="X263" s="456">
        <f>'Key input_Biomass_MAgPIE'!V254</f>
        <v>9.5000000000000001E-2</v>
      </c>
      <c r="Y263" s="456">
        <f>'Key input_Biomass_MAgPIE'!W254</f>
        <v>9.5000000000000001E-2</v>
      </c>
      <c r="Z263" s="456">
        <f>'Key input_Biomass_MAgPIE'!X254</f>
        <v>9.5000000000000001E-2</v>
      </c>
      <c r="AA263" s="456">
        <f>'Key input_Biomass_MAgPIE'!Y254</f>
        <v>9.5000000000000001E-2</v>
      </c>
      <c r="AB263" s="456">
        <f>'Key input_Biomass_MAgPIE'!Z254</f>
        <v>9.5000000000000001E-2</v>
      </c>
      <c r="AC263" s="456">
        <f>'Key input_Biomass_MAgPIE'!AA254</f>
        <v>9.5000000000000001E-2</v>
      </c>
      <c r="AD263" s="456">
        <f>'Key input_Biomass_MAgPIE'!AB254</f>
        <v>9.5000000000000001E-2</v>
      </c>
      <c r="AE263" s="456">
        <f>'Key input_Biomass_MAgPIE'!AC254</f>
        <v>9.5000000000000001E-2</v>
      </c>
      <c r="AF263" s="456">
        <f>'Key input_Biomass_MAgPIE'!AD254</f>
        <v>9.5000000000000001E-2</v>
      </c>
      <c r="AG263" s="456">
        <f>'Key input_Biomass_MAgPIE'!AE254</f>
        <v>9.5000000000000001E-2</v>
      </c>
      <c r="AH263" s="456">
        <f>'Key input_Biomass_MAgPIE'!AF254</f>
        <v>9.5000000000000001E-2</v>
      </c>
    </row>
    <row r="264" spans="1:34">
      <c r="A264" s="259" t="str">
        <f t="shared" si="100"/>
        <v>MIN-RSVBIOCRP1</v>
      </c>
      <c r="B264" s="259" t="str">
        <f t="shared" si="97"/>
        <v>UPS Reserves of Biomass - Crops grown for energy - Reserve - Supply curve step 1</v>
      </c>
      <c r="C264" s="259" t="str">
        <f t="shared" si="98"/>
        <v>RSVBIOCRP</v>
      </c>
      <c r="D264" s="259" t="str">
        <f t="shared" si="99"/>
        <v>ACT_COST</v>
      </c>
      <c r="E264" s="259"/>
      <c r="F264" s="259">
        <v>2100</v>
      </c>
      <c r="G264" s="435">
        <f>'Key input_Biomass_MAgPIE'!E255</f>
        <v>9.5000000000000001E-2</v>
      </c>
      <c r="H264" s="435">
        <f>'Key input_Biomass_MAgPIE'!F255</f>
        <v>9.5000000000000001E-2</v>
      </c>
      <c r="I264" s="435">
        <f>'Key input_Biomass_MAgPIE'!G255</f>
        <v>9.5000000000000001E-2</v>
      </c>
      <c r="J264" s="435">
        <f>'Key input_Biomass_MAgPIE'!H255</f>
        <v>9.5000000000000001E-2</v>
      </c>
      <c r="K264" s="435">
        <f>'Key input_Biomass_MAgPIE'!I255</f>
        <v>9.5000000000000001E-2</v>
      </c>
      <c r="L264" s="435">
        <f>'Key input_Biomass_MAgPIE'!J255</f>
        <v>9.5000000000000001E-2</v>
      </c>
      <c r="M264" s="435">
        <f>'Key input_Biomass_MAgPIE'!K255</f>
        <v>9.5000000000000001E-2</v>
      </c>
      <c r="N264" s="435">
        <f>'Key input_Biomass_MAgPIE'!L255</f>
        <v>9.5000000000000001E-2</v>
      </c>
      <c r="O264" s="435">
        <f>'Key input_Biomass_MAgPIE'!M255</f>
        <v>9.5000000000000001E-2</v>
      </c>
      <c r="P264" s="435">
        <f>'Key input_Biomass_MAgPIE'!N255</f>
        <v>9.5000000000000001E-2</v>
      </c>
      <c r="Q264" s="435">
        <f>'Key input_Biomass_MAgPIE'!O255</f>
        <v>9.5000000000000001E-2</v>
      </c>
      <c r="R264" s="435">
        <f>'Key input_Biomass_MAgPIE'!P255</f>
        <v>9.5000000000000001E-2</v>
      </c>
      <c r="S264" s="435">
        <f>'Key input_Biomass_MAgPIE'!Q255</f>
        <v>9.5000000000000001E-2</v>
      </c>
      <c r="T264" s="435">
        <f>'Key input_Biomass_MAgPIE'!R255</f>
        <v>9.5000000000000001E-2</v>
      </c>
      <c r="U264" s="435">
        <f>'Key input_Biomass_MAgPIE'!S255</f>
        <v>9.5000000000000001E-2</v>
      </c>
      <c r="V264" s="435">
        <f>'Key input_Biomass_MAgPIE'!T255</f>
        <v>9.5000000000000001E-2</v>
      </c>
      <c r="W264" s="435">
        <f>'Key input_Biomass_MAgPIE'!U255</f>
        <v>9.5000000000000001E-2</v>
      </c>
      <c r="X264" s="435">
        <f>'Key input_Biomass_MAgPIE'!V255</f>
        <v>9.5000000000000001E-2</v>
      </c>
      <c r="Y264" s="435">
        <f>'Key input_Biomass_MAgPIE'!W255</f>
        <v>9.5000000000000001E-2</v>
      </c>
      <c r="Z264" s="435">
        <f>'Key input_Biomass_MAgPIE'!X255</f>
        <v>9.5000000000000001E-2</v>
      </c>
      <c r="AA264" s="435">
        <f>'Key input_Biomass_MAgPIE'!Y255</f>
        <v>9.5000000000000001E-2</v>
      </c>
      <c r="AB264" s="435">
        <f>'Key input_Biomass_MAgPIE'!Z255</f>
        <v>9.5000000000000001E-2</v>
      </c>
      <c r="AC264" s="435">
        <f>'Key input_Biomass_MAgPIE'!AA255</f>
        <v>9.5000000000000001E-2</v>
      </c>
      <c r="AD264" s="435">
        <f>'Key input_Biomass_MAgPIE'!AB255</f>
        <v>9.5000000000000001E-2</v>
      </c>
      <c r="AE264" s="435">
        <f>'Key input_Biomass_MAgPIE'!AC255</f>
        <v>9.5000000000000001E-2</v>
      </c>
      <c r="AF264" s="435">
        <f>'Key input_Biomass_MAgPIE'!AD255</f>
        <v>9.5000000000000001E-2</v>
      </c>
      <c r="AG264" s="435">
        <f>'Key input_Biomass_MAgPIE'!AE255</f>
        <v>9.5000000000000001E-2</v>
      </c>
      <c r="AH264" s="435">
        <f>'Key input_Biomass_MAgPIE'!AF255</f>
        <v>9.5000000000000001E-2</v>
      </c>
    </row>
    <row r="265" spans="1:34">
      <c r="A265" s="4" t="str">
        <f>AK15</f>
        <v>MIN-RSVBIOCRP2</v>
      </c>
      <c r="B265" s="4" t="str">
        <f>AL15</f>
        <v>UPS Reserves of Biomass - Crops grown for energy - Reserve - Supply curve step 2</v>
      </c>
      <c r="C265" s="4" t="str">
        <f>Commodities!$C$16</f>
        <v>RSVBIOCRP</v>
      </c>
      <c r="D265" s="4" t="s">
        <v>675</v>
      </c>
      <c r="E265" s="4"/>
      <c r="F265" s="4">
        <v>2019</v>
      </c>
      <c r="G265" s="258">
        <f>'Key input_Biomass_MAgPIE'!E256</f>
        <v>0.19</v>
      </c>
      <c r="H265" s="258">
        <f>'Key input_Biomass_MAgPIE'!F256</f>
        <v>0.19</v>
      </c>
      <c r="I265" s="258">
        <f>'Key input_Biomass_MAgPIE'!G256</f>
        <v>0.19</v>
      </c>
      <c r="J265" s="258">
        <f>'Key input_Biomass_MAgPIE'!H256</f>
        <v>0.19</v>
      </c>
      <c r="K265" s="258">
        <f>'Key input_Biomass_MAgPIE'!I256</f>
        <v>0.19</v>
      </c>
      <c r="L265" s="258">
        <f>'Key input_Biomass_MAgPIE'!J256</f>
        <v>0.19</v>
      </c>
      <c r="M265" s="258">
        <f>'Key input_Biomass_MAgPIE'!K256</f>
        <v>0.19</v>
      </c>
      <c r="N265" s="258">
        <f>'Key input_Biomass_MAgPIE'!L256</f>
        <v>0.19</v>
      </c>
      <c r="O265" s="258">
        <f>'Key input_Biomass_MAgPIE'!M256</f>
        <v>0.19</v>
      </c>
      <c r="P265" s="258">
        <f>'Key input_Biomass_MAgPIE'!N256</f>
        <v>0.19</v>
      </c>
      <c r="Q265" s="258">
        <f>'Key input_Biomass_MAgPIE'!O256</f>
        <v>0.19</v>
      </c>
      <c r="R265" s="258">
        <f>'Key input_Biomass_MAgPIE'!P256</f>
        <v>0.19</v>
      </c>
      <c r="S265" s="258">
        <f>'Key input_Biomass_MAgPIE'!Q256</f>
        <v>0.19</v>
      </c>
      <c r="T265" s="258">
        <f>'Key input_Biomass_MAgPIE'!R256</f>
        <v>0.19</v>
      </c>
      <c r="U265" s="258">
        <f>'Key input_Biomass_MAgPIE'!S256</f>
        <v>0.19</v>
      </c>
      <c r="V265" s="258">
        <f>'Key input_Biomass_MAgPIE'!T256</f>
        <v>0.19</v>
      </c>
      <c r="W265" s="258">
        <f>'Key input_Biomass_MAgPIE'!U256</f>
        <v>0.19</v>
      </c>
      <c r="X265" s="258">
        <f>'Key input_Biomass_MAgPIE'!V256</f>
        <v>0.19</v>
      </c>
      <c r="Y265" s="258">
        <f>'Key input_Biomass_MAgPIE'!W256</f>
        <v>0.19</v>
      </c>
      <c r="Z265" s="258">
        <f>'Key input_Biomass_MAgPIE'!X256</f>
        <v>0.19</v>
      </c>
      <c r="AA265" s="258">
        <f>'Key input_Biomass_MAgPIE'!Y256</f>
        <v>0.19</v>
      </c>
      <c r="AB265" s="258">
        <f>'Key input_Biomass_MAgPIE'!Z256</f>
        <v>0.19</v>
      </c>
      <c r="AC265" s="258">
        <f>'Key input_Biomass_MAgPIE'!AA256</f>
        <v>0.19</v>
      </c>
      <c r="AD265" s="258">
        <f>'Key input_Biomass_MAgPIE'!AB256</f>
        <v>0.19</v>
      </c>
      <c r="AE265" s="258">
        <f>'Key input_Biomass_MAgPIE'!AC256</f>
        <v>0.19</v>
      </c>
      <c r="AF265" s="258">
        <f>'Key input_Biomass_MAgPIE'!AD256</f>
        <v>0.19</v>
      </c>
      <c r="AG265" s="258">
        <f>'Key input_Biomass_MAgPIE'!AE256</f>
        <v>0.19</v>
      </c>
      <c r="AH265" s="258">
        <f>'Key input_Biomass_MAgPIE'!AF256</f>
        <v>0.19</v>
      </c>
    </row>
    <row r="266" spans="1:34">
      <c r="A266" s="4" t="str">
        <f>A265</f>
        <v>MIN-RSVBIOCRP2</v>
      </c>
      <c r="B266" s="4" t="str">
        <f t="shared" ref="B266:B277" si="101">B265</f>
        <v>UPS Reserves of Biomass - Crops grown for energy - Reserve - Supply curve step 2</v>
      </c>
      <c r="C266" s="4" t="str">
        <f t="shared" ref="C266:C277" si="102">C265</f>
        <v>RSVBIOCRP</v>
      </c>
      <c r="D266" s="4" t="str">
        <f t="shared" ref="D266:D277" si="103">D265</f>
        <v>ACT_COST</v>
      </c>
      <c r="E266" s="4"/>
      <c r="F266" s="4">
        <v>2020</v>
      </c>
      <c r="G266" s="456">
        <f>'Key input_Biomass_MAgPIE'!E257</f>
        <v>0.19</v>
      </c>
      <c r="H266" s="456">
        <f>'Key input_Biomass_MAgPIE'!F257</f>
        <v>0.19</v>
      </c>
      <c r="I266" s="456">
        <f>'Key input_Biomass_MAgPIE'!G257</f>
        <v>0.19</v>
      </c>
      <c r="J266" s="456">
        <f>'Key input_Biomass_MAgPIE'!H257</f>
        <v>0.19</v>
      </c>
      <c r="K266" s="456">
        <f>'Key input_Biomass_MAgPIE'!I257</f>
        <v>0.19</v>
      </c>
      <c r="L266" s="456">
        <f>'Key input_Biomass_MAgPIE'!J257</f>
        <v>0.19</v>
      </c>
      <c r="M266" s="456">
        <f>'Key input_Biomass_MAgPIE'!K257</f>
        <v>0.19</v>
      </c>
      <c r="N266" s="456">
        <f>'Key input_Biomass_MAgPIE'!L257</f>
        <v>0.19</v>
      </c>
      <c r="O266" s="456">
        <f>'Key input_Biomass_MAgPIE'!M257</f>
        <v>0.19</v>
      </c>
      <c r="P266" s="456">
        <f>'Key input_Biomass_MAgPIE'!N257</f>
        <v>0.19</v>
      </c>
      <c r="Q266" s="456">
        <f>'Key input_Biomass_MAgPIE'!O257</f>
        <v>0.19</v>
      </c>
      <c r="R266" s="456">
        <f>'Key input_Biomass_MAgPIE'!P257</f>
        <v>0.19</v>
      </c>
      <c r="S266" s="456">
        <f>'Key input_Biomass_MAgPIE'!Q257</f>
        <v>0.19</v>
      </c>
      <c r="T266" s="456">
        <f>'Key input_Biomass_MAgPIE'!R257</f>
        <v>0.19</v>
      </c>
      <c r="U266" s="456">
        <f>'Key input_Biomass_MAgPIE'!S257</f>
        <v>0.19</v>
      </c>
      <c r="V266" s="456">
        <f>'Key input_Biomass_MAgPIE'!T257</f>
        <v>0.19</v>
      </c>
      <c r="W266" s="456">
        <f>'Key input_Biomass_MAgPIE'!U257</f>
        <v>0.19</v>
      </c>
      <c r="X266" s="456">
        <f>'Key input_Biomass_MAgPIE'!V257</f>
        <v>0.19</v>
      </c>
      <c r="Y266" s="456">
        <f>'Key input_Biomass_MAgPIE'!W257</f>
        <v>0.19</v>
      </c>
      <c r="Z266" s="456">
        <f>'Key input_Biomass_MAgPIE'!X257</f>
        <v>0.19</v>
      </c>
      <c r="AA266" s="456">
        <f>'Key input_Biomass_MAgPIE'!Y257</f>
        <v>0.19</v>
      </c>
      <c r="AB266" s="456">
        <f>'Key input_Biomass_MAgPIE'!Z257</f>
        <v>0.19</v>
      </c>
      <c r="AC266" s="456">
        <f>'Key input_Biomass_MAgPIE'!AA257</f>
        <v>0.19</v>
      </c>
      <c r="AD266" s="456">
        <f>'Key input_Biomass_MAgPIE'!AB257</f>
        <v>0.19</v>
      </c>
      <c r="AE266" s="456">
        <f>'Key input_Biomass_MAgPIE'!AC257</f>
        <v>0.19</v>
      </c>
      <c r="AF266" s="456">
        <f>'Key input_Biomass_MAgPIE'!AD257</f>
        <v>0.19</v>
      </c>
      <c r="AG266" s="456">
        <f>'Key input_Biomass_MAgPIE'!AE257</f>
        <v>0.19</v>
      </c>
      <c r="AH266" s="456">
        <f>'Key input_Biomass_MAgPIE'!AF257</f>
        <v>0.19</v>
      </c>
    </row>
    <row r="267" spans="1:34">
      <c r="A267" s="4" t="str">
        <f t="shared" ref="A267:A277" si="104">A266</f>
        <v>MIN-RSVBIOCRP2</v>
      </c>
      <c r="B267" s="4" t="str">
        <f t="shared" si="101"/>
        <v>UPS Reserves of Biomass - Crops grown for energy - Reserve - Supply curve step 2</v>
      </c>
      <c r="C267" s="4" t="str">
        <f t="shared" si="102"/>
        <v>RSVBIOCRP</v>
      </c>
      <c r="D267" s="4" t="str">
        <f t="shared" si="103"/>
        <v>ACT_COST</v>
      </c>
      <c r="E267" s="4"/>
      <c r="F267" s="4">
        <v>2025</v>
      </c>
      <c r="G267" s="456">
        <f>'Key input_Biomass_MAgPIE'!E258</f>
        <v>0.19</v>
      </c>
      <c r="H267" s="456">
        <f>'Key input_Biomass_MAgPIE'!F258</f>
        <v>0.19</v>
      </c>
      <c r="I267" s="456">
        <f>'Key input_Biomass_MAgPIE'!G258</f>
        <v>0.19</v>
      </c>
      <c r="J267" s="456">
        <f>'Key input_Biomass_MAgPIE'!H258</f>
        <v>0.19</v>
      </c>
      <c r="K267" s="456">
        <f>'Key input_Biomass_MAgPIE'!I258</f>
        <v>0.19</v>
      </c>
      <c r="L267" s="456">
        <f>'Key input_Biomass_MAgPIE'!J258</f>
        <v>0.19</v>
      </c>
      <c r="M267" s="456">
        <f>'Key input_Biomass_MAgPIE'!K258</f>
        <v>0.19</v>
      </c>
      <c r="N267" s="456">
        <f>'Key input_Biomass_MAgPIE'!L258</f>
        <v>0.19</v>
      </c>
      <c r="O267" s="456">
        <f>'Key input_Biomass_MAgPIE'!M258</f>
        <v>0.19</v>
      </c>
      <c r="P267" s="456">
        <f>'Key input_Biomass_MAgPIE'!N258</f>
        <v>0.19</v>
      </c>
      <c r="Q267" s="456">
        <f>'Key input_Biomass_MAgPIE'!O258</f>
        <v>0.19</v>
      </c>
      <c r="R267" s="456">
        <f>'Key input_Biomass_MAgPIE'!P258</f>
        <v>0.19</v>
      </c>
      <c r="S267" s="456">
        <f>'Key input_Biomass_MAgPIE'!Q258</f>
        <v>0.19</v>
      </c>
      <c r="T267" s="456">
        <f>'Key input_Biomass_MAgPIE'!R258</f>
        <v>0.19</v>
      </c>
      <c r="U267" s="456">
        <f>'Key input_Biomass_MAgPIE'!S258</f>
        <v>0.19</v>
      </c>
      <c r="V267" s="456">
        <f>'Key input_Biomass_MAgPIE'!T258</f>
        <v>0.19</v>
      </c>
      <c r="W267" s="456">
        <f>'Key input_Biomass_MAgPIE'!U258</f>
        <v>0.19</v>
      </c>
      <c r="X267" s="456">
        <f>'Key input_Biomass_MAgPIE'!V258</f>
        <v>0.19</v>
      </c>
      <c r="Y267" s="456">
        <f>'Key input_Biomass_MAgPIE'!W258</f>
        <v>0.19</v>
      </c>
      <c r="Z267" s="456">
        <f>'Key input_Biomass_MAgPIE'!X258</f>
        <v>0.19</v>
      </c>
      <c r="AA267" s="456">
        <f>'Key input_Biomass_MAgPIE'!Y258</f>
        <v>0.19</v>
      </c>
      <c r="AB267" s="456">
        <f>'Key input_Biomass_MAgPIE'!Z258</f>
        <v>0.19</v>
      </c>
      <c r="AC267" s="456">
        <f>'Key input_Biomass_MAgPIE'!AA258</f>
        <v>0.19</v>
      </c>
      <c r="AD267" s="456">
        <f>'Key input_Biomass_MAgPIE'!AB258</f>
        <v>0.19</v>
      </c>
      <c r="AE267" s="456">
        <f>'Key input_Biomass_MAgPIE'!AC258</f>
        <v>0.19</v>
      </c>
      <c r="AF267" s="456">
        <f>'Key input_Biomass_MAgPIE'!AD258</f>
        <v>0.19</v>
      </c>
      <c r="AG267" s="456">
        <f>'Key input_Biomass_MAgPIE'!AE258</f>
        <v>0.19</v>
      </c>
      <c r="AH267" s="456">
        <f>'Key input_Biomass_MAgPIE'!AF258</f>
        <v>0.19</v>
      </c>
    </row>
    <row r="268" spans="1:34">
      <c r="A268" s="4" t="str">
        <f t="shared" si="104"/>
        <v>MIN-RSVBIOCRP2</v>
      </c>
      <c r="B268" s="4" t="str">
        <f t="shared" si="101"/>
        <v>UPS Reserves of Biomass - Crops grown for energy - Reserve - Supply curve step 2</v>
      </c>
      <c r="C268" s="4" t="str">
        <f t="shared" si="102"/>
        <v>RSVBIOCRP</v>
      </c>
      <c r="D268" s="4" t="str">
        <f t="shared" si="103"/>
        <v>ACT_COST</v>
      </c>
      <c r="E268" s="4"/>
      <c r="F268" s="4">
        <v>2030</v>
      </c>
      <c r="G268" s="456">
        <f>'Key input_Biomass_MAgPIE'!E259</f>
        <v>0.19</v>
      </c>
      <c r="H268" s="456">
        <f>'Key input_Biomass_MAgPIE'!F259</f>
        <v>0.19</v>
      </c>
      <c r="I268" s="456">
        <f>'Key input_Biomass_MAgPIE'!G259</f>
        <v>0.19</v>
      </c>
      <c r="J268" s="456">
        <f>'Key input_Biomass_MAgPIE'!H259</f>
        <v>0.19</v>
      </c>
      <c r="K268" s="456">
        <f>'Key input_Biomass_MAgPIE'!I259</f>
        <v>0.19</v>
      </c>
      <c r="L268" s="456">
        <f>'Key input_Biomass_MAgPIE'!J259</f>
        <v>0.19</v>
      </c>
      <c r="M268" s="456">
        <f>'Key input_Biomass_MAgPIE'!K259</f>
        <v>0.19</v>
      </c>
      <c r="N268" s="456">
        <f>'Key input_Biomass_MAgPIE'!L259</f>
        <v>0.19</v>
      </c>
      <c r="O268" s="456">
        <f>'Key input_Biomass_MAgPIE'!M259</f>
        <v>0.19</v>
      </c>
      <c r="P268" s="456">
        <f>'Key input_Biomass_MAgPIE'!N259</f>
        <v>0.19</v>
      </c>
      <c r="Q268" s="456">
        <f>'Key input_Biomass_MAgPIE'!O259</f>
        <v>0.19</v>
      </c>
      <c r="R268" s="456">
        <f>'Key input_Biomass_MAgPIE'!P259</f>
        <v>0.19</v>
      </c>
      <c r="S268" s="456">
        <f>'Key input_Biomass_MAgPIE'!Q259</f>
        <v>0.19</v>
      </c>
      <c r="T268" s="456">
        <f>'Key input_Biomass_MAgPIE'!R259</f>
        <v>0.19</v>
      </c>
      <c r="U268" s="456">
        <f>'Key input_Biomass_MAgPIE'!S259</f>
        <v>0.19</v>
      </c>
      <c r="V268" s="456">
        <f>'Key input_Biomass_MAgPIE'!T259</f>
        <v>0.19</v>
      </c>
      <c r="W268" s="456">
        <f>'Key input_Biomass_MAgPIE'!U259</f>
        <v>0.19</v>
      </c>
      <c r="X268" s="456">
        <f>'Key input_Biomass_MAgPIE'!V259</f>
        <v>0.19</v>
      </c>
      <c r="Y268" s="456">
        <f>'Key input_Biomass_MAgPIE'!W259</f>
        <v>0.19</v>
      </c>
      <c r="Z268" s="456">
        <f>'Key input_Biomass_MAgPIE'!X259</f>
        <v>0.19</v>
      </c>
      <c r="AA268" s="456">
        <f>'Key input_Biomass_MAgPIE'!Y259</f>
        <v>0.19</v>
      </c>
      <c r="AB268" s="456">
        <f>'Key input_Biomass_MAgPIE'!Z259</f>
        <v>0.19</v>
      </c>
      <c r="AC268" s="456">
        <f>'Key input_Biomass_MAgPIE'!AA259</f>
        <v>0.19</v>
      </c>
      <c r="AD268" s="456">
        <f>'Key input_Biomass_MAgPIE'!AB259</f>
        <v>0.19</v>
      </c>
      <c r="AE268" s="456">
        <f>'Key input_Biomass_MAgPIE'!AC259</f>
        <v>0.19</v>
      </c>
      <c r="AF268" s="456">
        <f>'Key input_Biomass_MAgPIE'!AD259</f>
        <v>0.19</v>
      </c>
      <c r="AG268" s="456">
        <f>'Key input_Biomass_MAgPIE'!AE259</f>
        <v>0.19</v>
      </c>
      <c r="AH268" s="456">
        <f>'Key input_Biomass_MAgPIE'!AF259</f>
        <v>0.19</v>
      </c>
    </row>
    <row r="269" spans="1:34">
      <c r="A269" s="4" t="str">
        <f t="shared" si="104"/>
        <v>MIN-RSVBIOCRP2</v>
      </c>
      <c r="B269" s="4" t="str">
        <f t="shared" si="101"/>
        <v>UPS Reserves of Biomass - Crops grown for energy - Reserve - Supply curve step 2</v>
      </c>
      <c r="C269" s="4" t="str">
        <f t="shared" si="102"/>
        <v>RSVBIOCRP</v>
      </c>
      <c r="D269" s="4" t="str">
        <f t="shared" si="103"/>
        <v>ACT_COST</v>
      </c>
      <c r="E269" s="4"/>
      <c r="F269" s="4">
        <v>2035</v>
      </c>
      <c r="G269" s="456">
        <f>'Key input_Biomass_MAgPIE'!E260</f>
        <v>0.19</v>
      </c>
      <c r="H269" s="456">
        <f>'Key input_Biomass_MAgPIE'!F260</f>
        <v>0.19</v>
      </c>
      <c r="I269" s="456">
        <f>'Key input_Biomass_MAgPIE'!G260</f>
        <v>0.19</v>
      </c>
      <c r="J269" s="456">
        <f>'Key input_Biomass_MAgPIE'!H260</f>
        <v>0.19</v>
      </c>
      <c r="K269" s="456">
        <f>'Key input_Biomass_MAgPIE'!I260</f>
        <v>0.19</v>
      </c>
      <c r="L269" s="456">
        <f>'Key input_Biomass_MAgPIE'!J260</f>
        <v>0.19</v>
      </c>
      <c r="M269" s="456">
        <f>'Key input_Biomass_MAgPIE'!K260</f>
        <v>0.19</v>
      </c>
      <c r="N269" s="456">
        <f>'Key input_Biomass_MAgPIE'!L260</f>
        <v>0.19</v>
      </c>
      <c r="O269" s="456">
        <f>'Key input_Biomass_MAgPIE'!M260</f>
        <v>0.19</v>
      </c>
      <c r="P269" s="456">
        <f>'Key input_Biomass_MAgPIE'!N260</f>
        <v>0.19</v>
      </c>
      <c r="Q269" s="456">
        <f>'Key input_Biomass_MAgPIE'!O260</f>
        <v>0.19</v>
      </c>
      <c r="R269" s="456">
        <f>'Key input_Biomass_MAgPIE'!P260</f>
        <v>0.19</v>
      </c>
      <c r="S269" s="456">
        <f>'Key input_Biomass_MAgPIE'!Q260</f>
        <v>0.19</v>
      </c>
      <c r="T269" s="456">
        <f>'Key input_Biomass_MAgPIE'!R260</f>
        <v>0.19</v>
      </c>
      <c r="U269" s="456">
        <f>'Key input_Biomass_MAgPIE'!S260</f>
        <v>0.19</v>
      </c>
      <c r="V269" s="456">
        <f>'Key input_Biomass_MAgPIE'!T260</f>
        <v>0.19</v>
      </c>
      <c r="W269" s="456">
        <f>'Key input_Biomass_MAgPIE'!U260</f>
        <v>0.19</v>
      </c>
      <c r="X269" s="456">
        <f>'Key input_Biomass_MAgPIE'!V260</f>
        <v>0.19</v>
      </c>
      <c r="Y269" s="456">
        <f>'Key input_Biomass_MAgPIE'!W260</f>
        <v>0.19</v>
      </c>
      <c r="Z269" s="456">
        <f>'Key input_Biomass_MAgPIE'!X260</f>
        <v>0.19</v>
      </c>
      <c r="AA269" s="456">
        <f>'Key input_Biomass_MAgPIE'!Y260</f>
        <v>0.19</v>
      </c>
      <c r="AB269" s="456">
        <f>'Key input_Biomass_MAgPIE'!Z260</f>
        <v>0.19</v>
      </c>
      <c r="AC269" s="456">
        <f>'Key input_Biomass_MAgPIE'!AA260</f>
        <v>0.19</v>
      </c>
      <c r="AD269" s="456">
        <f>'Key input_Biomass_MAgPIE'!AB260</f>
        <v>0.19</v>
      </c>
      <c r="AE269" s="456">
        <f>'Key input_Biomass_MAgPIE'!AC260</f>
        <v>0.19</v>
      </c>
      <c r="AF269" s="456">
        <f>'Key input_Biomass_MAgPIE'!AD260</f>
        <v>0.19</v>
      </c>
      <c r="AG269" s="456">
        <f>'Key input_Biomass_MAgPIE'!AE260</f>
        <v>0.19</v>
      </c>
      <c r="AH269" s="456">
        <f>'Key input_Biomass_MAgPIE'!AF260</f>
        <v>0.19</v>
      </c>
    </row>
    <row r="270" spans="1:34">
      <c r="A270" s="4" t="str">
        <f t="shared" si="104"/>
        <v>MIN-RSVBIOCRP2</v>
      </c>
      <c r="B270" s="4" t="str">
        <f t="shared" si="101"/>
        <v>UPS Reserves of Biomass - Crops grown for energy - Reserve - Supply curve step 2</v>
      </c>
      <c r="C270" s="4" t="str">
        <f t="shared" si="102"/>
        <v>RSVBIOCRP</v>
      </c>
      <c r="D270" s="4" t="str">
        <f t="shared" si="103"/>
        <v>ACT_COST</v>
      </c>
      <c r="E270" s="4"/>
      <c r="F270" s="4">
        <v>2040</v>
      </c>
      <c r="G270" s="456">
        <f>'Key input_Biomass_MAgPIE'!E261</f>
        <v>0.19</v>
      </c>
      <c r="H270" s="456">
        <f>'Key input_Biomass_MAgPIE'!F261</f>
        <v>0.19</v>
      </c>
      <c r="I270" s="456">
        <f>'Key input_Biomass_MAgPIE'!G261</f>
        <v>0.19</v>
      </c>
      <c r="J270" s="456">
        <f>'Key input_Biomass_MAgPIE'!H261</f>
        <v>0.19</v>
      </c>
      <c r="K270" s="456">
        <f>'Key input_Biomass_MAgPIE'!I261</f>
        <v>0.19</v>
      </c>
      <c r="L270" s="456">
        <f>'Key input_Biomass_MAgPIE'!J261</f>
        <v>0.19</v>
      </c>
      <c r="M270" s="456">
        <f>'Key input_Biomass_MAgPIE'!K261</f>
        <v>0.19</v>
      </c>
      <c r="N270" s="456">
        <f>'Key input_Biomass_MAgPIE'!L261</f>
        <v>0.19</v>
      </c>
      <c r="O270" s="456">
        <f>'Key input_Biomass_MAgPIE'!M261</f>
        <v>0.19</v>
      </c>
      <c r="P270" s="456">
        <f>'Key input_Biomass_MAgPIE'!N261</f>
        <v>0.19</v>
      </c>
      <c r="Q270" s="456">
        <f>'Key input_Biomass_MAgPIE'!O261</f>
        <v>0.19</v>
      </c>
      <c r="R270" s="456">
        <f>'Key input_Biomass_MAgPIE'!P261</f>
        <v>0.19</v>
      </c>
      <c r="S270" s="456">
        <f>'Key input_Biomass_MAgPIE'!Q261</f>
        <v>0.19</v>
      </c>
      <c r="T270" s="456">
        <f>'Key input_Biomass_MAgPIE'!R261</f>
        <v>0.19</v>
      </c>
      <c r="U270" s="456">
        <f>'Key input_Biomass_MAgPIE'!S261</f>
        <v>0.19</v>
      </c>
      <c r="V270" s="456">
        <f>'Key input_Biomass_MAgPIE'!T261</f>
        <v>0.19</v>
      </c>
      <c r="W270" s="456">
        <f>'Key input_Biomass_MAgPIE'!U261</f>
        <v>0.19</v>
      </c>
      <c r="X270" s="456">
        <f>'Key input_Biomass_MAgPIE'!V261</f>
        <v>0.19</v>
      </c>
      <c r="Y270" s="456">
        <f>'Key input_Biomass_MAgPIE'!W261</f>
        <v>0.19</v>
      </c>
      <c r="Z270" s="456">
        <f>'Key input_Biomass_MAgPIE'!X261</f>
        <v>0.19</v>
      </c>
      <c r="AA270" s="456">
        <f>'Key input_Biomass_MAgPIE'!Y261</f>
        <v>0.19</v>
      </c>
      <c r="AB270" s="456">
        <f>'Key input_Biomass_MAgPIE'!Z261</f>
        <v>0.19</v>
      </c>
      <c r="AC270" s="456">
        <f>'Key input_Biomass_MAgPIE'!AA261</f>
        <v>0.19</v>
      </c>
      <c r="AD270" s="456">
        <f>'Key input_Biomass_MAgPIE'!AB261</f>
        <v>0.19</v>
      </c>
      <c r="AE270" s="456">
        <f>'Key input_Biomass_MAgPIE'!AC261</f>
        <v>0.19</v>
      </c>
      <c r="AF270" s="456">
        <f>'Key input_Biomass_MAgPIE'!AD261</f>
        <v>0.19</v>
      </c>
      <c r="AG270" s="456">
        <f>'Key input_Biomass_MAgPIE'!AE261</f>
        <v>0.19</v>
      </c>
      <c r="AH270" s="456">
        <f>'Key input_Biomass_MAgPIE'!AF261</f>
        <v>0.19</v>
      </c>
    </row>
    <row r="271" spans="1:34">
      <c r="A271" s="4" t="str">
        <f t="shared" si="104"/>
        <v>MIN-RSVBIOCRP2</v>
      </c>
      <c r="B271" s="4" t="str">
        <f t="shared" si="101"/>
        <v>UPS Reserves of Biomass - Crops grown for energy - Reserve - Supply curve step 2</v>
      </c>
      <c r="C271" s="4" t="str">
        <f t="shared" si="102"/>
        <v>RSVBIOCRP</v>
      </c>
      <c r="D271" s="4" t="str">
        <f t="shared" si="103"/>
        <v>ACT_COST</v>
      </c>
      <c r="E271" s="4"/>
      <c r="F271" s="4">
        <v>2045</v>
      </c>
      <c r="G271" s="456">
        <f>'Key input_Biomass_MAgPIE'!E262</f>
        <v>0.19</v>
      </c>
      <c r="H271" s="456">
        <f>'Key input_Biomass_MAgPIE'!F262</f>
        <v>0.19</v>
      </c>
      <c r="I271" s="456">
        <f>'Key input_Biomass_MAgPIE'!G262</f>
        <v>0.19</v>
      </c>
      <c r="J271" s="456">
        <f>'Key input_Biomass_MAgPIE'!H262</f>
        <v>0.19</v>
      </c>
      <c r="K271" s="456">
        <f>'Key input_Biomass_MAgPIE'!I262</f>
        <v>0.19</v>
      </c>
      <c r="L271" s="456">
        <f>'Key input_Biomass_MAgPIE'!J262</f>
        <v>0.19</v>
      </c>
      <c r="M271" s="456">
        <f>'Key input_Biomass_MAgPIE'!K262</f>
        <v>0.19</v>
      </c>
      <c r="N271" s="456">
        <f>'Key input_Biomass_MAgPIE'!L262</f>
        <v>0.19</v>
      </c>
      <c r="O271" s="456">
        <f>'Key input_Biomass_MAgPIE'!M262</f>
        <v>0.19</v>
      </c>
      <c r="P271" s="456">
        <f>'Key input_Biomass_MAgPIE'!N262</f>
        <v>0.19</v>
      </c>
      <c r="Q271" s="456">
        <f>'Key input_Biomass_MAgPIE'!O262</f>
        <v>0.19</v>
      </c>
      <c r="R271" s="456">
        <f>'Key input_Biomass_MAgPIE'!P262</f>
        <v>0.19</v>
      </c>
      <c r="S271" s="456">
        <f>'Key input_Biomass_MAgPIE'!Q262</f>
        <v>0.19</v>
      </c>
      <c r="T271" s="456">
        <f>'Key input_Biomass_MAgPIE'!R262</f>
        <v>0.19</v>
      </c>
      <c r="U271" s="456">
        <f>'Key input_Biomass_MAgPIE'!S262</f>
        <v>0.19</v>
      </c>
      <c r="V271" s="456">
        <f>'Key input_Biomass_MAgPIE'!T262</f>
        <v>0.19</v>
      </c>
      <c r="W271" s="456">
        <f>'Key input_Biomass_MAgPIE'!U262</f>
        <v>0.19</v>
      </c>
      <c r="X271" s="456">
        <f>'Key input_Biomass_MAgPIE'!V262</f>
        <v>0.19</v>
      </c>
      <c r="Y271" s="456">
        <f>'Key input_Biomass_MAgPIE'!W262</f>
        <v>0.19</v>
      </c>
      <c r="Z271" s="456">
        <f>'Key input_Biomass_MAgPIE'!X262</f>
        <v>0.19</v>
      </c>
      <c r="AA271" s="456">
        <f>'Key input_Biomass_MAgPIE'!Y262</f>
        <v>0.19</v>
      </c>
      <c r="AB271" s="456">
        <f>'Key input_Biomass_MAgPIE'!Z262</f>
        <v>0.19</v>
      </c>
      <c r="AC271" s="456">
        <f>'Key input_Biomass_MAgPIE'!AA262</f>
        <v>0.19</v>
      </c>
      <c r="AD271" s="456">
        <f>'Key input_Biomass_MAgPIE'!AB262</f>
        <v>0.19</v>
      </c>
      <c r="AE271" s="456">
        <f>'Key input_Biomass_MAgPIE'!AC262</f>
        <v>0.19</v>
      </c>
      <c r="AF271" s="456">
        <f>'Key input_Biomass_MAgPIE'!AD262</f>
        <v>0.19</v>
      </c>
      <c r="AG271" s="456">
        <f>'Key input_Biomass_MAgPIE'!AE262</f>
        <v>0.19</v>
      </c>
      <c r="AH271" s="456">
        <f>'Key input_Biomass_MAgPIE'!AF262</f>
        <v>0.19</v>
      </c>
    </row>
    <row r="272" spans="1:34">
      <c r="A272" s="4" t="str">
        <f t="shared" si="104"/>
        <v>MIN-RSVBIOCRP2</v>
      </c>
      <c r="B272" s="4" t="str">
        <f t="shared" si="101"/>
        <v>UPS Reserves of Biomass - Crops grown for energy - Reserve - Supply curve step 2</v>
      </c>
      <c r="C272" s="4" t="str">
        <f t="shared" si="102"/>
        <v>RSVBIOCRP</v>
      </c>
      <c r="D272" s="4" t="str">
        <f t="shared" si="103"/>
        <v>ACT_COST</v>
      </c>
      <c r="E272" s="4"/>
      <c r="F272" s="4">
        <v>2050</v>
      </c>
      <c r="G272" s="456">
        <f>'Key input_Biomass_MAgPIE'!E263</f>
        <v>0.19</v>
      </c>
      <c r="H272" s="456">
        <f>'Key input_Biomass_MAgPIE'!F263</f>
        <v>0.19</v>
      </c>
      <c r="I272" s="456">
        <f>'Key input_Biomass_MAgPIE'!G263</f>
        <v>0.19</v>
      </c>
      <c r="J272" s="456">
        <f>'Key input_Biomass_MAgPIE'!H263</f>
        <v>0.19</v>
      </c>
      <c r="K272" s="456">
        <f>'Key input_Biomass_MAgPIE'!I263</f>
        <v>0.19</v>
      </c>
      <c r="L272" s="456">
        <f>'Key input_Biomass_MAgPIE'!J263</f>
        <v>0.19</v>
      </c>
      <c r="M272" s="456">
        <f>'Key input_Biomass_MAgPIE'!K263</f>
        <v>0.19</v>
      </c>
      <c r="N272" s="456">
        <f>'Key input_Biomass_MAgPIE'!L263</f>
        <v>0.19</v>
      </c>
      <c r="O272" s="456">
        <f>'Key input_Biomass_MAgPIE'!M263</f>
        <v>0.19</v>
      </c>
      <c r="P272" s="456">
        <f>'Key input_Biomass_MAgPIE'!N263</f>
        <v>0.19</v>
      </c>
      <c r="Q272" s="456">
        <f>'Key input_Biomass_MAgPIE'!O263</f>
        <v>0.19</v>
      </c>
      <c r="R272" s="456">
        <f>'Key input_Biomass_MAgPIE'!P263</f>
        <v>0.19</v>
      </c>
      <c r="S272" s="456">
        <f>'Key input_Biomass_MAgPIE'!Q263</f>
        <v>0.19</v>
      </c>
      <c r="T272" s="456">
        <f>'Key input_Biomass_MAgPIE'!R263</f>
        <v>0.19</v>
      </c>
      <c r="U272" s="456">
        <f>'Key input_Biomass_MAgPIE'!S263</f>
        <v>0.19</v>
      </c>
      <c r="V272" s="456">
        <f>'Key input_Biomass_MAgPIE'!T263</f>
        <v>0.19</v>
      </c>
      <c r="W272" s="456">
        <f>'Key input_Biomass_MAgPIE'!U263</f>
        <v>0.19</v>
      </c>
      <c r="X272" s="456">
        <f>'Key input_Biomass_MAgPIE'!V263</f>
        <v>0.19</v>
      </c>
      <c r="Y272" s="456">
        <f>'Key input_Biomass_MAgPIE'!W263</f>
        <v>0.19</v>
      </c>
      <c r="Z272" s="456">
        <f>'Key input_Biomass_MAgPIE'!X263</f>
        <v>0.19</v>
      </c>
      <c r="AA272" s="456">
        <f>'Key input_Biomass_MAgPIE'!Y263</f>
        <v>0.19</v>
      </c>
      <c r="AB272" s="456">
        <f>'Key input_Biomass_MAgPIE'!Z263</f>
        <v>0.19</v>
      </c>
      <c r="AC272" s="456">
        <f>'Key input_Biomass_MAgPIE'!AA263</f>
        <v>0.19</v>
      </c>
      <c r="AD272" s="456">
        <f>'Key input_Biomass_MAgPIE'!AB263</f>
        <v>0.19</v>
      </c>
      <c r="AE272" s="456">
        <f>'Key input_Biomass_MAgPIE'!AC263</f>
        <v>0.19</v>
      </c>
      <c r="AF272" s="456">
        <f>'Key input_Biomass_MAgPIE'!AD263</f>
        <v>0.19</v>
      </c>
      <c r="AG272" s="456">
        <f>'Key input_Biomass_MAgPIE'!AE263</f>
        <v>0.19</v>
      </c>
      <c r="AH272" s="456">
        <f>'Key input_Biomass_MAgPIE'!AF263</f>
        <v>0.19</v>
      </c>
    </row>
    <row r="273" spans="1:34">
      <c r="A273" s="4" t="str">
        <f t="shared" si="104"/>
        <v>MIN-RSVBIOCRP2</v>
      </c>
      <c r="B273" s="4" t="str">
        <f t="shared" si="101"/>
        <v>UPS Reserves of Biomass - Crops grown for energy - Reserve - Supply curve step 2</v>
      </c>
      <c r="C273" s="4" t="str">
        <f t="shared" si="102"/>
        <v>RSVBIOCRP</v>
      </c>
      <c r="D273" s="4" t="str">
        <f t="shared" si="103"/>
        <v>ACT_COST</v>
      </c>
      <c r="E273" s="4"/>
      <c r="F273" s="4">
        <v>2060</v>
      </c>
      <c r="G273" s="456">
        <f>'Key input_Biomass_MAgPIE'!E264</f>
        <v>0.19</v>
      </c>
      <c r="H273" s="456">
        <f>'Key input_Biomass_MAgPIE'!F264</f>
        <v>0.19</v>
      </c>
      <c r="I273" s="456">
        <f>'Key input_Biomass_MAgPIE'!G264</f>
        <v>0.19</v>
      </c>
      <c r="J273" s="456">
        <f>'Key input_Biomass_MAgPIE'!H264</f>
        <v>0.19</v>
      </c>
      <c r="K273" s="456">
        <f>'Key input_Biomass_MAgPIE'!I264</f>
        <v>0.19</v>
      </c>
      <c r="L273" s="456">
        <f>'Key input_Biomass_MAgPIE'!J264</f>
        <v>0.19</v>
      </c>
      <c r="M273" s="456">
        <f>'Key input_Biomass_MAgPIE'!K264</f>
        <v>0.19</v>
      </c>
      <c r="N273" s="456">
        <f>'Key input_Biomass_MAgPIE'!L264</f>
        <v>0.19</v>
      </c>
      <c r="O273" s="456">
        <f>'Key input_Biomass_MAgPIE'!M264</f>
        <v>0.19</v>
      </c>
      <c r="P273" s="456">
        <f>'Key input_Biomass_MAgPIE'!N264</f>
        <v>0.19</v>
      </c>
      <c r="Q273" s="456">
        <f>'Key input_Biomass_MAgPIE'!O264</f>
        <v>0.19</v>
      </c>
      <c r="R273" s="456">
        <f>'Key input_Biomass_MAgPIE'!P264</f>
        <v>0.19</v>
      </c>
      <c r="S273" s="456">
        <f>'Key input_Biomass_MAgPIE'!Q264</f>
        <v>0.19</v>
      </c>
      <c r="T273" s="456">
        <f>'Key input_Biomass_MAgPIE'!R264</f>
        <v>0.19</v>
      </c>
      <c r="U273" s="456">
        <f>'Key input_Biomass_MAgPIE'!S264</f>
        <v>0.19</v>
      </c>
      <c r="V273" s="456">
        <f>'Key input_Biomass_MAgPIE'!T264</f>
        <v>0.19</v>
      </c>
      <c r="W273" s="456">
        <f>'Key input_Biomass_MAgPIE'!U264</f>
        <v>0.19</v>
      </c>
      <c r="X273" s="456">
        <f>'Key input_Biomass_MAgPIE'!V264</f>
        <v>0.19</v>
      </c>
      <c r="Y273" s="456">
        <f>'Key input_Biomass_MAgPIE'!W264</f>
        <v>0.19</v>
      </c>
      <c r="Z273" s="456">
        <f>'Key input_Biomass_MAgPIE'!X264</f>
        <v>0.19</v>
      </c>
      <c r="AA273" s="456">
        <f>'Key input_Biomass_MAgPIE'!Y264</f>
        <v>0.19</v>
      </c>
      <c r="AB273" s="456">
        <f>'Key input_Biomass_MAgPIE'!Z264</f>
        <v>0.19</v>
      </c>
      <c r="AC273" s="456">
        <f>'Key input_Biomass_MAgPIE'!AA264</f>
        <v>0.19</v>
      </c>
      <c r="AD273" s="456">
        <f>'Key input_Biomass_MAgPIE'!AB264</f>
        <v>0.19</v>
      </c>
      <c r="AE273" s="456">
        <f>'Key input_Biomass_MAgPIE'!AC264</f>
        <v>0.19</v>
      </c>
      <c r="AF273" s="456">
        <f>'Key input_Biomass_MAgPIE'!AD264</f>
        <v>0.19</v>
      </c>
      <c r="AG273" s="456">
        <f>'Key input_Biomass_MAgPIE'!AE264</f>
        <v>0.19</v>
      </c>
      <c r="AH273" s="456">
        <f>'Key input_Biomass_MAgPIE'!AF264</f>
        <v>0.19</v>
      </c>
    </row>
    <row r="274" spans="1:34">
      <c r="A274" s="4" t="str">
        <f t="shared" si="104"/>
        <v>MIN-RSVBIOCRP2</v>
      </c>
      <c r="B274" s="4" t="str">
        <f t="shared" si="101"/>
        <v>UPS Reserves of Biomass - Crops grown for energy - Reserve - Supply curve step 2</v>
      </c>
      <c r="C274" s="4" t="str">
        <f t="shared" si="102"/>
        <v>RSVBIOCRP</v>
      </c>
      <c r="D274" s="4" t="str">
        <f t="shared" si="103"/>
        <v>ACT_COST</v>
      </c>
      <c r="E274" s="4"/>
      <c r="F274" s="4">
        <v>2070</v>
      </c>
      <c r="G274" s="456">
        <f>'Key input_Biomass_MAgPIE'!E265</f>
        <v>0.19</v>
      </c>
      <c r="H274" s="456">
        <f>'Key input_Biomass_MAgPIE'!F265</f>
        <v>0.19</v>
      </c>
      <c r="I274" s="456">
        <f>'Key input_Biomass_MAgPIE'!G265</f>
        <v>0.19</v>
      </c>
      <c r="J274" s="456">
        <f>'Key input_Biomass_MAgPIE'!H265</f>
        <v>0.19</v>
      </c>
      <c r="K274" s="456">
        <f>'Key input_Biomass_MAgPIE'!I265</f>
        <v>0.19</v>
      </c>
      <c r="L274" s="456">
        <f>'Key input_Biomass_MAgPIE'!J265</f>
        <v>0.19</v>
      </c>
      <c r="M274" s="456">
        <f>'Key input_Biomass_MAgPIE'!K265</f>
        <v>0.19</v>
      </c>
      <c r="N274" s="456">
        <f>'Key input_Biomass_MAgPIE'!L265</f>
        <v>0.19</v>
      </c>
      <c r="O274" s="456">
        <f>'Key input_Biomass_MAgPIE'!M265</f>
        <v>0.19</v>
      </c>
      <c r="P274" s="456">
        <f>'Key input_Biomass_MAgPIE'!N265</f>
        <v>0.19</v>
      </c>
      <c r="Q274" s="456">
        <f>'Key input_Biomass_MAgPIE'!O265</f>
        <v>0.19</v>
      </c>
      <c r="R274" s="456">
        <f>'Key input_Biomass_MAgPIE'!P265</f>
        <v>0.19</v>
      </c>
      <c r="S274" s="456">
        <f>'Key input_Biomass_MAgPIE'!Q265</f>
        <v>0.19</v>
      </c>
      <c r="T274" s="456">
        <f>'Key input_Biomass_MAgPIE'!R265</f>
        <v>0.19</v>
      </c>
      <c r="U274" s="456">
        <f>'Key input_Biomass_MAgPIE'!S265</f>
        <v>0.19</v>
      </c>
      <c r="V274" s="456">
        <f>'Key input_Biomass_MAgPIE'!T265</f>
        <v>0.19</v>
      </c>
      <c r="W274" s="456">
        <f>'Key input_Biomass_MAgPIE'!U265</f>
        <v>0.19</v>
      </c>
      <c r="X274" s="456">
        <f>'Key input_Biomass_MAgPIE'!V265</f>
        <v>0.19</v>
      </c>
      <c r="Y274" s="456">
        <f>'Key input_Biomass_MAgPIE'!W265</f>
        <v>0.19</v>
      </c>
      <c r="Z274" s="456">
        <f>'Key input_Biomass_MAgPIE'!X265</f>
        <v>0.19</v>
      </c>
      <c r="AA274" s="456">
        <f>'Key input_Biomass_MAgPIE'!Y265</f>
        <v>0.19</v>
      </c>
      <c r="AB274" s="456">
        <f>'Key input_Biomass_MAgPIE'!Z265</f>
        <v>0.19</v>
      </c>
      <c r="AC274" s="456">
        <f>'Key input_Biomass_MAgPIE'!AA265</f>
        <v>0.19</v>
      </c>
      <c r="AD274" s="456">
        <f>'Key input_Biomass_MAgPIE'!AB265</f>
        <v>0.19</v>
      </c>
      <c r="AE274" s="456">
        <f>'Key input_Biomass_MAgPIE'!AC265</f>
        <v>0.19</v>
      </c>
      <c r="AF274" s="456">
        <f>'Key input_Biomass_MAgPIE'!AD265</f>
        <v>0.19</v>
      </c>
      <c r="AG274" s="456">
        <f>'Key input_Biomass_MAgPIE'!AE265</f>
        <v>0.19</v>
      </c>
      <c r="AH274" s="456">
        <f>'Key input_Biomass_MAgPIE'!AF265</f>
        <v>0.19</v>
      </c>
    </row>
    <row r="275" spans="1:34">
      <c r="A275" s="4" t="str">
        <f t="shared" si="104"/>
        <v>MIN-RSVBIOCRP2</v>
      </c>
      <c r="B275" s="4" t="str">
        <f t="shared" si="101"/>
        <v>UPS Reserves of Biomass - Crops grown for energy - Reserve - Supply curve step 2</v>
      </c>
      <c r="C275" s="4" t="str">
        <f t="shared" si="102"/>
        <v>RSVBIOCRP</v>
      </c>
      <c r="D275" s="4" t="str">
        <f t="shared" si="103"/>
        <v>ACT_COST</v>
      </c>
      <c r="E275" s="4"/>
      <c r="F275" s="4">
        <v>2080</v>
      </c>
      <c r="G275" s="456">
        <f>'Key input_Biomass_MAgPIE'!E266</f>
        <v>0.19</v>
      </c>
      <c r="H275" s="456">
        <f>'Key input_Biomass_MAgPIE'!F266</f>
        <v>0.19</v>
      </c>
      <c r="I275" s="456">
        <f>'Key input_Biomass_MAgPIE'!G266</f>
        <v>0.19</v>
      </c>
      <c r="J275" s="456">
        <f>'Key input_Biomass_MAgPIE'!H266</f>
        <v>0.19</v>
      </c>
      <c r="K275" s="456">
        <f>'Key input_Biomass_MAgPIE'!I266</f>
        <v>0.19</v>
      </c>
      <c r="L275" s="456">
        <f>'Key input_Biomass_MAgPIE'!J266</f>
        <v>0.19</v>
      </c>
      <c r="M275" s="456">
        <f>'Key input_Biomass_MAgPIE'!K266</f>
        <v>0.19</v>
      </c>
      <c r="N275" s="456">
        <f>'Key input_Biomass_MAgPIE'!L266</f>
        <v>0.19</v>
      </c>
      <c r="O275" s="456">
        <f>'Key input_Biomass_MAgPIE'!M266</f>
        <v>0.19</v>
      </c>
      <c r="P275" s="456">
        <f>'Key input_Biomass_MAgPIE'!N266</f>
        <v>0.19</v>
      </c>
      <c r="Q275" s="456">
        <f>'Key input_Biomass_MAgPIE'!O266</f>
        <v>0.19</v>
      </c>
      <c r="R275" s="456">
        <f>'Key input_Biomass_MAgPIE'!P266</f>
        <v>0.19</v>
      </c>
      <c r="S275" s="456">
        <f>'Key input_Biomass_MAgPIE'!Q266</f>
        <v>0.19</v>
      </c>
      <c r="T275" s="456">
        <f>'Key input_Biomass_MAgPIE'!R266</f>
        <v>0.19</v>
      </c>
      <c r="U275" s="456">
        <f>'Key input_Biomass_MAgPIE'!S266</f>
        <v>0.19</v>
      </c>
      <c r="V275" s="456">
        <f>'Key input_Biomass_MAgPIE'!T266</f>
        <v>0.19</v>
      </c>
      <c r="W275" s="456">
        <f>'Key input_Biomass_MAgPIE'!U266</f>
        <v>0.19</v>
      </c>
      <c r="X275" s="456">
        <f>'Key input_Biomass_MAgPIE'!V266</f>
        <v>0.19</v>
      </c>
      <c r="Y275" s="456">
        <f>'Key input_Biomass_MAgPIE'!W266</f>
        <v>0.19</v>
      </c>
      <c r="Z275" s="456">
        <f>'Key input_Biomass_MAgPIE'!X266</f>
        <v>0.19</v>
      </c>
      <c r="AA275" s="456">
        <f>'Key input_Biomass_MAgPIE'!Y266</f>
        <v>0.19</v>
      </c>
      <c r="AB275" s="456">
        <f>'Key input_Biomass_MAgPIE'!Z266</f>
        <v>0.19</v>
      </c>
      <c r="AC275" s="456">
        <f>'Key input_Biomass_MAgPIE'!AA266</f>
        <v>0.19</v>
      </c>
      <c r="AD275" s="456">
        <f>'Key input_Biomass_MAgPIE'!AB266</f>
        <v>0.19</v>
      </c>
      <c r="AE275" s="456">
        <f>'Key input_Biomass_MAgPIE'!AC266</f>
        <v>0.19</v>
      </c>
      <c r="AF275" s="456">
        <f>'Key input_Biomass_MAgPIE'!AD266</f>
        <v>0.19</v>
      </c>
      <c r="AG275" s="456">
        <f>'Key input_Biomass_MAgPIE'!AE266</f>
        <v>0.19</v>
      </c>
      <c r="AH275" s="456">
        <f>'Key input_Biomass_MAgPIE'!AF266</f>
        <v>0.19</v>
      </c>
    </row>
    <row r="276" spans="1:34">
      <c r="A276" s="4" t="str">
        <f t="shared" si="104"/>
        <v>MIN-RSVBIOCRP2</v>
      </c>
      <c r="B276" s="4" t="str">
        <f t="shared" si="101"/>
        <v>UPS Reserves of Biomass - Crops grown for energy - Reserve - Supply curve step 2</v>
      </c>
      <c r="C276" s="4" t="str">
        <f t="shared" si="102"/>
        <v>RSVBIOCRP</v>
      </c>
      <c r="D276" s="4" t="str">
        <f t="shared" si="103"/>
        <v>ACT_COST</v>
      </c>
      <c r="E276" s="4"/>
      <c r="F276" s="4">
        <v>2090</v>
      </c>
      <c r="G276" s="456">
        <f>'Key input_Biomass_MAgPIE'!E267</f>
        <v>0.19</v>
      </c>
      <c r="H276" s="456">
        <f>'Key input_Biomass_MAgPIE'!F267</f>
        <v>0.19</v>
      </c>
      <c r="I276" s="456">
        <f>'Key input_Biomass_MAgPIE'!G267</f>
        <v>0.19</v>
      </c>
      <c r="J276" s="456">
        <f>'Key input_Biomass_MAgPIE'!H267</f>
        <v>0.19</v>
      </c>
      <c r="K276" s="456">
        <f>'Key input_Biomass_MAgPIE'!I267</f>
        <v>0.19</v>
      </c>
      <c r="L276" s="456">
        <f>'Key input_Biomass_MAgPIE'!J267</f>
        <v>0.19</v>
      </c>
      <c r="M276" s="456">
        <f>'Key input_Biomass_MAgPIE'!K267</f>
        <v>0.19</v>
      </c>
      <c r="N276" s="456">
        <f>'Key input_Biomass_MAgPIE'!L267</f>
        <v>0.19</v>
      </c>
      <c r="O276" s="456">
        <f>'Key input_Biomass_MAgPIE'!M267</f>
        <v>0.19</v>
      </c>
      <c r="P276" s="456">
        <f>'Key input_Biomass_MAgPIE'!N267</f>
        <v>0.19</v>
      </c>
      <c r="Q276" s="456">
        <f>'Key input_Biomass_MAgPIE'!O267</f>
        <v>0.19</v>
      </c>
      <c r="R276" s="456">
        <f>'Key input_Biomass_MAgPIE'!P267</f>
        <v>0.19</v>
      </c>
      <c r="S276" s="456">
        <f>'Key input_Biomass_MAgPIE'!Q267</f>
        <v>0.19</v>
      </c>
      <c r="T276" s="456">
        <f>'Key input_Biomass_MAgPIE'!R267</f>
        <v>0.19</v>
      </c>
      <c r="U276" s="456">
        <f>'Key input_Biomass_MAgPIE'!S267</f>
        <v>0.19</v>
      </c>
      <c r="V276" s="456">
        <f>'Key input_Biomass_MAgPIE'!T267</f>
        <v>0.19</v>
      </c>
      <c r="W276" s="456">
        <f>'Key input_Biomass_MAgPIE'!U267</f>
        <v>0.19</v>
      </c>
      <c r="X276" s="456">
        <f>'Key input_Biomass_MAgPIE'!V267</f>
        <v>0.19</v>
      </c>
      <c r="Y276" s="456">
        <f>'Key input_Biomass_MAgPIE'!W267</f>
        <v>0.19</v>
      </c>
      <c r="Z276" s="456">
        <f>'Key input_Biomass_MAgPIE'!X267</f>
        <v>0.19</v>
      </c>
      <c r="AA276" s="456">
        <f>'Key input_Biomass_MAgPIE'!Y267</f>
        <v>0.19</v>
      </c>
      <c r="AB276" s="456">
        <f>'Key input_Biomass_MAgPIE'!Z267</f>
        <v>0.19</v>
      </c>
      <c r="AC276" s="456">
        <f>'Key input_Biomass_MAgPIE'!AA267</f>
        <v>0.19</v>
      </c>
      <c r="AD276" s="456">
        <f>'Key input_Biomass_MAgPIE'!AB267</f>
        <v>0.19</v>
      </c>
      <c r="AE276" s="456">
        <f>'Key input_Biomass_MAgPIE'!AC267</f>
        <v>0.19</v>
      </c>
      <c r="AF276" s="456">
        <f>'Key input_Biomass_MAgPIE'!AD267</f>
        <v>0.19</v>
      </c>
      <c r="AG276" s="456">
        <f>'Key input_Biomass_MAgPIE'!AE267</f>
        <v>0.19</v>
      </c>
      <c r="AH276" s="456">
        <f>'Key input_Biomass_MAgPIE'!AF267</f>
        <v>0.19</v>
      </c>
    </row>
    <row r="277" spans="1:34">
      <c r="A277" s="259" t="str">
        <f t="shared" si="104"/>
        <v>MIN-RSVBIOCRP2</v>
      </c>
      <c r="B277" s="259" t="str">
        <f t="shared" si="101"/>
        <v>UPS Reserves of Biomass - Crops grown for energy - Reserve - Supply curve step 2</v>
      </c>
      <c r="C277" s="259" t="str">
        <f t="shared" si="102"/>
        <v>RSVBIOCRP</v>
      </c>
      <c r="D277" s="259" t="str">
        <f t="shared" si="103"/>
        <v>ACT_COST</v>
      </c>
      <c r="E277" s="259"/>
      <c r="F277" s="259">
        <v>2100</v>
      </c>
      <c r="G277" s="435">
        <f>'Key input_Biomass_MAgPIE'!E268</f>
        <v>0.19</v>
      </c>
      <c r="H277" s="435">
        <f>'Key input_Biomass_MAgPIE'!F268</f>
        <v>0.19</v>
      </c>
      <c r="I277" s="435">
        <f>'Key input_Biomass_MAgPIE'!G268</f>
        <v>0.19</v>
      </c>
      <c r="J277" s="435">
        <f>'Key input_Biomass_MAgPIE'!H268</f>
        <v>0.19</v>
      </c>
      <c r="K277" s="435">
        <f>'Key input_Biomass_MAgPIE'!I268</f>
        <v>0.19</v>
      </c>
      <c r="L277" s="435">
        <f>'Key input_Biomass_MAgPIE'!J268</f>
        <v>0.19</v>
      </c>
      <c r="M277" s="435">
        <f>'Key input_Biomass_MAgPIE'!K268</f>
        <v>0.19</v>
      </c>
      <c r="N277" s="435">
        <f>'Key input_Biomass_MAgPIE'!L268</f>
        <v>0.19</v>
      </c>
      <c r="O277" s="435">
        <f>'Key input_Biomass_MAgPIE'!M268</f>
        <v>0.19</v>
      </c>
      <c r="P277" s="435">
        <f>'Key input_Biomass_MAgPIE'!N268</f>
        <v>0.19</v>
      </c>
      <c r="Q277" s="435">
        <f>'Key input_Biomass_MAgPIE'!O268</f>
        <v>0.19</v>
      </c>
      <c r="R277" s="435">
        <f>'Key input_Biomass_MAgPIE'!P268</f>
        <v>0.19</v>
      </c>
      <c r="S277" s="435">
        <f>'Key input_Biomass_MAgPIE'!Q268</f>
        <v>0.19</v>
      </c>
      <c r="T277" s="435">
        <f>'Key input_Biomass_MAgPIE'!R268</f>
        <v>0.19</v>
      </c>
      <c r="U277" s="435">
        <f>'Key input_Biomass_MAgPIE'!S268</f>
        <v>0.19</v>
      </c>
      <c r="V277" s="435">
        <f>'Key input_Biomass_MAgPIE'!T268</f>
        <v>0.19</v>
      </c>
      <c r="W277" s="435">
        <f>'Key input_Biomass_MAgPIE'!U268</f>
        <v>0.19</v>
      </c>
      <c r="X277" s="435">
        <f>'Key input_Biomass_MAgPIE'!V268</f>
        <v>0.19</v>
      </c>
      <c r="Y277" s="435">
        <f>'Key input_Biomass_MAgPIE'!W268</f>
        <v>0.19</v>
      </c>
      <c r="Z277" s="435">
        <f>'Key input_Biomass_MAgPIE'!X268</f>
        <v>0.19</v>
      </c>
      <c r="AA277" s="435">
        <f>'Key input_Biomass_MAgPIE'!Y268</f>
        <v>0.19</v>
      </c>
      <c r="AB277" s="435">
        <f>'Key input_Biomass_MAgPIE'!Z268</f>
        <v>0.19</v>
      </c>
      <c r="AC277" s="435">
        <f>'Key input_Biomass_MAgPIE'!AA268</f>
        <v>0.19</v>
      </c>
      <c r="AD277" s="435">
        <f>'Key input_Biomass_MAgPIE'!AB268</f>
        <v>0.19</v>
      </c>
      <c r="AE277" s="435">
        <f>'Key input_Biomass_MAgPIE'!AC268</f>
        <v>0.19</v>
      </c>
      <c r="AF277" s="435">
        <f>'Key input_Biomass_MAgPIE'!AD268</f>
        <v>0.19</v>
      </c>
      <c r="AG277" s="435">
        <f>'Key input_Biomass_MAgPIE'!AE268</f>
        <v>0.19</v>
      </c>
      <c r="AH277" s="435">
        <f>'Key input_Biomass_MAgPIE'!AF268</f>
        <v>0.19</v>
      </c>
    </row>
    <row r="278" spans="1:34">
      <c r="A278" s="4" t="str">
        <f>AK16</f>
        <v>MIN-RSVBIOCRP3</v>
      </c>
      <c r="B278" s="4" t="str">
        <f>AL16</f>
        <v>UPS Reserves of Biomass - Crops grown for energy - Reserve - Supply curve step 3</v>
      </c>
      <c r="C278" s="4" t="str">
        <f>Commodities!$C$16</f>
        <v>RSVBIOCRP</v>
      </c>
      <c r="D278" s="4" t="s">
        <v>675</v>
      </c>
      <c r="E278" s="4"/>
      <c r="F278" s="4">
        <v>2019</v>
      </c>
      <c r="G278" s="258">
        <f>'Key input_Biomass_MAgPIE'!E269</f>
        <v>0.28499999999999998</v>
      </c>
      <c r="H278" s="258">
        <f>'Key input_Biomass_MAgPIE'!F269</f>
        <v>0.28499999999999998</v>
      </c>
      <c r="I278" s="258">
        <f>'Key input_Biomass_MAgPIE'!G269</f>
        <v>0.28499999999999998</v>
      </c>
      <c r="J278" s="258">
        <f>'Key input_Biomass_MAgPIE'!H269</f>
        <v>0.28499999999999998</v>
      </c>
      <c r="K278" s="258">
        <f>'Key input_Biomass_MAgPIE'!I269</f>
        <v>0.28499999999999998</v>
      </c>
      <c r="L278" s="258">
        <f>'Key input_Biomass_MAgPIE'!J269</f>
        <v>0.28499999999999998</v>
      </c>
      <c r="M278" s="258">
        <f>'Key input_Biomass_MAgPIE'!K269</f>
        <v>0.28499999999999998</v>
      </c>
      <c r="N278" s="258">
        <f>'Key input_Biomass_MAgPIE'!L269</f>
        <v>0.28499999999999998</v>
      </c>
      <c r="O278" s="258">
        <f>'Key input_Biomass_MAgPIE'!M269</f>
        <v>0.28499999999999998</v>
      </c>
      <c r="P278" s="258">
        <f>'Key input_Biomass_MAgPIE'!N269</f>
        <v>0.28499999999999998</v>
      </c>
      <c r="Q278" s="258">
        <f>'Key input_Biomass_MAgPIE'!O269</f>
        <v>0.28499999999999998</v>
      </c>
      <c r="R278" s="258">
        <f>'Key input_Biomass_MAgPIE'!P269</f>
        <v>0.28499999999999998</v>
      </c>
      <c r="S278" s="258">
        <f>'Key input_Biomass_MAgPIE'!Q269</f>
        <v>0.28499999999999998</v>
      </c>
      <c r="T278" s="258">
        <f>'Key input_Biomass_MAgPIE'!R269</f>
        <v>0.28499999999999998</v>
      </c>
      <c r="U278" s="258">
        <f>'Key input_Biomass_MAgPIE'!S269</f>
        <v>0.28499999999999998</v>
      </c>
      <c r="V278" s="258">
        <f>'Key input_Biomass_MAgPIE'!T269</f>
        <v>0.28499999999999998</v>
      </c>
      <c r="W278" s="258">
        <f>'Key input_Biomass_MAgPIE'!U269</f>
        <v>0.28499999999999998</v>
      </c>
      <c r="X278" s="258">
        <f>'Key input_Biomass_MAgPIE'!V269</f>
        <v>0.28499999999999998</v>
      </c>
      <c r="Y278" s="258">
        <f>'Key input_Biomass_MAgPIE'!W269</f>
        <v>0.28499999999999998</v>
      </c>
      <c r="Z278" s="258">
        <f>'Key input_Biomass_MAgPIE'!X269</f>
        <v>0.28499999999999998</v>
      </c>
      <c r="AA278" s="258">
        <f>'Key input_Biomass_MAgPIE'!Y269</f>
        <v>0.28499999999999998</v>
      </c>
      <c r="AB278" s="258">
        <f>'Key input_Biomass_MAgPIE'!Z269</f>
        <v>0.28499999999999998</v>
      </c>
      <c r="AC278" s="258">
        <f>'Key input_Biomass_MAgPIE'!AA269</f>
        <v>0.28499999999999998</v>
      </c>
      <c r="AD278" s="258">
        <f>'Key input_Biomass_MAgPIE'!AB269</f>
        <v>0.28499999999999998</v>
      </c>
      <c r="AE278" s="258">
        <f>'Key input_Biomass_MAgPIE'!AC269</f>
        <v>0.28499999999999998</v>
      </c>
      <c r="AF278" s="258">
        <f>'Key input_Biomass_MAgPIE'!AD269</f>
        <v>0.28499999999999998</v>
      </c>
      <c r="AG278" s="258">
        <f>'Key input_Biomass_MAgPIE'!AE269</f>
        <v>0.28499999999999998</v>
      </c>
      <c r="AH278" s="258">
        <f>'Key input_Biomass_MAgPIE'!AF269</f>
        <v>0.28499999999999998</v>
      </c>
    </row>
    <row r="279" spans="1:34">
      <c r="A279" s="4" t="str">
        <f>A278</f>
        <v>MIN-RSVBIOCRP3</v>
      </c>
      <c r="B279" s="4" t="str">
        <f t="shared" ref="B279:B290" si="105">B278</f>
        <v>UPS Reserves of Biomass - Crops grown for energy - Reserve - Supply curve step 3</v>
      </c>
      <c r="C279" s="4" t="str">
        <f t="shared" ref="C279:C290" si="106">C278</f>
        <v>RSVBIOCRP</v>
      </c>
      <c r="D279" s="4" t="str">
        <f t="shared" ref="D279:D290" si="107">D278</f>
        <v>ACT_COST</v>
      </c>
      <c r="E279" s="4"/>
      <c r="F279" s="4">
        <v>2020</v>
      </c>
      <c r="G279" s="456">
        <f>'Key input_Biomass_MAgPIE'!E270</f>
        <v>0.28499999999999998</v>
      </c>
      <c r="H279" s="456">
        <f>'Key input_Biomass_MAgPIE'!F270</f>
        <v>0.28499999999999998</v>
      </c>
      <c r="I279" s="456">
        <f>'Key input_Biomass_MAgPIE'!G270</f>
        <v>0.28499999999999998</v>
      </c>
      <c r="J279" s="456">
        <f>'Key input_Biomass_MAgPIE'!H270</f>
        <v>0.28499999999999998</v>
      </c>
      <c r="K279" s="456">
        <f>'Key input_Biomass_MAgPIE'!I270</f>
        <v>0.28499999999999998</v>
      </c>
      <c r="L279" s="456">
        <f>'Key input_Biomass_MAgPIE'!J270</f>
        <v>0.28499999999999998</v>
      </c>
      <c r="M279" s="456">
        <f>'Key input_Biomass_MAgPIE'!K270</f>
        <v>0.28499999999999998</v>
      </c>
      <c r="N279" s="456">
        <f>'Key input_Biomass_MAgPIE'!L270</f>
        <v>0.28499999999999998</v>
      </c>
      <c r="O279" s="456">
        <f>'Key input_Biomass_MAgPIE'!M270</f>
        <v>0.28499999999999998</v>
      </c>
      <c r="P279" s="456">
        <f>'Key input_Biomass_MAgPIE'!N270</f>
        <v>0.28499999999999998</v>
      </c>
      <c r="Q279" s="456">
        <f>'Key input_Biomass_MAgPIE'!O270</f>
        <v>0.28499999999999998</v>
      </c>
      <c r="R279" s="456">
        <f>'Key input_Biomass_MAgPIE'!P270</f>
        <v>0.28499999999999998</v>
      </c>
      <c r="S279" s="456">
        <f>'Key input_Biomass_MAgPIE'!Q270</f>
        <v>0.28499999999999998</v>
      </c>
      <c r="T279" s="456">
        <f>'Key input_Biomass_MAgPIE'!R270</f>
        <v>0.28499999999999998</v>
      </c>
      <c r="U279" s="456">
        <f>'Key input_Biomass_MAgPIE'!S270</f>
        <v>0.28499999999999998</v>
      </c>
      <c r="V279" s="456">
        <f>'Key input_Biomass_MAgPIE'!T270</f>
        <v>0.28499999999999998</v>
      </c>
      <c r="W279" s="456">
        <f>'Key input_Biomass_MAgPIE'!U270</f>
        <v>0.28499999999999998</v>
      </c>
      <c r="X279" s="456">
        <f>'Key input_Biomass_MAgPIE'!V270</f>
        <v>0.28499999999999998</v>
      </c>
      <c r="Y279" s="456">
        <f>'Key input_Biomass_MAgPIE'!W270</f>
        <v>0.28499999999999998</v>
      </c>
      <c r="Z279" s="456">
        <f>'Key input_Biomass_MAgPIE'!X270</f>
        <v>0.28499999999999998</v>
      </c>
      <c r="AA279" s="456">
        <f>'Key input_Biomass_MAgPIE'!Y270</f>
        <v>0.28499999999999998</v>
      </c>
      <c r="AB279" s="456">
        <f>'Key input_Biomass_MAgPIE'!Z270</f>
        <v>0.28499999999999998</v>
      </c>
      <c r="AC279" s="456">
        <f>'Key input_Biomass_MAgPIE'!AA270</f>
        <v>0.28499999999999998</v>
      </c>
      <c r="AD279" s="456">
        <f>'Key input_Biomass_MAgPIE'!AB270</f>
        <v>0.28499999999999998</v>
      </c>
      <c r="AE279" s="456">
        <f>'Key input_Biomass_MAgPIE'!AC270</f>
        <v>0.28499999999999998</v>
      </c>
      <c r="AF279" s="456">
        <f>'Key input_Biomass_MAgPIE'!AD270</f>
        <v>0.28499999999999998</v>
      </c>
      <c r="AG279" s="456">
        <f>'Key input_Biomass_MAgPIE'!AE270</f>
        <v>0.28499999999999998</v>
      </c>
      <c r="AH279" s="456">
        <f>'Key input_Biomass_MAgPIE'!AF270</f>
        <v>0.28499999999999998</v>
      </c>
    </row>
    <row r="280" spans="1:34">
      <c r="A280" s="4" t="str">
        <f t="shared" ref="A280:A290" si="108">A279</f>
        <v>MIN-RSVBIOCRP3</v>
      </c>
      <c r="B280" s="4" t="str">
        <f t="shared" si="105"/>
        <v>UPS Reserves of Biomass - Crops grown for energy - Reserve - Supply curve step 3</v>
      </c>
      <c r="C280" s="4" t="str">
        <f t="shared" si="106"/>
        <v>RSVBIOCRP</v>
      </c>
      <c r="D280" s="4" t="str">
        <f t="shared" si="107"/>
        <v>ACT_COST</v>
      </c>
      <c r="E280" s="4"/>
      <c r="F280" s="4">
        <v>2025</v>
      </c>
      <c r="G280" s="456">
        <f>'Key input_Biomass_MAgPIE'!E271</f>
        <v>0.28499999999999998</v>
      </c>
      <c r="H280" s="456">
        <f>'Key input_Biomass_MAgPIE'!F271</f>
        <v>0.28499999999999998</v>
      </c>
      <c r="I280" s="456">
        <f>'Key input_Biomass_MAgPIE'!G271</f>
        <v>0.28499999999999998</v>
      </c>
      <c r="J280" s="456">
        <f>'Key input_Biomass_MAgPIE'!H271</f>
        <v>0.28499999999999998</v>
      </c>
      <c r="K280" s="456">
        <f>'Key input_Biomass_MAgPIE'!I271</f>
        <v>0.28499999999999998</v>
      </c>
      <c r="L280" s="456">
        <f>'Key input_Biomass_MAgPIE'!J271</f>
        <v>0.28499999999999998</v>
      </c>
      <c r="M280" s="456">
        <f>'Key input_Biomass_MAgPIE'!K271</f>
        <v>0.28499999999999998</v>
      </c>
      <c r="N280" s="456">
        <f>'Key input_Biomass_MAgPIE'!L271</f>
        <v>0.28499999999999998</v>
      </c>
      <c r="O280" s="456">
        <f>'Key input_Biomass_MAgPIE'!M271</f>
        <v>0.28499999999999998</v>
      </c>
      <c r="P280" s="456">
        <f>'Key input_Biomass_MAgPIE'!N271</f>
        <v>0.28499999999999998</v>
      </c>
      <c r="Q280" s="456">
        <f>'Key input_Biomass_MAgPIE'!O271</f>
        <v>0.28499999999999998</v>
      </c>
      <c r="R280" s="456">
        <f>'Key input_Biomass_MAgPIE'!P271</f>
        <v>0.28499999999999998</v>
      </c>
      <c r="S280" s="456">
        <f>'Key input_Biomass_MAgPIE'!Q271</f>
        <v>0.28499999999999998</v>
      </c>
      <c r="T280" s="456">
        <f>'Key input_Biomass_MAgPIE'!R271</f>
        <v>0.28499999999999998</v>
      </c>
      <c r="U280" s="456">
        <f>'Key input_Biomass_MAgPIE'!S271</f>
        <v>0.28499999999999998</v>
      </c>
      <c r="V280" s="456">
        <f>'Key input_Biomass_MAgPIE'!T271</f>
        <v>0.28499999999999998</v>
      </c>
      <c r="W280" s="456">
        <f>'Key input_Biomass_MAgPIE'!U271</f>
        <v>0.28499999999999998</v>
      </c>
      <c r="X280" s="456">
        <f>'Key input_Biomass_MAgPIE'!V271</f>
        <v>0.28499999999999998</v>
      </c>
      <c r="Y280" s="456">
        <f>'Key input_Biomass_MAgPIE'!W271</f>
        <v>0.28499999999999998</v>
      </c>
      <c r="Z280" s="456">
        <f>'Key input_Biomass_MAgPIE'!X271</f>
        <v>0.28499999999999998</v>
      </c>
      <c r="AA280" s="456">
        <f>'Key input_Biomass_MAgPIE'!Y271</f>
        <v>0.28499999999999998</v>
      </c>
      <c r="AB280" s="456">
        <f>'Key input_Biomass_MAgPIE'!Z271</f>
        <v>0.28499999999999998</v>
      </c>
      <c r="AC280" s="456">
        <f>'Key input_Biomass_MAgPIE'!AA271</f>
        <v>0.28499999999999998</v>
      </c>
      <c r="AD280" s="456">
        <f>'Key input_Biomass_MAgPIE'!AB271</f>
        <v>0.28499999999999998</v>
      </c>
      <c r="AE280" s="456">
        <f>'Key input_Biomass_MAgPIE'!AC271</f>
        <v>0.28499999999999998</v>
      </c>
      <c r="AF280" s="456">
        <f>'Key input_Biomass_MAgPIE'!AD271</f>
        <v>0.28499999999999998</v>
      </c>
      <c r="AG280" s="456">
        <f>'Key input_Biomass_MAgPIE'!AE271</f>
        <v>0.28499999999999998</v>
      </c>
      <c r="AH280" s="456">
        <f>'Key input_Biomass_MAgPIE'!AF271</f>
        <v>0.28499999999999998</v>
      </c>
    </row>
    <row r="281" spans="1:34">
      <c r="A281" s="4" t="str">
        <f t="shared" si="108"/>
        <v>MIN-RSVBIOCRP3</v>
      </c>
      <c r="B281" s="4" t="str">
        <f t="shared" si="105"/>
        <v>UPS Reserves of Biomass - Crops grown for energy - Reserve - Supply curve step 3</v>
      </c>
      <c r="C281" s="4" t="str">
        <f t="shared" si="106"/>
        <v>RSVBIOCRP</v>
      </c>
      <c r="D281" s="4" t="str">
        <f t="shared" si="107"/>
        <v>ACT_COST</v>
      </c>
      <c r="E281" s="4"/>
      <c r="F281" s="4">
        <v>2030</v>
      </c>
      <c r="G281" s="456">
        <f>'Key input_Biomass_MAgPIE'!E272</f>
        <v>0.28499999999999998</v>
      </c>
      <c r="H281" s="456">
        <f>'Key input_Biomass_MAgPIE'!F272</f>
        <v>0.28499999999999998</v>
      </c>
      <c r="I281" s="456">
        <f>'Key input_Biomass_MAgPIE'!G272</f>
        <v>0.28499999999999998</v>
      </c>
      <c r="J281" s="456">
        <f>'Key input_Biomass_MAgPIE'!H272</f>
        <v>0.28499999999999998</v>
      </c>
      <c r="K281" s="456">
        <f>'Key input_Biomass_MAgPIE'!I272</f>
        <v>0.28499999999999998</v>
      </c>
      <c r="L281" s="456">
        <f>'Key input_Biomass_MAgPIE'!J272</f>
        <v>0.28499999999999998</v>
      </c>
      <c r="M281" s="456">
        <f>'Key input_Biomass_MAgPIE'!K272</f>
        <v>0.28499999999999998</v>
      </c>
      <c r="N281" s="456">
        <f>'Key input_Biomass_MAgPIE'!L272</f>
        <v>0.28499999999999998</v>
      </c>
      <c r="O281" s="456">
        <f>'Key input_Biomass_MAgPIE'!M272</f>
        <v>0.28499999999999998</v>
      </c>
      <c r="P281" s="456">
        <f>'Key input_Biomass_MAgPIE'!N272</f>
        <v>0.28499999999999998</v>
      </c>
      <c r="Q281" s="456">
        <f>'Key input_Biomass_MAgPIE'!O272</f>
        <v>0.28499999999999998</v>
      </c>
      <c r="R281" s="456">
        <f>'Key input_Biomass_MAgPIE'!P272</f>
        <v>0.28499999999999998</v>
      </c>
      <c r="S281" s="456">
        <f>'Key input_Biomass_MAgPIE'!Q272</f>
        <v>0.28499999999999998</v>
      </c>
      <c r="T281" s="456">
        <f>'Key input_Biomass_MAgPIE'!R272</f>
        <v>0.28499999999999998</v>
      </c>
      <c r="U281" s="456">
        <f>'Key input_Biomass_MAgPIE'!S272</f>
        <v>0.28499999999999998</v>
      </c>
      <c r="V281" s="456">
        <f>'Key input_Biomass_MAgPIE'!T272</f>
        <v>0.28499999999999998</v>
      </c>
      <c r="W281" s="456">
        <f>'Key input_Biomass_MAgPIE'!U272</f>
        <v>0.28499999999999998</v>
      </c>
      <c r="X281" s="456">
        <f>'Key input_Biomass_MAgPIE'!V272</f>
        <v>0.28499999999999998</v>
      </c>
      <c r="Y281" s="456">
        <f>'Key input_Biomass_MAgPIE'!W272</f>
        <v>0.28499999999999998</v>
      </c>
      <c r="Z281" s="456">
        <f>'Key input_Biomass_MAgPIE'!X272</f>
        <v>0.28499999999999998</v>
      </c>
      <c r="AA281" s="456">
        <f>'Key input_Biomass_MAgPIE'!Y272</f>
        <v>0.28499999999999998</v>
      </c>
      <c r="AB281" s="456">
        <f>'Key input_Biomass_MAgPIE'!Z272</f>
        <v>0.28499999999999998</v>
      </c>
      <c r="AC281" s="456">
        <f>'Key input_Biomass_MAgPIE'!AA272</f>
        <v>0.28499999999999998</v>
      </c>
      <c r="AD281" s="456">
        <f>'Key input_Biomass_MAgPIE'!AB272</f>
        <v>0.28499999999999998</v>
      </c>
      <c r="AE281" s="456">
        <f>'Key input_Biomass_MAgPIE'!AC272</f>
        <v>0.28499999999999998</v>
      </c>
      <c r="AF281" s="456">
        <f>'Key input_Biomass_MAgPIE'!AD272</f>
        <v>0.28499999999999998</v>
      </c>
      <c r="AG281" s="456">
        <f>'Key input_Biomass_MAgPIE'!AE272</f>
        <v>0.28499999999999998</v>
      </c>
      <c r="AH281" s="456">
        <f>'Key input_Biomass_MAgPIE'!AF272</f>
        <v>0.28499999999999998</v>
      </c>
    </row>
    <row r="282" spans="1:34">
      <c r="A282" s="4" t="str">
        <f t="shared" si="108"/>
        <v>MIN-RSVBIOCRP3</v>
      </c>
      <c r="B282" s="4" t="str">
        <f t="shared" si="105"/>
        <v>UPS Reserves of Biomass - Crops grown for energy - Reserve - Supply curve step 3</v>
      </c>
      <c r="C282" s="4" t="str">
        <f t="shared" si="106"/>
        <v>RSVBIOCRP</v>
      </c>
      <c r="D282" s="4" t="str">
        <f t="shared" si="107"/>
        <v>ACT_COST</v>
      </c>
      <c r="E282" s="4"/>
      <c r="F282" s="4">
        <v>2035</v>
      </c>
      <c r="G282" s="456">
        <f>'Key input_Biomass_MAgPIE'!E273</f>
        <v>0.28499999999999998</v>
      </c>
      <c r="H282" s="456">
        <f>'Key input_Biomass_MAgPIE'!F273</f>
        <v>0.28499999999999998</v>
      </c>
      <c r="I282" s="456">
        <f>'Key input_Biomass_MAgPIE'!G273</f>
        <v>0.28499999999999998</v>
      </c>
      <c r="J282" s="456">
        <f>'Key input_Biomass_MAgPIE'!H273</f>
        <v>0.28499999999999998</v>
      </c>
      <c r="K282" s="456">
        <f>'Key input_Biomass_MAgPIE'!I273</f>
        <v>0.28499999999999998</v>
      </c>
      <c r="L282" s="456">
        <f>'Key input_Biomass_MAgPIE'!J273</f>
        <v>0.28499999999999998</v>
      </c>
      <c r="M282" s="456">
        <f>'Key input_Biomass_MAgPIE'!K273</f>
        <v>0.28499999999999998</v>
      </c>
      <c r="N282" s="456">
        <f>'Key input_Biomass_MAgPIE'!L273</f>
        <v>0.28499999999999998</v>
      </c>
      <c r="O282" s="456">
        <f>'Key input_Biomass_MAgPIE'!M273</f>
        <v>0.28499999999999998</v>
      </c>
      <c r="P282" s="456">
        <f>'Key input_Biomass_MAgPIE'!N273</f>
        <v>0.28499999999999998</v>
      </c>
      <c r="Q282" s="456">
        <f>'Key input_Biomass_MAgPIE'!O273</f>
        <v>0.28499999999999998</v>
      </c>
      <c r="R282" s="456">
        <f>'Key input_Biomass_MAgPIE'!P273</f>
        <v>0.28499999999999998</v>
      </c>
      <c r="S282" s="456">
        <f>'Key input_Biomass_MAgPIE'!Q273</f>
        <v>0.28499999999999998</v>
      </c>
      <c r="T282" s="456">
        <f>'Key input_Biomass_MAgPIE'!R273</f>
        <v>0.28499999999999998</v>
      </c>
      <c r="U282" s="456">
        <f>'Key input_Biomass_MAgPIE'!S273</f>
        <v>0.28499999999999998</v>
      </c>
      <c r="V282" s="456">
        <f>'Key input_Biomass_MAgPIE'!T273</f>
        <v>0.28499999999999998</v>
      </c>
      <c r="W282" s="456">
        <f>'Key input_Biomass_MAgPIE'!U273</f>
        <v>0.28499999999999998</v>
      </c>
      <c r="X282" s="456">
        <f>'Key input_Biomass_MAgPIE'!V273</f>
        <v>0.28499999999999998</v>
      </c>
      <c r="Y282" s="456">
        <f>'Key input_Biomass_MAgPIE'!W273</f>
        <v>0.28499999999999998</v>
      </c>
      <c r="Z282" s="456">
        <f>'Key input_Biomass_MAgPIE'!X273</f>
        <v>0.28499999999999998</v>
      </c>
      <c r="AA282" s="456">
        <f>'Key input_Biomass_MAgPIE'!Y273</f>
        <v>0.28499999999999998</v>
      </c>
      <c r="AB282" s="456">
        <f>'Key input_Biomass_MAgPIE'!Z273</f>
        <v>0.28499999999999998</v>
      </c>
      <c r="AC282" s="456">
        <f>'Key input_Biomass_MAgPIE'!AA273</f>
        <v>0.28499999999999998</v>
      </c>
      <c r="AD282" s="456">
        <f>'Key input_Biomass_MAgPIE'!AB273</f>
        <v>0.28499999999999998</v>
      </c>
      <c r="AE282" s="456">
        <f>'Key input_Biomass_MAgPIE'!AC273</f>
        <v>0.28499999999999998</v>
      </c>
      <c r="AF282" s="456">
        <f>'Key input_Biomass_MAgPIE'!AD273</f>
        <v>0.28499999999999998</v>
      </c>
      <c r="AG282" s="456">
        <f>'Key input_Biomass_MAgPIE'!AE273</f>
        <v>0.28499999999999998</v>
      </c>
      <c r="AH282" s="456">
        <f>'Key input_Biomass_MAgPIE'!AF273</f>
        <v>0.28499999999999998</v>
      </c>
    </row>
    <row r="283" spans="1:34">
      <c r="A283" s="4" t="str">
        <f t="shared" si="108"/>
        <v>MIN-RSVBIOCRP3</v>
      </c>
      <c r="B283" s="4" t="str">
        <f t="shared" si="105"/>
        <v>UPS Reserves of Biomass - Crops grown for energy - Reserve - Supply curve step 3</v>
      </c>
      <c r="C283" s="4" t="str">
        <f t="shared" si="106"/>
        <v>RSVBIOCRP</v>
      </c>
      <c r="D283" s="4" t="str">
        <f t="shared" si="107"/>
        <v>ACT_COST</v>
      </c>
      <c r="E283" s="4"/>
      <c r="F283" s="4">
        <v>2040</v>
      </c>
      <c r="G283" s="456">
        <f>'Key input_Biomass_MAgPIE'!E274</f>
        <v>0.28499999999999998</v>
      </c>
      <c r="H283" s="456">
        <f>'Key input_Biomass_MAgPIE'!F274</f>
        <v>0.28499999999999998</v>
      </c>
      <c r="I283" s="456">
        <f>'Key input_Biomass_MAgPIE'!G274</f>
        <v>0.28499999999999998</v>
      </c>
      <c r="J283" s="456">
        <f>'Key input_Biomass_MAgPIE'!H274</f>
        <v>0.28499999999999998</v>
      </c>
      <c r="K283" s="456">
        <f>'Key input_Biomass_MAgPIE'!I274</f>
        <v>0.28499999999999998</v>
      </c>
      <c r="L283" s="456">
        <f>'Key input_Biomass_MAgPIE'!J274</f>
        <v>0.28499999999999998</v>
      </c>
      <c r="M283" s="456">
        <f>'Key input_Biomass_MAgPIE'!K274</f>
        <v>0.28499999999999998</v>
      </c>
      <c r="N283" s="456">
        <f>'Key input_Biomass_MAgPIE'!L274</f>
        <v>0.28499999999999998</v>
      </c>
      <c r="O283" s="456">
        <f>'Key input_Biomass_MAgPIE'!M274</f>
        <v>0.28499999999999998</v>
      </c>
      <c r="P283" s="456">
        <f>'Key input_Biomass_MAgPIE'!N274</f>
        <v>0.28499999999999998</v>
      </c>
      <c r="Q283" s="456">
        <f>'Key input_Biomass_MAgPIE'!O274</f>
        <v>0.28499999999999998</v>
      </c>
      <c r="R283" s="456">
        <f>'Key input_Biomass_MAgPIE'!P274</f>
        <v>0.28499999999999998</v>
      </c>
      <c r="S283" s="456">
        <f>'Key input_Biomass_MAgPIE'!Q274</f>
        <v>0.28499999999999998</v>
      </c>
      <c r="T283" s="456">
        <f>'Key input_Biomass_MAgPIE'!R274</f>
        <v>0.28499999999999998</v>
      </c>
      <c r="U283" s="456">
        <f>'Key input_Biomass_MAgPIE'!S274</f>
        <v>0.28499999999999998</v>
      </c>
      <c r="V283" s="456">
        <f>'Key input_Biomass_MAgPIE'!T274</f>
        <v>0.28499999999999998</v>
      </c>
      <c r="W283" s="456">
        <f>'Key input_Biomass_MAgPIE'!U274</f>
        <v>0.28499999999999998</v>
      </c>
      <c r="X283" s="456">
        <f>'Key input_Biomass_MAgPIE'!V274</f>
        <v>0.28499999999999998</v>
      </c>
      <c r="Y283" s="456">
        <f>'Key input_Biomass_MAgPIE'!W274</f>
        <v>0.28499999999999998</v>
      </c>
      <c r="Z283" s="456">
        <f>'Key input_Biomass_MAgPIE'!X274</f>
        <v>0.28499999999999998</v>
      </c>
      <c r="AA283" s="456">
        <f>'Key input_Biomass_MAgPIE'!Y274</f>
        <v>0.28499999999999998</v>
      </c>
      <c r="AB283" s="456">
        <f>'Key input_Biomass_MAgPIE'!Z274</f>
        <v>0.28499999999999998</v>
      </c>
      <c r="AC283" s="456">
        <f>'Key input_Biomass_MAgPIE'!AA274</f>
        <v>0.28499999999999998</v>
      </c>
      <c r="AD283" s="456">
        <f>'Key input_Biomass_MAgPIE'!AB274</f>
        <v>0.28499999999999998</v>
      </c>
      <c r="AE283" s="456">
        <f>'Key input_Biomass_MAgPIE'!AC274</f>
        <v>0.28499999999999998</v>
      </c>
      <c r="AF283" s="456">
        <f>'Key input_Biomass_MAgPIE'!AD274</f>
        <v>0.28499999999999998</v>
      </c>
      <c r="AG283" s="456">
        <f>'Key input_Biomass_MAgPIE'!AE274</f>
        <v>0.28499999999999998</v>
      </c>
      <c r="AH283" s="456">
        <f>'Key input_Biomass_MAgPIE'!AF274</f>
        <v>0.28499999999999998</v>
      </c>
    </row>
    <row r="284" spans="1:34">
      <c r="A284" s="4" t="str">
        <f t="shared" si="108"/>
        <v>MIN-RSVBIOCRP3</v>
      </c>
      <c r="B284" s="4" t="str">
        <f t="shared" si="105"/>
        <v>UPS Reserves of Biomass - Crops grown for energy - Reserve - Supply curve step 3</v>
      </c>
      <c r="C284" s="4" t="str">
        <f t="shared" si="106"/>
        <v>RSVBIOCRP</v>
      </c>
      <c r="D284" s="4" t="str">
        <f t="shared" si="107"/>
        <v>ACT_COST</v>
      </c>
      <c r="E284" s="4"/>
      <c r="F284" s="4">
        <v>2045</v>
      </c>
      <c r="G284" s="456">
        <f>'Key input_Biomass_MAgPIE'!E275</f>
        <v>0.28499999999999998</v>
      </c>
      <c r="H284" s="456">
        <f>'Key input_Biomass_MAgPIE'!F275</f>
        <v>0.28499999999999998</v>
      </c>
      <c r="I284" s="456">
        <f>'Key input_Biomass_MAgPIE'!G275</f>
        <v>0.28499999999999998</v>
      </c>
      <c r="J284" s="456">
        <f>'Key input_Biomass_MAgPIE'!H275</f>
        <v>0.28499999999999998</v>
      </c>
      <c r="K284" s="456">
        <f>'Key input_Biomass_MAgPIE'!I275</f>
        <v>0.28499999999999998</v>
      </c>
      <c r="L284" s="456">
        <f>'Key input_Biomass_MAgPIE'!J275</f>
        <v>0.28499999999999998</v>
      </c>
      <c r="M284" s="456">
        <f>'Key input_Biomass_MAgPIE'!K275</f>
        <v>0.28499999999999998</v>
      </c>
      <c r="N284" s="456">
        <f>'Key input_Biomass_MAgPIE'!L275</f>
        <v>0.28499999999999998</v>
      </c>
      <c r="O284" s="456">
        <f>'Key input_Biomass_MAgPIE'!M275</f>
        <v>0.28499999999999998</v>
      </c>
      <c r="P284" s="456">
        <f>'Key input_Biomass_MAgPIE'!N275</f>
        <v>0.28499999999999998</v>
      </c>
      <c r="Q284" s="456">
        <f>'Key input_Biomass_MAgPIE'!O275</f>
        <v>0.28499999999999998</v>
      </c>
      <c r="R284" s="456">
        <f>'Key input_Biomass_MAgPIE'!P275</f>
        <v>0.28499999999999998</v>
      </c>
      <c r="S284" s="456">
        <f>'Key input_Biomass_MAgPIE'!Q275</f>
        <v>0.28499999999999998</v>
      </c>
      <c r="T284" s="456">
        <f>'Key input_Biomass_MAgPIE'!R275</f>
        <v>0.28499999999999998</v>
      </c>
      <c r="U284" s="456">
        <f>'Key input_Biomass_MAgPIE'!S275</f>
        <v>0.28499999999999998</v>
      </c>
      <c r="V284" s="456">
        <f>'Key input_Biomass_MAgPIE'!T275</f>
        <v>0.28499999999999998</v>
      </c>
      <c r="W284" s="456">
        <f>'Key input_Biomass_MAgPIE'!U275</f>
        <v>0.28499999999999998</v>
      </c>
      <c r="X284" s="456">
        <f>'Key input_Biomass_MAgPIE'!V275</f>
        <v>0.28499999999999998</v>
      </c>
      <c r="Y284" s="456">
        <f>'Key input_Biomass_MAgPIE'!W275</f>
        <v>0.28499999999999998</v>
      </c>
      <c r="Z284" s="456">
        <f>'Key input_Biomass_MAgPIE'!X275</f>
        <v>0.28499999999999998</v>
      </c>
      <c r="AA284" s="456">
        <f>'Key input_Biomass_MAgPIE'!Y275</f>
        <v>0.28499999999999998</v>
      </c>
      <c r="AB284" s="456">
        <f>'Key input_Biomass_MAgPIE'!Z275</f>
        <v>0.28499999999999998</v>
      </c>
      <c r="AC284" s="456">
        <f>'Key input_Biomass_MAgPIE'!AA275</f>
        <v>0.28499999999999998</v>
      </c>
      <c r="AD284" s="456">
        <f>'Key input_Biomass_MAgPIE'!AB275</f>
        <v>0.28499999999999998</v>
      </c>
      <c r="AE284" s="456">
        <f>'Key input_Biomass_MAgPIE'!AC275</f>
        <v>0.28499999999999998</v>
      </c>
      <c r="AF284" s="456">
        <f>'Key input_Biomass_MAgPIE'!AD275</f>
        <v>0.28499999999999998</v>
      </c>
      <c r="AG284" s="456">
        <f>'Key input_Biomass_MAgPIE'!AE275</f>
        <v>0.28499999999999998</v>
      </c>
      <c r="AH284" s="456">
        <f>'Key input_Biomass_MAgPIE'!AF275</f>
        <v>0.28499999999999998</v>
      </c>
    </row>
    <row r="285" spans="1:34">
      <c r="A285" s="4" t="str">
        <f t="shared" si="108"/>
        <v>MIN-RSVBIOCRP3</v>
      </c>
      <c r="B285" s="4" t="str">
        <f t="shared" si="105"/>
        <v>UPS Reserves of Biomass - Crops grown for energy - Reserve - Supply curve step 3</v>
      </c>
      <c r="C285" s="4" t="str">
        <f t="shared" si="106"/>
        <v>RSVBIOCRP</v>
      </c>
      <c r="D285" s="4" t="str">
        <f t="shared" si="107"/>
        <v>ACT_COST</v>
      </c>
      <c r="E285" s="4"/>
      <c r="F285" s="4">
        <v>2050</v>
      </c>
      <c r="G285" s="456">
        <f>'Key input_Biomass_MAgPIE'!E276</f>
        <v>0.28499999999999998</v>
      </c>
      <c r="H285" s="456">
        <f>'Key input_Biomass_MAgPIE'!F276</f>
        <v>0.28499999999999998</v>
      </c>
      <c r="I285" s="456">
        <f>'Key input_Biomass_MAgPIE'!G276</f>
        <v>0.28499999999999998</v>
      </c>
      <c r="J285" s="456">
        <f>'Key input_Biomass_MAgPIE'!H276</f>
        <v>0.28499999999999998</v>
      </c>
      <c r="K285" s="456">
        <f>'Key input_Biomass_MAgPIE'!I276</f>
        <v>0.28499999999999998</v>
      </c>
      <c r="L285" s="456">
        <f>'Key input_Biomass_MAgPIE'!J276</f>
        <v>0.28499999999999998</v>
      </c>
      <c r="M285" s="456">
        <f>'Key input_Biomass_MAgPIE'!K276</f>
        <v>0.28499999999999998</v>
      </c>
      <c r="N285" s="456">
        <f>'Key input_Biomass_MAgPIE'!L276</f>
        <v>0.28499999999999998</v>
      </c>
      <c r="O285" s="456">
        <f>'Key input_Biomass_MAgPIE'!M276</f>
        <v>0.28499999999999998</v>
      </c>
      <c r="P285" s="456">
        <f>'Key input_Biomass_MAgPIE'!N276</f>
        <v>0.28499999999999998</v>
      </c>
      <c r="Q285" s="456">
        <f>'Key input_Biomass_MAgPIE'!O276</f>
        <v>0.28499999999999998</v>
      </c>
      <c r="R285" s="456">
        <f>'Key input_Biomass_MAgPIE'!P276</f>
        <v>0.28499999999999998</v>
      </c>
      <c r="S285" s="456">
        <f>'Key input_Biomass_MAgPIE'!Q276</f>
        <v>0.28499999999999998</v>
      </c>
      <c r="T285" s="456">
        <f>'Key input_Biomass_MAgPIE'!R276</f>
        <v>0.28499999999999998</v>
      </c>
      <c r="U285" s="456">
        <f>'Key input_Biomass_MAgPIE'!S276</f>
        <v>0.28499999999999998</v>
      </c>
      <c r="V285" s="456">
        <f>'Key input_Biomass_MAgPIE'!T276</f>
        <v>0.28499999999999998</v>
      </c>
      <c r="W285" s="456">
        <f>'Key input_Biomass_MAgPIE'!U276</f>
        <v>0.28499999999999998</v>
      </c>
      <c r="X285" s="456">
        <f>'Key input_Biomass_MAgPIE'!V276</f>
        <v>0.28499999999999998</v>
      </c>
      <c r="Y285" s="456">
        <f>'Key input_Biomass_MAgPIE'!W276</f>
        <v>0.28499999999999998</v>
      </c>
      <c r="Z285" s="456">
        <f>'Key input_Biomass_MAgPIE'!X276</f>
        <v>0.28499999999999998</v>
      </c>
      <c r="AA285" s="456">
        <f>'Key input_Biomass_MAgPIE'!Y276</f>
        <v>0.28499999999999998</v>
      </c>
      <c r="AB285" s="456">
        <f>'Key input_Biomass_MAgPIE'!Z276</f>
        <v>0.28499999999999998</v>
      </c>
      <c r="AC285" s="456">
        <f>'Key input_Biomass_MAgPIE'!AA276</f>
        <v>0.28499999999999998</v>
      </c>
      <c r="AD285" s="456">
        <f>'Key input_Biomass_MAgPIE'!AB276</f>
        <v>0.28499999999999998</v>
      </c>
      <c r="AE285" s="456">
        <f>'Key input_Biomass_MAgPIE'!AC276</f>
        <v>0.28499999999999998</v>
      </c>
      <c r="AF285" s="456">
        <f>'Key input_Biomass_MAgPIE'!AD276</f>
        <v>0.28499999999999998</v>
      </c>
      <c r="AG285" s="456">
        <f>'Key input_Biomass_MAgPIE'!AE276</f>
        <v>0.28499999999999998</v>
      </c>
      <c r="AH285" s="456">
        <f>'Key input_Biomass_MAgPIE'!AF276</f>
        <v>0.28499999999999998</v>
      </c>
    </row>
    <row r="286" spans="1:34">
      <c r="A286" s="4" t="str">
        <f t="shared" si="108"/>
        <v>MIN-RSVBIOCRP3</v>
      </c>
      <c r="B286" s="4" t="str">
        <f t="shared" si="105"/>
        <v>UPS Reserves of Biomass - Crops grown for energy - Reserve - Supply curve step 3</v>
      </c>
      <c r="C286" s="4" t="str">
        <f t="shared" si="106"/>
        <v>RSVBIOCRP</v>
      </c>
      <c r="D286" s="4" t="str">
        <f t="shared" si="107"/>
        <v>ACT_COST</v>
      </c>
      <c r="E286" s="4"/>
      <c r="F286" s="4">
        <v>2060</v>
      </c>
      <c r="G286" s="456">
        <f>'Key input_Biomass_MAgPIE'!E277</f>
        <v>0.28499999999999998</v>
      </c>
      <c r="H286" s="456">
        <f>'Key input_Biomass_MAgPIE'!F277</f>
        <v>0.28499999999999998</v>
      </c>
      <c r="I286" s="456">
        <f>'Key input_Biomass_MAgPIE'!G277</f>
        <v>0.28499999999999998</v>
      </c>
      <c r="J286" s="456">
        <f>'Key input_Biomass_MAgPIE'!H277</f>
        <v>0.28499999999999998</v>
      </c>
      <c r="K286" s="456">
        <f>'Key input_Biomass_MAgPIE'!I277</f>
        <v>0.28499999999999998</v>
      </c>
      <c r="L286" s="456">
        <f>'Key input_Biomass_MAgPIE'!J277</f>
        <v>0.28499999999999998</v>
      </c>
      <c r="M286" s="456">
        <f>'Key input_Biomass_MAgPIE'!K277</f>
        <v>0.28499999999999998</v>
      </c>
      <c r="N286" s="456">
        <f>'Key input_Biomass_MAgPIE'!L277</f>
        <v>0.28499999999999998</v>
      </c>
      <c r="O286" s="456">
        <f>'Key input_Biomass_MAgPIE'!M277</f>
        <v>0.28499999999999998</v>
      </c>
      <c r="P286" s="456">
        <f>'Key input_Biomass_MAgPIE'!N277</f>
        <v>0.28499999999999998</v>
      </c>
      <c r="Q286" s="456">
        <f>'Key input_Biomass_MAgPIE'!O277</f>
        <v>0.28499999999999998</v>
      </c>
      <c r="R286" s="456">
        <f>'Key input_Biomass_MAgPIE'!P277</f>
        <v>0.28499999999999998</v>
      </c>
      <c r="S286" s="456">
        <f>'Key input_Biomass_MAgPIE'!Q277</f>
        <v>0.28499999999999998</v>
      </c>
      <c r="T286" s="456">
        <f>'Key input_Biomass_MAgPIE'!R277</f>
        <v>0.28499999999999998</v>
      </c>
      <c r="U286" s="456">
        <f>'Key input_Biomass_MAgPIE'!S277</f>
        <v>0.28499999999999998</v>
      </c>
      <c r="V286" s="456">
        <f>'Key input_Biomass_MAgPIE'!T277</f>
        <v>0.28499999999999998</v>
      </c>
      <c r="W286" s="456">
        <f>'Key input_Biomass_MAgPIE'!U277</f>
        <v>0.28499999999999998</v>
      </c>
      <c r="X286" s="456">
        <f>'Key input_Biomass_MAgPIE'!V277</f>
        <v>0.28499999999999998</v>
      </c>
      <c r="Y286" s="456">
        <f>'Key input_Biomass_MAgPIE'!W277</f>
        <v>0.28499999999999998</v>
      </c>
      <c r="Z286" s="456">
        <f>'Key input_Biomass_MAgPIE'!X277</f>
        <v>0.28499999999999998</v>
      </c>
      <c r="AA286" s="456">
        <f>'Key input_Biomass_MAgPIE'!Y277</f>
        <v>0.28499999999999998</v>
      </c>
      <c r="AB286" s="456">
        <f>'Key input_Biomass_MAgPIE'!Z277</f>
        <v>0.28499999999999998</v>
      </c>
      <c r="AC286" s="456">
        <f>'Key input_Biomass_MAgPIE'!AA277</f>
        <v>0.28499999999999998</v>
      </c>
      <c r="AD286" s="456">
        <f>'Key input_Biomass_MAgPIE'!AB277</f>
        <v>0.28499999999999998</v>
      </c>
      <c r="AE286" s="456">
        <f>'Key input_Biomass_MAgPIE'!AC277</f>
        <v>0.28499999999999998</v>
      </c>
      <c r="AF286" s="456">
        <f>'Key input_Biomass_MAgPIE'!AD277</f>
        <v>0.28499999999999998</v>
      </c>
      <c r="AG286" s="456">
        <f>'Key input_Biomass_MAgPIE'!AE277</f>
        <v>0.28499999999999998</v>
      </c>
      <c r="AH286" s="456">
        <f>'Key input_Biomass_MAgPIE'!AF277</f>
        <v>0.28499999999999998</v>
      </c>
    </row>
    <row r="287" spans="1:34">
      <c r="A287" s="4" t="str">
        <f t="shared" si="108"/>
        <v>MIN-RSVBIOCRP3</v>
      </c>
      <c r="B287" s="4" t="str">
        <f t="shared" si="105"/>
        <v>UPS Reserves of Biomass - Crops grown for energy - Reserve - Supply curve step 3</v>
      </c>
      <c r="C287" s="4" t="str">
        <f t="shared" si="106"/>
        <v>RSVBIOCRP</v>
      </c>
      <c r="D287" s="4" t="str">
        <f t="shared" si="107"/>
        <v>ACT_COST</v>
      </c>
      <c r="E287" s="4"/>
      <c r="F287" s="4">
        <v>2070</v>
      </c>
      <c r="G287" s="456">
        <f>'Key input_Biomass_MAgPIE'!E278</f>
        <v>0.28499999999999998</v>
      </c>
      <c r="H287" s="456">
        <f>'Key input_Biomass_MAgPIE'!F278</f>
        <v>0.28499999999999998</v>
      </c>
      <c r="I287" s="456">
        <f>'Key input_Biomass_MAgPIE'!G278</f>
        <v>0.28499999999999998</v>
      </c>
      <c r="J287" s="456">
        <f>'Key input_Biomass_MAgPIE'!H278</f>
        <v>0.28499999999999998</v>
      </c>
      <c r="K287" s="456">
        <f>'Key input_Biomass_MAgPIE'!I278</f>
        <v>0.28499999999999998</v>
      </c>
      <c r="L287" s="456">
        <f>'Key input_Biomass_MAgPIE'!J278</f>
        <v>0.28499999999999998</v>
      </c>
      <c r="M287" s="456">
        <f>'Key input_Biomass_MAgPIE'!K278</f>
        <v>0.28499999999999998</v>
      </c>
      <c r="N287" s="456">
        <f>'Key input_Biomass_MAgPIE'!L278</f>
        <v>0.28499999999999998</v>
      </c>
      <c r="O287" s="456">
        <f>'Key input_Biomass_MAgPIE'!M278</f>
        <v>0.28499999999999998</v>
      </c>
      <c r="P287" s="456">
        <f>'Key input_Biomass_MAgPIE'!N278</f>
        <v>0.28499999999999998</v>
      </c>
      <c r="Q287" s="456">
        <f>'Key input_Biomass_MAgPIE'!O278</f>
        <v>0.28499999999999998</v>
      </c>
      <c r="R287" s="456">
        <f>'Key input_Biomass_MAgPIE'!P278</f>
        <v>0.28499999999999998</v>
      </c>
      <c r="S287" s="456">
        <f>'Key input_Biomass_MAgPIE'!Q278</f>
        <v>0.28499999999999998</v>
      </c>
      <c r="T287" s="456">
        <f>'Key input_Biomass_MAgPIE'!R278</f>
        <v>0.28499999999999998</v>
      </c>
      <c r="U287" s="456">
        <f>'Key input_Biomass_MAgPIE'!S278</f>
        <v>0.28499999999999998</v>
      </c>
      <c r="V287" s="456">
        <f>'Key input_Biomass_MAgPIE'!T278</f>
        <v>0.28499999999999998</v>
      </c>
      <c r="W287" s="456">
        <f>'Key input_Biomass_MAgPIE'!U278</f>
        <v>0.28499999999999998</v>
      </c>
      <c r="X287" s="456">
        <f>'Key input_Biomass_MAgPIE'!V278</f>
        <v>0.28499999999999998</v>
      </c>
      <c r="Y287" s="456">
        <f>'Key input_Biomass_MAgPIE'!W278</f>
        <v>0.28499999999999998</v>
      </c>
      <c r="Z287" s="456">
        <f>'Key input_Biomass_MAgPIE'!X278</f>
        <v>0.28499999999999998</v>
      </c>
      <c r="AA287" s="456">
        <f>'Key input_Biomass_MAgPIE'!Y278</f>
        <v>0.28499999999999998</v>
      </c>
      <c r="AB287" s="456">
        <f>'Key input_Biomass_MAgPIE'!Z278</f>
        <v>0.28499999999999998</v>
      </c>
      <c r="AC287" s="456">
        <f>'Key input_Biomass_MAgPIE'!AA278</f>
        <v>0.28499999999999998</v>
      </c>
      <c r="AD287" s="456">
        <f>'Key input_Biomass_MAgPIE'!AB278</f>
        <v>0.28499999999999998</v>
      </c>
      <c r="AE287" s="456">
        <f>'Key input_Biomass_MAgPIE'!AC278</f>
        <v>0.28499999999999998</v>
      </c>
      <c r="AF287" s="456">
        <f>'Key input_Biomass_MAgPIE'!AD278</f>
        <v>0.28499999999999998</v>
      </c>
      <c r="AG287" s="456">
        <f>'Key input_Biomass_MAgPIE'!AE278</f>
        <v>0.28499999999999998</v>
      </c>
      <c r="AH287" s="456">
        <f>'Key input_Biomass_MAgPIE'!AF278</f>
        <v>0.28499999999999998</v>
      </c>
    </row>
    <row r="288" spans="1:34">
      <c r="A288" s="4" t="str">
        <f t="shared" si="108"/>
        <v>MIN-RSVBIOCRP3</v>
      </c>
      <c r="B288" s="4" t="str">
        <f t="shared" si="105"/>
        <v>UPS Reserves of Biomass - Crops grown for energy - Reserve - Supply curve step 3</v>
      </c>
      <c r="C288" s="4" t="str">
        <f t="shared" si="106"/>
        <v>RSVBIOCRP</v>
      </c>
      <c r="D288" s="4" t="str">
        <f t="shared" si="107"/>
        <v>ACT_COST</v>
      </c>
      <c r="E288" s="4"/>
      <c r="F288" s="4">
        <v>2080</v>
      </c>
      <c r="G288" s="456">
        <f>'Key input_Biomass_MAgPIE'!E279</f>
        <v>0.28499999999999998</v>
      </c>
      <c r="H288" s="456">
        <f>'Key input_Biomass_MAgPIE'!F279</f>
        <v>0.28499999999999998</v>
      </c>
      <c r="I288" s="456">
        <f>'Key input_Biomass_MAgPIE'!G279</f>
        <v>0.28499999999999998</v>
      </c>
      <c r="J288" s="456">
        <f>'Key input_Biomass_MAgPIE'!H279</f>
        <v>0.28499999999999998</v>
      </c>
      <c r="K288" s="456">
        <f>'Key input_Biomass_MAgPIE'!I279</f>
        <v>0.28499999999999998</v>
      </c>
      <c r="L288" s="456">
        <f>'Key input_Biomass_MAgPIE'!J279</f>
        <v>0.28499999999999998</v>
      </c>
      <c r="M288" s="456">
        <f>'Key input_Biomass_MAgPIE'!K279</f>
        <v>0.28499999999999998</v>
      </c>
      <c r="N288" s="456">
        <f>'Key input_Biomass_MAgPIE'!L279</f>
        <v>0.28499999999999998</v>
      </c>
      <c r="O288" s="456">
        <f>'Key input_Biomass_MAgPIE'!M279</f>
        <v>0.28499999999999998</v>
      </c>
      <c r="P288" s="456">
        <f>'Key input_Biomass_MAgPIE'!N279</f>
        <v>0.28499999999999998</v>
      </c>
      <c r="Q288" s="456">
        <f>'Key input_Biomass_MAgPIE'!O279</f>
        <v>0.28499999999999998</v>
      </c>
      <c r="R288" s="456">
        <f>'Key input_Biomass_MAgPIE'!P279</f>
        <v>0.28499999999999998</v>
      </c>
      <c r="S288" s="456">
        <f>'Key input_Biomass_MAgPIE'!Q279</f>
        <v>0.28499999999999998</v>
      </c>
      <c r="T288" s="456">
        <f>'Key input_Biomass_MAgPIE'!R279</f>
        <v>0.28499999999999998</v>
      </c>
      <c r="U288" s="456">
        <f>'Key input_Biomass_MAgPIE'!S279</f>
        <v>0.28499999999999998</v>
      </c>
      <c r="V288" s="456">
        <f>'Key input_Biomass_MAgPIE'!T279</f>
        <v>0.28499999999999998</v>
      </c>
      <c r="W288" s="456">
        <f>'Key input_Biomass_MAgPIE'!U279</f>
        <v>0.28499999999999998</v>
      </c>
      <c r="X288" s="456">
        <f>'Key input_Biomass_MAgPIE'!V279</f>
        <v>0.28499999999999998</v>
      </c>
      <c r="Y288" s="456">
        <f>'Key input_Biomass_MAgPIE'!W279</f>
        <v>0.28499999999999998</v>
      </c>
      <c r="Z288" s="456">
        <f>'Key input_Biomass_MAgPIE'!X279</f>
        <v>0.28499999999999998</v>
      </c>
      <c r="AA288" s="456">
        <f>'Key input_Biomass_MAgPIE'!Y279</f>
        <v>0.28499999999999998</v>
      </c>
      <c r="AB288" s="456">
        <f>'Key input_Biomass_MAgPIE'!Z279</f>
        <v>0.28499999999999998</v>
      </c>
      <c r="AC288" s="456">
        <f>'Key input_Biomass_MAgPIE'!AA279</f>
        <v>0.28499999999999998</v>
      </c>
      <c r="AD288" s="456">
        <f>'Key input_Biomass_MAgPIE'!AB279</f>
        <v>0.28499999999999998</v>
      </c>
      <c r="AE288" s="456">
        <f>'Key input_Biomass_MAgPIE'!AC279</f>
        <v>0.28499999999999998</v>
      </c>
      <c r="AF288" s="456">
        <f>'Key input_Biomass_MAgPIE'!AD279</f>
        <v>0.28499999999999998</v>
      </c>
      <c r="AG288" s="456">
        <f>'Key input_Biomass_MAgPIE'!AE279</f>
        <v>0.28499999999999998</v>
      </c>
      <c r="AH288" s="456">
        <f>'Key input_Biomass_MAgPIE'!AF279</f>
        <v>0.28499999999999998</v>
      </c>
    </row>
    <row r="289" spans="1:34">
      <c r="A289" s="4" t="str">
        <f t="shared" si="108"/>
        <v>MIN-RSVBIOCRP3</v>
      </c>
      <c r="B289" s="4" t="str">
        <f t="shared" si="105"/>
        <v>UPS Reserves of Biomass - Crops grown for energy - Reserve - Supply curve step 3</v>
      </c>
      <c r="C289" s="4" t="str">
        <f t="shared" si="106"/>
        <v>RSVBIOCRP</v>
      </c>
      <c r="D289" s="4" t="str">
        <f t="shared" si="107"/>
        <v>ACT_COST</v>
      </c>
      <c r="E289" s="4"/>
      <c r="F289" s="4">
        <v>2090</v>
      </c>
      <c r="G289" s="456">
        <f>'Key input_Biomass_MAgPIE'!E280</f>
        <v>0.28499999999999998</v>
      </c>
      <c r="H289" s="456">
        <f>'Key input_Biomass_MAgPIE'!F280</f>
        <v>0.28499999999999998</v>
      </c>
      <c r="I289" s="456">
        <f>'Key input_Biomass_MAgPIE'!G280</f>
        <v>0.28499999999999998</v>
      </c>
      <c r="J289" s="456">
        <f>'Key input_Biomass_MAgPIE'!H280</f>
        <v>0.28499999999999998</v>
      </c>
      <c r="K289" s="456">
        <f>'Key input_Biomass_MAgPIE'!I280</f>
        <v>0.28499999999999998</v>
      </c>
      <c r="L289" s="456">
        <f>'Key input_Biomass_MAgPIE'!J280</f>
        <v>0.28499999999999998</v>
      </c>
      <c r="M289" s="456">
        <f>'Key input_Biomass_MAgPIE'!K280</f>
        <v>0.28499999999999998</v>
      </c>
      <c r="N289" s="456">
        <f>'Key input_Biomass_MAgPIE'!L280</f>
        <v>0.28499999999999998</v>
      </c>
      <c r="O289" s="456">
        <f>'Key input_Biomass_MAgPIE'!M280</f>
        <v>0.28499999999999998</v>
      </c>
      <c r="P289" s="456">
        <f>'Key input_Biomass_MAgPIE'!N280</f>
        <v>0.28499999999999998</v>
      </c>
      <c r="Q289" s="456">
        <f>'Key input_Biomass_MAgPIE'!O280</f>
        <v>0.28499999999999998</v>
      </c>
      <c r="R289" s="456">
        <f>'Key input_Biomass_MAgPIE'!P280</f>
        <v>0.28499999999999998</v>
      </c>
      <c r="S289" s="456">
        <f>'Key input_Biomass_MAgPIE'!Q280</f>
        <v>0.28499999999999998</v>
      </c>
      <c r="T289" s="456">
        <f>'Key input_Biomass_MAgPIE'!R280</f>
        <v>0.28499999999999998</v>
      </c>
      <c r="U289" s="456">
        <f>'Key input_Biomass_MAgPIE'!S280</f>
        <v>0.28499999999999998</v>
      </c>
      <c r="V289" s="456">
        <f>'Key input_Biomass_MAgPIE'!T280</f>
        <v>0.28499999999999998</v>
      </c>
      <c r="W289" s="456">
        <f>'Key input_Biomass_MAgPIE'!U280</f>
        <v>0.28499999999999998</v>
      </c>
      <c r="X289" s="456">
        <f>'Key input_Biomass_MAgPIE'!V280</f>
        <v>0.28499999999999998</v>
      </c>
      <c r="Y289" s="456">
        <f>'Key input_Biomass_MAgPIE'!W280</f>
        <v>0.28499999999999998</v>
      </c>
      <c r="Z289" s="456">
        <f>'Key input_Biomass_MAgPIE'!X280</f>
        <v>0.28499999999999998</v>
      </c>
      <c r="AA289" s="456">
        <f>'Key input_Biomass_MAgPIE'!Y280</f>
        <v>0.28499999999999998</v>
      </c>
      <c r="AB289" s="456">
        <f>'Key input_Biomass_MAgPIE'!Z280</f>
        <v>0.28499999999999998</v>
      </c>
      <c r="AC289" s="456">
        <f>'Key input_Biomass_MAgPIE'!AA280</f>
        <v>0.28499999999999998</v>
      </c>
      <c r="AD289" s="456">
        <f>'Key input_Biomass_MAgPIE'!AB280</f>
        <v>0.28499999999999998</v>
      </c>
      <c r="AE289" s="456">
        <f>'Key input_Biomass_MAgPIE'!AC280</f>
        <v>0.28499999999999998</v>
      </c>
      <c r="AF289" s="456">
        <f>'Key input_Biomass_MAgPIE'!AD280</f>
        <v>0.28499999999999998</v>
      </c>
      <c r="AG289" s="456">
        <f>'Key input_Biomass_MAgPIE'!AE280</f>
        <v>0.28499999999999998</v>
      </c>
      <c r="AH289" s="456">
        <f>'Key input_Biomass_MAgPIE'!AF280</f>
        <v>0.28499999999999998</v>
      </c>
    </row>
    <row r="290" spans="1:34" ht="16.2" thickBot="1">
      <c r="A290" s="454" t="str">
        <f t="shared" si="108"/>
        <v>MIN-RSVBIOCRP3</v>
      </c>
      <c r="B290" s="454" t="str">
        <f t="shared" si="105"/>
        <v>UPS Reserves of Biomass - Crops grown for energy - Reserve - Supply curve step 3</v>
      </c>
      <c r="C290" s="454" t="str">
        <f t="shared" si="106"/>
        <v>RSVBIOCRP</v>
      </c>
      <c r="D290" s="454" t="str">
        <f t="shared" si="107"/>
        <v>ACT_COST</v>
      </c>
      <c r="E290" s="454"/>
      <c r="F290" s="454">
        <v>2100</v>
      </c>
      <c r="G290" s="455">
        <f>'Key input_Biomass_MAgPIE'!E281</f>
        <v>0.28499999999999998</v>
      </c>
      <c r="H290" s="455">
        <f>'Key input_Biomass_MAgPIE'!F281</f>
        <v>0.28499999999999998</v>
      </c>
      <c r="I290" s="455">
        <f>'Key input_Biomass_MAgPIE'!G281</f>
        <v>0.28499999999999998</v>
      </c>
      <c r="J290" s="455">
        <f>'Key input_Biomass_MAgPIE'!H281</f>
        <v>0.28499999999999998</v>
      </c>
      <c r="K290" s="455">
        <f>'Key input_Biomass_MAgPIE'!I281</f>
        <v>0.28499999999999998</v>
      </c>
      <c r="L290" s="455">
        <f>'Key input_Biomass_MAgPIE'!J281</f>
        <v>0.28499999999999998</v>
      </c>
      <c r="M290" s="455">
        <f>'Key input_Biomass_MAgPIE'!K281</f>
        <v>0.28499999999999998</v>
      </c>
      <c r="N290" s="455">
        <f>'Key input_Biomass_MAgPIE'!L281</f>
        <v>0.28499999999999998</v>
      </c>
      <c r="O290" s="455">
        <f>'Key input_Biomass_MAgPIE'!M281</f>
        <v>0.28499999999999998</v>
      </c>
      <c r="P290" s="455">
        <f>'Key input_Biomass_MAgPIE'!N281</f>
        <v>0.28499999999999998</v>
      </c>
      <c r="Q290" s="455">
        <f>'Key input_Biomass_MAgPIE'!O281</f>
        <v>0.28499999999999998</v>
      </c>
      <c r="R290" s="455">
        <f>'Key input_Biomass_MAgPIE'!P281</f>
        <v>0.28499999999999998</v>
      </c>
      <c r="S290" s="455">
        <f>'Key input_Biomass_MAgPIE'!Q281</f>
        <v>0.28499999999999998</v>
      </c>
      <c r="T290" s="455">
        <f>'Key input_Biomass_MAgPIE'!R281</f>
        <v>0.28499999999999998</v>
      </c>
      <c r="U290" s="455">
        <f>'Key input_Biomass_MAgPIE'!S281</f>
        <v>0.28499999999999998</v>
      </c>
      <c r="V290" s="455">
        <f>'Key input_Biomass_MAgPIE'!T281</f>
        <v>0.28499999999999998</v>
      </c>
      <c r="W290" s="455">
        <f>'Key input_Biomass_MAgPIE'!U281</f>
        <v>0.28499999999999998</v>
      </c>
      <c r="X290" s="455">
        <f>'Key input_Biomass_MAgPIE'!V281</f>
        <v>0.28499999999999998</v>
      </c>
      <c r="Y290" s="455">
        <f>'Key input_Biomass_MAgPIE'!W281</f>
        <v>0.28499999999999998</v>
      </c>
      <c r="Z290" s="455">
        <f>'Key input_Biomass_MAgPIE'!X281</f>
        <v>0.28499999999999998</v>
      </c>
      <c r="AA290" s="455">
        <f>'Key input_Biomass_MAgPIE'!Y281</f>
        <v>0.28499999999999998</v>
      </c>
      <c r="AB290" s="455">
        <f>'Key input_Biomass_MAgPIE'!Z281</f>
        <v>0.28499999999999998</v>
      </c>
      <c r="AC290" s="455">
        <f>'Key input_Biomass_MAgPIE'!AA281</f>
        <v>0.28499999999999998</v>
      </c>
      <c r="AD290" s="455">
        <f>'Key input_Biomass_MAgPIE'!AB281</f>
        <v>0.28499999999999998</v>
      </c>
      <c r="AE290" s="455">
        <f>'Key input_Biomass_MAgPIE'!AC281</f>
        <v>0.28499999999999998</v>
      </c>
      <c r="AF290" s="455">
        <f>'Key input_Biomass_MAgPIE'!AD281</f>
        <v>0.28499999999999998</v>
      </c>
      <c r="AG290" s="455">
        <f>'Key input_Biomass_MAgPIE'!AE281</f>
        <v>0.28499999999999998</v>
      </c>
      <c r="AH290" s="455">
        <f>'Key input_Biomass_MAgPIE'!AF281</f>
        <v>0.28499999999999998</v>
      </c>
    </row>
    <row r="291" spans="1:34">
      <c r="A291" s="4" t="str">
        <f>AK17</f>
        <v>MIN-RSVBIOAGR1</v>
      </c>
      <c r="B291" s="4" t="str">
        <f>AL17</f>
        <v>UPS Reserves of Biomass - Agricultural residues - Reserve - Supply curve step 1</v>
      </c>
      <c r="C291" s="4" t="str">
        <f>Commodities!$C$17</f>
        <v>RSVBIOAGR</v>
      </c>
      <c r="D291" s="4" t="s">
        <v>675</v>
      </c>
      <c r="E291" s="4"/>
      <c r="F291" s="4">
        <v>2019</v>
      </c>
      <c r="G291" s="258">
        <f>'Key input_Biomass_MAgPIE'!E282</f>
        <v>0.41900000000000004</v>
      </c>
      <c r="H291" s="258">
        <f>'Key input_Biomass_MAgPIE'!F282</f>
        <v>0.41900000000000004</v>
      </c>
      <c r="I291" s="258">
        <f>'Key input_Biomass_MAgPIE'!G282</f>
        <v>0.41900000000000004</v>
      </c>
      <c r="J291" s="258">
        <f>'Key input_Biomass_MAgPIE'!H282</f>
        <v>0.41900000000000004</v>
      </c>
      <c r="K291" s="258">
        <f>'Key input_Biomass_MAgPIE'!I282</f>
        <v>0.41900000000000004</v>
      </c>
      <c r="L291" s="258">
        <f>'Key input_Biomass_MAgPIE'!J282</f>
        <v>0.41900000000000004</v>
      </c>
      <c r="M291" s="258">
        <f>'Key input_Biomass_MAgPIE'!K282</f>
        <v>0.41900000000000004</v>
      </c>
      <c r="N291" s="258">
        <f>'Key input_Biomass_MAgPIE'!L282</f>
        <v>0.41900000000000004</v>
      </c>
      <c r="O291" s="258">
        <f>'Key input_Biomass_MAgPIE'!M282</f>
        <v>0.41900000000000004</v>
      </c>
      <c r="P291" s="258">
        <f>'Key input_Biomass_MAgPIE'!N282</f>
        <v>0.41900000000000004</v>
      </c>
      <c r="Q291" s="258">
        <f>'Key input_Biomass_MAgPIE'!O282</f>
        <v>0.41900000000000004</v>
      </c>
      <c r="R291" s="258">
        <f>'Key input_Biomass_MAgPIE'!P282</f>
        <v>0.41900000000000004</v>
      </c>
      <c r="S291" s="258">
        <f>'Key input_Biomass_MAgPIE'!Q282</f>
        <v>0.41900000000000004</v>
      </c>
      <c r="T291" s="258">
        <f>'Key input_Biomass_MAgPIE'!R282</f>
        <v>0.41900000000000004</v>
      </c>
      <c r="U291" s="258">
        <f>'Key input_Biomass_MAgPIE'!S282</f>
        <v>0.41900000000000004</v>
      </c>
      <c r="V291" s="258">
        <f>'Key input_Biomass_MAgPIE'!T282</f>
        <v>0.41900000000000004</v>
      </c>
      <c r="W291" s="258">
        <f>'Key input_Biomass_MAgPIE'!U282</f>
        <v>0.41900000000000004</v>
      </c>
      <c r="X291" s="258">
        <f>'Key input_Biomass_MAgPIE'!V282</f>
        <v>0.41900000000000004</v>
      </c>
      <c r="Y291" s="258">
        <f>'Key input_Biomass_MAgPIE'!W282</f>
        <v>0.41900000000000004</v>
      </c>
      <c r="Z291" s="258">
        <f>'Key input_Biomass_MAgPIE'!X282</f>
        <v>0.41900000000000004</v>
      </c>
      <c r="AA291" s="258">
        <f>'Key input_Biomass_MAgPIE'!Y282</f>
        <v>0.41900000000000004</v>
      </c>
      <c r="AB291" s="258">
        <f>'Key input_Biomass_MAgPIE'!Z282</f>
        <v>0.41900000000000004</v>
      </c>
      <c r="AC291" s="258">
        <f>'Key input_Biomass_MAgPIE'!AA282</f>
        <v>0.41900000000000004</v>
      </c>
      <c r="AD291" s="258">
        <f>'Key input_Biomass_MAgPIE'!AB282</f>
        <v>0.41900000000000004</v>
      </c>
      <c r="AE291" s="258">
        <f>'Key input_Biomass_MAgPIE'!AC282</f>
        <v>0.41900000000000004</v>
      </c>
      <c r="AF291" s="258">
        <f>'Key input_Biomass_MAgPIE'!AD282</f>
        <v>0.41900000000000004</v>
      </c>
      <c r="AG291" s="258">
        <f>'Key input_Biomass_MAgPIE'!AE282</f>
        <v>0.41900000000000004</v>
      </c>
      <c r="AH291" s="258">
        <f>'Key input_Biomass_MAgPIE'!AF282</f>
        <v>0.41900000000000004</v>
      </c>
    </row>
    <row r="292" spans="1:34">
      <c r="A292" s="4" t="str">
        <f>A291</f>
        <v>MIN-RSVBIOAGR1</v>
      </c>
      <c r="B292" s="4" t="str">
        <f t="shared" ref="B292:B303" si="109">B291</f>
        <v>UPS Reserves of Biomass - Agricultural residues - Reserve - Supply curve step 1</v>
      </c>
      <c r="C292" s="4" t="str">
        <f t="shared" ref="C292:C303" si="110">C291</f>
        <v>RSVBIOAGR</v>
      </c>
      <c r="D292" s="4" t="str">
        <f t="shared" ref="D292:D303" si="111">D291</f>
        <v>ACT_COST</v>
      </c>
      <c r="E292" s="4"/>
      <c r="F292" s="4">
        <v>2020</v>
      </c>
      <c r="G292" s="456">
        <f>'Key input_Biomass_MAgPIE'!E283</f>
        <v>0.41900000000000004</v>
      </c>
      <c r="H292" s="456">
        <f>'Key input_Biomass_MAgPIE'!F283</f>
        <v>0.41900000000000004</v>
      </c>
      <c r="I292" s="456">
        <f>'Key input_Biomass_MAgPIE'!G283</f>
        <v>0.41900000000000004</v>
      </c>
      <c r="J292" s="456">
        <f>'Key input_Biomass_MAgPIE'!H283</f>
        <v>0.41900000000000004</v>
      </c>
      <c r="K292" s="456">
        <f>'Key input_Biomass_MAgPIE'!I283</f>
        <v>0.41900000000000004</v>
      </c>
      <c r="L292" s="456">
        <f>'Key input_Biomass_MAgPIE'!J283</f>
        <v>0.41900000000000004</v>
      </c>
      <c r="M292" s="456">
        <f>'Key input_Biomass_MAgPIE'!K283</f>
        <v>0.41900000000000004</v>
      </c>
      <c r="N292" s="456">
        <f>'Key input_Biomass_MAgPIE'!L283</f>
        <v>0.41900000000000004</v>
      </c>
      <c r="O292" s="456">
        <f>'Key input_Biomass_MAgPIE'!M283</f>
        <v>0.41900000000000004</v>
      </c>
      <c r="P292" s="456">
        <f>'Key input_Biomass_MAgPIE'!N283</f>
        <v>0.41900000000000004</v>
      </c>
      <c r="Q292" s="456">
        <f>'Key input_Biomass_MAgPIE'!O283</f>
        <v>0.41900000000000004</v>
      </c>
      <c r="R292" s="456">
        <f>'Key input_Biomass_MAgPIE'!P283</f>
        <v>0.41900000000000004</v>
      </c>
      <c r="S292" s="456">
        <f>'Key input_Biomass_MAgPIE'!Q283</f>
        <v>0.41900000000000004</v>
      </c>
      <c r="T292" s="456">
        <f>'Key input_Biomass_MAgPIE'!R283</f>
        <v>0.41900000000000004</v>
      </c>
      <c r="U292" s="456">
        <f>'Key input_Biomass_MAgPIE'!S283</f>
        <v>0.41900000000000004</v>
      </c>
      <c r="V292" s="456">
        <f>'Key input_Biomass_MAgPIE'!T283</f>
        <v>0.41900000000000004</v>
      </c>
      <c r="W292" s="456">
        <f>'Key input_Biomass_MAgPIE'!U283</f>
        <v>0.41900000000000004</v>
      </c>
      <c r="X292" s="456">
        <f>'Key input_Biomass_MAgPIE'!V283</f>
        <v>0.41900000000000004</v>
      </c>
      <c r="Y292" s="456">
        <f>'Key input_Biomass_MAgPIE'!W283</f>
        <v>0.41900000000000004</v>
      </c>
      <c r="Z292" s="456">
        <f>'Key input_Biomass_MAgPIE'!X283</f>
        <v>0.41900000000000004</v>
      </c>
      <c r="AA292" s="456">
        <f>'Key input_Biomass_MAgPIE'!Y283</f>
        <v>0.41900000000000004</v>
      </c>
      <c r="AB292" s="456">
        <f>'Key input_Biomass_MAgPIE'!Z283</f>
        <v>0.41900000000000004</v>
      </c>
      <c r="AC292" s="456">
        <f>'Key input_Biomass_MAgPIE'!AA283</f>
        <v>0.41900000000000004</v>
      </c>
      <c r="AD292" s="456">
        <f>'Key input_Biomass_MAgPIE'!AB283</f>
        <v>0.41900000000000004</v>
      </c>
      <c r="AE292" s="456">
        <f>'Key input_Biomass_MAgPIE'!AC283</f>
        <v>0.41900000000000004</v>
      </c>
      <c r="AF292" s="456">
        <f>'Key input_Biomass_MAgPIE'!AD283</f>
        <v>0.41900000000000004</v>
      </c>
      <c r="AG292" s="456">
        <f>'Key input_Biomass_MAgPIE'!AE283</f>
        <v>0.41900000000000004</v>
      </c>
      <c r="AH292" s="456">
        <f>'Key input_Biomass_MAgPIE'!AF283</f>
        <v>0.41900000000000004</v>
      </c>
    </row>
    <row r="293" spans="1:34">
      <c r="A293" s="4" t="str">
        <f t="shared" ref="A293:A303" si="112">A292</f>
        <v>MIN-RSVBIOAGR1</v>
      </c>
      <c r="B293" s="4" t="str">
        <f t="shared" si="109"/>
        <v>UPS Reserves of Biomass - Agricultural residues - Reserve - Supply curve step 1</v>
      </c>
      <c r="C293" s="4" t="str">
        <f t="shared" si="110"/>
        <v>RSVBIOAGR</v>
      </c>
      <c r="D293" s="4" t="str">
        <f t="shared" si="111"/>
        <v>ACT_COST</v>
      </c>
      <c r="E293" s="4"/>
      <c r="F293" s="4">
        <v>2025</v>
      </c>
      <c r="G293" s="456">
        <f>'Key input_Biomass_MAgPIE'!E284</f>
        <v>0.41900000000000004</v>
      </c>
      <c r="H293" s="456">
        <f>'Key input_Biomass_MAgPIE'!F284</f>
        <v>0.41900000000000004</v>
      </c>
      <c r="I293" s="456">
        <f>'Key input_Biomass_MAgPIE'!G284</f>
        <v>0.41900000000000004</v>
      </c>
      <c r="J293" s="456">
        <f>'Key input_Biomass_MAgPIE'!H284</f>
        <v>0.41900000000000004</v>
      </c>
      <c r="K293" s="456">
        <f>'Key input_Biomass_MAgPIE'!I284</f>
        <v>0.41900000000000004</v>
      </c>
      <c r="L293" s="456">
        <f>'Key input_Biomass_MAgPIE'!J284</f>
        <v>0.41900000000000004</v>
      </c>
      <c r="M293" s="456">
        <f>'Key input_Biomass_MAgPIE'!K284</f>
        <v>0.41900000000000004</v>
      </c>
      <c r="N293" s="456">
        <f>'Key input_Biomass_MAgPIE'!L284</f>
        <v>0.41900000000000004</v>
      </c>
      <c r="O293" s="456">
        <f>'Key input_Biomass_MAgPIE'!M284</f>
        <v>0.41900000000000004</v>
      </c>
      <c r="P293" s="456">
        <f>'Key input_Biomass_MAgPIE'!N284</f>
        <v>0.41900000000000004</v>
      </c>
      <c r="Q293" s="456">
        <f>'Key input_Biomass_MAgPIE'!O284</f>
        <v>0.41900000000000004</v>
      </c>
      <c r="R293" s="456">
        <f>'Key input_Biomass_MAgPIE'!P284</f>
        <v>0.41900000000000004</v>
      </c>
      <c r="S293" s="456">
        <f>'Key input_Biomass_MAgPIE'!Q284</f>
        <v>0.41900000000000004</v>
      </c>
      <c r="T293" s="456">
        <f>'Key input_Biomass_MAgPIE'!R284</f>
        <v>0.41900000000000004</v>
      </c>
      <c r="U293" s="456">
        <f>'Key input_Biomass_MAgPIE'!S284</f>
        <v>0.41900000000000004</v>
      </c>
      <c r="V293" s="456">
        <f>'Key input_Biomass_MAgPIE'!T284</f>
        <v>0.41900000000000004</v>
      </c>
      <c r="W293" s="456">
        <f>'Key input_Biomass_MAgPIE'!U284</f>
        <v>0.41900000000000004</v>
      </c>
      <c r="X293" s="456">
        <f>'Key input_Biomass_MAgPIE'!V284</f>
        <v>0.41900000000000004</v>
      </c>
      <c r="Y293" s="456">
        <f>'Key input_Biomass_MAgPIE'!W284</f>
        <v>0.41900000000000004</v>
      </c>
      <c r="Z293" s="456">
        <f>'Key input_Biomass_MAgPIE'!X284</f>
        <v>0.41900000000000004</v>
      </c>
      <c r="AA293" s="456">
        <f>'Key input_Biomass_MAgPIE'!Y284</f>
        <v>0.41900000000000004</v>
      </c>
      <c r="AB293" s="456">
        <f>'Key input_Biomass_MAgPIE'!Z284</f>
        <v>0.41900000000000004</v>
      </c>
      <c r="AC293" s="456">
        <f>'Key input_Biomass_MAgPIE'!AA284</f>
        <v>0.41900000000000004</v>
      </c>
      <c r="AD293" s="456">
        <f>'Key input_Biomass_MAgPIE'!AB284</f>
        <v>0.41900000000000004</v>
      </c>
      <c r="AE293" s="456">
        <f>'Key input_Biomass_MAgPIE'!AC284</f>
        <v>0.41900000000000004</v>
      </c>
      <c r="AF293" s="456">
        <f>'Key input_Biomass_MAgPIE'!AD284</f>
        <v>0.41900000000000004</v>
      </c>
      <c r="AG293" s="456">
        <f>'Key input_Biomass_MAgPIE'!AE284</f>
        <v>0.41900000000000004</v>
      </c>
      <c r="AH293" s="456">
        <f>'Key input_Biomass_MAgPIE'!AF284</f>
        <v>0.41900000000000004</v>
      </c>
    </row>
    <row r="294" spans="1:34">
      <c r="A294" s="4" t="str">
        <f t="shared" si="112"/>
        <v>MIN-RSVBIOAGR1</v>
      </c>
      <c r="B294" s="4" t="str">
        <f t="shared" si="109"/>
        <v>UPS Reserves of Biomass - Agricultural residues - Reserve - Supply curve step 1</v>
      </c>
      <c r="C294" s="4" t="str">
        <f t="shared" si="110"/>
        <v>RSVBIOAGR</v>
      </c>
      <c r="D294" s="4" t="str">
        <f t="shared" si="111"/>
        <v>ACT_COST</v>
      </c>
      <c r="E294" s="4"/>
      <c r="F294" s="4">
        <v>2030</v>
      </c>
      <c r="G294" s="456">
        <f>'Key input_Biomass_MAgPIE'!E285</f>
        <v>0.41900000000000004</v>
      </c>
      <c r="H294" s="456">
        <f>'Key input_Biomass_MAgPIE'!F285</f>
        <v>0.41900000000000004</v>
      </c>
      <c r="I294" s="456">
        <f>'Key input_Biomass_MAgPIE'!G285</f>
        <v>0.41900000000000004</v>
      </c>
      <c r="J294" s="456">
        <f>'Key input_Biomass_MAgPIE'!H285</f>
        <v>0.41900000000000004</v>
      </c>
      <c r="K294" s="456">
        <f>'Key input_Biomass_MAgPIE'!I285</f>
        <v>0.41900000000000004</v>
      </c>
      <c r="L294" s="456">
        <f>'Key input_Biomass_MAgPIE'!J285</f>
        <v>0.41900000000000004</v>
      </c>
      <c r="M294" s="456">
        <f>'Key input_Biomass_MAgPIE'!K285</f>
        <v>0.41900000000000004</v>
      </c>
      <c r="N294" s="456">
        <f>'Key input_Biomass_MAgPIE'!L285</f>
        <v>0.41900000000000004</v>
      </c>
      <c r="O294" s="456">
        <f>'Key input_Biomass_MAgPIE'!M285</f>
        <v>0.41900000000000004</v>
      </c>
      <c r="P294" s="456">
        <f>'Key input_Biomass_MAgPIE'!N285</f>
        <v>0.41900000000000004</v>
      </c>
      <c r="Q294" s="456">
        <f>'Key input_Biomass_MAgPIE'!O285</f>
        <v>0.41900000000000004</v>
      </c>
      <c r="R294" s="456">
        <f>'Key input_Biomass_MAgPIE'!P285</f>
        <v>0.41900000000000004</v>
      </c>
      <c r="S294" s="456">
        <f>'Key input_Biomass_MAgPIE'!Q285</f>
        <v>0.41900000000000004</v>
      </c>
      <c r="T294" s="456">
        <f>'Key input_Biomass_MAgPIE'!R285</f>
        <v>0.41900000000000004</v>
      </c>
      <c r="U294" s="456">
        <f>'Key input_Biomass_MAgPIE'!S285</f>
        <v>0.41900000000000004</v>
      </c>
      <c r="V294" s="456">
        <f>'Key input_Biomass_MAgPIE'!T285</f>
        <v>0.41900000000000004</v>
      </c>
      <c r="W294" s="456">
        <f>'Key input_Biomass_MAgPIE'!U285</f>
        <v>0.41900000000000004</v>
      </c>
      <c r="X294" s="456">
        <f>'Key input_Biomass_MAgPIE'!V285</f>
        <v>0.41900000000000004</v>
      </c>
      <c r="Y294" s="456">
        <f>'Key input_Biomass_MAgPIE'!W285</f>
        <v>0.41900000000000004</v>
      </c>
      <c r="Z294" s="456">
        <f>'Key input_Biomass_MAgPIE'!X285</f>
        <v>0.41900000000000004</v>
      </c>
      <c r="AA294" s="456">
        <f>'Key input_Biomass_MAgPIE'!Y285</f>
        <v>0.41900000000000004</v>
      </c>
      <c r="AB294" s="456">
        <f>'Key input_Biomass_MAgPIE'!Z285</f>
        <v>0.41900000000000004</v>
      </c>
      <c r="AC294" s="456">
        <f>'Key input_Biomass_MAgPIE'!AA285</f>
        <v>0.41900000000000004</v>
      </c>
      <c r="AD294" s="456">
        <f>'Key input_Biomass_MAgPIE'!AB285</f>
        <v>0.41900000000000004</v>
      </c>
      <c r="AE294" s="456">
        <f>'Key input_Biomass_MAgPIE'!AC285</f>
        <v>0.41900000000000004</v>
      </c>
      <c r="AF294" s="456">
        <f>'Key input_Biomass_MAgPIE'!AD285</f>
        <v>0.41900000000000004</v>
      </c>
      <c r="AG294" s="456">
        <f>'Key input_Biomass_MAgPIE'!AE285</f>
        <v>0.41900000000000004</v>
      </c>
      <c r="AH294" s="456">
        <f>'Key input_Biomass_MAgPIE'!AF285</f>
        <v>0.41900000000000004</v>
      </c>
    </row>
    <row r="295" spans="1:34">
      <c r="A295" s="4" t="str">
        <f t="shared" si="112"/>
        <v>MIN-RSVBIOAGR1</v>
      </c>
      <c r="B295" s="4" t="str">
        <f t="shared" si="109"/>
        <v>UPS Reserves of Biomass - Agricultural residues - Reserve - Supply curve step 1</v>
      </c>
      <c r="C295" s="4" t="str">
        <f t="shared" si="110"/>
        <v>RSVBIOAGR</v>
      </c>
      <c r="D295" s="4" t="str">
        <f t="shared" si="111"/>
        <v>ACT_COST</v>
      </c>
      <c r="E295" s="4"/>
      <c r="F295" s="4">
        <v>2035</v>
      </c>
      <c r="G295" s="456">
        <f>'Key input_Biomass_MAgPIE'!E286</f>
        <v>0.41900000000000004</v>
      </c>
      <c r="H295" s="456">
        <f>'Key input_Biomass_MAgPIE'!F286</f>
        <v>0.41900000000000004</v>
      </c>
      <c r="I295" s="456">
        <f>'Key input_Biomass_MAgPIE'!G286</f>
        <v>0.41900000000000004</v>
      </c>
      <c r="J295" s="456">
        <f>'Key input_Biomass_MAgPIE'!H286</f>
        <v>0.41900000000000004</v>
      </c>
      <c r="K295" s="456">
        <f>'Key input_Biomass_MAgPIE'!I286</f>
        <v>0.41900000000000004</v>
      </c>
      <c r="L295" s="456">
        <f>'Key input_Biomass_MAgPIE'!J286</f>
        <v>0.41900000000000004</v>
      </c>
      <c r="M295" s="456">
        <f>'Key input_Biomass_MAgPIE'!K286</f>
        <v>0.41900000000000004</v>
      </c>
      <c r="N295" s="456">
        <f>'Key input_Biomass_MAgPIE'!L286</f>
        <v>0.41900000000000004</v>
      </c>
      <c r="O295" s="456">
        <f>'Key input_Biomass_MAgPIE'!M286</f>
        <v>0.41900000000000004</v>
      </c>
      <c r="P295" s="456">
        <f>'Key input_Biomass_MAgPIE'!N286</f>
        <v>0.41900000000000004</v>
      </c>
      <c r="Q295" s="456">
        <f>'Key input_Biomass_MAgPIE'!O286</f>
        <v>0.41900000000000004</v>
      </c>
      <c r="R295" s="456">
        <f>'Key input_Biomass_MAgPIE'!P286</f>
        <v>0.41900000000000004</v>
      </c>
      <c r="S295" s="456">
        <f>'Key input_Biomass_MAgPIE'!Q286</f>
        <v>0.41900000000000004</v>
      </c>
      <c r="T295" s="456">
        <f>'Key input_Biomass_MAgPIE'!R286</f>
        <v>0.41900000000000004</v>
      </c>
      <c r="U295" s="456">
        <f>'Key input_Biomass_MAgPIE'!S286</f>
        <v>0.41900000000000004</v>
      </c>
      <c r="V295" s="456">
        <f>'Key input_Biomass_MAgPIE'!T286</f>
        <v>0.41900000000000004</v>
      </c>
      <c r="W295" s="456">
        <f>'Key input_Biomass_MAgPIE'!U286</f>
        <v>0.41900000000000004</v>
      </c>
      <c r="X295" s="456">
        <f>'Key input_Biomass_MAgPIE'!V286</f>
        <v>0.41900000000000004</v>
      </c>
      <c r="Y295" s="456">
        <f>'Key input_Biomass_MAgPIE'!W286</f>
        <v>0.41900000000000004</v>
      </c>
      <c r="Z295" s="456">
        <f>'Key input_Biomass_MAgPIE'!X286</f>
        <v>0.41900000000000004</v>
      </c>
      <c r="AA295" s="456">
        <f>'Key input_Biomass_MAgPIE'!Y286</f>
        <v>0.41900000000000004</v>
      </c>
      <c r="AB295" s="456">
        <f>'Key input_Biomass_MAgPIE'!Z286</f>
        <v>0.41900000000000004</v>
      </c>
      <c r="AC295" s="456">
        <f>'Key input_Biomass_MAgPIE'!AA286</f>
        <v>0.41900000000000004</v>
      </c>
      <c r="AD295" s="456">
        <f>'Key input_Biomass_MAgPIE'!AB286</f>
        <v>0.41900000000000004</v>
      </c>
      <c r="AE295" s="456">
        <f>'Key input_Biomass_MAgPIE'!AC286</f>
        <v>0.41900000000000004</v>
      </c>
      <c r="AF295" s="456">
        <f>'Key input_Biomass_MAgPIE'!AD286</f>
        <v>0.41900000000000004</v>
      </c>
      <c r="AG295" s="456">
        <f>'Key input_Biomass_MAgPIE'!AE286</f>
        <v>0.41900000000000004</v>
      </c>
      <c r="AH295" s="456">
        <f>'Key input_Biomass_MAgPIE'!AF286</f>
        <v>0.41900000000000004</v>
      </c>
    </row>
    <row r="296" spans="1:34">
      <c r="A296" s="4" t="str">
        <f t="shared" si="112"/>
        <v>MIN-RSVBIOAGR1</v>
      </c>
      <c r="B296" s="4" t="str">
        <f t="shared" si="109"/>
        <v>UPS Reserves of Biomass - Agricultural residues - Reserve - Supply curve step 1</v>
      </c>
      <c r="C296" s="4" t="str">
        <f t="shared" si="110"/>
        <v>RSVBIOAGR</v>
      </c>
      <c r="D296" s="4" t="str">
        <f t="shared" si="111"/>
        <v>ACT_COST</v>
      </c>
      <c r="E296" s="4"/>
      <c r="F296" s="4">
        <v>2040</v>
      </c>
      <c r="G296" s="456">
        <f>'Key input_Biomass_MAgPIE'!E287</f>
        <v>0.41900000000000004</v>
      </c>
      <c r="H296" s="456">
        <f>'Key input_Biomass_MAgPIE'!F287</f>
        <v>0.41900000000000004</v>
      </c>
      <c r="I296" s="456">
        <f>'Key input_Biomass_MAgPIE'!G287</f>
        <v>0.41900000000000004</v>
      </c>
      <c r="J296" s="456">
        <f>'Key input_Biomass_MAgPIE'!H287</f>
        <v>0.41900000000000004</v>
      </c>
      <c r="K296" s="456">
        <f>'Key input_Biomass_MAgPIE'!I287</f>
        <v>0.41900000000000004</v>
      </c>
      <c r="L296" s="456">
        <f>'Key input_Biomass_MAgPIE'!J287</f>
        <v>0.41900000000000004</v>
      </c>
      <c r="M296" s="456">
        <f>'Key input_Biomass_MAgPIE'!K287</f>
        <v>0.41900000000000004</v>
      </c>
      <c r="N296" s="456">
        <f>'Key input_Biomass_MAgPIE'!L287</f>
        <v>0.41900000000000004</v>
      </c>
      <c r="O296" s="456">
        <f>'Key input_Biomass_MAgPIE'!M287</f>
        <v>0.41900000000000004</v>
      </c>
      <c r="P296" s="456">
        <f>'Key input_Biomass_MAgPIE'!N287</f>
        <v>0.41900000000000004</v>
      </c>
      <c r="Q296" s="456">
        <f>'Key input_Biomass_MAgPIE'!O287</f>
        <v>0.41900000000000004</v>
      </c>
      <c r="R296" s="456">
        <f>'Key input_Biomass_MAgPIE'!P287</f>
        <v>0.41900000000000004</v>
      </c>
      <c r="S296" s="456">
        <f>'Key input_Biomass_MAgPIE'!Q287</f>
        <v>0.41900000000000004</v>
      </c>
      <c r="T296" s="456">
        <f>'Key input_Biomass_MAgPIE'!R287</f>
        <v>0.41900000000000004</v>
      </c>
      <c r="U296" s="456">
        <f>'Key input_Biomass_MAgPIE'!S287</f>
        <v>0.41900000000000004</v>
      </c>
      <c r="V296" s="456">
        <f>'Key input_Biomass_MAgPIE'!T287</f>
        <v>0.41900000000000004</v>
      </c>
      <c r="W296" s="456">
        <f>'Key input_Biomass_MAgPIE'!U287</f>
        <v>0.41900000000000004</v>
      </c>
      <c r="X296" s="456">
        <f>'Key input_Biomass_MAgPIE'!V287</f>
        <v>0.41900000000000004</v>
      </c>
      <c r="Y296" s="456">
        <f>'Key input_Biomass_MAgPIE'!W287</f>
        <v>0.41900000000000004</v>
      </c>
      <c r="Z296" s="456">
        <f>'Key input_Biomass_MAgPIE'!X287</f>
        <v>0.41900000000000004</v>
      </c>
      <c r="AA296" s="456">
        <f>'Key input_Biomass_MAgPIE'!Y287</f>
        <v>0.41900000000000004</v>
      </c>
      <c r="AB296" s="456">
        <f>'Key input_Biomass_MAgPIE'!Z287</f>
        <v>0.41900000000000004</v>
      </c>
      <c r="AC296" s="456">
        <f>'Key input_Biomass_MAgPIE'!AA287</f>
        <v>0.41900000000000004</v>
      </c>
      <c r="AD296" s="456">
        <f>'Key input_Biomass_MAgPIE'!AB287</f>
        <v>0.41900000000000004</v>
      </c>
      <c r="AE296" s="456">
        <f>'Key input_Biomass_MAgPIE'!AC287</f>
        <v>0.41900000000000004</v>
      </c>
      <c r="AF296" s="456">
        <f>'Key input_Biomass_MAgPIE'!AD287</f>
        <v>0.41900000000000004</v>
      </c>
      <c r="AG296" s="456">
        <f>'Key input_Biomass_MAgPIE'!AE287</f>
        <v>0.41900000000000004</v>
      </c>
      <c r="AH296" s="456">
        <f>'Key input_Biomass_MAgPIE'!AF287</f>
        <v>0.41900000000000004</v>
      </c>
    </row>
    <row r="297" spans="1:34">
      <c r="A297" s="4" t="str">
        <f t="shared" si="112"/>
        <v>MIN-RSVBIOAGR1</v>
      </c>
      <c r="B297" s="4" t="str">
        <f t="shared" si="109"/>
        <v>UPS Reserves of Biomass - Agricultural residues - Reserve - Supply curve step 1</v>
      </c>
      <c r="C297" s="4" t="str">
        <f t="shared" si="110"/>
        <v>RSVBIOAGR</v>
      </c>
      <c r="D297" s="4" t="str">
        <f t="shared" si="111"/>
        <v>ACT_COST</v>
      </c>
      <c r="E297" s="4"/>
      <c r="F297" s="4">
        <v>2045</v>
      </c>
      <c r="G297" s="456">
        <f>'Key input_Biomass_MAgPIE'!E288</f>
        <v>0.41900000000000004</v>
      </c>
      <c r="H297" s="456">
        <f>'Key input_Biomass_MAgPIE'!F288</f>
        <v>0.41900000000000004</v>
      </c>
      <c r="I297" s="456">
        <f>'Key input_Biomass_MAgPIE'!G288</f>
        <v>0.41900000000000004</v>
      </c>
      <c r="J297" s="456">
        <f>'Key input_Biomass_MAgPIE'!H288</f>
        <v>0.41900000000000004</v>
      </c>
      <c r="K297" s="456">
        <f>'Key input_Biomass_MAgPIE'!I288</f>
        <v>0.41900000000000004</v>
      </c>
      <c r="L297" s="456">
        <f>'Key input_Biomass_MAgPIE'!J288</f>
        <v>0.41900000000000004</v>
      </c>
      <c r="M297" s="456">
        <f>'Key input_Biomass_MAgPIE'!K288</f>
        <v>0.41900000000000004</v>
      </c>
      <c r="N297" s="456">
        <f>'Key input_Biomass_MAgPIE'!L288</f>
        <v>0.41900000000000004</v>
      </c>
      <c r="O297" s="456">
        <f>'Key input_Biomass_MAgPIE'!M288</f>
        <v>0.41900000000000004</v>
      </c>
      <c r="P297" s="456">
        <f>'Key input_Biomass_MAgPIE'!N288</f>
        <v>0.41900000000000004</v>
      </c>
      <c r="Q297" s="456">
        <f>'Key input_Biomass_MAgPIE'!O288</f>
        <v>0.41900000000000004</v>
      </c>
      <c r="R297" s="456">
        <f>'Key input_Biomass_MAgPIE'!P288</f>
        <v>0.41900000000000004</v>
      </c>
      <c r="S297" s="456">
        <f>'Key input_Biomass_MAgPIE'!Q288</f>
        <v>0.41900000000000004</v>
      </c>
      <c r="T297" s="456">
        <f>'Key input_Biomass_MAgPIE'!R288</f>
        <v>0.41900000000000004</v>
      </c>
      <c r="U297" s="456">
        <f>'Key input_Biomass_MAgPIE'!S288</f>
        <v>0.41900000000000004</v>
      </c>
      <c r="V297" s="456">
        <f>'Key input_Biomass_MAgPIE'!T288</f>
        <v>0.41900000000000004</v>
      </c>
      <c r="W297" s="456">
        <f>'Key input_Biomass_MAgPIE'!U288</f>
        <v>0.41900000000000004</v>
      </c>
      <c r="X297" s="456">
        <f>'Key input_Biomass_MAgPIE'!V288</f>
        <v>0.41900000000000004</v>
      </c>
      <c r="Y297" s="456">
        <f>'Key input_Biomass_MAgPIE'!W288</f>
        <v>0.41900000000000004</v>
      </c>
      <c r="Z297" s="456">
        <f>'Key input_Biomass_MAgPIE'!X288</f>
        <v>0.41900000000000004</v>
      </c>
      <c r="AA297" s="456">
        <f>'Key input_Biomass_MAgPIE'!Y288</f>
        <v>0.41900000000000004</v>
      </c>
      <c r="AB297" s="456">
        <f>'Key input_Biomass_MAgPIE'!Z288</f>
        <v>0.41900000000000004</v>
      </c>
      <c r="AC297" s="456">
        <f>'Key input_Biomass_MAgPIE'!AA288</f>
        <v>0.41900000000000004</v>
      </c>
      <c r="AD297" s="456">
        <f>'Key input_Biomass_MAgPIE'!AB288</f>
        <v>0.41900000000000004</v>
      </c>
      <c r="AE297" s="456">
        <f>'Key input_Biomass_MAgPIE'!AC288</f>
        <v>0.41900000000000004</v>
      </c>
      <c r="AF297" s="456">
        <f>'Key input_Biomass_MAgPIE'!AD288</f>
        <v>0.41900000000000004</v>
      </c>
      <c r="AG297" s="456">
        <f>'Key input_Biomass_MAgPIE'!AE288</f>
        <v>0.41900000000000004</v>
      </c>
      <c r="AH297" s="456">
        <f>'Key input_Biomass_MAgPIE'!AF288</f>
        <v>0.41900000000000004</v>
      </c>
    </row>
    <row r="298" spans="1:34">
      <c r="A298" s="4" t="str">
        <f t="shared" si="112"/>
        <v>MIN-RSVBIOAGR1</v>
      </c>
      <c r="B298" s="4" t="str">
        <f t="shared" si="109"/>
        <v>UPS Reserves of Biomass - Agricultural residues - Reserve - Supply curve step 1</v>
      </c>
      <c r="C298" s="4" t="str">
        <f t="shared" si="110"/>
        <v>RSVBIOAGR</v>
      </c>
      <c r="D298" s="4" t="str">
        <f t="shared" si="111"/>
        <v>ACT_COST</v>
      </c>
      <c r="E298" s="4"/>
      <c r="F298" s="4">
        <v>2050</v>
      </c>
      <c r="G298" s="456">
        <f>'Key input_Biomass_MAgPIE'!E289</f>
        <v>0.41900000000000004</v>
      </c>
      <c r="H298" s="456">
        <f>'Key input_Biomass_MAgPIE'!F289</f>
        <v>0.41900000000000004</v>
      </c>
      <c r="I298" s="456">
        <f>'Key input_Biomass_MAgPIE'!G289</f>
        <v>0.41900000000000004</v>
      </c>
      <c r="J298" s="456">
        <f>'Key input_Biomass_MAgPIE'!H289</f>
        <v>0.41900000000000004</v>
      </c>
      <c r="K298" s="456">
        <f>'Key input_Biomass_MAgPIE'!I289</f>
        <v>0.41900000000000004</v>
      </c>
      <c r="L298" s="456">
        <f>'Key input_Biomass_MAgPIE'!J289</f>
        <v>0.41900000000000004</v>
      </c>
      <c r="M298" s="456">
        <f>'Key input_Biomass_MAgPIE'!K289</f>
        <v>0.41900000000000004</v>
      </c>
      <c r="N298" s="456">
        <f>'Key input_Biomass_MAgPIE'!L289</f>
        <v>0.41900000000000004</v>
      </c>
      <c r="O298" s="456">
        <f>'Key input_Biomass_MAgPIE'!M289</f>
        <v>0.41900000000000004</v>
      </c>
      <c r="P298" s="456">
        <f>'Key input_Biomass_MAgPIE'!N289</f>
        <v>0.41900000000000004</v>
      </c>
      <c r="Q298" s="456">
        <f>'Key input_Biomass_MAgPIE'!O289</f>
        <v>0.41900000000000004</v>
      </c>
      <c r="R298" s="456">
        <f>'Key input_Biomass_MAgPIE'!P289</f>
        <v>0.41900000000000004</v>
      </c>
      <c r="S298" s="456">
        <f>'Key input_Biomass_MAgPIE'!Q289</f>
        <v>0.41900000000000004</v>
      </c>
      <c r="T298" s="456">
        <f>'Key input_Biomass_MAgPIE'!R289</f>
        <v>0.41900000000000004</v>
      </c>
      <c r="U298" s="456">
        <f>'Key input_Biomass_MAgPIE'!S289</f>
        <v>0.41900000000000004</v>
      </c>
      <c r="V298" s="456">
        <f>'Key input_Biomass_MAgPIE'!T289</f>
        <v>0.41900000000000004</v>
      </c>
      <c r="W298" s="456">
        <f>'Key input_Biomass_MAgPIE'!U289</f>
        <v>0.41900000000000004</v>
      </c>
      <c r="X298" s="456">
        <f>'Key input_Biomass_MAgPIE'!V289</f>
        <v>0.41900000000000004</v>
      </c>
      <c r="Y298" s="456">
        <f>'Key input_Biomass_MAgPIE'!W289</f>
        <v>0.41900000000000004</v>
      </c>
      <c r="Z298" s="456">
        <f>'Key input_Biomass_MAgPIE'!X289</f>
        <v>0.41900000000000004</v>
      </c>
      <c r="AA298" s="456">
        <f>'Key input_Biomass_MAgPIE'!Y289</f>
        <v>0.41900000000000004</v>
      </c>
      <c r="AB298" s="456">
        <f>'Key input_Biomass_MAgPIE'!Z289</f>
        <v>0.41900000000000004</v>
      </c>
      <c r="AC298" s="456">
        <f>'Key input_Biomass_MAgPIE'!AA289</f>
        <v>0.41900000000000004</v>
      </c>
      <c r="AD298" s="456">
        <f>'Key input_Biomass_MAgPIE'!AB289</f>
        <v>0.41900000000000004</v>
      </c>
      <c r="AE298" s="456">
        <f>'Key input_Biomass_MAgPIE'!AC289</f>
        <v>0.41900000000000004</v>
      </c>
      <c r="AF298" s="456">
        <f>'Key input_Biomass_MAgPIE'!AD289</f>
        <v>0.41900000000000004</v>
      </c>
      <c r="AG298" s="456">
        <f>'Key input_Biomass_MAgPIE'!AE289</f>
        <v>0.41900000000000004</v>
      </c>
      <c r="AH298" s="456">
        <f>'Key input_Biomass_MAgPIE'!AF289</f>
        <v>0.41900000000000004</v>
      </c>
    </row>
    <row r="299" spans="1:34">
      <c r="A299" s="4" t="str">
        <f t="shared" si="112"/>
        <v>MIN-RSVBIOAGR1</v>
      </c>
      <c r="B299" s="4" t="str">
        <f t="shared" si="109"/>
        <v>UPS Reserves of Biomass - Agricultural residues - Reserve - Supply curve step 1</v>
      </c>
      <c r="C299" s="4" t="str">
        <f t="shared" si="110"/>
        <v>RSVBIOAGR</v>
      </c>
      <c r="D299" s="4" t="str">
        <f t="shared" si="111"/>
        <v>ACT_COST</v>
      </c>
      <c r="E299" s="4"/>
      <c r="F299" s="4">
        <v>2060</v>
      </c>
      <c r="G299" s="456">
        <f>'Key input_Biomass_MAgPIE'!E290</f>
        <v>0.41900000000000004</v>
      </c>
      <c r="H299" s="456">
        <f>'Key input_Biomass_MAgPIE'!F290</f>
        <v>0.41900000000000004</v>
      </c>
      <c r="I299" s="456">
        <f>'Key input_Biomass_MAgPIE'!G290</f>
        <v>0.41900000000000004</v>
      </c>
      <c r="J299" s="456">
        <f>'Key input_Biomass_MAgPIE'!H290</f>
        <v>0.41900000000000004</v>
      </c>
      <c r="K299" s="456">
        <f>'Key input_Biomass_MAgPIE'!I290</f>
        <v>0.41900000000000004</v>
      </c>
      <c r="L299" s="456">
        <f>'Key input_Biomass_MAgPIE'!J290</f>
        <v>0.41900000000000004</v>
      </c>
      <c r="M299" s="456">
        <f>'Key input_Biomass_MAgPIE'!K290</f>
        <v>0.41900000000000004</v>
      </c>
      <c r="N299" s="456">
        <f>'Key input_Biomass_MAgPIE'!L290</f>
        <v>0.41900000000000004</v>
      </c>
      <c r="O299" s="456">
        <f>'Key input_Biomass_MAgPIE'!M290</f>
        <v>0.41900000000000004</v>
      </c>
      <c r="P299" s="456">
        <f>'Key input_Biomass_MAgPIE'!N290</f>
        <v>0.41900000000000004</v>
      </c>
      <c r="Q299" s="456">
        <f>'Key input_Biomass_MAgPIE'!O290</f>
        <v>0.41900000000000004</v>
      </c>
      <c r="R299" s="456">
        <f>'Key input_Biomass_MAgPIE'!P290</f>
        <v>0.41900000000000004</v>
      </c>
      <c r="S299" s="456">
        <f>'Key input_Biomass_MAgPIE'!Q290</f>
        <v>0.41900000000000004</v>
      </c>
      <c r="T299" s="456">
        <f>'Key input_Biomass_MAgPIE'!R290</f>
        <v>0.41900000000000004</v>
      </c>
      <c r="U299" s="456">
        <f>'Key input_Biomass_MAgPIE'!S290</f>
        <v>0.41900000000000004</v>
      </c>
      <c r="V299" s="456">
        <f>'Key input_Biomass_MAgPIE'!T290</f>
        <v>0.41900000000000004</v>
      </c>
      <c r="W299" s="456">
        <f>'Key input_Biomass_MAgPIE'!U290</f>
        <v>0.41900000000000004</v>
      </c>
      <c r="X299" s="456">
        <f>'Key input_Biomass_MAgPIE'!V290</f>
        <v>0.41900000000000004</v>
      </c>
      <c r="Y299" s="456">
        <f>'Key input_Biomass_MAgPIE'!W290</f>
        <v>0.41900000000000004</v>
      </c>
      <c r="Z299" s="456">
        <f>'Key input_Biomass_MAgPIE'!X290</f>
        <v>0.41900000000000004</v>
      </c>
      <c r="AA299" s="456">
        <f>'Key input_Biomass_MAgPIE'!Y290</f>
        <v>0.41900000000000004</v>
      </c>
      <c r="AB299" s="456">
        <f>'Key input_Biomass_MAgPIE'!Z290</f>
        <v>0.41900000000000004</v>
      </c>
      <c r="AC299" s="456">
        <f>'Key input_Biomass_MAgPIE'!AA290</f>
        <v>0.41900000000000004</v>
      </c>
      <c r="AD299" s="456">
        <f>'Key input_Biomass_MAgPIE'!AB290</f>
        <v>0.41900000000000004</v>
      </c>
      <c r="AE299" s="456">
        <f>'Key input_Biomass_MAgPIE'!AC290</f>
        <v>0.41900000000000004</v>
      </c>
      <c r="AF299" s="456">
        <f>'Key input_Biomass_MAgPIE'!AD290</f>
        <v>0.41900000000000004</v>
      </c>
      <c r="AG299" s="456">
        <f>'Key input_Biomass_MAgPIE'!AE290</f>
        <v>0.41900000000000004</v>
      </c>
      <c r="AH299" s="456">
        <f>'Key input_Biomass_MAgPIE'!AF290</f>
        <v>0.41900000000000004</v>
      </c>
    </row>
    <row r="300" spans="1:34">
      <c r="A300" s="4" t="str">
        <f t="shared" si="112"/>
        <v>MIN-RSVBIOAGR1</v>
      </c>
      <c r="B300" s="4" t="str">
        <f t="shared" si="109"/>
        <v>UPS Reserves of Biomass - Agricultural residues - Reserve - Supply curve step 1</v>
      </c>
      <c r="C300" s="4" t="str">
        <f t="shared" si="110"/>
        <v>RSVBIOAGR</v>
      </c>
      <c r="D300" s="4" t="str">
        <f t="shared" si="111"/>
        <v>ACT_COST</v>
      </c>
      <c r="E300" s="4"/>
      <c r="F300" s="4">
        <v>2070</v>
      </c>
      <c r="G300" s="456">
        <f>'Key input_Biomass_MAgPIE'!E291</f>
        <v>0.41900000000000004</v>
      </c>
      <c r="H300" s="456">
        <f>'Key input_Biomass_MAgPIE'!F291</f>
        <v>0.41900000000000004</v>
      </c>
      <c r="I300" s="456">
        <f>'Key input_Biomass_MAgPIE'!G291</f>
        <v>0.41900000000000004</v>
      </c>
      <c r="J300" s="456">
        <f>'Key input_Biomass_MAgPIE'!H291</f>
        <v>0.41900000000000004</v>
      </c>
      <c r="K300" s="456">
        <f>'Key input_Biomass_MAgPIE'!I291</f>
        <v>0.41900000000000004</v>
      </c>
      <c r="L300" s="456">
        <f>'Key input_Biomass_MAgPIE'!J291</f>
        <v>0.41900000000000004</v>
      </c>
      <c r="M300" s="456">
        <f>'Key input_Biomass_MAgPIE'!K291</f>
        <v>0.41900000000000004</v>
      </c>
      <c r="N300" s="456">
        <f>'Key input_Biomass_MAgPIE'!L291</f>
        <v>0.41900000000000004</v>
      </c>
      <c r="O300" s="456">
        <f>'Key input_Biomass_MAgPIE'!M291</f>
        <v>0.41900000000000004</v>
      </c>
      <c r="P300" s="456">
        <f>'Key input_Biomass_MAgPIE'!N291</f>
        <v>0.41900000000000004</v>
      </c>
      <c r="Q300" s="456">
        <f>'Key input_Biomass_MAgPIE'!O291</f>
        <v>0.41900000000000004</v>
      </c>
      <c r="R300" s="456">
        <f>'Key input_Biomass_MAgPIE'!P291</f>
        <v>0.41900000000000004</v>
      </c>
      <c r="S300" s="456">
        <f>'Key input_Biomass_MAgPIE'!Q291</f>
        <v>0.41900000000000004</v>
      </c>
      <c r="T300" s="456">
        <f>'Key input_Biomass_MAgPIE'!R291</f>
        <v>0.41900000000000004</v>
      </c>
      <c r="U300" s="456">
        <f>'Key input_Biomass_MAgPIE'!S291</f>
        <v>0.41900000000000004</v>
      </c>
      <c r="V300" s="456">
        <f>'Key input_Biomass_MAgPIE'!T291</f>
        <v>0.41900000000000004</v>
      </c>
      <c r="W300" s="456">
        <f>'Key input_Biomass_MAgPIE'!U291</f>
        <v>0.41900000000000004</v>
      </c>
      <c r="X300" s="456">
        <f>'Key input_Biomass_MAgPIE'!V291</f>
        <v>0.41900000000000004</v>
      </c>
      <c r="Y300" s="456">
        <f>'Key input_Biomass_MAgPIE'!W291</f>
        <v>0.41900000000000004</v>
      </c>
      <c r="Z300" s="456">
        <f>'Key input_Biomass_MAgPIE'!X291</f>
        <v>0.41900000000000004</v>
      </c>
      <c r="AA300" s="456">
        <f>'Key input_Biomass_MAgPIE'!Y291</f>
        <v>0.41900000000000004</v>
      </c>
      <c r="AB300" s="456">
        <f>'Key input_Biomass_MAgPIE'!Z291</f>
        <v>0.41900000000000004</v>
      </c>
      <c r="AC300" s="456">
        <f>'Key input_Biomass_MAgPIE'!AA291</f>
        <v>0.41900000000000004</v>
      </c>
      <c r="AD300" s="456">
        <f>'Key input_Biomass_MAgPIE'!AB291</f>
        <v>0.41900000000000004</v>
      </c>
      <c r="AE300" s="456">
        <f>'Key input_Biomass_MAgPIE'!AC291</f>
        <v>0.41900000000000004</v>
      </c>
      <c r="AF300" s="456">
        <f>'Key input_Biomass_MAgPIE'!AD291</f>
        <v>0.41900000000000004</v>
      </c>
      <c r="AG300" s="456">
        <f>'Key input_Biomass_MAgPIE'!AE291</f>
        <v>0.41900000000000004</v>
      </c>
      <c r="AH300" s="456">
        <f>'Key input_Biomass_MAgPIE'!AF291</f>
        <v>0.41900000000000004</v>
      </c>
    </row>
    <row r="301" spans="1:34">
      <c r="A301" s="4" t="str">
        <f t="shared" si="112"/>
        <v>MIN-RSVBIOAGR1</v>
      </c>
      <c r="B301" s="4" t="str">
        <f t="shared" si="109"/>
        <v>UPS Reserves of Biomass - Agricultural residues - Reserve - Supply curve step 1</v>
      </c>
      <c r="C301" s="4" t="str">
        <f t="shared" si="110"/>
        <v>RSVBIOAGR</v>
      </c>
      <c r="D301" s="4" t="str">
        <f t="shared" si="111"/>
        <v>ACT_COST</v>
      </c>
      <c r="E301" s="4"/>
      <c r="F301" s="4">
        <v>2080</v>
      </c>
      <c r="G301" s="456">
        <f>'Key input_Biomass_MAgPIE'!E292</f>
        <v>0.41900000000000004</v>
      </c>
      <c r="H301" s="456">
        <f>'Key input_Biomass_MAgPIE'!F292</f>
        <v>0.41900000000000004</v>
      </c>
      <c r="I301" s="456">
        <f>'Key input_Biomass_MAgPIE'!G292</f>
        <v>0.41900000000000004</v>
      </c>
      <c r="J301" s="456">
        <f>'Key input_Biomass_MAgPIE'!H292</f>
        <v>0.41900000000000004</v>
      </c>
      <c r="K301" s="456">
        <f>'Key input_Biomass_MAgPIE'!I292</f>
        <v>0.41900000000000004</v>
      </c>
      <c r="L301" s="456">
        <f>'Key input_Biomass_MAgPIE'!J292</f>
        <v>0.41900000000000004</v>
      </c>
      <c r="M301" s="456">
        <f>'Key input_Biomass_MAgPIE'!K292</f>
        <v>0.41900000000000004</v>
      </c>
      <c r="N301" s="456">
        <f>'Key input_Biomass_MAgPIE'!L292</f>
        <v>0.41900000000000004</v>
      </c>
      <c r="O301" s="456">
        <f>'Key input_Biomass_MAgPIE'!M292</f>
        <v>0.41900000000000004</v>
      </c>
      <c r="P301" s="456">
        <f>'Key input_Biomass_MAgPIE'!N292</f>
        <v>0.41900000000000004</v>
      </c>
      <c r="Q301" s="456">
        <f>'Key input_Biomass_MAgPIE'!O292</f>
        <v>0.41900000000000004</v>
      </c>
      <c r="R301" s="456">
        <f>'Key input_Biomass_MAgPIE'!P292</f>
        <v>0.41900000000000004</v>
      </c>
      <c r="S301" s="456">
        <f>'Key input_Biomass_MAgPIE'!Q292</f>
        <v>0.41900000000000004</v>
      </c>
      <c r="T301" s="456">
        <f>'Key input_Biomass_MAgPIE'!R292</f>
        <v>0.41900000000000004</v>
      </c>
      <c r="U301" s="456">
        <f>'Key input_Biomass_MAgPIE'!S292</f>
        <v>0.41900000000000004</v>
      </c>
      <c r="V301" s="456">
        <f>'Key input_Biomass_MAgPIE'!T292</f>
        <v>0.41900000000000004</v>
      </c>
      <c r="W301" s="456">
        <f>'Key input_Biomass_MAgPIE'!U292</f>
        <v>0.41900000000000004</v>
      </c>
      <c r="X301" s="456">
        <f>'Key input_Biomass_MAgPIE'!V292</f>
        <v>0.41900000000000004</v>
      </c>
      <c r="Y301" s="456">
        <f>'Key input_Biomass_MAgPIE'!W292</f>
        <v>0.41900000000000004</v>
      </c>
      <c r="Z301" s="456">
        <f>'Key input_Biomass_MAgPIE'!X292</f>
        <v>0.41900000000000004</v>
      </c>
      <c r="AA301" s="456">
        <f>'Key input_Biomass_MAgPIE'!Y292</f>
        <v>0.41900000000000004</v>
      </c>
      <c r="AB301" s="456">
        <f>'Key input_Biomass_MAgPIE'!Z292</f>
        <v>0.41900000000000004</v>
      </c>
      <c r="AC301" s="456">
        <f>'Key input_Biomass_MAgPIE'!AA292</f>
        <v>0.41900000000000004</v>
      </c>
      <c r="AD301" s="456">
        <f>'Key input_Biomass_MAgPIE'!AB292</f>
        <v>0.41900000000000004</v>
      </c>
      <c r="AE301" s="456">
        <f>'Key input_Biomass_MAgPIE'!AC292</f>
        <v>0.41900000000000004</v>
      </c>
      <c r="AF301" s="456">
        <f>'Key input_Biomass_MAgPIE'!AD292</f>
        <v>0.41900000000000004</v>
      </c>
      <c r="AG301" s="456">
        <f>'Key input_Biomass_MAgPIE'!AE292</f>
        <v>0.41900000000000004</v>
      </c>
      <c r="AH301" s="456">
        <f>'Key input_Biomass_MAgPIE'!AF292</f>
        <v>0.41900000000000004</v>
      </c>
    </row>
    <row r="302" spans="1:34">
      <c r="A302" s="4" t="str">
        <f t="shared" si="112"/>
        <v>MIN-RSVBIOAGR1</v>
      </c>
      <c r="B302" s="4" t="str">
        <f t="shared" si="109"/>
        <v>UPS Reserves of Biomass - Agricultural residues - Reserve - Supply curve step 1</v>
      </c>
      <c r="C302" s="4" t="str">
        <f t="shared" si="110"/>
        <v>RSVBIOAGR</v>
      </c>
      <c r="D302" s="4" t="str">
        <f t="shared" si="111"/>
        <v>ACT_COST</v>
      </c>
      <c r="E302" s="4"/>
      <c r="F302" s="4">
        <v>2090</v>
      </c>
      <c r="G302" s="456">
        <f>'Key input_Biomass_MAgPIE'!E293</f>
        <v>0.41900000000000004</v>
      </c>
      <c r="H302" s="456">
        <f>'Key input_Biomass_MAgPIE'!F293</f>
        <v>0.41900000000000004</v>
      </c>
      <c r="I302" s="456">
        <f>'Key input_Biomass_MAgPIE'!G293</f>
        <v>0.41900000000000004</v>
      </c>
      <c r="J302" s="456">
        <f>'Key input_Biomass_MAgPIE'!H293</f>
        <v>0.41900000000000004</v>
      </c>
      <c r="K302" s="456">
        <f>'Key input_Biomass_MAgPIE'!I293</f>
        <v>0.41900000000000004</v>
      </c>
      <c r="L302" s="456">
        <f>'Key input_Biomass_MAgPIE'!J293</f>
        <v>0.41900000000000004</v>
      </c>
      <c r="M302" s="456">
        <f>'Key input_Biomass_MAgPIE'!K293</f>
        <v>0.41900000000000004</v>
      </c>
      <c r="N302" s="456">
        <f>'Key input_Biomass_MAgPIE'!L293</f>
        <v>0.41900000000000004</v>
      </c>
      <c r="O302" s="456">
        <f>'Key input_Biomass_MAgPIE'!M293</f>
        <v>0.41900000000000004</v>
      </c>
      <c r="P302" s="456">
        <f>'Key input_Biomass_MAgPIE'!N293</f>
        <v>0.41900000000000004</v>
      </c>
      <c r="Q302" s="456">
        <f>'Key input_Biomass_MAgPIE'!O293</f>
        <v>0.41900000000000004</v>
      </c>
      <c r="R302" s="456">
        <f>'Key input_Biomass_MAgPIE'!P293</f>
        <v>0.41900000000000004</v>
      </c>
      <c r="S302" s="456">
        <f>'Key input_Biomass_MAgPIE'!Q293</f>
        <v>0.41900000000000004</v>
      </c>
      <c r="T302" s="456">
        <f>'Key input_Biomass_MAgPIE'!R293</f>
        <v>0.41900000000000004</v>
      </c>
      <c r="U302" s="456">
        <f>'Key input_Biomass_MAgPIE'!S293</f>
        <v>0.41900000000000004</v>
      </c>
      <c r="V302" s="456">
        <f>'Key input_Biomass_MAgPIE'!T293</f>
        <v>0.41900000000000004</v>
      </c>
      <c r="W302" s="456">
        <f>'Key input_Biomass_MAgPIE'!U293</f>
        <v>0.41900000000000004</v>
      </c>
      <c r="X302" s="456">
        <f>'Key input_Biomass_MAgPIE'!V293</f>
        <v>0.41900000000000004</v>
      </c>
      <c r="Y302" s="456">
        <f>'Key input_Biomass_MAgPIE'!W293</f>
        <v>0.41900000000000004</v>
      </c>
      <c r="Z302" s="456">
        <f>'Key input_Biomass_MAgPIE'!X293</f>
        <v>0.41900000000000004</v>
      </c>
      <c r="AA302" s="456">
        <f>'Key input_Biomass_MAgPIE'!Y293</f>
        <v>0.41900000000000004</v>
      </c>
      <c r="AB302" s="456">
        <f>'Key input_Biomass_MAgPIE'!Z293</f>
        <v>0.41900000000000004</v>
      </c>
      <c r="AC302" s="456">
        <f>'Key input_Biomass_MAgPIE'!AA293</f>
        <v>0.41900000000000004</v>
      </c>
      <c r="AD302" s="456">
        <f>'Key input_Biomass_MAgPIE'!AB293</f>
        <v>0.41900000000000004</v>
      </c>
      <c r="AE302" s="456">
        <f>'Key input_Biomass_MAgPIE'!AC293</f>
        <v>0.41900000000000004</v>
      </c>
      <c r="AF302" s="456">
        <f>'Key input_Biomass_MAgPIE'!AD293</f>
        <v>0.41900000000000004</v>
      </c>
      <c r="AG302" s="456">
        <f>'Key input_Biomass_MAgPIE'!AE293</f>
        <v>0.41900000000000004</v>
      </c>
      <c r="AH302" s="456">
        <f>'Key input_Biomass_MAgPIE'!AF293</f>
        <v>0.41900000000000004</v>
      </c>
    </row>
    <row r="303" spans="1:34">
      <c r="A303" s="259" t="str">
        <f t="shared" si="112"/>
        <v>MIN-RSVBIOAGR1</v>
      </c>
      <c r="B303" s="259" t="str">
        <f t="shared" si="109"/>
        <v>UPS Reserves of Biomass - Agricultural residues - Reserve - Supply curve step 1</v>
      </c>
      <c r="C303" s="259" t="str">
        <f t="shared" si="110"/>
        <v>RSVBIOAGR</v>
      </c>
      <c r="D303" s="259" t="str">
        <f t="shared" si="111"/>
        <v>ACT_COST</v>
      </c>
      <c r="E303" s="259"/>
      <c r="F303" s="259">
        <v>2100</v>
      </c>
      <c r="G303" s="435">
        <f>'Key input_Biomass_MAgPIE'!E294</f>
        <v>0.41900000000000004</v>
      </c>
      <c r="H303" s="435">
        <f>'Key input_Biomass_MAgPIE'!F294</f>
        <v>0.41900000000000004</v>
      </c>
      <c r="I303" s="435">
        <f>'Key input_Biomass_MAgPIE'!G294</f>
        <v>0.41900000000000004</v>
      </c>
      <c r="J303" s="435">
        <f>'Key input_Biomass_MAgPIE'!H294</f>
        <v>0.41900000000000004</v>
      </c>
      <c r="K303" s="435">
        <f>'Key input_Biomass_MAgPIE'!I294</f>
        <v>0.41900000000000004</v>
      </c>
      <c r="L303" s="435">
        <f>'Key input_Biomass_MAgPIE'!J294</f>
        <v>0.41900000000000004</v>
      </c>
      <c r="M303" s="435">
        <f>'Key input_Biomass_MAgPIE'!K294</f>
        <v>0.41900000000000004</v>
      </c>
      <c r="N303" s="435">
        <f>'Key input_Biomass_MAgPIE'!L294</f>
        <v>0.41900000000000004</v>
      </c>
      <c r="O303" s="435">
        <f>'Key input_Biomass_MAgPIE'!M294</f>
        <v>0.41900000000000004</v>
      </c>
      <c r="P303" s="435">
        <f>'Key input_Biomass_MAgPIE'!N294</f>
        <v>0.41900000000000004</v>
      </c>
      <c r="Q303" s="435">
        <f>'Key input_Biomass_MAgPIE'!O294</f>
        <v>0.41900000000000004</v>
      </c>
      <c r="R303" s="435">
        <f>'Key input_Biomass_MAgPIE'!P294</f>
        <v>0.41900000000000004</v>
      </c>
      <c r="S303" s="435">
        <f>'Key input_Biomass_MAgPIE'!Q294</f>
        <v>0.41900000000000004</v>
      </c>
      <c r="T303" s="435">
        <f>'Key input_Biomass_MAgPIE'!R294</f>
        <v>0.41900000000000004</v>
      </c>
      <c r="U303" s="435">
        <f>'Key input_Biomass_MAgPIE'!S294</f>
        <v>0.41900000000000004</v>
      </c>
      <c r="V303" s="435">
        <f>'Key input_Biomass_MAgPIE'!T294</f>
        <v>0.41900000000000004</v>
      </c>
      <c r="W303" s="435">
        <f>'Key input_Biomass_MAgPIE'!U294</f>
        <v>0.41900000000000004</v>
      </c>
      <c r="X303" s="435">
        <f>'Key input_Biomass_MAgPIE'!V294</f>
        <v>0.41900000000000004</v>
      </c>
      <c r="Y303" s="435">
        <f>'Key input_Biomass_MAgPIE'!W294</f>
        <v>0.41900000000000004</v>
      </c>
      <c r="Z303" s="435">
        <f>'Key input_Biomass_MAgPIE'!X294</f>
        <v>0.41900000000000004</v>
      </c>
      <c r="AA303" s="435">
        <f>'Key input_Biomass_MAgPIE'!Y294</f>
        <v>0.41900000000000004</v>
      </c>
      <c r="AB303" s="435">
        <f>'Key input_Biomass_MAgPIE'!Z294</f>
        <v>0.41900000000000004</v>
      </c>
      <c r="AC303" s="435">
        <f>'Key input_Biomass_MAgPIE'!AA294</f>
        <v>0.41900000000000004</v>
      </c>
      <c r="AD303" s="435">
        <f>'Key input_Biomass_MAgPIE'!AB294</f>
        <v>0.41900000000000004</v>
      </c>
      <c r="AE303" s="435">
        <f>'Key input_Biomass_MAgPIE'!AC294</f>
        <v>0.41900000000000004</v>
      </c>
      <c r="AF303" s="435">
        <f>'Key input_Biomass_MAgPIE'!AD294</f>
        <v>0.41900000000000004</v>
      </c>
      <c r="AG303" s="435">
        <f>'Key input_Biomass_MAgPIE'!AE294</f>
        <v>0.41900000000000004</v>
      </c>
      <c r="AH303" s="435">
        <f>'Key input_Biomass_MAgPIE'!AF294</f>
        <v>0.41900000000000004</v>
      </c>
    </row>
    <row r="304" spans="1:34">
      <c r="A304" s="4" t="str">
        <f>AK18</f>
        <v>MIN-RSVBIOAGR2</v>
      </c>
      <c r="B304" s="4" t="str">
        <f>AL18</f>
        <v>UPS Reserves of Biomass - Agricultural residues - Reserve - Supply curve step 2</v>
      </c>
      <c r="C304" s="4" t="str">
        <f>Commodities!$C$17</f>
        <v>RSVBIOAGR</v>
      </c>
      <c r="D304" s="4" t="s">
        <v>675</v>
      </c>
      <c r="E304" s="4"/>
      <c r="F304" s="4">
        <v>2019</v>
      </c>
      <c r="G304" s="258">
        <f>'Key input_Biomass_MAgPIE'!E295</f>
        <v>0.50280000000000002</v>
      </c>
      <c r="H304" s="258">
        <f>'Key input_Biomass_MAgPIE'!F295</f>
        <v>0.50280000000000002</v>
      </c>
      <c r="I304" s="258">
        <f>'Key input_Biomass_MAgPIE'!G295</f>
        <v>0.50280000000000002</v>
      </c>
      <c r="J304" s="258">
        <f>'Key input_Biomass_MAgPIE'!H295</f>
        <v>0.50280000000000002</v>
      </c>
      <c r="K304" s="258">
        <f>'Key input_Biomass_MAgPIE'!I295</f>
        <v>0.50280000000000002</v>
      </c>
      <c r="L304" s="258">
        <f>'Key input_Biomass_MAgPIE'!J295</f>
        <v>0.50280000000000002</v>
      </c>
      <c r="M304" s="258">
        <f>'Key input_Biomass_MAgPIE'!K295</f>
        <v>0.50280000000000002</v>
      </c>
      <c r="N304" s="258">
        <f>'Key input_Biomass_MAgPIE'!L295</f>
        <v>0.50280000000000002</v>
      </c>
      <c r="O304" s="258">
        <f>'Key input_Biomass_MAgPIE'!M295</f>
        <v>0.50280000000000002</v>
      </c>
      <c r="P304" s="258">
        <f>'Key input_Biomass_MAgPIE'!N295</f>
        <v>0.50280000000000002</v>
      </c>
      <c r="Q304" s="258">
        <f>'Key input_Biomass_MAgPIE'!O295</f>
        <v>0.50280000000000002</v>
      </c>
      <c r="R304" s="258">
        <f>'Key input_Biomass_MAgPIE'!P295</f>
        <v>0.50280000000000002</v>
      </c>
      <c r="S304" s="258">
        <f>'Key input_Biomass_MAgPIE'!Q295</f>
        <v>0.50280000000000002</v>
      </c>
      <c r="T304" s="258">
        <f>'Key input_Biomass_MAgPIE'!R295</f>
        <v>0.50280000000000002</v>
      </c>
      <c r="U304" s="258">
        <f>'Key input_Biomass_MAgPIE'!S295</f>
        <v>0.50280000000000002</v>
      </c>
      <c r="V304" s="258">
        <f>'Key input_Biomass_MAgPIE'!T295</f>
        <v>0.50280000000000002</v>
      </c>
      <c r="W304" s="258">
        <f>'Key input_Biomass_MAgPIE'!U295</f>
        <v>0.50280000000000002</v>
      </c>
      <c r="X304" s="258">
        <f>'Key input_Biomass_MAgPIE'!V295</f>
        <v>0.50280000000000002</v>
      </c>
      <c r="Y304" s="258">
        <f>'Key input_Biomass_MAgPIE'!W295</f>
        <v>0.50280000000000002</v>
      </c>
      <c r="Z304" s="258">
        <f>'Key input_Biomass_MAgPIE'!X295</f>
        <v>0.50280000000000002</v>
      </c>
      <c r="AA304" s="258">
        <f>'Key input_Biomass_MAgPIE'!Y295</f>
        <v>0.50280000000000002</v>
      </c>
      <c r="AB304" s="258">
        <f>'Key input_Biomass_MAgPIE'!Z295</f>
        <v>0.50280000000000002</v>
      </c>
      <c r="AC304" s="258">
        <f>'Key input_Biomass_MAgPIE'!AA295</f>
        <v>0.50280000000000002</v>
      </c>
      <c r="AD304" s="258">
        <f>'Key input_Biomass_MAgPIE'!AB295</f>
        <v>0.50280000000000002</v>
      </c>
      <c r="AE304" s="258">
        <f>'Key input_Biomass_MAgPIE'!AC295</f>
        <v>0.50280000000000002</v>
      </c>
      <c r="AF304" s="258">
        <f>'Key input_Biomass_MAgPIE'!AD295</f>
        <v>0.50280000000000002</v>
      </c>
      <c r="AG304" s="258">
        <f>'Key input_Biomass_MAgPIE'!AE295</f>
        <v>0.50280000000000002</v>
      </c>
      <c r="AH304" s="258">
        <f>'Key input_Biomass_MAgPIE'!AF295</f>
        <v>0.50280000000000002</v>
      </c>
    </row>
    <row r="305" spans="1:34">
      <c r="A305" s="4" t="str">
        <f>A304</f>
        <v>MIN-RSVBIOAGR2</v>
      </c>
      <c r="B305" s="4" t="str">
        <f t="shared" ref="B305:B316" si="113">B304</f>
        <v>UPS Reserves of Biomass - Agricultural residues - Reserve - Supply curve step 2</v>
      </c>
      <c r="C305" s="4" t="str">
        <f t="shared" ref="C305:C316" si="114">C304</f>
        <v>RSVBIOAGR</v>
      </c>
      <c r="D305" s="4" t="str">
        <f t="shared" ref="D305:D316" si="115">D304</f>
        <v>ACT_COST</v>
      </c>
      <c r="E305" s="4"/>
      <c r="F305" s="4">
        <v>2020</v>
      </c>
      <c r="G305" s="456">
        <f>'Key input_Biomass_MAgPIE'!E296</f>
        <v>0.50280000000000002</v>
      </c>
      <c r="H305" s="456">
        <f>'Key input_Biomass_MAgPIE'!F296</f>
        <v>0.50280000000000002</v>
      </c>
      <c r="I305" s="456">
        <f>'Key input_Biomass_MAgPIE'!G296</f>
        <v>0.50280000000000002</v>
      </c>
      <c r="J305" s="456">
        <f>'Key input_Biomass_MAgPIE'!H296</f>
        <v>0.50280000000000002</v>
      </c>
      <c r="K305" s="456">
        <f>'Key input_Biomass_MAgPIE'!I296</f>
        <v>0.50280000000000002</v>
      </c>
      <c r="L305" s="456">
        <f>'Key input_Biomass_MAgPIE'!J296</f>
        <v>0.50280000000000002</v>
      </c>
      <c r="M305" s="456">
        <f>'Key input_Biomass_MAgPIE'!K296</f>
        <v>0.50280000000000002</v>
      </c>
      <c r="N305" s="456">
        <f>'Key input_Biomass_MAgPIE'!L296</f>
        <v>0.50280000000000002</v>
      </c>
      <c r="O305" s="456">
        <f>'Key input_Biomass_MAgPIE'!M296</f>
        <v>0.50280000000000002</v>
      </c>
      <c r="P305" s="456">
        <f>'Key input_Biomass_MAgPIE'!N296</f>
        <v>0.50280000000000002</v>
      </c>
      <c r="Q305" s="456">
        <f>'Key input_Biomass_MAgPIE'!O296</f>
        <v>0.50280000000000002</v>
      </c>
      <c r="R305" s="456">
        <f>'Key input_Biomass_MAgPIE'!P296</f>
        <v>0.50280000000000002</v>
      </c>
      <c r="S305" s="456">
        <f>'Key input_Biomass_MAgPIE'!Q296</f>
        <v>0.50280000000000002</v>
      </c>
      <c r="T305" s="456">
        <f>'Key input_Biomass_MAgPIE'!R296</f>
        <v>0.50280000000000002</v>
      </c>
      <c r="U305" s="456">
        <f>'Key input_Biomass_MAgPIE'!S296</f>
        <v>0.50280000000000002</v>
      </c>
      <c r="V305" s="456">
        <f>'Key input_Biomass_MAgPIE'!T296</f>
        <v>0.50280000000000002</v>
      </c>
      <c r="W305" s="456">
        <f>'Key input_Biomass_MAgPIE'!U296</f>
        <v>0.50280000000000002</v>
      </c>
      <c r="X305" s="456">
        <f>'Key input_Biomass_MAgPIE'!V296</f>
        <v>0.50280000000000002</v>
      </c>
      <c r="Y305" s="456">
        <f>'Key input_Biomass_MAgPIE'!W296</f>
        <v>0.50280000000000002</v>
      </c>
      <c r="Z305" s="456">
        <f>'Key input_Biomass_MAgPIE'!X296</f>
        <v>0.50280000000000002</v>
      </c>
      <c r="AA305" s="456">
        <f>'Key input_Biomass_MAgPIE'!Y296</f>
        <v>0.50280000000000002</v>
      </c>
      <c r="AB305" s="456">
        <f>'Key input_Biomass_MAgPIE'!Z296</f>
        <v>0.50280000000000002</v>
      </c>
      <c r="AC305" s="456">
        <f>'Key input_Biomass_MAgPIE'!AA296</f>
        <v>0.50280000000000002</v>
      </c>
      <c r="AD305" s="456">
        <f>'Key input_Biomass_MAgPIE'!AB296</f>
        <v>0.50280000000000002</v>
      </c>
      <c r="AE305" s="456">
        <f>'Key input_Biomass_MAgPIE'!AC296</f>
        <v>0.50280000000000002</v>
      </c>
      <c r="AF305" s="456">
        <f>'Key input_Biomass_MAgPIE'!AD296</f>
        <v>0.50280000000000002</v>
      </c>
      <c r="AG305" s="456">
        <f>'Key input_Biomass_MAgPIE'!AE296</f>
        <v>0.50280000000000002</v>
      </c>
      <c r="AH305" s="456">
        <f>'Key input_Biomass_MAgPIE'!AF296</f>
        <v>0.50280000000000002</v>
      </c>
    </row>
    <row r="306" spans="1:34">
      <c r="A306" s="4" t="str">
        <f t="shared" ref="A306:A316" si="116">A305</f>
        <v>MIN-RSVBIOAGR2</v>
      </c>
      <c r="B306" s="4" t="str">
        <f t="shared" si="113"/>
        <v>UPS Reserves of Biomass - Agricultural residues - Reserve - Supply curve step 2</v>
      </c>
      <c r="C306" s="4" t="str">
        <f t="shared" si="114"/>
        <v>RSVBIOAGR</v>
      </c>
      <c r="D306" s="4" t="str">
        <f t="shared" si="115"/>
        <v>ACT_COST</v>
      </c>
      <c r="E306" s="4"/>
      <c r="F306" s="4">
        <v>2025</v>
      </c>
      <c r="G306" s="456">
        <f>'Key input_Biomass_MAgPIE'!E297</f>
        <v>0.50280000000000002</v>
      </c>
      <c r="H306" s="456">
        <f>'Key input_Biomass_MAgPIE'!F297</f>
        <v>0.50280000000000002</v>
      </c>
      <c r="I306" s="456">
        <f>'Key input_Biomass_MAgPIE'!G297</f>
        <v>0.50280000000000002</v>
      </c>
      <c r="J306" s="456">
        <f>'Key input_Biomass_MAgPIE'!H297</f>
        <v>0.50280000000000002</v>
      </c>
      <c r="K306" s="456">
        <f>'Key input_Biomass_MAgPIE'!I297</f>
        <v>0.50280000000000002</v>
      </c>
      <c r="L306" s="456">
        <f>'Key input_Biomass_MAgPIE'!J297</f>
        <v>0.50280000000000002</v>
      </c>
      <c r="M306" s="456">
        <f>'Key input_Biomass_MAgPIE'!K297</f>
        <v>0.50280000000000002</v>
      </c>
      <c r="N306" s="456">
        <f>'Key input_Biomass_MAgPIE'!L297</f>
        <v>0.50280000000000002</v>
      </c>
      <c r="O306" s="456">
        <f>'Key input_Biomass_MAgPIE'!M297</f>
        <v>0.50280000000000002</v>
      </c>
      <c r="P306" s="456">
        <f>'Key input_Biomass_MAgPIE'!N297</f>
        <v>0.50280000000000002</v>
      </c>
      <c r="Q306" s="456">
        <f>'Key input_Biomass_MAgPIE'!O297</f>
        <v>0.50280000000000002</v>
      </c>
      <c r="R306" s="456">
        <f>'Key input_Biomass_MAgPIE'!P297</f>
        <v>0.50280000000000002</v>
      </c>
      <c r="S306" s="456">
        <f>'Key input_Biomass_MAgPIE'!Q297</f>
        <v>0.50280000000000002</v>
      </c>
      <c r="T306" s="456">
        <f>'Key input_Biomass_MAgPIE'!R297</f>
        <v>0.50280000000000002</v>
      </c>
      <c r="U306" s="456">
        <f>'Key input_Biomass_MAgPIE'!S297</f>
        <v>0.50280000000000002</v>
      </c>
      <c r="V306" s="456">
        <f>'Key input_Biomass_MAgPIE'!T297</f>
        <v>0.50280000000000002</v>
      </c>
      <c r="W306" s="456">
        <f>'Key input_Biomass_MAgPIE'!U297</f>
        <v>0.50280000000000002</v>
      </c>
      <c r="X306" s="456">
        <f>'Key input_Biomass_MAgPIE'!V297</f>
        <v>0.50280000000000002</v>
      </c>
      <c r="Y306" s="456">
        <f>'Key input_Biomass_MAgPIE'!W297</f>
        <v>0.50280000000000002</v>
      </c>
      <c r="Z306" s="456">
        <f>'Key input_Biomass_MAgPIE'!X297</f>
        <v>0.50280000000000002</v>
      </c>
      <c r="AA306" s="456">
        <f>'Key input_Biomass_MAgPIE'!Y297</f>
        <v>0.50280000000000002</v>
      </c>
      <c r="AB306" s="456">
        <f>'Key input_Biomass_MAgPIE'!Z297</f>
        <v>0.50280000000000002</v>
      </c>
      <c r="AC306" s="456">
        <f>'Key input_Biomass_MAgPIE'!AA297</f>
        <v>0.50280000000000002</v>
      </c>
      <c r="AD306" s="456">
        <f>'Key input_Biomass_MAgPIE'!AB297</f>
        <v>0.50280000000000002</v>
      </c>
      <c r="AE306" s="456">
        <f>'Key input_Biomass_MAgPIE'!AC297</f>
        <v>0.50280000000000002</v>
      </c>
      <c r="AF306" s="456">
        <f>'Key input_Biomass_MAgPIE'!AD297</f>
        <v>0.50280000000000002</v>
      </c>
      <c r="AG306" s="456">
        <f>'Key input_Biomass_MAgPIE'!AE297</f>
        <v>0.50280000000000002</v>
      </c>
      <c r="AH306" s="456">
        <f>'Key input_Biomass_MAgPIE'!AF297</f>
        <v>0.50280000000000002</v>
      </c>
    </row>
    <row r="307" spans="1:34">
      <c r="A307" s="4" t="str">
        <f t="shared" si="116"/>
        <v>MIN-RSVBIOAGR2</v>
      </c>
      <c r="B307" s="4" t="str">
        <f t="shared" si="113"/>
        <v>UPS Reserves of Biomass - Agricultural residues - Reserve - Supply curve step 2</v>
      </c>
      <c r="C307" s="4" t="str">
        <f t="shared" si="114"/>
        <v>RSVBIOAGR</v>
      </c>
      <c r="D307" s="4" t="str">
        <f t="shared" si="115"/>
        <v>ACT_COST</v>
      </c>
      <c r="E307" s="4"/>
      <c r="F307" s="4">
        <v>2030</v>
      </c>
      <c r="G307" s="456">
        <f>'Key input_Biomass_MAgPIE'!E298</f>
        <v>0.50280000000000002</v>
      </c>
      <c r="H307" s="456">
        <f>'Key input_Biomass_MAgPIE'!F298</f>
        <v>0.50280000000000002</v>
      </c>
      <c r="I307" s="456">
        <f>'Key input_Biomass_MAgPIE'!G298</f>
        <v>0.50280000000000002</v>
      </c>
      <c r="J307" s="456">
        <f>'Key input_Biomass_MAgPIE'!H298</f>
        <v>0.50280000000000002</v>
      </c>
      <c r="K307" s="456">
        <f>'Key input_Biomass_MAgPIE'!I298</f>
        <v>0.50280000000000002</v>
      </c>
      <c r="L307" s="456">
        <f>'Key input_Biomass_MAgPIE'!J298</f>
        <v>0.50280000000000002</v>
      </c>
      <c r="M307" s="456">
        <f>'Key input_Biomass_MAgPIE'!K298</f>
        <v>0.50280000000000002</v>
      </c>
      <c r="N307" s="456">
        <f>'Key input_Biomass_MAgPIE'!L298</f>
        <v>0.50280000000000002</v>
      </c>
      <c r="O307" s="456">
        <f>'Key input_Biomass_MAgPIE'!M298</f>
        <v>0.50280000000000002</v>
      </c>
      <c r="P307" s="456">
        <f>'Key input_Biomass_MAgPIE'!N298</f>
        <v>0.50280000000000002</v>
      </c>
      <c r="Q307" s="456">
        <f>'Key input_Biomass_MAgPIE'!O298</f>
        <v>0.50280000000000002</v>
      </c>
      <c r="R307" s="456">
        <f>'Key input_Biomass_MAgPIE'!P298</f>
        <v>0.50280000000000002</v>
      </c>
      <c r="S307" s="456">
        <f>'Key input_Biomass_MAgPIE'!Q298</f>
        <v>0.50280000000000002</v>
      </c>
      <c r="T307" s="456">
        <f>'Key input_Biomass_MAgPIE'!R298</f>
        <v>0.50280000000000002</v>
      </c>
      <c r="U307" s="456">
        <f>'Key input_Biomass_MAgPIE'!S298</f>
        <v>0.50280000000000002</v>
      </c>
      <c r="V307" s="456">
        <f>'Key input_Biomass_MAgPIE'!T298</f>
        <v>0.50280000000000002</v>
      </c>
      <c r="W307" s="456">
        <f>'Key input_Biomass_MAgPIE'!U298</f>
        <v>0.50280000000000002</v>
      </c>
      <c r="X307" s="456">
        <f>'Key input_Biomass_MAgPIE'!V298</f>
        <v>0.50280000000000002</v>
      </c>
      <c r="Y307" s="456">
        <f>'Key input_Biomass_MAgPIE'!W298</f>
        <v>0.50280000000000002</v>
      </c>
      <c r="Z307" s="456">
        <f>'Key input_Biomass_MAgPIE'!X298</f>
        <v>0.50280000000000002</v>
      </c>
      <c r="AA307" s="456">
        <f>'Key input_Biomass_MAgPIE'!Y298</f>
        <v>0.50280000000000002</v>
      </c>
      <c r="AB307" s="456">
        <f>'Key input_Biomass_MAgPIE'!Z298</f>
        <v>0.50280000000000002</v>
      </c>
      <c r="AC307" s="456">
        <f>'Key input_Biomass_MAgPIE'!AA298</f>
        <v>0.50280000000000002</v>
      </c>
      <c r="AD307" s="456">
        <f>'Key input_Biomass_MAgPIE'!AB298</f>
        <v>0.50280000000000002</v>
      </c>
      <c r="AE307" s="456">
        <f>'Key input_Biomass_MAgPIE'!AC298</f>
        <v>0.50280000000000002</v>
      </c>
      <c r="AF307" s="456">
        <f>'Key input_Biomass_MAgPIE'!AD298</f>
        <v>0.50280000000000002</v>
      </c>
      <c r="AG307" s="456">
        <f>'Key input_Biomass_MAgPIE'!AE298</f>
        <v>0.50280000000000002</v>
      </c>
      <c r="AH307" s="456">
        <f>'Key input_Biomass_MAgPIE'!AF298</f>
        <v>0.50280000000000002</v>
      </c>
    </row>
    <row r="308" spans="1:34">
      <c r="A308" s="4" t="str">
        <f t="shared" si="116"/>
        <v>MIN-RSVBIOAGR2</v>
      </c>
      <c r="B308" s="4" t="str">
        <f t="shared" si="113"/>
        <v>UPS Reserves of Biomass - Agricultural residues - Reserve - Supply curve step 2</v>
      </c>
      <c r="C308" s="4" t="str">
        <f t="shared" si="114"/>
        <v>RSVBIOAGR</v>
      </c>
      <c r="D308" s="4" t="str">
        <f t="shared" si="115"/>
        <v>ACT_COST</v>
      </c>
      <c r="E308" s="4"/>
      <c r="F308" s="4">
        <v>2035</v>
      </c>
      <c r="G308" s="456">
        <f>'Key input_Biomass_MAgPIE'!E299</f>
        <v>0.50280000000000002</v>
      </c>
      <c r="H308" s="456">
        <f>'Key input_Biomass_MAgPIE'!F299</f>
        <v>0.50280000000000002</v>
      </c>
      <c r="I308" s="456">
        <f>'Key input_Biomass_MAgPIE'!G299</f>
        <v>0.50280000000000002</v>
      </c>
      <c r="J308" s="456">
        <f>'Key input_Biomass_MAgPIE'!H299</f>
        <v>0.50280000000000002</v>
      </c>
      <c r="K308" s="456">
        <f>'Key input_Biomass_MAgPIE'!I299</f>
        <v>0.50280000000000002</v>
      </c>
      <c r="L308" s="456">
        <f>'Key input_Biomass_MAgPIE'!J299</f>
        <v>0.50280000000000002</v>
      </c>
      <c r="M308" s="456">
        <f>'Key input_Biomass_MAgPIE'!K299</f>
        <v>0.50280000000000002</v>
      </c>
      <c r="N308" s="456">
        <f>'Key input_Biomass_MAgPIE'!L299</f>
        <v>0.50280000000000002</v>
      </c>
      <c r="O308" s="456">
        <f>'Key input_Biomass_MAgPIE'!M299</f>
        <v>0.50280000000000002</v>
      </c>
      <c r="P308" s="456">
        <f>'Key input_Biomass_MAgPIE'!N299</f>
        <v>0.50280000000000002</v>
      </c>
      <c r="Q308" s="456">
        <f>'Key input_Biomass_MAgPIE'!O299</f>
        <v>0.50280000000000002</v>
      </c>
      <c r="R308" s="456">
        <f>'Key input_Biomass_MAgPIE'!P299</f>
        <v>0.50280000000000002</v>
      </c>
      <c r="S308" s="456">
        <f>'Key input_Biomass_MAgPIE'!Q299</f>
        <v>0.50280000000000002</v>
      </c>
      <c r="T308" s="456">
        <f>'Key input_Biomass_MAgPIE'!R299</f>
        <v>0.50280000000000002</v>
      </c>
      <c r="U308" s="456">
        <f>'Key input_Biomass_MAgPIE'!S299</f>
        <v>0.50280000000000002</v>
      </c>
      <c r="V308" s="456">
        <f>'Key input_Biomass_MAgPIE'!T299</f>
        <v>0.50280000000000002</v>
      </c>
      <c r="W308" s="456">
        <f>'Key input_Biomass_MAgPIE'!U299</f>
        <v>0.50280000000000002</v>
      </c>
      <c r="X308" s="456">
        <f>'Key input_Biomass_MAgPIE'!V299</f>
        <v>0.50280000000000002</v>
      </c>
      <c r="Y308" s="456">
        <f>'Key input_Biomass_MAgPIE'!W299</f>
        <v>0.50280000000000002</v>
      </c>
      <c r="Z308" s="456">
        <f>'Key input_Biomass_MAgPIE'!X299</f>
        <v>0.50280000000000002</v>
      </c>
      <c r="AA308" s="456">
        <f>'Key input_Biomass_MAgPIE'!Y299</f>
        <v>0.50280000000000002</v>
      </c>
      <c r="AB308" s="456">
        <f>'Key input_Biomass_MAgPIE'!Z299</f>
        <v>0.50280000000000002</v>
      </c>
      <c r="AC308" s="456">
        <f>'Key input_Biomass_MAgPIE'!AA299</f>
        <v>0.50280000000000002</v>
      </c>
      <c r="AD308" s="456">
        <f>'Key input_Biomass_MAgPIE'!AB299</f>
        <v>0.50280000000000002</v>
      </c>
      <c r="AE308" s="456">
        <f>'Key input_Biomass_MAgPIE'!AC299</f>
        <v>0.50280000000000002</v>
      </c>
      <c r="AF308" s="456">
        <f>'Key input_Biomass_MAgPIE'!AD299</f>
        <v>0.50280000000000002</v>
      </c>
      <c r="AG308" s="456">
        <f>'Key input_Biomass_MAgPIE'!AE299</f>
        <v>0.50280000000000002</v>
      </c>
      <c r="AH308" s="456">
        <f>'Key input_Biomass_MAgPIE'!AF299</f>
        <v>0.50280000000000002</v>
      </c>
    </row>
    <row r="309" spans="1:34">
      <c r="A309" s="4" t="str">
        <f t="shared" si="116"/>
        <v>MIN-RSVBIOAGR2</v>
      </c>
      <c r="B309" s="4" t="str">
        <f t="shared" si="113"/>
        <v>UPS Reserves of Biomass - Agricultural residues - Reserve - Supply curve step 2</v>
      </c>
      <c r="C309" s="4" t="str">
        <f t="shared" si="114"/>
        <v>RSVBIOAGR</v>
      </c>
      <c r="D309" s="4" t="str">
        <f t="shared" si="115"/>
        <v>ACT_COST</v>
      </c>
      <c r="E309" s="4"/>
      <c r="F309" s="4">
        <v>2040</v>
      </c>
      <c r="G309" s="456">
        <f>'Key input_Biomass_MAgPIE'!E300</f>
        <v>0.50280000000000002</v>
      </c>
      <c r="H309" s="456">
        <f>'Key input_Biomass_MAgPIE'!F300</f>
        <v>0.50280000000000002</v>
      </c>
      <c r="I309" s="456">
        <f>'Key input_Biomass_MAgPIE'!G300</f>
        <v>0.50280000000000002</v>
      </c>
      <c r="J309" s="456">
        <f>'Key input_Biomass_MAgPIE'!H300</f>
        <v>0.50280000000000002</v>
      </c>
      <c r="K309" s="456">
        <f>'Key input_Biomass_MAgPIE'!I300</f>
        <v>0.50280000000000002</v>
      </c>
      <c r="L309" s="456">
        <f>'Key input_Biomass_MAgPIE'!J300</f>
        <v>0.50280000000000002</v>
      </c>
      <c r="M309" s="456">
        <f>'Key input_Biomass_MAgPIE'!K300</f>
        <v>0.50280000000000002</v>
      </c>
      <c r="N309" s="456">
        <f>'Key input_Biomass_MAgPIE'!L300</f>
        <v>0.50280000000000002</v>
      </c>
      <c r="O309" s="456">
        <f>'Key input_Biomass_MAgPIE'!M300</f>
        <v>0.50280000000000002</v>
      </c>
      <c r="P309" s="456">
        <f>'Key input_Biomass_MAgPIE'!N300</f>
        <v>0.50280000000000002</v>
      </c>
      <c r="Q309" s="456">
        <f>'Key input_Biomass_MAgPIE'!O300</f>
        <v>0.50280000000000002</v>
      </c>
      <c r="R309" s="456">
        <f>'Key input_Biomass_MAgPIE'!P300</f>
        <v>0.50280000000000002</v>
      </c>
      <c r="S309" s="456">
        <f>'Key input_Biomass_MAgPIE'!Q300</f>
        <v>0.50280000000000002</v>
      </c>
      <c r="T309" s="456">
        <f>'Key input_Biomass_MAgPIE'!R300</f>
        <v>0.50280000000000002</v>
      </c>
      <c r="U309" s="456">
        <f>'Key input_Biomass_MAgPIE'!S300</f>
        <v>0.50280000000000002</v>
      </c>
      <c r="V309" s="456">
        <f>'Key input_Biomass_MAgPIE'!T300</f>
        <v>0.50280000000000002</v>
      </c>
      <c r="W309" s="456">
        <f>'Key input_Biomass_MAgPIE'!U300</f>
        <v>0.50280000000000002</v>
      </c>
      <c r="X309" s="456">
        <f>'Key input_Biomass_MAgPIE'!V300</f>
        <v>0.50280000000000002</v>
      </c>
      <c r="Y309" s="456">
        <f>'Key input_Biomass_MAgPIE'!W300</f>
        <v>0.50280000000000002</v>
      </c>
      <c r="Z309" s="456">
        <f>'Key input_Biomass_MAgPIE'!X300</f>
        <v>0.50280000000000002</v>
      </c>
      <c r="AA309" s="456">
        <f>'Key input_Biomass_MAgPIE'!Y300</f>
        <v>0.50280000000000002</v>
      </c>
      <c r="AB309" s="456">
        <f>'Key input_Biomass_MAgPIE'!Z300</f>
        <v>0.50280000000000002</v>
      </c>
      <c r="AC309" s="456">
        <f>'Key input_Biomass_MAgPIE'!AA300</f>
        <v>0.50280000000000002</v>
      </c>
      <c r="AD309" s="456">
        <f>'Key input_Biomass_MAgPIE'!AB300</f>
        <v>0.50280000000000002</v>
      </c>
      <c r="AE309" s="456">
        <f>'Key input_Biomass_MAgPIE'!AC300</f>
        <v>0.50280000000000002</v>
      </c>
      <c r="AF309" s="456">
        <f>'Key input_Biomass_MAgPIE'!AD300</f>
        <v>0.50280000000000002</v>
      </c>
      <c r="AG309" s="456">
        <f>'Key input_Biomass_MAgPIE'!AE300</f>
        <v>0.50280000000000002</v>
      </c>
      <c r="AH309" s="456">
        <f>'Key input_Biomass_MAgPIE'!AF300</f>
        <v>0.50280000000000002</v>
      </c>
    </row>
    <row r="310" spans="1:34">
      <c r="A310" s="4" t="str">
        <f t="shared" si="116"/>
        <v>MIN-RSVBIOAGR2</v>
      </c>
      <c r="B310" s="4" t="str">
        <f t="shared" si="113"/>
        <v>UPS Reserves of Biomass - Agricultural residues - Reserve - Supply curve step 2</v>
      </c>
      <c r="C310" s="4" t="str">
        <f t="shared" si="114"/>
        <v>RSVBIOAGR</v>
      </c>
      <c r="D310" s="4" t="str">
        <f t="shared" si="115"/>
        <v>ACT_COST</v>
      </c>
      <c r="E310" s="4"/>
      <c r="F310" s="4">
        <v>2045</v>
      </c>
      <c r="G310" s="456">
        <f>'Key input_Biomass_MAgPIE'!E301</f>
        <v>0.50280000000000002</v>
      </c>
      <c r="H310" s="456">
        <f>'Key input_Biomass_MAgPIE'!F301</f>
        <v>0.50280000000000002</v>
      </c>
      <c r="I310" s="456">
        <f>'Key input_Biomass_MAgPIE'!G301</f>
        <v>0.50280000000000002</v>
      </c>
      <c r="J310" s="456">
        <f>'Key input_Biomass_MAgPIE'!H301</f>
        <v>0.50280000000000002</v>
      </c>
      <c r="K310" s="456">
        <f>'Key input_Biomass_MAgPIE'!I301</f>
        <v>0.50280000000000002</v>
      </c>
      <c r="L310" s="456">
        <f>'Key input_Biomass_MAgPIE'!J301</f>
        <v>0.50280000000000002</v>
      </c>
      <c r="M310" s="456">
        <f>'Key input_Biomass_MAgPIE'!K301</f>
        <v>0.50280000000000002</v>
      </c>
      <c r="N310" s="456">
        <f>'Key input_Biomass_MAgPIE'!L301</f>
        <v>0.50280000000000002</v>
      </c>
      <c r="O310" s="456">
        <f>'Key input_Biomass_MAgPIE'!M301</f>
        <v>0.50280000000000002</v>
      </c>
      <c r="P310" s="456">
        <f>'Key input_Biomass_MAgPIE'!N301</f>
        <v>0.50280000000000002</v>
      </c>
      <c r="Q310" s="456">
        <f>'Key input_Biomass_MAgPIE'!O301</f>
        <v>0.50280000000000002</v>
      </c>
      <c r="R310" s="456">
        <f>'Key input_Biomass_MAgPIE'!P301</f>
        <v>0.50280000000000002</v>
      </c>
      <c r="S310" s="456">
        <f>'Key input_Biomass_MAgPIE'!Q301</f>
        <v>0.50280000000000002</v>
      </c>
      <c r="T310" s="456">
        <f>'Key input_Biomass_MAgPIE'!R301</f>
        <v>0.50280000000000002</v>
      </c>
      <c r="U310" s="456">
        <f>'Key input_Biomass_MAgPIE'!S301</f>
        <v>0.50280000000000002</v>
      </c>
      <c r="V310" s="456">
        <f>'Key input_Biomass_MAgPIE'!T301</f>
        <v>0.50280000000000002</v>
      </c>
      <c r="W310" s="456">
        <f>'Key input_Biomass_MAgPIE'!U301</f>
        <v>0.50280000000000002</v>
      </c>
      <c r="X310" s="456">
        <f>'Key input_Biomass_MAgPIE'!V301</f>
        <v>0.50280000000000002</v>
      </c>
      <c r="Y310" s="456">
        <f>'Key input_Biomass_MAgPIE'!W301</f>
        <v>0.50280000000000002</v>
      </c>
      <c r="Z310" s="456">
        <f>'Key input_Biomass_MAgPIE'!X301</f>
        <v>0.50280000000000002</v>
      </c>
      <c r="AA310" s="456">
        <f>'Key input_Biomass_MAgPIE'!Y301</f>
        <v>0.50280000000000002</v>
      </c>
      <c r="AB310" s="456">
        <f>'Key input_Biomass_MAgPIE'!Z301</f>
        <v>0.50280000000000002</v>
      </c>
      <c r="AC310" s="456">
        <f>'Key input_Biomass_MAgPIE'!AA301</f>
        <v>0.50280000000000002</v>
      </c>
      <c r="AD310" s="456">
        <f>'Key input_Biomass_MAgPIE'!AB301</f>
        <v>0.50280000000000002</v>
      </c>
      <c r="AE310" s="456">
        <f>'Key input_Biomass_MAgPIE'!AC301</f>
        <v>0.50280000000000002</v>
      </c>
      <c r="AF310" s="456">
        <f>'Key input_Biomass_MAgPIE'!AD301</f>
        <v>0.50280000000000002</v>
      </c>
      <c r="AG310" s="456">
        <f>'Key input_Biomass_MAgPIE'!AE301</f>
        <v>0.50280000000000002</v>
      </c>
      <c r="AH310" s="456">
        <f>'Key input_Biomass_MAgPIE'!AF301</f>
        <v>0.50280000000000002</v>
      </c>
    </row>
    <row r="311" spans="1:34">
      <c r="A311" s="4" t="str">
        <f t="shared" si="116"/>
        <v>MIN-RSVBIOAGR2</v>
      </c>
      <c r="B311" s="4" t="str">
        <f t="shared" si="113"/>
        <v>UPS Reserves of Biomass - Agricultural residues - Reserve - Supply curve step 2</v>
      </c>
      <c r="C311" s="4" t="str">
        <f t="shared" si="114"/>
        <v>RSVBIOAGR</v>
      </c>
      <c r="D311" s="4" t="str">
        <f t="shared" si="115"/>
        <v>ACT_COST</v>
      </c>
      <c r="E311" s="4"/>
      <c r="F311" s="4">
        <v>2050</v>
      </c>
      <c r="G311" s="456">
        <f>'Key input_Biomass_MAgPIE'!E302</f>
        <v>0.50280000000000002</v>
      </c>
      <c r="H311" s="456">
        <f>'Key input_Biomass_MAgPIE'!F302</f>
        <v>0.50280000000000002</v>
      </c>
      <c r="I311" s="456">
        <f>'Key input_Biomass_MAgPIE'!G302</f>
        <v>0.50280000000000002</v>
      </c>
      <c r="J311" s="456">
        <f>'Key input_Biomass_MAgPIE'!H302</f>
        <v>0.50280000000000002</v>
      </c>
      <c r="K311" s="456">
        <f>'Key input_Biomass_MAgPIE'!I302</f>
        <v>0.50280000000000002</v>
      </c>
      <c r="L311" s="456">
        <f>'Key input_Biomass_MAgPIE'!J302</f>
        <v>0.50280000000000002</v>
      </c>
      <c r="M311" s="456">
        <f>'Key input_Biomass_MAgPIE'!K302</f>
        <v>0.50280000000000002</v>
      </c>
      <c r="N311" s="456">
        <f>'Key input_Biomass_MAgPIE'!L302</f>
        <v>0.50280000000000002</v>
      </c>
      <c r="O311" s="456">
        <f>'Key input_Biomass_MAgPIE'!M302</f>
        <v>0.50280000000000002</v>
      </c>
      <c r="P311" s="456">
        <f>'Key input_Biomass_MAgPIE'!N302</f>
        <v>0.50280000000000002</v>
      </c>
      <c r="Q311" s="456">
        <f>'Key input_Biomass_MAgPIE'!O302</f>
        <v>0.50280000000000002</v>
      </c>
      <c r="R311" s="456">
        <f>'Key input_Biomass_MAgPIE'!P302</f>
        <v>0.50280000000000002</v>
      </c>
      <c r="S311" s="456">
        <f>'Key input_Biomass_MAgPIE'!Q302</f>
        <v>0.50280000000000002</v>
      </c>
      <c r="T311" s="456">
        <f>'Key input_Biomass_MAgPIE'!R302</f>
        <v>0.50280000000000002</v>
      </c>
      <c r="U311" s="456">
        <f>'Key input_Biomass_MAgPIE'!S302</f>
        <v>0.50280000000000002</v>
      </c>
      <c r="V311" s="456">
        <f>'Key input_Biomass_MAgPIE'!T302</f>
        <v>0.50280000000000002</v>
      </c>
      <c r="W311" s="456">
        <f>'Key input_Biomass_MAgPIE'!U302</f>
        <v>0.50280000000000002</v>
      </c>
      <c r="X311" s="456">
        <f>'Key input_Biomass_MAgPIE'!V302</f>
        <v>0.50280000000000002</v>
      </c>
      <c r="Y311" s="456">
        <f>'Key input_Biomass_MAgPIE'!W302</f>
        <v>0.50280000000000002</v>
      </c>
      <c r="Z311" s="456">
        <f>'Key input_Biomass_MAgPIE'!X302</f>
        <v>0.50280000000000002</v>
      </c>
      <c r="AA311" s="456">
        <f>'Key input_Biomass_MAgPIE'!Y302</f>
        <v>0.50280000000000002</v>
      </c>
      <c r="AB311" s="456">
        <f>'Key input_Biomass_MAgPIE'!Z302</f>
        <v>0.50280000000000002</v>
      </c>
      <c r="AC311" s="456">
        <f>'Key input_Biomass_MAgPIE'!AA302</f>
        <v>0.50280000000000002</v>
      </c>
      <c r="AD311" s="456">
        <f>'Key input_Biomass_MAgPIE'!AB302</f>
        <v>0.50280000000000002</v>
      </c>
      <c r="AE311" s="456">
        <f>'Key input_Biomass_MAgPIE'!AC302</f>
        <v>0.50280000000000002</v>
      </c>
      <c r="AF311" s="456">
        <f>'Key input_Biomass_MAgPIE'!AD302</f>
        <v>0.50280000000000002</v>
      </c>
      <c r="AG311" s="456">
        <f>'Key input_Biomass_MAgPIE'!AE302</f>
        <v>0.50280000000000002</v>
      </c>
      <c r="AH311" s="456">
        <f>'Key input_Biomass_MAgPIE'!AF302</f>
        <v>0.50280000000000002</v>
      </c>
    </row>
    <row r="312" spans="1:34">
      <c r="A312" s="4" t="str">
        <f t="shared" si="116"/>
        <v>MIN-RSVBIOAGR2</v>
      </c>
      <c r="B312" s="4" t="str">
        <f t="shared" si="113"/>
        <v>UPS Reserves of Biomass - Agricultural residues - Reserve - Supply curve step 2</v>
      </c>
      <c r="C312" s="4" t="str">
        <f t="shared" si="114"/>
        <v>RSVBIOAGR</v>
      </c>
      <c r="D312" s="4" t="str">
        <f t="shared" si="115"/>
        <v>ACT_COST</v>
      </c>
      <c r="E312" s="4"/>
      <c r="F312" s="4">
        <v>2060</v>
      </c>
      <c r="G312" s="456">
        <f>'Key input_Biomass_MAgPIE'!E303</f>
        <v>0.50280000000000002</v>
      </c>
      <c r="H312" s="456">
        <f>'Key input_Biomass_MAgPIE'!F303</f>
        <v>0.50280000000000002</v>
      </c>
      <c r="I312" s="456">
        <f>'Key input_Biomass_MAgPIE'!G303</f>
        <v>0.50280000000000002</v>
      </c>
      <c r="J312" s="456">
        <f>'Key input_Biomass_MAgPIE'!H303</f>
        <v>0.50280000000000002</v>
      </c>
      <c r="K312" s="456">
        <f>'Key input_Biomass_MAgPIE'!I303</f>
        <v>0.50280000000000002</v>
      </c>
      <c r="L312" s="456">
        <f>'Key input_Biomass_MAgPIE'!J303</f>
        <v>0.50280000000000002</v>
      </c>
      <c r="M312" s="456">
        <f>'Key input_Biomass_MAgPIE'!K303</f>
        <v>0.50280000000000002</v>
      </c>
      <c r="N312" s="456">
        <f>'Key input_Biomass_MAgPIE'!L303</f>
        <v>0.50280000000000002</v>
      </c>
      <c r="O312" s="456">
        <f>'Key input_Biomass_MAgPIE'!M303</f>
        <v>0.50280000000000002</v>
      </c>
      <c r="P312" s="456">
        <f>'Key input_Biomass_MAgPIE'!N303</f>
        <v>0.50280000000000002</v>
      </c>
      <c r="Q312" s="456">
        <f>'Key input_Biomass_MAgPIE'!O303</f>
        <v>0.50280000000000002</v>
      </c>
      <c r="R312" s="456">
        <f>'Key input_Biomass_MAgPIE'!P303</f>
        <v>0.50280000000000002</v>
      </c>
      <c r="S312" s="456">
        <f>'Key input_Biomass_MAgPIE'!Q303</f>
        <v>0.50280000000000002</v>
      </c>
      <c r="T312" s="456">
        <f>'Key input_Biomass_MAgPIE'!R303</f>
        <v>0.50280000000000002</v>
      </c>
      <c r="U312" s="456">
        <f>'Key input_Biomass_MAgPIE'!S303</f>
        <v>0.50280000000000002</v>
      </c>
      <c r="V312" s="456">
        <f>'Key input_Biomass_MAgPIE'!T303</f>
        <v>0.50280000000000002</v>
      </c>
      <c r="W312" s="456">
        <f>'Key input_Biomass_MAgPIE'!U303</f>
        <v>0.50280000000000002</v>
      </c>
      <c r="X312" s="456">
        <f>'Key input_Biomass_MAgPIE'!V303</f>
        <v>0.50280000000000002</v>
      </c>
      <c r="Y312" s="456">
        <f>'Key input_Biomass_MAgPIE'!W303</f>
        <v>0.50280000000000002</v>
      </c>
      <c r="Z312" s="456">
        <f>'Key input_Biomass_MAgPIE'!X303</f>
        <v>0.50280000000000002</v>
      </c>
      <c r="AA312" s="456">
        <f>'Key input_Biomass_MAgPIE'!Y303</f>
        <v>0.50280000000000002</v>
      </c>
      <c r="AB312" s="456">
        <f>'Key input_Biomass_MAgPIE'!Z303</f>
        <v>0.50280000000000002</v>
      </c>
      <c r="AC312" s="456">
        <f>'Key input_Biomass_MAgPIE'!AA303</f>
        <v>0.50280000000000002</v>
      </c>
      <c r="AD312" s="456">
        <f>'Key input_Biomass_MAgPIE'!AB303</f>
        <v>0.50280000000000002</v>
      </c>
      <c r="AE312" s="456">
        <f>'Key input_Biomass_MAgPIE'!AC303</f>
        <v>0.50280000000000002</v>
      </c>
      <c r="AF312" s="456">
        <f>'Key input_Biomass_MAgPIE'!AD303</f>
        <v>0.50280000000000002</v>
      </c>
      <c r="AG312" s="456">
        <f>'Key input_Biomass_MAgPIE'!AE303</f>
        <v>0.50280000000000002</v>
      </c>
      <c r="AH312" s="456">
        <f>'Key input_Biomass_MAgPIE'!AF303</f>
        <v>0.50280000000000002</v>
      </c>
    </row>
    <row r="313" spans="1:34">
      <c r="A313" s="4" t="str">
        <f t="shared" si="116"/>
        <v>MIN-RSVBIOAGR2</v>
      </c>
      <c r="B313" s="4" t="str">
        <f t="shared" si="113"/>
        <v>UPS Reserves of Biomass - Agricultural residues - Reserve - Supply curve step 2</v>
      </c>
      <c r="C313" s="4" t="str">
        <f t="shared" si="114"/>
        <v>RSVBIOAGR</v>
      </c>
      <c r="D313" s="4" t="str">
        <f t="shared" si="115"/>
        <v>ACT_COST</v>
      </c>
      <c r="E313" s="4"/>
      <c r="F313" s="4">
        <v>2070</v>
      </c>
      <c r="G313" s="456">
        <f>'Key input_Biomass_MAgPIE'!E304</f>
        <v>0.50280000000000002</v>
      </c>
      <c r="H313" s="456">
        <f>'Key input_Biomass_MAgPIE'!F304</f>
        <v>0.50280000000000002</v>
      </c>
      <c r="I313" s="456">
        <f>'Key input_Biomass_MAgPIE'!G304</f>
        <v>0.50280000000000002</v>
      </c>
      <c r="J313" s="456">
        <f>'Key input_Biomass_MAgPIE'!H304</f>
        <v>0.50280000000000002</v>
      </c>
      <c r="K313" s="456">
        <f>'Key input_Biomass_MAgPIE'!I304</f>
        <v>0.50280000000000002</v>
      </c>
      <c r="L313" s="456">
        <f>'Key input_Biomass_MAgPIE'!J304</f>
        <v>0.50280000000000002</v>
      </c>
      <c r="M313" s="456">
        <f>'Key input_Biomass_MAgPIE'!K304</f>
        <v>0.50280000000000002</v>
      </c>
      <c r="N313" s="456">
        <f>'Key input_Biomass_MAgPIE'!L304</f>
        <v>0.50280000000000002</v>
      </c>
      <c r="O313" s="456">
        <f>'Key input_Biomass_MAgPIE'!M304</f>
        <v>0.50280000000000002</v>
      </c>
      <c r="P313" s="456">
        <f>'Key input_Biomass_MAgPIE'!N304</f>
        <v>0.50280000000000002</v>
      </c>
      <c r="Q313" s="456">
        <f>'Key input_Biomass_MAgPIE'!O304</f>
        <v>0.50280000000000002</v>
      </c>
      <c r="R313" s="456">
        <f>'Key input_Biomass_MAgPIE'!P304</f>
        <v>0.50280000000000002</v>
      </c>
      <c r="S313" s="456">
        <f>'Key input_Biomass_MAgPIE'!Q304</f>
        <v>0.50280000000000002</v>
      </c>
      <c r="T313" s="456">
        <f>'Key input_Biomass_MAgPIE'!R304</f>
        <v>0.50280000000000002</v>
      </c>
      <c r="U313" s="456">
        <f>'Key input_Biomass_MAgPIE'!S304</f>
        <v>0.50280000000000002</v>
      </c>
      <c r="V313" s="456">
        <f>'Key input_Biomass_MAgPIE'!T304</f>
        <v>0.50280000000000002</v>
      </c>
      <c r="W313" s="456">
        <f>'Key input_Biomass_MAgPIE'!U304</f>
        <v>0.50280000000000002</v>
      </c>
      <c r="X313" s="456">
        <f>'Key input_Biomass_MAgPIE'!V304</f>
        <v>0.50280000000000002</v>
      </c>
      <c r="Y313" s="456">
        <f>'Key input_Biomass_MAgPIE'!W304</f>
        <v>0.50280000000000002</v>
      </c>
      <c r="Z313" s="456">
        <f>'Key input_Biomass_MAgPIE'!X304</f>
        <v>0.50280000000000002</v>
      </c>
      <c r="AA313" s="456">
        <f>'Key input_Biomass_MAgPIE'!Y304</f>
        <v>0.50280000000000002</v>
      </c>
      <c r="AB313" s="456">
        <f>'Key input_Biomass_MAgPIE'!Z304</f>
        <v>0.50280000000000002</v>
      </c>
      <c r="AC313" s="456">
        <f>'Key input_Biomass_MAgPIE'!AA304</f>
        <v>0.50280000000000002</v>
      </c>
      <c r="AD313" s="456">
        <f>'Key input_Biomass_MAgPIE'!AB304</f>
        <v>0.50280000000000002</v>
      </c>
      <c r="AE313" s="456">
        <f>'Key input_Biomass_MAgPIE'!AC304</f>
        <v>0.50280000000000002</v>
      </c>
      <c r="AF313" s="456">
        <f>'Key input_Biomass_MAgPIE'!AD304</f>
        <v>0.50280000000000002</v>
      </c>
      <c r="AG313" s="456">
        <f>'Key input_Biomass_MAgPIE'!AE304</f>
        <v>0.50280000000000002</v>
      </c>
      <c r="AH313" s="456">
        <f>'Key input_Biomass_MAgPIE'!AF304</f>
        <v>0.50280000000000002</v>
      </c>
    </row>
    <row r="314" spans="1:34">
      <c r="A314" s="4" t="str">
        <f t="shared" si="116"/>
        <v>MIN-RSVBIOAGR2</v>
      </c>
      <c r="B314" s="4" t="str">
        <f t="shared" si="113"/>
        <v>UPS Reserves of Biomass - Agricultural residues - Reserve - Supply curve step 2</v>
      </c>
      <c r="C314" s="4" t="str">
        <f t="shared" si="114"/>
        <v>RSVBIOAGR</v>
      </c>
      <c r="D314" s="4" t="str">
        <f t="shared" si="115"/>
        <v>ACT_COST</v>
      </c>
      <c r="E314" s="4"/>
      <c r="F314" s="4">
        <v>2080</v>
      </c>
      <c r="G314" s="456">
        <f>'Key input_Biomass_MAgPIE'!E305</f>
        <v>0.50280000000000002</v>
      </c>
      <c r="H314" s="456">
        <f>'Key input_Biomass_MAgPIE'!F305</f>
        <v>0.50280000000000002</v>
      </c>
      <c r="I314" s="456">
        <f>'Key input_Biomass_MAgPIE'!G305</f>
        <v>0.50280000000000002</v>
      </c>
      <c r="J314" s="456">
        <f>'Key input_Biomass_MAgPIE'!H305</f>
        <v>0.50280000000000002</v>
      </c>
      <c r="K314" s="456">
        <f>'Key input_Biomass_MAgPIE'!I305</f>
        <v>0.50280000000000002</v>
      </c>
      <c r="L314" s="456">
        <f>'Key input_Biomass_MAgPIE'!J305</f>
        <v>0.50280000000000002</v>
      </c>
      <c r="M314" s="456">
        <f>'Key input_Biomass_MAgPIE'!K305</f>
        <v>0.50280000000000002</v>
      </c>
      <c r="N314" s="456">
        <f>'Key input_Biomass_MAgPIE'!L305</f>
        <v>0.50280000000000002</v>
      </c>
      <c r="O314" s="456">
        <f>'Key input_Biomass_MAgPIE'!M305</f>
        <v>0.50280000000000002</v>
      </c>
      <c r="P314" s="456">
        <f>'Key input_Biomass_MAgPIE'!N305</f>
        <v>0.50280000000000002</v>
      </c>
      <c r="Q314" s="456">
        <f>'Key input_Biomass_MAgPIE'!O305</f>
        <v>0.50280000000000002</v>
      </c>
      <c r="R314" s="456">
        <f>'Key input_Biomass_MAgPIE'!P305</f>
        <v>0.50280000000000002</v>
      </c>
      <c r="S314" s="456">
        <f>'Key input_Biomass_MAgPIE'!Q305</f>
        <v>0.50280000000000002</v>
      </c>
      <c r="T314" s="456">
        <f>'Key input_Biomass_MAgPIE'!R305</f>
        <v>0.50280000000000002</v>
      </c>
      <c r="U314" s="456">
        <f>'Key input_Biomass_MAgPIE'!S305</f>
        <v>0.50280000000000002</v>
      </c>
      <c r="V314" s="456">
        <f>'Key input_Biomass_MAgPIE'!T305</f>
        <v>0.50280000000000002</v>
      </c>
      <c r="W314" s="456">
        <f>'Key input_Biomass_MAgPIE'!U305</f>
        <v>0.50280000000000002</v>
      </c>
      <c r="X314" s="456">
        <f>'Key input_Biomass_MAgPIE'!V305</f>
        <v>0.50280000000000002</v>
      </c>
      <c r="Y314" s="456">
        <f>'Key input_Biomass_MAgPIE'!W305</f>
        <v>0.50280000000000002</v>
      </c>
      <c r="Z314" s="456">
        <f>'Key input_Biomass_MAgPIE'!X305</f>
        <v>0.50280000000000002</v>
      </c>
      <c r="AA314" s="456">
        <f>'Key input_Biomass_MAgPIE'!Y305</f>
        <v>0.50280000000000002</v>
      </c>
      <c r="AB314" s="456">
        <f>'Key input_Biomass_MAgPIE'!Z305</f>
        <v>0.50280000000000002</v>
      </c>
      <c r="AC314" s="456">
        <f>'Key input_Biomass_MAgPIE'!AA305</f>
        <v>0.50280000000000002</v>
      </c>
      <c r="AD314" s="456">
        <f>'Key input_Biomass_MAgPIE'!AB305</f>
        <v>0.50280000000000002</v>
      </c>
      <c r="AE314" s="456">
        <f>'Key input_Biomass_MAgPIE'!AC305</f>
        <v>0.50280000000000002</v>
      </c>
      <c r="AF314" s="456">
        <f>'Key input_Biomass_MAgPIE'!AD305</f>
        <v>0.50280000000000002</v>
      </c>
      <c r="AG314" s="456">
        <f>'Key input_Biomass_MAgPIE'!AE305</f>
        <v>0.50280000000000002</v>
      </c>
      <c r="AH314" s="456">
        <f>'Key input_Biomass_MAgPIE'!AF305</f>
        <v>0.50280000000000002</v>
      </c>
    </row>
    <row r="315" spans="1:34">
      <c r="A315" s="4" t="str">
        <f t="shared" si="116"/>
        <v>MIN-RSVBIOAGR2</v>
      </c>
      <c r="B315" s="4" t="str">
        <f t="shared" si="113"/>
        <v>UPS Reserves of Biomass - Agricultural residues - Reserve - Supply curve step 2</v>
      </c>
      <c r="C315" s="4" t="str">
        <f t="shared" si="114"/>
        <v>RSVBIOAGR</v>
      </c>
      <c r="D315" s="4" t="str">
        <f t="shared" si="115"/>
        <v>ACT_COST</v>
      </c>
      <c r="E315" s="4"/>
      <c r="F315" s="4">
        <v>2090</v>
      </c>
      <c r="G315" s="456">
        <f>'Key input_Biomass_MAgPIE'!E306</f>
        <v>0.50280000000000002</v>
      </c>
      <c r="H315" s="456">
        <f>'Key input_Biomass_MAgPIE'!F306</f>
        <v>0.50280000000000002</v>
      </c>
      <c r="I315" s="456">
        <f>'Key input_Biomass_MAgPIE'!G306</f>
        <v>0.50280000000000002</v>
      </c>
      <c r="J315" s="456">
        <f>'Key input_Biomass_MAgPIE'!H306</f>
        <v>0.50280000000000002</v>
      </c>
      <c r="K315" s="456">
        <f>'Key input_Biomass_MAgPIE'!I306</f>
        <v>0.50280000000000002</v>
      </c>
      <c r="L315" s="456">
        <f>'Key input_Biomass_MAgPIE'!J306</f>
        <v>0.50280000000000002</v>
      </c>
      <c r="M315" s="456">
        <f>'Key input_Biomass_MAgPIE'!K306</f>
        <v>0.50280000000000002</v>
      </c>
      <c r="N315" s="456">
        <f>'Key input_Biomass_MAgPIE'!L306</f>
        <v>0.50280000000000002</v>
      </c>
      <c r="O315" s="456">
        <f>'Key input_Biomass_MAgPIE'!M306</f>
        <v>0.50280000000000002</v>
      </c>
      <c r="P315" s="456">
        <f>'Key input_Biomass_MAgPIE'!N306</f>
        <v>0.50280000000000002</v>
      </c>
      <c r="Q315" s="456">
        <f>'Key input_Biomass_MAgPIE'!O306</f>
        <v>0.50280000000000002</v>
      </c>
      <c r="R315" s="456">
        <f>'Key input_Biomass_MAgPIE'!P306</f>
        <v>0.50280000000000002</v>
      </c>
      <c r="S315" s="456">
        <f>'Key input_Biomass_MAgPIE'!Q306</f>
        <v>0.50280000000000002</v>
      </c>
      <c r="T315" s="456">
        <f>'Key input_Biomass_MAgPIE'!R306</f>
        <v>0.50280000000000002</v>
      </c>
      <c r="U315" s="456">
        <f>'Key input_Biomass_MAgPIE'!S306</f>
        <v>0.50280000000000002</v>
      </c>
      <c r="V315" s="456">
        <f>'Key input_Biomass_MAgPIE'!T306</f>
        <v>0.50280000000000002</v>
      </c>
      <c r="W315" s="456">
        <f>'Key input_Biomass_MAgPIE'!U306</f>
        <v>0.50280000000000002</v>
      </c>
      <c r="X315" s="456">
        <f>'Key input_Biomass_MAgPIE'!V306</f>
        <v>0.50280000000000002</v>
      </c>
      <c r="Y315" s="456">
        <f>'Key input_Biomass_MAgPIE'!W306</f>
        <v>0.50280000000000002</v>
      </c>
      <c r="Z315" s="456">
        <f>'Key input_Biomass_MAgPIE'!X306</f>
        <v>0.50280000000000002</v>
      </c>
      <c r="AA315" s="456">
        <f>'Key input_Biomass_MAgPIE'!Y306</f>
        <v>0.50280000000000002</v>
      </c>
      <c r="AB315" s="456">
        <f>'Key input_Biomass_MAgPIE'!Z306</f>
        <v>0.50280000000000002</v>
      </c>
      <c r="AC315" s="456">
        <f>'Key input_Biomass_MAgPIE'!AA306</f>
        <v>0.50280000000000002</v>
      </c>
      <c r="AD315" s="456">
        <f>'Key input_Biomass_MAgPIE'!AB306</f>
        <v>0.50280000000000002</v>
      </c>
      <c r="AE315" s="456">
        <f>'Key input_Biomass_MAgPIE'!AC306</f>
        <v>0.50280000000000002</v>
      </c>
      <c r="AF315" s="456">
        <f>'Key input_Biomass_MAgPIE'!AD306</f>
        <v>0.50280000000000002</v>
      </c>
      <c r="AG315" s="456">
        <f>'Key input_Biomass_MAgPIE'!AE306</f>
        <v>0.50280000000000002</v>
      </c>
      <c r="AH315" s="456">
        <f>'Key input_Biomass_MAgPIE'!AF306</f>
        <v>0.50280000000000002</v>
      </c>
    </row>
    <row r="316" spans="1:34">
      <c r="A316" s="259" t="str">
        <f t="shared" si="116"/>
        <v>MIN-RSVBIOAGR2</v>
      </c>
      <c r="B316" s="259" t="str">
        <f t="shared" si="113"/>
        <v>UPS Reserves of Biomass - Agricultural residues - Reserve - Supply curve step 2</v>
      </c>
      <c r="C316" s="259" t="str">
        <f t="shared" si="114"/>
        <v>RSVBIOAGR</v>
      </c>
      <c r="D316" s="259" t="str">
        <f t="shared" si="115"/>
        <v>ACT_COST</v>
      </c>
      <c r="E316" s="259"/>
      <c r="F316" s="259">
        <v>2100</v>
      </c>
      <c r="G316" s="435">
        <f>'Key input_Biomass_MAgPIE'!E307</f>
        <v>0.50280000000000002</v>
      </c>
      <c r="H316" s="435">
        <f>'Key input_Biomass_MAgPIE'!F307</f>
        <v>0.50280000000000002</v>
      </c>
      <c r="I316" s="435">
        <f>'Key input_Biomass_MAgPIE'!G307</f>
        <v>0.50280000000000002</v>
      </c>
      <c r="J316" s="435">
        <f>'Key input_Biomass_MAgPIE'!H307</f>
        <v>0.50280000000000002</v>
      </c>
      <c r="K316" s="435">
        <f>'Key input_Biomass_MAgPIE'!I307</f>
        <v>0.50280000000000002</v>
      </c>
      <c r="L316" s="435">
        <f>'Key input_Biomass_MAgPIE'!J307</f>
        <v>0.50280000000000002</v>
      </c>
      <c r="M316" s="435">
        <f>'Key input_Biomass_MAgPIE'!K307</f>
        <v>0.50280000000000002</v>
      </c>
      <c r="N316" s="435">
        <f>'Key input_Biomass_MAgPIE'!L307</f>
        <v>0.50280000000000002</v>
      </c>
      <c r="O316" s="435">
        <f>'Key input_Biomass_MAgPIE'!M307</f>
        <v>0.50280000000000002</v>
      </c>
      <c r="P316" s="435">
        <f>'Key input_Biomass_MAgPIE'!N307</f>
        <v>0.50280000000000002</v>
      </c>
      <c r="Q316" s="435">
        <f>'Key input_Biomass_MAgPIE'!O307</f>
        <v>0.50280000000000002</v>
      </c>
      <c r="R316" s="435">
        <f>'Key input_Biomass_MAgPIE'!P307</f>
        <v>0.50280000000000002</v>
      </c>
      <c r="S316" s="435">
        <f>'Key input_Biomass_MAgPIE'!Q307</f>
        <v>0.50280000000000002</v>
      </c>
      <c r="T316" s="435">
        <f>'Key input_Biomass_MAgPIE'!R307</f>
        <v>0.50280000000000002</v>
      </c>
      <c r="U316" s="435">
        <f>'Key input_Biomass_MAgPIE'!S307</f>
        <v>0.50280000000000002</v>
      </c>
      <c r="V316" s="435">
        <f>'Key input_Biomass_MAgPIE'!T307</f>
        <v>0.50280000000000002</v>
      </c>
      <c r="W316" s="435">
        <f>'Key input_Biomass_MAgPIE'!U307</f>
        <v>0.50280000000000002</v>
      </c>
      <c r="X316" s="435">
        <f>'Key input_Biomass_MAgPIE'!V307</f>
        <v>0.50280000000000002</v>
      </c>
      <c r="Y316" s="435">
        <f>'Key input_Biomass_MAgPIE'!W307</f>
        <v>0.50280000000000002</v>
      </c>
      <c r="Z316" s="435">
        <f>'Key input_Biomass_MAgPIE'!X307</f>
        <v>0.50280000000000002</v>
      </c>
      <c r="AA316" s="435">
        <f>'Key input_Biomass_MAgPIE'!Y307</f>
        <v>0.50280000000000002</v>
      </c>
      <c r="AB316" s="435">
        <f>'Key input_Biomass_MAgPIE'!Z307</f>
        <v>0.50280000000000002</v>
      </c>
      <c r="AC316" s="435">
        <f>'Key input_Biomass_MAgPIE'!AA307</f>
        <v>0.50280000000000002</v>
      </c>
      <c r="AD316" s="435">
        <f>'Key input_Biomass_MAgPIE'!AB307</f>
        <v>0.50280000000000002</v>
      </c>
      <c r="AE316" s="435">
        <f>'Key input_Biomass_MAgPIE'!AC307</f>
        <v>0.50280000000000002</v>
      </c>
      <c r="AF316" s="435">
        <f>'Key input_Biomass_MAgPIE'!AD307</f>
        <v>0.50280000000000002</v>
      </c>
      <c r="AG316" s="435">
        <f>'Key input_Biomass_MAgPIE'!AE307</f>
        <v>0.50280000000000002</v>
      </c>
      <c r="AH316" s="435">
        <f>'Key input_Biomass_MAgPIE'!AF307</f>
        <v>0.50280000000000002</v>
      </c>
    </row>
    <row r="317" spans="1:34">
      <c r="A317" s="4" t="str">
        <f>AK19</f>
        <v>MIN-RSVBIOAGR3</v>
      </c>
      <c r="B317" s="4" t="str">
        <f>AL19</f>
        <v>UPS Reserves of Biomass - Agricultural residues - Reserve - Supply curve step 3</v>
      </c>
      <c r="C317" s="4" t="str">
        <f>Commodities!$C$17</f>
        <v>RSVBIOAGR</v>
      </c>
      <c r="D317" s="4" t="s">
        <v>675</v>
      </c>
      <c r="E317" s="4"/>
      <c r="F317" s="4">
        <v>2019</v>
      </c>
      <c r="G317" s="258">
        <f>'Key input_Biomass_MAgPIE'!E308</f>
        <v>0.58660000000000001</v>
      </c>
      <c r="H317" s="258">
        <f>'Key input_Biomass_MAgPIE'!F308</f>
        <v>0.58660000000000001</v>
      </c>
      <c r="I317" s="258">
        <f>'Key input_Biomass_MAgPIE'!G308</f>
        <v>0.58660000000000001</v>
      </c>
      <c r="J317" s="258">
        <f>'Key input_Biomass_MAgPIE'!H308</f>
        <v>0.58660000000000001</v>
      </c>
      <c r="K317" s="258">
        <f>'Key input_Biomass_MAgPIE'!I308</f>
        <v>0.58660000000000001</v>
      </c>
      <c r="L317" s="258">
        <f>'Key input_Biomass_MAgPIE'!J308</f>
        <v>0.58660000000000001</v>
      </c>
      <c r="M317" s="258">
        <f>'Key input_Biomass_MAgPIE'!K308</f>
        <v>0.58660000000000001</v>
      </c>
      <c r="N317" s="258">
        <f>'Key input_Biomass_MAgPIE'!L308</f>
        <v>0.58660000000000001</v>
      </c>
      <c r="O317" s="258">
        <f>'Key input_Biomass_MAgPIE'!M308</f>
        <v>0.58660000000000001</v>
      </c>
      <c r="P317" s="258">
        <f>'Key input_Biomass_MAgPIE'!N308</f>
        <v>0.58660000000000001</v>
      </c>
      <c r="Q317" s="258">
        <f>'Key input_Biomass_MAgPIE'!O308</f>
        <v>0.58660000000000001</v>
      </c>
      <c r="R317" s="258">
        <f>'Key input_Biomass_MAgPIE'!P308</f>
        <v>0.58660000000000001</v>
      </c>
      <c r="S317" s="258">
        <f>'Key input_Biomass_MAgPIE'!Q308</f>
        <v>0.58660000000000001</v>
      </c>
      <c r="T317" s="258">
        <f>'Key input_Biomass_MAgPIE'!R308</f>
        <v>0.58660000000000001</v>
      </c>
      <c r="U317" s="258">
        <f>'Key input_Biomass_MAgPIE'!S308</f>
        <v>0.58660000000000001</v>
      </c>
      <c r="V317" s="258">
        <f>'Key input_Biomass_MAgPIE'!T308</f>
        <v>0.58660000000000001</v>
      </c>
      <c r="W317" s="258">
        <f>'Key input_Biomass_MAgPIE'!U308</f>
        <v>0.58660000000000001</v>
      </c>
      <c r="X317" s="258">
        <f>'Key input_Biomass_MAgPIE'!V308</f>
        <v>0.58660000000000001</v>
      </c>
      <c r="Y317" s="258">
        <f>'Key input_Biomass_MAgPIE'!W308</f>
        <v>0.58660000000000001</v>
      </c>
      <c r="Z317" s="258">
        <f>'Key input_Biomass_MAgPIE'!X308</f>
        <v>0.58660000000000001</v>
      </c>
      <c r="AA317" s="258">
        <f>'Key input_Biomass_MAgPIE'!Y308</f>
        <v>0.58660000000000001</v>
      </c>
      <c r="AB317" s="258">
        <f>'Key input_Biomass_MAgPIE'!Z308</f>
        <v>0.58660000000000001</v>
      </c>
      <c r="AC317" s="258">
        <f>'Key input_Biomass_MAgPIE'!AA308</f>
        <v>0.58660000000000001</v>
      </c>
      <c r="AD317" s="258">
        <f>'Key input_Biomass_MAgPIE'!AB308</f>
        <v>0.58660000000000001</v>
      </c>
      <c r="AE317" s="258">
        <f>'Key input_Biomass_MAgPIE'!AC308</f>
        <v>0.58660000000000001</v>
      </c>
      <c r="AF317" s="258">
        <f>'Key input_Biomass_MAgPIE'!AD308</f>
        <v>0.58660000000000001</v>
      </c>
      <c r="AG317" s="258">
        <f>'Key input_Biomass_MAgPIE'!AE308</f>
        <v>0.58660000000000001</v>
      </c>
      <c r="AH317" s="258">
        <f>'Key input_Biomass_MAgPIE'!AF308</f>
        <v>0.58660000000000001</v>
      </c>
    </row>
    <row r="318" spans="1:34">
      <c r="A318" s="4" t="str">
        <f>A317</f>
        <v>MIN-RSVBIOAGR3</v>
      </c>
      <c r="B318" s="4" t="str">
        <f t="shared" ref="B318:B329" si="117">B317</f>
        <v>UPS Reserves of Biomass - Agricultural residues - Reserve - Supply curve step 3</v>
      </c>
      <c r="C318" s="4" t="str">
        <f t="shared" ref="C318:C329" si="118">C317</f>
        <v>RSVBIOAGR</v>
      </c>
      <c r="D318" s="4" t="str">
        <f t="shared" ref="D318:D329" si="119">D317</f>
        <v>ACT_COST</v>
      </c>
      <c r="E318" s="4"/>
      <c r="F318" s="4">
        <v>2020</v>
      </c>
      <c r="G318" s="456">
        <f>'Key input_Biomass_MAgPIE'!E309</f>
        <v>0.58660000000000001</v>
      </c>
      <c r="H318" s="456">
        <f>'Key input_Biomass_MAgPIE'!F309</f>
        <v>0.58660000000000001</v>
      </c>
      <c r="I318" s="456">
        <f>'Key input_Biomass_MAgPIE'!G309</f>
        <v>0.58660000000000001</v>
      </c>
      <c r="J318" s="456">
        <f>'Key input_Biomass_MAgPIE'!H309</f>
        <v>0.58660000000000001</v>
      </c>
      <c r="K318" s="456">
        <f>'Key input_Biomass_MAgPIE'!I309</f>
        <v>0.58660000000000001</v>
      </c>
      <c r="L318" s="456">
        <f>'Key input_Biomass_MAgPIE'!J309</f>
        <v>0.58660000000000001</v>
      </c>
      <c r="M318" s="456">
        <f>'Key input_Biomass_MAgPIE'!K309</f>
        <v>0.58660000000000001</v>
      </c>
      <c r="N318" s="456">
        <f>'Key input_Biomass_MAgPIE'!L309</f>
        <v>0.58660000000000001</v>
      </c>
      <c r="O318" s="456">
        <f>'Key input_Biomass_MAgPIE'!M309</f>
        <v>0.58660000000000001</v>
      </c>
      <c r="P318" s="456">
        <f>'Key input_Biomass_MAgPIE'!N309</f>
        <v>0.58660000000000001</v>
      </c>
      <c r="Q318" s="456">
        <f>'Key input_Biomass_MAgPIE'!O309</f>
        <v>0.58660000000000001</v>
      </c>
      <c r="R318" s="456">
        <f>'Key input_Biomass_MAgPIE'!P309</f>
        <v>0.58660000000000001</v>
      </c>
      <c r="S318" s="456">
        <f>'Key input_Biomass_MAgPIE'!Q309</f>
        <v>0.58660000000000001</v>
      </c>
      <c r="T318" s="456">
        <f>'Key input_Biomass_MAgPIE'!R309</f>
        <v>0.58660000000000001</v>
      </c>
      <c r="U318" s="456">
        <f>'Key input_Biomass_MAgPIE'!S309</f>
        <v>0.58660000000000001</v>
      </c>
      <c r="V318" s="456">
        <f>'Key input_Biomass_MAgPIE'!T309</f>
        <v>0.58660000000000001</v>
      </c>
      <c r="W318" s="456">
        <f>'Key input_Biomass_MAgPIE'!U309</f>
        <v>0.58660000000000001</v>
      </c>
      <c r="X318" s="456">
        <f>'Key input_Biomass_MAgPIE'!V309</f>
        <v>0.58660000000000001</v>
      </c>
      <c r="Y318" s="456">
        <f>'Key input_Biomass_MAgPIE'!W309</f>
        <v>0.58660000000000001</v>
      </c>
      <c r="Z318" s="456">
        <f>'Key input_Biomass_MAgPIE'!X309</f>
        <v>0.58660000000000001</v>
      </c>
      <c r="AA318" s="456">
        <f>'Key input_Biomass_MAgPIE'!Y309</f>
        <v>0.58660000000000001</v>
      </c>
      <c r="AB318" s="456">
        <f>'Key input_Biomass_MAgPIE'!Z309</f>
        <v>0.58660000000000001</v>
      </c>
      <c r="AC318" s="456">
        <f>'Key input_Biomass_MAgPIE'!AA309</f>
        <v>0.58660000000000001</v>
      </c>
      <c r="AD318" s="456">
        <f>'Key input_Biomass_MAgPIE'!AB309</f>
        <v>0.58660000000000001</v>
      </c>
      <c r="AE318" s="456">
        <f>'Key input_Biomass_MAgPIE'!AC309</f>
        <v>0.58660000000000001</v>
      </c>
      <c r="AF318" s="456">
        <f>'Key input_Biomass_MAgPIE'!AD309</f>
        <v>0.58660000000000001</v>
      </c>
      <c r="AG318" s="456">
        <f>'Key input_Biomass_MAgPIE'!AE309</f>
        <v>0.58660000000000001</v>
      </c>
      <c r="AH318" s="456">
        <f>'Key input_Biomass_MAgPIE'!AF309</f>
        <v>0.58660000000000001</v>
      </c>
    </row>
    <row r="319" spans="1:34">
      <c r="A319" s="4" t="str">
        <f t="shared" ref="A319:A329" si="120">A318</f>
        <v>MIN-RSVBIOAGR3</v>
      </c>
      <c r="B319" s="4" t="str">
        <f t="shared" si="117"/>
        <v>UPS Reserves of Biomass - Agricultural residues - Reserve - Supply curve step 3</v>
      </c>
      <c r="C319" s="4" t="str">
        <f t="shared" si="118"/>
        <v>RSVBIOAGR</v>
      </c>
      <c r="D319" s="4" t="str">
        <f t="shared" si="119"/>
        <v>ACT_COST</v>
      </c>
      <c r="E319" s="4"/>
      <c r="F319" s="4">
        <v>2025</v>
      </c>
      <c r="G319" s="456">
        <f>'Key input_Biomass_MAgPIE'!E310</f>
        <v>0.58660000000000001</v>
      </c>
      <c r="H319" s="456">
        <f>'Key input_Biomass_MAgPIE'!F310</f>
        <v>0.58660000000000001</v>
      </c>
      <c r="I319" s="456">
        <f>'Key input_Biomass_MAgPIE'!G310</f>
        <v>0.58660000000000001</v>
      </c>
      <c r="J319" s="456">
        <f>'Key input_Biomass_MAgPIE'!H310</f>
        <v>0.58660000000000001</v>
      </c>
      <c r="K319" s="456">
        <f>'Key input_Biomass_MAgPIE'!I310</f>
        <v>0.58660000000000001</v>
      </c>
      <c r="L319" s="456">
        <f>'Key input_Biomass_MAgPIE'!J310</f>
        <v>0.58660000000000001</v>
      </c>
      <c r="M319" s="456">
        <f>'Key input_Biomass_MAgPIE'!K310</f>
        <v>0.58660000000000001</v>
      </c>
      <c r="N319" s="456">
        <f>'Key input_Biomass_MAgPIE'!L310</f>
        <v>0.58660000000000001</v>
      </c>
      <c r="O319" s="456">
        <f>'Key input_Biomass_MAgPIE'!M310</f>
        <v>0.58660000000000001</v>
      </c>
      <c r="P319" s="456">
        <f>'Key input_Biomass_MAgPIE'!N310</f>
        <v>0.58660000000000001</v>
      </c>
      <c r="Q319" s="456">
        <f>'Key input_Biomass_MAgPIE'!O310</f>
        <v>0.58660000000000001</v>
      </c>
      <c r="R319" s="456">
        <f>'Key input_Biomass_MAgPIE'!P310</f>
        <v>0.58660000000000001</v>
      </c>
      <c r="S319" s="456">
        <f>'Key input_Biomass_MAgPIE'!Q310</f>
        <v>0.58660000000000001</v>
      </c>
      <c r="T319" s="456">
        <f>'Key input_Biomass_MAgPIE'!R310</f>
        <v>0.58660000000000001</v>
      </c>
      <c r="U319" s="456">
        <f>'Key input_Biomass_MAgPIE'!S310</f>
        <v>0.58660000000000001</v>
      </c>
      <c r="V319" s="456">
        <f>'Key input_Biomass_MAgPIE'!T310</f>
        <v>0.58660000000000001</v>
      </c>
      <c r="W319" s="456">
        <f>'Key input_Biomass_MAgPIE'!U310</f>
        <v>0.58660000000000001</v>
      </c>
      <c r="X319" s="456">
        <f>'Key input_Biomass_MAgPIE'!V310</f>
        <v>0.58660000000000001</v>
      </c>
      <c r="Y319" s="456">
        <f>'Key input_Biomass_MAgPIE'!W310</f>
        <v>0.58660000000000001</v>
      </c>
      <c r="Z319" s="456">
        <f>'Key input_Biomass_MAgPIE'!X310</f>
        <v>0.58660000000000001</v>
      </c>
      <c r="AA319" s="456">
        <f>'Key input_Biomass_MAgPIE'!Y310</f>
        <v>0.58660000000000001</v>
      </c>
      <c r="AB319" s="456">
        <f>'Key input_Biomass_MAgPIE'!Z310</f>
        <v>0.58660000000000001</v>
      </c>
      <c r="AC319" s="456">
        <f>'Key input_Biomass_MAgPIE'!AA310</f>
        <v>0.58660000000000001</v>
      </c>
      <c r="AD319" s="456">
        <f>'Key input_Biomass_MAgPIE'!AB310</f>
        <v>0.58660000000000001</v>
      </c>
      <c r="AE319" s="456">
        <f>'Key input_Biomass_MAgPIE'!AC310</f>
        <v>0.58660000000000001</v>
      </c>
      <c r="AF319" s="456">
        <f>'Key input_Biomass_MAgPIE'!AD310</f>
        <v>0.58660000000000001</v>
      </c>
      <c r="AG319" s="456">
        <f>'Key input_Biomass_MAgPIE'!AE310</f>
        <v>0.58660000000000001</v>
      </c>
      <c r="AH319" s="456">
        <f>'Key input_Biomass_MAgPIE'!AF310</f>
        <v>0.58660000000000001</v>
      </c>
    </row>
    <row r="320" spans="1:34">
      <c r="A320" s="4" t="str">
        <f t="shared" si="120"/>
        <v>MIN-RSVBIOAGR3</v>
      </c>
      <c r="B320" s="4" t="str">
        <f t="shared" si="117"/>
        <v>UPS Reserves of Biomass - Agricultural residues - Reserve - Supply curve step 3</v>
      </c>
      <c r="C320" s="4" t="str">
        <f t="shared" si="118"/>
        <v>RSVBIOAGR</v>
      </c>
      <c r="D320" s="4" t="str">
        <f t="shared" si="119"/>
        <v>ACT_COST</v>
      </c>
      <c r="E320" s="4"/>
      <c r="F320" s="4">
        <v>2030</v>
      </c>
      <c r="G320" s="456">
        <f>'Key input_Biomass_MAgPIE'!E311</f>
        <v>0.58660000000000001</v>
      </c>
      <c r="H320" s="456">
        <f>'Key input_Biomass_MAgPIE'!F311</f>
        <v>0.58660000000000001</v>
      </c>
      <c r="I320" s="456">
        <f>'Key input_Biomass_MAgPIE'!G311</f>
        <v>0.58660000000000001</v>
      </c>
      <c r="J320" s="456">
        <f>'Key input_Biomass_MAgPIE'!H311</f>
        <v>0.58660000000000001</v>
      </c>
      <c r="K320" s="456">
        <f>'Key input_Biomass_MAgPIE'!I311</f>
        <v>0.58660000000000001</v>
      </c>
      <c r="L320" s="456">
        <f>'Key input_Biomass_MAgPIE'!J311</f>
        <v>0.58660000000000001</v>
      </c>
      <c r="M320" s="456">
        <f>'Key input_Biomass_MAgPIE'!K311</f>
        <v>0.58660000000000001</v>
      </c>
      <c r="N320" s="456">
        <f>'Key input_Biomass_MAgPIE'!L311</f>
        <v>0.58660000000000001</v>
      </c>
      <c r="O320" s="456">
        <f>'Key input_Biomass_MAgPIE'!M311</f>
        <v>0.58660000000000001</v>
      </c>
      <c r="P320" s="456">
        <f>'Key input_Biomass_MAgPIE'!N311</f>
        <v>0.58660000000000001</v>
      </c>
      <c r="Q320" s="456">
        <f>'Key input_Biomass_MAgPIE'!O311</f>
        <v>0.58660000000000001</v>
      </c>
      <c r="R320" s="456">
        <f>'Key input_Biomass_MAgPIE'!P311</f>
        <v>0.58660000000000001</v>
      </c>
      <c r="S320" s="456">
        <f>'Key input_Biomass_MAgPIE'!Q311</f>
        <v>0.58660000000000001</v>
      </c>
      <c r="T320" s="456">
        <f>'Key input_Biomass_MAgPIE'!R311</f>
        <v>0.58660000000000001</v>
      </c>
      <c r="U320" s="456">
        <f>'Key input_Biomass_MAgPIE'!S311</f>
        <v>0.58660000000000001</v>
      </c>
      <c r="V320" s="456">
        <f>'Key input_Biomass_MAgPIE'!T311</f>
        <v>0.58660000000000001</v>
      </c>
      <c r="W320" s="456">
        <f>'Key input_Biomass_MAgPIE'!U311</f>
        <v>0.58660000000000001</v>
      </c>
      <c r="X320" s="456">
        <f>'Key input_Biomass_MAgPIE'!V311</f>
        <v>0.58660000000000001</v>
      </c>
      <c r="Y320" s="456">
        <f>'Key input_Biomass_MAgPIE'!W311</f>
        <v>0.58660000000000001</v>
      </c>
      <c r="Z320" s="456">
        <f>'Key input_Biomass_MAgPIE'!X311</f>
        <v>0.58660000000000001</v>
      </c>
      <c r="AA320" s="456">
        <f>'Key input_Biomass_MAgPIE'!Y311</f>
        <v>0.58660000000000001</v>
      </c>
      <c r="AB320" s="456">
        <f>'Key input_Biomass_MAgPIE'!Z311</f>
        <v>0.58660000000000001</v>
      </c>
      <c r="AC320" s="456">
        <f>'Key input_Biomass_MAgPIE'!AA311</f>
        <v>0.58660000000000001</v>
      </c>
      <c r="AD320" s="456">
        <f>'Key input_Biomass_MAgPIE'!AB311</f>
        <v>0.58660000000000001</v>
      </c>
      <c r="AE320" s="456">
        <f>'Key input_Biomass_MAgPIE'!AC311</f>
        <v>0.58660000000000001</v>
      </c>
      <c r="AF320" s="456">
        <f>'Key input_Biomass_MAgPIE'!AD311</f>
        <v>0.58660000000000001</v>
      </c>
      <c r="AG320" s="456">
        <f>'Key input_Biomass_MAgPIE'!AE311</f>
        <v>0.58660000000000001</v>
      </c>
      <c r="AH320" s="456">
        <f>'Key input_Biomass_MAgPIE'!AF311</f>
        <v>0.58660000000000001</v>
      </c>
    </row>
    <row r="321" spans="1:34">
      <c r="A321" s="4" t="str">
        <f t="shared" si="120"/>
        <v>MIN-RSVBIOAGR3</v>
      </c>
      <c r="B321" s="4" t="str">
        <f t="shared" si="117"/>
        <v>UPS Reserves of Biomass - Agricultural residues - Reserve - Supply curve step 3</v>
      </c>
      <c r="C321" s="4" t="str">
        <f t="shared" si="118"/>
        <v>RSVBIOAGR</v>
      </c>
      <c r="D321" s="4" t="str">
        <f t="shared" si="119"/>
        <v>ACT_COST</v>
      </c>
      <c r="E321" s="4"/>
      <c r="F321" s="4">
        <v>2035</v>
      </c>
      <c r="G321" s="456">
        <f>'Key input_Biomass_MAgPIE'!E312</f>
        <v>0.58660000000000001</v>
      </c>
      <c r="H321" s="456">
        <f>'Key input_Biomass_MAgPIE'!F312</f>
        <v>0.58660000000000001</v>
      </c>
      <c r="I321" s="456">
        <f>'Key input_Biomass_MAgPIE'!G312</f>
        <v>0.58660000000000001</v>
      </c>
      <c r="J321" s="456">
        <f>'Key input_Biomass_MAgPIE'!H312</f>
        <v>0.58660000000000001</v>
      </c>
      <c r="K321" s="456">
        <f>'Key input_Biomass_MAgPIE'!I312</f>
        <v>0.58660000000000001</v>
      </c>
      <c r="L321" s="456">
        <f>'Key input_Biomass_MAgPIE'!J312</f>
        <v>0.58660000000000001</v>
      </c>
      <c r="M321" s="456">
        <f>'Key input_Biomass_MAgPIE'!K312</f>
        <v>0.58660000000000001</v>
      </c>
      <c r="N321" s="456">
        <f>'Key input_Biomass_MAgPIE'!L312</f>
        <v>0.58660000000000001</v>
      </c>
      <c r="O321" s="456">
        <f>'Key input_Biomass_MAgPIE'!M312</f>
        <v>0.58660000000000001</v>
      </c>
      <c r="P321" s="456">
        <f>'Key input_Biomass_MAgPIE'!N312</f>
        <v>0.58660000000000001</v>
      </c>
      <c r="Q321" s="456">
        <f>'Key input_Biomass_MAgPIE'!O312</f>
        <v>0.58660000000000001</v>
      </c>
      <c r="R321" s="456">
        <f>'Key input_Biomass_MAgPIE'!P312</f>
        <v>0.58660000000000001</v>
      </c>
      <c r="S321" s="456">
        <f>'Key input_Biomass_MAgPIE'!Q312</f>
        <v>0.58660000000000001</v>
      </c>
      <c r="T321" s="456">
        <f>'Key input_Biomass_MAgPIE'!R312</f>
        <v>0.58660000000000001</v>
      </c>
      <c r="U321" s="456">
        <f>'Key input_Biomass_MAgPIE'!S312</f>
        <v>0.58660000000000001</v>
      </c>
      <c r="V321" s="456">
        <f>'Key input_Biomass_MAgPIE'!T312</f>
        <v>0.58660000000000001</v>
      </c>
      <c r="W321" s="456">
        <f>'Key input_Biomass_MAgPIE'!U312</f>
        <v>0.58660000000000001</v>
      </c>
      <c r="X321" s="456">
        <f>'Key input_Biomass_MAgPIE'!V312</f>
        <v>0.58660000000000001</v>
      </c>
      <c r="Y321" s="456">
        <f>'Key input_Biomass_MAgPIE'!W312</f>
        <v>0.58660000000000001</v>
      </c>
      <c r="Z321" s="456">
        <f>'Key input_Biomass_MAgPIE'!X312</f>
        <v>0.58660000000000001</v>
      </c>
      <c r="AA321" s="456">
        <f>'Key input_Biomass_MAgPIE'!Y312</f>
        <v>0.58660000000000001</v>
      </c>
      <c r="AB321" s="456">
        <f>'Key input_Biomass_MAgPIE'!Z312</f>
        <v>0.58660000000000001</v>
      </c>
      <c r="AC321" s="456">
        <f>'Key input_Biomass_MAgPIE'!AA312</f>
        <v>0.58660000000000001</v>
      </c>
      <c r="AD321" s="456">
        <f>'Key input_Biomass_MAgPIE'!AB312</f>
        <v>0.58660000000000001</v>
      </c>
      <c r="AE321" s="456">
        <f>'Key input_Biomass_MAgPIE'!AC312</f>
        <v>0.58660000000000001</v>
      </c>
      <c r="AF321" s="456">
        <f>'Key input_Biomass_MAgPIE'!AD312</f>
        <v>0.58660000000000001</v>
      </c>
      <c r="AG321" s="456">
        <f>'Key input_Biomass_MAgPIE'!AE312</f>
        <v>0.58660000000000001</v>
      </c>
      <c r="AH321" s="456">
        <f>'Key input_Biomass_MAgPIE'!AF312</f>
        <v>0.58660000000000001</v>
      </c>
    </row>
    <row r="322" spans="1:34">
      <c r="A322" s="4" t="str">
        <f t="shared" si="120"/>
        <v>MIN-RSVBIOAGR3</v>
      </c>
      <c r="B322" s="4" t="str">
        <f t="shared" si="117"/>
        <v>UPS Reserves of Biomass - Agricultural residues - Reserve - Supply curve step 3</v>
      </c>
      <c r="C322" s="4" t="str">
        <f t="shared" si="118"/>
        <v>RSVBIOAGR</v>
      </c>
      <c r="D322" s="4" t="str">
        <f t="shared" si="119"/>
        <v>ACT_COST</v>
      </c>
      <c r="E322" s="4"/>
      <c r="F322" s="4">
        <v>2040</v>
      </c>
      <c r="G322" s="456">
        <f>'Key input_Biomass_MAgPIE'!E313</f>
        <v>0.58660000000000001</v>
      </c>
      <c r="H322" s="456">
        <f>'Key input_Biomass_MAgPIE'!F313</f>
        <v>0.58660000000000001</v>
      </c>
      <c r="I322" s="456">
        <f>'Key input_Biomass_MAgPIE'!G313</f>
        <v>0.58660000000000001</v>
      </c>
      <c r="J322" s="456">
        <f>'Key input_Biomass_MAgPIE'!H313</f>
        <v>0.58660000000000001</v>
      </c>
      <c r="K322" s="456">
        <f>'Key input_Biomass_MAgPIE'!I313</f>
        <v>0.58660000000000001</v>
      </c>
      <c r="L322" s="456">
        <f>'Key input_Biomass_MAgPIE'!J313</f>
        <v>0.58660000000000001</v>
      </c>
      <c r="M322" s="456">
        <f>'Key input_Biomass_MAgPIE'!K313</f>
        <v>0.58660000000000001</v>
      </c>
      <c r="N322" s="456">
        <f>'Key input_Biomass_MAgPIE'!L313</f>
        <v>0.58660000000000001</v>
      </c>
      <c r="O322" s="456">
        <f>'Key input_Biomass_MAgPIE'!M313</f>
        <v>0.58660000000000001</v>
      </c>
      <c r="P322" s="456">
        <f>'Key input_Biomass_MAgPIE'!N313</f>
        <v>0.58660000000000001</v>
      </c>
      <c r="Q322" s="456">
        <f>'Key input_Biomass_MAgPIE'!O313</f>
        <v>0.58660000000000001</v>
      </c>
      <c r="R322" s="456">
        <f>'Key input_Biomass_MAgPIE'!P313</f>
        <v>0.58660000000000001</v>
      </c>
      <c r="S322" s="456">
        <f>'Key input_Biomass_MAgPIE'!Q313</f>
        <v>0.58660000000000001</v>
      </c>
      <c r="T322" s="456">
        <f>'Key input_Biomass_MAgPIE'!R313</f>
        <v>0.58660000000000001</v>
      </c>
      <c r="U322" s="456">
        <f>'Key input_Biomass_MAgPIE'!S313</f>
        <v>0.58660000000000001</v>
      </c>
      <c r="V322" s="456">
        <f>'Key input_Biomass_MAgPIE'!T313</f>
        <v>0.58660000000000001</v>
      </c>
      <c r="W322" s="456">
        <f>'Key input_Biomass_MAgPIE'!U313</f>
        <v>0.58660000000000001</v>
      </c>
      <c r="X322" s="456">
        <f>'Key input_Biomass_MAgPIE'!V313</f>
        <v>0.58660000000000001</v>
      </c>
      <c r="Y322" s="456">
        <f>'Key input_Biomass_MAgPIE'!W313</f>
        <v>0.58660000000000001</v>
      </c>
      <c r="Z322" s="456">
        <f>'Key input_Biomass_MAgPIE'!X313</f>
        <v>0.58660000000000001</v>
      </c>
      <c r="AA322" s="456">
        <f>'Key input_Biomass_MAgPIE'!Y313</f>
        <v>0.58660000000000001</v>
      </c>
      <c r="AB322" s="456">
        <f>'Key input_Biomass_MAgPIE'!Z313</f>
        <v>0.58660000000000001</v>
      </c>
      <c r="AC322" s="456">
        <f>'Key input_Biomass_MAgPIE'!AA313</f>
        <v>0.58660000000000001</v>
      </c>
      <c r="AD322" s="456">
        <f>'Key input_Biomass_MAgPIE'!AB313</f>
        <v>0.58660000000000001</v>
      </c>
      <c r="AE322" s="456">
        <f>'Key input_Biomass_MAgPIE'!AC313</f>
        <v>0.58660000000000001</v>
      </c>
      <c r="AF322" s="456">
        <f>'Key input_Biomass_MAgPIE'!AD313</f>
        <v>0.58660000000000001</v>
      </c>
      <c r="AG322" s="456">
        <f>'Key input_Biomass_MAgPIE'!AE313</f>
        <v>0.58660000000000001</v>
      </c>
      <c r="AH322" s="456">
        <f>'Key input_Biomass_MAgPIE'!AF313</f>
        <v>0.58660000000000001</v>
      </c>
    </row>
    <row r="323" spans="1:34">
      <c r="A323" s="4" t="str">
        <f t="shared" si="120"/>
        <v>MIN-RSVBIOAGR3</v>
      </c>
      <c r="B323" s="4" t="str">
        <f t="shared" si="117"/>
        <v>UPS Reserves of Biomass - Agricultural residues - Reserve - Supply curve step 3</v>
      </c>
      <c r="C323" s="4" t="str">
        <f t="shared" si="118"/>
        <v>RSVBIOAGR</v>
      </c>
      <c r="D323" s="4" t="str">
        <f t="shared" si="119"/>
        <v>ACT_COST</v>
      </c>
      <c r="E323" s="4"/>
      <c r="F323" s="4">
        <v>2045</v>
      </c>
      <c r="G323" s="456">
        <f>'Key input_Biomass_MAgPIE'!E314</f>
        <v>0.58660000000000001</v>
      </c>
      <c r="H323" s="456">
        <f>'Key input_Biomass_MAgPIE'!F314</f>
        <v>0.58660000000000001</v>
      </c>
      <c r="I323" s="456">
        <f>'Key input_Biomass_MAgPIE'!G314</f>
        <v>0.58660000000000001</v>
      </c>
      <c r="J323" s="456">
        <f>'Key input_Biomass_MAgPIE'!H314</f>
        <v>0.58660000000000001</v>
      </c>
      <c r="K323" s="456">
        <f>'Key input_Biomass_MAgPIE'!I314</f>
        <v>0.58660000000000001</v>
      </c>
      <c r="L323" s="456">
        <f>'Key input_Biomass_MAgPIE'!J314</f>
        <v>0.58660000000000001</v>
      </c>
      <c r="M323" s="456">
        <f>'Key input_Biomass_MAgPIE'!K314</f>
        <v>0.58660000000000001</v>
      </c>
      <c r="N323" s="456">
        <f>'Key input_Biomass_MAgPIE'!L314</f>
        <v>0.58660000000000001</v>
      </c>
      <c r="O323" s="456">
        <f>'Key input_Biomass_MAgPIE'!M314</f>
        <v>0.58660000000000001</v>
      </c>
      <c r="P323" s="456">
        <f>'Key input_Biomass_MAgPIE'!N314</f>
        <v>0.58660000000000001</v>
      </c>
      <c r="Q323" s="456">
        <f>'Key input_Biomass_MAgPIE'!O314</f>
        <v>0.58660000000000001</v>
      </c>
      <c r="R323" s="456">
        <f>'Key input_Biomass_MAgPIE'!P314</f>
        <v>0.58660000000000001</v>
      </c>
      <c r="S323" s="456">
        <f>'Key input_Biomass_MAgPIE'!Q314</f>
        <v>0.58660000000000001</v>
      </c>
      <c r="T323" s="456">
        <f>'Key input_Biomass_MAgPIE'!R314</f>
        <v>0.58660000000000001</v>
      </c>
      <c r="U323" s="456">
        <f>'Key input_Biomass_MAgPIE'!S314</f>
        <v>0.58660000000000001</v>
      </c>
      <c r="V323" s="456">
        <f>'Key input_Biomass_MAgPIE'!T314</f>
        <v>0.58660000000000001</v>
      </c>
      <c r="W323" s="456">
        <f>'Key input_Biomass_MAgPIE'!U314</f>
        <v>0.58660000000000001</v>
      </c>
      <c r="X323" s="456">
        <f>'Key input_Biomass_MAgPIE'!V314</f>
        <v>0.58660000000000001</v>
      </c>
      <c r="Y323" s="456">
        <f>'Key input_Biomass_MAgPIE'!W314</f>
        <v>0.58660000000000001</v>
      </c>
      <c r="Z323" s="456">
        <f>'Key input_Biomass_MAgPIE'!X314</f>
        <v>0.58660000000000001</v>
      </c>
      <c r="AA323" s="456">
        <f>'Key input_Biomass_MAgPIE'!Y314</f>
        <v>0.58660000000000001</v>
      </c>
      <c r="AB323" s="456">
        <f>'Key input_Biomass_MAgPIE'!Z314</f>
        <v>0.58660000000000001</v>
      </c>
      <c r="AC323" s="456">
        <f>'Key input_Biomass_MAgPIE'!AA314</f>
        <v>0.58660000000000001</v>
      </c>
      <c r="AD323" s="456">
        <f>'Key input_Biomass_MAgPIE'!AB314</f>
        <v>0.58660000000000001</v>
      </c>
      <c r="AE323" s="456">
        <f>'Key input_Biomass_MAgPIE'!AC314</f>
        <v>0.58660000000000001</v>
      </c>
      <c r="AF323" s="456">
        <f>'Key input_Biomass_MAgPIE'!AD314</f>
        <v>0.58660000000000001</v>
      </c>
      <c r="AG323" s="456">
        <f>'Key input_Biomass_MAgPIE'!AE314</f>
        <v>0.58660000000000001</v>
      </c>
      <c r="AH323" s="456">
        <f>'Key input_Biomass_MAgPIE'!AF314</f>
        <v>0.58660000000000001</v>
      </c>
    </row>
    <row r="324" spans="1:34">
      <c r="A324" s="4" t="str">
        <f t="shared" si="120"/>
        <v>MIN-RSVBIOAGR3</v>
      </c>
      <c r="B324" s="4" t="str">
        <f t="shared" si="117"/>
        <v>UPS Reserves of Biomass - Agricultural residues - Reserve - Supply curve step 3</v>
      </c>
      <c r="C324" s="4" t="str">
        <f t="shared" si="118"/>
        <v>RSVBIOAGR</v>
      </c>
      <c r="D324" s="4" t="str">
        <f t="shared" si="119"/>
        <v>ACT_COST</v>
      </c>
      <c r="E324" s="4"/>
      <c r="F324" s="4">
        <v>2050</v>
      </c>
      <c r="G324" s="456">
        <f>'Key input_Biomass_MAgPIE'!E315</f>
        <v>0.58660000000000001</v>
      </c>
      <c r="H324" s="456">
        <f>'Key input_Biomass_MAgPIE'!F315</f>
        <v>0.58660000000000001</v>
      </c>
      <c r="I324" s="456">
        <f>'Key input_Biomass_MAgPIE'!G315</f>
        <v>0.58660000000000001</v>
      </c>
      <c r="J324" s="456">
        <f>'Key input_Biomass_MAgPIE'!H315</f>
        <v>0.58660000000000001</v>
      </c>
      <c r="K324" s="456">
        <f>'Key input_Biomass_MAgPIE'!I315</f>
        <v>0.58660000000000001</v>
      </c>
      <c r="L324" s="456">
        <f>'Key input_Biomass_MAgPIE'!J315</f>
        <v>0.58660000000000001</v>
      </c>
      <c r="M324" s="456">
        <f>'Key input_Biomass_MAgPIE'!K315</f>
        <v>0.58660000000000001</v>
      </c>
      <c r="N324" s="456">
        <f>'Key input_Biomass_MAgPIE'!L315</f>
        <v>0.58660000000000001</v>
      </c>
      <c r="O324" s="456">
        <f>'Key input_Biomass_MAgPIE'!M315</f>
        <v>0.58660000000000001</v>
      </c>
      <c r="P324" s="456">
        <f>'Key input_Biomass_MAgPIE'!N315</f>
        <v>0.58660000000000001</v>
      </c>
      <c r="Q324" s="456">
        <f>'Key input_Biomass_MAgPIE'!O315</f>
        <v>0.58660000000000001</v>
      </c>
      <c r="R324" s="456">
        <f>'Key input_Biomass_MAgPIE'!P315</f>
        <v>0.58660000000000001</v>
      </c>
      <c r="S324" s="456">
        <f>'Key input_Biomass_MAgPIE'!Q315</f>
        <v>0.58660000000000001</v>
      </c>
      <c r="T324" s="456">
        <f>'Key input_Biomass_MAgPIE'!R315</f>
        <v>0.58660000000000001</v>
      </c>
      <c r="U324" s="456">
        <f>'Key input_Biomass_MAgPIE'!S315</f>
        <v>0.58660000000000001</v>
      </c>
      <c r="V324" s="456">
        <f>'Key input_Biomass_MAgPIE'!T315</f>
        <v>0.58660000000000001</v>
      </c>
      <c r="W324" s="456">
        <f>'Key input_Biomass_MAgPIE'!U315</f>
        <v>0.58660000000000001</v>
      </c>
      <c r="X324" s="456">
        <f>'Key input_Biomass_MAgPIE'!V315</f>
        <v>0.58660000000000001</v>
      </c>
      <c r="Y324" s="456">
        <f>'Key input_Biomass_MAgPIE'!W315</f>
        <v>0.58660000000000001</v>
      </c>
      <c r="Z324" s="456">
        <f>'Key input_Biomass_MAgPIE'!X315</f>
        <v>0.58660000000000001</v>
      </c>
      <c r="AA324" s="456">
        <f>'Key input_Biomass_MAgPIE'!Y315</f>
        <v>0.58660000000000001</v>
      </c>
      <c r="AB324" s="456">
        <f>'Key input_Biomass_MAgPIE'!Z315</f>
        <v>0.58660000000000001</v>
      </c>
      <c r="AC324" s="456">
        <f>'Key input_Biomass_MAgPIE'!AA315</f>
        <v>0.58660000000000001</v>
      </c>
      <c r="AD324" s="456">
        <f>'Key input_Biomass_MAgPIE'!AB315</f>
        <v>0.58660000000000001</v>
      </c>
      <c r="AE324" s="456">
        <f>'Key input_Biomass_MAgPIE'!AC315</f>
        <v>0.58660000000000001</v>
      </c>
      <c r="AF324" s="456">
        <f>'Key input_Biomass_MAgPIE'!AD315</f>
        <v>0.58660000000000001</v>
      </c>
      <c r="AG324" s="456">
        <f>'Key input_Biomass_MAgPIE'!AE315</f>
        <v>0.58660000000000001</v>
      </c>
      <c r="AH324" s="456">
        <f>'Key input_Biomass_MAgPIE'!AF315</f>
        <v>0.58660000000000001</v>
      </c>
    </row>
    <row r="325" spans="1:34">
      <c r="A325" s="4" t="str">
        <f t="shared" si="120"/>
        <v>MIN-RSVBIOAGR3</v>
      </c>
      <c r="B325" s="4" t="str">
        <f t="shared" si="117"/>
        <v>UPS Reserves of Biomass - Agricultural residues - Reserve - Supply curve step 3</v>
      </c>
      <c r="C325" s="4" t="str">
        <f t="shared" si="118"/>
        <v>RSVBIOAGR</v>
      </c>
      <c r="D325" s="4" t="str">
        <f t="shared" si="119"/>
        <v>ACT_COST</v>
      </c>
      <c r="E325" s="4"/>
      <c r="F325" s="4">
        <v>2060</v>
      </c>
      <c r="G325" s="456">
        <f>'Key input_Biomass_MAgPIE'!E316</f>
        <v>0.58660000000000001</v>
      </c>
      <c r="H325" s="456">
        <f>'Key input_Biomass_MAgPIE'!F316</f>
        <v>0.58660000000000001</v>
      </c>
      <c r="I325" s="456">
        <f>'Key input_Biomass_MAgPIE'!G316</f>
        <v>0.58660000000000001</v>
      </c>
      <c r="J325" s="456">
        <f>'Key input_Biomass_MAgPIE'!H316</f>
        <v>0.58660000000000001</v>
      </c>
      <c r="K325" s="456">
        <f>'Key input_Biomass_MAgPIE'!I316</f>
        <v>0.58660000000000001</v>
      </c>
      <c r="L325" s="456">
        <f>'Key input_Biomass_MAgPIE'!J316</f>
        <v>0.58660000000000001</v>
      </c>
      <c r="M325" s="456">
        <f>'Key input_Biomass_MAgPIE'!K316</f>
        <v>0.58660000000000001</v>
      </c>
      <c r="N325" s="456">
        <f>'Key input_Biomass_MAgPIE'!L316</f>
        <v>0.58660000000000001</v>
      </c>
      <c r="O325" s="456">
        <f>'Key input_Biomass_MAgPIE'!M316</f>
        <v>0.58660000000000001</v>
      </c>
      <c r="P325" s="456">
        <f>'Key input_Biomass_MAgPIE'!N316</f>
        <v>0.58660000000000001</v>
      </c>
      <c r="Q325" s="456">
        <f>'Key input_Biomass_MAgPIE'!O316</f>
        <v>0.58660000000000001</v>
      </c>
      <c r="R325" s="456">
        <f>'Key input_Biomass_MAgPIE'!P316</f>
        <v>0.58660000000000001</v>
      </c>
      <c r="S325" s="456">
        <f>'Key input_Biomass_MAgPIE'!Q316</f>
        <v>0.58660000000000001</v>
      </c>
      <c r="T325" s="456">
        <f>'Key input_Biomass_MAgPIE'!R316</f>
        <v>0.58660000000000001</v>
      </c>
      <c r="U325" s="456">
        <f>'Key input_Biomass_MAgPIE'!S316</f>
        <v>0.58660000000000001</v>
      </c>
      <c r="V325" s="456">
        <f>'Key input_Biomass_MAgPIE'!T316</f>
        <v>0.58660000000000001</v>
      </c>
      <c r="W325" s="456">
        <f>'Key input_Biomass_MAgPIE'!U316</f>
        <v>0.58660000000000001</v>
      </c>
      <c r="X325" s="456">
        <f>'Key input_Biomass_MAgPIE'!V316</f>
        <v>0.58660000000000001</v>
      </c>
      <c r="Y325" s="456">
        <f>'Key input_Biomass_MAgPIE'!W316</f>
        <v>0.58660000000000001</v>
      </c>
      <c r="Z325" s="456">
        <f>'Key input_Biomass_MAgPIE'!X316</f>
        <v>0.58660000000000001</v>
      </c>
      <c r="AA325" s="456">
        <f>'Key input_Biomass_MAgPIE'!Y316</f>
        <v>0.58660000000000001</v>
      </c>
      <c r="AB325" s="456">
        <f>'Key input_Biomass_MAgPIE'!Z316</f>
        <v>0.58660000000000001</v>
      </c>
      <c r="AC325" s="456">
        <f>'Key input_Biomass_MAgPIE'!AA316</f>
        <v>0.58660000000000001</v>
      </c>
      <c r="AD325" s="456">
        <f>'Key input_Biomass_MAgPIE'!AB316</f>
        <v>0.58660000000000001</v>
      </c>
      <c r="AE325" s="456">
        <f>'Key input_Biomass_MAgPIE'!AC316</f>
        <v>0.58660000000000001</v>
      </c>
      <c r="AF325" s="456">
        <f>'Key input_Biomass_MAgPIE'!AD316</f>
        <v>0.58660000000000001</v>
      </c>
      <c r="AG325" s="456">
        <f>'Key input_Biomass_MAgPIE'!AE316</f>
        <v>0.58660000000000001</v>
      </c>
      <c r="AH325" s="456">
        <f>'Key input_Biomass_MAgPIE'!AF316</f>
        <v>0.58660000000000001</v>
      </c>
    </row>
    <row r="326" spans="1:34">
      <c r="A326" s="4" t="str">
        <f t="shared" si="120"/>
        <v>MIN-RSVBIOAGR3</v>
      </c>
      <c r="B326" s="4" t="str">
        <f t="shared" si="117"/>
        <v>UPS Reserves of Biomass - Agricultural residues - Reserve - Supply curve step 3</v>
      </c>
      <c r="C326" s="4" t="str">
        <f t="shared" si="118"/>
        <v>RSVBIOAGR</v>
      </c>
      <c r="D326" s="4" t="str">
        <f t="shared" si="119"/>
        <v>ACT_COST</v>
      </c>
      <c r="E326" s="4"/>
      <c r="F326" s="4">
        <v>2070</v>
      </c>
      <c r="G326" s="456">
        <f>'Key input_Biomass_MAgPIE'!E317</f>
        <v>0.58660000000000001</v>
      </c>
      <c r="H326" s="456">
        <f>'Key input_Biomass_MAgPIE'!F317</f>
        <v>0.58660000000000001</v>
      </c>
      <c r="I326" s="456">
        <f>'Key input_Biomass_MAgPIE'!G317</f>
        <v>0.58660000000000001</v>
      </c>
      <c r="J326" s="456">
        <f>'Key input_Biomass_MAgPIE'!H317</f>
        <v>0.58660000000000001</v>
      </c>
      <c r="K326" s="456">
        <f>'Key input_Biomass_MAgPIE'!I317</f>
        <v>0.58660000000000001</v>
      </c>
      <c r="L326" s="456">
        <f>'Key input_Biomass_MAgPIE'!J317</f>
        <v>0.58660000000000001</v>
      </c>
      <c r="M326" s="456">
        <f>'Key input_Biomass_MAgPIE'!K317</f>
        <v>0.58660000000000001</v>
      </c>
      <c r="N326" s="456">
        <f>'Key input_Biomass_MAgPIE'!L317</f>
        <v>0.58660000000000001</v>
      </c>
      <c r="O326" s="456">
        <f>'Key input_Biomass_MAgPIE'!M317</f>
        <v>0.58660000000000001</v>
      </c>
      <c r="P326" s="456">
        <f>'Key input_Biomass_MAgPIE'!N317</f>
        <v>0.58660000000000001</v>
      </c>
      <c r="Q326" s="456">
        <f>'Key input_Biomass_MAgPIE'!O317</f>
        <v>0.58660000000000001</v>
      </c>
      <c r="R326" s="456">
        <f>'Key input_Biomass_MAgPIE'!P317</f>
        <v>0.58660000000000001</v>
      </c>
      <c r="S326" s="456">
        <f>'Key input_Biomass_MAgPIE'!Q317</f>
        <v>0.58660000000000001</v>
      </c>
      <c r="T326" s="456">
        <f>'Key input_Biomass_MAgPIE'!R317</f>
        <v>0.58660000000000001</v>
      </c>
      <c r="U326" s="456">
        <f>'Key input_Biomass_MAgPIE'!S317</f>
        <v>0.58660000000000001</v>
      </c>
      <c r="V326" s="456">
        <f>'Key input_Biomass_MAgPIE'!T317</f>
        <v>0.58660000000000001</v>
      </c>
      <c r="W326" s="456">
        <f>'Key input_Biomass_MAgPIE'!U317</f>
        <v>0.58660000000000001</v>
      </c>
      <c r="X326" s="456">
        <f>'Key input_Biomass_MAgPIE'!V317</f>
        <v>0.58660000000000001</v>
      </c>
      <c r="Y326" s="456">
        <f>'Key input_Biomass_MAgPIE'!W317</f>
        <v>0.58660000000000001</v>
      </c>
      <c r="Z326" s="456">
        <f>'Key input_Biomass_MAgPIE'!X317</f>
        <v>0.58660000000000001</v>
      </c>
      <c r="AA326" s="456">
        <f>'Key input_Biomass_MAgPIE'!Y317</f>
        <v>0.58660000000000001</v>
      </c>
      <c r="AB326" s="456">
        <f>'Key input_Biomass_MAgPIE'!Z317</f>
        <v>0.58660000000000001</v>
      </c>
      <c r="AC326" s="456">
        <f>'Key input_Biomass_MAgPIE'!AA317</f>
        <v>0.58660000000000001</v>
      </c>
      <c r="AD326" s="456">
        <f>'Key input_Biomass_MAgPIE'!AB317</f>
        <v>0.58660000000000001</v>
      </c>
      <c r="AE326" s="456">
        <f>'Key input_Biomass_MAgPIE'!AC317</f>
        <v>0.58660000000000001</v>
      </c>
      <c r="AF326" s="456">
        <f>'Key input_Biomass_MAgPIE'!AD317</f>
        <v>0.58660000000000001</v>
      </c>
      <c r="AG326" s="456">
        <f>'Key input_Biomass_MAgPIE'!AE317</f>
        <v>0.58660000000000001</v>
      </c>
      <c r="AH326" s="456">
        <f>'Key input_Biomass_MAgPIE'!AF317</f>
        <v>0.58660000000000001</v>
      </c>
    </row>
    <row r="327" spans="1:34">
      <c r="A327" s="4" t="str">
        <f t="shared" si="120"/>
        <v>MIN-RSVBIOAGR3</v>
      </c>
      <c r="B327" s="4" t="str">
        <f t="shared" si="117"/>
        <v>UPS Reserves of Biomass - Agricultural residues - Reserve - Supply curve step 3</v>
      </c>
      <c r="C327" s="4" t="str">
        <f t="shared" si="118"/>
        <v>RSVBIOAGR</v>
      </c>
      <c r="D327" s="4" t="str">
        <f t="shared" si="119"/>
        <v>ACT_COST</v>
      </c>
      <c r="E327" s="4"/>
      <c r="F327" s="4">
        <v>2080</v>
      </c>
      <c r="G327" s="456">
        <f>'Key input_Biomass_MAgPIE'!E318</f>
        <v>0.58660000000000001</v>
      </c>
      <c r="H327" s="456">
        <f>'Key input_Biomass_MAgPIE'!F318</f>
        <v>0.58660000000000001</v>
      </c>
      <c r="I327" s="456">
        <f>'Key input_Biomass_MAgPIE'!G318</f>
        <v>0.58660000000000001</v>
      </c>
      <c r="J327" s="456">
        <f>'Key input_Biomass_MAgPIE'!H318</f>
        <v>0.58660000000000001</v>
      </c>
      <c r="K327" s="456">
        <f>'Key input_Biomass_MAgPIE'!I318</f>
        <v>0.58660000000000001</v>
      </c>
      <c r="L327" s="456">
        <f>'Key input_Biomass_MAgPIE'!J318</f>
        <v>0.58660000000000001</v>
      </c>
      <c r="M327" s="456">
        <f>'Key input_Biomass_MAgPIE'!K318</f>
        <v>0.58660000000000001</v>
      </c>
      <c r="N327" s="456">
        <f>'Key input_Biomass_MAgPIE'!L318</f>
        <v>0.58660000000000001</v>
      </c>
      <c r="O327" s="456">
        <f>'Key input_Biomass_MAgPIE'!M318</f>
        <v>0.58660000000000001</v>
      </c>
      <c r="P327" s="456">
        <f>'Key input_Biomass_MAgPIE'!N318</f>
        <v>0.58660000000000001</v>
      </c>
      <c r="Q327" s="456">
        <f>'Key input_Biomass_MAgPIE'!O318</f>
        <v>0.58660000000000001</v>
      </c>
      <c r="R327" s="456">
        <f>'Key input_Biomass_MAgPIE'!P318</f>
        <v>0.58660000000000001</v>
      </c>
      <c r="S327" s="456">
        <f>'Key input_Biomass_MAgPIE'!Q318</f>
        <v>0.58660000000000001</v>
      </c>
      <c r="T327" s="456">
        <f>'Key input_Biomass_MAgPIE'!R318</f>
        <v>0.58660000000000001</v>
      </c>
      <c r="U327" s="456">
        <f>'Key input_Biomass_MAgPIE'!S318</f>
        <v>0.58660000000000001</v>
      </c>
      <c r="V327" s="456">
        <f>'Key input_Biomass_MAgPIE'!T318</f>
        <v>0.58660000000000001</v>
      </c>
      <c r="W327" s="456">
        <f>'Key input_Biomass_MAgPIE'!U318</f>
        <v>0.58660000000000001</v>
      </c>
      <c r="X327" s="456">
        <f>'Key input_Biomass_MAgPIE'!V318</f>
        <v>0.58660000000000001</v>
      </c>
      <c r="Y327" s="456">
        <f>'Key input_Biomass_MAgPIE'!W318</f>
        <v>0.58660000000000001</v>
      </c>
      <c r="Z327" s="456">
        <f>'Key input_Biomass_MAgPIE'!X318</f>
        <v>0.58660000000000001</v>
      </c>
      <c r="AA327" s="456">
        <f>'Key input_Biomass_MAgPIE'!Y318</f>
        <v>0.58660000000000001</v>
      </c>
      <c r="AB327" s="456">
        <f>'Key input_Biomass_MAgPIE'!Z318</f>
        <v>0.58660000000000001</v>
      </c>
      <c r="AC327" s="456">
        <f>'Key input_Biomass_MAgPIE'!AA318</f>
        <v>0.58660000000000001</v>
      </c>
      <c r="AD327" s="456">
        <f>'Key input_Biomass_MAgPIE'!AB318</f>
        <v>0.58660000000000001</v>
      </c>
      <c r="AE327" s="456">
        <f>'Key input_Biomass_MAgPIE'!AC318</f>
        <v>0.58660000000000001</v>
      </c>
      <c r="AF327" s="456">
        <f>'Key input_Biomass_MAgPIE'!AD318</f>
        <v>0.58660000000000001</v>
      </c>
      <c r="AG327" s="456">
        <f>'Key input_Biomass_MAgPIE'!AE318</f>
        <v>0.58660000000000001</v>
      </c>
      <c r="AH327" s="456">
        <f>'Key input_Biomass_MAgPIE'!AF318</f>
        <v>0.58660000000000001</v>
      </c>
    </row>
    <row r="328" spans="1:34">
      <c r="A328" s="4" t="str">
        <f t="shared" si="120"/>
        <v>MIN-RSVBIOAGR3</v>
      </c>
      <c r="B328" s="4" t="str">
        <f t="shared" si="117"/>
        <v>UPS Reserves of Biomass - Agricultural residues - Reserve - Supply curve step 3</v>
      </c>
      <c r="C328" s="4" t="str">
        <f t="shared" si="118"/>
        <v>RSVBIOAGR</v>
      </c>
      <c r="D328" s="4" t="str">
        <f t="shared" si="119"/>
        <v>ACT_COST</v>
      </c>
      <c r="E328" s="4"/>
      <c r="F328" s="4">
        <v>2090</v>
      </c>
      <c r="G328" s="456">
        <f>'Key input_Biomass_MAgPIE'!E319</f>
        <v>0.58660000000000001</v>
      </c>
      <c r="H328" s="456">
        <f>'Key input_Biomass_MAgPIE'!F319</f>
        <v>0.58660000000000001</v>
      </c>
      <c r="I328" s="456">
        <f>'Key input_Biomass_MAgPIE'!G319</f>
        <v>0.58660000000000001</v>
      </c>
      <c r="J328" s="456">
        <f>'Key input_Biomass_MAgPIE'!H319</f>
        <v>0.58660000000000001</v>
      </c>
      <c r="K328" s="456">
        <f>'Key input_Biomass_MAgPIE'!I319</f>
        <v>0.58660000000000001</v>
      </c>
      <c r="L328" s="456">
        <f>'Key input_Biomass_MAgPIE'!J319</f>
        <v>0.58660000000000001</v>
      </c>
      <c r="M328" s="456">
        <f>'Key input_Biomass_MAgPIE'!K319</f>
        <v>0.58660000000000001</v>
      </c>
      <c r="N328" s="456">
        <f>'Key input_Biomass_MAgPIE'!L319</f>
        <v>0.58660000000000001</v>
      </c>
      <c r="O328" s="456">
        <f>'Key input_Biomass_MAgPIE'!M319</f>
        <v>0.58660000000000001</v>
      </c>
      <c r="P328" s="456">
        <f>'Key input_Biomass_MAgPIE'!N319</f>
        <v>0.58660000000000001</v>
      </c>
      <c r="Q328" s="456">
        <f>'Key input_Biomass_MAgPIE'!O319</f>
        <v>0.58660000000000001</v>
      </c>
      <c r="R328" s="456">
        <f>'Key input_Biomass_MAgPIE'!P319</f>
        <v>0.58660000000000001</v>
      </c>
      <c r="S328" s="456">
        <f>'Key input_Biomass_MAgPIE'!Q319</f>
        <v>0.58660000000000001</v>
      </c>
      <c r="T328" s="456">
        <f>'Key input_Biomass_MAgPIE'!R319</f>
        <v>0.58660000000000001</v>
      </c>
      <c r="U328" s="456">
        <f>'Key input_Biomass_MAgPIE'!S319</f>
        <v>0.58660000000000001</v>
      </c>
      <c r="V328" s="456">
        <f>'Key input_Biomass_MAgPIE'!T319</f>
        <v>0.58660000000000001</v>
      </c>
      <c r="W328" s="456">
        <f>'Key input_Biomass_MAgPIE'!U319</f>
        <v>0.58660000000000001</v>
      </c>
      <c r="X328" s="456">
        <f>'Key input_Biomass_MAgPIE'!V319</f>
        <v>0.58660000000000001</v>
      </c>
      <c r="Y328" s="456">
        <f>'Key input_Biomass_MAgPIE'!W319</f>
        <v>0.58660000000000001</v>
      </c>
      <c r="Z328" s="456">
        <f>'Key input_Biomass_MAgPIE'!X319</f>
        <v>0.58660000000000001</v>
      </c>
      <c r="AA328" s="456">
        <f>'Key input_Biomass_MAgPIE'!Y319</f>
        <v>0.58660000000000001</v>
      </c>
      <c r="AB328" s="456">
        <f>'Key input_Biomass_MAgPIE'!Z319</f>
        <v>0.58660000000000001</v>
      </c>
      <c r="AC328" s="456">
        <f>'Key input_Biomass_MAgPIE'!AA319</f>
        <v>0.58660000000000001</v>
      </c>
      <c r="AD328" s="456">
        <f>'Key input_Biomass_MAgPIE'!AB319</f>
        <v>0.58660000000000001</v>
      </c>
      <c r="AE328" s="456">
        <f>'Key input_Biomass_MAgPIE'!AC319</f>
        <v>0.58660000000000001</v>
      </c>
      <c r="AF328" s="456">
        <f>'Key input_Biomass_MAgPIE'!AD319</f>
        <v>0.58660000000000001</v>
      </c>
      <c r="AG328" s="456">
        <f>'Key input_Biomass_MAgPIE'!AE319</f>
        <v>0.58660000000000001</v>
      </c>
      <c r="AH328" s="456">
        <f>'Key input_Biomass_MAgPIE'!AF319</f>
        <v>0.58660000000000001</v>
      </c>
    </row>
    <row r="329" spans="1:34" ht="16.2" thickBot="1">
      <c r="A329" s="454" t="str">
        <f t="shared" si="120"/>
        <v>MIN-RSVBIOAGR3</v>
      </c>
      <c r="B329" s="454" t="str">
        <f t="shared" si="117"/>
        <v>UPS Reserves of Biomass - Agricultural residues - Reserve - Supply curve step 3</v>
      </c>
      <c r="C329" s="454" t="str">
        <f t="shared" si="118"/>
        <v>RSVBIOAGR</v>
      </c>
      <c r="D329" s="454" t="str">
        <f t="shared" si="119"/>
        <v>ACT_COST</v>
      </c>
      <c r="E329" s="454"/>
      <c r="F329" s="454">
        <v>2100</v>
      </c>
      <c r="G329" s="455">
        <f>'Key input_Biomass_MAgPIE'!E320</f>
        <v>0.58660000000000001</v>
      </c>
      <c r="H329" s="455">
        <f>'Key input_Biomass_MAgPIE'!F320</f>
        <v>0.58660000000000001</v>
      </c>
      <c r="I329" s="455">
        <f>'Key input_Biomass_MAgPIE'!G320</f>
        <v>0.58660000000000001</v>
      </c>
      <c r="J329" s="455">
        <f>'Key input_Biomass_MAgPIE'!H320</f>
        <v>0.58660000000000001</v>
      </c>
      <c r="K329" s="455">
        <f>'Key input_Biomass_MAgPIE'!I320</f>
        <v>0.58660000000000001</v>
      </c>
      <c r="L329" s="455">
        <f>'Key input_Biomass_MAgPIE'!J320</f>
        <v>0.58660000000000001</v>
      </c>
      <c r="M329" s="455">
        <f>'Key input_Biomass_MAgPIE'!K320</f>
        <v>0.58660000000000001</v>
      </c>
      <c r="N329" s="455">
        <f>'Key input_Biomass_MAgPIE'!L320</f>
        <v>0.58660000000000001</v>
      </c>
      <c r="O329" s="455">
        <f>'Key input_Biomass_MAgPIE'!M320</f>
        <v>0.58660000000000001</v>
      </c>
      <c r="P329" s="455">
        <f>'Key input_Biomass_MAgPIE'!N320</f>
        <v>0.58660000000000001</v>
      </c>
      <c r="Q329" s="455">
        <f>'Key input_Biomass_MAgPIE'!O320</f>
        <v>0.58660000000000001</v>
      </c>
      <c r="R329" s="455">
        <f>'Key input_Biomass_MAgPIE'!P320</f>
        <v>0.58660000000000001</v>
      </c>
      <c r="S329" s="455">
        <f>'Key input_Biomass_MAgPIE'!Q320</f>
        <v>0.58660000000000001</v>
      </c>
      <c r="T329" s="455">
        <f>'Key input_Biomass_MAgPIE'!R320</f>
        <v>0.58660000000000001</v>
      </c>
      <c r="U329" s="455">
        <f>'Key input_Biomass_MAgPIE'!S320</f>
        <v>0.58660000000000001</v>
      </c>
      <c r="V329" s="455">
        <f>'Key input_Biomass_MAgPIE'!T320</f>
        <v>0.58660000000000001</v>
      </c>
      <c r="W329" s="455">
        <f>'Key input_Biomass_MAgPIE'!U320</f>
        <v>0.58660000000000001</v>
      </c>
      <c r="X329" s="455">
        <f>'Key input_Biomass_MAgPIE'!V320</f>
        <v>0.58660000000000001</v>
      </c>
      <c r="Y329" s="455">
        <f>'Key input_Biomass_MAgPIE'!W320</f>
        <v>0.58660000000000001</v>
      </c>
      <c r="Z329" s="455">
        <f>'Key input_Biomass_MAgPIE'!X320</f>
        <v>0.58660000000000001</v>
      </c>
      <c r="AA329" s="455">
        <f>'Key input_Biomass_MAgPIE'!Y320</f>
        <v>0.58660000000000001</v>
      </c>
      <c r="AB329" s="455">
        <f>'Key input_Biomass_MAgPIE'!Z320</f>
        <v>0.58660000000000001</v>
      </c>
      <c r="AC329" s="455">
        <f>'Key input_Biomass_MAgPIE'!AA320</f>
        <v>0.58660000000000001</v>
      </c>
      <c r="AD329" s="455">
        <f>'Key input_Biomass_MAgPIE'!AB320</f>
        <v>0.58660000000000001</v>
      </c>
      <c r="AE329" s="455">
        <f>'Key input_Biomass_MAgPIE'!AC320</f>
        <v>0.58660000000000001</v>
      </c>
      <c r="AF329" s="455">
        <f>'Key input_Biomass_MAgPIE'!AD320</f>
        <v>0.58660000000000001</v>
      </c>
      <c r="AG329" s="455">
        <f>'Key input_Biomass_MAgPIE'!AE320</f>
        <v>0.58660000000000001</v>
      </c>
      <c r="AH329" s="455">
        <f>'Key input_Biomass_MAgPIE'!AF320</f>
        <v>0.58660000000000001</v>
      </c>
    </row>
    <row r="330" spans="1:34">
      <c r="A330" s="4" t="str">
        <f>AK20</f>
        <v>MIN-RSVBIOOLC1</v>
      </c>
      <c r="B330" s="4" t="str">
        <f>AL20</f>
        <v>UPS Reserves of Biomass - Oil crops - Reserve - Supply curve step 1</v>
      </c>
      <c r="C330" s="4" t="str">
        <f>Commodities!$C$18</f>
        <v>RSVBIOOLC</v>
      </c>
      <c r="D330" s="4" t="s">
        <v>675</v>
      </c>
      <c r="E330" s="4"/>
      <c r="F330" s="4">
        <v>2019</v>
      </c>
      <c r="G330" s="258">
        <f>'Key input_Biomass_MAgPIE'!E321</f>
        <v>1.105628E-2</v>
      </c>
      <c r="H330" s="258">
        <f>'Key input_Biomass_MAgPIE'!F321</f>
        <v>1.105628E-2</v>
      </c>
      <c r="I330" s="258">
        <f>'Key input_Biomass_MAgPIE'!G321</f>
        <v>1.105628E-2</v>
      </c>
      <c r="J330" s="258">
        <f>'Key input_Biomass_MAgPIE'!H321</f>
        <v>1.105628E-2</v>
      </c>
      <c r="K330" s="258">
        <f>'Key input_Biomass_MAgPIE'!I321</f>
        <v>1.105628E-2</v>
      </c>
      <c r="L330" s="258">
        <f>'Key input_Biomass_MAgPIE'!J321</f>
        <v>1.105628E-2</v>
      </c>
      <c r="M330" s="258">
        <f>'Key input_Biomass_MAgPIE'!K321</f>
        <v>1.105628E-2</v>
      </c>
      <c r="N330" s="258">
        <f>'Key input_Biomass_MAgPIE'!L321</f>
        <v>1.105628E-2</v>
      </c>
      <c r="O330" s="258">
        <f>'Key input_Biomass_MAgPIE'!M321</f>
        <v>1.105628E-2</v>
      </c>
      <c r="P330" s="258">
        <f>'Key input_Biomass_MAgPIE'!N321</f>
        <v>1.105628E-2</v>
      </c>
      <c r="Q330" s="258">
        <f>'Key input_Biomass_MAgPIE'!O321</f>
        <v>1.105628E-2</v>
      </c>
      <c r="R330" s="258">
        <f>'Key input_Biomass_MAgPIE'!P321</f>
        <v>1.105628E-2</v>
      </c>
      <c r="S330" s="258">
        <f>'Key input_Biomass_MAgPIE'!Q321</f>
        <v>1.105628E-2</v>
      </c>
      <c r="T330" s="258">
        <f>'Key input_Biomass_MAgPIE'!R321</f>
        <v>1.105628E-2</v>
      </c>
      <c r="U330" s="258">
        <f>'Key input_Biomass_MAgPIE'!S321</f>
        <v>1.105628E-2</v>
      </c>
      <c r="V330" s="258">
        <f>'Key input_Biomass_MAgPIE'!T321</f>
        <v>1.105628E-2</v>
      </c>
      <c r="W330" s="258">
        <f>'Key input_Biomass_MAgPIE'!U321</f>
        <v>1.105628E-2</v>
      </c>
      <c r="X330" s="258">
        <f>'Key input_Biomass_MAgPIE'!V321</f>
        <v>1.105628E-2</v>
      </c>
      <c r="Y330" s="258">
        <f>'Key input_Biomass_MAgPIE'!W321</f>
        <v>1.105628E-2</v>
      </c>
      <c r="Z330" s="258">
        <f>'Key input_Biomass_MAgPIE'!X321</f>
        <v>1.105628E-2</v>
      </c>
      <c r="AA330" s="258">
        <f>'Key input_Biomass_MAgPIE'!Y321</f>
        <v>1.105628E-2</v>
      </c>
      <c r="AB330" s="258">
        <f>'Key input_Biomass_MAgPIE'!Z321</f>
        <v>1.105628E-2</v>
      </c>
      <c r="AC330" s="258">
        <f>'Key input_Biomass_MAgPIE'!AA321</f>
        <v>1.105628E-2</v>
      </c>
      <c r="AD330" s="258">
        <f>'Key input_Biomass_MAgPIE'!AB321</f>
        <v>1.105628E-2</v>
      </c>
      <c r="AE330" s="258">
        <f>'Key input_Biomass_MAgPIE'!AC321</f>
        <v>1.105628E-2</v>
      </c>
      <c r="AF330" s="258">
        <f>'Key input_Biomass_MAgPIE'!AD321</f>
        <v>1.105628E-2</v>
      </c>
      <c r="AG330" s="258">
        <f>'Key input_Biomass_MAgPIE'!AE321</f>
        <v>1.105628E-2</v>
      </c>
      <c r="AH330" s="258">
        <f>'Key input_Biomass_MAgPIE'!AF321</f>
        <v>1.105628E-2</v>
      </c>
    </row>
    <row r="331" spans="1:34">
      <c r="A331" s="4" t="str">
        <f>A330</f>
        <v>MIN-RSVBIOOLC1</v>
      </c>
      <c r="B331" s="4" t="str">
        <f t="shared" ref="B331:B342" si="121">B330</f>
        <v>UPS Reserves of Biomass - Oil crops - Reserve - Supply curve step 1</v>
      </c>
      <c r="C331" s="4" t="str">
        <f t="shared" ref="C331:C342" si="122">C330</f>
        <v>RSVBIOOLC</v>
      </c>
      <c r="D331" s="4" t="str">
        <f t="shared" ref="D331:D342" si="123">D330</f>
        <v>ACT_COST</v>
      </c>
      <c r="E331" s="4"/>
      <c r="F331" s="4">
        <v>2020</v>
      </c>
      <c r="G331" s="456">
        <f>'Key input_Biomass_MAgPIE'!E322</f>
        <v>1.105628E-2</v>
      </c>
      <c r="H331" s="456">
        <f>'Key input_Biomass_MAgPIE'!F322</f>
        <v>1.105628E-2</v>
      </c>
      <c r="I331" s="456">
        <f>'Key input_Biomass_MAgPIE'!G322</f>
        <v>1.105628E-2</v>
      </c>
      <c r="J331" s="456">
        <f>'Key input_Biomass_MAgPIE'!H322</f>
        <v>1.105628E-2</v>
      </c>
      <c r="K331" s="456">
        <f>'Key input_Biomass_MAgPIE'!I322</f>
        <v>1.105628E-2</v>
      </c>
      <c r="L331" s="456">
        <f>'Key input_Biomass_MAgPIE'!J322</f>
        <v>1.105628E-2</v>
      </c>
      <c r="M331" s="456">
        <f>'Key input_Biomass_MAgPIE'!K322</f>
        <v>1.105628E-2</v>
      </c>
      <c r="N331" s="456">
        <f>'Key input_Biomass_MAgPIE'!L322</f>
        <v>1.105628E-2</v>
      </c>
      <c r="O331" s="456">
        <f>'Key input_Biomass_MAgPIE'!M322</f>
        <v>1.105628E-2</v>
      </c>
      <c r="P331" s="456">
        <f>'Key input_Biomass_MAgPIE'!N322</f>
        <v>1.105628E-2</v>
      </c>
      <c r="Q331" s="456">
        <f>'Key input_Biomass_MAgPIE'!O322</f>
        <v>1.105628E-2</v>
      </c>
      <c r="R331" s="456">
        <f>'Key input_Biomass_MAgPIE'!P322</f>
        <v>1.105628E-2</v>
      </c>
      <c r="S331" s="456">
        <f>'Key input_Biomass_MAgPIE'!Q322</f>
        <v>1.105628E-2</v>
      </c>
      <c r="T331" s="456">
        <f>'Key input_Biomass_MAgPIE'!R322</f>
        <v>1.105628E-2</v>
      </c>
      <c r="U331" s="456">
        <f>'Key input_Biomass_MAgPIE'!S322</f>
        <v>1.105628E-2</v>
      </c>
      <c r="V331" s="456">
        <f>'Key input_Biomass_MAgPIE'!T322</f>
        <v>1.105628E-2</v>
      </c>
      <c r="W331" s="456">
        <f>'Key input_Biomass_MAgPIE'!U322</f>
        <v>1.105628E-2</v>
      </c>
      <c r="X331" s="456">
        <f>'Key input_Biomass_MAgPIE'!V322</f>
        <v>1.105628E-2</v>
      </c>
      <c r="Y331" s="456">
        <f>'Key input_Biomass_MAgPIE'!W322</f>
        <v>1.105628E-2</v>
      </c>
      <c r="Z331" s="456">
        <f>'Key input_Biomass_MAgPIE'!X322</f>
        <v>1.105628E-2</v>
      </c>
      <c r="AA331" s="456">
        <f>'Key input_Biomass_MAgPIE'!Y322</f>
        <v>1.105628E-2</v>
      </c>
      <c r="AB331" s="456">
        <f>'Key input_Biomass_MAgPIE'!Z322</f>
        <v>1.105628E-2</v>
      </c>
      <c r="AC331" s="456">
        <f>'Key input_Biomass_MAgPIE'!AA322</f>
        <v>1.105628E-2</v>
      </c>
      <c r="AD331" s="456">
        <f>'Key input_Biomass_MAgPIE'!AB322</f>
        <v>1.105628E-2</v>
      </c>
      <c r="AE331" s="456">
        <f>'Key input_Biomass_MAgPIE'!AC322</f>
        <v>1.105628E-2</v>
      </c>
      <c r="AF331" s="456">
        <f>'Key input_Biomass_MAgPIE'!AD322</f>
        <v>1.105628E-2</v>
      </c>
      <c r="AG331" s="456">
        <f>'Key input_Biomass_MAgPIE'!AE322</f>
        <v>1.105628E-2</v>
      </c>
      <c r="AH331" s="456">
        <f>'Key input_Biomass_MAgPIE'!AF322</f>
        <v>1.105628E-2</v>
      </c>
    </row>
    <row r="332" spans="1:34">
      <c r="A332" s="4" t="str">
        <f t="shared" ref="A332:A342" si="124">A331</f>
        <v>MIN-RSVBIOOLC1</v>
      </c>
      <c r="B332" s="4" t="str">
        <f t="shared" si="121"/>
        <v>UPS Reserves of Biomass - Oil crops - Reserve - Supply curve step 1</v>
      </c>
      <c r="C332" s="4" t="str">
        <f t="shared" si="122"/>
        <v>RSVBIOOLC</v>
      </c>
      <c r="D332" s="4" t="str">
        <f t="shared" si="123"/>
        <v>ACT_COST</v>
      </c>
      <c r="E332" s="4"/>
      <c r="F332" s="4">
        <v>2025</v>
      </c>
      <c r="G332" s="456">
        <f>'Key input_Biomass_MAgPIE'!E323</f>
        <v>1.105628E-2</v>
      </c>
      <c r="H332" s="456">
        <f>'Key input_Biomass_MAgPIE'!F323</f>
        <v>1.105628E-2</v>
      </c>
      <c r="I332" s="456">
        <f>'Key input_Biomass_MAgPIE'!G323</f>
        <v>1.105628E-2</v>
      </c>
      <c r="J332" s="456">
        <f>'Key input_Biomass_MAgPIE'!H323</f>
        <v>1.105628E-2</v>
      </c>
      <c r="K332" s="456">
        <f>'Key input_Biomass_MAgPIE'!I323</f>
        <v>1.105628E-2</v>
      </c>
      <c r="L332" s="456">
        <f>'Key input_Biomass_MAgPIE'!J323</f>
        <v>1.105628E-2</v>
      </c>
      <c r="M332" s="456">
        <f>'Key input_Biomass_MAgPIE'!K323</f>
        <v>1.105628E-2</v>
      </c>
      <c r="N332" s="456">
        <f>'Key input_Biomass_MAgPIE'!L323</f>
        <v>1.105628E-2</v>
      </c>
      <c r="O332" s="456">
        <f>'Key input_Biomass_MAgPIE'!M323</f>
        <v>1.105628E-2</v>
      </c>
      <c r="P332" s="456">
        <f>'Key input_Biomass_MAgPIE'!N323</f>
        <v>1.105628E-2</v>
      </c>
      <c r="Q332" s="456">
        <f>'Key input_Biomass_MAgPIE'!O323</f>
        <v>1.105628E-2</v>
      </c>
      <c r="R332" s="456">
        <f>'Key input_Biomass_MAgPIE'!P323</f>
        <v>1.105628E-2</v>
      </c>
      <c r="S332" s="456">
        <f>'Key input_Biomass_MAgPIE'!Q323</f>
        <v>1.105628E-2</v>
      </c>
      <c r="T332" s="456">
        <f>'Key input_Biomass_MAgPIE'!R323</f>
        <v>1.105628E-2</v>
      </c>
      <c r="U332" s="456">
        <f>'Key input_Biomass_MAgPIE'!S323</f>
        <v>1.105628E-2</v>
      </c>
      <c r="V332" s="456">
        <f>'Key input_Biomass_MAgPIE'!T323</f>
        <v>1.105628E-2</v>
      </c>
      <c r="W332" s="456">
        <f>'Key input_Biomass_MAgPIE'!U323</f>
        <v>1.105628E-2</v>
      </c>
      <c r="X332" s="456">
        <f>'Key input_Biomass_MAgPIE'!V323</f>
        <v>1.105628E-2</v>
      </c>
      <c r="Y332" s="456">
        <f>'Key input_Biomass_MAgPIE'!W323</f>
        <v>1.105628E-2</v>
      </c>
      <c r="Z332" s="456">
        <f>'Key input_Biomass_MAgPIE'!X323</f>
        <v>1.105628E-2</v>
      </c>
      <c r="AA332" s="456">
        <f>'Key input_Biomass_MAgPIE'!Y323</f>
        <v>1.105628E-2</v>
      </c>
      <c r="AB332" s="456">
        <f>'Key input_Biomass_MAgPIE'!Z323</f>
        <v>1.105628E-2</v>
      </c>
      <c r="AC332" s="456">
        <f>'Key input_Biomass_MAgPIE'!AA323</f>
        <v>1.105628E-2</v>
      </c>
      <c r="AD332" s="456">
        <f>'Key input_Biomass_MAgPIE'!AB323</f>
        <v>1.105628E-2</v>
      </c>
      <c r="AE332" s="456">
        <f>'Key input_Biomass_MAgPIE'!AC323</f>
        <v>1.105628E-2</v>
      </c>
      <c r="AF332" s="456">
        <f>'Key input_Biomass_MAgPIE'!AD323</f>
        <v>1.105628E-2</v>
      </c>
      <c r="AG332" s="456">
        <f>'Key input_Biomass_MAgPIE'!AE323</f>
        <v>1.105628E-2</v>
      </c>
      <c r="AH332" s="456">
        <f>'Key input_Biomass_MAgPIE'!AF323</f>
        <v>1.105628E-2</v>
      </c>
    </row>
    <row r="333" spans="1:34">
      <c r="A333" s="4" t="str">
        <f t="shared" si="124"/>
        <v>MIN-RSVBIOOLC1</v>
      </c>
      <c r="B333" s="4" t="str">
        <f t="shared" si="121"/>
        <v>UPS Reserves of Biomass - Oil crops - Reserve - Supply curve step 1</v>
      </c>
      <c r="C333" s="4" t="str">
        <f t="shared" si="122"/>
        <v>RSVBIOOLC</v>
      </c>
      <c r="D333" s="4" t="str">
        <f t="shared" si="123"/>
        <v>ACT_COST</v>
      </c>
      <c r="E333" s="4"/>
      <c r="F333" s="4">
        <v>2030</v>
      </c>
      <c r="G333" s="456">
        <f>'Key input_Biomass_MAgPIE'!E324</f>
        <v>1.105628E-2</v>
      </c>
      <c r="H333" s="456">
        <f>'Key input_Biomass_MAgPIE'!F324</f>
        <v>1.105628E-2</v>
      </c>
      <c r="I333" s="456">
        <f>'Key input_Biomass_MAgPIE'!G324</f>
        <v>1.105628E-2</v>
      </c>
      <c r="J333" s="456">
        <f>'Key input_Biomass_MAgPIE'!H324</f>
        <v>1.105628E-2</v>
      </c>
      <c r="K333" s="456">
        <f>'Key input_Biomass_MAgPIE'!I324</f>
        <v>1.105628E-2</v>
      </c>
      <c r="L333" s="456">
        <f>'Key input_Biomass_MAgPIE'!J324</f>
        <v>1.105628E-2</v>
      </c>
      <c r="M333" s="456">
        <f>'Key input_Biomass_MAgPIE'!K324</f>
        <v>1.105628E-2</v>
      </c>
      <c r="N333" s="456">
        <f>'Key input_Biomass_MAgPIE'!L324</f>
        <v>1.105628E-2</v>
      </c>
      <c r="O333" s="456">
        <f>'Key input_Biomass_MAgPIE'!M324</f>
        <v>1.105628E-2</v>
      </c>
      <c r="P333" s="456">
        <f>'Key input_Biomass_MAgPIE'!N324</f>
        <v>1.105628E-2</v>
      </c>
      <c r="Q333" s="456">
        <f>'Key input_Biomass_MAgPIE'!O324</f>
        <v>1.105628E-2</v>
      </c>
      <c r="R333" s="456">
        <f>'Key input_Biomass_MAgPIE'!P324</f>
        <v>1.105628E-2</v>
      </c>
      <c r="S333" s="456">
        <f>'Key input_Biomass_MAgPIE'!Q324</f>
        <v>1.105628E-2</v>
      </c>
      <c r="T333" s="456">
        <f>'Key input_Biomass_MAgPIE'!R324</f>
        <v>1.105628E-2</v>
      </c>
      <c r="U333" s="456">
        <f>'Key input_Biomass_MAgPIE'!S324</f>
        <v>1.105628E-2</v>
      </c>
      <c r="V333" s="456">
        <f>'Key input_Biomass_MAgPIE'!T324</f>
        <v>1.105628E-2</v>
      </c>
      <c r="W333" s="456">
        <f>'Key input_Biomass_MAgPIE'!U324</f>
        <v>1.105628E-2</v>
      </c>
      <c r="X333" s="456">
        <f>'Key input_Biomass_MAgPIE'!V324</f>
        <v>1.105628E-2</v>
      </c>
      <c r="Y333" s="456">
        <f>'Key input_Biomass_MAgPIE'!W324</f>
        <v>1.105628E-2</v>
      </c>
      <c r="Z333" s="456">
        <f>'Key input_Biomass_MAgPIE'!X324</f>
        <v>1.105628E-2</v>
      </c>
      <c r="AA333" s="456">
        <f>'Key input_Biomass_MAgPIE'!Y324</f>
        <v>1.105628E-2</v>
      </c>
      <c r="AB333" s="456">
        <f>'Key input_Biomass_MAgPIE'!Z324</f>
        <v>1.105628E-2</v>
      </c>
      <c r="AC333" s="456">
        <f>'Key input_Biomass_MAgPIE'!AA324</f>
        <v>1.105628E-2</v>
      </c>
      <c r="AD333" s="456">
        <f>'Key input_Biomass_MAgPIE'!AB324</f>
        <v>1.105628E-2</v>
      </c>
      <c r="AE333" s="456">
        <f>'Key input_Biomass_MAgPIE'!AC324</f>
        <v>1.105628E-2</v>
      </c>
      <c r="AF333" s="456">
        <f>'Key input_Biomass_MAgPIE'!AD324</f>
        <v>1.105628E-2</v>
      </c>
      <c r="AG333" s="456">
        <f>'Key input_Biomass_MAgPIE'!AE324</f>
        <v>1.105628E-2</v>
      </c>
      <c r="AH333" s="456">
        <f>'Key input_Biomass_MAgPIE'!AF324</f>
        <v>1.105628E-2</v>
      </c>
    </row>
    <row r="334" spans="1:34">
      <c r="A334" s="4" t="str">
        <f t="shared" si="124"/>
        <v>MIN-RSVBIOOLC1</v>
      </c>
      <c r="B334" s="4" t="str">
        <f t="shared" si="121"/>
        <v>UPS Reserves of Biomass - Oil crops - Reserve - Supply curve step 1</v>
      </c>
      <c r="C334" s="4" t="str">
        <f t="shared" si="122"/>
        <v>RSVBIOOLC</v>
      </c>
      <c r="D334" s="4" t="str">
        <f t="shared" si="123"/>
        <v>ACT_COST</v>
      </c>
      <c r="E334" s="4"/>
      <c r="F334" s="4">
        <v>2035</v>
      </c>
      <c r="G334" s="456">
        <f>'Key input_Biomass_MAgPIE'!E325</f>
        <v>1.105628E-2</v>
      </c>
      <c r="H334" s="456">
        <f>'Key input_Biomass_MAgPIE'!F325</f>
        <v>1.105628E-2</v>
      </c>
      <c r="I334" s="456">
        <f>'Key input_Biomass_MAgPIE'!G325</f>
        <v>1.105628E-2</v>
      </c>
      <c r="J334" s="456">
        <f>'Key input_Biomass_MAgPIE'!H325</f>
        <v>1.105628E-2</v>
      </c>
      <c r="K334" s="456">
        <f>'Key input_Biomass_MAgPIE'!I325</f>
        <v>1.105628E-2</v>
      </c>
      <c r="L334" s="456">
        <f>'Key input_Biomass_MAgPIE'!J325</f>
        <v>1.105628E-2</v>
      </c>
      <c r="M334" s="456">
        <f>'Key input_Biomass_MAgPIE'!K325</f>
        <v>1.105628E-2</v>
      </c>
      <c r="N334" s="456">
        <f>'Key input_Biomass_MAgPIE'!L325</f>
        <v>1.105628E-2</v>
      </c>
      <c r="O334" s="456">
        <f>'Key input_Biomass_MAgPIE'!M325</f>
        <v>1.105628E-2</v>
      </c>
      <c r="P334" s="456">
        <f>'Key input_Biomass_MAgPIE'!N325</f>
        <v>1.105628E-2</v>
      </c>
      <c r="Q334" s="456">
        <f>'Key input_Biomass_MAgPIE'!O325</f>
        <v>1.105628E-2</v>
      </c>
      <c r="R334" s="456">
        <f>'Key input_Biomass_MAgPIE'!P325</f>
        <v>1.105628E-2</v>
      </c>
      <c r="S334" s="456">
        <f>'Key input_Biomass_MAgPIE'!Q325</f>
        <v>1.105628E-2</v>
      </c>
      <c r="T334" s="456">
        <f>'Key input_Biomass_MAgPIE'!R325</f>
        <v>1.105628E-2</v>
      </c>
      <c r="U334" s="456">
        <f>'Key input_Biomass_MAgPIE'!S325</f>
        <v>1.105628E-2</v>
      </c>
      <c r="V334" s="456">
        <f>'Key input_Biomass_MAgPIE'!T325</f>
        <v>1.105628E-2</v>
      </c>
      <c r="W334" s="456">
        <f>'Key input_Biomass_MAgPIE'!U325</f>
        <v>1.105628E-2</v>
      </c>
      <c r="X334" s="456">
        <f>'Key input_Biomass_MAgPIE'!V325</f>
        <v>1.105628E-2</v>
      </c>
      <c r="Y334" s="456">
        <f>'Key input_Biomass_MAgPIE'!W325</f>
        <v>1.105628E-2</v>
      </c>
      <c r="Z334" s="456">
        <f>'Key input_Biomass_MAgPIE'!X325</f>
        <v>1.105628E-2</v>
      </c>
      <c r="AA334" s="456">
        <f>'Key input_Biomass_MAgPIE'!Y325</f>
        <v>1.105628E-2</v>
      </c>
      <c r="AB334" s="456">
        <f>'Key input_Biomass_MAgPIE'!Z325</f>
        <v>1.105628E-2</v>
      </c>
      <c r="AC334" s="456">
        <f>'Key input_Biomass_MAgPIE'!AA325</f>
        <v>1.105628E-2</v>
      </c>
      <c r="AD334" s="456">
        <f>'Key input_Biomass_MAgPIE'!AB325</f>
        <v>1.105628E-2</v>
      </c>
      <c r="AE334" s="456">
        <f>'Key input_Biomass_MAgPIE'!AC325</f>
        <v>1.105628E-2</v>
      </c>
      <c r="AF334" s="456">
        <f>'Key input_Biomass_MAgPIE'!AD325</f>
        <v>1.105628E-2</v>
      </c>
      <c r="AG334" s="456">
        <f>'Key input_Biomass_MAgPIE'!AE325</f>
        <v>1.105628E-2</v>
      </c>
      <c r="AH334" s="456">
        <f>'Key input_Biomass_MAgPIE'!AF325</f>
        <v>1.105628E-2</v>
      </c>
    </row>
    <row r="335" spans="1:34">
      <c r="A335" s="4" t="str">
        <f t="shared" si="124"/>
        <v>MIN-RSVBIOOLC1</v>
      </c>
      <c r="B335" s="4" t="str">
        <f t="shared" si="121"/>
        <v>UPS Reserves of Biomass - Oil crops - Reserve - Supply curve step 1</v>
      </c>
      <c r="C335" s="4" t="str">
        <f t="shared" si="122"/>
        <v>RSVBIOOLC</v>
      </c>
      <c r="D335" s="4" t="str">
        <f t="shared" si="123"/>
        <v>ACT_COST</v>
      </c>
      <c r="E335" s="4"/>
      <c r="F335" s="4">
        <v>2040</v>
      </c>
      <c r="G335" s="456">
        <f>'Key input_Biomass_MAgPIE'!E326</f>
        <v>1.105628E-2</v>
      </c>
      <c r="H335" s="456">
        <f>'Key input_Biomass_MAgPIE'!F326</f>
        <v>1.105628E-2</v>
      </c>
      <c r="I335" s="456">
        <f>'Key input_Biomass_MAgPIE'!G326</f>
        <v>1.105628E-2</v>
      </c>
      <c r="J335" s="456">
        <f>'Key input_Biomass_MAgPIE'!H326</f>
        <v>1.105628E-2</v>
      </c>
      <c r="K335" s="456">
        <f>'Key input_Biomass_MAgPIE'!I326</f>
        <v>1.105628E-2</v>
      </c>
      <c r="L335" s="456">
        <f>'Key input_Biomass_MAgPIE'!J326</f>
        <v>1.105628E-2</v>
      </c>
      <c r="M335" s="456">
        <f>'Key input_Biomass_MAgPIE'!K326</f>
        <v>1.105628E-2</v>
      </c>
      <c r="N335" s="456">
        <f>'Key input_Biomass_MAgPIE'!L326</f>
        <v>1.105628E-2</v>
      </c>
      <c r="O335" s="456">
        <f>'Key input_Biomass_MAgPIE'!M326</f>
        <v>1.105628E-2</v>
      </c>
      <c r="P335" s="456">
        <f>'Key input_Biomass_MAgPIE'!N326</f>
        <v>1.105628E-2</v>
      </c>
      <c r="Q335" s="456">
        <f>'Key input_Biomass_MAgPIE'!O326</f>
        <v>1.105628E-2</v>
      </c>
      <c r="R335" s="456">
        <f>'Key input_Biomass_MAgPIE'!P326</f>
        <v>1.105628E-2</v>
      </c>
      <c r="S335" s="456">
        <f>'Key input_Biomass_MAgPIE'!Q326</f>
        <v>1.105628E-2</v>
      </c>
      <c r="T335" s="456">
        <f>'Key input_Biomass_MAgPIE'!R326</f>
        <v>1.105628E-2</v>
      </c>
      <c r="U335" s="456">
        <f>'Key input_Biomass_MAgPIE'!S326</f>
        <v>1.105628E-2</v>
      </c>
      <c r="V335" s="456">
        <f>'Key input_Biomass_MAgPIE'!T326</f>
        <v>1.105628E-2</v>
      </c>
      <c r="W335" s="456">
        <f>'Key input_Biomass_MAgPIE'!U326</f>
        <v>1.105628E-2</v>
      </c>
      <c r="X335" s="456">
        <f>'Key input_Biomass_MAgPIE'!V326</f>
        <v>1.105628E-2</v>
      </c>
      <c r="Y335" s="456">
        <f>'Key input_Biomass_MAgPIE'!W326</f>
        <v>1.105628E-2</v>
      </c>
      <c r="Z335" s="456">
        <f>'Key input_Biomass_MAgPIE'!X326</f>
        <v>1.105628E-2</v>
      </c>
      <c r="AA335" s="456">
        <f>'Key input_Biomass_MAgPIE'!Y326</f>
        <v>1.105628E-2</v>
      </c>
      <c r="AB335" s="456">
        <f>'Key input_Biomass_MAgPIE'!Z326</f>
        <v>1.105628E-2</v>
      </c>
      <c r="AC335" s="456">
        <f>'Key input_Biomass_MAgPIE'!AA326</f>
        <v>1.105628E-2</v>
      </c>
      <c r="AD335" s="456">
        <f>'Key input_Biomass_MAgPIE'!AB326</f>
        <v>1.105628E-2</v>
      </c>
      <c r="AE335" s="456">
        <f>'Key input_Biomass_MAgPIE'!AC326</f>
        <v>1.105628E-2</v>
      </c>
      <c r="AF335" s="456">
        <f>'Key input_Biomass_MAgPIE'!AD326</f>
        <v>1.105628E-2</v>
      </c>
      <c r="AG335" s="456">
        <f>'Key input_Biomass_MAgPIE'!AE326</f>
        <v>1.105628E-2</v>
      </c>
      <c r="AH335" s="456">
        <f>'Key input_Biomass_MAgPIE'!AF326</f>
        <v>1.105628E-2</v>
      </c>
    </row>
    <row r="336" spans="1:34">
      <c r="A336" s="4" t="str">
        <f t="shared" si="124"/>
        <v>MIN-RSVBIOOLC1</v>
      </c>
      <c r="B336" s="4" t="str">
        <f t="shared" si="121"/>
        <v>UPS Reserves of Biomass - Oil crops - Reserve - Supply curve step 1</v>
      </c>
      <c r="C336" s="4" t="str">
        <f t="shared" si="122"/>
        <v>RSVBIOOLC</v>
      </c>
      <c r="D336" s="4" t="str">
        <f t="shared" si="123"/>
        <v>ACT_COST</v>
      </c>
      <c r="E336" s="4"/>
      <c r="F336" s="4">
        <v>2045</v>
      </c>
      <c r="G336" s="456">
        <f>'Key input_Biomass_MAgPIE'!E327</f>
        <v>1.105628E-2</v>
      </c>
      <c r="H336" s="456">
        <f>'Key input_Biomass_MAgPIE'!F327</f>
        <v>1.105628E-2</v>
      </c>
      <c r="I336" s="456">
        <f>'Key input_Biomass_MAgPIE'!G327</f>
        <v>1.105628E-2</v>
      </c>
      <c r="J336" s="456">
        <f>'Key input_Biomass_MAgPIE'!H327</f>
        <v>1.105628E-2</v>
      </c>
      <c r="K336" s="456">
        <f>'Key input_Biomass_MAgPIE'!I327</f>
        <v>1.105628E-2</v>
      </c>
      <c r="L336" s="456">
        <f>'Key input_Biomass_MAgPIE'!J327</f>
        <v>1.105628E-2</v>
      </c>
      <c r="M336" s="456">
        <f>'Key input_Biomass_MAgPIE'!K327</f>
        <v>1.105628E-2</v>
      </c>
      <c r="N336" s="456">
        <f>'Key input_Biomass_MAgPIE'!L327</f>
        <v>1.105628E-2</v>
      </c>
      <c r="O336" s="456">
        <f>'Key input_Biomass_MAgPIE'!M327</f>
        <v>1.105628E-2</v>
      </c>
      <c r="P336" s="456">
        <f>'Key input_Biomass_MAgPIE'!N327</f>
        <v>1.105628E-2</v>
      </c>
      <c r="Q336" s="456">
        <f>'Key input_Biomass_MAgPIE'!O327</f>
        <v>1.105628E-2</v>
      </c>
      <c r="R336" s="456">
        <f>'Key input_Biomass_MAgPIE'!P327</f>
        <v>1.105628E-2</v>
      </c>
      <c r="S336" s="456">
        <f>'Key input_Biomass_MAgPIE'!Q327</f>
        <v>1.105628E-2</v>
      </c>
      <c r="T336" s="456">
        <f>'Key input_Biomass_MAgPIE'!R327</f>
        <v>1.105628E-2</v>
      </c>
      <c r="U336" s="456">
        <f>'Key input_Biomass_MAgPIE'!S327</f>
        <v>1.105628E-2</v>
      </c>
      <c r="V336" s="456">
        <f>'Key input_Biomass_MAgPIE'!T327</f>
        <v>1.105628E-2</v>
      </c>
      <c r="W336" s="456">
        <f>'Key input_Biomass_MAgPIE'!U327</f>
        <v>1.105628E-2</v>
      </c>
      <c r="X336" s="456">
        <f>'Key input_Biomass_MAgPIE'!V327</f>
        <v>1.105628E-2</v>
      </c>
      <c r="Y336" s="456">
        <f>'Key input_Biomass_MAgPIE'!W327</f>
        <v>1.105628E-2</v>
      </c>
      <c r="Z336" s="456">
        <f>'Key input_Biomass_MAgPIE'!X327</f>
        <v>1.105628E-2</v>
      </c>
      <c r="AA336" s="456">
        <f>'Key input_Biomass_MAgPIE'!Y327</f>
        <v>1.105628E-2</v>
      </c>
      <c r="AB336" s="456">
        <f>'Key input_Biomass_MAgPIE'!Z327</f>
        <v>1.105628E-2</v>
      </c>
      <c r="AC336" s="456">
        <f>'Key input_Biomass_MAgPIE'!AA327</f>
        <v>1.105628E-2</v>
      </c>
      <c r="AD336" s="456">
        <f>'Key input_Biomass_MAgPIE'!AB327</f>
        <v>1.105628E-2</v>
      </c>
      <c r="AE336" s="456">
        <f>'Key input_Biomass_MAgPIE'!AC327</f>
        <v>1.105628E-2</v>
      </c>
      <c r="AF336" s="456">
        <f>'Key input_Biomass_MAgPIE'!AD327</f>
        <v>1.105628E-2</v>
      </c>
      <c r="AG336" s="456">
        <f>'Key input_Biomass_MAgPIE'!AE327</f>
        <v>1.105628E-2</v>
      </c>
      <c r="AH336" s="456">
        <f>'Key input_Biomass_MAgPIE'!AF327</f>
        <v>1.105628E-2</v>
      </c>
    </row>
    <row r="337" spans="1:34">
      <c r="A337" s="4" t="str">
        <f t="shared" si="124"/>
        <v>MIN-RSVBIOOLC1</v>
      </c>
      <c r="B337" s="4" t="str">
        <f t="shared" si="121"/>
        <v>UPS Reserves of Biomass - Oil crops - Reserve - Supply curve step 1</v>
      </c>
      <c r="C337" s="4" t="str">
        <f t="shared" si="122"/>
        <v>RSVBIOOLC</v>
      </c>
      <c r="D337" s="4" t="str">
        <f t="shared" si="123"/>
        <v>ACT_COST</v>
      </c>
      <c r="E337" s="4"/>
      <c r="F337" s="4">
        <v>2050</v>
      </c>
      <c r="G337" s="456">
        <f>'Key input_Biomass_MAgPIE'!E328</f>
        <v>1.105628E-2</v>
      </c>
      <c r="H337" s="456">
        <f>'Key input_Biomass_MAgPIE'!F328</f>
        <v>1.105628E-2</v>
      </c>
      <c r="I337" s="456">
        <f>'Key input_Biomass_MAgPIE'!G328</f>
        <v>1.105628E-2</v>
      </c>
      <c r="J337" s="456">
        <f>'Key input_Biomass_MAgPIE'!H328</f>
        <v>1.105628E-2</v>
      </c>
      <c r="K337" s="456">
        <f>'Key input_Biomass_MAgPIE'!I328</f>
        <v>1.105628E-2</v>
      </c>
      <c r="L337" s="456">
        <f>'Key input_Biomass_MAgPIE'!J328</f>
        <v>1.105628E-2</v>
      </c>
      <c r="M337" s="456">
        <f>'Key input_Biomass_MAgPIE'!K328</f>
        <v>1.105628E-2</v>
      </c>
      <c r="N337" s="456">
        <f>'Key input_Biomass_MAgPIE'!L328</f>
        <v>1.105628E-2</v>
      </c>
      <c r="O337" s="456">
        <f>'Key input_Biomass_MAgPIE'!M328</f>
        <v>1.105628E-2</v>
      </c>
      <c r="P337" s="456">
        <f>'Key input_Biomass_MAgPIE'!N328</f>
        <v>1.105628E-2</v>
      </c>
      <c r="Q337" s="456">
        <f>'Key input_Biomass_MAgPIE'!O328</f>
        <v>1.105628E-2</v>
      </c>
      <c r="R337" s="456">
        <f>'Key input_Biomass_MAgPIE'!P328</f>
        <v>1.105628E-2</v>
      </c>
      <c r="S337" s="456">
        <f>'Key input_Biomass_MAgPIE'!Q328</f>
        <v>1.105628E-2</v>
      </c>
      <c r="T337" s="456">
        <f>'Key input_Biomass_MAgPIE'!R328</f>
        <v>1.105628E-2</v>
      </c>
      <c r="U337" s="456">
        <f>'Key input_Biomass_MAgPIE'!S328</f>
        <v>1.105628E-2</v>
      </c>
      <c r="V337" s="456">
        <f>'Key input_Biomass_MAgPIE'!T328</f>
        <v>1.105628E-2</v>
      </c>
      <c r="W337" s="456">
        <f>'Key input_Biomass_MAgPIE'!U328</f>
        <v>1.105628E-2</v>
      </c>
      <c r="X337" s="456">
        <f>'Key input_Biomass_MAgPIE'!V328</f>
        <v>1.105628E-2</v>
      </c>
      <c r="Y337" s="456">
        <f>'Key input_Biomass_MAgPIE'!W328</f>
        <v>1.105628E-2</v>
      </c>
      <c r="Z337" s="456">
        <f>'Key input_Biomass_MAgPIE'!X328</f>
        <v>1.105628E-2</v>
      </c>
      <c r="AA337" s="456">
        <f>'Key input_Biomass_MAgPIE'!Y328</f>
        <v>1.105628E-2</v>
      </c>
      <c r="AB337" s="456">
        <f>'Key input_Biomass_MAgPIE'!Z328</f>
        <v>1.105628E-2</v>
      </c>
      <c r="AC337" s="456">
        <f>'Key input_Biomass_MAgPIE'!AA328</f>
        <v>1.105628E-2</v>
      </c>
      <c r="AD337" s="456">
        <f>'Key input_Biomass_MAgPIE'!AB328</f>
        <v>1.105628E-2</v>
      </c>
      <c r="AE337" s="456">
        <f>'Key input_Biomass_MAgPIE'!AC328</f>
        <v>1.105628E-2</v>
      </c>
      <c r="AF337" s="456">
        <f>'Key input_Biomass_MAgPIE'!AD328</f>
        <v>1.105628E-2</v>
      </c>
      <c r="AG337" s="456">
        <f>'Key input_Biomass_MAgPIE'!AE328</f>
        <v>1.105628E-2</v>
      </c>
      <c r="AH337" s="456">
        <f>'Key input_Biomass_MAgPIE'!AF328</f>
        <v>1.105628E-2</v>
      </c>
    </row>
    <row r="338" spans="1:34">
      <c r="A338" s="4" t="str">
        <f t="shared" si="124"/>
        <v>MIN-RSVBIOOLC1</v>
      </c>
      <c r="B338" s="4" t="str">
        <f t="shared" si="121"/>
        <v>UPS Reserves of Biomass - Oil crops - Reserve - Supply curve step 1</v>
      </c>
      <c r="C338" s="4" t="str">
        <f t="shared" si="122"/>
        <v>RSVBIOOLC</v>
      </c>
      <c r="D338" s="4" t="str">
        <f t="shared" si="123"/>
        <v>ACT_COST</v>
      </c>
      <c r="E338" s="4"/>
      <c r="F338" s="4">
        <v>2060</v>
      </c>
      <c r="G338" s="456">
        <f>'Key input_Biomass_MAgPIE'!E329</f>
        <v>1.105628E-2</v>
      </c>
      <c r="H338" s="456">
        <f>'Key input_Biomass_MAgPIE'!F329</f>
        <v>1.105628E-2</v>
      </c>
      <c r="I338" s="456">
        <f>'Key input_Biomass_MAgPIE'!G329</f>
        <v>1.105628E-2</v>
      </c>
      <c r="J338" s="456">
        <f>'Key input_Biomass_MAgPIE'!H329</f>
        <v>1.105628E-2</v>
      </c>
      <c r="K338" s="456">
        <f>'Key input_Biomass_MAgPIE'!I329</f>
        <v>1.105628E-2</v>
      </c>
      <c r="L338" s="456">
        <f>'Key input_Biomass_MAgPIE'!J329</f>
        <v>1.105628E-2</v>
      </c>
      <c r="M338" s="456">
        <f>'Key input_Biomass_MAgPIE'!K329</f>
        <v>1.105628E-2</v>
      </c>
      <c r="N338" s="456">
        <f>'Key input_Biomass_MAgPIE'!L329</f>
        <v>1.105628E-2</v>
      </c>
      <c r="O338" s="456">
        <f>'Key input_Biomass_MAgPIE'!M329</f>
        <v>1.105628E-2</v>
      </c>
      <c r="P338" s="456">
        <f>'Key input_Biomass_MAgPIE'!N329</f>
        <v>1.105628E-2</v>
      </c>
      <c r="Q338" s="456">
        <f>'Key input_Biomass_MAgPIE'!O329</f>
        <v>1.105628E-2</v>
      </c>
      <c r="R338" s="456">
        <f>'Key input_Biomass_MAgPIE'!P329</f>
        <v>1.105628E-2</v>
      </c>
      <c r="S338" s="456">
        <f>'Key input_Biomass_MAgPIE'!Q329</f>
        <v>1.105628E-2</v>
      </c>
      <c r="T338" s="456">
        <f>'Key input_Biomass_MAgPIE'!R329</f>
        <v>1.105628E-2</v>
      </c>
      <c r="U338" s="456">
        <f>'Key input_Biomass_MAgPIE'!S329</f>
        <v>1.105628E-2</v>
      </c>
      <c r="V338" s="456">
        <f>'Key input_Biomass_MAgPIE'!T329</f>
        <v>1.105628E-2</v>
      </c>
      <c r="W338" s="456">
        <f>'Key input_Biomass_MAgPIE'!U329</f>
        <v>1.105628E-2</v>
      </c>
      <c r="X338" s="456">
        <f>'Key input_Biomass_MAgPIE'!V329</f>
        <v>1.105628E-2</v>
      </c>
      <c r="Y338" s="456">
        <f>'Key input_Biomass_MAgPIE'!W329</f>
        <v>1.105628E-2</v>
      </c>
      <c r="Z338" s="456">
        <f>'Key input_Biomass_MAgPIE'!X329</f>
        <v>1.105628E-2</v>
      </c>
      <c r="AA338" s="456">
        <f>'Key input_Biomass_MAgPIE'!Y329</f>
        <v>1.105628E-2</v>
      </c>
      <c r="AB338" s="456">
        <f>'Key input_Biomass_MAgPIE'!Z329</f>
        <v>1.105628E-2</v>
      </c>
      <c r="AC338" s="456">
        <f>'Key input_Biomass_MAgPIE'!AA329</f>
        <v>1.105628E-2</v>
      </c>
      <c r="AD338" s="456">
        <f>'Key input_Biomass_MAgPIE'!AB329</f>
        <v>1.105628E-2</v>
      </c>
      <c r="AE338" s="456">
        <f>'Key input_Biomass_MAgPIE'!AC329</f>
        <v>1.105628E-2</v>
      </c>
      <c r="AF338" s="456">
        <f>'Key input_Biomass_MAgPIE'!AD329</f>
        <v>1.105628E-2</v>
      </c>
      <c r="AG338" s="456">
        <f>'Key input_Biomass_MAgPIE'!AE329</f>
        <v>1.105628E-2</v>
      </c>
      <c r="AH338" s="456">
        <f>'Key input_Biomass_MAgPIE'!AF329</f>
        <v>1.105628E-2</v>
      </c>
    </row>
    <row r="339" spans="1:34">
      <c r="A339" s="4" t="str">
        <f t="shared" si="124"/>
        <v>MIN-RSVBIOOLC1</v>
      </c>
      <c r="B339" s="4" t="str">
        <f t="shared" si="121"/>
        <v>UPS Reserves of Biomass - Oil crops - Reserve - Supply curve step 1</v>
      </c>
      <c r="C339" s="4" t="str">
        <f t="shared" si="122"/>
        <v>RSVBIOOLC</v>
      </c>
      <c r="D339" s="4" t="str">
        <f t="shared" si="123"/>
        <v>ACT_COST</v>
      </c>
      <c r="E339" s="4"/>
      <c r="F339" s="4">
        <v>2070</v>
      </c>
      <c r="G339" s="456">
        <f>'Key input_Biomass_MAgPIE'!E330</f>
        <v>1.105628E-2</v>
      </c>
      <c r="H339" s="456">
        <f>'Key input_Biomass_MAgPIE'!F330</f>
        <v>1.105628E-2</v>
      </c>
      <c r="I339" s="456">
        <f>'Key input_Biomass_MAgPIE'!G330</f>
        <v>1.105628E-2</v>
      </c>
      <c r="J339" s="456">
        <f>'Key input_Biomass_MAgPIE'!H330</f>
        <v>1.105628E-2</v>
      </c>
      <c r="K339" s="456">
        <f>'Key input_Biomass_MAgPIE'!I330</f>
        <v>1.105628E-2</v>
      </c>
      <c r="L339" s="456">
        <f>'Key input_Biomass_MAgPIE'!J330</f>
        <v>1.105628E-2</v>
      </c>
      <c r="M339" s="456">
        <f>'Key input_Biomass_MAgPIE'!K330</f>
        <v>1.105628E-2</v>
      </c>
      <c r="N339" s="456">
        <f>'Key input_Biomass_MAgPIE'!L330</f>
        <v>1.105628E-2</v>
      </c>
      <c r="O339" s="456">
        <f>'Key input_Biomass_MAgPIE'!M330</f>
        <v>1.105628E-2</v>
      </c>
      <c r="P339" s="456">
        <f>'Key input_Biomass_MAgPIE'!N330</f>
        <v>1.105628E-2</v>
      </c>
      <c r="Q339" s="456">
        <f>'Key input_Biomass_MAgPIE'!O330</f>
        <v>1.105628E-2</v>
      </c>
      <c r="R339" s="456">
        <f>'Key input_Biomass_MAgPIE'!P330</f>
        <v>1.105628E-2</v>
      </c>
      <c r="S339" s="456">
        <f>'Key input_Biomass_MAgPIE'!Q330</f>
        <v>1.105628E-2</v>
      </c>
      <c r="T339" s="456">
        <f>'Key input_Biomass_MAgPIE'!R330</f>
        <v>1.105628E-2</v>
      </c>
      <c r="U339" s="456">
        <f>'Key input_Biomass_MAgPIE'!S330</f>
        <v>1.105628E-2</v>
      </c>
      <c r="V339" s="456">
        <f>'Key input_Biomass_MAgPIE'!T330</f>
        <v>1.105628E-2</v>
      </c>
      <c r="W339" s="456">
        <f>'Key input_Biomass_MAgPIE'!U330</f>
        <v>1.105628E-2</v>
      </c>
      <c r="X339" s="456">
        <f>'Key input_Biomass_MAgPIE'!V330</f>
        <v>1.105628E-2</v>
      </c>
      <c r="Y339" s="456">
        <f>'Key input_Biomass_MAgPIE'!W330</f>
        <v>1.105628E-2</v>
      </c>
      <c r="Z339" s="456">
        <f>'Key input_Biomass_MAgPIE'!X330</f>
        <v>1.105628E-2</v>
      </c>
      <c r="AA339" s="456">
        <f>'Key input_Biomass_MAgPIE'!Y330</f>
        <v>1.105628E-2</v>
      </c>
      <c r="AB339" s="456">
        <f>'Key input_Biomass_MAgPIE'!Z330</f>
        <v>1.105628E-2</v>
      </c>
      <c r="AC339" s="456">
        <f>'Key input_Biomass_MAgPIE'!AA330</f>
        <v>1.105628E-2</v>
      </c>
      <c r="AD339" s="456">
        <f>'Key input_Biomass_MAgPIE'!AB330</f>
        <v>1.105628E-2</v>
      </c>
      <c r="AE339" s="456">
        <f>'Key input_Biomass_MAgPIE'!AC330</f>
        <v>1.105628E-2</v>
      </c>
      <c r="AF339" s="456">
        <f>'Key input_Biomass_MAgPIE'!AD330</f>
        <v>1.105628E-2</v>
      </c>
      <c r="AG339" s="456">
        <f>'Key input_Biomass_MAgPIE'!AE330</f>
        <v>1.105628E-2</v>
      </c>
      <c r="AH339" s="456">
        <f>'Key input_Biomass_MAgPIE'!AF330</f>
        <v>1.105628E-2</v>
      </c>
    </row>
    <row r="340" spans="1:34">
      <c r="A340" s="4" t="str">
        <f t="shared" si="124"/>
        <v>MIN-RSVBIOOLC1</v>
      </c>
      <c r="B340" s="4" t="str">
        <f t="shared" si="121"/>
        <v>UPS Reserves of Biomass - Oil crops - Reserve - Supply curve step 1</v>
      </c>
      <c r="C340" s="4" t="str">
        <f t="shared" si="122"/>
        <v>RSVBIOOLC</v>
      </c>
      <c r="D340" s="4" t="str">
        <f t="shared" si="123"/>
        <v>ACT_COST</v>
      </c>
      <c r="E340" s="4"/>
      <c r="F340" s="4">
        <v>2080</v>
      </c>
      <c r="G340" s="456">
        <f>'Key input_Biomass_MAgPIE'!E331</f>
        <v>1.105628E-2</v>
      </c>
      <c r="H340" s="456">
        <f>'Key input_Biomass_MAgPIE'!F331</f>
        <v>1.105628E-2</v>
      </c>
      <c r="I340" s="456">
        <f>'Key input_Biomass_MAgPIE'!G331</f>
        <v>1.105628E-2</v>
      </c>
      <c r="J340" s="456">
        <f>'Key input_Biomass_MAgPIE'!H331</f>
        <v>1.105628E-2</v>
      </c>
      <c r="K340" s="456">
        <f>'Key input_Biomass_MAgPIE'!I331</f>
        <v>1.105628E-2</v>
      </c>
      <c r="L340" s="456">
        <f>'Key input_Biomass_MAgPIE'!J331</f>
        <v>1.105628E-2</v>
      </c>
      <c r="M340" s="456">
        <f>'Key input_Biomass_MAgPIE'!K331</f>
        <v>1.105628E-2</v>
      </c>
      <c r="N340" s="456">
        <f>'Key input_Biomass_MAgPIE'!L331</f>
        <v>1.105628E-2</v>
      </c>
      <c r="O340" s="456">
        <f>'Key input_Biomass_MAgPIE'!M331</f>
        <v>1.105628E-2</v>
      </c>
      <c r="P340" s="456">
        <f>'Key input_Biomass_MAgPIE'!N331</f>
        <v>1.105628E-2</v>
      </c>
      <c r="Q340" s="456">
        <f>'Key input_Biomass_MAgPIE'!O331</f>
        <v>1.105628E-2</v>
      </c>
      <c r="R340" s="456">
        <f>'Key input_Biomass_MAgPIE'!P331</f>
        <v>1.105628E-2</v>
      </c>
      <c r="S340" s="456">
        <f>'Key input_Biomass_MAgPIE'!Q331</f>
        <v>1.105628E-2</v>
      </c>
      <c r="T340" s="456">
        <f>'Key input_Biomass_MAgPIE'!R331</f>
        <v>1.105628E-2</v>
      </c>
      <c r="U340" s="456">
        <f>'Key input_Biomass_MAgPIE'!S331</f>
        <v>1.105628E-2</v>
      </c>
      <c r="V340" s="456">
        <f>'Key input_Biomass_MAgPIE'!T331</f>
        <v>1.105628E-2</v>
      </c>
      <c r="W340" s="456">
        <f>'Key input_Biomass_MAgPIE'!U331</f>
        <v>1.105628E-2</v>
      </c>
      <c r="X340" s="456">
        <f>'Key input_Biomass_MAgPIE'!V331</f>
        <v>1.105628E-2</v>
      </c>
      <c r="Y340" s="456">
        <f>'Key input_Biomass_MAgPIE'!W331</f>
        <v>1.105628E-2</v>
      </c>
      <c r="Z340" s="456">
        <f>'Key input_Biomass_MAgPIE'!X331</f>
        <v>1.105628E-2</v>
      </c>
      <c r="AA340" s="456">
        <f>'Key input_Biomass_MAgPIE'!Y331</f>
        <v>1.105628E-2</v>
      </c>
      <c r="AB340" s="456">
        <f>'Key input_Biomass_MAgPIE'!Z331</f>
        <v>1.105628E-2</v>
      </c>
      <c r="AC340" s="456">
        <f>'Key input_Biomass_MAgPIE'!AA331</f>
        <v>1.105628E-2</v>
      </c>
      <c r="AD340" s="456">
        <f>'Key input_Biomass_MAgPIE'!AB331</f>
        <v>1.105628E-2</v>
      </c>
      <c r="AE340" s="456">
        <f>'Key input_Biomass_MAgPIE'!AC331</f>
        <v>1.105628E-2</v>
      </c>
      <c r="AF340" s="456">
        <f>'Key input_Biomass_MAgPIE'!AD331</f>
        <v>1.105628E-2</v>
      </c>
      <c r="AG340" s="456">
        <f>'Key input_Biomass_MAgPIE'!AE331</f>
        <v>1.105628E-2</v>
      </c>
      <c r="AH340" s="456">
        <f>'Key input_Biomass_MAgPIE'!AF331</f>
        <v>1.105628E-2</v>
      </c>
    </row>
    <row r="341" spans="1:34">
      <c r="A341" s="4" t="str">
        <f t="shared" si="124"/>
        <v>MIN-RSVBIOOLC1</v>
      </c>
      <c r="B341" s="4" t="str">
        <f t="shared" si="121"/>
        <v>UPS Reserves of Biomass - Oil crops - Reserve - Supply curve step 1</v>
      </c>
      <c r="C341" s="4" t="str">
        <f t="shared" si="122"/>
        <v>RSVBIOOLC</v>
      </c>
      <c r="D341" s="4" t="str">
        <f t="shared" si="123"/>
        <v>ACT_COST</v>
      </c>
      <c r="E341" s="4"/>
      <c r="F341" s="4">
        <v>2090</v>
      </c>
      <c r="G341" s="456">
        <f>'Key input_Biomass_MAgPIE'!E332</f>
        <v>1.105628E-2</v>
      </c>
      <c r="H341" s="456">
        <f>'Key input_Biomass_MAgPIE'!F332</f>
        <v>1.105628E-2</v>
      </c>
      <c r="I341" s="456">
        <f>'Key input_Biomass_MAgPIE'!G332</f>
        <v>1.105628E-2</v>
      </c>
      <c r="J341" s="456">
        <f>'Key input_Biomass_MAgPIE'!H332</f>
        <v>1.105628E-2</v>
      </c>
      <c r="K341" s="456">
        <f>'Key input_Biomass_MAgPIE'!I332</f>
        <v>1.105628E-2</v>
      </c>
      <c r="L341" s="456">
        <f>'Key input_Biomass_MAgPIE'!J332</f>
        <v>1.105628E-2</v>
      </c>
      <c r="M341" s="456">
        <f>'Key input_Biomass_MAgPIE'!K332</f>
        <v>1.105628E-2</v>
      </c>
      <c r="N341" s="456">
        <f>'Key input_Biomass_MAgPIE'!L332</f>
        <v>1.105628E-2</v>
      </c>
      <c r="O341" s="456">
        <f>'Key input_Biomass_MAgPIE'!M332</f>
        <v>1.105628E-2</v>
      </c>
      <c r="P341" s="456">
        <f>'Key input_Biomass_MAgPIE'!N332</f>
        <v>1.105628E-2</v>
      </c>
      <c r="Q341" s="456">
        <f>'Key input_Biomass_MAgPIE'!O332</f>
        <v>1.105628E-2</v>
      </c>
      <c r="R341" s="456">
        <f>'Key input_Biomass_MAgPIE'!P332</f>
        <v>1.105628E-2</v>
      </c>
      <c r="S341" s="456">
        <f>'Key input_Biomass_MAgPIE'!Q332</f>
        <v>1.105628E-2</v>
      </c>
      <c r="T341" s="456">
        <f>'Key input_Biomass_MAgPIE'!R332</f>
        <v>1.105628E-2</v>
      </c>
      <c r="U341" s="456">
        <f>'Key input_Biomass_MAgPIE'!S332</f>
        <v>1.105628E-2</v>
      </c>
      <c r="V341" s="456">
        <f>'Key input_Biomass_MAgPIE'!T332</f>
        <v>1.105628E-2</v>
      </c>
      <c r="W341" s="456">
        <f>'Key input_Biomass_MAgPIE'!U332</f>
        <v>1.105628E-2</v>
      </c>
      <c r="X341" s="456">
        <f>'Key input_Biomass_MAgPIE'!V332</f>
        <v>1.105628E-2</v>
      </c>
      <c r="Y341" s="456">
        <f>'Key input_Biomass_MAgPIE'!W332</f>
        <v>1.105628E-2</v>
      </c>
      <c r="Z341" s="456">
        <f>'Key input_Biomass_MAgPIE'!X332</f>
        <v>1.105628E-2</v>
      </c>
      <c r="AA341" s="456">
        <f>'Key input_Biomass_MAgPIE'!Y332</f>
        <v>1.105628E-2</v>
      </c>
      <c r="AB341" s="456">
        <f>'Key input_Biomass_MAgPIE'!Z332</f>
        <v>1.105628E-2</v>
      </c>
      <c r="AC341" s="456">
        <f>'Key input_Biomass_MAgPIE'!AA332</f>
        <v>1.105628E-2</v>
      </c>
      <c r="AD341" s="456">
        <f>'Key input_Biomass_MAgPIE'!AB332</f>
        <v>1.105628E-2</v>
      </c>
      <c r="AE341" s="456">
        <f>'Key input_Biomass_MAgPIE'!AC332</f>
        <v>1.105628E-2</v>
      </c>
      <c r="AF341" s="456">
        <f>'Key input_Biomass_MAgPIE'!AD332</f>
        <v>1.105628E-2</v>
      </c>
      <c r="AG341" s="456">
        <f>'Key input_Biomass_MAgPIE'!AE332</f>
        <v>1.105628E-2</v>
      </c>
      <c r="AH341" s="456">
        <f>'Key input_Biomass_MAgPIE'!AF332</f>
        <v>1.105628E-2</v>
      </c>
    </row>
    <row r="342" spans="1:34">
      <c r="A342" s="259" t="str">
        <f t="shared" si="124"/>
        <v>MIN-RSVBIOOLC1</v>
      </c>
      <c r="B342" s="259" t="str">
        <f t="shared" si="121"/>
        <v>UPS Reserves of Biomass - Oil crops - Reserve - Supply curve step 1</v>
      </c>
      <c r="C342" s="259" t="str">
        <f t="shared" si="122"/>
        <v>RSVBIOOLC</v>
      </c>
      <c r="D342" s="259" t="str">
        <f t="shared" si="123"/>
        <v>ACT_COST</v>
      </c>
      <c r="E342" s="259"/>
      <c r="F342" s="259">
        <v>2100</v>
      </c>
      <c r="G342" s="435">
        <f>'Key input_Biomass_MAgPIE'!E333</f>
        <v>1.105628E-2</v>
      </c>
      <c r="H342" s="435">
        <f>'Key input_Biomass_MAgPIE'!F333</f>
        <v>1.105628E-2</v>
      </c>
      <c r="I342" s="435">
        <f>'Key input_Biomass_MAgPIE'!G333</f>
        <v>1.105628E-2</v>
      </c>
      <c r="J342" s="435">
        <f>'Key input_Biomass_MAgPIE'!H333</f>
        <v>1.105628E-2</v>
      </c>
      <c r="K342" s="435">
        <f>'Key input_Biomass_MAgPIE'!I333</f>
        <v>1.105628E-2</v>
      </c>
      <c r="L342" s="435">
        <f>'Key input_Biomass_MAgPIE'!J333</f>
        <v>1.105628E-2</v>
      </c>
      <c r="M342" s="435">
        <f>'Key input_Biomass_MAgPIE'!K333</f>
        <v>1.105628E-2</v>
      </c>
      <c r="N342" s="435">
        <f>'Key input_Biomass_MAgPIE'!L333</f>
        <v>1.105628E-2</v>
      </c>
      <c r="O342" s="435">
        <f>'Key input_Biomass_MAgPIE'!M333</f>
        <v>1.105628E-2</v>
      </c>
      <c r="P342" s="435">
        <f>'Key input_Biomass_MAgPIE'!N333</f>
        <v>1.105628E-2</v>
      </c>
      <c r="Q342" s="435">
        <f>'Key input_Biomass_MAgPIE'!O333</f>
        <v>1.105628E-2</v>
      </c>
      <c r="R342" s="435">
        <f>'Key input_Biomass_MAgPIE'!P333</f>
        <v>1.105628E-2</v>
      </c>
      <c r="S342" s="435">
        <f>'Key input_Biomass_MAgPIE'!Q333</f>
        <v>1.105628E-2</v>
      </c>
      <c r="T342" s="435">
        <f>'Key input_Biomass_MAgPIE'!R333</f>
        <v>1.105628E-2</v>
      </c>
      <c r="U342" s="435">
        <f>'Key input_Biomass_MAgPIE'!S333</f>
        <v>1.105628E-2</v>
      </c>
      <c r="V342" s="435">
        <f>'Key input_Biomass_MAgPIE'!T333</f>
        <v>1.105628E-2</v>
      </c>
      <c r="W342" s="435">
        <f>'Key input_Biomass_MAgPIE'!U333</f>
        <v>1.105628E-2</v>
      </c>
      <c r="X342" s="435">
        <f>'Key input_Biomass_MAgPIE'!V333</f>
        <v>1.105628E-2</v>
      </c>
      <c r="Y342" s="435">
        <f>'Key input_Biomass_MAgPIE'!W333</f>
        <v>1.105628E-2</v>
      </c>
      <c r="Z342" s="435">
        <f>'Key input_Biomass_MAgPIE'!X333</f>
        <v>1.105628E-2</v>
      </c>
      <c r="AA342" s="435">
        <f>'Key input_Biomass_MAgPIE'!Y333</f>
        <v>1.105628E-2</v>
      </c>
      <c r="AB342" s="435">
        <f>'Key input_Biomass_MAgPIE'!Z333</f>
        <v>1.105628E-2</v>
      </c>
      <c r="AC342" s="435">
        <f>'Key input_Biomass_MAgPIE'!AA333</f>
        <v>1.105628E-2</v>
      </c>
      <c r="AD342" s="435">
        <f>'Key input_Biomass_MAgPIE'!AB333</f>
        <v>1.105628E-2</v>
      </c>
      <c r="AE342" s="435">
        <f>'Key input_Biomass_MAgPIE'!AC333</f>
        <v>1.105628E-2</v>
      </c>
      <c r="AF342" s="435">
        <f>'Key input_Biomass_MAgPIE'!AD333</f>
        <v>1.105628E-2</v>
      </c>
      <c r="AG342" s="435">
        <f>'Key input_Biomass_MAgPIE'!AE333</f>
        <v>1.105628E-2</v>
      </c>
      <c r="AH342" s="435">
        <f>'Key input_Biomass_MAgPIE'!AF333</f>
        <v>1.105628E-2</v>
      </c>
    </row>
    <row r="343" spans="1:34">
      <c r="A343" s="4" t="str">
        <f>AK21</f>
        <v>MIN-RSVBIOOLC2</v>
      </c>
      <c r="B343" s="4" t="str">
        <f>AL21</f>
        <v>UPS Reserves of Biomass - Oil crops - Reserve - Supply curve step 2</v>
      </c>
      <c r="C343" s="4" t="str">
        <f>Commodities!$C$18</f>
        <v>RSVBIOOLC</v>
      </c>
      <c r="D343" s="4" t="s">
        <v>675</v>
      </c>
      <c r="E343" s="4"/>
      <c r="F343" s="4">
        <v>2019</v>
      </c>
      <c r="G343" s="258">
        <f>'Key input_Biomass_MAgPIE'!E334</f>
        <v>5.5281400000000001E-2</v>
      </c>
      <c r="H343" s="258">
        <f>'Key input_Biomass_MAgPIE'!F334</f>
        <v>5.5281400000000001E-2</v>
      </c>
      <c r="I343" s="258">
        <f>'Key input_Biomass_MAgPIE'!G334</f>
        <v>5.5281400000000001E-2</v>
      </c>
      <c r="J343" s="258">
        <f>'Key input_Biomass_MAgPIE'!H334</f>
        <v>5.5281400000000001E-2</v>
      </c>
      <c r="K343" s="258">
        <f>'Key input_Biomass_MAgPIE'!I334</f>
        <v>5.5281400000000001E-2</v>
      </c>
      <c r="L343" s="258">
        <f>'Key input_Biomass_MAgPIE'!J334</f>
        <v>5.5281400000000001E-2</v>
      </c>
      <c r="M343" s="258">
        <f>'Key input_Biomass_MAgPIE'!K334</f>
        <v>5.5281400000000001E-2</v>
      </c>
      <c r="N343" s="258">
        <f>'Key input_Biomass_MAgPIE'!L334</f>
        <v>5.5281400000000001E-2</v>
      </c>
      <c r="O343" s="258">
        <f>'Key input_Biomass_MAgPIE'!M334</f>
        <v>5.5281400000000001E-2</v>
      </c>
      <c r="P343" s="258">
        <f>'Key input_Biomass_MAgPIE'!N334</f>
        <v>5.5281400000000001E-2</v>
      </c>
      <c r="Q343" s="258">
        <f>'Key input_Biomass_MAgPIE'!O334</f>
        <v>5.5281400000000001E-2</v>
      </c>
      <c r="R343" s="258">
        <f>'Key input_Biomass_MAgPIE'!P334</f>
        <v>5.5281400000000001E-2</v>
      </c>
      <c r="S343" s="258">
        <f>'Key input_Biomass_MAgPIE'!Q334</f>
        <v>5.5281400000000001E-2</v>
      </c>
      <c r="T343" s="258">
        <f>'Key input_Biomass_MAgPIE'!R334</f>
        <v>5.5281400000000001E-2</v>
      </c>
      <c r="U343" s="258">
        <f>'Key input_Biomass_MAgPIE'!S334</f>
        <v>5.5281400000000001E-2</v>
      </c>
      <c r="V343" s="258">
        <f>'Key input_Biomass_MAgPIE'!T334</f>
        <v>5.5281400000000001E-2</v>
      </c>
      <c r="W343" s="258">
        <f>'Key input_Biomass_MAgPIE'!U334</f>
        <v>5.5281400000000001E-2</v>
      </c>
      <c r="X343" s="258">
        <f>'Key input_Biomass_MAgPIE'!V334</f>
        <v>5.5281400000000001E-2</v>
      </c>
      <c r="Y343" s="258">
        <f>'Key input_Biomass_MAgPIE'!W334</f>
        <v>5.5281400000000001E-2</v>
      </c>
      <c r="Z343" s="258">
        <f>'Key input_Biomass_MAgPIE'!X334</f>
        <v>5.5281400000000001E-2</v>
      </c>
      <c r="AA343" s="258">
        <f>'Key input_Biomass_MAgPIE'!Y334</f>
        <v>5.5281400000000001E-2</v>
      </c>
      <c r="AB343" s="258">
        <f>'Key input_Biomass_MAgPIE'!Z334</f>
        <v>5.5281400000000001E-2</v>
      </c>
      <c r="AC343" s="258">
        <f>'Key input_Biomass_MAgPIE'!AA334</f>
        <v>5.5281400000000001E-2</v>
      </c>
      <c r="AD343" s="258">
        <f>'Key input_Biomass_MAgPIE'!AB334</f>
        <v>5.5281400000000001E-2</v>
      </c>
      <c r="AE343" s="258">
        <f>'Key input_Biomass_MAgPIE'!AC334</f>
        <v>5.5281400000000001E-2</v>
      </c>
      <c r="AF343" s="258">
        <f>'Key input_Biomass_MAgPIE'!AD334</f>
        <v>5.5281400000000001E-2</v>
      </c>
      <c r="AG343" s="258">
        <f>'Key input_Biomass_MAgPIE'!AE334</f>
        <v>5.5281400000000001E-2</v>
      </c>
      <c r="AH343" s="258">
        <f>'Key input_Biomass_MAgPIE'!AF334</f>
        <v>5.5281400000000001E-2</v>
      </c>
    </row>
    <row r="344" spans="1:34">
      <c r="A344" s="4" t="str">
        <f>A343</f>
        <v>MIN-RSVBIOOLC2</v>
      </c>
      <c r="B344" s="4" t="str">
        <f t="shared" ref="B344:B355" si="125">B343</f>
        <v>UPS Reserves of Biomass - Oil crops - Reserve - Supply curve step 2</v>
      </c>
      <c r="C344" s="4" t="str">
        <f t="shared" ref="C344:C355" si="126">C343</f>
        <v>RSVBIOOLC</v>
      </c>
      <c r="D344" s="4" t="str">
        <f t="shared" ref="D344:D355" si="127">D343</f>
        <v>ACT_COST</v>
      </c>
      <c r="E344" s="4"/>
      <c r="F344" s="4">
        <v>2020</v>
      </c>
      <c r="G344" s="456">
        <f>'Key input_Biomass_MAgPIE'!E335</f>
        <v>5.5281400000000001E-2</v>
      </c>
      <c r="H344" s="456">
        <f>'Key input_Biomass_MAgPIE'!F335</f>
        <v>5.5281400000000001E-2</v>
      </c>
      <c r="I344" s="456">
        <f>'Key input_Biomass_MAgPIE'!G335</f>
        <v>5.5281400000000001E-2</v>
      </c>
      <c r="J344" s="456">
        <f>'Key input_Biomass_MAgPIE'!H335</f>
        <v>5.5281400000000001E-2</v>
      </c>
      <c r="K344" s="456">
        <f>'Key input_Biomass_MAgPIE'!I335</f>
        <v>5.5281400000000001E-2</v>
      </c>
      <c r="L344" s="456">
        <f>'Key input_Biomass_MAgPIE'!J335</f>
        <v>5.5281400000000001E-2</v>
      </c>
      <c r="M344" s="456">
        <f>'Key input_Biomass_MAgPIE'!K335</f>
        <v>5.5281400000000001E-2</v>
      </c>
      <c r="N344" s="456">
        <f>'Key input_Biomass_MAgPIE'!L335</f>
        <v>5.5281400000000001E-2</v>
      </c>
      <c r="O344" s="456">
        <f>'Key input_Biomass_MAgPIE'!M335</f>
        <v>5.5281400000000001E-2</v>
      </c>
      <c r="P344" s="456">
        <f>'Key input_Biomass_MAgPIE'!N335</f>
        <v>5.5281400000000001E-2</v>
      </c>
      <c r="Q344" s="456">
        <f>'Key input_Biomass_MAgPIE'!O335</f>
        <v>5.5281400000000001E-2</v>
      </c>
      <c r="R344" s="456">
        <f>'Key input_Biomass_MAgPIE'!P335</f>
        <v>5.5281400000000001E-2</v>
      </c>
      <c r="S344" s="456">
        <f>'Key input_Biomass_MAgPIE'!Q335</f>
        <v>5.5281400000000001E-2</v>
      </c>
      <c r="T344" s="456">
        <f>'Key input_Biomass_MAgPIE'!R335</f>
        <v>5.5281400000000001E-2</v>
      </c>
      <c r="U344" s="456">
        <f>'Key input_Biomass_MAgPIE'!S335</f>
        <v>5.5281400000000001E-2</v>
      </c>
      <c r="V344" s="456">
        <f>'Key input_Biomass_MAgPIE'!T335</f>
        <v>5.5281400000000001E-2</v>
      </c>
      <c r="W344" s="456">
        <f>'Key input_Biomass_MAgPIE'!U335</f>
        <v>5.5281400000000001E-2</v>
      </c>
      <c r="X344" s="456">
        <f>'Key input_Biomass_MAgPIE'!V335</f>
        <v>5.5281400000000001E-2</v>
      </c>
      <c r="Y344" s="456">
        <f>'Key input_Biomass_MAgPIE'!W335</f>
        <v>5.5281400000000001E-2</v>
      </c>
      <c r="Z344" s="456">
        <f>'Key input_Biomass_MAgPIE'!X335</f>
        <v>5.5281400000000001E-2</v>
      </c>
      <c r="AA344" s="456">
        <f>'Key input_Biomass_MAgPIE'!Y335</f>
        <v>5.5281400000000001E-2</v>
      </c>
      <c r="AB344" s="456">
        <f>'Key input_Biomass_MAgPIE'!Z335</f>
        <v>5.5281400000000001E-2</v>
      </c>
      <c r="AC344" s="456">
        <f>'Key input_Biomass_MAgPIE'!AA335</f>
        <v>5.5281400000000001E-2</v>
      </c>
      <c r="AD344" s="456">
        <f>'Key input_Biomass_MAgPIE'!AB335</f>
        <v>5.5281400000000001E-2</v>
      </c>
      <c r="AE344" s="456">
        <f>'Key input_Biomass_MAgPIE'!AC335</f>
        <v>5.5281400000000001E-2</v>
      </c>
      <c r="AF344" s="456">
        <f>'Key input_Biomass_MAgPIE'!AD335</f>
        <v>5.5281400000000001E-2</v>
      </c>
      <c r="AG344" s="456">
        <f>'Key input_Biomass_MAgPIE'!AE335</f>
        <v>5.5281400000000001E-2</v>
      </c>
      <c r="AH344" s="456">
        <f>'Key input_Biomass_MAgPIE'!AF335</f>
        <v>5.5281400000000001E-2</v>
      </c>
    </row>
    <row r="345" spans="1:34">
      <c r="A345" s="4" t="str">
        <f t="shared" ref="A345:A355" si="128">A344</f>
        <v>MIN-RSVBIOOLC2</v>
      </c>
      <c r="B345" s="4" t="str">
        <f t="shared" si="125"/>
        <v>UPS Reserves of Biomass - Oil crops - Reserve - Supply curve step 2</v>
      </c>
      <c r="C345" s="4" t="str">
        <f t="shared" si="126"/>
        <v>RSVBIOOLC</v>
      </c>
      <c r="D345" s="4" t="str">
        <f t="shared" si="127"/>
        <v>ACT_COST</v>
      </c>
      <c r="E345" s="4"/>
      <c r="F345" s="4">
        <v>2025</v>
      </c>
      <c r="G345" s="456">
        <f>'Key input_Biomass_MAgPIE'!E336</f>
        <v>5.5281400000000001E-2</v>
      </c>
      <c r="H345" s="456">
        <f>'Key input_Biomass_MAgPIE'!F336</f>
        <v>5.5281400000000001E-2</v>
      </c>
      <c r="I345" s="456">
        <f>'Key input_Biomass_MAgPIE'!G336</f>
        <v>5.5281400000000001E-2</v>
      </c>
      <c r="J345" s="456">
        <f>'Key input_Biomass_MAgPIE'!H336</f>
        <v>5.5281400000000001E-2</v>
      </c>
      <c r="K345" s="456">
        <f>'Key input_Biomass_MAgPIE'!I336</f>
        <v>5.5281400000000001E-2</v>
      </c>
      <c r="L345" s="456">
        <f>'Key input_Biomass_MAgPIE'!J336</f>
        <v>5.5281400000000001E-2</v>
      </c>
      <c r="M345" s="456">
        <f>'Key input_Biomass_MAgPIE'!K336</f>
        <v>5.5281400000000001E-2</v>
      </c>
      <c r="N345" s="456">
        <f>'Key input_Biomass_MAgPIE'!L336</f>
        <v>5.5281400000000001E-2</v>
      </c>
      <c r="O345" s="456">
        <f>'Key input_Biomass_MAgPIE'!M336</f>
        <v>5.5281400000000001E-2</v>
      </c>
      <c r="P345" s="456">
        <f>'Key input_Biomass_MAgPIE'!N336</f>
        <v>5.5281400000000001E-2</v>
      </c>
      <c r="Q345" s="456">
        <f>'Key input_Biomass_MAgPIE'!O336</f>
        <v>5.5281400000000001E-2</v>
      </c>
      <c r="R345" s="456">
        <f>'Key input_Biomass_MAgPIE'!P336</f>
        <v>5.5281400000000001E-2</v>
      </c>
      <c r="S345" s="456">
        <f>'Key input_Biomass_MAgPIE'!Q336</f>
        <v>5.5281400000000001E-2</v>
      </c>
      <c r="T345" s="456">
        <f>'Key input_Biomass_MAgPIE'!R336</f>
        <v>5.5281400000000001E-2</v>
      </c>
      <c r="U345" s="456">
        <f>'Key input_Biomass_MAgPIE'!S336</f>
        <v>5.5281400000000001E-2</v>
      </c>
      <c r="V345" s="456">
        <f>'Key input_Biomass_MAgPIE'!T336</f>
        <v>5.5281400000000001E-2</v>
      </c>
      <c r="W345" s="456">
        <f>'Key input_Biomass_MAgPIE'!U336</f>
        <v>5.5281400000000001E-2</v>
      </c>
      <c r="X345" s="456">
        <f>'Key input_Biomass_MAgPIE'!V336</f>
        <v>5.5281400000000001E-2</v>
      </c>
      <c r="Y345" s="456">
        <f>'Key input_Biomass_MAgPIE'!W336</f>
        <v>5.5281400000000001E-2</v>
      </c>
      <c r="Z345" s="456">
        <f>'Key input_Biomass_MAgPIE'!X336</f>
        <v>5.5281400000000001E-2</v>
      </c>
      <c r="AA345" s="456">
        <f>'Key input_Biomass_MAgPIE'!Y336</f>
        <v>5.5281400000000001E-2</v>
      </c>
      <c r="AB345" s="456">
        <f>'Key input_Biomass_MAgPIE'!Z336</f>
        <v>5.5281400000000001E-2</v>
      </c>
      <c r="AC345" s="456">
        <f>'Key input_Biomass_MAgPIE'!AA336</f>
        <v>5.5281400000000001E-2</v>
      </c>
      <c r="AD345" s="456">
        <f>'Key input_Biomass_MAgPIE'!AB336</f>
        <v>5.5281400000000001E-2</v>
      </c>
      <c r="AE345" s="456">
        <f>'Key input_Biomass_MAgPIE'!AC336</f>
        <v>5.5281400000000001E-2</v>
      </c>
      <c r="AF345" s="456">
        <f>'Key input_Biomass_MAgPIE'!AD336</f>
        <v>5.5281400000000001E-2</v>
      </c>
      <c r="AG345" s="456">
        <f>'Key input_Biomass_MAgPIE'!AE336</f>
        <v>5.5281400000000001E-2</v>
      </c>
      <c r="AH345" s="456">
        <f>'Key input_Biomass_MAgPIE'!AF336</f>
        <v>5.5281400000000001E-2</v>
      </c>
    </row>
    <row r="346" spans="1:34">
      <c r="A346" s="4" t="str">
        <f t="shared" si="128"/>
        <v>MIN-RSVBIOOLC2</v>
      </c>
      <c r="B346" s="4" t="str">
        <f t="shared" si="125"/>
        <v>UPS Reserves of Biomass - Oil crops - Reserve - Supply curve step 2</v>
      </c>
      <c r="C346" s="4" t="str">
        <f t="shared" si="126"/>
        <v>RSVBIOOLC</v>
      </c>
      <c r="D346" s="4" t="str">
        <f t="shared" si="127"/>
        <v>ACT_COST</v>
      </c>
      <c r="E346" s="4"/>
      <c r="F346" s="4">
        <v>2030</v>
      </c>
      <c r="G346" s="456">
        <f>'Key input_Biomass_MAgPIE'!E337</f>
        <v>5.5281400000000001E-2</v>
      </c>
      <c r="H346" s="456">
        <f>'Key input_Biomass_MAgPIE'!F337</f>
        <v>5.5281400000000001E-2</v>
      </c>
      <c r="I346" s="456">
        <f>'Key input_Biomass_MAgPIE'!G337</f>
        <v>5.5281400000000001E-2</v>
      </c>
      <c r="J346" s="456">
        <f>'Key input_Biomass_MAgPIE'!H337</f>
        <v>5.5281400000000001E-2</v>
      </c>
      <c r="K346" s="456">
        <f>'Key input_Biomass_MAgPIE'!I337</f>
        <v>5.5281400000000001E-2</v>
      </c>
      <c r="L346" s="456">
        <f>'Key input_Biomass_MAgPIE'!J337</f>
        <v>5.5281400000000001E-2</v>
      </c>
      <c r="M346" s="456">
        <f>'Key input_Biomass_MAgPIE'!K337</f>
        <v>5.5281400000000001E-2</v>
      </c>
      <c r="N346" s="456">
        <f>'Key input_Biomass_MAgPIE'!L337</f>
        <v>5.5281400000000001E-2</v>
      </c>
      <c r="O346" s="456">
        <f>'Key input_Biomass_MAgPIE'!M337</f>
        <v>5.5281400000000001E-2</v>
      </c>
      <c r="P346" s="456">
        <f>'Key input_Biomass_MAgPIE'!N337</f>
        <v>5.5281400000000001E-2</v>
      </c>
      <c r="Q346" s="456">
        <f>'Key input_Biomass_MAgPIE'!O337</f>
        <v>5.5281400000000001E-2</v>
      </c>
      <c r="R346" s="456">
        <f>'Key input_Biomass_MAgPIE'!P337</f>
        <v>5.5281400000000001E-2</v>
      </c>
      <c r="S346" s="456">
        <f>'Key input_Biomass_MAgPIE'!Q337</f>
        <v>5.5281400000000001E-2</v>
      </c>
      <c r="T346" s="456">
        <f>'Key input_Biomass_MAgPIE'!R337</f>
        <v>5.5281400000000001E-2</v>
      </c>
      <c r="U346" s="456">
        <f>'Key input_Biomass_MAgPIE'!S337</f>
        <v>5.5281400000000001E-2</v>
      </c>
      <c r="V346" s="456">
        <f>'Key input_Biomass_MAgPIE'!T337</f>
        <v>5.5281400000000001E-2</v>
      </c>
      <c r="W346" s="456">
        <f>'Key input_Biomass_MAgPIE'!U337</f>
        <v>5.5281400000000001E-2</v>
      </c>
      <c r="X346" s="456">
        <f>'Key input_Biomass_MAgPIE'!V337</f>
        <v>5.5281400000000001E-2</v>
      </c>
      <c r="Y346" s="456">
        <f>'Key input_Biomass_MAgPIE'!W337</f>
        <v>5.5281400000000001E-2</v>
      </c>
      <c r="Z346" s="456">
        <f>'Key input_Biomass_MAgPIE'!X337</f>
        <v>5.5281400000000001E-2</v>
      </c>
      <c r="AA346" s="456">
        <f>'Key input_Biomass_MAgPIE'!Y337</f>
        <v>5.5281400000000001E-2</v>
      </c>
      <c r="AB346" s="456">
        <f>'Key input_Biomass_MAgPIE'!Z337</f>
        <v>5.5281400000000001E-2</v>
      </c>
      <c r="AC346" s="456">
        <f>'Key input_Biomass_MAgPIE'!AA337</f>
        <v>5.5281400000000001E-2</v>
      </c>
      <c r="AD346" s="456">
        <f>'Key input_Biomass_MAgPIE'!AB337</f>
        <v>5.5281400000000001E-2</v>
      </c>
      <c r="AE346" s="456">
        <f>'Key input_Biomass_MAgPIE'!AC337</f>
        <v>5.5281400000000001E-2</v>
      </c>
      <c r="AF346" s="456">
        <f>'Key input_Biomass_MAgPIE'!AD337</f>
        <v>5.5281400000000001E-2</v>
      </c>
      <c r="AG346" s="456">
        <f>'Key input_Biomass_MAgPIE'!AE337</f>
        <v>5.5281400000000001E-2</v>
      </c>
      <c r="AH346" s="456">
        <f>'Key input_Biomass_MAgPIE'!AF337</f>
        <v>5.5281400000000001E-2</v>
      </c>
    </row>
    <row r="347" spans="1:34">
      <c r="A347" s="4" t="str">
        <f t="shared" si="128"/>
        <v>MIN-RSVBIOOLC2</v>
      </c>
      <c r="B347" s="4" t="str">
        <f t="shared" si="125"/>
        <v>UPS Reserves of Biomass - Oil crops - Reserve - Supply curve step 2</v>
      </c>
      <c r="C347" s="4" t="str">
        <f t="shared" si="126"/>
        <v>RSVBIOOLC</v>
      </c>
      <c r="D347" s="4" t="str">
        <f t="shared" si="127"/>
        <v>ACT_COST</v>
      </c>
      <c r="E347" s="4"/>
      <c r="F347" s="4">
        <v>2035</v>
      </c>
      <c r="G347" s="456">
        <f>'Key input_Biomass_MAgPIE'!E338</f>
        <v>5.5281400000000001E-2</v>
      </c>
      <c r="H347" s="456">
        <f>'Key input_Biomass_MAgPIE'!F338</f>
        <v>5.5281400000000001E-2</v>
      </c>
      <c r="I347" s="456">
        <f>'Key input_Biomass_MAgPIE'!G338</f>
        <v>5.5281400000000001E-2</v>
      </c>
      <c r="J347" s="456">
        <f>'Key input_Biomass_MAgPIE'!H338</f>
        <v>5.5281400000000001E-2</v>
      </c>
      <c r="K347" s="456">
        <f>'Key input_Biomass_MAgPIE'!I338</f>
        <v>5.5281400000000001E-2</v>
      </c>
      <c r="L347" s="456">
        <f>'Key input_Biomass_MAgPIE'!J338</f>
        <v>5.5281400000000001E-2</v>
      </c>
      <c r="M347" s="456">
        <f>'Key input_Biomass_MAgPIE'!K338</f>
        <v>5.5281400000000001E-2</v>
      </c>
      <c r="N347" s="456">
        <f>'Key input_Biomass_MAgPIE'!L338</f>
        <v>5.5281400000000001E-2</v>
      </c>
      <c r="O347" s="456">
        <f>'Key input_Biomass_MAgPIE'!M338</f>
        <v>5.5281400000000001E-2</v>
      </c>
      <c r="P347" s="456">
        <f>'Key input_Biomass_MAgPIE'!N338</f>
        <v>5.5281400000000001E-2</v>
      </c>
      <c r="Q347" s="456">
        <f>'Key input_Biomass_MAgPIE'!O338</f>
        <v>5.5281400000000001E-2</v>
      </c>
      <c r="R347" s="456">
        <f>'Key input_Biomass_MAgPIE'!P338</f>
        <v>5.5281400000000001E-2</v>
      </c>
      <c r="S347" s="456">
        <f>'Key input_Biomass_MAgPIE'!Q338</f>
        <v>5.5281400000000001E-2</v>
      </c>
      <c r="T347" s="456">
        <f>'Key input_Biomass_MAgPIE'!R338</f>
        <v>5.5281400000000001E-2</v>
      </c>
      <c r="U347" s="456">
        <f>'Key input_Biomass_MAgPIE'!S338</f>
        <v>5.5281400000000001E-2</v>
      </c>
      <c r="V347" s="456">
        <f>'Key input_Biomass_MAgPIE'!T338</f>
        <v>5.5281400000000001E-2</v>
      </c>
      <c r="W347" s="456">
        <f>'Key input_Biomass_MAgPIE'!U338</f>
        <v>5.5281400000000001E-2</v>
      </c>
      <c r="X347" s="456">
        <f>'Key input_Biomass_MAgPIE'!V338</f>
        <v>5.5281400000000001E-2</v>
      </c>
      <c r="Y347" s="456">
        <f>'Key input_Biomass_MAgPIE'!W338</f>
        <v>5.5281400000000001E-2</v>
      </c>
      <c r="Z347" s="456">
        <f>'Key input_Biomass_MAgPIE'!X338</f>
        <v>5.5281400000000001E-2</v>
      </c>
      <c r="AA347" s="456">
        <f>'Key input_Biomass_MAgPIE'!Y338</f>
        <v>5.5281400000000001E-2</v>
      </c>
      <c r="AB347" s="456">
        <f>'Key input_Biomass_MAgPIE'!Z338</f>
        <v>5.5281400000000001E-2</v>
      </c>
      <c r="AC347" s="456">
        <f>'Key input_Biomass_MAgPIE'!AA338</f>
        <v>5.5281400000000001E-2</v>
      </c>
      <c r="AD347" s="456">
        <f>'Key input_Biomass_MAgPIE'!AB338</f>
        <v>5.5281400000000001E-2</v>
      </c>
      <c r="AE347" s="456">
        <f>'Key input_Biomass_MAgPIE'!AC338</f>
        <v>5.5281400000000001E-2</v>
      </c>
      <c r="AF347" s="456">
        <f>'Key input_Biomass_MAgPIE'!AD338</f>
        <v>5.5281400000000001E-2</v>
      </c>
      <c r="AG347" s="456">
        <f>'Key input_Biomass_MAgPIE'!AE338</f>
        <v>5.5281400000000001E-2</v>
      </c>
      <c r="AH347" s="456">
        <f>'Key input_Biomass_MAgPIE'!AF338</f>
        <v>5.5281400000000001E-2</v>
      </c>
    </row>
    <row r="348" spans="1:34">
      <c r="A348" s="4" t="str">
        <f t="shared" si="128"/>
        <v>MIN-RSVBIOOLC2</v>
      </c>
      <c r="B348" s="4" t="str">
        <f t="shared" si="125"/>
        <v>UPS Reserves of Biomass - Oil crops - Reserve - Supply curve step 2</v>
      </c>
      <c r="C348" s="4" t="str">
        <f t="shared" si="126"/>
        <v>RSVBIOOLC</v>
      </c>
      <c r="D348" s="4" t="str">
        <f t="shared" si="127"/>
        <v>ACT_COST</v>
      </c>
      <c r="E348" s="4"/>
      <c r="F348" s="4">
        <v>2040</v>
      </c>
      <c r="G348" s="456">
        <f>'Key input_Biomass_MAgPIE'!E339</f>
        <v>5.5281400000000001E-2</v>
      </c>
      <c r="H348" s="456">
        <f>'Key input_Biomass_MAgPIE'!F339</f>
        <v>5.5281400000000001E-2</v>
      </c>
      <c r="I348" s="456">
        <f>'Key input_Biomass_MAgPIE'!G339</f>
        <v>5.5281400000000001E-2</v>
      </c>
      <c r="J348" s="456">
        <f>'Key input_Biomass_MAgPIE'!H339</f>
        <v>5.5281400000000001E-2</v>
      </c>
      <c r="K348" s="456">
        <f>'Key input_Biomass_MAgPIE'!I339</f>
        <v>5.5281400000000001E-2</v>
      </c>
      <c r="L348" s="456">
        <f>'Key input_Biomass_MAgPIE'!J339</f>
        <v>5.5281400000000001E-2</v>
      </c>
      <c r="M348" s="456">
        <f>'Key input_Biomass_MAgPIE'!K339</f>
        <v>5.5281400000000001E-2</v>
      </c>
      <c r="N348" s="456">
        <f>'Key input_Biomass_MAgPIE'!L339</f>
        <v>5.5281400000000001E-2</v>
      </c>
      <c r="O348" s="456">
        <f>'Key input_Biomass_MAgPIE'!M339</f>
        <v>5.5281400000000001E-2</v>
      </c>
      <c r="P348" s="456">
        <f>'Key input_Biomass_MAgPIE'!N339</f>
        <v>5.5281400000000001E-2</v>
      </c>
      <c r="Q348" s="456">
        <f>'Key input_Biomass_MAgPIE'!O339</f>
        <v>5.5281400000000001E-2</v>
      </c>
      <c r="R348" s="456">
        <f>'Key input_Biomass_MAgPIE'!P339</f>
        <v>5.5281400000000001E-2</v>
      </c>
      <c r="S348" s="456">
        <f>'Key input_Biomass_MAgPIE'!Q339</f>
        <v>5.5281400000000001E-2</v>
      </c>
      <c r="T348" s="456">
        <f>'Key input_Biomass_MAgPIE'!R339</f>
        <v>5.5281400000000001E-2</v>
      </c>
      <c r="U348" s="456">
        <f>'Key input_Biomass_MAgPIE'!S339</f>
        <v>5.5281400000000001E-2</v>
      </c>
      <c r="V348" s="456">
        <f>'Key input_Biomass_MAgPIE'!T339</f>
        <v>5.5281400000000001E-2</v>
      </c>
      <c r="W348" s="456">
        <f>'Key input_Biomass_MAgPIE'!U339</f>
        <v>5.5281400000000001E-2</v>
      </c>
      <c r="X348" s="456">
        <f>'Key input_Biomass_MAgPIE'!V339</f>
        <v>5.5281400000000001E-2</v>
      </c>
      <c r="Y348" s="456">
        <f>'Key input_Biomass_MAgPIE'!W339</f>
        <v>5.5281400000000001E-2</v>
      </c>
      <c r="Z348" s="456">
        <f>'Key input_Biomass_MAgPIE'!X339</f>
        <v>5.5281400000000001E-2</v>
      </c>
      <c r="AA348" s="456">
        <f>'Key input_Biomass_MAgPIE'!Y339</f>
        <v>5.5281400000000001E-2</v>
      </c>
      <c r="AB348" s="456">
        <f>'Key input_Biomass_MAgPIE'!Z339</f>
        <v>5.5281400000000001E-2</v>
      </c>
      <c r="AC348" s="456">
        <f>'Key input_Biomass_MAgPIE'!AA339</f>
        <v>5.5281400000000001E-2</v>
      </c>
      <c r="AD348" s="456">
        <f>'Key input_Biomass_MAgPIE'!AB339</f>
        <v>5.5281400000000001E-2</v>
      </c>
      <c r="AE348" s="456">
        <f>'Key input_Biomass_MAgPIE'!AC339</f>
        <v>5.5281400000000001E-2</v>
      </c>
      <c r="AF348" s="456">
        <f>'Key input_Biomass_MAgPIE'!AD339</f>
        <v>5.5281400000000001E-2</v>
      </c>
      <c r="AG348" s="456">
        <f>'Key input_Biomass_MAgPIE'!AE339</f>
        <v>5.5281400000000001E-2</v>
      </c>
      <c r="AH348" s="456">
        <f>'Key input_Biomass_MAgPIE'!AF339</f>
        <v>5.5281400000000001E-2</v>
      </c>
    </row>
    <row r="349" spans="1:34">
      <c r="A349" s="4" t="str">
        <f t="shared" si="128"/>
        <v>MIN-RSVBIOOLC2</v>
      </c>
      <c r="B349" s="4" t="str">
        <f t="shared" si="125"/>
        <v>UPS Reserves of Biomass - Oil crops - Reserve - Supply curve step 2</v>
      </c>
      <c r="C349" s="4" t="str">
        <f t="shared" si="126"/>
        <v>RSVBIOOLC</v>
      </c>
      <c r="D349" s="4" t="str">
        <f t="shared" si="127"/>
        <v>ACT_COST</v>
      </c>
      <c r="E349" s="4"/>
      <c r="F349" s="4">
        <v>2045</v>
      </c>
      <c r="G349" s="456">
        <f>'Key input_Biomass_MAgPIE'!E340</f>
        <v>5.5281400000000001E-2</v>
      </c>
      <c r="H349" s="456">
        <f>'Key input_Biomass_MAgPIE'!F340</f>
        <v>5.5281400000000001E-2</v>
      </c>
      <c r="I349" s="456">
        <f>'Key input_Biomass_MAgPIE'!G340</f>
        <v>5.5281400000000001E-2</v>
      </c>
      <c r="J349" s="456">
        <f>'Key input_Biomass_MAgPIE'!H340</f>
        <v>5.5281400000000001E-2</v>
      </c>
      <c r="K349" s="456">
        <f>'Key input_Biomass_MAgPIE'!I340</f>
        <v>5.5281400000000001E-2</v>
      </c>
      <c r="L349" s="456">
        <f>'Key input_Biomass_MAgPIE'!J340</f>
        <v>5.5281400000000001E-2</v>
      </c>
      <c r="M349" s="456">
        <f>'Key input_Biomass_MAgPIE'!K340</f>
        <v>5.5281400000000001E-2</v>
      </c>
      <c r="N349" s="456">
        <f>'Key input_Biomass_MAgPIE'!L340</f>
        <v>5.5281400000000001E-2</v>
      </c>
      <c r="O349" s="456">
        <f>'Key input_Biomass_MAgPIE'!M340</f>
        <v>5.5281400000000001E-2</v>
      </c>
      <c r="P349" s="456">
        <f>'Key input_Biomass_MAgPIE'!N340</f>
        <v>5.5281400000000001E-2</v>
      </c>
      <c r="Q349" s="456">
        <f>'Key input_Biomass_MAgPIE'!O340</f>
        <v>5.5281400000000001E-2</v>
      </c>
      <c r="R349" s="456">
        <f>'Key input_Biomass_MAgPIE'!P340</f>
        <v>5.5281400000000001E-2</v>
      </c>
      <c r="S349" s="456">
        <f>'Key input_Biomass_MAgPIE'!Q340</f>
        <v>5.5281400000000001E-2</v>
      </c>
      <c r="T349" s="456">
        <f>'Key input_Biomass_MAgPIE'!R340</f>
        <v>5.5281400000000001E-2</v>
      </c>
      <c r="U349" s="456">
        <f>'Key input_Biomass_MAgPIE'!S340</f>
        <v>5.5281400000000001E-2</v>
      </c>
      <c r="V349" s="456">
        <f>'Key input_Biomass_MAgPIE'!T340</f>
        <v>5.5281400000000001E-2</v>
      </c>
      <c r="W349" s="456">
        <f>'Key input_Biomass_MAgPIE'!U340</f>
        <v>5.5281400000000001E-2</v>
      </c>
      <c r="X349" s="456">
        <f>'Key input_Biomass_MAgPIE'!V340</f>
        <v>5.5281400000000001E-2</v>
      </c>
      <c r="Y349" s="456">
        <f>'Key input_Biomass_MAgPIE'!W340</f>
        <v>5.5281400000000001E-2</v>
      </c>
      <c r="Z349" s="456">
        <f>'Key input_Biomass_MAgPIE'!X340</f>
        <v>5.5281400000000001E-2</v>
      </c>
      <c r="AA349" s="456">
        <f>'Key input_Biomass_MAgPIE'!Y340</f>
        <v>5.5281400000000001E-2</v>
      </c>
      <c r="AB349" s="456">
        <f>'Key input_Biomass_MAgPIE'!Z340</f>
        <v>5.5281400000000001E-2</v>
      </c>
      <c r="AC349" s="456">
        <f>'Key input_Biomass_MAgPIE'!AA340</f>
        <v>5.5281400000000001E-2</v>
      </c>
      <c r="AD349" s="456">
        <f>'Key input_Biomass_MAgPIE'!AB340</f>
        <v>5.5281400000000001E-2</v>
      </c>
      <c r="AE349" s="456">
        <f>'Key input_Biomass_MAgPIE'!AC340</f>
        <v>5.5281400000000001E-2</v>
      </c>
      <c r="AF349" s="456">
        <f>'Key input_Biomass_MAgPIE'!AD340</f>
        <v>5.5281400000000001E-2</v>
      </c>
      <c r="AG349" s="456">
        <f>'Key input_Biomass_MAgPIE'!AE340</f>
        <v>5.5281400000000001E-2</v>
      </c>
      <c r="AH349" s="456">
        <f>'Key input_Biomass_MAgPIE'!AF340</f>
        <v>5.5281400000000001E-2</v>
      </c>
    </row>
    <row r="350" spans="1:34">
      <c r="A350" s="4" t="str">
        <f t="shared" si="128"/>
        <v>MIN-RSVBIOOLC2</v>
      </c>
      <c r="B350" s="4" t="str">
        <f t="shared" si="125"/>
        <v>UPS Reserves of Biomass - Oil crops - Reserve - Supply curve step 2</v>
      </c>
      <c r="C350" s="4" t="str">
        <f t="shared" si="126"/>
        <v>RSVBIOOLC</v>
      </c>
      <c r="D350" s="4" t="str">
        <f t="shared" si="127"/>
        <v>ACT_COST</v>
      </c>
      <c r="E350" s="4"/>
      <c r="F350" s="4">
        <v>2050</v>
      </c>
      <c r="G350" s="456">
        <f>'Key input_Biomass_MAgPIE'!E341</f>
        <v>5.5281400000000001E-2</v>
      </c>
      <c r="H350" s="456">
        <f>'Key input_Biomass_MAgPIE'!F341</f>
        <v>5.5281400000000001E-2</v>
      </c>
      <c r="I350" s="456">
        <f>'Key input_Biomass_MAgPIE'!G341</f>
        <v>5.5281400000000001E-2</v>
      </c>
      <c r="J350" s="456">
        <f>'Key input_Biomass_MAgPIE'!H341</f>
        <v>5.5281400000000001E-2</v>
      </c>
      <c r="K350" s="456">
        <f>'Key input_Biomass_MAgPIE'!I341</f>
        <v>5.5281400000000001E-2</v>
      </c>
      <c r="L350" s="456">
        <f>'Key input_Biomass_MAgPIE'!J341</f>
        <v>5.5281400000000001E-2</v>
      </c>
      <c r="M350" s="456">
        <f>'Key input_Biomass_MAgPIE'!K341</f>
        <v>5.5281400000000001E-2</v>
      </c>
      <c r="N350" s="456">
        <f>'Key input_Biomass_MAgPIE'!L341</f>
        <v>5.5281400000000001E-2</v>
      </c>
      <c r="O350" s="456">
        <f>'Key input_Biomass_MAgPIE'!M341</f>
        <v>5.5281400000000001E-2</v>
      </c>
      <c r="P350" s="456">
        <f>'Key input_Biomass_MAgPIE'!N341</f>
        <v>5.5281400000000001E-2</v>
      </c>
      <c r="Q350" s="456">
        <f>'Key input_Biomass_MAgPIE'!O341</f>
        <v>5.5281400000000001E-2</v>
      </c>
      <c r="R350" s="456">
        <f>'Key input_Biomass_MAgPIE'!P341</f>
        <v>5.5281400000000001E-2</v>
      </c>
      <c r="S350" s="456">
        <f>'Key input_Biomass_MAgPIE'!Q341</f>
        <v>5.5281400000000001E-2</v>
      </c>
      <c r="T350" s="456">
        <f>'Key input_Biomass_MAgPIE'!R341</f>
        <v>5.5281400000000001E-2</v>
      </c>
      <c r="U350" s="456">
        <f>'Key input_Biomass_MAgPIE'!S341</f>
        <v>5.5281400000000001E-2</v>
      </c>
      <c r="V350" s="456">
        <f>'Key input_Biomass_MAgPIE'!T341</f>
        <v>5.5281400000000001E-2</v>
      </c>
      <c r="W350" s="456">
        <f>'Key input_Biomass_MAgPIE'!U341</f>
        <v>5.5281400000000001E-2</v>
      </c>
      <c r="X350" s="456">
        <f>'Key input_Biomass_MAgPIE'!V341</f>
        <v>5.5281400000000001E-2</v>
      </c>
      <c r="Y350" s="456">
        <f>'Key input_Biomass_MAgPIE'!W341</f>
        <v>5.5281400000000001E-2</v>
      </c>
      <c r="Z350" s="456">
        <f>'Key input_Biomass_MAgPIE'!X341</f>
        <v>5.5281400000000001E-2</v>
      </c>
      <c r="AA350" s="456">
        <f>'Key input_Biomass_MAgPIE'!Y341</f>
        <v>5.5281400000000001E-2</v>
      </c>
      <c r="AB350" s="456">
        <f>'Key input_Biomass_MAgPIE'!Z341</f>
        <v>5.5281400000000001E-2</v>
      </c>
      <c r="AC350" s="456">
        <f>'Key input_Biomass_MAgPIE'!AA341</f>
        <v>5.5281400000000001E-2</v>
      </c>
      <c r="AD350" s="456">
        <f>'Key input_Biomass_MAgPIE'!AB341</f>
        <v>5.5281400000000001E-2</v>
      </c>
      <c r="AE350" s="456">
        <f>'Key input_Biomass_MAgPIE'!AC341</f>
        <v>5.5281400000000001E-2</v>
      </c>
      <c r="AF350" s="456">
        <f>'Key input_Biomass_MAgPIE'!AD341</f>
        <v>5.5281400000000001E-2</v>
      </c>
      <c r="AG350" s="456">
        <f>'Key input_Biomass_MAgPIE'!AE341</f>
        <v>5.5281400000000001E-2</v>
      </c>
      <c r="AH350" s="456">
        <f>'Key input_Biomass_MAgPIE'!AF341</f>
        <v>5.5281400000000001E-2</v>
      </c>
    </row>
    <row r="351" spans="1:34">
      <c r="A351" s="4" t="str">
        <f t="shared" si="128"/>
        <v>MIN-RSVBIOOLC2</v>
      </c>
      <c r="B351" s="4" t="str">
        <f t="shared" si="125"/>
        <v>UPS Reserves of Biomass - Oil crops - Reserve - Supply curve step 2</v>
      </c>
      <c r="C351" s="4" t="str">
        <f t="shared" si="126"/>
        <v>RSVBIOOLC</v>
      </c>
      <c r="D351" s="4" t="str">
        <f t="shared" si="127"/>
        <v>ACT_COST</v>
      </c>
      <c r="E351" s="4"/>
      <c r="F351" s="4">
        <v>2060</v>
      </c>
      <c r="G351" s="456">
        <f>'Key input_Biomass_MAgPIE'!E342</f>
        <v>5.5281400000000001E-2</v>
      </c>
      <c r="H351" s="456">
        <f>'Key input_Biomass_MAgPIE'!F342</f>
        <v>5.5281400000000001E-2</v>
      </c>
      <c r="I351" s="456">
        <f>'Key input_Biomass_MAgPIE'!G342</f>
        <v>5.5281400000000001E-2</v>
      </c>
      <c r="J351" s="456">
        <f>'Key input_Biomass_MAgPIE'!H342</f>
        <v>5.5281400000000001E-2</v>
      </c>
      <c r="K351" s="456">
        <f>'Key input_Biomass_MAgPIE'!I342</f>
        <v>5.5281400000000001E-2</v>
      </c>
      <c r="L351" s="456">
        <f>'Key input_Biomass_MAgPIE'!J342</f>
        <v>5.5281400000000001E-2</v>
      </c>
      <c r="M351" s="456">
        <f>'Key input_Biomass_MAgPIE'!K342</f>
        <v>5.5281400000000001E-2</v>
      </c>
      <c r="N351" s="456">
        <f>'Key input_Biomass_MAgPIE'!L342</f>
        <v>5.5281400000000001E-2</v>
      </c>
      <c r="O351" s="456">
        <f>'Key input_Biomass_MAgPIE'!M342</f>
        <v>5.5281400000000001E-2</v>
      </c>
      <c r="P351" s="456">
        <f>'Key input_Biomass_MAgPIE'!N342</f>
        <v>5.5281400000000001E-2</v>
      </c>
      <c r="Q351" s="456">
        <f>'Key input_Biomass_MAgPIE'!O342</f>
        <v>5.5281400000000001E-2</v>
      </c>
      <c r="R351" s="456">
        <f>'Key input_Biomass_MAgPIE'!P342</f>
        <v>5.5281400000000001E-2</v>
      </c>
      <c r="S351" s="456">
        <f>'Key input_Biomass_MAgPIE'!Q342</f>
        <v>5.5281400000000001E-2</v>
      </c>
      <c r="T351" s="456">
        <f>'Key input_Biomass_MAgPIE'!R342</f>
        <v>5.5281400000000001E-2</v>
      </c>
      <c r="U351" s="456">
        <f>'Key input_Biomass_MAgPIE'!S342</f>
        <v>5.5281400000000001E-2</v>
      </c>
      <c r="V351" s="456">
        <f>'Key input_Biomass_MAgPIE'!T342</f>
        <v>5.5281400000000001E-2</v>
      </c>
      <c r="W351" s="456">
        <f>'Key input_Biomass_MAgPIE'!U342</f>
        <v>5.5281400000000001E-2</v>
      </c>
      <c r="X351" s="456">
        <f>'Key input_Biomass_MAgPIE'!V342</f>
        <v>5.5281400000000001E-2</v>
      </c>
      <c r="Y351" s="456">
        <f>'Key input_Biomass_MAgPIE'!W342</f>
        <v>5.5281400000000001E-2</v>
      </c>
      <c r="Z351" s="456">
        <f>'Key input_Biomass_MAgPIE'!X342</f>
        <v>5.5281400000000001E-2</v>
      </c>
      <c r="AA351" s="456">
        <f>'Key input_Biomass_MAgPIE'!Y342</f>
        <v>5.5281400000000001E-2</v>
      </c>
      <c r="AB351" s="456">
        <f>'Key input_Biomass_MAgPIE'!Z342</f>
        <v>5.5281400000000001E-2</v>
      </c>
      <c r="AC351" s="456">
        <f>'Key input_Biomass_MAgPIE'!AA342</f>
        <v>5.5281400000000001E-2</v>
      </c>
      <c r="AD351" s="456">
        <f>'Key input_Biomass_MAgPIE'!AB342</f>
        <v>5.5281400000000001E-2</v>
      </c>
      <c r="AE351" s="456">
        <f>'Key input_Biomass_MAgPIE'!AC342</f>
        <v>5.5281400000000001E-2</v>
      </c>
      <c r="AF351" s="456">
        <f>'Key input_Biomass_MAgPIE'!AD342</f>
        <v>5.5281400000000001E-2</v>
      </c>
      <c r="AG351" s="456">
        <f>'Key input_Biomass_MAgPIE'!AE342</f>
        <v>5.5281400000000001E-2</v>
      </c>
      <c r="AH351" s="456">
        <f>'Key input_Biomass_MAgPIE'!AF342</f>
        <v>5.5281400000000001E-2</v>
      </c>
    </row>
    <row r="352" spans="1:34">
      <c r="A352" s="4" t="str">
        <f t="shared" si="128"/>
        <v>MIN-RSVBIOOLC2</v>
      </c>
      <c r="B352" s="4" t="str">
        <f t="shared" si="125"/>
        <v>UPS Reserves of Biomass - Oil crops - Reserve - Supply curve step 2</v>
      </c>
      <c r="C352" s="4" t="str">
        <f t="shared" si="126"/>
        <v>RSVBIOOLC</v>
      </c>
      <c r="D352" s="4" t="str">
        <f t="shared" si="127"/>
        <v>ACT_COST</v>
      </c>
      <c r="E352" s="4"/>
      <c r="F352" s="4">
        <v>2070</v>
      </c>
      <c r="G352" s="456">
        <f>'Key input_Biomass_MAgPIE'!E343</f>
        <v>5.5281400000000001E-2</v>
      </c>
      <c r="H352" s="456">
        <f>'Key input_Biomass_MAgPIE'!F343</f>
        <v>5.5281400000000001E-2</v>
      </c>
      <c r="I352" s="456">
        <f>'Key input_Biomass_MAgPIE'!G343</f>
        <v>5.5281400000000001E-2</v>
      </c>
      <c r="J352" s="456">
        <f>'Key input_Biomass_MAgPIE'!H343</f>
        <v>5.5281400000000001E-2</v>
      </c>
      <c r="K352" s="456">
        <f>'Key input_Biomass_MAgPIE'!I343</f>
        <v>5.5281400000000001E-2</v>
      </c>
      <c r="L352" s="456">
        <f>'Key input_Biomass_MAgPIE'!J343</f>
        <v>5.5281400000000001E-2</v>
      </c>
      <c r="M352" s="456">
        <f>'Key input_Biomass_MAgPIE'!K343</f>
        <v>5.5281400000000001E-2</v>
      </c>
      <c r="N352" s="456">
        <f>'Key input_Biomass_MAgPIE'!L343</f>
        <v>5.5281400000000001E-2</v>
      </c>
      <c r="O352" s="456">
        <f>'Key input_Biomass_MAgPIE'!M343</f>
        <v>5.5281400000000001E-2</v>
      </c>
      <c r="P352" s="456">
        <f>'Key input_Biomass_MAgPIE'!N343</f>
        <v>5.5281400000000001E-2</v>
      </c>
      <c r="Q352" s="456">
        <f>'Key input_Biomass_MAgPIE'!O343</f>
        <v>5.5281400000000001E-2</v>
      </c>
      <c r="R352" s="456">
        <f>'Key input_Biomass_MAgPIE'!P343</f>
        <v>5.5281400000000001E-2</v>
      </c>
      <c r="S352" s="456">
        <f>'Key input_Biomass_MAgPIE'!Q343</f>
        <v>5.5281400000000001E-2</v>
      </c>
      <c r="T352" s="456">
        <f>'Key input_Biomass_MAgPIE'!R343</f>
        <v>5.5281400000000001E-2</v>
      </c>
      <c r="U352" s="456">
        <f>'Key input_Biomass_MAgPIE'!S343</f>
        <v>5.5281400000000001E-2</v>
      </c>
      <c r="V352" s="456">
        <f>'Key input_Biomass_MAgPIE'!T343</f>
        <v>5.5281400000000001E-2</v>
      </c>
      <c r="W352" s="456">
        <f>'Key input_Biomass_MAgPIE'!U343</f>
        <v>5.5281400000000001E-2</v>
      </c>
      <c r="X352" s="456">
        <f>'Key input_Biomass_MAgPIE'!V343</f>
        <v>5.5281400000000001E-2</v>
      </c>
      <c r="Y352" s="456">
        <f>'Key input_Biomass_MAgPIE'!W343</f>
        <v>5.5281400000000001E-2</v>
      </c>
      <c r="Z352" s="456">
        <f>'Key input_Biomass_MAgPIE'!X343</f>
        <v>5.5281400000000001E-2</v>
      </c>
      <c r="AA352" s="456">
        <f>'Key input_Biomass_MAgPIE'!Y343</f>
        <v>5.5281400000000001E-2</v>
      </c>
      <c r="AB352" s="456">
        <f>'Key input_Biomass_MAgPIE'!Z343</f>
        <v>5.5281400000000001E-2</v>
      </c>
      <c r="AC352" s="456">
        <f>'Key input_Biomass_MAgPIE'!AA343</f>
        <v>5.5281400000000001E-2</v>
      </c>
      <c r="AD352" s="456">
        <f>'Key input_Biomass_MAgPIE'!AB343</f>
        <v>5.5281400000000001E-2</v>
      </c>
      <c r="AE352" s="456">
        <f>'Key input_Biomass_MAgPIE'!AC343</f>
        <v>5.5281400000000001E-2</v>
      </c>
      <c r="AF352" s="456">
        <f>'Key input_Biomass_MAgPIE'!AD343</f>
        <v>5.5281400000000001E-2</v>
      </c>
      <c r="AG352" s="456">
        <f>'Key input_Biomass_MAgPIE'!AE343</f>
        <v>5.5281400000000001E-2</v>
      </c>
      <c r="AH352" s="456">
        <f>'Key input_Biomass_MAgPIE'!AF343</f>
        <v>5.5281400000000001E-2</v>
      </c>
    </row>
    <row r="353" spans="1:34">
      <c r="A353" s="4" t="str">
        <f t="shared" si="128"/>
        <v>MIN-RSVBIOOLC2</v>
      </c>
      <c r="B353" s="4" t="str">
        <f t="shared" si="125"/>
        <v>UPS Reserves of Biomass - Oil crops - Reserve - Supply curve step 2</v>
      </c>
      <c r="C353" s="4" t="str">
        <f t="shared" si="126"/>
        <v>RSVBIOOLC</v>
      </c>
      <c r="D353" s="4" t="str">
        <f t="shared" si="127"/>
        <v>ACT_COST</v>
      </c>
      <c r="E353" s="4"/>
      <c r="F353" s="4">
        <v>2080</v>
      </c>
      <c r="G353" s="456">
        <f>'Key input_Biomass_MAgPIE'!E344</f>
        <v>5.5281400000000001E-2</v>
      </c>
      <c r="H353" s="456">
        <f>'Key input_Biomass_MAgPIE'!F344</f>
        <v>5.5281400000000001E-2</v>
      </c>
      <c r="I353" s="456">
        <f>'Key input_Biomass_MAgPIE'!G344</f>
        <v>5.5281400000000001E-2</v>
      </c>
      <c r="J353" s="456">
        <f>'Key input_Biomass_MAgPIE'!H344</f>
        <v>5.5281400000000001E-2</v>
      </c>
      <c r="K353" s="456">
        <f>'Key input_Biomass_MAgPIE'!I344</f>
        <v>5.5281400000000001E-2</v>
      </c>
      <c r="L353" s="456">
        <f>'Key input_Biomass_MAgPIE'!J344</f>
        <v>5.5281400000000001E-2</v>
      </c>
      <c r="M353" s="456">
        <f>'Key input_Biomass_MAgPIE'!K344</f>
        <v>5.5281400000000001E-2</v>
      </c>
      <c r="N353" s="456">
        <f>'Key input_Biomass_MAgPIE'!L344</f>
        <v>5.5281400000000001E-2</v>
      </c>
      <c r="O353" s="456">
        <f>'Key input_Biomass_MAgPIE'!M344</f>
        <v>5.5281400000000001E-2</v>
      </c>
      <c r="P353" s="456">
        <f>'Key input_Biomass_MAgPIE'!N344</f>
        <v>5.5281400000000001E-2</v>
      </c>
      <c r="Q353" s="456">
        <f>'Key input_Biomass_MAgPIE'!O344</f>
        <v>5.5281400000000001E-2</v>
      </c>
      <c r="R353" s="456">
        <f>'Key input_Biomass_MAgPIE'!P344</f>
        <v>5.5281400000000001E-2</v>
      </c>
      <c r="S353" s="456">
        <f>'Key input_Biomass_MAgPIE'!Q344</f>
        <v>5.5281400000000001E-2</v>
      </c>
      <c r="T353" s="456">
        <f>'Key input_Biomass_MAgPIE'!R344</f>
        <v>5.5281400000000001E-2</v>
      </c>
      <c r="U353" s="456">
        <f>'Key input_Biomass_MAgPIE'!S344</f>
        <v>5.5281400000000001E-2</v>
      </c>
      <c r="V353" s="456">
        <f>'Key input_Biomass_MAgPIE'!T344</f>
        <v>5.5281400000000001E-2</v>
      </c>
      <c r="W353" s="456">
        <f>'Key input_Biomass_MAgPIE'!U344</f>
        <v>5.5281400000000001E-2</v>
      </c>
      <c r="X353" s="456">
        <f>'Key input_Biomass_MAgPIE'!V344</f>
        <v>5.5281400000000001E-2</v>
      </c>
      <c r="Y353" s="456">
        <f>'Key input_Biomass_MAgPIE'!W344</f>
        <v>5.5281400000000001E-2</v>
      </c>
      <c r="Z353" s="456">
        <f>'Key input_Biomass_MAgPIE'!X344</f>
        <v>5.5281400000000001E-2</v>
      </c>
      <c r="AA353" s="456">
        <f>'Key input_Biomass_MAgPIE'!Y344</f>
        <v>5.5281400000000001E-2</v>
      </c>
      <c r="AB353" s="456">
        <f>'Key input_Biomass_MAgPIE'!Z344</f>
        <v>5.5281400000000001E-2</v>
      </c>
      <c r="AC353" s="456">
        <f>'Key input_Biomass_MAgPIE'!AA344</f>
        <v>5.5281400000000001E-2</v>
      </c>
      <c r="AD353" s="456">
        <f>'Key input_Biomass_MAgPIE'!AB344</f>
        <v>5.5281400000000001E-2</v>
      </c>
      <c r="AE353" s="456">
        <f>'Key input_Biomass_MAgPIE'!AC344</f>
        <v>5.5281400000000001E-2</v>
      </c>
      <c r="AF353" s="456">
        <f>'Key input_Biomass_MAgPIE'!AD344</f>
        <v>5.5281400000000001E-2</v>
      </c>
      <c r="AG353" s="456">
        <f>'Key input_Biomass_MAgPIE'!AE344</f>
        <v>5.5281400000000001E-2</v>
      </c>
      <c r="AH353" s="456">
        <f>'Key input_Biomass_MAgPIE'!AF344</f>
        <v>5.5281400000000001E-2</v>
      </c>
    </row>
    <row r="354" spans="1:34">
      <c r="A354" s="4" t="str">
        <f t="shared" si="128"/>
        <v>MIN-RSVBIOOLC2</v>
      </c>
      <c r="B354" s="4" t="str">
        <f t="shared" si="125"/>
        <v>UPS Reserves of Biomass - Oil crops - Reserve - Supply curve step 2</v>
      </c>
      <c r="C354" s="4" t="str">
        <f t="shared" si="126"/>
        <v>RSVBIOOLC</v>
      </c>
      <c r="D354" s="4" t="str">
        <f t="shared" si="127"/>
        <v>ACT_COST</v>
      </c>
      <c r="E354" s="4"/>
      <c r="F354" s="4">
        <v>2090</v>
      </c>
      <c r="G354" s="456">
        <f>'Key input_Biomass_MAgPIE'!E345</f>
        <v>5.5281400000000001E-2</v>
      </c>
      <c r="H354" s="456">
        <f>'Key input_Biomass_MAgPIE'!F345</f>
        <v>5.5281400000000001E-2</v>
      </c>
      <c r="I354" s="456">
        <f>'Key input_Biomass_MAgPIE'!G345</f>
        <v>5.5281400000000001E-2</v>
      </c>
      <c r="J354" s="456">
        <f>'Key input_Biomass_MAgPIE'!H345</f>
        <v>5.5281400000000001E-2</v>
      </c>
      <c r="K354" s="456">
        <f>'Key input_Biomass_MAgPIE'!I345</f>
        <v>5.5281400000000001E-2</v>
      </c>
      <c r="L354" s="456">
        <f>'Key input_Biomass_MAgPIE'!J345</f>
        <v>5.5281400000000001E-2</v>
      </c>
      <c r="M354" s="456">
        <f>'Key input_Biomass_MAgPIE'!K345</f>
        <v>5.5281400000000001E-2</v>
      </c>
      <c r="N354" s="456">
        <f>'Key input_Biomass_MAgPIE'!L345</f>
        <v>5.5281400000000001E-2</v>
      </c>
      <c r="O354" s="456">
        <f>'Key input_Biomass_MAgPIE'!M345</f>
        <v>5.5281400000000001E-2</v>
      </c>
      <c r="P354" s="456">
        <f>'Key input_Biomass_MAgPIE'!N345</f>
        <v>5.5281400000000001E-2</v>
      </c>
      <c r="Q354" s="456">
        <f>'Key input_Biomass_MAgPIE'!O345</f>
        <v>5.5281400000000001E-2</v>
      </c>
      <c r="R354" s="456">
        <f>'Key input_Biomass_MAgPIE'!P345</f>
        <v>5.5281400000000001E-2</v>
      </c>
      <c r="S354" s="456">
        <f>'Key input_Biomass_MAgPIE'!Q345</f>
        <v>5.5281400000000001E-2</v>
      </c>
      <c r="T354" s="456">
        <f>'Key input_Biomass_MAgPIE'!R345</f>
        <v>5.5281400000000001E-2</v>
      </c>
      <c r="U354" s="456">
        <f>'Key input_Biomass_MAgPIE'!S345</f>
        <v>5.5281400000000001E-2</v>
      </c>
      <c r="V354" s="456">
        <f>'Key input_Biomass_MAgPIE'!T345</f>
        <v>5.5281400000000001E-2</v>
      </c>
      <c r="W354" s="456">
        <f>'Key input_Biomass_MAgPIE'!U345</f>
        <v>5.5281400000000001E-2</v>
      </c>
      <c r="X354" s="456">
        <f>'Key input_Biomass_MAgPIE'!V345</f>
        <v>5.5281400000000001E-2</v>
      </c>
      <c r="Y354" s="456">
        <f>'Key input_Biomass_MAgPIE'!W345</f>
        <v>5.5281400000000001E-2</v>
      </c>
      <c r="Z354" s="456">
        <f>'Key input_Biomass_MAgPIE'!X345</f>
        <v>5.5281400000000001E-2</v>
      </c>
      <c r="AA354" s="456">
        <f>'Key input_Biomass_MAgPIE'!Y345</f>
        <v>5.5281400000000001E-2</v>
      </c>
      <c r="AB354" s="456">
        <f>'Key input_Biomass_MAgPIE'!Z345</f>
        <v>5.5281400000000001E-2</v>
      </c>
      <c r="AC354" s="456">
        <f>'Key input_Biomass_MAgPIE'!AA345</f>
        <v>5.5281400000000001E-2</v>
      </c>
      <c r="AD354" s="456">
        <f>'Key input_Biomass_MAgPIE'!AB345</f>
        <v>5.5281400000000001E-2</v>
      </c>
      <c r="AE354" s="456">
        <f>'Key input_Biomass_MAgPIE'!AC345</f>
        <v>5.5281400000000001E-2</v>
      </c>
      <c r="AF354" s="456">
        <f>'Key input_Biomass_MAgPIE'!AD345</f>
        <v>5.5281400000000001E-2</v>
      </c>
      <c r="AG354" s="456">
        <f>'Key input_Biomass_MAgPIE'!AE345</f>
        <v>5.5281400000000001E-2</v>
      </c>
      <c r="AH354" s="456">
        <f>'Key input_Biomass_MAgPIE'!AF345</f>
        <v>5.5281400000000001E-2</v>
      </c>
    </row>
    <row r="355" spans="1:34">
      <c r="A355" s="259" t="str">
        <f t="shared" si="128"/>
        <v>MIN-RSVBIOOLC2</v>
      </c>
      <c r="B355" s="259" t="str">
        <f t="shared" si="125"/>
        <v>UPS Reserves of Biomass - Oil crops - Reserve - Supply curve step 2</v>
      </c>
      <c r="C355" s="259" t="str">
        <f t="shared" si="126"/>
        <v>RSVBIOOLC</v>
      </c>
      <c r="D355" s="259" t="str">
        <f t="shared" si="127"/>
        <v>ACT_COST</v>
      </c>
      <c r="E355" s="259"/>
      <c r="F355" s="259">
        <v>2100</v>
      </c>
      <c r="G355" s="435">
        <f>'Key input_Biomass_MAgPIE'!E346</f>
        <v>5.5281400000000001E-2</v>
      </c>
      <c r="H355" s="435">
        <f>'Key input_Biomass_MAgPIE'!F346</f>
        <v>5.5281400000000001E-2</v>
      </c>
      <c r="I355" s="435">
        <f>'Key input_Biomass_MAgPIE'!G346</f>
        <v>5.5281400000000001E-2</v>
      </c>
      <c r="J355" s="435">
        <f>'Key input_Biomass_MAgPIE'!H346</f>
        <v>5.5281400000000001E-2</v>
      </c>
      <c r="K355" s="435">
        <f>'Key input_Biomass_MAgPIE'!I346</f>
        <v>5.5281400000000001E-2</v>
      </c>
      <c r="L355" s="435">
        <f>'Key input_Biomass_MAgPIE'!J346</f>
        <v>5.5281400000000001E-2</v>
      </c>
      <c r="M355" s="435">
        <f>'Key input_Biomass_MAgPIE'!K346</f>
        <v>5.5281400000000001E-2</v>
      </c>
      <c r="N355" s="435">
        <f>'Key input_Biomass_MAgPIE'!L346</f>
        <v>5.5281400000000001E-2</v>
      </c>
      <c r="O355" s="435">
        <f>'Key input_Biomass_MAgPIE'!M346</f>
        <v>5.5281400000000001E-2</v>
      </c>
      <c r="P355" s="435">
        <f>'Key input_Biomass_MAgPIE'!N346</f>
        <v>5.5281400000000001E-2</v>
      </c>
      <c r="Q355" s="435">
        <f>'Key input_Biomass_MAgPIE'!O346</f>
        <v>5.5281400000000001E-2</v>
      </c>
      <c r="R355" s="435">
        <f>'Key input_Biomass_MAgPIE'!P346</f>
        <v>5.5281400000000001E-2</v>
      </c>
      <c r="S355" s="435">
        <f>'Key input_Biomass_MAgPIE'!Q346</f>
        <v>5.5281400000000001E-2</v>
      </c>
      <c r="T355" s="435">
        <f>'Key input_Biomass_MAgPIE'!R346</f>
        <v>5.5281400000000001E-2</v>
      </c>
      <c r="U355" s="435">
        <f>'Key input_Biomass_MAgPIE'!S346</f>
        <v>5.5281400000000001E-2</v>
      </c>
      <c r="V355" s="435">
        <f>'Key input_Biomass_MAgPIE'!T346</f>
        <v>5.5281400000000001E-2</v>
      </c>
      <c r="W355" s="435">
        <f>'Key input_Biomass_MAgPIE'!U346</f>
        <v>5.5281400000000001E-2</v>
      </c>
      <c r="X355" s="435">
        <f>'Key input_Biomass_MAgPIE'!V346</f>
        <v>5.5281400000000001E-2</v>
      </c>
      <c r="Y355" s="435">
        <f>'Key input_Biomass_MAgPIE'!W346</f>
        <v>5.5281400000000001E-2</v>
      </c>
      <c r="Z355" s="435">
        <f>'Key input_Biomass_MAgPIE'!X346</f>
        <v>5.5281400000000001E-2</v>
      </c>
      <c r="AA355" s="435">
        <f>'Key input_Biomass_MAgPIE'!Y346</f>
        <v>5.5281400000000001E-2</v>
      </c>
      <c r="AB355" s="435">
        <f>'Key input_Biomass_MAgPIE'!Z346</f>
        <v>5.5281400000000001E-2</v>
      </c>
      <c r="AC355" s="435">
        <f>'Key input_Biomass_MAgPIE'!AA346</f>
        <v>5.5281400000000001E-2</v>
      </c>
      <c r="AD355" s="435">
        <f>'Key input_Biomass_MAgPIE'!AB346</f>
        <v>5.5281400000000001E-2</v>
      </c>
      <c r="AE355" s="435">
        <f>'Key input_Biomass_MAgPIE'!AC346</f>
        <v>5.5281400000000001E-2</v>
      </c>
      <c r="AF355" s="435">
        <f>'Key input_Biomass_MAgPIE'!AD346</f>
        <v>5.5281400000000001E-2</v>
      </c>
      <c r="AG355" s="435">
        <f>'Key input_Biomass_MAgPIE'!AE346</f>
        <v>5.5281400000000001E-2</v>
      </c>
      <c r="AH355" s="435">
        <f>'Key input_Biomass_MAgPIE'!AF346</f>
        <v>5.5281400000000001E-2</v>
      </c>
    </row>
    <row r="356" spans="1:34" ht="16.5" customHeight="1">
      <c r="A356" s="4" t="str">
        <f>AK22</f>
        <v>MIN-RSVBIOOLC3</v>
      </c>
      <c r="B356" s="4" t="str">
        <f>AL22</f>
        <v>UPS Reserves of Biomass - Oil crops - Reserve - Supply curve step 3</v>
      </c>
      <c r="C356" s="4" t="str">
        <f>Commodities!$C$18</f>
        <v>RSVBIOOLC</v>
      </c>
      <c r="D356" s="4" t="s">
        <v>675</v>
      </c>
      <c r="E356" s="4"/>
      <c r="F356" s="4">
        <v>2019</v>
      </c>
      <c r="G356" s="258">
        <f>'Key input_Biomass_MAgPIE'!E347</f>
        <v>0.1105628</v>
      </c>
      <c r="H356" s="258">
        <f>'Key input_Biomass_MAgPIE'!F347</f>
        <v>0.1105628</v>
      </c>
      <c r="I356" s="258">
        <f>'Key input_Biomass_MAgPIE'!G347</f>
        <v>0.1105628</v>
      </c>
      <c r="J356" s="258">
        <f>'Key input_Biomass_MAgPIE'!H347</f>
        <v>0.1105628</v>
      </c>
      <c r="K356" s="258">
        <f>'Key input_Biomass_MAgPIE'!I347</f>
        <v>0.1105628</v>
      </c>
      <c r="L356" s="258">
        <f>'Key input_Biomass_MAgPIE'!J347</f>
        <v>0.1105628</v>
      </c>
      <c r="M356" s="258">
        <f>'Key input_Biomass_MAgPIE'!K347</f>
        <v>0.1105628</v>
      </c>
      <c r="N356" s="258">
        <f>'Key input_Biomass_MAgPIE'!L347</f>
        <v>0.1105628</v>
      </c>
      <c r="O356" s="258">
        <f>'Key input_Biomass_MAgPIE'!M347</f>
        <v>0.1105628</v>
      </c>
      <c r="P356" s="258">
        <f>'Key input_Biomass_MAgPIE'!N347</f>
        <v>0.1105628</v>
      </c>
      <c r="Q356" s="258">
        <f>'Key input_Biomass_MAgPIE'!O347</f>
        <v>0.1105628</v>
      </c>
      <c r="R356" s="258">
        <f>'Key input_Biomass_MAgPIE'!P347</f>
        <v>0.1105628</v>
      </c>
      <c r="S356" s="258">
        <f>'Key input_Biomass_MAgPIE'!Q347</f>
        <v>0.1105628</v>
      </c>
      <c r="T356" s="258">
        <f>'Key input_Biomass_MAgPIE'!R347</f>
        <v>0.1105628</v>
      </c>
      <c r="U356" s="258">
        <f>'Key input_Biomass_MAgPIE'!S347</f>
        <v>0.1105628</v>
      </c>
      <c r="V356" s="258">
        <f>'Key input_Biomass_MAgPIE'!T347</f>
        <v>0.1105628</v>
      </c>
      <c r="W356" s="258">
        <f>'Key input_Biomass_MAgPIE'!U347</f>
        <v>0.1105628</v>
      </c>
      <c r="X356" s="258">
        <f>'Key input_Biomass_MAgPIE'!V347</f>
        <v>0.1105628</v>
      </c>
      <c r="Y356" s="258">
        <f>'Key input_Biomass_MAgPIE'!W347</f>
        <v>0.1105628</v>
      </c>
      <c r="Z356" s="258">
        <f>'Key input_Biomass_MAgPIE'!X347</f>
        <v>0.1105628</v>
      </c>
      <c r="AA356" s="258">
        <f>'Key input_Biomass_MAgPIE'!Y347</f>
        <v>0.1105628</v>
      </c>
      <c r="AB356" s="258">
        <f>'Key input_Biomass_MAgPIE'!Z347</f>
        <v>0.1105628</v>
      </c>
      <c r="AC356" s="258">
        <f>'Key input_Biomass_MAgPIE'!AA347</f>
        <v>0.1105628</v>
      </c>
      <c r="AD356" s="258">
        <f>'Key input_Biomass_MAgPIE'!AB347</f>
        <v>0.1105628</v>
      </c>
      <c r="AE356" s="258">
        <f>'Key input_Biomass_MAgPIE'!AC347</f>
        <v>0.1105628</v>
      </c>
      <c r="AF356" s="258">
        <f>'Key input_Biomass_MAgPIE'!AD347</f>
        <v>0.1105628</v>
      </c>
      <c r="AG356" s="258">
        <f>'Key input_Biomass_MAgPIE'!AE347</f>
        <v>0.1105628</v>
      </c>
      <c r="AH356" s="258">
        <f>'Key input_Biomass_MAgPIE'!AF347</f>
        <v>0.1105628</v>
      </c>
    </row>
    <row r="357" spans="1:34" ht="16.5" customHeight="1">
      <c r="A357" s="4" t="str">
        <f>A356</f>
        <v>MIN-RSVBIOOLC3</v>
      </c>
      <c r="B357" s="4" t="str">
        <f t="shared" ref="B357:B368" si="129">B356</f>
        <v>UPS Reserves of Biomass - Oil crops - Reserve - Supply curve step 3</v>
      </c>
      <c r="C357" s="4" t="str">
        <f t="shared" ref="C357:C368" si="130">C356</f>
        <v>RSVBIOOLC</v>
      </c>
      <c r="D357" s="4" t="str">
        <f t="shared" ref="D357:D368" si="131">D356</f>
        <v>ACT_COST</v>
      </c>
      <c r="E357" s="4"/>
      <c r="F357" s="4">
        <v>2020</v>
      </c>
      <c r="G357" s="456">
        <f>'Key input_Biomass_MAgPIE'!E348</f>
        <v>0.1105628</v>
      </c>
      <c r="H357" s="456">
        <f>'Key input_Biomass_MAgPIE'!F348</f>
        <v>0.1105628</v>
      </c>
      <c r="I357" s="456">
        <f>'Key input_Biomass_MAgPIE'!G348</f>
        <v>0.1105628</v>
      </c>
      <c r="J357" s="456">
        <f>'Key input_Biomass_MAgPIE'!H348</f>
        <v>0.1105628</v>
      </c>
      <c r="K357" s="456">
        <f>'Key input_Biomass_MAgPIE'!I348</f>
        <v>0.1105628</v>
      </c>
      <c r="L357" s="456">
        <f>'Key input_Biomass_MAgPIE'!J348</f>
        <v>0.1105628</v>
      </c>
      <c r="M357" s="456">
        <f>'Key input_Biomass_MAgPIE'!K348</f>
        <v>0.1105628</v>
      </c>
      <c r="N357" s="456">
        <f>'Key input_Biomass_MAgPIE'!L348</f>
        <v>0.1105628</v>
      </c>
      <c r="O357" s="456">
        <f>'Key input_Biomass_MAgPIE'!M348</f>
        <v>0.1105628</v>
      </c>
      <c r="P357" s="456">
        <f>'Key input_Biomass_MAgPIE'!N348</f>
        <v>0.1105628</v>
      </c>
      <c r="Q357" s="456">
        <f>'Key input_Biomass_MAgPIE'!O348</f>
        <v>0.1105628</v>
      </c>
      <c r="R357" s="456">
        <f>'Key input_Biomass_MAgPIE'!P348</f>
        <v>0.1105628</v>
      </c>
      <c r="S357" s="456">
        <f>'Key input_Biomass_MAgPIE'!Q348</f>
        <v>0.1105628</v>
      </c>
      <c r="T357" s="456">
        <f>'Key input_Biomass_MAgPIE'!R348</f>
        <v>0.1105628</v>
      </c>
      <c r="U357" s="456">
        <f>'Key input_Biomass_MAgPIE'!S348</f>
        <v>0.1105628</v>
      </c>
      <c r="V357" s="456">
        <f>'Key input_Biomass_MAgPIE'!T348</f>
        <v>0.1105628</v>
      </c>
      <c r="W357" s="456">
        <f>'Key input_Biomass_MAgPIE'!U348</f>
        <v>0.1105628</v>
      </c>
      <c r="X357" s="456">
        <f>'Key input_Biomass_MAgPIE'!V348</f>
        <v>0.1105628</v>
      </c>
      <c r="Y357" s="456">
        <f>'Key input_Biomass_MAgPIE'!W348</f>
        <v>0.1105628</v>
      </c>
      <c r="Z357" s="456">
        <f>'Key input_Biomass_MAgPIE'!X348</f>
        <v>0.1105628</v>
      </c>
      <c r="AA357" s="456">
        <f>'Key input_Biomass_MAgPIE'!Y348</f>
        <v>0.1105628</v>
      </c>
      <c r="AB357" s="456">
        <f>'Key input_Biomass_MAgPIE'!Z348</f>
        <v>0.1105628</v>
      </c>
      <c r="AC357" s="456">
        <f>'Key input_Biomass_MAgPIE'!AA348</f>
        <v>0.1105628</v>
      </c>
      <c r="AD357" s="456">
        <f>'Key input_Biomass_MAgPIE'!AB348</f>
        <v>0.1105628</v>
      </c>
      <c r="AE357" s="456">
        <f>'Key input_Biomass_MAgPIE'!AC348</f>
        <v>0.1105628</v>
      </c>
      <c r="AF357" s="456">
        <f>'Key input_Biomass_MAgPIE'!AD348</f>
        <v>0.1105628</v>
      </c>
      <c r="AG357" s="456">
        <f>'Key input_Biomass_MAgPIE'!AE348</f>
        <v>0.1105628</v>
      </c>
      <c r="AH357" s="456">
        <f>'Key input_Biomass_MAgPIE'!AF348</f>
        <v>0.1105628</v>
      </c>
    </row>
    <row r="358" spans="1:34" ht="16.5" customHeight="1">
      <c r="A358" s="4" t="str">
        <f t="shared" ref="A358:A368" si="132">A357</f>
        <v>MIN-RSVBIOOLC3</v>
      </c>
      <c r="B358" s="4" t="str">
        <f t="shared" si="129"/>
        <v>UPS Reserves of Biomass - Oil crops - Reserve - Supply curve step 3</v>
      </c>
      <c r="C358" s="4" t="str">
        <f t="shared" si="130"/>
        <v>RSVBIOOLC</v>
      </c>
      <c r="D358" s="4" t="str">
        <f t="shared" si="131"/>
        <v>ACT_COST</v>
      </c>
      <c r="E358" s="4"/>
      <c r="F358" s="4">
        <v>2025</v>
      </c>
      <c r="G358" s="456">
        <f>'Key input_Biomass_MAgPIE'!E349</f>
        <v>0.1105628</v>
      </c>
      <c r="H358" s="456">
        <f>'Key input_Biomass_MAgPIE'!F349</f>
        <v>0.1105628</v>
      </c>
      <c r="I358" s="456">
        <f>'Key input_Biomass_MAgPIE'!G349</f>
        <v>0.1105628</v>
      </c>
      <c r="J358" s="456">
        <f>'Key input_Biomass_MAgPIE'!H349</f>
        <v>0.1105628</v>
      </c>
      <c r="K358" s="456">
        <f>'Key input_Biomass_MAgPIE'!I349</f>
        <v>0.1105628</v>
      </c>
      <c r="L358" s="456">
        <f>'Key input_Biomass_MAgPIE'!J349</f>
        <v>0.1105628</v>
      </c>
      <c r="M358" s="456">
        <f>'Key input_Biomass_MAgPIE'!K349</f>
        <v>0.1105628</v>
      </c>
      <c r="N358" s="456">
        <f>'Key input_Biomass_MAgPIE'!L349</f>
        <v>0.1105628</v>
      </c>
      <c r="O358" s="456">
        <f>'Key input_Biomass_MAgPIE'!M349</f>
        <v>0.1105628</v>
      </c>
      <c r="P358" s="456">
        <f>'Key input_Biomass_MAgPIE'!N349</f>
        <v>0.1105628</v>
      </c>
      <c r="Q358" s="456">
        <f>'Key input_Biomass_MAgPIE'!O349</f>
        <v>0.1105628</v>
      </c>
      <c r="R358" s="456">
        <f>'Key input_Biomass_MAgPIE'!P349</f>
        <v>0.1105628</v>
      </c>
      <c r="S358" s="456">
        <f>'Key input_Biomass_MAgPIE'!Q349</f>
        <v>0.1105628</v>
      </c>
      <c r="T358" s="456">
        <f>'Key input_Biomass_MAgPIE'!R349</f>
        <v>0.1105628</v>
      </c>
      <c r="U358" s="456">
        <f>'Key input_Biomass_MAgPIE'!S349</f>
        <v>0.1105628</v>
      </c>
      <c r="V358" s="456">
        <f>'Key input_Biomass_MAgPIE'!T349</f>
        <v>0.1105628</v>
      </c>
      <c r="W358" s="456">
        <f>'Key input_Biomass_MAgPIE'!U349</f>
        <v>0.1105628</v>
      </c>
      <c r="X358" s="456">
        <f>'Key input_Biomass_MAgPIE'!V349</f>
        <v>0.1105628</v>
      </c>
      <c r="Y358" s="456">
        <f>'Key input_Biomass_MAgPIE'!W349</f>
        <v>0.1105628</v>
      </c>
      <c r="Z358" s="456">
        <f>'Key input_Biomass_MAgPIE'!X349</f>
        <v>0.1105628</v>
      </c>
      <c r="AA358" s="456">
        <f>'Key input_Biomass_MAgPIE'!Y349</f>
        <v>0.1105628</v>
      </c>
      <c r="AB358" s="456">
        <f>'Key input_Biomass_MAgPIE'!Z349</f>
        <v>0.1105628</v>
      </c>
      <c r="AC358" s="456">
        <f>'Key input_Biomass_MAgPIE'!AA349</f>
        <v>0.1105628</v>
      </c>
      <c r="AD358" s="456">
        <f>'Key input_Biomass_MAgPIE'!AB349</f>
        <v>0.1105628</v>
      </c>
      <c r="AE358" s="456">
        <f>'Key input_Biomass_MAgPIE'!AC349</f>
        <v>0.1105628</v>
      </c>
      <c r="AF358" s="456">
        <f>'Key input_Biomass_MAgPIE'!AD349</f>
        <v>0.1105628</v>
      </c>
      <c r="AG358" s="456">
        <f>'Key input_Biomass_MAgPIE'!AE349</f>
        <v>0.1105628</v>
      </c>
      <c r="AH358" s="456">
        <f>'Key input_Biomass_MAgPIE'!AF349</f>
        <v>0.1105628</v>
      </c>
    </row>
    <row r="359" spans="1:34" ht="16.5" customHeight="1">
      <c r="A359" s="4" t="str">
        <f t="shared" si="132"/>
        <v>MIN-RSVBIOOLC3</v>
      </c>
      <c r="B359" s="4" t="str">
        <f t="shared" si="129"/>
        <v>UPS Reserves of Biomass - Oil crops - Reserve - Supply curve step 3</v>
      </c>
      <c r="C359" s="4" t="str">
        <f t="shared" si="130"/>
        <v>RSVBIOOLC</v>
      </c>
      <c r="D359" s="4" t="str">
        <f t="shared" si="131"/>
        <v>ACT_COST</v>
      </c>
      <c r="E359" s="4"/>
      <c r="F359" s="4">
        <v>2030</v>
      </c>
      <c r="G359" s="456">
        <f>'Key input_Biomass_MAgPIE'!E350</f>
        <v>0.1105628</v>
      </c>
      <c r="H359" s="456">
        <f>'Key input_Biomass_MAgPIE'!F350</f>
        <v>0.1105628</v>
      </c>
      <c r="I359" s="456">
        <f>'Key input_Biomass_MAgPIE'!G350</f>
        <v>0.1105628</v>
      </c>
      <c r="J359" s="456">
        <f>'Key input_Biomass_MAgPIE'!H350</f>
        <v>0.1105628</v>
      </c>
      <c r="K359" s="456">
        <f>'Key input_Biomass_MAgPIE'!I350</f>
        <v>0.1105628</v>
      </c>
      <c r="L359" s="456">
        <f>'Key input_Biomass_MAgPIE'!J350</f>
        <v>0.1105628</v>
      </c>
      <c r="M359" s="456">
        <f>'Key input_Biomass_MAgPIE'!K350</f>
        <v>0.1105628</v>
      </c>
      <c r="N359" s="456">
        <f>'Key input_Biomass_MAgPIE'!L350</f>
        <v>0.1105628</v>
      </c>
      <c r="O359" s="456">
        <f>'Key input_Biomass_MAgPIE'!M350</f>
        <v>0.1105628</v>
      </c>
      <c r="P359" s="456">
        <f>'Key input_Biomass_MAgPIE'!N350</f>
        <v>0.1105628</v>
      </c>
      <c r="Q359" s="456">
        <f>'Key input_Biomass_MAgPIE'!O350</f>
        <v>0.1105628</v>
      </c>
      <c r="R359" s="456">
        <f>'Key input_Biomass_MAgPIE'!P350</f>
        <v>0.1105628</v>
      </c>
      <c r="S359" s="456">
        <f>'Key input_Biomass_MAgPIE'!Q350</f>
        <v>0.1105628</v>
      </c>
      <c r="T359" s="456">
        <f>'Key input_Biomass_MAgPIE'!R350</f>
        <v>0.1105628</v>
      </c>
      <c r="U359" s="456">
        <f>'Key input_Biomass_MAgPIE'!S350</f>
        <v>0.1105628</v>
      </c>
      <c r="V359" s="456">
        <f>'Key input_Biomass_MAgPIE'!T350</f>
        <v>0.1105628</v>
      </c>
      <c r="W359" s="456">
        <f>'Key input_Biomass_MAgPIE'!U350</f>
        <v>0.1105628</v>
      </c>
      <c r="X359" s="456">
        <f>'Key input_Biomass_MAgPIE'!V350</f>
        <v>0.1105628</v>
      </c>
      <c r="Y359" s="456">
        <f>'Key input_Biomass_MAgPIE'!W350</f>
        <v>0.1105628</v>
      </c>
      <c r="Z359" s="456">
        <f>'Key input_Biomass_MAgPIE'!X350</f>
        <v>0.1105628</v>
      </c>
      <c r="AA359" s="456">
        <f>'Key input_Biomass_MAgPIE'!Y350</f>
        <v>0.1105628</v>
      </c>
      <c r="AB359" s="456">
        <f>'Key input_Biomass_MAgPIE'!Z350</f>
        <v>0.1105628</v>
      </c>
      <c r="AC359" s="456">
        <f>'Key input_Biomass_MAgPIE'!AA350</f>
        <v>0.1105628</v>
      </c>
      <c r="AD359" s="456">
        <f>'Key input_Biomass_MAgPIE'!AB350</f>
        <v>0.1105628</v>
      </c>
      <c r="AE359" s="456">
        <f>'Key input_Biomass_MAgPIE'!AC350</f>
        <v>0.1105628</v>
      </c>
      <c r="AF359" s="456">
        <f>'Key input_Biomass_MAgPIE'!AD350</f>
        <v>0.1105628</v>
      </c>
      <c r="AG359" s="456">
        <f>'Key input_Biomass_MAgPIE'!AE350</f>
        <v>0.1105628</v>
      </c>
      <c r="AH359" s="456">
        <f>'Key input_Biomass_MAgPIE'!AF350</f>
        <v>0.1105628</v>
      </c>
    </row>
    <row r="360" spans="1:34" ht="16.5" customHeight="1">
      <c r="A360" s="4" t="str">
        <f t="shared" si="132"/>
        <v>MIN-RSVBIOOLC3</v>
      </c>
      <c r="B360" s="4" t="str">
        <f t="shared" si="129"/>
        <v>UPS Reserves of Biomass - Oil crops - Reserve - Supply curve step 3</v>
      </c>
      <c r="C360" s="4" t="str">
        <f t="shared" si="130"/>
        <v>RSVBIOOLC</v>
      </c>
      <c r="D360" s="4" t="str">
        <f t="shared" si="131"/>
        <v>ACT_COST</v>
      </c>
      <c r="E360" s="4"/>
      <c r="F360" s="4">
        <v>2035</v>
      </c>
      <c r="G360" s="456">
        <f>'Key input_Biomass_MAgPIE'!E351</f>
        <v>0.1105628</v>
      </c>
      <c r="H360" s="456">
        <f>'Key input_Biomass_MAgPIE'!F351</f>
        <v>0.1105628</v>
      </c>
      <c r="I360" s="456">
        <f>'Key input_Biomass_MAgPIE'!G351</f>
        <v>0.1105628</v>
      </c>
      <c r="J360" s="456">
        <f>'Key input_Biomass_MAgPIE'!H351</f>
        <v>0.1105628</v>
      </c>
      <c r="K360" s="456">
        <f>'Key input_Biomass_MAgPIE'!I351</f>
        <v>0.1105628</v>
      </c>
      <c r="L360" s="456">
        <f>'Key input_Biomass_MAgPIE'!J351</f>
        <v>0.1105628</v>
      </c>
      <c r="M360" s="456">
        <f>'Key input_Biomass_MAgPIE'!K351</f>
        <v>0.1105628</v>
      </c>
      <c r="N360" s="456">
        <f>'Key input_Biomass_MAgPIE'!L351</f>
        <v>0.1105628</v>
      </c>
      <c r="O360" s="456">
        <f>'Key input_Biomass_MAgPIE'!M351</f>
        <v>0.1105628</v>
      </c>
      <c r="P360" s="456">
        <f>'Key input_Biomass_MAgPIE'!N351</f>
        <v>0.1105628</v>
      </c>
      <c r="Q360" s="456">
        <f>'Key input_Biomass_MAgPIE'!O351</f>
        <v>0.1105628</v>
      </c>
      <c r="R360" s="456">
        <f>'Key input_Biomass_MAgPIE'!P351</f>
        <v>0.1105628</v>
      </c>
      <c r="S360" s="456">
        <f>'Key input_Biomass_MAgPIE'!Q351</f>
        <v>0.1105628</v>
      </c>
      <c r="T360" s="456">
        <f>'Key input_Biomass_MAgPIE'!R351</f>
        <v>0.1105628</v>
      </c>
      <c r="U360" s="456">
        <f>'Key input_Biomass_MAgPIE'!S351</f>
        <v>0.1105628</v>
      </c>
      <c r="V360" s="456">
        <f>'Key input_Biomass_MAgPIE'!T351</f>
        <v>0.1105628</v>
      </c>
      <c r="W360" s="456">
        <f>'Key input_Biomass_MAgPIE'!U351</f>
        <v>0.1105628</v>
      </c>
      <c r="X360" s="456">
        <f>'Key input_Biomass_MAgPIE'!V351</f>
        <v>0.1105628</v>
      </c>
      <c r="Y360" s="456">
        <f>'Key input_Biomass_MAgPIE'!W351</f>
        <v>0.1105628</v>
      </c>
      <c r="Z360" s="456">
        <f>'Key input_Biomass_MAgPIE'!X351</f>
        <v>0.1105628</v>
      </c>
      <c r="AA360" s="456">
        <f>'Key input_Biomass_MAgPIE'!Y351</f>
        <v>0.1105628</v>
      </c>
      <c r="AB360" s="456">
        <f>'Key input_Biomass_MAgPIE'!Z351</f>
        <v>0.1105628</v>
      </c>
      <c r="AC360" s="456">
        <f>'Key input_Biomass_MAgPIE'!AA351</f>
        <v>0.1105628</v>
      </c>
      <c r="AD360" s="456">
        <f>'Key input_Biomass_MAgPIE'!AB351</f>
        <v>0.1105628</v>
      </c>
      <c r="AE360" s="456">
        <f>'Key input_Biomass_MAgPIE'!AC351</f>
        <v>0.1105628</v>
      </c>
      <c r="AF360" s="456">
        <f>'Key input_Biomass_MAgPIE'!AD351</f>
        <v>0.1105628</v>
      </c>
      <c r="AG360" s="456">
        <f>'Key input_Biomass_MAgPIE'!AE351</f>
        <v>0.1105628</v>
      </c>
      <c r="AH360" s="456">
        <f>'Key input_Biomass_MAgPIE'!AF351</f>
        <v>0.1105628</v>
      </c>
    </row>
    <row r="361" spans="1:34" ht="16.5" customHeight="1">
      <c r="A361" s="4" t="str">
        <f t="shared" si="132"/>
        <v>MIN-RSVBIOOLC3</v>
      </c>
      <c r="B361" s="4" t="str">
        <f t="shared" si="129"/>
        <v>UPS Reserves of Biomass - Oil crops - Reserve - Supply curve step 3</v>
      </c>
      <c r="C361" s="4" t="str">
        <f t="shared" si="130"/>
        <v>RSVBIOOLC</v>
      </c>
      <c r="D361" s="4" t="str">
        <f t="shared" si="131"/>
        <v>ACT_COST</v>
      </c>
      <c r="E361" s="4"/>
      <c r="F361" s="4">
        <v>2040</v>
      </c>
      <c r="G361" s="456">
        <f>'Key input_Biomass_MAgPIE'!E352</f>
        <v>0.1105628</v>
      </c>
      <c r="H361" s="456">
        <f>'Key input_Biomass_MAgPIE'!F352</f>
        <v>0.1105628</v>
      </c>
      <c r="I361" s="456">
        <f>'Key input_Biomass_MAgPIE'!G352</f>
        <v>0.1105628</v>
      </c>
      <c r="J361" s="456">
        <f>'Key input_Biomass_MAgPIE'!H352</f>
        <v>0.1105628</v>
      </c>
      <c r="K361" s="456">
        <f>'Key input_Biomass_MAgPIE'!I352</f>
        <v>0.1105628</v>
      </c>
      <c r="L361" s="456">
        <f>'Key input_Biomass_MAgPIE'!J352</f>
        <v>0.1105628</v>
      </c>
      <c r="M361" s="456">
        <f>'Key input_Biomass_MAgPIE'!K352</f>
        <v>0.1105628</v>
      </c>
      <c r="N361" s="456">
        <f>'Key input_Biomass_MAgPIE'!L352</f>
        <v>0.1105628</v>
      </c>
      <c r="O361" s="456">
        <f>'Key input_Biomass_MAgPIE'!M352</f>
        <v>0.1105628</v>
      </c>
      <c r="P361" s="456">
        <f>'Key input_Biomass_MAgPIE'!N352</f>
        <v>0.1105628</v>
      </c>
      <c r="Q361" s="456">
        <f>'Key input_Biomass_MAgPIE'!O352</f>
        <v>0.1105628</v>
      </c>
      <c r="R361" s="456">
        <f>'Key input_Biomass_MAgPIE'!P352</f>
        <v>0.1105628</v>
      </c>
      <c r="S361" s="456">
        <f>'Key input_Biomass_MAgPIE'!Q352</f>
        <v>0.1105628</v>
      </c>
      <c r="T361" s="456">
        <f>'Key input_Biomass_MAgPIE'!R352</f>
        <v>0.1105628</v>
      </c>
      <c r="U361" s="456">
        <f>'Key input_Biomass_MAgPIE'!S352</f>
        <v>0.1105628</v>
      </c>
      <c r="V361" s="456">
        <f>'Key input_Biomass_MAgPIE'!T352</f>
        <v>0.1105628</v>
      </c>
      <c r="W361" s="456">
        <f>'Key input_Biomass_MAgPIE'!U352</f>
        <v>0.1105628</v>
      </c>
      <c r="X361" s="456">
        <f>'Key input_Biomass_MAgPIE'!V352</f>
        <v>0.1105628</v>
      </c>
      <c r="Y361" s="456">
        <f>'Key input_Biomass_MAgPIE'!W352</f>
        <v>0.1105628</v>
      </c>
      <c r="Z361" s="456">
        <f>'Key input_Biomass_MAgPIE'!X352</f>
        <v>0.1105628</v>
      </c>
      <c r="AA361" s="456">
        <f>'Key input_Biomass_MAgPIE'!Y352</f>
        <v>0.1105628</v>
      </c>
      <c r="AB361" s="456">
        <f>'Key input_Biomass_MAgPIE'!Z352</f>
        <v>0.1105628</v>
      </c>
      <c r="AC361" s="456">
        <f>'Key input_Biomass_MAgPIE'!AA352</f>
        <v>0.1105628</v>
      </c>
      <c r="AD361" s="456">
        <f>'Key input_Biomass_MAgPIE'!AB352</f>
        <v>0.1105628</v>
      </c>
      <c r="AE361" s="456">
        <f>'Key input_Biomass_MAgPIE'!AC352</f>
        <v>0.1105628</v>
      </c>
      <c r="AF361" s="456">
        <f>'Key input_Biomass_MAgPIE'!AD352</f>
        <v>0.1105628</v>
      </c>
      <c r="AG361" s="456">
        <f>'Key input_Biomass_MAgPIE'!AE352</f>
        <v>0.1105628</v>
      </c>
      <c r="AH361" s="456">
        <f>'Key input_Biomass_MAgPIE'!AF352</f>
        <v>0.1105628</v>
      </c>
    </row>
    <row r="362" spans="1:34" ht="16.5" customHeight="1">
      <c r="A362" s="4" t="str">
        <f t="shared" si="132"/>
        <v>MIN-RSVBIOOLC3</v>
      </c>
      <c r="B362" s="4" t="str">
        <f t="shared" si="129"/>
        <v>UPS Reserves of Biomass - Oil crops - Reserve - Supply curve step 3</v>
      </c>
      <c r="C362" s="4" t="str">
        <f t="shared" si="130"/>
        <v>RSVBIOOLC</v>
      </c>
      <c r="D362" s="4" t="str">
        <f t="shared" si="131"/>
        <v>ACT_COST</v>
      </c>
      <c r="E362" s="4"/>
      <c r="F362" s="4">
        <v>2045</v>
      </c>
      <c r="G362" s="456">
        <f>'Key input_Biomass_MAgPIE'!E353</f>
        <v>0.1105628</v>
      </c>
      <c r="H362" s="456">
        <f>'Key input_Biomass_MAgPIE'!F353</f>
        <v>0.1105628</v>
      </c>
      <c r="I362" s="456">
        <f>'Key input_Biomass_MAgPIE'!G353</f>
        <v>0.1105628</v>
      </c>
      <c r="J362" s="456">
        <f>'Key input_Biomass_MAgPIE'!H353</f>
        <v>0.1105628</v>
      </c>
      <c r="K362" s="456">
        <f>'Key input_Biomass_MAgPIE'!I353</f>
        <v>0.1105628</v>
      </c>
      <c r="L362" s="456">
        <f>'Key input_Biomass_MAgPIE'!J353</f>
        <v>0.1105628</v>
      </c>
      <c r="M362" s="456">
        <f>'Key input_Biomass_MAgPIE'!K353</f>
        <v>0.1105628</v>
      </c>
      <c r="N362" s="456">
        <f>'Key input_Biomass_MAgPIE'!L353</f>
        <v>0.1105628</v>
      </c>
      <c r="O362" s="456">
        <f>'Key input_Biomass_MAgPIE'!M353</f>
        <v>0.1105628</v>
      </c>
      <c r="P362" s="456">
        <f>'Key input_Biomass_MAgPIE'!N353</f>
        <v>0.1105628</v>
      </c>
      <c r="Q362" s="456">
        <f>'Key input_Biomass_MAgPIE'!O353</f>
        <v>0.1105628</v>
      </c>
      <c r="R362" s="456">
        <f>'Key input_Biomass_MAgPIE'!P353</f>
        <v>0.1105628</v>
      </c>
      <c r="S362" s="456">
        <f>'Key input_Biomass_MAgPIE'!Q353</f>
        <v>0.1105628</v>
      </c>
      <c r="T362" s="456">
        <f>'Key input_Biomass_MAgPIE'!R353</f>
        <v>0.1105628</v>
      </c>
      <c r="U362" s="456">
        <f>'Key input_Biomass_MAgPIE'!S353</f>
        <v>0.1105628</v>
      </c>
      <c r="V362" s="456">
        <f>'Key input_Biomass_MAgPIE'!T353</f>
        <v>0.1105628</v>
      </c>
      <c r="W362" s="456">
        <f>'Key input_Biomass_MAgPIE'!U353</f>
        <v>0.1105628</v>
      </c>
      <c r="X362" s="456">
        <f>'Key input_Biomass_MAgPIE'!V353</f>
        <v>0.1105628</v>
      </c>
      <c r="Y362" s="456">
        <f>'Key input_Biomass_MAgPIE'!W353</f>
        <v>0.1105628</v>
      </c>
      <c r="Z362" s="456">
        <f>'Key input_Biomass_MAgPIE'!X353</f>
        <v>0.1105628</v>
      </c>
      <c r="AA362" s="456">
        <f>'Key input_Biomass_MAgPIE'!Y353</f>
        <v>0.1105628</v>
      </c>
      <c r="AB362" s="456">
        <f>'Key input_Biomass_MAgPIE'!Z353</f>
        <v>0.1105628</v>
      </c>
      <c r="AC362" s="456">
        <f>'Key input_Biomass_MAgPIE'!AA353</f>
        <v>0.1105628</v>
      </c>
      <c r="AD362" s="456">
        <f>'Key input_Biomass_MAgPIE'!AB353</f>
        <v>0.1105628</v>
      </c>
      <c r="AE362" s="456">
        <f>'Key input_Biomass_MAgPIE'!AC353</f>
        <v>0.1105628</v>
      </c>
      <c r="AF362" s="456">
        <f>'Key input_Biomass_MAgPIE'!AD353</f>
        <v>0.1105628</v>
      </c>
      <c r="AG362" s="456">
        <f>'Key input_Biomass_MAgPIE'!AE353</f>
        <v>0.1105628</v>
      </c>
      <c r="AH362" s="456">
        <f>'Key input_Biomass_MAgPIE'!AF353</f>
        <v>0.1105628</v>
      </c>
    </row>
    <row r="363" spans="1:34" ht="16.5" customHeight="1">
      <c r="A363" s="4" t="str">
        <f t="shared" si="132"/>
        <v>MIN-RSVBIOOLC3</v>
      </c>
      <c r="B363" s="4" t="str">
        <f t="shared" si="129"/>
        <v>UPS Reserves of Biomass - Oil crops - Reserve - Supply curve step 3</v>
      </c>
      <c r="C363" s="4" t="str">
        <f t="shared" si="130"/>
        <v>RSVBIOOLC</v>
      </c>
      <c r="D363" s="4" t="str">
        <f t="shared" si="131"/>
        <v>ACT_COST</v>
      </c>
      <c r="E363" s="4"/>
      <c r="F363" s="4">
        <v>2050</v>
      </c>
      <c r="G363" s="456">
        <f>'Key input_Biomass_MAgPIE'!E354</f>
        <v>0.1105628</v>
      </c>
      <c r="H363" s="456">
        <f>'Key input_Biomass_MAgPIE'!F354</f>
        <v>0.1105628</v>
      </c>
      <c r="I363" s="456">
        <f>'Key input_Biomass_MAgPIE'!G354</f>
        <v>0.1105628</v>
      </c>
      <c r="J363" s="456">
        <f>'Key input_Biomass_MAgPIE'!H354</f>
        <v>0.1105628</v>
      </c>
      <c r="K363" s="456">
        <f>'Key input_Biomass_MAgPIE'!I354</f>
        <v>0.1105628</v>
      </c>
      <c r="L363" s="456">
        <f>'Key input_Biomass_MAgPIE'!J354</f>
        <v>0.1105628</v>
      </c>
      <c r="M363" s="456">
        <f>'Key input_Biomass_MAgPIE'!K354</f>
        <v>0.1105628</v>
      </c>
      <c r="N363" s="456">
        <f>'Key input_Biomass_MAgPIE'!L354</f>
        <v>0.1105628</v>
      </c>
      <c r="O363" s="456">
        <f>'Key input_Biomass_MAgPIE'!M354</f>
        <v>0.1105628</v>
      </c>
      <c r="P363" s="456">
        <f>'Key input_Biomass_MAgPIE'!N354</f>
        <v>0.1105628</v>
      </c>
      <c r="Q363" s="456">
        <f>'Key input_Biomass_MAgPIE'!O354</f>
        <v>0.1105628</v>
      </c>
      <c r="R363" s="456">
        <f>'Key input_Biomass_MAgPIE'!P354</f>
        <v>0.1105628</v>
      </c>
      <c r="S363" s="456">
        <f>'Key input_Biomass_MAgPIE'!Q354</f>
        <v>0.1105628</v>
      </c>
      <c r="T363" s="456">
        <f>'Key input_Biomass_MAgPIE'!R354</f>
        <v>0.1105628</v>
      </c>
      <c r="U363" s="456">
        <f>'Key input_Biomass_MAgPIE'!S354</f>
        <v>0.1105628</v>
      </c>
      <c r="V363" s="456">
        <f>'Key input_Biomass_MAgPIE'!T354</f>
        <v>0.1105628</v>
      </c>
      <c r="W363" s="456">
        <f>'Key input_Biomass_MAgPIE'!U354</f>
        <v>0.1105628</v>
      </c>
      <c r="X363" s="456">
        <f>'Key input_Biomass_MAgPIE'!V354</f>
        <v>0.1105628</v>
      </c>
      <c r="Y363" s="456">
        <f>'Key input_Biomass_MAgPIE'!W354</f>
        <v>0.1105628</v>
      </c>
      <c r="Z363" s="456">
        <f>'Key input_Biomass_MAgPIE'!X354</f>
        <v>0.1105628</v>
      </c>
      <c r="AA363" s="456">
        <f>'Key input_Biomass_MAgPIE'!Y354</f>
        <v>0.1105628</v>
      </c>
      <c r="AB363" s="456">
        <f>'Key input_Biomass_MAgPIE'!Z354</f>
        <v>0.1105628</v>
      </c>
      <c r="AC363" s="456">
        <f>'Key input_Biomass_MAgPIE'!AA354</f>
        <v>0.1105628</v>
      </c>
      <c r="AD363" s="456">
        <f>'Key input_Biomass_MAgPIE'!AB354</f>
        <v>0.1105628</v>
      </c>
      <c r="AE363" s="456">
        <f>'Key input_Biomass_MAgPIE'!AC354</f>
        <v>0.1105628</v>
      </c>
      <c r="AF363" s="456">
        <f>'Key input_Biomass_MAgPIE'!AD354</f>
        <v>0.1105628</v>
      </c>
      <c r="AG363" s="456">
        <f>'Key input_Biomass_MAgPIE'!AE354</f>
        <v>0.1105628</v>
      </c>
      <c r="AH363" s="456">
        <f>'Key input_Biomass_MAgPIE'!AF354</f>
        <v>0.1105628</v>
      </c>
    </row>
    <row r="364" spans="1:34" ht="16.5" customHeight="1">
      <c r="A364" s="4" t="str">
        <f t="shared" si="132"/>
        <v>MIN-RSVBIOOLC3</v>
      </c>
      <c r="B364" s="4" t="str">
        <f t="shared" si="129"/>
        <v>UPS Reserves of Biomass - Oil crops - Reserve - Supply curve step 3</v>
      </c>
      <c r="C364" s="4" t="str">
        <f t="shared" si="130"/>
        <v>RSVBIOOLC</v>
      </c>
      <c r="D364" s="4" t="str">
        <f t="shared" si="131"/>
        <v>ACT_COST</v>
      </c>
      <c r="E364" s="4"/>
      <c r="F364" s="4">
        <v>2060</v>
      </c>
      <c r="G364" s="456">
        <f>'Key input_Biomass_MAgPIE'!E355</f>
        <v>0.1105628</v>
      </c>
      <c r="H364" s="456">
        <f>'Key input_Biomass_MAgPIE'!F355</f>
        <v>0.1105628</v>
      </c>
      <c r="I364" s="456">
        <f>'Key input_Biomass_MAgPIE'!G355</f>
        <v>0.1105628</v>
      </c>
      <c r="J364" s="456">
        <f>'Key input_Biomass_MAgPIE'!H355</f>
        <v>0.1105628</v>
      </c>
      <c r="K364" s="456">
        <f>'Key input_Biomass_MAgPIE'!I355</f>
        <v>0.1105628</v>
      </c>
      <c r="L364" s="456">
        <f>'Key input_Biomass_MAgPIE'!J355</f>
        <v>0.1105628</v>
      </c>
      <c r="M364" s="456">
        <f>'Key input_Biomass_MAgPIE'!K355</f>
        <v>0.1105628</v>
      </c>
      <c r="N364" s="456">
        <f>'Key input_Biomass_MAgPIE'!L355</f>
        <v>0.1105628</v>
      </c>
      <c r="O364" s="456">
        <f>'Key input_Biomass_MAgPIE'!M355</f>
        <v>0.1105628</v>
      </c>
      <c r="P364" s="456">
        <f>'Key input_Biomass_MAgPIE'!N355</f>
        <v>0.1105628</v>
      </c>
      <c r="Q364" s="456">
        <f>'Key input_Biomass_MAgPIE'!O355</f>
        <v>0.1105628</v>
      </c>
      <c r="R364" s="456">
        <f>'Key input_Biomass_MAgPIE'!P355</f>
        <v>0.1105628</v>
      </c>
      <c r="S364" s="456">
        <f>'Key input_Biomass_MAgPIE'!Q355</f>
        <v>0.1105628</v>
      </c>
      <c r="T364" s="456">
        <f>'Key input_Biomass_MAgPIE'!R355</f>
        <v>0.1105628</v>
      </c>
      <c r="U364" s="456">
        <f>'Key input_Biomass_MAgPIE'!S355</f>
        <v>0.1105628</v>
      </c>
      <c r="V364" s="456">
        <f>'Key input_Biomass_MAgPIE'!T355</f>
        <v>0.1105628</v>
      </c>
      <c r="W364" s="456">
        <f>'Key input_Biomass_MAgPIE'!U355</f>
        <v>0.1105628</v>
      </c>
      <c r="X364" s="456">
        <f>'Key input_Biomass_MAgPIE'!V355</f>
        <v>0.1105628</v>
      </c>
      <c r="Y364" s="456">
        <f>'Key input_Biomass_MAgPIE'!W355</f>
        <v>0.1105628</v>
      </c>
      <c r="Z364" s="456">
        <f>'Key input_Biomass_MAgPIE'!X355</f>
        <v>0.1105628</v>
      </c>
      <c r="AA364" s="456">
        <f>'Key input_Biomass_MAgPIE'!Y355</f>
        <v>0.1105628</v>
      </c>
      <c r="AB364" s="456">
        <f>'Key input_Biomass_MAgPIE'!Z355</f>
        <v>0.1105628</v>
      </c>
      <c r="AC364" s="456">
        <f>'Key input_Biomass_MAgPIE'!AA355</f>
        <v>0.1105628</v>
      </c>
      <c r="AD364" s="456">
        <f>'Key input_Biomass_MAgPIE'!AB355</f>
        <v>0.1105628</v>
      </c>
      <c r="AE364" s="456">
        <f>'Key input_Biomass_MAgPIE'!AC355</f>
        <v>0.1105628</v>
      </c>
      <c r="AF364" s="456">
        <f>'Key input_Biomass_MAgPIE'!AD355</f>
        <v>0.1105628</v>
      </c>
      <c r="AG364" s="456">
        <f>'Key input_Biomass_MAgPIE'!AE355</f>
        <v>0.1105628</v>
      </c>
      <c r="AH364" s="456">
        <f>'Key input_Biomass_MAgPIE'!AF355</f>
        <v>0.1105628</v>
      </c>
    </row>
    <row r="365" spans="1:34" ht="16.5" customHeight="1">
      <c r="A365" s="4" t="str">
        <f t="shared" si="132"/>
        <v>MIN-RSVBIOOLC3</v>
      </c>
      <c r="B365" s="4" t="str">
        <f t="shared" si="129"/>
        <v>UPS Reserves of Biomass - Oil crops - Reserve - Supply curve step 3</v>
      </c>
      <c r="C365" s="4" t="str">
        <f t="shared" si="130"/>
        <v>RSVBIOOLC</v>
      </c>
      <c r="D365" s="4" t="str">
        <f t="shared" si="131"/>
        <v>ACT_COST</v>
      </c>
      <c r="E365" s="4"/>
      <c r="F365" s="4">
        <v>2070</v>
      </c>
      <c r="G365" s="456">
        <f>'Key input_Biomass_MAgPIE'!E356</f>
        <v>0.1105628</v>
      </c>
      <c r="H365" s="456">
        <f>'Key input_Biomass_MAgPIE'!F356</f>
        <v>0.1105628</v>
      </c>
      <c r="I365" s="456">
        <f>'Key input_Biomass_MAgPIE'!G356</f>
        <v>0.1105628</v>
      </c>
      <c r="J365" s="456">
        <f>'Key input_Biomass_MAgPIE'!H356</f>
        <v>0.1105628</v>
      </c>
      <c r="K365" s="456">
        <f>'Key input_Biomass_MAgPIE'!I356</f>
        <v>0.1105628</v>
      </c>
      <c r="L365" s="456">
        <f>'Key input_Biomass_MAgPIE'!J356</f>
        <v>0.1105628</v>
      </c>
      <c r="M365" s="456">
        <f>'Key input_Biomass_MAgPIE'!K356</f>
        <v>0.1105628</v>
      </c>
      <c r="N365" s="456">
        <f>'Key input_Biomass_MAgPIE'!L356</f>
        <v>0.1105628</v>
      </c>
      <c r="O365" s="456">
        <f>'Key input_Biomass_MAgPIE'!M356</f>
        <v>0.1105628</v>
      </c>
      <c r="P365" s="456">
        <f>'Key input_Biomass_MAgPIE'!N356</f>
        <v>0.1105628</v>
      </c>
      <c r="Q365" s="456">
        <f>'Key input_Biomass_MAgPIE'!O356</f>
        <v>0.1105628</v>
      </c>
      <c r="R365" s="456">
        <f>'Key input_Biomass_MAgPIE'!P356</f>
        <v>0.1105628</v>
      </c>
      <c r="S365" s="456">
        <f>'Key input_Biomass_MAgPIE'!Q356</f>
        <v>0.1105628</v>
      </c>
      <c r="T365" s="456">
        <f>'Key input_Biomass_MAgPIE'!R356</f>
        <v>0.1105628</v>
      </c>
      <c r="U365" s="456">
        <f>'Key input_Biomass_MAgPIE'!S356</f>
        <v>0.1105628</v>
      </c>
      <c r="V365" s="456">
        <f>'Key input_Biomass_MAgPIE'!T356</f>
        <v>0.1105628</v>
      </c>
      <c r="W365" s="456">
        <f>'Key input_Biomass_MAgPIE'!U356</f>
        <v>0.1105628</v>
      </c>
      <c r="X365" s="456">
        <f>'Key input_Biomass_MAgPIE'!V356</f>
        <v>0.1105628</v>
      </c>
      <c r="Y365" s="456">
        <f>'Key input_Biomass_MAgPIE'!W356</f>
        <v>0.1105628</v>
      </c>
      <c r="Z365" s="456">
        <f>'Key input_Biomass_MAgPIE'!X356</f>
        <v>0.1105628</v>
      </c>
      <c r="AA365" s="456">
        <f>'Key input_Biomass_MAgPIE'!Y356</f>
        <v>0.1105628</v>
      </c>
      <c r="AB365" s="456">
        <f>'Key input_Biomass_MAgPIE'!Z356</f>
        <v>0.1105628</v>
      </c>
      <c r="AC365" s="456">
        <f>'Key input_Biomass_MAgPIE'!AA356</f>
        <v>0.1105628</v>
      </c>
      <c r="AD365" s="456">
        <f>'Key input_Biomass_MAgPIE'!AB356</f>
        <v>0.1105628</v>
      </c>
      <c r="AE365" s="456">
        <f>'Key input_Biomass_MAgPIE'!AC356</f>
        <v>0.1105628</v>
      </c>
      <c r="AF365" s="456">
        <f>'Key input_Biomass_MAgPIE'!AD356</f>
        <v>0.1105628</v>
      </c>
      <c r="AG365" s="456">
        <f>'Key input_Biomass_MAgPIE'!AE356</f>
        <v>0.1105628</v>
      </c>
      <c r="AH365" s="456">
        <f>'Key input_Biomass_MAgPIE'!AF356</f>
        <v>0.1105628</v>
      </c>
    </row>
    <row r="366" spans="1:34" ht="16.5" customHeight="1">
      <c r="A366" s="4" t="str">
        <f t="shared" si="132"/>
        <v>MIN-RSVBIOOLC3</v>
      </c>
      <c r="B366" s="4" t="str">
        <f t="shared" si="129"/>
        <v>UPS Reserves of Biomass - Oil crops - Reserve - Supply curve step 3</v>
      </c>
      <c r="C366" s="4" t="str">
        <f t="shared" si="130"/>
        <v>RSVBIOOLC</v>
      </c>
      <c r="D366" s="4" t="str">
        <f t="shared" si="131"/>
        <v>ACT_COST</v>
      </c>
      <c r="E366" s="4"/>
      <c r="F366" s="4">
        <v>2080</v>
      </c>
      <c r="G366" s="456">
        <f>'Key input_Biomass_MAgPIE'!E357</f>
        <v>0.1105628</v>
      </c>
      <c r="H366" s="456">
        <f>'Key input_Biomass_MAgPIE'!F357</f>
        <v>0.1105628</v>
      </c>
      <c r="I366" s="456">
        <f>'Key input_Biomass_MAgPIE'!G357</f>
        <v>0.1105628</v>
      </c>
      <c r="J366" s="456">
        <f>'Key input_Biomass_MAgPIE'!H357</f>
        <v>0.1105628</v>
      </c>
      <c r="K366" s="456">
        <f>'Key input_Biomass_MAgPIE'!I357</f>
        <v>0.1105628</v>
      </c>
      <c r="L366" s="456">
        <f>'Key input_Biomass_MAgPIE'!J357</f>
        <v>0.1105628</v>
      </c>
      <c r="M366" s="456">
        <f>'Key input_Biomass_MAgPIE'!K357</f>
        <v>0.1105628</v>
      </c>
      <c r="N366" s="456">
        <f>'Key input_Biomass_MAgPIE'!L357</f>
        <v>0.1105628</v>
      </c>
      <c r="O366" s="456">
        <f>'Key input_Biomass_MAgPIE'!M357</f>
        <v>0.1105628</v>
      </c>
      <c r="P366" s="456">
        <f>'Key input_Biomass_MAgPIE'!N357</f>
        <v>0.1105628</v>
      </c>
      <c r="Q366" s="456">
        <f>'Key input_Biomass_MAgPIE'!O357</f>
        <v>0.1105628</v>
      </c>
      <c r="R366" s="456">
        <f>'Key input_Biomass_MAgPIE'!P357</f>
        <v>0.1105628</v>
      </c>
      <c r="S366" s="456">
        <f>'Key input_Biomass_MAgPIE'!Q357</f>
        <v>0.1105628</v>
      </c>
      <c r="T366" s="456">
        <f>'Key input_Biomass_MAgPIE'!R357</f>
        <v>0.1105628</v>
      </c>
      <c r="U366" s="456">
        <f>'Key input_Biomass_MAgPIE'!S357</f>
        <v>0.1105628</v>
      </c>
      <c r="V366" s="456">
        <f>'Key input_Biomass_MAgPIE'!T357</f>
        <v>0.1105628</v>
      </c>
      <c r="W366" s="456">
        <f>'Key input_Biomass_MAgPIE'!U357</f>
        <v>0.1105628</v>
      </c>
      <c r="X366" s="456">
        <f>'Key input_Biomass_MAgPIE'!V357</f>
        <v>0.1105628</v>
      </c>
      <c r="Y366" s="456">
        <f>'Key input_Biomass_MAgPIE'!W357</f>
        <v>0.1105628</v>
      </c>
      <c r="Z366" s="456">
        <f>'Key input_Biomass_MAgPIE'!X357</f>
        <v>0.1105628</v>
      </c>
      <c r="AA366" s="456">
        <f>'Key input_Biomass_MAgPIE'!Y357</f>
        <v>0.1105628</v>
      </c>
      <c r="AB366" s="456">
        <f>'Key input_Biomass_MAgPIE'!Z357</f>
        <v>0.1105628</v>
      </c>
      <c r="AC366" s="456">
        <f>'Key input_Biomass_MAgPIE'!AA357</f>
        <v>0.1105628</v>
      </c>
      <c r="AD366" s="456">
        <f>'Key input_Biomass_MAgPIE'!AB357</f>
        <v>0.1105628</v>
      </c>
      <c r="AE366" s="456">
        <f>'Key input_Biomass_MAgPIE'!AC357</f>
        <v>0.1105628</v>
      </c>
      <c r="AF366" s="456">
        <f>'Key input_Biomass_MAgPIE'!AD357</f>
        <v>0.1105628</v>
      </c>
      <c r="AG366" s="456">
        <f>'Key input_Biomass_MAgPIE'!AE357</f>
        <v>0.1105628</v>
      </c>
      <c r="AH366" s="456">
        <f>'Key input_Biomass_MAgPIE'!AF357</f>
        <v>0.1105628</v>
      </c>
    </row>
    <row r="367" spans="1:34" ht="16.5" customHeight="1">
      <c r="A367" s="4" t="str">
        <f t="shared" si="132"/>
        <v>MIN-RSVBIOOLC3</v>
      </c>
      <c r="B367" s="4" t="str">
        <f t="shared" si="129"/>
        <v>UPS Reserves of Biomass - Oil crops - Reserve - Supply curve step 3</v>
      </c>
      <c r="C367" s="4" t="str">
        <f t="shared" si="130"/>
        <v>RSVBIOOLC</v>
      </c>
      <c r="D367" s="4" t="str">
        <f t="shared" si="131"/>
        <v>ACT_COST</v>
      </c>
      <c r="E367" s="4"/>
      <c r="F367" s="4">
        <v>2090</v>
      </c>
      <c r="G367" s="456">
        <f>'Key input_Biomass_MAgPIE'!E358</f>
        <v>0.1105628</v>
      </c>
      <c r="H367" s="456">
        <f>'Key input_Biomass_MAgPIE'!F358</f>
        <v>0.1105628</v>
      </c>
      <c r="I367" s="456">
        <f>'Key input_Biomass_MAgPIE'!G358</f>
        <v>0.1105628</v>
      </c>
      <c r="J367" s="456">
        <f>'Key input_Biomass_MAgPIE'!H358</f>
        <v>0.1105628</v>
      </c>
      <c r="K367" s="456">
        <f>'Key input_Biomass_MAgPIE'!I358</f>
        <v>0.1105628</v>
      </c>
      <c r="L367" s="456">
        <f>'Key input_Biomass_MAgPIE'!J358</f>
        <v>0.1105628</v>
      </c>
      <c r="M367" s="456">
        <f>'Key input_Biomass_MAgPIE'!K358</f>
        <v>0.1105628</v>
      </c>
      <c r="N367" s="456">
        <f>'Key input_Biomass_MAgPIE'!L358</f>
        <v>0.1105628</v>
      </c>
      <c r="O367" s="456">
        <f>'Key input_Biomass_MAgPIE'!M358</f>
        <v>0.1105628</v>
      </c>
      <c r="P367" s="456">
        <f>'Key input_Biomass_MAgPIE'!N358</f>
        <v>0.1105628</v>
      </c>
      <c r="Q367" s="456">
        <f>'Key input_Biomass_MAgPIE'!O358</f>
        <v>0.1105628</v>
      </c>
      <c r="R367" s="456">
        <f>'Key input_Biomass_MAgPIE'!P358</f>
        <v>0.1105628</v>
      </c>
      <c r="S367" s="456">
        <f>'Key input_Biomass_MAgPIE'!Q358</f>
        <v>0.1105628</v>
      </c>
      <c r="T367" s="456">
        <f>'Key input_Biomass_MAgPIE'!R358</f>
        <v>0.1105628</v>
      </c>
      <c r="U367" s="456">
        <f>'Key input_Biomass_MAgPIE'!S358</f>
        <v>0.1105628</v>
      </c>
      <c r="V367" s="456">
        <f>'Key input_Biomass_MAgPIE'!T358</f>
        <v>0.1105628</v>
      </c>
      <c r="W367" s="456">
        <f>'Key input_Biomass_MAgPIE'!U358</f>
        <v>0.1105628</v>
      </c>
      <c r="X367" s="456">
        <f>'Key input_Biomass_MAgPIE'!V358</f>
        <v>0.1105628</v>
      </c>
      <c r="Y367" s="456">
        <f>'Key input_Biomass_MAgPIE'!W358</f>
        <v>0.1105628</v>
      </c>
      <c r="Z367" s="456">
        <f>'Key input_Biomass_MAgPIE'!X358</f>
        <v>0.1105628</v>
      </c>
      <c r="AA367" s="456">
        <f>'Key input_Biomass_MAgPIE'!Y358</f>
        <v>0.1105628</v>
      </c>
      <c r="AB367" s="456">
        <f>'Key input_Biomass_MAgPIE'!Z358</f>
        <v>0.1105628</v>
      </c>
      <c r="AC367" s="456">
        <f>'Key input_Biomass_MAgPIE'!AA358</f>
        <v>0.1105628</v>
      </c>
      <c r="AD367" s="456">
        <f>'Key input_Biomass_MAgPIE'!AB358</f>
        <v>0.1105628</v>
      </c>
      <c r="AE367" s="456">
        <f>'Key input_Biomass_MAgPIE'!AC358</f>
        <v>0.1105628</v>
      </c>
      <c r="AF367" s="456">
        <f>'Key input_Biomass_MAgPIE'!AD358</f>
        <v>0.1105628</v>
      </c>
      <c r="AG367" s="456">
        <f>'Key input_Biomass_MAgPIE'!AE358</f>
        <v>0.1105628</v>
      </c>
      <c r="AH367" s="456">
        <f>'Key input_Biomass_MAgPIE'!AF358</f>
        <v>0.1105628</v>
      </c>
    </row>
    <row r="368" spans="1:34" ht="16.5" customHeight="1" thickBot="1">
      <c r="A368" s="454" t="str">
        <f t="shared" si="132"/>
        <v>MIN-RSVBIOOLC3</v>
      </c>
      <c r="B368" s="454" t="str">
        <f t="shared" si="129"/>
        <v>UPS Reserves of Biomass - Oil crops - Reserve - Supply curve step 3</v>
      </c>
      <c r="C368" s="454" t="str">
        <f t="shared" si="130"/>
        <v>RSVBIOOLC</v>
      </c>
      <c r="D368" s="454" t="str">
        <f t="shared" si="131"/>
        <v>ACT_COST</v>
      </c>
      <c r="E368" s="454"/>
      <c r="F368" s="454">
        <v>2100</v>
      </c>
      <c r="G368" s="455">
        <f>'Key input_Biomass_MAgPIE'!E359</f>
        <v>0.1105628</v>
      </c>
      <c r="H368" s="455">
        <f>'Key input_Biomass_MAgPIE'!F359</f>
        <v>0.1105628</v>
      </c>
      <c r="I368" s="455">
        <f>'Key input_Biomass_MAgPIE'!G359</f>
        <v>0.1105628</v>
      </c>
      <c r="J368" s="455">
        <f>'Key input_Biomass_MAgPIE'!H359</f>
        <v>0.1105628</v>
      </c>
      <c r="K368" s="455">
        <f>'Key input_Biomass_MAgPIE'!I359</f>
        <v>0.1105628</v>
      </c>
      <c r="L368" s="455">
        <f>'Key input_Biomass_MAgPIE'!J359</f>
        <v>0.1105628</v>
      </c>
      <c r="M368" s="455">
        <f>'Key input_Biomass_MAgPIE'!K359</f>
        <v>0.1105628</v>
      </c>
      <c r="N368" s="455">
        <f>'Key input_Biomass_MAgPIE'!L359</f>
        <v>0.1105628</v>
      </c>
      <c r="O368" s="455">
        <f>'Key input_Biomass_MAgPIE'!M359</f>
        <v>0.1105628</v>
      </c>
      <c r="P368" s="455">
        <f>'Key input_Biomass_MAgPIE'!N359</f>
        <v>0.1105628</v>
      </c>
      <c r="Q368" s="455">
        <f>'Key input_Biomass_MAgPIE'!O359</f>
        <v>0.1105628</v>
      </c>
      <c r="R368" s="455">
        <f>'Key input_Biomass_MAgPIE'!P359</f>
        <v>0.1105628</v>
      </c>
      <c r="S368" s="455">
        <f>'Key input_Biomass_MAgPIE'!Q359</f>
        <v>0.1105628</v>
      </c>
      <c r="T368" s="455">
        <f>'Key input_Biomass_MAgPIE'!R359</f>
        <v>0.1105628</v>
      </c>
      <c r="U368" s="455">
        <f>'Key input_Biomass_MAgPIE'!S359</f>
        <v>0.1105628</v>
      </c>
      <c r="V368" s="455">
        <f>'Key input_Biomass_MAgPIE'!T359</f>
        <v>0.1105628</v>
      </c>
      <c r="W368" s="455">
        <f>'Key input_Biomass_MAgPIE'!U359</f>
        <v>0.1105628</v>
      </c>
      <c r="X368" s="455">
        <f>'Key input_Biomass_MAgPIE'!V359</f>
        <v>0.1105628</v>
      </c>
      <c r="Y368" s="455">
        <f>'Key input_Biomass_MAgPIE'!W359</f>
        <v>0.1105628</v>
      </c>
      <c r="Z368" s="455">
        <f>'Key input_Biomass_MAgPIE'!X359</f>
        <v>0.1105628</v>
      </c>
      <c r="AA368" s="455">
        <f>'Key input_Biomass_MAgPIE'!Y359</f>
        <v>0.1105628</v>
      </c>
      <c r="AB368" s="455">
        <f>'Key input_Biomass_MAgPIE'!Z359</f>
        <v>0.1105628</v>
      </c>
      <c r="AC368" s="455">
        <f>'Key input_Biomass_MAgPIE'!AA359</f>
        <v>0.1105628</v>
      </c>
      <c r="AD368" s="455">
        <f>'Key input_Biomass_MAgPIE'!AB359</f>
        <v>0.1105628</v>
      </c>
      <c r="AE368" s="455">
        <f>'Key input_Biomass_MAgPIE'!AC359</f>
        <v>0.1105628</v>
      </c>
      <c r="AF368" s="455">
        <f>'Key input_Biomass_MAgPIE'!AD359</f>
        <v>0.1105628</v>
      </c>
      <c r="AG368" s="455">
        <f>'Key input_Biomass_MAgPIE'!AE359</f>
        <v>0.1105628</v>
      </c>
      <c r="AH368" s="455">
        <f>'Key input_Biomass_MAgPIE'!AF359</f>
        <v>0.1105628</v>
      </c>
    </row>
    <row r="369" spans="1:34">
      <c r="A369" s="4" t="str">
        <f>AK23</f>
        <v>MIN-RSVBIOCRL1</v>
      </c>
      <c r="B369" s="4" t="str">
        <f>AL23</f>
        <v>UPS Reserves of Biomass - Cereals - Reserve - Supply curve step 1</v>
      </c>
      <c r="C369" s="4" t="str">
        <f>Commodities!$C$19</f>
        <v>RSVBIOCRL</v>
      </c>
      <c r="D369" s="4" t="s">
        <v>675</v>
      </c>
      <c r="E369" s="4"/>
      <c r="F369" s="4">
        <v>2019</v>
      </c>
      <c r="G369" s="258">
        <f>'Key input_Biomass_MAgPIE'!E360</f>
        <v>1.105628E-2</v>
      </c>
      <c r="H369" s="258">
        <f>'Key input_Biomass_MAgPIE'!F360</f>
        <v>1.105628E-2</v>
      </c>
      <c r="I369" s="258">
        <f>'Key input_Biomass_MAgPIE'!G360</f>
        <v>1.105628E-2</v>
      </c>
      <c r="J369" s="258">
        <f>'Key input_Biomass_MAgPIE'!H360</f>
        <v>1.105628E-2</v>
      </c>
      <c r="K369" s="258">
        <f>'Key input_Biomass_MAgPIE'!I360</f>
        <v>1.105628E-2</v>
      </c>
      <c r="L369" s="258">
        <f>'Key input_Biomass_MAgPIE'!J360</f>
        <v>1.105628E-2</v>
      </c>
      <c r="M369" s="258">
        <f>'Key input_Biomass_MAgPIE'!K360</f>
        <v>1.105628E-2</v>
      </c>
      <c r="N369" s="258">
        <f>'Key input_Biomass_MAgPIE'!L360</f>
        <v>1.105628E-2</v>
      </c>
      <c r="O369" s="258">
        <f>'Key input_Biomass_MAgPIE'!M360</f>
        <v>1.105628E-2</v>
      </c>
      <c r="P369" s="258">
        <f>'Key input_Biomass_MAgPIE'!N360</f>
        <v>1.105628E-2</v>
      </c>
      <c r="Q369" s="258">
        <f>'Key input_Biomass_MAgPIE'!O360</f>
        <v>1.105628E-2</v>
      </c>
      <c r="R369" s="258">
        <f>'Key input_Biomass_MAgPIE'!P360</f>
        <v>1.105628E-2</v>
      </c>
      <c r="S369" s="258">
        <f>'Key input_Biomass_MAgPIE'!Q360</f>
        <v>1.105628E-2</v>
      </c>
      <c r="T369" s="258">
        <f>'Key input_Biomass_MAgPIE'!R360</f>
        <v>1.105628E-2</v>
      </c>
      <c r="U369" s="258">
        <f>'Key input_Biomass_MAgPIE'!S360</f>
        <v>1.105628E-2</v>
      </c>
      <c r="V369" s="258">
        <f>'Key input_Biomass_MAgPIE'!T360</f>
        <v>1.105628E-2</v>
      </c>
      <c r="W369" s="258">
        <f>'Key input_Biomass_MAgPIE'!U360</f>
        <v>1.105628E-2</v>
      </c>
      <c r="X369" s="258">
        <f>'Key input_Biomass_MAgPIE'!V360</f>
        <v>1.105628E-2</v>
      </c>
      <c r="Y369" s="258">
        <f>'Key input_Biomass_MAgPIE'!W360</f>
        <v>1.105628E-2</v>
      </c>
      <c r="Z369" s="258">
        <f>'Key input_Biomass_MAgPIE'!X360</f>
        <v>1.105628E-2</v>
      </c>
      <c r="AA369" s="258">
        <f>'Key input_Biomass_MAgPIE'!Y360</f>
        <v>1.105628E-2</v>
      </c>
      <c r="AB369" s="258">
        <f>'Key input_Biomass_MAgPIE'!Z360</f>
        <v>1.105628E-2</v>
      </c>
      <c r="AC369" s="258">
        <f>'Key input_Biomass_MAgPIE'!AA360</f>
        <v>1.105628E-2</v>
      </c>
      <c r="AD369" s="258">
        <f>'Key input_Biomass_MAgPIE'!AB360</f>
        <v>1.105628E-2</v>
      </c>
      <c r="AE369" s="258">
        <f>'Key input_Biomass_MAgPIE'!AC360</f>
        <v>1.105628E-2</v>
      </c>
      <c r="AF369" s="258">
        <f>'Key input_Biomass_MAgPIE'!AD360</f>
        <v>1.105628E-2</v>
      </c>
      <c r="AG369" s="258">
        <f>'Key input_Biomass_MAgPIE'!AE360</f>
        <v>1.105628E-2</v>
      </c>
      <c r="AH369" s="258">
        <f>'Key input_Biomass_MAgPIE'!AF360</f>
        <v>1.105628E-2</v>
      </c>
    </row>
    <row r="370" spans="1:34">
      <c r="A370" s="4" t="str">
        <f>A369</f>
        <v>MIN-RSVBIOCRL1</v>
      </c>
      <c r="B370" s="4" t="str">
        <f t="shared" ref="B370:B381" si="133">B369</f>
        <v>UPS Reserves of Biomass - Cereals - Reserve - Supply curve step 1</v>
      </c>
      <c r="C370" s="4" t="str">
        <f t="shared" ref="C370:C381" si="134">C369</f>
        <v>RSVBIOCRL</v>
      </c>
      <c r="D370" s="4" t="str">
        <f t="shared" ref="D370:D381" si="135">D369</f>
        <v>ACT_COST</v>
      </c>
      <c r="E370" s="4"/>
      <c r="F370" s="4">
        <v>2020</v>
      </c>
      <c r="G370" s="456">
        <f>'Key input_Biomass_MAgPIE'!E361</f>
        <v>1.105628E-2</v>
      </c>
      <c r="H370" s="456">
        <f>'Key input_Biomass_MAgPIE'!F361</f>
        <v>1.105628E-2</v>
      </c>
      <c r="I370" s="456">
        <f>'Key input_Biomass_MAgPIE'!G361</f>
        <v>1.105628E-2</v>
      </c>
      <c r="J370" s="456">
        <f>'Key input_Biomass_MAgPIE'!H361</f>
        <v>1.105628E-2</v>
      </c>
      <c r="K370" s="456">
        <f>'Key input_Biomass_MAgPIE'!I361</f>
        <v>1.105628E-2</v>
      </c>
      <c r="L370" s="456">
        <f>'Key input_Biomass_MAgPIE'!J361</f>
        <v>1.105628E-2</v>
      </c>
      <c r="M370" s="456">
        <f>'Key input_Biomass_MAgPIE'!K361</f>
        <v>1.105628E-2</v>
      </c>
      <c r="N370" s="456">
        <f>'Key input_Biomass_MAgPIE'!L361</f>
        <v>1.105628E-2</v>
      </c>
      <c r="O370" s="456">
        <f>'Key input_Biomass_MAgPIE'!M361</f>
        <v>1.105628E-2</v>
      </c>
      <c r="P370" s="456">
        <f>'Key input_Biomass_MAgPIE'!N361</f>
        <v>1.105628E-2</v>
      </c>
      <c r="Q370" s="456">
        <f>'Key input_Biomass_MAgPIE'!O361</f>
        <v>1.105628E-2</v>
      </c>
      <c r="R370" s="456">
        <f>'Key input_Biomass_MAgPIE'!P361</f>
        <v>1.105628E-2</v>
      </c>
      <c r="S370" s="456">
        <f>'Key input_Biomass_MAgPIE'!Q361</f>
        <v>1.105628E-2</v>
      </c>
      <c r="T370" s="456">
        <f>'Key input_Biomass_MAgPIE'!R361</f>
        <v>1.105628E-2</v>
      </c>
      <c r="U370" s="456">
        <f>'Key input_Biomass_MAgPIE'!S361</f>
        <v>1.105628E-2</v>
      </c>
      <c r="V370" s="456">
        <f>'Key input_Biomass_MAgPIE'!T361</f>
        <v>1.105628E-2</v>
      </c>
      <c r="W370" s="456">
        <f>'Key input_Biomass_MAgPIE'!U361</f>
        <v>1.105628E-2</v>
      </c>
      <c r="X370" s="456">
        <f>'Key input_Biomass_MAgPIE'!V361</f>
        <v>1.105628E-2</v>
      </c>
      <c r="Y370" s="456">
        <f>'Key input_Biomass_MAgPIE'!W361</f>
        <v>1.105628E-2</v>
      </c>
      <c r="Z370" s="456">
        <f>'Key input_Biomass_MAgPIE'!X361</f>
        <v>1.105628E-2</v>
      </c>
      <c r="AA370" s="456">
        <f>'Key input_Biomass_MAgPIE'!Y361</f>
        <v>1.105628E-2</v>
      </c>
      <c r="AB370" s="456">
        <f>'Key input_Biomass_MAgPIE'!Z361</f>
        <v>1.105628E-2</v>
      </c>
      <c r="AC370" s="456">
        <f>'Key input_Biomass_MAgPIE'!AA361</f>
        <v>1.105628E-2</v>
      </c>
      <c r="AD370" s="456">
        <f>'Key input_Biomass_MAgPIE'!AB361</f>
        <v>1.105628E-2</v>
      </c>
      <c r="AE370" s="456">
        <f>'Key input_Biomass_MAgPIE'!AC361</f>
        <v>1.105628E-2</v>
      </c>
      <c r="AF370" s="456">
        <f>'Key input_Biomass_MAgPIE'!AD361</f>
        <v>1.105628E-2</v>
      </c>
      <c r="AG370" s="456">
        <f>'Key input_Biomass_MAgPIE'!AE361</f>
        <v>1.105628E-2</v>
      </c>
      <c r="AH370" s="456">
        <f>'Key input_Biomass_MAgPIE'!AF361</f>
        <v>1.105628E-2</v>
      </c>
    </row>
    <row r="371" spans="1:34">
      <c r="A371" s="4" t="str">
        <f t="shared" ref="A371:A381" si="136">A370</f>
        <v>MIN-RSVBIOCRL1</v>
      </c>
      <c r="B371" s="4" t="str">
        <f t="shared" si="133"/>
        <v>UPS Reserves of Biomass - Cereals - Reserve - Supply curve step 1</v>
      </c>
      <c r="C371" s="4" t="str">
        <f t="shared" si="134"/>
        <v>RSVBIOCRL</v>
      </c>
      <c r="D371" s="4" t="str">
        <f t="shared" si="135"/>
        <v>ACT_COST</v>
      </c>
      <c r="E371" s="4"/>
      <c r="F371" s="4">
        <v>2025</v>
      </c>
      <c r="G371" s="456">
        <f>'Key input_Biomass_MAgPIE'!E362</f>
        <v>1.105628E-2</v>
      </c>
      <c r="H371" s="456">
        <f>'Key input_Biomass_MAgPIE'!F362</f>
        <v>1.105628E-2</v>
      </c>
      <c r="I371" s="456">
        <f>'Key input_Biomass_MAgPIE'!G362</f>
        <v>1.105628E-2</v>
      </c>
      <c r="J371" s="456">
        <f>'Key input_Biomass_MAgPIE'!H362</f>
        <v>1.105628E-2</v>
      </c>
      <c r="K371" s="456">
        <f>'Key input_Biomass_MAgPIE'!I362</f>
        <v>1.105628E-2</v>
      </c>
      <c r="L371" s="456">
        <f>'Key input_Biomass_MAgPIE'!J362</f>
        <v>1.105628E-2</v>
      </c>
      <c r="M371" s="456">
        <f>'Key input_Biomass_MAgPIE'!K362</f>
        <v>1.105628E-2</v>
      </c>
      <c r="N371" s="456">
        <f>'Key input_Biomass_MAgPIE'!L362</f>
        <v>1.105628E-2</v>
      </c>
      <c r="O371" s="456">
        <f>'Key input_Biomass_MAgPIE'!M362</f>
        <v>1.105628E-2</v>
      </c>
      <c r="P371" s="456">
        <f>'Key input_Biomass_MAgPIE'!N362</f>
        <v>1.105628E-2</v>
      </c>
      <c r="Q371" s="456">
        <f>'Key input_Biomass_MAgPIE'!O362</f>
        <v>1.105628E-2</v>
      </c>
      <c r="R371" s="456">
        <f>'Key input_Biomass_MAgPIE'!P362</f>
        <v>1.105628E-2</v>
      </c>
      <c r="S371" s="456">
        <f>'Key input_Biomass_MAgPIE'!Q362</f>
        <v>1.105628E-2</v>
      </c>
      <c r="T371" s="456">
        <f>'Key input_Biomass_MAgPIE'!R362</f>
        <v>1.105628E-2</v>
      </c>
      <c r="U371" s="456">
        <f>'Key input_Biomass_MAgPIE'!S362</f>
        <v>1.105628E-2</v>
      </c>
      <c r="V371" s="456">
        <f>'Key input_Biomass_MAgPIE'!T362</f>
        <v>1.105628E-2</v>
      </c>
      <c r="W371" s="456">
        <f>'Key input_Biomass_MAgPIE'!U362</f>
        <v>1.105628E-2</v>
      </c>
      <c r="X371" s="456">
        <f>'Key input_Biomass_MAgPIE'!V362</f>
        <v>1.105628E-2</v>
      </c>
      <c r="Y371" s="456">
        <f>'Key input_Biomass_MAgPIE'!W362</f>
        <v>1.105628E-2</v>
      </c>
      <c r="Z371" s="456">
        <f>'Key input_Biomass_MAgPIE'!X362</f>
        <v>1.105628E-2</v>
      </c>
      <c r="AA371" s="456">
        <f>'Key input_Biomass_MAgPIE'!Y362</f>
        <v>1.105628E-2</v>
      </c>
      <c r="AB371" s="456">
        <f>'Key input_Biomass_MAgPIE'!Z362</f>
        <v>1.105628E-2</v>
      </c>
      <c r="AC371" s="456">
        <f>'Key input_Biomass_MAgPIE'!AA362</f>
        <v>1.105628E-2</v>
      </c>
      <c r="AD371" s="456">
        <f>'Key input_Biomass_MAgPIE'!AB362</f>
        <v>1.105628E-2</v>
      </c>
      <c r="AE371" s="456">
        <f>'Key input_Biomass_MAgPIE'!AC362</f>
        <v>1.105628E-2</v>
      </c>
      <c r="AF371" s="456">
        <f>'Key input_Biomass_MAgPIE'!AD362</f>
        <v>1.105628E-2</v>
      </c>
      <c r="AG371" s="456">
        <f>'Key input_Biomass_MAgPIE'!AE362</f>
        <v>1.105628E-2</v>
      </c>
      <c r="AH371" s="456">
        <f>'Key input_Biomass_MAgPIE'!AF362</f>
        <v>1.105628E-2</v>
      </c>
    </row>
    <row r="372" spans="1:34">
      <c r="A372" s="4" t="str">
        <f t="shared" si="136"/>
        <v>MIN-RSVBIOCRL1</v>
      </c>
      <c r="B372" s="4" t="str">
        <f t="shared" si="133"/>
        <v>UPS Reserves of Biomass - Cereals - Reserve - Supply curve step 1</v>
      </c>
      <c r="C372" s="4" t="str">
        <f t="shared" si="134"/>
        <v>RSVBIOCRL</v>
      </c>
      <c r="D372" s="4" t="str">
        <f t="shared" si="135"/>
        <v>ACT_COST</v>
      </c>
      <c r="E372" s="4"/>
      <c r="F372" s="4">
        <v>2030</v>
      </c>
      <c r="G372" s="456">
        <f>'Key input_Biomass_MAgPIE'!E363</f>
        <v>1.105628E-2</v>
      </c>
      <c r="H372" s="456">
        <f>'Key input_Biomass_MAgPIE'!F363</f>
        <v>1.105628E-2</v>
      </c>
      <c r="I372" s="456">
        <f>'Key input_Biomass_MAgPIE'!G363</f>
        <v>1.105628E-2</v>
      </c>
      <c r="J372" s="456">
        <f>'Key input_Biomass_MAgPIE'!H363</f>
        <v>1.105628E-2</v>
      </c>
      <c r="K372" s="456">
        <f>'Key input_Biomass_MAgPIE'!I363</f>
        <v>1.105628E-2</v>
      </c>
      <c r="L372" s="456">
        <f>'Key input_Biomass_MAgPIE'!J363</f>
        <v>1.105628E-2</v>
      </c>
      <c r="M372" s="456">
        <f>'Key input_Biomass_MAgPIE'!K363</f>
        <v>1.105628E-2</v>
      </c>
      <c r="N372" s="456">
        <f>'Key input_Biomass_MAgPIE'!L363</f>
        <v>1.105628E-2</v>
      </c>
      <c r="O372" s="456">
        <f>'Key input_Biomass_MAgPIE'!M363</f>
        <v>1.105628E-2</v>
      </c>
      <c r="P372" s="456">
        <f>'Key input_Biomass_MAgPIE'!N363</f>
        <v>1.105628E-2</v>
      </c>
      <c r="Q372" s="456">
        <f>'Key input_Biomass_MAgPIE'!O363</f>
        <v>1.105628E-2</v>
      </c>
      <c r="R372" s="456">
        <f>'Key input_Biomass_MAgPIE'!P363</f>
        <v>1.105628E-2</v>
      </c>
      <c r="S372" s="456">
        <f>'Key input_Biomass_MAgPIE'!Q363</f>
        <v>1.105628E-2</v>
      </c>
      <c r="T372" s="456">
        <f>'Key input_Biomass_MAgPIE'!R363</f>
        <v>1.105628E-2</v>
      </c>
      <c r="U372" s="456">
        <f>'Key input_Biomass_MAgPIE'!S363</f>
        <v>1.105628E-2</v>
      </c>
      <c r="V372" s="456">
        <f>'Key input_Biomass_MAgPIE'!T363</f>
        <v>1.105628E-2</v>
      </c>
      <c r="W372" s="456">
        <f>'Key input_Biomass_MAgPIE'!U363</f>
        <v>1.105628E-2</v>
      </c>
      <c r="X372" s="456">
        <f>'Key input_Biomass_MAgPIE'!V363</f>
        <v>1.105628E-2</v>
      </c>
      <c r="Y372" s="456">
        <f>'Key input_Biomass_MAgPIE'!W363</f>
        <v>1.105628E-2</v>
      </c>
      <c r="Z372" s="456">
        <f>'Key input_Biomass_MAgPIE'!X363</f>
        <v>1.105628E-2</v>
      </c>
      <c r="AA372" s="456">
        <f>'Key input_Biomass_MAgPIE'!Y363</f>
        <v>1.105628E-2</v>
      </c>
      <c r="AB372" s="456">
        <f>'Key input_Biomass_MAgPIE'!Z363</f>
        <v>1.105628E-2</v>
      </c>
      <c r="AC372" s="456">
        <f>'Key input_Biomass_MAgPIE'!AA363</f>
        <v>1.105628E-2</v>
      </c>
      <c r="AD372" s="456">
        <f>'Key input_Biomass_MAgPIE'!AB363</f>
        <v>1.105628E-2</v>
      </c>
      <c r="AE372" s="456">
        <f>'Key input_Biomass_MAgPIE'!AC363</f>
        <v>1.105628E-2</v>
      </c>
      <c r="AF372" s="456">
        <f>'Key input_Biomass_MAgPIE'!AD363</f>
        <v>1.105628E-2</v>
      </c>
      <c r="AG372" s="456">
        <f>'Key input_Biomass_MAgPIE'!AE363</f>
        <v>1.105628E-2</v>
      </c>
      <c r="AH372" s="456">
        <f>'Key input_Biomass_MAgPIE'!AF363</f>
        <v>1.105628E-2</v>
      </c>
    </row>
    <row r="373" spans="1:34">
      <c r="A373" s="4" t="str">
        <f t="shared" si="136"/>
        <v>MIN-RSVBIOCRL1</v>
      </c>
      <c r="B373" s="4" t="str">
        <f t="shared" si="133"/>
        <v>UPS Reserves of Biomass - Cereals - Reserve - Supply curve step 1</v>
      </c>
      <c r="C373" s="4" t="str">
        <f t="shared" si="134"/>
        <v>RSVBIOCRL</v>
      </c>
      <c r="D373" s="4" t="str">
        <f t="shared" si="135"/>
        <v>ACT_COST</v>
      </c>
      <c r="E373" s="4"/>
      <c r="F373" s="4">
        <v>2035</v>
      </c>
      <c r="G373" s="456">
        <f>'Key input_Biomass_MAgPIE'!E364</f>
        <v>1.105628E-2</v>
      </c>
      <c r="H373" s="456">
        <f>'Key input_Biomass_MAgPIE'!F364</f>
        <v>1.105628E-2</v>
      </c>
      <c r="I373" s="456">
        <f>'Key input_Biomass_MAgPIE'!G364</f>
        <v>1.105628E-2</v>
      </c>
      <c r="J373" s="456">
        <f>'Key input_Biomass_MAgPIE'!H364</f>
        <v>1.105628E-2</v>
      </c>
      <c r="K373" s="456">
        <f>'Key input_Biomass_MAgPIE'!I364</f>
        <v>1.105628E-2</v>
      </c>
      <c r="L373" s="456">
        <f>'Key input_Biomass_MAgPIE'!J364</f>
        <v>1.105628E-2</v>
      </c>
      <c r="M373" s="456">
        <f>'Key input_Biomass_MAgPIE'!K364</f>
        <v>1.105628E-2</v>
      </c>
      <c r="N373" s="456">
        <f>'Key input_Biomass_MAgPIE'!L364</f>
        <v>1.105628E-2</v>
      </c>
      <c r="O373" s="456">
        <f>'Key input_Biomass_MAgPIE'!M364</f>
        <v>1.105628E-2</v>
      </c>
      <c r="P373" s="456">
        <f>'Key input_Biomass_MAgPIE'!N364</f>
        <v>1.105628E-2</v>
      </c>
      <c r="Q373" s="456">
        <f>'Key input_Biomass_MAgPIE'!O364</f>
        <v>1.105628E-2</v>
      </c>
      <c r="R373" s="456">
        <f>'Key input_Biomass_MAgPIE'!P364</f>
        <v>1.105628E-2</v>
      </c>
      <c r="S373" s="456">
        <f>'Key input_Biomass_MAgPIE'!Q364</f>
        <v>1.105628E-2</v>
      </c>
      <c r="T373" s="456">
        <f>'Key input_Biomass_MAgPIE'!R364</f>
        <v>1.105628E-2</v>
      </c>
      <c r="U373" s="456">
        <f>'Key input_Biomass_MAgPIE'!S364</f>
        <v>1.105628E-2</v>
      </c>
      <c r="V373" s="456">
        <f>'Key input_Biomass_MAgPIE'!T364</f>
        <v>1.105628E-2</v>
      </c>
      <c r="W373" s="456">
        <f>'Key input_Biomass_MAgPIE'!U364</f>
        <v>1.105628E-2</v>
      </c>
      <c r="X373" s="456">
        <f>'Key input_Biomass_MAgPIE'!V364</f>
        <v>1.105628E-2</v>
      </c>
      <c r="Y373" s="456">
        <f>'Key input_Biomass_MAgPIE'!W364</f>
        <v>1.105628E-2</v>
      </c>
      <c r="Z373" s="456">
        <f>'Key input_Biomass_MAgPIE'!X364</f>
        <v>1.105628E-2</v>
      </c>
      <c r="AA373" s="456">
        <f>'Key input_Biomass_MAgPIE'!Y364</f>
        <v>1.105628E-2</v>
      </c>
      <c r="AB373" s="456">
        <f>'Key input_Biomass_MAgPIE'!Z364</f>
        <v>1.105628E-2</v>
      </c>
      <c r="AC373" s="456">
        <f>'Key input_Biomass_MAgPIE'!AA364</f>
        <v>1.105628E-2</v>
      </c>
      <c r="AD373" s="456">
        <f>'Key input_Biomass_MAgPIE'!AB364</f>
        <v>1.105628E-2</v>
      </c>
      <c r="AE373" s="456">
        <f>'Key input_Biomass_MAgPIE'!AC364</f>
        <v>1.105628E-2</v>
      </c>
      <c r="AF373" s="456">
        <f>'Key input_Biomass_MAgPIE'!AD364</f>
        <v>1.105628E-2</v>
      </c>
      <c r="AG373" s="456">
        <f>'Key input_Biomass_MAgPIE'!AE364</f>
        <v>1.105628E-2</v>
      </c>
      <c r="AH373" s="456">
        <f>'Key input_Biomass_MAgPIE'!AF364</f>
        <v>1.105628E-2</v>
      </c>
    </row>
    <row r="374" spans="1:34">
      <c r="A374" s="4" t="str">
        <f t="shared" si="136"/>
        <v>MIN-RSVBIOCRL1</v>
      </c>
      <c r="B374" s="4" t="str">
        <f t="shared" si="133"/>
        <v>UPS Reserves of Biomass - Cereals - Reserve - Supply curve step 1</v>
      </c>
      <c r="C374" s="4" t="str">
        <f t="shared" si="134"/>
        <v>RSVBIOCRL</v>
      </c>
      <c r="D374" s="4" t="str">
        <f t="shared" si="135"/>
        <v>ACT_COST</v>
      </c>
      <c r="E374" s="4"/>
      <c r="F374" s="4">
        <v>2040</v>
      </c>
      <c r="G374" s="456">
        <f>'Key input_Biomass_MAgPIE'!E365</f>
        <v>1.105628E-2</v>
      </c>
      <c r="H374" s="456">
        <f>'Key input_Biomass_MAgPIE'!F365</f>
        <v>1.105628E-2</v>
      </c>
      <c r="I374" s="456">
        <f>'Key input_Biomass_MAgPIE'!G365</f>
        <v>1.105628E-2</v>
      </c>
      <c r="J374" s="456">
        <f>'Key input_Biomass_MAgPIE'!H365</f>
        <v>1.105628E-2</v>
      </c>
      <c r="K374" s="456">
        <f>'Key input_Biomass_MAgPIE'!I365</f>
        <v>1.105628E-2</v>
      </c>
      <c r="L374" s="456">
        <f>'Key input_Biomass_MAgPIE'!J365</f>
        <v>1.105628E-2</v>
      </c>
      <c r="M374" s="456">
        <f>'Key input_Biomass_MAgPIE'!K365</f>
        <v>1.105628E-2</v>
      </c>
      <c r="N374" s="456">
        <f>'Key input_Biomass_MAgPIE'!L365</f>
        <v>1.105628E-2</v>
      </c>
      <c r="O374" s="456">
        <f>'Key input_Biomass_MAgPIE'!M365</f>
        <v>1.105628E-2</v>
      </c>
      <c r="P374" s="456">
        <f>'Key input_Biomass_MAgPIE'!N365</f>
        <v>1.105628E-2</v>
      </c>
      <c r="Q374" s="456">
        <f>'Key input_Biomass_MAgPIE'!O365</f>
        <v>1.105628E-2</v>
      </c>
      <c r="R374" s="456">
        <f>'Key input_Biomass_MAgPIE'!P365</f>
        <v>1.105628E-2</v>
      </c>
      <c r="S374" s="456">
        <f>'Key input_Biomass_MAgPIE'!Q365</f>
        <v>1.105628E-2</v>
      </c>
      <c r="T374" s="456">
        <f>'Key input_Biomass_MAgPIE'!R365</f>
        <v>1.105628E-2</v>
      </c>
      <c r="U374" s="456">
        <f>'Key input_Biomass_MAgPIE'!S365</f>
        <v>1.105628E-2</v>
      </c>
      <c r="V374" s="456">
        <f>'Key input_Biomass_MAgPIE'!T365</f>
        <v>1.105628E-2</v>
      </c>
      <c r="W374" s="456">
        <f>'Key input_Biomass_MAgPIE'!U365</f>
        <v>1.105628E-2</v>
      </c>
      <c r="X374" s="456">
        <f>'Key input_Biomass_MAgPIE'!V365</f>
        <v>1.105628E-2</v>
      </c>
      <c r="Y374" s="456">
        <f>'Key input_Biomass_MAgPIE'!W365</f>
        <v>1.105628E-2</v>
      </c>
      <c r="Z374" s="456">
        <f>'Key input_Biomass_MAgPIE'!X365</f>
        <v>1.105628E-2</v>
      </c>
      <c r="AA374" s="456">
        <f>'Key input_Biomass_MAgPIE'!Y365</f>
        <v>1.105628E-2</v>
      </c>
      <c r="AB374" s="456">
        <f>'Key input_Biomass_MAgPIE'!Z365</f>
        <v>1.105628E-2</v>
      </c>
      <c r="AC374" s="456">
        <f>'Key input_Biomass_MAgPIE'!AA365</f>
        <v>1.105628E-2</v>
      </c>
      <c r="AD374" s="456">
        <f>'Key input_Biomass_MAgPIE'!AB365</f>
        <v>1.105628E-2</v>
      </c>
      <c r="AE374" s="456">
        <f>'Key input_Biomass_MAgPIE'!AC365</f>
        <v>1.105628E-2</v>
      </c>
      <c r="AF374" s="456">
        <f>'Key input_Biomass_MAgPIE'!AD365</f>
        <v>1.105628E-2</v>
      </c>
      <c r="AG374" s="456">
        <f>'Key input_Biomass_MAgPIE'!AE365</f>
        <v>1.105628E-2</v>
      </c>
      <c r="AH374" s="456">
        <f>'Key input_Biomass_MAgPIE'!AF365</f>
        <v>1.105628E-2</v>
      </c>
    </row>
    <row r="375" spans="1:34">
      <c r="A375" s="4" t="str">
        <f t="shared" si="136"/>
        <v>MIN-RSVBIOCRL1</v>
      </c>
      <c r="B375" s="4" t="str">
        <f t="shared" si="133"/>
        <v>UPS Reserves of Biomass - Cereals - Reserve - Supply curve step 1</v>
      </c>
      <c r="C375" s="4" t="str">
        <f t="shared" si="134"/>
        <v>RSVBIOCRL</v>
      </c>
      <c r="D375" s="4" t="str">
        <f t="shared" si="135"/>
        <v>ACT_COST</v>
      </c>
      <c r="E375" s="4"/>
      <c r="F375" s="4">
        <v>2045</v>
      </c>
      <c r="G375" s="456">
        <f>'Key input_Biomass_MAgPIE'!E366</f>
        <v>1.105628E-2</v>
      </c>
      <c r="H375" s="456">
        <f>'Key input_Biomass_MAgPIE'!F366</f>
        <v>1.105628E-2</v>
      </c>
      <c r="I375" s="456">
        <f>'Key input_Biomass_MAgPIE'!G366</f>
        <v>1.105628E-2</v>
      </c>
      <c r="J375" s="456">
        <f>'Key input_Biomass_MAgPIE'!H366</f>
        <v>1.105628E-2</v>
      </c>
      <c r="K375" s="456">
        <f>'Key input_Biomass_MAgPIE'!I366</f>
        <v>1.105628E-2</v>
      </c>
      <c r="L375" s="456">
        <f>'Key input_Biomass_MAgPIE'!J366</f>
        <v>1.105628E-2</v>
      </c>
      <c r="M375" s="456">
        <f>'Key input_Biomass_MAgPIE'!K366</f>
        <v>1.105628E-2</v>
      </c>
      <c r="N375" s="456">
        <f>'Key input_Biomass_MAgPIE'!L366</f>
        <v>1.105628E-2</v>
      </c>
      <c r="O375" s="456">
        <f>'Key input_Biomass_MAgPIE'!M366</f>
        <v>1.105628E-2</v>
      </c>
      <c r="P375" s="456">
        <f>'Key input_Biomass_MAgPIE'!N366</f>
        <v>1.105628E-2</v>
      </c>
      <c r="Q375" s="456">
        <f>'Key input_Biomass_MAgPIE'!O366</f>
        <v>1.105628E-2</v>
      </c>
      <c r="R375" s="456">
        <f>'Key input_Biomass_MAgPIE'!P366</f>
        <v>1.105628E-2</v>
      </c>
      <c r="S375" s="456">
        <f>'Key input_Biomass_MAgPIE'!Q366</f>
        <v>1.105628E-2</v>
      </c>
      <c r="T375" s="456">
        <f>'Key input_Biomass_MAgPIE'!R366</f>
        <v>1.105628E-2</v>
      </c>
      <c r="U375" s="456">
        <f>'Key input_Biomass_MAgPIE'!S366</f>
        <v>1.105628E-2</v>
      </c>
      <c r="V375" s="456">
        <f>'Key input_Biomass_MAgPIE'!T366</f>
        <v>1.105628E-2</v>
      </c>
      <c r="W375" s="456">
        <f>'Key input_Biomass_MAgPIE'!U366</f>
        <v>1.105628E-2</v>
      </c>
      <c r="X375" s="456">
        <f>'Key input_Biomass_MAgPIE'!V366</f>
        <v>1.105628E-2</v>
      </c>
      <c r="Y375" s="456">
        <f>'Key input_Biomass_MAgPIE'!W366</f>
        <v>1.105628E-2</v>
      </c>
      <c r="Z375" s="456">
        <f>'Key input_Biomass_MAgPIE'!X366</f>
        <v>1.105628E-2</v>
      </c>
      <c r="AA375" s="456">
        <f>'Key input_Biomass_MAgPIE'!Y366</f>
        <v>1.105628E-2</v>
      </c>
      <c r="AB375" s="456">
        <f>'Key input_Biomass_MAgPIE'!Z366</f>
        <v>1.105628E-2</v>
      </c>
      <c r="AC375" s="456">
        <f>'Key input_Biomass_MAgPIE'!AA366</f>
        <v>1.105628E-2</v>
      </c>
      <c r="AD375" s="456">
        <f>'Key input_Biomass_MAgPIE'!AB366</f>
        <v>1.105628E-2</v>
      </c>
      <c r="AE375" s="456">
        <f>'Key input_Biomass_MAgPIE'!AC366</f>
        <v>1.105628E-2</v>
      </c>
      <c r="AF375" s="456">
        <f>'Key input_Biomass_MAgPIE'!AD366</f>
        <v>1.105628E-2</v>
      </c>
      <c r="AG375" s="456">
        <f>'Key input_Biomass_MAgPIE'!AE366</f>
        <v>1.105628E-2</v>
      </c>
      <c r="AH375" s="456">
        <f>'Key input_Biomass_MAgPIE'!AF366</f>
        <v>1.105628E-2</v>
      </c>
    </row>
    <row r="376" spans="1:34">
      <c r="A376" s="4" t="str">
        <f t="shared" si="136"/>
        <v>MIN-RSVBIOCRL1</v>
      </c>
      <c r="B376" s="4" t="str">
        <f t="shared" si="133"/>
        <v>UPS Reserves of Biomass - Cereals - Reserve - Supply curve step 1</v>
      </c>
      <c r="C376" s="4" t="str">
        <f t="shared" si="134"/>
        <v>RSVBIOCRL</v>
      </c>
      <c r="D376" s="4" t="str">
        <f t="shared" si="135"/>
        <v>ACT_COST</v>
      </c>
      <c r="E376" s="4"/>
      <c r="F376" s="4">
        <v>2050</v>
      </c>
      <c r="G376" s="456">
        <f>'Key input_Biomass_MAgPIE'!E367</f>
        <v>1.105628E-2</v>
      </c>
      <c r="H376" s="456">
        <f>'Key input_Biomass_MAgPIE'!F367</f>
        <v>1.105628E-2</v>
      </c>
      <c r="I376" s="456">
        <f>'Key input_Biomass_MAgPIE'!G367</f>
        <v>1.105628E-2</v>
      </c>
      <c r="J376" s="456">
        <f>'Key input_Biomass_MAgPIE'!H367</f>
        <v>1.105628E-2</v>
      </c>
      <c r="K376" s="456">
        <f>'Key input_Biomass_MAgPIE'!I367</f>
        <v>1.105628E-2</v>
      </c>
      <c r="L376" s="456">
        <f>'Key input_Biomass_MAgPIE'!J367</f>
        <v>1.105628E-2</v>
      </c>
      <c r="M376" s="456">
        <f>'Key input_Biomass_MAgPIE'!K367</f>
        <v>1.105628E-2</v>
      </c>
      <c r="N376" s="456">
        <f>'Key input_Biomass_MAgPIE'!L367</f>
        <v>1.105628E-2</v>
      </c>
      <c r="O376" s="456">
        <f>'Key input_Biomass_MAgPIE'!M367</f>
        <v>1.105628E-2</v>
      </c>
      <c r="P376" s="456">
        <f>'Key input_Biomass_MAgPIE'!N367</f>
        <v>1.105628E-2</v>
      </c>
      <c r="Q376" s="456">
        <f>'Key input_Biomass_MAgPIE'!O367</f>
        <v>1.105628E-2</v>
      </c>
      <c r="R376" s="456">
        <f>'Key input_Biomass_MAgPIE'!P367</f>
        <v>1.105628E-2</v>
      </c>
      <c r="S376" s="456">
        <f>'Key input_Biomass_MAgPIE'!Q367</f>
        <v>1.105628E-2</v>
      </c>
      <c r="T376" s="456">
        <f>'Key input_Biomass_MAgPIE'!R367</f>
        <v>1.105628E-2</v>
      </c>
      <c r="U376" s="456">
        <f>'Key input_Biomass_MAgPIE'!S367</f>
        <v>1.105628E-2</v>
      </c>
      <c r="V376" s="456">
        <f>'Key input_Biomass_MAgPIE'!T367</f>
        <v>1.105628E-2</v>
      </c>
      <c r="W376" s="456">
        <f>'Key input_Biomass_MAgPIE'!U367</f>
        <v>1.105628E-2</v>
      </c>
      <c r="X376" s="456">
        <f>'Key input_Biomass_MAgPIE'!V367</f>
        <v>1.105628E-2</v>
      </c>
      <c r="Y376" s="456">
        <f>'Key input_Biomass_MAgPIE'!W367</f>
        <v>1.105628E-2</v>
      </c>
      <c r="Z376" s="456">
        <f>'Key input_Biomass_MAgPIE'!X367</f>
        <v>1.105628E-2</v>
      </c>
      <c r="AA376" s="456">
        <f>'Key input_Biomass_MAgPIE'!Y367</f>
        <v>1.105628E-2</v>
      </c>
      <c r="AB376" s="456">
        <f>'Key input_Biomass_MAgPIE'!Z367</f>
        <v>1.105628E-2</v>
      </c>
      <c r="AC376" s="456">
        <f>'Key input_Biomass_MAgPIE'!AA367</f>
        <v>1.105628E-2</v>
      </c>
      <c r="AD376" s="456">
        <f>'Key input_Biomass_MAgPIE'!AB367</f>
        <v>1.105628E-2</v>
      </c>
      <c r="AE376" s="456">
        <f>'Key input_Biomass_MAgPIE'!AC367</f>
        <v>1.105628E-2</v>
      </c>
      <c r="AF376" s="456">
        <f>'Key input_Biomass_MAgPIE'!AD367</f>
        <v>1.105628E-2</v>
      </c>
      <c r="AG376" s="456">
        <f>'Key input_Biomass_MAgPIE'!AE367</f>
        <v>1.105628E-2</v>
      </c>
      <c r="AH376" s="456">
        <f>'Key input_Biomass_MAgPIE'!AF367</f>
        <v>1.105628E-2</v>
      </c>
    </row>
    <row r="377" spans="1:34">
      <c r="A377" s="4" t="str">
        <f t="shared" si="136"/>
        <v>MIN-RSVBIOCRL1</v>
      </c>
      <c r="B377" s="4" t="str">
        <f t="shared" si="133"/>
        <v>UPS Reserves of Biomass - Cereals - Reserve - Supply curve step 1</v>
      </c>
      <c r="C377" s="4" t="str">
        <f t="shared" si="134"/>
        <v>RSVBIOCRL</v>
      </c>
      <c r="D377" s="4" t="str">
        <f t="shared" si="135"/>
        <v>ACT_COST</v>
      </c>
      <c r="E377" s="4"/>
      <c r="F377" s="4">
        <v>2060</v>
      </c>
      <c r="G377" s="456">
        <f>'Key input_Biomass_MAgPIE'!E368</f>
        <v>1.105628E-2</v>
      </c>
      <c r="H377" s="456">
        <f>'Key input_Biomass_MAgPIE'!F368</f>
        <v>1.105628E-2</v>
      </c>
      <c r="I377" s="456">
        <f>'Key input_Biomass_MAgPIE'!G368</f>
        <v>1.105628E-2</v>
      </c>
      <c r="J377" s="456">
        <f>'Key input_Biomass_MAgPIE'!H368</f>
        <v>1.105628E-2</v>
      </c>
      <c r="K377" s="456">
        <f>'Key input_Biomass_MAgPIE'!I368</f>
        <v>1.105628E-2</v>
      </c>
      <c r="L377" s="456">
        <f>'Key input_Biomass_MAgPIE'!J368</f>
        <v>1.105628E-2</v>
      </c>
      <c r="M377" s="456">
        <f>'Key input_Biomass_MAgPIE'!K368</f>
        <v>1.105628E-2</v>
      </c>
      <c r="N377" s="456">
        <f>'Key input_Biomass_MAgPIE'!L368</f>
        <v>1.105628E-2</v>
      </c>
      <c r="O377" s="456">
        <f>'Key input_Biomass_MAgPIE'!M368</f>
        <v>1.105628E-2</v>
      </c>
      <c r="P377" s="456">
        <f>'Key input_Biomass_MAgPIE'!N368</f>
        <v>1.105628E-2</v>
      </c>
      <c r="Q377" s="456">
        <f>'Key input_Biomass_MAgPIE'!O368</f>
        <v>1.105628E-2</v>
      </c>
      <c r="R377" s="456">
        <f>'Key input_Biomass_MAgPIE'!P368</f>
        <v>1.105628E-2</v>
      </c>
      <c r="S377" s="456">
        <f>'Key input_Biomass_MAgPIE'!Q368</f>
        <v>1.105628E-2</v>
      </c>
      <c r="T377" s="456">
        <f>'Key input_Biomass_MAgPIE'!R368</f>
        <v>1.105628E-2</v>
      </c>
      <c r="U377" s="456">
        <f>'Key input_Biomass_MAgPIE'!S368</f>
        <v>1.105628E-2</v>
      </c>
      <c r="V377" s="456">
        <f>'Key input_Biomass_MAgPIE'!T368</f>
        <v>1.105628E-2</v>
      </c>
      <c r="W377" s="456">
        <f>'Key input_Biomass_MAgPIE'!U368</f>
        <v>1.105628E-2</v>
      </c>
      <c r="X377" s="456">
        <f>'Key input_Biomass_MAgPIE'!V368</f>
        <v>1.105628E-2</v>
      </c>
      <c r="Y377" s="456">
        <f>'Key input_Biomass_MAgPIE'!W368</f>
        <v>1.105628E-2</v>
      </c>
      <c r="Z377" s="456">
        <f>'Key input_Biomass_MAgPIE'!X368</f>
        <v>1.105628E-2</v>
      </c>
      <c r="AA377" s="456">
        <f>'Key input_Biomass_MAgPIE'!Y368</f>
        <v>1.105628E-2</v>
      </c>
      <c r="AB377" s="456">
        <f>'Key input_Biomass_MAgPIE'!Z368</f>
        <v>1.105628E-2</v>
      </c>
      <c r="AC377" s="456">
        <f>'Key input_Biomass_MAgPIE'!AA368</f>
        <v>1.105628E-2</v>
      </c>
      <c r="AD377" s="456">
        <f>'Key input_Biomass_MAgPIE'!AB368</f>
        <v>1.105628E-2</v>
      </c>
      <c r="AE377" s="456">
        <f>'Key input_Biomass_MAgPIE'!AC368</f>
        <v>1.105628E-2</v>
      </c>
      <c r="AF377" s="456">
        <f>'Key input_Biomass_MAgPIE'!AD368</f>
        <v>1.105628E-2</v>
      </c>
      <c r="AG377" s="456">
        <f>'Key input_Biomass_MAgPIE'!AE368</f>
        <v>1.105628E-2</v>
      </c>
      <c r="AH377" s="456">
        <f>'Key input_Biomass_MAgPIE'!AF368</f>
        <v>1.105628E-2</v>
      </c>
    </row>
    <row r="378" spans="1:34">
      <c r="A378" s="4" t="str">
        <f t="shared" si="136"/>
        <v>MIN-RSVBIOCRL1</v>
      </c>
      <c r="B378" s="4" t="str">
        <f t="shared" si="133"/>
        <v>UPS Reserves of Biomass - Cereals - Reserve - Supply curve step 1</v>
      </c>
      <c r="C378" s="4" t="str">
        <f t="shared" si="134"/>
        <v>RSVBIOCRL</v>
      </c>
      <c r="D378" s="4" t="str">
        <f t="shared" si="135"/>
        <v>ACT_COST</v>
      </c>
      <c r="E378" s="4"/>
      <c r="F378" s="4">
        <v>2070</v>
      </c>
      <c r="G378" s="456">
        <f>'Key input_Biomass_MAgPIE'!E369</f>
        <v>1.105628E-2</v>
      </c>
      <c r="H378" s="456">
        <f>'Key input_Biomass_MAgPIE'!F369</f>
        <v>1.105628E-2</v>
      </c>
      <c r="I378" s="456">
        <f>'Key input_Biomass_MAgPIE'!G369</f>
        <v>1.105628E-2</v>
      </c>
      <c r="J378" s="456">
        <f>'Key input_Biomass_MAgPIE'!H369</f>
        <v>1.105628E-2</v>
      </c>
      <c r="K378" s="456">
        <f>'Key input_Biomass_MAgPIE'!I369</f>
        <v>1.105628E-2</v>
      </c>
      <c r="L378" s="456">
        <f>'Key input_Biomass_MAgPIE'!J369</f>
        <v>1.105628E-2</v>
      </c>
      <c r="M378" s="456">
        <f>'Key input_Biomass_MAgPIE'!K369</f>
        <v>1.105628E-2</v>
      </c>
      <c r="N378" s="456">
        <f>'Key input_Biomass_MAgPIE'!L369</f>
        <v>1.105628E-2</v>
      </c>
      <c r="O378" s="456">
        <f>'Key input_Biomass_MAgPIE'!M369</f>
        <v>1.105628E-2</v>
      </c>
      <c r="P378" s="456">
        <f>'Key input_Biomass_MAgPIE'!N369</f>
        <v>1.105628E-2</v>
      </c>
      <c r="Q378" s="456">
        <f>'Key input_Biomass_MAgPIE'!O369</f>
        <v>1.105628E-2</v>
      </c>
      <c r="R378" s="456">
        <f>'Key input_Biomass_MAgPIE'!P369</f>
        <v>1.105628E-2</v>
      </c>
      <c r="S378" s="456">
        <f>'Key input_Biomass_MAgPIE'!Q369</f>
        <v>1.105628E-2</v>
      </c>
      <c r="T378" s="456">
        <f>'Key input_Biomass_MAgPIE'!R369</f>
        <v>1.105628E-2</v>
      </c>
      <c r="U378" s="456">
        <f>'Key input_Biomass_MAgPIE'!S369</f>
        <v>1.105628E-2</v>
      </c>
      <c r="V378" s="456">
        <f>'Key input_Biomass_MAgPIE'!T369</f>
        <v>1.105628E-2</v>
      </c>
      <c r="W378" s="456">
        <f>'Key input_Biomass_MAgPIE'!U369</f>
        <v>1.105628E-2</v>
      </c>
      <c r="X378" s="456">
        <f>'Key input_Biomass_MAgPIE'!V369</f>
        <v>1.105628E-2</v>
      </c>
      <c r="Y378" s="456">
        <f>'Key input_Biomass_MAgPIE'!W369</f>
        <v>1.105628E-2</v>
      </c>
      <c r="Z378" s="456">
        <f>'Key input_Biomass_MAgPIE'!X369</f>
        <v>1.105628E-2</v>
      </c>
      <c r="AA378" s="456">
        <f>'Key input_Biomass_MAgPIE'!Y369</f>
        <v>1.105628E-2</v>
      </c>
      <c r="AB378" s="456">
        <f>'Key input_Biomass_MAgPIE'!Z369</f>
        <v>1.105628E-2</v>
      </c>
      <c r="AC378" s="456">
        <f>'Key input_Biomass_MAgPIE'!AA369</f>
        <v>1.105628E-2</v>
      </c>
      <c r="AD378" s="456">
        <f>'Key input_Biomass_MAgPIE'!AB369</f>
        <v>1.105628E-2</v>
      </c>
      <c r="AE378" s="456">
        <f>'Key input_Biomass_MAgPIE'!AC369</f>
        <v>1.105628E-2</v>
      </c>
      <c r="AF378" s="456">
        <f>'Key input_Biomass_MAgPIE'!AD369</f>
        <v>1.105628E-2</v>
      </c>
      <c r="AG378" s="456">
        <f>'Key input_Biomass_MAgPIE'!AE369</f>
        <v>1.105628E-2</v>
      </c>
      <c r="AH378" s="456">
        <f>'Key input_Biomass_MAgPIE'!AF369</f>
        <v>1.105628E-2</v>
      </c>
    </row>
    <row r="379" spans="1:34">
      <c r="A379" s="4" t="str">
        <f t="shared" si="136"/>
        <v>MIN-RSVBIOCRL1</v>
      </c>
      <c r="B379" s="4" t="str">
        <f t="shared" si="133"/>
        <v>UPS Reserves of Biomass - Cereals - Reserve - Supply curve step 1</v>
      </c>
      <c r="C379" s="4" t="str">
        <f t="shared" si="134"/>
        <v>RSVBIOCRL</v>
      </c>
      <c r="D379" s="4" t="str">
        <f t="shared" si="135"/>
        <v>ACT_COST</v>
      </c>
      <c r="E379" s="4"/>
      <c r="F379" s="4">
        <v>2080</v>
      </c>
      <c r="G379" s="456">
        <f>'Key input_Biomass_MAgPIE'!E370</f>
        <v>1.105628E-2</v>
      </c>
      <c r="H379" s="456">
        <f>'Key input_Biomass_MAgPIE'!F370</f>
        <v>1.105628E-2</v>
      </c>
      <c r="I379" s="456">
        <f>'Key input_Biomass_MAgPIE'!G370</f>
        <v>1.105628E-2</v>
      </c>
      <c r="J379" s="456">
        <f>'Key input_Biomass_MAgPIE'!H370</f>
        <v>1.105628E-2</v>
      </c>
      <c r="K379" s="456">
        <f>'Key input_Biomass_MAgPIE'!I370</f>
        <v>1.105628E-2</v>
      </c>
      <c r="L379" s="456">
        <f>'Key input_Biomass_MAgPIE'!J370</f>
        <v>1.105628E-2</v>
      </c>
      <c r="M379" s="456">
        <f>'Key input_Biomass_MAgPIE'!K370</f>
        <v>1.105628E-2</v>
      </c>
      <c r="N379" s="456">
        <f>'Key input_Biomass_MAgPIE'!L370</f>
        <v>1.105628E-2</v>
      </c>
      <c r="O379" s="456">
        <f>'Key input_Biomass_MAgPIE'!M370</f>
        <v>1.105628E-2</v>
      </c>
      <c r="P379" s="456">
        <f>'Key input_Biomass_MAgPIE'!N370</f>
        <v>1.105628E-2</v>
      </c>
      <c r="Q379" s="456">
        <f>'Key input_Biomass_MAgPIE'!O370</f>
        <v>1.105628E-2</v>
      </c>
      <c r="R379" s="456">
        <f>'Key input_Biomass_MAgPIE'!P370</f>
        <v>1.105628E-2</v>
      </c>
      <c r="S379" s="456">
        <f>'Key input_Biomass_MAgPIE'!Q370</f>
        <v>1.105628E-2</v>
      </c>
      <c r="T379" s="456">
        <f>'Key input_Biomass_MAgPIE'!R370</f>
        <v>1.105628E-2</v>
      </c>
      <c r="U379" s="456">
        <f>'Key input_Biomass_MAgPIE'!S370</f>
        <v>1.105628E-2</v>
      </c>
      <c r="V379" s="456">
        <f>'Key input_Biomass_MAgPIE'!T370</f>
        <v>1.105628E-2</v>
      </c>
      <c r="W379" s="456">
        <f>'Key input_Biomass_MAgPIE'!U370</f>
        <v>1.105628E-2</v>
      </c>
      <c r="X379" s="456">
        <f>'Key input_Biomass_MAgPIE'!V370</f>
        <v>1.105628E-2</v>
      </c>
      <c r="Y379" s="456">
        <f>'Key input_Biomass_MAgPIE'!W370</f>
        <v>1.105628E-2</v>
      </c>
      <c r="Z379" s="456">
        <f>'Key input_Biomass_MAgPIE'!X370</f>
        <v>1.105628E-2</v>
      </c>
      <c r="AA379" s="456">
        <f>'Key input_Biomass_MAgPIE'!Y370</f>
        <v>1.105628E-2</v>
      </c>
      <c r="AB379" s="456">
        <f>'Key input_Biomass_MAgPIE'!Z370</f>
        <v>1.105628E-2</v>
      </c>
      <c r="AC379" s="456">
        <f>'Key input_Biomass_MAgPIE'!AA370</f>
        <v>1.105628E-2</v>
      </c>
      <c r="AD379" s="456">
        <f>'Key input_Biomass_MAgPIE'!AB370</f>
        <v>1.105628E-2</v>
      </c>
      <c r="AE379" s="456">
        <f>'Key input_Biomass_MAgPIE'!AC370</f>
        <v>1.105628E-2</v>
      </c>
      <c r="AF379" s="456">
        <f>'Key input_Biomass_MAgPIE'!AD370</f>
        <v>1.105628E-2</v>
      </c>
      <c r="AG379" s="456">
        <f>'Key input_Biomass_MAgPIE'!AE370</f>
        <v>1.105628E-2</v>
      </c>
      <c r="AH379" s="456">
        <f>'Key input_Biomass_MAgPIE'!AF370</f>
        <v>1.105628E-2</v>
      </c>
    </row>
    <row r="380" spans="1:34">
      <c r="A380" s="4" t="str">
        <f t="shared" si="136"/>
        <v>MIN-RSVBIOCRL1</v>
      </c>
      <c r="B380" s="4" t="str">
        <f t="shared" si="133"/>
        <v>UPS Reserves of Biomass - Cereals - Reserve - Supply curve step 1</v>
      </c>
      <c r="C380" s="4" t="str">
        <f t="shared" si="134"/>
        <v>RSVBIOCRL</v>
      </c>
      <c r="D380" s="4" t="str">
        <f t="shared" si="135"/>
        <v>ACT_COST</v>
      </c>
      <c r="E380" s="4"/>
      <c r="F380" s="4">
        <v>2090</v>
      </c>
      <c r="G380" s="456">
        <f>'Key input_Biomass_MAgPIE'!E371</f>
        <v>1.105628E-2</v>
      </c>
      <c r="H380" s="456">
        <f>'Key input_Biomass_MAgPIE'!F371</f>
        <v>1.105628E-2</v>
      </c>
      <c r="I380" s="456">
        <f>'Key input_Biomass_MAgPIE'!G371</f>
        <v>1.105628E-2</v>
      </c>
      <c r="J380" s="456">
        <f>'Key input_Biomass_MAgPIE'!H371</f>
        <v>1.105628E-2</v>
      </c>
      <c r="K380" s="456">
        <f>'Key input_Biomass_MAgPIE'!I371</f>
        <v>1.105628E-2</v>
      </c>
      <c r="L380" s="456">
        <f>'Key input_Biomass_MAgPIE'!J371</f>
        <v>1.105628E-2</v>
      </c>
      <c r="M380" s="456">
        <f>'Key input_Biomass_MAgPIE'!K371</f>
        <v>1.105628E-2</v>
      </c>
      <c r="N380" s="456">
        <f>'Key input_Biomass_MAgPIE'!L371</f>
        <v>1.105628E-2</v>
      </c>
      <c r="O380" s="456">
        <f>'Key input_Biomass_MAgPIE'!M371</f>
        <v>1.105628E-2</v>
      </c>
      <c r="P380" s="456">
        <f>'Key input_Biomass_MAgPIE'!N371</f>
        <v>1.105628E-2</v>
      </c>
      <c r="Q380" s="456">
        <f>'Key input_Biomass_MAgPIE'!O371</f>
        <v>1.105628E-2</v>
      </c>
      <c r="R380" s="456">
        <f>'Key input_Biomass_MAgPIE'!P371</f>
        <v>1.105628E-2</v>
      </c>
      <c r="S380" s="456">
        <f>'Key input_Biomass_MAgPIE'!Q371</f>
        <v>1.105628E-2</v>
      </c>
      <c r="T380" s="456">
        <f>'Key input_Biomass_MAgPIE'!R371</f>
        <v>1.105628E-2</v>
      </c>
      <c r="U380" s="456">
        <f>'Key input_Biomass_MAgPIE'!S371</f>
        <v>1.105628E-2</v>
      </c>
      <c r="V380" s="456">
        <f>'Key input_Biomass_MAgPIE'!T371</f>
        <v>1.105628E-2</v>
      </c>
      <c r="W380" s="456">
        <f>'Key input_Biomass_MAgPIE'!U371</f>
        <v>1.105628E-2</v>
      </c>
      <c r="X380" s="456">
        <f>'Key input_Biomass_MAgPIE'!V371</f>
        <v>1.105628E-2</v>
      </c>
      <c r="Y380" s="456">
        <f>'Key input_Biomass_MAgPIE'!W371</f>
        <v>1.105628E-2</v>
      </c>
      <c r="Z380" s="456">
        <f>'Key input_Biomass_MAgPIE'!X371</f>
        <v>1.105628E-2</v>
      </c>
      <c r="AA380" s="456">
        <f>'Key input_Biomass_MAgPIE'!Y371</f>
        <v>1.105628E-2</v>
      </c>
      <c r="AB380" s="456">
        <f>'Key input_Biomass_MAgPIE'!Z371</f>
        <v>1.105628E-2</v>
      </c>
      <c r="AC380" s="456">
        <f>'Key input_Biomass_MAgPIE'!AA371</f>
        <v>1.105628E-2</v>
      </c>
      <c r="AD380" s="456">
        <f>'Key input_Biomass_MAgPIE'!AB371</f>
        <v>1.105628E-2</v>
      </c>
      <c r="AE380" s="456">
        <f>'Key input_Biomass_MAgPIE'!AC371</f>
        <v>1.105628E-2</v>
      </c>
      <c r="AF380" s="456">
        <f>'Key input_Biomass_MAgPIE'!AD371</f>
        <v>1.105628E-2</v>
      </c>
      <c r="AG380" s="456">
        <f>'Key input_Biomass_MAgPIE'!AE371</f>
        <v>1.105628E-2</v>
      </c>
      <c r="AH380" s="456">
        <f>'Key input_Biomass_MAgPIE'!AF371</f>
        <v>1.105628E-2</v>
      </c>
    </row>
    <row r="381" spans="1:34">
      <c r="A381" s="259" t="str">
        <f t="shared" si="136"/>
        <v>MIN-RSVBIOCRL1</v>
      </c>
      <c r="B381" s="259" t="str">
        <f t="shared" si="133"/>
        <v>UPS Reserves of Biomass - Cereals - Reserve - Supply curve step 1</v>
      </c>
      <c r="C381" s="259" t="str">
        <f t="shared" si="134"/>
        <v>RSVBIOCRL</v>
      </c>
      <c r="D381" s="259" t="str">
        <f t="shared" si="135"/>
        <v>ACT_COST</v>
      </c>
      <c r="E381" s="259"/>
      <c r="F381" s="259">
        <v>2100</v>
      </c>
      <c r="G381" s="435">
        <f>'Key input_Biomass_MAgPIE'!E372</f>
        <v>1.105628E-2</v>
      </c>
      <c r="H381" s="435">
        <f>'Key input_Biomass_MAgPIE'!F372</f>
        <v>1.105628E-2</v>
      </c>
      <c r="I381" s="435">
        <f>'Key input_Biomass_MAgPIE'!G372</f>
        <v>1.105628E-2</v>
      </c>
      <c r="J381" s="435">
        <f>'Key input_Biomass_MAgPIE'!H372</f>
        <v>1.105628E-2</v>
      </c>
      <c r="K381" s="435">
        <f>'Key input_Biomass_MAgPIE'!I372</f>
        <v>1.105628E-2</v>
      </c>
      <c r="L381" s="435">
        <f>'Key input_Biomass_MAgPIE'!J372</f>
        <v>1.105628E-2</v>
      </c>
      <c r="M381" s="435">
        <f>'Key input_Biomass_MAgPIE'!K372</f>
        <v>1.105628E-2</v>
      </c>
      <c r="N381" s="435">
        <f>'Key input_Biomass_MAgPIE'!L372</f>
        <v>1.105628E-2</v>
      </c>
      <c r="O381" s="435">
        <f>'Key input_Biomass_MAgPIE'!M372</f>
        <v>1.105628E-2</v>
      </c>
      <c r="P381" s="435">
        <f>'Key input_Biomass_MAgPIE'!N372</f>
        <v>1.105628E-2</v>
      </c>
      <c r="Q381" s="435">
        <f>'Key input_Biomass_MAgPIE'!O372</f>
        <v>1.105628E-2</v>
      </c>
      <c r="R381" s="435">
        <f>'Key input_Biomass_MAgPIE'!P372</f>
        <v>1.105628E-2</v>
      </c>
      <c r="S381" s="435">
        <f>'Key input_Biomass_MAgPIE'!Q372</f>
        <v>1.105628E-2</v>
      </c>
      <c r="T381" s="435">
        <f>'Key input_Biomass_MAgPIE'!R372</f>
        <v>1.105628E-2</v>
      </c>
      <c r="U381" s="435">
        <f>'Key input_Biomass_MAgPIE'!S372</f>
        <v>1.105628E-2</v>
      </c>
      <c r="V381" s="435">
        <f>'Key input_Biomass_MAgPIE'!T372</f>
        <v>1.105628E-2</v>
      </c>
      <c r="W381" s="435">
        <f>'Key input_Biomass_MAgPIE'!U372</f>
        <v>1.105628E-2</v>
      </c>
      <c r="X381" s="435">
        <f>'Key input_Biomass_MAgPIE'!V372</f>
        <v>1.105628E-2</v>
      </c>
      <c r="Y381" s="435">
        <f>'Key input_Biomass_MAgPIE'!W372</f>
        <v>1.105628E-2</v>
      </c>
      <c r="Z381" s="435">
        <f>'Key input_Biomass_MAgPIE'!X372</f>
        <v>1.105628E-2</v>
      </c>
      <c r="AA381" s="435">
        <f>'Key input_Biomass_MAgPIE'!Y372</f>
        <v>1.105628E-2</v>
      </c>
      <c r="AB381" s="435">
        <f>'Key input_Biomass_MAgPIE'!Z372</f>
        <v>1.105628E-2</v>
      </c>
      <c r="AC381" s="435">
        <f>'Key input_Biomass_MAgPIE'!AA372</f>
        <v>1.105628E-2</v>
      </c>
      <c r="AD381" s="435">
        <f>'Key input_Biomass_MAgPIE'!AB372</f>
        <v>1.105628E-2</v>
      </c>
      <c r="AE381" s="435">
        <f>'Key input_Biomass_MAgPIE'!AC372</f>
        <v>1.105628E-2</v>
      </c>
      <c r="AF381" s="435">
        <f>'Key input_Biomass_MAgPIE'!AD372</f>
        <v>1.105628E-2</v>
      </c>
      <c r="AG381" s="435">
        <f>'Key input_Biomass_MAgPIE'!AE372</f>
        <v>1.105628E-2</v>
      </c>
      <c r="AH381" s="435">
        <f>'Key input_Biomass_MAgPIE'!AF372</f>
        <v>1.105628E-2</v>
      </c>
    </row>
    <row r="382" spans="1:34" ht="18.75" customHeight="1">
      <c r="A382" s="4" t="str">
        <f>AK24</f>
        <v>MIN-RSVBIOCRL2</v>
      </c>
      <c r="B382" s="4" t="str">
        <f>AL24</f>
        <v>UPS Reserves of Biomass - Cereals - Reserve - Supply curve step 2</v>
      </c>
      <c r="C382" s="4" t="str">
        <f>Commodities!$C$19</f>
        <v>RSVBIOCRL</v>
      </c>
      <c r="D382" s="4" t="s">
        <v>675</v>
      </c>
      <c r="E382" s="4"/>
      <c r="F382" s="4">
        <v>2019</v>
      </c>
      <c r="G382" s="258">
        <f>'Key input_Biomass_MAgPIE'!E373</f>
        <v>5.5281400000000001E-2</v>
      </c>
      <c r="H382" s="258">
        <f>'Key input_Biomass_MAgPIE'!F373</f>
        <v>5.5281400000000001E-2</v>
      </c>
      <c r="I382" s="258">
        <f>'Key input_Biomass_MAgPIE'!G373</f>
        <v>5.5281400000000001E-2</v>
      </c>
      <c r="J382" s="258">
        <f>'Key input_Biomass_MAgPIE'!H373</f>
        <v>5.5281400000000001E-2</v>
      </c>
      <c r="K382" s="258">
        <f>'Key input_Biomass_MAgPIE'!I373</f>
        <v>5.5281400000000001E-2</v>
      </c>
      <c r="L382" s="258">
        <f>'Key input_Biomass_MAgPIE'!J373</f>
        <v>5.5281400000000001E-2</v>
      </c>
      <c r="M382" s="258">
        <f>'Key input_Biomass_MAgPIE'!K373</f>
        <v>5.5281400000000001E-2</v>
      </c>
      <c r="N382" s="258">
        <f>'Key input_Biomass_MAgPIE'!L373</f>
        <v>5.5281400000000001E-2</v>
      </c>
      <c r="O382" s="258">
        <f>'Key input_Biomass_MAgPIE'!M373</f>
        <v>5.5281400000000001E-2</v>
      </c>
      <c r="P382" s="258">
        <f>'Key input_Biomass_MAgPIE'!N373</f>
        <v>5.5281400000000001E-2</v>
      </c>
      <c r="Q382" s="258">
        <f>'Key input_Biomass_MAgPIE'!O373</f>
        <v>5.5281400000000001E-2</v>
      </c>
      <c r="R382" s="258">
        <f>'Key input_Biomass_MAgPIE'!P373</f>
        <v>5.5281400000000001E-2</v>
      </c>
      <c r="S382" s="258">
        <f>'Key input_Biomass_MAgPIE'!Q373</f>
        <v>5.5281400000000001E-2</v>
      </c>
      <c r="T382" s="258">
        <f>'Key input_Biomass_MAgPIE'!R373</f>
        <v>5.5281400000000001E-2</v>
      </c>
      <c r="U382" s="258">
        <f>'Key input_Biomass_MAgPIE'!S373</f>
        <v>5.5281400000000001E-2</v>
      </c>
      <c r="V382" s="258">
        <f>'Key input_Biomass_MAgPIE'!T373</f>
        <v>5.5281400000000001E-2</v>
      </c>
      <c r="W382" s="258">
        <f>'Key input_Biomass_MAgPIE'!U373</f>
        <v>5.5281400000000001E-2</v>
      </c>
      <c r="X382" s="258">
        <f>'Key input_Biomass_MAgPIE'!V373</f>
        <v>5.5281400000000001E-2</v>
      </c>
      <c r="Y382" s="258">
        <f>'Key input_Biomass_MAgPIE'!W373</f>
        <v>5.5281400000000001E-2</v>
      </c>
      <c r="Z382" s="258">
        <f>'Key input_Biomass_MAgPIE'!X373</f>
        <v>5.5281400000000001E-2</v>
      </c>
      <c r="AA382" s="258">
        <f>'Key input_Biomass_MAgPIE'!Y373</f>
        <v>5.5281400000000001E-2</v>
      </c>
      <c r="AB382" s="258">
        <f>'Key input_Biomass_MAgPIE'!Z373</f>
        <v>5.5281400000000001E-2</v>
      </c>
      <c r="AC382" s="258">
        <f>'Key input_Biomass_MAgPIE'!AA373</f>
        <v>5.5281400000000001E-2</v>
      </c>
      <c r="AD382" s="258">
        <f>'Key input_Biomass_MAgPIE'!AB373</f>
        <v>5.5281400000000001E-2</v>
      </c>
      <c r="AE382" s="258">
        <f>'Key input_Biomass_MAgPIE'!AC373</f>
        <v>5.5281400000000001E-2</v>
      </c>
      <c r="AF382" s="258">
        <f>'Key input_Biomass_MAgPIE'!AD373</f>
        <v>5.5281400000000001E-2</v>
      </c>
      <c r="AG382" s="258">
        <f>'Key input_Biomass_MAgPIE'!AE373</f>
        <v>5.5281400000000001E-2</v>
      </c>
      <c r="AH382" s="258">
        <f>'Key input_Biomass_MAgPIE'!AF373</f>
        <v>5.5281400000000001E-2</v>
      </c>
    </row>
    <row r="383" spans="1:34" ht="18.75" customHeight="1">
      <c r="A383" s="4" t="str">
        <f>A382</f>
        <v>MIN-RSVBIOCRL2</v>
      </c>
      <c r="B383" s="4" t="str">
        <f t="shared" ref="B383:B394" si="137">B382</f>
        <v>UPS Reserves of Biomass - Cereals - Reserve - Supply curve step 2</v>
      </c>
      <c r="C383" s="4" t="str">
        <f t="shared" ref="C383:C394" si="138">C382</f>
        <v>RSVBIOCRL</v>
      </c>
      <c r="D383" s="4" t="str">
        <f t="shared" ref="D383:D394" si="139">D382</f>
        <v>ACT_COST</v>
      </c>
      <c r="E383" s="4"/>
      <c r="F383" s="4">
        <v>2020</v>
      </c>
      <c r="G383" s="456">
        <f>'Key input_Biomass_MAgPIE'!E374</f>
        <v>5.5281400000000001E-2</v>
      </c>
      <c r="H383" s="456">
        <f>'Key input_Biomass_MAgPIE'!F374</f>
        <v>5.5281400000000001E-2</v>
      </c>
      <c r="I383" s="456">
        <f>'Key input_Biomass_MAgPIE'!G374</f>
        <v>5.5281400000000001E-2</v>
      </c>
      <c r="J383" s="456">
        <f>'Key input_Biomass_MAgPIE'!H374</f>
        <v>5.5281400000000001E-2</v>
      </c>
      <c r="K383" s="456">
        <f>'Key input_Biomass_MAgPIE'!I374</f>
        <v>5.5281400000000001E-2</v>
      </c>
      <c r="L383" s="456">
        <f>'Key input_Biomass_MAgPIE'!J374</f>
        <v>5.5281400000000001E-2</v>
      </c>
      <c r="M383" s="456">
        <f>'Key input_Biomass_MAgPIE'!K374</f>
        <v>5.5281400000000001E-2</v>
      </c>
      <c r="N383" s="456">
        <f>'Key input_Biomass_MAgPIE'!L374</f>
        <v>5.5281400000000001E-2</v>
      </c>
      <c r="O383" s="456">
        <f>'Key input_Biomass_MAgPIE'!M374</f>
        <v>5.5281400000000001E-2</v>
      </c>
      <c r="P383" s="456">
        <f>'Key input_Biomass_MAgPIE'!N374</f>
        <v>5.5281400000000001E-2</v>
      </c>
      <c r="Q383" s="456">
        <f>'Key input_Biomass_MAgPIE'!O374</f>
        <v>5.5281400000000001E-2</v>
      </c>
      <c r="R383" s="456">
        <f>'Key input_Biomass_MAgPIE'!P374</f>
        <v>5.5281400000000001E-2</v>
      </c>
      <c r="S383" s="456">
        <f>'Key input_Biomass_MAgPIE'!Q374</f>
        <v>5.5281400000000001E-2</v>
      </c>
      <c r="T383" s="456">
        <f>'Key input_Biomass_MAgPIE'!R374</f>
        <v>5.5281400000000001E-2</v>
      </c>
      <c r="U383" s="456">
        <f>'Key input_Biomass_MAgPIE'!S374</f>
        <v>5.5281400000000001E-2</v>
      </c>
      <c r="V383" s="456">
        <f>'Key input_Biomass_MAgPIE'!T374</f>
        <v>5.5281400000000001E-2</v>
      </c>
      <c r="W383" s="456">
        <f>'Key input_Biomass_MAgPIE'!U374</f>
        <v>5.5281400000000001E-2</v>
      </c>
      <c r="X383" s="456">
        <f>'Key input_Biomass_MAgPIE'!V374</f>
        <v>5.5281400000000001E-2</v>
      </c>
      <c r="Y383" s="456">
        <f>'Key input_Biomass_MAgPIE'!W374</f>
        <v>5.5281400000000001E-2</v>
      </c>
      <c r="Z383" s="456">
        <f>'Key input_Biomass_MAgPIE'!X374</f>
        <v>5.5281400000000001E-2</v>
      </c>
      <c r="AA383" s="456">
        <f>'Key input_Biomass_MAgPIE'!Y374</f>
        <v>5.5281400000000001E-2</v>
      </c>
      <c r="AB383" s="456">
        <f>'Key input_Biomass_MAgPIE'!Z374</f>
        <v>5.5281400000000001E-2</v>
      </c>
      <c r="AC383" s="456">
        <f>'Key input_Biomass_MAgPIE'!AA374</f>
        <v>5.5281400000000001E-2</v>
      </c>
      <c r="AD383" s="456">
        <f>'Key input_Biomass_MAgPIE'!AB374</f>
        <v>5.5281400000000001E-2</v>
      </c>
      <c r="AE383" s="456">
        <f>'Key input_Biomass_MAgPIE'!AC374</f>
        <v>5.5281400000000001E-2</v>
      </c>
      <c r="AF383" s="456">
        <f>'Key input_Biomass_MAgPIE'!AD374</f>
        <v>5.5281400000000001E-2</v>
      </c>
      <c r="AG383" s="456">
        <f>'Key input_Biomass_MAgPIE'!AE374</f>
        <v>5.5281400000000001E-2</v>
      </c>
      <c r="AH383" s="456">
        <f>'Key input_Biomass_MAgPIE'!AF374</f>
        <v>5.5281400000000001E-2</v>
      </c>
    </row>
    <row r="384" spans="1:34" ht="18.75" customHeight="1">
      <c r="A384" s="4" t="str">
        <f t="shared" ref="A384:A394" si="140">A383</f>
        <v>MIN-RSVBIOCRL2</v>
      </c>
      <c r="B384" s="4" t="str">
        <f t="shared" si="137"/>
        <v>UPS Reserves of Biomass - Cereals - Reserve - Supply curve step 2</v>
      </c>
      <c r="C384" s="4" t="str">
        <f t="shared" si="138"/>
        <v>RSVBIOCRL</v>
      </c>
      <c r="D384" s="4" t="str">
        <f t="shared" si="139"/>
        <v>ACT_COST</v>
      </c>
      <c r="E384" s="4"/>
      <c r="F384" s="4">
        <v>2025</v>
      </c>
      <c r="G384" s="456">
        <f>'Key input_Biomass_MAgPIE'!E375</f>
        <v>5.5281400000000001E-2</v>
      </c>
      <c r="H384" s="456">
        <f>'Key input_Biomass_MAgPIE'!F375</f>
        <v>5.5281400000000001E-2</v>
      </c>
      <c r="I384" s="456">
        <f>'Key input_Biomass_MAgPIE'!G375</f>
        <v>5.5281400000000001E-2</v>
      </c>
      <c r="J384" s="456">
        <f>'Key input_Biomass_MAgPIE'!H375</f>
        <v>5.5281400000000001E-2</v>
      </c>
      <c r="K384" s="456">
        <f>'Key input_Biomass_MAgPIE'!I375</f>
        <v>5.5281400000000001E-2</v>
      </c>
      <c r="L384" s="456">
        <f>'Key input_Biomass_MAgPIE'!J375</f>
        <v>5.5281400000000001E-2</v>
      </c>
      <c r="M384" s="456">
        <f>'Key input_Biomass_MAgPIE'!K375</f>
        <v>5.5281400000000001E-2</v>
      </c>
      <c r="N384" s="456">
        <f>'Key input_Biomass_MAgPIE'!L375</f>
        <v>5.5281400000000001E-2</v>
      </c>
      <c r="O384" s="456">
        <f>'Key input_Biomass_MAgPIE'!M375</f>
        <v>5.5281400000000001E-2</v>
      </c>
      <c r="P384" s="456">
        <f>'Key input_Biomass_MAgPIE'!N375</f>
        <v>5.5281400000000001E-2</v>
      </c>
      <c r="Q384" s="456">
        <f>'Key input_Biomass_MAgPIE'!O375</f>
        <v>5.5281400000000001E-2</v>
      </c>
      <c r="R384" s="456">
        <f>'Key input_Biomass_MAgPIE'!P375</f>
        <v>5.5281400000000001E-2</v>
      </c>
      <c r="S384" s="456">
        <f>'Key input_Biomass_MAgPIE'!Q375</f>
        <v>5.5281400000000001E-2</v>
      </c>
      <c r="T384" s="456">
        <f>'Key input_Biomass_MAgPIE'!R375</f>
        <v>5.5281400000000001E-2</v>
      </c>
      <c r="U384" s="456">
        <f>'Key input_Biomass_MAgPIE'!S375</f>
        <v>5.5281400000000001E-2</v>
      </c>
      <c r="V384" s="456">
        <f>'Key input_Biomass_MAgPIE'!T375</f>
        <v>5.5281400000000001E-2</v>
      </c>
      <c r="W384" s="456">
        <f>'Key input_Biomass_MAgPIE'!U375</f>
        <v>5.5281400000000001E-2</v>
      </c>
      <c r="X384" s="456">
        <f>'Key input_Biomass_MAgPIE'!V375</f>
        <v>5.5281400000000001E-2</v>
      </c>
      <c r="Y384" s="456">
        <f>'Key input_Biomass_MAgPIE'!W375</f>
        <v>5.5281400000000001E-2</v>
      </c>
      <c r="Z384" s="456">
        <f>'Key input_Biomass_MAgPIE'!X375</f>
        <v>5.5281400000000001E-2</v>
      </c>
      <c r="AA384" s="456">
        <f>'Key input_Biomass_MAgPIE'!Y375</f>
        <v>5.5281400000000001E-2</v>
      </c>
      <c r="AB384" s="456">
        <f>'Key input_Biomass_MAgPIE'!Z375</f>
        <v>5.5281400000000001E-2</v>
      </c>
      <c r="AC384" s="456">
        <f>'Key input_Biomass_MAgPIE'!AA375</f>
        <v>5.5281400000000001E-2</v>
      </c>
      <c r="AD384" s="456">
        <f>'Key input_Biomass_MAgPIE'!AB375</f>
        <v>5.5281400000000001E-2</v>
      </c>
      <c r="AE384" s="456">
        <f>'Key input_Biomass_MAgPIE'!AC375</f>
        <v>5.5281400000000001E-2</v>
      </c>
      <c r="AF384" s="456">
        <f>'Key input_Biomass_MAgPIE'!AD375</f>
        <v>5.5281400000000001E-2</v>
      </c>
      <c r="AG384" s="456">
        <f>'Key input_Biomass_MAgPIE'!AE375</f>
        <v>5.5281400000000001E-2</v>
      </c>
      <c r="AH384" s="456">
        <f>'Key input_Biomass_MAgPIE'!AF375</f>
        <v>5.5281400000000001E-2</v>
      </c>
    </row>
    <row r="385" spans="1:34" ht="18.75" customHeight="1">
      <c r="A385" s="4" t="str">
        <f t="shared" si="140"/>
        <v>MIN-RSVBIOCRL2</v>
      </c>
      <c r="B385" s="4" t="str">
        <f t="shared" si="137"/>
        <v>UPS Reserves of Biomass - Cereals - Reserve - Supply curve step 2</v>
      </c>
      <c r="C385" s="4" t="str">
        <f t="shared" si="138"/>
        <v>RSVBIOCRL</v>
      </c>
      <c r="D385" s="4" t="str">
        <f t="shared" si="139"/>
        <v>ACT_COST</v>
      </c>
      <c r="E385" s="4"/>
      <c r="F385" s="4">
        <v>2030</v>
      </c>
      <c r="G385" s="456">
        <f>'Key input_Biomass_MAgPIE'!E376</f>
        <v>5.5281400000000001E-2</v>
      </c>
      <c r="H385" s="456">
        <f>'Key input_Biomass_MAgPIE'!F376</f>
        <v>5.5281400000000001E-2</v>
      </c>
      <c r="I385" s="456">
        <f>'Key input_Biomass_MAgPIE'!G376</f>
        <v>5.5281400000000001E-2</v>
      </c>
      <c r="J385" s="456">
        <f>'Key input_Biomass_MAgPIE'!H376</f>
        <v>5.5281400000000001E-2</v>
      </c>
      <c r="K385" s="456">
        <f>'Key input_Biomass_MAgPIE'!I376</f>
        <v>5.5281400000000001E-2</v>
      </c>
      <c r="L385" s="456">
        <f>'Key input_Biomass_MAgPIE'!J376</f>
        <v>5.5281400000000001E-2</v>
      </c>
      <c r="M385" s="456">
        <f>'Key input_Biomass_MAgPIE'!K376</f>
        <v>5.5281400000000001E-2</v>
      </c>
      <c r="N385" s="456">
        <f>'Key input_Biomass_MAgPIE'!L376</f>
        <v>5.5281400000000001E-2</v>
      </c>
      <c r="O385" s="456">
        <f>'Key input_Biomass_MAgPIE'!M376</f>
        <v>5.5281400000000001E-2</v>
      </c>
      <c r="P385" s="456">
        <f>'Key input_Biomass_MAgPIE'!N376</f>
        <v>5.5281400000000001E-2</v>
      </c>
      <c r="Q385" s="456">
        <f>'Key input_Biomass_MAgPIE'!O376</f>
        <v>5.5281400000000001E-2</v>
      </c>
      <c r="R385" s="456">
        <f>'Key input_Biomass_MAgPIE'!P376</f>
        <v>5.5281400000000001E-2</v>
      </c>
      <c r="S385" s="456">
        <f>'Key input_Biomass_MAgPIE'!Q376</f>
        <v>5.5281400000000001E-2</v>
      </c>
      <c r="T385" s="456">
        <f>'Key input_Biomass_MAgPIE'!R376</f>
        <v>5.5281400000000001E-2</v>
      </c>
      <c r="U385" s="456">
        <f>'Key input_Biomass_MAgPIE'!S376</f>
        <v>5.5281400000000001E-2</v>
      </c>
      <c r="V385" s="456">
        <f>'Key input_Biomass_MAgPIE'!T376</f>
        <v>5.5281400000000001E-2</v>
      </c>
      <c r="W385" s="456">
        <f>'Key input_Biomass_MAgPIE'!U376</f>
        <v>5.5281400000000001E-2</v>
      </c>
      <c r="X385" s="456">
        <f>'Key input_Biomass_MAgPIE'!V376</f>
        <v>5.5281400000000001E-2</v>
      </c>
      <c r="Y385" s="456">
        <f>'Key input_Biomass_MAgPIE'!W376</f>
        <v>5.5281400000000001E-2</v>
      </c>
      <c r="Z385" s="456">
        <f>'Key input_Biomass_MAgPIE'!X376</f>
        <v>5.5281400000000001E-2</v>
      </c>
      <c r="AA385" s="456">
        <f>'Key input_Biomass_MAgPIE'!Y376</f>
        <v>5.5281400000000001E-2</v>
      </c>
      <c r="AB385" s="456">
        <f>'Key input_Biomass_MAgPIE'!Z376</f>
        <v>5.5281400000000001E-2</v>
      </c>
      <c r="AC385" s="456">
        <f>'Key input_Biomass_MAgPIE'!AA376</f>
        <v>5.5281400000000001E-2</v>
      </c>
      <c r="AD385" s="456">
        <f>'Key input_Biomass_MAgPIE'!AB376</f>
        <v>5.5281400000000001E-2</v>
      </c>
      <c r="AE385" s="456">
        <f>'Key input_Biomass_MAgPIE'!AC376</f>
        <v>5.5281400000000001E-2</v>
      </c>
      <c r="AF385" s="456">
        <f>'Key input_Biomass_MAgPIE'!AD376</f>
        <v>5.5281400000000001E-2</v>
      </c>
      <c r="AG385" s="456">
        <f>'Key input_Biomass_MAgPIE'!AE376</f>
        <v>5.5281400000000001E-2</v>
      </c>
      <c r="AH385" s="456">
        <f>'Key input_Biomass_MAgPIE'!AF376</f>
        <v>5.5281400000000001E-2</v>
      </c>
    </row>
    <row r="386" spans="1:34" ht="18.75" customHeight="1">
      <c r="A386" s="4" t="str">
        <f t="shared" si="140"/>
        <v>MIN-RSVBIOCRL2</v>
      </c>
      <c r="B386" s="4" t="str">
        <f t="shared" si="137"/>
        <v>UPS Reserves of Biomass - Cereals - Reserve - Supply curve step 2</v>
      </c>
      <c r="C386" s="4" t="str">
        <f t="shared" si="138"/>
        <v>RSVBIOCRL</v>
      </c>
      <c r="D386" s="4" t="str">
        <f t="shared" si="139"/>
        <v>ACT_COST</v>
      </c>
      <c r="E386" s="4"/>
      <c r="F386" s="4">
        <v>2035</v>
      </c>
      <c r="G386" s="456">
        <f>'Key input_Biomass_MAgPIE'!E377</f>
        <v>5.5281400000000001E-2</v>
      </c>
      <c r="H386" s="456">
        <f>'Key input_Biomass_MAgPIE'!F377</f>
        <v>5.5281400000000001E-2</v>
      </c>
      <c r="I386" s="456">
        <f>'Key input_Biomass_MAgPIE'!G377</f>
        <v>5.5281400000000001E-2</v>
      </c>
      <c r="J386" s="456">
        <f>'Key input_Biomass_MAgPIE'!H377</f>
        <v>5.5281400000000001E-2</v>
      </c>
      <c r="K386" s="456">
        <f>'Key input_Biomass_MAgPIE'!I377</f>
        <v>5.5281400000000001E-2</v>
      </c>
      <c r="L386" s="456">
        <f>'Key input_Biomass_MAgPIE'!J377</f>
        <v>5.5281400000000001E-2</v>
      </c>
      <c r="M386" s="456">
        <f>'Key input_Biomass_MAgPIE'!K377</f>
        <v>5.5281400000000001E-2</v>
      </c>
      <c r="N386" s="456">
        <f>'Key input_Biomass_MAgPIE'!L377</f>
        <v>5.5281400000000001E-2</v>
      </c>
      <c r="O386" s="456">
        <f>'Key input_Biomass_MAgPIE'!M377</f>
        <v>5.5281400000000001E-2</v>
      </c>
      <c r="P386" s="456">
        <f>'Key input_Biomass_MAgPIE'!N377</f>
        <v>5.5281400000000001E-2</v>
      </c>
      <c r="Q386" s="456">
        <f>'Key input_Biomass_MAgPIE'!O377</f>
        <v>5.5281400000000001E-2</v>
      </c>
      <c r="R386" s="456">
        <f>'Key input_Biomass_MAgPIE'!P377</f>
        <v>5.5281400000000001E-2</v>
      </c>
      <c r="S386" s="456">
        <f>'Key input_Biomass_MAgPIE'!Q377</f>
        <v>5.5281400000000001E-2</v>
      </c>
      <c r="T386" s="456">
        <f>'Key input_Biomass_MAgPIE'!R377</f>
        <v>5.5281400000000001E-2</v>
      </c>
      <c r="U386" s="456">
        <f>'Key input_Biomass_MAgPIE'!S377</f>
        <v>5.5281400000000001E-2</v>
      </c>
      <c r="V386" s="456">
        <f>'Key input_Biomass_MAgPIE'!T377</f>
        <v>5.5281400000000001E-2</v>
      </c>
      <c r="W386" s="456">
        <f>'Key input_Biomass_MAgPIE'!U377</f>
        <v>5.5281400000000001E-2</v>
      </c>
      <c r="X386" s="456">
        <f>'Key input_Biomass_MAgPIE'!V377</f>
        <v>5.5281400000000001E-2</v>
      </c>
      <c r="Y386" s="456">
        <f>'Key input_Biomass_MAgPIE'!W377</f>
        <v>5.5281400000000001E-2</v>
      </c>
      <c r="Z386" s="456">
        <f>'Key input_Biomass_MAgPIE'!X377</f>
        <v>5.5281400000000001E-2</v>
      </c>
      <c r="AA386" s="456">
        <f>'Key input_Biomass_MAgPIE'!Y377</f>
        <v>5.5281400000000001E-2</v>
      </c>
      <c r="AB386" s="456">
        <f>'Key input_Biomass_MAgPIE'!Z377</f>
        <v>5.5281400000000001E-2</v>
      </c>
      <c r="AC386" s="456">
        <f>'Key input_Biomass_MAgPIE'!AA377</f>
        <v>5.5281400000000001E-2</v>
      </c>
      <c r="AD386" s="456">
        <f>'Key input_Biomass_MAgPIE'!AB377</f>
        <v>5.5281400000000001E-2</v>
      </c>
      <c r="AE386" s="456">
        <f>'Key input_Biomass_MAgPIE'!AC377</f>
        <v>5.5281400000000001E-2</v>
      </c>
      <c r="AF386" s="456">
        <f>'Key input_Biomass_MAgPIE'!AD377</f>
        <v>5.5281400000000001E-2</v>
      </c>
      <c r="AG386" s="456">
        <f>'Key input_Biomass_MAgPIE'!AE377</f>
        <v>5.5281400000000001E-2</v>
      </c>
      <c r="AH386" s="456">
        <f>'Key input_Biomass_MAgPIE'!AF377</f>
        <v>5.5281400000000001E-2</v>
      </c>
    </row>
    <row r="387" spans="1:34" ht="18.75" customHeight="1">
      <c r="A387" s="4" t="str">
        <f t="shared" si="140"/>
        <v>MIN-RSVBIOCRL2</v>
      </c>
      <c r="B387" s="4" t="str">
        <f t="shared" si="137"/>
        <v>UPS Reserves of Biomass - Cereals - Reserve - Supply curve step 2</v>
      </c>
      <c r="C387" s="4" t="str">
        <f t="shared" si="138"/>
        <v>RSVBIOCRL</v>
      </c>
      <c r="D387" s="4" t="str">
        <f t="shared" si="139"/>
        <v>ACT_COST</v>
      </c>
      <c r="E387" s="4"/>
      <c r="F387" s="4">
        <v>2040</v>
      </c>
      <c r="G387" s="456">
        <f>'Key input_Biomass_MAgPIE'!E378</f>
        <v>5.5281400000000001E-2</v>
      </c>
      <c r="H387" s="456">
        <f>'Key input_Biomass_MAgPIE'!F378</f>
        <v>5.5281400000000001E-2</v>
      </c>
      <c r="I387" s="456">
        <f>'Key input_Biomass_MAgPIE'!G378</f>
        <v>5.5281400000000001E-2</v>
      </c>
      <c r="J387" s="456">
        <f>'Key input_Biomass_MAgPIE'!H378</f>
        <v>5.5281400000000001E-2</v>
      </c>
      <c r="K387" s="456">
        <f>'Key input_Biomass_MAgPIE'!I378</f>
        <v>5.5281400000000001E-2</v>
      </c>
      <c r="L387" s="456">
        <f>'Key input_Biomass_MAgPIE'!J378</f>
        <v>5.5281400000000001E-2</v>
      </c>
      <c r="M387" s="456">
        <f>'Key input_Biomass_MAgPIE'!K378</f>
        <v>5.5281400000000001E-2</v>
      </c>
      <c r="N387" s="456">
        <f>'Key input_Biomass_MAgPIE'!L378</f>
        <v>5.5281400000000001E-2</v>
      </c>
      <c r="O387" s="456">
        <f>'Key input_Biomass_MAgPIE'!M378</f>
        <v>5.5281400000000001E-2</v>
      </c>
      <c r="P387" s="456">
        <f>'Key input_Biomass_MAgPIE'!N378</f>
        <v>5.5281400000000001E-2</v>
      </c>
      <c r="Q387" s="456">
        <f>'Key input_Biomass_MAgPIE'!O378</f>
        <v>5.5281400000000001E-2</v>
      </c>
      <c r="R387" s="456">
        <f>'Key input_Biomass_MAgPIE'!P378</f>
        <v>5.5281400000000001E-2</v>
      </c>
      <c r="S387" s="456">
        <f>'Key input_Biomass_MAgPIE'!Q378</f>
        <v>5.5281400000000001E-2</v>
      </c>
      <c r="T387" s="456">
        <f>'Key input_Biomass_MAgPIE'!R378</f>
        <v>5.5281400000000001E-2</v>
      </c>
      <c r="U387" s="456">
        <f>'Key input_Biomass_MAgPIE'!S378</f>
        <v>5.5281400000000001E-2</v>
      </c>
      <c r="V387" s="456">
        <f>'Key input_Biomass_MAgPIE'!T378</f>
        <v>5.5281400000000001E-2</v>
      </c>
      <c r="W387" s="456">
        <f>'Key input_Biomass_MAgPIE'!U378</f>
        <v>5.5281400000000001E-2</v>
      </c>
      <c r="X387" s="456">
        <f>'Key input_Biomass_MAgPIE'!V378</f>
        <v>5.5281400000000001E-2</v>
      </c>
      <c r="Y387" s="456">
        <f>'Key input_Biomass_MAgPIE'!W378</f>
        <v>5.5281400000000001E-2</v>
      </c>
      <c r="Z387" s="456">
        <f>'Key input_Biomass_MAgPIE'!X378</f>
        <v>5.5281400000000001E-2</v>
      </c>
      <c r="AA387" s="456">
        <f>'Key input_Biomass_MAgPIE'!Y378</f>
        <v>5.5281400000000001E-2</v>
      </c>
      <c r="AB387" s="456">
        <f>'Key input_Biomass_MAgPIE'!Z378</f>
        <v>5.5281400000000001E-2</v>
      </c>
      <c r="AC387" s="456">
        <f>'Key input_Biomass_MAgPIE'!AA378</f>
        <v>5.5281400000000001E-2</v>
      </c>
      <c r="AD387" s="456">
        <f>'Key input_Biomass_MAgPIE'!AB378</f>
        <v>5.5281400000000001E-2</v>
      </c>
      <c r="AE387" s="456">
        <f>'Key input_Biomass_MAgPIE'!AC378</f>
        <v>5.5281400000000001E-2</v>
      </c>
      <c r="AF387" s="456">
        <f>'Key input_Biomass_MAgPIE'!AD378</f>
        <v>5.5281400000000001E-2</v>
      </c>
      <c r="AG387" s="456">
        <f>'Key input_Biomass_MAgPIE'!AE378</f>
        <v>5.5281400000000001E-2</v>
      </c>
      <c r="AH387" s="456">
        <f>'Key input_Biomass_MAgPIE'!AF378</f>
        <v>5.5281400000000001E-2</v>
      </c>
    </row>
    <row r="388" spans="1:34" ht="18.75" customHeight="1">
      <c r="A388" s="4" t="str">
        <f t="shared" si="140"/>
        <v>MIN-RSVBIOCRL2</v>
      </c>
      <c r="B388" s="4" t="str">
        <f t="shared" si="137"/>
        <v>UPS Reserves of Biomass - Cereals - Reserve - Supply curve step 2</v>
      </c>
      <c r="C388" s="4" t="str">
        <f t="shared" si="138"/>
        <v>RSVBIOCRL</v>
      </c>
      <c r="D388" s="4" t="str">
        <f t="shared" si="139"/>
        <v>ACT_COST</v>
      </c>
      <c r="E388" s="4"/>
      <c r="F388" s="4">
        <v>2045</v>
      </c>
      <c r="G388" s="456">
        <f>'Key input_Biomass_MAgPIE'!E379</f>
        <v>5.5281400000000001E-2</v>
      </c>
      <c r="H388" s="456">
        <f>'Key input_Biomass_MAgPIE'!F379</f>
        <v>5.5281400000000001E-2</v>
      </c>
      <c r="I388" s="456">
        <f>'Key input_Biomass_MAgPIE'!G379</f>
        <v>5.5281400000000001E-2</v>
      </c>
      <c r="J388" s="456">
        <f>'Key input_Biomass_MAgPIE'!H379</f>
        <v>5.5281400000000001E-2</v>
      </c>
      <c r="K388" s="456">
        <f>'Key input_Biomass_MAgPIE'!I379</f>
        <v>5.5281400000000001E-2</v>
      </c>
      <c r="L388" s="456">
        <f>'Key input_Biomass_MAgPIE'!J379</f>
        <v>5.5281400000000001E-2</v>
      </c>
      <c r="M388" s="456">
        <f>'Key input_Biomass_MAgPIE'!K379</f>
        <v>5.5281400000000001E-2</v>
      </c>
      <c r="N388" s="456">
        <f>'Key input_Biomass_MAgPIE'!L379</f>
        <v>5.5281400000000001E-2</v>
      </c>
      <c r="O388" s="456">
        <f>'Key input_Biomass_MAgPIE'!M379</f>
        <v>5.5281400000000001E-2</v>
      </c>
      <c r="P388" s="456">
        <f>'Key input_Biomass_MAgPIE'!N379</f>
        <v>5.5281400000000001E-2</v>
      </c>
      <c r="Q388" s="456">
        <f>'Key input_Biomass_MAgPIE'!O379</f>
        <v>5.5281400000000001E-2</v>
      </c>
      <c r="R388" s="456">
        <f>'Key input_Biomass_MAgPIE'!P379</f>
        <v>5.5281400000000001E-2</v>
      </c>
      <c r="S388" s="456">
        <f>'Key input_Biomass_MAgPIE'!Q379</f>
        <v>5.5281400000000001E-2</v>
      </c>
      <c r="T388" s="456">
        <f>'Key input_Biomass_MAgPIE'!R379</f>
        <v>5.5281400000000001E-2</v>
      </c>
      <c r="U388" s="456">
        <f>'Key input_Biomass_MAgPIE'!S379</f>
        <v>5.5281400000000001E-2</v>
      </c>
      <c r="V388" s="456">
        <f>'Key input_Biomass_MAgPIE'!T379</f>
        <v>5.5281400000000001E-2</v>
      </c>
      <c r="W388" s="456">
        <f>'Key input_Biomass_MAgPIE'!U379</f>
        <v>5.5281400000000001E-2</v>
      </c>
      <c r="X388" s="456">
        <f>'Key input_Biomass_MAgPIE'!V379</f>
        <v>5.5281400000000001E-2</v>
      </c>
      <c r="Y388" s="456">
        <f>'Key input_Biomass_MAgPIE'!W379</f>
        <v>5.5281400000000001E-2</v>
      </c>
      <c r="Z388" s="456">
        <f>'Key input_Biomass_MAgPIE'!X379</f>
        <v>5.5281400000000001E-2</v>
      </c>
      <c r="AA388" s="456">
        <f>'Key input_Biomass_MAgPIE'!Y379</f>
        <v>5.5281400000000001E-2</v>
      </c>
      <c r="AB388" s="456">
        <f>'Key input_Biomass_MAgPIE'!Z379</f>
        <v>5.5281400000000001E-2</v>
      </c>
      <c r="AC388" s="456">
        <f>'Key input_Biomass_MAgPIE'!AA379</f>
        <v>5.5281400000000001E-2</v>
      </c>
      <c r="AD388" s="456">
        <f>'Key input_Biomass_MAgPIE'!AB379</f>
        <v>5.5281400000000001E-2</v>
      </c>
      <c r="AE388" s="456">
        <f>'Key input_Biomass_MAgPIE'!AC379</f>
        <v>5.5281400000000001E-2</v>
      </c>
      <c r="AF388" s="456">
        <f>'Key input_Biomass_MAgPIE'!AD379</f>
        <v>5.5281400000000001E-2</v>
      </c>
      <c r="AG388" s="456">
        <f>'Key input_Biomass_MAgPIE'!AE379</f>
        <v>5.5281400000000001E-2</v>
      </c>
      <c r="AH388" s="456">
        <f>'Key input_Biomass_MAgPIE'!AF379</f>
        <v>5.5281400000000001E-2</v>
      </c>
    </row>
    <row r="389" spans="1:34" ht="18.75" customHeight="1">
      <c r="A389" s="4" t="str">
        <f t="shared" si="140"/>
        <v>MIN-RSVBIOCRL2</v>
      </c>
      <c r="B389" s="4" t="str">
        <f t="shared" si="137"/>
        <v>UPS Reserves of Biomass - Cereals - Reserve - Supply curve step 2</v>
      </c>
      <c r="C389" s="4" t="str">
        <f t="shared" si="138"/>
        <v>RSVBIOCRL</v>
      </c>
      <c r="D389" s="4" t="str">
        <f t="shared" si="139"/>
        <v>ACT_COST</v>
      </c>
      <c r="E389" s="4"/>
      <c r="F389" s="4">
        <v>2050</v>
      </c>
      <c r="G389" s="456">
        <f>'Key input_Biomass_MAgPIE'!E380</f>
        <v>5.5281400000000001E-2</v>
      </c>
      <c r="H389" s="456">
        <f>'Key input_Biomass_MAgPIE'!F380</f>
        <v>5.5281400000000001E-2</v>
      </c>
      <c r="I389" s="456">
        <f>'Key input_Biomass_MAgPIE'!G380</f>
        <v>5.5281400000000001E-2</v>
      </c>
      <c r="J389" s="456">
        <f>'Key input_Biomass_MAgPIE'!H380</f>
        <v>5.5281400000000001E-2</v>
      </c>
      <c r="K389" s="456">
        <f>'Key input_Biomass_MAgPIE'!I380</f>
        <v>5.5281400000000001E-2</v>
      </c>
      <c r="L389" s="456">
        <f>'Key input_Biomass_MAgPIE'!J380</f>
        <v>5.5281400000000001E-2</v>
      </c>
      <c r="M389" s="456">
        <f>'Key input_Biomass_MAgPIE'!K380</f>
        <v>5.5281400000000001E-2</v>
      </c>
      <c r="N389" s="456">
        <f>'Key input_Biomass_MAgPIE'!L380</f>
        <v>5.5281400000000001E-2</v>
      </c>
      <c r="O389" s="456">
        <f>'Key input_Biomass_MAgPIE'!M380</f>
        <v>5.5281400000000001E-2</v>
      </c>
      <c r="P389" s="456">
        <f>'Key input_Biomass_MAgPIE'!N380</f>
        <v>5.5281400000000001E-2</v>
      </c>
      <c r="Q389" s="456">
        <f>'Key input_Biomass_MAgPIE'!O380</f>
        <v>5.5281400000000001E-2</v>
      </c>
      <c r="R389" s="456">
        <f>'Key input_Biomass_MAgPIE'!P380</f>
        <v>5.5281400000000001E-2</v>
      </c>
      <c r="S389" s="456">
        <f>'Key input_Biomass_MAgPIE'!Q380</f>
        <v>5.5281400000000001E-2</v>
      </c>
      <c r="T389" s="456">
        <f>'Key input_Biomass_MAgPIE'!R380</f>
        <v>5.5281400000000001E-2</v>
      </c>
      <c r="U389" s="456">
        <f>'Key input_Biomass_MAgPIE'!S380</f>
        <v>5.5281400000000001E-2</v>
      </c>
      <c r="V389" s="456">
        <f>'Key input_Biomass_MAgPIE'!T380</f>
        <v>5.5281400000000001E-2</v>
      </c>
      <c r="W389" s="456">
        <f>'Key input_Biomass_MAgPIE'!U380</f>
        <v>5.5281400000000001E-2</v>
      </c>
      <c r="X389" s="456">
        <f>'Key input_Biomass_MAgPIE'!V380</f>
        <v>5.5281400000000001E-2</v>
      </c>
      <c r="Y389" s="456">
        <f>'Key input_Biomass_MAgPIE'!W380</f>
        <v>5.5281400000000001E-2</v>
      </c>
      <c r="Z389" s="456">
        <f>'Key input_Biomass_MAgPIE'!X380</f>
        <v>5.5281400000000001E-2</v>
      </c>
      <c r="AA389" s="456">
        <f>'Key input_Biomass_MAgPIE'!Y380</f>
        <v>5.5281400000000001E-2</v>
      </c>
      <c r="AB389" s="456">
        <f>'Key input_Biomass_MAgPIE'!Z380</f>
        <v>5.5281400000000001E-2</v>
      </c>
      <c r="AC389" s="456">
        <f>'Key input_Biomass_MAgPIE'!AA380</f>
        <v>5.5281400000000001E-2</v>
      </c>
      <c r="AD389" s="456">
        <f>'Key input_Biomass_MAgPIE'!AB380</f>
        <v>5.5281400000000001E-2</v>
      </c>
      <c r="AE389" s="456">
        <f>'Key input_Biomass_MAgPIE'!AC380</f>
        <v>5.5281400000000001E-2</v>
      </c>
      <c r="AF389" s="456">
        <f>'Key input_Biomass_MAgPIE'!AD380</f>
        <v>5.5281400000000001E-2</v>
      </c>
      <c r="AG389" s="456">
        <f>'Key input_Biomass_MAgPIE'!AE380</f>
        <v>5.5281400000000001E-2</v>
      </c>
      <c r="AH389" s="456">
        <f>'Key input_Biomass_MAgPIE'!AF380</f>
        <v>5.5281400000000001E-2</v>
      </c>
    </row>
    <row r="390" spans="1:34" ht="18.75" customHeight="1">
      <c r="A390" s="4" t="str">
        <f t="shared" si="140"/>
        <v>MIN-RSVBIOCRL2</v>
      </c>
      <c r="B390" s="4" t="str">
        <f t="shared" si="137"/>
        <v>UPS Reserves of Biomass - Cereals - Reserve - Supply curve step 2</v>
      </c>
      <c r="C390" s="4" t="str">
        <f t="shared" si="138"/>
        <v>RSVBIOCRL</v>
      </c>
      <c r="D390" s="4" t="str">
        <f t="shared" si="139"/>
        <v>ACT_COST</v>
      </c>
      <c r="E390" s="4"/>
      <c r="F390" s="4">
        <v>2060</v>
      </c>
      <c r="G390" s="456">
        <f>'Key input_Biomass_MAgPIE'!E381</f>
        <v>5.5281400000000001E-2</v>
      </c>
      <c r="H390" s="456">
        <f>'Key input_Biomass_MAgPIE'!F381</f>
        <v>5.5281400000000001E-2</v>
      </c>
      <c r="I390" s="456">
        <f>'Key input_Biomass_MAgPIE'!G381</f>
        <v>5.5281400000000001E-2</v>
      </c>
      <c r="J390" s="456">
        <f>'Key input_Biomass_MAgPIE'!H381</f>
        <v>5.5281400000000001E-2</v>
      </c>
      <c r="K390" s="456">
        <f>'Key input_Biomass_MAgPIE'!I381</f>
        <v>5.5281400000000001E-2</v>
      </c>
      <c r="L390" s="456">
        <f>'Key input_Biomass_MAgPIE'!J381</f>
        <v>5.5281400000000001E-2</v>
      </c>
      <c r="M390" s="456">
        <f>'Key input_Biomass_MAgPIE'!K381</f>
        <v>5.5281400000000001E-2</v>
      </c>
      <c r="N390" s="456">
        <f>'Key input_Biomass_MAgPIE'!L381</f>
        <v>5.5281400000000001E-2</v>
      </c>
      <c r="O390" s="456">
        <f>'Key input_Biomass_MAgPIE'!M381</f>
        <v>5.5281400000000001E-2</v>
      </c>
      <c r="P390" s="456">
        <f>'Key input_Biomass_MAgPIE'!N381</f>
        <v>5.5281400000000001E-2</v>
      </c>
      <c r="Q390" s="456">
        <f>'Key input_Biomass_MAgPIE'!O381</f>
        <v>5.5281400000000001E-2</v>
      </c>
      <c r="R390" s="456">
        <f>'Key input_Biomass_MAgPIE'!P381</f>
        <v>5.5281400000000001E-2</v>
      </c>
      <c r="S390" s="456">
        <f>'Key input_Biomass_MAgPIE'!Q381</f>
        <v>5.5281400000000001E-2</v>
      </c>
      <c r="T390" s="456">
        <f>'Key input_Biomass_MAgPIE'!R381</f>
        <v>5.5281400000000001E-2</v>
      </c>
      <c r="U390" s="456">
        <f>'Key input_Biomass_MAgPIE'!S381</f>
        <v>5.5281400000000001E-2</v>
      </c>
      <c r="V390" s="456">
        <f>'Key input_Biomass_MAgPIE'!T381</f>
        <v>5.5281400000000001E-2</v>
      </c>
      <c r="W390" s="456">
        <f>'Key input_Biomass_MAgPIE'!U381</f>
        <v>5.5281400000000001E-2</v>
      </c>
      <c r="X390" s="456">
        <f>'Key input_Biomass_MAgPIE'!V381</f>
        <v>5.5281400000000001E-2</v>
      </c>
      <c r="Y390" s="456">
        <f>'Key input_Biomass_MAgPIE'!W381</f>
        <v>5.5281400000000001E-2</v>
      </c>
      <c r="Z390" s="456">
        <f>'Key input_Biomass_MAgPIE'!X381</f>
        <v>5.5281400000000001E-2</v>
      </c>
      <c r="AA390" s="456">
        <f>'Key input_Biomass_MAgPIE'!Y381</f>
        <v>5.5281400000000001E-2</v>
      </c>
      <c r="AB390" s="456">
        <f>'Key input_Biomass_MAgPIE'!Z381</f>
        <v>5.5281400000000001E-2</v>
      </c>
      <c r="AC390" s="456">
        <f>'Key input_Biomass_MAgPIE'!AA381</f>
        <v>5.5281400000000001E-2</v>
      </c>
      <c r="AD390" s="456">
        <f>'Key input_Biomass_MAgPIE'!AB381</f>
        <v>5.5281400000000001E-2</v>
      </c>
      <c r="AE390" s="456">
        <f>'Key input_Biomass_MAgPIE'!AC381</f>
        <v>5.5281400000000001E-2</v>
      </c>
      <c r="AF390" s="456">
        <f>'Key input_Biomass_MAgPIE'!AD381</f>
        <v>5.5281400000000001E-2</v>
      </c>
      <c r="AG390" s="456">
        <f>'Key input_Biomass_MAgPIE'!AE381</f>
        <v>5.5281400000000001E-2</v>
      </c>
      <c r="AH390" s="456">
        <f>'Key input_Biomass_MAgPIE'!AF381</f>
        <v>5.5281400000000001E-2</v>
      </c>
    </row>
    <row r="391" spans="1:34" ht="18.75" customHeight="1">
      <c r="A391" s="4" t="str">
        <f t="shared" si="140"/>
        <v>MIN-RSVBIOCRL2</v>
      </c>
      <c r="B391" s="4" t="str">
        <f t="shared" si="137"/>
        <v>UPS Reserves of Biomass - Cereals - Reserve - Supply curve step 2</v>
      </c>
      <c r="C391" s="4" t="str">
        <f t="shared" si="138"/>
        <v>RSVBIOCRL</v>
      </c>
      <c r="D391" s="4" t="str">
        <f t="shared" si="139"/>
        <v>ACT_COST</v>
      </c>
      <c r="E391" s="4"/>
      <c r="F391" s="4">
        <v>2070</v>
      </c>
      <c r="G391" s="456">
        <f>'Key input_Biomass_MAgPIE'!E382</f>
        <v>5.5281400000000001E-2</v>
      </c>
      <c r="H391" s="456">
        <f>'Key input_Biomass_MAgPIE'!F382</f>
        <v>5.5281400000000001E-2</v>
      </c>
      <c r="I391" s="456">
        <f>'Key input_Biomass_MAgPIE'!G382</f>
        <v>5.5281400000000001E-2</v>
      </c>
      <c r="J391" s="456">
        <f>'Key input_Biomass_MAgPIE'!H382</f>
        <v>5.5281400000000001E-2</v>
      </c>
      <c r="K391" s="456">
        <f>'Key input_Biomass_MAgPIE'!I382</f>
        <v>5.5281400000000001E-2</v>
      </c>
      <c r="L391" s="456">
        <f>'Key input_Biomass_MAgPIE'!J382</f>
        <v>5.5281400000000001E-2</v>
      </c>
      <c r="M391" s="456">
        <f>'Key input_Biomass_MAgPIE'!K382</f>
        <v>5.5281400000000001E-2</v>
      </c>
      <c r="N391" s="456">
        <f>'Key input_Biomass_MAgPIE'!L382</f>
        <v>5.5281400000000001E-2</v>
      </c>
      <c r="O391" s="456">
        <f>'Key input_Biomass_MAgPIE'!M382</f>
        <v>5.5281400000000001E-2</v>
      </c>
      <c r="P391" s="456">
        <f>'Key input_Biomass_MAgPIE'!N382</f>
        <v>5.5281400000000001E-2</v>
      </c>
      <c r="Q391" s="456">
        <f>'Key input_Biomass_MAgPIE'!O382</f>
        <v>5.5281400000000001E-2</v>
      </c>
      <c r="R391" s="456">
        <f>'Key input_Biomass_MAgPIE'!P382</f>
        <v>5.5281400000000001E-2</v>
      </c>
      <c r="S391" s="456">
        <f>'Key input_Biomass_MAgPIE'!Q382</f>
        <v>5.5281400000000001E-2</v>
      </c>
      <c r="T391" s="456">
        <f>'Key input_Biomass_MAgPIE'!R382</f>
        <v>5.5281400000000001E-2</v>
      </c>
      <c r="U391" s="456">
        <f>'Key input_Biomass_MAgPIE'!S382</f>
        <v>5.5281400000000001E-2</v>
      </c>
      <c r="V391" s="456">
        <f>'Key input_Biomass_MAgPIE'!T382</f>
        <v>5.5281400000000001E-2</v>
      </c>
      <c r="W391" s="456">
        <f>'Key input_Biomass_MAgPIE'!U382</f>
        <v>5.5281400000000001E-2</v>
      </c>
      <c r="X391" s="456">
        <f>'Key input_Biomass_MAgPIE'!V382</f>
        <v>5.5281400000000001E-2</v>
      </c>
      <c r="Y391" s="456">
        <f>'Key input_Biomass_MAgPIE'!W382</f>
        <v>5.5281400000000001E-2</v>
      </c>
      <c r="Z391" s="456">
        <f>'Key input_Biomass_MAgPIE'!X382</f>
        <v>5.5281400000000001E-2</v>
      </c>
      <c r="AA391" s="456">
        <f>'Key input_Biomass_MAgPIE'!Y382</f>
        <v>5.5281400000000001E-2</v>
      </c>
      <c r="AB391" s="456">
        <f>'Key input_Biomass_MAgPIE'!Z382</f>
        <v>5.5281400000000001E-2</v>
      </c>
      <c r="AC391" s="456">
        <f>'Key input_Biomass_MAgPIE'!AA382</f>
        <v>5.5281400000000001E-2</v>
      </c>
      <c r="AD391" s="456">
        <f>'Key input_Biomass_MAgPIE'!AB382</f>
        <v>5.5281400000000001E-2</v>
      </c>
      <c r="AE391" s="456">
        <f>'Key input_Biomass_MAgPIE'!AC382</f>
        <v>5.5281400000000001E-2</v>
      </c>
      <c r="AF391" s="456">
        <f>'Key input_Biomass_MAgPIE'!AD382</f>
        <v>5.5281400000000001E-2</v>
      </c>
      <c r="AG391" s="456">
        <f>'Key input_Biomass_MAgPIE'!AE382</f>
        <v>5.5281400000000001E-2</v>
      </c>
      <c r="AH391" s="456">
        <f>'Key input_Biomass_MAgPIE'!AF382</f>
        <v>5.5281400000000001E-2</v>
      </c>
    </row>
    <row r="392" spans="1:34" ht="18.75" customHeight="1">
      <c r="A392" s="4" t="str">
        <f t="shared" si="140"/>
        <v>MIN-RSVBIOCRL2</v>
      </c>
      <c r="B392" s="4" t="str">
        <f t="shared" si="137"/>
        <v>UPS Reserves of Biomass - Cereals - Reserve - Supply curve step 2</v>
      </c>
      <c r="C392" s="4" t="str">
        <f t="shared" si="138"/>
        <v>RSVBIOCRL</v>
      </c>
      <c r="D392" s="4" t="str">
        <f t="shared" si="139"/>
        <v>ACT_COST</v>
      </c>
      <c r="E392" s="4"/>
      <c r="F392" s="4">
        <v>2080</v>
      </c>
      <c r="G392" s="456">
        <f>'Key input_Biomass_MAgPIE'!E383</f>
        <v>5.5281400000000001E-2</v>
      </c>
      <c r="H392" s="456">
        <f>'Key input_Biomass_MAgPIE'!F383</f>
        <v>5.5281400000000001E-2</v>
      </c>
      <c r="I392" s="456">
        <f>'Key input_Biomass_MAgPIE'!G383</f>
        <v>5.5281400000000001E-2</v>
      </c>
      <c r="J392" s="456">
        <f>'Key input_Biomass_MAgPIE'!H383</f>
        <v>5.5281400000000001E-2</v>
      </c>
      <c r="K392" s="456">
        <f>'Key input_Biomass_MAgPIE'!I383</f>
        <v>5.5281400000000001E-2</v>
      </c>
      <c r="L392" s="456">
        <f>'Key input_Biomass_MAgPIE'!J383</f>
        <v>5.5281400000000001E-2</v>
      </c>
      <c r="M392" s="456">
        <f>'Key input_Biomass_MAgPIE'!K383</f>
        <v>5.5281400000000001E-2</v>
      </c>
      <c r="N392" s="456">
        <f>'Key input_Biomass_MAgPIE'!L383</f>
        <v>5.5281400000000001E-2</v>
      </c>
      <c r="O392" s="456">
        <f>'Key input_Biomass_MAgPIE'!M383</f>
        <v>5.5281400000000001E-2</v>
      </c>
      <c r="P392" s="456">
        <f>'Key input_Biomass_MAgPIE'!N383</f>
        <v>5.5281400000000001E-2</v>
      </c>
      <c r="Q392" s="456">
        <f>'Key input_Biomass_MAgPIE'!O383</f>
        <v>5.5281400000000001E-2</v>
      </c>
      <c r="R392" s="456">
        <f>'Key input_Biomass_MAgPIE'!P383</f>
        <v>5.5281400000000001E-2</v>
      </c>
      <c r="S392" s="456">
        <f>'Key input_Biomass_MAgPIE'!Q383</f>
        <v>5.5281400000000001E-2</v>
      </c>
      <c r="T392" s="456">
        <f>'Key input_Biomass_MAgPIE'!R383</f>
        <v>5.5281400000000001E-2</v>
      </c>
      <c r="U392" s="456">
        <f>'Key input_Biomass_MAgPIE'!S383</f>
        <v>5.5281400000000001E-2</v>
      </c>
      <c r="V392" s="456">
        <f>'Key input_Biomass_MAgPIE'!T383</f>
        <v>5.5281400000000001E-2</v>
      </c>
      <c r="W392" s="456">
        <f>'Key input_Biomass_MAgPIE'!U383</f>
        <v>5.5281400000000001E-2</v>
      </c>
      <c r="X392" s="456">
        <f>'Key input_Biomass_MAgPIE'!V383</f>
        <v>5.5281400000000001E-2</v>
      </c>
      <c r="Y392" s="456">
        <f>'Key input_Biomass_MAgPIE'!W383</f>
        <v>5.5281400000000001E-2</v>
      </c>
      <c r="Z392" s="456">
        <f>'Key input_Biomass_MAgPIE'!X383</f>
        <v>5.5281400000000001E-2</v>
      </c>
      <c r="AA392" s="456">
        <f>'Key input_Biomass_MAgPIE'!Y383</f>
        <v>5.5281400000000001E-2</v>
      </c>
      <c r="AB392" s="456">
        <f>'Key input_Biomass_MAgPIE'!Z383</f>
        <v>5.5281400000000001E-2</v>
      </c>
      <c r="AC392" s="456">
        <f>'Key input_Biomass_MAgPIE'!AA383</f>
        <v>5.5281400000000001E-2</v>
      </c>
      <c r="AD392" s="456">
        <f>'Key input_Biomass_MAgPIE'!AB383</f>
        <v>5.5281400000000001E-2</v>
      </c>
      <c r="AE392" s="456">
        <f>'Key input_Biomass_MAgPIE'!AC383</f>
        <v>5.5281400000000001E-2</v>
      </c>
      <c r="AF392" s="456">
        <f>'Key input_Biomass_MAgPIE'!AD383</f>
        <v>5.5281400000000001E-2</v>
      </c>
      <c r="AG392" s="456">
        <f>'Key input_Biomass_MAgPIE'!AE383</f>
        <v>5.5281400000000001E-2</v>
      </c>
      <c r="AH392" s="456">
        <f>'Key input_Biomass_MAgPIE'!AF383</f>
        <v>5.5281400000000001E-2</v>
      </c>
    </row>
    <row r="393" spans="1:34" ht="18.75" customHeight="1">
      <c r="A393" s="4" t="str">
        <f t="shared" si="140"/>
        <v>MIN-RSVBIOCRL2</v>
      </c>
      <c r="B393" s="4" t="str">
        <f t="shared" si="137"/>
        <v>UPS Reserves of Biomass - Cereals - Reserve - Supply curve step 2</v>
      </c>
      <c r="C393" s="4" t="str">
        <f t="shared" si="138"/>
        <v>RSVBIOCRL</v>
      </c>
      <c r="D393" s="4" t="str">
        <f t="shared" si="139"/>
        <v>ACT_COST</v>
      </c>
      <c r="E393" s="4"/>
      <c r="F393" s="4">
        <v>2090</v>
      </c>
      <c r="G393" s="456">
        <f>'Key input_Biomass_MAgPIE'!E384</f>
        <v>5.5281400000000001E-2</v>
      </c>
      <c r="H393" s="456">
        <f>'Key input_Biomass_MAgPIE'!F384</f>
        <v>5.5281400000000001E-2</v>
      </c>
      <c r="I393" s="456">
        <f>'Key input_Biomass_MAgPIE'!G384</f>
        <v>5.5281400000000001E-2</v>
      </c>
      <c r="J393" s="456">
        <f>'Key input_Biomass_MAgPIE'!H384</f>
        <v>5.5281400000000001E-2</v>
      </c>
      <c r="K393" s="456">
        <f>'Key input_Biomass_MAgPIE'!I384</f>
        <v>5.5281400000000001E-2</v>
      </c>
      <c r="L393" s="456">
        <f>'Key input_Biomass_MAgPIE'!J384</f>
        <v>5.5281400000000001E-2</v>
      </c>
      <c r="M393" s="456">
        <f>'Key input_Biomass_MAgPIE'!K384</f>
        <v>5.5281400000000001E-2</v>
      </c>
      <c r="N393" s="456">
        <f>'Key input_Biomass_MAgPIE'!L384</f>
        <v>5.5281400000000001E-2</v>
      </c>
      <c r="O393" s="456">
        <f>'Key input_Biomass_MAgPIE'!M384</f>
        <v>5.5281400000000001E-2</v>
      </c>
      <c r="P393" s="456">
        <f>'Key input_Biomass_MAgPIE'!N384</f>
        <v>5.5281400000000001E-2</v>
      </c>
      <c r="Q393" s="456">
        <f>'Key input_Biomass_MAgPIE'!O384</f>
        <v>5.5281400000000001E-2</v>
      </c>
      <c r="R393" s="456">
        <f>'Key input_Biomass_MAgPIE'!P384</f>
        <v>5.5281400000000001E-2</v>
      </c>
      <c r="S393" s="456">
        <f>'Key input_Biomass_MAgPIE'!Q384</f>
        <v>5.5281400000000001E-2</v>
      </c>
      <c r="T393" s="456">
        <f>'Key input_Biomass_MAgPIE'!R384</f>
        <v>5.5281400000000001E-2</v>
      </c>
      <c r="U393" s="456">
        <f>'Key input_Biomass_MAgPIE'!S384</f>
        <v>5.5281400000000001E-2</v>
      </c>
      <c r="V393" s="456">
        <f>'Key input_Biomass_MAgPIE'!T384</f>
        <v>5.5281400000000001E-2</v>
      </c>
      <c r="W393" s="456">
        <f>'Key input_Biomass_MAgPIE'!U384</f>
        <v>5.5281400000000001E-2</v>
      </c>
      <c r="X393" s="456">
        <f>'Key input_Biomass_MAgPIE'!V384</f>
        <v>5.5281400000000001E-2</v>
      </c>
      <c r="Y393" s="456">
        <f>'Key input_Biomass_MAgPIE'!W384</f>
        <v>5.5281400000000001E-2</v>
      </c>
      <c r="Z393" s="456">
        <f>'Key input_Biomass_MAgPIE'!X384</f>
        <v>5.5281400000000001E-2</v>
      </c>
      <c r="AA393" s="456">
        <f>'Key input_Biomass_MAgPIE'!Y384</f>
        <v>5.5281400000000001E-2</v>
      </c>
      <c r="AB393" s="456">
        <f>'Key input_Biomass_MAgPIE'!Z384</f>
        <v>5.5281400000000001E-2</v>
      </c>
      <c r="AC393" s="456">
        <f>'Key input_Biomass_MAgPIE'!AA384</f>
        <v>5.5281400000000001E-2</v>
      </c>
      <c r="AD393" s="456">
        <f>'Key input_Biomass_MAgPIE'!AB384</f>
        <v>5.5281400000000001E-2</v>
      </c>
      <c r="AE393" s="456">
        <f>'Key input_Biomass_MAgPIE'!AC384</f>
        <v>5.5281400000000001E-2</v>
      </c>
      <c r="AF393" s="456">
        <f>'Key input_Biomass_MAgPIE'!AD384</f>
        <v>5.5281400000000001E-2</v>
      </c>
      <c r="AG393" s="456">
        <f>'Key input_Biomass_MAgPIE'!AE384</f>
        <v>5.5281400000000001E-2</v>
      </c>
      <c r="AH393" s="456">
        <f>'Key input_Biomass_MAgPIE'!AF384</f>
        <v>5.5281400000000001E-2</v>
      </c>
    </row>
    <row r="394" spans="1:34" ht="18.75" customHeight="1">
      <c r="A394" s="259" t="str">
        <f t="shared" si="140"/>
        <v>MIN-RSVBIOCRL2</v>
      </c>
      <c r="B394" s="259" t="str">
        <f t="shared" si="137"/>
        <v>UPS Reserves of Biomass - Cereals - Reserve - Supply curve step 2</v>
      </c>
      <c r="C394" s="259" t="str">
        <f t="shared" si="138"/>
        <v>RSVBIOCRL</v>
      </c>
      <c r="D394" s="259" t="str">
        <f t="shared" si="139"/>
        <v>ACT_COST</v>
      </c>
      <c r="E394" s="259"/>
      <c r="F394" s="259">
        <v>2100</v>
      </c>
      <c r="G394" s="435">
        <f>'Key input_Biomass_MAgPIE'!E385</f>
        <v>5.5281400000000001E-2</v>
      </c>
      <c r="H394" s="435">
        <f>'Key input_Biomass_MAgPIE'!F385</f>
        <v>5.5281400000000001E-2</v>
      </c>
      <c r="I394" s="435">
        <f>'Key input_Biomass_MAgPIE'!G385</f>
        <v>5.5281400000000001E-2</v>
      </c>
      <c r="J394" s="435">
        <f>'Key input_Biomass_MAgPIE'!H385</f>
        <v>5.5281400000000001E-2</v>
      </c>
      <c r="K394" s="435">
        <f>'Key input_Biomass_MAgPIE'!I385</f>
        <v>5.5281400000000001E-2</v>
      </c>
      <c r="L394" s="435">
        <f>'Key input_Biomass_MAgPIE'!J385</f>
        <v>5.5281400000000001E-2</v>
      </c>
      <c r="M394" s="435">
        <f>'Key input_Biomass_MAgPIE'!K385</f>
        <v>5.5281400000000001E-2</v>
      </c>
      <c r="N394" s="435">
        <f>'Key input_Biomass_MAgPIE'!L385</f>
        <v>5.5281400000000001E-2</v>
      </c>
      <c r="O394" s="435">
        <f>'Key input_Biomass_MAgPIE'!M385</f>
        <v>5.5281400000000001E-2</v>
      </c>
      <c r="P394" s="435">
        <f>'Key input_Biomass_MAgPIE'!N385</f>
        <v>5.5281400000000001E-2</v>
      </c>
      <c r="Q394" s="435">
        <f>'Key input_Biomass_MAgPIE'!O385</f>
        <v>5.5281400000000001E-2</v>
      </c>
      <c r="R394" s="435">
        <f>'Key input_Biomass_MAgPIE'!P385</f>
        <v>5.5281400000000001E-2</v>
      </c>
      <c r="S394" s="435">
        <f>'Key input_Biomass_MAgPIE'!Q385</f>
        <v>5.5281400000000001E-2</v>
      </c>
      <c r="T394" s="435">
        <f>'Key input_Biomass_MAgPIE'!R385</f>
        <v>5.5281400000000001E-2</v>
      </c>
      <c r="U394" s="435">
        <f>'Key input_Biomass_MAgPIE'!S385</f>
        <v>5.5281400000000001E-2</v>
      </c>
      <c r="V394" s="435">
        <f>'Key input_Biomass_MAgPIE'!T385</f>
        <v>5.5281400000000001E-2</v>
      </c>
      <c r="W394" s="435">
        <f>'Key input_Biomass_MAgPIE'!U385</f>
        <v>5.5281400000000001E-2</v>
      </c>
      <c r="X394" s="435">
        <f>'Key input_Biomass_MAgPIE'!V385</f>
        <v>5.5281400000000001E-2</v>
      </c>
      <c r="Y394" s="435">
        <f>'Key input_Biomass_MAgPIE'!W385</f>
        <v>5.5281400000000001E-2</v>
      </c>
      <c r="Z394" s="435">
        <f>'Key input_Biomass_MAgPIE'!X385</f>
        <v>5.5281400000000001E-2</v>
      </c>
      <c r="AA394" s="435">
        <f>'Key input_Biomass_MAgPIE'!Y385</f>
        <v>5.5281400000000001E-2</v>
      </c>
      <c r="AB394" s="435">
        <f>'Key input_Biomass_MAgPIE'!Z385</f>
        <v>5.5281400000000001E-2</v>
      </c>
      <c r="AC394" s="435">
        <f>'Key input_Biomass_MAgPIE'!AA385</f>
        <v>5.5281400000000001E-2</v>
      </c>
      <c r="AD394" s="435">
        <f>'Key input_Biomass_MAgPIE'!AB385</f>
        <v>5.5281400000000001E-2</v>
      </c>
      <c r="AE394" s="435">
        <f>'Key input_Biomass_MAgPIE'!AC385</f>
        <v>5.5281400000000001E-2</v>
      </c>
      <c r="AF394" s="435">
        <f>'Key input_Biomass_MAgPIE'!AD385</f>
        <v>5.5281400000000001E-2</v>
      </c>
      <c r="AG394" s="435">
        <f>'Key input_Biomass_MAgPIE'!AE385</f>
        <v>5.5281400000000001E-2</v>
      </c>
      <c r="AH394" s="435">
        <f>'Key input_Biomass_MAgPIE'!AF385</f>
        <v>5.5281400000000001E-2</v>
      </c>
    </row>
    <row r="395" spans="1:34">
      <c r="A395" s="4" t="str">
        <f>AK25</f>
        <v>MIN-RSVBIOCRL3</v>
      </c>
      <c r="B395" s="4" t="str">
        <f>AL25</f>
        <v>UPS Reserves of Biomass - Cereals - Reserve - Supply curve step 3</v>
      </c>
      <c r="C395" s="4" t="str">
        <f>Commodities!$C$19</f>
        <v>RSVBIOCRL</v>
      </c>
      <c r="D395" s="4" t="s">
        <v>675</v>
      </c>
      <c r="E395" s="4"/>
      <c r="F395" s="4">
        <v>2019</v>
      </c>
      <c r="G395" s="258">
        <f>'Key input_Biomass_MAgPIE'!E386</f>
        <v>0.1105628</v>
      </c>
      <c r="H395" s="258">
        <f>'Key input_Biomass_MAgPIE'!F386</f>
        <v>0.1105628</v>
      </c>
      <c r="I395" s="258">
        <f>'Key input_Biomass_MAgPIE'!G386</f>
        <v>0.1105628</v>
      </c>
      <c r="J395" s="258">
        <f>'Key input_Biomass_MAgPIE'!H386</f>
        <v>0.1105628</v>
      </c>
      <c r="K395" s="258">
        <f>'Key input_Biomass_MAgPIE'!I386</f>
        <v>0.1105628</v>
      </c>
      <c r="L395" s="258">
        <f>'Key input_Biomass_MAgPIE'!J386</f>
        <v>0.1105628</v>
      </c>
      <c r="M395" s="258">
        <f>'Key input_Biomass_MAgPIE'!K386</f>
        <v>0.1105628</v>
      </c>
      <c r="N395" s="258">
        <f>'Key input_Biomass_MAgPIE'!L386</f>
        <v>0.1105628</v>
      </c>
      <c r="O395" s="258">
        <f>'Key input_Biomass_MAgPIE'!M386</f>
        <v>0.1105628</v>
      </c>
      <c r="P395" s="258">
        <f>'Key input_Biomass_MAgPIE'!N386</f>
        <v>0.1105628</v>
      </c>
      <c r="Q395" s="258">
        <f>'Key input_Biomass_MAgPIE'!O386</f>
        <v>0.1105628</v>
      </c>
      <c r="R395" s="258">
        <f>'Key input_Biomass_MAgPIE'!P386</f>
        <v>0.1105628</v>
      </c>
      <c r="S395" s="258">
        <f>'Key input_Biomass_MAgPIE'!Q386</f>
        <v>0.1105628</v>
      </c>
      <c r="T395" s="258">
        <f>'Key input_Biomass_MAgPIE'!R386</f>
        <v>0.1105628</v>
      </c>
      <c r="U395" s="258">
        <f>'Key input_Biomass_MAgPIE'!S386</f>
        <v>0.1105628</v>
      </c>
      <c r="V395" s="258">
        <f>'Key input_Biomass_MAgPIE'!T386</f>
        <v>0.1105628</v>
      </c>
      <c r="W395" s="258">
        <f>'Key input_Biomass_MAgPIE'!U386</f>
        <v>0.1105628</v>
      </c>
      <c r="X395" s="258">
        <f>'Key input_Biomass_MAgPIE'!V386</f>
        <v>0.1105628</v>
      </c>
      <c r="Y395" s="258">
        <f>'Key input_Biomass_MAgPIE'!W386</f>
        <v>0.1105628</v>
      </c>
      <c r="Z395" s="258">
        <f>'Key input_Biomass_MAgPIE'!X386</f>
        <v>0.1105628</v>
      </c>
      <c r="AA395" s="258">
        <f>'Key input_Biomass_MAgPIE'!Y386</f>
        <v>0.1105628</v>
      </c>
      <c r="AB395" s="258">
        <f>'Key input_Biomass_MAgPIE'!Z386</f>
        <v>0.1105628</v>
      </c>
      <c r="AC395" s="258">
        <f>'Key input_Biomass_MAgPIE'!AA386</f>
        <v>0.1105628</v>
      </c>
      <c r="AD395" s="258">
        <f>'Key input_Biomass_MAgPIE'!AB386</f>
        <v>0.1105628</v>
      </c>
      <c r="AE395" s="258">
        <f>'Key input_Biomass_MAgPIE'!AC386</f>
        <v>0.1105628</v>
      </c>
      <c r="AF395" s="258">
        <f>'Key input_Biomass_MAgPIE'!AD386</f>
        <v>0.1105628</v>
      </c>
      <c r="AG395" s="258">
        <f>'Key input_Biomass_MAgPIE'!AE386</f>
        <v>0.1105628</v>
      </c>
      <c r="AH395" s="258">
        <f>'Key input_Biomass_MAgPIE'!AF386</f>
        <v>0.1105628</v>
      </c>
    </row>
    <row r="396" spans="1:34">
      <c r="A396" s="4" t="str">
        <f>A395</f>
        <v>MIN-RSVBIOCRL3</v>
      </c>
      <c r="B396" s="4" t="str">
        <f t="shared" ref="B396:B407" si="141">B395</f>
        <v>UPS Reserves of Biomass - Cereals - Reserve - Supply curve step 3</v>
      </c>
      <c r="C396" s="4" t="str">
        <f t="shared" ref="C396:C407" si="142">C395</f>
        <v>RSVBIOCRL</v>
      </c>
      <c r="D396" s="4" t="str">
        <f t="shared" ref="D396:D407" si="143">D395</f>
        <v>ACT_COST</v>
      </c>
      <c r="E396" s="4"/>
      <c r="F396" s="4">
        <v>2020</v>
      </c>
      <c r="G396" s="456">
        <f>'Key input_Biomass_MAgPIE'!E387</f>
        <v>0.1105628</v>
      </c>
      <c r="H396" s="456">
        <f>'Key input_Biomass_MAgPIE'!F387</f>
        <v>0.1105628</v>
      </c>
      <c r="I396" s="456">
        <f>'Key input_Biomass_MAgPIE'!G387</f>
        <v>0.1105628</v>
      </c>
      <c r="J396" s="456">
        <f>'Key input_Biomass_MAgPIE'!H387</f>
        <v>0.1105628</v>
      </c>
      <c r="K396" s="456">
        <f>'Key input_Biomass_MAgPIE'!I387</f>
        <v>0.1105628</v>
      </c>
      <c r="L396" s="456">
        <f>'Key input_Biomass_MAgPIE'!J387</f>
        <v>0.1105628</v>
      </c>
      <c r="M396" s="456">
        <f>'Key input_Biomass_MAgPIE'!K387</f>
        <v>0.1105628</v>
      </c>
      <c r="N396" s="456">
        <f>'Key input_Biomass_MAgPIE'!L387</f>
        <v>0.1105628</v>
      </c>
      <c r="O396" s="456">
        <f>'Key input_Biomass_MAgPIE'!M387</f>
        <v>0.1105628</v>
      </c>
      <c r="P396" s="456">
        <f>'Key input_Biomass_MAgPIE'!N387</f>
        <v>0.1105628</v>
      </c>
      <c r="Q396" s="456">
        <f>'Key input_Biomass_MAgPIE'!O387</f>
        <v>0.1105628</v>
      </c>
      <c r="R396" s="456">
        <f>'Key input_Biomass_MAgPIE'!P387</f>
        <v>0.1105628</v>
      </c>
      <c r="S396" s="456">
        <f>'Key input_Biomass_MAgPIE'!Q387</f>
        <v>0.1105628</v>
      </c>
      <c r="T396" s="456">
        <f>'Key input_Biomass_MAgPIE'!R387</f>
        <v>0.1105628</v>
      </c>
      <c r="U396" s="456">
        <f>'Key input_Biomass_MAgPIE'!S387</f>
        <v>0.1105628</v>
      </c>
      <c r="V396" s="456">
        <f>'Key input_Biomass_MAgPIE'!T387</f>
        <v>0.1105628</v>
      </c>
      <c r="W396" s="456">
        <f>'Key input_Biomass_MAgPIE'!U387</f>
        <v>0.1105628</v>
      </c>
      <c r="X396" s="456">
        <f>'Key input_Biomass_MAgPIE'!V387</f>
        <v>0.1105628</v>
      </c>
      <c r="Y396" s="456">
        <f>'Key input_Biomass_MAgPIE'!W387</f>
        <v>0.1105628</v>
      </c>
      <c r="Z396" s="456">
        <f>'Key input_Biomass_MAgPIE'!X387</f>
        <v>0.1105628</v>
      </c>
      <c r="AA396" s="456">
        <f>'Key input_Biomass_MAgPIE'!Y387</f>
        <v>0.1105628</v>
      </c>
      <c r="AB396" s="456">
        <f>'Key input_Biomass_MAgPIE'!Z387</f>
        <v>0.1105628</v>
      </c>
      <c r="AC396" s="456">
        <f>'Key input_Biomass_MAgPIE'!AA387</f>
        <v>0.1105628</v>
      </c>
      <c r="AD396" s="456">
        <f>'Key input_Biomass_MAgPIE'!AB387</f>
        <v>0.1105628</v>
      </c>
      <c r="AE396" s="456">
        <f>'Key input_Biomass_MAgPIE'!AC387</f>
        <v>0.1105628</v>
      </c>
      <c r="AF396" s="456">
        <f>'Key input_Biomass_MAgPIE'!AD387</f>
        <v>0.1105628</v>
      </c>
      <c r="AG396" s="456">
        <f>'Key input_Biomass_MAgPIE'!AE387</f>
        <v>0.1105628</v>
      </c>
      <c r="AH396" s="456">
        <f>'Key input_Biomass_MAgPIE'!AF387</f>
        <v>0.1105628</v>
      </c>
    </row>
    <row r="397" spans="1:34">
      <c r="A397" s="4" t="str">
        <f t="shared" ref="A397:A407" si="144">A396</f>
        <v>MIN-RSVBIOCRL3</v>
      </c>
      <c r="B397" s="4" t="str">
        <f t="shared" si="141"/>
        <v>UPS Reserves of Biomass - Cereals - Reserve - Supply curve step 3</v>
      </c>
      <c r="C397" s="4" t="str">
        <f t="shared" si="142"/>
        <v>RSVBIOCRL</v>
      </c>
      <c r="D397" s="4" t="str">
        <f t="shared" si="143"/>
        <v>ACT_COST</v>
      </c>
      <c r="E397" s="4"/>
      <c r="F397" s="4">
        <v>2025</v>
      </c>
      <c r="G397" s="456">
        <f>'Key input_Biomass_MAgPIE'!E388</f>
        <v>0.1105628</v>
      </c>
      <c r="H397" s="456">
        <f>'Key input_Biomass_MAgPIE'!F388</f>
        <v>0.1105628</v>
      </c>
      <c r="I397" s="456">
        <f>'Key input_Biomass_MAgPIE'!G388</f>
        <v>0.1105628</v>
      </c>
      <c r="J397" s="456">
        <f>'Key input_Biomass_MAgPIE'!H388</f>
        <v>0.1105628</v>
      </c>
      <c r="K397" s="456">
        <f>'Key input_Biomass_MAgPIE'!I388</f>
        <v>0.1105628</v>
      </c>
      <c r="L397" s="456">
        <f>'Key input_Biomass_MAgPIE'!J388</f>
        <v>0.1105628</v>
      </c>
      <c r="M397" s="456">
        <f>'Key input_Biomass_MAgPIE'!K388</f>
        <v>0.1105628</v>
      </c>
      <c r="N397" s="456">
        <f>'Key input_Biomass_MAgPIE'!L388</f>
        <v>0.1105628</v>
      </c>
      <c r="O397" s="456">
        <f>'Key input_Biomass_MAgPIE'!M388</f>
        <v>0.1105628</v>
      </c>
      <c r="P397" s="456">
        <f>'Key input_Biomass_MAgPIE'!N388</f>
        <v>0.1105628</v>
      </c>
      <c r="Q397" s="456">
        <f>'Key input_Biomass_MAgPIE'!O388</f>
        <v>0.1105628</v>
      </c>
      <c r="R397" s="456">
        <f>'Key input_Biomass_MAgPIE'!P388</f>
        <v>0.1105628</v>
      </c>
      <c r="S397" s="456">
        <f>'Key input_Biomass_MAgPIE'!Q388</f>
        <v>0.1105628</v>
      </c>
      <c r="T397" s="456">
        <f>'Key input_Biomass_MAgPIE'!R388</f>
        <v>0.1105628</v>
      </c>
      <c r="U397" s="456">
        <f>'Key input_Biomass_MAgPIE'!S388</f>
        <v>0.1105628</v>
      </c>
      <c r="V397" s="456">
        <f>'Key input_Biomass_MAgPIE'!T388</f>
        <v>0.1105628</v>
      </c>
      <c r="W397" s="456">
        <f>'Key input_Biomass_MAgPIE'!U388</f>
        <v>0.1105628</v>
      </c>
      <c r="X397" s="456">
        <f>'Key input_Biomass_MAgPIE'!V388</f>
        <v>0.1105628</v>
      </c>
      <c r="Y397" s="456">
        <f>'Key input_Biomass_MAgPIE'!W388</f>
        <v>0.1105628</v>
      </c>
      <c r="Z397" s="456">
        <f>'Key input_Biomass_MAgPIE'!X388</f>
        <v>0.1105628</v>
      </c>
      <c r="AA397" s="456">
        <f>'Key input_Biomass_MAgPIE'!Y388</f>
        <v>0.1105628</v>
      </c>
      <c r="AB397" s="456">
        <f>'Key input_Biomass_MAgPIE'!Z388</f>
        <v>0.1105628</v>
      </c>
      <c r="AC397" s="456">
        <f>'Key input_Biomass_MAgPIE'!AA388</f>
        <v>0.1105628</v>
      </c>
      <c r="AD397" s="456">
        <f>'Key input_Biomass_MAgPIE'!AB388</f>
        <v>0.1105628</v>
      </c>
      <c r="AE397" s="456">
        <f>'Key input_Biomass_MAgPIE'!AC388</f>
        <v>0.1105628</v>
      </c>
      <c r="AF397" s="456">
        <f>'Key input_Biomass_MAgPIE'!AD388</f>
        <v>0.1105628</v>
      </c>
      <c r="AG397" s="456">
        <f>'Key input_Biomass_MAgPIE'!AE388</f>
        <v>0.1105628</v>
      </c>
      <c r="AH397" s="456">
        <f>'Key input_Biomass_MAgPIE'!AF388</f>
        <v>0.1105628</v>
      </c>
    </row>
    <row r="398" spans="1:34">
      <c r="A398" s="4" t="str">
        <f t="shared" si="144"/>
        <v>MIN-RSVBIOCRL3</v>
      </c>
      <c r="B398" s="4" t="str">
        <f t="shared" si="141"/>
        <v>UPS Reserves of Biomass - Cereals - Reserve - Supply curve step 3</v>
      </c>
      <c r="C398" s="4" t="str">
        <f t="shared" si="142"/>
        <v>RSVBIOCRL</v>
      </c>
      <c r="D398" s="4" t="str">
        <f t="shared" si="143"/>
        <v>ACT_COST</v>
      </c>
      <c r="E398" s="4"/>
      <c r="F398" s="4">
        <v>2030</v>
      </c>
      <c r="G398" s="456">
        <f>'Key input_Biomass_MAgPIE'!E389</f>
        <v>0.1105628</v>
      </c>
      <c r="H398" s="456">
        <f>'Key input_Biomass_MAgPIE'!F389</f>
        <v>0.1105628</v>
      </c>
      <c r="I398" s="456">
        <f>'Key input_Biomass_MAgPIE'!G389</f>
        <v>0.1105628</v>
      </c>
      <c r="J398" s="456">
        <f>'Key input_Biomass_MAgPIE'!H389</f>
        <v>0.1105628</v>
      </c>
      <c r="K398" s="456">
        <f>'Key input_Biomass_MAgPIE'!I389</f>
        <v>0.1105628</v>
      </c>
      <c r="L398" s="456">
        <f>'Key input_Biomass_MAgPIE'!J389</f>
        <v>0.1105628</v>
      </c>
      <c r="M398" s="456">
        <f>'Key input_Biomass_MAgPIE'!K389</f>
        <v>0.1105628</v>
      </c>
      <c r="N398" s="456">
        <f>'Key input_Biomass_MAgPIE'!L389</f>
        <v>0.1105628</v>
      </c>
      <c r="O398" s="456">
        <f>'Key input_Biomass_MAgPIE'!M389</f>
        <v>0.1105628</v>
      </c>
      <c r="P398" s="456">
        <f>'Key input_Biomass_MAgPIE'!N389</f>
        <v>0.1105628</v>
      </c>
      <c r="Q398" s="456">
        <f>'Key input_Biomass_MAgPIE'!O389</f>
        <v>0.1105628</v>
      </c>
      <c r="R398" s="456">
        <f>'Key input_Biomass_MAgPIE'!P389</f>
        <v>0.1105628</v>
      </c>
      <c r="S398" s="456">
        <f>'Key input_Biomass_MAgPIE'!Q389</f>
        <v>0.1105628</v>
      </c>
      <c r="T398" s="456">
        <f>'Key input_Biomass_MAgPIE'!R389</f>
        <v>0.1105628</v>
      </c>
      <c r="U398" s="456">
        <f>'Key input_Biomass_MAgPIE'!S389</f>
        <v>0.1105628</v>
      </c>
      <c r="V398" s="456">
        <f>'Key input_Biomass_MAgPIE'!T389</f>
        <v>0.1105628</v>
      </c>
      <c r="W398" s="456">
        <f>'Key input_Biomass_MAgPIE'!U389</f>
        <v>0.1105628</v>
      </c>
      <c r="X398" s="456">
        <f>'Key input_Biomass_MAgPIE'!V389</f>
        <v>0.1105628</v>
      </c>
      <c r="Y398" s="456">
        <f>'Key input_Biomass_MAgPIE'!W389</f>
        <v>0.1105628</v>
      </c>
      <c r="Z398" s="456">
        <f>'Key input_Biomass_MAgPIE'!X389</f>
        <v>0.1105628</v>
      </c>
      <c r="AA398" s="456">
        <f>'Key input_Biomass_MAgPIE'!Y389</f>
        <v>0.1105628</v>
      </c>
      <c r="AB398" s="456">
        <f>'Key input_Biomass_MAgPIE'!Z389</f>
        <v>0.1105628</v>
      </c>
      <c r="AC398" s="456">
        <f>'Key input_Biomass_MAgPIE'!AA389</f>
        <v>0.1105628</v>
      </c>
      <c r="AD398" s="456">
        <f>'Key input_Biomass_MAgPIE'!AB389</f>
        <v>0.1105628</v>
      </c>
      <c r="AE398" s="456">
        <f>'Key input_Biomass_MAgPIE'!AC389</f>
        <v>0.1105628</v>
      </c>
      <c r="AF398" s="456">
        <f>'Key input_Biomass_MAgPIE'!AD389</f>
        <v>0.1105628</v>
      </c>
      <c r="AG398" s="456">
        <f>'Key input_Biomass_MAgPIE'!AE389</f>
        <v>0.1105628</v>
      </c>
      <c r="AH398" s="456">
        <f>'Key input_Biomass_MAgPIE'!AF389</f>
        <v>0.1105628</v>
      </c>
    </row>
    <row r="399" spans="1:34">
      <c r="A399" s="4" t="str">
        <f t="shared" si="144"/>
        <v>MIN-RSVBIOCRL3</v>
      </c>
      <c r="B399" s="4" t="str">
        <f t="shared" si="141"/>
        <v>UPS Reserves of Biomass - Cereals - Reserve - Supply curve step 3</v>
      </c>
      <c r="C399" s="4" t="str">
        <f t="shared" si="142"/>
        <v>RSVBIOCRL</v>
      </c>
      <c r="D399" s="4" t="str">
        <f t="shared" si="143"/>
        <v>ACT_COST</v>
      </c>
      <c r="E399" s="4"/>
      <c r="F399" s="4">
        <v>2035</v>
      </c>
      <c r="G399" s="456">
        <f>'Key input_Biomass_MAgPIE'!E390</f>
        <v>0.1105628</v>
      </c>
      <c r="H399" s="456">
        <f>'Key input_Biomass_MAgPIE'!F390</f>
        <v>0.1105628</v>
      </c>
      <c r="I399" s="456">
        <f>'Key input_Biomass_MAgPIE'!G390</f>
        <v>0.1105628</v>
      </c>
      <c r="J399" s="456">
        <f>'Key input_Biomass_MAgPIE'!H390</f>
        <v>0.1105628</v>
      </c>
      <c r="K399" s="456">
        <f>'Key input_Biomass_MAgPIE'!I390</f>
        <v>0.1105628</v>
      </c>
      <c r="L399" s="456">
        <f>'Key input_Biomass_MAgPIE'!J390</f>
        <v>0.1105628</v>
      </c>
      <c r="M399" s="456">
        <f>'Key input_Biomass_MAgPIE'!K390</f>
        <v>0.1105628</v>
      </c>
      <c r="N399" s="456">
        <f>'Key input_Biomass_MAgPIE'!L390</f>
        <v>0.1105628</v>
      </c>
      <c r="O399" s="456">
        <f>'Key input_Biomass_MAgPIE'!M390</f>
        <v>0.1105628</v>
      </c>
      <c r="P399" s="456">
        <f>'Key input_Biomass_MAgPIE'!N390</f>
        <v>0.1105628</v>
      </c>
      <c r="Q399" s="456">
        <f>'Key input_Biomass_MAgPIE'!O390</f>
        <v>0.1105628</v>
      </c>
      <c r="R399" s="456">
        <f>'Key input_Biomass_MAgPIE'!P390</f>
        <v>0.1105628</v>
      </c>
      <c r="S399" s="456">
        <f>'Key input_Biomass_MAgPIE'!Q390</f>
        <v>0.1105628</v>
      </c>
      <c r="T399" s="456">
        <f>'Key input_Biomass_MAgPIE'!R390</f>
        <v>0.1105628</v>
      </c>
      <c r="U399" s="456">
        <f>'Key input_Biomass_MAgPIE'!S390</f>
        <v>0.1105628</v>
      </c>
      <c r="V399" s="456">
        <f>'Key input_Biomass_MAgPIE'!T390</f>
        <v>0.1105628</v>
      </c>
      <c r="W399" s="456">
        <f>'Key input_Biomass_MAgPIE'!U390</f>
        <v>0.1105628</v>
      </c>
      <c r="X399" s="456">
        <f>'Key input_Biomass_MAgPIE'!V390</f>
        <v>0.1105628</v>
      </c>
      <c r="Y399" s="456">
        <f>'Key input_Biomass_MAgPIE'!W390</f>
        <v>0.1105628</v>
      </c>
      <c r="Z399" s="456">
        <f>'Key input_Biomass_MAgPIE'!X390</f>
        <v>0.1105628</v>
      </c>
      <c r="AA399" s="456">
        <f>'Key input_Biomass_MAgPIE'!Y390</f>
        <v>0.1105628</v>
      </c>
      <c r="AB399" s="456">
        <f>'Key input_Biomass_MAgPIE'!Z390</f>
        <v>0.1105628</v>
      </c>
      <c r="AC399" s="456">
        <f>'Key input_Biomass_MAgPIE'!AA390</f>
        <v>0.1105628</v>
      </c>
      <c r="AD399" s="456">
        <f>'Key input_Biomass_MAgPIE'!AB390</f>
        <v>0.1105628</v>
      </c>
      <c r="AE399" s="456">
        <f>'Key input_Biomass_MAgPIE'!AC390</f>
        <v>0.1105628</v>
      </c>
      <c r="AF399" s="456">
        <f>'Key input_Biomass_MAgPIE'!AD390</f>
        <v>0.1105628</v>
      </c>
      <c r="AG399" s="456">
        <f>'Key input_Biomass_MAgPIE'!AE390</f>
        <v>0.1105628</v>
      </c>
      <c r="AH399" s="456">
        <f>'Key input_Biomass_MAgPIE'!AF390</f>
        <v>0.1105628</v>
      </c>
    </row>
    <row r="400" spans="1:34">
      <c r="A400" s="4" t="str">
        <f t="shared" si="144"/>
        <v>MIN-RSVBIOCRL3</v>
      </c>
      <c r="B400" s="4" t="str">
        <f t="shared" si="141"/>
        <v>UPS Reserves of Biomass - Cereals - Reserve - Supply curve step 3</v>
      </c>
      <c r="C400" s="4" t="str">
        <f t="shared" si="142"/>
        <v>RSVBIOCRL</v>
      </c>
      <c r="D400" s="4" t="str">
        <f t="shared" si="143"/>
        <v>ACT_COST</v>
      </c>
      <c r="E400" s="4"/>
      <c r="F400" s="4">
        <v>2040</v>
      </c>
      <c r="G400" s="456">
        <f>'Key input_Biomass_MAgPIE'!E391</f>
        <v>0.1105628</v>
      </c>
      <c r="H400" s="456">
        <f>'Key input_Biomass_MAgPIE'!F391</f>
        <v>0.1105628</v>
      </c>
      <c r="I400" s="456">
        <f>'Key input_Biomass_MAgPIE'!G391</f>
        <v>0.1105628</v>
      </c>
      <c r="J400" s="456">
        <f>'Key input_Biomass_MAgPIE'!H391</f>
        <v>0.1105628</v>
      </c>
      <c r="K400" s="456">
        <f>'Key input_Biomass_MAgPIE'!I391</f>
        <v>0.1105628</v>
      </c>
      <c r="L400" s="456">
        <f>'Key input_Biomass_MAgPIE'!J391</f>
        <v>0.1105628</v>
      </c>
      <c r="M400" s="456">
        <f>'Key input_Biomass_MAgPIE'!K391</f>
        <v>0.1105628</v>
      </c>
      <c r="N400" s="456">
        <f>'Key input_Biomass_MAgPIE'!L391</f>
        <v>0.1105628</v>
      </c>
      <c r="O400" s="456">
        <f>'Key input_Biomass_MAgPIE'!M391</f>
        <v>0.1105628</v>
      </c>
      <c r="P400" s="456">
        <f>'Key input_Biomass_MAgPIE'!N391</f>
        <v>0.1105628</v>
      </c>
      <c r="Q400" s="456">
        <f>'Key input_Biomass_MAgPIE'!O391</f>
        <v>0.1105628</v>
      </c>
      <c r="R400" s="456">
        <f>'Key input_Biomass_MAgPIE'!P391</f>
        <v>0.1105628</v>
      </c>
      <c r="S400" s="456">
        <f>'Key input_Biomass_MAgPIE'!Q391</f>
        <v>0.1105628</v>
      </c>
      <c r="T400" s="456">
        <f>'Key input_Biomass_MAgPIE'!R391</f>
        <v>0.1105628</v>
      </c>
      <c r="U400" s="456">
        <f>'Key input_Biomass_MAgPIE'!S391</f>
        <v>0.1105628</v>
      </c>
      <c r="V400" s="456">
        <f>'Key input_Biomass_MAgPIE'!T391</f>
        <v>0.1105628</v>
      </c>
      <c r="W400" s="456">
        <f>'Key input_Biomass_MAgPIE'!U391</f>
        <v>0.1105628</v>
      </c>
      <c r="X400" s="456">
        <f>'Key input_Biomass_MAgPIE'!V391</f>
        <v>0.1105628</v>
      </c>
      <c r="Y400" s="456">
        <f>'Key input_Biomass_MAgPIE'!W391</f>
        <v>0.1105628</v>
      </c>
      <c r="Z400" s="456">
        <f>'Key input_Biomass_MAgPIE'!X391</f>
        <v>0.1105628</v>
      </c>
      <c r="AA400" s="456">
        <f>'Key input_Biomass_MAgPIE'!Y391</f>
        <v>0.1105628</v>
      </c>
      <c r="AB400" s="456">
        <f>'Key input_Biomass_MAgPIE'!Z391</f>
        <v>0.1105628</v>
      </c>
      <c r="AC400" s="456">
        <f>'Key input_Biomass_MAgPIE'!AA391</f>
        <v>0.1105628</v>
      </c>
      <c r="AD400" s="456">
        <f>'Key input_Biomass_MAgPIE'!AB391</f>
        <v>0.1105628</v>
      </c>
      <c r="AE400" s="456">
        <f>'Key input_Biomass_MAgPIE'!AC391</f>
        <v>0.1105628</v>
      </c>
      <c r="AF400" s="456">
        <f>'Key input_Biomass_MAgPIE'!AD391</f>
        <v>0.1105628</v>
      </c>
      <c r="AG400" s="456">
        <f>'Key input_Biomass_MAgPIE'!AE391</f>
        <v>0.1105628</v>
      </c>
      <c r="AH400" s="456">
        <f>'Key input_Biomass_MAgPIE'!AF391</f>
        <v>0.1105628</v>
      </c>
    </row>
    <row r="401" spans="1:34">
      <c r="A401" s="4" t="str">
        <f t="shared" si="144"/>
        <v>MIN-RSVBIOCRL3</v>
      </c>
      <c r="B401" s="4" t="str">
        <f t="shared" si="141"/>
        <v>UPS Reserves of Biomass - Cereals - Reserve - Supply curve step 3</v>
      </c>
      <c r="C401" s="4" t="str">
        <f t="shared" si="142"/>
        <v>RSVBIOCRL</v>
      </c>
      <c r="D401" s="4" t="str">
        <f t="shared" si="143"/>
        <v>ACT_COST</v>
      </c>
      <c r="E401" s="4"/>
      <c r="F401" s="4">
        <v>2045</v>
      </c>
      <c r="G401" s="456">
        <f>'Key input_Biomass_MAgPIE'!E392</f>
        <v>0.1105628</v>
      </c>
      <c r="H401" s="456">
        <f>'Key input_Biomass_MAgPIE'!F392</f>
        <v>0.1105628</v>
      </c>
      <c r="I401" s="456">
        <f>'Key input_Biomass_MAgPIE'!G392</f>
        <v>0.1105628</v>
      </c>
      <c r="J401" s="456">
        <f>'Key input_Biomass_MAgPIE'!H392</f>
        <v>0.1105628</v>
      </c>
      <c r="K401" s="456">
        <f>'Key input_Biomass_MAgPIE'!I392</f>
        <v>0.1105628</v>
      </c>
      <c r="L401" s="456">
        <f>'Key input_Biomass_MAgPIE'!J392</f>
        <v>0.1105628</v>
      </c>
      <c r="M401" s="456">
        <f>'Key input_Biomass_MAgPIE'!K392</f>
        <v>0.1105628</v>
      </c>
      <c r="N401" s="456">
        <f>'Key input_Biomass_MAgPIE'!L392</f>
        <v>0.1105628</v>
      </c>
      <c r="O401" s="456">
        <f>'Key input_Biomass_MAgPIE'!M392</f>
        <v>0.1105628</v>
      </c>
      <c r="P401" s="456">
        <f>'Key input_Biomass_MAgPIE'!N392</f>
        <v>0.1105628</v>
      </c>
      <c r="Q401" s="456">
        <f>'Key input_Biomass_MAgPIE'!O392</f>
        <v>0.1105628</v>
      </c>
      <c r="R401" s="456">
        <f>'Key input_Biomass_MAgPIE'!P392</f>
        <v>0.1105628</v>
      </c>
      <c r="S401" s="456">
        <f>'Key input_Biomass_MAgPIE'!Q392</f>
        <v>0.1105628</v>
      </c>
      <c r="T401" s="456">
        <f>'Key input_Biomass_MAgPIE'!R392</f>
        <v>0.1105628</v>
      </c>
      <c r="U401" s="456">
        <f>'Key input_Biomass_MAgPIE'!S392</f>
        <v>0.1105628</v>
      </c>
      <c r="V401" s="456">
        <f>'Key input_Biomass_MAgPIE'!T392</f>
        <v>0.1105628</v>
      </c>
      <c r="W401" s="456">
        <f>'Key input_Biomass_MAgPIE'!U392</f>
        <v>0.1105628</v>
      </c>
      <c r="X401" s="456">
        <f>'Key input_Biomass_MAgPIE'!V392</f>
        <v>0.1105628</v>
      </c>
      <c r="Y401" s="456">
        <f>'Key input_Biomass_MAgPIE'!W392</f>
        <v>0.1105628</v>
      </c>
      <c r="Z401" s="456">
        <f>'Key input_Biomass_MAgPIE'!X392</f>
        <v>0.1105628</v>
      </c>
      <c r="AA401" s="456">
        <f>'Key input_Biomass_MAgPIE'!Y392</f>
        <v>0.1105628</v>
      </c>
      <c r="AB401" s="456">
        <f>'Key input_Biomass_MAgPIE'!Z392</f>
        <v>0.1105628</v>
      </c>
      <c r="AC401" s="456">
        <f>'Key input_Biomass_MAgPIE'!AA392</f>
        <v>0.1105628</v>
      </c>
      <c r="AD401" s="456">
        <f>'Key input_Biomass_MAgPIE'!AB392</f>
        <v>0.1105628</v>
      </c>
      <c r="AE401" s="456">
        <f>'Key input_Biomass_MAgPIE'!AC392</f>
        <v>0.1105628</v>
      </c>
      <c r="AF401" s="456">
        <f>'Key input_Biomass_MAgPIE'!AD392</f>
        <v>0.1105628</v>
      </c>
      <c r="AG401" s="456">
        <f>'Key input_Biomass_MAgPIE'!AE392</f>
        <v>0.1105628</v>
      </c>
      <c r="AH401" s="456">
        <f>'Key input_Biomass_MAgPIE'!AF392</f>
        <v>0.1105628</v>
      </c>
    </row>
    <row r="402" spans="1:34">
      <c r="A402" s="4" t="str">
        <f t="shared" si="144"/>
        <v>MIN-RSVBIOCRL3</v>
      </c>
      <c r="B402" s="4" t="str">
        <f t="shared" si="141"/>
        <v>UPS Reserves of Biomass - Cereals - Reserve - Supply curve step 3</v>
      </c>
      <c r="C402" s="4" t="str">
        <f t="shared" si="142"/>
        <v>RSVBIOCRL</v>
      </c>
      <c r="D402" s="4" t="str">
        <f t="shared" si="143"/>
        <v>ACT_COST</v>
      </c>
      <c r="E402" s="4"/>
      <c r="F402" s="4">
        <v>2050</v>
      </c>
      <c r="G402" s="456">
        <f>'Key input_Biomass_MAgPIE'!E393</f>
        <v>0.1105628</v>
      </c>
      <c r="H402" s="456">
        <f>'Key input_Biomass_MAgPIE'!F393</f>
        <v>0.1105628</v>
      </c>
      <c r="I402" s="456">
        <f>'Key input_Biomass_MAgPIE'!G393</f>
        <v>0.1105628</v>
      </c>
      <c r="J402" s="456">
        <f>'Key input_Biomass_MAgPIE'!H393</f>
        <v>0.1105628</v>
      </c>
      <c r="K402" s="456">
        <f>'Key input_Biomass_MAgPIE'!I393</f>
        <v>0.1105628</v>
      </c>
      <c r="L402" s="456">
        <f>'Key input_Biomass_MAgPIE'!J393</f>
        <v>0.1105628</v>
      </c>
      <c r="M402" s="456">
        <f>'Key input_Biomass_MAgPIE'!K393</f>
        <v>0.1105628</v>
      </c>
      <c r="N402" s="456">
        <f>'Key input_Biomass_MAgPIE'!L393</f>
        <v>0.1105628</v>
      </c>
      <c r="O402" s="456">
        <f>'Key input_Biomass_MAgPIE'!M393</f>
        <v>0.1105628</v>
      </c>
      <c r="P402" s="456">
        <f>'Key input_Biomass_MAgPIE'!N393</f>
        <v>0.1105628</v>
      </c>
      <c r="Q402" s="456">
        <f>'Key input_Biomass_MAgPIE'!O393</f>
        <v>0.1105628</v>
      </c>
      <c r="R402" s="456">
        <f>'Key input_Biomass_MAgPIE'!P393</f>
        <v>0.1105628</v>
      </c>
      <c r="S402" s="456">
        <f>'Key input_Biomass_MAgPIE'!Q393</f>
        <v>0.1105628</v>
      </c>
      <c r="T402" s="456">
        <f>'Key input_Biomass_MAgPIE'!R393</f>
        <v>0.1105628</v>
      </c>
      <c r="U402" s="456">
        <f>'Key input_Biomass_MAgPIE'!S393</f>
        <v>0.1105628</v>
      </c>
      <c r="V402" s="456">
        <f>'Key input_Biomass_MAgPIE'!T393</f>
        <v>0.1105628</v>
      </c>
      <c r="W402" s="456">
        <f>'Key input_Biomass_MAgPIE'!U393</f>
        <v>0.1105628</v>
      </c>
      <c r="X402" s="456">
        <f>'Key input_Biomass_MAgPIE'!V393</f>
        <v>0.1105628</v>
      </c>
      <c r="Y402" s="456">
        <f>'Key input_Biomass_MAgPIE'!W393</f>
        <v>0.1105628</v>
      </c>
      <c r="Z402" s="456">
        <f>'Key input_Biomass_MAgPIE'!X393</f>
        <v>0.1105628</v>
      </c>
      <c r="AA402" s="456">
        <f>'Key input_Biomass_MAgPIE'!Y393</f>
        <v>0.1105628</v>
      </c>
      <c r="AB402" s="456">
        <f>'Key input_Biomass_MAgPIE'!Z393</f>
        <v>0.1105628</v>
      </c>
      <c r="AC402" s="456">
        <f>'Key input_Biomass_MAgPIE'!AA393</f>
        <v>0.1105628</v>
      </c>
      <c r="AD402" s="456">
        <f>'Key input_Biomass_MAgPIE'!AB393</f>
        <v>0.1105628</v>
      </c>
      <c r="AE402" s="456">
        <f>'Key input_Biomass_MAgPIE'!AC393</f>
        <v>0.1105628</v>
      </c>
      <c r="AF402" s="456">
        <f>'Key input_Biomass_MAgPIE'!AD393</f>
        <v>0.1105628</v>
      </c>
      <c r="AG402" s="456">
        <f>'Key input_Biomass_MAgPIE'!AE393</f>
        <v>0.1105628</v>
      </c>
      <c r="AH402" s="456">
        <f>'Key input_Biomass_MAgPIE'!AF393</f>
        <v>0.1105628</v>
      </c>
    </row>
    <row r="403" spans="1:34">
      <c r="A403" s="4" t="str">
        <f t="shared" si="144"/>
        <v>MIN-RSVBIOCRL3</v>
      </c>
      <c r="B403" s="4" t="str">
        <f t="shared" si="141"/>
        <v>UPS Reserves of Biomass - Cereals - Reserve - Supply curve step 3</v>
      </c>
      <c r="C403" s="4" t="str">
        <f t="shared" si="142"/>
        <v>RSVBIOCRL</v>
      </c>
      <c r="D403" s="4" t="str">
        <f t="shared" si="143"/>
        <v>ACT_COST</v>
      </c>
      <c r="E403" s="4"/>
      <c r="F403" s="4">
        <v>2060</v>
      </c>
      <c r="G403" s="456">
        <f>'Key input_Biomass_MAgPIE'!E394</f>
        <v>0.1105628</v>
      </c>
      <c r="H403" s="456">
        <f>'Key input_Biomass_MAgPIE'!F394</f>
        <v>0.1105628</v>
      </c>
      <c r="I403" s="456">
        <f>'Key input_Biomass_MAgPIE'!G394</f>
        <v>0.1105628</v>
      </c>
      <c r="J403" s="456">
        <f>'Key input_Biomass_MAgPIE'!H394</f>
        <v>0.1105628</v>
      </c>
      <c r="K403" s="456">
        <f>'Key input_Biomass_MAgPIE'!I394</f>
        <v>0.1105628</v>
      </c>
      <c r="L403" s="456">
        <f>'Key input_Biomass_MAgPIE'!J394</f>
        <v>0.1105628</v>
      </c>
      <c r="M403" s="456">
        <f>'Key input_Biomass_MAgPIE'!K394</f>
        <v>0.1105628</v>
      </c>
      <c r="N403" s="456">
        <f>'Key input_Biomass_MAgPIE'!L394</f>
        <v>0.1105628</v>
      </c>
      <c r="O403" s="456">
        <f>'Key input_Biomass_MAgPIE'!M394</f>
        <v>0.1105628</v>
      </c>
      <c r="P403" s="456">
        <f>'Key input_Biomass_MAgPIE'!N394</f>
        <v>0.1105628</v>
      </c>
      <c r="Q403" s="456">
        <f>'Key input_Biomass_MAgPIE'!O394</f>
        <v>0.1105628</v>
      </c>
      <c r="R403" s="456">
        <f>'Key input_Biomass_MAgPIE'!P394</f>
        <v>0.1105628</v>
      </c>
      <c r="S403" s="456">
        <f>'Key input_Biomass_MAgPIE'!Q394</f>
        <v>0.1105628</v>
      </c>
      <c r="T403" s="456">
        <f>'Key input_Biomass_MAgPIE'!R394</f>
        <v>0.1105628</v>
      </c>
      <c r="U403" s="456">
        <f>'Key input_Biomass_MAgPIE'!S394</f>
        <v>0.1105628</v>
      </c>
      <c r="V403" s="456">
        <f>'Key input_Biomass_MAgPIE'!T394</f>
        <v>0.1105628</v>
      </c>
      <c r="W403" s="456">
        <f>'Key input_Biomass_MAgPIE'!U394</f>
        <v>0.1105628</v>
      </c>
      <c r="X403" s="456">
        <f>'Key input_Biomass_MAgPIE'!V394</f>
        <v>0.1105628</v>
      </c>
      <c r="Y403" s="456">
        <f>'Key input_Biomass_MAgPIE'!W394</f>
        <v>0.1105628</v>
      </c>
      <c r="Z403" s="456">
        <f>'Key input_Biomass_MAgPIE'!X394</f>
        <v>0.1105628</v>
      </c>
      <c r="AA403" s="456">
        <f>'Key input_Biomass_MAgPIE'!Y394</f>
        <v>0.1105628</v>
      </c>
      <c r="AB403" s="456">
        <f>'Key input_Biomass_MAgPIE'!Z394</f>
        <v>0.1105628</v>
      </c>
      <c r="AC403" s="456">
        <f>'Key input_Biomass_MAgPIE'!AA394</f>
        <v>0.1105628</v>
      </c>
      <c r="AD403" s="456">
        <f>'Key input_Biomass_MAgPIE'!AB394</f>
        <v>0.1105628</v>
      </c>
      <c r="AE403" s="456">
        <f>'Key input_Biomass_MAgPIE'!AC394</f>
        <v>0.1105628</v>
      </c>
      <c r="AF403" s="456">
        <f>'Key input_Biomass_MAgPIE'!AD394</f>
        <v>0.1105628</v>
      </c>
      <c r="AG403" s="456">
        <f>'Key input_Biomass_MAgPIE'!AE394</f>
        <v>0.1105628</v>
      </c>
      <c r="AH403" s="456">
        <f>'Key input_Biomass_MAgPIE'!AF394</f>
        <v>0.1105628</v>
      </c>
    </row>
    <row r="404" spans="1:34">
      <c r="A404" s="4" t="str">
        <f t="shared" si="144"/>
        <v>MIN-RSVBIOCRL3</v>
      </c>
      <c r="B404" s="4" t="str">
        <f t="shared" si="141"/>
        <v>UPS Reserves of Biomass - Cereals - Reserve - Supply curve step 3</v>
      </c>
      <c r="C404" s="4" t="str">
        <f t="shared" si="142"/>
        <v>RSVBIOCRL</v>
      </c>
      <c r="D404" s="4" t="str">
        <f t="shared" si="143"/>
        <v>ACT_COST</v>
      </c>
      <c r="E404" s="4"/>
      <c r="F404" s="4">
        <v>2070</v>
      </c>
      <c r="G404" s="456">
        <f>'Key input_Biomass_MAgPIE'!E395</f>
        <v>0.1105628</v>
      </c>
      <c r="H404" s="456">
        <f>'Key input_Biomass_MAgPIE'!F395</f>
        <v>0.1105628</v>
      </c>
      <c r="I404" s="456">
        <f>'Key input_Biomass_MAgPIE'!G395</f>
        <v>0.1105628</v>
      </c>
      <c r="J404" s="456">
        <f>'Key input_Biomass_MAgPIE'!H395</f>
        <v>0.1105628</v>
      </c>
      <c r="K404" s="456">
        <f>'Key input_Biomass_MAgPIE'!I395</f>
        <v>0.1105628</v>
      </c>
      <c r="L404" s="456">
        <f>'Key input_Biomass_MAgPIE'!J395</f>
        <v>0.1105628</v>
      </c>
      <c r="M404" s="456">
        <f>'Key input_Biomass_MAgPIE'!K395</f>
        <v>0.1105628</v>
      </c>
      <c r="N404" s="456">
        <f>'Key input_Biomass_MAgPIE'!L395</f>
        <v>0.1105628</v>
      </c>
      <c r="O404" s="456">
        <f>'Key input_Biomass_MAgPIE'!M395</f>
        <v>0.1105628</v>
      </c>
      <c r="P404" s="456">
        <f>'Key input_Biomass_MAgPIE'!N395</f>
        <v>0.1105628</v>
      </c>
      <c r="Q404" s="456">
        <f>'Key input_Biomass_MAgPIE'!O395</f>
        <v>0.1105628</v>
      </c>
      <c r="R404" s="456">
        <f>'Key input_Biomass_MAgPIE'!P395</f>
        <v>0.1105628</v>
      </c>
      <c r="S404" s="456">
        <f>'Key input_Biomass_MAgPIE'!Q395</f>
        <v>0.1105628</v>
      </c>
      <c r="T404" s="456">
        <f>'Key input_Biomass_MAgPIE'!R395</f>
        <v>0.1105628</v>
      </c>
      <c r="U404" s="456">
        <f>'Key input_Biomass_MAgPIE'!S395</f>
        <v>0.1105628</v>
      </c>
      <c r="V404" s="456">
        <f>'Key input_Biomass_MAgPIE'!T395</f>
        <v>0.1105628</v>
      </c>
      <c r="W404" s="456">
        <f>'Key input_Biomass_MAgPIE'!U395</f>
        <v>0.1105628</v>
      </c>
      <c r="X404" s="456">
        <f>'Key input_Biomass_MAgPIE'!V395</f>
        <v>0.1105628</v>
      </c>
      <c r="Y404" s="456">
        <f>'Key input_Biomass_MAgPIE'!W395</f>
        <v>0.1105628</v>
      </c>
      <c r="Z404" s="456">
        <f>'Key input_Biomass_MAgPIE'!X395</f>
        <v>0.1105628</v>
      </c>
      <c r="AA404" s="456">
        <f>'Key input_Biomass_MAgPIE'!Y395</f>
        <v>0.1105628</v>
      </c>
      <c r="AB404" s="456">
        <f>'Key input_Biomass_MAgPIE'!Z395</f>
        <v>0.1105628</v>
      </c>
      <c r="AC404" s="456">
        <f>'Key input_Biomass_MAgPIE'!AA395</f>
        <v>0.1105628</v>
      </c>
      <c r="AD404" s="456">
        <f>'Key input_Biomass_MAgPIE'!AB395</f>
        <v>0.1105628</v>
      </c>
      <c r="AE404" s="456">
        <f>'Key input_Biomass_MAgPIE'!AC395</f>
        <v>0.1105628</v>
      </c>
      <c r="AF404" s="456">
        <f>'Key input_Biomass_MAgPIE'!AD395</f>
        <v>0.1105628</v>
      </c>
      <c r="AG404" s="456">
        <f>'Key input_Biomass_MAgPIE'!AE395</f>
        <v>0.1105628</v>
      </c>
      <c r="AH404" s="456">
        <f>'Key input_Biomass_MAgPIE'!AF395</f>
        <v>0.1105628</v>
      </c>
    </row>
    <row r="405" spans="1:34">
      <c r="A405" s="4" t="str">
        <f t="shared" si="144"/>
        <v>MIN-RSVBIOCRL3</v>
      </c>
      <c r="B405" s="4" t="str">
        <f t="shared" si="141"/>
        <v>UPS Reserves of Biomass - Cereals - Reserve - Supply curve step 3</v>
      </c>
      <c r="C405" s="4" t="str">
        <f t="shared" si="142"/>
        <v>RSVBIOCRL</v>
      </c>
      <c r="D405" s="4" t="str">
        <f t="shared" si="143"/>
        <v>ACT_COST</v>
      </c>
      <c r="E405" s="4"/>
      <c r="F405" s="4">
        <v>2080</v>
      </c>
      <c r="G405" s="456">
        <f>'Key input_Biomass_MAgPIE'!E396</f>
        <v>0.1105628</v>
      </c>
      <c r="H405" s="456">
        <f>'Key input_Biomass_MAgPIE'!F396</f>
        <v>0.1105628</v>
      </c>
      <c r="I405" s="456">
        <f>'Key input_Biomass_MAgPIE'!G396</f>
        <v>0.1105628</v>
      </c>
      <c r="J405" s="456">
        <f>'Key input_Biomass_MAgPIE'!H396</f>
        <v>0.1105628</v>
      </c>
      <c r="K405" s="456">
        <f>'Key input_Biomass_MAgPIE'!I396</f>
        <v>0.1105628</v>
      </c>
      <c r="L405" s="456">
        <f>'Key input_Biomass_MAgPIE'!J396</f>
        <v>0.1105628</v>
      </c>
      <c r="M405" s="456">
        <f>'Key input_Biomass_MAgPIE'!K396</f>
        <v>0.1105628</v>
      </c>
      <c r="N405" s="456">
        <f>'Key input_Biomass_MAgPIE'!L396</f>
        <v>0.1105628</v>
      </c>
      <c r="O405" s="456">
        <f>'Key input_Biomass_MAgPIE'!M396</f>
        <v>0.1105628</v>
      </c>
      <c r="P405" s="456">
        <f>'Key input_Biomass_MAgPIE'!N396</f>
        <v>0.1105628</v>
      </c>
      <c r="Q405" s="456">
        <f>'Key input_Biomass_MAgPIE'!O396</f>
        <v>0.1105628</v>
      </c>
      <c r="R405" s="456">
        <f>'Key input_Biomass_MAgPIE'!P396</f>
        <v>0.1105628</v>
      </c>
      <c r="S405" s="456">
        <f>'Key input_Biomass_MAgPIE'!Q396</f>
        <v>0.1105628</v>
      </c>
      <c r="T405" s="456">
        <f>'Key input_Biomass_MAgPIE'!R396</f>
        <v>0.1105628</v>
      </c>
      <c r="U405" s="456">
        <f>'Key input_Biomass_MAgPIE'!S396</f>
        <v>0.1105628</v>
      </c>
      <c r="V405" s="456">
        <f>'Key input_Biomass_MAgPIE'!T396</f>
        <v>0.1105628</v>
      </c>
      <c r="W405" s="456">
        <f>'Key input_Biomass_MAgPIE'!U396</f>
        <v>0.1105628</v>
      </c>
      <c r="X405" s="456">
        <f>'Key input_Biomass_MAgPIE'!V396</f>
        <v>0.1105628</v>
      </c>
      <c r="Y405" s="456">
        <f>'Key input_Biomass_MAgPIE'!W396</f>
        <v>0.1105628</v>
      </c>
      <c r="Z405" s="456">
        <f>'Key input_Biomass_MAgPIE'!X396</f>
        <v>0.1105628</v>
      </c>
      <c r="AA405" s="456">
        <f>'Key input_Biomass_MAgPIE'!Y396</f>
        <v>0.1105628</v>
      </c>
      <c r="AB405" s="456">
        <f>'Key input_Biomass_MAgPIE'!Z396</f>
        <v>0.1105628</v>
      </c>
      <c r="AC405" s="456">
        <f>'Key input_Biomass_MAgPIE'!AA396</f>
        <v>0.1105628</v>
      </c>
      <c r="AD405" s="456">
        <f>'Key input_Biomass_MAgPIE'!AB396</f>
        <v>0.1105628</v>
      </c>
      <c r="AE405" s="456">
        <f>'Key input_Biomass_MAgPIE'!AC396</f>
        <v>0.1105628</v>
      </c>
      <c r="AF405" s="456">
        <f>'Key input_Biomass_MAgPIE'!AD396</f>
        <v>0.1105628</v>
      </c>
      <c r="AG405" s="456">
        <f>'Key input_Biomass_MAgPIE'!AE396</f>
        <v>0.1105628</v>
      </c>
      <c r="AH405" s="456">
        <f>'Key input_Biomass_MAgPIE'!AF396</f>
        <v>0.1105628</v>
      </c>
    </row>
    <row r="406" spans="1:34">
      <c r="A406" s="4" t="str">
        <f t="shared" si="144"/>
        <v>MIN-RSVBIOCRL3</v>
      </c>
      <c r="B406" s="4" t="str">
        <f t="shared" si="141"/>
        <v>UPS Reserves of Biomass - Cereals - Reserve - Supply curve step 3</v>
      </c>
      <c r="C406" s="4" t="str">
        <f t="shared" si="142"/>
        <v>RSVBIOCRL</v>
      </c>
      <c r="D406" s="4" t="str">
        <f t="shared" si="143"/>
        <v>ACT_COST</v>
      </c>
      <c r="E406" s="4"/>
      <c r="F406" s="4">
        <v>2090</v>
      </c>
      <c r="G406" s="456">
        <f>'Key input_Biomass_MAgPIE'!E397</f>
        <v>0.1105628</v>
      </c>
      <c r="H406" s="456">
        <f>'Key input_Biomass_MAgPIE'!F397</f>
        <v>0.1105628</v>
      </c>
      <c r="I406" s="456">
        <f>'Key input_Biomass_MAgPIE'!G397</f>
        <v>0.1105628</v>
      </c>
      <c r="J406" s="456">
        <f>'Key input_Biomass_MAgPIE'!H397</f>
        <v>0.1105628</v>
      </c>
      <c r="K406" s="456">
        <f>'Key input_Biomass_MAgPIE'!I397</f>
        <v>0.1105628</v>
      </c>
      <c r="L406" s="456">
        <f>'Key input_Biomass_MAgPIE'!J397</f>
        <v>0.1105628</v>
      </c>
      <c r="M406" s="456">
        <f>'Key input_Biomass_MAgPIE'!K397</f>
        <v>0.1105628</v>
      </c>
      <c r="N406" s="456">
        <f>'Key input_Biomass_MAgPIE'!L397</f>
        <v>0.1105628</v>
      </c>
      <c r="O406" s="456">
        <f>'Key input_Biomass_MAgPIE'!M397</f>
        <v>0.1105628</v>
      </c>
      <c r="P406" s="456">
        <f>'Key input_Biomass_MAgPIE'!N397</f>
        <v>0.1105628</v>
      </c>
      <c r="Q406" s="456">
        <f>'Key input_Biomass_MAgPIE'!O397</f>
        <v>0.1105628</v>
      </c>
      <c r="R406" s="456">
        <f>'Key input_Biomass_MAgPIE'!P397</f>
        <v>0.1105628</v>
      </c>
      <c r="S406" s="456">
        <f>'Key input_Biomass_MAgPIE'!Q397</f>
        <v>0.1105628</v>
      </c>
      <c r="T406" s="456">
        <f>'Key input_Biomass_MAgPIE'!R397</f>
        <v>0.1105628</v>
      </c>
      <c r="U406" s="456">
        <f>'Key input_Biomass_MAgPIE'!S397</f>
        <v>0.1105628</v>
      </c>
      <c r="V406" s="456">
        <f>'Key input_Biomass_MAgPIE'!T397</f>
        <v>0.1105628</v>
      </c>
      <c r="W406" s="456">
        <f>'Key input_Biomass_MAgPIE'!U397</f>
        <v>0.1105628</v>
      </c>
      <c r="X406" s="456">
        <f>'Key input_Biomass_MAgPIE'!V397</f>
        <v>0.1105628</v>
      </c>
      <c r="Y406" s="456">
        <f>'Key input_Biomass_MAgPIE'!W397</f>
        <v>0.1105628</v>
      </c>
      <c r="Z406" s="456">
        <f>'Key input_Biomass_MAgPIE'!X397</f>
        <v>0.1105628</v>
      </c>
      <c r="AA406" s="456">
        <f>'Key input_Biomass_MAgPIE'!Y397</f>
        <v>0.1105628</v>
      </c>
      <c r="AB406" s="456">
        <f>'Key input_Biomass_MAgPIE'!Z397</f>
        <v>0.1105628</v>
      </c>
      <c r="AC406" s="456">
        <f>'Key input_Biomass_MAgPIE'!AA397</f>
        <v>0.1105628</v>
      </c>
      <c r="AD406" s="456">
        <f>'Key input_Biomass_MAgPIE'!AB397</f>
        <v>0.1105628</v>
      </c>
      <c r="AE406" s="456">
        <f>'Key input_Biomass_MAgPIE'!AC397</f>
        <v>0.1105628</v>
      </c>
      <c r="AF406" s="456">
        <f>'Key input_Biomass_MAgPIE'!AD397</f>
        <v>0.1105628</v>
      </c>
      <c r="AG406" s="456">
        <f>'Key input_Biomass_MAgPIE'!AE397</f>
        <v>0.1105628</v>
      </c>
      <c r="AH406" s="456">
        <f>'Key input_Biomass_MAgPIE'!AF397</f>
        <v>0.1105628</v>
      </c>
    </row>
    <row r="407" spans="1:34" ht="16.2" thickBot="1">
      <c r="A407" s="454" t="str">
        <f t="shared" si="144"/>
        <v>MIN-RSVBIOCRL3</v>
      </c>
      <c r="B407" s="454" t="str">
        <f t="shared" si="141"/>
        <v>UPS Reserves of Biomass - Cereals - Reserve - Supply curve step 3</v>
      </c>
      <c r="C407" s="454" t="str">
        <f t="shared" si="142"/>
        <v>RSVBIOCRL</v>
      </c>
      <c r="D407" s="454" t="str">
        <f t="shared" si="143"/>
        <v>ACT_COST</v>
      </c>
      <c r="E407" s="454"/>
      <c r="F407" s="454">
        <v>2100</v>
      </c>
      <c r="G407" s="455">
        <f>'Key input_Biomass_MAgPIE'!E398</f>
        <v>0.1105628</v>
      </c>
      <c r="H407" s="455">
        <f>'Key input_Biomass_MAgPIE'!F398</f>
        <v>0.1105628</v>
      </c>
      <c r="I407" s="455">
        <f>'Key input_Biomass_MAgPIE'!G398</f>
        <v>0.1105628</v>
      </c>
      <c r="J407" s="455">
        <f>'Key input_Biomass_MAgPIE'!H398</f>
        <v>0.1105628</v>
      </c>
      <c r="K407" s="455">
        <f>'Key input_Biomass_MAgPIE'!I398</f>
        <v>0.1105628</v>
      </c>
      <c r="L407" s="455">
        <f>'Key input_Biomass_MAgPIE'!J398</f>
        <v>0.1105628</v>
      </c>
      <c r="M407" s="455">
        <f>'Key input_Biomass_MAgPIE'!K398</f>
        <v>0.1105628</v>
      </c>
      <c r="N407" s="455">
        <f>'Key input_Biomass_MAgPIE'!L398</f>
        <v>0.1105628</v>
      </c>
      <c r="O407" s="455">
        <f>'Key input_Biomass_MAgPIE'!M398</f>
        <v>0.1105628</v>
      </c>
      <c r="P407" s="455">
        <f>'Key input_Biomass_MAgPIE'!N398</f>
        <v>0.1105628</v>
      </c>
      <c r="Q407" s="455">
        <f>'Key input_Biomass_MAgPIE'!O398</f>
        <v>0.1105628</v>
      </c>
      <c r="R407" s="455">
        <f>'Key input_Biomass_MAgPIE'!P398</f>
        <v>0.1105628</v>
      </c>
      <c r="S407" s="455">
        <f>'Key input_Biomass_MAgPIE'!Q398</f>
        <v>0.1105628</v>
      </c>
      <c r="T407" s="455">
        <f>'Key input_Biomass_MAgPIE'!R398</f>
        <v>0.1105628</v>
      </c>
      <c r="U407" s="455">
        <f>'Key input_Biomass_MAgPIE'!S398</f>
        <v>0.1105628</v>
      </c>
      <c r="V407" s="455">
        <f>'Key input_Biomass_MAgPIE'!T398</f>
        <v>0.1105628</v>
      </c>
      <c r="W407" s="455">
        <f>'Key input_Biomass_MAgPIE'!U398</f>
        <v>0.1105628</v>
      </c>
      <c r="X407" s="455">
        <f>'Key input_Biomass_MAgPIE'!V398</f>
        <v>0.1105628</v>
      </c>
      <c r="Y407" s="455">
        <f>'Key input_Biomass_MAgPIE'!W398</f>
        <v>0.1105628</v>
      </c>
      <c r="Z407" s="455">
        <f>'Key input_Biomass_MAgPIE'!X398</f>
        <v>0.1105628</v>
      </c>
      <c r="AA407" s="455">
        <f>'Key input_Biomass_MAgPIE'!Y398</f>
        <v>0.1105628</v>
      </c>
      <c r="AB407" s="455">
        <f>'Key input_Biomass_MAgPIE'!Z398</f>
        <v>0.1105628</v>
      </c>
      <c r="AC407" s="455">
        <f>'Key input_Biomass_MAgPIE'!AA398</f>
        <v>0.1105628</v>
      </c>
      <c r="AD407" s="455">
        <f>'Key input_Biomass_MAgPIE'!AB398</f>
        <v>0.1105628</v>
      </c>
      <c r="AE407" s="455">
        <f>'Key input_Biomass_MAgPIE'!AC398</f>
        <v>0.1105628</v>
      </c>
      <c r="AF407" s="455">
        <f>'Key input_Biomass_MAgPIE'!AD398</f>
        <v>0.1105628</v>
      </c>
      <c r="AG407" s="455">
        <f>'Key input_Biomass_MAgPIE'!AE398</f>
        <v>0.1105628</v>
      </c>
      <c r="AH407" s="455">
        <f>'Key input_Biomass_MAgPIE'!AF398</f>
        <v>0.1105628</v>
      </c>
    </row>
    <row r="408" spans="1:34">
      <c r="G408" s="258"/>
    </row>
    <row r="409" spans="1:34">
      <c r="G409" s="258"/>
    </row>
    <row r="410" spans="1:34">
      <c r="G410" s="258"/>
    </row>
    <row r="411" spans="1:34">
      <c r="G411" s="258"/>
    </row>
    <row r="412" spans="1:34">
      <c r="G412" s="258"/>
    </row>
    <row r="413" spans="1:34">
      <c r="G413" s="258"/>
    </row>
    <row r="414" spans="1:34">
      <c r="G414" s="258"/>
    </row>
    <row r="415" spans="1:34">
      <c r="G415" s="258"/>
    </row>
    <row r="416" spans="1:34">
      <c r="G416" s="258"/>
    </row>
    <row r="417" spans="7:7">
      <c r="G417" s="258"/>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F7EC3-5736-4E8E-A143-6D84D3BBF5F1}">
  <sheetPr>
    <tabColor theme="9" tint="0.39997558519241921"/>
  </sheetPr>
  <dimension ref="A1:AR142"/>
  <sheetViews>
    <sheetView topLeftCell="AH1" zoomScale="89" zoomScaleNormal="89" workbookViewId="0">
      <selection activeCell="AM34" sqref="AM34"/>
    </sheetView>
  </sheetViews>
  <sheetFormatPr defaultRowHeight="15.6"/>
  <cols>
    <col min="1" max="1" width="33" bestFit="1" customWidth="1"/>
    <col min="2" max="2" width="45.3984375" bestFit="1" customWidth="1"/>
    <col min="3" max="3" width="18.5" customWidth="1"/>
    <col min="4" max="4" width="10.69921875" bestFit="1" customWidth="1"/>
    <col min="5" max="5" width="10.3984375" bestFit="1" customWidth="1"/>
    <col min="6" max="6" width="10.69921875" bestFit="1" customWidth="1"/>
    <col min="7" max="7" width="12.3984375" bestFit="1" customWidth="1"/>
    <col min="8" max="9" width="13.5" bestFit="1" customWidth="1"/>
    <col min="10" max="10" width="25.09765625" bestFit="1" customWidth="1"/>
    <col min="11" max="11" width="9.8984375" bestFit="1" customWidth="1"/>
    <col min="12" max="12" width="13.5" bestFit="1" customWidth="1"/>
    <col min="13" max="13" width="14.5" bestFit="1" customWidth="1"/>
    <col min="14" max="14" width="9.8984375" bestFit="1" customWidth="1"/>
    <col min="15" max="15" width="13.5" bestFit="1" customWidth="1"/>
    <col min="16" max="16" width="12.3984375" bestFit="1" customWidth="1"/>
    <col min="17" max="17" width="13.5" bestFit="1" customWidth="1"/>
    <col min="18" max="18" width="9.8984375" bestFit="1" customWidth="1"/>
    <col min="19" max="19" width="10.8984375" bestFit="1" customWidth="1"/>
    <col min="20" max="20" width="8.8984375" bestFit="1" customWidth="1"/>
    <col min="21" max="21" width="14.5" bestFit="1" customWidth="1"/>
    <col min="22" max="22" width="12.59765625" bestFit="1" customWidth="1"/>
    <col min="23" max="23" width="13.5" bestFit="1" customWidth="1"/>
    <col min="24" max="24" width="12.3984375" bestFit="1" customWidth="1"/>
    <col min="25" max="25" width="13.5" bestFit="1" customWidth="1"/>
    <col min="26" max="27" width="10.8984375" bestFit="1" customWidth="1"/>
    <col min="28" max="28" width="13.5" bestFit="1" customWidth="1"/>
    <col min="29" max="29" width="9.8984375" bestFit="1" customWidth="1"/>
    <col min="30" max="31" width="13.5" bestFit="1" customWidth="1"/>
    <col min="32" max="34" width="12.3984375" bestFit="1" customWidth="1"/>
    <col min="35" max="35" width="9.8984375" bestFit="1" customWidth="1"/>
    <col min="36" max="36" width="21.59765625" bestFit="1" customWidth="1"/>
    <col min="37" max="37" width="13" bestFit="1" customWidth="1"/>
    <col min="38" max="38" width="45.3984375" bestFit="1" customWidth="1"/>
    <col min="39" max="39" width="36.09765625" bestFit="1" customWidth="1"/>
    <col min="40" max="40" width="6" bestFit="1" customWidth="1"/>
    <col min="41" max="41" width="6.8984375" bestFit="1" customWidth="1"/>
    <col min="42" max="42" width="7.3984375" bestFit="1" customWidth="1"/>
    <col min="43" max="43" width="9.09765625" bestFit="1" customWidth="1"/>
    <col min="44" max="44" width="6.8984375" bestFit="1" customWidth="1"/>
  </cols>
  <sheetData>
    <row r="1" spans="1:44" s="4" customFormat="1" ht="23.4">
      <c r="A1" s="253" t="s">
        <v>681</v>
      </c>
    </row>
    <row r="2" spans="1:44" s="4" customFormat="1" ht="18">
      <c r="A2" s="8" t="s">
        <v>663</v>
      </c>
      <c r="B2" s="4" t="str">
        <f>Legend!B163&amp;" &amp; "&amp;Legend!B166</f>
        <v>S1 &amp; S4</v>
      </c>
    </row>
    <row r="3" spans="1:44" s="4" customFormat="1"/>
    <row r="4" spans="1:44" s="4" customFormat="1" ht="18">
      <c r="A4" s="8" t="s">
        <v>682</v>
      </c>
      <c r="G4"/>
      <c r="H4"/>
      <c r="K4" s="254"/>
      <c r="AK4" s="8" t="s">
        <v>665</v>
      </c>
    </row>
    <row r="5" spans="1:44" s="4" customFormat="1" ht="18">
      <c r="A5" s="8"/>
      <c r="G5"/>
      <c r="H5"/>
      <c r="K5" s="254"/>
      <c r="AJ5" s="8"/>
    </row>
    <row r="6" spans="1:44" s="4" customFormat="1">
      <c r="A6" s="255" t="s">
        <v>625</v>
      </c>
      <c r="B6" s="255"/>
      <c r="C6"/>
      <c r="D6"/>
      <c r="E6"/>
      <c r="F6"/>
      <c r="G6"/>
      <c r="H6"/>
      <c r="I6"/>
      <c r="J6"/>
      <c r="K6"/>
      <c r="L6"/>
      <c r="M6"/>
      <c r="N6"/>
      <c r="O6"/>
      <c r="P6"/>
      <c r="Q6"/>
      <c r="R6"/>
      <c r="S6"/>
      <c r="T6"/>
      <c r="U6"/>
      <c r="V6"/>
      <c r="W6"/>
      <c r="X6"/>
      <c r="Y6"/>
      <c r="Z6"/>
      <c r="AA6"/>
      <c r="AB6"/>
      <c r="AC6"/>
      <c r="AD6"/>
      <c r="AE6"/>
      <c r="AF6"/>
      <c r="AG6"/>
      <c r="AH6"/>
      <c r="AI6"/>
      <c r="AK6" s="256" t="s">
        <v>626</v>
      </c>
      <c r="AL6" s="493"/>
      <c r="AM6" s="493"/>
      <c r="AN6" s="493"/>
      <c r="AO6" s="493"/>
      <c r="AP6" s="493"/>
      <c r="AQ6" s="493"/>
    </row>
    <row r="7" spans="1:44" s="4" customFormat="1" ht="16.2" thickBot="1">
      <c r="A7" s="11" t="s">
        <v>627</v>
      </c>
      <c r="B7" s="11" t="s">
        <v>666</v>
      </c>
      <c r="C7" s="240" t="s">
        <v>652</v>
      </c>
      <c r="D7" s="240" t="s">
        <v>653</v>
      </c>
      <c r="E7" s="10" t="s">
        <v>654</v>
      </c>
      <c r="F7" s="10" t="s">
        <v>376</v>
      </c>
      <c r="G7" s="10" t="s">
        <v>655</v>
      </c>
      <c r="H7" s="10" t="s">
        <v>172</v>
      </c>
      <c r="I7" s="10" t="s">
        <v>175</v>
      </c>
      <c r="J7" s="10" t="s">
        <v>178</v>
      </c>
      <c r="K7" s="10" t="s">
        <v>181</v>
      </c>
      <c r="L7" s="10" t="s">
        <v>184</v>
      </c>
      <c r="M7" s="10" t="s">
        <v>187</v>
      </c>
      <c r="N7" s="10" t="s">
        <v>190</v>
      </c>
      <c r="O7" s="10" t="s">
        <v>193</v>
      </c>
      <c r="P7" s="10" t="s">
        <v>196</v>
      </c>
      <c r="Q7" s="10" t="s">
        <v>198</v>
      </c>
      <c r="R7" s="10" t="s">
        <v>200</v>
      </c>
      <c r="S7" s="10" t="s">
        <v>202</v>
      </c>
      <c r="T7" s="10" t="s">
        <v>205</v>
      </c>
      <c r="U7" s="10" t="s">
        <v>208</v>
      </c>
      <c r="V7" s="10" t="s">
        <v>211</v>
      </c>
      <c r="W7" s="10" t="s">
        <v>214</v>
      </c>
      <c r="X7" s="10" t="s">
        <v>217</v>
      </c>
      <c r="Y7" s="10" t="s">
        <v>220</v>
      </c>
      <c r="Z7" s="10" t="s">
        <v>223</v>
      </c>
      <c r="AA7" s="10" t="s">
        <v>225</v>
      </c>
      <c r="AB7" s="10" t="s">
        <v>227</v>
      </c>
      <c r="AC7" s="10" t="s">
        <v>230</v>
      </c>
      <c r="AD7" s="10" t="s">
        <v>233</v>
      </c>
      <c r="AE7" s="10" t="s">
        <v>236</v>
      </c>
      <c r="AF7" s="10" t="s">
        <v>238</v>
      </c>
      <c r="AG7" s="10" t="s">
        <v>240</v>
      </c>
      <c r="AH7" s="10" t="s">
        <v>243</v>
      </c>
      <c r="AI7" s="10" t="s">
        <v>245</v>
      </c>
      <c r="AK7" s="10" t="s">
        <v>633</v>
      </c>
      <c r="AL7" s="10" t="s">
        <v>627</v>
      </c>
      <c r="AM7" s="10" t="s">
        <v>634</v>
      </c>
      <c r="AN7" s="10" t="s">
        <v>635</v>
      </c>
      <c r="AO7" s="10" t="s">
        <v>636</v>
      </c>
      <c r="AP7" s="10" t="s">
        <v>637</v>
      </c>
      <c r="AQ7" s="10" t="s">
        <v>638</v>
      </c>
      <c r="AR7" s="10" t="s">
        <v>667</v>
      </c>
    </row>
    <row r="8" spans="1:44" s="4" customFormat="1" ht="55.2">
      <c r="A8" s="241" t="s">
        <v>639</v>
      </c>
      <c r="B8" s="241" t="s">
        <v>668</v>
      </c>
      <c r="C8" s="241" t="s">
        <v>656</v>
      </c>
      <c r="D8" s="241" t="s">
        <v>657</v>
      </c>
      <c r="E8" s="241" t="s">
        <v>683</v>
      </c>
      <c r="F8" s="241"/>
      <c r="G8" s="241"/>
      <c r="H8" s="241" t="s">
        <v>173</v>
      </c>
      <c r="I8" s="241" t="s">
        <v>176</v>
      </c>
      <c r="J8" s="241" t="s">
        <v>179</v>
      </c>
      <c r="K8" s="241" t="s">
        <v>182</v>
      </c>
      <c r="L8" s="241" t="s">
        <v>185</v>
      </c>
      <c r="M8" s="241" t="s">
        <v>188</v>
      </c>
      <c r="N8" s="241" t="s">
        <v>191</v>
      </c>
      <c r="O8" s="241" t="s">
        <v>194</v>
      </c>
      <c r="P8" s="241" t="s">
        <v>197</v>
      </c>
      <c r="Q8" s="241" t="s">
        <v>199</v>
      </c>
      <c r="R8" s="241" t="s">
        <v>201</v>
      </c>
      <c r="S8" s="241" t="s">
        <v>203</v>
      </c>
      <c r="T8" s="241" t="s">
        <v>206</v>
      </c>
      <c r="U8" s="241" t="s">
        <v>209</v>
      </c>
      <c r="V8" s="241" t="s">
        <v>212</v>
      </c>
      <c r="W8" s="241" t="s">
        <v>215</v>
      </c>
      <c r="X8" s="241" t="s">
        <v>218</v>
      </c>
      <c r="Y8" s="241" t="s">
        <v>221</v>
      </c>
      <c r="Z8" s="241" t="s">
        <v>224</v>
      </c>
      <c r="AA8" s="241" t="s">
        <v>226</v>
      </c>
      <c r="AB8" s="241" t="s">
        <v>228</v>
      </c>
      <c r="AC8" s="241" t="s">
        <v>231</v>
      </c>
      <c r="AD8" s="241" t="s">
        <v>234</v>
      </c>
      <c r="AE8" s="241" t="s">
        <v>237</v>
      </c>
      <c r="AF8" s="241" t="s">
        <v>239</v>
      </c>
      <c r="AG8" s="241" t="s">
        <v>241</v>
      </c>
      <c r="AH8" s="241" t="s">
        <v>1172</v>
      </c>
      <c r="AI8" s="241" t="s">
        <v>246</v>
      </c>
      <c r="AK8" s="242" t="s">
        <v>670</v>
      </c>
      <c r="AL8" s="242" t="s">
        <v>644</v>
      </c>
      <c r="AM8" s="242" t="s">
        <v>23</v>
      </c>
      <c r="AN8" s="242" t="s">
        <v>645</v>
      </c>
      <c r="AO8" s="242" t="s">
        <v>646</v>
      </c>
      <c r="AP8" s="242" t="s">
        <v>647</v>
      </c>
      <c r="AQ8" s="241" t="s">
        <v>648</v>
      </c>
      <c r="AR8" s="241" t="s">
        <v>671</v>
      </c>
    </row>
    <row r="9" spans="1:44" s="4" customFormat="1">
      <c r="A9" s="257" t="s">
        <v>649</v>
      </c>
      <c r="B9" s="257"/>
      <c r="C9" s="257"/>
      <c r="D9" s="257"/>
      <c r="E9" s="257"/>
      <c r="F9" s="257"/>
      <c r="G9" s="257"/>
      <c r="H9" s="257" t="s">
        <v>112</v>
      </c>
      <c r="I9" s="257" t="s">
        <v>112</v>
      </c>
      <c r="J9" s="257" t="s">
        <v>112</v>
      </c>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K9" s="257" t="s">
        <v>629</v>
      </c>
      <c r="AL9" s="257"/>
      <c r="AM9" s="257"/>
      <c r="AN9" s="257"/>
      <c r="AO9" s="257"/>
      <c r="AP9" s="257"/>
      <c r="AQ9" s="257"/>
      <c r="AR9" s="257"/>
    </row>
    <row r="10" spans="1:44">
      <c r="A10" s="175" t="str">
        <f t="shared" ref="A10:A21" si="0">IF(AL10="",AK10,AL10)</f>
        <v>*Non-renewables</v>
      </c>
      <c r="D10" s="4"/>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K10" s="175" t="s">
        <v>383</v>
      </c>
    </row>
    <row r="11" spans="1:44" s="4" customFormat="1">
      <c r="A11" s="4" t="str">
        <f t="shared" si="0"/>
        <v>U-EXT-COA_00</v>
      </c>
      <c r="B11" s="4" t="str">
        <f t="shared" ref="B11:B15" si="1">IF($AL11="","",AM11)</f>
        <v>UPS Extraction of Coal - Existing</v>
      </c>
      <c r="C11" s="4" t="str">
        <f>Commodities!$C$8</f>
        <v>RSVCOA</v>
      </c>
      <c r="D11" s="4" t="str">
        <f>Commodities!$C$22</f>
        <v>COA</v>
      </c>
      <c r="E11" s="4" t="s">
        <v>678</v>
      </c>
      <c r="F11" s="4" t="s">
        <v>605</v>
      </c>
      <c r="G11" s="4">
        <v>2019</v>
      </c>
      <c r="H11" s="258">
        <f>SUMIFS('Key inputs_EB_MIN'!E$5:E$22,'Key inputs_EB_MIN'!$B$5:$B$22,"UPSCOA")/10^3+'Key inputs_EB_MIN'!E45/10^3</f>
        <v>18.390999999999998</v>
      </c>
      <c r="I11" s="258">
        <f>SUMIFS('Key inputs_EB_MIN'!F$5:F$22,'Key inputs_EB_MIN'!$B$5:$B$22,"UPSCOA")/10^3+'Key inputs_EB_MIN'!F45/10^3</f>
        <v>0</v>
      </c>
      <c r="J11" s="258">
        <f>SUMIFS('Key inputs_EB_MIN'!G$5:G$22,'Key inputs_EB_MIN'!$B$5:$B$22,"UPSCOA")/10^3+'Key inputs_EB_MIN'!G45/10^3</f>
        <v>4.8869999999999996</v>
      </c>
      <c r="K11" s="258">
        <f>SUMIFS('Key inputs_EB_MIN'!H$5:H$22,'Key inputs_EB_MIN'!$B$5:$B$22,"UPSCOA")/10^3+'Key inputs_EB_MIN'!H45/10^3</f>
        <v>6693.8379999999997</v>
      </c>
      <c r="L11" s="258">
        <f>SUMIFS('Key inputs_EB_MIN'!I$5:I$22,'Key inputs_EB_MIN'!$B$5:$B$22,"UPSCOA")/10^3+'Key inputs_EB_MIN'!I45/10^3</f>
        <v>12215.378000000001</v>
      </c>
      <c r="M11" s="258">
        <f>SUMIFS('Key inputs_EB_MIN'!J$5:J$22,'Key inputs_EB_MIN'!$B$5:$B$22,"UPSCOA")/10^3+'Key inputs_EB_MIN'!J45/10^3</f>
        <v>3225.2579999999998</v>
      </c>
      <c r="N11" s="258">
        <f>SUMIFS('Key inputs_EB_MIN'!K$5:K$22,'Key inputs_EB_MIN'!$B$5:$B$22,"UPSCOA")/10^3+'Key inputs_EB_MIN'!K45/10^3</f>
        <v>566.82299999999998</v>
      </c>
      <c r="O11" s="258">
        <f>SUMIFS('Key inputs_EB_MIN'!L$5:L$22,'Key inputs_EB_MIN'!$B$5:$B$22,"UPSCOA")/10^3+'Key inputs_EB_MIN'!L45/10^3</f>
        <v>126.477</v>
      </c>
      <c r="P11" s="258">
        <f>SUMIFS('Key inputs_EB_MIN'!M$5:M$22,'Key inputs_EB_MIN'!$B$5:$B$22,"UPSCOA")/10^3+'Key inputs_EB_MIN'!M45/10^3</f>
        <v>93.823999999999998</v>
      </c>
      <c r="Q11" s="258">
        <f>SUMIFS('Key inputs_EB_MIN'!N$5:N$22,'Key inputs_EB_MIN'!$B$5:$B$22,"UPSCOA")/10^3+'Key inputs_EB_MIN'!N45/10^3</f>
        <v>1174.356</v>
      </c>
      <c r="R11" s="258">
        <f>SUMIFS('Key inputs_EB_MIN'!O$5:O$22,'Key inputs_EB_MIN'!$B$5:$B$22,"UPSCOA")/10^3+'Key inputs_EB_MIN'!O45/10^3</f>
        <v>27.848999999999997</v>
      </c>
      <c r="S11" s="258">
        <f>SUMIFS('Key inputs_EB_MIN'!P$5:P$22,'Key inputs_EB_MIN'!$B$5:$B$22,"UPSCOA")/10^3+'Key inputs_EB_MIN'!P45/10^3</f>
        <v>80516.486999999994</v>
      </c>
      <c r="T11" s="258">
        <f>SUMIFS('Key inputs_EB_MIN'!Q$5:Q$22,'Key inputs_EB_MIN'!$B$5:$B$22,"UPSCOA")/10^3+'Key inputs_EB_MIN'!Q45/10^3</f>
        <v>633.37699999999995</v>
      </c>
      <c r="U11" s="258">
        <f>SUMIFS('Key inputs_EB_MIN'!R$5:R$22,'Key inputs_EB_MIN'!$B$5:$B$22,"UPSCOA")/10^3+'Key inputs_EB_MIN'!R45/10^3</f>
        <v>71.781999999999996</v>
      </c>
      <c r="V11" s="258">
        <f>SUMIFS('Key inputs_EB_MIN'!S$5:S$22,'Key inputs_EB_MIN'!$B$5:$B$22,"UPSCOA")/10^3+'Key inputs_EB_MIN'!S45/10^3</f>
        <v>1593.5060000000001</v>
      </c>
      <c r="W11" s="258">
        <f>SUMIFS('Key inputs_EB_MIN'!T$5:T$22,'Key inputs_EB_MIN'!$B$5:$B$22,"UPSCOA")/10^3+'Key inputs_EB_MIN'!T45/10^3</f>
        <v>15.625999999999999</v>
      </c>
      <c r="X11" s="258">
        <f>SUMIFS('Key inputs_EB_MIN'!U$5:U$22,'Key inputs_EB_MIN'!$B$5:$B$22,"UPSCOA")/10^3</f>
        <v>0</v>
      </c>
      <c r="Y11" s="258">
        <f>SUMIFS('Key inputs_EB_MIN'!V$5:V$22,'Key inputs_EB_MIN'!$B$5:$B$22,"UPSCOA")/10^3+'Key inputs_EB_MIN'!V45/10^3</f>
        <v>16393.958999999999</v>
      </c>
      <c r="Z11" s="258">
        <f>SUMIFS('Key inputs_EB_MIN'!W$5:W$22,'Key inputs_EB_MIN'!$B$5:$B$22,"UPSCOA")/10^3+'Key inputs_EB_MIN'!W45/10^3</f>
        <v>11375.751</v>
      </c>
      <c r="AA11" s="258">
        <f>SUMIFS('Key inputs_EB_MIN'!X$5:X$22,'Key inputs_EB_MIN'!$B$5:$B$22,"UPSCOA")/10^3+'Key inputs_EB_MIN'!X45/10^3</f>
        <v>17.404</v>
      </c>
      <c r="AB11" s="258">
        <f>SUMIFS('Key inputs_EB_MIN'!Y$5:Y$22,'Key inputs_EB_MIN'!$B$5:$B$22,"UPSCOA")/10^3+'Key inputs_EB_MIN'!Y45/10^3</f>
        <v>2458.377</v>
      </c>
      <c r="AC11" s="258">
        <f>SUMIFS('Key inputs_EB_MIN'!Z$5:Z$22,'Key inputs_EB_MIN'!$B$5:$B$22,"UPSCOA")/10^3+'Key inputs_EB_MIN'!Z45/10^3</f>
        <v>55.481000000000002</v>
      </c>
      <c r="AD11" s="258">
        <f>SUMIFS('Key inputs_EB_MIN'!AA$5:AA$22,'Key inputs_EB_MIN'!$B$5:$B$22,"UPSCOA")/10^3+'Key inputs_EB_MIN'!AA45/10^3</f>
        <v>48.756</v>
      </c>
      <c r="AE11" s="258">
        <f>SUMIFS('Key inputs_EB_MIN'!AB$5:AB$22,'Key inputs_EB_MIN'!$B$5:$B$22,"UPSCOA")/10^3+'Key inputs_EB_MIN'!AB45/10^3</f>
        <v>171.096</v>
      </c>
      <c r="AF11" s="258">
        <f>SUMIFS('Key inputs_EB_MIN'!AC$5:AC$22,'Key inputs_EB_MIN'!$B$5:$B$22,"UPSCOA")/10^3+'Key inputs_EB_MIN'!AC45/10^3</f>
        <v>1.409</v>
      </c>
      <c r="AG11" s="258">
        <f>SUMIFS('Key inputs_EB_MIN'!AD$5:AD$22,'Key inputs_EB_MIN'!$B$5:$B$22,"UPSCOA")/10^3+'Key inputs_EB_MIN'!AD45/10^3</f>
        <v>9496.3610000000008</v>
      </c>
      <c r="AH11" s="258">
        <f>SUMIFS('Key inputs_EB_MIN'!AE$5:AE$22,'Key inputs_EB_MIN'!$B$5:$B$22,"UPSCOA")/10^3+'Key inputs_EB_MIN'!AE45/10^3</f>
        <v>19.366</v>
      </c>
      <c r="AI11" s="258">
        <f>SUMIFS('Key inputs_EB_MIN'!AF$5:AF$22,'Key inputs_EB_MIN'!$B$5:$B$22,"UPSCOA")/10^3+'Key inputs_EB_MIN'!AF45/10^3</f>
        <v>13869.950999999999</v>
      </c>
      <c r="AK11" s="4" t="s">
        <v>651</v>
      </c>
      <c r="AL11" t="str">
        <f>"U-EXT-"&amp;D11&amp;"_00"</f>
        <v>U-EXT-COA_00</v>
      </c>
      <c r="AM11" t="str">
        <f>"UPS Extraction of "&amp;Commodities!$D$22 &amp; " - Existing"</f>
        <v>UPS Extraction of Coal - Existing</v>
      </c>
      <c r="AN11" s="4" t="s">
        <v>112</v>
      </c>
      <c r="AO11" s="4" t="s">
        <v>2672</v>
      </c>
    </row>
    <row r="12" spans="1:44" s="4" customFormat="1">
      <c r="A12" s="4" t="str">
        <f t="shared" si="0"/>
        <v>U-EXT-COACOL_00</v>
      </c>
      <c r="B12" s="4" t="str">
        <f t="shared" si="1"/>
        <v>UPS Extraction of Lignite - Existing</v>
      </c>
      <c r="C12" s="4" t="str">
        <f>Commodities!$C$9</f>
        <v>RSVLIG</v>
      </c>
      <c r="D12" s="4" t="str">
        <f>Commodities!$C$23</f>
        <v>COACOL</v>
      </c>
      <c r="E12" s="4" t="s">
        <v>678</v>
      </c>
      <c r="F12" s="4" t="s">
        <v>605</v>
      </c>
      <c r="G12" s="4">
        <v>2019</v>
      </c>
      <c r="H12" s="258">
        <f>SUMIFS('Key inputs_EB_MIN'!E$5:E$22,'Key inputs_EB_MIN'!$B$5:$B$22,"UPSCOALIG")/10^3+'Key inputs_EB_MIN'!E46/10^3</f>
        <v>0.44700000000000001</v>
      </c>
      <c r="I12" s="258">
        <f>SUMIFS('Key inputs_EB_MIN'!F$5:F$22,'Key inputs_EB_MIN'!$B$5:$B$22,"UPSCOALIG")/10^3+'Key inputs_EB_MIN'!F46/10^3</f>
        <v>0</v>
      </c>
      <c r="J12" s="258">
        <f>SUMIFS('Key inputs_EB_MIN'!G$5:G$22,'Key inputs_EB_MIN'!$B$5:$B$22,"UPSCOALIG")/10^3+'Key inputs_EB_MIN'!G46/10^3</f>
        <v>0</v>
      </c>
      <c r="K12" s="258">
        <f>SUMIFS('Key inputs_EB_MIN'!H$5:H$22,'Key inputs_EB_MIN'!$B$5:$B$22,"UPSCOALIG")/10^3+'Key inputs_EB_MIN'!H46/10^3</f>
        <v>0</v>
      </c>
      <c r="L12" s="258">
        <f>SUMIFS('Key inputs_EB_MIN'!I$5:I$22,'Key inputs_EB_MIN'!$B$5:$B$22,"UPSCOALIG")/10^3+'Key inputs_EB_MIN'!I46/10^3</f>
        <v>455.66500000000002</v>
      </c>
      <c r="M12" s="258">
        <f>SUMIFS('Key inputs_EB_MIN'!J$5:J$22,'Key inputs_EB_MIN'!$B$5:$B$22,"UPSCOALIG")/10^3+'Key inputs_EB_MIN'!J46/10^3</f>
        <v>351.58199999999999</v>
      </c>
      <c r="N12" s="258">
        <f>SUMIFS('Key inputs_EB_MIN'!K$5:K$22,'Key inputs_EB_MIN'!$B$5:$B$22,"UPSCOALIG")/10^3+'Key inputs_EB_MIN'!K46/10^3</f>
        <v>308.32499999999999</v>
      </c>
      <c r="O12" s="258">
        <f>SUMIFS('Key inputs_EB_MIN'!L$5:L$22,'Key inputs_EB_MIN'!$B$5:$B$22,"UPSCOALIG")/10^3+'Key inputs_EB_MIN'!L46/10^3</f>
        <v>0.76300000000000001</v>
      </c>
      <c r="P12" s="258">
        <f>SUMIFS('Key inputs_EB_MIN'!M$5:M$22,'Key inputs_EB_MIN'!$B$5:$B$22,"UPSCOALIG")/10^3+'Key inputs_EB_MIN'!M46/10^3</f>
        <v>0</v>
      </c>
      <c r="Q12" s="258">
        <f>SUMIFS('Key inputs_EB_MIN'!N$5:N$22,'Key inputs_EB_MIN'!$B$5:$B$22,"UPSCOALIG")/10^3+'Key inputs_EB_MIN'!N46/10^3</f>
        <v>95.370999999999995</v>
      </c>
      <c r="R12" s="258">
        <f>SUMIFS('Key inputs_EB_MIN'!O$5:O$22,'Key inputs_EB_MIN'!$B$5:$B$22,"UPSCOALIG")/10^3+'Key inputs_EB_MIN'!O46/10^3</f>
        <v>0</v>
      </c>
      <c r="S12" s="258">
        <f>SUMIFS('Key inputs_EB_MIN'!P$5:P$22,'Key inputs_EB_MIN'!$B$5:$B$22,"UPSCOALIG")/10^3+'Key inputs_EB_MIN'!P46/10^3</f>
        <v>0</v>
      </c>
      <c r="T12" s="258">
        <f>SUMIFS('Key inputs_EB_MIN'!Q$5:Q$22,'Key inputs_EB_MIN'!$B$5:$B$22,"UPSCOALIG")/10^3+'Key inputs_EB_MIN'!Q46/10^3</f>
        <v>570.30899999999997</v>
      </c>
      <c r="U12" s="258">
        <f>SUMIFS('Key inputs_EB_MIN'!R$5:R$22,'Key inputs_EB_MIN'!$B$5:$B$22,"UPSCOALIG")/10^3+'Key inputs_EB_MIN'!R46/10^3</f>
        <v>0</v>
      </c>
      <c r="V12" s="258">
        <f>SUMIFS('Key inputs_EB_MIN'!S$5:S$22,'Key inputs_EB_MIN'!$B$5:$B$22,"UPSCOALIG")/10^3+'Key inputs_EB_MIN'!S46/10^3</f>
        <v>1544.3630000000001</v>
      </c>
      <c r="W12" s="258">
        <f>SUMIFS('Key inputs_EB_MIN'!T$5:T$22,'Key inputs_EB_MIN'!$B$5:$B$22,"UPSCOALIG")/10^3+'Key inputs_EB_MIN'!T46/10^3</f>
        <v>129.267</v>
      </c>
      <c r="X12" s="258">
        <f>SUMIFS('Key inputs_EB_MIN'!U$5:U$22,'Key inputs_EB_MIN'!$B$5:$B$22,"UPSCOALIG")/10^3+'Key inputs_EB_MIN'!U46/10^3</f>
        <v>1288.028</v>
      </c>
      <c r="Y12" s="258">
        <f>SUMIFS('Key inputs_EB_MIN'!V$5:V$22,'Key inputs_EB_MIN'!$B$5:$B$22,"UPSCOALIG")/10^3+'Key inputs_EB_MIN'!V46/10^3</f>
        <v>0</v>
      </c>
      <c r="Z12" s="258">
        <f>SUMIFS('Key inputs_EB_MIN'!W$5:W$22,'Key inputs_EB_MIN'!$B$5:$B$22,"UPSCOALIG")/10^3+'Key inputs_EB_MIN'!W46/10^3</f>
        <v>0</v>
      </c>
      <c r="AA12" s="258">
        <f>SUMIFS('Key inputs_EB_MIN'!X$5:X$22,'Key inputs_EB_MIN'!$B$5:$B$22,"UPSCOALIG")/10^3+'Key inputs_EB_MIN'!X46/10^3</f>
        <v>0</v>
      </c>
      <c r="AB12" s="258">
        <f>SUMIFS('Key inputs_EB_MIN'!Y$5:Y$22,'Key inputs_EB_MIN'!$B$5:$B$22,"UPSCOALIG")/10^3+'Key inputs_EB_MIN'!Y46/10^3</f>
        <v>4.7E-2</v>
      </c>
      <c r="AC12" s="258">
        <f>SUMIFS('Key inputs_EB_MIN'!Z$5:Z$22,'Key inputs_EB_MIN'!$B$5:$B$22,"UPSCOALIG")/10^3+'Key inputs_EB_MIN'!Z46/10^3</f>
        <v>681.35599999999999</v>
      </c>
      <c r="AD12" s="258">
        <f>SUMIFS('Key inputs_EB_MIN'!AA$5:AA$22,'Key inputs_EB_MIN'!$B$5:$B$22,"UPSCOALIG")/10^3+'Key inputs_EB_MIN'!AA46/10^3</f>
        <v>6.0000000000000001E-3</v>
      </c>
      <c r="AE12" s="258">
        <f>SUMIFS('Key inputs_EB_MIN'!AB$5:AB$22,'Key inputs_EB_MIN'!$B$5:$B$22,"UPSCOALIG")/10^3+'Key inputs_EB_MIN'!AB46/10^3</f>
        <v>4.9669999999999996</v>
      </c>
      <c r="AF12" s="258">
        <f>SUMIFS('Key inputs_EB_MIN'!AC$5:AC$22,'Key inputs_EB_MIN'!$B$5:$B$22,"UPSCOALIG")/10^3+'Key inputs_EB_MIN'!AC46/10^3</f>
        <v>0</v>
      </c>
      <c r="AG12" s="258">
        <f>SUMIFS('Key inputs_EB_MIN'!AD$5:AD$22,'Key inputs_EB_MIN'!$B$5:$B$22,"UPSCOALIG")/10^3+'Key inputs_EB_MIN'!AD46/10^3</f>
        <v>1414.623</v>
      </c>
      <c r="AH12" s="258">
        <f>SUMIFS('Key inputs_EB_MIN'!AE$5:AE$22,'Key inputs_EB_MIN'!$B$5:$B$22,"UPSCOALIG")/10^3+'Key inputs_EB_MIN'!AE46/10^3</f>
        <v>0</v>
      </c>
      <c r="AI12" s="258">
        <f>SUMIFS('Key inputs_EB_MIN'!AF$5:AF$22,'Key inputs_EB_MIN'!$B$5:$B$22,"UPSCOALIG")/10^3+'Key inputs_EB_MIN'!AF46/10^3</f>
        <v>602.15700000000004</v>
      </c>
      <c r="AK12" s="4" t="s">
        <v>651</v>
      </c>
      <c r="AL12" t="str">
        <f>"U-EXT-"&amp;D12&amp;"_00"</f>
        <v>U-EXT-COACOL_00</v>
      </c>
      <c r="AM12" t="str">
        <f>"UPS Extraction of "&amp;Commodities!$D$23 &amp; " - Existing"</f>
        <v>UPS Extraction of Lignite - Existing</v>
      </c>
      <c r="AN12" s="4" t="s">
        <v>112</v>
      </c>
      <c r="AO12" s="4" t="s">
        <v>2672</v>
      </c>
    </row>
    <row r="13" spans="1:44" s="4" customFormat="1">
      <c r="A13" s="4" t="str">
        <f t="shared" si="0"/>
        <v>U-EXT-OILPIP_00</v>
      </c>
      <c r="B13" s="4" t="str">
        <f t="shared" si="1"/>
        <v>UPS Extraction of Crude oil - Existing</v>
      </c>
      <c r="C13" s="4" t="str">
        <f>Commodities!$C$11</f>
        <v>RSVOIL</v>
      </c>
      <c r="D13" s="4" t="str">
        <f>Commodities!$C$34</f>
        <v>OILPIP</v>
      </c>
      <c r="E13" s="4" t="s">
        <v>678</v>
      </c>
      <c r="F13" s="4" t="s">
        <v>605</v>
      </c>
      <c r="G13" s="4">
        <v>2019</v>
      </c>
      <c r="H13" s="258">
        <f>('Key inputs_EB_MIN'!E$69+'Key inputs_EB_MIN'!E$55)/10^3</f>
        <v>530.37900000000002</v>
      </c>
      <c r="I13" s="258">
        <f>('Key inputs_EB_MIN'!F$69+'Key inputs_EB_MIN'!F$55)/10^3</f>
        <v>5619.2039999999997</v>
      </c>
      <c r="J13" s="258">
        <f>('Key inputs_EB_MIN'!G$69+'Key inputs_EB_MIN'!G$55)/10^3</f>
        <v>2520.8589999999999</v>
      </c>
      <c r="K13" s="258">
        <f>('Key inputs_EB_MIN'!H$69+'Key inputs_EB_MIN'!H$55)/10^3</f>
        <v>2835.9569999999999</v>
      </c>
      <c r="L13" s="258">
        <f>('Key inputs_EB_MIN'!I$69+'Key inputs_EB_MIN'!I$55)/10^3</f>
        <v>586.88900000000001</v>
      </c>
      <c r="M13" s="258">
        <f>('Key inputs_EB_MIN'!J$69+'Key inputs_EB_MIN'!J$55)/10^3</f>
        <v>5615.1</v>
      </c>
      <c r="N13" s="258">
        <f>('Key inputs_EB_MIN'!K$69+'Key inputs_EB_MIN'!K$55)/10^3</f>
        <v>1621.2850000000001</v>
      </c>
      <c r="O13" s="258">
        <f>('Key inputs_EB_MIN'!L$69+'Key inputs_EB_MIN'!L$55)/10^3</f>
        <v>157.001</v>
      </c>
      <c r="P13" s="258">
        <f>('Key inputs_EB_MIN'!M$69+'Key inputs_EB_MIN'!M$55)/10^3</f>
        <v>6404.3459999999995</v>
      </c>
      <c r="Q13" s="258">
        <f>('Key inputs_EB_MIN'!N$69+'Key inputs_EB_MIN'!N$55)/10^3</f>
        <v>11553.813</v>
      </c>
      <c r="R13" s="258">
        <f>('Key inputs_EB_MIN'!O$69+'Key inputs_EB_MIN'!O$55)/10^3</f>
        <v>7.0110000000000001</v>
      </c>
      <c r="S13" s="258">
        <f>('Key inputs_EB_MIN'!P$69+'Key inputs_EB_MIN'!P$55)/10^3</f>
        <v>8848.902</v>
      </c>
      <c r="T13" s="258">
        <f>('Key inputs_EB_MIN'!Q$69+'Key inputs_EB_MIN'!Q$55)/10^3</f>
        <v>178.392</v>
      </c>
      <c r="U13" s="258">
        <f>('Key inputs_EB_MIN'!R$69+'Key inputs_EB_MIN'!R$55)/10^3</f>
        <v>5031.665</v>
      </c>
      <c r="V13" s="258">
        <f>('Key inputs_EB_MIN'!S$69+'Key inputs_EB_MIN'!S$55)/10^3</f>
        <v>250.096</v>
      </c>
      <c r="W13" s="258">
        <f>('Key inputs_EB_MIN'!T$69+'Key inputs_EB_MIN'!T$55)/10^3</f>
        <v>248.15299999999999</v>
      </c>
      <c r="X13" s="258">
        <f>('Key inputs_EB_MIN'!U$69+'Key inputs_EB_MIN'!U$55)/10^3</f>
        <v>391.09500000000003</v>
      </c>
      <c r="Y13" s="258">
        <f>('Key inputs_EB_MIN'!V$69+'Key inputs_EB_MIN'!V$55)/10^3</f>
        <v>2249.16</v>
      </c>
      <c r="Z13" s="258">
        <f>('Key inputs_EB_MIN'!W$69+'Key inputs_EB_MIN'!W$55)/10^3</f>
        <v>1095.32</v>
      </c>
      <c r="AA13" s="258">
        <f>('Key inputs_EB_MIN'!X$69+'Key inputs_EB_MIN'!X$55)/10^3</f>
        <v>67.78</v>
      </c>
      <c r="AB13" s="258">
        <f>('Key inputs_EB_MIN'!Y$69+'Key inputs_EB_MIN'!Y$55)/10^3</f>
        <v>7086.5739999999996</v>
      </c>
      <c r="AC13" s="258">
        <f>('Key inputs_EB_MIN'!Z$69+'Key inputs_EB_MIN'!Z$55)/10^3</f>
        <v>190.03</v>
      </c>
      <c r="AD13" s="258">
        <f>('Key inputs_EB_MIN'!AA$69+'Key inputs_EB_MIN'!AA$55)/10^3</f>
        <v>50164.262000000002</v>
      </c>
      <c r="AE13" s="258">
        <f>('Key inputs_EB_MIN'!AB$69+'Key inputs_EB_MIN'!AB$55)/10^3</f>
        <v>3772.66</v>
      </c>
      <c r="AF13" s="258">
        <f>('Key inputs_EB_MIN'!AC$69+'Key inputs_EB_MIN'!AC$55)/10^3</f>
        <v>4308.28</v>
      </c>
      <c r="AG13" s="258">
        <f>('Key inputs_EB_MIN'!AD$69+'Key inputs_EB_MIN'!AD$55)/10^3</f>
        <v>22925.06</v>
      </c>
      <c r="AH13" s="258">
        <f>('Key inputs_EB_MIN'!AE$69+'Key inputs_EB_MIN'!AE$55)/10^3</f>
        <v>33.548999999999999</v>
      </c>
      <c r="AI13" s="258">
        <f>('Key inputs_EB_MIN'!AF$69+'Key inputs_EB_MIN'!AF$55)/10^3</f>
        <v>22666.428</v>
      </c>
      <c r="AK13" s="4" t="s">
        <v>651</v>
      </c>
      <c r="AL13" t="str">
        <f>"U-EXT-"&amp;D13&amp;"_00"</f>
        <v>U-EXT-OILPIP_00</v>
      </c>
      <c r="AM13" t="str">
        <f>"UPS Extraction of "&amp;Commodities!$D$27 &amp; " - Existing"</f>
        <v>UPS Extraction of Crude oil - Existing</v>
      </c>
      <c r="AN13" s="4" t="s">
        <v>112</v>
      </c>
      <c r="AO13" s="4" t="s">
        <v>2672</v>
      </c>
    </row>
    <row r="14" spans="1:44" s="4" customFormat="1">
      <c r="A14" s="4" t="str">
        <f t="shared" si="0"/>
        <v>U-EXT-GASWET_00</v>
      </c>
      <c r="B14" s="4" t="str">
        <f t="shared" si="1"/>
        <v>UPS Extraction of Wet gas - Existing</v>
      </c>
      <c r="C14" s="4" t="str">
        <f>Commodities!$C$10</f>
        <v>RSVGAS</v>
      </c>
      <c r="D14" s="4" t="str">
        <f>Commodities!$C$24</f>
        <v>GASWET</v>
      </c>
      <c r="E14" s="4" t="s">
        <v>678</v>
      </c>
      <c r="F14" s="4" t="s">
        <v>605</v>
      </c>
      <c r="G14" s="4">
        <v>2019</v>
      </c>
      <c r="H14" s="258">
        <f>'Key inputs_EB_MIN'!E$70/10^3+'Key inputs_EB_MIN'!E$71/10^3+'Key inputs_EB_MIN'!E49/10^3+'Key inputs_EB_MIN'!E56/10^3</f>
        <v>37.427</v>
      </c>
      <c r="I14" s="258">
        <f>'Key inputs_EB_MIN'!F$70/10^3+'Key inputs_EB_MIN'!F$71/10^3+'Key inputs_EB_MIN'!F49/10^3+'Key inputs_EB_MIN'!F56/10^3</f>
        <v>7151.0159999999996</v>
      </c>
      <c r="J14" s="258">
        <f>'Key inputs_EB_MIN'!G$70/10^3+'Key inputs_EB_MIN'!G$71/10^3+'Key inputs_EB_MIN'!G49/10^3+'Key inputs_EB_MIN'!G56/10^3</f>
        <v>552.59299999999996</v>
      </c>
      <c r="K14" s="258">
        <f>'Key inputs_EB_MIN'!H$70/10^3+'Key inputs_EB_MIN'!H$71/10^3+'Key inputs_EB_MIN'!H49/10^3+'Key inputs_EB_MIN'!H56/10^3</f>
        <v>627.35500000000002</v>
      </c>
      <c r="L14" s="258">
        <f>'Key inputs_EB_MIN'!I$70/10^3+'Key inputs_EB_MIN'!I$71/10^3+'Key inputs_EB_MIN'!I49/10^3+'Key inputs_EB_MIN'!I56/10^3</f>
        <v>5372.2820000000002</v>
      </c>
      <c r="M14" s="258">
        <f>'Key inputs_EB_MIN'!J$70/10^3+'Key inputs_EB_MIN'!J$71/10^3+'Key inputs_EB_MIN'!J49/10^3+'Key inputs_EB_MIN'!J56/10^3</f>
        <v>7138.2480000000005</v>
      </c>
      <c r="N14" s="258">
        <f>'Key inputs_EB_MIN'!K$70/10^3+'Key inputs_EB_MIN'!K$71/10^3+'Key inputs_EB_MIN'!K49/10^3+'Key inputs_EB_MIN'!K56/10^3</f>
        <v>6128.6230000000005</v>
      </c>
      <c r="O14" s="258">
        <f>'Key inputs_EB_MIN'!L$70/10^3+'Key inputs_EB_MIN'!L$71/10^3+'Key inputs_EB_MIN'!L49/10^3+'Key inputs_EB_MIN'!L56/10^3</f>
        <v>2082.6480000000001</v>
      </c>
      <c r="P14" s="258">
        <f>'Key inputs_EB_MIN'!M$70/10^3+'Key inputs_EB_MIN'!M$71/10^3+'Key inputs_EB_MIN'!M49/10^3+'Key inputs_EB_MIN'!M56/10^3</f>
        <v>1140.557</v>
      </c>
      <c r="Q14" s="258">
        <f>'Key inputs_EB_MIN'!N$70/10^3+'Key inputs_EB_MIN'!N$71/10^3+'Key inputs_EB_MIN'!N49/10^3+'Key inputs_EB_MIN'!N56/10^3</f>
        <v>6956.6009999999997</v>
      </c>
      <c r="R14" s="258">
        <f>'Key inputs_EB_MIN'!O$70/10^3+'Key inputs_EB_MIN'!O$71/10^3+'Key inputs_EB_MIN'!O49/10^3+'Key inputs_EB_MIN'!O56/10^3</f>
        <v>53.722999999999999</v>
      </c>
      <c r="S14" s="258">
        <f>'Key inputs_EB_MIN'!P$70/10^3+'Key inputs_EB_MIN'!P$71/10^3+'Key inputs_EB_MIN'!P49/10^3+'Key inputs_EB_MIN'!P56/10^3</f>
        <v>6986.5540000000001</v>
      </c>
      <c r="T14" s="258">
        <f>'Key inputs_EB_MIN'!Q$70/10^3+'Key inputs_EB_MIN'!Q$71/10^3+'Key inputs_EB_MIN'!Q49/10^3+'Key inputs_EB_MIN'!Q56/10^3</f>
        <v>744.24099999999999</v>
      </c>
      <c r="U14" s="258">
        <f>'Key inputs_EB_MIN'!R$70/10^3+'Key inputs_EB_MIN'!R$71/10^3+'Key inputs_EB_MIN'!R49/10^3+'Key inputs_EB_MIN'!R56/10^3</f>
        <v>6521.2249999999995</v>
      </c>
      <c r="V14" s="258">
        <f>'Key inputs_EB_MIN'!S$70/10^3+'Key inputs_EB_MIN'!S$71/10^3+'Key inputs_EB_MIN'!S49/10^3+'Key inputs_EB_MIN'!S56/10^3</f>
        <v>604.84400000000005</v>
      </c>
      <c r="W14" s="258">
        <f>'Key inputs_EB_MIN'!T$70/10^3+'Key inputs_EB_MIN'!T$71/10^3+'Key inputs_EB_MIN'!T49/10^3+'Key inputs_EB_MIN'!T56/10^3</f>
        <v>170.38400000000001</v>
      </c>
      <c r="X14" s="258">
        <f>'Key inputs_EB_MIN'!U$70/10^3+'Key inputs_EB_MIN'!U$71/10^3+'Key inputs_EB_MIN'!U49/10^3+'Key inputs_EB_MIN'!U56/10^3</f>
        <v>1463.7559999999999</v>
      </c>
      <c r="Y14" s="258">
        <f>'Key inputs_EB_MIN'!V$70/10^3+'Key inputs_EB_MIN'!V$71/10^3+'Key inputs_EB_MIN'!V49/10^3+'Key inputs_EB_MIN'!V56/10^3</f>
        <v>2715.6240000000003</v>
      </c>
      <c r="Z14" s="258">
        <f>'Key inputs_EB_MIN'!W$70/10^3+'Key inputs_EB_MIN'!W$71/10^3+'Key inputs_EB_MIN'!W49/10^3+'Key inputs_EB_MIN'!W56/10^3</f>
        <v>1441.6790000000001</v>
      </c>
      <c r="AA14" s="258">
        <f>'Key inputs_EB_MIN'!X$70/10^3+'Key inputs_EB_MIN'!X$71/10^3+'Key inputs_EB_MIN'!X49/10^3+'Key inputs_EB_MIN'!X56/10^3</f>
        <v>92.207999999999998</v>
      </c>
      <c r="AB14" s="258">
        <f>'Key inputs_EB_MIN'!Y$70/10^3+'Key inputs_EB_MIN'!Y$71/10^3+'Key inputs_EB_MIN'!Y49/10^3+'Key inputs_EB_MIN'!Y56/10^3</f>
        <v>5646.6860000000006</v>
      </c>
      <c r="AC14" s="258">
        <f>'Key inputs_EB_MIN'!Z$70/10^3+'Key inputs_EB_MIN'!Z$71/10^3+'Key inputs_EB_MIN'!Z49/10^3+'Key inputs_EB_MIN'!Z56/10^3</f>
        <v>452.495</v>
      </c>
      <c r="AD14" s="258">
        <f>'Key inputs_EB_MIN'!AA$70/10^3+'Key inputs_EB_MIN'!AA$71/10^3+'Key inputs_EB_MIN'!AA49/10^3+'Key inputs_EB_MIN'!AA56/10^3</f>
        <v>32536.021000000001</v>
      </c>
      <c r="AE14" s="258">
        <f>'Key inputs_EB_MIN'!AB$70/10^3+'Key inputs_EB_MIN'!AB$71/10^3+'Key inputs_EB_MIN'!AB49/10^3+'Key inputs_EB_MIN'!AB56/10^3</f>
        <v>1470.807</v>
      </c>
      <c r="AF14" s="258">
        <f>'Key inputs_EB_MIN'!AC$70/10^3+'Key inputs_EB_MIN'!AC$71/10^3+'Key inputs_EB_MIN'!AC49/10^3+'Key inputs_EB_MIN'!AC56/10^3</f>
        <v>1614.2570000000001</v>
      </c>
      <c r="AG14" s="258">
        <f>'Key inputs_EB_MIN'!AD$70/10^3+'Key inputs_EB_MIN'!AD$71/10^3+'Key inputs_EB_MIN'!AD49/10^3+'Key inputs_EB_MIN'!AD56/10^3</f>
        <v>28612.018</v>
      </c>
      <c r="AH14" s="258">
        <f>'Key inputs_EB_MIN'!AE$70/10^3+'Key inputs_EB_MIN'!AE$71/10^3+'Key inputs_EB_MIN'!AE49/10^3+'Key inputs_EB_MIN'!AE56/10^3</f>
        <v>27.905000000000001</v>
      </c>
      <c r="AI14" s="258">
        <f>'Key inputs_EB_MIN'!AF$70/10^3+'Key inputs_EB_MIN'!AF$71/10^3+'Key inputs_EB_MIN'!AF49/10^3+'Key inputs_EB_MIN'!AF56/10^3</f>
        <v>43980.908000000003</v>
      </c>
      <c r="AK14" s="4" t="s">
        <v>651</v>
      </c>
      <c r="AL14" t="str">
        <f>"U-EXT-"&amp;D14&amp;"_00"</f>
        <v>U-EXT-GASWET_00</v>
      </c>
      <c r="AM14" t="str">
        <f>"UPS Extraction of "&amp;Commodities!$D$24 &amp; " - Existing"</f>
        <v>UPS Extraction of Wet gas - Existing</v>
      </c>
      <c r="AN14" s="4" t="s">
        <v>112</v>
      </c>
      <c r="AO14" s="4" t="s">
        <v>2672</v>
      </c>
    </row>
    <row r="15" spans="1:44" s="4" customFormat="1">
      <c r="A15" s="4" t="str">
        <f>IF(AL15="",AK15,AL15)</f>
        <v>MIN-NUC</v>
      </c>
      <c r="B15" s="4" t="str">
        <f t="shared" si="1"/>
        <v>Primary production of Uranium</v>
      </c>
      <c r="D15" s="4" t="str">
        <f>Commodities!$C$28</f>
        <v>NUC</v>
      </c>
      <c r="E15" s="4" t="s">
        <v>678</v>
      </c>
      <c r="F15" s="4" t="s">
        <v>661</v>
      </c>
      <c r="G15" s="4">
        <v>2019</v>
      </c>
      <c r="H15" s="258">
        <f>'Key inputs_EB_MIN'!E17/10^3</f>
        <v>0</v>
      </c>
      <c r="I15" s="258">
        <f>'Key inputs_EB_MIN'!F17/10^3</f>
        <v>0</v>
      </c>
      <c r="J15" s="258">
        <f>'Key inputs_EB_MIN'!G17/10^3</f>
        <v>0</v>
      </c>
      <c r="K15" s="258">
        <f>'Key inputs_EB_MIN'!H17/10^3</f>
        <v>143.12200000000001</v>
      </c>
      <c r="L15" s="258">
        <f>'Key inputs_EB_MIN'!I17/10^3</f>
        <v>0</v>
      </c>
      <c r="M15" s="258">
        <f>'Key inputs_EB_MIN'!J17/10^3</f>
        <v>23.736000000000001</v>
      </c>
      <c r="N15" s="258">
        <f>'Key inputs_EB_MIN'!K17/10^3</f>
        <v>0</v>
      </c>
      <c r="O15" s="258">
        <f>'Key inputs_EB_MIN'!L17/10^3</f>
        <v>98.647000000000006</v>
      </c>
      <c r="P15" s="258">
        <f>'Key inputs_EB_MIN'!M17/10^3</f>
        <v>174.19300000000001</v>
      </c>
      <c r="Q15" s="258">
        <f>'Key inputs_EB_MIN'!N17/10^3</f>
        <v>1092.9280000000001</v>
      </c>
      <c r="R15" s="258">
        <f>'Key inputs_EB_MIN'!O17/10^3</f>
        <v>0</v>
      </c>
      <c r="S15" s="258">
        <f>'Key inputs_EB_MIN'!P17/10^3</f>
        <v>3762.18</v>
      </c>
      <c r="T15" s="258">
        <f>'Key inputs_EB_MIN'!Q17/10^3</f>
        <v>902.47</v>
      </c>
      <c r="U15" s="258">
        <f>'Key inputs_EB_MIN'!R17/10^3</f>
        <v>893.47699999999998</v>
      </c>
      <c r="V15" s="258">
        <f>'Key inputs_EB_MIN'!S17/10^3</f>
        <v>1035.088</v>
      </c>
      <c r="W15" s="258">
        <f>'Key inputs_EB_MIN'!T17/10^3</f>
        <v>4939.4939999999997</v>
      </c>
      <c r="X15" s="258">
        <f>'Key inputs_EB_MIN'!U17/10^3</f>
        <v>2295.047</v>
      </c>
      <c r="Y15" s="258">
        <f>'Key inputs_EB_MIN'!V17/10^3</f>
        <v>0</v>
      </c>
      <c r="Z15" s="258">
        <f>'Key inputs_EB_MIN'!W17/10^3</f>
        <v>501.89800000000002</v>
      </c>
      <c r="AA15" s="258">
        <f>'Key inputs_EB_MIN'!X17/10^3</f>
        <v>688.81299999999999</v>
      </c>
      <c r="AB15" s="258">
        <f>'Key inputs_EB_MIN'!Y17/10^3</f>
        <v>85.611999999999995</v>
      </c>
      <c r="AC15" s="258">
        <f>'Key inputs_EB_MIN'!Z17/10^3</f>
        <v>0</v>
      </c>
      <c r="AD15" s="258">
        <f>'Key inputs_EB_MIN'!AA17/10^3</f>
        <v>63.396000000000001</v>
      </c>
      <c r="AE15" s="258">
        <f>'Key inputs_EB_MIN'!AB17/10^3</f>
        <v>120.852</v>
      </c>
      <c r="AF15" s="258">
        <f>'Key inputs_EB_MIN'!AC17/10^3</f>
        <v>0</v>
      </c>
      <c r="AG15" s="258">
        <f>'Key inputs_EB_MIN'!AD17/10^3</f>
        <v>2271.2750000000001</v>
      </c>
      <c r="AH15" s="258">
        <f>'Key inputs_EB_MIN'!AE17/10^3</f>
        <v>1575.8240000000001</v>
      </c>
      <c r="AI15" s="258">
        <f>'Key inputs_EB_MIN'!AF17/10^3</f>
        <v>9107.9650000000001</v>
      </c>
      <c r="AK15" s="4" t="s">
        <v>2679</v>
      </c>
      <c r="AL15" t="str">
        <f>"MIN-"&amp;D15</f>
        <v>MIN-NUC</v>
      </c>
      <c r="AM15" t="str">
        <f>IF(Commodities!D28="*","","Primary production of "&amp;Commodities!D28)</f>
        <v>Primary production of Uranium</v>
      </c>
      <c r="AN15" s="4" t="s">
        <v>112</v>
      </c>
      <c r="AO15" s="4" t="s">
        <v>2672</v>
      </c>
    </row>
    <row r="16" spans="1:44" s="4" customFormat="1">
      <c r="A16" s="4" t="str">
        <f t="shared" si="0"/>
        <v>MIN-GEO</v>
      </c>
      <c r="B16" s="4" t="str">
        <f t="shared" ref="B16:B21" si="2">IF($AL16="","",AM16)</f>
        <v>Primary production of Geothermal</v>
      </c>
      <c r="D16" s="4" t="str">
        <f>Commodities!C124</f>
        <v>GEO</v>
      </c>
      <c r="E16" s="4" t="s">
        <v>678</v>
      </c>
      <c r="F16" s="4" t="s">
        <v>661</v>
      </c>
      <c r="G16" s="4">
        <v>2019</v>
      </c>
      <c r="H16" s="258">
        <f>'Key inputs_EB_MIN'!E14/10^3</f>
        <v>188.44900000000001</v>
      </c>
      <c r="I16" s="258">
        <f>'Key inputs_EB_MIN'!F14/10^3</f>
        <v>0</v>
      </c>
      <c r="J16" s="258">
        <f>'Key inputs_EB_MIN'!G14/10^3</f>
        <v>0</v>
      </c>
      <c r="K16" s="258">
        <f>'Key inputs_EB_MIN'!H14/10^3</f>
        <v>0</v>
      </c>
      <c r="L16" s="258">
        <f>'Key inputs_EB_MIN'!I14/10^3</f>
        <v>303.197</v>
      </c>
      <c r="M16" s="258">
        <f>'Key inputs_EB_MIN'!J14/10^3</f>
        <v>0.68</v>
      </c>
      <c r="N16" s="258">
        <f>'Key inputs_EB_MIN'!K14/10^3</f>
        <v>15.239000000000001</v>
      </c>
      <c r="O16" s="258">
        <f>'Key inputs_EB_MIN'!L14/10^3</f>
        <v>0</v>
      </c>
      <c r="P16" s="258">
        <f>'Key inputs_EB_MIN'!M14/10^3</f>
        <v>0</v>
      </c>
      <c r="Q16" s="258">
        <f>'Key inputs_EB_MIN'!N14/10^3</f>
        <v>0</v>
      </c>
      <c r="R16" s="258">
        <f>'Key inputs_EB_MIN'!O14/10^3</f>
        <v>7.2720000000000002</v>
      </c>
      <c r="S16" s="258">
        <f>'Key inputs_EB_MIN'!P14/10^3</f>
        <v>0</v>
      </c>
      <c r="T16" s="258">
        <f>'Key inputs_EB_MIN'!Q14/10^3</f>
        <v>0.22</v>
      </c>
      <c r="U16" s="258">
        <f>'Key inputs_EB_MIN'!R14/10^3</f>
        <v>442.524</v>
      </c>
      <c r="V16" s="258">
        <f>'Key inputs_EB_MIN'!S14/10^3</f>
        <v>45.164000000000001</v>
      </c>
      <c r="W16" s="258">
        <f>'Key inputs_EB_MIN'!T14/10^3</f>
        <v>311.87400000000002</v>
      </c>
      <c r="X16" s="258">
        <f>'Key inputs_EB_MIN'!U14/10^3</f>
        <v>39.969000000000001</v>
      </c>
      <c r="Y16" s="258">
        <f>'Key inputs_EB_MIN'!V14/10^3</f>
        <v>841.053</v>
      </c>
      <c r="Z16" s="258">
        <f>'Key inputs_EB_MIN'!W14/10^3</f>
        <v>0</v>
      </c>
      <c r="AA16" s="258">
        <f>'Key inputs_EB_MIN'!X14/10^3</f>
        <v>107.84099999999999</v>
      </c>
      <c r="AB16" s="258">
        <f>'Key inputs_EB_MIN'!Y14/10^3</f>
        <v>157.51599999999999</v>
      </c>
      <c r="AC16" s="258">
        <f>'Key inputs_EB_MIN'!Z14/10^3</f>
        <v>404.07299999999998</v>
      </c>
      <c r="AD16" s="258">
        <f>'Key inputs_EB_MIN'!AA14/10^3</f>
        <v>0</v>
      </c>
      <c r="AE16" s="258">
        <f>'Key inputs_EB_MIN'!AB14/10^3</f>
        <v>192.636</v>
      </c>
      <c r="AF16" s="258">
        <f>'Key inputs_EB_MIN'!AC14/10^3</f>
        <v>0</v>
      </c>
      <c r="AG16" s="258">
        <f>'Key inputs_EB_MIN'!AD14/10^3</f>
        <v>15.576000000000001</v>
      </c>
      <c r="AH16" s="258">
        <f>'Key inputs_EB_MIN'!AE14/10^3</f>
        <v>9.41</v>
      </c>
      <c r="AI16" s="258">
        <f>'Key inputs_EB_MIN'!AF14/10^3</f>
        <v>675.18299999999999</v>
      </c>
      <c r="AK16" s="4" t="str">
        <f>IF($A16="*","*","MIN")</f>
        <v>MIN</v>
      </c>
      <c r="AL16" t="str">
        <f>"MIN-"&amp;D16</f>
        <v>MIN-GEO</v>
      </c>
      <c r="AM16" t="str">
        <f>IF(Commodities!D124="*","","Primary production of "&amp;Commodities!D124)</f>
        <v>Primary production of Geothermal</v>
      </c>
      <c r="AN16" s="4" t="str">
        <f t="shared" ref="AN16:AN21" si="3">IF($A30="*","","PJ")</f>
        <v>PJ</v>
      </c>
      <c r="AO16" s="4" t="s">
        <v>2672</v>
      </c>
    </row>
    <row r="17" spans="1:44" s="4" customFormat="1">
      <c r="A17" s="4" t="str">
        <f t="shared" si="0"/>
        <v>MIN-HYD</v>
      </c>
      <c r="B17" s="4" t="str">
        <f t="shared" si="2"/>
        <v>Primary production of Hydro</v>
      </c>
      <c r="D17" s="4" t="str">
        <f>Commodities!C125</f>
        <v>HYD</v>
      </c>
      <c r="E17" s="4" t="s">
        <v>678</v>
      </c>
      <c r="F17" s="4" t="s">
        <v>661</v>
      </c>
      <c r="G17" s="4">
        <v>2019</v>
      </c>
      <c r="H17" s="258">
        <f>'Key inputs_EB_MIN'!E16/10^3</f>
        <v>130.274</v>
      </c>
      <c r="I17" s="258">
        <f>'Key inputs_EB_MIN'!F16/10^3</f>
        <v>49.671999999999997</v>
      </c>
      <c r="J17" s="258">
        <f>'Key inputs_EB_MIN'!G16/10^3</f>
        <v>123.134</v>
      </c>
      <c r="K17" s="258">
        <f>'Key inputs_EB_MIN'!H16/10^3</f>
        <v>159.65600000000001</v>
      </c>
      <c r="L17" s="258">
        <f>'Key inputs_EB_MIN'!I16/10^3</f>
        <v>148.78899999999999</v>
      </c>
      <c r="M17" s="258">
        <f>'Key inputs_EB_MIN'!J16/10^3</f>
        <v>221.649</v>
      </c>
      <c r="N17" s="258">
        <f>'Key inputs_EB_MIN'!K16/10^3</f>
        <v>280.447</v>
      </c>
      <c r="O17" s="258">
        <f>'Key inputs_EB_MIN'!L16/10^3</f>
        <v>193.893</v>
      </c>
      <c r="P17" s="258">
        <f>'Key inputs_EB_MIN'!M16/10^3</f>
        <v>1432.37</v>
      </c>
      <c r="Q17" s="258">
        <f>'Key inputs_EB_MIN'!N16/10^3</f>
        <v>1417.3530000000001</v>
      </c>
      <c r="R17" s="258">
        <f>'Key inputs_EB_MIN'!O16/10^3</f>
        <v>77.388999999999996</v>
      </c>
      <c r="S17" s="258">
        <f>'Key inputs_EB_MIN'!P16/10^3</f>
        <v>4618.9979999999996</v>
      </c>
      <c r="T17" s="258">
        <f>'Key inputs_EB_MIN'!Q16/10^3</f>
        <v>111.518</v>
      </c>
      <c r="U17" s="258">
        <f>'Key inputs_EB_MIN'!R16/10^3</f>
        <v>666.04200000000003</v>
      </c>
      <c r="V17" s="258">
        <f>'Key inputs_EB_MIN'!S16/10^3</f>
        <v>150.40100000000001</v>
      </c>
      <c r="W17" s="258">
        <f>'Key inputs_EB_MIN'!T16/10^3</f>
        <v>516.53800000000001</v>
      </c>
      <c r="X17" s="258">
        <f>'Key inputs_EB_MIN'!U16/10^3</f>
        <v>534.69100000000003</v>
      </c>
      <c r="Y17" s="258">
        <f>'Key inputs_EB_MIN'!V16/10^3</f>
        <v>416.09800000000001</v>
      </c>
      <c r="Z17" s="258">
        <f>'Key inputs_EB_MIN'!W16/10^3</f>
        <v>597.22500000000002</v>
      </c>
      <c r="AA17" s="258">
        <f>'Key inputs_EB_MIN'!X16/10^3</f>
        <v>300.488</v>
      </c>
      <c r="AB17" s="258">
        <f>'Key inputs_EB_MIN'!Y16/10^3</f>
        <v>995.07799999999997</v>
      </c>
      <c r="AC17" s="258">
        <f>'Key inputs_EB_MIN'!Z16/10^3</f>
        <v>325.33999999999997</v>
      </c>
      <c r="AD17" s="258">
        <f>'Key inputs_EB_MIN'!AA16/10^3</f>
        <v>72.100999999999999</v>
      </c>
      <c r="AE17" s="258">
        <f>'Key inputs_EB_MIN'!AB16/10^3</f>
        <v>81.572999999999993</v>
      </c>
      <c r="AF17" s="258">
        <f>'Key inputs_EB_MIN'!AC16/10^3</f>
        <v>30.646000000000001</v>
      </c>
      <c r="AG17" s="258">
        <f>'Key inputs_EB_MIN'!AD16/10^3</f>
        <v>701.46100000000001</v>
      </c>
      <c r="AH17" s="258">
        <f>'Key inputs_EB_MIN'!AE16/10^3</f>
        <v>18.716000000000001</v>
      </c>
      <c r="AI17" s="258">
        <f>'Key inputs_EB_MIN'!AF16/10^3</f>
        <v>1079.7429999999999</v>
      </c>
      <c r="AK17" s="4" t="str">
        <f t="shared" ref="AK17:AK23" si="4">IF($A17="*","*","MIN")</f>
        <v>MIN</v>
      </c>
      <c r="AL17" t="str">
        <f t="shared" ref="AL17:AL21" si="5">"MIN-"&amp;D17</f>
        <v>MIN-HYD</v>
      </c>
      <c r="AM17" t="str">
        <f>IF(Commodities!D125="*","","Primary production of "&amp;Commodities!D125)</f>
        <v>Primary production of Hydro</v>
      </c>
      <c r="AN17" s="4" t="str">
        <f t="shared" si="3"/>
        <v>PJ</v>
      </c>
      <c r="AO17" s="4" t="s">
        <v>2672</v>
      </c>
    </row>
    <row r="18" spans="1:44" s="4" customFormat="1">
      <c r="A18" s="4" t="str">
        <f t="shared" si="0"/>
        <v>MIN-OCE</v>
      </c>
      <c r="B18" s="4" t="str">
        <f t="shared" si="2"/>
        <v>Primary production of Ocean</v>
      </c>
      <c r="D18" s="4" t="str">
        <f>Commodities!C126</f>
        <v>OCE</v>
      </c>
      <c r="E18" s="4" t="s">
        <v>678</v>
      </c>
      <c r="F18" s="4" t="s">
        <v>661</v>
      </c>
      <c r="G18" s="4">
        <v>2019</v>
      </c>
      <c r="H18" s="258">
        <f>'Key inputs_EB_MIN'!E15/10^3</f>
        <v>0</v>
      </c>
      <c r="I18" s="258">
        <f>'Key inputs_EB_MIN'!F15/10^3</f>
        <v>0</v>
      </c>
      <c r="J18" s="258">
        <f>'Key inputs_EB_MIN'!G15/10^3</f>
        <v>0</v>
      </c>
      <c r="K18" s="258">
        <f>'Key inputs_EB_MIN'!H15/10^3</f>
        <v>0</v>
      </c>
      <c r="L18" s="258">
        <f>'Key inputs_EB_MIN'!I15/10^3</f>
        <v>0</v>
      </c>
      <c r="M18" s="258">
        <f>'Key inputs_EB_MIN'!J15/10^3</f>
        <v>0</v>
      </c>
      <c r="N18" s="258">
        <f>'Key inputs_EB_MIN'!K15/10^3</f>
        <v>0</v>
      </c>
      <c r="O18" s="258">
        <f>'Key inputs_EB_MIN'!L15/10^3</f>
        <v>0</v>
      </c>
      <c r="P18" s="258">
        <f>'Key inputs_EB_MIN'!M15/10^3</f>
        <v>0</v>
      </c>
      <c r="Q18" s="258">
        <f>'Key inputs_EB_MIN'!N15/10^3</f>
        <v>4.0000000000000001E-3</v>
      </c>
      <c r="R18" s="258">
        <f>'Key inputs_EB_MIN'!O15/10^3</f>
        <v>0</v>
      </c>
      <c r="S18" s="258">
        <f>'Key inputs_EB_MIN'!P15/10^3</f>
        <v>0</v>
      </c>
      <c r="T18" s="258">
        <f>'Key inputs_EB_MIN'!Q15/10^3</f>
        <v>0</v>
      </c>
      <c r="U18" s="258">
        <f>'Key inputs_EB_MIN'!R15/10^3</f>
        <v>5.0999999999999997E-2</v>
      </c>
      <c r="V18" s="258">
        <f>'Key inputs_EB_MIN'!S15/10^3</f>
        <v>0</v>
      </c>
      <c r="W18" s="258">
        <f>'Key inputs_EB_MIN'!T15/10^3</f>
        <v>1.712</v>
      </c>
      <c r="X18" s="258">
        <f>'Key inputs_EB_MIN'!U15/10^3</f>
        <v>0</v>
      </c>
      <c r="Y18" s="258">
        <f>'Key inputs_EB_MIN'!V15/10^3</f>
        <v>0</v>
      </c>
      <c r="Z18" s="258">
        <f>'Key inputs_EB_MIN'!W15/10^3</f>
        <v>0</v>
      </c>
      <c r="AA18" s="258">
        <f>'Key inputs_EB_MIN'!X15/10^3</f>
        <v>0</v>
      </c>
      <c r="AB18" s="258">
        <f>'Key inputs_EB_MIN'!Y15/10^3</f>
        <v>0</v>
      </c>
      <c r="AC18" s="258">
        <f>'Key inputs_EB_MIN'!Z15/10^3</f>
        <v>0</v>
      </c>
      <c r="AD18" s="258">
        <f>'Key inputs_EB_MIN'!AA15/10^3</f>
        <v>0</v>
      </c>
      <c r="AE18" s="258">
        <f>'Key inputs_EB_MIN'!AB15/10^3</f>
        <v>0</v>
      </c>
      <c r="AF18" s="258">
        <f>'Key inputs_EB_MIN'!AC15/10^3</f>
        <v>0</v>
      </c>
      <c r="AG18" s="258">
        <f>'Key inputs_EB_MIN'!AD15/10^3</f>
        <v>0</v>
      </c>
      <c r="AH18" s="258">
        <f>'Key inputs_EB_MIN'!AE15/10^3</f>
        <v>1.4450000000000001</v>
      </c>
      <c r="AI18" s="258">
        <f>'Key inputs_EB_MIN'!AF15/10^3</f>
        <v>0</v>
      </c>
      <c r="AK18" s="4" t="str">
        <f t="shared" si="4"/>
        <v>MIN</v>
      </c>
      <c r="AL18" t="str">
        <f t="shared" si="5"/>
        <v>MIN-OCE</v>
      </c>
      <c r="AM18" t="str">
        <f>IF(Commodities!D126="*","","Primary production of "&amp;Commodities!D126)</f>
        <v>Primary production of Ocean</v>
      </c>
      <c r="AN18" s="4" t="str">
        <f t="shared" si="3"/>
        <v>PJ</v>
      </c>
      <c r="AO18" s="4" t="s">
        <v>2672</v>
      </c>
    </row>
    <row r="19" spans="1:44" s="4" customFormat="1">
      <c r="A19" s="4" t="str">
        <f t="shared" si="0"/>
        <v>MIN-SOL</v>
      </c>
      <c r="B19" s="4" t="str">
        <f t="shared" si="2"/>
        <v>Primary production of Solar</v>
      </c>
      <c r="D19" s="4" t="str">
        <f>Commodities!C127</f>
        <v>SOL</v>
      </c>
      <c r="E19" s="4" t="s">
        <v>678</v>
      </c>
      <c r="F19" s="4" t="s">
        <v>661</v>
      </c>
      <c r="G19" s="4">
        <v>2019</v>
      </c>
      <c r="H19" s="258">
        <f>('Key inputs_EB_MIN'!E13+'Key inputs_EB_MIN'!E19)/10^3</f>
        <v>1.9079999999999999</v>
      </c>
      <c r="I19" s="258">
        <f>('Key inputs_EB_MIN'!F13+'Key inputs_EB_MIN'!F19)/10^3</f>
        <v>28.584</v>
      </c>
      <c r="J19" s="258">
        <f>('Key inputs_EB_MIN'!G13+'Key inputs_EB_MIN'!G19)/10^3</f>
        <v>3.383</v>
      </c>
      <c r="K19" s="258">
        <f>('Key inputs_EB_MIN'!H13+'Key inputs_EB_MIN'!H19)/10^3</f>
        <v>39.631</v>
      </c>
      <c r="L19" s="258">
        <f>('Key inputs_EB_MIN'!I13+'Key inputs_EB_MIN'!I19)/10^3</f>
        <v>71.527000000000001</v>
      </c>
      <c r="M19" s="258">
        <f>('Key inputs_EB_MIN'!J13+'Key inputs_EB_MIN'!J19)/10^3</f>
        <v>4.133</v>
      </c>
      <c r="N19" s="258">
        <f>('Key inputs_EB_MIN'!K13+'Key inputs_EB_MIN'!K19)/10^3</f>
        <v>28.611000000000001</v>
      </c>
      <c r="O19" s="258">
        <f>('Key inputs_EB_MIN'!L13+'Key inputs_EB_MIN'!L19)/10^3</f>
        <v>4.9820000000000002</v>
      </c>
      <c r="P19" s="258">
        <f>('Key inputs_EB_MIN'!M13+'Key inputs_EB_MIN'!M19)/10^3</f>
        <v>23.957999999999998</v>
      </c>
      <c r="Q19" s="258">
        <f>('Key inputs_EB_MIN'!N13+'Key inputs_EB_MIN'!N19)/10^3</f>
        <v>18.198</v>
      </c>
      <c r="R19" s="258">
        <f>('Key inputs_EB_MIN'!O13+'Key inputs_EB_MIN'!O19)/10^3</f>
        <v>25.018000000000001</v>
      </c>
      <c r="S19" s="258">
        <f>('Key inputs_EB_MIN'!P13+'Key inputs_EB_MIN'!P19)/10^3</f>
        <v>794.80899999999997</v>
      </c>
      <c r="T19" s="258">
        <f>('Key inputs_EB_MIN'!Q13+'Key inputs_EB_MIN'!Q19)/10^3</f>
        <v>11.831</v>
      </c>
      <c r="U19" s="258">
        <f>('Key inputs_EB_MIN'!R13+'Key inputs_EB_MIN'!R19)/10^3</f>
        <v>56.722000000000001</v>
      </c>
      <c r="V19" s="258">
        <f>('Key inputs_EB_MIN'!S13+'Key inputs_EB_MIN'!S19)/10^3</f>
        <v>37.433</v>
      </c>
      <c r="W19" s="258">
        <f>('Key inputs_EB_MIN'!T13+'Key inputs_EB_MIN'!T19)/10^3</f>
        <v>307.38400000000001</v>
      </c>
      <c r="X19" s="258">
        <f>('Key inputs_EB_MIN'!U13+'Key inputs_EB_MIN'!U19)/10^3</f>
        <v>247.96</v>
      </c>
      <c r="Y19" s="258">
        <f>('Key inputs_EB_MIN'!V13+'Key inputs_EB_MIN'!V19)/10^3</f>
        <v>22.893000000000001</v>
      </c>
      <c r="Z19" s="258">
        <f>('Key inputs_EB_MIN'!W13+'Key inputs_EB_MIN'!W19)/10^3</f>
        <v>193.51300000000001</v>
      </c>
      <c r="AA19" s="258">
        <f>('Key inputs_EB_MIN'!X13+'Key inputs_EB_MIN'!X19)/10^3</f>
        <v>245.58600000000001</v>
      </c>
      <c r="AB19" s="258">
        <f>('Key inputs_EB_MIN'!Y13+'Key inputs_EB_MIN'!Y19)/10^3</f>
        <v>25.597999999999999</v>
      </c>
      <c r="AC19" s="258">
        <f>('Key inputs_EB_MIN'!Z13+'Key inputs_EB_MIN'!Z19)/10^3</f>
        <v>123.992</v>
      </c>
      <c r="AD19" s="258">
        <f>('Key inputs_EB_MIN'!AA13+'Key inputs_EB_MIN'!AA19)/10^3</f>
        <v>24.231999999999999</v>
      </c>
      <c r="AE19" s="258">
        <f>('Key inputs_EB_MIN'!AB13+'Key inputs_EB_MIN'!AB19)/10^3</f>
        <v>38.069000000000003</v>
      </c>
      <c r="AF19" s="258">
        <f>('Key inputs_EB_MIN'!AC13+'Key inputs_EB_MIN'!AC19)/10^3</f>
        <v>0.15</v>
      </c>
      <c r="AG19" s="258">
        <f>('Key inputs_EB_MIN'!AD13+'Key inputs_EB_MIN'!AD19)/10^3</f>
        <v>4.5670000000000002</v>
      </c>
      <c r="AH19" s="258">
        <f>('Key inputs_EB_MIN'!AE13+'Key inputs_EB_MIN'!AE19)/10^3</f>
        <v>40.768999999999998</v>
      </c>
      <c r="AI19" s="258">
        <f>('Key inputs_EB_MIN'!AF13+'Key inputs_EB_MIN'!AF19)/10^3</f>
        <v>489.99400000000003</v>
      </c>
      <c r="AK19" s="4" t="str">
        <f t="shared" si="4"/>
        <v>MIN</v>
      </c>
      <c r="AL19" t="str">
        <f t="shared" si="5"/>
        <v>MIN-SOL</v>
      </c>
      <c r="AM19" t="str">
        <f>IF(Commodities!D127="*","","Primary production of "&amp;Commodities!D127)</f>
        <v>Primary production of Solar</v>
      </c>
      <c r="AN19" s="4" t="str">
        <f t="shared" si="3"/>
        <v>PJ</v>
      </c>
      <c r="AO19" s="4" t="s">
        <v>2672</v>
      </c>
    </row>
    <row r="20" spans="1:44" s="4" customFormat="1">
      <c r="A20" s="4" t="str">
        <f t="shared" si="0"/>
        <v>MIN-WON</v>
      </c>
      <c r="B20" s="4" t="str">
        <f t="shared" si="2"/>
        <v>Primary production of Wind Onshore</v>
      </c>
      <c r="D20" s="4" t="str">
        <f>Commodities!C128</f>
        <v>WON</v>
      </c>
      <c r="E20" s="4" t="s">
        <v>678</v>
      </c>
      <c r="F20" s="4" t="s">
        <v>661</v>
      </c>
      <c r="G20" s="4">
        <v>2019</v>
      </c>
      <c r="H20" s="258">
        <f>'Key inputs_EB_MIN'!E21/10^3</f>
        <v>8.016</v>
      </c>
      <c r="I20" s="258">
        <f>'Key inputs_EB_MIN'!F21/10^3</f>
        <v>29.56</v>
      </c>
      <c r="J20" s="258">
        <f>'Key inputs_EB_MIN'!G21/10^3</f>
        <v>0.85699999999999998</v>
      </c>
      <c r="K20" s="258">
        <f>'Key inputs_EB_MIN'!H21/10^3</f>
        <v>21.481000000000002</v>
      </c>
      <c r="L20" s="258">
        <f>'Key inputs_EB_MIN'!I21/10^3</f>
        <v>71.48</v>
      </c>
      <c r="M20" s="258">
        <f>'Key inputs_EB_MIN'!J21/10^3</f>
        <v>4.3630000000000004</v>
      </c>
      <c r="N20" s="258">
        <f>'Key inputs_EB_MIN'!K21/10^3</f>
        <v>13.428000000000001</v>
      </c>
      <c r="O20" s="258">
        <f>'Key inputs_EB_MIN'!L21/10^3</f>
        <v>10.704000000000001</v>
      </c>
      <c r="P20" s="258">
        <f>'Key inputs_EB_MIN'!M21/10^3</f>
        <v>201.55099999999999</v>
      </c>
      <c r="Q20" s="258">
        <f>'Key inputs_EB_MIN'!N21/10^3</f>
        <v>122.021</v>
      </c>
      <c r="R20" s="258">
        <f>'Key inputs_EB_MIN'!O21/10^3</f>
        <v>16.86</v>
      </c>
      <c r="S20" s="258">
        <f>'Key inputs_EB_MIN'!P21/10^3</f>
        <v>1397.0340327944944</v>
      </c>
      <c r="T20" s="258">
        <f>'Key inputs_EB_MIN'!Q21/10^3</f>
        <v>13.307</v>
      </c>
      <c r="U20" s="258">
        <f>'Key inputs_EB_MIN'!R21/10^3</f>
        <v>132.81726078874033</v>
      </c>
      <c r="V20" s="258">
        <f>'Key inputs_EB_MIN'!S21/10^3</f>
        <v>97.882999999999996</v>
      </c>
      <c r="W20" s="258">
        <f>'Key inputs_EB_MIN'!T21/10^3</f>
        <v>450.94434475148381</v>
      </c>
      <c r="X20" s="258">
        <f>'Key inputs_EB_MIN'!U21/10^3</f>
        <v>587.85269479399028</v>
      </c>
      <c r="Y20" s="258">
        <f>'Key inputs_EB_MIN'!V21/10^3</f>
        <v>4.3561131166961191</v>
      </c>
      <c r="Z20" s="258">
        <f>'Key inputs_EB_MIN'!W21/10^3</f>
        <v>267.70600000000002</v>
      </c>
      <c r="AA20" s="258">
        <f>'Key inputs_EB_MIN'!X21/10^3</f>
        <v>25.754066946705169</v>
      </c>
      <c r="AB20" s="258">
        <f>'Key inputs_EB_MIN'!Y21/10^3</f>
        <v>74.257000000000005</v>
      </c>
      <c r="AC20" s="258">
        <f>'Key inputs_EB_MIN'!Z21/10^3</f>
        <v>81.894999999999996</v>
      </c>
      <c r="AD20" s="258">
        <f>'Key inputs_EB_MIN'!AA21/10^3</f>
        <v>2.278</v>
      </c>
      <c r="AE20" s="258">
        <f>'Key inputs_EB_MIN'!AB21/10^3</f>
        <v>58.06</v>
      </c>
      <c r="AF20" s="258">
        <f>'Key inputs_EB_MIN'!AC21/10^3</f>
        <v>1.0999999999999999E-2</v>
      </c>
      <c r="AG20" s="258">
        <f>'Key inputs_EB_MIN'!AD21/10^3</f>
        <v>1.181</v>
      </c>
      <c r="AH20" s="258">
        <f>'Key inputs_EB_MIN'!AE21/10^3</f>
        <v>7.2959059383202103</v>
      </c>
      <c r="AI20" s="258">
        <f>'Key inputs_EB_MIN'!AF21/10^3</f>
        <v>1036.3770639612819</v>
      </c>
      <c r="AK20" s="4" t="str">
        <f t="shared" si="4"/>
        <v>MIN</v>
      </c>
      <c r="AL20" t="str">
        <f t="shared" si="5"/>
        <v>MIN-WON</v>
      </c>
      <c r="AM20" t="str">
        <f>IF(Commodities!D128="*","","Primary production of "&amp;Commodities!D128)</f>
        <v>Primary production of Wind Onshore</v>
      </c>
      <c r="AN20" s="4" t="str">
        <f t="shared" si="3"/>
        <v>PJ</v>
      </c>
      <c r="AO20" s="4" t="s">
        <v>2672</v>
      </c>
    </row>
    <row r="21" spans="1:44" s="4" customFormat="1">
      <c r="A21" s="259" t="str">
        <f t="shared" si="0"/>
        <v>MIN-WOF</v>
      </c>
      <c r="B21" s="259" t="str">
        <f t="shared" si="2"/>
        <v>Primary production of Wind Offshore</v>
      </c>
      <c r="C21" s="259"/>
      <c r="D21" s="259" t="str">
        <f>Commodities!C129</f>
        <v>WOF</v>
      </c>
      <c r="E21" s="259" t="s">
        <v>678</v>
      </c>
      <c r="F21" s="259" t="s">
        <v>661</v>
      </c>
      <c r="G21" s="259">
        <v>2019</v>
      </c>
      <c r="H21" s="435">
        <f>'Key inputs_EB_MIN'!E22/10^3</f>
        <v>0</v>
      </c>
      <c r="I21" s="435">
        <f>'Key inputs_EB_MIN'!F22/10^3</f>
        <v>0</v>
      </c>
      <c r="J21" s="435">
        <f>'Key inputs_EB_MIN'!G22/10^3</f>
        <v>0</v>
      </c>
      <c r="K21" s="435">
        <f>'Key inputs_EB_MIN'!H22/10^3</f>
        <v>0</v>
      </c>
      <c r="L21" s="435">
        <f>'Key inputs_EB_MIN'!I22/10^3</f>
        <v>0</v>
      </c>
      <c r="M21" s="435">
        <f>'Key inputs_EB_MIN'!J22/10^3</f>
        <v>0</v>
      </c>
      <c r="N21" s="435">
        <f>'Key inputs_EB_MIN'!K22/10^3</f>
        <v>0</v>
      </c>
      <c r="O21" s="435">
        <f>'Key inputs_EB_MIN'!L22/10^3</f>
        <v>0</v>
      </c>
      <c r="P21" s="435">
        <f>'Key inputs_EB_MIN'!M22/10^3</f>
        <v>0</v>
      </c>
      <c r="Q21" s="435">
        <f>'Key inputs_EB_MIN'!N22/10^3</f>
        <v>0</v>
      </c>
      <c r="R21" s="435">
        <f>'Key inputs_EB_MIN'!O22/10^3</f>
        <v>0</v>
      </c>
      <c r="S21" s="435">
        <f>'Key inputs_EB_MIN'!P22/10^3</f>
        <v>40.710967205505632</v>
      </c>
      <c r="T21" s="435">
        <f>'Key inputs_EB_MIN'!Q22/10^3</f>
        <v>0</v>
      </c>
      <c r="U21" s="435">
        <f>'Key inputs_EB_MIN'!R22/10^3</f>
        <v>113.17073921125967</v>
      </c>
      <c r="V21" s="435">
        <f>'Key inputs_EB_MIN'!S22/10^3</f>
        <v>0</v>
      </c>
      <c r="W21" s="435">
        <f>'Key inputs_EB_MIN'!T22/10^3</f>
        <v>3.7655248516190398E-2</v>
      </c>
      <c r="X21" s="435">
        <f>'Key inputs_EB_MIN'!U22/10^3</f>
        <v>141.98130520600981</v>
      </c>
      <c r="Y21" s="435">
        <f>'Key inputs_EB_MIN'!V22/10^3</f>
        <v>0.60288688330388018</v>
      </c>
      <c r="Z21" s="435">
        <f>'Key inputs_EB_MIN'!W22/10^3</f>
        <v>0</v>
      </c>
      <c r="AA21" s="435">
        <f>'Key inputs_EB_MIN'!X22/10^3</f>
        <v>0.35993305329482805</v>
      </c>
      <c r="AB21" s="435">
        <f>'Key inputs_EB_MIN'!Y22/10^3</f>
        <v>0</v>
      </c>
      <c r="AC21" s="435">
        <f>'Key inputs_EB_MIN'!Z22/10^3</f>
        <v>0</v>
      </c>
      <c r="AD21" s="435">
        <f>'Key inputs_EB_MIN'!AA22/10^3</f>
        <v>0</v>
      </c>
      <c r="AE21" s="435">
        <f>'Key inputs_EB_MIN'!AB22/10^3</f>
        <v>0</v>
      </c>
      <c r="AF21" s="435">
        <f>'Key inputs_EB_MIN'!AC22/10^3</f>
        <v>0</v>
      </c>
      <c r="AG21" s="435">
        <f>'Key inputs_EB_MIN'!AD22/10^3</f>
        <v>0</v>
      </c>
      <c r="AH21" s="435">
        <f>'Key inputs_EB_MIN'!AE22/10^3</f>
        <v>0.73309406167978997</v>
      </c>
      <c r="AI21" s="435">
        <f>'Key inputs_EB_MIN'!AF22/10^3</f>
        <v>0.35693603871789187</v>
      </c>
      <c r="AK21" s="259" t="str">
        <f t="shared" si="4"/>
        <v>MIN</v>
      </c>
      <c r="AL21" s="236" t="str">
        <f t="shared" si="5"/>
        <v>MIN-WOF</v>
      </c>
      <c r="AM21" s="236" t="str">
        <f>IF(Commodities!D129="*","","Primary production of "&amp;Commodities!D129)</f>
        <v>Primary production of Wind Offshore</v>
      </c>
      <c r="AN21" s="259" t="str">
        <f t="shared" si="3"/>
        <v>PJ</v>
      </c>
      <c r="AO21" s="259" t="s">
        <v>2672</v>
      </c>
      <c r="AP21" s="259"/>
      <c r="AQ21" s="259"/>
      <c r="AR21" s="259"/>
    </row>
    <row r="22" spans="1:44" s="4" customFormat="1">
      <c r="A22" s="4" t="str">
        <f t="shared" ref="A22:A23" si="6">IF(AL22="",AK22,AL22)</f>
        <v>MIN-WASTEN</v>
      </c>
      <c r="B22" s="4" t="str">
        <f t="shared" ref="B22:B23" si="7">IF($AL22="","",AM22)</f>
        <v>Primary production of Waste</v>
      </c>
      <c r="D22" s="4" t="str">
        <f>Commodities!C135</f>
        <v>WASTEN</v>
      </c>
      <c r="E22" s="4" t="s">
        <v>678</v>
      </c>
      <c r="F22" s="4" t="s">
        <v>661</v>
      </c>
      <c r="G22" s="4">
        <v>2019</v>
      </c>
      <c r="H22" s="258">
        <f>'Key inputs_EB_MIN'!E20/10^3</f>
        <v>0</v>
      </c>
      <c r="I22" s="258">
        <f>'Key inputs_EB_MIN'!F20/10^3</f>
        <v>2.3050000000000002</v>
      </c>
      <c r="J22" s="258">
        <f>'Key inputs_EB_MIN'!G20/10^3</f>
        <v>1.4239999999999999</v>
      </c>
      <c r="K22" s="258">
        <f>'Key inputs_EB_MIN'!H20/10^3</f>
        <v>0</v>
      </c>
      <c r="L22" s="258">
        <f>'Key inputs_EB_MIN'!I20/10^3</f>
        <v>3.194</v>
      </c>
      <c r="M22" s="258">
        <f>'Key inputs_EB_MIN'!J20/10^3</f>
        <v>3.0750000000000002</v>
      </c>
      <c r="N22" s="258">
        <f>'Key inputs_EB_MIN'!K20/10^3</f>
        <v>23.39</v>
      </c>
      <c r="O22" s="258">
        <f>'Key inputs_EB_MIN'!L20/10^3</f>
        <v>0</v>
      </c>
      <c r="P22" s="258">
        <f>'Key inputs_EB_MIN'!M20/10^3</f>
        <v>0</v>
      </c>
      <c r="Q22" s="258">
        <f>'Key inputs_EB_MIN'!N20/10^3</f>
        <v>15.96</v>
      </c>
      <c r="R22" s="258">
        <f>'Key inputs_EB_MIN'!O20/10^3</f>
        <v>0</v>
      </c>
      <c r="S22" s="258">
        <f>'Key inputs_EB_MIN'!P20/10^3</f>
        <v>178.55099999999999</v>
      </c>
      <c r="T22" s="258">
        <f>'Key inputs_EB_MIN'!Q20/10^3</f>
        <v>0.36799999999999999</v>
      </c>
      <c r="U22" s="258">
        <f>'Key inputs_EB_MIN'!R20/10^3</f>
        <v>158.435</v>
      </c>
      <c r="V22" s="258">
        <f>'Key inputs_EB_MIN'!S20/10^3</f>
        <v>100.129</v>
      </c>
      <c r="W22" s="258">
        <f>'Key inputs_EB_MIN'!T20/10^3</f>
        <v>194.61199999999999</v>
      </c>
      <c r="X22" s="258">
        <f>'Key inputs_EB_MIN'!U20/10^3</f>
        <v>466.13299999999998</v>
      </c>
      <c r="Y22" s="258">
        <f>'Key inputs_EB_MIN'!V20/10^3</f>
        <v>0.18099999999999999</v>
      </c>
      <c r="Z22" s="258">
        <f>'Key inputs_EB_MIN'!W20/10^3</f>
        <v>0</v>
      </c>
      <c r="AA22" s="258">
        <f>'Key inputs_EB_MIN'!X20/10^3</f>
        <v>242.773</v>
      </c>
      <c r="AB22" s="258">
        <f>'Key inputs_EB_MIN'!Y20/10^3</f>
        <v>1.1850000000000001</v>
      </c>
      <c r="AC22" s="258">
        <f>'Key inputs_EB_MIN'!Z20/10^3</f>
        <v>40.618000000000002</v>
      </c>
      <c r="AD22" s="258">
        <f>'Key inputs_EB_MIN'!AA20/10^3</f>
        <v>4.5999999999999999E-2</v>
      </c>
      <c r="AE22" s="258">
        <f>'Key inputs_EB_MIN'!AB20/10^3</f>
        <v>0.55400000000000005</v>
      </c>
      <c r="AF22" s="258">
        <f>'Key inputs_EB_MIN'!AC20/10^3</f>
        <v>0</v>
      </c>
      <c r="AG22" s="258">
        <f>'Key inputs_EB_MIN'!AD20/10^3</f>
        <v>269.91399999999999</v>
      </c>
      <c r="AH22" s="258">
        <f>'Key inputs_EB_MIN'!AE20/10^3</f>
        <v>128.61699999999999</v>
      </c>
      <c r="AI22" s="258">
        <f>'Key inputs_EB_MIN'!AF20/10^3</f>
        <v>235.244</v>
      </c>
      <c r="AK22" s="4" t="str">
        <f t="shared" si="4"/>
        <v>MIN</v>
      </c>
      <c r="AL22" t="str">
        <f>"MIN-"&amp;D22</f>
        <v>MIN-WASTEN</v>
      </c>
      <c r="AM22" t="str">
        <f>IF(Commodities!D135="*","","Primary production of "&amp;Commodities!D135)</f>
        <v>Primary production of Waste</v>
      </c>
      <c r="AN22" s="4" t="str">
        <f t="shared" ref="AN22:AN23" si="8">IF($A22="*","","PJ")</f>
        <v>PJ</v>
      </c>
      <c r="AO22" s="4" t="s">
        <v>2672</v>
      </c>
    </row>
    <row r="23" spans="1:44" s="4" customFormat="1">
      <c r="A23" s="259" t="str">
        <f t="shared" si="6"/>
        <v>MIN-BIOWAS</v>
      </c>
      <c r="B23" s="259" t="str">
        <f t="shared" si="7"/>
        <v>Primary production of Biomass waste</v>
      </c>
      <c r="C23" s="259"/>
      <c r="D23" s="259" t="str">
        <f>Commodities!C131</f>
        <v>BIOWAS</v>
      </c>
      <c r="E23" s="259" t="s">
        <v>678</v>
      </c>
      <c r="F23" s="259" t="s">
        <v>661</v>
      </c>
      <c r="G23" s="259">
        <v>2019</v>
      </c>
      <c r="H23" s="435">
        <f>'Key inputs_EB_MIN'!E9/10^3</f>
        <v>482.90600000000001</v>
      </c>
      <c r="I23" s="435">
        <f>'Key inputs_EB_MIN'!F9/10^3</f>
        <v>4.6769999999999996</v>
      </c>
      <c r="J23" s="435">
        <f>'Key inputs_EB_MIN'!G9/10^3</f>
        <v>21.608000000000001</v>
      </c>
      <c r="K23" s="435">
        <f>'Key inputs_EB_MIN'!H9/10^3</f>
        <v>215.93700000000001</v>
      </c>
      <c r="L23" s="435">
        <f>'Key inputs_EB_MIN'!I9/10^3</f>
        <v>5.1539999999999999</v>
      </c>
      <c r="M23" s="517">
        <f>'Key inputs_EB_MIN'!J9/10^3+1</f>
        <v>2.9590000000000001</v>
      </c>
      <c r="N23" s="435">
        <f>'Key inputs_EB_MIN'!K9/10^3</f>
        <v>287.43099999999998</v>
      </c>
      <c r="O23" s="435">
        <f>'Key inputs_EB_MIN'!L9/10^3</f>
        <v>410.26499999999999</v>
      </c>
      <c r="P23" s="435">
        <f>'Key inputs_EB_MIN'!M9/10^3</f>
        <v>355.71100000000001</v>
      </c>
      <c r="Q23" s="435">
        <f>'Key inputs_EB_MIN'!N9/10^3</f>
        <v>0</v>
      </c>
      <c r="R23" s="435">
        <f>'Key inputs_EB_MIN'!O9/10^3</f>
        <v>0</v>
      </c>
      <c r="S23" s="435">
        <f>'Key inputs_EB_MIN'!P9/10^3</f>
        <v>1698.241</v>
      </c>
      <c r="T23" s="435">
        <f>'Key inputs_EB_MIN'!Q9/10^3</f>
        <v>7.4329999999999998</v>
      </c>
      <c r="U23" s="435">
        <f>'Key inputs_EB_MIN'!R9/10^3</f>
        <v>99.424000000000007</v>
      </c>
      <c r="V23" s="517">
        <f>'Key inputs_EB_MIN'!S9/10^3+7</f>
        <v>81.040999999999997</v>
      </c>
      <c r="W23" s="435">
        <f>'Key inputs_EB_MIN'!T9/10^3</f>
        <v>59.862000000000002</v>
      </c>
      <c r="X23" s="435">
        <f>'Key inputs_EB_MIN'!U9/10^3</f>
        <v>56.460999999999999</v>
      </c>
      <c r="Y23" s="435">
        <f>'Key inputs_EB_MIN'!V9/10^3</f>
        <v>476.07600000000002</v>
      </c>
      <c r="Z23" s="435">
        <f>'Key inputs_EB_MIN'!W9/10^3</f>
        <v>1308.8800000000001</v>
      </c>
      <c r="AA23" s="435">
        <f>'Key inputs_EB_MIN'!X9/10^3</f>
        <v>203.08699999999999</v>
      </c>
      <c r="AB23" s="435">
        <f>'Key inputs_EB_MIN'!Y9/10^3</f>
        <v>39.124000000000002</v>
      </c>
      <c r="AC23" s="435">
        <f>'Key inputs_EB_MIN'!Z9/10^3</f>
        <v>23.334</v>
      </c>
      <c r="AD23" s="435">
        <f>'Key inputs_EB_MIN'!AA9/10^3</f>
        <v>5.8780000000000001</v>
      </c>
      <c r="AE23" s="435">
        <f>'Key inputs_EB_MIN'!AB9/10^3</f>
        <v>0</v>
      </c>
      <c r="AF23" s="435">
        <f>'Key inputs_EB_MIN'!AC9/10^3</f>
        <v>2071.2620000000002</v>
      </c>
      <c r="AG23" s="435">
        <f>'Key inputs_EB_MIN'!AD9/10^3</f>
        <v>0.379</v>
      </c>
      <c r="AH23" s="435">
        <f>'Key inputs_EB_MIN'!AE9/10^3</f>
        <v>0</v>
      </c>
      <c r="AI23" s="435">
        <f>'Key inputs_EB_MIN'!AF9/10^3</f>
        <v>33.020000000000003</v>
      </c>
      <c r="AK23" s="259" t="str">
        <f t="shared" si="4"/>
        <v>MIN</v>
      </c>
      <c r="AL23" s="236" t="str">
        <f>"MIN-"&amp;D23</f>
        <v>MIN-BIOWAS</v>
      </c>
      <c r="AM23" s="236" t="str">
        <f>IF(Commodities!D131="*","","Primary production of "&amp;Commodities!D131)</f>
        <v>Primary production of Biomass waste</v>
      </c>
      <c r="AN23" s="259" t="str">
        <f t="shared" si="8"/>
        <v>PJ</v>
      </c>
      <c r="AO23" s="259" t="s">
        <v>2672</v>
      </c>
      <c r="AP23" s="259"/>
      <c r="AQ23" s="259"/>
      <c r="AR23" s="259"/>
    </row>
    <row r="24" spans="1:44" s="4" customFormat="1">
      <c r="A24" s="259"/>
      <c r="B24" s="259"/>
      <c r="C24" s="259"/>
      <c r="D24" s="259"/>
      <c r="E24" s="259"/>
      <c r="F24" s="259"/>
      <c r="G24" s="259"/>
      <c r="H24" s="435"/>
      <c r="I24" s="435"/>
      <c r="J24" s="435"/>
      <c r="K24" s="435"/>
      <c r="L24" s="435"/>
      <c r="M24" s="517"/>
      <c r="N24" s="435"/>
      <c r="O24" s="435"/>
      <c r="P24" s="435"/>
      <c r="Q24" s="435"/>
      <c r="R24" s="435"/>
      <c r="S24" s="435"/>
      <c r="T24" s="435"/>
      <c r="U24" s="435"/>
      <c r="V24" s="517"/>
      <c r="W24" s="435"/>
      <c r="X24" s="435"/>
      <c r="Y24" s="435"/>
      <c r="Z24" s="435"/>
      <c r="AA24" s="435"/>
      <c r="AB24" s="435"/>
      <c r="AC24" s="435"/>
      <c r="AD24" s="435"/>
      <c r="AE24" s="435"/>
      <c r="AF24" s="435"/>
      <c r="AG24" s="435"/>
      <c r="AH24" s="435"/>
      <c r="AI24" s="435"/>
      <c r="AK24" s="259"/>
      <c r="AL24" s="236"/>
      <c r="AM24" s="236"/>
      <c r="AN24" s="259"/>
      <c r="AO24" s="259"/>
      <c r="AP24" s="259"/>
      <c r="AQ24" s="259"/>
      <c r="AR24" s="259"/>
    </row>
    <row r="25" spans="1:44" s="4" customFormat="1">
      <c r="H25" s="258"/>
      <c r="I25" s="258"/>
      <c r="J25" s="258"/>
      <c r="K25" s="258"/>
      <c r="L25" s="258"/>
      <c r="M25" s="258"/>
      <c r="N25" s="258"/>
      <c r="O25" s="258"/>
      <c r="P25" s="258"/>
      <c r="Q25" s="258"/>
      <c r="R25" s="258"/>
      <c r="S25" s="258"/>
      <c r="T25" s="258"/>
      <c r="U25" s="258"/>
      <c r="V25" s="258"/>
      <c r="W25" s="258"/>
      <c r="X25" s="258"/>
      <c r="Y25" s="258"/>
      <c r="Z25" s="258"/>
      <c r="AA25" s="258"/>
      <c r="AB25" s="258"/>
      <c r="AC25" s="258"/>
      <c r="AD25" s="258"/>
      <c r="AE25" s="258"/>
      <c r="AF25" s="258"/>
      <c r="AG25" s="258"/>
      <c r="AH25" s="258"/>
      <c r="AI25" s="258"/>
      <c r="AL25"/>
      <c r="AM25"/>
    </row>
    <row r="26" spans="1:44" s="4" customFormat="1">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L26"/>
      <c r="AM26"/>
    </row>
    <row r="27" spans="1:44" s="4" customFormat="1">
      <c r="H27" s="258"/>
      <c r="I27" s="258"/>
      <c r="J27" s="258"/>
      <c r="K27" s="258"/>
      <c r="L27" s="258"/>
      <c r="M27" s="258"/>
      <c r="N27" s="258"/>
      <c r="O27" s="258"/>
      <c r="P27" s="258"/>
      <c r="Q27" s="258"/>
      <c r="R27" s="258"/>
      <c r="S27" s="258"/>
      <c r="T27" s="258"/>
      <c r="U27" s="258"/>
      <c r="V27" s="258"/>
      <c r="W27" s="258"/>
      <c r="X27" s="258"/>
      <c r="Y27" s="258"/>
      <c r="Z27" s="258"/>
      <c r="AA27" s="258"/>
      <c r="AB27" s="258"/>
      <c r="AC27" s="258"/>
      <c r="AD27" s="258"/>
      <c r="AE27" s="258"/>
      <c r="AF27" s="258"/>
      <c r="AG27" s="258"/>
      <c r="AH27" s="258"/>
      <c r="AI27" s="258"/>
      <c r="AL27"/>
      <c r="AM27"/>
    </row>
    <row r="28" spans="1:44" s="4" customFormat="1">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L28"/>
      <c r="AM28"/>
    </row>
    <row r="30" spans="1:44" ht="18">
      <c r="A30" s="8" t="s">
        <v>673</v>
      </c>
      <c r="B30" s="4"/>
      <c r="C30" s="4"/>
      <c r="D30" s="4"/>
      <c r="E30" s="4"/>
      <c r="F30" s="4"/>
      <c r="G30" s="4"/>
    </row>
    <row r="31" spans="1:44" ht="18">
      <c r="A31" s="8"/>
      <c r="B31" s="4"/>
      <c r="C31" s="4"/>
      <c r="D31" s="4"/>
      <c r="E31" s="4"/>
      <c r="F31" s="4"/>
      <c r="G31" s="4"/>
      <c r="V31" s="173"/>
      <c r="W31" s="173"/>
      <c r="Y31" s="176"/>
      <c r="Z31" s="174"/>
    </row>
    <row r="32" spans="1:44">
      <c r="A32" s="261" t="s">
        <v>625</v>
      </c>
      <c r="B32" s="4"/>
      <c r="C32" s="4"/>
      <c r="D32" s="4"/>
      <c r="E32" s="4"/>
      <c r="F32" s="4"/>
      <c r="G32" s="4"/>
    </row>
    <row r="33" spans="1:38" ht="16.2" thickBot="1">
      <c r="A33" s="11" t="s">
        <v>627</v>
      </c>
      <c r="B33" s="11" t="s">
        <v>666</v>
      </c>
      <c r="C33" s="240" t="s">
        <v>652</v>
      </c>
      <c r="D33" s="240" t="s">
        <v>373</v>
      </c>
      <c r="E33" s="240" t="s">
        <v>684</v>
      </c>
      <c r="F33" s="240" t="s">
        <v>653</v>
      </c>
      <c r="G33" s="10" t="s">
        <v>654</v>
      </c>
      <c r="H33" s="10" t="s">
        <v>376</v>
      </c>
      <c r="I33" s="10" t="s">
        <v>655</v>
      </c>
      <c r="J33" s="10" t="s">
        <v>685</v>
      </c>
      <c r="K33" s="10" t="s">
        <v>172</v>
      </c>
      <c r="L33" s="10" t="s">
        <v>175</v>
      </c>
      <c r="M33" s="10" t="s">
        <v>178</v>
      </c>
      <c r="N33" s="10" t="s">
        <v>181</v>
      </c>
      <c r="O33" s="10" t="s">
        <v>184</v>
      </c>
      <c r="P33" s="10" t="s">
        <v>187</v>
      </c>
      <c r="Q33" s="10" t="s">
        <v>190</v>
      </c>
      <c r="R33" s="10" t="s">
        <v>193</v>
      </c>
      <c r="S33" s="10" t="s">
        <v>196</v>
      </c>
      <c r="T33" s="10" t="s">
        <v>198</v>
      </c>
      <c r="U33" s="10" t="s">
        <v>200</v>
      </c>
      <c r="V33" s="10" t="s">
        <v>202</v>
      </c>
      <c r="W33" s="10" t="s">
        <v>205</v>
      </c>
      <c r="X33" s="10" t="s">
        <v>208</v>
      </c>
      <c r="Y33" s="10" t="s">
        <v>211</v>
      </c>
      <c r="Z33" s="10" t="s">
        <v>214</v>
      </c>
      <c r="AA33" s="10" t="s">
        <v>217</v>
      </c>
      <c r="AB33" s="10" t="s">
        <v>220</v>
      </c>
      <c r="AC33" s="10" t="s">
        <v>223</v>
      </c>
      <c r="AD33" s="10" t="s">
        <v>225</v>
      </c>
      <c r="AE33" s="10" t="s">
        <v>227</v>
      </c>
      <c r="AF33" s="10" t="s">
        <v>230</v>
      </c>
      <c r="AG33" s="10" t="s">
        <v>233</v>
      </c>
      <c r="AH33" s="10" t="s">
        <v>236</v>
      </c>
      <c r="AI33" s="10" t="s">
        <v>238</v>
      </c>
      <c r="AJ33" s="10" t="s">
        <v>240</v>
      </c>
      <c r="AK33" s="10" t="s">
        <v>243</v>
      </c>
      <c r="AL33" s="10" t="s">
        <v>245</v>
      </c>
    </row>
    <row r="34" spans="1:38" ht="41.4">
      <c r="A34" s="241" t="s">
        <v>639</v>
      </c>
      <c r="B34" s="241" t="s">
        <v>668</v>
      </c>
      <c r="C34" s="241" t="s">
        <v>686</v>
      </c>
      <c r="D34" s="241"/>
      <c r="E34" s="241"/>
      <c r="F34" s="241" t="s">
        <v>657</v>
      </c>
      <c r="G34" s="241" t="s">
        <v>683</v>
      </c>
      <c r="H34" s="241"/>
      <c r="I34" s="241"/>
      <c r="J34" s="241"/>
      <c r="K34" s="241" t="s">
        <v>173</v>
      </c>
      <c r="L34" s="241" t="s">
        <v>176</v>
      </c>
      <c r="M34" s="241" t="s">
        <v>179</v>
      </c>
      <c r="N34" s="241" t="s">
        <v>182</v>
      </c>
      <c r="O34" s="241" t="s">
        <v>185</v>
      </c>
      <c r="P34" s="241" t="s">
        <v>188</v>
      </c>
      <c r="Q34" s="241" t="s">
        <v>191</v>
      </c>
      <c r="R34" s="241" t="s">
        <v>194</v>
      </c>
      <c r="S34" s="241" t="s">
        <v>197</v>
      </c>
      <c r="T34" s="241" t="s">
        <v>199</v>
      </c>
      <c r="U34" s="241" t="s">
        <v>201</v>
      </c>
      <c r="V34" s="241" t="s">
        <v>203</v>
      </c>
      <c r="W34" s="241" t="s">
        <v>206</v>
      </c>
      <c r="X34" s="241" t="s">
        <v>209</v>
      </c>
      <c r="Y34" s="241" t="s">
        <v>212</v>
      </c>
      <c r="Z34" s="241" t="s">
        <v>215</v>
      </c>
      <c r="AA34" s="241" t="s">
        <v>218</v>
      </c>
      <c r="AB34" s="241" t="s">
        <v>221</v>
      </c>
      <c r="AC34" s="241" t="s">
        <v>224</v>
      </c>
      <c r="AD34" s="241" t="s">
        <v>226</v>
      </c>
      <c r="AE34" s="241" t="s">
        <v>228</v>
      </c>
      <c r="AF34" s="241" t="s">
        <v>231</v>
      </c>
      <c r="AG34" s="241" t="s">
        <v>234</v>
      </c>
      <c r="AH34" s="241" t="s">
        <v>237</v>
      </c>
      <c r="AI34" s="241" t="s">
        <v>239</v>
      </c>
      <c r="AJ34" s="241" t="s">
        <v>241</v>
      </c>
      <c r="AK34" s="241" t="s">
        <v>1172</v>
      </c>
      <c r="AL34" s="241" t="s">
        <v>246</v>
      </c>
    </row>
    <row r="35" spans="1:38">
      <c r="A35" s="257" t="s">
        <v>649</v>
      </c>
      <c r="B35" s="257"/>
      <c r="C35" s="257"/>
      <c r="D35" s="257"/>
      <c r="E35" s="257"/>
      <c r="F35" s="257"/>
      <c r="G35" s="257"/>
      <c r="H35" s="257"/>
      <c r="I35" s="257"/>
      <c r="J35" s="257"/>
      <c r="K35" s="257"/>
      <c r="L35" s="257"/>
      <c r="M35" s="257"/>
      <c r="N35" s="257"/>
      <c r="O35" s="257"/>
      <c r="P35" s="257"/>
      <c r="Q35" s="257"/>
      <c r="R35" s="257"/>
      <c r="S35" s="257"/>
      <c r="T35" s="257"/>
      <c r="U35" s="257"/>
      <c r="V35" s="257"/>
      <c r="W35" s="257"/>
      <c r="X35" s="257"/>
      <c r="Y35" s="257"/>
      <c r="Z35" s="257"/>
      <c r="AA35" s="257"/>
      <c r="AB35" s="257"/>
      <c r="AC35" s="257"/>
      <c r="AD35" s="257"/>
      <c r="AE35" s="257"/>
      <c r="AF35" s="257"/>
      <c r="AG35" s="257"/>
      <c r="AH35" s="257"/>
      <c r="AI35" s="257"/>
      <c r="AJ35" s="257"/>
      <c r="AK35" s="257"/>
      <c r="AL35" s="257"/>
    </row>
    <row r="36" spans="1:38">
      <c r="A36" s="260" t="str">
        <f>A10</f>
        <v>*Non-renewables</v>
      </c>
      <c r="B36" s="4"/>
      <c r="C36" s="4"/>
      <c r="D36" s="4"/>
      <c r="E36" s="4"/>
      <c r="F36" s="4"/>
    </row>
    <row r="37" spans="1:38">
      <c r="A37" s="4" t="str">
        <f>A11</f>
        <v>U-EXT-COA_00</v>
      </c>
      <c r="B37" s="4" t="str">
        <f>B11</f>
        <v>UPS Extraction of Coal - Existing</v>
      </c>
      <c r="G37" s="4" t="s">
        <v>687</v>
      </c>
      <c r="J37" t="s">
        <v>2663</v>
      </c>
      <c r="K37" s="354"/>
      <c r="L37" s="354"/>
      <c r="M37" s="354"/>
      <c r="N37" s="354"/>
      <c r="O37" s="354"/>
      <c r="P37" s="354"/>
      <c r="Q37" s="354"/>
      <c r="R37" s="354"/>
      <c r="S37" s="354"/>
      <c r="T37" s="354"/>
      <c r="U37" s="354"/>
      <c r="V37" s="354"/>
      <c r="W37" s="354"/>
      <c r="X37" s="354"/>
      <c r="Y37" s="354"/>
      <c r="Z37" s="354"/>
      <c r="AA37" s="354"/>
      <c r="AB37" s="354"/>
      <c r="AC37" s="354"/>
      <c r="AD37" s="354"/>
      <c r="AE37" s="354"/>
      <c r="AF37" s="354"/>
      <c r="AG37" s="354"/>
      <c r="AH37" s="354"/>
      <c r="AI37" s="354"/>
      <c r="AJ37" s="354"/>
      <c r="AK37" s="354"/>
      <c r="AL37" s="354"/>
    </row>
    <row r="38" spans="1:38">
      <c r="A38" s="4"/>
      <c r="B38" s="4"/>
      <c r="G38" s="4" t="s">
        <v>689</v>
      </c>
      <c r="J38" t="s">
        <v>2663</v>
      </c>
      <c r="K38" s="354"/>
      <c r="L38" s="354"/>
      <c r="M38" s="354"/>
      <c r="N38" s="354"/>
      <c r="O38" s="354"/>
      <c r="P38" s="354"/>
      <c r="Q38" s="354"/>
      <c r="R38" s="354"/>
      <c r="S38" s="354"/>
      <c r="T38" s="354"/>
      <c r="U38" s="354"/>
      <c r="V38" s="354"/>
      <c r="W38" s="354"/>
      <c r="X38" s="354"/>
      <c r="Y38" s="354"/>
      <c r="Z38" s="354"/>
      <c r="AA38" s="354"/>
      <c r="AB38" s="354"/>
      <c r="AC38" s="354"/>
      <c r="AD38" s="354"/>
      <c r="AE38" s="354"/>
      <c r="AF38" s="354"/>
      <c r="AG38" s="354"/>
      <c r="AH38" s="354"/>
      <c r="AI38" s="354"/>
      <c r="AJ38" s="354"/>
      <c r="AK38" s="354"/>
      <c r="AL38" s="354"/>
    </row>
    <row r="39" spans="1:38">
      <c r="A39" s="4"/>
      <c r="B39" s="4"/>
      <c r="C39" s="4"/>
      <c r="D39" s="4"/>
      <c r="E39" s="4"/>
      <c r="F39" s="4"/>
      <c r="G39" s="4" t="s">
        <v>675</v>
      </c>
      <c r="J39" t="s">
        <v>2662</v>
      </c>
      <c r="K39" s="398">
        <f>SUMIFS('Key inputs_Reserves'!$J$50:$J$77,'Key inputs_Reserves'!$A$50:$A$77,K$33)/10^3</f>
        <v>2.4</v>
      </c>
      <c r="L39" s="398">
        <f>SUMIFS('Key inputs_Reserves'!$J$50:$J$77,'Key inputs_Reserves'!$A$50:$A$77,L$33)/10^3</f>
        <v>3</v>
      </c>
      <c r="M39" s="398">
        <f>SUMIFS('Key inputs_Reserves'!$J$50:$J$77,'Key inputs_Reserves'!$A$50:$A$77,M$33)/10^3</f>
        <v>2.4</v>
      </c>
      <c r="N39" s="398">
        <f>SUMIFS('Key inputs_Reserves'!$J$50:$J$77,'Key inputs_Reserves'!$A$50:$A$77,N$33)/10^3</f>
        <v>2.4</v>
      </c>
      <c r="O39" s="398">
        <f>SUMIFS('Key inputs_Reserves'!$J$50:$J$77,'Key inputs_Reserves'!$A$50:$A$77,O$33)/10^3</f>
        <v>2.4</v>
      </c>
      <c r="P39" s="398">
        <f>SUMIFS('Key inputs_Reserves'!$J$50:$J$77,'Key inputs_Reserves'!$A$50:$A$77,P$33)/10^3</f>
        <v>3</v>
      </c>
      <c r="Q39" s="398">
        <f>SUMIFS('Key inputs_Reserves'!$J$50:$J$77,'Key inputs_Reserves'!$A$50:$A$77,Q$33)/10^3</f>
        <v>3</v>
      </c>
      <c r="R39" s="398">
        <f>SUMIFS('Key inputs_Reserves'!$J$50:$J$77,'Key inputs_Reserves'!$A$50:$A$77,R$33)/10^3</f>
        <v>3</v>
      </c>
      <c r="S39" s="398">
        <f>SUMIFS('Key inputs_Reserves'!$J$50:$J$77,'Key inputs_Reserves'!$A$50:$A$77,S$33)/10^3</f>
        <v>3</v>
      </c>
      <c r="T39" s="398">
        <f>SUMIFS('Key inputs_Reserves'!$J$50:$J$77,'Key inputs_Reserves'!$A$50:$A$77,T$33)/10^3</f>
        <v>3</v>
      </c>
      <c r="U39" s="398">
        <f>SUMIFS('Key inputs_Reserves'!$J$50:$J$77,'Key inputs_Reserves'!$A$50:$A$77,U$33)/10^3</f>
        <v>3</v>
      </c>
      <c r="V39" s="398">
        <f>SUMIFS('Key inputs_Reserves'!$J$50:$J$77,'Key inputs_Reserves'!$A$50:$A$77,V$33)/10^3</f>
        <v>2.4</v>
      </c>
      <c r="W39" s="398">
        <f>SUMIFS('Key inputs_Reserves'!$J$50:$J$77,'Key inputs_Reserves'!$A$50:$A$77,W$33)/10^3</f>
        <v>4.5</v>
      </c>
      <c r="X39" s="398">
        <f>SUMIFS('Key inputs_Reserves'!$J$50:$J$77,'Key inputs_Reserves'!$A$50:$A$77,X$33)/10^3</f>
        <v>4.5</v>
      </c>
      <c r="Y39" s="398">
        <f>SUMIFS('Key inputs_Reserves'!$J$50:$J$77,'Key inputs_Reserves'!$A$50:$A$77,Y$33)/10^3</f>
        <v>4.5</v>
      </c>
      <c r="Z39" s="398">
        <f>SUMIFS('Key inputs_Reserves'!$J$50:$J$77,'Key inputs_Reserves'!$A$50:$A$77,Z$33)/10^3</f>
        <v>4.5</v>
      </c>
      <c r="AA39" s="398">
        <f>SUMIFS('Key inputs_Reserves'!$J$50:$J$77,'Key inputs_Reserves'!$A$50:$A$77,AA$33)/10^3</f>
        <v>4.5</v>
      </c>
      <c r="AB39" s="398">
        <f>SUMIFS('Key inputs_Reserves'!$J$50:$J$77,'Key inputs_Reserves'!$A$50:$A$77,AB$33)/10^3</f>
        <v>2.4</v>
      </c>
      <c r="AC39" s="398">
        <f>SUMIFS('Key inputs_Reserves'!$J$50:$J$77,'Key inputs_Reserves'!$A$50:$A$77,AC$33)/10^3</f>
        <v>3</v>
      </c>
      <c r="AD39" s="398">
        <f>SUMIFS('Key inputs_Reserves'!$J$50:$J$77,'Key inputs_Reserves'!$A$50:$A$77,AD$33)/10^3</f>
        <v>4.5</v>
      </c>
      <c r="AE39" s="398">
        <f>SUMIFS('Key inputs_Reserves'!$J$50:$J$77,'Key inputs_Reserves'!$A$50:$A$77,AE$33)/10^3</f>
        <v>3</v>
      </c>
      <c r="AF39" s="398">
        <f>SUMIFS('Key inputs_Reserves'!$J$50:$J$77,'Key inputs_Reserves'!$A$50:$A$77,AF$33)/10^3</f>
        <v>3.6</v>
      </c>
      <c r="AG39" s="398">
        <f>SUMIFS('Key inputs_Reserves'!$J$50:$J$77,'Key inputs_Reserves'!$A$50:$A$77,AG$33)/10^3</f>
        <v>4.5</v>
      </c>
      <c r="AH39" s="398">
        <f>SUMIFS('Key inputs_Reserves'!$J$50:$J$77,'Key inputs_Reserves'!$A$50:$A$77,AH$33)/10^3</f>
        <v>3</v>
      </c>
      <c r="AI39" s="398">
        <f>SUMIFS('Key inputs_Reserves'!$J$50:$J$77,'Key inputs_Reserves'!$A$50:$A$77,AI$33)/10^3</f>
        <v>3</v>
      </c>
      <c r="AJ39" s="398">
        <f>SUMIFS('Key inputs_Reserves'!$J$50:$J$77,'Key inputs_Reserves'!$A$50:$A$77,AJ$33)/10^3</f>
        <v>1.95</v>
      </c>
      <c r="AK39" s="398">
        <f>SUMIFS('Key inputs_Reserves'!$J$50:$J$77,'Key inputs_Reserves'!$A$50:$A$77,AK$33)/10^3</f>
        <v>4.5</v>
      </c>
      <c r="AL39" s="398">
        <f>SUMIFS('Key inputs_Reserves'!$J$50:$J$77,'Key inputs_Reserves'!$A$50:$A$77,AL$33)/10^3</f>
        <v>2.4</v>
      </c>
    </row>
    <row r="40" spans="1:38">
      <c r="C40" s="4" t="str">
        <f>Commodities!$C$8</f>
        <v>RSVCOA</v>
      </c>
      <c r="D40" s="4"/>
      <c r="E40" s="4"/>
      <c r="F40" s="4"/>
      <c r="G40" s="4" t="s">
        <v>690</v>
      </c>
      <c r="I40">
        <v>2019</v>
      </c>
      <c r="J40" t="s">
        <v>112</v>
      </c>
      <c r="K40" s="354">
        <v>1</v>
      </c>
      <c r="L40" s="354">
        <v>1</v>
      </c>
      <c r="M40" s="354">
        <v>1</v>
      </c>
      <c r="N40" s="354">
        <v>1</v>
      </c>
      <c r="O40" s="354">
        <v>1</v>
      </c>
      <c r="P40" s="354">
        <v>1</v>
      </c>
      <c r="Q40" s="354">
        <v>1</v>
      </c>
      <c r="R40" s="354">
        <v>1</v>
      </c>
      <c r="S40" s="354">
        <v>1</v>
      </c>
      <c r="T40" s="354">
        <v>1</v>
      </c>
      <c r="U40" s="354">
        <v>1</v>
      </c>
      <c r="V40" s="354">
        <v>1</v>
      </c>
      <c r="W40" s="354">
        <v>1</v>
      </c>
      <c r="X40" s="354">
        <v>1</v>
      </c>
      <c r="Y40" s="354">
        <v>1</v>
      </c>
      <c r="Z40" s="354">
        <v>1</v>
      </c>
      <c r="AA40" s="354">
        <v>1</v>
      </c>
      <c r="AB40" s="354">
        <v>1</v>
      </c>
      <c r="AC40" s="354">
        <v>1</v>
      </c>
      <c r="AD40" s="354">
        <v>1</v>
      </c>
      <c r="AE40" s="354">
        <v>1</v>
      </c>
      <c r="AF40" s="354">
        <v>1</v>
      </c>
      <c r="AG40" s="354">
        <v>1</v>
      </c>
      <c r="AH40" s="354">
        <v>1</v>
      </c>
      <c r="AI40" s="354">
        <v>1</v>
      </c>
      <c r="AJ40" s="354">
        <v>1</v>
      </c>
      <c r="AK40" s="354">
        <v>1</v>
      </c>
      <c r="AL40" s="354">
        <v>1</v>
      </c>
    </row>
    <row r="41" spans="1:38">
      <c r="D41" s="4" t="s">
        <v>359</v>
      </c>
      <c r="E41" s="4" t="s">
        <v>691</v>
      </c>
      <c r="F41" s="4"/>
      <c r="G41" s="4" t="s">
        <v>692</v>
      </c>
      <c r="I41">
        <v>2019</v>
      </c>
      <c r="J41" s="4" t="s">
        <v>2664</v>
      </c>
      <c r="K41" s="176">
        <f>IFERROR(H$11/(-SUM('Key inputs_EB_OWN'!E$376:E$395)/1000),"")</f>
        <v>89.704761904761909</v>
      </c>
      <c r="L41" s="176" t="str">
        <f>IFERROR(I$11/(-SUM('Key inputs_EB_OWN'!F$376:F$395)/1000),"")</f>
        <v/>
      </c>
      <c r="M41" s="176" t="str">
        <f>IFERROR(J$11/(-SUM('Key inputs_EB_OWN'!G$376:G$395)/1000),"")</f>
        <v/>
      </c>
      <c r="N41" s="176">
        <f>IFERROR(K$11/(-SUM('Key inputs_EB_OWN'!H$376:H$395)/1000),"")</f>
        <v>630.5683967491384</v>
      </c>
      <c r="O41" s="176">
        <f>IFERROR(L$11/(-SUM('Key inputs_EB_OWN'!I$376:I$395)/1000),"")</f>
        <v>71.84173949811796</v>
      </c>
      <c r="P41" s="176">
        <f>IFERROR(M$11/(-SUM('Key inputs_EB_OWN'!J$376:J$395)/1000),"")</f>
        <v>311.43226304187982</v>
      </c>
      <c r="Q41" s="176" t="str">
        <f>IFERROR(N$11/(-SUM('Key inputs_EB_OWN'!K$376:K$395)/1000),"")</f>
        <v/>
      </c>
      <c r="R41" s="176" t="str">
        <f>IFERROR(O$11/(-SUM('Key inputs_EB_OWN'!L$376:L$395)/1000),"")</f>
        <v/>
      </c>
      <c r="S41" s="176" t="str">
        <f>IFERROR(P$11/(-SUM('Key inputs_EB_OWN'!M$376:M$395)/1000),"")</f>
        <v/>
      </c>
      <c r="T41" s="176">
        <f>IFERROR(Q$11/(-SUM('Key inputs_EB_OWN'!N$376:N$395)/1000),"")</f>
        <v>112.78009240770176</v>
      </c>
      <c r="U41" s="176" t="str">
        <f>IFERROR(R$11/(-SUM('Key inputs_EB_OWN'!O$376:O$395)/1000),"")</f>
        <v/>
      </c>
      <c r="V41" s="176">
        <f>IFERROR(S$11/(-SUM('Key inputs_EB_OWN'!P$376:P$395)/1000),"")</f>
        <v>23.355910280716671</v>
      </c>
      <c r="W41" s="176">
        <f>IFERROR(T$11/(-SUM('Key inputs_EB_OWN'!Q$376:Q$395)/1000),"")</f>
        <v>66.960126615369191</v>
      </c>
      <c r="X41" s="176">
        <f>IFERROR(U$11/(-SUM('Key inputs_EB_OWN'!R$376:R$395)/1000),"")</f>
        <v>46.106306563090918</v>
      </c>
      <c r="Y41" s="176">
        <f>IFERROR(V$11/(-SUM('Key inputs_EB_OWN'!S$376:S$395)/1000),"")</f>
        <v>60.47731970768654</v>
      </c>
      <c r="Z41" s="176" t="str">
        <f>IFERROR(W$11/(-SUM('Key inputs_EB_OWN'!T$376:T$395)/1000),"")</f>
        <v/>
      </c>
      <c r="AA41" s="176" t="str">
        <f>IFERROR(X$11/(-SUM('Key inputs_EB_OWN'!U$376:U$395)/1000),"")</f>
        <v/>
      </c>
      <c r="AB41" s="176">
        <f>IFERROR(Y$11/(-SUM('Key inputs_EB_OWN'!V$376:V$395)/1000),"")</f>
        <v>2510.004362449446</v>
      </c>
      <c r="AC41" s="176">
        <f>IFERROR(Z$11/(-SUM('Key inputs_EB_OWN'!W$376:W$395)/1000),"")</f>
        <v>2604.9349667964279</v>
      </c>
      <c r="AD41" s="176" t="str">
        <f>IFERROR(AA$11/(-SUM('Key inputs_EB_OWN'!X$376:X$395)/1000),"")</f>
        <v/>
      </c>
      <c r="AE41" s="176">
        <f>IFERROR(AB$11/(-SUM('Key inputs_EB_OWN'!Y$376:Y$395)/1000),"")</f>
        <v>710.72587186895555</v>
      </c>
      <c r="AF41" s="176">
        <f>IFERROR(AC$11/(-SUM('Key inputs_EB_OWN'!Z$376:Z$395)/1000),"")</f>
        <v>211.31714940123049</v>
      </c>
      <c r="AG41" s="176" t="str">
        <f>IFERROR(AD$11/(-SUM('Key inputs_EB_OWN'!AA$376:AA$395)/1000),"")</f>
        <v/>
      </c>
      <c r="AH41" s="176" t="str">
        <f>IFERROR(AE$11/(-SUM('Key inputs_EB_OWN'!AB$376:AB$395)/1000),"")</f>
        <v/>
      </c>
      <c r="AI41" s="176" t="str">
        <f>IFERROR(AF$11/(-SUM('Key inputs_EB_OWN'!AC$376:AC$395)/1000),"")</f>
        <v/>
      </c>
      <c r="AJ41" s="176">
        <f>IFERROR(AG$11/(-SUM('Key inputs_EB_OWN'!AD$376:AD$395)/1000),"")</f>
        <v>39.288199322027459</v>
      </c>
      <c r="AK41" s="176" t="str">
        <f>IFERROR(AH$11/(-SUM('Key inputs_EB_OWN'!AE$376:AE$395)/1000),"")</f>
        <v/>
      </c>
      <c r="AL41" s="176">
        <f>IFERROR(AI$11/(-SUM('Key inputs_EB_OWN'!AF$376:AF$395)/1000),"")</f>
        <v>60.114848057152273</v>
      </c>
    </row>
    <row r="42" spans="1:38">
      <c r="A42" s="4"/>
      <c r="B42" s="4"/>
      <c r="C42" s="4" t="str">
        <f>Commodities!$C$80</f>
        <v>UPSBDL</v>
      </c>
      <c r="D42" s="4"/>
      <c r="E42" s="4" t="s">
        <v>359</v>
      </c>
      <c r="G42" t="s">
        <v>693</v>
      </c>
      <c r="H42" s="4" t="s">
        <v>661</v>
      </c>
      <c r="I42">
        <v>2019</v>
      </c>
      <c r="J42" t="s">
        <v>650</v>
      </c>
      <c r="K42" s="173">
        <f>IFERROR(IF(AND('Key inputs_EB_OWN'!E376/SUM('Key inputs_EB_OWN'!E$376:E$395)&gt;0,'Key inputs_EB_OWN'!E376/SUM('Key inputs_EB_OWN'!E$376:E$395)&lt;0.001),0.001,'Key inputs_EB_OWN'!E376/SUM('Key inputs_EB_OWN'!E$376:E$395)),"")</f>
        <v>0</v>
      </c>
      <c r="L42" s="173" t="str">
        <f>IFERROR(IF(AND('Key inputs_EB_OWN'!F376/SUM('Key inputs_EB_OWN'!F$376:F$395)&gt;0,'Key inputs_EB_OWN'!F376/SUM('Key inputs_EB_OWN'!F$376:F$395)&lt;0.001),0.001,'Key inputs_EB_OWN'!F376/SUM('Key inputs_EB_OWN'!F$376:F$395)),"")</f>
        <v/>
      </c>
      <c r="M42" s="173" t="str">
        <f>IFERROR(IF(AND('Key inputs_EB_OWN'!G376/SUM('Key inputs_EB_OWN'!G$376:G$395)&gt;0,'Key inputs_EB_OWN'!G376/SUM('Key inputs_EB_OWN'!G$376:G$395)&lt;0.001),0.001,'Key inputs_EB_OWN'!G376/SUM('Key inputs_EB_OWN'!G$376:G$395)),"")</f>
        <v/>
      </c>
      <c r="N42" s="173">
        <f>IFERROR(IF(AND('Key inputs_EB_OWN'!H376/SUM('Key inputs_EB_OWN'!H$376:H$395)&gt;0,'Key inputs_EB_OWN'!H376/SUM('Key inputs_EB_OWN'!H$376:H$395)&lt;0.001),0.001,'Key inputs_EB_OWN'!H376/SUM('Key inputs_EB_OWN'!H$376:H$395)),"")</f>
        <v>0</v>
      </c>
      <c r="O42" s="173">
        <f>IFERROR(IF(AND('Key inputs_EB_OWN'!I376/SUM('Key inputs_EB_OWN'!I$376:I$395)&gt;0,'Key inputs_EB_OWN'!I376/SUM('Key inputs_EB_OWN'!I$376:I$395)&lt;0.001),0.001,'Key inputs_EB_OWN'!I376/SUM('Key inputs_EB_OWN'!I$376:I$395)),"")</f>
        <v>0</v>
      </c>
      <c r="P42" s="173">
        <f>IFERROR(IF(AND('Key inputs_EB_OWN'!J376/SUM('Key inputs_EB_OWN'!J$376:J$395)&gt;0,'Key inputs_EB_OWN'!J376/SUM('Key inputs_EB_OWN'!J$376:J$395)&lt;0.001),0.001,'Key inputs_EB_OWN'!J376/SUM('Key inputs_EB_OWN'!J$376:J$395)),"")</f>
        <v>0</v>
      </c>
      <c r="Q42" s="173" t="str">
        <f>IFERROR(IF(AND('Key inputs_EB_OWN'!K376/SUM('Key inputs_EB_OWN'!K$376:K$395)&gt;0,'Key inputs_EB_OWN'!K376/SUM('Key inputs_EB_OWN'!K$376:K$395)&lt;0.001),0.001,'Key inputs_EB_OWN'!K376/SUM('Key inputs_EB_OWN'!K$376:K$395)),"")</f>
        <v/>
      </c>
      <c r="R42" s="173" t="str">
        <f>IFERROR(IF(AND('Key inputs_EB_OWN'!L376/SUM('Key inputs_EB_OWN'!L$376:L$395)&gt;0,'Key inputs_EB_OWN'!L376/SUM('Key inputs_EB_OWN'!L$376:L$395)&lt;0.001),0.001,'Key inputs_EB_OWN'!L376/SUM('Key inputs_EB_OWN'!L$376:L$395)),"")</f>
        <v/>
      </c>
      <c r="S42" s="173" t="str">
        <f>IFERROR(IF(AND('Key inputs_EB_OWN'!M376/SUM('Key inputs_EB_OWN'!M$376:M$395)&gt;0,'Key inputs_EB_OWN'!M376/SUM('Key inputs_EB_OWN'!M$376:M$395)&lt;0.001),0.001,'Key inputs_EB_OWN'!M376/SUM('Key inputs_EB_OWN'!M$376:M$395)),"")</f>
        <v/>
      </c>
      <c r="T42" s="173">
        <f>IFERROR(IF(AND('Key inputs_EB_OWN'!N376/SUM('Key inputs_EB_OWN'!N$376:N$395)&gt;0,'Key inputs_EB_OWN'!N376/SUM('Key inputs_EB_OWN'!N$376:N$395)&lt;0.001),0.001,'Key inputs_EB_OWN'!N376/SUM('Key inputs_EB_OWN'!N$376:N$395)),"")</f>
        <v>0</v>
      </c>
      <c r="U42" s="173" t="str">
        <f>IFERROR(IF(AND('Key inputs_EB_OWN'!O376/SUM('Key inputs_EB_OWN'!O$376:O$395)&gt;0,'Key inputs_EB_OWN'!O376/SUM('Key inputs_EB_OWN'!O$376:O$395)&lt;0.001),0.001,'Key inputs_EB_OWN'!O376/SUM('Key inputs_EB_OWN'!O$376:O$395)),"")</f>
        <v/>
      </c>
      <c r="V42" s="348">
        <f>IFERROR(IF(AND('Key inputs_EB_OWN'!P376/SUM('Key inputs_EB_OWN'!P$376:P$395)&gt;0,'Key inputs_EB_OWN'!P376/SUM('Key inputs_EB_OWN'!P$376:P$395)&lt;0.001),0.001,'Key inputs_EB_OWN'!P376/SUM('Key inputs_EB_OWN'!P$376:P$395)),"")</f>
        <v>0</v>
      </c>
      <c r="W42" s="173">
        <f>IFERROR(IF(AND('Key inputs_EB_OWN'!Q376/SUM('Key inputs_EB_OWN'!Q$376:Q$395)&gt;0,'Key inputs_EB_OWN'!Q376/SUM('Key inputs_EB_OWN'!Q$376:Q$395)&lt;0.001),0.001,'Key inputs_EB_OWN'!Q376/SUM('Key inputs_EB_OWN'!Q$376:Q$395)),"")</f>
        <v>0</v>
      </c>
      <c r="X42" s="173">
        <f>IFERROR(IF(AND('Key inputs_EB_OWN'!R376/SUM('Key inputs_EB_OWN'!R$376:R$395)&gt;0,'Key inputs_EB_OWN'!R376/SUM('Key inputs_EB_OWN'!R$376:R$395)&lt;0.001),0.001,'Key inputs_EB_OWN'!R376/SUM('Key inputs_EB_OWN'!R$376:R$395)),"")</f>
        <v>0</v>
      </c>
      <c r="Y42" s="348">
        <f>IFERROR(IF(AND('Key inputs_EB_OWN'!S376/SUM('Key inputs_EB_OWN'!S$376:S$395)&gt;0,'Key inputs_EB_OWN'!S376/SUM('Key inputs_EB_OWN'!S$376:S$395)&lt;0.001),0.001,'Key inputs_EB_OWN'!S376/SUM('Key inputs_EB_OWN'!S$376:S$395)),"")</f>
        <v>0</v>
      </c>
      <c r="Z42" s="173" t="str">
        <f>IFERROR(IF(AND('Key inputs_EB_OWN'!T376/SUM('Key inputs_EB_OWN'!T$376:T$395)&gt;0,'Key inputs_EB_OWN'!T376/SUM('Key inputs_EB_OWN'!T$376:T$395)&lt;0.001),0.001,'Key inputs_EB_OWN'!T376/SUM('Key inputs_EB_OWN'!T$376:T$395)),"")</f>
        <v/>
      </c>
      <c r="AA42" s="173" t="str">
        <f>IFERROR(IF(AND('Key inputs_EB_OWN'!U376/SUM('Key inputs_EB_OWN'!U$376:U$395)&gt;0,'Key inputs_EB_OWN'!U376/SUM('Key inputs_EB_OWN'!U$376:U$395)&lt;0.001),0.001,'Key inputs_EB_OWN'!U376/SUM('Key inputs_EB_OWN'!U$376:U$395)),"")</f>
        <v/>
      </c>
      <c r="AB42" s="173">
        <f>IFERROR(IF(AND('Key inputs_EB_OWN'!V376/SUM('Key inputs_EB_OWN'!V$376:V$395)&gt;0,'Key inputs_EB_OWN'!V376/SUM('Key inputs_EB_OWN'!V$376:V$395)&lt;0.001),0.001,'Key inputs_EB_OWN'!V376/SUM('Key inputs_EB_OWN'!V$376:V$395)),"")</f>
        <v>0</v>
      </c>
      <c r="AC42" s="173">
        <f>IFERROR(IF(AND('Key inputs_EB_OWN'!W376/SUM('Key inputs_EB_OWN'!W$376:W$395)&gt;0,'Key inputs_EB_OWN'!W376/SUM('Key inputs_EB_OWN'!W$376:W$395)&lt;0.001),0.001,'Key inputs_EB_OWN'!W376/SUM('Key inputs_EB_OWN'!W$376:W$395)),"")</f>
        <v>0</v>
      </c>
      <c r="AD42" s="173" t="str">
        <f>IFERROR(IF(AND('Key inputs_EB_OWN'!X376/SUM('Key inputs_EB_OWN'!X$376:X$395)&gt;0,'Key inputs_EB_OWN'!X376/SUM('Key inputs_EB_OWN'!X$376:X$395)&lt;0.001),0.001,'Key inputs_EB_OWN'!X376/SUM('Key inputs_EB_OWN'!X$376:X$395)),"")</f>
        <v/>
      </c>
      <c r="AE42" s="173">
        <f>IFERROR(IF(AND('Key inputs_EB_OWN'!Y376/SUM('Key inputs_EB_OWN'!Y$376:Y$395)&gt;0,'Key inputs_EB_OWN'!Y376/SUM('Key inputs_EB_OWN'!Y$376:Y$395)&lt;0.001),0.001,'Key inputs_EB_OWN'!Y376/SUM('Key inputs_EB_OWN'!Y$376:Y$395)),"")</f>
        <v>0</v>
      </c>
      <c r="AF42" s="173">
        <f>IFERROR(IF(AND('Key inputs_EB_OWN'!Z376/SUM('Key inputs_EB_OWN'!Z$376:Z$395)&gt;0,'Key inputs_EB_OWN'!Z376/SUM('Key inputs_EB_OWN'!Z$376:Z$395)&lt;0.001),0.001,'Key inputs_EB_OWN'!Z376/SUM('Key inputs_EB_OWN'!Z$376:Z$395)),"")</f>
        <v>0</v>
      </c>
      <c r="AG42" s="173" t="str">
        <f>IFERROR(IF(AND('Key inputs_EB_OWN'!AA376/SUM('Key inputs_EB_OWN'!AA$376:AA$395)&gt;0,'Key inputs_EB_OWN'!AA376/SUM('Key inputs_EB_OWN'!AA$376:AA$395)&lt;0.001),0.001,'Key inputs_EB_OWN'!AA376/SUM('Key inputs_EB_OWN'!AA$376:AA$395)),"")</f>
        <v/>
      </c>
      <c r="AH42" s="173" t="str">
        <f>IFERROR(IF(AND('Key inputs_EB_OWN'!AB376/SUM('Key inputs_EB_OWN'!AB$376:AB$395)&gt;0,'Key inputs_EB_OWN'!AB376/SUM('Key inputs_EB_OWN'!AB$376:AB$395)&lt;0.001),0.001,'Key inputs_EB_OWN'!AB376/SUM('Key inputs_EB_OWN'!AB$376:AB$395)),"")</f>
        <v/>
      </c>
      <c r="AI42" s="173" t="str">
        <f>IFERROR(IF(AND('Key inputs_EB_OWN'!AC376/SUM('Key inputs_EB_OWN'!AC$376:AC$395)&gt;0,'Key inputs_EB_OWN'!AC376/SUM('Key inputs_EB_OWN'!AC$376:AC$395)&lt;0.001),0.001,'Key inputs_EB_OWN'!AC376/SUM('Key inputs_EB_OWN'!AC$376:AC$395)),"")</f>
        <v/>
      </c>
      <c r="AJ42" s="173">
        <f>IFERROR(IF(AND('Key inputs_EB_OWN'!AD376/SUM('Key inputs_EB_OWN'!AD$376:AD$395)&gt;0,'Key inputs_EB_OWN'!AD376/SUM('Key inputs_EB_OWN'!AD$376:AD$395)&lt;0.001),0.001,'Key inputs_EB_OWN'!AD376/SUM('Key inputs_EB_OWN'!AD$376:AD$395)),"")</f>
        <v>0</v>
      </c>
      <c r="AK42" s="173" t="str">
        <f>IFERROR(IF(AND('Key inputs_EB_OWN'!AE376/SUM('Key inputs_EB_OWN'!AE$376:AE$395)&gt;0,'Key inputs_EB_OWN'!AE376/SUM('Key inputs_EB_OWN'!AE$376:AE$395)&lt;0.001),0.001,'Key inputs_EB_OWN'!AE376/SUM('Key inputs_EB_OWN'!AE$376:AE$395)),"")</f>
        <v/>
      </c>
      <c r="AL42" s="173">
        <f>IFERROR(IF(AND('Key inputs_EB_OWN'!AF376/SUM('Key inputs_EB_OWN'!AF$376:AF$395)&gt;0,'Key inputs_EB_OWN'!AF376/SUM('Key inputs_EB_OWN'!AF$376:AF$395)&lt;0.001),0.001,'Key inputs_EB_OWN'!AF376/SUM('Key inputs_EB_OWN'!AF$376:AF$395)),"")</f>
        <v>4.5858414168202808E-3</v>
      </c>
    </row>
    <row r="43" spans="1:38">
      <c r="A43" s="4"/>
      <c r="B43" s="4"/>
      <c r="C43" s="4" t="str">
        <f>Commodities!$C$83</f>
        <v>UPSBFG</v>
      </c>
      <c r="D43" s="4"/>
      <c r="E43" s="4" t="s">
        <v>359</v>
      </c>
      <c r="G43" t="s">
        <v>693</v>
      </c>
      <c r="H43" s="4" t="s">
        <v>661</v>
      </c>
      <c r="I43">
        <v>2019</v>
      </c>
      <c r="J43" t="s">
        <v>650</v>
      </c>
      <c r="K43" s="173">
        <f>IFERROR(IF(AND('Key inputs_EB_OWN'!E377/SUM('Key inputs_EB_OWN'!E$376:E$395)&gt;0,'Key inputs_EB_OWN'!E377/SUM('Key inputs_EB_OWN'!E$376:E$395)&lt;0.001),0.001,'Key inputs_EB_OWN'!E377/SUM('Key inputs_EB_OWN'!E$376:E$395)),"")</f>
        <v>0</v>
      </c>
      <c r="L43" s="173" t="str">
        <f>IFERROR(IF(AND('Key inputs_EB_OWN'!F377/SUM('Key inputs_EB_OWN'!F$376:F$395)&gt;0,'Key inputs_EB_OWN'!F377/SUM('Key inputs_EB_OWN'!F$376:F$395)&lt;0.001),0.001,'Key inputs_EB_OWN'!F377/SUM('Key inputs_EB_OWN'!F$376:F$395)),"")</f>
        <v/>
      </c>
      <c r="M43" s="173" t="str">
        <f>IFERROR(IF(AND('Key inputs_EB_OWN'!G377/SUM('Key inputs_EB_OWN'!G$376:G$395)&gt;0,'Key inputs_EB_OWN'!G377/SUM('Key inputs_EB_OWN'!G$376:G$395)&lt;0.001),0.001,'Key inputs_EB_OWN'!G377/SUM('Key inputs_EB_OWN'!G$376:G$395)),"")</f>
        <v/>
      </c>
      <c r="N43" s="173">
        <f>IFERROR(IF(AND('Key inputs_EB_OWN'!H377/SUM('Key inputs_EB_OWN'!H$376:H$395)&gt;0,'Key inputs_EB_OWN'!H377/SUM('Key inputs_EB_OWN'!H$376:H$395)&lt;0.001),0.001,'Key inputs_EB_OWN'!H377/SUM('Key inputs_EB_OWN'!H$376:H$395)),"")</f>
        <v>0</v>
      </c>
      <c r="O43" s="173">
        <f>IFERROR(IF(AND('Key inputs_EB_OWN'!I377/SUM('Key inputs_EB_OWN'!I$376:I$395)&gt;0,'Key inputs_EB_OWN'!I377/SUM('Key inputs_EB_OWN'!I$376:I$395)&lt;0.001),0.001,'Key inputs_EB_OWN'!I377/SUM('Key inputs_EB_OWN'!I$376:I$395)),"")</f>
        <v>0</v>
      </c>
      <c r="P43" s="173">
        <f>IFERROR(IF(AND('Key inputs_EB_OWN'!J377/SUM('Key inputs_EB_OWN'!J$376:J$395)&gt;0,'Key inputs_EB_OWN'!J377/SUM('Key inputs_EB_OWN'!J$376:J$395)&lt;0.001),0.001,'Key inputs_EB_OWN'!J377/SUM('Key inputs_EB_OWN'!J$376:J$395)),"")</f>
        <v>0</v>
      </c>
      <c r="Q43" s="173" t="str">
        <f>IFERROR(IF(AND('Key inputs_EB_OWN'!K377/SUM('Key inputs_EB_OWN'!K$376:K$395)&gt;0,'Key inputs_EB_OWN'!K377/SUM('Key inputs_EB_OWN'!K$376:K$395)&lt;0.001),0.001,'Key inputs_EB_OWN'!K377/SUM('Key inputs_EB_OWN'!K$376:K$395)),"")</f>
        <v/>
      </c>
      <c r="R43" s="173" t="str">
        <f>IFERROR(IF(AND('Key inputs_EB_OWN'!L377/SUM('Key inputs_EB_OWN'!L$376:L$395)&gt;0,'Key inputs_EB_OWN'!L377/SUM('Key inputs_EB_OWN'!L$376:L$395)&lt;0.001),0.001,'Key inputs_EB_OWN'!L377/SUM('Key inputs_EB_OWN'!L$376:L$395)),"")</f>
        <v/>
      </c>
      <c r="S43" s="173" t="str">
        <f>IFERROR(IF(AND('Key inputs_EB_OWN'!M377/SUM('Key inputs_EB_OWN'!M$376:M$395)&gt;0,'Key inputs_EB_OWN'!M377/SUM('Key inputs_EB_OWN'!M$376:M$395)&lt;0.001),0.001,'Key inputs_EB_OWN'!M377/SUM('Key inputs_EB_OWN'!M$376:M$395)),"")</f>
        <v/>
      </c>
      <c r="T43" s="173">
        <f>IFERROR(IF(AND('Key inputs_EB_OWN'!N377/SUM('Key inputs_EB_OWN'!N$376:N$395)&gt;0,'Key inputs_EB_OWN'!N377/SUM('Key inputs_EB_OWN'!N$376:N$395)&lt;0.001),0.001,'Key inputs_EB_OWN'!N377/SUM('Key inputs_EB_OWN'!N$376:N$395)),"")</f>
        <v>0</v>
      </c>
      <c r="U43" s="173" t="str">
        <f>IFERROR(IF(AND('Key inputs_EB_OWN'!O377/SUM('Key inputs_EB_OWN'!O$376:O$395)&gt;0,'Key inputs_EB_OWN'!O377/SUM('Key inputs_EB_OWN'!O$376:O$395)&lt;0.001),0.001,'Key inputs_EB_OWN'!O377/SUM('Key inputs_EB_OWN'!O$376:O$395)),"")</f>
        <v/>
      </c>
      <c r="V43" s="348">
        <f>IFERROR(IF(AND('Key inputs_EB_OWN'!P377/SUM('Key inputs_EB_OWN'!P$376:P$395)&gt;0,'Key inputs_EB_OWN'!P377/SUM('Key inputs_EB_OWN'!P$376:P$395)&lt;0.001),0.001,'Key inputs_EB_OWN'!P377/SUM('Key inputs_EB_OWN'!P$376:P$395)),"")</f>
        <v>2.9277382961737188E-3</v>
      </c>
      <c r="W43" s="173">
        <f>IFERROR(IF(AND('Key inputs_EB_OWN'!Q377/SUM('Key inputs_EB_OWN'!Q$376:Q$395)&gt;0,'Key inputs_EB_OWN'!Q377/SUM('Key inputs_EB_OWN'!Q$376:Q$395)&lt;0.001),0.001,'Key inputs_EB_OWN'!Q377/SUM('Key inputs_EB_OWN'!Q$376:Q$395)),"")</f>
        <v>0</v>
      </c>
      <c r="X43" s="173">
        <f>IFERROR(IF(AND('Key inputs_EB_OWN'!R377/SUM('Key inputs_EB_OWN'!R$376:R$395)&gt;0,'Key inputs_EB_OWN'!R377/SUM('Key inputs_EB_OWN'!R$376:R$395)&lt;0.001),0.001,'Key inputs_EB_OWN'!R377/SUM('Key inputs_EB_OWN'!R$376:R$395)),"")</f>
        <v>0</v>
      </c>
      <c r="Y43" s="348">
        <f>IFERROR(IF(AND('Key inputs_EB_OWN'!S377/SUM('Key inputs_EB_OWN'!S$376:S$395)&gt;0,'Key inputs_EB_OWN'!S377/SUM('Key inputs_EB_OWN'!S$376:S$395)&lt;0.001),0.001,'Key inputs_EB_OWN'!S377/SUM('Key inputs_EB_OWN'!S$376:S$395)),"")</f>
        <v>0</v>
      </c>
      <c r="Z43" s="173" t="str">
        <f>IFERROR(IF(AND('Key inputs_EB_OWN'!T377/SUM('Key inputs_EB_OWN'!T$376:T$395)&gt;0,'Key inputs_EB_OWN'!T377/SUM('Key inputs_EB_OWN'!T$376:T$395)&lt;0.001),0.001,'Key inputs_EB_OWN'!T377/SUM('Key inputs_EB_OWN'!T$376:T$395)),"")</f>
        <v/>
      </c>
      <c r="AA43" s="173" t="str">
        <f>IFERROR(IF(AND('Key inputs_EB_OWN'!U377/SUM('Key inputs_EB_OWN'!U$376:U$395)&gt;0,'Key inputs_EB_OWN'!U377/SUM('Key inputs_EB_OWN'!U$376:U$395)&lt;0.001),0.001,'Key inputs_EB_OWN'!U377/SUM('Key inputs_EB_OWN'!U$376:U$395)),"")</f>
        <v/>
      </c>
      <c r="AB43" s="173">
        <f>IFERROR(IF(AND('Key inputs_EB_OWN'!V377/SUM('Key inputs_EB_OWN'!V$376:V$395)&gt;0,'Key inputs_EB_OWN'!V377/SUM('Key inputs_EB_OWN'!V$376:V$395)&lt;0.001),0.001,'Key inputs_EB_OWN'!V377/SUM('Key inputs_EB_OWN'!V$376:V$395)),"")</f>
        <v>0</v>
      </c>
      <c r="AC43" s="173">
        <f>IFERROR(IF(AND('Key inputs_EB_OWN'!W377/SUM('Key inputs_EB_OWN'!W$376:W$395)&gt;0,'Key inputs_EB_OWN'!W377/SUM('Key inputs_EB_OWN'!W$376:W$395)&lt;0.001),0.001,'Key inputs_EB_OWN'!W377/SUM('Key inputs_EB_OWN'!W$376:W$395)),"")</f>
        <v>0</v>
      </c>
      <c r="AD43" s="173" t="str">
        <f>IFERROR(IF(AND('Key inputs_EB_OWN'!X377/SUM('Key inputs_EB_OWN'!X$376:X$395)&gt;0,'Key inputs_EB_OWN'!X377/SUM('Key inputs_EB_OWN'!X$376:X$395)&lt;0.001),0.001,'Key inputs_EB_OWN'!X377/SUM('Key inputs_EB_OWN'!X$376:X$395)),"")</f>
        <v/>
      </c>
      <c r="AE43" s="173">
        <f>IFERROR(IF(AND('Key inputs_EB_OWN'!Y377/SUM('Key inputs_EB_OWN'!Y$376:Y$395)&gt;0,'Key inputs_EB_OWN'!Y377/SUM('Key inputs_EB_OWN'!Y$376:Y$395)&lt;0.001),0.001,'Key inputs_EB_OWN'!Y377/SUM('Key inputs_EB_OWN'!Y$376:Y$395)),"")</f>
        <v>0</v>
      </c>
      <c r="AF43" s="173">
        <f>IFERROR(IF(AND('Key inputs_EB_OWN'!Z377/SUM('Key inputs_EB_OWN'!Z$376:Z$395)&gt;0,'Key inputs_EB_OWN'!Z377/SUM('Key inputs_EB_OWN'!Z$376:Z$395)&lt;0.001),0.001,'Key inputs_EB_OWN'!Z377/SUM('Key inputs_EB_OWN'!Z$376:Z$395)),"")</f>
        <v>0</v>
      </c>
      <c r="AG43" s="173" t="str">
        <f>IFERROR(IF(AND('Key inputs_EB_OWN'!AA377/SUM('Key inputs_EB_OWN'!AA$376:AA$395)&gt;0,'Key inputs_EB_OWN'!AA377/SUM('Key inputs_EB_OWN'!AA$376:AA$395)&lt;0.001),0.001,'Key inputs_EB_OWN'!AA377/SUM('Key inputs_EB_OWN'!AA$376:AA$395)),"")</f>
        <v/>
      </c>
      <c r="AH43" s="173" t="str">
        <f>IFERROR(IF(AND('Key inputs_EB_OWN'!AB377/SUM('Key inputs_EB_OWN'!AB$376:AB$395)&gt;0,'Key inputs_EB_OWN'!AB377/SUM('Key inputs_EB_OWN'!AB$376:AB$395)&lt;0.001),0.001,'Key inputs_EB_OWN'!AB377/SUM('Key inputs_EB_OWN'!AB$376:AB$395)),"")</f>
        <v/>
      </c>
      <c r="AI43" s="173" t="str">
        <f>IFERROR(IF(AND('Key inputs_EB_OWN'!AC377/SUM('Key inputs_EB_OWN'!AC$376:AC$395)&gt;0,'Key inputs_EB_OWN'!AC377/SUM('Key inputs_EB_OWN'!AC$376:AC$395)&lt;0.001),0.001,'Key inputs_EB_OWN'!AC377/SUM('Key inputs_EB_OWN'!AC$376:AC$395)),"")</f>
        <v/>
      </c>
      <c r="AJ43" s="173">
        <f>IFERROR(IF(AND('Key inputs_EB_OWN'!AD377/SUM('Key inputs_EB_OWN'!AD$376:AD$395)&gt;0,'Key inputs_EB_OWN'!AD377/SUM('Key inputs_EB_OWN'!AD$376:AD$395)&lt;0.001),0.001,'Key inputs_EB_OWN'!AD377/SUM('Key inputs_EB_OWN'!AD$376:AD$395)),"")</f>
        <v>0</v>
      </c>
      <c r="AK43" s="173" t="str">
        <f>IFERROR(IF(AND('Key inputs_EB_OWN'!AE377/SUM('Key inputs_EB_OWN'!AE$376:AE$395)&gt;0,'Key inputs_EB_OWN'!AE377/SUM('Key inputs_EB_OWN'!AE$376:AE$395)&lt;0.001),0.001,'Key inputs_EB_OWN'!AE377/SUM('Key inputs_EB_OWN'!AE$376:AE$395)),"")</f>
        <v/>
      </c>
      <c r="AL43" s="173">
        <f>IFERROR(IF(AND('Key inputs_EB_OWN'!AF377/SUM('Key inputs_EB_OWN'!AF$376:AF$395)&gt;0,'Key inputs_EB_OWN'!AF377/SUM('Key inputs_EB_OWN'!AF$376:AF$395)&lt;0.001),0.001,'Key inputs_EB_OWN'!AF377/SUM('Key inputs_EB_OWN'!AF$376:AF$395)),"")</f>
        <v>0</v>
      </c>
    </row>
    <row r="44" spans="1:38">
      <c r="A44" s="4"/>
      <c r="B44" s="4"/>
      <c r="C44" s="4" t="str">
        <f>Commodities!$C$85</f>
        <v>UPSBIO</v>
      </c>
      <c r="D44" s="4"/>
      <c r="E44" s="4" t="s">
        <v>359</v>
      </c>
      <c r="G44" t="s">
        <v>693</v>
      </c>
      <c r="H44" s="4" t="s">
        <v>661</v>
      </c>
      <c r="I44">
        <v>2019</v>
      </c>
      <c r="J44" t="s">
        <v>650</v>
      </c>
      <c r="K44" s="173">
        <f>IFERROR(IF(AND('Key inputs_EB_OWN'!E379/SUM('Key inputs_EB_OWN'!E$376:E$395)&gt;0,'Key inputs_EB_OWN'!E379/SUM('Key inputs_EB_OWN'!E$376:E$395)&lt;0.001),0.001,'Key inputs_EB_OWN'!E379/SUM('Key inputs_EB_OWN'!E$376:E$395)),"")</f>
        <v>0</v>
      </c>
      <c r="L44" s="173" t="str">
        <f>IFERROR(IF(AND('Key inputs_EB_OWN'!F379/SUM('Key inputs_EB_OWN'!F$376:F$395)&gt;0,'Key inputs_EB_OWN'!F379/SUM('Key inputs_EB_OWN'!F$376:F$395)&lt;0.001),0.001,'Key inputs_EB_OWN'!F379/SUM('Key inputs_EB_OWN'!F$376:F$395)),"")</f>
        <v/>
      </c>
      <c r="M44" s="173" t="str">
        <f>IFERROR(IF(AND('Key inputs_EB_OWN'!G379/SUM('Key inputs_EB_OWN'!G$376:G$395)&gt;0,'Key inputs_EB_OWN'!G379/SUM('Key inputs_EB_OWN'!G$376:G$395)&lt;0.001),0.001,'Key inputs_EB_OWN'!G379/SUM('Key inputs_EB_OWN'!G$376:G$395)),"")</f>
        <v/>
      </c>
      <c r="N44" s="173">
        <f>IFERROR(IF(AND('Key inputs_EB_OWN'!H379/SUM('Key inputs_EB_OWN'!H$376:H$395)&gt;0,'Key inputs_EB_OWN'!H379/SUM('Key inputs_EB_OWN'!H$376:H$395)&lt;0.001),0.001,'Key inputs_EB_OWN'!H379/SUM('Key inputs_EB_OWN'!H$376:H$395)),"")</f>
        <v>0</v>
      </c>
      <c r="O44" s="173">
        <f>IFERROR(IF(AND('Key inputs_EB_OWN'!I379/SUM('Key inputs_EB_OWN'!I$376:I$395)&gt;0,'Key inputs_EB_OWN'!I379/SUM('Key inputs_EB_OWN'!I$376:I$395)&lt;0.001),0.001,'Key inputs_EB_OWN'!I379/SUM('Key inputs_EB_OWN'!I$376:I$395)),"")</f>
        <v>0</v>
      </c>
      <c r="P44" s="173">
        <f>IFERROR(IF(AND('Key inputs_EB_OWN'!J379/SUM('Key inputs_EB_OWN'!J$376:J$395)&gt;0,'Key inputs_EB_OWN'!J379/SUM('Key inputs_EB_OWN'!J$376:J$395)&lt;0.001),0.001,'Key inputs_EB_OWN'!J379/SUM('Key inputs_EB_OWN'!J$376:J$395)),"")</f>
        <v>0</v>
      </c>
      <c r="Q44" s="173" t="str">
        <f>IFERROR(IF(AND('Key inputs_EB_OWN'!K379/SUM('Key inputs_EB_OWN'!K$376:K$395)&gt;0,'Key inputs_EB_OWN'!K379/SUM('Key inputs_EB_OWN'!K$376:K$395)&lt;0.001),0.001,'Key inputs_EB_OWN'!K379/SUM('Key inputs_EB_OWN'!K$376:K$395)),"")</f>
        <v/>
      </c>
      <c r="R44" s="173" t="str">
        <f>IFERROR(IF(AND('Key inputs_EB_OWN'!L379/SUM('Key inputs_EB_OWN'!L$376:L$395)&gt;0,'Key inputs_EB_OWN'!L379/SUM('Key inputs_EB_OWN'!L$376:L$395)&lt;0.001),0.001,'Key inputs_EB_OWN'!L379/SUM('Key inputs_EB_OWN'!L$376:L$395)),"")</f>
        <v/>
      </c>
      <c r="S44" s="173" t="str">
        <f>IFERROR(IF(AND('Key inputs_EB_OWN'!M379/SUM('Key inputs_EB_OWN'!M$376:M$395)&gt;0,'Key inputs_EB_OWN'!M379/SUM('Key inputs_EB_OWN'!M$376:M$395)&lt;0.001),0.001,'Key inputs_EB_OWN'!M379/SUM('Key inputs_EB_OWN'!M$376:M$395)),"")</f>
        <v/>
      </c>
      <c r="T44" s="173">
        <f>IFERROR(IF(AND('Key inputs_EB_OWN'!N379/SUM('Key inputs_EB_OWN'!N$376:N$395)&gt;0,'Key inputs_EB_OWN'!N379/SUM('Key inputs_EB_OWN'!N$376:N$395)&lt;0.001),0.001,'Key inputs_EB_OWN'!N379/SUM('Key inputs_EB_OWN'!N$376:N$395)),"")</f>
        <v>0</v>
      </c>
      <c r="U44" s="173" t="str">
        <f>IFERROR(IF(AND('Key inputs_EB_OWN'!O379/SUM('Key inputs_EB_OWN'!O$376:O$395)&gt;0,'Key inputs_EB_OWN'!O379/SUM('Key inputs_EB_OWN'!O$376:O$395)&lt;0.001),0.001,'Key inputs_EB_OWN'!O379/SUM('Key inputs_EB_OWN'!O$376:O$395)),"")</f>
        <v/>
      </c>
      <c r="V44" s="348">
        <f>IFERROR(IF(AND('Key inputs_EB_OWN'!P379/SUM('Key inputs_EB_OWN'!P$376:P$395)&gt;0,'Key inputs_EB_OWN'!P379/SUM('Key inputs_EB_OWN'!P$376:P$395)&lt;0.001),0.001,'Key inputs_EB_OWN'!P379/SUM('Key inputs_EB_OWN'!P$376:P$395)),"")</f>
        <v>0</v>
      </c>
      <c r="W44" s="173">
        <f>IFERROR(IF(AND('Key inputs_EB_OWN'!Q379/SUM('Key inputs_EB_OWN'!Q$376:Q$395)&gt;0,'Key inputs_EB_OWN'!Q379/SUM('Key inputs_EB_OWN'!Q$376:Q$395)&lt;0.001),0.001,'Key inputs_EB_OWN'!Q379/SUM('Key inputs_EB_OWN'!Q$376:Q$395)),"")</f>
        <v>0</v>
      </c>
      <c r="X44" s="173">
        <f>IFERROR(IF(AND('Key inputs_EB_OWN'!R379/SUM('Key inputs_EB_OWN'!R$376:R$395)&gt;0,'Key inputs_EB_OWN'!R379/SUM('Key inputs_EB_OWN'!R$376:R$395)&lt;0.001),0.001,'Key inputs_EB_OWN'!R379/SUM('Key inputs_EB_OWN'!R$376:R$395)),"")</f>
        <v>0</v>
      </c>
      <c r="Y44" s="348">
        <f>IFERROR(IF(AND('Key inputs_EB_OWN'!S379/SUM('Key inputs_EB_OWN'!S$376:S$395)&gt;0,'Key inputs_EB_OWN'!S379/SUM('Key inputs_EB_OWN'!S$376:S$395)&lt;0.001),0.001,'Key inputs_EB_OWN'!S379/SUM('Key inputs_EB_OWN'!S$376:S$395)),"")</f>
        <v>0</v>
      </c>
      <c r="Z44" s="173" t="str">
        <f>IFERROR(IF(AND('Key inputs_EB_OWN'!T379/SUM('Key inputs_EB_OWN'!T$376:T$395)&gt;0,'Key inputs_EB_OWN'!T379/SUM('Key inputs_EB_OWN'!T$376:T$395)&lt;0.001),0.001,'Key inputs_EB_OWN'!T379/SUM('Key inputs_EB_OWN'!T$376:T$395)),"")</f>
        <v/>
      </c>
      <c r="AA44" s="173" t="str">
        <f>IFERROR(IF(AND('Key inputs_EB_OWN'!U379/SUM('Key inputs_EB_OWN'!U$376:U$395)&gt;0,'Key inputs_EB_OWN'!U379/SUM('Key inputs_EB_OWN'!U$376:U$395)&lt;0.001),0.001,'Key inputs_EB_OWN'!U379/SUM('Key inputs_EB_OWN'!U$376:U$395)),"")</f>
        <v/>
      </c>
      <c r="AB44" s="173">
        <f>IFERROR(IF(AND('Key inputs_EB_OWN'!V379/SUM('Key inputs_EB_OWN'!V$376:V$395)&gt;0,'Key inputs_EB_OWN'!V379/SUM('Key inputs_EB_OWN'!V$376:V$395)&lt;0.001),0.001,'Key inputs_EB_OWN'!V379/SUM('Key inputs_EB_OWN'!V$376:V$395)),"")</f>
        <v>0</v>
      </c>
      <c r="AC44" s="173">
        <f>IFERROR(IF(AND('Key inputs_EB_OWN'!W379/SUM('Key inputs_EB_OWN'!W$376:W$395)&gt;0,'Key inputs_EB_OWN'!W379/SUM('Key inputs_EB_OWN'!W$376:W$395)&lt;0.001),0.001,'Key inputs_EB_OWN'!W379/SUM('Key inputs_EB_OWN'!W$376:W$395)),"")</f>
        <v>0</v>
      </c>
      <c r="AD44" s="173" t="str">
        <f>IFERROR(IF(AND('Key inputs_EB_OWN'!X379/SUM('Key inputs_EB_OWN'!X$376:X$395)&gt;0,'Key inputs_EB_OWN'!X379/SUM('Key inputs_EB_OWN'!X$376:X$395)&lt;0.001),0.001,'Key inputs_EB_OWN'!X379/SUM('Key inputs_EB_OWN'!X$376:X$395)),"")</f>
        <v/>
      </c>
      <c r="AE44" s="173">
        <f>IFERROR(IF(AND('Key inputs_EB_OWN'!Y379/SUM('Key inputs_EB_OWN'!Y$376:Y$395)&gt;0,'Key inputs_EB_OWN'!Y379/SUM('Key inputs_EB_OWN'!Y$376:Y$395)&lt;0.001),0.001,'Key inputs_EB_OWN'!Y379/SUM('Key inputs_EB_OWN'!Y$376:Y$395)),"")</f>
        <v>0</v>
      </c>
      <c r="AF44" s="173">
        <f>IFERROR(IF(AND('Key inputs_EB_OWN'!Z379/SUM('Key inputs_EB_OWN'!Z$376:Z$395)&gt;0,'Key inputs_EB_OWN'!Z379/SUM('Key inputs_EB_OWN'!Z$376:Z$395)&lt;0.001),0.001,'Key inputs_EB_OWN'!Z379/SUM('Key inputs_EB_OWN'!Z$376:Z$395)),"")</f>
        <v>0</v>
      </c>
      <c r="AG44" s="173" t="str">
        <f>IFERROR(IF(AND('Key inputs_EB_OWN'!AA379/SUM('Key inputs_EB_OWN'!AA$376:AA$395)&gt;0,'Key inputs_EB_OWN'!AA379/SUM('Key inputs_EB_OWN'!AA$376:AA$395)&lt;0.001),0.001,'Key inputs_EB_OWN'!AA379/SUM('Key inputs_EB_OWN'!AA$376:AA$395)),"")</f>
        <v/>
      </c>
      <c r="AH44" s="173" t="str">
        <f>IFERROR(IF(AND('Key inputs_EB_OWN'!AB379/SUM('Key inputs_EB_OWN'!AB$376:AB$395)&gt;0,'Key inputs_EB_OWN'!AB379/SUM('Key inputs_EB_OWN'!AB$376:AB$395)&lt;0.001),0.001,'Key inputs_EB_OWN'!AB379/SUM('Key inputs_EB_OWN'!AB$376:AB$395)),"")</f>
        <v/>
      </c>
      <c r="AI44" s="173" t="str">
        <f>IFERROR(IF(AND('Key inputs_EB_OWN'!AC379/SUM('Key inputs_EB_OWN'!AC$376:AC$395)&gt;0,'Key inputs_EB_OWN'!AC379/SUM('Key inputs_EB_OWN'!AC$376:AC$395)&lt;0.001),0.001,'Key inputs_EB_OWN'!AC379/SUM('Key inputs_EB_OWN'!AC$376:AC$395)),"")</f>
        <v/>
      </c>
      <c r="AJ44" s="173">
        <f>IFERROR(IF(AND('Key inputs_EB_OWN'!AD379/SUM('Key inputs_EB_OWN'!AD$376:AD$395)&gt;0,'Key inputs_EB_OWN'!AD379/SUM('Key inputs_EB_OWN'!AD$376:AD$395)&lt;0.001),0.001,'Key inputs_EB_OWN'!AD379/SUM('Key inputs_EB_OWN'!AD$376:AD$395)),"")</f>
        <v>0</v>
      </c>
      <c r="AK44" s="173" t="str">
        <f>IFERROR(IF(AND('Key inputs_EB_OWN'!AE379/SUM('Key inputs_EB_OWN'!AE$376:AE$395)&gt;0,'Key inputs_EB_OWN'!AE379/SUM('Key inputs_EB_OWN'!AE$376:AE$395)&lt;0.001),0.001,'Key inputs_EB_OWN'!AE379/SUM('Key inputs_EB_OWN'!AE$376:AE$395)),"")</f>
        <v/>
      </c>
      <c r="AL44" s="173">
        <f>IFERROR(IF(AND('Key inputs_EB_OWN'!AF379/SUM('Key inputs_EB_OWN'!AF$376:AF$395)&gt;0,'Key inputs_EB_OWN'!AF379/SUM('Key inputs_EB_OWN'!AF$376:AF$395)&lt;0.001),0.001,'Key inputs_EB_OWN'!AF379/SUM('Key inputs_EB_OWN'!AF$376:AF$395)),"")</f>
        <v>0</v>
      </c>
    </row>
    <row r="45" spans="1:38">
      <c r="A45" s="4"/>
      <c r="B45" s="4"/>
      <c r="C45" s="4" t="str">
        <f>Commodities!$C$86</f>
        <v>UPSCOA</v>
      </c>
      <c r="D45" s="4"/>
      <c r="E45" s="4" t="s">
        <v>359</v>
      </c>
      <c r="G45" t="s">
        <v>693</v>
      </c>
      <c r="H45" s="4" t="s">
        <v>661</v>
      </c>
      <c r="I45">
        <v>2019</v>
      </c>
      <c r="J45" t="s">
        <v>650</v>
      </c>
      <c r="K45" s="173">
        <f>IFERROR(IF(AND('Key inputs_EB_OWN'!E380/SUM('Key inputs_EB_OWN'!E$376:E$395)&gt;0,'Key inputs_EB_OWN'!E380/SUM('Key inputs_EB_OWN'!E$376:E$395)&lt;0.001),0.001,'Key inputs_EB_OWN'!E380/SUM('Key inputs_EB_OWN'!E$376:E$395)),"")</f>
        <v>0</v>
      </c>
      <c r="L45" s="173" t="str">
        <f>IFERROR(IF(AND('Key inputs_EB_OWN'!F380/SUM('Key inputs_EB_OWN'!F$376:F$395)&gt;0,'Key inputs_EB_OWN'!F380/SUM('Key inputs_EB_OWN'!F$376:F$395)&lt;0.001),0.001,'Key inputs_EB_OWN'!F380/SUM('Key inputs_EB_OWN'!F$376:F$395)),"")</f>
        <v/>
      </c>
      <c r="M45" s="173" t="str">
        <f>IFERROR(IF(AND('Key inputs_EB_OWN'!G380/SUM('Key inputs_EB_OWN'!G$376:G$395)&gt;0,'Key inputs_EB_OWN'!G380/SUM('Key inputs_EB_OWN'!G$376:G$395)&lt;0.001),0.001,'Key inputs_EB_OWN'!G380/SUM('Key inputs_EB_OWN'!G$376:G$395)),"")</f>
        <v/>
      </c>
      <c r="N45" s="173">
        <f>IFERROR(IF(AND('Key inputs_EB_OWN'!H380/SUM('Key inputs_EB_OWN'!H$376:H$395)&gt;0,'Key inputs_EB_OWN'!H380/SUM('Key inputs_EB_OWN'!H$376:H$395)&lt;0.001),0.001,'Key inputs_EB_OWN'!H380/SUM('Key inputs_EB_OWN'!H$376:H$395)),"")</f>
        <v>4.7518881440783436E-2</v>
      </c>
      <c r="O45" s="173">
        <f>IFERROR(IF(AND('Key inputs_EB_OWN'!I380/SUM('Key inputs_EB_OWN'!I$376:I$395)&gt;0,'Key inputs_EB_OWN'!I380/SUM('Key inputs_EB_OWN'!I$376:I$395)&lt;0.001),0.001,'Key inputs_EB_OWN'!I380/SUM('Key inputs_EB_OWN'!I$376:I$395)),"")</f>
        <v>3.7590491396211193E-3</v>
      </c>
      <c r="P45" s="173">
        <f>IFERROR(IF(AND('Key inputs_EB_OWN'!J380/SUM('Key inputs_EB_OWN'!J$376:J$395)&gt;0,'Key inputs_EB_OWN'!J380/SUM('Key inputs_EB_OWN'!J$376:J$395)&lt;0.001),0.001,'Key inputs_EB_OWN'!J380/SUM('Key inputs_EB_OWN'!J$376:J$395)),"")</f>
        <v>0.72693997051493908</v>
      </c>
      <c r="Q45" s="173" t="str">
        <f>IFERROR(IF(AND('Key inputs_EB_OWN'!K380/SUM('Key inputs_EB_OWN'!K$376:K$395)&gt;0,'Key inputs_EB_OWN'!K380/SUM('Key inputs_EB_OWN'!K$376:K$395)&lt;0.001),0.001,'Key inputs_EB_OWN'!K380/SUM('Key inputs_EB_OWN'!K$376:K$395)),"")</f>
        <v/>
      </c>
      <c r="R45" s="173" t="str">
        <f>IFERROR(IF(AND('Key inputs_EB_OWN'!L380/SUM('Key inputs_EB_OWN'!L$376:L$395)&gt;0,'Key inputs_EB_OWN'!L380/SUM('Key inputs_EB_OWN'!L$376:L$395)&lt;0.001),0.001,'Key inputs_EB_OWN'!L380/SUM('Key inputs_EB_OWN'!L$376:L$395)),"")</f>
        <v/>
      </c>
      <c r="S45" s="173" t="str">
        <f>IFERROR(IF(AND('Key inputs_EB_OWN'!M380/SUM('Key inputs_EB_OWN'!M$376:M$395)&gt;0,'Key inputs_EB_OWN'!M380/SUM('Key inputs_EB_OWN'!M$376:M$395)&lt;0.001),0.001,'Key inputs_EB_OWN'!M380/SUM('Key inputs_EB_OWN'!M$376:M$395)),"")</f>
        <v/>
      </c>
      <c r="T45" s="173">
        <f>IFERROR(IF(AND('Key inputs_EB_OWN'!N380/SUM('Key inputs_EB_OWN'!N$376:N$395)&gt;0,'Key inputs_EB_OWN'!N380/SUM('Key inputs_EB_OWN'!N$376:N$395)&lt;0.001),0.001,'Key inputs_EB_OWN'!N380/SUM('Key inputs_EB_OWN'!N$376:N$395)),"")</f>
        <v>0</v>
      </c>
      <c r="U45" s="173" t="str">
        <f>IFERROR(IF(AND('Key inputs_EB_OWN'!O380/SUM('Key inputs_EB_OWN'!O$376:O$395)&gt;0,'Key inputs_EB_OWN'!O380/SUM('Key inputs_EB_OWN'!O$376:O$395)&lt;0.001),0.001,'Key inputs_EB_OWN'!O380/SUM('Key inputs_EB_OWN'!O$376:O$395)),"")</f>
        <v/>
      </c>
      <c r="V45" s="348">
        <f>IFERROR(IF(AND('Key inputs_EB_OWN'!P380/SUM('Key inputs_EB_OWN'!P$376:P$395)&gt;0,'Key inputs_EB_OWN'!P380/SUM('Key inputs_EB_OWN'!P$376:P$395)&lt;0.001),0.001,'Key inputs_EB_OWN'!P380/SUM('Key inputs_EB_OWN'!P$376:P$395)),"")</f>
        <v>0.83335373134429613</v>
      </c>
      <c r="W45" s="173">
        <f>IFERROR(IF(AND('Key inputs_EB_OWN'!Q380/SUM('Key inputs_EB_OWN'!Q$376:Q$395)&gt;0,'Key inputs_EB_OWN'!Q380/SUM('Key inputs_EB_OWN'!Q$376:Q$395)&lt;0.001),0.001,'Key inputs_EB_OWN'!Q380/SUM('Key inputs_EB_OWN'!Q$376:Q$395)),"")</f>
        <v>3.6865728051901142E-3</v>
      </c>
      <c r="X45" s="173">
        <f>IFERROR(IF(AND('Key inputs_EB_OWN'!R380/SUM('Key inputs_EB_OWN'!R$376:R$395)&gt;0,'Key inputs_EB_OWN'!R380/SUM('Key inputs_EB_OWN'!R$376:R$395)&lt;0.001),0.001,'Key inputs_EB_OWN'!R380/SUM('Key inputs_EB_OWN'!R$376:R$395)),"")</f>
        <v>0</v>
      </c>
      <c r="Y45" s="348">
        <f>IFERROR(IF(AND('Key inputs_EB_OWN'!S380/SUM('Key inputs_EB_OWN'!S$376:S$395)&gt;0,'Key inputs_EB_OWN'!S380/SUM('Key inputs_EB_OWN'!S$376:S$395)&lt;0.001),0.001,'Key inputs_EB_OWN'!S380/SUM('Key inputs_EB_OWN'!S$376:S$395)),"")</f>
        <v>2.7779769810868053E-2</v>
      </c>
      <c r="Z45" s="173" t="str">
        <f>IFERROR(IF(AND('Key inputs_EB_OWN'!T380/SUM('Key inputs_EB_OWN'!T$376:T$395)&gt;0,'Key inputs_EB_OWN'!T380/SUM('Key inputs_EB_OWN'!T$376:T$395)&lt;0.001),0.001,'Key inputs_EB_OWN'!T380/SUM('Key inputs_EB_OWN'!T$376:T$395)),"")</f>
        <v/>
      </c>
      <c r="AA45" s="173" t="str">
        <f>IFERROR(IF(AND('Key inputs_EB_OWN'!U380/SUM('Key inputs_EB_OWN'!U$376:U$395)&gt;0,'Key inputs_EB_OWN'!U380/SUM('Key inputs_EB_OWN'!U$376:U$395)&lt;0.001),0.001,'Key inputs_EB_OWN'!U380/SUM('Key inputs_EB_OWN'!U$376:U$395)),"")</f>
        <v/>
      </c>
      <c r="AB45" s="173">
        <f>IFERROR(IF(AND('Key inputs_EB_OWN'!V380/SUM('Key inputs_EB_OWN'!V$376:V$395)&gt;0,'Key inputs_EB_OWN'!V380/SUM('Key inputs_EB_OWN'!V$376:V$395)&lt;0.001),0.001,'Key inputs_EB_OWN'!V380/SUM('Key inputs_EB_OWN'!V$376:V$395)),"")</f>
        <v>0</v>
      </c>
      <c r="AC45" s="173">
        <f>IFERROR(IF(AND('Key inputs_EB_OWN'!W380/SUM('Key inputs_EB_OWN'!W$376:W$395)&gt;0,'Key inputs_EB_OWN'!W380/SUM('Key inputs_EB_OWN'!W$376:W$395)&lt;0.001),0.001,'Key inputs_EB_OWN'!W380/SUM('Key inputs_EB_OWN'!W$376:W$395)),"")</f>
        <v>1</v>
      </c>
      <c r="AD45" s="173" t="str">
        <f>IFERROR(IF(AND('Key inputs_EB_OWN'!X380/SUM('Key inputs_EB_OWN'!X$376:X$395)&gt;0,'Key inputs_EB_OWN'!X380/SUM('Key inputs_EB_OWN'!X$376:X$395)&lt;0.001),0.001,'Key inputs_EB_OWN'!X380/SUM('Key inputs_EB_OWN'!X$376:X$395)),"")</f>
        <v/>
      </c>
      <c r="AE45" s="173">
        <f>IFERROR(IF(AND('Key inputs_EB_OWN'!Y380/SUM('Key inputs_EB_OWN'!Y$376:Y$395)&gt;0,'Key inputs_EB_OWN'!Y380/SUM('Key inputs_EB_OWN'!Y$376:Y$395)&lt;0.001),0.001,'Key inputs_EB_OWN'!Y380/SUM('Key inputs_EB_OWN'!Y$376:Y$395)),"")</f>
        <v>0</v>
      </c>
      <c r="AF45" s="173">
        <f>IFERROR(IF(AND('Key inputs_EB_OWN'!Z380/SUM('Key inputs_EB_OWN'!Z$376:Z$395)&gt;0,'Key inputs_EB_OWN'!Z380/SUM('Key inputs_EB_OWN'!Z$376:Z$395)&lt;0.001),0.001,'Key inputs_EB_OWN'!Z380/SUM('Key inputs_EB_OWN'!Z$376:Z$395)),"")</f>
        <v>0</v>
      </c>
      <c r="AG45" s="173" t="str">
        <f>IFERROR(IF(AND('Key inputs_EB_OWN'!AA380/SUM('Key inputs_EB_OWN'!AA$376:AA$395)&gt;0,'Key inputs_EB_OWN'!AA380/SUM('Key inputs_EB_OWN'!AA$376:AA$395)&lt;0.001),0.001,'Key inputs_EB_OWN'!AA380/SUM('Key inputs_EB_OWN'!AA$376:AA$395)),"")</f>
        <v/>
      </c>
      <c r="AH45" s="173" t="str">
        <f>IFERROR(IF(AND('Key inputs_EB_OWN'!AB380/SUM('Key inputs_EB_OWN'!AB$376:AB$395)&gt;0,'Key inputs_EB_OWN'!AB380/SUM('Key inputs_EB_OWN'!AB$376:AB$395)&lt;0.001),0.001,'Key inputs_EB_OWN'!AB380/SUM('Key inputs_EB_OWN'!AB$376:AB$395)),"")</f>
        <v/>
      </c>
      <c r="AI45" s="173" t="str">
        <f>IFERROR(IF(AND('Key inputs_EB_OWN'!AC380/SUM('Key inputs_EB_OWN'!AC$376:AC$395)&gt;0,'Key inputs_EB_OWN'!AC380/SUM('Key inputs_EB_OWN'!AC$376:AC$395)&lt;0.001),0.001,'Key inputs_EB_OWN'!AC380/SUM('Key inputs_EB_OWN'!AC$376:AC$395)),"")</f>
        <v/>
      </c>
      <c r="AJ45" s="173">
        <f>IFERROR(IF(AND('Key inputs_EB_OWN'!AD380/SUM('Key inputs_EB_OWN'!AD$376:AD$395)&gt;0,'Key inputs_EB_OWN'!AD380/SUM('Key inputs_EB_OWN'!AD$376:AD$395)&lt;0.001),0.001,'Key inputs_EB_OWN'!AD380/SUM('Key inputs_EB_OWN'!AD$376:AD$395)),"")</f>
        <v>3.4344367577983613E-2</v>
      </c>
      <c r="AK45" s="173" t="str">
        <f>IFERROR(IF(AND('Key inputs_EB_OWN'!AE380/SUM('Key inputs_EB_OWN'!AE$376:AE$395)&gt;0,'Key inputs_EB_OWN'!AE380/SUM('Key inputs_EB_OWN'!AE$376:AE$395)&lt;0.001),0.001,'Key inputs_EB_OWN'!AE380/SUM('Key inputs_EB_OWN'!AE$376:AE$395)),"")</f>
        <v/>
      </c>
      <c r="AL45" s="173">
        <f>IFERROR(IF(AND('Key inputs_EB_OWN'!AF380/SUM('Key inputs_EB_OWN'!AF$376:AF$395)&gt;0,'Key inputs_EB_OWN'!AF380/SUM('Key inputs_EB_OWN'!AF$376:AF$395)&lt;0.001),0.001,'Key inputs_EB_OWN'!AF380/SUM('Key inputs_EB_OWN'!AF$376:AF$395)),"")</f>
        <v>1.9938440942696874E-3</v>
      </c>
    </row>
    <row r="46" spans="1:38">
      <c r="A46" s="4"/>
      <c r="B46" s="4"/>
      <c r="C46" s="4" t="str">
        <f>Commodities!$C$87</f>
        <v>UPSCOACOL</v>
      </c>
      <c r="D46" s="4"/>
      <c r="E46" s="4" t="s">
        <v>359</v>
      </c>
      <c r="G46" t="s">
        <v>693</v>
      </c>
      <c r="H46" s="4" t="s">
        <v>661</v>
      </c>
      <c r="I46">
        <v>2019</v>
      </c>
      <c r="J46" t="s">
        <v>650</v>
      </c>
      <c r="K46" s="173">
        <f>IFERROR(IF(AND('Key inputs_EB_OWN'!E381/SUM('Key inputs_EB_OWN'!E$376:E$395)&gt;0,'Key inputs_EB_OWN'!E381/SUM('Key inputs_EB_OWN'!E$376:E$395)&lt;0.001),0.001,'Key inputs_EB_OWN'!E381/SUM('Key inputs_EB_OWN'!E$376:E$395)),"")</f>
        <v>0</v>
      </c>
      <c r="L46" s="173" t="str">
        <f>IFERROR(IF(AND('Key inputs_EB_OWN'!F381/SUM('Key inputs_EB_OWN'!F$376:F$395)&gt;0,'Key inputs_EB_OWN'!F381/SUM('Key inputs_EB_OWN'!F$376:F$395)&lt;0.001),0.001,'Key inputs_EB_OWN'!F381/SUM('Key inputs_EB_OWN'!F$376:F$395)),"")</f>
        <v/>
      </c>
      <c r="M46" s="173" t="str">
        <f>IFERROR(IF(AND('Key inputs_EB_OWN'!G381/SUM('Key inputs_EB_OWN'!G$376:G$395)&gt;0,'Key inputs_EB_OWN'!G381/SUM('Key inputs_EB_OWN'!G$376:G$395)&lt;0.001),0.001,'Key inputs_EB_OWN'!G381/SUM('Key inputs_EB_OWN'!G$376:G$395)),"")</f>
        <v/>
      </c>
      <c r="N46" s="173">
        <f>IFERROR(IF(AND('Key inputs_EB_OWN'!H381/SUM('Key inputs_EB_OWN'!H$376:H$395)&gt;0,'Key inputs_EB_OWN'!H381/SUM('Key inputs_EB_OWN'!H$376:H$395)&lt;0.001),0.001,'Key inputs_EB_OWN'!H381/SUM('Key inputs_EB_OWN'!H$376:H$395)),"")</f>
        <v>0</v>
      </c>
      <c r="O46" s="173">
        <f>IFERROR(IF(AND('Key inputs_EB_OWN'!I381/SUM('Key inputs_EB_OWN'!I$376:I$395)&gt;0,'Key inputs_EB_OWN'!I381/SUM('Key inputs_EB_OWN'!I$376:I$395)&lt;0.001),0.001,'Key inputs_EB_OWN'!I381/SUM('Key inputs_EB_OWN'!I$376:I$395)),"")</f>
        <v>0</v>
      </c>
      <c r="P46" s="173">
        <f>IFERROR(IF(AND('Key inputs_EB_OWN'!J381/SUM('Key inputs_EB_OWN'!J$376:J$395)&gt;0,'Key inputs_EB_OWN'!J381/SUM('Key inputs_EB_OWN'!J$376:J$395)&lt;0.001),0.001,'Key inputs_EB_OWN'!J381/SUM('Key inputs_EB_OWN'!J$376:J$395)),"")</f>
        <v>2.7862114093278297E-3</v>
      </c>
      <c r="Q46" s="173" t="str">
        <f>IFERROR(IF(AND('Key inputs_EB_OWN'!K381/SUM('Key inputs_EB_OWN'!K$376:K$395)&gt;0,'Key inputs_EB_OWN'!K381/SUM('Key inputs_EB_OWN'!K$376:K$395)&lt;0.001),0.001,'Key inputs_EB_OWN'!K381/SUM('Key inputs_EB_OWN'!K$376:K$395)),"")</f>
        <v/>
      </c>
      <c r="R46" s="173" t="str">
        <f>IFERROR(IF(AND('Key inputs_EB_OWN'!L381/SUM('Key inputs_EB_OWN'!L$376:L$395)&gt;0,'Key inputs_EB_OWN'!L381/SUM('Key inputs_EB_OWN'!L$376:L$395)&lt;0.001),0.001,'Key inputs_EB_OWN'!L381/SUM('Key inputs_EB_OWN'!L$376:L$395)),"")</f>
        <v/>
      </c>
      <c r="S46" s="173" t="str">
        <f>IFERROR(IF(AND('Key inputs_EB_OWN'!M381/SUM('Key inputs_EB_OWN'!M$376:M$395)&gt;0,'Key inputs_EB_OWN'!M381/SUM('Key inputs_EB_OWN'!M$376:M$395)&lt;0.001),0.001,'Key inputs_EB_OWN'!M381/SUM('Key inputs_EB_OWN'!M$376:M$395)),"")</f>
        <v/>
      </c>
      <c r="T46" s="173">
        <f>IFERROR(IF(AND('Key inputs_EB_OWN'!N381/SUM('Key inputs_EB_OWN'!N$376:N$395)&gt;0,'Key inputs_EB_OWN'!N381/SUM('Key inputs_EB_OWN'!N$376:N$395)&lt;0.001),0.001,'Key inputs_EB_OWN'!N381/SUM('Key inputs_EB_OWN'!N$376:N$395)),"")</f>
        <v>0</v>
      </c>
      <c r="U46" s="173" t="str">
        <f>IFERROR(IF(AND('Key inputs_EB_OWN'!O381/SUM('Key inputs_EB_OWN'!O$376:O$395)&gt;0,'Key inputs_EB_OWN'!O381/SUM('Key inputs_EB_OWN'!O$376:O$395)&lt;0.001),0.001,'Key inputs_EB_OWN'!O381/SUM('Key inputs_EB_OWN'!O$376:O$395)),"")</f>
        <v/>
      </c>
      <c r="V46" s="348">
        <f>IFERROR(IF(AND('Key inputs_EB_OWN'!P381/SUM('Key inputs_EB_OWN'!P$376:P$395)&gt;0,'Key inputs_EB_OWN'!P381/SUM('Key inputs_EB_OWN'!P$376:P$395)&lt;0.001),0.001,'Key inputs_EB_OWN'!P381/SUM('Key inputs_EB_OWN'!P$376:P$395)),"")</f>
        <v>0</v>
      </c>
      <c r="W46" s="173">
        <f>IFERROR(IF(AND('Key inputs_EB_OWN'!Q381/SUM('Key inputs_EB_OWN'!Q$376:Q$395)&gt;0,'Key inputs_EB_OWN'!Q381/SUM('Key inputs_EB_OWN'!Q$376:Q$395)&lt;0.001),0.001,'Key inputs_EB_OWN'!Q381/SUM('Key inputs_EB_OWN'!Q$376:Q$395)),"")</f>
        <v>0</v>
      </c>
      <c r="X46" s="173">
        <f>IFERROR(IF(AND('Key inputs_EB_OWN'!R381/SUM('Key inputs_EB_OWN'!R$376:R$395)&gt;0,'Key inputs_EB_OWN'!R381/SUM('Key inputs_EB_OWN'!R$376:R$395)&lt;0.001),0.001,'Key inputs_EB_OWN'!R381/SUM('Key inputs_EB_OWN'!R$376:R$395)),"")</f>
        <v>0</v>
      </c>
      <c r="Y46" s="348">
        <f>IFERROR(IF(AND('Key inputs_EB_OWN'!S381/SUM('Key inputs_EB_OWN'!S$376:S$395)&gt;0,'Key inputs_EB_OWN'!S381/SUM('Key inputs_EB_OWN'!S$376:S$395)&lt;0.001),0.001,'Key inputs_EB_OWN'!S381/SUM('Key inputs_EB_OWN'!S$376:S$395)),"")</f>
        <v>0.1981168279134507</v>
      </c>
      <c r="Z46" s="173" t="str">
        <f>IFERROR(IF(AND('Key inputs_EB_OWN'!T381/SUM('Key inputs_EB_OWN'!T$376:T$395)&gt;0,'Key inputs_EB_OWN'!T381/SUM('Key inputs_EB_OWN'!T$376:T$395)&lt;0.001),0.001,'Key inputs_EB_OWN'!T381/SUM('Key inputs_EB_OWN'!T$376:T$395)),"")</f>
        <v/>
      </c>
      <c r="AA46" s="173" t="str">
        <f>IFERROR(IF(AND('Key inputs_EB_OWN'!U381/SUM('Key inputs_EB_OWN'!U$376:U$395)&gt;0,'Key inputs_EB_OWN'!U381/SUM('Key inputs_EB_OWN'!U$376:U$395)&lt;0.001),0.001,'Key inputs_EB_OWN'!U381/SUM('Key inputs_EB_OWN'!U$376:U$395)),"")</f>
        <v/>
      </c>
      <c r="AB46" s="173">
        <f>IFERROR(IF(AND('Key inputs_EB_OWN'!V381/SUM('Key inputs_EB_OWN'!V$376:V$395)&gt;0,'Key inputs_EB_OWN'!V381/SUM('Key inputs_EB_OWN'!V$376:V$395)&lt;0.001),0.001,'Key inputs_EB_OWN'!V381/SUM('Key inputs_EB_OWN'!V$376:V$395)),"")</f>
        <v>0</v>
      </c>
      <c r="AC46" s="173">
        <f>IFERROR(IF(AND('Key inputs_EB_OWN'!W381/SUM('Key inputs_EB_OWN'!W$376:W$395)&gt;0,'Key inputs_EB_OWN'!W381/SUM('Key inputs_EB_OWN'!W$376:W$395)&lt;0.001),0.001,'Key inputs_EB_OWN'!W381/SUM('Key inputs_EB_OWN'!W$376:W$395)),"")</f>
        <v>0</v>
      </c>
      <c r="AD46" s="173" t="str">
        <f>IFERROR(IF(AND('Key inputs_EB_OWN'!X381/SUM('Key inputs_EB_OWN'!X$376:X$395)&gt;0,'Key inputs_EB_OWN'!X381/SUM('Key inputs_EB_OWN'!X$376:X$395)&lt;0.001),0.001,'Key inputs_EB_OWN'!X381/SUM('Key inputs_EB_OWN'!X$376:X$395)),"")</f>
        <v/>
      </c>
      <c r="AE46" s="173">
        <f>IFERROR(IF(AND('Key inputs_EB_OWN'!Y381/SUM('Key inputs_EB_OWN'!Y$376:Y$395)&gt;0,'Key inputs_EB_OWN'!Y381/SUM('Key inputs_EB_OWN'!Y$376:Y$395)&lt;0.001),0.001,'Key inputs_EB_OWN'!Y381/SUM('Key inputs_EB_OWN'!Y$376:Y$395)),"")</f>
        <v>0</v>
      </c>
      <c r="AF46" s="173">
        <f>IFERROR(IF(AND('Key inputs_EB_OWN'!Z381/SUM('Key inputs_EB_OWN'!Z$376:Z$395)&gt;0,'Key inputs_EB_OWN'!Z381/SUM('Key inputs_EB_OWN'!Z$376:Z$395)&lt;0.001),0.001,'Key inputs_EB_OWN'!Z381/SUM('Key inputs_EB_OWN'!Z$376:Z$395)),"")</f>
        <v>0</v>
      </c>
      <c r="AG46" s="173" t="str">
        <f>IFERROR(IF(AND('Key inputs_EB_OWN'!AA381/SUM('Key inputs_EB_OWN'!AA$376:AA$395)&gt;0,'Key inputs_EB_OWN'!AA381/SUM('Key inputs_EB_OWN'!AA$376:AA$395)&lt;0.001),0.001,'Key inputs_EB_OWN'!AA381/SUM('Key inputs_EB_OWN'!AA$376:AA$395)),"")</f>
        <v/>
      </c>
      <c r="AH46" s="173" t="str">
        <f>IFERROR(IF(AND('Key inputs_EB_OWN'!AB381/SUM('Key inputs_EB_OWN'!AB$376:AB$395)&gt;0,'Key inputs_EB_OWN'!AB381/SUM('Key inputs_EB_OWN'!AB$376:AB$395)&lt;0.001),0.001,'Key inputs_EB_OWN'!AB381/SUM('Key inputs_EB_OWN'!AB$376:AB$395)),"")</f>
        <v/>
      </c>
      <c r="AI46" s="173" t="str">
        <f>IFERROR(IF(AND('Key inputs_EB_OWN'!AC381/SUM('Key inputs_EB_OWN'!AC$376:AC$395)&gt;0,'Key inputs_EB_OWN'!AC381/SUM('Key inputs_EB_OWN'!AC$376:AC$395)&lt;0.001),0.001,'Key inputs_EB_OWN'!AC381/SUM('Key inputs_EB_OWN'!AC$376:AC$395)),"")</f>
        <v/>
      </c>
      <c r="AJ46" s="173">
        <f>IFERROR(IF(AND('Key inputs_EB_OWN'!AD381/SUM('Key inputs_EB_OWN'!AD$376:AD$395)&gt;0,'Key inputs_EB_OWN'!AD381/SUM('Key inputs_EB_OWN'!AD$376:AD$395)&lt;0.001),0.001,'Key inputs_EB_OWN'!AD381/SUM('Key inputs_EB_OWN'!AD$376:AD$395)),"")</f>
        <v>2.0848593864177508E-3</v>
      </c>
      <c r="AK46" s="173" t="str">
        <f>IFERROR(IF(AND('Key inputs_EB_OWN'!AE381/SUM('Key inputs_EB_OWN'!AE$376:AE$395)&gt;0,'Key inputs_EB_OWN'!AE381/SUM('Key inputs_EB_OWN'!AE$376:AE$395)&lt;0.001),0.001,'Key inputs_EB_OWN'!AE381/SUM('Key inputs_EB_OWN'!AE$376:AE$395)),"")</f>
        <v/>
      </c>
      <c r="AL46" s="173">
        <f>IFERROR(IF(AND('Key inputs_EB_OWN'!AF381/SUM('Key inputs_EB_OWN'!AF$376:AF$395)&gt;0,'Key inputs_EB_OWN'!AF381/SUM('Key inputs_EB_OWN'!AF$376:AF$395)&lt;0.001),0.001,'Key inputs_EB_OWN'!AF381/SUM('Key inputs_EB_OWN'!AF$376:AF$395)),"")</f>
        <v>0</v>
      </c>
    </row>
    <row r="47" spans="1:38">
      <c r="A47" s="4"/>
      <c r="B47" s="4"/>
      <c r="C47" s="4" t="str">
        <f>Commodities!$C$88</f>
        <v>UPSCOG</v>
      </c>
      <c r="D47" s="4"/>
      <c r="E47" s="4" t="s">
        <v>359</v>
      </c>
      <c r="G47" t="s">
        <v>693</v>
      </c>
      <c r="H47" s="4" t="s">
        <v>661</v>
      </c>
      <c r="I47">
        <v>2019</v>
      </c>
      <c r="J47" t="s">
        <v>650</v>
      </c>
      <c r="K47" s="173">
        <f>IFERROR(IF(AND('Key inputs_EB_OWN'!E382/SUM('Key inputs_EB_OWN'!E$376:E$395)&gt;0,'Key inputs_EB_OWN'!E382/SUM('Key inputs_EB_OWN'!E$376:E$395)&lt;0.001),0.001,'Key inputs_EB_OWN'!E382/SUM('Key inputs_EB_OWN'!E$376:E$395)),"")</f>
        <v>0</v>
      </c>
      <c r="L47" s="173" t="str">
        <f>IFERROR(IF(AND('Key inputs_EB_OWN'!F382/SUM('Key inputs_EB_OWN'!F$376:F$395)&gt;0,'Key inputs_EB_OWN'!F382/SUM('Key inputs_EB_OWN'!F$376:F$395)&lt;0.001),0.001,'Key inputs_EB_OWN'!F382/SUM('Key inputs_EB_OWN'!F$376:F$395)),"")</f>
        <v/>
      </c>
      <c r="M47" s="173" t="str">
        <f>IFERROR(IF(AND('Key inputs_EB_OWN'!G382/SUM('Key inputs_EB_OWN'!G$376:G$395)&gt;0,'Key inputs_EB_OWN'!G382/SUM('Key inputs_EB_OWN'!G$376:G$395)&lt;0.001),0.001,'Key inputs_EB_OWN'!G382/SUM('Key inputs_EB_OWN'!G$376:G$395)),"")</f>
        <v/>
      </c>
      <c r="N47" s="173">
        <f>IFERROR(IF(AND('Key inputs_EB_OWN'!H382/SUM('Key inputs_EB_OWN'!H$376:H$395)&gt;0,'Key inputs_EB_OWN'!H382/SUM('Key inputs_EB_OWN'!H$376:H$395)&lt;0.001),0.001,'Key inputs_EB_OWN'!H382/SUM('Key inputs_EB_OWN'!H$376:H$395)),"")</f>
        <v>0</v>
      </c>
      <c r="O47" s="173">
        <f>IFERROR(IF(AND('Key inputs_EB_OWN'!I382/SUM('Key inputs_EB_OWN'!I$376:I$395)&gt;0,'Key inputs_EB_OWN'!I382/SUM('Key inputs_EB_OWN'!I$376:I$395)&lt;0.001),0.001,'Key inputs_EB_OWN'!I382/SUM('Key inputs_EB_OWN'!I$376:I$395)),"")</f>
        <v>0</v>
      </c>
      <c r="P47" s="173">
        <f>IFERROR(IF(AND('Key inputs_EB_OWN'!J382/SUM('Key inputs_EB_OWN'!J$376:J$395)&gt;0,'Key inputs_EB_OWN'!J382/SUM('Key inputs_EB_OWN'!J$376:J$395)&lt;0.001),0.001,'Key inputs_EB_OWN'!J382/SUM('Key inputs_EB_OWN'!J$376:J$395)),"")</f>
        <v>0</v>
      </c>
      <c r="Q47" s="173" t="str">
        <f>IFERROR(IF(AND('Key inputs_EB_OWN'!K382/SUM('Key inputs_EB_OWN'!K$376:K$395)&gt;0,'Key inputs_EB_OWN'!K382/SUM('Key inputs_EB_OWN'!K$376:K$395)&lt;0.001),0.001,'Key inputs_EB_OWN'!K382/SUM('Key inputs_EB_OWN'!K$376:K$395)),"")</f>
        <v/>
      </c>
      <c r="R47" s="173" t="str">
        <f>IFERROR(IF(AND('Key inputs_EB_OWN'!L382/SUM('Key inputs_EB_OWN'!L$376:L$395)&gt;0,'Key inputs_EB_OWN'!L382/SUM('Key inputs_EB_OWN'!L$376:L$395)&lt;0.001),0.001,'Key inputs_EB_OWN'!L382/SUM('Key inputs_EB_OWN'!L$376:L$395)),"")</f>
        <v/>
      </c>
      <c r="S47" s="173" t="str">
        <f>IFERROR(IF(AND('Key inputs_EB_OWN'!M382/SUM('Key inputs_EB_OWN'!M$376:M$395)&gt;0,'Key inputs_EB_OWN'!M382/SUM('Key inputs_EB_OWN'!M$376:M$395)&lt;0.001),0.001,'Key inputs_EB_OWN'!M382/SUM('Key inputs_EB_OWN'!M$376:M$395)),"")</f>
        <v/>
      </c>
      <c r="T47" s="173">
        <f>IFERROR(IF(AND('Key inputs_EB_OWN'!N382/SUM('Key inputs_EB_OWN'!N$376:N$395)&gt;0,'Key inputs_EB_OWN'!N382/SUM('Key inputs_EB_OWN'!N$376:N$395)&lt;0.001),0.001,'Key inputs_EB_OWN'!N382/SUM('Key inputs_EB_OWN'!N$376:N$395)),"")</f>
        <v>0</v>
      </c>
      <c r="U47" s="173" t="str">
        <f>IFERROR(IF(AND('Key inputs_EB_OWN'!O382/SUM('Key inputs_EB_OWN'!O$376:O$395)&gt;0,'Key inputs_EB_OWN'!O382/SUM('Key inputs_EB_OWN'!O$376:O$395)&lt;0.001),0.001,'Key inputs_EB_OWN'!O382/SUM('Key inputs_EB_OWN'!O$376:O$395)),"")</f>
        <v/>
      </c>
      <c r="V47" s="348">
        <f>IFERROR(IF(AND('Key inputs_EB_OWN'!P382/SUM('Key inputs_EB_OWN'!P$376:P$395)&gt;0,'Key inputs_EB_OWN'!P382/SUM('Key inputs_EB_OWN'!P$376:P$395)&lt;0.001),0.001,'Key inputs_EB_OWN'!P382/SUM('Key inputs_EB_OWN'!P$376:P$395)),"")</f>
        <v>1E-3</v>
      </c>
      <c r="W47" s="173">
        <f>IFERROR(IF(AND('Key inputs_EB_OWN'!Q382/SUM('Key inputs_EB_OWN'!Q$376:Q$395)&gt;0,'Key inputs_EB_OWN'!Q382/SUM('Key inputs_EB_OWN'!Q$376:Q$395)&lt;0.001),0.001,'Key inputs_EB_OWN'!Q382/SUM('Key inputs_EB_OWN'!Q$376:Q$395)),"")</f>
        <v>0</v>
      </c>
      <c r="X47" s="173">
        <f>IFERROR(IF(AND('Key inputs_EB_OWN'!R382/SUM('Key inputs_EB_OWN'!R$376:R$395)&gt;0,'Key inputs_EB_OWN'!R382/SUM('Key inputs_EB_OWN'!R$376:R$395)&lt;0.001),0.001,'Key inputs_EB_OWN'!R382/SUM('Key inputs_EB_OWN'!R$376:R$395)),"")</f>
        <v>0</v>
      </c>
      <c r="Y47" s="348">
        <f>IFERROR(IF(AND('Key inputs_EB_OWN'!S382/SUM('Key inputs_EB_OWN'!S$376:S$395)&gt;0,'Key inputs_EB_OWN'!S382/SUM('Key inputs_EB_OWN'!S$376:S$395)&lt;0.001),0.001,'Key inputs_EB_OWN'!S382/SUM('Key inputs_EB_OWN'!S$376:S$395)),"")</f>
        <v>0</v>
      </c>
      <c r="Z47" s="173" t="str">
        <f>IFERROR(IF(AND('Key inputs_EB_OWN'!T382/SUM('Key inputs_EB_OWN'!T$376:T$395)&gt;0,'Key inputs_EB_OWN'!T382/SUM('Key inputs_EB_OWN'!T$376:T$395)&lt;0.001),0.001,'Key inputs_EB_OWN'!T382/SUM('Key inputs_EB_OWN'!T$376:T$395)),"")</f>
        <v/>
      </c>
      <c r="AA47" s="173" t="str">
        <f>IFERROR(IF(AND('Key inputs_EB_OWN'!U382/SUM('Key inputs_EB_OWN'!U$376:U$395)&gt;0,'Key inputs_EB_OWN'!U382/SUM('Key inputs_EB_OWN'!U$376:U$395)&lt;0.001),0.001,'Key inputs_EB_OWN'!U382/SUM('Key inputs_EB_OWN'!U$376:U$395)),"")</f>
        <v/>
      </c>
      <c r="AB47" s="173">
        <f>IFERROR(IF(AND('Key inputs_EB_OWN'!V382/SUM('Key inputs_EB_OWN'!V$376:V$395)&gt;0,'Key inputs_EB_OWN'!V382/SUM('Key inputs_EB_OWN'!V$376:V$395)&lt;0.001),0.001,'Key inputs_EB_OWN'!V382/SUM('Key inputs_EB_OWN'!V$376:V$395)),"")</f>
        <v>0</v>
      </c>
      <c r="AC47" s="173">
        <f>IFERROR(IF(AND('Key inputs_EB_OWN'!W382/SUM('Key inputs_EB_OWN'!W$376:W$395)&gt;0,'Key inputs_EB_OWN'!W382/SUM('Key inputs_EB_OWN'!W$376:W$395)&lt;0.001),0.001,'Key inputs_EB_OWN'!W382/SUM('Key inputs_EB_OWN'!W$376:W$395)),"")</f>
        <v>0</v>
      </c>
      <c r="AD47" s="173" t="str">
        <f>IFERROR(IF(AND('Key inputs_EB_OWN'!X382/SUM('Key inputs_EB_OWN'!X$376:X$395)&gt;0,'Key inputs_EB_OWN'!X382/SUM('Key inputs_EB_OWN'!X$376:X$395)&lt;0.001),0.001,'Key inputs_EB_OWN'!X382/SUM('Key inputs_EB_OWN'!X$376:X$395)),"")</f>
        <v/>
      </c>
      <c r="AE47" s="173">
        <f>IFERROR(IF(AND('Key inputs_EB_OWN'!Y382/SUM('Key inputs_EB_OWN'!Y$376:Y$395)&gt;0,'Key inputs_EB_OWN'!Y382/SUM('Key inputs_EB_OWN'!Y$376:Y$395)&lt;0.001),0.001,'Key inputs_EB_OWN'!Y382/SUM('Key inputs_EB_OWN'!Y$376:Y$395)),"")</f>
        <v>0</v>
      </c>
      <c r="AF47" s="173">
        <f>IFERROR(IF(AND('Key inputs_EB_OWN'!Z382/SUM('Key inputs_EB_OWN'!Z$376:Z$395)&gt;0,'Key inputs_EB_OWN'!Z382/SUM('Key inputs_EB_OWN'!Z$376:Z$395)&lt;0.001),0.001,'Key inputs_EB_OWN'!Z382/SUM('Key inputs_EB_OWN'!Z$376:Z$395)),"")</f>
        <v>0</v>
      </c>
      <c r="AG47" s="173" t="str">
        <f>IFERROR(IF(AND('Key inputs_EB_OWN'!AA382/SUM('Key inputs_EB_OWN'!AA$376:AA$395)&gt;0,'Key inputs_EB_OWN'!AA382/SUM('Key inputs_EB_OWN'!AA$376:AA$395)&lt;0.001),0.001,'Key inputs_EB_OWN'!AA382/SUM('Key inputs_EB_OWN'!AA$376:AA$395)),"")</f>
        <v/>
      </c>
      <c r="AH47" s="173" t="str">
        <f>IFERROR(IF(AND('Key inputs_EB_OWN'!AB382/SUM('Key inputs_EB_OWN'!AB$376:AB$395)&gt;0,'Key inputs_EB_OWN'!AB382/SUM('Key inputs_EB_OWN'!AB$376:AB$395)&lt;0.001),0.001,'Key inputs_EB_OWN'!AB382/SUM('Key inputs_EB_OWN'!AB$376:AB$395)),"")</f>
        <v/>
      </c>
      <c r="AI47" s="173" t="str">
        <f>IFERROR(IF(AND('Key inputs_EB_OWN'!AC382/SUM('Key inputs_EB_OWN'!AC$376:AC$395)&gt;0,'Key inputs_EB_OWN'!AC382/SUM('Key inputs_EB_OWN'!AC$376:AC$395)&lt;0.001),0.001,'Key inputs_EB_OWN'!AC382/SUM('Key inputs_EB_OWN'!AC$376:AC$395)),"")</f>
        <v/>
      </c>
      <c r="AJ47" s="173">
        <f>IFERROR(IF(AND('Key inputs_EB_OWN'!AD382/SUM('Key inputs_EB_OWN'!AD$376:AD$395)&gt;0,'Key inputs_EB_OWN'!AD382/SUM('Key inputs_EB_OWN'!AD$376:AD$395)&lt;0.001),0.001,'Key inputs_EB_OWN'!AD382/SUM('Key inputs_EB_OWN'!AD$376:AD$395)),"")</f>
        <v>0</v>
      </c>
      <c r="AK47" s="173" t="str">
        <f>IFERROR(IF(AND('Key inputs_EB_OWN'!AE382/SUM('Key inputs_EB_OWN'!AE$376:AE$395)&gt;0,'Key inputs_EB_OWN'!AE382/SUM('Key inputs_EB_OWN'!AE$376:AE$395)&lt;0.001),0.001,'Key inputs_EB_OWN'!AE382/SUM('Key inputs_EB_OWN'!AE$376:AE$395)),"")</f>
        <v/>
      </c>
      <c r="AL47" s="173">
        <f>IFERROR(IF(AND('Key inputs_EB_OWN'!AF382/SUM('Key inputs_EB_OWN'!AF$376:AF$395)&gt;0,'Key inputs_EB_OWN'!AF382/SUM('Key inputs_EB_OWN'!AF$376:AF$395)&lt;0.001),0.001,'Key inputs_EB_OWN'!AF382/SUM('Key inputs_EB_OWN'!AF$376:AF$395)),"")</f>
        <v>0</v>
      </c>
    </row>
    <row r="48" spans="1:38">
      <c r="A48" s="4"/>
      <c r="B48" s="4"/>
      <c r="C48" s="4" t="str">
        <f>Commodities!$C$89</f>
        <v>UPSCOK</v>
      </c>
      <c r="D48" s="4"/>
      <c r="E48" s="4" t="s">
        <v>359</v>
      </c>
      <c r="G48" t="s">
        <v>693</v>
      </c>
      <c r="H48" s="4" t="s">
        <v>661</v>
      </c>
      <c r="I48">
        <v>2019</v>
      </c>
      <c r="J48" t="s">
        <v>650</v>
      </c>
      <c r="K48" s="173">
        <f>IFERROR(IF(AND('Key inputs_EB_OWN'!E383/SUM('Key inputs_EB_OWN'!E$376:E$395)&gt;0,'Key inputs_EB_OWN'!E383/SUM('Key inputs_EB_OWN'!E$376:E$395)&lt;0.001),0.001,'Key inputs_EB_OWN'!E383/SUM('Key inputs_EB_OWN'!E$376:E$395)),"")</f>
        <v>0</v>
      </c>
      <c r="L48" s="173" t="str">
        <f>IFERROR(IF(AND('Key inputs_EB_OWN'!F383/SUM('Key inputs_EB_OWN'!F$376:F$395)&gt;0,'Key inputs_EB_OWN'!F383/SUM('Key inputs_EB_OWN'!F$376:F$395)&lt;0.001),0.001,'Key inputs_EB_OWN'!F383/SUM('Key inputs_EB_OWN'!F$376:F$395)),"")</f>
        <v/>
      </c>
      <c r="M48" s="173" t="str">
        <f>IFERROR(IF(AND('Key inputs_EB_OWN'!G383/SUM('Key inputs_EB_OWN'!G$376:G$395)&gt;0,'Key inputs_EB_OWN'!G383/SUM('Key inputs_EB_OWN'!G$376:G$395)&lt;0.001),0.001,'Key inputs_EB_OWN'!G383/SUM('Key inputs_EB_OWN'!G$376:G$395)),"")</f>
        <v/>
      </c>
      <c r="N48" s="173">
        <f>IFERROR(IF(AND('Key inputs_EB_OWN'!H383/SUM('Key inputs_EB_OWN'!H$376:H$395)&gt;0,'Key inputs_EB_OWN'!H383/SUM('Key inputs_EB_OWN'!H$376:H$395)&lt;0.001),0.001,'Key inputs_EB_OWN'!H383/SUM('Key inputs_EB_OWN'!H$376:H$395)),"")</f>
        <v>0</v>
      </c>
      <c r="O48" s="173">
        <f>IFERROR(IF(AND('Key inputs_EB_OWN'!I383/SUM('Key inputs_EB_OWN'!I$376:I$395)&gt;0,'Key inputs_EB_OWN'!I383/SUM('Key inputs_EB_OWN'!I$376:I$395)&lt;0.001),0.001,'Key inputs_EB_OWN'!I383/SUM('Key inputs_EB_OWN'!I$376:I$395)),"")</f>
        <v>0</v>
      </c>
      <c r="P48" s="173">
        <f>IFERROR(IF(AND('Key inputs_EB_OWN'!J383/SUM('Key inputs_EB_OWN'!J$376:J$395)&gt;0,'Key inputs_EB_OWN'!J383/SUM('Key inputs_EB_OWN'!J$376:J$395)&lt;0.001),0.001,'Key inputs_EB_OWN'!J383/SUM('Key inputs_EB_OWN'!J$376:J$395)),"")</f>
        <v>0</v>
      </c>
      <c r="Q48" s="173" t="str">
        <f>IFERROR(IF(AND('Key inputs_EB_OWN'!K383/SUM('Key inputs_EB_OWN'!K$376:K$395)&gt;0,'Key inputs_EB_OWN'!K383/SUM('Key inputs_EB_OWN'!K$376:K$395)&lt;0.001),0.001,'Key inputs_EB_OWN'!K383/SUM('Key inputs_EB_OWN'!K$376:K$395)),"")</f>
        <v/>
      </c>
      <c r="R48" s="173" t="str">
        <f>IFERROR(IF(AND('Key inputs_EB_OWN'!L383/SUM('Key inputs_EB_OWN'!L$376:L$395)&gt;0,'Key inputs_EB_OWN'!L383/SUM('Key inputs_EB_OWN'!L$376:L$395)&lt;0.001),0.001,'Key inputs_EB_OWN'!L383/SUM('Key inputs_EB_OWN'!L$376:L$395)),"")</f>
        <v/>
      </c>
      <c r="S48" s="173" t="str">
        <f>IFERROR(IF(AND('Key inputs_EB_OWN'!M383/SUM('Key inputs_EB_OWN'!M$376:M$395)&gt;0,'Key inputs_EB_OWN'!M383/SUM('Key inputs_EB_OWN'!M$376:M$395)&lt;0.001),0.001,'Key inputs_EB_OWN'!M383/SUM('Key inputs_EB_OWN'!M$376:M$395)),"")</f>
        <v/>
      </c>
      <c r="T48" s="173">
        <f>IFERROR(IF(AND('Key inputs_EB_OWN'!N383/SUM('Key inputs_EB_OWN'!N$376:N$395)&gt;0,'Key inputs_EB_OWN'!N383/SUM('Key inputs_EB_OWN'!N$376:N$395)&lt;0.001),0.001,'Key inputs_EB_OWN'!N383/SUM('Key inputs_EB_OWN'!N$376:N$395)),"")</f>
        <v>0</v>
      </c>
      <c r="U48" s="173" t="str">
        <f>IFERROR(IF(AND('Key inputs_EB_OWN'!O383/SUM('Key inputs_EB_OWN'!O$376:O$395)&gt;0,'Key inputs_EB_OWN'!O383/SUM('Key inputs_EB_OWN'!O$376:O$395)&lt;0.001),0.001,'Key inputs_EB_OWN'!O383/SUM('Key inputs_EB_OWN'!O$376:O$395)),"")</f>
        <v/>
      </c>
      <c r="V48" s="348">
        <f>IFERROR(IF(AND('Key inputs_EB_OWN'!P383/SUM('Key inputs_EB_OWN'!P$376:P$395)&gt;0,'Key inputs_EB_OWN'!P383/SUM('Key inputs_EB_OWN'!P$376:P$395)&lt;0.001),0.001,'Key inputs_EB_OWN'!P383/SUM('Key inputs_EB_OWN'!P$376:P$395)),"")</f>
        <v>3.7179857217734436E-3</v>
      </c>
      <c r="W48" s="173">
        <f>IFERROR(IF(AND('Key inputs_EB_OWN'!Q383/SUM('Key inputs_EB_OWN'!Q$376:Q$395)&gt;0,'Key inputs_EB_OWN'!Q383/SUM('Key inputs_EB_OWN'!Q$376:Q$395)&lt;0.001),0.001,'Key inputs_EB_OWN'!Q383/SUM('Key inputs_EB_OWN'!Q$376:Q$395)),"")</f>
        <v>0</v>
      </c>
      <c r="X48" s="173">
        <f>IFERROR(IF(AND('Key inputs_EB_OWN'!R383/SUM('Key inputs_EB_OWN'!R$376:R$395)&gt;0,'Key inputs_EB_OWN'!R383/SUM('Key inputs_EB_OWN'!R$376:R$395)&lt;0.001),0.001,'Key inputs_EB_OWN'!R383/SUM('Key inputs_EB_OWN'!R$376:R$395)),"")</f>
        <v>0</v>
      </c>
      <c r="Y48" s="348">
        <f>IFERROR(IF(AND('Key inputs_EB_OWN'!S383/SUM('Key inputs_EB_OWN'!S$376:S$395)&gt;0,'Key inputs_EB_OWN'!S383/SUM('Key inputs_EB_OWN'!S$376:S$395)&lt;0.001),0.001,'Key inputs_EB_OWN'!S383/SUM('Key inputs_EB_OWN'!S$376:S$395)),"")</f>
        <v>0</v>
      </c>
      <c r="Z48" s="173" t="str">
        <f>IFERROR(IF(AND('Key inputs_EB_OWN'!T383/SUM('Key inputs_EB_OWN'!T$376:T$395)&gt;0,'Key inputs_EB_OWN'!T383/SUM('Key inputs_EB_OWN'!T$376:T$395)&lt;0.001),0.001,'Key inputs_EB_OWN'!T383/SUM('Key inputs_EB_OWN'!T$376:T$395)),"")</f>
        <v/>
      </c>
      <c r="AA48" s="173" t="str">
        <f>IFERROR(IF(AND('Key inputs_EB_OWN'!U383/SUM('Key inputs_EB_OWN'!U$376:U$395)&gt;0,'Key inputs_EB_OWN'!U383/SUM('Key inputs_EB_OWN'!U$376:U$395)&lt;0.001),0.001,'Key inputs_EB_OWN'!U383/SUM('Key inputs_EB_OWN'!U$376:U$395)),"")</f>
        <v/>
      </c>
      <c r="AB48" s="173">
        <f>IFERROR(IF(AND('Key inputs_EB_OWN'!V383/SUM('Key inputs_EB_OWN'!V$376:V$395)&gt;0,'Key inputs_EB_OWN'!V383/SUM('Key inputs_EB_OWN'!V$376:V$395)&lt;0.001),0.001,'Key inputs_EB_OWN'!V383/SUM('Key inputs_EB_OWN'!V$376:V$395)),"")</f>
        <v>0</v>
      </c>
      <c r="AC48" s="173">
        <f>IFERROR(IF(AND('Key inputs_EB_OWN'!W383/SUM('Key inputs_EB_OWN'!W$376:W$395)&gt;0,'Key inputs_EB_OWN'!W383/SUM('Key inputs_EB_OWN'!W$376:W$395)&lt;0.001),0.001,'Key inputs_EB_OWN'!W383/SUM('Key inputs_EB_OWN'!W$376:W$395)),"")</f>
        <v>0</v>
      </c>
      <c r="AD48" s="173" t="str">
        <f>IFERROR(IF(AND('Key inputs_EB_OWN'!X383/SUM('Key inputs_EB_OWN'!X$376:X$395)&gt;0,'Key inputs_EB_OWN'!X383/SUM('Key inputs_EB_OWN'!X$376:X$395)&lt;0.001),0.001,'Key inputs_EB_OWN'!X383/SUM('Key inputs_EB_OWN'!X$376:X$395)),"")</f>
        <v/>
      </c>
      <c r="AE48" s="173">
        <f>IFERROR(IF(AND('Key inputs_EB_OWN'!Y383/SUM('Key inputs_EB_OWN'!Y$376:Y$395)&gt;0,'Key inputs_EB_OWN'!Y383/SUM('Key inputs_EB_OWN'!Y$376:Y$395)&lt;0.001),0.001,'Key inputs_EB_OWN'!Y383/SUM('Key inputs_EB_OWN'!Y$376:Y$395)),"")</f>
        <v>0</v>
      </c>
      <c r="AF48" s="173">
        <f>IFERROR(IF(AND('Key inputs_EB_OWN'!Z383/SUM('Key inputs_EB_OWN'!Z$376:Z$395)&gt;0,'Key inputs_EB_OWN'!Z383/SUM('Key inputs_EB_OWN'!Z$376:Z$395)&lt;0.001),0.001,'Key inputs_EB_OWN'!Z383/SUM('Key inputs_EB_OWN'!Z$376:Z$395)),"")</f>
        <v>0</v>
      </c>
      <c r="AG48" s="173" t="str">
        <f>IFERROR(IF(AND('Key inputs_EB_OWN'!AA383/SUM('Key inputs_EB_OWN'!AA$376:AA$395)&gt;0,'Key inputs_EB_OWN'!AA383/SUM('Key inputs_EB_OWN'!AA$376:AA$395)&lt;0.001),0.001,'Key inputs_EB_OWN'!AA383/SUM('Key inputs_EB_OWN'!AA$376:AA$395)),"")</f>
        <v/>
      </c>
      <c r="AH48" s="173" t="str">
        <f>IFERROR(IF(AND('Key inputs_EB_OWN'!AB383/SUM('Key inputs_EB_OWN'!AB$376:AB$395)&gt;0,'Key inputs_EB_OWN'!AB383/SUM('Key inputs_EB_OWN'!AB$376:AB$395)&lt;0.001),0.001,'Key inputs_EB_OWN'!AB383/SUM('Key inputs_EB_OWN'!AB$376:AB$395)),"")</f>
        <v/>
      </c>
      <c r="AI48" s="173" t="str">
        <f>IFERROR(IF(AND('Key inputs_EB_OWN'!AC383/SUM('Key inputs_EB_OWN'!AC$376:AC$395)&gt;0,'Key inputs_EB_OWN'!AC383/SUM('Key inputs_EB_OWN'!AC$376:AC$395)&lt;0.001),0.001,'Key inputs_EB_OWN'!AC383/SUM('Key inputs_EB_OWN'!AC$376:AC$395)),"")</f>
        <v/>
      </c>
      <c r="AJ48" s="173">
        <f>IFERROR(IF(AND('Key inputs_EB_OWN'!AD383/SUM('Key inputs_EB_OWN'!AD$376:AD$395)&gt;0,'Key inputs_EB_OWN'!AD383/SUM('Key inputs_EB_OWN'!AD$376:AD$395)&lt;0.001),0.001,'Key inputs_EB_OWN'!AD383/SUM('Key inputs_EB_OWN'!AD$376:AD$395)),"")</f>
        <v>0</v>
      </c>
      <c r="AK48" s="173" t="str">
        <f>IFERROR(IF(AND('Key inputs_EB_OWN'!AE383/SUM('Key inputs_EB_OWN'!AE$376:AE$395)&gt;0,'Key inputs_EB_OWN'!AE383/SUM('Key inputs_EB_OWN'!AE$376:AE$395)&lt;0.001),0.001,'Key inputs_EB_OWN'!AE383/SUM('Key inputs_EB_OWN'!AE$376:AE$395)),"")</f>
        <v/>
      </c>
      <c r="AL48" s="173">
        <f>IFERROR(IF(AND('Key inputs_EB_OWN'!AF383/SUM('Key inputs_EB_OWN'!AF$376:AF$395)&gt;0,'Key inputs_EB_OWN'!AF383/SUM('Key inputs_EB_OWN'!AF$376:AF$395)&lt;0.001),0.001,'Key inputs_EB_OWN'!AF383/SUM('Key inputs_EB_OWN'!AF$376:AF$395)),"")</f>
        <v>0</v>
      </c>
    </row>
    <row r="49" spans="1:38">
      <c r="A49" s="4"/>
      <c r="B49" s="4"/>
      <c r="C49" s="4" t="str">
        <f>Commodities!$C$90</f>
        <v>UPSDSL</v>
      </c>
      <c r="D49" s="4"/>
      <c r="E49" s="4" t="s">
        <v>359</v>
      </c>
      <c r="G49" t="s">
        <v>693</v>
      </c>
      <c r="H49" s="4" t="s">
        <v>661</v>
      </c>
      <c r="I49">
        <v>2019</v>
      </c>
      <c r="J49" t="s">
        <v>650</v>
      </c>
      <c r="K49" s="173">
        <f>IFERROR(IF(AND('Key inputs_EB_OWN'!E384/SUM('Key inputs_EB_OWN'!E$376:E$395)&gt;0,'Key inputs_EB_OWN'!E384/SUM('Key inputs_EB_OWN'!E$376:E$395)&lt;0.001),0.001,'Key inputs_EB_OWN'!E384/SUM('Key inputs_EB_OWN'!E$376:E$395)),"")</f>
        <v>0</v>
      </c>
      <c r="L49" s="173" t="str">
        <f>IFERROR(IF(AND('Key inputs_EB_OWN'!F384/SUM('Key inputs_EB_OWN'!F$376:F$395)&gt;0,'Key inputs_EB_OWN'!F384/SUM('Key inputs_EB_OWN'!F$376:F$395)&lt;0.001),0.001,'Key inputs_EB_OWN'!F384/SUM('Key inputs_EB_OWN'!F$376:F$395)),"")</f>
        <v/>
      </c>
      <c r="M49" s="173" t="str">
        <f>IFERROR(IF(AND('Key inputs_EB_OWN'!G384/SUM('Key inputs_EB_OWN'!G$376:G$395)&gt;0,'Key inputs_EB_OWN'!G384/SUM('Key inputs_EB_OWN'!G$376:G$395)&lt;0.001),0.001,'Key inputs_EB_OWN'!G384/SUM('Key inputs_EB_OWN'!G$376:G$395)),"")</f>
        <v/>
      </c>
      <c r="N49" s="173">
        <f>IFERROR(IF(AND('Key inputs_EB_OWN'!H384/SUM('Key inputs_EB_OWN'!H$376:H$395)&gt;0,'Key inputs_EB_OWN'!H384/SUM('Key inputs_EB_OWN'!H$376:H$395)&lt;0.001),0.001,'Key inputs_EB_OWN'!H384/SUM('Key inputs_EB_OWN'!H$376:H$395)),"")</f>
        <v>0</v>
      </c>
      <c r="O49" s="173">
        <f>IFERROR(IF(AND('Key inputs_EB_OWN'!I384/SUM('Key inputs_EB_OWN'!I$376:I$395)&gt;0,'Key inputs_EB_OWN'!I384/SUM('Key inputs_EB_OWN'!I$376:I$395)&lt;0.001),0.001,'Key inputs_EB_OWN'!I384/SUM('Key inputs_EB_OWN'!I$376:I$395)),"")</f>
        <v>0.86602198998099944</v>
      </c>
      <c r="P49" s="173">
        <f>IFERROR(IF(AND('Key inputs_EB_OWN'!J384/SUM('Key inputs_EB_OWN'!J$376:J$395)&gt;0,'Key inputs_EB_OWN'!J384/SUM('Key inputs_EB_OWN'!J$376:J$395)&lt;0.001),0.001,'Key inputs_EB_OWN'!J384/SUM('Key inputs_EB_OWN'!J$376:J$395)),"")</f>
        <v>5.9780208244230033E-2</v>
      </c>
      <c r="Q49" s="173" t="str">
        <f>IFERROR(IF(AND('Key inputs_EB_OWN'!K384/SUM('Key inputs_EB_OWN'!K$376:K$395)&gt;0,'Key inputs_EB_OWN'!K384/SUM('Key inputs_EB_OWN'!K$376:K$395)&lt;0.001),0.001,'Key inputs_EB_OWN'!K384/SUM('Key inputs_EB_OWN'!K$376:K$395)),"")</f>
        <v/>
      </c>
      <c r="R49" s="173" t="str">
        <f>IFERROR(IF(AND('Key inputs_EB_OWN'!L384/SUM('Key inputs_EB_OWN'!L$376:L$395)&gt;0,'Key inputs_EB_OWN'!L384/SUM('Key inputs_EB_OWN'!L$376:L$395)&lt;0.001),0.001,'Key inputs_EB_OWN'!L384/SUM('Key inputs_EB_OWN'!L$376:L$395)),"")</f>
        <v/>
      </c>
      <c r="S49" s="173" t="str">
        <f>IFERROR(IF(AND('Key inputs_EB_OWN'!M384/SUM('Key inputs_EB_OWN'!M$376:M$395)&gt;0,'Key inputs_EB_OWN'!M384/SUM('Key inputs_EB_OWN'!M$376:M$395)&lt;0.001),0.001,'Key inputs_EB_OWN'!M384/SUM('Key inputs_EB_OWN'!M$376:M$395)),"")</f>
        <v/>
      </c>
      <c r="T49" s="173">
        <f>IFERROR(IF(AND('Key inputs_EB_OWN'!N384/SUM('Key inputs_EB_OWN'!N$376:N$395)&gt;0,'Key inputs_EB_OWN'!N384/SUM('Key inputs_EB_OWN'!N$376:N$395)&lt;0.001),0.001,'Key inputs_EB_OWN'!N384/SUM('Key inputs_EB_OWN'!N$376:N$395)),"")</f>
        <v>0</v>
      </c>
      <c r="U49" s="173" t="str">
        <f>IFERROR(IF(AND('Key inputs_EB_OWN'!O384/SUM('Key inputs_EB_OWN'!O$376:O$395)&gt;0,'Key inputs_EB_OWN'!O384/SUM('Key inputs_EB_OWN'!O$376:O$395)&lt;0.001),0.001,'Key inputs_EB_OWN'!O384/SUM('Key inputs_EB_OWN'!O$376:O$395)),"")</f>
        <v/>
      </c>
      <c r="V49" s="348">
        <f>IFERROR(IF(AND('Key inputs_EB_OWN'!P384/SUM('Key inputs_EB_OWN'!P$376:P$395)&gt;0,'Key inputs_EB_OWN'!P384/SUM('Key inputs_EB_OWN'!P$376:P$395)&lt;0.001),0.001,'Key inputs_EB_OWN'!P384/SUM('Key inputs_EB_OWN'!P$376:P$395)),"")</f>
        <v>2.8162744217567245E-2</v>
      </c>
      <c r="W49" s="173">
        <f>IFERROR(IF(AND('Key inputs_EB_OWN'!Q384/SUM('Key inputs_EB_OWN'!Q$376:Q$395)&gt;0,'Key inputs_EB_OWN'!Q384/SUM('Key inputs_EB_OWN'!Q$376:Q$395)&lt;0.001),0.001,'Key inputs_EB_OWN'!Q384/SUM('Key inputs_EB_OWN'!Q$376:Q$395)),"")</f>
        <v>0.30035232280627044</v>
      </c>
      <c r="X49" s="173">
        <f>IFERROR(IF(AND('Key inputs_EB_OWN'!R384/SUM('Key inputs_EB_OWN'!R$376:R$395)&gt;0,'Key inputs_EB_OWN'!R384/SUM('Key inputs_EB_OWN'!R$376:R$395)&lt;0.001),0.001,'Key inputs_EB_OWN'!R384/SUM('Key inputs_EB_OWN'!R$376:R$395)),"")</f>
        <v>1.4192763563197644E-2</v>
      </c>
      <c r="Y49" s="348">
        <f>IFERROR(IF(AND('Key inputs_EB_OWN'!S384/SUM('Key inputs_EB_OWN'!S$376:S$395)&gt;0,'Key inputs_EB_OWN'!S384/SUM('Key inputs_EB_OWN'!S$376:S$395)&lt;0.001),0.001,'Key inputs_EB_OWN'!S384/SUM('Key inputs_EB_OWN'!S$376:S$395)),"")</f>
        <v>0.15640857530631036</v>
      </c>
      <c r="Z49" s="173" t="str">
        <f>IFERROR(IF(AND('Key inputs_EB_OWN'!T384/SUM('Key inputs_EB_OWN'!T$376:T$395)&gt;0,'Key inputs_EB_OWN'!T384/SUM('Key inputs_EB_OWN'!T$376:T$395)&lt;0.001),0.001,'Key inputs_EB_OWN'!T384/SUM('Key inputs_EB_OWN'!T$376:T$395)),"")</f>
        <v/>
      </c>
      <c r="AA49" s="173" t="str">
        <f>IFERROR(IF(AND('Key inputs_EB_OWN'!U384/SUM('Key inputs_EB_OWN'!U$376:U$395)&gt;0,'Key inputs_EB_OWN'!U384/SUM('Key inputs_EB_OWN'!U$376:U$395)&lt;0.001),0.001,'Key inputs_EB_OWN'!U384/SUM('Key inputs_EB_OWN'!U$376:U$395)),"")</f>
        <v/>
      </c>
      <c r="AB49" s="173">
        <f>IFERROR(IF(AND('Key inputs_EB_OWN'!V384/SUM('Key inputs_EB_OWN'!V$376:V$395)&gt;0,'Key inputs_EB_OWN'!V384/SUM('Key inputs_EB_OWN'!V$376:V$395)&lt;0.001),0.001,'Key inputs_EB_OWN'!V384/SUM('Key inputs_EB_OWN'!V$376:V$395)),"")</f>
        <v>0.99610277053059149</v>
      </c>
      <c r="AC49" s="173">
        <f>IFERROR(IF(AND('Key inputs_EB_OWN'!W384/SUM('Key inputs_EB_OWN'!W$376:W$395)&gt;0,'Key inputs_EB_OWN'!W384/SUM('Key inputs_EB_OWN'!W$376:W$395)&lt;0.001),0.001,'Key inputs_EB_OWN'!W384/SUM('Key inputs_EB_OWN'!W$376:W$395)),"")</f>
        <v>0</v>
      </c>
      <c r="AD49" s="173" t="str">
        <f>IFERROR(IF(AND('Key inputs_EB_OWN'!X384/SUM('Key inputs_EB_OWN'!X$376:X$395)&gt;0,'Key inputs_EB_OWN'!X384/SUM('Key inputs_EB_OWN'!X$376:X$395)&lt;0.001),0.001,'Key inputs_EB_OWN'!X384/SUM('Key inputs_EB_OWN'!X$376:X$395)),"")</f>
        <v/>
      </c>
      <c r="AE49" s="173">
        <f>IFERROR(IF(AND('Key inputs_EB_OWN'!Y384/SUM('Key inputs_EB_OWN'!Y$376:Y$395)&gt;0,'Key inputs_EB_OWN'!Y384/SUM('Key inputs_EB_OWN'!Y$376:Y$395)&lt;0.001),0.001,'Key inputs_EB_OWN'!Y384/SUM('Key inputs_EB_OWN'!Y$376:Y$395)),"")</f>
        <v>0</v>
      </c>
      <c r="AF49" s="173">
        <f>IFERROR(IF(AND('Key inputs_EB_OWN'!Z384/SUM('Key inputs_EB_OWN'!Z$376:Z$395)&gt;0,'Key inputs_EB_OWN'!Z384/SUM('Key inputs_EB_OWN'!Z$376:Z$395)&lt;0.001),0.001,'Key inputs_EB_OWN'!Z384/SUM('Key inputs_EB_OWN'!Z$376:Z$395)),"")</f>
        <v>0</v>
      </c>
      <c r="AG49" s="173" t="str">
        <f>IFERROR(IF(AND('Key inputs_EB_OWN'!AA384/SUM('Key inputs_EB_OWN'!AA$376:AA$395)&gt;0,'Key inputs_EB_OWN'!AA384/SUM('Key inputs_EB_OWN'!AA$376:AA$395)&lt;0.001),0.001,'Key inputs_EB_OWN'!AA384/SUM('Key inputs_EB_OWN'!AA$376:AA$395)),"")</f>
        <v/>
      </c>
      <c r="AH49" s="173" t="str">
        <f>IFERROR(IF(AND('Key inputs_EB_OWN'!AB384/SUM('Key inputs_EB_OWN'!AB$376:AB$395)&gt;0,'Key inputs_EB_OWN'!AB384/SUM('Key inputs_EB_OWN'!AB$376:AB$395)&lt;0.001),0.001,'Key inputs_EB_OWN'!AB384/SUM('Key inputs_EB_OWN'!AB$376:AB$395)),"")</f>
        <v/>
      </c>
      <c r="AI49" s="173" t="str">
        <f>IFERROR(IF(AND('Key inputs_EB_OWN'!AC384/SUM('Key inputs_EB_OWN'!AC$376:AC$395)&gt;0,'Key inputs_EB_OWN'!AC384/SUM('Key inputs_EB_OWN'!AC$376:AC$395)&lt;0.001),0.001,'Key inputs_EB_OWN'!AC384/SUM('Key inputs_EB_OWN'!AC$376:AC$395)),"")</f>
        <v/>
      </c>
      <c r="AJ49" s="173">
        <f>IFERROR(IF(AND('Key inputs_EB_OWN'!AD384/SUM('Key inputs_EB_OWN'!AD$376:AD$395)&gt;0,'Key inputs_EB_OWN'!AD384/SUM('Key inputs_EB_OWN'!AD$376:AD$395)&lt;0.001),0.001,'Key inputs_EB_OWN'!AD384/SUM('Key inputs_EB_OWN'!AD$376:AD$395)),"")</f>
        <v>0.782277596408956</v>
      </c>
      <c r="AK49" s="173" t="str">
        <f>IFERROR(IF(AND('Key inputs_EB_OWN'!AE384/SUM('Key inputs_EB_OWN'!AE$376:AE$395)&gt;0,'Key inputs_EB_OWN'!AE384/SUM('Key inputs_EB_OWN'!AE$376:AE$395)&lt;0.001),0.001,'Key inputs_EB_OWN'!AE384/SUM('Key inputs_EB_OWN'!AE$376:AE$395)),"")</f>
        <v/>
      </c>
      <c r="AL49" s="173">
        <f>IFERROR(IF(AND('Key inputs_EB_OWN'!AF384/SUM('Key inputs_EB_OWN'!AF$376:AF$395)&gt;0,'Key inputs_EB_OWN'!AF384/SUM('Key inputs_EB_OWN'!AF$376:AF$395)&lt;0.001),0.001,'Key inputs_EB_OWN'!AF384/SUM('Key inputs_EB_OWN'!AF$376:AF$395)),"")</f>
        <v>0.48068168807266154</v>
      </c>
    </row>
    <row r="50" spans="1:38">
      <c r="A50" s="4"/>
      <c r="B50" s="4"/>
      <c r="C50" s="4" t="str">
        <f>Commodities!$C$91</f>
        <v>UPSELC</v>
      </c>
      <c r="D50" s="4"/>
      <c r="E50" s="4" t="s">
        <v>359</v>
      </c>
      <c r="G50" t="s">
        <v>693</v>
      </c>
      <c r="H50" s="4" t="s">
        <v>661</v>
      </c>
      <c r="I50">
        <v>2019</v>
      </c>
      <c r="J50" t="s">
        <v>650</v>
      </c>
      <c r="K50" s="173">
        <f>IFERROR(IF(AND('Key inputs_EB_OWN'!E385/SUM('Key inputs_EB_OWN'!E$376:E$395)&gt;0,'Key inputs_EB_OWN'!E385/SUM('Key inputs_EB_OWN'!E$376:E$395)&lt;0.001),0.001,'Key inputs_EB_OWN'!E385/SUM('Key inputs_EB_OWN'!E$376:E$395)),"")</f>
        <v>1</v>
      </c>
      <c r="L50" s="173" t="str">
        <f>IFERROR(IF(AND('Key inputs_EB_OWN'!F385/SUM('Key inputs_EB_OWN'!F$376:F$395)&gt;0,'Key inputs_EB_OWN'!F385/SUM('Key inputs_EB_OWN'!F$376:F$395)&lt;0.001),0.001,'Key inputs_EB_OWN'!F385/SUM('Key inputs_EB_OWN'!F$376:F$395)),"")</f>
        <v/>
      </c>
      <c r="M50" s="173" t="str">
        <f>IFERROR(IF(AND('Key inputs_EB_OWN'!G385/SUM('Key inputs_EB_OWN'!G$376:G$395)&gt;0,'Key inputs_EB_OWN'!G385/SUM('Key inputs_EB_OWN'!G$376:G$395)&lt;0.001),0.001,'Key inputs_EB_OWN'!G385/SUM('Key inputs_EB_OWN'!G$376:G$395)),"")</f>
        <v/>
      </c>
      <c r="N50" s="173">
        <f>IFERROR(IF(AND('Key inputs_EB_OWN'!H385/SUM('Key inputs_EB_OWN'!H$376:H$395)&gt;0,'Key inputs_EB_OWN'!H385/SUM('Key inputs_EB_OWN'!H$376:H$395)&lt;0.001),0.001,'Key inputs_EB_OWN'!H385/SUM('Key inputs_EB_OWN'!H$376:H$395)),"")</f>
        <v>0.95248111855921658</v>
      </c>
      <c r="O50" s="173">
        <f>IFERROR(IF(AND('Key inputs_EB_OWN'!I385/SUM('Key inputs_EB_OWN'!I$376:I$395)&gt;0,'Key inputs_EB_OWN'!I385/SUM('Key inputs_EB_OWN'!I$376:I$395)&lt;0.001),0.001,'Key inputs_EB_OWN'!I385/SUM('Key inputs_EB_OWN'!I$376:I$395)),"")</f>
        <v>0.12912704658679258</v>
      </c>
      <c r="P50" s="173">
        <f>IFERROR(IF(AND('Key inputs_EB_OWN'!J385/SUM('Key inputs_EB_OWN'!J$376:J$395)&gt;0,'Key inputs_EB_OWN'!J385/SUM('Key inputs_EB_OWN'!J$376:J$395)&lt;0.001),0.001,'Key inputs_EB_OWN'!J385/SUM('Key inputs_EB_OWN'!J$376:J$395)),"")</f>
        <v>0.16714174820484395</v>
      </c>
      <c r="Q50" s="173" t="str">
        <f>IFERROR(IF(AND('Key inputs_EB_OWN'!K385/SUM('Key inputs_EB_OWN'!K$376:K$395)&gt;0,'Key inputs_EB_OWN'!K385/SUM('Key inputs_EB_OWN'!K$376:K$395)&lt;0.001),0.001,'Key inputs_EB_OWN'!K385/SUM('Key inputs_EB_OWN'!K$376:K$395)),"")</f>
        <v/>
      </c>
      <c r="R50" s="173" t="str">
        <f>IFERROR(IF(AND('Key inputs_EB_OWN'!L385/SUM('Key inputs_EB_OWN'!L$376:L$395)&gt;0,'Key inputs_EB_OWN'!L385/SUM('Key inputs_EB_OWN'!L$376:L$395)&lt;0.001),0.001,'Key inputs_EB_OWN'!L385/SUM('Key inputs_EB_OWN'!L$376:L$395)),"")</f>
        <v/>
      </c>
      <c r="S50" s="173" t="str">
        <f>IFERROR(IF(AND('Key inputs_EB_OWN'!M385/SUM('Key inputs_EB_OWN'!M$376:M$395)&gt;0,'Key inputs_EB_OWN'!M385/SUM('Key inputs_EB_OWN'!M$376:M$395)&lt;0.001),0.001,'Key inputs_EB_OWN'!M385/SUM('Key inputs_EB_OWN'!M$376:M$395)),"")</f>
        <v/>
      </c>
      <c r="T50" s="173">
        <f>IFERROR(IF(AND('Key inputs_EB_OWN'!N385/SUM('Key inputs_EB_OWN'!N$376:N$395)&gt;0,'Key inputs_EB_OWN'!N385/SUM('Key inputs_EB_OWN'!N$376:N$395)&lt;0.001),0.001,'Key inputs_EB_OWN'!N385/SUM('Key inputs_EB_OWN'!N$376:N$395)),"")</f>
        <v>0.73520905823827087</v>
      </c>
      <c r="U50" s="173" t="str">
        <f>IFERROR(IF(AND('Key inputs_EB_OWN'!O385/SUM('Key inputs_EB_OWN'!O$376:O$395)&gt;0,'Key inputs_EB_OWN'!O385/SUM('Key inputs_EB_OWN'!O$376:O$395)&lt;0.001),0.001,'Key inputs_EB_OWN'!O385/SUM('Key inputs_EB_OWN'!O$376:O$395)),"")</f>
        <v/>
      </c>
      <c r="V50" s="348">
        <f>IFERROR(IF(AND('Key inputs_EB_OWN'!P385/SUM('Key inputs_EB_OWN'!P$376:P$395)&gt;0,'Key inputs_EB_OWN'!P385/SUM('Key inputs_EB_OWN'!P$376:P$395)&lt;0.001),0.001,'Key inputs_EB_OWN'!P385/SUM('Key inputs_EB_OWN'!P$376:P$395)),"")</f>
        <v>0.10322114652007237</v>
      </c>
      <c r="W50" s="173">
        <f>IFERROR(IF(AND('Key inputs_EB_OWN'!Q385/SUM('Key inputs_EB_OWN'!Q$376:Q$395)&gt;0,'Key inputs_EB_OWN'!Q385/SUM('Key inputs_EB_OWN'!Q$376:Q$395)&lt;0.001),0.001,'Key inputs_EB_OWN'!Q385/SUM('Key inputs_EB_OWN'!Q$376:Q$395)),"")</f>
        <v>0.54379602338611466</v>
      </c>
      <c r="X50" s="173">
        <f>IFERROR(IF(AND('Key inputs_EB_OWN'!R385/SUM('Key inputs_EB_OWN'!R$376:R$395)&gt;0,'Key inputs_EB_OWN'!R385/SUM('Key inputs_EB_OWN'!R$376:R$395)&lt;0.001),0.001,'Key inputs_EB_OWN'!R385/SUM('Key inputs_EB_OWN'!R$376:R$395)),"")</f>
        <v>0.82078546850095013</v>
      </c>
      <c r="Y50" s="348">
        <f>IFERROR(IF(AND('Key inputs_EB_OWN'!S385/SUM('Key inputs_EB_OWN'!S$376:S$395)&gt;0,'Key inputs_EB_OWN'!S385/SUM('Key inputs_EB_OWN'!S$376:S$395)&lt;0.001),0.001,'Key inputs_EB_OWN'!S385/SUM('Key inputs_EB_OWN'!S$376:S$395)),"")</f>
        <v>0.51950972962448172</v>
      </c>
      <c r="Z50" s="173" t="str">
        <f>IFERROR(IF(AND('Key inputs_EB_OWN'!T385/SUM('Key inputs_EB_OWN'!T$376:T$395)&gt;0,'Key inputs_EB_OWN'!T385/SUM('Key inputs_EB_OWN'!T$376:T$395)&lt;0.001),0.001,'Key inputs_EB_OWN'!T385/SUM('Key inputs_EB_OWN'!T$376:T$395)),"")</f>
        <v/>
      </c>
      <c r="AA50" s="173" t="str">
        <f>IFERROR(IF(AND('Key inputs_EB_OWN'!U385/SUM('Key inputs_EB_OWN'!U$376:U$395)&gt;0,'Key inputs_EB_OWN'!U385/SUM('Key inputs_EB_OWN'!U$376:U$395)&lt;0.001),0.001,'Key inputs_EB_OWN'!U385/SUM('Key inputs_EB_OWN'!U$376:U$395)),"")</f>
        <v/>
      </c>
      <c r="AB50" s="173">
        <f>IFERROR(IF(AND('Key inputs_EB_OWN'!V385/SUM('Key inputs_EB_OWN'!V$376:V$395)&gt;0,'Key inputs_EB_OWN'!V385/SUM('Key inputs_EB_OWN'!V$376:V$395)&lt;0.001),0.001,'Key inputs_EB_OWN'!V385/SUM('Key inputs_EB_OWN'!V$376:V$395)),"")</f>
        <v>0</v>
      </c>
      <c r="AC50" s="173">
        <f>IFERROR(IF(AND('Key inputs_EB_OWN'!W385/SUM('Key inputs_EB_OWN'!W$376:W$395)&gt;0,'Key inputs_EB_OWN'!W385/SUM('Key inputs_EB_OWN'!W$376:W$395)&lt;0.001),0.001,'Key inputs_EB_OWN'!W385/SUM('Key inputs_EB_OWN'!W$376:W$395)),"")</f>
        <v>0</v>
      </c>
      <c r="AD50" s="173" t="str">
        <f>IFERROR(IF(AND('Key inputs_EB_OWN'!X385/SUM('Key inputs_EB_OWN'!X$376:X$395)&gt;0,'Key inputs_EB_OWN'!X385/SUM('Key inputs_EB_OWN'!X$376:X$395)&lt;0.001),0.001,'Key inputs_EB_OWN'!X385/SUM('Key inputs_EB_OWN'!X$376:X$395)),"")</f>
        <v/>
      </c>
      <c r="AE50" s="173">
        <f>IFERROR(IF(AND('Key inputs_EB_OWN'!Y385/SUM('Key inputs_EB_OWN'!Y$376:Y$395)&gt;0,'Key inputs_EB_OWN'!Y385/SUM('Key inputs_EB_OWN'!Y$376:Y$395)&lt;0.001),0.001,'Key inputs_EB_OWN'!Y385/SUM('Key inputs_EB_OWN'!Y$376:Y$395)),"")</f>
        <v>7.0544175159263142E-3</v>
      </c>
      <c r="AF50" s="173">
        <f>IFERROR(IF(AND('Key inputs_EB_OWN'!Z385/SUM('Key inputs_EB_OWN'!Z$376:Z$395)&gt;0,'Key inputs_EB_OWN'!Z385/SUM('Key inputs_EB_OWN'!Z$376:Z$395)&lt;0.001),0.001,'Key inputs_EB_OWN'!Z385/SUM('Key inputs_EB_OWN'!Z$376:Z$395)),"")</f>
        <v>1</v>
      </c>
      <c r="AG50" s="173" t="str">
        <f>IFERROR(IF(AND('Key inputs_EB_OWN'!AA385/SUM('Key inputs_EB_OWN'!AA$376:AA$395)&gt;0,'Key inputs_EB_OWN'!AA385/SUM('Key inputs_EB_OWN'!AA$376:AA$395)&lt;0.001),0.001,'Key inputs_EB_OWN'!AA385/SUM('Key inputs_EB_OWN'!AA$376:AA$395)),"")</f>
        <v/>
      </c>
      <c r="AH50" s="173" t="str">
        <f>IFERROR(IF(AND('Key inputs_EB_OWN'!AB385/SUM('Key inputs_EB_OWN'!AB$376:AB$395)&gt;0,'Key inputs_EB_OWN'!AB385/SUM('Key inputs_EB_OWN'!AB$376:AB$395)&lt;0.001),0.001,'Key inputs_EB_OWN'!AB385/SUM('Key inputs_EB_OWN'!AB$376:AB$395)),"")</f>
        <v/>
      </c>
      <c r="AI50" s="173" t="str">
        <f>IFERROR(IF(AND('Key inputs_EB_OWN'!AC385/SUM('Key inputs_EB_OWN'!AC$376:AC$395)&gt;0,'Key inputs_EB_OWN'!AC385/SUM('Key inputs_EB_OWN'!AC$376:AC$395)&lt;0.001),0.001,'Key inputs_EB_OWN'!AC385/SUM('Key inputs_EB_OWN'!AC$376:AC$395)),"")</f>
        <v/>
      </c>
      <c r="AJ50" s="173">
        <f>IFERROR(IF(AND('Key inputs_EB_OWN'!AD385/SUM('Key inputs_EB_OWN'!AD$376:AD$395)&gt;0,'Key inputs_EB_OWN'!AD385/SUM('Key inputs_EB_OWN'!AD$376:AD$395)&lt;0.001),0.001,'Key inputs_EB_OWN'!AD385/SUM('Key inputs_EB_OWN'!AD$376:AD$395)),"")</f>
        <v>0.11291848454763694</v>
      </c>
      <c r="AK50" s="173" t="str">
        <f>IFERROR(IF(AND('Key inputs_EB_OWN'!AE385/SUM('Key inputs_EB_OWN'!AE$376:AE$395)&gt;0,'Key inputs_EB_OWN'!AE385/SUM('Key inputs_EB_OWN'!AE$376:AE$395)&lt;0.001),0.001,'Key inputs_EB_OWN'!AE385/SUM('Key inputs_EB_OWN'!AE$376:AE$395)),"")</f>
        <v/>
      </c>
      <c r="AL50" s="173">
        <f>IFERROR(IF(AND('Key inputs_EB_OWN'!AF385/SUM('Key inputs_EB_OWN'!AF$376:AF$395)&gt;0,'Key inputs_EB_OWN'!AF385/SUM('Key inputs_EB_OWN'!AF$376:AF$395)&lt;0.001),0.001,'Key inputs_EB_OWN'!AF385/SUM('Key inputs_EB_OWN'!AF$376:AF$395)),"")</f>
        <v>0.11113305667745181</v>
      </c>
    </row>
    <row r="51" spans="1:38">
      <c r="A51" s="4"/>
      <c r="B51" s="4"/>
      <c r="C51" s="4" t="str">
        <f>Commodities!$C$92</f>
        <v>UPSGAS</v>
      </c>
      <c r="D51" s="4"/>
      <c r="E51" s="4" t="s">
        <v>359</v>
      </c>
      <c r="G51" t="s">
        <v>693</v>
      </c>
      <c r="H51" s="4" t="s">
        <v>661</v>
      </c>
      <c r="I51">
        <v>2019</v>
      </c>
      <c r="J51" t="s">
        <v>650</v>
      </c>
      <c r="K51" s="173">
        <f>IFERROR(IF(AND('Key inputs_EB_OWN'!E386/SUM('Key inputs_EB_OWN'!E$376:E$395)&gt;0,'Key inputs_EB_OWN'!E386/SUM('Key inputs_EB_OWN'!E$376:E$395)&lt;0.001),0.001,'Key inputs_EB_OWN'!E386/SUM('Key inputs_EB_OWN'!E$376:E$395)),"")</f>
        <v>0</v>
      </c>
      <c r="L51" s="173" t="str">
        <f>IFERROR(IF(AND('Key inputs_EB_OWN'!F386/SUM('Key inputs_EB_OWN'!F$376:F$395)&gt;0,'Key inputs_EB_OWN'!F386/SUM('Key inputs_EB_OWN'!F$376:F$395)&lt;0.001),0.001,'Key inputs_EB_OWN'!F386/SUM('Key inputs_EB_OWN'!F$376:F$395)),"")</f>
        <v/>
      </c>
      <c r="M51" s="173" t="str">
        <f>IFERROR(IF(AND('Key inputs_EB_OWN'!G386/SUM('Key inputs_EB_OWN'!G$376:G$395)&gt;0,'Key inputs_EB_OWN'!G386/SUM('Key inputs_EB_OWN'!G$376:G$395)&lt;0.001),0.001,'Key inputs_EB_OWN'!G386/SUM('Key inputs_EB_OWN'!G$376:G$395)),"")</f>
        <v/>
      </c>
      <c r="N51" s="173">
        <f>IFERROR(IF(AND('Key inputs_EB_OWN'!H386/SUM('Key inputs_EB_OWN'!H$376:H$395)&gt;0,'Key inputs_EB_OWN'!H386/SUM('Key inputs_EB_OWN'!H$376:H$395)&lt;0.001),0.001,'Key inputs_EB_OWN'!H386/SUM('Key inputs_EB_OWN'!H$376:H$395)),"")</f>
        <v>0</v>
      </c>
      <c r="O51" s="173">
        <f>IFERROR(IF(AND('Key inputs_EB_OWN'!I386/SUM('Key inputs_EB_OWN'!I$376:I$395)&gt;0,'Key inputs_EB_OWN'!I386/SUM('Key inputs_EB_OWN'!I$376:I$395)&lt;0.001),0.001,'Key inputs_EB_OWN'!I386/SUM('Key inputs_EB_OWN'!I$376:I$395)),"")</f>
        <v>1E-3</v>
      </c>
      <c r="P51" s="173">
        <f>IFERROR(IF(AND('Key inputs_EB_OWN'!J386/SUM('Key inputs_EB_OWN'!J$376:J$395)&gt;0,'Key inputs_EB_OWN'!J386/SUM('Key inputs_EB_OWN'!J$376:J$395)&lt;0.001),0.001,'Key inputs_EB_OWN'!J386/SUM('Key inputs_EB_OWN'!J$376:J$395)),"")</f>
        <v>0</v>
      </c>
      <c r="Q51" s="173" t="str">
        <f>IFERROR(IF(AND('Key inputs_EB_OWN'!K386/SUM('Key inputs_EB_OWN'!K$376:K$395)&gt;0,'Key inputs_EB_OWN'!K386/SUM('Key inputs_EB_OWN'!K$376:K$395)&lt;0.001),0.001,'Key inputs_EB_OWN'!K386/SUM('Key inputs_EB_OWN'!K$376:K$395)),"")</f>
        <v/>
      </c>
      <c r="R51" s="173" t="str">
        <f>IFERROR(IF(AND('Key inputs_EB_OWN'!L386/SUM('Key inputs_EB_OWN'!L$376:L$395)&gt;0,'Key inputs_EB_OWN'!L386/SUM('Key inputs_EB_OWN'!L$376:L$395)&lt;0.001),0.001,'Key inputs_EB_OWN'!L386/SUM('Key inputs_EB_OWN'!L$376:L$395)),"")</f>
        <v/>
      </c>
      <c r="S51" s="173" t="str">
        <f>IFERROR(IF(AND('Key inputs_EB_OWN'!M386/SUM('Key inputs_EB_OWN'!M$376:M$395)&gt;0,'Key inputs_EB_OWN'!M386/SUM('Key inputs_EB_OWN'!M$376:M$395)&lt;0.001),0.001,'Key inputs_EB_OWN'!M386/SUM('Key inputs_EB_OWN'!M$376:M$395)),"")</f>
        <v/>
      </c>
      <c r="T51" s="173">
        <f>IFERROR(IF(AND('Key inputs_EB_OWN'!N386/SUM('Key inputs_EB_OWN'!N$376:N$395)&gt;0,'Key inputs_EB_OWN'!N386/SUM('Key inputs_EB_OWN'!N$376:N$395)&lt;0.001),0.001,'Key inputs_EB_OWN'!N386/SUM('Key inputs_EB_OWN'!N$376:N$395)),"")</f>
        <v>0.26479094176172907</v>
      </c>
      <c r="U51" s="173" t="str">
        <f>IFERROR(IF(AND('Key inputs_EB_OWN'!O386/SUM('Key inputs_EB_OWN'!O$376:O$395)&gt;0,'Key inputs_EB_OWN'!O386/SUM('Key inputs_EB_OWN'!O$376:O$395)&lt;0.001),0.001,'Key inputs_EB_OWN'!O386/SUM('Key inputs_EB_OWN'!O$376:O$395)),"")</f>
        <v/>
      </c>
      <c r="V51" s="348">
        <f>IFERROR(IF(AND('Key inputs_EB_OWN'!P386/SUM('Key inputs_EB_OWN'!P$376:P$395)&gt;0,'Key inputs_EB_OWN'!P386/SUM('Key inputs_EB_OWN'!P$376:P$395)&lt;0.001),0.001,'Key inputs_EB_OWN'!P386/SUM('Key inputs_EB_OWN'!P$376:P$395)),"")</f>
        <v>1.6503184333684234E-2</v>
      </c>
      <c r="W51" s="173">
        <f>IFERROR(IF(AND('Key inputs_EB_OWN'!Q386/SUM('Key inputs_EB_OWN'!Q$376:Q$395)&gt;0,'Key inputs_EB_OWN'!Q386/SUM('Key inputs_EB_OWN'!Q$376:Q$395)&lt;0.001),0.001,'Key inputs_EB_OWN'!Q386/SUM('Key inputs_EB_OWN'!Q$376:Q$395)),"")</f>
        <v>0</v>
      </c>
      <c r="X51" s="173">
        <f>IFERROR(IF(AND('Key inputs_EB_OWN'!R386/SUM('Key inputs_EB_OWN'!R$376:R$395)&gt;0,'Key inputs_EB_OWN'!R386/SUM('Key inputs_EB_OWN'!R$376:R$395)&lt;0.001),0.001,'Key inputs_EB_OWN'!R386/SUM('Key inputs_EB_OWN'!R$376:R$395)),"")</f>
        <v>0.1650217679358523</v>
      </c>
      <c r="Y51" s="348">
        <f>IFERROR(IF(AND('Key inputs_EB_OWN'!S386/SUM('Key inputs_EB_OWN'!S$376:S$395)&gt;0,'Key inputs_EB_OWN'!S386/SUM('Key inputs_EB_OWN'!S$376:S$395)&lt;0.001),0.001,'Key inputs_EB_OWN'!S386/SUM('Key inputs_EB_OWN'!S$376:S$395)),"")</f>
        <v>8.5812347000717229E-3</v>
      </c>
      <c r="Z51" s="173" t="str">
        <f>IFERROR(IF(AND('Key inputs_EB_OWN'!T386/SUM('Key inputs_EB_OWN'!T$376:T$395)&gt;0,'Key inputs_EB_OWN'!T386/SUM('Key inputs_EB_OWN'!T$376:T$395)&lt;0.001),0.001,'Key inputs_EB_OWN'!T386/SUM('Key inputs_EB_OWN'!T$376:T$395)),"")</f>
        <v/>
      </c>
      <c r="AA51" s="173" t="str">
        <f>IFERROR(IF(AND('Key inputs_EB_OWN'!U386/SUM('Key inputs_EB_OWN'!U$376:U$395)&gt;0,'Key inputs_EB_OWN'!U386/SUM('Key inputs_EB_OWN'!U$376:U$395)&lt;0.001),0.001,'Key inputs_EB_OWN'!U386/SUM('Key inputs_EB_OWN'!U$376:U$395)),"")</f>
        <v/>
      </c>
      <c r="AB51" s="173">
        <f>IFERROR(IF(AND('Key inputs_EB_OWN'!V386/SUM('Key inputs_EB_OWN'!V$376:V$395)&gt;0,'Key inputs_EB_OWN'!V386/SUM('Key inputs_EB_OWN'!V$376:V$395)&lt;0.001),0.001,'Key inputs_EB_OWN'!V386/SUM('Key inputs_EB_OWN'!V$376:V$395)),"")</f>
        <v>0</v>
      </c>
      <c r="AC51" s="173">
        <f>IFERROR(IF(AND('Key inputs_EB_OWN'!W386/SUM('Key inputs_EB_OWN'!W$376:W$395)&gt;0,'Key inputs_EB_OWN'!W386/SUM('Key inputs_EB_OWN'!W$376:W$395)&lt;0.001),0.001,'Key inputs_EB_OWN'!W386/SUM('Key inputs_EB_OWN'!W$376:W$395)),"")</f>
        <v>0</v>
      </c>
      <c r="AD51" s="173" t="str">
        <f>IFERROR(IF(AND('Key inputs_EB_OWN'!X386/SUM('Key inputs_EB_OWN'!X$376:X$395)&gt;0,'Key inputs_EB_OWN'!X386/SUM('Key inputs_EB_OWN'!X$376:X$395)&lt;0.001),0.001,'Key inputs_EB_OWN'!X386/SUM('Key inputs_EB_OWN'!X$376:X$395)),"")</f>
        <v/>
      </c>
      <c r="AE51" s="173">
        <f>IFERROR(IF(AND('Key inputs_EB_OWN'!Y386/SUM('Key inputs_EB_OWN'!Y$376:Y$395)&gt;0,'Key inputs_EB_OWN'!Y386/SUM('Key inputs_EB_OWN'!Y$376:Y$395)&lt;0.001),0.001,'Key inputs_EB_OWN'!Y386/SUM('Key inputs_EB_OWN'!Y$376:Y$395)),"")</f>
        <v>0.99294558248407372</v>
      </c>
      <c r="AF51" s="173">
        <f>IFERROR(IF(AND('Key inputs_EB_OWN'!Z386/SUM('Key inputs_EB_OWN'!Z$376:Z$395)&gt;0,'Key inputs_EB_OWN'!Z386/SUM('Key inputs_EB_OWN'!Z$376:Z$395)&lt;0.001),0.001,'Key inputs_EB_OWN'!Z386/SUM('Key inputs_EB_OWN'!Z$376:Z$395)),"")</f>
        <v>0</v>
      </c>
      <c r="AG51" s="173" t="str">
        <f>IFERROR(IF(AND('Key inputs_EB_OWN'!AA386/SUM('Key inputs_EB_OWN'!AA$376:AA$395)&gt;0,'Key inputs_EB_OWN'!AA386/SUM('Key inputs_EB_OWN'!AA$376:AA$395)&lt;0.001),0.001,'Key inputs_EB_OWN'!AA386/SUM('Key inputs_EB_OWN'!AA$376:AA$395)),"")</f>
        <v/>
      </c>
      <c r="AH51" s="173" t="str">
        <f>IFERROR(IF(AND('Key inputs_EB_OWN'!AB386/SUM('Key inputs_EB_OWN'!AB$376:AB$395)&gt;0,'Key inputs_EB_OWN'!AB386/SUM('Key inputs_EB_OWN'!AB$376:AB$395)&lt;0.001),0.001,'Key inputs_EB_OWN'!AB386/SUM('Key inputs_EB_OWN'!AB$376:AB$395)),"")</f>
        <v/>
      </c>
      <c r="AI51" s="173" t="str">
        <f>IFERROR(IF(AND('Key inputs_EB_OWN'!AC386/SUM('Key inputs_EB_OWN'!AC$376:AC$395)&gt;0,'Key inputs_EB_OWN'!AC386/SUM('Key inputs_EB_OWN'!AC$376:AC$395)&lt;0.001),0.001,'Key inputs_EB_OWN'!AC386/SUM('Key inputs_EB_OWN'!AC$376:AC$395)),"")</f>
        <v/>
      </c>
      <c r="AJ51" s="173">
        <f>IFERROR(IF(AND('Key inputs_EB_OWN'!AD386/SUM('Key inputs_EB_OWN'!AD$376:AD$395)&gt;0,'Key inputs_EB_OWN'!AD386/SUM('Key inputs_EB_OWN'!AD$376:AD$395)&lt;0.001),0.001,'Key inputs_EB_OWN'!AD386/SUM('Key inputs_EB_OWN'!AD$376:AD$395)),"")</f>
        <v>0</v>
      </c>
      <c r="AK51" s="173" t="str">
        <f>IFERROR(IF(AND('Key inputs_EB_OWN'!AE386/SUM('Key inputs_EB_OWN'!AE$376:AE$395)&gt;0,'Key inputs_EB_OWN'!AE386/SUM('Key inputs_EB_OWN'!AE$376:AE$395)&lt;0.001),0.001,'Key inputs_EB_OWN'!AE386/SUM('Key inputs_EB_OWN'!AE$376:AE$395)),"")</f>
        <v/>
      </c>
      <c r="AL51" s="173">
        <f>IFERROR(IF(AND('Key inputs_EB_OWN'!AF386/SUM('Key inputs_EB_OWN'!AF$376:AF$395)&gt;0,'Key inputs_EB_OWN'!AF386/SUM('Key inputs_EB_OWN'!AF$376:AF$395)&lt;0.001),0.001,'Key inputs_EB_OWN'!AF386/SUM('Key inputs_EB_OWN'!AF$376:AF$395)),"")</f>
        <v>5.1167070825670676E-3</v>
      </c>
    </row>
    <row r="52" spans="1:38">
      <c r="A52" s="4"/>
      <c r="B52" s="4"/>
      <c r="C52" s="4" t="str">
        <f>Commodities!$C$93</f>
        <v>UPSGSL</v>
      </c>
      <c r="D52" s="4"/>
      <c r="E52" s="4" t="s">
        <v>359</v>
      </c>
      <c r="G52" t="s">
        <v>693</v>
      </c>
      <c r="H52" s="4" t="s">
        <v>661</v>
      </c>
      <c r="I52">
        <v>2019</v>
      </c>
      <c r="J52" t="s">
        <v>650</v>
      </c>
      <c r="K52" s="173">
        <f>IFERROR(IF(AND('Key inputs_EB_OWN'!E387/SUM('Key inputs_EB_OWN'!E$376:E$395)&gt;0,'Key inputs_EB_OWN'!E387/SUM('Key inputs_EB_OWN'!E$376:E$395)&lt;0.001),0.001,'Key inputs_EB_OWN'!E387/SUM('Key inputs_EB_OWN'!E$376:E$395)),"")</f>
        <v>0</v>
      </c>
      <c r="L52" s="173" t="str">
        <f>IFERROR(IF(AND('Key inputs_EB_OWN'!F387/SUM('Key inputs_EB_OWN'!F$376:F$395)&gt;0,'Key inputs_EB_OWN'!F387/SUM('Key inputs_EB_OWN'!F$376:F$395)&lt;0.001),0.001,'Key inputs_EB_OWN'!F387/SUM('Key inputs_EB_OWN'!F$376:F$395)),"")</f>
        <v/>
      </c>
      <c r="M52" s="173" t="str">
        <f>IFERROR(IF(AND('Key inputs_EB_OWN'!G387/SUM('Key inputs_EB_OWN'!G$376:G$395)&gt;0,'Key inputs_EB_OWN'!G387/SUM('Key inputs_EB_OWN'!G$376:G$395)&lt;0.001),0.001,'Key inputs_EB_OWN'!G387/SUM('Key inputs_EB_OWN'!G$376:G$395)),"")</f>
        <v/>
      </c>
      <c r="N52" s="173">
        <f>IFERROR(IF(AND('Key inputs_EB_OWN'!H387/SUM('Key inputs_EB_OWN'!H$376:H$395)&gt;0,'Key inputs_EB_OWN'!H387/SUM('Key inputs_EB_OWN'!H$376:H$395)&lt;0.001),0.001,'Key inputs_EB_OWN'!H387/SUM('Key inputs_EB_OWN'!H$376:H$395)),"")</f>
        <v>0</v>
      </c>
      <c r="O52" s="173">
        <f>IFERROR(IF(AND('Key inputs_EB_OWN'!I387/SUM('Key inputs_EB_OWN'!I$376:I$395)&gt;0,'Key inputs_EB_OWN'!I387/SUM('Key inputs_EB_OWN'!I$376:I$395)&lt;0.001),0.001,'Key inputs_EB_OWN'!I387/SUM('Key inputs_EB_OWN'!I$376:I$395)),"")</f>
        <v>1E-3</v>
      </c>
      <c r="P52" s="173">
        <f>IFERROR(IF(AND('Key inputs_EB_OWN'!J387/SUM('Key inputs_EB_OWN'!J$376:J$395)&gt;0,'Key inputs_EB_OWN'!J387/SUM('Key inputs_EB_OWN'!J$376:J$395)&lt;0.001),0.001,'Key inputs_EB_OWN'!J387/SUM('Key inputs_EB_OWN'!J$376:J$395)),"")</f>
        <v>0</v>
      </c>
      <c r="Q52" s="173" t="str">
        <f>IFERROR(IF(AND('Key inputs_EB_OWN'!K387/SUM('Key inputs_EB_OWN'!K$376:K$395)&gt;0,'Key inputs_EB_OWN'!K387/SUM('Key inputs_EB_OWN'!K$376:K$395)&lt;0.001),0.001,'Key inputs_EB_OWN'!K387/SUM('Key inputs_EB_OWN'!K$376:K$395)),"")</f>
        <v/>
      </c>
      <c r="R52" s="173" t="str">
        <f>IFERROR(IF(AND('Key inputs_EB_OWN'!L387/SUM('Key inputs_EB_OWN'!L$376:L$395)&gt;0,'Key inputs_EB_OWN'!L387/SUM('Key inputs_EB_OWN'!L$376:L$395)&lt;0.001),0.001,'Key inputs_EB_OWN'!L387/SUM('Key inputs_EB_OWN'!L$376:L$395)),"")</f>
        <v/>
      </c>
      <c r="S52" s="173" t="str">
        <f>IFERROR(IF(AND('Key inputs_EB_OWN'!M387/SUM('Key inputs_EB_OWN'!M$376:M$395)&gt;0,'Key inputs_EB_OWN'!M387/SUM('Key inputs_EB_OWN'!M$376:M$395)&lt;0.001),0.001,'Key inputs_EB_OWN'!M387/SUM('Key inputs_EB_OWN'!M$376:M$395)),"")</f>
        <v/>
      </c>
      <c r="T52" s="173">
        <f>IFERROR(IF(AND('Key inputs_EB_OWN'!N387/SUM('Key inputs_EB_OWN'!N$376:N$395)&gt;0,'Key inputs_EB_OWN'!N387/SUM('Key inputs_EB_OWN'!N$376:N$395)&lt;0.001),0.001,'Key inputs_EB_OWN'!N387/SUM('Key inputs_EB_OWN'!N$376:N$395)),"")</f>
        <v>0</v>
      </c>
      <c r="U52" s="173" t="str">
        <f>IFERROR(IF(AND('Key inputs_EB_OWN'!O387/SUM('Key inputs_EB_OWN'!O$376:O$395)&gt;0,'Key inputs_EB_OWN'!O387/SUM('Key inputs_EB_OWN'!O$376:O$395)&lt;0.001),0.001,'Key inputs_EB_OWN'!O387/SUM('Key inputs_EB_OWN'!O$376:O$395)),"")</f>
        <v/>
      </c>
      <c r="V52" s="348">
        <f>IFERROR(IF(AND('Key inputs_EB_OWN'!P387/SUM('Key inputs_EB_OWN'!P$376:P$395)&gt;0,'Key inputs_EB_OWN'!P387/SUM('Key inputs_EB_OWN'!P$376:P$395)&lt;0.001),0.001,'Key inputs_EB_OWN'!P387/SUM('Key inputs_EB_OWN'!P$376:P$395)),"")</f>
        <v>1E-3</v>
      </c>
      <c r="W52" s="173">
        <f>IFERROR(IF(AND('Key inputs_EB_OWN'!Q387/SUM('Key inputs_EB_OWN'!Q$376:Q$395)&gt;0,'Key inputs_EB_OWN'!Q387/SUM('Key inputs_EB_OWN'!Q$376:Q$395)&lt;0.001),0.001,'Key inputs_EB_OWN'!Q387/SUM('Key inputs_EB_OWN'!Q$376:Q$395)),"")</f>
        <v>0</v>
      </c>
      <c r="X52" s="173">
        <f>IFERROR(IF(AND('Key inputs_EB_OWN'!R387/SUM('Key inputs_EB_OWN'!R$376:R$395)&gt;0,'Key inputs_EB_OWN'!R387/SUM('Key inputs_EB_OWN'!R$376:R$395)&lt;0.001),0.001,'Key inputs_EB_OWN'!R387/SUM('Key inputs_EB_OWN'!R$376:R$395)),"")</f>
        <v>0</v>
      </c>
      <c r="Y52" s="348">
        <f>IFERROR(IF(AND('Key inputs_EB_OWN'!S387/SUM('Key inputs_EB_OWN'!S$376:S$395)&gt;0,'Key inputs_EB_OWN'!S387/SUM('Key inputs_EB_OWN'!S$376:S$395)&lt;0.001),0.001,'Key inputs_EB_OWN'!S387/SUM('Key inputs_EB_OWN'!S$376:S$395)),"")</f>
        <v>1E-3</v>
      </c>
      <c r="Z52" s="173" t="str">
        <f>IFERROR(IF(AND('Key inputs_EB_OWN'!T387/SUM('Key inputs_EB_OWN'!T$376:T$395)&gt;0,'Key inputs_EB_OWN'!T387/SUM('Key inputs_EB_OWN'!T$376:T$395)&lt;0.001),0.001,'Key inputs_EB_OWN'!T387/SUM('Key inputs_EB_OWN'!T$376:T$395)),"")</f>
        <v/>
      </c>
      <c r="AA52" s="173" t="str">
        <f>IFERROR(IF(AND('Key inputs_EB_OWN'!U387/SUM('Key inputs_EB_OWN'!U$376:U$395)&gt;0,'Key inputs_EB_OWN'!U387/SUM('Key inputs_EB_OWN'!U$376:U$395)&lt;0.001),0.001,'Key inputs_EB_OWN'!U387/SUM('Key inputs_EB_OWN'!U$376:U$395)),"")</f>
        <v/>
      </c>
      <c r="AB52" s="173">
        <f>IFERROR(IF(AND('Key inputs_EB_OWN'!V387/SUM('Key inputs_EB_OWN'!V$376:V$395)&gt;0,'Key inputs_EB_OWN'!V387/SUM('Key inputs_EB_OWN'!V$376:V$395)&lt;0.001),0.001,'Key inputs_EB_OWN'!V387/SUM('Key inputs_EB_OWN'!V$376:V$395)),"")</f>
        <v>0</v>
      </c>
      <c r="AC52" s="173">
        <f>IFERROR(IF(AND('Key inputs_EB_OWN'!W387/SUM('Key inputs_EB_OWN'!W$376:W$395)&gt;0,'Key inputs_EB_OWN'!W387/SUM('Key inputs_EB_OWN'!W$376:W$395)&lt;0.001),0.001,'Key inputs_EB_OWN'!W387/SUM('Key inputs_EB_OWN'!W$376:W$395)),"")</f>
        <v>0</v>
      </c>
      <c r="AD52" s="173" t="str">
        <f>IFERROR(IF(AND('Key inputs_EB_OWN'!X387/SUM('Key inputs_EB_OWN'!X$376:X$395)&gt;0,'Key inputs_EB_OWN'!X387/SUM('Key inputs_EB_OWN'!X$376:X$395)&lt;0.001),0.001,'Key inputs_EB_OWN'!X387/SUM('Key inputs_EB_OWN'!X$376:X$395)),"")</f>
        <v/>
      </c>
      <c r="AE52" s="173">
        <f>IFERROR(IF(AND('Key inputs_EB_OWN'!Y387/SUM('Key inputs_EB_OWN'!Y$376:Y$395)&gt;0,'Key inputs_EB_OWN'!Y387/SUM('Key inputs_EB_OWN'!Y$376:Y$395)&lt;0.001),0.001,'Key inputs_EB_OWN'!Y387/SUM('Key inputs_EB_OWN'!Y$376:Y$395)),"")</f>
        <v>0</v>
      </c>
      <c r="AF52" s="173">
        <f>IFERROR(IF(AND('Key inputs_EB_OWN'!Z387/SUM('Key inputs_EB_OWN'!Z$376:Z$395)&gt;0,'Key inputs_EB_OWN'!Z387/SUM('Key inputs_EB_OWN'!Z$376:Z$395)&lt;0.001),0.001,'Key inputs_EB_OWN'!Z387/SUM('Key inputs_EB_OWN'!Z$376:Z$395)),"")</f>
        <v>0</v>
      </c>
      <c r="AG52" s="173" t="str">
        <f>IFERROR(IF(AND('Key inputs_EB_OWN'!AA387/SUM('Key inputs_EB_OWN'!AA$376:AA$395)&gt;0,'Key inputs_EB_OWN'!AA387/SUM('Key inputs_EB_OWN'!AA$376:AA$395)&lt;0.001),0.001,'Key inputs_EB_OWN'!AA387/SUM('Key inputs_EB_OWN'!AA$376:AA$395)),"")</f>
        <v/>
      </c>
      <c r="AH52" s="173" t="str">
        <f>IFERROR(IF(AND('Key inputs_EB_OWN'!AB387/SUM('Key inputs_EB_OWN'!AB$376:AB$395)&gt;0,'Key inputs_EB_OWN'!AB387/SUM('Key inputs_EB_OWN'!AB$376:AB$395)&lt;0.001),0.001,'Key inputs_EB_OWN'!AB387/SUM('Key inputs_EB_OWN'!AB$376:AB$395)),"")</f>
        <v/>
      </c>
      <c r="AI52" s="173" t="str">
        <f>IFERROR(IF(AND('Key inputs_EB_OWN'!AC387/SUM('Key inputs_EB_OWN'!AC$376:AC$395)&gt;0,'Key inputs_EB_OWN'!AC387/SUM('Key inputs_EB_OWN'!AC$376:AC$395)&lt;0.001),0.001,'Key inputs_EB_OWN'!AC387/SUM('Key inputs_EB_OWN'!AC$376:AC$395)),"")</f>
        <v/>
      </c>
      <c r="AJ52" s="173">
        <f>IFERROR(IF(AND('Key inputs_EB_OWN'!AD387/SUM('Key inputs_EB_OWN'!AD$376:AD$395)&gt;0,'Key inputs_EB_OWN'!AD387/SUM('Key inputs_EB_OWN'!AD$376:AD$395)&lt;0.001),0.001,'Key inputs_EB_OWN'!AD387/SUM('Key inputs_EB_OWN'!AD$376:AD$395)),"")</f>
        <v>0</v>
      </c>
      <c r="AK52" s="173" t="str">
        <f>IFERROR(IF(AND('Key inputs_EB_OWN'!AE387/SUM('Key inputs_EB_OWN'!AE$376:AE$395)&gt;0,'Key inputs_EB_OWN'!AE387/SUM('Key inputs_EB_OWN'!AE$376:AE$395)&lt;0.001),0.001,'Key inputs_EB_OWN'!AE387/SUM('Key inputs_EB_OWN'!AE$376:AE$395)),"")</f>
        <v/>
      </c>
      <c r="AL52" s="173">
        <f>IFERROR(IF(AND('Key inputs_EB_OWN'!AF387/SUM('Key inputs_EB_OWN'!AF$376:AF$395)&gt;0,'Key inputs_EB_OWN'!AF387/SUM('Key inputs_EB_OWN'!AF$376:AF$395)&lt;0.001),0.001,'Key inputs_EB_OWN'!AF387/SUM('Key inputs_EB_OWN'!AF$376:AF$395)),"")</f>
        <v>0.39052267756989234</v>
      </c>
    </row>
    <row r="53" spans="1:38">
      <c r="A53" s="4"/>
      <c r="B53" s="4"/>
      <c r="C53" s="4" t="str">
        <f>Commodities!$C$94</f>
        <v>UPSHET</v>
      </c>
      <c r="D53" s="4"/>
      <c r="E53" s="4" t="s">
        <v>359</v>
      </c>
      <c r="G53" t="s">
        <v>693</v>
      </c>
      <c r="H53" s="4" t="s">
        <v>661</v>
      </c>
      <c r="I53">
        <v>2019</v>
      </c>
      <c r="J53" t="s">
        <v>650</v>
      </c>
      <c r="K53" s="173">
        <f>IFERROR(IF(AND('Key inputs_EB_OWN'!E388/SUM('Key inputs_EB_OWN'!E$376:E$395)&gt;0,'Key inputs_EB_OWN'!E388/SUM('Key inputs_EB_OWN'!E$376:E$395)&lt;0.001),0.001,'Key inputs_EB_OWN'!E388/SUM('Key inputs_EB_OWN'!E$376:E$395)),"")</f>
        <v>0</v>
      </c>
      <c r="L53" s="173" t="str">
        <f>IFERROR(IF(AND('Key inputs_EB_OWN'!F388/SUM('Key inputs_EB_OWN'!F$376:F$395)&gt;0,'Key inputs_EB_OWN'!F388/SUM('Key inputs_EB_OWN'!F$376:F$395)&lt;0.001),0.001,'Key inputs_EB_OWN'!F388/SUM('Key inputs_EB_OWN'!F$376:F$395)),"")</f>
        <v/>
      </c>
      <c r="M53" s="173" t="str">
        <f>IFERROR(IF(AND('Key inputs_EB_OWN'!G388/SUM('Key inputs_EB_OWN'!G$376:G$395)&gt;0,'Key inputs_EB_OWN'!G388/SUM('Key inputs_EB_OWN'!G$376:G$395)&lt;0.001),0.001,'Key inputs_EB_OWN'!G388/SUM('Key inputs_EB_OWN'!G$376:G$395)),"")</f>
        <v/>
      </c>
      <c r="N53" s="173">
        <f>IFERROR(IF(AND('Key inputs_EB_OWN'!H388/SUM('Key inputs_EB_OWN'!H$376:H$395)&gt;0,'Key inputs_EB_OWN'!H388/SUM('Key inputs_EB_OWN'!H$376:H$395)&lt;0.001),0.001,'Key inputs_EB_OWN'!H388/SUM('Key inputs_EB_OWN'!H$376:H$395)),"")</f>
        <v>0</v>
      </c>
      <c r="O53" s="173">
        <f>IFERROR(IF(AND('Key inputs_EB_OWN'!I388/SUM('Key inputs_EB_OWN'!I$376:I$395)&gt;0,'Key inputs_EB_OWN'!I388/SUM('Key inputs_EB_OWN'!I$376:I$395)&lt;0.001),0.001,'Key inputs_EB_OWN'!I388/SUM('Key inputs_EB_OWN'!I$376:I$395)),"")</f>
        <v>0</v>
      </c>
      <c r="P53" s="173">
        <f>IFERROR(IF(AND('Key inputs_EB_OWN'!J388/SUM('Key inputs_EB_OWN'!J$376:J$395)&gt;0,'Key inputs_EB_OWN'!J388/SUM('Key inputs_EB_OWN'!J$376:J$395)&lt;0.001),0.001,'Key inputs_EB_OWN'!J388/SUM('Key inputs_EB_OWN'!J$376:J$395)),"")</f>
        <v>4.3351861626659091E-2</v>
      </c>
      <c r="Q53" s="173" t="str">
        <f>IFERROR(IF(AND('Key inputs_EB_OWN'!K388/SUM('Key inputs_EB_OWN'!K$376:K$395)&gt;0,'Key inputs_EB_OWN'!K388/SUM('Key inputs_EB_OWN'!K$376:K$395)&lt;0.001),0.001,'Key inputs_EB_OWN'!K388/SUM('Key inputs_EB_OWN'!K$376:K$395)),"")</f>
        <v/>
      </c>
      <c r="R53" s="173" t="str">
        <f>IFERROR(IF(AND('Key inputs_EB_OWN'!L388/SUM('Key inputs_EB_OWN'!L$376:L$395)&gt;0,'Key inputs_EB_OWN'!L388/SUM('Key inputs_EB_OWN'!L$376:L$395)&lt;0.001),0.001,'Key inputs_EB_OWN'!L388/SUM('Key inputs_EB_OWN'!L$376:L$395)),"")</f>
        <v/>
      </c>
      <c r="S53" s="173" t="str">
        <f>IFERROR(IF(AND('Key inputs_EB_OWN'!M388/SUM('Key inputs_EB_OWN'!M$376:M$395)&gt;0,'Key inputs_EB_OWN'!M388/SUM('Key inputs_EB_OWN'!M$376:M$395)&lt;0.001),0.001,'Key inputs_EB_OWN'!M388/SUM('Key inputs_EB_OWN'!M$376:M$395)),"")</f>
        <v/>
      </c>
      <c r="T53" s="173">
        <f>IFERROR(IF(AND('Key inputs_EB_OWN'!N388/SUM('Key inputs_EB_OWN'!N$376:N$395)&gt;0,'Key inputs_EB_OWN'!N388/SUM('Key inputs_EB_OWN'!N$376:N$395)&lt;0.001),0.001,'Key inputs_EB_OWN'!N388/SUM('Key inputs_EB_OWN'!N$376:N$395)),"")</f>
        <v>0</v>
      </c>
      <c r="U53" s="173" t="str">
        <f>IFERROR(IF(AND('Key inputs_EB_OWN'!O388/SUM('Key inputs_EB_OWN'!O$376:O$395)&gt;0,'Key inputs_EB_OWN'!O388/SUM('Key inputs_EB_OWN'!O$376:O$395)&lt;0.001),0.001,'Key inputs_EB_OWN'!O388/SUM('Key inputs_EB_OWN'!O$376:O$395)),"")</f>
        <v/>
      </c>
      <c r="V53" s="348">
        <f>IFERROR(IF(AND('Key inputs_EB_OWN'!P388/SUM('Key inputs_EB_OWN'!P$376:P$395)&gt;0,'Key inputs_EB_OWN'!P388/SUM('Key inputs_EB_OWN'!P$376:P$395)&lt;0.001),0.001,'Key inputs_EB_OWN'!P388/SUM('Key inputs_EB_OWN'!P$376:P$395)),"")</f>
        <v>2.0464876305970221E-3</v>
      </c>
      <c r="W53" s="173">
        <f>IFERROR(IF(AND('Key inputs_EB_OWN'!Q388/SUM('Key inputs_EB_OWN'!Q$376:Q$395)&gt;0,'Key inputs_EB_OWN'!Q388/SUM('Key inputs_EB_OWN'!Q$376:Q$395)&lt;0.001),0.001,'Key inputs_EB_OWN'!Q388/SUM('Key inputs_EB_OWN'!Q$376:Q$395)),"")</f>
        <v>0.15216508100242465</v>
      </c>
      <c r="X53" s="173">
        <f>IFERROR(IF(AND('Key inputs_EB_OWN'!R388/SUM('Key inputs_EB_OWN'!R$376:R$395)&gt;0,'Key inputs_EB_OWN'!R388/SUM('Key inputs_EB_OWN'!R$376:R$395)&lt;0.001),0.001,'Key inputs_EB_OWN'!R388/SUM('Key inputs_EB_OWN'!R$376:R$395)),"")</f>
        <v>0</v>
      </c>
      <c r="Y53" s="348">
        <f>IFERROR(IF(AND('Key inputs_EB_OWN'!S388/SUM('Key inputs_EB_OWN'!S$376:S$395)&gt;0,'Key inputs_EB_OWN'!S388/SUM('Key inputs_EB_OWN'!S$376:S$395)&lt;0.001),0.001,'Key inputs_EB_OWN'!S388/SUM('Key inputs_EB_OWN'!S$376:S$395)),"")</f>
        <v>8.794960374333953E-2</v>
      </c>
      <c r="Z53" s="173" t="str">
        <f>IFERROR(IF(AND('Key inputs_EB_OWN'!T388/SUM('Key inputs_EB_OWN'!T$376:T$395)&gt;0,'Key inputs_EB_OWN'!T388/SUM('Key inputs_EB_OWN'!T$376:T$395)&lt;0.001),0.001,'Key inputs_EB_OWN'!T388/SUM('Key inputs_EB_OWN'!T$376:T$395)),"")</f>
        <v/>
      </c>
      <c r="AA53" s="173" t="str">
        <f>IFERROR(IF(AND('Key inputs_EB_OWN'!U388/SUM('Key inputs_EB_OWN'!U$376:U$395)&gt;0,'Key inputs_EB_OWN'!U388/SUM('Key inputs_EB_OWN'!U$376:U$395)&lt;0.001),0.001,'Key inputs_EB_OWN'!U388/SUM('Key inputs_EB_OWN'!U$376:U$395)),"")</f>
        <v/>
      </c>
      <c r="AB53" s="173">
        <f>IFERROR(IF(AND('Key inputs_EB_OWN'!V388/SUM('Key inputs_EB_OWN'!V$376:V$395)&gt;0,'Key inputs_EB_OWN'!V388/SUM('Key inputs_EB_OWN'!V$376:V$395)&lt;0.001),0.001,'Key inputs_EB_OWN'!V388/SUM('Key inputs_EB_OWN'!V$376:V$395)),"")</f>
        <v>0</v>
      </c>
      <c r="AC53" s="173">
        <f>IFERROR(IF(AND('Key inputs_EB_OWN'!W388/SUM('Key inputs_EB_OWN'!W$376:W$395)&gt;0,'Key inputs_EB_OWN'!W388/SUM('Key inputs_EB_OWN'!W$376:W$395)&lt;0.001),0.001,'Key inputs_EB_OWN'!W388/SUM('Key inputs_EB_OWN'!W$376:W$395)),"")</f>
        <v>0</v>
      </c>
      <c r="AD53" s="173" t="str">
        <f>IFERROR(IF(AND('Key inputs_EB_OWN'!X388/SUM('Key inputs_EB_OWN'!X$376:X$395)&gt;0,'Key inputs_EB_OWN'!X388/SUM('Key inputs_EB_OWN'!X$376:X$395)&lt;0.001),0.001,'Key inputs_EB_OWN'!X388/SUM('Key inputs_EB_OWN'!X$376:X$395)),"")</f>
        <v/>
      </c>
      <c r="AE53" s="173">
        <f>IFERROR(IF(AND('Key inputs_EB_OWN'!Y388/SUM('Key inputs_EB_OWN'!Y$376:Y$395)&gt;0,'Key inputs_EB_OWN'!Y388/SUM('Key inputs_EB_OWN'!Y$376:Y$395)&lt;0.001),0.001,'Key inputs_EB_OWN'!Y388/SUM('Key inputs_EB_OWN'!Y$376:Y$395)),"")</f>
        <v>0</v>
      </c>
      <c r="AF53" s="173">
        <f>IFERROR(IF(AND('Key inputs_EB_OWN'!Z388/SUM('Key inputs_EB_OWN'!Z$376:Z$395)&gt;0,'Key inputs_EB_OWN'!Z388/SUM('Key inputs_EB_OWN'!Z$376:Z$395)&lt;0.001),0.001,'Key inputs_EB_OWN'!Z388/SUM('Key inputs_EB_OWN'!Z$376:Z$395)),"")</f>
        <v>0</v>
      </c>
      <c r="AG53" s="173" t="str">
        <f>IFERROR(IF(AND('Key inputs_EB_OWN'!AA388/SUM('Key inputs_EB_OWN'!AA$376:AA$395)&gt;0,'Key inputs_EB_OWN'!AA388/SUM('Key inputs_EB_OWN'!AA$376:AA$395)&lt;0.001),0.001,'Key inputs_EB_OWN'!AA388/SUM('Key inputs_EB_OWN'!AA$376:AA$395)),"")</f>
        <v/>
      </c>
      <c r="AH53" s="173" t="str">
        <f>IFERROR(IF(AND('Key inputs_EB_OWN'!AB388/SUM('Key inputs_EB_OWN'!AB$376:AB$395)&gt;0,'Key inputs_EB_OWN'!AB388/SUM('Key inputs_EB_OWN'!AB$376:AB$395)&lt;0.001),0.001,'Key inputs_EB_OWN'!AB388/SUM('Key inputs_EB_OWN'!AB$376:AB$395)),"")</f>
        <v/>
      </c>
      <c r="AI53" s="173" t="str">
        <f>IFERROR(IF(AND('Key inputs_EB_OWN'!AC388/SUM('Key inputs_EB_OWN'!AC$376:AC$395)&gt;0,'Key inputs_EB_OWN'!AC388/SUM('Key inputs_EB_OWN'!AC$376:AC$395)&lt;0.001),0.001,'Key inputs_EB_OWN'!AC388/SUM('Key inputs_EB_OWN'!AC$376:AC$395)),"")</f>
        <v/>
      </c>
      <c r="AJ53" s="173">
        <f>IFERROR(IF(AND('Key inputs_EB_OWN'!AD388/SUM('Key inputs_EB_OWN'!AD$376:AD$395)&gt;0,'Key inputs_EB_OWN'!AD388/SUM('Key inputs_EB_OWN'!AD$376:AD$395)&lt;0.001),0.001,'Key inputs_EB_OWN'!AD388/SUM('Key inputs_EB_OWN'!AD$376:AD$395)),"")</f>
        <v>6.837469207900565E-2</v>
      </c>
      <c r="AK53" s="173" t="str">
        <f>IFERROR(IF(AND('Key inputs_EB_OWN'!AE388/SUM('Key inputs_EB_OWN'!AE$376:AE$395)&gt;0,'Key inputs_EB_OWN'!AE388/SUM('Key inputs_EB_OWN'!AE$376:AE$395)&lt;0.001),0.001,'Key inputs_EB_OWN'!AE388/SUM('Key inputs_EB_OWN'!AE$376:AE$395)),"")</f>
        <v/>
      </c>
      <c r="AL53" s="173">
        <f>IFERROR(IF(AND('Key inputs_EB_OWN'!AF388/SUM('Key inputs_EB_OWN'!AF$376:AF$395)&gt;0,'Key inputs_EB_OWN'!AF388/SUM('Key inputs_EB_OWN'!AF$376:AF$395)&lt;0.001),0.001,'Key inputs_EB_OWN'!AF388/SUM('Key inputs_EB_OWN'!AF$376:AF$395)),"")</f>
        <v>0</v>
      </c>
    </row>
    <row r="54" spans="1:38">
      <c r="A54" s="4"/>
      <c r="B54" s="4"/>
      <c r="C54" s="4" t="str">
        <f>Commodities!$C$95</f>
        <v>UPSHFO</v>
      </c>
      <c r="D54" s="4"/>
      <c r="E54" s="4" t="s">
        <v>359</v>
      </c>
      <c r="G54" t="s">
        <v>693</v>
      </c>
      <c r="H54" s="4" t="s">
        <v>661</v>
      </c>
      <c r="I54">
        <v>2019</v>
      </c>
      <c r="J54" t="s">
        <v>650</v>
      </c>
      <c r="K54" s="173">
        <f>IFERROR(IF(AND('Key inputs_EB_OWN'!E389/SUM('Key inputs_EB_OWN'!E$376:E$395)&gt;0,'Key inputs_EB_OWN'!E389/SUM('Key inputs_EB_OWN'!E$376:E$395)&lt;0.001),0.001,'Key inputs_EB_OWN'!E389/SUM('Key inputs_EB_OWN'!E$376:E$395)),"")</f>
        <v>0</v>
      </c>
      <c r="L54" s="173" t="str">
        <f>IFERROR(IF(AND('Key inputs_EB_OWN'!F389/SUM('Key inputs_EB_OWN'!F$376:F$395)&gt;0,'Key inputs_EB_OWN'!F389/SUM('Key inputs_EB_OWN'!F$376:F$395)&lt;0.001),0.001,'Key inputs_EB_OWN'!F389/SUM('Key inputs_EB_OWN'!F$376:F$395)),"")</f>
        <v/>
      </c>
      <c r="M54" s="173" t="str">
        <f>IFERROR(IF(AND('Key inputs_EB_OWN'!G389/SUM('Key inputs_EB_OWN'!G$376:G$395)&gt;0,'Key inputs_EB_OWN'!G389/SUM('Key inputs_EB_OWN'!G$376:G$395)&lt;0.001),0.001,'Key inputs_EB_OWN'!G389/SUM('Key inputs_EB_OWN'!G$376:G$395)),"")</f>
        <v/>
      </c>
      <c r="N54" s="173">
        <f>IFERROR(IF(AND('Key inputs_EB_OWN'!H389/SUM('Key inputs_EB_OWN'!H$376:H$395)&gt;0,'Key inputs_EB_OWN'!H389/SUM('Key inputs_EB_OWN'!H$376:H$395)&lt;0.001),0.001,'Key inputs_EB_OWN'!H389/SUM('Key inputs_EB_OWN'!H$376:H$395)),"")</f>
        <v>0</v>
      </c>
      <c r="O54" s="173">
        <f>IFERROR(IF(AND('Key inputs_EB_OWN'!I389/SUM('Key inputs_EB_OWN'!I$376:I$395)&gt;0,'Key inputs_EB_OWN'!I389/SUM('Key inputs_EB_OWN'!I$376:I$395)&lt;0.001),0.001,'Key inputs_EB_OWN'!I389/SUM('Key inputs_EB_OWN'!I$376:I$395)),"")</f>
        <v>1E-3</v>
      </c>
      <c r="P54" s="173">
        <f>IFERROR(IF(AND('Key inputs_EB_OWN'!J389/SUM('Key inputs_EB_OWN'!J$376:J$395)&gt;0,'Key inputs_EB_OWN'!J389/SUM('Key inputs_EB_OWN'!J$376:J$395)&lt;0.001),0.001,'Key inputs_EB_OWN'!J389/SUM('Key inputs_EB_OWN'!J$376:J$395)),"")</f>
        <v>0</v>
      </c>
      <c r="Q54" s="173" t="str">
        <f>IFERROR(IF(AND('Key inputs_EB_OWN'!K389/SUM('Key inputs_EB_OWN'!K$376:K$395)&gt;0,'Key inputs_EB_OWN'!K389/SUM('Key inputs_EB_OWN'!K$376:K$395)&lt;0.001),0.001,'Key inputs_EB_OWN'!K389/SUM('Key inputs_EB_OWN'!K$376:K$395)),"")</f>
        <v/>
      </c>
      <c r="R54" s="173" t="str">
        <f>IFERROR(IF(AND('Key inputs_EB_OWN'!L389/SUM('Key inputs_EB_OWN'!L$376:L$395)&gt;0,'Key inputs_EB_OWN'!L389/SUM('Key inputs_EB_OWN'!L$376:L$395)&lt;0.001),0.001,'Key inputs_EB_OWN'!L389/SUM('Key inputs_EB_OWN'!L$376:L$395)),"")</f>
        <v/>
      </c>
      <c r="S54" s="173" t="str">
        <f>IFERROR(IF(AND('Key inputs_EB_OWN'!M389/SUM('Key inputs_EB_OWN'!M$376:M$395)&gt;0,'Key inputs_EB_OWN'!M389/SUM('Key inputs_EB_OWN'!M$376:M$395)&lt;0.001),0.001,'Key inputs_EB_OWN'!M389/SUM('Key inputs_EB_OWN'!M$376:M$395)),"")</f>
        <v/>
      </c>
      <c r="T54" s="173">
        <f>IFERROR(IF(AND('Key inputs_EB_OWN'!N389/SUM('Key inputs_EB_OWN'!N$376:N$395)&gt;0,'Key inputs_EB_OWN'!N389/SUM('Key inputs_EB_OWN'!N$376:N$395)&lt;0.001),0.001,'Key inputs_EB_OWN'!N389/SUM('Key inputs_EB_OWN'!N$376:N$395)),"")</f>
        <v>0</v>
      </c>
      <c r="U54" s="173" t="str">
        <f>IFERROR(IF(AND('Key inputs_EB_OWN'!O389/SUM('Key inputs_EB_OWN'!O$376:O$395)&gt;0,'Key inputs_EB_OWN'!O389/SUM('Key inputs_EB_OWN'!O$376:O$395)&lt;0.001),0.001,'Key inputs_EB_OWN'!O389/SUM('Key inputs_EB_OWN'!O$376:O$395)),"")</f>
        <v/>
      </c>
      <c r="V54" s="348">
        <f>IFERROR(IF(AND('Key inputs_EB_OWN'!P389/SUM('Key inputs_EB_OWN'!P$376:P$395)&gt;0,'Key inputs_EB_OWN'!P389/SUM('Key inputs_EB_OWN'!P$376:P$395)&lt;0.001),0.001,'Key inputs_EB_OWN'!P389/SUM('Key inputs_EB_OWN'!P$376:P$395)),"")</f>
        <v>1E-3</v>
      </c>
      <c r="W54" s="173">
        <f>IFERROR(IF(AND('Key inputs_EB_OWN'!Q389/SUM('Key inputs_EB_OWN'!Q$376:Q$395)&gt;0,'Key inputs_EB_OWN'!Q389/SUM('Key inputs_EB_OWN'!Q$376:Q$395)&lt;0.001),0.001,'Key inputs_EB_OWN'!Q389/SUM('Key inputs_EB_OWN'!Q$376:Q$395)),"")</f>
        <v>0</v>
      </c>
      <c r="X54" s="173">
        <f>IFERROR(IF(AND('Key inputs_EB_OWN'!R389/SUM('Key inputs_EB_OWN'!R$376:R$395)&gt;0,'Key inputs_EB_OWN'!R389/SUM('Key inputs_EB_OWN'!R$376:R$395)&lt;0.001),0.001,'Key inputs_EB_OWN'!R389/SUM('Key inputs_EB_OWN'!R$376:R$395)),"")</f>
        <v>0</v>
      </c>
      <c r="Y54" s="348">
        <f>IFERROR(IF(AND('Key inputs_EB_OWN'!S389/SUM('Key inputs_EB_OWN'!S$376:S$395)&gt;0,'Key inputs_EB_OWN'!S389/SUM('Key inputs_EB_OWN'!S$376:S$395)&lt;0.001),0.001,'Key inputs_EB_OWN'!S389/SUM('Key inputs_EB_OWN'!S$376:S$395)),"")</f>
        <v>1.2334398500363653E-3</v>
      </c>
      <c r="Z54" s="173" t="str">
        <f>IFERROR(IF(AND('Key inputs_EB_OWN'!T389/SUM('Key inputs_EB_OWN'!T$376:T$395)&gt;0,'Key inputs_EB_OWN'!T389/SUM('Key inputs_EB_OWN'!T$376:T$395)&lt;0.001),0.001,'Key inputs_EB_OWN'!T389/SUM('Key inputs_EB_OWN'!T$376:T$395)),"")</f>
        <v/>
      </c>
      <c r="AA54" s="173" t="str">
        <f>IFERROR(IF(AND('Key inputs_EB_OWN'!U389/SUM('Key inputs_EB_OWN'!U$376:U$395)&gt;0,'Key inputs_EB_OWN'!U389/SUM('Key inputs_EB_OWN'!U$376:U$395)&lt;0.001),0.001,'Key inputs_EB_OWN'!U389/SUM('Key inputs_EB_OWN'!U$376:U$395)),"")</f>
        <v/>
      </c>
      <c r="AB54" s="173">
        <f>IFERROR(IF(AND('Key inputs_EB_OWN'!V389/SUM('Key inputs_EB_OWN'!V$376:V$395)&gt;0,'Key inputs_EB_OWN'!V389/SUM('Key inputs_EB_OWN'!V$376:V$395)&lt;0.001),0.001,'Key inputs_EB_OWN'!V389/SUM('Key inputs_EB_OWN'!V$376:V$395)),"")</f>
        <v>0</v>
      </c>
      <c r="AC54" s="173">
        <f>IFERROR(IF(AND('Key inputs_EB_OWN'!W389/SUM('Key inputs_EB_OWN'!W$376:W$395)&gt;0,'Key inputs_EB_OWN'!W389/SUM('Key inputs_EB_OWN'!W$376:W$395)&lt;0.001),0.001,'Key inputs_EB_OWN'!W389/SUM('Key inputs_EB_OWN'!W$376:W$395)),"")</f>
        <v>0</v>
      </c>
      <c r="AD54" s="173" t="str">
        <f>IFERROR(IF(AND('Key inputs_EB_OWN'!X389/SUM('Key inputs_EB_OWN'!X$376:X$395)&gt;0,'Key inputs_EB_OWN'!X389/SUM('Key inputs_EB_OWN'!X$376:X$395)&lt;0.001),0.001,'Key inputs_EB_OWN'!X389/SUM('Key inputs_EB_OWN'!X$376:X$395)),"")</f>
        <v/>
      </c>
      <c r="AE54" s="173">
        <f>IFERROR(IF(AND('Key inputs_EB_OWN'!Y389/SUM('Key inputs_EB_OWN'!Y$376:Y$395)&gt;0,'Key inputs_EB_OWN'!Y389/SUM('Key inputs_EB_OWN'!Y$376:Y$395)&lt;0.001),0.001,'Key inputs_EB_OWN'!Y389/SUM('Key inputs_EB_OWN'!Y$376:Y$395)),"")</f>
        <v>0</v>
      </c>
      <c r="AF54" s="173">
        <f>IFERROR(IF(AND('Key inputs_EB_OWN'!Z389/SUM('Key inputs_EB_OWN'!Z$376:Z$395)&gt;0,'Key inputs_EB_OWN'!Z389/SUM('Key inputs_EB_OWN'!Z$376:Z$395)&lt;0.001),0.001,'Key inputs_EB_OWN'!Z389/SUM('Key inputs_EB_OWN'!Z$376:Z$395)),"")</f>
        <v>0</v>
      </c>
      <c r="AG54" s="173" t="str">
        <f>IFERROR(IF(AND('Key inputs_EB_OWN'!AA389/SUM('Key inputs_EB_OWN'!AA$376:AA$395)&gt;0,'Key inputs_EB_OWN'!AA389/SUM('Key inputs_EB_OWN'!AA$376:AA$395)&lt;0.001),0.001,'Key inputs_EB_OWN'!AA389/SUM('Key inputs_EB_OWN'!AA$376:AA$395)),"")</f>
        <v/>
      </c>
      <c r="AH54" s="173" t="str">
        <f>IFERROR(IF(AND('Key inputs_EB_OWN'!AB389/SUM('Key inputs_EB_OWN'!AB$376:AB$395)&gt;0,'Key inputs_EB_OWN'!AB389/SUM('Key inputs_EB_OWN'!AB$376:AB$395)&lt;0.001),0.001,'Key inputs_EB_OWN'!AB389/SUM('Key inputs_EB_OWN'!AB$376:AB$395)),"")</f>
        <v/>
      </c>
      <c r="AI54" s="173" t="str">
        <f>IFERROR(IF(AND('Key inputs_EB_OWN'!AC389/SUM('Key inputs_EB_OWN'!AC$376:AC$395)&gt;0,'Key inputs_EB_OWN'!AC389/SUM('Key inputs_EB_OWN'!AC$376:AC$395)&lt;0.001),0.001,'Key inputs_EB_OWN'!AC389/SUM('Key inputs_EB_OWN'!AC$376:AC$395)),"")</f>
        <v/>
      </c>
      <c r="AJ54" s="173">
        <f>IFERROR(IF(AND('Key inputs_EB_OWN'!AD389/SUM('Key inputs_EB_OWN'!AD$376:AD$395)&gt;0,'Key inputs_EB_OWN'!AD389/SUM('Key inputs_EB_OWN'!AD$376:AD$395)&lt;0.001),0.001,'Key inputs_EB_OWN'!AD389/SUM('Key inputs_EB_OWN'!AD$376:AD$395)),"")</f>
        <v>0</v>
      </c>
      <c r="AK54" s="173" t="str">
        <f>IFERROR(IF(AND('Key inputs_EB_OWN'!AE389/SUM('Key inputs_EB_OWN'!AE$376:AE$395)&gt;0,'Key inputs_EB_OWN'!AE389/SUM('Key inputs_EB_OWN'!AE$376:AE$395)&lt;0.001),0.001,'Key inputs_EB_OWN'!AE389/SUM('Key inputs_EB_OWN'!AE$376:AE$395)),"")</f>
        <v/>
      </c>
      <c r="AL54" s="173">
        <f>IFERROR(IF(AND('Key inputs_EB_OWN'!AF389/SUM('Key inputs_EB_OWN'!AF$376:AF$395)&gt;0,'Key inputs_EB_OWN'!AF389/SUM('Key inputs_EB_OWN'!AF$376:AF$395)&lt;0.001),0.001,'Key inputs_EB_OWN'!AF389/SUM('Key inputs_EB_OWN'!AF$376:AF$395)),"")</f>
        <v>5.9661850863372869E-3</v>
      </c>
    </row>
    <row r="55" spans="1:38">
      <c r="A55" s="4"/>
      <c r="B55" s="4"/>
      <c r="C55" s="4" t="str">
        <f>Commodities!$C$96</f>
        <v>UPSKER</v>
      </c>
      <c r="D55" s="4"/>
      <c r="E55" s="4" t="s">
        <v>359</v>
      </c>
      <c r="G55" t="s">
        <v>693</v>
      </c>
      <c r="H55" s="4" t="s">
        <v>661</v>
      </c>
      <c r="I55">
        <v>2019</v>
      </c>
      <c r="J55" t="s">
        <v>650</v>
      </c>
      <c r="K55" s="173">
        <f>IFERROR(IF(AND('Key inputs_EB_OWN'!E390/SUM('Key inputs_EB_OWN'!E$376:E$395)&gt;0,'Key inputs_EB_OWN'!E390/SUM('Key inputs_EB_OWN'!E$376:E$395)&lt;0.001),0.001,'Key inputs_EB_OWN'!E390/SUM('Key inputs_EB_OWN'!E$376:E$395)),"")</f>
        <v>0</v>
      </c>
      <c r="L55" s="173" t="str">
        <f>IFERROR(IF(AND('Key inputs_EB_OWN'!F390/SUM('Key inputs_EB_OWN'!F$376:F$395)&gt;0,'Key inputs_EB_OWN'!F390/SUM('Key inputs_EB_OWN'!F$376:F$395)&lt;0.001),0.001,'Key inputs_EB_OWN'!F390/SUM('Key inputs_EB_OWN'!F$376:F$395)),"")</f>
        <v/>
      </c>
      <c r="M55" s="173" t="str">
        <f>IFERROR(IF(AND('Key inputs_EB_OWN'!G390/SUM('Key inputs_EB_OWN'!G$376:G$395)&gt;0,'Key inputs_EB_OWN'!G390/SUM('Key inputs_EB_OWN'!G$376:G$395)&lt;0.001),0.001,'Key inputs_EB_OWN'!G390/SUM('Key inputs_EB_OWN'!G$376:G$395)),"")</f>
        <v/>
      </c>
      <c r="N55" s="173">
        <f>IFERROR(IF(AND('Key inputs_EB_OWN'!H390/SUM('Key inputs_EB_OWN'!H$376:H$395)&gt;0,'Key inputs_EB_OWN'!H390/SUM('Key inputs_EB_OWN'!H$376:H$395)&lt;0.001),0.001,'Key inputs_EB_OWN'!H390/SUM('Key inputs_EB_OWN'!H$376:H$395)),"")</f>
        <v>0</v>
      </c>
      <c r="O55" s="173">
        <f>IFERROR(IF(AND('Key inputs_EB_OWN'!I390/SUM('Key inputs_EB_OWN'!I$376:I$395)&gt;0,'Key inputs_EB_OWN'!I390/SUM('Key inputs_EB_OWN'!I$376:I$395)&lt;0.001),0.001,'Key inputs_EB_OWN'!I390/SUM('Key inputs_EB_OWN'!I$376:I$395)),"")</f>
        <v>0</v>
      </c>
      <c r="P55" s="173">
        <f>IFERROR(IF(AND('Key inputs_EB_OWN'!J390/SUM('Key inputs_EB_OWN'!J$376:J$395)&gt;0,'Key inputs_EB_OWN'!J390/SUM('Key inputs_EB_OWN'!J$376:J$395)&lt;0.001),0.001,'Key inputs_EB_OWN'!J390/SUM('Key inputs_EB_OWN'!J$376:J$395)),"")</f>
        <v>0</v>
      </c>
      <c r="Q55" s="173" t="str">
        <f>IFERROR(IF(AND('Key inputs_EB_OWN'!K390/SUM('Key inputs_EB_OWN'!K$376:K$395)&gt;0,'Key inputs_EB_OWN'!K390/SUM('Key inputs_EB_OWN'!K$376:K$395)&lt;0.001),0.001,'Key inputs_EB_OWN'!K390/SUM('Key inputs_EB_OWN'!K$376:K$395)),"")</f>
        <v/>
      </c>
      <c r="R55" s="173" t="str">
        <f>IFERROR(IF(AND('Key inputs_EB_OWN'!L390/SUM('Key inputs_EB_OWN'!L$376:L$395)&gt;0,'Key inputs_EB_OWN'!L390/SUM('Key inputs_EB_OWN'!L$376:L$395)&lt;0.001),0.001,'Key inputs_EB_OWN'!L390/SUM('Key inputs_EB_OWN'!L$376:L$395)),"")</f>
        <v/>
      </c>
      <c r="S55" s="173" t="str">
        <f>IFERROR(IF(AND('Key inputs_EB_OWN'!M390/SUM('Key inputs_EB_OWN'!M$376:M$395)&gt;0,'Key inputs_EB_OWN'!M390/SUM('Key inputs_EB_OWN'!M$376:M$395)&lt;0.001),0.001,'Key inputs_EB_OWN'!M390/SUM('Key inputs_EB_OWN'!M$376:M$395)),"")</f>
        <v/>
      </c>
      <c r="T55" s="173">
        <f>IFERROR(IF(AND('Key inputs_EB_OWN'!N390/SUM('Key inputs_EB_OWN'!N$376:N$395)&gt;0,'Key inputs_EB_OWN'!N390/SUM('Key inputs_EB_OWN'!N$376:N$395)&lt;0.001),0.001,'Key inputs_EB_OWN'!N390/SUM('Key inputs_EB_OWN'!N$376:N$395)),"")</f>
        <v>0</v>
      </c>
      <c r="U55" s="173" t="str">
        <f>IFERROR(IF(AND('Key inputs_EB_OWN'!O390/SUM('Key inputs_EB_OWN'!O$376:O$395)&gt;0,'Key inputs_EB_OWN'!O390/SUM('Key inputs_EB_OWN'!O$376:O$395)&lt;0.001),0.001,'Key inputs_EB_OWN'!O390/SUM('Key inputs_EB_OWN'!O$376:O$395)),"")</f>
        <v/>
      </c>
      <c r="V55" s="348">
        <f>IFERROR(IF(AND('Key inputs_EB_OWN'!P390/SUM('Key inputs_EB_OWN'!P$376:P$395)&gt;0,'Key inputs_EB_OWN'!P390/SUM('Key inputs_EB_OWN'!P$376:P$395)&lt;0.001),0.001,'Key inputs_EB_OWN'!P390/SUM('Key inputs_EB_OWN'!P$376:P$395)),"")</f>
        <v>1E-3</v>
      </c>
      <c r="W55" s="173">
        <f>IFERROR(IF(AND('Key inputs_EB_OWN'!Q390/SUM('Key inputs_EB_OWN'!Q$376:Q$395)&gt;0,'Key inputs_EB_OWN'!Q390/SUM('Key inputs_EB_OWN'!Q$376:Q$395)&lt;0.001),0.001,'Key inputs_EB_OWN'!Q390/SUM('Key inputs_EB_OWN'!Q$376:Q$395)),"")</f>
        <v>0</v>
      </c>
      <c r="X55" s="173">
        <f>IFERROR(IF(AND('Key inputs_EB_OWN'!R390/SUM('Key inputs_EB_OWN'!R$376:R$395)&gt;0,'Key inputs_EB_OWN'!R390/SUM('Key inputs_EB_OWN'!R$376:R$395)&lt;0.001),0.001,'Key inputs_EB_OWN'!R390/SUM('Key inputs_EB_OWN'!R$376:R$395)),"")</f>
        <v>0</v>
      </c>
      <c r="Y55" s="348">
        <f>IFERROR(IF(AND('Key inputs_EB_OWN'!S390/SUM('Key inputs_EB_OWN'!S$376:S$395)&gt;0,'Key inputs_EB_OWN'!S390/SUM('Key inputs_EB_OWN'!S$376:S$395)&lt;0.001),0.001,'Key inputs_EB_OWN'!S390/SUM('Key inputs_EB_OWN'!S$376:S$395)),"")</f>
        <v>1E-3</v>
      </c>
      <c r="Z55" s="173" t="str">
        <f>IFERROR(IF(AND('Key inputs_EB_OWN'!T390/SUM('Key inputs_EB_OWN'!T$376:T$395)&gt;0,'Key inputs_EB_OWN'!T390/SUM('Key inputs_EB_OWN'!T$376:T$395)&lt;0.001),0.001,'Key inputs_EB_OWN'!T390/SUM('Key inputs_EB_OWN'!T$376:T$395)),"")</f>
        <v/>
      </c>
      <c r="AA55" s="173" t="str">
        <f>IFERROR(IF(AND('Key inputs_EB_OWN'!U390/SUM('Key inputs_EB_OWN'!U$376:U$395)&gt;0,'Key inputs_EB_OWN'!U390/SUM('Key inputs_EB_OWN'!U$376:U$395)&lt;0.001),0.001,'Key inputs_EB_OWN'!U390/SUM('Key inputs_EB_OWN'!U$376:U$395)),"")</f>
        <v/>
      </c>
      <c r="AB55" s="173">
        <f>IFERROR(IF(AND('Key inputs_EB_OWN'!V390/SUM('Key inputs_EB_OWN'!V$376:V$395)&gt;0,'Key inputs_EB_OWN'!V390/SUM('Key inputs_EB_OWN'!V$376:V$395)&lt;0.001),0.001,'Key inputs_EB_OWN'!V390/SUM('Key inputs_EB_OWN'!V$376:V$395)),"")</f>
        <v>0</v>
      </c>
      <c r="AC55" s="173">
        <f>IFERROR(IF(AND('Key inputs_EB_OWN'!W390/SUM('Key inputs_EB_OWN'!W$376:W$395)&gt;0,'Key inputs_EB_OWN'!W390/SUM('Key inputs_EB_OWN'!W$376:W$395)&lt;0.001),0.001,'Key inputs_EB_OWN'!W390/SUM('Key inputs_EB_OWN'!W$376:W$395)),"")</f>
        <v>0</v>
      </c>
      <c r="AD55" s="173" t="str">
        <f>IFERROR(IF(AND('Key inputs_EB_OWN'!X390/SUM('Key inputs_EB_OWN'!X$376:X$395)&gt;0,'Key inputs_EB_OWN'!X390/SUM('Key inputs_EB_OWN'!X$376:X$395)&lt;0.001),0.001,'Key inputs_EB_OWN'!X390/SUM('Key inputs_EB_OWN'!X$376:X$395)),"")</f>
        <v/>
      </c>
      <c r="AE55" s="173">
        <f>IFERROR(IF(AND('Key inputs_EB_OWN'!Y390/SUM('Key inputs_EB_OWN'!Y$376:Y$395)&gt;0,'Key inputs_EB_OWN'!Y390/SUM('Key inputs_EB_OWN'!Y$376:Y$395)&lt;0.001),0.001,'Key inputs_EB_OWN'!Y390/SUM('Key inputs_EB_OWN'!Y$376:Y$395)),"")</f>
        <v>0</v>
      </c>
      <c r="AF55" s="173">
        <f>IFERROR(IF(AND('Key inputs_EB_OWN'!Z390/SUM('Key inputs_EB_OWN'!Z$376:Z$395)&gt;0,'Key inputs_EB_OWN'!Z390/SUM('Key inputs_EB_OWN'!Z$376:Z$395)&lt;0.001),0.001,'Key inputs_EB_OWN'!Z390/SUM('Key inputs_EB_OWN'!Z$376:Z$395)),"")</f>
        <v>0</v>
      </c>
      <c r="AG55" s="173" t="str">
        <f>IFERROR(IF(AND('Key inputs_EB_OWN'!AA390/SUM('Key inputs_EB_OWN'!AA$376:AA$395)&gt;0,'Key inputs_EB_OWN'!AA390/SUM('Key inputs_EB_OWN'!AA$376:AA$395)&lt;0.001),0.001,'Key inputs_EB_OWN'!AA390/SUM('Key inputs_EB_OWN'!AA$376:AA$395)),"")</f>
        <v/>
      </c>
      <c r="AH55" s="173" t="str">
        <f>IFERROR(IF(AND('Key inputs_EB_OWN'!AB390/SUM('Key inputs_EB_OWN'!AB$376:AB$395)&gt;0,'Key inputs_EB_OWN'!AB390/SUM('Key inputs_EB_OWN'!AB$376:AB$395)&lt;0.001),0.001,'Key inputs_EB_OWN'!AB390/SUM('Key inputs_EB_OWN'!AB$376:AB$395)),"")</f>
        <v/>
      </c>
      <c r="AI55" s="173" t="str">
        <f>IFERROR(IF(AND('Key inputs_EB_OWN'!AC390/SUM('Key inputs_EB_OWN'!AC$376:AC$395)&gt;0,'Key inputs_EB_OWN'!AC390/SUM('Key inputs_EB_OWN'!AC$376:AC$395)&lt;0.001),0.001,'Key inputs_EB_OWN'!AC390/SUM('Key inputs_EB_OWN'!AC$376:AC$395)),"")</f>
        <v/>
      </c>
      <c r="AJ55" s="173">
        <f>IFERROR(IF(AND('Key inputs_EB_OWN'!AD390/SUM('Key inputs_EB_OWN'!AD$376:AD$395)&gt;0,'Key inputs_EB_OWN'!AD390/SUM('Key inputs_EB_OWN'!AD$376:AD$395)&lt;0.001),0.001,'Key inputs_EB_OWN'!AD390/SUM('Key inputs_EB_OWN'!AD$376:AD$395)),"")</f>
        <v>0</v>
      </c>
      <c r="AK55" s="173" t="str">
        <f>IFERROR(IF(AND('Key inputs_EB_OWN'!AE390/SUM('Key inputs_EB_OWN'!AE$376:AE$395)&gt;0,'Key inputs_EB_OWN'!AE390/SUM('Key inputs_EB_OWN'!AE$376:AE$395)&lt;0.001),0.001,'Key inputs_EB_OWN'!AE390/SUM('Key inputs_EB_OWN'!AE$376:AE$395)),"")</f>
        <v/>
      </c>
      <c r="AL55" s="173">
        <f>IFERROR(IF(AND('Key inputs_EB_OWN'!AF390/SUM('Key inputs_EB_OWN'!AF$376:AF$395)&gt;0,'Key inputs_EB_OWN'!AF390/SUM('Key inputs_EB_OWN'!AF$376:AF$395)&lt;0.001),0.001,'Key inputs_EB_OWN'!AF390/SUM('Key inputs_EB_OWN'!AF$376:AF$395)),"")</f>
        <v>0</v>
      </c>
    </row>
    <row r="56" spans="1:38">
      <c r="A56" s="4"/>
      <c r="B56" s="4"/>
      <c r="C56" s="4" t="str">
        <f>Commodities!$C$97</f>
        <v>UPSLPG</v>
      </c>
      <c r="D56" s="4"/>
      <c r="E56" s="4" t="s">
        <v>359</v>
      </c>
      <c r="G56" t="s">
        <v>693</v>
      </c>
      <c r="H56" s="4" t="s">
        <v>661</v>
      </c>
      <c r="I56">
        <v>2019</v>
      </c>
      <c r="J56" t="s">
        <v>650</v>
      </c>
      <c r="K56" s="173">
        <f>IFERROR(IF(AND('Key inputs_EB_OWN'!E391/SUM('Key inputs_EB_OWN'!E$376:E$395)&gt;0,'Key inputs_EB_OWN'!E391/SUM('Key inputs_EB_OWN'!E$376:E$395)&lt;0.001),0.001,'Key inputs_EB_OWN'!E391/SUM('Key inputs_EB_OWN'!E$376:E$395)),"")</f>
        <v>0</v>
      </c>
      <c r="L56" s="173" t="str">
        <f>IFERROR(IF(AND('Key inputs_EB_OWN'!F391/SUM('Key inputs_EB_OWN'!F$376:F$395)&gt;0,'Key inputs_EB_OWN'!F391/SUM('Key inputs_EB_OWN'!F$376:F$395)&lt;0.001),0.001,'Key inputs_EB_OWN'!F391/SUM('Key inputs_EB_OWN'!F$376:F$395)),"")</f>
        <v/>
      </c>
      <c r="M56" s="173" t="str">
        <f>IFERROR(IF(AND('Key inputs_EB_OWN'!G391/SUM('Key inputs_EB_OWN'!G$376:G$395)&gt;0,'Key inputs_EB_OWN'!G391/SUM('Key inputs_EB_OWN'!G$376:G$395)&lt;0.001),0.001,'Key inputs_EB_OWN'!G391/SUM('Key inputs_EB_OWN'!G$376:G$395)),"")</f>
        <v/>
      </c>
      <c r="N56" s="173">
        <f>IFERROR(IF(AND('Key inputs_EB_OWN'!H391/SUM('Key inputs_EB_OWN'!H$376:H$395)&gt;0,'Key inputs_EB_OWN'!H391/SUM('Key inputs_EB_OWN'!H$376:H$395)&lt;0.001),0.001,'Key inputs_EB_OWN'!H391/SUM('Key inputs_EB_OWN'!H$376:H$395)),"")</f>
        <v>0</v>
      </c>
      <c r="O56" s="173">
        <f>IFERROR(IF(AND('Key inputs_EB_OWN'!I391/SUM('Key inputs_EB_OWN'!I$376:I$395)&gt;0,'Key inputs_EB_OWN'!I391/SUM('Key inputs_EB_OWN'!I$376:I$395)&lt;0.001),0.001,'Key inputs_EB_OWN'!I391/SUM('Key inputs_EB_OWN'!I$376:I$395)),"")</f>
        <v>1E-3</v>
      </c>
      <c r="P56" s="173">
        <f>IFERROR(IF(AND('Key inputs_EB_OWN'!J391/SUM('Key inputs_EB_OWN'!J$376:J$395)&gt;0,'Key inputs_EB_OWN'!J391/SUM('Key inputs_EB_OWN'!J$376:J$395)&lt;0.001),0.001,'Key inputs_EB_OWN'!J391/SUM('Key inputs_EB_OWN'!J$376:J$395)),"")</f>
        <v>0</v>
      </c>
      <c r="Q56" s="173" t="str">
        <f>IFERROR(IF(AND('Key inputs_EB_OWN'!K391/SUM('Key inputs_EB_OWN'!K$376:K$395)&gt;0,'Key inputs_EB_OWN'!K391/SUM('Key inputs_EB_OWN'!K$376:K$395)&lt;0.001),0.001,'Key inputs_EB_OWN'!K391/SUM('Key inputs_EB_OWN'!K$376:K$395)),"")</f>
        <v/>
      </c>
      <c r="R56" s="173" t="str">
        <f>IFERROR(IF(AND('Key inputs_EB_OWN'!L391/SUM('Key inputs_EB_OWN'!L$376:L$395)&gt;0,'Key inputs_EB_OWN'!L391/SUM('Key inputs_EB_OWN'!L$376:L$395)&lt;0.001),0.001,'Key inputs_EB_OWN'!L391/SUM('Key inputs_EB_OWN'!L$376:L$395)),"")</f>
        <v/>
      </c>
      <c r="S56" s="173" t="str">
        <f>IFERROR(IF(AND('Key inputs_EB_OWN'!M391/SUM('Key inputs_EB_OWN'!M$376:M$395)&gt;0,'Key inputs_EB_OWN'!M391/SUM('Key inputs_EB_OWN'!M$376:M$395)&lt;0.001),0.001,'Key inputs_EB_OWN'!M391/SUM('Key inputs_EB_OWN'!M$376:M$395)),"")</f>
        <v/>
      </c>
      <c r="T56" s="173">
        <f>IFERROR(IF(AND('Key inputs_EB_OWN'!N391/SUM('Key inputs_EB_OWN'!N$376:N$395)&gt;0,'Key inputs_EB_OWN'!N391/SUM('Key inputs_EB_OWN'!N$376:N$395)&lt;0.001),0.001,'Key inputs_EB_OWN'!N391/SUM('Key inputs_EB_OWN'!N$376:N$395)),"")</f>
        <v>0</v>
      </c>
      <c r="U56" s="173" t="str">
        <f>IFERROR(IF(AND('Key inputs_EB_OWN'!O391/SUM('Key inputs_EB_OWN'!O$376:O$395)&gt;0,'Key inputs_EB_OWN'!O391/SUM('Key inputs_EB_OWN'!O$376:O$395)&lt;0.001),0.001,'Key inputs_EB_OWN'!O391/SUM('Key inputs_EB_OWN'!O$376:O$395)),"")</f>
        <v/>
      </c>
      <c r="V56" s="348">
        <f>IFERROR(IF(AND('Key inputs_EB_OWN'!P391/SUM('Key inputs_EB_OWN'!P$376:P$395)&gt;0,'Key inputs_EB_OWN'!P391/SUM('Key inputs_EB_OWN'!P$376:P$395)&lt;0.001),0.001,'Key inputs_EB_OWN'!P391/SUM('Key inputs_EB_OWN'!P$376:P$395)),"")</f>
        <v>8.2489311566422592E-3</v>
      </c>
      <c r="W56" s="173">
        <f>IFERROR(IF(AND('Key inputs_EB_OWN'!Q391/SUM('Key inputs_EB_OWN'!Q$376:Q$395)&gt;0,'Key inputs_EB_OWN'!Q391/SUM('Key inputs_EB_OWN'!Q$376:Q$395)&lt;0.001),0.001,'Key inputs_EB_OWN'!Q391/SUM('Key inputs_EB_OWN'!Q$376:Q$395)),"")</f>
        <v>0</v>
      </c>
      <c r="X56" s="173">
        <f>IFERROR(IF(AND('Key inputs_EB_OWN'!R391/SUM('Key inputs_EB_OWN'!R$376:R$395)&gt;0,'Key inputs_EB_OWN'!R391/SUM('Key inputs_EB_OWN'!R$376:R$395)&lt;0.001),0.001,'Key inputs_EB_OWN'!R391/SUM('Key inputs_EB_OWN'!R$376:R$395)),"")</f>
        <v>0</v>
      </c>
      <c r="Y56" s="348">
        <f>IFERROR(IF(AND('Key inputs_EB_OWN'!S391/SUM('Key inputs_EB_OWN'!S$376:S$395)&gt;0,'Key inputs_EB_OWN'!S391/SUM('Key inputs_EB_OWN'!S$376:S$395)&lt;0.001),0.001,'Key inputs_EB_OWN'!S391/SUM('Key inputs_EB_OWN'!S$376:S$395)),"")</f>
        <v>1E-3</v>
      </c>
      <c r="Z56" s="173" t="str">
        <f>IFERROR(IF(AND('Key inputs_EB_OWN'!T391/SUM('Key inputs_EB_OWN'!T$376:T$395)&gt;0,'Key inputs_EB_OWN'!T391/SUM('Key inputs_EB_OWN'!T$376:T$395)&lt;0.001),0.001,'Key inputs_EB_OWN'!T391/SUM('Key inputs_EB_OWN'!T$376:T$395)),"")</f>
        <v/>
      </c>
      <c r="AA56" s="173" t="str">
        <f>IFERROR(IF(AND('Key inputs_EB_OWN'!U391/SUM('Key inputs_EB_OWN'!U$376:U$395)&gt;0,'Key inputs_EB_OWN'!U391/SUM('Key inputs_EB_OWN'!U$376:U$395)&lt;0.001),0.001,'Key inputs_EB_OWN'!U391/SUM('Key inputs_EB_OWN'!U$376:U$395)),"")</f>
        <v/>
      </c>
      <c r="AB56" s="173">
        <f>IFERROR(IF(AND('Key inputs_EB_OWN'!V391/SUM('Key inputs_EB_OWN'!V$376:V$395)&gt;0,'Key inputs_EB_OWN'!V391/SUM('Key inputs_EB_OWN'!V$376:V$395)&lt;0.001),0.001,'Key inputs_EB_OWN'!V391/SUM('Key inputs_EB_OWN'!V$376:V$395)),"")</f>
        <v>3.897229469408629E-3</v>
      </c>
      <c r="AC56" s="173">
        <f>IFERROR(IF(AND('Key inputs_EB_OWN'!W391/SUM('Key inputs_EB_OWN'!W$376:W$395)&gt;0,'Key inputs_EB_OWN'!W391/SUM('Key inputs_EB_OWN'!W$376:W$395)&lt;0.001),0.001,'Key inputs_EB_OWN'!W391/SUM('Key inputs_EB_OWN'!W$376:W$395)),"")</f>
        <v>0</v>
      </c>
      <c r="AD56" s="173" t="str">
        <f>IFERROR(IF(AND('Key inputs_EB_OWN'!X391/SUM('Key inputs_EB_OWN'!X$376:X$395)&gt;0,'Key inputs_EB_OWN'!X391/SUM('Key inputs_EB_OWN'!X$376:X$395)&lt;0.001),0.001,'Key inputs_EB_OWN'!X391/SUM('Key inputs_EB_OWN'!X$376:X$395)),"")</f>
        <v/>
      </c>
      <c r="AE56" s="173">
        <f>IFERROR(IF(AND('Key inputs_EB_OWN'!Y391/SUM('Key inputs_EB_OWN'!Y$376:Y$395)&gt;0,'Key inputs_EB_OWN'!Y391/SUM('Key inputs_EB_OWN'!Y$376:Y$395)&lt;0.001),0.001,'Key inputs_EB_OWN'!Y391/SUM('Key inputs_EB_OWN'!Y$376:Y$395)),"")</f>
        <v>0</v>
      </c>
      <c r="AF56" s="173">
        <f>IFERROR(IF(AND('Key inputs_EB_OWN'!Z391/SUM('Key inputs_EB_OWN'!Z$376:Z$395)&gt;0,'Key inputs_EB_OWN'!Z391/SUM('Key inputs_EB_OWN'!Z$376:Z$395)&lt;0.001),0.001,'Key inputs_EB_OWN'!Z391/SUM('Key inputs_EB_OWN'!Z$376:Z$395)),"")</f>
        <v>0</v>
      </c>
      <c r="AG56" s="173" t="str">
        <f>IFERROR(IF(AND('Key inputs_EB_OWN'!AA391/SUM('Key inputs_EB_OWN'!AA$376:AA$395)&gt;0,'Key inputs_EB_OWN'!AA391/SUM('Key inputs_EB_OWN'!AA$376:AA$395)&lt;0.001),0.001,'Key inputs_EB_OWN'!AA391/SUM('Key inputs_EB_OWN'!AA$376:AA$395)),"")</f>
        <v/>
      </c>
      <c r="AH56" s="173" t="str">
        <f>IFERROR(IF(AND('Key inputs_EB_OWN'!AB391/SUM('Key inputs_EB_OWN'!AB$376:AB$395)&gt;0,'Key inputs_EB_OWN'!AB391/SUM('Key inputs_EB_OWN'!AB$376:AB$395)&lt;0.001),0.001,'Key inputs_EB_OWN'!AB391/SUM('Key inputs_EB_OWN'!AB$376:AB$395)),"")</f>
        <v/>
      </c>
      <c r="AI56" s="173" t="str">
        <f>IFERROR(IF(AND('Key inputs_EB_OWN'!AC391/SUM('Key inputs_EB_OWN'!AC$376:AC$395)&gt;0,'Key inputs_EB_OWN'!AC391/SUM('Key inputs_EB_OWN'!AC$376:AC$395)&lt;0.001),0.001,'Key inputs_EB_OWN'!AC391/SUM('Key inputs_EB_OWN'!AC$376:AC$395)),"")</f>
        <v/>
      </c>
      <c r="AJ56" s="173">
        <f>IFERROR(IF(AND('Key inputs_EB_OWN'!AD391/SUM('Key inputs_EB_OWN'!AD$376:AD$395)&gt;0,'Key inputs_EB_OWN'!AD391/SUM('Key inputs_EB_OWN'!AD$376:AD$395)&lt;0.001),0.001,'Key inputs_EB_OWN'!AD391/SUM('Key inputs_EB_OWN'!AD$376:AD$395)),"")</f>
        <v>0</v>
      </c>
      <c r="AK56" s="173" t="str">
        <f>IFERROR(IF(AND('Key inputs_EB_OWN'!AE391/SUM('Key inputs_EB_OWN'!AE$376:AE$395)&gt;0,'Key inputs_EB_OWN'!AE391/SUM('Key inputs_EB_OWN'!AE$376:AE$395)&lt;0.001),0.001,'Key inputs_EB_OWN'!AE391/SUM('Key inputs_EB_OWN'!AE$376:AE$395)),"")</f>
        <v/>
      </c>
      <c r="AL56" s="173">
        <f>IFERROR(IF(AND('Key inputs_EB_OWN'!AF391/SUM('Key inputs_EB_OWN'!AF$376:AF$395)&gt;0,'Key inputs_EB_OWN'!AF391/SUM('Key inputs_EB_OWN'!AF$376:AF$395)&lt;0.001),0.001,'Key inputs_EB_OWN'!AF391/SUM('Key inputs_EB_OWN'!AF$376:AF$395)),"")</f>
        <v>0</v>
      </c>
    </row>
    <row r="57" spans="1:38">
      <c r="A57" s="259"/>
      <c r="B57" s="259"/>
      <c r="C57" s="259" t="str">
        <f>Commodities!$C$100</f>
        <v>UPSOIL2</v>
      </c>
      <c r="D57" s="259"/>
      <c r="E57" s="259" t="s">
        <v>359</v>
      </c>
      <c r="F57" s="236"/>
      <c r="G57" s="236" t="s">
        <v>693</v>
      </c>
      <c r="H57" s="259" t="s">
        <v>661</v>
      </c>
      <c r="I57" s="236">
        <v>2019</v>
      </c>
      <c r="J57" s="236" t="s">
        <v>650</v>
      </c>
      <c r="K57" s="226">
        <f>IFERROR(IF(AND('Key inputs_EB_OWN'!E394/SUM('Key inputs_EB_OWN'!E$376:E$395)&gt;0,'Key inputs_EB_OWN'!E394/SUM('Key inputs_EB_OWN'!E$376:E$395)&lt;0.001),0.001,'Key inputs_EB_OWN'!E394/SUM('Key inputs_EB_OWN'!E$376:E$395)),"")</f>
        <v>0</v>
      </c>
      <c r="L57" s="226" t="str">
        <f>IFERROR(IF(AND('Key inputs_EB_OWN'!F394/SUM('Key inputs_EB_OWN'!F$376:F$395)&gt;0,'Key inputs_EB_OWN'!F394/SUM('Key inputs_EB_OWN'!F$376:F$395)&lt;0.001),0.001,'Key inputs_EB_OWN'!F394/SUM('Key inputs_EB_OWN'!F$376:F$395)),"")</f>
        <v/>
      </c>
      <c r="M57" s="226" t="str">
        <f>IFERROR(IF(AND('Key inputs_EB_OWN'!G394/SUM('Key inputs_EB_OWN'!G$376:G$395)&gt;0,'Key inputs_EB_OWN'!G394/SUM('Key inputs_EB_OWN'!G$376:G$395)&lt;0.001),0.001,'Key inputs_EB_OWN'!G394/SUM('Key inputs_EB_OWN'!G$376:G$395)),"")</f>
        <v/>
      </c>
      <c r="N57" s="226">
        <f>IFERROR(IF(AND('Key inputs_EB_OWN'!H394/SUM('Key inputs_EB_OWN'!H$376:H$395)&gt;0,'Key inputs_EB_OWN'!H394/SUM('Key inputs_EB_OWN'!H$376:H$395)&lt;0.001),0.001,'Key inputs_EB_OWN'!H394/SUM('Key inputs_EB_OWN'!H$376:H$395)),"")</f>
        <v>0</v>
      </c>
      <c r="O57" s="226">
        <f>IFERROR(IF(AND('Key inputs_EB_OWN'!I394/SUM('Key inputs_EB_OWN'!I$376:I$395)&gt;0,'Key inputs_EB_OWN'!I394/SUM('Key inputs_EB_OWN'!I$376:I$395)&lt;0.001),0.001,'Key inputs_EB_OWN'!I394/SUM('Key inputs_EB_OWN'!I$376:I$395)),"")</f>
        <v>1E-3</v>
      </c>
      <c r="P57" s="226">
        <f>IFERROR(IF(AND('Key inputs_EB_OWN'!J394/SUM('Key inputs_EB_OWN'!J$376:J$395)&gt;0,'Key inputs_EB_OWN'!J394/SUM('Key inputs_EB_OWN'!J$376:J$395)&lt;0.001),0.001,'Key inputs_EB_OWN'!J394/SUM('Key inputs_EB_OWN'!J$376:J$395)),"")</f>
        <v>0</v>
      </c>
      <c r="Q57" s="226" t="str">
        <f>IFERROR(IF(AND('Key inputs_EB_OWN'!K394/SUM('Key inputs_EB_OWN'!K$376:K$395)&gt;0,'Key inputs_EB_OWN'!K394/SUM('Key inputs_EB_OWN'!K$376:K$395)&lt;0.001),0.001,'Key inputs_EB_OWN'!K394/SUM('Key inputs_EB_OWN'!K$376:K$395)),"")</f>
        <v/>
      </c>
      <c r="R57" s="226" t="str">
        <f>IFERROR(IF(AND('Key inputs_EB_OWN'!L394/SUM('Key inputs_EB_OWN'!L$376:L$395)&gt;0,'Key inputs_EB_OWN'!L394/SUM('Key inputs_EB_OWN'!L$376:L$395)&lt;0.001),0.001,'Key inputs_EB_OWN'!L394/SUM('Key inputs_EB_OWN'!L$376:L$395)),"")</f>
        <v/>
      </c>
      <c r="S57" s="226" t="str">
        <f>IFERROR(IF(AND('Key inputs_EB_OWN'!M394/SUM('Key inputs_EB_OWN'!M$376:M$395)&gt;0,'Key inputs_EB_OWN'!M394/SUM('Key inputs_EB_OWN'!M$376:M$395)&lt;0.001),0.001,'Key inputs_EB_OWN'!M394/SUM('Key inputs_EB_OWN'!M$376:M$395)),"")</f>
        <v/>
      </c>
      <c r="T57" s="226">
        <f>IFERROR(IF(AND('Key inputs_EB_OWN'!N394/SUM('Key inputs_EB_OWN'!N$376:N$395)&gt;0,'Key inputs_EB_OWN'!N394/SUM('Key inputs_EB_OWN'!N$376:N$395)&lt;0.001),0.001,'Key inputs_EB_OWN'!N394/SUM('Key inputs_EB_OWN'!N$376:N$395)),"")</f>
        <v>0</v>
      </c>
      <c r="U57" s="226" t="str">
        <f>IFERROR(IF(AND('Key inputs_EB_OWN'!O394/SUM('Key inputs_EB_OWN'!O$376:O$395)&gt;0,'Key inputs_EB_OWN'!O394/SUM('Key inputs_EB_OWN'!O$376:O$395)&lt;0.001),0.001,'Key inputs_EB_OWN'!O394/SUM('Key inputs_EB_OWN'!O$376:O$395)),"")</f>
        <v/>
      </c>
      <c r="V57" s="457">
        <f>IFERROR(IF(AND('Key inputs_EB_OWN'!P394/SUM('Key inputs_EB_OWN'!P$376:P$395)&gt;0,'Key inputs_EB_OWN'!P394/SUM('Key inputs_EB_OWN'!P$376:P$395)&lt;0.001),0.001,'Key inputs_EB_OWN'!P394/SUM('Key inputs_EB_OWN'!P$376:P$395)),"")</f>
        <v>1E-3</v>
      </c>
      <c r="W57" s="226">
        <f>IFERROR(IF(AND('Key inputs_EB_OWN'!Q394/SUM('Key inputs_EB_OWN'!Q$376:Q$395)&gt;0,'Key inputs_EB_OWN'!Q394/SUM('Key inputs_EB_OWN'!Q$376:Q$395)&lt;0.001),0.001,'Key inputs_EB_OWN'!Q394/SUM('Key inputs_EB_OWN'!Q$376:Q$395)),"")</f>
        <v>0</v>
      </c>
      <c r="X57" s="226">
        <f>IFERROR(IF(AND('Key inputs_EB_OWN'!R394/SUM('Key inputs_EB_OWN'!R$376:R$395)&gt;0,'Key inputs_EB_OWN'!R394/SUM('Key inputs_EB_OWN'!R$376:R$395)&lt;0.001),0.001,'Key inputs_EB_OWN'!R394/SUM('Key inputs_EB_OWN'!R$376:R$395)),"")</f>
        <v>0</v>
      </c>
      <c r="Y57" s="457">
        <f>IFERROR(IF(AND('Key inputs_EB_OWN'!S394/SUM('Key inputs_EB_OWN'!S$376:S$395)&gt;0,'Key inputs_EB_OWN'!S394/SUM('Key inputs_EB_OWN'!S$376:S$395)&lt;0.001),0.001,'Key inputs_EB_OWN'!S394/SUM('Key inputs_EB_OWN'!S$376:S$395)),"")</f>
        <v>1E-3</v>
      </c>
      <c r="Z57" s="226" t="str">
        <f>IFERROR(IF(AND('Key inputs_EB_OWN'!T394/SUM('Key inputs_EB_OWN'!T$376:T$395)&gt;0,'Key inputs_EB_OWN'!T394/SUM('Key inputs_EB_OWN'!T$376:T$395)&lt;0.001),0.001,'Key inputs_EB_OWN'!T394/SUM('Key inputs_EB_OWN'!T$376:T$395)),"")</f>
        <v/>
      </c>
      <c r="AA57" s="226" t="str">
        <f>IFERROR(IF(AND('Key inputs_EB_OWN'!U394/SUM('Key inputs_EB_OWN'!U$376:U$395)&gt;0,'Key inputs_EB_OWN'!U394/SUM('Key inputs_EB_OWN'!U$376:U$395)&lt;0.001),0.001,'Key inputs_EB_OWN'!U394/SUM('Key inputs_EB_OWN'!U$376:U$395)),"")</f>
        <v/>
      </c>
      <c r="AB57" s="226">
        <f>IFERROR(IF(AND('Key inputs_EB_OWN'!V394/SUM('Key inputs_EB_OWN'!V$376:V$395)&gt;0,'Key inputs_EB_OWN'!V394/SUM('Key inputs_EB_OWN'!V$376:V$395)&lt;0.001),0.001,'Key inputs_EB_OWN'!V394/SUM('Key inputs_EB_OWN'!V$376:V$395)),"")</f>
        <v>0</v>
      </c>
      <c r="AC57" s="226">
        <f>IFERROR(IF(AND('Key inputs_EB_OWN'!W394/SUM('Key inputs_EB_OWN'!W$376:W$395)&gt;0,'Key inputs_EB_OWN'!W394/SUM('Key inputs_EB_OWN'!W$376:W$395)&lt;0.001),0.001,'Key inputs_EB_OWN'!W394/SUM('Key inputs_EB_OWN'!W$376:W$395)),"")</f>
        <v>0</v>
      </c>
      <c r="AD57" s="226" t="str">
        <f>IFERROR(IF(AND('Key inputs_EB_OWN'!X394/SUM('Key inputs_EB_OWN'!X$376:X$395)&gt;0,'Key inputs_EB_OWN'!X394/SUM('Key inputs_EB_OWN'!X$376:X$395)&lt;0.001),0.001,'Key inputs_EB_OWN'!X394/SUM('Key inputs_EB_OWN'!X$376:X$395)),"")</f>
        <v/>
      </c>
      <c r="AE57" s="226">
        <f>IFERROR(IF(AND('Key inputs_EB_OWN'!Y394/SUM('Key inputs_EB_OWN'!Y$376:Y$395)&gt;0,'Key inputs_EB_OWN'!Y394/SUM('Key inputs_EB_OWN'!Y$376:Y$395)&lt;0.001),0.001,'Key inputs_EB_OWN'!Y394/SUM('Key inputs_EB_OWN'!Y$376:Y$395)),"")</f>
        <v>0</v>
      </c>
      <c r="AF57" s="226">
        <f>IFERROR(IF(AND('Key inputs_EB_OWN'!Z394/SUM('Key inputs_EB_OWN'!Z$376:Z$395)&gt;0,'Key inputs_EB_OWN'!Z394/SUM('Key inputs_EB_OWN'!Z$376:Z$395)&lt;0.001),0.001,'Key inputs_EB_OWN'!Z394/SUM('Key inputs_EB_OWN'!Z$376:Z$395)),"")</f>
        <v>0</v>
      </c>
      <c r="AG57" s="226" t="str">
        <f>IFERROR(IF(AND('Key inputs_EB_OWN'!AA394/SUM('Key inputs_EB_OWN'!AA$376:AA$395)&gt;0,'Key inputs_EB_OWN'!AA394/SUM('Key inputs_EB_OWN'!AA$376:AA$395)&lt;0.001),0.001,'Key inputs_EB_OWN'!AA394/SUM('Key inputs_EB_OWN'!AA$376:AA$395)),"")</f>
        <v/>
      </c>
      <c r="AH57" s="226" t="str">
        <f>IFERROR(IF(AND('Key inputs_EB_OWN'!AB394/SUM('Key inputs_EB_OWN'!AB$376:AB$395)&gt;0,'Key inputs_EB_OWN'!AB394/SUM('Key inputs_EB_OWN'!AB$376:AB$395)&lt;0.001),0.001,'Key inputs_EB_OWN'!AB394/SUM('Key inputs_EB_OWN'!AB$376:AB$395)),"")</f>
        <v/>
      </c>
      <c r="AI57" s="226" t="str">
        <f>IFERROR(IF(AND('Key inputs_EB_OWN'!AC394/SUM('Key inputs_EB_OWN'!AC$376:AC$395)&gt;0,'Key inputs_EB_OWN'!AC394/SUM('Key inputs_EB_OWN'!AC$376:AC$395)&lt;0.001),0.001,'Key inputs_EB_OWN'!AC394/SUM('Key inputs_EB_OWN'!AC$376:AC$395)),"")</f>
        <v/>
      </c>
      <c r="AJ57" s="226">
        <f>IFERROR(IF(AND('Key inputs_EB_OWN'!AD394/SUM('Key inputs_EB_OWN'!AD$376:AD$395)&gt;0,'Key inputs_EB_OWN'!AD394/SUM('Key inputs_EB_OWN'!AD$376:AD$395)&lt;0.001),0.001,'Key inputs_EB_OWN'!AD394/SUM('Key inputs_EB_OWN'!AD$376:AD$395)),"")</f>
        <v>0</v>
      </c>
      <c r="AK57" s="226" t="str">
        <f>IFERROR(IF(AND('Key inputs_EB_OWN'!AE394/SUM('Key inputs_EB_OWN'!AE$376:AE$395)&gt;0,'Key inputs_EB_OWN'!AE394/SUM('Key inputs_EB_OWN'!AE$376:AE$395)&lt;0.001),0.001,'Key inputs_EB_OWN'!AE394/SUM('Key inputs_EB_OWN'!AE$376:AE$395)),"")</f>
        <v/>
      </c>
      <c r="AL57" s="226">
        <f>IFERROR(IF(AND('Key inputs_EB_OWN'!AF394/SUM('Key inputs_EB_OWN'!AF$376:AF$395)&gt;0,'Key inputs_EB_OWN'!AF394/SUM('Key inputs_EB_OWN'!AF$376:AF$395)&lt;0.001),0.001,'Key inputs_EB_OWN'!AF394/SUM('Key inputs_EB_OWN'!AF$376:AF$395)),"")</f>
        <v>0</v>
      </c>
    </row>
    <row r="58" spans="1:38">
      <c r="A58" s="4" t="str">
        <f>A12</f>
        <v>U-EXT-COACOL_00</v>
      </c>
      <c r="B58" s="4" t="str">
        <f>B12</f>
        <v>UPS Extraction of Lignite - Existing</v>
      </c>
      <c r="G58" s="4" t="s">
        <v>687</v>
      </c>
      <c r="J58" t="s">
        <v>2663</v>
      </c>
      <c r="K58" s="354"/>
      <c r="L58" s="354"/>
      <c r="M58" s="354"/>
      <c r="N58" s="354"/>
      <c r="O58" s="354"/>
      <c r="P58" s="354"/>
      <c r="Q58" s="354"/>
      <c r="R58" s="354"/>
      <c r="S58" s="354"/>
      <c r="T58" s="354"/>
      <c r="U58" s="354"/>
      <c r="V58" s="354"/>
      <c r="W58" s="354"/>
      <c r="X58" s="354"/>
      <c r="Y58" s="354"/>
      <c r="Z58" s="354"/>
      <c r="AA58" s="354"/>
      <c r="AB58" s="354"/>
      <c r="AC58" s="354"/>
      <c r="AD58" s="354"/>
      <c r="AE58" s="354"/>
      <c r="AF58" s="354"/>
      <c r="AG58" s="354"/>
      <c r="AH58" s="354"/>
      <c r="AI58" s="354"/>
      <c r="AJ58" s="354"/>
      <c r="AK58" s="354"/>
      <c r="AL58" s="354"/>
    </row>
    <row r="59" spans="1:38">
      <c r="A59" s="4"/>
      <c r="B59" s="4"/>
      <c r="G59" s="4" t="s">
        <v>689</v>
      </c>
      <c r="J59" t="s">
        <v>2663</v>
      </c>
      <c r="K59" s="354"/>
      <c r="L59" s="354"/>
      <c r="M59" s="354"/>
      <c r="N59" s="354"/>
      <c r="O59" s="354"/>
      <c r="P59" s="354"/>
      <c r="Q59" s="354"/>
      <c r="R59" s="354"/>
      <c r="S59" s="354"/>
      <c r="T59" s="354"/>
      <c r="U59" s="354"/>
      <c r="V59" s="354"/>
      <c r="W59" s="354"/>
      <c r="X59" s="354"/>
      <c r="Y59" s="354"/>
      <c r="Z59" s="354"/>
      <c r="AA59" s="354"/>
      <c r="AB59" s="354"/>
      <c r="AC59" s="354"/>
      <c r="AD59" s="354"/>
      <c r="AE59" s="354"/>
      <c r="AF59" s="354"/>
      <c r="AG59" s="354"/>
      <c r="AH59" s="354"/>
      <c r="AI59" s="354"/>
      <c r="AJ59" s="354"/>
      <c r="AK59" s="354"/>
      <c r="AL59" s="354"/>
    </row>
    <row r="60" spans="1:38">
      <c r="A60" s="4"/>
      <c r="B60" s="4"/>
      <c r="C60" s="4"/>
      <c r="D60" s="4"/>
      <c r="E60" s="4"/>
      <c r="F60" s="4"/>
      <c r="G60" s="4" t="s">
        <v>675</v>
      </c>
      <c r="J60" t="s">
        <v>2662</v>
      </c>
      <c r="K60" s="398">
        <f>SUMIFS('Key inputs_Reserves'!$M$50:$M$77,'Key inputs_Reserves'!$A$50:$A$77,K$33)/10^3</f>
        <v>2.52</v>
      </c>
      <c r="L60" s="398">
        <f>SUMIFS('Key inputs_Reserves'!$M$50:$M$77,'Key inputs_Reserves'!$A$50:$A$77,L$33)/10^3</f>
        <v>3.15</v>
      </c>
      <c r="M60" s="398">
        <f>SUMIFS('Key inputs_Reserves'!$M$50:$M$77,'Key inputs_Reserves'!$A$50:$A$77,M$33)/10^3</f>
        <v>2.52</v>
      </c>
      <c r="N60" s="398">
        <f>SUMIFS('Key inputs_Reserves'!$M$50:$M$77,'Key inputs_Reserves'!$A$50:$A$77,N$33)/10^3</f>
        <v>2.52</v>
      </c>
      <c r="O60" s="398">
        <f>SUMIFS('Key inputs_Reserves'!$M$50:$M$77,'Key inputs_Reserves'!$A$50:$A$77,O$33)/10^3</f>
        <v>2.52</v>
      </c>
      <c r="P60" s="398">
        <f>SUMIFS('Key inputs_Reserves'!$M$50:$M$77,'Key inputs_Reserves'!$A$50:$A$77,P$33)/10^3</f>
        <v>3.15</v>
      </c>
      <c r="Q60" s="398">
        <f>SUMIFS('Key inputs_Reserves'!$M$50:$M$77,'Key inputs_Reserves'!$A$50:$A$77,Q$33)/10^3</f>
        <v>3.15</v>
      </c>
      <c r="R60" s="398">
        <f>SUMIFS('Key inputs_Reserves'!$M$50:$M$77,'Key inputs_Reserves'!$A$50:$A$77,R$33)/10^3</f>
        <v>3.15</v>
      </c>
      <c r="S60" s="398">
        <f>SUMIFS('Key inputs_Reserves'!$M$50:$M$77,'Key inputs_Reserves'!$A$50:$A$77,S$33)/10^3</f>
        <v>3.15</v>
      </c>
      <c r="T60" s="398">
        <f>SUMIFS('Key inputs_Reserves'!$M$50:$M$77,'Key inputs_Reserves'!$A$50:$A$77,T$33)/10^3</f>
        <v>3.15</v>
      </c>
      <c r="U60" s="398">
        <f>SUMIFS('Key inputs_Reserves'!$M$50:$M$77,'Key inputs_Reserves'!$A$50:$A$77,U$33)/10^3</f>
        <v>3.15</v>
      </c>
      <c r="V60" s="398">
        <f>SUMIFS('Key inputs_Reserves'!$M$50:$M$77,'Key inputs_Reserves'!$A$50:$A$77,V$33)/10^3</f>
        <v>2.52</v>
      </c>
      <c r="W60" s="398">
        <f>SUMIFS('Key inputs_Reserves'!$M$50:$M$77,'Key inputs_Reserves'!$A$50:$A$77,W$33)/10^3</f>
        <v>4.7249999999999996</v>
      </c>
      <c r="X60" s="398">
        <f>SUMIFS('Key inputs_Reserves'!$M$50:$M$77,'Key inputs_Reserves'!$A$50:$A$77,X$33)/10^3</f>
        <v>4.7249999999999996</v>
      </c>
      <c r="Y60" s="398">
        <f>SUMIFS('Key inputs_Reserves'!$M$50:$M$77,'Key inputs_Reserves'!$A$50:$A$77,Y$33)/10^3</f>
        <v>4.7249999999999996</v>
      </c>
      <c r="Z60" s="398">
        <f>SUMIFS('Key inputs_Reserves'!$M$50:$M$77,'Key inputs_Reserves'!$A$50:$A$77,Z$33)/10^3</f>
        <v>4.7249999999999996</v>
      </c>
      <c r="AA60" s="398">
        <f>SUMIFS('Key inputs_Reserves'!$M$50:$M$77,'Key inputs_Reserves'!$A$50:$A$77,AA$33)/10^3</f>
        <v>4.7249999999999996</v>
      </c>
      <c r="AB60" s="398">
        <f>SUMIFS('Key inputs_Reserves'!$M$50:$M$77,'Key inputs_Reserves'!$A$50:$A$77,AB$33)/10^3</f>
        <v>2.52</v>
      </c>
      <c r="AC60" s="398">
        <f>SUMIFS('Key inputs_Reserves'!$M$50:$M$77,'Key inputs_Reserves'!$A$50:$A$77,AC$33)/10^3</f>
        <v>3.15</v>
      </c>
      <c r="AD60" s="398">
        <f>SUMIFS('Key inputs_Reserves'!$M$50:$M$77,'Key inputs_Reserves'!$A$50:$A$77,AD$33)/10^3</f>
        <v>4.7249999999999996</v>
      </c>
      <c r="AE60" s="398">
        <f>SUMIFS('Key inputs_Reserves'!$M$50:$M$77,'Key inputs_Reserves'!$A$50:$A$77,AE$33)/10^3</f>
        <v>3.15</v>
      </c>
      <c r="AF60" s="398">
        <f>SUMIFS('Key inputs_Reserves'!$M$50:$M$77,'Key inputs_Reserves'!$A$50:$A$77,AF$33)/10^3</f>
        <v>3.78</v>
      </c>
      <c r="AG60" s="398">
        <f>SUMIFS('Key inputs_Reserves'!$M$50:$M$77,'Key inputs_Reserves'!$A$50:$A$77,AG$33)/10^3</f>
        <v>4.7249999999999996</v>
      </c>
      <c r="AH60" s="398">
        <f>SUMIFS('Key inputs_Reserves'!$M$50:$M$77,'Key inputs_Reserves'!$A$50:$A$77,AH$33)/10^3</f>
        <v>3.15</v>
      </c>
      <c r="AI60" s="398">
        <f>SUMIFS('Key inputs_Reserves'!$M$50:$M$77,'Key inputs_Reserves'!$A$50:$A$77,AI$33)/10^3</f>
        <v>3.15</v>
      </c>
      <c r="AJ60" s="398">
        <f>SUMIFS('Key inputs_Reserves'!$M$50:$M$77,'Key inputs_Reserves'!$A$50:$A$77,AJ$33)/10^3</f>
        <v>2.0474999999999999</v>
      </c>
      <c r="AK60" s="398">
        <f>SUMIFS('Key inputs_Reserves'!$M$50:$M$77,'Key inputs_Reserves'!$A$50:$A$77,AK$33)/10^3</f>
        <v>4.7249999999999996</v>
      </c>
      <c r="AL60" s="398">
        <f>SUMIFS('Key inputs_Reserves'!$M$50:$M$77,'Key inputs_Reserves'!$A$50:$A$77,AL$33)/10^3</f>
        <v>2.52</v>
      </c>
    </row>
    <row r="61" spans="1:38">
      <c r="C61" s="4" t="str">
        <f>Commodities!$C$9</f>
        <v>RSVLIG</v>
      </c>
      <c r="D61" s="4"/>
      <c r="E61" s="4"/>
      <c r="F61" s="4"/>
      <c r="G61" s="4" t="s">
        <v>690</v>
      </c>
      <c r="I61">
        <v>2019</v>
      </c>
      <c r="J61" t="s">
        <v>112</v>
      </c>
      <c r="K61" s="354">
        <v>1</v>
      </c>
      <c r="L61" s="354">
        <v>1</v>
      </c>
      <c r="M61" s="354">
        <v>1</v>
      </c>
      <c r="N61" s="354">
        <v>1</v>
      </c>
      <c r="O61" s="354">
        <v>1</v>
      </c>
      <c r="P61" s="354">
        <v>1</v>
      </c>
      <c r="Q61" s="354">
        <v>1</v>
      </c>
      <c r="R61" s="354">
        <v>1</v>
      </c>
      <c r="S61" s="354">
        <v>1</v>
      </c>
      <c r="T61" s="354">
        <v>1</v>
      </c>
      <c r="U61" s="354">
        <v>1</v>
      </c>
      <c r="V61" s="354">
        <v>1</v>
      </c>
      <c r="W61" s="354">
        <v>1</v>
      </c>
      <c r="X61" s="354">
        <v>1</v>
      </c>
      <c r="Y61" s="354">
        <v>1</v>
      </c>
      <c r="Z61" s="354">
        <v>1</v>
      </c>
      <c r="AA61" s="354">
        <v>1</v>
      </c>
      <c r="AB61" s="354">
        <v>1</v>
      </c>
      <c r="AC61" s="354">
        <v>1</v>
      </c>
      <c r="AD61" s="354">
        <v>1</v>
      </c>
      <c r="AE61" s="354">
        <v>1</v>
      </c>
      <c r="AF61" s="354">
        <v>1</v>
      </c>
      <c r="AG61" s="354">
        <v>1</v>
      </c>
      <c r="AH61" s="354">
        <v>1</v>
      </c>
      <c r="AI61" s="354">
        <v>1</v>
      </c>
      <c r="AJ61" s="354">
        <v>1</v>
      </c>
      <c r="AK61" s="354">
        <v>1</v>
      </c>
      <c r="AL61" s="354">
        <v>1</v>
      </c>
    </row>
    <row r="62" spans="1:38">
      <c r="D62" s="4" t="s">
        <v>359</v>
      </c>
      <c r="E62" s="4" t="s">
        <v>691</v>
      </c>
      <c r="F62" s="4"/>
      <c r="G62" s="4" t="s">
        <v>692</v>
      </c>
      <c r="I62">
        <v>2019</v>
      </c>
      <c r="J62" s="4" t="s">
        <v>2664</v>
      </c>
      <c r="K62" s="176">
        <f>IFERROR(H$12/(-SUM('Key inputs_EB_OWN'!E$396:E$415)/1000),"")</f>
        <v>89.704761904761909</v>
      </c>
      <c r="L62" s="176" t="str">
        <f>IFERROR(I$12/(-SUM('Key inputs_EB_OWN'!F$396:F$415)/1000),"")</f>
        <v/>
      </c>
      <c r="M62" s="176" t="str">
        <f>IFERROR(J$12/(-SUM('Key inputs_EB_OWN'!G$396:G$415)/1000),"")</f>
        <v/>
      </c>
      <c r="N62" s="176" t="str">
        <f>IFERROR(K$12/(-SUM('Key inputs_EB_OWN'!H$396:H$415)/1000),"")</f>
        <v/>
      </c>
      <c r="O62" s="176">
        <f>IFERROR(L$12/(-SUM('Key inputs_EB_OWN'!I$396:I$415)/1000),"")</f>
        <v>71.841739498117988</v>
      </c>
      <c r="P62" s="176">
        <f>IFERROR(M$12/(-SUM('Key inputs_EB_OWN'!J$396:J$415)/1000),"")</f>
        <v>311.43226304187982</v>
      </c>
      <c r="Q62" s="176" t="str">
        <f>IFERROR(N$12/(-SUM('Key inputs_EB_OWN'!K$396:K$415)/1000),"")</f>
        <v/>
      </c>
      <c r="R62" s="176" t="str">
        <f>IFERROR(O$12/(-SUM('Key inputs_EB_OWN'!L$396:L$415)/1000),"")</f>
        <v/>
      </c>
      <c r="S62" s="176" t="str">
        <f>IFERROR(P$12/(-SUM('Key inputs_EB_OWN'!M$396:M$415)/1000),"")</f>
        <v/>
      </c>
      <c r="T62" s="176">
        <f>IFERROR(Q$12/(-SUM('Key inputs_EB_OWN'!N$396:N$415)/1000),"")</f>
        <v>112.78009240770176</v>
      </c>
      <c r="U62" s="176" t="str">
        <f>IFERROR(R$12/(-SUM('Key inputs_EB_OWN'!O$396:O$415)/1000),"")</f>
        <v/>
      </c>
      <c r="V62" s="176" t="str">
        <f>IFERROR(S$12/(-SUM('Key inputs_EB_OWN'!P$396:P$415)/1000),"")</f>
        <v/>
      </c>
      <c r="W62" s="176">
        <f>IFERROR(T$12/(-SUM('Key inputs_EB_OWN'!Q$396:Q$415)/1000),"")</f>
        <v>66.960126615369205</v>
      </c>
      <c r="X62" s="176" t="str">
        <f>IFERROR(U$12/(-SUM('Key inputs_EB_OWN'!R$396:R$415)/1000),"")</f>
        <v/>
      </c>
      <c r="Y62" s="176">
        <f>IFERROR(V$12/(-SUM('Key inputs_EB_OWN'!S$396:S$415)/1000),"")</f>
        <v>60.47731970768654</v>
      </c>
      <c r="Z62" s="176">
        <f>IFERROR(W$12/(-SUM('Key inputs_EB_OWN'!T$396:T$415)/1000),"")</f>
        <v>20.102742069468871</v>
      </c>
      <c r="AA62" s="176">
        <f>IFERROR(X$12/(-SUM('Key inputs_EB_OWN'!U$396:U$415)/1000),"")</f>
        <v>1273.0565983826964</v>
      </c>
      <c r="AB62" s="176" t="str">
        <f>IFERROR(Y$12/(-SUM('Key inputs_EB_OWN'!V$396:V$415)/1000),"")</f>
        <v/>
      </c>
      <c r="AC62" s="176" t="str">
        <f>IFERROR(Z$12/(-SUM('Key inputs_EB_OWN'!W$396:W$415)/1000),"")</f>
        <v/>
      </c>
      <c r="AD62" s="176" t="str">
        <f>IFERROR(AA$12/(-SUM('Key inputs_EB_OWN'!X$396:X$415)/1000),"")</f>
        <v/>
      </c>
      <c r="AE62" s="176">
        <f>IFERROR(AB$12/(-SUM('Key inputs_EB_OWN'!Y$396:Y$415)/1000),"")</f>
        <v>710.72587186895555</v>
      </c>
      <c r="AF62" s="176">
        <f>IFERROR(AC$12/(-SUM('Key inputs_EB_OWN'!Z$396:Z$415)/1000),"")</f>
        <v>185.41336372545376</v>
      </c>
      <c r="AG62" s="176" t="str">
        <f>IFERROR(AD$12/(-SUM('Key inputs_EB_OWN'!AA$396:AA$415)/1000),"")</f>
        <v/>
      </c>
      <c r="AH62" s="176" t="str">
        <f>IFERROR(AE$12/(-SUM('Key inputs_EB_OWN'!AB$396:AB$415)/1000),"")</f>
        <v/>
      </c>
      <c r="AI62" s="176" t="str">
        <f>IFERROR(AF$12/(-SUM('Key inputs_EB_OWN'!AC$396:AC$415)/1000),"")</f>
        <v/>
      </c>
      <c r="AJ62" s="176">
        <f>IFERROR(AG$12/(-SUM('Key inputs_EB_OWN'!AD$396:AD$415)/1000),"")</f>
        <v>39.288199322027459</v>
      </c>
      <c r="AK62" s="176" t="str">
        <f>IFERROR(AH$12/(-SUM('Key inputs_EB_OWN'!AE$396:AE$415)/1000),"")</f>
        <v/>
      </c>
      <c r="AL62" s="176">
        <f>IFERROR(AI$12/(-SUM('Key inputs_EB_OWN'!AF$396:AF$415)/1000),"")</f>
        <v>60.11484805715228</v>
      </c>
    </row>
    <row r="63" spans="1:38">
      <c r="A63" s="4"/>
      <c r="B63" s="4"/>
      <c r="C63" s="4" t="str">
        <f>Commodities!$C$80</f>
        <v>UPSBDL</v>
      </c>
      <c r="D63" s="4"/>
      <c r="E63" s="4" t="s">
        <v>359</v>
      </c>
      <c r="G63" t="s">
        <v>693</v>
      </c>
      <c r="H63" s="4" t="s">
        <v>661</v>
      </c>
      <c r="I63">
        <v>2019</v>
      </c>
      <c r="J63" t="s">
        <v>650</v>
      </c>
      <c r="K63" s="173">
        <f>IFERROR(IF(AND('Key inputs_EB_OWN'!E396/SUM('Key inputs_EB_OWN'!E$396:E$415)&gt;0,'Key inputs_EB_OWN'!E396/SUM('Key inputs_EB_OWN'!E$396:E$415)&lt;0.001),0.001,'Key inputs_EB_OWN'!E396/SUM('Key inputs_EB_OWN'!E$396:E$415)),"")</f>
        <v>0</v>
      </c>
      <c r="L63" s="173" t="str">
        <f>IFERROR(IF(AND('Key inputs_EB_OWN'!F396/SUM('Key inputs_EB_OWN'!F$396:F$415)&gt;0,'Key inputs_EB_OWN'!F396/SUM('Key inputs_EB_OWN'!F$396:F$415)&lt;0.001),0.001,'Key inputs_EB_OWN'!F396/SUM('Key inputs_EB_OWN'!F$396:F$415)),"")</f>
        <v/>
      </c>
      <c r="M63" s="173" t="str">
        <f>IFERROR(IF(AND('Key inputs_EB_OWN'!G396/SUM('Key inputs_EB_OWN'!G$396:G$415)&gt;0,'Key inputs_EB_OWN'!G396/SUM('Key inputs_EB_OWN'!G$396:G$415)&lt;0.001),0.001,'Key inputs_EB_OWN'!G396/SUM('Key inputs_EB_OWN'!G$396:G$415)),"")</f>
        <v/>
      </c>
      <c r="N63" s="173" t="str">
        <f>IFERROR(IF(AND('Key inputs_EB_OWN'!H396/SUM('Key inputs_EB_OWN'!H$396:H$415)&gt;0,'Key inputs_EB_OWN'!H396/SUM('Key inputs_EB_OWN'!H$396:H$415)&lt;0.001),0.001,'Key inputs_EB_OWN'!H396/SUM('Key inputs_EB_OWN'!H$396:H$415)),"")</f>
        <v/>
      </c>
      <c r="O63" s="173">
        <f>IFERROR(IF(AND('Key inputs_EB_OWN'!I396/SUM('Key inputs_EB_OWN'!I$396:I$415)&gt;0,'Key inputs_EB_OWN'!I396/SUM('Key inputs_EB_OWN'!I$396:I$415)&lt;0.001),0.001,'Key inputs_EB_OWN'!I396/SUM('Key inputs_EB_OWN'!I$396:I$415)),"")</f>
        <v>0</v>
      </c>
      <c r="P63" s="173">
        <f>IFERROR(IF(AND('Key inputs_EB_OWN'!J396/SUM('Key inputs_EB_OWN'!J$396:J$415)&gt;0,'Key inputs_EB_OWN'!J396/SUM('Key inputs_EB_OWN'!J$396:J$415)&lt;0.001),0.001,'Key inputs_EB_OWN'!J396/SUM('Key inputs_EB_OWN'!J$396:J$415)),"")</f>
        <v>0</v>
      </c>
      <c r="Q63" s="173" t="str">
        <f>IFERROR(IF(AND('Key inputs_EB_OWN'!K396/SUM('Key inputs_EB_OWN'!K$396:K$415)&gt;0,'Key inputs_EB_OWN'!K396/SUM('Key inputs_EB_OWN'!K$396:K$415)&lt;0.001),0.001,'Key inputs_EB_OWN'!K396/SUM('Key inputs_EB_OWN'!K$396:K$415)),"")</f>
        <v/>
      </c>
      <c r="R63" s="173" t="str">
        <f>IFERROR(IF(AND('Key inputs_EB_OWN'!L396/SUM('Key inputs_EB_OWN'!L$396:L$415)&gt;0,'Key inputs_EB_OWN'!L396/SUM('Key inputs_EB_OWN'!L$396:L$415)&lt;0.001),0.001,'Key inputs_EB_OWN'!L396/SUM('Key inputs_EB_OWN'!L$396:L$415)),"")</f>
        <v/>
      </c>
      <c r="S63" s="173" t="str">
        <f>IFERROR(IF(AND('Key inputs_EB_OWN'!M396/SUM('Key inputs_EB_OWN'!M$396:M$415)&gt;0,'Key inputs_EB_OWN'!M396/SUM('Key inputs_EB_OWN'!M$396:M$415)&lt;0.001),0.001,'Key inputs_EB_OWN'!M396/SUM('Key inputs_EB_OWN'!M$396:M$415)),"")</f>
        <v/>
      </c>
      <c r="T63" s="173">
        <f>IFERROR(IF(AND('Key inputs_EB_OWN'!N396/SUM('Key inputs_EB_OWN'!N$396:N$415)&gt;0,'Key inputs_EB_OWN'!N396/SUM('Key inputs_EB_OWN'!N$396:N$415)&lt;0.001),0.001,'Key inputs_EB_OWN'!N396/SUM('Key inputs_EB_OWN'!N$396:N$415)),"")</f>
        <v>0</v>
      </c>
      <c r="U63" s="173" t="str">
        <f>IFERROR(IF(AND('Key inputs_EB_OWN'!O396/SUM('Key inputs_EB_OWN'!O$396:O$415)&gt;0,'Key inputs_EB_OWN'!O396/SUM('Key inputs_EB_OWN'!O$396:O$415)&lt;0.001),0.001,'Key inputs_EB_OWN'!O396/SUM('Key inputs_EB_OWN'!O$396:O$415)),"")</f>
        <v/>
      </c>
      <c r="V63" s="173" t="str">
        <f>IFERROR(IF(AND('Key inputs_EB_OWN'!P396/SUM('Key inputs_EB_OWN'!P$396:P$415)&gt;0,'Key inputs_EB_OWN'!P396/SUM('Key inputs_EB_OWN'!P$396:P$415)&lt;0.001),0.001,'Key inputs_EB_OWN'!P396/SUM('Key inputs_EB_OWN'!P$396:P$415)),"")</f>
        <v/>
      </c>
      <c r="W63" s="173">
        <f>IFERROR(IF(AND('Key inputs_EB_OWN'!Q396/SUM('Key inputs_EB_OWN'!Q$396:Q$415)&gt;0,'Key inputs_EB_OWN'!Q396/SUM('Key inputs_EB_OWN'!Q$396:Q$415)&lt;0.001),0.001,'Key inputs_EB_OWN'!Q396/SUM('Key inputs_EB_OWN'!Q$396:Q$415)),"")</f>
        <v>0</v>
      </c>
      <c r="X63" s="173" t="str">
        <f>IFERROR(IF(AND('Key inputs_EB_OWN'!R396/SUM('Key inputs_EB_OWN'!R$396:R$415)&gt;0,'Key inputs_EB_OWN'!R396/SUM('Key inputs_EB_OWN'!R$396:R$415)&lt;0.001),0.001,'Key inputs_EB_OWN'!R396/SUM('Key inputs_EB_OWN'!R$396:R$415)),"")</f>
        <v/>
      </c>
      <c r="Y63" s="173">
        <f>IFERROR(IF(AND('Key inputs_EB_OWN'!S396/SUM('Key inputs_EB_OWN'!S$396:S$415)&gt;0,'Key inputs_EB_OWN'!S396/SUM('Key inputs_EB_OWN'!S$396:S$415)&lt;0.001),0.001,'Key inputs_EB_OWN'!S396/SUM('Key inputs_EB_OWN'!S$396:S$415)),"")</f>
        <v>0</v>
      </c>
      <c r="Z63" s="173">
        <f>IFERROR(IF(AND('Key inputs_EB_OWN'!T396/SUM('Key inputs_EB_OWN'!T$396:T$415)&gt;0,'Key inputs_EB_OWN'!T396/SUM('Key inputs_EB_OWN'!T$396:T$415)&lt;0.001),0.001,'Key inputs_EB_OWN'!T396/SUM('Key inputs_EB_OWN'!T$396:T$415)),"")</f>
        <v>0</v>
      </c>
      <c r="AA63" s="173">
        <f>IFERROR(IF(AND('Key inputs_EB_OWN'!U396/SUM('Key inputs_EB_OWN'!U$396:U$415)&gt;0,'Key inputs_EB_OWN'!U396/SUM('Key inputs_EB_OWN'!U$396:U$415)&lt;0.001),0.001,'Key inputs_EB_OWN'!U396/SUM('Key inputs_EB_OWN'!U$396:U$415)),"")</f>
        <v>0</v>
      </c>
      <c r="AB63" s="173" t="str">
        <f>IFERROR(IF(AND('Key inputs_EB_OWN'!V396/SUM('Key inputs_EB_OWN'!V$396:V$415)&gt;0,'Key inputs_EB_OWN'!V396/SUM('Key inputs_EB_OWN'!V$396:V$415)&lt;0.001),0.001,'Key inputs_EB_OWN'!V396/SUM('Key inputs_EB_OWN'!V$396:V$415)),"")</f>
        <v/>
      </c>
      <c r="AC63" s="173" t="str">
        <f>IFERROR(IF(AND('Key inputs_EB_OWN'!W396/SUM('Key inputs_EB_OWN'!W$396:W$415)&gt;0,'Key inputs_EB_OWN'!W396/SUM('Key inputs_EB_OWN'!W$396:W$415)&lt;0.001),0.001,'Key inputs_EB_OWN'!W396/SUM('Key inputs_EB_OWN'!W$396:W$415)),"")</f>
        <v/>
      </c>
      <c r="AD63" s="173" t="str">
        <f>IFERROR(IF(AND('Key inputs_EB_OWN'!X396/SUM('Key inputs_EB_OWN'!X$396:X$415)&gt;0,'Key inputs_EB_OWN'!X396/SUM('Key inputs_EB_OWN'!X$396:X$415)&lt;0.001),0.001,'Key inputs_EB_OWN'!X396/SUM('Key inputs_EB_OWN'!X$396:X$415)),"")</f>
        <v/>
      </c>
      <c r="AE63" s="173">
        <f>IFERROR(IF(AND('Key inputs_EB_OWN'!Y396/SUM('Key inputs_EB_OWN'!Y$396:Y$415)&gt;0,'Key inputs_EB_OWN'!Y396/SUM('Key inputs_EB_OWN'!Y$396:Y$415)&lt;0.001),0.001,'Key inputs_EB_OWN'!Y396/SUM('Key inputs_EB_OWN'!Y$396:Y$415)),"")</f>
        <v>0</v>
      </c>
      <c r="AF63" s="173">
        <f>IFERROR(IF(AND('Key inputs_EB_OWN'!Z396/SUM('Key inputs_EB_OWN'!Z$396:Z$415)&gt;0,'Key inputs_EB_OWN'!Z396/SUM('Key inputs_EB_OWN'!Z$396:Z$415)&lt;0.001),0.001,'Key inputs_EB_OWN'!Z396/SUM('Key inputs_EB_OWN'!Z$396:Z$415)),"")</f>
        <v>0</v>
      </c>
      <c r="AG63" s="173" t="str">
        <f>IFERROR(IF(AND('Key inputs_EB_OWN'!AA396/SUM('Key inputs_EB_OWN'!AA$396:AA$415)&gt;0,'Key inputs_EB_OWN'!AA396/SUM('Key inputs_EB_OWN'!AA$396:AA$415)&lt;0.001),0.001,'Key inputs_EB_OWN'!AA396/SUM('Key inputs_EB_OWN'!AA$396:AA$415)),"")</f>
        <v/>
      </c>
      <c r="AH63" s="173" t="str">
        <f>IFERROR(IF(AND('Key inputs_EB_OWN'!AB396/SUM('Key inputs_EB_OWN'!AB$396:AB$415)&gt;0,'Key inputs_EB_OWN'!AB396/SUM('Key inputs_EB_OWN'!AB$396:AB$415)&lt;0.001),0.001,'Key inputs_EB_OWN'!AB396/SUM('Key inputs_EB_OWN'!AB$396:AB$415)),"")</f>
        <v/>
      </c>
      <c r="AI63" s="173" t="str">
        <f>IFERROR(IF(AND('Key inputs_EB_OWN'!AC396/SUM('Key inputs_EB_OWN'!AC$396:AC$415)&gt;0,'Key inputs_EB_OWN'!AC396/SUM('Key inputs_EB_OWN'!AC$396:AC$415)&lt;0.001),0.001,'Key inputs_EB_OWN'!AC396/SUM('Key inputs_EB_OWN'!AC$396:AC$415)),"")</f>
        <v/>
      </c>
      <c r="AJ63" s="173">
        <f>IFERROR(IF(AND('Key inputs_EB_OWN'!AD396/SUM('Key inputs_EB_OWN'!AD$396:AD$415)&gt;0,'Key inputs_EB_OWN'!AD396/SUM('Key inputs_EB_OWN'!AD$396:AD$415)&lt;0.001),0.001,'Key inputs_EB_OWN'!AD396/SUM('Key inputs_EB_OWN'!AD$396:AD$415)),"")</f>
        <v>0</v>
      </c>
      <c r="AK63" s="173" t="str">
        <f>IFERROR(IF(AND('Key inputs_EB_OWN'!AE396/SUM('Key inputs_EB_OWN'!AE$396:AE$415)&gt;0,'Key inputs_EB_OWN'!AE396/SUM('Key inputs_EB_OWN'!AE$396:AE$415)&lt;0.001),0.001,'Key inputs_EB_OWN'!AE396/SUM('Key inputs_EB_OWN'!AE$396:AE$415)),"")</f>
        <v/>
      </c>
      <c r="AL63" s="173">
        <f>IFERROR(IF(AND('Key inputs_EB_OWN'!AF396/SUM('Key inputs_EB_OWN'!AF$396:AF$415)&gt;0,'Key inputs_EB_OWN'!AF396/SUM('Key inputs_EB_OWN'!AF$396:AF$415)&lt;0.001),0.001,'Key inputs_EB_OWN'!AF396/SUM('Key inputs_EB_OWN'!AF$396:AF$415)),"")</f>
        <v>4.5858414168202808E-3</v>
      </c>
    </row>
    <row r="64" spans="1:38">
      <c r="A64" s="4"/>
      <c r="B64" s="4"/>
      <c r="C64" s="4" t="str">
        <f>Commodities!$C$83</f>
        <v>UPSBFG</v>
      </c>
      <c r="D64" s="4"/>
      <c r="E64" s="4" t="s">
        <v>359</v>
      </c>
      <c r="G64" t="s">
        <v>693</v>
      </c>
      <c r="H64" s="4" t="s">
        <v>661</v>
      </c>
      <c r="I64">
        <v>2019</v>
      </c>
      <c r="J64" t="s">
        <v>650</v>
      </c>
      <c r="K64" s="173">
        <f>IFERROR(IF(AND('Key inputs_EB_OWN'!E397/SUM('Key inputs_EB_OWN'!E$396:E$415)&gt;0,'Key inputs_EB_OWN'!E397/SUM('Key inputs_EB_OWN'!E$396:E$415)&lt;0.001),0.001,'Key inputs_EB_OWN'!E397/SUM('Key inputs_EB_OWN'!E$396:E$415)),"")</f>
        <v>0</v>
      </c>
      <c r="L64" s="173" t="str">
        <f>IFERROR(IF(AND('Key inputs_EB_OWN'!F397/SUM('Key inputs_EB_OWN'!F$396:F$415)&gt;0,'Key inputs_EB_OWN'!F397/SUM('Key inputs_EB_OWN'!F$396:F$415)&lt;0.001),0.001,'Key inputs_EB_OWN'!F397/SUM('Key inputs_EB_OWN'!F$396:F$415)),"")</f>
        <v/>
      </c>
      <c r="M64" s="173" t="str">
        <f>IFERROR(IF(AND('Key inputs_EB_OWN'!G397/SUM('Key inputs_EB_OWN'!G$396:G$415)&gt;0,'Key inputs_EB_OWN'!G397/SUM('Key inputs_EB_OWN'!G$396:G$415)&lt;0.001),0.001,'Key inputs_EB_OWN'!G397/SUM('Key inputs_EB_OWN'!G$396:G$415)),"")</f>
        <v/>
      </c>
      <c r="N64" s="173" t="str">
        <f>IFERROR(IF(AND('Key inputs_EB_OWN'!H397/SUM('Key inputs_EB_OWN'!H$396:H$415)&gt;0,'Key inputs_EB_OWN'!H397/SUM('Key inputs_EB_OWN'!H$396:H$415)&lt;0.001),0.001,'Key inputs_EB_OWN'!H397/SUM('Key inputs_EB_OWN'!H$396:H$415)),"")</f>
        <v/>
      </c>
      <c r="O64" s="173">
        <f>IFERROR(IF(AND('Key inputs_EB_OWN'!I397/SUM('Key inputs_EB_OWN'!I$396:I$415)&gt;0,'Key inputs_EB_OWN'!I397/SUM('Key inputs_EB_OWN'!I$396:I$415)&lt;0.001),0.001,'Key inputs_EB_OWN'!I397/SUM('Key inputs_EB_OWN'!I$396:I$415)),"")</f>
        <v>0</v>
      </c>
      <c r="P64" s="173">
        <f>IFERROR(IF(AND('Key inputs_EB_OWN'!J397/SUM('Key inputs_EB_OWN'!J$396:J$415)&gt;0,'Key inputs_EB_OWN'!J397/SUM('Key inputs_EB_OWN'!J$396:J$415)&lt;0.001),0.001,'Key inputs_EB_OWN'!J397/SUM('Key inputs_EB_OWN'!J$396:J$415)),"")</f>
        <v>0</v>
      </c>
      <c r="Q64" s="173" t="str">
        <f>IFERROR(IF(AND('Key inputs_EB_OWN'!K397/SUM('Key inputs_EB_OWN'!K$396:K$415)&gt;0,'Key inputs_EB_OWN'!K397/SUM('Key inputs_EB_OWN'!K$396:K$415)&lt;0.001),0.001,'Key inputs_EB_OWN'!K397/SUM('Key inputs_EB_OWN'!K$396:K$415)),"")</f>
        <v/>
      </c>
      <c r="R64" s="173" t="str">
        <f>IFERROR(IF(AND('Key inputs_EB_OWN'!L397/SUM('Key inputs_EB_OWN'!L$396:L$415)&gt;0,'Key inputs_EB_OWN'!L397/SUM('Key inputs_EB_OWN'!L$396:L$415)&lt;0.001),0.001,'Key inputs_EB_OWN'!L397/SUM('Key inputs_EB_OWN'!L$396:L$415)),"")</f>
        <v/>
      </c>
      <c r="S64" s="173" t="str">
        <f>IFERROR(IF(AND('Key inputs_EB_OWN'!M397/SUM('Key inputs_EB_OWN'!M$396:M$415)&gt;0,'Key inputs_EB_OWN'!M397/SUM('Key inputs_EB_OWN'!M$396:M$415)&lt;0.001),0.001,'Key inputs_EB_OWN'!M397/SUM('Key inputs_EB_OWN'!M$396:M$415)),"")</f>
        <v/>
      </c>
      <c r="T64" s="173">
        <f>IFERROR(IF(AND('Key inputs_EB_OWN'!N397/SUM('Key inputs_EB_OWN'!N$396:N$415)&gt;0,'Key inputs_EB_OWN'!N397/SUM('Key inputs_EB_OWN'!N$396:N$415)&lt;0.001),0.001,'Key inputs_EB_OWN'!N397/SUM('Key inputs_EB_OWN'!N$396:N$415)),"")</f>
        <v>0</v>
      </c>
      <c r="U64" s="173" t="str">
        <f>IFERROR(IF(AND('Key inputs_EB_OWN'!O397/SUM('Key inputs_EB_OWN'!O$396:O$415)&gt;0,'Key inputs_EB_OWN'!O397/SUM('Key inputs_EB_OWN'!O$396:O$415)&lt;0.001),0.001,'Key inputs_EB_OWN'!O397/SUM('Key inputs_EB_OWN'!O$396:O$415)),"")</f>
        <v/>
      </c>
      <c r="V64" s="173" t="str">
        <f>IFERROR(IF(AND('Key inputs_EB_OWN'!P397/SUM('Key inputs_EB_OWN'!P$396:P$415)&gt;0,'Key inputs_EB_OWN'!P397/SUM('Key inputs_EB_OWN'!P$396:P$415)&lt;0.001),0.001,'Key inputs_EB_OWN'!P397/SUM('Key inputs_EB_OWN'!P$396:P$415)),"")</f>
        <v/>
      </c>
      <c r="W64" s="173">
        <f>IFERROR(IF(AND('Key inputs_EB_OWN'!Q397/SUM('Key inputs_EB_OWN'!Q$396:Q$415)&gt;0,'Key inputs_EB_OWN'!Q397/SUM('Key inputs_EB_OWN'!Q$396:Q$415)&lt;0.001),0.001,'Key inputs_EB_OWN'!Q397/SUM('Key inputs_EB_OWN'!Q$396:Q$415)),"")</f>
        <v>0</v>
      </c>
      <c r="X64" s="173" t="str">
        <f>IFERROR(IF(AND('Key inputs_EB_OWN'!R397/SUM('Key inputs_EB_OWN'!R$396:R$415)&gt;0,'Key inputs_EB_OWN'!R397/SUM('Key inputs_EB_OWN'!R$396:R$415)&lt;0.001),0.001,'Key inputs_EB_OWN'!R397/SUM('Key inputs_EB_OWN'!R$396:R$415)),"")</f>
        <v/>
      </c>
      <c r="Y64" s="173">
        <f>IFERROR(IF(AND('Key inputs_EB_OWN'!S397/SUM('Key inputs_EB_OWN'!S$396:S$415)&gt;0,'Key inputs_EB_OWN'!S397/SUM('Key inputs_EB_OWN'!S$396:S$415)&lt;0.001),0.001,'Key inputs_EB_OWN'!S397/SUM('Key inputs_EB_OWN'!S$396:S$415)),"")</f>
        <v>0</v>
      </c>
      <c r="Z64" s="173">
        <f>IFERROR(IF(AND('Key inputs_EB_OWN'!T397/SUM('Key inputs_EB_OWN'!T$396:T$415)&gt;0,'Key inputs_EB_OWN'!T397/SUM('Key inputs_EB_OWN'!T$396:T$415)&lt;0.001),0.001,'Key inputs_EB_OWN'!T397/SUM('Key inputs_EB_OWN'!T$396:T$415)),"")</f>
        <v>0</v>
      </c>
      <c r="AA64" s="173">
        <f>IFERROR(IF(AND('Key inputs_EB_OWN'!U397/SUM('Key inputs_EB_OWN'!U$396:U$415)&gt;0,'Key inputs_EB_OWN'!U397/SUM('Key inputs_EB_OWN'!U$396:U$415)&lt;0.001),0.001,'Key inputs_EB_OWN'!U397/SUM('Key inputs_EB_OWN'!U$396:U$415)),"")</f>
        <v>0</v>
      </c>
      <c r="AB64" s="173" t="str">
        <f>IFERROR(IF(AND('Key inputs_EB_OWN'!V397/SUM('Key inputs_EB_OWN'!V$396:V$415)&gt;0,'Key inputs_EB_OWN'!V397/SUM('Key inputs_EB_OWN'!V$396:V$415)&lt;0.001),0.001,'Key inputs_EB_OWN'!V397/SUM('Key inputs_EB_OWN'!V$396:V$415)),"")</f>
        <v/>
      </c>
      <c r="AC64" s="173" t="str">
        <f>IFERROR(IF(AND('Key inputs_EB_OWN'!W397/SUM('Key inputs_EB_OWN'!W$396:W$415)&gt;0,'Key inputs_EB_OWN'!W397/SUM('Key inputs_EB_OWN'!W$396:W$415)&lt;0.001),0.001,'Key inputs_EB_OWN'!W397/SUM('Key inputs_EB_OWN'!W$396:W$415)),"")</f>
        <v/>
      </c>
      <c r="AD64" s="173" t="str">
        <f>IFERROR(IF(AND('Key inputs_EB_OWN'!X397/SUM('Key inputs_EB_OWN'!X$396:X$415)&gt;0,'Key inputs_EB_OWN'!X397/SUM('Key inputs_EB_OWN'!X$396:X$415)&lt;0.001),0.001,'Key inputs_EB_OWN'!X397/SUM('Key inputs_EB_OWN'!X$396:X$415)),"")</f>
        <v/>
      </c>
      <c r="AE64" s="173">
        <f>IFERROR(IF(AND('Key inputs_EB_OWN'!Y397/SUM('Key inputs_EB_OWN'!Y$396:Y$415)&gt;0,'Key inputs_EB_OWN'!Y397/SUM('Key inputs_EB_OWN'!Y$396:Y$415)&lt;0.001),0.001,'Key inputs_EB_OWN'!Y397/SUM('Key inputs_EB_OWN'!Y$396:Y$415)),"")</f>
        <v>0</v>
      </c>
      <c r="AF64" s="173">
        <f>IFERROR(IF(AND('Key inputs_EB_OWN'!Z397/SUM('Key inputs_EB_OWN'!Z$396:Z$415)&gt;0,'Key inputs_EB_OWN'!Z397/SUM('Key inputs_EB_OWN'!Z$396:Z$415)&lt;0.001),0.001,'Key inputs_EB_OWN'!Z397/SUM('Key inputs_EB_OWN'!Z$396:Z$415)),"")</f>
        <v>0</v>
      </c>
      <c r="AG64" s="173" t="str">
        <f>IFERROR(IF(AND('Key inputs_EB_OWN'!AA397/SUM('Key inputs_EB_OWN'!AA$396:AA$415)&gt;0,'Key inputs_EB_OWN'!AA397/SUM('Key inputs_EB_OWN'!AA$396:AA$415)&lt;0.001),0.001,'Key inputs_EB_OWN'!AA397/SUM('Key inputs_EB_OWN'!AA$396:AA$415)),"")</f>
        <v/>
      </c>
      <c r="AH64" s="173" t="str">
        <f>IFERROR(IF(AND('Key inputs_EB_OWN'!AB397/SUM('Key inputs_EB_OWN'!AB$396:AB$415)&gt;0,'Key inputs_EB_OWN'!AB397/SUM('Key inputs_EB_OWN'!AB$396:AB$415)&lt;0.001),0.001,'Key inputs_EB_OWN'!AB397/SUM('Key inputs_EB_OWN'!AB$396:AB$415)),"")</f>
        <v/>
      </c>
      <c r="AI64" s="173" t="str">
        <f>IFERROR(IF(AND('Key inputs_EB_OWN'!AC397/SUM('Key inputs_EB_OWN'!AC$396:AC$415)&gt;0,'Key inputs_EB_OWN'!AC397/SUM('Key inputs_EB_OWN'!AC$396:AC$415)&lt;0.001),0.001,'Key inputs_EB_OWN'!AC397/SUM('Key inputs_EB_OWN'!AC$396:AC$415)),"")</f>
        <v/>
      </c>
      <c r="AJ64" s="173">
        <f>IFERROR(IF(AND('Key inputs_EB_OWN'!AD397/SUM('Key inputs_EB_OWN'!AD$396:AD$415)&gt;0,'Key inputs_EB_OWN'!AD397/SUM('Key inputs_EB_OWN'!AD$396:AD$415)&lt;0.001),0.001,'Key inputs_EB_OWN'!AD397/SUM('Key inputs_EB_OWN'!AD$396:AD$415)),"")</f>
        <v>0</v>
      </c>
      <c r="AK64" s="173" t="str">
        <f>IFERROR(IF(AND('Key inputs_EB_OWN'!AE397/SUM('Key inputs_EB_OWN'!AE$396:AE$415)&gt;0,'Key inputs_EB_OWN'!AE397/SUM('Key inputs_EB_OWN'!AE$396:AE$415)&lt;0.001),0.001,'Key inputs_EB_OWN'!AE397/SUM('Key inputs_EB_OWN'!AE$396:AE$415)),"")</f>
        <v/>
      </c>
      <c r="AL64" s="173">
        <f>IFERROR(IF(AND('Key inputs_EB_OWN'!AF397/SUM('Key inputs_EB_OWN'!AF$396:AF$415)&gt;0,'Key inputs_EB_OWN'!AF397/SUM('Key inputs_EB_OWN'!AF$396:AF$415)&lt;0.001),0.001,'Key inputs_EB_OWN'!AF397/SUM('Key inputs_EB_OWN'!AF$396:AF$415)),"")</f>
        <v>0</v>
      </c>
    </row>
    <row r="65" spans="1:38">
      <c r="A65" s="4"/>
      <c r="B65" s="4"/>
      <c r="C65" s="4" t="str">
        <f>Commodities!$C$85</f>
        <v>UPSBIO</v>
      </c>
      <c r="D65" s="4"/>
      <c r="E65" s="4" t="s">
        <v>359</v>
      </c>
      <c r="G65" t="s">
        <v>693</v>
      </c>
      <c r="H65" s="4" t="s">
        <v>661</v>
      </c>
      <c r="I65">
        <v>2019</v>
      </c>
      <c r="J65" t="s">
        <v>650</v>
      </c>
      <c r="K65" s="173">
        <f>IFERROR(IF(AND('Key inputs_EB_OWN'!E399/SUM('Key inputs_EB_OWN'!E$396:E$415)&gt;0,'Key inputs_EB_OWN'!E399/SUM('Key inputs_EB_OWN'!E$396:E$415)&lt;0.001),0.001,'Key inputs_EB_OWN'!E399/SUM('Key inputs_EB_OWN'!E$396:E$415)),"")</f>
        <v>0</v>
      </c>
      <c r="L65" s="173" t="str">
        <f>IFERROR(IF(AND('Key inputs_EB_OWN'!F399/SUM('Key inputs_EB_OWN'!F$396:F$415)&gt;0,'Key inputs_EB_OWN'!F399/SUM('Key inputs_EB_OWN'!F$396:F$415)&lt;0.001),0.001,'Key inputs_EB_OWN'!F399/SUM('Key inputs_EB_OWN'!F$396:F$415)),"")</f>
        <v/>
      </c>
      <c r="M65" s="173" t="str">
        <f>IFERROR(IF(AND('Key inputs_EB_OWN'!G399/SUM('Key inputs_EB_OWN'!G$396:G$415)&gt;0,'Key inputs_EB_OWN'!G399/SUM('Key inputs_EB_OWN'!G$396:G$415)&lt;0.001),0.001,'Key inputs_EB_OWN'!G399/SUM('Key inputs_EB_OWN'!G$396:G$415)),"")</f>
        <v/>
      </c>
      <c r="N65" s="173" t="str">
        <f>IFERROR(IF(AND('Key inputs_EB_OWN'!H399/SUM('Key inputs_EB_OWN'!H$396:H$415)&gt;0,'Key inputs_EB_OWN'!H399/SUM('Key inputs_EB_OWN'!H$396:H$415)&lt;0.001),0.001,'Key inputs_EB_OWN'!H399/SUM('Key inputs_EB_OWN'!H$396:H$415)),"")</f>
        <v/>
      </c>
      <c r="O65" s="173">
        <f>IFERROR(IF(AND('Key inputs_EB_OWN'!I399/SUM('Key inputs_EB_OWN'!I$396:I$415)&gt;0,'Key inputs_EB_OWN'!I399/SUM('Key inputs_EB_OWN'!I$396:I$415)&lt;0.001),0.001,'Key inputs_EB_OWN'!I399/SUM('Key inputs_EB_OWN'!I$396:I$415)),"")</f>
        <v>0</v>
      </c>
      <c r="P65" s="173">
        <f>IFERROR(IF(AND('Key inputs_EB_OWN'!J399/SUM('Key inputs_EB_OWN'!J$396:J$415)&gt;0,'Key inputs_EB_OWN'!J399/SUM('Key inputs_EB_OWN'!J$396:J$415)&lt;0.001),0.001,'Key inputs_EB_OWN'!J399/SUM('Key inputs_EB_OWN'!J$396:J$415)),"")</f>
        <v>0</v>
      </c>
      <c r="Q65" s="173" t="str">
        <f>IFERROR(IF(AND('Key inputs_EB_OWN'!K399/SUM('Key inputs_EB_OWN'!K$396:K$415)&gt;0,'Key inputs_EB_OWN'!K399/SUM('Key inputs_EB_OWN'!K$396:K$415)&lt;0.001),0.001,'Key inputs_EB_OWN'!K399/SUM('Key inputs_EB_OWN'!K$396:K$415)),"")</f>
        <v/>
      </c>
      <c r="R65" s="173" t="str">
        <f>IFERROR(IF(AND('Key inputs_EB_OWN'!L399/SUM('Key inputs_EB_OWN'!L$396:L$415)&gt;0,'Key inputs_EB_OWN'!L399/SUM('Key inputs_EB_OWN'!L$396:L$415)&lt;0.001),0.001,'Key inputs_EB_OWN'!L399/SUM('Key inputs_EB_OWN'!L$396:L$415)),"")</f>
        <v/>
      </c>
      <c r="S65" s="173" t="str">
        <f>IFERROR(IF(AND('Key inputs_EB_OWN'!M399/SUM('Key inputs_EB_OWN'!M$396:M$415)&gt;0,'Key inputs_EB_OWN'!M399/SUM('Key inputs_EB_OWN'!M$396:M$415)&lt;0.001),0.001,'Key inputs_EB_OWN'!M399/SUM('Key inputs_EB_OWN'!M$396:M$415)),"")</f>
        <v/>
      </c>
      <c r="T65" s="173">
        <f>IFERROR(IF(AND('Key inputs_EB_OWN'!N399/SUM('Key inputs_EB_OWN'!N$396:N$415)&gt;0,'Key inputs_EB_OWN'!N399/SUM('Key inputs_EB_OWN'!N$396:N$415)&lt;0.001),0.001,'Key inputs_EB_OWN'!N399/SUM('Key inputs_EB_OWN'!N$396:N$415)),"")</f>
        <v>0</v>
      </c>
      <c r="U65" s="173" t="str">
        <f>IFERROR(IF(AND('Key inputs_EB_OWN'!O399/SUM('Key inputs_EB_OWN'!O$396:O$415)&gt;0,'Key inputs_EB_OWN'!O399/SUM('Key inputs_EB_OWN'!O$396:O$415)&lt;0.001),0.001,'Key inputs_EB_OWN'!O399/SUM('Key inputs_EB_OWN'!O$396:O$415)),"")</f>
        <v/>
      </c>
      <c r="V65" s="173" t="str">
        <f>IFERROR(IF(AND('Key inputs_EB_OWN'!P399/SUM('Key inputs_EB_OWN'!P$396:P$415)&gt;0,'Key inputs_EB_OWN'!P399/SUM('Key inputs_EB_OWN'!P$396:P$415)&lt;0.001),0.001,'Key inputs_EB_OWN'!P399/SUM('Key inputs_EB_OWN'!P$396:P$415)),"")</f>
        <v/>
      </c>
      <c r="W65" s="173">
        <f>IFERROR(IF(AND('Key inputs_EB_OWN'!Q399/SUM('Key inputs_EB_OWN'!Q$396:Q$415)&gt;0,'Key inputs_EB_OWN'!Q399/SUM('Key inputs_EB_OWN'!Q$396:Q$415)&lt;0.001),0.001,'Key inputs_EB_OWN'!Q399/SUM('Key inputs_EB_OWN'!Q$396:Q$415)),"")</f>
        <v>0</v>
      </c>
      <c r="X65" s="173" t="str">
        <f>IFERROR(IF(AND('Key inputs_EB_OWN'!R399/SUM('Key inputs_EB_OWN'!R$396:R$415)&gt;0,'Key inputs_EB_OWN'!R399/SUM('Key inputs_EB_OWN'!R$396:R$415)&lt;0.001),0.001,'Key inputs_EB_OWN'!R399/SUM('Key inputs_EB_OWN'!R$396:R$415)),"")</f>
        <v/>
      </c>
      <c r="Y65" s="173">
        <f>IFERROR(IF(AND('Key inputs_EB_OWN'!S399/SUM('Key inputs_EB_OWN'!S$396:S$415)&gt;0,'Key inputs_EB_OWN'!S399/SUM('Key inputs_EB_OWN'!S$396:S$415)&lt;0.001),0.001,'Key inputs_EB_OWN'!S399/SUM('Key inputs_EB_OWN'!S$396:S$415)),"")</f>
        <v>0</v>
      </c>
      <c r="Z65" s="173">
        <f>IFERROR(IF(AND('Key inputs_EB_OWN'!T399/SUM('Key inputs_EB_OWN'!T$396:T$415)&gt;0,'Key inputs_EB_OWN'!T399/SUM('Key inputs_EB_OWN'!T$396:T$415)&lt;0.001),0.001,'Key inputs_EB_OWN'!T399/SUM('Key inputs_EB_OWN'!T$396:T$415)),"")</f>
        <v>0</v>
      </c>
      <c r="AA65" s="173">
        <f>IFERROR(IF(AND('Key inputs_EB_OWN'!U399/SUM('Key inputs_EB_OWN'!U$396:U$415)&gt;0,'Key inputs_EB_OWN'!U399/SUM('Key inputs_EB_OWN'!U$396:U$415)&lt;0.001),0.001,'Key inputs_EB_OWN'!U399/SUM('Key inputs_EB_OWN'!U$396:U$415)),"")</f>
        <v>0</v>
      </c>
      <c r="AB65" s="173" t="str">
        <f>IFERROR(IF(AND('Key inputs_EB_OWN'!V399/SUM('Key inputs_EB_OWN'!V$396:V$415)&gt;0,'Key inputs_EB_OWN'!V399/SUM('Key inputs_EB_OWN'!V$396:V$415)&lt;0.001),0.001,'Key inputs_EB_OWN'!V399/SUM('Key inputs_EB_OWN'!V$396:V$415)),"")</f>
        <v/>
      </c>
      <c r="AC65" s="173" t="str">
        <f>IFERROR(IF(AND('Key inputs_EB_OWN'!W399/SUM('Key inputs_EB_OWN'!W$396:W$415)&gt;0,'Key inputs_EB_OWN'!W399/SUM('Key inputs_EB_OWN'!W$396:W$415)&lt;0.001),0.001,'Key inputs_EB_OWN'!W399/SUM('Key inputs_EB_OWN'!W$396:W$415)),"")</f>
        <v/>
      </c>
      <c r="AD65" s="173" t="str">
        <f>IFERROR(IF(AND('Key inputs_EB_OWN'!X399/SUM('Key inputs_EB_OWN'!X$396:X$415)&gt;0,'Key inputs_EB_OWN'!X399/SUM('Key inputs_EB_OWN'!X$396:X$415)&lt;0.001),0.001,'Key inputs_EB_OWN'!X399/SUM('Key inputs_EB_OWN'!X$396:X$415)),"")</f>
        <v/>
      </c>
      <c r="AE65" s="173">
        <f>IFERROR(IF(AND('Key inputs_EB_OWN'!Y399/SUM('Key inputs_EB_OWN'!Y$396:Y$415)&gt;0,'Key inputs_EB_OWN'!Y399/SUM('Key inputs_EB_OWN'!Y$396:Y$415)&lt;0.001),0.001,'Key inputs_EB_OWN'!Y399/SUM('Key inputs_EB_OWN'!Y$396:Y$415)),"")</f>
        <v>0</v>
      </c>
      <c r="AF65" s="173">
        <f>IFERROR(IF(AND('Key inputs_EB_OWN'!Z399/SUM('Key inputs_EB_OWN'!Z$396:Z$415)&gt;0,'Key inputs_EB_OWN'!Z399/SUM('Key inputs_EB_OWN'!Z$396:Z$415)&lt;0.001),0.001,'Key inputs_EB_OWN'!Z399/SUM('Key inputs_EB_OWN'!Z$396:Z$415)),"")</f>
        <v>0</v>
      </c>
      <c r="AG65" s="173" t="str">
        <f>IFERROR(IF(AND('Key inputs_EB_OWN'!AA399/SUM('Key inputs_EB_OWN'!AA$396:AA$415)&gt;0,'Key inputs_EB_OWN'!AA399/SUM('Key inputs_EB_OWN'!AA$396:AA$415)&lt;0.001),0.001,'Key inputs_EB_OWN'!AA399/SUM('Key inputs_EB_OWN'!AA$396:AA$415)),"")</f>
        <v/>
      </c>
      <c r="AH65" s="173" t="str">
        <f>IFERROR(IF(AND('Key inputs_EB_OWN'!AB399/SUM('Key inputs_EB_OWN'!AB$396:AB$415)&gt;0,'Key inputs_EB_OWN'!AB399/SUM('Key inputs_EB_OWN'!AB$396:AB$415)&lt;0.001),0.001,'Key inputs_EB_OWN'!AB399/SUM('Key inputs_EB_OWN'!AB$396:AB$415)),"")</f>
        <v/>
      </c>
      <c r="AI65" s="173" t="str">
        <f>IFERROR(IF(AND('Key inputs_EB_OWN'!AC399/SUM('Key inputs_EB_OWN'!AC$396:AC$415)&gt;0,'Key inputs_EB_OWN'!AC399/SUM('Key inputs_EB_OWN'!AC$396:AC$415)&lt;0.001),0.001,'Key inputs_EB_OWN'!AC399/SUM('Key inputs_EB_OWN'!AC$396:AC$415)),"")</f>
        <v/>
      </c>
      <c r="AJ65" s="173">
        <f>IFERROR(IF(AND('Key inputs_EB_OWN'!AD399/SUM('Key inputs_EB_OWN'!AD$396:AD$415)&gt;0,'Key inputs_EB_OWN'!AD399/SUM('Key inputs_EB_OWN'!AD$396:AD$415)&lt;0.001),0.001,'Key inputs_EB_OWN'!AD399/SUM('Key inputs_EB_OWN'!AD$396:AD$415)),"")</f>
        <v>0</v>
      </c>
      <c r="AK65" s="173" t="str">
        <f>IFERROR(IF(AND('Key inputs_EB_OWN'!AE399/SUM('Key inputs_EB_OWN'!AE$396:AE$415)&gt;0,'Key inputs_EB_OWN'!AE399/SUM('Key inputs_EB_OWN'!AE$396:AE$415)&lt;0.001),0.001,'Key inputs_EB_OWN'!AE399/SUM('Key inputs_EB_OWN'!AE$396:AE$415)),"")</f>
        <v/>
      </c>
      <c r="AL65" s="173">
        <f>IFERROR(IF(AND('Key inputs_EB_OWN'!AF399/SUM('Key inputs_EB_OWN'!AF$396:AF$415)&gt;0,'Key inputs_EB_OWN'!AF399/SUM('Key inputs_EB_OWN'!AF$396:AF$415)&lt;0.001),0.001,'Key inputs_EB_OWN'!AF399/SUM('Key inputs_EB_OWN'!AF$396:AF$415)),"")</f>
        <v>0</v>
      </c>
    </row>
    <row r="66" spans="1:38">
      <c r="A66" s="4"/>
      <c r="B66" s="4"/>
      <c r="C66" s="4" t="str">
        <f>Commodities!$C$86</f>
        <v>UPSCOA</v>
      </c>
      <c r="D66" s="4"/>
      <c r="E66" s="4" t="s">
        <v>359</v>
      </c>
      <c r="G66" t="s">
        <v>693</v>
      </c>
      <c r="H66" s="4" t="s">
        <v>661</v>
      </c>
      <c r="I66">
        <v>2019</v>
      </c>
      <c r="J66" t="s">
        <v>650</v>
      </c>
      <c r="K66" s="173">
        <f>IFERROR(IF(AND('Key inputs_EB_OWN'!E400/SUM('Key inputs_EB_OWN'!E$396:E$415)&gt;0,'Key inputs_EB_OWN'!E400/SUM('Key inputs_EB_OWN'!E$396:E$415)&lt;0.001),0.001,'Key inputs_EB_OWN'!E400/SUM('Key inputs_EB_OWN'!E$396:E$415)),"")</f>
        <v>0</v>
      </c>
      <c r="L66" s="173" t="str">
        <f>IFERROR(IF(AND('Key inputs_EB_OWN'!F400/SUM('Key inputs_EB_OWN'!F$396:F$415)&gt;0,'Key inputs_EB_OWN'!F400/SUM('Key inputs_EB_OWN'!F$396:F$415)&lt;0.001),0.001,'Key inputs_EB_OWN'!F400/SUM('Key inputs_EB_OWN'!F$396:F$415)),"")</f>
        <v/>
      </c>
      <c r="M66" s="173" t="str">
        <f>IFERROR(IF(AND('Key inputs_EB_OWN'!G400/SUM('Key inputs_EB_OWN'!G$396:G$415)&gt;0,'Key inputs_EB_OWN'!G400/SUM('Key inputs_EB_OWN'!G$396:G$415)&lt;0.001),0.001,'Key inputs_EB_OWN'!G400/SUM('Key inputs_EB_OWN'!G$396:G$415)),"")</f>
        <v/>
      </c>
      <c r="N66" s="173" t="str">
        <f>IFERROR(IF(AND('Key inputs_EB_OWN'!H400/SUM('Key inputs_EB_OWN'!H$396:H$415)&gt;0,'Key inputs_EB_OWN'!H400/SUM('Key inputs_EB_OWN'!H$396:H$415)&lt;0.001),0.001,'Key inputs_EB_OWN'!H400/SUM('Key inputs_EB_OWN'!H$396:H$415)),"")</f>
        <v/>
      </c>
      <c r="O66" s="173">
        <f>IFERROR(IF(AND('Key inputs_EB_OWN'!I400/SUM('Key inputs_EB_OWN'!I$396:I$415)&gt;0,'Key inputs_EB_OWN'!I400/SUM('Key inputs_EB_OWN'!I$396:I$415)&lt;0.001),0.001,'Key inputs_EB_OWN'!I400/SUM('Key inputs_EB_OWN'!I$396:I$415)),"")</f>
        <v>3.7590491396211211E-3</v>
      </c>
      <c r="P66" s="173">
        <f>IFERROR(IF(AND('Key inputs_EB_OWN'!J400/SUM('Key inputs_EB_OWN'!J$396:J$415)&gt;0,'Key inputs_EB_OWN'!J400/SUM('Key inputs_EB_OWN'!J$396:J$415)&lt;0.001),0.001,'Key inputs_EB_OWN'!J400/SUM('Key inputs_EB_OWN'!J$396:J$415)),"")</f>
        <v>0.72693997051493908</v>
      </c>
      <c r="Q66" s="173" t="str">
        <f>IFERROR(IF(AND('Key inputs_EB_OWN'!K400/SUM('Key inputs_EB_OWN'!K$396:K$415)&gt;0,'Key inputs_EB_OWN'!K400/SUM('Key inputs_EB_OWN'!K$396:K$415)&lt;0.001),0.001,'Key inputs_EB_OWN'!K400/SUM('Key inputs_EB_OWN'!K$396:K$415)),"")</f>
        <v/>
      </c>
      <c r="R66" s="173" t="str">
        <f>IFERROR(IF(AND('Key inputs_EB_OWN'!L400/SUM('Key inputs_EB_OWN'!L$396:L$415)&gt;0,'Key inputs_EB_OWN'!L400/SUM('Key inputs_EB_OWN'!L$396:L$415)&lt;0.001),0.001,'Key inputs_EB_OWN'!L400/SUM('Key inputs_EB_OWN'!L$396:L$415)),"")</f>
        <v/>
      </c>
      <c r="S66" s="173" t="str">
        <f>IFERROR(IF(AND('Key inputs_EB_OWN'!M400/SUM('Key inputs_EB_OWN'!M$396:M$415)&gt;0,'Key inputs_EB_OWN'!M400/SUM('Key inputs_EB_OWN'!M$396:M$415)&lt;0.001),0.001,'Key inputs_EB_OWN'!M400/SUM('Key inputs_EB_OWN'!M$396:M$415)),"")</f>
        <v/>
      </c>
      <c r="T66" s="173">
        <f>IFERROR(IF(AND('Key inputs_EB_OWN'!N400/SUM('Key inputs_EB_OWN'!N$396:N$415)&gt;0,'Key inputs_EB_OWN'!N400/SUM('Key inputs_EB_OWN'!N$396:N$415)&lt;0.001),0.001,'Key inputs_EB_OWN'!N400/SUM('Key inputs_EB_OWN'!N$396:N$415)),"")</f>
        <v>0</v>
      </c>
      <c r="U66" s="173" t="str">
        <f>IFERROR(IF(AND('Key inputs_EB_OWN'!O400/SUM('Key inputs_EB_OWN'!O$396:O$415)&gt;0,'Key inputs_EB_OWN'!O400/SUM('Key inputs_EB_OWN'!O$396:O$415)&lt;0.001),0.001,'Key inputs_EB_OWN'!O400/SUM('Key inputs_EB_OWN'!O$396:O$415)),"")</f>
        <v/>
      </c>
      <c r="V66" s="173" t="str">
        <f>IFERROR(IF(AND('Key inputs_EB_OWN'!P400/SUM('Key inputs_EB_OWN'!P$396:P$415)&gt;0,'Key inputs_EB_OWN'!P400/SUM('Key inputs_EB_OWN'!P$396:P$415)&lt;0.001),0.001,'Key inputs_EB_OWN'!P400/SUM('Key inputs_EB_OWN'!P$396:P$415)),"")</f>
        <v/>
      </c>
      <c r="W66" s="173">
        <f>IFERROR(IF(AND('Key inputs_EB_OWN'!Q400/SUM('Key inputs_EB_OWN'!Q$396:Q$415)&gt;0,'Key inputs_EB_OWN'!Q400/SUM('Key inputs_EB_OWN'!Q$396:Q$415)&lt;0.001),0.001,'Key inputs_EB_OWN'!Q400/SUM('Key inputs_EB_OWN'!Q$396:Q$415)),"")</f>
        <v>3.6865728051901146E-3</v>
      </c>
      <c r="X66" s="173" t="str">
        <f>IFERROR(IF(AND('Key inputs_EB_OWN'!R400/SUM('Key inputs_EB_OWN'!R$396:R$415)&gt;0,'Key inputs_EB_OWN'!R400/SUM('Key inputs_EB_OWN'!R$396:R$415)&lt;0.001),0.001,'Key inputs_EB_OWN'!R400/SUM('Key inputs_EB_OWN'!R$396:R$415)),"")</f>
        <v/>
      </c>
      <c r="Y66" s="173">
        <f>IFERROR(IF(AND('Key inputs_EB_OWN'!S400/SUM('Key inputs_EB_OWN'!S$396:S$415)&gt;0,'Key inputs_EB_OWN'!S400/SUM('Key inputs_EB_OWN'!S$396:S$415)&lt;0.001),0.001,'Key inputs_EB_OWN'!S400/SUM('Key inputs_EB_OWN'!S$396:S$415)),"")</f>
        <v>2.7779769810868046E-2</v>
      </c>
      <c r="Z66" s="173">
        <f>IFERROR(IF(AND('Key inputs_EB_OWN'!T400/SUM('Key inputs_EB_OWN'!T$396:T$415)&gt;0,'Key inputs_EB_OWN'!T400/SUM('Key inputs_EB_OWN'!T$396:T$415)&lt;0.001),0.001,'Key inputs_EB_OWN'!T400/SUM('Key inputs_EB_OWN'!T$396:T$415)),"")</f>
        <v>0</v>
      </c>
      <c r="AA66" s="173">
        <f>IFERROR(IF(AND('Key inputs_EB_OWN'!U400/SUM('Key inputs_EB_OWN'!U$396:U$415)&gt;0,'Key inputs_EB_OWN'!U400/SUM('Key inputs_EB_OWN'!U$396:U$415)&lt;0.001),0.001,'Key inputs_EB_OWN'!U400/SUM('Key inputs_EB_OWN'!U$396:U$415)),"")</f>
        <v>3.093327369719728E-2</v>
      </c>
      <c r="AB66" s="173" t="str">
        <f>IFERROR(IF(AND('Key inputs_EB_OWN'!V400/SUM('Key inputs_EB_OWN'!V$396:V$415)&gt;0,'Key inputs_EB_OWN'!V400/SUM('Key inputs_EB_OWN'!V$396:V$415)&lt;0.001),0.001,'Key inputs_EB_OWN'!V400/SUM('Key inputs_EB_OWN'!V$396:V$415)),"")</f>
        <v/>
      </c>
      <c r="AC66" s="173" t="str">
        <f>IFERROR(IF(AND('Key inputs_EB_OWN'!W400/SUM('Key inputs_EB_OWN'!W$396:W$415)&gt;0,'Key inputs_EB_OWN'!W400/SUM('Key inputs_EB_OWN'!W$396:W$415)&lt;0.001),0.001,'Key inputs_EB_OWN'!W400/SUM('Key inputs_EB_OWN'!W$396:W$415)),"")</f>
        <v/>
      </c>
      <c r="AD66" s="173" t="str">
        <f>IFERROR(IF(AND('Key inputs_EB_OWN'!X400/SUM('Key inputs_EB_OWN'!X$396:X$415)&gt;0,'Key inputs_EB_OWN'!X400/SUM('Key inputs_EB_OWN'!X$396:X$415)&lt;0.001),0.001,'Key inputs_EB_OWN'!X400/SUM('Key inputs_EB_OWN'!X$396:X$415)),"")</f>
        <v/>
      </c>
      <c r="AE66" s="173">
        <f>IFERROR(IF(AND('Key inputs_EB_OWN'!Y400/SUM('Key inputs_EB_OWN'!Y$396:Y$415)&gt;0,'Key inputs_EB_OWN'!Y400/SUM('Key inputs_EB_OWN'!Y$396:Y$415)&lt;0.001),0.001,'Key inputs_EB_OWN'!Y400/SUM('Key inputs_EB_OWN'!Y$396:Y$415)),"")</f>
        <v>0</v>
      </c>
      <c r="AF66" s="173">
        <f>IFERROR(IF(AND('Key inputs_EB_OWN'!Z400/SUM('Key inputs_EB_OWN'!Z$396:Z$415)&gt;0,'Key inputs_EB_OWN'!Z400/SUM('Key inputs_EB_OWN'!Z$396:Z$415)&lt;0.001),0.001,'Key inputs_EB_OWN'!Z400/SUM('Key inputs_EB_OWN'!Z$396:Z$415)),"")</f>
        <v>0</v>
      </c>
      <c r="AG66" s="173" t="str">
        <f>IFERROR(IF(AND('Key inputs_EB_OWN'!AA400/SUM('Key inputs_EB_OWN'!AA$396:AA$415)&gt;0,'Key inputs_EB_OWN'!AA400/SUM('Key inputs_EB_OWN'!AA$396:AA$415)&lt;0.001),0.001,'Key inputs_EB_OWN'!AA400/SUM('Key inputs_EB_OWN'!AA$396:AA$415)),"")</f>
        <v/>
      </c>
      <c r="AH66" s="173" t="str">
        <f>IFERROR(IF(AND('Key inputs_EB_OWN'!AB400/SUM('Key inputs_EB_OWN'!AB$396:AB$415)&gt;0,'Key inputs_EB_OWN'!AB400/SUM('Key inputs_EB_OWN'!AB$396:AB$415)&lt;0.001),0.001,'Key inputs_EB_OWN'!AB400/SUM('Key inputs_EB_OWN'!AB$396:AB$415)),"")</f>
        <v/>
      </c>
      <c r="AI66" s="173" t="str">
        <f>IFERROR(IF(AND('Key inputs_EB_OWN'!AC400/SUM('Key inputs_EB_OWN'!AC$396:AC$415)&gt;0,'Key inputs_EB_OWN'!AC400/SUM('Key inputs_EB_OWN'!AC$396:AC$415)&lt;0.001),0.001,'Key inputs_EB_OWN'!AC400/SUM('Key inputs_EB_OWN'!AC$396:AC$415)),"")</f>
        <v/>
      </c>
      <c r="AJ66" s="173">
        <f>IFERROR(IF(AND('Key inputs_EB_OWN'!AD400/SUM('Key inputs_EB_OWN'!AD$396:AD$415)&gt;0,'Key inputs_EB_OWN'!AD400/SUM('Key inputs_EB_OWN'!AD$396:AD$415)&lt;0.001),0.001,'Key inputs_EB_OWN'!AD400/SUM('Key inputs_EB_OWN'!AD$396:AD$415)),"")</f>
        <v>3.4344367577983606E-2</v>
      </c>
      <c r="AK66" s="173" t="str">
        <f>IFERROR(IF(AND('Key inputs_EB_OWN'!AE400/SUM('Key inputs_EB_OWN'!AE$396:AE$415)&gt;0,'Key inputs_EB_OWN'!AE400/SUM('Key inputs_EB_OWN'!AE$396:AE$415)&lt;0.001),0.001,'Key inputs_EB_OWN'!AE400/SUM('Key inputs_EB_OWN'!AE$396:AE$415)),"")</f>
        <v/>
      </c>
      <c r="AL66" s="173">
        <f>IFERROR(IF(AND('Key inputs_EB_OWN'!AF400/SUM('Key inputs_EB_OWN'!AF$396:AF$415)&gt;0,'Key inputs_EB_OWN'!AF400/SUM('Key inputs_EB_OWN'!AF$396:AF$415)&lt;0.001),0.001,'Key inputs_EB_OWN'!AF400/SUM('Key inputs_EB_OWN'!AF$396:AF$415)),"")</f>
        <v>1.9938440942696874E-3</v>
      </c>
    </row>
    <row r="67" spans="1:38">
      <c r="A67" s="4"/>
      <c r="B67" s="4"/>
      <c r="C67" s="4" t="str">
        <f>Commodities!$C$87</f>
        <v>UPSCOACOL</v>
      </c>
      <c r="D67" s="4"/>
      <c r="E67" s="4" t="s">
        <v>359</v>
      </c>
      <c r="G67" t="s">
        <v>693</v>
      </c>
      <c r="H67" s="4" t="s">
        <v>661</v>
      </c>
      <c r="I67">
        <v>2019</v>
      </c>
      <c r="J67" t="s">
        <v>650</v>
      </c>
      <c r="K67" s="173">
        <f>IFERROR(IF(AND('Key inputs_EB_OWN'!E401/SUM('Key inputs_EB_OWN'!E$396:E$415)&gt;0,'Key inputs_EB_OWN'!E401/SUM('Key inputs_EB_OWN'!E$396:E$415)&lt;0.001),0.001,'Key inputs_EB_OWN'!E401/SUM('Key inputs_EB_OWN'!E$396:E$415)),"")</f>
        <v>0</v>
      </c>
      <c r="L67" s="173" t="str">
        <f>IFERROR(IF(AND('Key inputs_EB_OWN'!F401/SUM('Key inputs_EB_OWN'!F$396:F$415)&gt;0,'Key inputs_EB_OWN'!F401/SUM('Key inputs_EB_OWN'!F$396:F$415)&lt;0.001),0.001,'Key inputs_EB_OWN'!F401/SUM('Key inputs_EB_OWN'!F$396:F$415)),"")</f>
        <v/>
      </c>
      <c r="M67" s="173" t="str">
        <f>IFERROR(IF(AND('Key inputs_EB_OWN'!G401/SUM('Key inputs_EB_OWN'!G$396:G$415)&gt;0,'Key inputs_EB_OWN'!G401/SUM('Key inputs_EB_OWN'!G$396:G$415)&lt;0.001),0.001,'Key inputs_EB_OWN'!G401/SUM('Key inputs_EB_OWN'!G$396:G$415)),"")</f>
        <v/>
      </c>
      <c r="N67" s="173" t="str">
        <f>IFERROR(IF(AND('Key inputs_EB_OWN'!H401/SUM('Key inputs_EB_OWN'!H$396:H$415)&gt;0,'Key inputs_EB_OWN'!H401/SUM('Key inputs_EB_OWN'!H$396:H$415)&lt;0.001),0.001,'Key inputs_EB_OWN'!H401/SUM('Key inputs_EB_OWN'!H$396:H$415)),"")</f>
        <v/>
      </c>
      <c r="O67" s="173">
        <f>IFERROR(IF(AND('Key inputs_EB_OWN'!I401/SUM('Key inputs_EB_OWN'!I$396:I$415)&gt;0,'Key inputs_EB_OWN'!I401/SUM('Key inputs_EB_OWN'!I$396:I$415)&lt;0.001),0.001,'Key inputs_EB_OWN'!I401/SUM('Key inputs_EB_OWN'!I$396:I$415)),"")</f>
        <v>0</v>
      </c>
      <c r="P67" s="173">
        <f>IFERROR(IF(AND('Key inputs_EB_OWN'!J401/SUM('Key inputs_EB_OWN'!J$396:J$415)&gt;0,'Key inputs_EB_OWN'!J401/SUM('Key inputs_EB_OWN'!J$396:J$415)&lt;0.001),0.001,'Key inputs_EB_OWN'!J401/SUM('Key inputs_EB_OWN'!J$396:J$415)),"")</f>
        <v>2.7862114093278297E-3</v>
      </c>
      <c r="Q67" s="173" t="str">
        <f>IFERROR(IF(AND('Key inputs_EB_OWN'!K401/SUM('Key inputs_EB_OWN'!K$396:K$415)&gt;0,'Key inputs_EB_OWN'!K401/SUM('Key inputs_EB_OWN'!K$396:K$415)&lt;0.001),0.001,'Key inputs_EB_OWN'!K401/SUM('Key inputs_EB_OWN'!K$396:K$415)),"")</f>
        <v/>
      </c>
      <c r="R67" s="173" t="str">
        <f>IFERROR(IF(AND('Key inputs_EB_OWN'!L401/SUM('Key inputs_EB_OWN'!L$396:L$415)&gt;0,'Key inputs_EB_OWN'!L401/SUM('Key inputs_EB_OWN'!L$396:L$415)&lt;0.001),0.001,'Key inputs_EB_OWN'!L401/SUM('Key inputs_EB_OWN'!L$396:L$415)),"")</f>
        <v/>
      </c>
      <c r="S67" s="173" t="str">
        <f>IFERROR(IF(AND('Key inputs_EB_OWN'!M401/SUM('Key inputs_EB_OWN'!M$396:M$415)&gt;0,'Key inputs_EB_OWN'!M401/SUM('Key inputs_EB_OWN'!M$396:M$415)&lt;0.001),0.001,'Key inputs_EB_OWN'!M401/SUM('Key inputs_EB_OWN'!M$396:M$415)),"")</f>
        <v/>
      </c>
      <c r="T67" s="173">
        <f>IFERROR(IF(AND('Key inputs_EB_OWN'!N401/SUM('Key inputs_EB_OWN'!N$396:N$415)&gt;0,'Key inputs_EB_OWN'!N401/SUM('Key inputs_EB_OWN'!N$396:N$415)&lt;0.001),0.001,'Key inputs_EB_OWN'!N401/SUM('Key inputs_EB_OWN'!N$396:N$415)),"")</f>
        <v>0</v>
      </c>
      <c r="U67" s="173" t="str">
        <f>IFERROR(IF(AND('Key inputs_EB_OWN'!O401/SUM('Key inputs_EB_OWN'!O$396:O$415)&gt;0,'Key inputs_EB_OWN'!O401/SUM('Key inputs_EB_OWN'!O$396:O$415)&lt;0.001),0.001,'Key inputs_EB_OWN'!O401/SUM('Key inputs_EB_OWN'!O$396:O$415)),"")</f>
        <v/>
      </c>
      <c r="V67" s="173" t="str">
        <f>IFERROR(IF(AND('Key inputs_EB_OWN'!P401/SUM('Key inputs_EB_OWN'!P$396:P$415)&gt;0,'Key inputs_EB_OWN'!P401/SUM('Key inputs_EB_OWN'!P$396:P$415)&lt;0.001),0.001,'Key inputs_EB_OWN'!P401/SUM('Key inputs_EB_OWN'!P$396:P$415)),"")</f>
        <v/>
      </c>
      <c r="W67" s="173">
        <f>IFERROR(IF(AND('Key inputs_EB_OWN'!Q401/SUM('Key inputs_EB_OWN'!Q$396:Q$415)&gt;0,'Key inputs_EB_OWN'!Q401/SUM('Key inputs_EB_OWN'!Q$396:Q$415)&lt;0.001),0.001,'Key inputs_EB_OWN'!Q401/SUM('Key inputs_EB_OWN'!Q$396:Q$415)),"")</f>
        <v>0</v>
      </c>
      <c r="X67" s="173" t="str">
        <f>IFERROR(IF(AND('Key inputs_EB_OWN'!R401/SUM('Key inputs_EB_OWN'!R$396:R$415)&gt;0,'Key inputs_EB_OWN'!R401/SUM('Key inputs_EB_OWN'!R$396:R$415)&lt;0.001),0.001,'Key inputs_EB_OWN'!R401/SUM('Key inputs_EB_OWN'!R$396:R$415)),"")</f>
        <v/>
      </c>
      <c r="Y67" s="173">
        <f>IFERROR(IF(AND('Key inputs_EB_OWN'!S401/SUM('Key inputs_EB_OWN'!S$396:S$415)&gt;0,'Key inputs_EB_OWN'!S401/SUM('Key inputs_EB_OWN'!S$396:S$415)&lt;0.001),0.001,'Key inputs_EB_OWN'!S401/SUM('Key inputs_EB_OWN'!S$396:S$415)),"")</f>
        <v>0.1981168279134507</v>
      </c>
      <c r="Z67" s="173">
        <f>IFERROR(IF(AND('Key inputs_EB_OWN'!T401/SUM('Key inputs_EB_OWN'!T$396:T$415)&gt;0,'Key inputs_EB_OWN'!T401/SUM('Key inputs_EB_OWN'!T$396:T$415)&lt;0.001),0.001,'Key inputs_EB_OWN'!T401/SUM('Key inputs_EB_OWN'!T$396:T$415)),"")</f>
        <v>0</v>
      </c>
      <c r="AA67" s="173">
        <f>IFERROR(IF(AND('Key inputs_EB_OWN'!U401/SUM('Key inputs_EB_OWN'!U$396:U$415)&gt;0,'Key inputs_EB_OWN'!U401/SUM('Key inputs_EB_OWN'!U$396:U$415)&lt;0.001),0.001,'Key inputs_EB_OWN'!U401/SUM('Key inputs_EB_OWN'!U$396:U$415)),"")</f>
        <v>0</v>
      </c>
      <c r="AB67" s="173" t="str">
        <f>IFERROR(IF(AND('Key inputs_EB_OWN'!V401/SUM('Key inputs_EB_OWN'!V$396:V$415)&gt;0,'Key inputs_EB_OWN'!V401/SUM('Key inputs_EB_OWN'!V$396:V$415)&lt;0.001),0.001,'Key inputs_EB_OWN'!V401/SUM('Key inputs_EB_OWN'!V$396:V$415)),"")</f>
        <v/>
      </c>
      <c r="AC67" s="173" t="str">
        <f>IFERROR(IF(AND('Key inputs_EB_OWN'!W401/SUM('Key inputs_EB_OWN'!W$396:W$415)&gt;0,'Key inputs_EB_OWN'!W401/SUM('Key inputs_EB_OWN'!W$396:W$415)&lt;0.001),0.001,'Key inputs_EB_OWN'!W401/SUM('Key inputs_EB_OWN'!W$396:W$415)),"")</f>
        <v/>
      </c>
      <c r="AD67" s="173" t="str">
        <f>IFERROR(IF(AND('Key inputs_EB_OWN'!X401/SUM('Key inputs_EB_OWN'!X$396:X$415)&gt;0,'Key inputs_EB_OWN'!X401/SUM('Key inputs_EB_OWN'!X$396:X$415)&lt;0.001),0.001,'Key inputs_EB_OWN'!X401/SUM('Key inputs_EB_OWN'!X$396:X$415)),"")</f>
        <v/>
      </c>
      <c r="AE67" s="173">
        <f>IFERROR(IF(AND('Key inputs_EB_OWN'!Y401/SUM('Key inputs_EB_OWN'!Y$396:Y$415)&gt;0,'Key inputs_EB_OWN'!Y401/SUM('Key inputs_EB_OWN'!Y$396:Y$415)&lt;0.001),0.001,'Key inputs_EB_OWN'!Y401/SUM('Key inputs_EB_OWN'!Y$396:Y$415)),"")</f>
        <v>0</v>
      </c>
      <c r="AF67" s="173">
        <f>IFERROR(IF(AND('Key inputs_EB_OWN'!Z401/SUM('Key inputs_EB_OWN'!Z$396:Z$415)&gt;0,'Key inputs_EB_OWN'!Z401/SUM('Key inputs_EB_OWN'!Z$396:Z$415)&lt;0.001),0.001,'Key inputs_EB_OWN'!Z401/SUM('Key inputs_EB_OWN'!Z$396:Z$415)),"")</f>
        <v>0</v>
      </c>
      <c r="AG67" s="173" t="str">
        <f>IFERROR(IF(AND('Key inputs_EB_OWN'!AA401/SUM('Key inputs_EB_OWN'!AA$396:AA$415)&gt;0,'Key inputs_EB_OWN'!AA401/SUM('Key inputs_EB_OWN'!AA$396:AA$415)&lt;0.001),0.001,'Key inputs_EB_OWN'!AA401/SUM('Key inputs_EB_OWN'!AA$396:AA$415)),"")</f>
        <v/>
      </c>
      <c r="AH67" s="173" t="str">
        <f>IFERROR(IF(AND('Key inputs_EB_OWN'!AB401/SUM('Key inputs_EB_OWN'!AB$396:AB$415)&gt;0,'Key inputs_EB_OWN'!AB401/SUM('Key inputs_EB_OWN'!AB$396:AB$415)&lt;0.001),0.001,'Key inputs_EB_OWN'!AB401/SUM('Key inputs_EB_OWN'!AB$396:AB$415)),"")</f>
        <v/>
      </c>
      <c r="AI67" s="173" t="str">
        <f>IFERROR(IF(AND('Key inputs_EB_OWN'!AC401/SUM('Key inputs_EB_OWN'!AC$396:AC$415)&gt;0,'Key inputs_EB_OWN'!AC401/SUM('Key inputs_EB_OWN'!AC$396:AC$415)&lt;0.001),0.001,'Key inputs_EB_OWN'!AC401/SUM('Key inputs_EB_OWN'!AC$396:AC$415)),"")</f>
        <v/>
      </c>
      <c r="AJ67" s="173">
        <f>IFERROR(IF(AND('Key inputs_EB_OWN'!AD401/SUM('Key inputs_EB_OWN'!AD$396:AD$415)&gt;0,'Key inputs_EB_OWN'!AD401/SUM('Key inputs_EB_OWN'!AD$396:AD$415)&lt;0.001),0.001,'Key inputs_EB_OWN'!AD401/SUM('Key inputs_EB_OWN'!AD$396:AD$415)),"")</f>
        <v>2.0848593864177508E-3</v>
      </c>
      <c r="AK67" s="173" t="str">
        <f>IFERROR(IF(AND('Key inputs_EB_OWN'!AE401/SUM('Key inputs_EB_OWN'!AE$396:AE$415)&gt;0,'Key inputs_EB_OWN'!AE401/SUM('Key inputs_EB_OWN'!AE$396:AE$415)&lt;0.001),0.001,'Key inputs_EB_OWN'!AE401/SUM('Key inputs_EB_OWN'!AE$396:AE$415)),"")</f>
        <v/>
      </c>
      <c r="AL67" s="173">
        <f>IFERROR(IF(AND('Key inputs_EB_OWN'!AF401/SUM('Key inputs_EB_OWN'!AF$396:AF$415)&gt;0,'Key inputs_EB_OWN'!AF401/SUM('Key inputs_EB_OWN'!AF$396:AF$415)&lt;0.001),0.001,'Key inputs_EB_OWN'!AF401/SUM('Key inputs_EB_OWN'!AF$396:AF$415)),"")</f>
        <v>0</v>
      </c>
    </row>
    <row r="68" spans="1:38">
      <c r="A68" s="4"/>
      <c r="B68" s="4"/>
      <c r="C68" s="4" t="str">
        <f>Commodities!$C$88</f>
        <v>UPSCOG</v>
      </c>
      <c r="D68" s="4"/>
      <c r="E68" s="4" t="s">
        <v>359</v>
      </c>
      <c r="G68" t="s">
        <v>693</v>
      </c>
      <c r="H68" s="4" t="s">
        <v>661</v>
      </c>
      <c r="I68">
        <v>2019</v>
      </c>
      <c r="J68" t="s">
        <v>650</v>
      </c>
      <c r="K68" s="173">
        <f>IFERROR(IF(AND('Key inputs_EB_OWN'!E402/SUM('Key inputs_EB_OWN'!E$396:E$415)&gt;0,'Key inputs_EB_OWN'!E402/SUM('Key inputs_EB_OWN'!E$396:E$415)&lt;0.001),0.001,'Key inputs_EB_OWN'!E402/SUM('Key inputs_EB_OWN'!E$396:E$415)),"")</f>
        <v>0</v>
      </c>
      <c r="L68" s="173" t="str">
        <f>IFERROR(IF(AND('Key inputs_EB_OWN'!F402/SUM('Key inputs_EB_OWN'!F$396:F$415)&gt;0,'Key inputs_EB_OWN'!F402/SUM('Key inputs_EB_OWN'!F$396:F$415)&lt;0.001),0.001,'Key inputs_EB_OWN'!F402/SUM('Key inputs_EB_OWN'!F$396:F$415)),"")</f>
        <v/>
      </c>
      <c r="M68" s="173" t="str">
        <f>IFERROR(IF(AND('Key inputs_EB_OWN'!G402/SUM('Key inputs_EB_OWN'!G$396:G$415)&gt;0,'Key inputs_EB_OWN'!G402/SUM('Key inputs_EB_OWN'!G$396:G$415)&lt;0.001),0.001,'Key inputs_EB_OWN'!G402/SUM('Key inputs_EB_OWN'!G$396:G$415)),"")</f>
        <v/>
      </c>
      <c r="N68" s="173" t="str">
        <f>IFERROR(IF(AND('Key inputs_EB_OWN'!H402/SUM('Key inputs_EB_OWN'!H$396:H$415)&gt;0,'Key inputs_EB_OWN'!H402/SUM('Key inputs_EB_OWN'!H$396:H$415)&lt;0.001),0.001,'Key inputs_EB_OWN'!H402/SUM('Key inputs_EB_OWN'!H$396:H$415)),"")</f>
        <v/>
      </c>
      <c r="O68" s="173">
        <f>IFERROR(IF(AND('Key inputs_EB_OWN'!I402/SUM('Key inputs_EB_OWN'!I$396:I$415)&gt;0,'Key inputs_EB_OWN'!I402/SUM('Key inputs_EB_OWN'!I$396:I$415)&lt;0.001),0.001,'Key inputs_EB_OWN'!I402/SUM('Key inputs_EB_OWN'!I$396:I$415)),"")</f>
        <v>0</v>
      </c>
      <c r="P68" s="173">
        <f>IFERROR(IF(AND('Key inputs_EB_OWN'!J402/SUM('Key inputs_EB_OWN'!J$396:J$415)&gt;0,'Key inputs_EB_OWN'!J402/SUM('Key inputs_EB_OWN'!J$396:J$415)&lt;0.001),0.001,'Key inputs_EB_OWN'!J402/SUM('Key inputs_EB_OWN'!J$396:J$415)),"")</f>
        <v>0</v>
      </c>
      <c r="Q68" s="173" t="str">
        <f>IFERROR(IF(AND('Key inputs_EB_OWN'!K402/SUM('Key inputs_EB_OWN'!K$396:K$415)&gt;0,'Key inputs_EB_OWN'!K402/SUM('Key inputs_EB_OWN'!K$396:K$415)&lt;0.001),0.001,'Key inputs_EB_OWN'!K402/SUM('Key inputs_EB_OWN'!K$396:K$415)),"")</f>
        <v/>
      </c>
      <c r="R68" s="173" t="str">
        <f>IFERROR(IF(AND('Key inputs_EB_OWN'!L402/SUM('Key inputs_EB_OWN'!L$396:L$415)&gt;0,'Key inputs_EB_OWN'!L402/SUM('Key inputs_EB_OWN'!L$396:L$415)&lt;0.001),0.001,'Key inputs_EB_OWN'!L402/SUM('Key inputs_EB_OWN'!L$396:L$415)),"")</f>
        <v/>
      </c>
      <c r="S68" s="173" t="str">
        <f>IFERROR(IF(AND('Key inputs_EB_OWN'!M402/SUM('Key inputs_EB_OWN'!M$396:M$415)&gt;0,'Key inputs_EB_OWN'!M402/SUM('Key inputs_EB_OWN'!M$396:M$415)&lt;0.001),0.001,'Key inputs_EB_OWN'!M402/SUM('Key inputs_EB_OWN'!M$396:M$415)),"")</f>
        <v/>
      </c>
      <c r="T68" s="173">
        <f>IFERROR(IF(AND('Key inputs_EB_OWN'!N402/SUM('Key inputs_EB_OWN'!N$396:N$415)&gt;0,'Key inputs_EB_OWN'!N402/SUM('Key inputs_EB_OWN'!N$396:N$415)&lt;0.001),0.001,'Key inputs_EB_OWN'!N402/SUM('Key inputs_EB_OWN'!N$396:N$415)),"")</f>
        <v>0</v>
      </c>
      <c r="U68" s="173" t="str">
        <f>IFERROR(IF(AND('Key inputs_EB_OWN'!O402/SUM('Key inputs_EB_OWN'!O$396:O$415)&gt;0,'Key inputs_EB_OWN'!O402/SUM('Key inputs_EB_OWN'!O$396:O$415)&lt;0.001),0.001,'Key inputs_EB_OWN'!O402/SUM('Key inputs_EB_OWN'!O$396:O$415)),"")</f>
        <v/>
      </c>
      <c r="V68" s="173" t="str">
        <f>IFERROR(IF(AND('Key inputs_EB_OWN'!P402/SUM('Key inputs_EB_OWN'!P$396:P$415)&gt;0,'Key inputs_EB_OWN'!P402/SUM('Key inputs_EB_OWN'!P$396:P$415)&lt;0.001),0.001,'Key inputs_EB_OWN'!P402/SUM('Key inputs_EB_OWN'!P$396:P$415)),"")</f>
        <v/>
      </c>
      <c r="W68" s="173">
        <f>IFERROR(IF(AND('Key inputs_EB_OWN'!Q402/SUM('Key inputs_EB_OWN'!Q$396:Q$415)&gt;0,'Key inputs_EB_OWN'!Q402/SUM('Key inputs_EB_OWN'!Q$396:Q$415)&lt;0.001),0.001,'Key inputs_EB_OWN'!Q402/SUM('Key inputs_EB_OWN'!Q$396:Q$415)),"")</f>
        <v>0</v>
      </c>
      <c r="X68" s="173" t="str">
        <f>IFERROR(IF(AND('Key inputs_EB_OWN'!R402/SUM('Key inputs_EB_OWN'!R$396:R$415)&gt;0,'Key inputs_EB_OWN'!R402/SUM('Key inputs_EB_OWN'!R$396:R$415)&lt;0.001),0.001,'Key inputs_EB_OWN'!R402/SUM('Key inputs_EB_OWN'!R$396:R$415)),"")</f>
        <v/>
      </c>
      <c r="Y68" s="173">
        <f>IFERROR(IF(AND('Key inputs_EB_OWN'!S402/SUM('Key inputs_EB_OWN'!S$396:S$415)&gt;0,'Key inputs_EB_OWN'!S402/SUM('Key inputs_EB_OWN'!S$396:S$415)&lt;0.001),0.001,'Key inputs_EB_OWN'!S402/SUM('Key inputs_EB_OWN'!S$396:S$415)),"")</f>
        <v>0</v>
      </c>
      <c r="Z68" s="173">
        <f>IFERROR(IF(AND('Key inputs_EB_OWN'!T402/SUM('Key inputs_EB_OWN'!T$396:T$415)&gt;0,'Key inputs_EB_OWN'!T402/SUM('Key inputs_EB_OWN'!T$396:T$415)&lt;0.001),0.001,'Key inputs_EB_OWN'!T402/SUM('Key inputs_EB_OWN'!T$396:T$415)),"")</f>
        <v>0</v>
      </c>
      <c r="AA68" s="173">
        <f>IFERROR(IF(AND('Key inputs_EB_OWN'!U402/SUM('Key inputs_EB_OWN'!U$396:U$415)&gt;0,'Key inputs_EB_OWN'!U402/SUM('Key inputs_EB_OWN'!U$396:U$415)&lt;0.001),0.001,'Key inputs_EB_OWN'!U402/SUM('Key inputs_EB_OWN'!U$396:U$415)),"")</f>
        <v>0</v>
      </c>
      <c r="AB68" s="173" t="str">
        <f>IFERROR(IF(AND('Key inputs_EB_OWN'!V402/SUM('Key inputs_EB_OWN'!V$396:V$415)&gt;0,'Key inputs_EB_OWN'!V402/SUM('Key inputs_EB_OWN'!V$396:V$415)&lt;0.001),0.001,'Key inputs_EB_OWN'!V402/SUM('Key inputs_EB_OWN'!V$396:V$415)),"")</f>
        <v/>
      </c>
      <c r="AC68" s="173" t="str">
        <f>IFERROR(IF(AND('Key inputs_EB_OWN'!W402/SUM('Key inputs_EB_OWN'!W$396:W$415)&gt;0,'Key inputs_EB_OWN'!W402/SUM('Key inputs_EB_OWN'!W$396:W$415)&lt;0.001),0.001,'Key inputs_EB_OWN'!W402/SUM('Key inputs_EB_OWN'!W$396:W$415)),"")</f>
        <v/>
      </c>
      <c r="AD68" s="173" t="str">
        <f>IFERROR(IF(AND('Key inputs_EB_OWN'!X402/SUM('Key inputs_EB_OWN'!X$396:X$415)&gt;0,'Key inputs_EB_OWN'!X402/SUM('Key inputs_EB_OWN'!X$396:X$415)&lt;0.001),0.001,'Key inputs_EB_OWN'!X402/SUM('Key inputs_EB_OWN'!X$396:X$415)),"")</f>
        <v/>
      </c>
      <c r="AE68" s="173">
        <f>IFERROR(IF(AND('Key inputs_EB_OWN'!Y402/SUM('Key inputs_EB_OWN'!Y$396:Y$415)&gt;0,'Key inputs_EB_OWN'!Y402/SUM('Key inputs_EB_OWN'!Y$396:Y$415)&lt;0.001),0.001,'Key inputs_EB_OWN'!Y402/SUM('Key inputs_EB_OWN'!Y$396:Y$415)),"")</f>
        <v>0</v>
      </c>
      <c r="AF68" s="173">
        <f>IFERROR(IF(AND('Key inputs_EB_OWN'!Z402/SUM('Key inputs_EB_OWN'!Z$396:Z$415)&gt;0,'Key inputs_EB_OWN'!Z402/SUM('Key inputs_EB_OWN'!Z$396:Z$415)&lt;0.001),0.001,'Key inputs_EB_OWN'!Z402/SUM('Key inputs_EB_OWN'!Z$396:Z$415)),"")</f>
        <v>0</v>
      </c>
      <c r="AG68" s="173" t="str">
        <f>IFERROR(IF(AND('Key inputs_EB_OWN'!AA402/SUM('Key inputs_EB_OWN'!AA$396:AA$415)&gt;0,'Key inputs_EB_OWN'!AA402/SUM('Key inputs_EB_OWN'!AA$396:AA$415)&lt;0.001),0.001,'Key inputs_EB_OWN'!AA402/SUM('Key inputs_EB_OWN'!AA$396:AA$415)),"")</f>
        <v/>
      </c>
      <c r="AH68" s="173" t="str">
        <f>IFERROR(IF(AND('Key inputs_EB_OWN'!AB402/SUM('Key inputs_EB_OWN'!AB$396:AB$415)&gt;0,'Key inputs_EB_OWN'!AB402/SUM('Key inputs_EB_OWN'!AB$396:AB$415)&lt;0.001),0.001,'Key inputs_EB_OWN'!AB402/SUM('Key inputs_EB_OWN'!AB$396:AB$415)),"")</f>
        <v/>
      </c>
      <c r="AI68" s="173" t="str">
        <f>IFERROR(IF(AND('Key inputs_EB_OWN'!AC402/SUM('Key inputs_EB_OWN'!AC$396:AC$415)&gt;0,'Key inputs_EB_OWN'!AC402/SUM('Key inputs_EB_OWN'!AC$396:AC$415)&lt;0.001),0.001,'Key inputs_EB_OWN'!AC402/SUM('Key inputs_EB_OWN'!AC$396:AC$415)),"")</f>
        <v/>
      </c>
      <c r="AJ68" s="173">
        <f>IFERROR(IF(AND('Key inputs_EB_OWN'!AD402/SUM('Key inputs_EB_OWN'!AD$396:AD$415)&gt;0,'Key inputs_EB_OWN'!AD402/SUM('Key inputs_EB_OWN'!AD$396:AD$415)&lt;0.001),0.001,'Key inputs_EB_OWN'!AD402/SUM('Key inputs_EB_OWN'!AD$396:AD$415)),"")</f>
        <v>0</v>
      </c>
      <c r="AK68" s="173" t="str">
        <f>IFERROR(IF(AND('Key inputs_EB_OWN'!AE402/SUM('Key inputs_EB_OWN'!AE$396:AE$415)&gt;0,'Key inputs_EB_OWN'!AE402/SUM('Key inputs_EB_OWN'!AE$396:AE$415)&lt;0.001),0.001,'Key inputs_EB_OWN'!AE402/SUM('Key inputs_EB_OWN'!AE$396:AE$415)),"")</f>
        <v/>
      </c>
      <c r="AL68" s="173">
        <f>IFERROR(IF(AND('Key inputs_EB_OWN'!AF402/SUM('Key inputs_EB_OWN'!AF$396:AF$415)&gt;0,'Key inputs_EB_OWN'!AF402/SUM('Key inputs_EB_OWN'!AF$396:AF$415)&lt;0.001),0.001,'Key inputs_EB_OWN'!AF402/SUM('Key inputs_EB_OWN'!AF$396:AF$415)),"")</f>
        <v>0</v>
      </c>
    </row>
    <row r="69" spans="1:38">
      <c r="A69" s="4"/>
      <c r="B69" s="4"/>
      <c r="C69" s="4" t="str">
        <f>Commodities!$C$89</f>
        <v>UPSCOK</v>
      </c>
      <c r="D69" s="4"/>
      <c r="E69" s="4" t="s">
        <v>359</v>
      </c>
      <c r="G69" t="s">
        <v>693</v>
      </c>
      <c r="H69" s="4" t="s">
        <v>661</v>
      </c>
      <c r="I69">
        <v>2019</v>
      </c>
      <c r="J69" t="s">
        <v>650</v>
      </c>
      <c r="K69" s="173">
        <f>IFERROR(IF(AND('Key inputs_EB_OWN'!E403/SUM('Key inputs_EB_OWN'!E$396:E$415)&gt;0,'Key inputs_EB_OWN'!E403/SUM('Key inputs_EB_OWN'!E$396:E$415)&lt;0.001),0.001,'Key inputs_EB_OWN'!E403/SUM('Key inputs_EB_OWN'!E$396:E$415)),"")</f>
        <v>0</v>
      </c>
      <c r="L69" s="173" t="str">
        <f>IFERROR(IF(AND('Key inputs_EB_OWN'!F403/SUM('Key inputs_EB_OWN'!F$396:F$415)&gt;0,'Key inputs_EB_OWN'!F403/SUM('Key inputs_EB_OWN'!F$396:F$415)&lt;0.001),0.001,'Key inputs_EB_OWN'!F403/SUM('Key inputs_EB_OWN'!F$396:F$415)),"")</f>
        <v/>
      </c>
      <c r="M69" s="173" t="str">
        <f>IFERROR(IF(AND('Key inputs_EB_OWN'!G403/SUM('Key inputs_EB_OWN'!G$396:G$415)&gt;0,'Key inputs_EB_OWN'!G403/SUM('Key inputs_EB_OWN'!G$396:G$415)&lt;0.001),0.001,'Key inputs_EB_OWN'!G403/SUM('Key inputs_EB_OWN'!G$396:G$415)),"")</f>
        <v/>
      </c>
      <c r="N69" s="173" t="str">
        <f>IFERROR(IF(AND('Key inputs_EB_OWN'!H403/SUM('Key inputs_EB_OWN'!H$396:H$415)&gt;0,'Key inputs_EB_OWN'!H403/SUM('Key inputs_EB_OWN'!H$396:H$415)&lt;0.001),0.001,'Key inputs_EB_OWN'!H403/SUM('Key inputs_EB_OWN'!H$396:H$415)),"")</f>
        <v/>
      </c>
      <c r="O69" s="173">
        <f>IFERROR(IF(AND('Key inputs_EB_OWN'!I403/SUM('Key inputs_EB_OWN'!I$396:I$415)&gt;0,'Key inputs_EB_OWN'!I403/SUM('Key inputs_EB_OWN'!I$396:I$415)&lt;0.001),0.001,'Key inputs_EB_OWN'!I403/SUM('Key inputs_EB_OWN'!I$396:I$415)),"")</f>
        <v>0</v>
      </c>
      <c r="P69" s="173">
        <f>IFERROR(IF(AND('Key inputs_EB_OWN'!J403/SUM('Key inputs_EB_OWN'!J$396:J$415)&gt;0,'Key inputs_EB_OWN'!J403/SUM('Key inputs_EB_OWN'!J$396:J$415)&lt;0.001),0.001,'Key inputs_EB_OWN'!J403/SUM('Key inputs_EB_OWN'!J$396:J$415)),"")</f>
        <v>0</v>
      </c>
      <c r="Q69" s="173" t="str">
        <f>IFERROR(IF(AND('Key inputs_EB_OWN'!K403/SUM('Key inputs_EB_OWN'!K$396:K$415)&gt;0,'Key inputs_EB_OWN'!K403/SUM('Key inputs_EB_OWN'!K$396:K$415)&lt;0.001),0.001,'Key inputs_EB_OWN'!K403/SUM('Key inputs_EB_OWN'!K$396:K$415)),"")</f>
        <v/>
      </c>
      <c r="R69" s="173" t="str">
        <f>IFERROR(IF(AND('Key inputs_EB_OWN'!L403/SUM('Key inputs_EB_OWN'!L$396:L$415)&gt;0,'Key inputs_EB_OWN'!L403/SUM('Key inputs_EB_OWN'!L$396:L$415)&lt;0.001),0.001,'Key inputs_EB_OWN'!L403/SUM('Key inputs_EB_OWN'!L$396:L$415)),"")</f>
        <v/>
      </c>
      <c r="S69" s="173" t="str">
        <f>IFERROR(IF(AND('Key inputs_EB_OWN'!M403/SUM('Key inputs_EB_OWN'!M$396:M$415)&gt;0,'Key inputs_EB_OWN'!M403/SUM('Key inputs_EB_OWN'!M$396:M$415)&lt;0.001),0.001,'Key inputs_EB_OWN'!M403/SUM('Key inputs_EB_OWN'!M$396:M$415)),"")</f>
        <v/>
      </c>
      <c r="T69" s="173">
        <f>IFERROR(IF(AND('Key inputs_EB_OWN'!N403/SUM('Key inputs_EB_OWN'!N$396:N$415)&gt;0,'Key inputs_EB_OWN'!N403/SUM('Key inputs_EB_OWN'!N$396:N$415)&lt;0.001),0.001,'Key inputs_EB_OWN'!N403/SUM('Key inputs_EB_OWN'!N$396:N$415)),"")</f>
        <v>0</v>
      </c>
      <c r="U69" s="173" t="str">
        <f>IFERROR(IF(AND('Key inputs_EB_OWN'!O403/SUM('Key inputs_EB_OWN'!O$396:O$415)&gt;0,'Key inputs_EB_OWN'!O403/SUM('Key inputs_EB_OWN'!O$396:O$415)&lt;0.001),0.001,'Key inputs_EB_OWN'!O403/SUM('Key inputs_EB_OWN'!O$396:O$415)),"")</f>
        <v/>
      </c>
      <c r="V69" s="173" t="str">
        <f>IFERROR(IF(AND('Key inputs_EB_OWN'!P403/SUM('Key inputs_EB_OWN'!P$396:P$415)&gt;0,'Key inputs_EB_OWN'!P403/SUM('Key inputs_EB_OWN'!P$396:P$415)&lt;0.001),0.001,'Key inputs_EB_OWN'!P403/SUM('Key inputs_EB_OWN'!P$396:P$415)),"")</f>
        <v/>
      </c>
      <c r="W69" s="173">
        <f>IFERROR(IF(AND('Key inputs_EB_OWN'!Q403/SUM('Key inputs_EB_OWN'!Q$396:Q$415)&gt;0,'Key inputs_EB_OWN'!Q403/SUM('Key inputs_EB_OWN'!Q$396:Q$415)&lt;0.001),0.001,'Key inputs_EB_OWN'!Q403/SUM('Key inputs_EB_OWN'!Q$396:Q$415)),"")</f>
        <v>0</v>
      </c>
      <c r="X69" s="173" t="str">
        <f>IFERROR(IF(AND('Key inputs_EB_OWN'!R403/SUM('Key inputs_EB_OWN'!R$396:R$415)&gt;0,'Key inputs_EB_OWN'!R403/SUM('Key inputs_EB_OWN'!R$396:R$415)&lt;0.001),0.001,'Key inputs_EB_OWN'!R403/SUM('Key inputs_EB_OWN'!R$396:R$415)),"")</f>
        <v/>
      </c>
      <c r="Y69" s="173">
        <f>IFERROR(IF(AND('Key inputs_EB_OWN'!S403/SUM('Key inputs_EB_OWN'!S$396:S$415)&gt;0,'Key inputs_EB_OWN'!S403/SUM('Key inputs_EB_OWN'!S$396:S$415)&lt;0.001),0.001,'Key inputs_EB_OWN'!S403/SUM('Key inputs_EB_OWN'!S$396:S$415)),"")</f>
        <v>0</v>
      </c>
      <c r="Z69" s="173">
        <f>IFERROR(IF(AND('Key inputs_EB_OWN'!T403/SUM('Key inputs_EB_OWN'!T$396:T$415)&gt;0,'Key inputs_EB_OWN'!T403/SUM('Key inputs_EB_OWN'!T$396:T$415)&lt;0.001),0.001,'Key inputs_EB_OWN'!T403/SUM('Key inputs_EB_OWN'!T$396:T$415)),"")</f>
        <v>0</v>
      </c>
      <c r="AA69" s="173">
        <f>IFERROR(IF(AND('Key inputs_EB_OWN'!U403/SUM('Key inputs_EB_OWN'!U$396:U$415)&gt;0,'Key inputs_EB_OWN'!U403/SUM('Key inputs_EB_OWN'!U$396:U$415)&lt;0.001),0.001,'Key inputs_EB_OWN'!U403/SUM('Key inputs_EB_OWN'!U$396:U$415)),"")</f>
        <v>0</v>
      </c>
      <c r="AB69" s="173" t="str">
        <f>IFERROR(IF(AND('Key inputs_EB_OWN'!V403/SUM('Key inputs_EB_OWN'!V$396:V$415)&gt;0,'Key inputs_EB_OWN'!V403/SUM('Key inputs_EB_OWN'!V$396:V$415)&lt;0.001),0.001,'Key inputs_EB_OWN'!V403/SUM('Key inputs_EB_OWN'!V$396:V$415)),"")</f>
        <v/>
      </c>
      <c r="AC69" s="173" t="str">
        <f>IFERROR(IF(AND('Key inputs_EB_OWN'!W403/SUM('Key inputs_EB_OWN'!W$396:W$415)&gt;0,'Key inputs_EB_OWN'!W403/SUM('Key inputs_EB_OWN'!W$396:W$415)&lt;0.001),0.001,'Key inputs_EB_OWN'!W403/SUM('Key inputs_EB_OWN'!W$396:W$415)),"")</f>
        <v/>
      </c>
      <c r="AD69" s="173" t="str">
        <f>IFERROR(IF(AND('Key inputs_EB_OWN'!X403/SUM('Key inputs_EB_OWN'!X$396:X$415)&gt;0,'Key inputs_EB_OWN'!X403/SUM('Key inputs_EB_OWN'!X$396:X$415)&lt;0.001),0.001,'Key inputs_EB_OWN'!X403/SUM('Key inputs_EB_OWN'!X$396:X$415)),"")</f>
        <v/>
      </c>
      <c r="AE69" s="173">
        <f>IFERROR(IF(AND('Key inputs_EB_OWN'!Y403/SUM('Key inputs_EB_OWN'!Y$396:Y$415)&gt;0,'Key inputs_EB_OWN'!Y403/SUM('Key inputs_EB_OWN'!Y$396:Y$415)&lt;0.001),0.001,'Key inputs_EB_OWN'!Y403/SUM('Key inputs_EB_OWN'!Y$396:Y$415)),"")</f>
        <v>0</v>
      </c>
      <c r="AF69" s="173">
        <f>IFERROR(IF(AND('Key inputs_EB_OWN'!Z403/SUM('Key inputs_EB_OWN'!Z$396:Z$415)&gt;0,'Key inputs_EB_OWN'!Z403/SUM('Key inputs_EB_OWN'!Z$396:Z$415)&lt;0.001),0.001,'Key inputs_EB_OWN'!Z403/SUM('Key inputs_EB_OWN'!Z$396:Z$415)),"")</f>
        <v>0</v>
      </c>
      <c r="AG69" s="173" t="str">
        <f>IFERROR(IF(AND('Key inputs_EB_OWN'!AA403/SUM('Key inputs_EB_OWN'!AA$396:AA$415)&gt;0,'Key inputs_EB_OWN'!AA403/SUM('Key inputs_EB_OWN'!AA$396:AA$415)&lt;0.001),0.001,'Key inputs_EB_OWN'!AA403/SUM('Key inputs_EB_OWN'!AA$396:AA$415)),"")</f>
        <v/>
      </c>
      <c r="AH69" s="173" t="str">
        <f>IFERROR(IF(AND('Key inputs_EB_OWN'!AB403/SUM('Key inputs_EB_OWN'!AB$396:AB$415)&gt;0,'Key inputs_EB_OWN'!AB403/SUM('Key inputs_EB_OWN'!AB$396:AB$415)&lt;0.001),0.001,'Key inputs_EB_OWN'!AB403/SUM('Key inputs_EB_OWN'!AB$396:AB$415)),"")</f>
        <v/>
      </c>
      <c r="AI69" s="173" t="str">
        <f>IFERROR(IF(AND('Key inputs_EB_OWN'!AC403/SUM('Key inputs_EB_OWN'!AC$396:AC$415)&gt;0,'Key inputs_EB_OWN'!AC403/SUM('Key inputs_EB_OWN'!AC$396:AC$415)&lt;0.001),0.001,'Key inputs_EB_OWN'!AC403/SUM('Key inputs_EB_OWN'!AC$396:AC$415)),"")</f>
        <v/>
      </c>
      <c r="AJ69" s="173">
        <f>IFERROR(IF(AND('Key inputs_EB_OWN'!AD403/SUM('Key inputs_EB_OWN'!AD$396:AD$415)&gt;0,'Key inputs_EB_OWN'!AD403/SUM('Key inputs_EB_OWN'!AD$396:AD$415)&lt;0.001),0.001,'Key inputs_EB_OWN'!AD403/SUM('Key inputs_EB_OWN'!AD$396:AD$415)),"")</f>
        <v>0</v>
      </c>
      <c r="AK69" s="173" t="str">
        <f>IFERROR(IF(AND('Key inputs_EB_OWN'!AE403/SUM('Key inputs_EB_OWN'!AE$396:AE$415)&gt;0,'Key inputs_EB_OWN'!AE403/SUM('Key inputs_EB_OWN'!AE$396:AE$415)&lt;0.001),0.001,'Key inputs_EB_OWN'!AE403/SUM('Key inputs_EB_OWN'!AE$396:AE$415)),"")</f>
        <v/>
      </c>
      <c r="AL69" s="173">
        <f>IFERROR(IF(AND('Key inputs_EB_OWN'!AF403/SUM('Key inputs_EB_OWN'!AF$396:AF$415)&gt;0,'Key inputs_EB_OWN'!AF403/SUM('Key inputs_EB_OWN'!AF$396:AF$415)&lt;0.001),0.001,'Key inputs_EB_OWN'!AF403/SUM('Key inputs_EB_OWN'!AF$396:AF$415)),"")</f>
        <v>0</v>
      </c>
    </row>
    <row r="70" spans="1:38">
      <c r="A70" s="4"/>
      <c r="B70" s="4"/>
      <c r="C70" s="4" t="str">
        <f>Commodities!$C$90</f>
        <v>UPSDSL</v>
      </c>
      <c r="D70" s="4"/>
      <c r="E70" s="4" t="s">
        <v>359</v>
      </c>
      <c r="G70" t="s">
        <v>693</v>
      </c>
      <c r="H70" s="4" t="s">
        <v>661</v>
      </c>
      <c r="I70">
        <v>2019</v>
      </c>
      <c r="J70" t="s">
        <v>650</v>
      </c>
      <c r="K70" s="173">
        <f>IFERROR(IF(AND('Key inputs_EB_OWN'!E404/SUM('Key inputs_EB_OWN'!E$396:E$415)&gt;0,'Key inputs_EB_OWN'!E404/SUM('Key inputs_EB_OWN'!E$396:E$415)&lt;0.001),0.001,'Key inputs_EB_OWN'!E404/SUM('Key inputs_EB_OWN'!E$396:E$415)),"")</f>
        <v>0</v>
      </c>
      <c r="L70" s="173" t="str">
        <f>IFERROR(IF(AND('Key inputs_EB_OWN'!F404/SUM('Key inputs_EB_OWN'!F$396:F$415)&gt;0,'Key inputs_EB_OWN'!F404/SUM('Key inputs_EB_OWN'!F$396:F$415)&lt;0.001),0.001,'Key inputs_EB_OWN'!F404/SUM('Key inputs_EB_OWN'!F$396:F$415)),"")</f>
        <v/>
      </c>
      <c r="M70" s="173" t="str">
        <f>IFERROR(IF(AND('Key inputs_EB_OWN'!G404/SUM('Key inputs_EB_OWN'!G$396:G$415)&gt;0,'Key inputs_EB_OWN'!G404/SUM('Key inputs_EB_OWN'!G$396:G$415)&lt;0.001),0.001,'Key inputs_EB_OWN'!G404/SUM('Key inputs_EB_OWN'!G$396:G$415)),"")</f>
        <v/>
      </c>
      <c r="N70" s="173" t="str">
        <f>IFERROR(IF(AND('Key inputs_EB_OWN'!H404/SUM('Key inputs_EB_OWN'!H$396:H$415)&gt;0,'Key inputs_EB_OWN'!H404/SUM('Key inputs_EB_OWN'!H$396:H$415)&lt;0.001),0.001,'Key inputs_EB_OWN'!H404/SUM('Key inputs_EB_OWN'!H$396:H$415)),"")</f>
        <v/>
      </c>
      <c r="O70" s="173">
        <f>IFERROR(IF(AND('Key inputs_EB_OWN'!I404/SUM('Key inputs_EB_OWN'!I$396:I$415)&gt;0,'Key inputs_EB_OWN'!I404/SUM('Key inputs_EB_OWN'!I$396:I$415)&lt;0.001),0.001,'Key inputs_EB_OWN'!I404/SUM('Key inputs_EB_OWN'!I$396:I$415)),"")</f>
        <v>0.86602198998099966</v>
      </c>
      <c r="P70" s="173">
        <f>IFERROR(IF(AND('Key inputs_EB_OWN'!J404/SUM('Key inputs_EB_OWN'!J$396:J$415)&gt;0,'Key inputs_EB_OWN'!J404/SUM('Key inputs_EB_OWN'!J$396:J$415)&lt;0.001),0.001,'Key inputs_EB_OWN'!J404/SUM('Key inputs_EB_OWN'!J$396:J$415)),"")</f>
        <v>5.9780208244230026E-2</v>
      </c>
      <c r="Q70" s="173" t="str">
        <f>IFERROR(IF(AND('Key inputs_EB_OWN'!K404/SUM('Key inputs_EB_OWN'!K$396:K$415)&gt;0,'Key inputs_EB_OWN'!K404/SUM('Key inputs_EB_OWN'!K$396:K$415)&lt;0.001),0.001,'Key inputs_EB_OWN'!K404/SUM('Key inputs_EB_OWN'!K$396:K$415)),"")</f>
        <v/>
      </c>
      <c r="R70" s="173" t="str">
        <f>IFERROR(IF(AND('Key inputs_EB_OWN'!L404/SUM('Key inputs_EB_OWN'!L$396:L$415)&gt;0,'Key inputs_EB_OWN'!L404/SUM('Key inputs_EB_OWN'!L$396:L$415)&lt;0.001),0.001,'Key inputs_EB_OWN'!L404/SUM('Key inputs_EB_OWN'!L$396:L$415)),"")</f>
        <v/>
      </c>
      <c r="S70" s="173" t="str">
        <f>IFERROR(IF(AND('Key inputs_EB_OWN'!M404/SUM('Key inputs_EB_OWN'!M$396:M$415)&gt;0,'Key inputs_EB_OWN'!M404/SUM('Key inputs_EB_OWN'!M$396:M$415)&lt;0.001),0.001,'Key inputs_EB_OWN'!M404/SUM('Key inputs_EB_OWN'!M$396:M$415)),"")</f>
        <v/>
      </c>
      <c r="T70" s="173">
        <f>IFERROR(IF(AND('Key inputs_EB_OWN'!N404/SUM('Key inputs_EB_OWN'!N$396:N$415)&gt;0,'Key inputs_EB_OWN'!N404/SUM('Key inputs_EB_OWN'!N$396:N$415)&lt;0.001),0.001,'Key inputs_EB_OWN'!N404/SUM('Key inputs_EB_OWN'!N$396:N$415)),"")</f>
        <v>0</v>
      </c>
      <c r="U70" s="173" t="str">
        <f>IFERROR(IF(AND('Key inputs_EB_OWN'!O404/SUM('Key inputs_EB_OWN'!O$396:O$415)&gt;0,'Key inputs_EB_OWN'!O404/SUM('Key inputs_EB_OWN'!O$396:O$415)&lt;0.001),0.001,'Key inputs_EB_OWN'!O404/SUM('Key inputs_EB_OWN'!O$396:O$415)),"")</f>
        <v/>
      </c>
      <c r="V70" s="173" t="str">
        <f>IFERROR(IF(AND('Key inputs_EB_OWN'!P404/SUM('Key inputs_EB_OWN'!P$396:P$415)&gt;0,'Key inputs_EB_OWN'!P404/SUM('Key inputs_EB_OWN'!P$396:P$415)&lt;0.001),0.001,'Key inputs_EB_OWN'!P404/SUM('Key inputs_EB_OWN'!P$396:P$415)),"")</f>
        <v/>
      </c>
      <c r="W70" s="173">
        <f>IFERROR(IF(AND('Key inputs_EB_OWN'!Q404/SUM('Key inputs_EB_OWN'!Q$396:Q$415)&gt;0,'Key inputs_EB_OWN'!Q404/SUM('Key inputs_EB_OWN'!Q$396:Q$415)&lt;0.001),0.001,'Key inputs_EB_OWN'!Q404/SUM('Key inputs_EB_OWN'!Q$396:Q$415)),"")</f>
        <v>0.30035232280627056</v>
      </c>
      <c r="X70" s="173" t="str">
        <f>IFERROR(IF(AND('Key inputs_EB_OWN'!R404/SUM('Key inputs_EB_OWN'!R$396:R$415)&gt;0,'Key inputs_EB_OWN'!R404/SUM('Key inputs_EB_OWN'!R$396:R$415)&lt;0.001),0.001,'Key inputs_EB_OWN'!R404/SUM('Key inputs_EB_OWN'!R$396:R$415)),"")</f>
        <v/>
      </c>
      <c r="Y70" s="173">
        <f>IFERROR(IF(AND('Key inputs_EB_OWN'!S404/SUM('Key inputs_EB_OWN'!S$396:S$415)&gt;0,'Key inputs_EB_OWN'!S404/SUM('Key inputs_EB_OWN'!S$396:S$415)&lt;0.001),0.001,'Key inputs_EB_OWN'!S404/SUM('Key inputs_EB_OWN'!S$396:S$415)),"")</f>
        <v>0.15640857530631036</v>
      </c>
      <c r="Z70" s="173">
        <f>IFERROR(IF(AND('Key inputs_EB_OWN'!T404/SUM('Key inputs_EB_OWN'!T$396:T$415)&gt;0,'Key inputs_EB_OWN'!T404/SUM('Key inputs_EB_OWN'!T$396:T$415)&lt;0.001),0.001,'Key inputs_EB_OWN'!T404/SUM('Key inputs_EB_OWN'!T$396:T$415)),"")</f>
        <v>0.43456838737123865</v>
      </c>
      <c r="AA70" s="173">
        <f>IFERROR(IF(AND('Key inputs_EB_OWN'!U404/SUM('Key inputs_EB_OWN'!U$396:U$415)&gt;0,'Key inputs_EB_OWN'!U404/SUM('Key inputs_EB_OWN'!U$396:U$415)&lt;0.001),0.001,'Key inputs_EB_OWN'!U404/SUM('Key inputs_EB_OWN'!U$396:U$415)),"")</f>
        <v>0.58965591056339339</v>
      </c>
      <c r="AB70" s="173" t="str">
        <f>IFERROR(IF(AND('Key inputs_EB_OWN'!V404/SUM('Key inputs_EB_OWN'!V$396:V$415)&gt;0,'Key inputs_EB_OWN'!V404/SUM('Key inputs_EB_OWN'!V$396:V$415)&lt;0.001),0.001,'Key inputs_EB_OWN'!V404/SUM('Key inputs_EB_OWN'!V$396:V$415)),"")</f>
        <v/>
      </c>
      <c r="AC70" s="173" t="str">
        <f>IFERROR(IF(AND('Key inputs_EB_OWN'!W404/SUM('Key inputs_EB_OWN'!W$396:W$415)&gt;0,'Key inputs_EB_OWN'!W404/SUM('Key inputs_EB_OWN'!W$396:W$415)&lt;0.001),0.001,'Key inputs_EB_OWN'!W404/SUM('Key inputs_EB_OWN'!W$396:W$415)),"")</f>
        <v/>
      </c>
      <c r="AD70" s="173" t="str">
        <f>IFERROR(IF(AND('Key inputs_EB_OWN'!X404/SUM('Key inputs_EB_OWN'!X$396:X$415)&gt;0,'Key inputs_EB_OWN'!X404/SUM('Key inputs_EB_OWN'!X$396:X$415)&lt;0.001),0.001,'Key inputs_EB_OWN'!X404/SUM('Key inputs_EB_OWN'!X$396:X$415)),"")</f>
        <v/>
      </c>
      <c r="AE70" s="173">
        <f>IFERROR(IF(AND('Key inputs_EB_OWN'!Y404/SUM('Key inputs_EB_OWN'!Y$396:Y$415)&gt;0,'Key inputs_EB_OWN'!Y404/SUM('Key inputs_EB_OWN'!Y$396:Y$415)&lt;0.001),0.001,'Key inputs_EB_OWN'!Y404/SUM('Key inputs_EB_OWN'!Y$396:Y$415)),"")</f>
        <v>0</v>
      </c>
      <c r="AF70" s="173">
        <f>IFERROR(IF(AND('Key inputs_EB_OWN'!Z404/SUM('Key inputs_EB_OWN'!Z$396:Z$415)&gt;0,'Key inputs_EB_OWN'!Z404/SUM('Key inputs_EB_OWN'!Z$396:Z$415)&lt;0.001),0.001,'Key inputs_EB_OWN'!Z404/SUM('Key inputs_EB_OWN'!Z$396:Z$415)),"")</f>
        <v>0</v>
      </c>
      <c r="AG70" s="173" t="str">
        <f>IFERROR(IF(AND('Key inputs_EB_OWN'!AA404/SUM('Key inputs_EB_OWN'!AA$396:AA$415)&gt;0,'Key inputs_EB_OWN'!AA404/SUM('Key inputs_EB_OWN'!AA$396:AA$415)&lt;0.001),0.001,'Key inputs_EB_OWN'!AA404/SUM('Key inputs_EB_OWN'!AA$396:AA$415)),"")</f>
        <v/>
      </c>
      <c r="AH70" s="173" t="str">
        <f>IFERROR(IF(AND('Key inputs_EB_OWN'!AB404/SUM('Key inputs_EB_OWN'!AB$396:AB$415)&gt;0,'Key inputs_EB_OWN'!AB404/SUM('Key inputs_EB_OWN'!AB$396:AB$415)&lt;0.001),0.001,'Key inputs_EB_OWN'!AB404/SUM('Key inputs_EB_OWN'!AB$396:AB$415)),"")</f>
        <v/>
      </c>
      <c r="AI70" s="173" t="str">
        <f>IFERROR(IF(AND('Key inputs_EB_OWN'!AC404/SUM('Key inputs_EB_OWN'!AC$396:AC$415)&gt;0,'Key inputs_EB_OWN'!AC404/SUM('Key inputs_EB_OWN'!AC$396:AC$415)&lt;0.001),0.001,'Key inputs_EB_OWN'!AC404/SUM('Key inputs_EB_OWN'!AC$396:AC$415)),"")</f>
        <v/>
      </c>
      <c r="AJ70" s="173">
        <f>IFERROR(IF(AND('Key inputs_EB_OWN'!AD404/SUM('Key inputs_EB_OWN'!AD$396:AD$415)&gt;0,'Key inputs_EB_OWN'!AD404/SUM('Key inputs_EB_OWN'!AD$396:AD$415)&lt;0.001),0.001,'Key inputs_EB_OWN'!AD404/SUM('Key inputs_EB_OWN'!AD$396:AD$415)),"")</f>
        <v>0.782277596408956</v>
      </c>
      <c r="AK70" s="173" t="str">
        <f>IFERROR(IF(AND('Key inputs_EB_OWN'!AE404/SUM('Key inputs_EB_OWN'!AE$396:AE$415)&gt;0,'Key inputs_EB_OWN'!AE404/SUM('Key inputs_EB_OWN'!AE$396:AE$415)&lt;0.001),0.001,'Key inputs_EB_OWN'!AE404/SUM('Key inputs_EB_OWN'!AE$396:AE$415)),"")</f>
        <v/>
      </c>
      <c r="AL70" s="173">
        <f>IFERROR(IF(AND('Key inputs_EB_OWN'!AF404/SUM('Key inputs_EB_OWN'!AF$396:AF$415)&gt;0,'Key inputs_EB_OWN'!AF404/SUM('Key inputs_EB_OWN'!AF$396:AF$415)&lt;0.001),0.001,'Key inputs_EB_OWN'!AF404/SUM('Key inputs_EB_OWN'!AF$396:AF$415)),"")</f>
        <v>0.48068168807266154</v>
      </c>
    </row>
    <row r="71" spans="1:38">
      <c r="A71" s="4"/>
      <c r="B71" s="4"/>
      <c r="C71" s="4" t="str">
        <f>Commodities!$C$91</f>
        <v>UPSELC</v>
      </c>
      <c r="D71" s="4"/>
      <c r="E71" s="4" t="s">
        <v>359</v>
      </c>
      <c r="G71" t="s">
        <v>693</v>
      </c>
      <c r="H71" s="4" t="s">
        <v>661</v>
      </c>
      <c r="I71">
        <v>2019</v>
      </c>
      <c r="J71" t="s">
        <v>650</v>
      </c>
      <c r="K71" s="173">
        <f>IFERROR(IF(AND('Key inputs_EB_OWN'!E405/SUM('Key inputs_EB_OWN'!E$396:E$415)&gt;0,'Key inputs_EB_OWN'!E405/SUM('Key inputs_EB_OWN'!E$396:E$415)&lt;0.001),0.001,'Key inputs_EB_OWN'!E405/SUM('Key inputs_EB_OWN'!E$396:E$415)),"")</f>
        <v>1</v>
      </c>
      <c r="L71" s="173" t="str">
        <f>IFERROR(IF(AND('Key inputs_EB_OWN'!F405/SUM('Key inputs_EB_OWN'!F$396:F$415)&gt;0,'Key inputs_EB_OWN'!F405/SUM('Key inputs_EB_OWN'!F$396:F$415)&lt;0.001),0.001,'Key inputs_EB_OWN'!F405/SUM('Key inputs_EB_OWN'!F$396:F$415)),"")</f>
        <v/>
      </c>
      <c r="M71" s="173" t="str">
        <f>IFERROR(IF(AND('Key inputs_EB_OWN'!G405/SUM('Key inputs_EB_OWN'!G$396:G$415)&gt;0,'Key inputs_EB_OWN'!G405/SUM('Key inputs_EB_OWN'!G$396:G$415)&lt;0.001),0.001,'Key inputs_EB_OWN'!G405/SUM('Key inputs_EB_OWN'!G$396:G$415)),"")</f>
        <v/>
      </c>
      <c r="N71" s="173" t="str">
        <f>IFERROR(IF(AND('Key inputs_EB_OWN'!H405/SUM('Key inputs_EB_OWN'!H$396:H$415)&gt;0,'Key inputs_EB_OWN'!H405/SUM('Key inputs_EB_OWN'!H$396:H$415)&lt;0.001),0.001,'Key inputs_EB_OWN'!H405/SUM('Key inputs_EB_OWN'!H$396:H$415)),"")</f>
        <v/>
      </c>
      <c r="O71" s="173">
        <f>IFERROR(IF(AND('Key inputs_EB_OWN'!I405/SUM('Key inputs_EB_OWN'!I$396:I$415)&gt;0,'Key inputs_EB_OWN'!I405/SUM('Key inputs_EB_OWN'!I$396:I$415)&lt;0.001),0.001,'Key inputs_EB_OWN'!I405/SUM('Key inputs_EB_OWN'!I$396:I$415)),"")</f>
        <v>0.12912704658679264</v>
      </c>
      <c r="P71" s="173">
        <f>IFERROR(IF(AND('Key inputs_EB_OWN'!J405/SUM('Key inputs_EB_OWN'!J$396:J$415)&gt;0,'Key inputs_EB_OWN'!J405/SUM('Key inputs_EB_OWN'!J$396:J$415)&lt;0.001),0.001,'Key inputs_EB_OWN'!J405/SUM('Key inputs_EB_OWN'!J$396:J$415)),"")</f>
        <v>0.16714174820484395</v>
      </c>
      <c r="Q71" s="173" t="str">
        <f>IFERROR(IF(AND('Key inputs_EB_OWN'!K405/SUM('Key inputs_EB_OWN'!K$396:K$415)&gt;0,'Key inputs_EB_OWN'!K405/SUM('Key inputs_EB_OWN'!K$396:K$415)&lt;0.001),0.001,'Key inputs_EB_OWN'!K405/SUM('Key inputs_EB_OWN'!K$396:K$415)),"")</f>
        <v/>
      </c>
      <c r="R71" s="173" t="str">
        <f>IFERROR(IF(AND('Key inputs_EB_OWN'!L405/SUM('Key inputs_EB_OWN'!L$396:L$415)&gt;0,'Key inputs_EB_OWN'!L405/SUM('Key inputs_EB_OWN'!L$396:L$415)&lt;0.001),0.001,'Key inputs_EB_OWN'!L405/SUM('Key inputs_EB_OWN'!L$396:L$415)),"")</f>
        <v/>
      </c>
      <c r="S71" s="173" t="str">
        <f>IFERROR(IF(AND('Key inputs_EB_OWN'!M405/SUM('Key inputs_EB_OWN'!M$396:M$415)&gt;0,'Key inputs_EB_OWN'!M405/SUM('Key inputs_EB_OWN'!M$396:M$415)&lt;0.001),0.001,'Key inputs_EB_OWN'!M405/SUM('Key inputs_EB_OWN'!M$396:M$415)),"")</f>
        <v/>
      </c>
      <c r="T71" s="173">
        <f>IFERROR(IF(AND('Key inputs_EB_OWN'!N405/SUM('Key inputs_EB_OWN'!N$396:N$415)&gt;0,'Key inputs_EB_OWN'!N405/SUM('Key inputs_EB_OWN'!N$396:N$415)&lt;0.001),0.001,'Key inputs_EB_OWN'!N405/SUM('Key inputs_EB_OWN'!N$396:N$415)),"")</f>
        <v>0.73520905823827098</v>
      </c>
      <c r="U71" s="173" t="str">
        <f>IFERROR(IF(AND('Key inputs_EB_OWN'!O405/SUM('Key inputs_EB_OWN'!O$396:O$415)&gt;0,'Key inputs_EB_OWN'!O405/SUM('Key inputs_EB_OWN'!O$396:O$415)&lt;0.001),0.001,'Key inputs_EB_OWN'!O405/SUM('Key inputs_EB_OWN'!O$396:O$415)),"")</f>
        <v/>
      </c>
      <c r="V71" s="173" t="str">
        <f>IFERROR(IF(AND('Key inputs_EB_OWN'!P405/SUM('Key inputs_EB_OWN'!P$396:P$415)&gt;0,'Key inputs_EB_OWN'!P405/SUM('Key inputs_EB_OWN'!P$396:P$415)&lt;0.001),0.001,'Key inputs_EB_OWN'!P405/SUM('Key inputs_EB_OWN'!P$396:P$415)),"")</f>
        <v/>
      </c>
      <c r="W71" s="173">
        <f>IFERROR(IF(AND('Key inputs_EB_OWN'!Q405/SUM('Key inputs_EB_OWN'!Q$396:Q$415)&gt;0,'Key inputs_EB_OWN'!Q405/SUM('Key inputs_EB_OWN'!Q$396:Q$415)&lt;0.001),0.001,'Key inputs_EB_OWN'!Q405/SUM('Key inputs_EB_OWN'!Q$396:Q$415)),"")</f>
        <v>0.54379602338611477</v>
      </c>
      <c r="X71" s="173" t="str">
        <f>IFERROR(IF(AND('Key inputs_EB_OWN'!R405/SUM('Key inputs_EB_OWN'!R$396:R$415)&gt;0,'Key inputs_EB_OWN'!R405/SUM('Key inputs_EB_OWN'!R$396:R$415)&lt;0.001),0.001,'Key inputs_EB_OWN'!R405/SUM('Key inputs_EB_OWN'!R$396:R$415)),"")</f>
        <v/>
      </c>
      <c r="Y71" s="173">
        <f>IFERROR(IF(AND('Key inputs_EB_OWN'!S405/SUM('Key inputs_EB_OWN'!S$396:S$415)&gt;0,'Key inputs_EB_OWN'!S405/SUM('Key inputs_EB_OWN'!S$396:S$415)&lt;0.001),0.001,'Key inputs_EB_OWN'!S405/SUM('Key inputs_EB_OWN'!S$396:S$415)),"")</f>
        <v>0.51950972962448161</v>
      </c>
      <c r="Z71" s="173">
        <f>IFERROR(IF(AND('Key inputs_EB_OWN'!T405/SUM('Key inputs_EB_OWN'!T$396:T$415)&gt;0,'Key inputs_EB_OWN'!T405/SUM('Key inputs_EB_OWN'!T$396:T$415)&lt;0.001),0.001,'Key inputs_EB_OWN'!T405/SUM('Key inputs_EB_OWN'!T$396:T$415)),"")</f>
        <v>0.55936272291031874</v>
      </c>
      <c r="AA71" s="173">
        <f>IFERROR(IF(AND('Key inputs_EB_OWN'!U405/SUM('Key inputs_EB_OWN'!U$396:U$415)&gt;0,'Key inputs_EB_OWN'!U405/SUM('Key inputs_EB_OWN'!U$396:U$415)&lt;0.001),0.001,'Key inputs_EB_OWN'!U405/SUM('Key inputs_EB_OWN'!U$396:U$415)),"")</f>
        <v>0.17803711616491633</v>
      </c>
      <c r="AB71" s="173" t="str">
        <f>IFERROR(IF(AND('Key inputs_EB_OWN'!V405/SUM('Key inputs_EB_OWN'!V$396:V$415)&gt;0,'Key inputs_EB_OWN'!V405/SUM('Key inputs_EB_OWN'!V$396:V$415)&lt;0.001),0.001,'Key inputs_EB_OWN'!V405/SUM('Key inputs_EB_OWN'!V$396:V$415)),"")</f>
        <v/>
      </c>
      <c r="AC71" s="173" t="str">
        <f>IFERROR(IF(AND('Key inputs_EB_OWN'!W405/SUM('Key inputs_EB_OWN'!W$396:W$415)&gt;0,'Key inputs_EB_OWN'!W405/SUM('Key inputs_EB_OWN'!W$396:W$415)&lt;0.001),0.001,'Key inputs_EB_OWN'!W405/SUM('Key inputs_EB_OWN'!W$396:W$415)),"")</f>
        <v/>
      </c>
      <c r="AD71" s="173" t="str">
        <f>IFERROR(IF(AND('Key inputs_EB_OWN'!X405/SUM('Key inputs_EB_OWN'!X$396:X$415)&gt;0,'Key inputs_EB_OWN'!X405/SUM('Key inputs_EB_OWN'!X$396:X$415)&lt;0.001),0.001,'Key inputs_EB_OWN'!X405/SUM('Key inputs_EB_OWN'!X$396:X$415)),"")</f>
        <v/>
      </c>
      <c r="AE71" s="173">
        <f>IFERROR(IF(AND('Key inputs_EB_OWN'!Y405/SUM('Key inputs_EB_OWN'!Y$396:Y$415)&gt;0,'Key inputs_EB_OWN'!Y405/SUM('Key inputs_EB_OWN'!Y$396:Y$415)&lt;0.001),0.001,'Key inputs_EB_OWN'!Y405/SUM('Key inputs_EB_OWN'!Y$396:Y$415)),"")</f>
        <v>7.0544175159263133E-3</v>
      </c>
      <c r="AF71" s="173">
        <f>IFERROR(IF(AND('Key inputs_EB_OWN'!Z405/SUM('Key inputs_EB_OWN'!Z$396:Z$415)&gt;0,'Key inputs_EB_OWN'!Z405/SUM('Key inputs_EB_OWN'!Z$396:Z$415)&lt;0.001),0.001,'Key inputs_EB_OWN'!Z405/SUM('Key inputs_EB_OWN'!Z$396:Z$415)),"")</f>
        <v>1</v>
      </c>
      <c r="AG71" s="173" t="str">
        <f>IFERROR(IF(AND('Key inputs_EB_OWN'!AA405/SUM('Key inputs_EB_OWN'!AA$396:AA$415)&gt;0,'Key inputs_EB_OWN'!AA405/SUM('Key inputs_EB_OWN'!AA$396:AA$415)&lt;0.001),0.001,'Key inputs_EB_OWN'!AA405/SUM('Key inputs_EB_OWN'!AA$396:AA$415)),"")</f>
        <v/>
      </c>
      <c r="AH71" s="173" t="str">
        <f>IFERROR(IF(AND('Key inputs_EB_OWN'!AB405/SUM('Key inputs_EB_OWN'!AB$396:AB$415)&gt;0,'Key inputs_EB_OWN'!AB405/SUM('Key inputs_EB_OWN'!AB$396:AB$415)&lt;0.001),0.001,'Key inputs_EB_OWN'!AB405/SUM('Key inputs_EB_OWN'!AB$396:AB$415)),"")</f>
        <v/>
      </c>
      <c r="AI71" s="173" t="str">
        <f>IFERROR(IF(AND('Key inputs_EB_OWN'!AC405/SUM('Key inputs_EB_OWN'!AC$396:AC$415)&gt;0,'Key inputs_EB_OWN'!AC405/SUM('Key inputs_EB_OWN'!AC$396:AC$415)&lt;0.001),0.001,'Key inputs_EB_OWN'!AC405/SUM('Key inputs_EB_OWN'!AC$396:AC$415)),"")</f>
        <v/>
      </c>
      <c r="AJ71" s="173">
        <f>IFERROR(IF(AND('Key inputs_EB_OWN'!AD405/SUM('Key inputs_EB_OWN'!AD$396:AD$415)&gt;0,'Key inputs_EB_OWN'!AD405/SUM('Key inputs_EB_OWN'!AD$396:AD$415)&lt;0.001),0.001,'Key inputs_EB_OWN'!AD405/SUM('Key inputs_EB_OWN'!AD$396:AD$415)),"")</f>
        <v>0.11291848454763694</v>
      </c>
      <c r="AK71" s="173" t="str">
        <f>IFERROR(IF(AND('Key inputs_EB_OWN'!AE405/SUM('Key inputs_EB_OWN'!AE$396:AE$415)&gt;0,'Key inputs_EB_OWN'!AE405/SUM('Key inputs_EB_OWN'!AE$396:AE$415)&lt;0.001),0.001,'Key inputs_EB_OWN'!AE405/SUM('Key inputs_EB_OWN'!AE$396:AE$415)),"")</f>
        <v/>
      </c>
      <c r="AL71" s="173">
        <f>IFERROR(IF(AND('Key inputs_EB_OWN'!AF405/SUM('Key inputs_EB_OWN'!AF$396:AF$415)&gt;0,'Key inputs_EB_OWN'!AF405/SUM('Key inputs_EB_OWN'!AF$396:AF$415)&lt;0.001),0.001,'Key inputs_EB_OWN'!AF405/SUM('Key inputs_EB_OWN'!AF$396:AF$415)),"")</f>
        <v>0.11113305667745181</v>
      </c>
    </row>
    <row r="72" spans="1:38">
      <c r="A72" s="4"/>
      <c r="B72" s="4"/>
      <c r="C72" s="4" t="str">
        <f>Commodities!$C$92</f>
        <v>UPSGAS</v>
      </c>
      <c r="D72" s="4"/>
      <c r="E72" s="4" t="s">
        <v>359</v>
      </c>
      <c r="G72" t="s">
        <v>693</v>
      </c>
      <c r="H72" s="4" t="s">
        <v>661</v>
      </c>
      <c r="I72">
        <v>2019</v>
      </c>
      <c r="J72" t="s">
        <v>650</v>
      </c>
      <c r="K72" s="173">
        <f>IFERROR(IF(AND('Key inputs_EB_OWN'!E406/SUM('Key inputs_EB_OWN'!E$396:E$415)&gt;0,'Key inputs_EB_OWN'!E406/SUM('Key inputs_EB_OWN'!E$396:E$415)&lt;0.001),0.001,'Key inputs_EB_OWN'!E406/SUM('Key inputs_EB_OWN'!E$396:E$415)),"")</f>
        <v>0</v>
      </c>
      <c r="L72" s="173" t="str">
        <f>IFERROR(IF(AND('Key inputs_EB_OWN'!F406/SUM('Key inputs_EB_OWN'!F$396:F$415)&gt;0,'Key inputs_EB_OWN'!F406/SUM('Key inputs_EB_OWN'!F$396:F$415)&lt;0.001),0.001,'Key inputs_EB_OWN'!F406/SUM('Key inputs_EB_OWN'!F$396:F$415)),"")</f>
        <v/>
      </c>
      <c r="M72" s="173" t="str">
        <f>IFERROR(IF(AND('Key inputs_EB_OWN'!G406/SUM('Key inputs_EB_OWN'!G$396:G$415)&gt;0,'Key inputs_EB_OWN'!G406/SUM('Key inputs_EB_OWN'!G$396:G$415)&lt;0.001),0.001,'Key inputs_EB_OWN'!G406/SUM('Key inputs_EB_OWN'!G$396:G$415)),"")</f>
        <v/>
      </c>
      <c r="N72" s="173" t="str">
        <f>IFERROR(IF(AND('Key inputs_EB_OWN'!H406/SUM('Key inputs_EB_OWN'!H$396:H$415)&gt;0,'Key inputs_EB_OWN'!H406/SUM('Key inputs_EB_OWN'!H$396:H$415)&lt;0.001),0.001,'Key inputs_EB_OWN'!H406/SUM('Key inputs_EB_OWN'!H$396:H$415)),"")</f>
        <v/>
      </c>
      <c r="O72" s="173">
        <f>IFERROR(IF(AND('Key inputs_EB_OWN'!I406/SUM('Key inputs_EB_OWN'!I$396:I$415)&gt;0,'Key inputs_EB_OWN'!I406/SUM('Key inputs_EB_OWN'!I$396:I$415)&lt;0.001),0.001,'Key inputs_EB_OWN'!I406/SUM('Key inputs_EB_OWN'!I$396:I$415)),"")</f>
        <v>1E-3</v>
      </c>
      <c r="P72" s="173">
        <f>IFERROR(IF(AND('Key inputs_EB_OWN'!J406/SUM('Key inputs_EB_OWN'!J$396:J$415)&gt;0,'Key inputs_EB_OWN'!J406/SUM('Key inputs_EB_OWN'!J$396:J$415)&lt;0.001),0.001,'Key inputs_EB_OWN'!J406/SUM('Key inputs_EB_OWN'!J$396:J$415)),"")</f>
        <v>0</v>
      </c>
      <c r="Q72" s="173" t="str">
        <f>IFERROR(IF(AND('Key inputs_EB_OWN'!K406/SUM('Key inputs_EB_OWN'!K$396:K$415)&gt;0,'Key inputs_EB_OWN'!K406/SUM('Key inputs_EB_OWN'!K$396:K$415)&lt;0.001),0.001,'Key inputs_EB_OWN'!K406/SUM('Key inputs_EB_OWN'!K$396:K$415)),"")</f>
        <v/>
      </c>
      <c r="R72" s="173" t="str">
        <f>IFERROR(IF(AND('Key inputs_EB_OWN'!L406/SUM('Key inputs_EB_OWN'!L$396:L$415)&gt;0,'Key inputs_EB_OWN'!L406/SUM('Key inputs_EB_OWN'!L$396:L$415)&lt;0.001),0.001,'Key inputs_EB_OWN'!L406/SUM('Key inputs_EB_OWN'!L$396:L$415)),"")</f>
        <v/>
      </c>
      <c r="S72" s="173" t="str">
        <f>IFERROR(IF(AND('Key inputs_EB_OWN'!M406/SUM('Key inputs_EB_OWN'!M$396:M$415)&gt;0,'Key inputs_EB_OWN'!M406/SUM('Key inputs_EB_OWN'!M$396:M$415)&lt;0.001),0.001,'Key inputs_EB_OWN'!M406/SUM('Key inputs_EB_OWN'!M$396:M$415)),"")</f>
        <v/>
      </c>
      <c r="T72" s="173">
        <f>IFERROR(IF(AND('Key inputs_EB_OWN'!N406/SUM('Key inputs_EB_OWN'!N$396:N$415)&gt;0,'Key inputs_EB_OWN'!N406/SUM('Key inputs_EB_OWN'!N$396:N$415)&lt;0.001),0.001,'Key inputs_EB_OWN'!N406/SUM('Key inputs_EB_OWN'!N$396:N$415)),"")</f>
        <v>0.26479094176172902</v>
      </c>
      <c r="U72" s="173" t="str">
        <f>IFERROR(IF(AND('Key inputs_EB_OWN'!O406/SUM('Key inputs_EB_OWN'!O$396:O$415)&gt;0,'Key inputs_EB_OWN'!O406/SUM('Key inputs_EB_OWN'!O$396:O$415)&lt;0.001),0.001,'Key inputs_EB_OWN'!O406/SUM('Key inputs_EB_OWN'!O$396:O$415)),"")</f>
        <v/>
      </c>
      <c r="V72" s="173" t="str">
        <f>IFERROR(IF(AND('Key inputs_EB_OWN'!P406/SUM('Key inputs_EB_OWN'!P$396:P$415)&gt;0,'Key inputs_EB_OWN'!P406/SUM('Key inputs_EB_OWN'!P$396:P$415)&lt;0.001),0.001,'Key inputs_EB_OWN'!P406/SUM('Key inputs_EB_OWN'!P$396:P$415)),"")</f>
        <v/>
      </c>
      <c r="W72" s="173">
        <f>IFERROR(IF(AND('Key inputs_EB_OWN'!Q406/SUM('Key inputs_EB_OWN'!Q$396:Q$415)&gt;0,'Key inputs_EB_OWN'!Q406/SUM('Key inputs_EB_OWN'!Q$396:Q$415)&lt;0.001),0.001,'Key inputs_EB_OWN'!Q406/SUM('Key inputs_EB_OWN'!Q$396:Q$415)),"")</f>
        <v>0</v>
      </c>
      <c r="X72" s="173" t="str">
        <f>IFERROR(IF(AND('Key inputs_EB_OWN'!R406/SUM('Key inputs_EB_OWN'!R$396:R$415)&gt;0,'Key inputs_EB_OWN'!R406/SUM('Key inputs_EB_OWN'!R$396:R$415)&lt;0.001),0.001,'Key inputs_EB_OWN'!R406/SUM('Key inputs_EB_OWN'!R$396:R$415)),"")</f>
        <v/>
      </c>
      <c r="Y72" s="173">
        <f>IFERROR(IF(AND('Key inputs_EB_OWN'!S406/SUM('Key inputs_EB_OWN'!S$396:S$415)&gt;0,'Key inputs_EB_OWN'!S406/SUM('Key inputs_EB_OWN'!S$396:S$415)&lt;0.001),0.001,'Key inputs_EB_OWN'!S406/SUM('Key inputs_EB_OWN'!S$396:S$415)),"")</f>
        <v>8.5812347000717212E-3</v>
      </c>
      <c r="Z72" s="173">
        <f>IFERROR(IF(AND('Key inputs_EB_OWN'!T406/SUM('Key inputs_EB_OWN'!T$396:T$415)&gt;0,'Key inputs_EB_OWN'!T406/SUM('Key inputs_EB_OWN'!T$396:T$415)&lt;0.001),0.001,'Key inputs_EB_OWN'!T406/SUM('Key inputs_EB_OWN'!T$396:T$415)),"")</f>
        <v>6.0688897184426388E-3</v>
      </c>
      <c r="AA72" s="173">
        <f>IFERROR(IF(AND('Key inputs_EB_OWN'!U406/SUM('Key inputs_EB_OWN'!U$396:U$415)&gt;0,'Key inputs_EB_OWN'!U406/SUM('Key inputs_EB_OWN'!U$396:U$415)&lt;0.001),0.001,'Key inputs_EB_OWN'!U406/SUM('Key inputs_EB_OWN'!U$396:U$415)),"")</f>
        <v>0.20137369957449303</v>
      </c>
      <c r="AB72" s="173" t="str">
        <f>IFERROR(IF(AND('Key inputs_EB_OWN'!V406/SUM('Key inputs_EB_OWN'!V$396:V$415)&gt;0,'Key inputs_EB_OWN'!V406/SUM('Key inputs_EB_OWN'!V$396:V$415)&lt;0.001),0.001,'Key inputs_EB_OWN'!V406/SUM('Key inputs_EB_OWN'!V$396:V$415)),"")</f>
        <v/>
      </c>
      <c r="AC72" s="173" t="str">
        <f>IFERROR(IF(AND('Key inputs_EB_OWN'!W406/SUM('Key inputs_EB_OWN'!W$396:W$415)&gt;0,'Key inputs_EB_OWN'!W406/SUM('Key inputs_EB_OWN'!W$396:W$415)&lt;0.001),0.001,'Key inputs_EB_OWN'!W406/SUM('Key inputs_EB_OWN'!W$396:W$415)),"")</f>
        <v/>
      </c>
      <c r="AD72" s="173" t="str">
        <f>IFERROR(IF(AND('Key inputs_EB_OWN'!X406/SUM('Key inputs_EB_OWN'!X$396:X$415)&gt;0,'Key inputs_EB_OWN'!X406/SUM('Key inputs_EB_OWN'!X$396:X$415)&lt;0.001),0.001,'Key inputs_EB_OWN'!X406/SUM('Key inputs_EB_OWN'!X$396:X$415)),"")</f>
        <v/>
      </c>
      <c r="AE72" s="173">
        <f>IFERROR(IF(AND('Key inputs_EB_OWN'!Y406/SUM('Key inputs_EB_OWN'!Y$396:Y$415)&gt;0,'Key inputs_EB_OWN'!Y406/SUM('Key inputs_EB_OWN'!Y$396:Y$415)&lt;0.001),0.001,'Key inputs_EB_OWN'!Y406/SUM('Key inputs_EB_OWN'!Y$396:Y$415)),"")</f>
        <v>0.99294558248407361</v>
      </c>
      <c r="AF72" s="173">
        <f>IFERROR(IF(AND('Key inputs_EB_OWN'!Z406/SUM('Key inputs_EB_OWN'!Z$396:Z$415)&gt;0,'Key inputs_EB_OWN'!Z406/SUM('Key inputs_EB_OWN'!Z$396:Z$415)&lt;0.001),0.001,'Key inputs_EB_OWN'!Z406/SUM('Key inputs_EB_OWN'!Z$396:Z$415)),"")</f>
        <v>0</v>
      </c>
      <c r="AG72" s="173" t="str">
        <f>IFERROR(IF(AND('Key inputs_EB_OWN'!AA406/SUM('Key inputs_EB_OWN'!AA$396:AA$415)&gt;0,'Key inputs_EB_OWN'!AA406/SUM('Key inputs_EB_OWN'!AA$396:AA$415)&lt;0.001),0.001,'Key inputs_EB_OWN'!AA406/SUM('Key inputs_EB_OWN'!AA$396:AA$415)),"")</f>
        <v/>
      </c>
      <c r="AH72" s="173" t="str">
        <f>IFERROR(IF(AND('Key inputs_EB_OWN'!AB406/SUM('Key inputs_EB_OWN'!AB$396:AB$415)&gt;0,'Key inputs_EB_OWN'!AB406/SUM('Key inputs_EB_OWN'!AB$396:AB$415)&lt;0.001),0.001,'Key inputs_EB_OWN'!AB406/SUM('Key inputs_EB_OWN'!AB$396:AB$415)),"")</f>
        <v/>
      </c>
      <c r="AI72" s="173" t="str">
        <f>IFERROR(IF(AND('Key inputs_EB_OWN'!AC406/SUM('Key inputs_EB_OWN'!AC$396:AC$415)&gt;0,'Key inputs_EB_OWN'!AC406/SUM('Key inputs_EB_OWN'!AC$396:AC$415)&lt;0.001),0.001,'Key inputs_EB_OWN'!AC406/SUM('Key inputs_EB_OWN'!AC$396:AC$415)),"")</f>
        <v/>
      </c>
      <c r="AJ72" s="173">
        <f>IFERROR(IF(AND('Key inputs_EB_OWN'!AD406/SUM('Key inputs_EB_OWN'!AD$396:AD$415)&gt;0,'Key inputs_EB_OWN'!AD406/SUM('Key inputs_EB_OWN'!AD$396:AD$415)&lt;0.001),0.001,'Key inputs_EB_OWN'!AD406/SUM('Key inputs_EB_OWN'!AD$396:AD$415)),"")</f>
        <v>0</v>
      </c>
      <c r="AK72" s="173" t="str">
        <f>IFERROR(IF(AND('Key inputs_EB_OWN'!AE406/SUM('Key inputs_EB_OWN'!AE$396:AE$415)&gt;0,'Key inputs_EB_OWN'!AE406/SUM('Key inputs_EB_OWN'!AE$396:AE$415)&lt;0.001),0.001,'Key inputs_EB_OWN'!AE406/SUM('Key inputs_EB_OWN'!AE$396:AE$415)),"")</f>
        <v/>
      </c>
      <c r="AL72" s="173">
        <f>IFERROR(IF(AND('Key inputs_EB_OWN'!AF406/SUM('Key inputs_EB_OWN'!AF$396:AF$415)&gt;0,'Key inputs_EB_OWN'!AF406/SUM('Key inputs_EB_OWN'!AF$396:AF$415)&lt;0.001),0.001,'Key inputs_EB_OWN'!AF406/SUM('Key inputs_EB_OWN'!AF$396:AF$415)),"")</f>
        <v>5.1167070825670676E-3</v>
      </c>
    </row>
    <row r="73" spans="1:38">
      <c r="A73" s="4"/>
      <c r="B73" s="4"/>
      <c r="C73" s="4" t="str">
        <f>Commodities!$C$93</f>
        <v>UPSGSL</v>
      </c>
      <c r="D73" s="4"/>
      <c r="E73" s="4" t="s">
        <v>359</v>
      </c>
      <c r="G73" t="s">
        <v>693</v>
      </c>
      <c r="H73" s="4" t="s">
        <v>661</v>
      </c>
      <c r="I73">
        <v>2019</v>
      </c>
      <c r="J73" t="s">
        <v>650</v>
      </c>
      <c r="K73" s="173">
        <f>IFERROR(IF(AND('Key inputs_EB_OWN'!E407/SUM('Key inputs_EB_OWN'!E$396:E$415)&gt;0,'Key inputs_EB_OWN'!E407/SUM('Key inputs_EB_OWN'!E$396:E$415)&lt;0.001),0.001,'Key inputs_EB_OWN'!E407/SUM('Key inputs_EB_OWN'!E$396:E$415)),"")</f>
        <v>0</v>
      </c>
      <c r="L73" s="173" t="str">
        <f>IFERROR(IF(AND('Key inputs_EB_OWN'!F407/SUM('Key inputs_EB_OWN'!F$396:F$415)&gt;0,'Key inputs_EB_OWN'!F407/SUM('Key inputs_EB_OWN'!F$396:F$415)&lt;0.001),0.001,'Key inputs_EB_OWN'!F407/SUM('Key inputs_EB_OWN'!F$396:F$415)),"")</f>
        <v/>
      </c>
      <c r="M73" s="173" t="str">
        <f>IFERROR(IF(AND('Key inputs_EB_OWN'!G407/SUM('Key inputs_EB_OWN'!G$396:G$415)&gt;0,'Key inputs_EB_OWN'!G407/SUM('Key inputs_EB_OWN'!G$396:G$415)&lt;0.001),0.001,'Key inputs_EB_OWN'!G407/SUM('Key inputs_EB_OWN'!G$396:G$415)),"")</f>
        <v/>
      </c>
      <c r="N73" s="173" t="str">
        <f>IFERROR(IF(AND('Key inputs_EB_OWN'!H407/SUM('Key inputs_EB_OWN'!H$396:H$415)&gt;0,'Key inputs_EB_OWN'!H407/SUM('Key inputs_EB_OWN'!H$396:H$415)&lt;0.001),0.001,'Key inputs_EB_OWN'!H407/SUM('Key inputs_EB_OWN'!H$396:H$415)),"")</f>
        <v/>
      </c>
      <c r="O73" s="173">
        <f>IFERROR(IF(AND('Key inputs_EB_OWN'!I407/SUM('Key inputs_EB_OWN'!I$396:I$415)&gt;0,'Key inputs_EB_OWN'!I407/SUM('Key inputs_EB_OWN'!I$396:I$415)&lt;0.001),0.001,'Key inputs_EB_OWN'!I407/SUM('Key inputs_EB_OWN'!I$396:I$415)),"")</f>
        <v>1E-3</v>
      </c>
      <c r="P73" s="173">
        <f>IFERROR(IF(AND('Key inputs_EB_OWN'!J407/SUM('Key inputs_EB_OWN'!J$396:J$415)&gt;0,'Key inputs_EB_OWN'!J407/SUM('Key inputs_EB_OWN'!J$396:J$415)&lt;0.001),0.001,'Key inputs_EB_OWN'!J407/SUM('Key inputs_EB_OWN'!J$396:J$415)),"")</f>
        <v>0</v>
      </c>
      <c r="Q73" s="173" t="str">
        <f>IFERROR(IF(AND('Key inputs_EB_OWN'!K407/SUM('Key inputs_EB_OWN'!K$396:K$415)&gt;0,'Key inputs_EB_OWN'!K407/SUM('Key inputs_EB_OWN'!K$396:K$415)&lt;0.001),0.001,'Key inputs_EB_OWN'!K407/SUM('Key inputs_EB_OWN'!K$396:K$415)),"")</f>
        <v/>
      </c>
      <c r="R73" s="173" t="str">
        <f>IFERROR(IF(AND('Key inputs_EB_OWN'!L407/SUM('Key inputs_EB_OWN'!L$396:L$415)&gt;0,'Key inputs_EB_OWN'!L407/SUM('Key inputs_EB_OWN'!L$396:L$415)&lt;0.001),0.001,'Key inputs_EB_OWN'!L407/SUM('Key inputs_EB_OWN'!L$396:L$415)),"")</f>
        <v/>
      </c>
      <c r="S73" s="173" t="str">
        <f>IFERROR(IF(AND('Key inputs_EB_OWN'!M407/SUM('Key inputs_EB_OWN'!M$396:M$415)&gt;0,'Key inputs_EB_OWN'!M407/SUM('Key inputs_EB_OWN'!M$396:M$415)&lt;0.001),0.001,'Key inputs_EB_OWN'!M407/SUM('Key inputs_EB_OWN'!M$396:M$415)),"")</f>
        <v/>
      </c>
      <c r="T73" s="173">
        <f>IFERROR(IF(AND('Key inputs_EB_OWN'!N407/SUM('Key inputs_EB_OWN'!N$396:N$415)&gt;0,'Key inputs_EB_OWN'!N407/SUM('Key inputs_EB_OWN'!N$396:N$415)&lt;0.001),0.001,'Key inputs_EB_OWN'!N407/SUM('Key inputs_EB_OWN'!N$396:N$415)),"")</f>
        <v>0</v>
      </c>
      <c r="U73" s="173" t="str">
        <f>IFERROR(IF(AND('Key inputs_EB_OWN'!O407/SUM('Key inputs_EB_OWN'!O$396:O$415)&gt;0,'Key inputs_EB_OWN'!O407/SUM('Key inputs_EB_OWN'!O$396:O$415)&lt;0.001),0.001,'Key inputs_EB_OWN'!O407/SUM('Key inputs_EB_OWN'!O$396:O$415)),"")</f>
        <v/>
      </c>
      <c r="V73" s="173" t="str">
        <f>IFERROR(IF(AND('Key inputs_EB_OWN'!P407/SUM('Key inputs_EB_OWN'!P$396:P$415)&gt;0,'Key inputs_EB_OWN'!P407/SUM('Key inputs_EB_OWN'!P$396:P$415)&lt;0.001),0.001,'Key inputs_EB_OWN'!P407/SUM('Key inputs_EB_OWN'!P$396:P$415)),"")</f>
        <v/>
      </c>
      <c r="W73" s="173">
        <f>IFERROR(IF(AND('Key inputs_EB_OWN'!Q407/SUM('Key inputs_EB_OWN'!Q$396:Q$415)&gt;0,'Key inputs_EB_OWN'!Q407/SUM('Key inputs_EB_OWN'!Q$396:Q$415)&lt;0.001),0.001,'Key inputs_EB_OWN'!Q407/SUM('Key inputs_EB_OWN'!Q$396:Q$415)),"")</f>
        <v>0</v>
      </c>
      <c r="X73" s="173" t="str">
        <f>IFERROR(IF(AND('Key inputs_EB_OWN'!R407/SUM('Key inputs_EB_OWN'!R$396:R$415)&gt;0,'Key inputs_EB_OWN'!R407/SUM('Key inputs_EB_OWN'!R$396:R$415)&lt;0.001),0.001,'Key inputs_EB_OWN'!R407/SUM('Key inputs_EB_OWN'!R$396:R$415)),"")</f>
        <v/>
      </c>
      <c r="Y73" s="173">
        <f>IFERROR(IF(AND('Key inputs_EB_OWN'!S407/SUM('Key inputs_EB_OWN'!S$396:S$415)&gt;0,'Key inputs_EB_OWN'!S407/SUM('Key inputs_EB_OWN'!S$396:S$415)&lt;0.001),0.001,'Key inputs_EB_OWN'!S407/SUM('Key inputs_EB_OWN'!S$396:S$415)),"")</f>
        <v>1E-3</v>
      </c>
      <c r="Z73" s="173">
        <f>IFERROR(IF(AND('Key inputs_EB_OWN'!T407/SUM('Key inputs_EB_OWN'!T$396:T$415)&gt;0,'Key inputs_EB_OWN'!T407/SUM('Key inputs_EB_OWN'!T$396:T$415)&lt;0.001),0.001,'Key inputs_EB_OWN'!T407/SUM('Key inputs_EB_OWN'!T$396:T$415)),"")</f>
        <v>0</v>
      </c>
      <c r="AA73" s="173">
        <f>IFERROR(IF(AND('Key inputs_EB_OWN'!U407/SUM('Key inputs_EB_OWN'!U$396:U$415)&gt;0,'Key inputs_EB_OWN'!U407/SUM('Key inputs_EB_OWN'!U$396:U$415)&lt;0.001),0.001,'Key inputs_EB_OWN'!U407/SUM('Key inputs_EB_OWN'!U$396:U$415)),"")</f>
        <v>0</v>
      </c>
      <c r="AB73" s="173" t="str">
        <f>IFERROR(IF(AND('Key inputs_EB_OWN'!V407/SUM('Key inputs_EB_OWN'!V$396:V$415)&gt;0,'Key inputs_EB_OWN'!V407/SUM('Key inputs_EB_OWN'!V$396:V$415)&lt;0.001),0.001,'Key inputs_EB_OWN'!V407/SUM('Key inputs_EB_OWN'!V$396:V$415)),"")</f>
        <v/>
      </c>
      <c r="AC73" s="173" t="str">
        <f>IFERROR(IF(AND('Key inputs_EB_OWN'!W407/SUM('Key inputs_EB_OWN'!W$396:W$415)&gt;0,'Key inputs_EB_OWN'!W407/SUM('Key inputs_EB_OWN'!W$396:W$415)&lt;0.001),0.001,'Key inputs_EB_OWN'!W407/SUM('Key inputs_EB_OWN'!W$396:W$415)),"")</f>
        <v/>
      </c>
      <c r="AD73" s="173" t="str">
        <f>IFERROR(IF(AND('Key inputs_EB_OWN'!X407/SUM('Key inputs_EB_OWN'!X$396:X$415)&gt;0,'Key inputs_EB_OWN'!X407/SUM('Key inputs_EB_OWN'!X$396:X$415)&lt;0.001),0.001,'Key inputs_EB_OWN'!X407/SUM('Key inputs_EB_OWN'!X$396:X$415)),"")</f>
        <v/>
      </c>
      <c r="AE73" s="173">
        <f>IFERROR(IF(AND('Key inputs_EB_OWN'!Y407/SUM('Key inputs_EB_OWN'!Y$396:Y$415)&gt;0,'Key inputs_EB_OWN'!Y407/SUM('Key inputs_EB_OWN'!Y$396:Y$415)&lt;0.001),0.001,'Key inputs_EB_OWN'!Y407/SUM('Key inputs_EB_OWN'!Y$396:Y$415)),"")</f>
        <v>0</v>
      </c>
      <c r="AF73" s="173">
        <f>IFERROR(IF(AND('Key inputs_EB_OWN'!Z407/SUM('Key inputs_EB_OWN'!Z$396:Z$415)&gt;0,'Key inputs_EB_OWN'!Z407/SUM('Key inputs_EB_OWN'!Z$396:Z$415)&lt;0.001),0.001,'Key inputs_EB_OWN'!Z407/SUM('Key inputs_EB_OWN'!Z$396:Z$415)),"")</f>
        <v>0</v>
      </c>
      <c r="AG73" s="173" t="str">
        <f>IFERROR(IF(AND('Key inputs_EB_OWN'!AA407/SUM('Key inputs_EB_OWN'!AA$396:AA$415)&gt;0,'Key inputs_EB_OWN'!AA407/SUM('Key inputs_EB_OWN'!AA$396:AA$415)&lt;0.001),0.001,'Key inputs_EB_OWN'!AA407/SUM('Key inputs_EB_OWN'!AA$396:AA$415)),"")</f>
        <v/>
      </c>
      <c r="AH73" s="173" t="str">
        <f>IFERROR(IF(AND('Key inputs_EB_OWN'!AB407/SUM('Key inputs_EB_OWN'!AB$396:AB$415)&gt;0,'Key inputs_EB_OWN'!AB407/SUM('Key inputs_EB_OWN'!AB$396:AB$415)&lt;0.001),0.001,'Key inputs_EB_OWN'!AB407/SUM('Key inputs_EB_OWN'!AB$396:AB$415)),"")</f>
        <v/>
      </c>
      <c r="AI73" s="173" t="str">
        <f>IFERROR(IF(AND('Key inputs_EB_OWN'!AC407/SUM('Key inputs_EB_OWN'!AC$396:AC$415)&gt;0,'Key inputs_EB_OWN'!AC407/SUM('Key inputs_EB_OWN'!AC$396:AC$415)&lt;0.001),0.001,'Key inputs_EB_OWN'!AC407/SUM('Key inputs_EB_OWN'!AC$396:AC$415)),"")</f>
        <v/>
      </c>
      <c r="AJ73" s="173">
        <f>IFERROR(IF(AND('Key inputs_EB_OWN'!AD407/SUM('Key inputs_EB_OWN'!AD$396:AD$415)&gt;0,'Key inputs_EB_OWN'!AD407/SUM('Key inputs_EB_OWN'!AD$396:AD$415)&lt;0.001),0.001,'Key inputs_EB_OWN'!AD407/SUM('Key inputs_EB_OWN'!AD$396:AD$415)),"")</f>
        <v>0</v>
      </c>
      <c r="AK73" s="173" t="str">
        <f>IFERROR(IF(AND('Key inputs_EB_OWN'!AE407/SUM('Key inputs_EB_OWN'!AE$396:AE$415)&gt;0,'Key inputs_EB_OWN'!AE407/SUM('Key inputs_EB_OWN'!AE$396:AE$415)&lt;0.001),0.001,'Key inputs_EB_OWN'!AE407/SUM('Key inputs_EB_OWN'!AE$396:AE$415)),"")</f>
        <v/>
      </c>
      <c r="AL73" s="173">
        <f>IFERROR(IF(AND('Key inputs_EB_OWN'!AF407/SUM('Key inputs_EB_OWN'!AF$396:AF$415)&gt;0,'Key inputs_EB_OWN'!AF407/SUM('Key inputs_EB_OWN'!AF$396:AF$415)&lt;0.001),0.001,'Key inputs_EB_OWN'!AF407/SUM('Key inputs_EB_OWN'!AF$396:AF$415)),"")</f>
        <v>0.39052267756989234</v>
      </c>
    </row>
    <row r="74" spans="1:38">
      <c r="A74" s="4"/>
      <c r="B74" s="4"/>
      <c r="C74" s="4" t="str">
        <f>Commodities!$C$94</f>
        <v>UPSHET</v>
      </c>
      <c r="D74" s="4"/>
      <c r="E74" s="4" t="s">
        <v>359</v>
      </c>
      <c r="G74" t="s">
        <v>693</v>
      </c>
      <c r="H74" s="4" t="s">
        <v>661</v>
      </c>
      <c r="I74">
        <v>2019</v>
      </c>
      <c r="J74" t="s">
        <v>650</v>
      </c>
      <c r="K74" s="173">
        <f>IFERROR(IF(AND('Key inputs_EB_OWN'!E408/SUM('Key inputs_EB_OWN'!E$396:E$415)&gt;0,'Key inputs_EB_OWN'!E408/SUM('Key inputs_EB_OWN'!E$396:E$415)&lt;0.001),0.001,'Key inputs_EB_OWN'!E408/SUM('Key inputs_EB_OWN'!E$396:E$415)),"")</f>
        <v>0</v>
      </c>
      <c r="L74" s="173" t="str">
        <f>IFERROR(IF(AND('Key inputs_EB_OWN'!F408/SUM('Key inputs_EB_OWN'!F$396:F$415)&gt;0,'Key inputs_EB_OWN'!F408/SUM('Key inputs_EB_OWN'!F$396:F$415)&lt;0.001),0.001,'Key inputs_EB_OWN'!F408/SUM('Key inputs_EB_OWN'!F$396:F$415)),"")</f>
        <v/>
      </c>
      <c r="M74" s="173" t="str">
        <f>IFERROR(IF(AND('Key inputs_EB_OWN'!G408/SUM('Key inputs_EB_OWN'!G$396:G$415)&gt;0,'Key inputs_EB_OWN'!G408/SUM('Key inputs_EB_OWN'!G$396:G$415)&lt;0.001),0.001,'Key inputs_EB_OWN'!G408/SUM('Key inputs_EB_OWN'!G$396:G$415)),"")</f>
        <v/>
      </c>
      <c r="N74" s="173" t="str">
        <f>IFERROR(IF(AND('Key inputs_EB_OWN'!H408/SUM('Key inputs_EB_OWN'!H$396:H$415)&gt;0,'Key inputs_EB_OWN'!H408/SUM('Key inputs_EB_OWN'!H$396:H$415)&lt;0.001),0.001,'Key inputs_EB_OWN'!H408/SUM('Key inputs_EB_OWN'!H$396:H$415)),"")</f>
        <v/>
      </c>
      <c r="O74" s="173">
        <f>IFERROR(IF(AND('Key inputs_EB_OWN'!I408/SUM('Key inputs_EB_OWN'!I$396:I$415)&gt;0,'Key inputs_EB_OWN'!I408/SUM('Key inputs_EB_OWN'!I$396:I$415)&lt;0.001),0.001,'Key inputs_EB_OWN'!I408/SUM('Key inputs_EB_OWN'!I$396:I$415)),"")</f>
        <v>0</v>
      </c>
      <c r="P74" s="173">
        <f>IFERROR(IF(AND('Key inputs_EB_OWN'!J408/SUM('Key inputs_EB_OWN'!J$396:J$415)&gt;0,'Key inputs_EB_OWN'!J408/SUM('Key inputs_EB_OWN'!J$396:J$415)&lt;0.001),0.001,'Key inputs_EB_OWN'!J408/SUM('Key inputs_EB_OWN'!J$396:J$415)),"")</f>
        <v>4.3351861626659091E-2</v>
      </c>
      <c r="Q74" s="173" t="str">
        <f>IFERROR(IF(AND('Key inputs_EB_OWN'!K408/SUM('Key inputs_EB_OWN'!K$396:K$415)&gt;0,'Key inputs_EB_OWN'!K408/SUM('Key inputs_EB_OWN'!K$396:K$415)&lt;0.001),0.001,'Key inputs_EB_OWN'!K408/SUM('Key inputs_EB_OWN'!K$396:K$415)),"")</f>
        <v/>
      </c>
      <c r="R74" s="173" t="str">
        <f>IFERROR(IF(AND('Key inputs_EB_OWN'!L408/SUM('Key inputs_EB_OWN'!L$396:L$415)&gt;0,'Key inputs_EB_OWN'!L408/SUM('Key inputs_EB_OWN'!L$396:L$415)&lt;0.001),0.001,'Key inputs_EB_OWN'!L408/SUM('Key inputs_EB_OWN'!L$396:L$415)),"")</f>
        <v/>
      </c>
      <c r="S74" s="173" t="str">
        <f>IFERROR(IF(AND('Key inputs_EB_OWN'!M408/SUM('Key inputs_EB_OWN'!M$396:M$415)&gt;0,'Key inputs_EB_OWN'!M408/SUM('Key inputs_EB_OWN'!M$396:M$415)&lt;0.001),0.001,'Key inputs_EB_OWN'!M408/SUM('Key inputs_EB_OWN'!M$396:M$415)),"")</f>
        <v/>
      </c>
      <c r="T74" s="173">
        <f>IFERROR(IF(AND('Key inputs_EB_OWN'!N408/SUM('Key inputs_EB_OWN'!N$396:N$415)&gt;0,'Key inputs_EB_OWN'!N408/SUM('Key inputs_EB_OWN'!N$396:N$415)&lt;0.001),0.001,'Key inputs_EB_OWN'!N408/SUM('Key inputs_EB_OWN'!N$396:N$415)),"")</f>
        <v>0</v>
      </c>
      <c r="U74" s="173" t="str">
        <f>IFERROR(IF(AND('Key inputs_EB_OWN'!O408/SUM('Key inputs_EB_OWN'!O$396:O$415)&gt;0,'Key inputs_EB_OWN'!O408/SUM('Key inputs_EB_OWN'!O$396:O$415)&lt;0.001),0.001,'Key inputs_EB_OWN'!O408/SUM('Key inputs_EB_OWN'!O$396:O$415)),"")</f>
        <v/>
      </c>
      <c r="V74" s="173" t="str">
        <f>IFERROR(IF(AND('Key inputs_EB_OWN'!P408/SUM('Key inputs_EB_OWN'!P$396:P$415)&gt;0,'Key inputs_EB_OWN'!P408/SUM('Key inputs_EB_OWN'!P$396:P$415)&lt;0.001),0.001,'Key inputs_EB_OWN'!P408/SUM('Key inputs_EB_OWN'!P$396:P$415)),"")</f>
        <v/>
      </c>
      <c r="W74" s="173">
        <f>IFERROR(IF(AND('Key inputs_EB_OWN'!Q408/SUM('Key inputs_EB_OWN'!Q$396:Q$415)&gt;0,'Key inputs_EB_OWN'!Q408/SUM('Key inputs_EB_OWN'!Q$396:Q$415)&lt;0.001),0.001,'Key inputs_EB_OWN'!Q408/SUM('Key inputs_EB_OWN'!Q$396:Q$415)),"")</f>
        <v>0.15216508100242468</v>
      </c>
      <c r="X74" s="173" t="str">
        <f>IFERROR(IF(AND('Key inputs_EB_OWN'!R408/SUM('Key inputs_EB_OWN'!R$396:R$415)&gt;0,'Key inputs_EB_OWN'!R408/SUM('Key inputs_EB_OWN'!R$396:R$415)&lt;0.001),0.001,'Key inputs_EB_OWN'!R408/SUM('Key inputs_EB_OWN'!R$396:R$415)),"")</f>
        <v/>
      </c>
      <c r="Y74" s="173">
        <f>IFERROR(IF(AND('Key inputs_EB_OWN'!S408/SUM('Key inputs_EB_OWN'!S$396:S$415)&gt;0,'Key inputs_EB_OWN'!S408/SUM('Key inputs_EB_OWN'!S$396:S$415)&lt;0.001),0.001,'Key inputs_EB_OWN'!S408/SUM('Key inputs_EB_OWN'!S$396:S$415)),"")</f>
        <v>8.794960374333953E-2</v>
      </c>
      <c r="Z74" s="173">
        <f>IFERROR(IF(AND('Key inputs_EB_OWN'!T408/SUM('Key inputs_EB_OWN'!T$396:T$415)&gt;0,'Key inputs_EB_OWN'!T408/SUM('Key inputs_EB_OWN'!T$396:T$415)&lt;0.001),0.001,'Key inputs_EB_OWN'!T408/SUM('Key inputs_EB_OWN'!T$396:T$415)),"")</f>
        <v>0</v>
      </c>
      <c r="AA74" s="173">
        <f>IFERROR(IF(AND('Key inputs_EB_OWN'!U408/SUM('Key inputs_EB_OWN'!U$396:U$415)&gt;0,'Key inputs_EB_OWN'!U408/SUM('Key inputs_EB_OWN'!U$396:U$415)&lt;0.001),0.001,'Key inputs_EB_OWN'!U408/SUM('Key inputs_EB_OWN'!U$396:U$415)),"")</f>
        <v>0</v>
      </c>
      <c r="AB74" s="173" t="str">
        <f>IFERROR(IF(AND('Key inputs_EB_OWN'!V408/SUM('Key inputs_EB_OWN'!V$396:V$415)&gt;0,'Key inputs_EB_OWN'!V408/SUM('Key inputs_EB_OWN'!V$396:V$415)&lt;0.001),0.001,'Key inputs_EB_OWN'!V408/SUM('Key inputs_EB_OWN'!V$396:V$415)),"")</f>
        <v/>
      </c>
      <c r="AC74" s="173" t="str">
        <f>IFERROR(IF(AND('Key inputs_EB_OWN'!W408/SUM('Key inputs_EB_OWN'!W$396:W$415)&gt;0,'Key inputs_EB_OWN'!W408/SUM('Key inputs_EB_OWN'!W$396:W$415)&lt;0.001),0.001,'Key inputs_EB_OWN'!W408/SUM('Key inputs_EB_OWN'!W$396:W$415)),"")</f>
        <v/>
      </c>
      <c r="AD74" s="173" t="str">
        <f>IFERROR(IF(AND('Key inputs_EB_OWN'!X408/SUM('Key inputs_EB_OWN'!X$396:X$415)&gt;0,'Key inputs_EB_OWN'!X408/SUM('Key inputs_EB_OWN'!X$396:X$415)&lt;0.001),0.001,'Key inputs_EB_OWN'!X408/SUM('Key inputs_EB_OWN'!X$396:X$415)),"")</f>
        <v/>
      </c>
      <c r="AE74" s="173">
        <f>IFERROR(IF(AND('Key inputs_EB_OWN'!Y408/SUM('Key inputs_EB_OWN'!Y$396:Y$415)&gt;0,'Key inputs_EB_OWN'!Y408/SUM('Key inputs_EB_OWN'!Y$396:Y$415)&lt;0.001),0.001,'Key inputs_EB_OWN'!Y408/SUM('Key inputs_EB_OWN'!Y$396:Y$415)),"")</f>
        <v>0</v>
      </c>
      <c r="AF74" s="173">
        <f>IFERROR(IF(AND('Key inputs_EB_OWN'!Z408/SUM('Key inputs_EB_OWN'!Z$396:Z$415)&gt;0,'Key inputs_EB_OWN'!Z408/SUM('Key inputs_EB_OWN'!Z$396:Z$415)&lt;0.001),0.001,'Key inputs_EB_OWN'!Z408/SUM('Key inputs_EB_OWN'!Z$396:Z$415)),"")</f>
        <v>0</v>
      </c>
      <c r="AG74" s="173" t="str">
        <f>IFERROR(IF(AND('Key inputs_EB_OWN'!AA408/SUM('Key inputs_EB_OWN'!AA$396:AA$415)&gt;0,'Key inputs_EB_OWN'!AA408/SUM('Key inputs_EB_OWN'!AA$396:AA$415)&lt;0.001),0.001,'Key inputs_EB_OWN'!AA408/SUM('Key inputs_EB_OWN'!AA$396:AA$415)),"")</f>
        <v/>
      </c>
      <c r="AH74" s="173" t="str">
        <f>IFERROR(IF(AND('Key inputs_EB_OWN'!AB408/SUM('Key inputs_EB_OWN'!AB$396:AB$415)&gt;0,'Key inputs_EB_OWN'!AB408/SUM('Key inputs_EB_OWN'!AB$396:AB$415)&lt;0.001),0.001,'Key inputs_EB_OWN'!AB408/SUM('Key inputs_EB_OWN'!AB$396:AB$415)),"")</f>
        <v/>
      </c>
      <c r="AI74" s="173" t="str">
        <f>IFERROR(IF(AND('Key inputs_EB_OWN'!AC408/SUM('Key inputs_EB_OWN'!AC$396:AC$415)&gt;0,'Key inputs_EB_OWN'!AC408/SUM('Key inputs_EB_OWN'!AC$396:AC$415)&lt;0.001),0.001,'Key inputs_EB_OWN'!AC408/SUM('Key inputs_EB_OWN'!AC$396:AC$415)),"")</f>
        <v/>
      </c>
      <c r="AJ74" s="173">
        <f>IFERROR(IF(AND('Key inputs_EB_OWN'!AD408/SUM('Key inputs_EB_OWN'!AD$396:AD$415)&gt;0,'Key inputs_EB_OWN'!AD408/SUM('Key inputs_EB_OWN'!AD$396:AD$415)&lt;0.001),0.001,'Key inputs_EB_OWN'!AD408/SUM('Key inputs_EB_OWN'!AD$396:AD$415)),"")</f>
        <v>6.837469207900565E-2</v>
      </c>
      <c r="AK74" s="173" t="str">
        <f>IFERROR(IF(AND('Key inputs_EB_OWN'!AE408/SUM('Key inputs_EB_OWN'!AE$396:AE$415)&gt;0,'Key inputs_EB_OWN'!AE408/SUM('Key inputs_EB_OWN'!AE$396:AE$415)&lt;0.001),0.001,'Key inputs_EB_OWN'!AE408/SUM('Key inputs_EB_OWN'!AE$396:AE$415)),"")</f>
        <v/>
      </c>
      <c r="AL74" s="173">
        <f>IFERROR(IF(AND('Key inputs_EB_OWN'!AF408/SUM('Key inputs_EB_OWN'!AF$396:AF$415)&gt;0,'Key inputs_EB_OWN'!AF408/SUM('Key inputs_EB_OWN'!AF$396:AF$415)&lt;0.001),0.001,'Key inputs_EB_OWN'!AF408/SUM('Key inputs_EB_OWN'!AF$396:AF$415)),"")</f>
        <v>0</v>
      </c>
    </row>
    <row r="75" spans="1:38">
      <c r="A75" s="4"/>
      <c r="B75" s="4"/>
      <c r="C75" s="4" t="str">
        <f>Commodities!$C$95</f>
        <v>UPSHFO</v>
      </c>
      <c r="D75" s="4"/>
      <c r="E75" s="4" t="s">
        <v>359</v>
      </c>
      <c r="G75" t="s">
        <v>693</v>
      </c>
      <c r="H75" s="4" t="s">
        <v>661</v>
      </c>
      <c r="I75">
        <v>2019</v>
      </c>
      <c r="J75" t="s">
        <v>650</v>
      </c>
      <c r="K75" s="173">
        <f>IFERROR(IF(AND('Key inputs_EB_OWN'!E409/SUM('Key inputs_EB_OWN'!E$396:E$415)&gt;0,'Key inputs_EB_OWN'!E409/SUM('Key inputs_EB_OWN'!E$396:E$415)&lt;0.001),0.001,'Key inputs_EB_OWN'!E409/SUM('Key inputs_EB_OWN'!E$396:E$415)),"")</f>
        <v>0</v>
      </c>
      <c r="L75" s="173" t="str">
        <f>IFERROR(IF(AND('Key inputs_EB_OWN'!F409/SUM('Key inputs_EB_OWN'!F$396:F$415)&gt;0,'Key inputs_EB_OWN'!F409/SUM('Key inputs_EB_OWN'!F$396:F$415)&lt;0.001),0.001,'Key inputs_EB_OWN'!F409/SUM('Key inputs_EB_OWN'!F$396:F$415)),"")</f>
        <v/>
      </c>
      <c r="M75" s="173" t="str">
        <f>IFERROR(IF(AND('Key inputs_EB_OWN'!G409/SUM('Key inputs_EB_OWN'!G$396:G$415)&gt;0,'Key inputs_EB_OWN'!G409/SUM('Key inputs_EB_OWN'!G$396:G$415)&lt;0.001),0.001,'Key inputs_EB_OWN'!G409/SUM('Key inputs_EB_OWN'!G$396:G$415)),"")</f>
        <v/>
      </c>
      <c r="N75" s="173" t="str">
        <f>IFERROR(IF(AND('Key inputs_EB_OWN'!H409/SUM('Key inputs_EB_OWN'!H$396:H$415)&gt;0,'Key inputs_EB_OWN'!H409/SUM('Key inputs_EB_OWN'!H$396:H$415)&lt;0.001),0.001,'Key inputs_EB_OWN'!H409/SUM('Key inputs_EB_OWN'!H$396:H$415)),"")</f>
        <v/>
      </c>
      <c r="O75" s="173">
        <f>IFERROR(IF(AND('Key inputs_EB_OWN'!I409/SUM('Key inputs_EB_OWN'!I$396:I$415)&gt;0,'Key inputs_EB_OWN'!I409/SUM('Key inputs_EB_OWN'!I$396:I$415)&lt;0.001),0.001,'Key inputs_EB_OWN'!I409/SUM('Key inputs_EB_OWN'!I$396:I$415)),"")</f>
        <v>1E-3</v>
      </c>
      <c r="P75" s="173">
        <f>IFERROR(IF(AND('Key inputs_EB_OWN'!J409/SUM('Key inputs_EB_OWN'!J$396:J$415)&gt;0,'Key inputs_EB_OWN'!J409/SUM('Key inputs_EB_OWN'!J$396:J$415)&lt;0.001),0.001,'Key inputs_EB_OWN'!J409/SUM('Key inputs_EB_OWN'!J$396:J$415)),"")</f>
        <v>0</v>
      </c>
      <c r="Q75" s="173" t="str">
        <f>IFERROR(IF(AND('Key inputs_EB_OWN'!K409/SUM('Key inputs_EB_OWN'!K$396:K$415)&gt;0,'Key inputs_EB_OWN'!K409/SUM('Key inputs_EB_OWN'!K$396:K$415)&lt;0.001),0.001,'Key inputs_EB_OWN'!K409/SUM('Key inputs_EB_OWN'!K$396:K$415)),"")</f>
        <v/>
      </c>
      <c r="R75" s="173" t="str">
        <f>IFERROR(IF(AND('Key inputs_EB_OWN'!L409/SUM('Key inputs_EB_OWN'!L$396:L$415)&gt;0,'Key inputs_EB_OWN'!L409/SUM('Key inputs_EB_OWN'!L$396:L$415)&lt;0.001),0.001,'Key inputs_EB_OWN'!L409/SUM('Key inputs_EB_OWN'!L$396:L$415)),"")</f>
        <v/>
      </c>
      <c r="S75" s="173" t="str">
        <f>IFERROR(IF(AND('Key inputs_EB_OWN'!M409/SUM('Key inputs_EB_OWN'!M$396:M$415)&gt;0,'Key inputs_EB_OWN'!M409/SUM('Key inputs_EB_OWN'!M$396:M$415)&lt;0.001),0.001,'Key inputs_EB_OWN'!M409/SUM('Key inputs_EB_OWN'!M$396:M$415)),"")</f>
        <v/>
      </c>
      <c r="T75" s="173">
        <f>IFERROR(IF(AND('Key inputs_EB_OWN'!N409/SUM('Key inputs_EB_OWN'!N$396:N$415)&gt;0,'Key inputs_EB_OWN'!N409/SUM('Key inputs_EB_OWN'!N$396:N$415)&lt;0.001),0.001,'Key inputs_EB_OWN'!N409/SUM('Key inputs_EB_OWN'!N$396:N$415)),"")</f>
        <v>0</v>
      </c>
      <c r="U75" s="173" t="str">
        <f>IFERROR(IF(AND('Key inputs_EB_OWN'!O409/SUM('Key inputs_EB_OWN'!O$396:O$415)&gt;0,'Key inputs_EB_OWN'!O409/SUM('Key inputs_EB_OWN'!O$396:O$415)&lt;0.001),0.001,'Key inputs_EB_OWN'!O409/SUM('Key inputs_EB_OWN'!O$396:O$415)),"")</f>
        <v/>
      </c>
      <c r="V75" s="173" t="str">
        <f>IFERROR(IF(AND('Key inputs_EB_OWN'!P409/SUM('Key inputs_EB_OWN'!P$396:P$415)&gt;0,'Key inputs_EB_OWN'!P409/SUM('Key inputs_EB_OWN'!P$396:P$415)&lt;0.001),0.001,'Key inputs_EB_OWN'!P409/SUM('Key inputs_EB_OWN'!P$396:P$415)),"")</f>
        <v/>
      </c>
      <c r="W75" s="173">
        <f>IFERROR(IF(AND('Key inputs_EB_OWN'!Q409/SUM('Key inputs_EB_OWN'!Q$396:Q$415)&gt;0,'Key inputs_EB_OWN'!Q409/SUM('Key inputs_EB_OWN'!Q$396:Q$415)&lt;0.001),0.001,'Key inputs_EB_OWN'!Q409/SUM('Key inputs_EB_OWN'!Q$396:Q$415)),"")</f>
        <v>0</v>
      </c>
      <c r="X75" s="173" t="str">
        <f>IFERROR(IF(AND('Key inputs_EB_OWN'!R409/SUM('Key inputs_EB_OWN'!R$396:R$415)&gt;0,'Key inputs_EB_OWN'!R409/SUM('Key inputs_EB_OWN'!R$396:R$415)&lt;0.001),0.001,'Key inputs_EB_OWN'!R409/SUM('Key inputs_EB_OWN'!R$396:R$415)),"")</f>
        <v/>
      </c>
      <c r="Y75" s="173">
        <f>IFERROR(IF(AND('Key inputs_EB_OWN'!S409/SUM('Key inputs_EB_OWN'!S$396:S$415)&gt;0,'Key inputs_EB_OWN'!S409/SUM('Key inputs_EB_OWN'!S$396:S$415)&lt;0.001),0.001,'Key inputs_EB_OWN'!S409/SUM('Key inputs_EB_OWN'!S$396:S$415)),"")</f>
        <v>1.2334398500363653E-3</v>
      </c>
      <c r="Z75" s="173">
        <f>IFERROR(IF(AND('Key inputs_EB_OWN'!T409/SUM('Key inputs_EB_OWN'!T$396:T$415)&gt;0,'Key inputs_EB_OWN'!T409/SUM('Key inputs_EB_OWN'!T$396:T$415)&lt;0.001),0.001,'Key inputs_EB_OWN'!T409/SUM('Key inputs_EB_OWN'!T$396:T$415)),"")</f>
        <v>0</v>
      </c>
      <c r="AA75" s="173">
        <f>IFERROR(IF(AND('Key inputs_EB_OWN'!U409/SUM('Key inputs_EB_OWN'!U$396:U$415)&gt;0,'Key inputs_EB_OWN'!U409/SUM('Key inputs_EB_OWN'!U$396:U$415)&lt;0.001),0.001,'Key inputs_EB_OWN'!U409/SUM('Key inputs_EB_OWN'!U$396:U$415)),"")</f>
        <v>0</v>
      </c>
      <c r="AB75" s="173" t="str">
        <f>IFERROR(IF(AND('Key inputs_EB_OWN'!V409/SUM('Key inputs_EB_OWN'!V$396:V$415)&gt;0,'Key inputs_EB_OWN'!V409/SUM('Key inputs_EB_OWN'!V$396:V$415)&lt;0.001),0.001,'Key inputs_EB_OWN'!V409/SUM('Key inputs_EB_OWN'!V$396:V$415)),"")</f>
        <v/>
      </c>
      <c r="AC75" s="173" t="str">
        <f>IFERROR(IF(AND('Key inputs_EB_OWN'!W409/SUM('Key inputs_EB_OWN'!W$396:W$415)&gt;0,'Key inputs_EB_OWN'!W409/SUM('Key inputs_EB_OWN'!W$396:W$415)&lt;0.001),0.001,'Key inputs_EB_OWN'!W409/SUM('Key inputs_EB_OWN'!W$396:W$415)),"")</f>
        <v/>
      </c>
      <c r="AD75" s="173" t="str">
        <f>IFERROR(IF(AND('Key inputs_EB_OWN'!X409/SUM('Key inputs_EB_OWN'!X$396:X$415)&gt;0,'Key inputs_EB_OWN'!X409/SUM('Key inputs_EB_OWN'!X$396:X$415)&lt;0.001),0.001,'Key inputs_EB_OWN'!X409/SUM('Key inputs_EB_OWN'!X$396:X$415)),"")</f>
        <v/>
      </c>
      <c r="AE75" s="173">
        <f>IFERROR(IF(AND('Key inputs_EB_OWN'!Y409/SUM('Key inputs_EB_OWN'!Y$396:Y$415)&gt;0,'Key inputs_EB_OWN'!Y409/SUM('Key inputs_EB_OWN'!Y$396:Y$415)&lt;0.001),0.001,'Key inputs_EB_OWN'!Y409/SUM('Key inputs_EB_OWN'!Y$396:Y$415)),"")</f>
        <v>0</v>
      </c>
      <c r="AF75" s="173">
        <f>IFERROR(IF(AND('Key inputs_EB_OWN'!Z409/SUM('Key inputs_EB_OWN'!Z$396:Z$415)&gt;0,'Key inputs_EB_OWN'!Z409/SUM('Key inputs_EB_OWN'!Z$396:Z$415)&lt;0.001),0.001,'Key inputs_EB_OWN'!Z409/SUM('Key inputs_EB_OWN'!Z$396:Z$415)),"")</f>
        <v>0</v>
      </c>
      <c r="AG75" s="173" t="str">
        <f>IFERROR(IF(AND('Key inputs_EB_OWN'!AA409/SUM('Key inputs_EB_OWN'!AA$396:AA$415)&gt;0,'Key inputs_EB_OWN'!AA409/SUM('Key inputs_EB_OWN'!AA$396:AA$415)&lt;0.001),0.001,'Key inputs_EB_OWN'!AA409/SUM('Key inputs_EB_OWN'!AA$396:AA$415)),"")</f>
        <v/>
      </c>
      <c r="AH75" s="173" t="str">
        <f>IFERROR(IF(AND('Key inputs_EB_OWN'!AB409/SUM('Key inputs_EB_OWN'!AB$396:AB$415)&gt;0,'Key inputs_EB_OWN'!AB409/SUM('Key inputs_EB_OWN'!AB$396:AB$415)&lt;0.001),0.001,'Key inputs_EB_OWN'!AB409/SUM('Key inputs_EB_OWN'!AB$396:AB$415)),"")</f>
        <v/>
      </c>
      <c r="AI75" s="173" t="str">
        <f>IFERROR(IF(AND('Key inputs_EB_OWN'!AC409/SUM('Key inputs_EB_OWN'!AC$396:AC$415)&gt;0,'Key inputs_EB_OWN'!AC409/SUM('Key inputs_EB_OWN'!AC$396:AC$415)&lt;0.001),0.001,'Key inputs_EB_OWN'!AC409/SUM('Key inputs_EB_OWN'!AC$396:AC$415)),"")</f>
        <v/>
      </c>
      <c r="AJ75" s="173">
        <f>IFERROR(IF(AND('Key inputs_EB_OWN'!AD409/SUM('Key inputs_EB_OWN'!AD$396:AD$415)&gt;0,'Key inputs_EB_OWN'!AD409/SUM('Key inputs_EB_OWN'!AD$396:AD$415)&lt;0.001),0.001,'Key inputs_EB_OWN'!AD409/SUM('Key inputs_EB_OWN'!AD$396:AD$415)),"")</f>
        <v>0</v>
      </c>
      <c r="AK75" s="173" t="str">
        <f>IFERROR(IF(AND('Key inputs_EB_OWN'!AE409/SUM('Key inputs_EB_OWN'!AE$396:AE$415)&gt;0,'Key inputs_EB_OWN'!AE409/SUM('Key inputs_EB_OWN'!AE$396:AE$415)&lt;0.001),0.001,'Key inputs_EB_OWN'!AE409/SUM('Key inputs_EB_OWN'!AE$396:AE$415)),"")</f>
        <v/>
      </c>
      <c r="AL75" s="173">
        <f>IFERROR(IF(AND('Key inputs_EB_OWN'!AF409/SUM('Key inputs_EB_OWN'!AF$396:AF$415)&gt;0,'Key inputs_EB_OWN'!AF409/SUM('Key inputs_EB_OWN'!AF$396:AF$415)&lt;0.001),0.001,'Key inputs_EB_OWN'!AF409/SUM('Key inputs_EB_OWN'!AF$396:AF$415)),"")</f>
        <v>5.966185086337286E-3</v>
      </c>
    </row>
    <row r="76" spans="1:38">
      <c r="A76" s="4"/>
      <c r="B76" s="4"/>
      <c r="C76" s="4" t="str">
        <f>Commodities!$C$96</f>
        <v>UPSKER</v>
      </c>
      <c r="D76" s="4"/>
      <c r="E76" s="4" t="s">
        <v>359</v>
      </c>
      <c r="G76" t="s">
        <v>693</v>
      </c>
      <c r="H76" s="4" t="s">
        <v>661</v>
      </c>
      <c r="I76">
        <v>2019</v>
      </c>
      <c r="J76" t="s">
        <v>650</v>
      </c>
      <c r="K76" s="173">
        <f>IFERROR(IF(AND('Key inputs_EB_OWN'!E410/SUM('Key inputs_EB_OWN'!E$396:E$415)&gt;0,'Key inputs_EB_OWN'!E410/SUM('Key inputs_EB_OWN'!E$396:E$415)&lt;0.001),0.001,'Key inputs_EB_OWN'!E410/SUM('Key inputs_EB_OWN'!E$396:E$415)),"")</f>
        <v>0</v>
      </c>
      <c r="L76" s="173" t="str">
        <f>IFERROR(IF(AND('Key inputs_EB_OWN'!F410/SUM('Key inputs_EB_OWN'!F$396:F$415)&gt;0,'Key inputs_EB_OWN'!F410/SUM('Key inputs_EB_OWN'!F$396:F$415)&lt;0.001),0.001,'Key inputs_EB_OWN'!F410/SUM('Key inputs_EB_OWN'!F$396:F$415)),"")</f>
        <v/>
      </c>
      <c r="M76" s="173" t="str">
        <f>IFERROR(IF(AND('Key inputs_EB_OWN'!G410/SUM('Key inputs_EB_OWN'!G$396:G$415)&gt;0,'Key inputs_EB_OWN'!G410/SUM('Key inputs_EB_OWN'!G$396:G$415)&lt;0.001),0.001,'Key inputs_EB_OWN'!G410/SUM('Key inputs_EB_OWN'!G$396:G$415)),"")</f>
        <v/>
      </c>
      <c r="N76" s="173" t="str">
        <f>IFERROR(IF(AND('Key inputs_EB_OWN'!H410/SUM('Key inputs_EB_OWN'!H$396:H$415)&gt;0,'Key inputs_EB_OWN'!H410/SUM('Key inputs_EB_OWN'!H$396:H$415)&lt;0.001),0.001,'Key inputs_EB_OWN'!H410/SUM('Key inputs_EB_OWN'!H$396:H$415)),"")</f>
        <v/>
      </c>
      <c r="O76" s="173">
        <f>IFERROR(IF(AND('Key inputs_EB_OWN'!I410/SUM('Key inputs_EB_OWN'!I$396:I$415)&gt;0,'Key inputs_EB_OWN'!I410/SUM('Key inputs_EB_OWN'!I$396:I$415)&lt;0.001),0.001,'Key inputs_EB_OWN'!I410/SUM('Key inputs_EB_OWN'!I$396:I$415)),"")</f>
        <v>0</v>
      </c>
      <c r="P76" s="173">
        <f>IFERROR(IF(AND('Key inputs_EB_OWN'!J410/SUM('Key inputs_EB_OWN'!J$396:J$415)&gt;0,'Key inputs_EB_OWN'!J410/SUM('Key inputs_EB_OWN'!J$396:J$415)&lt;0.001),0.001,'Key inputs_EB_OWN'!J410/SUM('Key inputs_EB_OWN'!J$396:J$415)),"")</f>
        <v>0</v>
      </c>
      <c r="Q76" s="173" t="str">
        <f>IFERROR(IF(AND('Key inputs_EB_OWN'!K410/SUM('Key inputs_EB_OWN'!K$396:K$415)&gt;0,'Key inputs_EB_OWN'!K410/SUM('Key inputs_EB_OWN'!K$396:K$415)&lt;0.001),0.001,'Key inputs_EB_OWN'!K410/SUM('Key inputs_EB_OWN'!K$396:K$415)),"")</f>
        <v/>
      </c>
      <c r="R76" s="173" t="str">
        <f>IFERROR(IF(AND('Key inputs_EB_OWN'!L410/SUM('Key inputs_EB_OWN'!L$396:L$415)&gt;0,'Key inputs_EB_OWN'!L410/SUM('Key inputs_EB_OWN'!L$396:L$415)&lt;0.001),0.001,'Key inputs_EB_OWN'!L410/SUM('Key inputs_EB_OWN'!L$396:L$415)),"")</f>
        <v/>
      </c>
      <c r="S76" s="173" t="str">
        <f>IFERROR(IF(AND('Key inputs_EB_OWN'!M410/SUM('Key inputs_EB_OWN'!M$396:M$415)&gt;0,'Key inputs_EB_OWN'!M410/SUM('Key inputs_EB_OWN'!M$396:M$415)&lt;0.001),0.001,'Key inputs_EB_OWN'!M410/SUM('Key inputs_EB_OWN'!M$396:M$415)),"")</f>
        <v/>
      </c>
      <c r="T76" s="173">
        <f>IFERROR(IF(AND('Key inputs_EB_OWN'!N410/SUM('Key inputs_EB_OWN'!N$396:N$415)&gt;0,'Key inputs_EB_OWN'!N410/SUM('Key inputs_EB_OWN'!N$396:N$415)&lt;0.001),0.001,'Key inputs_EB_OWN'!N410/SUM('Key inputs_EB_OWN'!N$396:N$415)),"")</f>
        <v>0</v>
      </c>
      <c r="U76" s="173" t="str">
        <f>IFERROR(IF(AND('Key inputs_EB_OWN'!O410/SUM('Key inputs_EB_OWN'!O$396:O$415)&gt;0,'Key inputs_EB_OWN'!O410/SUM('Key inputs_EB_OWN'!O$396:O$415)&lt;0.001),0.001,'Key inputs_EB_OWN'!O410/SUM('Key inputs_EB_OWN'!O$396:O$415)),"")</f>
        <v/>
      </c>
      <c r="V76" s="173" t="str">
        <f>IFERROR(IF(AND('Key inputs_EB_OWN'!P410/SUM('Key inputs_EB_OWN'!P$396:P$415)&gt;0,'Key inputs_EB_OWN'!P410/SUM('Key inputs_EB_OWN'!P$396:P$415)&lt;0.001),0.001,'Key inputs_EB_OWN'!P410/SUM('Key inputs_EB_OWN'!P$396:P$415)),"")</f>
        <v/>
      </c>
      <c r="W76" s="173">
        <f>IFERROR(IF(AND('Key inputs_EB_OWN'!Q410/SUM('Key inputs_EB_OWN'!Q$396:Q$415)&gt;0,'Key inputs_EB_OWN'!Q410/SUM('Key inputs_EB_OWN'!Q$396:Q$415)&lt;0.001),0.001,'Key inputs_EB_OWN'!Q410/SUM('Key inputs_EB_OWN'!Q$396:Q$415)),"")</f>
        <v>0</v>
      </c>
      <c r="X76" s="173" t="str">
        <f>IFERROR(IF(AND('Key inputs_EB_OWN'!R410/SUM('Key inputs_EB_OWN'!R$396:R$415)&gt;0,'Key inputs_EB_OWN'!R410/SUM('Key inputs_EB_OWN'!R$396:R$415)&lt;0.001),0.001,'Key inputs_EB_OWN'!R410/SUM('Key inputs_EB_OWN'!R$396:R$415)),"")</f>
        <v/>
      </c>
      <c r="Y76" s="173">
        <f>IFERROR(IF(AND('Key inputs_EB_OWN'!S410/SUM('Key inputs_EB_OWN'!S$396:S$415)&gt;0,'Key inputs_EB_OWN'!S410/SUM('Key inputs_EB_OWN'!S$396:S$415)&lt;0.001),0.001,'Key inputs_EB_OWN'!S410/SUM('Key inputs_EB_OWN'!S$396:S$415)),"")</f>
        <v>1E-3</v>
      </c>
      <c r="Z76" s="173">
        <f>IFERROR(IF(AND('Key inputs_EB_OWN'!T410/SUM('Key inputs_EB_OWN'!T$396:T$415)&gt;0,'Key inputs_EB_OWN'!T410/SUM('Key inputs_EB_OWN'!T$396:T$415)&lt;0.001),0.001,'Key inputs_EB_OWN'!T410/SUM('Key inputs_EB_OWN'!T$396:T$415)),"")</f>
        <v>0</v>
      </c>
      <c r="AA76" s="173">
        <f>IFERROR(IF(AND('Key inputs_EB_OWN'!U410/SUM('Key inputs_EB_OWN'!U$396:U$415)&gt;0,'Key inputs_EB_OWN'!U410/SUM('Key inputs_EB_OWN'!U$396:U$415)&lt;0.001),0.001,'Key inputs_EB_OWN'!U410/SUM('Key inputs_EB_OWN'!U$396:U$415)),"")</f>
        <v>0</v>
      </c>
      <c r="AB76" s="173" t="str">
        <f>IFERROR(IF(AND('Key inputs_EB_OWN'!V410/SUM('Key inputs_EB_OWN'!V$396:V$415)&gt;0,'Key inputs_EB_OWN'!V410/SUM('Key inputs_EB_OWN'!V$396:V$415)&lt;0.001),0.001,'Key inputs_EB_OWN'!V410/SUM('Key inputs_EB_OWN'!V$396:V$415)),"")</f>
        <v/>
      </c>
      <c r="AC76" s="173" t="str">
        <f>IFERROR(IF(AND('Key inputs_EB_OWN'!W410/SUM('Key inputs_EB_OWN'!W$396:W$415)&gt;0,'Key inputs_EB_OWN'!W410/SUM('Key inputs_EB_OWN'!W$396:W$415)&lt;0.001),0.001,'Key inputs_EB_OWN'!W410/SUM('Key inputs_EB_OWN'!W$396:W$415)),"")</f>
        <v/>
      </c>
      <c r="AD76" s="173" t="str">
        <f>IFERROR(IF(AND('Key inputs_EB_OWN'!X410/SUM('Key inputs_EB_OWN'!X$396:X$415)&gt;0,'Key inputs_EB_OWN'!X410/SUM('Key inputs_EB_OWN'!X$396:X$415)&lt;0.001),0.001,'Key inputs_EB_OWN'!X410/SUM('Key inputs_EB_OWN'!X$396:X$415)),"")</f>
        <v/>
      </c>
      <c r="AE76" s="173">
        <f>IFERROR(IF(AND('Key inputs_EB_OWN'!Y410/SUM('Key inputs_EB_OWN'!Y$396:Y$415)&gt;0,'Key inputs_EB_OWN'!Y410/SUM('Key inputs_EB_OWN'!Y$396:Y$415)&lt;0.001),0.001,'Key inputs_EB_OWN'!Y410/SUM('Key inputs_EB_OWN'!Y$396:Y$415)),"")</f>
        <v>0</v>
      </c>
      <c r="AF76" s="173">
        <f>IFERROR(IF(AND('Key inputs_EB_OWN'!Z410/SUM('Key inputs_EB_OWN'!Z$396:Z$415)&gt;0,'Key inputs_EB_OWN'!Z410/SUM('Key inputs_EB_OWN'!Z$396:Z$415)&lt;0.001),0.001,'Key inputs_EB_OWN'!Z410/SUM('Key inputs_EB_OWN'!Z$396:Z$415)),"")</f>
        <v>0</v>
      </c>
      <c r="AG76" s="173" t="str">
        <f>IFERROR(IF(AND('Key inputs_EB_OWN'!AA410/SUM('Key inputs_EB_OWN'!AA$396:AA$415)&gt;0,'Key inputs_EB_OWN'!AA410/SUM('Key inputs_EB_OWN'!AA$396:AA$415)&lt;0.001),0.001,'Key inputs_EB_OWN'!AA410/SUM('Key inputs_EB_OWN'!AA$396:AA$415)),"")</f>
        <v/>
      </c>
      <c r="AH76" s="173" t="str">
        <f>IFERROR(IF(AND('Key inputs_EB_OWN'!AB410/SUM('Key inputs_EB_OWN'!AB$396:AB$415)&gt;0,'Key inputs_EB_OWN'!AB410/SUM('Key inputs_EB_OWN'!AB$396:AB$415)&lt;0.001),0.001,'Key inputs_EB_OWN'!AB410/SUM('Key inputs_EB_OWN'!AB$396:AB$415)),"")</f>
        <v/>
      </c>
      <c r="AI76" s="173" t="str">
        <f>IFERROR(IF(AND('Key inputs_EB_OWN'!AC410/SUM('Key inputs_EB_OWN'!AC$396:AC$415)&gt;0,'Key inputs_EB_OWN'!AC410/SUM('Key inputs_EB_OWN'!AC$396:AC$415)&lt;0.001),0.001,'Key inputs_EB_OWN'!AC410/SUM('Key inputs_EB_OWN'!AC$396:AC$415)),"")</f>
        <v/>
      </c>
      <c r="AJ76" s="173">
        <f>IFERROR(IF(AND('Key inputs_EB_OWN'!AD410/SUM('Key inputs_EB_OWN'!AD$396:AD$415)&gt;0,'Key inputs_EB_OWN'!AD410/SUM('Key inputs_EB_OWN'!AD$396:AD$415)&lt;0.001),0.001,'Key inputs_EB_OWN'!AD410/SUM('Key inputs_EB_OWN'!AD$396:AD$415)),"")</f>
        <v>0</v>
      </c>
      <c r="AK76" s="173" t="str">
        <f>IFERROR(IF(AND('Key inputs_EB_OWN'!AE410/SUM('Key inputs_EB_OWN'!AE$396:AE$415)&gt;0,'Key inputs_EB_OWN'!AE410/SUM('Key inputs_EB_OWN'!AE$396:AE$415)&lt;0.001),0.001,'Key inputs_EB_OWN'!AE410/SUM('Key inputs_EB_OWN'!AE$396:AE$415)),"")</f>
        <v/>
      </c>
      <c r="AL76" s="173">
        <f>IFERROR(IF(AND('Key inputs_EB_OWN'!AF410/SUM('Key inputs_EB_OWN'!AF$396:AF$415)&gt;0,'Key inputs_EB_OWN'!AF410/SUM('Key inputs_EB_OWN'!AF$396:AF$415)&lt;0.001),0.001,'Key inputs_EB_OWN'!AF410/SUM('Key inputs_EB_OWN'!AF$396:AF$415)),"")</f>
        <v>0</v>
      </c>
    </row>
    <row r="77" spans="1:38">
      <c r="A77" s="4"/>
      <c r="B77" s="4"/>
      <c r="C77" s="4" t="str">
        <f>Commodities!$C$97</f>
        <v>UPSLPG</v>
      </c>
      <c r="D77" s="4"/>
      <c r="E77" s="4" t="s">
        <v>359</v>
      </c>
      <c r="G77" t="s">
        <v>693</v>
      </c>
      <c r="H77" s="4" t="s">
        <v>661</v>
      </c>
      <c r="I77">
        <v>2019</v>
      </c>
      <c r="J77" t="s">
        <v>650</v>
      </c>
      <c r="K77" s="173">
        <f>IFERROR(IF(AND('Key inputs_EB_OWN'!E411/SUM('Key inputs_EB_OWN'!E$396:E$415)&gt;0,'Key inputs_EB_OWN'!E411/SUM('Key inputs_EB_OWN'!E$396:E$415)&lt;0.001),0.001,'Key inputs_EB_OWN'!E411/SUM('Key inputs_EB_OWN'!E$396:E$415)),"")</f>
        <v>0</v>
      </c>
      <c r="L77" s="173" t="str">
        <f>IFERROR(IF(AND('Key inputs_EB_OWN'!F411/SUM('Key inputs_EB_OWN'!F$396:F$415)&gt;0,'Key inputs_EB_OWN'!F411/SUM('Key inputs_EB_OWN'!F$396:F$415)&lt;0.001),0.001,'Key inputs_EB_OWN'!F411/SUM('Key inputs_EB_OWN'!F$396:F$415)),"")</f>
        <v/>
      </c>
      <c r="M77" s="173" t="str">
        <f>IFERROR(IF(AND('Key inputs_EB_OWN'!G411/SUM('Key inputs_EB_OWN'!G$396:G$415)&gt;0,'Key inputs_EB_OWN'!G411/SUM('Key inputs_EB_OWN'!G$396:G$415)&lt;0.001),0.001,'Key inputs_EB_OWN'!G411/SUM('Key inputs_EB_OWN'!G$396:G$415)),"")</f>
        <v/>
      </c>
      <c r="N77" s="173" t="str">
        <f>IFERROR(IF(AND('Key inputs_EB_OWN'!H411/SUM('Key inputs_EB_OWN'!H$396:H$415)&gt;0,'Key inputs_EB_OWN'!H411/SUM('Key inputs_EB_OWN'!H$396:H$415)&lt;0.001),0.001,'Key inputs_EB_OWN'!H411/SUM('Key inputs_EB_OWN'!H$396:H$415)),"")</f>
        <v/>
      </c>
      <c r="O77" s="173">
        <f>IFERROR(IF(AND('Key inputs_EB_OWN'!I411/SUM('Key inputs_EB_OWN'!I$396:I$415)&gt;0,'Key inputs_EB_OWN'!I411/SUM('Key inputs_EB_OWN'!I$396:I$415)&lt;0.001),0.001,'Key inputs_EB_OWN'!I411/SUM('Key inputs_EB_OWN'!I$396:I$415)),"")</f>
        <v>1E-3</v>
      </c>
      <c r="P77" s="173">
        <f>IFERROR(IF(AND('Key inputs_EB_OWN'!J411/SUM('Key inputs_EB_OWN'!J$396:J$415)&gt;0,'Key inputs_EB_OWN'!J411/SUM('Key inputs_EB_OWN'!J$396:J$415)&lt;0.001),0.001,'Key inputs_EB_OWN'!J411/SUM('Key inputs_EB_OWN'!J$396:J$415)),"")</f>
        <v>0</v>
      </c>
      <c r="Q77" s="173" t="str">
        <f>IFERROR(IF(AND('Key inputs_EB_OWN'!K411/SUM('Key inputs_EB_OWN'!K$396:K$415)&gt;0,'Key inputs_EB_OWN'!K411/SUM('Key inputs_EB_OWN'!K$396:K$415)&lt;0.001),0.001,'Key inputs_EB_OWN'!K411/SUM('Key inputs_EB_OWN'!K$396:K$415)),"")</f>
        <v/>
      </c>
      <c r="R77" s="173" t="str">
        <f>IFERROR(IF(AND('Key inputs_EB_OWN'!L411/SUM('Key inputs_EB_OWN'!L$396:L$415)&gt;0,'Key inputs_EB_OWN'!L411/SUM('Key inputs_EB_OWN'!L$396:L$415)&lt;0.001),0.001,'Key inputs_EB_OWN'!L411/SUM('Key inputs_EB_OWN'!L$396:L$415)),"")</f>
        <v/>
      </c>
      <c r="S77" s="173" t="str">
        <f>IFERROR(IF(AND('Key inputs_EB_OWN'!M411/SUM('Key inputs_EB_OWN'!M$396:M$415)&gt;0,'Key inputs_EB_OWN'!M411/SUM('Key inputs_EB_OWN'!M$396:M$415)&lt;0.001),0.001,'Key inputs_EB_OWN'!M411/SUM('Key inputs_EB_OWN'!M$396:M$415)),"")</f>
        <v/>
      </c>
      <c r="T77" s="173">
        <f>IFERROR(IF(AND('Key inputs_EB_OWN'!N411/SUM('Key inputs_EB_OWN'!N$396:N$415)&gt;0,'Key inputs_EB_OWN'!N411/SUM('Key inputs_EB_OWN'!N$396:N$415)&lt;0.001),0.001,'Key inputs_EB_OWN'!N411/SUM('Key inputs_EB_OWN'!N$396:N$415)),"")</f>
        <v>0</v>
      </c>
      <c r="U77" s="173" t="str">
        <f>IFERROR(IF(AND('Key inputs_EB_OWN'!O411/SUM('Key inputs_EB_OWN'!O$396:O$415)&gt;0,'Key inputs_EB_OWN'!O411/SUM('Key inputs_EB_OWN'!O$396:O$415)&lt;0.001),0.001,'Key inputs_EB_OWN'!O411/SUM('Key inputs_EB_OWN'!O$396:O$415)),"")</f>
        <v/>
      </c>
      <c r="V77" s="173" t="str">
        <f>IFERROR(IF(AND('Key inputs_EB_OWN'!P411/SUM('Key inputs_EB_OWN'!P$396:P$415)&gt;0,'Key inputs_EB_OWN'!P411/SUM('Key inputs_EB_OWN'!P$396:P$415)&lt;0.001),0.001,'Key inputs_EB_OWN'!P411/SUM('Key inputs_EB_OWN'!P$396:P$415)),"")</f>
        <v/>
      </c>
      <c r="W77" s="173">
        <f>IFERROR(IF(AND('Key inputs_EB_OWN'!Q411/SUM('Key inputs_EB_OWN'!Q$396:Q$415)&gt;0,'Key inputs_EB_OWN'!Q411/SUM('Key inputs_EB_OWN'!Q$396:Q$415)&lt;0.001),0.001,'Key inputs_EB_OWN'!Q411/SUM('Key inputs_EB_OWN'!Q$396:Q$415)),"")</f>
        <v>0</v>
      </c>
      <c r="X77" s="173" t="str">
        <f>IFERROR(IF(AND('Key inputs_EB_OWN'!R411/SUM('Key inputs_EB_OWN'!R$396:R$415)&gt;0,'Key inputs_EB_OWN'!R411/SUM('Key inputs_EB_OWN'!R$396:R$415)&lt;0.001),0.001,'Key inputs_EB_OWN'!R411/SUM('Key inputs_EB_OWN'!R$396:R$415)),"")</f>
        <v/>
      </c>
      <c r="Y77" s="173">
        <f>IFERROR(IF(AND('Key inputs_EB_OWN'!S411/SUM('Key inputs_EB_OWN'!S$396:S$415)&gt;0,'Key inputs_EB_OWN'!S411/SUM('Key inputs_EB_OWN'!S$396:S$415)&lt;0.001),0.001,'Key inputs_EB_OWN'!S411/SUM('Key inputs_EB_OWN'!S$396:S$415)),"")</f>
        <v>1E-3</v>
      </c>
      <c r="Z77" s="173">
        <f>IFERROR(IF(AND('Key inputs_EB_OWN'!T411/SUM('Key inputs_EB_OWN'!T$396:T$415)&gt;0,'Key inputs_EB_OWN'!T411/SUM('Key inputs_EB_OWN'!T$396:T$415)&lt;0.001),0.001,'Key inputs_EB_OWN'!T411/SUM('Key inputs_EB_OWN'!T$396:T$415)),"")</f>
        <v>0</v>
      </c>
      <c r="AA77" s="173">
        <f>IFERROR(IF(AND('Key inputs_EB_OWN'!U411/SUM('Key inputs_EB_OWN'!U$396:U$415)&gt;0,'Key inputs_EB_OWN'!U411/SUM('Key inputs_EB_OWN'!U$396:U$415)&lt;0.001),0.001,'Key inputs_EB_OWN'!U411/SUM('Key inputs_EB_OWN'!U$396:U$415)),"")</f>
        <v>0</v>
      </c>
      <c r="AB77" s="173" t="str">
        <f>IFERROR(IF(AND('Key inputs_EB_OWN'!V411/SUM('Key inputs_EB_OWN'!V$396:V$415)&gt;0,'Key inputs_EB_OWN'!V411/SUM('Key inputs_EB_OWN'!V$396:V$415)&lt;0.001),0.001,'Key inputs_EB_OWN'!V411/SUM('Key inputs_EB_OWN'!V$396:V$415)),"")</f>
        <v/>
      </c>
      <c r="AC77" s="173" t="str">
        <f>IFERROR(IF(AND('Key inputs_EB_OWN'!W411/SUM('Key inputs_EB_OWN'!W$396:W$415)&gt;0,'Key inputs_EB_OWN'!W411/SUM('Key inputs_EB_OWN'!W$396:W$415)&lt;0.001),0.001,'Key inputs_EB_OWN'!W411/SUM('Key inputs_EB_OWN'!W$396:W$415)),"")</f>
        <v/>
      </c>
      <c r="AD77" s="173" t="str">
        <f>IFERROR(IF(AND('Key inputs_EB_OWN'!X411/SUM('Key inputs_EB_OWN'!X$396:X$415)&gt;0,'Key inputs_EB_OWN'!X411/SUM('Key inputs_EB_OWN'!X$396:X$415)&lt;0.001),0.001,'Key inputs_EB_OWN'!X411/SUM('Key inputs_EB_OWN'!X$396:X$415)),"")</f>
        <v/>
      </c>
      <c r="AE77" s="173">
        <f>IFERROR(IF(AND('Key inputs_EB_OWN'!Y411/SUM('Key inputs_EB_OWN'!Y$396:Y$415)&gt;0,'Key inputs_EB_OWN'!Y411/SUM('Key inputs_EB_OWN'!Y$396:Y$415)&lt;0.001),0.001,'Key inputs_EB_OWN'!Y411/SUM('Key inputs_EB_OWN'!Y$396:Y$415)),"")</f>
        <v>0</v>
      </c>
      <c r="AF77" s="173">
        <f>IFERROR(IF(AND('Key inputs_EB_OWN'!Z411/SUM('Key inputs_EB_OWN'!Z$396:Z$415)&gt;0,'Key inputs_EB_OWN'!Z411/SUM('Key inputs_EB_OWN'!Z$396:Z$415)&lt;0.001),0.001,'Key inputs_EB_OWN'!Z411/SUM('Key inputs_EB_OWN'!Z$396:Z$415)),"")</f>
        <v>0</v>
      </c>
      <c r="AG77" s="173" t="str">
        <f>IFERROR(IF(AND('Key inputs_EB_OWN'!AA411/SUM('Key inputs_EB_OWN'!AA$396:AA$415)&gt;0,'Key inputs_EB_OWN'!AA411/SUM('Key inputs_EB_OWN'!AA$396:AA$415)&lt;0.001),0.001,'Key inputs_EB_OWN'!AA411/SUM('Key inputs_EB_OWN'!AA$396:AA$415)),"")</f>
        <v/>
      </c>
      <c r="AH77" s="173" t="str">
        <f>IFERROR(IF(AND('Key inputs_EB_OWN'!AB411/SUM('Key inputs_EB_OWN'!AB$396:AB$415)&gt;0,'Key inputs_EB_OWN'!AB411/SUM('Key inputs_EB_OWN'!AB$396:AB$415)&lt;0.001),0.001,'Key inputs_EB_OWN'!AB411/SUM('Key inputs_EB_OWN'!AB$396:AB$415)),"")</f>
        <v/>
      </c>
      <c r="AI77" s="173" t="str">
        <f>IFERROR(IF(AND('Key inputs_EB_OWN'!AC411/SUM('Key inputs_EB_OWN'!AC$396:AC$415)&gt;0,'Key inputs_EB_OWN'!AC411/SUM('Key inputs_EB_OWN'!AC$396:AC$415)&lt;0.001),0.001,'Key inputs_EB_OWN'!AC411/SUM('Key inputs_EB_OWN'!AC$396:AC$415)),"")</f>
        <v/>
      </c>
      <c r="AJ77" s="173">
        <f>IFERROR(IF(AND('Key inputs_EB_OWN'!AD411/SUM('Key inputs_EB_OWN'!AD$396:AD$415)&gt;0,'Key inputs_EB_OWN'!AD411/SUM('Key inputs_EB_OWN'!AD$396:AD$415)&lt;0.001),0.001,'Key inputs_EB_OWN'!AD411/SUM('Key inputs_EB_OWN'!AD$396:AD$415)),"")</f>
        <v>0</v>
      </c>
      <c r="AK77" s="173" t="str">
        <f>IFERROR(IF(AND('Key inputs_EB_OWN'!AE411/SUM('Key inputs_EB_OWN'!AE$396:AE$415)&gt;0,'Key inputs_EB_OWN'!AE411/SUM('Key inputs_EB_OWN'!AE$396:AE$415)&lt;0.001),0.001,'Key inputs_EB_OWN'!AE411/SUM('Key inputs_EB_OWN'!AE$396:AE$415)),"")</f>
        <v/>
      </c>
      <c r="AL77" s="173">
        <f>IFERROR(IF(AND('Key inputs_EB_OWN'!AF411/SUM('Key inputs_EB_OWN'!AF$396:AF$415)&gt;0,'Key inputs_EB_OWN'!AF411/SUM('Key inputs_EB_OWN'!AF$396:AF$415)&lt;0.001),0.001,'Key inputs_EB_OWN'!AF411/SUM('Key inputs_EB_OWN'!AF$396:AF$415)),"")</f>
        <v>0</v>
      </c>
    </row>
    <row r="78" spans="1:38">
      <c r="A78" s="259"/>
      <c r="B78" s="259"/>
      <c r="C78" s="259" t="str">
        <f>Commodities!$C$100</f>
        <v>UPSOIL2</v>
      </c>
      <c r="D78" s="259"/>
      <c r="E78" s="259" t="s">
        <v>359</v>
      </c>
      <c r="F78" s="236"/>
      <c r="G78" s="236" t="s">
        <v>693</v>
      </c>
      <c r="H78" s="259" t="s">
        <v>661</v>
      </c>
      <c r="I78" s="236">
        <v>2019</v>
      </c>
      <c r="J78" s="236" t="s">
        <v>650</v>
      </c>
      <c r="K78" s="226">
        <f>IFERROR(IF(AND('Key inputs_EB_OWN'!E414/SUM('Key inputs_EB_OWN'!E$396:E$415)&gt;0,'Key inputs_EB_OWN'!E414/SUM('Key inputs_EB_OWN'!E$396:E$415)&lt;0.001),0.001,'Key inputs_EB_OWN'!E414/SUM('Key inputs_EB_OWN'!E$396:E$415)),"")</f>
        <v>0</v>
      </c>
      <c r="L78" s="226" t="str">
        <f>IFERROR(IF(AND('Key inputs_EB_OWN'!F414/SUM('Key inputs_EB_OWN'!F$396:F$415)&gt;0,'Key inputs_EB_OWN'!F414/SUM('Key inputs_EB_OWN'!F$396:F$415)&lt;0.001),0.001,'Key inputs_EB_OWN'!F414/SUM('Key inputs_EB_OWN'!F$396:F$415)),"")</f>
        <v/>
      </c>
      <c r="M78" s="226" t="str">
        <f>IFERROR(IF(AND('Key inputs_EB_OWN'!G414/SUM('Key inputs_EB_OWN'!G$396:G$415)&gt;0,'Key inputs_EB_OWN'!G414/SUM('Key inputs_EB_OWN'!G$396:G$415)&lt;0.001),0.001,'Key inputs_EB_OWN'!G414/SUM('Key inputs_EB_OWN'!G$396:G$415)),"")</f>
        <v/>
      </c>
      <c r="N78" s="226" t="str">
        <f>IFERROR(IF(AND('Key inputs_EB_OWN'!H414/SUM('Key inputs_EB_OWN'!H$396:H$415)&gt;0,'Key inputs_EB_OWN'!H414/SUM('Key inputs_EB_OWN'!H$396:H$415)&lt;0.001),0.001,'Key inputs_EB_OWN'!H414/SUM('Key inputs_EB_OWN'!H$396:H$415)),"")</f>
        <v/>
      </c>
      <c r="O78" s="226">
        <f>IFERROR(IF(AND('Key inputs_EB_OWN'!I414/SUM('Key inputs_EB_OWN'!I$396:I$415)&gt;0,'Key inputs_EB_OWN'!I414/SUM('Key inputs_EB_OWN'!I$396:I$415)&lt;0.001),0.001,'Key inputs_EB_OWN'!I414/SUM('Key inputs_EB_OWN'!I$396:I$415)),"")</f>
        <v>1E-3</v>
      </c>
      <c r="P78" s="226">
        <f>IFERROR(IF(AND('Key inputs_EB_OWN'!J414/SUM('Key inputs_EB_OWN'!J$396:J$415)&gt;0,'Key inputs_EB_OWN'!J414/SUM('Key inputs_EB_OWN'!J$396:J$415)&lt;0.001),0.001,'Key inputs_EB_OWN'!J414/SUM('Key inputs_EB_OWN'!J$396:J$415)),"")</f>
        <v>0</v>
      </c>
      <c r="Q78" s="226" t="str">
        <f>IFERROR(IF(AND('Key inputs_EB_OWN'!K414/SUM('Key inputs_EB_OWN'!K$396:K$415)&gt;0,'Key inputs_EB_OWN'!K414/SUM('Key inputs_EB_OWN'!K$396:K$415)&lt;0.001),0.001,'Key inputs_EB_OWN'!K414/SUM('Key inputs_EB_OWN'!K$396:K$415)),"")</f>
        <v/>
      </c>
      <c r="R78" s="226" t="str">
        <f>IFERROR(IF(AND('Key inputs_EB_OWN'!L414/SUM('Key inputs_EB_OWN'!L$396:L$415)&gt;0,'Key inputs_EB_OWN'!L414/SUM('Key inputs_EB_OWN'!L$396:L$415)&lt;0.001),0.001,'Key inputs_EB_OWN'!L414/SUM('Key inputs_EB_OWN'!L$396:L$415)),"")</f>
        <v/>
      </c>
      <c r="S78" s="226" t="str">
        <f>IFERROR(IF(AND('Key inputs_EB_OWN'!M414/SUM('Key inputs_EB_OWN'!M$396:M$415)&gt;0,'Key inputs_EB_OWN'!M414/SUM('Key inputs_EB_OWN'!M$396:M$415)&lt;0.001),0.001,'Key inputs_EB_OWN'!M414/SUM('Key inputs_EB_OWN'!M$396:M$415)),"")</f>
        <v/>
      </c>
      <c r="T78" s="226">
        <f>IFERROR(IF(AND('Key inputs_EB_OWN'!N414/SUM('Key inputs_EB_OWN'!N$396:N$415)&gt;0,'Key inputs_EB_OWN'!N414/SUM('Key inputs_EB_OWN'!N$396:N$415)&lt;0.001),0.001,'Key inputs_EB_OWN'!N414/SUM('Key inputs_EB_OWN'!N$396:N$415)),"")</f>
        <v>0</v>
      </c>
      <c r="U78" s="226" t="str">
        <f>IFERROR(IF(AND('Key inputs_EB_OWN'!O414/SUM('Key inputs_EB_OWN'!O$396:O$415)&gt;0,'Key inputs_EB_OWN'!O414/SUM('Key inputs_EB_OWN'!O$396:O$415)&lt;0.001),0.001,'Key inputs_EB_OWN'!O414/SUM('Key inputs_EB_OWN'!O$396:O$415)),"")</f>
        <v/>
      </c>
      <c r="V78" s="226" t="str">
        <f>IFERROR(IF(AND('Key inputs_EB_OWN'!P414/SUM('Key inputs_EB_OWN'!P$396:P$415)&gt;0,'Key inputs_EB_OWN'!P414/SUM('Key inputs_EB_OWN'!P$396:P$415)&lt;0.001),0.001,'Key inputs_EB_OWN'!P414/SUM('Key inputs_EB_OWN'!P$396:P$415)),"")</f>
        <v/>
      </c>
      <c r="W78" s="226">
        <f>IFERROR(IF(AND('Key inputs_EB_OWN'!Q414/SUM('Key inputs_EB_OWN'!Q$396:Q$415)&gt;0,'Key inputs_EB_OWN'!Q414/SUM('Key inputs_EB_OWN'!Q$396:Q$415)&lt;0.001),0.001,'Key inputs_EB_OWN'!Q414/SUM('Key inputs_EB_OWN'!Q$396:Q$415)),"")</f>
        <v>0</v>
      </c>
      <c r="X78" s="226" t="str">
        <f>IFERROR(IF(AND('Key inputs_EB_OWN'!R414/SUM('Key inputs_EB_OWN'!R$396:R$415)&gt;0,'Key inputs_EB_OWN'!R414/SUM('Key inputs_EB_OWN'!R$396:R$415)&lt;0.001),0.001,'Key inputs_EB_OWN'!R414/SUM('Key inputs_EB_OWN'!R$396:R$415)),"")</f>
        <v/>
      </c>
      <c r="Y78" s="226">
        <f>IFERROR(IF(AND('Key inputs_EB_OWN'!S414/SUM('Key inputs_EB_OWN'!S$396:S$415)&gt;0,'Key inputs_EB_OWN'!S414/SUM('Key inputs_EB_OWN'!S$396:S$415)&lt;0.001),0.001,'Key inputs_EB_OWN'!S414/SUM('Key inputs_EB_OWN'!S$396:S$415)),"")</f>
        <v>1E-3</v>
      </c>
      <c r="Z78" s="226">
        <f>IFERROR(IF(AND('Key inputs_EB_OWN'!T414/SUM('Key inputs_EB_OWN'!T$396:T$415)&gt;0,'Key inputs_EB_OWN'!T414/SUM('Key inputs_EB_OWN'!T$396:T$415)&lt;0.001),0.001,'Key inputs_EB_OWN'!T414/SUM('Key inputs_EB_OWN'!T$396:T$415)),"")</f>
        <v>0</v>
      </c>
      <c r="AA78" s="226">
        <f>IFERROR(IF(AND('Key inputs_EB_OWN'!U414/SUM('Key inputs_EB_OWN'!U$396:U$415)&gt;0,'Key inputs_EB_OWN'!U414/SUM('Key inputs_EB_OWN'!U$396:U$415)&lt;0.001),0.001,'Key inputs_EB_OWN'!U414/SUM('Key inputs_EB_OWN'!U$396:U$415)),"")</f>
        <v>0</v>
      </c>
      <c r="AB78" s="226" t="str">
        <f>IFERROR(IF(AND('Key inputs_EB_OWN'!V414/SUM('Key inputs_EB_OWN'!V$396:V$415)&gt;0,'Key inputs_EB_OWN'!V414/SUM('Key inputs_EB_OWN'!V$396:V$415)&lt;0.001),0.001,'Key inputs_EB_OWN'!V414/SUM('Key inputs_EB_OWN'!V$396:V$415)),"")</f>
        <v/>
      </c>
      <c r="AC78" s="226" t="str">
        <f>IFERROR(IF(AND('Key inputs_EB_OWN'!W414/SUM('Key inputs_EB_OWN'!W$396:W$415)&gt;0,'Key inputs_EB_OWN'!W414/SUM('Key inputs_EB_OWN'!W$396:W$415)&lt;0.001),0.001,'Key inputs_EB_OWN'!W414/SUM('Key inputs_EB_OWN'!W$396:W$415)),"")</f>
        <v/>
      </c>
      <c r="AD78" s="226" t="str">
        <f>IFERROR(IF(AND('Key inputs_EB_OWN'!X414/SUM('Key inputs_EB_OWN'!X$396:X$415)&gt;0,'Key inputs_EB_OWN'!X414/SUM('Key inputs_EB_OWN'!X$396:X$415)&lt;0.001),0.001,'Key inputs_EB_OWN'!X414/SUM('Key inputs_EB_OWN'!X$396:X$415)),"")</f>
        <v/>
      </c>
      <c r="AE78" s="226">
        <f>IFERROR(IF(AND('Key inputs_EB_OWN'!Y414/SUM('Key inputs_EB_OWN'!Y$396:Y$415)&gt;0,'Key inputs_EB_OWN'!Y414/SUM('Key inputs_EB_OWN'!Y$396:Y$415)&lt;0.001),0.001,'Key inputs_EB_OWN'!Y414/SUM('Key inputs_EB_OWN'!Y$396:Y$415)),"")</f>
        <v>0</v>
      </c>
      <c r="AF78" s="226">
        <f>IFERROR(IF(AND('Key inputs_EB_OWN'!Z414/SUM('Key inputs_EB_OWN'!Z$396:Z$415)&gt;0,'Key inputs_EB_OWN'!Z414/SUM('Key inputs_EB_OWN'!Z$396:Z$415)&lt;0.001),0.001,'Key inputs_EB_OWN'!Z414/SUM('Key inputs_EB_OWN'!Z$396:Z$415)),"")</f>
        <v>0</v>
      </c>
      <c r="AG78" s="226" t="str">
        <f>IFERROR(IF(AND('Key inputs_EB_OWN'!AA414/SUM('Key inputs_EB_OWN'!AA$396:AA$415)&gt;0,'Key inputs_EB_OWN'!AA414/SUM('Key inputs_EB_OWN'!AA$396:AA$415)&lt;0.001),0.001,'Key inputs_EB_OWN'!AA414/SUM('Key inputs_EB_OWN'!AA$396:AA$415)),"")</f>
        <v/>
      </c>
      <c r="AH78" s="226" t="str">
        <f>IFERROR(IF(AND('Key inputs_EB_OWN'!AB414/SUM('Key inputs_EB_OWN'!AB$396:AB$415)&gt;0,'Key inputs_EB_OWN'!AB414/SUM('Key inputs_EB_OWN'!AB$396:AB$415)&lt;0.001),0.001,'Key inputs_EB_OWN'!AB414/SUM('Key inputs_EB_OWN'!AB$396:AB$415)),"")</f>
        <v/>
      </c>
      <c r="AI78" s="226" t="str">
        <f>IFERROR(IF(AND('Key inputs_EB_OWN'!AC414/SUM('Key inputs_EB_OWN'!AC$396:AC$415)&gt;0,'Key inputs_EB_OWN'!AC414/SUM('Key inputs_EB_OWN'!AC$396:AC$415)&lt;0.001),0.001,'Key inputs_EB_OWN'!AC414/SUM('Key inputs_EB_OWN'!AC$396:AC$415)),"")</f>
        <v/>
      </c>
      <c r="AJ78" s="226">
        <f>IFERROR(IF(AND('Key inputs_EB_OWN'!AD414/SUM('Key inputs_EB_OWN'!AD$396:AD$415)&gt;0,'Key inputs_EB_OWN'!AD414/SUM('Key inputs_EB_OWN'!AD$396:AD$415)&lt;0.001),0.001,'Key inputs_EB_OWN'!AD414/SUM('Key inputs_EB_OWN'!AD$396:AD$415)),"")</f>
        <v>0</v>
      </c>
      <c r="AK78" s="226" t="str">
        <f>IFERROR(IF(AND('Key inputs_EB_OWN'!AE414/SUM('Key inputs_EB_OWN'!AE$396:AE$415)&gt;0,'Key inputs_EB_OWN'!AE414/SUM('Key inputs_EB_OWN'!AE$396:AE$415)&lt;0.001),0.001,'Key inputs_EB_OWN'!AE414/SUM('Key inputs_EB_OWN'!AE$396:AE$415)),"")</f>
        <v/>
      </c>
      <c r="AL78" s="226">
        <f>IFERROR(IF(AND('Key inputs_EB_OWN'!AF414/SUM('Key inputs_EB_OWN'!AF$396:AF$415)&gt;0,'Key inputs_EB_OWN'!AF414/SUM('Key inputs_EB_OWN'!AF$396:AF$415)&lt;0.001),0.001,'Key inputs_EB_OWN'!AF414/SUM('Key inputs_EB_OWN'!AF$396:AF$415)),"")</f>
        <v>0</v>
      </c>
    </row>
    <row r="79" spans="1:38">
      <c r="A79" t="str">
        <f>A13</f>
        <v>U-EXT-OILPIP_00</v>
      </c>
      <c r="B79" t="str">
        <f>B13</f>
        <v>UPS Extraction of Crude oil - Existing</v>
      </c>
      <c r="G79" s="4" t="s">
        <v>687</v>
      </c>
      <c r="J79" t="s">
        <v>2663</v>
      </c>
      <c r="K79" s="354"/>
      <c r="L79" s="354"/>
      <c r="M79" s="354"/>
      <c r="N79" s="354"/>
      <c r="O79" s="354"/>
      <c r="P79" s="354"/>
      <c r="Q79" s="354"/>
      <c r="R79" s="354"/>
      <c r="S79" s="354"/>
      <c r="T79" s="354"/>
      <c r="U79" s="354"/>
      <c r="V79" s="354"/>
      <c r="W79" s="354"/>
      <c r="X79" s="354"/>
      <c r="Y79" s="354"/>
      <c r="Z79" s="354"/>
      <c r="AA79" s="354"/>
      <c r="AB79" s="354"/>
      <c r="AC79" s="354"/>
      <c r="AD79" s="354"/>
      <c r="AE79" s="354"/>
      <c r="AF79" s="354"/>
      <c r="AG79" s="354"/>
      <c r="AH79" s="354"/>
      <c r="AI79" s="354"/>
      <c r="AJ79" s="354"/>
      <c r="AK79" s="354"/>
      <c r="AL79" s="354"/>
    </row>
    <row r="80" spans="1:38">
      <c r="D80" s="4"/>
      <c r="E80" s="4"/>
      <c r="F80" s="4"/>
      <c r="G80" s="4" t="s">
        <v>689</v>
      </c>
      <c r="J80" t="s">
        <v>2663</v>
      </c>
      <c r="K80" s="354"/>
      <c r="L80" s="354"/>
      <c r="M80" s="354"/>
      <c r="N80" s="354"/>
      <c r="O80" s="354"/>
      <c r="P80" s="354"/>
      <c r="Q80" s="354"/>
      <c r="R80" s="354"/>
      <c r="S80" s="354"/>
      <c r="T80" s="354"/>
      <c r="U80" s="354"/>
      <c r="V80" s="354"/>
      <c r="W80" s="354"/>
      <c r="X80" s="354"/>
      <c r="Y80" s="354"/>
      <c r="Z80" s="354"/>
      <c r="AA80" s="354"/>
      <c r="AB80" s="354"/>
      <c r="AC80" s="354"/>
      <c r="AD80" s="354"/>
      <c r="AE80" s="354"/>
      <c r="AF80" s="354"/>
      <c r="AG80" s="354"/>
      <c r="AH80" s="354"/>
      <c r="AI80" s="354"/>
      <c r="AJ80" s="354"/>
      <c r="AK80" s="354"/>
      <c r="AL80" s="354"/>
    </row>
    <row r="81" spans="1:38">
      <c r="D81" s="4"/>
      <c r="E81" s="4"/>
      <c r="F81" s="4"/>
      <c r="G81" s="4" t="s">
        <v>675</v>
      </c>
      <c r="J81" t="s">
        <v>2662</v>
      </c>
      <c r="K81" s="396">
        <f>SUMIFS('Key inputs_Reserves'!$D$50:$D$77,'Key inputs_Reserves'!$A$50:$A$77,K$33)*10^3</f>
        <v>4.0443393095900193</v>
      </c>
      <c r="L81" s="396">
        <f>SUMIFS('Key inputs_Reserves'!$D$50:$D$77,'Key inputs_Reserves'!$A$50:$A$77,L$33)*10^3</f>
        <v>2.4259480749572129</v>
      </c>
      <c r="M81" s="396">
        <f>SUMIFS('Key inputs_Reserves'!$D$50:$D$77,'Key inputs_Reserves'!$A$50:$A$77,M$33)*10^3</f>
        <v>2.4259480749572129</v>
      </c>
      <c r="N81" s="396">
        <f>SUMIFS('Key inputs_Reserves'!$D$50:$D$77,'Key inputs_Reserves'!$A$50:$A$77,N$33)*10^3</f>
        <v>4.0443393095900193</v>
      </c>
      <c r="O81" s="396">
        <f>SUMIFS('Key inputs_Reserves'!$D$50:$D$77,'Key inputs_Reserves'!$A$50:$A$77,O$33)*10^3</f>
        <v>4.0443393095900193</v>
      </c>
      <c r="P81" s="396">
        <f>SUMIFS('Key inputs_Reserves'!$D$50:$D$77,'Key inputs_Reserves'!$A$50:$A$77,P$33)*10^3</f>
        <v>4.0443393095900193</v>
      </c>
      <c r="Q81" s="396">
        <f>SUMIFS('Key inputs_Reserves'!$D$50:$D$77,'Key inputs_Reserves'!$A$50:$A$77,Q$33)*10^3</f>
        <v>4.0443393095900193</v>
      </c>
      <c r="R81" s="396">
        <f>SUMIFS('Key inputs_Reserves'!$D$50:$D$77,'Key inputs_Reserves'!$A$50:$A$77,R$33)*10^3</f>
        <v>4.0443393095900193</v>
      </c>
      <c r="S81" s="396">
        <f>SUMIFS('Key inputs_Reserves'!$D$50:$D$77,'Key inputs_Reserves'!$A$50:$A$77,S$33)*10^3</f>
        <v>3.7326250703700428</v>
      </c>
      <c r="T81" s="396">
        <f>SUMIFS('Key inputs_Reserves'!$D$50:$D$77,'Key inputs_Reserves'!$A$50:$A$77,T$33)*10^3</f>
        <v>4.7838856904474092</v>
      </c>
      <c r="U81" s="396">
        <f>SUMIFS('Key inputs_Reserves'!$D$50:$D$77,'Key inputs_Reserves'!$A$50:$A$77,U$33)*10^3</f>
        <v>4.0443393095900193</v>
      </c>
      <c r="V81" s="396">
        <f>SUMIFS('Key inputs_Reserves'!$D$50:$D$77,'Key inputs_Reserves'!$A$50:$A$77,V$33)*10^3</f>
        <v>4.0443393095900193</v>
      </c>
      <c r="W81" s="396">
        <f>SUMIFS('Key inputs_Reserves'!$D$50:$D$77,'Key inputs_Reserves'!$A$50:$A$77,W$33)*10^3</f>
        <v>4.0443393095900193</v>
      </c>
      <c r="X81" s="396">
        <f>SUMIFS('Key inputs_Reserves'!$D$50:$D$77,'Key inputs_Reserves'!$A$50:$A$77,X$33)*10^3</f>
        <v>2.9147799759160762</v>
      </c>
      <c r="Y81" s="396">
        <f>SUMIFS('Key inputs_Reserves'!$D$50:$D$77,'Key inputs_Reserves'!$A$50:$A$77,Y$33)*10^3</f>
        <v>4.0443393095900193</v>
      </c>
      <c r="Z81" s="396">
        <f>SUMIFS('Key inputs_Reserves'!$D$50:$D$77,'Key inputs_Reserves'!$A$50:$A$77,Z$33)*10^3</f>
        <v>4.0443393095900193</v>
      </c>
      <c r="AA81" s="396">
        <f>SUMIFS('Key inputs_Reserves'!$D$50:$D$77,'Key inputs_Reserves'!$A$50:$A$77,AA$33)*10^3</f>
        <v>4.0443393095900193</v>
      </c>
      <c r="AB81" s="396">
        <f>SUMIFS('Key inputs_Reserves'!$D$50:$D$77,'Key inputs_Reserves'!$A$50:$A$77,AB$33)*10^3</f>
        <v>4.2158135698899413</v>
      </c>
      <c r="AC81" s="396">
        <f>SUMIFS('Key inputs_Reserves'!$D$50:$D$77,'Key inputs_Reserves'!$A$50:$A$77,AC$33)*10^3</f>
        <v>4.0443393095900193</v>
      </c>
      <c r="AD81" s="396">
        <f>SUMIFS('Key inputs_Reserves'!$D$50:$D$77,'Key inputs_Reserves'!$A$50:$A$77,AD$33)*10^3</f>
        <v>4.0443393095900193</v>
      </c>
      <c r="AE81" s="396">
        <f>SUMIFS('Key inputs_Reserves'!$D$50:$D$77,'Key inputs_Reserves'!$A$50:$A$77,AE$33)*10^3</f>
        <v>5.2112506710230786</v>
      </c>
      <c r="AF81" s="396">
        <f>SUMIFS('Key inputs_Reserves'!$D$50:$D$77,'Key inputs_Reserves'!$A$50:$A$77,AF$33)*10^3</f>
        <v>4.0443393095900193</v>
      </c>
      <c r="AG81" s="396">
        <f>SUMIFS('Key inputs_Reserves'!$D$50:$D$77,'Key inputs_Reserves'!$A$50:$A$77,AG$33)*10^3</f>
        <v>1.2425041302246711</v>
      </c>
      <c r="AH81" s="396">
        <f>SUMIFS('Key inputs_Reserves'!$D$50:$D$77,'Key inputs_Reserves'!$A$50:$A$77,AH$33)*10^3</f>
        <v>4.0443393095900193</v>
      </c>
      <c r="AI81" s="396">
        <f>SUMIFS('Key inputs_Reserves'!$D$50:$D$77,'Key inputs_Reserves'!$A$50:$A$77,AI$33)*10^3</f>
        <v>2.2574670520745852</v>
      </c>
      <c r="AJ81" s="396">
        <f>SUMIFS('Key inputs_Reserves'!$D$50:$D$77,'Key inputs_Reserves'!$A$50:$A$77,AJ$33)*10^3</f>
        <v>5.0737252078057615</v>
      </c>
      <c r="AK81" s="396">
        <f>SUMIFS('Key inputs_Reserves'!$D$50:$D$77,'Key inputs_Reserves'!$A$50:$A$77,AK$33)*10^3</f>
        <v>4.0443393095900193</v>
      </c>
      <c r="AL81" s="396">
        <f>SUMIFS('Key inputs_Reserves'!$D$50:$D$77,'Key inputs_Reserves'!$A$50:$A$77,AL$33)*10^3</f>
        <v>4.5164167814280747</v>
      </c>
    </row>
    <row r="82" spans="1:38">
      <c r="C82" t="str">
        <f>Commodities!$C$11</f>
        <v>RSVOIL</v>
      </c>
      <c r="D82" s="4"/>
      <c r="E82" s="4"/>
      <c r="F82" s="4"/>
      <c r="G82" s="4" t="s">
        <v>690</v>
      </c>
      <c r="I82">
        <v>2019</v>
      </c>
      <c r="J82" t="s">
        <v>112</v>
      </c>
      <c r="K82" s="354">
        <v>1</v>
      </c>
      <c r="L82" s="354">
        <v>1</v>
      </c>
      <c r="M82" s="354">
        <v>1</v>
      </c>
      <c r="N82" s="354">
        <v>1</v>
      </c>
      <c r="O82" s="354">
        <v>1</v>
      </c>
      <c r="P82" s="354">
        <v>1</v>
      </c>
      <c r="Q82" s="354">
        <v>1</v>
      </c>
      <c r="R82" s="354">
        <v>1</v>
      </c>
      <c r="S82" s="354">
        <v>1</v>
      </c>
      <c r="T82" s="354">
        <v>1</v>
      </c>
      <c r="U82" s="354">
        <v>1</v>
      </c>
      <c r="V82" s="354">
        <v>1</v>
      </c>
      <c r="W82" s="354">
        <v>1</v>
      </c>
      <c r="X82" s="354">
        <v>1</v>
      </c>
      <c r="Y82" s="354">
        <v>1</v>
      </c>
      <c r="Z82" s="354">
        <v>1</v>
      </c>
      <c r="AA82" s="354">
        <v>1</v>
      </c>
      <c r="AB82" s="354">
        <v>1</v>
      </c>
      <c r="AC82" s="354">
        <v>1</v>
      </c>
      <c r="AD82" s="354">
        <v>1</v>
      </c>
      <c r="AE82" s="354">
        <v>1</v>
      </c>
      <c r="AF82" s="354">
        <v>1</v>
      </c>
      <c r="AG82" s="354">
        <v>1</v>
      </c>
      <c r="AH82" s="354">
        <v>1</v>
      </c>
      <c r="AI82" s="354">
        <v>1</v>
      </c>
      <c r="AJ82" s="354">
        <v>1</v>
      </c>
      <c r="AK82" s="354">
        <v>1</v>
      </c>
      <c r="AL82" s="354">
        <v>1</v>
      </c>
    </row>
    <row r="83" spans="1:38">
      <c r="D83" s="4" t="s">
        <v>359</v>
      </c>
      <c r="E83" s="4" t="s">
        <v>691</v>
      </c>
      <c r="F83" s="4"/>
      <c r="G83" s="4" t="s">
        <v>692</v>
      </c>
      <c r="I83">
        <v>2019</v>
      </c>
      <c r="J83" s="4" t="s">
        <v>2664</v>
      </c>
      <c r="K83" s="173">
        <f>IFERROR(H$13/(-SUM('Key inputs_EB_OWN'!E$459:E$478)/1000),"")</f>
        <v>163.20954297211841</v>
      </c>
      <c r="L83" s="173">
        <f>IFERROR(I$13/(-SUM('Key inputs_EB_OWN'!F$459:F$478)/1000),"")</f>
        <v>43.051703659387293</v>
      </c>
      <c r="M83" s="173">
        <f>IFERROR(J$13/(-SUM('Key inputs_EB_OWN'!G$459:G$478)/1000),"")</f>
        <v>369.27688124839824</v>
      </c>
      <c r="N83" s="173">
        <f>IFERROR(K$13/(-SUM('Key inputs_EB_OWN'!H$459:H$478)/1000),"")</f>
        <v>65.663010831747343</v>
      </c>
      <c r="O83" s="173">
        <f>IFERROR(L$13/(-SUM('Key inputs_EB_OWN'!I$459:I$478)/1000),"")</f>
        <v>62.851798816037082</v>
      </c>
      <c r="P83" s="173">
        <f>IFERROR(M$13/(-SUM('Key inputs_EB_OWN'!J$459:J$478)/1000),"")</f>
        <v>44.257848009076604</v>
      </c>
      <c r="Q83" s="173">
        <f>IFERROR(N$13/(-SUM('Key inputs_EB_OWN'!K$459:K$478)/1000),"")</f>
        <v>21.16580636479776</v>
      </c>
      <c r="R83" s="173">
        <f>IFERROR(O$13/(-SUM('Key inputs_EB_OWN'!L$459:L$478)/1000),"")</f>
        <v>126.60537026568683</v>
      </c>
      <c r="S83" s="173">
        <f>IFERROR(P$13/(-SUM('Key inputs_EB_OWN'!M$459:M$478)/1000),"")</f>
        <v>19.631756900680447</v>
      </c>
      <c r="T83" s="173">
        <f>IFERROR(Q$13/(-SUM('Key inputs_EB_OWN'!N$459:N$478)/1000),"")</f>
        <v>9.3312495599968397</v>
      </c>
      <c r="U83" s="173">
        <f>IFERROR(R$13/(-SUM('Key inputs_EB_OWN'!O$459:O$478)/1000),"")</f>
        <v>44.664774030212897</v>
      </c>
      <c r="V83" s="173">
        <f>IFERROR(S$13/(-SUM('Key inputs_EB_OWN'!P$459:P$478)/1000),"")</f>
        <v>18.726605938936828</v>
      </c>
      <c r="W83" s="173">
        <f>IFERROR(T$13/(-SUM('Key inputs_EB_OWN'!Q$459:Q$478)/1000),"")</f>
        <v>21.987432742061593</v>
      </c>
      <c r="X83" s="173">
        <f>IFERROR(U$13/(-SUM('Key inputs_EB_OWN'!R$459:R$478)/1000),"")</f>
        <v>22.792277532152255</v>
      </c>
      <c r="Y83" s="173">
        <f>IFERROR(V$13/(-SUM('Key inputs_EB_OWN'!S$459:S$478)/1000),"")</f>
        <v>24.999959665681157</v>
      </c>
      <c r="Z83" s="173">
        <f>IFERROR(W$13/(-SUM('Key inputs_EB_OWN'!T$459:T$478)/1000),"")</f>
        <v>25.30338668066344</v>
      </c>
      <c r="AA83" s="173">
        <f>IFERROR(X$13/(-SUM('Key inputs_EB_OWN'!U$459:U$478)/1000),"")</f>
        <v>30.864180402419876</v>
      </c>
      <c r="AB83" s="173">
        <f>IFERROR(Y$13/(-SUM('Key inputs_EB_OWN'!V$459:V$478)/1000),"")</f>
        <v>23.996211410509105</v>
      </c>
      <c r="AC83" s="173">
        <f>IFERROR(Z$13/(-SUM('Key inputs_EB_OWN'!W$459:W$478)/1000),"")</f>
        <v>81.925307215502457</v>
      </c>
      <c r="AD83" s="173">
        <f>IFERROR(AA$13/(-SUM('Key inputs_EB_OWN'!X$459:X$478)/1000),"")</f>
        <v>352.49411997596491</v>
      </c>
      <c r="AE83" s="173">
        <f>IFERROR(AB$13/(-SUM('Key inputs_EB_OWN'!Y$459:Y$478)/1000),"")</f>
        <v>28.318070141718309</v>
      </c>
      <c r="AF83" s="173">
        <f>IFERROR(AC$13/(-SUM('Key inputs_EB_OWN'!Z$459:Z$478)/1000),"")</f>
        <v>146.31060108885359</v>
      </c>
      <c r="AG83" s="173">
        <f>IFERROR(AD$13/(-SUM('Key inputs_EB_OWN'!AA$459:AA$478)/1000),"")</f>
        <v>65.742383955409721</v>
      </c>
      <c r="AH83" s="173">
        <f>IFERROR(AE$13/(-SUM('Key inputs_EB_OWN'!AB$459:AB$478)/1000),"")</f>
        <v>11.148863497829485</v>
      </c>
      <c r="AI83" s="173">
        <f>IFERROR(AF$13/(-SUM('Key inputs_EB_OWN'!AC$459:AC$478)/1000),"")</f>
        <v>42.150094795889416</v>
      </c>
      <c r="AJ83" s="173">
        <f>IFERROR(AG$13/(-SUM('Key inputs_EB_OWN'!AD$459:AD$478)/1000),"")</f>
        <v>48.397170066717621</v>
      </c>
      <c r="AK83" s="173">
        <f>IFERROR(AH$13/(-SUM('Key inputs_EB_OWN'!AE$459:AE$478)/1000),"")</f>
        <v>1.0213656928372863</v>
      </c>
      <c r="AL83" s="173">
        <f>IFERROR(AI$13/(-SUM('Key inputs_EB_OWN'!AF$459:AF$478)/1000),"")</f>
        <v>27.834614539726854</v>
      </c>
    </row>
    <row r="84" spans="1:38">
      <c r="C84" s="4" t="str">
        <f>Commodities!$C$80</f>
        <v>UPSBDL</v>
      </c>
      <c r="E84" s="4" t="s">
        <v>359</v>
      </c>
      <c r="G84" t="s">
        <v>693</v>
      </c>
      <c r="H84" s="4" t="s">
        <v>661</v>
      </c>
      <c r="I84">
        <v>2019</v>
      </c>
      <c r="J84" t="s">
        <v>650</v>
      </c>
      <c r="K84" s="173">
        <f>IFERROR(IF(AND('Key inputs_EB_OWN'!E459/SUM('Key inputs_EB_OWN'!E$459:E$478)&gt;0,'Key inputs_EB_OWN'!E459/SUM('Key inputs_EB_OWN'!E$459:E$478)&lt;0.001),0.001,'Key inputs_EB_OWN'!E459/SUM('Key inputs_EB_OWN'!E$459:E$478)),"")</f>
        <v>0</v>
      </c>
      <c r="L84" s="173">
        <f>IFERROR(IF(AND('Key inputs_EB_OWN'!F459/SUM('Key inputs_EB_OWN'!F$459:F$478)&gt;0,'Key inputs_EB_OWN'!F459/SUM('Key inputs_EB_OWN'!F$459:F$478)&lt;0.001),0.001,'Key inputs_EB_OWN'!F459/SUM('Key inputs_EB_OWN'!F$459:F$478)),"")</f>
        <v>0</v>
      </c>
      <c r="M84" s="173">
        <f>IFERROR(IF(AND('Key inputs_EB_OWN'!G459/SUM('Key inputs_EB_OWN'!G$459:G$478)&gt;0,'Key inputs_EB_OWN'!G459/SUM('Key inputs_EB_OWN'!G$459:G$478)&lt;0.001),0.001,'Key inputs_EB_OWN'!G459/SUM('Key inputs_EB_OWN'!G$459:G$478)),"")</f>
        <v>0</v>
      </c>
      <c r="N84" s="173">
        <f>IFERROR(IF(AND('Key inputs_EB_OWN'!H459/SUM('Key inputs_EB_OWN'!H$459:H$478)&gt;0,'Key inputs_EB_OWN'!H459/SUM('Key inputs_EB_OWN'!H$459:H$478)&lt;0.001),0.001,'Key inputs_EB_OWN'!H459/SUM('Key inputs_EB_OWN'!H$459:H$478)),"")</f>
        <v>0</v>
      </c>
      <c r="O84" s="173">
        <f>IFERROR(IF(AND('Key inputs_EB_OWN'!I459/SUM('Key inputs_EB_OWN'!I$459:I$478)&gt;0,'Key inputs_EB_OWN'!I459/SUM('Key inputs_EB_OWN'!I$459:I$478)&lt;0.001),0.001,'Key inputs_EB_OWN'!I459/SUM('Key inputs_EB_OWN'!I$459:I$478)),"")</f>
        <v>0</v>
      </c>
      <c r="P84" s="173">
        <f>IFERROR(IF(AND('Key inputs_EB_OWN'!J459/SUM('Key inputs_EB_OWN'!J$459:J$478)&gt;0,'Key inputs_EB_OWN'!J459/SUM('Key inputs_EB_OWN'!J$459:J$478)&lt;0.001),0.001,'Key inputs_EB_OWN'!J459/SUM('Key inputs_EB_OWN'!J$459:J$478)),"")</f>
        <v>0</v>
      </c>
      <c r="Q84" s="173">
        <f>IFERROR(IF(AND('Key inputs_EB_OWN'!K459/SUM('Key inputs_EB_OWN'!K$459:K$478)&gt;0,'Key inputs_EB_OWN'!K459/SUM('Key inputs_EB_OWN'!K$459:K$478)&lt;0.001),0.001,'Key inputs_EB_OWN'!K459/SUM('Key inputs_EB_OWN'!K$459:K$478)),"")</f>
        <v>0</v>
      </c>
      <c r="R84" s="173">
        <f>IFERROR(IF(AND('Key inputs_EB_OWN'!L459/SUM('Key inputs_EB_OWN'!L$459:L$478)&gt;0,'Key inputs_EB_OWN'!L459/SUM('Key inputs_EB_OWN'!L$459:L$478)&lt;0.001),0.001,'Key inputs_EB_OWN'!L459/SUM('Key inputs_EB_OWN'!L$459:L$478)),"")</f>
        <v>0</v>
      </c>
      <c r="S84" s="173">
        <f>IFERROR(IF(AND('Key inputs_EB_OWN'!M459/SUM('Key inputs_EB_OWN'!M$459:M$478)&gt;0,'Key inputs_EB_OWN'!M459/SUM('Key inputs_EB_OWN'!M$459:M$478)&lt;0.001),0.001,'Key inputs_EB_OWN'!M459/SUM('Key inputs_EB_OWN'!M$459:M$478)),"")</f>
        <v>0</v>
      </c>
      <c r="T84" s="173">
        <f>IFERROR(IF(AND('Key inputs_EB_OWN'!N459/SUM('Key inputs_EB_OWN'!N$459:N$478)&gt;0,'Key inputs_EB_OWN'!N459/SUM('Key inputs_EB_OWN'!N$459:N$478)&lt;0.001),0.001,'Key inputs_EB_OWN'!N459/SUM('Key inputs_EB_OWN'!N$459:N$478)),"")</f>
        <v>0</v>
      </c>
      <c r="U84" s="173">
        <f>IFERROR(IF(AND('Key inputs_EB_OWN'!O459/SUM('Key inputs_EB_OWN'!O$459:O$478)&gt;0,'Key inputs_EB_OWN'!O459/SUM('Key inputs_EB_OWN'!O$459:O$478)&lt;0.001),0.001,'Key inputs_EB_OWN'!O459/SUM('Key inputs_EB_OWN'!O$459:O$478)),"")</f>
        <v>0</v>
      </c>
      <c r="V84" s="173">
        <f>IFERROR(IF(AND('Key inputs_EB_OWN'!P459/SUM('Key inputs_EB_OWN'!P$459:P$478)&gt;0,'Key inputs_EB_OWN'!P459/SUM('Key inputs_EB_OWN'!P$459:P$478)&lt;0.001),0.001,'Key inputs_EB_OWN'!P459/SUM('Key inputs_EB_OWN'!P$459:P$478)),"")</f>
        <v>0</v>
      </c>
      <c r="W84" s="173">
        <f>IFERROR(IF(AND('Key inputs_EB_OWN'!Q459/SUM('Key inputs_EB_OWN'!Q$459:Q$478)&gt;0,'Key inputs_EB_OWN'!Q459/SUM('Key inputs_EB_OWN'!Q$459:Q$478)&lt;0.001),0.001,'Key inputs_EB_OWN'!Q459/SUM('Key inputs_EB_OWN'!Q$459:Q$478)),"")</f>
        <v>0</v>
      </c>
      <c r="X84" s="173">
        <f>IFERROR(IF(AND('Key inputs_EB_OWN'!R459/SUM('Key inputs_EB_OWN'!R$459:R$478)&gt;0,'Key inputs_EB_OWN'!R459/SUM('Key inputs_EB_OWN'!R$459:R$478)&lt;0.001),0.001,'Key inputs_EB_OWN'!R459/SUM('Key inputs_EB_OWN'!R$459:R$478)),"")</f>
        <v>0</v>
      </c>
      <c r="Y84" s="173">
        <f>IFERROR(IF(AND('Key inputs_EB_OWN'!S459/SUM('Key inputs_EB_OWN'!S$459:S$478)&gt;0,'Key inputs_EB_OWN'!S459/SUM('Key inputs_EB_OWN'!S$459:S$478)&lt;0.001),0.001,'Key inputs_EB_OWN'!S459/SUM('Key inputs_EB_OWN'!S$459:S$478)),"")</f>
        <v>0</v>
      </c>
      <c r="Z84" s="173">
        <f>IFERROR(IF(AND('Key inputs_EB_OWN'!T459/SUM('Key inputs_EB_OWN'!T$459:T$478)&gt;0,'Key inputs_EB_OWN'!T459/SUM('Key inputs_EB_OWN'!T$459:T$478)&lt;0.001),0.001,'Key inputs_EB_OWN'!T459/SUM('Key inputs_EB_OWN'!T$459:T$478)),"")</f>
        <v>0</v>
      </c>
      <c r="AA84" s="173">
        <f>IFERROR(IF(AND('Key inputs_EB_OWN'!U459/SUM('Key inputs_EB_OWN'!U$459:U$478)&gt;0,'Key inputs_EB_OWN'!U459/SUM('Key inputs_EB_OWN'!U$459:U$478)&lt;0.001),0.001,'Key inputs_EB_OWN'!U459/SUM('Key inputs_EB_OWN'!U$459:U$478)),"")</f>
        <v>0</v>
      </c>
      <c r="AB84" s="173">
        <f>IFERROR(IF(AND('Key inputs_EB_OWN'!V459/SUM('Key inputs_EB_OWN'!V$459:V$478)&gt;0,'Key inputs_EB_OWN'!V459/SUM('Key inputs_EB_OWN'!V$459:V$478)&lt;0.001),0.001,'Key inputs_EB_OWN'!V459/SUM('Key inputs_EB_OWN'!V$459:V$478)),"")</f>
        <v>0</v>
      </c>
      <c r="AC84" s="173">
        <f>IFERROR(IF(AND('Key inputs_EB_OWN'!W459/SUM('Key inputs_EB_OWN'!W$459:W$478)&gt;0,'Key inputs_EB_OWN'!W459/SUM('Key inputs_EB_OWN'!W$459:W$478)&lt;0.001),0.001,'Key inputs_EB_OWN'!W459/SUM('Key inputs_EB_OWN'!W$459:W$478)),"")</f>
        <v>0</v>
      </c>
      <c r="AD84" s="173">
        <f>IFERROR(IF(AND('Key inputs_EB_OWN'!X459/SUM('Key inputs_EB_OWN'!X$459:X$478)&gt;0,'Key inputs_EB_OWN'!X459/SUM('Key inputs_EB_OWN'!X$459:X$478)&lt;0.001),0.001,'Key inputs_EB_OWN'!X459/SUM('Key inputs_EB_OWN'!X$459:X$478)),"")</f>
        <v>0</v>
      </c>
      <c r="AE84" s="173">
        <f>IFERROR(IF(AND('Key inputs_EB_OWN'!Y459/SUM('Key inputs_EB_OWN'!Y$459:Y$478)&gt;0,'Key inputs_EB_OWN'!Y459/SUM('Key inputs_EB_OWN'!Y$459:Y$478)&lt;0.001),0.001,'Key inputs_EB_OWN'!Y459/SUM('Key inputs_EB_OWN'!Y$459:Y$478)),"")</f>
        <v>0</v>
      </c>
      <c r="AF84" s="173">
        <f>IFERROR(IF(AND('Key inputs_EB_OWN'!Z459/SUM('Key inputs_EB_OWN'!Z$459:Z$478)&gt;0,'Key inputs_EB_OWN'!Z459/SUM('Key inputs_EB_OWN'!Z$459:Z$478)&lt;0.001),0.001,'Key inputs_EB_OWN'!Z459/SUM('Key inputs_EB_OWN'!Z$459:Z$478)),"")</f>
        <v>0</v>
      </c>
      <c r="AG84" s="173">
        <f>IFERROR(IF(AND('Key inputs_EB_OWN'!AA459/SUM('Key inputs_EB_OWN'!AA$459:AA$478)&gt;0,'Key inputs_EB_OWN'!AA459/SUM('Key inputs_EB_OWN'!AA$459:AA$478)&lt;0.001),0.001,'Key inputs_EB_OWN'!AA459/SUM('Key inputs_EB_OWN'!AA$459:AA$478)),"")</f>
        <v>0</v>
      </c>
      <c r="AH84" s="173">
        <f>IFERROR(IF(AND('Key inputs_EB_OWN'!AB459/SUM('Key inputs_EB_OWN'!AB$459:AB$478)&gt;0,'Key inputs_EB_OWN'!AB459/SUM('Key inputs_EB_OWN'!AB$459:AB$478)&lt;0.001),0.001,'Key inputs_EB_OWN'!AB459/SUM('Key inputs_EB_OWN'!AB$459:AB$478)),"")</f>
        <v>0</v>
      </c>
      <c r="AI84" s="173">
        <f>IFERROR(IF(AND('Key inputs_EB_OWN'!AC459/SUM('Key inputs_EB_OWN'!AC$459:AC$478)&gt;0,'Key inputs_EB_OWN'!AC459/SUM('Key inputs_EB_OWN'!AC$459:AC$478)&lt;0.001),0.001,'Key inputs_EB_OWN'!AC459/SUM('Key inputs_EB_OWN'!AC$459:AC$478)),"")</f>
        <v>0</v>
      </c>
      <c r="AJ84" s="173">
        <f>IFERROR(IF(AND('Key inputs_EB_OWN'!AD459/SUM('Key inputs_EB_OWN'!AD$459:AD$478)&gt;0,'Key inputs_EB_OWN'!AD459/SUM('Key inputs_EB_OWN'!AD$459:AD$478)&lt;0.001),0.001,'Key inputs_EB_OWN'!AD459/SUM('Key inputs_EB_OWN'!AD$459:AD$478)),"")</f>
        <v>0</v>
      </c>
      <c r="AK84" s="173">
        <f>IFERROR(IF(AND('Key inputs_EB_OWN'!AE459/SUM('Key inputs_EB_OWN'!AE$459:AE$478)&gt;0,'Key inputs_EB_OWN'!AE459/SUM('Key inputs_EB_OWN'!AE$459:AE$478)&lt;0.001),0.001,'Key inputs_EB_OWN'!AE459/SUM('Key inputs_EB_OWN'!AE$459:AE$478)),"")</f>
        <v>0</v>
      </c>
      <c r="AL84" s="173">
        <f>IFERROR(IF(AND('Key inputs_EB_OWN'!AF459/SUM('Key inputs_EB_OWN'!AF$459:AF$478)&gt;0,'Key inputs_EB_OWN'!AF459/SUM('Key inputs_EB_OWN'!AF$459:AF$478)&lt;0.001),0.001,'Key inputs_EB_OWN'!AF459/SUM('Key inputs_EB_OWN'!AF$459:AF$478)),"")</f>
        <v>1.2992864571320657E-3</v>
      </c>
    </row>
    <row r="85" spans="1:38">
      <c r="C85" s="4" t="str">
        <f>Commodities!$C$90</f>
        <v>UPSDSL</v>
      </c>
      <c r="E85" s="4" t="s">
        <v>359</v>
      </c>
      <c r="G85" t="s">
        <v>693</v>
      </c>
      <c r="H85" s="4" t="s">
        <v>661</v>
      </c>
      <c r="I85">
        <v>2019</v>
      </c>
      <c r="J85" t="s">
        <v>650</v>
      </c>
      <c r="K85" s="173">
        <f>IFERROR(IF(AND('Key inputs_EB_OWN'!E467/SUM('Key inputs_EB_OWN'!E$459:E$478)&gt;0,'Key inputs_EB_OWN'!E467/SUM('Key inputs_EB_OWN'!E$459:E$478)&lt;0.001),0.001,'Key inputs_EB_OWN'!E467/SUM('Key inputs_EB_OWN'!E$459:E$478)),"")</f>
        <v>0</v>
      </c>
      <c r="L85" s="173">
        <f>IFERROR(IF(AND('Key inputs_EB_OWN'!F467/SUM('Key inputs_EB_OWN'!F$459:F$478)&gt;0,'Key inputs_EB_OWN'!F467/SUM('Key inputs_EB_OWN'!F$459:F$478)&lt;0.001),0.001,'Key inputs_EB_OWN'!F467/SUM('Key inputs_EB_OWN'!F$459:F$478)),"")</f>
        <v>0.11437329179515884</v>
      </c>
      <c r="M85" s="173">
        <f>IFERROR(IF(AND('Key inputs_EB_OWN'!G467/SUM('Key inputs_EB_OWN'!G$459:G$478)&gt;0,'Key inputs_EB_OWN'!G467/SUM('Key inputs_EB_OWN'!G$459:G$478)&lt;0.001),0.001,'Key inputs_EB_OWN'!G467/SUM('Key inputs_EB_OWN'!G$459:G$478)),"")</f>
        <v>0.45628054967319914</v>
      </c>
      <c r="N85" s="173">
        <f>IFERROR(IF(AND('Key inputs_EB_OWN'!H467/SUM('Key inputs_EB_OWN'!H$459:H$478)&gt;0,'Key inputs_EB_OWN'!H467/SUM('Key inputs_EB_OWN'!H$459:H$478)&lt;0.001),0.001,'Key inputs_EB_OWN'!H467/SUM('Key inputs_EB_OWN'!H$459:H$478)),"")</f>
        <v>0.92720028738842231</v>
      </c>
      <c r="O85" s="173">
        <f>IFERROR(IF(AND('Key inputs_EB_OWN'!I467/SUM('Key inputs_EB_OWN'!I$459:I$478)&gt;0,'Key inputs_EB_OWN'!I467/SUM('Key inputs_EB_OWN'!I$459:I$478)&lt;0.001),0.001,'Key inputs_EB_OWN'!I467/SUM('Key inputs_EB_OWN'!I$459:I$478)),"")</f>
        <v>5.6514271168985886E-2</v>
      </c>
      <c r="P85" s="173">
        <f>IFERROR(IF(AND('Key inputs_EB_OWN'!J467/SUM('Key inputs_EB_OWN'!J$459:J$478)&gt;0,'Key inputs_EB_OWN'!J467/SUM('Key inputs_EB_OWN'!J$459:J$478)&lt;0.001),0.001,'Key inputs_EB_OWN'!J467/SUM('Key inputs_EB_OWN'!J$459:J$478)),"")</f>
        <v>5.483207836213648E-2</v>
      </c>
      <c r="Q85" s="173">
        <f>IFERROR(IF(AND('Key inputs_EB_OWN'!K467/SUM('Key inputs_EB_OWN'!K$459:K$478)&gt;0,'Key inputs_EB_OWN'!K467/SUM('Key inputs_EB_OWN'!K$459:K$478)&lt;0.001),0.001,'Key inputs_EB_OWN'!K467/SUM('Key inputs_EB_OWN'!K$459:K$478)),"")</f>
        <v>0</v>
      </c>
      <c r="R85" s="173">
        <f>IFERROR(IF(AND('Key inputs_EB_OWN'!L467/SUM('Key inputs_EB_OWN'!L$459:L$478)&gt;0,'Key inputs_EB_OWN'!L467/SUM('Key inputs_EB_OWN'!L$459:L$478)&lt;0.001),0.001,'Key inputs_EB_OWN'!L467/SUM('Key inputs_EB_OWN'!L$459:L$478)),"")</f>
        <v>0</v>
      </c>
      <c r="S85" s="173">
        <f>IFERROR(IF(AND('Key inputs_EB_OWN'!M467/SUM('Key inputs_EB_OWN'!M$459:M$478)&gt;0,'Key inputs_EB_OWN'!M467/SUM('Key inputs_EB_OWN'!M$459:M$478)&lt;0.001),0.001,'Key inputs_EB_OWN'!M467/SUM('Key inputs_EB_OWN'!M$459:M$478)),"")</f>
        <v>0.45310981725459637</v>
      </c>
      <c r="T85" s="173">
        <f>IFERROR(IF(AND('Key inputs_EB_OWN'!N467/SUM('Key inputs_EB_OWN'!N$459:N$478)&gt;0,'Key inputs_EB_OWN'!N467/SUM('Key inputs_EB_OWN'!N$459:N$478)&lt;0.001),0.001,'Key inputs_EB_OWN'!N467/SUM('Key inputs_EB_OWN'!N$459:N$478)),"")</f>
        <v>0.17302177907483285</v>
      </c>
      <c r="U85" s="173">
        <f>IFERROR(IF(AND('Key inputs_EB_OWN'!O467/SUM('Key inputs_EB_OWN'!O$459:O$478)&gt;0,'Key inputs_EB_OWN'!O467/SUM('Key inputs_EB_OWN'!O$459:O$478)&lt;0.001),0.001,'Key inputs_EB_OWN'!O467/SUM('Key inputs_EB_OWN'!O$459:O$478)),"")</f>
        <v>0</v>
      </c>
      <c r="V85" s="173">
        <f>IFERROR(IF(AND('Key inputs_EB_OWN'!P467/SUM('Key inputs_EB_OWN'!P$459:P$478)&gt;0,'Key inputs_EB_OWN'!P467/SUM('Key inputs_EB_OWN'!P$459:P$478)&lt;0.001),0.001,'Key inputs_EB_OWN'!P467/SUM('Key inputs_EB_OWN'!P$459:P$478)),"")</f>
        <v>3.0516512585795314E-2</v>
      </c>
      <c r="W85" s="173">
        <f>IFERROR(IF(AND('Key inputs_EB_OWN'!Q467/SUM('Key inputs_EB_OWN'!Q$459:Q$478)&gt;0,'Key inputs_EB_OWN'!Q467/SUM('Key inputs_EB_OWN'!Q$459:Q$478)&lt;0.001),0.001,'Key inputs_EB_OWN'!Q467/SUM('Key inputs_EB_OWN'!Q$459:Q$478)),"")</f>
        <v>5.2711539273277513E-2</v>
      </c>
      <c r="X85" s="173">
        <f>IFERROR(IF(AND('Key inputs_EB_OWN'!R467/SUM('Key inputs_EB_OWN'!R$459:R$478)&gt;0,'Key inputs_EB_OWN'!R467/SUM('Key inputs_EB_OWN'!R$459:R$478)&lt;0.001),0.001,'Key inputs_EB_OWN'!R467/SUM('Key inputs_EB_OWN'!R$459:R$478)),"")</f>
        <v>0.24282181607423933</v>
      </c>
      <c r="Y85" s="173">
        <f>IFERROR(IF(AND('Key inputs_EB_OWN'!S467/SUM('Key inputs_EB_OWN'!S$459:S$478)&gt;0,'Key inputs_EB_OWN'!S467/SUM('Key inputs_EB_OWN'!S$459:S$478)&lt;0.001),0.001,'Key inputs_EB_OWN'!S467/SUM('Key inputs_EB_OWN'!S$459:S$478)),"")</f>
        <v>3.0368284162200009E-2</v>
      </c>
      <c r="Z85" s="173">
        <f>IFERROR(IF(AND('Key inputs_EB_OWN'!T467/SUM('Key inputs_EB_OWN'!T$459:T$478)&gt;0,'Key inputs_EB_OWN'!T467/SUM('Key inputs_EB_OWN'!T$459:T$478)&lt;0.001),0.001,'Key inputs_EB_OWN'!T467/SUM('Key inputs_EB_OWN'!T$459:T$478)),"")</f>
        <v>4.6074843078497893E-2</v>
      </c>
      <c r="AA85" s="173">
        <f>IFERROR(IF(AND('Key inputs_EB_OWN'!U467/SUM('Key inputs_EB_OWN'!U$459:U$478)&gt;0,'Key inputs_EB_OWN'!U467/SUM('Key inputs_EB_OWN'!U$459:U$478)&lt;0.001),0.001,'Key inputs_EB_OWN'!U467/SUM('Key inputs_EB_OWN'!U$459:U$478)),"")</f>
        <v>0</v>
      </c>
      <c r="AB85" s="173">
        <f>IFERROR(IF(AND('Key inputs_EB_OWN'!V467/SUM('Key inputs_EB_OWN'!V$459:V$478)&gt;0,'Key inputs_EB_OWN'!V467/SUM('Key inputs_EB_OWN'!V$459:V$478)&lt;0.001),0.001,'Key inputs_EB_OWN'!V467/SUM('Key inputs_EB_OWN'!V$459:V$478)),"")</f>
        <v>0</v>
      </c>
      <c r="AC85" s="173">
        <f>IFERROR(IF(AND('Key inputs_EB_OWN'!W467/SUM('Key inputs_EB_OWN'!W$459:W$478)&gt;0,'Key inputs_EB_OWN'!W467/SUM('Key inputs_EB_OWN'!W$459:W$478)&lt;0.001),0.001,'Key inputs_EB_OWN'!W467/SUM('Key inputs_EB_OWN'!W$459:W$478)),"")</f>
        <v>0</v>
      </c>
      <c r="AD85" s="173">
        <f>IFERROR(IF(AND('Key inputs_EB_OWN'!X467/SUM('Key inputs_EB_OWN'!X$459:X$478)&gt;0,'Key inputs_EB_OWN'!X467/SUM('Key inputs_EB_OWN'!X$459:X$478)&lt;0.001),0.001,'Key inputs_EB_OWN'!X467/SUM('Key inputs_EB_OWN'!X$459:X$478)),"")</f>
        <v>0</v>
      </c>
      <c r="AE85" s="173">
        <f>IFERROR(IF(AND('Key inputs_EB_OWN'!Y467/SUM('Key inputs_EB_OWN'!Y$459:Y$478)&gt;0,'Key inputs_EB_OWN'!Y467/SUM('Key inputs_EB_OWN'!Y$459:Y$478)&lt;0.001),0.001,'Key inputs_EB_OWN'!Y467/SUM('Key inputs_EB_OWN'!Y$459:Y$478)),"")</f>
        <v>6.4127809661557594E-2</v>
      </c>
      <c r="AF85" s="173">
        <f>IFERROR(IF(AND('Key inputs_EB_OWN'!Z467/SUM('Key inputs_EB_OWN'!Z$459:Z$478)&gt;0,'Key inputs_EB_OWN'!Z467/SUM('Key inputs_EB_OWN'!Z$459:Z$478)&lt;0.001),0.001,'Key inputs_EB_OWN'!Z467/SUM('Key inputs_EB_OWN'!Z$459:Z$478)),"")</f>
        <v>0.13274243425761351</v>
      </c>
      <c r="AG85" s="173">
        <f>IFERROR(IF(AND('Key inputs_EB_OWN'!AA467/SUM('Key inputs_EB_OWN'!AA$459:AA$478)&gt;0,'Key inputs_EB_OWN'!AA467/SUM('Key inputs_EB_OWN'!AA$459:AA$478)&lt;0.001),0.001,'Key inputs_EB_OWN'!AA467/SUM('Key inputs_EB_OWN'!AA$459:AA$478)),"")</f>
        <v>4.7935542263976366E-2</v>
      </c>
      <c r="AH85" s="173">
        <f>IFERROR(IF(AND('Key inputs_EB_OWN'!AB467/SUM('Key inputs_EB_OWN'!AB$459:AB$478)&gt;0,'Key inputs_EB_OWN'!AB467/SUM('Key inputs_EB_OWN'!AB$459:AB$478)&lt;0.001),0.001,'Key inputs_EB_OWN'!AB467/SUM('Key inputs_EB_OWN'!AB$459:AB$478)),"")</f>
        <v>0</v>
      </c>
      <c r="AI85" s="173">
        <f>IFERROR(IF(AND('Key inputs_EB_OWN'!AC467/SUM('Key inputs_EB_OWN'!AC$459:AC$478)&gt;0,'Key inputs_EB_OWN'!AC467/SUM('Key inputs_EB_OWN'!AC$459:AC$478)&lt;0.001),0.001,'Key inputs_EB_OWN'!AC467/SUM('Key inputs_EB_OWN'!AC$459:AC$478)),"")</f>
        <v>0</v>
      </c>
      <c r="AJ85" s="173">
        <f>IFERROR(IF(AND('Key inputs_EB_OWN'!AD467/SUM('Key inputs_EB_OWN'!AD$459:AD$478)&gt;0,'Key inputs_EB_OWN'!AD467/SUM('Key inputs_EB_OWN'!AD$459:AD$478)&lt;0.001),0.001,'Key inputs_EB_OWN'!AD467/SUM('Key inputs_EB_OWN'!AD$459:AD$478)),"")</f>
        <v>0.12874920434506726</v>
      </c>
      <c r="AK85" s="173">
        <f>IFERROR(IF(AND('Key inputs_EB_OWN'!AE467/SUM('Key inputs_EB_OWN'!AE$459:AE$478)&gt;0,'Key inputs_EB_OWN'!AE467/SUM('Key inputs_EB_OWN'!AE$459:AE$478)&lt;0.001),0.001,'Key inputs_EB_OWN'!AE467/SUM('Key inputs_EB_OWN'!AE$459:AE$478)),"")</f>
        <v>4.6026728335710983E-2</v>
      </c>
      <c r="AL85" s="173">
        <f>IFERROR(IF(AND('Key inputs_EB_OWN'!AF467/SUM('Key inputs_EB_OWN'!AF$459:AF$478)&gt;0,'Key inputs_EB_OWN'!AF467/SUM('Key inputs_EB_OWN'!AF$459:AF$478)&lt;0.001),0.001,'Key inputs_EB_OWN'!AF467/SUM('Key inputs_EB_OWN'!AF$459:AF$478)),"")</f>
        <v>0.12553510385631672</v>
      </c>
    </row>
    <row r="86" spans="1:38">
      <c r="C86" s="4" t="str">
        <f>Commodities!$C$91</f>
        <v>UPSELC</v>
      </c>
      <c r="E86" s="4" t="s">
        <v>359</v>
      </c>
      <c r="G86" t="s">
        <v>693</v>
      </c>
      <c r="H86" s="4" t="s">
        <v>661</v>
      </c>
      <c r="I86">
        <v>2019</v>
      </c>
      <c r="J86" t="s">
        <v>650</v>
      </c>
      <c r="K86" s="173">
        <f>IFERROR(IF(AND('Key inputs_EB_OWN'!E468/SUM('Key inputs_EB_OWN'!E$459:E$478)&gt;0,'Key inputs_EB_OWN'!E468/SUM('Key inputs_EB_OWN'!E$459:E$478)&lt;0.001),0.001,'Key inputs_EB_OWN'!E468/SUM('Key inputs_EB_OWN'!E$459:E$478)),"")</f>
        <v>0</v>
      </c>
      <c r="L86" s="173">
        <f>IFERROR(IF(AND('Key inputs_EB_OWN'!F468/SUM('Key inputs_EB_OWN'!F$459:F$478)&gt;0,'Key inputs_EB_OWN'!F468/SUM('Key inputs_EB_OWN'!F$459:F$478)&lt;0.001),0.001,'Key inputs_EB_OWN'!F468/SUM('Key inputs_EB_OWN'!F$459:F$478)),"")</f>
        <v>9.3156083395373908E-3</v>
      </c>
      <c r="M86" s="173">
        <f>IFERROR(IF(AND('Key inputs_EB_OWN'!G468/SUM('Key inputs_EB_OWN'!G$459:G$478)&gt;0,'Key inputs_EB_OWN'!G468/SUM('Key inputs_EB_OWN'!G$459:G$478)&lt;0.001),0.001,'Key inputs_EB_OWN'!G468/SUM('Key inputs_EB_OWN'!G$459:G$478)),"")</f>
        <v>6.0873820552562283E-2</v>
      </c>
      <c r="N86" s="173">
        <f>IFERROR(IF(AND('Key inputs_EB_OWN'!H468/SUM('Key inputs_EB_OWN'!H$459:H$478)&gt;0,'Key inputs_EB_OWN'!H468/SUM('Key inputs_EB_OWN'!H$459:H$478)&lt;0.001),0.001,'Key inputs_EB_OWN'!H468/SUM('Key inputs_EB_OWN'!H$459:H$478)),"")</f>
        <v>6.8166963209800695E-3</v>
      </c>
      <c r="O86" s="173">
        <f>IFERROR(IF(AND('Key inputs_EB_OWN'!I468/SUM('Key inputs_EB_OWN'!I$459:I$478)&gt;0,'Key inputs_EB_OWN'!I468/SUM('Key inputs_EB_OWN'!I$459:I$478)&lt;0.001),0.001,'Key inputs_EB_OWN'!I468/SUM('Key inputs_EB_OWN'!I$459:I$478)),"")</f>
        <v>0.29635527666400097</v>
      </c>
      <c r="P86" s="173">
        <f>IFERROR(IF(AND('Key inputs_EB_OWN'!J468/SUM('Key inputs_EB_OWN'!J$459:J$478)&gt;0,'Key inputs_EB_OWN'!J468/SUM('Key inputs_EB_OWN'!J$459:J$478)&lt;0.001),0.001,'Key inputs_EB_OWN'!J468/SUM('Key inputs_EB_OWN'!J$459:J$478)),"")</f>
        <v>0.1581622816582392</v>
      </c>
      <c r="Q86" s="173">
        <f>IFERROR(IF(AND('Key inputs_EB_OWN'!K468/SUM('Key inputs_EB_OWN'!K$459:K$478)&gt;0,'Key inputs_EB_OWN'!K468/SUM('Key inputs_EB_OWN'!K$459:K$478)&lt;0.001),0.001,'Key inputs_EB_OWN'!K468/SUM('Key inputs_EB_OWN'!K$459:K$478)),"")</f>
        <v>1E-3</v>
      </c>
      <c r="R86" s="173">
        <f>IFERROR(IF(AND('Key inputs_EB_OWN'!L468/SUM('Key inputs_EB_OWN'!L$459:L$478)&gt;0,'Key inputs_EB_OWN'!L468/SUM('Key inputs_EB_OWN'!L$459:L$478)&lt;0.001),0.001,'Key inputs_EB_OWN'!L468/SUM('Key inputs_EB_OWN'!L$459:L$478)),"")</f>
        <v>0</v>
      </c>
      <c r="S86" s="173">
        <f>IFERROR(IF(AND('Key inputs_EB_OWN'!M468/SUM('Key inputs_EB_OWN'!M$459:M$478)&gt;0,'Key inputs_EB_OWN'!M468/SUM('Key inputs_EB_OWN'!M$459:M$478)&lt;0.001),0.001,'Key inputs_EB_OWN'!M468/SUM('Key inputs_EB_OWN'!M$459:M$478)),"")</f>
        <v>0.10773172431945288</v>
      </c>
      <c r="T86" s="173">
        <f>IFERROR(IF(AND('Key inputs_EB_OWN'!N468/SUM('Key inputs_EB_OWN'!N$459:N$478)&gt;0,'Key inputs_EB_OWN'!N468/SUM('Key inputs_EB_OWN'!N$459:N$478)&lt;0.001),0.001,'Key inputs_EB_OWN'!N468/SUM('Key inputs_EB_OWN'!N$459:N$478)),"")</f>
        <v>3.9142516134232849E-2</v>
      </c>
      <c r="U86" s="173">
        <f>IFERROR(IF(AND('Key inputs_EB_OWN'!O468/SUM('Key inputs_EB_OWN'!O$459:O$478)&gt;0,'Key inputs_EB_OWN'!O468/SUM('Key inputs_EB_OWN'!O$459:O$478)&lt;0.001),0.001,'Key inputs_EB_OWN'!O468/SUM('Key inputs_EB_OWN'!O$459:O$478)),"")</f>
        <v>0</v>
      </c>
      <c r="V86" s="173">
        <f>IFERROR(IF(AND('Key inputs_EB_OWN'!P468/SUM('Key inputs_EB_OWN'!P$459:P$478)&gt;0,'Key inputs_EB_OWN'!P468/SUM('Key inputs_EB_OWN'!P$459:P$478)&lt;0.001),0.001,'Key inputs_EB_OWN'!P468/SUM('Key inputs_EB_OWN'!P$459:P$478)),"")</f>
        <v>0.17805167351958998</v>
      </c>
      <c r="W86" s="173">
        <f>IFERROR(IF(AND('Key inputs_EB_OWN'!Q468/SUM('Key inputs_EB_OWN'!Q$459:Q$478)&gt;0,'Key inputs_EB_OWN'!Q468/SUM('Key inputs_EB_OWN'!Q$459:Q$478)&lt;0.001),0.001,'Key inputs_EB_OWN'!Q468/SUM('Key inputs_EB_OWN'!Q$459:Q$478)),"")</f>
        <v>8.660031271844483E-2</v>
      </c>
      <c r="X86" s="173">
        <f>IFERROR(IF(AND('Key inputs_EB_OWN'!R468/SUM('Key inputs_EB_OWN'!R$459:R$478)&gt;0,'Key inputs_EB_OWN'!R468/SUM('Key inputs_EB_OWN'!R$459:R$478)&lt;0.001),0.001,'Key inputs_EB_OWN'!R468/SUM('Key inputs_EB_OWN'!R$459:R$478)),"")</f>
        <v>5.7639840635670223E-2</v>
      </c>
      <c r="Y86" s="173">
        <f>IFERROR(IF(AND('Key inputs_EB_OWN'!S468/SUM('Key inputs_EB_OWN'!S$459:S$478)&gt;0,'Key inputs_EB_OWN'!S468/SUM('Key inputs_EB_OWN'!S$459:S$478)&lt;0.001),0.001,'Key inputs_EB_OWN'!S468/SUM('Key inputs_EB_OWN'!S$459:S$478)),"")</f>
        <v>0.20009711006864847</v>
      </c>
      <c r="Z86" s="173">
        <f>IFERROR(IF(AND('Key inputs_EB_OWN'!T468/SUM('Key inputs_EB_OWN'!T$459:T$478)&gt;0,'Key inputs_EB_OWN'!T468/SUM('Key inputs_EB_OWN'!T$459:T$478)&lt;0.001),0.001,'Key inputs_EB_OWN'!T468/SUM('Key inputs_EB_OWN'!T$459:T$478)),"")</f>
        <v>0.15416748063502494</v>
      </c>
      <c r="AA86" s="173">
        <f>IFERROR(IF(AND('Key inputs_EB_OWN'!U468/SUM('Key inputs_EB_OWN'!U$459:U$478)&gt;0,'Key inputs_EB_OWN'!U468/SUM('Key inputs_EB_OWN'!U$459:U$478)&lt;0.001),0.001,'Key inputs_EB_OWN'!U468/SUM('Key inputs_EB_OWN'!U$459:U$478)),"")</f>
        <v>0.15770978609180203</v>
      </c>
      <c r="AB86" s="173">
        <f>IFERROR(IF(AND('Key inputs_EB_OWN'!V468/SUM('Key inputs_EB_OWN'!V$459:V$478)&gt;0,'Key inputs_EB_OWN'!V468/SUM('Key inputs_EB_OWN'!V$459:V$478)&lt;0.001),0.001,'Key inputs_EB_OWN'!V468/SUM('Key inputs_EB_OWN'!V$459:V$478)),"")</f>
        <v>0</v>
      </c>
      <c r="AC86" s="173">
        <f>IFERROR(IF(AND('Key inputs_EB_OWN'!W468/SUM('Key inputs_EB_OWN'!W$459:W$478)&gt;0,'Key inputs_EB_OWN'!W468/SUM('Key inputs_EB_OWN'!W$459:W$478)&lt;0.001),0.001,'Key inputs_EB_OWN'!W468/SUM('Key inputs_EB_OWN'!W$459:W$478)),"")</f>
        <v>0</v>
      </c>
      <c r="AD86" s="173">
        <f>IFERROR(IF(AND('Key inputs_EB_OWN'!X468/SUM('Key inputs_EB_OWN'!X$459:X$478)&gt;0,'Key inputs_EB_OWN'!X468/SUM('Key inputs_EB_OWN'!X$459:X$478)&lt;0.001),0.001,'Key inputs_EB_OWN'!X468/SUM('Key inputs_EB_OWN'!X$459:X$478)),"")</f>
        <v>0</v>
      </c>
      <c r="AE86" s="173">
        <f>IFERROR(IF(AND('Key inputs_EB_OWN'!Y468/SUM('Key inputs_EB_OWN'!Y$459:Y$478)&gt;0,'Key inputs_EB_OWN'!Y468/SUM('Key inputs_EB_OWN'!Y$459:Y$478)&lt;0.001),0.001,'Key inputs_EB_OWN'!Y468/SUM('Key inputs_EB_OWN'!Y$459:Y$478)),"")</f>
        <v>3.5267102130766351E-2</v>
      </c>
      <c r="AF86" s="173">
        <f>IFERROR(IF(AND('Key inputs_EB_OWN'!Z468/SUM('Key inputs_EB_OWN'!Z$459:Z$478)&gt;0,'Key inputs_EB_OWN'!Z468/SUM('Key inputs_EB_OWN'!Z$459:Z$478)&lt;0.001),0.001,'Key inputs_EB_OWN'!Z468/SUM('Key inputs_EB_OWN'!Z$459:Z$478)),"")</f>
        <v>0.49277000145513555</v>
      </c>
      <c r="AG86" s="173">
        <f>IFERROR(IF(AND('Key inputs_EB_OWN'!AA468/SUM('Key inputs_EB_OWN'!AA$459:AA$478)&gt;0,'Key inputs_EB_OWN'!AA468/SUM('Key inputs_EB_OWN'!AA$459:AA$478)&lt;0.001),0.001,'Key inputs_EB_OWN'!AA468/SUM('Key inputs_EB_OWN'!AA$459:AA$478)),"")</f>
        <v>0</v>
      </c>
      <c r="AH86" s="173">
        <f>IFERROR(IF(AND('Key inputs_EB_OWN'!AB468/SUM('Key inputs_EB_OWN'!AB$459:AB$478)&gt;0,'Key inputs_EB_OWN'!AB468/SUM('Key inputs_EB_OWN'!AB$459:AB$478)&lt;0.001),0.001,'Key inputs_EB_OWN'!AB468/SUM('Key inputs_EB_OWN'!AB$459:AB$478)),"")</f>
        <v>1.7216874199843628E-2</v>
      </c>
      <c r="AI86" s="173">
        <f>IFERROR(IF(AND('Key inputs_EB_OWN'!AC468/SUM('Key inputs_EB_OWN'!AC$459:AC$478)&gt;0,'Key inputs_EB_OWN'!AC468/SUM('Key inputs_EB_OWN'!AC$459:AC$478)&lt;0.001),0.001,'Key inputs_EB_OWN'!AC468/SUM('Key inputs_EB_OWN'!AC$459:AC$478)),"")</f>
        <v>0</v>
      </c>
      <c r="AJ86" s="173">
        <f>IFERROR(IF(AND('Key inputs_EB_OWN'!AD468/SUM('Key inputs_EB_OWN'!AD$459:AD$478)&gt;0,'Key inputs_EB_OWN'!AD468/SUM('Key inputs_EB_OWN'!AD$459:AD$478)&lt;0.001),0.001,'Key inputs_EB_OWN'!AD468/SUM('Key inputs_EB_OWN'!AD$459:AD$478)),"")</f>
        <v>0.34595307525289393</v>
      </c>
      <c r="AK86" s="173">
        <f>IFERROR(IF(AND('Key inputs_EB_OWN'!AE468/SUM('Key inputs_EB_OWN'!AE$459:AE$478)&gt;0,'Key inputs_EB_OWN'!AE468/SUM('Key inputs_EB_OWN'!AE$459:AE$478)&lt;0.001),0.001,'Key inputs_EB_OWN'!AE468/SUM('Key inputs_EB_OWN'!AE$459:AE$478)),"")</f>
        <v>0</v>
      </c>
      <c r="AL86" s="173">
        <f>IFERROR(IF(AND('Key inputs_EB_OWN'!AF468/SUM('Key inputs_EB_OWN'!AF$459:AF$478)&gt;0,'Key inputs_EB_OWN'!AF468/SUM('Key inputs_EB_OWN'!AF$459:AF$478)&lt;0.001),0.001,'Key inputs_EB_OWN'!AF468/SUM('Key inputs_EB_OWN'!AF$459:AF$478)),"")</f>
        <v>7.3342685225659204E-2</v>
      </c>
    </row>
    <row r="87" spans="1:38">
      <c r="C87" s="4" t="str">
        <f>Commodities!$C$92</f>
        <v>UPSGAS</v>
      </c>
      <c r="E87" s="4" t="s">
        <v>359</v>
      </c>
      <c r="G87" t="s">
        <v>693</v>
      </c>
      <c r="H87" s="4" t="s">
        <v>661</v>
      </c>
      <c r="I87">
        <v>2019</v>
      </c>
      <c r="J87" t="s">
        <v>650</v>
      </c>
      <c r="K87" s="173">
        <f>IFERROR(IF(AND('Key inputs_EB_OWN'!E469/SUM('Key inputs_EB_OWN'!E$459:E$478)&gt;0,'Key inputs_EB_OWN'!E469/SUM('Key inputs_EB_OWN'!E$459:E$478)&lt;0.001),0.001,'Key inputs_EB_OWN'!E469/SUM('Key inputs_EB_OWN'!E$459:E$478)),"")</f>
        <v>0</v>
      </c>
      <c r="L87" s="173">
        <f>IFERROR(IF(AND('Key inputs_EB_OWN'!F469/SUM('Key inputs_EB_OWN'!F$459:F$478)&gt;0,'Key inputs_EB_OWN'!F469/SUM('Key inputs_EB_OWN'!F$459:F$478)&lt;0.001),0.001,'Key inputs_EB_OWN'!F469/SUM('Key inputs_EB_OWN'!F$459:F$478)),"")</f>
        <v>0.87211556012673763</v>
      </c>
      <c r="M87" s="173">
        <f>IFERROR(IF(AND('Key inputs_EB_OWN'!G469/SUM('Key inputs_EB_OWN'!G$459:G$478)&gt;0,'Key inputs_EB_OWN'!G469/SUM('Key inputs_EB_OWN'!G$459:G$478)&lt;0.001),0.001,'Key inputs_EB_OWN'!G469/SUM('Key inputs_EB_OWN'!G$459:G$478)),"")</f>
        <v>0</v>
      </c>
      <c r="N87" s="173">
        <f>IFERROR(IF(AND('Key inputs_EB_OWN'!H469/SUM('Key inputs_EB_OWN'!H$459:H$478)&gt;0,'Key inputs_EB_OWN'!H469/SUM('Key inputs_EB_OWN'!H$459:H$478)&lt;0.001),0.001,'Key inputs_EB_OWN'!H469/SUM('Key inputs_EB_OWN'!H$459:H$478)),"")</f>
        <v>6.5983016290597635E-2</v>
      </c>
      <c r="O87" s="173">
        <f>IFERROR(IF(AND('Key inputs_EB_OWN'!I469/SUM('Key inputs_EB_OWN'!I$459:I$478)&gt;0,'Key inputs_EB_OWN'!I469/SUM('Key inputs_EB_OWN'!I$459:I$478)&lt;0.001),0.001,'Key inputs_EB_OWN'!I469/SUM('Key inputs_EB_OWN'!I$459:I$478)),"")</f>
        <v>0.63084406643373725</v>
      </c>
      <c r="P87" s="173">
        <f>IFERROR(IF(AND('Key inputs_EB_OWN'!J469/SUM('Key inputs_EB_OWN'!J$459:J$478)&gt;0,'Key inputs_EB_OWN'!J469/SUM('Key inputs_EB_OWN'!J$459:J$478)&lt;0.001),0.001,'Key inputs_EB_OWN'!J469/SUM('Key inputs_EB_OWN'!J$459:J$478)),"")</f>
        <v>0.52304587589490503</v>
      </c>
      <c r="Q87" s="173">
        <f>IFERROR(IF(AND('Key inputs_EB_OWN'!K469/SUM('Key inputs_EB_OWN'!K$459:K$478)&gt;0,'Key inputs_EB_OWN'!K469/SUM('Key inputs_EB_OWN'!K$459:K$478)&lt;0.001),0.001,'Key inputs_EB_OWN'!K469/SUM('Key inputs_EB_OWN'!K$459:K$478)),"")</f>
        <v>0.96542697948435441</v>
      </c>
      <c r="R87" s="173">
        <f>IFERROR(IF(AND('Key inputs_EB_OWN'!L469/SUM('Key inputs_EB_OWN'!L$459:L$478)&gt;0,'Key inputs_EB_OWN'!L469/SUM('Key inputs_EB_OWN'!L$459:L$478)&lt;0.001),0.001,'Key inputs_EB_OWN'!L469/SUM('Key inputs_EB_OWN'!L$459:L$478)),"")</f>
        <v>1</v>
      </c>
      <c r="S87" s="173">
        <f>IFERROR(IF(AND('Key inputs_EB_OWN'!M469/SUM('Key inputs_EB_OWN'!M$459:M$478)&gt;0,'Key inputs_EB_OWN'!M469/SUM('Key inputs_EB_OWN'!M$459:M$478)&lt;0.001),0.001,'Key inputs_EB_OWN'!M469/SUM('Key inputs_EB_OWN'!M$459:M$478)),"")</f>
        <v>0.43915845842595075</v>
      </c>
      <c r="T87" s="173">
        <f>IFERROR(IF(AND('Key inputs_EB_OWN'!N469/SUM('Key inputs_EB_OWN'!N$459:N$478)&gt;0,'Key inputs_EB_OWN'!N469/SUM('Key inputs_EB_OWN'!N$459:N$478)&lt;0.001),0.001,'Key inputs_EB_OWN'!N469/SUM('Key inputs_EB_OWN'!N$459:N$478)),"")</f>
        <v>0.69664284875189364</v>
      </c>
      <c r="U87" s="173">
        <f>IFERROR(IF(AND('Key inputs_EB_OWN'!O469/SUM('Key inputs_EB_OWN'!O$459:O$478)&gt;0,'Key inputs_EB_OWN'!O469/SUM('Key inputs_EB_OWN'!O$459:O$478)&lt;0.001),0.001,'Key inputs_EB_OWN'!O469/SUM('Key inputs_EB_OWN'!O$459:O$478)),"")</f>
        <v>0</v>
      </c>
      <c r="V87" s="173">
        <f>IFERROR(IF(AND('Key inputs_EB_OWN'!P469/SUM('Key inputs_EB_OWN'!P$459:P$478)&gt;0,'Key inputs_EB_OWN'!P469/SUM('Key inputs_EB_OWN'!P$459:P$478)&lt;0.001),0.001,'Key inputs_EB_OWN'!P469/SUM('Key inputs_EB_OWN'!P$459:P$478)),"")</f>
        <v>0.55235831312687456</v>
      </c>
      <c r="W87" s="173">
        <f>IFERROR(IF(AND('Key inputs_EB_OWN'!Q469/SUM('Key inputs_EB_OWN'!Q$459:Q$478)&gt;0,'Key inputs_EB_OWN'!Q469/SUM('Key inputs_EB_OWN'!Q$459:Q$478)&lt;0.001),0.001,'Key inputs_EB_OWN'!Q469/SUM('Key inputs_EB_OWN'!Q$459:Q$478)),"")</f>
        <v>0.75625404069645796</v>
      </c>
      <c r="X87" s="173">
        <f>IFERROR(IF(AND('Key inputs_EB_OWN'!R469/SUM('Key inputs_EB_OWN'!R$459:R$478)&gt;0,'Key inputs_EB_OWN'!R469/SUM('Key inputs_EB_OWN'!R$459:R$478)&lt;0.001),0.001,'Key inputs_EB_OWN'!R469/SUM('Key inputs_EB_OWN'!R$459:R$478)),"")</f>
        <v>0.69774607076899609</v>
      </c>
      <c r="Y87" s="173">
        <f>IFERROR(IF(AND('Key inputs_EB_OWN'!S469/SUM('Key inputs_EB_OWN'!S$459:S$478)&gt;0,'Key inputs_EB_OWN'!S469/SUM('Key inputs_EB_OWN'!S$459:S$478)&lt;0.001),0.001,'Key inputs_EB_OWN'!S469/SUM('Key inputs_EB_OWN'!S$459:S$478)),"")</f>
        <v>0.76561348081896052</v>
      </c>
      <c r="Z87" s="173">
        <f>IFERROR(IF(AND('Key inputs_EB_OWN'!T469/SUM('Key inputs_EB_OWN'!T$459:T$478)&gt;0,'Key inputs_EB_OWN'!T469/SUM('Key inputs_EB_OWN'!T$459:T$478)&lt;0.001),0.001,'Key inputs_EB_OWN'!T469/SUM('Key inputs_EB_OWN'!T$459:T$478)),"")</f>
        <v>0.7973429263909726</v>
      </c>
      <c r="AA87" s="173">
        <f>IFERROR(IF(AND('Key inputs_EB_OWN'!U469/SUM('Key inputs_EB_OWN'!U$459:U$478)&gt;0,'Key inputs_EB_OWN'!U469/SUM('Key inputs_EB_OWN'!U$459:U$478)&lt;0.001),0.001,'Key inputs_EB_OWN'!U469/SUM('Key inputs_EB_OWN'!U$459:U$478)),"")</f>
        <v>0.84177870418486589</v>
      </c>
      <c r="AB87" s="173">
        <f>IFERROR(IF(AND('Key inputs_EB_OWN'!V469/SUM('Key inputs_EB_OWN'!V$459:V$478)&gt;0,'Key inputs_EB_OWN'!V469/SUM('Key inputs_EB_OWN'!V$459:V$478)&lt;0.001),0.001,'Key inputs_EB_OWN'!V469/SUM('Key inputs_EB_OWN'!V$459:V$478)),"")</f>
        <v>0.95419379320352093</v>
      </c>
      <c r="AC87" s="173">
        <f>IFERROR(IF(AND('Key inputs_EB_OWN'!W469/SUM('Key inputs_EB_OWN'!W$459:W$478)&gt;0,'Key inputs_EB_OWN'!W469/SUM('Key inputs_EB_OWN'!W$459:W$478)&lt;0.001),0.001,'Key inputs_EB_OWN'!W469/SUM('Key inputs_EB_OWN'!W$459:W$478)),"")</f>
        <v>1</v>
      </c>
      <c r="AD87" s="173">
        <f>IFERROR(IF(AND('Key inputs_EB_OWN'!X469/SUM('Key inputs_EB_OWN'!X$459:X$478)&gt;0,'Key inputs_EB_OWN'!X469/SUM('Key inputs_EB_OWN'!X$459:X$478)&lt;0.001),0.001,'Key inputs_EB_OWN'!X469/SUM('Key inputs_EB_OWN'!X$459:X$478)),"")</f>
        <v>1</v>
      </c>
      <c r="AE87" s="173">
        <f>IFERROR(IF(AND('Key inputs_EB_OWN'!Y469/SUM('Key inputs_EB_OWN'!Y$459:Y$478)&gt;0,'Key inputs_EB_OWN'!Y469/SUM('Key inputs_EB_OWN'!Y$459:Y$478)&lt;0.001),0.001,'Key inputs_EB_OWN'!Y469/SUM('Key inputs_EB_OWN'!Y$459:Y$478)),"")</f>
        <v>0.8828108838407932</v>
      </c>
      <c r="AF87" s="173">
        <f>IFERROR(IF(AND('Key inputs_EB_OWN'!Z469/SUM('Key inputs_EB_OWN'!Z$459:Z$478)&gt;0,'Key inputs_EB_OWN'!Z469/SUM('Key inputs_EB_OWN'!Z$459:Z$478)&lt;0.001),0.001,'Key inputs_EB_OWN'!Z469/SUM('Key inputs_EB_OWN'!Z$459:Z$478)),"")</f>
        <v>0.37448756428725094</v>
      </c>
      <c r="AG87" s="173">
        <f>IFERROR(IF(AND('Key inputs_EB_OWN'!AA469/SUM('Key inputs_EB_OWN'!AA$459:AA$478)&gt;0,'Key inputs_EB_OWN'!AA469/SUM('Key inputs_EB_OWN'!AA$459:AA$478)&lt;0.001),0.001,'Key inputs_EB_OWN'!AA469/SUM('Key inputs_EB_OWN'!AA$459:AA$478)),"")</f>
        <v>0.81546822367255789</v>
      </c>
      <c r="AH87" s="173">
        <f>IFERROR(IF(AND('Key inputs_EB_OWN'!AB469/SUM('Key inputs_EB_OWN'!AB$459:AB$478)&gt;0,'Key inputs_EB_OWN'!AB469/SUM('Key inputs_EB_OWN'!AB$459:AB$478)&lt;0.001),0.001,'Key inputs_EB_OWN'!AB469/SUM('Key inputs_EB_OWN'!AB$459:AB$478)),"")</f>
        <v>0.98278312580015637</v>
      </c>
      <c r="AI87" s="173">
        <f>IFERROR(IF(AND('Key inputs_EB_OWN'!AC469/SUM('Key inputs_EB_OWN'!AC$459:AC$478)&gt;0,'Key inputs_EB_OWN'!AC469/SUM('Key inputs_EB_OWN'!AC$459:AC$478)&lt;0.001),0.001,'Key inputs_EB_OWN'!AC469/SUM('Key inputs_EB_OWN'!AC$459:AC$478)),"")</f>
        <v>1</v>
      </c>
      <c r="AJ87" s="173">
        <f>IFERROR(IF(AND('Key inputs_EB_OWN'!AD469/SUM('Key inputs_EB_OWN'!AD$459:AD$478)&gt;0,'Key inputs_EB_OWN'!AD469/SUM('Key inputs_EB_OWN'!AD$459:AD$478)&lt;0.001),0.001,'Key inputs_EB_OWN'!AD469/SUM('Key inputs_EB_OWN'!AD$459:AD$478)),"")</f>
        <v>0.42171192694543608</v>
      </c>
      <c r="AK87" s="173">
        <f>IFERROR(IF(AND('Key inputs_EB_OWN'!AE469/SUM('Key inputs_EB_OWN'!AE$459:AE$478)&gt;0,'Key inputs_EB_OWN'!AE469/SUM('Key inputs_EB_OWN'!AE$459:AE$478)&lt;0.001),0.001,'Key inputs_EB_OWN'!AE469/SUM('Key inputs_EB_OWN'!AE$459:AE$478)),"")</f>
        <v>0</v>
      </c>
      <c r="AL87" s="173">
        <f>IFERROR(IF(AND('Key inputs_EB_OWN'!AF469/SUM('Key inputs_EB_OWN'!AF$459:AF$478)&gt;0,'Key inputs_EB_OWN'!AF469/SUM('Key inputs_EB_OWN'!AF$459:AF$478)&lt;0.001),0.001,'Key inputs_EB_OWN'!AF469/SUM('Key inputs_EB_OWN'!AF$459:AF$478)),"")</f>
        <v>0.75593914302810583</v>
      </c>
    </row>
    <row r="88" spans="1:38">
      <c r="C88" s="4" t="str">
        <f>Commodities!$C$93</f>
        <v>UPSGSL</v>
      </c>
      <c r="E88" s="4" t="s">
        <v>359</v>
      </c>
      <c r="G88" t="s">
        <v>693</v>
      </c>
      <c r="H88" s="4" t="s">
        <v>661</v>
      </c>
      <c r="I88">
        <v>2019</v>
      </c>
      <c r="J88" t="s">
        <v>650</v>
      </c>
      <c r="K88" s="173">
        <f>IFERROR(IF(AND('Key inputs_EB_OWN'!E470/SUM('Key inputs_EB_OWN'!E$459:E$478)&gt;0,'Key inputs_EB_OWN'!E470/SUM('Key inputs_EB_OWN'!E$459:E$478)&lt;0.001),0.001,'Key inputs_EB_OWN'!E470/SUM('Key inputs_EB_OWN'!E$459:E$478)),"")</f>
        <v>0</v>
      </c>
      <c r="L88" s="173">
        <f>IFERROR(IF(AND('Key inputs_EB_OWN'!F470/SUM('Key inputs_EB_OWN'!F$459:F$478)&gt;0,'Key inputs_EB_OWN'!F470/SUM('Key inputs_EB_OWN'!F$459:F$478)&lt;0.001),0.001,'Key inputs_EB_OWN'!F470/SUM('Key inputs_EB_OWN'!F$459:F$478)),"")</f>
        <v>0</v>
      </c>
      <c r="M88" s="173">
        <f>IFERROR(IF(AND('Key inputs_EB_OWN'!G470/SUM('Key inputs_EB_OWN'!G$459:G$478)&gt;0,'Key inputs_EB_OWN'!G470/SUM('Key inputs_EB_OWN'!G$459:G$478)&lt;0.001),0.001,'Key inputs_EB_OWN'!G470/SUM('Key inputs_EB_OWN'!G$459:G$478)),"")</f>
        <v>0</v>
      </c>
      <c r="N88" s="173">
        <f>IFERROR(IF(AND('Key inputs_EB_OWN'!H470/SUM('Key inputs_EB_OWN'!H$459:H$478)&gt;0,'Key inputs_EB_OWN'!H470/SUM('Key inputs_EB_OWN'!H$459:H$478)&lt;0.001),0.001,'Key inputs_EB_OWN'!H470/SUM('Key inputs_EB_OWN'!H$459:H$478)),"")</f>
        <v>0</v>
      </c>
      <c r="O88" s="173">
        <f>IFERROR(IF(AND('Key inputs_EB_OWN'!I470/SUM('Key inputs_EB_OWN'!I$459:I$478)&gt;0,'Key inputs_EB_OWN'!I470/SUM('Key inputs_EB_OWN'!I$459:I$478)&lt;0.001),0.001,'Key inputs_EB_OWN'!I470/SUM('Key inputs_EB_OWN'!I$459:I$478)),"")</f>
        <v>1E-3</v>
      </c>
      <c r="P88" s="173">
        <f>IFERROR(IF(AND('Key inputs_EB_OWN'!J470/SUM('Key inputs_EB_OWN'!J$459:J$478)&gt;0,'Key inputs_EB_OWN'!J470/SUM('Key inputs_EB_OWN'!J$459:J$478)&lt;0.001),0.001,'Key inputs_EB_OWN'!J470/SUM('Key inputs_EB_OWN'!J$459:J$478)),"")</f>
        <v>0</v>
      </c>
      <c r="Q88" s="173">
        <f>IFERROR(IF(AND('Key inputs_EB_OWN'!K470/SUM('Key inputs_EB_OWN'!K$459:K$478)&gt;0,'Key inputs_EB_OWN'!K470/SUM('Key inputs_EB_OWN'!K$459:K$478)&lt;0.001),0.001,'Key inputs_EB_OWN'!K470/SUM('Key inputs_EB_OWN'!K$459:K$478)),"")</f>
        <v>0</v>
      </c>
      <c r="R88" s="173">
        <f>IFERROR(IF(AND('Key inputs_EB_OWN'!L470/SUM('Key inputs_EB_OWN'!L$459:L$478)&gt;0,'Key inputs_EB_OWN'!L470/SUM('Key inputs_EB_OWN'!L$459:L$478)&lt;0.001),0.001,'Key inputs_EB_OWN'!L470/SUM('Key inputs_EB_OWN'!L$459:L$478)),"")</f>
        <v>0</v>
      </c>
      <c r="S88" s="173">
        <f>IFERROR(IF(AND('Key inputs_EB_OWN'!M470/SUM('Key inputs_EB_OWN'!M$459:M$478)&gt;0,'Key inputs_EB_OWN'!M470/SUM('Key inputs_EB_OWN'!M$459:M$478)&lt;0.001),0.001,'Key inputs_EB_OWN'!M470/SUM('Key inputs_EB_OWN'!M$459:M$478)),"")</f>
        <v>0</v>
      </c>
      <c r="T88" s="173">
        <f>IFERROR(IF(AND('Key inputs_EB_OWN'!N470/SUM('Key inputs_EB_OWN'!N$459:N$478)&gt;0,'Key inputs_EB_OWN'!N470/SUM('Key inputs_EB_OWN'!N$459:N$478)&lt;0.001),0.001,'Key inputs_EB_OWN'!N470/SUM('Key inputs_EB_OWN'!N$459:N$478)),"")</f>
        <v>0</v>
      </c>
      <c r="U88" s="173">
        <f>IFERROR(IF(AND('Key inputs_EB_OWN'!O470/SUM('Key inputs_EB_OWN'!O$459:O$478)&gt;0,'Key inputs_EB_OWN'!O470/SUM('Key inputs_EB_OWN'!O$459:O$478)&lt;0.001),0.001,'Key inputs_EB_OWN'!O470/SUM('Key inputs_EB_OWN'!O$459:O$478)),"")</f>
        <v>0</v>
      </c>
      <c r="V88" s="173">
        <f>IFERROR(IF(AND('Key inputs_EB_OWN'!P470/SUM('Key inputs_EB_OWN'!P$459:P$478)&gt;0,'Key inputs_EB_OWN'!P470/SUM('Key inputs_EB_OWN'!P$459:P$478)&lt;0.001),0.001,'Key inputs_EB_OWN'!P470/SUM('Key inputs_EB_OWN'!P$459:P$478)),"")</f>
        <v>5.3209026731869148E-3</v>
      </c>
      <c r="W88" s="173">
        <f>IFERROR(IF(AND('Key inputs_EB_OWN'!Q470/SUM('Key inputs_EB_OWN'!Q$459:Q$478)&gt;0,'Key inputs_EB_OWN'!Q470/SUM('Key inputs_EB_OWN'!Q$459:Q$478)&lt;0.001),0.001,'Key inputs_EB_OWN'!Q470/SUM('Key inputs_EB_OWN'!Q$459:Q$478)),"")</f>
        <v>0</v>
      </c>
      <c r="X88" s="173">
        <f>IFERROR(IF(AND('Key inputs_EB_OWN'!R470/SUM('Key inputs_EB_OWN'!R$459:R$478)&gt;0,'Key inputs_EB_OWN'!R470/SUM('Key inputs_EB_OWN'!R$459:R$478)&lt;0.001),0.001,'Key inputs_EB_OWN'!R470/SUM('Key inputs_EB_OWN'!R$459:R$478)),"")</f>
        <v>0</v>
      </c>
      <c r="Y88" s="173">
        <f>IFERROR(IF(AND('Key inputs_EB_OWN'!S470/SUM('Key inputs_EB_OWN'!S$459:S$478)&gt;0,'Key inputs_EB_OWN'!S470/SUM('Key inputs_EB_OWN'!S$459:S$478)&lt;0.001),0.001,'Key inputs_EB_OWN'!S470/SUM('Key inputs_EB_OWN'!S$459:S$478)),"")</f>
        <v>1E-3</v>
      </c>
      <c r="Z88" s="173">
        <f>IFERROR(IF(AND('Key inputs_EB_OWN'!T470/SUM('Key inputs_EB_OWN'!T$459:T$478)&gt;0,'Key inputs_EB_OWN'!T470/SUM('Key inputs_EB_OWN'!T$459:T$478)&lt;0.001),0.001,'Key inputs_EB_OWN'!T470/SUM('Key inputs_EB_OWN'!T$459:T$478)),"")</f>
        <v>0</v>
      </c>
      <c r="AA88" s="173">
        <f>IFERROR(IF(AND('Key inputs_EB_OWN'!U470/SUM('Key inputs_EB_OWN'!U$459:U$478)&gt;0,'Key inputs_EB_OWN'!U470/SUM('Key inputs_EB_OWN'!U$459:U$478)&lt;0.001),0.001,'Key inputs_EB_OWN'!U470/SUM('Key inputs_EB_OWN'!U$459:U$478)),"")</f>
        <v>0</v>
      </c>
      <c r="AB88" s="173">
        <f>IFERROR(IF(AND('Key inputs_EB_OWN'!V470/SUM('Key inputs_EB_OWN'!V$459:V$478)&gt;0,'Key inputs_EB_OWN'!V470/SUM('Key inputs_EB_OWN'!V$459:V$478)&lt;0.001),0.001,'Key inputs_EB_OWN'!V470/SUM('Key inputs_EB_OWN'!V$459:V$478)),"")</f>
        <v>0</v>
      </c>
      <c r="AC88" s="173">
        <f>IFERROR(IF(AND('Key inputs_EB_OWN'!W470/SUM('Key inputs_EB_OWN'!W$459:W$478)&gt;0,'Key inputs_EB_OWN'!W470/SUM('Key inputs_EB_OWN'!W$459:W$478)&lt;0.001),0.001,'Key inputs_EB_OWN'!W470/SUM('Key inputs_EB_OWN'!W$459:W$478)),"")</f>
        <v>0</v>
      </c>
      <c r="AD88" s="173">
        <f>IFERROR(IF(AND('Key inputs_EB_OWN'!X470/SUM('Key inputs_EB_OWN'!X$459:X$478)&gt;0,'Key inputs_EB_OWN'!X470/SUM('Key inputs_EB_OWN'!X$459:X$478)&lt;0.001),0.001,'Key inputs_EB_OWN'!X470/SUM('Key inputs_EB_OWN'!X$459:X$478)),"")</f>
        <v>0</v>
      </c>
      <c r="AE88" s="173">
        <f>IFERROR(IF(AND('Key inputs_EB_OWN'!Y470/SUM('Key inputs_EB_OWN'!Y$459:Y$478)&gt;0,'Key inputs_EB_OWN'!Y470/SUM('Key inputs_EB_OWN'!Y$459:Y$478)&lt;0.001),0.001,'Key inputs_EB_OWN'!Y470/SUM('Key inputs_EB_OWN'!Y$459:Y$478)),"")</f>
        <v>0</v>
      </c>
      <c r="AF88" s="173">
        <f>IFERROR(IF(AND('Key inputs_EB_OWN'!Z470/SUM('Key inputs_EB_OWN'!Z$459:Z$478)&gt;0,'Key inputs_EB_OWN'!Z470/SUM('Key inputs_EB_OWN'!Z$459:Z$478)&lt;0.001),0.001,'Key inputs_EB_OWN'!Z470/SUM('Key inputs_EB_OWN'!Z$459:Z$478)),"")</f>
        <v>0</v>
      </c>
      <c r="AG88" s="173">
        <f>IFERROR(IF(AND('Key inputs_EB_OWN'!AA470/SUM('Key inputs_EB_OWN'!AA$459:AA$478)&gt;0,'Key inputs_EB_OWN'!AA470/SUM('Key inputs_EB_OWN'!AA$459:AA$478)&lt;0.001),0.001,'Key inputs_EB_OWN'!AA470/SUM('Key inputs_EB_OWN'!AA$459:AA$478)),"")</f>
        <v>0</v>
      </c>
      <c r="AH88" s="173">
        <f>IFERROR(IF(AND('Key inputs_EB_OWN'!AB470/SUM('Key inputs_EB_OWN'!AB$459:AB$478)&gt;0,'Key inputs_EB_OWN'!AB470/SUM('Key inputs_EB_OWN'!AB$459:AB$478)&lt;0.001),0.001,'Key inputs_EB_OWN'!AB470/SUM('Key inputs_EB_OWN'!AB$459:AB$478)),"")</f>
        <v>0</v>
      </c>
      <c r="AI88" s="173">
        <f>IFERROR(IF(AND('Key inputs_EB_OWN'!AC470/SUM('Key inputs_EB_OWN'!AC$459:AC$478)&gt;0,'Key inputs_EB_OWN'!AC470/SUM('Key inputs_EB_OWN'!AC$459:AC$478)&lt;0.001),0.001,'Key inputs_EB_OWN'!AC470/SUM('Key inputs_EB_OWN'!AC$459:AC$478)),"")</f>
        <v>0</v>
      </c>
      <c r="AJ88" s="173">
        <f>IFERROR(IF(AND('Key inputs_EB_OWN'!AD470/SUM('Key inputs_EB_OWN'!AD$459:AD$478)&gt;0,'Key inputs_EB_OWN'!AD470/SUM('Key inputs_EB_OWN'!AD$459:AD$478)&lt;0.001),0.001,'Key inputs_EB_OWN'!AD470/SUM('Key inputs_EB_OWN'!AD$459:AD$478)),"")</f>
        <v>0</v>
      </c>
      <c r="AK88" s="173">
        <f>IFERROR(IF(AND('Key inputs_EB_OWN'!AE470/SUM('Key inputs_EB_OWN'!AE$459:AE$478)&gt;0,'Key inputs_EB_OWN'!AE470/SUM('Key inputs_EB_OWN'!AE$459:AE$478)&lt;0.001),0.001,'Key inputs_EB_OWN'!AE470/SUM('Key inputs_EB_OWN'!AE$459:AE$478)),"")</f>
        <v>0</v>
      </c>
      <c r="AL88" s="173">
        <f>IFERROR(IF(AND('Key inputs_EB_OWN'!AF470/SUM('Key inputs_EB_OWN'!AF$459:AF$478)&gt;0,'Key inputs_EB_OWN'!AF470/SUM('Key inputs_EB_OWN'!AF$459:AF$478)&lt;0.001),0.001,'Key inputs_EB_OWN'!AF470/SUM('Key inputs_EB_OWN'!AF$459:AF$478)),"")</f>
        <v>4.1447655333784007E-2</v>
      </c>
    </row>
    <row r="89" spans="1:38">
      <c r="C89" s="4" t="str">
        <f>Commodities!$C$94</f>
        <v>UPSHET</v>
      </c>
      <c r="E89" s="4" t="s">
        <v>359</v>
      </c>
      <c r="G89" t="s">
        <v>693</v>
      </c>
      <c r="H89" s="4" t="s">
        <v>661</v>
      </c>
      <c r="I89">
        <v>2019</v>
      </c>
      <c r="J89" t="s">
        <v>650</v>
      </c>
      <c r="K89" s="173">
        <f>IFERROR(IF(AND('Key inputs_EB_OWN'!E471/SUM('Key inputs_EB_OWN'!E$459:E$478)&gt;0,'Key inputs_EB_OWN'!E471/SUM('Key inputs_EB_OWN'!E$459:E$478)&lt;0.001),0.001,'Key inputs_EB_OWN'!E471/SUM('Key inputs_EB_OWN'!E$459:E$478)),"")</f>
        <v>0</v>
      </c>
      <c r="L89" s="173">
        <f>IFERROR(IF(AND('Key inputs_EB_OWN'!F471/SUM('Key inputs_EB_OWN'!F$459:F$478)&gt;0,'Key inputs_EB_OWN'!F471/SUM('Key inputs_EB_OWN'!F$459:F$478)&lt;0.001),0.001,'Key inputs_EB_OWN'!F471/SUM('Key inputs_EB_OWN'!F$459:F$478)),"")</f>
        <v>0</v>
      </c>
      <c r="M89" s="173">
        <f>IFERROR(IF(AND('Key inputs_EB_OWN'!G471/SUM('Key inputs_EB_OWN'!G$459:G$478)&gt;0,'Key inputs_EB_OWN'!G471/SUM('Key inputs_EB_OWN'!G$459:G$478)&lt;0.001),0.001,'Key inputs_EB_OWN'!G471/SUM('Key inputs_EB_OWN'!G$459:G$478)),"")</f>
        <v>0</v>
      </c>
      <c r="N89" s="173">
        <f>IFERROR(IF(AND('Key inputs_EB_OWN'!H471/SUM('Key inputs_EB_OWN'!H$459:H$478)&gt;0,'Key inputs_EB_OWN'!H471/SUM('Key inputs_EB_OWN'!H$459:H$478)&lt;0.001),0.001,'Key inputs_EB_OWN'!H471/SUM('Key inputs_EB_OWN'!H$459:H$478)),"")</f>
        <v>0</v>
      </c>
      <c r="O89" s="173">
        <f>IFERROR(IF(AND('Key inputs_EB_OWN'!I471/SUM('Key inputs_EB_OWN'!I$459:I$478)&gt;0,'Key inputs_EB_OWN'!I471/SUM('Key inputs_EB_OWN'!I$459:I$478)&lt;0.001),0.001,'Key inputs_EB_OWN'!I471/SUM('Key inputs_EB_OWN'!I$459:I$478)),"")</f>
        <v>0</v>
      </c>
      <c r="P89" s="173">
        <f>IFERROR(IF(AND('Key inputs_EB_OWN'!J471/SUM('Key inputs_EB_OWN'!J$459:J$478)&gt;0,'Key inputs_EB_OWN'!J471/SUM('Key inputs_EB_OWN'!J$459:J$478)&lt;0.001),0.001,'Key inputs_EB_OWN'!J471/SUM('Key inputs_EB_OWN'!J$459:J$478)),"")</f>
        <v>9.6378878639587925E-2</v>
      </c>
      <c r="Q89" s="173">
        <f>IFERROR(IF(AND('Key inputs_EB_OWN'!K471/SUM('Key inputs_EB_OWN'!K$459:K$478)&gt;0,'Key inputs_EB_OWN'!K471/SUM('Key inputs_EB_OWN'!K$459:K$478)&lt;0.001),0.001,'Key inputs_EB_OWN'!K471/SUM('Key inputs_EB_OWN'!K$459:K$478)),"")</f>
        <v>0</v>
      </c>
      <c r="R89" s="173">
        <f>IFERROR(IF(AND('Key inputs_EB_OWN'!L471/SUM('Key inputs_EB_OWN'!L$459:L$478)&gt;0,'Key inputs_EB_OWN'!L471/SUM('Key inputs_EB_OWN'!L$459:L$478)&lt;0.001),0.001,'Key inputs_EB_OWN'!L471/SUM('Key inputs_EB_OWN'!L$459:L$478)),"")</f>
        <v>0</v>
      </c>
      <c r="S89" s="173">
        <f>IFERROR(IF(AND('Key inputs_EB_OWN'!M471/SUM('Key inputs_EB_OWN'!M$459:M$478)&gt;0,'Key inputs_EB_OWN'!M471/SUM('Key inputs_EB_OWN'!M$459:M$478)&lt;0.001),0.001,'Key inputs_EB_OWN'!M471/SUM('Key inputs_EB_OWN'!M$459:M$478)),"")</f>
        <v>0</v>
      </c>
      <c r="T89" s="173">
        <f>IFERROR(IF(AND('Key inputs_EB_OWN'!N471/SUM('Key inputs_EB_OWN'!N$459:N$478)&gt;0,'Key inputs_EB_OWN'!N471/SUM('Key inputs_EB_OWN'!N$459:N$478)&lt;0.001),0.001,'Key inputs_EB_OWN'!N471/SUM('Key inputs_EB_OWN'!N$459:N$478)),"")</f>
        <v>0</v>
      </c>
      <c r="U89" s="173">
        <f>IFERROR(IF(AND('Key inputs_EB_OWN'!O471/SUM('Key inputs_EB_OWN'!O$459:O$478)&gt;0,'Key inputs_EB_OWN'!O471/SUM('Key inputs_EB_OWN'!O$459:O$478)&lt;0.001),0.001,'Key inputs_EB_OWN'!O471/SUM('Key inputs_EB_OWN'!O$459:O$478)),"")</f>
        <v>0</v>
      </c>
      <c r="V89" s="173">
        <f>IFERROR(IF(AND('Key inputs_EB_OWN'!P471/SUM('Key inputs_EB_OWN'!P$459:P$478)&gt;0,'Key inputs_EB_OWN'!P471/SUM('Key inputs_EB_OWN'!P$459:P$478)&lt;0.001),0.001,'Key inputs_EB_OWN'!P471/SUM('Key inputs_EB_OWN'!P$459:P$478)),"")</f>
        <v>3.2855002892779907E-2</v>
      </c>
      <c r="W89" s="173">
        <f>IFERROR(IF(AND('Key inputs_EB_OWN'!Q471/SUM('Key inputs_EB_OWN'!Q$459:Q$478)&gt;0,'Key inputs_EB_OWN'!Q471/SUM('Key inputs_EB_OWN'!Q$459:Q$478)&lt;0.001),0.001,'Key inputs_EB_OWN'!Q471/SUM('Key inputs_EB_OWN'!Q$459:Q$478)),"")</f>
        <v>8.6645374245073292E-2</v>
      </c>
      <c r="X89" s="173">
        <f>IFERROR(IF(AND('Key inputs_EB_OWN'!R471/SUM('Key inputs_EB_OWN'!R$459:R$478)&gt;0,'Key inputs_EB_OWN'!R471/SUM('Key inputs_EB_OWN'!R$459:R$478)&lt;0.001),0.001,'Key inputs_EB_OWN'!R471/SUM('Key inputs_EB_OWN'!R$459:R$478)),"")</f>
        <v>0</v>
      </c>
      <c r="Y89" s="173">
        <f>IFERROR(IF(AND('Key inputs_EB_OWN'!S471/SUM('Key inputs_EB_OWN'!S$459:S$478)&gt;0,'Key inputs_EB_OWN'!S471/SUM('Key inputs_EB_OWN'!S$459:S$478)&lt;0.001),0.001,'Key inputs_EB_OWN'!S471/SUM('Key inputs_EB_OWN'!S$459:S$478)),"")</f>
        <v>1E-3</v>
      </c>
      <c r="Z89" s="173">
        <f>IFERROR(IF(AND('Key inputs_EB_OWN'!T471/SUM('Key inputs_EB_OWN'!T$459:T$478)&gt;0,'Key inputs_EB_OWN'!T471/SUM('Key inputs_EB_OWN'!T$459:T$478)&lt;0.001),0.001,'Key inputs_EB_OWN'!T471/SUM('Key inputs_EB_OWN'!T$459:T$478)),"")</f>
        <v>2.4147498955045957E-3</v>
      </c>
      <c r="AA89" s="173">
        <f>IFERROR(IF(AND('Key inputs_EB_OWN'!U471/SUM('Key inputs_EB_OWN'!U$459:U$478)&gt;0,'Key inputs_EB_OWN'!U471/SUM('Key inputs_EB_OWN'!U$459:U$478)&lt;0.001),0.001,'Key inputs_EB_OWN'!U471/SUM('Key inputs_EB_OWN'!U$459:U$478)),"")</f>
        <v>1E-3</v>
      </c>
      <c r="AB89" s="173">
        <f>IFERROR(IF(AND('Key inputs_EB_OWN'!V471/SUM('Key inputs_EB_OWN'!V$459:V$478)&gt;0,'Key inputs_EB_OWN'!V471/SUM('Key inputs_EB_OWN'!V$459:V$478)&lt;0.001),0.001,'Key inputs_EB_OWN'!V471/SUM('Key inputs_EB_OWN'!V$459:V$478)),"")</f>
        <v>0</v>
      </c>
      <c r="AC89" s="173">
        <f>IFERROR(IF(AND('Key inputs_EB_OWN'!W471/SUM('Key inputs_EB_OWN'!W$459:W$478)&gt;0,'Key inputs_EB_OWN'!W471/SUM('Key inputs_EB_OWN'!W$459:W$478)&lt;0.001),0.001,'Key inputs_EB_OWN'!W471/SUM('Key inputs_EB_OWN'!W$459:W$478)),"")</f>
        <v>0</v>
      </c>
      <c r="AD89" s="173">
        <f>IFERROR(IF(AND('Key inputs_EB_OWN'!X471/SUM('Key inputs_EB_OWN'!X$459:X$478)&gt;0,'Key inputs_EB_OWN'!X471/SUM('Key inputs_EB_OWN'!X$459:X$478)&lt;0.001),0.001,'Key inputs_EB_OWN'!X471/SUM('Key inputs_EB_OWN'!X$459:X$478)),"")</f>
        <v>0</v>
      </c>
      <c r="AE89" s="173">
        <f>IFERROR(IF(AND('Key inputs_EB_OWN'!Y471/SUM('Key inputs_EB_OWN'!Y$459:Y$478)&gt;0,'Key inputs_EB_OWN'!Y471/SUM('Key inputs_EB_OWN'!Y$459:Y$478)&lt;0.001),0.001,'Key inputs_EB_OWN'!Y471/SUM('Key inputs_EB_OWN'!Y$459:Y$478)),"")</f>
        <v>0</v>
      </c>
      <c r="AF89" s="173">
        <f>IFERROR(IF(AND('Key inputs_EB_OWN'!Z471/SUM('Key inputs_EB_OWN'!Z$459:Z$478)&gt;0,'Key inputs_EB_OWN'!Z471/SUM('Key inputs_EB_OWN'!Z$459:Z$478)&lt;0.001),0.001,'Key inputs_EB_OWN'!Z471/SUM('Key inputs_EB_OWN'!Z$459:Z$478)),"")</f>
        <v>0</v>
      </c>
      <c r="AG89" s="173">
        <f>IFERROR(IF(AND('Key inputs_EB_OWN'!AA471/SUM('Key inputs_EB_OWN'!AA$459:AA$478)&gt;0,'Key inputs_EB_OWN'!AA471/SUM('Key inputs_EB_OWN'!AA$459:AA$478)&lt;0.001),0.001,'Key inputs_EB_OWN'!AA471/SUM('Key inputs_EB_OWN'!AA$459:AA$478)),"")</f>
        <v>0</v>
      </c>
      <c r="AH89" s="173">
        <f>IFERROR(IF(AND('Key inputs_EB_OWN'!AB471/SUM('Key inputs_EB_OWN'!AB$459:AB$478)&gt;0,'Key inputs_EB_OWN'!AB471/SUM('Key inputs_EB_OWN'!AB$459:AB$478)&lt;0.001),0.001,'Key inputs_EB_OWN'!AB471/SUM('Key inputs_EB_OWN'!AB$459:AB$478)),"")</f>
        <v>0</v>
      </c>
      <c r="AI89" s="173">
        <f>IFERROR(IF(AND('Key inputs_EB_OWN'!AC471/SUM('Key inputs_EB_OWN'!AC$459:AC$478)&gt;0,'Key inputs_EB_OWN'!AC471/SUM('Key inputs_EB_OWN'!AC$459:AC$478)&lt;0.001),0.001,'Key inputs_EB_OWN'!AC471/SUM('Key inputs_EB_OWN'!AC$459:AC$478)),"")</f>
        <v>0</v>
      </c>
      <c r="AJ89" s="173">
        <f>IFERROR(IF(AND('Key inputs_EB_OWN'!AD471/SUM('Key inputs_EB_OWN'!AD$459:AD$478)&gt;0,'Key inputs_EB_OWN'!AD471/SUM('Key inputs_EB_OWN'!AD$459:AD$478)&lt;0.001),0.001,'Key inputs_EB_OWN'!AD471/SUM('Key inputs_EB_OWN'!AD$459:AD$478)),"")</f>
        <v>9.891488452310522E-2</v>
      </c>
      <c r="AK89" s="173">
        <f>IFERROR(IF(AND('Key inputs_EB_OWN'!AE471/SUM('Key inputs_EB_OWN'!AE$459:AE$478)&gt;0,'Key inputs_EB_OWN'!AE471/SUM('Key inputs_EB_OWN'!AE$459:AE$478)&lt;0.001),0.001,'Key inputs_EB_OWN'!AE471/SUM('Key inputs_EB_OWN'!AE$459:AE$478)),"")</f>
        <v>0</v>
      </c>
      <c r="AL89" s="173">
        <f>IFERROR(IF(AND('Key inputs_EB_OWN'!AF471/SUM('Key inputs_EB_OWN'!AF$459:AF$478)&gt;0,'Key inputs_EB_OWN'!AF471/SUM('Key inputs_EB_OWN'!AF$459:AF$478)&lt;0.001),0.001,'Key inputs_EB_OWN'!AF471/SUM('Key inputs_EB_OWN'!AF$459:AF$478)),"")</f>
        <v>0</v>
      </c>
    </row>
    <row r="90" spans="1:38">
      <c r="C90" s="4" t="str">
        <f>Commodities!$C$95</f>
        <v>UPSHFO</v>
      </c>
      <c r="E90" s="4" t="s">
        <v>359</v>
      </c>
      <c r="G90" t="s">
        <v>693</v>
      </c>
      <c r="H90" s="4" t="s">
        <v>661</v>
      </c>
      <c r="I90">
        <v>2019</v>
      </c>
      <c r="J90" t="s">
        <v>650</v>
      </c>
      <c r="K90" s="173">
        <f>IFERROR(IF(AND('Key inputs_EB_OWN'!E472/SUM('Key inputs_EB_OWN'!E$459:E$478)&gt;0,'Key inputs_EB_OWN'!E472/SUM('Key inputs_EB_OWN'!E$459:E$478)&lt;0.001),0.001,'Key inputs_EB_OWN'!E472/SUM('Key inputs_EB_OWN'!E$459:E$478)),"")</f>
        <v>0</v>
      </c>
      <c r="L90" s="173">
        <f>IFERROR(IF(AND('Key inputs_EB_OWN'!F472/SUM('Key inputs_EB_OWN'!F$459:F$478)&gt;0,'Key inputs_EB_OWN'!F472/SUM('Key inputs_EB_OWN'!F$459:F$478)&lt;0.001),0.001,'Key inputs_EB_OWN'!F472/SUM('Key inputs_EB_OWN'!F$459:F$478)),"")</f>
        <v>0</v>
      </c>
      <c r="M90" s="173">
        <f>IFERROR(IF(AND('Key inputs_EB_OWN'!G472/SUM('Key inputs_EB_OWN'!G$459:G$478)&gt;0,'Key inputs_EB_OWN'!G472/SUM('Key inputs_EB_OWN'!G$459:G$478)&lt;0.001),0.001,'Key inputs_EB_OWN'!G472/SUM('Key inputs_EB_OWN'!G$459:G$478)),"")</f>
        <v>0</v>
      </c>
      <c r="N90" s="173">
        <f>IFERROR(IF(AND('Key inputs_EB_OWN'!H472/SUM('Key inputs_EB_OWN'!H$459:H$478)&gt;0,'Key inputs_EB_OWN'!H472/SUM('Key inputs_EB_OWN'!H$459:H$478)&lt;0.001),0.001,'Key inputs_EB_OWN'!H472/SUM('Key inputs_EB_OWN'!H$459:H$478)),"")</f>
        <v>0</v>
      </c>
      <c r="O90" s="173">
        <f>IFERROR(IF(AND('Key inputs_EB_OWN'!I472/SUM('Key inputs_EB_OWN'!I$459:I$478)&gt;0,'Key inputs_EB_OWN'!I472/SUM('Key inputs_EB_OWN'!I$459:I$478)&lt;0.001),0.001,'Key inputs_EB_OWN'!I472/SUM('Key inputs_EB_OWN'!I$459:I$478)),"")</f>
        <v>0</v>
      </c>
      <c r="P90" s="173">
        <f>IFERROR(IF(AND('Key inputs_EB_OWN'!J472/SUM('Key inputs_EB_OWN'!J$459:J$478)&gt;0,'Key inputs_EB_OWN'!J472/SUM('Key inputs_EB_OWN'!J$459:J$478)&lt;0.001),0.001,'Key inputs_EB_OWN'!J472/SUM('Key inputs_EB_OWN'!J$459:J$478)),"")</f>
        <v>0</v>
      </c>
      <c r="Q90" s="173">
        <f>IFERROR(IF(AND('Key inputs_EB_OWN'!K472/SUM('Key inputs_EB_OWN'!K$459:K$478)&gt;0,'Key inputs_EB_OWN'!K472/SUM('Key inputs_EB_OWN'!K$459:K$478)&lt;0.001),0.001,'Key inputs_EB_OWN'!K472/SUM('Key inputs_EB_OWN'!K$459:K$478)),"")</f>
        <v>0</v>
      </c>
      <c r="R90" s="173">
        <f>IFERROR(IF(AND('Key inputs_EB_OWN'!L472/SUM('Key inputs_EB_OWN'!L$459:L$478)&gt;0,'Key inputs_EB_OWN'!L472/SUM('Key inputs_EB_OWN'!L$459:L$478)&lt;0.001),0.001,'Key inputs_EB_OWN'!L472/SUM('Key inputs_EB_OWN'!L$459:L$478)),"")</f>
        <v>0</v>
      </c>
      <c r="S90" s="173">
        <f>IFERROR(IF(AND('Key inputs_EB_OWN'!M472/SUM('Key inputs_EB_OWN'!M$459:M$478)&gt;0,'Key inputs_EB_OWN'!M472/SUM('Key inputs_EB_OWN'!M$459:M$478)&lt;0.001),0.001,'Key inputs_EB_OWN'!M472/SUM('Key inputs_EB_OWN'!M$459:M$478)),"")</f>
        <v>0</v>
      </c>
      <c r="T90" s="173">
        <f>IFERROR(IF(AND('Key inputs_EB_OWN'!N472/SUM('Key inputs_EB_OWN'!N$459:N$478)&gt;0,'Key inputs_EB_OWN'!N472/SUM('Key inputs_EB_OWN'!N$459:N$478)&lt;0.001),0.001,'Key inputs_EB_OWN'!N472/SUM('Key inputs_EB_OWN'!N$459:N$478)),"")</f>
        <v>0</v>
      </c>
      <c r="U90" s="173">
        <f>IFERROR(IF(AND('Key inputs_EB_OWN'!O472/SUM('Key inputs_EB_OWN'!O$459:O$478)&gt;0,'Key inputs_EB_OWN'!O472/SUM('Key inputs_EB_OWN'!O$459:O$478)&lt;0.001),0.001,'Key inputs_EB_OWN'!O472/SUM('Key inputs_EB_OWN'!O$459:O$478)),"")</f>
        <v>0</v>
      </c>
      <c r="V90" s="173">
        <f>IFERROR(IF(AND('Key inputs_EB_OWN'!P472/SUM('Key inputs_EB_OWN'!P$459:P$478)&gt;0,'Key inputs_EB_OWN'!P472/SUM('Key inputs_EB_OWN'!P$459:P$478)&lt;0.001),0.001,'Key inputs_EB_OWN'!P472/SUM('Key inputs_EB_OWN'!P$459:P$478)),"")</f>
        <v>1E-3</v>
      </c>
      <c r="W90" s="173">
        <f>IFERROR(IF(AND('Key inputs_EB_OWN'!Q472/SUM('Key inputs_EB_OWN'!Q$459:Q$478)&gt;0,'Key inputs_EB_OWN'!Q472/SUM('Key inputs_EB_OWN'!Q$459:Q$478)&lt;0.001),0.001,'Key inputs_EB_OWN'!Q472/SUM('Key inputs_EB_OWN'!Q$459:Q$478)),"")</f>
        <v>0</v>
      </c>
      <c r="X90" s="173">
        <f>IFERROR(IF(AND('Key inputs_EB_OWN'!R472/SUM('Key inputs_EB_OWN'!R$459:R$478)&gt;0,'Key inputs_EB_OWN'!R472/SUM('Key inputs_EB_OWN'!R$459:R$478)&lt;0.001),0.001,'Key inputs_EB_OWN'!R472/SUM('Key inputs_EB_OWN'!R$459:R$478)),"")</f>
        <v>1.7706125547832874E-3</v>
      </c>
      <c r="Y90" s="173">
        <f>IFERROR(IF(AND('Key inputs_EB_OWN'!S472/SUM('Key inputs_EB_OWN'!S$459:S$478)&gt;0,'Key inputs_EB_OWN'!S472/SUM('Key inputs_EB_OWN'!S$459:S$478)&lt;0.001),0.001,'Key inputs_EB_OWN'!S472/SUM('Key inputs_EB_OWN'!S$459:S$478)),"")</f>
        <v>0</v>
      </c>
      <c r="Z90" s="173">
        <f>IFERROR(IF(AND('Key inputs_EB_OWN'!T472/SUM('Key inputs_EB_OWN'!T$459:T$478)&gt;0,'Key inputs_EB_OWN'!T472/SUM('Key inputs_EB_OWN'!T$459:T$478)&lt;0.001),0.001,'Key inputs_EB_OWN'!T472/SUM('Key inputs_EB_OWN'!T$459:T$478)),"")</f>
        <v>0</v>
      </c>
      <c r="AA90" s="173">
        <f>IFERROR(IF(AND('Key inputs_EB_OWN'!U472/SUM('Key inputs_EB_OWN'!U$459:U$478)&gt;0,'Key inputs_EB_OWN'!U472/SUM('Key inputs_EB_OWN'!U$459:U$478)&lt;0.001),0.001,'Key inputs_EB_OWN'!U472/SUM('Key inputs_EB_OWN'!U$459:U$478)),"")</f>
        <v>0</v>
      </c>
      <c r="AB90" s="173">
        <f>IFERROR(IF(AND('Key inputs_EB_OWN'!V472/SUM('Key inputs_EB_OWN'!V$459:V$478)&gt;0,'Key inputs_EB_OWN'!V472/SUM('Key inputs_EB_OWN'!V$459:V$478)&lt;0.001),0.001,'Key inputs_EB_OWN'!V472/SUM('Key inputs_EB_OWN'!V$459:V$478)),"")</f>
        <v>0</v>
      </c>
      <c r="AC90" s="173">
        <f>IFERROR(IF(AND('Key inputs_EB_OWN'!W472/SUM('Key inputs_EB_OWN'!W$459:W$478)&gt;0,'Key inputs_EB_OWN'!W472/SUM('Key inputs_EB_OWN'!W$459:W$478)&lt;0.001),0.001,'Key inputs_EB_OWN'!W472/SUM('Key inputs_EB_OWN'!W$459:W$478)),"")</f>
        <v>0</v>
      </c>
      <c r="AD90" s="173">
        <f>IFERROR(IF(AND('Key inputs_EB_OWN'!X472/SUM('Key inputs_EB_OWN'!X$459:X$478)&gt;0,'Key inputs_EB_OWN'!X472/SUM('Key inputs_EB_OWN'!X$459:X$478)&lt;0.001),0.001,'Key inputs_EB_OWN'!X472/SUM('Key inputs_EB_OWN'!X$459:X$478)),"")</f>
        <v>0</v>
      </c>
      <c r="AE90" s="173">
        <f>IFERROR(IF(AND('Key inputs_EB_OWN'!Y472/SUM('Key inputs_EB_OWN'!Y$459:Y$478)&gt;0,'Key inputs_EB_OWN'!Y472/SUM('Key inputs_EB_OWN'!Y$459:Y$478)&lt;0.001),0.001,'Key inputs_EB_OWN'!Y472/SUM('Key inputs_EB_OWN'!Y$459:Y$478)),"")</f>
        <v>8.3219630884414798E-3</v>
      </c>
      <c r="AF90" s="173">
        <f>IFERROR(IF(AND('Key inputs_EB_OWN'!Z472/SUM('Key inputs_EB_OWN'!Z$459:Z$478)&gt;0,'Key inputs_EB_OWN'!Z472/SUM('Key inputs_EB_OWN'!Z$459:Z$478)&lt;0.001),0.001,'Key inputs_EB_OWN'!Z472/SUM('Key inputs_EB_OWN'!Z$459:Z$478)),"")</f>
        <v>0</v>
      </c>
      <c r="AG90" s="173">
        <f>IFERROR(IF(AND('Key inputs_EB_OWN'!AA472/SUM('Key inputs_EB_OWN'!AA$459:AA$478)&gt;0,'Key inputs_EB_OWN'!AA472/SUM('Key inputs_EB_OWN'!AA$459:AA$478)&lt;0.001),0.001,'Key inputs_EB_OWN'!AA472/SUM('Key inputs_EB_OWN'!AA$459:AA$478)),"")</f>
        <v>0</v>
      </c>
      <c r="AH90" s="173">
        <f>IFERROR(IF(AND('Key inputs_EB_OWN'!AB472/SUM('Key inputs_EB_OWN'!AB$459:AB$478)&gt;0,'Key inputs_EB_OWN'!AB472/SUM('Key inputs_EB_OWN'!AB$459:AB$478)&lt;0.001),0.001,'Key inputs_EB_OWN'!AB472/SUM('Key inputs_EB_OWN'!AB$459:AB$478)),"")</f>
        <v>0</v>
      </c>
      <c r="AI90" s="173">
        <f>IFERROR(IF(AND('Key inputs_EB_OWN'!AC472/SUM('Key inputs_EB_OWN'!AC$459:AC$478)&gt;0,'Key inputs_EB_OWN'!AC472/SUM('Key inputs_EB_OWN'!AC$459:AC$478)&lt;0.001),0.001,'Key inputs_EB_OWN'!AC472/SUM('Key inputs_EB_OWN'!AC$459:AC$478)),"")</f>
        <v>0</v>
      </c>
      <c r="AJ90" s="173">
        <f>IFERROR(IF(AND('Key inputs_EB_OWN'!AD472/SUM('Key inputs_EB_OWN'!AD$459:AD$478)&gt;0,'Key inputs_EB_OWN'!AD472/SUM('Key inputs_EB_OWN'!AD$459:AD$478)&lt;0.001),0.001,'Key inputs_EB_OWN'!AD472/SUM('Key inputs_EB_OWN'!AD$459:AD$478)),"")</f>
        <v>0</v>
      </c>
      <c r="AK90" s="173">
        <f>IFERROR(IF(AND('Key inputs_EB_OWN'!AE472/SUM('Key inputs_EB_OWN'!AE$459:AE$478)&gt;0,'Key inputs_EB_OWN'!AE472/SUM('Key inputs_EB_OWN'!AE$459:AE$478)&lt;0.001),0.001,'Key inputs_EB_OWN'!AE472/SUM('Key inputs_EB_OWN'!AE$459:AE$478)),"")</f>
        <v>0.10182428446001623</v>
      </c>
      <c r="AL90" s="173">
        <f>IFERROR(IF(AND('Key inputs_EB_OWN'!AF472/SUM('Key inputs_EB_OWN'!AF$459:AF$478)&gt;0,'Key inputs_EB_OWN'!AF472/SUM('Key inputs_EB_OWN'!AF$459:AF$478)&lt;0.001),0.001,'Key inputs_EB_OWN'!AF472/SUM('Key inputs_EB_OWN'!AF$459:AF$478)),"")</f>
        <v>2.4361260990022511E-3</v>
      </c>
    </row>
    <row r="91" spans="1:38">
      <c r="C91" s="4" t="str">
        <f>Commodities!$C$96</f>
        <v>UPSKER</v>
      </c>
      <c r="E91" s="4" t="s">
        <v>359</v>
      </c>
      <c r="G91" t="s">
        <v>693</v>
      </c>
      <c r="H91" s="4" t="s">
        <v>661</v>
      </c>
      <c r="I91">
        <v>2019</v>
      </c>
      <c r="J91" t="s">
        <v>650</v>
      </c>
      <c r="K91" s="173">
        <f>IFERROR(IF(AND('Key inputs_EB_OWN'!E473/SUM('Key inputs_EB_OWN'!E$459:E$478)&gt;0,'Key inputs_EB_OWN'!E473/SUM('Key inputs_EB_OWN'!E$459:E$478)&lt;0.001),0.001,'Key inputs_EB_OWN'!E473/SUM('Key inputs_EB_OWN'!E$459:E$478)),"")</f>
        <v>0</v>
      </c>
      <c r="L91" s="173">
        <f>IFERROR(IF(AND('Key inputs_EB_OWN'!F473/SUM('Key inputs_EB_OWN'!F$459:F$478)&gt;0,'Key inputs_EB_OWN'!F473/SUM('Key inputs_EB_OWN'!F$459:F$478)&lt;0.001),0.001,'Key inputs_EB_OWN'!F473/SUM('Key inputs_EB_OWN'!F$459:F$478)),"")</f>
        <v>0</v>
      </c>
      <c r="M91" s="173">
        <f>IFERROR(IF(AND('Key inputs_EB_OWN'!G473/SUM('Key inputs_EB_OWN'!G$459:G$478)&gt;0,'Key inputs_EB_OWN'!G473/SUM('Key inputs_EB_OWN'!G$459:G$478)&lt;0.001),0.001,'Key inputs_EB_OWN'!G473/SUM('Key inputs_EB_OWN'!G$459:G$478)),"")</f>
        <v>0</v>
      </c>
      <c r="N91" s="173">
        <f>IFERROR(IF(AND('Key inputs_EB_OWN'!H473/SUM('Key inputs_EB_OWN'!H$459:H$478)&gt;0,'Key inputs_EB_OWN'!H473/SUM('Key inputs_EB_OWN'!H$459:H$478)&lt;0.001),0.001,'Key inputs_EB_OWN'!H473/SUM('Key inputs_EB_OWN'!H$459:H$478)),"")</f>
        <v>0</v>
      </c>
      <c r="O91" s="173">
        <f>IFERROR(IF(AND('Key inputs_EB_OWN'!I473/SUM('Key inputs_EB_OWN'!I$459:I$478)&gt;0,'Key inputs_EB_OWN'!I473/SUM('Key inputs_EB_OWN'!I$459:I$478)&lt;0.001),0.001,'Key inputs_EB_OWN'!I473/SUM('Key inputs_EB_OWN'!I$459:I$478)),"")</f>
        <v>0</v>
      </c>
      <c r="P91" s="173">
        <f>IFERROR(IF(AND('Key inputs_EB_OWN'!J473/SUM('Key inputs_EB_OWN'!J$459:J$478)&gt;0,'Key inputs_EB_OWN'!J473/SUM('Key inputs_EB_OWN'!J$459:J$478)&lt;0.001),0.001,'Key inputs_EB_OWN'!J473/SUM('Key inputs_EB_OWN'!J$459:J$478)),"")</f>
        <v>0</v>
      </c>
      <c r="Q91" s="173">
        <f>IFERROR(IF(AND('Key inputs_EB_OWN'!K473/SUM('Key inputs_EB_OWN'!K$459:K$478)&gt;0,'Key inputs_EB_OWN'!K473/SUM('Key inputs_EB_OWN'!K$459:K$478)&lt;0.001),0.001,'Key inputs_EB_OWN'!K473/SUM('Key inputs_EB_OWN'!K$459:K$478)),"")</f>
        <v>0</v>
      </c>
      <c r="R91" s="173">
        <f>IFERROR(IF(AND('Key inputs_EB_OWN'!L473/SUM('Key inputs_EB_OWN'!L$459:L$478)&gt;0,'Key inputs_EB_OWN'!L473/SUM('Key inputs_EB_OWN'!L$459:L$478)&lt;0.001),0.001,'Key inputs_EB_OWN'!L473/SUM('Key inputs_EB_OWN'!L$459:L$478)),"")</f>
        <v>0</v>
      </c>
      <c r="S91" s="173">
        <f>IFERROR(IF(AND('Key inputs_EB_OWN'!M473/SUM('Key inputs_EB_OWN'!M$459:M$478)&gt;0,'Key inputs_EB_OWN'!M473/SUM('Key inputs_EB_OWN'!M$459:M$478)&lt;0.001),0.001,'Key inputs_EB_OWN'!M473/SUM('Key inputs_EB_OWN'!M$459:M$478)),"")</f>
        <v>0</v>
      </c>
      <c r="T91" s="173">
        <f>IFERROR(IF(AND('Key inputs_EB_OWN'!N473/SUM('Key inputs_EB_OWN'!N$459:N$478)&gt;0,'Key inputs_EB_OWN'!N473/SUM('Key inputs_EB_OWN'!N$459:N$478)&lt;0.001),0.001,'Key inputs_EB_OWN'!N473/SUM('Key inputs_EB_OWN'!N$459:N$478)),"")</f>
        <v>1E-3</v>
      </c>
      <c r="U91" s="173">
        <f>IFERROR(IF(AND('Key inputs_EB_OWN'!O473/SUM('Key inputs_EB_OWN'!O$459:O$478)&gt;0,'Key inputs_EB_OWN'!O473/SUM('Key inputs_EB_OWN'!O$459:O$478)&lt;0.001),0.001,'Key inputs_EB_OWN'!O473/SUM('Key inputs_EB_OWN'!O$459:O$478)),"")</f>
        <v>0</v>
      </c>
      <c r="V91" s="173">
        <f>IFERROR(IF(AND('Key inputs_EB_OWN'!P473/SUM('Key inputs_EB_OWN'!P$459:P$478)&gt;0,'Key inputs_EB_OWN'!P473/SUM('Key inputs_EB_OWN'!P$459:P$478)&lt;0.001),0.001,'Key inputs_EB_OWN'!P473/SUM('Key inputs_EB_OWN'!P$459:P$478)),"")</f>
        <v>0</v>
      </c>
      <c r="W91" s="173">
        <f>IFERROR(IF(AND('Key inputs_EB_OWN'!Q473/SUM('Key inputs_EB_OWN'!Q$459:Q$478)&gt;0,'Key inputs_EB_OWN'!Q473/SUM('Key inputs_EB_OWN'!Q$459:Q$478)&lt;0.001),0.001,'Key inputs_EB_OWN'!Q473/SUM('Key inputs_EB_OWN'!Q$459:Q$478)),"")</f>
        <v>0</v>
      </c>
      <c r="X91" s="173">
        <f>IFERROR(IF(AND('Key inputs_EB_OWN'!R473/SUM('Key inputs_EB_OWN'!R$459:R$478)&gt;0,'Key inputs_EB_OWN'!R473/SUM('Key inputs_EB_OWN'!R$459:R$478)&lt;0.001),0.001,'Key inputs_EB_OWN'!R473/SUM('Key inputs_EB_OWN'!R$459:R$478)),"")</f>
        <v>0</v>
      </c>
      <c r="Y91" s="173">
        <f>IFERROR(IF(AND('Key inputs_EB_OWN'!S473/SUM('Key inputs_EB_OWN'!S$459:S$478)&gt;0,'Key inputs_EB_OWN'!S473/SUM('Key inputs_EB_OWN'!S$459:S$478)&lt;0.001),0.001,'Key inputs_EB_OWN'!S473/SUM('Key inputs_EB_OWN'!S$459:S$478)),"")</f>
        <v>0</v>
      </c>
      <c r="Z91" s="173">
        <f>IFERROR(IF(AND('Key inputs_EB_OWN'!T473/SUM('Key inputs_EB_OWN'!T$459:T$478)&gt;0,'Key inputs_EB_OWN'!T473/SUM('Key inputs_EB_OWN'!T$459:T$478)&lt;0.001),0.001,'Key inputs_EB_OWN'!T473/SUM('Key inputs_EB_OWN'!T$459:T$478)),"")</f>
        <v>0</v>
      </c>
      <c r="AA91" s="173">
        <f>IFERROR(IF(AND('Key inputs_EB_OWN'!U473/SUM('Key inputs_EB_OWN'!U$459:U$478)&gt;0,'Key inputs_EB_OWN'!U473/SUM('Key inputs_EB_OWN'!U$459:U$478)&lt;0.001),0.001,'Key inputs_EB_OWN'!U473/SUM('Key inputs_EB_OWN'!U$459:U$478)),"")</f>
        <v>0</v>
      </c>
      <c r="AB91" s="173">
        <f>IFERROR(IF(AND('Key inputs_EB_OWN'!V473/SUM('Key inputs_EB_OWN'!V$459:V$478)&gt;0,'Key inputs_EB_OWN'!V473/SUM('Key inputs_EB_OWN'!V$459:V$478)&lt;0.001),0.001,'Key inputs_EB_OWN'!V473/SUM('Key inputs_EB_OWN'!V$459:V$478)),"")</f>
        <v>0</v>
      </c>
      <c r="AC91" s="173">
        <f>IFERROR(IF(AND('Key inputs_EB_OWN'!W473/SUM('Key inputs_EB_OWN'!W$459:W$478)&gt;0,'Key inputs_EB_OWN'!W473/SUM('Key inputs_EB_OWN'!W$459:W$478)&lt;0.001),0.001,'Key inputs_EB_OWN'!W473/SUM('Key inputs_EB_OWN'!W$459:W$478)),"")</f>
        <v>0</v>
      </c>
      <c r="AD91" s="173">
        <f>IFERROR(IF(AND('Key inputs_EB_OWN'!X473/SUM('Key inputs_EB_OWN'!X$459:X$478)&gt;0,'Key inputs_EB_OWN'!X473/SUM('Key inputs_EB_OWN'!X$459:X$478)&lt;0.001),0.001,'Key inputs_EB_OWN'!X473/SUM('Key inputs_EB_OWN'!X$459:X$478)),"")</f>
        <v>0</v>
      </c>
      <c r="AE91" s="173">
        <f>IFERROR(IF(AND('Key inputs_EB_OWN'!Y473/SUM('Key inputs_EB_OWN'!Y$459:Y$478)&gt;0,'Key inputs_EB_OWN'!Y473/SUM('Key inputs_EB_OWN'!Y$459:Y$478)&lt;0.001),0.001,'Key inputs_EB_OWN'!Y473/SUM('Key inputs_EB_OWN'!Y$459:Y$478)),"")</f>
        <v>0</v>
      </c>
      <c r="AF91" s="173">
        <f>IFERROR(IF(AND('Key inputs_EB_OWN'!Z473/SUM('Key inputs_EB_OWN'!Z$459:Z$478)&gt;0,'Key inputs_EB_OWN'!Z473/SUM('Key inputs_EB_OWN'!Z$459:Z$478)&lt;0.001),0.001,'Key inputs_EB_OWN'!Z473/SUM('Key inputs_EB_OWN'!Z$459:Z$478)),"")</f>
        <v>0</v>
      </c>
      <c r="AG91" s="173">
        <f>IFERROR(IF(AND('Key inputs_EB_OWN'!AA473/SUM('Key inputs_EB_OWN'!AA$459:AA$478)&gt;0,'Key inputs_EB_OWN'!AA473/SUM('Key inputs_EB_OWN'!AA$459:AA$478)&lt;0.001),0.001,'Key inputs_EB_OWN'!AA473/SUM('Key inputs_EB_OWN'!AA$459:AA$478)),"")</f>
        <v>0</v>
      </c>
      <c r="AH91" s="173">
        <f>IFERROR(IF(AND('Key inputs_EB_OWN'!AB473/SUM('Key inputs_EB_OWN'!AB$459:AB$478)&gt;0,'Key inputs_EB_OWN'!AB473/SUM('Key inputs_EB_OWN'!AB$459:AB$478)&lt;0.001),0.001,'Key inputs_EB_OWN'!AB473/SUM('Key inputs_EB_OWN'!AB$459:AB$478)),"")</f>
        <v>0</v>
      </c>
      <c r="AI91" s="173">
        <f>IFERROR(IF(AND('Key inputs_EB_OWN'!AC473/SUM('Key inputs_EB_OWN'!AC$459:AC$478)&gt;0,'Key inputs_EB_OWN'!AC473/SUM('Key inputs_EB_OWN'!AC$459:AC$478)&lt;0.001),0.001,'Key inputs_EB_OWN'!AC473/SUM('Key inputs_EB_OWN'!AC$459:AC$478)),"")</f>
        <v>0</v>
      </c>
      <c r="AJ91" s="173">
        <f>IFERROR(IF(AND('Key inputs_EB_OWN'!AD473/SUM('Key inputs_EB_OWN'!AD$459:AD$478)&gt;0,'Key inputs_EB_OWN'!AD473/SUM('Key inputs_EB_OWN'!AD$459:AD$478)&lt;0.001),0.001,'Key inputs_EB_OWN'!AD473/SUM('Key inputs_EB_OWN'!AD$459:AD$478)),"")</f>
        <v>0</v>
      </c>
      <c r="AK91" s="173">
        <f>IFERROR(IF(AND('Key inputs_EB_OWN'!AE473/SUM('Key inputs_EB_OWN'!AE$459:AE$478)&gt;0,'Key inputs_EB_OWN'!AE473/SUM('Key inputs_EB_OWN'!AE$459:AE$478)&lt;0.001),0.001,'Key inputs_EB_OWN'!AE473/SUM('Key inputs_EB_OWN'!AE$459:AE$478)),"")</f>
        <v>5.9857952387132752E-3</v>
      </c>
      <c r="AL91" s="173">
        <f>IFERROR(IF(AND('Key inputs_EB_OWN'!AF473/SUM('Key inputs_EB_OWN'!AF$459:AF$478)&gt;0,'Key inputs_EB_OWN'!AF473/SUM('Key inputs_EB_OWN'!AF$459:AF$478)&lt;0.001),0.001,'Key inputs_EB_OWN'!AF473/SUM('Key inputs_EB_OWN'!AF$459:AF$478)),"")</f>
        <v>0</v>
      </c>
    </row>
    <row r="92" spans="1:38">
      <c r="C92" s="4" t="str">
        <f>Commodities!$C$97</f>
        <v>UPSLPG</v>
      </c>
      <c r="E92" s="4" t="s">
        <v>359</v>
      </c>
      <c r="G92" t="s">
        <v>693</v>
      </c>
      <c r="H92" s="4" t="s">
        <v>661</v>
      </c>
      <c r="I92">
        <v>2019</v>
      </c>
      <c r="J92" t="s">
        <v>650</v>
      </c>
      <c r="K92" s="173">
        <f>IFERROR(IF(AND('Key inputs_EB_OWN'!E474/SUM('Key inputs_EB_OWN'!E$459:E$478)&gt;0,'Key inputs_EB_OWN'!E474/SUM('Key inputs_EB_OWN'!E$459:E$478)&lt;0.001),0.001,'Key inputs_EB_OWN'!E474/SUM('Key inputs_EB_OWN'!E$459:E$478)),"")</f>
        <v>0</v>
      </c>
      <c r="L92" s="173">
        <f>IFERROR(IF(AND('Key inputs_EB_OWN'!F474/SUM('Key inputs_EB_OWN'!F$459:F$478)&gt;0,'Key inputs_EB_OWN'!F474/SUM('Key inputs_EB_OWN'!F$459:F$478)&lt;0.001),0.001,'Key inputs_EB_OWN'!F474/SUM('Key inputs_EB_OWN'!F$459:F$478)),"")</f>
        <v>0</v>
      </c>
      <c r="M92" s="173">
        <f>IFERROR(IF(AND('Key inputs_EB_OWN'!G474/SUM('Key inputs_EB_OWN'!G$459:G$478)&gt;0,'Key inputs_EB_OWN'!G474/SUM('Key inputs_EB_OWN'!G$459:G$478)&lt;0.001),0.001,'Key inputs_EB_OWN'!G474/SUM('Key inputs_EB_OWN'!G$459:G$478)),"")</f>
        <v>0</v>
      </c>
      <c r="N92" s="173">
        <f>IFERROR(IF(AND('Key inputs_EB_OWN'!H474/SUM('Key inputs_EB_OWN'!H$459:H$478)&gt;0,'Key inputs_EB_OWN'!H474/SUM('Key inputs_EB_OWN'!H$459:H$478)&lt;0.001),0.001,'Key inputs_EB_OWN'!H474/SUM('Key inputs_EB_OWN'!H$459:H$478)),"")</f>
        <v>0</v>
      </c>
      <c r="O92" s="173">
        <f>IFERROR(IF(AND('Key inputs_EB_OWN'!I474/SUM('Key inputs_EB_OWN'!I$459:I$478)&gt;0,'Key inputs_EB_OWN'!I474/SUM('Key inputs_EB_OWN'!I$459:I$478)&lt;0.001),0.001,'Key inputs_EB_OWN'!I474/SUM('Key inputs_EB_OWN'!I$459:I$478)),"")</f>
        <v>3.0519960354496631E-3</v>
      </c>
      <c r="P92" s="173">
        <f>IFERROR(IF(AND('Key inputs_EB_OWN'!J474/SUM('Key inputs_EB_OWN'!J$459:J$478)&gt;0,'Key inputs_EB_OWN'!J474/SUM('Key inputs_EB_OWN'!J$459:J$478)&lt;0.001),0.001,'Key inputs_EB_OWN'!J474/SUM('Key inputs_EB_OWN'!J$459:J$478)),"")</f>
        <v>4.853111193540492E-3</v>
      </c>
      <c r="Q92" s="173">
        <f>IFERROR(IF(AND('Key inputs_EB_OWN'!K474/SUM('Key inputs_EB_OWN'!K$459:K$478)&gt;0,'Key inputs_EB_OWN'!K474/SUM('Key inputs_EB_OWN'!K$459:K$478)&lt;0.001),0.001,'Key inputs_EB_OWN'!K474/SUM('Key inputs_EB_OWN'!K$459:K$478)),"")</f>
        <v>3.3869918396597469E-2</v>
      </c>
      <c r="R92" s="173">
        <f>IFERROR(IF(AND('Key inputs_EB_OWN'!L474/SUM('Key inputs_EB_OWN'!L$459:L$478)&gt;0,'Key inputs_EB_OWN'!L474/SUM('Key inputs_EB_OWN'!L$459:L$478)&lt;0.001),0.001,'Key inputs_EB_OWN'!L474/SUM('Key inputs_EB_OWN'!L$459:L$478)),"")</f>
        <v>0</v>
      </c>
      <c r="S92" s="173">
        <f>IFERROR(IF(AND('Key inputs_EB_OWN'!M474/SUM('Key inputs_EB_OWN'!M$459:M$478)&gt;0,'Key inputs_EB_OWN'!M474/SUM('Key inputs_EB_OWN'!M$459:M$478)&lt;0.001),0.001,'Key inputs_EB_OWN'!M474/SUM('Key inputs_EB_OWN'!M$459:M$478)),"")</f>
        <v>0</v>
      </c>
      <c r="T92" s="173">
        <f>IFERROR(IF(AND('Key inputs_EB_OWN'!N474/SUM('Key inputs_EB_OWN'!N$459:N$478)&gt;0,'Key inputs_EB_OWN'!N474/SUM('Key inputs_EB_OWN'!N$459:N$478)&lt;0.001),0.001,'Key inputs_EB_OWN'!N474/SUM('Key inputs_EB_OWN'!N$459:N$478)),"")</f>
        <v>5.0282863958180596E-3</v>
      </c>
      <c r="U92" s="173">
        <f>IFERROR(IF(AND('Key inputs_EB_OWN'!O474/SUM('Key inputs_EB_OWN'!O$459:O$478)&gt;0,'Key inputs_EB_OWN'!O474/SUM('Key inputs_EB_OWN'!O$459:O$478)&lt;0.001),0.001,'Key inputs_EB_OWN'!O474/SUM('Key inputs_EB_OWN'!O$459:O$478)),"")</f>
        <v>1</v>
      </c>
      <c r="V92" s="173">
        <f>IFERROR(IF(AND('Key inputs_EB_OWN'!P474/SUM('Key inputs_EB_OWN'!P$459:P$478)&gt;0,'Key inputs_EB_OWN'!P474/SUM('Key inputs_EB_OWN'!P$459:P$478)&lt;0.001),0.001,'Key inputs_EB_OWN'!P474/SUM('Key inputs_EB_OWN'!P$459:P$478)),"")</f>
        <v>1E-3</v>
      </c>
      <c r="W92" s="173">
        <f>IFERROR(IF(AND('Key inputs_EB_OWN'!Q474/SUM('Key inputs_EB_OWN'!Q$459:Q$478)&gt;0,'Key inputs_EB_OWN'!Q474/SUM('Key inputs_EB_OWN'!Q$459:Q$478)&lt;0.001),0.001,'Key inputs_EB_OWN'!Q474/SUM('Key inputs_EB_OWN'!Q$459:Q$478)),"")</f>
        <v>1.4131889511910505E-2</v>
      </c>
      <c r="X92" s="173">
        <f>IFERROR(IF(AND('Key inputs_EB_OWN'!R474/SUM('Key inputs_EB_OWN'!R$459:R$478)&gt;0,'Key inputs_EB_OWN'!R474/SUM('Key inputs_EB_OWN'!R$459:R$478)&lt;0.001),0.001,'Key inputs_EB_OWN'!R474/SUM('Key inputs_EB_OWN'!R$459:R$478)),"")</f>
        <v>1E-3</v>
      </c>
      <c r="Y92" s="173">
        <f>IFERROR(IF(AND('Key inputs_EB_OWN'!S474/SUM('Key inputs_EB_OWN'!S$459:S$478)&gt;0,'Key inputs_EB_OWN'!S474/SUM('Key inputs_EB_OWN'!S$459:S$478)&lt;0.001),0.001,'Key inputs_EB_OWN'!S474/SUM('Key inputs_EB_OWN'!S$459:S$478)),"")</f>
        <v>0</v>
      </c>
      <c r="Z92" s="173">
        <f>IFERROR(IF(AND('Key inputs_EB_OWN'!T474/SUM('Key inputs_EB_OWN'!T$459:T$478)&gt;0,'Key inputs_EB_OWN'!T474/SUM('Key inputs_EB_OWN'!T$459:T$478)&lt;0.001),0.001,'Key inputs_EB_OWN'!T474/SUM('Key inputs_EB_OWN'!T$459:T$478)),"")</f>
        <v>0</v>
      </c>
      <c r="AA92" s="173">
        <f>IFERROR(IF(AND('Key inputs_EB_OWN'!U474/SUM('Key inputs_EB_OWN'!U$459:U$478)&gt;0,'Key inputs_EB_OWN'!U474/SUM('Key inputs_EB_OWN'!U$459:U$478)&lt;0.001),0.001,'Key inputs_EB_OWN'!U474/SUM('Key inputs_EB_OWN'!U$459:U$478)),"")</f>
        <v>0</v>
      </c>
      <c r="AB92" s="173">
        <f>IFERROR(IF(AND('Key inputs_EB_OWN'!V474/SUM('Key inputs_EB_OWN'!V$459:V$478)&gt;0,'Key inputs_EB_OWN'!V474/SUM('Key inputs_EB_OWN'!V$459:V$478)&lt;0.001),0.001,'Key inputs_EB_OWN'!V474/SUM('Key inputs_EB_OWN'!V$459:V$478)),"")</f>
        <v>1E-3</v>
      </c>
      <c r="AC92" s="173">
        <f>IFERROR(IF(AND('Key inputs_EB_OWN'!W474/SUM('Key inputs_EB_OWN'!W$459:W$478)&gt;0,'Key inputs_EB_OWN'!W474/SUM('Key inputs_EB_OWN'!W$459:W$478)&lt;0.001),0.001,'Key inputs_EB_OWN'!W474/SUM('Key inputs_EB_OWN'!W$459:W$478)),"")</f>
        <v>0</v>
      </c>
      <c r="AD92" s="173">
        <f>IFERROR(IF(AND('Key inputs_EB_OWN'!X474/SUM('Key inputs_EB_OWN'!X$459:X$478)&gt;0,'Key inputs_EB_OWN'!X474/SUM('Key inputs_EB_OWN'!X$459:X$478)&lt;0.001),0.001,'Key inputs_EB_OWN'!X474/SUM('Key inputs_EB_OWN'!X$459:X$478)),"")</f>
        <v>0</v>
      </c>
      <c r="AE92" s="173">
        <f>IFERROR(IF(AND('Key inputs_EB_OWN'!Y474/SUM('Key inputs_EB_OWN'!Y$459:Y$478)&gt;0,'Key inputs_EB_OWN'!Y474/SUM('Key inputs_EB_OWN'!Y$459:Y$478)&lt;0.001),0.001,'Key inputs_EB_OWN'!Y474/SUM('Key inputs_EB_OWN'!Y$459:Y$478)),"")</f>
        <v>0</v>
      </c>
      <c r="AF92" s="173">
        <f>IFERROR(IF(AND('Key inputs_EB_OWN'!Z474/SUM('Key inputs_EB_OWN'!Z$459:Z$478)&gt;0,'Key inputs_EB_OWN'!Z474/SUM('Key inputs_EB_OWN'!Z$459:Z$478)&lt;0.001),0.001,'Key inputs_EB_OWN'!Z474/SUM('Key inputs_EB_OWN'!Z$459:Z$478)),"")</f>
        <v>0</v>
      </c>
      <c r="AG92" s="173">
        <f>IFERROR(IF(AND('Key inputs_EB_OWN'!AA474/SUM('Key inputs_EB_OWN'!AA$459:AA$478)&gt;0,'Key inputs_EB_OWN'!AA474/SUM('Key inputs_EB_OWN'!AA$459:AA$478)&lt;0.001),0.001,'Key inputs_EB_OWN'!AA474/SUM('Key inputs_EB_OWN'!AA$459:AA$478)),"")</f>
        <v>2.898162432993661E-2</v>
      </c>
      <c r="AH92" s="173">
        <f>IFERROR(IF(AND('Key inputs_EB_OWN'!AB474/SUM('Key inputs_EB_OWN'!AB$459:AB$478)&gt;0,'Key inputs_EB_OWN'!AB474/SUM('Key inputs_EB_OWN'!AB$459:AB$478)&lt;0.001),0.001,'Key inputs_EB_OWN'!AB474/SUM('Key inputs_EB_OWN'!AB$459:AB$478)),"")</f>
        <v>0</v>
      </c>
      <c r="AI92" s="173">
        <f>IFERROR(IF(AND('Key inputs_EB_OWN'!AC474/SUM('Key inputs_EB_OWN'!AC$459:AC$478)&gt;0,'Key inputs_EB_OWN'!AC474/SUM('Key inputs_EB_OWN'!AC$459:AC$478)&lt;0.001),0.001,'Key inputs_EB_OWN'!AC474/SUM('Key inputs_EB_OWN'!AC$459:AC$478)),"")</f>
        <v>0</v>
      </c>
      <c r="AJ92" s="173">
        <f>IFERROR(IF(AND('Key inputs_EB_OWN'!AD474/SUM('Key inputs_EB_OWN'!AD$459:AD$478)&gt;0,'Key inputs_EB_OWN'!AD474/SUM('Key inputs_EB_OWN'!AD$459:AD$478)&lt;0.001),0.001,'Key inputs_EB_OWN'!AD474/SUM('Key inputs_EB_OWN'!AD$459:AD$478)),"")</f>
        <v>1.0500219532436508E-3</v>
      </c>
      <c r="AK92" s="173">
        <f>IFERROR(IF(AND('Key inputs_EB_OWN'!AE474/SUM('Key inputs_EB_OWN'!AE$459:AE$478)&gt;0,'Key inputs_EB_OWN'!AE474/SUM('Key inputs_EB_OWN'!AE$459:AE$478)&lt;0.001),0.001,'Key inputs_EB_OWN'!AE474/SUM('Key inputs_EB_OWN'!AE$459:AE$478)),"")</f>
        <v>0.84299475555472381</v>
      </c>
      <c r="AL92" s="173">
        <f>IFERROR(IF(AND('Key inputs_EB_OWN'!AF474/SUM('Key inputs_EB_OWN'!AF$459:AF$478)&gt;0,'Key inputs_EB_OWN'!AF474/SUM('Key inputs_EB_OWN'!AF$459:AF$478)&lt;0.001),0.001,'Key inputs_EB_OWN'!AF474/SUM('Key inputs_EB_OWN'!AF$459:AF$478)),"")</f>
        <v>0</v>
      </c>
    </row>
    <row r="93" spans="1:38">
      <c r="C93" t="str">
        <f>Commodities!$C$98</f>
        <v>UPSNAP</v>
      </c>
      <c r="E93" s="4" t="s">
        <v>359</v>
      </c>
      <c r="G93" t="s">
        <v>693</v>
      </c>
      <c r="H93" s="4" t="s">
        <v>661</v>
      </c>
      <c r="I93">
        <v>2019</v>
      </c>
      <c r="J93" t="s">
        <v>650</v>
      </c>
      <c r="K93" s="173">
        <f>IFERROR(IF(AND('Key inputs_EB_OWN'!E475/SUM('Key inputs_EB_OWN'!E$459:E$478)&gt;0,'Key inputs_EB_OWN'!E475/SUM('Key inputs_EB_OWN'!E$459:E$478)&lt;0.001),0.001,'Key inputs_EB_OWN'!E475/SUM('Key inputs_EB_OWN'!E$459:E$478)),"")</f>
        <v>0</v>
      </c>
      <c r="L93" s="173">
        <f>IFERROR(IF(AND('Key inputs_EB_OWN'!F475/SUM('Key inputs_EB_OWN'!F$459:F$478)&gt;0,'Key inputs_EB_OWN'!F475/SUM('Key inputs_EB_OWN'!F$459:F$478)&lt;0.001),0.001,'Key inputs_EB_OWN'!F475/SUM('Key inputs_EB_OWN'!F$459:F$478)),"")</f>
        <v>0</v>
      </c>
      <c r="M93" s="173">
        <f>IFERROR(IF(AND('Key inputs_EB_OWN'!G475/SUM('Key inputs_EB_OWN'!G$459:G$478)&gt;0,'Key inputs_EB_OWN'!G475/SUM('Key inputs_EB_OWN'!G$459:G$478)&lt;0.001),0.001,'Key inputs_EB_OWN'!G475/SUM('Key inputs_EB_OWN'!G$459:G$478)),"")</f>
        <v>0</v>
      </c>
      <c r="N93" s="173">
        <f>IFERROR(IF(AND('Key inputs_EB_OWN'!H475/SUM('Key inputs_EB_OWN'!H$459:H$478)&gt;0,'Key inputs_EB_OWN'!H475/SUM('Key inputs_EB_OWN'!H$459:H$478)&lt;0.001),0.001,'Key inputs_EB_OWN'!H475/SUM('Key inputs_EB_OWN'!H$459:H$478)),"")</f>
        <v>0</v>
      </c>
      <c r="O93" s="173">
        <f>IFERROR(IF(AND('Key inputs_EB_OWN'!I475/SUM('Key inputs_EB_OWN'!I$459:I$478)&gt;0,'Key inputs_EB_OWN'!I475/SUM('Key inputs_EB_OWN'!I$459:I$478)&lt;0.001),0.001,'Key inputs_EB_OWN'!I475/SUM('Key inputs_EB_OWN'!I$459:I$478)),"")</f>
        <v>0</v>
      </c>
      <c r="P93" s="173">
        <f>IFERROR(IF(AND('Key inputs_EB_OWN'!J475/SUM('Key inputs_EB_OWN'!J$459:J$478)&gt;0,'Key inputs_EB_OWN'!J475/SUM('Key inputs_EB_OWN'!J$459:J$478)&lt;0.001),0.001,'Key inputs_EB_OWN'!J475/SUM('Key inputs_EB_OWN'!J$459:J$478)),"")</f>
        <v>0</v>
      </c>
      <c r="Q93" s="173">
        <f>IFERROR(IF(AND('Key inputs_EB_OWN'!K475/SUM('Key inputs_EB_OWN'!K$459:K$478)&gt;0,'Key inputs_EB_OWN'!K475/SUM('Key inputs_EB_OWN'!K$459:K$478)&lt;0.001),0.001,'Key inputs_EB_OWN'!K475/SUM('Key inputs_EB_OWN'!K$459:K$478)),"")</f>
        <v>0</v>
      </c>
      <c r="R93" s="173">
        <f>IFERROR(IF(AND('Key inputs_EB_OWN'!L475/SUM('Key inputs_EB_OWN'!L$459:L$478)&gt;0,'Key inputs_EB_OWN'!L475/SUM('Key inputs_EB_OWN'!L$459:L$478)&lt;0.001),0.001,'Key inputs_EB_OWN'!L475/SUM('Key inputs_EB_OWN'!L$459:L$478)),"")</f>
        <v>0</v>
      </c>
      <c r="S93" s="173">
        <f>IFERROR(IF(AND('Key inputs_EB_OWN'!M475/SUM('Key inputs_EB_OWN'!M$459:M$478)&gt;0,'Key inputs_EB_OWN'!M475/SUM('Key inputs_EB_OWN'!M$459:M$478)&lt;0.001),0.001,'Key inputs_EB_OWN'!M475/SUM('Key inputs_EB_OWN'!M$459:M$478)),"")</f>
        <v>0</v>
      </c>
      <c r="T93" s="173">
        <f>IFERROR(IF(AND('Key inputs_EB_OWN'!N475/SUM('Key inputs_EB_OWN'!N$459:N$478)&gt;0,'Key inputs_EB_OWN'!N475/SUM('Key inputs_EB_OWN'!N$459:N$478)&lt;0.001),0.001,'Key inputs_EB_OWN'!N475/SUM('Key inputs_EB_OWN'!N$459:N$478)),"")</f>
        <v>0</v>
      </c>
      <c r="U93" s="173">
        <f>IFERROR(IF(AND('Key inputs_EB_OWN'!O475/SUM('Key inputs_EB_OWN'!O$459:O$478)&gt;0,'Key inputs_EB_OWN'!O475/SUM('Key inputs_EB_OWN'!O$459:O$478)&lt;0.001),0.001,'Key inputs_EB_OWN'!O475/SUM('Key inputs_EB_OWN'!O$459:O$478)),"")</f>
        <v>0</v>
      </c>
      <c r="V93" s="173">
        <f>IFERROR(IF(AND('Key inputs_EB_OWN'!P475/SUM('Key inputs_EB_OWN'!P$459:P$478)&gt;0,'Key inputs_EB_OWN'!P475/SUM('Key inputs_EB_OWN'!P$459:P$478)&lt;0.001),0.001,'Key inputs_EB_OWN'!P475/SUM('Key inputs_EB_OWN'!P$459:P$478)),"")</f>
        <v>5.288189588957741E-2</v>
      </c>
      <c r="W93" s="173">
        <f>IFERROR(IF(AND('Key inputs_EB_OWN'!Q475/SUM('Key inputs_EB_OWN'!Q$459:Q$478)&gt;0,'Key inputs_EB_OWN'!Q475/SUM('Key inputs_EB_OWN'!Q$459:Q$478)&lt;0.001),0.001,'Key inputs_EB_OWN'!Q475/SUM('Key inputs_EB_OWN'!Q$459:Q$478)),"")</f>
        <v>0</v>
      </c>
      <c r="X93" s="173">
        <f>IFERROR(IF(AND('Key inputs_EB_OWN'!R475/SUM('Key inputs_EB_OWN'!R$459:R$478)&gt;0,'Key inputs_EB_OWN'!R475/SUM('Key inputs_EB_OWN'!R$459:R$478)&lt;0.001),0.001,'Key inputs_EB_OWN'!R475/SUM('Key inputs_EB_OWN'!R$459:R$478)),"")</f>
        <v>0</v>
      </c>
      <c r="Y93" s="173">
        <f>IFERROR(IF(AND('Key inputs_EB_OWN'!S475/SUM('Key inputs_EB_OWN'!S$459:S$478)&gt;0,'Key inputs_EB_OWN'!S475/SUM('Key inputs_EB_OWN'!S$459:S$478)&lt;0.001),0.001,'Key inputs_EB_OWN'!S475/SUM('Key inputs_EB_OWN'!S$459:S$478)),"")</f>
        <v>0</v>
      </c>
      <c r="Z93" s="173">
        <f>IFERROR(IF(AND('Key inputs_EB_OWN'!T475/SUM('Key inputs_EB_OWN'!T$459:T$478)&gt;0,'Key inputs_EB_OWN'!T475/SUM('Key inputs_EB_OWN'!T$459:T$478)&lt;0.001),0.001,'Key inputs_EB_OWN'!T475/SUM('Key inputs_EB_OWN'!T$459:T$478)),"")</f>
        <v>0</v>
      </c>
      <c r="AA93" s="173">
        <f>IFERROR(IF(AND('Key inputs_EB_OWN'!U475/SUM('Key inputs_EB_OWN'!U$459:U$478)&gt;0,'Key inputs_EB_OWN'!U475/SUM('Key inputs_EB_OWN'!U$459:U$478)&lt;0.001),0.001,'Key inputs_EB_OWN'!U475/SUM('Key inputs_EB_OWN'!U$459:U$478)),"")</f>
        <v>0</v>
      </c>
      <c r="AB93" s="173">
        <f>IFERROR(IF(AND('Key inputs_EB_OWN'!V475/SUM('Key inputs_EB_OWN'!V$459:V$478)&gt;0,'Key inputs_EB_OWN'!V475/SUM('Key inputs_EB_OWN'!V$459:V$478)&lt;0.001),0.001,'Key inputs_EB_OWN'!V475/SUM('Key inputs_EB_OWN'!V$459:V$478)),"")</f>
        <v>0</v>
      </c>
      <c r="AC93" s="173">
        <f>IFERROR(IF(AND('Key inputs_EB_OWN'!W475/SUM('Key inputs_EB_OWN'!W$459:W$478)&gt;0,'Key inputs_EB_OWN'!W475/SUM('Key inputs_EB_OWN'!W$459:W$478)&lt;0.001),0.001,'Key inputs_EB_OWN'!W475/SUM('Key inputs_EB_OWN'!W$459:W$478)),"")</f>
        <v>0</v>
      </c>
      <c r="AD93" s="173">
        <f>IFERROR(IF(AND('Key inputs_EB_OWN'!X475/SUM('Key inputs_EB_OWN'!X$459:X$478)&gt;0,'Key inputs_EB_OWN'!X475/SUM('Key inputs_EB_OWN'!X$459:X$478)&lt;0.001),0.001,'Key inputs_EB_OWN'!X475/SUM('Key inputs_EB_OWN'!X$459:X$478)),"")</f>
        <v>0</v>
      </c>
      <c r="AE93" s="173">
        <f>IFERROR(IF(AND('Key inputs_EB_OWN'!Y475/SUM('Key inputs_EB_OWN'!Y$459:Y$478)&gt;0,'Key inputs_EB_OWN'!Y475/SUM('Key inputs_EB_OWN'!Y$459:Y$478)&lt;0.001),0.001,'Key inputs_EB_OWN'!Y475/SUM('Key inputs_EB_OWN'!Y$459:Y$478)),"")</f>
        <v>0</v>
      </c>
      <c r="AF93" s="173">
        <f>IFERROR(IF(AND('Key inputs_EB_OWN'!Z475/SUM('Key inputs_EB_OWN'!Z$459:Z$478)&gt;0,'Key inputs_EB_OWN'!Z475/SUM('Key inputs_EB_OWN'!Z$459:Z$478)&lt;0.001),0.001,'Key inputs_EB_OWN'!Z475/SUM('Key inputs_EB_OWN'!Z$459:Z$478)),"")</f>
        <v>0</v>
      </c>
      <c r="AG93" s="173">
        <f>IFERROR(IF(AND('Key inputs_EB_OWN'!AA475/SUM('Key inputs_EB_OWN'!AA$459:AA$478)&gt;0,'Key inputs_EB_OWN'!AA475/SUM('Key inputs_EB_OWN'!AA$459:AA$478)&lt;0.001),0.001,'Key inputs_EB_OWN'!AA475/SUM('Key inputs_EB_OWN'!AA$459:AA$478)),"")</f>
        <v>0</v>
      </c>
      <c r="AH93" s="173">
        <f>IFERROR(IF(AND('Key inputs_EB_OWN'!AB475/SUM('Key inputs_EB_OWN'!AB$459:AB$478)&gt;0,'Key inputs_EB_OWN'!AB475/SUM('Key inputs_EB_OWN'!AB$459:AB$478)&lt;0.001),0.001,'Key inputs_EB_OWN'!AB475/SUM('Key inputs_EB_OWN'!AB$459:AB$478)),"")</f>
        <v>0</v>
      </c>
      <c r="AI93" s="173">
        <f>IFERROR(IF(AND('Key inputs_EB_OWN'!AC475/SUM('Key inputs_EB_OWN'!AC$459:AC$478)&gt;0,'Key inputs_EB_OWN'!AC475/SUM('Key inputs_EB_OWN'!AC$459:AC$478)&lt;0.001),0.001,'Key inputs_EB_OWN'!AC475/SUM('Key inputs_EB_OWN'!AC$459:AC$478)),"")</f>
        <v>0</v>
      </c>
      <c r="AJ93" s="173">
        <f>IFERROR(IF(AND('Key inputs_EB_OWN'!AD475/SUM('Key inputs_EB_OWN'!AD$459:AD$478)&gt;0,'Key inputs_EB_OWN'!AD475/SUM('Key inputs_EB_OWN'!AD$459:AD$478)&lt;0.001),0.001,'Key inputs_EB_OWN'!AD475/SUM('Key inputs_EB_OWN'!AD$459:AD$478)),"")</f>
        <v>0</v>
      </c>
      <c r="AK93" s="173">
        <f>IFERROR(IF(AND('Key inputs_EB_OWN'!AE475/SUM('Key inputs_EB_OWN'!AE$459:AE$478)&gt;0,'Key inputs_EB_OWN'!AE475/SUM('Key inputs_EB_OWN'!AE$459:AE$478)&lt;0.001),0.001,'Key inputs_EB_OWN'!AE475/SUM('Key inputs_EB_OWN'!AE$459:AE$478)),"")</f>
        <v>0</v>
      </c>
      <c r="AL93" s="173">
        <f>IFERROR(IF(AND('Key inputs_EB_OWN'!AF475/SUM('Key inputs_EB_OWN'!AF$459:AF$478)&gt;0,'Key inputs_EB_OWN'!AF475/SUM('Key inputs_EB_OWN'!AF$459:AF$478)&lt;0.001),0.001,'Key inputs_EB_OWN'!AF475/SUM('Key inputs_EB_OWN'!AF$459:AF$478)),"")</f>
        <v>0</v>
      </c>
    </row>
    <row r="94" spans="1:38">
      <c r="C94" t="str">
        <f>Commodities!$C$99</f>
        <v>UPSOIL</v>
      </c>
      <c r="E94" s="4" t="s">
        <v>359</v>
      </c>
      <c r="G94" t="s">
        <v>693</v>
      </c>
      <c r="H94" s="4" t="s">
        <v>661</v>
      </c>
      <c r="I94">
        <v>2019</v>
      </c>
      <c r="J94" t="s">
        <v>650</v>
      </c>
      <c r="K94" s="173">
        <f>IFERROR(IF(AND('Key inputs_EB_OWN'!E476/SUM('Key inputs_EB_OWN'!E$459:E$478)&gt;0,'Key inputs_EB_OWN'!E476/SUM('Key inputs_EB_OWN'!E$459:E$478)&lt;0.001),0.001,'Key inputs_EB_OWN'!E476/SUM('Key inputs_EB_OWN'!E$459:E$478)),"")</f>
        <v>1</v>
      </c>
      <c r="L94" s="173">
        <f>IFERROR(IF(AND('Key inputs_EB_OWN'!F476/SUM('Key inputs_EB_OWN'!F$459:F$478)&gt;0,'Key inputs_EB_OWN'!F476/SUM('Key inputs_EB_OWN'!F$459:F$478)&lt;0.001),0.001,'Key inputs_EB_OWN'!F476/SUM('Key inputs_EB_OWN'!F$459:F$478)),"")</f>
        <v>4.1955397385661508E-3</v>
      </c>
      <c r="M94" s="173">
        <f>IFERROR(IF(AND('Key inputs_EB_OWN'!G476/SUM('Key inputs_EB_OWN'!G$459:G$478)&gt;0,'Key inputs_EB_OWN'!G476/SUM('Key inputs_EB_OWN'!G$459:G$478)&lt;0.001),0.001,'Key inputs_EB_OWN'!G476/SUM('Key inputs_EB_OWN'!G$459:G$478)),"")</f>
        <v>0.48284562977423851</v>
      </c>
      <c r="N94" s="173">
        <f>IFERROR(IF(AND('Key inputs_EB_OWN'!H476/SUM('Key inputs_EB_OWN'!H$459:H$478)&gt;0,'Key inputs_EB_OWN'!H476/SUM('Key inputs_EB_OWN'!H$459:H$478)&lt;0.001),0.001,'Key inputs_EB_OWN'!H476/SUM('Key inputs_EB_OWN'!H$459:H$478)),"")</f>
        <v>0</v>
      </c>
      <c r="O94" s="173">
        <f>IFERROR(IF(AND('Key inputs_EB_OWN'!I476/SUM('Key inputs_EB_OWN'!I$459:I$478)&gt;0,'Key inputs_EB_OWN'!I476/SUM('Key inputs_EB_OWN'!I$459:I$478)&lt;0.001),0.001,'Key inputs_EB_OWN'!I476/SUM('Key inputs_EB_OWN'!I$459:I$478)),"")</f>
        <v>1.004182589357735E-2</v>
      </c>
      <c r="P94" s="173">
        <f>IFERROR(IF(AND('Key inputs_EB_OWN'!J476/SUM('Key inputs_EB_OWN'!J$459:J$478)&gt;0,'Key inputs_EB_OWN'!J476/SUM('Key inputs_EB_OWN'!J$459:J$478)&lt;0.001),0.001,'Key inputs_EB_OWN'!J476/SUM('Key inputs_EB_OWN'!J$459:J$478)),"")</f>
        <v>0.16272777425159096</v>
      </c>
      <c r="Q94" s="173">
        <f>IFERROR(IF(AND('Key inputs_EB_OWN'!K476/SUM('Key inputs_EB_OWN'!K$459:K$478)&gt;0,'Key inputs_EB_OWN'!K476/SUM('Key inputs_EB_OWN'!K$459:K$478)&lt;0.001),0.001,'Key inputs_EB_OWN'!K476/SUM('Key inputs_EB_OWN'!K$459:K$478)),"")</f>
        <v>0</v>
      </c>
      <c r="R94" s="173">
        <f>IFERROR(IF(AND('Key inputs_EB_OWN'!L476/SUM('Key inputs_EB_OWN'!L$459:L$478)&gt;0,'Key inputs_EB_OWN'!L476/SUM('Key inputs_EB_OWN'!L$459:L$478)&lt;0.001),0.001,'Key inputs_EB_OWN'!L476/SUM('Key inputs_EB_OWN'!L$459:L$478)),"")</f>
        <v>0</v>
      </c>
      <c r="S94" s="173">
        <f>IFERROR(IF(AND('Key inputs_EB_OWN'!M476/SUM('Key inputs_EB_OWN'!M$459:M$478)&gt;0,'Key inputs_EB_OWN'!M476/SUM('Key inputs_EB_OWN'!M$459:M$478)&lt;0.001),0.001,'Key inputs_EB_OWN'!M476/SUM('Key inputs_EB_OWN'!M$459:M$478)),"")</f>
        <v>0</v>
      </c>
      <c r="T94" s="173">
        <f>IFERROR(IF(AND('Key inputs_EB_OWN'!N476/SUM('Key inputs_EB_OWN'!N$459:N$478)&gt;0,'Key inputs_EB_OWN'!N476/SUM('Key inputs_EB_OWN'!N$459:N$478)&lt;0.001),0.001,'Key inputs_EB_OWN'!N476/SUM('Key inputs_EB_OWN'!N$459:N$478)),"")</f>
        <v>0</v>
      </c>
      <c r="U94" s="173">
        <f>IFERROR(IF(AND('Key inputs_EB_OWN'!O476/SUM('Key inputs_EB_OWN'!O$459:O$478)&gt;0,'Key inputs_EB_OWN'!O476/SUM('Key inputs_EB_OWN'!O$459:O$478)&lt;0.001),0.001,'Key inputs_EB_OWN'!O476/SUM('Key inputs_EB_OWN'!O$459:O$478)),"")</f>
        <v>0</v>
      </c>
      <c r="V94" s="173">
        <f>IFERROR(IF(AND('Key inputs_EB_OWN'!P476/SUM('Key inputs_EB_OWN'!P$459:P$478)&gt;0,'Key inputs_EB_OWN'!P476/SUM('Key inputs_EB_OWN'!P$459:P$478)&lt;0.001),0.001,'Key inputs_EB_OWN'!P476/SUM('Key inputs_EB_OWN'!P$459:P$478)),"")</f>
        <v>0.13290599662297653</v>
      </c>
      <c r="W94" s="173">
        <f>IFERROR(IF(AND('Key inputs_EB_OWN'!Q476/SUM('Key inputs_EB_OWN'!Q$459:Q$478)&gt;0,'Key inputs_EB_OWN'!Q476/SUM('Key inputs_EB_OWN'!Q$459:Q$478)&lt;0.001),0.001,'Key inputs_EB_OWN'!Q476/SUM('Key inputs_EB_OWN'!Q$459:Q$478)),"")</f>
        <v>3.547918729737116E-3</v>
      </c>
      <c r="X94" s="173">
        <f>IFERROR(IF(AND('Key inputs_EB_OWN'!R476/SUM('Key inputs_EB_OWN'!R$459:R$478)&gt;0,'Key inputs_EB_OWN'!R476/SUM('Key inputs_EB_OWN'!R$459:R$478)&lt;0.001),0.001,'Key inputs_EB_OWN'!R476/SUM('Key inputs_EB_OWN'!R$459:R$478)),"")</f>
        <v>0</v>
      </c>
      <c r="Y94" s="173">
        <f>IFERROR(IF(AND('Key inputs_EB_OWN'!S476/SUM('Key inputs_EB_OWN'!S$459:S$478)&gt;0,'Key inputs_EB_OWN'!S476/SUM('Key inputs_EB_OWN'!S$459:S$478)&lt;0.001),0.001,'Key inputs_EB_OWN'!S476/SUM('Key inputs_EB_OWN'!S$459:S$478)),"")</f>
        <v>2.4855505317132177E-3</v>
      </c>
      <c r="Z94" s="173">
        <f>IFERROR(IF(AND('Key inputs_EB_OWN'!T476/SUM('Key inputs_EB_OWN'!T$459:T$478)&gt;0,'Key inputs_EB_OWN'!T476/SUM('Key inputs_EB_OWN'!T$459:T$478)&lt;0.001),0.001,'Key inputs_EB_OWN'!T476/SUM('Key inputs_EB_OWN'!T$459:T$478)),"")</f>
        <v>0</v>
      </c>
      <c r="AA94" s="173">
        <f>IFERROR(IF(AND('Key inputs_EB_OWN'!U476/SUM('Key inputs_EB_OWN'!U$459:U$478)&gt;0,'Key inputs_EB_OWN'!U476/SUM('Key inputs_EB_OWN'!U$459:U$478)&lt;0.001),0.001,'Key inputs_EB_OWN'!U476/SUM('Key inputs_EB_OWN'!U$459:U$478)),"")</f>
        <v>0</v>
      </c>
      <c r="AB94" s="173">
        <f>IFERROR(IF(AND('Key inputs_EB_OWN'!V476/SUM('Key inputs_EB_OWN'!V$459:V$478)&gt;0,'Key inputs_EB_OWN'!V476/SUM('Key inputs_EB_OWN'!V$459:V$478)&lt;0.001),0.001,'Key inputs_EB_OWN'!V476/SUM('Key inputs_EB_OWN'!V$459:V$478)),"")</f>
        <v>4.5760915285302857E-2</v>
      </c>
      <c r="AC94" s="173">
        <f>IFERROR(IF(AND('Key inputs_EB_OWN'!W476/SUM('Key inputs_EB_OWN'!W$459:W$478)&gt;0,'Key inputs_EB_OWN'!W476/SUM('Key inputs_EB_OWN'!W$459:W$478)&lt;0.001),0.001,'Key inputs_EB_OWN'!W476/SUM('Key inputs_EB_OWN'!W$459:W$478)),"")</f>
        <v>0</v>
      </c>
      <c r="AD94" s="173">
        <f>IFERROR(IF(AND('Key inputs_EB_OWN'!X476/SUM('Key inputs_EB_OWN'!X$459:X$478)&gt;0,'Key inputs_EB_OWN'!X476/SUM('Key inputs_EB_OWN'!X$459:X$478)&lt;0.001),0.001,'Key inputs_EB_OWN'!X476/SUM('Key inputs_EB_OWN'!X$459:X$478)),"")</f>
        <v>0</v>
      </c>
      <c r="AE94" s="173">
        <f>IFERROR(IF(AND('Key inputs_EB_OWN'!Y476/SUM('Key inputs_EB_OWN'!Y$459:Y$478)&gt;0,'Key inputs_EB_OWN'!Y476/SUM('Key inputs_EB_OWN'!Y$459:Y$478)&lt;0.001),0.001,'Key inputs_EB_OWN'!Y476/SUM('Key inputs_EB_OWN'!Y$459:Y$478)),"")</f>
        <v>9.4722412784413526E-3</v>
      </c>
      <c r="AF94" s="173">
        <f>IFERROR(IF(AND('Key inputs_EB_OWN'!Z476/SUM('Key inputs_EB_OWN'!Z$459:Z$478)&gt;0,'Key inputs_EB_OWN'!Z476/SUM('Key inputs_EB_OWN'!Z$459:Z$478)&lt;0.001),0.001,'Key inputs_EB_OWN'!Z476/SUM('Key inputs_EB_OWN'!Z$459:Z$478)),"")</f>
        <v>0</v>
      </c>
      <c r="AG94" s="173">
        <f>IFERROR(IF(AND('Key inputs_EB_OWN'!AA476/SUM('Key inputs_EB_OWN'!AA$459:AA$478)&gt;0,'Key inputs_EB_OWN'!AA476/SUM('Key inputs_EB_OWN'!AA$459:AA$478)&lt;0.001),0.001,'Key inputs_EB_OWN'!AA476/SUM('Key inputs_EB_OWN'!AA$459:AA$478)),"")</f>
        <v>0.10761460973352928</v>
      </c>
      <c r="AH94" s="173">
        <f>IFERROR(IF(AND('Key inputs_EB_OWN'!AB476/SUM('Key inputs_EB_OWN'!AB$459:AB$478)&gt;0,'Key inputs_EB_OWN'!AB476/SUM('Key inputs_EB_OWN'!AB$459:AB$478)&lt;0.001),0.001,'Key inputs_EB_OWN'!AB476/SUM('Key inputs_EB_OWN'!AB$459:AB$478)),"")</f>
        <v>0</v>
      </c>
      <c r="AI94" s="173">
        <f>IFERROR(IF(AND('Key inputs_EB_OWN'!AC476/SUM('Key inputs_EB_OWN'!AC$459:AC$478)&gt;0,'Key inputs_EB_OWN'!AC476/SUM('Key inputs_EB_OWN'!AC$459:AC$478)&lt;0.001),0.001,'Key inputs_EB_OWN'!AC476/SUM('Key inputs_EB_OWN'!AC$459:AC$478)),"")</f>
        <v>0</v>
      </c>
      <c r="AJ94" s="173">
        <f>IFERROR(IF(AND('Key inputs_EB_OWN'!AD476/SUM('Key inputs_EB_OWN'!AD$459:AD$478)&gt;0,'Key inputs_EB_OWN'!AD476/SUM('Key inputs_EB_OWN'!AD$459:AD$478)&lt;0.001),0.001,'Key inputs_EB_OWN'!AD476/SUM('Key inputs_EB_OWN'!AD$459:AD$478)),"")</f>
        <v>3.6208869802539429E-3</v>
      </c>
      <c r="AK94" s="173">
        <f>IFERROR(IF(AND('Key inputs_EB_OWN'!AE476/SUM('Key inputs_EB_OWN'!AE$459:AE$478)&gt;0,'Key inputs_EB_OWN'!AE476/SUM('Key inputs_EB_OWN'!AE$459:AE$478)&lt;0.001),0.001,'Key inputs_EB_OWN'!AE476/SUM('Key inputs_EB_OWN'!AE$459:AE$478)),"")</f>
        <v>0</v>
      </c>
      <c r="AL94" s="173">
        <f>IFERROR(IF(AND('Key inputs_EB_OWN'!AF476/SUM('Key inputs_EB_OWN'!AF$459:AF$478)&gt;0,'Key inputs_EB_OWN'!AF476/SUM('Key inputs_EB_OWN'!AF$459:AF$478)&lt;0.001),0.001,'Key inputs_EB_OWN'!AF476/SUM('Key inputs_EB_OWN'!AF$459:AF$478)),"")</f>
        <v>0</v>
      </c>
    </row>
    <row r="95" spans="1:38">
      <c r="A95" s="236"/>
      <c r="B95" s="236"/>
      <c r="C95" s="259" t="str">
        <f>Commodities!$C$100</f>
        <v>UPSOIL2</v>
      </c>
      <c r="D95" s="236"/>
      <c r="E95" s="259" t="s">
        <v>359</v>
      </c>
      <c r="F95" s="236"/>
      <c r="G95" s="236" t="s">
        <v>693</v>
      </c>
      <c r="H95" s="259" t="s">
        <v>661</v>
      </c>
      <c r="I95" s="236">
        <v>2019</v>
      </c>
      <c r="J95" s="236" t="s">
        <v>650</v>
      </c>
      <c r="K95" s="226">
        <f>IFERROR(IF(AND('Key inputs_EB_OWN'!E477/SUM('Key inputs_EB_OWN'!E$459:E$478)&gt;0,'Key inputs_EB_OWN'!E477/SUM('Key inputs_EB_OWN'!E$459:E$478)&lt;0.001),0.001,'Key inputs_EB_OWN'!E477/SUM('Key inputs_EB_OWN'!E$459:E$478)),"")</f>
        <v>0</v>
      </c>
      <c r="L95" s="226">
        <f>IFERROR(IF(AND('Key inputs_EB_OWN'!F477/SUM('Key inputs_EB_OWN'!F$459:F$478)&gt;0,'Key inputs_EB_OWN'!F477/SUM('Key inputs_EB_OWN'!F$459:F$478)&lt;0.001),0.001,'Key inputs_EB_OWN'!F477/SUM('Key inputs_EB_OWN'!F$459:F$478)),"")</f>
        <v>0</v>
      </c>
      <c r="M95" s="226">
        <f>IFERROR(IF(AND('Key inputs_EB_OWN'!G477/SUM('Key inputs_EB_OWN'!G$459:G$478)&gt;0,'Key inputs_EB_OWN'!G477/SUM('Key inputs_EB_OWN'!G$459:G$478)&lt;0.001),0.001,'Key inputs_EB_OWN'!G477/SUM('Key inputs_EB_OWN'!G$459:G$478)),"")</f>
        <v>0</v>
      </c>
      <c r="N95" s="226">
        <f>IFERROR(IF(AND('Key inputs_EB_OWN'!H477/SUM('Key inputs_EB_OWN'!H$459:H$478)&gt;0,'Key inputs_EB_OWN'!H477/SUM('Key inputs_EB_OWN'!H$459:H$478)&lt;0.001),0.001,'Key inputs_EB_OWN'!H477/SUM('Key inputs_EB_OWN'!H$459:H$478)),"")</f>
        <v>0</v>
      </c>
      <c r="O95" s="226">
        <f>IFERROR(IF(AND('Key inputs_EB_OWN'!I477/SUM('Key inputs_EB_OWN'!I$459:I$478)&gt;0,'Key inputs_EB_OWN'!I477/SUM('Key inputs_EB_OWN'!I$459:I$478)&lt;0.001),0.001,'Key inputs_EB_OWN'!I477/SUM('Key inputs_EB_OWN'!I$459:I$478)),"")</f>
        <v>3.1887664751294939E-3</v>
      </c>
      <c r="P95" s="226">
        <f>IFERROR(IF(AND('Key inputs_EB_OWN'!J477/SUM('Key inputs_EB_OWN'!J$459:J$478)&gt;0,'Key inputs_EB_OWN'!J477/SUM('Key inputs_EB_OWN'!J$459:J$478)&lt;0.001),0.001,'Key inputs_EB_OWN'!J477/SUM('Key inputs_EB_OWN'!J$459:J$478)),"")</f>
        <v>0</v>
      </c>
      <c r="Q95" s="226">
        <f>IFERROR(IF(AND('Key inputs_EB_OWN'!K477/SUM('Key inputs_EB_OWN'!K$459:K$478)&gt;0,'Key inputs_EB_OWN'!K477/SUM('Key inputs_EB_OWN'!K$459:K$478)&lt;0.001),0.001,'Key inputs_EB_OWN'!K477/SUM('Key inputs_EB_OWN'!K$459:K$478)),"")</f>
        <v>0</v>
      </c>
      <c r="R95" s="226">
        <f>IFERROR(IF(AND('Key inputs_EB_OWN'!L477/SUM('Key inputs_EB_OWN'!L$459:L$478)&gt;0,'Key inputs_EB_OWN'!L477/SUM('Key inputs_EB_OWN'!L$459:L$478)&lt;0.001),0.001,'Key inputs_EB_OWN'!L477/SUM('Key inputs_EB_OWN'!L$459:L$478)),"")</f>
        <v>0</v>
      </c>
      <c r="S95" s="226">
        <f>IFERROR(IF(AND('Key inputs_EB_OWN'!M477/SUM('Key inputs_EB_OWN'!M$459:M$478)&gt;0,'Key inputs_EB_OWN'!M477/SUM('Key inputs_EB_OWN'!M$459:M$478)&lt;0.001),0.001,'Key inputs_EB_OWN'!M477/SUM('Key inputs_EB_OWN'!M$459:M$478)),"")</f>
        <v>0</v>
      </c>
      <c r="T95" s="226">
        <f>IFERROR(IF(AND('Key inputs_EB_OWN'!N477/SUM('Key inputs_EB_OWN'!N$459:N$478)&gt;0,'Key inputs_EB_OWN'!N477/SUM('Key inputs_EB_OWN'!N$459:N$478)&lt;0.001),0.001,'Key inputs_EB_OWN'!N477/SUM('Key inputs_EB_OWN'!N$459:N$478)),"")</f>
        <v>8.5693771734892163E-2</v>
      </c>
      <c r="U95" s="226">
        <f>IFERROR(IF(AND('Key inputs_EB_OWN'!O477/SUM('Key inputs_EB_OWN'!O$459:O$478)&gt;0,'Key inputs_EB_OWN'!O477/SUM('Key inputs_EB_OWN'!O$459:O$478)&lt;0.001),0.001,'Key inputs_EB_OWN'!O477/SUM('Key inputs_EB_OWN'!O$459:O$478)),"")</f>
        <v>0</v>
      </c>
      <c r="V95" s="226">
        <f>IFERROR(IF(AND('Key inputs_EB_OWN'!P477/SUM('Key inputs_EB_OWN'!P$459:P$478)&gt;0,'Key inputs_EB_OWN'!P477/SUM('Key inputs_EB_OWN'!P$459:P$478)&lt;0.001),0.001,'Key inputs_EB_OWN'!P477/SUM('Key inputs_EB_OWN'!P$459:P$478)),"")</f>
        <v>1.4404323945182308E-2</v>
      </c>
      <c r="W95" s="226">
        <f>IFERROR(IF(AND('Key inputs_EB_OWN'!Q477/SUM('Key inputs_EB_OWN'!Q$459:Q$478)&gt;0,'Key inputs_EB_OWN'!Q477/SUM('Key inputs_EB_OWN'!Q$459:Q$478)&lt;0.001),0.001,'Key inputs_EB_OWN'!Q477/SUM('Key inputs_EB_OWN'!Q$459:Q$478)),"")</f>
        <v>1E-3</v>
      </c>
      <c r="X95" s="226">
        <f>IFERROR(IF(AND('Key inputs_EB_OWN'!R477/SUM('Key inputs_EB_OWN'!R$459:R$478)&gt;0,'Key inputs_EB_OWN'!R477/SUM('Key inputs_EB_OWN'!R$459:R$478)&lt;0.001),0.001,'Key inputs_EB_OWN'!R477/SUM('Key inputs_EB_OWN'!R$459:R$478)),"")</f>
        <v>0</v>
      </c>
      <c r="Y95" s="226">
        <f>IFERROR(IF(AND('Key inputs_EB_OWN'!S477/SUM('Key inputs_EB_OWN'!S$459:S$478)&gt;0,'Key inputs_EB_OWN'!S477/SUM('Key inputs_EB_OWN'!S$459:S$478)&lt;0.001),0.001,'Key inputs_EB_OWN'!S477/SUM('Key inputs_EB_OWN'!S$459:S$478)),"")</f>
        <v>1.0475778083511122E-3</v>
      </c>
      <c r="Z95" s="226">
        <f>IFERROR(IF(AND('Key inputs_EB_OWN'!T477/SUM('Key inputs_EB_OWN'!T$459:T$478)&gt;0,'Key inputs_EB_OWN'!T477/SUM('Key inputs_EB_OWN'!T$459:T$478)&lt;0.001),0.001,'Key inputs_EB_OWN'!T477/SUM('Key inputs_EB_OWN'!T$459:T$478)),"")</f>
        <v>0</v>
      </c>
      <c r="AA95" s="226">
        <f>IFERROR(IF(AND('Key inputs_EB_OWN'!U477/SUM('Key inputs_EB_OWN'!U$459:U$478)&gt;0,'Key inputs_EB_OWN'!U477/SUM('Key inputs_EB_OWN'!U$459:U$478)&lt;0.001),0.001,'Key inputs_EB_OWN'!U477/SUM('Key inputs_EB_OWN'!U$459:U$478)),"")</f>
        <v>0</v>
      </c>
      <c r="AB95" s="226">
        <f>IFERROR(IF(AND('Key inputs_EB_OWN'!V477/SUM('Key inputs_EB_OWN'!V$459:V$478)&gt;0,'Key inputs_EB_OWN'!V477/SUM('Key inputs_EB_OWN'!V$459:V$478)&lt;0.001),0.001,'Key inputs_EB_OWN'!V477/SUM('Key inputs_EB_OWN'!V$459:V$478)),"")</f>
        <v>0</v>
      </c>
      <c r="AC95" s="226">
        <f>IFERROR(IF(AND('Key inputs_EB_OWN'!W477/SUM('Key inputs_EB_OWN'!W$459:W$478)&gt;0,'Key inputs_EB_OWN'!W477/SUM('Key inputs_EB_OWN'!W$459:W$478)&lt;0.001),0.001,'Key inputs_EB_OWN'!W477/SUM('Key inputs_EB_OWN'!W$459:W$478)),"")</f>
        <v>0</v>
      </c>
      <c r="AD95" s="226">
        <f>IFERROR(IF(AND('Key inputs_EB_OWN'!X477/SUM('Key inputs_EB_OWN'!X$459:X$478)&gt;0,'Key inputs_EB_OWN'!X477/SUM('Key inputs_EB_OWN'!X$459:X$478)&lt;0.001),0.001,'Key inputs_EB_OWN'!X477/SUM('Key inputs_EB_OWN'!X$459:X$478)),"")</f>
        <v>0</v>
      </c>
      <c r="AE95" s="226">
        <f>IFERROR(IF(AND('Key inputs_EB_OWN'!Y477/SUM('Key inputs_EB_OWN'!Y$459:Y$478)&gt;0,'Key inputs_EB_OWN'!Y477/SUM('Key inputs_EB_OWN'!Y$459:Y$478)&lt;0.001),0.001,'Key inputs_EB_OWN'!Y477/SUM('Key inputs_EB_OWN'!Y$459:Y$478)),"")</f>
        <v>0</v>
      </c>
      <c r="AF95" s="226">
        <f>IFERROR(IF(AND('Key inputs_EB_OWN'!Z477/SUM('Key inputs_EB_OWN'!Z$459:Z$478)&gt;0,'Key inputs_EB_OWN'!Z477/SUM('Key inputs_EB_OWN'!Z$459:Z$478)&lt;0.001),0.001,'Key inputs_EB_OWN'!Z477/SUM('Key inputs_EB_OWN'!Z$459:Z$478)),"")</f>
        <v>0</v>
      </c>
      <c r="AG95" s="226">
        <f>IFERROR(IF(AND('Key inputs_EB_OWN'!AA477/SUM('Key inputs_EB_OWN'!AA$459:AA$478)&gt;0,'Key inputs_EB_OWN'!AA477/SUM('Key inputs_EB_OWN'!AA$459:AA$478)&lt;0.001),0.001,'Key inputs_EB_OWN'!AA477/SUM('Key inputs_EB_OWN'!AA$459:AA$478)),"")</f>
        <v>0</v>
      </c>
      <c r="AH95" s="226">
        <f>IFERROR(IF(AND('Key inputs_EB_OWN'!AB477/SUM('Key inputs_EB_OWN'!AB$459:AB$478)&gt;0,'Key inputs_EB_OWN'!AB477/SUM('Key inputs_EB_OWN'!AB$459:AB$478)&lt;0.001),0.001,'Key inputs_EB_OWN'!AB477/SUM('Key inputs_EB_OWN'!AB$459:AB$478)),"")</f>
        <v>0</v>
      </c>
      <c r="AI95" s="226">
        <f>IFERROR(IF(AND('Key inputs_EB_OWN'!AC477/SUM('Key inputs_EB_OWN'!AC$459:AC$478)&gt;0,'Key inputs_EB_OWN'!AC477/SUM('Key inputs_EB_OWN'!AC$459:AC$478)&lt;0.001),0.001,'Key inputs_EB_OWN'!AC477/SUM('Key inputs_EB_OWN'!AC$459:AC$478)),"")</f>
        <v>0</v>
      </c>
      <c r="AJ95" s="226">
        <f>IFERROR(IF(AND('Key inputs_EB_OWN'!AD477/SUM('Key inputs_EB_OWN'!AD$459:AD$478)&gt;0,'Key inputs_EB_OWN'!AD477/SUM('Key inputs_EB_OWN'!AD$459:AD$478)&lt;0.001),0.001,'Key inputs_EB_OWN'!AD477/SUM('Key inputs_EB_OWN'!AD$459:AD$478)),"")</f>
        <v>0</v>
      </c>
      <c r="AK95" s="226">
        <f>IFERROR(IF(AND('Key inputs_EB_OWN'!AE477/SUM('Key inputs_EB_OWN'!AE$459:AE$478)&gt;0,'Key inputs_EB_OWN'!AE477/SUM('Key inputs_EB_OWN'!AE$459:AE$478)&lt;0.001),0.001,'Key inputs_EB_OWN'!AE477/SUM('Key inputs_EB_OWN'!AE$459:AE$478)),"")</f>
        <v>3.1684364108356291E-3</v>
      </c>
      <c r="AL95" s="226">
        <f>IFERROR(IF(AND('Key inputs_EB_OWN'!AF477/SUM('Key inputs_EB_OWN'!AF$459:AF$478)&gt;0,'Key inputs_EB_OWN'!AF477/SUM('Key inputs_EB_OWN'!AF$459:AF$478)&lt;0.001),0.001,'Key inputs_EB_OWN'!AF477/SUM('Key inputs_EB_OWN'!AF$459:AF$478)),"")</f>
        <v>0</v>
      </c>
    </row>
    <row r="96" spans="1:38">
      <c r="A96" t="str">
        <f>A14</f>
        <v>U-EXT-GASWET_00</v>
      </c>
      <c r="B96" t="str">
        <f>B14</f>
        <v>UPS Extraction of Wet gas - Existing</v>
      </c>
      <c r="G96" s="4" t="s">
        <v>687</v>
      </c>
      <c r="J96" t="s">
        <v>2663</v>
      </c>
      <c r="K96" s="354"/>
      <c r="L96" s="354"/>
      <c r="M96" s="354"/>
      <c r="N96" s="354"/>
      <c r="O96" s="354"/>
      <c r="P96" s="354"/>
      <c r="Q96" s="354"/>
      <c r="R96" s="354"/>
      <c r="S96" s="354"/>
      <c r="T96" s="354"/>
      <c r="U96" s="354"/>
      <c r="V96" s="354"/>
      <c r="W96" s="354"/>
      <c r="X96" s="354"/>
      <c r="Y96" s="354"/>
      <c r="Z96" s="354"/>
      <c r="AA96" s="354"/>
      <c r="AB96" s="354"/>
      <c r="AC96" s="354"/>
      <c r="AD96" s="354"/>
      <c r="AE96" s="354"/>
      <c r="AF96" s="354"/>
      <c r="AG96" s="354"/>
      <c r="AH96" s="354"/>
      <c r="AI96" s="354"/>
      <c r="AJ96" s="354"/>
      <c r="AK96" s="354"/>
      <c r="AL96" s="354"/>
    </row>
    <row r="97" spans="1:38">
      <c r="D97" s="4"/>
      <c r="E97" s="4"/>
      <c r="F97" s="4"/>
      <c r="G97" s="4" t="s">
        <v>689</v>
      </c>
      <c r="J97" t="s">
        <v>2663</v>
      </c>
      <c r="K97" s="354"/>
      <c r="L97" s="354"/>
      <c r="M97" s="354"/>
      <c r="N97" s="354"/>
      <c r="O97" s="354"/>
      <c r="P97" s="354"/>
      <c r="Q97" s="354"/>
      <c r="R97" s="354"/>
      <c r="S97" s="354"/>
      <c r="T97" s="354"/>
      <c r="U97" s="354"/>
      <c r="V97" s="354"/>
      <c r="W97" s="354"/>
      <c r="X97" s="354"/>
      <c r="Y97" s="354"/>
      <c r="Z97" s="354"/>
      <c r="AA97" s="354"/>
      <c r="AB97" s="354"/>
      <c r="AC97" s="354"/>
      <c r="AD97" s="354"/>
      <c r="AE97" s="354"/>
      <c r="AF97" s="354"/>
      <c r="AG97" s="354"/>
      <c r="AH97" s="354"/>
      <c r="AI97" s="354"/>
      <c r="AJ97" s="354"/>
      <c r="AK97" s="354"/>
      <c r="AL97" s="354"/>
    </row>
    <row r="98" spans="1:38">
      <c r="D98" s="4"/>
      <c r="E98" s="4"/>
      <c r="F98" s="4"/>
      <c r="G98" s="4" t="s">
        <v>675</v>
      </c>
      <c r="J98" t="s">
        <v>2662</v>
      </c>
      <c r="K98" s="396">
        <f>SUMIFS('Key inputs_Reserves'!$G$50:$G$77,'Key inputs_Reserves'!$A$50:$A$77,K$33)*10^3</f>
        <v>2.9346004891233708</v>
      </c>
      <c r="L98" s="396">
        <f>SUMIFS('Key inputs_Reserves'!$G$50:$G$77,'Key inputs_Reserves'!$A$50:$A$77,L$33)*10^3</f>
        <v>2.3476803912986961</v>
      </c>
      <c r="M98" s="396">
        <f>SUMIFS('Key inputs_Reserves'!$G$50:$G$77,'Key inputs_Reserves'!$A$50:$A$77,M$33)*10^3</f>
        <v>2.9346004891233708</v>
      </c>
      <c r="N98" s="396">
        <f>SUMIFS('Key inputs_Reserves'!$G$50:$G$77,'Key inputs_Reserves'!$A$50:$A$77,N$33)*10^3</f>
        <v>2.9346004891233708</v>
      </c>
      <c r="O98" s="396">
        <f>SUMIFS('Key inputs_Reserves'!$G$50:$G$77,'Key inputs_Reserves'!$A$50:$A$77,O$33)*10^3</f>
        <v>2.9346004891233708</v>
      </c>
      <c r="P98" s="396">
        <f>SUMIFS('Key inputs_Reserves'!$G$50:$G$77,'Key inputs_Reserves'!$A$50:$A$77,P$33)*10^3</f>
        <v>2.9346004891233708</v>
      </c>
      <c r="Q98" s="396">
        <f>SUMIFS('Key inputs_Reserves'!$G$50:$G$77,'Key inputs_Reserves'!$A$50:$A$77,Q$33)*10^3</f>
        <v>4.4019007336850553</v>
      </c>
      <c r="R98" s="396">
        <f>SUMIFS('Key inputs_Reserves'!$G$50:$G$77,'Key inputs_Reserves'!$A$50:$A$77,R$33)*10^3</f>
        <v>4.4019007336850553</v>
      </c>
      <c r="S98" s="396">
        <f>SUMIFS('Key inputs_Reserves'!$G$50:$G$77,'Key inputs_Reserves'!$A$50:$A$77,S$33)*10^3</f>
        <v>3.250102185417024</v>
      </c>
      <c r="T98" s="396">
        <f>SUMIFS('Key inputs_Reserves'!$G$50:$G$77,'Key inputs_Reserves'!$A$50:$A$77,T$33)*10^3</f>
        <v>3.1860911351138088</v>
      </c>
      <c r="U98" s="396">
        <f>SUMIFS('Key inputs_Reserves'!$G$50:$G$77,'Key inputs_Reserves'!$A$50:$A$77,U$33)*10^3</f>
        <v>3.5215205869480446</v>
      </c>
      <c r="V98" s="396">
        <f>SUMIFS('Key inputs_Reserves'!$G$50:$G$77,'Key inputs_Reserves'!$A$50:$A$77,V$33)*10^3</f>
        <v>4.6953607825973922</v>
      </c>
      <c r="W98" s="396">
        <f>SUMIFS('Key inputs_Reserves'!$G$50:$G$77,'Key inputs_Reserves'!$A$50:$A$77,W$33)*10^3</f>
        <v>5.8692009782467416</v>
      </c>
      <c r="X98" s="396">
        <f>SUMIFS('Key inputs_Reserves'!$G$50:$G$77,'Key inputs_Reserves'!$A$50:$A$77,X$33)*10^3</f>
        <v>4.2299688963918447</v>
      </c>
      <c r="Y98" s="396">
        <f>SUMIFS('Key inputs_Reserves'!$G$50:$G$77,'Key inputs_Reserves'!$A$50:$A$77,Y$33)*10^3</f>
        <v>5.8692009782467416</v>
      </c>
      <c r="Z98" s="396">
        <f>SUMIFS('Key inputs_Reserves'!$G$50:$G$77,'Key inputs_Reserves'!$A$50:$A$77,Z$33)*10^3</f>
        <v>5.8692009782467416</v>
      </c>
      <c r="AA98" s="396">
        <f>SUMIFS('Key inputs_Reserves'!$G$50:$G$77,'Key inputs_Reserves'!$A$50:$A$77,AA$33)*10^3</f>
        <v>5.8692009782467416</v>
      </c>
      <c r="AB98" s="396">
        <f>SUMIFS('Key inputs_Reserves'!$G$50:$G$77,'Key inputs_Reserves'!$A$50:$A$77,AB$33)*10^3</f>
        <v>3.0590233947275078</v>
      </c>
      <c r="AC98" s="396">
        <f>SUMIFS('Key inputs_Reserves'!$G$50:$G$77,'Key inputs_Reserves'!$A$50:$A$77,AC$33)*10^3</f>
        <v>4.9888208315097309</v>
      </c>
      <c r="AD98" s="396">
        <f>SUMIFS('Key inputs_Reserves'!$G$50:$G$77,'Key inputs_Reserves'!$A$50:$A$77,AD$33)*10^3</f>
        <v>4.9888208315097309</v>
      </c>
      <c r="AE98" s="396">
        <f>SUMIFS('Key inputs_Reserves'!$G$50:$G$77,'Key inputs_Reserves'!$A$50:$A$77,AE$33)*10^3</f>
        <v>4.5375833027261274</v>
      </c>
      <c r="AF98" s="396">
        <f>SUMIFS('Key inputs_Reserves'!$G$50:$G$77,'Key inputs_Reserves'!$A$50:$A$77,AF$33)*10^3</f>
        <v>4.4019007336850553</v>
      </c>
      <c r="AG98" s="396">
        <f>SUMIFS('Key inputs_Reserves'!$G$50:$G$77,'Key inputs_Reserves'!$A$50:$A$77,AG$33)*10^3</f>
        <v>1.6436749869952818</v>
      </c>
      <c r="AH98" s="396">
        <f>SUMIFS('Key inputs_Reserves'!$G$50:$G$77,'Key inputs_Reserves'!$A$50:$A$77,AH$33)*10^3</f>
        <v>2.9346004891233708</v>
      </c>
      <c r="AI98" s="396">
        <f>SUMIFS('Key inputs_Reserves'!$G$50:$G$77,'Key inputs_Reserves'!$A$50:$A$77,AI$33)*10^3</f>
        <v>2.1846350244952579</v>
      </c>
      <c r="AJ98" s="396">
        <f>SUMIFS('Key inputs_Reserves'!$G$50:$G$77,'Key inputs_Reserves'!$A$50:$A$77,AJ$33)*10^3</f>
        <v>2.9452239956619706</v>
      </c>
      <c r="AK98" s="396">
        <f>SUMIFS('Key inputs_Reserves'!$G$50:$G$77,'Key inputs_Reserves'!$A$50:$A$77,AK$33)*10^3</f>
        <v>4.9888208315097309</v>
      </c>
      <c r="AL98" s="396">
        <f>SUMIFS('Key inputs_Reserves'!$G$50:$G$77,'Key inputs_Reserves'!$A$50:$A$77,AL$33)*10^3</f>
        <v>3.2771431577058734</v>
      </c>
    </row>
    <row r="99" spans="1:38">
      <c r="C99" t="str">
        <f>Commodities!$C$10</f>
        <v>RSVGAS</v>
      </c>
      <c r="D99" s="4"/>
      <c r="E99" s="4"/>
      <c r="F99" s="4"/>
      <c r="G99" s="4" t="s">
        <v>690</v>
      </c>
      <c r="I99">
        <v>2019</v>
      </c>
      <c r="J99" t="s">
        <v>112</v>
      </c>
      <c r="K99" s="354">
        <v>1</v>
      </c>
      <c r="L99" s="354">
        <v>1</v>
      </c>
      <c r="M99" s="354">
        <v>1</v>
      </c>
      <c r="N99" s="354">
        <v>1</v>
      </c>
      <c r="O99" s="354">
        <v>1</v>
      </c>
      <c r="P99" s="354">
        <v>1</v>
      </c>
      <c r="Q99" s="354">
        <v>1</v>
      </c>
      <c r="R99" s="354">
        <v>1</v>
      </c>
      <c r="S99" s="354">
        <v>1</v>
      </c>
      <c r="T99" s="354">
        <v>1</v>
      </c>
      <c r="U99" s="354">
        <v>1</v>
      </c>
      <c r="V99" s="354">
        <v>1</v>
      </c>
      <c r="W99" s="354">
        <v>1</v>
      </c>
      <c r="X99" s="354">
        <v>1</v>
      </c>
      <c r="Y99" s="354">
        <v>1</v>
      </c>
      <c r="Z99" s="354">
        <v>1</v>
      </c>
      <c r="AA99" s="354">
        <v>1</v>
      </c>
      <c r="AB99" s="354">
        <v>1</v>
      </c>
      <c r="AC99" s="354">
        <v>1</v>
      </c>
      <c r="AD99" s="354">
        <v>1</v>
      </c>
      <c r="AE99" s="354">
        <v>1</v>
      </c>
      <c r="AF99" s="354">
        <v>1</v>
      </c>
      <c r="AG99" s="354">
        <v>1</v>
      </c>
      <c r="AH99" s="354">
        <v>1</v>
      </c>
      <c r="AI99" s="354">
        <v>1</v>
      </c>
      <c r="AJ99" s="354">
        <v>1</v>
      </c>
      <c r="AK99" s="354">
        <v>1</v>
      </c>
      <c r="AL99" s="354">
        <v>1</v>
      </c>
    </row>
    <row r="100" spans="1:38">
      <c r="D100" s="4" t="s">
        <v>359</v>
      </c>
      <c r="E100" s="4" t="s">
        <v>691</v>
      </c>
      <c r="F100" s="4"/>
      <c r="G100" s="4" t="s">
        <v>692</v>
      </c>
      <c r="I100">
        <v>2019</v>
      </c>
      <c r="J100" s="4" t="s">
        <v>2664</v>
      </c>
      <c r="K100" s="173">
        <f>IFERROR(H$14/(-SUM('Key inputs_EB_OWN'!E$439:E$458)/1000),"")</f>
        <v>163.20954297211841</v>
      </c>
      <c r="L100" s="173">
        <f>IFERROR(I$14/(-SUM('Key inputs_EB_OWN'!F$439:F$458)/1000),"")</f>
        <v>43.051703659387293</v>
      </c>
      <c r="M100" s="173">
        <f>IFERROR(J$14/(-SUM('Key inputs_EB_OWN'!G$439:G$458)/1000),"")</f>
        <v>369.27688124839818</v>
      </c>
      <c r="N100" s="173">
        <f>IFERROR(K$14/(-SUM('Key inputs_EB_OWN'!H$439:H$458)/1000),"")</f>
        <v>65.663010831747329</v>
      </c>
      <c r="O100" s="173">
        <f>IFERROR(L$14/(-SUM('Key inputs_EB_OWN'!I$439:I$458)/1000),"")</f>
        <v>62.858842568250033</v>
      </c>
      <c r="P100" s="173">
        <f>IFERROR(M$14/(-SUM('Key inputs_EB_OWN'!J$439:J$458)/1000),"")</f>
        <v>44.327580320884699</v>
      </c>
      <c r="Q100" s="173">
        <f>IFERROR(N$14/(-SUM('Key inputs_EB_OWN'!K$439:K$458)/1000),"")</f>
        <v>19.445802692174826</v>
      </c>
      <c r="R100" s="173">
        <f>IFERROR(O$14/(-SUM('Key inputs_EB_OWN'!L$439:L$458)/1000),"")</f>
        <v>126.60537026568683</v>
      </c>
      <c r="S100" s="173">
        <f>IFERROR(P$14/(-SUM('Key inputs_EB_OWN'!M$439:M$458)/1000),"")</f>
        <v>19.631756900680447</v>
      </c>
      <c r="T100" s="173">
        <f>IFERROR(Q$14/(-SUM('Key inputs_EB_OWN'!N$439:N$458)/1000),"")</f>
        <v>9.4095994229263926</v>
      </c>
      <c r="U100" s="173">
        <f>IFERROR(R$14/(-SUM('Key inputs_EB_OWN'!O$439:O$458)/1000),"")</f>
        <v>44.664774030212911</v>
      </c>
      <c r="V100" s="173">
        <f>IFERROR(S$14/(-SUM('Key inputs_EB_OWN'!P$439:P$458)/1000),"")</f>
        <v>18.726605938936832</v>
      </c>
      <c r="W100" s="173">
        <f>IFERROR(T$14/(-SUM('Key inputs_EB_OWN'!Q$439:Q$458)/1000),"")</f>
        <v>21.987432742061596</v>
      </c>
      <c r="X100" s="173">
        <f>IFERROR(U$14/(-SUM('Key inputs_EB_OWN'!R$439:R$458)/1000),"")</f>
        <v>22.715111073743692</v>
      </c>
      <c r="Y100" s="173">
        <f>IFERROR(V$14/(-SUM('Key inputs_EB_OWN'!S$439:S$458)/1000),"")</f>
        <v>24.99995966568116</v>
      </c>
      <c r="Z100" s="173">
        <f>IFERROR(W$14/(-SUM('Key inputs_EB_OWN'!T$439:T$458)/1000),"")</f>
        <v>25.303386680663444</v>
      </c>
      <c r="AA100" s="173">
        <f>IFERROR(X$14/(-SUM('Key inputs_EB_OWN'!U$439:U$458)/1000),"")</f>
        <v>30.864180402419866</v>
      </c>
      <c r="AB100" s="173">
        <f>IFERROR(Y$14/(-SUM('Key inputs_EB_OWN'!V$439:V$458)/1000),"")</f>
        <v>23.205278290274585</v>
      </c>
      <c r="AC100" s="173">
        <f>IFERROR(Z$14/(-SUM('Key inputs_EB_OWN'!W$439:W$458)/1000),"")</f>
        <v>81.925307215502457</v>
      </c>
      <c r="AD100" s="173">
        <f>IFERROR(AA$14/(-SUM('Key inputs_EB_OWN'!X$439:X$458)/1000),"")</f>
        <v>22.279209353452835</v>
      </c>
      <c r="AE100" s="173">
        <f>IFERROR(AB$14/(-SUM('Key inputs_EB_OWN'!Y$439:Y$458)/1000),"")</f>
        <v>28.107295467037723</v>
      </c>
      <c r="AF100" s="173">
        <f>IFERROR(AC$14/(-SUM('Key inputs_EB_OWN'!Z$439:Z$458)/1000),"")</f>
        <v>147.11527363161815</v>
      </c>
      <c r="AG100" s="173">
        <f>IFERROR(AD$14/(-SUM('Key inputs_EB_OWN'!AA$439:AA$458)/1000),"")</f>
        <v>65.346353975550286</v>
      </c>
      <c r="AH100" s="173">
        <f>IFERROR(AE$14/(-SUM('Key inputs_EB_OWN'!AB$439:AB$458)/1000),"")</f>
        <v>10.961512263876648</v>
      </c>
      <c r="AI100" s="173">
        <f>IFERROR(AF$14/(-SUM('Key inputs_EB_OWN'!AC$439:AC$458)/1000),"")</f>
        <v>42.150094795889423</v>
      </c>
      <c r="AJ100" s="173">
        <f>IFERROR(AG$14/(-SUM('Key inputs_EB_OWN'!AD$439:AD$458)/1000),"")</f>
        <v>48.257459360710946</v>
      </c>
      <c r="AK100" s="173">
        <f>IFERROR(AH$14/(-SUM('Key inputs_EB_OWN'!AE$439:AE$458)/1000),"")</f>
        <v>3.3152506291292867</v>
      </c>
      <c r="AL100" s="173">
        <f>IFERROR(AI$14/(-SUM('Key inputs_EB_OWN'!AF$439:AF$458)/1000),"")</f>
        <v>27.606255730803749</v>
      </c>
    </row>
    <row r="101" spans="1:38">
      <c r="C101" s="4" t="str">
        <f>Commodities!$C$80</f>
        <v>UPSBDL</v>
      </c>
      <c r="E101" s="4" t="s">
        <v>359</v>
      </c>
      <c r="G101" t="s">
        <v>693</v>
      </c>
      <c r="H101" s="4" t="s">
        <v>661</v>
      </c>
      <c r="I101">
        <v>2019</v>
      </c>
      <c r="J101" t="s">
        <v>650</v>
      </c>
      <c r="K101" s="173">
        <f>IFERROR(IF(AND('Key inputs_EB_OWN'!E439/SUM('Key inputs_EB_OWN'!E$439:E$458)&gt;0,'Key inputs_EB_OWN'!E439/SUM('Key inputs_EB_OWN'!E$439:E$458)&lt;0.001),0.001,'Key inputs_EB_OWN'!E439/SUM('Key inputs_EB_OWN'!E$439:E$458)),"")</f>
        <v>0</v>
      </c>
      <c r="L101" s="173">
        <f>IFERROR(IF(AND('Key inputs_EB_OWN'!F439/SUM('Key inputs_EB_OWN'!F$439:F$458)&gt;0,'Key inputs_EB_OWN'!F439/SUM('Key inputs_EB_OWN'!F$439:F$458)&lt;0.001),0.001,'Key inputs_EB_OWN'!F439/SUM('Key inputs_EB_OWN'!F$439:F$458)),"")</f>
        <v>0</v>
      </c>
      <c r="M101" s="173">
        <f>IFERROR(IF(AND('Key inputs_EB_OWN'!G439/SUM('Key inputs_EB_OWN'!G$439:G$458)&gt;0,'Key inputs_EB_OWN'!G439/SUM('Key inputs_EB_OWN'!G$439:G$458)&lt;0.001),0.001,'Key inputs_EB_OWN'!G439/SUM('Key inputs_EB_OWN'!G$439:G$458)),"")</f>
        <v>0</v>
      </c>
      <c r="N101" s="173">
        <f>IFERROR(IF(AND('Key inputs_EB_OWN'!H439/SUM('Key inputs_EB_OWN'!H$439:H$458)&gt;0,'Key inputs_EB_OWN'!H439/SUM('Key inputs_EB_OWN'!H$439:H$458)&lt;0.001),0.001,'Key inputs_EB_OWN'!H439/SUM('Key inputs_EB_OWN'!H$439:H$458)),"")</f>
        <v>0</v>
      </c>
      <c r="O101" s="173">
        <f>IFERROR(IF(AND('Key inputs_EB_OWN'!I439/SUM('Key inputs_EB_OWN'!I$439:I$458)&gt;0,'Key inputs_EB_OWN'!I439/SUM('Key inputs_EB_OWN'!I$439:I$458)&lt;0.001),0.001,'Key inputs_EB_OWN'!I439/SUM('Key inputs_EB_OWN'!I$439:I$458)),"")</f>
        <v>0</v>
      </c>
      <c r="P101" s="173">
        <f>IFERROR(IF(AND('Key inputs_EB_OWN'!J439/SUM('Key inputs_EB_OWN'!J$439:J$458)&gt;0,'Key inputs_EB_OWN'!J439/SUM('Key inputs_EB_OWN'!J$439:J$458)&lt;0.001),0.001,'Key inputs_EB_OWN'!J439/SUM('Key inputs_EB_OWN'!J$439:J$458)),"")</f>
        <v>0</v>
      </c>
      <c r="Q101" s="173">
        <f>IFERROR(IF(AND('Key inputs_EB_OWN'!K439/SUM('Key inputs_EB_OWN'!K$439:K$458)&gt;0,'Key inputs_EB_OWN'!K439/SUM('Key inputs_EB_OWN'!K$439:K$458)&lt;0.001),0.001,'Key inputs_EB_OWN'!K439/SUM('Key inputs_EB_OWN'!K$439:K$458)),"")</f>
        <v>0</v>
      </c>
      <c r="R101" s="173">
        <f>IFERROR(IF(AND('Key inputs_EB_OWN'!L439/SUM('Key inputs_EB_OWN'!L$439:L$458)&gt;0,'Key inputs_EB_OWN'!L439/SUM('Key inputs_EB_OWN'!L$439:L$458)&lt;0.001),0.001,'Key inputs_EB_OWN'!L439/SUM('Key inputs_EB_OWN'!L$439:L$458)),"")</f>
        <v>0</v>
      </c>
      <c r="S101" s="173">
        <f>IFERROR(IF(AND('Key inputs_EB_OWN'!M439/SUM('Key inputs_EB_OWN'!M$439:M$458)&gt;0,'Key inputs_EB_OWN'!M439/SUM('Key inputs_EB_OWN'!M$439:M$458)&lt;0.001),0.001,'Key inputs_EB_OWN'!M439/SUM('Key inputs_EB_OWN'!M$439:M$458)),"")</f>
        <v>0</v>
      </c>
      <c r="T101" s="173">
        <f>IFERROR(IF(AND('Key inputs_EB_OWN'!N439/SUM('Key inputs_EB_OWN'!N$439:N$458)&gt;0,'Key inputs_EB_OWN'!N439/SUM('Key inputs_EB_OWN'!N$439:N$458)&lt;0.001),0.001,'Key inputs_EB_OWN'!N439/SUM('Key inputs_EB_OWN'!N$439:N$458)),"")</f>
        <v>0</v>
      </c>
      <c r="U101" s="173">
        <f>IFERROR(IF(AND('Key inputs_EB_OWN'!O439/SUM('Key inputs_EB_OWN'!O$439:O$458)&gt;0,'Key inputs_EB_OWN'!O439/SUM('Key inputs_EB_OWN'!O$439:O$458)&lt;0.001),0.001,'Key inputs_EB_OWN'!O439/SUM('Key inputs_EB_OWN'!O$439:O$458)),"")</f>
        <v>0</v>
      </c>
      <c r="V101" s="173">
        <f>IFERROR(IF(AND('Key inputs_EB_OWN'!P439/SUM('Key inputs_EB_OWN'!P$439:P$458)&gt;0,'Key inputs_EB_OWN'!P439/SUM('Key inputs_EB_OWN'!P$439:P$458)&lt;0.001),0.001,'Key inputs_EB_OWN'!P439/SUM('Key inputs_EB_OWN'!P$439:P$458)),"")</f>
        <v>0</v>
      </c>
      <c r="W101" s="173">
        <f>IFERROR(IF(AND('Key inputs_EB_OWN'!Q439/SUM('Key inputs_EB_OWN'!Q$439:Q$458)&gt;0,'Key inputs_EB_OWN'!Q439/SUM('Key inputs_EB_OWN'!Q$439:Q$458)&lt;0.001),0.001,'Key inputs_EB_OWN'!Q439/SUM('Key inputs_EB_OWN'!Q$439:Q$458)),"")</f>
        <v>0</v>
      </c>
      <c r="X101" s="173">
        <f>IFERROR(IF(AND('Key inputs_EB_OWN'!R439/SUM('Key inputs_EB_OWN'!R$439:R$458)&gt;0,'Key inputs_EB_OWN'!R439/SUM('Key inputs_EB_OWN'!R$439:R$458)&lt;0.001),0.001,'Key inputs_EB_OWN'!R439/SUM('Key inputs_EB_OWN'!R$439:R$458)),"")</f>
        <v>0</v>
      </c>
      <c r="Y101" s="173">
        <f>IFERROR(IF(AND('Key inputs_EB_OWN'!S439/SUM('Key inputs_EB_OWN'!S$439:S$458)&gt;0,'Key inputs_EB_OWN'!S439/SUM('Key inputs_EB_OWN'!S$439:S$458)&lt;0.001),0.001,'Key inputs_EB_OWN'!S439/SUM('Key inputs_EB_OWN'!S$439:S$458)),"")</f>
        <v>0</v>
      </c>
      <c r="Z101" s="173">
        <f>IFERROR(IF(AND('Key inputs_EB_OWN'!T439/SUM('Key inputs_EB_OWN'!T$439:T$458)&gt;0,'Key inputs_EB_OWN'!T439/SUM('Key inputs_EB_OWN'!T$439:T$458)&lt;0.001),0.001,'Key inputs_EB_OWN'!T439/SUM('Key inputs_EB_OWN'!T$439:T$458)),"")</f>
        <v>0</v>
      </c>
      <c r="AA101" s="173">
        <f>IFERROR(IF(AND('Key inputs_EB_OWN'!U439/SUM('Key inputs_EB_OWN'!U$439:U$458)&gt;0,'Key inputs_EB_OWN'!U439/SUM('Key inputs_EB_OWN'!U$439:U$458)&lt;0.001),0.001,'Key inputs_EB_OWN'!U439/SUM('Key inputs_EB_OWN'!U$439:U$458)),"")</f>
        <v>0</v>
      </c>
      <c r="AB101" s="173">
        <f>IFERROR(IF(AND('Key inputs_EB_OWN'!V439/SUM('Key inputs_EB_OWN'!V$439:V$458)&gt;0,'Key inputs_EB_OWN'!V439/SUM('Key inputs_EB_OWN'!V$439:V$458)&lt;0.001),0.001,'Key inputs_EB_OWN'!V439/SUM('Key inputs_EB_OWN'!V$439:V$458)),"")</f>
        <v>0</v>
      </c>
      <c r="AC101" s="173">
        <f>IFERROR(IF(AND('Key inputs_EB_OWN'!W439/SUM('Key inputs_EB_OWN'!W$439:W$458)&gt;0,'Key inputs_EB_OWN'!W439/SUM('Key inputs_EB_OWN'!W$439:W$458)&lt;0.001),0.001,'Key inputs_EB_OWN'!W439/SUM('Key inputs_EB_OWN'!W$439:W$458)),"")</f>
        <v>0</v>
      </c>
      <c r="AD101" s="173">
        <f>IFERROR(IF(AND('Key inputs_EB_OWN'!X439/SUM('Key inputs_EB_OWN'!X$439:X$458)&gt;0,'Key inputs_EB_OWN'!X439/SUM('Key inputs_EB_OWN'!X$439:X$458)&lt;0.001),0.001,'Key inputs_EB_OWN'!X439/SUM('Key inputs_EB_OWN'!X$439:X$458)),"")</f>
        <v>0</v>
      </c>
      <c r="AE101" s="173">
        <f>IFERROR(IF(AND('Key inputs_EB_OWN'!Y439/SUM('Key inputs_EB_OWN'!Y$439:Y$458)&gt;0,'Key inputs_EB_OWN'!Y439/SUM('Key inputs_EB_OWN'!Y$439:Y$458)&lt;0.001),0.001,'Key inputs_EB_OWN'!Y439/SUM('Key inputs_EB_OWN'!Y$439:Y$458)),"")</f>
        <v>0</v>
      </c>
      <c r="AF101" s="173">
        <f>IFERROR(IF(AND('Key inputs_EB_OWN'!Z439/SUM('Key inputs_EB_OWN'!Z$439:Z$458)&gt;0,'Key inputs_EB_OWN'!Z439/SUM('Key inputs_EB_OWN'!Z$439:Z$458)&lt;0.001),0.001,'Key inputs_EB_OWN'!Z439/SUM('Key inputs_EB_OWN'!Z$439:Z$458)),"")</f>
        <v>0</v>
      </c>
      <c r="AG101" s="173">
        <f>IFERROR(IF(AND('Key inputs_EB_OWN'!AA439/SUM('Key inputs_EB_OWN'!AA$439:AA$458)&gt;0,'Key inputs_EB_OWN'!AA439/SUM('Key inputs_EB_OWN'!AA$439:AA$458)&lt;0.001),0.001,'Key inputs_EB_OWN'!AA439/SUM('Key inputs_EB_OWN'!AA$439:AA$458)),"")</f>
        <v>0</v>
      </c>
      <c r="AH101" s="173">
        <f>IFERROR(IF(AND('Key inputs_EB_OWN'!AB439/SUM('Key inputs_EB_OWN'!AB$439:AB$458)&gt;0,'Key inputs_EB_OWN'!AB439/SUM('Key inputs_EB_OWN'!AB$439:AB$458)&lt;0.001),0.001,'Key inputs_EB_OWN'!AB439/SUM('Key inputs_EB_OWN'!AB$439:AB$458)),"")</f>
        <v>0</v>
      </c>
      <c r="AI101" s="173">
        <f>IFERROR(IF(AND('Key inputs_EB_OWN'!AC439/SUM('Key inputs_EB_OWN'!AC$439:AC$458)&gt;0,'Key inputs_EB_OWN'!AC439/SUM('Key inputs_EB_OWN'!AC$439:AC$458)&lt;0.001),0.001,'Key inputs_EB_OWN'!AC439/SUM('Key inputs_EB_OWN'!AC$439:AC$458)),"")</f>
        <v>0</v>
      </c>
      <c r="AJ101" s="173">
        <f>IFERROR(IF(AND('Key inputs_EB_OWN'!AD439/SUM('Key inputs_EB_OWN'!AD$439:AD$458)&gt;0,'Key inputs_EB_OWN'!AD439/SUM('Key inputs_EB_OWN'!AD$439:AD$458)&lt;0.001),0.001,'Key inputs_EB_OWN'!AD439/SUM('Key inputs_EB_OWN'!AD$439:AD$458)),"")</f>
        <v>0</v>
      </c>
      <c r="AK101" s="173">
        <f>IFERROR(IF(AND('Key inputs_EB_OWN'!AE439/SUM('Key inputs_EB_OWN'!AE$439:AE$458)&gt;0,'Key inputs_EB_OWN'!AE439/SUM('Key inputs_EB_OWN'!AE$439:AE$458)&lt;0.001),0.001,'Key inputs_EB_OWN'!AE439/SUM('Key inputs_EB_OWN'!AE$439:AE$458)),"")</f>
        <v>0</v>
      </c>
      <c r="AL101" s="173">
        <f>IFERROR(IF(AND('Key inputs_EB_OWN'!AF439/SUM('Key inputs_EB_OWN'!AF$439:AF$458)&gt;0,'Key inputs_EB_OWN'!AF439/SUM('Key inputs_EB_OWN'!AF$439:AF$458)&lt;0.001),0.001,'Key inputs_EB_OWN'!AF439/SUM('Key inputs_EB_OWN'!AF$439:AF$458)),"")</f>
        <v>1.2992864571320659E-3</v>
      </c>
    </row>
    <row r="102" spans="1:38">
      <c r="C102" s="4" t="str">
        <f>Commodities!$C$90</f>
        <v>UPSDSL</v>
      </c>
      <c r="E102" s="4" t="s">
        <v>359</v>
      </c>
      <c r="G102" t="s">
        <v>693</v>
      </c>
      <c r="H102" s="4" t="s">
        <v>661</v>
      </c>
      <c r="I102">
        <v>2019</v>
      </c>
      <c r="J102" t="s">
        <v>650</v>
      </c>
      <c r="K102" s="173">
        <f>IFERROR(IF(AND('Key inputs_EB_OWN'!E447/SUM('Key inputs_EB_OWN'!E$439:E$458)&gt;0,'Key inputs_EB_OWN'!E447/SUM('Key inputs_EB_OWN'!E$439:E$458)&lt;0.001),0.001,'Key inputs_EB_OWN'!E447/SUM('Key inputs_EB_OWN'!E$439:E$458)),"")</f>
        <v>0</v>
      </c>
      <c r="L102" s="173">
        <f>IFERROR(IF(AND('Key inputs_EB_OWN'!F447/SUM('Key inputs_EB_OWN'!F$439:F$458)&gt;0,'Key inputs_EB_OWN'!F447/SUM('Key inputs_EB_OWN'!F$439:F$458)&lt;0.001),0.001,'Key inputs_EB_OWN'!F447/SUM('Key inputs_EB_OWN'!F$439:F$458)),"")</f>
        <v>0.11437329179515886</v>
      </c>
      <c r="M102" s="173">
        <f>IFERROR(IF(AND('Key inputs_EB_OWN'!G447/SUM('Key inputs_EB_OWN'!G$439:G$458)&gt;0,'Key inputs_EB_OWN'!G447/SUM('Key inputs_EB_OWN'!G$439:G$458)&lt;0.001),0.001,'Key inputs_EB_OWN'!G447/SUM('Key inputs_EB_OWN'!G$439:G$458)),"")</f>
        <v>0.45628054967319914</v>
      </c>
      <c r="N102" s="173">
        <f>IFERROR(IF(AND('Key inputs_EB_OWN'!H447/SUM('Key inputs_EB_OWN'!H$439:H$458)&gt;0,'Key inputs_EB_OWN'!H447/SUM('Key inputs_EB_OWN'!H$439:H$458)&lt;0.001),0.001,'Key inputs_EB_OWN'!H447/SUM('Key inputs_EB_OWN'!H$439:H$458)),"")</f>
        <v>0.92720028738842231</v>
      </c>
      <c r="O102" s="173">
        <f>IFERROR(IF(AND('Key inputs_EB_OWN'!I447/SUM('Key inputs_EB_OWN'!I$439:I$458)&gt;0,'Key inputs_EB_OWN'!I447/SUM('Key inputs_EB_OWN'!I$439:I$458)&lt;0.001),0.001,'Key inputs_EB_OWN'!I447/SUM('Key inputs_EB_OWN'!I$439:I$458)),"")</f>
        <v>5.6514271168985893E-2</v>
      </c>
      <c r="P102" s="173">
        <f>IFERROR(IF(AND('Key inputs_EB_OWN'!J447/SUM('Key inputs_EB_OWN'!J$439:J$458)&gt;0,'Key inputs_EB_OWN'!J447/SUM('Key inputs_EB_OWN'!J$439:J$458)&lt;0.001),0.001,'Key inputs_EB_OWN'!J447/SUM('Key inputs_EB_OWN'!J$439:J$458)),"")</f>
        <v>5.483207836213648E-2</v>
      </c>
      <c r="Q102" s="173">
        <f>IFERROR(IF(AND('Key inputs_EB_OWN'!K447/SUM('Key inputs_EB_OWN'!K$439:K$458)&gt;0,'Key inputs_EB_OWN'!K447/SUM('Key inputs_EB_OWN'!K$439:K$458)&lt;0.001),0.001,'Key inputs_EB_OWN'!K447/SUM('Key inputs_EB_OWN'!K$439:K$458)),"")</f>
        <v>0</v>
      </c>
      <c r="R102" s="173">
        <f>IFERROR(IF(AND('Key inputs_EB_OWN'!L447/SUM('Key inputs_EB_OWN'!L$439:L$458)&gt;0,'Key inputs_EB_OWN'!L447/SUM('Key inputs_EB_OWN'!L$439:L$458)&lt;0.001),0.001,'Key inputs_EB_OWN'!L447/SUM('Key inputs_EB_OWN'!L$439:L$458)),"")</f>
        <v>0</v>
      </c>
      <c r="S102" s="173">
        <f>IFERROR(IF(AND('Key inputs_EB_OWN'!M447/SUM('Key inputs_EB_OWN'!M$439:M$458)&gt;0,'Key inputs_EB_OWN'!M447/SUM('Key inputs_EB_OWN'!M$439:M$458)&lt;0.001),0.001,'Key inputs_EB_OWN'!M447/SUM('Key inputs_EB_OWN'!M$439:M$458)),"")</f>
        <v>0.45310981725459643</v>
      </c>
      <c r="T102" s="173">
        <f>IFERROR(IF(AND('Key inputs_EB_OWN'!N447/SUM('Key inputs_EB_OWN'!N$439:N$458)&gt;0,'Key inputs_EB_OWN'!N447/SUM('Key inputs_EB_OWN'!N$439:N$458)&lt;0.001),0.001,'Key inputs_EB_OWN'!N447/SUM('Key inputs_EB_OWN'!N$439:N$458)),"")</f>
        <v>0.17302177907483288</v>
      </c>
      <c r="U102" s="173">
        <f>IFERROR(IF(AND('Key inputs_EB_OWN'!O447/SUM('Key inputs_EB_OWN'!O$439:O$458)&gt;0,'Key inputs_EB_OWN'!O447/SUM('Key inputs_EB_OWN'!O$439:O$458)&lt;0.001),0.001,'Key inputs_EB_OWN'!O447/SUM('Key inputs_EB_OWN'!O$439:O$458)),"")</f>
        <v>0</v>
      </c>
      <c r="V102" s="173">
        <f>IFERROR(IF(AND('Key inputs_EB_OWN'!P447/SUM('Key inputs_EB_OWN'!P$439:P$458)&gt;0,'Key inputs_EB_OWN'!P447/SUM('Key inputs_EB_OWN'!P$439:P$458)&lt;0.001),0.001,'Key inputs_EB_OWN'!P447/SUM('Key inputs_EB_OWN'!P$439:P$458)),"")</f>
        <v>3.0516512585795321E-2</v>
      </c>
      <c r="W102" s="173">
        <f>IFERROR(IF(AND('Key inputs_EB_OWN'!Q447/SUM('Key inputs_EB_OWN'!Q$439:Q$458)&gt;0,'Key inputs_EB_OWN'!Q447/SUM('Key inputs_EB_OWN'!Q$439:Q$458)&lt;0.001),0.001,'Key inputs_EB_OWN'!Q447/SUM('Key inputs_EB_OWN'!Q$439:Q$458)),"")</f>
        <v>5.271153927327752E-2</v>
      </c>
      <c r="X102" s="173">
        <f>IFERROR(IF(AND('Key inputs_EB_OWN'!R447/SUM('Key inputs_EB_OWN'!R$439:R$458)&gt;0,'Key inputs_EB_OWN'!R447/SUM('Key inputs_EB_OWN'!R$439:R$458)&lt;0.001),0.001,'Key inputs_EB_OWN'!R447/SUM('Key inputs_EB_OWN'!R$439:R$458)),"")</f>
        <v>0.24282181607423933</v>
      </c>
      <c r="Y102" s="173">
        <f>IFERROR(IF(AND('Key inputs_EB_OWN'!S447/SUM('Key inputs_EB_OWN'!S$439:S$458)&gt;0,'Key inputs_EB_OWN'!S447/SUM('Key inputs_EB_OWN'!S$439:S$458)&lt;0.001),0.001,'Key inputs_EB_OWN'!S447/SUM('Key inputs_EB_OWN'!S$439:S$458)),"")</f>
        <v>3.0368284162200009E-2</v>
      </c>
      <c r="Z102" s="173">
        <f>IFERROR(IF(AND('Key inputs_EB_OWN'!T447/SUM('Key inputs_EB_OWN'!T$439:T$458)&gt;0,'Key inputs_EB_OWN'!T447/SUM('Key inputs_EB_OWN'!T$439:T$458)&lt;0.001),0.001,'Key inputs_EB_OWN'!T447/SUM('Key inputs_EB_OWN'!T$439:T$458)),"")</f>
        <v>4.60748430784979E-2</v>
      </c>
      <c r="AA102" s="173">
        <f>IFERROR(IF(AND('Key inputs_EB_OWN'!U447/SUM('Key inputs_EB_OWN'!U$439:U$458)&gt;0,'Key inputs_EB_OWN'!U447/SUM('Key inputs_EB_OWN'!U$439:U$458)&lt;0.001),0.001,'Key inputs_EB_OWN'!U447/SUM('Key inputs_EB_OWN'!U$439:U$458)),"")</f>
        <v>0</v>
      </c>
      <c r="AB102" s="173">
        <f>IFERROR(IF(AND('Key inputs_EB_OWN'!V447/SUM('Key inputs_EB_OWN'!V$439:V$458)&gt;0,'Key inputs_EB_OWN'!V447/SUM('Key inputs_EB_OWN'!V$439:V$458)&lt;0.001),0.001,'Key inputs_EB_OWN'!V447/SUM('Key inputs_EB_OWN'!V$439:V$458)),"")</f>
        <v>0</v>
      </c>
      <c r="AC102" s="173">
        <f>IFERROR(IF(AND('Key inputs_EB_OWN'!W447/SUM('Key inputs_EB_OWN'!W$439:W$458)&gt;0,'Key inputs_EB_OWN'!W447/SUM('Key inputs_EB_OWN'!W$439:W$458)&lt;0.001),0.001,'Key inputs_EB_OWN'!W447/SUM('Key inputs_EB_OWN'!W$439:W$458)),"")</f>
        <v>0</v>
      </c>
      <c r="AD102" s="173">
        <f>IFERROR(IF(AND('Key inputs_EB_OWN'!X447/SUM('Key inputs_EB_OWN'!X$439:X$458)&gt;0,'Key inputs_EB_OWN'!X447/SUM('Key inputs_EB_OWN'!X$439:X$458)&lt;0.001),0.001,'Key inputs_EB_OWN'!X447/SUM('Key inputs_EB_OWN'!X$439:X$458)),"")</f>
        <v>0</v>
      </c>
      <c r="AE102" s="173">
        <f>IFERROR(IF(AND('Key inputs_EB_OWN'!Y447/SUM('Key inputs_EB_OWN'!Y$439:Y$458)&gt;0,'Key inputs_EB_OWN'!Y447/SUM('Key inputs_EB_OWN'!Y$439:Y$458)&lt;0.001),0.001,'Key inputs_EB_OWN'!Y447/SUM('Key inputs_EB_OWN'!Y$439:Y$458)),"")</f>
        <v>6.412780966155758E-2</v>
      </c>
      <c r="AF102" s="173">
        <f>IFERROR(IF(AND('Key inputs_EB_OWN'!Z447/SUM('Key inputs_EB_OWN'!Z$439:Z$458)&gt;0,'Key inputs_EB_OWN'!Z447/SUM('Key inputs_EB_OWN'!Z$439:Z$458)&lt;0.001),0.001,'Key inputs_EB_OWN'!Z447/SUM('Key inputs_EB_OWN'!Z$439:Z$458)),"")</f>
        <v>0.13274243425761351</v>
      </c>
      <c r="AG102" s="173">
        <f>IFERROR(IF(AND('Key inputs_EB_OWN'!AA447/SUM('Key inputs_EB_OWN'!AA$439:AA$458)&gt;0,'Key inputs_EB_OWN'!AA447/SUM('Key inputs_EB_OWN'!AA$439:AA$458)&lt;0.001),0.001,'Key inputs_EB_OWN'!AA447/SUM('Key inputs_EB_OWN'!AA$439:AA$458)),"")</f>
        <v>4.7935542263976366E-2</v>
      </c>
      <c r="AH102" s="173">
        <f>IFERROR(IF(AND('Key inputs_EB_OWN'!AB447/SUM('Key inputs_EB_OWN'!AB$439:AB$458)&gt;0,'Key inputs_EB_OWN'!AB447/SUM('Key inputs_EB_OWN'!AB$439:AB$458)&lt;0.001),0.001,'Key inputs_EB_OWN'!AB447/SUM('Key inputs_EB_OWN'!AB$439:AB$458)),"")</f>
        <v>0</v>
      </c>
      <c r="AI102" s="173">
        <f>IFERROR(IF(AND('Key inputs_EB_OWN'!AC447/SUM('Key inputs_EB_OWN'!AC$439:AC$458)&gt;0,'Key inputs_EB_OWN'!AC447/SUM('Key inputs_EB_OWN'!AC$439:AC$458)&lt;0.001),0.001,'Key inputs_EB_OWN'!AC447/SUM('Key inputs_EB_OWN'!AC$439:AC$458)),"")</f>
        <v>0</v>
      </c>
      <c r="AJ102" s="173">
        <f>IFERROR(IF(AND('Key inputs_EB_OWN'!AD447/SUM('Key inputs_EB_OWN'!AD$439:AD$458)&gt;0,'Key inputs_EB_OWN'!AD447/SUM('Key inputs_EB_OWN'!AD$439:AD$458)&lt;0.001),0.001,'Key inputs_EB_OWN'!AD447/SUM('Key inputs_EB_OWN'!AD$439:AD$458)),"")</f>
        <v>0.12874920434506723</v>
      </c>
      <c r="AK102" s="173">
        <f>IFERROR(IF(AND('Key inputs_EB_OWN'!AE447/SUM('Key inputs_EB_OWN'!AE$439:AE$458)&gt;0,'Key inputs_EB_OWN'!AE447/SUM('Key inputs_EB_OWN'!AE$439:AE$458)&lt;0.001),0.001,'Key inputs_EB_OWN'!AE447/SUM('Key inputs_EB_OWN'!AE$439:AE$458)),"")</f>
        <v>4.6026728335710997E-2</v>
      </c>
      <c r="AL102" s="173">
        <f>IFERROR(IF(AND('Key inputs_EB_OWN'!AF447/SUM('Key inputs_EB_OWN'!AF$439:AF$458)&gt;0,'Key inputs_EB_OWN'!AF447/SUM('Key inputs_EB_OWN'!AF$439:AF$458)&lt;0.001),0.001,'Key inputs_EB_OWN'!AF447/SUM('Key inputs_EB_OWN'!AF$439:AF$458)),"")</f>
        <v>0.12553510385631675</v>
      </c>
    </row>
    <row r="103" spans="1:38">
      <c r="C103" s="4" t="str">
        <f>Commodities!$C$91</f>
        <v>UPSELC</v>
      </c>
      <c r="E103" s="4" t="s">
        <v>359</v>
      </c>
      <c r="G103" t="s">
        <v>693</v>
      </c>
      <c r="H103" s="4" t="s">
        <v>661</v>
      </c>
      <c r="I103">
        <v>2019</v>
      </c>
      <c r="J103" t="s">
        <v>650</v>
      </c>
      <c r="K103" s="173">
        <f>IFERROR(IF(AND('Key inputs_EB_OWN'!E448/SUM('Key inputs_EB_OWN'!E$439:E$458)&gt;0,'Key inputs_EB_OWN'!E448/SUM('Key inputs_EB_OWN'!E$439:E$458)&lt;0.001),0.001,'Key inputs_EB_OWN'!E448/SUM('Key inputs_EB_OWN'!E$439:E$458)),"")</f>
        <v>0</v>
      </c>
      <c r="L103" s="173">
        <f>IFERROR(IF(AND('Key inputs_EB_OWN'!F448/SUM('Key inputs_EB_OWN'!F$439:F$458)&gt;0,'Key inputs_EB_OWN'!F448/SUM('Key inputs_EB_OWN'!F$439:F$458)&lt;0.001),0.001,'Key inputs_EB_OWN'!F448/SUM('Key inputs_EB_OWN'!F$439:F$458)),"")</f>
        <v>9.3156083395373908E-3</v>
      </c>
      <c r="M103" s="173">
        <f>IFERROR(IF(AND('Key inputs_EB_OWN'!G448/SUM('Key inputs_EB_OWN'!G$439:G$458)&gt;0,'Key inputs_EB_OWN'!G448/SUM('Key inputs_EB_OWN'!G$439:G$458)&lt;0.001),0.001,'Key inputs_EB_OWN'!G448/SUM('Key inputs_EB_OWN'!G$439:G$458)),"")</f>
        <v>6.0873820552562283E-2</v>
      </c>
      <c r="N103" s="173">
        <f>IFERROR(IF(AND('Key inputs_EB_OWN'!H448/SUM('Key inputs_EB_OWN'!H$439:H$458)&gt;0,'Key inputs_EB_OWN'!H448/SUM('Key inputs_EB_OWN'!H$439:H$458)&lt;0.001),0.001,'Key inputs_EB_OWN'!H448/SUM('Key inputs_EB_OWN'!H$439:H$458)),"")</f>
        <v>6.8166963209800677E-3</v>
      </c>
      <c r="O103" s="173">
        <f>IFERROR(IF(AND('Key inputs_EB_OWN'!I448/SUM('Key inputs_EB_OWN'!I$439:I$458)&gt;0,'Key inputs_EB_OWN'!I448/SUM('Key inputs_EB_OWN'!I$439:I$458)&lt;0.001),0.001,'Key inputs_EB_OWN'!I448/SUM('Key inputs_EB_OWN'!I$439:I$458)),"")</f>
        <v>0.29635527666400097</v>
      </c>
      <c r="P103" s="173">
        <f>IFERROR(IF(AND('Key inputs_EB_OWN'!J448/SUM('Key inputs_EB_OWN'!J$439:J$458)&gt;0,'Key inputs_EB_OWN'!J448/SUM('Key inputs_EB_OWN'!J$439:J$458)&lt;0.001),0.001,'Key inputs_EB_OWN'!J448/SUM('Key inputs_EB_OWN'!J$439:J$458)),"")</f>
        <v>0.15816228165823923</v>
      </c>
      <c r="Q103" s="173">
        <f>IFERROR(IF(AND('Key inputs_EB_OWN'!K448/SUM('Key inputs_EB_OWN'!K$439:K$458)&gt;0,'Key inputs_EB_OWN'!K448/SUM('Key inputs_EB_OWN'!K$439:K$458)&lt;0.001),0.001,'Key inputs_EB_OWN'!K448/SUM('Key inputs_EB_OWN'!K$439:K$458)),"")</f>
        <v>1E-3</v>
      </c>
      <c r="R103" s="173">
        <f>IFERROR(IF(AND('Key inputs_EB_OWN'!L448/SUM('Key inputs_EB_OWN'!L$439:L$458)&gt;0,'Key inputs_EB_OWN'!L448/SUM('Key inputs_EB_OWN'!L$439:L$458)&lt;0.001),0.001,'Key inputs_EB_OWN'!L448/SUM('Key inputs_EB_OWN'!L$439:L$458)),"")</f>
        <v>0</v>
      </c>
      <c r="S103" s="173">
        <f>IFERROR(IF(AND('Key inputs_EB_OWN'!M448/SUM('Key inputs_EB_OWN'!M$439:M$458)&gt;0,'Key inputs_EB_OWN'!M448/SUM('Key inputs_EB_OWN'!M$439:M$458)&lt;0.001),0.001,'Key inputs_EB_OWN'!M448/SUM('Key inputs_EB_OWN'!M$439:M$458)),"")</f>
        <v>0.10773172431945288</v>
      </c>
      <c r="T103" s="173">
        <f>IFERROR(IF(AND('Key inputs_EB_OWN'!N448/SUM('Key inputs_EB_OWN'!N$439:N$458)&gt;0,'Key inputs_EB_OWN'!N448/SUM('Key inputs_EB_OWN'!N$439:N$458)&lt;0.001),0.001,'Key inputs_EB_OWN'!N448/SUM('Key inputs_EB_OWN'!N$439:N$458)),"")</f>
        <v>3.9142516134232856E-2</v>
      </c>
      <c r="U103" s="173">
        <f>IFERROR(IF(AND('Key inputs_EB_OWN'!O448/SUM('Key inputs_EB_OWN'!O$439:O$458)&gt;0,'Key inputs_EB_OWN'!O448/SUM('Key inputs_EB_OWN'!O$439:O$458)&lt;0.001),0.001,'Key inputs_EB_OWN'!O448/SUM('Key inputs_EB_OWN'!O$439:O$458)),"")</f>
        <v>0</v>
      </c>
      <c r="V103" s="173">
        <f>IFERROR(IF(AND('Key inputs_EB_OWN'!P448/SUM('Key inputs_EB_OWN'!P$439:P$458)&gt;0,'Key inputs_EB_OWN'!P448/SUM('Key inputs_EB_OWN'!P$439:P$458)&lt;0.001),0.001,'Key inputs_EB_OWN'!P448/SUM('Key inputs_EB_OWN'!P$439:P$458)),"")</f>
        <v>0.17805167351959</v>
      </c>
      <c r="W103" s="173">
        <f>IFERROR(IF(AND('Key inputs_EB_OWN'!Q448/SUM('Key inputs_EB_OWN'!Q$439:Q$458)&gt;0,'Key inputs_EB_OWN'!Q448/SUM('Key inputs_EB_OWN'!Q$439:Q$458)&lt;0.001),0.001,'Key inputs_EB_OWN'!Q448/SUM('Key inputs_EB_OWN'!Q$439:Q$458)),"")</f>
        <v>8.6600312718444844E-2</v>
      </c>
      <c r="X103" s="173">
        <f>IFERROR(IF(AND('Key inputs_EB_OWN'!R448/SUM('Key inputs_EB_OWN'!R$439:R$458)&gt;0,'Key inputs_EB_OWN'!R448/SUM('Key inputs_EB_OWN'!R$439:R$458)&lt;0.001),0.001,'Key inputs_EB_OWN'!R448/SUM('Key inputs_EB_OWN'!R$439:R$458)),"")</f>
        <v>5.7639840635670236E-2</v>
      </c>
      <c r="Y103" s="173">
        <f>IFERROR(IF(AND('Key inputs_EB_OWN'!S448/SUM('Key inputs_EB_OWN'!S$439:S$458)&gt;0,'Key inputs_EB_OWN'!S448/SUM('Key inputs_EB_OWN'!S$439:S$458)&lt;0.001),0.001,'Key inputs_EB_OWN'!S448/SUM('Key inputs_EB_OWN'!S$439:S$458)),"")</f>
        <v>0.20009711006864847</v>
      </c>
      <c r="Z103" s="173">
        <f>IFERROR(IF(AND('Key inputs_EB_OWN'!T448/SUM('Key inputs_EB_OWN'!T$439:T$458)&gt;0,'Key inputs_EB_OWN'!T448/SUM('Key inputs_EB_OWN'!T$439:T$458)&lt;0.001),0.001,'Key inputs_EB_OWN'!T448/SUM('Key inputs_EB_OWN'!T$439:T$458)),"")</f>
        <v>0.15416748063502494</v>
      </c>
      <c r="AA103" s="173">
        <f>IFERROR(IF(AND('Key inputs_EB_OWN'!U448/SUM('Key inputs_EB_OWN'!U$439:U$458)&gt;0,'Key inputs_EB_OWN'!U448/SUM('Key inputs_EB_OWN'!U$439:U$458)&lt;0.001),0.001,'Key inputs_EB_OWN'!U448/SUM('Key inputs_EB_OWN'!U$439:U$458)),"")</f>
        <v>0.157709786091802</v>
      </c>
      <c r="AB103" s="173">
        <f>IFERROR(IF(AND('Key inputs_EB_OWN'!V448/SUM('Key inputs_EB_OWN'!V$439:V$458)&gt;0,'Key inputs_EB_OWN'!V448/SUM('Key inputs_EB_OWN'!V$439:V$458)&lt;0.001),0.001,'Key inputs_EB_OWN'!V448/SUM('Key inputs_EB_OWN'!V$439:V$458)),"")</f>
        <v>0</v>
      </c>
      <c r="AC103" s="173">
        <f>IFERROR(IF(AND('Key inputs_EB_OWN'!W448/SUM('Key inputs_EB_OWN'!W$439:W$458)&gt;0,'Key inputs_EB_OWN'!W448/SUM('Key inputs_EB_OWN'!W$439:W$458)&lt;0.001),0.001,'Key inputs_EB_OWN'!W448/SUM('Key inputs_EB_OWN'!W$439:W$458)),"")</f>
        <v>0</v>
      </c>
      <c r="AD103" s="173">
        <f>IFERROR(IF(AND('Key inputs_EB_OWN'!X448/SUM('Key inputs_EB_OWN'!X$439:X$458)&gt;0,'Key inputs_EB_OWN'!X448/SUM('Key inputs_EB_OWN'!X$439:X$458)&lt;0.001),0.001,'Key inputs_EB_OWN'!X448/SUM('Key inputs_EB_OWN'!X$439:X$458)),"")</f>
        <v>0</v>
      </c>
      <c r="AE103" s="173">
        <f>IFERROR(IF(AND('Key inputs_EB_OWN'!Y448/SUM('Key inputs_EB_OWN'!Y$439:Y$458)&gt;0,'Key inputs_EB_OWN'!Y448/SUM('Key inputs_EB_OWN'!Y$439:Y$458)&lt;0.001),0.001,'Key inputs_EB_OWN'!Y448/SUM('Key inputs_EB_OWN'!Y$439:Y$458)),"")</f>
        <v>3.5267102130766344E-2</v>
      </c>
      <c r="AF103" s="173">
        <f>IFERROR(IF(AND('Key inputs_EB_OWN'!Z448/SUM('Key inputs_EB_OWN'!Z$439:Z$458)&gt;0,'Key inputs_EB_OWN'!Z448/SUM('Key inputs_EB_OWN'!Z$439:Z$458)&lt;0.001),0.001,'Key inputs_EB_OWN'!Z448/SUM('Key inputs_EB_OWN'!Z$439:Z$458)),"")</f>
        <v>0.49277000145513555</v>
      </c>
      <c r="AG103" s="173">
        <f>IFERROR(IF(AND('Key inputs_EB_OWN'!AA448/SUM('Key inputs_EB_OWN'!AA$439:AA$458)&gt;0,'Key inputs_EB_OWN'!AA448/SUM('Key inputs_EB_OWN'!AA$439:AA$458)&lt;0.001),0.001,'Key inputs_EB_OWN'!AA448/SUM('Key inputs_EB_OWN'!AA$439:AA$458)),"")</f>
        <v>0</v>
      </c>
      <c r="AH103" s="173">
        <f>IFERROR(IF(AND('Key inputs_EB_OWN'!AB448/SUM('Key inputs_EB_OWN'!AB$439:AB$458)&gt;0,'Key inputs_EB_OWN'!AB448/SUM('Key inputs_EB_OWN'!AB$439:AB$458)&lt;0.001),0.001,'Key inputs_EB_OWN'!AB448/SUM('Key inputs_EB_OWN'!AB$439:AB$458)),"")</f>
        <v>1.7216874199843631E-2</v>
      </c>
      <c r="AI103" s="173">
        <f>IFERROR(IF(AND('Key inputs_EB_OWN'!AC448/SUM('Key inputs_EB_OWN'!AC$439:AC$458)&gt;0,'Key inputs_EB_OWN'!AC448/SUM('Key inputs_EB_OWN'!AC$439:AC$458)&lt;0.001),0.001,'Key inputs_EB_OWN'!AC448/SUM('Key inputs_EB_OWN'!AC$439:AC$458)),"")</f>
        <v>0</v>
      </c>
      <c r="AJ103" s="173">
        <f>IFERROR(IF(AND('Key inputs_EB_OWN'!AD448/SUM('Key inputs_EB_OWN'!AD$439:AD$458)&gt;0,'Key inputs_EB_OWN'!AD448/SUM('Key inputs_EB_OWN'!AD$439:AD$458)&lt;0.001),0.001,'Key inputs_EB_OWN'!AD448/SUM('Key inputs_EB_OWN'!AD$439:AD$458)),"")</f>
        <v>0.34595307525289393</v>
      </c>
      <c r="AK103" s="173">
        <f>IFERROR(IF(AND('Key inputs_EB_OWN'!AE448/SUM('Key inputs_EB_OWN'!AE$439:AE$458)&gt;0,'Key inputs_EB_OWN'!AE448/SUM('Key inputs_EB_OWN'!AE$439:AE$458)&lt;0.001),0.001,'Key inputs_EB_OWN'!AE448/SUM('Key inputs_EB_OWN'!AE$439:AE$458)),"")</f>
        <v>0</v>
      </c>
      <c r="AL103" s="173">
        <f>IFERROR(IF(AND('Key inputs_EB_OWN'!AF448/SUM('Key inputs_EB_OWN'!AF$439:AF$458)&gt;0,'Key inputs_EB_OWN'!AF448/SUM('Key inputs_EB_OWN'!AF$439:AF$458)&lt;0.001),0.001,'Key inputs_EB_OWN'!AF448/SUM('Key inputs_EB_OWN'!AF$439:AF$458)),"")</f>
        <v>7.3342685225659218E-2</v>
      </c>
    </row>
    <row r="104" spans="1:38">
      <c r="C104" s="4" t="str">
        <f>Commodities!$C$92</f>
        <v>UPSGAS</v>
      </c>
      <c r="E104" s="4" t="s">
        <v>359</v>
      </c>
      <c r="G104" t="s">
        <v>693</v>
      </c>
      <c r="H104" s="4" t="s">
        <v>661</v>
      </c>
      <c r="I104">
        <v>2019</v>
      </c>
      <c r="J104" t="s">
        <v>650</v>
      </c>
      <c r="K104" s="173">
        <f>IFERROR(IF(AND('Key inputs_EB_OWN'!E449/SUM('Key inputs_EB_OWN'!E$439:E$458)&gt;0,'Key inputs_EB_OWN'!E449/SUM('Key inputs_EB_OWN'!E$439:E$458)&lt;0.001),0.001,'Key inputs_EB_OWN'!E449/SUM('Key inputs_EB_OWN'!E$439:E$458)),"")</f>
        <v>0</v>
      </c>
      <c r="L104" s="173">
        <f>IFERROR(IF(AND('Key inputs_EB_OWN'!F449/SUM('Key inputs_EB_OWN'!F$439:F$458)&gt;0,'Key inputs_EB_OWN'!F449/SUM('Key inputs_EB_OWN'!F$439:F$458)&lt;0.001),0.001,'Key inputs_EB_OWN'!F449/SUM('Key inputs_EB_OWN'!F$439:F$458)),"")</f>
        <v>0.87211556012673763</v>
      </c>
      <c r="M104" s="173">
        <f>IFERROR(IF(AND('Key inputs_EB_OWN'!G449/SUM('Key inputs_EB_OWN'!G$439:G$458)&gt;0,'Key inputs_EB_OWN'!G449/SUM('Key inputs_EB_OWN'!G$439:G$458)&lt;0.001),0.001,'Key inputs_EB_OWN'!G449/SUM('Key inputs_EB_OWN'!G$439:G$458)),"")</f>
        <v>0</v>
      </c>
      <c r="N104" s="173">
        <f>IFERROR(IF(AND('Key inputs_EB_OWN'!H449/SUM('Key inputs_EB_OWN'!H$439:H$458)&gt;0,'Key inputs_EB_OWN'!H449/SUM('Key inputs_EB_OWN'!H$439:H$458)&lt;0.001),0.001,'Key inputs_EB_OWN'!H449/SUM('Key inputs_EB_OWN'!H$439:H$458)),"")</f>
        <v>6.5983016290597621E-2</v>
      </c>
      <c r="O104" s="173">
        <f>IFERROR(IF(AND('Key inputs_EB_OWN'!I449/SUM('Key inputs_EB_OWN'!I$439:I$458)&gt;0,'Key inputs_EB_OWN'!I449/SUM('Key inputs_EB_OWN'!I$439:I$458)&lt;0.001),0.001,'Key inputs_EB_OWN'!I449/SUM('Key inputs_EB_OWN'!I$439:I$458)),"")</f>
        <v>0.63084406643373736</v>
      </c>
      <c r="P104" s="173">
        <f>IFERROR(IF(AND('Key inputs_EB_OWN'!J449/SUM('Key inputs_EB_OWN'!J$439:J$458)&gt;0,'Key inputs_EB_OWN'!J449/SUM('Key inputs_EB_OWN'!J$439:J$458)&lt;0.001),0.001,'Key inputs_EB_OWN'!J449/SUM('Key inputs_EB_OWN'!J$439:J$458)),"")</f>
        <v>0.52304587589490503</v>
      </c>
      <c r="Q104" s="173">
        <f>IFERROR(IF(AND('Key inputs_EB_OWN'!K449/SUM('Key inputs_EB_OWN'!K$439:K$458)&gt;0,'Key inputs_EB_OWN'!K449/SUM('Key inputs_EB_OWN'!K$439:K$458)&lt;0.001),0.001,'Key inputs_EB_OWN'!K449/SUM('Key inputs_EB_OWN'!K$439:K$458)),"")</f>
        <v>0.96542697948435419</v>
      </c>
      <c r="R104" s="173">
        <f>IFERROR(IF(AND('Key inputs_EB_OWN'!L449/SUM('Key inputs_EB_OWN'!L$439:L$458)&gt;0,'Key inputs_EB_OWN'!L449/SUM('Key inputs_EB_OWN'!L$439:L$458)&lt;0.001),0.001,'Key inputs_EB_OWN'!L449/SUM('Key inputs_EB_OWN'!L$439:L$458)),"")</f>
        <v>1</v>
      </c>
      <c r="S104" s="173">
        <f>IFERROR(IF(AND('Key inputs_EB_OWN'!M449/SUM('Key inputs_EB_OWN'!M$439:M$458)&gt;0,'Key inputs_EB_OWN'!M449/SUM('Key inputs_EB_OWN'!M$439:M$458)&lt;0.001),0.001,'Key inputs_EB_OWN'!M449/SUM('Key inputs_EB_OWN'!M$439:M$458)),"")</f>
        <v>0.43915845842595075</v>
      </c>
      <c r="T104" s="173">
        <f>IFERROR(IF(AND('Key inputs_EB_OWN'!N449/SUM('Key inputs_EB_OWN'!N$439:N$458)&gt;0,'Key inputs_EB_OWN'!N449/SUM('Key inputs_EB_OWN'!N$439:N$458)&lt;0.001),0.001,'Key inputs_EB_OWN'!N449/SUM('Key inputs_EB_OWN'!N$439:N$458)),"")</f>
        <v>0.69664284875189364</v>
      </c>
      <c r="U104" s="173">
        <f>IFERROR(IF(AND('Key inputs_EB_OWN'!O449/SUM('Key inputs_EB_OWN'!O$439:O$458)&gt;0,'Key inputs_EB_OWN'!O449/SUM('Key inputs_EB_OWN'!O$439:O$458)&lt;0.001),0.001,'Key inputs_EB_OWN'!O449/SUM('Key inputs_EB_OWN'!O$439:O$458)),"")</f>
        <v>0</v>
      </c>
      <c r="V104" s="173">
        <f>IFERROR(IF(AND('Key inputs_EB_OWN'!P449/SUM('Key inputs_EB_OWN'!P$439:P$458)&gt;0,'Key inputs_EB_OWN'!P449/SUM('Key inputs_EB_OWN'!P$439:P$458)&lt;0.001),0.001,'Key inputs_EB_OWN'!P449/SUM('Key inputs_EB_OWN'!P$439:P$458)),"")</f>
        <v>0.55235831312687467</v>
      </c>
      <c r="W104" s="173">
        <f>IFERROR(IF(AND('Key inputs_EB_OWN'!Q449/SUM('Key inputs_EB_OWN'!Q$439:Q$458)&gt;0,'Key inputs_EB_OWN'!Q449/SUM('Key inputs_EB_OWN'!Q$439:Q$458)&lt;0.001),0.001,'Key inputs_EB_OWN'!Q449/SUM('Key inputs_EB_OWN'!Q$439:Q$458)),"")</f>
        <v>0.75625404069645819</v>
      </c>
      <c r="X104" s="173">
        <f>IFERROR(IF(AND('Key inputs_EB_OWN'!R449/SUM('Key inputs_EB_OWN'!R$439:R$458)&gt;0,'Key inputs_EB_OWN'!R449/SUM('Key inputs_EB_OWN'!R$439:R$458)&lt;0.001),0.001,'Key inputs_EB_OWN'!R449/SUM('Key inputs_EB_OWN'!R$439:R$458)),"")</f>
        <v>0.6977460707689962</v>
      </c>
      <c r="Y104" s="173">
        <f>IFERROR(IF(AND('Key inputs_EB_OWN'!S449/SUM('Key inputs_EB_OWN'!S$439:S$458)&gt;0,'Key inputs_EB_OWN'!S449/SUM('Key inputs_EB_OWN'!S$439:S$458)&lt;0.001),0.001,'Key inputs_EB_OWN'!S449/SUM('Key inputs_EB_OWN'!S$439:S$458)),"")</f>
        <v>0.76561348081896052</v>
      </c>
      <c r="Z104" s="173">
        <f>IFERROR(IF(AND('Key inputs_EB_OWN'!T449/SUM('Key inputs_EB_OWN'!T$439:T$458)&gt;0,'Key inputs_EB_OWN'!T449/SUM('Key inputs_EB_OWN'!T$439:T$458)&lt;0.001),0.001,'Key inputs_EB_OWN'!T449/SUM('Key inputs_EB_OWN'!T$439:T$458)),"")</f>
        <v>0.7973429263909726</v>
      </c>
      <c r="AA104" s="173">
        <f>IFERROR(IF(AND('Key inputs_EB_OWN'!U449/SUM('Key inputs_EB_OWN'!U$439:U$458)&gt;0,'Key inputs_EB_OWN'!U449/SUM('Key inputs_EB_OWN'!U$439:U$458)&lt;0.001),0.001,'Key inputs_EB_OWN'!U449/SUM('Key inputs_EB_OWN'!U$439:U$458)),"")</f>
        <v>0.84177870418486589</v>
      </c>
      <c r="AB104" s="173">
        <f>IFERROR(IF(AND('Key inputs_EB_OWN'!V449/SUM('Key inputs_EB_OWN'!V$439:V$458)&gt;0,'Key inputs_EB_OWN'!V449/SUM('Key inputs_EB_OWN'!V$439:V$458)&lt;0.001),0.001,'Key inputs_EB_OWN'!V449/SUM('Key inputs_EB_OWN'!V$439:V$458)),"")</f>
        <v>0.95419379320352082</v>
      </c>
      <c r="AC104" s="173">
        <f>IFERROR(IF(AND('Key inputs_EB_OWN'!W449/SUM('Key inputs_EB_OWN'!W$439:W$458)&gt;0,'Key inputs_EB_OWN'!W449/SUM('Key inputs_EB_OWN'!W$439:W$458)&lt;0.001),0.001,'Key inputs_EB_OWN'!W449/SUM('Key inputs_EB_OWN'!W$439:W$458)),"")</f>
        <v>1</v>
      </c>
      <c r="AD104" s="173">
        <f>IFERROR(IF(AND('Key inputs_EB_OWN'!X449/SUM('Key inputs_EB_OWN'!X$439:X$458)&gt;0,'Key inputs_EB_OWN'!X449/SUM('Key inputs_EB_OWN'!X$439:X$458)&lt;0.001),0.001,'Key inputs_EB_OWN'!X449/SUM('Key inputs_EB_OWN'!X$439:X$458)),"")</f>
        <v>1</v>
      </c>
      <c r="AE104" s="173">
        <f>IFERROR(IF(AND('Key inputs_EB_OWN'!Y449/SUM('Key inputs_EB_OWN'!Y$439:Y$458)&gt;0,'Key inputs_EB_OWN'!Y449/SUM('Key inputs_EB_OWN'!Y$439:Y$458)&lt;0.001),0.001,'Key inputs_EB_OWN'!Y449/SUM('Key inputs_EB_OWN'!Y$439:Y$458)),"")</f>
        <v>0.88281088384079309</v>
      </c>
      <c r="AF104" s="173">
        <f>IFERROR(IF(AND('Key inputs_EB_OWN'!Z449/SUM('Key inputs_EB_OWN'!Z$439:Z$458)&gt;0,'Key inputs_EB_OWN'!Z449/SUM('Key inputs_EB_OWN'!Z$439:Z$458)&lt;0.001),0.001,'Key inputs_EB_OWN'!Z449/SUM('Key inputs_EB_OWN'!Z$439:Z$458)),"")</f>
        <v>0.37448756428725094</v>
      </c>
      <c r="AG104" s="173">
        <f>IFERROR(IF(AND('Key inputs_EB_OWN'!AA449/SUM('Key inputs_EB_OWN'!AA$439:AA$458)&gt;0,'Key inputs_EB_OWN'!AA449/SUM('Key inputs_EB_OWN'!AA$439:AA$458)&lt;0.001),0.001,'Key inputs_EB_OWN'!AA449/SUM('Key inputs_EB_OWN'!AA$439:AA$458)),"")</f>
        <v>0.81546822367255778</v>
      </c>
      <c r="AH104" s="173">
        <f>IFERROR(IF(AND('Key inputs_EB_OWN'!AB449/SUM('Key inputs_EB_OWN'!AB$439:AB$458)&gt;0,'Key inputs_EB_OWN'!AB449/SUM('Key inputs_EB_OWN'!AB$439:AB$458)&lt;0.001),0.001,'Key inputs_EB_OWN'!AB449/SUM('Key inputs_EB_OWN'!AB$439:AB$458)),"")</f>
        <v>0.98278312580015637</v>
      </c>
      <c r="AI104" s="173">
        <f>IFERROR(IF(AND('Key inputs_EB_OWN'!AC449/SUM('Key inputs_EB_OWN'!AC$439:AC$458)&gt;0,'Key inputs_EB_OWN'!AC449/SUM('Key inputs_EB_OWN'!AC$439:AC$458)&lt;0.001),0.001,'Key inputs_EB_OWN'!AC449/SUM('Key inputs_EB_OWN'!AC$439:AC$458)),"")</f>
        <v>1</v>
      </c>
      <c r="AJ104" s="173">
        <f>IFERROR(IF(AND('Key inputs_EB_OWN'!AD449/SUM('Key inputs_EB_OWN'!AD$439:AD$458)&gt;0,'Key inputs_EB_OWN'!AD449/SUM('Key inputs_EB_OWN'!AD$439:AD$458)&lt;0.001),0.001,'Key inputs_EB_OWN'!AD449/SUM('Key inputs_EB_OWN'!AD$439:AD$458)),"")</f>
        <v>0.42171192694543608</v>
      </c>
      <c r="AK104" s="173">
        <f>IFERROR(IF(AND('Key inputs_EB_OWN'!AE449/SUM('Key inputs_EB_OWN'!AE$439:AE$458)&gt;0,'Key inputs_EB_OWN'!AE449/SUM('Key inputs_EB_OWN'!AE$439:AE$458)&lt;0.001),0.001,'Key inputs_EB_OWN'!AE449/SUM('Key inputs_EB_OWN'!AE$439:AE$458)),"")</f>
        <v>0</v>
      </c>
      <c r="AL104" s="173">
        <f>IFERROR(IF(AND('Key inputs_EB_OWN'!AF449/SUM('Key inputs_EB_OWN'!AF$439:AF$458)&gt;0,'Key inputs_EB_OWN'!AF449/SUM('Key inputs_EB_OWN'!AF$439:AF$458)&lt;0.001),0.001,'Key inputs_EB_OWN'!AF449/SUM('Key inputs_EB_OWN'!AF$439:AF$458)),"")</f>
        <v>0.75593914302810572</v>
      </c>
    </row>
    <row r="105" spans="1:38">
      <c r="C105" s="4" t="str">
        <f>Commodities!$C$93</f>
        <v>UPSGSL</v>
      </c>
      <c r="E105" s="4" t="s">
        <v>359</v>
      </c>
      <c r="G105" t="s">
        <v>693</v>
      </c>
      <c r="H105" s="4" t="s">
        <v>661</v>
      </c>
      <c r="I105">
        <v>2019</v>
      </c>
      <c r="J105" t="s">
        <v>650</v>
      </c>
      <c r="K105" s="173">
        <f>IFERROR(IF(AND('Key inputs_EB_OWN'!E450/SUM('Key inputs_EB_OWN'!E$439:E$458)&gt;0,'Key inputs_EB_OWN'!E450/SUM('Key inputs_EB_OWN'!E$439:E$458)&lt;0.001),0.001,'Key inputs_EB_OWN'!E450/SUM('Key inputs_EB_OWN'!E$439:E$458)),"")</f>
        <v>0</v>
      </c>
      <c r="L105" s="173">
        <f>IFERROR(IF(AND('Key inputs_EB_OWN'!F450/SUM('Key inputs_EB_OWN'!F$439:F$458)&gt;0,'Key inputs_EB_OWN'!F450/SUM('Key inputs_EB_OWN'!F$439:F$458)&lt;0.001),0.001,'Key inputs_EB_OWN'!F450/SUM('Key inputs_EB_OWN'!F$439:F$458)),"")</f>
        <v>0</v>
      </c>
      <c r="M105" s="173">
        <f>IFERROR(IF(AND('Key inputs_EB_OWN'!G450/SUM('Key inputs_EB_OWN'!G$439:G$458)&gt;0,'Key inputs_EB_OWN'!G450/SUM('Key inputs_EB_OWN'!G$439:G$458)&lt;0.001),0.001,'Key inputs_EB_OWN'!G450/SUM('Key inputs_EB_OWN'!G$439:G$458)),"")</f>
        <v>0</v>
      </c>
      <c r="N105" s="173">
        <f>IFERROR(IF(AND('Key inputs_EB_OWN'!H450/SUM('Key inputs_EB_OWN'!H$439:H$458)&gt;0,'Key inputs_EB_OWN'!H450/SUM('Key inputs_EB_OWN'!H$439:H$458)&lt;0.001),0.001,'Key inputs_EB_OWN'!H450/SUM('Key inputs_EB_OWN'!H$439:H$458)),"")</f>
        <v>0</v>
      </c>
      <c r="O105" s="173">
        <f>IFERROR(IF(AND('Key inputs_EB_OWN'!I450/SUM('Key inputs_EB_OWN'!I$439:I$458)&gt;0,'Key inputs_EB_OWN'!I450/SUM('Key inputs_EB_OWN'!I$439:I$458)&lt;0.001),0.001,'Key inputs_EB_OWN'!I450/SUM('Key inputs_EB_OWN'!I$439:I$458)),"")</f>
        <v>1E-3</v>
      </c>
      <c r="P105" s="173">
        <f>IFERROR(IF(AND('Key inputs_EB_OWN'!J450/SUM('Key inputs_EB_OWN'!J$439:J$458)&gt;0,'Key inputs_EB_OWN'!J450/SUM('Key inputs_EB_OWN'!J$439:J$458)&lt;0.001),0.001,'Key inputs_EB_OWN'!J450/SUM('Key inputs_EB_OWN'!J$439:J$458)),"")</f>
        <v>0</v>
      </c>
      <c r="Q105" s="173">
        <f>IFERROR(IF(AND('Key inputs_EB_OWN'!K450/SUM('Key inputs_EB_OWN'!K$439:K$458)&gt;0,'Key inputs_EB_OWN'!K450/SUM('Key inputs_EB_OWN'!K$439:K$458)&lt;0.001),0.001,'Key inputs_EB_OWN'!K450/SUM('Key inputs_EB_OWN'!K$439:K$458)),"")</f>
        <v>0</v>
      </c>
      <c r="R105" s="173">
        <f>IFERROR(IF(AND('Key inputs_EB_OWN'!L450/SUM('Key inputs_EB_OWN'!L$439:L$458)&gt;0,'Key inputs_EB_OWN'!L450/SUM('Key inputs_EB_OWN'!L$439:L$458)&lt;0.001),0.001,'Key inputs_EB_OWN'!L450/SUM('Key inputs_EB_OWN'!L$439:L$458)),"")</f>
        <v>0</v>
      </c>
      <c r="S105" s="173">
        <f>IFERROR(IF(AND('Key inputs_EB_OWN'!M450/SUM('Key inputs_EB_OWN'!M$439:M$458)&gt;0,'Key inputs_EB_OWN'!M450/SUM('Key inputs_EB_OWN'!M$439:M$458)&lt;0.001),0.001,'Key inputs_EB_OWN'!M450/SUM('Key inputs_EB_OWN'!M$439:M$458)),"")</f>
        <v>0</v>
      </c>
      <c r="T105" s="173">
        <f>IFERROR(IF(AND('Key inputs_EB_OWN'!N450/SUM('Key inputs_EB_OWN'!N$439:N$458)&gt;0,'Key inputs_EB_OWN'!N450/SUM('Key inputs_EB_OWN'!N$439:N$458)&lt;0.001),0.001,'Key inputs_EB_OWN'!N450/SUM('Key inputs_EB_OWN'!N$439:N$458)),"")</f>
        <v>0</v>
      </c>
      <c r="U105" s="173">
        <f>IFERROR(IF(AND('Key inputs_EB_OWN'!O450/SUM('Key inputs_EB_OWN'!O$439:O$458)&gt;0,'Key inputs_EB_OWN'!O450/SUM('Key inputs_EB_OWN'!O$439:O$458)&lt;0.001),0.001,'Key inputs_EB_OWN'!O450/SUM('Key inputs_EB_OWN'!O$439:O$458)),"")</f>
        <v>0</v>
      </c>
      <c r="V105" s="173">
        <f>IFERROR(IF(AND('Key inputs_EB_OWN'!P450/SUM('Key inputs_EB_OWN'!P$439:P$458)&gt;0,'Key inputs_EB_OWN'!P450/SUM('Key inputs_EB_OWN'!P$439:P$458)&lt;0.001),0.001,'Key inputs_EB_OWN'!P450/SUM('Key inputs_EB_OWN'!P$439:P$458)),"")</f>
        <v>5.3209026731869157E-3</v>
      </c>
      <c r="W105" s="173">
        <f>IFERROR(IF(AND('Key inputs_EB_OWN'!Q450/SUM('Key inputs_EB_OWN'!Q$439:Q$458)&gt;0,'Key inputs_EB_OWN'!Q450/SUM('Key inputs_EB_OWN'!Q$439:Q$458)&lt;0.001),0.001,'Key inputs_EB_OWN'!Q450/SUM('Key inputs_EB_OWN'!Q$439:Q$458)),"")</f>
        <v>0</v>
      </c>
      <c r="X105" s="173">
        <f>IFERROR(IF(AND('Key inputs_EB_OWN'!R450/SUM('Key inputs_EB_OWN'!R$439:R$458)&gt;0,'Key inputs_EB_OWN'!R450/SUM('Key inputs_EB_OWN'!R$439:R$458)&lt;0.001),0.001,'Key inputs_EB_OWN'!R450/SUM('Key inputs_EB_OWN'!R$439:R$458)),"")</f>
        <v>0</v>
      </c>
      <c r="Y105" s="173">
        <f>IFERROR(IF(AND('Key inputs_EB_OWN'!S450/SUM('Key inputs_EB_OWN'!S$439:S$458)&gt;0,'Key inputs_EB_OWN'!S450/SUM('Key inputs_EB_OWN'!S$439:S$458)&lt;0.001),0.001,'Key inputs_EB_OWN'!S450/SUM('Key inputs_EB_OWN'!S$439:S$458)),"")</f>
        <v>1E-3</v>
      </c>
      <c r="Z105" s="173">
        <f>IFERROR(IF(AND('Key inputs_EB_OWN'!T450/SUM('Key inputs_EB_OWN'!T$439:T$458)&gt;0,'Key inputs_EB_OWN'!T450/SUM('Key inputs_EB_OWN'!T$439:T$458)&lt;0.001),0.001,'Key inputs_EB_OWN'!T450/SUM('Key inputs_EB_OWN'!T$439:T$458)),"")</f>
        <v>0</v>
      </c>
      <c r="AA105" s="173">
        <f>IFERROR(IF(AND('Key inputs_EB_OWN'!U450/SUM('Key inputs_EB_OWN'!U$439:U$458)&gt;0,'Key inputs_EB_OWN'!U450/SUM('Key inputs_EB_OWN'!U$439:U$458)&lt;0.001),0.001,'Key inputs_EB_OWN'!U450/SUM('Key inputs_EB_OWN'!U$439:U$458)),"")</f>
        <v>0</v>
      </c>
      <c r="AB105" s="173">
        <f>IFERROR(IF(AND('Key inputs_EB_OWN'!V450/SUM('Key inputs_EB_OWN'!V$439:V$458)&gt;0,'Key inputs_EB_OWN'!V450/SUM('Key inputs_EB_OWN'!V$439:V$458)&lt;0.001),0.001,'Key inputs_EB_OWN'!V450/SUM('Key inputs_EB_OWN'!V$439:V$458)),"")</f>
        <v>0</v>
      </c>
      <c r="AC105" s="173">
        <f>IFERROR(IF(AND('Key inputs_EB_OWN'!W450/SUM('Key inputs_EB_OWN'!W$439:W$458)&gt;0,'Key inputs_EB_OWN'!W450/SUM('Key inputs_EB_OWN'!W$439:W$458)&lt;0.001),0.001,'Key inputs_EB_OWN'!W450/SUM('Key inputs_EB_OWN'!W$439:W$458)),"")</f>
        <v>0</v>
      </c>
      <c r="AD105" s="173">
        <f>IFERROR(IF(AND('Key inputs_EB_OWN'!X450/SUM('Key inputs_EB_OWN'!X$439:X$458)&gt;0,'Key inputs_EB_OWN'!X450/SUM('Key inputs_EB_OWN'!X$439:X$458)&lt;0.001),0.001,'Key inputs_EB_OWN'!X450/SUM('Key inputs_EB_OWN'!X$439:X$458)),"")</f>
        <v>0</v>
      </c>
      <c r="AE105" s="173">
        <f>IFERROR(IF(AND('Key inputs_EB_OWN'!Y450/SUM('Key inputs_EB_OWN'!Y$439:Y$458)&gt;0,'Key inputs_EB_OWN'!Y450/SUM('Key inputs_EB_OWN'!Y$439:Y$458)&lt;0.001),0.001,'Key inputs_EB_OWN'!Y450/SUM('Key inputs_EB_OWN'!Y$439:Y$458)),"")</f>
        <v>0</v>
      </c>
      <c r="AF105" s="173">
        <f>IFERROR(IF(AND('Key inputs_EB_OWN'!Z450/SUM('Key inputs_EB_OWN'!Z$439:Z$458)&gt;0,'Key inputs_EB_OWN'!Z450/SUM('Key inputs_EB_OWN'!Z$439:Z$458)&lt;0.001),0.001,'Key inputs_EB_OWN'!Z450/SUM('Key inputs_EB_OWN'!Z$439:Z$458)),"")</f>
        <v>0</v>
      </c>
      <c r="AG105" s="173">
        <f>IFERROR(IF(AND('Key inputs_EB_OWN'!AA450/SUM('Key inputs_EB_OWN'!AA$439:AA$458)&gt;0,'Key inputs_EB_OWN'!AA450/SUM('Key inputs_EB_OWN'!AA$439:AA$458)&lt;0.001),0.001,'Key inputs_EB_OWN'!AA450/SUM('Key inputs_EB_OWN'!AA$439:AA$458)),"")</f>
        <v>0</v>
      </c>
      <c r="AH105" s="173">
        <f>IFERROR(IF(AND('Key inputs_EB_OWN'!AB450/SUM('Key inputs_EB_OWN'!AB$439:AB$458)&gt;0,'Key inputs_EB_OWN'!AB450/SUM('Key inputs_EB_OWN'!AB$439:AB$458)&lt;0.001),0.001,'Key inputs_EB_OWN'!AB450/SUM('Key inputs_EB_OWN'!AB$439:AB$458)),"")</f>
        <v>0</v>
      </c>
      <c r="AI105" s="173">
        <f>IFERROR(IF(AND('Key inputs_EB_OWN'!AC450/SUM('Key inputs_EB_OWN'!AC$439:AC$458)&gt;0,'Key inputs_EB_OWN'!AC450/SUM('Key inputs_EB_OWN'!AC$439:AC$458)&lt;0.001),0.001,'Key inputs_EB_OWN'!AC450/SUM('Key inputs_EB_OWN'!AC$439:AC$458)),"")</f>
        <v>0</v>
      </c>
      <c r="AJ105" s="173">
        <f>IFERROR(IF(AND('Key inputs_EB_OWN'!AD450/SUM('Key inputs_EB_OWN'!AD$439:AD$458)&gt;0,'Key inputs_EB_OWN'!AD450/SUM('Key inputs_EB_OWN'!AD$439:AD$458)&lt;0.001),0.001,'Key inputs_EB_OWN'!AD450/SUM('Key inputs_EB_OWN'!AD$439:AD$458)),"")</f>
        <v>0</v>
      </c>
      <c r="AK105" s="173">
        <f>IFERROR(IF(AND('Key inputs_EB_OWN'!AE450/SUM('Key inputs_EB_OWN'!AE$439:AE$458)&gt;0,'Key inputs_EB_OWN'!AE450/SUM('Key inputs_EB_OWN'!AE$439:AE$458)&lt;0.001),0.001,'Key inputs_EB_OWN'!AE450/SUM('Key inputs_EB_OWN'!AE$439:AE$458)),"")</f>
        <v>0</v>
      </c>
      <c r="AL105" s="173">
        <f>IFERROR(IF(AND('Key inputs_EB_OWN'!AF450/SUM('Key inputs_EB_OWN'!AF$439:AF$458)&gt;0,'Key inputs_EB_OWN'!AF450/SUM('Key inputs_EB_OWN'!AF$439:AF$458)&lt;0.001),0.001,'Key inputs_EB_OWN'!AF450/SUM('Key inputs_EB_OWN'!AF$439:AF$458)),"")</f>
        <v>4.1447655333784014E-2</v>
      </c>
    </row>
    <row r="106" spans="1:38">
      <c r="C106" s="4" t="str">
        <f>Commodities!$C$94</f>
        <v>UPSHET</v>
      </c>
      <c r="E106" s="4" t="s">
        <v>359</v>
      </c>
      <c r="G106" t="s">
        <v>693</v>
      </c>
      <c r="H106" s="4" t="s">
        <v>661</v>
      </c>
      <c r="I106">
        <v>2019</v>
      </c>
      <c r="J106" t="s">
        <v>650</v>
      </c>
      <c r="K106" s="173">
        <f>IFERROR(IF(AND('Key inputs_EB_OWN'!E451/SUM('Key inputs_EB_OWN'!E$439:E$458)&gt;0,'Key inputs_EB_OWN'!E451/SUM('Key inputs_EB_OWN'!E$439:E$458)&lt;0.001),0.001,'Key inputs_EB_OWN'!E451/SUM('Key inputs_EB_OWN'!E$439:E$458)),"")</f>
        <v>0</v>
      </c>
      <c r="L106" s="173">
        <f>IFERROR(IF(AND('Key inputs_EB_OWN'!F451/SUM('Key inputs_EB_OWN'!F$439:F$458)&gt;0,'Key inputs_EB_OWN'!F451/SUM('Key inputs_EB_OWN'!F$439:F$458)&lt;0.001),0.001,'Key inputs_EB_OWN'!F451/SUM('Key inputs_EB_OWN'!F$439:F$458)),"")</f>
        <v>0</v>
      </c>
      <c r="M106" s="173">
        <f>IFERROR(IF(AND('Key inputs_EB_OWN'!G451/SUM('Key inputs_EB_OWN'!G$439:G$458)&gt;0,'Key inputs_EB_OWN'!G451/SUM('Key inputs_EB_OWN'!G$439:G$458)&lt;0.001),0.001,'Key inputs_EB_OWN'!G451/SUM('Key inputs_EB_OWN'!G$439:G$458)),"")</f>
        <v>0</v>
      </c>
      <c r="N106" s="173">
        <f>IFERROR(IF(AND('Key inputs_EB_OWN'!H451/SUM('Key inputs_EB_OWN'!H$439:H$458)&gt;0,'Key inputs_EB_OWN'!H451/SUM('Key inputs_EB_OWN'!H$439:H$458)&lt;0.001),0.001,'Key inputs_EB_OWN'!H451/SUM('Key inputs_EB_OWN'!H$439:H$458)),"")</f>
        <v>0</v>
      </c>
      <c r="O106" s="173">
        <f>IFERROR(IF(AND('Key inputs_EB_OWN'!I451/SUM('Key inputs_EB_OWN'!I$439:I$458)&gt;0,'Key inputs_EB_OWN'!I451/SUM('Key inputs_EB_OWN'!I$439:I$458)&lt;0.001),0.001,'Key inputs_EB_OWN'!I451/SUM('Key inputs_EB_OWN'!I$439:I$458)),"")</f>
        <v>0</v>
      </c>
      <c r="P106" s="173">
        <f>IFERROR(IF(AND('Key inputs_EB_OWN'!J451/SUM('Key inputs_EB_OWN'!J$439:J$458)&gt;0,'Key inputs_EB_OWN'!J451/SUM('Key inputs_EB_OWN'!J$439:J$458)&lt;0.001),0.001,'Key inputs_EB_OWN'!J451/SUM('Key inputs_EB_OWN'!J$439:J$458)),"")</f>
        <v>9.6378878639587939E-2</v>
      </c>
      <c r="Q106" s="173">
        <f>IFERROR(IF(AND('Key inputs_EB_OWN'!K451/SUM('Key inputs_EB_OWN'!K$439:K$458)&gt;0,'Key inputs_EB_OWN'!K451/SUM('Key inputs_EB_OWN'!K$439:K$458)&lt;0.001),0.001,'Key inputs_EB_OWN'!K451/SUM('Key inputs_EB_OWN'!K$439:K$458)),"")</f>
        <v>0</v>
      </c>
      <c r="R106" s="173">
        <f>IFERROR(IF(AND('Key inputs_EB_OWN'!L451/SUM('Key inputs_EB_OWN'!L$439:L$458)&gt;0,'Key inputs_EB_OWN'!L451/SUM('Key inputs_EB_OWN'!L$439:L$458)&lt;0.001),0.001,'Key inputs_EB_OWN'!L451/SUM('Key inputs_EB_OWN'!L$439:L$458)),"")</f>
        <v>0</v>
      </c>
      <c r="S106" s="173">
        <f>IFERROR(IF(AND('Key inputs_EB_OWN'!M451/SUM('Key inputs_EB_OWN'!M$439:M$458)&gt;0,'Key inputs_EB_OWN'!M451/SUM('Key inputs_EB_OWN'!M$439:M$458)&lt;0.001),0.001,'Key inputs_EB_OWN'!M451/SUM('Key inputs_EB_OWN'!M$439:M$458)),"")</f>
        <v>0</v>
      </c>
      <c r="T106" s="173">
        <f>IFERROR(IF(AND('Key inputs_EB_OWN'!N451/SUM('Key inputs_EB_OWN'!N$439:N$458)&gt;0,'Key inputs_EB_OWN'!N451/SUM('Key inputs_EB_OWN'!N$439:N$458)&lt;0.001),0.001,'Key inputs_EB_OWN'!N451/SUM('Key inputs_EB_OWN'!N$439:N$458)),"")</f>
        <v>0</v>
      </c>
      <c r="U106" s="173">
        <f>IFERROR(IF(AND('Key inputs_EB_OWN'!O451/SUM('Key inputs_EB_OWN'!O$439:O$458)&gt;0,'Key inputs_EB_OWN'!O451/SUM('Key inputs_EB_OWN'!O$439:O$458)&lt;0.001),0.001,'Key inputs_EB_OWN'!O451/SUM('Key inputs_EB_OWN'!O$439:O$458)),"")</f>
        <v>0</v>
      </c>
      <c r="V106" s="173">
        <f>IFERROR(IF(AND('Key inputs_EB_OWN'!P451/SUM('Key inputs_EB_OWN'!P$439:P$458)&gt;0,'Key inputs_EB_OWN'!P451/SUM('Key inputs_EB_OWN'!P$439:P$458)&lt;0.001),0.001,'Key inputs_EB_OWN'!P451/SUM('Key inputs_EB_OWN'!P$439:P$458)),"")</f>
        <v>3.2855002892779914E-2</v>
      </c>
      <c r="W106" s="173">
        <f>IFERROR(IF(AND('Key inputs_EB_OWN'!Q451/SUM('Key inputs_EB_OWN'!Q$439:Q$458)&gt;0,'Key inputs_EB_OWN'!Q451/SUM('Key inputs_EB_OWN'!Q$439:Q$458)&lt;0.001),0.001,'Key inputs_EB_OWN'!Q451/SUM('Key inputs_EB_OWN'!Q$439:Q$458)),"")</f>
        <v>8.6645374245073292E-2</v>
      </c>
      <c r="X106" s="173">
        <f>IFERROR(IF(AND('Key inputs_EB_OWN'!R451/SUM('Key inputs_EB_OWN'!R$439:R$458)&gt;0,'Key inputs_EB_OWN'!R451/SUM('Key inputs_EB_OWN'!R$439:R$458)&lt;0.001),0.001,'Key inputs_EB_OWN'!R451/SUM('Key inputs_EB_OWN'!R$439:R$458)),"")</f>
        <v>0</v>
      </c>
      <c r="Y106" s="173">
        <f>IFERROR(IF(AND('Key inputs_EB_OWN'!S451/SUM('Key inputs_EB_OWN'!S$439:S$458)&gt;0,'Key inputs_EB_OWN'!S451/SUM('Key inputs_EB_OWN'!S$439:S$458)&lt;0.001),0.001,'Key inputs_EB_OWN'!S451/SUM('Key inputs_EB_OWN'!S$439:S$458)),"")</f>
        <v>1E-3</v>
      </c>
      <c r="Z106" s="173">
        <f>IFERROR(IF(AND('Key inputs_EB_OWN'!T451/SUM('Key inputs_EB_OWN'!T$439:T$458)&gt;0,'Key inputs_EB_OWN'!T451/SUM('Key inputs_EB_OWN'!T$439:T$458)&lt;0.001),0.001,'Key inputs_EB_OWN'!T451/SUM('Key inputs_EB_OWN'!T$439:T$458)),"")</f>
        <v>2.4147498955045957E-3</v>
      </c>
      <c r="AA106" s="173">
        <f>IFERROR(IF(AND('Key inputs_EB_OWN'!U451/SUM('Key inputs_EB_OWN'!U$439:U$458)&gt;0,'Key inputs_EB_OWN'!U451/SUM('Key inputs_EB_OWN'!U$439:U$458)&lt;0.001),0.001,'Key inputs_EB_OWN'!U451/SUM('Key inputs_EB_OWN'!U$439:U$458)),"")</f>
        <v>1E-3</v>
      </c>
      <c r="AB106" s="173">
        <f>IFERROR(IF(AND('Key inputs_EB_OWN'!V451/SUM('Key inputs_EB_OWN'!V$439:V$458)&gt;0,'Key inputs_EB_OWN'!V451/SUM('Key inputs_EB_OWN'!V$439:V$458)&lt;0.001),0.001,'Key inputs_EB_OWN'!V451/SUM('Key inputs_EB_OWN'!V$439:V$458)),"")</f>
        <v>0</v>
      </c>
      <c r="AC106" s="173">
        <f>IFERROR(IF(AND('Key inputs_EB_OWN'!W451/SUM('Key inputs_EB_OWN'!W$439:W$458)&gt;0,'Key inputs_EB_OWN'!W451/SUM('Key inputs_EB_OWN'!W$439:W$458)&lt;0.001),0.001,'Key inputs_EB_OWN'!W451/SUM('Key inputs_EB_OWN'!W$439:W$458)),"")</f>
        <v>0</v>
      </c>
      <c r="AD106" s="173">
        <f>IFERROR(IF(AND('Key inputs_EB_OWN'!X451/SUM('Key inputs_EB_OWN'!X$439:X$458)&gt;0,'Key inputs_EB_OWN'!X451/SUM('Key inputs_EB_OWN'!X$439:X$458)&lt;0.001),0.001,'Key inputs_EB_OWN'!X451/SUM('Key inputs_EB_OWN'!X$439:X$458)),"")</f>
        <v>0</v>
      </c>
      <c r="AE106" s="173">
        <f>IFERROR(IF(AND('Key inputs_EB_OWN'!Y451/SUM('Key inputs_EB_OWN'!Y$439:Y$458)&gt;0,'Key inputs_EB_OWN'!Y451/SUM('Key inputs_EB_OWN'!Y$439:Y$458)&lt;0.001),0.001,'Key inputs_EB_OWN'!Y451/SUM('Key inputs_EB_OWN'!Y$439:Y$458)),"")</f>
        <v>0</v>
      </c>
      <c r="AF106" s="173">
        <f>IFERROR(IF(AND('Key inputs_EB_OWN'!Z451/SUM('Key inputs_EB_OWN'!Z$439:Z$458)&gt;0,'Key inputs_EB_OWN'!Z451/SUM('Key inputs_EB_OWN'!Z$439:Z$458)&lt;0.001),0.001,'Key inputs_EB_OWN'!Z451/SUM('Key inputs_EB_OWN'!Z$439:Z$458)),"")</f>
        <v>0</v>
      </c>
      <c r="AG106" s="173">
        <f>IFERROR(IF(AND('Key inputs_EB_OWN'!AA451/SUM('Key inputs_EB_OWN'!AA$439:AA$458)&gt;0,'Key inputs_EB_OWN'!AA451/SUM('Key inputs_EB_OWN'!AA$439:AA$458)&lt;0.001),0.001,'Key inputs_EB_OWN'!AA451/SUM('Key inputs_EB_OWN'!AA$439:AA$458)),"")</f>
        <v>0</v>
      </c>
      <c r="AH106" s="173">
        <f>IFERROR(IF(AND('Key inputs_EB_OWN'!AB451/SUM('Key inputs_EB_OWN'!AB$439:AB$458)&gt;0,'Key inputs_EB_OWN'!AB451/SUM('Key inputs_EB_OWN'!AB$439:AB$458)&lt;0.001),0.001,'Key inputs_EB_OWN'!AB451/SUM('Key inputs_EB_OWN'!AB$439:AB$458)),"")</f>
        <v>0</v>
      </c>
      <c r="AI106" s="173">
        <f>IFERROR(IF(AND('Key inputs_EB_OWN'!AC451/SUM('Key inputs_EB_OWN'!AC$439:AC$458)&gt;0,'Key inputs_EB_OWN'!AC451/SUM('Key inputs_EB_OWN'!AC$439:AC$458)&lt;0.001),0.001,'Key inputs_EB_OWN'!AC451/SUM('Key inputs_EB_OWN'!AC$439:AC$458)),"")</f>
        <v>0</v>
      </c>
      <c r="AJ106" s="173">
        <f>IFERROR(IF(AND('Key inputs_EB_OWN'!AD451/SUM('Key inputs_EB_OWN'!AD$439:AD$458)&gt;0,'Key inputs_EB_OWN'!AD451/SUM('Key inputs_EB_OWN'!AD$439:AD$458)&lt;0.001),0.001,'Key inputs_EB_OWN'!AD451/SUM('Key inputs_EB_OWN'!AD$439:AD$458)),"")</f>
        <v>9.8914884523105207E-2</v>
      </c>
      <c r="AK106" s="173">
        <f>IFERROR(IF(AND('Key inputs_EB_OWN'!AE451/SUM('Key inputs_EB_OWN'!AE$439:AE$458)&gt;0,'Key inputs_EB_OWN'!AE451/SUM('Key inputs_EB_OWN'!AE$439:AE$458)&lt;0.001),0.001,'Key inputs_EB_OWN'!AE451/SUM('Key inputs_EB_OWN'!AE$439:AE$458)),"")</f>
        <v>0</v>
      </c>
      <c r="AL106" s="173">
        <f>IFERROR(IF(AND('Key inputs_EB_OWN'!AF451/SUM('Key inputs_EB_OWN'!AF$439:AF$458)&gt;0,'Key inputs_EB_OWN'!AF451/SUM('Key inputs_EB_OWN'!AF$439:AF$458)&lt;0.001),0.001,'Key inputs_EB_OWN'!AF451/SUM('Key inputs_EB_OWN'!AF$439:AF$458)),"")</f>
        <v>0</v>
      </c>
    </row>
    <row r="107" spans="1:38">
      <c r="C107" s="4" t="str">
        <f>Commodities!$C$95</f>
        <v>UPSHFO</v>
      </c>
      <c r="E107" s="4" t="s">
        <v>359</v>
      </c>
      <c r="G107" t="s">
        <v>693</v>
      </c>
      <c r="H107" s="4" t="s">
        <v>661</v>
      </c>
      <c r="I107">
        <v>2019</v>
      </c>
      <c r="J107" t="s">
        <v>650</v>
      </c>
      <c r="K107" s="173">
        <f>IFERROR(IF(AND('Key inputs_EB_OWN'!E452/SUM('Key inputs_EB_OWN'!E$439:E$458)&gt;0,'Key inputs_EB_OWN'!E452/SUM('Key inputs_EB_OWN'!E$439:E$458)&lt;0.001),0.001,'Key inputs_EB_OWN'!E452/SUM('Key inputs_EB_OWN'!E$439:E$458)),"")</f>
        <v>0</v>
      </c>
      <c r="L107" s="173">
        <f>IFERROR(IF(AND('Key inputs_EB_OWN'!F452/SUM('Key inputs_EB_OWN'!F$439:F$458)&gt;0,'Key inputs_EB_OWN'!F452/SUM('Key inputs_EB_OWN'!F$439:F$458)&lt;0.001),0.001,'Key inputs_EB_OWN'!F452/SUM('Key inputs_EB_OWN'!F$439:F$458)),"")</f>
        <v>0</v>
      </c>
      <c r="M107" s="173">
        <f>IFERROR(IF(AND('Key inputs_EB_OWN'!G452/SUM('Key inputs_EB_OWN'!G$439:G$458)&gt;0,'Key inputs_EB_OWN'!G452/SUM('Key inputs_EB_OWN'!G$439:G$458)&lt;0.001),0.001,'Key inputs_EB_OWN'!G452/SUM('Key inputs_EB_OWN'!G$439:G$458)),"")</f>
        <v>0</v>
      </c>
      <c r="N107" s="173">
        <f>IFERROR(IF(AND('Key inputs_EB_OWN'!H452/SUM('Key inputs_EB_OWN'!H$439:H$458)&gt;0,'Key inputs_EB_OWN'!H452/SUM('Key inputs_EB_OWN'!H$439:H$458)&lt;0.001),0.001,'Key inputs_EB_OWN'!H452/SUM('Key inputs_EB_OWN'!H$439:H$458)),"")</f>
        <v>0</v>
      </c>
      <c r="O107" s="173">
        <f>IFERROR(IF(AND('Key inputs_EB_OWN'!I452/SUM('Key inputs_EB_OWN'!I$439:I$458)&gt;0,'Key inputs_EB_OWN'!I452/SUM('Key inputs_EB_OWN'!I$439:I$458)&lt;0.001),0.001,'Key inputs_EB_OWN'!I452/SUM('Key inputs_EB_OWN'!I$439:I$458)),"")</f>
        <v>0</v>
      </c>
      <c r="P107" s="173">
        <f>IFERROR(IF(AND('Key inputs_EB_OWN'!J452/SUM('Key inputs_EB_OWN'!J$439:J$458)&gt;0,'Key inputs_EB_OWN'!J452/SUM('Key inputs_EB_OWN'!J$439:J$458)&lt;0.001),0.001,'Key inputs_EB_OWN'!J452/SUM('Key inputs_EB_OWN'!J$439:J$458)),"")</f>
        <v>0</v>
      </c>
      <c r="Q107" s="173">
        <f>IFERROR(IF(AND('Key inputs_EB_OWN'!K452/SUM('Key inputs_EB_OWN'!K$439:K$458)&gt;0,'Key inputs_EB_OWN'!K452/SUM('Key inputs_EB_OWN'!K$439:K$458)&lt;0.001),0.001,'Key inputs_EB_OWN'!K452/SUM('Key inputs_EB_OWN'!K$439:K$458)),"")</f>
        <v>0</v>
      </c>
      <c r="R107" s="173">
        <f>IFERROR(IF(AND('Key inputs_EB_OWN'!L452/SUM('Key inputs_EB_OWN'!L$439:L$458)&gt;0,'Key inputs_EB_OWN'!L452/SUM('Key inputs_EB_OWN'!L$439:L$458)&lt;0.001),0.001,'Key inputs_EB_OWN'!L452/SUM('Key inputs_EB_OWN'!L$439:L$458)),"")</f>
        <v>0</v>
      </c>
      <c r="S107" s="173">
        <f>IFERROR(IF(AND('Key inputs_EB_OWN'!M452/SUM('Key inputs_EB_OWN'!M$439:M$458)&gt;0,'Key inputs_EB_OWN'!M452/SUM('Key inputs_EB_OWN'!M$439:M$458)&lt;0.001),0.001,'Key inputs_EB_OWN'!M452/SUM('Key inputs_EB_OWN'!M$439:M$458)),"")</f>
        <v>0</v>
      </c>
      <c r="T107" s="173">
        <f>IFERROR(IF(AND('Key inputs_EB_OWN'!N452/SUM('Key inputs_EB_OWN'!N$439:N$458)&gt;0,'Key inputs_EB_OWN'!N452/SUM('Key inputs_EB_OWN'!N$439:N$458)&lt;0.001),0.001,'Key inputs_EB_OWN'!N452/SUM('Key inputs_EB_OWN'!N$439:N$458)),"")</f>
        <v>0</v>
      </c>
      <c r="U107" s="173">
        <f>IFERROR(IF(AND('Key inputs_EB_OWN'!O452/SUM('Key inputs_EB_OWN'!O$439:O$458)&gt;0,'Key inputs_EB_OWN'!O452/SUM('Key inputs_EB_OWN'!O$439:O$458)&lt;0.001),0.001,'Key inputs_EB_OWN'!O452/SUM('Key inputs_EB_OWN'!O$439:O$458)),"")</f>
        <v>0</v>
      </c>
      <c r="V107" s="173">
        <f>IFERROR(IF(AND('Key inputs_EB_OWN'!P452/SUM('Key inputs_EB_OWN'!P$439:P$458)&gt;0,'Key inputs_EB_OWN'!P452/SUM('Key inputs_EB_OWN'!P$439:P$458)&lt;0.001),0.001,'Key inputs_EB_OWN'!P452/SUM('Key inputs_EB_OWN'!P$439:P$458)),"")</f>
        <v>1E-3</v>
      </c>
      <c r="W107" s="173">
        <f>IFERROR(IF(AND('Key inputs_EB_OWN'!Q452/SUM('Key inputs_EB_OWN'!Q$439:Q$458)&gt;0,'Key inputs_EB_OWN'!Q452/SUM('Key inputs_EB_OWN'!Q$439:Q$458)&lt;0.001),0.001,'Key inputs_EB_OWN'!Q452/SUM('Key inputs_EB_OWN'!Q$439:Q$458)),"")</f>
        <v>0</v>
      </c>
      <c r="X107" s="173">
        <f>IFERROR(IF(AND('Key inputs_EB_OWN'!R452/SUM('Key inputs_EB_OWN'!R$439:R$458)&gt;0,'Key inputs_EB_OWN'!R452/SUM('Key inputs_EB_OWN'!R$439:R$458)&lt;0.001),0.001,'Key inputs_EB_OWN'!R452/SUM('Key inputs_EB_OWN'!R$439:R$458)),"")</f>
        <v>1.7706125547832876E-3</v>
      </c>
      <c r="Y107" s="173">
        <f>IFERROR(IF(AND('Key inputs_EB_OWN'!S452/SUM('Key inputs_EB_OWN'!S$439:S$458)&gt;0,'Key inputs_EB_OWN'!S452/SUM('Key inputs_EB_OWN'!S$439:S$458)&lt;0.001),0.001,'Key inputs_EB_OWN'!S452/SUM('Key inputs_EB_OWN'!S$439:S$458)),"")</f>
        <v>0</v>
      </c>
      <c r="Z107" s="173">
        <f>IFERROR(IF(AND('Key inputs_EB_OWN'!T452/SUM('Key inputs_EB_OWN'!T$439:T$458)&gt;0,'Key inputs_EB_OWN'!T452/SUM('Key inputs_EB_OWN'!T$439:T$458)&lt;0.001),0.001,'Key inputs_EB_OWN'!T452/SUM('Key inputs_EB_OWN'!T$439:T$458)),"")</f>
        <v>0</v>
      </c>
      <c r="AA107" s="173">
        <f>IFERROR(IF(AND('Key inputs_EB_OWN'!U452/SUM('Key inputs_EB_OWN'!U$439:U$458)&gt;0,'Key inputs_EB_OWN'!U452/SUM('Key inputs_EB_OWN'!U$439:U$458)&lt;0.001),0.001,'Key inputs_EB_OWN'!U452/SUM('Key inputs_EB_OWN'!U$439:U$458)),"")</f>
        <v>0</v>
      </c>
      <c r="AB107" s="173">
        <f>IFERROR(IF(AND('Key inputs_EB_OWN'!V452/SUM('Key inputs_EB_OWN'!V$439:V$458)&gt;0,'Key inputs_EB_OWN'!V452/SUM('Key inputs_EB_OWN'!V$439:V$458)&lt;0.001),0.001,'Key inputs_EB_OWN'!V452/SUM('Key inputs_EB_OWN'!V$439:V$458)),"")</f>
        <v>0</v>
      </c>
      <c r="AC107" s="173">
        <f>IFERROR(IF(AND('Key inputs_EB_OWN'!W452/SUM('Key inputs_EB_OWN'!W$439:W$458)&gt;0,'Key inputs_EB_OWN'!W452/SUM('Key inputs_EB_OWN'!W$439:W$458)&lt;0.001),0.001,'Key inputs_EB_OWN'!W452/SUM('Key inputs_EB_OWN'!W$439:W$458)),"")</f>
        <v>0</v>
      </c>
      <c r="AD107" s="173">
        <f>IFERROR(IF(AND('Key inputs_EB_OWN'!X452/SUM('Key inputs_EB_OWN'!X$439:X$458)&gt;0,'Key inputs_EB_OWN'!X452/SUM('Key inputs_EB_OWN'!X$439:X$458)&lt;0.001),0.001,'Key inputs_EB_OWN'!X452/SUM('Key inputs_EB_OWN'!X$439:X$458)),"")</f>
        <v>0</v>
      </c>
      <c r="AE107" s="173">
        <f>IFERROR(IF(AND('Key inputs_EB_OWN'!Y452/SUM('Key inputs_EB_OWN'!Y$439:Y$458)&gt;0,'Key inputs_EB_OWN'!Y452/SUM('Key inputs_EB_OWN'!Y$439:Y$458)&lt;0.001),0.001,'Key inputs_EB_OWN'!Y452/SUM('Key inputs_EB_OWN'!Y$439:Y$458)),"")</f>
        <v>8.3219630884414798E-3</v>
      </c>
      <c r="AF107" s="173">
        <f>IFERROR(IF(AND('Key inputs_EB_OWN'!Z452/SUM('Key inputs_EB_OWN'!Z$439:Z$458)&gt;0,'Key inputs_EB_OWN'!Z452/SUM('Key inputs_EB_OWN'!Z$439:Z$458)&lt;0.001),0.001,'Key inputs_EB_OWN'!Z452/SUM('Key inputs_EB_OWN'!Z$439:Z$458)),"")</f>
        <v>0</v>
      </c>
      <c r="AG107" s="173">
        <f>IFERROR(IF(AND('Key inputs_EB_OWN'!AA452/SUM('Key inputs_EB_OWN'!AA$439:AA$458)&gt;0,'Key inputs_EB_OWN'!AA452/SUM('Key inputs_EB_OWN'!AA$439:AA$458)&lt;0.001),0.001,'Key inputs_EB_OWN'!AA452/SUM('Key inputs_EB_OWN'!AA$439:AA$458)),"")</f>
        <v>0</v>
      </c>
      <c r="AH107" s="173">
        <f>IFERROR(IF(AND('Key inputs_EB_OWN'!AB452/SUM('Key inputs_EB_OWN'!AB$439:AB$458)&gt;0,'Key inputs_EB_OWN'!AB452/SUM('Key inputs_EB_OWN'!AB$439:AB$458)&lt;0.001),0.001,'Key inputs_EB_OWN'!AB452/SUM('Key inputs_EB_OWN'!AB$439:AB$458)),"")</f>
        <v>0</v>
      </c>
      <c r="AI107" s="173">
        <f>IFERROR(IF(AND('Key inputs_EB_OWN'!AC452/SUM('Key inputs_EB_OWN'!AC$439:AC$458)&gt;0,'Key inputs_EB_OWN'!AC452/SUM('Key inputs_EB_OWN'!AC$439:AC$458)&lt;0.001),0.001,'Key inputs_EB_OWN'!AC452/SUM('Key inputs_EB_OWN'!AC$439:AC$458)),"")</f>
        <v>0</v>
      </c>
      <c r="AJ107" s="173">
        <f>IFERROR(IF(AND('Key inputs_EB_OWN'!AD452/SUM('Key inputs_EB_OWN'!AD$439:AD$458)&gt;0,'Key inputs_EB_OWN'!AD452/SUM('Key inputs_EB_OWN'!AD$439:AD$458)&lt;0.001),0.001,'Key inputs_EB_OWN'!AD452/SUM('Key inputs_EB_OWN'!AD$439:AD$458)),"")</f>
        <v>0</v>
      </c>
      <c r="AK107" s="173">
        <f>IFERROR(IF(AND('Key inputs_EB_OWN'!AE452/SUM('Key inputs_EB_OWN'!AE$439:AE$458)&gt;0,'Key inputs_EB_OWN'!AE452/SUM('Key inputs_EB_OWN'!AE$439:AE$458)&lt;0.001),0.001,'Key inputs_EB_OWN'!AE452/SUM('Key inputs_EB_OWN'!AE$439:AE$458)),"")</f>
        <v>0.10182428446001623</v>
      </c>
      <c r="AL107" s="173">
        <f>IFERROR(IF(AND('Key inputs_EB_OWN'!AF452/SUM('Key inputs_EB_OWN'!AF$439:AF$458)&gt;0,'Key inputs_EB_OWN'!AF452/SUM('Key inputs_EB_OWN'!AF$439:AF$458)&lt;0.001),0.001,'Key inputs_EB_OWN'!AF452/SUM('Key inputs_EB_OWN'!AF$439:AF$458)),"")</f>
        <v>2.4361260990022515E-3</v>
      </c>
    </row>
    <row r="108" spans="1:38">
      <c r="C108" s="4" t="str">
        <f>Commodities!$C$96</f>
        <v>UPSKER</v>
      </c>
      <c r="E108" s="4" t="s">
        <v>359</v>
      </c>
      <c r="G108" t="s">
        <v>693</v>
      </c>
      <c r="H108" s="4" t="s">
        <v>661</v>
      </c>
      <c r="I108">
        <v>2019</v>
      </c>
      <c r="J108" t="s">
        <v>650</v>
      </c>
      <c r="K108" s="173">
        <f>IFERROR(IF(AND('Key inputs_EB_OWN'!E453/SUM('Key inputs_EB_OWN'!E$439:E$458)&gt;0,'Key inputs_EB_OWN'!E453/SUM('Key inputs_EB_OWN'!E$439:E$458)&lt;0.001),0.001,'Key inputs_EB_OWN'!E453/SUM('Key inputs_EB_OWN'!E$439:E$458)),"")</f>
        <v>0</v>
      </c>
      <c r="L108" s="173">
        <f>IFERROR(IF(AND('Key inputs_EB_OWN'!F453/SUM('Key inputs_EB_OWN'!F$439:F$458)&gt;0,'Key inputs_EB_OWN'!F453/SUM('Key inputs_EB_OWN'!F$439:F$458)&lt;0.001),0.001,'Key inputs_EB_OWN'!F453/SUM('Key inputs_EB_OWN'!F$439:F$458)),"")</f>
        <v>0</v>
      </c>
      <c r="M108" s="173">
        <f>IFERROR(IF(AND('Key inputs_EB_OWN'!G453/SUM('Key inputs_EB_OWN'!G$439:G$458)&gt;0,'Key inputs_EB_OWN'!G453/SUM('Key inputs_EB_OWN'!G$439:G$458)&lt;0.001),0.001,'Key inputs_EB_OWN'!G453/SUM('Key inputs_EB_OWN'!G$439:G$458)),"")</f>
        <v>0</v>
      </c>
      <c r="N108" s="173">
        <f>IFERROR(IF(AND('Key inputs_EB_OWN'!H453/SUM('Key inputs_EB_OWN'!H$439:H$458)&gt;0,'Key inputs_EB_OWN'!H453/SUM('Key inputs_EB_OWN'!H$439:H$458)&lt;0.001),0.001,'Key inputs_EB_OWN'!H453/SUM('Key inputs_EB_OWN'!H$439:H$458)),"")</f>
        <v>0</v>
      </c>
      <c r="O108" s="173">
        <f>IFERROR(IF(AND('Key inputs_EB_OWN'!I453/SUM('Key inputs_EB_OWN'!I$439:I$458)&gt;0,'Key inputs_EB_OWN'!I453/SUM('Key inputs_EB_OWN'!I$439:I$458)&lt;0.001),0.001,'Key inputs_EB_OWN'!I453/SUM('Key inputs_EB_OWN'!I$439:I$458)),"")</f>
        <v>0</v>
      </c>
      <c r="P108" s="173">
        <f>IFERROR(IF(AND('Key inputs_EB_OWN'!J453/SUM('Key inputs_EB_OWN'!J$439:J$458)&gt;0,'Key inputs_EB_OWN'!J453/SUM('Key inputs_EB_OWN'!J$439:J$458)&lt;0.001),0.001,'Key inputs_EB_OWN'!J453/SUM('Key inputs_EB_OWN'!J$439:J$458)),"")</f>
        <v>0</v>
      </c>
      <c r="Q108" s="173">
        <f>IFERROR(IF(AND('Key inputs_EB_OWN'!K453/SUM('Key inputs_EB_OWN'!K$439:K$458)&gt;0,'Key inputs_EB_OWN'!K453/SUM('Key inputs_EB_OWN'!K$439:K$458)&lt;0.001),0.001,'Key inputs_EB_OWN'!K453/SUM('Key inputs_EB_OWN'!K$439:K$458)),"")</f>
        <v>0</v>
      </c>
      <c r="R108" s="173">
        <f>IFERROR(IF(AND('Key inputs_EB_OWN'!L453/SUM('Key inputs_EB_OWN'!L$439:L$458)&gt;0,'Key inputs_EB_OWN'!L453/SUM('Key inputs_EB_OWN'!L$439:L$458)&lt;0.001),0.001,'Key inputs_EB_OWN'!L453/SUM('Key inputs_EB_OWN'!L$439:L$458)),"")</f>
        <v>0</v>
      </c>
      <c r="S108" s="173">
        <f>IFERROR(IF(AND('Key inputs_EB_OWN'!M453/SUM('Key inputs_EB_OWN'!M$439:M$458)&gt;0,'Key inputs_EB_OWN'!M453/SUM('Key inputs_EB_OWN'!M$439:M$458)&lt;0.001),0.001,'Key inputs_EB_OWN'!M453/SUM('Key inputs_EB_OWN'!M$439:M$458)),"")</f>
        <v>0</v>
      </c>
      <c r="T108" s="173">
        <f>IFERROR(IF(AND('Key inputs_EB_OWN'!N453/SUM('Key inputs_EB_OWN'!N$439:N$458)&gt;0,'Key inputs_EB_OWN'!N453/SUM('Key inputs_EB_OWN'!N$439:N$458)&lt;0.001),0.001,'Key inputs_EB_OWN'!N453/SUM('Key inputs_EB_OWN'!N$439:N$458)),"")</f>
        <v>1E-3</v>
      </c>
      <c r="U108" s="173">
        <f>IFERROR(IF(AND('Key inputs_EB_OWN'!O453/SUM('Key inputs_EB_OWN'!O$439:O$458)&gt;0,'Key inputs_EB_OWN'!O453/SUM('Key inputs_EB_OWN'!O$439:O$458)&lt;0.001),0.001,'Key inputs_EB_OWN'!O453/SUM('Key inputs_EB_OWN'!O$439:O$458)),"")</f>
        <v>0</v>
      </c>
      <c r="V108" s="173">
        <f>IFERROR(IF(AND('Key inputs_EB_OWN'!P453/SUM('Key inputs_EB_OWN'!P$439:P$458)&gt;0,'Key inputs_EB_OWN'!P453/SUM('Key inputs_EB_OWN'!P$439:P$458)&lt;0.001),0.001,'Key inputs_EB_OWN'!P453/SUM('Key inputs_EB_OWN'!P$439:P$458)),"")</f>
        <v>0</v>
      </c>
      <c r="W108" s="173">
        <f>IFERROR(IF(AND('Key inputs_EB_OWN'!Q453/SUM('Key inputs_EB_OWN'!Q$439:Q$458)&gt;0,'Key inputs_EB_OWN'!Q453/SUM('Key inputs_EB_OWN'!Q$439:Q$458)&lt;0.001),0.001,'Key inputs_EB_OWN'!Q453/SUM('Key inputs_EB_OWN'!Q$439:Q$458)),"")</f>
        <v>0</v>
      </c>
      <c r="X108" s="173">
        <f>IFERROR(IF(AND('Key inputs_EB_OWN'!R453/SUM('Key inputs_EB_OWN'!R$439:R$458)&gt;0,'Key inputs_EB_OWN'!R453/SUM('Key inputs_EB_OWN'!R$439:R$458)&lt;0.001),0.001,'Key inputs_EB_OWN'!R453/SUM('Key inputs_EB_OWN'!R$439:R$458)),"")</f>
        <v>0</v>
      </c>
      <c r="Y108" s="173">
        <f>IFERROR(IF(AND('Key inputs_EB_OWN'!S453/SUM('Key inputs_EB_OWN'!S$439:S$458)&gt;0,'Key inputs_EB_OWN'!S453/SUM('Key inputs_EB_OWN'!S$439:S$458)&lt;0.001),0.001,'Key inputs_EB_OWN'!S453/SUM('Key inputs_EB_OWN'!S$439:S$458)),"")</f>
        <v>0</v>
      </c>
      <c r="Z108" s="173">
        <f>IFERROR(IF(AND('Key inputs_EB_OWN'!T453/SUM('Key inputs_EB_OWN'!T$439:T$458)&gt;0,'Key inputs_EB_OWN'!T453/SUM('Key inputs_EB_OWN'!T$439:T$458)&lt;0.001),0.001,'Key inputs_EB_OWN'!T453/SUM('Key inputs_EB_OWN'!T$439:T$458)),"")</f>
        <v>0</v>
      </c>
      <c r="AA108" s="173">
        <f>IFERROR(IF(AND('Key inputs_EB_OWN'!U453/SUM('Key inputs_EB_OWN'!U$439:U$458)&gt;0,'Key inputs_EB_OWN'!U453/SUM('Key inputs_EB_OWN'!U$439:U$458)&lt;0.001),0.001,'Key inputs_EB_OWN'!U453/SUM('Key inputs_EB_OWN'!U$439:U$458)),"")</f>
        <v>0</v>
      </c>
      <c r="AB108" s="173">
        <f>IFERROR(IF(AND('Key inputs_EB_OWN'!V453/SUM('Key inputs_EB_OWN'!V$439:V$458)&gt;0,'Key inputs_EB_OWN'!V453/SUM('Key inputs_EB_OWN'!V$439:V$458)&lt;0.001),0.001,'Key inputs_EB_OWN'!V453/SUM('Key inputs_EB_OWN'!V$439:V$458)),"")</f>
        <v>0</v>
      </c>
      <c r="AC108" s="173">
        <f>IFERROR(IF(AND('Key inputs_EB_OWN'!W453/SUM('Key inputs_EB_OWN'!W$439:W$458)&gt;0,'Key inputs_EB_OWN'!W453/SUM('Key inputs_EB_OWN'!W$439:W$458)&lt;0.001),0.001,'Key inputs_EB_OWN'!W453/SUM('Key inputs_EB_OWN'!W$439:W$458)),"")</f>
        <v>0</v>
      </c>
      <c r="AD108" s="173">
        <f>IFERROR(IF(AND('Key inputs_EB_OWN'!X453/SUM('Key inputs_EB_OWN'!X$439:X$458)&gt;0,'Key inputs_EB_OWN'!X453/SUM('Key inputs_EB_OWN'!X$439:X$458)&lt;0.001),0.001,'Key inputs_EB_OWN'!X453/SUM('Key inputs_EB_OWN'!X$439:X$458)),"")</f>
        <v>0</v>
      </c>
      <c r="AE108" s="173">
        <f>IFERROR(IF(AND('Key inputs_EB_OWN'!Y453/SUM('Key inputs_EB_OWN'!Y$439:Y$458)&gt;0,'Key inputs_EB_OWN'!Y453/SUM('Key inputs_EB_OWN'!Y$439:Y$458)&lt;0.001),0.001,'Key inputs_EB_OWN'!Y453/SUM('Key inputs_EB_OWN'!Y$439:Y$458)),"")</f>
        <v>0</v>
      </c>
      <c r="AF108" s="173">
        <f>IFERROR(IF(AND('Key inputs_EB_OWN'!Z453/SUM('Key inputs_EB_OWN'!Z$439:Z$458)&gt;0,'Key inputs_EB_OWN'!Z453/SUM('Key inputs_EB_OWN'!Z$439:Z$458)&lt;0.001),0.001,'Key inputs_EB_OWN'!Z453/SUM('Key inputs_EB_OWN'!Z$439:Z$458)),"")</f>
        <v>0</v>
      </c>
      <c r="AG108" s="173">
        <f>IFERROR(IF(AND('Key inputs_EB_OWN'!AA453/SUM('Key inputs_EB_OWN'!AA$439:AA$458)&gt;0,'Key inputs_EB_OWN'!AA453/SUM('Key inputs_EB_OWN'!AA$439:AA$458)&lt;0.001),0.001,'Key inputs_EB_OWN'!AA453/SUM('Key inputs_EB_OWN'!AA$439:AA$458)),"")</f>
        <v>0</v>
      </c>
      <c r="AH108" s="173">
        <f>IFERROR(IF(AND('Key inputs_EB_OWN'!AB453/SUM('Key inputs_EB_OWN'!AB$439:AB$458)&gt;0,'Key inputs_EB_OWN'!AB453/SUM('Key inputs_EB_OWN'!AB$439:AB$458)&lt;0.001),0.001,'Key inputs_EB_OWN'!AB453/SUM('Key inputs_EB_OWN'!AB$439:AB$458)),"")</f>
        <v>0</v>
      </c>
      <c r="AI108" s="173">
        <f>IFERROR(IF(AND('Key inputs_EB_OWN'!AC453/SUM('Key inputs_EB_OWN'!AC$439:AC$458)&gt;0,'Key inputs_EB_OWN'!AC453/SUM('Key inputs_EB_OWN'!AC$439:AC$458)&lt;0.001),0.001,'Key inputs_EB_OWN'!AC453/SUM('Key inputs_EB_OWN'!AC$439:AC$458)),"")</f>
        <v>0</v>
      </c>
      <c r="AJ108" s="173">
        <f>IFERROR(IF(AND('Key inputs_EB_OWN'!AD453/SUM('Key inputs_EB_OWN'!AD$439:AD$458)&gt;0,'Key inputs_EB_OWN'!AD453/SUM('Key inputs_EB_OWN'!AD$439:AD$458)&lt;0.001),0.001,'Key inputs_EB_OWN'!AD453/SUM('Key inputs_EB_OWN'!AD$439:AD$458)),"")</f>
        <v>0</v>
      </c>
      <c r="AK108" s="173">
        <f>IFERROR(IF(AND('Key inputs_EB_OWN'!AE453/SUM('Key inputs_EB_OWN'!AE$439:AE$458)&gt;0,'Key inputs_EB_OWN'!AE453/SUM('Key inputs_EB_OWN'!AE$439:AE$458)&lt;0.001),0.001,'Key inputs_EB_OWN'!AE453/SUM('Key inputs_EB_OWN'!AE$439:AE$458)),"")</f>
        <v>5.9857952387132761E-3</v>
      </c>
      <c r="AL108" s="173">
        <f>IFERROR(IF(AND('Key inputs_EB_OWN'!AF453/SUM('Key inputs_EB_OWN'!AF$439:AF$458)&gt;0,'Key inputs_EB_OWN'!AF453/SUM('Key inputs_EB_OWN'!AF$439:AF$458)&lt;0.001),0.001,'Key inputs_EB_OWN'!AF453/SUM('Key inputs_EB_OWN'!AF$439:AF$458)),"")</f>
        <v>0</v>
      </c>
    </row>
    <row r="109" spans="1:38">
      <c r="C109" s="4" t="str">
        <f>Commodities!$C$97</f>
        <v>UPSLPG</v>
      </c>
      <c r="E109" s="4" t="s">
        <v>359</v>
      </c>
      <c r="G109" t="s">
        <v>693</v>
      </c>
      <c r="H109" s="4" t="s">
        <v>661</v>
      </c>
      <c r="I109">
        <v>2019</v>
      </c>
      <c r="J109" t="s">
        <v>650</v>
      </c>
      <c r="K109" s="173">
        <f>IFERROR(IF(AND('Key inputs_EB_OWN'!E454/SUM('Key inputs_EB_OWN'!E$439:E$458)&gt;0,'Key inputs_EB_OWN'!E454/SUM('Key inputs_EB_OWN'!E$439:E$458)&lt;0.001),0.001,'Key inputs_EB_OWN'!E454/SUM('Key inputs_EB_OWN'!E$439:E$458)),"")</f>
        <v>0</v>
      </c>
      <c r="L109" s="173">
        <f>IFERROR(IF(AND('Key inputs_EB_OWN'!F454/SUM('Key inputs_EB_OWN'!F$439:F$458)&gt;0,'Key inputs_EB_OWN'!F454/SUM('Key inputs_EB_OWN'!F$439:F$458)&lt;0.001),0.001,'Key inputs_EB_OWN'!F454/SUM('Key inputs_EB_OWN'!F$439:F$458)),"")</f>
        <v>0</v>
      </c>
      <c r="M109" s="173">
        <f>IFERROR(IF(AND('Key inputs_EB_OWN'!G454/SUM('Key inputs_EB_OWN'!G$439:G$458)&gt;0,'Key inputs_EB_OWN'!G454/SUM('Key inputs_EB_OWN'!G$439:G$458)&lt;0.001),0.001,'Key inputs_EB_OWN'!G454/SUM('Key inputs_EB_OWN'!G$439:G$458)),"")</f>
        <v>0</v>
      </c>
      <c r="N109" s="173">
        <f>IFERROR(IF(AND('Key inputs_EB_OWN'!H454/SUM('Key inputs_EB_OWN'!H$439:H$458)&gt;0,'Key inputs_EB_OWN'!H454/SUM('Key inputs_EB_OWN'!H$439:H$458)&lt;0.001),0.001,'Key inputs_EB_OWN'!H454/SUM('Key inputs_EB_OWN'!H$439:H$458)),"")</f>
        <v>0</v>
      </c>
      <c r="O109" s="173">
        <f>IFERROR(IF(AND('Key inputs_EB_OWN'!I454/SUM('Key inputs_EB_OWN'!I$439:I$458)&gt;0,'Key inputs_EB_OWN'!I454/SUM('Key inputs_EB_OWN'!I$439:I$458)&lt;0.001),0.001,'Key inputs_EB_OWN'!I454/SUM('Key inputs_EB_OWN'!I$439:I$458)),"")</f>
        <v>3.0519960354496631E-3</v>
      </c>
      <c r="P109" s="173">
        <f>IFERROR(IF(AND('Key inputs_EB_OWN'!J454/SUM('Key inputs_EB_OWN'!J$439:J$458)&gt;0,'Key inputs_EB_OWN'!J454/SUM('Key inputs_EB_OWN'!J$439:J$458)&lt;0.001),0.001,'Key inputs_EB_OWN'!J454/SUM('Key inputs_EB_OWN'!J$439:J$458)),"")</f>
        <v>4.8531111935404929E-3</v>
      </c>
      <c r="Q109" s="173">
        <f>IFERROR(IF(AND('Key inputs_EB_OWN'!K454/SUM('Key inputs_EB_OWN'!K$439:K$458)&gt;0,'Key inputs_EB_OWN'!K454/SUM('Key inputs_EB_OWN'!K$439:K$458)&lt;0.001),0.001,'Key inputs_EB_OWN'!K454/SUM('Key inputs_EB_OWN'!K$439:K$458)),"")</f>
        <v>3.3869918396597469E-2</v>
      </c>
      <c r="R109" s="173">
        <f>IFERROR(IF(AND('Key inputs_EB_OWN'!L454/SUM('Key inputs_EB_OWN'!L$439:L$458)&gt;0,'Key inputs_EB_OWN'!L454/SUM('Key inputs_EB_OWN'!L$439:L$458)&lt;0.001),0.001,'Key inputs_EB_OWN'!L454/SUM('Key inputs_EB_OWN'!L$439:L$458)),"")</f>
        <v>0</v>
      </c>
      <c r="S109" s="173">
        <f>IFERROR(IF(AND('Key inputs_EB_OWN'!M454/SUM('Key inputs_EB_OWN'!M$439:M$458)&gt;0,'Key inputs_EB_OWN'!M454/SUM('Key inputs_EB_OWN'!M$439:M$458)&lt;0.001),0.001,'Key inputs_EB_OWN'!M454/SUM('Key inputs_EB_OWN'!M$439:M$458)),"")</f>
        <v>0</v>
      </c>
      <c r="T109" s="173">
        <f>IFERROR(IF(AND('Key inputs_EB_OWN'!N454/SUM('Key inputs_EB_OWN'!N$439:N$458)&gt;0,'Key inputs_EB_OWN'!N454/SUM('Key inputs_EB_OWN'!N$439:N$458)&lt;0.001),0.001,'Key inputs_EB_OWN'!N454/SUM('Key inputs_EB_OWN'!N$439:N$458)),"")</f>
        <v>5.0282863958180596E-3</v>
      </c>
      <c r="U109" s="173">
        <f>IFERROR(IF(AND('Key inputs_EB_OWN'!O454/SUM('Key inputs_EB_OWN'!O$439:O$458)&gt;0,'Key inputs_EB_OWN'!O454/SUM('Key inputs_EB_OWN'!O$439:O$458)&lt;0.001),0.001,'Key inputs_EB_OWN'!O454/SUM('Key inputs_EB_OWN'!O$439:O$458)),"")</f>
        <v>1</v>
      </c>
      <c r="V109" s="173">
        <f>IFERROR(IF(AND('Key inputs_EB_OWN'!P454/SUM('Key inputs_EB_OWN'!P$439:P$458)&gt;0,'Key inputs_EB_OWN'!P454/SUM('Key inputs_EB_OWN'!P$439:P$458)&lt;0.001),0.001,'Key inputs_EB_OWN'!P454/SUM('Key inputs_EB_OWN'!P$439:P$458)),"")</f>
        <v>1E-3</v>
      </c>
      <c r="W109" s="173">
        <f>IFERROR(IF(AND('Key inputs_EB_OWN'!Q454/SUM('Key inputs_EB_OWN'!Q$439:Q$458)&gt;0,'Key inputs_EB_OWN'!Q454/SUM('Key inputs_EB_OWN'!Q$439:Q$458)&lt;0.001),0.001,'Key inputs_EB_OWN'!Q454/SUM('Key inputs_EB_OWN'!Q$439:Q$458)),"")</f>
        <v>1.4131889511910507E-2</v>
      </c>
      <c r="X109" s="173">
        <f>IFERROR(IF(AND('Key inputs_EB_OWN'!R454/SUM('Key inputs_EB_OWN'!R$439:R$458)&gt;0,'Key inputs_EB_OWN'!R454/SUM('Key inputs_EB_OWN'!R$439:R$458)&lt;0.001),0.001,'Key inputs_EB_OWN'!R454/SUM('Key inputs_EB_OWN'!R$439:R$458)),"")</f>
        <v>1E-3</v>
      </c>
      <c r="Y109" s="173">
        <f>IFERROR(IF(AND('Key inputs_EB_OWN'!S454/SUM('Key inputs_EB_OWN'!S$439:S$458)&gt;0,'Key inputs_EB_OWN'!S454/SUM('Key inputs_EB_OWN'!S$439:S$458)&lt;0.001),0.001,'Key inputs_EB_OWN'!S454/SUM('Key inputs_EB_OWN'!S$439:S$458)),"")</f>
        <v>0</v>
      </c>
      <c r="Z109" s="173">
        <f>IFERROR(IF(AND('Key inputs_EB_OWN'!T454/SUM('Key inputs_EB_OWN'!T$439:T$458)&gt;0,'Key inputs_EB_OWN'!T454/SUM('Key inputs_EB_OWN'!T$439:T$458)&lt;0.001),0.001,'Key inputs_EB_OWN'!T454/SUM('Key inputs_EB_OWN'!T$439:T$458)),"")</f>
        <v>0</v>
      </c>
      <c r="AA109" s="173">
        <f>IFERROR(IF(AND('Key inputs_EB_OWN'!U454/SUM('Key inputs_EB_OWN'!U$439:U$458)&gt;0,'Key inputs_EB_OWN'!U454/SUM('Key inputs_EB_OWN'!U$439:U$458)&lt;0.001),0.001,'Key inputs_EB_OWN'!U454/SUM('Key inputs_EB_OWN'!U$439:U$458)),"")</f>
        <v>0</v>
      </c>
      <c r="AB109" s="173">
        <f>IFERROR(IF(AND('Key inputs_EB_OWN'!V454/SUM('Key inputs_EB_OWN'!V$439:V$458)&gt;0,'Key inputs_EB_OWN'!V454/SUM('Key inputs_EB_OWN'!V$439:V$458)&lt;0.001),0.001,'Key inputs_EB_OWN'!V454/SUM('Key inputs_EB_OWN'!V$439:V$458)),"")</f>
        <v>1E-3</v>
      </c>
      <c r="AC109" s="173">
        <f>IFERROR(IF(AND('Key inputs_EB_OWN'!W454/SUM('Key inputs_EB_OWN'!W$439:W$458)&gt;0,'Key inputs_EB_OWN'!W454/SUM('Key inputs_EB_OWN'!W$439:W$458)&lt;0.001),0.001,'Key inputs_EB_OWN'!W454/SUM('Key inputs_EB_OWN'!W$439:W$458)),"")</f>
        <v>0</v>
      </c>
      <c r="AD109" s="173">
        <f>IFERROR(IF(AND('Key inputs_EB_OWN'!X454/SUM('Key inputs_EB_OWN'!X$439:X$458)&gt;0,'Key inputs_EB_OWN'!X454/SUM('Key inputs_EB_OWN'!X$439:X$458)&lt;0.001),0.001,'Key inputs_EB_OWN'!X454/SUM('Key inputs_EB_OWN'!X$439:X$458)),"")</f>
        <v>0</v>
      </c>
      <c r="AE109" s="173">
        <f>IFERROR(IF(AND('Key inputs_EB_OWN'!Y454/SUM('Key inputs_EB_OWN'!Y$439:Y$458)&gt;0,'Key inputs_EB_OWN'!Y454/SUM('Key inputs_EB_OWN'!Y$439:Y$458)&lt;0.001),0.001,'Key inputs_EB_OWN'!Y454/SUM('Key inputs_EB_OWN'!Y$439:Y$458)),"")</f>
        <v>0</v>
      </c>
      <c r="AF109" s="173">
        <f>IFERROR(IF(AND('Key inputs_EB_OWN'!Z454/SUM('Key inputs_EB_OWN'!Z$439:Z$458)&gt;0,'Key inputs_EB_OWN'!Z454/SUM('Key inputs_EB_OWN'!Z$439:Z$458)&lt;0.001),0.001,'Key inputs_EB_OWN'!Z454/SUM('Key inputs_EB_OWN'!Z$439:Z$458)),"")</f>
        <v>0</v>
      </c>
      <c r="AG109" s="173">
        <f>IFERROR(IF(AND('Key inputs_EB_OWN'!AA454/SUM('Key inputs_EB_OWN'!AA$439:AA$458)&gt;0,'Key inputs_EB_OWN'!AA454/SUM('Key inputs_EB_OWN'!AA$439:AA$458)&lt;0.001),0.001,'Key inputs_EB_OWN'!AA454/SUM('Key inputs_EB_OWN'!AA$439:AA$458)),"")</f>
        <v>2.8981624329936614E-2</v>
      </c>
      <c r="AH109" s="173">
        <f>IFERROR(IF(AND('Key inputs_EB_OWN'!AB454/SUM('Key inputs_EB_OWN'!AB$439:AB$458)&gt;0,'Key inputs_EB_OWN'!AB454/SUM('Key inputs_EB_OWN'!AB$439:AB$458)&lt;0.001),0.001,'Key inputs_EB_OWN'!AB454/SUM('Key inputs_EB_OWN'!AB$439:AB$458)),"")</f>
        <v>0</v>
      </c>
      <c r="AI109" s="173">
        <f>IFERROR(IF(AND('Key inputs_EB_OWN'!AC454/SUM('Key inputs_EB_OWN'!AC$439:AC$458)&gt;0,'Key inputs_EB_OWN'!AC454/SUM('Key inputs_EB_OWN'!AC$439:AC$458)&lt;0.001),0.001,'Key inputs_EB_OWN'!AC454/SUM('Key inputs_EB_OWN'!AC$439:AC$458)),"")</f>
        <v>0</v>
      </c>
      <c r="AJ109" s="173">
        <f>IFERROR(IF(AND('Key inputs_EB_OWN'!AD454/SUM('Key inputs_EB_OWN'!AD$439:AD$458)&gt;0,'Key inputs_EB_OWN'!AD454/SUM('Key inputs_EB_OWN'!AD$439:AD$458)&lt;0.001),0.001,'Key inputs_EB_OWN'!AD454/SUM('Key inputs_EB_OWN'!AD$439:AD$458)),"")</f>
        <v>1.0500219532436508E-3</v>
      </c>
      <c r="AK109" s="173">
        <f>IFERROR(IF(AND('Key inputs_EB_OWN'!AE454/SUM('Key inputs_EB_OWN'!AE$439:AE$458)&gt;0,'Key inputs_EB_OWN'!AE454/SUM('Key inputs_EB_OWN'!AE$439:AE$458)&lt;0.001),0.001,'Key inputs_EB_OWN'!AE454/SUM('Key inputs_EB_OWN'!AE$439:AE$458)),"")</f>
        <v>0.84299475555472392</v>
      </c>
      <c r="AL109" s="173">
        <f>IFERROR(IF(AND('Key inputs_EB_OWN'!AF454/SUM('Key inputs_EB_OWN'!AF$439:AF$458)&gt;0,'Key inputs_EB_OWN'!AF454/SUM('Key inputs_EB_OWN'!AF$439:AF$458)&lt;0.001),0.001,'Key inputs_EB_OWN'!AF454/SUM('Key inputs_EB_OWN'!AF$439:AF$458)),"")</f>
        <v>0</v>
      </c>
    </row>
    <row r="110" spans="1:38">
      <c r="C110" t="str">
        <f>Commodities!$C$98</f>
        <v>UPSNAP</v>
      </c>
      <c r="E110" s="4" t="s">
        <v>359</v>
      </c>
      <c r="G110" t="s">
        <v>693</v>
      </c>
      <c r="H110" s="4" t="s">
        <v>661</v>
      </c>
      <c r="I110">
        <v>2019</v>
      </c>
      <c r="J110" t="s">
        <v>650</v>
      </c>
      <c r="K110" s="173">
        <f>IFERROR(IF(AND('Key inputs_EB_OWN'!E455/SUM('Key inputs_EB_OWN'!E$439:E$458)&gt;0,'Key inputs_EB_OWN'!E455/SUM('Key inputs_EB_OWN'!E$439:E$458)&lt;0.001),0.001,'Key inputs_EB_OWN'!E455/SUM('Key inputs_EB_OWN'!E$439:E$458)),"")</f>
        <v>0</v>
      </c>
      <c r="L110" s="173">
        <f>IFERROR(IF(AND('Key inputs_EB_OWN'!F455/SUM('Key inputs_EB_OWN'!F$439:F$458)&gt;0,'Key inputs_EB_OWN'!F455/SUM('Key inputs_EB_OWN'!F$439:F$458)&lt;0.001),0.001,'Key inputs_EB_OWN'!F455/SUM('Key inputs_EB_OWN'!F$439:F$458)),"")</f>
        <v>0</v>
      </c>
      <c r="M110" s="173">
        <f>IFERROR(IF(AND('Key inputs_EB_OWN'!G455/SUM('Key inputs_EB_OWN'!G$439:G$458)&gt;0,'Key inputs_EB_OWN'!G455/SUM('Key inputs_EB_OWN'!G$439:G$458)&lt;0.001),0.001,'Key inputs_EB_OWN'!G455/SUM('Key inputs_EB_OWN'!G$439:G$458)),"")</f>
        <v>0</v>
      </c>
      <c r="N110" s="173">
        <f>IFERROR(IF(AND('Key inputs_EB_OWN'!H455/SUM('Key inputs_EB_OWN'!H$439:H$458)&gt;0,'Key inputs_EB_OWN'!H455/SUM('Key inputs_EB_OWN'!H$439:H$458)&lt;0.001),0.001,'Key inputs_EB_OWN'!H455/SUM('Key inputs_EB_OWN'!H$439:H$458)),"")</f>
        <v>0</v>
      </c>
      <c r="O110" s="173">
        <f>IFERROR(IF(AND('Key inputs_EB_OWN'!I455/SUM('Key inputs_EB_OWN'!I$439:I$458)&gt;0,'Key inputs_EB_OWN'!I455/SUM('Key inputs_EB_OWN'!I$439:I$458)&lt;0.001),0.001,'Key inputs_EB_OWN'!I455/SUM('Key inputs_EB_OWN'!I$439:I$458)),"")</f>
        <v>0</v>
      </c>
      <c r="P110" s="173">
        <f>IFERROR(IF(AND('Key inputs_EB_OWN'!J455/SUM('Key inputs_EB_OWN'!J$439:J$458)&gt;0,'Key inputs_EB_OWN'!J455/SUM('Key inputs_EB_OWN'!J$439:J$458)&lt;0.001),0.001,'Key inputs_EB_OWN'!J455/SUM('Key inputs_EB_OWN'!J$439:J$458)),"")</f>
        <v>0</v>
      </c>
      <c r="Q110" s="173">
        <f>IFERROR(IF(AND('Key inputs_EB_OWN'!K455/SUM('Key inputs_EB_OWN'!K$439:K$458)&gt;0,'Key inputs_EB_OWN'!K455/SUM('Key inputs_EB_OWN'!K$439:K$458)&lt;0.001),0.001,'Key inputs_EB_OWN'!K455/SUM('Key inputs_EB_OWN'!K$439:K$458)),"")</f>
        <v>0</v>
      </c>
      <c r="R110" s="173">
        <f>IFERROR(IF(AND('Key inputs_EB_OWN'!L455/SUM('Key inputs_EB_OWN'!L$439:L$458)&gt;0,'Key inputs_EB_OWN'!L455/SUM('Key inputs_EB_OWN'!L$439:L$458)&lt;0.001),0.001,'Key inputs_EB_OWN'!L455/SUM('Key inputs_EB_OWN'!L$439:L$458)),"")</f>
        <v>0</v>
      </c>
      <c r="S110" s="173">
        <f>IFERROR(IF(AND('Key inputs_EB_OWN'!M455/SUM('Key inputs_EB_OWN'!M$439:M$458)&gt;0,'Key inputs_EB_OWN'!M455/SUM('Key inputs_EB_OWN'!M$439:M$458)&lt;0.001),0.001,'Key inputs_EB_OWN'!M455/SUM('Key inputs_EB_OWN'!M$439:M$458)),"")</f>
        <v>0</v>
      </c>
      <c r="T110" s="173">
        <f>IFERROR(IF(AND('Key inputs_EB_OWN'!N455/SUM('Key inputs_EB_OWN'!N$439:N$458)&gt;0,'Key inputs_EB_OWN'!N455/SUM('Key inputs_EB_OWN'!N$439:N$458)&lt;0.001),0.001,'Key inputs_EB_OWN'!N455/SUM('Key inputs_EB_OWN'!N$439:N$458)),"")</f>
        <v>0</v>
      </c>
      <c r="U110" s="173">
        <f>IFERROR(IF(AND('Key inputs_EB_OWN'!O455/SUM('Key inputs_EB_OWN'!O$439:O$458)&gt;0,'Key inputs_EB_OWN'!O455/SUM('Key inputs_EB_OWN'!O$439:O$458)&lt;0.001),0.001,'Key inputs_EB_OWN'!O455/SUM('Key inputs_EB_OWN'!O$439:O$458)),"")</f>
        <v>0</v>
      </c>
      <c r="V110" s="173">
        <f>IFERROR(IF(AND('Key inputs_EB_OWN'!P455/SUM('Key inputs_EB_OWN'!P$439:P$458)&gt;0,'Key inputs_EB_OWN'!P455/SUM('Key inputs_EB_OWN'!P$439:P$458)&lt;0.001),0.001,'Key inputs_EB_OWN'!P455/SUM('Key inputs_EB_OWN'!P$439:P$458)),"")</f>
        <v>5.2881895889577424E-2</v>
      </c>
      <c r="W110" s="173">
        <f>IFERROR(IF(AND('Key inputs_EB_OWN'!Q455/SUM('Key inputs_EB_OWN'!Q$439:Q$458)&gt;0,'Key inputs_EB_OWN'!Q455/SUM('Key inputs_EB_OWN'!Q$439:Q$458)&lt;0.001),0.001,'Key inputs_EB_OWN'!Q455/SUM('Key inputs_EB_OWN'!Q$439:Q$458)),"")</f>
        <v>0</v>
      </c>
      <c r="X110" s="173">
        <f>IFERROR(IF(AND('Key inputs_EB_OWN'!R455/SUM('Key inputs_EB_OWN'!R$439:R$458)&gt;0,'Key inputs_EB_OWN'!R455/SUM('Key inputs_EB_OWN'!R$439:R$458)&lt;0.001),0.001,'Key inputs_EB_OWN'!R455/SUM('Key inputs_EB_OWN'!R$439:R$458)),"")</f>
        <v>0</v>
      </c>
      <c r="Y110" s="173">
        <f>IFERROR(IF(AND('Key inputs_EB_OWN'!S455/SUM('Key inputs_EB_OWN'!S$439:S$458)&gt;0,'Key inputs_EB_OWN'!S455/SUM('Key inputs_EB_OWN'!S$439:S$458)&lt;0.001),0.001,'Key inputs_EB_OWN'!S455/SUM('Key inputs_EB_OWN'!S$439:S$458)),"")</f>
        <v>0</v>
      </c>
      <c r="Z110" s="173">
        <f>IFERROR(IF(AND('Key inputs_EB_OWN'!T455/SUM('Key inputs_EB_OWN'!T$439:T$458)&gt;0,'Key inputs_EB_OWN'!T455/SUM('Key inputs_EB_OWN'!T$439:T$458)&lt;0.001),0.001,'Key inputs_EB_OWN'!T455/SUM('Key inputs_EB_OWN'!T$439:T$458)),"")</f>
        <v>0</v>
      </c>
      <c r="AA110" s="173">
        <f>IFERROR(IF(AND('Key inputs_EB_OWN'!U455/SUM('Key inputs_EB_OWN'!U$439:U$458)&gt;0,'Key inputs_EB_OWN'!U455/SUM('Key inputs_EB_OWN'!U$439:U$458)&lt;0.001),0.001,'Key inputs_EB_OWN'!U455/SUM('Key inputs_EB_OWN'!U$439:U$458)),"")</f>
        <v>0</v>
      </c>
      <c r="AB110" s="173">
        <f>IFERROR(IF(AND('Key inputs_EB_OWN'!V455/SUM('Key inputs_EB_OWN'!V$439:V$458)&gt;0,'Key inputs_EB_OWN'!V455/SUM('Key inputs_EB_OWN'!V$439:V$458)&lt;0.001),0.001,'Key inputs_EB_OWN'!V455/SUM('Key inputs_EB_OWN'!V$439:V$458)),"")</f>
        <v>0</v>
      </c>
      <c r="AC110" s="173">
        <f>IFERROR(IF(AND('Key inputs_EB_OWN'!W455/SUM('Key inputs_EB_OWN'!W$439:W$458)&gt;0,'Key inputs_EB_OWN'!W455/SUM('Key inputs_EB_OWN'!W$439:W$458)&lt;0.001),0.001,'Key inputs_EB_OWN'!W455/SUM('Key inputs_EB_OWN'!W$439:W$458)),"")</f>
        <v>0</v>
      </c>
      <c r="AD110" s="173">
        <f>IFERROR(IF(AND('Key inputs_EB_OWN'!X455/SUM('Key inputs_EB_OWN'!X$439:X$458)&gt;0,'Key inputs_EB_OWN'!X455/SUM('Key inputs_EB_OWN'!X$439:X$458)&lt;0.001),0.001,'Key inputs_EB_OWN'!X455/SUM('Key inputs_EB_OWN'!X$439:X$458)),"")</f>
        <v>0</v>
      </c>
      <c r="AE110" s="173">
        <f>IFERROR(IF(AND('Key inputs_EB_OWN'!Y455/SUM('Key inputs_EB_OWN'!Y$439:Y$458)&gt;0,'Key inputs_EB_OWN'!Y455/SUM('Key inputs_EB_OWN'!Y$439:Y$458)&lt;0.001),0.001,'Key inputs_EB_OWN'!Y455/SUM('Key inputs_EB_OWN'!Y$439:Y$458)),"")</f>
        <v>0</v>
      </c>
      <c r="AF110" s="173">
        <f>IFERROR(IF(AND('Key inputs_EB_OWN'!Z455/SUM('Key inputs_EB_OWN'!Z$439:Z$458)&gt;0,'Key inputs_EB_OWN'!Z455/SUM('Key inputs_EB_OWN'!Z$439:Z$458)&lt;0.001),0.001,'Key inputs_EB_OWN'!Z455/SUM('Key inputs_EB_OWN'!Z$439:Z$458)),"")</f>
        <v>0</v>
      </c>
      <c r="AG110" s="173">
        <f>IFERROR(IF(AND('Key inputs_EB_OWN'!AA455/SUM('Key inputs_EB_OWN'!AA$439:AA$458)&gt;0,'Key inputs_EB_OWN'!AA455/SUM('Key inputs_EB_OWN'!AA$439:AA$458)&lt;0.001),0.001,'Key inputs_EB_OWN'!AA455/SUM('Key inputs_EB_OWN'!AA$439:AA$458)),"")</f>
        <v>0</v>
      </c>
      <c r="AH110" s="173">
        <f>IFERROR(IF(AND('Key inputs_EB_OWN'!AB455/SUM('Key inputs_EB_OWN'!AB$439:AB$458)&gt;0,'Key inputs_EB_OWN'!AB455/SUM('Key inputs_EB_OWN'!AB$439:AB$458)&lt;0.001),0.001,'Key inputs_EB_OWN'!AB455/SUM('Key inputs_EB_OWN'!AB$439:AB$458)),"")</f>
        <v>0</v>
      </c>
      <c r="AI110" s="173">
        <f>IFERROR(IF(AND('Key inputs_EB_OWN'!AC455/SUM('Key inputs_EB_OWN'!AC$439:AC$458)&gt;0,'Key inputs_EB_OWN'!AC455/SUM('Key inputs_EB_OWN'!AC$439:AC$458)&lt;0.001),0.001,'Key inputs_EB_OWN'!AC455/SUM('Key inputs_EB_OWN'!AC$439:AC$458)),"")</f>
        <v>0</v>
      </c>
      <c r="AJ110" s="173">
        <f>IFERROR(IF(AND('Key inputs_EB_OWN'!AD455/SUM('Key inputs_EB_OWN'!AD$439:AD$458)&gt;0,'Key inputs_EB_OWN'!AD455/SUM('Key inputs_EB_OWN'!AD$439:AD$458)&lt;0.001),0.001,'Key inputs_EB_OWN'!AD455/SUM('Key inputs_EB_OWN'!AD$439:AD$458)),"")</f>
        <v>0</v>
      </c>
      <c r="AK110" s="173">
        <f>IFERROR(IF(AND('Key inputs_EB_OWN'!AE455/SUM('Key inputs_EB_OWN'!AE$439:AE$458)&gt;0,'Key inputs_EB_OWN'!AE455/SUM('Key inputs_EB_OWN'!AE$439:AE$458)&lt;0.001),0.001,'Key inputs_EB_OWN'!AE455/SUM('Key inputs_EB_OWN'!AE$439:AE$458)),"")</f>
        <v>0</v>
      </c>
      <c r="AL110" s="173">
        <f>IFERROR(IF(AND('Key inputs_EB_OWN'!AF455/SUM('Key inputs_EB_OWN'!AF$439:AF$458)&gt;0,'Key inputs_EB_OWN'!AF455/SUM('Key inputs_EB_OWN'!AF$439:AF$458)&lt;0.001),0.001,'Key inputs_EB_OWN'!AF455/SUM('Key inputs_EB_OWN'!AF$439:AF$458)),"")</f>
        <v>0</v>
      </c>
    </row>
    <row r="111" spans="1:38">
      <c r="C111" t="str">
        <f>Commodities!$C$99</f>
        <v>UPSOIL</v>
      </c>
      <c r="E111" s="4" t="s">
        <v>359</v>
      </c>
      <c r="G111" t="s">
        <v>693</v>
      </c>
      <c r="H111" s="4" t="s">
        <v>661</v>
      </c>
      <c r="I111">
        <v>2019</v>
      </c>
      <c r="J111" t="s">
        <v>650</v>
      </c>
      <c r="K111" s="173">
        <f>IFERROR(IF(AND('Key inputs_EB_OWN'!E456/SUM('Key inputs_EB_OWN'!E$439:E$458)&gt;0,'Key inputs_EB_OWN'!E456/SUM('Key inputs_EB_OWN'!E$439:E$458)&lt;0.001),0.001,'Key inputs_EB_OWN'!E456/SUM('Key inputs_EB_OWN'!E$439:E$458)),"")</f>
        <v>1</v>
      </c>
      <c r="L111" s="173">
        <f>IFERROR(IF(AND('Key inputs_EB_OWN'!F456/SUM('Key inputs_EB_OWN'!F$439:F$458)&gt;0,'Key inputs_EB_OWN'!F456/SUM('Key inputs_EB_OWN'!F$439:F$458)&lt;0.001),0.001,'Key inputs_EB_OWN'!F456/SUM('Key inputs_EB_OWN'!F$439:F$458)),"")</f>
        <v>4.1955397385661508E-3</v>
      </c>
      <c r="M111" s="173">
        <f>IFERROR(IF(AND('Key inputs_EB_OWN'!G456/SUM('Key inputs_EB_OWN'!G$439:G$458)&gt;0,'Key inputs_EB_OWN'!G456/SUM('Key inputs_EB_OWN'!G$439:G$458)&lt;0.001),0.001,'Key inputs_EB_OWN'!G456/SUM('Key inputs_EB_OWN'!G$439:G$458)),"")</f>
        <v>0.48284562977423851</v>
      </c>
      <c r="N111" s="173">
        <f>IFERROR(IF(AND('Key inputs_EB_OWN'!H456/SUM('Key inputs_EB_OWN'!H$439:H$458)&gt;0,'Key inputs_EB_OWN'!H456/SUM('Key inputs_EB_OWN'!H$439:H$458)&lt;0.001),0.001,'Key inputs_EB_OWN'!H456/SUM('Key inputs_EB_OWN'!H$439:H$458)),"")</f>
        <v>0</v>
      </c>
      <c r="O111" s="173">
        <f>IFERROR(IF(AND('Key inputs_EB_OWN'!I456/SUM('Key inputs_EB_OWN'!I$439:I$458)&gt;0,'Key inputs_EB_OWN'!I456/SUM('Key inputs_EB_OWN'!I$439:I$458)&lt;0.001),0.001,'Key inputs_EB_OWN'!I456/SUM('Key inputs_EB_OWN'!I$439:I$458)),"")</f>
        <v>1.004182589357735E-2</v>
      </c>
      <c r="P111" s="173">
        <f>IFERROR(IF(AND('Key inputs_EB_OWN'!J456/SUM('Key inputs_EB_OWN'!J$439:J$458)&gt;0,'Key inputs_EB_OWN'!J456/SUM('Key inputs_EB_OWN'!J$439:J$458)&lt;0.001),0.001,'Key inputs_EB_OWN'!J456/SUM('Key inputs_EB_OWN'!J$439:J$458)),"")</f>
        <v>0.16272777425159102</v>
      </c>
      <c r="Q111" s="173">
        <f>IFERROR(IF(AND('Key inputs_EB_OWN'!K456/SUM('Key inputs_EB_OWN'!K$439:K$458)&gt;0,'Key inputs_EB_OWN'!K456/SUM('Key inputs_EB_OWN'!K$439:K$458)&lt;0.001),0.001,'Key inputs_EB_OWN'!K456/SUM('Key inputs_EB_OWN'!K$439:K$458)),"")</f>
        <v>0</v>
      </c>
      <c r="R111" s="173">
        <f>IFERROR(IF(AND('Key inputs_EB_OWN'!L456/SUM('Key inputs_EB_OWN'!L$439:L$458)&gt;0,'Key inputs_EB_OWN'!L456/SUM('Key inputs_EB_OWN'!L$439:L$458)&lt;0.001),0.001,'Key inputs_EB_OWN'!L456/SUM('Key inputs_EB_OWN'!L$439:L$458)),"")</f>
        <v>0</v>
      </c>
      <c r="S111" s="173">
        <f>IFERROR(IF(AND('Key inputs_EB_OWN'!M456/SUM('Key inputs_EB_OWN'!M$439:M$458)&gt;0,'Key inputs_EB_OWN'!M456/SUM('Key inputs_EB_OWN'!M$439:M$458)&lt;0.001),0.001,'Key inputs_EB_OWN'!M456/SUM('Key inputs_EB_OWN'!M$439:M$458)),"")</f>
        <v>0</v>
      </c>
      <c r="T111" s="173">
        <f>IFERROR(IF(AND('Key inputs_EB_OWN'!N456/SUM('Key inputs_EB_OWN'!N$439:N$458)&gt;0,'Key inputs_EB_OWN'!N456/SUM('Key inputs_EB_OWN'!N$439:N$458)&lt;0.001),0.001,'Key inputs_EB_OWN'!N456/SUM('Key inputs_EB_OWN'!N$439:N$458)),"")</f>
        <v>0</v>
      </c>
      <c r="U111" s="173">
        <f>IFERROR(IF(AND('Key inputs_EB_OWN'!O456/SUM('Key inputs_EB_OWN'!O$439:O$458)&gt;0,'Key inputs_EB_OWN'!O456/SUM('Key inputs_EB_OWN'!O$439:O$458)&lt;0.001),0.001,'Key inputs_EB_OWN'!O456/SUM('Key inputs_EB_OWN'!O$439:O$458)),"")</f>
        <v>0</v>
      </c>
      <c r="V111" s="173">
        <f>IFERROR(IF(AND('Key inputs_EB_OWN'!P456/SUM('Key inputs_EB_OWN'!P$439:P$458)&gt;0,'Key inputs_EB_OWN'!P456/SUM('Key inputs_EB_OWN'!P$439:P$458)&lt;0.001),0.001,'Key inputs_EB_OWN'!P456/SUM('Key inputs_EB_OWN'!P$439:P$458)),"")</f>
        <v>0.13290599662297653</v>
      </c>
      <c r="W111" s="173">
        <f>IFERROR(IF(AND('Key inputs_EB_OWN'!Q456/SUM('Key inputs_EB_OWN'!Q$439:Q$458)&gt;0,'Key inputs_EB_OWN'!Q456/SUM('Key inputs_EB_OWN'!Q$439:Q$458)&lt;0.001),0.001,'Key inputs_EB_OWN'!Q456/SUM('Key inputs_EB_OWN'!Q$439:Q$458)),"")</f>
        <v>3.5479187297371164E-3</v>
      </c>
      <c r="X111" s="173">
        <f>IFERROR(IF(AND('Key inputs_EB_OWN'!R456/SUM('Key inputs_EB_OWN'!R$439:R$458)&gt;0,'Key inputs_EB_OWN'!R456/SUM('Key inputs_EB_OWN'!R$439:R$458)&lt;0.001),0.001,'Key inputs_EB_OWN'!R456/SUM('Key inputs_EB_OWN'!R$439:R$458)),"")</f>
        <v>0</v>
      </c>
      <c r="Y111" s="173">
        <f>IFERROR(IF(AND('Key inputs_EB_OWN'!S456/SUM('Key inputs_EB_OWN'!S$439:S$458)&gt;0,'Key inputs_EB_OWN'!S456/SUM('Key inputs_EB_OWN'!S$439:S$458)&lt;0.001),0.001,'Key inputs_EB_OWN'!S456/SUM('Key inputs_EB_OWN'!S$439:S$458)),"")</f>
        <v>2.4855505317132177E-3</v>
      </c>
      <c r="Z111" s="173">
        <f>IFERROR(IF(AND('Key inputs_EB_OWN'!T456/SUM('Key inputs_EB_OWN'!T$439:T$458)&gt;0,'Key inputs_EB_OWN'!T456/SUM('Key inputs_EB_OWN'!T$439:T$458)&lt;0.001),0.001,'Key inputs_EB_OWN'!T456/SUM('Key inputs_EB_OWN'!T$439:T$458)),"")</f>
        <v>0</v>
      </c>
      <c r="AA111" s="173">
        <f>IFERROR(IF(AND('Key inputs_EB_OWN'!U456/SUM('Key inputs_EB_OWN'!U$439:U$458)&gt;0,'Key inputs_EB_OWN'!U456/SUM('Key inputs_EB_OWN'!U$439:U$458)&lt;0.001),0.001,'Key inputs_EB_OWN'!U456/SUM('Key inputs_EB_OWN'!U$439:U$458)),"")</f>
        <v>0</v>
      </c>
      <c r="AB111" s="173">
        <f>IFERROR(IF(AND('Key inputs_EB_OWN'!V456/SUM('Key inputs_EB_OWN'!V$439:V$458)&gt;0,'Key inputs_EB_OWN'!V456/SUM('Key inputs_EB_OWN'!V$439:V$458)&lt;0.001),0.001,'Key inputs_EB_OWN'!V456/SUM('Key inputs_EB_OWN'!V$439:V$458)),"")</f>
        <v>4.5760915285302843E-2</v>
      </c>
      <c r="AC111" s="173">
        <f>IFERROR(IF(AND('Key inputs_EB_OWN'!W456/SUM('Key inputs_EB_OWN'!W$439:W$458)&gt;0,'Key inputs_EB_OWN'!W456/SUM('Key inputs_EB_OWN'!W$439:W$458)&lt;0.001),0.001,'Key inputs_EB_OWN'!W456/SUM('Key inputs_EB_OWN'!W$439:W$458)),"")</f>
        <v>0</v>
      </c>
      <c r="AD111" s="173">
        <f>IFERROR(IF(AND('Key inputs_EB_OWN'!X456/SUM('Key inputs_EB_OWN'!X$439:X$458)&gt;0,'Key inputs_EB_OWN'!X456/SUM('Key inputs_EB_OWN'!X$439:X$458)&lt;0.001),0.001,'Key inputs_EB_OWN'!X456/SUM('Key inputs_EB_OWN'!X$439:X$458)),"")</f>
        <v>0</v>
      </c>
      <c r="AE111" s="173">
        <f>IFERROR(IF(AND('Key inputs_EB_OWN'!Y456/SUM('Key inputs_EB_OWN'!Y$439:Y$458)&gt;0,'Key inputs_EB_OWN'!Y456/SUM('Key inputs_EB_OWN'!Y$439:Y$458)&lt;0.001),0.001,'Key inputs_EB_OWN'!Y456/SUM('Key inputs_EB_OWN'!Y$439:Y$458)),"")</f>
        <v>9.4722412784413509E-3</v>
      </c>
      <c r="AF111" s="173">
        <f>IFERROR(IF(AND('Key inputs_EB_OWN'!Z456/SUM('Key inputs_EB_OWN'!Z$439:Z$458)&gt;0,'Key inputs_EB_OWN'!Z456/SUM('Key inputs_EB_OWN'!Z$439:Z$458)&lt;0.001),0.001,'Key inputs_EB_OWN'!Z456/SUM('Key inputs_EB_OWN'!Z$439:Z$458)),"")</f>
        <v>0</v>
      </c>
      <c r="AG111" s="173">
        <f>IFERROR(IF(AND('Key inputs_EB_OWN'!AA456/SUM('Key inputs_EB_OWN'!AA$439:AA$458)&gt;0,'Key inputs_EB_OWN'!AA456/SUM('Key inputs_EB_OWN'!AA$439:AA$458)&lt;0.001),0.001,'Key inputs_EB_OWN'!AA456/SUM('Key inputs_EB_OWN'!AA$439:AA$458)),"")</f>
        <v>0.10761460973352928</v>
      </c>
      <c r="AH111" s="173">
        <f>IFERROR(IF(AND('Key inputs_EB_OWN'!AB456/SUM('Key inputs_EB_OWN'!AB$439:AB$458)&gt;0,'Key inputs_EB_OWN'!AB456/SUM('Key inputs_EB_OWN'!AB$439:AB$458)&lt;0.001),0.001,'Key inputs_EB_OWN'!AB456/SUM('Key inputs_EB_OWN'!AB$439:AB$458)),"")</f>
        <v>0</v>
      </c>
      <c r="AI111" s="173">
        <f>IFERROR(IF(AND('Key inputs_EB_OWN'!AC456/SUM('Key inputs_EB_OWN'!AC$439:AC$458)&gt;0,'Key inputs_EB_OWN'!AC456/SUM('Key inputs_EB_OWN'!AC$439:AC$458)&lt;0.001),0.001,'Key inputs_EB_OWN'!AC456/SUM('Key inputs_EB_OWN'!AC$439:AC$458)),"")</f>
        <v>0</v>
      </c>
      <c r="AJ111" s="173">
        <f>IFERROR(IF(AND('Key inputs_EB_OWN'!AD456/SUM('Key inputs_EB_OWN'!AD$439:AD$458)&gt;0,'Key inputs_EB_OWN'!AD456/SUM('Key inputs_EB_OWN'!AD$439:AD$458)&lt;0.001),0.001,'Key inputs_EB_OWN'!AD456/SUM('Key inputs_EB_OWN'!AD$439:AD$458)),"")</f>
        <v>3.6208869802539425E-3</v>
      </c>
      <c r="AK111" s="173">
        <f>IFERROR(IF(AND('Key inputs_EB_OWN'!AE456/SUM('Key inputs_EB_OWN'!AE$439:AE$458)&gt;0,'Key inputs_EB_OWN'!AE456/SUM('Key inputs_EB_OWN'!AE$439:AE$458)&lt;0.001),0.001,'Key inputs_EB_OWN'!AE456/SUM('Key inputs_EB_OWN'!AE$439:AE$458)),"")</f>
        <v>0</v>
      </c>
      <c r="AL111" s="173">
        <f>IFERROR(IF(AND('Key inputs_EB_OWN'!AF456/SUM('Key inputs_EB_OWN'!AF$439:AF$458)&gt;0,'Key inputs_EB_OWN'!AF456/SUM('Key inputs_EB_OWN'!AF$439:AF$458)&lt;0.001),0.001,'Key inputs_EB_OWN'!AF456/SUM('Key inputs_EB_OWN'!AF$439:AF$458)),"")</f>
        <v>0</v>
      </c>
    </row>
    <row r="112" spans="1:38">
      <c r="A112" s="236"/>
      <c r="B112" s="236"/>
      <c r="C112" s="259" t="str">
        <f>Commodities!$C$100</f>
        <v>UPSOIL2</v>
      </c>
      <c r="D112" s="236"/>
      <c r="E112" s="259" t="s">
        <v>359</v>
      </c>
      <c r="F112" s="236"/>
      <c r="G112" s="236" t="s">
        <v>693</v>
      </c>
      <c r="H112" s="259" t="s">
        <v>661</v>
      </c>
      <c r="I112" s="236">
        <v>2019</v>
      </c>
      <c r="J112" s="236" t="s">
        <v>650</v>
      </c>
      <c r="K112" s="226">
        <f>IFERROR(IF(AND('Key inputs_EB_OWN'!E457/SUM('Key inputs_EB_OWN'!E$439:E$458)&gt;0,'Key inputs_EB_OWN'!E457/SUM('Key inputs_EB_OWN'!E$439:E$458)&lt;0.001),0.001,'Key inputs_EB_OWN'!E457/SUM('Key inputs_EB_OWN'!E$439:E$458)),"")</f>
        <v>0</v>
      </c>
      <c r="L112" s="226">
        <f>IFERROR(IF(AND('Key inputs_EB_OWN'!F457/SUM('Key inputs_EB_OWN'!F$439:F$458)&gt;0,'Key inputs_EB_OWN'!F457/SUM('Key inputs_EB_OWN'!F$439:F$458)&lt;0.001),0.001,'Key inputs_EB_OWN'!F457/SUM('Key inputs_EB_OWN'!F$439:F$458)),"")</f>
        <v>0</v>
      </c>
      <c r="M112" s="226">
        <f>IFERROR(IF(AND('Key inputs_EB_OWN'!G457/SUM('Key inputs_EB_OWN'!G$439:G$458)&gt;0,'Key inputs_EB_OWN'!G457/SUM('Key inputs_EB_OWN'!G$439:G$458)&lt;0.001),0.001,'Key inputs_EB_OWN'!G457/SUM('Key inputs_EB_OWN'!G$439:G$458)),"")</f>
        <v>0</v>
      </c>
      <c r="N112" s="226">
        <f>IFERROR(IF(AND('Key inputs_EB_OWN'!H457/SUM('Key inputs_EB_OWN'!H$439:H$458)&gt;0,'Key inputs_EB_OWN'!H457/SUM('Key inputs_EB_OWN'!H$439:H$458)&lt;0.001),0.001,'Key inputs_EB_OWN'!H457/SUM('Key inputs_EB_OWN'!H$439:H$458)),"")</f>
        <v>0</v>
      </c>
      <c r="O112" s="226">
        <f>IFERROR(IF(AND('Key inputs_EB_OWN'!I457/SUM('Key inputs_EB_OWN'!I$439:I$458)&gt;0,'Key inputs_EB_OWN'!I457/SUM('Key inputs_EB_OWN'!I$439:I$458)&lt;0.001),0.001,'Key inputs_EB_OWN'!I457/SUM('Key inputs_EB_OWN'!I$439:I$458)),"")</f>
        <v>3.1887664751294939E-3</v>
      </c>
      <c r="P112" s="226">
        <f>IFERROR(IF(AND('Key inputs_EB_OWN'!J457/SUM('Key inputs_EB_OWN'!J$439:J$458)&gt;0,'Key inputs_EB_OWN'!J457/SUM('Key inputs_EB_OWN'!J$439:J$458)&lt;0.001),0.001,'Key inputs_EB_OWN'!J457/SUM('Key inputs_EB_OWN'!J$439:J$458)),"")</f>
        <v>0</v>
      </c>
      <c r="Q112" s="226">
        <f>IFERROR(IF(AND('Key inputs_EB_OWN'!K457/SUM('Key inputs_EB_OWN'!K$439:K$458)&gt;0,'Key inputs_EB_OWN'!K457/SUM('Key inputs_EB_OWN'!K$439:K$458)&lt;0.001),0.001,'Key inputs_EB_OWN'!K457/SUM('Key inputs_EB_OWN'!K$439:K$458)),"")</f>
        <v>0</v>
      </c>
      <c r="R112" s="226">
        <f>IFERROR(IF(AND('Key inputs_EB_OWN'!L457/SUM('Key inputs_EB_OWN'!L$439:L$458)&gt;0,'Key inputs_EB_OWN'!L457/SUM('Key inputs_EB_OWN'!L$439:L$458)&lt;0.001),0.001,'Key inputs_EB_OWN'!L457/SUM('Key inputs_EB_OWN'!L$439:L$458)),"")</f>
        <v>0</v>
      </c>
      <c r="S112" s="226">
        <f>IFERROR(IF(AND('Key inputs_EB_OWN'!M457/SUM('Key inputs_EB_OWN'!M$439:M$458)&gt;0,'Key inputs_EB_OWN'!M457/SUM('Key inputs_EB_OWN'!M$439:M$458)&lt;0.001),0.001,'Key inputs_EB_OWN'!M457/SUM('Key inputs_EB_OWN'!M$439:M$458)),"")</f>
        <v>0</v>
      </c>
      <c r="T112" s="226">
        <f>IFERROR(IF(AND('Key inputs_EB_OWN'!N457/SUM('Key inputs_EB_OWN'!N$439:N$458)&gt;0,'Key inputs_EB_OWN'!N457/SUM('Key inputs_EB_OWN'!N$439:N$458)&lt;0.001),0.001,'Key inputs_EB_OWN'!N457/SUM('Key inputs_EB_OWN'!N$439:N$458)),"")</f>
        <v>8.5693771734892177E-2</v>
      </c>
      <c r="U112" s="226">
        <f>IFERROR(IF(AND('Key inputs_EB_OWN'!O457/SUM('Key inputs_EB_OWN'!O$439:O$458)&gt;0,'Key inputs_EB_OWN'!O457/SUM('Key inputs_EB_OWN'!O$439:O$458)&lt;0.001),0.001,'Key inputs_EB_OWN'!O457/SUM('Key inputs_EB_OWN'!O$439:O$458)),"")</f>
        <v>0</v>
      </c>
      <c r="V112" s="226">
        <f>IFERROR(IF(AND('Key inputs_EB_OWN'!P457/SUM('Key inputs_EB_OWN'!P$439:P$458)&gt;0,'Key inputs_EB_OWN'!P457/SUM('Key inputs_EB_OWN'!P$439:P$458)&lt;0.001),0.001,'Key inputs_EB_OWN'!P457/SUM('Key inputs_EB_OWN'!P$439:P$458)),"")</f>
        <v>1.4404323945182311E-2</v>
      </c>
      <c r="W112" s="226">
        <f>IFERROR(IF(AND('Key inputs_EB_OWN'!Q457/SUM('Key inputs_EB_OWN'!Q$439:Q$458)&gt;0,'Key inputs_EB_OWN'!Q457/SUM('Key inputs_EB_OWN'!Q$439:Q$458)&lt;0.001),0.001,'Key inputs_EB_OWN'!Q457/SUM('Key inputs_EB_OWN'!Q$439:Q$458)),"")</f>
        <v>1E-3</v>
      </c>
      <c r="X112" s="226">
        <f>IFERROR(IF(AND('Key inputs_EB_OWN'!R457/SUM('Key inputs_EB_OWN'!R$439:R$458)&gt;0,'Key inputs_EB_OWN'!R457/SUM('Key inputs_EB_OWN'!R$439:R$458)&lt;0.001),0.001,'Key inputs_EB_OWN'!R457/SUM('Key inputs_EB_OWN'!R$439:R$458)),"")</f>
        <v>0</v>
      </c>
      <c r="Y112" s="226">
        <f>IFERROR(IF(AND('Key inputs_EB_OWN'!S457/SUM('Key inputs_EB_OWN'!S$439:S$458)&gt;0,'Key inputs_EB_OWN'!S457/SUM('Key inputs_EB_OWN'!S$439:S$458)&lt;0.001),0.001,'Key inputs_EB_OWN'!S457/SUM('Key inputs_EB_OWN'!S$439:S$458)),"")</f>
        <v>1.047577808351112E-3</v>
      </c>
      <c r="Z112" s="226">
        <f>IFERROR(IF(AND('Key inputs_EB_OWN'!T457/SUM('Key inputs_EB_OWN'!T$439:T$458)&gt;0,'Key inputs_EB_OWN'!T457/SUM('Key inputs_EB_OWN'!T$439:T$458)&lt;0.001),0.001,'Key inputs_EB_OWN'!T457/SUM('Key inputs_EB_OWN'!T$439:T$458)),"")</f>
        <v>0</v>
      </c>
      <c r="AA112" s="226">
        <f>IFERROR(IF(AND('Key inputs_EB_OWN'!U457/SUM('Key inputs_EB_OWN'!U$439:U$458)&gt;0,'Key inputs_EB_OWN'!U457/SUM('Key inputs_EB_OWN'!U$439:U$458)&lt;0.001),0.001,'Key inputs_EB_OWN'!U457/SUM('Key inputs_EB_OWN'!U$439:U$458)),"")</f>
        <v>0</v>
      </c>
      <c r="AB112" s="226">
        <f>IFERROR(IF(AND('Key inputs_EB_OWN'!V457/SUM('Key inputs_EB_OWN'!V$439:V$458)&gt;0,'Key inputs_EB_OWN'!V457/SUM('Key inputs_EB_OWN'!V$439:V$458)&lt;0.001),0.001,'Key inputs_EB_OWN'!V457/SUM('Key inputs_EB_OWN'!V$439:V$458)),"")</f>
        <v>0</v>
      </c>
      <c r="AC112" s="226">
        <f>IFERROR(IF(AND('Key inputs_EB_OWN'!W457/SUM('Key inputs_EB_OWN'!W$439:W$458)&gt;0,'Key inputs_EB_OWN'!W457/SUM('Key inputs_EB_OWN'!W$439:W$458)&lt;0.001),0.001,'Key inputs_EB_OWN'!W457/SUM('Key inputs_EB_OWN'!W$439:W$458)),"")</f>
        <v>0</v>
      </c>
      <c r="AD112" s="226">
        <f>IFERROR(IF(AND('Key inputs_EB_OWN'!X457/SUM('Key inputs_EB_OWN'!X$439:X$458)&gt;0,'Key inputs_EB_OWN'!X457/SUM('Key inputs_EB_OWN'!X$439:X$458)&lt;0.001),0.001,'Key inputs_EB_OWN'!X457/SUM('Key inputs_EB_OWN'!X$439:X$458)),"")</f>
        <v>0</v>
      </c>
      <c r="AE112" s="226">
        <f>IFERROR(IF(AND('Key inputs_EB_OWN'!Y457/SUM('Key inputs_EB_OWN'!Y$439:Y$458)&gt;0,'Key inputs_EB_OWN'!Y457/SUM('Key inputs_EB_OWN'!Y$439:Y$458)&lt;0.001),0.001,'Key inputs_EB_OWN'!Y457/SUM('Key inputs_EB_OWN'!Y$439:Y$458)),"")</f>
        <v>0</v>
      </c>
      <c r="AF112" s="226">
        <f>IFERROR(IF(AND('Key inputs_EB_OWN'!Z457/SUM('Key inputs_EB_OWN'!Z$439:Z$458)&gt;0,'Key inputs_EB_OWN'!Z457/SUM('Key inputs_EB_OWN'!Z$439:Z$458)&lt;0.001),0.001,'Key inputs_EB_OWN'!Z457/SUM('Key inputs_EB_OWN'!Z$439:Z$458)),"")</f>
        <v>0</v>
      </c>
      <c r="AG112" s="226">
        <f>IFERROR(IF(AND('Key inputs_EB_OWN'!AA457/SUM('Key inputs_EB_OWN'!AA$439:AA$458)&gt;0,'Key inputs_EB_OWN'!AA457/SUM('Key inputs_EB_OWN'!AA$439:AA$458)&lt;0.001),0.001,'Key inputs_EB_OWN'!AA457/SUM('Key inputs_EB_OWN'!AA$439:AA$458)),"")</f>
        <v>0</v>
      </c>
      <c r="AH112" s="226">
        <f>IFERROR(IF(AND('Key inputs_EB_OWN'!AB457/SUM('Key inputs_EB_OWN'!AB$439:AB$458)&gt;0,'Key inputs_EB_OWN'!AB457/SUM('Key inputs_EB_OWN'!AB$439:AB$458)&lt;0.001),0.001,'Key inputs_EB_OWN'!AB457/SUM('Key inputs_EB_OWN'!AB$439:AB$458)),"")</f>
        <v>0</v>
      </c>
      <c r="AI112" s="226">
        <f>IFERROR(IF(AND('Key inputs_EB_OWN'!AC457/SUM('Key inputs_EB_OWN'!AC$439:AC$458)&gt;0,'Key inputs_EB_OWN'!AC457/SUM('Key inputs_EB_OWN'!AC$439:AC$458)&lt;0.001),0.001,'Key inputs_EB_OWN'!AC457/SUM('Key inputs_EB_OWN'!AC$439:AC$458)),"")</f>
        <v>0</v>
      </c>
      <c r="AJ112" s="226">
        <f>IFERROR(IF(AND('Key inputs_EB_OWN'!AD457/SUM('Key inputs_EB_OWN'!AD$439:AD$458)&gt;0,'Key inputs_EB_OWN'!AD457/SUM('Key inputs_EB_OWN'!AD$439:AD$458)&lt;0.001),0.001,'Key inputs_EB_OWN'!AD457/SUM('Key inputs_EB_OWN'!AD$439:AD$458)),"")</f>
        <v>0</v>
      </c>
      <c r="AK112" s="226">
        <f>IFERROR(IF(AND('Key inputs_EB_OWN'!AE457/SUM('Key inputs_EB_OWN'!AE$439:AE$458)&gt;0,'Key inputs_EB_OWN'!AE457/SUM('Key inputs_EB_OWN'!AE$439:AE$458)&lt;0.001),0.001,'Key inputs_EB_OWN'!AE457/SUM('Key inputs_EB_OWN'!AE$439:AE$458)),"")</f>
        <v>3.1684364108356291E-3</v>
      </c>
      <c r="AL112" s="226">
        <f>IFERROR(IF(AND('Key inputs_EB_OWN'!AF457/SUM('Key inputs_EB_OWN'!AF$439:AF$458)&gt;0,'Key inputs_EB_OWN'!AF457/SUM('Key inputs_EB_OWN'!AF$439:AF$458)&lt;0.001),0.001,'Key inputs_EB_OWN'!AF457/SUM('Key inputs_EB_OWN'!AF$439:AF$458)),"")</f>
        <v>0</v>
      </c>
    </row>
    <row r="113" spans="1:44">
      <c r="C113" s="4"/>
      <c r="E113" s="4"/>
      <c r="H113" s="4"/>
      <c r="K113" s="209"/>
      <c r="L113" s="209"/>
      <c r="M113" s="209"/>
      <c r="N113" s="209"/>
      <c r="O113" s="209"/>
      <c r="P113" s="209"/>
      <c r="Q113" s="209"/>
      <c r="R113" s="209"/>
      <c r="S113" s="209"/>
      <c r="T113" s="209"/>
      <c r="U113" s="209"/>
      <c r="V113" s="209"/>
      <c r="W113" s="209"/>
      <c r="X113" s="209"/>
      <c r="Y113" s="209"/>
      <c r="Z113" s="209"/>
      <c r="AA113" s="209"/>
      <c r="AB113" s="209"/>
      <c r="AC113" s="209"/>
      <c r="AD113" s="209"/>
      <c r="AE113" s="209"/>
      <c r="AF113" s="209"/>
      <c r="AG113" s="209"/>
      <c r="AH113" s="209"/>
      <c r="AI113" s="209"/>
      <c r="AJ113" s="209"/>
      <c r="AK113" s="209"/>
      <c r="AL113" s="209"/>
    </row>
    <row r="114" spans="1:44">
      <c r="D114" s="4"/>
      <c r="E114" s="4"/>
      <c r="F114" s="4"/>
      <c r="G114" s="4"/>
      <c r="J114" s="173"/>
      <c r="K114" s="173"/>
      <c r="L114" s="173"/>
      <c r="M114" s="173"/>
      <c r="N114" s="173"/>
      <c r="O114" s="173"/>
      <c r="P114" s="173"/>
      <c r="Q114" s="173"/>
      <c r="R114" s="173"/>
      <c r="S114" s="173"/>
      <c r="T114" s="173"/>
      <c r="U114" s="173"/>
      <c r="V114" s="173"/>
      <c r="W114" s="173"/>
      <c r="X114" s="173"/>
      <c r="Y114" s="173"/>
      <c r="Z114" s="173"/>
      <c r="AA114" s="173"/>
      <c r="AB114" s="173"/>
      <c r="AC114" s="173"/>
      <c r="AD114" s="173"/>
      <c r="AE114" s="173"/>
      <c r="AF114" s="173"/>
      <c r="AG114" s="173"/>
      <c r="AH114" s="173"/>
      <c r="AI114" s="173"/>
      <c r="AJ114" s="173"/>
      <c r="AK114" s="173"/>
    </row>
    <row r="115" spans="1:44">
      <c r="E115" s="4"/>
      <c r="H115" s="4"/>
      <c r="J115" s="173"/>
      <c r="K115" s="173"/>
      <c r="L115" s="173"/>
      <c r="M115" s="173"/>
      <c r="N115" s="173"/>
      <c r="O115" s="173"/>
      <c r="P115" s="173"/>
      <c r="Q115" s="173"/>
      <c r="R115" s="173"/>
      <c r="S115" s="173"/>
      <c r="T115" s="173"/>
      <c r="U115" s="173"/>
      <c r="V115" s="173"/>
      <c r="W115" s="173"/>
      <c r="X115" s="173"/>
      <c r="Y115" s="173"/>
      <c r="Z115" s="173"/>
      <c r="AA115" s="173"/>
      <c r="AB115" s="173"/>
      <c r="AC115" s="173"/>
      <c r="AD115" s="173"/>
      <c r="AE115" s="173"/>
      <c r="AF115" s="173"/>
      <c r="AG115" s="173"/>
      <c r="AH115" s="173"/>
      <c r="AI115" s="173"/>
      <c r="AJ115" s="173"/>
      <c r="AK115" s="173"/>
    </row>
    <row r="116" spans="1:44">
      <c r="E116" s="4"/>
      <c r="H116" s="4"/>
    </row>
    <row r="117" spans="1:44">
      <c r="E117" s="4"/>
      <c r="H117" s="4"/>
    </row>
    <row r="118" spans="1:44">
      <c r="A118" s="255" t="s">
        <v>625</v>
      </c>
      <c r="B118" s="255"/>
    </row>
    <row r="119" spans="1:44" ht="16.2" thickBot="1">
      <c r="A119" s="11" t="s">
        <v>627</v>
      </c>
      <c r="B119" s="11" t="s">
        <v>666</v>
      </c>
      <c r="C119" s="240" t="s">
        <v>653</v>
      </c>
      <c r="D119" s="10" t="s">
        <v>654</v>
      </c>
      <c r="E119" s="10" t="s">
        <v>655</v>
      </c>
      <c r="F119" s="10" t="s">
        <v>172</v>
      </c>
      <c r="G119" s="10" t="s">
        <v>175</v>
      </c>
      <c r="H119" s="10" t="s">
        <v>178</v>
      </c>
      <c r="I119" s="10" t="s">
        <v>181</v>
      </c>
      <c r="J119" s="10" t="s">
        <v>184</v>
      </c>
      <c r="K119" s="10" t="s">
        <v>187</v>
      </c>
      <c r="L119" s="10" t="s">
        <v>190</v>
      </c>
      <c r="M119" s="10" t="s">
        <v>193</v>
      </c>
      <c r="N119" s="10" t="s">
        <v>196</v>
      </c>
      <c r="O119" s="10" t="s">
        <v>198</v>
      </c>
      <c r="P119" s="10" t="s">
        <v>200</v>
      </c>
      <c r="Q119" s="10" t="s">
        <v>202</v>
      </c>
      <c r="R119" s="10" t="s">
        <v>205</v>
      </c>
      <c r="S119" s="10" t="s">
        <v>208</v>
      </c>
      <c r="T119" s="10" t="s">
        <v>211</v>
      </c>
      <c r="U119" s="10" t="s">
        <v>214</v>
      </c>
      <c r="V119" s="10" t="s">
        <v>217</v>
      </c>
      <c r="W119" s="10" t="s">
        <v>220</v>
      </c>
      <c r="X119" s="10" t="s">
        <v>223</v>
      </c>
      <c r="Y119" s="10" t="s">
        <v>225</v>
      </c>
      <c r="Z119" s="10" t="s">
        <v>227</v>
      </c>
      <c r="AA119" s="10" t="s">
        <v>230</v>
      </c>
      <c r="AB119" s="10" t="s">
        <v>233</v>
      </c>
      <c r="AC119" s="10" t="s">
        <v>236</v>
      </c>
      <c r="AD119" s="10" t="s">
        <v>238</v>
      </c>
      <c r="AE119" s="10" t="s">
        <v>240</v>
      </c>
      <c r="AF119" s="10" t="s">
        <v>243</v>
      </c>
      <c r="AG119" s="10" t="s">
        <v>245</v>
      </c>
      <c r="AI119" s="4"/>
      <c r="AJ119" s="4"/>
      <c r="AK119" s="4"/>
      <c r="AL119" s="4"/>
      <c r="AM119" s="4"/>
      <c r="AN119" s="4"/>
      <c r="AO119" s="4"/>
      <c r="AP119" s="4"/>
      <c r="AQ119" s="4"/>
      <c r="AR119" s="4"/>
    </row>
    <row r="120" spans="1:44" ht="41.4">
      <c r="A120" s="241" t="s">
        <v>639</v>
      </c>
      <c r="B120" s="241" t="s">
        <v>668</v>
      </c>
      <c r="C120" s="241" t="s">
        <v>657</v>
      </c>
      <c r="D120" s="241" t="s">
        <v>2684</v>
      </c>
      <c r="E120" s="241"/>
      <c r="F120" s="241" t="s">
        <v>173</v>
      </c>
      <c r="G120" s="241" t="s">
        <v>176</v>
      </c>
      <c r="H120" s="241" t="s">
        <v>179</v>
      </c>
      <c r="I120" s="241" t="s">
        <v>182</v>
      </c>
      <c r="J120" s="241" t="s">
        <v>185</v>
      </c>
      <c r="K120" s="241" t="s">
        <v>188</v>
      </c>
      <c r="L120" s="241" t="s">
        <v>191</v>
      </c>
      <c r="M120" s="241" t="s">
        <v>194</v>
      </c>
      <c r="N120" s="241" t="s">
        <v>197</v>
      </c>
      <c r="O120" s="241" t="s">
        <v>199</v>
      </c>
      <c r="P120" s="241" t="s">
        <v>201</v>
      </c>
      <c r="Q120" s="241" t="s">
        <v>203</v>
      </c>
      <c r="R120" s="241" t="s">
        <v>206</v>
      </c>
      <c r="S120" s="241" t="s">
        <v>209</v>
      </c>
      <c r="T120" s="241" t="s">
        <v>212</v>
      </c>
      <c r="U120" s="241" t="s">
        <v>215</v>
      </c>
      <c r="V120" s="241" t="s">
        <v>218</v>
      </c>
      <c r="W120" s="241" t="s">
        <v>221</v>
      </c>
      <c r="X120" s="241" t="s">
        <v>224</v>
      </c>
      <c r="Y120" s="241" t="s">
        <v>226</v>
      </c>
      <c r="Z120" s="241" t="s">
        <v>228</v>
      </c>
      <c r="AA120" s="241" t="s">
        <v>231</v>
      </c>
      <c r="AB120" s="241" t="s">
        <v>234</v>
      </c>
      <c r="AC120" s="241" t="s">
        <v>237</v>
      </c>
      <c r="AD120" s="241" t="s">
        <v>239</v>
      </c>
      <c r="AE120" s="241" t="s">
        <v>241</v>
      </c>
      <c r="AF120" s="241" t="s">
        <v>1172</v>
      </c>
      <c r="AG120" s="241" t="s">
        <v>246</v>
      </c>
      <c r="AI120" s="4"/>
      <c r="AJ120" s="4"/>
      <c r="AK120" s="4"/>
      <c r="AL120" s="4"/>
      <c r="AM120" s="4"/>
      <c r="AN120" s="4"/>
      <c r="AO120" s="4"/>
      <c r="AP120" s="4"/>
      <c r="AQ120" s="4"/>
      <c r="AR120" s="4"/>
    </row>
    <row r="121" spans="1:44">
      <c r="A121" s="257" t="s">
        <v>649</v>
      </c>
      <c r="B121" s="257"/>
      <c r="C121" s="257"/>
      <c r="D121" s="257"/>
      <c r="E121" s="257"/>
      <c r="F121" s="257" t="s">
        <v>2685</v>
      </c>
      <c r="G121" s="257" t="s">
        <v>2685</v>
      </c>
      <c r="H121" s="257" t="s">
        <v>2685</v>
      </c>
      <c r="I121" s="257" t="s">
        <v>2685</v>
      </c>
      <c r="J121" s="257" t="s">
        <v>2685</v>
      </c>
      <c r="K121" s="257" t="s">
        <v>2685</v>
      </c>
      <c r="L121" s="257" t="s">
        <v>2685</v>
      </c>
      <c r="M121" s="257" t="s">
        <v>2685</v>
      </c>
      <c r="N121" s="257" t="s">
        <v>2685</v>
      </c>
      <c r="O121" s="257" t="s">
        <v>2685</v>
      </c>
      <c r="P121" s="257" t="s">
        <v>2685</v>
      </c>
      <c r="Q121" s="257" t="s">
        <v>2685</v>
      </c>
      <c r="R121" s="257" t="s">
        <v>2685</v>
      </c>
      <c r="S121" s="257" t="s">
        <v>2685</v>
      </c>
      <c r="T121" s="257" t="s">
        <v>2685</v>
      </c>
      <c r="U121" s="257" t="s">
        <v>2685</v>
      </c>
      <c r="V121" s="257" t="s">
        <v>2685</v>
      </c>
      <c r="W121" s="257" t="s">
        <v>2685</v>
      </c>
      <c r="X121" s="257" t="s">
        <v>2685</v>
      </c>
      <c r="Y121" s="257" t="s">
        <v>2685</v>
      </c>
      <c r="Z121" s="257" t="s">
        <v>2685</v>
      </c>
      <c r="AA121" s="257" t="s">
        <v>2685</v>
      </c>
      <c r="AB121" s="257" t="s">
        <v>2685</v>
      </c>
      <c r="AC121" s="257" t="s">
        <v>2685</v>
      </c>
      <c r="AD121" s="257" t="s">
        <v>2685</v>
      </c>
      <c r="AE121" s="257" t="s">
        <v>2685</v>
      </c>
      <c r="AF121" s="257" t="s">
        <v>2685</v>
      </c>
      <c r="AG121" s="257" t="s">
        <v>2685</v>
      </c>
      <c r="AI121" s="4"/>
      <c r="AJ121" s="4"/>
      <c r="AK121" s="4"/>
      <c r="AL121" s="4"/>
      <c r="AM121" s="4"/>
      <c r="AN121" s="4"/>
      <c r="AO121" s="4"/>
      <c r="AP121" s="4"/>
      <c r="AQ121" s="4"/>
      <c r="AR121" s="4"/>
    </row>
    <row r="122" spans="1:44">
      <c r="A122" t="str">
        <f>A15</f>
        <v>MIN-NUC</v>
      </c>
      <c r="B122" t="str">
        <f>B15</f>
        <v>Primary production of Uranium</v>
      </c>
      <c r="C122" t="str">
        <f>Commodities!C28</f>
        <v>NUC</v>
      </c>
      <c r="D122" t="s">
        <v>675</v>
      </c>
      <c r="E122">
        <f>Legend!B$3</f>
        <v>2019</v>
      </c>
      <c r="F122" s="529">
        <f>40*Legend!$B$118/Legend!$B$91</f>
        <v>0.50456511292647765</v>
      </c>
      <c r="G122" s="529">
        <f>40*Legend!$B$118/Legend!$B$91</f>
        <v>0.50456511292647765</v>
      </c>
      <c r="H122" s="529">
        <f>40*Legend!$B$118/Legend!$B$91</f>
        <v>0.50456511292647765</v>
      </c>
      <c r="I122" s="529">
        <f>40*Legend!$B$118/Legend!$B$91</f>
        <v>0.50456511292647765</v>
      </c>
      <c r="J122" s="529">
        <f>40*Legend!$B$118/Legend!$B$91</f>
        <v>0.50456511292647765</v>
      </c>
      <c r="K122" s="529">
        <f>40*Legend!$B$118/Legend!$B$91</f>
        <v>0.50456511292647765</v>
      </c>
      <c r="L122" s="529">
        <f>40*Legend!$B$118/Legend!$B$91</f>
        <v>0.50456511292647765</v>
      </c>
      <c r="M122" s="529">
        <f>40*Legend!$B$118/Legend!$B$91</f>
        <v>0.50456511292647765</v>
      </c>
      <c r="N122" s="529">
        <f>40*Legend!$B$118/Legend!$B$91</f>
        <v>0.50456511292647765</v>
      </c>
      <c r="O122" s="529">
        <f>40*Legend!$B$118/Legend!$B$91</f>
        <v>0.50456511292647765</v>
      </c>
      <c r="P122" s="529">
        <f>40*Legend!$B$118/Legend!$B$91</f>
        <v>0.50456511292647765</v>
      </c>
      <c r="Q122" s="529">
        <f>40*Legend!$B$118/Legend!$B$91</f>
        <v>0.50456511292647765</v>
      </c>
      <c r="R122" s="529">
        <f>40*Legend!$B$118/Legend!$B$91</f>
        <v>0.50456511292647765</v>
      </c>
      <c r="S122" s="529">
        <f>40*Legend!$B$118/Legend!$B$91</f>
        <v>0.50456511292647765</v>
      </c>
      <c r="T122" s="529">
        <f>40*Legend!$B$118/Legend!$B$91</f>
        <v>0.50456511292647765</v>
      </c>
      <c r="U122" s="529">
        <f>40*Legend!$B$118/Legend!$B$91</f>
        <v>0.50456511292647765</v>
      </c>
      <c r="V122" s="529">
        <f>40*Legend!$B$118/Legend!$B$91</f>
        <v>0.50456511292647765</v>
      </c>
      <c r="W122" s="529">
        <f>40*Legend!$B$118/Legend!$B$91</f>
        <v>0.50456511292647765</v>
      </c>
      <c r="X122" s="529">
        <f>40*Legend!$B$118/Legend!$B$91</f>
        <v>0.50456511292647765</v>
      </c>
      <c r="Y122" s="529">
        <f>40*Legend!$B$118/Legend!$B$91</f>
        <v>0.50456511292647765</v>
      </c>
      <c r="Z122" s="529">
        <f>40*Legend!$B$118/Legend!$B$91</f>
        <v>0.50456511292647765</v>
      </c>
      <c r="AA122" s="529">
        <f>40*Legend!$B$118/Legend!$B$91</f>
        <v>0.50456511292647765</v>
      </c>
      <c r="AB122" s="529">
        <f>40*Legend!$B$118/Legend!$B$91</f>
        <v>0.50456511292647765</v>
      </c>
      <c r="AC122" s="529">
        <f>40*Legend!$B$118/Legend!$B$91</f>
        <v>0.50456511292647765</v>
      </c>
      <c r="AD122" s="529">
        <f>40*Legend!$B$118/Legend!$B$91</f>
        <v>0.50456511292647765</v>
      </c>
      <c r="AE122" s="529">
        <f>40*Legend!$B$118/Legend!$B$91</f>
        <v>0.50456511292647765</v>
      </c>
      <c r="AF122" s="529">
        <f>40*Legend!$B$118/Legend!$B$91</f>
        <v>0.50456511292647765</v>
      </c>
      <c r="AG122" s="529">
        <f>40*Legend!$B$118/Legend!$B$91</f>
        <v>0.50456511292647765</v>
      </c>
    </row>
    <row r="123" spans="1:44">
      <c r="A123" t="str">
        <f>A22</f>
        <v>MIN-WASTEN</v>
      </c>
      <c r="B123" t="str">
        <f>B22</f>
        <v>Primary production of Waste</v>
      </c>
      <c r="C123" t="str">
        <f>Commodities!C135</f>
        <v>WASTEN</v>
      </c>
      <c r="D123" t="s">
        <v>675</v>
      </c>
      <c r="E123">
        <f>Legend!B$3</f>
        <v>2019</v>
      </c>
      <c r="F123" s="530">
        <v>0.5</v>
      </c>
      <c r="G123" s="530">
        <v>0.5</v>
      </c>
      <c r="H123" s="530">
        <v>0.5</v>
      </c>
      <c r="I123" s="530">
        <v>0.5</v>
      </c>
      <c r="J123" s="530">
        <v>0.5</v>
      </c>
      <c r="K123" s="530">
        <v>0.5</v>
      </c>
      <c r="L123" s="530">
        <v>0.5</v>
      </c>
      <c r="M123" s="530">
        <v>0.5</v>
      </c>
      <c r="N123" s="530">
        <v>0.5</v>
      </c>
      <c r="O123" s="530">
        <v>0.5</v>
      </c>
      <c r="P123" s="530">
        <v>0.5</v>
      </c>
      <c r="Q123" s="530">
        <v>0.5</v>
      </c>
      <c r="R123" s="530">
        <v>0.5</v>
      </c>
      <c r="S123" s="530">
        <v>0.5</v>
      </c>
      <c r="T123" s="530">
        <v>0.5</v>
      </c>
      <c r="U123" s="530">
        <v>0.5</v>
      </c>
      <c r="V123" s="530">
        <v>0.5</v>
      </c>
      <c r="W123" s="530">
        <v>0.5</v>
      </c>
      <c r="X123" s="530">
        <v>0.5</v>
      </c>
      <c r="Y123" s="530">
        <v>0.5</v>
      </c>
      <c r="Z123" s="530">
        <v>0.5</v>
      </c>
      <c r="AA123" s="530">
        <v>0.5</v>
      </c>
      <c r="AB123" s="530">
        <v>0.5</v>
      </c>
      <c r="AC123" s="530">
        <v>0.5</v>
      </c>
      <c r="AD123" s="530">
        <v>0.5</v>
      </c>
      <c r="AE123" s="530">
        <v>0.5</v>
      </c>
      <c r="AF123" s="530">
        <v>0.5</v>
      </c>
      <c r="AG123" s="530">
        <v>0.5</v>
      </c>
    </row>
    <row r="124" spans="1:44">
      <c r="A124" t="str">
        <f>A23</f>
        <v>MIN-BIOWAS</v>
      </c>
      <c r="B124" t="str">
        <f>B23</f>
        <v>Primary production of Biomass waste</v>
      </c>
      <c r="C124" t="str">
        <f>Commodities!C131</f>
        <v>BIOWAS</v>
      </c>
      <c r="D124" t="s">
        <v>675</v>
      </c>
      <c r="E124">
        <f>Legend!B$3</f>
        <v>2019</v>
      </c>
      <c r="F124" s="530">
        <v>0.5</v>
      </c>
      <c r="G124" s="530">
        <v>0.5</v>
      </c>
      <c r="H124" s="530">
        <v>0.5</v>
      </c>
      <c r="I124" s="530">
        <v>0.5</v>
      </c>
      <c r="J124" s="530">
        <v>0.5</v>
      </c>
      <c r="K124" s="530">
        <v>0.5</v>
      </c>
      <c r="L124" s="530">
        <v>0.5</v>
      </c>
      <c r="M124" s="530">
        <v>0.5</v>
      </c>
      <c r="N124" s="530">
        <v>0.5</v>
      </c>
      <c r="O124" s="530">
        <v>0.5</v>
      </c>
      <c r="P124" s="530">
        <v>0.5</v>
      </c>
      <c r="Q124" s="530">
        <v>0.5</v>
      </c>
      <c r="R124" s="530">
        <v>0.5</v>
      </c>
      <c r="S124" s="530">
        <v>0.5</v>
      </c>
      <c r="T124" s="530">
        <v>0.5</v>
      </c>
      <c r="U124" s="530">
        <v>0.5</v>
      </c>
      <c r="V124" s="530">
        <v>0.5</v>
      </c>
      <c r="W124" s="530">
        <v>0.5</v>
      </c>
      <c r="X124" s="530">
        <v>0.5</v>
      </c>
      <c r="Y124" s="530">
        <v>0.5</v>
      </c>
      <c r="Z124" s="530">
        <v>0.5</v>
      </c>
      <c r="AA124" s="530">
        <v>0.5</v>
      </c>
      <c r="AB124" s="530">
        <v>0.5</v>
      </c>
      <c r="AC124" s="530">
        <v>0.5</v>
      </c>
      <c r="AD124" s="530">
        <v>0.5</v>
      </c>
      <c r="AE124" s="530">
        <v>0.5</v>
      </c>
      <c r="AF124" s="530">
        <v>0.5</v>
      </c>
      <c r="AG124" s="530">
        <v>0.5</v>
      </c>
    </row>
    <row r="125" spans="1:44">
      <c r="E125" s="4"/>
      <c r="H125" s="4"/>
    </row>
    <row r="126" spans="1:44">
      <c r="E126" s="4"/>
      <c r="H126" s="4"/>
    </row>
    <row r="128" spans="1:44" ht="18">
      <c r="A128" s="8" t="s">
        <v>2686</v>
      </c>
      <c r="B128" s="4"/>
      <c r="C128" s="4"/>
      <c r="D128" s="4"/>
      <c r="E128" s="4"/>
      <c r="F128" s="4"/>
    </row>
    <row r="129" spans="1:6">
      <c r="A129" s="255" t="s">
        <v>625</v>
      </c>
      <c r="B129" s="255"/>
      <c r="F129" s="4"/>
    </row>
    <row r="130" spans="1:6" ht="16.2" thickBot="1">
      <c r="A130" s="11" t="s">
        <v>627</v>
      </c>
      <c r="B130" s="11" t="s">
        <v>666</v>
      </c>
      <c r="C130" s="240" t="s">
        <v>653</v>
      </c>
      <c r="D130" s="10" t="s">
        <v>2687</v>
      </c>
    </row>
    <row r="131" spans="1:6" ht="27.6">
      <c r="A131" s="241" t="s">
        <v>639</v>
      </c>
      <c r="B131" s="241" t="s">
        <v>668</v>
      </c>
      <c r="C131" s="241" t="s">
        <v>657</v>
      </c>
      <c r="D131" s="241" t="s">
        <v>2688</v>
      </c>
    </row>
    <row r="132" spans="1:6">
      <c r="A132" s="257" t="s">
        <v>649</v>
      </c>
      <c r="B132" s="257"/>
      <c r="C132" s="257"/>
      <c r="D132" s="257" t="s">
        <v>2689</v>
      </c>
    </row>
    <row r="133" spans="1:6">
      <c r="A133" s="260" t="str">
        <f>A15</f>
        <v>MIN-NUC</v>
      </c>
      <c r="B133" s="260" t="str">
        <f>B15</f>
        <v>Primary production of Uranium</v>
      </c>
      <c r="C133" s="260" t="str">
        <f>D15</f>
        <v>NUC</v>
      </c>
      <c r="D133" s="531">
        <v>1E-3</v>
      </c>
    </row>
    <row r="134" spans="1:6">
      <c r="A134" s="260" t="str">
        <f t="shared" ref="A134:B141" si="9">A16</f>
        <v>MIN-GEO</v>
      </c>
      <c r="B134" s="260" t="str">
        <f t="shared" si="9"/>
        <v>Primary production of Geothermal</v>
      </c>
      <c r="C134" s="260" t="str">
        <f t="shared" ref="C134:C141" si="10">D16</f>
        <v>GEO</v>
      </c>
      <c r="D134" s="531">
        <v>1E-3</v>
      </c>
    </row>
    <row r="135" spans="1:6">
      <c r="A135" s="260" t="str">
        <f t="shared" si="9"/>
        <v>MIN-HYD</v>
      </c>
      <c r="B135" s="260" t="str">
        <f t="shared" si="9"/>
        <v>Primary production of Hydro</v>
      </c>
      <c r="C135" s="260" t="str">
        <f t="shared" si="10"/>
        <v>HYD</v>
      </c>
      <c r="D135" s="531">
        <v>1E-3</v>
      </c>
    </row>
    <row r="136" spans="1:6">
      <c r="A136" s="260" t="str">
        <f t="shared" si="9"/>
        <v>MIN-OCE</v>
      </c>
      <c r="B136" s="260" t="str">
        <f t="shared" si="9"/>
        <v>Primary production of Ocean</v>
      </c>
      <c r="C136" s="260" t="str">
        <f t="shared" si="10"/>
        <v>OCE</v>
      </c>
      <c r="D136" s="531">
        <v>1E-3</v>
      </c>
    </row>
    <row r="137" spans="1:6">
      <c r="A137" s="260" t="str">
        <f t="shared" si="9"/>
        <v>MIN-SOL</v>
      </c>
      <c r="B137" s="260" t="str">
        <f t="shared" si="9"/>
        <v>Primary production of Solar</v>
      </c>
      <c r="C137" s="260" t="str">
        <f t="shared" si="10"/>
        <v>SOL</v>
      </c>
      <c r="D137" s="531">
        <v>1E-3</v>
      </c>
    </row>
    <row r="138" spans="1:6">
      <c r="A138" s="260" t="str">
        <f t="shared" si="9"/>
        <v>MIN-WON</v>
      </c>
      <c r="B138" s="260" t="str">
        <f t="shared" si="9"/>
        <v>Primary production of Wind Onshore</v>
      </c>
      <c r="C138" s="260" t="str">
        <f t="shared" si="10"/>
        <v>WON</v>
      </c>
      <c r="D138" s="531">
        <v>1E-3</v>
      </c>
    </row>
    <row r="139" spans="1:6">
      <c r="A139" s="260" t="str">
        <f t="shared" si="9"/>
        <v>MIN-WOF</v>
      </c>
      <c r="B139" s="260" t="str">
        <f t="shared" si="9"/>
        <v>Primary production of Wind Offshore</v>
      </c>
      <c r="C139" s="260" t="str">
        <f t="shared" si="10"/>
        <v>WOF</v>
      </c>
      <c r="D139" s="531">
        <v>1E-3</v>
      </c>
    </row>
    <row r="140" spans="1:6">
      <c r="A140" s="260" t="str">
        <f t="shared" si="9"/>
        <v>MIN-WASTEN</v>
      </c>
      <c r="B140" s="260" t="str">
        <f t="shared" si="9"/>
        <v>Primary production of Waste</v>
      </c>
      <c r="C140" s="260" t="str">
        <f t="shared" si="10"/>
        <v>WASTEN</v>
      </c>
      <c r="D140" s="531">
        <v>1E-3</v>
      </c>
    </row>
    <row r="141" spans="1:6">
      <c r="A141" s="260" t="str">
        <f t="shared" si="9"/>
        <v>MIN-BIOWAS</v>
      </c>
      <c r="B141" s="260" t="str">
        <f t="shared" si="9"/>
        <v>Primary production of Biomass waste</v>
      </c>
      <c r="C141" s="260" t="str">
        <f t="shared" si="10"/>
        <v>BIOWAS</v>
      </c>
      <c r="D141" s="531">
        <v>1E-3</v>
      </c>
    </row>
    <row r="142" spans="1:6">
      <c r="A142" s="260"/>
      <c r="B142" s="260"/>
      <c r="C142" s="260"/>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595BB-6F50-4E88-BEC5-CE16716ED0A1}">
  <sheetPr>
    <tabColor theme="9" tint="0.39997558519241921"/>
  </sheetPr>
  <dimension ref="A1:AU116"/>
  <sheetViews>
    <sheetView zoomScale="70" zoomScaleNormal="70" workbookViewId="0">
      <pane xSplit="10" ySplit="9" topLeftCell="AN10" activePane="bottomRight" state="frozen"/>
      <selection pane="topRight" activeCell="K1" sqref="K1"/>
      <selection pane="bottomLeft" activeCell="A10" sqref="A10"/>
      <selection pane="bottomRight" activeCell="AH109" sqref="AH109"/>
    </sheetView>
  </sheetViews>
  <sheetFormatPr defaultRowHeight="15.6"/>
  <cols>
    <col min="1" max="1" width="25.5" bestFit="1" customWidth="1"/>
    <col min="2" max="2" width="112.09765625" bestFit="1" customWidth="1"/>
    <col min="3" max="3" width="11.5" bestFit="1" customWidth="1"/>
    <col min="4" max="4" width="12.69921875" bestFit="1" customWidth="1"/>
    <col min="5" max="5" width="13" bestFit="1" customWidth="1"/>
    <col min="6" max="6" width="11" bestFit="1" customWidth="1"/>
    <col min="7" max="7" width="11.19921875" bestFit="1" customWidth="1"/>
    <col min="8" max="8" width="9.69921875" bestFit="1" customWidth="1"/>
    <col min="9" max="9" width="6.19921875" bestFit="1" customWidth="1"/>
    <col min="10" max="10" width="25.09765625" bestFit="1" customWidth="1"/>
    <col min="11" max="11" width="13.5" bestFit="1" customWidth="1"/>
    <col min="12" max="12" width="11.8984375" bestFit="1" customWidth="1"/>
    <col min="13" max="14" width="13.5" bestFit="1" customWidth="1"/>
    <col min="15" max="15" width="11.8984375" bestFit="1" customWidth="1"/>
    <col min="16" max="16" width="10.8984375" bestFit="1" customWidth="1"/>
    <col min="17" max="19" width="13.5" bestFit="1" customWidth="1"/>
    <col min="20" max="21" width="11.8984375" bestFit="1" customWidth="1"/>
    <col min="22" max="22" width="13.5" bestFit="1" customWidth="1"/>
    <col min="23" max="24" width="11.8984375" bestFit="1" customWidth="1"/>
    <col min="25" max="29" width="13.5" bestFit="1" customWidth="1"/>
    <col min="30" max="30" width="11.8984375" bestFit="1" customWidth="1"/>
    <col min="31" max="31" width="13.5" bestFit="1" customWidth="1"/>
    <col min="32" max="33" width="10.8984375" bestFit="1" customWidth="1"/>
    <col min="34" max="34" width="11.8984375" bestFit="1" customWidth="1"/>
    <col min="35" max="35" width="13.5" bestFit="1" customWidth="1"/>
    <col min="36" max="36" width="11.8984375" bestFit="1" customWidth="1"/>
    <col min="37" max="37" width="10.8984375" bestFit="1" customWidth="1"/>
    <col min="38" max="38" width="13.5" bestFit="1" customWidth="1"/>
    <col min="40" max="40" width="21.59765625" bestFit="1" customWidth="1"/>
    <col min="41" max="41" width="20.8984375" bestFit="1" customWidth="1"/>
    <col min="42" max="42" width="112.09765625" bestFit="1" customWidth="1"/>
    <col min="43" max="43" width="6" bestFit="1" customWidth="1"/>
    <col min="44" max="44" width="6.8984375" bestFit="1" customWidth="1"/>
    <col min="45" max="45" width="7.69921875" bestFit="1" customWidth="1"/>
    <col min="46" max="46" width="11.8984375" bestFit="1" customWidth="1"/>
    <col min="47" max="47" width="9.19921875" bestFit="1" customWidth="1"/>
  </cols>
  <sheetData>
    <row r="1" spans="1:47" s="4" customFormat="1" ht="23.4">
      <c r="A1" s="253" t="s">
        <v>694</v>
      </c>
    </row>
    <row r="2" spans="1:47" s="4" customFormat="1" ht="18">
      <c r="A2" s="8" t="s">
        <v>663</v>
      </c>
      <c r="B2" s="4" t="str">
        <f>Legend!B183&amp;" &amp; "&amp;Legend!B184&amp;" &amp; "&amp;Legend!B185&amp;" &amp; "&amp;Legend!B186&amp;" &amp; "&amp;Legend!B187</f>
        <v>S24 &amp; S25 &amp; S26 &amp; S27 &amp; S28</v>
      </c>
    </row>
    <row r="3" spans="1:47" s="4" customFormat="1"/>
    <row r="4" spans="1:47" s="4" customFormat="1" ht="18">
      <c r="A4" s="8"/>
      <c r="G4"/>
      <c r="H4"/>
      <c r="L4" s="254"/>
      <c r="AN4" s="8" t="s">
        <v>665</v>
      </c>
    </row>
    <row r="5" spans="1:47" s="4" customFormat="1" ht="18">
      <c r="A5" s="8"/>
      <c r="G5"/>
      <c r="H5"/>
      <c r="L5" s="254"/>
      <c r="AA5" s="459"/>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2"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5.2">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244</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s="4" customFormat="1">
      <c r="A10" s="4" t="str">
        <f>IF(AO10="",AN10,AO10)</f>
        <v>U-TRF-BIODSL_TRD_00</v>
      </c>
      <c r="B10" s="4" t="str">
        <f>IF($AO10="","",AP10)</f>
        <v>UPS Transformation: Biodiesel - 1st gen production - Transesterification - Existing - Without energy consumption</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"U-TRF-"&amp;$D$23&amp;"_TRD_00"</f>
        <v>U-TRF-BIODSL_TRD_00</v>
      </c>
      <c r="AP10" t="str">
        <f>"UPS Transformation: "&amp;Commodities!$D$77&amp;" production - Transesterification - Existing - Without energy consumption"</f>
        <v>UPS Transformation: Biodiesel - 1st gen production - Transesterification - Existing - Without energy consumption</v>
      </c>
      <c r="AQ10" s="4" t="s">
        <v>112</v>
      </c>
      <c r="AR10" s="4" t="s">
        <v>2671</v>
      </c>
    </row>
    <row r="11" spans="1:47">
      <c r="G11" s="4" t="s">
        <v>697</v>
      </c>
      <c r="H11" s="4"/>
      <c r="I11" s="4"/>
      <c r="J11" s="4" t="s">
        <v>698</v>
      </c>
      <c r="K11" s="331">
        <v>1</v>
      </c>
      <c r="L11" s="331">
        <v>1</v>
      </c>
      <c r="M11" s="331">
        <v>1</v>
      </c>
      <c r="N11" s="331">
        <v>1</v>
      </c>
      <c r="O11" s="331">
        <v>1</v>
      </c>
      <c r="P11" s="331">
        <v>1</v>
      </c>
      <c r="Q11" s="331">
        <v>1</v>
      </c>
      <c r="R11" s="331">
        <v>1</v>
      </c>
      <c r="S11" s="331">
        <v>1</v>
      </c>
      <c r="T11" s="331">
        <v>1</v>
      </c>
      <c r="U11" s="331">
        <v>1</v>
      </c>
      <c r="V11" s="331">
        <v>1</v>
      </c>
      <c r="W11" s="331">
        <v>1</v>
      </c>
      <c r="X11" s="331">
        <v>1</v>
      </c>
      <c r="Y11" s="331">
        <v>1</v>
      </c>
      <c r="Z11" s="331">
        <v>1</v>
      </c>
      <c r="AA11" s="331">
        <v>1</v>
      </c>
      <c r="AB11" s="331">
        <v>1</v>
      </c>
      <c r="AC11" s="331">
        <v>1</v>
      </c>
      <c r="AD11" s="331">
        <v>1</v>
      </c>
      <c r="AE11" s="331">
        <v>1</v>
      </c>
      <c r="AF11" s="331">
        <v>1</v>
      </c>
      <c r="AG11" s="331">
        <v>1</v>
      </c>
      <c r="AH11" s="331">
        <v>1</v>
      </c>
      <c r="AI11" s="331">
        <v>1</v>
      </c>
      <c r="AJ11" s="331">
        <v>1</v>
      </c>
      <c r="AK11" s="331">
        <v>1</v>
      </c>
      <c r="AL11" s="331">
        <v>1</v>
      </c>
      <c r="AN11" s="4" t="s">
        <v>651</v>
      </c>
      <c r="AO11" t="str">
        <f>"U-TRF-"&amp;$D$23&amp;"_TRD_01"</f>
        <v>U-TRF-BIODSL_TRD_01</v>
      </c>
      <c r="AP11" t="str">
        <f>"UPS Transformation: "&amp;Commodities!$D$77&amp;" production - Transesterification - Existing - With energy consumption"</f>
        <v>UPS Transformation: Biodiesel - 1st gen production - Transesterification - Existing - With energy consumption</v>
      </c>
      <c r="AQ11" s="4" t="s">
        <v>112</v>
      </c>
      <c r="AR11" s="4" t="s">
        <v>2671</v>
      </c>
      <c r="AS11" s="4"/>
      <c r="AT11" s="4"/>
      <c r="AU11" s="4"/>
    </row>
    <row r="12" spans="1:47">
      <c r="G12" s="4" t="s">
        <v>699</v>
      </c>
      <c r="H12" s="4"/>
      <c r="I12" s="4">
        <v>2019</v>
      </c>
      <c r="J12" s="4" t="s">
        <v>112</v>
      </c>
      <c r="K12" s="347">
        <f>'Key inputs_EB_MIN'!E5/1000+'Key inputs_EB_MIN'!G42/10^3</f>
        <v>0</v>
      </c>
      <c r="L12" s="347">
        <f>'Key inputs_EB_MIN'!F5/1000+'Key inputs_EB_MIN'!H42/10^3</f>
        <v>0</v>
      </c>
      <c r="M12" s="347">
        <f>'Key inputs_EB_MIN'!G5/1000+'Key inputs_EB_MIN'!I42/10^3</f>
        <v>0</v>
      </c>
      <c r="N12" s="347">
        <f>'Key inputs_EB_MIN'!H5/1000+'Key inputs_EB_MIN'!J42/10^3</f>
        <v>0</v>
      </c>
      <c r="O12" s="347">
        <f>'Key inputs_EB_MIN'!I5/1000+'Key inputs_EB_MIN'!K42/10^3</f>
        <v>0.14899999999999999</v>
      </c>
      <c r="P12" s="347">
        <f>'Key inputs_EB_MIN'!J5/1000+'Key inputs_EB_MIN'!L42/10^3</f>
        <v>0.01</v>
      </c>
      <c r="Q12" s="347">
        <f>'Key inputs_EB_MIN'!K5/1000+'Key inputs_EB_MIN'!M42/10^3</f>
        <v>101.622</v>
      </c>
      <c r="R12" s="347">
        <f>'Key inputs_EB_MIN'!L5/1000+'Key inputs_EB_MIN'!N42/10^3</f>
        <v>0</v>
      </c>
      <c r="S12" s="347">
        <f>'Key inputs_EB_MIN'!M5/1000+'Key inputs_EB_MIN'!O42/10^3</f>
        <v>142.71100000000001</v>
      </c>
      <c r="T12" s="347">
        <f>'Key inputs_EB_MIN'!N5/1000+'Key inputs_EB_MIN'!P42/10^3</f>
        <v>10.414999999999999</v>
      </c>
      <c r="U12" s="347">
        <f>'Key inputs_EB_MIN'!O5/1000+'Key inputs_EB_MIN'!Q42/10^3</f>
        <v>0</v>
      </c>
      <c r="V12" s="347">
        <f>'Key inputs_EB_MIN'!P5/1000+'Key inputs_EB_MIN'!R42/10^3</f>
        <v>307.625</v>
      </c>
      <c r="W12" s="347">
        <f>'Key inputs_EB_MIN'!Q5/1000+'Key inputs_EB_MIN'!S42/10^3</f>
        <v>0.42399999999999999</v>
      </c>
      <c r="X12" s="347">
        <f>'Key inputs_EB_MIN'!R5/1000+'Key inputs_EB_MIN'!T42/10^3</f>
        <v>35.655000000000001</v>
      </c>
      <c r="Y12" s="347">
        <f>'Key inputs_EB_MIN'!S5/1000+'Key inputs_EB_MIN'!U42/10^3</f>
        <v>74.123999999999995</v>
      </c>
      <c r="Z12" s="347">
        <f>'Key inputs_EB_MIN'!T5/1000+'Key inputs_EB_MIN'!V42/10^3</f>
        <v>223.74199999999999</v>
      </c>
      <c r="AA12" s="347">
        <f>'Key inputs_EB_MIN'!U5/1000+'Key inputs_EB_MIN'!W42/10^3</f>
        <v>260.09899999999999</v>
      </c>
      <c r="AB12" s="347">
        <f>'Key inputs_EB_MIN'!V5/1000+'Key inputs_EB_MIN'!X42/10^3</f>
        <v>238.98400000000001</v>
      </c>
      <c r="AC12" s="347">
        <f>'Key inputs_EB_MIN'!W5/1000+'Key inputs_EB_MIN'!Y42/10^3</f>
        <v>0</v>
      </c>
      <c r="AD12" s="347">
        <f>'Key inputs_EB_MIN'!X5/1000+'Key inputs_EB_MIN'!Z42/10^3</f>
        <v>0.33900000000000002</v>
      </c>
      <c r="AE12" s="347">
        <f>'Key inputs_EB_MIN'!Y5/1000+'Key inputs_EB_MIN'!AA42/10^3</f>
        <v>100.062</v>
      </c>
      <c r="AF12" s="347">
        <f>'Key inputs_EB_MIN'!Z5/1000+'Key inputs_EB_MIN'!AB42/10^3</f>
        <v>4.1840000000000002</v>
      </c>
      <c r="AG12" s="347">
        <f>'Key inputs_EB_MIN'!AA5/1000+'Key inputs_EB_MIN'!AC42/10^3</f>
        <v>0</v>
      </c>
      <c r="AH12" s="347">
        <f>'Key inputs_EB_MIN'!AB5/1000+'Key inputs_EB_MIN'!AD42/10^3</f>
        <v>0</v>
      </c>
      <c r="AI12" s="347">
        <f>'Key inputs_EB_MIN'!AC5/1000+'Key inputs_EB_MIN'!AE42/10^3</f>
        <v>0</v>
      </c>
      <c r="AJ12" s="347">
        <f>'Key inputs_EB_MIN'!AD5/1000+'Key inputs_EB_MIN'!AF42/10^3</f>
        <v>5.17</v>
      </c>
      <c r="AK12" s="347">
        <f>'Key inputs_EB_MIN'!AE5/1000+'Key inputs_EB_MIN'!AG42/10^3</f>
        <v>35.137</v>
      </c>
      <c r="AL12" s="347">
        <f>'Key inputs_EB_MIN'!AF5/1000+'Key inputs_EB_MIN'!AH42/10^3</f>
        <v>180.57900000000001</v>
      </c>
      <c r="AN12" s="4" t="s">
        <v>651</v>
      </c>
      <c r="AO12" t="str">
        <f>"U-TRF-"&amp;$D$58&amp;"_FRM_00"</f>
        <v>U-TRF-BIOETH_FRM_00</v>
      </c>
      <c r="AP12" t="str">
        <f>"UPS Transformation: "&amp;Commodities!$D$78&amp;" production - Fermentation - Existing - Without energy consumption"</f>
        <v>UPS Transformation: Ethanol - 1st gen production - Fermentation - Existing - Without energy consumption</v>
      </c>
      <c r="AQ12" s="4" t="s">
        <v>112</v>
      </c>
      <c r="AR12" s="4" t="s">
        <v>2671</v>
      </c>
      <c r="AS12" s="4"/>
      <c r="AT12" s="4"/>
      <c r="AU12" s="4"/>
    </row>
    <row r="13" spans="1:47">
      <c r="G13" s="4" t="s">
        <v>632</v>
      </c>
      <c r="H13" s="4" t="s">
        <v>700</v>
      </c>
      <c r="I13" s="4">
        <v>2019</v>
      </c>
      <c r="J13" s="4" t="s">
        <v>112</v>
      </c>
      <c r="K13" s="421">
        <v>1</v>
      </c>
      <c r="L13" s="421">
        <v>1</v>
      </c>
      <c r="M13" s="421">
        <v>1</v>
      </c>
      <c r="N13" s="421">
        <v>1</v>
      </c>
      <c r="O13" s="421">
        <v>1</v>
      </c>
      <c r="P13" s="421">
        <v>1</v>
      </c>
      <c r="Q13" s="421">
        <v>1</v>
      </c>
      <c r="R13" s="421">
        <v>1</v>
      </c>
      <c r="S13" s="421">
        <v>1</v>
      </c>
      <c r="T13" s="421">
        <v>1</v>
      </c>
      <c r="U13" s="421">
        <v>1</v>
      </c>
      <c r="V13" s="421">
        <v>1</v>
      </c>
      <c r="W13" s="421">
        <v>1</v>
      </c>
      <c r="X13" s="421">
        <v>1</v>
      </c>
      <c r="Y13" s="421">
        <v>1</v>
      </c>
      <c r="Z13" s="421">
        <v>1</v>
      </c>
      <c r="AA13" s="421">
        <v>1</v>
      </c>
      <c r="AB13" s="421">
        <v>1</v>
      </c>
      <c r="AC13" s="421">
        <v>1</v>
      </c>
      <c r="AD13" s="421">
        <v>1</v>
      </c>
      <c r="AE13" s="421">
        <v>1</v>
      </c>
      <c r="AF13" s="421">
        <v>1</v>
      </c>
      <c r="AG13" s="421">
        <v>1</v>
      </c>
      <c r="AH13" s="421">
        <v>1</v>
      </c>
      <c r="AI13" s="421">
        <v>1</v>
      </c>
      <c r="AJ13" s="421">
        <v>1</v>
      </c>
      <c r="AK13" s="421">
        <v>1</v>
      </c>
      <c r="AL13" s="421">
        <v>1</v>
      </c>
      <c r="AN13" s="4" t="s">
        <v>651</v>
      </c>
      <c r="AO13" t="str">
        <f>"U-TRF-"&amp;$D$58&amp;"_FRM_01"</f>
        <v>U-TRF-BIOETH_FRM_01</v>
      </c>
      <c r="AP13" t="str">
        <f>"UPS Transformation: "&amp;Commodities!$D$78&amp;" production - Fermentation - Existing - With energy consumption"</f>
        <v>UPS Transformation: Ethanol - 1st gen production - Fermentation - Existing - With energy consumption</v>
      </c>
      <c r="AQ13" s="4" t="s">
        <v>112</v>
      </c>
      <c r="AR13" s="4" t="s">
        <v>2671</v>
      </c>
      <c r="AS13" s="4"/>
      <c r="AT13" s="4"/>
      <c r="AU13" s="4"/>
    </row>
    <row r="14" spans="1:47">
      <c r="G14" s="4" t="s">
        <v>632</v>
      </c>
      <c r="H14" s="4" t="s">
        <v>700</v>
      </c>
      <c r="I14" s="4">
        <v>2020</v>
      </c>
      <c r="J14" s="4" t="s">
        <v>112</v>
      </c>
      <c r="K14" s="421">
        <v>0</v>
      </c>
      <c r="L14" s="421">
        <v>0</v>
      </c>
      <c r="M14" s="421">
        <v>0</v>
      </c>
      <c r="N14" s="421">
        <v>0</v>
      </c>
      <c r="O14" s="421">
        <v>0</v>
      </c>
      <c r="P14" s="421">
        <v>0</v>
      </c>
      <c r="Q14" s="421">
        <v>0</v>
      </c>
      <c r="R14" s="421">
        <v>0</v>
      </c>
      <c r="S14" s="421">
        <v>0</v>
      </c>
      <c r="T14" s="421">
        <v>0</v>
      </c>
      <c r="U14" s="421">
        <v>0</v>
      </c>
      <c r="V14" s="421">
        <v>0</v>
      </c>
      <c r="W14" s="421">
        <v>0</v>
      </c>
      <c r="X14" s="421">
        <v>0</v>
      </c>
      <c r="Y14" s="421">
        <v>0</v>
      </c>
      <c r="Z14" s="421">
        <v>0</v>
      </c>
      <c r="AA14" s="421">
        <v>0</v>
      </c>
      <c r="AB14" s="421">
        <v>0</v>
      </c>
      <c r="AC14" s="421">
        <v>0</v>
      </c>
      <c r="AD14" s="421">
        <v>0</v>
      </c>
      <c r="AE14" s="421">
        <v>0</v>
      </c>
      <c r="AF14" s="421">
        <v>0</v>
      </c>
      <c r="AG14" s="421">
        <v>0</v>
      </c>
      <c r="AH14" s="421">
        <v>0</v>
      </c>
      <c r="AI14" s="421">
        <v>0</v>
      </c>
      <c r="AJ14" s="421">
        <v>0</v>
      </c>
      <c r="AK14" s="421">
        <v>0</v>
      </c>
      <c r="AL14" s="421">
        <v>0</v>
      </c>
      <c r="AN14" s="4" t="s">
        <v>651</v>
      </c>
      <c r="AO14" t="str">
        <f>"U-TRF-"&amp;$D$89&amp;"_ADU_00"</f>
        <v>U-TRF-BIORNG_ADU_00</v>
      </c>
      <c r="AP14" t="str">
        <f>"UPS Transformation: "&amp;Commodities!$D$72&amp;" production - Anaerovic digester + Upgrading - Existing - Without energy consumption"</f>
        <v>UPS Transformation: Renewable natural gas production - Anaerovic digester + Upgrading - Existing - Without energy consumption</v>
      </c>
      <c r="AQ14" s="4" t="s">
        <v>112</v>
      </c>
      <c r="AR14" s="4" t="s">
        <v>2671</v>
      </c>
      <c r="AS14" s="4"/>
      <c r="AT14" s="4"/>
      <c r="AU14" s="4"/>
    </row>
    <row r="15" spans="1:47">
      <c r="G15" s="4" t="s">
        <v>632</v>
      </c>
      <c r="H15" s="4" t="s">
        <v>700</v>
      </c>
      <c r="I15" s="4">
        <v>2060</v>
      </c>
      <c r="J15" s="4" t="s">
        <v>112</v>
      </c>
      <c r="K15" s="421">
        <v>0</v>
      </c>
      <c r="L15" s="421">
        <v>0</v>
      </c>
      <c r="M15" s="421">
        <v>0</v>
      </c>
      <c r="N15" s="421">
        <v>0</v>
      </c>
      <c r="O15" s="421">
        <v>0</v>
      </c>
      <c r="P15" s="421">
        <v>0</v>
      </c>
      <c r="Q15" s="421">
        <v>0</v>
      </c>
      <c r="R15" s="421">
        <v>0</v>
      </c>
      <c r="S15" s="421">
        <v>0</v>
      </c>
      <c r="T15" s="421">
        <v>0</v>
      </c>
      <c r="U15" s="421">
        <v>0</v>
      </c>
      <c r="V15" s="421">
        <v>0</v>
      </c>
      <c r="W15" s="421">
        <v>0</v>
      </c>
      <c r="X15" s="421">
        <v>0</v>
      </c>
      <c r="Y15" s="421">
        <v>0</v>
      </c>
      <c r="Z15" s="421">
        <v>0</v>
      </c>
      <c r="AA15" s="421">
        <v>0</v>
      </c>
      <c r="AB15" s="421">
        <v>0</v>
      </c>
      <c r="AC15" s="421">
        <v>0</v>
      </c>
      <c r="AD15" s="421">
        <v>0</v>
      </c>
      <c r="AE15" s="421">
        <v>0</v>
      </c>
      <c r="AF15" s="421">
        <v>0</v>
      </c>
      <c r="AG15" s="421">
        <v>0</v>
      </c>
      <c r="AH15" s="421">
        <v>0</v>
      </c>
      <c r="AI15" s="421">
        <v>0</v>
      </c>
      <c r="AJ15" s="421">
        <v>0</v>
      </c>
      <c r="AK15" s="421">
        <v>0</v>
      </c>
      <c r="AL15" s="421">
        <v>0</v>
      </c>
      <c r="AN15" s="4" t="s">
        <v>651</v>
      </c>
      <c r="AO15" t="str">
        <f>"U-TRF-"&amp;$D$89&amp;"_ADU_01"</f>
        <v>U-TRF-BIORNG_ADU_01</v>
      </c>
      <c r="AP15" t="str">
        <f>"UPS Transformation: "&amp;Commodities!$D$72&amp;" production - Anaerovic digester + Upgrading - Existing - With energy consumption"</f>
        <v>UPS Transformation: Renewable natural gas production - Anaerovic digester + Upgrading - Existing - With energy consumption</v>
      </c>
      <c r="AQ15" s="4" t="s">
        <v>112</v>
      </c>
      <c r="AR15" s="4" t="s">
        <v>2671</v>
      </c>
      <c r="AS15" s="4"/>
      <c r="AT15" s="4"/>
      <c r="AU15" s="4"/>
    </row>
    <row r="16" spans="1:47">
      <c r="G16" s="4" t="s">
        <v>632</v>
      </c>
      <c r="H16" s="4" t="s">
        <v>700</v>
      </c>
      <c r="I16" s="4">
        <v>0</v>
      </c>
      <c r="J16" s="4"/>
      <c r="K16" s="421">
        <v>5</v>
      </c>
      <c r="L16" s="421">
        <v>5</v>
      </c>
      <c r="M16" s="421">
        <v>5</v>
      </c>
      <c r="N16" s="421">
        <v>5</v>
      </c>
      <c r="O16" s="421">
        <v>5</v>
      </c>
      <c r="P16" s="421">
        <v>5</v>
      </c>
      <c r="Q16" s="421">
        <v>5</v>
      </c>
      <c r="R16" s="421">
        <v>5</v>
      </c>
      <c r="S16" s="421">
        <v>5</v>
      </c>
      <c r="T16" s="421">
        <v>5</v>
      </c>
      <c r="U16" s="421">
        <v>5</v>
      </c>
      <c r="V16" s="421">
        <v>5</v>
      </c>
      <c r="W16" s="421">
        <v>5</v>
      </c>
      <c r="X16" s="421">
        <v>5</v>
      </c>
      <c r="Y16" s="421">
        <v>5</v>
      </c>
      <c r="Z16" s="421">
        <v>5</v>
      </c>
      <c r="AA16" s="421">
        <v>5</v>
      </c>
      <c r="AB16" s="421">
        <v>5</v>
      </c>
      <c r="AC16" s="421">
        <v>5</v>
      </c>
      <c r="AD16" s="421">
        <v>5</v>
      </c>
      <c r="AE16" s="421">
        <v>5</v>
      </c>
      <c r="AF16" s="421">
        <v>5</v>
      </c>
      <c r="AG16" s="421">
        <v>5</v>
      </c>
      <c r="AH16" s="421">
        <v>5</v>
      </c>
      <c r="AI16" s="421">
        <v>5</v>
      </c>
      <c r="AJ16" s="421">
        <v>5</v>
      </c>
      <c r="AK16" s="421">
        <v>5</v>
      </c>
      <c r="AL16" s="421">
        <v>5</v>
      </c>
      <c r="AN16" s="4" t="s">
        <v>651</v>
      </c>
      <c r="AO16" t="str">
        <f>"U-TRF-"&amp;$D$116&amp;"_00"</f>
        <v>U-TRF-BIOMASS_00</v>
      </c>
      <c r="AP16" t="str">
        <f>"UPS Transformation: "&amp;Commodities!$D$67&amp;" production - Existing"</f>
        <v>UPS Transformation: Traditional woody biomass production - Existing</v>
      </c>
      <c r="AQ16" s="4" t="s">
        <v>112</v>
      </c>
      <c r="AR16" s="4" t="s">
        <v>2671</v>
      </c>
      <c r="AS16" s="4"/>
      <c r="AT16" s="4"/>
      <c r="AU16" s="4"/>
    </row>
    <row r="17" spans="1:38">
      <c r="G17" s="4" t="s">
        <v>701</v>
      </c>
      <c r="H17" s="4" t="s">
        <v>661</v>
      </c>
      <c r="I17" s="4">
        <v>2019</v>
      </c>
      <c r="J17" s="4" t="s">
        <v>112</v>
      </c>
      <c r="K17" s="333">
        <v>0</v>
      </c>
      <c r="L17" s="333">
        <v>0</v>
      </c>
      <c r="M17" s="333">
        <v>0</v>
      </c>
      <c r="N17" s="333">
        <v>0</v>
      </c>
      <c r="O17" s="333">
        <v>0</v>
      </c>
      <c r="P17" s="333">
        <v>0</v>
      </c>
      <c r="Q17" s="333">
        <v>0</v>
      </c>
      <c r="R17" s="333">
        <v>0</v>
      </c>
      <c r="S17" s="333">
        <v>0</v>
      </c>
      <c r="T17" s="333">
        <v>0</v>
      </c>
      <c r="U17" s="333">
        <v>0</v>
      </c>
      <c r="V17" s="333">
        <v>0</v>
      </c>
      <c r="W17" s="333">
        <v>0</v>
      </c>
      <c r="X17" s="333">
        <v>0</v>
      </c>
      <c r="Y17" s="333">
        <v>0</v>
      </c>
      <c r="Z17" s="333">
        <v>0</v>
      </c>
      <c r="AA17" s="333">
        <v>0</v>
      </c>
      <c r="AB17" s="333">
        <v>0</v>
      </c>
      <c r="AC17" s="333">
        <v>0</v>
      </c>
      <c r="AD17" s="333">
        <v>0</v>
      </c>
      <c r="AE17" s="333">
        <v>0</v>
      </c>
      <c r="AF17" s="333">
        <v>0</v>
      </c>
      <c r="AG17" s="333">
        <v>0</v>
      </c>
      <c r="AH17" s="333">
        <v>0</v>
      </c>
      <c r="AI17" s="333">
        <v>0</v>
      </c>
      <c r="AJ17" s="333">
        <v>0</v>
      </c>
      <c r="AK17" s="333">
        <v>0</v>
      </c>
      <c r="AL17" s="333">
        <v>0</v>
      </c>
    </row>
    <row r="18" spans="1:38">
      <c r="G18" s="4" t="s">
        <v>701</v>
      </c>
      <c r="H18" s="4" t="s">
        <v>661</v>
      </c>
      <c r="I18" s="4">
        <v>2060</v>
      </c>
      <c r="J18" s="4" t="s">
        <v>112</v>
      </c>
      <c r="K18" s="333">
        <v>0</v>
      </c>
      <c r="L18" s="333">
        <v>0</v>
      </c>
      <c r="M18" s="333">
        <v>0</v>
      </c>
      <c r="N18" s="333">
        <v>0</v>
      </c>
      <c r="O18" s="333">
        <v>0</v>
      </c>
      <c r="P18" s="333">
        <v>0</v>
      </c>
      <c r="Q18" s="333">
        <v>0</v>
      </c>
      <c r="R18" s="333">
        <v>0</v>
      </c>
      <c r="S18" s="333">
        <v>0</v>
      </c>
      <c r="T18" s="333">
        <v>0</v>
      </c>
      <c r="U18" s="333">
        <v>0</v>
      </c>
      <c r="V18" s="333">
        <v>0</v>
      </c>
      <c r="W18" s="333">
        <v>0</v>
      </c>
      <c r="X18" s="333">
        <v>0</v>
      </c>
      <c r="Y18" s="333">
        <v>0</v>
      </c>
      <c r="Z18" s="333">
        <v>0</v>
      </c>
      <c r="AA18" s="333">
        <v>0</v>
      </c>
      <c r="AB18" s="333">
        <v>0</v>
      </c>
      <c r="AC18" s="333">
        <v>0</v>
      </c>
      <c r="AD18" s="333">
        <v>0</v>
      </c>
      <c r="AE18" s="333">
        <v>0</v>
      </c>
      <c r="AF18" s="333">
        <v>0</v>
      </c>
      <c r="AG18" s="333">
        <v>0</v>
      </c>
      <c r="AH18" s="333">
        <v>0</v>
      </c>
      <c r="AI18" s="333">
        <v>0</v>
      </c>
      <c r="AJ18" s="333">
        <v>0</v>
      </c>
      <c r="AK18" s="333">
        <v>0</v>
      </c>
      <c r="AL18" s="333">
        <v>0</v>
      </c>
    </row>
    <row r="19" spans="1:38">
      <c r="G19" s="4" t="s">
        <v>701</v>
      </c>
      <c r="H19" s="4" t="s">
        <v>661</v>
      </c>
      <c r="I19" s="4">
        <v>0</v>
      </c>
      <c r="J19" s="4"/>
      <c r="K19" s="333">
        <v>5</v>
      </c>
      <c r="L19" s="333">
        <v>5</v>
      </c>
      <c r="M19" s="333">
        <v>5</v>
      </c>
      <c r="N19" s="333">
        <v>5</v>
      </c>
      <c r="O19" s="333">
        <v>5</v>
      </c>
      <c r="P19" s="333">
        <v>5</v>
      </c>
      <c r="Q19" s="333">
        <v>5</v>
      </c>
      <c r="R19" s="333">
        <v>5</v>
      </c>
      <c r="S19" s="333">
        <v>5</v>
      </c>
      <c r="T19" s="333">
        <v>5</v>
      </c>
      <c r="U19" s="333">
        <v>5</v>
      </c>
      <c r="V19" s="333">
        <v>5</v>
      </c>
      <c r="W19" s="333">
        <v>5</v>
      </c>
      <c r="X19" s="333">
        <v>5</v>
      </c>
      <c r="Y19" s="333">
        <v>5</v>
      </c>
      <c r="Z19" s="333">
        <v>5</v>
      </c>
      <c r="AA19" s="333">
        <v>5</v>
      </c>
      <c r="AB19" s="333">
        <v>5</v>
      </c>
      <c r="AC19" s="333">
        <v>5</v>
      </c>
      <c r="AD19" s="333">
        <v>5</v>
      </c>
      <c r="AE19" s="333">
        <v>5</v>
      </c>
      <c r="AF19" s="333">
        <v>5</v>
      </c>
      <c r="AG19" s="333">
        <v>5</v>
      </c>
      <c r="AH19" s="333">
        <v>5</v>
      </c>
      <c r="AI19" s="333">
        <v>5</v>
      </c>
      <c r="AJ19" s="333">
        <v>5</v>
      </c>
      <c r="AK19" s="333">
        <v>5</v>
      </c>
      <c r="AL19" s="333">
        <v>5</v>
      </c>
    </row>
    <row r="20" spans="1:38">
      <c r="G20" s="4" t="s">
        <v>687</v>
      </c>
      <c r="H20" s="4"/>
      <c r="I20" s="4"/>
      <c r="J20" s="4" t="s">
        <v>2663</v>
      </c>
      <c r="K20" s="355"/>
      <c r="L20" s="355"/>
      <c r="M20" s="355"/>
      <c r="N20" s="355"/>
      <c r="O20" s="355"/>
      <c r="P20" s="355"/>
      <c r="Q20" s="355"/>
      <c r="R20" s="355"/>
      <c r="S20" s="355"/>
      <c r="T20" s="355"/>
      <c r="U20" s="355"/>
      <c r="V20" s="355"/>
      <c r="W20" s="355"/>
      <c r="X20" s="355"/>
      <c r="Y20" s="355"/>
      <c r="Z20" s="355"/>
      <c r="AA20" s="355"/>
      <c r="AB20" s="355"/>
      <c r="AC20" s="355"/>
      <c r="AD20" s="355"/>
      <c r="AE20" s="355"/>
      <c r="AF20" s="355"/>
      <c r="AG20" s="355"/>
      <c r="AH20" s="355"/>
      <c r="AI20" s="355"/>
      <c r="AJ20" s="355"/>
      <c r="AK20" s="355"/>
      <c r="AL20" s="355"/>
    </row>
    <row r="21" spans="1:38">
      <c r="G21" s="4" t="s">
        <v>689</v>
      </c>
      <c r="H21" s="4"/>
      <c r="I21" s="4"/>
      <c r="J21" s="4" t="s">
        <v>2663</v>
      </c>
      <c r="K21" s="355"/>
      <c r="L21" s="355"/>
      <c r="M21" s="355"/>
      <c r="N21" s="355"/>
      <c r="O21" s="355"/>
      <c r="P21" s="355"/>
      <c r="Q21" s="355"/>
      <c r="R21" s="355"/>
      <c r="S21" s="355"/>
      <c r="T21" s="355"/>
      <c r="U21" s="355"/>
      <c r="V21" s="355"/>
      <c r="W21" s="355"/>
      <c r="X21" s="355"/>
      <c r="Y21" s="355"/>
      <c r="Z21" s="355"/>
      <c r="AA21" s="355"/>
      <c r="AB21" s="355"/>
      <c r="AC21" s="355"/>
      <c r="AD21" s="355"/>
      <c r="AE21" s="355"/>
      <c r="AF21" s="355"/>
      <c r="AG21" s="355"/>
      <c r="AH21" s="355"/>
      <c r="AI21" s="355"/>
      <c r="AJ21" s="355"/>
      <c r="AK21" s="355"/>
      <c r="AL21" s="355"/>
    </row>
    <row r="22" spans="1:38">
      <c r="G22" s="4" t="s">
        <v>675</v>
      </c>
      <c r="H22" s="4"/>
      <c r="I22" s="4"/>
      <c r="J22" s="4" t="s">
        <v>2662</v>
      </c>
      <c r="K22" s="398">
        <f>'Key input_Biofuel production'!$C$31*10^3</f>
        <v>1.4214261242982407</v>
      </c>
      <c r="L22" s="398">
        <f>'Key input_Biofuel production'!$C$31*10^3</f>
        <v>1.4214261242982407</v>
      </c>
      <c r="M22" s="398">
        <f>'Key input_Biofuel production'!$C$31*10^3</f>
        <v>1.4214261242982407</v>
      </c>
      <c r="N22" s="398">
        <f>'Key input_Biofuel production'!$C$31*10^3</f>
        <v>1.4214261242982407</v>
      </c>
      <c r="O22" s="398">
        <f>'Key input_Biofuel production'!$C$31*10^3</f>
        <v>1.4214261242982407</v>
      </c>
      <c r="P22" s="398">
        <f>'Key input_Biofuel production'!$C$31*10^3</f>
        <v>1.4214261242982407</v>
      </c>
      <c r="Q22" s="398">
        <f>'Key input_Biofuel production'!$C$31*10^3</f>
        <v>1.4214261242982407</v>
      </c>
      <c r="R22" s="398">
        <f>'Key input_Biofuel production'!$C$31*10^3</f>
        <v>1.4214261242982407</v>
      </c>
      <c r="S22" s="398">
        <f>'Key input_Biofuel production'!$C$31*10^3</f>
        <v>1.4214261242982407</v>
      </c>
      <c r="T22" s="398">
        <f>'Key input_Biofuel production'!$C$31*10^3</f>
        <v>1.4214261242982407</v>
      </c>
      <c r="U22" s="398">
        <f>'Key input_Biofuel production'!$C$31*10^3</f>
        <v>1.4214261242982407</v>
      </c>
      <c r="V22" s="398">
        <f>'Key input_Biofuel production'!$C$31*10^3</f>
        <v>1.4214261242982407</v>
      </c>
      <c r="W22" s="398">
        <f>'Key input_Biofuel production'!$C$31*10^3</f>
        <v>1.4214261242982407</v>
      </c>
      <c r="X22" s="398">
        <f>'Key input_Biofuel production'!$C$31*10^3</f>
        <v>1.4214261242982407</v>
      </c>
      <c r="Y22" s="398">
        <f>'Key input_Biofuel production'!$C$31*10^3</f>
        <v>1.4214261242982407</v>
      </c>
      <c r="Z22" s="398">
        <f>'Key input_Biofuel production'!$C$31*10^3</f>
        <v>1.4214261242982407</v>
      </c>
      <c r="AA22" s="398">
        <f>'Key input_Biofuel production'!$C$31*10^3</f>
        <v>1.4214261242982407</v>
      </c>
      <c r="AB22" s="398">
        <f>'Key input_Biofuel production'!$C$31*10^3</f>
        <v>1.4214261242982407</v>
      </c>
      <c r="AC22" s="398">
        <f>'Key input_Biofuel production'!$C$31*10^3</f>
        <v>1.4214261242982407</v>
      </c>
      <c r="AD22" s="398">
        <f>'Key input_Biofuel production'!$C$31*10^3</f>
        <v>1.4214261242982407</v>
      </c>
      <c r="AE22" s="398">
        <f>'Key input_Biofuel production'!$C$31*10^3</f>
        <v>1.4214261242982407</v>
      </c>
      <c r="AF22" s="398">
        <f>'Key input_Biofuel production'!$C$31*10^3</f>
        <v>1.4214261242982407</v>
      </c>
      <c r="AG22" s="398">
        <f>'Key input_Biofuel production'!$C$31*10^3</f>
        <v>1.4214261242982407</v>
      </c>
      <c r="AH22" s="398">
        <f>'Key input_Biofuel production'!$C$31*10^3</f>
        <v>1.4214261242982407</v>
      </c>
      <c r="AI22" s="398">
        <f>'Key input_Biofuel production'!$C$31*10^3</f>
        <v>1.4214261242982407</v>
      </c>
      <c r="AJ22" s="398">
        <f>'Key input_Biofuel production'!$C$31*10^3</f>
        <v>1.4214261242982407</v>
      </c>
      <c r="AK22" s="398">
        <f>'Key input_Biofuel production'!$C$31*10^3</f>
        <v>1.4214261242982407</v>
      </c>
      <c r="AL22" s="398">
        <f>'Key input_Biofuel production'!$C$31*10^3</f>
        <v>1.4214261242982407</v>
      </c>
    </row>
    <row r="23" spans="1:38">
      <c r="C23" t="str">
        <f>Commodities!$C$64</f>
        <v>BIOOLC</v>
      </c>
      <c r="D23" t="str">
        <f>Commodities!$C$77</f>
        <v>BIODSL</v>
      </c>
      <c r="G23" s="4" t="s">
        <v>630</v>
      </c>
      <c r="J23" t="s">
        <v>2666</v>
      </c>
      <c r="K23" s="331">
        <v>1</v>
      </c>
      <c r="L23" s="331">
        <v>1</v>
      </c>
      <c r="M23" s="331">
        <v>1</v>
      </c>
      <c r="N23" s="331">
        <v>1</v>
      </c>
      <c r="O23" s="331">
        <v>1</v>
      </c>
      <c r="P23" s="331">
        <v>1</v>
      </c>
      <c r="Q23" s="331">
        <v>1</v>
      </c>
      <c r="R23" s="331">
        <v>1</v>
      </c>
      <c r="S23" s="331">
        <v>1</v>
      </c>
      <c r="T23" s="331">
        <v>1</v>
      </c>
      <c r="U23" s="331">
        <v>1</v>
      </c>
      <c r="V23" s="331">
        <v>1</v>
      </c>
      <c r="W23" s="331">
        <v>1</v>
      </c>
      <c r="X23" s="331">
        <v>1</v>
      </c>
      <c r="Y23" s="331">
        <v>1</v>
      </c>
      <c r="Z23" s="331">
        <v>1</v>
      </c>
      <c r="AA23" s="331">
        <v>1</v>
      </c>
      <c r="AB23" s="331">
        <v>1</v>
      </c>
      <c r="AC23" s="331">
        <v>1</v>
      </c>
      <c r="AD23" s="331">
        <v>1</v>
      </c>
      <c r="AE23" s="331">
        <v>1</v>
      </c>
      <c r="AF23" s="331">
        <v>1</v>
      </c>
      <c r="AG23" s="331">
        <v>1</v>
      </c>
      <c r="AH23" s="331">
        <v>1</v>
      </c>
      <c r="AI23" s="331">
        <v>1</v>
      </c>
      <c r="AJ23" s="331">
        <v>1</v>
      </c>
      <c r="AK23" s="331">
        <v>1</v>
      </c>
      <c r="AL23" s="331">
        <v>1</v>
      </c>
    </row>
    <row r="24" spans="1:38">
      <c r="A24" s="4" t="str">
        <f>AO11</f>
        <v>U-TRF-BIODSL_TRD_01</v>
      </c>
      <c r="B24" s="4" t="str">
        <f>AP11</f>
        <v>UPS Transformation: Biodiesel - 1st gen production - Transesterification - Existing - With energy consumption</v>
      </c>
      <c r="C24" s="4"/>
      <c r="D24" s="4"/>
      <c r="E24" s="4"/>
      <c r="F24" s="4"/>
      <c r="G24" s="4" t="s">
        <v>695</v>
      </c>
      <c r="H24" s="4"/>
      <c r="I24" s="4"/>
      <c r="J24" s="4" t="s">
        <v>2665</v>
      </c>
      <c r="K24" s="333">
        <v>1</v>
      </c>
      <c r="L24" s="333">
        <v>1</v>
      </c>
      <c r="M24" s="333">
        <v>1</v>
      </c>
      <c r="N24" s="333">
        <v>1</v>
      </c>
      <c r="O24" s="333">
        <v>1</v>
      </c>
      <c r="P24" s="333">
        <v>1</v>
      </c>
      <c r="Q24" s="333">
        <v>1</v>
      </c>
      <c r="R24" s="333">
        <v>1</v>
      </c>
      <c r="S24" s="333">
        <v>1</v>
      </c>
      <c r="T24" s="333">
        <v>1</v>
      </c>
      <c r="U24" s="333">
        <v>1</v>
      </c>
      <c r="V24" s="333">
        <v>1</v>
      </c>
      <c r="W24" s="333">
        <v>1</v>
      </c>
      <c r="X24" s="333">
        <v>1</v>
      </c>
      <c r="Y24" s="333">
        <v>1</v>
      </c>
      <c r="Z24" s="333">
        <v>1</v>
      </c>
      <c r="AA24" s="333">
        <v>1</v>
      </c>
      <c r="AB24" s="333">
        <v>1</v>
      </c>
      <c r="AC24" s="333">
        <v>1</v>
      </c>
      <c r="AD24" s="333">
        <v>1</v>
      </c>
      <c r="AE24" s="333">
        <v>1</v>
      </c>
      <c r="AF24" s="333">
        <v>1</v>
      </c>
      <c r="AG24" s="333">
        <v>1</v>
      </c>
      <c r="AH24" s="333">
        <v>1</v>
      </c>
      <c r="AI24" s="333">
        <v>1</v>
      </c>
      <c r="AJ24" s="333">
        <v>1</v>
      </c>
      <c r="AK24" s="333">
        <v>1</v>
      </c>
      <c r="AL24" s="333">
        <v>1</v>
      </c>
    </row>
    <row r="25" spans="1:38">
      <c r="G25" s="4" t="s">
        <v>697</v>
      </c>
      <c r="H25" s="4"/>
      <c r="I25" s="4"/>
      <c r="J25" s="4" t="s">
        <v>698</v>
      </c>
      <c r="K25" s="424">
        <f>'Key input_Biofuel production'!$C$28</f>
        <v>10</v>
      </c>
      <c r="L25" s="424">
        <f>'Key input_Biofuel production'!$C$28</f>
        <v>10</v>
      </c>
      <c r="M25" s="424">
        <f>'Key input_Biofuel production'!$C$28</f>
        <v>10</v>
      </c>
      <c r="N25" s="424">
        <f>'Key input_Biofuel production'!$C$28</f>
        <v>10</v>
      </c>
      <c r="O25" s="424">
        <f>'Key input_Biofuel production'!$C$28</f>
        <v>10</v>
      </c>
      <c r="P25" s="424">
        <f>'Key input_Biofuel production'!$C$28</f>
        <v>10</v>
      </c>
      <c r="Q25" s="424">
        <f>'Key input_Biofuel production'!$C$28</f>
        <v>10</v>
      </c>
      <c r="R25" s="424">
        <f>'Key input_Biofuel production'!$C$28</f>
        <v>10</v>
      </c>
      <c r="S25" s="424">
        <f>'Key input_Biofuel production'!$C$28</f>
        <v>10</v>
      </c>
      <c r="T25" s="424">
        <f>'Key input_Biofuel production'!$C$28</f>
        <v>10</v>
      </c>
      <c r="U25" s="424">
        <f>'Key input_Biofuel production'!$C$28</f>
        <v>10</v>
      </c>
      <c r="V25" s="424">
        <f>'Key input_Biofuel production'!$C$28</f>
        <v>10</v>
      </c>
      <c r="W25" s="424">
        <f>'Key input_Biofuel production'!$C$28</f>
        <v>10</v>
      </c>
      <c r="X25" s="424">
        <f>'Key input_Biofuel production'!$C$28</f>
        <v>10</v>
      </c>
      <c r="Y25" s="424">
        <f>'Key input_Biofuel production'!$C$28</f>
        <v>10</v>
      </c>
      <c r="Z25" s="424">
        <f>'Key input_Biofuel production'!$C$28</f>
        <v>10</v>
      </c>
      <c r="AA25" s="424">
        <f>'Key input_Biofuel production'!$C$28</f>
        <v>10</v>
      </c>
      <c r="AB25" s="424">
        <f>'Key input_Biofuel production'!$C$28</f>
        <v>10</v>
      </c>
      <c r="AC25" s="424">
        <f>'Key input_Biofuel production'!$C$28</f>
        <v>10</v>
      </c>
      <c r="AD25" s="424">
        <f>'Key input_Biofuel production'!$C$28</f>
        <v>10</v>
      </c>
      <c r="AE25" s="424">
        <f>'Key input_Biofuel production'!$C$28</f>
        <v>10</v>
      </c>
      <c r="AF25" s="424">
        <f>'Key input_Biofuel production'!$C$28</f>
        <v>10</v>
      </c>
      <c r="AG25" s="424">
        <f>'Key input_Biofuel production'!$C$28</f>
        <v>10</v>
      </c>
      <c r="AH25" s="424">
        <f>'Key input_Biofuel production'!$C$28</f>
        <v>10</v>
      </c>
      <c r="AI25" s="424">
        <f>'Key input_Biofuel production'!$C$28</f>
        <v>10</v>
      </c>
      <c r="AJ25" s="424">
        <f>'Key input_Biofuel production'!$C$28</f>
        <v>10</v>
      </c>
      <c r="AK25" s="424">
        <f>'Key input_Biofuel production'!$C$28</f>
        <v>10</v>
      </c>
      <c r="AL25" s="424">
        <f>'Key input_Biofuel production'!$C$28</f>
        <v>10</v>
      </c>
    </row>
    <row r="26" spans="1:38">
      <c r="G26" s="4" t="s">
        <v>699</v>
      </c>
      <c r="H26" s="4"/>
      <c r="I26" s="4">
        <v>2019</v>
      </c>
      <c r="J26" s="4" t="s">
        <v>112</v>
      </c>
      <c r="K26" s="347">
        <f>K12</f>
        <v>0</v>
      </c>
      <c r="L26" s="347">
        <f t="shared" ref="L26:AL26" si="0">L12</f>
        <v>0</v>
      </c>
      <c r="M26" s="347">
        <f t="shared" si="0"/>
        <v>0</v>
      </c>
      <c r="N26" s="347">
        <f t="shared" si="0"/>
        <v>0</v>
      </c>
      <c r="O26" s="347">
        <f t="shared" si="0"/>
        <v>0.14899999999999999</v>
      </c>
      <c r="P26" s="347">
        <f t="shared" si="0"/>
        <v>0.01</v>
      </c>
      <c r="Q26" s="347">
        <f t="shared" si="0"/>
        <v>101.622</v>
      </c>
      <c r="R26" s="347">
        <f t="shared" si="0"/>
        <v>0</v>
      </c>
      <c r="S26" s="347">
        <f t="shared" si="0"/>
        <v>142.71100000000001</v>
      </c>
      <c r="T26" s="347">
        <f t="shared" si="0"/>
        <v>10.414999999999999</v>
      </c>
      <c r="U26" s="347">
        <f t="shared" si="0"/>
        <v>0</v>
      </c>
      <c r="V26" s="347">
        <f t="shared" si="0"/>
        <v>307.625</v>
      </c>
      <c r="W26" s="347">
        <f t="shared" si="0"/>
        <v>0.42399999999999999</v>
      </c>
      <c r="X26" s="347">
        <f t="shared" si="0"/>
        <v>35.655000000000001</v>
      </c>
      <c r="Y26" s="347">
        <f t="shared" si="0"/>
        <v>74.123999999999995</v>
      </c>
      <c r="Z26" s="347">
        <f t="shared" si="0"/>
        <v>223.74199999999999</v>
      </c>
      <c r="AA26" s="347">
        <f t="shared" si="0"/>
        <v>260.09899999999999</v>
      </c>
      <c r="AB26" s="347">
        <f t="shared" si="0"/>
        <v>238.98400000000001</v>
      </c>
      <c r="AC26" s="347">
        <f t="shared" si="0"/>
        <v>0</v>
      </c>
      <c r="AD26" s="347">
        <f t="shared" si="0"/>
        <v>0.33900000000000002</v>
      </c>
      <c r="AE26" s="347">
        <f t="shared" si="0"/>
        <v>100.062</v>
      </c>
      <c r="AF26" s="347">
        <f t="shared" si="0"/>
        <v>4.1840000000000002</v>
      </c>
      <c r="AG26" s="347">
        <f t="shared" si="0"/>
        <v>0</v>
      </c>
      <c r="AH26" s="347">
        <f t="shared" si="0"/>
        <v>0</v>
      </c>
      <c r="AI26" s="347">
        <f t="shared" si="0"/>
        <v>0</v>
      </c>
      <c r="AJ26" s="347">
        <f t="shared" si="0"/>
        <v>5.17</v>
      </c>
      <c r="AK26" s="347">
        <f t="shared" si="0"/>
        <v>35.137</v>
      </c>
      <c r="AL26" s="347">
        <f t="shared" si="0"/>
        <v>180.57900000000001</v>
      </c>
    </row>
    <row r="27" spans="1:38">
      <c r="G27" s="4" t="s">
        <v>632</v>
      </c>
      <c r="H27" s="4" t="s">
        <v>661</v>
      </c>
      <c r="I27" s="4">
        <v>2019</v>
      </c>
      <c r="J27" s="4" t="s">
        <v>112</v>
      </c>
      <c r="K27" s="421">
        <v>0</v>
      </c>
      <c r="L27" s="421">
        <v>0</v>
      </c>
      <c r="M27" s="421">
        <v>0</v>
      </c>
      <c r="N27" s="421">
        <v>0</v>
      </c>
      <c r="O27" s="421">
        <v>0</v>
      </c>
      <c r="P27" s="421">
        <v>0</v>
      </c>
      <c r="Q27" s="421">
        <v>0</v>
      </c>
      <c r="R27" s="421">
        <v>0</v>
      </c>
      <c r="S27" s="421">
        <v>0</v>
      </c>
      <c r="T27" s="421">
        <v>0</v>
      </c>
      <c r="U27" s="421">
        <v>0</v>
      </c>
      <c r="V27" s="421">
        <v>0</v>
      </c>
      <c r="W27" s="421">
        <v>0</v>
      </c>
      <c r="X27" s="421">
        <v>0</v>
      </c>
      <c r="Y27" s="421">
        <v>0</v>
      </c>
      <c r="Z27" s="421">
        <v>0</v>
      </c>
      <c r="AA27" s="421">
        <v>0</v>
      </c>
      <c r="AB27" s="421">
        <v>0</v>
      </c>
      <c r="AC27" s="421">
        <v>0</v>
      </c>
      <c r="AD27" s="421">
        <v>0</v>
      </c>
      <c r="AE27" s="421">
        <v>0</v>
      </c>
      <c r="AF27" s="421">
        <v>0</v>
      </c>
      <c r="AG27" s="421">
        <v>0</v>
      </c>
      <c r="AH27" s="421">
        <v>0</v>
      </c>
      <c r="AI27" s="421">
        <v>0</v>
      </c>
      <c r="AJ27" s="421">
        <v>0</v>
      </c>
      <c r="AK27" s="421">
        <v>0</v>
      </c>
      <c r="AL27" s="421">
        <v>0</v>
      </c>
    </row>
    <row r="28" spans="1:38">
      <c r="G28" s="4" t="s">
        <v>632</v>
      </c>
      <c r="H28" s="4" t="s">
        <v>661</v>
      </c>
      <c r="I28" s="4">
        <v>2020</v>
      </c>
      <c r="J28" s="4" t="s">
        <v>112</v>
      </c>
      <c r="K28" s="421">
        <v>1</v>
      </c>
      <c r="L28" s="421">
        <v>1</v>
      </c>
      <c r="M28" s="421">
        <v>1</v>
      </c>
      <c r="N28" s="421">
        <v>1</v>
      </c>
      <c r="O28" s="421">
        <v>1</v>
      </c>
      <c r="P28" s="421">
        <v>1</v>
      </c>
      <c r="Q28" s="421">
        <v>1</v>
      </c>
      <c r="R28" s="421">
        <v>1</v>
      </c>
      <c r="S28" s="421">
        <v>1</v>
      </c>
      <c r="T28" s="421">
        <v>1</v>
      </c>
      <c r="U28" s="421">
        <v>1</v>
      </c>
      <c r="V28" s="421">
        <v>1</v>
      </c>
      <c r="W28" s="421">
        <v>1</v>
      </c>
      <c r="X28" s="421">
        <v>1</v>
      </c>
      <c r="Y28" s="421">
        <v>1</v>
      </c>
      <c r="Z28" s="421">
        <v>1</v>
      </c>
      <c r="AA28" s="421">
        <v>1</v>
      </c>
      <c r="AB28" s="421">
        <v>1</v>
      </c>
      <c r="AC28" s="421">
        <v>1</v>
      </c>
      <c r="AD28" s="421">
        <v>1</v>
      </c>
      <c r="AE28" s="421">
        <v>1</v>
      </c>
      <c r="AF28" s="421">
        <v>1</v>
      </c>
      <c r="AG28" s="421">
        <v>1</v>
      </c>
      <c r="AH28" s="421">
        <v>1</v>
      </c>
      <c r="AI28" s="421">
        <v>1</v>
      </c>
      <c r="AJ28" s="421">
        <v>1</v>
      </c>
      <c r="AK28" s="421">
        <v>1</v>
      </c>
      <c r="AL28" s="421">
        <v>1</v>
      </c>
    </row>
    <row r="29" spans="1:38">
      <c r="G29" s="4" t="s">
        <v>632</v>
      </c>
      <c r="H29" s="4" t="s">
        <v>661</v>
      </c>
      <c r="I29" s="4">
        <v>2060</v>
      </c>
      <c r="J29" s="4" t="s">
        <v>112</v>
      </c>
      <c r="K29" s="421">
        <v>1</v>
      </c>
      <c r="L29" s="421">
        <v>1</v>
      </c>
      <c r="M29" s="421">
        <v>1</v>
      </c>
      <c r="N29" s="421">
        <v>1</v>
      </c>
      <c r="O29" s="421">
        <v>1</v>
      </c>
      <c r="P29" s="421">
        <v>1</v>
      </c>
      <c r="Q29" s="421">
        <v>1</v>
      </c>
      <c r="R29" s="421">
        <v>1</v>
      </c>
      <c r="S29" s="421">
        <v>1</v>
      </c>
      <c r="T29" s="421">
        <v>1</v>
      </c>
      <c r="U29" s="421">
        <v>1</v>
      </c>
      <c r="V29" s="421">
        <v>1</v>
      </c>
      <c r="W29" s="421">
        <v>1</v>
      </c>
      <c r="X29" s="421">
        <v>1</v>
      </c>
      <c r="Y29" s="421">
        <v>1</v>
      </c>
      <c r="Z29" s="421">
        <v>1</v>
      </c>
      <c r="AA29" s="421">
        <v>1</v>
      </c>
      <c r="AB29" s="421">
        <v>1</v>
      </c>
      <c r="AC29" s="421">
        <v>1</v>
      </c>
      <c r="AD29" s="421">
        <v>1</v>
      </c>
      <c r="AE29" s="421">
        <v>1</v>
      </c>
      <c r="AF29" s="421">
        <v>1</v>
      </c>
      <c r="AG29" s="421">
        <v>1</v>
      </c>
      <c r="AH29" s="421">
        <v>1</v>
      </c>
      <c r="AI29" s="421">
        <v>1</v>
      </c>
      <c r="AJ29" s="421">
        <v>1</v>
      </c>
      <c r="AK29" s="421">
        <v>1</v>
      </c>
      <c r="AL29" s="421">
        <v>1</v>
      </c>
    </row>
    <row r="30" spans="1:38">
      <c r="G30" s="4" t="s">
        <v>632</v>
      </c>
      <c r="H30" s="4" t="s">
        <v>661</v>
      </c>
      <c r="I30" s="4">
        <v>0</v>
      </c>
      <c r="J30" s="4"/>
      <c r="K30" s="421">
        <v>5</v>
      </c>
      <c r="L30" s="421">
        <v>5</v>
      </c>
      <c r="M30" s="421">
        <v>5</v>
      </c>
      <c r="N30" s="421">
        <v>5</v>
      </c>
      <c r="O30" s="421">
        <v>5</v>
      </c>
      <c r="P30" s="421">
        <v>5</v>
      </c>
      <c r="Q30" s="421">
        <v>5</v>
      </c>
      <c r="R30" s="421">
        <v>5</v>
      </c>
      <c r="S30" s="421">
        <v>5</v>
      </c>
      <c r="T30" s="421">
        <v>5</v>
      </c>
      <c r="U30" s="421">
        <v>5</v>
      </c>
      <c r="V30" s="421">
        <v>5</v>
      </c>
      <c r="W30" s="421">
        <v>5</v>
      </c>
      <c r="X30" s="421">
        <v>5</v>
      </c>
      <c r="Y30" s="421">
        <v>5</v>
      </c>
      <c r="Z30" s="421">
        <v>5</v>
      </c>
      <c r="AA30" s="421">
        <v>5</v>
      </c>
      <c r="AB30" s="421">
        <v>5</v>
      </c>
      <c r="AC30" s="421">
        <v>5</v>
      </c>
      <c r="AD30" s="421">
        <v>5</v>
      </c>
      <c r="AE30" s="421">
        <v>5</v>
      </c>
      <c r="AF30" s="421">
        <v>5</v>
      </c>
      <c r="AG30" s="421">
        <v>5</v>
      </c>
      <c r="AH30" s="421">
        <v>5</v>
      </c>
      <c r="AI30" s="421">
        <v>5</v>
      </c>
      <c r="AJ30" s="421">
        <v>5</v>
      </c>
      <c r="AK30" s="421">
        <v>5</v>
      </c>
      <c r="AL30" s="421">
        <v>5</v>
      </c>
    </row>
    <row r="31" spans="1:38">
      <c r="G31" s="4" t="s">
        <v>632</v>
      </c>
      <c r="H31" s="4" t="s">
        <v>700</v>
      </c>
      <c r="I31" s="4">
        <v>2019</v>
      </c>
      <c r="J31" s="4" t="s">
        <v>112</v>
      </c>
      <c r="K31" s="421">
        <v>0</v>
      </c>
      <c r="L31" s="421">
        <v>0</v>
      </c>
      <c r="M31" s="421">
        <v>0</v>
      </c>
      <c r="N31" s="421">
        <v>0</v>
      </c>
      <c r="O31" s="421">
        <v>0</v>
      </c>
      <c r="P31" s="421">
        <v>0</v>
      </c>
      <c r="Q31" s="421">
        <v>0</v>
      </c>
      <c r="R31" s="421">
        <v>0</v>
      </c>
      <c r="S31" s="421">
        <v>0</v>
      </c>
      <c r="T31" s="421">
        <v>0</v>
      </c>
      <c r="U31" s="421">
        <v>0</v>
      </c>
      <c r="V31" s="421">
        <v>0</v>
      </c>
      <c r="W31" s="421">
        <v>0</v>
      </c>
      <c r="X31" s="421">
        <v>0</v>
      </c>
      <c r="Y31" s="421">
        <v>0</v>
      </c>
      <c r="Z31" s="421">
        <v>0</v>
      </c>
      <c r="AA31" s="421">
        <v>0</v>
      </c>
      <c r="AB31" s="421">
        <v>0</v>
      </c>
      <c r="AC31" s="421">
        <v>0</v>
      </c>
      <c r="AD31" s="421">
        <v>0</v>
      </c>
      <c r="AE31" s="421">
        <v>0</v>
      </c>
      <c r="AF31" s="421">
        <v>0</v>
      </c>
      <c r="AG31" s="421">
        <v>0</v>
      </c>
      <c r="AH31" s="421">
        <v>0</v>
      </c>
      <c r="AI31" s="421">
        <v>0</v>
      </c>
      <c r="AJ31" s="421">
        <v>0</v>
      </c>
      <c r="AK31" s="421">
        <v>0</v>
      </c>
      <c r="AL31" s="421">
        <v>0</v>
      </c>
    </row>
    <row r="32" spans="1:38">
      <c r="G32" s="4" t="s">
        <v>632</v>
      </c>
      <c r="H32" s="4" t="s">
        <v>700</v>
      </c>
      <c r="I32" s="4">
        <v>2020</v>
      </c>
      <c r="J32" s="4" t="s">
        <v>112</v>
      </c>
      <c r="K32" s="421">
        <v>1</v>
      </c>
      <c r="L32" s="421">
        <v>1</v>
      </c>
      <c r="M32" s="421">
        <v>1</v>
      </c>
      <c r="N32" s="421">
        <v>1</v>
      </c>
      <c r="O32" s="421">
        <v>1</v>
      </c>
      <c r="P32" s="421">
        <v>1</v>
      </c>
      <c r="Q32" s="421">
        <v>1</v>
      </c>
      <c r="R32" s="421">
        <v>1</v>
      </c>
      <c r="S32" s="421">
        <v>1</v>
      </c>
      <c r="T32" s="421">
        <v>1</v>
      </c>
      <c r="U32" s="421">
        <v>1</v>
      </c>
      <c r="V32" s="421">
        <v>1</v>
      </c>
      <c r="W32" s="421">
        <v>1</v>
      </c>
      <c r="X32" s="421">
        <v>1</v>
      </c>
      <c r="Y32" s="421">
        <v>1</v>
      </c>
      <c r="Z32" s="421">
        <v>1</v>
      </c>
      <c r="AA32" s="421">
        <v>1</v>
      </c>
      <c r="AB32" s="421">
        <v>1</v>
      </c>
      <c r="AC32" s="421">
        <v>1</v>
      </c>
      <c r="AD32" s="421">
        <v>1</v>
      </c>
      <c r="AE32" s="421">
        <v>1</v>
      </c>
      <c r="AF32" s="421">
        <v>1</v>
      </c>
      <c r="AG32" s="421">
        <v>1</v>
      </c>
      <c r="AH32" s="421">
        <v>1</v>
      </c>
      <c r="AI32" s="421">
        <v>1</v>
      </c>
      <c r="AJ32" s="421">
        <v>1</v>
      </c>
      <c r="AK32" s="421">
        <v>1</v>
      </c>
      <c r="AL32" s="421">
        <v>1</v>
      </c>
    </row>
    <row r="33" spans="1:47">
      <c r="G33" s="4" t="s">
        <v>632</v>
      </c>
      <c r="H33" s="4" t="s">
        <v>700</v>
      </c>
      <c r="I33" s="4">
        <v>2060</v>
      </c>
      <c r="J33" s="4" t="s">
        <v>112</v>
      </c>
      <c r="K33" s="421">
        <v>0</v>
      </c>
      <c r="L33" s="421">
        <v>0</v>
      </c>
      <c r="M33" s="421">
        <v>0</v>
      </c>
      <c r="N33" s="421">
        <v>0</v>
      </c>
      <c r="O33" s="421">
        <v>0</v>
      </c>
      <c r="P33" s="421">
        <v>0</v>
      </c>
      <c r="Q33" s="421">
        <v>0</v>
      </c>
      <c r="R33" s="421">
        <v>0</v>
      </c>
      <c r="S33" s="421">
        <v>0</v>
      </c>
      <c r="T33" s="421">
        <v>0</v>
      </c>
      <c r="U33" s="421">
        <v>0</v>
      </c>
      <c r="V33" s="421">
        <v>0</v>
      </c>
      <c r="W33" s="421">
        <v>0</v>
      </c>
      <c r="X33" s="421">
        <v>0</v>
      </c>
      <c r="Y33" s="421">
        <v>0</v>
      </c>
      <c r="Z33" s="421">
        <v>0</v>
      </c>
      <c r="AA33" s="421">
        <v>0</v>
      </c>
      <c r="AB33" s="421">
        <v>0</v>
      </c>
      <c r="AC33" s="421">
        <v>0</v>
      </c>
      <c r="AD33" s="421">
        <v>0</v>
      </c>
      <c r="AE33" s="421">
        <v>0</v>
      </c>
      <c r="AF33" s="421">
        <v>0</v>
      </c>
      <c r="AG33" s="421">
        <v>0</v>
      </c>
      <c r="AH33" s="421">
        <v>0</v>
      </c>
      <c r="AI33" s="421">
        <v>0</v>
      </c>
      <c r="AJ33" s="421">
        <v>0</v>
      </c>
      <c r="AK33" s="421">
        <v>0</v>
      </c>
      <c r="AL33" s="421">
        <v>0</v>
      </c>
    </row>
    <row r="34" spans="1:47">
      <c r="G34" s="4" t="s">
        <v>632</v>
      </c>
      <c r="H34" s="4" t="s">
        <v>700</v>
      </c>
      <c r="I34" s="4">
        <v>0</v>
      </c>
      <c r="J34" s="4"/>
      <c r="K34" s="421">
        <v>5</v>
      </c>
      <c r="L34" s="421">
        <v>5</v>
      </c>
      <c r="M34" s="421">
        <v>5</v>
      </c>
      <c r="N34" s="421">
        <v>5</v>
      </c>
      <c r="O34" s="421">
        <v>5</v>
      </c>
      <c r="P34" s="421">
        <v>5</v>
      </c>
      <c r="Q34" s="421">
        <v>5</v>
      </c>
      <c r="R34" s="421">
        <v>5</v>
      </c>
      <c r="S34" s="421">
        <v>5</v>
      </c>
      <c r="T34" s="421">
        <v>5</v>
      </c>
      <c r="U34" s="421">
        <v>5</v>
      </c>
      <c r="V34" s="421">
        <v>5</v>
      </c>
      <c r="W34" s="421">
        <v>5</v>
      </c>
      <c r="X34" s="421">
        <v>5</v>
      </c>
      <c r="Y34" s="421">
        <v>5</v>
      </c>
      <c r="Z34" s="421">
        <v>5</v>
      </c>
      <c r="AA34" s="421">
        <v>5</v>
      </c>
      <c r="AB34" s="421">
        <v>5</v>
      </c>
      <c r="AC34" s="421">
        <v>5</v>
      </c>
      <c r="AD34" s="421">
        <v>5</v>
      </c>
      <c r="AE34" s="421">
        <v>5</v>
      </c>
      <c r="AF34" s="421">
        <v>5</v>
      </c>
      <c r="AG34" s="421">
        <v>5</v>
      </c>
      <c r="AH34" s="421">
        <v>5</v>
      </c>
      <c r="AI34" s="421">
        <v>5</v>
      </c>
      <c r="AJ34" s="421">
        <v>5</v>
      </c>
      <c r="AK34" s="421">
        <v>5</v>
      </c>
      <c r="AL34" s="421">
        <v>5</v>
      </c>
    </row>
    <row r="35" spans="1:47">
      <c r="G35" s="4" t="s">
        <v>701</v>
      </c>
      <c r="H35" s="4" t="s">
        <v>661</v>
      </c>
      <c r="I35" s="4">
        <v>2019</v>
      </c>
      <c r="J35" s="4" t="s">
        <v>112</v>
      </c>
      <c r="K35" s="333">
        <v>0</v>
      </c>
      <c r="L35" s="333">
        <v>0</v>
      </c>
      <c r="M35" s="333">
        <v>0</v>
      </c>
      <c r="N35" s="333">
        <v>0</v>
      </c>
      <c r="O35" s="333">
        <v>0</v>
      </c>
      <c r="P35" s="333">
        <v>0</v>
      </c>
      <c r="Q35" s="333">
        <v>0</v>
      </c>
      <c r="R35" s="333">
        <v>0</v>
      </c>
      <c r="S35" s="333">
        <v>0</v>
      </c>
      <c r="T35" s="333">
        <v>0</v>
      </c>
      <c r="U35" s="333">
        <v>0</v>
      </c>
      <c r="V35" s="333">
        <v>0</v>
      </c>
      <c r="W35" s="333">
        <v>0</v>
      </c>
      <c r="X35" s="333">
        <v>0</v>
      </c>
      <c r="Y35" s="333">
        <v>0</v>
      </c>
      <c r="Z35" s="333">
        <v>0</v>
      </c>
      <c r="AA35" s="333">
        <v>0</v>
      </c>
      <c r="AB35" s="333">
        <v>0</v>
      </c>
      <c r="AC35" s="333">
        <v>0</v>
      </c>
      <c r="AD35" s="333">
        <v>0</v>
      </c>
      <c r="AE35" s="333">
        <v>0</v>
      </c>
      <c r="AF35" s="333">
        <v>0</v>
      </c>
      <c r="AG35" s="333">
        <v>0</v>
      </c>
      <c r="AH35" s="333">
        <v>0</v>
      </c>
      <c r="AI35" s="333">
        <v>0</v>
      </c>
      <c r="AJ35" s="333">
        <v>0</v>
      </c>
      <c r="AK35" s="333">
        <v>0</v>
      </c>
      <c r="AL35" s="333">
        <v>0</v>
      </c>
    </row>
    <row r="36" spans="1:47">
      <c r="G36" s="4" t="s">
        <v>701</v>
      </c>
      <c r="H36" s="4" t="s">
        <v>661</v>
      </c>
      <c r="I36" s="4">
        <v>2060</v>
      </c>
      <c r="J36" s="4" t="s">
        <v>112</v>
      </c>
      <c r="K36" s="333">
        <v>0</v>
      </c>
      <c r="L36" s="333">
        <v>0</v>
      </c>
      <c r="M36" s="333">
        <v>0</v>
      </c>
      <c r="N36" s="333">
        <v>0</v>
      </c>
      <c r="O36" s="333">
        <v>0</v>
      </c>
      <c r="P36" s="333">
        <v>0</v>
      </c>
      <c r="Q36" s="333">
        <v>0</v>
      </c>
      <c r="R36" s="333">
        <v>0</v>
      </c>
      <c r="S36" s="333">
        <v>0</v>
      </c>
      <c r="T36" s="333">
        <v>0</v>
      </c>
      <c r="U36" s="333">
        <v>0</v>
      </c>
      <c r="V36" s="333">
        <v>0</v>
      </c>
      <c r="W36" s="333">
        <v>0</v>
      </c>
      <c r="X36" s="333">
        <v>0</v>
      </c>
      <c r="Y36" s="333">
        <v>0</v>
      </c>
      <c r="Z36" s="333">
        <v>0</v>
      </c>
      <c r="AA36" s="333">
        <v>0</v>
      </c>
      <c r="AB36" s="333">
        <v>0</v>
      </c>
      <c r="AC36" s="333">
        <v>0</v>
      </c>
      <c r="AD36" s="333">
        <v>0</v>
      </c>
      <c r="AE36" s="333">
        <v>0</v>
      </c>
      <c r="AF36" s="333">
        <v>0</v>
      </c>
      <c r="AG36" s="333">
        <v>0</v>
      </c>
      <c r="AH36" s="333">
        <v>0</v>
      </c>
      <c r="AI36" s="333">
        <v>0</v>
      </c>
      <c r="AJ36" s="333">
        <v>0</v>
      </c>
      <c r="AK36" s="333">
        <v>0</v>
      </c>
      <c r="AL36" s="333">
        <v>0</v>
      </c>
    </row>
    <row r="37" spans="1:47">
      <c r="G37" s="4" t="s">
        <v>701</v>
      </c>
      <c r="H37" s="4" t="s">
        <v>661</v>
      </c>
      <c r="I37" s="4">
        <v>0</v>
      </c>
      <c r="J37" s="4"/>
      <c r="K37" s="333">
        <v>5</v>
      </c>
      <c r="L37" s="333">
        <v>5</v>
      </c>
      <c r="M37" s="333">
        <v>5</v>
      </c>
      <c r="N37" s="333">
        <v>5</v>
      </c>
      <c r="O37" s="333">
        <v>5</v>
      </c>
      <c r="P37" s="333">
        <v>5</v>
      </c>
      <c r="Q37" s="333">
        <v>5</v>
      </c>
      <c r="R37" s="333">
        <v>5</v>
      </c>
      <c r="S37" s="333">
        <v>5</v>
      </c>
      <c r="T37" s="333">
        <v>5</v>
      </c>
      <c r="U37" s="333">
        <v>5</v>
      </c>
      <c r="V37" s="333">
        <v>5</v>
      </c>
      <c r="W37" s="333">
        <v>5</v>
      </c>
      <c r="X37" s="333">
        <v>5</v>
      </c>
      <c r="Y37" s="333">
        <v>5</v>
      </c>
      <c r="Z37" s="333">
        <v>5</v>
      </c>
      <c r="AA37" s="333">
        <v>5</v>
      </c>
      <c r="AB37" s="333">
        <v>5</v>
      </c>
      <c r="AC37" s="333">
        <v>5</v>
      </c>
      <c r="AD37" s="333">
        <v>5</v>
      </c>
      <c r="AE37" s="333">
        <v>5</v>
      </c>
      <c r="AF37" s="333">
        <v>5</v>
      </c>
      <c r="AG37" s="333">
        <v>5</v>
      </c>
      <c r="AH37" s="333">
        <v>5</v>
      </c>
      <c r="AI37" s="333">
        <v>5</v>
      </c>
      <c r="AJ37" s="333">
        <v>5</v>
      </c>
      <c r="AK37" s="333">
        <v>5</v>
      </c>
      <c r="AL37" s="333">
        <v>5</v>
      </c>
    </row>
    <row r="38" spans="1:47">
      <c r="G38" s="4" t="s">
        <v>687</v>
      </c>
      <c r="H38" s="4"/>
      <c r="I38" s="4"/>
      <c r="J38" s="4" t="s">
        <v>2663</v>
      </c>
      <c r="K38" s="398">
        <f>'Key input_Biofuel production'!$C$29*10^3</f>
        <v>6.2818079776226918</v>
      </c>
      <c r="L38" s="398">
        <f>'Key input_Biofuel production'!$C$29*10^3</f>
        <v>6.2818079776226918</v>
      </c>
      <c r="M38" s="398">
        <f>'Key input_Biofuel production'!$C$29*10^3</f>
        <v>6.2818079776226918</v>
      </c>
      <c r="N38" s="398">
        <f>'Key input_Biofuel production'!$C$29*10^3</f>
        <v>6.2818079776226918</v>
      </c>
      <c r="O38" s="398">
        <f>'Key input_Biofuel production'!$C$29*10^3</f>
        <v>6.2818079776226918</v>
      </c>
      <c r="P38" s="398">
        <f>'Key input_Biofuel production'!$C$29*10^3</f>
        <v>6.2818079776226918</v>
      </c>
      <c r="Q38" s="398">
        <f>'Key input_Biofuel production'!$C$29*10^3</f>
        <v>6.2818079776226918</v>
      </c>
      <c r="R38" s="398">
        <f>'Key input_Biofuel production'!$C$29*10^3</f>
        <v>6.2818079776226918</v>
      </c>
      <c r="S38" s="398">
        <f>'Key input_Biofuel production'!$C$29*10^3</f>
        <v>6.2818079776226918</v>
      </c>
      <c r="T38" s="398">
        <f>'Key input_Biofuel production'!$C$29*10^3</f>
        <v>6.2818079776226918</v>
      </c>
      <c r="U38" s="398">
        <f>'Key input_Biofuel production'!$C$29*10^3</f>
        <v>6.2818079776226918</v>
      </c>
      <c r="V38" s="398">
        <f>'Key input_Biofuel production'!$C$29*10^3</f>
        <v>6.2818079776226918</v>
      </c>
      <c r="W38" s="398">
        <f>'Key input_Biofuel production'!$C$29*10^3</f>
        <v>6.2818079776226918</v>
      </c>
      <c r="X38" s="398">
        <f>'Key input_Biofuel production'!$C$29*10^3</f>
        <v>6.2818079776226918</v>
      </c>
      <c r="Y38" s="398">
        <f>'Key input_Biofuel production'!$C$29*10^3</f>
        <v>6.2818079776226918</v>
      </c>
      <c r="Z38" s="398">
        <f>'Key input_Biofuel production'!$C$29*10^3</f>
        <v>6.2818079776226918</v>
      </c>
      <c r="AA38" s="398">
        <f>'Key input_Biofuel production'!$C$29*10^3</f>
        <v>6.2818079776226918</v>
      </c>
      <c r="AB38" s="398">
        <f>'Key input_Biofuel production'!$C$29*10^3</f>
        <v>6.2818079776226918</v>
      </c>
      <c r="AC38" s="398">
        <f>'Key input_Biofuel production'!$C$29*10^3</f>
        <v>6.2818079776226918</v>
      </c>
      <c r="AD38" s="398">
        <f>'Key input_Biofuel production'!$C$29*10^3</f>
        <v>6.2818079776226918</v>
      </c>
      <c r="AE38" s="398">
        <f>'Key input_Biofuel production'!$C$29*10^3</f>
        <v>6.2818079776226918</v>
      </c>
      <c r="AF38" s="398">
        <f>'Key input_Biofuel production'!$C$29*10^3</f>
        <v>6.2818079776226918</v>
      </c>
      <c r="AG38" s="398">
        <f>'Key input_Biofuel production'!$C$29*10^3</f>
        <v>6.2818079776226918</v>
      </c>
      <c r="AH38" s="398">
        <f>'Key input_Biofuel production'!$C$29*10^3</f>
        <v>6.2818079776226918</v>
      </c>
      <c r="AI38" s="398">
        <f>'Key input_Biofuel production'!$C$29*10^3</f>
        <v>6.2818079776226918</v>
      </c>
      <c r="AJ38" s="398">
        <f>'Key input_Biofuel production'!$C$29*10^3</f>
        <v>6.2818079776226918</v>
      </c>
      <c r="AK38" s="398">
        <f>'Key input_Biofuel production'!$C$29*10^3</f>
        <v>6.2818079776226918</v>
      </c>
      <c r="AL38" s="398">
        <f>'Key input_Biofuel production'!$C$29*10^3</f>
        <v>6.2818079776226918</v>
      </c>
    </row>
    <row r="39" spans="1:47">
      <c r="G39" s="4" t="s">
        <v>689</v>
      </c>
      <c r="H39" s="4"/>
      <c r="I39" s="4"/>
      <c r="J39" s="4" t="s">
        <v>2663</v>
      </c>
      <c r="K39" s="398">
        <f>'Key input_Biofuel production'!$C$30*10^3</f>
        <v>2.5835606001584388</v>
      </c>
      <c r="L39" s="398">
        <f>'Key input_Biofuel production'!$C$30*10^3</f>
        <v>2.5835606001584388</v>
      </c>
      <c r="M39" s="398">
        <f>'Key input_Biofuel production'!$C$30*10^3</f>
        <v>2.5835606001584388</v>
      </c>
      <c r="N39" s="398">
        <f>'Key input_Biofuel production'!$C$30*10^3</f>
        <v>2.5835606001584388</v>
      </c>
      <c r="O39" s="398">
        <f>'Key input_Biofuel production'!$C$30*10^3</f>
        <v>2.5835606001584388</v>
      </c>
      <c r="P39" s="398">
        <f>'Key input_Biofuel production'!$C$30*10^3</f>
        <v>2.5835606001584388</v>
      </c>
      <c r="Q39" s="398">
        <f>'Key input_Biofuel production'!$C$30*10^3</f>
        <v>2.5835606001584388</v>
      </c>
      <c r="R39" s="398">
        <f>'Key input_Biofuel production'!$C$30*10^3</f>
        <v>2.5835606001584388</v>
      </c>
      <c r="S39" s="398">
        <f>'Key input_Biofuel production'!$C$30*10^3</f>
        <v>2.5835606001584388</v>
      </c>
      <c r="T39" s="398">
        <f>'Key input_Biofuel production'!$C$30*10^3</f>
        <v>2.5835606001584388</v>
      </c>
      <c r="U39" s="398">
        <f>'Key input_Biofuel production'!$C$30*10^3</f>
        <v>2.5835606001584388</v>
      </c>
      <c r="V39" s="398">
        <f>'Key input_Biofuel production'!$C$30*10^3</f>
        <v>2.5835606001584388</v>
      </c>
      <c r="W39" s="398">
        <f>'Key input_Biofuel production'!$C$30*10^3</f>
        <v>2.5835606001584388</v>
      </c>
      <c r="X39" s="398">
        <f>'Key input_Biofuel production'!$C$30*10^3</f>
        <v>2.5835606001584388</v>
      </c>
      <c r="Y39" s="398">
        <f>'Key input_Biofuel production'!$C$30*10^3</f>
        <v>2.5835606001584388</v>
      </c>
      <c r="Z39" s="398">
        <f>'Key input_Biofuel production'!$C$30*10^3</f>
        <v>2.5835606001584388</v>
      </c>
      <c r="AA39" s="398">
        <f>'Key input_Biofuel production'!$C$30*10^3</f>
        <v>2.5835606001584388</v>
      </c>
      <c r="AB39" s="398">
        <f>'Key input_Biofuel production'!$C$30*10^3</f>
        <v>2.5835606001584388</v>
      </c>
      <c r="AC39" s="398">
        <f>'Key input_Biofuel production'!$C$30*10^3</f>
        <v>2.5835606001584388</v>
      </c>
      <c r="AD39" s="398">
        <f>'Key input_Biofuel production'!$C$30*10^3</f>
        <v>2.5835606001584388</v>
      </c>
      <c r="AE39" s="398">
        <f>'Key input_Biofuel production'!$C$30*10^3</f>
        <v>2.5835606001584388</v>
      </c>
      <c r="AF39" s="398">
        <f>'Key input_Biofuel production'!$C$30*10^3</f>
        <v>2.5835606001584388</v>
      </c>
      <c r="AG39" s="398">
        <f>'Key input_Biofuel production'!$C$30*10^3</f>
        <v>2.5835606001584388</v>
      </c>
      <c r="AH39" s="398">
        <f>'Key input_Biofuel production'!$C$30*10^3</f>
        <v>2.5835606001584388</v>
      </c>
      <c r="AI39" s="398">
        <f>'Key input_Biofuel production'!$C$30*10^3</f>
        <v>2.5835606001584388</v>
      </c>
      <c r="AJ39" s="398">
        <f>'Key input_Biofuel production'!$C$30*10^3</f>
        <v>2.5835606001584388</v>
      </c>
      <c r="AK39" s="398">
        <f>'Key input_Biofuel production'!$C$30*10^3</f>
        <v>2.5835606001584388</v>
      </c>
      <c r="AL39" s="398">
        <f>'Key input_Biofuel production'!$C$30*10^3</f>
        <v>2.5835606001584388</v>
      </c>
    </row>
    <row r="40" spans="1:47">
      <c r="G40" s="4" t="s">
        <v>675</v>
      </c>
      <c r="H40" s="4"/>
      <c r="I40" s="4"/>
      <c r="J40" s="4" t="s">
        <v>2662</v>
      </c>
      <c r="K40" s="398">
        <f>'Key input_Biofuel production'!$C$31*10^3</f>
        <v>1.4214261242982407</v>
      </c>
      <c r="L40" s="398">
        <f>'Key input_Biofuel production'!$C$31*10^3</f>
        <v>1.4214261242982407</v>
      </c>
      <c r="M40" s="398">
        <f>'Key input_Biofuel production'!$C$31*10^3</f>
        <v>1.4214261242982407</v>
      </c>
      <c r="N40" s="398">
        <f>'Key input_Biofuel production'!$C$31*10^3</f>
        <v>1.4214261242982407</v>
      </c>
      <c r="O40" s="398">
        <f>'Key input_Biofuel production'!$C$31*10^3</f>
        <v>1.4214261242982407</v>
      </c>
      <c r="P40" s="398">
        <f>'Key input_Biofuel production'!$C$31*10^3</f>
        <v>1.4214261242982407</v>
      </c>
      <c r="Q40" s="398">
        <f>'Key input_Biofuel production'!$C$31*10^3</f>
        <v>1.4214261242982407</v>
      </c>
      <c r="R40" s="398">
        <f>'Key input_Biofuel production'!$C$31*10^3</f>
        <v>1.4214261242982407</v>
      </c>
      <c r="S40" s="398">
        <f>'Key input_Biofuel production'!$C$31*10^3</f>
        <v>1.4214261242982407</v>
      </c>
      <c r="T40" s="398">
        <f>'Key input_Biofuel production'!$C$31*10^3</f>
        <v>1.4214261242982407</v>
      </c>
      <c r="U40" s="398">
        <f>'Key input_Biofuel production'!$C$31*10^3</f>
        <v>1.4214261242982407</v>
      </c>
      <c r="V40" s="398">
        <f>'Key input_Biofuel production'!$C$31*10^3</f>
        <v>1.4214261242982407</v>
      </c>
      <c r="W40" s="398">
        <f>'Key input_Biofuel production'!$C$31*10^3</f>
        <v>1.4214261242982407</v>
      </c>
      <c r="X40" s="398">
        <f>'Key input_Biofuel production'!$C$31*10^3</f>
        <v>1.4214261242982407</v>
      </c>
      <c r="Y40" s="398">
        <f>'Key input_Biofuel production'!$C$31*10^3</f>
        <v>1.4214261242982407</v>
      </c>
      <c r="Z40" s="398">
        <f>'Key input_Biofuel production'!$C$31*10^3</f>
        <v>1.4214261242982407</v>
      </c>
      <c r="AA40" s="398">
        <f>'Key input_Biofuel production'!$C$31*10^3</f>
        <v>1.4214261242982407</v>
      </c>
      <c r="AB40" s="398">
        <f>'Key input_Biofuel production'!$C$31*10^3</f>
        <v>1.4214261242982407</v>
      </c>
      <c r="AC40" s="398">
        <f>'Key input_Biofuel production'!$C$31*10^3</f>
        <v>1.4214261242982407</v>
      </c>
      <c r="AD40" s="398">
        <f>'Key input_Biofuel production'!$C$31*10^3</f>
        <v>1.4214261242982407</v>
      </c>
      <c r="AE40" s="398">
        <f>'Key input_Biofuel production'!$C$31*10^3</f>
        <v>1.4214261242982407</v>
      </c>
      <c r="AF40" s="398">
        <f>'Key input_Biofuel production'!$C$31*10^3</f>
        <v>1.4214261242982407</v>
      </c>
      <c r="AG40" s="398">
        <f>'Key input_Biofuel production'!$C$31*10^3</f>
        <v>1.4214261242982407</v>
      </c>
      <c r="AH40" s="398">
        <f>'Key input_Biofuel production'!$C$31*10^3</f>
        <v>1.4214261242982407</v>
      </c>
      <c r="AI40" s="398">
        <f>'Key input_Biofuel production'!$C$31*10^3</f>
        <v>1.4214261242982407</v>
      </c>
      <c r="AJ40" s="398">
        <f>'Key input_Biofuel production'!$C$31*10^3</f>
        <v>1.4214261242982407</v>
      </c>
      <c r="AK40" s="398">
        <f>'Key input_Biofuel production'!$C$31*10^3</f>
        <v>1.4214261242982407</v>
      </c>
      <c r="AL40" s="398">
        <f>'Key input_Biofuel production'!$C$31*10^3</f>
        <v>1.4214261242982407</v>
      </c>
    </row>
    <row r="41" spans="1:47">
      <c r="C41" t="str">
        <f>Commodities!$C$64</f>
        <v>BIOOLC</v>
      </c>
      <c r="D41" t="str">
        <f>Commodities!$C$77</f>
        <v>BIODSL</v>
      </c>
      <c r="G41" s="4" t="s">
        <v>690</v>
      </c>
      <c r="J41" t="s">
        <v>2666</v>
      </c>
      <c r="K41" s="331">
        <v>1</v>
      </c>
      <c r="L41" s="331">
        <v>1</v>
      </c>
      <c r="M41" s="331">
        <v>1</v>
      </c>
      <c r="N41" s="331">
        <v>1</v>
      </c>
      <c r="O41" s="331">
        <v>1</v>
      </c>
      <c r="P41" s="331">
        <v>1</v>
      </c>
      <c r="Q41" s="331">
        <v>1</v>
      </c>
      <c r="R41" s="331">
        <v>1</v>
      </c>
      <c r="S41" s="331">
        <v>1</v>
      </c>
      <c r="T41" s="331">
        <v>1</v>
      </c>
      <c r="U41" s="331">
        <v>1</v>
      </c>
      <c r="V41" s="331">
        <v>1</v>
      </c>
      <c r="W41" s="331">
        <v>1</v>
      </c>
      <c r="X41" s="331">
        <v>1</v>
      </c>
      <c r="Y41" s="331">
        <v>1</v>
      </c>
      <c r="Z41" s="331">
        <v>1</v>
      </c>
      <c r="AA41" s="331">
        <v>1</v>
      </c>
      <c r="AB41" s="331">
        <v>1</v>
      </c>
      <c r="AC41" s="331">
        <v>1</v>
      </c>
      <c r="AD41" s="331">
        <v>1</v>
      </c>
      <c r="AE41" s="331">
        <v>1</v>
      </c>
      <c r="AF41" s="331">
        <v>1</v>
      </c>
      <c r="AG41" s="331">
        <v>1</v>
      </c>
      <c r="AH41" s="331">
        <v>1</v>
      </c>
      <c r="AI41" s="331">
        <v>1</v>
      </c>
      <c r="AJ41" s="331">
        <v>1</v>
      </c>
      <c r="AK41" s="331">
        <v>1</v>
      </c>
      <c r="AL41" s="331">
        <v>1</v>
      </c>
      <c r="AN41" s="4"/>
      <c r="AO41" s="4"/>
      <c r="AP41" s="4"/>
      <c r="AQ41" s="4"/>
      <c r="AR41" s="4"/>
      <c r="AS41" s="4"/>
      <c r="AT41" s="4"/>
      <c r="AU41" s="4"/>
    </row>
    <row r="42" spans="1:47">
      <c r="E42" s="4" t="s">
        <v>359</v>
      </c>
      <c r="F42" s="4" t="s">
        <v>691</v>
      </c>
      <c r="G42" s="4" t="s">
        <v>692</v>
      </c>
      <c r="I42">
        <v>2020</v>
      </c>
      <c r="J42" t="s">
        <v>2667</v>
      </c>
      <c r="K42" s="209">
        <f>1/'Key input_Biofuel production'!$C$27</f>
        <v>25.066312997347477</v>
      </c>
      <c r="L42" s="209">
        <f>1/'Key input_Biofuel production'!$C$27</f>
        <v>25.066312997347477</v>
      </c>
      <c r="M42" s="209">
        <f>1/'Key input_Biofuel production'!$C$27</f>
        <v>25.066312997347477</v>
      </c>
      <c r="N42" s="209">
        <f>1/'Key input_Biofuel production'!$C$27</f>
        <v>25.066312997347477</v>
      </c>
      <c r="O42" s="209">
        <f>1/'Key input_Biofuel production'!$C$27</f>
        <v>25.066312997347477</v>
      </c>
      <c r="P42" s="209">
        <f>1/'Key input_Biofuel production'!$C$27</f>
        <v>25.066312997347477</v>
      </c>
      <c r="Q42" s="209">
        <f>1/'Key input_Biofuel production'!$C$27</f>
        <v>25.066312997347477</v>
      </c>
      <c r="R42" s="209">
        <f>1/'Key input_Biofuel production'!$C$27</f>
        <v>25.066312997347477</v>
      </c>
      <c r="S42" s="209">
        <f>1/'Key input_Biofuel production'!$C$27</f>
        <v>25.066312997347477</v>
      </c>
      <c r="T42" s="209">
        <f>1/'Key input_Biofuel production'!$C$27</f>
        <v>25.066312997347477</v>
      </c>
      <c r="U42" s="209">
        <f>1/'Key input_Biofuel production'!$C$27</f>
        <v>25.066312997347477</v>
      </c>
      <c r="V42" s="209">
        <f>1/'Key input_Biofuel production'!$C$27</f>
        <v>25.066312997347477</v>
      </c>
      <c r="W42" s="209">
        <f>1/'Key input_Biofuel production'!$C$27</f>
        <v>25.066312997347477</v>
      </c>
      <c r="X42" s="209">
        <f>1/'Key input_Biofuel production'!$C$27</f>
        <v>25.066312997347477</v>
      </c>
      <c r="Y42" s="209">
        <f>1/'Key input_Biofuel production'!$C$27</f>
        <v>25.066312997347477</v>
      </c>
      <c r="Z42" s="209">
        <f>1/'Key input_Biofuel production'!$C$27</f>
        <v>25.066312997347477</v>
      </c>
      <c r="AA42" s="209">
        <f>1/'Key input_Biofuel production'!$C$27</f>
        <v>25.066312997347477</v>
      </c>
      <c r="AB42" s="209">
        <f>1/'Key input_Biofuel production'!$C$27</f>
        <v>25.066312997347477</v>
      </c>
      <c r="AC42" s="209">
        <f>1/'Key input_Biofuel production'!$C$27</f>
        <v>25.066312997347477</v>
      </c>
      <c r="AD42" s="209">
        <f>1/'Key input_Biofuel production'!$C$27</f>
        <v>25.066312997347477</v>
      </c>
      <c r="AE42" s="209">
        <f>1/'Key input_Biofuel production'!$C$27</f>
        <v>25.066312997347477</v>
      </c>
      <c r="AF42" s="209">
        <f>1/'Key input_Biofuel production'!$C$27</f>
        <v>25.066312997347477</v>
      </c>
      <c r="AG42" s="209">
        <f>1/'Key input_Biofuel production'!$C$27</f>
        <v>25.066312997347477</v>
      </c>
      <c r="AH42" s="209">
        <f>1/'Key input_Biofuel production'!$C$27</f>
        <v>25.066312997347477</v>
      </c>
      <c r="AI42" s="209">
        <f>1/'Key input_Biofuel production'!$C$27</f>
        <v>25.066312997347477</v>
      </c>
      <c r="AJ42" s="209">
        <f>1/'Key input_Biofuel production'!$C$27</f>
        <v>25.066312997347477</v>
      </c>
      <c r="AK42" s="209">
        <f>1/'Key input_Biofuel production'!$C$27</f>
        <v>25.066312997347477</v>
      </c>
      <c r="AL42" s="209">
        <f>1/'Key input_Biofuel production'!$C$27</f>
        <v>25.066312997347477</v>
      </c>
    </row>
    <row r="43" spans="1:47">
      <c r="C43" t="str">
        <f>Commodities!$C$91</f>
        <v>UPSELC</v>
      </c>
      <c r="F43" t="s">
        <v>359</v>
      </c>
      <c r="G43" s="4" t="s">
        <v>702</v>
      </c>
      <c r="H43" t="s">
        <v>661</v>
      </c>
      <c r="I43">
        <v>2020</v>
      </c>
      <c r="J43" s="4" t="s">
        <v>650</v>
      </c>
      <c r="K43" s="209">
        <f>'Key input_Biofuel production'!$C$24/SUM('Key input_Biofuel production'!$C$24:$C$25)</f>
        <v>7.161803713527852E-2</v>
      </c>
      <c r="L43" s="209">
        <f>'Key input_Biofuel production'!$C$24/SUM('Key input_Biofuel production'!$C$24:$C$25)</f>
        <v>7.161803713527852E-2</v>
      </c>
      <c r="M43" s="209">
        <f>'Key input_Biofuel production'!$C$24/SUM('Key input_Biofuel production'!$C$24:$C$25)</f>
        <v>7.161803713527852E-2</v>
      </c>
      <c r="N43" s="209">
        <f>'Key input_Biofuel production'!$C$24/SUM('Key input_Biofuel production'!$C$24:$C$25)</f>
        <v>7.161803713527852E-2</v>
      </c>
      <c r="O43" s="209">
        <f>'Key input_Biofuel production'!$C$24/SUM('Key input_Biofuel production'!$C$24:$C$25)</f>
        <v>7.161803713527852E-2</v>
      </c>
      <c r="P43" s="209">
        <f>'Key input_Biofuel production'!$C$24/SUM('Key input_Biofuel production'!$C$24:$C$25)</f>
        <v>7.161803713527852E-2</v>
      </c>
      <c r="Q43" s="209">
        <f>'Key input_Biofuel production'!$C$24/SUM('Key input_Biofuel production'!$C$24:$C$25)</f>
        <v>7.161803713527852E-2</v>
      </c>
      <c r="R43" s="209">
        <f>'Key input_Biofuel production'!$C$24/SUM('Key input_Biofuel production'!$C$24:$C$25)</f>
        <v>7.161803713527852E-2</v>
      </c>
      <c r="S43" s="209">
        <f>'Key input_Biofuel production'!$C$24/SUM('Key input_Biofuel production'!$C$24:$C$25)</f>
        <v>7.161803713527852E-2</v>
      </c>
      <c r="T43" s="209">
        <f>'Key input_Biofuel production'!$C$24/SUM('Key input_Biofuel production'!$C$24:$C$25)</f>
        <v>7.161803713527852E-2</v>
      </c>
      <c r="U43" s="209">
        <f>'Key input_Biofuel production'!$C$24/SUM('Key input_Biofuel production'!$C$24:$C$25)</f>
        <v>7.161803713527852E-2</v>
      </c>
      <c r="V43" s="209">
        <f>'Key input_Biofuel production'!$C$24/SUM('Key input_Biofuel production'!$C$24:$C$25)</f>
        <v>7.161803713527852E-2</v>
      </c>
      <c r="W43" s="209">
        <f>'Key input_Biofuel production'!$C$24/SUM('Key input_Biofuel production'!$C$24:$C$25)</f>
        <v>7.161803713527852E-2</v>
      </c>
      <c r="X43" s="209">
        <f>'Key input_Biofuel production'!$C$24/SUM('Key input_Biofuel production'!$C$24:$C$25)</f>
        <v>7.161803713527852E-2</v>
      </c>
      <c r="Y43" s="209">
        <f>'Key input_Biofuel production'!$C$24/SUM('Key input_Biofuel production'!$C$24:$C$25)</f>
        <v>7.161803713527852E-2</v>
      </c>
      <c r="Z43" s="209">
        <f>'Key input_Biofuel production'!$C$24/SUM('Key input_Biofuel production'!$C$24:$C$25)</f>
        <v>7.161803713527852E-2</v>
      </c>
      <c r="AA43" s="209">
        <f>'Key input_Biofuel production'!$C$24/SUM('Key input_Biofuel production'!$C$24:$C$25)</f>
        <v>7.161803713527852E-2</v>
      </c>
      <c r="AB43" s="209">
        <f>'Key input_Biofuel production'!$C$24/SUM('Key input_Biofuel production'!$C$24:$C$25)</f>
        <v>7.161803713527852E-2</v>
      </c>
      <c r="AC43" s="209">
        <f>'Key input_Biofuel production'!$C$24/SUM('Key input_Biofuel production'!$C$24:$C$25)</f>
        <v>7.161803713527852E-2</v>
      </c>
      <c r="AD43" s="209">
        <f>'Key input_Biofuel production'!$C$24/SUM('Key input_Biofuel production'!$C$24:$C$25)</f>
        <v>7.161803713527852E-2</v>
      </c>
      <c r="AE43" s="209">
        <f>'Key input_Biofuel production'!$C$24/SUM('Key input_Biofuel production'!$C$24:$C$25)</f>
        <v>7.161803713527852E-2</v>
      </c>
      <c r="AF43" s="209">
        <f>'Key input_Biofuel production'!$C$24/SUM('Key input_Biofuel production'!$C$24:$C$25)</f>
        <v>7.161803713527852E-2</v>
      </c>
      <c r="AG43" s="209">
        <f>'Key input_Biofuel production'!$C$24/SUM('Key input_Biofuel production'!$C$24:$C$25)</f>
        <v>7.161803713527852E-2</v>
      </c>
      <c r="AH43" s="209">
        <f>'Key input_Biofuel production'!$C$24/SUM('Key input_Biofuel production'!$C$24:$C$25)</f>
        <v>7.161803713527852E-2</v>
      </c>
      <c r="AI43" s="209">
        <f>'Key input_Biofuel production'!$C$24/SUM('Key input_Biofuel production'!$C$24:$C$25)</f>
        <v>7.161803713527852E-2</v>
      </c>
      <c r="AJ43" s="209">
        <f>'Key input_Biofuel production'!$C$24/SUM('Key input_Biofuel production'!$C$24:$C$25)</f>
        <v>7.161803713527852E-2</v>
      </c>
      <c r="AK43" s="209">
        <f>'Key input_Biofuel production'!$C$24/SUM('Key input_Biofuel production'!$C$24:$C$25)</f>
        <v>7.161803713527852E-2</v>
      </c>
      <c r="AL43" s="209">
        <f>'Key input_Biofuel production'!$C$24/SUM('Key input_Biofuel production'!$C$24:$C$25)</f>
        <v>7.161803713527852E-2</v>
      </c>
    </row>
    <row r="44" spans="1:47">
      <c r="A44" s="236"/>
      <c r="B44" s="236"/>
      <c r="C44" s="236" t="str">
        <f>Commodities!$C$94</f>
        <v>UPSHET</v>
      </c>
      <c r="D44" s="236"/>
      <c r="E44" s="236"/>
      <c r="F44" s="236" t="s">
        <v>359</v>
      </c>
      <c r="G44" s="259" t="s">
        <v>702</v>
      </c>
      <c r="H44" s="236" t="s">
        <v>661</v>
      </c>
      <c r="I44" s="236">
        <v>2020</v>
      </c>
      <c r="J44" s="236" t="s">
        <v>650</v>
      </c>
      <c r="K44" s="226">
        <f>1-K43</f>
        <v>0.92838196286472152</v>
      </c>
      <c r="L44" s="226">
        <f t="shared" ref="L44:AL44" si="1">1-L43</f>
        <v>0.92838196286472152</v>
      </c>
      <c r="M44" s="226">
        <f t="shared" si="1"/>
        <v>0.92838196286472152</v>
      </c>
      <c r="N44" s="226">
        <f t="shared" si="1"/>
        <v>0.92838196286472152</v>
      </c>
      <c r="O44" s="226">
        <f t="shared" si="1"/>
        <v>0.92838196286472152</v>
      </c>
      <c r="P44" s="226">
        <f t="shared" si="1"/>
        <v>0.92838196286472152</v>
      </c>
      <c r="Q44" s="226">
        <f t="shared" si="1"/>
        <v>0.92838196286472152</v>
      </c>
      <c r="R44" s="226">
        <f t="shared" si="1"/>
        <v>0.92838196286472152</v>
      </c>
      <c r="S44" s="226">
        <f t="shared" si="1"/>
        <v>0.92838196286472152</v>
      </c>
      <c r="T44" s="226">
        <f t="shared" si="1"/>
        <v>0.92838196286472152</v>
      </c>
      <c r="U44" s="226">
        <f t="shared" si="1"/>
        <v>0.92838196286472152</v>
      </c>
      <c r="V44" s="226">
        <f t="shared" si="1"/>
        <v>0.92838196286472152</v>
      </c>
      <c r="W44" s="226">
        <f t="shared" si="1"/>
        <v>0.92838196286472152</v>
      </c>
      <c r="X44" s="226">
        <f t="shared" si="1"/>
        <v>0.92838196286472152</v>
      </c>
      <c r="Y44" s="226">
        <f t="shared" si="1"/>
        <v>0.92838196286472152</v>
      </c>
      <c r="Z44" s="226">
        <f t="shared" si="1"/>
        <v>0.92838196286472152</v>
      </c>
      <c r="AA44" s="226">
        <f t="shared" si="1"/>
        <v>0.92838196286472152</v>
      </c>
      <c r="AB44" s="226">
        <f t="shared" si="1"/>
        <v>0.92838196286472152</v>
      </c>
      <c r="AC44" s="226">
        <f t="shared" si="1"/>
        <v>0.92838196286472152</v>
      </c>
      <c r="AD44" s="226">
        <f t="shared" si="1"/>
        <v>0.92838196286472152</v>
      </c>
      <c r="AE44" s="226">
        <f t="shared" si="1"/>
        <v>0.92838196286472152</v>
      </c>
      <c r="AF44" s="226">
        <f t="shared" si="1"/>
        <v>0.92838196286472152</v>
      </c>
      <c r="AG44" s="226">
        <f t="shared" si="1"/>
        <v>0.92838196286472152</v>
      </c>
      <c r="AH44" s="226">
        <f t="shared" si="1"/>
        <v>0.92838196286472152</v>
      </c>
      <c r="AI44" s="226">
        <f t="shared" si="1"/>
        <v>0.92838196286472152</v>
      </c>
      <c r="AJ44" s="226">
        <f t="shared" si="1"/>
        <v>0.92838196286472152</v>
      </c>
      <c r="AK44" s="226">
        <f t="shared" si="1"/>
        <v>0.92838196286472152</v>
      </c>
      <c r="AL44" s="226">
        <f t="shared" si="1"/>
        <v>0.92838196286472152</v>
      </c>
    </row>
    <row r="45" spans="1:47">
      <c r="A45" s="4" t="str">
        <f>AO12</f>
        <v>U-TRF-BIOETH_FRM_00</v>
      </c>
      <c r="B45" s="4" t="str">
        <f>AP12</f>
        <v>UPS Transformation: Ethanol - 1st gen production - Fermentation - Existing - Without energy consumption</v>
      </c>
      <c r="C45" s="4"/>
      <c r="D45" s="4"/>
      <c r="E45" s="4"/>
      <c r="F45" s="4"/>
      <c r="G45" s="4" t="s">
        <v>695</v>
      </c>
      <c r="H45" s="4"/>
      <c r="I45" s="4"/>
      <c r="J45" s="4" t="s">
        <v>2665</v>
      </c>
      <c r="K45" s="333">
        <v>1</v>
      </c>
      <c r="L45" s="333">
        <v>1</v>
      </c>
      <c r="M45" s="333">
        <v>1</v>
      </c>
      <c r="N45" s="333">
        <v>1</v>
      </c>
      <c r="O45" s="333">
        <v>1</v>
      </c>
      <c r="P45" s="333">
        <v>1</v>
      </c>
      <c r="Q45" s="333">
        <v>1</v>
      </c>
      <c r="R45" s="333">
        <v>1</v>
      </c>
      <c r="S45" s="333">
        <v>1</v>
      </c>
      <c r="T45" s="333">
        <v>1</v>
      </c>
      <c r="U45" s="333">
        <v>1</v>
      </c>
      <c r="V45" s="333">
        <v>1</v>
      </c>
      <c r="W45" s="333">
        <v>1</v>
      </c>
      <c r="X45" s="333">
        <v>1</v>
      </c>
      <c r="Y45" s="333">
        <v>1</v>
      </c>
      <c r="Z45" s="333">
        <v>1</v>
      </c>
      <c r="AA45" s="333">
        <v>1</v>
      </c>
      <c r="AB45" s="333">
        <v>1</v>
      </c>
      <c r="AC45" s="333">
        <v>1</v>
      </c>
      <c r="AD45" s="333">
        <v>1</v>
      </c>
      <c r="AE45" s="333">
        <v>1</v>
      </c>
      <c r="AF45" s="333">
        <v>1</v>
      </c>
      <c r="AG45" s="333">
        <v>1</v>
      </c>
      <c r="AH45" s="333">
        <v>1</v>
      </c>
      <c r="AI45" s="333">
        <v>1</v>
      </c>
      <c r="AJ45" s="333">
        <v>1</v>
      </c>
      <c r="AK45" s="333">
        <v>1</v>
      </c>
      <c r="AL45" s="333">
        <v>1</v>
      </c>
    </row>
    <row r="46" spans="1:47">
      <c r="G46" s="4" t="s">
        <v>697</v>
      </c>
      <c r="H46" s="4"/>
      <c r="I46" s="4"/>
      <c r="J46" s="4" t="s">
        <v>698</v>
      </c>
      <c r="K46" s="331">
        <v>1</v>
      </c>
      <c r="L46" s="331">
        <v>1</v>
      </c>
      <c r="M46" s="331">
        <v>1</v>
      </c>
      <c r="N46" s="331">
        <v>1</v>
      </c>
      <c r="O46" s="331">
        <v>1</v>
      </c>
      <c r="P46" s="331">
        <v>1</v>
      </c>
      <c r="Q46" s="331">
        <v>1</v>
      </c>
      <c r="R46" s="331">
        <v>1</v>
      </c>
      <c r="S46" s="331">
        <v>1</v>
      </c>
      <c r="T46" s="331">
        <v>1</v>
      </c>
      <c r="U46" s="331">
        <v>1</v>
      </c>
      <c r="V46" s="331">
        <v>1</v>
      </c>
      <c r="W46" s="331">
        <v>1</v>
      </c>
      <c r="X46" s="331">
        <v>1</v>
      </c>
      <c r="Y46" s="331">
        <v>1</v>
      </c>
      <c r="Z46" s="331">
        <v>1</v>
      </c>
      <c r="AA46" s="331">
        <v>1</v>
      </c>
      <c r="AB46" s="331">
        <v>1</v>
      </c>
      <c r="AC46" s="331">
        <v>1</v>
      </c>
      <c r="AD46" s="331">
        <v>1</v>
      </c>
      <c r="AE46" s="331">
        <v>1</v>
      </c>
      <c r="AF46" s="331">
        <v>1</v>
      </c>
      <c r="AG46" s="331">
        <v>1</v>
      </c>
      <c r="AH46" s="331">
        <v>1</v>
      </c>
      <c r="AI46" s="331">
        <v>1</v>
      </c>
      <c r="AJ46" s="331">
        <v>1</v>
      </c>
      <c r="AK46" s="331">
        <v>1</v>
      </c>
      <c r="AL46" s="331">
        <v>1</v>
      </c>
    </row>
    <row r="47" spans="1:47">
      <c r="G47" s="4" t="s">
        <v>699</v>
      </c>
      <c r="H47" s="4"/>
      <c r="I47" s="4">
        <v>2019</v>
      </c>
      <c r="J47" s="4" t="s">
        <v>112</v>
      </c>
      <c r="K47" s="347">
        <f>'Key inputs_EB_MIN'!E6/10^3+'Key inputs_EB_MIN'!E43/10^3</f>
        <v>0.17</v>
      </c>
      <c r="L47" s="347">
        <f>'Key inputs_EB_MIN'!F6/10^3+'Key inputs_EB_MIN'!F43/10^3</f>
        <v>0</v>
      </c>
      <c r="M47" s="347">
        <f>'Key inputs_EB_MIN'!G6/10^3+'Key inputs_EB_MIN'!G43/10^3</f>
        <v>0.371</v>
      </c>
      <c r="N47" s="347">
        <f>'Key inputs_EB_MIN'!H6/10^3+'Key inputs_EB_MIN'!H43/10^3</f>
        <v>1.718</v>
      </c>
      <c r="O47" s="347">
        <f>'Key inputs_EB_MIN'!I6/10^3+'Key inputs_EB_MIN'!I43/10^3</f>
        <v>5.5030000000000001</v>
      </c>
      <c r="P47" s="347">
        <f>'Key inputs_EB_MIN'!J6/10^3+'Key inputs_EB_MIN'!J43/10^3</f>
        <v>0</v>
      </c>
      <c r="Q47" s="347">
        <f>'Key inputs_EB_MIN'!K6/10^3+'Key inputs_EB_MIN'!K43/10^3</f>
        <v>38.298000000000002</v>
      </c>
      <c r="R47" s="347">
        <f>'Key inputs_EB_MIN'!L6/10^3+'Key inputs_EB_MIN'!L43/10^3</f>
        <v>0</v>
      </c>
      <c r="S47" s="347">
        <f>'Key inputs_EB_MIN'!M6/10^3+'Key inputs_EB_MIN'!M43/10^3</f>
        <v>774.35699999999997</v>
      </c>
      <c r="T47" s="347">
        <f>'Key inputs_EB_MIN'!N6/10^3+'Key inputs_EB_MIN'!N43/10^3</f>
        <v>41.39</v>
      </c>
      <c r="U47" s="347">
        <f>'Key inputs_EB_MIN'!O6/10^3+'Key inputs_EB_MIN'!O43/10^3</f>
        <v>0</v>
      </c>
      <c r="V47" s="347">
        <f>'Key inputs_EB_MIN'!P6/10^3+'Key inputs_EB_MIN'!P43/10^3</f>
        <v>114.696</v>
      </c>
      <c r="W47" s="347">
        <f>'Key inputs_EB_MIN'!Q6/10^3+'Key inputs_EB_MIN'!Q43/10^3</f>
        <v>2.056</v>
      </c>
      <c r="X47" s="347">
        <f>'Key inputs_EB_MIN'!R6/10^3+'Key inputs_EB_MIN'!R43/10^3</f>
        <v>11.263</v>
      </c>
      <c r="Y47" s="347">
        <f>'Key inputs_EB_MIN'!S6/10^3+'Key inputs_EB_MIN'!S43/10^3</f>
        <v>30.608000000000001</v>
      </c>
      <c r="Z47" s="347">
        <f>'Key inputs_EB_MIN'!T6/10^3+'Key inputs_EB_MIN'!T43/10^3</f>
        <v>48.756</v>
      </c>
      <c r="AA47" s="347">
        <f>'Key inputs_EB_MIN'!U6/10^3+'Key inputs_EB_MIN'!U43/10^3</f>
        <v>49.396999999999998</v>
      </c>
      <c r="AB47" s="347">
        <f>'Key inputs_EB_MIN'!V6/10^3+'Key inputs_EB_MIN'!V43/10^3</f>
        <v>30.329000000000001</v>
      </c>
      <c r="AC47" s="347">
        <f>'Key inputs_EB_MIN'!W6/10^3+'Key inputs_EB_MIN'!W43/10^3</f>
        <v>0</v>
      </c>
      <c r="AD47" s="347">
        <f>'Key inputs_EB_MIN'!X6/10^3+'Key inputs_EB_MIN'!X43/10^3</f>
        <v>1.234</v>
      </c>
      <c r="AE47" s="347">
        <f>'Key inputs_EB_MIN'!Y6/10^3+'Key inputs_EB_MIN'!Y43/10^3</f>
        <v>55.601999999999997</v>
      </c>
      <c r="AF47" s="347">
        <f>'Key inputs_EB_MIN'!Z6/10^3+'Key inputs_EB_MIN'!Z43/10^3</f>
        <v>2.504</v>
      </c>
      <c r="AG47" s="347">
        <f>'Key inputs_EB_MIN'!AA6/10^3+'Key inputs_EB_MIN'!AA43/10^3</f>
        <v>0</v>
      </c>
      <c r="AH47" s="347">
        <f>'Key inputs_EB_MIN'!AB6/10^3+'Key inputs_EB_MIN'!AB43/10^3</f>
        <v>0</v>
      </c>
      <c r="AI47" s="347">
        <f>'Key inputs_EB_MIN'!AC6/10^3+'Key inputs_EB_MIN'!AC43/10^3</f>
        <v>0</v>
      </c>
      <c r="AJ47" s="347">
        <f>'Key inputs_EB_MIN'!AD6/10^3+'Key inputs_EB_MIN'!AD43/10^3</f>
        <v>0</v>
      </c>
      <c r="AK47" s="347">
        <f>'Key inputs_EB_MIN'!AE6/10^3+'Key inputs_EB_MIN'!AE43/10^3</f>
        <v>0</v>
      </c>
      <c r="AL47" s="347">
        <f>'Key inputs_EB_MIN'!AF6/10^3+'Key inputs_EB_MIN'!AF43/10^3</f>
        <v>1285.4660000000001</v>
      </c>
    </row>
    <row r="48" spans="1:47">
      <c r="G48" s="4" t="s">
        <v>632</v>
      </c>
      <c r="H48" s="4" t="s">
        <v>700</v>
      </c>
      <c r="I48" s="4">
        <v>2019</v>
      </c>
      <c r="J48" s="4" t="s">
        <v>112</v>
      </c>
      <c r="K48" s="421">
        <v>1</v>
      </c>
      <c r="L48" s="421">
        <v>1</v>
      </c>
      <c r="M48" s="421">
        <v>1</v>
      </c>
      <c r="N48" s="421">
        <v>1</v>
      </c>
      <c r="O48" s="421">
        <v>1</v>
      </c>
      <c r="P48" s="421">
        <v>1</v>
      </c>
      <c r="Q48" s="421">
        <v>1</v>
      </c>
      <c r="R48" s="421">
        <v>1</v>
      </c>
      <c r="S48" s="421">
        <v>1</v>
      </c>
      <c r="T48" s="421">
        <v>1</v>
      </c>
      <c r="U48" s="421">
        <v>1</v>
      </c>
      <c r="V48" s="421">
        <v>1</v>
      </c>
      <c r="W48" s="421">
        <v>1</v>
      </c>
      <c r="X48" s="421">
        <v>1</v>
      </c>
      <c r="Y48" s="421">
        <v>1</v>
      </c>
      <c r="Z48" s="421">
        <v>1</v>
      </c>
      <c r="AA48" s="421">
        <v>1</v>
      </c>
      <c r="AB48" s="421">
        <v>1</v>
      </c>
      <c r="AC48" s="421">
        <v>1</v>
      </c>
      <c r="AD48" s="421">
        <v>1</v>
      </c>
      <c r="AE48" s="421">
        <v>1</v>
      </c>
      <c r="AF48" s="421">
        <v>1</v>
      </c>
      <c r="AG48" s="421">
        <v>1</v>
      </c>
      <c r="AH48" s="421">
        <v>1</v>
      </c>
      <c r="AI48" s="421">
        <v>1</v>
      </c>
      <c r="AJ48" s="421">
        <v>1</v>
      </c>
      <c r="AK48" s="421">
        <v>1</v>
      </c>
      <c r="AL48" s="421">
        <v>1</v>
      </c>
    </row>
    <row r="49" spans="1:47">
      <c r="G49" s="4" t="s">
        <v>632</v>
      </c>
      <c r="H49" s="4" t="s">
        <v>700</v>
      </c>
      <c r="I49" s="4">
        <v>2020</v>
      </c>
      <c r="J49" s="4" t="s">
        <v>112</v>
      </c>
      <c r="K49" s="421">
        <v>0</v>
      </c>
      <c r="L49" s="421">
        <v>0</v>
      </c>
      <c r="M49" s="421">
        <v>0</v>
      </c>
      <c r="N49" s="421">
        <v>0</v>
      </c>
      <c r="O49" s="421">
        <v>0</v>
      </c>
      <c r="P49" s="421">
        <v>0</v>
      </c>
      <c r="Q49" s="421">
        <v>0</v>
      </c>
      <c r="R49" s="421">
        <v>0</v>
      </c>
      <c r="S49" s="421">
        <v>0</v>
      </c>
      <c r="T49" s="421">
        <v>0</v>
      </c>
      <c r="U49" s="421">
        <v>0</v>
      </c>
      <c r="V49" s="421">
        <v>0</v>
      </c>
      <c r="W49" s="421">
        <v>0</v>
      </c>
      <c r="X49" s="421">
        <v>0</v>
      </c>
      <c r="Y49" s="421">
        <v>0</v>
      </c>
      <c r="Z49" s="421">
        <v>0</v>
      </c>
      <c r="AA49" s="421">
        <v>0</v>
      </c>
      <c r="AB49" s="421">
        <v>0</v>
      </c>
      <c r="AC49" s="421">
        <v>0</v>
      </c>
      <c r="AD49" s="421">
        <v>0</v>
      </c>
      <c r="AE49" s="421">
        <v>0</v>
      </c>
      <c r="AF49" s="421">
        <v>0</v>
      </c>
      <c r="AG49" s="421">
        <v>0</v>
      </c>
      <c r="AH49" s="421">
        <v>0</v>
      </c>
      <c r="AI49" s="421">
        <v>0</v>
      </c>
      <c r="AJ49" s="421">
        <v>0</v>
      </c>
      <c r="AK49" s="421">
        <v>0</v>
      </c>
      <c r="AL49" s="421">
        <v>0</v>
      </c>
    </row>
    <row r="50" spans="1:47">
      <c r="G50" s="4" t="s">
        <v>632</v>
      </c>
      <c r="H50" s="4" t="s">
        <v>700</v>
      </c>
      <c r="I50" s="4">
        <v>2060</v>
      </c>
      <c r="J50" s="4" t="s">
        <v>112</v>
      </c>
      <c r="K50" s="421">
        <v>0</v>
      </c>
      <c r="L50" s="421">
        <v>0</v>
      </c>
      <c r="M50" s="421">
        <v>0</v>
      </c>
      <c r="N50" s="421">
        <v>0</v>
      </c>
      <c r="O50" s="421">
        <v>0</v>
      </c>
      <c r="P50" s="421">
        <v>0</v>
      </c>
      <c r="Q50" s="421">
        <v>0</v>
      </c>
      <c r="R50" s="421">
        <v>0</v>
      </c>
      <c r="S50" s="421">
        <v>0</v>
      </c>
      <c r="T50" s="421">
        <v>0</v>
      </c>
      <c r="U50" s="421">
        <v>0</v>
      </c>
      <c r="V50" s="421">
        <v>0</v>
      </c>
      <c r="W50" s="421">
        <v>0</v>
      </c>
      <c r="X50" s="421">
        <v>0</v>
      </c>
      <c r="Y50" s="421">
        <v>0</v>
      </c>
      <c r="Z50" s="421">
        <v>0</v>
      </c>
      <c r="AA50" s="421">
        <v>0</v>
      </c>
      <c r="AB50" s="421">
        <v>0</v>
      </c>
      <c r="AC50" s="421">
        <v>0</v>
      </c>
      <c r="AD50" s="421">
        <v>0</v>
      </c>
      <c r="AE50" s="421">
        <v>0</v>
      </c>
      <c r="AF50" s="421">
        <v>0</v>
      </c>
      <c r="AG50" s="421">
        <v>0</v>
      </c>
      <c r="AH50" s="421">
        <v>0</v>
      </c>
      <c r="AI50" s="421">
        <v>0</v>
      </c>
      <c r="AJ50" s="421">
        <v>0</v>
      </c>
      <c r="AK50" s="421">
        <v>0</v>
      </c>
      <c r="AL50" s="421">
        <v>0</v>
      </c>
    </row>
    <row r="51" spans="1:47">
      <c r="G51" s="4" t="s">
        <v>632</v>
      </c>
      <c r="H51" s="4" t="s">
        <v>700</v>
      </c>
      <c r="I51" s="4">
        <v>0</v>
      </c>
      <c r="J51" s="4"/>
      <c r="K51" s="421">
        <v>5</v>
      </c>
      <c r="L51" s="421">
        <v>5</v>
      </c>
      <c r="M51" s="421">
        <v>5</v>
      </c>
      <c r="N51" s="421">
        <v>5</v>
      </c>
      <c r="O51" s="421">
        <v>5</v>
      </c>
      <c r="P51" s="421">
        <v>5</v>
      </c>
      <c r="Q51" s="421">
        <v>5</v>
      </c>
      <c r="R51" s="421">
        <v>5</v>
      </c>
      <c r="S51" s="421">
        <v>5</v>
      </c>
      <c r="T51" s="421">
        <v>5</v>
      </c>
      <c r="U51" s="421">
        <v>5</v>
      </c>
      <c r="V51" s="421">
        <v>5</v>
      </c>
      <c r="W51" s="421">
        <v>5</v>
      </c>
      <c r="X51" s="421">
        <v>5</v>
      </c>
      <c r="Y51" s="421">
        <v>5</v>
      </c>
      <c r="Z51" s="421">
        <v>5</v>
      </c>
      <c r="AA51" s="421">
        <v>5</v>
      </c>
      <c r="AB51" s="421">
        <v>5</v>
      </c>
      <c r="AC51" s="421">
        <v>5</v>
      </c>
      <c r="AD51" s="421">
        <v>5</v>
      </c>
      <c r="AE51" s="421">
        <v>5</v>
      </c>
      <c r="AF51" s="421">
        <v>5</v>
      </c>
      <c r="AG51" s="421">
        <v>5</v>
      </c>
      <c r="AH51" s="421">
        <v>5</v>
      </c>
      <c r="AI51" s="421">
        <v>5</v>
      </c>
      <c r="AJ51" s="421">
        <v>5</v>
      </c>
      <c r="AK51" s="421">
        <v>5</v>
      </c>
      <c r="AL51" s="421">
        <v>5</v>
      </c>
    </row>
    <row r="52" spans="1:47">
      <c r="G52" s="4" t="s">
        <v>701</v>
      </c>
      <c r="H52" s="4" t="s">
        <v>661</v>
      </c>
      <c r="I52" s="4">
        <v>2019</v>
      </c>
      <c r="J52" s="4" t="s">
        <v>112</v>
      </c>
      <c r="K52" s="333">
        <v>0</v>
      </c>
      <c r="L52" s="333">
        <v>0</v>
      </c>
      <c r="M52" s="333">
        <v>0</v>
      </c>
      <c r="N52" s="333">
        <v>0</v>
      </c>
      <c r="O52" s="333">
        <v>0</v>
      </c>
      <c r="P52" s="333">
        <v>0</v>
      </c>
      <c r="Q52" s="333">
        <v>0</v>
      </c>
      <c r="R52" s="333">
        <v>0</v>
      </c>
      <c r="S52" s="333">
        <v>0</v>
      </c>
      <c r="T52" s="333">
        <v>0</v>
      </c>
      <c r="U52" s="333">
        <v>0</v>
      </c>
      <c r="V52" s="333">
        <v>0</v>
      </c>
      <c r="W52" s="333">
        <v>0</v>
      </c>
      <c r="X52" s="333">
        <v>0</v>
      </c>
      <c r="Y52" s="333">
        <v>0</v>
      </c>
      <c r="Z52" s="333">
        <v>0</v>
      </c>
      <c r="AA52" s="333">
        <v>0</v>
      </c>
      <c r="AB52" s="333">
        <v>0</v>
      </c>
      <c r="AC52" s="333">
        <v>0</v>
      </c>
      <c r="AD52" s="333">
        <v>0</v>
      </c>
      <c r="AE52" s="333">
        <v>0</v>
      </c>
      <c r="AF52" s="333">
        <v>0</v>
      </c>
      <c r="AG52" s="333">
        <v>0</v>
      </c>
      <c r="AH52" s="333">
        <v>0</v>
      </c>
      <c r="AI52" s="333">
        <v>0</v>
      </c>
      <c r="AJ52" s="333">
        <v>0</v>
      </c>
      <c r="AK52" s="333">
        <v>0</v>
      </c>
      <c r="AL52" s="333">
        <v>0</v>
      </c>
    </row>
    <row r="53" spans="1:47">
      <c r="G53" s="4" t="s">
        <v>701</v>
      </c>
      <c r="H53" s="4" t="s">
        <v>661</v>
      </c>
      <c r="I53" s="4">
        <v>2060</v>
      </c>
      <c r="J53" s="4" t="s">
        <v>112</v>
      </c>
      <c r="K53" s="333">
        <v>0</v>
      </c>
      <c r="L53" s="333">
        <v>0</v>
      </c>
      <c r="M53" s="333">
        <v>0</v>
      </c>
      <c r="N53" s="333">
        <v>0</v>
      </c>
      <c r="O53" s="333">
        <v>0</v>
      </c>
      <c r="P53" s="333">
        <v>0</v>
      </c>
      <c r="Q53" s="333">
        <v>0</v>
      </c>
      <c r="R53" s="333">
        <v>0</v>
      </c>
      <c r="S53" s="333">
        <v>0</v>
      </c>
      <c r="T53" s="333">
        <v>0</v>
      </c>
      <c r="U53" s="333">
        <v>0</v>
      </c>
      <c r="V53" s="333">
        <v>0</v>
      </c>
      <c r="W53" s="333">
        <v>0</v>
      </c>
      <c r="X53" s="333">
        <v>0</v>
      </c>
      <c r="Y53" s="333">
        <v>0</v>
      </c>
      <c r="Z53" s="333">
        <v>0</v>
      </c>
      <c r="AA53" s="333">
        <v>0</v>
      </c>
      <c r="AB53" s="333">
        <v>0</v>
      </c>
      <c r="AC53" s="333">
        <v>0</v>
      </c>
      <c r="AD53" s="333">
        <v>0</v>
      </c>
      <c r="AE53" s="333">
        <v>0</v>
      </c>
      <c r="AF53" s="333">
        <v>0</v>
      </c>
      <c r="AG53" s="333">
        <v>0</v>
      </c>
      <c r="AH53" s="333">
        <v>0</v>
      </c>
      <c r="AI53" s="333">
        <v>0</v>
      </c>
      <c r="AJ53" s="333">
        <v>0</v>
      </c>
      <c r="AK53" s="333">
        <v>0</v>
      </c>
      <c r="AL53" s="333">
        <v>0</v>
      </c>
    </row>
    <row r="54" spans="1:47">
      <c r="G54" s="4" t="s">
        <v>701</v>
      </c>
      <c r="H54" s="4" t="s">
        <v>661</v>
      </c>
      <c r="I54" s="4">
        <v>0</v>
      </c>
      <c r="J54" s="4"/>
      <c r="K54" s="333">
        <v>5</v>
      </c>
      <c r="L54" s="333">
        <v>5</v>
      </c>
      <c r="M54" s="333">
        <v>5</v>
      </c>
      <c r="N54" s="333">
        <v>5</v>
      </c>
      <c r="O54" s="333">
        <v>5</v>
      </c>
      <c r="P54" s="333">
        <v>5</v>
      </c>
      <c r="Q54" s="333">
        <v>5</v>
      </c>
      <c r="R54" s="333">
        <v>5</v>
      </c>
      <c r="S54" s="333">
        <v>5</v>
      </c>
      <c r="T54" s="333">
        <v>5</v>
      </c>
      <c r="U54" s="333">
        <v>5</v>
      </c>
      <c r="V54" s="333">
        <v>5</v>
      </c>
      <c r="W54" s="333">
        <v>5</v>
      </c>
      <c r="X54" s="333">
        <v>5</v>
      </c>
      <c r="Y54" s="333">
        <v>5</v>
      </c>
      <c r="Z54" s="333">
        <v>5</v>
      </c>
      <c r="AA54" s="333">
        <v>5</v>
      </c>
      <c r="AB54" s="333">
        <v>5</v>
      </c>
      <c r="AC54" s="333">
        <v>5</v>
      </c>
      <c r="AD54" s="333">
        <v>5</v>
      </c>
      <c r="AE54" s="333">
        <v>5</v>
      </c>
      <c r="AF54" s="333">
        <v>5</v>
      </c>
      <c r="AG54" s="333">
        <v>5</v>
      </c>
      <c r="AH54" s="333">
        <v>5</v>
      </c>
      <c r="AI54" s="333">
        <v>5</v>
      </c>
      <c r="AJ54" s="333">
        <v>5</v>
      </c>
      <c r="AK54" s="333">
        <v>5</v>
      </c>
      <c r="AL54" s="333">
        <v>5</v>
      </c>
      <c r="AN54" s="4"/>
      <c r="AO54" s="4"/>
      <c r="AP54" s="4"/>
      <c r="AQ54" s="4"/>
      <c r="AR54" s="4"/>
      <c r="AS54" s="4"/>
      <c r="AT54" s="4"/>
      <c r="AU54" s="4"/>
    </row>
    <row r="55" spans="1:47">
      <c r="G55" s="4" t="s">
        <v>687</v>
      </c>
      <c r="H55" s="4"/>
      <c r="I55" s="4"/>
      <c r="J55" s="4" t="s">
        <v>2663</v>
      </c>
      <c r="K55" s="355"/>
      <c r="L55" s="355"/>
      <c r="M55" s="355"/>
      <c r="N55" s="355"/>
      <c r="O55" s="355"/>
      <c r="P55" s="355"/>
      <c r="Q55" s="355"/>
      <c r="R55" s="355"/>
      <c r="S55" s="355"/>
      <c r="T55" s="355"/>
      <c r="U55" s="355"/>
      <c r="V55" s="355"/>
      <c r="W55" s="355"/>
      <c r="X55" s="355"/>
      <c r="Y55" s="355"/>
      <c r="Z55" s="355"/>
      <c r="AA55" s="355"/>
      <c r="AB55" s="355"/>
      <c r="AC55" s="355"/>
      <c r="AD55" s="355"/>
      <c r="AE55" s="355"/>
      <c r="AF55" s="355"/>
      <c r="AG55" s="355"/>
      <c r="AH55" s="355"/>
      <c r="AI55" s="355"/>
      <c r="AJ55" s="355"/>
      <c r="AK55" s="355"/>
      <c r="AL55" s="355"/>
    </row>
    <row r="56" spans="1:47">
      <c r="G56" s="4" t="s">
        <v>689</v>
      </c>
      <c r="H56" s="4"/>
      <c r="I56" s="4"/>
      <c r="J56" s="4" t="s">
        <v>2663</v>
      </c>
      <c r="K56" s="355"/>
      <c r="L56" s="355"/>
      <c r="M56" s="355"/>
      <c r="N56" s="355"/>
      <c r="O56" s="355"/>
      <c r="P56" s="355"/>
      <c r="Q56" s="355"/>
      <c r="R56" s="355"/>
      <c r="S56" s="355"/>
      <c r="T56" s="355"/>
      <c r="U56" s="355"/>
      <c r="V56" s="355"/>
      <c r="W56" s="355"/>
      <c r="X56" s="355"/>
      <c r="Y56" s="355"/>
      <c r="Z56" s="355"/>
      <c r="AA56" s="355"/>
      <c r="AB56" s="355"/>
      <c r="AC56" s="355"/>
      <c r="AD56" s="355"/>
      <c r="AE56" s="355"/>
      <c r="AF56" s="355"/>
      <c r="AG56" s="355"/>
      <c r="AH56" s="355"/>
      <c r="AI56" s="355"/>
      <c r="AJ56" s="355"/>
      <c r="AK56" s="355"/>
      <c r="AL56" s="355"/>
    </row>
    <row r="57" spans="1:47">
      <c r="G57" s="4" t="s">
        <v>675</v>
      </c>
      <c r="H57" s="4"/>
      <c r="I57" s="4"/>
      <c r="J57" s="4" t="s">
        <v>2662</v>
      </c>
      <c r="K57" s="355"/>
      <c r="L57" s="355"/>
      <c r="M57" s="355"/>
      <c r="N57" s="355"/>
      <c r="O57" s="355"/>
      <c r="P57" s="355"/>
      <c r="Q57" s="355"/>
      <c r="R57" s="355"/>
      <c r="S57" s="355"/>
      <c r="T57" s="355"/>
      <c r="U57" s="355"/>
      <c r="V57" s="355"/>
      <c r="W57" s="355"/>
      <c r="X57" s="355"/>
      <c r="Y57" s="355"/>
      <c r="Z57" s="355"/>
      <c r="AA57" s="355"/>
      <c r="AB57" s="355"/>
      <c r="AC57" s="355"/>
      <c r="AD57" s="355"/>
      <c r="AE57" s="355"/>
      <c r="AF57" s="355"/>
      <c r="AG57" s="355"/>
      <c r="AH57" s="355"/>
      <c r="AI57" s="355"/>
      <c r="AJ57" s="355"/>
      <c r="AK57" s="355"/>
      <c r="AL57" s="355"/>
    </row>
    <row r="58" spans="1:47">
      <c r="C58" t="str">
        <f>Commodities!$C$65</f>
        <v>BIOCRL</v>
      </c>
      <c r="D58" t="str">
        <f>Commodities!$C$78</f>
        <v>BIOETH</v>
      </c>
      <c r="G58" s="4" t="s">
        <v>630</v>
      </c>
      <c r="J58" t="s">
        <v>2666</v>
      </c>
      <c r="K58" s="331">
        <v>1</v>
      </c>
      <c r="L58" s="331">
        <v>1</v>
      </c>
      <c r="M58" s="331">
        <v>1</v>
      </c>
      <c r="N58" s="331">
        <v>1</v>
      </c>
      <c r="O58" s="331">
        <v>1</v>
      </c>
      <c r="P58" s="331">
        <v>1</v>
      </c>
      <c r="Q58" s="331">
        <v>1</v>
      </c>
      <c r="R58" s="331">
        <v>1</v>
      </c>
      <c r="S58" s="331">
        <v>1</v>
      </c>
      <c r="T58" s="331">
        <v>1</v>
      </c>
      <c r="U58" s="331">
        <v>1</v>
      </c>
      <c r="V58" s="331">
        <v>1</v>
      </c>
      <c r="W58" s="331">
        <v>1</v>
      </c>
      <c r="X58" s="331">
        <v>1</v>
      </c>
      <c r="Y58" s="331">
        <v>1</v>
      </c>
      <c r="Z58" s="331">
        <v>1</v>
      </c>
      <c r="AA58" s="331">
        <v>1</v>
      </c>
      <c r="AB58" s="331">
        <v>1</v>
      </c>
      <c r="AC58" s="331">
        <v>1</v>
      </c>
      <c r="AD58" s="331">
        <v>1</v>
      </c>
      <c r="AE58" s="331">
        <v>1</v>
      </c>
      <c r="AF58" s="331">
        <v>1</v>
      </c>
      <c r="AG58" s="331">
        <v>1</v>
      </c>
      <c r="AH58" s="331">
        <v>1</v>
      </c>
      <c r="AI58" s="331">
        <v>1</v>
      </c>
      <c r="AJ58" s="331">
        <v>1</v>
      </c>
      <c r="AK58" s="331">
        <v>1</v>
      </c>
      <c r="AL58" s="331">
        <v>1</v>
      </c>
    </row>
    <row r="59" spans="1:47">
      <c r="A59" s="4" t="str">
        <f>AO13</f>
        <v>U-TRF-BIOETH_FRM_01</v>
      </c>
      <c r="B59" s="4" t="str">
        <f>AP13</f>
        <v>UPS Transformation: Ethanol - 1st gen production - Fermentation - Existing - With energy consumption</v>
      </c>
      <c r="C59" s="4"/>
      <c r="D59" s="4"/>
      <c r="E59" s="4"/>
      <c r="F59" s="4"/>
      <c r="G59" s="4" t="s">
        <v>695</v>
      </c>
      <c r="H59" s="4"/>
      <c r="I59" s="4"/>
      <c r="J59" s="4" t="s">
        <v>2665</v>
      </c>
      <c r="K59" s="333">
        <v>1</v>
      </c>
      <c r="L59" s="333">
        <v>1</v>
      </c>
      <c r="M59" s="333">
        <v>1</v>
      </c>
      <c r="N59" s="333">
        <v>1</v>
      </c>
      <c r="O59" s="333">
        <v>1</v>
      </c>
      <c r="P59" s="333">
        <v>1</v>
      </c>
      <c r="Q59" s="333">
        <v>1</v>
      </c>
      <c r="R59" s="333">
        <v>1</v>
      </c>
      <c r="S59" s="333">
        <v>1</v>
      </c>
      <c r="T59" s="333">
        <v>1</v>
      </c>
      <c r="U59" s="333">
        <v>1</v>
      </c>
      <c r="V59" s="333">
        <v>1</v>
      </c>
      <c r="W59" s="333">
        <v>1</v>
      </c>
      <c r="X59" s="333">
        <v>1</v>
      </c>
      <c r="Y59" s="333">
        <v>1</v>
      </c>
      <c r="Z59" s="333">
        <v>1</v>
      </c>
      <c r="AA59" s="333">
        <v>1</v>
      </c>
      <c r="AB59" s="333">
        <v>1</v>
      </c>
      <c r="AC59" s="333">
        <v>1</v>
      </c>
      <c r="AD59" s="333">
        <v>1</v>
      </c>
      <c r="AE59" s="333">
        <v>1</v>
      </c>
      <c r="AF59" s="333">
        <v>1</v>
      </c>
      <c r="AG59" s="333">
        <v>1</v>
      </c>
      <c r="AH59" s="333">
        <v>1</v>
      </c>
      <c r="AI59" s="333">
        <v>1</v>
      </c>
      <c r="AJ59" s="333">
        <v>1</v>
      </c>
      <c r="AK59" s="333">
        <v>1</v>
      </c>
      <c r="AL59" s="333">
        <v>1</v>
      </c>
    </row>
    <row r="60" spans="1:47">
      <c r="G60" s="4" t="s">
        <v>697</v>
      </c>
      <c r="H60" s="4"/>
      <c r="I60" s="4"/>
      <c r="J60" s="4" t="s">
        <v>698</v>
      </c>
      <c r="K60" s="424">
        <f>'Key input_Biofuel production'!$C$8</f>
        <v>30</v>
      </c>
      <c r="L60" s="424">
        <f>'Key input_Biofuel production'!$C$8</f>
        <v>30</v>
      </c>
      <c r="M60" s="424">
        <f>'Key input_Biofuel production'!$C$8</f>
        <v>30</v>
      </c>
      <c r="N60" s="424">
        <f>'Key input_Biofuel production'!$C$8</f>
        <v>30</v>
      </c>
      <c r="O60" s="424">
        <f>'Key input_Biofuel production'!$C$8</f>
        <v>30</v>
      </c>
      <c r="P60" s="424">
        <f>'Key input_Biofuel production'!$C$8</f>
        <v>30</v>
      </c>
      <c r="Q60" s="424">
        <f>'Key input_Biofuel production'!$C$8</f>
        <v>30</v>
      </c>
      <c r="R60" s="424">
        <f>'Key input_Biofuel production'!$C$8</f>
        <v>30</v>
      </c>
      <c r="S60" s="424">
        <f>'Key input_Biofuel production'!$C$8</f>
        <v>30</v>
      </c>
      <c r="T60" s="424">
        <f>'Key input_Biofuel production'!$C$8</f>
        <v>30</v>
      </c>
      <c r="U60" s="424">
        <f>'Key input_Biofuel production'!$C$8</f>
        <v>30</v>
      </c>
      <c r="V60" s="424">
        <f>'Key input_Biofuel production'!$C$8</f>
        <v>30</v>
      </c>
      <c r="W60" s="424">
        <f>'Key input_Biofuel production'!$C$8</f>
        <v>30</v>
      </c>
      <c r="X60" s="424">
        <f>'Key input_Biofuel production'!$C$8</f>
        <v>30</v>
      </c>
      <c r="Y60" s="424">
        <f>'Key input_Biofuel production'!$C$8</f>
        <v>30</v>
      </c>
      <c r="Z60" s="424">
        <f>'Key input_Biofuel production'!$C$8</f>
        <v>30</v>
      </c>
      <c r="AA60" s="424">
        <f>'Key input_Biofuel production'!$C$8</f>
        <v>30</v>
      </c>
      <c r="AB60" s="424">
        <f>'Key input_Biofuel production'!$C$8</f>
        <v>30</v>
      </c>
      <c r="AC60" s="424">
        <f>'Key input_Biofuel production'!$C$8</f>
        <v>30</v>
      </c>
      <c r="AD60" s="424">
        <f>'Key input_Biofuel production'!$C$8</f>
        <v>30</v>
      </c>
      <c r="AE60" s="424">
        <f>'Key input_Biofuel production'!$C$8</f>
        <v>30</v>
      </c>
      <c r="AF60" s="424">
        <f>'Key input_Biofuel production'!$C$8</f>
        <v>30</v>
      </c>
      <c r="AG60" s="424">
        <f>'Key input_Biofuel production'!$C$8</f>
        <v>30</v>
      </c>
      <c r="AH60" s="424">
        <f>'Key input_Biofuel production'!$C$8</f>
        <v>30</v>
      </c>
      <c r="AI60" s="424">
        <f>'Key input_Biofuel production'!$C$8</f>
        <v>30</v>
      </c>
      <c r="AJ60" s="424">
        <f>'Key input_Biofuel production'!$C$8</f>
        <v>30</v>
      </c>
      <c r="AK60" s="424">
        <f>'Key input_Biofuel production'!$C$8</f>
        <v>30</v>
      </c>
      <c r="AL60" s="424">
        <f>'Key input_Biofuel production'!$C$8</f>
        <v>30</v>
      </c>
    </row>
    <row r="61" spans="1:47">
      <c r="G61" s="4" t="s">
        <v>699</v>
      </c>
      <c r="H61" s="4"/>
      <c r="I61" s="4">
        <v>2019</v>
      </c>
      <c r="J61" s="4" t="s">
        <v>112</v>
      </c>
      <c r="K61" s="347">
        <f>K47</f>
        <v>0.17</v>
      </c>
      <c r="L61" s="347">
        <f t="shared" ref="L61:AL61" si="2">L47</f>
        <v>0</v>
      </c>
      <c r="M61" s="347">
        <f t="shared" si="2"/>
        <v>0.371</v>
      </c>
      <c r="N61" s="347">
        <f t="shared" si="2"/>
        <v>1.718</v>
      </c>
      <c r="O61" s="347">
        <f t="shared" si="2"/>
        <v>5.5030000000000001</v>
      </c>
      <c r="P61" s="347">
        <f t="shared" si="2"/>
        <v>0</v>
      </c>
      <c r="Q61" s="347">
        <f t="shared" si="2"/>
        <v>38.298000000000002</v>
      </c>
      <c r="R61" s="347">
        <f t="shared" si="2"/>
        <v>0</v>
      </c>
      <c r="S61" s="347">
        <f t="shared" si="2"/>
        <v>774.35699999999997</v>
      </c>
      <c r="T61" s="347">
        <f t="shared" si="2"/>
        <v>41.39</v>
      </c>
      <c r="U61" s="347">
        <f t="shared" si="2"/>
        <v>0</v>
      </c>
      <c r="V61" s="347">
        <f t="shared" si="2"/>
        <v>114.696</v>
      </c>
      <c r="W61" s="347">
        <f t="shared" si="2"/>
        <v>2.056</v>
      </c>
      <c r="X61" s="347">
        <f t="shared" si="2"/>
        <v>11.263</v>
      </c>
      <c r="Y61" s="347">
        <f t="shared" si="2"/>
        <v>30.608000000000001</v>
      </c>
      <c r="Z61" s="347">
        <f t="shared" si="2"/>
        <v>48.756</v>
      </c>
      <c r="AA61" s="347">
        <f t="shared" si="2"/>
        <v>49.396999999999998</v>
      </c>
      <c r="AB61" s="347">
        <f t="shared" si="2"/>
        <v>30.329000000000001</v>
      </c>
      <c r="AC61" s="347">
        <f t="shared" si="2"/>
        <v>0</v>
      </c>
      <c r="AD61" s="347">
        <f t="shared" si="2"/>
        <v>1.234</v>
      </c>
      <c r="AE61" s="347">
        <f t="shared" si="2"/>
        <v>55.601999999999997</v>
      </c>
      <c r="AF61" s="347">
        <f t="shared" si="2"/>
        <v>2.504</v>
      </c>
      <c r="AG61" s="347">
        <f t="shared" si="2"/>
        <v>0</v>
      </c>
      <c r="AH61" s="347">
        <f t="shared" si="2"/>
        <v>0</v>
      </c>
      <c r="AI61" s="347">
        <f t="shared" si="2"/>
        <v>0</v>
      </c>
      <c r="AJ61" s="347">
        <f t="shared" si="2"/>
        <v>0</v>
      </c>
      <c r="AK61" s="347">
        <f t="shared" si="2"/>
        <v>0</v>
      </c>
      <c r="AL61" s="347">
        <f t="shared" si="2"/>
        <v>1285.4660000000001</v>
      </c>
    </row>
    <row r="62" spans="1:47">
      <c r="G62" s="4" t="s">
        <v>632</v>
      </c>
      <c r="H62" s="4" t="s">
        <v>661</v>
      </c>
      <c r="I62" s="4">
        <v>2019</v>
      </c>
      <c r="J62" s="4" t="s">
        <v>112</v>
      </c>
      <c r="K62" s="421">
        <v>0</v>
      </c>
      <c r="L62" s="421">
        <v>0</v>
      </c>
      <c r="M62" s="421">
        <v>0</v>
      </c>
      <c r="N62" s="421">
        <v>0</v>
      </c>
      <c r="O62" s="421">
        <v>0</v>
      </c>
      <c r="P62" s="421">
        <v>0</v>
      </c>
      <c r="Q62" s="421">
        <v>0</v>
      </c>
      <c r="R62" s="421">
        <v>0</v>
      </c>
      <c r="S62" s="421">
        <v>0</v>
      </c>
      <c r="T62" s="421">
        <v>0</v>
      </c>
      <c r="U62" s="421">
        <v>0</v>
      </c>
      <c r="V62" s="421">
        <v>0</v>
      </c>
      <c r="W62" s="421">
        <v>0</v>
      </c>
      <c r="X62" s="421">
        <v>0</v>
      </c>
      <c r="Y62" s="421">
        <v>0</v>
      </c>
      <c r="Z62" s="421">
        <v>0</v>
      </c>
      <c r="AA62" s="421">
        <v>0</v>
      </c>
      <c r="AB62" s="421">
        <v>0</v>
      </c>
      <c r="AC62" s="421">
        <v>0</v>
      </c>
      <c r="AD62" s="421">
        <v>0</v>
      </c>
      <c r="AE62" s="421">
        <v>0</v>
      </c>
      <c r="AF62" s="421">
        <v>0</v>
      </c>
      <c r="AG62" s="421">
        <v>0</v>
      </c>
      <c r="AH62" s="421">
        <v>0</v>
      </c>
      <c r="AI62" s="421">
        <v>0</v>
      </c>
      <c r="AJ62" s="421">
        <v>0</v>
      </c>
      <c r="AK62" s="421">
        <v>0</v>
      </c>
      <c r="AL62" s="421">
        <v>0</v>
      </c>
    </row>
    <row r="63" spans="1:47">
      <c r="G63" s="4" t="s">
        <v>632</v>
      </c>
      <c r="H63" s="4" t="s">
        <v>661</v>
      </c>
      <c r="I63" s="4">
        <v>2020</v>
      </c>
      <c r="J63" s="4" t="s">
        <v>112</v>
      </c>
      <c r="K63" s="421">
        <v>1</v>
      </c>
      <c r="L63" s="421">
        <v>1</v>
      </c>
      <c r="M63" s="421">
        <v>1</v>
      </c>
      <c r="N63" s="421">
        <v>1</v>
      </c>
      <c r="O63" s="421">
        <v>1</v>
      </c>
      <c r="P63" s="421">
        <v>1</v>
      </c>
      <c r="Q63" s="421">
        <v>1</v>
      </c>
      <c r="R63" s="421">
        <v>1</v>
      </c>
      <c r="S63" s="421">
        <v>1</v>
      </c>
      <c r="T63" s="421">
        <v>1</v>
      </c>
      <c r="U63" s="421">
        <v>1</v>
      </c>
      <c r="V63" s="421">
        <v>1</v>
      </c>
      <c r="W63" s="421">
        <v>1</v>
      </c>
      <c r="X63" s="421">
        <v>1</v>
      </c>
      <c r="Y63" s="421">
        <v>1</v>
      </c>
      <c r="Z63" s="421">
        <v>1</v>
      </c>
      <c r="AA63" s="421">
        <v>1</v>
      </c>
      <c r="AB63" s="421">
        <v>1</v>
      </c>
      <c r="AC63" s="421">
        <v>1</v>
      </c>
      <c r="AD63" s="421">
        <v>1</v>
      </c>
      <c r="AE63" s="421">
        <v>1</v>
      </c>
      <c r="AF63" s="421">
        <v>1</v>
      </c>
      <c r="AG63" s="421">
        <v>1</v>
      </c>
      <c r="AH63" s="421">
        <v>1</v>
      </c>
      <c r="AI63" s="421">
        <v>1</v>
      </c>
      <c r="AJ63" s="421">
        <v>1</v>
      </c>
      <c r="AK63" s="421">
        <v>1</v>
      </c>
      <c r="AL63" s="421">
        <v>1</v>
      </c>
    </row>
    <row r="64" spans="1:47">
      <c r="G64" s="4" t="s">
        <v>632</v>
      </c>
      <c r="H64" s="4" t="s">
        <v>661</v>
      </c>
      <c r="I64" s="4">
        <v>2060</v>
      </c>
      <c r="J64" s="4" t="s">
        <v>112</v>
      </c>
      <c r="K64" s="421">
        <v>1</v>
      </c>
      <c r="L64" s="421">
        <v>1</v>
      </c>
      <c r="M64" s="421">
        <v>1</v>
      </c>
      <c r="N64" s="421">
        <v>1</v>
      </c>
      <c r="O64" s="421">
        <v>1</v>
      </c>
      <c r="P64" s="421">
        <v>1</v>
      </c>
      <c r="Q64" s="421">
        <v>1</v>
      </c>
      <c r="R64" s="421">
        <v>1</v>
      </c>
      <c r="S64" s="421">
        <v>1</v>
      </c>
      <c r="T64" s="421">
        <v>1</v>
      </c>
      <c r="U64" s="421">
        <v>1</v>
      </c>
      <c r="V64" s="421">
        <v>1</v>
      </c>
      <c r="W64" s="421">
        <v>1</v>
      </c>
      <c r="X64" s="421">
        <v>1</v>
      </c>
      <c r="Y64" s="421">
        <v>1</v>
      </c>
      <c r="Z64" s="421">
        <v>1</v>
      </c>
      <c r="AA64" s="421">
        <v>1</v>
      </c>
      <c r="AB64" s="421">
        <v>1</v>
      </c>
      <c r="AC64" s="421">
        <v>1</v>
      </c>
      <c r="AD64" s="421">
        <v>1</v>
      </c>
      <c r="AE64" s="421">
        <v>1</v>
      </c>
      <c r="AF64" s="421">
        <v>1</v>
      </c>
      <c r="AG64" s="421">
        <v>1</v>
      </c>
      <c r="AH64" s="421">
        <v>1</v>
      </c>
      <c r="AI64" s="421">
        <v>1</v>
      </c>
      <c r="AJ64" s="421">
        <v>1</v>
      </c>
      <c r="AK64" s="421">
        <v>1</v>
      </c>
      <c r="AL64" s="421">
        <v>1</v>
      </c>
      <c r="AN64" s="4"/>
      <c r="AO64" s="4"/>
      <c r="AP64" s="4"/>
      <c r="AQ64" s="4"/>
      <c r="AR64" s="4"/>
      <c r="AS64" s="4"/>
      <c r="AT64" s="4"/>
      <c r="AU64" s="4"/>
    </row>
    <row r="65" spans="1:47" s="4" customFormat="1">
      <c r="A65"/>
      <c r="B65"/>
      <c r="C65"/>
      <c r="D65"/>
      <c r="E65"/>
      <c r="F65"/>
      <c r="G65" s="4" t="s">
        <v>632</v>
      </c>
      <c r="H65" s="4" t="s">
        <v>661</v>
      </c>
      <c r="I65" s="4">
        <v>0</v>
      </c>
      <c r="K65" s="421">
        <v>5</v>
      </c>
      <c r="L65" s="421">
        <v>5</v>
      </c>
      <c r="M65" s="421">
        <v>5</v>
      </c>
      <c r="N65" s="421">
        <v>5</v>
      </c>
      <c r="O65" s="421">
        <v>5</v>
      </c>
      <c r="P65" s="421">
        <v>5</v>
      </c>
      <c r="Q65" s="421">
        <v>5</v>
      </c>
      <c r="R65" s="421">
        <v>5</v>
      </c>
      <c r="S65" s="421">
        <v>5</v>
      </c>
      <c r="T65" s="421">
        <v>5</v>
      </c>
      <c r="U65" s="421">
        <v>5</v>
      </c>
      <c r="V65" s="421">
        <v>5</v>
      </c>
      <c r="W65" s="421">
        <v>5</v>
      </c>
      <c r="X65" s="421">
        <v>5</v>
      </c>
      <c r="Y65" s="421">
        <v>5</v>
      </c>
      <c r="Z65" s="421">
        <v>5</v>
      </c>
      <c r="AA65" s="421">
        <v>5</v>
      </c>
      <c r="AB65" s="421">
        <v>5</v>
      </c>
      <c r="AC65" s="421">
        <v>5</v>
      </c>
      <c r="AD65" s="421">
        <v>5</v>
      </c>
      <c r="AE65" s="421">
        <v>5</v>
      </c>
      <c r="AF65" s="421">
        <v>5</v>
      </c>
      <c r="AG65" s="421">
        <v>5</v>
      </c>
      <c r="AH65" s="421">
        <v>5</v>
      </c>
      <c r="AI65" s="421">
        <v>5</v>
      </c>
      <c r="AJ65" s="421">
        <v>5</v>
      </c>
      <c r="AK65" s="421">
        <v>5</v>
      </c>
      <c r="AL65" s="421">
        <v>5</v>
      </c>
      <c r="AN65"/>
      <c r="AO65"/>
      <c r="AP65"/>
      <c r="AQ65"/>
      <c r="AR65"/>
      <c r="AS65"/>
      <c r="AT65"/>
      <c r="AU65"/>
    </row>
    <row r="66" spans="1:47">
      <c r="G66" s="4" t="s">
        <v>701</v>
      </c>
      <c r="H66" s="4" t="s">
        <v>661</v>
      </c>
      <c r="I66" s="4">
        <v>2019</v>
      </c>
      <c r="J66" s="4" t="s">
        <v>112</v>
      </c>
      <c r="K66" s="333">
        <v>0</v>
      </c>
      <c r="L66" s="333">
        <v>0</v>
      </c>
      <c r="M66" s="333">
        <v>0</v>
      </c>
      <c r="N66" s="333">
        <v>0</v>
      </c>
      <c r="O66" s="333">
        <v>0</v>
      </c>
      <c r="P66" s="333">
        <v>0</v>
      </c>
      <c r="Q66" s="333">
        <v>0</v>
      </c>
      <c r="R66" s="333">
        <v>0</v>
      </c>
      <c r="S66" s="333">
        <v>0</v>
      </c>
      <c r="T66" s="333">
        <v>0</v>
      </c>
      <c r="U66" s="333">
        <v>0</v>
      </c>
      <c r="V66" s="333">
        <v>0</v>
      </c>
      <c r="W66" s="333">
        <v>0</v>
      </c>
      <c r="X66" s="333">
        <v>0</v>
      </c>
      <c r="Y66" s="333">
        <v>0</v>
      </c>
      <c r="Z66" s="333">
        <v>0</v>
      </c>
      <c r="AA66" s="333">
        <v>0</v>
      </c>
      <c r="AB66" s="333">
        <v>0</v>
      </c>
      <c r="AC66" s="333">
        <v>0</v>
      </c>
      <c r="AD66" s="333">
        <v>0</v>
      </c>
      <c r="AE66" s="333">
        <v>0</v>
      </c>
      <c r="AF66" s="333">
        <v>0</v>
      </c>
      <c r="AG66" s="333">
        <v>0</v>
      </c>
      <c r="AH66" s="333">
        <v>0</v>
      </c>
      <c r="AI66" s="333">
        <v>0</v>
      </c>
      <c r="AJ66" s="333">
        <v>0</v>
      </c>
      <c r="AK66" s="333">
        <v>0</v>
      </c>
      <c r="AL66" s="333">
        <v>0</v>
      </c>
    </row>
    <row r="67" spans="1:47">
      <c r="G67" s="4" t="s">
        <v>701</v>
      </c>
      <c r="H67" s="4" t="s">
        <v>661</v>
      </c>
      <c r="I67" s="4">
        <v>2060</v>
      </c>
      <c r="J67" s="4" t="s">
        <v>112</v>
      </c>
      <c r="K67" s="333">
        <v>0</v>
      </c>
      <c r="L67" s="333">
        <v>0</v>
      </c>
      <c r="M67" s="333">
        <v>0</v>
      </c>
      <c r="N67" s="333">
        <v>0</v>
      </c>
      <c r="O67" s="333">
        <v>0</v>
      </c>
      <c r="P67" s="333">
        <v>0</v>
      </c>
      <c r="Q67" s="333">
        <v>0</v>
      </c>
      <c r="R67" s="333">
        <v>0</v>
      </c>
      <c r="S67" s="333">
        <v>0</v>
      </c>
      <c r="T67" s="333">
        <v>0</v>
      </c>
      <c r="U67" s="333">
        <v>0</v>
      </c>
      <c r="V67" s="333">
        <v>0</v>
      </c>
      <c r="W67" s="333">
        <v>0</v>
      </c>
      <c r="X67" s="333">
        <v>0</v>
      </c>
      <c r="Y67" s="333">
        <v>0</v>
      </c>
      <c r="Z67" s="333">
        <v>0</v>
      </c>
      <c r="AA67" s="333">
        <v>0</v>
      </c>
      <c r="AB67" s="333">
        <v>0</v>
      </c>
      <c r="AC67" s="333">
        <v>0</v>
      </c>
      <c r="AD67" s="333">
        <v>0</v>
      </c>
      <c r="AE67" s="333">
        <v>0</v>
      </c>
      <c r="AF67" s="333">
        <v>0</v>
      </c>
      <c r="AG67" s="333">
        <v>0</v>
      </c>
      <c r="AH67" s="333">
        <v>0</v>
      </c>
      <c r="AI67" s="333">
        <v>0</v>
      </c>
      <c r="AJ67" s="333">
        <v>0</v>
      </c>
      <c r="AK67" s="333">
        <v>0</v>
      </c>
      <c r="AL67" s="333">
        <v>0</v>
      </c>
    </row>
    <row r="68" spans="1:47">
      <c r="G68" s="4" t="s">
        <v>701</v>
      </c>
      <c r="H68" s="4" t="s">
        <v>661</v>
      </c>
      <c r="I68" s="4">
        <v>0</v>
      </c>
      <c r="J68" s="4"/>
      <c r="K68" s="333">
        <v>5</v>
      </c>
      <c r="L68" s="333">
        <v>5</v>
      </c>
      <c r="M68" s="333">
        <v>5</v>
      </c>
      <c r="N68" s="333">
        <v>5</v>
      </c>
      <c r="O68" s="333">
        <v>5</v>
      </c>
      <c r="P68" s="333">
        <v>5</v>
      </c>
      <c r="Q68" s="333">
        <v>5</v>
      </c>
      <c r="R68" s="333">
        <v>5</v>
      </c>
      <c r="S68" s="333">
        <v>5</v>
      </c>
      <c r="T68" s="333">
        <v>5</v>
      </c>
      <c r="U68" s="333">
        <v>5</v>
      </c>
      <c r="V68" s="333">
        <v>5</v>
      </c>
      <c r="W68" s="333">
        <v>5</v>
      </c>
      <c r="X68" s="333">
        <v>5</v>
      </c>
      <c r="Y68" s="333">
        <v>5</v>
      </c>
      <c r="Z68" s="333">
        <v>5</v>
      </c>
      <c r="AA68" s="333">
        <v>5</v>
      </c>
      <c r="AB68" s="333">
        <v>5</v>
      </c>
      <c r="AC68" s="333">
        <v>5</v>
      </c>
      <c r="AD68" s="333">
        <v>5</v>
      </c>
      <c r="AE68" s="333">
        <v>5</v>
      </c>
      <c r="AF68" s="333">
        <v>5</v>
      </c>
      <c r="AG68" s="333">
        <v>5</v>
      </c>
      <c r="AH68" s="333">
        <v>5</v>
      </c>
      <c r="AI68" s="333">
        <v>5</v>
      </c>
      <c r="AJ68" s="333">
        <v>5</v>
      </c>
      <c r="AK68" s="333">
        <v>5</v>
      </c>
      <c r="AL68" s="333">
        <v>5</v>
      </c>
    </row>
    <row r="69" spans="1:47">
      <c r="G69" s="4" t="s">
        <v>687</v>
      </c>
      <c r="H69" s="4"/>
      <c r="I69" s="4"/>
      <c r="J69" s="4" t="s">
        <v>2663</v>
      </c>
      <c r="K69" s="448">
        <f>'Key input_Biofuel production'!$C$9*10^3</f>
        <v>18.011475276308801</v>
      </c>
      <c r="L69" s="448">
        <f>'Key input_Biofuel production'!$C$9*10^3</f>
        <v>18.011475276308801</v>
      </c>
      <c r="M69" s="448">
        <f>'Key input_Biofuel production'!$C$9*10^3</f>
        <v>18.011475276308801</v>
      </c>
      <c r="N69" s="448">
        <f>'Key input_Biofuel production'!$C$9*10^3</f>
        <v>18.011475276308801</v>
      </c>
      <c r="O69" s="448">
        <f>'Key input_Biofuel production'!$C$9*10^3</f>
        <v>18.011475276308801</v>
      </c>
      <c r="P69" s="448">
        <f>'Key input_Biofuel production'!$C$9*10^3</f>
        <v>18.011475276308801</v>
      </c>
      <c r="Q69" s="448">
        <f>'Key input_Biofuel production'!$C$9*10^3</f>
        <v>18.011475276308801</v>
      </c>
      <c r="R69" s="448">
        <f>'Key input_Biofuel production'!$C$9*10^3</f>
        <v>18.011475276308801</v>
      </c>
      <c r="S69" s="448">
        <f>'Key input_Biofuel production'!$C$9*10^3</f>
        <v>18.011475276308801</v>
      </c>
      <c r="T69" s="448">
        <f>'Key input_Biofuel production'!$C$9*10^3</f>
        <v>18.011475276308801</v>
      </c>
      <c r="U69" s="448">
        <f>'Key input_Biofuel production'!$C$9*10^3</f>
        <v>18.011475276308801</v>
      </c>
      <c r="V69" s="448">
        <f>'Key input_Biofuel production'!$C$9*10^3</f>
        <v>18.011475276308801</v>
      </c>
      <c r="W69" s="448">
        <f>'Key input_Biofuel production'!$C$9*10^3</f>
        <v>18.011475276308801</v>
      </c>
      <c r="X69" s="448">
        <f>'Key input_Biofuel production'!$C$9*10^3</f>
        <v>18.011475276308801</v>
      </c>
      <c r="Y69" s="448">
        <f>'Key input_Biofuel production'!$C$9*10^3</f>
        <v>18.011475276308801</v>
      </c>
      <c r="Z69" s="448">
        <f>'Key input_Biofuel production'!$C$9*10^3</f>
        <v>18.011475276308801</v>
      </c>
      <c r="AA69" s="448">
        <f>'Key input_Biofuel production'!$C$9*10^3</f>
        <v>18.011475276308801</v>
      </c>
      <c r="AB69" s="448">
        <f>'Key input_Biofuel production'!$C$9*10^3</f>
        <v>18.011475276308801</v>
      </c>
      <c r="AC69" s="448">
        <f>'Key input_Biofuel production'!$C$9*10^3</f>
        <v>18.011475276308801</v>
      </c>
      <c r="AD69" s="448">
        <f>'Key input_Biofuel production'!$C$9*10^3</f>
        <v>18.011475276308801</v>
      </c>
      <c r="AE69" s="448">
        <f>'Key input_Biofuel production'!$C$9*10^3</f>
        <v>18.011475276308801</v>
      </c>
      <c r="AF69" s="448">
        <f>'Key input_Biofuel production'!$C$9*10^3</f>
        <v>18.011475276308801</v>
      </c>
      <c r="AG69" s="448">
        <f>'Key input_Biofuel production'!$C$9*10^3</f>
        <v>18.011475276308801</v>
      </c>
      <c r="AH69" s="448">
        <f>'Key input_Biofuel production'!$C$9*10^3</f>
        <v>18.011475276308801</v>
      </c>
      <c r="AI69" s="448">
        <f>'Key input_Biofuel production'!$C$9*10^3</f>
        <v>18.011475276308801</v>
      </c>
      <c r="AJ69" s="448">
        <f>'Key input_Biofuel production'!$C$9*10^3</f>
        <v>18.011475276308801</v>
      </c>
      <c r="AK69" s="448">
        <f>'Key input_Biofuel production'!$C$9*10^3</f>
        <v>18.011475276308801</v>
      </c>
      <c r="AL69" s="448">
        <f>'Key input_Biofuel production'!$C$9*10^3</f>
        <v>18.011475276308801</v>
      </c>
    </row>
    <row r="70" spans="1:47">
      <c r="G70" s="4" t="s">
        <v>689</v>
      </c>
      <c r="H70" s="4"/>
      <c r="I70" s="4"/>
      <c r="J70" s="4" t="s">
        <v>2663</v>
      </c>
      <c r="K70" s="448">
        <f>'Key input_Biofuel production'!$C$10*10^3</f>
        <v>0.54034425828926402</v>
      </c>
      <c r="L70" s="448">
        <f>'Key input_Biofuel production'!$C$10*10^3</f>
        <v>0.54034425828926402</v>
      </c>
      <c r="M70" s="448">
        <f>'Key input_Biofuel production'!$C$10*10^3</f>
        <v>0.54034425828926402</v>
      </c>
      <c r="N70" s="448">
        <f>'Key input_Biofuel production'!$C$10*10^3</f>
        <v>0.54034425828926402</v>
      </c>
      <c r="O70" s="448">
        <f>'Key input_Biofuel production'!$C$10*10^3</f>
        <v>0.54034425828926402</v>
      </c>
      <c r="P70" s="448">
        <f>'Key input_Biofuel production'!$C$10*10^3</f>
        <v>0.54034425828926402</v>
      </c>
      <c r="Q70" s="448">
        <f>'Key input_Biofuel production'!$C$10*10^3</f>
        <v>0.54034425828926402</v>
      </c>
      <c r="R70" s="448">
        <f>'Key input_Biofuel production'!$C$10*10^3</f>
        <v>0.54034425828926402</v>
      </c>
      <c r="S70" s="448">
        <f>'Key input_Biofuel production'!$C$10*10^3</f>
        <v>0.54034425828926402</v>
      </c>
      <c r="T70" s="448">
        <f>'Key input_Biofuel production'!$C$10*10^3</f>
        <v>0.54034425828926402</v>
      </c>
      <c r="U70" s="448">
        <f>'Key input_Biofuel production'!$C$10*10^3</f>
        <v>0.54034425828926402</v>
      </c>
      <c r="V70" s="448">
        <f>'Key input_Biofuel production'!$C$10*10^3</f>
        <v>0.54034425828926402</v>
      </c>
      <c r="W70" s="448">
        <f>'Key input_Biofuel production'!$C$10*10^3</f>
        <v>0.54034425828926402</v>
      </c>
      <c r="X70" s="448">
        <f>'Key input_Biofuel production'!$C$10*10^3</f>
        <v>0.54034425828926402</v>
      </c>
      <c r="Y70" s="448">
        <f>'Key input_Biofuel production'!$C$10*10^3</f>
        <v>0.54034425828926402</v>
      </c>
      <c r="Z70" s="448">
        <f>'Key input_Biofuel production'!$C$10*10^3</f>
        <v>0.54034425828926402</v>
      </c>
      <c r="AA70" s="448">
        <f>'Key input_Biofuel production'!$C$10*10^3</f>
        <v>0.54034425828926402</v>
      </c>
      <c r="AB70" s="448">
        <f>'Key input_Biofuel production'!$C$10*10^3</f>
        <v>0.54034425828926402</v>
      </c>
      <c r="AC70" s="448">
        <f>'Key input_Biofuel production'!$C$10*10^3</f>
        <v>0.54034425828926402</v>
      </c>
      <c r="AD70" s="448">
        <f>'Key input_Biofuel production'!$C$10*10^3</f>
        <v>0.54034425828926402</v>
      </c>
      <c r="AE70" s="448">
        <f>'Key input_Biofuel production'!$C$10*10^3</f>
        <v>0.54034425828926402</v>
      </c>
      <c r="AF70" s="448">
        <f>'Key input_Biofuel production'!$C$10*10^3</f>
        <v>0.54034425828926402</v>
      </c>
      <c r="AG70" s="448">
        <f>'Key input_Biofuel production'!$C$10*10^3</f>
        <v>0.54034425828926402</v>
      </c>
      <c r="AH70" s="448">
        <f>'Key input_Biofuel production'!$C$10*10^3</f>
        <v>0.54034425828926402</v>
      </c>
      <c r="AI70" s="448">
        <f>'Key input_Biofuel production'!$C$10*10^3</f>
        <v>0.54034425828926402</v>
      </c>
      <c r="AJ70" s="448">
        <f>'Key input_Biofuel production'!$C$10*10^3</f>
        <v>0.54034425828926402</v>
      </c>
      <c r="AK70" s="448">
        <f>'Key input_Biofuel production'!$C$10*10^3</f>
        <v>0.54034425828926402</v>
      </c>
      <c r="AL70" s="448">
        <f>'Key input_Biofuel production'!$C$10*10^3</f>
        <v>0.54034425828926402</v>
      </c>
    </row>
    <row r="71" spans="1:47">
      <c r="G71" s="4" t="s">
        <v>675</v>
      </c>
      <c r="H71" s="4"/>
      <c r="I71" s="4"/>
      <c r="J71" s="4" t="s">
        <v>2662</v>
      </c>
      <c r="K71" s="355"/>
      <c r="L71" s="355"/>
      <c r="M71" s="355"/>
      <c r="N71" s="355"/>
      <c r="O71" s="355"/>
      <c r="P71" s="355"/>
      <c r="Q71" s="355"/>
      <c r="R71" s="355"/>
      <c r="S71" s="355"/>
      <c r="T71" s="355"/>
      <c r="U71" s="355"/>
      <c r="V71" s="355"/>
      <c r="W71" s="355"/>
      <c r="X71" s="355"/>
      <c r="Y71" s="355"/>
      <c r="Z71" s="355"/>
      <c r="AA71" s="355"/>
      <c r="AB71" s="355"/>
      <c r="AC71" s="355"/>
      <c r="AD71" s="355"/>
      <c r="AE71" s="355"/>
      <c r="AF71" s="355"/>
      <c r="AG71" s="355"/>
      <c r="AH71" s="355"/>
      <c r="AI71" s="355"/>
      <c r="AJ71" s="355"/>
      <c r="AK71" s="355"/>
      <c r="AL71" s="355"/>
    </row>
    <row r="72" spans="1:47">
      <c r="C72" t="str">
        <f>Commodities!$C$65</f>
        <v>BIOCRL</v>
      </c>
      <c r="D72" t="str">
        <f>Commodities!$C$78</f>
        <v>BIOETH</v>
      </c>
      <c r="G72" s="4" t="s">
        <v>690</v>
      </c>
      <c r="J72" t="s">
        <v>2666</v>
      </c>
      <c r="K72" s="331">
        <v>1</v>
      </c>
      <c r="L72" s="331">
        <v>1</v>
      </c>
      <c r="M72" s="331">
        <v>1</v>
      </c>
      <c r="N72" s="331">
        <v>1</v>
      </c>
      <c r="O72" s="331">
        <v>1</v>
      </c>
      <c r="P72" s="331">
        <v>1</v>
      </c>
      <c r="Q72" s="331">
        <v>1</v>
      </c>
      <c r="R72" s="331">
        <v>1</v>
      </c>
      <c r="S72" s="331">
        <v>1</v>
      </c>
      <c r="T72" s="331">
        <v>1</v>
      </c>
      <c r="U72" s="331">
        <v>1</v>
      </c>
      <c r="V72" s="331">
        <v>1</v>
      </c>
      <c r="W72" s="331">
        <v>1</v>
      </c>
      <c r="X72" s="331">
        <v>1</v>
      </c>
      <c r="Y72" s="331">
        <v>1</v>
      </c>
      <c r="Z72" s="331">
        <v>1</v>
      </c>
      <c r="AA72" s="331">
        <v>1</v>
      </c>
      <c r="AB72" s="331">
        <v>1</v>
      </c>
      <c r="AC72" s="331">
        <v>1</v>
      </c>
      <c r="AD72" s="331">
        <v>1</v>
      </c>
      <c r="AE72" s="331">
        <v>1</v>
      </c>
      <c r="AF72" s="331">
        <v>1</v>
      </c>
      <c r="AG72" s="331">
        <v>1</v>
      </c>
      <c r="AH72" s="331">
        <v>1</v>
      </c>
      <c r="AI72" s="331">
        <v>1</v>
      </c>
      <c r="AJ72" s="331">
        <v>1</v>
      </c>
      <c r="AK72" s="331">
        <v>1</v>
      </c>
      <c r="AL72" s="331">
        <v>1</v>
      </c>
    </row>
    <row r="73" spans="1:47">
      <c r="E73" s="4" t="s">
        <v>359</v>
      </c>
      <c r="F73" s="4" t="s">
        <v>691</v>
      </c>
      <c r="G73" s="4" t="s">
        <v>692</v>
      </c>
      <c r="I73">
        <v>2020</v>
      </c>
      <c r="J73" t="s">
        <v>2667</v>
      </c>
      <c r="K73" s="209">
        <f>1/'Key input_Biofuel production'!$C$11</f>
        <v>2.67839627690201</v>
      </c>
      <c r="L73" s="209">
        <f>1/'Key input_Biofuel production'!$C$11</f>
        <v>2.67839627690201</v>
      </c>
      <c r="M73" s="209">
        <f>1/'Key input_Biofuel production'!$C$11</f>
        <v>2.67839627690201</v>
      </c>
      <c r="N73" s="209">
        <f>1/'Key input_Biofuel production'!$C$11</f>
        <v>2.67839627690201</v>
      </c>
      <c r="O73" s="209">
        <f>1/'Key input_Biofuel production'!$C$11</f>
        <v>2.67839627690201</v>
      </c>
      <c r="P73" s="209">
        <f>1/'Key input_Biofuel production'!$C$11</f>
        <v>2.67839627690201</v>
      </c>
      <c r="Q73" s="209">
        <f>1/'Key input_Biofuel production'!$C$11</f>
        <v>2.67839627690201</v>
      </c>
      <c r="R73" s="209">
        <f>1/'Key input_Biofuel production'!$C$11</f>
        <v>2.67839627690201</v>
      </c>
      <c r="S73" s="209">
        <f>1/'Key input_Biofuel production'!$C$11</f>
        <v>2.67839627690201</v>
      </c>
      <c r="T73" s="209">
        <f>1/'Key input_Biofuel production'!$C$11</f>
        <v>2.67839627690201</v>
      </c>
      <c r="U73" s="209">
        <f>1/'Key input_Biofuel production'!$C$11</f>
        <v>2.67839627690201</v>
      </c>
      <c r="V73" s="209">
        <f>1/'Key input_Biofuel production'!$C$11</f>
        <v>2.67839627690201</v>
      </c>
      <c r="W73" s="209">
        <f>1/'Key input_Biofuel production'!$C$11</f>
        <v>2.67839627690201</v>
      </c>
      <c r="X73" s="209">
        <f>1/'Key input_Biofuel production'!$C$11</f>
        <v>2.67839627690201</v>
      </c>
      <c r="Y73" s="209">
        <f>1/'Key input_Biofuel production'!$C$11</f>
        <v>2.67839627690201</v>
      </c>
      <c r="Z73" s="209">
        <f>1/'Key input_Biofuel production'!$C$11</f>
        <v>2.67839627690201</v>
      </c>
      <c r="AA73" s="209">
        <f>1/'Key input_Biofuel production'!$C$11</f>
        <v>2.67839627690201</v>
      </c>
      <c r="AB73" s="209">
        <f>1/'Key input_Biofuel production'!$C$11</f>
        <v>2.67839627690201</v>
      </c>
      <c r="AC73" s="209">
        <f>1/'Key input_Biofuel production'!$C$11</f>
        <v>2.67839627690201</v>
      </c>
      <c r="AD73" s="209">
        <f>1/'Key input_Biofuel production'!$C$11</f>
        <v>2.67839627690201</v>
      </c>
      <c r="AE73" s="209">
        <f>1/'Key input_Biofuel production'!$C$11</f>
        <v>2.67839627690201</v>
      </c>
      <c r="AF73" s="209">
        <f>1/'Key input_Biofuel production'!$C$11</f>
        <v>2.67839627690201</v>
      </c>
      <c r="AG73" s="209">
        <f>1/'Key input_Biofuel production'!$C$11</f>
        <v>2.67839627690201</v>
      </c>
      <c r="AH73" s="209">
        <f>1/'Key input_Biofuel production'!$C$11</f>
        <v>2.67839627690201</v>
      </c>
      <c r="AI73" s="209">
        <f>1/'Key input_Biofuel production'!$C$11</f>
        <v>2.67839627690201</v>
      </c>
      <c r="AJ73" s="209">
        <f>1/'Key input_Biofuel production'!$C$11</f>
        <v>2.67839627690201</v>
      </c>
      <c r="AK73" s="209">
        <f>1/'Key input_Biofuel production'!$C$11</f>
        <v>2.67839627690201</v>
      </c>
      <c r="AL73" s="209">
        <f>1/'Key input_Biofuel production'!$C$11</f>
        <v>2.67839627690201</v>
      </c>
    </row>
    <row r="74" spans="1:47">
      <c r="C74" t="str">
        <f>Commodities!$C$91</f>
        <v>UPSELC</v>
      </c>
      <c r="F74" t="s">
        <v>359</v>
      </c>
      <c r="G74" s="4" t="s">
        <v>702</v>
      </c>
      <c r="H74" t="s">
        <v>661</v>
      </c>
      <c r="I74">
        <v>2020</v>
      </c>
      <c r="J74" s="4" t="s">
        <v>650</v>
      </c>
      <c r="K74" s="209">
        <f>'Key input_Biofuel production'!$C$12/SUM('Key input_Biofuel production'!$C$12:$C$13)</f>
        <v>6.4629517812473058E-2</v>
      </c>
      <c r="L74" s="209">
        <f>'Key input_Biofuel production'!$C$12/SUM('Key input_Biofuel production'!$C$12:$C$13)</f>
        <v>6.4629517812473058E-2</v>
      </c>
      <c r="M74" s="209">
        <f>'Key input_Biofuel production'!$C$12/SUM('Key input_Biofuel production'!$C$12:$C$13)</f>
        <v>6.4629517812473058E-2</v>
      </c>
      <c r="N74" s="209">
        <f>'Key input_Biofuel production'!$C$12/SUM('Key input_Biofuel production'!$C$12:$C$13)</f>
        <v>6.4629517812473058E-2</v>
      </c>
      <c r="O74" s="209">
        <f>'Key input_Biofuel production'!$C$12/SUM('Key input_Biofuel production'!$C$12:$C$13)</f>
        <v>6.4629517812473058E-2</v>
      </c>
      <c r="P74" s="209">
        <f>'Key input_Biofuel production'!$C$12/SUM('Key input_Biofuel production'!$C$12:$C$13)</f>
        <v>6.4629517812473058E-2</v>
      </c>
      <c r="Q74" s="209">
        <f>'Key input_Biofuel production'!$C$12/SUM('Key input_Biofuel production'!$C$12:$C$13)</f>
        <v>6.4629517812473058E-2</v>
      </c>
      <c r="R74" s="209">
        <f>'Key input_Biofuel production'!$C$12/SUM('Key input_Biofuel production'!$C$12:$C$13)</f>
        <v>6.4629517812473058E-2</v>
      </c>
      <c r="S74" s="209">
        <f>'Key input_Biofuel production'!$C$12/SUM('Key input_Biofuel production'!$C$12:$C$13)</f>
        <v>6.4629517812473058E-2</v>
      </c>
      <c r="T74" s="209">
        <f>'Key input_Biofuel production'!$C$12/SUM('Key input_Biofuel production'!$C$12:$C$13)</f>
        <v>6.4629517812473058E-2</v>
      </c>
      <c r="U74" s="209">
        <f>'Key input_Biofuel production'!$C$12/SUM('Key input_Biofuel production'!$C$12:$C$13)</f>
        <v>6.4629517812473058E-2</v>
      </c>
      <c r="V74" s="209">
        <f>'Key input_Biofuel production'!$C$12/SUM('Key input_Biofuel production'!$C$12:$C$13)</f>
        <v>6.4629517812473058E-2</v>
      </c>
      <c r="W74" s="209">
        <f>'Key input_Biofuel production'!$C$12/SUM('Key input_Biofuel production'!$C$12:$C$13)</f>
        <v>6.4629517812473058E-2</v>
      </c>
      <c r="X74" s="209">
        <f>'Key input_Biofuel production'!$C$12/SUM('Key input_Biofuel production'!$C$12:$C$13)</f>
        <v>6.4629517812473058E-2</v>
      </c>
      <c r="Y74" s="209">
        <f>'Key input_Biofuel production'!$C$12/SUM('Key input_Biofuel production'!$C$12:$C$13)</f>
        <v>6.4629517812473058E-2</v>
      </c>
      <c r="Z74" s="209">
        <f>'Key input_Biofuel production'!$C$12/SUM('Key input_Biofuel production'!$C$12:$C$13)</f>
        <v>6.4629517812473058E-2</v>
      </c>
      <c r="AA74" s="209">
        <f>'Key input_Biofuel production'!$C$12/SUM('Key input_Biofuel production'!$C$12:$C$13)</f>
        <v>6.4629517812473058E-2</v>
      </c>
      <c r="AB74" s="209">
        <f>'Key input_Biofuel production'!$C$12/SUM('Key input_Biofuel production'!$C$12:$C$13)</f>
        <v>6.4629517812473058E-2</v>
      </c>
      <c r="AC74" s="209">
        <f>'Key input_Biofuel production'!$C$12/SUM('Key input_Biofuel production'!$C$12:$C$13)</f>
        <v>6.4629517812473058E-2</v>
      </c>
      <c r="AD74" s="209">
        <f>'Key input_Biofuel production'!$C$12/SUM('Key input_Biofuel production'!$C$12:$C$13)</f>
        <v>6.4629517812473058E-2</v>
      </c>
      <c r="AE74" s="209">
        <f>'Key input_Biofuel production'!$C$12/SUM('Key input_Biofuel production'!$C$12:$C$13)</f>
        <v>6.4629517812473058E-2</v>
      </c>
      <c r="AF74" s="209">
        <f>'Key input_Biofuel production'!$C$12/SUM('Key input_Biofuel production'!$C$12:$C$13)</f>
        <v>6.4629517812473058E-2</v>
      </c>
      <c r="AG74" s="209">
        <f>'Key input_Biofuel production'!$C$12/SUM('Key input_Biofuel production'!$C$12:$C$13)</f>
        <v>6.4629517812473058E-2</v>
      </c>
      <c r="AH74" s="209">
        <f>'Key input_Biofuel production'!$C$12/SUM('Key input_Biofuel production'!$C$12:$C$13)</f>
        <v>6.4629517812473058E-2</v>
      </c>
      <c r="AI74" s="209">
        <f>'Key input_Biofuel production'!$C$12/SUM('Key input_Biofuel production'!$C$12:$C$13)</f>
        <v>6.4629517812473058E-2</v>
      </c>
      <c r="AJ74" s="209">
        <f>'Key input_Biofuel production'!$C$12/SUM('Key input_Biofuel production'!$C$12:$C$13)</f>
        <v>6.4629517812473058E-2</v>
      </c>
      <c r="AK74" s="209">
        <f>'Key input_Biofuel production'!$C$12/SUM('Key input_Biofuel production'!$C$12:$C$13)</f>
        <v>6.4629517812473058E-2</v>
      </c>
      <c r="AL74" s="209">
        <f>'Key input_Biofuel production'!$C$12/SUM('Key input_Biofuel production'!$C$12:$C$13)</f>
        <v>6.4629517812473058E-2</v>
      </c>
    </row>
    <row r="75" spans="1:47">
      <c r="A75" s="236"/>
      <c r="B75" s="236"/>
      <c r="C75" s="236" t="str">
        <f>Commodities!$C$92</f>
        <v>UPSGAS</v>
      </c>
      <c r="D75" s="236"/>
      <c r="E75" s="236"/>
      <c r="F75" s="236" t="s">
        <v>359</v>
      </c>
      <c r="G75" s="259" t="s">
        <v>702</v>
      </c>
      <c r="H75" s="236" t="s">
        <v>661</v>
      </c>
      <c r="I75" s="236">
        <v>2020</v>
      </c>
      <c r="J75" s="236" t="s">
        <v>650</v>
      </c>
      <c r="K75" s="226">
        <f>1-K74</f>
        <v>0.93537048218752694</v>
      </c>
      <c r="L75" s="226">
        <f t="shared" ref="L75:AL75" si="3">1-L74</f>
        <v>0.93537048218752694</v>
      </c>
      <c r="M75" s="226">
        <f t="shared" si="3"/>
        <v>0.93537048218752694</v>
      </c>
      <c r="N75" s="226">
        <f t="shared" si="3"/>
        <v>0.93537048218752694</v>
      </c>
      <c r="O75" s="226">
        <f t="shared" si="3"/>
        <v>0.93537048218752694</v>
      </c>
      <c r="P75" s="226">
        <f t="shared" si="3"/>
        <v>0.93537048218752694</v>
      </c>
      <c r="Q75" s="226">
        <f t="shared" si="3"/>
        <v>0.93537048218752694</v>
      </c>
      <c r="R75" s="226">
        <f t="shared" si="3"/>
        <v>0.93537048218752694</v>
      </c>
      <c r="S75" s="226">
        <f t="shared" si="3"/>
        <v>0.93537048218752694</v>
      </c>
      <c r="T75" s="226">
        <f t="shared" si="3"/>
        <v>0.93537048218752694</v>
      </c>
      <c r="U75" s="226">
        <f t="shared" si="3"/>
        <v>0.93537048218752694</v>
      </c>
      <c r="V75" s="226">
        <f t="shared" si="3"/>
        <v>0.93537048218752694</v>
      </c>
      <c r="W75" s="226">
        <f t="shared" si="3"/>
        <v>0.93537048218752694</v>
      </c>
      <c r="X75" s="226">
        <f t="shared" si="3"/>
        <v>0.93537048218752694</v>
      </c>
      <c r="Y75" s="226">
        <f t="shared" si="3"/>
        <v>0.93537048218752694</v>
      </c>
      <c r="Z75" s="226">
        <f t="shared" si="3"/>
        <v>0.93537048218752694</v>
      </c>
      <c r="AA75" s="226">
        <f t="shared" si="3"/>
        <v>0.93537048218752694</v>
      </c>
      <c r="AB75" s="226">
        <f t="shared" si="3"/>
        <v>0.93537048218752694</v>
      </c>
      <c r="AC75" s="226">
        <f t="shared" si="3"/>
        <v>0.93537048218752694</v>
      </c>
      <c r="AD75" s="226">
        <f t="shared" si="3"/>
        <v>0.93537048218752694</v>
      </c>
      <c r="AE75" s="226">
        <f t="shared" si="3"/>
        <v>0.93537048218752694</v>
      </c>
      <c r="AF75" s="226">
        <f t="shared" si="3"/>
        <v>0.93537048218752694</v>
      </c>
      <c r="AG75" s="226">
        <f t="shared" si="3"/>
        <v>0.93537048218752694</v>
      </c>
      <c r="AH75" s="226">
        <f t="shared" si="3"/>
        <v>0.93537048218752694</v>
      </c>
      <c r="AI75" s="226">
        <f t="shared" si="3"/>
        <v>0.93537048218752694</v>
      </c>
      <c r="AJ75" s="226">
        <f t="shared" si="3"/>
        <v>0.93537048218752694</v>
      </c>
      <c r="AK75" s="226">
        <f t="shared" si="3"/>
        <v>0.93537048218752694</v>
      </c>
      <c r="AL75" s="226">
        <f t="shared" si="3"/>
        <v>0.93537048218752694</v>
      </c>
    </row>
    <row r="76" spans="1:47">
      <c r="A76" s="4" t="str">
        <f>AO14</f>
        <v>U-TRF-BIORNG_ADU_00</v>
      </c>
      <c r="B76" s="4" t="str">
        <f>AP14</f>
        <v>UPS Transformation: Renewable natural gas production - Anaerovic digester + Upgrading - Existing - Without energy consumption</v>
      </c>
      <c r="C76" s="4"/>
      <c r="D76" s="4"/>
      <c r="E76" s="4"/>
      <c r="F76" s="4"/>
      <c r="G76" s="4" t="s">
        <v>695</v>
      </c>
      <c r="H76" s="4"/>
      <c r="I76" s="4"/>
      <c r="J76" s="4" t="s">
        <v>2665</v>
      </c>
      <c r="K76" s="333">
        <v>1</v>
      </c>
      <c r="L76" s="333">
        <v>1</v>
      </c>
      <c r="M76" s="333">
        <v>1</v>
      </c>
      <c r="N76" s="333">
        <v>1</v>
      </c>
      <c r="O76" s="333">
        <v>1</v>
      </c>
      <c r="P76" s="333">
        <v>1</v>
      </c>
      <c r="Q76" s="333">
        <v>1</v>
      </c>
      <c r="R76" s="333">
        <v>1</v>
      </c>
      <c r="S76" s="333">
        <v>1</v>
      </c>
      <c r="T76" s="333">
        <v>1</v>
      </c>
      <c r="U76" s="333">
        <v>1</v>
      </c>
      <c r="V76" s="333">
        <v>1</v>
      </c>
      <c r="W76" s="333">
        <v>1</v>
      </c>
      <c r="X76" s="333">
        <v>1</v>
      </c>
      <c r="Y76" s="333">
        <v>1</v>
      </c>
      <c r="Z76" s="333">
        <v>1</v>
      </c>
      <c r="AA76" s="333">
        <v>1</v>
      </c>
      <c r="AB76" s="333">
        <v>1</v>
      </c>
      <c r="AC76" s="333">
        <v>1</v>
      </c>
      <c r="AD76" s="333">
        <v>1</v>
      </c>
      <c r="AE76" s="333">
        <v>1</v>
      </c>
      <c r="AF76" s="333">
        <v>1</v>
      </c>
      <c r="AG76" s="333">
        <v>1</v>
      </c>
      <c r="AH76" s="333">
        <v>1</v>
      </c>
      <c r="AI76" s="333">
        <v>1</v>
      </c>
      <c r="AJ76" s="333">
        <v>1</v>
      </c>
      <c r="AK76" s="333">
        <v>1</v>
      </c>
      <c r="AL76" s="333">
        <v>1</v>
      </c>
    </row>
    <row r="77" spans="1:47">
      <c r="G77" s="4" t="s">
        <v>697</v>
      </c>
      <c r="H77" s="4"/>
      <c r="I77" s="4"/>
      <c r="J77" s="4" t="s">
        <v>698</v>
      </c>
      <c r="K77" s="331">
        <v>1</v>
      </c>
      <c r="L77" s="331">
        <v>1</v>
      </c>
      <c r="M77" s="331">
        <v>1</v>
      </c>
      <c r="N77" s="331">
        <v>1</v>
      </c>
      <c r="O77" s="331">
        <v>1</v>
      </c>
      <c r="P77" s="331">
        <v>1</v>
      </c>
      <c r="Q77" s="331">
        <v>1</v>
      </c>
      <c r="R77" s="331">
        <v>1</v>
      </c>
      <c r="S77" s="331">
        <v>1</v>
      </c>
      <c r="T77" s="331">
        <v>1</v>
      </c>
      <c r="U77" s="331">
        <v>1</v>
      </c>
      <c r="V77" s="331">
        <v>1</v>
      </c>
      <c r="W77" s="331">
        <v>1</v>
      </c>
      <c r="X77" s="331">
        <v>1</v>
      </c>
      <c r="Y77" s="331">
        <v>1</v>
      </c>
      <c r="Z77" s="331">
        <v>1</v>
      </c>
      <c r="AA77" s="331">
        <v>1</v>
      </c>
      <c r="AB77" s="331">
        <v>1</v>
      </c>
      <c r="AC77" s="331">
        <v>1</v>
      </c>
      <c r="AD77" s="331">
        <v>1</v>
      </c>
      <c r="AE77" s="331">
        <v>1</v>
      </c>
      <c r="AF77" s="331">
        <v>1</v>
      </c>
      <c r="AG77" s="331">
        <v>1</v>
      </c>
      <c r="AH77" s="331">
        <v>1</v>
      </c>
      <c r="AI77" s="331">
        <v>1</v>
      </c>
      <c r="AJ77" s="331">
        <v>1</v>
      </c>
      <c r="AK77" s="331">
        <v>1</v>
      </c>
      <c r="AL77" s="331">
        <v>1</v>
      </c>
    </row>
    <row r="78" spans="1:47">
      <c r="G78" s="4" t="s">
        <v>699</v>
      </c>
      <c r="H78" s="4"/>
      <c r="I78" s="4">
        <v>2019</v>
      </c>
      <c r="J78" s="4" t="s">
        <v>112</v>
      </c>
      <c r="K78" s="347">
        <f>'Key inputs_EB_MIN'!E7/1000</f>
        <v>5.0999999999999997E-2</v>
      </c>
      <c r="L78" s="347">
        <f>'Key inputs_EB_MIN'!F7/1000</f>
        <v>0</v>
      </c>
      <c r="M78" s="347">
        <f>'Key inputs_EB_MIN'!G7/1000</f>
        <v>4.2000000000000003E-2</v>
      </c>
      <c r="N78" s="347">
        <f>'Key inputs_EB_MIN'!H7/1000</f>
        <v>0</v>
      </c>
      <c r="O78" s="347">
        <f>'Key inputs_EB_MIN'!I7/1000</f>
        <v>14.826000000000001</v>
      </c>
      <c r="P78" s="347">
        <f>'Key inputs_EB_MIN'!J7/1000</f>
        <v>4.2999999999999997E-2</v>
      </c>
      <c r="Q78" s="347">
        <f>'Key inputs_EB_MIN'!K7/1000</f>
        <v>48.546999999999997</v>
      </c>
      <c r="R78" s="347">
        <f>'Key inputs_EB_MIN'!L7/1000</f>
        <v>7.2670000000000003</v>
      </c>
      <c r="S78" s="347">
        <f>'Key inputs_EB_MIN'!M7/1000</f>
        <v>6.9950000000000001</v>
      </c>
      <c r="T78" s="347">
        <f>'Key inputs_EB_MIN'!N7/1000</f>
        <v>12.401999999999999</v>
      </c>
      <c r="U78" s="347">
        <f>'Key inputs_EB_MIN'!O7/1000</f>
        <v>2.5659999999999998</v>
      </c>
      <c r="V78" s="347">
        <f>'Key inputs_EB_MIN'!P7/1000</f>
        <v>0</v>
      </c>
      <c r="W78" s="347">
        <f>'Key inputs_EB_MIN'!Q7/1000</f>
        <v>2.0550000000000002</v>
      </c>
      <c r="X78" s="347">
        <f>'Key inputs_EB_MIN'!R7/1000</f>
        <v>72.099999999999994</v>
      </c>
      <c r="Y78" s="347">
        <f>'Key inputs_EB_MIN'!S7/1000</f>
        <v>43.088000000000001</v>
      </c>
      <c r="Z78" s="347">
        <f>'Key inputs_EB_MIN'!T7/1000</f>
        <v>113.10299999999999</v>
      </c>
      <c r="AA78" s="347">
        <f>'Key inputs_EB_MIN'!U7/1000</f>
        <v>292.35399999999998</v>
      </c>
      <c r="AB78" s="347">
        <f>'Key inputs_EB_MIN'!V7/1000</f>
        <v>0.435</v>
      </c>
      <c r="AC78" s="347">
        <f>'Key inputs_EB_MIN'!W7/1000</f>
        <v>0</v>
      </c>
      <c r="AD78" s="347">
        <f>'Key inputs_EB_MIN'!X7/1000</f>
        <v>4.3999999999999997E-2</v>
      </c>
      <c r="AE78" s="347">
        <f>'Key inputs_EB_MIN'!Y7/1000</f>
        <v>1.516</v>
      </c>
      <c r="AF78" s="347">
        <f>'Key inputs_EB_MIN'!Z7/1000</f>
        <v>21.984999999999999</v>
      </c>
      <c r="AG78" s="347">
        <f>'Key inputs_EB_MIN'!AA7/1000</f>
        <v>0.17699999999999999</v>
      </c>
      <c r="AH78" s="347">
        <f>'Key inputs_EB_MIN'!AB7/1000</f>
        <v>1.133</v>
      </c>
      <c r="AI78" s="347">
        <f>'Key inputs_EB_MIN'!AC7/1000</f>
        <v>0</v>
      </c>
      <c r="AJ78" s="347">
        <f>'Key inputs_EB_MIN'!AD7/1000</f>
        <v>0</v>
      </c>
      <c r="AK78" s="347">
        <f>'Key inputs_EB_MIN'!AE7/1000</f>
        <v>6.2009999999999996</v>
      </c>
      <c r="AL78" s="347">
        <f>'Key inputs_EB_MIN'!AF7/1000</f>
        <v>121.56</v>
      </c>
    </row>
    <row r="79" spans="1:47">
      <c r="G79" s="4" t="s">
        <v>632</v>
      </c>
      <c r="H79" s="4" t="s">
        <v>700</v>
      </c>
      <c r="I79" s="4">
        <v>2019</v>
      </c>
      <c r="J79" s="4" t="s">
        <v>112</v>
      </c>
      <c r="K79" s="421">
        <v>1</v>
      </c>
      <c r="L79" s="421">
        <v>1</v>
      </c>
      <c r="M79" s="421">
        <v>1</v>
      </c>
      <c r="N79" s="421">
        <v>1</v>
      </c>
      <c r="O79" s="421">
        <v>1</v>
      </c>
      <c r="P79" s="421">
        <v>1</v>
      </c>
      <c r="Q79" s="421">
        <v>1</v>
      </c>
      <c r="R79" s="421">
        <v>1</v>
      </c>
      <c r="S79" s="421">
        <v>1</v>
      </c>
      <c r="T79" s="421">
        <v>1</v>
      </c>
      <c r="U79" s="421">
        <v>1</v>
      </c>
      <c r="V79" s="421">
        <v>1</v>
      </c>
      <c r="W79" s="421">
        <v>1</v>
      </c>
      <c r="X79" s="421">
        <v>1</v>
      </c>
      <c r="Y79" s="421">
        <v>1</v>
      </c>
      <c r="Z79" s="421">
        <v>1</v>
      </c>
      <c r="AA79" s="421">
        <v>1</v>
      </c>
      <c r="AB79" s="421">
        <v>1</v>
      </c>
      <c r="AC79" s="421">
        <v>1</v>
      </c>
      <c r="AD79" s="421">
        <v>1</v>
      </c>
      <c r="AE79" s="421">
        <v>1</v>
      </c>
      <c r="AF79" s="421">
        <v>1</v>
      </c>
      <c r="AG79" s="421">
        <v>1</v>
      </c>
      <c r="AH79" s="421">
        <v>1</v>
      </c>
      <c r="AI79" s="421">
        <v>1</v>
      </c>
      <c r="AJ79" s="421">
        <v>1</v>
      </c>
      <c r="AK79" s="421">
        <v>1</v>
      </c>
      <c r="AL79" s="421">
        <v>1</v>
      </c>
    </row>
    <row r="80" spans="1:47">
      <c r="G80" s="4" t="s">
        <v>632</v>
      </c>
      <c r="H80" s="4" t="s">
        <v>700</v>
      </c>
      <c r="I80" s="4">
        <v>2020</v>
      </c>
      <c r="J80" s="4" t="s">
        <v>112</v>
      </c>
      <c r="K80" s="421">
        <v>0</v>
      </c>
      <c r="L80" s="421">
        <v>0</v>
      </c>
      <c r="M80" s="421">
        <v>0</v>
      </c>
      <c r="N80" s="421">
        <v>0</v>
      </c>
      <c r="O80" s="421">
        <v>0</v>
      </c>
      <c r="P80" s="421">
        <v>0</v>
      </c>
      <c r="Q80" s="421">
        <v>0</v>
      </c>
      <c r="R80" s="421">
        <v>0</v>
      </c>
      <c r="S80" s="421">
        <v>0</v>
      </c>
      <c r="T80" s="421">
        <v>0</v>
      </c>
      <c r="U80" s="421">
        <v>0</v>
      </c>
      <c r="V80" s="421">
        <v>0</v>
      </c>
      <c r="W80" s="421">
        <v>0</v>
      </c>
      <c r="X80" s="421">
        <v>0</v>
      </c>
      <c r="Y80" s="421">
        <v>0</v>
      </c>
      <c r="Z80" s="421">
        <v>0</v>
      </c>
      <c r="AA80" s="421">
        <v>0</v>
      </c>
      <c r="AB80" s="421">
        <v>0</v>
      </c>
      <c r="AC80" s="421">
        <v>0</v>
      </c>
      <c r="AD80" s="421">
        <v>0</v>
      </c>
      <c r="AE80" s="421">
        <v>0</v>
      </c>
      <c r="AF80" s="421">
        <v>0</v>
      </c>
      <c r="AG80" s="421">
        <v>0</v>
      </c>
      <c r="AH80" s="421">
        <v>0</v>
      </c>
      <c r="AI80" s="421">
        <v>0</v>
      </c>
      <c r="AJ80" s="421">
        <v>0</v>
      </c>
      <c r="AK80" s="421">
        <v>0</v>
      </c>
      <c r="AL80" s="421">
        <v>0</v>
      </c>
    </row>
    <row r="81" spans="1:38">
      <c r="G81" s="4" t="s">
        <v>632</v>
      </c>
      <c r="H81" s="4" t="s">
        <v>700</v>
      </c>
      <c r="I81" s="4">
        <v>2060</v>
      </c>
      <c r="J81" s="4" t="s">
        <v>112</v>
      </c>
      <c r="K81" s="421">
        <v>0</v>
      </c>
      <c r="L81" s="421">
        <v>0</v>
      </c>
      <c r="M81" s="421">
        <v>0</v>
      </c>
      <c r="N81" s="421">
        <v>0</v>
      </c>
      <c r="O81" s="421">
        <v>0</v>
      </c>
      <c r="P81" s="421">
        <v>0</v>
      </c>
      <c r="Q81" s="421">
        <v>0</v>
      </c>
      <c r="R81" s="421">
        <v>0</v>
      </c>
      <c r="S81" s="421">
        <v>0</v>
      </c>
      <c r="T81" s="421">
        <v>0</v>
      </c>
      <c r="U81" s="421">
        <v>0</v>
      </c>
      <c r="V81" s="421">
        <v>0</v>
      </c>
      <c r="W81" s="421">
        <v>0</v>
      </c>
      <c r="X81" s="421">
        <v>0</v>
      </c>
      <c r="Y81" s="421">
        <v>0</v>
      </c>
      <c r="Z81" s="421">
        <v>0</v>
      </c>
      <c r="AA81" s="421">
        <v>0</v>
      </c>
      <c r="AB81" s="421">
        <v>0</v>
      </c>
      <c r="AC81" s="421">
        <v>0</v>
      </c>
      <c r="AD81" s="421">
        <v>0</v>
      </c>
      <c r="AE81" s="421">
        <v>0</v>
      </c>
      <c r="AF81" s="421">
        <v>0</v>
      </c>
      <c r="AG81" s="421">
        <v>0</v>
      </c>
      <c r="AH81" s="421">
        <v>0</v>
      </c>
      <c r="AI81" s="421">
        <v>0</v>
      </c>
      <c r="AJ81" s="421">
        <v>0</v>
      </c>
      <c r="AK81" s="421">
        <v>0</v>
      </c>
      <c r="AL81" s="421">
        <v>0</v>
      </c>
    </row>
    <row r="82" spans="1:38">
      <c r="G82" s="4" t="s">
        <v>632</v>
      </c>
      <c r="H82" s="4" t="s">
        <v>700</v>
      </c>
      <c r="I82" s="4">
        <v>0</v>
      </c>
      <c r="J82" s="4"/>
      <c r="K82" s="421">
        <v>5</v>
      </c>
      <c r="L82" s="421">
        <v>5</v>
      </c>
      <c r="M82" s="421">
        <v>5</v>
      </c>
      <c r="N82" s="421">
        <v>5</v>
      </c>
      <c r="O82" s="421">
        <v>5</v>
      </c>
      <c r="P82" s="421">
        <v>5</v>
      </c>
      <c r="Q82" s="421">
        <v>5</v>
      </c>
      <c r="R82" s="421">
        <v>5</v>
      </c>
      <c r="S82" s="421">
        <v>5</v>
      </c>
      <c r="T82" s="421">
        <v>5</v>
      </c>
      <c r="U82" s="421">
        <v>5</v>
      </c>
      <c r="V82" s="421">
        <v>5</v>
      </c>
      <c r="W82" s="421">
        <v>5</v>
      </c>
      <c r="X82" s="421">
        <v>5</v>
      </c>
      <c r="Y82" s="421">
        <v>5</v>
      </c>
      <c r="Z82" s="421">
        <v>5</v>
      </c>
      <c r="AA82" s="421">
        <v>5</v>
      </c>
      <c r="AB82" s="421">
        <v>5</v>
      </c>
      <c r="AC82" s="421">
        <v>5</v>
      </c>
      <c r="AD82" s="421">
        <v>5</v>
      </c>
      <c r="AE82" s="421">
        <v>5</v>
      </c>
      <c r="AF82" s="421">
        <v>5</v>
      </c>
      <c r="AG82" s="421">
        <v>5</v>
      </c>
      <c r="AH82" s="421">
        <v>5</v>
      </c>
      <c r="AI82" s="421">
        <v>5</v>
      </c>
      <c r="AJ82" s="421">
        <v>5</v>
      </c>
      <c r="AK82" s="421">
        <v>5</v>
      </c>
      <c r="AL82" s="421">
        <v>5</v>
      </c>
    </row>
    <row r="83" spans="1:38">
      <c r="G83" s="4" t="s">
        <v>701</v>
      </c>
      <c r="H83" s="4" t="s">
        <v>661</v>
      </c>
      <c r="I83" s="4">
        <v>2019</v>
      </c>
      <c r="J83" s="4" t="s">
        <v>112</v>
      </c>
      <c r="K83" s="333">
        <v>0</v>
      </c>
      <c r="L83" s="333">
        <v>0</v>
      </c>
      <c r="M83" s="333">
        <v>0</v>
      </c>
      <c r="N83" s="333">
        <v>0</v>
      </c>
      <c r="O83" s="333">
        <v>0</v>
      </c>
      <c r="P83" s="333">
        <v>0</v>
      </c>
      <c r="Q83" s="333">
        <v>0</v>
      </c>
      <c r="R83" s="333">
        <v>0</v>
      </c>
      <c r="S83" s="333">
        <v>0</v>
      </c>
      <c r="T83" s="333">
        <v>0</v>
      </c>
      <c r="U83" s="333">
        <v>0</v>
      </c>
      <c r="V83" s="333">
        <v>0</v>
      </c>
      <c r="W83" s="333">
        <v>0</v>
      </c>
      <c r="X83" s="333">
        <v>0</v>
      </c>
      <c r="Y83" s="333">
        <v>0</v>
      </c>
      <c r="Z83" s="333">
        <v>0</v>
      </c>
      <c r="AA83" s="333">
        <v>0</v>
      </c>
      <c r="AB83" s="333">
        <v>0</v>
      </c>
      <c r="AC83" s="333">
        <v>0</v>
      </c>
      <c r="AD83" s="333">
        <v>0</v>
      </c>
      <c r="AE83" s="333">
        <v>0</v>
      </c>
      <c r="AF83" s="333">
        <v>0</v>
      </c>
      <c r="AG83" s="333">
        <v>0</v>
      </c>
      <c r="AH83" s="333">
        <v>0</v>
      </c>
      <c r="AI83" s="333">
        <v>0</v>
      </c>
      <c r="AJ83" s="333">
        <v>0</v>
      </c>
      <c r="AK83" s="333">
        <v>0</v>
      </c>
      <c r="AL83" s="333">
        <v>0</v>
      </c>
    </row>
    <row r="84" spans="1:38">
      <c r="G84" s="4" t="s">
        <v>701</v>
      </c>
      <c r="H84" s="4" t="s">
        <v>661</v>
      </c>
      <c r="I84" s="4">
        <v>2060</v>
      </c>
      <c r="J84" s="4" t="s">
        <v>112</v>
      </c>
      <c r="K84" s="333">
        <v>0</v>
      </c>
      <c r="L84" s="333">
        <v>0</v>
      </c>
      <c r="M84" s="333">
        <v>0</v>
      </c>
      <c r="N84" s="333">
        <v>0</v>
      </c>
      <c r="O84" s="333">
        <v>0</v>
      </c>
      <c r="P84" s="333">
        <v>0</v>
      </c>
      <c r="Q84" s="333">
        <v>0</v>
      </c>
      <c r="R84" s="333">
        <v>0</v>
      </c>
      <c r="S84" s="333">
        <v>0</v>
      </c>
      <c r="T84" s="333">
        <v>0</v>
      </c>
      <c r="U84" s="333">
        <v>0</v>
      </c>
      <c r="V84" s="333">
        <v>0</v>
      </c>
      <c r="W84" s="333">
        <v>0</v>
      </c>
      <c r="X84" s="333">
        <v>0</v>
      </c>
      <c r="Y84" s="333">
        <v>0</v>
      </c>
      <c r="Z84" s="333">
        <v>0</v>
      </c>
      <c r="AA84" s="333">
        <v>0</v>
      </c>
      <c r="AB84" s="333">
        <v>0</v>
      </c>
      <c r="AC84" s="333">
        <v>0</v>
      </c>
      <c r="AD84" s="333">
        <v>0</v>
      </c>
      <c r="AE84" s="333">
        <v>0</v>
      </c>
      <c r="AF84" s="333">
        <v>0</v>
      </c>
      <c r="AG84" s="333">
        <v>0</v>
      </c>
      <c r="AH84" s="333">
        <v>0</v>
      </c>
      <c r="AI84" s="333">
        <v>0</v>
      </c>
      <c r="AJ84" s="333">
        <v>0</v>
      </c>
      <c r="AK84" s="333">
        <v>0</v>
      </c>
      <c r="AL84" s="333">
        <v>0</v>
      </c>
    </row>
    <row r="85" spans="1:38">
      <c r="G85" s="4" t="s">
        <v>701</v>
      </c>
      <c r="H85" s="4" t="s">
        <v>661</v>
      </c>
      <c r="I85" s="4">
        <v>0</v>
      </c>
      <c r="J85" s="4"/>
      <c r="K85" s="333">
        <v>5</v>
      </c>
      <c r="L85" s="333">
        <v>5</v>
      </c>
      <c r="M85" s="333">
        <v>5</v>
      </c>
      <c r="N85" s="333">
        <v>5</v>
      </c>
      <c r="O85" s="333">
        <v>5</v>
      </c>
      <c r="P85" s="333">
        <v>5</v>
      </c>
      <c r="Q85" s="333">
        <v>5</v>
      </c>
      <c r="R85" s="333">
        <v>5</v>
      </c>
      <c r="S85" s="333">
        <v>5</v>
      </c>
      <c r="T85" s="333">
        <v>5</v>
      </c>
      <c r="U85" s="333">
        <v>5</v>
      </c>
      <c r="V85" s="333">
        <v>5</v>
      </c>
      <c r="W85" s="333">
        <v>5</v>
      </c>
      <c r="X85" s="333">
        <v>5</v>
      </c>
      <c r="Y85" s="333">
        <v>5</v>
      </c>
      <c r="Z85" s="333">
        <v>5</v>
      </c>
      <c r="AA85" s="333">
        <v>5</v>
      </c>
      <c r="AB85" s="333">
        <v>5</v>
      </c>
      <c r="AC85" s="333">
        <v>5</v>
      </c>
      <c r="AD85" s="333">
        <v>5</v>
      </c>
      <c r="AE85" s="333">
        <v>5</v>
      </c>
      <c r="AF85" s="333">
        <v>5</v>
      </c>
      <c r="AG85" s="333">
        <v>5</v>
      </c>
      <c r="AH85" s="333">
        <v>5</v>
      </c>
      <c r="AI85" s="333">
        <v>5</v>
      </c>
      <c r="AJ85" s="333">
        <v>5</v>
      </c>
      <c r="AK85" s="333">
        <v>5</v>
      </c>
      <c r="AL85" s="333">
        <v>5</v>
      </c>
    </row>
    <row r="86" spans="1:38">
      <c r="G86" s="4" t="s">
        <v>687</v>
      </c>
      <c r="H86" s="4"/>
      <c r="I86" s="4"/>
      <c r="J86" s="4" t="s">
        <v>2663</v>
      </c>
      <c r="K86" s="355"/>
      <c r="L86" s="355"/>
      <c r="M86" s="355"/>
      <c r="N86" s="355"/>
      <c r="O86" s="355"/>
      <c r="P86" s="355"/>
      <c r="Q86" s="355"/>
      <c r="R86" s="355"/>
      <c r="S86" s="355"/>
      <c r="T86" s="355"/>
      <c r="U86" s="355"/>
      <c r="V86" s="355"/>
      <c r="W86" s="355"/>
      <c r="X86" s="355"/>
      <c r="Y86" s="355"/>
      <c r="Z86" s="355"/>
      <c r="AA86" s="355"/>
      <c r="AB86" s="355"/>
      <c r="AC86" s="355"/>
      <c r="AD86" s="355"/>
      <c r="AE86" s="355"/>
      <c r="AF86" s="355"/>
      <c r="AG86" s="355"/>
      <c r="AH86" s="355"/>
      <c r="AI86" s="355"/>
      <c r="AJ86" s="355"/>
      <c r="AK86" s="355"/>
      <c r="AL86" s="355"/>
    </row>
    <row r="87" spans="1:38">
      <c r="G87" s="4" t="s">
        <v>689</v>
      </c>
      <c r="H87" s="4"/>
      <c r="I87" s="4"/>
      <c r="J87" s="4" t="s">
        <v>2663</v>
      </c>
      <c r="K87" s="355"/>
      <c r="L87" s="355"/>
      <c r="M87" s="355"/>
      <c r="N87" s="355"/>
      <c r="O87" s="355"/>
      <c r="P87" s="355"/>
      <c r="Q87" s="355"/>
      <c r="R87" s="355"/>
      <c r="S87" s="355"/>
      <c r="T87" s="355"/>
      <c r="U87" s="355"/>
      <c r="V87" s="355"/>
      <c r="W87" s="355"/>
      <c r="X87" s="355"/>
      <c r="Y87" s="355"/>
      <c r="Z87" s="355"/>
      <c r="AA87" s="355"/>
      <c r="AB87" s="355"/>
      <c r="AC87" s="355"/>
      <c r="AD87" s="355"/>
      <c r="AE87" s="355"/>
      <c r="AF87" s="355"/>
      <c r="AG87" s="355"/>
      <c r="AH87" s="355"/>
      <c r="AI87" s="355"/>
      <c r="AJ87" s="355"/>
      <c r="AK87" s="355"/>
      <c r="AL87" s="355"/>
    </row>
    <row r="88" spans="1:38">
      <c r="G88" s="4" t="s">
        <v>675</v>
      </c>
      <c r="H88" s="4"/>
      <c r="I88" s="4"/>
      <c r="J88" s="4" t="s">
        <v>2662</v>
      </c>
      <c r="K88" s="355"/>
      <c r="L88" s="355"/>
      <c r="M88" s="355"/>
      <c r="N88" s="355"/>
      <c r="O88" s="355"/>
      <c r="P88" s="355"/>
      <c r="Q88" s="355"/>
      <c r="R88" s="355"/>
      <c r="S88" s="355"/>
      <c r="T88" s="355"/>
      <c r="U88" s="355"/>
      <c r="V88" s="355"/>
      <c r="W88" s="355"/>
      <c r="X88" s="355"/>
      <c r="Y88" s="355"/>
      <c r="Z88" s="355"/>
      <c r="AA88" s="355"/>
      <c r="AB88" s="355"/>
      <c r="AC88" s="355"/>
      <c r="AD88" s="355"/>
      <c r="AE88" s="355"/>
      <c r="AF88" s="355"/>
      <c r="AG88" s="355"/>
      <c r="AH88" s="355"/>
      <c r="AI88" s="355"/>
      <c r="AJ88" s="355"/>
      <c r="AK88" s="355"/>
      <c r="AL88" s="355"/>
    </row>
    <row r="89" spans="1:38">
      <c r="C89" t="str">
        <f>Commodities!$C$63</f>
        <v>BIOAGR</v>
      </c>
      <c r="D89" t="str">
        <f>Commodities!$C$72</f>
        <v>BIORNG</v>
      </c>
      <c r="G89" s="4" t="s">
        <v>630</v>
      </c>
      <c r="J89" t="s">
        <v>2666</v>
      </c>
      <c r="K89" s="209">
        <f>'Key input_Biofuel production'!$C$41/CommodityConv!$E$31</f>
        <v>291.55024823627673</v>
      </c>
      <c r="L89" s="209">
        <f>'Key input_Biofuel production'!$C$41/CommodityConv!$E$31</f>
        <v>291.55024823627673</v>
      </c>
      <c r="M89" s="209">
        <f>'Key input_Biofuel production'!$C$41/CommodityConv!$E$31</f>
        <v>291.55024823627673</v>
      </c>
      <c r="N89" s="209">
        <f>'Key input_Biofuel production'!$C$41/CommodityConv!$E$31</f>
        <v>291.55024823627673</v>
      </c>
      <c r="O89" s="209">
        <f>'Key input_Biofuel production'!$C$41/CommodityConv!$E$31</f>
        <v>291.55024823627673</v>
      </c>
      <c r="P89" s="209">
        <f>'Key input_Biofuel production'!$C$41/CommodityConv!$E$31</f>
        <v>291.55024823627673</v>
      </c>
      <c r="Q89" s="209">
        <f>'Key input_Biofuel production'!$C$41/CommodityConv!$E$31</f>
        <v>291.55024823627673</v>
      </c>
      <c r="R89" s="209">
        <f>'Key input_Biofuel production'!$C$41/CommodityConv!$E$31</f>
        <v>291.55024823627673</v>
      </c>
      <c r="S89" s="209">
        <f>'Key input_Biofuel production'!$C$41/CommodityConv!$E$31</f>
        <v>291.55024823627673</v>
      </c>
      <c r="T89" s="209">
        <f>'Key input_Biofuel production'!$C$41/CommodityConv!$E$31</f>
        <v>291.55024823627673</v>
      </c>
      <c r="U89" s="209">
        <f>'Key input_Biofuel production'!$C$41/CommodityConv!$E$31</f>
        <v>291.55024823627673</v>
      </c>
      <c r="V89" s="209">
        <f>'Key input_Biofuel production'!$C$41/CommodityConv!$E$31</f>
        <v>291.55024823627673</v>
      </c>
      <c r="W89" s="209">
        <f>'Key input_Biofuel production'!$C$41/CommodityConv!$E$31</f>
        <v>291.55024823627673</v>
      </c>
      <c r="X89" s="209">
        <f>'Key input_Biofuel production'!$C$41/CommodityConv!$E$31</f>
        <v>291.55024823627673</v>
      </c>
      <c r="Y89" s="209">
        <f>'Key input_Biofuel production'!$C$41/CommodityConv!$E$31</f>
        <v>291.55024823627673</v>
      </c>
      <c r="Z89" s="209">
        <f>'Key input_Biofuel production'!$C$41/CommodityConv!$E$31</f>
        <v>291.55024823627673</v>
      </c>
      <c r="AA89" s="209">
        <f>'Key input_Biofuel production'!$C$41/CommodityConv!$E$31</f>
        <v>291.55024823627673</v>
      </c>
      <c r="AB89" s="209">
        <f>'Key input_Biofuel production'!$C$41/CommodityConv!$E$31</f>
        <v>291.55024823627673</v>
      </c>
      <c r="AC89" s="209">
        <f>'Key input_Biofuel production'!$C$41/CommodityConv!$E$31</f>
        <v>291.55024823627673</v>
      </c>
      <c r="AD89" s="209">
        <f>'Key input_Biofuel production'!$C$41/CommodityConv!$E$31</f>
        <v>291.55024823627673</v>
      </c>
      <c r="AE89" s="209">
        <f>'Key input_Biofuel production'!$C$41/CommodityConv!$E$31</f>
        <v>291.55024823627673</v>
      </c>
      <c r="AF89" s="209">
        <f>'Key input_Biofuel production'!$C$41/CommodityConv!$E$31</f>
        <v>291.55024823627673</v>
      </c>
      <c r="AG89" s="209">
        <f>'Key input_Biofuel production'!$C$41/CommodityConv!$E$31</f>
        <v>291.55024823627673</v>
      </c>
      <c r="AH89" s="209">
        <f>'Key input_Biofuel production'!$C$41/CommodityConv!$E$31</f>
        <v>291.55024823627673</v>
      </c>
      <c r="AI89" s="209">
        <f>'Key input_Biofuel production'!$C$41/CommodityConv!$E$31</f>
        <v>291.55024823627673</v>
      </c>
      <c r="AJ89" s="209">
        <f>'Key input_Biofuel production'!$C$41/CommodityConv!$E$31</f>
        <v>291.55024823627673</v>
      </c>
      <c r="AK89" s="209">
        <f>'Key input_Biofuel production'!$C$41/CommodityConv!$E$31</f>
        <v>291.55024823627673</v>
      </c>
      <c r="AL89" s="209">
        <f>'Key input_Biofuel production'!$C$41/CommodityConv!$E$31</f>
        <v>291.55024823627673</v>
      </c>
    </row>
    <row r="90" spans="1:38">
      <c r="A90" s="4" t="str">
        <f>AO15</f>
        <v>U-TRF-BIORNG_ADU_01</v>
      </c>
      <c r="B90" s="4" t="str">
        <f>AP15</f>
        <v>UPS Transformation: Renewable natural gas production - Anaerovic digester + Upgrading - Existing - With energy consumption</v>
      </c>
      <c r="C90" s="4"/>
      <c r="D90" s="4"/>
      <c r="E90" s="4"/>
      <c r="F90" s="4"/>
      <c r="G90" s="4" t="s">
        <v>695</v>
      </c>
      <c r="H90" s="4"/>
      <c r="I90" s="4"/>
      <c r="J90" s="4" t="s">
        <v>2665</v>
      </c>
      <c r="K90" s="333">
        <v>1</v>
      </c>
      <c r="L90" s="333">
        <v>1</v>
      </c>
      <c r="M90" s="333">
        <v>1</v>
      </c>
      <c r="N90" s="333">
        <v>1</v>
      </c>
      <c r="O90" s="333">
        <v>1</v>
      </c>
      <c r="P90" s="333">
        <v>1</v>
      </c>
      <c r="Q90" s="333">
        <v>1</v>
      </c>
      <c r="R90" s="333">
        <v>1</v>
      </c>
      <c r="S90" s="333">
        <v>1</v>
      </c>
      <c r="T90" s="333">
        <v>1</v>
      </c>
      <c r="U90" s="333">
        <v>1</v>
      </c>
      <c r="V90" s="333">
        <v>1</v>
      </c>
      <c r="W90" s="333">
        <v>1</v>
      </c>
      <c r="X90" s="333">
        <v>1</v>
      </c>
      <c r="Y90" s="333">
        <v>1</v>
      </c>
      <c r="Z90" s="333">
        <v>1</v>
      </c>
      <c r="AA90" s="333">
        <v>1</v>
      </c>
      <c r="AB90" s="333">
        <v>1</v>
      </c>
      <c r="AC90" s="333">
        <v>1</v>
      </c>
      <c r="AD90" s="333">
        <v>1</v>
      </c>
      <c r="AE90" s="333">
        <v>1</v>
      </c>
      <c r="AF90" s="333">
        <v>1</v>
      </c>
      <c r="AG90" s="333">
        <v>1</v>
      </c>
      <c r="AH90" s="333">
        <v>1</v>
      </c>
      <c r="AI90" s="333">
        <v>1</v>
      </c>
      <c r="AJ90" s="333">
        <v>1</v>
      </c>
      <c r="AK90" s="333">
        <v>1</v>
      </c>
      <c r="AL90" s="333">
        <v>1</v>
      </c>
    </row>
    <row r="91" spans="1:38">
      <c r="G91" s="4" t="s">
        <v>697</v>
      </c>
      <c r="H91" s="4"/>
      <c r="I91" s="4"/>
      <c r="J91" s="4" t="s">
        <v>698</v>
      </c>
      <c r="K91" s="424">
        <f>'Key input_Biofuel production'!$C$49</f>
        <v>20</v>
      </c>
      <c r="L91" s="424">
        <f>'Key input_Biofuel production'!$C$49</f>
        <v>20</v>
      </c>
      <c r="M91" s="424">
        <f>'Key input_Biofuel production'!$C$49</f>
        <v>20</v>
      </c>
      <c r="N91" s="424">
        <f>'Key input_Biofuel production'!$C$49</f>
        <v>20</v>
      </c>
      <c r="O91" s="424">
        <f>'Key input_Biofuel production'!$C$49</f>
        <v>20</v>
      </c>
      <c r="P91" s="424">
        <f>'Key input_Biofuel production'!$C$49</f>
        <v>20</v>
      </c>
      <c r="Q91" s="424">
        <f>'Key input_Biofuel production'!$C$49</f>
        <v>20</v>
      </c>
      <c r="R91" s="424">
        <f>'Key input_Biofuel production'!$C$49</f>
        <v>20</v>
      </c>
      <c r="S91" s="424">
        <f>'Key input_Biofuel production'!$C$49</f>
        <v>20</v>
      </c>
      <c r="T91" s="424">
        <f>'Key input_Biofuel production'!$C$49</f>
        <v>20</v>
      </c>
      <c r="U91" s="424">
        <f>'Key input_Biofuel production'!$C$49</f>
        <v>20</v>
      </c>
      <c r="V91" s="424">
        <f>'Key input_Biofuel production'!$C$49</f>
        <v>20</v>
      </c>
      <c r="W91" s="424">
        <f>'Key input_Biofuel production'!$C$49</f>
        <v>20</v>
      </c>
      <c r="X91" s="424">
        <f>'Key input_Biofuel production'!$C$49</f>
        <v>20</v>
      </c>
      <c r="Y91" s="424">
        <f>'Key input_Biofuel production'!$C$49</f>
        <v>20</v>
      </c>
      <c r="Z91" s="424">
        <f>'Key input_Biofuel production'!$C$49</f>
        <v>20</v>
      </c>
      <c r="AA91" s="424">
        <f>'Key input_Biofuel production'!$C$49</f>
        <v>20</v>
      </c>
      <c r="AB91" s="424">
        <f>'Key input_Biofuel production'!$C$49</f>
        <v>20</v>
      </c>
      <c r="AC91" s="424">
        <f>'Key input_Biofuel production'!$C$49</f>
        <v>20</v>
      </c>
      <c r="AD91" s="424">
        <f>'Key input_Biofuel production'!$C$49</f>
        <v>20</v>
      </c>
      <c r="AE91" s="424">
        <f>'Key input_Biofuel production'!$C$49</f>
        <v>20</v>
      </c>
      <c r="AF91" s="424">
        <f>'Key input_Biofuel production'!$C$49</f>
        <v>20</v>
      </c>
      <c r="AG91" s="424">
        <f>'Key input_Biofuel production'!$C$49</f>
        <v>20</v>
      </c>
      <c r="AH91" s="424">
        <f>'Key input_Biofuel production'!$C$49</f>
        <v>20</v>
      </c>
      <c r="AI91" s="424">
        <f>'Key input_Biofuel production'!$C$49</f>
        <v>20</v>
      </c>
      <c r="AJ91" s="424">
        <f>'Key input_Biofuel production'!$C$49</f>
        <v>20</v>
      </c>
      <c r="AK91" s="424">
        <f>'Key input_Biofuel production'!$C$49</f>
        <v>20</v>
      </c>
      <c r="AL91" s="424">
        <f>'Key input_Biofuel production'!$C$49</f>
        <v>20</v>
      </c>
    </row>
    <row r="92" spans="1:38">
      <c r="G92" s="4" t="s">
        <v>699</v>
      </c>
      <c r="H92" s="4"/>
      <c r="I92" s="4">
        <v>2019</v>
      </c>
      <c r="J92" s="4" t="s">
        <v>112</v>
      </c>
      <c r="K92" s="347">
        <f>K78</f>
        <v>5.0999999999999997E-2</v>
      </c>
      <c r="L92" s="347">
        <f t="shared" ref="L92:AL92" si="4">L78</f>
        <v>0</v>
      </c>
      <c r="M92" s="347">
        <f t="shared" si="4"/>
        <v>4.2000000000000003E-2</v>
      </c>
      <c r="N92" s="347">
        <f t="shared" si="4"/>
        <v>0</v>
      </c>
      <c r="O92" s="347">
        <f t="shared" si="4"/>
        <v>14.826000000000001</v>
      </c>
      <c r="P92" s="347">
        <f t="shared" si="4"/>
        <v>4.2999999999999997E-2</v>
      </c>
      <c r="Q92" s="347">
        <f t="shared" si="4"/>
        <v>48.546999999999997</v>
      </c>
      <c r="R92" s="347">
        <f t="shared" si="4"/>
        <v>7.2670000000000003</v>
      </c>
      <c r="S92" s="347">
        <f t="shared" si="4"/>
        <v>6.9950000000000001</v>
      </c>
      <c r="T92" s="347">
        <f t="shared" si="4"/>
        <v>12.401999999999999</v>
      </c>
      <c r="U92" s="347">
        <f t="shared" si="4"/>
        <v>2.5659999999999998</v>
      </c>
      <c r="V92" s="347">
        <f t="shared" si="4"/>
        <v>0</v>
      </c>
      <c r="W92" s="347">
        <f t="shared" si="4"/>
        <v>2.0550000000000002</v>
      </c>
      <c r="X92" s="347">
        <f t="shared" si="4"/>
        <v>72.099999999999994</v>
      </c>
      <c r="Y92" s="347">
        <f t="shared" si="4"/>
        <v>43.088000000000001</v>
      </c>
      <c r="Z92" s="347">
        <f t="shared" si="4"/>
        <v>113.10299999999999</v>
      </c>
      <c r="AA92" s="347">
        <f t="shared" si="4"/>
        <v>292.35399999999998</v>
      </c>
      <c r="AB92" s="347">
        <f t="shared" si="4"/>
        <v>0.435</v>
      </c>
      <c r="AC92" s="347">
        <f t="shared" si="4"/>
        <v>0</v>
      </c>
      <c r="AD92" s="347">
        <f t="shared" si="4"/>
        <v>4.3999999999999997E-2</v>
      </c>
      <c r="AE92" s="347">
        <f t="shared" si="4"/>
        <v>1.516</v>
      </c>
      <c r="AF92" s="347">
        <f t="shared" si="4"/>
        <v>21.984999999999999</v>
      </c>
      <c r="AG92" s="347">
        <f t="shared" si="4"/>
        <v>0.17699999999999999</v>
      </c>
      <c r="AH92" s="347">
        <f t="shared" si="4"/>
        <v>1.133</v>
      </c>
      <c r="AI92" s="347">
        <f t="shared" si="4"/>
        <v>0</v>
      </c>
      <c r="AJ92" s="347">
        <f t="shared" si="4"/>
        <v>0</v>
      </c>
      <c r="AK92" s="347">
        <f t="shared" si="4"/>
        <v>6.2009999999999996</v>
      </c>
      <c r="AL92" s="347">
        <f t="shared" si="4"/>
        <v>121.56</v>
      </c>
    </row>
    <row r="93" spans="1:38">
      <c r="G93" s="4" t="s">
        <v>632</v>
      </c>
      <c r="H93" s="4" t="s">
        <v>661</v>
      </c>
      <c r="I93" s="4">
        <v>2019</v>
      </c>
      <c r="J93" s="4" t="s">
        <v>112</v>
      </c>
      <c r="K93" s="421">
        <v>0</v>
      </c>
      <c r="L93" s="421">
        <v>0</v>
      </c>
      <c r="M93" s="421">
        <v>0</v>
      </c>
      <c r="N93" s="421">
        <v>0</v>
      </c>
      <c r="O93" s="421">
        <v>0</v>
      </c>
      <c r="P93" s="421">
        <v>0</v>
      </c>
      <c r="Q93" s="421">
        <v>0</v>
      </c>
      <c r="R93" s="421">
        <v>0</v>
      </c>
      <c r="S93" s="421">
        <v>0</v>
      </c>
      <c r="T93" s="421">
        <v>0</v>
      </c>
      <c r="U93" s="421">
        <v>0</v>
      </c>
      <c r="V93" s="421">
        <v>0</v>
      </c>
      <c r="W93" s="421">
        <v>0</v>
      </c>
      <c r="X93" s="421">
        <v>0</v>
      </c>
      <c r="Y93" s="421">
        <v>0</v>
      </c>
      <c r="Z93" s="421">
        <v>0</v>
      </c>
      <c r="AA93" s="421">
        <v>0</v>
      </c>
      <c r="AB93" s="421">
        <v>0</v>
      </c>
      <c r="AC93" s="421">
        <v>0</v>
      </c>
      <c r="AD93" s="421">
        <v>0</v>
      </c>
      <c r="AE93" s="421">
        <v>0</v>
      </c>
      <c r="AF93" s="421">
        <v>0</v>
      </c>
      <c r="AG93" s="421">
        <v>0</v>
      </c>
      <c r="AH93" s="421">
        <v>0</v>
      </c>
      <c r="AI93" s="421">
        <v>0</v>
      </c>
      <c r="AJ93" s="421">
        <v>0</v>
      </c>
      <c r="AK93" s="421">
        <v>0</v>
      </c>
      <c r="AL93" s="421">
        <v>0</v>
      </c>
    </row>
    <row r="94" spans="1:38">
      <c r="G94" s="4" t="s">
        <v>632</v>
      </c>
      <c r="H94" s="4" t="s">
        <v>661</v>
      </c>
      <c r="I94" s="4">
        <v>2020</v>
      </c>
      <c r="J94" s="4" t="s">
        <v>112</v>
      </c>
      <c r="K94" s="421">
        <v>1</v>
      </c>
      <c r="L94" s="421">
        <v>1</v>
      </c>
      <c r="M94" s="421">
        <v>1</v>
      </c>
      <c r="N94" s="421">
        <v>1</v>
      </c>
      <c r="O94" s="421">
        <v>1</v>
      </c>
      <c r="P94" s="421">
        <v>1</v>
      </c>
      <c r="Q94" s="421">
        <v>1</v>
      </c>
      <c r="R94" s="421">
        <v>1</v>
      </c>
      <c r="S94" s="421">
        <v>1</v>
      </c>
      <c r="T94" s="421">
        <v>1</v>
      </c>
      <c r="U94" s="421">
        <v>1</v>
      </c>
      <c r="V94" s="421">
        <v>1</v>
      </c>
      <c r="W94" s="421">
        <v>1</v>
      </c>
      <c r="X94" s="421">
        <v>1</v>
      </c>
      <c r="Y94" s="421">
        <v>1</v>
      </c>
      <c r="Z94" s="421">
        <v>1</v>
      </c>
      <c r="AA94" s="421">
        <v>1</v>
      </c>
      <c r="AB94" s="421">
        <v>1</v>
      </c>
      <c r="AC94" s="421">
        <v>1</v>
      </c>
      <c r="AD94" s="421">
        <v>1</v>
      </c>
      <c r="AE94" s="421">
        <v>1</v>
      </c>
      <c r="AF94" s="421">
        <v>1</v>
      </c>
      <c r="AG94" s="421">
        <v>1</v>
      </c>
      <c r="AH94" s="421">
        <v>1</v>
      </c>
      <c r="AI94" s="421">
        <v>1</v>
      </c>
      <c r="AJ94" s="421">
        <v>1</v>
      </c>
      <c r="AK94" s="421">
        <v>1</v>
      </c>
      <c r="AL94" s="421">
        <v>1</v>
      </c>
    </row>
    <row r="95" spans="1:38">
      <c r="D95" s="174"/>
      <c r="G95" s="4" t="s">
        <v>632</v>
      </c>
      <c r="H95" s="4" t="s">
        <v>661</v>
      </c>
      <c r="I95" s="4">
        <v>2060</v>
      </c>
      <c r="J95" s="4" t="s">
        <v>112</v>
      </c>
      <c r="K95" s="421">
        <v>1</v>
      </c>
      <c r="L95" s="421">
        <v>1</v>
      </c>
      <c r="M95" s="421">
        <v>1</v>
      </c>
      <c r="N95" s="421">
        <v>1</v>
      </c>
      <c r="O95" s="421">
        <v>1</v>
      </c>
      <c r="P95" s="421">
        <v>1</v>
      </c>
      <c r="Q95" s="421">
        <v>1</v>
      </c>
      <c r="R95" s="421">
        <v>1</v>
      </c>
      <c r="S95" s="421">
        <v>1</v>
      </c>
      <c r="T95" s="421">
        <v>1</v>
      </c>
      <c r="U95" s="421">
        <v>1</v>
      </c>
      <c r="V95" s="421">
        <v>1</v>
      </c>
      <c r="W95" s="421">
        <v>1</v>
      </c>
      <c r="X95" s="421">
        <v>1</v>
      </c>
      <c r="Y95" s="421">
        <v>1</v>
      </c>
      <c r="Z95" s="421">
        <v>1</v>
      </c>
      <c r="AA95" s="421">
        <v>1</v>
      </c>
      <c r="AB95" s="421">
        <v>1</v>
      </c>
      <c r="AC95" s="421">
        <v>1</v>
      </c>
      <c r="AD95" s="421">
        <v>1</v>
      </c>
      <c r="AE95" s="421">
        <v>1</v>
      </c>
      <c r="AF95" s="421">
        <v>1</v>
      </c>
      <c r="AG95" s="421">
        <v>1</v>
      </c>
      <c r="AH95" s="421">
        <v>1</v>
      </c>
      <c r="AI95" s="421">
        <v>1</v>
      </c>
      <c r="AJ95" s="421">
        <v>1</v>
      </c>
      <c r="AK95" s="421">
        <v>1</v>
      </c>
      <c r="AL95" s="421">
        <v>1</v>
      </c>
    </row>
    <row r="96" spans="1:38">
      <c r="G96" s="4" t="s">
        <v>632</v>
      </c>
      <c r="H96" s="4" t="s">
        <v>661</v>
      </c>
      <c r="I96" s="4">
        <v>0</v>
      </c>
      <c r="J96" s="4"/>
      <c r="K96" s="421">
        <v>5</v>
      </c>
      <c r="L96" s="421">
        <v>5</v>
      </c>
      <c r="M96" s="421">
        <v>5</v>
      </c>
      <c r="N96" s="421">
        <v>5</v>
      </c>
      <c r="O96" s="421">
        <v>5</v>
      </c>
      <c r="P96" s="421">
        <v>5</v>
      </c>
      <c r="Q96" s="421">
        <v>5</v>
      </c>
      <c r="R96" s="421">
        <v>5</v>
      </c>
      <c r="S96" s="421">
        <v>5</v>
      </c>
      <c r="T96" s="421">
        <v>5</v>
      </c>
      <c r="U96" s="421">
        <v>5</v>
      </c>
      <c r="V96" s="421">
        <v>5</v>
      </c>
      <c r="W96" s="421">
        <v>5</v>
      </c>
      <c r="X96" s="421">
        <v>5</v>
      </c>
      <c r="Y96" s="421">
        <v>5</v>
      </c>
      <c r="Z96" s="421">
        <v>5</v>
      </c>
      <c r="AA96" s="421">
        <v>5</v>
      </c>
      <c r="AB96" s="421">
        <v>5</v>
      </c>
      <c r="AC96" s="421">
        <v>5</v>
      </c>
      <c r="AD96" s="421">
        <v>5</v>
      </c>
      <c r="AE96" s="421">
        <v>5</v>
      </c>
      <c r="AF96" s="421">
        <v>5</v>
      </c>
      <c r="AG96" s="421">
        <v>5</v>
      </c>
      <c r="AH96" s="421">
        <v>5</v>
      </c>
      <c r="AI96" s="421">
        <v>5</v>
      </c>
      <c r="AJ96" s="421">
        <v>5</v>
      </c>
      <c r="AK96" s="421">
        <v>5</v>
      </c>
      <c r="AL96" s="421">
        <v>5</v>
      </c>
    </row>
    <row r="97" spans="1:38">
      <c r="G97" s="4" t="s">
        <v>701</v>
      </c>
      <c r="H97" s="4" t="s">
        <v>661</v>
      </c>
      <c r="I97" s="4">
        <v>2019</v>
      </c>
      <c r="J97" s="4" t="s">
        <v>112</v>
      </c>
      <c r="K97" s="333">
        <v>0</v>
      </c>
      <c r="L97" s="333">
        <v>0</v>
      </c>
      <c r="M97" s="333">
        <v>0</v>
      </c>
      <c r="N97" s="333">
        <v>0</v>
      </c>
      <c r="O97" s="333">
        <v>0</v>
      </c>
      <c r="P97" s="333">
        <v>0</v>
      </c>
      <c r="Q97" s="333">
        <v>0</v>
      </c>
      <c r="R97" s="333">
        <v>0</v>
      </c>
      <c r="S97" s="333">
        <v>0</v>
      </c>
      <c r="T97" s="333">
        <v>0</v>
      </c>
      <c r="U97" s="333">
        <v>0</v>
      </c>
      <c r="V97" s="333">
        <v>0</v>
      </c>
      <c r="W97" s="333">
        <v>0</v>
      </c>
      <c r="X97" s="333">
        <v>0</v>
      </c>
      <c r="Y97" s="333">
        <v>0</v>
      </c>
      <c r="Z97" s="333">
        <v>0</v>
      </c>
      <c r="AA97" s="333">
        <v>0</v>
      </c>
      <c r="AB97" s="333">
        <v>0</v>
      </c>
      <c r="AC97" s="333">
        <v>0</v>
      </c>
      <c r="AD97" s="333">
        <v>0</v>
      </c>
      <c r="AE97" s="333">
        <v>0</v>
      </c>
      <c r="AF97" s="333">
        <v>0</v>
      </c>
      <c r="AG97" s="333">
        <v>0</v>
      </c>
      <c r="AH97" s="333">
        <v>0</v>
      </c>
      <c r="AI97" s="333">
        <v>0</v>
      </c>
      <c r="AJ97" s="333">
        <v>0</v>
      </c>
      <c r="AK97" s="333">
        <v>0</v>
      </c>
      <c r="AL97" s="333">
        <v>0</v>
      </c>
    </row>
    <row r="98" spans="1:38">
      <c r="G98" s="4" t="s">
        <v>701</v>
      </c>
      <c r="H98" s="4" t="s">
        <v>661</v>
      </c>
      <c r="I98" s="4">
        <v>2060</v>
      </c>
      <c r="J98" s="4" t="s">
        <v>112</v>
      </c>
      <c r="K98" s="333">
        <v>0</v>
      </c>
      <c r="L98" s="333">
        <v>0</v>
      </c>
      <c r="M98" s="333">
        <v>0</v>
      </c>
      <c r="N98" s="333">
        <v>0</v>
      </c>
      <c r="O98" s="333">
        <v>0</v>
      </c>
      <c r="P98" s="333">
        <v>0</v>
      </c>
      <c r="Q98" s="333">
        <v>0</v>
      </c>
      <c r="R98" s="333">
        <v>0</v>
      </c>
      <c r="S98" s="333">
        <v>0</v>
      </c>
      <c r="T98" s="333">
        <v>0</v>
      </c>
      <c r="U98" s="333">
        <v>0</v>
      </c>
      <c r="V98" s="333">
        <v>0</v>
      </c>
      <c r="W98" s="333">
        <v>0</v>
      </c>
      <c r="X98" s="333">
        <v>0</v>
      </c>
      <c r="Y98" s="333">
        <v>0</v>
      </c>
      <c r="Z98" s="333">
        <v>0</v>
      </c>
      <c r="AA98" s="333">
        <v>0</v>
      </c>
      <c r="AB98" s="333">
        <v>0</v>
      </c>
      <c r="AC98" s="333">
        <v>0</v>
      </c>
      <c r="AD98" s="333">
        <v>0</v>
      </c>
      <c r="AE98" s="333">
        <v>0</v>
      </c>
      <c r="AF98" s="333">
        <v>0</v>
      </c>
      <c r="AG98" s="333">
        <v>0</v>
      </c>
      <c r="AH98" s="333">
        <v>0</v>
      </c>
      <c r="AI98" s="333">
        <v>0</v>
      </c>
      <c r="AJ98" s="333">
        <v>0</v>
      </c>
      <c r="AK98" s="333">
        <v>0</v>
      </c>
      <c r="AL98" s="333">
        <v>0</v>
      </c>
    </row>
    <row r="99" spans="1:38">
      <c r="G99" s="4" t="s">
        <v>701</v>
      </c>
      <c r="H99" s="4" t="s">
        <v>661</v>
      </c>
      <c r="I99" s="4">
        <v>0</v>
      </c>
      <c r="J99" s="4"/>
      <c r="K99" s="333">
        <v>5</v>
      </c>
      <c r="L99" s="333">
        <v>5</v>
      </c>
      <c r="M99" s="333">
        <v>5</v>
      </c>
      <c r="N99" s="333">
        <v>5</v>
      </c>
      <c r="O99" s="333">
        <v>5</v>
      </c>
      <c r="P99" s="333">
        <v>5</v>
      </c>
      <c r="Q99" s="333">
        <v>5</v>
      </c>
      <c r="R99" s="333">
        <v>5</v>
      </c>
      <c r="S99" s="333">
        <v>5</v>
      </c>
      <c r="T99" s="333">
        <v>5</v>
      </c>
      <c r="U99" s="333">
        <v>5</v>
      </c>
      <c r="V99" s="333">
        <v>5</v>
      </c>
      <c r="W99" s="333">
        <v>5</v>
      </c>
      <c r="X99" s="333">
        <v>5</v>
      </c>
      <c r="Y99" s="333">
        <v>5</v>
      </c>
      <c r="Z99" s="333">
        <v>5</v>
      </c>
      <c r="AA99" s="333">
        <v>5</v>
      </c>
      <c r="AB99" s="333">
        <v>5</v>
      </c>
      <c r="AC99" s="333">
        <v>5</v>
      </c>
      <c r="AD99" s="333">
        <v>5</v>
      </c>
      <c r="AE99" s="333">
        <v>5</v>
      </c>
      <c r="AF99" s="333">
        <v>5</v>
      </c>
      <c r="AG99" s="333">
        <v>5</v>
      </c>
      <c r="AH99" s="333">
        <v>5</v>
      </c>
      <c r="AI99" s="333">
        <v>5</v>
      </c>
      <c r="AJ99" s="333">
        <v>5</v>
      </c>
      <c r="AK99" s="333">
        <v>5</v>
      </c>
      <c r="AL99" s="333">
        <v>5</v>
      </c>
    </row>
    <row r="100" spans="1:38">
      <c r="G100" s="4" t="s">
        <v>687</v>
      </c>
      <c r="H100" s="4"/>
      <c r="I100" s="4"/>
      <c r="J100" s="4" t="s">
        <v>2663</v>
      </c>
      <c r="K100" s="174">
        <f>'Key input_Biofuel production'!$C$45*10^3+'Key input_Biofuel production'!$C$46*10^3</f>
        <v>42.066872114277416</v>
      </c>
      <c r="L100" s="174">
        <f>'Key input_Biofuel production'!$C$45*10^3+'Key input_Biofuel production'!$C$46*10^3</f>
        <v>42.066872114277416</v>
      </c>
      <c r="M100" s="174">
        <f>'Key input_Biofuel production'!$C$45*10^3+'Key input_Biofuel production'!$C$46*10^3</f>
        <v>42.066872114277416</v>
      </c>
      <c r="N100" s="174">
        <f>'Key input_Biofuel production'!$C$45*10^3+'Key input_Biofuel production'!$C$46*10^3</f>
        <v>42.066872114277416</v>
      </c>
      <c r="O100" s="174">
        <f>'Key input_Biofuel production'!$C$45*10^3+'Key input_Biofuel production'!$C$46*10^3</f>
        <v>42.066872114277416</v>
      </c>
      <c r="P100" s="174">
        <f>'Key input_Biofuel production'!$C$45*10^3+'Key input_Biofuel production'!$C$46*10^3</f>
        <v>42.066872114277416</v>
      </c>
      <c r="Q100" s="174">
        <f>'Key input_Biofuel production'!$C$45*10^3+'Key input_Biofuel production'!$C$46*10^3</f>
        <v>42.066872114277416</v>
      </c>
      <c r="R100" s="174">
        <f>'Key input_Biofuel production'!$C$45*10^3+'Key input_Biofuel production'!$C$46*10^3</f>
        <v>42.066872114277416</v>
      </c>
      <c r="S100" s="174">
        <f>'Key input_Biofuel production'!$C$45*10^3+'Key input_Biofuel production'!$C$46*10^3</f>
        <v>42.066872114277416</v>
      </c>
      <c r="T100" s="174">
        <f>'Key input_Biofuel production'!$C$45*10^3+'Key input_Biofuel production'!$C$46*10^3</f>
        <v>42.066872114277416</v>
      </c>
      <c r="U100" s="174">
        <f>'Key input_Biofuel production'!$C$45*10^3+'Key input_Biofuel production'!$C$46*10^3</f>
        <v>42.066872114277416</v>
      </c>
      <c r="V100" s="174">
        <f>'Key input_Biofuel production'!$C$45*10^3+'Key input_Biofuel production'!$C$46*10^3</f>
        <v>42.066872114277416</v>
      </c>
      <c r="W100" s="174">
        <f>'Key input_Biofuel production'!$C$45*10^3+'Key input_Biofuel production'!$C$46*10^3</f>
        <v>42.066872114277416</v>
      </c>
      <c r="X100" s="174">
        <f>'Key input_Biofuel production'!$C$45*10^3+'Key input_Biofuel production'!$C$46*10^3</f>
        <v>42.066872114277416</v>
      </c>
      <c r="Y100" s="174">
        <f>'Key input_Biofuel production'!$C$45*10^3+'Key input_Biofuel production'!$C$46*10^3</f>
        <v>42.066872114277416</v>
      </c>
      <c r="Z100" s="174">
        <f>'Key input_Biofuel production'!$C$45*10^3+'Key input_Biofuel production'!$C$46*10^3</f>
        <v>42.066872114277416</v>
      </c>
      <c r="AA100" s="174">
        <f>'Key input_Biofuel production'!$C$45*10^3+'Key input_Biofuel production'!$C$46*10^3</f>
        <v>42.066872114277416</v>
      </c>
      <c r="AB100" s="174">
        <f>'Key input_Biofuel production'!$C$45*10^3+'Key input_Biofuel production'!$C$46*10^3</f>
        <v>42.066872114277416</v>
      </c>
      <c r="AC100" s="174">
        <f>'Key input_Biofuel production'!$C$45*10^3+'Key input_Biofuel production'!$C$46*10^3</f>
        <v>42.066872114277416</v>
      </c>
      <c r="AD100" s="174">
        <f>'Key input_Biofuel production'!$C$45*10^3+'Key input_Biofuel production'!$C$46*10^3</f>
        <v>42.066872114277416</v>
      </c>
      <c r="AE100" s="174">
        <f>'Key input_Biofuel production'!$C$45*10^3+'Key input_Biofuel production'!$C$46*10^3</f>
        <v>42.066872114277416</v>
      </c>
      <c r="AF100" s="174">
        <f>'Key input_Biofuel production'!$C$45*10^3+'Key input_Biofuel production'!$C$46*10^3</f>
        <v>42.066872114277416</v>
      </c>
      <c r="AG100" s="174">
        <f>'Key input_Biofuel production'!$C$45*10^3+'Key input_Biofuel production'!$C$46*10^3</f>
        <v>42.066872114277416</v>
      </c>
      <c r="AH100" s="174">
        <f>'Key input_Biofuel production'!$C$45*10^3+'Key input_Biofuel production'!$C$46*10^3</f>
        <v>42.066872114277416</v>
      </c>
      <c r="AI100" s="174">
        <f>'Key input_Biofuel production'!$C$45*10^3+'Key input_Biofuel production'!$C$46*10^3</f>
        <v>42.066872114277416</v>
      </c>
      <c r="AJ100" s="174">
        <f>'Key input_Biofuel production'!$C$45*10^3+'Key input_Biofuel production'!$C$46*10^3</f>
        <v>42.066872114277416</v>
      </c>
      <c r="AK100" s="174">
        <f>'Key input_Biofuel production'!$C$45*10^3+'Key input_Biofuel production'!$C$46*10^3</f>
        <v>42.066872114277416</v>
      </c>
      <c r="AL100" s="174">
        <f>'Key input_Biofuel production'!$C$45*10^3+'Key input_Biofuel production'!$C$46*10^3</f>
        <v>42.066872114277416</v>
      </c>
    </row>
    <row r="101" spans="1:38">
      <c r="G101" s="4" t="s">
        <v>689</v>
      </c>
      <c r="H101" s="4"/>
      <c r="I101" s="4"/>
      <c r="J101" s="4" t="s">
        <v>2663</v>
      </c>
      <c r="K101" s="355"/>
      <c r="L101" s="355"/>
      <c r="M101" s="355"/>
      <c r="N101" s="355"/>
      <c r="O101" s="355"/>
      <c r="P101" s="355"/>
      <c r="Q101" s="355"/>
      <c r="R101" s="355"/>
      <c r="S101" s="355"/>
      <c r="T101" s="355"/>
      <c r="U101" s="355"/>
      <c r="V101" s="355"/>
      <c r="W101" s="355"/>
      <c r="X101" s="355"/>
      <c r="Y101" s="355"/>
      <c r="Z101" s="355"/>
      <c r="AA101" s="355"/>
      <c r="AB101" s="355"/>
      <c r="AC101" s="355"/>
      <c r="AD101" s="355"/>
      <c r="AE101" s="355"/>
      <c r="AF101" s="355"/>
      <c r="AG101" s="355"/>
      <c r="AH101" s="355"/>
      <c r="AI101" s="355"/>
      <c r="AJ101" s="355"/>
      <c r="AK101" s="355"/>
      <c r="AL101" s="355"/>
    </row>
    <row r="102" spans="1:38">
      <c r="G102" s="4" t="s">
        <v>675</v>
      </c>
      <c r="H102" s="4"/>
      <c r="I102" s="4"/>
      <c r="J102" s="4" t="s">
        <v>2662</v>
      </c>
      <c r="K102" s="355"/>
      <c r="L102" s="355"/>
      <c r="M102" s="355"/>
      <c r="N102" s="355"/>
      <c r="O102" s="355"/>
      <c r="P102" s="355"/>
      <c r="Q102" s="355"/>
      <c r="R102" s="355"/>
      <c r="S102" s="355"/>
      <c r="T102" s="355"/>
      <c r="U102" s="355"/>
      <c r="V102" s="355"/>
      <c r="W102" s="355"/>
      <c r="X102" s="355"/>
      <c r="Y102" s="355"/>
      <c r="Z102" s="355"/>
      <c r="AA102" s="355"/>
      <c r="AB102" s="355"/>
      <c r="AC102" s="355"/>
      <c r="AD102" s="355"/>
      <c r="AE102" s="355"/>
      <c r="AF102" s="355"/>
      <c r="AG102" s="355"/>
      <c r="AH102" s="355"/>
      <c r="AI102" s="355"/>
      <c r="AJ102" s="355"/>
      <c r="AK102" s="355"/>
      <c r="AL102" s="355"/>
    </row>
    <row r="103" spans="1:38">
      <c r="C103" t="str">
        <f>Commodities!$C$63</f>
        <v>BIOAGR</v>
      </c>
      <c r="D103" t="str">
        <f>Commodities!$C$72</f>
        <v>BIORNG</v>
      </c>
      <c r="G103" s="4" t="s">
        <v>690</v>
      </c>
      <c r="J103" t="s">
        <v>2666</v>
      </c>
      <c r="K103" s="209">
        <f>1/('Key input_Biofuel production'!$C$41/CommodityConv!$E$31)</f>
        <v>3.4299404855576898E-3</v>
      </c>
      <c r="L103" s="209">
        <f>1/('Key input_Biofuel production'!$C$41/CommodityConv!$E$31)</f>
        <v>3.4299404855576898E-3</v>
      </c>
      <c r="M103" s="209">
        <f>1/('Key input_Biofuel production'!$C$41/CommodityConv!$E$31)</f>
        <v>3.4299404855576898E-3</v>
      </c>
      <c r="N103" s="209">
        <f>1/('Key input_Biofuel production'!$C$41/CommodityConv!$E$31)</f>
        <v>3.4299404855576898E-3</v>
      </c>
      <c r="O103" s="209">
        <f>1/('Key input_Biofuel production'!$C$41/CommodityConv!$E$31)</f>
        <v>3.4299404855576898E-3</v>
      </c>
      <c r="P103" s="209">
        <f>1/('Key input_Biofuel production'!$C$41/CommodityConv!$E$31)</f>
        <v>3.4299404855576898E-3</v>
      </c>
      <c r="Q103" s="209">
        <f>1/('Key input_Biofuel production'!$C$41/CommodityConv!$E$31)</f>
        <v>3.4299404855576898E-3</v>
      </c>
      <c r="R103" s="209">
        <f>1/('Key input_Biofuel production'!$C$41/CommodityConv!$E$31)</f>
        <v>3.4299404855576898E-3</v>
      </c>
      <c r="S103" s="209">
        <f>1/('Key input_Biofuel production'!$C$41/CommodityConv!$E$31)</f>
        <v>3.4299404855576898E-3</v>
      </c>
      <c r="T103" s="209">
        <f>1/('Key input_Biofuel production'!$C$41/CommodityConv!$E$31)</f>
        <v>3.4299404855576898E-3</v>
      </c>
      <c r="U103" s="209">
        <f>1/('Key input_Biofuel production'!$C$41/CommodityConv!$E$31)</f>
        <v>3.4299404855576898E-3</v>
      </c>
      <c r="V103" s="209">
        <f>1/('Key input_Biofuel production'!$C$41/CommodityConv!$E$31)</f>
        <v>3.4299404855576898E-3</v>
      </c>
      <c r="W103" s="209">
        <f>1/('Key input_Biofuel production'!$C$41/CommodityConv!$E$31)</f>
        <v>3.4299404855576898E-3</v>
      </c>
      <c r="X103" s="209">
        <f>1/('Key input_Biofuel production'!$C$41/CommodityConv!$E$31)</f>
        <v>3.4299404855576898E-3</v>
      </c>
      <c r="Y103" s="209">
        <f>1/('Key input_Biofuel production'!$C$41/CommodityConv!$E$31)</f>
        <v>3.4299404855576898E-3</v>
      </c>
      <c r="Z103" s="209">
        <f>1/('Key input_Biofuel production'!$C$41/CommodityConv!$E$31)</f>
        <v>3.4299404855576898E-3</v>
      </c>
      <c r="AA103" s="209">
        <f>1/('Key input_Biofuel production'!$C$41/CommodityConv!$E$31)</f>
        <v>3.4299404855576898E-3</v>
      </c>
      <c r="AB103" s="209">
        <f>1/('Key input_Biofuel production'!$C$41/CommodityConv!$E$31)</f>
        <v>3.4299404855576898E-3</v>
      </c>
      <c r="AC103" s="209">
        <f>1/('Key input_Biofuel production'!$C$41/CommodityConv!$E$31)</f>
        <v>3.4299404855576898E-3</v>
      </c>
      <c r="AD103" s="209">
        <f>1/('Key input_Biofuel production'!$C$41/CommodityConv!$E$31)</f>
        <v>3.4299404855576898E-3</v>
      </c>
      <c r="AE103" s="209">
        <f>1/('Key input_Biofuel production'!$C$41/CommodityConv!$E$31)</f>
        <v>3.4299404855576898E-3</v>
      </c>
      <c r="AF103" s="209">
        <f>1/('Key input_Biofuel production'!$C$41/CommodityConv!$E$31)</f>
        <v>3.4299404855576898E-3</v>
      </c>
      <c r="AG103" s="209">
        <f>1/('Key input_Biofuel production'!$C$41/CommodityConv!$E$31)</f>
        <v>3.4299404855576898E-3</v>
      </c>
      <c r="AH103" s="209">
        <f>1/('Key input_Biofuel production'!$C$41/CommodityConv!$E$31)</f>
        <v>3.4299404855576898E-3</v>
      </c>
      <c r="AI103" s="209">
        <f>1/('Key input_Biofuel production'!$C$41/CommodityConv!$E$31)</f>
        <v>3.4299404855576898E-3</v>
      </c>
      <c r="AJ103" s="209">
        <f>1/('Key input_Biofuel production'!$C$41/CommodityConv!$E$31)</f>
        <v>3.4299404855576898E-3</v>
      </c>
      <c r="AK103" s="209">
        <f>1/('Key input_Biofuel production'!$C$41/CommodityConv!$E$31)</f>
        <v>3.4299404855576898E-3</v>
      </c>
      <c r="AL103" s="209">
        <f>1/('Key input_Biofuel production'!$C$41/CommodityConv!$E$31)</f>
        <v>3.4299404855576898E-3</v>
      </c>
    </row>
    <row r="104" spans="1:38">
      <c r="E104" s="4" t="s">
        <v>359</v>
      </c>
      <c r="F104" s="4" t="s">
        <v>691</v>
      </c>
      <c r="G104" s="4" t="s">
        <v>692</v>
      </c>
      <c r="I104">
        <v>2020</v>
      </c>
      <c r="J104" t="s">
        <v>2667</v>
      </c>
      <c r="K104" s="209">
        <f>1/'Key input_Biofuel production'!$C$42</f>
        <v>11.4169460810089</v>
      </c>
      <c r="L104" s="209">
        <f>1/'Key input_Biofuel production'!$C$42</f>
        <v>11.4169460810089</v>
      </c>
      <c r="M104" s="209">
        <f>1/'Key input_Biofuel production'!$C$42</f>
        <v>11.4169460810089</v>
      </c>
      <c r="N104" s="209">
        <f>1/'Key input_Biofuel production'!$C$42</f>
        <v>11.4169460810089</v>
      </c>
      <c r="O104" s="209">
        <f>1/'Key input_Biofuel production'!$C$42</f>
        <v>11.4169460810089</v>
      </c>
      <c r="P104" s="209">
        <f>1/'Key input_Biofuel production'!$C$42</f>
        <v>11.4169460810089</v>
      </c>
      <c r="Q104" s="209">
        <f>1/'Key input_Biofuel production'!$C$42</f>
        <v>11.4169460810089</v>
      </c>
      <c r="R104" s="209">
        <f>1/'Key input_Biofuel production'!$C$42</f>
        <v>11.4169460810089</v>
      </c>
      <c r="S104" s="209">
        <f>1/'Key input_Biofuel production'!$C$42</f>
        <v>11.4169460810089</v>
      </c>
      <c r="T104" s="209">
        <f>1/'Key input_Biofuel production'!$C$42</f>
        <v>11.4169460810089</v>
      </c>
      <c r="U104" s="209">
        <f>1/'Key input_Biofuel production'!$C$42</f>
        <v>11.4169460810089</v>
      </c>
      <c r="V104" s="209">
        <f>1/'Key input_Biofuel production'!$C$42</f>
        <v>11.4169460810089</v>
      </c>
      <c r="W104" s="209">
        <f>1/'Key input_Biofuel production'!$C$42</f>
        <v>11.4169460810089</v>
      </c>
      <c r="X104" s="209">
        <f>1/'Key input_Biofuel production'!$C$42</f>
        <v>11.4169460810089</v>
      </c>
      <c r="Y104" s="209">
        <f>1/'Key input_Biofuel production'!$C$42</f>
        <v>11.4169460810089</v>
      </c>
      <c r="Z104" s="209">
        <f>1/'Key input_Biofuel production'!$C$42</f>
        <v>11.4169460810089</v>
      </c>
      <c r="AA104" s="209">
        <f>1/'Key input_Biofuel production'!$C$42</f>
        <v>11.4169460810089</v>
      </c>
      <c r="AB104" s="209">
        <f>1/'Key input_Biofuel production'!$C$42</f>
        <v>11.4169460810089</v>
      </c>
      <c r="AC104" s="209">
        <f>1/'Key input_Biofuel production'!$C$42</f>
        <v>11.4169460810089</v>
      </c>
      <c r="AD104" s="209">
        <f>1/'Key input_Biofuel production'!$C$42</f>
        <v>11.4169460810089</v>
      </c>
      <c r="AE104" s="209">
        <f>1/'Key input_Biofuel production'!$C$42</f>
        <v>11.4169460810089</v>
      </c>
      <c r="AF104" s="209">
        <f>1/'Key input_Biofuel production'!$C$42</f>
        <v>11.4169460810089</v>
      </c>
      <c r="AG104" s="209">
        <f>1/'Key input_Biofuel production'!$C$42</f>
        <v>11.4169460810089</v>
      </c>
      <c r="AH104" s="209">
        <f>1/'Key input_Biofuel production'!$C$42</f>
        <v>11.4169460810089</v>
      </c>
      <c r="AI104" s="209">
        <f>1/'Key input_Biofuel production'!$C$42</f>
        <v>11.4169460810089</v>
      </c>
      <c r="AJ104" s="209">
        <f>1/'Key input_Biofuel production'!$C$42</f>
        <v>11.4169460810089</v>
      </c>
      <c r="AK104" s="209">
        <f>1/'Key input_Biofuel production'!$C$42</f>
        <v>11.4169460810089</v>
      </c>
      <c r="AL104" s="209">
        <f>1/'Key input_Biofuel production'!$C$42</f>
        <v>11.4169460810089</v>
      </c>
    </row>
    <row r="105" spans="1:38">
      <c r="C105" t="str">
        <f>Commodities!$C$91</f>
        <v>UPSELC</v>
      </c>
      <c r="F105" t="s">
        <v>359</v>
      </c>
      <c r="G105" s="4" t="s">
        <v>702</v>
      </c>
      <c r="H105" t="s">
        <v>661</v>
      </c>
      <c r="I105">
        <v>2020</v>
      </c>
      <c r="J105" s="4" t="s">
        <v>650</v>
      </c>
      <c r="K105" s="209">
        <f>'Key input_Biofuel production'!$C$43/SUM('Key input_Biofuel production'!$C$43:$C$44)</f>
        <v>0.89256853770980549</v>
      </c>
      <c r="L105" s="209">
        <f>'Key input_Biofuel production'!$C$43/SUM('Key input_Biofuel production'!$C$43:$C$44)</f>
        <v>0.89256853770980549</v>
      </c>
      <c r="M105" s="209">
        <f>'Key input_Biofuel production'!$C$43/SUM('Key input_Biofuel production'!$C$43:$C$44)</f>
        <v>0.89256853770980549</v>
      </c>
      <c r="N105" s="209">
        <f>'Key input_Biofuel production'!$C$43/SUM('Key input_Biofuel production'!$C$43:$C$44)</f>
        <v>0.89256853770980549</v>
      </c>
      <c r="O105" s="209">
        <f>'Key input_Biofuel production'!$C$43/SUM('Key input_Biofuel production'!$C$43:$C$44)</f>
        <v>0.89256853770980549</v>
      </c>
      <c r="P105" s="209">
        <f>'Key input_Biofuel production'!$C$43/SUM('Key input_Biofuel production'!$C$43:$C$44)</f>
        <v>0.89256853770980549</v>
      </c>
      <c r="Q105" s="209">
        <f>'Key input_Biofuel production'!$C$43/SUM('Key input_Biofuel production'!$C$43:$C$44)</f>
        <v>0.89256853770980549</v>
      </c>
      <c r="R105" s="209">
        <f>'Key input_Biofuel production'!$C$43/SUM('Key input_Biofuel production'!$C$43:$C$44)</f>
        <v>0.89256853770980549</v>
      </c>
      <c r="S105" s="209">
        <f>'Key input_Biofuel production'!$C$43/SUM('Key input_Biofuel production'!$C$43:$C$44)</f>
        <v>0.89256853770980549</v>
      </c>
      <c r="T105" s="209">
        <f>'Key input_Biofuel production'!$C$43/SUM('Key input_Biofuel production'!$C$43:$C$44)</f>
        <v>0.89256853770980549</v>
      </c>
      <c r="U105" s="209">
        <f>'Key input_Biofuel production'!$C$43/SUM('Key input_Biofuel production'!$C$43:$C$44)</f>
        <v>0.89256853770980549</v>
      </c>
      <c r="V105" s="209">
        <f>'Key input_Biofuel production'!$C$43/SUM('Key input_Biofuel production'!$C$43:$C$44)</f>
        <v>0.89256853770980549</v>
      </c>
      <c r="W105" s="209">
        <f>'Key input_Biofuel production'!$C$43/SUM('Key input_Biofuel production'!$C$43:$C$44)</f>
        <v>0.89256853770980549</v>
      </c>
      <c r="X105" s="209">
        <f>'Key input_Biofuel production'!$C$43/SUM('Key input_Biofuel production'!$C$43:$C$44)</f>
        <v>0.89256853770980549</v>
      </c>
      <c r="Y105" s="209">
        <f>'Key input_Biofuel production'!$C$43/SUM('Key input_Biofuel production'!$C$43:$C$44)</f>
        <v>0.89256853770980549</v>
      </c>
      <c r="Z105" s="209">
        <f>'Key input_Biofuel production'!$C$43/SUM('Key input_Biofuel production'!$C$43:$C$44)</f>
        <v>0.89256853770980549</v>
      </c>
      <c r="AA105" s="209">
        <f>'Key input_Biofuel production'!$C$43/SUM('Key input_Biofuel production'!$C$43:$C$44)</f>
        <v>0.89256853770980549</v>
      </c>
      <c r="AB105" s="209">
        <f>'Key input_Biofuel production'!$C$43/SUM('Key input_Biofuel production'!$C$43:$C$44)</f>
        <v>0.89256853770980549</v>
      </c>
      <c r="AC105" s="209">
        <f>'Key input_Biofuel production'!$C$43/SUM('Key input_Biofuel production'!$C$43:$C$44)</f>
        <v>0.89256853770980549</v>
      </c>
      <c r="AD105" s="209">
        <f>'Key input_Biofuel production'!$C$43/SUM('Key input_Biofuel production'!$C$43:$C$44)</f>
        <v>0.89256853770980549</v>
      </c>
      <c r="AE105" s="209">
        <f>'Key input_Biofuel production'!$C$43/SUM('Key input_Biofuel production'!$C$43:$C$44)</f>
        <v>0.89256853770980549</v>
      </c>
      <c r="AF105" s="209">
        <f>'Key input_Biofuel production'!$C$43/SUM('Key input_Biofuel production'!$C$43:$C$44)</f>
        <v>0.89256853770980549</v>
      </c>
      <c r="AG105" s="209">
        <f>'Key input_Biofuel production'!$C$43/SUM('Key input_Biofuel production'!$C$43:$C$44)</f>
        <v>0.89256853770980549</v>
      </c>
      <c r="AH105" s="209">
        <f>'Key input_Biofuel production'!$C$43/SUM('Key input_Biofuel production'!$C$43:$C$44)</f>
        <v>0.89256853770980549</v>
      </c>
      <c r="AI105" s="209">
        <f>'Key input_Biofuel production'!$C$43/SUM('Key input_Biofuel production'!$C$43:$C$44)</f>
        <v>0.89256853770980549</v>
      </c>
      <c r="AJ105" s="209">
        <f>'Key input_Biofuel production'!$C$43/SUM('Key input_Biofuel production'!$C$43:$C$44)</f>
        <v>0.89256853770980549</v>
      </c>
      <c r="AK105" s="209">
        <f>'Key input_Biofuel production'!$C$43/SUM('Key input_Biofuel production'!$C$43:$C$44)</f>
        <v>0.89256853770980549</v>
      </c>
      <c r="AL105" s="209">
        <f>'Key input_Biofuel production'!$C$43/SUM('Key input_Biofuel production'!$C$43:$C$44)</f>
        <v>0.89256853770980549</v>
      </c>
    </row>
    <row r="106" spans="1:38">
      <c r="A106" s="236"/>
      <c r="B106" s="236"/>
      <c r="C106" s="236" t="str">
        <f>Commodities!$C$94</f>
        <v>UPSHET</v>
      </c>
      <c r="D106" s="236"/>
      <c r="E106" s="236"/>
      <c r="F106" s="236" t="s">
        <v>359</v>
      </c>
      <c r="G106" s="259" t="s">
        <v>702</v>
      </c>
      <c r="H106" s="236" t="s">
        <v>661</v>
      </c>
      <c r="I106" s="236">
        <v>2020</v>
      </c>
      <c r="J106" s="236" t="s">
        <v>650</v>
      </c>
      <c r="K106" s="226">
        <f>1-K105</f>
        <v>0.10743146229019451</v>
      </c>
      <c r="L106" s="226">
        <f t="shared" ref="L106:AL106" si="5">1-L105</f>
        <v>0.10743146229019451</v>
      </c>
      <c r="M106" s="226">
        <f t="shared" si="5"/>
        <v>0.10743146229019451</v>
      </c>
      <c r="N106" s="226">
        <f t="shared" si="5"/>
        <v>0.10743146229019451</v>
      </c>
      <c r="O106" s="226">
        <f t="shared" si="5"/>
        <v>0.10743146229019451</v>
      </c>
      <c r="P106" s="226">
        <f t="shared" si="5"/>
        <v>0.10743146229019451</v>
      </c>
      <c r="Q106" s="226">
        <f t="shared" si="5"/>
        <v>0.10743146229019451</v>
      </c>
      <c r="R106" s="226">
        <f t="shared" si="5"/>
        <v>0.10743146229019451</v>
      </c>
      <c r="S106" s="226">
        <f t="shared" si="5"/>
        <v>0.10743146229019451</v>
      </c>
      <c r="T106" s="226">
        <f t="shared" si="5"/>
        <v>0.10743146229019451</v>
      </c>
      <c r="U106" s="226">
        <f t="shared" si="5"/>
        <v>0.10743146229019451</v>
      </c>
      <c r="V106" s="226">
        <f t="shared" si="5"/>
        <v>0.10743146229019451</v>
      </c>
      <c r="W106" s="226">
        <f t="shared" si="5"/>
        <v>0.10743146229019451</v>
      </c>
      <c r="X106" s="226">
        <f t="shared" si="5"/>
        <v>0.10743146229019451</v>
      </c>
      <c r="Y106" s="226">
        <f t="shared" si="5"/>
        <v>0.10743146229019451</v>
      </c>
      <c r="Z106" s="226">
        <f t="shared" si="5"/>
        <v>0.10743146229019451</v>
      </c>
      <c r="AA106" s="226">
        <f t="shared" si="5"/>
        <v>0.10743146229019451</v>
      </c>
      <c r="AB106" s="226">
        <f t="shared" si="5"/>
        <v>0.10743146229019451</v>
      </c>
      <c r="AC106" s="226">
        <f t="shared" si="5"/>
        <v>0.10743146229019451</v>
      </c>
      <c r="AD106" s="226">
        <f t="shared" si="5"/>
        <v>0.10743146229019451</v>
      </c>
      <c r="AE106" s="226">
        <f t="shared" si="5"/>
        <v>0.10743146229019451</v>
      </c>
      <c r="AF106" s="226">
        <f t="shared" si="5"/>
        <v>0.10743146229019451</v>
      </c>
      <c r="AG106" s="226">
        <f t="shared" si="5"/>
        <v>0.10743146229019451</v>
      </c>
      <c r="AH106" s="226">
        <f t="shared" si="5"/>
        <v>0.10743146229019451</v>
      </c>
      <c r="AI106" s="226">
        <f t="shared" si="5"/>
        <v>0.10743146229019451</v>
      </c>
      <c r="AJ106" s="226">
        <f t="shared" si="5"/>
        <v>0.10743146229019451</v>
      </c>
      <c r="AK106" s="226">
        <f t="shared" si="5"/>
        <v>0.10743146229019451</v>
      </c>
      <c r="AL106" s="226">
        <f t="shared" si="5"/>
        <v>0.10743146229019451</v>
      </c>
    </row>
    <row r="107" spans="1:38">
      <c r="A107" s="4" t="str">
        <f>AO16</f>
        <v>U-TRF-BIOMASS_00</v>
      </c>
      <c r="B107" s="4" t="str">
        <f>AP16</f>
        <v>UPS Transformation: Traditional woody biomass production - Existing</v>
      </c>
      <c r="C107" s="4"/>
      <c r="D107" s="4"/>
      <c r="E107" s="4"/>
      <c r="F107" s="4"/>
      <c r="G107" s="4" t="s">
        <v>695</v>
      </c>
      <c r="H107" s="4"/>
      <c r="I107" s="4"/>
      <c r="J107" s="4" t="s">
        <v>2665</v>
      </c>
      <c r="K107" s="333">
        <v>1</v>
      </c>
      <c r="L107" s="333">
        <v>1</v>
      </c>
      <c r="M107" s="333">
        <v>1</v>
      </c>
      <c r="N107" s="333">
        <v>1</v>
      </c>
      <c r="O107" s="333">
        <v>1</v>
      </c>
      <c r="P107" s="333">
        <v>1</v>
      </c>
      <c r="Q107" s="333">
        <v>1</v>
      </c>
      <c r="R107" s="333">
        <v>1</v>
      </c>
      <c r="S107" s="333">
        <v>1</v>
      </c>
      <c r="T107" s="333">
        <v>1</v>
      </c>
      <c r="U107" s="333">
        <v>1</v>
      </c>
      <c r="V107" s="333">
        <v>1</v>
      </c>
      <c r="W107" s="333">
        <v>1</v>
      </c>
      <c r="X107" s="333">
        <v>1</v>
      </c>
      <c r="Y107" s="333">
        <v>1</v>
      </c>
      <c r="Z107" s="333">
        <v>1</v>
      </c>
      <c r="AA107" s="333">
        <v>1</v>
      </c>
      <c r="AB107" s="333">
        <v>1</v>
      </c>
      <c r="AC107" s="333">
        <v>1</v>
      </c>
      <c r="AD107" s="333">
        <v>1</v>
      </c>
      <c r="AE107" s="333">
        <v>1</v>
      </c>
      <c r="AF107" s="333">
        <v>1</v>
      </c>
      <c r="AG107" s="333">
        <v>1</v>
      </c>
      <c r="AH107" s="333">
        <v>1</v>
      </c>
      <c r="AI107" s="333">
        <v>1</v>
      </c>
      <c r="AJ107" s="333">
        <v>1</v>
      </c>
      <c r="AK107" s="333">
        <v>1</v>
      </c>
      <c r="AL107" s="333">
        <v>1</v>
      </c>
    </row>
    <row r="108" spans="1:38">
      <c r="G108" s="4" t="s">
        <v>697</v>
      </c>
      <c r="H108" s="4"/>
      <c r="I108" s="4"/>
      <c r="J108" s="4" t="s">
        <v>698</v>
      </c>
      <c r="K108" s="331">
        <v>100</v>
      </c>
      <c r="L108" s="331">
        <v>100</v>
      </c>
      <c r="M108" s="331">
        <v>100</v>
      </c>
      <c r="N108" s="331">
        <v>100</v>
      </c>
      <c r="O108" s="331">
        <v>100</v>
      </c>
      <c r="P108" s="331">
        <v>100</v>
      </c>
      <c r="Q108" s="331">
        <v>100</v>
      </c>
      <c r="R108" s="331">
        <v>100</v>
      </c>
      <c r="S108" s="331">
        <v>100</v>
      </c>
      <c r="T108" s="331">
        <v>100</v>
      </c>
      <c r="U108" s="331">
        <v>100</v>
      </c>
      <c r="V108" s="331">
        <v>100</v>
      </c>
      <c r="W108" s="331">
        <v>100</v>
      </c>
      <c r="X108" s="331">
        <v>100</v>
      </c>
      <c r="Y108" s="331">
        <v>100</v>
      </c>
      <c r="Z108" s="331">
        <v>100</v>
      </c>
      <c r="AA108" s="331">
        <v>100</v>
      </c>
      <c r="AB108" s="331">
        <v>100</v>
      </c>
      <c r="AC108" s="331">
        <v>100</v>
      </c>
      <c r="AD108" s="331">
        <v>100</v>
      </c>
      <c r="AE108" s="331">
        <v>100</v>
      </c>
      <c r="AF108" s="331">
        <v>100</v>
      </c>
      <c r="AG108" s="331">
        <v>100</v>
      </c>
      <c r="AH108" s="331">
        <v>100</v>
      </c>
      <c r="AI108" s="331">
        <v>100</v>
      </c>
      <c r="AJ108" s="331">
        <v>100</v>
      </c>
      <c r="AK108" s="331">
        <v>100</v>
      </c>
      <c r="AL108" s="331">
        <v>100</v>
      </c>
    </row>
    <row r="109" spans="1:38">
      <c r="G109" s="4" t="s">
        <v>699</v>
      </c>
      <c r="H109" s="4"/>
      <c r="I109" s="4">
        <v>2019</v>
      </c>
      <c r="J109" s="4" t="s">
        <v>112</v>
      </c>
      <c r="K109" s="347">
        <f>'Key inputs_EB_MIN'!E8/10^3+'Key inputs_EB_MIN'!E44/10^3</f>
        <v>4050.2370000000001</v>
      </c>
      <c r="L109" s="347">
        <f>'Key inputs_EB_MIN'!F8/10^3+'Key inputs_EB_MIN'!F44/10^3</f>
        <v>296.87299999999999</v>
      </c>
      <c r="M109" s="347">
        <f>'Key inputs_EB_MIN'!G8/10^3+'Key inputs_EB_MIN'!G44/10^3</f>
        <v>3223.134</v>
      </c>
      <c r="N109" s="347">
        <f>'Key inputs_EB_MIN'!H8/10^3+'Key inputs_EB_MIN'!H44/10^3</f>
        <v>1336.1990000000001</v>
      </c>
      <c r="O109" s="347">
        <f>'Key inputs_EB_MIN'!I8/10^3+'Key inputs_EB_MIN'!I44/10^3</f>
        <v>225.089</v>
      </c>
      <c r="P109" s="347">
        <f>'Key inputs_EB_MIN'!J8/10^3+'Key inputs_EB_MIN'!J44/10^3</f>
        <v>92.12</v>
      </c>
      <c r="Q109" s="347">
        <f>'Key inputs_EB_MIN'!K8/10^3+'Key inputs_EB_MIN'!K44/10^3</f>
        <v>1580.7819999999999</v>
      </c>
      <c r="R109" s="347">
        <f>'Key inputs_EB_MIN'!L8/10^3+'Key inputs_EB_MIN'!L44/10^3</f>
        <v>1441.5349999999999</v>
      </c>
      <c r="S109" s="347">
        <f>'Key inputs_EB_MIN'!M8/10^3+'Key inputs_EB_MIN'!M44/10^3</f>
        <v>2408.7849999999999</v>
      </c>
      <c r="T109" s="347">
        <f>'Key inputs_EB_MIN'!N8/10^3+'Key inputs_EB_MIN'!N44/10^3</f>
        <v>546.73099999999999</v>
      </c>
      <c r="U109" s="347">
        <f>'Key inputs_EB_MIN'!O8/10^3+'Key inputs_EB_MIN'!O44/10^3</f>
        <v>350.48900000000003</v>
      </c>
      <c r="V109" s="347">
        <f>'Key inputs_EB_MIN'!P8/10^3+'Key inputs_EB_MIN'!P44/10^3</f>
        <v>1842.442</v>
      </c>
      <c r="W109" s="347">
        <f>'Key inputs_EB_MIN'!Q8/10^3+'Key inputs_EB_MIN'!Q44/10^3</f>
        <v>405.10399999999998</v>
      </c>
      <c r="X109" s="347">
        <f>'Key inputs_EB_MIN'!R8/10^3+'Key inputs_EB_MIN'!R44/10^3</f>
        <v>200.65600000000001</v>
      </c>
      <c r="Y109" s="347">
        <f>'Key inputs_EB_MIN'!S8/10^3+'Key inputs_EB_MIN'!S44/10^3</f>
        <v>1279.846</v>
      </c>
      <c r="Z109" s="347">
        <f>'Key inputs_EB_MIN'!T8/10^3+'Key inputs_EB_MIN'!T44/10^3</f>
        <v>1147.9359999999999</v>
      </c>
      <c r="AA109" s="347">
        <f>'Key inputs_EB_MIN'!U8/10^3+'Key inputs_EB_MIN'!U44/10^3</f>
        <v>1898.212</v>
      </c>
      <c r="AB109" s="347">
        <f>'Key inputs_EB_MIN'!V8/10^3+'Key inputs_EB_MIN'!V44/10^3</f>
        <v>2006.386</v>
      </c>
      <c r="AC109" s="347">
        <f>'Key inputs_EB_MIN'!W8/10^3+'Key inputs_EB_MIN'!W44/10^3</f>
        <v>6546.3339999999998</v>
      </c>
      <c r="AD109" s="347">
        <f>'Key inputs_EB_MIN'!X8/10^3+'Key inputs_EB_MIN'!X44/10^3</f>
        <v>142.291</v>
      </c>
      <c r="AE109" s="347">
        <f>'Key inputs_EB_MIN'!Y8/10^3+'Key inputs_EB_MIN'!Y44/10^3</f>
        <v>1401.4659999999999</v>
      </c>
      <c r="AF109" s="347">
        <f>'Key inputs_EB_MIN'!Z8/10^3+'Key inputs_EB_MIN'!Z44/10^3</f>
        <v>67.84</v>
      </c>
      <c r="AG109" s="347">
        <f>'Key inputs_EB_MIN'!AA8/10^3+'Key inputs_EB_MIN'!AA44/10^3+0.2</f>
        <v>85.847000000000008</v>
      </c>
      <c r="AH109" s="347">
        <f>'Key inputs_EB_MIN'!AB8/10^3+'Key inputs_EB_MIN'!AB44/10^3</f>
        <v>389.84300000000002</v>
      </c>
      <c r="AI109" s="347">
        <f>'Key inputs_EB_MIN'!AC8/10^3+'Key inputs_EB_MIN'!AC44/10^3</f>
        <v>2875.7890000000002</v>
      </c>
      <c r="AJ109" s="347">
        <f>'Key inputs_EB_MIN'!AD8/10^3+'Key inputs_EB_MIN'!AD44/10^3</f>
        <v>147.715</v>
      </c>
      <c r="AK109" s="347">
        <f>'Key inputs_EB_MIN'!AE8/10^3+'Key inputs_EB_MIN'!AE44/10^3</f>
        <v>96.322000000000003</v>
      </c>
      <c r="AL109" s="347">
        <f>'Key inputs_EB_MIN'!AF8/10^3+'Key inputs_EB_MIN'!AF44/10^3</f>
        <v>2459.3310000000001</v>
      </c>
    </row>
    <row r="110" spans="1:38">
      <c r="G110" s="4" t="s">
        <v>701</v>
      </c>
      <c r="H110" s="4" t="s">
        <v>661</v>
      </c>
      <c r="I110" s="4">
        <v>2019</v>
      </c>
      <c r="J110" s="4" t="s">
        <v>112</v>
      </c>
      <c r="K110" s="333">
        <v>0</v>
      </c>
      <c r="L110" s="333">
        <v>0</v>
      </c>
      <c r="M110" s="333">
        <v>0</v>
      </c>
      <c r="N110" s="333">
        <v>0</v>
      </c>
      <c r="O110" s="333">
        <v>0</v>
      </c>
      <c r="P110" s="333">
        <v>0</v>
      </c>
      <c r="Q110" s="333">
        <v>0</v>
      </c>
      <c r="R110" s="333">
        <v>0</v>
      </c>
      <c r="S110" s="333">
        <v>0</v>
      </c>
      <c r="T110" s="333">
        <v>0</v>
      </c>
      <c r="U110" s="333">
        <v>0</v>
      </c>
      <c r="V110" s="333">
        <v>0</v>
      </c>
      <c r="W110" s="333">
        <v>0</v>
      </c>
      <c r="X110" s="333">
        <v>0</v>
      </c>
      <c r="Y110" s="333">
        <v>0</v>
      </c>
      <c r="Z110" s="333">
        <v>0</v>
      </c>
      <c r="AA110" s="333">
        <v>0</v>
      </c>
      <c r="AB110" s="333">
        <v>0</v>
      </c>
      <c r="AC110" s="333">
        <v>0</v>
      </c>
      <c r="AD110" s="333">
        <v>0</v>
      </c>
      <c r="AE110" s="333">
        <v>0</v>
      </c>
      <c r="AF110" s="333">
        <v>0</v>
      </c>
      <c r="AG110" s="333">
        <v>0</v>
      </c>
      <c r="AH110" s="333">
        <v>0</v>
      </c>
      <c r="AI110" s="333">
        <v>0</v>
      </c>
      <c r="AJ110" s="333">
        <v>0</v>
      </c>
      <c r="AK110" s="333">
        <v>0</v>
      </c>
      <c r="AL110" s="333">
        <v>0</v>
      </c>
    </row>
    <row r="111" spans="1:38">
      <c r="G111" s="4" t="s">
        <v>701</v>
      </c>
      <c r="H111" s="4" t="s">
        <v>661</v>
      </c>
      <c r="I111" s="4">
        <v>2060</v>
      </c>
      <c r="J111" s="4" t="s">
        <v>112</v>
      </c>
      <c r="K111" s="333">
        <v>0</v>
      </c>
      <c r="L111" s="333">
        <v>0</v>
      </c>
      <c r="M111" s="333">
        <v>0</v>
      </c>
      <c r="N111" s="333">
        <v>0</v>
      </c>
      <c r="O111" s="333">
        <v>0</v>
      </c>
      <c r="P111" s="333">
        <v>0</v>
      </c>
      <c r="Q111" s="333">
        <v>0</v>
      </c>
      <c r="R111" s="333">
        <v>0</v>
      </c>
      <c r="S111" s="333">
        <v>0</v>
      </c>
      <c r="T111" s="333">
        <v>0</v>
      </c>
      <c r="U111" s="333">
        <v>0</v>
      </c>
      <c r="V111" s="333">
        <v>0</v>
      </c>
      <c r="W111" s="333">
        <v>0</v>
      </c>
      <c r="X111" s="333">
        <v>0</v>
      </c>
      <c r="Y111" s="333">
        <v>0</v>
      </c>
      <c r="Z111" s="333">
        <v>0</v>
      </c>
      <c r="AA111" s="333">
        <v>0</v>
      </c>
      <c r="AB111" s="333">
        <v>0</v>
      </c>
      <c r="AC111" s="333">
        <v>0</v>
      </c>
      <c r="AD111" s="333">
        <v>0</v>
      </c>
      <c r="AE111" s="333">
        <v>0</v>
      </c>
      <c r="AF111" s="333">
        <v>0</v>
      </c>
      <c r="AG111" s="333">
        <v>0</v>
      </c>
      <c r="AH111" s="333">
        <v>0</v>
      </c>
      <c r="AI111" s="333">
        <v>0</v>
      </c>
      <c r="AJ111" s="333">
        <v>0</v>
      </c>
      <c r="AK111" s="333">
        <v>0</v>
      </c>
      <c r="AL111" s="333">
        <v>0</v>
      </c>
    </row>
    <row r="112" spans="1:38">
      <c r="G112" s="4" t="s">
        <v>701</v>
      </c>
      <c r="H112" s="4" t="s">
        <v>661</v>
      </c>
      <c r="I112" s="4">
        <v>0</v>
      </c>
      <c r="J112" s="4"/>
      <c r="K112" s="333">
        <v>5</v>
      </c>
      <c r="L112" s="333">
        <v>5</v>
      </c>
      <c r="M112" s="333">
        <v>5</v>
      </c>
      <c r="N112" s="333">
        <v>5</v>
      </c>
      <c r="O112" s="333">
        <v>5</v>
      </c>
      <c r="P112" s="333">
        <v>5</v>
      </c>
      <c r="Q112" s="333">
        <v>5</v>
      </c>
      <c r="R112" s="333">
        <v>5</v>
      </c>
      <c r="S112" s="333">
        <v>5</v>
      </c>
      <c r="T112" s="333">
        <v>5</v>
      </c>
      <c r="U112" s="333">
        <v>5</v>
      </c>
      <c r="V112" s="333">
        <v>5</v>
      </c>
      <c r="W112" s="333">
        <v>5</v>
      </c>
      <c r="X112" s="333">
        <v>5</v>
      </c>
      <c r="Y112" s="333">
        <v>5</v>
      </c>
      <c r="Z112" s="333">
        <v>5</v>
      </c>
      <c r="AA112" s="333">
        <v>5</v>
      </c>
      <c r="AB112" s="333">
        <v>5</v>
      </c>
      <c r="AC112" s="333">
        <v>5</v>
      </c>
      <c r="AD112" s="333">
        <v>5</v>
      </c>
      <c r="AE112" s="333">
        <v>5</v>
      </c>
      <c r="AF112" s="333">
        <v>5</v>
      </c>
      <c r="AG112" s="333">
        <v>5</v>
      </c>
      <c r="AH112" s="333">
        <v>5</v>
      </c>
      <c r="AI112" s="333">
        <v>5</v>
      </c>
      <c r="AJ112" s="333">
        <v>5</v>
      </c>
      <c r="AK112" s="333">
        <v>5</v>
      </c>
      <c r="AL112" s="333">
        <v>5</v>
      </c>
    </row>
    <row r="113" spans="1:38">
      <c r="G113" s="4" t="s">
        <v>687</v>
      </c>
      <c r="H113" s="4"/>
      <c r="I113" s="4"/>
      <c r="J113" s="4" t="s">
        <v>2663</v>
      </c>
      <c r="K113" s="355"/>
      <c r="L113" s="355"/>
      <c r="M113" s="355"/>
      <c r="N113" s="355"/>
      <c r="O113" s="355"/>
      <c r="P113" s="355"/>
      <c r="Q113" s="355"/>
      <c r="R113" s="355"/>
      <c r="S113" s="355"/>
      <c r="T113" s="355"/>
      <c r="U113" s="355"/>
      <c r="V113" s="355"/>
      <c r="W113" s="355"/>
      <c r="X113" s="355"/>
      <c r="Y113" s="355"/>
      <c r="Z113" s="355"/>
      <c r="AA113" s="355"/>
      <c r="AB113" s="355"/>
      <c r="AC113" s="355"/>
      <c r="AD113" s="355"/>
      <c r="AE113" s="355"/>
      <c r="AF113" s="355"/>
      <c r="AG113" s="355"/>
      <c r="AH113" s="355"/>
      <c r="AI113" s="355"/>
      <c r="AJ113" s="355"/>
      <c r="AK113" s="355"/>
      <c r="AL113" s="355"/>
    </row>
    <row r="114" spans="1:38">
      <c r="G114" s="4" t="s">
        <v>689</v>
      </c>
      <c r="H114" s="4"/>
      <c r="I114" s="4"/>
      <c r="J114" s="4" t="s">
        <v>2663</v>
      </c>
      <c r="K114" s="355"/>
      <c r="L114" s="355"/>
      <c r="M114" s="355"/>
      <c r="N114" s="355"/>
      <c r="O114" s="355"/>
      <c r="P114" s="355"/>
      <c r="Q114" s="355"/>
      <c r="R114" s="355"/>
      <c r="S114" s="355"/>
      <c r="T114" s="355"/>
      <c r="U114" s="355"/>
      <c r="V114" s="355"/>
      <c r="W114" s="355"/>
      <c r="X114" s="355"/>
      <c r="Y114" s="355"/>
      <c r="Z114" s="355"/>
      <c r="AA114" s="355"/>
      <c r="AB114" s="355"/>
      <c r="AC114" s="355"/>
      <c r="AD114" s="355"/>
      <c r="AE114" s="355"/>
      <c r="AF114" s="355"/>
      <c r="AG114" s="355"/>
      <c r="AH114" s="355"/>
      <c r="AI114" s="355"/>
      <c r="AJ114" s="355"/>
      <c r="AK114" s="355"/>
      <c r="AL114" s="355"/>
    </row>
    <row r="115" spans="1:38">
      <c r="G115" s="4" t="s">
        <v>675</v>
      </c>
      <c r="H115" s="4"/>
      <c r="I115" s="4"/>
      <c r="J115" s="4" t="s">
        <v>2662</v>
      </c>
      <c r="K115" s="355"/>
      <c r="L115" s="355"/>
      <c r="M115" s="355"/>
      <c r="N115" s="355"/>
      <c r="O115" s="355"/>
      <c r="P115" s="355"/>
      <c r="Q115" s="355"/>
      <c r="R115" s="355"/>
      <c r="S115" s="355"/>
      <c r="T115" s="355"/>
      <c r="U115" s="355"/>
      <c r="V115" s="355"/>
      <c r="W115" s="355"/>
      <c r="X115" s="355"/>
      <c r="Y115" s="355"/>
      <c r="Z115" s="355"/>
      <c r="AA115" s="355"/>
      <c r="AB115" s="355"/>
      <c r="AC115" s="355"/>
      <c r="AD115" s="355"/>
      <c r="AE115" s="355"/>
      <c r="AF115" s="355"/>
      <c r="AG115" s="355"/>
      <c r="AH115" s="355"/>
      <c r="AI115" s="355"/>
      <c r="AJ115" s="355"/>
      <c r="AK115" s="355"/>
      <c r="AL115" s="355"/>
    </row>
    <row r="116" spans="1:38">
      <c r="A116" s="236"/>
      <c r="B116" s="236"/>
      <c r="C116" s="236" t="str">
        <f>Commodities!$C$61</f>
        <v>BIOWOO</v>
      </c>
      <c r="D116" s="236" t="str">
        <f>Commodities!$C$67</f>
        <v>BIOMASS</v>
      </c>
      <c r="E116" s="236"/>
      <c r="F116" s="236"/>
      <c r="G116" s="259" t="s">
        <v>630</v>
      </c>
      <c r="H116" s="236"/>
      <c r="I116" s="236"/>
      <c r="J116" s="236" t="s">
        <v>2666</v>
      </c>
      <c r="K116" s="236">
        <v>1</v>
      </c>
      <c r="L116" s="236">
        <v>1</v>
      </c>
      <c r="M116" s="236">
        <v>1</v>
      </c>
      <c r="N116" s="236">
        <v>1</v>
      </c>
      <c r="O116" s="236">
        <v>1</v>
      </c>
      <c r="P116" s="236">
        <v>1</v>
      </c>
      <c r="Q116" s="236">
        <v>1</v>
      </c>
      <c r="R116" s="236">
        <v>1</v>
      </c>
      <c r="S116" s="236">
        <v>1</v>
      </c>
      <c r="T116" s="236">
        <v>1</v>
      </c>
      <c r="U116" s="236">
        <v>1</v>
      </c>
      <c r="V116" s="236">
        <v>1</v>
      </c>
      <c r="W116" s="236">
        <v>1</v>
      </c>
      <c r="X116" s="236">
        <v>1</v>
      </c>
      <c r="Y116" s="236">
        <v>1</v>
      </c>
      <c r="Z116" s="236">
        <v>1</v>
      </c>
      <c r="AA116" s="236">
        <v>1</v>
      </c>
      <c r="AB116" s="236">
        <v>1</v>
      </c>
      <c r="AC116" s="236">
        <v>1</v>
      </c>
      <c r="AD116" s="236">
        <v>1</v>
      </c>
      <c r="AE116" s="236">
        <v>1</v>
      </c>
      <c r="AF116" s="236">
        <v>1</v>
      </c>
      <c r="AG116" s="236">
        <v>1</v>
      </c>
      <c r="AH116" s="236">
        <v>1</v>
      </c>
      <c r="AI116" s="236">
        <v>1</v>
      </c>
      <c r="AJ116" s="236">
        <v>1</v>
      </c>
      <c r="AK116" s="236">
        <v>1</v>
      </c>
      <c r="AL116" s="236">
        <v>1</v>
      </c>
    </row>
  </sheetData>
  <pageMargins left="0.7" right="0.7" top="0.75" bottom="0.75" header="0.3" footer="0.3"/>
  <pageSetup orientation="portrait" horizontalDpi="0" verticalDpi="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E2E7F-1232-49C9-B514-9FC62B91D96A}">
  <sheetPr>
    <tabColor theme="9" tint="0.39997558519241921"/>
  </sheetPr>
  <dimension ref="A1:AU318"/>
  <sheetViews>
    <sheetView zoomScale="90" zoomScaleNormal="90" workbookViewId="0">
      <pane xSplit="9" ySplit="9" topLeftCell="AI223" activePane="bottomRight" state="frozen"/>
      <selection pane="topRight" activeCell="J1" sqref="J1"/>
      <selection pane="bottomLeft" activeCell="A10" sqref="A10"/>
      <selection pane="bottomRight" activeCell="AK8" sqref="AK8"/>
    </sheetView>
  </sheetViews>
  <sheetFormatPr defaultRowHeight="15.6"/>
  <cols>
    <col min="1" max="1" width="25.5" bestFit="1" customWidth="1"/>
    <col min="2" max="2" width="64.69921875" bestFit="1" customWidth="1"/>
    <col min="3" max="3" width="13.59765625" bestFit="1" customWidth="1"/>
    <col min="4" max="4" width="18.19921875" bestFit="1" customWidth="1"/>
    <col min="5" max="6" width="15.69921875" bestFit="1" customWidth="1"/>
    <col min="7" max="7" width="14.5" bestFit="1" customWidth="1"/>
    <col min="8" max="8" width="10.5" bestFit="1" customWidth="1"/>
    <col min="9" max="9" width="6.59765625" bestFit="1" customWidth="1"/>
    <col min="10" max="10" width="25.09765625" bestFit="1" customWidth="1"/>
    <col min="11" max="11" width="13" bestFit="1" customWidth="1"/>
    <col min="12" max="12" width="11.3984375" bestFit="1" customWidth="1"/>
    <col min="13" max="13" width="10.69921875" bestFit="1" customWidth="1"/>
    <col min="14" max="16" width="15.09765625" bestFit="1" customWidth="1"/>
    <col min="17" max="17" width="11.3984375" bestFit="1" customWidth="1"/>
    <col min="18" max="18" width="11" bestFit="1" customWidth="1"/>
    <col min="19" max="19" width="15.09765625" bestFit="1" customWidth="1"/>
    <col min="20" max="20" width="11.3984375" bestFit="1" customWidth="1"/>
    <col min="21" max="21" width="9.5" bestFit="1" customWidth="1"/>
    <col min="22" max="22" width="13.8984375" bestFit="1" customWidth="1"/>
    <col min="23" max="26" width="15.09765625" bestFit="1" customWidth="1"/>
    <col min="27" max="27" width="13.8984375" bestFit="1" customWidth="1"/>
    <col min="28" max="28" width="11.3984375" bestFit="1" customWidth="1"/>
    <col min="29" max="34" width="15.09765625" bestFit="1" customWidth="1"/>
    <col min="35" max="35" width="10.5" bestFit="1" customWidth="1"/>
    <col min="36" max="38" width="15.09765625" bestFit="1" customWidth="1"/>
    <col min="39" max="39" width="18.5" bestFit="1" customWidth="1"/>
    <col min="40" max="40" width="21.59765625" bestFit="1" customWidth="1"/>
    <col min="41" max="41" width="25.5" bestFit="1" customWidth="1"/>
    <col min="42" max="42" width="64.69921875" bestFit="1" customWidth="1"/>
    <col min="43" max="43" width="6.59765625" bestFit="1" customWidth="1"/>
    <col min="44" max="44" width="7.19921875" bestFit="1" customWidth="1"/>
    <col min="45" max="45" width="12.19921875" bestFit="1" customWidth="1"/>
    <col min="46" max="46" width="13.19921875" bestFit="1" customWidth="1"/>
    <col min="47" max="47" width="9.69921875" bestFit="1" customWidth="1"/>
  </cols>
  <sheetData>
    <row r="1" spans="1:47" s="4" customFormat="1" ht="23.4">
      <c r="A1" s="253" t="s">
        <v>703</v>
      </c>
    </row>
    <row r="2" spans="1:47" s="4" customFormat="1" ht="18">
      <c r="A2" s="8" t="s">
        <v>663</v>
      </c>
      <c r="B2" s="4" t="str">
        <f>Legend!B163&amp;" &amp; "&amp;Legend!B166</f>
        <v>S1 &amp; S4</v>
      </c>
    </row>
    <row r="3" spans="1:47" s="4" customFormat="1"/>
    <row r="4" spans="1:47" s="4" customFormat="1" ht="18">
      <c r="A4" s="8"/>
      <c r="G4"/>
      <c r="H4"/>
      <c r="L4" s="254"/>
      <c r="P4" s="564"/>
      <c r="AN4" s="8" t="s">
        <v>665</v>
      </c>
    </row>
    <row r="5" spans="1:47" s="4" customFormat="1" ht="18">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2"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41.4">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N9" s="257" t="s">
        <v>629</v>
      </c>
      <c r="AO9" s="257"/>
      <c r="AP9" s="257"/>
      <c r="AQ9" s="257"/>
      <c r="AR9" s="257"/>
      <c r="AS9" s="257"/>
      <c r="AT9" s="257"/>
      <c r="AU9" s="257"/>
    </row>
    <row r="10" spans="1:47" s="4" customFormat="1">
      <c r="A10" s="4" t="str">
        <f>IF(AO10="",AN10,AO10)</f>
        <v>U-TRF-COKOVEN_00</v>
      </c>
      <c r="B10" s="4" t="str">
        <f>IF($AO10="","",AP10)</f>
        <v>UPS Transformation: Coke ovens - Existing</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"U-TRF-COKOVEN_00"</f>
        <v>U-TRF-COKOVEN_00</v>
      </c>
      <c r="AP10" t="str">
        <f>"UPS Transformation: Coke ovens - Existing"</f>
        <v>UPS Transformation: Coke ovens - Existing</v>
      </c>
      <c r="AQ10" s="4" t="s">
        <v>112</v>
      </c>
      <c r="AR10" s="4" t="s">
        <v>2671</v>
      </c>
      <c r="AT10" s="4" t="s">
        <v>704</v>
      </c>
    </row>
    <row r="11" spans="1:47" s="4" customFormat="1">
      <c r="G11" s="4" t="s">
        <v>697</v>
      </c>
      <c r="J11" s="4" t="s">
        <v>698</v>
      </c>
      <c r="K11" s="331">
        <v>100</v>
      </c>
      <c r="L11" s="331">
        <v>100</v>
      </c>
      <c r="M11" s="331">
        <v>100</v>
      </c>
      <c r="N11" s="331">
        <v>100</v>
      </c>
      <c r="O11" s="331">
        <v>100</v>
      </c>
      <c r="P11" s="331">
        <v>100</v>
      </c>
      <c r="Q11" s="331">
        <v>100</v>
      </c>
      <c r="R11" s="331">
        <v>100</v>
      </c>
      <c r="S11" s="331">
        <v>100</v>
      </c>
      <c r="T11" s="331">
        <v>100</v>
      </c>
      <c r="U11" s="331">
        <v>100</v>
      </c>
      <c r="V11" s="331">
        <v>100</v>
      </c>
      <c r="W11" s="331">
        <v>100</v>
      </c>
      <c r="X11" s="331">
        <v>100</v>
      </c>
      <c r="Y11" s="331">
        <v>100</v>
      </c>
      <c r="Z11" s="331">
        <v>100</v>
      </c>
      <c r="AA11" s="331">
        <v>100</v>
      </c>
      <c r="AB11" s="331">
        <v>100</v>
      </c>
      <c r="AC11" s="331">
        <v>100</v>
      </c>
      <c r="AD11" s="331">
        <v>100</v>
      </c>
      <c r="AE11" s="331">
        <v>100</v>
      </c>
      <c r="AF11" s="331">
        <v>100</v>
      </c>
      <c r="AG11" s="331">
        <v>100</v>
      </c>
      <c r="AH11" s="331">
        <v>100</v>
      </c>
      <c r="AI11" s="331">
        <v>100</v>
      </c>
      <c r="AJ11" s="331">
        <v>100</v>
      </c>
      <c r="AK11" s="331">
        <v>100</v>
      </c>
      <c r="AL11" s="331">
        <v>100</v>
      </c>
      <c r="AN11" s="4" t="s">
        <v>651</v>
      </c>
      <c r="AO11" t="str">
        <f>"U-TRF-LIQGASCOA_00"</f>
        <v>U-TRF-LIQGASCOA_00</v>
      </c>
      <c r="AP11" t="str">
        <f>"UPS Transformation: Coal liquefaction and gas to liquid - Existing"</f>
        <v>UPS Transformation: Coal liquefaction and gas to liquid - Existing</v>
      </c>
      <c r="AQ11" s="4" t="s">
        <v>112</v>
      </c>
      <c r="AR11" s="4" t="s">
        <v>2671</v>
      </c>
      <c r="AT11" s="4" t="s">
        <v>704</v>
      </c>
    </row>
    <row r="12" spans="1:47" s="4" customFormat="1">
      <c r="G12" s="4" t="s">
        <v>699</v>
      </c>
      <c r="I12" s="4">
        <v>2019</v>
      </c>
      <c r="J12" s="4" t="s">
        <v>112</v>
      </c>
      <c r="K12" s="258">
        <f>'Key inputs_EB_TRF'!D62/10^3+'Key inputs_EB_TRF'!D63/10^3</f>
        <v>0</v>
      </c>
      <c r="L12" s="258">
        <f>'Key inputs_EB_TRF'!E62/10^3+'Key inputs_EB_TRF'!E63/10^3</f>
        <v>13.122</v>
      </c>
      <c r="M12" s="258">
        <f>'Key inputs_EB_TRF'!F62/10^3+'Key inputs_EB_TRF'!F63/10^3</f>
        <v>0</v>
      </c>
      <c r="N12" s="258">
        <f>'Key inputs_EB_TRF'!G62/10^3+'Key inputs_EB_TRF'!G63/10^3</f>
        <v>76.352999999999994</v>
      </c>
      <c r="O12" s="258">
        <f>'Key inputs_EB_TRF'!H62/10^3+'Key inputs_EB_TRF'!H63/10^3</f>
        <v>104.185</v>
      </c>
      <c r="P12" s="258">
        <f>'Key inputs_EB_TRF'!I62/10^3+'Key inputs_EB_TRF'!I63/10^3</f>
        <v>81.772999999999996</v>
      </c>
      <c r="Q12" s="258">
        <f>'Key inputs_EB_TRF'!J62/10^3+'Key inputs_EB_TRF'!J63/10^3</f>
        <v>0</v>
      </c>
      <c r="R12" s="258">
        <f>'Key inputs_EB_TRF'!K62/10^3+'Key inputs_EB_TRF'!K63/10^3</f>
        <v>0</v>
      </c>
      <c r="S12" s="258">
        <f>'Key inputs_EB_TRF'!L62/10^3+'Key inputs_EB_TRF'!L63/10^3</f>
        <v>338.97200000000004</v>
      </c>
      <c r="T12" s="258">
        <f>'Key inputs_EB_TRF'!M62/10^3+'Key inputs_EB_TRF'!M63/10^3</f>
        <v>89.165999999999997</v>
      </c>
      <c r="U12" s="258">
        <f>'Key inputs_EB_TRF'!N62/10^3+'Key inputs_EB_TRF'!N63/10^3</f>
        <v>15.919999999999998</v>
      </c>
      <c r="V12" s="528">
        <v>15044.132947000628</v>
      </c>
      <c r="W12" s="258">
        <f>'Key inputs_EB_TRF'!P62/10^3+'Key inputs_EB_TRF'!P63/10^3</f>
        <v>379.41500000000002</v>
      </c>
      <c r="X12" s="258">
        <f>'Key inputs_EB_TRF'!Q62/10^3+'Key inputs_EB_TRF'!Q63/10^3</f>
        <v>53.254999999999995</v>
      </c>
      <c r="Y12" s="528">
        <f>'Key inputs_EB_TRF'!R62/10^3+'Key inputs_EB_TRF'!R63/10^3+'Key inputs_EB_MIN'!R47/1000</f>
        <v>531.63900000000001</v>
      </c>
      <c r="Z12" s="258">
        <f>'Key inputs_EB_TRF'!S62/10^3+'Key inputs_EB_TRF'!S63/10^3</f>
        <v>186.19299999999998</v>
      </c>
      <c r="AA12" s="258">
        <f>'Key inputs_EB_TRF'!T62/10^3+'Key inputs_EB_TRF'!T63/10^3</f>
        <v>621.05899999999997</v>
      </c>
      <c r="AB12" s="258">
        <f>'Key inputs_EB_TRF'!U62/10^3+'Key inputs_EB_TRF'!U63/10^3</f>
        <v>125.22799999999999</v>
      </c>
      <c r="AC12" s="528">
        <v>1355.73400955383</v>
      </c>
      <c r="AD12" s="258">
        <f>'Key inputs_EB_TRF'!W62/10^3+'Key inputs_EB_TRF'!W63/10^3</f>
        <v>1240.451</v>
      </c>
      <c r="AE12" s="258">
        <f>'Key inputs_EB_TRF'!X62/10^3+'Key inputs_EB_TRF'!X63/10^3</f>
        <v>86.399000000000001</v>
      </c>
      <c r="AF12" s="258">
        <f>'Key inputs_EB_TRF'!Y62/10^3+'Key inputs_EB_TRF'!Y63/10^3</f>
        <v>150.761</v>
      </c>
      <c r="AG12" s="258">
        <f>'Key inputs_EB_TRF'!Z62/10^3+'Key inputs_EB_TRF'!Z63/10^3</f>
        <v>60.518000000000001</v>
      </c>
      <c r="AH12" s="258">
        <f>'Key inputs_EB_TRF'!AA62/10^3+'Key inputs_EB_TRF'!AA63/10^3</f>
        <v>37.206000000000003</v>
      </c>
      <c r="AI12" s="258">
        <f>'Key inputs_EB_TRF'!AB62/10^3+'Key inputs_EB_TRF'!AB63/10^3</f>
        <v>0</v>
      </c>
      <c r="AJ12" s="258">
        <f>'Key inputs_EB_TRF'!AC62/10^3+'Key inputs_EB_TRF'!AC63/10^3</f>
        <v>1595.1369999999999</v>
      </c>
      <c r="AK12" s="258">
        <f>'Key inputs_EB_TRF'!AD62/10^3+'Key inputs_EB_TRF'!AD63/10^3</f>
        <v>615.46399999999994</v>
      </c>
      <c r="AL12" s="258">
        <f>'Key inputs_EB_TRF'!AE62/10^3+'Key inputs_EB_TRF'!AE63/10^3</f>
        <v>399.43799999999999</v>
      </c>
      <c r="AN12" s="4" t="s">
        <v>651</v>
      </c>
      <c r="AO12" t="str">
        <f>"U-TRF-SEPGAS_00"</f>
        <v>U-TRF-SEPGAS_00</v>
      </c>
      <c r="AP12" t="str">
        <f>"UPS Transformation: Natural gas separation plant - Existing"</f>
        <v>UPS Transformation: Natural gas separation plant - Existing</v>
      </c>
      <c r="AQ12" s="4" t="s">
        <v>112</v>
      </c>
      <c r="AR12" s="4" t="s">
        <v>2671</v>
      </c>
      <c r="AT12" s="4" t="s">
        <v>704</v>
      </c>
    </row>
    <row r="13" spans="1:47" s="4" customFormat="1">
      <c r="G13" s="4" t="s">
        <v>632</v>
      </c>
      <c r="H13" s="4" t="s">
        <v>700</v>
      </c>
      <c r="I13" s="4">
        <v>2019</v>
      </c>
      <c r="K13" s="331">
        <v>1</v>
      </c>
      <c r="L13" s="331">
        <v>1</v>
      </c>
      <c r="M13" s="331">
        <v>1</v>
      </c>
      <c r="N13" s="331">
        <v>1</v>
      </c>
      <c r="O13" s="331">
        <v>1</v>
      </c>
      <c r="P13" s="331">
        <v>1</v>
      </c>
      <c r="Q13" s="331">
        <v>1</v>
      </c>
      <c r="R13" s="331">
        <v>1</v>
      </c>
      <c r="S13" s="331">
        <v>1</v>
      </c>
      <c r="T13" s="331">
        <v>1</v>
      </c>
      <c r="U13" s="331">
        <v>1</v>
      </c>
      <c r="V13" s="331">
        <v>1</v>
      </c>
      <c r="W13" s="331">
        <v>1</v>
      </c>
      <c r="X13" s="331">
        <v>1</v>
      </c>
      <c r="Y13" s="331">
        <v>1</v>
      </c>
      <c r="Z13" s="331">
        <v>1</v>
      </c>
      <c r="AA13" s="331">
        <v>1</v>
      </c>
      <c r="AB13" s="331">
        <v>1</v>
      </c>
      <c r="AC13" s="331">
        <v>1</v>
      </c>
      <c r="AD13" s="331">
        <v>1</v>
      </c>
      <c r="AE13" s="331">
        <v>1</v>
      </c>
      <c r="AF13" s="331">
        <v>1</v>
      </c>
      <c r="AG13" s="331">
        <v>1</v>
      </c>
      <c r="AH13" s="331">
        <v>1</v>
      </c>
      <c r="AI13" s="331">
        <v>1</v>
      </c>
      <c r="AJ13" s="331">
        <v>1</v>
      </c>
      <c r="AK13" s="331">
        <v>1</v>
      </c>
      <c r="AL13" s="331">
        <v>1</v>
      </c>
      <c r="AN13" s="4" t="s">
        <v>651</v>
      </c>
      <c r="AO13" t="str">
        <f>"U-TRF-OTH_00"</f>
        <v>U-TRF-OTH_00</v>
      </c>
      <c r="AP13" t="str">
        <f>"UPS Transformation: Other processing plants - Existing"</f>
        <v>UPS Transformation: Other processing plants - Existing</v>
      </c>
      <c r="AQ13" s="4" t="s">
        <v>112</v>
      </c>
      <c r="AR13" s="4" t="s">
        <v>2671</v>
      </c>
      <c r="AT13" s="4" t="s">
        <v>704</v>
      </c>
    </row>
    <row r="14" spans="1:47" s="4" customFormat="1">
      <c r="G14" s="4" t="s">
        <v>632</v>
      </c>
      <c r="H14" s="4" t="s">
        <v>700</v>
      </c>
      <c r="I14" s="4">
        <v>2020</v>
      </c>
      <c r="K14" s="331">
        <v>0</v>
      </c>
      <c r="L14" s="331">
        <v>0</v>
      </c>
      <c r="M14" s="331">
        <v>0</v>
      </c>
      <c r="N14" s="331">
        <v>0</v>
      </c>
      <c r="O14" s="331">
        <v>0</v>
      </c>
      <c r="P14" s="331">
        <v>0</v>
      </c>
      <c r="Q14" s="331">
        <v>0</v>
      </c>
      <c r="R14" s="331">
        <v>0</v>
      </c>
      <c r="S14" s="331">
        <v>0</v>
      </c>
      <c r="T14" s="331">
        <v>0</v>
      </c>
      <c r="U14" s="331">
        <v>0</v>
      </c>
      <c r="V14" s="331">
        <v>0</v>
      </c>
      <c r="W14" s="331">
        <v>0</v>
      </c>
      <c r="X14" s="331">
        <v>0</v>
      </c>
      <c r="Y14" s="331">
        <v>0</v>
      </c>
      <c r="Z14" s="331">
        <v>0</v>
      </c>
      <c r="AA14" s="331">
        <v>0</v>
      </c>
      <c r="AB14" s="331">
        <v>0</v>
      </c>
      <c r="AC14" s="331">
        <v>0</v>
      </c>
      <c r="AD14" s="331">
        <v>0</v>
      </c>
      <c r="AE14" s="331">
        <v>0</v>
      </c>
      <c r="AF14" s="331">
        <v>0</v>
      </c>
      <c r="AG14" s="331">
        <v>0</v>
      </c>
      <c r="AH14" s="331">
        <v>0</v>
      </c>
      <c r="AI14" s="331">
        <v>0</v>
      </c>
      <c r="AJ14" s="331">
        <v>0</v>
      </c>
      <c r="AK14" s="331">
        <v>0</v>
      </c>
      <c r="AL14" s="331">
        <v>0</v>
      </c>
      <c r="AN14" s="4" t="s">
        <v>651</v>
      </c>
      <c r="AO14" t="str">
        <f>"U-TRF-OILREF_00"</f>
        <v>U-TRF-OILREF_00</v>
      </c>
      <c r="AP14" t="str">
        <f>"UPS Transformation: Oil refineries - Existing"</f>
        <v>UPS Transformation: Oil refineries - Existing</v>
      </c>
      <c r="AQ14" s="4" t="s">
        <v>112</v>
      </c>
      <c r="AR14" s="4" t="s">
        <v>2671</v>
      </c>
      <c r="AT14" s="4" t="s">
        <v>364</v>
      </c>
    </row>
    <row r="15" spans="1:47" s="4" customFormat="1">
      <c r="G15" s="4" t="s">
        <v>632</v>
      </c>
      <c r="H15" s="4" t="s">
        <v>700</v>
      </c>
      <c r="I15" s="4">
        <v>2050</v>
      </c>
      <c r="K15" s="331">
        <v>0</v>
      </c>
      <c r="L15" s="331">
        <v>0</v>
      </c>
      <c r="M15" s="331">
        <v>0</v>
      </c>
      <c r="N15" s="331">
        <v>0</v>
      </c>
      <c r="O15" s="331">
        <v>0</v>
      </c>
      <c r="P15" s="331">
        <v>0</v>
      </c>
      <c r="Q15" s="331">
        <v>0</v>
      </c>
      <c r="R15" s="331">
        <v>0</v>
      </c>
      <c r="S15" s="331">
        <v>0</v>
      </c>
      <c r="T15" s="331">
        <v>0</v>
      </c>
      <c r="U15" s="331">
        <v>0</v>
      </c>
      <c r="V15" s="331">
        <v>0</v>
      </c>
      <c r="W15" s="331">
        <v>0</v>
      </c>
      <c r="X15" s="331">
        <v>0</v>
      </c>
      <c r="Y15" s="331">
        <v>0</v>
      </c>
      <c r="Z15" s="331">
        <v>0</v>
      </c>
      <c r="AA15" s="331">
        <v>0</v>
      </c>
      <c r="AB15" s="331">
        <v>0</v>
      </c>
      <c r="AC15" s="331">
        <v>0</v>
      </c>
      <c r="AD15" s="331">
        <v>0</v>
      </c>
      <c r="AE15" s="331">
        <v>0</v>
      </c>
      <c r="AF15" s="331">
        <v>0</v>
      </c>
      <c r="AG15" s="331">
        <v>0</v>
      </c>
      <c r="AH15" s="331">
        <v>0</v>
      </c>
      <c r="AI15" s="331">
        <v>0</v>
      </c>
      <c r="AJ15" s="331">
        <v>0</v>
      </c>
      <c r="AK15" s="331">
        <v>0</v>
      </c>
      <c r="AL15" s="331">
        <v>0</v>
      </c>
      <c r="AN15" s="4" t="s">
        <v>651</v>
      </c>
      <c r="AO15" t="str">
        <f>"U-TRF-COKOVEN_01"</f>
        <v>U-TRF-COKOVEN_01</v>
      </c>
      <c r="AP15" t="str">
        <f>"UPS Transformation: Coke ovens - New"</f>
        <v>UPS Transformation: Coke ovens - New</v>
      </c>
      <c r="AQ15" s="4" t="s">
        <v>112</v>
      </c>
      <c r="AR15" s="4" t="s">
        <v>2671</v>
      </c>
      <c r="AT15" s="4" t="s">
        <v>704</v>
      </c>
    </row>
    <row r="16" spans="1:47" s="4" customFormat="1">
      <c r="G16" s="4" t="s">
        <v>632</v>
      </c>
      <c r="H16" s="4" t="s">
        <v>700</v>
      </c>
      <c r="I16" s="4">
        <v>0</v>
      </c>
      <c r="K16" s="331">
        <v>5</v>
      </c>
      <c r="L16" s="331">
        <v>5</v>
      </c>
      <c r="M16" s="331">
        <v>5</v>
      </c>
      <c r="N16" s="331">
        <v>5</v>
      </c>
      <c r="O16" s="331">
        <v>5</v>
      </c>
      <c r="P16" s="331">
        <v>5</v>
      </c>
      <c r="Q16" s="331">
        <v>5</v>
      </c>
      <c r="R16" s="331">
        <v>5</v>
      </c>
      <c r="S16" s="331">
        <v>5</v>
      </c>
      <c r="T16" s="331">
        <v>5</v>
      </c>
      <c r="U16" s="331">
        <v>5</v>
      </c>
      <c r="V16" s="331">
        <v>5</v>
      </c>
      <c r="W16" s="331">
        <v>5</v>
      </c>
      <c r="X16" s="331">
        <v>5</v>
      </c>
      <c r="Y16" s="331">
        <v>5</v>
      </c>
      <c r="Z16" s="331">
        <v>5</v>
      </c>
      <c r="AA16" s="331">
        <v>5</v>
      </c>
      <c r="AB16" s="331">
        <v>5</v>
      </c>
      <c r="AC16" s="331">
        <v>5</v>
      </c>
      <c r="AD16" s="331">
        <v>5</v>
      </c>
      <c r="AE16" s="331">
        <v>5</v>
      </c>
      <c r="AF16" s="331">
        <v>5</v>
      </c>
      <c r="AG16" s="331">
        <v>5</v>
      </c>
      <c r="AH16" s="331">
        <v>5</v>
      </c>
      <c r="AI16" s="331">
        <v>5</v>
      </c>
      <c r="AJ16" s="331">
        <v>5</v>
      </c>
      <c r="AK16" s="331">
        <v>5</v>
      </c>
      <c r="AL16" s="331">
        <v>5</v>
      </c>
      <c r="AN16" s="4" t="s">
        <v>651</v>
      </c>
      <c r="AO16" t="str">
        <f>"U-TRF-LIQGASCOA_01"</f>
        <v>U-TRF-LIQGASCOA_01</v>
      </c>
      <c r="AP16" t="str">
        <f>"UPS Transformation: Coal liquefaction and gas to liquid - New"</f>
        <v>UPS Transformation: Coal liquefaction and gas to liquid - New</v>
      </c>
      <c r="AQ16" s="4" t="s">
        <v>112</v>
      </c>
      <c r="AR16" s="4" t="s">
        <v>2671</v>
      </c>
      <c r="AT16" s="4" t="s">
        <v>704</v>
      </c>
    </row>
    <row r="17" spans="1:47" s="4" customFormat="1">
      <c r="G17" s="4" t="s">
        <v>701</v>
      </c>
      <c r="H17" s="4" t="s">
        <v>661</v>
      </c>
      <c r="I17" s="4">
        <v>2019</v>
      </c>
      <c r="J17" s="4" t="s">
        <v>112</v>
      </c>
      <c r="K17" s="333">
        <v>0</v>
      </c>
      <c r="L17" s="333">
        <v>0</v>
      </c>
      <c r="M17" s="333">
        <v>0</v>
      </c>
      <c r="N17" s="333">
        <v>0</v>
      </c>
      <c r="O17" s="333">
        <v>0</v>
      </c>
      <c r="P17" s="333">
        <v>0</v>
      </c>
      <c r="Q17" s="333">
        <v>0</v>
      </c>
      <c r="R17" s="333">
        <v>0</v>
      </c>
      <c r="S17" s="333">
        <v>0</v>
      </c>
      <c r="T17" s="333">
        <v>0</v>
      </c>
      <c r="U17" s="333">
        <v>0</v>
      </c>
      <c r="V17" s="333">
        <v>0</v>
      </c>
      <c r="W17" s="333">
        <v>0</v>
      </c>
      <c r="X17" s="333">
        <v>0</v>
      </c>
      <c r="Y17" s="333">
        <v>0</v>
      </c>
      <c r="Z17" s="333">
        <v>0</v>
      </c>
      <c r="AA17" s="333">
        <v>0</v>
      </c>
      <c r="AB17" s="333">
        <v>0</v>
      </c>
      <c r="AC17" s="333">
        <v>0</v>
      </c>
      <c r="AD17" s="333">
        <v>0</v>
      </c>
      <c r="AE17" s="333">
        <v>0</v>
      </c>
      <c r="AF17" s="333">
        <v>0</v>
      </c>
      <c r="AG17" s="333">
        <v>0</v>
      </c>
      <c r="AH17" s="333">
        <v>0</v>
      </c>
      <c r="AI17" s="333">
        <v>0</v>
      </c>
      <c r="AJ17" s="333">
        <v>0</v>
      </c>
      <c r="AK17" s="333">
        <v>0</v>
      </c>
      <c r="AL17" s="333">
        <v>0</v>
      </c>
      <c r="AN17" s="4" t="s">
        <v>651</v>
      </c>
      <c r="AO17" t="str">
        <f>"U-TRF-SEPGAS_01"</f>
        <v>U-TRF-SEPGAS_01</v>
      </c>
      <c r="AP17" t="str">
        <f>"UPS Transformation: Natural gas separation plant - New"</f>
        <v>UPS Transformation: Natural gas separation plant - New</v>
      </c>
      <c r="AQ17" s="4" t="s">
        <v>112</v>
      </c>
      <c r="AR17" s="4" t="s">
        <v>2671</v>
      </c>
      <c r="AT17" s="4" t="s">
        <v>704</v>
      </c>
    </row>
    <row r="18" spans="1:47" s="4" customFormat="1">
      <c r="G18" s="4" t="s">
        <v>701</v>
      </c>
      <c r="H18" s="4" t="s">
        <v>661</v>
      </c>
      <c r="I18" s="4">
        <v>2060</v>
      </c>
      <c r="J18" s="4" t="s">
        <v>112</v>
      </c>
      <c r="K18" s="333">
        <v>0</v>
      </c>
      <c r="L18" s="333">
        <v>0</v>
      </c>
      <c r="M18" s="333">
        <v>0</v>
      </c>
      <c r="N18" s="333">
        <v>0</v>
      </c>
      <c r="O18" s="333">
        <v>0</v>
      </c>
      <c r="P18" s="333">
        <v>0</v>
      </c>
      <c r="Q18" s="333">
        <v>0</v>
      </c>
      <c r="R18" s="333">
        <v>0</v>
      </c>
      <c r="S18" s="333">
        <v>0</v>
      </c>
      <c r="T18" s="333">
        <v>0</v>
      </c>
      <c r="U18" s="333">
        <v>0</v>
      </c>
      <c r="V18" s="333">
        <v>0</v>
      </c>
      <c r="W18" s="333">
        <v>0</v>
      </c>
      <c r="X18" s="333">
        <v>0</v>
      </c>
      <c r="Y18" s="333">
        <v>0</v>
      </c>
      <c r="Z18" s="333">
        <v>0</v>
      </c>
      <c r="AA18" s="333">
        <v>0</v>
      </c>
      <c r="AB18" s="333">
        <v>0</v>
      </c>
      <c r="AC18" s="333">
        <v>0</v>
      </c>
      <c r="AD18" s="333">
        <v>0</v>
      </c>
      <c r="AE18" s="333">
        <v>0</v>
      </c>
      <c r="AF18" s="333">
        <v>0</v>
      </c>
      <c r="AG18" s="333">
        <v>0</v>
      </c>
      <c r="AH18" s="333">
        <v>0</v>
      </c>
      <c r="AI18" s="333">
        <v>0</v>
      </c>
      <c r="AJ18" s="333">
        <v>0</v>
      </c>
      <c r="AK18" s="333">
        <v>0</v>
      </c>
      <c r="AL18" s="333">
        <v>0</v>
      </c>
      <c r="AN18" s="4" t="s">
        <v>651</v>
      </c>
      <c r="AO18" t="str">
        <f>"U-TRF-OTH_01"</f>
        <v>U-TRF-OTH_01</v>
      </c>
      <c r="AP18" t="str">
        <f>"UPS Transformation: Other processing plants - New"</f>
        <v>UPS Transformation: Other processing plants - New</v>
      </c>
      <c r="AQ18" s="4" t="s">
        <v>112</v>
      </c>
      <c r="AR18" s="4" t="s">
        <v>2671</v>
      </c>
      <c r="AT18" s="4" t="s">
        <v>704</v>
      </c>
    </row>
    <row r="19" spans="1:47" s="4" customFormat="1">
      <c r="G19" s="4" t="s">
        <v>701</v>
      </c>
      <c r="H19" s="4" t="s">
        <v>661</v>
      </c>
      <c r="I19" s="4">
        <v>0</v>
      </c>
      <c r="K19" s="333">
        <v>5</v>
      </c>
      <c r="L19" s="333">
        <v>5</v>
      </c>
      <c r="M19" s="333">
        <v>5</v>
      </c>
      <c r="N19" s="333">
        <v>5</v>
      </c>
      <c r="O19" s="333">
        <v>5</v>
      </c>
      <c r="P19" s="333">
        <v>5</v>
      </c>
      <c r="Q19" s="333">
        <v>5</v>
      </c>
      <c r="R19" s="333">
        <v>5</v>
      </c>
      <c r="S19" s="333">
        <v>5</v>
      </c>
      <c r="T19" s="333">
        <v>5</v>
      </c>
      <c r="U19" s="333">
        <v>5</v>
      </c>
      <c r="V19" s="333">
        <v>5</v>
      </c>
      <c r="W19" s="333">
        <v>5</v>
      </c>
      <c r="X19" s="333">
        <v>5</v>
      </c>
      <c r="Y19" s="333">
        <v>5</v>
      </c>
      <c r="Z19" s="333">
        <v>5</v>
      </c>
      <c r="AA19" s="333">
        <v>5</v>
      </c>
      <c r="AB19" s="333">
        <v>5</v>
      </c>
      <c r="AC19" s="333">
        <v>5</v>
      </c>
      <c r="AD19" s="333">
        <v>5</v>
      </c>
      <c r="AE19" s="333">
        <v>5</v>
      </c>
      <c r="AF19" s="333">
        <v>5</v>
      </c>
      <c r="AG19" s="333">
        <v>5</v>
      </c>
      <c r="AH19" s="333">
        <v>5</v>
      </c>
      <c r="AI19" s="333">
        <v>5</v>
      </c>
      <c r="AJ19" s="333">
        <v>5</v>
      </c>
      <c r="AK19" s="333">
        <v>5</v>
      </c>
      <c r="AL19" s="333">
        <v>5</v>
      </c>
      <c r="AN19" s="4" t="s">
        <v>651</v>
      </c>
      <c r="AO19" t="str">
        <f>"U-TRF-OILREF_01"</f>
        <v>U-TRF-OILREF_01</v>
      </c>
      <c r="AP19" t="str">
        <f>"UPS Transformation: Oil refineries - New"</f>
        <v>UPS Transformation: Oil refineries - New</v>
      </c>
      <c r="AQ19" s="4" t="s">
        <v>112</v>
      </c>
      <c r="AR19" s="4" t="s">
        <v>2671</v>
      </c>
      <c r="AT19" s="4" t="s">
        <v>364</v>
      </c>
    </row>
    <row r="20" spans="1:47" s="4" customFormat="1">
      <c r="G20" s="4" t="s">
        <v>687</v>
      </c>
      <c r="J20" s="4" t="s">
        <v>2663</v>
      </c>
      <c r="K20" s="404">
        <f>'Key inputs_TRF'!$C$6*10^3</f>
        <v>4.0726604413012195</v>
      </c>
      <c r="L20" s="404">
        <f>'Key inputs_TRF'!$C$6*10^3</f>
        <v>4.0726604413012195</v>
      </c>
      <c r="M20" s="404">
        <f>'Key inputs_TRF'!$C$6*10^3</f>
        <v>4.0726604413012195</v>
      </c>
      <c r="N20" s="404">
        <f>'Key inputs_TRF'!$C$6*10^3</f>
        <v>4.0726604413012195</v>
      </c>
      <c r="O20" s="404">
        <f>'Key inputs_TRF'!$C$6*10^3</f>
        <v>4.0726604413012195</v>
      </c>
      <c r="P20" s="404">
        <f>'Key inputs_TRF'!$C$6*10^3</f>
        <v>4.0726604413012195</v>
      </c>
      <c r="Q20" s="404">
        <f>'Key inputs_TRF'!$C$6*10^3</f>
        <v>4.0726604413012195</v>
      </c>
      <c r="R20" s="404">
        <f>'Key inputs_TRF'!$C$6*10^3</f>
        <v>4.0726604413012195</v>
      </c>
      <c r="S20" s="404">
        <f>'Key inputs_TRF'!$C$6*10^3</f>
        <v>4.0726604413012195</v>
      </c>
      <c r="T20" s="404">
        <f>'Key inputs_TRF'!$C$6*10^3</f>
        <v>4.0726604413012195</v>
      </c>
      <c r="U20" s="404">
        <f>'Key inputs_TRF'!$C$6*10^3</f>
        <v>4.0726604413012195</v>
      </c>
      <c r="V20" s="404">
        <f>'Key inputs_TRF'!$C$6*10^3</f>
        <v>4.0726604413012195</v>
      </c>
      <c r="W20" s="404">
        <f>'Key inputs_TRF'!$C$6*10^3</f>
        <v>4.0726604413012195</v>
      </c>
      <c r="X20" s="404">
        <f>'Key inputs_TRF'!$C$6*10^3</f>
        <v>4.0726604413012195</v>
      </c>
      <c r="Y20" s="404">
        <f>'Key inputs_TRF'!$C$6*10^3</f>
        <v>4.0726604413012195</v>
      </c>
      <c r="Z20" s="404">
        <f>'Key inputs_TRF'!$C$6*10^3</f>
        <v>4.0726604413012195</v>
      </c>
      <c r="AA20" s="404">
        <f>'Key inputs_TRF'!$C$6*10^3</f>
        <v>4.0726604413012195</v>
      </c>
      <c r="AB20" s="404">
        <f>'Key inputs_TRF'!$C$6*10^3</f>
        <v>4.0726604413012195</v>
      </c>
      <c r="AC20" s="404">
        <f>'Key inputs_TRF'!$C$6*10^3</f>
        <v>4.0726604413012195</v>
      </c>
      <c r="AD20" s="404">
        <f>'Key inputs_TRF'!$C$6*10^3</f>
        <v>4.0726604413012195</v>
      </c>
      <c r="AE20" s="404">
        <f>'Key inputs_TRF'!$C$6*10^3</f>
        <v>4.0726604413012195</v>
      </c>
      <c r="AF20" s="404">
        <f>'Key inputs_TRF'!$C$6*10^3</f>
        <v>4.0726604413012195</v>
      </c>
      <c r="AG20" s="404">
        <f>'Key inputs_TRF'!$C$6*10^3</f>
        <v>4.0726604413012195</v>
      </c>
      <c r="AH20" s="404">
        <f>'Key inputs_TRF'!$C$6*10^3</f>
        <v>4.0726604413012195</v>
      </c>
      <c r="AI20" s="404">
        <f>'Key inputs_TRF'!$C$6*10^3</f>
        <v>4.0726604413012195</v>
      </c>
      <c r="AJ20" s="404">
        <f>'Key inputs_TRF'!$C$6*10^3</f>
        <v>4.0726604413012195</v>
      </c>
      <c r="AK20" s="404">
        <f>'Key inputs_TRF'!$C$6*10^3</f>
        <v>4.0726604413012195</v>
      </c>
      <c r="AL20" s="404">
        <f>'Key inputs_TRF'!$C$6*10^3</f>
        <v>4.0726604413012195</v>
      </c>
      <c r="AO20"/>
      <c r="AP20"/>
    </row>
    <row r="21" spans="1:47" s="4" customFormat="1">
      <c r="G21" s="4" t="s">
        <v>689</v>
      </c>
      <c r="J21" s="4" t="s">
        <v>2663</v>
      </c>
      <c r="K21" s="404">
        <f>'Key inputs_TRF'!$C$12*10^3</f>
        <v>0.23497265063477774</v>
      </c>
      <c r="L21" s="404">
        <f>'Key inputs_TRF'!$C$12*10^3</f>
        <v>0.23497265063477774</v>
      </c>
      <c r="M21" s="404">
        <f>'Key inputs_TRF'!$C$12*10^3</f>
        <v>0.23497265063477774</v>
      </c>
      <c r="N21" s="404">
        <f>'Key inputs_TRF'!$C$12*10^3</f>
        <v>0.23497265063477774</v>
      </c>
      <c r="O21" s="404">
        <f>'Key inputs_TRF'!$C$12*10^3</f>
        <v>0.23497265063477774</v>
      </c>
      <c r="P21" s="404">
        <f>'Key inputs_TRF'!$C$12*10^3</f>
        <v>0.23497265063477774</v>
      </c>
      <c r="Q21" s="404">
        <f>'Key inputs_TRF'!$C$12*10^3</f>
        <v>0.23497265063477774</v>
      </c>
      <c r="R21" s="404">
        <f>'Key inputs_TRF'!$C$12*10^3</f>
        <v>0.23497265063477774</v>
      </c>
      <c r="S21" s="404">
        <f>'Key inputs_TRF'!$C$12*10^3</f>
        <v>0.23497265063477774</v>
      </c>
      <c r="T21" s="404">
        <f>'Key inputs_TRF'!$C$12*10^3</f>
        <v>0.23497265063477774</v>
      </c>
      <c r="U21" s="404">
        <f>'Key inputs_TRF'!$C$12*10^3</f>
        <v>0.23497265063477774</v>
      </c>
      <c r="V21" s="404">
        <f>'Key inputs_TRF'!$C$12*10^3</f>
        <v>0.23497265063477774</v>
      </c>
      <c r="W21" s="404">
        <f>'Key inputs_TRF'!$C$12*10^3</f>
        <v>0.23497265063477774</v>
      </c>
      <c r="X21" s="404">
        <f>'Key inputs_TRF'!$C$12*10^3</f>
        <v>0.23497265063477774</v>
      </c>
      <c r="Y21" s="404">
        <f>'Key inputs_TRF'!$C$12*10^3</f>
        <v>0.23497265063477774</v>
      </c>
      <c r="Z21" s="404">
        <f>'Key inputs_TRF'!$C$12*10^3</f>
        <v>0.23497265063477774</v>
      </c>
      <c r="AA21" s="404">
        <f>'Key inputs_TRF'!$C$12*10^3</f>
        <v>0.23497265063477774</v>
      </c>
      <c r="AB21" s="404">
        <f>'Key inputs_TRF'!$C$12*10^3</f>
        <v>0.23497265063477774</v>
      </c>
      <c r="AC21" s="404">
        <f>'Key inputs_TRF'!$C$12*10^3</f>
        <v>0.23497265063477774</v>
      </c>
      <c r="AD21" s="404">
        <f>'Key inputs_TRF'!$C$12*10^3</f>
        <v>0.23497265063477774</v>
      </c>
      <c r="AE21" s="404">
        <f>'Key inputs_TRF'!$C$12*10^3</f>
        <v>0.23497265063477774</v>
      </c>
      <c r="AF21" s="404">
        <f>'Key inputs_TRF'!$C$12*10^3</f>
        <v>0.23497265063477774</v>
      </c>
      <c r="AG21" s="404">
        <f>'Key inputs_TRF'!$C$12*10^3</f>
        <v>0.23497265063477774</v>
      </c>
      <c r="AH21" s="404">
        <f>'Key inputs_TRF'!$C$12*10^3</f>
        <v>0.23497265063477774</v>
      </c>
      <c r="AI21" s="404">
        <f>'Key inputs_TRF'!$C$12*10^3</f>
        <v>0.23497265063477774</v>
      </c>
      <c r="AJ21" s="404">
        <f>'Key inputs_TRF'!$C$12*10^3</f>
        <v>0.23497265063477774</v>
      </c>
      <c r="AK21" s="404">
        <f>'Key inputs_TRF'!$C$12*10^3</f>
        <v>0.23497265063477774</v>
      </c>
      <c r="AL21" s="404">
        <f>'Key inputs_TRF'!$C$12*10^3</f>
        <v>0.23497265063477774</v>
      </c>
      <c r="AN21"/>
      <c r="AO21"/>
      <c r="AP21"/>
      <c r="AQ21"/>
      <c r="AR21"/>
      <c r="AS21"/>
      <c r="AT21"/>
      <c r="AU21"/>
    </row>
    <row r="22" spans="1:47" s="4" customFormat="1">
      <c r="G22" s="4" t="s">
        <v>675</v>
      </c>
      <c r="J22" s="4" t="s">
        <v>2662</v>
      </c>
      <c r="K22" s="333"/>
      <c r="L22" s="333"/>
      <c r="M22" s="333"/>
      <c r="N22" s="333"/>
      <c r="O22" s="333"/>
      <c r="P22" s="333"/>
      <c r="Q22" s="333"/>
      <c r="R22" s="333"/>
      <c r="S22" s="333"/>
      <c r="T22" s="333"/>
      <c r="U22" s="333"/>
      <c r="V22" s="333"/>
      <c r="W22" s="333"/>
      <c r="X22" s="333"/>
      <c r="Y22" s="333"/>
      <c r="Z22" s="333"/>
      <c r="AA22" s="333"/>
      <c r="AB22" s="333"/>
      <c r="AC22" s="333"/>
      <c r="AD22" s="333"/>
      <c r="AE22" s="333"/>
      <c r="AF22" s="333"/>
      <c r="AG22" s="333"/>
      <c r="AH22" s="333"/>
      <c r="AI22" s="333"/>
      <c r="AJ22" s="333"/>
      <c r="AK22" s="333"/>
      <c r="AL22" s="333"/>
      <c r="AN22"/>
      <c r="AO22"/>
      <c r="AP22"/>
      <c r="AQ22"/>
      <c r="AR22"/>
      <c r="AS22"/>
      <c r="AT22"/>
      <c r="AU22"/>
    </row>
    <row r="23" spans="1:47" s="4" customFormat="1">
      <c r="E23" s="4" t="s">
        <v>361</v>
      </c>
      <c r="F23" s="4" t="s">
        <v>691</v>
      </c>
      <c r="G23" s="4" t="s">
        <v>692</v>
      </c>
      <c r="J23" s="4" t="s">
        <v>2664</v>
      </c>
      <c r="K23" s="332" t="str">
        <f>IFERROR(K12/(-SUM('Key inputs_EB_TRF'!D$13:D$19)/1000),"")</f>
        <v/>
      </c>
      <c r="L23" s="332">
        <f>IFERROR(L12/(-SUM('Key inputs_EB_TRF'!E$13:E$19)/1000),"")</f>
        <v>0.90297274979355902</v>
      </c>
      <c r="M23" s="332" t="str">
        <f>IFERROR(M12/(-SUM('Key inputs_EB_TRF'!F$13:F$19)/1000),"")</f>
        <v/>
      </c>
      <c r="N23" s="332">
        <f>IFERROR(N12/(-SUM('Key inputs_EB_TRF'!G$13:G$19)/1000),"")</f>
        <v>0.92638922591603967</v>
      </c>
      <c r="O23" s="332">
        <f>IFERROR(O12/(-SUM('Key inputs_EB_TRF'!H$13:H$19)/1000),"")</f>
        <v>0.8557570679940204</v>
      </c>
      <c r="P23" s="332">
        <f>IFERROR(P12/(-SUM('Key inputs_EB_TRF'!I$13:I$19)/1000),"")</f>
        <v>0.99872980202010331</v>
      </c>
      <c r="Q23" s="332" t="str">
        <f>IFERROR(Q12/(-SUM('Key inputs_EB_TRF'!J$13:J$19)/1000),"")</f>
        <v/>
      </c>
      <c r="R23" s="332" t="str">
        <f>IFERROR(R12/(-SUM('Key inputs_EB_TRF'!K$13:K$19)/1000),"")</f>
        <v/>
      </c>
      <c r="S23" s="332">
        <f>IFERROR(S12/(-SUM('Key inputs_EB_TRF'!L$13:L$19)/1000),"")</f>
        <v>0.99618245457297283</v>
      </c>
      <c r="T23" s="332">
        <f>IFERROR(T12/(-SUM('Key inputs_EB_TRF'!M$13:M$19)/1000),"")</f>
        <v>1</v>
      </c>
      <c r="U23" s="332">
        <f>IFERROR(U12/(-SUM('Key inputs_EB_TRF'!N$13:N$19)/1000),"")</f>
        <v>0.9862470573658777</v>
      </c>
      <c r="V23" s="332">
        <f>IFERROR(V12/(-SUM('Key inputs_EB_TRF'!O$13:O$19)/1000),"")</f>
        <v>1.0003201572704712</v>
      </c>
      <c r="W23" s="332">
        <f>IFERROR(W12/(-SUM('Key inputs_EB_TRF'!P$13:P$19)/1000),"")</f>
        <v>0.99999736437050635</v>
      </c>
      <c r="X23" s="332">
        <f>IFERROR(X12/(-SUM('Key inputs_EB_TRF'!Q$13:Q$19)/1000),"")</f>
        <v>0.98917121735577096</v>
      </c>
      <c r="Y23" s="332">
        <f>IFERROR(Y12/(-SUM('Key inputs_EB_TRF'!R$13:R$19)/1000),"")</f>
        <v>1.0071247523101927</v>
      </c>
      <c r="Z23" s="332">
        <f>IFERROR(Z12/(-SUM('Key inputs_EB_TRF'!S$13:S$19)/1000),"")</f>
        <v>0.90505332335242017</v>
      </c>
      <c r="AA23" s="332">
        <f>IFERROR(AA12/(-SUM('Key inputs_EB_TRF'!T$13:T$19)/1000),"")</f>
        <v>0.99909912663544698</v>
      </c>
      <c r="AB23" s="332">
        <f>IFERROR(AB12/(-SUM('Key inputs_EB_TRF'!U$13:U$19)/1000),"")</f>
        <v>0.82224556795797754</v>
      </c>
      <c r="AC23" s="332">
        <f>IFERROR(AC12/(-SUM('Key inputs_EB_TRF'!V$13:V$19)/1000),"")</f>
        <v>1.0048644757068081</v>
      </c>
      <c r="AD23" s="332">
        <f>IFERROR(AD12/(-SUM('Key inputs_EB_TRF'!W$13:W$19)/1000),"")</f>
        <v>0.98717222279697914</v>
      </c>
      <c r="AE23" s="332">
        <f>IFERROR(AE12/(-SUM('Key inputs_EB_TRF'!X$13:X$19)/1000),"")</f>
        <v>0.81038315434038366</v>
      </c>
      <c r="AF23" s="332">
        <f>IFERROR(AF12/(-SUM('Key inputs_EB_TRF'!Y$13:Y$19)/1000),"")</f>
        <v>0.99804708187691971</v>
      </c>
      <c r="AG23" s="332">
        <f>IFERROR(AG12/(-SUM('Key inputs_EB_TRF'!Z$13:Z$19)/1000),"")</f>
        <v>0.95222960002517543</v>
      </c>
      <c r="AH23" s="332">
        <f>IFERROR(AH12/(-SUM('Key inputs_EB_TRF'!AA$13:AA$19)/1000),"")</f>
        <v>0.97697135204684515</v>
      </c>
      <c r="AI23" s="332" t="str">
        <f>IFERROR(AI12/(-SUM('Key inputs_EB_TRF'!AB$13:AB$19)/1000),"")</f>
        <v/>
      </c>
      <c r="AJ23" s="332">
        <f>IFERROR(AJ12/(-SUM('Key inputs_EB_TRF'!AC$13:AC$19)/1000),"")</f>
        <v>0.83510391569891929</v>
      </c>
      <c r="AK23" s="332">
        <f>IFERROR(AK12/(-SUM('Key inputs_EB_TRF'!AD$13:AD$19)/1000),"")</f>
        <v>0.94576623839620622</v>
      </c>
      <c r="AL23" s="332">
        <f>IFERROR(AL12/(-SUM('Key inputs_EB_TRF'!AE$13:AE$19)/1000),"")</f>
        <v>0.90151939188213204</v>
      </c>
      <c r="AN23"/>
      <c r="AO23"/>
      <c r="AP23"/>
      <c r="AQ23"/>
      <c r="AR23"/>
      <c r="AS23"/>
      <c r="AT23"/>
      <c r="AU23"/>
    </row>
    <row r="24" spans="1:47" s="4" customFormat="1">
      <c r="A24"/>
      <c r="B24"/>
      <c r="C24" s="4" t="str">
        <f>Commodities!$C$22</f>
        <v>COA</v>
      </c>
      <c r="D24"/>
      <c r="E24"/>
      <c r="F24" s="4" t="s">
        <v>361</v>
      </c>
      <c r="G24" s="4" t="s">
        <v>702</v>
      </c>
      <c r="H24" t="s">
        <v>661</v>
      </c>
      <c r="I24">
        <v>2019</v>
      </c>
      <c r="J24" s="4" t="s">
        <v>650</v>
      </c>
      <c r="K24" s="173" t="str">
        <f>IFERROR(IF(AND('Key inputs_EB_TRF'!D13/SUM('Key inputs_EB_TRF'!D$13:D$18)&gt;0,'Key inputs_EB_TRF'!D13/SUM('Key inputs_EB_TRF'!D$13:D$18)&lt;0.001),0.001,'Key inputs_EB_TRF'!D13/SUM('Key inputs_EB_TRF'!D$13:D$18)),"")</f>
        <v/>
      </c>
      <c r="L24" s="173">
        <f>IFERROR(IF(AND('Key inputs_EB_TRF'!E13/SUM('Key inputs_EB_TRF'!E$13:E$18)&gt;0,'Key inputs_EB_TRF'!E13/SUM('Key inputs_EB_TRF'!E$13:E$18)&lt;0.001),0.001,'Key inputs_EB_TRF'!E13/SUM('Key inputs_EB_TRF'!E$13:E$18)),"")</f>
        <v>1</v>
      </c>
      <c r="M24" s="173" t="str">
        <f>IFERROR(IF(AND('Key inputs_EB_TRF'!F13/SUM('Key inputs_EB_TRF'!F$13:F$18)&gt;0,'Key inputs_EB_TRF'!F13/SUM('Key inputs_EB_TRF'!F$13:F$18)&lt;0.001),0.001,'Key inputs_EB_TRF'!F13/SUM('Key inputs_EB_TRF'!F$13:F$18)),"")</f>
        <v/>
      </c>
      <c r="N24" s="173">
        <f>IFERROR(IF(AND('Key inputs_EB_TRF'!G13/SUM('Key inputs_EB_TRF'!G$13:G$18)&gt;0,'Key inputs_EB_TRF'!G13/SUM('Key inputs_EB_TRF'!G$13:G$18)&lt;0.001),0.001,'Key inputs_EB_TRF'!G13/SUM('Key inputs_EB_TRF'!G$13:G$18)),"")</f>
        <v>1</v>
      </c>
      <c r="O24" s="173">
        <f>IFERROR(IF(AND('Key inputs_EB_TRF'!H13/SUM('Key inputs_EB_TRF'!H$13:H$18)&gt;0,'Key inputs_EB_TRF'!H13/SUM('Key inputs_EB_TRF'!H$13:H$18)&lt;0.001),0.001,'Key inputs_EB_TRF'!H13/SUM('Key inputs_EB_TRF'!H$13:H$18)),"")</f>
        <v>1</v>
      </c>
      <c r="P24" s="173">
        <f>IFERROR(IF(AND('Key inputs_EB_TRF'!I13/SUM('Key inputs_EB_TRF'!I$13:I$18)&gt;0,'Key inputs_EB_TRF'!I13/SUM('Key inputs_EB_TRF'!I$13:I$18)&lt;0.001),0.001,'Key inputs_EB_TRF'!I13/SUM('Key inputs_EB_TRF'!I$13:I$18)),"")</f>
        <v>1</v>
      </c>
      <c r="Q24" s="173" t="str">
        <f>IFERROR(IF(AND('Key inputs_EB_TRF'!J13/SUM('Key inputs_EB_TRF'!J$13:J$18)&gt;0,'Key inputs_EB_TRF'!J13/SUM('Key inputs_EB_TRF'!J$13:J$18)&lt;0.001),0.001,'Key inputs_EB_TRF'!J13/SUM('Key inputs_EB_TRF'!J$13:J$18)),"")</f>
        <v/>
      </c>
      <c r="R24" s="173" t="str">
        <f>IFERROR(IF(AND('Key inputs_EB_TRF'!K13/SUM('Key inputs_EB_TRF'!K$13:K$18)&gt;0,'Key inputs_EB_TRF'!K13/SUM('Key inputs_EB_TRF'!K$13:K$18)&lt;0.001),0.001,'Key inputs_EB_TRF'!K13/SUM('Key inputs_EB_TRF'!K$13:K$18)),"")</f>
        <v/>
      </c>
      <c r="S24" s="173">
        <f>IFERROR(IF(AND('Key inputs_EB_TRF'!L13/SUM('Key inputs_EB_TRF'!L$13:L$18)&gt;0,'Key inputs_EB_TRF'!L13/SUM('Key inputs_EB_TRF'!L$13:L$18)&lt;0.001),0.001,'Key inputs_EB_TRF'!L13/SUM('Key inputs_EB_TRF'!L$13:L$18)),"")</f>
        <v>0.85331985388117115</v>
      </c>
      <c r="T24" s="173">
        <f>IFERROR(IF(AND('Key inputs_EB_TRF'!M13/SUM('Key inputs_EB_TRF'!M$13:M$18)&gt;0,'Key inputs_EB_TRF'!M13/SUM('Key inputs_EB_TRF'!M$13:M$18)&lt;0.001),0.001,'Key inputs_EB_TRF'!M13/SUM('Key inputs_EB_TRF'!M$13:M$18)),"")</f>
        <v>1</v>
      </c>
      <c r="U24" s="173">
        <f>IFERROR(IF(AND('Key inputs_EB_TRF'!N13/SUM('Key inputs_EB_TRF'!N$13:N$18)&gt;0,'Key inputs_EB_TRF'!N13/SUM('Key inputs_EB_TRF'!N$13:N$18)&lt;0.001),0.001,'Key inputs_EB_TRF'!N13/SUM('Key inputs_EB_TRF'!N$13:N$18)),"")</f>
        <v>1</v>
      </c>
      <c r="V24" s="173">
        <f>IFERROR(IF(AND('Key inputs_EB_TRF'!O13/SUM('Key inputs_EB_TRF'!O$13:O$18)&gt;0,'Key inputs_EB_TRF'!O13/SUM('Key inputs_EB_TRF'!O$13:O$18)&lt;0.001),0.001,'Key inputs_EB_TRF'!O13/SUM('Key inputs_EB_TRF'!O$13:O$18)),"")</f>
        <v>1</v>
      </c>
      <c r="W24" s="173">
        <f>IFERROR(IF(AND('Key inputs_EB_TRF'!P13/SUM('Key inputs_EB_TRF'!P$13:P$18)&gt;0,'Key inputs_EB_TRF'!P13/SUM('Key inputs_EB_TRF'!P$13:P$18)&lt;0.001),0.001,'Key inputs_EB_TRF'!P13/SUM('Key inputs_EB_TRF'!P$13:P$18)),"")</f>
        <v>1</v>
      </c>
      <c r="X24" s="173">
        <f>IFERROR(IF(AND('Key inputs_EB_TRF'!Q13/SUM('Key inputs_EB_TRF'!Q$13:Q$18)&gt;0,'Key inputs_EB_TRF'!Q13/SUM('Key inputs_EB_TRF'!Q$13:Q$18)&lt;0.001),0.001,'Key inputs_EB_TRF'!Q13/SUM('Key inputs_EB_TRF'!Q$13:Q$18)),"")</f>
        <v>0.98138861027527025</v>
      </c>
      <c r="Y24" s="173">
        <f>IFERROR(IF(AND('Key inputs_EB_TRF'!R13/SUM('Key inputs_EB_TRF'!R$13:R$18)&gt;0,'Key inputs_EB_TRF'!R13/SUM('Key inputs_EB_TRF'!R$13:R$18)&lt;0.001),0.001,'Key inputs_EB_TRF'!R13/SUM('Key inputs_EB_TRF'!R$13:R$18)),"")</f>
        <v>1</v>
      </c>
      <c r="Z24" s="173">
        <f>IFERROR(IF(AND('Key inputs_EB_TRF'!S13/SUM('Key inputs_EB_TRF'!S$13:S$18)&gt;0,'Key inputs_EB_TRF'!S13/SUM('Key inputs_EB_TRF'!S$13:S$18)&lt;0.001),0.001,'Key inputs_EB_TRF'!S13/SUM('Key inputs_EB_TRF'!S$13:S$18)),"")</f>
        <v>0.99999513916568639</v>
      </c>
      <c r="AA24" s="173">
        <f>IFERROR(IF(AND('Key inputs_EB_TRF'!T13/SUM('Key inputs_EB_TRF'!T$13:T$18)&gt;0,'Key inputs_EB_TRF'!T13/SUM('Key inputs_EB_TRF'!T$13:T$18)&lt;0.001),0.001,'Key inputs_EB_TRF'!T13/SUM('Key inputs_EB_TRF'!T$13:T$18)),"")</f>
        <v>0.96671112047733421</v>
      </c>
      <c r="AB24" s="173">
        <f>IFERROR(IF(AND('Key inputs_EB_TRF'!U13/SUM('Key inputs_EB_TRF'!U$13:U$18)&gt;0,'Key inputs_EB_TRF'!U13/SUM('Key inputs_EB_TRF'!U$13:U$18)&lt;0.001),0.001,'Key inputs_EB_TRF'!U13/SUM('Key inputs_EB_TRF'!U$13:U$18)),"")</f>
        <v>1</v>
      </c>
      <c r="AC24" s="173">
        <f>IFERROR(IF(AND('Key inputs_EB_TRF'!V13/SUM('Key inputs_EB_TRF'!V$13:V$18)&gt;0,'Key inputs_EB_TRF'!V13/SUM('Key inputs_EB_TRF'!V$13:V$18)&lt;0.001),0.001,'Key inputs_EB_TRF'!V13/SUM('Key inputs_EB_TRF'!V$13:V$18)),"")</f>
        <v>1</v>
      </c>
      <c r="AD24" s="173">
        <f>IFERROR(IF(AND('Key inputs_EB_TRF'!W13/SUM('Key inputs_EB_TRF'!W$13:W$18)&gt;0,'Key inputs_EB_TRF'!W13/SUM('Key inputs_EB_TRF'!W$13:W$18)&lt;0.001),0.001,'Key inputs_EB_TRF'!W13/SUM('Key inputs_EB_TRF'!W$13:W$18)),"")</f>
        <v>0.98351783028402717</v>
      </c>
      <c r="AE24" s="173">
        <f>IFERROR(IF(AND('Key inputs_EB_TRF'!X13/SUM('Key inputs_EB_TRF'!X$13:X$18)&gt;0,'Key inputs_EB_TRF'!X13/SUM('Key inputs_EB_TRF'!X$13:X$18)&lt;0.001),0.001,'Key inputs_EB_TRF'!X13/SUM('Key inputs_EB_TRF'!X$13:X$18)),"")</f>
        <v>1</v>
      </c>
      <c r="AF24" s="173">
        <f>IFERROR(IF(AND('Key inputs_EB_TRF'!Y13/SUM('Key inputs_EB_TRF'!Y$13:Y$18)&gt;0,'Key inputs_EB_TRF'!Y13/SUM('Key inputs_EB_TRF'!Y$13:Y$18)&lt;0.001),0.001,'Key inputs_EB_TRF'!Y13/SUM('Key inputs_EB_TRF'!Y$13:Y$18)),"")</f>
        <v>1</v>
      </c>
      <c r="AG24" s="173">
        <f>IFERROR(IF(AND('Key inputs_EB_TRF'!Z13/SUM('Key inputs_EB_TRF'!Z$13:Z$18)&gt;0,'Key inputs_EB_TRF'!Z13/SUM('Key inputs_EB_TRF'!Z$13:Z$18)&lt;0.001),0.001,'Key inputs_EB_TRF'!Z13/SUM('Key inputs_EB_TRF'!Z$13:Z$18)),"")</f>
        <v>1</v>
      </c>
      <c r="AH24" s="173">
        <f>IFERROR(IF(AND('Key inputs_EB_TRF'!AA13/SUM('Key inputs_EB_TRF'!AA$13:AA$18)&gt;0,'Key inputs_EB_TRF'!AA13/SUM('Key inputs_EB_TRF'!AA$13:AA$18)&lt;0.001),0.001,'Key inputs_EB_TRF'!AA13/SUM('Key inputs_EB_TRF'!AA$13:AA$18)),"")</f>
        <v>1</v>
      </c>
      <c r="AI24" s="173" t="str">
        <f>IFERROR(IF(AND('Key inputs_EB_TRF'!AB13/SUM('Key inputs_EB_TRF'!AB$13:AB$18)&gt;0,'Key inputs_EB_TRF'!AB13/SUM('Key inputs_EB_TRF'!AB$13:AB$18)&lt;0.001),0.001,'Key inputs_EB_TRF'!AB13/SUM('Key inputs_EB_TRF'!AB$13:AB$18)),"")</f>
        <v/>
      </c>
      <c r="AJ24" s="173">
        <f>IFERROR(IF(AND('Key inputs_EB_TRF'!AC13/SUM('Key inputs_EB_TRF'!AC$13:AC$18)&gt;0,'Key inputs_EB_TRF'!AC13/SUM('Key inputs_EB_TRF'!AC$13:AC$18)&lt;0.001),0.001,'Key inputs_EB_TRF'!AC13/SUM('Key inputs_EB_TRF'!AC$13:AC$18)),"")</f>
        <v>1</v>
      </c>
      <c r="AK24" s="173">
        <f>IFERROR(IF(AND('Key inputs_EB_TRF'!AD13/SUM('Key inputs_EB_TRF'!AD$13:AD$18)&gt;0,'Key inputs_EB_TRF'!AD13/SUM('Key inputs_EB_TRF'!AD$13:AD$18)&lt;0.001),0.001,'Key inputs_EB_TRF'!AD13/SUM('Key inputs_EB_TRF'!AD$13:AD$18)),"")</f>
        <v>1</v>
      </c>
      <c r="AL24" s="173">
        <f>IFERROR(IF(AND('Key inputs_EB_TRF'!AE13/SUM('Key inputs_EB_TRF'!AE$13:AE$18)&gt;0,'Key inputs_EB_TRF'!AE13/SUM('Key inputs_EB_TRF'!AE$13:AE$18)&lt;0.001),0.001,'Key inputs_EB_TRF'!AE13/SUM('Key inputs_EB_TRF'!AE$13:AE$18)),"")</f>
        <v>1</v>
      </c>
      <c r="AN24"/>
      <c r="AO24"/>
      <c r="AP24"/>
      <c r="AQ24"/>
      <c r="AR24"/>
      <c r="AS24"/>
      <c r="AT24"/>
      <c r="AU24"/>
    </row>
    <row r="25" spans="1:47">
      <c r="C25" s="4" t="str">
        <f>Commodities!$C$23</f>
        <v>COACOL</v>
      </c>
      <c r="F25" s="4" t="s">
        <v>361</v>
      </c>
      <c r="G25" s="4" t="s">
        <v>702</v>
      </c>
      <c r="H25" t="s">
        <v>661</v>
      </c>
      <c r="I25">
        <v>2019</v>
      </c>
      <c r="J25" s="4" t="s">
        <v>650</v>
      </c>
      <c r="K25" s="173" t="str">
        <f>IFERROR(IF(AND('Key inputs_EB_TRF'!D14/SUM('Key inputs_EB_TRF'!D$13:D$18)&gt;0,'Key inputs_EB_TRF'!D14/SUM('Key inputs_EB_TRF'!D$13:D$18)&lt;0.001),0.001,'Key inputs_EB_TRF'!D14/SUM('Key inputs_EB_TRF'!D$13:D$18)),"")</f>
        <v/>
      </c>
      <c r="L25" s="173">
        <f>IFERROR(IF(AND('Key inputs_EB_TRF'!E14/SUM('Key inputs_EB_TRF'!E$13:E$18)&gt;0,'Key inputs_EB_TRF'!E14/SUM('Key inputs_EB_TRF'!E$13:E$18)&lt;0.001),0.001,'Key inputs_EB_TRF'!E14/SUM('Key inputs_EB_TRF'!E$13:E$18)),"")</f>
        <v>0</v>
      </c>
      <c r="M25" s="173" t="str">
        <f>IFERROR(IF(AND('Key inputs_EB_TRF'!F14/SUM('Key inputs_EB_TRF'!F$13:F$18)&gt;0,'Key inputs_EB_TRF'!F14/SUM('Key inputs_EB_TRF'!F$13:F$18)&lt;0.001),0.001,'Key inputs_EB_TRF'!F14/SUM('Key inputs_EB_TRF'!F$13:F$18)),"")</f>
        <v/>
      </c>
      <c r="N25" s="173">
        <f>IFERROR(IF(AND('Key inputs_EB_TRF'!G14/SUM('Key inputs_EB_TRF'!G$13:G$18)&gt;0,'Key inputs_EB_TRF'!G14/SUM('Key inputs_EB_TRF'!G$13:G$18)&lt;0.001),0.001,'Key inputs_EB_TRF'!G14/SUM('Key inputs_EB_TRF'!G$13:G$18)),"")</f>
        <v>0</v>
      </c>
      <c r="O25" s="173">
        <f>IFERROR(IF(AND('Key inputs_EB_TRF'!H14/SUM('Key inputs_EB_TRF'!H$13:H$18)&gt;0,'Key inputs_EB_TRF'!H14/SUM('Key inputs_EB_TRF'!H$13:H$18)&lt;0.001),0.001,'Key inputs_EB_TRF'!H14/SUM('Key inputs_EB_TRF'!H$13:H$18)),"")</f>
        <v>0</v>
      </c>
      <c r="P25" s="173">
        <f>IFERROR(IF(AND('Key inputs_EB_TRF'!I14/SUM('Key inputs_EB_TRF'!I$13:I$18)&gt;0,'Key inputs_EB_TRF'!I14/SUM('Key inputs_EB_TRF'!I$13:I$18)&lt;0.001),0.001,'Key inputs_EB_TRF'!I14/SUM('Key inputs_EB_TRF'!I$13:I$18)),"")</f>
        <v>0</v>
      </c>
      <c r="Q25" s="173" t="str">
        <f>IFERROR(IF(AND('Key inputs_EB_TRF'!J14/SUM('Key inputs_EB_TRF'!J$13:J$18)&gt;0,'Key inputs_EB_TRF'!J14/SUM('Key inputs_EB_TRF'!J$13:J$18)&lt;0.001),0.001,'Key inputs_EB_TRF'!J14/SUM('Key inputs_EB_TRF'!J$13:J$18)),"")</f>
        <v/>
      </c>
      <c r="R25" s="173" t="str">
        <f>IFERROR(IF(AND('Key inputs_EB_TRF'!K14/SUM('Key inputs_EB_TRF'!K$13:K$18)&gt;0,'Key inputs_EB_TRF'!K14/SUM('Key inputs_EB_TRF'!K$13:K$18)&lt;0.001),0.001,'Key inputs_EB_TRF'!K14/SUM('Key inputs_EB_TRF'!K$13:K$18)),"")</f>
        <v/>
      </c>
      <c r="S25" s="173">
        <f>IFERROR(IF(AND('Key inputs_EB_TRF'!L14/SUM('Key inputs_EB_TRF'!L$13:L$18)&gt;0,'Key inputs_EB_TRF'!L14/SUM('Key inputs_EB_TRF'!L$13:L$18)&lt;0.001),0.001,'Key inputs_EB_TRF'!L14/SUM('Key inputs_EB_TRF'!L$13:L$18)),"")</f>
        <v>0</v>
      </c>
      <c r="T25" s="173">
        <f>IFERROR(IF(AND('Key inputs_EB_TRF'!M14/SUM('Key inputs_EB_TRF'!M$13:M$18)&gt;0,'Key inputs_EB_TRF'!M14/SUM('Key inputs_EB_TRF'!M$13:M$18)&lt;0.001),0.001,'Key inputs_EB_TRF'!M14/SUM('Key inputs_EB_TRF'!M$13:M$18)),"")</f>
        <v>0</v>
      </c>
      <c r="U25" s="173">
        <f>IFERROR(IF(AND('Key inputs_EB_TRF'!N14/SUM('Key inputs_EB_TRF'!N$13:N$18)&gt;0,'Key inputs_EB_TRF'!N14/SUM('Key inputs_EB_TRF'!N$13:N$18)&lt;0.001),0.001,'Key inputs_EB_TRF'!N14/SUM('Key inputs_EB_TRF'!N$13:N$18)),"")</f>
        <v>0</v>
      </c>
      <c r="V25" s="173">
        <f>IFERROR(IF(AND('Key inputs_EB_TRF'!O14/SUM('Key inputs_EB_TRF'!O$13:O$18)&gt;0,'Key inputs_EB_TRF'!O14/SUM('Key inputs_EB_TRF'!O$13:O$18)&lt;0.001),0.001,'Key inputs_EB_TRF'!O14/SUM('Key inputs_EB_TRF'!O$13:O$18)),"")</f>
        <v>0</v>
      </c>
      <c r="W25" s="173">
        <f>IFERROR(IF(AND('Key inputs_EB_TRF'!P14/SUM('Key inputs_EB_TRF'!P$13:P$18)&gt;0,'Key inputs_EB_TRF'!P14/SUM('Key inputs_EB_TRF'!P$13:P$18)&lt;0.001),0.001,'Key inputs_EB_TRF'!P14/SUM('Key inputs_EB_TRF'!P$13:P$18)),"")</f>
        <v>0</v>
      </c>
      <c r="X25" s="173">
        <f>IFERROR(IF(AND('Key inputs_EB_TRF'!Q14/SUM('Key inputs_EB_TRF'!Q$13:Q$18)&gt;0,'Key inputs_EB_TRF'!Q14/SUM('Key inputs_EB_TRF'!Q$13:Q$18)&lt;0.001),0.001,'Key inputs_EB_TRF'!Q14/SUM('Key inputs_EB_TRF'!Q$13:Q$18)),"")</f>
        <v>0</v>
      </c>
      <c r="Y25" s="173">
        <f>IFERROR(IF(AND('Key inputs_EB_TRF'!R14/SUM('Key inputs_EB_TRF'!R$13:R$18)&gt;0,'Key inputs_EB_TRF'!R14/SUM('Key inputs_EB_TRF'!R$13:R$18)&lt;0.001),0.001,'Key inputs_EB_TRF'!R14/SUM('Key inputs_EB_TRF'!R$13:R$18)),"")</f>
        <v>0</v>
      </c>
      <c r="Z25" s="173">
        <f>IFERROR(IF(AND('Key inputs_EB_TRF'!S14/SUM('Key inputs_EB_TRF'!S$13:S$18)&gt;0,'Key inputs_EB_TRF'!S14/SUM('Key inputs_EB_TRF'!S$13:S$18)&lt;0.001),0.001,'Key inputs_EB_TRF'!S14/SUM('Key inputs_EB_TRF'!S$13:S$18)),"")</f>
        <v>0</v>
      </c>
      <c r="AA25" s="173">
        <f>IFERROR(IF(AND('Key inputs_EB_TRF'!T14/SUM('Key inputs_EB_TRF'!T$13:T$18)&gt;0,'Key inputs_EB_TRF'!T14/SUM('Key inputs_EB_TRF'!T$13:T$18)&lt;0.001),0.001,'Key inputs_EB_TRF'!T14/SUM('Key inputs_EB_TRF'!T$13:T$18)),"")</f>
        <v>1.2644401152474425E-2</v>
      </c>
      <c r="AB25" s="173">
        <f>IFERROR(IF(AND('Key inputs_EB_TRF'!U14/SUM('Key inputs_EB_TRF'!U$13:U$18)&gt;0,'Key inputs_EB_TRF'!U14/SUM('Key inputs_EB_TRF'!U$13:U$18)&lt;0.001),0.001,'Key inputs_EB_TRF'!U14/SUM('Key inputs_EB_TRF'!U$13:U$18)),"")</f>
        <v>0</v>
      </c>
      <c r="AC25" s="173">
        <f>IFERROR(IF(AND('Key inputs_EB_TRF'!V14/SUM('Key inputs_EB_TRF'!V$13:V$18)&gt;0,'Key inputs_EB_TRF'!V14/SUM('Key inputs_EB_TRF'!V$13:V$18)&lt;0.001),0.001,'Key inputs_EB_TRF'!V14/SUM('Key inputs_EB_TRF'!V$13:V$18)),"")</f>
        <v>0</v>
      </c>
      <c r="AD25" s="173">
        <f>IFERROR(IF(AND('Key inputs_EB_TRF'!W14/SUM('Key inputs_EB_TRF'!W$13:W$18)&gt;0,'Key inputs_EB_TRF'!W14/SUM('Key inputs_EB_TRF'!W$13:W$18)&lt;0.001),0.001,'Key inputs_EB_TRF'!W14/SUM('Key inputs_EB_TRF'!W$13:W$18)),"")</f>
        <v>0</v>
      </c>
      <c r="AE25" s="173">
        <f>IFERROR(IF(AND('Key inputs_EB_TRF'!X14/SUM('Key inputs_EB_TRF'!X$13:X$18)&gt;0,'Key inputs_EB_TRF'!X14/SUM('Key inputs_EB_TRF'!X$13:X$18)&lt;0.001),0.001,'Key inputs_EB_TRF'!X14/SUM('Key inputs_EB_TRF'!X$13:X$18)),"")</f>
        <v>0</v>
      </c>
      <c r="AF25" s="173">
        <f>IFERROR(IF(AND('Key inputs_EB_TRF'!Y14/SUM('Key inputs_EB_TRF'!Y$13:Y$18)&gt;0,'Key inputs_EB_TRF'!Y14/SUM('Key inputs_EB_TRF'!Y$13:Y$18)&lt;0.001),0.001,'Key inputs_EB_TRF'!Y14/SUM('Key inputs_EB_TRF'!Y$13:Y$18)),"")</f>
        <v>0</v>
      </c>
      <c r="AG25" s="173">
        <f>IFERROR(IF(AND('Key inputs_EB_TRF'!Z14/SUM('Key inputs_EB_TRF'!Z$13:Z$18)&gt;0,'Key inputs_EB_TRF'!Z14/SUM('Key inputs_EB_TRF'!Z$13:Z$18)&lt;0.001),0.001,'Key inputs_EB_TRF'!Z14/SUM('Key inputs_EB_TRF'!Z$13:Z$18)),"")</f>
        <v>0</v>
      </c>
      <c r="AH25" s="173">
        <f>IFERROR(IF(AND('Key inputs_EB_TRF'!AA14/SUM('Key inputs_EB_TRF'!AA$13:AA$18)&gt;0,'Key inputs_EB_TRF'!AA14/SUM('Key inputs_EB_TRF'!AA$13:AA$18)&lt;0.001),0.001,'Key inputs_EB_TRF'!AA14/SUM('Key inputs_EB_TRF'!AA$13:AA$18)),"")</f>
        <v>0</v>
      </c>
      <c r="AI25" s="173" t="str">
        <f>IFERROR(IF(AND('Key inputs_EB_TRF'!AB14/SUM('Key inputs_EB_TRF'!AB$13:AB$18)&gt;0,'Key inputs_EB_TRF'!AB14/SUM('Key inputs_EB_TRF'!AB$13:AB$18)&lt;0.001),0.001,'Key inputs_EB_TRF'!AB14/SUM('Key inputs_EB_TRF'!AB$13:AB$18)),"")</f>
        <v/>
      </c>
      <c r="AJ25" s="173">
        <f>IFERROR(IF(AND('Key inputs_EB_TRF'!AC14/SUM('Key inputs_EB_TRF'!AC$13:AC$18)&gt;0,'Key inputs_EB_TRF'!AC14/SUM('Key inputs_EB_TRF'!AC$13:AC$18)&lt;0.001),0.001,'Key inputs_EB_TRF'!AC14/SUM('Key inputs_EB_TRF'!AC$13:AC$18)),"")</f>
        <v>0</v>
      </c>
      <c r="AK25" s="173">
        <f>IFERROR(IF(AND('Key inputs_EB_TRF'!AD14/SUM('Key inputs_EB_TRF'!AD$13:AD$18)&gt;0,'Key inputs_EB_TRF'!AD14/SUM('Key inputs_EB_TRF'!AD$13:AD$18)&lt;0.001),0.001,'Key inputs_EB_TRF'!AD14/SUM('Key inputs_EB_TRF'!AD$13:AD$18)),"")</f>
        <v>0</v>
      </c>
      <c r="AL25" s="173">
        <f>IFERROR(IF(AND('Key inputs_EB_TRF'!AE14/SUM('Key inputs_EB_TRF'!AE$13:AE$18)&gt;0,'Key inputs_EB_TRF'!AE14/SUM('Key inputs_EB_TRF'!AE$13:AE$18)&lt;0.001),0.001,'Key inputs_EB_TRF'!AE14/SUM('Key inputs_EB_TRF'!AE$13:AE$18)),"")</f>
        <v>0</v>
      </c>
    </row>
    <row r="26" spans="1:47">
      <c r="C26" s="4" t="str">
        <f>Commodities!$C$25</f>
        <v>GASNAT</v>
      </c>
      <c r="F26" s="4" t="s">
        <v>361</v>
      </c>
      <c r="G26" s="4" t="s">
        <v>702</v>
      </c>
      <c r="H26" t="s">
        <v>661</v>
      </c>
      <c r="I26">
        <v>2019</v>
      </c>
      <c r="J26" s="4" t="s">
        <v>650</v>
      </c>
      <c r="K26" s="173" t="str">
        <f>IFERROR(IF(AND('Key inputs_EB_TRF'!D15/SUM('Key inputs_EB_TRF'!D$13:D$18)&gt;0,'Key inputs_EB_TRF'!D15/SUM('Key inputs_EB_TRF'!D$13:D$18)&lt;0.001),0.001,'Key inputs_EB_TRF'!D15/SUM('Key inputs_EB_TRF'!D$13:D$18)),"")</f>
        <v/>
      </c>
      <c r="L26" s="173">
        <f>IFERROR(IF(AND('Key inputs_EB_TRF'!E15/SUM('Key inputs_EB_TRF'!E$13:E$18)&gt;0,'Key inputs_EB_TRF'!E15/SUM('Key inputs_EB_TRF'!E$13:E$18)&lt;0.001),0.001,'Key inputs_EB_TRF'!E15/SUM('Key inputs_EB_TRF'!E$13:E$18)),"")</f>
        <v>0</v>
      </c>
      <c r="M26" s="173" t="str">
        <f>IFERROR(IF(AND('Key inputs_EB_TRF'!F15/SUM('Key inputs_EB_TRF'!F$13:F$18)&gt;0,'Key inputs_EB_TRF'!F15/SUM('Key inputs_EB_TRF'!F$13:F$18)&lt;0.001),0.001,'Key inputs_EB_TRF'!F15/SUM('Key inputs_EB_TRF'!F$13:F$18)),"")</f>
        <v/>
      </c>
      <c r="N26" s="173">
        <f>IFERROR(IF(AND('Key inputs_EB_TRF'!G15/SUM('Key inputs_EB_TRF'!G$13:G$18)&gt;0,'Key inputs_EB_TRF'!G15/SUM('Key inputs_EB_TRF'!G$13:G$18)&lt;0.001),0.001,'Key inputs_EB_TRF'!G15/SUM('Key inputs_EB_TRF'!G$13:G$18)),"")</f>
        <v>0</v>
      </c>
      <c r="O26" s="173">
        <f>IFERROR(IF(AND('Key inputs_EB_TRF'!H15/SUM('Key inputs_EB_TRF'!H$13:H$18)&gt;0,'Key inputs_EB_TRF'!H15/SUM('Key inputs_EB_TRF'!H$13:H$18)&lt;0.001),0.001,'Key inputs_EB_TRF'!H15/SUM('Key inputs_EB_TRF'!H$13:H$18)),"")</f>
        <v>0</v>
      </c>
      <c r="P26" s="173">
        <f>IFERROR(IF(AND('Key inputs_EB_TRF'!I15/SUM('Key inputs_EB_TRF'!I$13:I$18)&gt;0,'Key inputs_EB_TRF'!I15/SUM('Key inputs_EB_TRF'!I$13:I$18)&lt;0.001),0.001,'Key inputs_EB_TRF'!I15/SUM('Key inputs_EB_TRF'!I$13:I$18)),"")</f>
        <v>0</v>
      </c>
      <c r="Q26" s="173" t="str">
        <f>IFERROR(IF(AND('Key inputs_EB_TRF'!J15/SUM('Key inputs_EB_TRF'!J$13:J$18)&gt;0,'Key inputs_EB_TRF'!J15/SUM('Key inputs_EB_TRF'!J$13:J$18)&lt;0.001),0.001,'Key inputs_EB_TRF'!J15/SUM('Key inputs_EB_TRF'!J$13:J$18)),"")</f>
        <v/>
      </c>
      <c r="R26" s="173" t="str">
        <f>IFERROR(IF(AND('Key inputs_EB_TRF'!K15/SUM('Key inputs_EB_TRF'!K$13:K$18)&gt;0,'Key inputs_EB_TRF'!K15/SUM('Key inputs_EB_TRF'!K$13:K$18)&lt;0.001),0.001,'Key inputs_EB_TRF'!K15/SUM('Key inputs_EB_TRF'!K$13:K$18)),"")</f>
        <v/>
      </c>
      <c r="S26" s="173">
        <f>IFERROR(IF(AND('Key inputs_EB_TRF'!L15/SUM('Key inputs_EB_TRF'!L$13:L$18)&gt;0,'Key inputs_EB_TRF'!L15/SUM('Key inputs_EB_TRF'!L$13:L$18)&lt;0.001),0.001,'Key inputs_EB_TRF'!L15/SUM('Key inputs_EB_TRF'!L$13:L$18)),"")</f>
        <v>0</v>
      </c>
      <c r="T26" s="173">
        <f>IFERROR(IF(AND('Key inputs_EB_TRF'!M15/SUM('Key inputs_EB_TRF'!M$13:M$18)&gt;0,'Key inputs_EB_TRF'!M15/SUM('Key inputs_EB_TRF'!M$13:M$18)&lt;0.001),0.001,'Key inputs_EB_TRF'!M15/SUM('Key inputs_EB_TRF'!M$13:M$18)),"")</f>
        <v>0</v>
      </c>
      <c r="U26" s="173">
        <f>IFERROR(IF(AND('Key inputs_EB_TRF'!N15/SUM('Key inputs_EB_TRF'!N$13:N$18)&gt;0,'Key inputs_EB_TRF'!N15/SUM('Key inputs_EB_TRF'!N$13:N$18)&lt;0.001),0.001,'Key inputs_EB_TRF'!N15/SUM('Key inputs_EB_TRF'!N$13:N$18)),"")</f>
        <v>0</v>
      </c>
      <c r="V26" s="173">
        <f>IFERROR(IF(AND('Key inputs_EB_TRF'!O15/SUM('Key inputs_EB_TRF'!O$13:O$18)&gt;0,'Key inputs_EB_TRF'!O15/SUM('Key inputs_EB_TRF'!O$13:O$18)&lt;0.001),0.001,'Key inputs_EB_TRF'!O15/SUM('Key inputs_EB_TRF'!O$13:O$18)),"")</f>
        <v>0</v>
      </c>
      <c r="W26" s="173">
        <f>IFERROR(IF(AND('Key inputs_EB_TRF'!P15/SUM('Key inputs_EB_TRF'!P$13:P$18)&gt;0,'Key inputs_EB_TRF'!P15/SUM('Key inputs_EB_TRF'!P$13:P$18)&lt;0.001),0.001,'Key inputs_EB_TRF'!P15/SUM('Key inputs_EB_TRF'!P$13:P$18)),"")</f>
        <v>0</v>
      </c>
      <c r="X26" s="173">
        <f>IFERROR(IF(AND('Key inputs_EB_TRF'!Q15/SUM('Key inputs_EB_TRF'!Q$13:Q$18)&gt;0,'Key inputs_EB_TRF'!Q15/SUM('Key inputs_EB_TRF'!Q$13:Q$18)&lt;0.001),0.001,'Key inputs_EB_TRF'!Q15/SUM('Key inputs_EB_TRF'!Q$13:Q$18)),"")</f>
        <v>1.8611389724729744E-2</v>
      </c>
      <c r="Y26" s="173">
        <f>IFERROR(IF(AND('Key inputs_EB_TRF'!R15/SUM('Key inputs_EB_TRF'!R$13:R$18)&gt;0,'Key inputs_EB_TRF'!R15/SUM('Key inputs_EB_TRF'!R$13:R$18)&lt;0.001),0.001,'Key inputs_EB_TRF'!R15/SUM('Key inputs_EB_TRF'!R$13:R$18)),"")</f>
        <v>0</v>
      </c>
      <c r="Z26" s="173">
        <f>IFERROR(IF(AND('Key inputs_EB_TRF'!S15/SUM('Key inputs_EB_TRF'!S$13:S$18)&gt;0,'Key inputs_EB_TRF'!S15/SUM('Key inputs_EB_TRF'!S$13:S$18)&lt;0.001),0.001,'Key inputs_EB_TRF'!S15/SUM('Key inputs_EB_TRF'!S$13:S$18)),"")</f>
        <v>0</v>
      </c>
      <c r="AA26" s="173">
        <f>IFERROR(IF(AND('Key inputs_EB_TRF'!T15/SUM('Key inputs_EB_TRF'!T$13:T$18)&gt;0,'Key inputs_EB_TRF'!T15/SUM('Key inputs_EB_TRF'!T$13:T$18)&lt;0.001),0.001,'Key inputs_EB_TRF'!T15/SUM('Key inputs_EB_TRF'!T$13:T$18)),"")</f>
        <v>0</v>
      </c>
      <c r="AB26" s="173">
        <f>IFERROR(IF(AND('Key inputs_EB_TRF'!U15/SUM('Key inputs_EB_TRF'!U$13:U$18)&gt;0,'Key inputs_EB_TRF'!U15/SUM('Key inputs_EB_TRF'!U$13:U$18)&lt;0.001),0.001,'Key inputs_EB_TRF'!U15/SUM('Key inputs_EB_TRF'!U$13:U$18)),"")</f>
        <v>0</v>
      </c>
      <c r="AC26" s="173">
        <f>IFERROR(IF(AND('Key inputs_EB_TRF'!V15/SUM('Key inputs_EB_TRF'!V$13:V$18)&gt;0,'Key inputs_EB_TRF'!V15/SUM('Key inputs_EB_TRF'!V$13:V$18)&lt;0.001),0.001,'Key inputs_EB_TRF'!V15/SUM('Key inputs_EB_TRF'!V$13:V$18)),"")</f>
        <v>0</v>
      </c>
      <c r="AD26" s="173">
        <f>IFERROR(IF(AND('Key inputs_EB_TRF'!W15/SUM('Key inputs_EB_TRF'!W$13:W$18)&gt;0,'Key inputs_EB_TRF'!W15/SUM('Key inputs_EB_TRF'!W$13:W$18)&lt;0.001),0.001,'Key inputs_EB_TRF'!W15/SUM('Key inputs_EB_TRF'!W$13:W$18)),"")</f>
        <v>0</v>
      </c>
      <c r="AE26" s="173">
        <f>IFERROR(IF(AND('Key inputs_EB_TRF'!X15/SUM('Key inputs_EB_TRF'!X$13:X$18)&gt;0,'Key inputs_EB_TRF'!X15/SUM('Key inputs_EB_TRF'!X$13:X$18)&lt;0.001),0.001,'Key inputs_EB_TRF'!X15/SUM('Key inputs_EB_TRF'!X$13:X$18)),"")</f>
        <v>0</v>
      </c>
      <c r="AF26" s="173">
        <f>IFERROR(IF(AND('Key inputs_EB_TRF'!Y15/SUM('Key inputs_EB_TRF'!Y$13:Y$18)&gt;0,'Key inputs_EB_TRF'!Y15/SUM('Key inputs_EB_TRF'!Y$13:Y$18)&lt;0.001),0.001,'Key inputs_EB_TRF'!Y15/SUM('Key inputs_EB_TRF'!Y$13:Y$18)),"")</f>
        <v>0</v>
      </c>
      <c r="AG26" s="173">
        <f>IFERROR(IF(AND('Key inputs_EB_TRF'!Z15/SUM('Key inputs_EB_TRF'!Z$13:Z$18)&gt;0,'Key inputs_EB_TRF'!Z15/SUM('Key inputs_EB_TRF'!Z$13:Z$18)&lt;0.001),0.001,'Key inputs_EB_TRF'!Z15/SUM('Key inputs_EB_TRF'!Z$13:Z$18)),"")</f>
        <v>0</v>
      </c>
      <c r="AH26" s="173">
        <f>IFERROR(IF(AND('Key inputs_EB_TRF'!AA15/SUM('Key inputs_EB_TRF'!AA$13:AA$18)&gt;0,'Key inputs_EB_TRF'!AA15/SUM('Key inputs_EB_TRF'!AA$13:AA$18)&lt;0.001),0.001,'Key inputs_EB_TRF'!AA15/SUM('Key inputs_EB_TRF'!AA$13:AA$18)),"")</f>
        <v>0</v>
      </c>
      <c r="AI26" s="173" t="str">
        <f>IFERROR(IF(AND('Key inputs_EB_TRF'!AB15/SUM('Key inputs_EB_TRF'!AB$13:AB$18)&gt;0,'Key inputs_EB_TRF'!AB15/SUM('Key inputs_EB_TRF'!AB$13:AB$18)&lt;0.001),0.001,'Key inputs_EB_TRF'!AB15/SUM('Key inputs_EB_TRF'!AB$13:AB$18)),"")</f>
        <v/>
      </c>
      <c r="AJ26" s="173">
        <f>IFERROR(IF(AND('Key inputs_EB_TRF'!AC15/SUM('Key inputs_EB_TRF'!AC$13:AC$18)&gt;0,'Key inputs_EB_TRF'!AC15/SUM('Key inputs_EB_TRF'!AC$13:AC$18)&lt;0.001),0.001,'Key inputs_EB_TRF'!AC15/SUM('Key inputs_EB_TRF'!AC$13:AC$18)),"")</f>
        <v>0</v>
      </c>
      <c r="AK26" s="173">
        <f>IFERROR(IF(AND('Key inputs_EB_TRF'!AD15/SUM('Key inputs_EB_TRF'!AD$13:AD$18)&gt;0,'Key inputs_EB_TRF'!AD15/SUM('Key inputs_EB_TRF'!AD$13:AD$18)&lt;0.001),0.001,'Key inputs_EB_TRF'!AD15/SUM('Key inputs_EB_TRF'!AD$13:AD$18)),"")</f>
        <v>0</v>
      </c>
      <c r="AL26" s="173">
        <f>IFERROR(IF(AND('Key inputs_EB_TRF'!AE15/SUM('Key inputs_EB_TRF'!AE$13:AE$18)&gt;0,'Key inputs_EB_TRF'!AE15/SUM('Key inputs_EB_TRF'!AE$13:AE$18)&lt;0.001),0.001,'Key inputs_EB_TRF'!AE15/SUM('Key inputs_EB_TRF'!AE$13:AE$18)),"")</f>
        <v>0</v>
      </c>
    </row>
    <row r="27" spans="1:47">
      <c r="C27" s="4" t="str">
        <f>Commodities!$C$52</f>
        <v>OILLPG</v>
      </c>
      <c r="F27" s="4" t="s">
        <v>361</v>
      </c>
      <c r="G27" s="4" t="s">
        <v>702</v>
      </c>
      <c r="H27" t="s">
        <v>661</v>
      </c>
      <c r="I27">
        <v>2019</v>
      </c>
      <c r="J27" s="4" t="s">
        <v>650</v>
      </c>
      <c r="K27" s="173" t="str">
        <f>IFERROR(IF(AND('Key inputs_EB_TRF'!D16/SUM('Key inputs_EB_TRF'!D$13:D$18)&gt;0,'Key inputs_EB_TRF'!D16/SUM('Key inputs_EB_TRF'!D$13:D$18)&lt;0.001),0.001,'Key inputs_EB_TRF'!D16/SUM('Key inputs_EB_TRF'!D$13:D$18)),"")</f>
        <v/>
      </c>
      <c r="L27" s="173">
        <f>IFERROR(IF(AND('Key inputs_EB_TRF'!E16/SUM('Key inputs_EB_TRF'!E$13:E$18)&gt;0,'Key inputs_EB_TRF'!E16/SUM('Key inputs_EB_TRF'!E$13:E$18)&lt;0.001),0.001,'Key inputs_EB_TRF'!E16/SUM('Key inputs_EB_TRF'!E$13:E$18)),"")</f>
        <v>0</v>
      </c>
      <c r="M27" s="173" t="str">
        <f>IFERROR(IF(AND('Key inputs_EB_TRF'!F16/SUM('Key inputs_EB_TRF'!F$13:F$18)&gt;0,'Key inputs_EB_TRF'!F16/SUM('Key inputs_EB_TRF'!F$13:F$18)&lt;0.001),0.001,'Key inputs_EB_TRF'!F16/SUM('Key inputs_EB_TRF'!F$13:F$18)),"")</f>
        <v/>
      </c>
      <c r="N27" s="173">
        <f>IFERROR(IF(AND('Key inputs_EB_TRF'!G16/SUM('Key inputs_EB_TRF'!G$13:G$18)&gt;0,'Key inputs_EB_TRF'!G16/SUM('Key inputs_EB_TRF'!G$13:G$18)&lt;0.001),0.001,'Key inputs_EB_TRF'!G16/SUM('Key inputs_EB_TRF'!G$13:G$18)),"")</f>
        <v>0</v>
      </c>
      <c r="O27" s="173">
        <f>IFERROR(IF(AND('Key inputs_EB_TRF'!H16/SUM('Key inputs_EB_TRF'!H$13:H$18)&gt;0,'Key inputs_EB_TRF'!H16/SUM('Key inputs_EB_TRF'!H$13:H$18)&lt;0.001),0.001,'Key inputs_EB_TRF'!H16/SUM('Key inputs_EB_TRF'!H$13:H$18)),"")</f>
        <v>0</v>
      </c>
      <c r="P27" s="173">
        <f>IFERROR(IF(AND('Key inputs_EB_TRF'!I16/SUM('Key inputs_EB_TRF'!I$13:I$18)&gt;0,'Key inputs_EB_TRF'!I16/SUM('Key inputs_EB_TRF'!I$13:I$18)&lt;0.001),0.001,'Key inputs_EB_TRF'!I16/SUM('Key inputs_EB_TRF'!I$13:I$18)),"")</f>
        <v>0</v>
      </c>
      <c r="Q27" s="173" t="str">
        <f>IFERROR(IF(AND('Key inputs_EB_TRF'!J16/SUM('Key inputs_EB_TRF'!J$13:J$18)&gt;0,'Key inputs_EB_TRF'!J16/SUM('Key inputs_EB_TRF'!J$13:J$18)&lt;0.001),0.001,'Key inputs_EB_TRF'!J16/SUM('Key inputs_EB_TRF'!J$13:J$18)),"")</f>
        <v/>
      </c>
      <c r="R27" s="173" t="str">
        <f>IFERROR(IF(AND('Key inputs_EB_TRF'!K16/SUM('Key inputs_EB_TRF'!K$13:K$18)&gt;0,'Key inputs_EB_TRF'!K16/SUM('Key inputs_EB_TRF'!K$13:K$18)&lt;0.001),0.001,'Key inputs_EB_TRF'!K16/SUM('Key inputs_EB_TRF'!K$13:K$18)),"")</f>
        <v/>
      </c>
      <c r="S27" s="173">
        <f>IFERROR(IF(AND('Key inputs_EB_TRF'!L16/SUM('Key inputs_EB_TRF'!L$13:L$18)&gt;0,'Key inputs_EB_TRF'!L16/SUM('Key inputs_EB_TRF'!L$13:L$18)&lt;0.001),0.001,'Key inputs_EB_TRF'!L16/SUM('Key inputs_EB_TRF'!L$13:L$18)),"")</f>
        <v>0</v>
      </c>
      <c r="T27" s="173">
        <f>IFERROR(IF(AND('Key inputs_EB_TRF'!M16/SUM('Key inputs_EB_TRF'!M$13:M$18)&gt;0,'Key inputs_EB_TRF'!M16/SUM('Key inputs_EB_TRF'!M$13:M$18)&lt;0.001),0.001,'Key inputs_EB_TRF'!M16/SUM('Key inputs_EB_TRF'!M$13:M$18)),"")</f>
        <v>0</v>
      </c>
      <c r="U27" s="173">
        <f>IFERROR(IF(AND('Key inputs_EB_TRF'!N16/SUM('Key inputs_EB_TRF'!N$13:N$18)&gt;0,'Key inputs_EB_TRF'!N16/SUM('Key inputs_EB_TRF'!N$13:N$18)&lt;0.001),0.001,'Key inputs_EB_TRF'!N16/SUM('Key inputs_EB_TRF'!N$13:N$18)),"")</f>
        <v>0</v>
      </c>
      <c r="V27" s="173">
        <f>IFERROR(IF(AND('Key inputs_EB_TRF'!O16/SUM('Key inputs_EB_TRF'!O$13:O$18)&gt;0,'Key inputs_EB_TRF'!O16/SUM('Key inputs_EB_TRF'!O$13:O$18)&lt;0.001),0.001,'Key inputs_EB_TRF'!O16/SUM('Key inputs_EB_TRF'!O$13:O$18)),"")</f>
        <v>0</v>
      </c>
      <c r="W27" s="173">
        <f>IFERROR(IF(AND('Key inputs_EB_TRF'!P16/SUM('Key inputs_EB_TRF'!P$13:P$18)&gt;0,'Key inputs_EB_TRF'!P16/SUM('Key inputs_EB_TRF'!P$13:P$18)&lt;0.001),0.001,'Key inputs_EB_TRF'!P16/SUM('Key inputs_EB_TRF'!P$13:P$18)),"")</f>
        <v>0</v>
      </c>
      <c r="X27" s="173">
        <f>IFERROR(IF(AND('Key inputs_EB_TRF'!Q16/SUM('Key inputs_EB_TRF'!Q$13:Q$18)&gt;0,'Key inputs_EB_TRF'!Q16/SUM('Key inputs_EB_TRF'!Q$13:Q$18)&lt;0.001),0.001,'Key inputs_EB_TRF'!Q16/SUM('Key inputs_EB_TRF'!Q$13:Q$18)),"")</f>
        <v>0</v>
      </c>
      <c r="Y27" s="173">
        <f>IFERROR(IF(AND('Key inputs_EB_TRF'!R16/SUM('Key inputs_EB_TRF'!R$13:R$18)&gt;0,'Key inputs_EB_TRF'!R16/SUM('Key inputs_EB_TRF'!R$13:R$18)&lt;0.001),0.001,'Key inputs_EB_TRF'!R16/SUM('Key inputs_EB_TRF'!R$13:R$18)),"")</f>
        <v>0</v>
      </c>
      <c r="Z27" s="173">
        <f>IFERROR(IF(AND('Key inputs_EB_TRF'!S16/SUM('Key inputs_EB_TRF'!S$13:S$18)&gt;0,'Key inputs_EB_TRF'!S16/SUM('Key inputs_EB_TRF'!S$13:S$18)&lt;0.001),0.001,'Key inputs_EB_TRF'!S16/SUM('Key inputs_EB_TRF'!S$13:S$18)),"")</f>
        <v>1E-3</v>
      </c>
      <c r="AA27" s="173">
        <f>IFERROR(IF(AND('Key inputs_EB_TRF'!T16/SUM('Key inputs_EB_TRF'!T$13:T$18)&gt;0,'Key inputs_EB_TRF'!T16/SUM('Key inputs_EB_TRF'!T$13:T$18)&lt;0.001),0.001,'Key inputs_EB_TRF'!T16/SUM('Key inputs_EB_TRF'!T$13:T$18)),"")</f>
        <v>0</v>
      </c>
      <c r="AB27" s="173">
        <f>IFERROR(IF(AND('Key inputs_EB_TRF'!U16/SUM('Key inputs_EB_TRF'!U$13:U$18)&gt;0,'Key inputs_EB_TRF'!U16/SUM('Key inputs_EB_TRF'!U$13:U$18)&lt;0.001),0.001,'Key inputs_EB_TRF'!U16/SUM('Key inputs_EB_TRF'!U$13:U$18)),"")</f>
        <v>0</v>
      </c>
      <c r="AC27" s="173">
        <f>IFERROR(IF(AND('Key inputs_EB_TRF'!V16/SUM('Key inputs_EB_TRF'!V$13:V$18)&gt;0,'Key inputs_EB_TRF'!V16/SUM('Key inputs_EB_TRF'!V$13:V$18)&lt;0.001),0.001,'Key inputs_EB_TRF'!V16/SUM('Key inputs_EB_TRF'!V$13:V$18)),"")</f>
        <v>0</v>
      </c>
      <c r="AD27" s="173">
        <f>IFERROR(IF(AND('Key inputs_EB_TRF'!W16/SUM('Key inputs_EB_TRF'!W$13:W$18)&gt;0,'Key inputs_EB_TRF'!W16/SUM('Key inputs_EB_TRF'!W$13:W$18)&lt;0.001),0.001,'Key inputs_EB_TRF'!W16/SUM('Key inputs_EB_TRF'!W$13:W$18)),"")</f>
        <v>0</v>
      </c>
      <c r="AE27" s="173">
        <f>IFERROR(IF(AND('Key inputs_EB_TRF'!X16/SUM('Key inputs_EB_TRF'!X$13:X$18)&gt;0,'Key inputs_EB_TRF'!X16/SUM('Key inputs_EB_TRF'!X$13:X$18)&lt;0.001),0.001,'Key inputs_EB_TRF'!X16/SUM('Key inputs_EB_TRF'!X$13:X$18)),"")</f>
        <v>0</v>
      </c>
      <c r="AF27" s="173">
        <f>IFERROR(IF(AND('Key inputs_EB_TRF'!Y16/SUM('Key inputs_EB_TRF'!Y$13:Y$18)&gt;0,'Key inputs_EB_TRF'!Y16/SUM('Key inputs_EB_TRF'!Y$13:Y$18)&lt;0.001),0.001,'Key inputs_EB_TRF'!Y16/SUM('Key inputs_EB_TRF'!Y$13:Y$18)),"")</f>
        <v>0</v>
      </c>
      <c r="AG27" s="173">
        <f>IFERROR(IF(AND('Key inputs_EB_TRF'!Z16/SUM('Key inputs_EB_TRF'!Z$13:Z$18)&gt;0,'Key inputs_EB_TRF'!Z16/SUM('Key inputs_EB_TRF'!Z$13:Z$18)&lt;0.001),0.001,'Key inputs_EB_TRF'!Z16/SUM('Key inputs_EB_TRF'!Z$13:Z$18)),"")</f>
        <v>0</v>
      </c>
      <c r="AH27" s="173">
        <f>IFERROR(IF(AND('Key inputs_EB_TRF'!AA16/SUM('Key inputs_EB_TRF'!AA$13:AA$18)&gt;0,'Key inputs_EB_TRF'!AA16/SUM('Key inputs_EB_TRF'!AA$13:AA$18)&lt;0.001),0.001,'Key inputs_EB_TRF'!AA16/SUM('Key inputs_EB_TRF'!AA$13:AA$18)),"")</f>
        <v>0</v>
      </c>
      <c r="AI27" s="173" t="str">
        <f>IFERROR(IF(AND('Key inputs_EB_TRF'!AB16/SUM('Key inputs_EB_TRF'!AB$13:AB$18)&gt;0,'Key inputs_EB_TRF'!AB16/SUM('Key inputs_EB_TRF'!AB$13:AB$18)&lt;0.001),0.001,'Key inputs_EB_TRF'!AB16/SUM('Key inputs_EB_TRF'!AB$13:AB$18)),"")</f>
        <v/>
      </c>
      <c r="AJ27" s="173">
        <f>IFERROR(IF(AND('Key inputs_EB_TRF'!AC16/SUM('Key inputs_EB_TRF'!AC$13:AC$18)&gt;0,'Key inputs_EB_TRF'!AC16/SUM('Key inputs_EB_TRF'!AC$13:AC$18)&lt;0.001),0.001,'Key inputs_EB_TRF'!AC16/SUM('Key inputs_EB_TRF'!AC$13:AC$18)),"")</f>
        <v>0</v>
      </c>
      <c r="AK27" s="173">
        <f>IFERROR(IF(AND('Key inputs_EB_TRF'!AD16/SUM('Key inputs_EB_TRF'!AD$13:AD$18)&gt;0,'Key inputs_EB_TRF'!AD16/SUM('Key inputs_EB_TRF'!AD$13:AD$18)&lt;0.001),0.001,'Key inputs_EB_TRF'!AD16/SUM('Key inputs_EB_TRF'!AD$13:AD$18)),"")</f>
        <v>0</v>
      </c>
      <c r="AL27" s="173">
        <f>IFERROR(IF(AND('Key inputs_EB_TRF'!AE16/SUM('Key inputs_EB_TRF'!AE$13:AE$18)&gt;0,'Key inputs_EB_TRF'!AE16/SUM('Key inputs_EB_TRF'!AE$13:AE$18)&lt;0.001),0.001,'Key inputs_EB_TRF'!AE16/SUM('Key inputs_EB_TRF'!AE$13:AE$18)),"")</f>
        <v>0</v>
      </c>
    </row>
    <row r="28" spans="1:47">
      <c r="C28" s="4" t="str">
        <f>Commodities!$C$55</f>
        <v>OILOPP</v>
      </c>
      <c r="F28" s="4" t="s">
        <v>361</v>
      </c>
      <c r="G28" s="4" t="s">
        <v>702</v>
      </c>
      <c r="H28" t="s">
        <v>661</v>
      </c>
      <c r="I28">
        <v>2019</v>
      </c>
      <c r="J28" s="4" t="s">
        <v>650</v>
      </c>
      <c r="K28" s="173" t="str">
        <f>IFERROR(IF(AND('Key inputs_EB_TRF'!D17/SUM('Key inputs_EB_TRF'!D$13:D$18)&gt;0,'Key inputs_EB_TRF'!D17/SUM('Key inputs_EB_TRF'!D$13:D$18)&lt;0.001),0.001,'Key inputs_EB_TRF'!D17/SUM('Key inputs_EB_TRF'!D$13:D$18)),"")</f>
        <v/>
      </c>
      <c r="L28" s="173">
        <f>IFERROR(IF(AND('Key inputs_EB_TRF'!E17/SUM('Key inputs_EB_TRF'!E$13:E$18)&gt;0,'Key inputs_EB_TRF'!E17/SUM('Key inputs_EB_TRF'!E$13:E$18)&lt;0.001),0.001,'Key inputs_EB_TRF'!E17/SUM('Key inputs_EB_TRF'!E$13:E$18)),"")</f>
        <v>0</v>
      </c>
      <c r="M28" s="173" t="str">
        <f>IFERROR(IF(AND('Key inputs_EB_TRF'!F17/SUM('Key inputs_EB_TRF'!F$13:F$18)&gt;0,'Key inputs_EB_TRF'!F17/SUM('Key inputs_EB_TRF'!F$13:F$18)&lt;0.001),0.001,'Key inputs_EB_TRF'!F17/SUM('Key inputs_EB_TRF'!F$13:F$18)),"")</f>
        <v/>
      </c>
      <c r="N28" s="173">
        <f>IFERROR(IF(AND('Key inputs_EB_TRF'!G17/SUM('Key inputs_EB_TRF'!G$13:G$18)&gt;0,'Key inputs_EB_TRF'!G17/SUM('Key inputs_EB_TRF'!G$13:G$18)&lt;0.001),0.001,'Key inputs_EB_TRF'!G17/SUM('Key inputs_EB_TRF'!G$13:G$18)),"")</f>
        <v>0</v>
      </c>
      <c r="O28" s="173">
        <f>IFERROR(IF(AND('Key inputs_EB_TRF'!H17/SUM('Key inputs_EB_TRF'!H$13:H$18)&gt;0,'Key inputs_EB_TRF'!H17/SUM('Key inputs_EB_TRF'!H$13:H$18)&lt;0.001),0.001,'Key inputs_EB_TRF'!H17/SUM('Key inputs_EB_TRF'!H$13:H$18)),"")</f>
        <v>0</v>
      </c>
      <c r="P28" s="173">
        <f>IFERROR(IF(AND('Key inputs_EB_TRF'!I17/SUM('Key inputs_EB_TRF'!I$13:I$18)&gt;0,'Key inputs_EB_TRF'!I17/SUM('Key inputs_EB_TRF'!I$13:I$18)&lt;0.001),0.001,'Key inputs_EB_TRF'!I17/SUM('Key inputs_EB_TRF'!I$13:I$18)),"")</f>
        <v>0</v>
      </c>
      <c r="Q28" s="173" t="str">
        <f>IFERROR(IF(AND('Key inputs_EB_TRF'!J17/SUM('Key inputs_EB_TRF'!J$13:J$18)&gt;0,'Key inputs_EB_TRF'!J17/SUM('Key inputs_EB_TRF'!J$13:J$18)&lt;0.001),0.001,'Key inputs_EB_TRF'!J17/SUM('Key inputs_EB_TRF'!J$13:J$18)),"")</f>
        <v/>
      </c>
      <c r="R28" s="173" t="str">
        <f>IFERROR(IF(AND('Key inputs_EB_TRF'!K17/SUM('Key inputs_EB_TRF'!K$13:K$18)&gt;0,'Key inputs_EB_TRF'!K17/SUM('Key inputs_EB_TRF'!K$13:K$18)&lt;0.001),0.001,'Key inputs_EB_TRF'!K17/SUM('Key inputs_EB_TRF'!K$13:K$18)),"")</f>
        <v/>
      </c>
      <c r="S28" s="173">
        <f>IFERROR(IF(AND('Key inputs_EB_TRF'!L17/SUM('Key inputs_EB_TRF'!L$13:L$18)&gt;0,'Key inputs_EB_TRF'!L17/SUM('Key inputs_EB_TRF'!L$13:L$18)&lt;0.001),0.001,'Key inputs_EB_TRF'!L17/SUM('Key inputs_EB_TRF'!L$13:L$18)),"")</f>
        <v>0.14668014611882882</v>
      </c>
      <c r="T28" s="173">
        <f>IFERROR(IF(AND('Key inputs_EB_TRF'!M17/SUM('Key inputs_EB_TRF'!M$13:M$18)&gt;0,'Key inputs_EB_TRF'!M17/SUM('Key inputs_EB_TRF'!M$13:M$18)&lt;0.001),0.001,'Key inputs_EB_TRF'!M17/SUM('Key inputs_EB_TRF'!M$13:M$18)),"")</f>
        <v>0</v>
      </c>
      <c r="U28" s="173">
        <f>IFERROR(IF(AND('Key inputs_EB_TRF'!N17/SUM('Key inputs_EB_TRF'!N$13:N$18)&gt;0,'Key inputs_EB_TRF'!N17/SUM('Key inputs_EB_TRF'!N$13:N$18)&lt;0.001),0.001,'Key inputs_EB_TRF'!N17/SUM('Key inputs_EB_TRF'!N$13:N$18)),"")</f>
        <v>0</v>
      </c>
      <c r="V28" s="173">
        <f>IFERROR(IF(AND('Key inputs_EB_TRF'!O17/SUM('Key inputs_EB_TRF'!O$13:O$18)&gt;0,'Key inputs_EB_TRF'!O17/SUM('Key inputs_EB_TRF'!O$13:O$18)&lt;0.001),0.001,'Key inputs_EB_TRF'!O17/SUM('Key inputs_EB_TRF'!O$13:O$18)),"")</f>
        <v>0</v>
      </c>
      <c r="W28" s="173">
        <f>IFERROR(IF(AND('Key inputs_EB_TRF'!P17/SUM('Key inputs_EB_TRF'!P$13:P$18)&gt;0,'Key inputs_EB_TRF'!P17/SUM('Key inputs_EB_TRF'!P$13:P$18)&lt;0.001),0.001,'Key inputs_EB_TRF'!P17/SUM('Key inputs_EB_TRF'!P$13:P$18)),"")</f>
        <v>0</v>
      </c>
      <c r="X28" s="173">
        <f>IFERROR(IF(AND('Key inputs_EB_TRF'!Q17/SUM('Key inputs_EB_TRF'!Q$13:Q$18)&gt;0,'Key inputs_EB_TRF'!Q17/SUM('Key inputs_EB_TRF'!Q$13:Q$18)&lt;0.001),0.001,'Key inputs_EB_TRF'!Q17/SUM('Key inputs_EB_TRF'!Q$13:Q$18)),"")</f>
        <v>0</v>
      </c>
      <c r="Y28" s="173">
        <f>IFERROR(IF(AND('Key inputs_EB_TRF'!R17/SUM('Key inputs_EB_TRF'!R$13:R$18)&gt;0,'Key inputs_EB_TRF'!R17/SUM('Key inputs_EB_TRF'!R$13:R$18)&lt;0.001),0.001,'Key inputs_EB_TRF'!R17/SUM('Key inputs_EB_TRF'!R$13:R$18)),"")</f>
        <v>0</v>
      </c>
      <c r="Z28" s="173">
        <f>IFERROR(IF(AND('Key inputs_EB_TRF'!S17/SUM('Key inputs_EB_TRF'!S$13:S$18)&gt;0,'Key inputs_EB_TRF'!S17/SUM('Key inputs_EB_TRF'!S$13:S$18)&lt;0.001),0.001,'Key inputs_EB_TRF'!S17/SUM('Key inputs_EB_TRF'!S$13:S$18)),"")</f>
        <v>0</v>
      </c>
      <c r="AA28" s="173">
        <f>IFERROR(IF(AND('Key inputs_EB_TRF'!T17/SUM('Key inputs_EB_TRF'!T$13:T$18)&gt;0,'Key inputs_EB_TRF'!T17/SUM('Key inputs_EB_TRF'!T$13:T$18)&lt;0.001),0.001,'Key inputs_EB_TRF'!T17/SUM('Key inputs_EB_TRF'!T$13:T$18)),"")</f>
        <v>2.0644478370191389E-2</v>
      </c>
      <c r="AB28" s="173">
        <f>IFERROR(IF(AND('Key inputs_EB_TRF'!U17/SUM('Key inputs_EB_TRF'!U$13:U$18)&gt;0,'Key inputs_EB_TRF'!U17/SUM('Key inputs_EB_TRF'!U$13:U$18)&lt;0.001),0.001,'Key inputs_EB_TRF'!U17/SUM('Key inputs_EB_TRF'!U$13:U$18)),"")</f>
        <v>0</v>
      </c>
      <c r="AC28" s="173">
        <f>IFERROR(IF(AND('Key inputs_EB_TRF'!V17/SUM('Key inputs_EB_TRF'!V$13:V$18)&gt;0,'Key inputs_EB_TRF'!V17/SUM('Key inputs_EB_TRF'!V$13:V$18)&lt;0.001),0.001,'Key inputs_EB_TRF'!V17/SUM('Key inputs_EB_TRF'!V$13:V$18)),"")</f>
        <v>0</v>
      </c>
      <c r="AD28" s="173">
        <f>IFERROR(IF(AND('Key inputs_EB_TRF'!W17/SUM('Key inputs_EB_TRF'!W$13:W$18)&gt;0,'Key inputs_EB_TRF'!W17/SUM('Key inputs_EB_TRF'!W$13:W$18)&lt;0.001),0.001,'Key inputs_EB_TRF'!W17/SUM('Key inputs_EB_TRF'!W$13:W$18)),"")</f>
        <v>1.260494839125556E-2</v>
      </c>
      <c r="AE28" s="173">
        <f>IFERROR(IF(AND('Key inputs_EB_TRF'!X17/SUM('Key inputs_EB_TRF'!X$13:X$18)&gt;0,'Key inputs_EB_TRF'!X17/SUM('Key inputs_EB_TRF'!X$13:X$18)&lt;0.001),0.001,'Key inputs_EB_TRF'!X17/SUM('Key inputs_EB_TRF'!X$13:X$18)),"")</f>
        <v>0</v>
      </c>
      <c r="AF28" s="173">
        <f>IFERROR(IF(AND('Key inputs_EB_TRF'!Y17/SUM('Key inputs_EB_TRF'!Y$13:Y$18)&gt;0,'Key inputs_EB_TRF'!Y17/SUM('Key inputs_EB_TRF'!Y$13:Y$18)&lt;0.001),0.001,'Key inputs_EB_TRF'!Y17/SUM('Key inputs_EB_TRF'!Y$13:Y$18)),"")</f>
        <v>0</v>
      </c>
      <c r="AG28" s="173">
        <f>IFERROR(IF(AND('Key inputs_EB_TRF'!Z17/SUM('Key inputs_EB_TRF'!Z$13:Z$18)&gt;0,'Key inputs_EB_TRF'!Z17/SUM('Key inputs_EB_TRF'!Z$13:Z$18)&lt;0.001),0.001,'Key inputs_EB_TRF'!Z17/SUM('Key inputs_EB_TRF'!Z$13:Z$18)),"")</f>
        <v>0</v>
      </c>
      <c r="AH28" s="173">
        <f>IFERROR(IF(AND('Key inputs_EB_TRF'!AA17/SUM('Key inputs_EB_TRF'!AA$13:AA$18)&gt;0,'Key inputs_EB_TRF'!AA17/SUM('Key inputs_EB_TRF'!AA$13:AA$18)&lt;0.001),0.001,'Key inputs_EB_TRF'!AA17/SUM('Key inputs_EB_TRF'!AA$13:AA$18)),"")</f>
        <v>0</v>
      </c>
      <c r="AI28" s="173" t="str">
        <f>IFERROR(IF(AND('Key inputs_EB_TRF'!AB17/SUM('Key inputs_EB_TRF'!AB$13:AB$18)&gt;0,'Key inputs_EB_TRF'!AB17/SUM('Key inputs_EB_TRF'!AB$13:AB$18)&lt;0.001),0.001,'Key inputs_EB_TRF'!AB17/SUM('Key inputs_EB_TRF'!AB$13:AB$18)),"")</f>
        <v/>
      </c>
      <c r="AJ28" s="173">
        <f>IFERROR(IF(AND('Key inputs_EB_TRF'!AC17/SUM('Key inputs_EB_TRF'!AC$13:AC$18)&gt;0,'Key inputs_EB_TRF'!AC17/SUM('Key inputs_EB_TRF'!AC$13:AC$18)&lt;0.001),0.001,'Key inputs_EB_TRF'!AC17/SUM('Key inputs_EB_TRF'!AC$13:AC$18)),"")</f>
        <v>0</v>
      </c>
      <c r="AK28" s="173">
        <f>IFERROR(IF(AND('Key inputs_EB_TRF'!AD17/SUM('Key inputs_EB_TRF'!AD$13:AD$18)&gt;0,'Key inputs_EB_TRF'!AD17/SUM('Key inputs_EB_TRF'!AD$13:AD$18)&lt;0.001),0.001,'Key inputs_EB_TRF'!AD17/SUM('Key inputs_EB_TRF'!AD$13:AD$18)),"")</f>
        <v>0</v>
      </c>
      <c r="AL28" s="173">
        <f>IFERROR(IF(AND('Key inputs_EB_TRF'!AE17/SUM('Key inputs_EB_TRF'!AE$13:AE$18)&gt;0,'Key inputs_EB_TRF'!AE17/SUM('Key inputs_EB_TRF'!AE$13:AE$18)&lt;0.001),0.001,'Key inputs_EB_TRF'!AE17/SUM('Key inputs_EB_TRF'!AE$13:AE$18)),"")</f>
        <v>0</v>
      </c>
    </row>
    <row r="29" spans="1:47">
      <c r="C29" s="4" t="str">
        <f>Commodities!$C$135</f>
        <v>WASTEN</v>
      </c>
      <c r="F29" s="4" t="s">
        <v>361</v>
      </c>
      <c r="G29" s="4" t="s">
        <v>702</v>
      </c>
      <c r="H29" t="s">
        <v>661</v>
      </c>
      <c r="I29">
        <v>2019</v>
      </c>
      <c r="J29" s="4" t="s">
        <v>650</v>
      </c>
      <c r="K29" s="173" t="str">
        <f>IFERROR(IF(AND('Key inputs_EB_TRF'!D18/SUM('Key inputs_EB_TRF'!D$13:D$18)&gt;0,'Key inputs_EB_TRF'!D18/SUM('Key inputs_EB_TRF'!D$13:D$18)&lt;0.001),0.001,'Key inputs_EB_TRF'!D18/SUM('Key inputs_EB_TRF'!D$13:D$18)),"")</f>
        <v/>
      </c>
      <c r="L29" s="173">
        <f>IFERROR(IF(AND('Key inputs_EB_TRF'!E18/SUM('Key inputs_EB_TRF'!E$13:E$18)&gt;0,'Key inputs_EB_TRF'!E18/SUM('Key inputs_EB_TRF'!E$13:E$18)&lt;0.001),0.001,'Key inputs_EB_TRF'!E18/SUM('Key inputs_EB_TRF'!E$13:E$18)),"")</f>
        <v>0</v>
      </c>
      <c r="M29" s="173" t="str">
        <f>IFERROR(IF(AND('Key inputs_EB_TRF'!F18/SUM('Key inputs_EB_TRF'!F$13:F$18)&gt;0,'Key inputs_EB_TRF'!F18/SUM('Key inputs_EB_TRF'!F$13:F$18)&lt;0.001),0.001,'Key inputs_EB_TRF'!F18/SUM('Key inputs_EB_TRF'!F$13:F$18)),"")</f>
        <v/>
      </c>
      <c r="N29" s="173">
        <f>IFERROR(IF(AND('Key inputs_EB_TRF'!G18/SUM('Key inputs_EB_TRF'!G$13:G$18)&gt;0,'Key inputs_EB_TRF'!G18/SUM('Key inputs_EB_TRF'!G$13:G$18)&lt;0.001),0.001,'Key inputs_EB_TRF'!G18/SUM('Key inputs_EB_TRF'!G$13:G$18)),"")</f>
        <v>0</v>
      </c>
      <c r="O29" s="173">
        <f>IFERROR(IF(AND('Key inputs_EB_TRF'!H18/SUM('Key inputs_EB_TRF'!H$13:H$18)&gt;0,'Key inputs_EB_TRF'!H18/SUM('Key inputs_EB_TRF'!H$13:H$18)&lt;0.001),0.001,'Key inputs_EB_TRF'!H18/SUM('Key inputs_EB_TRF'!H$13:H$18)),"")</f>
        <v>0</v>
      </c>
      <c r="P29" s="173">
        <f>IFERROR(IF(AND('Key inputs_EB_TRF'!I18/SUM('Key inputs_EB_TRF'!I$13:I$18)&gt;0,'Key inputs_EB_TRF'!I18/SUM('Key inputs_EB_TRF'!I$13:I$18)&lt;0.001),0.001,'Key inputs_EB_TRF'!I18/SUM('Key inputs_EB_TRF'!I$13:I$18)),"")</f>
        <v>0</v>
      </c>
      <c r="Q29" s="173" t="str">
        <f>IFERROR(IF(AND('Key inputs_EB_TRF'!J18/SUM('Key inputs_EB_TRF'!J$13:J$18)&gt;0,'Key inputs_EB_TRF'!J18/SUM('Key inputs_EB_TRF'!J$13:J$18)&lt;0.001),0.001,'Key inputs_EB_TRF'!J18/SUM('Key inputs_EB_TRF'!J$13:J$18)),"")</f>
        <v/>
      </c>
      <c r="R29" s="173" t="str">
        <f>IFERROR(IF(AND('Key inputs_EB_TRF'!K18/SUM('Key inputs_EB_TRF'!K$13:K$18)&gt;0,'Key inputs_EB_TRF'!K18/SUM('Key inputs_EB_TRF'!K$13:K$18)&lt;0.001),0.001,'Key inputs_EB_TRF'!K18/SUM('Key inputs_EB_TRF'!K$13:K$18)),"")</f>
        <v/>
      </c>
      <c r="S29" s="173">
        <f>IFERROR(IF(AND('Key inputs_EB_TRF'!L18/SUM('Key inputs_EB_TRF'!L$13:L$18)&gt;0,'Key inputs_EB_TRF'!L18/SUM('Key inputs_EB_TRF'!L$13:L$18)&lt;0.001),0.001,'Key inputs_EB_TRF'!L18/SUM('Key inputs_EB_TRF'!L$13:L$18)),"")</f>
        <v>0</v>
      </c>
      <c r="T29" s="173">
        <f>IFERROR(IF(AND('Key inputs_EB_TRF'!M18/SUM('Key inputs_EB_TRF'!M$13:M$18)&gt;0,'Key inputs_EB_TRF'!M18/SUM('Key inputs_EB_TRF'!M$13:M$18)&lt;0.001),0.001,'Key inputs_EB_TRF'!M18/SUM('Key inputs_EB_TRF'!M$13:M$18)),"")</f>
        <v>0</v>
      </c>
      <c r="U29" s="173">
        <f>IFERROR(IF(AND('Key inputs_EB_TRF'!N18/SUM('Key inputs_EB_TRF'!N$13:N$18)&gt;0,'Key inputs_EB_TRF'!N18/SUM('Key inputs_EB_TRF'!N$13:N$18)&lt;0.001),0.001,'Key inputs_EB_TRF'!N18/SUM('Key inputs_EB_TRF'!N$13:N$18)),"")</f>
        <v>0</v>
      </c>
      <c r="V29" s="173">
        <f>IFERROR(IF(AND('Key inputs_EB_TRF'!O18/SUM('Key inputs_EB_TRF'!O$13:O$18)&gt;0,'Key inputs_EB_TRF'!O18/SUM('Key inputs_EB_TRF'!O$13:O$18)&lt;0.001),0.001,'Key inputs_EB_TRF'!O18/SUM('Key inputs_EB_TRF'!O$13:O$18)),"")</f>
        <v>0</v>
      </c>
      <c r="W29" s="173">
        <f>IFERROR(IF(AND('Key inputs_EB_TRF'!P18/SUM('Key inputs_EB_TRF'!P$13:P$18)&gt;0,'Key inputs_EB_TRF'!P18/SUM('Key inputs_EB_TRF'!P$13:P$18)&lt;0.001),0.001,'Key inputs_EB_TRF'!P18/SUM('Key inputs_EB_TRF'!P$13:P$18)),"")</f>
        <v>0</v>
      </c>
      <c r="X29" s="173">
        <f>IFERROR(IF(AND('Key inputs_EB_TRF'!Q18/SUM('Key inputs_EB_TRF'!Q$13:Q$18)&gt;0,'Key inputs_EB_TRF'!Q18/SUM('Key inputs_EB_TRF'!Q$13:Q$18)&lt;0.001),0.001,'Key inputs_EB_TRF'!Q18/SUM('Key inputs_EB_TRF'!Q$13:Q$18)),"")</f>
        <v>0</v>
      </c>
      <c r="Y29" s="173">
        <f>IFERROR(IF(AND('Key inputs_EB_TRF'!R18/SUM('Key inputs_EB_TRF'!R$13:R$18)&gt;0,'Key inputs_EB_TRF'!R18/SUM('Key inputs_EB_TRF'!R$13:R$18)&lt;0.001),0.001,'Key inputs_EB_TRF'!R18/SUM('Key inputs_EB_TRF'!R$13:R$18)),"")</f>
        <v>0</v>
      </c>
      <c r="Z29" s="173">
        <f>IFERROR(IF(AND('Key inputs_EB_TRF'!S18/SUM('Key inputs_EB_TRF'!S$13:S$18)&gt;0,'Key inputs_EB_TRF'!S18/SUM('Key inputs_EB_TRF'!S$13:S$18)&lt;0.001),0.001,'Key inputs_EB_TRF'!S18/SUM('Key inputs_EB_TRF'!S$13:S$18)),"")</f>
        <v>0</v>
      </c>
      <c r="AA29" s="173">
        <f>IFERROR(IF(AND('Key inputs_EB_TRF'!T18/SUM('Key inputs_EB_TRF'!T$13:T$18)&gt;0,'Key inputs_EB_TRF'!T18/SUM('Key inputs_EB_TRF'!T$13:T$18)&lt;0.001),0.001,'Key inputs_EB_TRF'!T18/SUM('Key inputs_EB_TRF'!T$13:T$18)),"")</f>
        <v>0</v>
      </c>
      <c r="AB29" s="173">
        <f>IFERROR(IF(AND('Key inputs_EB_TRF'!U18/SUM('Key inputs_EB_TRF'!U$13:U$18)&gt;0,'Key inputs_EB_TRF'!U18/SUM('Key inputs_EB_TRF'!U$13:U$18)&lt;0.001),0.001,'Key inputs_EB_TRF'!U18/SUM('Key inputs_EB_TRF'!U$13:U$18)),"")</f>
        <v>0</v>
      </c>
      <c r="AC29" s="173">
        <f>IFERROR(IF(AND('Key inputs_EB_TRF'!V18/SUM('Key inputs_EB_TRF'!V$13:V$18)&gt;0,'Key inputs_EB_TRF'!V18/SUM('Key inputs_EB_TRF'!V$13:V$18)&lt;0.001),0.001,'Key inputs_EB_TRF'!V18/SUM('Key inputs_EB_TRF'!V$13:V$18)),"")</f>
        <v>0</v>
      </c>
      <c r="AD29" s="173">
        <f>IFERROR(IF(AND('Key inputs_EB_TRF'!W18/SUM('Key inputs_EB_TRF'!W$13:W$18)&gt;0,'Key inputs_EB_TRF'!W18/SUM('Key inputs_EB_TRF'!W$13:W$18)&lt;0.001),0.001,'Key inputs_EB_TRF'!W18/SUM('Key inputs_EB_TRF'!W$13:W$18)),"")</f>
        <v>3.8772213247172858E-3</v>
      </c>
      <c r="AE29" s="173">
        <f>IFERROR(IF(AND('Key inputs_EB_TRF'!X18/SUM('Key inputs_EB_TRF'!X$13:X$18)&gt;0,'Key inputs_EB_TRF'!X18/SUM('Key inputs_EB_TRF'!X$13:X$18)&lt;0.001),0.001,'Key inputs_EB_TRF'!X18/SUM('Key inputs_EB_TRF'!X$13:X$18)),"")</f>
        <v>0</v>
      </c>
      <c r="AF29" s="173">
        <f>IFERROR(IF(AND('Key inputs_EB_TRF'!Y18/SUM('Key inputs_EB_TRF'!Y$13:Y$18)&gt;0,'Key inputs_EB_TRF'!Y18/SUM('Key inputs_EB_TRF'!Y$13:Y$18)&lt;0.001),0.001,'Key inputs_EB_TRF'!Y18/SUM('Key inputs_EB_TRF'!Y$13:Y$18)),"")</f>
        <v>0</v>
      </c>
      <c r="AG29" s="173">
        <f>IFERROR(IF(AND('Key inputs_EB_TRF'!Z18/SUM('Key inputs_EB_TRF'!Z$13:Z$18)&gt;0,'Key inputs_EB_TRF'!Z18/SUM('Key inputs_EB_TRF'!Z$13:Z$18)&lt;0.001),0.001,'Key inputs_EB_TRF'!Z18/SUM('Key inputs_EB_TRF'!Z$13:Z$18)),"")</f>
        <v>0</v>
      </c>
      <c r="AH29" s="173">
        <f>IFERROR(IF(AND('Key inputs_EB_TRF'!AA18/SUM('Key inputs_EB_TRF'!AA$13:AA$18)&gt;0,'Key inputs_EB_TRF'!AA18/SUM('Key inputs_EB_TRF'!AA$13:AA$18)&lt;0.001),0.001,'Key inputs_EB_TRF'!AA18/SUM('Key inputs_EB_TRF'!AA$13:AA$18)),"")</f>
        <v>0</v>
      </c>
      <c r="AI29" s="173" t="str">
        <f>IFERROR(IF(AND('Key inputs_EB_TRF'!AB18/SUM('Key inputs_EB_TRF'!AB$13:AB$18)&gt;0,'Key inputs_EB_TRF'!AB18/SUM('Key inputs_EB_TRF'!AB$13:AB$18)&lt;0.001),0.001,'Key inputs_EB_TRF'!AB18/SUM('Key inputs_EB_TRF'!AB$13:AB$18)),"")</f>
        <v/>
      </c>
      <c r="AJ29" s="173">
        <f>IFERROR(IF(AND('Key inputs_EB_TRF'!AC18/SUM('Key inputs_EB_TRF'!AC$13:AC$18)&gt;0,'Key inputs_EB_TRF'!AC18/SUM('Key inputs_EB_TRF'!AC$13:AC$18)&lt;0.001),0.001,'Key inputs_EB_TRF'!AC18/SUM('Key inputs_EB_TRF'!AC$13:AC$18)),"")</f>
        <v>0</v>
      </c>
      <c r="AK29" s="173">
        <f>IFERROR(IF(AND('Key inputs_EB_TRF'!AD18/SUM('Key inputs_EB_TRF'!AD$13:AD$18)&gt;0,'Key inputs_EB_TRF'!AD18/SUM('Key inputs_EB_TRF'!AD$13:AD$18)&lt;0.001),0.001,'Key inputs_EB_TRF'!AD18/SUM('Key inputs_EB_TRF'!AD$13:AD$18)),"")</f>
        <v>0</v>
      </c>
      <c r="AL29" s="173">
        <f>IFERROR(IF(AND('Key inputs_EB_TRF'!AE18/SUM('Key inputs_EB_TRF'!AE$13:AE$18)&gt;0,'Key inputs_EB_TRF'!AE18/SUM('Key inputs_EB_TRF'!AE$13:AE$18)&lt;0.001),0.001,'Key inputs_EB_TRF'!AE18/SUM('Key inputs_EB_TRF'!AE$13:AE$18)),"")</f>
        <v>0</v>
      </c>
    </row>
    <row r="30" spans="1:47">
      <c r="D30" t="str">
        <f>Commodities!$C$29</f>
        <v>COACOG</v>
      </c>
      <c r="G30" s="4" t="s">
        <v>705</v>
      </c>
      <c r="H30" t="s">
        <v>661</v>
      </c>
      <c r="I30">
        <v>2019</v>
      </c>
      <c r="J30" s="4" t="s">
        <v>650</v>
      </c>
      <c r="K30" s="173">
        <f>IFERROR(IF(AND('Key inputs_EB_TRF'!D62/SUM('Key inputs_EB_TRF'!D$62:D$63)&gt;0,'Key inputs_EB_TRF'!D62/SUM('Key inputs_EB_TRF'!D$62:D$63)&lt;0.001),0.001,'Key inputs_EB_TRF'!D62/SUM('Key inputs_EB_TRF'!D$62:D$63)),0)</f>
        <v>0</v>
      </c>
      <c r="L30" s="173">
        <f>IFERROR(IF(AND('Key inputs_EB_TRF'!E62/SUM('Key inputs_EB_TRF'!E$62:E$63)&gt;0,'Key inputs_EB_TRF'!E62/SUM('Key inputs_EB_TRF'!E$62:E$63)&lt;0.001),0.001,'Key inputs_EB_TRF'!E62/SUM('Key inputs_EB_TRF'!E$62:E$63)),0)</f>
        <v>0</v>
      </c>
      <c r="M30" s="173">
        <f>IFERROR(IF(AND('Key inputs_EB_TRF'!F62/SUM('Key inputs_EB_TRF'!F$62:F$63)&gt;0,'Key inputs_EB_TRF'!F62/SUM('Key inputs_EB_TRF'!F$62:F$63)&lt;0.001),0.001,'Key inputs_EB_TRF'!F62/SUM('Key inputs_EB_TRF'!F$62:F$63)),0)</f>
        <v>0</v>
      </c>
      <c r="N30" s="173">
        <f>IFERROR(IF(AND('Key inputs_EB_TRF'!G62/SUM('Key inputs_EB_TRF'!G$62:G$63)&gt;0,'Key inputs_EB_TRF'!G62/SUM('Key inputs_EB_TRF'!G$62:G$63)&lt;0.001),0.001,'Key inputs_EB_TRF'!G62/SUM('Key inputs_EB_TRF'!G$62:G$63)),0)</f>
        <v>0.27674092701007164</v>
      </c>
      <c r="O30" s="173">
        <f>IFERROR(IF(AND('Key inputs_EB_TRF'!H62/SUM('Key inputs_EB_TRF'!H$62:H$63)&gt;0,'Key inputs_EB_TRF'!H62/SUM('Key inputs_EB_TRF'!H$62:H$63)&lt;0.001),0.001,'Key inputs_EB_TRF'!H62/SUM('Key inputs_EB_TRF'!H$62:H$63)),0)</f>
        <v>0.23921869750923838</v>
      </c>
      <c r="P30" s="173">
        <f>IFERROR(IF(AND('Key inputs_EB_TRF'!I62/SUM('Key inputs_EB_TRF'!I$62:I$63)&gt;0,'Key inputs_EB_TRF'!I62/SUM('Key inputs_EB_TRF'!I$62:I$63)&lt;0.001),0.001,'Key inputs_EB_TRF'!I62/SUM('Key inputs_EB_TRF'!I$62:I$63)),0)</f>
        <v>0.17676983845523583</v>
      </c>
      <c r="Q30" s="173">
        <f>IFERROR(IF(AND('Key inputs_EB_TRF'!J62/SUM('Key inputs_EB_TRF'!J$62:J$63)&gt;0,'Key inputs_EB_TRF'!J62/SUM('Key inputs_EB_TRF'!J$62:J$63)&lt;0.001),0.001,'Key inputs_EB_TRF'!J62/SUM('Key inputs_EB_TRF'!J$62:J$63)),0)</f>
        <v>0</v>
      </c>
      <c r="R30" s="173">
        <f>IFERROR(IF(AND('Key inputs_EB_TRF'!K62/SUM('Key inputs_EB_TRF'!K$62:K$63)&gt;0,'Key inputs_EB_TRF'!K62/SUM('Key inputs_EB_TRF'!K$62:K$63)&lt;0.001),0.001,'Key inputs_EB_TRF'!K62/SUM('Key inputs_EB_TRF'!K$62:K$63)),0)</f>
        <v>0</v>
      </c>
      <c r="S30" s="173">
        <f>IFERROR(IF(AND('Key inputs_EB_TRF'!L62/SUM('Key inputs_EB_TRF'!L$62:L$63)&gt;0,'Key inputs_EB_TRF'!L62/SUM('Key inputs_EB_TRF'!L$62:L$63)&lt;0.001),0.001,'Key inputs_EB_TRF'!L62/SUM('Key inputs_EB_TRF'!L$62:L$63)),0)</f>
        <v>0.22827549178103207</v>
      </c>
      <c r="T30" s="173">
        <f>IFERROR(IF(AND('Key inputs_EB_TRF'!M62/SUM('Key inputs_EB_TRF'!M$62:M$63)&gt;0,'Key inputs_EB_TRF'!M62/SUM('Key inputs_EB_TRF'!M$62:M$63)&lt;0.001),0.001,'Key inputs_EB_TRF'!M62/SUM('Key inputs_EB_TRF'!M$62:M$63)),0)</f>
        <v>0.27295157346970816</v>
      </c>
      <c r="U30" s="173">
        <f>IFERROR(IF(AND('Key inputs_EB_TRF'!N62/SUM('Key inputs_EB_TRF'!N$62:N$63)&gt;0,'Key inputs_EB_TRF'!N62/SUM('Key inputs_EB_TRF'!N$62:N$63)&lt;0.001),0.001,'Key inputs_EB_TRF'!N62/SUM('Key inputs_EB_TRF'!N$62:N$63)),0)</f>
        <v>0.22298994974874373</v>
      </c>
      <c r="V30" s="335">
        <f>IFERROR(IF(AND('Key inputs_EB_TRF'!O62/(SUM('Key inputs_EB_TRF'!O$62:O$63)+'Key inputs_EB_MIN'!K47)&gt;0,'Key inputs_EB_TRF'!O62/(SUM('Key inputs_EB_TRF'!O$62:O$63)+'Key inputs_EB_MIN'!K47)&lt;0.001),0.001,'Key inputs_EB_TRF'!O62/(SUM('Key inputs_EB_TRF'!O$62:O$63)+'Key inputs_EB_MIN'!K47)),0)</f>
        <v>0.11892901726565364</v>
      </c>
      <c r="W30" s="173">
        <f>IFERROR(IF(AND('Key inputs_EB_TRF'!P62/SUM('Key inputs_EB_TRF'!P$62:P$63)&gt;0,'Key inputs_EB_TRF'!P62/SUM('Key inputs_EB_TRF'!P$62:P$63)&lt;0.001),0.001,'Key inputs_EB_TRF'!P62/SUM('Key inputs_EB_TRF'!P$62:P$63)),0)</f>
        <v>0.20526863724417854</v>
      </c>
      <c r="X30" s="173">
        <f>IFERROR(IF(AND('Key inputs_EB_TRF'!Q62/SUM('Key inputs_EB_TRF'!Q$62:Q$63)&gt;0,'Key inputs_EB_TRF'!Q62/SUM('Key inputs_EB_TRF'!Q$62:Q$63)&lt;0.001),0.001,'Key inputs_EB_TRF'!Q62/SUM('Key inputs_EB_TRF'!Q$62:Q$63)),0)</f>
        <v>0.25391043094545113</v>
      </c>
      <c r="Y30" s="335">
        <f>IFERROR(IF(AND('Key inputs_EB_TRF'!R62/(SUM('Key inputs_EB_TRF'!R$62:R$63)+'Key inputs_EB_MIN'!R47)&gt;0,'Key inputs_EB_TRF'!R62/(SUM('Key inputs_EB_TRF'!R$62:R$63)+'Key inputs_EB_MIN'!R47)&lt;0.001),0.001,'Key inputs_EB_TRF'!R62/(SUM('Key inputs_EB_TRF'!R$62:R$63)+'Key inputs_EB_MIN'!R47)),0)</f>
        <v>0.22336021247500654</v>
      </c>
      <c r="Z30" s="173">
        <f>IFERROR(IF(AND('Key inputs_EB_TRF'!S62/SUM('Key inputs_EB_TRF'!S$62:S$63)&gt;0,'Key inputs_EB_TRF'!S62/SUM('Key inputs_EB_TRF'!S$62:S$63)&lt;0.001),0.001,'Key inputs_EB_TRF'!S62/SUM('Key inputs_EB_TRF'!S$62:S$63)),0)</f>
        <v>0.12338272652570183</v>
      </c>
      <c r="AA30" s="173">
        <f>IFERROR(IF(AND('Key inputs_EB_TRF'!T62/SUM('Key inputs_EB_TRF'!T$62:T$63)&gt;0,'Key inputs_EB_TRF'!T62/SUM('Key inputs_EB_TRF'!T$62:T$63)&lt;0.001),0.001,'Key inputs_EB_TRF'!T62/SUM('Key inputs_EB_TRF'!T$62:T$63)),0)</f>
        <v>0.20239300935981927</v>
      </c>
      <c r="AB30" s="173">
        <f>IFERROR(IF(AND('Key inputs_EB_TRF'!U62/SUM('Key inputs_EB_TRF'!U$62:U$63)&gt;0,'Key inputs_EB_TRF'!U62/SUM('Key inputs_EB_TRF'!U$62:U$63)&lt;0.001),0.001,'Key inputs_EB_TRF'!U62/SUM('Key inputs_EB_TRF'!U$62:U$63)),0)</f>
        <v>0</v>
      </c>
      <c r="AC30" s="173">
        <f>IFERROR(IF(AND('Key inputs_EB_TRF'!V62/SUM('Key inputs_EB_TRF'!V$62:V$63)&gt;0,'Key inputs_EB_TRF'!V62/SUM('Key inputs_EB_TRF'!V$62:V$63)&lt;0.001),0.001,'Key inputs_EB_TRF'!V62/SUM('Key inputs_EB_TRF'!V$62:V$63)),0)</f>
        <v>0.15236912148274756</v>
      </c>
      <c r="AD30" s="173">
        <f>IFERROR(IF(AND('Key inputs_EB_TRF'!W62/SUM('Key inputs_EB_TRF'!W$62:W$63)&gt;0,'Key inputs_EB_TRF'!W62/SUM('Key inputs_EB_TRF'!W$62:W$63)&lt;0.001),0.001,'Key inputs_EB_TRF'!W62/SUM('Key inputs_EB_TRF'!W$62:W$63)),0)</f>
        <v>0.24205631661387672</v>
      </c>
      <c r="AE30" s="173">
        <f>IFERROR(IF(AND('Key inputs_EB_TRF'!X62/SUM('Key inputs_EB_TRF'!X$62:X$63)&gt;0,'Key inputs_EB_TRF'!X62/SUM('Key inputs_EB_TRF'!X$62:X$63)&lt;0.001),0.001,'Key inputs_EB_TRF'!X62/SUM('Key inputs_EB_TRF'!X$62:X$63)),0)</f>
        <v>2.9236449495943239E-2</v>
      </c>
      <c r="AF30" s="173">
        <f>IFERROR(IF(AND('Key inputs_EB_TRF'!Y62/SUM('Key inputs_EB_TRF'!Y$62:Y$63)&gt;0,'Key inputs_EB_TRF'!Y62/SUM('Key inputs_EB_TRF'!Y$62:Y$63)&lt;0.001),0.001,'Key inputs_EB_TRF'!Y62/SUM('Key inputs_EB_TRF'!Y$62:Y$63)),0)</f>
        <v>0.23900080259483553</v>
      </c>
      <c r="AG30" s="173">
        <f>IFERROR(IF(AND('Key inputs_EB_TRF'!Z62/SUM('Key inputs_EB_TRF'!Z$62:Z$63)&gt;0,'Key inputs_EB_TRF'!Z62/SUM('Key inputs_EB_TRF'!Z$62:Z$63)&lt;0.001),0.001,'Key inputs_EB_TRF'!Z62/SUM('Key inputs_EB_TRF'!Z$62:Z$63)),0)</f>
        <v>0.13174592683168643</v>
      </c>
      <c r="AH30" s="173">
        <f>IFERROR(IF(AND('Key inputs_EB_TRF'!AA62/SUM('Key inputs_EB_TRF'!AA$62:AA$63)&gt;0,'Key inputs_EB_TRF'!AA62/SUM('Key inputs_EB_TRF'!AA$62:AA$63)&lt;0.001),0.001,'Key inputs_EB_TRF'!AA62/SUM('Key inputs_EB_TRF'!AA$62:AA$63)),0)</f>
        <v>0.23093049508143848</v>
      </c>
      <c r="AI30" s="173">
        <f>IFERROR(IF(AND('Key inputs_EB_TRF'!AB62/SUM('Key inputs_EB_TRF'!AB$62:AB$63)&gt;0,'Key inputs_EB_TRF'!AB62/SUM('Key inputs_EB_TRF'!AB$62:AB$63)&lt;0.001),0.001,'Key inputs_EB_TRF'!AB62/SUM('Key inputs_EB_TRF'!AB$62:AB$63)),0)</f>
        <v>0</v>
      </c>
      <c r="AJ30" s="173">
        <f>IFERROR(IF(AND('Key inputs_EB_TRF'!AC62/SUM('Key inputs_EB_TRF'!AC$62:AC$63)&gt;0,'Key inputs_EB_TRF'!AC62/SUM('Key inputs_EB_TRF'!AC$62:AC$63)&lt;0.001),0.001,'Key inputs_EB_TRF'!AC62/SUM('Key inputs_EB_TRF'!AC$62:AC$63)),0)</f>
        <v>0.17957266366462568</v>
      </c>
      <c r="AK30" s="173">
        <f>IFERROR(IF(AND('Key inputs_EB_TRF'!AD62/SUM('Key inputs_EB_TRF'!AD$62:AD$63)&gt;0,'Key inputs_EB_TRF'!AD62/SUM('Key inputs_EB_TRF'!AD$62:AD$63)&lt;0.001),0.001,'Key inputs_EB_TRF'!AD62/SUM('Key inputs_EB_TRF'!AD$62:AD$63)),0)</f>
        <v>0.24821273055775805</v>
      </c>
      <c r="AL30" s="173">
        <f>IFERROR(IF(AND('Key inputs_EB_TRF'!AE62/SUM('Key inputs_EB_TRF'!AE$62:AE$63)&gt;0,'Key inputs_EB_TRF'!AE62/SUM('Key inputs_EB_TRF'!AE$62:AE$63)&lt;0.001),0.001,'Key inputs_EB_TRF'!AE62/SUM('Key inputs_EB_TRF'!AE$62:AE$63)),0)</f>
        <v>0.15314767247983416</v>
      </c>
    </row>
    <row r="31" spans="1:47">
      <c r="D31" t="str">
        <f>Commodities!$C$30</f>
        <v>COACOK</v>
      </c>
      <c r="G31" s="4" t="s">
        <v>705</v>
      </c>
      <c r="H31" t="s">
        <v>661</v>
      </c>
      <c r="I31">
        <v>2019</v>
      </c>
      <c r="J31" s="4" t="s">
        <v>650</v>
      </c>
      <c r="K31" s="173">
        <f>1-K30</f>
        <v>1</v>
      </c>
      <c r="L31" s="173">
        <f t="shared" ref="L31:AL31" si="0">1-L30</f>
        <v>1</v>
      </c>
      <c r="M31" s="173">
        <f t="shared" si="0"/>
        <v>1</v>
      </c>
      <c r="N31" s="173">
        <f t="shared" si="0"/>
        <v>0.72325907298992842</v>
      </c>
      <c r="O31" s="173">
        <f t="shared" si="0"/>
        <v>0.76078130249076159</v>
      </c>
      <c r="P31" s="173">
        <f t="shared" si="0"/>
        <v>0.82323016154476414</v>
      </c>
      <c r="Q31" s="173">
        <f t="shared" si="0"/>
        <v>1</v>
      </c>
      <c r="R31" s="173">
        <f t="shared" si="0"/>
        <v>1</v>
      </c>
      <c r="S31" s="173">
        <f t="shared" si="0"/>
        <v>0.77172450821896788</v>
      </c>
      <c r="T31" s="173">
        <f t="shared" si="0"/>
        <v>0.72704842653029189</v>
      </c>
      <c r="U31" s="173">
        <f t="shared" si="0"/>
        <v>0.77701005025125625</v>
      </c>
      <c r="V31" s="173">
        <f t="shared" si="0"/>
        <v>0.88107098273434636</v>
      </c>
      <c r="W31" s="173">
        <f t="shared" si="0"/>
        <v>0.79473136275582146</v>
      </c>
      <c r="X31" s="173">
        <f t="shared" si="0"/>
        <v>0.74608956905454882</v>
      </c>
      <c r="Y31" s="173">
        <f t="shared" si="0"/>
        <v>0.77663978752499352</v>
      </c>
      <c r="Z31" s="173">
        <f t="shared" si="0"/>
        <v>0.87661727347429819</v>
      </c>
      <c r="AA31" s="173">
        <f t="shared" si="0"/>
        <v>0.7976069906401807</v>
      </c>
      <c r="AB31" s="173">
        <f t="shared" si="0"/>
        <v>1</v>
      </c>
      <c r="AC31" s="173">
        <f t="shared" si="0"/>
        <v>0.84763087851725238</v>
      </c>
      <c r="AD31" s="173">
        <f t="shared" si="0"/>
        <v>0.75794368338612328</v>
      </c>
      <c r="AE31" s="173">
        <f t="shared" si="0"/>
        <v>0.97076355050405672</v>
      </c>
      <c r="AF31" s="173">
        <f t="shared" si="0"/>
        <v>0.76099919740516442</v>
      </c>
      <c r="AG31" s="173">
        <f t="shared" si="0"/>
        <v>0.8682540731683136</v>
      </c>
      <c r="AH31" s="173">
        <f t="shared" si="0"/>
        <v>0.76906950491856152</v>
      </c>
      <c r="AI31" s="173">
        <f t="shared" si="0"/>
        <v>1</v>
      </c>
      <c r="AJ31" s="173">
        <f t="shared" si="0"/>
        <v>0.82042733633537435</v>
      </c>
      <c r="AK31" s="173">
        <f t="shared" si="0"/>
        <v>0.75178726944224195</v>
      </c>
      <c r="AL31" s="173">
        <f t="shared" si="0"/>
        <v>0.84685232752016582</v>
      </c>
    </row>
    <row r="32" spans="1:47">
      <c r="E32" s="4" t="s">
        <v>359</v>
      </c>
      <c r="F32" s="4" t="s">
        <v>691</v>
      </c>
      <c r="G32" s="4" t="s">
        <v>692</v>
      </c>
      <c r="J32" s="4" t="s">
        <v>2664</v>
      </c>
      <c r="K32" s="173" t="str">
        <f>IFERROR(K12/(-SUM('Key inputs_EB_OWN'!E$505:E$524)/1000),"")</f>
        <v/>
      </c>
      <c r="L32" s="173" t="str">
        <f>IFERROR(L12/(-SUM('Key inputs_EB_OWN'!F$505:F$524)/1000),"")</f>
        <v/>
      </c>
      <c r="M32" s="173" t="str">
        <f>IFERROR(M12/(-SUM('Key inputs_EB_OWN'!G$505:G$524)/1000),"")</f>
        <v/>
      </c>
      <c r="N32" s="173">
        <f>IFERROR(N12/(-SUM('Key inputs_EB_OWN'!H$505:H$524)/1000),"")</f>
        <v>99.159740259740246</v>
      </c>
      <c r="O32" s="173">
        <f>IFERROR(O12/(-SUM('Key inputs_EB_OWN'!I$505:I$524)/1000),"")</f>
        <v>4.694872797659448</v>
      </c>
      <c r="P32" s="173">
        <f>IFERROR(P12/(-SUM('Key inputs_EB_OWN'!J$505:J$524)/1000),"")</f>
        <v>5.6570736769283982</v>
      </c>
      <c r="Q32" s="173" t="str">
        <f>IFERROR(Q12/(-SUM('Key inputs_EB_OWN'!K$505:K$524)/1000),"")</f>
        <v/>
      </c>
      <c r="R32" s="173" t="str">
        <f>IFERROR(R12/(-SUM('Key inputs_EB_OWN'!L$505:L$524)/1000),"")</f>
        <v/>
      </c>
      <c r="S32" s="173">
        <f>IFERROR(S12/(-SUM('Key inputs_EB_OWN'!M$505:M$524)/1000),"")</f>
        <v>40.692917166866749</v>
      </c>
      <c r="T32" s="173" t="str">
        <f>IFERROR(T12/(-SUM('Key inputs_EB_OWN'!N$505:N$524)/1000),"")</f>
        <v/>
      </c>
      <c r="U32" s="173" t="str">
        <f>IFERROR(U12/(-SUM('Key inputs_EB_OWN'!O$505:O$524)/1000),"")</f>
        <v/>
      </c>
      <c r="V32" s="173">
        <f>IFERROR(V12/(-SUM('Key inputs_EB_OWN'!P$505:P$524)/1000),"")</f>
        <v>16.439494141662831</v>
      </c>
      <c r="W32" s="173">
        <f>IFERROR(W12/(-SUM('Key inputs_EB_OWN'!Q$505:Q$524)/1000),"")</f>
        <v>12.256259148960838</v>
      </c>
      <c r="X32" s="173">
        <f>IFERROR(X12/(-SUM('Key inputs_EB_OWN'!R$505:R$524)/1000),"")</f>
        <v>6.2002069266161852</v>
      </c>
      <c r="Y32" s="173">
        <f>IFERROR(Y12/(-SUM('Key inputs_EB_OWN'!S$505:S$524)/1000),"")</f>
        <v>7.3436239703766866</v>
      </c>
      <c r="Z32" s="173">
        <f>IFERROR(Z12/(-SUM('Key inputs_EB_OWN'!T$505:T$524)/1000),"")</f>
        <v>9.2189014236854643</v>
      </c>
      <c r="AA32" s="173">
        <f>IFERROR(AA12/(-SUM('Key inputs_EB_OWN'!U$505:U$524)/1000),"")</f>
        <v>11.605243302293829</v>
      </c>
      <c r="AB32" s="173" t="str">
        <f>IFERROR(AB12/(-SUM('Key inputs_EB_OWN'!V$505:V$524)/1000),"")</f>
        <v/>
      </c>
      <c r="AC32" s="173">
        <f>IFERROR(AC12/(-SUM('Key inputs_EB_OWN'!W$505:W$524)/1000),"")</f>
        <v>21.760332721599763</v>
      </c>
      <c r="AD32" s="173">
        <f>IFERROR(AD12/(-SUM('Key inputs_EB_OWN'!X$505:X$524)/1000),"")</f>
        <v>9.6147933836424748</v>
      </c>
      <c r="AE32" s="173">
        <f>IFERROR(AE12/(-SUM('Key inputs_EB_OWN'!Y$505:Y$524)/1000),"")</f>
        <v>49.483963344788087</v>
      </c>
      <c r="AF32" s="173">
        <f>IFERROR(AF12/(-SUM('Key inputs_EB_OWN'!Z$505:Z$524)/1000),"")</f>
        <v>8.3012983760001262</v>
      </c>
      <c r="AG32" s="173">
        <f>IFERROR(AG12/(-SUM('Key inputs_EB_OWN'!AA$505:AA$524)/1000),"")</f>
        <v>8.7685185435394661</v>
      </c>
      <c r="AH32" s="173">
        <f>IFERROR(AH12/(-SUM('Key inputs_EB_OWN'!AB$505:AB$524)/1000),"")</f>
        <v>23.607868020304569</v>
      </c>
      <c r="AI32" s="173" t="str">
        <f>IFERROR(AI12/(-SUM('Key inputs_EB_OWN'!AC$505:AC$524)/1000),"")</f>
        <v/>
      </c>
      <c r="AJ32" s="173">
        <f>IFERROR(AJ12/(-SUM('Key inputs_EB_OWN'!AD$505:AD$524)/1000),"")</f>
        <v>34.755468886177439</v>
      </c>
      <c r="AK32" s="173">
        <f>IFERROR(AK12/(-SUM('Key inputs_EB_OWN'!AE$505:AE$524)/1000),"")</f>
        <v>9.7434322873995445</v>
      </c>
      <c r="AL32" s="173">
        <f>IFERROR(AL12/(-SUM('Key inputs_EB_OWN'!AF$505:AF$524)/1000),"")</f>
        <v>17.185273394431878</v>
      </c>
    </row>
    <row r="33" spans="1:38">
      <c r="C33" t="str">
        <f>Commodities!$C$83</f>
        <v>UPSBFG</v>
      </c>
      <c r="E33" s="4"/>
      <c r="F33" s="4" t="s">
        <v>359</v>
      </c>
      <c r="G33" s="4" t="s">
        <v>702</v>
      </c>
      <c r="H33" t="s">
        <v>661</v>
      </c>
      <c r="I33">
        <v>2019</v>
      </c>
      <c r="J33" s="4" t="s">
        <v>650</v>
      </c>
      <c r="K33" s="173" t="str">
        <f>IFERROR(IF(AND(SUMIFS('Key inputs_EB_OWN'!E$505:E$524,'Key inputs_EB_OWN'!$C$505:$C$524,$C33)/SUM('Key inputs_EB_OWN'!E$505:E$524)&gt;0,SUMIFS('Key inputs_EB_OWN'!E$505:E$524,'Key inputs_EB_OWN'!$C$505:$C$524,$C33)/SUM('Key inputs_EB_OWN'!E$505:E$524)&lt;0.001),0.001,SUMIFS('Key inputs_EB_OWN'!E$505:E$524,'Key inputs_EB_OWN'!$C$505:$C$524,$C33)/SUM('Key inputs_EB_OWN'!E$505:E$524)),"")</f>
        <v/>
      </c>
      <c r="L33" s="173" t="str">
        <f>IFERROR(IF(AND(SUMIFS('Key inputs_EB_OWN'!F$505:F$524,'Key inputs_EB_OWN'!$C$505:$C$524,$C33)/SUM('Key inputs_EB_OWN'!F$505:F$524)&gt;0,SUMIFS('Key inputs_EB_OWN'!F$505:F$524,'Key inputs_EB_OWN'!$C$505:$C$524,$C33)/SUM('Key inputs_EB_OWN'!F$505:F$524)&lt;0.001),0.001,SUMIFS('Key inputs_EB_OWN'!F$505:F$524,'Key inputs_EB_OWN'!$C$505:$C$524,$C33)/SUM('Key inputs_EB_OWN'!F$505:F$524)),"")</f>
        <v/>
      </c>
      <c r="M33" s="173" t="str">
        <f>IFERROR(IF(AND(SUMIFS('Key inputs_EB_OWN'!G$505:G$524,'Key inputs_EB_OWN'!$C$505:$C$524,$C33)/SUM('Key inputs_EB_OWN'!G$505:G$524)&gt;0,SUMIFS('Key inputs_EB_OWN'!G$505:G$524,'Key inputs_EB_OWN'!$C$505:$C$524,$C33)/SUM('Key inputs_EB_OWN'!G$505:G$524)&lt;0.001),0.001,SUMIFS('Key inputs_EB_OWN'!G$505:G$524,'Key inputs_EB_OWN'!$C$505:$C$524,$C33)/SUM('Key inputs_EB_OWN'!G$505:G$524)),"")</f>
        <v/>
      </c>
      <c r="N33" s="173">
        <f>IFERROR(IF(AND(SUMIFS('Key inputs_EB_OWN'!H$505:H$524,'Key inputs_EB_OWN'!$C$505:$C$524,$C33)/SUM('Key inputs_EB_OWN'!H$505:H$524)&gt;0,SUMIFS('Key inputs_EB_OWN'!H$505:H$524,'Key inputs_EB_OWN'!$C$505:$C$524,$C33)/SUM('Key inputs_EB_OWN'!H$505:H$524)&lt;0.001),0.001,SUMIFS('Key inputs_EB_OWN'!H$505:H$524,'Key inputs_EB_OWN'!$C$505:$C$524,$C33)/SUM('Key inputs_EB_OWN'!H$505:H$524)),"")</f>
        <v>0</v>
      </c>
      <c r="O33" s="173">
        <f>IFERROR(IF(AND(SUMIFS('Key inputs_EB_OWN'!I$505:I$524,'Key inputs_EB_OWN'!$C$505:$C$524,$C33)/SUM('Key inputs_EB_OWN'!I$505:I$524)&gt;0,SUMIFS('Key inputs_EB_OWN'!I$505:I$524,'Key inputs_EB_OWN'!$C$505:$C$524,$C33)/SUM('Key inputs_EB_OWN'!I$505:I$524)&lt;0.001),0.001,SUMIFS('Key inputs_EB_OWN'!I$505:I$524,'Key inputs_EB_OWN'!$C$505:$C$524,$C33)/SUM('Key inputs_EB_OWN'!I$505:I$524)),"")</f>
        <v>1.5467330856208236E-2</v>
      </c>
      <c r="P33" s="173">
        <f>IFERROR(IF(AND(SUMIFS('Key inputs_EB_OWN'!J$505:J$524,'Key inputs_EB_OWN'!$C$505:$C$524,$C33)/SUM('Key inputs_EB_OWN'!J$505:J$524)&gt;0,SUMIFS('Key inputs_EB_OWN'!J$505:J$524,'Key inputs_EB_OWN'!$C$505:$C$524,$C33)/SUM('Key inputs_EB_OWN'!J$505:J$524)&lt;0.001),0.001,SUMIFS('Key inputs_EB_OWN'!J$505:J$524,'Key inputs_EB_OWN'!$C$505:$C$524,$C33)/SUM('Key inputs_EB_OWN'!J$505:J$524)),"")</f>
        <v>0</v>
      </c>
      <c r="Q33" s="173" t="str">
        <f>IFERROR(IF(AND(SUMIFS('Key inputs_EB_OWN'!K$505:K$524,'Key inputs_EB_OWN'!$C$505:$C$524,$C33)/SUM('Key inputs_EB_OWN'!K$505:K$524)&gt;0,SUMIFS('Key inputs_EB_OWN'!K$505:K$524,'Key inputs_EB_OWN'!$C$505:$C$524,$C33)/SUM('Key inputs_EB_OWN'!K$505:K$524)&lt;0.001),0.001,SUMIFS('Key inputs_EB_OWN'!K$505:K$524,'Key inputs_EB_OWN'!$C$505:$C$524,$C33)/SUM('Key inputs_EB_OWN'!K$505:K$524)),"")</f>
        <v/>
      </c>
      <c r="R33" s="173" t="str">
        <f>IFERROR(IF(AND(SUMIFS('Key inputs_EB_OWN'!L$505:L$524,'Key inputs_EB_OWN'!$C$505:$C$524,$C33)/SUM('Key inputs_EB_OWN'!L$505:L$524)&gt;0,SUMIFS('Key inputs_EB_OWN'!L$505:L$524,'Key inputs_EB_OWN'!$C$505:$C$524,$C33)/SUM('Key inputs_EB_OWN'!L$505:L$524)&lt;0.001),0.001,SUMIFS('Key inputs_EB_OWN'!L$505:L$524,'Key inputs_EB_OWN'!$C$505:$C$524,$C33)/SUM('Key inputs_EB_OWN'!L$505:L$524)),"")</f>
        <v/>
      </c>
      <c r="S33" s="173">
        <f>IFERROR(IF(AND(SUMIFS('Key inputs_EB_OWN'!M$505:M$524,'Key inputs_EB_OWN'!$C$505:$C$524,$C33)/SUM('Key inputs_EB_OWN'!M$505:M$524)&gt;0,SUMIFS('Key inputs_EB_OWN'!M$505:M$524,'Key inputs_EB_OWN'!$C$505:$C$524,$C33)/SUM('Key inputs_EB_OWN'!M$505:M$524)&lt;0.001),0.001,SUMIFS('Key inputs_EB_OWN'!M$505:M$524,'Key inputs_EB_OWN'!$C$505:$C$524,$C33)/SUM('Key inputs_EB_OWN'!M$505:M$524)),"")</f>
        <v>0</v>
      </c>
      <c r="T33" s="173" t="str">
        <f>IFERROR(IF(AND(SUMIFS('Key inputs_EB_OWN'!N$505:N$524,'Key inputs_EB_OWN'!$C$505:$C$524,$C33)/SUM('Key inputs_EB_OWN'!N$505:N$524)&gt;0,SUMIFS('Key inputs_EB_OWN'!N$505:N$524,'Key inputs_EB_OWN'!$C$505:$C$524,$C33)/SUM('Key inputs_EB_OWN'!N$505:N$524)&lt;0.001),0.001,SUMIFS('Key inputs_EB_OWN'!N$505:N$524,'Key inputs_EB_OWN'!$C$505:$C$524,$C33)/SUM('Key inputs_EB_OWN'!N$505:N$524)),"")</f>
        <v/>
      </c>
      <c r="U33" s="173" t="str">
        <f>IFERROR(IF(AND(SUMIFS('Key inputs_EB_OWN'!O$505:O$524,'Key inputs_EB_OWN'!$C$505:$C$524,$C33)/SUM('Key inputs_EB_OWN'!O$505:O$524)&gt;0,SUMIFS('Key inputs_EB_OWN'!O$505:O$524,'Key inputs_EB_OWN'!$C$505:$C$524,$C33)/SUM('Key inputs_EB_OWN'!O$505:O$524)&lt;0.001),0.001,SUMIFS('Key inputs_EB_OWN'!O$505:O$524,'Key inputs_EB_OWN'!$C$505:$C$524,$C33)/SUM('Key inputs_EB_OWN'!O$505:O$524)),"")</f>
        <v/>
      </c>
      <c r="V33" s="173">
        <f>IFERROR(IF(AND(SUMIFS('Key inputs_EB_OWN'!P$505:P$524,'Key inputs_EB_OWN'!$C$505:$C$524,$C33)/SUM('Key inputs_EB_OWN'!P$505:P$524)&gt;0,SUMIFS('Key inputs_EB_OWN'!P$505:P$524,'Key inputs_EB_OWN'!$C$505:$C$524,$C33)/SUM('Key inputs_EB_OWN'!P$505:P$524)&lt;0.001),0.001,SUMIFS('Key inputs_EB_OWN'!P$505:P$524,'Key inputs_EB_OWN'!$C$505:$C$524,$C33)/SUM('Key inputs_EB_OWN'!P$505:P$524)),"")</f>
        <v>0</v>
      </c>
      <c r="W33" s="173">
        <f>IFERROR(IF(AND(SUMIFS('Key inputs_EB_OWN'!Q$505:Q$524,'Key inputs_EB_OWN'!$C$505:$C$524,$C33)/SUM('Key inputs_EB_OWN'!Q$505:Q$524)&gt;0,SUMIFS('Key inputs_EB_OWN'!Q$505:Q$524,'Key inputs_EB_OWN'!$C$505:$C$524,$C33)/SUM('Key inputs_EB_OWN'!Q$505:Q$524)&lt;0.001),0.001,SUMIFS('Key inputs_EB_OWN'!Q$505:Q$524,'Key inputs_EB_OWN'!$C$505:$C$524,$C33)/SUM('Key inputs_EB_OWN'!Q$505:Q$524)),"")</f>
        <v>0</v>
      </c>
      <c r="X33" s="173">
        <f>IFERROR(IF(AND(SUMIFS('Key inputs_EB_OWN'!R$505:R$524,'Key inputs_EB_OWN'!$C$505:$C$524,$C33)/SUM('Key inputs_EB_OWN'!R$505:R$524)&gt;0,SUMIFS('Key inputs_EB_OWN'!R$505:R$524,'Key inputs_EB_OWN'!$C$505:$C$524,$C33)/SUM('Key inputs_EB_OWN'!R$505:R$524)&lt;0.001),0.001,SUMIFS('Key inputs_EB_OWN'!R$505:R$524,'Key inputs_EB_OWN'!$C$505:$C$524,$C33)/SUM('Key inputs_EB_OWN'!R$505:R$524)),"")</f>
        <v>0.23499039965468999</v>
      </c>
      <c r="Y33" s="173">
        <f>IFERROR(IF(AND(SUMIFS('Key inputs_EB_OWN'!S$505:S$524,'Key inputs_EB_OWN'!$C$505:$C$524,$C33)/SUM('Key inputs_EB_OWN'!S$505:S$524)&gt;0,SUMIFS('Key inputs_EB_OWN'!S$505:S$524,'Key inputs_EB_OWN'!$C$505:$C$524,$C33)/SUM('Key inputs_EB_OWN'!S$505:S$524)&lt;0.001),0.001,SUMIFS('Key inputs_EB_OWN'!S$505:S$524,'Key inputs_EB_OWN'!$C$505:$C$524,$C33)/SUM('Key inputs_EB_OWN'!S$505:S$524)),"")</f>
        <v>8.5271330020212352E-2</v>
      </c>
      <c r="Z33" s="173">
        <f>IFERROR(IF(AND(SUMIFS('Key inputs_EB_OWN'!T$505:T$524,'Key inputs_EB_OWN'!$C$505:$C$524,$C33)/SUM('Key inputs_EB_OWN'!T$505:T$524)&gt;0,SUMIFS('Key inputs_EB_OWN'!T$505:T$524,'Key inputs_EB_OWN'!$C$505:$C$524,$C33)/SUM('Key inputs_EB_OWN'!T$505:T$524)&lt;0.001),0.001,SUMIFS('Key inputs_EB_OWN'!T$505:T$524,'Key inputs_EB_OWN'!$C$505:$C$524,$C33)/SUM('Key inputs_EB_OWN'!T$505:T$524)),"")</f>
        <v>0.64823377597470289</v>
      </c>
      <c r="AA33" s="173">
        <f>IFERROR(IF(AND(SUMIFS('Key inputs_EB_OWN'!U$505:U$524,'Key inputs_EB_OWN'!$C$505:$C$524,$C33)/SUM('Key inputs_EB_OWN'!U$505:U$524)&gt;0,SUMIFS('Key inputs_EB_OWN'!U$505:U$524,'Key inputs_EB_OWN'!$C$505:$C$524,$C33)/SUM('Key inputs_EB_OWN'!U$505:U$524)&lt;0.001),0.001,SUMIFS('Key inputs_EB_OWN'!U$505:U$524,'Key inputs_EB_OWN'!$C$505:$C$524,$C33)/SUM('Key inputs_EB_OWN'!U$505:U$524)),"")</f>
        <v>0.42200790983946612</v>
      </c>
      <c r="AB33" s="173" t="str">
        <f>IFERROR(IF(AND(SUMIFS('Key inputs_EB_OWN'!V$505:V$524,'Key inputs_EB_OWN'!$C$505:$C$524,$C33)/SUM('Key inputs_EB_OWN'!V$505:V$524)&gt;0,SUMIFS('Key inputs_EB_OWN'!V$505:V$524,'Key inputs_EB_OWN'!$C$505:$C$524,$C33)/SUM('Key inputs_EB_OWN'!V$505:V$524)&lt;0.001),0.001,SUMIFS('Key inputs_EB_OWN'!V$505:V$524,'Key inputs_EB_OWN'!$C$505:$C$524,$C33)/SUM('Key inputs_EB_OWN'!V$505:V$524)),"")</f>
        <v/>
      </c>
      <c r="AC33" s="173">
        <f>IFERROR(IF(AND(SUMIFS('Key inputs_EB_OWN'!W$505:W$524,'Key inputs_EB_OWN'!$C$505:$C$524,$C33)/SUM('Key inputs_EB_OWN'!W$505:W$524)&gt;0,SUMIFS('Key inputs_EB_OWN'!W$505:W$524,'Key inputs_EB_OWN'!$C$505:$C$524,$C33)/SUM('Key inputs_EB_OWN'!W$505:W$524)&lt;0.001),0.001,SUMIFS('Key inputs_EB_OWN'!W$505:W$524,'Key inputs_EB_OWN'!$C$505:$C$524,$C33)/SUM('Key inputs_EB_OWN'!W$505:W$524)),"")</f>
        <v>0</v>
      </c>
      <c r="AD33" s="173">
        <f>IFERROR(IF(AND(SUMIFS('Key inputs_EB_OWN'!X$505:X$524,'Key inputs_EB_OWN'!$C$505:$C$524,$C33)/SUM('Key inputs_EB_OWN'!X$505:X$524)&gt;0,SUMIFS('Key inputs_EB_OWN'!X$505:X$524,'Key inputs_EB_OWN'!$C$505:$C$524,$C33)/SUM('Key inputs_EB_OWN'!X$505:X$524)&lt;0.001),0.001,SUMIFS('Key inputs_EB_OWN'!X$505:X$524,'Key inputs_EB_OWN'!$C$505:$C$524,$C33)/SUM('Key inputs_EB_OWN'!X$505:X$524)),"")</f>
        <v>0.44708811324420039</v>
      </c>
      <c r="AE33" s="173">
        <f>IFERROR(IF(AND(SUMIFS('Key inputs_EB_OWN'!Y$505:Y$524,'Key inputs_EB_OWN'!$C$505:$C$524,$C33)/SUM('Key inputs_EB_OWN'!Y$505:Y$524)&gt;0,SUMIFS('Key inputs_EB_OWN'!Y$505:Y$524,'Key inputs_EB_OWN'!$C$505:$C$524,$C33)/SUM('Key inputs_EB_OWN'!Y$505:Y$524)&lt;0.001),0.001,SUMIFS('Key inputs_EB_OWN'!Y$505:Y$524,'Key inputs_EB_OWN'!$C$505:$C$524,$C33)/SUM('Key inputs_EB_OWN'!Y$505:Y$524)),"")</f>
        <v>0</v>
      </c>
      <c r="AF33" s="173">
        <f>IFERROR(IF(AND(SUMIFS('Key inputs_EB_OWN'!Z$505:Z$524,'Key inputs_EB_OWN'!$C$505:$C$524,$C33)/SUM('Key inputs_EB_OWN'!Z$505:Z$524)&gt;0,SUMIFS('Key inputs_EB_OWN'!Z$505:Z$524,'Key inputs_EB_OWN'!$C$505:$C$524,$C33)/SUM('Key inputs_EB_OWN'!Z$505:Z$524)&lt;0.001),0.001,SUMIFS('Key inputs_EB_OWN'!Z$505:Z$524,'Key inputs_EB_OWN'!$C$505:$C$524,$C33)/SUM('Key inputs_EB_OWN'!Z$505:Z$524)),"")</f>
        <v>0.50298716011312072</v>
      </c>
      <c r="AG33" s="173">
        <f>IFERROR(IF(AND(SUMIFS('Key inputs_EB_OWN'!AA$505:AA$524,'Key inputs_EB_OWN'!$C$505:$C$524,$C33)/SUM('Key inputs_EB_OWN'!AA$505:AA$524)&gt;0,SUMIFS('Key inputs_EB_OWN'!AA$505:AA$524,'Key inputs_EB_OWN'!$C$505:$C$524,$C33)/SUM('Key inputs_EB_OWN'!AA$505:AA$524)&lt;0.001),0.001,SUMIFS('Key inputs_EB_OWN'!AA$505:AA$524,'Key inputs_EB_OWN'!$C$505:$C$524,$C33)/SUM('Key inputs_EB_OWN'!AA$505:AA$524)),"")</f>
        <v>0.59477789453104057</v>
      </c>
      <c r="AH33" s="173">
        <f>IFERROR(IF(AND(SUMIFS('Key inputs_EB_OWN'!AB$505:AB$524,'Key inputs_EB_OWN'!$C$505:$C$524,$C33)/SUM('Key inputs_EB_OWN'!AB$505:AB$524)&gt;0,SUMIFS('Key inputs_EB_OWN'!AB$505:AB$524,'Key inputs_EB_OWN'!$C$505:$C$524,$C33)/SUM('Key inputs_EB_OWN'!AB$505:AB$524)&lt;0.001),0.001,SUMIFS('Key inputs_EB_OWN'!AB$505:AB$524,'Key inputs_EB_OWN'!$C$505:$C$524,$C33)/SUM('Key inputs_EB_OWN'!AB$505:AB$524)),"")</f>
        <v>0</v>
      </c>
      <c r="AI33" s="173" t="str">
        <f>IFERROR(IF(AND(SUMIFS('Key inputs_EB_OWN'!AC$505:AC$524,'Key inputs_EB_OWN'!$C$505:$C$524,$C33)/SUM('Key inputs_EB_OWN'!AC$505:AC$524)&gt;0,SUMIFS('Key inputs_EB_OWN'!AC$505:AC$524,'Key inputs_EB_OWN'!$C$505:$C$524,$C33)/SUM('Key inputs_EB_OWN'!AC$505:AC$524)&lt;0.001),0.001,SUMIFS('Key inputs_EB_OWN'!AC$505:AC$524,'Key inputs_EB_OWN'!$C$505:$C$524,$C33)/SUM('Key inputs_EB_OWN'!AC$505:AC$524)),"")</f>
        <v/>
      </c>
      <c r="AJ33" s="173">
        <f>IFERROR(IF(AND(SUMIFS('Key inputs_EB_OWN'!AD$505:AD$524,'Key inputs_EB_OWN'!$C$505:$C$524,$C33)/SUM('Key inputs_EB_OWN'!AD$505:AD$524)&gt;0,SUMIFS('Key inputs_EB_OWN'!AD$505:AD$524,'Key inputs_EB_OWN'!$C$505:$C$524,$C33)/SUM('Key inputs_EB_OWN'!AD$505:AD$524)&lt;0.001),0.001,SUMIFS('Key inputs_EB_OWN'!AD$505:AD$524,'Key inputs_EB_OWN'!$C$505:$C$524,$C33)/SUM('Key inputs_EB_OWN'!AD$505:AD$524)),"")</f>
        <v>8.2316541746557434E-2</v>
      </c>
      <c r="AK33" s="173">
        <f>IFERROR(IF(AND(SUMIFS('Key inputs_EB_OWN'!AE$505:AE$524,'Key inputs_EB_OWN'!$C$505:$C$524,$C33)/SUM('Key inputs_EB_OWN'!AE$505:AE$524)&gt;0,SUMIFS('Key inputs_EB_OWN'!AE$505:AE$524,'Key inputs_EB_OWN'!$C$505:$C$524,$C33)/SUM('Key inputs_EB_OWN'!AE$505:AE$524)&lt;0.001),0.001,SUMIFS('Key inputs_EB_OWN'!AE$505:AE$524,'Key inputs_EB_OWN'!$C$505:$C$524,$C33)/SUM('Key inputs_EB_OWN'!AE$505:AE$524)),"")</f>
        <v>0.77418410815732075</v>
      </c>
      <c r="AL33" s="173">
        <f>IFERROR(IF(AND(SUMIFS('Key inputs_EB_OWN'!AF$505:AF$524,'Key inputs_EB_OWN'!$C$505:$C$524,$C33)/SUM('Key inputs_EB_OWN'!AF$505:AF$524)&gt;0,SUMIFS('Key inputs_EB_OWN'!AF$505:AF$524,'Key inputs_EB_OWN'!$C$505:$C$524,$C33)/SUM('Key inputs_EB_OWN'!AF$505:AF$524)&lt;0.001),0.001,SUMIFS('Key inputs_EB_OWN'!AF$505:AF$524,'Key inputs_EB_OWN'!$C$505:$C$524,$C33)/SUM('Key inputs_EB_OWN'!AF$505:AF$524)),"")</f>
        <v>1.6865263621932056E-2</v>
      </c>
    </row>
    <row r="34" spans="1:38">
      <c r="C34" t="str">
        <f>Commodities!$C$86</f>
        <v>UPSCOA</v>
      </c>
      <c r="F34" s="4" t="s">
        <v>359</v>
      </c>
      <c r="G34" s="4" t="s">
        <v>702</v>
      </c>
      <c r="H34" t="s">
        <v>661</v>
      </c>
      <c r="I34">
        <v>2019</v>
      </c>
      <c r="J34" s="4" t="s">
        <v>650</v>
      </c>
      <c r="K34" s="173" t="str">
        <f>IFERROR(IF(AND(SUMIFS('Key inputs_EB_OWN'!E$505:E$524,'Key inputs_EB_OWN'!$C$505:$C$524,$C34)/SUM('Key inputs_EB_OWN'!E$505:E$524)&gt;0,SUMIFS('Key inputs_EB_OWN'!E$505:E$524,'Key inputs_EB_OWN'!$C$505:$C$524,$C34)/SUM('Key inputs_EB_OWN'!E$505:E$524)&lt;0.001),0.001,SUMIFS('Key inputs_EB_OWN'!E$505:E$524,'Key inputs_EB_OWN'!$C$505:$C$524,$C34)/SUM('Key inputs_EB_OWN'!E$505:E$524)),"")</f>
        <v/>
      </c>
      <c r="L34" s="173" t="str">
        <f>IFERROR(IF(AND(SUMIFS('Key inputs_EB_OWN'!F$505:F$524,'Key inputs_EB_OWN'!$C$505:$C$524,$C34)/SUM('Key inputs_EB_OWN'!F$505:F$524)&gt;0,SUMIFS('Key inputs_EB_OWN'!F$505:F$524,'Key inputs_EB_OWN'!$C$505:$C$524,$C34)/SUM('Key inputs_EB_OWN'!F$505:F$524)&lt;0.001),0.001,SUMIFS('Key inputs_EB_OWN'!F$505:F$524,'Key inputs_EB_OWN'!$C$505:$C$524,$C34)/SUM('Key inputs_EB_OWN'!F$505:F$524)),"")</f>
        <v/>
      </c>
      <c r="M34" s="173" t="str">
        <f>IFERROR(IF(AND(SUMIFS('Key inputs_EB_OWN'!G$505:G$524,'Key inputs_EB_OWN'!$C$505:$C$524,$C34)/SUM('Key inputs_EB_OWN'!G$505:G$524)&gt;0,SUMIFS('Key inputs_EB_OWN'!G$505:G$524,'Key inputs_EB_OWN'!$C$505:$C$524,$C34)/SUM('Key inputs_EB_OWN'!G$505:G$524)&lt;0.001),0.001,SUMIFS('Key inputs_EB_OWN'!G$505:G$524,'Key inputs_EB_OWN'!$C$505:$C$524,$C34)/SUM('Key inputs_EB_OWN'!G$505:G$524)),"")</f>
        <v/>
      </c>
      <c r="N34" s="173">
        <f>IFERROR(IF(AND(SUMIFS('Key inputs_EB_OWN'!H$505:H$524,'Key inputs_EB_OWN'!$C$505:$C$524,$C34)/SUM('Key inputs_EB_OWN'!H$505:H$524)&gt;0,SUMIFS('Key inputs_EB_OWN'!H$505:H$524,'Key inputs_EB_OWN'!$C$505:$C$524,$C34)/SUM('Key inputs_EB_OWN'!H$505:H$524)&lt;0.001),0.001,SUMIFS('Key inputs_EB_OWN'!H$505:H$524,'Key inputs_EB_OWN'!$C$505:$C$524,$C34)/SUM('Key inputs_EB_OWN'!H$505:H$524)),"")</f>
        <v>0</v>
      </c>
      <c r="O34" s="173">
        <f>IFERROR(IF(AND(SUMIFS('Key inputs_EB_OWN'!I$505:I$524,'Key inputs_EB_OWN'!$C$505:$C$524,$C34)/SUM('Key inputs_EB_OWN'!I$505:I$524)&gt;0,SUMIFS('Key inputs_EB_OWN'!I$505:I$524,'Key inputs_EB_OWN'!$C$505:$C$524,$C34)/SUM('Key inputs_EB_OWN'!I$505:I$524)&lt;0.001),0.001,SUMIFS('Key inputs_EB_OWN'!I$505:I$524,'Key inputs_EB_OWN'!$C$505:$C$524,$C34)/SUM('Key inputs_EB_OWN'!I$505:I$524)),"")</f>
        <v>0</v>
      </c>
      <c r="P34" s="173">
        <f>IFERROR(IF(AND(SUMIFS('Key inputs_EB_OWN'!J$505:J$524,'Key inputs_EB_OWN'!$C$505:$C$524,$C34)/SUM('Key inputs_EB_OWN'!J$505:J$524)&gt;0,SUMIFS('Key inputs_EB_OWN'!J$505:J$524,'Key inputs_EB_OWN'!$C$505:$C$524,$C34)/SUM('Key inputs_EB_OWN'!J$505:J$524)&lt;0.001),0.001,SUMIFS('Key inputs_EB_OWN'!J$505:J$524,'Key inputs_EB_OWN'!$C$505:$C$524,$C34)/SUM('Key inputs_EB_OWN'!J$505:J$524)),"")</f>
        <v>0</v>
      </c>
      <c r="Q34" s="173" t="str">
        <f>IFERROR(IF(AND(SUMIFS('Key inputs_EB_OWN'!K$505:K$524,'Key inputs_EB_OWN'!$C$505:$C$524,$C34)/SUM('Key inputs_EB_OWN'!K$505:K$524)&gt;0,SUMIFS('Key inputs_EB_OWN'!K$505:K$524,'Key inputs_EB_OWN'!$C$505:$C$524,$C34)/SUM('Key inputs_EB_OWN'!K$505:K$524)&lt;0.001),0.001,SUMIFS('Key inputs_EB_OWN'!K$505:K$524,'Key inputs_EB_OWN'!$C$505:$C$524,$C34)/SUM('Key inputs_EB_OWN'!K$505:K$524)),"")</f>
        <v/>
      </c>
      <c r="R34" s="173" t="str">
        <f>IFERROR(IF(AND(SUMIFS('Key inputs_EB_OWN'!L$505:L$524,'Key inputs_EB_OWN'!$C$505:$C$524,$C34)/SUM('Key inputs_EB_OWN'!L$505:L$524)&gt;0,SUMIFS('Key inputs_EB_OWN'!L$505:L$524,'Key inputs_EB_OWN'!$C$505:$C$524,$C34)/SUM('Key inputs_EB_OWN'!L$505:L$524)&lt;0.001),0.001,SUMIFS('Key inputs_EB_OWN'!L$505:L$524,'Key inputs_EB_OWN'!$C$505:$C$524,$C34)/SUM('Key inputs_EB_OWN'!L$505:L$524)),"")</f>
        <v/>
      </c>
      <c r="S34" s="173">
        <f>IFERROR(IF(AND(SUMIFS('Key inputs_EB_OWN'!M$505:M$524,'Key inputs_EB_OWN'!$C$505:$C$524,$C34)/SUM('Key inputs_EB_OWN'!M$505:M$524)&gt;0,SUMIFS('Key inputs_EB_OWN'!M$505:M$524,'Key inputs_EB_OWN'!$C$505:$C$524,$C34)/SUM('Key inputs_EB_OWN'!M$505:M$524)&lt;0.001),0.001,SUMIFS('Key inputs_EB_OWN'!M$505:M$524,'Key inputs_EB_OWN'!$C$505:$C$524,$C34)/SUM('Key inputs_EB_OWN'!M$505:M$524)),"")</f>
        <v>0</v>
      </c>
      <c r="T34" s="173" t="str">
        <f>IFERROR(IF(AND(SUMIFS('Key inputs_EB_OWN'!N$505:N$524,'Key inputs_EB_OWN'!$C$505:$C$524,$C34)/SUM('Key inputs_EB_OWN'!N$505:N$524)&gt;0,SUMIFS('Key inputs_EB_OWN'!N$505:N$524,'Key inputs_EB_OWN'!$C$505:$C$524,$C34)/SUM('Key inputs_EB_OWN'!N$505:N$524)&lt;0.001),0.001,SUMIFS('Key inputs_EB_OWN'!N$505:N$524,'Key inputs_EB_OWN'!$C$505:$C$524,$C34)/SUM('Key inputs_EB_OWN'!N$505:N$524)),"")</f>
        <v/>
      </c>
      <c r="U34" s="173" t="str">
        <f>IFERROR(IF(AND(SUMIFS('Key inputs_EB_OWN'!O$505:O$524,'Key inputs_EB_OWN'!$C$505:$C$524,$C34)/SUM('Key inputs_EB_OWN'!O$505:O$524)&gt;0,SUMIFS('Key inputs_EB_OWN'!O$505:O$524,'Key inputs_EB_OWN'!$C$505:$C$524,$C34)/SUM('Key inputs_EB_OWN'!O$505:O$524)&lt;0.001),0.001,SUMIFS('Key inputs_EB_OWN'!O$505:O$524,'Key inputs_EB_OWN'!$C$505:$C$524,$C34)/SUM('Key inputs_EB_OWN'!O$505:O$524)),"")</f>
        <v/>
      </c>
      <c r="V34" s="173">
        <f>IFERROR(IF(AND(SUMIFS('Key inputs_EB_OWN'!P$505:P$524,'Key inputs_EB_OWN'!$C$505:$C$524,$C34)/SUM('Key inputs_EB_OWN'!P$505:P$524)&gt;0,SUMIFS('Key inputs_EB_OWN'!P$505:P$524,'Key inputs_EB_OWN'!$C$505:$C$524,$C34)/SUM('Key inputs_EB_OWN'!P$505:P$524)&lt;0.001),0.001,SUMIFS('Key inputs_EB_OWN'!P$505:P$524,'Key inputs_EB_OWN'!$C$505:$C$524,$C34)/SUM('Key inputs_EB_OWN'!P$505:P$524)),"")</f>
        <v>0.58121342832861278</v>
      </c>
      <c r="W34" s="173">
        <f>IFERROR(IF(AND(SUMIFS('Key inputs_EB_OWN'!Q$505:Q$524,'Key inputs_EB_OWN'!$C$505:$C$524,$C34)/SUM('Key inputs_EB_OWN'!Q$505:Q$524)&gt;0,SUMIFS('Key inputs_EB_OWN'!Q$505:Q$524,'Key inputs_EB_OWN'!$C$505:$C$524,$C34)/SUM('Key inputs_EB_OWN'!Q$505:Q$524)&lt;0.001),0.001,SUMIFS('Key inputs_EB_OWN'!Q$505:Q$524,'Key inputs_EB_OWN'!$C$505:$C$524,$C34)/SUM('Key inputs_EB_OWN'!Q$505:Q$524)),"")</f>
        <v>0</v>
      </c>
      <c r="X34" s="173">
        <f>IFERROR(IF(AND(SUMIFS('Key inputs_EB_OWN'!R$505:R$524,'Key inputs_EB_OWN'!$C$505:$C$524,$C34)/SUM('Key inputs_EB_OWN'!R$505:R$524)&gt;0,SUMIFS('Key inputs_EB_OWN'!R$505:R$524,'Key inputs_EB_OWN'!$C$505:$C$524,$C34)/SUM('Key inputs_EB_OWN'!R$505:R$524)&lt;0.001),0.001,SUMIFS('Key inputs_EB_OWN'!R$505:R$524,'Key inputs_EB_OWN'!$C$505:$C$524,$C34)/SUM('Key inputs_EB_OWN'!R$505:R$524)),"")</f>
        <v>0</v>
      </c>
      <c r="Y34" s="173">
        <f>IFERROR(IF(AND(SUMIFS('Key inputs_EB_OWN'!S$505:S$524,'Key inputs_EB_OWN'!$C$505:$C$524,$C34)/SUM('Key inputs_EB_OWN'!S$505:S$524)&gt;0,SUMIFS('Key inputs_EB_OWN'!S$505:S$524,'Key inputs_EB_OWN'!$C$505:$C$524,$C34)/SUM('Key inputs_EB_OWN'!S$505:S$524)&lt;0.001),0.001,SUMIFS('Key inputs_EB_OWN'!S$505:S$524,'Key inputs_EB_OWN'!$C$505:$C$524,$C34)/SUM('Key inputs_EB_OWN'!S$505:S$524)),"")</f>
        <v>3.2995201948395725E-2</v>
      </c>
      <c r="Z34" s="173">
        <f>IFERROR(IF(AND(SUMIFS('Key inputs_EB_OWN'!T$505:T$524,'Key inputs_EB_OWN'!$C$505:$C$524,$C34)/SUM('Key inputs_EB_OWN'!T$505:T$524)&gt;0,SUMIFS('Key inputs_EB_OWN'!T$505:T$524,'Key inputs_EB_OWN'!$C$505:$C$524,$C34)/SUM('Key inputs_EB_OWN'!T$505:T$524)&lt;0.001),0.001,SUMIFS('Key inputs_EB_OWN'!T$505:T$524,'Key inputs_EB_OWN'!$C$505:$C$524,$C34)/SUM('Key inputs_EB_OWN'!T$505:T$524)),"")</f>
        <v>0</v>
      </c>
      <c r="AA34" s="173">
        <f>IFERROR(IF(AND(SUMIFS('Key inputs_EB_OWN'!U$505:U$524,'Key inputs_EB_OWN'!$C$505:$C$524,$C34)/SUM('Key inputs_EB_OWN'!U$505:U$524)&gt;0,SUMIFS('Key inputs_EB_OWN'!U$505:U$524,'Key inputs_EB_OWN'!$C$505:$C$524,$C34)/SUM('Key inputs_EB_OWN'!U$505:U$524)&lt;0.001),0.001,SUMIFS('Key inputs_EB_OWN'!U$505:U$524,'Key inputs_EB_OWN'!$C$505:$C$524,$C34)/SUM('Key inputs_EB_OWN'!U$505:U$524)),"")</f>
        <v>1.5653676740054485E-2</v>
      </c>
      <c r="AB34" s="173" t="str">
        <f>IFERROR(IF(AND(SUMIFS('Key inputs_EB_OWN'!V$505:V$524,'Key inputs_EB_OWN'!$C$505:$C$524,$C34)/SUM('Key inputs_EB_OWN'!V$505:V$524)&gt;0,SUMIFS('Key inputs_EB_OWN'!V$505:V$524,'Key inputs_EB_OWN'!$C$505:$C$524,$C34)/SUM('Key inputs_EB_OWN'!V$505:V$524)&lt;0.001),0.001,SUMIFS('Key inputs_EB_OWN'!V$505:V$524,'Key inputs_EB_OWN'!$C$505:$C$524,$C34)/SUM('Key inputs_EB_OWN'!V$505:V$524)),"")</f>
        <v/>
      </c>
      <c r="AC34" s="173">
        <f>IFERROR(IF(AND(SUMIFS('Key inputs_EB_OWN'!W$505:W$524,'Key inputs_EB_OWN'!$C$505:$C$524,$C34)/SUM('Key inputs_EB_OWN'!W$505:W$524)&gt;0,SUMIFS('Key inputs_EB_OWN'!W$505:W$524,'Key inputs_EB_OWN'!$C$505:$C$524,$C34)/SUM('Key inputs_EB_OWN'!W$505:W$524)&lt;0.001),0.001,SUMIFS('Key inputs_EB_OWN'!W$505:W$524,'Key inputs_EB_OWN'!$C$505:$C$524,$C34)/SUM('Key inputs_EB_OWN'!W$505:W$524)),"")</f>
        <v>0</v>
      </c>
      <c r="AD34" s="173">
        <f>IFERROR(IF(AND(SUMIFS('Key inputs_EB_OWN'!X$505:X$524,'Key inputs_EB_OWN'!$C$505:$C$524,$C34)/SUM('Key inputs_EB_OWN'!X$505:X$524)&gt;0,SUMIFS('Key inputs_EB_OWN'!X$505:X$524,'Key inputs_EB_OWN'!$C$505:$C$524,$C34)/SUM('Key inputs_EB_OWN'!X$505:X$524)&lt;0.001),0.001,SUMIFS('Key inputs_EB_OWN'!X$505:X$524,'Key inputs_EB_OWN'!$C$505:$C$524,$C34)/SUM('Key inputs_EB_OWN'!X$505:X$524)),"")</f>
        <v>1.9280201851278777E-2</v>
      </c>
      <c r="AE34" s="173">
        <f>IFERROR(IF(AND(SUMIFS('Key inputs_EB_OWN'!Y$505:Y$524,'Key inputs_EB_OWN'!$C$505:$C$524,$C34)/SUM('Key inputs_EB_OWN'!Y$505:Y$524)&gt;0,SUMIFS('Key inputs_EB_OWN'!Y$505:Y$524,'Key inputs_EB_OWN'!$C$505:$C$524,$C34)/SUM('Key inputs_EB_OWN'!Y$505:Y$524)&lt;0.001),0.001,SUMIFS('Key inputs_EB_OWN'!Y$505:Y$524,'Key inputs_EB_OWN'!$C$505:$C$524,$C34)/SUM('Key inputs_EB_OWN'!Y$505:Y$524)),"")</f>
        <v>0</v>
      </c>
      <c r="AF34" s="173">
        <f>IFERROR(IF(AND(SUMIFS('Key inputs_EB_OWN'!Z$505:Z$524,'Key inputs_EB_OWN'!$C$505:$C$524,$C34)/SUM('Key inputs_EB_OWN'!Z$505:Z$524)&gt;0,SUMIFS('Key inputs_EB_OWN'!Z$505:Z$524,'Key inputs_EB_OWN'!$C$505:$C$524,$C34)/SUM('Key inputs_EB_OWN'!Z$505:Z$524)&lt;0.001),0.001,SUMIFS('Key inputs_EB_OWN'!Z$505:Z$524,'Key inputs_EB_OWN'!$C$505:$C$524,$C34)/SUM('Key inputs_EB_OWN'!Z$505:Z$524)),"")</f>
        <v>0</v>
      </c>
      <c r="AG34" s="173">
        <f>IFERROR(IF(AND(SUMIFS('Key inputs_EB_OWN'!AA$505:AA$524,'Key inputs_EB_OWN'!$C$505:$C$524,$C34)/SUM('Key inputs_EB_OWN'!AA$505:AA$524)&gt;0,SUMIFS('Key inputs_EB_OWN'!AA$505:AA$524,'Key inputs_EB_OWN'!$C$505:$C$524,$C34)/SUM('Key inputs_EB_OWN'!AA$505:AA$524)&lt;0.001),0.001,SUMIFS('Key inputs_EB_OWN'!AA$505:AA$524,'Key inputs_EB_OWN'!$C$505:$C$524,$C34)/SUM('Key inputs_EB_OWN'!AA$505:AA$524)),"")</f>
        <v>0</v>
      </c>
      <c r="AH34" s="173">
        <f>IFERROR(IF(AND(SUMIFS('Key inputs_EB_OWN'!AB$505:AB$524,'Key inputs_EB_OWN'!$C$505:$C$524,$C34)/SUM('Key inputs_EB_OWN'!AB$505:AB$524)&gt;0,SUMIFS('Key inputs_EB_OWN'!AB$505:AB$524,'Key inputs_EB_OWN'!$C$505:$C$524,$C34)/SUM('Key inputs_EB_OWN'!AB$505:AB$524)&lt;0.001),0.001,SUMIFS('Key inputs_EB_OWN'!AB$505:AB$524,'Key inputs_EB_OWN'!$C$505:$C$524,$C34)/SUM('Key inputs_EB_OWN'!AB$505:AB$524)),"")</f>
        <v>0</v>
      </c>
      <c r="AI34" s="173" t="str">
        <f>IFERROR(IF(AND(SUMIFS('Key inputs_EB_OWN'!AC$505:AC$524,'Key inputs_EB_OWN'!$C$505:$C$524,$C34)/SUM('Key inputs_EB_OWN'!AC$505:AC$524)&gt;0,SUMIFS('Key inputs_EB_OWN'!AC$505:AC$524,'Key inputs_EB_OWN'!$C$505:$C$524,$C34)/SUM('Key inputs_EB_OWN'!AC$505:AC$524)&lt;0.001),0.001,SUMIFS('Key inputs_EB_OWN'!AC$505:AC$524,'Key inputs_EB_OWN'!$C$505:$C$524,$C34)/SUM('Key inputs_EB_OWN'!AC$505:AC$524)),"")</f>
        <v/>
      </c>
      <c r="AJ34" s="173">
        <f>IFERROR(IF(AND(SUMIFS('Key inputs_EB_OWN'!AD$505:AD$524,'Key inputs_EB_OWN'!$C$505:$C$524,$C34)/SUM('Key inputs_EB_OWN'!AD$505:AD$524)&gt;0,SUMIFS('Key inputs_EB_OWN'!AD$505:AD$524,'Key inputs_EB_OWN'!$C$505:$C$524,$C34)/SUM('Key inputs_EB_OWN'!AD$505:AD$524)&lt;0.001),0.001,SUMIFS('Key inputs_EB_OWN'!AD$505:AD$524,'Key inputs_EB_OWN'!$C$505:$C$524,$C34)/SUM('Key inputs_EB_OWN'!AD$505:AD$524)),"")</f>
        <v>0</v>
      </c>
      <c r="AK34" s="173">
        <f>IFERROR(IF(AND(SUMIFS('Key inputs_EB_OWN'!AE$505:AE$524,'Key inputs_EB_OWN'!$C$505:$C$524,$C34)/SUM('Key inputs_EB_OWN'!AE$505:AE$524)&gt;0,SUMIFS('Key inputs_EB_OWN'!AE$505:AE$524,'Key inputs_EB_OWN'!$C$505:$C$524,$C34)/SUM('Key inputs_EB_OWN'!AE$505:AE$524)&lt;0.001),0.001,SUMIFS('Key inputs_EB_OWN'!AE$505:AE$524,'Key inputs_EB_OWN'!$C$505:$C$524,$C34)/SUM('Key inputs_EB_OWN'!AE$505:AE$524)),"")</f>
        <v>0</v>
      </c>
      <c r="AL34" s="173">
        <f>IFERROR(IF(AND(SUMIFS('Key inputs_EB_OWN'!AF$505:AF$524,'Key inputs_EB_OWN'!$C$505:$C$524,$C34)/SUM('Key inputs_EB_OWN'!AF$505:AF$524)&gt;0,SUMIFS('Key inputs_EB_OWN'!AF$505:AF$524,'Key inputs_EB_OWN'!$C$505:$C$524,$C34)/SUM('Key inputs_EB_OWN'!AF$505:AF$524)&lt;0.001),0.001,SUMIFS('Key inputs_EB_OWN'!AF$505:AF$524,'Key inputs_EB_OWN'!$C$505:$C$524,$C34)/SUM('Key inputs_EB_OWN'!AF$505:AF$524)),"")</f>
        <v>0</v>
      </c>
    </row>
    <row r="35" spans="1:38">
      <c r="C35" t="str">
        <f>Commodities!$C$88</f>
        <v>UPSCOG</v>
      </c>
      <c r="F35" s="4" t="s">
        <v>359</v>
      </c>
      <c r="G35" s="4" t="s">
        <v>702</v>
      </c>
      <c r="H35" t="s">
        <v>661</v>
      </c>
      <c r="I35">
        <v>2019</v>
      </c>
      <c r="J35" s="4" t="s">
        <v>650</v>
      </c>
      <c r="K35" s="173" t="str">
        <f>IFERROR(IF(AND(SUMIFS('Key inputs_EB_OWN'!E$505:E$524,'Key inputs_EB_OWN'!$C$505:$C$524,$C35)/SUM('Key inputs_EB_OWN'!E$505:E$524)&gt;0,SUMIFS('Key inputs_EB_OWN'!E$505:E$524,'Key inputs_EB_OWN'!$C$505:$C$524,$C35)/SUM('Key inputs_EB_OWN'!E$505:E$524)&lt;0.001),0.001,SUMIFS('Key inputs_EB_OWN'!E$505:E$524,'Key inputs_EB_OWN'!$C$505:$C$524,$C35)/SUM('Key inputs_EB_OWN'!E$505:E$524)),"")</f>
        <v/>
      </c>
      <c r="L35" s="173" t="str">
        <f>IFERROR(IF(AND(SUMIFS('Key inputs_EB_OWN'!F$505:F$524,'Key inputs_EB_OWN'!$C$505:$C$524,$C35)/SUM('Key inputs_EB_OWN'!F$505:F$524)&gt;0,SUMIFS('Key inputs_EB_OWN'!F$505:F$524,'Key inputs_EB_OWN'!$C$505:$C$524,$C35)/SUM('Key inputs_EB_OWN'!F$505:F$524)&lt;0.001),0.001,SUMIFS('Key inputs_EB_OWN'!F$505:F$524,'Key inputs_EB_OWN'!$C$505:$C$524,$C35)/SUM('Key inputs_EB_OWN'!F$505:F$524)),"")</f>
        <v/>
      </c>
      <c r="M35" s="173" t="str">
        <f>IFERROR(IF(AND(SUMIFS('Key inputs_EB_OWN'!G$505:G$524,'Key inputs_EB_OWN'!$C$505:$C$524,$C35)/SUM('Key inputs_EB_OWN'!G$505:G$524)&gt;0,SUMIFS('Key inputs_EB_OWN'!G$505:G$524,'Key inputs_EB_OWN'!$C$505:$C$524,$C35)/SUM('Key inputs_EB_OWN'!G$505:G$524)&lt;0.001),0.001,SUMIFS('Key inputs_EB_OWN'!G$505:G$524,'Key inputs_EB_OWN'!$C$505:$C$524,$C35)/SUM('Key inputs_EB_OWN'!G$505:G$524)),"")</f>
        <v/>
      </c>
      <c r="N35" s="173">
        <f>IFERROR(IF(AND(SUMIFS('Key inputs_EB_OWN'!H$505:H$524,'Key inputs_EB_OWN'!$C$505:$C$524,$C35)/SUM('Key inputs_EB_OWN'!H$505:H$524)&gt;0,SUMIFS('Key inputs_EB_OWN'!H$505:H$524,'Key inputs_EB_OWN'!$C$505:$C$524,$C35)/SUM('Key inputs_EB_OWN'!H$505:H$524)&lt;0.001),0.001,SUMIFS('Key inputs_EB_OWN'!H$505:H$524,'Key inputs_EB_OWN'!$C$505:$C$524,$C35)/SUM('Key inputs_EB_OWN'!H$505:H$524)),"")</f>
        <v>0</v>
      </c>
      <c r="O35" s="173">
        <f>IFERROR(IF(AND(SUMIFS('Key inputs_EB_OWN'!I$505:I$524,'Key inputs_EB_OWN'!$C$505:$C$524,$C35)/SUM('Key inputs_EB_OWN'!I$505:I$524)&gt;0,SUMIFS('Key inputs_EB_OWN'!I$505:I$524,'Key inputs_EB_OWN'!$C$505:$C$524,$C35)/SUM('Key inputs_EB_OWN'!I$505:I$524)&lt;0.001),0.001,SUMIFS('Key inputs_EB_OWN'!I$505:I$524,'Key inputs_EB_OWN'!$C$505:$C$524,$C35)/SUM('Key inputs_EB_OWN'!I$505:I$524)),"")</f>
        <v>0.96312824595071622</v>
      </c>
      <c r="P35" s="173">
        <f>IFERROR(IF(AND(SUMIFS('Key inputs_EB_OWN'!J$505:J$524,'Key inputs_EB_OWN'!$C$505:$C$524,$C35)/SUM('Key inputs_EB_OWN'!J$505:J$524)&gt;0,SUMIFS('Key inputs_EB_OWN'!J$505:J$524,'Key inputs_EB_OWN'!$C$505:$C$524,$C35)/SUM('Key inputs_EB_OWN'!J$505:J$524)&lt;0.001),0.001,SUMIFS('Key inputs_EB_OWN'!J$505:J$524,'Key inputs_EB_OWN'!$C$505:$C$524,$C35)/SUM('Key inputs_EB_OWN'!J$505:J$524)),"")</f>
        <v>1</v>
      </c>
      <c r="Q35" s="173" t="str">
        <f>IFERROR(IF(AND(SUMIFS('Key inputs_EB_OWN'!K$505:K$524,'Key inputs_EB_OWN'!$C$505:$C$524,$C35)/SUM('Key inputs_EB_OWN'!K$505:K$524)&gt;0,SUMIFS('Key inputs_EB_OWN'!K$505:K$524,'Key inputs_EB_OWN'!$C$505:$C$524,$C35)/SUM('Key inputs_EB_OWN'!K$505:K$524)&lt;0.001),0.001,SUMIFS('Key inputs_EB_OWN'!K$505:K$524,'Key inputs_EB_OWN'!$C$505:$C$524,$C35)/SUM('Key inputs_EB_OWN'!K$505:K$524)),"")</f>
        <v/>
      </c>
      <c r="R35" s="173" t="str">
        <f>IFERROR(IF(AND(SUMIFS('Key inputs_EB_OWN'!L$505:L$524,'Key inputs_EB_OWN'!$C$505:$C$524,$C35)/SUM('Key inputs_EB_OWN'!L$505:L$524)&gt;0,SUMIFS('Key inputs_EB_OWN'!L$505:L$524,'Key inputs_EB_OWN'!$C$505:$C$524,$C35)/SUM('Key inputs_EB_OWN'!L$505:L$524)&lt;0.001),0.001,SUMIFS('Key inputs_EB_OWN'!L$505:L$524,'Key inputs_EB_OWN'!$C$505:$C$524,$C35)/SUM('Key inputs_EB_OWN'!L$505:L$524)),"")</f>
        <v/>
      </c>
      <c r="S35" s="173">
        <f>IFERROR(IF(AND(SUMIFS('Key inputs_EB_OWN'!M$505:M$524,'Key inputs_EB_OWN'!$C$505:$C$524,$C35)/SUM('Key inputs_EB_OWN'!M$505:M$524)&gt;0,SUMIFS('Key inputs_EB_OWN'!M$505:M$524,'Key inputs_EB_OWN'!$C$505:$C$524,$C35)/SUM('Key inputs_EB_OWN'!M$505:M$524)&lt;0.001),0.001,SUMIFS('Key inputs_EB_OWN'!M$505:M$524,'Key inputs_EB_OWN'!$C$505:$C$524,$C35)/SUM('Key inputs_EB_OWN'!M$505:M$524)),"")</f>
        <v>1</v>
      </c>
      <c r="T35" s="173" t="str">
        <f>IFERROR(IF(AND(SUMIFS('Key inputs_EB_OWN'!N$505:N$524,'Key inputs_EB_OWN'!$C$505:$C$524,$C35)/SUM('Key inputs_EB_OWN'!N$505:N$524)&gt;0,SUMIFS('Key inputs_EB_OWN'!N$505:N$524,'Key inputs_EB_OWN'!$C$505:$C$524,$C35)/SUM('Key inputs_EB_OWN'!N$505:N$524)&lt;0.001),0.001,SUMIFS('Key inputs_EB_OWN'!N$505:N$524,'Key inputs_EB_OWN'!$C$505:$C$524,$C35)/SUM('Key inputs_EB_OWN'!N$505:N$524)),"")</f>
        <v/>
      </c>
      <c r="U35" s="173" t="str">
        <f>IFERROR(IF(AND(SUMIFS('Key inputs_EB_OWN'!O$505:O$524,'Key inputs_EB_OWN'!$C$505:$C$524,$C35)/SUM('Key inputs_EB_OWN'!O$505:O$524)&gt;0,SUMIFS('Key inputs_EB_OWN'!O$505:O$524,'Key inputs_EB_OWN'!$C$505:$C$524,$C35)/SUM('Key inputs_EB_OWN'!O$505:O$524)&lt;0.001),0.001,SUMIFS('Key inputs_EB_OWN'!O$505:O$524,'Key inputs_EB_OWN'!$C$505:$C$524,$C35)/SUM('Key inputs_EB_OWN'!O$505:O$524)),"")</f>
        <v/>
      </c>
      <c r="V35" s="173">
        <f>IFERROR(IF(AND(SUMIFS('Key inputs_EB_OWN'!P$505:P$524,'Key inputs_EB_OWN'!$C$505:$C$524,$C35)/SUM('Key inputs_EB_OWN'!P$505:P$524)&gt;0,SUMIFS('Key inputs_EB_OWN'!P$505:P$524,'Key inputs_EB_OWN'!$C$505:$C$524,$C35)/SUM('Key inputs_EB_OWN'!P$505:P$524)&lt;0.001),0.001,SUMIFS('Key inputs_EB_OWN'!P$505:P$524,'Key inputs_EB_OWN'!$C$505:$C$524,$C35)/SUM('Key inputs_EB_OWN'!P$505:P$524)),"")</f>
        <v>0.4036347853401851</v>
      </c>
      <c r="W35" s="173">
        <f>IFERROR(IF(AND(SUMIFS('Key inputs_EB_OWN'!Q$505:Q$524,'Key inputs_EB_OWN'!$C$505:$C$524,$C35)/SUM('Key inputs_EB_OWN'!Q$505:Q$524)&gt;0,SUMIFS('Key inputs_EB_OWN'!Q$505:Q$524,'Key inputs_EB_OWN'!$C$505:$C$524,$C35)/SUM('Key inputs_EB_OWN'!Q$505:Q$524)&lt;0.001),0.001,SUMIFS('Key inputs_EB_OWN'!Q$505:Q$524,'Key inputs_EB_OWN'!$C$505:$C$524,$C35)/SUM('Key inputs_EB_OWN'!Q$505:Q$524)),"")</f>
        <v>0.68215449430179431</v>
      </c>
      <c r="X35" s="173">
        <f>IFERROR(IF(AND(SUMIFS('Key inputs_EB_OWN'!R$505:R$524,'Key inputs_EB_OWN'!$C$505:$C$524,$C35)/SUM('Key inputs_EB_OWN'!R$505:R$524)&gt;0,SUMIFS('Key inputs_EB_OWN'!R$505:R$524,'Key inputs_EB_OWN'!$C$505:$C$524,$C35)/SUM('Key inputs_EB_OWN'!R$505:R$524)&lt;0.001),0.001,SUMIFS('Key inputs_EB_OWN'!R$505:R$524,'Key inputs_EB_OWN'!$C$505:$C$524,$C35)/SUM('Key inputs_EB_OWN'!R$505:R$524)),"")</f>
        <v>0.64855994823000618</v>
      </c>
      <c r="Y35" s="173">
        <f>IFERROR(IF(AND(SUMIFS('Key inputs_EB_OWN'!S$505:S$524,'Key inputs_EB_OWN'!$C$505:$C$524,$C35)/SUM('Key inputs_EB_OWN'!S$505:S$524)&gt;0,SUMIFS('Key inputs_EB_OWN'!S$505:S$524,'Key inputs_EB_OWN'!$C$505:$C$524,$C35)/SUM('Key inputs_EB_OWN'!S$505:S$524)&lt;0.001),0.001,SUMIFS('Key inputs_EB_OWN'!S$505:S$524,'Key inputs_EB_OWN'!$C$505:$C$524,$C35)/SUM('Key inputs_EB_OWN'!S$505:S$524)),"")</f>
        <v>0.77222666525402672</v>
      </c>
      <c r="Z35" s="173">
        <f>IFERROR(IF(AND(SUMIFS('Key inputs_EB_OWN'!T$505:T$524,'Key inputs_EB_OWN'!$C$505:$C$524,$C35)/SUM('Key inputs_EB_OWN'!T$505:T$524)&gt;0,SUMIFS('Key inputs_EB_OWN'!T$505:T$524,'Key inputs_EB_OWN'!$C$505:$C$524,$C35)/SUM('Key inputs_EB_OWN'!T$505:T$524)&lt;0.001),0.001,SUMIFS('Key inputs_EB_OWN'!T$505:T$524,'Key inputs_EB_OWN'!$C$505:$C$524,$C35)/SUM('Key inputs_EB_OWN'!T$505:T$524)),"")</f>
        <v>0.22691629236733116</v>
      </c>
      <c r="AA35" s="173">
        <f>IFERROR(IF(AND(SUMIFS('Key inputs_EB_OWN'!U$505:U$524,'Key inputs_EB_OWN'!$C$505:$C$524,$C35)/SUM('Key inputs_EB_OWN'!U$505:U$524)&gt;0,SUMIFS('Key inputs_EB_OWN'!U$505:U$524,'Key inputs_EB_OWN'!$C$505:$C$524,$C35)/SUM('Key inputs_EB_OWN'!U$505:U$524)&lt;0.001),0.001,SUMIFS('Key inputs_EB_OWN'!U$505:U$524,'Key inputs_EB_OWN'!$C$505:$C$524,$C35)/SUM('Key inputs_EB_OWN'!U$505:U$524)),"")</f>
        <v>0.49003891999653038</v>
      </c>
      <c r="AB35" s="173" t="str">
        <f>IFERROR(IF(AND(SUMIFS('Key inputs_EB_OWN'!V$505:V$524,'Key inputs_EB_OWN'!$C$505:$C$524,$C35)/SUM('Key inputs_EB_OWN'!V$505:V$524)&gt;0,SUMIFS('Key inputs_EB_OWN'!V$505:V$524,'Key inputs_EB_OWN'!$C$505:$C$524,$C35)/SUM('Key inputs_EB_OWN'!V$505:V$524)&lt;0.001),0.001,SUMIFS('Key inputs_EB_OWN'!V$505:V$524,'Key inputs_EB_OWN'!$C$505:$C$524,$C35)/SUM('Key inputs_EB_OWN'!V$505:V$524)),"")</f>
        <v/>
      </c>
      <c r="AC35" s="173">
        <f>IFERROR(IF(AND(SUMIFS('Key inputs_EB_OWN'!W$505:W$524,'Key inputs_EB_OWN'!$C$505:$C$524,$C35)/SUM('Key inputs_EB_OWN'!W$505:W$524)&gt;0,SUMIFS('Key inputs_EB_OWN'!W$505:W$524,'Key inputs_EB_OWN'!$C$505:$C$524,$C35)/SUM('Key inputs_EB_OWN'!W$505:W$524)&lt;0.001),0.001,SUMIFS('Key inputs_EB_OWN'!W$505:W$524,'Key inputs_EB_OWN'!$C$505:$C$524,$C35)/SUM('Key inputs_EB_OWN'!W$505:W$524)),"")</f>
        <v>0.98064298669405969</v>
      </c>
      <c r="AD35" s="173">
        <f>IFERROR(IF(AND(SUMIFS('Key inputs_EB_OWN'!X$505:X$524,'Key inputs_EB_OWN'!$C$505:$C$524,$C35)/SUM('Key inputs_EB_OWN'!X$505:X$524)&gt;0,SUMIFS('Key inputs_EB_OWN'!X$505:X$524,'Key inputs_EB_OWN'!$C$505:$C$524,$C35)/SUM('Key inputs_EB_OWN'!X$505:X$524)&lt;0.001),0.001,SUMIFS('Key inputs_EB_OWN'!X$505:X$524,'Key inputs_EB_OWN'!$C$505:$C$524,$C35)/SUM('Key inputs_EB_OWN'!X$505:X$524)),"")</f>
        <v>0.45498642962907304</v>
      </c>
      <c r="AE35" s="173">
        <f>IFERROR(IF(AND(SUMIFS('Key inputs_EB_OWN'!Y$505:Y$524,'Key inputs_EB_OWN'!$C$505:$C$524,$C35)/SUM('Key inputs_EB_OWN'!Y$505:Y$524)&gt;0,SUMIFS('Key inputs_EB_OWN'!Y$505:Y$524,'Key inputs_EB_OWN'!$C$505:$C$524,$C35)/SUM('Key inputs_EB_OWN'!Y$505:Y$524)&lt;0.001),0.001,SUMIFS('Key inputs_EB_OWN'!Y$505:Y$524,'Key inputs_EB_OWN'!$C$505:$C$524,$C35)/SUM('Key inputs_EB_OWN'!Y$505:Y$524)),"")</f>
        <v>1</v>
      </c>
      <c r="AF35" s="173">
        <f>IFERROR(IF(AND(SUMIFS('Key inputs_EB_OWN'!Z$505:Z$524,'Key inputs_EB_OWN'!$C$505:$C$524,$C35)/SUM('Key inputs_EB_OWN'!Z$505:Z$524)&gt;0,SUMIFS('Key inputs_EB_OWN'!Z$505:Z$524,'Key inputs_EB_OWN'!$C$505:$C$524,$C35)/SUM('Key inputs_EB_OWN'!Z$505:Z$524)&lt;0.001),0.001,SUMIFS('Key inputs_EB_OWN'!Z$505:Z$524,'Key inputs_EB_OWN'!$C$505:$C$524,$C35)/SUM('Key inputs_EB_OWN'!Z$505:Z$524)),"")</f>
        <v>0.49701283988687917</v>
      </c>
      <c r="AG35" s="173">
        <f>IFERROR(IF(AND(SUMIFS('Key inputs_EB_OWN'!AA$505:AA$524,'Key inputs_EB_OWN'!$C$505:$C$524,$C35)/SUM('Key inputs_EB_OWN'!AA$505:AA$524)&gt;0,SUMIFS('Key inputs_EB_OWN'!AA$505:AA$524,'Key inputs_EB_OWN'!$C$505:$C$524,$C35)/SUM('Key inputs_EB_OWN'!AA$505:AA$524)&lt;0.001),0.001,SUMIFS('Key inputs_EB_OWN'!AA$505:AA$524,'Key inputs_EB_OWN'!$C$505:$C$524,$C35)/SUM('Key inputs_EB_OWN'!AA$505:AA$524)),"")</f>
        <v>0.38135332969688152</v>
      </c>
      <c r="AH35" s="173">
        <f>IFERROR(IF(AND(SUMIFS('Key inputs_EB_OWN'!AB$505:AB$524,'Key inputs_EB_OWN'!$C$505:$C$524,$C35)/SUM('Key inputs_EB_OWN'!AB$505:AB$524)&gt;0,SUMIFS('Key inputs_EB_OWN'!AB$505:AB$524,'Key inputs_EB_OWN'!$C$505:$C$524,$C35)/SUM('Key inputs_EB_OWN'!AB$505:AB$524)&lt;0.001),0.001,SUMIFS('Key inputs_EB_OWN'!AB$505:AB$524,'Key inputs_EB_OWN'!$C$505:$C$524,$C35)/SUM('Key inputs_EB_OWN'!AB$505:AB$524)),"")</f>
        <v>0</v>
      </c>
      <c r="AI35" s="173" t="str">
        <f>IFERROR(IF(AND(SUMIFS('Key inputs_EB_OWN'!AC$505:AC$524,'Key inputs_EB_OWN'!$C$505:$C$524,$C35)/SUM('Key inputs_EB_OWN'!AC$505:AC$524)&gt;0,SUMIFS('Key inputs_EB_OWN'!AC$505:AC$524,'Key inputs_EB_OWN'!$C$505:$C$524,$C35)/SUM('Key inputs_EB_OWN'!AC$505:AC$524)&lt;0.001),0.001,SUMIFS('Key inputs_EB_OWN'!AC$505:AC$524,'Key inputs_EB_OWN'!$C$505:$C$524,$C35)/SUM('Key inputs_EB_OWN'!AC$505:AC$524)),"")</f>
        <v/>
      </c>
      <c r="AJ35" s="173">
        <f>IFERROR(IF(AND(SUMIFS('Key inputs_EB_OWN'!AD$505:AD$524,'Key inputs_EB_OWN'!$C$505:$C$524,$C35)/SUM('Key inputs_EB_OWN'!AD$505:AD$524)&gt;0,SUMIFS('Key inputs_EB_OWN'!AD$505:AD$524,'Key inputs_EB_OWN'!$C$505:$C$524,$C35)/SUM('Key inputs_EB_OWN'!AD$505:AD$524)&lt;0.001),0.001,SUMIFS('Key inputs_EB_OWN'!AD$505:AD$524,'Key inputs_EB_OWN'!$C$505:$C$524,$C35)/SUM('Key inputs_EB_OWN'!AD$505:AD$524)),"")</f>
        <v>0.91768345825344255</v>
      </c>
      <c r="AK35" s="173">
        <f>IFERROR(IF(AND(SUMIFS('Key inputs_EB_OWN'!AE$505:AE$524,'Key inputs_EB_OWN'!$C$505:$C$524,$C35)/SUM('Key inputs_EB_OWN'!AE$505:AE$524)&gt;0,SUMIFS('Key inputs_EB_OWN'!AE$505:AE$524,'Key inputs_EB_OWN'!$C$505:$C$524,$C35)/SUM('Key inputs_EB_OWN'!AE$505:AE$524)&lt;0.001),0.001,SUMIFS('Key inputs_EB_OWN'!AE$505:AE$524,'Key inputs_EB_OWN'!$C$505:$C$524,$C35)/SUM('Key inputs_EB_OWN'!AE$505:AE$524)),"")</f>
        <v>0.22581589184267925</v>
      </c>
      <c r="AL35" s="173">
        <f>IFERROR(IF(AND(SUMIFS('Key inputs_EB_OWN'!AF$505:AF$524,'Key inputs_EB_OWN'!$C$505:$C$524,$C35)/SUM('Key inputs_EB_OWN'!AF$505:AF$524)&gt;0,SUMIFS('Key inputs_EB_OWN'!AF$505:AF$524,'Key inputs_EB_OWN'!$C$505:$C$524,$C35)/SUM('Key inputs_EB_OWN'!AF$505:AF$524)&lt;0.001),0.001,SUMIFS('Key inputs_EB_OWN'!AF$505:AF$524,'Key inputs_EB_OWN'!$C$505:$C$524,$C35)/SUM('Key inputs_EB_OWN'!AF$505:AF$524)),"")</f>
        <v>0.92307201787895976</v>
      </c>
    </row>
    <row r="36" spans="1:38">
      <c r="C36" t="str">
        <f>Commodities!$C$89</f>
        <v>UPSCOK</v>
      </c>
      <c r="F36" s="4" t="s">
        <v>359</v>
      </c>
      <c r="G36" s="4" t="s">
        <v>702</v>
      </c>
      <c r="H36" t="s">
        <v>661</v>
      </c>
      <c r="I36">
        <v>2019</v>
      </c>
      <c r="J36" s="4" t="s">
        <v>650</v>
      </c>
      <c r="K36" s="173" t="str">
        <f>IFERROR(IF(AND(SUMIFS('Key inputs_EB_OWN'!E$505:E$524,'Key inputs_EB_OWN'!$C$505:$C$524,$C36)/SUM('Key inputs_EB_OWN'!E$505:E$524)&gt;0,SUMIFS('Key inputs_EB_OWN'!E$505:E$524,'Key inputs_EB_OWN'!$C$505:$C$524,$C36)/SUM('Key inputs_EB_OWN'!E$505:E$524)&lt;0.001),0.001,SUMIFS('Key inputs_EB_OWN'!E$505:E$524,'Key inputs_EB_OWN'!$C$505:$C$524,$C36)/SUM('Key inputs_EB_OWN'!E$505:E$524)),"")</f>
        <v/>
      </c>
      <c r="L36" s="173" t="str">
        <f>IFERROR(IF(AND(SUMIFS('Key inputs_EB_OWN'!F$505:F$524,'Key inputs_EB_OWN'!$C$505:$C$524,$C36)/SUM('Key inputs_EB_OWN'!F$505:F$524)&gt;0,SUMIFS('Key inputs_EB_OWN'!F$505:F$524,'Key inputs_EB_OWN'!$C$505:$C$524,$C36)/SUM('Key inputs_EB_OWN'!F$505:F$524)&lt;0.001),0.001,SUMIFS('Key inputs_EB_OWN'!F$505:F$524,'Key inputs_EB_OWN'!$C$505:$C$524,$C36)/SUM('Key inputs_EB_OWN'!F$505:F$524)),"")</f>
        <v/>
      </c>
      <c r="M36" s="173" t="str">
        <f>IFERROR(IF(AND(SUMIFS('Key inputs_EB_OWN'!G$505:G$524,'Key inputs_EB_OWN'!$C$505:$C$524,$C36)/SUM('Key inputs_EB_OWN'!G$505:G$524)&gt;0,SUMIFS('Key inputs_EB_OWN'!G$505:G$524,'Key inputs_EB_OWN'!$C$505:$C$524,$C36)/SUM('Key inputs_EB_OWN'!G$505:G$524)&lt;0.001),0.001,SUMIFS('Key inputs_EB_OWN'!G$505:G$524,'Key inputs_EB_OWN'!$C$505:$C$524,$C36)/SUM('Key inputs_EB_OWN'!G$505:G$524)),"")</f>
        <v/>
      </c>
      <c r="N36" s="173">
        <f>IFERROR(IF(AND(SUMIFS('Key inputs_EB_OWN'!H$505:H$524,'Key inputs_EB_OWN'!$C$505:$C$524,$C36)/SUM('Key inputs_EB_OWN'!H$505:H$524)&gt;0,SUMIFS('Key inputs_EB_OWN'!H$505:H$524,'Key inputs_EB_OWN'!$C$505:$C$524,$C36)/SUM('Key inputs_EB_OWN'!H$505:H$524)&lt;0.001),0.001,SUMIFS('Key inputs_EB_OWN'!H$505:H$524,'Key inputs_EB_OWN'!$C$505:$C$524,$C36)/SUM('Key inputs_EB_OWN'!H$505:H$524)),"")</f>
        <v>1</v>
      </c>
      <c r="O36" s="173">
        <f>IFERROR(IF(AND(SUMIFS('Key inputs_EB_OWN'!I$505:I$524,'Key inputs_EB_OWN'!$C$505:$C$524,$C36)/SUM('Key inputs_EB_OWN'!I$505:I$524)&gt;0,SUMIFS('Key inputs_EB_OWN'!I$505:I$524,'Key inputs_EB_OWN'!$C$505:$C$524,$C36)/SUM('Key inputs_EB_OWN'!I$505:I$524)&lt;0.001),0.001,SUMIFS('Key inputs_EB_OWN'!I$505:I$524,'Key inputs_EB_OWN'!$C$505:$C$524,$C36)/SUM('Key inputs_EB_OWN'!I$505:I$524)),"")</f>
        <v>0</v>
      </c>
      <c r="P36" s="173">
        <f>IFERROR(IF(AND(SUMIFS('Key inputs_EB_OWN'!J$505:J$524,'Key inputs_EB_OWN'!$C$505:$C$524,$C36)/SUM('Key inputs_EB_OWN'!J$505:J$524)&gt;0,SUMIFS('Key inputs_EB_OWN'!J$505:J$524,'Key inputs_EB_OWN'!$C$505:$C$524,$C36)/SUM('Key inputs_EB_OWN'!J$505:J$524)&lt;0.001),0.001,SUMIFS('Key inputs_EB_OWN'!J$505:J$524,'Key inputs_EB_OWN'!$C$505:$C$524,$C36)/SUM('Key inputs_EB_OWN'!J$505:J$524)),"")</f>
        <v>0</v>
      </c>
      <c r="Q36" s="173" t="str">
        <f>IFERROR(IF(AND(SUMIFS('Key inputs_EB_OWN'!K$505:K$524,'Key inputs_EB_OWN'!$C$505:$C$524,$C36)/SUM('Key inputs_EB_OWN'!K$505:K$524)&gt;0,SUMIFS('Key inputs_EB_OWN'!K$505:K$524,'Key inputs_EB_OWN'!$C$505:$C$524,$C36)/SUM('Key inputs_EB_OWN'!K$505:K$524)&lt;0.001),0.001,SUMIFS('Key inputs_EB_OWN'!K$505:K$524,'Key inputs_EB_OWN'!$C$505:$C$524,$C36)/SUM('Key inputs_EB_OWN'!K$505:K$524)),"")</f>
        <v/>
      </c>
      <c r="R36" s="173" t="str">
        <f>IFERROR(IF(AND(SUMIFS('Key inputs_EB_OWN'!L$505:L$524,'Key inputs_EB_OWN'!$C$505:$C$524,$C36)/SUM('Key inputs_EB_OWN'!L$505:L$524)&gt;0,SUMIFS('Key inputs_EB_OWN'!L$505:L$524,'Key inputs_EB_OWN'!$C$505:$C$524,$C36)/SUM('Key inputs_EB_OWN'!L$505:L$524)&lt;0.001),0.001,SUMIFS('Key inputs_EB_OWN'!L$505:L$524,'Key inputs_EB_OWN'!$C$505:$C$524,$C36)/SUM('Key inputs_EB_OWN'!L$505:L$524)),"")</f>
        <v/>
      </c>
      <c r="S36" s="173">
        <f>IFERROR(IF(AND(SUMIFS('Key inputs_EB_OWN'!M$505:M$524,'Key inputs_EB_OWN'!$C$505:$C$524,$C36)/SUM('Key inputs_EB_OWN'!M$505:M$524)&gt;0,SUMIFS('Key inputs_EB_OWN'!M$505:M$524,'Key inputs_EB_OWN'!$C$505:$C$524,$C36)/SUM('Key inputs_EB_OWN'!M$505:M$524)&lt;0.001),0.001,SUMIFS('Key inputs_EB_OWN'!M$505:M$524,'Key inputs_EB_OWN'!$C$505:$C$524,$C36)/SUM('Key inputs_EB_OWN'!M$505:M$524)),"")</f>
        <v>0</v>
      </c>
      <c r="T36" s="173" t="str">
        <f>IFERROR(IF(AND(SUMIFS('Key inputs_EB_OWN'!N$505:N$524,'Key inputs_EB_OWN'!$C$505:$C$524,$C36)/SUM('Key inputs_EB_OWN'!N$505:N$524)&gt;0,SUMIFS('Key inputs_EB_OWN'!N$505:N$524,'Key inputs_EB_OWN'!$C$505:$C$524,$C36)/SUM('Key inputs_EB_OWN'!N$505:N$524)&lt;0.001),0.001,SUMIFS('Key inputs_EB_OWN'!N$505:N$524,'Key inputs_EB_OWN'!$C$505:$C$524,$C36)/SUM('Key inputs_EB_OWN'!N$505:N$524)),"")</f>
        <v/>
      </c>
      <c r="U36" s="173" t="str">
        <f>IFERROR(IF(AND(SUMIFS('Key inputs_EB_OWN'!O$505:O$524,'Key inputs_EB_OWN'!$C$505:$C$524,$C36)/SUM('Key inputs_EB_OWN'!O$505:O$524)&gt;0,SUMIFS('Key inputs_EB_OWN'!O$505:O$524,'Key inputs_EB_OWN'!$C$505:$C$524,$C36)/SUM('Key inputs_EB_OWN'!O$505:O$524)&lt;0.001),0.001,SUMIFS('Key inputs_EB_OWN'!O$505:O$524,'Key inputs_EB_OWN'!$C$505:$C$524,$C36)/SUM('Key inputs_EB_OWN'!O$505:O$524)),"")</f>
        <v/>
      </c>
      <c r="V36" s="173">
        <f>IFERROR(IF(AND(SUMIFS('Key inputs_EB_OWN'!P$505:P$524,'Key inputs_EB_OWN'!$C$505:$C$524,$C36)/SUM('Key inputs_EB_OWN'!P$505:P$524)&gt;0,SUMIFS('Key inputs_EB_OWN'!P$505:P$524,'Key inputs_EB_OWN'!$C$505:$C$524,$C36)/SUM('Key inputs_EB_OWN'!P$505:P$524)&lt;0.001),0.001,SUMIFS('Key inputs_EB_OWN'!P$505:P$524,'Key inputs_EB_OWN'!$C$505:$C$524,$C36)/SUM('Key inputs_EB_OWN'!P$505:P$524)),"")</f>
        <v>1.515178633120212E-2</v>
      </c>
      <c r="W36" s="173">
        <f>IFERROR(IF(AND(SUMIFS('Key inputs_EB_OWN'!Q$505:Q$524,'Key inputs_EB_OWN'!$C$505:$C$524,$C36)/SUM('Key inputs_EB_OWN'!Q$505:Q$524)&gt;0,SUMIFS('Key inputs_EB_OWN'!Q$505:Q$524,'Key inputs_EB_OWN'!$C$505:$C$524,$C36)/SUM('Key inputs_EB_OWN'!Q$505:Q$524)&lt;0.001),0.001,SUMIFS('Key inputs_EB_OWN'!Q$505:Q$524,'Key inputs_EB_OWN'!$C$505:$C$524,$C36)/SUM('Key inputs_EB_OWN'!Q$505:Q$524)),"")</f>
        <v>0</v>
      </c>
      <c r="X36" s="173">
        <f>IFERROR(IF(AND(SUMIFS('Key inputs_EB_OWN'!R$505:R$524,'Key inputs_EB_OWN'!$C$505:$C$524,$C36)/SUM('Key inputs_EB_OWN'!R$505:R$524)&gt;0,SUMIFS('Key inputs_EB_OWN'!R$505:R$524,'Key inputs_EB_OWN'!$C$505:$C$524,$C36)/SUM('Key inputs_EB_OWN'!R$505:R$524)&lt;0.001),0.001,SUMIFS('Key inputs_EB_OWN'!R$505:R$524,'Key inputs_EB_OWN'!$C$505:$C$524,$C36)/SUM('Key inputs_EB_OWN'!R$505:R$524)),"")</f>
        <v>0</v>
      </c>
      <c r="Y36" s="173">
        <f>IFERROR(IF(AND(SUMIFS('Key inputs_EB_OWN'!S$505:S$524,'Key inputs_EB_OWN'!$C$505:$C$524,$C36)/SUM('Key inputs_EB_OWN'!S$505:S$524)&gt;0,SUMIFS('Key inputs_EB_OWN'!S$505:S$524,'Key inputs_EB_OWN'!$C$505:$C$524,$C36)/SUM('Key inputs_EB_OWN'!S$505:S$524)&lt;0.001),0.001,SUMIFS('Key inputs_EB_OWN'!S$505:S$524,'Key inputs_EB_OWN'!$C$505:$C$524,$C36)/SUM('Key inputs_EB_OWN'!S$505:S$524)),"")</f>
        <v>0</v>
      </c>
      <c r="Z36" s="173">
        <f>IFERROR(IF(AND(SUMIFS('Key inputs_EB_OWN'!T$505:T$524,'Key inputs_EB_OWN'!$C$505:$C$524,$C36)/SUM('Key inputs_EB_OWN'!T$505:T$524)&gt;0,SUMIFS('Key inputs_EB_OWN'!T$505:T$524,'Key inputs_EB_OWN'!$C$505:$C$524,$C36)/SUM('Key inputs_EB_OWN'!T$505:T$524)&lt;0.001),0.001,SUMIFS('Key inputs_EB_OWN'!T$505:T$524,'Key inputs_EB_OWN'!$C$505:$C$524,$C36)/SUM('Key inputs_EB_OWN'!T$505:T$524)),"")</f>
        <v>8.1448243714654103E-2</v>
      </c>
      <c r="AA36" s="173">
        <f>IFERROR(IF(AND(SUMIFS('Key inputs_EB_OWN'!U$505:U$524,'Key inputs_EB_OWN'!$C$505:$C$524,$C36)/SUM('Key inputs_EB_OWN'!U$505:U$524)&gt;0,SUMIFS('Key inputs_EB_OWN'!U$505:U$524,'Key inputs_EB_OWN'!$C$505:$C$524,$C36)/SUM('Key inputs_EB_OWN'!U$505:U$524)&lt;0.001),0.001,SUMIFS('Key inputs_EB_OWN'!U$505:U$524,'Key inputs_EB_OWN'!$C$505:$C$524,$C36)/SUM('Key inputs_EB_OWN'!U$505:U$524)),"")</f>
        <v>0</v>
      </c>
      <c r="AB36" s="173" t="str">
        <f>IFERROR(IF(AND(SUMIFS('Key inputs_EB_OWN'!V$505:V$524,'Key inputs_EB_OWN'!$C$505:$C$524,$C36)/SUM('Key inputs_EB_OWN'!V$505:V$524)&gt;0,SUMIFS('Key inputs_EB_OWN'!V$505:V$524,'Key inputs_EB_OWN'!$C$505:$C$524,$C36)/SUM('Key inputs_EB_OWN'!V$505:V$524)&lt;0.001),0.001,SUMIFS('Key inputs_EB_OWN'!V$505:V$524,'Key inputs_EB_OWN'!$C$505:$C$524,$C36)/SUM('Key inputs_EB_OWN'!V$505:V$524)),"")</f>
        <v/>
      </c>
      <c r="AC36" s="173">
        <f>IFERROR(IF(AND(SUMIFS('Key inputs_EB_OWN'!W$505:W$524,'Key inputs_EB_OWN'!$C$505:$C$524,$C36)/SUM('Key inputs_EB_OWN'!W$505:W$524)&gt;0,SUMIFS('Key inputs_EB_OWN'!W$505:W$524,'Key inputs_EB_OWN'!$C$505:$C$524,$C36)/SUM('Key inputs_EB_OWN'!W$505:W$524)&lt;0.001),0.001,SUMIFS('Key inputs_EB_OWN'!W$505:W$524,'Key inputs_EB_OWN'!$C$505:$C$524,$C36)/SUM('Key inputs_EB_OWN'!W$505:W$524)),"")</f>
        <v>0</v>
      </c>
      <c r="AD36" s="173">
        <f>IFERROR(IF(AND(SUMIFS('Key inputs_EB_OWN'!X$505:X$524,'Key inputs_EB_OWN'!$C$505:$C$524,$C36)/SUM('Key inputs_EB_OWN'!X$505:X$524)&gt;0,SUMIFS('Key inputs_EB_OWN'!X$505:X$524,'Key inputs_EB_OWN'!$C$505:$C$524,$C36)/SUM('Key inputs_EB_OWN'!X$505:X$524)&lt;0.001),0.001,SUMIFS('Key inputs_EB_OWN'!X$505:X$524,'Key inputs_EB_OWN'!$C$505:$C$524,$C36)/SUM('Key inputs_EB_OWN'!X$505:X$524)),"")</f>
        <v>0</v>
      </c>
      <c r="AE36" s="173">
        <f>IFERROR(IF(AND(SUMIFS('Key inputs_EB_OWN'!Y$505:Y$524,'Key inputs_EB_OWN'!$C$505:$C$524,$C36)/SUM('Key inputs_EB_OWN'!Y$505:Y$524)&gt;0,SUMIFS('Key inputs_EB_OWN'!Y$505:Y$524,'Key inputs_EB_OWN'!$C$505:$C$524,$C36)/SUM('Key inputs_EB_OWN'!Y$505:Y$524)&lt;0.001),0.001,SUMIFS('Key inputs_EB_OWN'!Y$505:Y$524,'Key inputs_EB_OWN'!$C$505:$C$524,$C36)/SUM('Key inputs_EB_OWN'!Y$505:Y$524)),"")</f>
        <v>0</v>
      </c>
      <c r="AF36" s="173">
        <f>IFERROR(IF(AND(SUMIFS('Key inputs_EB_OWN'!Z$505:Z$524,'Key inputs_EB_OWN'!$C$505:$C$524,$C36)/SUM('Key inputs_EB_OWN'!Z$505:Z$524)&gt;0,SUMIFS('Key inputs_EB_OWN'!Z$505:Z$524,'Key inputs_EB_OWN'!$C$505:$C$524,$C36)/SUM('Key inputs_EB_OWN'!Z$505:Z$524)&lt;0.001),0.001,SUMIFS('Key inputs_EB_OWN'!Z$505:Z$524,'Key inputs_EB_OWN'!$C$505:$C$524,$C36)/SUM('Key inputs_EB_OWN'!Z$505:Z$524)),"")</f>
        <v>0</v>
      </c>
      <c r="AG36" s="173">
        <f>IFERROR(IF(AND(SUMIFS('Key inputs_EB_OWN'!AA$505:AA$524,'Key inputs_EB_OWN'!$C$505:$C$524,$C36)/SUM('Key inputs_EB_OWN'!AA$505:AA$524)&gt;0,SUMIFS('Key inputs_EB_OWN'!AA$505:AA$524,'Key inputs_EB_OWN'!$C$505:$C$524,$C36)/SUM('Key inputs_EB_OWN'!AA$505:AA$524)&lt;0.001),0.001,SUMIFS('Key inputs_EB_OWN'!AA$505:AA$524,'Key inputs_EB_OWN'!$C$505:$C$524,$C36)/SUM('Key inputs_EB_OWN'!AA$505:AA$524)),"")</f>
        <v>0</v>
      </c>
      <c r="AH36" s="173">
        <f>IFERROR(IF(AND(SUMIFS('Key inputs_EB_OWN'!AB$505:AB$524,'Key inputs_EB_OWN'!$C$505:$C$524,$C36)/SUM('Key inputs_EB_OWN'!AB$505:AB$524)&gt;0,SUMIFS('Key inputs_EB_OWN'!AB$505:AB$524,'Key inputs_EB_OWN'!$C$505:$C$524,$C36)/SUM('Key inputs_EB_OWN'!AB$505:AB$524)&lt;0.001),0.001,SUMIFS('Key inputs_EB_OWN'!AB$505:AB$524,'Key inputs_EB_OWN'!$C$505:$C$524,$C36)/SUM('Key inputs_EB_OWN'!AB$505:AB$524)),"")</f>
        <v>1</v>
      </c>
      <c r="AI36" s="173" t="str">
        <f>IFERROR(IF(AND(SUMIFS('Key inputs_EB_OWN'!AC$505:AC$524,'Key inputs_EB_OWN'!$C$505:$C$524,$C36)/SUM('Key inputs_EB_OWN'!AC$505:AC$524)&gt;0,SUMIFS('Key inputs_EB_OWN'!AC$505:AC$524,'Key inputs_EB_OWN'!$C$505:$C$524,$C36)/SUM('Key inputs_EB_OWN'!AC$505:AC$524)&lt;0.001),0.001,SUMIFS('Key inputs_EB_OWN'!AC$505:AC$524,'Key inputs_EB_OWN'!$C$505:$C$524,$C36)/SUM('Key inputs_EB_OWN'!AC$505:AC$524)),"")</f>
        <v/>
      </c>
      <c r="AJ36" s="173">
        <f>IFERROR(IF(AND(SUMIFS('Key inputs_EB_OWN'!AD$505:AD$524,'Key inputs_EB_OWN'!$C$505:$C$524,$C36)/SUM('Key inputs_EB_OWN'!AD$505:AD$524)&gt;0,SUMIFS('Key inputs_EB_OWN'!AD$505:AD$524,'Key inputs_EB_OWN'!$C$505:$C$524,$C36)/SUM('Key inputs_EB_OWN'!AD$505:AD$524)&lt;0.001),0.001,SUMIFS('Key inputs_EB_OWN'!AD$505:AD$524,'Key inputs_EB_OWN'!$C$505:$C$524,$C36)/SUM('Key inputs_EB_OWN'!AD$505:AD$524)),"")</f>
        <v>0</v>
      </c>
      <c r="AK36" s="173">
        <f>IFERROR(IF(AND(SUMIFS('Key inputs_EB_OWN'!AE$505:AE$524,'Key inputs_EB_OWN'!$C$505:$C$524,$C36)/SUM('Key inputs_EB_OWN'!AE$505:AE$524)&gt;0,SUMIFS('Key inputs_EB_OWN'!AE$505:AE$524,'Key inputs_EB_OWN'!$C$505:$C$524,$C36)/SUM('Key inputs_EB_OWN'!AE$505:AE$524)&lt;0.001),0.001,SUMIFS('Key inputs_EB_OWN'!AE$505:AE$524,'Key inputs_EB_OWN'!$C$505:$C$524,$C36)/SUM('Key inputs_EB_OWN'!AE$505:AE$524)),"")</f>
        <v>0</v>
      </c>
      <c r="AL36" s="173">
        <f>IFERROR(IF(AND(SUMIFS('Key inputs_EB_OWN'!AF$505:AF$524,'Key inputs_EB_OWN'!$C$505:$C$524,$C36)/SUM('Key inputs_EB_OWN'!AF$505:AF$524)&gt;0,SUMIFS('Key inputs_EB_OWN'!AF$505:AF$524,'Key inputs_EB_OWN'!$C$505:$C$524,$C36)/SUM('Key inputs_EB_OWN'!AF$505:AF$524)&lt;0.001),0.001,SUMIFS('Key inputs_EB_OWN'!AF$505:AF$524,'Key inputs_EB_OWN'!$C$505:$C$524,$C36)/SUM('Key inputs_EB_OWN'!AF$505:AF$524)),"")</f>
        <v>0</v>
      </c>
    </row>
    <row r="37" spans="1:38">
      <c r="C37" t="str">
        <f>Commodities!$C$90</f>
        <v>UPSDSL</v>
      </c>
      <c r="F37" s="4" t="s">
        <v>359</v>
      </c>
      <c r="G37" s="4" t="s">
        <v>702</v>
      </c>
      <c r="H37" t="s">
        <v>661</v>
      </c>
      <c r="I37">
        <v>2019</v>
      </c>
      <c r="J37" s="4" t="s">
        <v>650</v>
      </c>
      <c r="K37" s="173" t="str">
        <f>IFERROR(IF(AND(SUMIFS('Key inputs_EB_OWN'!E$505:E$524,'Key inputs_EB_OWN'!$C$505:$C$524,$C37)/SUM('Key inputs_EB_OWN'!E$505:E$524)&gt;0,SUMIFS('Key inputs_EB_OWN'!E$505:E$524,'Key inputs_EB_OWN'!$C$505:$C$524,$C37)/SUM('Key inputs_EB_OWN'!E$505:E$524)&lt;0.001),0.001,SUMIFS('Key inputs_EB_OWN'!E$505:E$524,'Key inputs_EB_OWN'!$C$505:$C$524,$C37)/SUM('Key inputs_EB_OWN'!E$505:E$524)),"")</f>
        <v/>
      </c>
      <c r="L37" s="173" t="str">
        <f>IFERROR(IF(AND(SUMIFS('Key inputs_EB_OWN'!F$505:F$524,'Key inputs_EB_OWN'!$C$505:$C$524,$C37)/SUM('Key inputs_EB_OWN'!F$505:F$524)&gt;0,SUMIFS('Key inputs_EB_OWN'!F$505:F$524,'Key inputs_EB_OWN'!$C$505:$C$524,$C37)/SUM('Key inputs_EB_OWN'!F$505:F$524)&lt;0.001),0.001,SUMIFS('Key inputs_EB_OWN'!F$505:F$524,'Key inputs_EB_OWN'!$C$505:$C$524,$C37)/SUM('Key inputs_EB_OWN'!F$505:F$524)),"")</f>
        <v/>
      </c>
      <c r="M37" s="173" t="str">
        <f>IFERROR(IF(AND(SUMIFS('Key inputs_EB_OWN'!G$505:G$524,'Key inputs_EB_OWN'!$C$505:$C$524,$C37)/SUM('Key inputs_EB_OWN'!G$505:G$524)&gt;0,SUMIFS('Key inputs_EB_OWN'!G$505:G$524,'Key inputs_EB_OWN'!$C$505:$C$524,$C37)/SUM('Key inputs_EB_OWN'!G$505:G$524)&lt;0.001),0.001,SUMIFS('Key inputs_EB_OWN'!G$505:G$524,'Key inputs_EB_OWN'!$C$505:$C$524,$C37)/SUM('Key inputs_EB_OWN'!G$505:G$524)),"")</f>
        <v/>
      </c>
      <c r="N37" s="173">
        <f>IFERROR(IF(AND(SUMIFS('Key inputs_EB_OWN'!H$505:H$524,'Key inputs_EB_OWN'!$C$505:$C$524,$C37)/SUM('Key inputs_EB_OWN'!H$505:H$524)&gt;0,SUMIFS('Key inputs_EB_OWN'!H$505:H$524,'Key inputs_EB_OWN'!$C$505:$C$524,$C37)/SUM('Key inputs_EB_OWN'!H$505:H$524)&lt;0.001),0.001,SUMIFS('Key inputs_EB_OWN'!H$505:H$524,'Key inputs_EB_OWN'!$C$505:$C$524,$C37)/SUM('Key inputs_EB_OWN'!H$505:H$524)),"")</f>
        <v>0</v>
      </c>
      <c r="O37" s="173">
        <f>IFERROR(IF(AND(SUMIFS('Key inputs_EB_OWN'!I$505:I$524,'Key inputs_EB_OWN'!$C$505:$C$524,$C37)/SUM('Key inputs_EB_OWN'!I$505:I$524)&gt;0,SUMIFS('Key inputs_EB_OWN'!I$505:I$524,'Key inputs_EB_OWN'!$C$505:$C$524,$C37)/SUM('Key inputs_EB_OWN'!I$505:I$524)&lt;0.001),0.001,SUMIFS('Key inputs_EB_OWN'!I$505:I$524,'Key inputs_EB_OWN'!$C$505:$C$524,$C37)/SUM('Key inputs_EB_OWN'!I$505:I$524)),"")</f>
        <v>0</v>
      </c>
      <c r="P37" s="173">
        <f>IFERROR(IF(AND(SUMIFS('Key inputs_EB_OWN'!J$505:J$524,'Key inputs_EB_OWN'!$C$505:$C$524,$C37)/SUM('Key inputs_EB_OWN'!J$505:J$524)&gt;0,SUMIFS('Key inputs_EB_OWN'!J$505:J$524,'Key inputs_EB_OWN'!$C$505:$C$524,$C37)/SUM('Key inputs_EB_OWN'!J$505:J$524)&lt;0.001),0.001,SUMIFS('Key inputs_EB_OWN'!J$505:J$524,'Key inputs_EB_OWN'!$C$505:$C$524,$C37)/SUM('Key inputs_EB_OWN'!J$505:J$524)),"")</f>
        <v>0</v>
      </c>
      <c r="Q37" s="173" t="str">
        <f>IFERROR(IF(AND(SUMIFS('Key inputs_EB_OWN'!K$505:K$524,'Key inputs_EB_OWN'!$C$505:$C$524,$C37)/SUM('Key inputs_EB_OWN'!K$505:K$524)&gt;0,SUMIFS('Key inputs_EB_OWN'!K$505:K$524,'Key inputs_EB_OWN'!$C$505:$C$524,$C37)/SUM('Key inputs_EB_OWN'!K$505:K$524)&lt;0.001),0.001,SUMIFS('Key inputs_EB_OWN'!K$505:K$524,'Key inputs_EB_OWN'!$C$505:$C$524,$C37)/SUM('Key inputs_EB_OWN'!K$505:K$524)),"")</f>
        <v/>
      </c>
      <c r="R37" s="173" t="str">
        <f>IFERROR(IF(AND(SUMIFS('Key inputs_EB_OWN'!L$505:L$524,'Key inputs_EB_OWN'!$C$505:$C$524,$C37)/SUM('Key inputs_EB_OWN'!L$505:L$524)&gt;0,SUMIFS('Key inputs_EB_OWN'!L$505:L$524,'Key inputs_EB_OWN'!$C$505:$C$524,$C37)/SUM('Key inputs_EB_OWN'!L$505:L$524)&lt;0.001),0.001,SUMIFS('Key inputs_EB_OWN'!L$505:L$524,'Key inputs_EB_OWN'!$C$505:$C$524,$C37)/SUM('Key inputs_EB_OWN'!L$505:L$524)),"")</f>
        <v/>
      </c>
      <c r="S37" s="173">
        <f>IFERROR(IF(AND(SUMIFS('Key inputs_EB_OWN'!M$505:M$524,'Key inputs_EB_OWN'!$C$505:$C$524,$C37)/SUM('Key inputs_EB_OWN'!M$505:M$524)&gt;0,SUMIFS('Key inputs_EB_OWN'!M$505:M$524,'Key inputs_EB_OWN'!$C$505:$C$524,$C37)/SUM('Key inputs_EB_OWN'!M$505:M$524)&lt;0.001),0.001,SUMIFS('Key inputs_EB_OWN'!M$505:M$524,'Key inputs_EB_OWN'!$C$505:$C$524,$C37)/SUM('Key inputs_EB_OWN'!M$505:M$524)),"")</f>
        <v>0</v>
      </c>
      <c r="T37" s="173" t="str">
        <f>IFERROR(IF(AND(SUMIFS('Key inputs_EB_OWN'!N$505:N$524,'Key inputs_EB_OWN'!$C$505:$C$524,$C37)/SUM('Key inputs_EB_OWN'!N$505:N$524)&gt;0,SUMIFS('Key inputs_EB_OWN'!N$505:N$524,'Key inputs_EB_OWN'!$C$505:$C$524,$C37)/SUM('Key inputs_EB_OWN'!N$505:N$524)&lt;0.001),0.001,SUMIFS('Key inputs_EB_OWN'!N$505:N$524,'Key inputs_EB_OWN'!$C$505:$C$524,$C37)/SUM('Key inputs_EB_OWN'!N$505:N$524)),"")</f>
        <v/>
      </c>
      <c r="U37" s="173" t="str">
        <f>IFERROR(IF(AND(SUMIFS('Key inputs_EB_OWN'!O$505:O$524,'Key inputs_EB_OWN'!$C$505:$C$524,$C37)/SUM('Key inputs_EB_OWN'!O$505:O$524)&gt;0,SUMIFS('Key inputs_EB_OWN'!O$505:O$524,'Key inputs_EB_OWN'!$C$505:$C$524,$C37)/SUM('Key inputs_EB_OWN'!O$505:O$524)&lt;0.001),0.001,SUMIFS('Key inputs_EB_OWN'!O$505:O$524,'Key inputs_EB_OWN'!$C$505:$C$524,$C37)/SUM('Key inputs_EB_OWN'!O$505:O$524)),"")</f>
        <v/>
      </c>
      <c r="V37" s="173">
        <f>IFERROR(IF(AND(SUMIFS('Key inputs_EB_OWN'!P$505:P$524,'Key inputs_EB_OWN'!$C$505:$C$524,$C37)/SUM('Key inputs_EB_OWN'!P$505:P$524)&gt;0,SUMIFS('Key inputs_EB_OWN'!P$505:P$524,'Key inputs_EB_OWN'!$C$505:$C$524,$C37)/SUM('Key inputs_EB_OWN'!P$505:P$524)&lt;0.001),0.001,SUMIFS('Key inputs_EB_OWN'!P$505:P$524,'Key inputs_EB_OWN'!$C$505:$C$524,$C37)/SUM('Key inputs_EB_OWN'!P$505:P$524)),"")</f>
        <v>0</v>
      </c>
      <c r="W37" s="173">
        <f>IFERROR(IF(AND(SUMIFS('Key inputs_EB_OWN'!Q$505:Q$524,'Key inputs_EB_OWN'!$C$505:$C$524,$C37)/SUM('Key inputs_EB_OWN'!Q$505:Q$524)&gt;0,SUMIFS('Key inputs_EB_OWN'!Q$505:Q$524,'Key inputs_EB_OWN'!$C$505:$C$524,$C37)/SUM('Key inputs_EB_OWN'!Q$505:Q$524)&lt;0.001),0.001,SUMIFS('Key inputs_EB_OWN'!Q$505:Q$524,'Key inputs_EB_OWN'!$C$505:$C$524,$C37)/SUM('Key inputs_EB_OWN'!Q$505:Q$524)),"")</f>
        <v>0</v>
      </c>
      <c r="X37" s="173">
        <f>IFERROR(IF(AND(SUMIFS('Key inputs_EB_OWN'!R$505:R$524,'Key inputs_EB_OWN'!$C$505:$C$524,$C37)/SUM('Key inputs_EB_OWN'!R$505:R$524)&gt;0,SUMIFS('Key inputs_EB_OWN'!R$505:R$524,'Key inputs_EB_OWN'!$C$505:$C$524,$C37)/SUM('Key inputs_EB_OWN'!R$505:R$524)&lt;0.001),0.001,SUMIFS('Key inputs_EB_OWN'!R$505:R$524,'Key inputs_EB_OWN'!$C$505:$C$524,$C37)/SUM('Key inputs_EB_OWN'!R$505:R$524)),"")</f>
        <v>0</v>
      </c>
      <c r="Y37" s="173">
        <f>IFERROR(IF(AND(SUMIFS('Key inputs_EB_OWN'!S$505:S$524,'Key inputs_EB_OWN'!$C$505:$C$524,$C37)/SUM('Key inputs_EB_OWN'!S$505:S$524)&gt;0,SUMIFS('Key inputs_EB_OWN'!S$505:S$524,'Key inputs_EB_OWN'!$C$505:$C$524,$C37)/SUM('Key inputs_EB_OWN'!S$505:S$524)&lt;0.001),0.001,SUMIFS('Key inputs_EB_OWN'!S$505:S$524,'Key inputs_EB_OWN'!$C$505:$C$524,$C37)/SUM('Key inputs_EB_OWN'!S$505:S$524)),"")</f>
        <v>1E-3</v>
      </c>
      <c r="Z37" s="173">
        <f>IFERROR(IF(AND(SUMIFS('Key inputs_EB_OWN'!T$505:T$524,'Key inputs_EB_OWN'!$C$505:$C$524,$C37)/SUM('Key inputs_EB_OWN'!T$505:T$524)&gt;0,SUMIFS('Key inputs_EB_OWN'!T$505:T$524,'Key inputs_EB_OWN'!$C$505:$C$524,$C37)/SUM('Key inputs_EB_OWN'!T$505:T$524)&lt;0.001),0.001,SUMIFS('Key inputs_EB_OWN'!T$505:T$524,'Key inputs_EB_OWN'!$C$505:$C$524,$C37)/SUM('Key inputs_EB_OWN'!T$505:T$524)),"")</f>
        <v>0</v>
      </c>
      <c r="AA37" s="173">
        <f>IFERROR(IF(AND(SUMIFS('Key inputs_EB_OWN'!U$505:U$524,'Key inputs_EB_OWN'!$C$505:$C$524,$C37)/SUM('Key inputs_EB_OWN'!U$505:U$524)&gt;0,SUMIFS('Key inputs_EB_OWN'!U$505:U$524,'Key inputs_EB_OWN'!$C$505:$C$524,$C37)/SUM('Key inputs_EB_OWN'!U$505:U$524)&lt;0.001),0.001,SUMIFS('Key inputs_EB_OWN'!U$505:U$524,'Key inputs_EB_OWN'!$C$505:$C$524,$C37)/SUM('Key inputs_EB_OWN'!U$505:U$524)),"")</f>
        <v>1.1148017406598699E-3</v>
      </c>
      <c r="AB37" s="173" t="str">
        <f>IFERROR(IF(AND(SUMIFS('Key inputs_EB_OWN'!V$505:V$524,'Key inputs_EB_OWN'!$C$505:$C$524,$C37)/SUM('Key inputs_EB_OWN'!V$505:V$524)&gt;0,SUMIFS('Key inputs_EB_OWN'!V$505:V$524,'Key inputs_EB_OWN'!$C$505:$C$524,$C37)/SUM('Key inputs_EB_OWN'!V$505:V$524)&lt;0.001),0.001,SUMIFS('Key inputs_EB_OWN'!V$505:V$524,'Key inputs_EB_OWN'!$C$505:$C$524,$C37)/SUM('Key inputs_EB_OWN'!V$505:V$524)),"")</f>
        <v/>
      </c>
      <c r="AC37" s="173">
        <f>IFERROR(IF(AND(SUMIFS('Key inputs_EB_OWN'!W$505:W$524,'Key inputs_EB_OWN'!$C$505:$C$524,$C37)/SUM('Key inputs_EB_OWN'!W$505:W$524)&gt;0,SUMIFS('Key inputs_EB_OWN'!W$505:W$524,'Key inputs_EB_OWN'!$C$505:$C$524,$C37)/SUM('Key inputs_EB_OWN'!W$505:W$524)&lt;0.001),0.001,SUMIFS('Key inputs_EB_OWN'!W$505:W$524,'Key inputs_EB_OWN'!$C$505:$C$524,$C37)/SUM('Key inputs_EB_OWN'!W$505:W$524)),"")</f>
        <v>0</v>
      </c>
      <c r="AD37" s="173">
        <f>IFERROR(IF(AND(SUMIFS('Key inputs_EB_OWN'!X$505:X$524,'Key inputs_EB_OWN'!$C$505:$C$524,$C37)/SUM('Key inputs_EB_OWN'!X$505:X$524)&gt;0,SUMIFS('Key inputs_EB_OWN'!X$505:X$524,'Key inputs_EB_OWN'!$C$505:$C$524,$C37)/SUM('Key inputs_EB_OWN'!X$505:X$524)&lt;0.001),0.001,SUMIFS('Key inputs_EB_OWN'!X$505:X$524,'Key inputs_EB_OWN'!$C$505:$C$524,$C37)/SUM('Key inputs_EB_OWN'!X$505:X$524)),"")</f>
        <v>6.3265422572102185E-3</v>
      </c>
      <c r="AE37" s="173">
        <f>IFERROR(IF(AND(SUMIFS('Key inputs_EB_OWN'!Y$505:Y$524,'Key inputs_EB_OWN'!$C$505:$C$524,$C37)/SUM('Key inputs_EB_OWN'!Y$505:Y$524)&gt;0,SUMIFS('Key inputs_EB_OWN'!Y$505:Y$524,'Key inputs_EB_OWN'!$C$505:$C$524,$C37)/SUM('Key inputs_EB_OWN'!Y$505:Y$524)&lt;0.001),0.001,SUMIFS('Key inputs_EB_OWN'!Y$505:Y$524,'Key inputs_EB_OWN'!$C$505:$C$524,$C37)/SUM('Key inputs_EB_OWN'!Y$505:Y$524)),"")</f>
        <v>0</v>
      </c>
      <c r="AF37" s="173">
        <f>IFERROR(IF(AND(SUMIFS('Key inputs_EB_OWN'!Z$505:Z$524,'Key inputs_EB_OWN'!$C$505:$C$524,$C37)/SUM('Key inputs_EB_OWN'!Z$505:Z$524)&gt;0,SUMIFS('Key inputs_EB_OWN'!Z$505:Z$524,'Key inputs_EB_OWN'!$C$505:$C$524,$C37)/SUM('Key inputs_EB_OWN'!Z$505:Z$524)&lt;0.001),0.001,SUMIFS('Key inputs_EB_OWN'!Z$505:Z$524,'Key inputs_EB_OWN'!$C$505:$C$524,$C37)/SUM('Key inputs_EB_OWN'!Z$505:Z$524)),"")</f>
        <v>0</v>
      </c>
      <c r="AG37" s="173">
        <f>IFERROR(IF(AND(SUMIFS('Key inputs_EB_OWN'!AA$505:AA$524,'Key inputs_EB_OWN'!$C$505:$C$524,$C37)/SUM('Key inputs_EB_OWN'!AA$505:AA$524)&gt;0,SUMIFS('Key inputs_EB_OWN'!AA$505:AA$524,'Key inputs_EB_OWN'!$C$505:$C$524,$C37)/SUM('Key inputs_EB_OWN'!AA$505:AA$524)&lt;0.001),0.001,SUMIFS('Key inputs_EB_OWN'!AA$505:AA$524,'Key inputs_EB_OWN'!$C$505:$C$524,$C37)/SUM('Key inputs_EB_OWN'!AA$505:AA$524)),"")</f>
        <v>0</v>
      </c>
      <c r="AH37" s="173">
        <f>IFERROR(IF(AND(SUMIFS('Key inputs_EB_OWN'!AB$505:AB$524,'Key inputs_EB_OWN'!$C$505:$C$524,$C37)/SUM('Key inputs_EB_OWN'!AB$505:AB$524)&gt;0,SUMIFS('Key inputs_EB_OWN'!AB$505:AB$524,'Key inputs_EB_OWN'!$C$505:$C$524,$C37)/SUM('Key inputs_EB_OWN'!AB$505:AB$524)&lt;0.001),0.001,SUMIFS('Key inputs_EB_OWN'!AB$505:AB$524,'Key inputs_EB_OWN'!$C$505:$C$524,$C37)/SUM('Key inputs_EB_OWN'!AB$505:AB$524)),"")</f>
        <v>0</v>
      </c>
      <c r="AI37" s="173" t="str">
        <f>IFERROR(IF(AND(SUMIFS('Key inputs_EB_OWN'!AC$505:AC$524,'Key inputs_EB_OWN'!$C$505:$C$524,$C37)/SUM('Key inputs_EB_OWN'!AC$505:AC$524)&gt;0,SUMIFS('Key inputs_EB_OWN'!AC$505:AC$524,'Key inputs_EB_OWN'!$C$505:$C$524,$C37)/SUM('Key inputs_EB_OWN'!AC$505:AC$524)&lt;0.001),0.001,SUMIFS('Key inputs_EB_OWN'!AC$505:AC$524,'Key inputs_EB_OWN'!$C$505:$C$524,$C37)/SUM('Key inputs_EB_OWN'!AC$505:AC$524)),"")</f>
        <v/>
      </c>
      <c r="AJ37" s="173">
        <f>IFERROR(IF(AND(SUMIFS('Key inputs_EB_OWN'!AD$505:AD$524,'Key inputs_EB_OWN'!$C$505:$C$524,$C37)/SUM('Key inputs_EB_OWN'!AD$505:AD$524)&gt;0,SUMIFS('Key inputs_EB_OWN'!AD$505:AD$524,'Key inputs_EB_OWN'!$C$505:$C$524,$C37)/SUM('Key inputs_EB_OWN'!AD$505:AD$524)&lt;0.001),0.001,SUMIFS('Key inputs_EB_OWN'!AD$505:AD$524,'Key inputs_EB_OWN'!$C$505:$C$524,$C37)/SUM('Key inputs_EB_OWN'!AD$505:AD$524)),"")</f>
        <v>0</v>
      </c>
      <c r="AK37" s="173">
        <f>IFERROR(IF(AND(SUMIFS('Key inputs_EB_OWN'!AE$505:AE$524,'Key inputs_EB_OWN'!$C$505:$C$524,$C37)/SUM('Key inputs_EB_OWN'!AE$505:AE$524)&gt;0,SUMIFS('Key inputs_EB_OWN'!AE$505:AE$524,'Key inputs_EB_OWN'!$C$505:$C$524,$C37)/SUM('Key inputs_EB_OWN'!AE$505:AE$524)&lt;0.001),0.001,SUMIFS('Key inputs_EB_OWN'!AE$505:AE$524,'Key inputs_EB_OWN'!$C$505:$C$524,$C37)/SUM('Key inputs_EB_OWN'!AE$505:AE$524)),"")</f>
        <v>0</v>
      </c>
      <c r="AL37" s="173">
        <f>IFERROR(IF(AND(SUMIFS('Key inputs_EB_OWN'!AF$505:AF$524,'Key inputs_EB_OWN'!$C$505:$C$524,$C37)/SUM('Key inputs_EB_OWN'!AF$505:AF$524)&gt;0,SUMIFS('Key inputs_EB_OWN'!AF$505:AF$524,'Key inputs_EB_OWN'!$C$505:$C$524,$C37)/SUM('Key inputs_EB_OWN'!AF$505:AF$524)&lt;0.001),0.001,SUMIFS('Key inputs_EB_OWN'!AF$505:AF$524,'Key inputs_EB_OWN'!$C$505:$C$524,$C37)/SUM('Key inputs_EB_OWN'!AF$505:AF$524)),"")</f>
        <v>0</v>
      </c>
    </row>
    <row r="38" spans="1:38">
      <c r="C38" t="str">
        <f>Commodities!$C$91</f>
        <v>UPSELC</v>
      </c>
      <c r="F38" s="4" t="s">
        <v>359</v>
      </c>
      <c r="G38" s="4" t="s">
        <v>702</v>
      </c>
      <c r="H38" t="s">
        <v>661</v>
      </c>
      <c r="I38">
        <v>2019</v>
      </c>
      <c r="J38" s="4" t="s">
        <v>650</v>
      </c>
      <c r="K38" s="173" t="str">
        <f>IFERROR(IF(AND(SUMIFS('Key inputs_EB_OWN'!E$505:E$524,'Key inputs_EB_OWN'!$C$505:$C$524,$C38)/SUM('Key inputs_EB_OWN'!E$505:E$524)&gt;0,SUMIFS('Key inputs_EB_OWN'!E$505:E$524,'Key inputs_EB_OWN'!$C$505:$C$524,$C38)/SUM('Key inputs_EB_OWN'!E$505:E$524)&lt;0.001),0.001,SUMIFS('Key inputs_EB_OWN'!E$505:E$524,'Key inputs_EB_OWN'!$C$505:$C$524,$C38)/SUM('Key inputs_EB_OWN'!E$505:E$524)),"")</f>
        <v/>
      </c>
      <c r="L38" s="173" t="str">
        <f>IFERROR(IF(AND(SUMIFS('Key inputs_EB_OWN'!F$505:F$524,'Key inputs_EB_OWN'!$C$505:$C$524,$C38)/SUM('Key inputs_EB_OWN'!F$505:F$524)&gt;0,SUMIFS('Key inputs_EB_OWN'!F$505:F$524,'Key inputs_EB_OWN'!$C$505:$C$524,$C38)/SUM('Key inputs_EB_OWN'!F$505:F$524)&lt;0.001),0.001,SUMIFS('Key inputs_EB_OWN'!F$505:F$524,'Key inputs_EB_OWN'!$C$505:$C$524,$C38)/SUM('Key inputs_EB_OWN'!F$505:F$524)),"")</f>
        <v/>
      </c>
      <c r="M38" s="173" t="str">
        <f>IFERROR(IF(AND(SUMIFS('Key inputs_EB_OWN'!G$505:G$524,'Key inputs_EB_OWN'!$C$505:$C$524,$C38)/SUM('Key inputs_EB_OWN'!G$505:G$524)&gt;0,SUMIFS('Key inputs_EB_OWN'!G$505:G$524,'Key inputs_EB_OWN'!$C$505:$C$524,$C38)/SUM('Key inputs_EB_OWN'!G$505:G$524)&lt;0.001),0.001,SUMIFS('Key inputs_EB_OWN'!G$505:G$524,'Key inputs_EB_OWN'!$C$505:$C$524,$C38)/SUM('Key inputs_EB_OWN'!G$505:G$524)),"")</f>
        <v/>
      </c>
      <c r="N38" s="173">
        <f>IFERROR(IF(AND(SUMIFS('Key inputs_EB_OWN'!H$505:H$524,'Key inputs_EB_OWN'!$C$505:$C$524,$C38)/SUM('Key inputs_EB_OWN'!H$505:H$524)&gt;0,SUMIFS('Key inputs_EB_OWN'!H$505:H$524,'Key inputs_EB_OWN'!$C$505:$C$524,$C38)/SUM('Key inputs_EB_OWN'!H$505:H$524)&lt;0.001),0.001,SUMIFS('Key inputs_EB_OWN'!H$505:H$524,'Key inputs_EB_OWN'!$C$505:$C$524,$C38)/SUM('Key inputs_EB_OWN'!H$505:H$524)),"")</f>
        <v>0</v>
      </c>
      <c r="O38" s="173">
        <f>IFERROR(IF(AND(SUMIFS('Key inputs_EB_OWN'!I$505:I$524,'Key inputs_EB_OWN'!$C$505:$C$524,$C38)/SUM('Key inputs_EB_OWN'!I$505:I$524)&gt;0,SUMIFS('Key inputs_EB_OWN'!I$505:I$524,'Key inputs_EB_OWN'!$C$505:$C$524,$C38)/SUM('Key inputs_EB_OWN'!I$505:I$524)&lt;0.001),0.001,SUMIFS('Key inputs_EB_OWN'!I$505:I$524,'Key inputs_EB_OWN'!$C$505:$C$524,$C38)/SUM('Key inputs_EB_OWN'!I$505:I$524)),"")</f>
        <v>2.1404423193075617E-2</v>
      </c>
      <c r="P38" s="173">
        <f>IFERROR(IF(AND(SUMIFS('Key inputs_EB_OWN'!J$505:J$524,'Key inputs_EB_OWN'!$C$505:$C$524,$C38)/SUM('Key inputs_EB_OWN'!J$505:J$524)&gt;0,SUMIFS('Key inputs_EB_OWN'!J$505:J$524,'Key inputs_EB_OWN'!$C$505:$C$524,$C38)/SUM('Key inputs_EB_OWN'!J$505:J$524)&lt;0.001),0.001,SUMIFS('Key inputs_EB_OWN'!J$505:J$524,'Key inputs_EB_OWN'!$C$505:$C$524,$C38)/SUM('Key inputs_EB_OWN'!J$505:J$524)),"")</f>
        <v>0</v>
      </c>
      <c r="Q38" s="173" t="str">
        <f>IFERROR(IF(AND(SUMIFS('Key inputs_EB_OWN'!K$505:K$524,'Key inputs_EB_OWN'!$C$505:$C$524,$C38)/SUM('Key inputs_EB_OWN'!K$505:K$524)&gt;0,SUMIFS('Key inputs_EB_OWN'!K$505:K$524,'Key inputs_EB_OWN'!$C$505:$C$524,$C38)/SUM('Key inputs_EB_OWN'!K$505:K$524)&lt;0.001),0.001,SUMIFS('Key inputs_EB_OWN'!K$505:K$524,'Key inputs_EB_OWN'!$C$505:$C$524,$C38)/SUM('Key inputs_EB_OWN'!K$505:K$524)),"")</f>
        <v/>
      </c>
      <c r="R38" s="173" t="str">
        <f>IFERROR(IF(AND(SUMIFS('Key inputs_EB_OWN'!L$505:L$524,'Key inputs_EB_OWN'!$C$505:$C$524,$C38)/SUM('Key inputs_EB_OWN'!L$505:L$524)&gt;0,SUMIFS('Key inputs_EB_OWN'!L$505:L$524,'Key inputs_EB_OWN'!$C$505:$C$524,$C38)/SUM('Key inputs_EB_OWN'!L$505:L$524)&lt;0.001),0.001,SUMIFS('Key inputs_EB_OWN'!L$505:L$524,'Key inputs_EB_OWN'!$C$505:$C$524,$C38)/SUM('Key inputs_EB_OWN'!L$505:L$524)),"")</f>
        <v/>
      </c>
      <c r="S38" s="173">
        <f>IFERROR(IF(AND(SUMIFS('Key inputs_EB_OWN'!M$505:M$524,'Key inputs_EB_OWN'!$C$505:$C$524,$C38)/SUM('Key inputs_EB_OWN'!M$505:M$524)&gt;0,SUMIFS('Key inputs_EB_OWN'!M$505:M$524,'Key inputs_EB_OWN'!$C$505:$C$524,$C38)/SUM('Key inputs_EB_OWN'!M$505:M$524)&lt;0.001),0.001,SUMIFS('Key inputs_EB_OWN'!M$505:M$524,'Key inputs_EB_OWN'!$C$505:$C$524,$C38)/SUM('Key inputs_EB_OWN'!M$505:M$524)),"")</f>
        <v>0</v>
      </c>
      <c r="T38" s="173" t="str">
        <f>IFERROR(IF(AND(SUMIFS('Key inputs_EB_OWN'!N$505:N$524,'Key inputs_EB_OWN'!$C$505:$C$524,$C38)/SUM('Key inputs_EB_OWN'!N$505:N$524)&gt;0,SUMIFS('Key inputs_EB_OWN'!N$505:N$524,'Key inputs_EB_OWN'!$C$505:$C$524,$C38)/SUM('Key inputs_EB_OWN'!N$505:N$524)&lt;0.001),0.001,SUMIFS('Key inputs_EB_OWN'!N$505:N$524,'Key inputs_EB_OWN'!$C$505:$C$524,$C38)/SUM('Key inputs_EB_OWN'!N$505:N$524)),"")</f>
        <v/>
      </c>
      <c r="U38" s="173" t="str">
        <f>IFERROR(IF(AND(SUMIFS('Key inputs_EB_OWN'!O$505:O$524,'Key inputs_EB_OWN'!$C$505:$C$524,$C38)/SUM('Key inputs_EB_OWN'!O$505:O$524)&gt;0,SUMIFS('Key inputs_EB_OWN'!O$505:O$524,'Key inputs_EB_OWN'!$C$505:$C$524,$C38)/SUM('Key inputs_EB_OWN'!O$505:O$524)&lt;0.001),0.001,SUMIFS('Key inputs_EB_OWN'!O$505:O$524,'Key inputs_EB_OWN'!$C$505:$C$524,$C38)/SUM('Key inputs_EB_OWN'!O$505:O$524)),"")</f>
        <v/>
      </c>
      <c r="V38" s="173">
        <f>IFERROR(IF(AND(SUMIFS('Key inputs_EB_OWN'!P$505:P$524,'Key inputs_EB_OWN'!$C$505:$C$524,$C38)/SUM('Key inputs_EB_OWN'!P$505:P$524)&gt;0,SUMIFS('Key inputs_EB_OWN'!P$505:P$524,'Key inputs_EB_OWN'!$C$505:$C$524,$C38)/SUM('Key inputs_EB_OWN'!P$505:P$524)&lt;0.001),0.001,SUMIFS('Key inputs_EB_OWN'!P$505:P$524,'Key inputs_EB_OWN'!$C$505:$C$524,$C38)/SUM('Key inputs_EB_OWN'!P$505:P$524)),"")</f>
        <v>0</v>
      </c>
      <c r="W38" s="173">
        <f>IFERROR(IF(AND(SUMIFS('Key inputs_EB_OWN'!Q$505:Q$524,'Key inputs_EB_OWN'!$C$505:$C$524,$C38)/SUM('Key inputs_EB_OWN'!Q$505:Q$524)&gt;0,SUMIFS('Key inputs_EB_OWN'!Q$505:Q$524,'Key inputs_EB_OWN'!$C$505:$C$524,$C38)/SUM('Key inputs_EB_OWN'!Q$505:Q$524)&lt;0.001),0.001,SUMIFS('Key inputs_EB_OWN'!Q$505:Q$524,'Key inputs_EB_OWN'!$C$505:$C$524,$C38)/SUM('Key inputs_EB_OWN'!Q$505:Q$524)),"")</f>
        <v>5.186176544615638E-2</v>
      </c>
      <c r="X38" s="173">
        <f>IFERROR(IF(AND(SUMIFS('Key inputs_EB_OWN'!R$505:R$524,'Key inputs_EB_OWN'!$C$505:$C$524,$C38)/SUM('Key inputs_EB_OWN'!R$505:R$524)&gt;0,SUMIFS('Key inputs_EB_OWN'!R$505:R$524,'Key inputs_EB_OWN'!$C$505:$C$524,$C38)/SUM('Key inputs_EB_OWN'!R$505:R$524)&lt;0.001),0.001,SUMIFS('Key inputs_EB_OWN'!R$505:R$524,'Key inputs_EB_OWN'!$C$505:$C$524,$C38)/SUM('Key inputs_EB_OWN'!R$505:R$524)),"")</f>
        <v>0</v>
      </c>
      <c r="Y38" s="173">
        <f>IFERROR(IF(AND(SUMIFS('Key inputs_EB_OWN'!S$505:S$524,'Key inputs_EB_OWN'!$C$505:$C$524,$C38)/SUM('Key inputs_EB_OWN'!S$505:S$524)&gt;0,SUMIFS('Key inputs_EB_OWN'!S$505:S$524,'Key inputs_EB_OWN'!$C$505:$C$524,$C38)/SUM('Key inputs_EB_OWN'!S$505:S$524)&lt;0.001),0.001,SUMIFS('Key inputs_EB_OWN'!S$505:S$524,'Key inputs_EB_OWN'!$C$505:$C$524,$C38)/SUM('Key inputs_EB_OWN'!S$505:S$524)),"")</f>
        <v>4.8746688469510434E-2</v>
      </c>
      <c r="Z38" s="173">
        <f>IFERROR(IF(AND(SUMIFS('Key inputs_EB_OWN'!T$505:T$524,'Key inputs_EB_OWN'!$C$505:$C$524,$C38)/SUM('Key inputs_EB_OWN'!T$505:T$524)&gt;0,SUMIFS('Key inputs_EB_OWN'!T$505:T$524,'Key inputs_EB_OWN'!$C$505:$C$524,$C38)/SUM('Key inputs_EB_OWN'!T$505:T$524)&lt;0.001),0.001,SUMIFS('Key inputs_EB_OWN'!T$505:T$524,'Key inputs_EB_OWN'!$C$505:$C$524,$C38)/SUM('Key inputs_EB_OWN'!T$505:T$524)),"")</f>
        <v>8.5311062115246E-3</v>
      </c>
      <c r="AA38" s="173">
        <f>IFERROR(IF(AND(SUMIFS('Key inputs_EB_OWN'!U$505:U$524,'Key inputs_EB_OWN'!$C$505:$C$524,$C38)/SUM('Key inputs_EB_OWN'!U$505:U$524)&gt;0,SUMIFS('Key inputs_EB_OWN'!U$505:U$524,'Key inputs_EB_OWN'!$C$505:$C$524,$C38)/SUM('Key inputs_EB_OWN'!U$505:U$524)&lt;0.001),0.001,SUMIFS('Key inputs_EB_OWN'!U$505:U$524,'Key inputs_EB_OWN'!$C$505:$C$524,$C38)/SUM('Key inputs_EB_OWN'!U$505:U$524)),"")</f>
        <v>2.4580575904630551E-2</v>
      </c>
      <c r="AB38" s="173" t="str">
        <f>IFERROR(IF(AND(SUMIFS('Key inputs_EB_OWN'!V$505:V$524,'Key inputs_EB_OWN'!$C$505:$C$524,$C38)/SUM('Key inputs_EB_OWN'!V$505:V$524)&gt;0,SUMIFS('Key inputs_EB_OWN'!V$505:V$524,'Key inputs_EB_OWN'!$C$505:$C$524,$C38)/SUM('Key inputs_EB_OWN'!V$505:V$524)&lt;0.001),0.001,SUMIFS('Key inputs_EB_OWN'!V$505:V$524,'Key inputs_EB_OWN'!$C$505:$C$524,$C38)/SUM('Key inputs_EB_OWN'!V$505:V$524)),"")</f>
        <v/>
      </c>
      <c r="AC38" s="173">
        <f>IFERROR(IF(AND(SUMIFS('Key inputs_EB_OWN'!W$505:W$524,'Key inputs_EB_OWN'!$C$505:$C$524,$C38)/SUM('Key inputs_EB_OWN'!W$505:W$524)&gt;0,SUMIFS('Key inputs_EB_OWN'!W$505:W$524,'Key inputs_EB_OWN'!$C$505:$C$524,$C38)/SUM('Key inputs_EB_OWN'!W$505:W$524)&lt;0.001),0.001,SUMIFS('Key inputs_EB_OWN'!W$505:W$524,'Key inputs_EB_OWN'!$C$505:$C$524,$C38)/SUM('Key inputs_EB_OWN'!W$505:W$524)),"")</f>
        <v>1.9357013305940324E-2</v>
      </c>
      <c r="AD38" s="173">
        <f>IFERROR(IF(AND(SUMIFS('Key inputs_EB_OWN'!X$505:X$524,'Key inputs_EB_OWN'!$C$505:$C$524,$C38)/SUM('Key inputs_EB_OWN'!X$505:X$524)&gt;0,SUMIFS('Key inputs_EB_OWN'!X$505:X$524,'Key inputs_EB_OWN'!$C$505:$C$524,$C38)/SUM('Key inputs_EB_OWN'!X$505:X$524)&lt;0.001),0.001,SUMIFS('Key inputs_EB_OWN'!X$505:X$524,'Key inputs_EB_OWN'!$C$505:$C$524,$C38)/SUM('Key inputs_EB_OWN'!X$505:X$524)),"")</f>
        <v>6.6296803896216075E-2</v>
      </c>
      <c r="AE38" s="173">
        <f>IFERROR(IF(AND(SUMIFS('Key inputs_EB_OWN'!Y$505:Y$524,'Key inputs_EB_OWN'!$C$505:$C$524,$C38)/SUM('Key inputs_EB_OWN'!Y$505:Y$524)&gt;0,SUMIFS('Key inputs_EB_OWN'!Y$505:Y$524,'Key inputs_EB_OWN'!$C$505:$C$524,$C38)/SUM('Key inputs_EB_OWN'!Y$505:Y$524)&lt;0.001),0.001,SUMIFS('Key inputs_EB_OWN'!Y$505:Y$524,'Key inputs_EB_OWN'!$C$505:$C$524,$C38)/SUM('Key inputs_EB_OWN'!Y$505:Y$524)),"")</f>
        <v>0</v>
      </c>
      <c r="AF38" s="173">
        <f>IFERROR(IF(AND(SUMIFS('Key inputs_EB_OWN'!Z$505:Z$524,'Key inputs_EB_OWN'!$C$505:$C$524,$C38)/SUM('Key inputs_EB_OWN'!Z$505:Z$524)&gt;0,SUMIFS('Key inputs_EB_OWN'!Z$505:Z$524,'Key inputs_EB_OWN'!$C$505:$C$524,$C38)/SUM('Key inputs_EB_OWN'!Z$505:Z$524)&lt;0.001),0.001,SUMIFS('Key inputs_EB_OWN'!Z$505:Z$524,'Key inputs_EB_OWN'!$C$505:$C$524,$C38)/SUM('Key inputs_EB_OWN'!Z$505:Z$524)),"")</f>
        <v>0</v>
      </c>
      <c r="AG38" s="173">
        <f>IFERROR(IF(AND(SUMIFS('Key inputs_EB_OWN'!AA$505:AA$524,'Key inputs_EB_OWN'!$C$505:$C$524,$C38)/SUM('Key inputs_EB_OWN'!AA$505:AA$524)&gt;0,SUMIFS('Key inputs_EB_OWN'!AA$505:AA$524,'Key inputs_EB_OWN'!$C$505:$C$524,$C38)/SUM('Key inputs_EB_OWN'!AA$505:AA$524)&lt;0.001),0.001,SUMIFS('Key inputs_EB_OWN'!AA$505:AA$524,'Key inputs_EB_OWN'!$C$505:$C$524,$C38)/SUM('Key inputs_EB_OWN'!AA$505:AA$524)),"")</f>
        <v>2.3868775772077914E-2</v>
      </c>
      <c r="AH38" s="173">
        <f>IFERROR(IF(AND(SUMIFS('Key inputs_EB_OWN'!AB$505:AB$524,'Key inputs_EB_OWN'!$C$505:$C$524,$C38)/SUM('Key inputs_EB_OWN'!AB$505:AB$524)&gt;0,SUMIFS('Key inputs_EB_OWN'!AB$505:AB$524,'Key inputs_EB_OWN'!$C$505:$C$524,$C38)/SUM('Key inputs_EB_OWN'!AB$505:AB$524)&lt;0.001),0.001,SUMIFS('Key inputs_EB_OWN'!AB$505:AB$524,'Key inputs_EB_OWN'!$C$505:$C$524,$C38)/SUM('Key inputs_EB_OWN'!AB$505:AB$524)),"")</f>
        <v>0</v>
      </c>
      <c r="AI38" s="173" t="str">
        <f>IFERROR(IF(AND(SUMIFS('Key inputs_EB_OWN'!AC$505:AC$524,'Key inputs_EB_OWN'!$C$505:$C$524,$C38)/SUM('Key inputs_EB_OWN'!AC$505:AC$524)&gt;0,SUMIFS('Key inputs_EB_OWN'!AC$505:AC$524,'Key inputs_EB_OWN'!$C$505:$C$524,$C38)/SUM('Key inputs_EB_OWN'!AC$505:AC$524)&lt;0.001),0.001,SUMIFS('Key inputs_EB_OWN'!AC$505:AC$524,'Key inputs_EB_OWN'!$C$505:$C$524,$C38)/SUM('Key inputs_EB_OWN'!AC$505:AC$524)),"")</f>
        <v/>
      </c>
      <c r="AJ38" s="173">
        <f>IFERROR(IF(AND(SUMIFS('Key inputs_EB_OWN'!AD$505:AD$524,'Key inputs_EB_OWN'!$C$505:$C$524,$C38)/SUM('Key inputs_EB_OWN'!AD$505:AD$524)&gt;0,SUMIFS('Key inputs_EB_OWN'!AD$505:AD$524,'Key inputs_EB_OWN'!$C$505:$C$524,$C38)/SUM('Key inputs_EB_OWN'!AD$505:AD$524)&lt;0.001),0.001,SUMIFS('Key inputs_EB_OWN'!AD$505:AD$524,'Key inputs_EB_OWN'!$C$505:$C$524,$C38)/SUM('Key inputs_EB_OWN'!AD$505:AD$524)),"")</f>
        <v>0</v>
      </c>
      <c r="AK38" s="173">
        <f>IFERROR(IF(AND(SUMIFS('Key inputs_EB_OWN'!AE$505:AE$524,'Key inputs_EB_OWN'!$C$505:$C$524,$C38)/SUM('Key inputs_EB_OWN'!AE$505:AE$524)&gt;0,SUMIFS('Key inputs_EB_OWN'!AE$505:AE$524,'Key inputs_EB_OWN'!$C$505:$C$524,$C38)/SUM('Key inputs_EB_OWN'!AE$505:AE$524)&lt;0.001),0.001,SUMIFS('Key inputs_EB_OWN'!AE$505:AE$524,'Key inputs_EB_OWN'!$C$505:$C$524,$C38)/SUM('Key inputs_EB_OWN'!AE$505:AE$524)),"")</f>
        <v>0</v>
      </c>
      <c r="AL38" s="173">
        <f>IFERROR(IF(AND(SUMIFS('Key inputs_EB_OWN'!AF$505:AF$524,'Key inputs_EB_OWN'!$C$505:$C$524,$C38)/SUM('Key inputs_EB_OWN'!AF$505:AF$524)&gt;0,SUMIFS('Key inputs_EB_OWN'!AF$505:AF$524,'Key inputs_EB_OWN'!$C$505:$C$524,$C38)/SUM('Key inputs_EB_OWN'!AF$505:AF$524)&lt;0.001),0.001,SUMIFS('Key inputs_EB_OWN'!AF$505:AF$524,'Key inputs_EB_OWN'!$C$505:$C$524,$C38)/SUM('Key inputs_EB_OWN'!AF$505:AF$524)),"")</f>
        <v>6.0062718499108256E-2</v>
      </c>
    </row>
    <row r="39" spans="1:38">
      <c r="C39" t="str">
        <f>Commodities!$C$92</f>
        <v>UPSGAS</v>
      </c>
      <c r="F39" s="4" t="s">
        <v>359</v>
      </c>
      <c r="G39" s="4" t="s">
        <v>702</v>
      </c>
      <c r="H39" t="s">
        <v>661</v>
      </c>
      <c r="I39">
        <v>2019</v>
      </c>
      <c r="J39" s="4" t="s">
        <v>650</v>
      </c>
      <c r="K39" s="173" t="str">
        <f>IFERROR(IF(AND(SUMIFS('Key inputs_EB_OWN'!E$505:E$524,'Key inputs_EB_OWN'!$C$505:$C$524,$C39)/SUM('Key inputs_EB_OWN'!E$505:E$524)&gt;0,SUMIFS('Key inputs_EB_OWN'!E$505:E$524,'Key inputs_EB_OWN'!$C$505:$C$524,$C39)/SUM('Key inputs_EB_OWN'!E$505:E$524)&lt;0.001),0.001,SUMIFS('Key inputs_EB_OWN'!E$505:E$524,'Key inputs_EB_OWN'!$C$505:$C$524,$C39)/SUM('Key inputs_EB_OWN'!E$505:E$524)),"")</f>
        <v/>
      </c>
      <c r="L39" s="173" t="str">
        <f>IFERROR(IF(AND(SUMIFS('Key inputs_EB_OWN'!F$505:F$524,'Key inputs_EB_OWN'!$C$505:$C$524,$C39)/SUM('Key inputs_EB_OWN'!F$505:F$524)&gt;0,SUMIFS('Key inputs_EB_OWN'!F$505:F$524,'Key inputs_EB_OWN'!$C$505:$C$524,$C39)/SUM('Key inputs_EB_OWN'!F$505:F$524)&lt;0.001),0.001,SUMIFS('Key inputs_EB_OWN'!F$505:F$524,'Key inputs_EB_OWN'!$C$505:$C$524,$C39)/SUM('Key inputs_EB_OWN'!F$505:F$524)),"")</f>
        <v/>
      </c>
      <c r="M39" s="173" t="str">
        <f>IFERROR(IF(AND(SUMIFS('Key inputs_EB_OWN'!G$505:G$524,'Key inputs_EB_OWN'!$C$505:$C$524,$C39)/SUM('Key inputs_EB_OWN'!G$505:G$524)&gt;0,SUMIFS('Key inputs_EB_OWN'!G$505:G$524,'Key inputs_EB_OWN'!$C$505:$C$524,$C39)/SUM('Key inputs_EB_OWN'!G$505:G$524)&lt;0.001),0.001,SUMIFS('Key inputs_EB_OWN'!G$505:G$524,'Key inputs_EB_OWN'!$C$505:$C$524,$C39)/SUM('Key inputs_EB_OWN'!G$505:G$524)),"")</f>
        <v/>
      </c>
      <c r="N39" s="173">
        <f>IFERROR(IF(AND(SUMIFS('Key inputs_EB_OWN'!H$505:H$524,'Key inputs_EB_OWN'!$C$505:$C$524,$C39)/SUM('Key inputs_EB_OWN'!H$505:H$524)&gt;0,SUMIFS('Key inputs_EB_OWN'!H$505:H$524,'Key inputs_EB_OWN'!$C$505:$C$524,$C39)/SUM('Key inputs_EB_OWN'!H$505:H$524)&lt;0.001),0.001,SUMIFS('Key inputs_EB_OWN'!H$505:H$524,'Key inputs_EB_OWN'!$C$505:$C$524,$C39)/SUM('Key inputs_EB_OWN'!H$505:H$524)),"")</f>
        <v>0</v>
      </c>
      <c r="O39" s="173">
        <f>IFERROR(IF(AND(SUMIFS('Key inputs_EB_OWN'!I$505:I$524,'Key inputs_EB_OWN'!$C$505:$C$524,$C39)/SUM('Key inputs_EB_OWN'!I$505:I$524)&gt;0,SUMIFS('Key inputs_EB_OWN'!I$505:I$524,'Key inputs_EB_OWN'!$C$505:$C$524,$C39)/SUM('Key inputs_EB_OWN'!I$505:I$524)&lt;0.001),0.001,SUMIFS('Key inputs_EB_OWN'!I$505:I$524,'Key inputs_EB_OWN'!$C$505:$C$524,$C39)/SUM('Key inputs_EB_OWN'!I$505:I$524)),"")</f>
        <v>0</v>
      </c>
      <c r="P39" s="173">
        <f>IFERROR(IF(AND(SUMIFS('Key inputs_EB_OWN'!J$505:J$524,'Key inputs_EB_OWN'!$C$505:$C$524,$C39)/SUM('Key inputs_EB_OWN'!J$505:J$524)&gt;0,SUMIFS('Key inputs_EB_OWN'!J$505:J$524,'Key inputs_EB_OWN'!$C$505:$C$524,$C39)/SUM('Key inputs_EB_OWN'!J$505:J$524)&lt;0.001),0.001,SUMIFS('Key inputs_EB_OWN'!J$505:J$524,'Key inputs_EB_OWN'!$C$505:$C$524,$C39)/SUM('Key inputs_EB_OWN'!J$505:J$524)),"")</f>
        <v>0</v>
      </c>
      <c r="Q39" s="173" t="str">
        <f>IFERROR(IF(AND(SUMIFS('Key inputs_EB_OWN'!K$505:K$524,'Key inputs_EB_OWN'!$C$505:$C$524,$C39)/SUM('Key inputs_EB_OWN'!K$505:K$524)&gt;0,SUMIFS('Key inputs_EB_OWN'!K$505:K$524,'Key inputs_EB_OWN'!$C$505:$C$524,$C39)/SUM('Key inputs_EB_OWN'!K$505:K$524)&lt;0.001),0.001,SUMIFS('Key inputs_EB_OWN'!K$505:K$524,'Key inputs_EB_OWN'!$C$505:$C$524,$C39)/SUM('Key inputs_EB_OWN'!K$505:K$524)),"")</f>
        <v/>
      </c>
      <c r="R39" s="173" t="str">
        <f>IFERROR(IF(AND(SUMIFS('Key inputs_EB_OWN'!L$505:L$524,'Key inputs_EB_OWN'!$C$505:$C$524,$C39)/SUM('Key inputs_EB_OWN'!L$505:L$524)&gt;0,SUMIFS('Key inputs_EB_OWN'!L$505:L$524,'Key inputs_EB_OWN'!$C$505:$C$524,$C39)/SUM('Key inputs_EB_OWN'!L$505:L$524)&lt;0.001),0.001,SUMIFS('Key inputs_EB_OWN'!L$505:L$524,'Key inputs_EB_OWN'!$C$505:$C$524,$C39)/SUM('Key inputs_EB_OWN'!L$505:L$524)),"")</f>
        <v/>
      </c>
      <c r="S39" s="173">
        <f>IFERROR(IF(AND(SUMIFS('Key inputs_EB_OWN'!M$505:M$524,'Key inputs_EB_OWN'!$C$505:$C$524,$C39)/SUM('Key inputs_EB_OWN'!M$505:M$524)&gt;0,SUMIFS('Key inputs_EB_OWN'!M$505:M$524,'Key inputs_EB_OWN'!$C$505:$C$524,$C39)/SUM('Key inputs_EB_OWN'!M$505:M$524)&lt;0.001),0.001,SUMIFS('Key inputs_EB_OWN'!M$505:M$524,'Key inputs_EB_OWN'!$C$505:$C$524,$C39)/SUM('Key inputs_EB_OWN'!M$505:M$524)),"")</f>
        <v>0</v>
      </c>
      <c r="T39" s="173" t="str">
        <f>IFERROR(IF(AND(SUMIFS('Key inputs_EB_OWN'!N$505:N$524,'Key inputs_EB_OWN'!$C$505:$C$524,$C39)/SUM('Key inputs_EB_OWN'!N$505:N$524)&gt;0,SUMIFS('Key inputs_EB_OWN'!N$505:N$524,'Key inputs_EB_OWN'!$C$505:$C$524,$C39)/SUM('Key inputs_EB_OWN'!N$505:N$524)&lt;0.001),0.001,SUMIFS('Key inputs_EB_OWN'!N$505:N$524,'Key inputs_EB_OWN'!$C$505:$C$524,$C39)/SUM('Key inputs_EB_OWN'!N$505:N$524)),"")</f>
        <v/>
      </c>
      <c r="U39" s="173" t="str">
        <f>IFERROR(IF(AND(SUMIFS('Key inputs_EB_OWN'!O$505:O$524,'Key inputs_EB_OWN'!$C$505:$C$524,$C39)/SUM('Key inputs_EB_OWN'!O$505:O$524)&gt;0,SUMIFS('Key inputs_EB_OWN'!O$505:O$524,'Key inputs_EB_OWN'!$C$505:$C$524,$C39)/SUM('Key inputs_EB_OWN'!O$505:O$524)&lt;0.001),0.001,SUMIFS('Key inputs_EB_OWN'!O$505:O$524,'Key inputs_EB_OWN'!$C$505:$C$524,$C39)/SUM('Key inputs_EB_OWN'!O$505:O$524)),"")</f>
        <v/>
      </c>
      <c r="V39" s="173">
        <f>IFERROR(IF(AND(SUMIFS('Key inputs_EB_OWN'!P$505:P$524,'Key inputs_EB_OWN'!$C$505:$C$524,$C39)/SUM('Key inputs_EB_OWN'!P$505:P$524)&gt;0,SUMIFS('Key inputs_EB_OWN'!P$505:P$524,'Key inputs_EB_OWN'!$C$505:$C$524,$C39)/SUM('Key inputs_EB_OWN'!P$505:P$524)&lt;0.001),0.001,SUMIFS('Key inputs_EB_OWN'!P$505:P$524,'Key inputs_EB_OWN'!$C$505:$C$524,$C39)/SUM('Key inputs_EB_OWN'!P$505:P$524)),"")</f>
        <v>0</v>
      </c>
      <c r="W39" s="173">
        <f>IFERROR(IF(AND(SUMIFS('Key inputs_EB_OWN'!Q$505:Q$524,'Key inputs_EB_OWN'!$C$505:$C$524,$C39)/SUM('Key inputs_EB_OWN'!Q$505:Q$524)&gt;0,SUMIFS('Key inputs_EB_OWN'!Q$505:Q$524,'Key inputs_EB_OWN'!$C$505:$C$524,$C39)/SUM('Key inputs_EB_OWN'!Q$505:Q$524)&lt;0.001),0.001,SUMIFS('Key inputs_EB_OWN'!Q$505:Q$524,'Key inputs_EB_OWN'!$C$505:$C$524,$C39)/SUM('Key inputs_EB_OWN'!Q$505:Q$524)),"")</f>
        <v>0</v>
      </c>
      <c r="X39" s="173">
        <f>IFERROR(IF(AND(SUMIFS('Key inputs_EB_OWN'!R$505:R$524,'Key inputs_EB_OWN'!$C$505:$C$524,$C39)/SUM('Key inputs_EB_OWN'!R$505:R$524)&gt;0,SUMIFS('Key inputs_EB_OWN'!R$505:R$524,'Key inputs_EB_OWN'!$C$505:$C$524,$C39)/SUM('Key inputs_EB_OWN'!R$505:R$524)&lt;0.001),0.001,SUMIFS('Key inputs_EB_OWN'!R$505:R$524,'Key inputs_EB_OWN'!$C$505:$C$524,$C39)/SUM('Key inputs_EB_OWN'!R$505:R$524)),"")</f>
        <v>0.11644965211530378</v>
      </c>
      <c r="Y39" s="173">
        <f>IFERROR(IF(AND(SUMIFS('Key inputs_EB_OWN'!S$505:S$524,'Key inputs_EB_OWN'!$C$505:$C$524,$C39)/SUM('Key inputs_EB_OWN'!S$505:S$524)&gt;0,SUMIFS('Key inputs_EB_OWN'!S$505:S$524,'Key inputs_EB_OWN'!$C$505:$C$524,$C39)/SUM('Key inputs_EB_OWN'!S$505:S$524)&lt;0.001),0.001,SUMIFS('Key inputs_EB_OWN'!S$505:S$524,'Key inputs_EB_OWN'!$C$505:$C$524,$C39)/SUM('Key inputs_EB_OWN'!S$505:S$524)),"")</f>
        <v>1E-3</v>
      </c>
      <c r="Z39" s="173">
        <f>IFERROR(IF(AND(SUMIFS('Key inputs_EB_OWN'!T$505:T$524,'Key inputs_EB_OWN'!$C$505:$C$524,$C39)/SUM('Key inputs_EB_OWN'!T$505:T$524)&gt;0,SUMIFS('Key inputs_EB_OWN'!T$505:T$524,'Key inputs_EB_OWN'!$C$505:$C$524,$C39)/SUM('Key inputs_EB_OWN'!T$505:T$524)&lt;0.001),0.001,SUMIFS('Key inputs_EB_OWN'!T$505:T$524,'Key inputs_EB_OWN'!$C$505:$C$524,$C39)/SUM('Key inputs_EB_OWN'!T$505:T$524)),"")</f>
        <v>1.6621376202150574E-2</v>
      </c>
      <c r="AA39" s="173">
        <f>IFERROR(IF(AND(SUMIFS('Key inputs_EB_OWN'!U$505:U$524,'Key inputs_EB_OWN'!$C$505:$C$524,$C39)/SUM('Key inputs_EB_OWN'!U$505:U$524)&gt;0,SUMIFS('Key inputs_EB_OWN'!U$505:U$524,'Key inputs_EB_OWN'!$C$505:$C$524,$C39)/SUM('Key inputs_EB_OWN'!U$505:U$524)&lt;0.001),0.001,SUMIFS('Key inputs_EB_OWN'!U$505:U$524,'Key inputs_EB_OWN'!$C$505:$C$524,$C39)/SUM('Key inputs_EB_OWN'!U$505:U$524)),"")</f>
        <v>7.6191961720549909E-3</v>
      </c>
      <c r="AB39" s="173" t="str">
        <f>IFERROR(IF(AND(SUMIFS('Key inputs_EB_OWN'!V$505:V$524,'Key inputs_EB_OWN'!$C$505:$C$524,$C39)/SUM('Key inputs_EB_OWN'!V$505:V$524)&gt;0,SUMIFS('Key inputs_EB_OWN'!V$505:V$524,'Key inputs_EB_OWN'!$C$505:$C$524,$C39)/SUM('Key inputs_EB_OWN'!V$505:V$524)&lt;0.001),0.001,SUMIFS('Key inputs_EB_OWN'!V$505:V$524,'Key inputs_EB_OWN'!$C$505:$C$524,$C39)/SUM('Key inputs_EB_OWN'!V$505:V$524)),"")</f>
        <v/>
      </c>
      <c r="AC39" s="173">
        <f>IFERROR(IF(AND(SUMIFS('Key inputs_EB_OWN'!W$505:W$524,'Key inputs_EB_OWN'!$C$505:$C$524,$C39)/SUM('Key inputs_EB_OWN'!W$505:W$524)&gt;0,SUMIFS('Key inputs_EB_OWN'!W$505:W$524,'Key inputs_EB_OWN'!$C$505:$C$524,$C39)/SUM('Key inputs_EB_OWN'!W$505:W$524)&lt;0.001),0.001,SUMIFS('Key inputs_EB_OWN'!W$505:W$524,'Key inputs_EB_OWN'!$C$505:$C$524,$C39)/SUM('Key inputs_EB_OWN'!W$505:W$524)),"")</f>
        <v>0</v>
      </c>
      <c r="AD39" s="173">
        <f>IFERROR(IF(AND(SUMIFS('Key inputs_EB_OWN'!X$505:X$524,'Key inputs_EB_OWN'!$C$505:$C$524,$C39)/SUM('Key inputs_EB_OWN'!X$505:X$524)&gt;0,SUMIFS('Key inputs_EB_OWN'!X$505:X$524,'Key inputs_EB_OWN'!$C$505:$C$524,$C39)/SUM('Key inputs_EB_OWN'!X$505:X$524)&lt;0.001),0.001,SUMIFS('Key inputs_EB_OWN'!X$505:X$524,'Key inputs_EB_OWN'!$C$505:$C$524,$C39)/SUM('Key inputs_EB_OWN'!X$505:X$524)),"")</f>
        <v>4.2254636504842086E-3</v>
      </c>
      <c r="AE39" s="173">
        <f>IFERROR(IF(AND(SUMIFS('Key inputs_EB_OWN'!Y$505:Y$524,'Key inputs_EB_OWN'!$C$505:$C$524,$C39)/SUM('Key inputs_EB_OWN'!Y$505:Y$524)&gt;0,SUMIFS('Key inputs_EB_OWN'!Y$505:Y$524,'Key inputs_EB_OWN'!$C$505:$C$524,$C39)/SUM('Key inputs_EB_OWN'!Y$505:Y$524)&lt;0.001),0.001,SUMIFS('Key inputs_EB_OWN'!Y$505:Y$524,'Key inputs_EB_OWN'!$C$505:$C$524,$C39)/SUM('Key inputs_EB_OWN'!Y$505:Y$524)),"")</f>
        <v>0</v>
      </c>
      <c r="AF39" s="173">
        <f>IFERROR(IF(AND(SUMIFS('Key inputs_EB_OWN'!Z$505:Z$524,'Key inputs_EB_OWN'!$C$505:$C$524,$C39)/SUM('Key inputs_EB_OWN'!Z$505:Z$524)&gt;0,SUMIFS('Key inputs_EB_OWN'!Z$505:Z$524,'Key inputs_EB_OWN'!$C$505:$C$524,$C39)/SUM('Key inputs_EB_OWN'!Z$505:Z$524)&lt;0.001),0.001,SUMIFS('Key inputs_EB_OWN'!Z$505:Z$524,'Key inputs_EB_OWN'!$C$505:$C$524,$C39)/SUM('Key inputs_EB_OWN'!Z$505:Z$524)),"")</f>
        <v>0</v>
      </c>
      <c r="AG39" s="173">
        <f>IFERROR(IF(AND(SUMIFS('Key inputs_EB_OWN'!AA$505:AA$524,'Key inputs_EB_OWN'!$C$505:$C$524,$C39)/SUM('Key inputs_EB_OWN'!AA$505:AA$524)&gt;0,SUMIFS('Key inputs_EB_OWN'!AA$505:AA$524,'Key inputs_EB_OWN'!$C$505:$C$524,$C39)/SUM('Key inputs_EB_OWN'!AA$505:AA$524)&lt;0.001),0.001,SUMIFS('Key inputs_EB_OWN'!AA$505:AA$524,'Key inputs_EB_OWN'!$C$505:$C$524,$C39)/SUM('Key inputs_EB_OWN'!AA$505:AA$524)),"")</f>
        <v>0</v>
      </c>
      <c r="AH39" s="173">
        <f>IFERROR(IF(AND(SUMIFS('Key inputs_EB_OWN'!AB$505:AB$524,'Key inputs_EB_OWN'!$C$505:$C$524,$C39)/SUM('Key inputs_EB_OWN'!AB$505:AB$524)&gt;0,SUMIFS('Key inputs_EB_OWN'!AB$505:AB$524,'Key inputs_EB_OWN'!$C$505:$C$524,$C39)/SUM('Key inputs_EB_OWN'!AB$505:AB$524)&lt;0.001),0.001,SUMIFS('Key inputs_EB_OWN'!AB$505:AB$524,'Key inputs_EB_OWN'!$C$505:$C$524,$C39)/SUM('Key inputs_EB_OWN'!AB$505:AB$524)),"")</f>
        <v>0</v>
      </c>
      <c r="AI39" s="173" t="str">
        <f>IFERROR(IF(AND(SUMIFS('Key inputs_EB_OWN'!AC$505:AC$524,'Key inputs_EB_OWN'!$C$505:$C$524,$C39)/SUM('Key inputs_EB_OWN'!AC$505:AC$524)&gt;0,SUMIFS('Key inputs_EB_OWN'!AC$505:AC$524,'Key inputs_EB_OWN'!$C$505:$C$524,$C39)/SUM('Key inputs_EB_OWN'!AC$505:AC$524)&lt;0.001),0.001,SUMIFS('Key inputs_EB_OWN'!AC$505:AC$524,'Key inputs_EB_OWN'!$C$505:$C$524,$C39)/SUM('Key inputs_EB_OWN'!AC$505:AC$524)),"")</f>
        <v/>
      </c>
      <c r="AJ39" s="173">
        <f>IFERROR(IF(AND(SUMIFS('Key inputs_EB_OWN'!AD$505:AD$524,'Key inputs_EB_OWN'!$C$505:$C$524,$C39)/SUM('Key inputs_EB_OWN'!AD$505:AD$524)&gt;0,SUMIFS('Key inputs_EB_OWN'!AD$505:AD$524,'Key inputs_EB_OWN'!$C$505:$C$524,$C39)/SUM('Key inputs_EB_OWN'!AD$505:AD$524)&lt;0.001),0.001,SUMIFS('Key inputs_EB_OWN'!AD$505:AD$524,'Key inputs_EB_OWN'!$C$505:$C$524,$C39)/SUM('Key inputs_EB_OWN'!AD$505:AD$524)),"")</f>
        <v>0</v>
      </c>
      <c r="AK39" s="173">
        <f>IFERROR(IF(AND(SUMIFS('Key inputs_EB_OWN'!AE$505:AE$524,'Key inputs_EB_OWN'!$C$505:$C$524,$C39)/SUM('Key inputs_EB_OWN'!AE$505:AE$524)&gt;0,SUMIFS('Key inputs_EB_OWN'!AE$505:AE$524,'Key inputs_EB_OWN'!$C$505:$C$524,$C39)/SUM('Key inputs_EB_OWN'!AE$505:AE$524)&lt;0.001),0.001,SUMIFS('Key inputs_EB_OWN'!AE$505:AE$524,'Key inputs_EB_OWN'!$C$505:$C$524,$C39)/SUM('Key inputs_EB_OWN'!AE$505:AE$524)),"")</f>
        <v>0</v>
      </c>
      <c r="AL39" s="173">
        <f>IFERROR(IF(AND(SUMIFS('Key inputs_EB_OWN'!AF$505:AF$524,'Key inputs_EB_OWN'!$C$505:$C$524,$C39)/SUM('Key inputs_EB_OWN'!AF$505:AF$524)&gt;0,SUMIFS('Key inputs_EB_OWN'!AF$505:AF$524,'Key inputs_EB_OWN'!$C$505:$C$524,$C39)/SUM('Key inputs_EB_OWN'!AF$505:AF$524)&lt;0.001),0.001,SUMIFS('Key inputs_EB_OWN'!AF$505:AF$524,'Key inputs_EB_OWN'!$C$505:$C$524,$C39)/SUM('Key inputs_EB_OWN'!AF$505:AF$524)),"")</f>
        <v>0</v>
      </c>
    </row>
    <row r="40" spans="1:38">
      <c r="C40" t="str">
        <f>Commodities!$C$94</f>
        <v>UPSHET</v>
      </c>
      <c r="F40" s="4" t="s">
        <v>359</v>
      </c>
      <c r="G40" s="4" t="s">
        <v>702</v>
      </c>
      <c r="H40" t="s">
        <v>661</v>
      </c>
      <c r="I40">
        <v>2019</v>
      </c>
      <c r="J40" s="4" t="s">
        <v>650</v>
      </c>
      <c r="K40" s="173" t="str">
        <f>IFERROR(IF(AND(SUMIFS('Key inputs_EB_OWN'!E$505:E$524,'Key inputs_EB_OWN'!$C$505:$C$524,$C40)/SUM('Key inputs_EB_OWN'!E$505:E$524)&gt;0,SUMIFS('Key inputs_EB_OWN'!E$505:E$524,'Key inputs_EB_OWN'!$C$505:$C$524,$C40)/SUM('Key inputs_EB_OWN'!E$505:E$524)&lt;0.001),0.001,SUMIFS('Key inputs_EB_OWN'!E$505:E$524,'Key inputs_EB_OWN'!$C$505:$C$524,$C40)/SUM('Key inputs_EB_OWN'!E$505:E$524)),"")</f>
        <v/>
      </c>
      <c r="L40" s="173" t="str">
        <f>IFERROR(IF(AND(SUMIFS('Key inputs_EB_OWN'!F$505:F$524,'Key inputs_EB_OWN'!$C$505:$C$524,$C40)/SUM('Key inputs_EB_OWN'!F$505:F$524)&gt;0,SUMIFS('Key inputs_EB_OWN'!F$505:F$524,'Key inputs_EB_OWN'!$C$505:$C$524,$C40)/SUM('Key inputs_EB_OWN'!F$505:F$524)&lt;0.001),0.001,SUMIFS('Key inputs_EB_OWN'!F$505:F$524,'Key inputs_EB_OWN'!$C$505:$C$524,$C40)/SUM('Key inputs_EB_OWN'!F$505:F$524)),"")</f>
        <v/>
      </c>
      <c r="M40" s="173" t="str">
        <f>IFERROR(IF(AND(SUMIFS('Key inputs_EB_OWN'!G$505:G$524,'Key inputs_EB_OWN'!$C$505:$C$524,$C40)/SUM('Key inputs_EB_OWN'!G$505:G$524)&gt;0,SUMIFS('Key inputs_EB_OWN'!G$505:G$524,'Key inputs_EB_OWN'!$C$505:$C$524,$C40)/SUM('Key inputs_EB_OWN'!G$505:G$524)&lt;0.001),0.001,SUMIFS('Key inputs_EB_OWN'!G$505:G$524,'Key inputs_EB_OWN'!$C$505:$C$524,$C40)/SUM('Key inputs_EB_OWN'!G$505:G$524)),"")</f>
        <v/>
      </c>
      <c r="N40" s="173">
        <f>IFERROR(IF(AND(SUMIFS('Key inputs_EB_OWN'!H$505:H$524,'Key inputs_EB_OWN'!$C$505:$C$524,$C40)/SUM('Key inputs_EB_OWN'!H$505:H$524)&gt;0,SUMIFS('Key inputs_EB_OWN'!H$505:H$524,'Key inputs_EB_OWN'!$C$505:$C$524,$C40)/SUM('Key inputs_EB_OWN'!H$505:H$524)&lt;0.001),0.001,SUMIFS('Key inputs_EB_OWN'!H$505:H$524,'Key inputs_EB_OWN'!$C$505:$C$524,$C40)/SUM('Key inputs_EB_OWN'!H$505:H$524)),"")</f>
        <v>0</v>
      </c>
      <c r="O40" s="173">
        <f>IFERROR(IF(AND(SUMIFS('Key inputs_EB_OWN'!I$505:I$524,'Key inputs_EB_OWN'!$C$505:$C$524,$C40)/SUM('Key inputs_EB_OWN'!I$505:I$524)&gt;0,SUMIFS('Key inputs_EB_OWN'!I$505:I$524,'Key inputs_EB_OWN'!$C$505:$C$524,$C40)/SUM('Key inputs_EB_OWN'!I$505:I$524)&lt;0.001),0.001,SUMIFS('Key inputs_EB_OWN'!I$505:I$524,'Key inputs_EB_OWN'!$C$505:$C$524,$C40)/SUM('Key inputs_EB_OWN'!I$505:I$524)),"")</f>
        <v>0</v>
      </c>
      <c r="P40" s="173">
        <f>IFERROR(IF(AND(SUMIFS('Key inputs_EB_OWN'!J$505:J$524,'Key inputs_EB_OWN'!$C$505:$C$524,$C40)/SUM('Key inputs_EB_OWN'!J$505:J$524)&gt;0,SUMIFS('Key inputs_EB_OWN'!J$505:J$524,'Key inputs_EB_OWN'!$C$505:$C$524,$C40)/SUM('Key inputs_EB_OWN'!J$505:J$524)&lt;0.001),0.001,SUMIFS('Key inputs_EB_OWN'!J$505:J$524,'Key inputs_EB_OWN'!$C$505:$C$524,$C40)/SUM('Key inputs_EB_OWN'!J$505:J$524)),"")</f>
        <v>0</v>
      </c>
      <c r="Q40" s="173" t="str">
        <f>IFERROR(IF(AND(SUMIFS('Key inputs_EB_OWN'!K$505:K$524,'Key inputs_EB_OWN'!$C$505:$C$524,$C40)/SUM('Key inputs_EB_OWN'!K$505:K$524)&gt;0,SUMIFS('Key inputs_EB_OWN'!K$505:K$524,'Key inputs_EB_OWN'!$C$505:$C$524,$C40)/SUM('Key inputs_EB_OWN'!K$505:K$524)&lt;0.001),0.001,SUMIFS('Key inputs_EB_OWN'!K$505:K$524,'Key inputs_EB_OWN'!$C$505:$C$524,$C40)/SUM('Key inputs_EB_OWN'!K$505:K$524)),"")</f>
        <v/>
      </c>
      <c r="R40" s="173" t="str">
        <f>IFERROR(IF(AND(SUMIFS('Key inputs_EB_OWN'!L$505:L$524,'Key inputs_EB_OWN'!$C$505:$C$524,$C40)/SUM('Key inputs_EB_OWN'!L$505:L$524)&gt;0,SUMIFS('Key inputs_EB_OWN'!L$505:L$524,'Key inputs_EB_OWN'!$C$505:$C$524,$C40)/SUM('Key inputs_EB_OWN'!L$505:L$524)&lt;0.001),0.001,SUMIFS('Key inputs_EB_OWN'!L$505:L$524,'Key inputs_EB_OWN'!$C$505:$C$524,$C40)/SUM('Key inputs_EB_OWN'!L$505:L$524)),"")</f>
        <v/>
      </c>
      <c r="S40" s="173">
        <f>IFERROR(IF(AND(SUMIFS('Key inputs_EB_OWN'!M$505:M$524,'Key inputs_EB_OWN'!$C$505:$C$524,$C40)/SUM('Key inputs_EB_OWN'!M$505:M$524)&gt;0,SUMIFS('Key inputs_EB_OWN'!M$505:M$524,'Key inputs_EB_OWN'!$C$505:$C$524,$C40)/SUM('Key inputs_EB_OWN'!M$505:M$524)&lt;0.001),0.001,SUMIFS('Key inputs_EB_OWN'!M$505:M$524,'Key inputs_EB_OWN'!$C$505:$C$524,$C40)/SUM('Key inputs_EB_OWN'!M$505:M$524)),"")</f>
        <v>0</v>
      </c>
      <c r="T40" s="173" t="str">
        <f>IFERROR(IF(AND(SUMIFS('Key inputs_EB_OWN'!N$505:N$524,'Key inputs_EB_OWN'!$C$505:$C$524,$C40)/SUM('Key inputs_EB_OWN'!N$505:N$524)&gt;0,SUMIFS('Key inputs_EB_OWN'!N$505:N$524,'Key inputs_EB_OWN'!$C$505:$C$524,$C40)/SUM('Key inputs_EB_OWN'!N$505:N$524)&lt;0.001),0.001,SUMIFS('Key inputs_EB_OWN'!N$505:N$524,'Key inputs_EB_OWN'!$C$505:$C$524,$C40)/SUM('Key inputs_EB_OWN'!N$505:N$524)),"")</f>
        <v/>
      </c>
      <c r="U40" s="173" t="str">
        <f>IFERROR(IF(AND(SUMIFS('Key inputs_EB_OWN'!O$505:O$524,'Key inputs_EB_OWN'!$C$505:$C$524,$C40)/SUM('Key inputs_EB_OWN'!O$505:O$524)&gt;0,SUMIFS('Key inputs_EB_OWN'!O$505:O$524,'Key inputs_EB_OWN'!$C$505:$C$524,$C40)/SUM('Key inputs_EB_OWN'!O$505:O$524)&lt;0.001),0.001,SUMIFS('Key inputs_EB_OWN'!O$505:O$524,'Key inputs_EB_OWN'!$C$505:$C$524,$C40)/SUM('Key inputs_EB_OWN'!O$505:O$524)),"")</f>
        <v/>
      </c>
      <c r="V40" s="173">
        <f>IFERROR(IF(AND(SUMIFS('Key inputs_EB_OWN'!P$505:P$524,'Key inputs_EB_OWN'!$C$505:$C$524,$C40)/SUM('Key inputs_EB_OWN'!P$505:P$524)&gt;0,SUMIFS('Key inputs_EB_OWN'!P$505:P$524,'Key inputs_EB_OWN'!$C$505:$C$524,$C40)/SUM('Key inputs_EB_OWN'!P$505:P$524)&lt;0.001),0.001,SUMIFS('Key inputs_EB_OWN'!P$505:P$524,'Key inputs_EB_OWN'!$C$505:$C$524,$C40)/SUM('Key inputs_EB_OWN'!P$505:P$524)),"")</f>
        <v>0</v>
      </c>
      <c r="W40" s="173">
        <f>IFERROR(IF(AND(SUMIFS('Key inputs_EB_OWN'!Q$505:Q$524,'Key inputs_EB_OWN'!$C$505:$C$524,$C40)/SUM('Key inputs_EB_OWN'!Q$505:Q$524)&gt;0,SUMIFS('Key inputs_EB_OWN'!Q$505:Q$524,'Key inputs_EB_OWN'!$C$505:$C$524,$C40)/SUM('Key inputs_EB_OWN'!Q$505:Q$524)&lt;0.001),0.001,SUMIFS('Key inputs_EB_OWN'!Q$505:Q$524,'Key inputs_EB_OWN'!$C$505:$C$524,$C40)/SUM('Key inputs_EB_OWN'!Q$505:Q$524)),"")</f>
        <v>0.26598374025204924</v>
      </c>
      <c r="X40" s="173">
        <f>IFERROR(IF(AND(SUMIFS('Key inputs_EB_OWN'!R$505:R$524,'Key inputs_EB_OWN'!$C$505:$C$524,$C40)/SUM('Key inputs_EB_OWN'!R$505:R$524)&gt;0,SUMIFS('Key inputs_EB_OWN'!R$505:R$524,'Key inputs_EB_OWN'!$C$505:$C$524,$C40)/SUM('Key inputs_EB_OWN'!R$505:R$524)&lt;0.001),0.001,SUMIFS('Key inputs_EB_OWN'!R$505:R$524,'Key inputs_EB_OWN'!$C$505:$C$524,$C40)/SUM('Key inputs_EB_OWN'!R$505:R$524)),"")</f>
        <v>0</v>
      </c>
      <c r="Y40" s="173">
        <f>IFERROR(IF(AND(SUMIFS('Key inputs_EB_OWN'!S$505:S$524,'Key inputs_EB_OWN'!$C$505:$C$524,$C40)/SUM('Key inputs_EB_OWN'!S$505:S$524)&gt;0,SUMIFS('Key inputs_EB_OWN'!S$505:S$524,'Key inputs_EB_OWN'!$C$505:$C$524,$C40)/SUM('Key inputs_EB_OWN'!S$505:S$524)&lt;0.001),0.001,SUMIFS('Key inputs_EB_OWN'!S$505:S$524,'Key inputs_EB_OWN'!$C$505:$C$524,$C40)/SUM('Key inputs_EB_OWN'!S$505:S$524)),"")</f>
        <v>6.0457559834060016E-2</v>
      </c>
      <c r="Z40" s="173">
        <f>IFERROR(IF(AND(SUMIFS('Key inputs_EB_OWN'!T$505:T$524,'Key inputs_EB_OWN'!$C$505:$C$524,$C40)/SUM('Key inputs_EB_OWN'!T$505:T$524)&gt;0,SUMIFS('Key inputs_EB_OWN'!T$505:T$524,'Key inputs_EB_OWN'!$C$505:$C$524,$C40)/SUM('Key inputs_EB_OWN'!T$505:T$524)&lt;0.001),0.001,SUMIFS('Key inputs_EB_OWN'!T$505:T$524,'Key inputs_EB_OWN'!$C$505:$C$524,$C40)/SUM('Key inputs_EB_OWN'!T$505:T$524)),"")</f>
        <v>1.8249205529636884E-2</v>
      </c>
      <c r="AA40" s="173">
        <f>IFERROR(IF(AND(SUMIFS('Key inputs_EB_OWN'!U$505:U$524,'Key inputs_EB_OWN'!$C$505:$C$524,$C40)/SUM('Key inputs_EB_OWN'!U$505:U$524)&gt;0,SUMIFS('Key inputs_EB_OWN'!U$505:U$524,'Key inputs_EB_OWN'!$C$505:$C$524,$C40)/SUM('Key inputs_EB_OWN'!U$505:U$524)&lt;0.001),0.001,SUMIFS('Key inputs_EB_OWN'!U$505:U$524,'Key inputs_EB_OWN'!$C$505:$C$524,$C40)/SUM('Key inputs_EB_OWN'!U$505:U$524)),"")</f>
        <v>3.8984919606603635E-2</v>
      </c>
      <c r="AB40" s="173" t="str">
        <f>IFERROR(IF(AND(SUMIFS('Key inputs_EB_OWN'!V$505:V$524,'Key inputs_EB_OWN'!$C$505:$C$524,$C40)/SUM('Key inputs_EB_OWN'!V$505:V$524)&gt;0,SUMIFS('Key inputs_EB_OWN'!V$505:V$524,'Key inputs_EB_OWN'!$C$505:$C$524,$C40)/SUM('Key inputs_EB_OWN'!V$505:V$524)&lt;0.001),0.001,SUMIFS('Key inputs_EB_OWN'!V$505:V$524,'Key inputs_EB_OWN'!$C$505:$C$524,$C40)/SUM('Key inputs_EB_OWN'!V$505:V$524)),"")</f>
        <v/>
      </c>
      <c r="AC40" s="173">
        <f>IFERROR(IF(AND(SUMIFS('Key inputs_EB_OWN'!W$505:W$524,'Key inputs_EB_OWN'!$C$505:$C$524,$C40)/SUM('Key inputs_EB_OWN'!W$505:W$524)&gt;0,SUMIFS('Key inputs_EB_OWN'!W$505:W$524,'Key inputs_EB_OWN'!$C$505:$C$524,$C40)/SUM('Key inputs_EB_OWN'!W$505:W$524)&lt;0.001),0.001,SUMIFS('Key inputs_EB_OWN'!W$505:W$524,'Key inputs_EB_OWN'!$C$505:$C$524,$C40)/SUM('Key inputs_EB_OWN'!W$505:W$524)),"")</f>
        <v>0</v>
      </c>
      <c r="AD40" s="173">
        <f>IFERROR(IF(AND(SUMIFS('Key inputs_EB_OWN'!X$505:X$524,'Key inputs_EB_OWN'!$C$505:$C$524,$C40)/SUM('Key inputs_EB_OWN'!X$505:X$524)&gt;0,SUMIFS('Key inputs_EB_OWN'!X$505:X$524,'Key inputs_EB_OWN'!$C$505:$C$524,$C40)/SUM('Key inputs_EB_OWN'!X$505:X$524)&lt;0.001),0.001,SUMIFS('Key inputs_EB_OWN'!X$505:X$524,'Key inputs_EB_OWN'!$C$505:$C$524,$C40)/SUM('Key inputs_EB_OWN'!X$505:X$524)),"")</f>
        <v>0</v>
      </c>
      <c r="AE40" s="173">
        <f>IFERROR(IF(AND(SUMIFS('Key inputs_EB_OWN'!Y$505:Y$524,'Key inputs_EB_OWN'!$C$505:$C$524,$C40)/SUM('Key inputs_EB_OWN'!Y$505:Y$524)&gt;0,SUMIFS('Key inputs_EB_OWN'!Y$505:Y$524,'Key inputs_EB_OWN'!$C$505:$C$524,$C40)/SUM('Key inputs_EB_OWN'!Y$505:Y$524)&lt;0.001),0.001,SUMIFS('Key inputs_EB_OWN'!Y$505:Y$524,'Key inputs_EB_OWN'!$C$505:$C$524,$C40)/SUM('Key inputs_EB_OWN'!Y$505:Y$524)),"")</f>
        <v>0</v>
      </c>
      <c r="AF40" s="173">
        <f>IFERROR(IF(AND(SUMIFS('Key inputs_EB_OWN'!Z$505:Z$524,'Key inputs_EB_OWN'!$C$505:$C$524,$C40)/SUM('Key inputs_EB_OWN'!Z$505:Z$524)&gt;0,SUMIFS('Key inputs_EB_OWN'!Z$505:Z$524,'Key inputs_EB_OWN'!$C$505:$C$524,$C40)/SUM('Key inputs_EB_OWN'!Z$505:Z$524)&lt;0.001),0.001,SUMIFS('Key inputs_EB_OWN'!Z$505:Z$524,'Key inputs_EB_OWN'!$C$505:$C$524,$C40)/SUM('Key inputs_EB_OWN'!Z$505:Z$524)),"")</f>
        <v>0</v>
      </c>
      <c r="AG40" s="173">
        <f>IFERROR(IF(AND(SUMIFS('Key inputs_EB_OWN'!AA$505:AA$524,'Key inputs_EB_OWN'!$C$505:$C$524,$C40)/SUM('Key inputs_EB_OWN'!AA$505:AA$524)&gt;0,SUMIFS('Key inputs_EB_OWN'!AA$505:AA$524,'Key inputs_EB_OWN'!$C$505:$C$524,$C40)/SUM('Key inputs_EB_OWN'!AA$505:AA$524)&lt;0.001),0.001,SUMIFS('Key inputs_EB_OWN'!AA$505:AA$524,'Key inputs_EB_OWN'!$C$505:$C$524,$C40)/SUM('Key inputs_EB_OWN'!AA$505:AA$524)),"")</f>
        <v>0</v>
      </c>
      <c r="AH40" s="173">
        <f>IFERROR(IF(AND(SUMIFS('Key inputs_EB_OWN'!AB$505:AB$524,'Key inputs_EB_OWN'!$C$505:$C$524,$C40)/SUM('Key inputs_EB_OWN'!AB$505:AB$524)&gt;0,SUMIFS('Key inputs_EB_OWN'!AB$505:AB$524,'Key inputs_EB_OWN'!$C$505:$C$524,$C40)/SUM('Key inputs_EB_OWN'!AB$505:AB$524)&lt;0.001),0.001,SUMIFS('Key inputs_EB_OWN'!AB$505:AB$524,'Key inputs_EB_OWN'!$C$505:$C$524,$C40)/SUM('Key inputs_EB_OWN'!AB$505:AB$524)),"")</f>
        <v>0</v>
      </c>
      <c r="AI40" s="173" t="str">
        <f>IFERROR(IF(AND(SUMIFS('Key inputs_EB_OWN'!AC$505:AC$524,'Key inputs_EB_OWN'!$C$505:$C$524,$C40)/SUM('Key inputs_EB_OWN'!AC$505:AC$524)&gt;0,SUMIFS('Key inputs_EB_OWN'!AC$505:AC$524,'Key inputs_EB_OWN'!$C$505:$C$524,$C40)/SUM('Key inputs_EB_OWN'!AC$505:AC$524)&lt;0.001),0.001,SUMIFS('Key inputs_EB_OWN'!AC$505:AC$524,'Key inputs_EB_OWN'!$C$505:$C$524,$C40)/SUM('Key inputs_EB_OWN'!AC$505:AC$524)),"")</f>
        <v/>
      </c>
      <c r="AJ40" s="173">
        <f>IFERROR(IF(AND(SUMIFS('Key inputs_EB_OWN'!AD$505:AD$524,'Key inputs_EB_OWN'!$C$505:$C$524,$C40)/SUM('Key inputs_EB_OWN'!AD$505:AD$524)&gt;0,SUMIFS('Key inputs_EB_OWN'!AD$505:AD$524,'Key inputs_EB_OWN'!$C$505:$C$524,$C40)/SUM('Key inputs_EB_OWN'!AD$505:AD$524)&lt;0.001),0.001,SUMIFS('Key inputs_EB_OWN'!AD$505:AD$524,'Key inputs_EB_OWN'!$C$505:$C$524,$C40)/SUM('Key inputs_EB_OWN'!AD$505:AD$524)),"")</f>
        <v>0</v>
      </c>
      <c r="AK40" s="173">
        <f>IFERROR(IF(AND(SUMIFS('Key inputs_EB_OWN'!AE$505:AE$524,'Key inputs_EB_OWN'!$C$505:$C$524,$C40)/SUM('Key inputs_EB_OWN'!AE$505:AE$524)&gt;0,SUMIFS('Key inputs_EB_OWN'!AE$505:AE$524,'Key inputs_EB_OWN'!$C$505:$C$524,$C40)/SUM('Key inputs_EB_OWN'!AE$505:AE$524)&lt;0.001),0.001,SUMIFS('Key inputs_EB_OWN'!AE$505:AE$524,'Key inputs_EB_OWN'!$C$505:$C$524,$C40)/SUM('Key inputs_EB_OWN'!AE$505:AE$524)),"")</f>
        <v>0</v>
      </c>
      <c r="AL40" s="173">
        <f>IFERROR(IF(AND(SUMIFS('Key inputs_EB_OWN'!AF$505:AF$524,'Key inputs_EB_OWN'!$C$505:$C$524,$C40)/SUM('Key inputs_EB_OWN'!AF$505:AF$524)&gt;0,SUMIFS('Key inputs_EB_OWN'!AF$505:AF$524,'Key inputs_EB_OWN'!$C$505:$C$524,$C40)/SUM('Key inputs_EB_OWN'!AF$505:AF$524)&lt;0.001),0.001,SUMIFS('Key inputs_EB_OWN'!AF$505:AF$524,'Key inputs_EB_OWN'!$C$505:$C$524,$C40)/SUM('Key inputs_EB_OWN'!AF$505:AF$524)),"")</f>
        <v>0</v>
      </c>
    </row>
    <row r="41" spans="1:38">
      <c r="C41" t="str">
        <f>Commodities!$C$96</f>
        <v>UPSKER</v>
      </c>
      <c r="F41" s="4" t="s">
        <v>359</v>
      </c>
      <c r="G41" s="4" t="s">
        <v>702</v>
      </c>
      <c r="H41" t="s">
        <v>661</v>
      </c>
      <c r="I41">
        <v>2019</v>
      </c>
      <c r="J41" s="4" t="s">
        <v>650</v>
      </c>
      <c r="K41" s="173" t="str">
        <f>IFERROR(IF(AND(SUMIFS('Key inputs_EB_OWN'!E$505:E$524,'Key inputs_EB_OWN'!$C$505:$C$524,$C41)/SUM('Key inputs_EB_OWN'!E$505:E$524)&gt;0,SUMIFS('Key inputs_EB_OWN'!E$505:E$524,'Key inputs_EB_OWN'!$C$505:$C$524,$C41)/SUM('Key inputs_EB_OWN'!E$505:E$524)&lt;0.001),0.001,SUMIFS('Key inputs_EB_OWN'!E$505:E$524,'Key inputs_EB_OWN'!$C$505:$C$524,$C41)/SUM('Key inputs_EB_OWN'!E$505:E$524)),"")</f>
        <v/>
      </c>
      <c r="L41" s="173" t="str">
        <f>IFERROR(IF(AND(SUMIFS('Key inputs_EB_OWN'!F$505:F$524,'Key inputs_EB_OWN'!$C$505:$C$524,$C41)/SUM('Key inputs_EB_OWN'!F$505:F$524)&gt;0,SUMIFS('Key inputs_EB_OWN'!F$505:F$524,'Key inputs_EB_OWN'!$C$505:$C$524,$C41)/SUM('Key inputs_EB_OWN'!F$505:F$524)&lt;0.001),0.001,SUMIFS('Key inputs_EB_OWN'!F$505:F$524,'Key inputs_EB_OWN'!$C$505:$C$524,$C41)/SUM('Key inputs_EB_OWN'!F$505:F$524)),"")</f>
        <v/>
      </c>
      <c r="M41" s="173" t="str">
        <f>IFERROR(IF(AND(SUMIFS('Key inputs_EB_OWN'!G$505:G$524,'Key inputs_EB_OWN'!$C$505:$C$524,$C41)/SUM('Key inputs_EB_OWN'!G$505:G$524)&gt;0,SUMIFS('Key inputs_EB_OWN'!G$505:G$524,'Key inputs_EB_OWN'!$C$505:$C$524,$C41)/SUM('Key inputs_EB_OWN'!G$505:G$524)&lt;0.001),0.001,SUMIFS('Key inputs_EB_OWN'!G$505:G$524,'Key inputs_EB_OWN'!$C$505:$C$524,$C41)/SUM('Key inputs_EB_OWN'!G$505:G$524)),"")</f>
        <v/>
      </c>
      <c r="N41" s="173">
        <f>IFERROR(IF(AND(SUMIFS('Key inputs_EB_OWN'!H$505:H$524,'Key inputs_EB_OWN'!$C$505:$C$524,$C41)/SUM('Key inputs_EB_OWN'!H$505:H$524)&gt;0,SUMIFS('Key inputs_EB_OWN'!H$505:H$524,'Key inputs_EB_OWN'!$C$505:$C$524,$C41)/SUM('Key inputs_EB_OWN'!H$505:H$524)&lt;0.001),0.001,SUMIFS('Key inputs_EB_OWN'!H$505:H$524,'Key inputs_EB_OWN'!$C$505:$C$524,$C41)/SUM('Key inputs_EB_OWN'!H$505:H$524)),"")</f>
        <v>0</v>
      </c>
      <c r="O41" s="173">
        <f>IFERROR(IF(AND(SUMIFS('Key inputs_EB_OWN'!I$505:I$524,'Key inputs_EB_OWN'!$C$505:$C$524,$C41)/SUM('Key inputs_EB_OWN'!I$505:I$524)&gt;0,SUMIFS('Key inputs_EB_OWN'!I$505:I$524,'Key inputs_EB_OWN'!$C$505:$C$524,$C41)/SUM('Key inputs_EB_OWN'!I$505:I$524)&lt;0.001),0.001,SUMIFS('Key inputs_EB_OWN'!I$505:I$524,'Key inputs_EB_OWN'!$C$505:$C$524,$C41)/SUM('Key inputs_EB_OWN'!I$505:I$524)),"")</f>
        <v>0</v>
      </c>
      <c r="P41" s="173">
        <f>IFERROR(IF(AND(SUMIFS('Key inputs_EB_OWN'!J$505:J$524,'Key inputs_EB_OWN'!$C$505:$C$524,$C41)/SUM('Key inputs_EB_OWN'!J$505:J$524)&gt;0,SUMIFS('Key inputs_EB_OWN'!J$505:J$524,'Key inputs_EB_OWN'!$C$505:$C$524,$C41)/SUM('Key inputs_EB_OWN'!J$505:J$524)&lt;0.001),0.001,SUMIFS('Key inputs_EB_OWN'!J$505:J$524,'Key inputs_EB_OWN'!$C$505:$C$524,$C41)/SUM('Key inputs_EB_OWN'!J$505:J$524)),"")</f>
        <v>0</v>
      </c>
      <c r="Q41" s="173" t="str">
        <f>IFERROR(IF(AND(SUMIFS('Key inputs_EB_OWN'!K$505:K$524,'Key inputs_EB_OWN'!$C$505:$C$524,$C41)/SUM('Key inputs_EB_OWN'!K$505:K$524)&gt;0,SUMIFS('Key inputs_EB_OWN'!K$505:K$524,'Key inputs_EB_OWN'!$C$505:$C$524,$C41)/SUM('Key inputs_EB_OWN'!K$505:K$524)&lt;0.001),0.001,SUMIFS('Key inputs_EB_OWN'!K$505:K$524,'Key inputs_EB_OWN'!$C$505:$C$524,$C41)/SUM('Key inputs_EB_OWN'!K$505:K$524)),"")</f>
        <v/>
      </c>
      <c r="R41" s="173" t="str">
        <f>IFERROR(IF(AND(SUMIFS('Key inputs_EB_OWN'!L$505:L$524,'Key inputs_EB_OWN'!$C$505:$C$524,$C41)/SUM('Key inputs_EB_OWN'!L$505:L$524)&gt;0,SUMIFS('Key inputs_EB_OWN'!L$505:L$524,'Key inputs_EB_OWN'!$C$505:$C$524,$C41)/SUM('Key inputs_EB_OWN'!L$505:L$524)&lt;0.001),0.001,SUMIFS('Key inputs_EB_OWN'!L$505:L$524,'Key inputs_EB_OWN'!$C$505:$C$524,$C41)/SUM('Key inputs_EB_OWN'!L$505:L$524)),"")</f>
        <v/>
      </c>
      <c r="S41" s="173">
        <f>IFERROR(IF(AND(SUMIFS('Key inputs_EB_OWN'!M$505:M$524,'Key inputs_EB_OWN'!$C$505:$C$524,$C41)/SUM('Key inputs_EB_OWN'!M$505:M$524)&gt;0,SUMIFS('Key inputs_EB_OWN'!M$505:M$524,'Key inputs_EB_OWN'!$C$505:$C$524,$C41)/SUM('Key inputs_EB_OWN'!M$505:M$524)&lt;0.001),0.001,SUMIFS('Key inputs_EB_OWN'!M$505:M$524,'Key inputs_EB_OWN'!$C$505:$C$524,$C41)/SUM('Key inputs_EB_OWN'!M$505:M$524)),"")</f>
        <v>0</v>
      </c>
      <c r="T41" s="173" t="str">
        <f>IFERROR(IF(AND(SUMIFS('Key inputs_EB_OWN'!N$505:N$524,'Key inputs_EB_OWN'!$C$505:$C$524,$C41)/SUM('Key inputs_EB_OWN'!N$505:N$524)&gt;0,SUMIFS('Key inputs_EB_OWN'!N$505:N$524,'Key inputs_EB_OWN'!$C$505:$C$524,$C41)/SUM('Key inputs_EB_OWN'!N$505:N$524)&lt;0.001),0.001,SUMIFS('Key inputs_EB_OWN'!N$505:N$524,'Key inputs_EB_OWN'!$C$505:$C$524,$C41)/SUM('Key inputs_EB_OWN'!N$505:N$524)),"")</f>
        <v/>
      </c>
      <c r="U41" s="173" t="str">
        <f>IFERROR(IF(AND(SUMIFS('Key inputs_EB_OWN'!O$505:O$524,'Key inputs_EB_OWN'!$C$505:$C$524,$C41)/SUM('Key inputs_EB_OWN'!O$505:O$524)&gt;0,SUMIFS('Key inputs_EB_OWN'!O$505:O$524,'Key inputs_EB_OWN'!$C$505:$C$524,$C41)/SUM('Key inputs_EB_OWN'!O$505:O$524)&lt;0.001),0.001,SUMIFS('Key inputs_EB_OWN'!O$505:O$524,'Key inputs_EB_OWN'!$C$505:$C$524,$C41)/SUM('Key inputs_EB_OWN'!O$505:O$524)),"")</f>
        <v/>
      </c>
      <c r="V41" s="173">
        <f>IFERROR(IF(AND(SUMIFS('Key inputs_EB_OWN'!P$505:P$524,'Key inputs_EB_OWN'!$C$505:$C$524,$C41)/SUM('Key inputs_EB_OWN'!P$505:P$524)&gt;0,SUMIFS('Key inputs_EB_OWN'!P$505:P$524,'Key inputs_EB_OWN'!$C$505:$C$524,$C41)/SUM('Key inputs_EB_OWN'!P$505:P$524)&lt;0.001),0.001,SUMIFS('Key inputs_EB_OWN'!P$505:P$524,'Key inputs_EB_OWN'!$C$505:$C$524,$C41)/SUM('Key inputs_EB_OWN'!P$505:P$524)),"")</f>
        <v>0</v>
      </c>
      <c r="W41" s="173">
        <f>IFERROR(IF(AND(SUMIFS('Key inputs_EB_OWN'!Q$505:Q$524,'Key inputs_EB_OWN'!$C$505:$C$524,$C41)/SUM('Key inputs_EB_OWN'!Q$505:Q$524)&gt;0,SUMIFS('Key inputs_EB_OWN'!Q$505:Q$524,'Key inputs_EB_OWN'!$C$505:$C$524,$C41)/SUM('Key inputs_EB_OWN'!Q$505:Q$524)&lt;0.001),0.001,SUMIFS('Key inputs_EB_OWN'!Q$505:Q$524,'Key inputs_EB_OWN'!$C$505:$C$524,$C41)/SUM('Key inputs_EB_OWN'!Q$505:Q$524)),"")</f>
        <v>0</v>
      </c>
      <c r="X41" s="173">
        <f>IFERROR(IF(AND(SUMIFS('Key inputs_EB_OWN'!R$505:R$524,'Key inputs_EB_OWN'!$C$505:$C$524,$C41)/SUM('Key inputs_EB_OWN'!R$505:R$524)&gt;0,SUMIFS('Key inputs_EB_OWN'!R$505:R$524,'Key inputs_EB_OWN'!$C$505:$C$524,$C41)/SUM('Key inputs_EB_OWN'!R$505:R$524)&lt;0.001),0.001,SUMIFS('Key inputs_EB_OWN'!R$505:R$524,'Key inputs_EB_OWN'!$C$505:$C$524,$C41)/SUM('Key inputs_EB_OWN'!R$505:R$524)),"")</f>
        <v>0</v>
      </c>
      <c r="Y41" s="173">
        <f>IFERROR(IF(AND(SUMIFS('Key inputs_EB_OWN'!S$505:S$524,'Key inputs_EB_OWN'!$C$505:$C$524,$C41)/SUM('Key inputs_EB_OWN'!S$505:S$524)&gt;0,SUMIFS('Key inputs_EB_OWN'!S$505:S$524,'Key inputs_EB_OWN'!$C$505:$C$524,$C41)/SUM('Key inputs_EB_OWN'!S$505:S$524)&lt;0.001),0.001,SUMIFS('Key inputs_EB_OWN'!S$505:S$524,'Key inputs_EB_OWN'!$C$505:$C$524,$C41)/SUM('Key inputs_EB_OWN'!S$505:S$524)),"")</f>
        <v>0</v>
      </c>
      <c r="Z41" s="173">
        <f>IFERROR(IF(AND(SUMIFS('Key inputs_EB_OWN'!T$505:T$524,'Key inputs_EB_OWN'!$C$505:$C$524,$C41)/SUM('Key inputs_EB_OWN'!T$505:T$524)&gt;0,SUMIFS('Key inputs_EB_OWN'!T$505:T$524,'Key inputs_EB_OWN'!$C$505:$C$524,$C41)/SUM('Key inputs_EB_OWN'!T$505:T$524)&lt;0.001),0.001,SUMIFS('Key inputs_EB_OWN'!T$505:T$524,'Key inputs_EB_OWN'!$C$505:$C$524,$C41)/SUM('Key inputs_EB_OWN'!T$505:T$524)),"")</f>
        <v>0</v>
      </c>
      <c r="AA41" s="173">
        <f>IFERROR(IF(AND(SUMIFS('Key inputs_EB_OWN'!U$505:U$524,'Key inputs_EB_OWN'!$C$505:$C$524,$C41)/SUM('Key inputs_EB_OWN'!U$505:U$524)&gt;0,SUMIFS('Key inputs_EB_OWN'!U$505:U$524,'Key inputs_EB_OWN'!$C$505:$C$524,$C41)/SUM('Key inputs_EB_OWN'!U$505:U$524)&lt;0.001),0.001,SUMIFS('Key inputs_EB_OWN'!U$505:U$524,'Key inputs_EB_OWN'!$C$505:$C$524,$C41)/SUM('Key inputs_EB_OWN'!U$505:U$524)),"")</f>
        <v>0</v>
      </c>
      <c r="AB41" s="173" t="str">
        <f>IFERROR(IF(AND(SUMIFS('Key inputs_EB_OWN'!V$505:V$524,'Key inputs_EB_OWN'!$C$505:$C$524,$C41)/SUM('Key inputs_EB_OWN'!V$505:V$524)&gt;0,SUMIFS('Key inputs_EB_OWN'!V$505:V$524,'Key inputs_EB_OWN'!$C$505:$C$524,$C41)/SUM('Key inputs_EB_OWN'!V$505:V$524)&lt;0.001),0.001,SUMIFS('Key inputs_EB_OWN'!V$505:V$524,'Key inputs_EB_OWN'!$C$505:$C$524,$C41)/SUM('Key inputs_EB_OWN'!V$505:V$524)),"")</f>
        <v/>
      </c>
      <c r="AC41" s="173">
        <f>IFERROR(IF(AND(SUMIFS('Key inputs_EB_OWN'!W$505:W$524,'Key inputs_EB_OWN'!$C$505:$C$524,$C41)/SUM('Key inputs_EB_OWN'!W$505:W$524)&gt;0,SUMIFS('Key inputs_EB_OWN'!W$505:W$524,'Key inputs_EB_OWN'!$C$505:$C$524,$C41)/SUM('Key inputs_EB_OWN'!W$505:W$524)&lt;0.001),0.001,SUMIFS('Key inputs_EB_OWN'!W$505:W$524,'Key inputs_EB_OWN'!$C$505:$C$524,$C41)/SUM('Key inputs_EB_OWN'!W$505:W$524)),"")</f>
        <v>0</v>
      </c>
      <c r="AD41" s="173">
        <f>IFERROR(IF(AND(SUMIFS('Key inputs_EB_OWN'!X$505:X$524,'Key inputs_EB_OWN'!$C$505:$C$524,$C41)/SUM('Key inputs_EB_OWN'!X$505:X$524)&gt;0,SUMIFS('Key inputs_EB_OWN'!X$505:X$524,'Key inputs_EB_OWN'!$C$505:$C$524,$C41)/SUM('Key inputs_EB_OWN'!X$505:X$524)&lt;0.001),0.001,SUMIFS('Key inputs_EB_OWN'!X$505:X$524,'Key inputs_EB_OWN'!$C$505:$C$524,$C41)/SUM('Key inputs_EB_OWN'!X$505:X$524)),"")</f>
        <v>1.6786633224107372E-3</v>
      </c>
      <c r="AE41" s="173">
        <f>IFERROR(IF(AND(SUMIFS('Key inputs_EB_OWN'!Y$505:Y$524,'Key inputs_EB_OWN'!$C$505:$C$524,$C41)/SUM('Key inputs_EB_OWN'!Y$505:Y$524)&gt;0,SUMIFS('Key inputs_EB_OWN'!Y$505:Y$524,'Key inputs_EB_OWN'!$C$505:$C$524,$C41)/SUM('Key inputs_EB_OWN'!Y$505:Y$524)&lt;0.001),0.001,SUMIFS('Key inputs_EB_OWN'!Y$505:Y$524,'Key inputs_EB_OWN'!$C$505:$C$524,$C41)/SUM('Key inputs_EB_OWN'!Y$505:Y$524)),"")</f>
        <v>0</v>
      </c>
      <c r="AF41" s="173">
        <f>IFERROR(IF(AND(SUMIFS('Key inputs_EB_OWN'!Z$505:Z$524,'Key inputs_EB_OWN'!$C$505:$C$524,$C41)/SUM('Key inputs_EB_OWN'!Z$505:Z$524)&gt;0,SUMIFS('Key inputs_EB_OWN'!Z$505:Z$524,'Key inputs_EB_OWN'!$C$505:$C$524,$C41)/SUM('Key inputs_EB_OWN'!Z$505:Z$524)&lt;0.001),0.001,SUMIFS('Key inputs_EB_OWN'!Z$505:Z$524,'Key inputs_EB_OWN'!$C$505:$C$524,$C41)/SUM('Key inputs_EB_OWN'!Z$505:Z$524)),"")</f>
        <v>0</v>
      </c>
      <c r="AG41" s="173">
        <f>IFERROR(IF(AND(SUMIFS('Key inputs_EB_OWN'!AA$505:AA$524,'Key inputs_EB_OWN'!$C$505:$C$524,$C41)/SUM('Key inputs_EB_OWN'!AA$505:AA$524)&gt;0,SUMIFS('Key inputs_EB_OWN'!AA$505:AA$524,'Key inputs_EB_OWN'!$C$505:$C$524,$C41)/SUM('Key inputs_EB_OWN'!AA$505:AA$524)&lt;0.001),0.001,SUMIFS('Key inputs_EB_OWN'!AA$505:AA$524,'Key inputs_EB_OWN'!$C$505:$C$524,$C41)/SUM('Key inputs_EB_OWN'!AA$505:AA$524)),"")</f>
        <v>0</v>
      </c>
      <c r="AH41" s="173">
        <f>IFERROR(IF(AND(SUMIFS('Key inputs_EB_OWN'!AB$505:AB$524,'Key inputs_EB_OWN'!$C$505:$C$524,$C41)/SUM('Key inputs_EB_OWN'!AB$505:AB$524)&gt;0,SUMIFS('Key inputs_EB_OWN'!AB$505:AB$524,'Key inputs_EB_OWN'!$C$505:$C$524,$C41)/SUM('Key inputs_EB_OWN'!AB$505:AB$524)&lt;0.001),0.001,SUMIFS('Key inputs_EB_OWN'!AB$505:AB$524,'Key inputs_EB_OWN'!$C$505:$C$524,$C41)/SUM('Key inputs_EB_OWN'!AB$505:AB$524)),"")</f>
        <v>0</v>
      </c>
      <c r="AI41" s="173" t="str">
        <f>IFERROR(IF(AND(SUMIFS('Key inputs_EB_OWN'!AC$505:AC$524,'Key inputs_EB_OWN'!$C$505:$C$524,$C41)/SUM('Key inputs_EB_OWN'!AC$505:AC$524)&gt;0,SUMIFS('Key inputs_EB_OWN'!AC$505:AC$524,'Key inputs_EB_OWN'!$C$505:$C$524,$C41)/SUM('Key inputs_EB_OWN'!AC$505:AC$524)&lt;0.001),0.001,SUMIFS('Key inputs_EB_OWN'!AC$505:AC$524,'Key inputs_EB_OWN'!$C$505:$C$524,$C41)/SUM('Key inputs_EB_OWN'!AC$505:AC$524)),"")</f>
        <v/>
      </c>
      <c r="AJ41" s="173">
        <f>IFERROR(IF(AND(SUMIFS('Key inputs_EB_OWN'!AD$505:AD$524,'Key inputs_EB_OWN'!$C$505:$C$524,$C41)/SUM('Key inputs_EB_OWN'!AD$505:AD$524)&gt;0,SUMIFS('Key inputs_EB_OWN'!AD$505:AD$524,'Key inputs_EB_OWN'!$C$505:$C$524,$C41)/SUM('Key inputs_EB_OWN'!AD$505:AD$524)&lt;0.001),0.001,SUMIFS('Key inputs_EB_OWN'!AD$505:AD$524,'Key inputs_EB_OWN'!$C$505:$C$524,$C41)/SUM('Key inputs_EB_OWN'!AD$505:AD$524)),"")</f>
        <v>0</v>
      </c>
      <c r="AK41" s="173">
        <f>IFERROR(IF(AND(SUMIFS('Key inputs_EB_OWN'!AE$505:AE$524,'Key inputs_EB_OWN'!$C$505:$C$524,$C41)/SUM('Key inputs_EB_OWN'!AE$505:AE$524)&gt;0,SUMIFS('Key inputs_EB_OWN'!AE$505:AE$524,'Key inputs_EB_OWN'!$C$505:$C$524,$C41)/SUM('Key inputs_EB_OWN'!AE$505:AE$524)&lt;0.001),0.001,SUMIFS('Key inputs_EB_OWN'!AE$505:AE$524,'Key inputs_EB_OWN'!$C$505:$C$524,$C41)/SUM('Key inputs_EB_OWN'!AE$505:AE$524)),"")</f>
        <v>0</v>
      </c>
      <c r="AL41" s="173">
        <f>IFERROR(IF(AND(SUMIFS('Key inputs_EB_OWN'!AF$505:AF$524,'Key inputs_EB_OWN'!$C$505:$C$524,$C41)/SUM('Key inputs_EB_OWN'!AF$505:AF$524)&gt;0,SUMIFS('Key inputs_EB_OWN'!AF$505:AF$524,'Key inputs_EB_OWN'!$C$505:$C$524,$C41)/SUM('Key inputs_EB_OWN'!AF$505:AF$524)&lt;0.001),0.001,SUMIFS('Key inputs_EB_OWN'!AF$505:AF$524,'Key inputs_EB_OWN'!$C$505:$C$524,$C41)/SUM('Key inputs_EB_OWN'!AF$505:AF$524)),"")</f>
        <v>0</v>
      </c>
    </row>
    <row r="42" spans="1:38">
      <c r="A42" s="236"/>
      <c r="B42" s="236"/>
      <c r="C42" s="236" t="str">
        <f>Commodities!$C$97</f>
        <v>UPSLPG</v>
      </c>
      <c r="D42" s="236"/>
      <c r="E42" s="236"/>
      <c r="F42" s="259" t="s">
        <v>359</v>
      </c>
      <c r="G42" s="259" t="s">
        <v>702</v>
      </c>
      <c r="H42" s="236" t="s">
        <v>661</v>
      </c>
      <c r="I42" s="236">
        <v>2019</v>
      </c>
      <c r="J42" s="259" t="s">
        <v>650</v>
      </c>
      <c r="K42" s="226" t="str">
        <f>IFERROR(IF(AND(SUMIFS('Key inputs_EB_OWN'!E$505:E$524,'Key inputs_EB_OWN'!$C$505:$C$524,$C42)/SUM('Key inputs_EB_OWN'!E$505:E$524)&gt;0,SUMIFS('Key inputs_EB_OWN'!E$505:E$524,'Key inputs_EB_OWN'!$C$505:$C$524,$C42)/SUM('Key inputs_EB_OWN'!E$505:E$524)&lt;0.001),0.001,SUMIFS('Key inputs_EB_OWN'!E$505:E$524,'Key inputs_EB_OWN'!$C$505:$C$524,$C42)/SUM('Key inputs_EB_OWN'!E$505:E$524)),"")</f>
        <v/>
      </c>
      <c r="L42" s="226" t="str">
        <f>IFERROR(IF(AND(SUMIFS('Key inputs_EB_OWN'!F$505:F$524,'Key inputs_EB_OWN'!$C$505:$C$524,$C42)/SUM('Key inputs_EB_OWN'!F$505:F$524)&gt;0,SUMIFS('Key inputs_EB_OWN'!F$505:F$524,'Key inputs_EB_OWN'!$C$505:$C$524,$C42)/SUM('Key inputs_EB_OWN'!F$505:F$524)&lt;0.001),0.001,SUMIFS('Key inputs_EB_OWN'!F$505:F$524,'Key inputs_EB_OWN'!$C$505:$C$524,$C42)/SUM('Key inputs_EB_OWN'!F$505:F$524)),"")</f>
        <v/>
      </c>
      <c r="M42" s="226" t="str">
        <f>IFERROR(IF(AND(SUMIFS('Key inputs_EB_OWN'!G$505:G$524,'Key inputs_EB_OWN'!$C$505:$C$524,$C42)/SUM('Key inputs_EB_OWN'!G$505:G$524)&gt;0,SUMIFS('Key inputs_EB_OWN'!G$505:G$524,'Key inputs_EB_OWN'!$C$505:$C$524,$C42)/SUM('Key inputs_EB_OWN'!G$505:G$524)&lt;0.001),0.001,SUMIFS('Key inputs_EB_OWN'!G$505:G$524,'Key inputs_EB_OWN'!$C$505:$C$524,$C42)/SUM('Key inputs_EB_OWN'!G$505:G$524)),"")</f>
        <v/>
      </c>
      <c r="N42" s="226">
        <f>IFERROR(IF(AND(SUMIFS('Key inputs_EB_OWN'!H$505:H$524,'Key inputs_EB_OWN'!$C$505:$C$524,$C42)/SUM('Key inputs_EB_OWN'!H$505:H$524)&gt;0,SUMIFS('Key inputs_EB_OWN'!H$505:H$524,'Key inputs_EB_OWN'!$C$505:$C$524,$C42)/SUM('Key inputs_EB_OWN'!H$505:H$524)&lt;0.001),0.001,SUMIFS('Key inputs_EB_OWN'!H$505:H$524,'Key inputs_EB_OWN'!$C$505:$C$524,$C42)/SUM('Key inputs_EB_OWN'!H$505:H$524)),"")</f>
        <v>0</v>
      </c>
      <c r="O42" s="226">
        <f>IFERROR(IF(AND(SUMIFS('Key inputs_EB_OWN'!I$505:I$524,'Key inputs_EB_OWN'!$C$505:$C$524,$C42)/SUM('Key inputs_EB_OWN'!I$505:I$524)&gt;0,SUMIFS('Key inputs_EB_OWN'!I$505:I$524,'Key inputs_EB_OWN'!$C$505:$C$524,$C42)/SUM('Key inputs_EB_OWN'!I$505:I$524)&lt;0.001),0.001,SUMIFS('Key inputs_EB_OWN'!I$505:I$524,'Key inputs_EB_OWN'!$C$505:$C$524,$C42)/SUM('Key inputs_EB_OWN'!I$505:I$524)),"")</f>
        <v>0</v>
      </c>
      <c r="P42" s="226">
        <f>IFERROR(IF(AND(SUMIFS('Key inputs_EB_OWN'!J$505:J$524,'Key inputs_EB_OWN'!$C$505:$C$524,$C42)/SUM('Key inputs_EB_OWN'!J$505:J$524)&gt;0,SUMIFS('Key inputs_EB_OWN'!J$505:J$524,'Key inputs_EB_OWN'!$C$505:$C$524,$C42)/SUM('Key inputs_EB_OWN'!J$505:J$524)&lt;0.001),0.001,SUMIFS('Key inputs_EB_OWN'!J$505:J$524,'Key inputs_EB_OWN'!$C$505:$C$524,$C42)/SUM('Key inputs_EB_OWN'!J$505:J$524)),"")</f>
        <v>0</v>
      </c>
      <c r="Q42" s="226" t="str">
        <f>IFERROR(IF(AND(SUMIFS('Key inputs_EB_OWN'!K$505:K$524,'Key inputs_EB_OWN'!$C$505:$C$524,$C42)/SUM('Key inputs_EB_OWN'!K$505:K$524)&gt;0,SUMIFS('Key inputs_EB_OWN'!K$505:K$524,'Key inputs_EB_OWN'!$C$505:$C$524,$C42)/SUM('Key inputs_EB_OWN'!K$505:K$524)&lt;0.001),0.001,SUMIFS('Key inputs_EB_OWN'!K$505:K$524,'Key inputs_EB_OWN'!$C$505:$C$524,$C42)/SUM('Key inputs_EB_OWN'!K$505:K$524)),"")</f>
        <v/>
      </c>
      <c r="R42" s="226" t="str">
        <f>IFERROR(IF(AND(SUMIFS('Key inputs_EB_OWN'!L$505:L$524,'Key inputs_EB_OWN'!$C$505:$C$524,$C42)/SUM('Key inputs_EB_OWN'!L$505:L$524)&gt;0,SUMIFS('Key inputs_EB_OWN'!L$505:L$524,'Key inputs_EB_OWN'!$C$505:$C$524,$C42)/SUM('Key inputs_EB_OWN'!L$505:L$524)&lt;0.001),0.001,SUMIFS('Key inputs_EB_OWN'!L$505:L$524,'Key inputs_EB_OWN'!$C$505:$C$524,$C42)/SUM('Key inputs_EB_OWN'!L$505:L$524)),"")</f>
        <v/>
      </c>
      <c r="S42" s="226">
        <f>IFERROR(IF(AND(SUMIFS('Key inputs_EB_OWN'!M$505:M$524,'Key inputs_EB_OWN'!$C$505:$C$524,$C42)/SUM('Key inputs_EB_OWN'!M$505:M$524)&gt;0,SUMIFS('Key inputs_EB_OWN'!M$505:M$524,'Key inputs_EB_OWN'!$C$505:$C$524,$C42)/SUM('Key inputs_EB_OWN'!M$505:M$524)&lt;0.001),0.001,SUMIFS('Key inputs_EB_OWN'!M$505:M$524,'Key inputs_EB_OWN'!$C$505:$C$524,$C42)/SUM('Key inputs_EB_OWN'!M$505:M$524)),"")</f>
        <v>0</v>
      </c>
      <c r="T42" s="226" t="str">
        <f>IFERROR(IF(AND(SUMIFS('Key inputs_EB_OWN'!N$505:N$524,'Key inputs_EB_OWN'!$C$505:$C$524,$C42)/SUM('Key inputs_EB_OWN'!N$505:N$524)&gt;0,SUMIFS('Key inputs_EB_OWN'!N$505:N$524,'Key inputs_EB_OWN'!$C$505:$C$524,$C42)/SUM('Key inputs_EB_OWN'!N$505:N$524)&lt;0.001),0.001,SUMIFS('Key inputs_EB_OWN'!N$505:N$524,'Key inputs_EB_OWN'!$C$505:$C$524,$C42)/SUM('Key inputs_EB_OWN'!N$505:N$524)),"")</f>
        <v/>
      </c>
      <c r="U42" s="226" t="str">
        <f>IFERROR(IF(AND(SUMIFS('Key inputs_EB_OWN'!O$505:O$524,'Key inputs_EB_OWN'!$C$505:$C$524,$C42)/SUM('Key inputs_EB_OWN'!O$505:O$524)&gt;0,SUMIFS('Key inputs_EB_OWN'!O$505:O$524,'Key inputs_EB_OWN'!$C$505:$C$524,$C42)/SUM('Key inputs_EB_OWN'!O$505:O$524)&lt;0.001),0.001,SUMIFS('Key inputs_EB_OWN'!O$505:O$524,'Key inputs_EB_OWN'!$C$505:$C$524,$C42)/SUM('Key inputs_EB_OWN'!O$505:O$524)),"")</f>
        <v/>
      </c>
      <c r="V42" s="226">
        <f>IFERROR(IF(AND(SUMIFS('Key inputs_EB_OWN'!P$505:P$524,'Key inputs_EB_OWN'!$C$505:$C$524,$C42)/SUM('Key inputs_EB_OWN'!P$505:P$524)&gt;0,SUMIFS('Key inputs_EB_OWN'!P$505:P$524,'Key inputs_EB_OWN'!$C$505:$C$524,$C42)/SUM('Key inputs_EB_OWN'!P$505:P$524)&lt;0.001),0.001,SUMIFS('Key inputs_EB_OWN'!P$505:P$524,'Key inputs_EB_OWN'!$C$505:$C$524,$C42)/SUM('Key inputs_EB_OWN'!P$505:P$524)),"")</f>
        <v>0</v>
      </c>
      <c r="W42" s="226">
        <f>IFERROR(IF(AND(SUMIFS('Key inputs_EB_OWN'!Q$505:Q$524,'Key inputs_EB_OWN'!$C$505:$C$524,$C42)/SUM('Key inputs_EB_OWN'!Q$505:Q$524)&gt;0,SUMIFS('Key inputs_EB_OWN'!Q$505:Q$524,'Key inputs_EB_OWN'!$C$505:$C$524,$C42)/SUM('Key inputs_EB_OWN'!Q$505:Q$524)&lt;0.001),0.001,SUMIFS('Key inputs_EB_OWN'!Q$505:Q$524,'Key inputs_EB_OWN'!$C$505:$C$524,$C42)/SUM('Key inputs_EB_OWN'!Q$505:Q$524)),"")</f>
        <v>0</v>
      </c>
      <c r="X42" s="226">
        <f>IFERROR(IF(AND(SUMIFS('Key inputs_EB_OWN'!R$505:R$524,'Key inputs_EB_OWN'!$C$505:$C$524,$C42)/SUM('Key inputs_EB_OWN'!R$505:R$524)&gt;0,SUMIFS('Key inputs_EB_OWN'!R$505:R$524,'Key inputs_EB_OWN'!$C$505:$C$524,$C42)/SUM('Key inputs_EB_OWN'!R$505:R$524)&lt;0.001),0.001,SUMIFS('Key inputs_EB_OWN'!R$505:R$524,'Key inputs_EB_OWN'!$C$505:$C$524,$C42)/SUM('Key inputs_EB_OWN'!R$505:R$524)),"")</f>
        <v>0</v>
      </c>
      <c r="Y42" s="226">
        <f>IFERROR(IF(AND(SUMIFS('Key inputs_EB_OWN'!S$505:S$524,'Key inputs_EB_OWN'!$C$505:$C$524,$C42)/SUM('Key inputs_EB_OWN'!S$505:S$524)&gt;0,SUMIFS('Key inputs_EB_OWN'!S$505:S$524,'Key inputs_EB_OWN'!$C$505:$C$524,$C42)/SUM('Key inputs_EB_OWN'!S$505:S$524)&lt;0.001),0.001,SUMIFS('Key inputs_EB_OWN'!S$505:S$524,'Key inputs_EB_OWN'!$C$505:$C$524,$C42)/SUM('Key inputs_EB_OWN'!S$505:S$524)),"")</f>
        <v>0</v>
      </c>
      <c r="Z42" s="226">
        <f>IFERROR(IF(AND(SUMIFS('Key inputs_EB_OWN'!T$505:T$524,'Key inputs_EB_OWN'!$C$505:$C$524,$C42)/SUM('Key inputs_EB_OWN'!T$505:T$524)&gt;0,SUMIFS('Key inputs_EB_OWN'!T$505:T$524,'Key inputs_EB_OWN'!$C$505:$C$524,$C42)/SUM('Key inputs_EB_OWN'!T$505:T$524)&lt;0.001),0.001,SUMIFS('Key inputs_EB_OWN'!T$505:T$524,'Key inputs_EB_OWN'!$C$505:$C$524,$C42)/SUM('Key inputs_EB_OWN'!T$505:T$524)),"")</f>
        <v>0</v>
      </c>
      <c r="AA42" s="226">
        <f>IFERROR(IF(AND(SUMIFS('Key inputs_EB_OWN'!U$505:U$524,'Key inputs_EB_OWN'!$C$505:$C$524,$C42)/SUM('Key inputs_EB_OWN'!U$505:U$524)&gt;0,SUMIFS('Key inputs_EB_OWN'!U$505:U$524,'Key inputs_EB_OWN'!$C$505:$C$524,$C42)/SUM('Key inputs_EB_OWN'!U$505:U$524)&lt;0.001),0.001,SUMIFS('Key inputs_EB_OWN'!U$505:U$524,'Key inputs_EB_OWN'!$C$505:$C$524,$C42)/SUM('Key inputs_EB_OWN'!U$505:U$524)),"")</f>
        <v>0</v>
      </c>
      <c r="AB42" s="226" t="str">
        <f>IFERROR(IF(AND(SUMIFS('Key inputs_EB_OWN'!V$505:V$524,'Key inputs_EB_OWN'!$C$505:$C$524,$C42)/SUM('Key inputs_EB_OWN'!V$505:V$524)&gt;0,SUMIFS('Key inputs_EB_OWN'!V$505:V$524,'Key inputs_EB_OWN'!$C$505:$C$524,$C42)/SUM('Key inputs_EB_OWN'!V$505:V$524)&lt;0.001),0.001,SUMIFS('Key inputs_EB_OWN'!V$505:V$524,'Key inputs_EB_OWN'!$C$505:$C$524,$C42)/SUM('Key inputs_EB_OWN'!V$505:V$524)),"")</f>
        <v/>
      </c>
      <c r="AC42" s="226">
        <f>IFERROR(IF(AND(SUMIFS('Key inputs_EB_OWN'!W$505:W$524,'Key inputs_EB_OWN'!$C$505:$C$524,$C42)/SUM('Key inputs_EB_OWN'!W$505:W$524)&gt;0,SUMIFS('Key inputs_EB_OWN'!W$505:W$524,'Key inputs_EB_OWN'!$C$505:$C$524,$C42)/SUM('Key inputs_EB_OWN'!W$505:W$524)&lt;0.001),0.001,SUMIFS('Key inputs_EB_OWN'!W$505:W$524,'Key inputs_EB_OWN'!$C$505:$C$524,$C42)/SUM('Key inputs_EB_OWN'!W$505:W$524)),"")</f>
        <v>0</v>
      </c>
      <c r="AD42" s="226">
        <f>IFERROR(IF(AND(SUMIFS('Key inputs_EB_OWN'!X$505:X$524,'Key inputs_EB_OWN'!$C$505:$C$524,$C42)/SUM('Key inputs_EB_OWN'!X$505:X$524)&gt;0,SUMIFS('Key inputs_EB_OWN'!X$505:X$524,'Key inputs_EB_OWN'!$C$505:$C$524,$C42)/SUM('Key inputs_EB_OWN'!X$505:X$524)&lt;0.001),0.001,SUMIFS('Key inputs_EB_OWN'!X$505:X$524,'Key inputs_EB_OWN'!$C$505:$C$524,$C42)/SUM('Key inputs_EB_OWN'!X$505:X$524)),"")</f>
        <v>1E-3</v>
      </c>
      <c r="AE42" s="226">
        <f>IFERROR(IF(AND(SUMIFS('Key inputs_EB_OWN'!Y$505:Y$524,'Key inputs_EB_OWN'!$C$505:$C$524,$C42)/SUM('Key inputs_EB_OWN'!Y$505:Y$524)&gt;0,SUMIFS('Key inputs_EB_OWN'!Y$505:Y$524,'Key inputs_EB_OWN'!$C$505:$C$524,$C42)/SUM('Key inputs_EB_OWN'!Y$505:Y$524)&lt;0.001),0.001,SUMIFS('Key inputs_EB_OWN'!Y$505:Y$524,'Key inputs_EB_OWN'!$C$505:$C$524,$C42)/SUM('Key inputs_EB_OWN'!Y$505:Y$524)),"")</f>
        <v>0</v>
      </c>
      <c r="AF42" s="226">
        <f>IFERROR(IF(AND(SUMIFS('Key inputs_EB_OWN'!Z$505:Z$524,'Key inputs_EB_OWN'!$C$505:$C$524,$C42)/SUM('Key inputs_EB_OWN'!Z$505:Z$524)&gt;0,SUMIFS('Key inputs_EB_OWN'!Z$505:Z$524,'Key inputs_EB_OWN'!$C$505:$C$524,$C42)/SUM('Key inputs_EB_OWN'!Z$505:Z$524)&lt;0.001),0.001,SUMIFS('Key inputs_EB_OWN'!Z$505:Z$524,'Key inputs_EB_OWN'!$C$505:$C$524,$C42)/SUM('Key inputs_EB_OWN'!Z$505:Z$524)),"")</f>
        <v>0</v>
      </c>
      <c r="AG42" s="226">
        <f>IFERROR(IF(AND(SUMIFS('Key inputs_EB_OWN'!AA$505:AA$524,'Key inputs_EB_OWN'!$C$505:$C$524,$C42)/SUM('Key inputs_EB_OWN'!AA$505:AA$524)&gt;0,SUMIFS('Key inputs_EB_OWN'!AA$505:AA$524,'Key inputs_EB_OWN'!$C$505:$C$524,$C42)/SUM('Key inputs_EB_OWN'!AA$505:AA$524)&lt;0.001),0.001,SUMIFS('Key inputs_EB_OWN'!AA$505:AA$524,'Key inputs_EB_OWN'!$C$505:$C$524,$C42)/SUM('Key inputs_EB_OWN'!AA$505:AA$524)),"")</f>
        <v>0</v>
      </c>
      <c r="AH42" s="226">
        <f>IFERROR(IF(AND(SUMIFS('Key inputs_EB_OWN'!AB$505:AB$524,'Key inputs_EB_OWN'!$C$505:$C$524,$C42)/SUM('Key inputs_EB_OWN'!AB$505:AB$524)&gt;0,SUMIFS('Key inputs_EB_OWN'!AB$505:AB$524,'Key inputs_EB_OWN'!$C$505:$C$524,$C42)/SUM('Key inputs_EB_OWN'!AB$505:AB$524)&lt;0.001),0.001,SUMIFS('Key inputs_EB_OWN'!AB$505:AB$524,'Key inputs_EB_OWN'!$C$505:$C$524,$C42)/SUM('Key inputs_EB_OWN'!AB$505:AB$524)),"")</f>
        <v>0</v>
      </c>
      <c r="AI42" s="226" t="str">
        <f>IFERROR(IF(AND(SUMIFS('Key inputs_EB_OWN'!AC$505:AC$524,'Key inputs_EB_OWN'!$C$505:$C$524,$C42)/SUM('Key inputs_EB_OWN'!AC$505:AC$524)&gt;0,SUMIFS('Key inputs_EB_OWN'!AC$505:AC$524,'Key inputs_EB_OWN'!$C$505:$C$524,$C42)/SUM('Key inputs_EB_OWN'!AC$505:AC$524)&lt;0.001),0.001,SUMIFS('Key inputs_EB_OWN'!AC$505:AC$524,'Key inputs_EB_OWN'!$C$505:$C$524,$C42)/SUM('Key inputs_EB_OWN'!AC$505:AC$524)),"")</f>
        <v/>
      </c>
      <c r="AJ42" s="226">
        <f>IFERROR(IF(AND(SUMIFS('Key inputs_EB_OWN'!AD$505:AD$524,'Key inputs_EB_OWN'!$C$505:$C$524,$C42)/SUM('Key inputs_EB_OWN'!AD$505:AD$524)&gt;0,SUMIFS('Key inputs_EB_OWN'!AD$505:AD$524,'Key inputs_EB_OWN'!$C$505:$C$524,$C42)/SUM('Key inputs_EB_OWN'!AD$505:AD$524)&lt;0.001),0.001,SUMIFS('Key inputs_EB_OWN'!AD$505:AD$524,'Key inputs_EB_OWN'!$C$505:$C$524,$C42)/SUM('Key inputs_EB_OWN'!AD$505:AD$524)),"")</f>
        <v>0</v>
      </c>
      <c r="AK42" s="226">
        <f>IFERROR(IF(AND(SUMIFS('Key inputs_EB_OWN'!AE$505:AE$524,'Key inputs_EB_OWN'!$C$505:$C$524,$C42)/SUM('Key inputs_EB_OWN'!AE$505:AE$524)&gt;0,SUMIFS('Key inputs_EB_OWN'!AE$505:AE$524,'Key inputs_EB_OWN'!$C$505:$C$524,$C42)/SUM('Key inputs_EB_OWN'!AE$505:AE$524)&lt;0.001),0.001,SUMIFS('Key inputs_EB_OWN'!AE$505:AE$524,'Key inputs_EB_OWN'!$C$505:$C$524,$C42)/SUM('Key inputs_EB_OWN'!AE$505:AE$524)),"")</f>
        <v>0</v>
      </c>
      <c r="AL42" s="226">
        <f>IFERROR(IF(AND(SUMIFS('Key inputs_EB_OWN'!AF$505:AF$524,'Key inputs_EB_OWN'!$C$505:$C$524,$C42)/SUM('Key inputs_EB_OWN'!AF$505:AF$524)&gt;0,SUMIFS('Key inputs_EB_OWN'!AF$505:AF$524,'Key inputs_EB_OWN'!$C$505:$C$524,$C42)/SUM('Key inputs_EB_OWN'!AF$505:AF$524)&lt;0.001),0.001,SUMIFS('Key inputs_EB_OWN'!AF$505:AF$524,'Key inputs_EB_OWN'!$C$505:$C$524,$C42)/SUM('Key inputs_EB_OWN'!AF$505:AF$524)),"")</f>
        <v>0</v>
      </c>
    </row>
    <row r="43" spans="1:38">
      <c r="A43" t="str">
        <f>AO11</f>
        <v>U-TRF-LIQGASCOA_00</v>
      </c>
      <c r="B43" t="str">
        <f>AP11</f>
        <v>UPS Transformation: Coal liquefaction and gas to liquid - Existing</v>
      </c>
      <c r="C43" s="4"/>
      <c r="D43" s="4"/>
      <c r="E43" s="4"/>
      <c r="F43" s="4"/>
      <c r="G43" s="4" t="s">
        <v>695</v>
      </c>
      <c r="H43" s="4"/>
      <c r="I43" s="4"/>
      <c r="J43" s="4" t="s">
        <v>2665</v>
      </c>
      <c r="K43" s="333">
        <v>1</v>
      </c>
      <c r="L43" s="333">
        <v>1</v>
      </c>
      <c r="M43" s="333">
        <v>1</v>
      </c>
      <c r="N43" s="333">
        <v>1</v>
      </c>
      <c r="O43" s="333">
        <v>1</v>
      </c>
      <c r="P43" s="333">
        <v>1</v>
      </c>
      <c r="Q43" s="333">
        <v>1</v>
      </c>
      <c r="R43" s="333">
        <v>1</v>
      </c>
      <c r="S43" s="333">
        <v>1</v>
      </c>
      <c r="T43" s="333">
        <v>1</v>
      </c>
      <c r="U43" s="333">
        <v>1</v>
      </c>
      <c r="V43" s="333">
        <v>1</v>
      </c>
      <c r="W43" s="333">
        <v>1</v>
      </c>
      <c r="X43" s="333">
        <v>1</v>
      </c>
      <c r="Y43" s="333">
        <v>1</v>
      </c>
      <c r="Z43" s="333">
        <v>1</v>
      </c>
      <c r="AA43" s="333">
        <v>1</v>
      </c>
      <c r="AB43" s="333">
        <v>1</v>
      </c>
      <c r="AC43" s="333">
        <v>1</v>
      </c>
      <c r="AD43" s="333">
        <v>1</v>
      </c>
      <c r="AE43" s="333">
        <v>1</v>
      </c>
      <c r="AF43" s="333">
        <v>1</v>
      </c>
      <c r="AG43" s="333">
        <v>1</v>
      </c>
      <c r="AH43" s="333">
        <v>1</v>
      </c>
      <c r="AI43" s="333">
        <v>1</v>
      </c>
      <c r="AJ43" s="333">
        <v>1</v>
      </c>
      <c r="AK43" s="333">
        <v>1</v>
      </c>
      <c r="AL43" s="333">
        <v>1</v>
      </c>
    </row>
    <row r="44" spans="1:38">
      <c r="C44" s="4"/>
      <c r="D44" s="4"/>
      <c r="E44" s="4"/>
      <c r="F44" s="4"/>
      <c r="G44" s="4" t="s">
        <v>697</v>
      </c>
      <c r="H44" s="4"/>
      <c r="I44" s="4"/>
      <c r="J44" s="4" t="s">
        <v>698</v>
      </c>
      <c r="K44" s="331">
        <v>100</v>
      </c>
      <c r="L44" s="331">
        <v>100</v>
      </c>
      <c r="M44" s="331">
        <v>100</v>
      </c>
      <c r="N44" s="331">
        <v>100</v>
      </c>
      <c r="O44" s="331">
        <v>100</v>
      </c>
      <c r="P44" s="331">
        <v>100</v>
      </c>
      <c r="Q44" s="331">
        <v>100</v>
      </c>
      <c r="R44" s="331">
        <v>100</v>
      </c>
      <c r="S44" s="331">
        <v>100</v>
      </c>
      <c r="T44" s="331">
        <v>100</v>
      </c>
      <c r="U44" s="331">
        <v>100</v>
      </c>
      <c r="V44" s="331">
        <v>100</v>
      </c>
      <c r="W44" s="331">
        <v>100</v>
      </c>
      <c r="X44" s="331">
        <v>100</v>
      </c>
      <c r="Y44" s="331">
        <v>100</v>
      </c>
      <c r="Z44" s="331">
        <v>100</v>
      </c>
      <c r="AA44" s="331">
        <v>100</v>
      </c>
      <c r="AB44" s="331">
        <v>100</v>
      </c>
      <c r="AC44" s="331">
        <v>100</v>
      </c>
      <c r="AD44" s="331">
        <v>100</v>
      </c>
      <c r="AE44" s="331">
        <v>100</v>
      </c>
      <c r="AF44" s="331">
        <v>100</v>
      </c>
      <c r="AG44" s="331">
        <v>100</v>
      </c>
      <c r="AH44" s="331">
        <v>100</v>
      </c>
      <c r="AI44" s="331">
        <v>100</v>
      </c>
      <c r="AJ44" s="331">
        <v>100</v>
      </c>
      <c r="AK44" s="331">
        <v>100</v>
      </c>
      <c r="AL44" s="331">
        <v>100</v>
      </c>
    </row>
    <row r="45" spans="1:38">
      <c r="C45" s="4"/>
      <c r="D45" s="4"/>
      <c r="E45" s="4"/>
      <c r="F45" s="4"/>
      <c r="G45" s="4" t="s">
        <v>699</v>
      </c>
      <c r="H45" s="4"/>
      <c r="I45" s="4">
        <v>2019</v>
      </c>
      <c r="J45" s="4" t="s">
        <v>112</v>
      </c>
      <c r="K45" s="176">
        <f>'Key inputs_EB_TRF'!D65/1000</f>
        <v>0</v>
      </c>
      <c r="L45" s="176">
        <f>'Key inputs_EB_TRF'!E65/1000</f>
        <v>0</v>
      </c>
      <c r="M45" s="176">
        <f>'Key inputs_EB_TRF'!F65/1000</f>
        <v>0</v>
      </c>
      <c r="N45" s="176">
        <f>'Key inputs_EB_TRF'!G65/1000</f>
        <v>174.25299999999999</v>
      </c>
      <c r="O45" s="176">
        <f>'Key inputs_EB_TRF'!H65/1000</f>
        <v>0</v>
      </c>
      <c r="P45" s="176">
        <f>'Key inputs_EB_TRF'!I65/1000</f>
        <v>13.134</v>
      </c>
      <c r="Q45" s="176">
        <f>'Key inputs_EB_TRF'!J65/1000</f>
        <v>19.771000000000001</v>
      </c>
      <c r="R45" s="176">
        <f>'Key inputs_EB_TRF'!K65/1000</f>
        <v>0</v>
      </c>
      <c r="S45" s="176">
        <f>'Key inputs_EB_TRF'!L65/1000</f>
        <v>0</v>
      </c>
      <c r="T45" s="176">
        <f>'Key inputs_EB_TRF'!M65/1000</f>
        <v>131.37899999999999</v>
      </c>
      <c r="U45" s="176">
        <f>'Key inputs_EB_TRF'!N65/1000</f>
        <v>0</v>
      </c>
      <c r="V45" s="176">
        <f>'Key inputs_EB_TRF'!O65/1000</f>
        <v>325.512</v>
      </c>
      <c r="W45" s="176">
        <f>'Key inputs_EB_TRF'!P65/1000</f>
        <v>0</v>
      </c>
      <c r="X45" s="176">
        <f>'Key inputs_EB_TRF'!Q65/1000</f>
        <v>0</v>
      </c>
      <c r="Y45" s="176">
        <f>'Key inputs_EB_TRF'!R65/1000</f>
        <v>88.897000000000006</v>
      </c>
      <c r="Z45" s="176">
        <f>'Key inputs_EB_TRF'!S65/1000</f>
        <v>0</v>
      </c>
      <c r="AA45" s="176">
        <f>'Key inputs_EB_TRF'!T65/1000</f>
        <v>23.452000000000002</v>
      </c>
      <c r="AB45" s="176">
        <f>'Key inputs_EB_TRF'!U65/1000</f>
        <v>0</v>
      </c>
      <c r="AC45" s="176">
        <f>'Key inputs_EB_TRF'!V65/1000</f>
        <v>0</v>
      </c>
      <c r="AD45" s="176">
        <f>'Key inputs_EB_TRF'!W65/1000</f>
        <v>0</v>
      </c>
      <c r="AE45" s="176">
        <f>'Key inputs_EB_TRF'!X65/1000</f>
        <v>21.95</v>
      </c>
      <c r="AF45" s="176">
        <f>'Key inputs_EB_TRF'!Y65/1000</f>
        <v>43.991999999999997</v>
      </c>
      <c r="AG45" s="176">
        <f>'Key inputs_EB_TRF'!Z65/1000</f>
        <v>186.494</v>
      </c>
      <c r="AH45" s="176">
        <f>'Key inputs_EB_TRF'!AA65/1000</f>
        <v>1.298</v>
      </c>
      <c r="AI45" s="176">
        <f>'Key inputs_EB_TRF'!AB65/1000</f>
        <v>7.2149999999999999</v>
      </c>
      <c r="AJ45" s="176">
        <f>'Key inputs_EB_TRF'!AC65/1000</f>
        <v>170.964</v>
      </c>
      <c r="AK45" s="176">
        <f>'Key inputs_EB_TRF'!AD65/1000</f>
        <v>0</v>
      </c>
      <c r="AL45" s="176">
        <f>'Key inputs_EB_TRF'!AE65/1000</f>
        <v>203.15</v>
      </c>
    </row>
    <row r="46" spans="1:38">
      <c r="A46" s="4"/>
      <c r="B46" s="4"/>
      <c r="C46" s="4"/>
      <c r="D46" s="4"/>
      <c r="E46" s="4"/>
      <c r="F46" s="4"/>
      <c r="G46" s="4" t="s">
        <v>632</v>
      </c>
      <c r="H46" s="4" t="s">
        <v>700</v>
      </c>
      <c r="I46" s="4">
        <v>2019</v>
      </c>
      <c r="J46" s="4"/>
      <c r="K46" s="331">
        <v>1</v>
      </c>
      <c r="L46" s="331">
        <v>1</v>
      </c>
      <c r="M46" s="331">
        <v>1</v>
      </c>
      <c r="N46" s="331">
        <v>1</v>
      </c>
      <c r="O46" s="331">
        <v>1</v>
      </c>
      <c r="P46" s="331">
        <v>1</v>
      </c>
      <c r="Q46" s="331">
        <v>1</v>
      </c>
      <c r="R46" s="331">
        <v>1</v>
      </c>
      <c r="S46" s="331">
        <v>1</v>
      </c>
      <c r="T46" s="331">
        <v>1</v>
      </c>
      <c r="U46" s="331">
        <v>1</v>
      </c>
      <c r="V46" s="331">
        <v>1</v>
      </c>
      <c r="W46" s="331">
        <v>1</v>
      </c>
      <c r="X46" s="331">
        <v>1</v>
      </c>
      <c r="Y46" s="331">
        <v>1</v>
      </c>
      <c r="Z46" s="331">
        <v>1</v>
      </c>
      <c r="AA46" s="331">
        <v>1</v>
      </c>
      <c r="AB46" s="331">
        <v>1</v>
      </c>
      <c r="AC46" s="331">
        <v>1</v>
      </c>
      <c r="AD46" s="331">
        <v>1</v>
      </c>
      <c r="AE46" s="331">
        <v>1</v>
      </c>
      <c r="AF46" s="331">
        <v>1</v>
      </c>
      <c r="AG46" s="331">
        <v>1</v>
      </c>
      <c r="AH46" s="331">
        <v>1</v>
      </c>
      <c r="AI46" s="331">
        <v>1</v>
      </c>
      <c r="AJ46" s="331">
        <v>1</v>
      </c>
      <c r="AK46" s="331">
        <v>1</v>
      </c>
      <c r="AL46" s="331">
        <v>1</v>
      </c>
    </row>
    <row r="47" spans="1:38">
      <c r="A47" s="4"/>
      <c r="B47" s="4"/>
      <c r="C47" s="4"/>
      <c r="D47" s="4"/>
      <c r="E47" s="4"/>
      <c r="F47" s="4"/>
      <c r="G47" s="4" t="s">
        <v>632</v>
      </c>
      <c r="H47" s="4" t="s">
        <v>700</v>
      </c>
      <c r="I47" s="4">
        <v>2020</v>
      </c>
      <c r="J47" s="4"/>
      <c r="K47" s="331">
        <v>0</v>
      </c>
      <c r="L47" s="331">
        <v>0</v>
      </c>
      <c r="M47" s="331">
        <v>0</v>
      </c>
      <c r="N47" s="331">
        <v>0</v>
      </c>
      <c r="O47" s="331">
        <v>0</v>
      </c>
      <c r="P47" s="331">
        <v>0</v>
      </c>
      <c r="Q47" s="331">
        <v>0</v>
      </c>
      <c r="R47" s="331">
        <v>0</v>
      </c>
      <c r="S47" s="331">
        <v>0</v>
      </c>
      <c r="T47" s="331">
        <v>0</v>
      </c>
      <c r="U47" s="331">
        <v>0</v>
      </c>
      <c r="V47" s="331">
        <v>0</v>
      </c>
      <c r="W47" s="331">
        <v>0</v>
      </c>
      <c r="X47" s="331">
        <v>0</v>
      </c>
      <c r="Y47" s="331">
        <v>0</v>
      </c>
      <c r="Z47" s="331">
        <v>0</v>
      </c>
      <c r="AA47" s="331">
        <v>0</v>
      </c>
      <c r="AB47" s="331">
        <v>0</v>
      </c>
      <c r="AC47" s="331">
        <v>0</v>
      </c>
      <c r="AD47" s="331">
        <v>0</v>
      </c>
      <c r="AE47" s="331">
        <v>0</v>
      </c>
      <c r="AF47" s="331">
        <v>0</v>
      </c>
      <c r="AG47" s="331">
        <v>0</v>
      </c>
      <c r="AH47" s="331">
        <v>0</v>
      </c>
      <c r="AI47" s="331">
        <v>0</v>
      </c>
      <c r="AJ47" s="331">
        <v>0</v>
      </c>
      <c r="AK47" s="331">
        <v>0</v>
      </c>
      <c r="AL47" s="331">
        <v>0</v>
      </c>
    </row>
    <row r="48" spans="1:38">
      <c r="A48" s="4"/>
      <c r="B48" s="4"/>
      <c r="C48" s="4"/>
      <c r="D48" s="4"/>
      <c r="E48" s="4"/>
      <c r="F48" s="4"/>
      <c r="G48" s="4" t="s">
        <v>632</v>
      </c>
      <c r="H48" s="4" t="s">
        <v>700</v>
      </c>
      <c r="I48" s="4">
        <v>2050</v>
      </c>
      <c r="J48" s="4"/>
      <c r="K48" s="331">
        <v>0</v>
      </c>
      <c r="L48" s="331">
        <v>0</v>
      </c>
      <c r="M48" s="331">
        <v>0</v>
      </c>
      <c r="N48" s="331">
        <v>0</v>
      </c>
      <c r="O48" s="331">
        <v>0</v>
      </c>
      <c r="P48" s="331">
        <v>0</v>
      </c>
      <c r="Q48" s="331">
        <v>0</v>
      </c>
      <c r="R48" s="331">
        <v>0</v>
      </c>
      <c r="S48" s="331">
        <v>0</v>
      </c>
      <c r="T48" s="331">
        <v>0</v>
      </c>
      <c r="U48" s="331">
        <v>0</v>
      </c>
      <c r="V48" s="331">
        <v>0</v>
      </c>
      <c r="W48" s="331">
        <v>0</v>
      </c>
      <c r="X48" s="331">
        <v>0</v>
      </c>
      <c r="Y48" s="331">
        <v>0</v>
      </c>
      <c r="Z48" s="331">
        <v>0</v>
      </c>
      <c r="AA48" s="331">
        <v>0</v>
      </c>
      <c r="AB48" s="331">
        <v>0</v>
      </c>
      <c r="AC48" s="331">
        <v>0</v>
      </c>
      <c r="AD48" s="331">
        <v>0</v>
      </c>
      <c r="AE48" s="331">
        <v>0</v>
      </c>
      <c r="AF48" s="331">
        <v>0</v>
      </c>
      <c r="AG48" s="331">
        <v>0</v>
      </c>
      <c r="AH48" s="331">
        <v>0</v>
      </c>
      <c r="AI48" s="331">
        <v>0</v>
      </c>
      <c r="AJ48" s="331">
        <v>0</v>
      </c>
      <c r="AK48" s="331">
        <v>0</v>
      </c>
      <c r="AL48" s="331">
        <v>0</v>
      </c>
    </row>
    <row r="49" spans="1:41">
      <c r="A49" s="4"/>
      <c r="B49" s="4"/>
      <c r="C49" s="4"/>
      <c r="D49" s="4"/>
      <c r="E49" s="4"/>
      <c r="F49" s="4"/>
      <c r="G49" s="4" t="s">
        <v>632</v>
      </c>
      <c r="H49" s="4" t="s">
        <v>700</v>
      </c>
      <c r="I49" s="4">
        <v>0</v>
      </c>
      <c r="J49" s="4"/>
      <c r="K49" s="331">
        <v>5</v>
      </c>
      <c r="L49" s="331">
        <v>5</v>
      </c>
      <c r="M49" s="331">
        <v>5</v>
      </c>
      <c r="N49" s="331">
        <v>5</v>
      </c>
      <c r="O49" s="331">
        <v>5</v>
      </c>
      <c r="P49" s="331">
        <v>5</v>
      </c>
      <c r="Q49" s="331">
        <v>5</v>
      </c>
      <c r="R49" s="331">
        <v>5</v>
      </c>
      <c r="S49" s="331">
        <v>5</v>
      </c>
      <c r="T49" s="331">
        <v>5</v>
      </c>
      <c r="U49" s="331">
        <v>5</v>
      </c>
      <c r="V49" s="331">
        <v>5</v>
      </c>
      <c r="W49" s="331">
        <v>5</v>
      </c>
      <c r="X49" s="331">
        <v>5</v>
      </c>
      <c r="Y49" s="331">
        <v>5</v>
      </c>
      <c r="Z49" s="331">
        <v>5</v>
      </c>
      <c r="AA49" s="331">
        <v>5</v>
      </c>
      <c r="AB49" s="331">
        <v>5</v>
      </c>
      <c r="AC49" s="331">
        <v>5</v>
      </c>
      <c r="AD49" s="331">
        <v>5</v>
      </c>
      <c r="AE49" s="331">
        <v>5</v>
      </c>
      <c r="AF49" s="331">
        <v>5</v>
      </c>
      <c r="AG49" s="331">
        <v>5</v>
      </c>
      <c r="AH49" s="331">
        <v>5</v>
      </c>
      <c r="AI49" s="331">
        <v>5</v>
      </c>
      <c r="AJ49" s="331">
        <v>5</v>
      </c>
      <c r="AK49" s="331">
        <v>5</v>
      </c>
      <c r="AL49" s="331">
        <v>5</v>
      </c>
    </row>
    <row r="50" spans="1:41">
      <c r="C50" s="4"/>
      <c r="D50" s="4"/>
      <c r="E50" s="4"/>
      <c r="F50" s="4"/>
      <c r="G50" s="4" t="s">
        <v>701</v>
      </c>
      <c r="H50" s="4" t="s">
        <v>661</v>
      </c>
      <c r="I50" s="4">
        <v>2019</v>
      </c>
      <c r="J50" s="4" t="s">
        <v>112</v>
      </c>
      <c r="K50" s="333">
        <v>0</v>
      </c>
      <c r="L50" s="333">
        <v>0</v>
      </c>
      <c r="M50" s="333">
        <v>0</v>
      </c>
      <c r="N50" s="333">
        <v>0</v>
      </c>
      <c r="O50" s="333">
        <v>0</v>
      </c>
      <c r="P50" s="333">
        <v>0</v>
      </c>
      <c r="Q50" s="333">
        <v>0</v>
      </c>
      <c r="R50" s="333">
        <v>0</v>
      </c>
      <c r="S50" s="333">
        <v>0</v>
      </c>
      <c r="T50" s="333">
        <v>0</v>
      </c>
      <c r="U50" s="333">
        <v>0</v>
      </c>
      <c r="V50" s="333">
        <v>0</v>
      </c>
      <c r="W50" s="333">
        <v>0</v>
      </c>
      <c r="X50" s="333">
        <v>0</v>
      </c>
      <c r="Y50" s="333">
        <v>0</v>
      </c>
      <c r="Z50" s="333">
        <v>0</v>
      </c>
      <c r="AA50" s="333">
        <v>0</v>
      </c>
      <c r="AB50" s="333">
        <v>0</v>
      </c>
      <c r="AC50" s="333">
        <v>0</v>
      </c>
      <c r="AD50" s="333">
        <v>0</v>
      </c>
      <c r="AE50" s="333">
        <v>0</v>
      </c>
      <c r="AF50" s="333">
        <v>0</v>
      </c>
      <c r="AG50" s="333">
        <v>0</v>
      </c>
      <c r="AH50" s="333">
        <v>0</v>
      </c>
      <c r="AI50" s="333">
        <v>0</v>
      </c>
      <c r="AJ50" s="333">
        <v>0</v>
      </c>
      <c r="AK50" s="333">
        <v>0</v>
      </c>
      <c r="AL50" s="333">
        <v>0</v>
      </c>
    </row>
    <row r="51" spans="1:41">
      <c r="C51" s="4"/>
      <c r="D51" s="4"/>
      <c r="E51" s="4"/>
      <c r="F51" s="4"/>
      <c r="G51" s="4" t="s">
        <v>701</v>
      </c>
      <c r="H51" s="4" t="s">
        <v>661</v>
      </c>
      <c r="I51" s="4">
        <v>2060</v>
      </c>
      <c r="J51" s="4" t="s">
        <v>112</v>
      </c>
      <c r="K51" s="333">
        <v>0</v>
      </c>
      <c r="L51" s="333">
        <v>0</v>
      </c>
      <c r="M51" s="333">
        <v>0</v>
      </c>
      <c r="N51" s="333">
        <v>0</v>
      </c>
      <c r="O51" s="333">
        <v>0</v>
      </c>
      <c r="P51" s="333">
        <v>0</v>
      </c>
      <c r="Q51" s="333">
        <v>0</v>
      </c>
      <c r="R51" s="333">
        <v>0</v>
      </c>
      <c r="S51" s="333">
        <v>0</v>
      </c>
      <c r="T51" s="333">
        <v>0</v>
      </c>
      <c r="U51" s="333">
        <v>0</v>
      </c>
      <c r="V51" s="333">
        <v>0</v>
      </c>
      <c r="W51" s="333">
        <v>0</v>
      </c>
      <c r="X51" s="333">
        <v>0</v>
      </c>
      <c r="Y51" s="333">
        <v>0</v>
      </c>
      <c r="Z51" s="333">
        <v>0</v>
      </c>
      <c r="AA51" s="333">
        <v>0</v>
      </c>
      <c r="AB51" s="333">
        <v>0</v>
      </c>
      <c r="AC51" s="333">
        <v>0</v>
      </c>
      <c r="AD51" s="333">
        <v>0</v>
      </c>
      <c r="AE51" s="333">
        <v>0</v>
      </c>
      <c r="AF51" s="333">
        <v>0</v>
      </c>
      <c r="AG51" s="333">
        <v>0</v>
      </c>
      <c r="AH51" s="333">
        <v>0</v>
      </c>
      <c r="AI51" s="333">
        <v>0</v>
      </c>
      <c r="AJ51" s="333">
        <v>0</v>
      </c>
      <c r="AK51" s="333">
        <v>0</v>
      </c>
      <c r="AL51" s="333">
        <v>0</v>
      </c>
    </row>
    <row r="52" spans="1:41">
      <c r="C52" s="4"/>
      <c r="D52" s="4"/>
      <c r="E52" s="4"/>
      <c r="F52" s="4"/>
      <c r="G52" s="4" t="s">
        <v>701</v>
      </c>
      <c r="H52" s="4" t="s">
        <v>661</v>
      </c>
      <c r="I52" s="4">
        <v>0</v>
      </c>
      <c r="J52" s="4"/>
      <c r="K52" s="333">
        <v>5</v>
      </c>
      <c r="L52" s="333">
        <v>5</v>
      </c>
      <c r="M52" s="333">
        <v>5</v>
      </c>
      <c r="N52" s="333">
        <v>5</v>
      </c>
      <c r="O52" s="333">
        <v>5</v>
      </c>
      <c r="P52" s="333">
        <v>5</v>
      </c>
      <c r="Q52" s="333">
        <v>5</v>
      </c>
      <c r="R52" s="333">
        <v>5</v>
      </c>
      <c r="S52" s="333">
        <v>5</v>
      </c>
      <c r="T52" s="333">
        <v>5</v>
      </c>
      <c r="U52" s="333">
        <v>5</v>
      </c>
      <c r="V52" s="333">
        <v>5</v>
      </c>
      <c r="W52" s="333">
        <v>5</v>
      </c>
      <c r="X52" s="333">
        <v>5</v>
      </c>
      <c r="Y52" s="333">
        <v>5</v>
      </c>
      <c r="Z52" s="333">
        <v>5</v>
      </c>
      <c r="AA52" s="333">
        <v>5</v>
      </c>
      <c r="AB52" s="333">
        <v>5</v>
      </c>
      <c r="AC52" s="333">
        <v>5</v>
      </c>
      <c r="AD52" s="333">
        <v>5</v>
      </c>
      <c r="AE52" s="333">
        <v>5</v>
      </c>
      <c r="AF52" s="333">
        <v>5</v>
      </c>
      <c r="AG52" s="333">
        <v>5</v>
      </c>
      <c r="AH52" s="333">
        <v>5</v>
      </c>
      <c r="AI52" s="333">
        <v>5</v>
      </c>
      <c r="AJ52" s="333">
        <v>5</v>
      </c>
      <c r="AK52" s="333">
        <v>5</v>
      </c>
      <c r="AL52" s="333">
        <v>5</v>
      </c>
    </row>
    <row r="53" spans="1:41">
      <c r="C53" s="4"/>
      <c r="D53" s="4"/>
      <c r="E53" s="4"/>
      <c r="F53" s="4"/>
      <c r="G53" s="4" t="s">
        <v>687</v>
      </c>
      <c r="H53" s="4"/>
      <c r="I53" s="4"/>
      <c r="J53" s="4" t="s">
        <v>2663</v>
      </c>
      <c r="K53" s="332">
        <f>'Key inputs_TRF'!$C$20*10^3</f>
        <v>17.93283606693366</v>
      </c>
      <c r="L53" s="332">
        <f>'Key inputs_TRF'!$C$20*10^3</f>
        <v>17.93283606693366</v>
      </c>
      <c r="M53" s="332">
        <f>'Key inputs_TRF'!$C$20*10^3</f>
        <v>17.93283606693366</v>
      </c>
      <c r="N53" s="332">
        <f>'Key inputs_TRF'!$C$20*10^3</f>
        <v>17.93283606693366</v>
      </c>
      <c r="O53" s="332">
        <f>'Key inputs_TRF'!$C$20*10^3</f>
        <v>17.93283606693366</v>
      </c>
      <c r="P53" s="332">
        <f>'Key inputs_TRF'!$C$20*10^3</f>
        <v>17.93283606693366</v>
      </c>
      <c r="Q53" s="332">
        <f>'Key inputs_TRF'!$C$20*10^3</f>
        <v>17.93283606693366</v>
      </c>
      <c r="R53" s="332">
        <f>'Key inputs_TRF'!$C$20*10^3</f>
        <v>17.93283606693366</v>
      </c>
      <c r="S53" s="332">
        <f>'Key inputs_TRF'!$C$20*10^3</f>
        <v>17.93283606693366</v>
      </c>
      <c r="T53" s="332">
        <f>'Key inputs_TRF'!$C$20*10^3</f>
        <v>17.93283606693366</v>
      </c>
      <c r="U53" s="332">
        <f>'Key inputs_TRF'!$C$20*10^3</f>
        <v>17.93283606693366</v>
      </c>
      <c r="V53" s="332">
        <f>'Key inputs_TRF'!$C$20*10^3</f>
        <v>17.93283606693366</v>
      </c>
      <c r="W53" s="332">
        <f>'Key inputs_TRF'!$C$20*10^3</f>
        <v>17.93283606693366</v>
      </c>
      <c r="X53" s="332">
        <f>'Key inputs_TRF'!$C$20*10^3</f>
        <v>17.93283606693366</v>
      </c>
      <c r="Y53" s="332">
        <f>'Key inputs_TRF'!$C$20*10^3</f>
        <v>17.93283606693366</v>
      </c>
      <c r="Z53" s="332">
        <f>'Key inputs_TRF'!$C$20*10^3</f>
        <v>17.93283606693366</v>
      </c>
      <c r="AA53" s="332">
        <f>'Key inputs_TRF'!$C$20*10^3</f>
        <v>17.93283606693366</v>
      </c>
      <c r="AB53" s="332">
        <f>'Key inputs_TRF'!$C$20*10^3</f>
        <v>17.93283606693366</v>
      </c>
      <c r="AC53" s="332">
        <f>'Key inputs_TRF'!$C$20*10^3</f>
        <v>17.93283606693366</v>
      </c>
      <c r="AD53" s="332">
        <f>'Key inputs_TRF'!$C$20*10^3</f>
        <v>17.93283606693366</v>
      </c>
      <c r="AE53" s="332">
        <f>'Key inputs_TRF'!$C$20*10^3</f>
        <v>17.93283606693366</v>
      </c>
      <c r="AF53" s="332">
        <f>'Key inputs_TRF'!$C$20*10^3</f>
        <v>17.93283606693366</v>
      </c>
      <c r="AG53" s="332">
        <f>'Key inputs_TRF'!$C$20*10^3</f>
        <v>17.93283606693366</v>
      </c>
      <c r="AH53" s="332">
        <f>'Key inputs_TRF'!$C$20*10^3</f>
        <v>17.93283606693366</v>
      </c>
      <c r="AI53" s="332">
        <f>'Key inputs_TRF'!$C$20*10^3</f>
        <v>17.93283606693366</v>
      </c>
      <c r="AJ53" s="332">
        <f>'Key inputs_TRF'!$C$20*10^3</f>
        <v>17.93283606693366</v>
      </c>
      <c r="AK53" s="332">
        <f>'Key inputs_TRF'!$C$20*10^3</f>
        <v>17.93283606693366</v>
      </c>
      <c r="AL53" s="332">
        <f>'Key inputs_TRF'!$C$20*10^3</f>
        <v>17.93283606693366</v>
      </c>
    </row>
    <row r="54" spans="1:41">
      <c r="C54" s="4"/>
      <c r="D54" s="4"/>
      <c r="E54" s="4"/>
      <c r="F54" s="4"/>
      <c r="G54" s="4" t="s">
        <v>689</v>
      </c>
      <c r="H54" s="4"/>
      <c r="I54" s="4"/>
      <c r="J54" s="4" t="s">
        <v>2663</v>
      </c>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row>
    <row r="55" spans="1:41">
      <c r="C55" s="4"/>
      <c r="D55" s="4"/>
      <c r="E55" s="4"/>
      <c r="F55" s="4"/>
      <c r="G55" s="4" t="s">
        <v>675</v>
      </c>
      <c r="H55" s="4"/>
      <c r="I55" s="4"/>
      <c r="J55" s="4" t="s">
        <v>2662</v>
      </c>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row>
    <row r="56" spans="1:41">
      <c r="C56" s="4"/>
      <c r="D56" s="4"/>
      <c r="E56" s="4" t="s">
        <v>362</v>
      </c>
      <c r="F56" s="4" t="s">
        <v>691</v>
      </c>
      <c r="G56" s="4" t="s">
        <v>692</v>
      </c>
      <c r="H56" s="4"/>
      <c r="I56" s="4"/>
      <c r="J56" s="4" t="s">
        <v>2664</v>
      </c>
      <c r="K56" s="173" t="str">
        <f>IFERROR(-K$45/(SUM('Key inputs_EB_TRF'!D$20:D$21)/10^3),"")</f>
        <v/>
      </c>
      <c r="L56" s="173" t="str">
        <f>IFERROR(-L$45/(SUM('Key inputs_EB_TRF'!E$20:E$21)/10^3),"")</f>
        <v/>
      </c>
      <c r="M56" s="173" t="str">
        <f>IFERROR(-M$45/(SUM('Key inputs_EB_TRF'!F$20:F$21)/10^3),"")</f>
        <v/>
      </c>
      <c r="N56" s="173">
        <f>IFERROR(-N$45/(SUM('Key inputs_EB_TRF'!G$20:G$21)/10^3),"")</f>
        <v>0.54142068828376477</v>
      </c>
      <c r="O56" s="173" t="str">
        <f>IFERROR(-O$45/(SUM('Key inputs_EB_TRF'!H$20:H$21)/10^3),"")</f>
        <v/>
      </c>
      <c r="P56" s="173">
        <f>IFERROR(-P$45/(SUM('Key inputs_EB_TRF'!I$20:I$21)/10^3),"")</f>
        <v>0.43285106943940943</v>
      </c>
      <c r="Q56" s="173">
        <f>IFERROR(-Q$45/(SUM('Key inputs_EB_TRF'!J$20:J$21)/10^3),"")</f>
        <v>0.4209282520757931</v>
      </c>
      <c r="R56" s="173" t="str">
        <f>IFERROR(-R$45/(SUM('Key inputs_EB_TRF'!K$20:K$21)/10^3),"")</f>
        <v/>
      </c>
      <c r="S56" s="173" t="str">
        <f>IFERROR(-S$45/(SUM('Key inputs_EB_TRF'!L$20:L$21)/10^3),"")</f>
        <v/>
      </c>
      <c r="T56" s="173">
        <f>IFERROR(-T$45/(SUM('Key inputs_EB_TRF'!M$20:M$21)/10^3),"")</f>
        <v>1</v>
      </c>
      <c r="U56" s="173" t="str">
        <f>IFERROR(-U$45/(SUM('Key inputs_EB_TRF'!N$20:N$21)/10^3),"")</f>
        <v/>
      </c>
      <c r="V56" s="173">
        <f>IFERROR(-V$45/(SUM('Key inputs_EB_TRF'!O$20:O$21)/10^3),"")</f>
        <v>0.25480531008780483</v>
      </c>
      <c r="W56" s="173" t="str">
        <f>IFERROR(-W$45/(SUM('Key inputs_EB_TRF'!P$20:P$21)/10^3),"")</f>
        <v/>
      </c>
      <c r="X56" s="173" t="str">
        <f>IFERROR(-X$45/(SUM('Key inputs_EB_TRF'!Q$20:Q$21)/10^3),"")</f>
        <v/>
      </c>
      <c r="Y56" s="173">
        <f>IFERROR(-Y$45/(SUM('Key inputs_EB_TRF'!R$20:R$21)/10^3),"")</f>
        <v>1</v>
      </c>
      <c r="Z56" s="173" t="str">
        <f>IFERROR(-Z$45/(SUM('Key inputs_EB_TRF'!S$20:S$21)/10^3),"")</f>
        <v/>
      </c>
      <c r="AA56" s="173">
        <f>IFERROR(-AA$45/(SUM('Key inputs_EB_TRF'!T$20:T$21)/10^3),"")</f>
        <v>1</v>
      </c>
      <c r="AB56" s="173" t="str">
        <f>IFERROR(-AB$45/(SUM('Key inputs_EB_TRF'!U$20:U$21)/10^3),"")</f>
        <v/>
      </c>
      <c r="AC56" s="173" t="str">
        <f>IFERROR(-AC$45/(SUM('Key inputs_EB_TRF'!V$20:V$21)/10^3),"")</f>
        <v/>
      </c>
      <c r="AD56" s="173" t="str">
        <f>IFERROR(-AD$45/(SUM('Key inputs_EB_TRF'!W$20:W$21)/10^3),"")</f>
        <v/>
      </c>
      <c r="AE56" s="173">
        <f>IFERROR(-AE$45/(SUM('Key inputs_EB_TRF'!X$20:X$21)/10^3),"")</f>
        <v>1</v>
      </c>
      <c r="AF56" s="173">
        <f>IFERROR(-AF$45/(SUM('Key inputs_EB_TRF'!Y$20:Y$21)/10^3),"")</f>
        <v>1</v>
      </c>
      <c r="AG56" s="173">
        <f>IFERROR(-AG$45/(SUM('Key inputs_EB_TRF'!Z$20:Z$21)/10^3),"")</f>
        <v>0.35464504878665654</v>
      </c>
      <c r="AH56" s="173">
        <f>IFERROR(-AH$45/(SUM('Key inputs_EB_TRF'!AA$20:AA$21)/10^3),"")</f>
        <v>1</v>
      </c>
      <c r="AI56" s="173">
        <f>IFERROR(-AI$45/(SUM('Key inputs_EB_TRF'!AB$20:AB$21)/10^3),"")</f>
        <v>0.39169381107491852</v>
      </c>
      <c r="AJ56" s="173">
        <f>IFERROR(-AJ$45/(SUM('Key inputs_EB_TRF'!AC$20:AC$21)/10^3),"")</f>
        <v>1</v>
      </c>
      <c r="AK56" s="173" t="str">
        <f>IFERROR(-AK$45/(SUM('Key inputs_EB_TRF'!AD$20:AD$21)/10^3),"")</f>
        <v/>
      </c>
      <c r="AL56" s="173">
        <f>IFERROR(-AL$45/(SUM('Key inputs_EB_TRF'!AE$20:AE$21)/10^3),"")</f>
        <v>1</v>
      </c>
    </row>
    <row r="57" spans="1:41">
      <c r="C57" s="4" t="str">
        <f>Commodities!$C$22</f>
        <v>COA</v>
      </c>
      <c r="F57" s="4" t="s">
        <v>362</v>
      </c>
      <c r="G57" s="4" t="s">
        <v>702</v>
      </c>
      <c r="H57" t="s">
        <v>661</v>
      </c>
      <c r="I57">
        <v>2019</v>
      </c>
      <c r="J57" t="s">
        <v>650</v>
      </c>
      <c r="K57" s="173" t="str">
        <f>IFERROR(IF(AND('Key inputs_EB_TRF'!D20/SUM('Key inputs_EB_TRF'!D$20:D$21)&gt;0,'Key inputs_EB_TRF'!D20/SUM('Key inputs_EB_TRF'!D$20:D$21)&lt;0.001),0.001,'Key inputs_EB_TRF'!D20/SUM('Key inputs_EB_TRF'!D$20:D$21)),"")</f>
        <v/>
      </c>
      <c r="L57" s="173" t="str">
        <f>IFERROR(IF(AND('Key inputs_EB_TRF'!E20/SUM('Key inputs_EB_TRF'!E$20:E$21)&gt;0,'Key inputs_EB_TRF'!E20/SUM('Key inputs_EB_TRF'!E$20:E$21)&lt;0.001),0.001,'Key inputs_EB_TRF'!E20/SUM('Key inputs_EB_TRF'!E$20:E$21)),"")</f>
        <v/>
      </c>
      <c r="M57" s="173" t="str">
        <f>IFERROR(IF(AND('Key inputs_EB_TRF'!F20/SUM('Key inputs_EB_TRF'!F$20:F$21)&gt;0,'Key inputs_EB_TRF'!F20/SUM('Key inputs_EB_TRF'!F$20:F$21)&lt;0.001),0.001,'Key inputs_EB_TRF'!F20/SUM('Key inputs_EB_TRF'!F$20:F$21)),"")</f>
        <v/>
      </c>
      <c r="N57" s="173">
        <f>IFERROR(IF(AND('Key inputs_EB_TRF'!G20/SUM('Key inputs_EB_TRF'!G$20:G$21)&gt;0,'Key inputs_EB_TRF'!G20/SUM('Key inputs_EB_TRF'!G$20:G$21)&lt;0.001),0.001,'Key inputs_EB_TRF'!G20/SUM('Key inputs_EB_TRF'!G$20:G$21)),"")</f>
        <v>0.73047811983445399</v>
      </c>
      <c r="O57" s="173" t="str">
        <f>IFERROR(IF(AND('Key inputs_EB_TRF'!H20/SUM('Key inputs_EB_TRF'!H$20:H$21)&gt;0,'Key inputs_EB_TRF'!H20/SUM('Key inputs_EB_TRF'!H$20:H$21)&lt;0.001),0.001,'Key inputs_EB_TRF'!H20/SUM('Key inputs_EB_TRF'!H$20:H$21)),"")</f>
        <v/>
      </c>
      <c r="P57" s="173">
        <f>IFERROR(IF(AND('Key inputs_EB_TRF'!I20/SUM('Key inputs_EB_TRF'!I$20:I$21)&gt;0,'Key inputs_EB_TRF'!I20/SUM('Key inputs_EB_TRF'!I$20:I$21)&lt;0.001),0.001,'Key inputs_EB_TRF'!I20/SUM('Key inputs_EB_TRF'!I$20:I$21)),"")</f>
        <v>0</v>
      </c>
      <c r="Q57" s="173">
        <f>IFERROR(IF(AND('Key inputs_EB_TRF'!J20/SUM('Key inputs_EB_TRF'!J$20:J$21)&gt;0,'Key inputs_EB_TRF'!J20/SUM('Key inputs_EB_TRF'!J$20:J$21)&lt;0.001),0.001,'Key inputs_EB_TRF'!J20/SUM('Key inputs_EB_TRF'!J$20:J$21)),"")</f>
        <v>0</v>
      </c>
      <c r="R57" s="173" t="str">
        <f>IFERROR(IF(AND('Key inputs_EB_TRF'!K20/SUM('Key inputs_EB_TRF'!K$20:K$21)&gt;0,'Key inputs_EB_TRF'!K20/SUM('Key inputs_EB_TRF'!K$20:K$21)&lt;0.001),0.001,'Key inputs_EB_TRF'!K20/SUM('Key inputs_EB_TRF'!K$20:K$21)),"")</f>
        <v/>
      </c>
      <c r="S57" s="173" t="str">
        <f>IFERROR(IF(AND('Key inputs_EB_TRF'!L20/SUM('Key inputs_EB_TRF'!L$20:L$21)&gt;0,'Key inputs_EB_TRF'!L20/SUM('Key inputs_EB_TRF'!L$20:L$21)&lt;0.001),0.001,'Key inputs_EB_TRF'!L20/SUM('Key inputs_EB_TRF'!L$20:L$21)),"")</f>
        <v/>
      </c>
      <c r="T57" s="173">
        <f>IFERROR(IF(AND('Key inputs_EB_TRF'!M20/SUM('Key inputs_EB_TRF'!M$20:M$21)&gt;0,'Key inputs_EB_TRF'!M20/SUM('Key inputs_EB_TRF'!M$20:M$21)&lt;0.001),0.001,'Key inputs_EB_TRF'!M20/SUM('Key inputs_EB_TRF'!M$20:M$21)),"")</f>
        <v>0</v>
      </c>
      <c r="U57" s="173" t="str">
        <f>IFERROR(IF(AND('Key inputs_EB_TRF'!N20/SUM('Key inputs_EB_TRF'!N$20:N$21)&gt;0,'Key inputs_EB_TRF'!N20/SUM('Key inputs_EB_TRF'!N$20:N$21)&lt;0.001),0.001,'Key inputs_EB_TRF'!N20/SUM('Key inputs_EB_TRF'!N$20:N$21)),"")</f>
        <v/>
      </c>
      <c r="V57" s="173">
        <f>IFERROR(IF(AND('Key inputs_EB_TRF'!O20/SUM('Key inputs_EB_TRF'!O$20:O$21)&gt;0,'Key inputs_EB_TRF'!O20/SUM('Key inputs_EB_TRF'!O$20:O$21)&lt;0.001),0.001,'Key inputs_EB_TRF'!O20/SUM('Key inputs_EB_TRF'!O$20:O$21)),"")</f>
        <v>0.52111596697594431</v>
      </c>
      <c r="W57" s="173" t="str">
        <f>IFERROR(IF(AND('Key inputs_EB_TRF'!P20/SUM('Key inputs_EB_TRF'!P$20:P$21)&gt;0,'Key inputs_EB_TRF'!P20/SUM('Key inputs_EB_TRF'!P$20:P$21)&lt;0.001),0.001,'Key inputs_EB_TRF'!P20/SUM('Key inputs_EB_TRF'!P$20:P$21)),"")</f>
        <v/>
      </c>
      <c r="X57" s="173" t="str">
        <f>IFERROR(IF(AND('Key inputs_EB_TRF'!Q20/SUM('Key inputs_EB_TRF'!Q$20:Q$21)&gt;0,'Key inputs_EB_TRF'!Q20/SUM('Key inputs_EB_TRF'!Q$20:Q$21)&lt;0.001),0.001,'Key inputs_EB_TRF'!Q20/SUM('Key inputs_EB_TRF'!Q$20:Q$21)),"")</f>
        <v/>
      </c>
      <c r="Y57" s="173">
        <f>IFERROR(IF(AND('Key inputs_EB_TRF'!R20/SUM('Key inputs_EB_TRF'!R$20:R$21)&gt;0,'Key inputs_EB_TRF'!R20/SUM('Key inputs_EB_TRF'!R$20:R$21)&lt;0.001),0.001,'Key inputs_EB_TRF'!R20/SUM('Key inputs_EB_TRF'!R$20:R$21)),"")</f>
        <v>0.749339122805044</v>
      </c>
      <c r="Z57" s="173" t="str">
        <f>IFERROR(IF(AND('Key inputs_EB_TRF'!S20/SUM('Key inputs_EB_TRF'!S$20:S$21)&gt;0,'Key inputs_EB_TRF'!S20/SUM('Key inputs_EB_TRF'!S$20:S$21)&lt;0.001),0.001,'Key inputs_EB_TRF'!S20/SUM('Key inputs_EB_TRF'!S$20:S$21)),"")</f>
        <v/>
      </c>
      <c r="AA57" s="173">
        <f>IFERROR(IF(AND('Key inputs_EB_TRF'!T20/SUM('Key inputs_EB_TRF'!T$20:T$21)&gt;0,'Key inputs_EB_TRF'!T20/SUM('Key inputs_EB_TRF'!T$20:T$21)&lt;0.001),0.001,'Key inputs_EB_TRF'!T20/SUM('Key inputs_EB_TRF'!T$20:T$21)),"")</f>
        <v>0</v>
      </c>
      <c r="AB57" s="173" t="str">
        <f>IFERROR(IF(AND('Key inputs_EB_TRF'!U20/SUM('Key inputs_EB_TRF'!U$20:U$21)&gt;0,'Key inputs_EB_TRF'!U20/SUM('Key inputs_EB_TRF'!U$20:U$21)&lt;0.001),0.001,'Key inputs_EB_TRF'!U20/SUM('Key inputs_EB_TRF'!U$20:U$21)),"")</f>
        <v/>
      </c>
      <c r="AC57" s="173" t="str">
        <f>IFERROR(IF(AND('Key inputs_EB_TRF'!V20/SUM('Key inputs_EB_TRF'!V$20:V$21)&gt;0,'Key inputs_EB_TRF'!V20/SUM('Key inputs_EB_TRF'!V$20:V$21)&lt;0.001),0.001,'Key inputs_EB_TRF'!V20/SUM('Key inputs_EB_TRF'!V$20:V$21)),"")</f>
        <v/>
      </c>
      <c r="AD57" s="173" t="str">
        <f>IFERROR(IF(AND('Key inputs_EB_TRF'!W20/SUM('Key inputs_EB_TRF'!W$20:W$21)&gt;0,'Key inputs_EB_TRF'!W20/SUM('Key inputs_EB_TRF'!W$20:W$21)&lt;0.001),0.001,'Key inputs_EB_TRF'!W20/SUM('Key inputs_EB_TRF'!W$20:W$21)),"")</f>
        <v/>
      </c>
      <c r="AE57" s="173">
        <f>IFERROR(IF(AND('Key inputs_EB_TRF'!X20/SUM('Key inputs_EB_TRF'!X$20:X$21)&gt;0,'Key inputs_EB_TRF'!X20/SUM('Key inputs_EB_TRF'!X$20:X$21)&lt;0.001),0.001,'Key inputs_EB_TRF'!X20/SUM('Key inputs_EB_TRF'!X$20:X$21)),"")</f>
        <v>0</v>
      </c>
      <c r="AF57" s="173">
        <f>IFERROR(IF(AND('Key inputs_EB_TRF'!Y20/SUM('Key inputs_EB_TRF'!Y$20:Y$21)&gt;0,'Key inputs_EB_TRF'!Y20/SUM('Key inputs_EB_TRF'!Y$20:Y$21)&lt;0.001),0.001,'Key inputs_EB_TRF'!Y20/SUM('Key inputs_EB_TRF'!Y$20:Y$21)),"")</f>
        <v>0</v>
      </c>
      <c r="AG57" s="173">
        <f>IFERROR(IF(AND('Key inputs_EB_TRF'!Z20/SUM('Key inputs_EB_TRF'!Z$20:Z$21)&gt;0,'Key inputs_EB_TRF'!Z20/SUM('Key inputs_EB_TRF'!Z$20:Z$21)&lt;0.001),0.001,'Key inputs_EB_TRF'!Z20/SUM('Key inputs_EB_TRF'!Z$20:Z$21)),"")</f>
        <v>0</v>
      </c>
      <c r="AH57" s="173">
        <f>IFERROR(IF(AND('Key inputs_EB_TRF'!AA20/SUM('Key inputs_EB_TRF'!AA$20:AA$21)&gt;0,'Key inputs_EB_TRF'!AA20/SUM('Key inputs_EB_TRF'!AA$20:AA$21)&lt;0.001),0.001,'Key inputs_EB_TRF'!AA20/SUM('Key inputs_EB_TRF'!AA$20:AA$21)),"")</f>
        <v>0</v>
      </c>
      <c r="AI57" s="173">
        <f>IFERROR(IF(AND('Key inputs_EB_TRF'!AB20/SUM('Key inputs_EB_TRF'!AB$20:AB$21)&gt;0,'Key inputs_EB_TRF'!AB20/SUM('Key inputs_EB_TRF'!AB$20:AB$21)&lt;0.001),0.001,'Key inputs_EB_TRF'!AB20/SUM('Key inputs_EB_TRF'!AB$20:AB$21)),"")</f>
        <v>0</v>
      </c>
      <c r="AJ57" s="173">
        <f>IFERROR(IF(AND('Key inputs_EB_TRF'!AC20/SUM('Key inputs_EB_TRF'!AC$20:AC$21)&gt;0,'Key inputs_EB_TRF'!AC20/SUM('Key inputs_EB_TRF'!AC$20:AC$21)&lt;0.001),0.001,'Key inputs_EB_TRF'!AC20/SUM('Key inputs_EB_TRF'!AC$20:AC$21)),"")</f>
        <v>0</v>
      </c>
      <c r="AK57" s="173" t="str">
        <f>IFERROR(IF(AND('Key inputs_EB_TRF'!AD20/SUM('Key inputs_EB_TRF'!AD$20:AD$21)&gt;0,'Key inputs_EB_TRF'!AD20/SUM('Key inputs_EB_TRF'!AD$20:AD$21)&lt;0.001),0.001,'Key inputs_EB_TRF'!AD20/SUM('Key inputs_EB_TRF'!AD$20:AD$21)),"")</f>
        <v/>
      </c>
      <c r="AL57" s="173">
        <f>IFERROR(IF(AND('Key inputs_EB_TRF'!AE20/SUM('Key inputs_EB_TRF'!AE$20:AE$21)&gt;0,'Key inputs_EB_TRF'!AE20/SUM('Key inputs_EB_TRF'!AE$20:AE$21)&lt;0.001),0.001,'Key inputs_EB_TRF'!AE20/SUM('Key inputs_EB_TRF'!AE$20:AE$21)),"")</f>
        <v>0</v>
      </c>
    </row>
    <row r="58" spans="1:41">
      <c r="C58" s="4" t="str">
        <f>Commodities!$C$25</f>
        <v>GASNAT</v>
      </c>
      <c r="F58" s="4" t="s">
        <v>362</v>
      </c>
      <c r="G58" s="4" t="s">
        <v>702</v>
      </c>
      <c r="H58" t="s">
        <v>661</v>
      </c>
      <c r="I58">
        <v>2019</v>
      </c>
      <c r="J58" t="s">
        <v>650</v>
      </c>
      <c r="K58" s="173" t="str">
        <f>IFERROR(IF(AND('Key inputs_EB_TRF'!D21/SUM('Key inputs_EB_TRF'!D$20:D$21)&gt;0,'Key inputs_EB_TRF'!D21/SUM('Key inputs_EB_TRF'!D$20:D$21)&lt;0.001),0.001,'Key inputs_EB_TRF'!D21/SUM('Key inputs_EB_TRF'!D$20:D$21)),"")</f>
        <v/>
      </c>
      <c r="L58" s="173" t="str">
        <f>IFERROR(IF(AND('Key inputs_EB_TRF'!E21/SUM('Key inputs_EB_TRF'!E$20:E$21)&gt;0,'Key inputs_EB_TRF'!E21/SUM('Key inputs_EB_TRF'!E$20:E$21)&lt;0.001),0.001,'Key inputs_EB_TRF'!E21/SUM('Key inputs_EB_TRF'!E$20:E$21)),"")</f>
        <v/>
      </c>
      <c r="M58" s="173" t="str">
        <f>IFERROR(IF(AND('Key inputs_EB_TRF'!F21/SUM('Key inputs_EB_TRF'!F$20:F$21)&gt;0,'Key inputs_EB_TRF'!F21/SUM('Key inputs_EB_TRF'!F$20:F$21)&lt;0.001),0.001,'Key inputs_EB_TRF'!F21/SUM('Key inputs_EB_TRF'!F$20:F$21)),"")</f>
        <v/>
      </c>
      <c r="N58" s="173">
        <f>IFERROR(IF(AND('Key inputs_EB_TRF'!G21/SUM('Key inputs_EB_TRF'!G$20:G$21)&gt;0,'Key inputs_EB_TRF'!G21/SUM('Key inputs_EB_TRF'!G$20:G$21)&lt;0.001),0.001,'Key inputs_EB_TRF'!G21/SUM('Key inputs_EB_TRF'!G$20:G$21)),"")</f>
        <v>0.26952188016554607</v>
      </c>
      <c r="O58" s="173" t="str">
        <f>IFERROR(IF(AND('Key inputs_EB_TRF'!H21/SUM('Key inputs_EB_TRF'!H$20:H$21)&gt;0,'Key inputs_EB_TRF'!H21/SUM('Key inputs_EB_TRF'!H$20:H$21)&lt;0.001),0.001,'Key inputs_EB_TRF'!H21/SUM('Key inputs_EB_TRF'!H$20:H$21)),"")</f>
        <v/>
      </c>
      <c r="P58" s="173">
        <f>IFERROR(IF(AND('Key inputs_EB_TRF'!I21/SUM('Key inputs_EB_TRF'!I$20:I$21)&gt;0,'Key inputs_EB_TRF'!I21/SUM('Key inputs_EB_TRF'!I$20:I$21)&lt;0.001),0.001,'Key inputs_EB_TRF'!I21/SUM('Key inputs_EB_TRF'!I$20:I$21)),"")</f>
        <v>1</v>
      </c>
      <c r="Q58" s="173">
        <f>IFERROR(IF(AND('Key inputs_EB_TRF'!J21/SUM('Key inputs_EB_TRF'!J$20:J$21)&gt;0,'Key inputs_EB_TRF'!J21/SUM('Key inputs_EB_TRF'!J$20:J$21)&lt;0.001),0.001,'Key inputs_EB_TRF'!J21/SUM('Key inputs_EB_TRF'!J$20:J$21)),"")</f>
        <v>1</v>
      </c>
      <c r="R58" s="173" t="str">
        <f>IFERROR(IF(AND('Key inputs_EB_TRF'!K21/SUM('Key inputs_EB_TRF'!K$20:K$21)&gt;0,'Key inputs_EB_TRF'!K21/SUM('Key inputs_EB_TRF'!K$20:K$21)&lt;0.001),0.001,'Key inputs_EB_TRF'!K21/SUM('Key inputs_EB_TRF'!K$20:K$21)),"")</f>
        <v/>
      </c>
      <c r="S58" s="173" t="str">
        <f>IFERROR(IF(AND('Key inputs_EB_TRF'!L21/SUM('Key inputs_EB_TRF'!L$20:L$21)&gt;0,'Key inputs_EB_TRF'!L21/SUM('Key inputs_EB_TRF'!L$20:L$21)&lt;0.001),0.001,'Key inputs_EB_TRF'!L21/SUM('Key inputs_EB_TRF'!L$20:L$21)),"")</f>
        <v/>
      </c>
      <c r="T58" s="173">
        <f>IFERROR(IF(AND('Key inputs_EB_TRF'!M21/SUM('Key inputs_EB_TRF'!M$20:M$21)&gt;0,'Key inputs_EB_TRF'!M21/SUM('Key inputs_EB_TRF'!M$20:M$21)&lt;0.001),0.001,'Key inputs_EB_TRF'!M21/SUM('Key inputs_EB_TRF'!M$20:M$21)),"")</f>
        <v>1</v>
      </c>
      <c r="U58" s="173" t="str">
        <f>IFERROR(IF(AND('Key inputs_EB_TRF'!N21/SUM('Key inputs_EB_TRF'!N$20:N$21)&gt;0,'Key inputs_EB_TRF'!N21/SUM('Key inputs_EB_TRF'!N$20:N$21)&lt;0.001),0.001,'Key inputs_EB_TRF'!N21/SUM('Key inputs_EB_TRF'!N$20:N$21)),"")</f>
        <v/>
      </c>
      <c r="V58" s="173">
        <f>IFERROR(IF(AND('Key inputs_EB_TRF'!O21/SUM('Key inputs_EB_TRF'!O$20:O$21)&gt;0,'Key inputs_EB_TRF'!O21/SUM('Key inputs_EB_TRF'!O$20:O$21)&lt;0.001),0.001,'Key inputs_EB_TRF'!O21/SUM('Key inputs_EB_TRF'!O$20:O$21)),"")</f>
        <v>0.47888403302405569</v>
      </c>
      <c r="W58" s="173" t="str">
        <f>IFERROR(IF(AND('Key inputs_EB_TRF'!P21/SUM('Key inputs_EB_TRF'!P$20:P$21)&gt;0,'Key inputs_EB_TRF'!P21/SUM('Key inputs_EB_TRF'!P$20:P$21)&lt;0.001),0.001,'Key inputs_EB_TRF'!P21/SUM('Key inputs_EB_TRF'!P$20:P$21)),"")</f>
        <v/>
      </c>
      <c r="X58" s="173" t="str">
        <f>IFERROR(IF(AND('Key inputs_EB_TRF'!Q21/SUM('Key inputs_EB_TRF'!Q$20:Q$21)&gt;0,'Key inputs_EB_TRF'!Q21/SUM('Key inputs_EB_TRF'!Q$20:Q$21)&lt;0.001),0.001,'Key inputs_EB_TRF'!Q21/SUM('Key inputs_EB_TRF'!Q$20:Q$21)),"")</f>
        <v/>
      </c>
      <c r="Y58" s="173">
        <f>IFERROR(IF(AND('Key inputs_EB_TRF'!R21/SUM('Key inputs_EB_TRF'!R$20:R$21)&gt;0,'Key inputs_EB_TRF'!R21/SUM('Key inputs_EB_TRF'!R$20:R$21)&lt;0.001),0.001,'Key inputs_EB_TRF'!R21/SUM('Key inputs_EB_TRF'!R$20:R$21)),"")</f>
        <v>0.25066087719495594</v>
      </c>
      <c r="Z58" s="173" t="str">
        <f>IFERROR(IF(AND('Key inputs_EB_TRF'!S21/SUM('Key inputs_EB_TRF'!S$20:S$21)&gt;0,'Key inputs_EB_TRF'!S21/SUM('Key inputs_EB_TRF'!S$20:S$21)&lt;0.001),0.001,'Key inputs_EB_TRF'!S21/SUM('Key inputs_EB_TRF'!S$20:S$21)),"")</f>
        <v/>
      </c>
      <c r="AA58" s="173">
        <f>IFERROR(IF(AND('Key inputs_EB_TRF'!T21/SUM('Key inputs_EB_TRF'!T$20:T$21)&gt;0,'Key inputs_EB_TRF'!T21/SUM('Key inputs_EB_TRF'!T$20:T$21)&lt;0.001),0.001,'Key inputs_EB_TRF'!T21/SUM('Key inputs_EB_TRF'!T$20:T$21)),"")</f>
        <v>1</v>
      </c>
      <c r="AB58" s="173" t="str">
        <f>IFERROR(IF(AND('Key inputs_EB_TRF'!U21/SUM('Key inputs_EB_TRF'!U$20:U$21)&gt;0,'Key inputs_EB_TRF'!U21/SUM('Key inputs_EB_TRF'!U$20:U$21)&lt;0.001),0.001,'Key inputs_EB_TRF'!U21/SUM('Key inputs_EB_TRF'!U$20:U$21)),"")</f>
        <v/>
      </c>
      <c r="AC58" s="173" t="str">
        <f>IFERROR(IF(AND('Key inputs_EB_TRF'!V21/SUM('Key inputs_EB_TRF'!V$20:V$21)&gt;0,'Key inputs_EB_TRF'!V21/SUM('Key inputs_EB_TRF'!V$20:V$21)&lt;0.001),0.001,'Key inputs_EB_TRF'!V21/SUM('Key inputs_EB_TRF'!V$20:V$21)),"")</f>
        <v/>
      </c>
      <c r="AD58" s="173" t="str">
        <f>IFERROR(IF(AND('Key inputs_EB_TRF'!W21/SUM('Key inputs_EB_TRF'!W$20:W$21)&gt;0,'Key inputs_EB_TRF'!W21/SUM('Key inputs_EB_TRF'!W$20:W$21)&lt;0.001),0.001,'Key inputs_EB_TRF'!W21/SUM('Key inputs_EB_TRF'!W$20:W$21)),"")</f>
        <v/>
      </c>
      <c r="AE58" s="173">
        <f>IFERROR(IF(AND('Key inputs_EB_TRF'!X21/SUM('Key inputs_EB_TRF'!X$20:X$21)&gt;0,'Key inputs_EB_TRF'!X21/SUM('Key inputs_EB_TRF'!X$20:X$21)&lt;0.001),0.001,'Key inputs_EB_TRF'!X21/SUM('Key inputs_EB_TRF'!X$20:X$21)),"")</f>
        <v>1</v>
      </c>
      <c r="AF58" s="173">
        <f>IFERROR(IF(AND('Key inputs_EB_TRF'!Y21/SUM('Key inputs_EB_TRF'!Y$20:Y$21)&gt;0,'Key inputs_EB_TRF'!Y21/SUM('Key inputs_EB_TRF'!Y$20:Y$21)&lt;0.001),0.001,'Key inputs_EB_TRF'!Y21/SUM('Key inputs_EB_TRF'!Y$20:Y$21)),"")</f>
        <v>1</v>
      </c>
      <c r="AG58" s="173">
        <f>IFERROR(IF(AND('Key inputs_EB_TRF'!Z21/SUM('Key inputs_EB_TRF'!Z$20:Z$21)&gt;0,'Key inputs_EB_TRF'!Z21/SUM('Key inputs_EB_TRF'!Z$20:Z$21)&lt;0.001),0.001,'Key inputs_EB_TRF'!Z21/SUM('Key inputs_EB_TRF'!Z$20:Z$21)),"")</f>
        <v>1</v>
      </c>
      <c r="AH58" s="173">
        <f>IFERROR(IF(AND('Key inputs_EB_TRF'!AA21/SUM('Key inputs_EB_TRF'!AA$20:AA$21)&gt;0,'Key inputs_EB_TRF'!AA21/SUM('Key inputs_EB_TRF'!AA$20:AA$21)&lt;0.001),0.001,'Key inputs_EB_TRF'!AA21/SUM('Key inputs_EB_TRF'!AA$20:AA$21)),"")</f>
        <v>1</v>
      </c>
      <c r="AI58" s="173">
        <f>IFERROR(IF(AND('Key inputs_EB_TRF'!AB21/SUM('Key inputs_EB_TRF'!AB$20:AB$21)&gt;0,'Key inputs_EB_TRF'!AB21/SUM('Key inputs_EB_TRF'!AB$20:AB$21)&lt;0.001),0.001,'Key inputs_EB_TRF'!AB21/SUM('Key inputs_EB_TRF'!AB$20:AB$21)),"")</f>
        <v>1</v>
      </c>
      <c r="AJ58" s="173">
        <f>IFERROR(IF(AND('Key inputs_EB_TRF'!AC21/SUM('Key inputs_EB_TRF'!AC$20:AC$21)&gt;0,'Key inputs_EB_TRF'!AC21/SUM('Key inputs_EB_TRF'!AC$20:AC$21)&lt;0.001),0.001,'Key inputs_EB_TRF'!AC21/SUM('Key inputs_EB_TRF'!AC$20:AC$21)),"")</f>
        <v>1</v>
      </c>
      <c r="AK58" s="173" t="str">
        <f>IFERROR(IF(AND('Key inputs_EB_TRF'!AD21/SUM('Key inputs_EB_TRF'!AD$20:AD$21)&gt;0,'Key inputs_EB_TRF'!AD21/SUM('Key inputs_EB_TRF'!AD$20:AD$21)&lt;0.001),0.001,'Key inputs_EB_TRF'!AD21/SUM('Key inputs_EB_TRF'!AD$20:AD$21)),"")</f>
        <v/>
      </c>
      <c r="AL58" s="173">
        <f>IFERROR(IF(AND('Key inputs_EB_TRF'!AE21/SUM('Key inputs_EB_TRF'!AE$20:AE$21)&gt;0,'Key inputs_EB_TRF'!AE21/SUM('Key inputs_EB_TRF'!AE$20:AE$21)&lt;0.001),0.001,'Key inputs_EB_TRF'!AE21/SUM('Key inputs_EB_TRF'!AE$20:AE$21)),"")</f>
        <v>1</v>
      </c>
    </row>
    <row r="59" spans="1:41">
      <c r="D59" t="str">
        <f>Commodities!$C$34</f>
        <v>OILPIP</v>
      </c>
      <c r="G59" s="4"/>
    </row>
    <row r="60" spans="1:41">
      <c r="E60" s="4" t="s">
        <v>359</v>
      </c>
      <c r="F60" s="4" t="s">
        <v>691</v>
      </c>
      <c r="G60" s="4" t="s">
        <v>692</v>
      </c>
      <c r="J60" s="4" t="s">
        <v>2664</v>
      </c>
      <c r="K60" s="263" t="str">
        <f>IFERROR(-K$45/(SUM('Key inputs_EB_OWN'!E$528:E$547)/10^3),"")</f>
        <v/>
      </c>
      <c r="L60" s="263" t="str">
        <f>IFERROR(-L$45/(SUM('Key inputs_EB_OWN'!F$528:F$547)/10^3),"")</f>
        <v/>
      </c>
      <c r="M60" s="263" t="str">
        <f>IFERROR(-M$45/(SUM('Key inputs_EB_OWN'!G$528:G$547)/10^3),"")</f>
        <v/>
      </c>
      <c r="N60" s="263">
        <f>IFERROR(-N$45/(SUM('Key inputs_EB_OWN'!H$528:H$547)/10^3),"")</f>
        <v>0.25543640125945205</v>
      </c>
      <c r="O60" s="263" t="str">
        <f>IFERROR(-O$45/(SUM('Key inputs_EB_OWN'!I$528:I$547)/10^3),"")</f>
        <v/>
      </c>
      <c r="P60" s="263" t="str">
        <f>IFERROR(-P$45/(SUM('Key inputs_EB_OWN'!J$528:J$547)/10^3),"")</f>
        <v/>
      </c>
      <c r="Q60" s="263" t="str">
        <f>IFERROR(-Q$45/(SUM('Key inputs_EB_OWN'!K$528:K$547)/10^3),"")</f>
        <v/>
      </c>
      <c r="R60" s="263" t="str">
        <f>IFERROR(-R$45/(SUM('Key inputs_EB_OWN'!L$528:L$547)/10^3),"")</f>
        <v/>
      </c>
      <c r="S60" s="263" t="str">
        <f>IFERROR(-S$45/(SUM('Key inputs_EB_OWN'!M$528:M$547)/10^3),"")</f>
        <v/>
      </c>
      <c r="T60" s="263" t="str">
        <f>IFERROR(-T$45/(SUM('Key inputs_EB_OWN'!N$528:N$547)/10^3),"")</f>
        <v/>
      </c>
      <c r="U60" s="263" t="str">
        <f>IFERROR(-U$45/(SUM('Key inputs_EB_OWN'!O$528:O$547)/10^3),"")</f>
        <v/>
      </c>
      <c r="V60" s="263" t="str">
        <f>IFERROR(-V$45/(SUM('Key inputs_EB_OWN'!P$528:P$547)/10^3),"")</f>
        <v/>
      </c>
      <c r="W60" s="263" t="str">
        <f>IFERROR(-W$45/(SUM('Key inputs_EB_OWN'!Q$528:Q$547)/10^3),"")</f>
        <v/>
      </c>
      <c r="X60" s="263" t="str">
        <f>IFERROR(-X$45/(SUM('Key inputs_EB_OWN'!R$528:R$547)/10^3),"")</f>
        <v/>
      </c>
      <c r="Y60" s="263">
        <f>IFERROR(-Y$45/(SUM('Key inputs_EB_OWN'!S$528:S$547)/10^3),"")</f>
        <v>90.193345060102644</v>
      </c>
      <c r="Z60" s="263" t="str">
        <f>IFERROR(-Z$45/(SUM('Key inputs_EB_OWN'!T$528:T$547)/10^3),"")</f>
        <v/>
      </c>
      <c r="AA60" s="263" t="str">
        <f>IFERROR(-AA$45/(SUM('Key inputs_EB_OWN'!U$528:U$547)/10^3),"")</f>
        <v/>
      </c>
      <c r="AB60" s="263" t="str">
        <f>IFERROR(-AB$45/(SUM('Key inputs_EB_OWN'!V$528:V$547)/10^3),"")</f>
        <v/>
      </c>
      <c r="AC60" s="263" t="str">
        <f>IFERROR(-AC$45/(SUM('Key inputs_EB_OWN'!W$528:W$547)/10^3),"")</f>
        <v/>
      </c>
      <c r="AD60" s="263" t="str">
        <f>IFERROR(-AD$45/(SUM('Key inputs_EB_OWN'!X$528:X$547)/10^3),"")</f>
        <v/>
      </c>
      <c r="AE60" s="263" t="str">
        <f>IFERROR(-AE$45/(SUM('Key inputs_EB_OWN'!Y$528:Y$547)/10^3),"")</f>
        <v/>
      </c>
      <c r="AF60" s="263" t="str">
        <f>IFERROR(-AF$45/(SUM('Key inputs_EB_OWN'!Z$528:Z$547)/10^3),"")</f>
        <v/>
      </c>
      <c r="AG60" s="263" t="str">
        <f>IFERROR(-AG$45/(SUM('Key inputs_EB_OWN'!AA$528:AA$547)/10^3),"")</f>
        <v/>
      </c>
      <c r="AH60" s="263" t="str">
        <f>IFERROR(-AH$45/(SUM('Key inputs_EB_OWN'!AB$528:AB$547)/10^3),"")</f>
        <v/>
      </c>
      <c r="AI60" s="263" t="str">
        <f>IFERROR(-AI$45/(SUM('Key inputs_EB_OWN'!AC$528:AC$547)/10^3),"")</f>
        <v/>
      </c>
      <c r="AJ60" s="263" t="str">
        <f>IFERROR(-AJ$45/(SUM('Key inputs_EB_OWN'!AD$528:AD$547)/10^3),"")</f>
        <v/>
      </c>
      <c r="AK60" s="263" t="str">
        <f>IFERROR(-AK$45/(SUM('Key inputs_EB_OWN'!AE$528:AE$547)/10^3),"")</f>
        <v/>
      </c>
      <c r="AL60" s="263" t="str">
        <f>IFERROR(-AL$45/(SUM('Key inputs_EB_OWN'!AF$528:AF$547)/10^3),"")</f>
        <v/>
      </c>
    </row>
    <row r="61" spans="1:41">
      <c r="C61" t="str">
        <f>Commodities!$C$86</f>
        <v>UPSCOA</v>
      </c>
      <c r="E61" s="4"/>
      <c r="F61" s="4" t="s">
        <v>359</v>
      </c>
      <c r="G61" s="4" t="s">
        <v>702</v>
      </c>
      <c r="H61" t="s">
        <v>661</v>
      </c>
      <c r="I61">
        <v>2019</v>
      </c>
      <c r="J61" t="s">
        <v>650</v>
      </c>
      <c r="K61" s="173" t="str">
        <f>IFERROR(IF(AND(SUMIFS('Key inputs_EB_OWN'!E$528:E$547,'Key inputs_EB_OWN'!$C$528:$C$547,$C61)/SUM('Key inputs_EB_OWN'!E$528:E$547)&gt;0,SUMIFS('Key inputs_EB_OWN'!E$528:E$547,'Key inputs_EB_OWN'!$C$528:$C$547,$C61)/SUM('Key inputs_EB_OWN'!E$528:E$547)&lt;0.001),0.001,SUMIFS('Key inputs_EB_OWN'!E$528:E$547,'Key inputs_EB_OWN'!$C$528:$C$547,$C61)/SUM('Key inputs_EB_OWN'!E$528:E$547)),"")</f>
        <v/>
      </c>
      <c r="L61" s="173" t="str">
        <f>IFERROR(IF(AND(SUMIFS('Key inputs_EB_OWN'!F$528:F$547,'Key inputs_EB_OWN'!$C$528:$C$547,$C61)/SUM('Key inputs_EB_OWN'!F$528:F$547)&gt;0,SUMIFS('Key inputs_EB_OWN'!F$528:F$547,'Key inputs_EB_OWN'!$C$528:$C$547,$C61)/SUM('Key inputs_EB_OWN'!F$528:F$547)&lt;0.001),0.001,SUMIFS('Key inputs_EB_OWN'!F$528:F$547,'Key inputs_EB_OWN'!$C$528:$C$547,$C61)/SUM('Key inputs_EB_OWN'!F$528:F$547)),"")</f>
        <v/>
      </c>
      <c r="M61" s="173" t="str">
        <f>IFERROR(IF(AND(SUMIFS('Key inputs_EB_OWN'!G$528:G$547,'Key inputs_EB_OWN'!$C$528:$C$547,$C61)/SUM('Key inputs_EB_OWN'!G$528:G$547)&gt;0,SUMIFS('Key inputs_EB_OWN'!G$528:G$547,'Key inputs_EB_OWN'!$C$528:$C$547,$C61)/SUM('Key inputs_EB_OWN'!G$528:G$547)&lt;0.001),0.001,SUMIFS('Key inputs_EB_OWN'!G$528:G$547,'Key inputs_EB_OWN'!$C$528:$C$547,$C61)/SUM('Key inputs_EB_OWN'!G$528:G$547)),"")</f>
        <v/>
      </c>
      <c r="N61" s="173">
        <f>IFERROR(IF(AND(SUMIFS('Key inputs_EB_OWN'!H$528:H$547,'Key inputs_EB_OWN'!$C$528:$C$547,$C61)/SUM('Key inputs_EB_OWN'!H$528:H$547)&gt;0,SUMIFS('Key inputs_EB_OWN'!H$528:H$547,'Key inputs_EB_OWN'!$C$528:$C$547,$C61)/SUM('Key inputs_EB_OWN'!H$528:H$547)&lt;0.001),0.001,SUMIFS('Key inputs_EB_OWN'!H$528:H$547,'Key inputs_EB_OWN'!$C$528:$C$547,$C61)/SUM('Key inputs_EB_OWN'!H$528:H$547)),"")</f>
        <v>0.98249773814106212</v>
      </c>
      <c r="O61" s="173" t="str">
        <f>IFERROR(IF(AND(SUMIFS('Key inputs_EB_OWN'!I$528:I$547,'Key inputs_EB_OWN'!$C$528:$C$547,$C61)/SUM('Key inputs_EB_OWN'!I$528:I$547)&gt;0,SUMIFS('Key inputs_EB_OWN'!I$528:I$547,'Key inputs_EB_OWN'!$C$528:$C$547,$C61)/SUM('Key inputs_EB_OWN'!I$528:I$547)&lt;0.001),0.001,SUMIFS('Key inputs_EB_OWN'!I$528:I$547,'Key inputs_EB_OWN'!$C$528:$C$547,$C61)/SUM('Key inputs_EB_OWN'!I$528:I$547)),"")</f>
        <v/>
      </c>
      <c r="P61" s="173" t="str">
        <f>IFERROR(IF(AND(SUMIFS('Key inputs_EB_OWN'!J$528:J$547,'Key inputs_EB_OWN'!$C$528:$C$547,$C61)/SUM('Key inputs_EB_OWN'!J$528:J$547)&gt;0,SUMIFS('Key inputs_EB_OWN'!J$528:J$547,'Key inputs_EB_OWN'!$C$528:$C$547,$C61)/SUM('Key inputs_EB_OWN'!J$528:J$547)&lt;0.001),0.001,SUMIFS('Key inputs_EB_OWN'!J$528:J$547,'Key inputs_EB_OWN'!$C$528:$C$547,$C61)/SUM('Key inputs_EB_OWN'!J$528:J$547)),"")</f>
        <v/>
      </c>
      <c r="Q61" s="173" t="str">
        <f>IFERROR(IF(AND(SUMIFS('Key inputs_EB_OWN'!K$528:K$547,'Key inputs_EB_OWN'!$C$528:$C$547,$C61)/SUM('Key inputs_EB_OWN'!K$528:K$547)&gt;0,SUMIFS('Key inputs_EB_OWN'!K$528:K$547,'Key inputs_EB_OWN'!$C$528:$C$547,$C61)/SUM('Key inputs_EB_OWN'!K$528:K$547)&lt;0.001),0.001,SUMIFS('Key inputs_EB_OWN'!K$528:K$547,'Key inputs_EB_OWN'!$C$528:$C$547,$C61)/SUM('Key inputs_EB_OWN'!K$528:K$547)),"")</f>
        <v/>
      </c>
      <c r="R61" s="173" t="str">
        <f>IFERROR(IF(AND(SUMIFS('Key inputs_EB_OWN'!L$528:L$547,'Key inputs_EB_OWN'!$C$528:$C$547,$C61)/SUM('Key inputs_EB_OWN'!L$528:L$547)&gt;0,SUMIFS('Key inputs_EB_OWN'!L$528:L$547,'Key inputs_EB_OWN'!$C$528:$C$547,$C61)/SUM('Key inputs_EB_OWN'!L$528:L$547)&lt;0.001),0.001,SUMIFS('Key inputs_EB_OWN'!L$528:L$547,'Key inputs_EB_OWN'!$C$528:$C$547,$C61)/SUM('Key inputs_EB_OWN'!L$528:L$547)),"")</f>
        <v/>
      </c>
      <c r="S61" s="173" t="str">
        <f>IFERROR(IF(AND(SUMIFS('Key inputs_EB_OWN'!M$528:M$547,'Key inputs_EB_OWN'!$C$528:$C$547,$C61)/SUM('Key inputs_EB_OWN'!M$528:M$547)&gt;0,SUMIFS('Key inputs_EB_OWN'!M$528:M$547,'Key inputs_EB_OWN'!$C$528:$C$547,$C61)/SUM('Key inputs_EB_OWN'!M$528:M$547)&lt;0.001),0.001,SUMIFS('Key inputs_EB_OWN'!M$528:M$547,'Key inputs_EB_OWN'!$C$528:$C$547,$C61)/SUM('Key inputs_EB_OWN'!M$528:M$547)),"")</f>
        <v/>
      </c>
      <c r="T61" s="173" t="str">
        <f>IFERROR(IF(AND(SUMIFS('Key inputs_EB_OWN'!N$528:N$547,'Key inputs_EB_OWN'!$C$528:$C$547,$C61)/SUM('Key inputs_EB_OWN'!N$528:N$547)&gt;0,SUMIFS('Key inputs_EB_OWN'!N$528:N$547,'Key inputs_EB_OWN'!$C$528:$C$547,$C61)/SUM('Key inputs_EB_OWN'!N$528:N$547)&lt;0.001),0.001,SUMIFS('Key inputs_EB_OWN'!N$528:N$547,'Key inputs_EB_OWN'!$C$528:$C$547,$C61)/SUM('Key inputs_EB_OWN'!N$528:N$547)),"")</f>
        <v/>
      </c>
      <c r="U61" s="173" t="str">
        <f>IFERROR(IF(AND(SUMIFS('Key inputs_EB_OWN'!O$528:O$547,'Key inputs_EB_OWN'!$C$528:$C$547,$C61)/SUM('Key inputs_EB_OWN'!O$528:O$547)&gt;0,SUMIFS('Key inputs_EB_OWN'!O$528:O$547,'Key inputs_EB_OWN'!$C$528:$C$547,$C61)/SUM('Key inputs_EB_OWN'!O$528:O$547)&lt;0.001),0.001,SUMIFS('Key inputs_EB_OWN'!O$528:O$547,'Key inputs_EB_OWN'!$C$528:$C$547,$C61)/SUM('Key inputs_EB_OWN'!O$528:O$547)),"")</f>
        <v/>
      </c>
      <c r="V61" s="173" t="str">
        <f>IFERROR(IF(AND(SUMIFS('Key inputs_EB_OWN'!P$528:P$547,'Key inputs_EB_OWN'!$C$528:$C$547,$C61)/SUM('Key inputs_EB_OWN'!P$528:P$547)&gt;0,SUMIFS('Key inputs_EB_OWN'!P$528:P$547,'Key inputs_EB_OWN'!$C$528:$C$547,$C61)/SUM('Key inputs_EB_OWN'!P$528:P$547)&lt;0.001),0.001,SUMIFS('Key inputs_EB_OWN'!P$528:P$547,'Key inputs_EB_OWN'!$C$528:$C$547,$C61)/SUM('Key inputs_EB_OWN'!P$528:P$547)),"")</f>
        <v/>
      </c>
      <c r="W61" s="173" t="str">
        <f>IFERROR(IF(AND(SUMIFS('Key inputs_EB_OWN'!Q$528:Q$547,'Key inputs_EB_OWN'!$C$528:$C$547,$C61)/SUM('Key inputs_EB_OWN'!Q$528:Q$547)&gt;0,SUMIFS('Key inputs_EB_OWN'!Q$528:Q$547,'Key inputs_EB_OWN'!$C$528:$C$547,$C61)/SUM('Key inputs_EB_OWN'!Q$528:Q$547)&lt;0.001),0.001,SUMIFS('Key inputs_EB_OWN'!Q$528:Q$547,'Key inputs_EB_OWN'!$C$528:$C$547,$C61)/SUM('Key inputs_EB_OWN'!Q$528:Q$547)),"")</f>
        <v/>
      </c>
      <c r="X61" s="173" t="str">
        <f>IFERROR(IF(AND(SUMIFS('Key inputs_EB_OWN'!R$528:R$547,'Key inputs_EB_OWN'!$C$528:$C$547,$C61)/SUM('Key inputs_EB_OWN'!R$528:R$547)&gt;0,SUMIFS('Key inputs_EB_OWN'!R$528:R$547,'Key inputs_EB_OWN'!$C$528:$C$547,$C61)/SUM('Key inputs_EB_OWN'!R$528:R$547)&lt;0.001),0.001,SUMIFS('Key inputs_EB_OWN'!R$528:R$547,'Key inputs_EB_OWN'!$C$528:$C$547,$C61)/SUM('Key inputs_EB_OWN'!R$528:R$547)),"")</f>
        <v/>
      </c>
      <c r="Y61" s="173">
        <f>IFERROR(IF(AND(SUMIFS('Key inputs_EB_OWN'!S$528:S$547,'Key inputs_EB_OWN'!$C$528:$C$547,$C61)/SUM('Key inputs_EB_OWN'!S$528:S$547)&gt;0,SUMIFS('Key inputs_EB_OWN'!S$528:S$547,'Key inputs_EB_OWN'!$C$528:$C$547,$C61)/SUM('Key inputs_EB_OWN'!S$528:S$547)&lt;0.001),0.001,SUMIFS('Key inputs_EB_OWN'!S$528:S$547,'Key inputs_EB_OWN'!$C$528:$C$547,$C61)/SUM('Key inputs_EB_OWN'!S$528:S$547)),"")</f>
        <v>0</v>
      </c>
      <c r="Z61" s="173" t="str">
        <f>IFERROR(IF(AND(SUMIFS('Key inputs_EB_OWN'!T$528:T$547,'Key inputs_EB_OWN'!$C$528:$C$547,$C61)/SUM('Key inputs_EB_OWN'!T$528:T$547)&gt;0,SUMIFS('Key inputs_EB_OWN'!T$528:T$547,'Key inputs_EB_OWN'!$C$528:$C$547,$C61)/SUM('Key inputs_EB_OWN'!T$528:T$547)&lt;0.001),0.001,SUMIFS('Key inputs_EB_OWN'!T$528:T$547,'Key inputs_EB_OWN'!$C$528:$C$547,$C61)/SUM('Key inputs_EB_OWN'!T$528:T$547)),"")</f>
        <v/>
      </c>
      <c r="AA61" s="173" t="str">
        <f>IFERROR(IF(AND(SUMIFS('Key inputs_EB_OWN'!U$528:U$547,'Key inputs_EB_OWN'!$C$528:$C$547,$C61)/SUM('Key inputs_EB_OWN'!U$528:U$547)&gt;0,SUMIFS('Key inputs_EB_OWN'!U$528:U$547,'Key inputs_EB_OWN'!$C$528:$C$547,$C61)/SUM('Key inputs_EB_OWN'!U$528:U$547)&lt;0.001),0.001,SUMIFS('Key inputs_EB_OWN'!U$528:U$547,'Key inputs_EB_OWN'!$C$528:$C$547,$C61)/SUM('Key inputs_EB_OWN'!U$528:U$547)),"")</f>
        <v/>
      </c>
      <c r="AB61" s="173" t="str">
        <f>IFERROR(IF(AND(SUMIFS('Key inputs_EB_OWN'!V$528:V$547,'Key inputs_EB_OWN'!$C$528:$C$547,$C61)/SUM('Key inputs_EB_OWN'!V$528:V$547)&gt;0,SUMIFS('Key inputs_EB_OWN'!V$528:V$547,'Key inputs_EB_OWN'!$C$528:$C$547,$C61)/SUM('Key inputs_EB_OWN'!V$528:V$547)&lt;0.001),0.001,SUMIFS('Key inputs_EB_OWN'!V$528:V$547,'Key inputs_EB_OWN'!$C$528:$C$547,$C61)/SUM('Key inputs_EB_OWN'!V$528:V$547)),"")</f>
        <v/>
      </c>
      <c r="AC61" s="173" t="str">
        <f>IFERROR(IF(AND(SUMIFS('Key inputs_EB_OWN'!W$528:W$547,'Key inputs_EB_OWN'!$C$528:$C$547,$C61)/SUM('Key inputs_EB_OWN'!W$528:W$547)&gt;0,SUMIFS('Key inputs_EB_OWN'!W$528:W$547,'Key inputs_EB_OWN'!$C$528:$C$547,$C61)/SUM('Key inputs_EB_OWN'!W$528:W$547)&lt;0.001),0.001,SUMIFS('Key inputs_EB_OWN'!W$528:W$547,'Key inputs_EB_OWN'!$C$528:$C$547,$C61)/SUM('Key inputs_EB_OWN'!W$528:W$547)),"")</f>
        <v/>
      </c>
      <c r="AD61" s="173" t="str">
        <f>IFERROR(IF(AND(SUMIFS('Key inputs_EB_OWN'!X$528:X$547,'Key inputs_EB_OWN'!$C$528:$C$547,$C61)/SUM('Key inputs_EB_OWN'!X$528:X$547)&gt;0,SUMIFS('Key inputs_EB_OWN'!X$528:X$547,'Key inputs_EB_OWN'!$C$528:$C$547,$C61)/SUM('Key inputs_EB_OWN'!X$528:X$547)&lt;0.001),0.001,SUMIFS('Key inputs_EB_OWN'!X$528:X$547,'Key inputs_EB_OWN'!$C$528:$C$547,$C61)/SUM('Key inputs_EB_OWN'!X$528:X$547)),"")</f>
        <v/>
      </c>
      <c r="AE61" s="173" t="str">
        <f>IFERROR(IF(AND(SUMIFS('Key inputs_EB_OWN'!Y$528:Y$547,'Key inputs_EB_OWN'!$C$528:$C$547,$C61)/SUM('Key inputs_EB_OWN'!Y$528:Y$547)&gt;0,SUMIFS('Key inputs_EB_OWN'!Y$528:Y$547,'Key inputs_EB_OWN'!$C$528:$C$547,$C61)/SUM('Key inputs_EB_OWN'!Y$528:Y$547)&lt;0.001),0.001,SUMIFS('Key inputs_EB_OWN'!Y$528:Y$547,'Key inputs_EB_OWN'!$C$528:$C$547,$C61)/SUM('Key inputs_EB_OWN'!Y$528:Y$547)),"")</f>
        <v/>
      </c>
      <c r="AF61" s="173" t="str">
        <f>IFERROR(IF(AND(SUMIFS('Key inputs_EB_OWN'!Z$528:Z$547,'Key inputs_EB_OWN'!$C$528:$C$547,$C61)/SUM('Key inputs_EB_OWN'!Z$528:Z$547)&gt;0,SUMIFS('Key inputs_EB_OWN'!Z$528:Z$547,'Key inputs_EB_OWN'!$C$528:$C$547,$C61)/SUM('Key inputs_EB_OWN'!Z$528:Z$547)&lt;0.001),0.001,SUMIFS('Key inputs_EB_OWN'!Z$528:Z$547,'Key inputs_EB_OWN'!$C$528:$C$547,$C61)/SUM('Key inputs_EB_OWN'!Z$528:Z$547)),"")</f>
        <v/>
      </c>
      <c r="AG61" s="173" t="str">
        <f>IFERROR(IF(AND(SUMIFS('Key inputs_EB_OWN'!AA$528:AA$547,'Key inputs_EB_OWN'!$C$528:$C$547,$C61)/SUM('Key inputs_EB_OWN'!AA$528:AA$547)&gt;0,SUMIFS('Key inputs_EB_OWN'!AA$528:AA$547,'Key inputs_EB_OWN'!$C$528:$C$547,$C61)/SUM('Key inputs_EB_OWN'!AA$528:AA$547)&lt;0.001),0.001,SUMIFS('Key inputs_EB_OWN'!AA$528:AA$547,'Key inputs_EB_OWN'!$C$528:$C$547,$C61)/SUM('Key inputs_EB_OWN'!AA$528:AA$547)),"")</f>
        <v/>
      </c>
      <c r="AH61" s="173" t="str">
        <f>IFERROR(IF(AND(SUMIFS('Key inputs_EB_OWN'!AB$528:AB$547,'Key inputs_EB_OWN'!$C$528:$C$547,$C61)/SUM('Key inputs_EB_OWN'!AB$528:AB$547)&gt;0,SUMIFS('Key inputs_EB_OWN'!AB$528:AB$547,'Key inputs_EB_OWN'!$C$528:$C$547,$C61)/SUM('Key inputs_EB_OWN'!AB$528:AB$547)&lt;0.001),0.001,SUMIFS('Key inputs_EB_OWN'!AB$528:AB$547,'Key inputs_EB_OWN'!$C$528:$C$547,$C61)/SUM('Key inputs_EB_OWN'!AB$528:AB$547)),"")</f>
        <v/>
      </c>
      <c r="AI61" s="173" t="str">
        <f>IFERROR(IF(AND(SUMIFS('Key inputs_EB_OWN'!AC$528:AC$547,'Key inputs_EB_OWN'!$C$528:$C$547,$C61)/SUM('Key inputs_EB_OWN'!AC$528:AC$547)&gt;0,SUMIFS('Key inputs_EB_OWN'!AC$528:AC$547,'Key inputs_EB_OWN'!$C$528:$C$547,$C61)/SUM('Key inputs_EB_OWN'!AC$528:AC$547)&lt;0.001),0.001,SUMIFS('Key inputs_EB_OWN'!AC$528:AC$547,'Key inputs_EB_OWN'!$C$528:$C$547,$C61)/SUM('Key inputs_EB_OWN'!AC$528:AC$547)),"")</f>
        <v/>
      </c>
      <c r="AJ61" s="173" t="str">
        <f>IFERROR(IF(AND(SUMIFS('Key inputs_EB_OWN'!AD$528:AD$547,'Key inputs_EB_OWN'!$C$528:$C$547,$C61)/SUM('Key inputs_EB_OWN'!AD$528:AD$547)&gt;0,SUMIFS('Key inputs_EB_OWN'!AD$528:AD$547,'Key inputs_EB_OWN'!$C$528:$C$547,$C61)/SUM('Key inputs_EB_OWN'!AD$528:AD$547)&lt;0.001),0.001,SUMIFS('Key inputs_EB_OWN'!AD$528:AD$547,'Key inputs_EB_OWN'!$C$528:$C$547,$C61)/SUM('Key inputs_EB_OWN'!AD$528:AD$547)),"")</f>
        <v/>
      </c>
      <c r="AK61" s="173" t="str">
        <f>IFERROR(IF(AND(SUMIFS('Key inputs_EB_OWN'!AE$528:AE$547,'Key inputs_EB_OWN'!$C$528:$C$547,$C61)/SUM('Key inputs_EB_OWN'!AE$528:AE$547)&gt;0,SUMIFS('Key inputs_EB_OWN'!AE$528:AE$547,'Key inputs_EB_OWN'!$C$528:$C$547,$C61)/SUM('Key inputs_EB_OWN'!AE$528:AE$547)&lt;0.001),0.001,SUMIFS('Key inputs_EB_OWN'!AE$528:AE$547,'Key inputs_EB_OWN'!$C$528:$C$547,$C61)/SUM('Key inputs_EB_OWN'!AE$528:AE$547)),"")</f>
        <v/>
      </c>
      <c r="AL61" s="173" t="str">
        <f>IFERROR(IF(AND(SUMIFS('Key inputs_EB_OWN'!AF$528:AF$547,'Key inputs_EB_OWN'!$C$528:$C$547,$C61)/SUM('Key inputs_EB_OWN'!AF$528:AF$547)&gt;0,SUMIFS('Key inputs_EB_OWN'!AF$528:AF$547,'Key inputs_EB_OWN'!$C$528:$C$547,$C61)/SUM('Key inputs_EB_OWN'!AF$528:AF$547)&lt;0.001),0.001,SUMIFS('Key inputs_EB_OWN'!AF$528:AF$547,'Key inputs_EB_OWN'!$C$528:$C$547,$C61)/SUM('Key inputs_EB_OWN'!AF$528:AF$547)),"")</f>
        <v/>
      </c>
    </row>
    <row r="62" spans="1:41">
      <c r="C62" t="str">
        <f>Commodities!$C$91</f>
        <v>UPSELC</v>
      </c>
      <c r="F62" s="4" t="s">
        <v>359</v>
      </c>
      <c r="G62" s="4" t="s">
        <v>702</v>
      </c>
      <c r="H62" t="s">
        <v>661</v>
      </c>
      <c r="I62">
        <v>2019</v>
      </c>
      <c r="J62" t="s">
        <v>650</v>
      </c>
      <c r="K62" s="173" t="str">
        <f>IFERROR(IF(AND(SUMIFS('Key inputs_EB_OWN'!E$528:E$547,'Key inputs_EB_OWN'!$C$528:$C$547,$C62)/SUM('Key inputs_EB_OWN'!E$528:E$547)&gt;0,SUMIFS('Key inputs_EB_OWN'!E$528:E$547,'Key inputs_EB_OWN'!$C$528:$C$547,$C62)/SUM('Key inputs_EB_OWN'!E$528:E$547)&lt;0.001),0.001,SUMIFS('Key inputs_EB_OWN'!E$528:E$547,'Key inputs_EB_OWN'!$C$528:$C$547,$C62)/SUM('Key inputs_EB_OWN'!E$528:E$547)),"")</f>
        <v/>
      </c>
      <c r="L62" s="173" t="str">
        <f>IFERROR(IF(AND(SUMIFS('Key inputs_EB_OWN'!F$528:F$547,'Key inputs_EB_OWN'!$C$528:$C$547,$C62)/SUM('Key inputs_EB_OWN'!F$528:F$547)&gt;0,SUMIFS('Key inputs_EB_OWN'!F$528:F$547,'Key inputs_EB_OWN'!$C$528:$C$547,$C62)/SUM('Key inputs_EB_OWN'!F$528:F$547)&lt;0.001),0.001,SUMIFS('Key inputs_EB_OWN'!F$528:F$547,'Key inputs_EB_OWN'!$C$528:$C$547,$C62)/SUM('Key inputs_EB_OWN'!F$528:F$547)),"")</f>
        <v/>
      </c>
      <c r="M62" s="173" t="str">
        <f>IFERROR(IF(AND(SUMIFS('Key inputs_EB_OWN'!G$528:G$547,'Key inputs_EB_OWN'!$C$528:$C$547,$C62)/SUM('Key inputs_EB_OWN'!G$528:G$547)&gt;0,SUMIFS('Key inputs_EB_OWN'!G$528:G$547,'Key inputs_EB_OWN'!$C$528:$C$547,$C62)/SUM('Key inputs_EB_OWN'!G$528:G$547)&lt;0.001),0.001,SUMIFS('Key inputs_EB_OWN'!G$528:G$547,'Key inputs_EB_OWN'!$C$528:$C$547,$C62)/SUM('Key inputs_EB_OWN'!G$528:G$547)),"")</f>
        <v/>
      </c>
      <c r="N62" s="173">
        <f>IFERROR(IF(AND(SUMIFS('Key inputs_EB_OWN'!H$528:H$547,'Key inputs_EB_OWN'!$C$528:$C$547,$C62)/SUM('Key inputs_EB_OWN'!H$528:H$547)&gt;0,SUMIFS('Key inputs_EB_OWN'!H$528:H$547,'Key inputs_EB_OWN'!$C$528:$C$547,$C62)/SUM('Key inputs_EB_OWN'!H$528:H$547)&lt;0.001),0.001,SUMIFS('Key inputs_EB_OWN'!H$528:H$547,'Key inputs_EB_OWN'!$C$528:$C$547,$C62)/SUM('Key inputs_EB_OWN'!H$528:H$547)),"")</f>
        <v>1.750226185893778E-2</v>
      </c>
      <c r="O62" s="173" t="str">
        <f>IFERROR(IF(AND(SUMIFS('Key inputs_EB_OWN'!I$528:I$547,'Key inputs_EB_OWN'!$C$528:$C$547,$C62)/SUM('Key inputs_EB_OWN'!I$528:I$547)&gt;0,SUMIFS('Key inputs_EB_OWN'!I$528:I$547,'Key inputs_EB_OWN'!$C$528:$C$547,$C62)/SUM('Key inputs_EB_OWN'!I$528:I$547)&lt;0.001),0.001,SUMIFS('Key inputs_EB_OWN'!I$528:I$547,'Key inputs_EB_OWN'!$C$528:$C$547,$C62)/SUM('Key inputs_EB_OWN'!I$528:I$547)),"")</f>
        <v/>
      </c>
      <c r="P62" s="173" t="str">
        <f>IFERROR(IF(AND(SUMIFS('Key inputs_EB_OWN'!J$528:J$547,'Key inputs_EB_OWN'!$C$528:$C$547,$C62)/SUM('Key inputs_EB_OWN'!J$528:J$547)&gt;0,SUMIFS('Key inputs_EB_OWN'!J$528:J$547,'Key inputs_EB_OWN'!$C$528:$C$547,$C62)/SUM('Key inputs_EB_OWN'!J$528:J$547)&lt;0.001),0.001,SUMIFS('Key inputs_EB_OWN'!J$528:J$547,'Key inputs_EB_OWN'!$C$528:$C$547,$C62)/SUM('Key inputs_EB_OWN'!J$528:J$547)),"")</f>
        <v/>
      </c>
      <c r="Q62" s="173" t="str">
        <f>IFERROR(IF(AND(SUMIFS('Key inputs_EB_OWN'!K$528:K$547,'Key inputs_EB_OWN'!$C$528:$C$547,$C62)/SUM('Key inputs_EB_OWN'!K$528:K$547)&gt;0,SUMIFS('Key inputs_EB_OWN'!K$528:K$547,'Key inputs_EB_OWN'!$C$528:$C$547,$C62)/SUM('Key inputs_EB_OWN'!K$528:K$547)&lt;0.001),0.001,SUMIFS('Key inputs_EB_OWN'!K$528:K$547,'Key inputs_EB_OWN'!$C$528:$C$547,$C62)/SUM('Key inputs_EB_OWN'!K$528:K$547)),"")</f>
        <v/>
      </c>
      <c r="R62" s="173" t="str">
        <f>IFERROR(IF(AND(SUMIFS('Key inputs_EB_OWN'!L$528:L$547,'Key inputs_EB_OWN'!$C$528:$C$547,$C62)/SUM('Key inputs_EB_OWN'!L$528:L$547)&gt;0,SUMIFS('Key inputs_EB_OWN'!L$528:L$547,'Key inputs_EB_OWN'!$C$528:$C$547,$C62)/SUM('Key inputs_EB_OWN'!L$528:L$547)&lt;0.001),0.001,SUMIFS('Key inputs_EB_OWN'!L$528:L$547,'Key inputs_EB_OWN'!$C$528:$C$547,$C62)/SUM('Key inputs_EB_OWN'!L$528:L$547)),"")</f>
        <v/>
      </c>
      <c r="S62" s="173" t="str">
        <f>IFERROR(IF(AND(SUMIFS('Key inputs_EB_OWN'!M$528:M$547,'Key inputs_EB_OWN'!$C$528:$C$547,$C62)/SUM('Key inputs_EB_OWN'!M$528:M$547)&gt;0,SUMIFS('Key inputs_EB_OWN'!M$528:M$547,'Key inputs_EB_OWN'!$C$528:$C$547,$C62)/SUM('Key inputs_EB_OWN'!M$528:M$547)&lt;0.001),0.001,SUMIFS('Key inputs_EB_OWN'!M$528:M$547,'Key inputs_EB_OWN'!$C$528:$C$547,$C62)/SUM('Key inputs_EB_OWN'!M$528:M$547)),"")</f>
        <v/>
      </c>
      <c r="T62" s="173" t="str">
        <f>IFERROR(IF(AND(SUMIFS('Key inputs_EB_OWN'!N$528:N$547,'Key inputs_EB_OWN'!$C$528:$C$547,$C62)/SUM('Key inputs_EB_OWN'!N$528:N$547)&gt;0,SUMIFS('Key inputs_EB_OWN'!N$528:N$547,'Key inputs_EB_OWN'!$C$528:$C$547,$C62)/SUM('Key inputs_EB_OWN'!N$528:N$547)&lt;0.001),0.001,SUMIFS('Key inputs_EB_OWN'!N$528:N$547,'Key inputs_EB_OWN'!$C$528:$C$547,$C62)/SUM('Key inputs_EB_OWN'!N$528:N$547)),"")</f>
        <v/>
      </c>
      <c r="U62" s="173" t="str">
        <f>IFERROR(IF(AND(SUMIFS('Key inputs_EB_OWN'!O$528:O$547,'Key inputs_EB_OWN'!$C$528:$C$547,$C62)/SUM('Key inputs_EB_OWN'!O$528:O$547)&gt;0,SUMIFS('Key inputs_EB_OWN'!O$528:O$547,'Key inputs_EB_OWN'!$C$528:$C$547,$C62)/SUM('Key inputs_EB_OWN'!O$528:O$547)&lt;0.001),0.001,SUMIFS('Key inputs_EB_OWN'!O$528:O$547,'Key inputs_EB_OWN'!$C$528:$C$547,$C62)/SUM('Key inputs_EB_OWN'!O$528:O$547)),"")</f>
        <v/>
      </c>
      <c r="V62" s="173" t="str">
        <f>IFERROR(IF(AND(SUMIFS('Key inputs_EB_OWN'!P$528:P$547,'Key inputs_EB_OWN'!$C$528:$C$547,$C62)/SUM('Key inputs_EB_OWN'!P$528:P$547)&gt;0,SUMIFS('Key inputs_EB_OWN'!P$528:P$547,'Key inputs_EB_OWN'!$C$528:$C$547,$C62)/SUM('Key inputs_EB_OWN'!P$528:P$547)&lt;0.001),0.001,SUMIFS('Key inputs_EB_OWN'!P$528:P$547,'Key inputs_EB_OWN'!$C$528:$C$547,$C62)/SUM('Key inputs_EB_OWN'!P$528:P$547)),"")</f>
        <v/>
      </c>
      <c r="W62" s="173" t="str">
        <f>IFERROR(IF(AND(SUMIFS('Key inputs_EB_OWN'!Q$528:Q$547,'Key inputs_EB_OWN'!$C$528:$C$547,$C62)/SUM('Key inputs_EB_OWN'!Q$528:Q$547)&gt;0,SUMIFS('Key inputs_EB_OWN'!Q$528:Q$547,'Key inputs_EB_OWN'!$C$528:$C$547,$C62)/SUM('Key inputs_EB_OWN'!Q$528:Q$547)&lt;0.001),0.001,SUMIFS('Key inputs_EB_OWN'!Q$528:Q$547,'Key inputs_EB_OWN'!$C$528:$C$547,$C62)/SUM('Key inputs_EB_OWN'!Q$528:Q$547)),"")</f>
        <v/>
      </c>
      <c r="X62" s="173" t="str">
        <f>IFERROR(IF(AND(SUMIFS('Key inputs_EB_OWN'!R$528:R$547,'Key inputs_EB_OWN'!$C$528:$C$547,$C62)/SUM('Key inputs_EB_OWN'!R$528:R$547)&gt;0,SUMIFS('Key inputs_EB_OWN'!R$528:R$547,'Key inputs_EB_OWN'!$C$528:$C$547,$C62)/SUM('Key inputs_EB_OWN'!R$528:R$547)&lt;0.001),0.001,SUMIFS('Key inputs_EB_OWN'!R$528:R$547,'Key inputs_EB_OWN'!$C$528:$C$547,$C62)/SUM('Key inputs_EB_OWN'!R$528:R$547)),"")</f>
        <v/>
      </c>
      <c r="Y62" s="173">
        <f>IFERROR(IF(AND(SUMIFS('Key inputs_EB_OWN'!S$528:S$547,'Key inputs_EB_OWN'!$C$528:$C$547,$C62)/SUM('Key inputs_EB_OWN'!S$528:S$547)&gt;0,SUMIFS('Key inputs_EB_OWN'!S$528:S$547,'Key inputs_EB_OWN'!$C$528:$C$547,$C62)/SUM('Key inputs_EB_OWN'!S$528:S$547)&lt;0.001),0.001,SUMIFS('Key inputs_EB_OWN'!S$528:S$547,'Key inputs_EB_OWN'!$C$528:$C$547,$C62)/SUM('Key inputs_EB_OWN'!S$528:S$547)),"")</f>
        <v>0.6753322359622097</v>
      </c>
      <c r="Z62" s="173" t="str">
        <f>IFERROR(IF(AND(SUMIFS('Key inputs_EB_OWN'!T$528:T$547,'Key inputs_EB_OWN'!$C$528:$C$547,$C62)/SUM('Key inputs_EB_OWN'!T$528:T$547)&gt;0,SUMIFS('Key inputs_EB_OWN'!T$528:T$547,'Key inputs_EB_OWN'!$C$528:$C$547,$C62)/SUM('Key inputs_EB_OWN'!T$528:T$547)&lt;0.001),0.001,SUMIFS('Key inputs_EB_OWN'!T$528:T$547,'Key inputs_EB_OWN'!$C$528:$C$547,$C62)/SUM('Key inputs_EB_OWN'!T$528:T$547)),"")</f>
        <v/>
      </c>
      <c r="AA62" s="173" t="str">
        <f>IFERROR(IF(AND(SUMIFS('Key inputs_EB_OWN'!U$528:U$547,'Key inputs_EB_OWN'!$C$528:$C$547,$C62)/SUM('Key inputs_EB_OWN'!U$528:U$547)&gt;0,SUMIFS('Key inputs_EB_OWN'!U$528:U$547,'Key inputs_EB_OWN'!$C$528:$C$547,$C62)/SUM('Key inputs_EB_OWN'!U$528:U$547)&lt;0.001),0.001,SUMIFS('Key inputs_EB_OWN'!U$528:U$547,'Key inputs_EB_OWN'!$C$528:$C$547,$C62)/SUM('Key inputs_EB_OWN'!U$528:U$547)),"")</f>
        <v/>
      </c>
      <c r="AB62" s="173" t="str">
        <f>IFERROR(IF(AND(SUMIFS('Key inputs_EB_OWN'!V$528:V$547,'Key inputs_EB_OWN'!$C$528:$C$547,$C62)/SUM('Key inputs_EB_OWN'!V$528:V$547)&gt;0,SUMIFS('Key inputs_EB_OWN'!V$528:V$547,'Key inputs_EB_OWN'!$C$528:$C$547,$C62)/SUM('Key inputs_EB_OWN'!V$528:V$547)&lt;0.001),0.001,SUMIFS('Key inputs_EB_OWN'!V$528:V$547,'Key inputs_EB_OWN'!$C$528:$C$547,$C62)/SUM('Key inputs_EB_OWN'!V$528:V$547)),"")</f>
        <v/>
      </c>
      <c r="AC62" s="173" t="str">
        <f>IFERROR(IF(AND(SUMIFS('Key inputs_EB_OWN'!W$528:W$547,'Key inputs_EB_OWN'!$C$528:$C$547,$C62)/SUM('Key inputs_EB_OWN'!W$528:W$547)&gt;0,SUMIFS('Key inputs_EB_OWN'!W$528:W$547,'Key inputs_EB_OWN'!$C$528:$C$547,$C62)/SUM('Key inputs_EB_OWN'!W$528:W$547)&lt;0.001),0.001,SUMIFS('Key inputs_EB_OWN'!W$528:W$547,'Key inputs_EB_OWN'!$C$528:$C$547,$C62)/SUM('Key inputs_EB_OWN'!W$528:W$547)),"")</f>
        <v/>
      </c>
      <c r="AD62" s="173" t="str">
        <f>IFERROR(IF(AND(SUMIFS('Key inputs_EB_OWN'!X$528:X$547,'Key inputs_EB_OWN'!$C$528:$C$547,$C62)/SUM('Key inputs_EB_OWN'!X$528:X$547)&gt;0,SUMIFS('Key inputs_EB_OWN'!X$528:X$547,'Key inputs_EB_OWN'!$C$528:$C$547,$C62)/SUM('Key inputs_EB_OWN'!X$528:X$547)&lt;0.001),0.001,SUMIFS('Key inputs_EB_OWN'!X$528:X$547,'Key inputs_EB_OWN'!$C$528:$C$547,$C62)/SUM('Key inputs_EB_OWN'!X$528:X$547)),"")</f>
        <v/>
      </c>
      <c r="AE62" s="173" t="str">
        <f>IFERROR(IF(AND(SUMIFS('Key inputs_EB_OWN'!Y$528:Y$547,'Key inputs_EB_OWN'!$C$528:$C$547,$C62)/SUM('Key inputs_EB_OWN'!Y$528:Y$547)&gt;0,SUMIFS('Key inputs_EB_OWN'!Y$528:Y$547,'Key inputs_EB_OWN'!$C$528:$C$547,$C62)/SUM('Key inputs_EB_OWN'!Y$528:Y$547)&lt;0.001),0.001,SUMIFS('Key inputs_EB_OWN'!Y$528:Y$547,'Key inputs_EB_OWN'!$C$528:$C$547,$C62)/SUM('Key inputs_EB_OWN'!Y$528:Y$547)),"")</f>
        <v/>
      </c>
      <c r="AF62" s="173" t="str">
        <f>IFERROR(IF(AND(SUMIFS('Key inputs_EB_OWN'!Z$528:Z$547,'Key inputs_EB_OWN'!$C$528:$C$547,$C62)/SUM('Key inputs_EB_OWN'!Z$528:Z$547)&gt;0,SUMIFS('Key inputs_EB_OWN'!Z$528:Z$547,'Key inputs_EB_OWN'!$C$528:$C$547,$C62)/SUM('Key inputs_EB_OWN'!Z$528:Z$547)&lt;0.001),0.001,SUMIFS('Key inputs_EB_OWN'!Z$528:Z$547,'Key inputs_EB_OWN'!$C$528:$C$547,$C62)/SUM('Key inputs_EB_OWN'!Z$528:Z$547)),"")</f>
        <v/>
      </c>
      <c r="AG62" s="173" t="str">
        <f>IFERROR(IF(AND(SUMIFS('Key inputs_EB_OWN'!AA$528:AA$547,'Key inputs_EB_OWN'!$C$528:$C$547,$C62)/SUM('Key inputs_EB_OWN'!AA$528:AA$547)&gt;0,SUMIFS('Key inputs_EB_OWN'!AA$528:AA$547,'Key inputs_EB_OWN'!$C$528:$C$547,$C62)/SUM('Key inputs_EB_OWN'!AA$528:AA$547)&lt;0.001),0.001,SUMIFS('Key inputs_EB_OWN'!AA$528:AA$547,'Key inputs_EB_OWN'!$C$528:$C$547,$C62)/SUM('Key inputs_EB_OWN'!AA$528:AA$547)),"")</f>
        <v/>
      </c>
      <c r="AH62" s="173" t="str">
        <f>IFERROR(IF(AND(SUMIFS('Key inputs_EB_OWN'!AB$528:AB$547,'Key inputs_EB_OWN'!$C$528:$C$547,$C62)/SUM('Key inputs_EB_OWN'!AB$528:AB$547)&gt;0,SUMIFS('Key inputs_EB_OWN'!AB$528:AB$547,'Key inputs_EB_OWN'!$C$528:$C$547,$C62)/SUM('Key inputs_EB_OWN'!AB$528:AB$547)&lt;0.001),0.001,SUMIFS('Key inputs_EB_OWN'!AB$528:AB$547,'Key inputs_EB_OWN'!$C$528:$C$547,$C62)/SUM('Key inputs_EB_OWN'!AB$528:AB$547)),"")</f>
        <v/>
      </c>
      <c r="AI62" s="173" t="str">
        <f>IFERROR(IF(AND(SUMIFS('Key inputs_EB_OWN'!AC$528:AC$547,'Key inputs_EB_OWN'!$C$528:$C$547,$C62)/SUM('Key inputs_EB_OWN'!AC$528:AC$547)&gt;0,SUMIFS('Key inputs_EB_OWN'!AC$528:AC$547,'Key inputs_EB_OWN'!$C$528:$C$547,$C62)/SUM('Key inputs_EB_OWN'!AC$528:AC$547)&lt;0.001),0.001,SUMIFS('Key inputs_EB_OWN'!AC$528:AC$547,'Key inputs_EB_OWN'!$C$528:$C$547,$C62)/SUM('Key inputs_EB_OWN'!AC$528:AC$547)),"")</f>
        <v/>
      </c>
      <c r="AJ62" s="173" t="str">
        <f>IFERROR(IF(AND(SUMIFS('Key inputs_EB_OWN'!AD$528:AD$547,'Key inputs_EB_OWN'!$C$528:$C$547,$C62)/SUM('Key inputs_EB_OWN'!AD$528:AD$547)&gt;0,SUMIFS('Key inputs_EB_OWN'!AD$528:AD$547,'Key inputs_EB_OWN'!$C$528:$C$547,$C62)/SUM('Key inputs_EB_OWN'!AD$528:AD$547)&lt;0.001),0.001,SUMIFS('Key inputs_EB_OWN'!AD$528:AD$547,'Key inputs_EB_OWN'!$C$528:$C$547,$C62)/SUM('Key inputs_EB_OWN'!AD$528:AD$547)),"")</f>
        <v/>
      </c>
      <c r="AK62" s="173" t="str">
        <f>IFERROR(IF(AND(SUMIFS('Key inputs_EB_OWN'!AE$528:AE$547,'Key inputs_EB_OWN'!$C$528:$C$547,$C62)/SUM('Key inputs_EB_OWN'!AE$528:AE$547)&gt;0,SUMIFS('Key inputs_EB_OWN'!AE$528:AE$547,'Key inputs_EB_OWN'!$C$528:$C$547,$C62)/SUM('Key inputs_EB_OWN'!AE$528:AE$547)&lt;0.001),0.001,SUMIFS('Key inputs_EB_OWN'!AE$528:AE$547,'Key inputs_EB_OWN'!$C$528:$C$547,$C62)/SUM('Key inputs_EB_OWN'!AE$528:AE$547)),"")</f>
        <v/>
      </c>
      <c r="AL62" s="173" t="str">
        <f>IFERROR(IF(AND(SUMIFS('Key inputs_EB_OWN'!AF$528:AF$547,'Key inputs_EB_OWN'!$C$528:$C$547,$C62)/SUM('Key inputs_EB_OWN'!AF$528:AF$547)&gt;0,SUMIFS('Key inputs_EB_OWN'!AF$528:AF$547,'Key inputs_EB_OWN'!$C$528:$C$547,$C62)/SUM('Key inputs_EB_OWN'!AF$528:AF$547)&lt;0.001),0.001,SUMIFS('Key inputs_EB_OWN'!AF$528:AF$547,'Key inputs_EB_OWN'!$C$528:$C$547,$C62)/SUM('Key inputs_EB_OWN'!AF$528:AF$547)),"")</f>
        <v/>
      </c>
      <c r="AN62" s="174"/>
      <c r="AO62" s="174"/>
    </row>
    <row r="63" spans="1:41">
      <c r="A63" s="236"/>
      <c r="B63" s="236"/>
      <c r="C63" s="236" t="str">
        <f>Commodities!$C$94</f>
        <v>UPSHET</v>
      </c>
      <c r="D63" s="236"/>
      <c r="E63" s="236"/>
      <c r="F63" s="259" t="s">
        <v>359</v>
      </c>
      <c r="G63" s="259" t="s">
        <v>702</v>
      </c>
      <c r="H63" s="236" t="s">
        <v>661</v>
      </c>
      <c r="I63" s="236">
        <v>2019</v>
      </c>
      <c r="J63" s="236" t="s">
        <v>650</v>
      </c>
      <c r="K63" s="226" t="str">
        <f>IFERROR(IF(AND(SUMIFS('Key inputs_EB_OWN'!E$528:E$547,'Key inputs_EB_OWN'!$C$528:$C$547,$C63)/SUM('Key inputs_EB_OWN'!E$528:E$547)&gt;0,SUMIFS('Key inputs_EB_OWN'!E$528:E$547,'Key inputs_EB_OWN'!$C$528:$C$547,$C63)/SUM('Key inputs_EB_OWN'!E$528:E$547)&lt;0.001),0.001,SUMIFS('Key inputs_EB_OWN'!E$528:E$547,'Key inputs_EB_OWN'!$C$528:$C$547,$C63)/SUM('Key inputs_EB_OWN'!E$528:E$547)),"")</f>
        <v/>
      </c>
      <c r="L63" s="226" t="str">
        <f>IFERROR(IF(AND(SUMIFS('Key inputs_EB_OWN'!F$528:F$547,'Key inputs_EB_OWN'!$C$528:$C$547,$C63)/SUM('Key inputs_EB_OWN'!F$528:F$547)&gt;0,SUMIFS('Key inputs_EB_OWN'!F$528:F$547,'Key inputs_EB_OWN'!$C$528:$C$547,$C63)/SUM('Key inputs_EB_OWN'!F$528:F$547)&lt;0.001),0.001,SUMIFS('Key inputs_EB_OWN'!F$528:F$547,'Key inputs_EB_OWN'!$C$528:$C$547,$C63)/SUM('Key inputs_EB_OWN'!F$528:F$547)),"")</f>
        <v/>
      </c>
      <c r="M63" s="226" t="str">
        <f>IFERROR(IF(AND(SUMIFS('Key inputs_EB_OWN'!G$528:G$547,'Key inputs_EB_OWN'!$C$528:$C$547,$C63)/SUM('Key inputs_EB_OWN'!G$528:G$547)&gt;0,SUMIFS('Key inputs_EB_OWN'!G$528:G$547,'Key inputs_EB_OWN'!$C$528:$C$547,$C63)/SUM('Key inputs_EB_OWN'!G$528:G$547)&lt;0.001),0.001,SUMIFS('Key inputs_EB_OWN'!G$528:G$547,'Key inputs_EB_OWN'!$C$528:$C$547,$C63)/SUM('Key inputs_EB_OWN'!G$528:G$547)),"")</f>
        <v/>
      </c>
      <c r="N63" s="226">
        <f>IFERROR(IF(AND(SUMIFS('Key inputs_EB_OWN'!H$528:H$547,'Key inputs_EB_OWN'!$C$528:$C$547,$C63)/SUM('Key inputs_EB_OWN'!H$528:H$547)&gt;0,SUMIFS('Key inputs_EB_OWN'!H$528:H$547,'Key inputs_EB_OWN'!$C$528:$C$547,$C63)/SUM('Key inputs_EB_OWN'!H$528:H$547)&lt;0.001),0.001,SUMIFS('Key inputs_EB_OWN'!H$528:H$547,'Key inputs_EB_OWN'!$C$528:$C$547,$C63)/SUM('Key inputs_EB_OWN'!H$528:H$547)),"")</f>
        <v>0</v>
      </c>
      <c r="O63" s="226" t="str">
        <f>IFERROR(IF(AND(SUMIFS('Key inputs_EB_OWN'!I$528:I$547,'Key inputs_EB_OWN'!$C$528:$C$547,$C63)/SUM('Key inputs_EB_OWN'!I$528:I$547)&gt;0,SUMIFS('Key inputs_EB_OWN'!I$528:I$547,'Key inputs_EB_OWN'!$C$528:$C$547,$C63)/SUM('Key inputs_EB_OWN'!I$528:I$547)&lt;0.001),0.001,SUMIFS('Key inputs_EB_OWN'!I$528:I$547,'Key inputs_EB_OWN'!$C$528:$C$547,$C63)/SUM('Key inputs_EB_OWN'!I$528:I$547)),"")</f>
        <v/>
      </c>
      <c r="P63" s="226" t="str">
        <f>IFERROR(IF(AND(SUMIFS('Key inputs_EB_OWN'!J$528:J$547,'Key inputs_EB_OWN'!$C$528:$C$547,$C63)/SUM('Key inputs_EB_OWN'!J$528:J$547)&gt;0,SUMIFS('Key inputs_EB_OWN'!J$528:J$547,'Key inputs_EB_OWN'!$C$528:$C$547,$C63)/SUM('Key inputs_EB_OWN'!J$528:J$547)&lt;0.001),0.001,SUMIFS('Key inputs_EB_OWN'!J$528:J$547,'Key inputs_EB_OWN'!$C$528:$C$547,$C63)/SUM('Key inputs_EB_OWN'!J$528:J$547)),"")</f>
        <v/>
      </c>
      <c r="Q63" s="226" t="str">
        <f>IFERROR(IF(AND(SUMIFS('Key inputs_EB_OWN'!K$528:K$547,'Key inputs_EB_OWN'!$C$528:$C$547,$C63)/SUM('Key inputs_EB_OWN'!K$528:K$547)&gt;0,SUMIFS('Key inputs_EB_OWN'!K$528:K$547,'Key inputs_EB_OWN'!$C$528:$C$547,$C63)/SUM('Key inputs_EB_OWN'!K$528:K$547)&lt;0.001),0.001,SUMIFS('Key inputs_EB_OWN'!K$528:K$547,'Key inputs_EB_OWN'!$C$528:$C$547,$C63)/SUM('Key inputs_EB_OWN'!K$528:K$547)),"")</f>
        <v/>
      </c>
      <c r="R63" s="226" t="str">
        <f>IFERROR(IF(AND(SUMIFS('Key inputs_EB_OWN'!L$528:L$547,'Key inputs_EB_OWN'!$C$528:$C$547,$C63)/SUM('Key inputs_EB_OWN'!L$528:L$547)&gt;0,SUMIFS('Key inputs_EB_OWN'!L$528:L$547,'Key inputs_EB_OWN'!$C$528:$C$547,$C63)/SUM('Key inputs_EB_OWN'!L$528:L$547)&lt;0.001),0.001,SUMIFS('Key inputs_EB_OWN'!L$528:L$547,'Key inputs_EB_OWN'!$C$528:$C$547,$C63)/SUM('Key inputs_EB_OWN'!L$528:L$547)),"")</f>
        <v/>
      </c>
      <c r="S63" s="226" t="str">
        <f>IFERROR(IF(AND(SUMIFS('Key inputs_EB_OWN'!M$528:M$547,'Key inputs_EB_OWN'!$C$528:$C$547,$C63)/SUM('Key inputs_EB_OWN'!M$528:M$547)&gt;0,SUMIFS('Key inputs_EB_OWN'!M$528:M$547,'Key inputs_EB_OWN'!$C$528:$C$547,$C63)/SUM('Key inputs_EB_OWN'!M$528:M$547)&lt;0.001),0.001,SUMIFS('Key inputs_EB_OWN'!M$528:M$547,'Key inputs_EB_OWN'!$C$528:$C$547,$C63)/SUM('Key inputs_EB_OWN'!M$528:M$547)),"")</f>
        <v/>
      </c>
      <c r="T63" s="226" t="str">
        <f>IFERROR(IF(AND(SUMIFS('Key inputs_EB_OWN'!N$528:N$547,'Key inputs_EB_OWN'!$C$528:$C$547,$C63)/SUM('Key inputs_EB_OWN'!N$528:N$547)&gt;0,SUMIFS('Key inputs_EB_OWN'!N$528:N$547,'Key inputs_EB_OWN'!$C$528:$C$547,$C63)/SUM('Key inputs_EB_OWN'!N$528:N$547)&lt;0.001),0.001,SUMIFS('Key inputs_EB_OWN'!N$528:N$547,'Key inputs_EB_OWN'!$C$528:$C$547,$C63)/SUM('Key inputs_EB_OWN'!N$528:N$547)),"")</f>
        <v/>
      </c>
      <c r="U63" s="226" t="str">
        <f>IFERROR(IF(AND(SUMIFS('Key inputs_EB_OWN'!O$528:O$547,'Key inputs_EB_OWN'!$C$528:$C$547,$C63)/SUM('Key inputs_EB_OWN'!O$528:O$547)&gt;0,SUMIFS('Key inputs_EB_OWN'!O$528:O$547,'Key inputs_EB_OWN'!$C$528:$C$547,$C63)/SUM('Key inputs_EB_OWN'!O$528:O$547)&lt;0.001),0.001,SUMIFS('Key inputs_EB_OWN'!O$528:O$547,'Key inputs_EB_OWN'!$C$528:$C$547,$C63)/SUM('Key inputs_EB_OWN'!O$528:O$547)),"")</f>
        <v/>
      </c>
      <c r="V63" s="226" t="str">
        <f>IFERROR(IF(AND(SUMIFS('Key inputs_EB_OWN'!P$528:P$547,'Key inputs_EB_OWN'!$C$528:$C$547,$C63)/SUM('Key inputs_EB_OWN'!P$528:P$547)&gt;0,SUMIFS('Key inputs_EB_OWN'!P$528:P$547,'Key inputs_EB_OWN'!$C$528:$C$547,$C63)/SUM('Key inputs_EB_OWN'!P$528:P$547)&lt;0.001),0.001,SUMIFS('Key inputs_EB_OWN'!P$528:P$547,'Key inputs_EB_OWN'!$C$528:$C$547,$C63)/SUM('Key inputs_EB_OWN'!P$528:P$547)),"")</f>
        <v/>
      </c>
      <c r="W63" s="226" t="str">
        <f>IFERROR(IF(AND(SUMIFS('Key inputs_EB_OWN'!Q$528:Q$547,'Key inputs_EB_OWN'!$C$528:$C$547,$C63)/SUM('Key inputs_EB_OWN'!Q$528:Q$547)&gt;0,SUMIFS('Key inputs_EB_OWN'!Q$528:Q$547,'Key inputs_EB_OWN'!$C$528:$C$547,$C63)/SUM('Key inputs_EB_OWN'!Q$528:Q$547)&lt;0.001),0.001,SUMIFS('Key inputs_EB_OWN'!Q$528:Q$547,'Key inputs_EB_OWN'!$C$528:$C$547,$C63)/SUM('Key inputs_EB_OWN'!Q$528:Q$547)),"")</f>
        <v/>
      </c>
      <c r="X63" s="226" t="str">
        <f>IFERROR(IF(AND(SUMIFS('Key inputs_EB_OWN'!R$528:R$547,'Key inputs_EB_OWN'!$C$528:$C$547,$C63)/SUM('Key inputs_EB_OWN'!R$528:R$547)&gt;0,SUMIFS('Key inputs_EB_OWN'!R$528:R$547,'Key inputs_EB_OWN'!$C$528:$C$547,$C63)/SUM('Key inputs_EB_OWN'!R$528:R$547)&lt;0.001),0.001,SUMIFS('Key inputs_EB_OWN'!R$528:R$547,'Key inputs_EB_OWN'!$C$528:$C$547,$C63)/SUM('Key inputs_EB_OWN'!R$528:R$547)),"")</f>
        <v/>
      </c>
      <c r="Y63" s="226">
        <f>IFERROR(IF(AND(SUMIFS('Key inputs_EB_OWN'!S$528:S$547,'Key inputs_EB_OWN'!$C$528:$C$547,$C63)/SUM('Key inputs_EB_OWN'!S$528:S$547)&gt;0,SUMIFS('Key inputs_EB_OWN'!S$528:S$547,'Key inputs_EB_OWN'!$C$528:$C$547,$C63)/SUM('Key inputs_EB_OWN'!S$528:S$547)&lt;0.001),0.001,SUMIFS('Key inputs_EB_OWN'!S$528:S$547,'Key inputs_EB_OWN'!$C$528:$C$547,$C63)/SUM('Key inputs_EB_OWN'!S$528:S$547)),"")</f>
        <v>0.32466776403779024</v>
      </c>
      <c r="Z63" s="226" t="str">
        <f>IFERROR(IF(AND(SUMIFS('Key inputs_EB_OWN'!T$528:T$547,'Key inputs_EB_OWN'!$C$528:$C$547,$C63)/SUM('Key inputs_EB_OWN'!T$528:T$547)&gt;0,SUMIFS('Key inputs_EB_OWN'!T$528:T$547,'Key inputs_EB_OWN'!$C$528:$C$547,$C63)/SUM('Key inputs_EB_OWN'!T$528:T$547)&lt;0.001),0.001,SUMIFS('Key inputs_EB_OWN'!T$528:T$547,'Key inputs_EB_OWN'!$C$528:$C$547,$C63)/SUM('Key inputs_EB_OWN'!T$528:T$547)),"")</f>
        <v/>
      </c>
      <c r="AA63" s="226" t="str">
        <f>IFERROR(IF(AND(SUMIFS('Key inputs_EB_OWN'!U$528:U$547,'Key inputs_EB_OWN'!$C$528:$C$547,$C63)/SUM('Key inputs_EB_OWN'!U$528:U$547)&gt;0,SUMIFS('Key inputs_EB_OWN'!U$528:U$547,'Key inputs_EB_OWN'!$C$528:$C$547,$C63)/SUM('Key inputs_EB_OWN'!U$528:U$547)&lt;0.001),0.001,SUMIFS('Key inputs_EB_OWN'!U$528:U$547,'Key inputs_EB_OWN'!$C$528:$C$547,$C63)/SUM('Key inputs_EB_OWN'!U$528:U$547)),"")</f>
        <v/>
      </c>
      <c r="AB63" s="226" t="str">
        <f>IFERROR(IF(AND(SUMIFS('Key inputs_EB_OWN'!V$528:V$547,'Key inputs_EB_OWN'!$C$528:$C$547,$C63)/SUM('Key inputs_EB_OWN'!V$528:V$547)&gt;0,SUMIFS('Key inputs_EB_OWN'!V$528:V$547,'Key inputs_EB_OWN'!$C$528:$C$547,$C63)/SUM('Key inputs_EB_OWN'!V$528:V$547)&lt;0.001),0.001,SUMIFS('Key inputs_EB_OWN'!V$528:V$547,'Key inputs_EB_OWN'!$C$528:$C$547,$C63)/SUM('Key inputs_EB_OWN'!V$528:V$547)),"")</f>
        <v/>
      </c>
      <c r="AC63" s="226" t="str">
        <f>IFERROR(IF(AND(SUMIFS('Key inputs_EB_OWN'!W$528:W$547,'Key inputs_EB_OWN'!$C$528:$C$547,$C63)/SUM('Key inputs_EB_OWN'!W$528:W$547)&gt;0,SUMIFS('Key inputs_EB_OWN'!W$528:W$547,'Key inputs_EB_OWN'!$C$528:$C$547,$C63)/SUM('Key inputs_EB_OWN'!W$528:W$547)&lt;0.001),0.001,SUMIFS('Key inputs_EB_OWN'!W$528:W$547,'Key inputs_EB_OWN'!$C$528:$C$547,$C63)/SUM('Key inputs_EB_OWN'!W$528:W$547)),"")</f>
        <v/>
      </c>
      <c r="AD63" s="226" t="str">
        <f>IFERROR(IF(AND(SUMIFS('Key inputs_EB_OWN'!X$528:X$547,'Key inputs_EB_OWN'!$C$528:$C$547,$C63)/SUM('Key inputs_EB_OWN'!X$528:X$547)&gt;0,SUMIFS('Key inputs_EB_OWN'!X$528:X$547,'Key inputs_EB_OWN'!$C$528:$C$547,$C63)/SUM('Key inputs_EB_OWN'!X$528:X$547)&lt;0.001),0.001,SUMIFS('Key inputs_EB_OWN'!X$528:X$547,'Key inputs_EB_OWN'!$C$528:$C$547,$C63)/SUM('Key inputs_EB_OWN'!X$528:X$547)),"")</f>
        <v/>
      </c>
      <c r="AE63" s="226" t="str">
        <f>IFERROR(IF(AND(SUMIFS('Key inputs_EB_OWN'!Y$528:Y$547,'Key inputs_EB_OWN'!$C$528:$C$547,$C63)/SUM('Key inputs_EB_OWN'!Y$528:Y$547)&gt;0,SUMIFS('Key inputs_EB_OWN'!Y$528:Y$547,'Key inputs_EB_OWN'!$C$528:$C$547,$C63)/SUM('Key inputs_EB_OWN'!Y$528:Y$547)&lt;0.001),0.001,SUMIFS('Key inputs_EB_OWN'!Y$528:Y$547,'Key inputs_EB_OWN'!$C$528:$C$547,$C63)/SUM('Key inputs_EB_OWN'!Y$528:Y$547)),"")</f>
        <v/>
      </c>
      <c r="AF63" s="226" t="str">
        <f>IFERROR(IF(AND(SUMIFS('Key inputs_EB_OWN'!Z$528:Z$547,'Key inputs_EB_OWN'!$C$528:$C$547,$C63)/SUM('Key inputs_EB_OWN'!Z$528:Z$547)&gt;0,SUMIFS('Key inputs_EB_OWN'!Z$528:Z$547,'Key inputs_EB_OWN'!$C$528:$C$547,$C63)/SUM('Key inputs_EB_OWN'!Z$528:Z$547)&lt;0.001),0.001,SUMIFS('Key inputs_EB_OWN'!Z$528:Z$547,'Key inputs_EB_OWN'!$C$528:$C$547,$C63)/SUM('Key inputs_EB_OWN'!Z$528:Z$547)),"")</f>
        <v/>
      </c>
      <c r="AG63" s="226" t="str">
        <f>IFERROR(IF(AND(SUMIFS('Key inputs_EB_OWN'!AA$528:AA$547,'Key inputs_EB_OWN'!$C$528:$C$547,$C63)/SUM('Key inputs_EB_OWN'!AA$528:AA$547)&gt;0,SUMIFS('Key inputs_EB_OWN'!AA$528:AA$547,'Key inputs_EB_OWN'!$C$528:$C$547,$C63)/SUM('Key inputs_EB_OWN'!AA$528:AA$547)&lt;0.001),0.001,SUMIFS('Key inputs_EB_OWN'!AA$528:AA$547,'Key inputs_EB_OWN'!$C$528:$C$547,$C63)/SUM('Key inputs_EB_OWN'!AA$528:AA$547)),"")</f>
        <v/>
      </c>
      <c r="AH63" s="226" t="str">
        <f>IFERROR(IF(AND(SUMIFS('Key inputs_EB_OWN'!AB$528:AB$547,'Key inputs_EB_OWN'!$C$528:$C$547,$C63)/SUM('Key inputs_EB_OWN'!AB$528:AB$547)&gt;0,SUMIFS('Key inputs_EB_OWN'!AB$528:AB$547,'Key inputs_EB_OWN'!$C$528:$C$547,$C63)/SUM('Key inputs_EB_OWN'!AB$528:AB$547)&lt;0.001),0.001,SUMIFS('Key inputs_EB_OWN'!AB$528:AB$547,'Key inputs_EB_OWN'!$C$528:$C$547,$C63)/SUM('Key inputs_EB_OWN'!AB$528:AB$547)),"")</f>
        <v/>
      </c>
      <c r="AI63" s="226" t="str">
        <f>IFERROR(IF(AND(SUMIFS('Key inputs_EB_OWN'!AC$528:AC$547,'Key inputs_EB_OWN'!$C$528:$C$547,$C63)/SUM('Key inputs_EB_OWN'!AC$528:AC$547)&gt;0,SUMIFS('Key inputs_EB_OWN'!AC$528:AC$547,'Key inputs_EB_OWN'!$C$528:$C$547,$C63)/SUM('Key inputs_EB_OWN'!AC$528:AC$547)&lt;0.001),0.001,SUMIFS('Key inputs_EB_OWN'!AC$528:AC$547,'Key inputs_EB_OWN'!$C$528:$C$547,$C63)/SUM('Key inputs_EB_OWN'!AC$528:AC$547)),"")</f>
        <v/>
      </c>
      <c r="AJ63" s="226" t="str">
        <f>IFERROR(IF(AND(SUMIFS('Key inputs_EB_OWN'!AD$528:AD$547,'Key inputs_EB_OWN'!$C$528:$C$547,$C63)/SUM('Key inputs_EB_OWN'!AD$528:AD$547)&gt;0,SUMIFS('Key inputs_EB_OWN'!AD$528:AD$547,'Key inputs_EB_OWN'!$C$528:$C$547,$C63)/SUM('Key inputs_EB_OWN'!AD$528:AD$547)&lt;0.001),0.001,SUMIFS('Key inputs_EB_OWN'!AD$528:AD$547,'Key inputs_EB_OWN'!$C$528:$C$547,$C63)/SUM('Key inputs_EB_OWN'!AD$528:AD$547)),"")</f>
        <v/>
      </c>
      <c r="AK63" s="226" t="str">
        <f>IFERROR(IF(AND(SUMIFS('Key inputs_EB_OWN'!AE$528:AE$547,'Key inputs_EB_OWN'!$C$528:$C$547,$C63)/SUM('Key inputs_EB_OWN'!AE$528:AE$547)&gt;0,SUMIFS('Key inputs_EB_OWN'!AE$528:AE$547,'Key inputs_EB_OWN'!$C$528:$C$547,$C63)/SUM('Key inputs_EB_OWN'!AE$528:AE$547)&lt;0.001),0.001,SUMIFS('Key inputs_EB_OWN'!AE$528:AE$547,'Key inputs_EB_OWN'!$C$528:$C$547,$C63)/SUM('Key inputs_EB_OWN'!AE$528:AE$547)),"")</f>
        <v/>
      </c>
      <c r="AL63" s="226" t="str">
        <f>IFERROR(IF(AND(SUMIFS('Key inputs_EB_OWN'!AF$528:AF$547,'Key inputs_EB_OWN'!$C$528:$C$547,$C63)/SUM('Key inputs_EB_OWN'!AF$528:AF$547)&gt;0,SUMIFS('Key inputs_EB_OWN'!AF$528:AF$547,'Key inputs_EB_OWN'!$C$528:$C$547,$C63)/SUM('Key inputs_EB_OWN'!AF$528:AF$547)&lt;0.001),0.001,SUMIFS('Key inputs_EB_OWN'!AF$528:AF$547,'Key inputs_EB_OWN'!$C$528:$C$547,$C63)/SUM('Key inputs_EB_OWN'!AF$528:AF$547)),"")</f>
        <v/>
      </c>
    </row>
    <row r="64" spans="1:41">
      <c r="A64" t="str">
        <f>AO12</f>
        <v>U-TRF-SEPGAS_00</v>
      </c>
      <c r="B64" t="str">
        <f>AP12</f>
        <v>UPS Transformation: Natural gas separation plant - Existing</v>
      </c>
      <c r="C64" s="4"/>
      <c r="D64" s="4"/>
      <c r="E64" s="4"/>
      <c r="F64" s="4"/>
      <c r="G64" s="4" t="s">
        <v>695</v>
      </c>
      <c r="H64" s="4"/>
      <c r="I64" s="4"/>
      <c r="J64" s="4" t="s">
        <v>2665</v>
      </c>
      <c r="K64" s="333">
        <v>1</v>
      </c>
      <c r="L64" s="333">
        <v>1</v>
      </c>
      <c r="M64" s="333">
        <v>1</v>
      </c>
      <c r="N64" s="333">
        <v>1</v>
      </c>
      <c r="O64" s="333">
        <v>1</v>
      </c>
      <c r="P64" s="333">
        <v>1</v>
      </c>
      <c r="Q64" s="333">
        <v>1</v>
      </c>
      <c r="R64" s="333">
        <v>1</v>
      </c>
      <c r="S64" s="333">
        <v>1</v>
      </c>
      <c r="T64" s="333">
        <v>1</v>
      </c>
      <c r="U64" s="333">
        <v>1</v>
      </c>
      <c r="V64" s="333">
        <v>1</v>
      </c>
      <c r="W64" s="333">
        <v>1</v>
      </c>
      <c r="X64" s="333">
        <v>1</v>
      </c>
      <c r="Y64" s="333">
        <v>1</v>
      </c>
      <c r="Z64" s="333">
        <v>1</v>
      </c>
      <c r="AA64" s="333">
        <v>1</v>
      </c>
      <c r="AB64" s="333">
        <v>1</v>
      </c>
      <c r="AC64" s="333">
        <v>1</v>
      </c>
      <c r="AD64" s="333">
        <v>1</v>
      </c>
      <c r="AE64" s="333">
        <v>1</v>
      </c>
      <c r="AF64" s="333">
        <v>1</v>
      </c>
      <c r="AG64" s="333">
        <v>1</v>
      </c>
      <c r="AH64" s="333">
        <v>1</v>
      </c>
      <c r="AI64" s="333">
        <v>1</v>
      </c>
      <c r="AJ64" s="333">
        <v>1</v>
      </c>
      <c r="AK64" s="333">
        <v>1</v>
      </c>
      <c r="AL64" s="333">
        <v>1</v>
      </c>
    </row>
    <row r="65" spans="1:38">
      <c r="C65" s="4"/>
      <c r="D65" s="4"/>
      <c r="E65" s="4"/>
      <c r="F65" s="4"/>
      <c r="G65" s="4" t="s">
        <v>697</v>
      </c>
      <c r="H65" s="4"/>
      <c r="I65" s="4"/>
      <c r="J65" s="4" t="s">
        <v>698</v>
      </c>
      <c r="K65" s="331">
        <v>100</v>
      </c>
      <c r="L65" s="331">
        <v>100</v>
      </c>
      <c r="M65" s="331">
        <v>100</v>
      </c>
      <c r="N65" s="331">
        <v>100</v>
      </c>
      <c r="O65" s="331">
        <v>100</v>
      </c>
      <c r="P65" s="331">
        <v>100</v>
      </c>
      <c r="Q65" s="331">
        <v>100</v>
      </c>
      <c r="R65" s="331">
        <v>100</v>
      </c>
      <c r="S65" s="331">
        <v>100</v>
      </c>
      <c r="T65" s="331">
        <v>100</v>
      </c>
      <c r="U65" s="331">
        <v>100</v>
      </c>
      <c r="V65" s="331">
        <v>100</v>
      </c>
      <c r="W65" s="331">
        <v>100</v>
      </c>
      <c r="X65" s="331">
        <v>100</v>
      </c>
      <c r="Y65" s="331">
        <v>100</v>
      </c>
      <c r="Z65" s="331">
        <v>100</v>
      </c>
      <c r="AA65" s="331">
        <v>100</v>
      </c>
      <c r="AB65" s="331">
        <v>100</v>
      </c>
      <c r="AC65" s="331">
        <v>100</v>
      </c>
      <c r="AD65" s="331">
        <v>100</v>
      </c>
      <c r="AE65" s="331">
        <v>100</v>
      </c>
      <c r="AF65" s="331">
        <v>100</v>
      </c>
      <c r="AG65" s="331">
        <v>100</v>
      </c>
      <c r="AH65" s="331">
        <v>100</v>
      </c>
      <c r="AI65" s="331">
        <v>100</v>
      </c>
      <c r="AJ65" s="331">
        <v>100</v>
      </c>
      <c r="AK65" s="331">
        <v>100</v>
      </c>
      <c r="AL65" s="331">
        <v>100</v>
      </c>
    </row>
    <row r="66" spans="1:38">
      <c r="C66" s="4"/>
      <c r="D66" s="4"/>
      <c r="E66" s="4"/>
      <c r="F66" s="4"/>
      <c r="G66" s="4" t="s">
        <v>699</v>
      </c>
      <c r="H66" s="4"/>
      <c r="I66" s="4">
        <v>2019</v>
      </c>
      <c r="J66" s="4" t="s">
        <v>112</v>
      </c>
      <c r="K66" s="176">
        <f>'Key inputs_EB_MIN'!E71/10^3+'Key inputs_EB_MIN'!E70/10^3+'Key inputs_EB_MIN'!E56/10^3+'Key inputs_EB_MIN'!E49/10^3</f>
        <v>37.427</v>
      </c>
      <c r="L66" s="176">
        <f>'Key inputs_EB_MIN'!F71/10^3+'Key inputs_EB_MIN'!F70/10^3+'Key inputs_EB_MIN'!F56/10^3+'Key inputs_EB_MIN'!F49/10^3</f>
        <v>7151.0159999999996</v>
      </c>
      <c r="M66" s="176">
        <f>'Key inputs_EB_MIN'!G71/10^3+'Key inputs_EB_MIN'!G70/10^3+'Key inputs_EB_MIN'!G56/10^3+'Key inputs_EB_MIN'!G49/10^3</f>
        <v>552.59299999999996</v>
      </c>
      <c r="N66" s="176">
        <f>'Key inputs_EB_MIN'!H71/10^3+'Key inputs_EB_MIN'!H70/10^3+'Key inputs_EB_MIN'!H56/10^3+'Key inputs_EB_MIN'!H49/10^3</f>
        <v>627.35500000000002</v>
      </c>
      <c r="O66" s="176">
        <f>'Key inputs_EB_MIN'!I71/10^3+'Key inputs_EB_MIN'!I70/10^3+'Key inputs_EB_MIN'!I56/10^3+'Key inputs_EB_MIN'!I49/10^3</f>
        <v>5372.2820000000002</v>
      </c>
      <c r="P66" s="176">
        <f>'Key inputs_EB_MIN'!J71/10^3+'Key inputs_EB_MIN'!J70/10^3+'Key inputs_EB_MIN'!J56/10^3+'Key inputs_EB_MIN'!J49/10^3</f>
        <v>7138.2480000000005</v>
      </c>
      <c r="Q66" s="176">
        <f>'Key inputs_EB_MIN'!K71/10^3+'Key inputs_EB_MIN'!K70/10^3+'Key inputs_EB_MIN'!K56/10^3+'Key inputs_EB_MIN'!K49/10^3</f>
        <v>6128.6230000000005</v>
      </c>
      <c r="R66" s="176">
        <f>'Key inputs_EB_MIN'!L71/10^3+'Key inputs_EB_MIN'!L70/10^3+'Key inputs_EB_MIN'!L56/10^3+'Key inputs_EB_MIN'!L49/10^3</f>
        <v>2082.6480000000001</v>
      </c>
      <c r="S66" s="176">
        <f>'Key inputs_EB_MIN'!M71/10^3+'Key inputs_EB_MIN'!M70/10^3+'Key inputs_EB_MIN'!M56/10^3+'Key inputs_EB_MIN'!M49/10^3</f>
        <v>1140.557</v>
      </c>
      <c r="T66" s="176">
        <f>'Key inputs_EB_MIN'!N71/10^3+'Key inputs_EB_MIN'!N70/10^3+'Key inputs_EB_MIN'!N56/10^3+'Key inputs_EB_MIN'!N49/10^3</f>
        <v>6956.6009999999997</v>
      </c>
      <c r="U66" s="176">
        <f>'Key inputs_EB_MIN'!O71/10^3+'Key inputs_EB_MIN'!O70/10^3+'Key inputs_EB_MIN'!O56/10^3+'Key inputs_EB_MIN'!O49/10^3</f>
        <v>53.722999999999999</v>
      </c>
      <c r="V66" s="176">
        <f>'Key inputs_EB_MIN'!P71/10^3+'Key inputs_EB_MIN'!P70/10^3+'Key inputs_EB_MIN'!P56/10^3+'Key inputs_EB_MIN'!P49/10^3</f>
        <v>6986.5540000000001</v>
      </c>
      <c r="W66" s="176">
        <f>'Key inputs_EB_MIN'!Q71/10^3+'Key inputs_EB_MIN'!Q70/10^3+'Key inputs_EB_MIN'!Q56/10^3+'Key inputs_EB_MIN'!Q49/10^3</f>
        <v>744.24099999999999</v>
      </c>
      <c r="X66" s="176">
        <f>'Key inputs_EB_MIN'!R71/10^3+'Key inputs_EB_MIN'!R70/10^3+'Key inputs_EB_MIN'!R56/10^3+'Key inputs_EB_MIN'!R49/10^3</f>
        <v>6521.2249999999995</v>
      </c>
      <c r="Y66" s="176">
        <f>'Key inputs_EB_MIN'!S71/10^3+'Key inputs_EB_MIN'!S70/10^3+'Key inputs_EB_MIN'!S56/10^3+'Key inputs_EB_MIN'!S49/10^3</f>
        <v>604.84400000000005</v>
      </c>
      <c r="Z66" s="176">
        <f>'Key inputs_EB_MIN'!T71/10^3+'Key inputs_EB_MIN'!T70/10^3+'Key inputs_EB_MIN'!T56/10^3+'Key inputs_EB_MIN'!T49/10^3</f>
        <v>170.38400000000001</v>
      </c>
      <c r="AA66" s="176">
        <f>'Key inputs_EB_MIN'!U71/10^3+'Key inputs_EB_MIN'!U70/10^3+'Key inputs_EB_MIN'!U56/10^3+'Key inputs_EB_MIN'!U49/10^3</f>
        <v>1463.7559999999999</v>
      </c>
      <c r="AB66" s="176">
        <f>'Key inputs_EB_MIN'!V71/10^3+'Key inputs_EB_MIN'!V70/10^3+'Key inputs_EB_MIN'!V56/10^3+'Key inputs_EB_MIN'!V49/10^3</f>
        <v>2715.6240000000003</v>
      </c>
      <c r="AC66" s="176">
        <f>'Key inputs_EB_MIN'!W71/10^3+'Key inputs_EB_MIN'!W70/10^3+'Key inputs_EB_MIN'!W56/10^3+'Key inputs_EB_MIN'!W49/10^3</f>
        <v>1441.6790000000001</v>
      </c>
      <c r="AD66" s="176">
        <f>'Key inputs_EB_MIN'!X71/10^3+'Key inputs_EB_MIN'!X70/10^3+'Key inputs_EB_MIN'!X56/10^3+'Key inputs_EB_MIN'!X49/10^3</f>
        <v>92.207999999999998</v>
      </c>
      <c r="AE66" s="176">
        <f>'Key inputs_EB_MIN'!Y71/10^3+'Key inputs_EB_MIN'!Y70/10^3+'Key inputs_EB_MIN'!Y56/10^3+'Key inputs_EB_MIN'!Y49/10^3</f>
        <v>5646.6860000000006</v>
      </c>
      <c r="AF66" s="176">
        <f>'Key inputs_EB_MIN'!Z71/10^3+'Key inputs_EB_MIN'!Z70/10^3+'Key inputs_EB_MIN'!Z56/10^3+'Key inputs_EB_MIN'!Z49/10^3</f>
        <v>452.495</v>
      </c>
      <c r="AG66" s="176">
        <f>'Key inputs_EB_MIN'!AA71/10^3+'Key inputs_EB_MIN'!AA70/10^3+'Key inputs_EB_MIN'!AA56/10^3+'Key inputs_EB_MIN'!AA49/10^3</f>
        <v>32536.021000000001</v>
      </c>
      <c r="AH66" s="176">
        <f>'Key inputs_EB_MIN'!AB71/10^3+'Key inputs_EB_MIN'!AB70/10^3+'Key inputs_EB_MIN'!AB56/10^3+'Key inputs_EB_MIN'!AB49/10^3</f>
        <v>1470.807</v>
      </c>
      <c r="AI66" s="176">
        <f>'Key inputs_EB_MIN'!AC71/10^3+'Key inputs_EB_MIN'!AC70/10^3+'Key inputs_EB_MIN'!AC56/10^3+'Key inputs_EB_MIN'!AC49/10^3</f>
        <v>1614.2570000000001</v>
      </c>
      <c r="AJ66" s="176">
        <f>'Key inputs_EB_MIN'!AD71/10^3+'Key inputs_EB_MIN'!AD70/10^3+'Key inputs_EB_MIN'!AD56/10^3+'Key inputs_EB_MIN'!AD49/10^3</f>
        <v>28612.018</v>
      </c>
      <c r="AK66" s="176">
        <f>'Key inputs_EB_MIN'!AE71/10^3+'Key inputs_EB_MIN'!AE70/10^3+'Key inputs_EB_MIN'!AE56/10^3+'Key inputs_EB_MIN'!AE49/10^3</f>
        <v>27.905000000000001</v>
      </c>
      <c r="AL66" s="176">
        <f>'Key inputs_EB_MIN'!AF71/10^3+'Key inputs_EB_MIN'!AF70/10^3+'Key inputs_EB_MIN'!AF56/10^3+'Key inputs_EB_MIN'!AF49/10^3</f>
        <v>43980.908000000003</v>
      </c>
    </row>
    <row r="67" spans="1:38">
      <c r="A67" s="4"/>
      <c r="B67" s="4"/>
      <c r="C67" s="4"/>
      <c r="D67" s="4"/>
      <c r="E67" s="4"/>
      <c r="F67" s="4"/>
      <c r="G67" s="4" t="s">
        <v>632</v>
      </c>
      <c r="H67" s="4" t="s">
        <v>700</v>
      </c>
      <c r="I67" s="4">
        <v>2019</v>
      </c>
      <c r="J67" s="4"/>
      <c r="K67" s="331">
        <v>1</v>
      </c>
      <c r="L67" s="331">
        <v>1</v>
      </c>
      <c r="M67" s="331">
        <v>1</v>
      </c>
      <c r="N67" s="331">
        <v>1</v>
      </c>
      <c r="O67" s="331">
        <v>1</v>
      </c>
      <c r="P67" s="331">
        <v>1</v>
      </c>
      <c r="Q67" s="331">
        <v>1</v>
      </c>
      <c r="R67" s="331">
        <v>1</v>
      </c>
      <c r="S67" s="331">
        <v>1</v>
      </c>
      <c r="T67" s="331">
        <v>1</v>
      </c>
      <c r="U67" s="331">
        <v>1</v>
      </c>
      <c r="V67" s="331">
        <v>1</v>
      </c>
      <c r="W67" s="331">
        <v>1</v>
      </c>
      <c r="X67" s="331">
        <v>1</v>
      </c>
      <c r="Y67" s="331">
        <v>1</v>
      </c>
      <c r="Z67" s="331">
        <v>1</v>
      </c>
      <c r="AA67" s="331">
        <v>1</v>
      </c>
      <c r="AB67" s="331">
        <v>1</v>
      </c>
      <c r="AC67" s="331">
        <v>1</v>
      </c>
      <c r="AD67" s="331">
        <v>1</v>
      </c>
      <c r="AE67" s="331">
        <v>1</v>
      </c>
      <c r="AF67" s="331">
        <v>1</v>
      </c>
      <c r="AG67" s="331">
        <v>1</v>
      </c>
      <c r="AH67" s="331">
        <v>1</v>
      </c>
      <c r="AI67" s="331">
        <v>1</v>
      </c>
      <c r="AJ67" s="331">
        <v>1</v>
      </c>
      <c r="AK67" s="331">
        <v>1</v>
      </c>
      <c r="AL67" s="331">
        <v>1</v>
      </c>
    </row>
    <row r="68" spans="1:38">
      <c r="A68" s="4"/>
      <c r="B68" s="4"/>
      <c r="C68" s="4"/>
      <c r="D68" s="4"/>
      <c r="E68" s="4"/>
      <c r="F68" s="4"/>
      <c r="G68" s="4" t="s">
        <v>632</v>
      </c>
      <c r="H68" s="4" t="s">
        <v>700</v>
      </c>
      <c r="I68" s="4">
        <v>2020</v>
      </c>
      <c r="J68" s="4"/>
      <c r="K68" s="331">
        <v>0</v>
      </c>
      <c r="L68" s="331">
        <v>0</v>
      </c>
      <c r="M68" s="331">
        <v>0</v>
      </c>
      <c r="N68" s="331">
        <v>0</v>
      </c>
      <c r="O68" s="331">
        <v>0</v>
      </c>
      <c r="P68" s="331">
        <v>0</v>
      </c>
      <c r="Q68" s="331">
        <v>0</v>
      </c>
      <c r="R68" s="331">
        <v>0</v>
      </c>
      <c r="S68" s="331">
        <v>0</v>
      </c>
      <c r="T68" s="331">
        <v>0</v>
      </c>
      <c r="U68" s="331">
        <v>0</v>
      </c>
      <c r="V68" s="331">
        <v>0</v>
      </c>
      <c r="W68" s="331">
        <v>0</v>
      </c>
      <c r="X68" s="331">
        <v>0</v>
      </c>
      <c r="Y68" s="331">
        <v>0</v>
      </c>
      <c r="Z68" s="331">
        <v>0</v>
      </c>
      <c r="AA68" s="331">
        <v>0</v>
      </c>
      <c r="AB68" s="331">
        <v>0</v>
      </c>
      <c r="AC68" s="331">
        <v>0</v>
      </c>
      <c r="AD68" s="331">
        <v>0</v>
      </c>
      <c r="AE68" s="331">
        <v>0</v>
      </c>
      <c r="AF68" s="331">
        <v>0</v>
      </c>
      <c r="AG68" s="331">
        <v>0</v>
      </c>
      <c r="AH68" s="331">
        <v>0</v>
      </c>
      <c r="AI68" s="331">
        <v>0</v>
      </c>
      <c r="AJ68" s="331">
        <v>0</v>
      </c>
      <c r="AK68" s="331">
        <v>0</v>
      </c>
      <c r="AL68" s="331">
        <v>0</v>
      </c>
    </row>
    <row r="69" spans="1:38">
      <c r="A69" s="4"/>
      <c r="B69" s="4"/>
      <c r="C69" s="4"/>
      <c r="D69" s="4"/>
      <c r="E69" s="4"/>
      <c r="F69" s="4"/>
      <c r="G69" s="4" t="s">
        <v>632</v>
      </c>
      <c r="H69" s="4" t="s">
        <v>700</v>
      </c>
      <c r="I69" s="4">
        <v>2050</v>
      </c>
      <c r="J69" s="4"/>
      <c r="K69" s="331">
        <v>0</v>
      </c>
      <c r="L69" s="331">
        <v>0</v>
      </c>
      <c r="M69" s="331">
        <v>0</v>
      </c>
      <c r="N69" s="331">
        <v>0</v>
      </c>
      <c r="O69" s="331">
        <v>0</v>
      </c>
      <c r="P69" s="331">
        <v>0</v>
      </c>
      <c r="Q69" s="331">
        <v>0</v>
      </c>
      <c r="R69" s="331">
        <v>0</v>
      </c>
      <c r="S69" s="331">
        <v>0</v>
      </c>
      <c r="T69" s="331">
        <v>0</v>
      </c>
      <c r="U69" s="331">
        <v>0</v>
      </c>
      <c r="V69" s="331">
        <v>0</v>
      </c>
      <c r="W69" s="331">
        <v>0</v>
      </c>
      <c r="X69" s="331">
        <v>0</v>
      </c>
      <c r="Y69" s="331">
        <v>0</v>
      </c>
      <c r="Z69" s="331">
        <v>0</v>
      </c>
      <c r="AA69" s="331">
        <v>0</v>
      </c>
      <c r="AB69" s="331">
        <v>0</v>
      </c>
      <c r="AC69" s="331">
        <v>0</v>
      </c>
      <c r="AD69" s="331">
        <v>0</v>
      </c>
      <c r="AE69" s="331">
        <v>0</v>
      </c>
      <c r="AF69" s="331">
        <v>0</v>
      </c>
      <c r="AG69" s="331">
        <v>0</v>
      </c>
      <c r="AH69" s="331">
        <v>0</v>
      </c>
      <c r="AI69" s="331">
        <v>0</v>
      </c>
      <c r="AJ69" s="331">
        <v>0</v>
      </c>
      <c r="AK69" s="331">
        <v>0</v>
      </c>
      <c r="AL69" s="331">
        <v>0</v>
      </c>
    </row>
    <row r="70" spans="1:38">
      <c r="A70" s="4"/>
      <c r="B70" s="4"/>
      <c r="C70" s="4"/>
      <c r="D70" s="4"/>
      <c r="E70" s="4"/>
      <c r="F70" s="4"/>
      <c r="G70" s="4" t="s">
        <v>632</v>
      </c>
      <c r="H70" s="4" t="s">
        <v>700</v>
      </c>
      <c r="I70" s="4">
        <v>0</v>
      </c>
      <c r="J70" s="4"/>
      <c r="K70" s="331">
        <v>5</v>
      </c>
      <c r="L70" s="331">
        <v>5</v>
      </c>
      <c r="M70" s="331">
        <v>5</v>
      </c>
      <c r="N70" s="331">
        <v>5</v>
      </c>
      <c r="O70" s="331">
        <v>5</v>
      </c>
      <c r="P70" s="331">
        <v>5</v>
      </c>
      <c r="Q70" s="331">
        <v>5</v>
      </c>
      <c r="R70" s="331">
        <v>5</v>
      </c>
      <c r="S70" s="331">
        <v>5</v>
      </c>
      <c r="T70" s="331">
        <v>5</v>
      </c>
      <c r="U70" s="331">
        <v>5</v>
      </c>
      <c r="V70" s="331">
        <v>5</v>
      </c>
      <c r="W70" s="331">
        <v>5</v>
      </c>
      <c r="X70" s="331">
        <v>5</v>
      </c>
      <c r="Y70" s="331">
        <v>5</v>
      </c>
      <c r="Z70" s="331">
        <v>5</v>
      </c>
      <c r="AA70" s="331">
        <v>5</v>
      </c>
      <c r="AB70" s="331">
        <v>5</v>
      </c>
      <c r="AC70" s="331">
        <v>5</v>
      </c>
      <c r="AD70" s="331">
        <v>5</v>
      </c>
      <c r="AE70" s="331">
        <v>5</v>
      </c>
      <c r="AF70" s="331">
        <v>5</v>
      </c>
      <c r="AG70" s="331">
        <v>5</v>
      </c>
      <c r="AH70" s="331">
        <v>5</v>
      </c>
      <c r="AI70" s="331">
        <v>5</v>
      </c>
      <c r="AJ70" s="331">
        <v>5</v>
      </c>
      <c r="AK70" s="331">
        <v>5</v>
      </c>
      <c r="AL70" s="331">
        <v>5</v>
      </c>
    </row>
    <row r="71" spans="1:38">
      <c r="C71" s="4"/>
      <c r="D71" s="4"/>
      <c r="E71" s="4"/>
      <c r="F71" s="4"/>
      <c r="G71" s="4" t="s">
        <v>701</v>
      </c>
      <c r="H71" s="4" t="s">
        <v>661</v>
      </c>
      <c r="I71" s="4">
        <v>2019</v>
      </c>
      <c r="J71" s="4" t="s">
        <v>112</v>
      </c>
      <c r="K71" s="333">
        <v>0</v>
      </c>
      <c r="L71" s="333">
        <v>0</v>
      </c>
      <c r="M71" s="333">
        <v>0</v>
      </c>
      <c r="N71" s="333">
        <v>0</v>
      </c>
      <c r="O71" s="333">
        <v>0</v>
      </c>
      <c r="P71" s="333">
        <v>0</v>
      </c>
      <c r="Q71" s="333">
        <v>0</v>
      </c>
      <c r="R71" s="333">
        <v>0</v>
      </c>
      <c r="S71" s="333">
        <v>0</v>
      </c>
      <c r="T71" s="333">
        <v>0</v>
      </c>
      <c r="U71" s="333">
        <v>0</v>
      </c>
      <c r="V71" s="333">
        <v>0</v>
      </c>
      <c r="W71" s="333">
        <v>0</v>
      </c>
      <c r="X71" s="333">
        <v>0</v>
      </c>
      <c r="Y71" s="333">
        <v>0</v>
      </c>
      <c r="Z71" s="333">
        <v>0</v>
      </c>
      <c r="AA71" s="333">
        <v>0</v>
      </c>
      <c r="AB71" s="333">
        <v>0</v>
      </c>
      <c r="AC71" s="333">
        <v>0</v>
      </c>
      <c r="AD71" s="333">
        <v>0</v>
      </c>
      <c r="AE71" s="333">
        <v>0</v>
      </c>
      <c r="AF71" s="333">
        <v>0</v>
      </c>
      <c r="AG71" s="333">
        <v>0</v>
      </c>
      <c r="AH71" s="333">
        <v>0</v>
      </c>
      <c r="AI71" s="333">
        <v>0</v>
      </c>
      <c r="AJ71" s="333">
        <v>0</v>
      </c>
      <c r="AK71" s="333">
        <v>0</v>
      </c>
      <c r="AL71" s="333">
        <v>0</v>
      </c>
    </row>
    <row r="72" spans="1:38">
      <c r="C72" s="4"/>
      <c r="D72" s="4"/>
      <c r="E72" s="4"/>
      <c r="F72" s="4"/>
      <c r="G72" s="4" t="s">
        <v>701</v>
      </c>
      <c r="H72" s="4" t="s">
        <v>661</v>
      </c>
      <c r="I72" s="4">
        <v>2060</v>
      </c>
      <c r="J72" s="4" t="s">
        <v>112</v>
      </c>
      <c r="K72" s="333">
        <v>0</v>
      </c>
      <c r="L72" s="333">
        <v>0</v>
      </c>
      <c r="M72" s="333">
        <v>0</v>
      </c>
      <c r="N72" s="333">
        <v>0</v>
      </c>
      <c r="O72" s="333">
        <v>0</v>
      </c>
      <c r="P72" s="333">
        <v>0</v>
      </c>
      <c r="Q72" s="333">
        <v>0</v>
      </c>
      <c r="R72" s="333">
        <v>0</v>
      </c>
      <c r="S72" s="333">
        <v>0</v>
      </c>
      <c r="T72" s="333">
        <v>0</v>
      </c>
      <c r="U72" s="333">
        <v>0</v>
      </c>
      <c r="V72" s="333">
        <v>0</v>
      </c>
      <c r="W72" s="333">
        <v>0</v>
      </c>
      <c r="X72" s="333">
        <v>0</v>
      </c>
      <c r="Y72" s="333">
        <v>0</v>
      </c>
      <c r="Z72" s="333">
        <v>0</v>
      </c>
      <c r="AA72" s="333">
        <v>0</v>
      </c>
      <c r="AB72" s="333">
        <v>0</v>
      </c>
      <c r="AC72" s="333">
        <v>0</v>
      </c>
      <c r="AD72" s="333">
        <v>0</v>
      </c>
      <c r="AE72" s="333">
        <v>0</v>
      </c>
      <c r="AF72" s="333">
        <v>0</v>
      </c>
      <c r="AG72" s="333">
        <v>0</v>
      </c>
      <c r="AH72" s="333">
        <v>0</v>
      </c>
      <c r="AI72" s="333">
        <v>0</v>
      </c>
      <c r="AJ72" s="333">
        <v>0</v>
      </c>
      <c r="AK72" s="333">
        <v>0</v>
      </c>
      <c r="AL72" s="333">
        <v>0</v>
      </c>
    </row>
    <row r="73" spans="1:38">
      <c r="C73" s="4"/>
      <c r="D73" s="4"/>
      <c r="E73" s="4"/>
      <c r="F73" s="4"/>
      <c r="G73" s="4" t="s">
        <v>701</v>
      </c>
      <c r="H73" s="4" t="s">
        <v>661</v>
      </c>
      <c r="I73" s="4">
        <v>0</v>
      </c>
      <c r="J73" s="4"/>
      <c r="K73" s="333">
        <v>5</v>
      </c>
      <c r="L73" s="333">
        <v>5</v>
      </c>
      <c r="M73" s="333">
        <v>5</v>
      </c>
      <c r="N73" s="333">
        <v>5</v>
      </c>
      <c r="O73" s="333">
        <v>5</v>
      </c>
      <c r="P73" s="333">
        <v>5</v>
      </c>
      <c r="Q73" s="333">
        <v>5</v>
      </c>
      <c r="R73" s="333">
        <v>5</v>
      </c>
      <c r="S73" s="333">
        <v>5</v>
      </c>
      <c r="T73" s="333">
        <v>5</v>
      </c>
      <c r="U73" s="333">
        <v>5</v>
      </c>
      <c r="V73" s="333">
        <v>5</v>
      </c>
      <c r="W73" s="333">
        <v>5</v>
      </c>
      <c r="X73" s="333">
        <v>5</v>
      </c>
      <c r="Y73" s="333">
        <v>5</v>
      </c>
      <c r="Z73" s="333">
        <v>5</v>
      </c>
      <c r="AA73" s="333">
        <v>5</v>
      </c>
      <c r="AB73" s="333">
        <v>5</v>
      </c>
      <c r="AC73" s="333">
        <v>5</v>
      </c>
      <c r="AD73" s="333">
        <v>5</v>
      </c>
      <c r="AE73" s="333">
        <v>5</v>
      </c>
      <c r="AF73" s="333">
        <v>5</v>
      </c>
      <c r="AG73" s="333">
        <v>5</v>
      </c>
      <c r="AH73" s="333">
        <v>5</v>
      </c>
      <c r="AI73" s="333">
        <v>5</v>
      </c>
      <c r="AJ73" s="333">
        <v>5</v>
      </c>
      <c r="AK73" s="333">
        <v>5</v>
      </c>
      <c r="AL73" s="333">
        <v>5</v>
      </c>
    </row>
    <row r="74" spans="1:38">
      <c r="C74" s="4"/>
      <c r="D74" s="4"/>
      <c r="E74" s="4"/>
      <c r="F74" s="4"/>
      <c r="G74" s="4" t="s">
        <v>687</v>
      </c>
      <c r="H74" s="4"/>
      <c r="I74" s="4"/>
      <c r="J74" s="4" t="s">
        <v>2663</v>
      </c>
      <c r="K74" s="409">
        <f>AVERAGE('Key inputs_TRF'!$C$26:$C$31)*10^3</f>
        <v>4.5235324424357265E-2</v>
      </c>
      <c r="L74" s="409">
        <f>AVERAGE('Key inputs_TRF'!$C$26:$C$31)*10^3</f>
        <v>4.5235324424357265E-2</v>
      </c>
      <c r="M74" s="409">
        <f>AVERAGE('Key inputs_TRF'!$C$26:$C$31)*10^3</f>
        <v>4.5235324424357265E-2</v>
      </c>
      <c r="N74" s="409">
        <f>AVERAGE('Key inputs_TRF'!$C$26:$C$31)*10^3</f>
        <v>4.5235324424357265E-2</v>
      </c>
      <c r="O74" s="409">
        <f>AVERAGE('Key inputs_TRF'!$C$26:$C$31)*10^3</f>
        <v>4.5235324424357265E-2</v>
      </c>
      <c r="P74" s="409">
        <f>AVERAGE('Key inputs_TRF'!$C$26:$C$31)*10^3</f>
        <v>4.5235324424357265E-2</v>
      </c>
      <c r="Q74" s="409">
        <f>AVERAGE('Key inputs_TRF'!$C$26:$C$31)*10^3</f>
        <v>4.5235324424357265E-2</v>
      </c>
      <c r="R74" s="409">
        <f>AVERAGE('Key inputs_TRF'!$C$26:$C$31)*10^3</f>
        <v>4.5235324424357265E-2</v>
      </c>
      <c r="S74" s="409">
        <f>AVERAGE('Key inputs_TRF'!$C$26:$C$31)*10^3</f>
        <v>4.5235324424357265E-2</v>
      </c>
      <c r="T74" s="409">
        <f>AVERAGE('Key inputs_TRF'!$C$26:$C$31)*10^3</f>
        <v>4.5235324424357265E-2</v>
      </c>
      <c r="U74" s="409">
        <f>AVERAGE('Key inputs_TRF'!$C$26:$C$31)*10^3</f>
        <v>4.5235324424357265E-2</v>
      </c>
      <c r="V74" s="409">
        <f>AVERAGE('Key inputs_TRF'!$C$26:$C$31)*10^3</f>
        <v>4.5235324424357265E-2</v>
      </c>
      <c r="W74" s="409">
        <f>AVERAGE('Key inputs_TRF'!$C$26:$C$31)*10^3</f>
        <v>4.5235324424357265E-2</v>
      </c>
      <c r="X74" s="409">
        <f>AVERAGE('Key inputs_TRF'!$C$26:$C$31)*10^3</f>
        <v>4.5235324424357265E-2</v>
      </c>
      <c r="Y74" s="409">
        <f>AVERAGE('Key inputs_TRF'!$C$26:$C$31)*10^3</f>
        <v>4.5235324424357265E-2</v>
      </c>
      <c r="Z74" s="409">
        <f>AVERAGE('Key inputs_TRF'!$C$26:$C$31)*10^3</f>
        <v>4.5235324424357265E-2</v>
      </c>
      <c r="AA74" s="409">
        <f>AVERAGE('Key inputs_TRF'!$C$26:$C$31)*10^3</f>
        <v>4.5235324424357265E-2</v>
      </c>
      <c r="AB74" s="409">
        <f>AVERAGE('Key inputs_TRF'!$C$26:$C$31)*10^3</f>
        <v>4.5235324424357265E-2</v>
      </c>
      <c r="AC74" s="409">
        <f>AVERAGE('Key inputs_TRF'!$C$26:$C$31)*10^3</f>
        <v>4.5235324424357265E-2</v>
      </c>
      <c r="AD74" s="409">
        <f>AVERAGE('Key inputs_TRF'!$C$26:$C$31)*10^3</f>
        <v>4.5235324424357265E-2</v>
      </c>
      <c r="AE74" s="409">
        <f>AVERAGE('Key inputs_TRF'!$C$26:$C$31)*10^3</f>
        <v>4.5235324424357265E-2</v>
      </c>
      <c r="AF74" s="409">
        <f>AVERAGE('Key inputs_TRF'!$C$26:$C$31)*10^3</f>
        <v>4.5235324424357265E-2</v>
      </c>
      <c r="AG74" s="409">
        <f>AVERAGE('Key inputs_TRF'!$C$26:$C$31)*10^3</f>
        <v>4.5235324424357265E-2</v>
      </c>
      <c r="AH74" s="409">
        <f>AVERAGE('Key inputs_TRF'!$C$26:$C$31)*10^3</f>
        <v>4.5235324424357265E-2</v>
      </c>
      <c r="AI74" s="409">
        <f>AVERAGE('Key inputs_TRF'!$C$26:$C$31)*10^3</f>
        <v>4.5235324424357265E-2</v>
      </c>
      <c r="AJ74" s="409">
        <f>AVERAGE('Key inputs_TRF'!$C$26:$C$31)*10^3</f>
        <v>4.5235324424357265E-2</v>
      </c>
      <c r="AK74" s="409">
        <f>AVERAGE('Key inputs_TRF'!$C$26:$C$31)*10^3</f>
        <v>4.5235324424357265E-2</v>
      </c>
      <c r="AL74" s="409">
        <f>AVERAGE('Key inputs_TRF'!$C$26:$C$31)*10^3</f>
        <v>4.5235324424357265E-2</v>
      </c>
    </row>
    <row r="75" spans="1:38">
      <c r="C75" s="4"/>
      <c r="D75" s="4"/>
      <c r="E75" s="4"/>
      <c r="F75" s="4"/>
      <c r="G75" s="4" t="s">
        <v>689</v>
      </c>
      <c r="H75" s="4"/>
      <c r="I75" s="4"/>
      <c r="J75" s="4" t="s">
        <v>2663</v>
      </c>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row>
    <row r="76" spans="1:38">
      <c r="C76" s="4"/>
      <c r="D76" s="4"/>
      <c r="E76" s="4"/>
      <c r="F76" s="4"/>
      <c r="G76" s="4" t="s">
        <v>675</v>
      </c>
      <c r="H76" s="4"/>
      <c r="I76" s="4"/>
      <c r="J76" s="4" t="s">
        <v>2662</v>
      </c>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row>
    <row r="77" spans="1:38">
      <c r="C77" s="4" t="str">
        <f>Commodities!$C$24</f>
        <v>GASWET</v>
      </c>
      <c r="F77" s="4"/>
      <c r="G77" s="4" t="s">
        <v>690</v>
      </c>
      <c r="J77" s="4" t="s">
        <v>2664</v>
      </c>
      <c r="K77" s="173">
        <v>1</v>
      </c>
      <c r="L77" s="173">
        <v>1</v>
      </c>
      <c r="M77" s="173">
        <v>1</v>
      </c>
      <c r="N77" s="173">
        <v>1</v>
      </c>
      <c r="O77" s="173">
        <v>1</v>
      </c>
      <c r="P77" s="173">
        <v>1</v>
      </c>
      <c r="Q77" s="173">
        <v>1</v>
      </c>
      <c r="R77" s="173">
        <v>1</v>
      </c>
      <c r="S77" s="173">
        <v>1</v>
      </c>
      <c r="T77" s="173">
        <v>1</v>
      </c>
      <c r="U77" s="173">
        <v>1</v>
      </c>
      <c r="V77" s="173">
        <v>1</v>
      </c>
      <c r="W77" s="173">
        <v>1</v>
      </c>
      <c r="X77" s="173">
        <v>1</v>
      </c>
      <c r="Y77" s="173">
        <v>1</v>
      </c>
      <c r="Z77" s="173">
        <v>1</v>
      </c>
      <c r="AA77" s="173">
        <v>1</v>
      </c>
      <c r="AB77" s="173">
        <v>1</v>
      </c>
      <c r="AC77" s="173">
        <v>1</v>
      </c>
      <c r="AD77" s="173">
        <v>1</v>
      </c>
      <c r="AE77" s="173">
        <v>1</v>
      </c>
      <c r="AF77" s="173">
        <v>1</v>
      </c>
      <c r="AG77" s="173">
        <v>1</v>
      </c>
      <c r="AH77" s="173">
        <v>1</v>
      </c>
      <c r="AI77" s="173">
        <v>1</v>
      </c>
      <c r="AJ77" s="173">
        <v>1</v>
      </c>
      <c r="AK77" s="173">
        <v>1</v>
      </c>
      <c r="AL77" s="173">
        <v>1</v>
      </c>
    </row>
    <row r="78" spans="1:38">
      <c r="D78" t="str">
        <f>Commodities!$C$35</f>
        <v>NGLPIP</v>
      </c>
      <c r="G78" s="4" t="s">
        <v>705</v>
      </c>
      <c r="H78" t="s">
        <v>661</v>
      </c>
      <c r="I78">
        <v>2019</v>
      </c>
      <c r="J78" t="s">
        <v>650</v>
      </c>
      <c r="K78" s="173">
        <f>1-K79</f>
        <v>0</v>
      </c>
      <c r="L78" s="173">
        <f t="shared" ref="L78:AL78" si="1">1-L79</f>
        <v>0.1507255752189619</v>
      </c>
      <c r="M78" s="173">
        <f t="shared" si="1"/>
        <v>0.13549031565727399</v>
      </c>
      <c r="N78" s="173">
        <f t="shared" si="1"/>
        <v>0.28772704449633779</v>
      </c>
      <c r="O78" s="173">
        <f t="shared" si="1"/>
        <v>4.829921437482243E-2</v>
      </c>
      <c r="P78" s="173">
        <f t="shared" si="1"/>
        <v>6.569062884898369E-2</v>
      </c>
      <c r="Q78" s="173">
        <f t="shared" si="1"/>
        <v>0.12899520822214061</v>
      </c>
      <c r="R78" s="173">
        <f t="shared" si="1"/>
        <v>3.2772220749737846E-2</v>
      </c>
      <c r="S78" s="173">
        <f t="shared" si="1"/>
        <v>0.23999414321248302</v>
      </c>
      <c r="T78" s="173">
        <f t="shared" si="1"/>
        <v>1.6998387574621576E-2</v>
      </c>
      <c r="U78" s="173">
        <f t="shared" si="1"/>
        <v>0</v>
      </c>
      <c r="V78" s="173">
        <f t="shared" si="1"/>
        <v>0</v>
      </c>
      <c r="W78" s="173">
        <f t="shared" si="1"/>
        <v>5.7872382736237293E-2</v>
      </c>
      <c r="X78" s="173">
        <f t="shared" si="1"/>
        <v>0.12647424371954652</v>
      </c>
      <c r="Y78" s="173">
        <f t="shared" si="1"/>
        <v>2.8375911805358034E-2</v>
      </c>
      <c r="Z78" s="173">
        <f t="shared" si="1"/>
        <v>3.9909850690200699E-4</v>
      </c>
      <c r="AA78" s="173">
        <f t="shared" si="1"/>
        <v>2.815018350052878E-2</v>
      </c>
      <c r="AB78" s="173">
        <f t="shared" si="1"/>
        <v>2.4908823901983457E-2</v>
      </c>
      <c r="AC78" s="173">
        <f t="shared" si="1"/>
        <v>0.26356838103350333</v>
      </c>
      <c r="AD78" s="173">
        <f t="shared" si="1"/>
        <v>5.0863265660246348E-2</v>
      </c>
      <c r="AE78" s="173">
        <f t="shared" si="1"/>
        <v>0.17272998711102405</v>
      </c>
      <c r="AF78" s="173">
        <f t="shared" si="1"/>
        <v>1.8068707941524265E-2</v>
      </c>
      <c r="AG78" s="173">
        <f t="shared" si="1"/>
        <v>0.27181587447340283</v>
      </c>
      <c r="AH78" s="173">
        <f t="shared" si="1"/>
        <v>0.31779016553497497</v>
      </c>
      <c r="AI78" s="173">
        <f t="shared" si="1"/>
        <v>3.2051278080256096E-2</v>
      </c>
      <c r="AJ78" s="173">
        <f t="shared" si="1"/>
        <v>5.7618725110546221E-2</v>
      </c>
      <c r="AK78" s="173">
        <f t="shared" si="1"/>
        <v>0</v>
      </c>
      <c r="AL78" s="173">
        <f t="shared" si="1"/>
        <v>0.24091621755512638</v>
      </c>
    </row>
    <row r="79" spans="1:38">
      <c r="D79" t="str">
        <f>Commodities!$C$33</f>
        <v>GASPIP</v>
      </c>
      <c r="G79" s="4" t="s">
        <v>705</v>
      </c>
      <c r="H79" t="s">
        <v>661</v>
      </c>
      <c r="I79">
        <v>2019</v>
      </c>
      <c r="J79" t="s">
        <v>650</v>
      </c>
      <c r="K79" s="173">
        <f>IFERROR(IF(AND('Key inputs_EB_MIN'!E71/SUM('Key inputs_EB_MIN'!E$70:E$71)&gt;0,'Key inputs_EB_MIN'!E71/SUM('Key inputs_EB_MIN'!E$70:E$71)&lt;0.001),0.001,('Key inputs_EB_MIN'!E71+'Key inputs_EB_MIN'!E49)/(SUM('Key inputs_EB_MIN'!E$70:E$71)+'Key inputs_EB_MIN'!E56+'Key inputs_EB_MIN'!E49)),0)</f>
        <v>1</v>
      </c>
      <c r="L79" s="173">
        <f>IFERROR(IF(AND('Key inputs_EB_MIN'!F71/SUM('Key inputs_EB_MIN'!F$70:F$71)&gt;0,'Key inputs_EB_MIN'!F71/SUM('Key inputs_EB_MIN'!F$70:F$71)&lt;0.001),0.001,('Key inputs_EB_MIN'!F71+'Key inputs_EB_MIN'!F49)/(SUM('Key inputs_EB_MIN'!F$70:F$71)+'Key inputs_EB_MIN'!F56+'Key inputs_EB_MIN'!F49)),0)</f>
        <v>0.8492744247810381</v>
      </c>
      <c r="M79" s="173">
        <f>IFERROR(IF(AND('Key inputs_EB_MIN'!G71/SUM('Key inputs_EB_MIN'!G$70:G$71)&gt;0,'Key inputs_EB_MIN'!G71/SUM('Key inputs_EB_MIN'!G$70:G$71)&lt;0.001),0.001,('Key inputs_EB_MIN'!G71+'Key inputs_EB_MIN'!G49)/(SUM('Key inputs_EB_MIN'!G$70:G$71)+'Key inputs_EB_MIN'!G56+'Key inputs_EB_MIN'!G49)),0)</f>
        <v>0.86450968434272601</v>
      </c>
      <c r="N79" s="173">
        <f>IFERROR(IF(AND('Key inputs_EB_MIN'!H71/SUM('Key inputs_EB_MIN'!H$70:H$71)&gt;0,'Key inputs_EB_MIN'!H71/SUM('Key inputs_EB_MIN'!H$70:H$71)&lt;0.001),0.001,('Key inputs_EB_MIN'!H71+'Key inputs_EB_MIN'!H49)/(SUM('Key inputs_EB_MIN'!H$70:H$71)+'Key inputs_EB_MIN'!H56+'Key inputs_EB_MIN'!H49)),0)</f>
        <v>0.71227295550366221</v>
      </c>
      <c r="O79" s="173">
        <f>IFERROR(IF(AND('Key inputs_EB_MIN'!I71/SUM('Key inputs_EB_MIN'!I$70:I$71)&gt;0,'Key inputs_EB_MIN'!I71/SUM('Key inputs_EB_MIN'!I$70:I$71)&lt;0.001),0.001,('Key inputs_EB_MIN'!I71+'Key inputs_EB_MIN'!I49)/(SUM('Key inputs_EB_MIN'!I$70:I$71)+'Key inputs_EB_MIN'!I56+'Key inputs_EB_MIN'!I49)),0)</f>
        <v>0.95170078562517757</v>
      </c>
      <c r="P79" s="173">
        <f>IFERROR(IF(AND('Key inputs_EB_MIN'!J71/SUM('Key inputs_EB_MIN'!J$70:J$71)&gt;0,'Key inputs_EB_MIN'!J71/SUM('Key inputs_EB_MIN'!J$70:J$71)&lt;0.001),0.001,('Key inputs_EB_MIN'!J71+'Key inputs_EB_MIN'!J49)/(SUM('Key inputs_EB_MIN'!J$70:J$71)+'Key inputs_EB_MIN'!J56+'Key inputs_EB_MIN'!J49)),0)</f>
        <v>0.93430937115101631</v>
      </c>
      <c r="Q79" s="173">
        <f>IFERROR(IF(AND('Key inputs_EB_MIN'!K71/SUM('Key inputs_EB_MIN'!K$70:K$71)&gt;0,'Key inputs_EB_MIN'!K71/SUM('Key inputs_EB_MIN'!K$70:K$71)&lt;0.001),0.001,('Key inputs_EB_MIN'!K71+'Key inputs_EB_MIN'!K49)/(SUM('Key inputs_EB_MIN'!K$70:K$71)+'Key inputs_EB_MIN'!K56+'Key inputs_EB_MIN'!K49)),0)</f>
        <v>0.87100479177785939</v>
      </c>
      <c r="R79" s="173">
        <f>IFERROR(IF(AND('Key inputs_EB_MIN'!L71/SUM('Key inputs_EB_MIN'!L$70:L$71)&gt;0,'Key inputs_EB_MIN'!L71/SUM('Key inputs_EB_MIN'!L$70:L$71)&lt;0.001),0.001,('Key inputs_EB_MIN'!L71+'Key inputs_EB_MIN'!L49)/(SUM('Key inputs_EB_MIN'!L$70:L$71)+'Key inputs_EB_MIN'!L56+'Key inputs_EB_MIN'!L49)),0)</f>
        <v>0.96722777925026215</v>
      </c>
      <c r="S79" s="173">
        <f>IFERROR(IF(AND('Key inputs_EB_MIN'!M71/SUM('Key inputs_EB_MIN'!M$70:M$71)&gt;0,'Key inputs_EB_MIN'!M71/SUM('Key inputs_EB_MIN'!M$70:M$71)&lt;0.001),0.001,('Key inputs_EB_MIN'!M71+'Key inputs_EB_MIN'!M49)/(SUM('Key inputs_EB_MIN'!M$70:M$71)+'Key inputs_EB_MIN'!M56+'Key inputs_EB_MIN'!M49)),0)</f>
        <v>0.76000585678751698</v>
      </c>
      <c r="T79" s="173">
        <f>IFERROR(IF(AND('Key inputs_EB_MIN'!N71/SUM('Key inputs_EB_MIN'!N$70:N$71)&gt;0,'Key inputs_EB_MIN'!N71/SUM('Key inputs_EB_MIN'!N$70:N$71)&lt;0.001),0.001,('Key inputs_EB_MIN'!N71+'Key inputs_EB_MIN'!N49)/(SUM('Key inputs_EB_MIN'!N$70:N$71)+'Key inputs_EB_MIN'!N56+'Key inputs_EB_MIN'!N49)),0)</f>
        <v>0.98300161242537842</v>
      </c>
      <c r="U79" s="173">
        <f>IFERROR(IF(AND('Key inputs_EB_MIN'!O71/SUM('Key inputs_EB_MIN'!O$70:O$71)&gt;0,'Key inputs_EB_MIN'!O71/SUM('Key inputs_EB_MIN'!O$70:O$71)&lt;0.001),0.001,('Key inputs_EB_MIN'!O71+'Key inputs_EB_MIN'!O49)/(SUM('Key inputs_EB_MIN'!O$70:O$71)+'Key inputs_EB_MIN'!O56+'Key inputs_EB_MIN'!O49)),0)</f>
        <v>1</v>
      </c>
      <c r="V79" s="173">
        <f>IFERROR(IF(AND('Key inputs_EB_MIN'!P71/SUM('Key inputs_EB_MIN'!P$70:P$71)&gt;0,'Key inputs_EB_MIN'!P71/SUM('Key inputs_EB_MIN'!P$70:P$71)&lt;0.001),0.001,('Key inputs_EB_MIN'!P71+'Key inputs_EB_MIN'!P49)/(SUM('Key inputs_EB_MIN'!P$70:P$71)+'Key inputs_EB_MIN'!P56+'Key inputs_EB_MIN'!P49)),0)</f>
        <v>1</v>
      </c>
      <c r="W79" s="173">
        <f>IFERROR(IF(AND('Key inputs_EB_MIN'!Q71/SUM('Key inputs_EB_MIN'!Q$70:Q$71)&gt;0,'Key inputs_EB_MIN'!Q71/SUM('Key inputs_EB_MIN'!Q$70:Q$71)&lt;0.001),0.001,('Key inputs_EB_MIN'!Q71+'Key inputs_EB_MIN'!Q49)/(SUM('Key inputs_EB_MIN'!Q$70:Q$71)+'Key inputs_EB_MIN'!Q56+'Key inputs_EB_MIN'!Q49)),0)</f>
        <v>0.94212761726376271</v>
      </c>
      <c r="X79" s="173">
        <f>IFERROR(IF(AND('Key inputs_EB_MIN'!R71/SUM('Key inputs_EB_MIN'!R$70:R$71)&gt;0,'Key inputs_EB_MIN'!R71/SUM('Key inputs_EB_MIN'!R$70:R$71)&lt;0.001),0.001,('Key inputs_EB_MIN'!R71+'Key inputs_EB_MIN'!R49)/(SUM('Key inputs_EB_MIN'!R$70:R$71)+'Key inputs_EB_MIN'!R56+'Key inputs_EB_MIN'!R49)),0)</f>
        <v>0.87352575628045348</v>
      </c>
      <c r="Y79" s="173">
        <f>IFERROR(IF(AND('Key inputs_EB_MIN'!S71/SUM('Key inputs_EB_MIN'!S$70:S$71)&gt;0,'Key inputs_EB_MIN'!S71/SUM('Key inputs_EB_MIN'!S$70:S$71)&lt;0.001),0.001,('Key inputs_EB_MIN'!S71+'Key inputs_EB_MIN'!S49)/(SUM('Key inputs_EB_MIN'!S$70:S$71)+'Key inputs_EB_MIN'!S56+'Key inputs_EB_MIN'!S49)),0)</f>
        <v>0.97162408819464197</v>
      </c>
      <c r="Z79" s="173">
        <f>IFERROR(IF(AND('Key inputs_EB_MIN'!T71/SUM('Key inputs_EB_MIN'!T$70:T$71)&gt;0,'Key inputs_EB_MIN'!T71/SUM('Key inputs_EB_MIN'!T$70:T$71)&lt;0.001),0.001,('Key inputs_EB_MIN'!T71+'Key inputs_EB_MIN'!T49)/(SUM('Key inputs_EB_MIN'!T$70:T$71)+'Key inputs_EB_MIN'!T56+'Key inputs_EB_MIN'!T49)),0)</f>
        <v>0.99960090149309799</v>
      </c>
      <c r="AA79" s="173">
        <f>IFERROR(IF(AND('Key inputs_EB_MIN'!U71/SUM('Key inputs_EB_MIN'!U$70:U$71)&gt;0,'Key inputs_EB_MIN'!U71/SUM('Key inputs_EB_MIN'!U$70:U$71)&lt;0.001),0.001,('Key inputs_EB_MIN'!U71+'Key inputs_EB_MIN'!U49)/(SUM('Key inputs_EB_MIN'!U$70:U$71)+'Key inputs_EB_MIN'!U56+'Key inputs_EB_MIN'!U49)),0)</f>
        <v>0.97184981649947122</v>
      </c>
      <c r="AB79" s="173">
        <f>IFERROR(IF(AND('Key inputs_EB_MIN'!V71/SUM('Key inputs_EB_MIN'!V$70:V$71)&gt;0,'Key inputs_EB_MIN'!V71/SUM('Key inputs_EB_MIN'!V$70:V$71)&lt;0.001),0.001,('Key inputs_EB_MIN'!V71+'Key inputs_EB_MIN'!V49)/(SUM('Key inputs_EB_MIN'!V$70:V$71)+'Key inputs_EB_MIN'!V56+'Key inputs_EB_MIN'!V49)),0)</f>
        <v>0.97509117609801654</v>
      </c>
      <c r="AC79" s="173">
        <f>IFERROR(IF(AND('Key inputs_EB_MIN'!W71/SUM('Key inputs_EB_MIN'!W$70:W$71)&gt;0,'Key inputs_EB_MIN'!W71/SUM('Key inputs_EB_MIN'!W$70:W$71)&lt;0.001),0.001,('Key inputs_EB_MIN'!W71+'Key inputs_EB_MIN'!W49)/(SUM('Key inputs_EB_MIN'!W$70:W$71)+'Key inputs_EB_MIN'!W56+'Key inputs_EB_MIN'!W49)),0)</f>
        <v>0.73643161896649667</v>
      </c>
      <c r="AD79" s="173">
        <f>IFERROR(IF(AND('Key inputs_EB_MIN'!X71/SUM('Key inputs_EB_MIN'!X$70:X$71)&gt;0,'Key inputs_EB_MIN'!X71/SUM('Key inputs_EB_MIN'!X$70:X$71)&lt;0.001),0.001,('Key inputs_EB_MIN'!X71+'Key inputs_EB_MIN'!X49)/(SUM('Key inputs_EB_MIN'!X$70:X$71)+'Key inputs_EB_MIN'!X56+'Key inputs_EB_MIN'!X49)),0)</f>
        <v>0.94913673433975365</v>
      </c>
      <c r="AE79" s="173">
        <f>IFERROR(IF(AND('Key inputs_EB_MIN'!Y71/SUM('Key inputs_EB_MIN'!Y$70:Y$71)&gt;0,'Key inputs_EB_MIN'!Y71/SUM('Key inputs_EB_MIN'!Y$70:Y$71)&lt;0.001),0.001,('Key inputs_EB_MIN'!Y71+'Key inputs_EB_MIN'!Y49)/(SUM('Key inputs_EB_MIN'!Y$70:Y$71)+'Key inputs_EB_MIN'!Y56+'Key inputs_EB_MIN'!Y49)),0)</f>
        <v>0.82727001288897595</v>
      </c>
      <c r="AF79" s="173">
        <f>IFERROR(IF(AND('Key inputs_EB_MIN'!Z71/SUM('Key inputs_EB_MIN'!Z$70:Z$71)&gt;0,'Key inputs_EB_MIN'!Z71/SUM('Key inputs_EB_MIN'!Z$70:Z$71)&lt;0.001),0.001,('Key inputs_EB_MIN'!Z71+'Key inputs_EB_MIN'!Z49)/(SUM('Key inputs_EB_MIN'!Z$70:Z$71)+'Key inputs_EB_MIN'!Z56+'Key inputs_EB_MIN'!Z49)),0)</f>
        <v>0.98193129205847574</v>
      </c>
      <c r="AG79" s="173">
        <f>IFERROR(IF(AND('Key inputs_EB_MIN'!AA71/SUM('Key inputs_EB_MIN'!AA$70:AA$71)&gt;0,'Key inputs_EB_MIN'!AA71/SUM('Key inputs_EB_MIN'!AA$70:AA$71)&lt;0.001),0.001,('Key inputs_EB_MIN'!AA71+'Key inputs_EB_MIN'!AA49)/(SUM('Key inputs_EB_MIN'!AA$70:AA$71)+'Key inputs_EB_MIN'!AA56+'Key inputs_EB_MIN'!AA49)),0)</f>
        <v>0.72818412552659717</v>
      </c>
      <c r="AH79" s="173">
        <f>IFERROR(IF(AND('Key inputs_EB_MIN'!AB71/SUM('Key inputs_EB_MIN'!AB$70:AB$71)&gt;0,'Key inputs_EB_MIN'!AB71/SUM('Key inputs_EB_MIN'!AB$70:AB$71)&lt;0.001),0.001,('Key inputs_EB_MIN'!AB71+'Key inputs_EB_MIN'!AB49)/(SUM('Key inputs_EB_MIN'!AB$70:AB$71)+'Key inputs_EB_MIN'!AB56+'Key inputs_EB_MIN'!AB49)),0)</f>
        <v>0.68220983446502503</v>
      </c>
      <c r="AI79" s="173">
        <f>IFERROR(IF(AND('Key inputs_EB_MIN'!AC71/SUM('Key inputs_EB_MIN'!AC$70:AC$71)&gt;0,'Key inputs_EB_MIN'!AC71/SUM('Key inputs_EB_MIN'!AC$70:AC$71)&lt;0.001),0.001,('Key inputs_EB_MIN'!AC71+'Key inputs_EB_MIN'!AC49)/(SUM('Key inputs_EB_MIN'!AC$70:AC$71)+'Key inputs_EB_MIN'!AC56+'Key inputs_EB_MIN'!AC49)),0)</f>
        <v>0.9679487219197439</v>
      </c>
      <c r="AJ79" s="173">
        <f>IFERROR(IF(AND('Key inputs_EB_MIN'!AD71/SUM('Key inputs_EB_MIN'!AD$70:AD$71)&gt;0,'Key inputs_EB_MIN'!AD71/SUM('Key inputs_EB_MIN'!AD$70:AD$71)&lt;0.001),0.001,('Key inputs_EB_MIN'!AD71+'Key inputs_EB_MIN'!AD49)/(SUM('Key inputs_EB_MIN'!AD$70:AD$71)+'Key inputs_EB_MIN'!AD56+'Key inputs_EB_MIN'!AD49)),0)</f>
        <v>0.94238127488945378</v>
      </c>
      <c r="AK79" s="173">
        <f>IFERROR(IF(AND('Key inputs_EB_MIN'!AE71/SUM('Key inputs_EB_MIN'!AE$70:AE$71)&gt;0,'Key inputs_EB_MIN'!AE71/SUM('Key inputs_EB_MIN'!AE$70:AE$71)&lt;0.001),0.001,('Key inputs_EB_MIN'!AE71+'Key inputs_EB_MIN'!AE49)/(SUM('Key inputs_EB_MIN'!AE$70:AE$71)+'Key inputs_EB_MIN'!AE56+'Key inputs_EB_MIN'!AE49)),0)</f>
        <v>1</v>
      </c>
      <c r="AL79" s="173">
        <f>IFERROR(IF(AND('Key inputs_EB_MIN'!AF71/SUM('Key inputs_EB_MIN'!AF$70:AF$71)&gt;0,'Key inputs_EB_MIN'!AF71/SUM('Key inputs_EB_MIN'!AF$70:AF$71)&lt;0.001),0.001,('Key inputs_EB_MIN'!AF71+'Key inputs_EB_MIN'!AF49)/(SUM('Key inputs_EB_MIN'!AF$70:AF$71)+'Key inputs_EB_MIN'!AF56+'Key inputs_EB_MIN'!AF49)),0)</f>
        <v>0.75908378244487362</v>
      </c>
    </row>
    <row r="80" spans="1:38">
      <c r="E80" s="4" t="s">
        <v>359</v>
      </c>
      <c r="F80" s="4" t="s">
        <v>691</v>
      </c>
      <c r="G80" s="4" t="s">
        <v>692</v>
      </c>
      <c r="J80" s="4" t="s">
        <v>2664</v>
      </c>
      <c r="K80" s="173" t="str">
        <f>IFERROR(-K$66/(SUM('Key inputs_EB_OWN'!E$551:E$570)/10^3),"")</f>
        <v/>
      </c>
      <c r="L80" s="173" t="str">
        <f>IFERROR(-L$66/(SUM('Key inputs_EB_OWN'!F$551:F$570)/10^3),"")</f>
        <v/>
      </c>
      <c r="M80" s="173" t="str">
        <f>IFERROR(-M$66/(SUM('Key inputs_EB_OWN'!G$551:G$570)/10^3),"")</f>
        <v/>
      </c>
      <c r="N80" s="173" t="str">
        <f>IFERROR(-N$66/(SUM('Key inputs_EB_OWN'!H$551:H$570)/10^3),"")</f>
        <v/>
      </c>
      <c r="O80" s="173" t="str">
        <f>IFERROR(-O$66/(SUM('Key inputs_EB_OWN'!I$551:I$570)/10^3),"")</f>
        <v/>
      </c>
      <c r="P80" s="173" t="str">
        <f>IFERROR(-P$66/(SUM('Key inputs_EB_OWN'!J$551:J$570)/10^3),"")</f>
        <v/>
      </c>
      <c r="Q80" s="173" t="str">
        <f>IFERROR(-Q$66/(SUM('Key inputs_EB_OWN'!K$551:K$570)/10^3),"")</f>
        <v/>
      </c>
      <c r="R80" s="173" t="str">
        <f>IFERROR(-R$66/(SUM('Key inputs_EB_OWN'!L$551:L$570)/10^3),"")</f>
        <v/>
      </c>
      <c r="S80" s="173" t="str">
        <f>IFERROR(-S$66/(SUM('Key inputs_EB_OWN'!M$551:M$570)/10^3),"")</f>
        <v/>
      </c>
      <c r="T80" s="173" t="str">
        <f>IFERROR(-T$66/(SUM('Key inputs_EB_OWN'!N$551:N$570)/10^3),"")</f>
        <v/>
      </c>
      <c r="U80" s="173" t="str">
        <f>IFERROR(-U$66/(SUM('Key inputs_EB_OWN'!O$551:O$570)/10^3),"")</f>
        <v/>
      </c>
      <c r="V80" s="173" t="str">
        <f>IFERROR(-V$66/(SUM('Key inputs_EB_OWN'!P$551:P$570)/10^3),"")</f>
        <v/>
      </c>
      <c r="W80" s="173" t="str">
        <f>IFERROR(-W$66/(SUM('Key inputs_EB_OWN'!Q$551:Q$570)/10^3),"")</f>
        <v/>
      </c>
      <c r="X80" s="173" t="str">
        <f>IFERROR(-X$66/(SUM('Key inputs_EB_OWN'!R$551:R$570)/10^3),"")</f>
        <v/>
      </c>
      <c r="Y80" s="173" t="str">
        <f>IFERROR(-Y$66/(SUM('Key inputs_EB_OWN'!S$551:S$570)/10^3),"")</f>
        <v/>
      </c>
      <c r="Z80" s="173" t="str">
        <f>IFERROR(-Z$66/(SUM('Key inputs_EB_OWN'!T$551:T$570)/10^3),"")</f>
        <v/>
      </c>
      <c r="AA80" s="173" t="str">
        <f>IFERROR(-AA$66/(SUM('Key inputs_EB_OWN'!U$551:U$570)/10^3),"")</f>
        <v/>
      </c>
      <c r="AB80" s="173" t="str">
        <f>IFERROR(-AB$66/(SUM('Key inputs_EB_OWN'!V$551:V$570)/10^3),"")</f>
        <v/>
      </c>
      <c r="AC80" s="173" t="str">
        <f>IFERROR(-AC$66/(SUM('Key inputs_EB_OWN'!W$551:W$570)/10^3),"")</f>
        <v/>
      </c>
      <c r="AD80" s="173" t="str">
        <f>IFERROR(-AD$66/(SUM('Key inputs_EB_OWN'!X$551:X$570)/10^3),"")</f>
        <v/>
      </c>
      <c r="AE80" s="173">
        <f>IFERROR(-AE$66/(SUM('Key inputs_EB_OWN'!Y$551:Y$570)/10^3),"")</f>
        <v>203.67007489825249</v>
      </c>
      <c r="AF80" s="173" t="str">
        <f>IFERROR(-AF$66/(SUM('Key inputs_EB_OWN'!Z$551:Z$570)/10^3),"")</f>
        <v/>
      </c>
      <c r="AG80" s="173" t="str">
        <f>IFERROR(-AG$66/(SUM('Key inputs_EB_OWN'!AA$551:AA$570)/10^3),"")</f>
        <v/>
      </c>
      <c r="AH80" s="173" t="str">
        <f>IFERROR(-AH$66/(SUM('Key inputs_EB_OWN'!AB$551:AB$570)/10^3),"")</f>
        <v/>
      </c>
      <c r="AI80" s="173" t="str">
        <f>IFERROR(-AI$66/(SUM('Key inputs_EB_OWN'!AC$551:AC$570)/10^3),"")</f>
        <v/>
      </c>
      <c r="AJ80" s="173" t="str">
        <f>IFERROR(-AJ$66/(SUM('Key inputs_EB_OWN'!AD$551:AD$570)/10^3),"")</f>
        <v/>
      </c>
      <c r="AK80" s="173" t="str">
        <f>IFERROR(-AK$66/(SUM('Key inputs_EB_OWN'!AE$551:AE$570)/10^3),"")</f>
        <v/>
      </c>
      <c r="AL80" s="173" t="str">
        <f>IFERROR(-AL$66/(SUM('Key inputs_EB_OWN'!AF$551:AF$570)/10^3),"")</f>
        <v/>
      </c>
    </row>
    <row r="81" spans="1:38">
      <c r="A81" s="236"/>
      <c r="B81" s="236"/>
      <c r="C81" s="236" t="str">
        <f>Commodities!$C$92</f>
        <v>UPSGAS</v>
      </c>
      <c r="D81" s="236"/>
      <c r="E81" s="259"/>
      <c r="F81" s="259" t="s">
        <v>359</v>
      </c>
      <c r="G81" s="259" t="s">
        <v>702</v>
      </c>
      <c r="H81" s="236" t="s">
        <v>661</v>
      </c>
      <c r="I81" s="236">
        <v>2019</v>
      </c>
      <c r="J81" s="236" t="s">
        <v>650</v>
      </c>
      <c r="K81" s="226" t="str">
        <f>IFERROR(IF(AND(SUMIFS('Key inputs_EB_OWN'!E$551:E$570,'Key inputs_EB_OWN'!$C$551:$C$570,$C81)/SUM('Key inputs_EB_OWN'!E$551:E$570)&gt;0,SUMIFS('Key inputs_EB_OWN'!E$551:E$570,'Key inputs_EB_OWN'!$C$551:$C$570,$C81)/SUM('Key inputs_EB_OWN'!E$551:E$570)&lt;0.001),0.001,SUMIFS('Key inputs_EB_OWN'!E$551:E$570,'Key inputs_EB_OWN'!$C$551:$C$570,$C81)/SUM('Key inputs_EB_OWN'!E$551:E$570)),"")</f>
        <v/>
      </c>
      <c r="L81" s="226" t="str">
        <f>IFERROR(IF(AND(SUMIFS('Key inputs_EB_OWN'!F$551:F$570,'Key inputs_EB_OWN'!$C$551:$C$570,$C81)/SUM('Key inputs_EB_OWN'!F$551:F$570)&gt;0,SUMIFS('Key inputs_EB_OWN'!F$551:F$570,'Key inputs_EB_OWN'!$C$551:$C$570,$C81)/SUM('Key inputs_EB_OWN'!F$551:F$570)&lt;0.001),0.001,SUMIFS('Key inputs_EB_OWN'!F$551:F$570,'Key inputs_EB_OWN'!$C$551:$C$570,$C81)/SUM('Key inputs_EB_OWN'!F$551:F$570)),"")</f>
        <v/>
      </c>
      <c r="M81" s="226" t="str">
        <f>IFERROR(IF(AND(SUMIFS('Key inputs_EB_OWN'!G$551:G$570,'Key inputs_EB_OWN'!$C$551:$C$570,$C81)/SUM('Key inputs_EB_OWN'!G$551:G$570)&gt;0,SUMIFS('Key inputs_EB_OWN'!G$551:G$570,'Key inputs_EB_OWN'!$C$551:$C$570,$C81)/SUM('Key inputs_EB_OWN'!G$551:G$570)&lt;0.001),0.001,SUMIFS('Key inputs_EB_OWN'!G$551:G$570,'Key inputs_EB_OWN'!$C$551:$C$570,$C81)/SUM('Key inputs_EB_OWN'!G$551:G$570)),"")</f>
        <v/>
      </c>
      <c r="N81" s="226" t="str">
        <f>IFERROR(IF(AND(SUMIFS('Key inputs_EB_OWN'!H$551:H$570,'Key inputs_EB_OWN'!$C$551:$C$570,$C81)/SUM('Key inputs_EB_OWN'!H$551:H$570)&gt;0,SUMIFS('Key inputs_EB_OWN'!H$551:H$570,'Key inputs_EB_OWN'!$C$551:$C$570,$C81)/SUM('Key inputs_EB_OWN'!H$551:H$570)&lt;0.001),0.001,SUMIFS('Key inputs_EB_OWN'!H$551:H$570,'Key inputs_EB_OWN'!$C$551:$C$570,$C81)/SUM('Key inputs_EB_OWN'!H$551:H$570)),"")</f>
        <v/>
      </c>
      <c r="O81" s="226" t="str">
        <f>IFERROR(IF(AND(SUMIFS('Key inputs_EB_OWN'!I$551:I$570,'Key inputs_EB_OWN'!$C$551:$C$570,$C81)/SUM('Key inputs_EB_OWN'!I$551:I$570)&gt;0,SUMIFS('Key inputs_EB_OWN'!I$551:I$570,'Key inputs_EB_OWN'!$C$551:$C$570,$C81)/SUM('Key inputs_EB_OWN'!I$551:I$570)&lt;0.001),0.001,SUMIFS('Key inputs_EB_OWN'!I$551:I$570,'Key inputs_EB_OWN'!$C$551:$C$570,$C81)/SUM('Key inputs_EB_OWN'!I$551:I$570)),"")</f>
        <v/>
      </c>
      <c r="P81" s="226" t="str">
        <f>IFERROR(IF(AND(SUMIFS('Key inputs_EB_OWN'!J$551:J$570,'Key inputs_EB_OWN'!$C$551:$C$570,$C81)/SUM('Key inputs_EB_OWN'!J$551:J$570)&gt;0,SUMIFS('Key inputs_EB_OWN'!J$551:J$570,'Key inputs_EB_OWN'!$C$551:$C$570,$C81)/SUM('Key inputs_EB_OWN'!J$551:J$570)&lt;0.001),0.001,SUMIFS('Key inputs_EB_OWN'!J$551:J$570,'Key inputs_EB_OWN'!$C$551:$C$570,$C81)/SUM('Key inputs_EB_OWN'!J$551:J$570)),"")</f>
        <v/>
      </c>
      <c r="Q81" s="226" t="str">
        <f>IFERROR(IF(AND(SUMIFS('Key inputs_EB_OWN'!K$551:K$570,'Key inputs_EB_OWN'!$C$551:$C$570,$C81)/SUM('Key inputs_EB_OWN'!K$551:K$570)&gt;0,SUMIFS('Key inputs_EB_OWN'!K$551:K$570,'Key inputs_EB_OWN'!$C$551:$C$570,$C81)/SUM('Key inputs_EB_OWN'!K$551:K$570)&lt;0.001),0.001,SUMIFS('Key inputs_EB_OWN'!K$551:K$570,'Key inputs_EB_OWN'!$C$551:$C$570,$C81)/SUM('Key inputs_EB_OWN'!K$551:K$570)),"")</f>
        <v/>
      </c>
      <c r="R81" s="226" t="str">
        <f>IFERROR(IF(AND(SUMIFS('Key inputs_EB_OWN'!L$551:L$570,'Key inputs_EB_OWN'!$C$551:$C$570,$C81)/SUM('Key inputs_EB_OWN'!L$551:L$570)&gt;0,SUMIFS('Key inputs_EB_OWN'!L$551:L$570,'Key inputs_EB_OWN'!$C$551:$C$570,$C81)/SUM('Key inputs_EB_OWN'!L$551:L$570)&lt;0.001),0.001,SUMIFS('Key inputs_EB_OWN'!L$551:L$570,'Key inputs_EB_OWN'!$C$551:$C$570,$C81)/SUM('Key inputs_EB_OWN'!L$551:L$570)),"")</f>
        <v/>
      </c>
      <c r="S81" s="226" t="str">
        <f>IFERROR(IF(AND(SUMIFS('Key inputs_EB_OWN'!M$551:M$570,'Key inputs_EB_OWN'!$C$551:$C$570,$C81)/SUM('Key inputs_EB_OWN'!M$551:M$570)&gt;0,SUMIFS('Key inputs_EB_OWN'!M$551:M$570,'Key inputs_EB_OWN'!$C$551:$C$570,$C81)/SUM('Key inputs_EB_OWN'!M$551:M$570)&lt;0.001),0.001,SUMIFS('Key inputs_EB_OWN'!M$551:M$570,'Key inputs_EB_OWN'!$C$551:$C$570,$C81)/SUM('Key inputs_EB_OWN'!M$551:M$570)),"")</f>
        <v/>
      </c>
      <c r="T81" s="226" t="str">
        <f>IFERROR(IF(AND(SUMIFS('Key inputs_EB_OWN'!N$551:N$570,'Key inputs_EB_OWN'!$C$551:$C$570,$C81)/SUM('Key inputs_EB_OWN'!N$551:N$570)&gt;0,SUMIFS('Key inputs_EB_OWN'!N$551:N$570,'Key inputs_EB_OWN'!$C$551:$C$570,$C81)/SUM('Key inputs_EB_OWN'!N$551:N$570)&lt;0.001),0.001,SUMIFS('Key inputs_EB_OWN'!N$551:N$570,'Key inputs_EB_OWN'!$C$551:$C$570,$C81)/SUM('Key inputs_EB_OWN'!N$551:N$570)),"")</f>
        <v/>
      </c>
      <c r="U81" s="226" t="str">
        <f>IFERROR(IF(AND(SUMIFS('Key inputs_EB_OWN'!O$551:O$570,'Key inputs_EB_OWN'!$C$551:$C$570,$C81)/SUM('Key inputs_EB_OWN'!O$551:O$570)&gt;0,SUMIFS('Key inputs_EB_OWN'!O$551:O$570,'Key inputs_EB_OWN'!$C$551:$C$570,$C81)/SUM('Key inputs_EB_OWN'!O$551:O$570)&lt;0.001),0.001,SUMIFS('Key inputs_EB_OWN'!O$551:O$570,'Key inputs_EB_OWN'!$C$551:$C$570,$C81)/SUM('Key inputs_EB_OWN'!O$551:O$570)),"")</f>
        <v/>
      </c>
      <c r="V81" s="226" t="str">
        <f>IFERROR(IF(AND(SUMIFS('Key inputs_EB_OWN'!P$551:P$570,'Key inputs_EB_OWN'!$C$551:$C$570,$C81)/SUM('Key inputs_EB_OWN'!P$551:P$570)&gt;0,SUMIFS('Key inputs_EB_OWN'!P$551:P$570,'Key inputs_EB_OWN'!$C$551:$C$570,$C81)/SUM('Key inputs_EB_OWN'!P$551:P$570)&lt;0.001),0.001,SUMIFS('Key inputs_EB_OWN'!P$551:P$570,'Key inputs_EB_OWN'!$C$551:$C$570,$C81)/SUM('Key inputs_EB_OWN'!P$551:P$570)),"")</f>
        <v/>
      </c>
      <c r="W81" s="226" t="str">
        <f>IFERROR(IF(AND(SUMIFS('Key inputs_EB_OWN'!Q$551:Q$570,'Key inputs_EB_OWN'!$C$551:$C$570,$C81)/SUM('Key inputs_EB_OWN'!Q$551:Q$570)&gt;0,SUMIFS('Key inputs_EB_OWN'!Q$551:Q$570,'Key inputs_EB_OWN'!$C$551:$C$570,$C81)/SUM('Key inputs_EB_OWN'!Q$551:Q$570)&lt;0.001),0.001,SUMIFS('Key inputs_EB_OWN'!Q$551:Q$570,'Key inputs_EB_OWN'!$C$551:$C$570,$C81)/SUM('Key inputs_EB_OWN'!Q$551:Q$570)),"")</f>
        <v/>
      </c>
      <c r="X81" s="226" t="str">
        <f>IFERROR(IF(AND(SUMIFS('Key inputs_EB_OWN'!R$551:R$570,'Key inputs_EB_OWN'!$C$551:$C$570,$C81)/SUM('Key inputs_EB_OWN'!R$551:R$570)&gt;0,SUMIFS('Key inputs_EB_OWN'!R$551:R$570,'Key inputs_EB_OWN'!$C$551:$C$570,$C81)/SUM('Key inputs_EB_OWN'!R$551:R$570)&lt;0.001),0.001,SUMIFS('Key inputs_EB_OWN'!R$551:R$570,'Key inputs_EB_OWN'!$C$551:$C$570,$C81)/SUM('Key inputs_EB_OWN'!R$551:R$570)),"")</f>
        <v/>
      </c>
      <c r="Y81" s="226" t="str">
        <f>IFERROR(IF(AND(SUMIFS('Key inputs_EB_OWN'!S$551:S$570,'Key inputs_EB_OWN'!$C$551:$C$570,$C81)/SUM('Key inputs_EB_OWN'!S$551:S$570)&gt;0,SUMIFS('Key inputs_EB_OWN'!S$551:S$570,'Key inputs_EB_OWN'!$C$551:$C$570,$C81)/SUM('Key inputs_EB_OWN'!S$551:S$570)&lt;0.001),0.001,SUMIFS('Key inputs_EB_OWN'!S$551:S$570,'Key inputs_EB_OWN'!$C$551:$C$570,$C81)/SUM('Key inputs_EB_OWN'!S$551:S$570)),"")</f>
        <v/>
      </c>
      <c r="Z81" s="226" t="str">
        <f>IFERROR(IF(AND(SUMIFS('Key inputs_EB_OWN'!T$551:T$570,'Key inputs_EB_OWN'!$C$551:$C$570,$C81)/SUM('Key inputs_EB_OWN'!T$551:T$570)&gt;0,SUMIFS('Key inputs_EB_OWN'!T$551:T$570,'Key inputs_EB_OWN'!$C$551:$C$570,$C81)/SUM('Key inputs_EB_OWN'!T$551:T$570)&lt;0.001),0.001,SUMIFS('Key inputs_EB_OWN'!T$551:T$570,'Key inputs_EB_OWN'!$C$551:$C$570,$C81)/SUM('Key inputs_EB_OWN'!T$551:T$570)),"")</f>
        <v/>
      </c>
      <c r="AA81" s="226" t="str">
        <f>IFERROR(IF(AND(SUMIFS('Key inputs_EB_OWN'!U$551:U$570,'Key inputs_EB_OWN'!$C$551:$C$570,$C81)/SUM('Key inputs_EB_OWN'!U$551:U$570)&gt;0,SUMIFS('Key inputs_EB_OWN'!U$551:U$570,'Key inputs_EB_OWN'!$C$551:$C$570,$C81)/SUM('Key inputs_EB_OWN'!U$551:U$570)&lt;0.001),0.001,SUMIFS('Key inputs_EB_OWN'!U$551:U$570,'Key inputs_EB_OWN'!$C$551:$C$570,$C81)/SUM('Key inputs_EB_OWN'!U$551:U$570)),"")</f>
        <v/>
      </c>
      <c r="AB81" s="226" t="str">
        <f>IFERROR(IF(AND(SUMIFS('Key inputs_EB_OWN'!V$551:V$570,'Key inputs_EB_OWN'!$C$551:$C$570,$C81)/SUM('Key inputs_EB_OWN'!V$551:V$570)&gt;0,SUMIFS('Key inputs_EB_OWN'!V$551:V$570,'Key inputs_EB_OWN'!$C$551:$C$570,$C81)/SUM('Key inputs_EB_OWN'!V$551:V$570)&lt;0.001),0.001,SUMIFS('Key inputs_EB_OWN'!V$551:V$570,'Key inputs_EB_OWN'!$C$551:$C$570,$C81)/SUM('Key inputs_EB_OWN'!V$551:V$570)),"")</f>
        <v/>
      </c>
      <c r="AC81" s="226" t="str">
        <f>IFERROR(IF(AND(SUMIFS('Key inputs_EB_OWN'!W$551:W$570,'Key inputs_EB_OWN'!$C$551:$C$570,$C81)/SUM('Key inputs_EB_OWN'!W$551:W$570)&gt;0,SUMIFS('Key inputs_EB_OWN'!W$551:W$570,'Key inputs_EB_OWN'!$C$551:$C$570,$C81)/SUM('Key inputs_EB_OWN'!W$551:W$570)&lt;0.001),0.001,SUMIFS('Key inputs_EB_OWN'!W$551:W$570,'Key inputs_EB_OWN'!$C$551:$C$570,$C81)/SUM('Key inputs_EB_OWN'!W$551:W$570)),"")</f>
        <v/>
      </c>
      <c r="AD81" s="226" t="str">
        <f>IFERROR(IF(AND(SUMIFS('Key inputs_EB_OWN'!X$551:X$570,'Key inputs_EB_OWN'!$C$551:$C$570,$C81)/SUM('Key inputs_EB_OWN'!X$551:X$570)&gt;0,SUMIFS('Key inputs_EB_OWN'!X$551:X$570,'Key inputs_EB_OWN'!$C$551:$C$570,$C81)/SUM('Key inputs_EB_OWN'!X$551:X$570)&lt;0.001),0.001,SUMIFS('Key inputs_EB_OWN'!X$551:X$570,'Key inputs_EB_OWN'!$C$551:$C$570,$C81)/SUM('Key inputs_EB_OWN'!X$551:X$570)),"")</f>
        <v/>
      </c>
      <c r="AE81" s="226">
        <f>IFERROR(IF(AND(SUMIFS('Key inputs_EB_OWN'!Y$551:Y$570,'Key inputs_EB_OWN'!$C$551:$C$570,$C81)/SUM('Key inputs_EB_OWN'!Y$551:Y$570)&gt;0,SUMIFS('Key inputs_EB_OWN'!Y$551:Y$570,'Key inputs_EB_OWN'!$C$551:$C$570,$C81)/SUM('Key inputs_EB_OWN'!Y$551:Y$570)&lt;0.001),0.001,SUMIFS('Key inputs_EB_OWN'!Y$551:Y$570,'Key inputs_EB_OWN'!$C$551:$C$570,$C81)/SUM('Key inputs_EB_OWN'!Y$551:Y$570)),"")</f>
        <v>1</v>
      </c>
      <c r="AF81" s="226" t="str">
        <f>IFERROR(IF(AND(SUMIFS('Key inputs_EB_OWN'!Z$551:Z$570,'Key inputs_EB_OWN'!$C$551:$C$570,$C81)/SUM('Key inputs_EB_OWN'!Z$551:Z$570)&gt;0,SUMIFS('Key inputs_EB_OWN'!Z$551:Z$570,'Key inputs_EB_OWN'!$C$551:$C$570,$C81)/SUM('Key inputs_EB_OWN'!Z$551:Z$570)&lt;0.001),0.001,SUMIFS('Key inputs_EB_OWN'!Z$551:Z$570,'Key inputs_EB_OWN'!$C$551:$C$570,$C81)/SUM('Key inputs_EB_OWN'!Z$551:Z$570)),"")</f>
        <v/>
      </c>
      <c r="AG81" s="226" t="str">
        <f>IFERROR(IF(AND(SUMIFS('Key inputs_EB_OWN'!AA$551:AA$570,'Key inputs_EB_OWN'!$C$551:$C$570,$C81)/SUM('Key inputs_EB_OWN'!AA$551:AA$570)&gt;0,SUMIFS('Key inputs_EB_OWN'!AA$551:AA$570,'Key inputs_EB_OWN'!$C$551:$C$570,$C81)/SUM('Key inputs_EB_OWN'!AA$551:AA$570)&lt;0.001),0.001,SUMIFS('Key inputs_EB_OWN'!AA$551:AA$570,'Key inputs_EB_OWN'!$C$551:$C$570,$C81)/SUM('Key inputs_EB_OWN'!AA$551:AA$570)),"")</f>
        <v/>
      </c>
      <c r="AH81" s="226" t="str">
        <f>IFERROR(IF(AND(SUMIFS('Key inputs_EB_OWN'!AB$551:AB$570,'Key inputs_EB_OWN'!$C$551:$C$570,$C81)/SUM('Key inputs_EB_OWN'!AB$551:AB$570)&gt;0,SUMIFS('Key inputs_EB_OWN'!AB$551:AB$570,'Key inputs_EB_OWN'!$C$551:$C$570,$C81)/SUM('Key inputs_EB_OWN'!AB$551:AB$570)&lt;0.001),0.001,SUMIFS('Key inputs_EB_OWN'!AB$551:AB$570,'Key inputs_EB_OWN'!$C$551:$C$570,$C81)/SUM('Key inputs_EB_OWN'!AB$551:AB$570)),"")</f>
        <v/>
      </c>
      <c r="AI81" s="226" t="str">
        <f>IFERROR(IF(AND(SUMIFS('Key inputs_EB_OWN'!AC$551:AC$570,'Key inputs_EB_OWN'!$C$551:$C$570,$C81)/SUM('Key inputs_EB_OWN'!AC$551:AC$570)&gt;0,SUMIFS('Key inputs_EB_OWN'!AC$551:AC$570,'Key inputs_EB_OWN'!$C$551:$C$570,$C81)/SUM('Key inputs_EB_OWN'!AC$551:AC$570)&lt;0.001),0.001,SUMIFS('Key inputs_EB_OWN'!AC$551:AC$570,'Key inputs_EB_OWN'!$C$551:$C$570,$C81)/SUM('Key inputs_EB_OWN'!AC$551:AC$570)),"")</f>
        <v/>
      </c>
      <c r="AJ81" s="226" t="str">
        <f>IFERROR(IF(AND(SUMIFS('Key inputs_EB_OWN'!AD$551:AD$570,'Key inputs_EB_OWN'!$C$551:$C$570,$C81)/SUM('Key inputs_EB_OWN'!AD$551:AD$570)&gt;0,SUMIFS('Key inputs_EB_OWN'!AD$551:AD$570,'Key inputs_EB_OWN'!$C$551:$C$570,$C81)/SUM('Key inputs_EB_OWN'!AD$551:AD$570)&lt;0.001),0.001,SUMIFS('Key inputs_EB_OWN'!AD$551:AD$570,'Key inputs_EB_OWN'!$C$551:$C$570,$C81)/SUM('Key inputs_EB_OWN'!AD$551:AD$570)),"")</f>
        <v/>
      </c>
      <c r="AK81" s="226" t="str">
        <f>IFERROR(IF(AND(SUMIFS('Key inputs_EB_OWN'!AE$551:AE$570,'Key inputs_EB_OWN'!$C$551:$C$570,$C81)/SUM('Key inputs_EB_OWN'!AE$551:AE$570)&gt;0,SUMIFS('Key inputs_EB_OWN'!AE$551:AE$570,'Key inputs_EB_OWN'!$C$551:$C$570,$C81)/SUM('Key inputs_EB_OWN'!AE$551:AE$570)&lt;0.001),0.001,SUMIFS('Key inputs_EB_OWN'!AE$551:AE$570,'Key inputs_EB_OWN'!$C$551:$C$570,$C81)/SUM('Key inputs_EB_OWN'!AE$551:AE$570)),"")</f>
        <v/>
      </c>
      <c r="AL81" s="226" t="str">
        <f>IFERROR(IF(AND(SUMIFS('Key inputs_EB_OWN'!AF$551:AF$570,'Key inputs_EB_OWN'!$C$551:$C$570,$C81)/SUM('Key inputs_EB_OWN'!AF$551:AF$570)&gt;0,SUMIFS('Key inputs_EB_OWN'!AF$551:AF$570,'Key inputs_EB_OWN'!$C$551:$C$570,$C81)/SUM('Key inputs_EB_OWN'!AF$551:AF$570)&lt;0.001),0.001,SUMIFS('Key inputs_EB_OWN'!AF$551:AF$570,'Key inputs_EB_OWN'!$C$551:$C$570,$C81)/SUM('Key inputs_EB_OWN'!AF$551:AF$570)),"")</f>
        <v/>
      </c>
    </row>
    <row r="82" spans="1:38">
      <c r="A82" t="str">
        <f>AO13</f>
        <v>U-TRF-OTH_00</v>
      </c>
      <c r="B82" t="str">
        <f>AP13</f>
        <v>UPS Transformation: Other processing plants - Existing</v>
      </c>
      <c r="C82" s="4"/>
      <c r="D82" s="4"/>
      <c r="E82" s="4"/>
      <c r="F82" s="4"/>
      <c r="G82" s="4" t="s">
        <v>695</v>
      </c>
      <c r="H82" s="4"/>
      <c r="I82" s="4"/>
      <c r="J82" s="4" t="s">
        <v>2665</v>
      </c>
      <c r="K82" s="333">
        <v>1</v>
      </c>
      <c r="L82" s="333">
        <v>1</v>
      </c>
      <c r="M82" s="333">
        <v>1</v>
      </c>
      <c r="N82" s="333">
        <v>1</v>
      </c>
      <c r="O82" s="333">
        <v>1</v>
      </c>
      <c r="P82" s="333">
        <v>1</v>
      </c>
      <c r="Q82" s="333">
        <v>1</v>
      </c>
      <c r="R82" s="333">
        <v>1</v>
      </c>
      <c r="S82" s="333">
        <v>1</v>
      </c>
      <c r="T82" s="333">
        <v>1</v>
      </c>
      <c r="U82" s="333">
        <v>1</v>
      </c>
      <c r="V82" s="333">
        <v>1</v>
      </c>
      <c r="W82" s="333">
        <v>1</v>
      </c>
      <c r="X82" s="333">
        <v>1</v>
      </c>
      <c r="Y82" s="333">
        <v>1</v>
      </c>
      <c r="Z82" s="333">
        <v>1</v>
      </c>
      <c r="AA82" s="333">
        <v>1</v>
      </c>
      <c r="AB82" s="333">
        <v>1</v>
      </c>
      <c r="AC82" s="333">
        <v>1</v>
      </c>
      <c r="AD82" s="333">
        <v>1</v>
      </c>
      <c r="AE82" s="333">
        <v>1</v>
      </c>
      <c r="AF82" s="333">
        <v>1</v>
      </c>
      <c r="AG82" s="333">
        <v>1</v>
      </c>
      <c r="AH82" s="333">
        <v>1</v>
      </c>
      <c r="AI82" s="333">
        <v>1</v>
      </c>
      <c r="AJ82" s="333">
        <v>1</v>
      </c>
      <c r="AK82" s="333">
        <v>1</v>
      </c>
      <c r="AL82" s="333">
        <v>1</v>
      </c>
    </row>
    <row r="83" spans="1:38">
      <c r="C83" s="4"/>
      <c r="D83" s="4"/>
      <c r="E83" s="4"/>
      <c r="F83" s="4"/>
      <c r="G83" s="4" t="s">
        <v>697</v>
      </c>
      <c r="H83" s="4"/>
      <c r="I83" s="4"/>
      <c r="J83" s="4" t="s">
        <v>698</v>
      </c>
      <c r="K83" s="331">
        <v>100</v>
      </c>
      <c r="L83" s="331">
        <v>100</v>
      </c>
      <c r="M83" s="331">
        <v>100</v>
      </c>
      <c r="N83" s="331">
        <v>100</v>
      </c>
      <c r="O83" s="331">
        <v>100</v>
      </c>
      <c r="P83" s="331">
        <v>100</v>
      </c>
      <c r="Q83" s="331">
        <v>100</v>
      </c>
      <c r="R83" s="331">
        <v>100</v>
      </c>
      <c r="S83" s="331">
        <v>100</v>
      </c>
      <c r="T83" s="331">
        <v>100</v>
      </c>
      <c r="U83" s="331">
        <v>100</v>
      </c>
      <c r="V83" s="331">
        <v>100</v>
      </c>
      <c r="W83" s="331">
        <v>100</v>
      </c>
      <c r="X83" s="331">
        <v>100</v>
      </c>
      <c r="Y83" s="331">
        <v>100</v>
      </c>
      <c r="Z83" s="331">
        <v>100</v>
      </c>
      <c r="AA83" s="331">
        <v>100</v>
      </c>
      <c r="AB83" s="331">
        <v>100</v>
      </c>
      <c r="AC83" s="331">
        <v>100</v>
      </c>
      <c r="AD83" s="331">
        <v>100</v>
      </c>
      <c r="AE83" s="331">
        <v>100</v>
      </c>
      <c r="AF83" s="331">
        <v>100</v>
      </c>
      <c r="AG83" s="331">
        <v>100</v>
      </c>
      <c r="AH83" s="331">
        <v>100</v>
      </c>
      <c r="AI83" s="331">
        <v>100</v>
      </c>
      <c r="AJ83" s="331">
        <v>100</v>
      </c>
      <c r="AK83" s="331">
        <v>100</v>
      </c>
      <c r="AL83" s="331">
        <v>100</v>
      </c>
    </row>
    <row r="84" spans="1:38">
      <c r="C84" s="4"/>
      <c r="D84" s="4"/>
      <c r="E84" s="4"/>
      <c r="F84" s="4"/>
      <c r="G84" s="4" t="s">
        <v>699</v>
      </c>
      <c r="H84" s="4"/>
      <c r="I84" s="4">
        <v>2019</v>
      </c>
      <c r="J84" s="4" t="s">
        <v>112</v>
      </c>
      <c r="K84" s="176">
        <f>SUM('Key inputs_EB_TRF'!D75:D83)/10^3</f>
        <v>199.44125491348001</v>
      </c>
      <c r="L84" s="176">
        <f>SUM('Key inputs_EB_TRF'!E75:E83)/10^3</f>
        <v>528.23900000000003</v>
      </c>
      <c r="M84" s="176">
        <f>SUM('Key inputs_EB_TRF'!F75:F83)/10^3</f>
        <v>33.134999999999998</v>
      </c>
      <c r="N84" s="176">
        <f>SUM('Key inputs_EB_TRF'!G75:G83)/10^3</f>
        <v>76.86</v>
      </c>
      <c r="O84" s="176">
        <f>SUM('Key inputs_EB_TRF'!H75:H83)/10^3</f>
        <v>141.77799999999999</v>
      </c>
      <c r="P84" s="176">
        <f>SUM('Key inputs_EB_TRF'!I75:I83)/10^3</f>
        <v>121.267</v>
      </c>
      <c r="Q84" s="176">
        <f>SUM('Key inputs_EB_TRF'!J75:J83)/10^3</f>
        <v>402.54399999999998</v>
      </c>
      <c r="R84" s="176">
        <f>SUM('Key inputs_EB_TRF'!K75:K83)/10^3</f>
        <v>36.466999999999999</v>
      </c>
      <c r="S84" s="176">
        <f>SUM('Key inputs_EB_TRF'!L75:L83)/10^3</f>
        <v>106.108</v>
      </c>
      <c r="T84" s="176">
        <f>SUM('Key inputs_EB_TRF'!M75:M83)/10^3</f>
        <v>314.404</v>
      </c>
      <c r="U84" s="176">
        <f>SUM('Key inputs_EB_TRF'!N75:N83)/10^3</f>
        <v>3.7039999999999909</v>
      </c>
      <c r="V84" s="176">
        <f>SUM('Key inputs_EB_TRF'!O75:O83)/10^3</f>
        <v>974.37599999999998</v>
      </c>
      <c r="W84" s="176">
        <f>SUM('Key inputs_EB_TRF'!P75:P83)/10^3</f>
        <v>10.956</v>
      </c>
      <c r="X84" s="176">
        <f>SUM('Key inputs_EB_TRF'!Q75:Q83)/10^3</f>
        <v>465.40899999999999</v>
      </c>
      <c r="Y84" s="176">
        <f>SUM('Key inputs_EB_TRF'!R75:R83)/10^3</f>
        <v>36.249000000000002</v>
      </c>
      <c r="Z84" s="176">
        <f>SUM('Key inputs_EB_TRF'!S75:S83)/10^3</f>
        <v>2.67</v>
      </c>
      <c r="AA84" s="176">
        <f>SUM('Key inputs_EB_TRF'!T75:T83)/10^3</f>
        <v>77.619</v>
      </c>
      <c r="AB84" s="176">
        <f>SUM('Key inputs_EB_TRF'!U75:U83)/10^3</f>
        <v>106.851</v>
      </c>
      <c r="AC84" s="176">
        <f>SUM('Key inputs_EB_TRF'!V75:V83)/10^3</f>
        <v>164.92400000000001</v>
      </c>
      <c r="AD84" s="176">
        <f>SUM('Key inputs_EB_TRF'!W75:W83)/10^3</f>
        <v>116.245</v>
      </c>
      <c r="AE84" s="176">
        <f>SUM('Key inputs_EB_TRF'!X75:X83)/10^3</f>
        <v>408.48200000000003</v>
      </c>
      <c r="AF84" s="176">
        <f>SUM('Key inputs_EB_TRF'!Y75:Y83)/10^3</f>
        <v>0.624</v>
      </c>
      <c r="AG84" s="176">
        <f>SUM('Key inputs_EB_TRF'!Z75:Z83)/10^3</f>
        <v>3643.6669999999999</v>
      </c>
      <c r="AH84" s="176">
        <f>SUM('Key inputs_EB_TRF'!AA75:AA83)/10^3</f>
        <v>198.322</v>
      </c>
      <c r="AI84" s="176">
        <f>SUM('Key inputs_EB_TRF'!AB75:AB83)/10^3</f>
        <v>122.99085299778503</v>
      </c>
      <c r="AJ84" s="176">
        <f>SUM('Key inputs_EB_TRF'!AC75:AC83)/10^3</f>
        <v>0.29799999999999999</v>
      </c>
      <c r="AK84" s="176">
        <f>SUM('Key inputs_EB_TRF'!AD75:AD83)/10^3</f>
        <v>87.14</v>
      </c>
      <c r="AL84" s="176">
        <f>SUM('Key inputs_EB_TRF'!AE75:AE83)/10^3</f>
        <v>5109.1469999999999</v>
      </c>
    </row>
    <row r="85" spans="1:38">
      <c r="A85" s="4"/>
      <c r="B85" s="4"/>
      <c r="C85" s="4"/>
      <c r="D85" s="4"/>
      <c r="E85" s="4"/>
      <c r="F85" s="4"/>
      <c r="G85" s="4" t="s">
        <v>632</v>
      </c>
      <c r="H85" s="4" t="s">
        <v>700</v>
      </c>
      <c r="I85" s="4">
        <v>2019</v>
      </c>
      <c r="J85" s="4"/>
      <c r="K85" s="331">
        <v>1</v>
      </c>
      <c r="L85" s="331">
        <v>1</v>
      </c>
      <c r="M85" s="331">
        <v>1</v>
      </c>
      <c r="N85" s="331">
        <v>1</v>
      </c>
      <c r="O85" s="331">
        <v>1</v>
      </c>
      <c r="P85" s="331">
        <v>1</v>
      </c>
      <c r="Q85" s="331">
        <v>1</v>
      </c>
      <c r="R85" s="331">
        <v>1</v>
      </c>
      <c r="S85" s="331">
        <v>1</v>
      </c>
      <c r="T85" s="331">
        <v>1</v>
      </c>
      <c r="U85" s="331">
        <v>1</v>
      </c>
      <c r="V85" s="331">
        <v>1</v>
      </c>
      <c r="W85" s="331">
        <v>1</v>
      </c>
      <c r="X85" s="331">
        <v>1</v>
      </c>
      <c r="Y85" s="331">
        <v>1</v>
      </c>
      <c r="Z85" s="331">
        <v>1</v>
      </c>
      <c r="AA85" s="331">
        <v>1</v>
      </c>
      <c r="AB85" s="331">
        <v>1</v>
      </c>
      <c r="AC85" s="331">
        <v>1</v>
      </c>
      <c r="AD85" s="331">
        <v>1</v>
      </c>
      <c r="AE85" s="331">
        <v>1</v>
      </c>
      <c r="AF85" s="331">
        <v>1</v>
      </c>
      <c r="AG85" s="331">
        <v>1</v>
      </c>
      <c r="AH85" s="331">
        <v>1</v>
      </c>
      <c r="AI85" s="331">
        <v>1</v>
      </c>
      <c r="AJ85" s="331">
        <v>1</v>
      </c>
      <c r="AK85" s="331">
        <v>1</v>
      </c>
      <c r="AL85" s="331">
        <v>1</v>
      </c>
    </row>
    <row r="86" spans="1:38">
      <c r="A86" s="4"/>
      <c r="B86" s="4"/>
      <c r="C86" s="4"/>
      <c r="D86" s="4"/>
      <c r="E86" s="4"/>
      <c r="F86" s="4"/>
      <c r="G86" s="4" t="s">
        <v>632</v>
      </c>
      <c r="H86" s="4" t="s">
        <v>700</v>
      </c>
      <c r="I86" s="4">
        <v>2020</v>
      </c>
      <c r="J86" s="4"/>
      <c r="K86" s="331">
        <v>0</v>
      </c>
      <c r="L86" s="331">
        <v>0</v>
      </c>
      <c r="M86" s="331">
        <v>0</v>
      </c>
      <c r="N86" s="331">
        <v>0</v>
      </c>
      <c r="O86" s="331">
        <v>0</v>
      </c>
      <c r="P86" s="331">
        <v>0</v>
      </c>
      <c r="Q86" s="331">
        <v>0</v>
      </c>
      <c r="R86" s="331">
        <v>0</v>
      </c>
      <c r="S86" s="331">
        <v>0</v>
      </c>
      <c r="T86" s="331">
        <v>0</v>
      </c>
      <c r="U86" s="331">
        <v>0</v>
      </c>
      <c r="V86" s="331">
        <v>0</v>
      </c>
      <c r="W86" s="331">
        <v>0</v>
      </c>
      <c r="X86" s="331">
        <v>0</v>
      </c>
      <c r="Y86" s="331">
        <v>0</v>
      </c>
      <c r="Z86" s="331">
        <v>0</v>
      </c>
      <c r="AA86" s="331">
        <v>0</v>
      </c>
      <c r="AB86" s="331">
        <v>0</v>
      </c>
      <c r="AC86" s="331">
        <v>0</v>
      </c>
      <c r="AD86" s="331">
        <v>0</v>
      </c>
      <c r="AE86" s="331">
        <v>0</v>
      </c>
      <c r="AF86" s="331">
        <v>0</v>
      </c>
      <c r="AG86" s="331">
        <v>0</v>
      </c>
      <c r="AH86" s="331">
        <v>0</v>
      </c>
      <c r="AI86" s="331">
        <v>0</v>
      </c>
      <c r="AJ86" s="331">
        <v>0</v>
      </c>
      <c r="AK86" s="331">
        <v>0</v>
      </c>
      <c r="AL86" s="331">
        <v>0</v>
      </c>
    </row>
    <row r="87" spans="1:38">
      <c r="A87" s="4"/>
      <c r="B87" s="4"/>
      <c r="C87" s="4"/>
      <c r="D87" s="4"/>
      <c r="E87" s="4"/>
      <c r="F87" s="4"/>
      <c r="G87" s="4" t="s">
        <v>632</v>
      </c>
      <c r="H87" s="4" t="s">
        <v>700</v>
      </c>
      <c r="I87" s="4">
        <v>2050</v>
      </c>
      <c r="J87" s="4"/>
      <c r="K87" s="331">
        <v>0</v>
      </c>
      <c r="L87" s="331">
        <v>0</v>
      </c>
      <c r="M87" s="331">
        <v>0</v>
      </c>
      <c r="N87" s="331">
        <v>0</v>
      </c>
      <c r="O87" s="331">
        <v>0</v>
      </c>
      <c r="P87" s="331">
        <v>0</v>
      </c>
      <c r="Q87" s="331">
        <v>0</v>
      </c>
      <c r="R87" s="331">
        <v>0</v>
      </c>
      <c r="S87" s="331">
        <v>0</v>
      </c>
      <c r="T87" s="331">
        <v>0</v>
      </c>
      <c r="U87" s="331">
        <v>0</v>
      </c>
      <c r="V87" s="331">
        <v>0</v>
      </c>
      <c r="W87" s="331">
        <v>0</v>
      </c>
      <c r="X87" s="331">
        <v>0</v>
      </c>
      <c r="Y87" s="331">
        <v>0</v>
      </c>
      <c r="Z87" s="331">
        <v>0</v>
      </c>
      <c r="AA87" s="331">
        <v>0</v>
      </c>
      <c r="AB87" s="331">
        <v>0</v>
      </c>
      <c r="AC87" s="331">
        <v>0</v>
      </c>
      <c r="AD87" s="331">
        <v>0</v>
      </c>
      <c r="AE87" s="331">
        <v>0</v>
      </c>
      <c r="AF87" s="331">
        <v>0</v>
      </c>
      <c r="AG87" s="331">
        <v>0</v>
      </c>
      <c r="AH87" s="331">
        <v>0</v>
      </c>
      <c r="AI87" s="331">
        <v>0</v>
      </c>
      <c r="AJ87" s="331">
        <v>0</v>
      </c>
      <c r="AK87" s="331">
        <v>0</v>
      </c>
      <c r="AL87" s="331">
        <v>0</v>
      </c>
    </row>
    <row r="88" spans="1:38">
      <c r="A88" s="4"/>
      <c r="B88" s="4"/>
      <c r="C88" s="4"/>
      <c r="D88" s="4"/>
      <c r="E88" s="4"/>
      <c r="F88" s="4"/>
      <c r="G88" s="4" t="s">
        <v>632</v>
      </c>
      <c r="H88" s="4" t="s">
        <v>700</v>
      </c>
      <c r="I88" s="4">
        <v>0</v>
      </c>
      <c r="J88" s="4"/>
      <c r="K88" s="331">
        <v>5</v>
      </c>
      <c r="L88" s="331">
        <v>5</v>
      </c>
      <c r="M88" s="331">
        <v>5</v>
      </c>
      <c r="N88" s="331">
        <v>5</v>
      </c>
      <c r="O88" s="331">
        <v>5</v>
      </c>
      <c r="P88" s="331">
        <v>5</v>
      </c>
      <c r="Q88" s="331">
        <v>5</v>
      </c>
      <c r="R88" s="331">
        <v>5</v>
      </c>
      <c r="S88" s="331">
        <v>5</v>
      </c>
      <c r="T88" s="331">
        <v>5</v>
      </c>
      <c r="U88" s="331">
        <v>5</v>
      </c>
      <c r="V88" s="331">
        <v>5</v>
      </c>
      <c r="W88" s="331">
        <v>5</v>
      </c>
      <c r="X88" s="331">
        <v>5</v>
      </c>
      <c r="Y88" s="331">
        <v>5</v>
      </c>
      <c r="Z88" s="331">
        <v>5</v>
      </c>
      <c r="AA88" s="331">
        <v>5</v>
      </c>
      <c r="AB88" s="331">
        <v>5</v>
      </c>
      <c r="AC88" s="331">
        <v>5</v>
      </c>
      <c r="AD88" s="331">
        <v>5</v>
      </c>
      <c r="AE88" s="331">
        <v>5</v>
      </c>
      <c r="AF88" s="331">
        <v>5</v>
      </c>
      <c r="AG88" s="331">
        <v>5</v>
      </c>
      <c r="AH88" s="331">
        <v>5</v>
      </c>
      <c r="AI88" s="331">
        <v>5</v>
      </c>
      <c r="AJ88" s="331">
        <v>5</v>
      </c>
      <c r="AK88" s="331">
        <v>5</v>
      </c>
      <c r="AL88" s="331">
        <v>5</v>
      </c>
    </row>
    <row r="89" spans="1:38">
      <c r="C89" s="4"/>
      <c r="D89" s="4"/>
      <c r="E89" s="4"/>
      <c r="F89" s="4"/>
      <c r="G89" s="4" t="s">
        <v>632</v>
      </c>
      <c r="H89" s="4" t="s">
        <v>700</v>
      </c>
      <c r="I89" s="4">
        <v>2019</v>
      </c>
      <c r="J89" s="4"/>
      <c r="K89" s="176">
        <v>1</v>
      </c>
      <c r="L89" s="176">
        <v>1</v>
      </c>
      <c r="M89" s="176">
        <v>1</v>
      </c>
      <c r="N89" s="176">
        <v>1</v>
      </c>
      <c r="O89" s="176">
        <v>1</v>
      </c>
      <c r="P89" s="176">
        <v>1</v>
      </c>
      <c r="Q89" s="176">
        <v>1</v>
      </c>
      <c r="R89" s="176">
        <v>1</v>
      </c>
      <c r="S89" s="176">
        <v>1</v>
      </c>
      <c r="T89" s="176">
        <v>1</v>
      </c>
      <c r="U89" s="176">
        <v>1</v>
      </c>
      <c r="V89" s="176">
        <v>1</v>
      </c>
      <c r="W89" s="176">
        <v>1</v>
      </c>
      <c r="X89" s="176">
        <v>1</v>
      </c>
      <c r="Y89" s="176">
        <v>1</v>
      </c>
      <c r="Z89" s="176">
        <v>1</v>
      </c>
      <c r="AA89" s="176">
        <v>1</v>
      </c>
      <c r="AB89" s="176">
        <v>1</v>
      </c>
      <c r="AC89" s="176">
        <v>1</v>
      </c>
      <c r="AD89" s="176">
        <v>1</v>
      </c>
      <c r="AE89" s="176">
        <v>1</v>
      </c>
      <c r="AF89" s="176">
        <v>1</v>
      </c>
      <c r="AG89" s="176">
        <v>1</v>
      </c>
      <c r="AH89" s="176">
        <v>1</v>
      </c>
      <c r="AI89" s="176">
        <v>1</v>
      </c>
      <c r="AJ89" s="176">
        <v>1</v>
      </c>
      <c r="AK89" s="176">
        <v>1</v>
      </c>
      <c r="AL89" s="176">
        <v>1</v>
      </c>
    </row>
    <row r="90" spans="1:38">
      <c r="C90" s="4"/>
      <c r="D90" s="4"/>
      <c r="E90" s="4"/>
      <c r="F90" s="4"/>
      <c r="G90" s="4" t="s">
        <v>701</v>
      </c>
      <c r="H90" s="4" t="s">
        <v>661</v>
      </c>
      <c r="I90" s="4">
        <v>2019</v>
      </c>
      <c r="J90" s="4" t="s">
        <v>112</v>
      </c>
      <c r="K90" s="333">
        <v>0</v>
      </c>
      <c r="L90" s="333">
        <v>0</v>
      </c>
      <c r="M90" s="333">
        <v>0</v>
      </c>
      <c r="N90" s="333">
        <v>0</v>
      </c>
      <c r="O90" s="333">
        <v>0</v>
      </c>
      <c r="P90" s="333">
        <v>0</v>
      </c>
      <c r="Q90" s="333">
        <v>0</v>
      </c>
      <c r="R90" s="333">
        <v>0</v>
      </c>
      <c r="S90" s="333">
        <v>0</v>
      </c>
      <c r="T90" s="333">
        <v>0</v>
      </c>
      <c r="U90" s="333">
        <v>0</v>
      </c>
      <c r="V90" s="333">
        <v>0</v>
      </c>
      <c r="W90" s="333">
        <v>0</v>
      </c>
      <c r="X90" s="333">
        <v>0</v>
      </c>
      <c r="Y90" s="333">
        <v>0</v>
      </c>
      <c r="Z90" s="333">
        <v>0</v>
      </c>
      <c r="AA90" s="333">
        <v>0</v>
      </c>
      <c r="AB90" s="333">
        <v>0</v>
      </c>
      <c r="AC90" s="333">
        <v>0</v>
      </c>
      <c r="AD90" s="333">
        <v>0</v>
      </c>
      <c r="AE90" s="333">
        <v>0</v>
      </c>
      <c r="AF90" s="333">
        <v>0</v>
      </c>
      <c r="AG90" s="333">
        <v>0</v>
      </c>
      <c r="AH90" s="333">
        <v>0</v>
      </c>
      <c r="AI90" s="333">
        <v>0</v>
      </c>
      <c r="AJ90" s="333">
        <v>0</v>
      </c>
      <c r="AK90" s="333">
        <v>0</v>
      </c>
      <c r="AL90" s="333">
        <v>0</v>
      </c>
    </row>
    <row r="91" spans="1:38">
      <c r="C91" s="4"/>
      <c r="D91" s="4"/>
      <c r="E91" s="4"/>
      <c r="F91" s="4"/>
      <c r="G91" s="4" t="s">
        <v>701</v>
      </c>
      <c r="H91" s="4" t="s">
        <v>661</v>
      </c>
      <c r="I91" s="4">
        <v>2060</v>
      </c>
      <c r="J91" s="4" t="s">
        <v>112</v>
      </c>
      <c r="K91" s="333">
        <v>0</v>
      </c>
      <c r="L91" s="333">
        <v>0</v>
      </c>
      <c r="M91" s="333">
        <v>0</v>
      </c>
      <c r="N91" s="333">
        <v>0</v>
      </c>
      <c r="O91" s="333">
        <v>0</v>
      </c>
      <c r="P91" s="333">
        <v>0</v>
      </c>
      <c r="Q91" s="333">
        <v>0</v>
      </c>
      <c r="R91" s="333">
        <v>0</v>
      </c>
      <c r="S91" s="333">
        <v>0</v>
      </c>
      <c r="T91" s="333">
        <v>0</v>
      </c>
      <c r="U91" s="333">
        <v>0</v>
      </c>
      <c r="V91" s="333">
        <v>0</v>
      </c>
      <c r="W91" s="333">
        <v>0</v>
      </c>
      <c r="X91" s="333">
        <v>0</v>
      </c>
      <c r="Y91" s="333">
        <v>0</v>
      </c>
      <c r="Z91" s="333">
        <v>0</v>
      </c>
      <c r="AA91" s="333">
        <v>0</v>
      </c>
      <c r="AB91" s="333">
        <v>0</v>
      </c>
      <c r="AC91" s="333">
        <v>0</v>
      </c>
      <c r="AD91" s="333">
        <v>0</v>
      </c>
      <c r="AE91" s="333">
        <v>0</v>
      </c>
      <c r="AF91" s="333">
        <v>0</v>
      </c>
      <c r="AG91" s="333">
        <v>0</v>
      </c>
      <c r="AH91" s="333">
        <v>0</v>
      </c>
      <c r="AI91" s="333">
        <v>0</v>
      </c>
      <c r="AJ91" s="333">
        <v>0</v>
      </c>
      <c r="AK91" s="333">
        <v>0</v>
      </c>
      <c r="AL91" s="333">
        <v>0</v>
      </c>
    </row>
    <row r="92" spans="1:38">
      <c r="C92" s="4"/>
      <c r="D92" s="4"/>
      <c r="E92" s="4"/>
      <c r="F92" s="4"/>
      <c r="G92" s="4" t="s">
        <v>701</v>
      </c>
      <c r="H92" s="4" t="s">
        <v>661</v>
      </c>
      <c r="I92" s="4">
        <v>0</v>
      </c>
      <c r="J92" s="4"/>
      <c r="K92" s="333">
        <v>5</v>
      </c>
      <c r="L92" s="333">
        <v>5</v>
      </c>
      <c r="M92" s="333">
        <v>5</v>
      </c>
      <c r="N92" s="333">
        <v>5</v>
      </c>
      <c r="O92" s="333">
        <v>5</v>
      </c>
      <c r="P92" s="333">
        <v>5</v>
      </c>
      <c r="Q92" s="333">
        <v>5</v>
      </c>
      <c r="R92" s="333">
        <v>5</v>
      </c>
      <c r="S92" s="333">
        <v>5</v>
      </c>
      <c r="T92" s="333">
        <v>5</v>
      </c>
      <c r="U92" s="333">
        <v>5</v>
      </c>
      <c r="V92" s="333">
        <v>5</v>
      </c>
      <c r="W92" s="333">
        <v>5</v>
      </c>
      <c r="X92" s="333">
        <v>5</v>
      </c>
      <c r="Y92" s="333">
        <v>5</v>
      </c>
      <c r="Z92" s="333">
        <v>5</v>
      </c>
      <c r="AA92" s="333">
        <v>5</v>
      </c>
      <c r="AB92" s="333">
        <v>5</v>
      </c>
      <c r="AC92" s="333">
        <v>5</v>
      </c>
      <c r="AD92" s="333">
        <v>5</v>
      </c>
      <c r="AE92" s="333">
        <v>5</v>
      </c>
      <c r="AF92" s="333">
        <v>5</v>
      </c>
      <c r="AG92" s="333">
        <v>5</v>
      </c>
      <c r="AH92" s="333">
        <v>5</v>
      </c>
      <c r="AI92" s="333">
        <v>5</v>
      </c>
      <c r="AJ92" s="333">
        <v>5</v>
      </c>
      <c r="AK92" s="333">
        <v>5</v>
      </c>
      <c r="AL92" s="333">
        <v>5</v>
      </c>
    </row>
    <row r="93" spans="1:38">
      <c r="C93" s="4"/>
      <c r="D93" s="4"/>
      <c r="E93" s="4"/>
      <c r="F93" s="4"/>
      <c r="G93" s="4" t="s">
        <v>687</v>
      </c>
      <c r="H93" s="4"/>
      <c r="I93" s="4"/>
      <c r="J93" s="4" t="s">
        <v>2663</v>
      </c>
      <c r="K93" s="431">
        <f>'Key inputs_TRF'!$C$36*10^3</f>
        <v>3.8435179451725232</v>
      </c>
      <c r="L93" s="431">
        <f>'Key inputs_TRF'!$C$36*10^3</f>
        <v>3.8435179451725232</v>
      </c>
      <c r="M93" s="431">
        <f>'Key inputs_TRF'!$C$36*10^3</f>
        <v>3.8435179451725232</v>
      </c>
      <c r="N93" s="431">
        <f>'Key inputs_TRF'!$C$36*10^3</f>
        <v>3.8435179451725232</v>
      </c>
      <c r="O93" s="431">
        <f>'Key inputs_TRF'!$C$36*10^3</f>
        <v>3.8435179451725232</v>
      </c>
      <c r="P93" s="431">
        <f>'Key inputs_TRF'!$C$36*10^3</f>
        <v>3.8435179451725232</v>
      </c>
      <c r="Q93" s="431">
        <f>'Key inputs_TRF'!$C$36*10^3</f>
        <v>3.8435179451725232</v>
      </c>
      <c r="R93" s="431">
        <f>'Key inputs_TRF'!$C$36*10^3</f>
        <v>3.8435179451725232</v>
      </c>
      <c r="S93" s="431">
        <f>'Key inputs_TRF'!$C$36*10^3</f>
        <v>3.8435179451725232</v>
      </c>
      <c r="T93" s="431">
        <f>'Key inputs_TRF'!$C$36*10^3</f>
        <v>3.8435179451725232</v>
      </c>
      <c r="U93" s="431">
        <f>'Key inputs_TRF'!$C$36*10^3</f>
        <v>3.8435179451725232</v>
      </c>
      <c r="V93" s="431">
        <f>'Key inputs_TRF'!$C$36*10^3</f>
        <v>3.8435179451725232</v>
      </c>
      <c r="W93" s="431">
        <f>'Key inputs_TRF'!$C$36*10^3</f>
        <v>3.8435179451725232</v>
      </c>
      <c r="X93" s="431">
        <f>'Key inputs_TRF'!$C$36*10^3</f>
        <v>3.8435179451725232</v>
      </c>
      <c r="Y93" s="431">
        <f>'Key inputs_TRF'!$C$36*10^3</f>
        <v>3.8435179451725232</v>
      </c>
      <c r="Z93" s="431">
        <f>'Key inputs_TRF'!$C$36*10^3</f>
        <v>3.8435179451725232</v>
      </c>
      <c r="AA93" s="431">
        <f>'Key inputs_TRF'!$C$36*10^3</f>
        <v>3.8435179451725232</v>
      </c>
      <c r="AB93" s="431">
        <f>'Key inputs_TRF'!$C$36*10^3</f>
        <v>3.8435179451725232</v>
      </c>
      <c r="AC93" s="431">
        <f>'Key inputs_TRF'!$C$36*10^3</f>
        <v>3.8435179451725232</v>
      </c>
      <c r="AD93" s="431">
        <f>'Key inputs_TRF'!$C$36*10^3</f>
        <v>3.8435179451725232</v>
      </c>
      <c r="AE93" s="431">
        <f>'Key inputs_TRF'!$C$36*10^3</f>
        <v>3.8435179451725232</v>
      </c>
      <c r="AF93" s="431">
        <f>'Key inputs_TRF'!$C$36*10^3</f>
        <v>3.8435179451725232</v>
      </c>
      <c r="AG93" s="431">
        <f>'Key inputs_TRF'!$C$36*10^3</f>
        <v>3.8435179451725232</v>
      </c>
      <c r="AH93" s="431">
        <f>'Key inputs_TRF'!$C$36*10^3</f>
        <v>3.8435179451725232</v>
      </c>
      <c r="AI93" s="431">
        <f>'Key inputs_TRF'!$C$36*10^3</f>
        <v>3.8435179451725232</v>
      </c>
      <c r="AJ93" s="431">
        <f>'Key inputs_TRF'!$C$36*10^3</f>
        <v>3.8435179451725232</v>
      </c>
      <c r="AK93" s="431">
        <f>'Key inputs_TRF'!$C$36*10^3</f>
        <v>3.8435179451725232</v>
      </c>
      <c r="AL93" s="431">
        <f>'Key inputs_TRF'!$C$36*10^3</f>
        <v>3.8435179451725232</v>
      </c>
    </row>
    <row r="94" spans="1:38">
      <c r="C94" s="4"/>
      <c r="D94" s="4"/>
      <c r="E94" s="4"/>
      <c r="F94" s="4"/>
      <c r="G94" s="4" t="s">
        <v>689</v>
      </c>
      <c r="H94" s="4"/>
      <c r="I94" s="4"/>
      <c r="J94" s="4" t="s">
        <v>2663</v>
      </c>
      <c r="K94" s="431">
        <f>'Key inputs_TRF'!$C$37*10^3</f>
        <v>3.8435179451725227E-2</v>
      </c>
      <c r="L94" s="431">
        <f>'Key inputs_TRF'!$C$37*10^3</f>
        <v>3.8435179451725227E-2</v>
      </c>
      <c r="M94" s="431">
        <f>'Key inputs_TRF'!$C$37*10^3</f>
        <v>3.8435179451725227E-2</v>
      </c>
      <c r="N94" s="431">
        <f>'Key inputs_TRF'!$C$37*10^3</f>
        <v>3.8435179451725227E-2</v>
      </c>
      <c r="O94" s="431">
        <f>'Key inputs_TRF'!$C$37*10^3</f>
        <v>3.8435179451725227E-2</v>
      </c>
      <c r="P94" s="431">
        <f>'Key inputs_TRF'!$C$37*10^3</f>
        <v>3.8435179451725227E-2</v>
      </c>
      <c r="Q94" s="431">
        <f>'Key inputs_TRF'!$C$37*10^3</f>
        <v>3.8435179451725227E-2</v>
      </c>
      <c r="R94" s="431">
        <f>'Key inputs_TRF'!$C$37*10^3</f>
        <v>3.8435179451725227E-2</v>
      </c>
      <c r="S94" s="431">
        <f>'Key inputs_TRF'!$C$37*10^3</f>
        <v>3.8435179451725227E-2</v>
      </c>
      <c r="T94" s="431">
        <f>'Key inputs_TRF'!$C$37*10^3</f>
        <v>3.8435179451725227E-2</v>
      </c>
      <c r="U94" s="431">
        <f>'Key inputs_TRF'!$C$37*10^3</f>
        <v>3.8435179451725227E-2</v>
      </c>
      <c r="V94" s="431">
        <f>'Key inputs_TRF'!$C$37*10^3</f>
        <v>3.8435179451725227E-2</v>
      </c>
      <c r="W94" s="431">
        <f>'Key inputs_TRF'!$C$37*10^3</f>
        <v>3.8435179451725227E-2</v>
      </c>
      <c r="X94" s="431">
        <f>'Key inputs_TRF'!$C$37*10^3</f>
        <v>3.8435179451725227E-2</v>
      </c>
      <c r="Y94" s="431">
        <f>'Key inputs_TRF'!$C$37*10^3</f>
        <v>3.8435179451725227E-2</v>
      </c>
      <c r="Z94" s="431">
        <f>'Key inputs_TRF'!$C$37*10^3</f>
        <v>3.8435179451725227E-2</v>
      </c>
      <c r="AA94" s="431">
        <f>'Key inputs_TRF'!$C$37*10^3</f>
        <v>3.8435179451725227E-2</v>
      </c>
      <c r="AB94" s="431">
        <f>'Key inputs_TRF'!$C$37*10^3</f>
        <v>3.8435179451725227E-2</v>
      </c>
      <c r="AC94" s="431">
        <f>'Key inputs_TRF'!$C$37*10^3</f>
        <v>3.8435179451725227E-2</v>
      </c>
      <c r="AD94" s="431">
        <f>'Key inputs_TRF'!$C$37*10^3</f>
        <v>3.8435179451725227E-2</v>
      </c>
      <c r="AE94" s="431">
        <f>'Key inputs_TRF'!$C$37*10^3</f>
        <v>3.8435179451725227E-2</v>
      </c>
      <c r="AF94" s="431">
        <f>'Key inputs_TRF'!$C$37*10^3</f>
        <v>3.8435179451725227E-2</v>
      </c>
      <c r="AG94" s="431">
        <f>'Key inputs_TRF'!$C$37*10^3</f>
        <v>3.8435179451725227E-2</v>
      </c>
      <c r="AH94" s="431">
        <f>'Key inputs_TRF'!$C$37*10^3</f>
        <v>3.8435179451725227E-2</v>
      </c>
      <c r="AI94" s="431">
        <f>'Key inputs_TRF'!$C$37*10^3</f>
        <v>3.8435179451725227E-2</v>
      </c>
      <c r="AJ94" s="431">
        <f>'Key inputs_TRF'!$C$37*10^3</f>
        <v>3.8435179451725227E-2</v>
      </c>
      <c r="AK94" s="431">
        <f>'Key inputs_TRF'!$C$37*10^3</f>
        <v>3.8435179451725227E-2</v>
      </c>
      <c r="AL94" s="431">
        <f>'Key inputs_TRF'!$C$37*10^3</f>
        <v>3.8435179451725227E-2</v>
      </c>
    </row>
    <row r="95" spans="1:38">
      <c r="C95" s="4"/>
      <c r="D95" s="4"/>
      <c r="E95" s="4"/>
      <c r="F95" s="4"/>
      <c r="G95" s="4" t="s">
        <v>675</v>
      </c>
      <c r="H95" s="4"/>
      <c r="I95" s="4"/>
      <c r="J95" s="4" t="s">
        <v>2662</v>
      </c>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row>
    <row r="96" spans="1:38">
      <c r="C96" s="4"/>
      <c r="E96" s="4" t="s">
        <v>363</v>
      </c>
      <c r="F96" s="4" t="s">
        <v>691</v>
      </c>
      <c r="G96" s="4" t="s">
        <v>692</v>
      </c>
      <c r="J96" s="4" t="s">
        <v>2664</v>
      </c>
      <c r="K96" s="173">
        <f>IFERROR(K84/(-SUM('Key inputs_EB_TRF'!D$26:D$38)/10^3),"")</f>
        <v>0.17675771547139593</v>
      </c>
      <c r="L96" s="173">
        <f>IFERROR(L84/(-SUM('Key inputs_EB_TRF'!E$26:E$38)/10^3),"")</f>
        <v>0.95881501972123462</v>
      </c>
      <c r="M96" s="173">
        <f>IFERROR(M84/(-SUM('Key inputs_EB_TRF'!F$26:F$38)/10^3),"")</f>
        <v>3.5257126440450731E-2</v>
      </c>
      <c r="N96" s="173">
        <f>IFERROR(N84/(-SUM('Key inputs_EB_TRF'!G$26:G$38)/10^3),"")</f>
        <v>0.18329545481645415</v>
      </c>
      <c r="O96" s="173">
        <f>IFERROR(O84/(-SUM('Key inputs_EB_TRF'!H$26:H$38)/10^3),"")</f>
        <v>1</v>
      </c>
      <c r="P96" s="173">
        <f>IFERROR(P84/(-SUM('Key inputs_EB_TRF'!I$26:I$38)/10^3),"")</f>
        <v>1</v>
      </c>
      <c r="Q96" s="173">
        <f>IFERROR(Q84/(-SUM('Key inputs_EB_TRF'!J$26:J$38)/10^3),"")</f>
        <v>0.93382080023754732</v>
      </c>
      <c r="R96" s="173">
        <f>IFERROR(R84/(-SUM('Key inputs_EB_TRF'!K$26:K$38)/10^3),"")</f>
        <v>0.79253689174798425</v>
      </c>
      <c r="S96" s="173">
        <f>IFERROR(S84/(-SUM('Key inputs_EB_TRF'!L$26:L$38)/10^3),"")</f>
        <v>0.71364293640918719</v>
      </c>
      <c r="T96" s="173">
        <f>IFERROR(T84/(-SUM('Key inputs_EB_TRF'!M$26:M$38)/10^3),"")</f>
        <v>1</v>
      </c>
      <c r="U96" s="173">
        <f>IFERROR(U84/(-SUM('Key inputs_EB_TRF'!N$26:N$38)/10^3),"")</f>
        <v>0.41791718379781051</v>
      </c>
      <c r="V96" s="173">
        <f>IFERROR(V84/(-SUM('Key inputs_EB_TRF'!O$26:O$38)/10^3),"")</f>
        <v>0.17449386310526138</v>
      </c>
      <c r="W96" s="173">
        <f>IFERROR(W84/(-SUM('Key inputs_EB_TRF'!P$26:P$38)/10^3),"")</f>
        <v>0.19633001218550639</v>
      </c>
      <c r="X96" s="173">
        <f>IFERROR(X84/(-SUM('Key inputs_EB_TRF'!Q$26:Q$38)/10^3),"")</f>
        <v>1.0000021486523651</v>
      </c>
      <c r="Y96" s="173">
        <f>IFERROR(Y84/(-SUM('Key inputs_EB_TRF'!R$26:R$38)/10^3),"")</f>
        <v>0.33538114227029231</v>
      </c>
      <c r="Z96" s="173">
        <f>IFERROR(Z84/(-SUM('Key inputs_EB_TRF'!S$26:S$38)/10^3),"")</f>
        <v>0.2248610409297625</v>
      </c>
      <c r="AA96" s="173">
        <f>IFERROR(AA84/(-SUM('Key inputs_EB_TRF'!T$26:T$38)/10^3),"")</f>
        <v>0.48684705705253656</v>
      </c>
      <c r="AB96" s="173">
        <f>IFERROR(AB84/(-SUM('Key inputs_EB_TRF'!U$26:U$38)/10^3),"")</f>
        <v>0.48975578901050548</v>
      </c>
      <c r="AC96" s="173">
        <f>IFERROR(AC84/(-SUM('Key inputs_EB_TRF'!V$26:V$38)/10^3),"")</f>
        <v>0.36563001587343819</v>
      </c>
      <c r="AD96" s="173">
        <f>IFERROR(AD84/(-SUM('Key inputs_EB_TRF'!W$26:W$38)/10^3),"")</f>
        <v>1</v>
      </c>
      <c r="AE96" s="173">
        <f>IFERROR(AE84/(-SUM('Key inputs_EB_TRF'!X$26:X$38)/10^3),"")</f>
        <v>0.85251738502508623</v>
      </c>
      <c r="AF96" s="173">
        <f>IFERROR(AF84/(-SUM('Key inputs_EB_TRF'!Y$26:Y$38)/10^3),"")</f>
        <v>1.4770279546476674E-2</v>
      </c>
      <c r="AG96" s="173">
        <f>IFERROR(AG84/(-SUM('Key inputs_EB_TRF'!Z$26:Z$38)/10^3),"")</f>
        <v>0.96693825147575052</v>
      </c>
      <c r="AH96" s="173">
        <f>IFERROR(AH84/(-SUM('Key inputs_EB_TRF'!AA$26:AA$38)/10^3),"")</f>
        <v>1</v>
      </c>
      <c r="AI96" s="173">
        <f>IFERROR(AI84/(-SUM('Key inputs_EB_TRF'!AB$26:AB$38)/10^3),"")</f>
        <v>0.23944819300019621</v>
      </c>
      <c r="AJ96" s="173">
        <f>IFERROR(AJ84/(-SUM('Key inputs_EB_TRF'!AC$26:AC$38)/10^3),"")</f>
        <v>6.2040422041421354E-4</v>
      </c>
      <c r="AK96" s="173">
        <f>IFERROR(AK84/(-SUM('Key inputs_EB_TRF'!AD$26:AD$38)/10^3),"")</f>
        <v>1</v>
      </c>
      <c r="AL96" s="173">
        <f>IFERROR(AL84/(-SUM('Key inputs_EB_TRF'!AE$26:AE$38)/10^3),"")</f>
        <v>0.99999980427264967</v>
      </c>
    </row>
    <row r="97" spans="3:38">
      <c r="C97" s="4" t="str">
        <f>Commodities!$C$77</f>
        <v>BIODSL</v>
      </c>
      <c r="F97" s="4" t="s">
        <v>363</v>
      </c>
      <c r="G97" s="4" t="s">
        <v>702</v>
      </c>
      <c r="H97" t="s">
        <v>661</v>
      </c>
      <c r="I97">
        <v>2019</v>
      </c>
      <c r="J97" t="s">
        <v>650</v>
      </c>
      <c r="K97" s="173">
        <f>IFERROR(IF(AND('Key inputs_EB_TRF'!D40/SUM('Key inputs_EB_TRF'!D$40:D$53)&gt;0,'Key inputs_EB_TRF'!D40/SUM('Key inputs_EB_TRF'!D$40:D$53)&lt;0.001),0.001,'Key inputs_EB_TRF'!D40/SUM('Key inputs_EB_TRF'!D$40:D$53)),"")</f>
        <v>0</v>
      </c>
      <c r="L97" s="173">
        <f>IFERROR(IF(AND('Key inputs_EB_TRF'!E40/SUM('Key inputs_EB_TRF'!E$40:E$53)&gt;0,'Key inputs_EB_TRF'!E40/SUM('Key inputs_EB_TRF'!E$40:E$53)&lt;0.001),0.001,'Key inputs_EB_TRF'!E40/SUM('Key inputs_EB_TRF'!E$40:E$53)),"")</f>
        <v>0</v>
      </c>
      <c r="M97" s="173">
        <f>IFERROR(IF(AND('Key inputs_EB_TRF'!F40/SUM('Key inputs_EB_TRF'!F$40:F$53)&gt;0,'Key inputs_EB_TRF'!F40/SUM('Key inputs_EB_TRF'!F$40:F$53)&lt;0.001),0.001,'Key inputs_EB_TRF'!F40/SUM('Key inputs_EB_TRF'!F$40:F$53)),"")</f>
        <v>0</v>
      </c>
      <c r="N97" s="173">
        <f>IFERROR(IF(AND('Key inputs_EB_TRF'!G40/SUM('Key inputs_EB_TRF'!G$40:G$53)&gt;0,'Key inputs_EB_TRF'!G40/SUM('Key inputs_EB_TRF'!G$40:G$53)&lt;0.001),0.001,'Key inputs_EB_TRF'!G40/SUM('Key inputs_EB_TRF'!G$40:G$53)),"")</f>
        <v>0</v>
      </c>
      <c r="O97" s="173">
        <f>IFERROR(IF(AND('Key inputs_EB_TRF'!H40/SUM('Key inputs_EB_TRF'!H$40:H$53)&gt;0,'Key inputs_EB_TRF'!H40/SUM('Key inputs_EB_TRF'!H$40:H$53)&lt;0.001),0.001,'Key inputs_EB_TRF'!H40/SUM('Key inputs_EB_TRF'!H$40:H$53)),"")</f>
        <v>0</v>
      </c>
      <c r="P97" s="173">
        <f>IFERROR(IF(AND('Key inputs_EB_TRF'!I40/SUM('Key inputs_EB_TRF'!I$40:I$53)&gt;0,'Key inputs_EB_TRF'!I40/SUM('Key inputs_EB_TRF'!I$40:I$53)&lt;0.001),0.001,'Key inputs_EB_TRF'!I40/SUM('Key inputs_EB_TRF'!I$40:I$53)),"")</f>
        <v>0</v>
      </c>
      <c r="Q97" s="173">
        <f>IFERROR(IF(AND('Key inputs_EB_TRF'!J40/SUM('Key inputs_EB_TRF'!J$40:J$53)&gt;0,'Key inputs_EB_TRF'!J40/SUM('Key inputs_EB_TRF'!J$40:J$53)&lt;0.001),0.001,'Key inputs_EB_TRF'!J40/SUM('Key inputs_EB_TRF'!J$40:J$53)),"")</f>
        <v>0</v>
      </c>
      <c r="R97" s="173">
        <f>IFERROR(IF(AND('Key inputs_EB_TRF'!K40/SUM('Key inputs_EB_TRF'!K$40:K$53)&gt;0,'Key inputs_EB_TRF'!K40/SUM('Key inputs_EB_TRF'!K$40:K$53)&lt;0.001),0.001,'Key inputs_EB_TRF'!K40/SUM('Key inputs_EB_TRF'!K$40:K$53)),"")</f>
        <v>0</v>
      </c>
      <c r="S97" s="173">
        <f>IFERROR(IF(AND('Key inputs_EB_TRF'!L40/SUM('Key inputs_EB_TRF'!L$40:L$53)&gt;0,'Key inputs_EB_TRF'!L40/SUM('Key inputs_EB_TRF'!L$40:L$53)&lt;0.001),0.001,'Key inputs_EB_TRF'!L40/SUM('Key inputs_EB_TRF'!L$40:L$53)),"")</f>
        <v>0</v>
      </c>
      <c r="T97" s="173">
        <f>IFERROR(IF(AND('Key inputs_EB_TRF'!M40/SUM('Key inputs_EB_TRF'!M$40:M$53)&gt;0,'Key inputs_EB_TRF'!M40/SUM('Key inputs_EB_TRF'!M$40:M$53)&lt;0.001),0.001,'Key inputs_EB_TRF'!M40/SUM('Key inputs_EB_TRF'!M$40:M$53)),"")</f>
        <v>0</v>
      </c>
      <c r="U97" s="173">
        <f>IFERROR(IF(AND('Key inputs_EB_TRF'!N40/SUM('Key inputs_EB_TRF'!N$40:N$53)&gt;0,'Key inputs_EB_TRF'!N40/SUM('Key inputs_EB_TRF'!N$40:N$53)&lt;0.001),0.001,'Key inputs_EB_TRF'!N40/SUM('Key inputs_EB_TRF'!N$40:N$53)),"")</f>
        <v>0</v>
      </c>
      <c r="V97" s="173">
        <f>IFERROR(IF(AND('Key inputs_EB_TRF'!O40/SUM('Key inputs_EB_TRF'!O$40:O$53)&gt;0,'Key inputs_EB_TRF'!O40/SUM('Key inputs_EB_TRF'!O$40:O$53)&lt;0.001),0.001,'Key inputs_EB_TRF'!O40/SUM('Key inputs_EB_TRF'!O$40:O$53)),"")</f>
        <v>0</v>
      </c>
      <c r="W97" s="173">
        <f>IFERROR(IF(AND('Key inputs_EB_TRF'!P40/SUM('Key inputs_EB_TRF'!P$40:P$53)&gt;0,'Key inputs_EB_TRF'!P40/SUM('Key inputs_EB_TRF'!P$40:P$53)&lt;0.001),0.001,'Key inputs_EB_TRF'!P40/SUM('Key inputs_EB_TRF'!P$40:P$53)),"")</f>
        <v>0</v>
      </c>
      <c r="X97" s="173">
        <f>IFERROR(IF(AND('Key inputs_EB_TRF'!Q40/SUM('Key inputs_EB_TRF'!Q$40:Q$53)&gt;0,'Key inputs_EB_TRF'!Q40/SUM('Key inputs_EB_TRF'!Q$40:Q$53)&lt;0.001),0.001,'Key inputs_EB_TRF'!Q40/SUM('Key inputs_EB_TRF'!Q$40:Q$53)),"")</f>
        <v>0</v>
      </c>
      <c r="Y97" s="173">
        <f>IFERROR(IF(AND('Key inputs_EB_TRF'!R40/SUM('Key inputs_EB_TRF'!R$40:R$53)&gt;0,'Key inputs_EB_TRF'!R40/SUM('Key inputs_EB_TRF'!R$40:R$53)&lt;0.001),0.001,'Key inputs_EB_TRF'!R40/SUM('Key inputs_EB_TRF'!R$40:R$53)),"")</f>
        <v>0</v>
      </c>
      <c r="Z97" s="173">
        <f>IFERROR(IF(AND('Key inputs_EB_TRF'!S40/SUM('Key inputs_EB_TRF'!S$40:S$53)&gt;0,'Key inputs_EB_TRF'!S40/SUM('Key inputs_EB_TRF'!S$40:S$53)&lt;0.001),0.001,'Key inputs_EB_TRF'!S40/SUM('Key inputs_EB_TRF'!S$40:S$53)),"")</f>
        <v>0</v>
      </c>
      <c r="AA97" s="173">
        <f>IFERROR(IF(AND('Key inputs_EB_TRF'!T40/SUM('Key inputs_EB_TRF'!T$40:T$53)&gt;0,'Key inputs_EB_TRF'!T40/SUM('Key inputs_EB_TRF'!T$40:T$53)&lt;0.001),0.001,'Key inputs_EB_TRF'!T40/SUM('Key inputs_EB_TRF'!T$40:T$53)),"")</f>
        <v>0</v>
      </c>
      <c r="AB97" s="173">
        <f>IFERROR(IF(AND('Key inputs_EB_TRF'!U40/SUM('Key inputs_EB_TRF'!U$40:U$53)&gt;0,'Key inputs_EB_TRF'!U40/SUM('Key inputs_EB_TRF'!U$40:U$53)&lt;0.001),0.001,'Key inputs_EB_TRF'!U40/SUM('Key inputs_EB_TRF'!U$40:U$53)),"")</f>
        <v>0</v>
      </c>
      <c r="AC97" s="173">
        <f>IFERROR(IF(AND('Key inputs_EB_TRF'!V40/SUM('Key inputs_EB_TRF'!V$40:V$53)&gt;0,'Key inputs_EB_TRF'!V40/SUM('Key inputs_EB_TRF'!V$40:V$53)&lt;0.001),0.001,'Key inputs_EB_TRF'!V40/SUM('Key inputs_EB_TRF'!V$40:V$53)),"")</f>
        <v>0</v>
      </c>
      <c r="AD97" s="173">
        <f>IFERROR(IF(AND('Key inputs_EB_TRF'!W40/SUM('Key inputs_EB_TRF'!W$40:W$53)&gt;0,'Key inputs_EB_TRF'!W40/SUM('Key inputs_EB_TRF'!W$40:W$53)&lt;0.001),0.001,'Key inputs_EB_TRF'!W40/SUM('Key inputs_EB_TRF'!W$40:W$53)),"")</f>
        <v>0</v>
      </c>
      <c r="AE97" s="173">
        <f>IFERROR(IF(AND('Key inputs_EB_TRF'!X40/SUM('Key inputs_EB_TRF'!X$40:X$53)&gt;0,'Key inputs_EB_TRF'!X40/SUM('Key inputs_EB_TRF'!X$40:X$53)&lt;0.001),0.001,'Key inputs_EB_TRF'!X40/SUM('Key inputs_EB_TRF'!X$40:X$53)),"")</f>
        <v>0</v>
      </c>
      <c r="AF97" s="173">
        <f>IFERROR(IF(AND('Key inputs_EB_TRF'!Y40/SUM('Key inputs_EB_TRF'!Y$40:Y$53)&gt;0,'Key inputs_EB_TRF'!Y40/SUM('Key inputs_EB_TRF'!Y$40:Y$53)&lt;0.001),0.001,'Key inputs_EB_TRF'!Y40/SUM('Key inputs_EB_TRF'!Y$40:Y$53)),"")</f>
        <v>0</v>
      </c>
      <c r="AG97" s="173">
        <f>IFERROR(IF(AND('Key inputs_EB_TRF'!Z40/SUM('Key inputs_EB_TRF'!Z$40:Z$53)&gt;0,'Key inputs_EB_TRF'!Z40/SUM('Key inputs_EB_TRF'!Z$40:Z$53)&lt;0.001),0.001,'Key inputs_EB_TRF'!Z40/SUM('Key inputs_EB_TRF'!Z$40:Z$53)),"")</f>
        <v>0</v>
      </c>
      <c r="AH97" s="173">
        <f>IFERROR(IF(AND('Key inputs_EB_TRF'!AA40/SUM('Key inputs_EB_TRF'!AA$40:AA$53)&gt;0,'Key inputs_EB_TRF'!AA40/SUM('Key inputs_EB_TRF'!AA$40:AA$53)&lt;0.001),0.001,'Key inputs_EB_TRF'!AA40/SUM('Key inputs_EB_TRF'!AA$40:AA$53)),"")</f>
        <v>0</v>
      </c>
      <c r="AI97" s="173">
        <f>IFERROR(IF(AND('Key inputs_EB_TRF'!AB40/SUM('Key inputs_EB_TRF'!AB$40:AB$53)&gt;0,'Key inputs_EB_TRF'!AB40/SUM('Key inputs_EB_TRF'!AB$40:AB$53)&lt;0.001),0.001,'Key inputs_EB_TRF'!AB40/SUM('Key inputs_EB_TRF'!AB$40:AB$53)),"")</f>
        <v>0</v>
      </c>
      <c r="AJ97" s="173">
        <f>IFERROR(IF(AND('Key inputs_EB_TRF'!AC40/SUM('Key inputs_EB_TRF'!AC$40:AC$53)&gt;0,'Key inputs_EB_TRF'!AC40/SUM('Key inputs_EB_TRF'!AC$40:AC$53)&lt;0.001),0.001,'Key inputs_EB_TRF'!AC40/SUM('Key inputs_EB_TRF'!AC$40:AC$53)),"")</f>
        <v>0</v>
      </c>
      <c r="AK97" s="173">
        <f>IFERROR(IF(AND('Key inputs_EB_TRF'!AD40/SUM('Key inputs_EB_TRF'!AD$40:AD$53)&gt;0,'Key inputs_EB_TRF'!AD40/SUM('Key inputs_EB_TRF'!AD$40:AD$53)&lt;0.001),0.001,'Key inputs_EB_TRF'!AD40/SUM('Key inputs_EB_TRF'!AD$40:AD$53)),"")</f>
        <v>0</v>
      </c>
      <c r="AL97" s="173">
        <f>IFERROR(IF(AND('Key inputs_EB_TRF'!AE40/SUM('Key inputs_EB_TRF'!AE$40:AE$53)&gt;0,'Key inputs_EB_TRF'!AE40/SUM('Key inputs_EB_TRF'!AE$40:AE$53)&lt;0.001),0.001,'Key inputs_EB_TRF'!AE40/SUM('Key inputs_EB_TRF'!AE$40:AE$53)),"")</f>
        <v>0</v>
      </c>
    </row>
    <row r="98" spans="3:38">
      <c r="C98" s="4" t="str">
        <f>Commodities!$C$67</f>
        <v>BIOMASS</v>
      </c>
      <c r="F98" s="4" t="s">
        <v>363</v>
      </c>
      <c r="G98" s="4" t="s">
        <v>702</v>
      </c>
      <c r="H98" t="s">
        <v>661</v>
      </c>
      <c r="I98">
        <v>2019</v>
      </c>
      <c r="J98" t="s">
        <v>650</v>
      </c>
      <c r="K98" s="173">
        <f>IFERROR(IF(AND('Key inputs_EB_TRF'!D41/SUM('Key inputs_EB_TRF'!D$40:D$53)&gt;0,'Key inputs_EB_TRF'!D41/SUM('Key inputs_EB_TRF'!D$40:D$53)&lt;0.001),0.001,'Key inputs_EB_TRF'!D41/SUM('Key inputs_EB_TRF'!D$40:D$53)),"")</f>
        <v>1</v>
      </c>
      <c r="L98" s="173">
        <f>IFERROR(IF(AND('Key inputs_EB_TRF'!E41/SUM('Key inputs_EB_TRF'!E$40:E$53)&gt;0,'Key inputs_EB_TRF'!E41/SUM('Key inputs_EB_TRF'!E$40:E$53)&lt;0.001),0.001,'Key inputs_EB_TRF'!E41/SUM('Key inputs_EB_TRF'!E$40:E$53)),"")</f>
        <v>0.18721287135002876</v>
      </c>
      <c r="M98" s="173">
        <f>IFERROR(IF(AND('Key inputs_EB_TRF'!F41/SUM('Key inputs_EB_TRF'!F$40:F$53)&gt;0,'Key inputs_EB_TRF'!F41/SUM('Key inputs_EB_TRF'!F$40:F$53)&lt;0.001),0.001,'Key inputs_EB_TRF'!F41/SUM('Key inputs_EB_TRF'!F$40:F$53)),"")</f>
        <v>0.96960343048062902</v>
      </c>
      <c r="N98" s="173">
        <f>IFERROR(IF(AND('Key inputs_EB_TRF'!G41/SUM('Key inputs_EB_TRF'!G$40:G$53)&gt;0,'Key inputs_EB_TRF'!G41/SUM('Key inputs_EB_TRF'!G$40:G$53)&lt;0.001),0.001,'Key inputs_EB_TRF'!G41/SUM('Key inputs_EB_TRF'!G$40:G$53)),"")</f>
        <v>0.74517973018413008</v>
      </c>
      <c r="O98" s="173">
        <f>IFERROR(IF(AND('Key inputs_EB_TRF'!H41/SUM('Key inputs_EB_TRF'!H$40:H$53)&gt;0,'Key inputs_EB_TRF'!H41/SUM('Key inputs_EB_TRF'!H$40:H$53)&lt;0.001),0.001,'Key inputs_EB_TRF'!H41/SUM('Key inputs_EB_TRF'!H$40:H$53)),"")</f>
        <v>1E-3</v>
      </c>
      <c r="P98" s="173">
        <f>IFERROR(IF(AND('Key inputs_EB_TRF'!I41/SUM('Key inputs_EB_TRF'!I$40:I$53)&gt;0,'Key inputs_EB_TRF'!I41/SUM('Key inputs_EB_TRF'!I$40:I$53)&lt;0.001),0.001,'Key inputs_EB_TRF'!I41/SUM('Key inputs_EB_TRF'!I$40:I$53)),"")</f>
        <v>3.7009244064749681E-2</v>
      </c>
      <c r="Q98" s="173">
        <f>IFERROR(IF(AND('Key inputs_EB_TRF'!J41/SUM('Key inputs_EB_TRF'!J$40:J$53)&gt;0,'Key inputs_EB_TRF'!J41/SUM('Key inputs_EB_TRF'!J$40:J$53)&lt;0.001),0.001,'Key inputs_EB_TRF'!J41/SUM('Key inputs_EB_TRF'!J$40:J$53)),"")</f>
        <v>0.15137610422388836</v>
      </c>
      <c r="R98" s="173">
        <f>IFERROR(IF(AND('Key inputs_EB_TRF'!K41/SUM('Key inputs_EB_TRF'!K$40:K$53)&gt;0,'Key inputs_EB_TRF'!K41/SUM('Key inputs_EB_TRF'!K$40:K$53)&lt;0.001),0.001,'Key inputs_EB_TRF'!K41/SUM('Key inputs_EB_TRF'!K$40:K$53)),"")</f>
        <v>0.25436289744202728</v>
      </c>
      <c r="S98" s="173">
        <f>IFERROR(IF(AND('Key inputs_EB_TRF'!L41/SUM('Key inputs_EB_TRF'!L$40:L$53)&gt;0,'Key inputs_EB_TRF'!L41/SUM('Key inputs_EB_TRF'!L$40:L$53)&lt;0.001),0.001,'Key inputs_EB_TRF'!L41/SUM('Key inputs_EB_TRF'!L$40:L$53)),"")</f>
        <v>0.66739751824326599</v>
      </c>
      <c r="T98" s="173">
        <f>IFERROR(IF(AND('Key inputs_EB_TRF'!M41/SUM('Key inputs_EB_TRF'!M$40:M$53)&gt;0,'Key inputs_EB_TRF'!M41/SUM('Key inputs_EB_TRF'!M$40:M$53)&lt;0.001),0.001,'Key inputs_EB_TRF'!M41/SUM('Key inputs_EB_TRF'!M$40:M$53)),"")</f>
        <v>0</v>
      </c>
      <c r="U98" s="173">
        <f>IFERROR(IF(AND('Key inputs_EB_TRF'!N41/SUM('Key inputs_EB_TRF'!N$40:N$53)&gt;0,'Key inputs_EB_TRF'!N41/SUM('Key inputs_EB_TRF'!N$40:N$53)&lt;0.001),0.001,'Key inputs_EB_TRF'!N41/SUM('Key inputs_EB_TRF'!N$40:N$53)),"")</f>
        <v>1</v>
      </c>
      <c r="V98" s="173">
        <f>IFERROR(IF(AND('Key inputs_EB_TRF'!O41/SUM('Key inputs_EB_TRF'!O$40:O$53)&gt;0,'Key inputs_EB_TRF'!O41/SUM('Key inputs_EB_TRF'!O$40:O$53)&lt;0.001),0.001,'Key inputs_EB_TRF'!O41/SUM('Key inputs_EB_TRF'!O$40:O$53)),"")</f>
        <v>9.8402349707996748E-3</v>
      </c>
      <c r="W98" s="173">
        <f>IFERROR(IF(AND('Key inputs_EB_TRF'!P41/SUM('Key inputs_EB_TRF'!P$40:P$53)&gt;0,'Key inputs_EB_TRF'!P41/SUM('Key inputs_EB_TRF'!P$40:P$53)&lt;0.001),0.001,'Key inputs_EB_TRF'!P41/SUM('Key inputs_EB_TRF'!P$40:P$53)),"")</f>
        <v>0.35509999283205507</v>
      </c>
      <c r="X98" s="173">
        <f>IFERROR(IF(AND('Key inputs_EB_TRF'!Q41/SUM('Key inputs_EB_TRF'!Q$40:Q$53)&gt;0,'Key inputs_EB_TRF'!Q41/SUM('Key inputs_EB_TRF'!Q$40:Q$53)&lt;0.001),0.001,'Key inputs_EB_TRF'!Q41/SUM('Key inputs_EB_TRF'!Q$40:Q$53)),"")</f>
        <v>4.5366646039603963E-2</v>
      </c>
      <c r="Y98" s="173">
        <f>IFERROR(IF(AND('Key inputs_EB_TRF'!R41/SUM('Key inputs_EB_TRF'!R$40:R$53)&gt;0,'Key inputs_EB_TRF'!R41/SUM('Key inputs_EB_TRF'!R$40:R$53)&lt;0.001),0.001,'Key inputs_EB_TRF'!R41/SUM('Key inputs_EB_TRF'!R$40:R$53)),"")</f>
        <v>1.1454160228713119E-2</v>
      </c>
      <c r="Z98" s="173">
        <f>IFERROR(IF(AND('Key inputs_EB_TRF'!S41/SUM('Key inputs_EB_TRF'!S$40:S$53)&gt;0,'Key inputs_EB_TRF'!S41/SUM('Key inputs_EB_TRF'!S$40:S$53)&lt;0.001),0.001,'Key inputs_EB_TRF'!S41/SUM('Key inputs_EB_TRF'!S$40:S$53)),"")</f>
        <v>0.72721913424288365</v>
      </c>
      <c r="AA98" s="173">
        <f>IFERROR(IF(AND('Key inputs_EB_TRF'!T41/SUM('Key inputs_EB_TRF'!T$40:T$53)&gt;0,'Key inputs_EB_TRF'!T41/SUM('Key inputs_EB_TRF'!T$40:T$53)&lt;0.001),0.001,'Key inputs_EB_TRF'!T41/SUM('Key inputs_EB_TRF'!T$40:T$53)),"")</f>
        <v>9.7596467459481154E-2</v>
      </c>
      <c r="AB98" s="173">
        <f>IFERROR(IF(AND('Key inputs_EB_TRF'!U41/SUM('Key inputs_EB_TRF'!U$40:U$53)&gt;0,'Key inputs_EB_TRF'!U41/SUM('Key inputs_EB_TRF'!U$40:U$53)&lt;0.001),0.001,'Key inputs_EB_TRF'!U41/SUM('Key inputs_EB_TRF'!U$40:U$53)),"")</f>
        <v>0.44743596795189117</v>
      </c>
      <c r="AC98" s="173">
        <f>IFERROR(IF(AND('Key inputs_EB_TRF'!V41/SUM('Key inputs_EB_TRF'!V$40:V$53)&gt;0,'Key inputs_EB_TRF'!V41/SUM('Key inputs_EB_TRF'!V$40:V$53)&lt;0.001),0.001,'Key inputs_EB_TRF'!V41/SUM('Key inputs_EB_TRF'!V$40:V$53)),"")</f>
        <v>0.62830216286679619</v>
      </c>
      <c r="AD98" s="173">
        <f>IFERROR(IF(AND('Key inputs_EB_TRF'!W41/SUM('Key inputs_EB_TRF'!W$40:W$53)&gt;0,'Key inputs_EB_TRF'!W41/SUM('Key inputs_EB_TRF'!W$40:W$53)&lt;0.001),0.001,'Key inputs_EB_TRF'!W41/SUM('Key inputs_EB_TRF'!W$40:W$53)),"")</f>
        <v>6.968041636199406E-3</v>
      </c>
      <c r="AE98" s="173">
        <f>IFERROR(IF(AND('Key inputs_EB_TRF'!X41/SUM('Key inputs_EB_TRF'!X$40:X$53)&gt;0,'Key inputs_EB_TRF'!X41/SUM('Key inputs_EB_TRF'!X$40:X$53)&lt;0.001),0.001,'Key inputs_EB_TRF'!X41/SUM('Key inputs_EB_TRF'!X$40:X$53)),"")</f>
        <v>0.15680541294130415</v>
      </c>
      <c r="AF98" s="173">
        <f>IFERROR(IF(AND('Key inputs_EB_TRF'!Y41/SUM('Key inputs_EB_TRF'!Y$40:Y$53)&gt;0,'Key inputs_EB_TRF'!Y41/SUM('Key inputs_EB_TRF'!Y$40:Y$53)&lt;0.001),0.001,'Key inputs_EB_TRF'!Y41/SUM('Key inputs_EB_TRF'!Y$40:Y$53)),"")</f>
        <v>3.8038203896134638E-2</v>
      </c>
      <c r="AG98" s="173">
        <f>IFERROR(IF(AND('Key inputs_EB_TRF'!Z41/SUM('Key inputs_EB_TRF'!Z$40:Z$53)&gt;0,'Key inputs_EB_TRF'!Z41/SUM('Key inputs_EB_TRF'!Z$40:Z$53)&lt;0.001),0.001,'Key inputs_EB_TRF'!Z41/SUM('Key inputs_EB_TRF'!Z$40:Z$53)),"")</f>
        <v>1.2751270350284429E-3</v>
      </c>
      <c r="AH98" s="173">
        <f>IFERROR(IF(AND('Key inputs_EB_TRF'!AA41/SUM('Key inputs_EB_TRF'!AA$40:AA$53)&gt;0,'Key inputs_EB_TRF'!AA41/SUM('Key inputs_EB_TRF'!AA$40:AA$53)&lt;0.001),0.001,'Key inputs_EB_TRF'!AA41/SUM('Key inputs_EB_TRF'!AA$40:AA$53)),"")</f>
        <v>0</v>
      </c>
      <c r="AI98" s="173">
        <f>IFERROR(IF(AND('Key inputs_EB_TRF'!AB41/SUM('Key inputs_EB_TRF'!AB$40:AB$53)&gt;0,'Key inputs_EB_TRF'!AB41/SUM('Key inputs_EB_TRF'!AB$40:AB$53)&lt;0.001),0.001,'Key inputs_EB_TRF'!AB41/SUM('Key inputs_EB_TRF'!AB$40:AB$53)),"")</f>
        <v>1</v>
      </c>
      <c r="AJ98" s="173">
        <f>IFERROR(IF(AND('Key inputs_EB_TRF'!AC41/SUM('Key inputs_EB_TRF'!AC$40:AC$53)&gt;0,'Key inputs_EB_TRF'!AC41/SUM('Key inputs_EB_TRF'!AC$40:AC$53)&lt;0.001),0.001,'Key inputs_EB_TRF'!AC41/SUM('Key inputs_EB_TRF'!AC$40:AC$53)),"")</f>
        <v>6.3643479926384248E-3</v>
      </c>
      <c r="AK98" s="173">
        <f>IFERROR(IF(AND('Key inputs_EB_TRF'!AD41/SUM('Key inputs_EB_TRF'!AD$40:AD$53)&gt;0,'Key inputs_EB_TRF'!AD41/SUM('Key inputs_EB_TRF'!AD$40:AD$53)&lt;0.001),0.001,'Key inputs_EB_TRF'!AD41/SUM('Key inputs_EB_TRF'!AD$40:AD$53)),"")</f>
        <v>0</v>
      </c>
      <c r="AL98" s="173">
        <f>IFERROR(IF(AND('Key inputs_EB_TRF'!AE41/SUM('Key inputs_EB_TRF'!AE$40:AE$53)&gt;0,'Key inputs_EB_TRF'!AE41/SUM('Key inputs_EB_TRF'!AE$40:AE$53)&lt;0.001),0.001,'Key inputs_EB_TRF'!AE41/SUM('Key inputs_EB_TRF'!AE$40:AE$53)),"")</f>
        <v>4.4177620221610338E-3</v>
      </c>
    </row>
    <row r="99" spans="3:38">
      <c r="C99" s="4" t="str">
        <f>Commodities!$C$22</f>
        <v>COA</v>
      </c>
      <c r="F99" s="4" t="s">
        <v>363</v>
      </c>
      <c r="G99" s="4" t="s">
        <v>702</v>
      </c>
      <c r="H99" t="s">
        <v>661</v>
      </c>
      <c r="I99">
        <v>2019</v>
      </c>
      <c r="J99" t="s">
        <v>650</v>
      </c>
      <c r="K99" s="173">
        <f>IFERROR(IF(AND('Key inputs_EB_TRF'!D42/SUM('Key inputs_EB_TRF'!D$40:D$53)&gt;0,'Key inputs_EB_TRF'!D42/SUM('Key inputs_EB_TRF'!D$40:D$53)&lt;0.001),0.001,'Key inputs_EB_TRF'!D42/SUM('Key inputs_EB_TRF'!D$40:D$53)),"")</f>
        <v>0</v>
      </c>
      <c r="L99" s="173">
        <f>IFERROR(IF(AND('Key inputs_EB_TRF'!E42/SUM('Key inputs_EB_TRF'!E$40:E$53)&gt;0,'Key inputs_EB_TRF'!E42/SUM('Key inputs_EB_TRF'!E$40:E$53)&lt;0.001),0.001,'Key inputs_EB_TRF'!E42/SUM('Key inputs_EB_TRF'!E$40:E$53)),"")</f>
        <v>1.2923625367334084E-3</v>
      </c>
      <c r="M99" s="173">
        <f>IFERROR(IF(AND('Key inputs_EB_TRF'!F42/SUM('Key inputs_EB_TRF'!F$40:F$53)&gt;0,'Key inputs_EB_TRF'!F42/SUM('Key inputs_EB_TRF'!F$40:F$53)&lt;0.001),0.001,'Key inputs_EB_TRF'!F42/SUM('Key inputs_EB_TRF'!F$40:F$53)),"")</f>
        <v>1E-3</v>
      </c>
      <c r="N99" s="173">
        <f>IFERROR(IF(AND('Key inputs_EB_TRF'!G42/SUM('Key inputs_EB_TRF'!G$40:G$53)&gt;0,'Key inputs_EB_TRF'!G42/SUM('Key inputs_EB_TRF'!G$40:G$53)&lt;0.001),0.001,'Key inputs_EB_TRF'!G42/SUM('Key inputs_EB_TRF'!G$40:G$53)),"")</f>
        <v>0.14342881263369764</v>
      </c>
      <c r="O99" s="173">
        <f>IFERROR(IF(AND('Key inputs_EB_TRF'!H42/SUM('Key inputs_EB_TRF'!H$40:H$53)&gt;0,'Key inputs_EB_TRF'!H42/SUM('Key inputs_EB_TRF'!H$40:H$53)&lt;0.001),0.001,'Key inputs_EB_TRF'!H42/SUM('Key inputs_EB_TRF'!H$40:H$53)),"")</f>
        <v>0</v>
      </c>
      <c r="P99" s="173">
        <f>IFERROR(IF(AND('Key inputs_EB_TRF'!I42/SUM('Key inputs_EB_TRF'!I$40:I$53)&gt;0,'Key inputs_EB_TRF'!I42/SUM('Key inputs_EB_TRF'!I$40:I$53)&lt;0.001),0.001,'Key inputs_EB_TRF'!I42/SUM('Key inputs_EB_TRF'!I$40:I$53)),"")</f>
        <v>2.0211599198462896E-2</v>
      </c>
      <c r="Q99" s="173">
        <f>IFERROR(IF(AND('Key inputs_EB_TRF'!J42/SUM('Key inputs_EB_TRF'!J$40:J$53)&gt;0,'Key inputs_EB_TRF'!J42/SUM('Key inputs_EB_TRF'!J$40:J$53)&lt;0.001),0.001,'Key inputs_EB_TRF'!J42/SUM('Key inputs_EB_TRF'!J$40:J$53)),"")</f>
        <v>0</v>
      </c>
      <c r="R99" s="173">
        <f>IFERROR(IF(AND('Key inputs_EB_TRF'!K42/SUM('Key inputs_EB_TRF'!K$40:K$53)&gt;0,'Key inputs_EB_TRF'!K42/SUM('Key inputs_EB_TRF'!K$40:K$53)&lt;0.001),0.001,'Key inputs_EB_TRF'!K42/SUM('Key inputs_EB_TRF'!K$40:K$53)),"")</f>
        <v>0</v>
      </c>
      <c r="S99" s="173">
        <f>IFERROR(IF(AND('Key inputs_EB_TRF'!L42/SUM('Key inputs_EB_TRF'!L$40:L$53)&gt;0,'Key inputs_EB_TRF'!L42/SUM('Key inputs_EB_TRF'!L$40:L$53)&lt;0.001),0.001,'Key inputs_EB_TRF'!L42/SUM('Key inputs_EB_TRF'!L$40:L$53)),"")</f>
        <v>0</v>
      </c>
      <c r="T99" s="173">
        <f>IFERROR(IF(AND('Key inputs_EB_TRF'!M42/SUM('Key inputs_EB_TRF'!M$40:M$53)&gt;0,'Key inputs_EB_TRF'!M42/SUM('Key inputs_EB_TRF'!M$40:M$53)&lt;0.001),0.001,'Key inputs_EB_TRF'!M42/SUM('Key inputs_EB_TRF'!M$40:M$53)),"")</f>
        <v>0</v>
      </c>
      <c r="U99" s="173">
        <f>IFERROR(IF(AND('Key inputs_EB_TRF'!N42/SUM('Key inputs_EB_TRF'!N$40:N$53)&gt;0,'Key inputs_EB_TRF'!N42/SUM('Key inputs_EB_TRF'!N$40:N$53)&lt;0.001),0.001,'Key inputs_EB_TRF'!N42/SUM('Key inputs_EB_TRF'!N$40:N$53)),"")</f>
        <v>0</v>
      </c>
      <c r="V99" s="173">
        <f>IFERROR(IF(AND('Key inputs_EB_TRF'!O42/SUM('Key inputs_EB_TRF'!O$40:O$53)&gt;0,'Key inputs_EB_TRF'!O42/SUM('Key inputs_EB_TRF'!O$40:O$53)&lt;0.001),0.001,'Key inputs_EB_TRF'!O42/SUM('Key inputs_EB_TRF'!O$40:O$53)),"")</f>
        <v>0.10077394160794396</v>
      </c>
      <c r="W99" s="173">
        <f>IFERROR(IF(AND('Key inputs_EB_TRF'!P42/SUM('Key inputs_EB_TRF'!P$40:P$53)&gt;0,'Key inputs_EB_TRF'!P42/SUM('Key inputs_EB_TRF'!P$40:P$53)&lt;0.001),0.001,'Key inputs_EB_TRF'!P42/SUM('Key inputs_EB_TRF'!P$40:P$53)),"")</f>
        <v>0.16903806178768546</v>
      </c>
      <c r="X99" s="173">
        <f>IFERROR(IF(AND('Key inputs_EB_TRF'!Q42/SUM('Key inputs_EB_TRF'!Q$40:Q$53)&gt;0,'Key inputs_EB_TRF'!Q42/SUM('Key inputs_EB_TRF'!Q$40:Q$53)&lt;0.001),0.001,'Key inputs_EB_TRF'!Q42/SUM('Key inputs_EB_TRF'!Q$40:Q$53)),"")</f>
        <v>9.7828142189218918E-3</v>
      </c>
      <c r="Y99" s="173">
        <f>IFERROR(IF(AND('Key inputs_EB_TRF'!R42/SUM('Key inputs_EB_TRF'!R$40:R$53)&gt;0,'Key inputs_EB_TRF'!R42/SUM('Key inputs_EB_TRF'!R$40:R$53)&lt;0.001),0.001,'Key inputs_EB_TRF'!R42/SUM('Key inputs_EB_TRF'!R$40:R$53)),"")</f>
        <v>1.8041690182544895E-3</v>
      </c>
      <c r="Z99" s="173">
        <f>IFERROR(IF(AND('Key inputs_EB_TRF'!S42/SUM('Key inputs_EB_TRF'!S$40:S$53)&gt;0,'Key inputs_EB_TRF'!S42/SUM('Key inputs_EB_TRF'!S$40:S$53)&lt;0.001),0.001,'Key inputs_EB_TRF'!S42/SUM('Key inputs_EB_TRF'!S$40:S$53)),"")</f>
        <v>0</v>
      </c>
      <c r="AA99" s="173">
        <f>IFERROR(IF(AND('Key inputs_EB_TRF'!T42/SUM('Key inputs_EB_TRF'!T$40:T$53)&gt;0,'Key inputs_EB_TRF'!T42/SUM('Key inputs_EB_TRF'!T$40:T$53)&lt;0.001),0.001,'Key inputs_EB_TRF'!T42/SUM('Key inputs_EB_TRF'!T$40:T$53)),"")</f>
        <v>1E-3</v>
      </c>
      <c r="AB99" s="173">
        <f>IFERROR(IF(AND('Key inputs_EB_TRF'!U42/SUM('Key inputs_EB_TRF'!U$40:U$53)&gt;0,'Key inputs_EB_TRF'!U42/SUM('Key inputs_EB_TRF'!U$40:U$53)&lt;0.001),0.001,'Key inputs_EB_TRF'!U42/SUM('Key inputs_EB_TRF'!U$40:U$53)),"")</f>
        <v>6.9234365546449586E-2</v>
      </c>
      <c r="AC99" s="173">
        <f>IFERROR(IF(AND('Key inputs_EB_TRF'!V42/SUM('Key inputs_EB_TRF'!V$40:V$53)&gt;0,'Key inputs_EB_TRF'!V42/SUM('Key inputs_EB_TRF'!V$40:V$53)&lt;0.001),0.001,'Key inputs_EB_TRF'!V42/SUM('Key inputs_EB_TRF'!V$40:V$53)),"")</f>
        <v>4.0492786010091604E-2</v>
      </c>
      <c r="AD99" s="173">
        <f>IFERROR(IF(AND('Key inputs_EB_TRF'!W42/SUM('Key inputs_EB_TRF'!W$40:W$53)&gt;0,'Key inputs_EB_TRF'!W42/SUM('Key inputs_EB_TRF'!W$40:W$53)&lt;0.001),0.001,'Key inputs_EB_TRF'!W42/SUM('Key inputs_EB_TRF'!W$40:W$53)),"")</f>
        <v>0</v>
      </c>
      <c r="AE99" s="173">
        <f>IFERROR(IF(AND('Key inputs_EB_TRF'!X42/SUM('Key inputs_EB_TRF'!X$40:X$53)&gt;0,'Key inputs_EB_TRF'!X42/SUM('Key inputs_EB_TRF'!X$40:X$53)&lt;0.001),0.001,'Key inputs_EB_TRF'!X42/SUM('Key inputs_EB_TRF'!X$40:X$53)),"")</f>
        <v>0</v>
      </c>
      <c r="AF99" s="173">
        <f>IFERROR(IF(AND('Key inputs_EB_TRF'!Y42/SUM('Key inputs_EB_TRF'!Y$40:Y$53)&gt;0,'Key inputs_EB_TRF'!Y42/SUM('Key inputs_EB_TRF'!Y$40:Y$53)&lt;0.001),0.001,'Key inputs_EB_TRF'!Y42/SUM('Key inputs_EB_TRF'!Y$40:Y$53)),"")</f>
        <v>0</v>
      </c>
      <c r="AG99" s="173">
        <f>IFERROR(IF(AND('Key inputs_EB_TRF'!Z42/SUM('Key inputs_EB_TRF'!Z$40:Z$53)&gt;0,'Key inputs_EB_TRF'!Z42/SUM('Key inputs_EB_TRF'!Z$40:Z$53)&lt;0.001),0.001,'Key inputs_EB_TRF'!Z42/SUM('Key inputs_EB_TRF'!Z$40:Z$53)),"")</f>
        <v>0</v>
      </c>
      <c r="AH99" s="173">
        <f>IFERROR(IF(AND('Key inputs_EB_TRF'!AA42/SUM('Key inputs_EB_TRF'!AA$40:AA$53)&gt;0,'Key inputs_EB_TRF'!AA42/SUM('Key inputs_EB_TRF'!AA$40:AA$53)&lt;0.001),0.001,'Key inputs_EB_TRF'!AA42/SUM('Key inputs_EB_TRF'!AA$40:AA$53)),"")</f>
        <v>0</v>
      </c>
      <c r="AI99" s="173">
        <f>IFERROR(IF(AND('Key inputs_EB_TRF'!AB42/SUM('Key inputs_EB_TRF'!AB$40:AB$53)&gt;0,'Key inputs_EB_TRF'!AB42/SUM('Key inputs_EB_TRF'!AB$40:AB$53)&lt;0.001),0.001,'Key inputs_EB_TRF'!AB42/SUM('Key inputs_EB_TRF'!AB$40:AB$53)),"")</f>
        <v>0</v>
      </c>
      <c r="AJ99" s="173">
        <f>IFERROR(IF(AND('Key inputs_EB_TRF'!AC42/SUM('Key inputs_EB_TRF'!AC$40:AC$53)&gt;0,'Key inputs_EB_TRF'!AC42/SUM('Key inputs_EB_TRF'!AC$40:AC$53)&lt;0.001),0.001,'Key inputs_EB_TRF'!AC42/SUM('Key inputs_EB_TRF'!AC$40:AC$53)),"")</f>
        <v>0</v>
      </c>
      <c r="AK99" s="173">
        <f>IFERROR(IF(AND('Key inputs_EB_TRF'!AD42/SUM('Key inputs_EB_TRF'!AD$40:AD$53)&gt;0,'Key inputs_EB_TRF'!AD42/SUM('Key inputs_EB_TRF'!AD$40:AD$53)&lt;0.001),0.001,'Key inputs_EB_TRF'!AD42/SUM('Key inputs_EB_TRF'!AD$40:AD$53)),"")</f>
        <v>1</v>
      </c>
      <c r="AL99" s="173">
        <f>IFERROR(IF(AND('Key inputs_EB_TRF'!AE42/SUM('Key inputs_EB_TRF'!AE$40:AE$53)&gt;0,'Key inputs_EB_TRF'!AE42/SUM('Key inputs_EB_TRF'!AE$40:AE$53)&lt;0.001),0.001,'Key inputs_EB_TRF'!AE42/SUM('Key inputs_EB_TRF'!AE$40:AE$53)),"")</f>
        <v>0</v>
      </c>
    </row>
    <row r="100" spans="3:38">
      <c r="C100" s="4" t="str">
        <f>Commodities!$C$23</f>
        <v>COACOL</v>
      </c>
      <c r="F100" s="4" t="s">
        <v>363</v>
      </c>
      <c r="G100" s="4" t="s">
        <v>702</v>
      </c>
      <c r="H100" t="s">
        <v>661</v>
      </c>
      <c r="I100">
        <v>2019</v>
      </c>
      <c r="J100" t="s">
        <v>650</v>
      </c>
      <c r="K100" s="173">
        <f>IFERROR(IF(AND('Key inputs_EB_TRF'!D43/SUM('Key inputs_EB_TRF'!D$40:D$53)&gt;0,'Key inputs_EB_TRF'!D43/SUM('Key inputs_EB_TRF'!D$40:D$53)&lt;0.001),0.001,'Key inputs_EB_TRF'!D43/SUM('Key inputs_EB_TRF'!D$40:D$53)),"")</f>
        <v>0</v>
      </c>
      <c r="L100" s="173">
        <f>IFERROR(IF(AND('Key inputs_EB_TRF'!E43/SUM('Key inputs_EB_TRF'!E$40:E$53)&gt;0,'Key inputs_EB_TRF'!E43/SUM('Key inputs_EB_TRF'!E$40:E$53)&lt;0.001),0.001,'Key inputs_EB_TRF'!E43/SUM('Key inputs_EB_TRF'!E$40:E$53)),"")</f>
        <v>0</v>
      </c>
      <c r="M100" s="173">
        <f>IFERROR(IF(AND('Key inputs_EB_TRF'!F43/SUM('Key inputs_EB_TRF'!F$40:F$53)&gt;0,'Key inputs_EB_TRF'!F43/SUM('Key inputs_EB_TRF'!F$40:F$53)&lt;0.001),0.001,'Key inputs_EB_TRF'!F43/SUM('Key inputs_EB_TRF'!F$40:F$53)),"")</f>
        <v>0</v>
      </c>
      <c r="N100" s="173">
        <f>IFERROR(IF(AND('Key inputs_EB_TRF'!G43/SUM('Key inputs_EB_TRF'!G$40:G$53)&gt;0,'Key inputs_EB_TRF'!G43/SUM('Key inputs_EB_TRF'!G$40:G$53)&lt;0.001),0.001,'Key inputs_EB_TRF'!G43/SUM('Key inputs_EB_TRF'!G$40:G$53)),"")</f>
        <v>0</v>
      </c>
      <c r="O100" s="173">
        <f>IFERROR(IF(AND('Key inputs_EB_TRF'!H43/SUM('Key inputs_EB_TRF'!H$40:H$53)&gt;0,'Key inputs_EB_TRF'!H43/SUM('Key inputs_EB_TRF'!H$40:H$53)&lt;0.001),0.001,'Key inputs_EB_TRF'!H43/SUM('Key inputs_EB_TRF'!H$40:H$53)),"")</f>
        <v>0</v>
      </c>
      <c r="P100" s="173">
        <f>IFERROR(IF(AND('Key inputs_EB_TRF'!I43/SUM('Key inputs_EB_TRF'!I$40:I$53)&gt;0,'Key inputs_EB_TRF'!I43/SUM('Key inputs_EB_TRF'!I$40:I$53)&lt;0.001),0.001,'Key inputs_EB_TRF'!I43/SUM('Key inputs_EB_TRF'!I$40:I$53)),"")</f>
        <v>2.6470515474119091E-2</v>
      </c>
      <c r="Q100" s="173">
        <f>IFERROR(IF(AND('Key inputs_EB_TRF'!J43/SUM('Key inputs_EB_TRF'!J$40:J$53)&gt;0,'Key inputs_EB_TRF'!J43/SUM('Key inputs_EB_TRF'!J$40:J$53)&lt;0.001),0.001,'Key inputs_EB_TRF'!J43/SUM('Key inputs_EB_TRF'!J$40:J$53)),"")</f>
        <v>0</v>
      </c>
      <c r="R100" s="173">
        <f>IFERROR(IF(AND('Key inputs_EB_TRF'!K43/SUM('Key inputs_EB_TRF'!K$40:K$53)&gt;0,'Key inputs_EB_TRF'!K43/SUM('Key inputs_EB_TRF'!K$40:K$53)&lt;0.001),0.001,'Key inputs_EB_TRF'!K43/SUM('Key inputs_EB_TRF'!K$40:K$53)),"")</f>
        <v>0</v>
      </c>
      <c r="S100" s="173">
        <f>IFERROR(IF(AND('Key inputs_EB_TRF'!L43/SUM('Key inputs_EB_TRF'!L$40:L$53)&gt;0,'Key inputs_EB_TRF'!L43/SUM('Key inputs_EB_TRF'!L$40:L$53)&lt;0.001),0.001,'Key inputs_EB_TRF'!L43/SUM('Key inputs_EB_TRF'!L$40:L$53)),"")</f>
        <v>0</v>
      </c>
      <c r="T100" s="173">
        <f>IFERROR(IF(AND('Key inputs_EB_TRF'!M43/SUM('Key inputs_EB_TRF'!M$40:M$53)&gt;0,'Key inputs_EB_TRF'!M43/SUM('Key inputs_EB_TRF'!M$40:M$53)&lt;0.001),0.001,'Key inputs_EB_TRF'!M43/SUM('Key inputs_EB_TRF'!M$40:M$53)),"")</f>
        <v>0</v>
      </c>
      <c r="U100" s="173">
        <f>IFERROR(IF(AND('Key inputs_EB_TRF'!N43/SUM('Key inputs_EB_TRF'!N$40:N$53)&gt;0,'Key inputs_EB_TRF'!N43/SUM('Key inputs_EB_TRF'!N$40:N$53)&lt;0.001),0.001,'Key inputs_EB_TRF'!N43/SUM('Key inputs_EB_TRF'!N$40:N$53)),"")</f>
        <v>0</v>
      </c>
      <c r="V100" s="173">
        <f>IFERROR(IF(AND('Key inputs_EB_TRF'!O43/SUM('Key inputs_EB_TRF'!O$40:O$53)&gt;0,'Key inputs_EB_TRF'!O43/SUM('Key inputs_EB_TRF'!O$40:O$53)&lt;0.001),0.001,'Key inputs_EB_TRF'!O43/SUM('Key inputs_EB_TRF'!O$40:O$53)),"")</f>
        <v>0</v>
      </c>
      <c r="W100" s="173">
        <f>IFERROR(IF(AND('Key inputs_EB_TRF'!P43/SUM('Key inputs_EB_TRF'!P$40:P$53)&gt;0,'Key inputs_EB_TRF'!P43/SUM('Key inputs_EB_TRF'!P$40:P$53)&lt;0.001),0.001,'Key inputs_EB_TRF'!P43/SUM('Key inputs_EB_TRF'!P$40:P$53)),"")</f>
        <v>0.38015196043294386</v>
      </c>
      <c r="X100" s="173">
        <f>IFERROR(IF(AND('Key inputs_EB_TRF'!Q43/SUM('Key inputs_EB_TRF'!Q$40:Q$53)&gt;0,'Key inputs_EB_TRF'!Q43/SUM('Key inputs_EB_TRF'!Q$40:Q$53)&lt;0.001),0.001,'Key inputs_EB_TRF'!Q43/SUM('Key inputs_EB_TRF'!Q$40:Q$53)),"")</f>
        <v>0</v>
      </c>
      <c r="Y100" s="173">
        <f>IFERROR(IF(AND('Key inputs_EB_TRF'!R43/SUM('Key inputs_EB_TRF'!R$40:R$53)&gt;0,'Key inputs_EB_TRF'!R43/SUM('Key inputs_EB_TRF'!R$40:R$53)&lt;0.001),0.001,'Key inputs_EB_TRF'!R43/SUM('Key inputs_EB_TRF'!R$40:R$53)),"")</f>
        <v>0.48917035981606727</v>
      </c>
      <c r="Z100" s="173">
        <f>IFERROR(IF(AND('Key inputs_EB_TRF'!S43/SUM('Key inputs_EB_TRF'!S$40:S$53)&gt;0,'Key inputs_EB_TRF'!S43/SUM('Key inputs_EB_TRF'!S$40:S$53)&lt;0.001),0.001,'Key inputs_EB_TRF'!S43/SUM('Key inputs_EB_TRF'!S$40:S$53)),"")</f>
        <v>0</v>
      </c>
      <c r="AA100" s="173">
        <f>IFERROR(IF(AND('Key inputs_EB_TRF'!T43/SUM('Key inputs_EB_TRF'!T$40:T$53)&gt;0,'Key inputs_EB_TRF'!T43/SUM('Key inputs_EB_TRF'!T$40:T$53)&lt;0.001),0.001,'Key inputs_EB_TRF'!T43/SUM('Key inputs_EB_TRF'!T$40:T$53)),"")</f>
        <v>0.73394299764162774</v>
      </c>
      <c r="AB100" s="173">
        <f>IFERROR(IF(AND('Key inputs_EB_TRF'!U43/SUM('Key inputs_EB_TRF'!U$40:U$53)&gt;0,'Key inputs_EB_TRF'!U43/SUM('Key inputs_EB_TRF'!U$40:U$53)&lt;0.001),0.001,'Key inputs_EB_TRF'!U43/SUM('Key inputs_EB_TRF'!U$40:U$53)),"")</f>
        <v>0</v>
      </c>
      <c r="AC100" s="173">
        <f>IFERROR(IF(AND('Key inputs_EB_TRF'!V43/SUM('Key inputs_EB_TRF'!V$40:V$53)&gt;0,'Key inputs_EB_TRF'!V43/SUM('Key inputs_EB_TRF'!V$40:V$53)&lt;0.001),0.001,'Key inputs_EB_TRF'!V43/SUM('Key inputs_EB_TRF'!V$40:V$53)),"")</f>
        <v>0</v>
      </c>
      <c r="AD100" s="173">
        <f>IFERROR(IF(AND('Key inputs_EB_TRF'!W43/SUM('Key inputs_EB_TRF'!W$40:W$53)&gt;0,'Key inputs_EB_TRF'!W43/SUM('Key inputs_EB_TRF'!W$40:W$53)&lt;0.001),0.001,'Key inputs_EB_TRF'!W43/SUM('Key inputs_EB_TRF'!W$40:W$53)),"")</f>
        <v>0</v>
      </c>
      <c r="AE100" s="173">
        <f>IFERROR(IF(AND('Key inputs_EB_TRF'!X43/SUM('Key inputs_EB_TRF'!X$40:X$53)&gt;0,'Key inputs_EB_TRF'!X43/SUM('Key inputs_EB_TRF'!X$40:X$53)&lt;0.001),0.001,'Key inputs_EB_TRF'!X43/SUM('Key inputs_EB_TRF'!X$40:X$53)),"")</f>
        <v>0</v>
      </c>
      <c r="AF100" s="173">
        <f>IFERROR(IF(AND('Key inputs_EB_TRF'!Y43/SUM('Key inputs_EB_TRF'!Y$40:Y$53)&gt;0,'Key inputs_EB_TRF'!Y43/SUM('Key inputs_EB_TRF'!Y$40:Y$53)&lt;0.001),0.001,'Key inputs_EB_TRF'!Y43/SUM('Key inputs_EB_TRF'!Y$40:Y$53)),"")</f>
        <v>0</v>
      </c>
      <c r="AG100" s="173">
        <f>IFERROR(IF(AND('Key inputs_EB_TRF'!Z43/SUM('Key inputs_EB_TRF'!Z$40:Z$53)&gt;0,'Key inputs_EB_TRF'!Z43/SUM('Key inputs_EB_TRF'!Z$40:Z$53)&lt;0.001),0.001,'Key inputs_EB_TRF'!Z43/SUM('Key inputs_EB_TRF'!Z$40:Z$53)),"")</f>
        <v>0</v>
      </c>
      <c r="AH100" s="173">
        <f>IFERROR(IF(AND('Key inputs_EB_TRF'!AA43/SUM('Key inputs_EB_TRF'!AA$40:AA$53)&gt;0,'Key inputs_EB_TRF'!AA43/SUM('Key inputs_EB_TRF'!AA$40:AA$53)&lt;0.001),0.001,'Key inputs_EB_TRF'!AA43/SUM('Key inputs_EB_TRF'!AA$40:AA$53)),"")</f>
        <v>0</v>
      </c>
      <c r="AI100" s="173">
        <f>IFERROR(IF(AND('Key inputs_EB_TRF'!AB43/SUM('Key inputs_EB_TRF'!AB$40:AB$53)&gt;0,'Key inputs_EB_TRF'!AB43/SUM('Key inputs_EB_TRF'!AB$40:AB$53)&lt;0.001),0.001,'Key inputs_EB_TRF'!AB43/SUM('Key inputs_EB_TRF'!AB$40:AB$53)),"")</f>
        <v>0</v>
      </c>
      <c r="AJ100" s="173">
        <f>IFERROR(IF(AND('Key inputs_EB_TRF'!AC43/SUM('Key inputs_EB_TRF'!AC$40:AC$53)&gt;0,'Key inputs_EB_TRF'!AC43/SUM('Key inputs_EB_TRF'!AC$40:AC$53)&lt;0.001),0.001,'Key inputs_EB_TRF'!AC43/SUM('Key inputs_EB_TRF'!AC$40:AC$53)),"")</f>
        <v>1.2657911611135631E-3</v>
      </c>
      <c r="AK100" s="173">
        <f>IFERROR(IF(AND('Key inputs_EB_TRF'!AD43/SUM('Key inputs_EB_TRF'!AD$40:AD$53)&gt;0,'Key inputs_EB_TRF'!AD43/SUM('Key inputs_EB_TRF'!AD$40:AD$53)&lt;0.001),0.001,'Key inputs_EB_TRF'!AD43/SUM('Key inputs_EB_TRF'!AD$40:AD$53)),"")</f>
        <v>0</v>
      </c>
      <c r="AL100" s="173">
        <f>IFERROR(IF(AND('Key inputs_EB_TRF'!AE43/SUM('Key inputs_EB_TRF'!AE$40:AE$53)&gt;0,'Key inputs_EB_TRF'!AE43/SUM('Key inputs_EB_TRF'!AE$40:AE$53)&lt;0.001),0.001,'Key inputs_EB_TRF'!AE43/SUM('Key inputs_EB_TRF'!AE$40:AE$53)),"")</f>
        <v>1.8073072066027446E-2</v>
      </c>
    </row>
    <row r="101" spans="3:38">
      <c r="C101" s="4" t="str">
        <f>Commodities!$C$48</f>
        <v>OILDSL</v>
      </c>
      <c r="F101" s="4" t="s">
        <v>363</v>
      </c>
      <c r="G101" s="4" t="s">
        <v>702</v>
      </c>
      <c r="H101" t="s">
        <v>661</v>
      </c>
      <c r="I101">
        <v>2019</v>
      </c>
      <c r="J101" t="s">
        <v>650</v>
      </c>
      <c r="K101" s="173">
        <f>IFERROR(IF(AND('Key inputs_EB_TRF'!D44/SUM('Key inputs_EB_TRF'!D$40:D$53)&gt;0,'Key inputs_EB_TRF'!D44/SUM('Key inputs_EB_TRF'!D$40:D$53)&lt;0.001),0.001,'Key inputs_EB_TRF'!D44/SUM('Key inputs_EB_TRF'!D$40:D$53)),"")</f>
        <v>0</v>
      </c>
      <c r="L101" s="173">
        <f>IFERROR(IF(AND('Key inputs_EB_TRF'!E44/SUM('Key inputs_EB_TRF'!E$40:E$53)&gt;0,'Key inputs_EB_TRF'!E44/SUM('Key inputs_EB_TRF'!E$40:E$53)&lt;0.001),0.001,'Key inputs_EB_TRF'!E44/SUM('Key inputs_EB_TRF'!E$40:E$53)),"")</f>
        <v>0</v>
      </c>
      <c r="M101" s="173">
        <f>IFERROR(IF(AND('Key inputs_EB_TRF'!F44/SUM('Key inputs_EB_TRF'!F$40:F$53)&gt;0,'Key inputs_EB_TRF'!F44/SUM('Key inputs_EB_TRF'!F$40:F$53)&lt;0.001),0.001,'Key inputs_EB_TRF'!F44/SUM('Key inputs_EB_TRF'!F$40:F$53)),"")</f>
        <v>0</v>
      </c>
      <c r="N101" s="173">
        <f>IFERROR(IF(AND('Key inputs_EB_TRF'!G44/SUM('Key inputs_EB_TRF'!G$40:G$53)&gt;0,'Key inputs_EB_TRF'!G44/SUM('Key inputs_EB_TRF'!G$40:G$53)&lt;0.001),0.001,'Key inputs_EB_TRF'!G44/SUM('Key inputs_EB_TRF'!G$40:G$53)),"")</f>
        <v>0</v>
      </c>
      <c r="O101" s="173">
        <f>IFERROR(IF(AND('Key inputs_EB_TRF'!H44/SUM('Key inputs_EB_TRF'!H$40:H$53)&gt;0,'Key inputs_EB_TRF'!H44/SUM('Key inputs_EB_TRF'!H$40:H$53)&lt;0.001),0.001,'Key inputs_EB_TRF'!H44/SUM('Key inputs_EB_TRF'!H$40:H$53)),"")</f>
        <v>0</v>
      </c>
      <c r="P101" s="173">
        <f>IFERROR(IF(AND('Key inputs_EB_TRF'!I44/SUM('Key inputs_EB_TRF'!I$40:I$53)&gt;0,'Key inputs_EB_TRF'!I44/SUM('Key inputs_EB_TRF'!I$40:I$53)&lt;0.001),0.001,'Key inputs_EB_TRF'!I44/SUM('Key inputs_EB_TRF'!I$40:I$53)),"")</f>
        <v>0</v>
      </c>
      <c r="Q101" s="173">
        <f>IFERROR(IF(AND('Key inputs_EB_TRF'!J44/SUM('Key inputs_EB_TRF'!J$40:J$53)&gt;0,'Key inputs_EB_TRF'!J44/SUM('Key inputs_EB_TRF'!J$40:J$53)&lt;0.001),0.001,'Key inputs_EB_TRF'!J44/SUM('Key inputs_EB_TRF'!J$40:J$53)),"")</f>
        <v>0</v>
      </c>
      <c r="R101" s="173">
        <f>IFERROR(IF(AND('Key inputs_EB_TRF'!K44/SUM('Key inputs_EB_TRF'!K$40:K$53)&gt;0,'Key inputs_EB_TRF'!K44/SUM('Key inputs_EB_TRF'!K$40:K$53)&lt;0.001),0.001,'Key inputs_EB_TRF'!K44/SUM('Key inputs_EB_TRF'!K$40:K$53)),"")</f>
        <v>0</v>
      </c>
      <c r="S101" s="173">
        <f>IFERROR(IF(AND('Key inputs_EB_TRF'!L44/SUM('Key inputs_EB_TRF'!L$40:L$53)&gt;0,'Key inputs_EB_TRF'!L44/SUM('Key inputs_EB_TRF'!L$40:L$53)&lt;0.001),0.001,'Key inputs_EB_TRF'!L44/SUM('Key inputs_EB_TRF'!L$40:L$53)),"")</f>
        <v>0</v>
      </c>
      <c r="T101" s="173">
        <f>IFERROR(IF(AND('Key inputs_EB_TRF'!M44/SUM('Key inputs_EB_TRF'!M$40:M$53)&gt;0,'Key inputs_EB_TRF'!M44/SUM('Key inputs_EB_TRF'!M$40:M$53)&lt;0.001),0.001,'Key inputs_EB_TRF'!M44/SUM('Key inputs_EB_TRF'!M$40:M$53)),"")</f>
        <v>0</v>
      </c>
      <c r="U101" s="173">
        <f>IFERROR(IF(AND('Key inputs_EB_TRF'!N44/SUM('Key inputs_EB_TRF'!N$40:N$53)&gt;0,'Key inputs_EB_TRF'!N44/SUM('Key inputs_EB_TRF'!N$40:N$53)&lt;0.001),0.001,'Key inputs_EB_TRF'!N44/SUM('Key inputs_EB_TRF'!N$40:N$53)),"")</f>
        <v>0</v>
      </c>
      <c r="V101" s="173">
        <f>IFERROR(IF(AND('Key inputs_EB_TRF'!O44/SUM('Key inputs_EB_TRF'!O$40:O$53)&gt;0,'Key inputs_EB_TRF'!O44/SUM('Key inputs_EB_TRF'!O$40:O$53)&lt;0.001),0.001,'Key inputs_EB_TRF'!O44/SUM('Key inputs_EB_TRF'!O$40:O$53)),"")</f>
        <v>7.3712220942179036E-3</v>
      </c>
      <c r="W101" s="173">
        <f>IFERROR(IF(AND('Key inputs_EB_TRF'!P44/SUM('Key inputs_EB_TRF'!P$40:P$53)&gt;0,'Key inputs_EB_TRF'!P44/SUM('Key inputs_EB_TRF'!P$40:P$53)&lt;0.001),0.001,'Key inputs_EB_TRF'!P44/SUM('Key inputs_EB_TRF'!P$40:P$53)),"")</f>
        <v>0</v>
      </c>
      <c r="X101" s="173">
        <f>IFERROR(IF(AND('Key inputs_EB_TRF'!Q44/SUM('Key inputs_EB_TRF'!Q$40:Q$53)&gt;0,'Key inputs_EB_TRF'!Q44/SUM('Key inputs_EB_TRF'!Q$40:Q$53)&lt;0.001),0.001,'Key inputs_EB_TRF'!Q44/SUM('Key inputs_EB_TRF'!Q$40:Q$53)),"")</f>
        <v>0</v>
      </c>
      <c r="Y101" s="173">
        <f>IFERROR(IF(AND('Key inputs_EB_TRF'!R44/SUM('Key inputs_EB_TRF'!R$40:R$53)&gt;0,'Key inputs_EB_TRF'!R44/SUM('Key inputs_EB_TRF'!R$40:R$53)&lt;0.001),0.001,'Key inputs_EB_TRF'!R44/SUM('Key inputs_EB_TRF'!R$40:R$53)),"")</f>
        <v>0</v>
      </c>
      <c r="Z101" s="173">
        <f>IFERROR(IF(AND('Key inputs_EB_TRF'!S44/SUM('Key inputs_EB_TRF'!S$40:S$53)&gt;0,'Key inputs_EB_TRF'!S44/SUM('Key inputs_EB_TRF'!S$40:S$53)&lt;0.001),0.001,'Key inputs_EB_TRF'!S44/SUM('Key inputs_EB_TRF'!S$40:S$53)),"")</f>
        <v>0</v>
      </c>
      <c r="AA101" s="173">
        <f>IFERROR(IF(AND('Key inputs_EB_TRF'!T44/SUM('Key inputs_EB_TRF'!T$40:T$53)&gt;0,'Key inputs_EB_TRF'!T44/SUM('Key inputs_EB_TRF'!T$40:T$53)&lt;0.001),0.001,'Key inputs_EB_TRF'!T44/SUM('Key inputs_EB_TRF'!T$40:T$53)),"")</f>
        <v>0</v>
      </c>
      <c r="AB101" s="173">
        <f>IFERROR(IF(AND('Key inputs_EB_TRF'!U44/SUM('Key inputs_EB_TRF'!U$40:U$53)&gt;0,'Key inputs_EB_TRF'!U44/SUM('Key inputs_EB_TRF'!U$40:U$53)&lt;0.001),0.001,'Key inputs_EB_TRF'!U44/SUM('Key inputs_EB_TRF'!U$40:U$53)),"")</f>
        <v>0</v>
      </c>
      <c r="AC101" s="173">
        <f>IFERROR(IF(AND('Key inputs_EB_TRF'!V44/SUM('Key inputs_EB_TRF'!V$40:V$53)&gt;0,'Key inputs_EB_TRF'!V44/SUM('Key inputs_EB_TRF'!V$40:V$53)&lt;0.001),0.001,'Key inputs_EB_TRF'!V44/SUM('Key inputs_EB_TRF'!V$40:V$53)),"")</f>
        <v>0</v>
      </c>
      <c r="AD101" s="173">
        <f>IFERROR(IF(AND('Key inputs_EB_TRF'!W44/SUM('Key inputs_EB_TRF'!W$40:W$53)&gt;0,'Key inputs_EB_TRF'!W44/SUM('Key inputs_EB_TRF'!W$40:W$53)&lt;0.001),0.001,'Key inputs_EB_TRF'!W44/SUM('Key inputs_EB_TRF'!W$40:W$53)),"")</f>
        <v>0</v>
      </c>
      <c r="AE101" s="173">
        <f>IFERROR(IF(AND('Key inputs_EB_TRF'!X44/SUM('Key inputs_EB_TRF'!X$40:X$53)&gt;0,'Key inputs_EB_TRF'!X44/SUM('Key inputs_EB_TRF'!X$40:X$53)&lt;0.001),0.001,'Key inputs_EB_TRF'!X44/SUM('Key inputs_EB_TRF'!X$40:X$53)),"")</f>
        <v>0</v>
      </c>
      <c r="AF101" s="173">
        <f>IFERROR(IF(AND('Key inputs_EB_TRF'!Y44/SUM('Key inputs_EB_TRF'!Y$40:Y$53)&gt;0,'Key inputs_EB_TRF'!Y44/SUM('Key inputs_EB_TRF'!Y$40:Y$53)&lt;0.001),0.001,'Key inputs_EB_TRF'!Y44/SUM('Key inputs_EB_TRF'!Y$40:Y$53)),"")</f>
        <v>0</v>
      </c>
      <c r="AG101" s="173">
        <f>IFERROR(IF(AND('Key inputs_EB_TRF'!Z44/SUM('Key inputs_EB_TRF'!Z$40:Z$53)&gt;0,'Key inputs_EB_TRF'!Z44/SUM('Key inputs_EB_TRF'!Z$40:Z$53)&lt;0.001),0.001,'Key inputs_EB_TRF'!Z44/SUM('Key inputs_EB_TRF'!Z$40:Z$53)),"")</f>
        <v>0</v>
      </c>
      <c r="AH101" s="173">
        <f>IFERROR(IF(AND('Key inputs_EB_TRF'!AA44/SUM('Key inputs_EB_TRF'!AA$40:AA$53)&gt;0,'Key inputs_EB_TRF'!AA44/SUM('Key inputs_EB_TRF'!AA$40:AA$53)&lt;0.001),0.001,'Key inputs_EB_TRF'!AA44/SUM('Key inputs_EB_TRF'!AA$40:AA$53)),"")</f>
        <v>0</v>
      </c>
      <c r="AI101" s="173">
        <f>IFERROR(IF(AND('Key inputs_EB_TRF'!AB44/SUM('Key inputs_EB_TRF'!AB$40:AB$53)&gt;0,'Key inputs_EB_TRF'!AB44/SUM('Key inputs_EB_TRF'!AB$40:AB$53)&lt;0.001),0.001,'Key inputs_EB_TRF'!AB44/SUM('Key inputs_EB_TRF'!AB$40:AB$53)),"")</f>
        <v>0</v>
      </c>
      <c r="AJ101" s="173">
        <f>IFERROR(IF(AND('Key inputs_EB_TRF'!AC44/SUM('Key inputs_EB_TRF'!AC$40:AC$53)&gt;0,'Key inputs_EB_TRF'!AC44/SUM('Key inputs_EB_TRF'!AC$40:AC$53)&lt;0.001),0.001,'Key inputs_EB_TRF'!AC44/SUM('Key inputs_EB_TRF'!AC$40:AC$53)),"")</f>
        <v>0</v>
      </c>
      <c r="AK101" s="173">
        <f>IFERROR(IF(AND('Key inputs_EB_TRF'!AD44/SUM('Key inputs_EB_TRF'!AD$40:AD$53)&gt;0,'Key inputs_EB_TRF'!AD44/SUM('Key inputs_EB_TRF'!AD$40:AD$53)&lt;0.001),0.001,'Key inputs_EB_TRF'!AD44/SUM('Key inputs_EB_TRF'!AD$40:AD$53)),"")</f>
        <v>0</v>
      </c>
      <c r="AL101" s="173">
        <f>IFERROR(IF(AND('Key inputs_EB_TRF'!AE44/SUM('Key inputs_EB_TRF'!AE$40:AE$53)&gt;0,'Key inputs_EB_TRF'!AE44/SUM('Key inputs_EB_TRF'!AE$40:AE$53)&lt;0.001),0.001,'Key inputs_EB_TRF'!AE44/SUM('Key inputs_EB_TRF'!AE$40:AE$53)),"")</f>
        <v>0</v>
      </c>
    </row>
    <row r="102" spans="3:38">
      <c r="C102" s="4" t="str">
        <f>Commodities!$C$25</f>
        <v>GASNAT</v>
      </c>
      <c r="F102" s="4" t="s">
        <v>363</v>
      </c>
      <c r="G102" s="4" t="s">
        <v>702</v>
      </c>
      <c r="H102" t="s">
        <v>661</v>
      </c>
      <c r="I102">
        <v>2019</v>
      </c>
      <c r="J102" t="s">
        <v>650</v>
      </c>
      <c r="K102" s="173">
        <f>IFERROR(IF(AND('Key inputs_EB_TRF'!D45/SUM('Key inputs_EB_TRF'!D$40:D$53)&gt;0,'Key inputs_EB_TRF'!D45/SUM('Key inputs_EB_TRF'!D$40:D$53)&lt;0.001),0.001,'Key inputs_EB_TRF'!D45/SUM('Key inputs_EB_TRF'!D$40:D$53)),"")</f>
        <v>0</v>
      </c>
      <c r="L102" s="173">
        <f>IFERROR(IF(AND('Key inputs_EB_TRF'!E45/SUM('Key inputs_EB_TRF'!E$40:E$53)&gt;0,'Key inputs_EB_TRF'!E45/SUM('Key inputs_EB_TRF'!E$40:E$53)&lt;0.001),0.001,'Key inputs_EB_TRF'!E45/SUM('Key inputs_EB_TRF'!E$40:E$53)),"")</f>
        <v>0</v>
      </c>
      <c r="M102" s="173">
        <f>IFERROR(IF(AND('Key inputs_EB_TRF'!F45/SUM('Key inputs_EB_TRF'!F$40:F$53)&gt;0,'Key inputs_EB_TRF'!F45/SUM('Key inputs_EB_TRF'!F$40:F$53)&lt;0.001),0.001,'Key inputs_EB_TRF'!F45/SUM('Key inputs_EB_TRF'!F$40:F$53)),"")</f>
        <v>0</v>
      </c>
      <c r="N102" s="173">
        <f>IFERROR(IF(AND('Key inputs_EB_TRF'!G45/SUM('Key inputs_EB_TRF'!G$40:G$53)&gt;0,'Key inputs_EB_TRF'!G45/SUM('Key inputs_EB_TRF'!G$40:G$53)&lt;0.001),0.001,'Key inputs_EB_TRF'!G45/SUM('Key inputs_EB_TRF'!G$40:G$53)),"")</f>
        <v>0</v>
      </c>
      <c r="O102" s="173">
        <f>IFERROR(IF(AND('Key inputs_EB_TRF'!H45/SUM('Key inputs_EB_TRF'!H$40:H$53)&gt;0,'Key inputs_EB_TRF'!H45/SUM('Key inputs_EB_TRF'!H$40:H$53)&lt;0.001),0.001,'Key inputs_EB_TRF'!H45/SUM('Key inputs_EB_TRF'!H$40:H$53)),"")</f>
        <v>1E-3</v>
      </c>
      <c r="P102" s="173">
        <f>IFERROR(IF(AND('Key inputs_EB_TRF'!I45/SUM('Key inputs_EB_TRF'!I$40:I$53)&gt;0,'Key inputs_EB_TRF'!I45/SUM('Key inputs_EB_TRF'!I$40:I$53)&lt;0.001),0.001,'Key inputs_EB_TRF'!I45/SUM('Key inputs_EB_TRF'!I$40:I$53)),"")</f>
        <v>0</v>
      </c>
      <c r="Q102" s="173">
        <f>IFERROR(IF(AND('Key inputs_EB_TRF'!J45/SUM('Key inputs_EB_TRF'!J$40:J$53)&gt;0,'Key inputs_EB_TRF'!J45/SUM('Key inputs_EB_TRF'!J$40:J$53)&lt;0.001),0.001,'Key inputs_EB_TRF'!J45/SUM('Key inputs_EB_TRF'!J$40:J$53)),"")</f>
        <v>0</v>
      </c>
      <c r="R102" s="173">
        <f>IFERROR(IF(AND('Key inputs_EB_TRF'!K45/SUM('Key inputs_EB_TRF'!K$40:K$53)&gt;0,'Key inputs_EB_TRF'!K45/SUM('Key inputs_EB_TRF'!K$40:K$53)&lt;0.001),0.001,'Key inputs_EB_TRF'!K45/SUM('Key inputs_EB_TRF'!K$40:K$53)),"")</f>
        <v>0</v>
      </c>
      <c r="S102" s="173">
        <f>IFERROR(IF(AND('Key inputs_EB_TRF'!L45/SUM('Key inputs_EB_TRF'!L$40:L$53)&gt;0,'Key inputs_EB_TRF'!L45/SUM('Key inputs_EB_TRF'!L$40:L$53)&lt;0.001),0.001,'Key inputs_EB_TRF'!L45/SUM('Key inputs_EB_TRF'!L$40:L$53)),"")</f>
        <v>0</v>
      </c>
      <c r="T102" s="173">
        <f>IFERROR(IF(AND('Key inputs_EB_TRF'!M45/SUM('Key inputs_EB_TRF'!M$40:M$53)&gt;0,'Key inputs_EB_TRF'!M45/SUM('Key inputs_EB_TRF'!M$40:M$53)&lt;0.001),0.001,'Key inputs_EB_TRF'!M45/SUM('Key inputs_EB_TRF'!M$40:M$53)),"")</f>
        <v>1</v>
      </c>
      <c r="U102" s="173">
        <f>IFERROR(IF(AND('Key inputs_EB_TRF'!N45/SUM('Key inputs_EB_TRF'!N$40:N$53)&gt;0,'Key inputs_EB_TRF'!N45/SUM('Key inputs_EB_TRF'!N$40:N$53)&lt;0.001),0.001,'Key inputs_EB_TRF'!N45/SUM('Key inputs_EB_TRF'!N$40:N$53)),"")</f>
        <v>0</v>
      </c>
      <c r="V102" s="173">
        <f>IFERROR(IF(AND('Key inputs_EB_TRF'!O45/SUM('Key inputs_EB_TRF'!O$40:O$53)&gt;0,'Key inputs_EB_TRF'!O45/SUM('Key inputs_EB_TRF'!O$40:O$53)&lt;0.001),0.001,'Key inputs_EB_TRF'!O45/SUM('Key inputs_EB_TRF'!O$40:O$53)),"")</f>
        <v>3.136274933457354E-3</v>
      </c>
      <c r="W102" s="173">
        <f>IFERROR(IF(AND('Key inputs_EB_TRF'!P45/SUM('Key inputs_EB_TRF'!P$40:P$53)&gt;0,'Key inputs_EB_TRF'!P45/SUM('Key inputs_EB_TRF'!P$40:P$53)&lt;0.001),0.001,'Key inputs_EB_TRF'!P45/SUM('Key inputs_EB_TRF'!P$40:P$53)),"")</f>
        <v>8.3793276467636735E-2</v>
      </c>
      <c r="X102" s="173">
        <f>IFERROR(IF(AND('Key inputs_EB_TRF'!Q45/SUM('Key inputs_EB_TRF'!Q$40:Q$53)&gt;0,'Key inputs_EB_TRF'!Q45/SUM('Key inputs_EB_TRF'!Q$40:Q$53)&lt;0.001),0.001,'Key inputs_EB_TRF'!Q45/SUM('Key inputs_EB_TRF'!Q$40:Q$53)),"")</f>
        <v>0</v>
      </c>
      <c r="Y102" s="173">
        <f>IFERROR(IF(AND('Key inputs_EB_TRF'!R45/SUM('Key inputs_EB_TRF'!R$40:R$53)&gt;0,'Key inputs_EB_TRF'!R45/SUM('Key inputs_EB_TRF'!R$40:R$53)&lt;0.001),0.001,'Key inputs_EB_TRF'!R45/SUM('Key inputs_EB_TRF'!R$40:R$53)),"")</f>
        <v>0.49757131093696511</v>
      </c>
      <c r="Z102" s="173">
        <f>IFERROR(IF(AND('Key inputs_EB_TRF'!S45/SUM('Key inputs_EB_TRF'!S$40:S$53)&gt;0,'Key inputs_EB_TRF'!S45/SUM('Key inputs_EB_TRF'!S$40:S$53)&lt;0.001),0.001,'Key inputs_EB_TRF'!S45/SUM('Key inputs_EB_TRF'!S$40:S$53)),"")</f>
        <v>0.27278086575711641</v>
      </c>
      <c r="AA102" s="173">
        <f>IFERROR(IF(AND('Key inputs_EB_TRF'!T45/SUM('Key inputs_EB_TRF'!T$40:T$53)&gt;0,'Key inputs_EB_TRF'!T45/SUM('Key inputs_EB_TRF'!T$40:T$53)&lt;0.001),0.001,'Key inputs_EB_TRF'!T45/SUM('Key inputs_EB_TRF'!T$40:T$53)),"")</f>
        <v>1.0662853128606553E-3</v>
      </c>
      <c r="AB102" s="173">
        <f>IFERROR(IF(AND('Key inputs_EB_TRF'!U45/SUM('Key inputs_EB_TRF'!U$40:U$53)&gt;0,'Key inputs_EB_TRF'!U45/SUM('Key inputs_EB_TRF'!U$40:U$53)&lt;0.001),0.001,'Key inputs_EB_TRF'!U45/SUM('Key inputs_EB_TRF'!U$40:U$53)),"")</f>
        <v>0.17316154226940211</v>
      </c>
      <c r="AC102" s="173">
        <f>IFERROR(IF(AND('Key inputs_EB_TRF'!V45/SUM('Key inputs_EB_TRF'!V$40:V$53)&gt;0,'Key inputs_EB_TRF'!V45/SUM('Key inputs_EB_TRF'!V$40:V$53)&lt;0.001),0.001,'Key inputs_EB_TRF'!V45/SUM('Key inputs_EB_TRF'!V$40:V$53)),"")</f>
        <v>0</v>
      </c>
      <c r="AD102" s="173">
        <f>IFERROR(IF(AND('Key inputs_EB_TRF'!W45/SUM('Key inputs_EB_TRF'!W$40:W$53)&gt;0,'Key inputs_EB_TRF'!W45/SUM('Key inputs_EB_TRF'!W$40:W$53)&lt;0.001),0.001,'Key inputs_EB_TRF'!W45/SUM('Key inputs_EB_TRF'!W$40:W$53)),"")</f>
        <v>0</v>
      </c>
      <c r="AE102" s="173">
        <f>IFERROR(IF(AND('Key inputs_EB_TRF'!X45/SUM('Key inputs_EB_TRF'!X$40:X$53)&gt;0,'Key inputs_EB_TRF'!X45/SUM('Key inputs_EB_TRF'!X$40:X$53)&lt;0.001),0.001,'Key inputs_EB_TRF'!X45/SUM('Key inputs_EB_TRF'!X$40:X$53)),"")</f>
        <v>9.9656056166361959E-3</v>
      </c>
      <c r="AF102" s="173">
        <f>IFERROR(IF(AND('Key inputs_EB_TRF'!Y45/SUM('Key inputs_EB_TRF'!Y$40:Y$53)&gt;0,'Key inputs_EB_TRF'!Y45/SUM('Key inputs_EB_TRF'!Y$40:Y$53)&lt;0.001),0.001,'Key inputs_EB_TRF'!Y45/SUM('Key inputs_EB_TRF'!Y$40:Y$53)),"")</f>
        <v>0.87251165763249461</v>
      </c>
      <c r="AG102" s="173">
        <f>IFERROR(IF(AND('Key inputs_EB_TRF'!Z45/SUM('Key inputs_EB_TRF'!Z$40:Z$53)&gt;0,'Key inputs_EB_TRF'!Z45/SUM('Key inputs_EB_TRF'!Z$40:Z$53)&lt;0.001),0.001,'Key inputs_EB_TRF'!Z45/SUM('Key inputs_EB_TRF'!Z$40:Z$53)),"")</f>
        <v>0</v>
      </c>
      <c r="AH102" s="173">
        <f>IFERROR(IF(AND('Key inputs_EB_TRF'!AA45/SUM('Key inputs_EB_TRF'!AA$40:AA$53)&gt;0,'Key inputs_EB_TRF'!AA45/SUM('Key inputs_EB_TRF'!AA$40:AA$53)&lt;0.001),0.001,'Key inputs_EB_TRF'!AA45/SUM('Key inputs_EB_TRF'!AA$40:AA$53)),"")</f>
        <v>0</v>
      </c>
      <c r="AI102" s="173">
        <f>IFERROR(IF(AND('Key inputs_EB_TRF'!AB45/SUM('Key inputs_EB_TRF'!AB$40:AB$53)&gt;0,'Key inputs_EB_TRF'!AB45/SUM('Key inputs_EB_TRF'!AB$40:AB$53)&lt;0.001),0.001,'Key inputs_EB_TRF'!AB45/SUM('Key inputs_EB_TRF'!AB$40:AB$53)),"")</f>
        <v>0</v>
      </c>
      <c r="AJ102" s="173">
        <f>IFERROR(IF(AND('Key inputs_EB_TRF'!AC45/SUM('Key inputs_EB_TRF'!AC$40:AC$53)&gt;0,'Key inputs_EB_TRF'!AC45/SUM('Key inputs_EB_TRF'!AC$40:AC$53)&lt;0.001),0.001,'Key inputs_EB_TRF'!AC45/SUM('Key inputs_EB_TRF'!AC$40:AC$53)),"")</f>
        <v>0.99236986084624801</v>
      </c>
      <c r="AK102" s="173">
        <f>IFERROR(IF(AND('Key inputs_EB_TRF'!AD45/SUM('Key inputs_EB_TRF'!AD$40:AD$53)&gt;0,'Key inputs_EB_TRF'!AD45/SUM('Key inputs_EB_TRF'!AD$40:AD$53)&lt;0.001),0.001,'Key inputs_EB_TRF'!AD45/SUM('Key inputs_EB_TRF'!AD$40:AD$53)),"")</f>
        <v>0</v>
      </c>
      <c r="AL102" s="173">
        <f>IFERROR(IF(AND('Key inputs_EB_TRF'!AE45/SUM('Key inputs_EB_TRF'!AE$40:AE$53)&gt;0,'Key inputs_EB_TRF'!AE45/SUM('Key inputs_EB_TRF'!AE$40:AE$53)&lt;0.001),0.001,'Key inputs_EB_TRF'!AE45/SUM('Key inputs_EB_TRF'!AE$40:AE$53)),"")</f>
        <v>3.0509392172628391E-2</v>
      </c>
    </row>
    <row r="103" spans="3:38">
      <c r="C103" s="4" t="str">
        <f>Commodities!$C$49</f>
        <v>OILGSL</v>
      </c>
      <c r="F103" s="4" t="s">
        <v>363</v>
      </c>
      <c r="G103" s="4" t="s">
        <v>702</v>
      </c>
      <c r="H103" t="s">
        <v>661</v>
      </c>
      <c r="I103">
        <v>2019</v>
      </c>
      <c r="J103" t="s">
        <v>650</v>
      </c>
      <c r="K103" s="173">
        <f>IFERROR(IF(AND('Key inputs_EB_TRF'!D46/SUM('Key inputs_EB_TRF'!D$40:D$53)&gt;0,'Key inputs_EB_TRF'!D46/SUM('Key inputs_EB_TRF'!D$40:D$53)&lt;0.001),0.001,'Key inputs_EB_TRF'!D46/SUM('Key inputs_EB_TRF'!D$40:D$53)),"")</f>
        <v>0</v>
      </c>
      <c r="L103" s="173">
        <f>IFERROR(IF(AND('Key inputs_EB_TRF'!E46/SUM('Key inputs_EB_TRF'!E$40:E$53)&gt;0,'Key inputs_EB_TRF'!E46/SUM('Key inputs_EB_TRF'!E$40:E$53)&lt;0.001),0.001,'Key inputs_EB_TRF'!E46/SUM('Key inputs_EB_TRF'!E$40:E$53)),"")</f>
        <v>0</v>
      </c>
      <c r="M103" s="173">
        <f>IFERROR(IF(AND('Key inputs_EB_TRF'!F46/SUM('Key inputs_EB_TRF'!F$40:F$53)&gt;0,'Key inputs_EB_TRF'!F46/SUM('Key inputs_EB_TRF'!F$40:F$53)&lt;0.001),0.001,'Key inputs_EB_TRF'!F46/SUM('Key inputs_EB_TRF'!F$40:F$53)),"")</f>
        <v>0</v>
      </c>
      <c r="N103" s="173">
        <f>IFERROR(IF(AND('Key inputs_EB_TRF'!G46/SUM('Key inputs_EB_TRF'!G$40:G$53)&gt;0,'Key inputs_EB_TRF'!G46/SUM('Key inputs_EB_TRF'!G$40:G$53)&lt;0.001),0.001,'Key inputs_EB_TRF'!G46/SUM('Key inputs_EB_TRF'!G$40:G$53)),"")</f>
        <v>0</v>
      </c>
      <c r="O103" s="173">
        <f>IFERROR(IF(AND('Key inputs_EB_TRF'!H46/SUM('Key inputs_EB_TRF'!H$40:H$53)&gt;0,'Key inputs_EB_TRF'!H46/SUM('Key inputs_EB_TRF'!H$40:H$53)&lt;0.001),0.001,'Key inputs_EB_TRF'!H46/SUM('Key inputs_EB_TRF'!H$40:H$53)),"")</f>
        <v>0</v>
      </c>
      <c r="P103" s="173">
        <f>IFERROR(IF(AND('Key inputs_EB_TRF'!I46/SUM('Key inputs_EB_TRF'!I$40:I$53)&gt;0,'Key inputs_EB_TRF'!I46/SUM('Key inputs_EB_TRF'!I$40:I$53)&lt;0.001),0.001,'Key inputs_EB_TRF'!I46/SUM('Key inputs_EB_TRF'!I$40:I$53)),"")</f>
        <v>0</v>
      </c>
      <c r="Q103" s="173">
        <f>IFERROR(IF(AND('Key inputs_EB_TRF'!J46/SUM('Key inputs_EB_TRF'!J$40:J$53)&gt;0,'Key inputs_EB_TRF'!J46/SUM('Key inputs_EB_TRF'!J$40:J$53)&lt;0.001),0.001,'Key inputs_EB_TRF'!J46/SUM('Key inputs_EB_TRF'!J$40:J$53)),"")</f>
        <v>0</v>
      </c>
      <c r="R103" s="173">
        <f>IFERROR(IF(AND('Key inputs_EB_TRF'!K46/SUM('Key inputs_EB_TRF'!K$40:K$53)&gt;0,'Key inputs_EB_TRF'!K46/SUM('Key inputs_EB_TRF'!K$40:K$53)&lt;0.001),0.001,'Key inputs_EB_TRF'!K46/SUM('Key inputs_EB_TRF'!K$40:K$53)),"")</f>
        <v>0</v>
      </c>
      <c r="S103" s="173">
        <f>IFERROR(IF(AND('Key inputs_EB_TRF'!L46/SUM('Key inputs_EB_TRF'!L$40:L$53)&gt;0,'Key inputs_EB_TRF'!L46/SUM('Key inputs_EB_TRF'!L$40:L$53)&lt;0.001),0.001,'Key inputs_EB_TRF'!L46/SUM('Key inputs_EB_TRF'!L$40:L$53)),"")</f>
        <v>0</v>
      </c>
      <c r="T103" s="173">
        <f>IFERROR(IF(AND('Key inputs_EB_TRF'!M46/SUM('Key inputs_EB_TRF'!M$40:M$53)&gt;0,'Key inputs_EB_TRF'!M46/SUM('Key inputs_EB_TRF'!M$40:M$53)&lt;0.001),0.001,'Key inputs_EB_TRF'!M46/SUM('Key inputs_EB_TRF'!M$40:M$53)),"")</f>
        <v>0</v>
      </c>
      <c r="U103" s="173">
        <f>IFERROR(IF(AND('Key inputs_EB_TRF'!N46/SUM('Key inputs_EB_TRF'!N$40:N$53)&gt;0,'Key inputs_EB_TRF'!N46/SUM('Key inputs_EB_TRF'!N$40:N$53)&lt;0.001),0.001,'Key inputs_EB_TRF'!N46/SUM('Key inputs_EB_TRF'!N$40:N$53)),"")</f>
        <v>0</v>
      </c>
      <c r="V103" s="173">
        <f>IFERROR(IF(AND('Key inputs_EB_TRF'!O46/SUM('Key inputs_EB_TRF'!O$40:O$53)&gt;0,'Key inputs_EB_TRF'!O46/SUM('Key inputs_EB_TRF'!O$40:O$53)&lt;0.001),0.001,'Key inputs_EB_TRF'!O46/SUM('Key inputs_EB_TRF'!O$40:O$53)),"")</f>
        <v>1E-3</v>
      </c>
      <c r="W103" s="173">
        <f>IFERROR(IF(AND('Key inputs_EB_TRF'!P46/SUM('Key inputs_EB_TRF'!P$40:P$53)&gt;0,'Key inputs_EB_TRF'!P46/SUM('Key inputs_EB_TRF'!P$40:P$53)&lt;0.001),0.001,'Key inputs_EB_TRF'!P46/SUM('Key inputs_EB_TRF'!P$40:P$53)),"")</f>
        <v>0</v>
      </c>
      <c r="X103" s="173">
        <f>IFERROR(IF(AND('Key inputs_EB_TRF'!Q46/SUM('Key inputs_EB_TRF'!Q$40:Q$53)&gt;0,'Key inputs_EB_TRF'!Q46/SUM('Key inputs_EB_TRF'!Q$40:Q$53)&lt;0.001),0.001,'Key inputs_EB_TRF'!Q46/SUM('Key inputs_EB_TRF'!Q$40:Q$53)),"")</f>
        <v>0</v>
      </c>
      <c r="Y103" s="173">
        <f>IFERROR(IF(AND('Key inputs_EB_TRF'!R46/SUM('Key inputs_EB_TRF'!R$40:R$53)&gt;0,'Key inputs_EB_TRF'!R46/SUM('Key inputs_EB_TRF'!R$40:R$53)&lt;0.001),0.001,'Key inputs_EB_TRF'!R46/SUM('Key inputs_EB_TRF'!R$40:R$53)),"")</f>
        <v>0</v>
      </c>
      <c r="Z103" s="173">
        <f>IFERROR(IF(AND('Key inputs_EB_TRF'!S46/SUM('Key inputs_EB_TRF'!S$40:S$53)&gt;0,'Key inputs_EB_TRF'!S46/SUM('Key inputs_EB_TRF'!S$40:S$53)&lt;0.001),0.001,'Key inputs_EB_TRF'!S46/SUM('Key inputs_EB_TRF'!S$40:S$53)),"")</f>
        <v>0</v>
      </c>
      <c r="AA103" s="173">
        <f>IFERROR(IF(AND('Key inputs_EB_TRF'!T46/SUM('Key inputs_EB_TRF'!T$40:T$53)&gt;0,'Key inputs_EB_TRF'!T46/SUM('Key inputs_EB_TRF'!T$40:T$53)&lt;0.001),0.001,'Key inputs_EB_TRF'!T46/SUM('Key inputs_EB_TRF'!T$40:T$53)),"")</f>
        <v>0</v>
      </c>
      <c r="AB103" s="173">
        <f>IFERROR(IF(AND('Key inputs_EB_TRF'!U46/SUM('Key inputs_EB_TRF'!U$40:U$53)&gt;0,'Key inputs_EB_TRF'!U46/SUM('Key inputs_EB_TRF'!U$40:U$53)&lt;0.001),0.001,'Key inputs_EB_TRF'!U46/SUM('Key inputs_EB_TRF'!U$40:U$53)),"")</f>
        <v>0</v>
      </c>
      <c r="AC103" s="173">
        <f>IFERROR(IF(AND('Key inputs_EB_TRF'!V46/SUM('Key inputs_EB_TRF'!V$40:V$53)&gt;0,'Key inputs_EB_TRF'!V46/SUM('Key inputs_EB_TRF'!V$40:V$53)&lt;0.001),0.001,'Key inputs_EB_TRF'!V46/SUM('Key inputs_EB_TRF'!V$40:V$53)),"")</f>
        <v>0</v>
      </c>
      <c r="AD103" s="173">
        <f>IFERROR(IF(AND('Key inputs_EB_TRF'!W46/SUM('Key inputs_EB_TRF'!W$40:W$53)&gt;0,'Key inputs_EB_TRF'!W46/SUM('Key inputs_EB_TRF'!W$40:W$53)&lt;0.001),0.001,'Key inputs_EB_TRF'!W46/SUM('Key inputs_EB_TRF'!W$40:W$53)),"")</f>
        <v>0</v>
      </c>
      <c r="AE103" s="173">
        <f>IFERROR(IF(AND('Key inputs_EB_TRF'!X46/SUM('Key inputs_EB_TRF'!X$40:X$53)&gt;0,'Key inputs_EB_TRF'!X46/SUM('Key inputs_EB_TRF'!X$40:X$53)&lt;0.001),0.001,'Key inputs_EB_TRF'!X46/SUM('Key inputs_EB_TRF'!X$40:X$53)),"")</f>
        <v>0</v>
      </c>
      <c r="AF103" s="173">
        <f>IFERROR(IF(AND('Key inputs_EB_TRF'!Y46/SUM('Key inputs_EB_TRF'!Y$40:Y$53)&gt;0,'Key inputs_EB_TRF'!Y46/SUM('Key inputs_EB_TRF'!Y$40:Y$53)&lt;0.001),0.001,'Key inputs_EB_TRF'!Y46/SUM('Key inputs_EB_TRF'!Y$40:Y$53)),"")</f>
        <v>0</v>
      </c>
      <c r="AG103" s="173">
        <f>IFERROR(IF(AND('Key inputs_EB_TRF'!Z46/SUM('Key inputs_EB_TRF'!Z$40:Z$53)&gt;0,'Key inputs_EB_TRF'!Z46/SUM('Key inputs_EB_TRF'!Z$40:Z$53)&lt;0.001),0.001,'Key inputs_EB_TRF'!Z46/SUM('Key inputs_EB_TRF'!Z$40:Z$53)),"")</f>
        <v>0</v>
      </c>
      <c r="AH103" s="173">
        <f>IFERROR(IF(AND('Key inputs_EB_TRF'!AA46/SUM('Key inputs_EB_TRF'!AA$40:AA$53)&gt;0,'Key inputs_EB_TRF'!AA46/SUM('Key inputs_EB_TRF'!AA$40:AA$53)&lt;0.001),0.001,'Key inputs_EB_TRF'!AA46/SUM('Key inputs_EB_TRF'!AA$40:AA$53)),"")</f>
        <v>0</v>
      </c>
      <c r="AI103" s="173">
        <f>IFERROR(IF(AND('Key inputs_EB_TRF'!AB46/SUM('Key inputs_EB_TRF'!AB$40:AB$53)&gt;0,'Key inputs_EB_TRF'!AB46/SUM('Key inputs_EB_TRF'!AB$40:AB$53)&lt;0.001),0.001,'Key inputs_EB_TRF'!AB46/SUM('Key inputs_EB_TRF'!AB$40:AB$53)),"")</f>
        <v>0</v>
      </c>
      <c r="AJ103" s="173">
        <f>IFERROR(IF(AND('Key inputs_EB_TRF'!AC46/SUM('Key inputs_EB_TRF'!AC$40:AC$53)&gt;0,'Key inputs_EB_TRF'!AC46/SUM('Key inputs_EB_TRF'!AC$40:AC$53)&lt;0.001),0.001,'Key inputs_EB_TRF'!AC46/SUM('Key inputs_EB_TRF'!AC$40:AC$53)),"")</f>
        <v>0</v>
      </c>
      <c r="AK103" s="173">
        <f>IFERROR(IF(AND('Key inputs_EB_TRF'!AD46/SUM('Key inputs_EB_TRF'!AD$40:AD$53)&gt;0,'Key inputs_EB_TRF'!AD46/SUM('Key inputs_EB_TRF'!AD$40:AD$53)&lt;0.001),0.001,'Key inputs_EB_TRF'!AD46/SUM('Key inputs_EB_TRF'!AD$40:AD$53)),"")</f>
        <v>0</v>
      </c>
      <c r="AL103" s="173">
        <f>IFERROR(IF(AND('Key inputs_EB_TRF'!AE46/SUM('Key inputs_EB_TRF'!AE$40:AE$53)&gt;0,'Key inputs_EB_TRF'!AE46/SUM('Key inputs_EB_TRF'!AE$40:AE$53)&lt;0.001),0.001,'Key inputs_EB_TRF'!AE46/SUM('Key inputs_EB_TRF'!AE$40:AE$53)),"")</f>
        <v>0</v>
      </c>
    </row>
    <row r="104" spans="3:38">
      <c r="C104" s="4" t="str">
        <f>Commodities!$C$50</f>
        <v>OILHFO</v>
      </c>
      <c r="F104" s="4" t="s">
        <v>363</v>
      </c>
      <c r="G104" s="4" t="s">
        <v>702</v>
      </c>
      <c r="H104" t="s">
        <v>661</v>
      </c>
      <c r="I104">
        <v>2019</v>
      </c>
      <c r="J104" t="s">
        <v>650</v>
      </c>
      <c r="K104" s="173">
        <f>IFERROR(IF(AND('Key inputs_EB_TRF'!D47/SUM('Key inputs_EB_TRF'!D$40:D$53)&gt;0,'Key inputs_EB_TRF'!D47/SUM('Key inputs_EB_TRF'!D$40:D$53)&lt;0.001),0.001,'Key inputs_EB_TRF'!D47/SUM('Key inputs_EB_TRF'!D$40:D$53)),"")</f>
        <v>0</v>
      </c>
      <c r="L104" s="173">
        <f>IFERROR(IF(AND('Key inputs_EB_TRF'!E47/SUM('Key inputs_EB_TRF'!E$40:E$53)&gt;0,'Key inputs_EB_TRF'!E47/SUM('Key inputs_EB_TRF'!E$40:E$53)&lt;0.001),0.001,'Key inputs_EB_TRF'!E47/SUM('Key inputs_EB_TRF'!E$40:E$53)),"")</f>
        <v>0</v>
      </c>
      <c r="M104" s="173">
        <f>IFERROR(IF(AND('Key inputs_EB_TRF'!F47/SUM('Key inputs_EB_TRF'!F$40:F$53)&gt;0,'Key inputs_EB_TRF'!F47/SUM('Key inputs_EB_TRF'!F$40:F$53)&lt;0.001),0.001,'Key inputs_EB_TRF'!F47/SUM('Key inputs_EB_TRF'!F$40:F$53)),"")</f>
        <v>0</v>
      </c>
      <c r="N104" s="173">
        <f>IFERROR(IF(AND('Key inputs_EB_TRF'!G47/SUM('Key inputs_EB_TRF'!G$40:G$53)&gt;0,'Key inputs_EB_TRF'!G47/SUM('Key inputs_EB_TRF'!G$40:G$53)&lt;0.001),0.001,'Key inputs_EB_TRF'!G47/SUM('Key inputs_EB_TRF'!G$40:G$53)),"")</f>
        <v>0</v>
      </c>
      <c r="O104" s="173">
        <f>IFERROR(IF(AND('Key inputs_EB_TRF'!H47/SUM('Key inputs_EB_TRF'!H$40:H$53)&gt;0,'Key inputs_EB_TRF'!H47/SUM('Key inputs_EB_TRF'!H$40:H$53)&lt;0.001),0.001,'Key inputs_EB_TRF'!H47/SUM('Key inputs_EB_TRF'!H$40:H$53)),"")</f>
        <v>0</v>
      </c>
      <c r="P104" s="173">
        <f>IFERROR(IF(AND('Key inputs_EB_TRF'!I47/SUM('Key inputs_EB_TRF'!I$40:I$53)&gt;0,'Key inputs_EB_TRF'!I47/SUM('Key inputs_EB_TRF'!I$40:I$53)&lt;0.001),0.001,'Key inputs_EB_TRF'!I47/SUM('Key inputs_EB_TRF'!I$40:I$53)),"")</f>
        <v>0</v>
      </c>
      <c r="Q104" s="173">
        <f>IFERROR(IF(AND('Key inputs_EB_TRF'!J47/SUM('Key inputs_EB_TRF'!J$40:J$53)&gt;0,'Key inputs_EB_TRF'!J47/SUM('Key inputs_EB_TRF'!J$40:J$53)&lt;0.001),0.001,'Key inputs_EB_TRF'!J47/SUM('Key inputs_EB_TRF'!J$40:J$53)),"")</f>
        <v>0</v>
      </c>
      <c r="R104" s="173">
        <f>IFERROR(IF(AND('Key inputs_EB_TRF'!K47/SUM('Key inputs_EB_TRF'!K$40:K$53)&gt;0,'Key inputs_EB_TRF'!K47/SUM('Key inputs_EB_TRF'!K$40:K$53)&lt;0.001),0.001,'Key inputs_EB_TRF'!K47/SUM('Key inputs_EB_TRF'!K$40:K$53)),"")</f>
        <v>0</v>
      </c>
      <c r="S104" s="173">
        <f>IFERROR(IF(AND('Key inputs_EB_TRF'!L47/SUM('Key inputs_EB_TRF'!L$40:L$53)&gt;0,'Key inputs_EB_TRF'!L47/SUM('Key inputs_EB_TRF'!L$40:L$53)&lt;0.001),0.001,'Key inputs_EB_TRF'!L47/SUM('Key inputs_EB_TRF'!L$40:L$53)),"")</f>
        <v>0</v>
      </c>
      <c r="T104" s="173">
        <f>IFERROR(IF(AND('Key inputs_EB_TRF'!M47/SUM('Key inputs_EB_TRF'!M$40:M$53)&gt;0,'Key inputs_EB_TRF'!M47/SUM('Key inputs_EB_TRF'!M$40:M$53)&lt;0.001),0.001,'Key inputs_EB_TRF'!M47/SUM('Key inputs_EB_TRF'!M$40:M$53)),"")</f>
        <v>0</v>
      </c>
      <c r="U104" s="173">
        <f>IFERROR(IF(AND('Key inputs_EB_TRF'!N47/SUM('Key inputs_EB_TRF'!N$40:N$53)&gt;0,'Key inputs_EB_TRF'!N47/SUM('Key inputs_EB_TRF'!N$40:N$53)&lt;0.001),0.001,'Key inputs_EB_TRF'!N47/SUM('Key inputs_EB_TRF'!N$40:N$53)),"")</f>
        <v>0</v>
      </c>
      <c r="V104" s="173">
        <f>IFERROR(IF(AND('Key inputs_EB_TRF'!O47/SUM('Key inputs_EB_TRF'!O$40:O$53)&gt;0,'Key inputs_EB_TRF'!O47/SUM('Key inputs_EB_TRF'!O$40:O$53)&lt;0.001),0.001,'Key inputs_EB_TRF'!O47/SUM('Key inputs_EB_TRF'!O$40:O$53)),"")</f>
        <v>9.4728468576273012E-2</v>
      </c>
      <c r="W104" s="173">
        <f>IFERROR(IF(AND('Key inputs_EB_TRF'!P47/SUM('Key inputs_EB_TRF'!P$40:P$53)&gt;0,'Key inputs_EB_TRF'!P47/SUM('Key inputs_EB_TRF'!P$40:P$53)&lt;0.001),0.001,'Key inputs_EB_TRF'!P47/SUM('Key inputs_EB_TRF'!P$40:P$53)),"")</f>
        <v>0</v>
      </c>
      <c r="X104" s="173">
        <f>IFERROR(IF(AND('Key inputs_EB_TRF'!Q47/SUM('Key inputs_EB_TRF'!Q$40:Q$53)&gt;0,'Key inputs_EB_TRF'!Q47/SUM('Key inputs_EB_TRF'!Q$40:Q$53)&lt;0.001),0.001,'Key inputs_EB_TRF'!Q47/SUM('Key inputs_EB_TRF'!Q$40:Q$53)),"")</f>
        <v>0</v>
      </c>
      <c r="Y104" s="173">
        <f>IFERROR(IF(AND('Key inputs_EB_TRF'!R47/SUM('Key inputs_EB_TRF'!R$40:R$53)&gt;0,'Key inputs_EB_TRF'!R47/SUM('Key inputs_EB_TRF'!R$40:R$53)&lt;0.001),0.001,'Key inputs_EB_TRF'!R47/SUM('Key inputs_EB_TRF'!R$40:R$53)),"")</f>
        <v>0</v>
      </c>
      <c r="Z104" s="173">
        <f>IFERROR(IF(AND('Key inputs_EB_TRF'!S47/SUM('Key inputs_EB_TRF'!S$40:S$53)&gt;0,'Key inputs_EB_TRF'!S47/SUM('Key inputs_EB_TRF'!S$40:S$53)&lt;0.001),0.001,'Key inputs_EB_TRF'!S47/SUM('Key inputs_EB_TRF'!S$40:S$53)),"")</f>
        <v>0</v>
      </c>
      <c r="AA104" s="173">
        <f>IFERROR(IF(AND('Key inputs_EB_TRF'!T47/SUM('Key inputs_EB_TRF'!T$40:T$53)&gt;0,'Key inputs_EB_TRF'!T47/SUM('Key inputs_EB_TRF'!T$40:T$53)&lt;0.001),0.001,'Key inputs_EB_TRF'!T47/SUM('Key inputs_EB_TRF'!T$40:T$53)),"")</f>
        <v>0</v>
      </c>
      <c r="AB104" s="173">
        <f>IFERROR(IF(AND('Key inputs_EB_TRF'!U47/SUM('Key inputs_EB_TRF'!U$40:U$53)&gt;0,'Key inputs_EB_TRF'!U47/SUM('Key inputs_EB_TRF'!U$40:U$53)&lt;0.001),0.001,'Key inputs_EB_TRF'!U47/SUM('Key inputs_EB_TRF'!U$40:U$53)),"")</f>
        <v>0</v>
      </c>
      <c r="AC104" s="173">
        <f>IFERROR(IF(AND('Key inputs_EB_TRF'!V47/SUM('Key inputs_EB_TRF'!V$40:V$53)&gt;0,'Key inputs_EB_TRF'!V47/SUM('Key inputs_EB_TRF'!V$40:V$53)&lt;0.001),0.001,'Key inputs_EB_TRF'!V47/SUM('Key inputs_EB_TRF'!V$40:V$53)),"")</f>
        <v>0</v>
      </c>
      <c r="AD104" s="173">
        <f>IFERROR(IF(AND('Key inputs_EB_TRF'!W47/SUM('Key inputs_EB_TRF'!W$40:W$53)&gt;0,'Key inputs_EB_TRF'!W47/SUM('Key inputs_EB_TRF'!W$40:W$53)&lt;0.001),0.001,'Key inputs_EB_TRF'!W47/SUM('Key inputs_EB_TRF'!W$40:W$53)),"")</f>
        <v>0</v>
      </c>
      <c r="AE104" s="173">
        <f>IFERROR(IF(AND('Key inputs_EB_TRF'!X47/SUM('Key inputs_EB_TRF'!X$40:X$53)&gt;0,'Key inputs_EB_TRF'!X47/SUM('Key inputs_EB_TRF'!X$40:X$53)&lt;0.001),0.001,'Key inputs_EB_TRF'!X47/SUM('Key inputs_EB_TRF'!X$40:X$53)),"")</f>
        <v>0</v>
      </c>
      <c r="AF104" s="173">
        <f>IFERROR(IF(AND('Key inputs_EB_TRF'!Y47/SUM('Key inputs_EB_TRF'!Y$40:Y$53)&gt;0,'Key inputs_EB_TRF'!Y47/SUM('Key inputs_EB_TRF'!Y$40:Y$53)&lt;0.001),0.001,'Key inputs_EB_TRF'!Y47/SUM('Key inputs_EB_TRF'!Y$40:Y$53)),"")</f>
        <v>0</v>
      </c>
      <c r="AG104" s="173">
        <f>IFERROR(IF(AND('Key inputs_EB_TRF'!Z47/SUM('Key inputs_EB_TRF'!Z$40:Z$53)&gt;0,'Key inputs_EB_TRF'!Z47/SUM('Key inputs_EB_TRF'!Z$40:Z$53)&lt;0.001),0.001,'Key inputs_EB_TRF'!Z47/SUM('Key inputs_EB_TRF'!Z$40:Z$53)),"")</f>
        <v>0</v>
      </c>
      <c r="AH104" s="173">
        <f>IFERROR(IF(AND('Key inputs_EB_TRF'!AA47/SUM('Key inputs_EB_TRF'!AA$40:AA$53)&gt;0,'Key inputs_EB_TRF'!AA47/SUM('Key inputs_EB_TRF'!AA$40:AA$53)&lt;0.001),0.001,'Key inputs_EB_TRF'!AA47/SUM('Key inputs_EB_TRF'!AA$40:AA$53)),"")</f>
        <v>0</v>
      </c>
      <c r="AI104" s="173">
        <f>IFERROR(IF(AND('Key inputs_EB_TRF'!AB47/SUM('Key inputs_EB_TRF'!AB$40:AB$53)&gt;0,'Key inputs_EB_TRF'!AB47/SUM('Key inputs_EB_TRF'!AB$40:AB$53)&lt;0.001),0.001,'Key inputs_EB_TRF'!AB47/SUM('Key inputs_EB_TRF'!AB$40:AB$53)),"")</f>
        <v>0</v>
      </c>
      <c r="AJ104" s="173">
        <f>IFERROR(IF(AND('Key inputs_EB_TRF'!AC47/SUM('Key inputs_EB_TRF'!AC$40:AC$53)&gt;0,'Key inputs_EB_TRF'!AC47/SUM('Key inputs_EB_TRF'!AC$40:AC$53)&lt;0.001),0.001,'Key inputs_EB_TRF'!AC47/SUM('Key inputs_EB_TRF'!AC$40:AC$53)),"")</f>
        <v>0</v>
      </c>
      <c r="AK104" s="173">
        <f>IFERROR(IF(AND('Key inputs_EB_TRF'!AD47/SUM('Key inputs_EB_TRF'!AD$40:AD$53)&gt;0,'Key inputs_EB_TRF'!AD47/SUM('Key inputs_EB_TRF'!AD$40:AD$53)&lt;0.001),0.001,'Key inputs_EB_TRF'!AD47/SUM('Key inputs_EB_TRF'!AD$40:AD$53)),"")</f>
        <v>0</v>
      </c>
      <c r="AL104" s="173">
        <f>IFERROR(IF(AND('Key inputs_EB_TRF'!AE47/SUM('Key inputs_EB_TRF'!AE$40:AE$53)&gt;0,'Key inputs_EB_TRF'!AE47/SUM('Key inputs_EB_TRF'!AE$40:AE$53)&lt;0.001),0.001,'Key inputs_EB_TRF'!AE47/SUM('Key inputs_EB_TRF'!AE$40:AE$53)),"")</f>
        <v>0</v>
      </c>
    </row>
    <row r="105" spans="3:38">
      <c r="C105" s="4" t="str">
        <f>Commodities!$C$52</f>
        <v>OILLPG</v>
      </c>
      <c r="F105" s="4" t="s">
        <v>363</v>
      </c>
      <c r="G105" s="4" t="s">
        <v>702</v>
      </c>
      <c r="H105" t="s">
        <v>661</v>
      </c>
      <c r="I105">
        <v>2019</v>
      </c>
      <c r="J105" t="s">
        <v>650</v>
      </c>
      <c r="K105" s="173">
        <f>IFERROR(IF(AND('Key inputs_EB_TRF'!D48/SUM('Key inputs_EB_TRF'!D$40:D$53)&gt;0,'Key inputs_EB_TRF'!D48/SUM('Key inputs_EB_TRF'!D$40:D$53)&lt;0.001),0.001,'Key inputs_EB_TRF'!D48/SUM('Key inputs_EB_TRF'!D$40:D$53)),"")</f>
        <v>0</v>
      </c>
      <c r="L105" s="173">
        <f>IFERROR(IF(AND('Key inputs_EB_TRF'!E48/SUM('Key inputs_EB_TRF'!E$40:E$53)&gt;0,'Key inputs_EB_TRF'!E48/SUM('Key inputs_EB_TRF'!E$40:E$53)&lt;0.001),0.001,'Key inputs_EB_TRF'!E48/SUM('Key inputs_EB_TRF'!E$40:E$53)),"")</f>
        <v>0</v>
      </c>
      <c r="M105" s="173">
        <f>IFERROR(IF(AND('Key inputs_EB_TRF'!F48/SUM('Key inputs_EB_TRF'!F$40:F$53)&gt;0,'Key inputs_EB_TRF'!F48/SUM('Key inputs_EB_TRF'!F$40:F$53)&lt;0.001),0.001,'Key inputs_EB_TRF'!F48/SUM('Key inputs_EB_TRF'!F$40:F$53)),"")</f>
        <v>0</v>
      </c>
      <c r="N105" s="173">
        <f>IFERROR(IF(AND('Key inputs_EB_TRF'!G48/SUM('Key inputs_EB_TRF'!G$40:G$53)&gt;0,'Key inputs_EB_TRF'!G48/SUM('Key inputs_EB_TRF'!G$40:G$53)&lt;0.001),0.001,'Key inputs_EB_TRF'!G48/SUM('Key inputs_EB_TRF'!G$40:G$53)),"")</f>
        <v>0</v>
      </c>
      <c r="O105" s="173">
        <f>IFERROR(IF(AND('Key inputs_EB_TRF'!H48/SUM('Key inputs_EB_TRF'!H$40:H$53)&gt;0,'Key inputs_EB_TRF'!H48/SUM('Key inputs_EB_TRF'!H$40:H$53)&lt;0.001),0.001,'Key inputs_EB_TRF'!H48/SUM('Key inputs_EB_TRF'!H$40:H$53)),"")</f>
        <v>0</v>
      </c>
      <c r="P105" s="173">
        <f>IFERROR(IF(AND('Key inputs_EB_TRF'!I48/SUM('Key inputs_EB_TRF'!I$40:I$53)&gt;0,'Key inputs_EB_TRF'!I48/SUM('Key inputs_EB_TRF'!I$40:I$53)&lt;0.001),0.001,'Key inputs_EB_TRF'!I48/SUM('Key inputs_EB_TRF'!I$40:I$53)),"")</f>
        <v>0</v>
      </c>
      <c r="Q105" s="173">
        <f>IFERROR(IF(AND('Key inputs_EB_TRF'!J48/SUM('Key inputs_EB_TRF'!J$40:J$53)&gt;0,'Key inputs_EB_TRF'!J48/SUM('Key inputs_EB_TRF'!J$40:J$53)&lt;0.001),0.001,'Key inputs_EB_TRF'!J48/SUM('Key inputs_EB_TRF'!J$40:J$53)),"")</f>
        <v>0</v>
      </c>
      <c r="R105" s="173">
        <f>IFERROR(IF(AND('Key inputs_EB_TRF'!K48/SUM('Key inputs_EB_TRF'!K$40:K$53)&gt;0,'Key inputs_EB_TRF'!K48/SUM('Key inputs_EB_TRF'!K$40:K$53)&lt;0.001),0.001,'Key inputs_EB_TRF'!K48/SUM('Key inputs_EB_TRF'!K$40:K$53)),"")</f>
        <v>0</v>
      </c>
      <c r="S105" s="173">
        <f>IFERROR(IF(AND('Key inputs_EB_TRF'!L48/SUM('Key inputs_EB_TRF'!L$40:L$53)&gt;0,'Key inputs_EB_TRF'!L48/SUM('Key inputs_EB_TRF'!L$40:L$53)&lt;0.001),0.001,'Key inputs_EB_TRF'!L48/SUM('Key inputs_EB_TRF'!L$40:L$53)),"")</f>
        <v>0</v>
      </c>
      <c r="T105" s="173">
        <f>IFERROR(IF(AND('Key inputs_EB_TRF'!M48/SUM('Key inputs_EB_TRF'!M$40:M$53)&gt;0,'Key inputs_EB_TRF'!M48/SUM('Key inputs_EB_TRF'!M$40:M$53)&lt;0.001),0.001,'Key inputs_EB_TRF'!M48/SUM('Key inputs_EB_TRF'!M$40:M$53)),"")</f>
        <v>0</v>
      </c>
      <c r="U105" s="173">
        <f>IFERROR(IF(AND('Key inputs_EB_TRF'!N48/SUM('Key inputs_EB_TRF'!N$40:N$53)&gt;0,'Key inputs_EB_TRF'!N48/SUM('Key inputs_EB_TRF'!N$40:N$53)&lt;0.001),0.001,'Key inputs_EB_TRF'!N48/SUM('Key inputs_EB_TRF'!N$40:N$53)),"")</f>
        <v>0</v>
      </c>
      <c r="V105" s="173">
        <f>IFERROR(IF(AND('Key inputs_EB_TRF'!O48/SUM('Key inputs_EB_TRF'!O$40:O$53)&gt;0,'Key inputs_EB_TRF'!O48/SUM('Key inputs_EB_TRF'!O$40:O$53)&lt;0.001),0.001,'Key inputs_EB_TRF'!O48/SUM('Key inputs_EB_TRF'!O$40:O$53)),"")</f>
        <v>4.2792522152079515E-2</v>
      </c>
      <c r="W105" s="173">
        <f>IFERROR(IF(AND('Key inputs_EB_TRF'!P48/SUM('Key inputs_EB_TRF'!P$40:P$53)&gt;0,'Key inputs_EB_TRF'!P48/SUM('Key inputs_EB_TRF'!P$40:P$53)&lt;0.001),0.001,'Key inputs_EB_TRF'!P48/SUM('Key inputs_EB_TRF'!P$40:P$53)),"")</f>
        <v>0</v>
      </c>
      <c r="X105" s="173">
        <f>IFERROR(IF(AND('Key inputs_EB_TRF'!Q48/SUM('Key inputs_EB_TRF'!Q$40:Q$53)&gt;0,'Key inputs_EB_TRF'!Q48/SUM('Key inputs_EB_TRF'!Q$40:Q$53)&lt;0.001),0.001,'Key inputs_EB_TRF'!Q48/SUM('Key inputs_EB_TRF'!Q$40:Q$53)),"")</f>
        <v>0</v>
      </c>
      <c r="Y105" s="173">
        <f>IFERROR(IF(AND('Key inputs_EB_TRF'!R48/SUM('Key inputs_EB_TRF'!R$40:R$53)&gt;0,'Key inputs_EB_TRF'!R48/SUM('Key inputs_EB_TRF'!R$40:R$53)&lt;0.001),0.001,'Key inputs_EB_TRF'!R48/SUM('Key inputs_EB_TRF'!R$40:R$53)),"")</f>
        <v>0</v>
      </c>
      <c r="Z105" s="173">
        <f>IFERROR(IF(AND('Key inputs_EB_TRF'!S48/SUM('Key inputs_EB_TRF'!S$40:S$53)&gt;0,'Key inputs_EB_TRF'!S48/SUM('Key inputs_EB_TRF'!S$40:S$53)&lt;0.001),0.001,'Key inputs_EB_TRF'!S48/SUM('Key inputs_EB_TRF'!S$40:S$53)),"")</f>
        <v>0</v>
      </c>
      <c r="AA105" s="173">
        <f>IFERROR(IF(AND('Key inputs_EB_TRF'!T48/SUM('Key inputs_EB_TRF'!T$40:T$53)&gt;0,'Key inputs_EB_TRF'!T48/SUM('Key inputs_EB_TRF'!T$40:T$53)&lt;0.001),0.001,'Key inputs_EB_TRF'!T48/SUM('Key inputs_EB_TRF'!T$40:T$53)),"")</f>
        <v>0</v>
      </c>
      <c r="AB105" s="173">
        <f>IFERROR(IF(AND('Key inputs_EB_TRF'!U48/SUM('Key inputs_EB_TRF'!U$40:U$53)&gt;0,'Key inputs_EB_TRF'!U48/SUM('Key inputs_EB_TRF'!U$40:U$53)&lt;0.001),0.001,'Key inputs_EB_TRF'!U48/SUM('Key inputs_EB_TRF'!U$40:U$53)),"")</f>
        <v>0</v>
      </c>
      <c r="AC105" s="173">
        <f>IFERROR(IF(AND('Key inputs_EB_TRF'!V48/SUM('Key inputs_EB_TRF'!V$40:V$53)&gt;0,'Key inputs_EB_TRF'!V48/SUM('Key inputs_EB_TRF'!V$40:V$53)&lt;0.001),0.001,'Key inputs_EB_TRF'!V48/SUM('Key inputs_EB_TRF'!V$40:V$53)),"")</f>
        <v>0</v>
      </c>
      <c r="AD105" s="173">
        <f>IFERROR(IF(AND('Key inputs_EB_TRF'!W48/SUM('Key inputs_EB_TRF'!W$40:W$53)&gt;0,'Key inputs_EB_TRF'!W48/SUM('Key inputs_EB_TRF'!W$40:W$53)&lt;0.001),0.001,'Key inputs_EB_TRF'!W48/SUM('Key inputs_EB_TRF'!W$40:W$53)),"")</f>
        <v>0.55000215063013458</v>
      </c>
      <c r="AE105" s="173">
        <f>IFERROR(IF(AND('Key inputs_EB_TRF'!X48/SUM('Key inputs_EB_TRF'!X$40:X$53)&gt;0,'Key inputs_EB_TRF'!X48/SUM('Key inputs_EB_TRF'!X$40:X$53)&lt;0.001),0.001,'Key inputs_EB_TRF'!X48/SUM('Key inputs_EB_TRF'!X$40:X$53)),"")</f>
        <v>0</v>
      </c>
      <c r="AF105" s="173">
        <f>IFERROR(IF(AND('Key inputs_EB_TRF'!Y48/SUM('Key inputs_EB_TRF'!Y$40:Y$53)&gt;0,'Key inputs_EB_TRF'!Y48/SUM('Key inputs_EB_TRF'!Y$40:Y$53)&lt;0.001),0.001,'Key inputs_EB_TRF'!Y48/SUM('Key inputs_EB_TRF'!Y$40:Y$53)),"")</f>
        <v>0</v>
      </c>
      <c r="AG105" s="173">
        <f>IFERROR(IF(AND('Key inputs_EB_TRF'!Z48/SUM('Key inputs_EB_TRF'!Z$40:Z$53)&gt;0,'Key inputs_EB_TRF'!Z48/SUM('Key inputs_EB_TRF'!Z$40:Z$53)&lt;0.001),0.001,'Key inputs_EB_TRF'!Z48/SUM('Key inputs_EB_TRF'!Z$40:Z$53)),"")</f>
        <v>0</v>
      </c>
      <c r="AH105" s="173">
        <f>IFERROR(IF(AND('Key inputs_EB_TRF'!AA48/SUM('Key inputs_EB_TRF'!AA$40:AA$53)&gt;0,'Key inputs_EB_TRF'!AA48/SUM('Key inputs_EB_TRF'!AA$40:AA$53)&lt;0.001),0.001,'Key inputs_EB_TRF'!AA48/SUM('Key inputs_EB_TRF'!AA$40:AA$53)),"")</f>
        <v>0</v>
      </c>
      <c r="AI105" s="173">
        <f>IFERROR(IF(AND('Key inputs_EB_TRF'!AB48/SUM('Key inputs_EB_TRF'!AB$40:AB$53)&gt;0,'Key inputs_EB_TRF'!AB48/SUM('Key inputs_EB_TRF'!AB$40:AB$53)&lt;0.001),0.001,'Key inputs_EB_TRF'!AB48/SUM('Key inputs_EB_TRF'!AB$40:AB$53)),"")</f>
        <v>0</v>
      </c>
      <c r="AJ105" s="173">
        <f>IFERROR(IF(AND('Key inputs_EB_TRF'!AC48/SUM('Key inputs_EB_TRF'!AC$40:AC$53)&gt;0,'Key inputs_EB_TRF'!AC48/SUM('Key inputs_EB_TRF'!AC$40:AC$53)&lt;0.001),0.001,'Key inputs_EB_TRF'!AC48/SUM('Key inputs_EB_TRF'!AC$40:AC$53)),"")</f>
        <v>0</v>
      </c>
      <c r="AK105" s="173">
        <f>IFERROR(IF(AND('Key inputs_EB_TRF'!AD48/SUM('Key inputs_EB_TRF'!AD$40:AD$53)&gt;0,'Key inputs_EB_TRF'!AD48/SUM('Key inputs_EB_TRF'!AD$40:AD$53)&lt;0.001),0.001,'Key inputs_EB_TRF'!AD48/SUM('Key inputs_EB_TRF'!AD$40:AD$53)),"")</f>
        <v>0</v>
      </c>
      <c r="AL105" s="173">
        <f>IFERROR(IF(AND('Key inputs_EB_TRF'!AE48/SUM('Key inputs_EB_TRF'!AE$40:AE$53)&gt;0,'Key inputs_EB_TRF'!AE48/SUM('Key inputs_EB_TRF'!AE$40:AE$53)&lt;0.001),0.001,'Key inputs_EB_TRF'!AE48/SUM('Key inputs_EB_TRF'!AE$40:AE$53)),"")</f>
        <v>0</v>
      </c>
    </row>
    <row r="106" spans="3:38">
      <c r="C106" s="4" t="str">
        <f>Commodities!$C$53</f>
        <v>OILNAP</v>
      </c>
      <c r="F106" s="4" t="s">
        <v>363</v>
      </c>
      <c r="G106" s="4" t="s">
        <v>702</v>
      </c>
      <c r="H106" t="s">
        <v>661</v>
      </c>
      <c r="I106">
        <v>2019</v>
      </c>
      <c r="J106" t="s">
        <v>650</v>
      </c>
      <c r="K106" s="173">
        <f>IFERROR(IF(AND('Key inputs_EB_TRF'!D49/SUM('Key inputs_EB_TRF'!D$40:D$53)&gt;0,'Key inputs_EB_TRF'!D49/SUM('Key inputs_EB_TRF'!D$40:D$53)&lt;0.001),0.001,'Key inputs_EB_TRF'!D49/SUM('Key inputs_EB_TRF'!D$40:D$53)),"")</f>
        <v>0</v>
      </c>
      <c r="L106" s="173">
        <f>IFERROR(IF(AND('Key inputs_EB_TRF'!E49/SUM('Key inputs_EB_TRF'!E$40:E$53)&gt;0,'Key inputs_EB_TRF'!E49/SUM('Key inputs_EB_TRF'!E$40:E$53)&lt;0.001),0.001,'Key inputs_EB_TRF'!E49/SUM('Key inputs_EB_TRF'!E$40:E$53)),"")</f>
        <v>0</v>
      </c>
      <c r="M106" s="173">
        <f>IFERROR(IF(AND('Key inputs_EB_TRF'!F49/SUM('Key inputs_EB_TRF'!F$40:F$53)&gt;0,'Key inputs_EB_TRF'!F49/SUM('Key inputs_EB_TRF'!F$40:F$53)&lt;0.001),0.001,'Key inputs_EB_TRF'!F49/SUM('Key inputs_EB_TRF'!F$40:F$53)),"")</f>
        <v>0</v>
      </c>
      <c r="N106" s="173">
        <f>IFERROR(IF(AND('Key inputs_EB_TRF'!G49/SUM('Key inputs_EB_TRF'!G$40:G$53)&gt;0,'Key inputs_EB_TRF'!G49/SUM('Key inputs_EB_TRF'!G$40:G$53)&lt;0.001),0.001,'Key inputs_EB_TRF'!G49/SUM('Key inputs_EB_TRF'!G$40:G$53)),"")</f>
        <v>0</v>
      </c>
      <c r="O106" s="173">
        <f>IFERROR(IF(AND('Key inputs_EB_TRF'!H49/SUM('Key inputs_EB_TRF'!H$40:H$53)&gt;0,'Key inputs_EB_TRF'!H49/SUM('Key inputs_EB_TRF'!H$40:H$53)&lt;0.001),0.001,'Key inputs_EB_TRF'!H49/SUM('Key inputs_EB_TRF'!H$40:H$53)),"")</f>
        <v>0</v>
      </c>
      <c r="P106" s="173">
        <f>IFERROR(IF(AND('Key inputs_EB_TRF'!I49/SUM('Key inputs_EB_TRF'!I$40:I$53)&gt;0,'Key inputs_EB_TRF'!I49/SUM('Key inputs_EB_TRF'!I$40:I$53)&lt;0.001),0.001,'Key inputs_EB_TRF'!I49/SUM('Key inputs_EB_TRF'!I$40:I$53)),"")</f>
        <v>0</v>
      </c>
      <c r="Q106" s="173">
        <f>IFERROR(IF(AND('Key inputs_EB_TRF'!J49/SUM('Key inputs_EB_TRF'!J$40:J$53)&gt;0,'Key inputs_EB_TRF'!J49/SUM('Key inputs_EB_TRF'!J$40:J$53)&lt;0.001),0.001,'Key inputs_EB_TRF'!J49/SUM('Key inputs_EB_TRF'!J$40:J$53)),"")</f>
        <v>0</v>
      </c>
      <c r="R106" s="173">
        <f>IFERROR(IF(AND('Key inputs_EB_TRF'!K49/SUM('Key inputs_EB_TRF'!K$40:K$53)&gt;0,'Key inputs_EB_TRF'!K49/SUM('Key inputs_EB_TRF'!K$40:K$53)&lt;0.001),0.001,'Key inputs_EB_TRF'!K49/SUM('Key inputs_EB_TRF'!K$40:K$53)),"")</f>
        <v>0</v>
      </c>
      <c r="S106" s="173">
        <f>IFERROR(IF(AND('Key inputs_EB_TRF'!L49/SUM('Key inputs_EB_TRF'!L$40:L$53)&gt;0,'Key inputs_EB_TRF'!L49/SUM('Key inputs_EB_TRF'!L$40:L$53)&lt;0.001),0.001,'Key inputs_EB_TRF'!L49/SUM('Key inputs_EB_TRF'!L$40:L$53)),"")</f>
        <v>0</v>
      </c>
      <c r="T106" s="173">
        <f>IFERROR(IF(AND('Key inputs_EB_TRF'!M49/SUM('Key inputs_EB_TRF'!M$40:M$53)&gt;0,'Key inputs_EB_TRF'!M49/SUM('Key inputs_EB_TRF'!M$40:M$53)&lt;0.001),0.001,'Key inputs_EB_TRF'!M49/SUM('Key inputs_EB_TRF'!M$40:M$53)),"")</f>
        <v>0</v>
      </c>
      <c r="U106" s="173">
        <f>IFERROR(IF(AND('Key inputs_EB_TRF'!N49/SUM('Key inputs_EB_TRF'!N$40:N$53)&gt;0,'Key inputs_EB_TRF'!N49/SUM('Key inputs_EB_TRF'!N$40:N$53)&lt;0.001),0.001,'Key inputs_EB_TRF'!N49/SUM('Key inputs_EB_TRF'!N$40:N$53)),"")</f>
        <v>0</v>
      </c>
      <c r="V106" s="173">
        <f>IFERROR(IF(AND('Key inputs_EB_TRF'!O49/SUM('Key inputs_EB_TRF'!O$40:O$53)&gt;0,'Key inputs_EB_TRF'!O49/SUM('Key inputs_EB_TRF'!O$40:O$53)&lt;0.001),0.001,'Key inputs_EB_TRF'!O49/SUM('Key inputs_EB_TRF'!O$40:O$53)),"")</f>
        <v>5.646638000305515E-2</v>
      </c>
      <c r="W106" s="173">
        <f>IFERROR(IF(AND('Key inputs_EB_TRF'!P49/SUM('Key inputs_EB_TRF'!P$40:P$53)&gt;0,'Key inputs_EB_TRF'!P49/SUM('Key inputs_EB_TRF'!P$40:P$53)&lt;0.001),0.001,'Key inputs_EB_TRF'!P49/SUM('Key inputs_EB_TRF'!P$40:P$53)),"")</f>
        <v>0</v>
      </c>
      <c r="X106" s="173">
        <f>IFERROR(IF(AND('Key inputs_EB_TRF'!Q49/SUM('Key inputs_EB_TRF'!Q$40:Q$53)&gt;0,'Key inputs_EB_TRF'!Q49/SUM('Key inputs_EB_TRF'!Q$40:Q$53)&lt;0.001),0.001,'Key inputs_EB_TRF'!Q49/SUM('Key inputs_EB_TRF'!Q$40:Q$53)),"")</f>
        <v>0</v>
      </c>
      <c r="Y106" s="173">
        <f>IFERROR(IF(AND('Key inputs_EB_TRF'!R49/SUM('Key inputs_EB_TRF'!R$40:R$53)&gt;0,'Key inputs_EB_TRF'!R49/SUM('Key inputs_EB_TRF'!R$40:R$53)&lt;0.001),0.001,'Key inputs_EB_TRF'!R49/SUM('Key inputs_EB_TRF'!R$40:R$53)),"")</f>
        <v>0</v>
      </c>
      <c r="Z106" s="173">
        <f>IFERROR(IF(AND('Key inputs_EB_TRF'!S49/SUM('Key inputs_EB_TRF'!S$40:S$53)&gt;0,'Key inputs_EB_TRF'!S49/SUM('Key inputs_EB_TRF'!S$40:S$53)&lt;0.001),0.001,'Key inputs_EB_TRF'!S49/SUM('Key inputs_EB_TRF'!S$40:S$53)),"")</f>
        <v>0</v>
      </c>
      <c r="AA106" s="173">
        <f>IFERROR(IF(AND('Key inputs_EB_TRF'!T49/SUM('Key inputs_EB_TRF'!T$40:T$53)&gt;0,'Key inputs_EB_TRF'!T49/SUM('Key inputs_EB_TRF'!T$40:T$53)&lt;0.001),0.001,'Key inputs_EB_TRF'!T49/SUM('Key inputs_EB_TRF'!T$40:T$53)),"")</f>
        <v>0</v>
      </c>
      <c r="AB106" s="173">
        <f>IFERROR(IF(AND('Key inputs_EB_TRF'!U49/SUM('Key inputs_EB_TRF'!U$40:U$53)&gt;0,'Key inputs_EB_TRF'!U49/SUM('Key inputs_EB_TRF'!U$40:U$53)&lt;0.001),0.001,'Key inputs_EB_TRF'!U49/SUM('Key inputs_EB_TRF'!U$40:U$53)),"")</f>
        <v>0</v>
      </c>
      <c r="AC106" s="173">
        <f>IFERROR(IF(AND('Key inputs_EB_TRF'!V49/SUM('Key inputs_EB_TRF'!V$40:V$53)&gt;0,'Key inputs_EB_TRF'!V49/SUM('Key inputs_EB_TRF'!V$40:V$53)&lt;0.001),0.001,'Key inputs_EB_TRF'!V49/SUM('Key inputs_EB_TRF'!V$40:V$53)),"")</f>
        <v>0</v>
      </c>
      <c r="AD106" s="173">
        <f>IFERROR(IF(AND('Key inputs_EB_TRF'!W49/SUM('Key inputs_EB_TRF'!W$40:W$53)&gt;0,'Key inputs_EB_TRF'!W49/SUM('Key inputs_EB_TRF'!W$40:W$53)&lt;0.001),0.001,'Key inputs_EB_TRF'!W49/SUM('Key inputs_EB_TRF'!W$40:W$53)),"")</f>
        <v>0.41651683943395412</v>
      </c>
      <c r="AE106" s="173">
        <f>IFERROR(IF(AND('Key inputs_EB_TRF'!X49/SUM('Key inputs_EB_TRF'!X$40:X$53)&gt;0,'Key inputs_EB_TRF'!X49/SUM('Key inputs_EB_TRF'!X$40:X$53)&lt;0.001),0.001,'Key inputs_EB_TRF'!X49/SUM('Key inputs_EB_TRF'!X$40:X$53)),"")</f>
        <v>0</v>
      </c>
      <c r="AF106" s="173">
        <f>IFERROR(IF(AND('Key inputs_EB_TRF'!Y49/SUM('Key inputs_EB_TRF'!Y$40:Y$53)&gt;0,'Key inputs_EB_TRF'!Y49/SUM('Key inputs_EB_TRF'!Y$40:Y$53)&lt;0.001),0.001,'Key inputs_EB_TRF'!Y49/SUM('Key inputs_EB_TRF'!Y$40:Y$53)),"")</f>
        <v>0</v>
      </c>
      <c r="AG106" s="173">
        <f>IFERROR(IF(AND('Key inputs_EB_TRF'!Z49/SUM('Key inputs_EB_TRF'!Z$40:Z$53)&gt;0,'Key inputs_EB_TRF'!Z49/SUM('Key inputs_EB_TRF'!Z$40:Z$53)&lt;0.001),0.001,'Key inputs_EB_TRF'!Z49/SUM('Key inputs_EB_TRF'!Z$40:Z$53)),"")</f>
        <v>0</v>
      </c>
      <c r="AH106" s="173">
        <f>IFERROR(IF(AND('Key inputs_EB_TRF'!AA49/SUM('Key inputs_EB_TRF'!AA$40:AA$53)&gt;0,'Key inputs_EB_TRF'!AA49/SUM('Key inputs_EB_TRF'!AA$40:AA$53)&lt;0.001),0.001,'Key inputs_EB_TRF'!AA49/SUM('Key inputs_EB_TRF'!AA$40:AA$53)),"")</f>
        <v>0</v>
      </c>
      <c r="AI106" s="173">
        <f>IFERROR(IF(AND('Key inputs_EB_TRF'!AB49/SUM('Key inputs_EB_TRF'!AB$40:AB$53)&gt;0,'Key inputs_EB_TRF'!AB49/SUM('Key inputs_EB_TRF'!AB$40:AB$53)&lt;0.001),0.001,'Key inputs_EB_TRF'!AB49/SUM('Key inputs_EB_TRF'!AB$40:AB$53)),"")</f>
        <v>0</v>
      </c>
      <c r="AJ106" s="173">
        <f>IFERROR(IF(AND('Key inputs_EB_TRF'!AC49/SUM('Key inputs_EB_TRF'!AC$40:AC$53)&gt;0,'Key inputs_EB_TRF'!AC49/SUM('Key inputs_EB_TRF'!AC$40:AC$53)&lt;0.001),0.001,'Key inputs_EB_TRF'!AC49/SUM('Key inputs_EB_TRF'!AC$40:AC$53)),"")</f>
        <v>0</v>
      </c>
      <c r="AK106" s="173">
        <f>IFERROR(IF(AND('Key inputs_EB_TRF'!AD49/SUM('Key inputs_EB_TRF'!AD$40:AD$53)&gt;0,'Key inputs_EB_TRF'!AD49/SUM('Key inputs_EB_TRF'!AD$40:AD$53)&lt;0.001),0.001,'Key inputs_EB_TRF'!AD49/SUM('Key inputs_EB_TRF'!AD$40:AD$53)),"")</f>
        <v>0</v>
      </c>
      <c r="AL106" s="173">
        <f>IFERROR(IF(AND('Key inputs_EB_TRF'!AE49/SUM('Key inputs_EB_TRF'!AE$40:AE$53)&gt;0,'Key inputs_EB_TRF'!AE49/SUM('Key inputs_EB_TRF'!AE$40:AE$53)&lt;0.001),0.001,'Key inputs_EB_TRF'!AE49/SUM('Key inputs_EB_TRF'!AE$40:AE$53)),"")</f>
        <v>0</v>
      </c>
    </row>
    <row r="107" spans="3:38">
      <c r="C107" s="4" t="str">
        <f>Commodities!$C$27</f>
        <v>OILCRD</v>
      </c>
      <c r="F107" s="4" t="s">
        <v>363</v>
      </c>
      <c r="G107" s="4" t="s">
        <v>702</v>
      </c>
      <c r="H107" t="s">
        <v>661</v>
      </c>
      <c r="I107">
        <v>2019</v>
      </c>
      <c r="J107" t="s">
        <v>650</v>
      </c>
      <c r="K107" s="173">
        <f>IFERROR(IF(AND('Key inputs_EB_TRF'!D50/SUM('Key inputs_EB_TRF'!D$40:D$53)&gt;0,'Key inputs_EB_TRF'!D50/SUM('Key inputs_EB_TRF'!D$40:D$53)&lt;0.001),0.001,'Key inputs_EB_TRF'!D50/SUM('Key inputs_EB_TRF'!D$40:D$53)),"")</f>
        <v>0</v>
      </c>
      <c r="L107" s="173">
        <f>IFERROR(IF(AND('Key inputs_EB_TRF'!E50/SUM('Key inputs_EB_TRF'!E$40:E$53)&gt;0,'Key inputs_EB_TRF'!E50/SUM('Key inputs_EB_TRF'!E$40:E$53)&lt;0.001),0.001,'Key inputs_EB_TRF'!E50/SUM('Key inputs_EB_TRF'!E$40:E$53)),"")</f>
        <v>0</v>
      </c>
      <c r="M107" s="173">
        <f>IFERROR(IF(AND('Key inputs_EB_TRF'!F50/SUM('Key inputs_EB_TRF'!F$40:F$53)&gt;0,'Key inputs_EB_TRF'!F50/SUM('Key inputs_EB_TRF'!F$40:F$53)&lt;0.001),0.001,'Key inputs_EB_TRF'!F50/SUM('Key inputs_EB_TRF'!F$40:F$53)),"")</f>
        <v>0</v>
      </c>
      <c r="N107" s="173">
        <f>IFERROR(IF(AND('Key inputs_EB_TRF'!G50/SUM('Key inputs_EB_TRF'!G$40:G$53)&gt;0,'Key inputs_EB_TRF'!G50/SUM('Key inputs_EB_TRF'!G$40:G$53)&lt;0.001),0.001,'Key inputs_EB_TRF'!G50/SUM('Key inputs_EB_TRF'!G$40:G$53)),"")</f>
        <v>0</v>
      </c>
      <c r="O107" s="173">
        <f>IFERROR(IF(AND('Key inputs_EB_TRF'!H50/SUM('Key inputs_EB_TRF'!H$40:H$53)&gt;0,'Key inputs_EB_TRF'!H50/SUM('Key inputs_EB_TRF'!H$40:H$53)&lt;0.001),0.001,'Key inputs_EB_TRF'!H50/SUM('Key inputs_EB_TRF'!H$40:H$53)),"")</f>
        <v>0</v>
      </c>
      <c r="P107" s="173">
        <f>IFERROR(IF(AND('Key inputs_EB_TRF'!I50/SUM('Key inputs_EB_TRF'!I$40:I$53)&gt;0,'Key inputs_EB_TRF'!I50/SUM('Key inputs_EB_TRF'!I$40:I$53)&lt;0.001),0.001,'Key inputs_EB_TRF'!I50/SUM('Key inputs_EB_TRF'!I$40:I$53)),"")</f>
        <v>0</v>
      </c>
      <c r="Q107" s="173">
        <f>IFERROR(IF(AND('Key inputs_EB_TRF'!J50/SUM('Key inputs_EB_TRF'!J$40:J$53)&gt;0,'Key inputs_EB_TRF'!J50/SUM('Key inputs_EB_TRF'!J$40:J$53)&lt;0.001),0.001,'Key inputs_EB_TRF'!J50/SUM('Key inputs_EB_TRF'!J$40:J$53)),"")</f>
        <v>0</v>
      </c>
      <c r="R107" s="173">
        <f>IFERROR(IF(AND('Key inputs_EB_TRF'!K50/SUM('Key inputs_EB_TRF'!K$40:K$53)&gt;0,'Key inputs_EB_TRF'!K50/SUM('Key inputs_EB_TRF'!K$40:K$53)&lt;0.001),0.001,'Key inputs_EB_TRF'!K50/SUM('Key inputs_EB_TRF'!K$40:K$53)),"")</f>
        <v>0</v>
      </c>
      <c r="S107" s="173">
        <f>IFERROR(IF(AND('Key inputs_EB_TRF'!L50/SUM('Key inputs_EB_TRF'!L$40:L$53)&gt;0,'Key inputs_EB_TRF'!L50/SUM('Key inputs_EB_TRF'!L$40:L$53)&lt;0.001),0.001,'Key inputs_EB_TRF'!L50/SUM('Key inputs_EB_TRF'!L$40:L$53)),"")</f>
        <v>0</v>
      </c>
      <c r="T107" s="173">
        <f>IFERROR(IF(AND('Key inputs_EB_TRF'!M50/SUM('Key inputs_EB_TRF'!M$40:M$53)&gt;0,'Key inputs_EB_TRF'!M50/SUM('Key inputs_EB_TRF'!M$40:M$53)&lt;0.001),0.001,'Key inputs_EB_TRF'!M50/SUM('Key inputs_EB_TRF'!M$40:M$53)),"")</f>
        <v>0</v>
      </c>
      <c r="U107" s="173">
        <f>IFERROR(IF(AND('Key inputs_EB_TRF'!N50/SUM('Key inputs_EB_TRF'!N$40:N$53)&gt;0,'Key inputs_EB_TRF'!N50/SUM('Key inputs_EB_TRF'!N$40:N$53)&lt;0.001),0.001,'Key inputs_EB_TRF'!N50/SUM('Key inputs_EB_TRF'!N$40:N$53)),"")</f>
        <v>0</v>
      </c>
      <c r="V107" s="173">
        <f>IFERROR(IF(AND('Key inputs_EB_TRF'!O50/SUM('Key inputs_EB_TRF'!O$40:O$53)&gt;0,'Key inputs_EB_TRF'!O50/SUM('Key inputs_EB_TRF'!O$40:O$53)&lt;0.001),0.001,'Key inputs_EB_TRF'!O50/SUM('Key inputs_EB_TRF'!O$40:O$53)),"")</f>
        <v>0</v>
      </c>
      <c r="W107" s="173">
        <f>IFERROR(IF(AND('Key inputs_EB_TRF'!P50/SUM('Key inputs_EB_TRF'!P$40:P$53)&gt;0,'Key inputs_EB_TRF'!P50/SUM('Key inputs_EB_TRF'!P$40:P$53)&lt;0.001),0.001,'Key inputs_EB_TRF'!P50/SUM('Key inputs_EB_TRF'!P$40:P$53)),"")</f>
        <v>0</v>
      </c>
      <c r="X107" s="173">
        <f>IFERROR(IF(AND('Key inputs_EB_TRF'!Q50/SUM('Key inputs_EB_TRF'!Q$40:Q$53)&gt;0,'Key inputs_EB_TRF'!Q50/SUM('Key inputs_EB_TRF'!Q$40:Q$53)&lt;0.001),0.001,'Key inputs_EB_TRF'!Q50/SUM('Key inputs_EB_TRF'!Q$40:Q$53)),"")</f>
        <v>0</v>
      </c>
      <c r="Y107" s="173">
        <f>IFERROR(IF(AND('Key inputs_EB_TRF'!R50/SUM('Key inputs_EB_TRF'!R$40:R$53)&gt;0,'Key inputs_EB_TRF'!R50/SUM('Key inputs_EB_TRF'!R$40:R$53)&lt;0.001),0.001,'Key inputs_EB_TRF'!R50/SUM('Key inputs_EB_TRF'!R$40:R$53)),"")</f>
        <v>0</v>
      </c>
      <c r="Z107" s="173">
        <f>IFERROR(IF(AND('Key inputs_EB_TRF'!S50/SUM('Key inputs_EB_TRF'!S$40:S$53)&gt;0,'Key inputs_EB_TRF'!S50/SUM('Key inputs_EB_TRF'!S$40:S$53)&lt;0.001),0.001,'Key inputs_EB_TRF'!S50/SUM('Key inputs_EB_TRF'!S$40:S$53)),"")</f>
        <v>0</v>
      </c>
      <c r="AA107" s="173">
        <f>IFERROR(IF(AND('Key inputs_EB_TRF'!T50/SUM('Key inputs_EB_TRF'!T$40:T$53)&gt;0,'Key inputs_EB_TRF'!T50/SUM('Key inputs_EB_TRF'!T$40:T$53)&lt;0.001),0.001,'Key inputs_EB_TRF'!T50/SUM('Key inputs_EB_TRF'!T$40:T$53)),"")</f>
        <v>0</v>
      </c>
      <c r="AB107" s="173">
        <f>IFERROR(IF(AND('Key inputs_EB_TRF'!U50/SUM('Key inputs_EB_TRF'!U$40:U$53)&gt;0,'Key inputs_EB_TRF'!U50/SUM('Key inputs_EB_TRF'!U$40:U$53)&lt;0.001),0.001,'Key inputs_EB_TRF'!U50/SUM('Key inputs_EB_TRF'!U$40:U$53)),"")</f>
        <v>0</v>
      </c>
      <c r="AC107" s="173">
        <f>IFERROR(IF(AND('Key inputs_EB_TRF'!V50/SUM('Key inputs_EB_TRF'!V$40:V$53)&gt;0,'Key inputs_EB_TRF'!V50/SUM('Key inputs_EB_TRF'!V$40:V$53)&lt;0.001),0.001,'Key inputs_EB_TRF'!V50/SUM('Key inputs_EB_TRF'!V$40:V$53)),"")</f>
        <v>0</v>
      </c>
      <c r="AD107" s="173">
        <f>IFERROR(IF(AND('Key inputs_EB_TRF'!W50/SUM('Key inputs_EB_TRF'!W$40:W$53)&gt;0,'Key inputs_EB_TRF'!W50/SUM('Key inputs_EB_TRF'!W$40:W$53)&lt;0.001),0.001,'Key inputs_EB_TRF'!W50/SUM('Key inputs_EB_TRF'!W$40:W$53)),"")</f>
        <v>0</v>
      </c>
      <c r="AE107" s="173">
        <f>IFERROR(IF(AND('Key inputs_EB_TRF'!X50/SUM('Key inputs_EB_TRF'!X$40:X$53)&gt;0,'Key inputs_EB_TRF'!X50/SUM('Key inputs_EB_TRF'!X$40:X$53)&lt;0.001),0.001,'Key inputs_EB_TRF'!X50/SUM('Key inputs_EB_TRF'!X$40:X$53)),"")</f>
        <v>0</v>
      </c>
      <c r="AF107" s="173">
        <f>IFERROR(IF(AND('Key inputs_EB_TRF'!Y50/SUM('Key inputs_EB_TRF'!Y$40:Y$53)&gt;0,'Key inputs_EB_TRF'!Y50/SUM('Key inputs_EB_TRF'!Y$40:Y$53)&lt;0.001),0.001,'Key inputs_EB_TRF'!Y50/SUM('Key inputs_EB_TRF'!Y$40:Y$53)),"")</f>
        <v>0</v>
      </c>
      <c r="AG107" s="173">
        <f>IFERROR(IF(AND('Key inputs_EB_TRF'!Z50/SUM('Key inputs_EB_TRF'!Z$40:Z$53)&gt;0,'Key inputs_EB_TRF'!Z50/SUM('Key inputs_EB_TRF'!Z$40:Z$53)&lt;0.001),0.001,'Key inputs_EB_TRF'!Z50/SUM('Key inputs_EB_TRF'!Z$40:Z$53)),"")</f>
        <v>0</v>
      </c>
      <c r="AH107" s="173">
        <f>IFERROR(IF(AND('Key inputs_EB_TRF'!AA50/SUM('Key inputs_EB_TRF'!AA$40:AA$53)&gt;0,'Key inputs_EB_TRF'!AA50/SUM('Key inputs_EB_TRF'!AA$40:AA$53)&lt;0.001),0.001,'Key inputs_EB_TRF'!AA50/SUM('Key inputs_EB_TRF'!AA$40:AA$53)),"")</f>
        <v>0</v>
      </c>
      <c r="AI107" s="173">
        <f>IFERROR(IF(AND('Key inputs_EB_TRF'!AB50/SUM('Key inputs_EB_TRF'!AB$40:AB$53)&gt;0,'Key inputs_EB_TRF'!AB50/SUM('Key inputs_EB_TRF'!AB$40:AB$53)&lt;0.001),0.001,'Key inputs_EB_TRF'!AB50/SUM('Key inputs_EB_TRF'!AB$40:AB$53)),"")</f>
        <v>0</v>
      </c>
      <c r="AJ107" s="173">
        <f>IFERROR(IF(AND('Key inputs_EB_TRF'!AC50/SUM('Key inputs_EB_TRF'!AC$40:AC$53)&gt;0,'Key inputs_EB_TRF'!AC50/SUM('Key inputs_EB_TRF'!AC$40:AC$53)&lt;0.001),0.001,'Key inputs_EB_TRF'!AC50/SUM('Key inputs_EB_TRF'!AC$40:AC$53)),"")</f>
        <v>0</v>
      </c>
      <c r="AK107" s="173">
        <f>IFERROR(IF(AND('Key inputs_EB_TRF'!AD50/SUM('Key inputs_EB_TRF'!AD$40:AD$53)&gt;0,'Key inputs_EB_TRF'!AD50/SUM('Key inputs_EB_TRF'!AD$40:AD$53)&lt;0.001),0.001,'Key inputs_EB_TRF'!AD50/SUM('Key inputs_EB_TRF'!AD$40:AD$53)),"")</f>
        <v>0</v>
      </c>
      <c r="AL107" s="173">
        <f>IFERROR(IF(AND('Key inputs_EB_TRF'!AE50/SUM('Key inputs_EB_TRF'!AE$40:AE$53)&gt;0,'Key inputs_EB_TRF'!AE50/SUM('Key inputs_EB_TRF'!AE$40:AE$53)&lt;0.001),0.001,'Key inputs_EB_TRF'!AE50/SUM('Key inputs_EB_TRF'!AE$40:AE$53)),"")</f>
        <v>0</v>
      </c>
    </row>
    <row r="108" spans="3:38">
      <c r="C108" s="4" t="str">
        <f>Commodities!$C$26</f>
        <v>OILNGL</v>
      </c>
      <c r="F108" s="4" t="s">
        <v>363</v>
      </c>
      <c r="G108" s="4" t="s">
        <v>702</v>
      </c>
      <c r="H108" t="s">
        <v>661</v>
      </c>
      <c r="I108">
        <v>2019</v>
      </c>
      <c r="J108" t="s">
        <v>650</v>
      </c>
      <c r="K108" s="173">
        <f>IFERROR(IF(AND('Key inputs_EB_TRF'!D51/SUM('Key inputs_EB_TRF'!D$40:D$53)&gt;0,'Key inputs_EB_TRF'!D51/SUM('Key inputs_EB_TRF'!D$40:D$53)&lt;0.001),0.001,'Key inputs_EB_TRF'!D51/SUM('Key inputs_EB_TRF'!D$40:D$53)),"")</f>
        <v>0</v>
      </c>
      <c r="L108" s="173">
        <f>IFERROR(IF(AND('Key inputs_EB_TRF'!E51/SUM('Key inputs_EB_TRF'!E$40:E$53)&gt;0,'Key inputs_EB_TRF'!E51/SUM('Key inputs_EB_TRF'!E$40:E$53)&lt;0.001),0.001,'Key inputs_EB_TRF'!E51/SUM('Key inputs_EB_TRF'!E$40:E$53)),"")</f>
        <v>0.81149476611323779</v>
      </c>
      <c r="M108" s="173">
        <f>IFERROR(IF(AND('Key inputs_EB_TRF'!F51/SUM('Key inputs_EB_TRF'!F$40:F$53)&gt;0,'Key inputs_EB_TRF'!F51/SUM('Key inputs_EB_TRF'!F$40:F$53)&lt;0.001),0.001,'Key inputs_EB_TRF'!F51/SUM('Key inputs_EB_TRF'!F$40:F$53)),"")</f>
        <v>3.029229312307807E-2</v>
      </c>
      <c r="N108" s="173">
        <f>IFERROR(IF(AND('Key inputs_EB_TRF'!G51/SUM('Key inputs_EB_TRF'!G$40:G$53)&gt;0,'Key inputs_EB_TRF'!G51/SUM('Key inputs_EB_TRF'!G$40:G$53)&lt;0.001),0.001,'Key inputs_EB_TRF'!G51/SUM('Key inputs_EB_TRF'!G$40:G$53)),"")</f>
        <v>0.11139145718217222</v>
      </c>
      <c r="O108" s="173">
        <f>IFERROR(IF(AND('Key inputs_EB_TRF'!H51/SUM('Key inputs_EB_TRF'!H$40:H$53)&gt;0,'Key inputs_EB_TRF'!H51/SUM('Key inputs_EB_TRF'!H$40:H$53)&lt;0.001),0.001,'Key inputs_EB_TRF'!H51/SUM('Key inputs_EB_TRF'!H$40:H$53)),"")</f>
        <v>0.99952743020778967</v>
      </c>
      <c r="P108" s="173">
        <f>IFERROR(IF(AND('Key inputs_EB_TRF'!I51/SUM('Key inputs_EB_TRF'!I$40:I$53)&gt;0,'Key inputs_EB_TRF'!I51/SUM('Key inputs_EB_TRF'!I$40:I$53)&lt;0.001),0.001,'Key inputs_EB_TRF'!I51/SUM('Key inputs_EB_TRF'!I$40:I$53)),"")</f>
        <v>0.91630864126266831</v>
      </c>
      <c r="Q108" s="173">
        <f>IFERROR(IF(AND('Key inputs_EB_TRF'!J51/SUM('Key inputs_EB_TRF'!J$40:J$53)&gt;0,'Key inputs_EB_TRF'!J51/SUM('Key inputs_EB_TRF'!J$40:J$53)&lt;0.001),0.001,'Key inputs_EB_TRF'!J51/SUM('Key inputs_EB_TRF'!J$40:J$53)),"")</f>
        <v>0.84862389577611164</v>
      </c>
      <c r="R108" s="173">
        <f>IFERROR(IF(AND('Key inputs_EB_TRF'!K51/SUM('Key inputs_EB_TRF'!K$40:K$53)&gt;0,'Key inputs_EB_TRF'!K51/SUM('Key inputs_EB_TRF'!K$40:K$53)&lt;0.001),0.001,'Key inputs_EB_TRF'!K51/SUM('Key inputs_EB_TRF'!K$40:K$53)),"")</f>
        <v>0.74563710255797278</v>
      </c>
      <c r="S108" s="173">
        <f>IFERROR(IF(AND('Key inputs_EB_TRF'!L51/SUM('Key inputs_EB_TRF'!L$40:L$53)&gt;0,'Key inputs_EB_TRF'!L51/SUM('Key inputs_EB_TRF'!L$40:L$53)&lt;0.001),0.001,'Key inputs_EB_TRF'!L51/SUM('Key inputs_EB_TRF'!L$40:L$53)),"")</f>
        <v>0.33260248175673401</v>
      </c>
      <c r="T108" s="173">
        <f>IFERROR(IF(AND('Key inputs_EB_TRF'!M51/SUM('Key inputs_EB_TRF'!M$40:M$53)&gt;0,'Key inputs_EB_TRF'!M51/SUM('Key inputs_EB_TRF'!M$40:M$53)&lt;0.001),0.001,'Key inputs_EB_TRF'!M51/SUM('Key inputs_EB_TRF'!M$40:M$53)),"")</f>
        <v>0</v>
      </c>
      <c r="U108" s="173">
        <f>IFERROR(IF(AND('Key inputs_EB_TRF'!N51/SUM('Key inputs_EB_TRF'!N$40:N$53)&gt;0,'Key inputs_EB_TRF'!N51/SUM('Key inputs_EB_TRF'!N$40:N$53)&lt;0.001),0.001,'Key inputs_EB_TRF'!N51/SUM('Key inputs_EB_TRF'!N$40:N$53)),"")</f>
        <v>0</v>
      </c>
      <c r="V108" s="173">
        <f>IFERROR(IF(AND('Key inputs_EB_TRF'!O51/SUM('Key inputs_EB_TRF'!O$40:O$53)&gt;0,'Key inputs_EB_TRF'!O51/SUM('Key inputs_EB_TRF'!O$40:O$53)&lt;0.001),0.001,'Key inputs_EB_TRF'!O51/SUM('Key inputs_EB_TRF'!O$40:O$53)),"")</f>
        <v>0</v>
      </c>
      <c r="W108" s="173">
        <f>IFERROR(IF(AND('Key inputs_EB_TRF'!P51/SUM('Key inputs_EB_TRF'!P$40:P$53)&gt;0,'Key inputs_EB_TRF'!P51/SUM('Key inputs_EB_TRF'!P$40:P$53)&lt;0.001),0.001,'Key inputs_EB_TRF'!P51/SUM('Key inputs_EB_TRF'!P$40:P$53)),"")</f>
        <v>1.1916708479678876E-2</v>
      </c>
      <c r="X108" s="173">
        <f>IFERROR(IF(AND('Key inputs_EB_TRF'!Q51/SUM('Key inputs_EB_TRF'!Q$40:Q$53)&gt;0,'Key inputs_EB_TRF'!Q51/SUM('Key inputs_EB_TRF'!Q$40:Q$53)&lt;0.001),0.001,'Key inputs_EB_TRF'!Q51/SUM('Key inputs_EB_TRF'!Q$40:Q$53)),"")</f>
        <v>0.94485053974147415</v>
      </c>
      <c r="Y108" s="173">
        <f>IFERROR(IF(AND('Key inputs_EB_TRF'!R51/SUM('Key inputs_EB_TRF'!R$40:R$53)&gt;0,'Key inputs_EB_TRF'!R51/SUM('Key inputs_EB_TRF'!R$40:R$53)&lt;0.001),0.001,'Key inputs_EB_TRF'!R51/SUM('Key inputs_EB_TRF'!R$40:R$53)),"")</f>
        <v>0</v>
      </c>
      <c r="Z108" s="173">
        <f>IFERROR(IF(AND('Key inputs_EB_TRF'!S51/SUM('Key inputs_EB_TRF'!S$40:S$53)&gt;0,'Key inputs_EB_TRF'!S51/SUM('Key inputs_EB_TRF'!S$40:S$53)&lt;0.001),0.001,'Key inputs_EB_TRF'!S51/SUM('Key inputs_EB_TRF'!S$40:S$53)),"")</f>
        <v>0</v>
      </c>
      <c r="AA108" s="173">
        <f>IFERROR(IF(AND('Key inputs_EB_TRF'!T51/SUM('Key inputs_EB_TRF'!T$40:T$53)&gt;0,'Key inputs_EB_TRF'!T51/SUM('Key inputs_EB_TRF'!T$40:T$53)&lt;0.001),0.001,'Key inputs_EB_TRF'!T51/SUM('Key inputs_EB_TRF'!T$40:T$53)),"")</f>
        <v>0.16699909679361735</v>
      </c>
      <c r="AB108" s="173">
        <f>IFERROR(IF(AND('Key inputs_EB_TRF'!U51/SUM('Key inputs_EB_TRF'!U$40:U$53)&gt;0,'Key inputs_EB_TRF'!U51/SUM('Key inputs_EB_TRF'!U$40:U$53)&lt;0.001),0.001,'Key inputs_EB_TRF'!U51/SUM('Key inputs_EB_TRF'!U$40:U$53)),"")</f>
        <v>0.31016812423225709</v>
      </c>
      <c r="AC108" s="173">
        <f>IFERROR(IF(AND('Key inputs_EB_TRF'!V51/SUM('Key inputs_EB_TRF'!V$40:V$53)&gt;0,'Key inputs_EB_TRF'!V51/SUM('Key inputs_EB_TRF'!V$40:V$53)&lt;0.001),0.001,'Key inputs_EB_TRF'!V51/SUM('Key inputs_EB_TRF'!V$40:V$53)),"")</f>
        <v>0.33120505112311227</v>
      </c>
      <c r="AD108" s="173">
        <f>IFERROR(IF(AND('Key inputs_EB_TRF'!W51/SUM('Key inputs_EB_TRF'!W$40:W$53)&gt;0,'Key inputs_EB_TRF'!W51/SUM('Key inputs_EB_TRF'!W$40:W$53)&lt;0.001),0.001,'Key inputs_EB_TRF'!W51/SUM('Key inputs_EB_TRF'!W$40:W$53)),"")</f>
        <v>0</v>
      </c>
      <c r="AE108" s="173">
        <f>IFERROR(IF(AND('Key inputs_EB_TRF'!X51/SUM('Key inputs_EB_TRF'!X$40:X$53)&gt;0,'Key inputs_EB_TRF'!X51/SUM('Key inputs_EB_TRF'!X$40:X$53)&lt;0.001),0.001,'Key inputs_EB_TRF'!X51/SUM('Key inputs_EB_TRF'!X$40:X$53)),"")</f>
        <v>0.8332289814420597</v>
      </c>
      <c r="AF108" s="173">
        <f>IFERROR(IF(AND('Key inputs_EB_TRF'!Y51/SUM('Key inputs_EB_TRF'!Y$40:Y$53)&gt;0,'Key inputs_EB_TRF'!Y51/SUM('Key inputs_EB_TRF'!Y$40:Y$53)&lt;0.001),0.001,'Key inputs_EB_TRF'!Y51/SUM('Key inputs_EB_TRF'!Y$40:Y$53)),"")</f>
        <v>8.9450138471370746E-2</v>
      </c>
      <c r="AG108" s="173">
        <f>IFERROR(IF(AND('Key inputs_EB_TRF'!Z51/SUM('Key inputs_EB_TRF'!Z$40:Z$53)&gt;0,'Key inputs_EB_TRF'!Z51/SUM('Key inputs_EB_TRF'!Z$40:Z$53)&lt;0.001),0.001,'Key inputs_EB_TRF'!Z51/SUM('Key inputs_EB_TRF'!Z$40:Z$53)),"")</f>
        <v>0.99872487296497159</v>
      </c>
      <c r="AH108" s="173">
        <f>IFERROR(IF(AND('Key inputs_EB_TRF'!AA51/SUM('Key inputs_EB_TRF'!AA$40:AA$53)&gt;0,'Key inputs_EB_TRF'!AA51/SUM('Key inputs_EB_TRF'!AA$40:AA$53)&lt;0.001),0.001,'Key inputs_EB_TRF'!AA51/SUM('Key inputs_EB_TRF'!AA$40:AA$53)),"")</f>
        <v>1</v>
      </c>
      <c r="AI108" s="173">
        <f>IFERROR(IF(AND('Key inputs_EB_TRF'!AB51/SUM('Key inputs_EB_TRF'!AB$40:AB$53)&gt;0,'Key inputs_EB_TRF'!AB51/SUM('Key inputs_EB_TRF'!AB$40:AB$53)&lt;0.001),0.001,'Key inputs_EB_TRF'!AB51/SUM('Key inputs_EB_TRF'!AB$40:AB$53)),"")</f>
        <v>0</v>
      </c>
      <c r="AJ108" s="173">
        <f>IFERROR(IF(AND('Key inputs_EB_TRF'!AC51/SUM('Key inputs_EB_TRF'!AC$40:AC$53)&gt;0,'Key inputs_EB_TRF'!AC51/SUM('Key inputs_EB_TRF'!AC$40:AC$53)&lt;0.001),0.001,'Key inputs_EB_TRF'!AC51/SUM('Key inputs_EB_TRF'!AC$40:AC$53)),"")</f>
        <v>0</v>
      </c>
      <c r="AK108" s="173">
        <f>IFERROR(IF(AND('Key inputs_EB_TRF'!AD51/SUM('Key inputs_EB_TRF'!AD$40:AD$53)&gt;0,'Key inputs_EB_TRF'!AD51/SUM('Key inputs_EB_TRF'!AD$40:AD$53)&lt;0.001),0.001,'Key inputs_EB_TRF'!AD51/SUM('Key inputs_EB_TRF'!AD$40:AD$53)),"")</f>
        <v>0</v>
      </c>
      <c r="AL108" s="173">
        <f>IFERROR(IF(AND('Key inputs_EB_TRF'!AE51/SUM('Key inputs_EB_TRF'!AE$40:AE$53)&gt;0,'Key inputs_EB_TRF'!AE51/SUM('Key inputs_EB_TRF'!AE$40:AE$53)&lt;0.001),0.001,'Key inputs_EB_TRF'!AE51/SUM('Key inputs_EB_TRF'!AE$40:AE$53)),"")</f>
        <v>0.94699977373918309</v>
      </c>
    </row>
    <row r="109" spans="3:38">
      <c r="C109" s="4" t="str">
        <f>Commodities!$C$55</f>
        <v>OILOPP</v>
      </c>
      <c r="F109" s="4" t="s">
        <v>363</v>
      </c>
      <c r="G109" s="4" t="s">
        <v>702</v>
      </c>
      <c r="H109" t="s">
        <v>661</v>
      </c>
      <c r="I109">
        <v>2019</v>
      </c>
      <c r="J109" t="s">
        <v>650</v>
      </c>
      <c r="K109" s="173">
        <f>IFERROR(IF(AND('Key inputs_EB_TRF'!D52/SUM('Key inputs_EB_TRF'!D$40:D$53)&gt;0,'Key inputs_EB_TRF'!D52/SUM('Key inputs_EB_TRF'!D$40:D$53)&lt;0.001),0.001,'Key inputs_EB_TRF'!D52/SUM('Key inputs_EB_TRF'!D$40:D$53)),"")</f>
        <v>0</v>
      </c>
      <c r="L109" s="173">
        <f>IFERROR(IF(AND('Key inputs_EB_TRF'!E52/SUM('Key inputs_EB_TRF'!E$40:E$53)&gt;0,'Key inputs_EB_TRF'!E52/SUM('Key inputs_EB_TRF'!E$40:E$53)&lt;0.001),0.001,'Key inputs_EB_TRF'!E52/SUM('Key inputs_EB_TRF'!E$40:E$53)),"")</f>
        <v>0</v>
      </c>
      <c r="M109" s="173">
        <f>IFERROR(IF(AND('Key inputs_EB_TRF'!F52/SUM('Key inputs_EB_TRF'!F$40:F$53)&gt;0,'Key inputs_EB_TRF'!F52/SUM('Key inputs_EB_TRF'!F$40:F$53)&lt;0.001),0.001,'Key inputs_EB_TRF'!F52/SUM('Key inputs_EB_TRF'!F$40:F$53)),"")</f>
        <v>0</v>
      </c>
      <c r="N109" s="173">
        <f>IFERROR(IF(AND('Key inputs_EB_TRF'!G52/SUM('Key inputs_EB_TRF'!G$40:G$53)&gt;0,'Key inputs_EB_TRF'!G52/SUM('Key inputs_EB_TRF'!G$40:G$53)&lt;0.001),0.001,'Key inputs_EB_TRF'!G52/SUM('Key inputs_EB_TRF'!G$40:G$53)),"")</f>
        <v>0</v>
      </c>
      <c r="O109" s="173">
        <f>IFERROR(IF(AND('Key inputs_EB_TRF'!H52/SUM('Key inputs_EB_TRF'!H$40:H$53)&gt;0,'Key inputs_EB_TRF'!H52/SUM('Key inputs_EB_TRF'!H$40:H$53)&lt;0.001),0.001,'Key inputs_EB_TRF'!H52/SUM('Key inputs_EB_TRF'!H$40:H$53)),"")</f>
        <v>0</v>
      </c>
      <c r="P109" s="173">
        <f>IFERROR(IF(AND('Key inputs_EB_TRF'!I52/SUM('Key inputs_EB_TRF'!I$40:I$53)&gt;0,'Key inputs_EB_TRF'!I52/SUM('Key inputs_EB_TRF'!I$40:I$53)&lt;0.001),0.001,'Key inputs_EB_TRF'!I52/SUM('Key inputs_EB_TRF'!I$40:I$53)),"")</f>
        <v>0</v>
      </c>
      <c r="Q109" s="173">
        <f>IFERROR(IF(AND('Key inputs_EB_TRF'!J52/SUM('Key inputs_EB_TRF'!J$40:J$53)&gt;0,'Key inputs_EB_TRF'!J52/SUM('Key inputs_EB_TRF'!J$40:J$53)&lt;0.001),0.001,'Key inputs_EB_TRF'!J52/SUM('Key inputs_EB_TRF'!J$40:J$53)),"")</f>
        <v>0</v>
      </c>
      <c r="R109" s="173">
        <f>IFERROR(IF(AND('Key inputs_EB_TRF'!K52/SUM('Key inputs_EB_TRF'!K$40:K$53)&gt;0,'Key inputs_EB_TRF'!K52/SUM('Key inputs_EB_TRF'!K$40:K$53)&lt;0.001),0.001,'Key inputs_EB_TRF'!K52/SUM('Key inputs_EB_TRF'!K$40:K$53)),"")</f>
        <v>0</v>
      </c>
      <c r="S109" s="173">
        <f>IFERROR(IF(AND('Key inputs_EB_TRF'!L52/SUM('Key inputs_EB_TRF'!L$40:L$53)&gt;0,'Key inputs_EB_TRF'!L52/SUM('Key inputs_EB_TRF'!L$40:L$53)&lt;0.001),0.001,'Key inputs_EB_TRF'!L52/SUM('Key inputs_EB_TRF'!L$40:L$53)),"")</f>
        <v>0</v>
      </c>
      <c r="T109" s="173">
        <f>IFERROR(IF(AND('Key inputs_EB_TRF'!M52/SUM('Key inputs_EB_TRF'!M$40:M$53)&gt;0,'Key inputs_EB_TRF'!M52/SUM('Key inputs_EB_TRF'!M$40:M$53)&lt;0.001),0.001,'Key inputs_EB_TRF'!M52/SUM('Key inputs_EB_TRF'!M$40:M$53)),"")</f>
        <v>0</v>
      </c>
      <c r="U109" s="173">
        <f>IFERROR(IF(AND('Key inputs_EB_TRF'!N52/SUM('Key inputs_EB_TRF'!N$40:N$53)&gt;0,'Key inputs_EB_TRF'!N52/SUM('Key inputs_EB_TRF'!N$40:N$53)&lt;0.001),0.001,'Key inputs_EB_TRF'!N52/SUM('Key inputs_EB_TRF'!N$40:N$53)),"")</f>
        <v>0</v>
      </c>
      <c r="V109" s="173">
        <f>IFERROR(IF(AND('Key inputs_EB_TRF'!O52/SUM('Key inputs_EB_TRF'!O$40:O$53)&gt;0,'Key inputs_EB_TRF'!O52/SUM('Key inputs_EB_TRF'!O$40:O$53)&lt;0.001),0.001,'Key inputs_EB_TRF'!O52/SUM('Key inputs_EB_TRF'!O$40:O$53)),"")</f>
        <v>0.68424876518016697</v>
      </c>
      <c r="W109" s="173">
        <f>IFERROR(IF(AND('Key inputs_EB_TRF'!P52/SUM('Key inputs_EB_TRF'!P$40:P$53)&gt;0,'Key inputs_EB_TRF'!P52/SUM('Key inputs_EB_TRF'!P$40:P$53)&lt;0.001),0.001,'Key inputs_EB_TRF'!P52/SUM('Key inputs_EB_TRF'!P$40:P$53)),"")</f>
        <v>0</v>
      </c>
      <c r="X109" s="173">
        <f>IFERROR(IF(AND('Key inputs_EB_TRF'!Q52/SUM('Key inputs_EB_TRF'!Q$40:Q$53)&gt;0,'Key inputs_EB_TRF'!Q52/SUM('Key inputs_EB_TRF'!Q$40:Q$53)&lt;0.001),0.001,'Key inputs_EB_TRF'!Q52/SUM('Key inputs_EB_TRF'!Q$40:Q$53)),"")</f>
        <v>0</v>
      </c>
      <c r="Y109" s="173">
        <f>IFERROR(IF(AND('Key inputs_EB_TRF'!R52/SUM('Key inputs_EB_TRF'!R$40:R$53)&gt;0,'Key inputs_EB_TRF'!R52/SUM('Key inputs_EB_TRF'!R$40:R$53)&lt;0.001),0.001,'Key inputs_EB_TRF'!R52/SUM('Key inputs_EB_TRF'!R$40:R$53)),"")</f>
        <v>0</v>
      </c>
      <c r="Z109" s="173">
        <f>IFERROR(IF(AND('Key inputs_EB_TRF'!S52/SUM('Key inputs_EB_TRF'!S$40:S$53)&gt;0,'Key inputs_EB_TRF'!S52/SUM('Key inputs_EB_TRF'!S$40:S$53)&lt;0.001),0.001,'Key inputs_EB_TRF'!S52/SUM('Key inputs_EB_TRF'!S$40:S$53)),"")</f>
        <v>0</v>
      </c>
      <c r="AA109" s="173">
        <f>IFERROR(IF(AND('Key inputs_EB_TRF'!T52/SUM('Key inputs_EB_TRF'!T$40:T$53)&gt;0,'Key inputs_EB_TRF'!T52/SUM('Key inputs_EB_TRF'!T$40:T$53)&lt;0.001),0.001,'Key inputs_EB_TRF'!T52/SUM('Key inputs_EB_TRF'!T$40:T$53)),"")</f>
        <v>0</v>
      </c>
      <c r="AB109" s="173">
        <f>IFERROR(IF(AND('Key inputs_EB_TRF'!U52/SUM('Key inputs_EB_TRF'!U$40:U$53)&gt;0,'Key inputs_EB_TRF'!U52/SUM('Key inputs_EB_TRF'!U$40:U$53)&lt;0.001),0.001,'Key inputs_EB_TRF'!U52/SUM('Key inputs_EB_TRF'!U$40:U$53)),"")</f>
        <v>0</v>
      </c>
      <c r="AC109" s="173">
        <f>IFERROR(IF(AND('Key inputs_EB_TRF'!V52/SUM('Key inputs_EB_TRF'!V$40:V$53)&gt;0,'Key inputs_EB_TRF'!V52/SUM('Key inputs_EB_TRF'!V$40:V$53)&lt;0.001),0.001,'Key inputs_EB_TRF'!V52/SUM('Key inputs_EB_TRF'!V$40:V$53)),"")</f>
        <v>0</v>
      </c>
      <c r="AD109" s="173">
        <f>IFERROR(IF(AND('Key inputs_EB_TRF'!W52/SUM('Key inputs_EB_TRF'!W$40:W$53)&gt;0,'Key inputs_EB_TRF'!W52/SUM('Key inputs_EB_TRF'!W$40:W$53)&lt;0.001),0.001,'Key inputs_EB_TRF'!W52/SUM('Key inputs_EB_TRF'!W$40:W$53)),"")</f>
        <v>2.6512968299711816E-2</v>
      </c>
      <c r="AE109" s="173">
        <f>IFERROR(IF(AND('Key inputs_EB_TRF'!X52/SUM('Key inputs_EB_TRF'!X$40:X$53)&gt;0,'Key inputs_EB_TRF'!X52/SUM('Key inputs_EB_TRF'!X$40:X$53)&lt;0.001),0.001,'Key inputs_EB_TRF'!X52/SUM('Key inputs_EB_TRF'!X$40:X$53)),"")</f>
        <v>0</v>
      </c>
      <c r="AF109" s="173">
        <f>IFERROR(IF(AND('Key inputs_EB_TRF'!Y52/SUM('Key inputs_EB_TRF'!Y$40:Y$53)&gt;0,'Key inputs_EB_TRF'!Y52/SUM('Key inputs_EB_TRF'!Y$40:Y$53)&lt;0.001),0.001,'Key inputs_EB_TRF'!Y52/SUM('Key inputs_EB_TRF'!Y$40:Y$53)),"")</f>
        <v>0</v>
      </c>
      <c r="AG109" s="173">
        <f>IFERROR(IF(AND('Key inputs_EB_TRF'!Z52/SUM('Key inputs_EB_TRF'!Z$40:Z$53)&gt;0,'Key inputs_EB_TRF'!Z52/SUM('Key inputs_EB_TRF'!Z$40:Z$53)&lt;0.001),0.001,'Key inputs_EB_TRF'!Z52/SUM('Key inputs_EB_TRF'!Z$40:Z$53)),"")</f>
        <v>0</v>
      </c>
      <c r="AH109" s="173">
        <f>IFERROR(IF(AND('Key inputs_EB_TRF'!AA52/SUM('Key inputs_EB_TRF'!AA$40:AA$53)&gt;0,'Key inputs_EB_TRF'!AA52/SUM('Key inputs_EB_TRF'!AA$40:AA$53)&lt;0.001),0.001,'Key inputs_EB_TRF'!AA52/SUM('Key inputs_EB_TRF'!AA$40:AA$53)),"")</f>
        <v>0</v>
      </c>
      <c r="AI109" s="173">
        <f>IFERROR(IF(AND('Key inputs_EB_TRF'!AB52/SUM('Key inputs_EB_TRF'!AB$40:AB$53)&gt;0,'Key inputs_EB_TRF'!AB52/SUM('Key inputs_EB_TRF'!AB$40:AB$53)&lt;0.001),0.001,'Key inputs_EB_TRF'!AB52/SUM('Key inputs_EB_TRF'!AB$40:AB$53)),"")</f>
        <v>0</v>
      </c>
      <c r="AJ109" s="173">
        <f>IFERROR(IF(AND('Key inputs_EB_TRF'!AC52/SUM('Key inputs_EB_TRF'!AC$40:AC$53)&gt;0,'Key inputs_EB_TRF'!AC52/SUM('Key inputs_EB_TRF'!AC$40:AC$53)&lt;0.001),0.001,'Key inputs_EB_TRF'!AC52/SUM('Key inputs_EB_TRF'!AC$40:AC$53)),"")</f>
        <v>0</v>
      </c>
      <c r="AK109" s="173">
        <f>IFERROR(IF(AND('Key inputs_EB_TRF'!AD52/SUM('Key inputs_EB_TRF'!AD$40:AD$53)&gt;0,'Key inputs_EB_TRF'!AD52/SUM('Key inputs_EB_TRF'!AD$40:AD$53)&lt;0.001),0.001,'Key inputs_EB_TRF'!AD52/SUM('Key inputs_EB_TRF'!AD$40:AD$53)),"")</f>
        <v>0</v>
      </c>
      <c r="AL109" s="173">
        <f>IFERROR(IF(AND('Key inputs_EB_TRF'!AE52/SUM('Key inputs_EB_TRF'!AE$40:AE$53)&gt;0,'Key inputs_EB_TRF'!AE52/SUM('Key inputs_EB_TRF'!AE$40:AE$53)&lt;0.001),0.001,'Key inputs_EB_TRF'!AE52/SUM('Key inputs_EB_TRF'!AE$40:AE$53)),"")</f>
        <v>0</v>
      </c>
    </row>
    <row r="110" spans="3:38">
      <c r="C110" s="4" t="str">
        <f>Commodities!$C$135</f>
        <v>WASTEN</v>
      </c>
      <c r="F110" s="4" t="s">
        <v>363</v>
      </c>
      <c r="G110" s="4" t="s">
        <v>702</v>
      </c>
      <c r="H110" t="s">
        <v>661</v>
      </c>
      <c r="I110">
        <v>2019</v>
      </c>
      <c r="J110" t="s">
        <v>650</v>
      </c>
      <c r="K110" s="173">
        <f>IFERROR(IF(AND('Key inputs_EB_TRF'!D53/SUM('Key inputs_EB_TRF'!D$40:D$53)&gt;0,'Key inputs_EB_TRF'!D53/SUM('Key inputs_EB_TRF'!D$40:D$53)&lt;0.001),0.001,'Key inputs_EB_TRF'!D53/SUM('Key inputs_EB_TRF'!D$40:D$53)),"")</f>
        <v>0</v>
      </c>
      <c r="L110" s="173">
        <f>IFERROR(IF(AND('Key inputs_EB_TRF'!E53/SUM('Key inputs_EB_TRF'!E$40:E$53)&gt;0,'Key inputs_EB_TRF'!E53/SUM('Key inputs_EB_TRF'!E$40:E$53)&lt;0.001),0.001,'Key inputs_EB_TRF'!E53/SUM('Key inputs_EB_TRF'!E$40:E$53)),"")</f>
        <v>0</v>
      </c>
      <c r="M110" s="173">
        <f>IFERROR(IF(AND('Key inputs_EB_TRF'!F53/SUM('Key inputs_EB_TRF'!F$40:F$53)&gt;0,'Key inputs_EB_TRF'!F53/SUM('Key inputs_EB_TRF'!F$40:F$53)&lt;0.001),0.001,'Key inputs_EB_TRF'!F53/SUM('Key inputs_EB_TRF'!F$40:F$53)),"")</f>
        <v>1E-3</v>
      </c>
      <c r="N110" s="173">
        <f>IFERROR(IF(AND('Key inputs_EB_TRF'!G53/SUM('Key inputs_EB_TRF'!G$40:G$53)&gt;0,'Key inputs_EB_TRF'!G53/SUM('Key inputs_EB_TRF'!G$40:G$53)&lt;0.001),0.001,'Key inputs_EB_TRF'!G53/SUM('Key inputs_EB_TRF'!G$40:G$53)),"")</f>
        <v>0</v>
      </c>
      <c r="O110" s="173">
        <f>IFERROR(IF(AND('Key inputs_EB_TRF'!H53/SUM('Key inputs_EB_TRF'!H$40:H$53)&gt;0,'Key inputs_EB_TRF'!H53/SUM('Key inputs_EB_TRF'!H$40:H$53)&lt;0.001),0.001,'Key inputs_EB_TRF'!H53/SUM('Key inputs_EB_TRF'!H$40:H$53)),"")</f>
        <v>0</v>
      </c>
      <c r="P110" s="173">
        <f>IFERROR(IF(AND('Key inputs_EB_TRF'!I53/SUM('Key inputs_EB_TRF'!I$40:I$53)&gt;0,'Key inputs_EB_TRF'!I53/SUM('Key inputs_EB_TRF'!I$40:I$53)&lt;0.001),0.001,'Key inputs_EB_TRF'!I53/SUM('Key inputs_EB_TRF'!I$40:I$53)),"")</f>
        <v>0</v>
      </c>
      <c r="Q110" s="173">
        <f>IFERROR(IF(AND('Key inputs_EB_TRF'!J53/SUM('Key inputs_EB_TRF'!J$40:J$53)&gt;0,'Key inputs_EB_TRF'!J53/SUM('Key inputs_EB_TRF'!J$40:J$53)&lt;0.001),0.001,'Key inputs_EB_TRF'!J53/SUM('Key inputs_EB_TRF'!J$40:J$53)),"")</f>
        <v>0</v>
      </c>
      <c r="R110" s="173">
        <f>IFERROR(IF(AND('Key inputs_EB_TRF'!K53/SUM('Key inputs_EB_TRF'!K$40:K$53)&gt;0,'Key inputs_EB_TRF'!K53/SUM('Key inputs_EB_TRF'!K$40:K$53)&lt;0.001),0.001,'Key inputs_EB_TRF'!K53/SUM('Key inputs_EB_TRF'!K$40:K$53)),"")</f>
        <v>0</v>
      </c>
      <c r="S110" s="173">
        <f>IFERROR(IF(AND('Key inputs_EB_TRF'!L53/SUM('Key inputs_EB_TRF'!L$40:L$53)&gt;0,'Key inputs_EB_TRF'!L53/SUM('Key inputs_EB_TRF'!L$40:L$53)&lt;0.001),0.001,'Key inputs_EB_TRF'!L53/SUM('Key inputs_EB_TRF'!L$40:L$53)),"")</f>
        <v>0</v>
      </c>
      <c r="T110" s="173">
        <f>IFERROR(IF(AND('Key inputs_EB_TRF'!M53/SUM('Key inputs_EB_TRF'!M$40:M$53)&gt;0,'Key inputs_EB_TRF'!M53/SUM('Key inputs_EB_TRF'!M$40:M$53)&lt;0.001),0.001,'Key inputs_EB_TRF'!M53/SUM('Key inputs_EB_TRF'!M$40:M$53)),"")</f>
        <v>0</v>
      </c>
      <c r="U110" s="173">
        <f>IFERROR(IF(AND('Key inputs_EB_TRF'!N53/SUM('Key inputs_EB_TRF'!N$40:N$53)&gt;0,'Key inputs_EB_TRF'!N53/SUM('Key inputs_EB_TRF'!N$40:N$53)&lt;0.001),0.001,'Key inputs_EB_TRF'!N53/SUM('Key inputs_EB_TRF'!N$40:N$53)),"")</f>
        <v>0</v>
      </c>
      <c r="V110" s="173">
        <f>IFERROR(IF(AND('Key inputs_EB_TRF'!O53/SUM('Key inputs_EB_TRF'!O$40:O$53)&gt;0,'Key inputs_EB_TRF'!O53/SUM('Key inputs_EB_TRF'!O$40:O$53)&lt;0.001),0.001,'Key inputs_EB_TRF'!O53/SUM('Key inputs_EB_TRF'!O$40:O$53)),"")</f>
        <v>0</v>
      </c>
      <c r="W110" s="173">
        <f>IFERROR(IF(AND('Key inputs_EB_TRF'!P53/SUM('Key inputs_EB_TRF'!P$40:P$53)&gt;0,'Key inputs_EB_TRF'!P53/SUM('Key inputs_EB_TRF'!P$40:P$53)&lt;0.001),0.001,'Key inputs_EB_TRF'!P53/SUM('Key inputs_EB_TRF'!P$40:P$53)),"")</f>
        <v>0</v>
      </c>
      <c r="X110" s="173">
        <f>IFERROR(IF(AND('Key inputs_EB_TRF'!Q53/SUM('Key inputs_EB_TRF'!Q$40:Q$53)&gt;0,'Key inputs_EB_TRF'!Q53/SUM('Key inputs_EB_TRF'!Q$40:Q$53)&lt;0.001),0.001,'Key inputs_EB_TRF'!Q53/SUM('Key inputs_EB_TRF'!Q$40:Q$53)),"")</f>
        <v>0</v>
      </c>
      <c r="Y110" s="173">
        <f>IFERROR(IF(AND('Key inputs_EB_TRF'!R53/SUM('Key inputs_EB_TRF'!R$40:R$53)&gt;0,'Key inputs_EB_TRF'!R53/SUM('Key inputs_EB_TRF'!R$40:R$53)&lt;0.001),0.001,'Key inputs_EB_TRF'!R53/SUM('Key inputs_EB_TRF'!R$40:R$53)),"")</f>
        <v>0</v>
      </c>
      <c r="Z110" s="173">
        <f>IFERROR(IF(AND('Key inputs_EB_TRF'!S53/SUM('Key inputs_EB_TRF'!S$40:S$53)&gt;0,'Key inputs_EB_TRF'!S53/SUM('Key inputs_EB_TRF'!S$40:S$53)&lt;0.001),0.001,'Key inputs_EB_TRF'!S53/SUM('Key inputs_EB_TRF'!S$40:S$53)),"")</f>
        <v>0</v>
      </c>
      <c r="AA110" s="173">
        <f>IFERROR(IF(AND('Key inputs_EB_TRF'!T53/SUM('Key inputs_EB_TRF'!T$40:T$53)&gt;0,'Key inputs_EB_TRF'!T53/SUM('Key inputs_EB_TRF'!T$40:T$53)&lt;0.001),0.001,'Key inputs_EB_TRF'!T53/SUM('Key inputs_EB_TRF'!T$40:T$53)),"")</f>
        <v>0</v>
      </c>
      <c r="AB110" s="173">
        <f>IFERROR(IF(AND('Key inputs_EB_TRF'!U53/SUM('Key inputs_EB_TRF'!U$40:U$53)&gt;0,'Key inputs_EB_TRF'!U53/SUM('Key inputs_EB_TRF'!U$40:U$53)&lt;0.001),0.001,'Key inputs_EB_TRF'!U53/SUM('Key inputs_EB_TRF'!U$40:U$53)),"")</f>
        <v>0</v>
      </c>
      <c r="AC110" s="173">
        <f>IFERROR(IF(AND('Key inputs_EB_TRF'!V53/SUM('Key inputs_EB_TRF'!V$40:V$53)&gt;0,'Key inputs_EB_TRF'!V53/SUM('Key inputs_EB_TRF'!V$40:V$53)&lt;0.001),0.001,'Key inputs_EB_TRF'!V53/SUM('Key inputs_EB_TRF'!V$40:V$53)),"")</f>
        <v>0</v>
      </c>
      <c r="AD110" s="173">
        <f>IFERROR(IF(AND('Key inputs_EB_TRF'!W53/SUM('Key inputs_EB_TRF'!W$40:W$53)&gt;0,'Key inputs_EB_TRF'!W53/SUM('Key inputs_EB_TRF'!W$40:W$53)&lt;0.001),0.001,'Key inputs_EB_TRF'!W53/SUM('Key inputs_EB_TRF'!W$40:W$53)),"")</f>
        <v>0</v>
      </c>
      <c r="AE110" s="173">
        <f>IFERROR(IF(AND('Key inputs_EB_TRF'!X53/SUM('Key inputs_EB_TRF'!X$40:X$53)&gt;0,'Key inputs_EB_TRF'!X53/SUM('Key inputs_EB_TRF'!X$40:X$53)&lt;0.001),0.001,'Key inputs_EB_TRF'!X53/SUM('Key inputs_EB_TRF'!X$40:X$53)),"")</f>
        <v>0</v>
      </c>
      <c r="AF110" s="173">
        <f>IFERROR(IF(AND('Key inputs_EB_TRF'!Y53/SUM('Key inputs_EB_TRF'!Y$40:Y$53)&gt;0,'Key inputs_EB_TRF'!Y53/SUM('Key inputs_EB_TRF'!Y$40:Y$53)&lt;0.001),0.001,'Key inputs_EB_TRF'!Y53/SUM('Key inputs_EB_TRF'!Y$40:Y$53)),"")</f>
        <v>0</v>
      </c>
      <c r="AG110" s="173">
        <f>IFERROR(IF(AND('Key inputs_EB_TRF'!Z53/SUM('Key inputs_EB_TRF'!Z$40:Z$53)&gt;0,'Key inputs_EB_TRF'!Z53/SUM('Key inputs_EB_TRF'!Z$40:Z$53)&lt;0.001),0.001,'Key inputs_EB_TRF'!Z53/SUM('Key inputs_EB_TRF'!Z$40:Z$53)),"")</f>
        <v>0</v>
      </c>
      <c r="AH110" s="173">
        <f>IFERROR(IF(AND('Key inputs_EB_TRF'!AA53/SUM('Key inputs_EB_TRF'!AA$40:AA$53)&gt;0,'Key inputs_EB_TRF'!AA53/SUM('Key inputs_EB_TRF'!AA$40:AA$53)&lt;0.001),0.001,'Key inputs_EB_TRF'!AA53/SUM('Key inputs_EB_TRF'!AA$40:AA$53)),"")</f>
        <v>0</v>
      </c>
      <c r="AI110" s="173">
        <f>IFERROR(IF(AND('Key inputs_EB_TRF'!AB53/SUM('Key inputs_EB_TRF'!AB$40:AB$53)&gt;0,'Key inputs_EB_TRF'!AB53/SUM('Key inputs_EB_TRF'!AB$40:AB$53)&lt;0.001),0.001,'Key inputs_EB_TRF'!AB53/SUM('Key inputs_EB_TRF'!AB$40:AB$53)),"")</f>
        <v>0</v>
      </c>
      <c r="AJ110" s="173">
        <f>IFERROR(IF(AND('Key inputs_EB_TRF'!AC53/SUM('Key inputs_EB_TRF'!AC$40:AC$53)&gt;0,'Key inputs_EB_TRF'!AC53/SUM('Key inputs_EB_TRF'!AC$40:AC$53)&lt;0.001),0.001,'Key inputs_EB_TRF'!AC53/SUM('Key inputs_EB_TRF'!AC$40:AC$53)),"")</f>
        <v>0</v>
      </c>
      <c r="AK110" s="173">
        <f>IFERROR(IF(AND('Key inputs_EB_TRF'!AD53/SUM('Key inputs_EB_TRF'!AD$40:AD$53)&gt;0,'Key inputs_EB_TRF'!AD53/SUM('Key inputs_EB_TRF'!AD$40:AD$53)&lt;0.001),0.001,'Key inputs_EB_TRF'!AD53/SUM('Key inputs_EB_TRF'!AD$40:AD$53)),"")</f>
        <v>0</v>
      </c>
      <c r="AL110" s="173">
        <f>IFERROR(IF(AND('Key inputs_EB_TRF'!AE53/SUM('Key inputs_EB_TRF'!AE$40:AE$53)&gt;0,'Key inputs_EB_TRF'!AE53/SUM('Key inputs_EB_TRF'!AE$40:AE$53)&lt;0.001),0.001,'Key inputs_EB_TRF'!AE53/SUM('Key inputs_EB_TRF'!AE$40:AE$53)),"")</f>
        <v>0</v>
      </c>
    </row>
    <row r="111" spans="3:38">
      <c r="C111" s="4"/>
      <c r="D111" s="4" t="str">
        <f>Commodities!$C$39</f>
        <v>BIOMASSb</v>
      </c>
      <c r="G111" s="4" t="s">
        <v>705</v>
      </c>
      <c r="H111" t="s">
        <v>661</v>
      </c>
      <c r="I111">
        <v>2019</v>
      </c>
      <c r="J111" t="s">
        <v>650</v>
      </c>
      <c r="K111" s="173">
        <f>IFERROR(IF(AND('Key inputs_EB_TRF'!D75/SUM('Key inputs_EB_TRF'!D$75:D$83)&gt;0,'Key inputs_EB_TRF'!D75/SUM('Key inputs_EB_TRF'!D$75:D$83)&lt;0.001),0.001,'Key inputs_EB_TRF'!D75/SUM('Key inputs_EB_TRF'!D$75:D$83)),"")</f>
        <v>1</v>
      </c>
      <c r="L111" s="173">
        <f>IFERROR(IF(AND('Key inputs_EB_TRF'!E75/SUM('Key inputs_EB_TRF'!E$75:E$83)&gt;0,'Key inputs_EB_TRF'!E75/SUM('Key inputs_EB_TRF'!E$75:E$83)&lt;0.001),0.001,'Key inputs_EB_TRF'!E75/SUM('Key inputs_EB_TRF'!E$75:E$83)),"")</f>
        <v>0</v>
      </c>
      <c r="M111" s="173">
        <f>IFERROR(IF(AND('Key inputs_EB_TRF'!F75/SUM('Key inputs_EB_TRF'!F$75:F$83)&gt;0,'Key inputs_EB_TRF'!F75/SUM('Key inputs_EB_TRF'!F$75:F$83)&lt;0.001),0.001,'Key inputs_EB_TRF'!F75/SUM('Key inputs_EB_TRF'!F$75:F$83)),"")</f>
        <v>0</v>
      </c>
      <c r="N111" s="173">
        <f>IFERROR(IF(AND('Key inputs_EB_TRF'!G75/SUM('Key inputs_EB_TRF'!G$75:G$83)&gt;0,'Key inputs_EB_TRF'!G75/SUM('Key inputs_EB_TRF'!G$75:G$83)&lt;0.001),0.001,'Key inputs_EB_TRF'!G75/SUM('Key inputs_EB_TRF'!G$75:G$83)),"")</f>
        <v>0</v>
      </c>
      <c r="O111" s="173">
        <f>IFERROR(IF(AND('Key inputs_EB_TRF'!H75/SUM('Key inputs_EB_TRF'!H$75:H$83)&gt;0,'Key inputs_EB_TRF'!H75/SUM('Key inputs_EB_TRF'!H$75:H$83)&lt;0.001),0.001,'Key inputs_EB_TRF'!H75/SUM('Key inputs_EB_TRF'!H$75:H$83)),"")</f>
        <v>0</v>
      </c>
      <c r="P111" s="173">
        <f>IFERROR(IF(AND('Key inputs_EB_TRF'!I75/SUM('Key inputs_EB_TRF'!I$75:I$83)&gt;0,'Key inputs_EB_TRF'!I75/SUM('Key inputs_EB_TRF'!I$75:I$83)&lt;0.001),0.001,'Key inputs_EB_TRF'!I75/SUM('Key inputs_EB_TRF'!I$75:I$83)),"")</f>
        <v>0</v>
      </c>
      <c r="Q111" s="173">
        <f>IFERROR(IF(AND('Key inputs_EB_TRF'!J75/SUM('Key inputs_EB_TRF'!J$75:J$83)&gt;0,'Key inputs_EB_TRF'!J75/SUM('Key inputs_EB_TRF'!J$75:J$83)&lt;0.001),0.001,'Key inputs_EB_TRF'!J75/SUM('Key inputs_EB_TRF'!J$75:J$83)),"")</f>
        <v>0</v>
      </c>
      <c r="R111" s="173">
        <f>IFERROR(IF(AND('Key inputs_EB_TRF'!K75/SUM('Key inputs_EB_TRF'!K$75:K$83)&gt;0,'Key inputs_EB_TRF'!K75/SUM('Key inputs_EB_TRF'!K$75:K$83)&lt;0.001),0.001,'Key inputs_EB_TRF'!K75/SUM('Key inputs_EB_TRF'!K$75:K$83)),"")</f>
        <v>0</v>
      </c>
      <c r="S111" s="173">
        <f>IFERROR(IF(AND('Key inputs_EB_TRF'!L75/SUM('Key inputs_EB_TRF'!L$75:L$83)&gt;0,'Key inputs_EB_TRF'!L75/SUM('Key inputs_EB_TRF'!L$75:L$83)&lt;0.001),0.001,'Key inputs_EB_TRF'!L75/SUM('Key inputs_EB_TRF'!L$75:L$83)),"")</f>
        <v>0</v>
      </c>
      <c r="T111" s="348">
        <f>IFERROR(IF(AND('Key inputs_EB_TRF'!M75/SUM('Key inputs_EB_TRF'!M$75:M$83)&gt;0,'Key inputs_EB_TRF'!M75/SUM('Key inputs_EB_TRF'!M$75:M$83)&lt;0.001),0.001,'Key inputs_EB_TRF'!M75/SUM('Key inputs_EB_TRF'!M$75:M$83)),"")</f>
        <v>0</v>
      </c>
      <c r="U111" s="173">
        <f>IFERROR(IF(AND('Key inputs_EB_TRF'!N75/SUM('Key inputs_EB_TRF'!N$75:N$83)&gt;0,'Key inputs_EB_TRF'!N75/SUM('Key inputs_EB_TRF'!N$75:N$83)&lt;0.001),0.001,'Key inputs_EB_TRF'!N75/SUM('Key inputs_EB_TRF'!N$75:N$83)),"")</f>
        <v>1</v>
      </c>
      <c r="V111" s="173">
        <f>IFERROR(IF(AND('Key inputs_EB_TRF'!O75/SUM('Key inputs_EB_TRF'!O$75:O$83)&gt;0,'Key inputs_EB_TRF'!O75/SUM('Key inputs_EB_TRF'!O$75:O$83)&lt;0.001),0.001,'Key inputs_EB_TRF'!O75/SUM('Key inputs_EB_TRF'!O$75:O$83)),"")</f>
        <v>0</v>
      </c>
      <c r="W111" s="173">
        <f>IFERROR(IF(AND('Key inputs_EB_TRF'!P75/SUM('Key inputs_EB_TRF'!P$75:P$83)&gt;0,'Key inputs_EB_TRF'!P75/SUM('Key inputs_EB_TRF'!P$75:P$83)&lt;0.001),0.001,'Key inputs_EB_TRF'!P75/SUM('Key inputs_EB_TRF'!P$75:P$83)),"")</f>
        <v>0</v>
      </c>
      <c r="X111" s="173">
        <f>IFERROR(IF(AND('Key inputs_EB_TRF'!Q75/SUM('Key inputs_EB_TRF'!Q$75:Q$83)&gt;0,'Key inputs_EB_TRF'!Q75/SUM('Key inputs_EB_TRF'!Q$75:Q$83)&lt;0.001),0.001,'Key inputs_EB_TRF'!Q75/SUM('Key inputs_EB_TRF'!Q$75:Q$83)),"")</f>
        <v>0</v>
      </c>
      <c r="Y111" s="173">
        <f>IFERROR(IF(AND('Key inputs_EB_TRF'!R75/SUM('Key inputs_EB_TRF'!R$75:R$83)&gt;0,'Key inputs_EB_TRF'!R75/SUM('Key inputs_EB_TRF'!R$75:R$83)&lt;0.001),0.001,'Key inputs_EB_TRF'!R75/SUM('Key inputs_EB_TRF'!R$75:R$83)),"")</f>
        <v>0</v>
      </c>
      <c r="Z111" s="173">
        <f>IFERROR(IF(AND('Key inputs_EB_TRF'!S75/SUM('Key inputs_EB_TRF'!S$75:S$83)&gt;0,'Key inputs_EB_TRF'!S75/SUM('Key inputs_EB_TRF'!S$75:S$83)&lt;0.001),0.001,'Key inputs_EB_TRF'!S75/SUM('Key inputs_EB_TRF'!S$75:S$83)),"")</f>
        <v>0</v>
      </c>
      <c r="AA111" s="173">
        <f>IFERROR(IF(AND('Key inputs_EB_TRF'!T75/SUM('Key inputs_EB_TRF'!T$75:T$83)&gt;0,'Key inputs_EB_TRF'!T75/SUM('Key inputs_EB_TRF'!T$75:T$83)&lt;0.001),0.001,'Key inputs_EB_TRF'!T75/SUM('Key inputs_EB_TRF'!T$75:T$83)),"")</f>
        <v>0</v>
      </c>
      <c r="AB111" s="173">
        <f>IFERROR(IF(AND('Key inputs_EB_TRF'!U75/SUM('Key inputs_EB_TRF'!U$75:U$83)&gt;0,'Key inputs_EB_TRF'!U75/SUM('Key inputs_EB_TRF'!U$75:U$83)&lt;0.001),0.001,'Key inputs_EB_TRF'!U75/SUM('Key inputs_EB_TRF'!U$75:U$83)),"")</f>
        <v>0</v>
      </c>
      <c r="AC111" s="173">
        <f>IFERROR(IF(AND('Key inputs_EB_TRF'!V75/SUM('Key inputs_EB_TRF'!V$75:V$83)&gt;0,'Key inputs_EB_TRF'!V75/SUM('Key inputs_EB_TRF'!V$75:V$83)&lt;0.001),0.001,'Key inputs_EB_TRF'!V75/SUM('Key inputs_EB_TRF'!V$75:V$83)),"")</f>
        <v>0</v>
      </c>
      <c r="AD111" s="173">
        <f>IFERROR(IF(AND('Key inputs_EB_TRF'!W75/SUM('Key inputs_EB_TRF'!W$75:W$83)&gt;0,'Key inputs_EB_TRF'!W75/SUM('Key inputs_EB_TRF'!W$75:W$83)&lt;0.001),0.001,'Key inputs_EB_TRF'!W75/SUM('Key inputs_EB_TRF'!W$75:W$83)),"")</f>
        <v>0</v>
      </c>
      <c r="AE111" s="173">
        <f>IFERROR(IF(AND('Key inputs_EB_TRF'!X75/SUM('Key inputs_EB_TRF'!X$75:X$83)&gt;0,'Key inputs_EB_TRF'!X75/SUM('Key inputs_EB_TRF'!X$75:X$83)&lt;0.001),0.001,'Key inputs_EB_TRF'!X75/SUM('Key inputs_EB_TRF'!X$75:X$83)),"")</f>
        <v>0</v>
      </c>
      <c r="AF111" s="173">
        <f>IFERROR(IF(AND('Key inputs_EB_TRF'!Y75/SUM('Key inputs_EB_TRF'!Y$75:Y$83)&gt;0,'Key inputs_EB_TRF'!Y75/SUM('Key inputs_EB_TRF'!Y$75:Y$83)&lt;0.001),0.001,'Key inputs_EB_TRF'!Y75/SUM('Key inputs_EB_TRF'!Y$75:Y$83)),"")</f>
        <v>0</v>
      </c>
      <c r="AG111" s="173">
        <f>IFERROR(IF(AND('Key inputs_EB_TRF'!Z75/SUM('Key inputs_EB_TRF'!Z$75:Z$83)&gt;0,'Key inputs_EB_TRF'!Z75/SUM('Key inputs_EB_TRF'!Z$75:Z$83)&lt;0.001),0.001,'Key inputs_EB_TRF'!Z75/SUM('Key inputs_EB_TRF'!Z$75:Z$83)),"")</f>
        <v>0</v>
      </c>
      <c r="AH111" s="173">
        <f>IFERROR(IF(AND('Key inputs_EB_TRF'!AA75/SUM('Key inputs_EB_TRF'!AA$75:AA$83)&gt;0,'Key inputs_EB_TRF'!AA75/SUM('Key inputs_EB_TRF'!AA$75:AA$83)&lt;0.001),0.001,'Key inputs_EB_TRF'!AA75/SUM('Key inputs_EB_TRF'!AA$75:AA$83)),"")</f>
        <v>0</v>
      </c>
      <c r="AI111" s="173">
        <f>IFERROR(IF(AND('Key inputs_EB_TRF'!AB75/SUM('Key inputs_EB_TRF'!AB$75:AB$83)&gt;0,'Key inputs_EB_TRF'!AB75/SUM('Key inputs_EB_TRF'!AB$75:AB$83)&lt;0.001),0.001,'Key inputs_EB_TRF'!AB75/SUM('Key inputs_EB_TRF'!AB$75:AB$83)),"")</f>
        <v>1</v>
      </c>
      <c r="AJ111" s="173">
        <f>IFERROR(IF(AND('Key inputs_EB_TRF'!AC75/SUM('Key inputs_EB_TRF'!AC$75:AC$83)&gt;0,'Key inputs_EB_TRF'!AC75/SUM('Key inputs_EB_TRF'!AC$75:AC$83)&lt;0.001),0.001,'Key inputs_EB_TRF'!AC75/SUM('Key inputs_EB_TRF'!AC$75:AC$83)),"")</f>
        <v>0</v>
      </c>
      <c r="AK111" s="173">
        <f>IFERROR(IF(AND('Key inputs_EB_TRF'!AD75/SUM('Key inputs_EB_TRF'!AD$75:AD$83)&gt;0,'Key inputs_EB_TRF'!AD75/SUM('Key inputs_EB_TRF'!AD$75:AD$83)&lt;0.001),0.001,'Key inputs_EB_TRF'!AD75/SUM('Key inputs_EB_TRF'!AD$75:AD$83)),"")</f>
        <v>0</v>
      </c>
      <c r="AL111" s="173">
        <f>IFERROR(IF(AND('Key inputs_EB_TRF'!AE75/SUM('Key inputs_EB_TRF'!AE$75:AE$83)&gt;0,'Key inputs_EB_TRF'!AE75/SUM('Key inputs_EB_TRF'!AE$75:AE$83)&lt;0.001),0.001,'Key inputs_EB_TRF'!AE75/SUM('Key inputs_EB_TRF'!AE$75:AE$83)),"")</f>
        <v>0</v>
      </c>
    </row>
    <row r="112" spans="3:38">
      <c r="D112" t="str">
        <f>Commodities!$C$40</f>
        <v>COAb</v>
      </c>
      <c r="G112" s="4" t="s">
        <v>705</v>
      </c>
      <c r="H112" t="s">
        <v>661</v>
      </c>
      <c r="I112">
        <v>2019</v>
      </c>
      <c r="J112" t="s">
        <v>650</v>
      </c>
      <c r="K112" s="173">
        <f>IFERROR(IF(AND('Key inputs_EB_TRF'!D76/SUM('Key inputs_EB_TRF'!D$75:D$83)&gt;0,'Key inputs_EB_TRF'!D76/SUM('Key inputs_EB_TRF'!D$75:D$83)&lt;0.001),0.001,'Key inputs_EB_TRF'!D76/SUM('Key inputs_EB_TRF'!D$75:D$83)),"")</f>
        <v>0</v>
      </c>
      <c r="L112" s="173">
        <f>IFERROR(IF(AND('Key inputs_EB_TRF'!E76/SUM('Key inputs_EB_TRF'!E$75:E$83)&gt;0,'Key inputs_EB_TRF'!E76/SUM('Key inputs_EB_TRF'!E$75:E$83)&lt;0.001),0.001,'Key inputs_EB_TRF'!E76/SUM('Key inputs_EB_TRF'!E$75:E$83)),"")</f>
        <v>2.3171329644346593E-3</v>
      </c>
      <c r="M112" s="173">
        <f>IFERROR(IF(AND('Key inputs_EB_TRF'!F76/SUM('Key inputs_EB_TRF'!F$75:F$83)&gt;0,'Key inputs_EB_TRF'!F76/SUM('Key inputs_EB_TRF'!F$75:F$83)&lt;0.001),0.001,'Key inputs_EB_TRF'!F76/SUM('Key inputs_EB_TRF'!F$75:F$83)),"")</f>
        <v>2.8670590010562848E-3</v>
      </c>
      <c r="N112" s="173">
        <f>IFERROR(IF(AND('Key inputs_EB_TRF'!G76/SUM('Key inputs_EB_TRF'!G$75:G$83)&gt;0,'Key inputs_EB_TRF'!G76/SUM('Key inputs_EB_TRF'!G$75:G$83)&lt;0.001),0.001,'Key inputs_EB_TRF'!G76/SUM('Key inputs_EB_TRF'!G$75:G$83)),"")</f>
        <v>0.26709601873536298</v>
      </c>
      <c r="O112" s="173">
        <f>IFERROR(IF(AND('Key inputs_EB_TRF'!H76/SUM('Key inputs_EB_TRF'!H$75:H$83)&gt;0,'Key inputs_EB_TRF'!H76/SUM('Key inputs_EB_TRF'!H$75:H$83)&lt;0.001),0.001,'Key inputs_EB_TRF'!H76/SUM('Key inputs_EB_TRF'!H$75:H$83)),"")</f>
        <v>2.5532875340320781E-3</v>
      </c>
      <c r="P112" s="173">
        <f>IFERROR(IF(AND('Key inputs_EB_TRF'!I76/SUM('Key inputs_EB_TRF'!I$75:I$83)&gt;0,'Key inputs_EB_TRF'!I76/SUM('Key inputs_EB_TRF'!I$75:I$83)&lt;0.001),0.001,'Key inputs_EB_TRF'!I76/SUM('Key inputs_EB_TRF'!I$75:I$83)),"")</f>
        <v>5.8474275771644386E-2</v>
      </c>
      <c r="Q112" s="173">
        <f>IFERROR(IF(AND('Key inputs_EB_TRF'!J76/SUM('Key inputs_EB_TRF'!J$75:J$83)&gt;0,'Key inputs_EB_TRF'!J76/SUM('Key inputs_EB_TRF'!J$75:J$83)&lt;0.001),0.001,'Key inputs_EB_TRF'!J76/SUM('Key inputs_EB_TRF'!J$75:J$83)),"")</f>
        <v>0</v>
      </c>
      <c r="R112" s="173">
        <f>IFERROR(IF(AND('Key inputs_EB_TRF'!K76/SUM('Key inputs_EB_TRF'!K$75:K$83)&gt;0,'Key inputs_EB_TRF'!K76/SUM('Key inputs_EB_TRF'!K$75:K$83)&lt;0.001),0.001,'Key inputs_EB_TRF'!K76/SUM('Key inputs_EB_TRF'!K$75:K$83)),"")</f>
        <v>0</v>
      </c>
      <c r="S112" s="173">
        <f>IFERROR(IF(AND('Key inputs_EB_TRF'!L76/SUM('Key inputs_EB_TRF'!L$75:L$83)&gt;0,'Key inputs_EB_TRF'!L76/SUM('Key inputs_EB_TRF'!L$75:L$83)&lt;0.001),0.001,'Key inputs_EB_TRF'!L76/SUM('Key inputs_EB_TRF'!L$75:L$83)),"")</f>
        <v>0</v>
      </c>
      <c r="T112" s="348">
        <f>IFERROR(IF(AND('Key inputs_EB_TRF'!M76/SUM('Key inputs_EB_TRF'!M$75:M$83)&gt;0,'Key inputs_EB_TRF'!M76/SUM('Key inputs_EB_TRF'!M$75:M$83)&lt;0.001),0.001,'Key inputs_EB_TRF'!M76/SUM('Key inputs_EB_TRF'!M$75:M$83)),"")</f>
        <v>0</v>
      </c>
      <c r="U112" s="173">
        <f>IFERROR(IF(AND('Key inputs_EB_TRF'!N76/SUM('Key inputs_EB_TRF'!N$75:N$83)&gt;0,'Key inputs_EB_TRF'!N76/SUM('Key inputs_EB_TRF'!N$75:N$83)&lt;0.001),0.001,'Key inputs_EB_TRF'!N76/SUM('Key inputs_EB_TRF'!N$75:N$83)),"")</f>
        <v>0</v>
      </c>
      <c r="V112" s="173">
        <f>IFERROR(IF(AND('Key inputs_EB_TRF'!O76/SUM('Key inputs_EB_TRF'!O$75:O$83)&gt;0,'Key inputs_EB_TRF'!O76/SUM('Key inputs_EB_TRF'!O$75:O$83)&lt;0.001),0.001,'Key inputs_EB_TRF'!O76/SUM('Key inputs_EB_TRF'!O$75:O$83)),"")</f>
        <v>1</v>
      </c>
      <c r="W112" s="173">
        <f>IFERROR(IF(AND('Key inputs_EB_TRF'!P76/SUM('Key inputs_EB_TRF'!P$75:P$83)&gt;0,'Key inputs_EB_TRF'!P76/SUM('Key inputs_EB_TRF'!P$75:P$83)&lt;0.001),0.001,'Key inputs_EB_TRF'!P76/SUM('Key inputs_EB_TRF'!P$75:P$83)),"")</f>
        <v>0.48147133990507485</v>
      </c>
      <c r="X112" s="173">
        <f>IFERROR(IF(AND('Key inputs_EB_TRF'!Q76/SUM('Key inputs_EB_TRF'!Q$75:Q$83)&gt;0,'Key inputs_EB_TRF'!Q76/SUM('Key inputs_EB_TRF'!Q$75:Q$83)&lt;0.001),0.001,'Key inputs_EB_TRF'!Q76/SUM('Key inputs_EB_TRF'!Q$75:Q$83)),"")</f>
        <v>1.2552400146967506E-2</v>
      </c>
      <c r="Y112" s="173">
        <f>IFERROR(IF(AND('Key inputs_EB_TRF'!R76/SUM('Key inputs_EB_TRF'!R$75:R$83)&gt;0,'Key inputs_EB_TRF'!R76/SUM('Key inputs_EB_TRF'!R$75:R$83)&lt;0.001),0.001,'Key inputs_EB_TRF'!R76/SUM('Key inputs_EB_TRF'!R$75:R$83)),"")</f>
        <v>0.82587105851195897</v>
      </c>
      <c r="Z112" s="173">
        <f>IFERROR(IF(AND('Key inputs_EB_TRF'!S76/SUM('Key inputs_EB_TRF'!S$75:S$83)&gt;0,'Key inputs_EB_TRF'!S76/SUM('Key inputs_EB_TRF'!S$75:S$83)&lt;0.001),0.001,'Key inputs_EB_TRF'!S76/SUM('Key inputs_EB_TRF'!S$75:S$83)),"")</f>
        <v>0.73445692883895131</v>
      </c>
      <c r="AA112" s="173">
        <f>IFERROR(IF(AND('Key inputs_EB_TRF'!T76/SUM('Key inputs_EB_TRF'!T$75:T$83)&gt;0,'Key inputs_EB_TRF'!T76/SUM('Key inputs_EB_TRF'!T$75:T$83)&lt;0.001),0.001,'Key inputs_EB_TRF'!T76/SUM('Key inputs_EB_TRF'!T$75:T$83)),"")</f>
        <v>0.90517785593733491</v>
      </c>
      <c r="AB112" s="173">
        <f>IFERROR(IF(AND('Key inputs_EB_TRF'!U76/SUM('Key inputs_EB_TRF'!U$75:U$83)&gt;0,'Key inputs_EB_TRF'!U76/SUM('Key inputs_EB_TRF'!U$75:U$83)&lt;0.001),0.001,'Key inputs_EB_TRF'!U76/SUM('Key inputs_EB_TRF'!U$75:U$83)),"")</f>
        <v>0.30904717784578523</v>
      </c>
      <c r="AC112" s="173">
        <f>IFERROR(IF(AND('Key inputs_EB_TRF'!V76/SUM('Key inputs_EB_TRF'!V$75:V$83)&gt;0,'Key inputs_EB_TRF'!V76/SUM('Key inputs_EB_TRF'!V$75:V$83)&lt;0.001),0.001,'Key inputs_EB_TRF'!V76/SUM('Key inputs_EB_TRF'!V$75:V$83)),"")</f>
        <v>6.4884431616987218E-2</v>
      </c>
      <c r="AD112" s="173">
        <f>IFERROR(IF(AND('Key inputs_EB_TRF'!W76/SUM('Key inputs_EB_TRF'!W$75:W$83)&gt;0,'Key inputs_EB_TRF'!W76/SUM('Key inputs_EB_TRF'!W$75:W$83)&lt;0.001),0.001,'Key inputs_EB_TRF'!W76/SUM('Key inputs_EB_TRF'!W$75:W$83)),"")</f>
        <v>0.39844294378252826</v>
      </c>
      <c r="AE112" s="173">
        <f>IFERROR(IF(AND('Key inputs_EB_TRF'!X76/SUM('Key inputs_EB_TRF'!X$75:X$83)&gt;0,'Key inputs_EB_TRF'!X76/SUM('Key inputs_EB_TRF'!X$75:X$83)&lt;0.001),0.001,'Key inputs_EB_TRF'!X76/SUM('Key inputs_EB_TRF'!X$75:X$83)),"")</f>
        <v>9.2170524037778895E-3</v>
      </c>
      <c r="AF112" s="173">
        <f>IFERROR(IF(AND('Key inputs_EB_TRF'!Y76/SUM('Key inputs_EB_TRF'!Y$75:Y$83)&gt;0,'Key inputs_EB_TRF'!Y76/SUM('Key inputs_EB_TRF'!Y$75:Y$83)&lt;0.001),0.001,'Key inputs_EB_TRF'!Y76/SUM('Key inputs_EB_TRF'!Y$75:Y$83)),"")</f>
        <v>0</v>
      </c>
      <c r="AG112" s="173">
        <f>IFERROR(IF(AND('Key inputs_EB_TRF'!Z76/SUM('Key inputs_EB_TRF'!Z$75:Z$83)&gt;0,'Key inputs_EB_TRF'!Z76/SUM('Key inputs_EB_TRF'!Z$75:Z$83)&lt;0.001),0.001,'Key inputs_EB_TRF'!Z76/SUM('Key inputs_EB_TRF'!Z$75:Z$83)),"")</f>
        <v>1E-3</v>
      </c>
      <c r="AH112" s="173">
        <f>IFERROR(IF(AND('Key inputs_EB_TRF'!AA76/SUM('Key inputs_EB_TRF'!AA$75:AA$83)&gt;0,'Key inputs_EB_TRF'!AA76/SUM('Key inputs_EB_TRF'!AA$75:AA$83)&lt;0.001),0.001,'Key inputs_EB_TRF'!AA76/SUM('Key inputs_EB_TRF'!AA$75:AA$83)),"")</f>
        <v>9.7719869706840382E-3</v>
      </c>
      <c r="AI112" s="173">
        <f>IFERROR(IF(AND('Key inputs_EB_TRF'!AB76/SUM('Key inputs_EB_TRF'!AB$75:AB$83)&gt;0,'Key inputs_EB_TRF'!AB76/SUM('Key inputs_EB_TRF'!AB$75:AB$83)&lt;0.001),0.001,'Key inputs_EB_TRF'!AB76/SUM('Key inputs_EB_TRF'!AB$75:AB$83)),"")</f>
        <v>0</v>
      </c>
      <c r="AJ112" s="173">
        <f>IFERROR(IF(AND('Key inputs_EB_TRF'!AC76/SUM('Key inputs_EB_TRF'!AC$75:AC$83)&gt;0,'Key inputs_EB_TRF'!AC76/SUM('Key inputs_EB_TRF'!AC$75:AC$83)&lt;0.001),0.001,'Key inputs_EB_TRF'!AC76/SUM('Key inputs_EB_TRF'!AC$75:AC$83)),"")</f>
        <v>1</v>
      </c>
      <c r="AK112" s="173">
        <f>IFERROR(IF(AND('Key inputs_EB_TRF'!AD76/SUM('Key inputs_EB_TRF'!AD$75:AD$83)&gt;0,'Key inputs_EB_TRF'!AD76/SUM('Key inputs_EB_TRF'!AD$75:AD$83)&lt;0.001),0.001,'Key inputs_EB_TRF'!AD76/SUM('Key inputs_EB_TRF'!AD$75:AD$83)),"")</f>
        <v>0.68092724351618084</v>
      </c>
      <c r="AL112" s="173">
        <f>IFERROR(IF(AND('Key inputs_EB_TRF'!AE76/SUM('Key inputs_EB_TRF'!AE$75:AE$83)&gt;0,'Key inputs_EB_TRF'!AE76/SUM('Key inputs_EB_TRF'!AE$75:AE$83)&lt;0.001),0.001,'Key inputs_EB_TRF'!AE76/SUM('Key inputs_EB_TRF'!AE$75:AE$83)),"")</f>
        <v>0</v>
      </c>
    </row>
    <row r="113" spans="3:38">
      <c r="D113" t="str">
        <f>Commodities!$C$41</f>
        <v>OILDSLb</v>
      </c>
      <c r="G113" s="4" t="s">
        <v>705</v>
      </c>
      <c r="H113" t="s">
        <v>661</v>
      </c>
      <c r="I113">
        <v>2019</v>
      </c>
      <c r="J113" t="s">
        <v>650</v>
      </c>
      <c r="K113" s="173">
        <f>IFERROR(IF(AND('Key inputs_EB_TRF'!D77/SUM('Key inputs_EB_TRF'!D$75:D$83)&gt;0,'Key inputs_EB_TRF'!D77/SUM('Key inputs_EB_TRF'!D$75:D$83)&lt;0.001),0.001,'Key inputs_EB_TRF'!D77/SUM('Key inputs_EB_TRF'!D$75:D$83)),"")</f>
        <v>0</v>
      </c>
      <c r="L113" s="173">
        <f>IFERROR(IF(AND('Key inputs_EB_TRF'!E77/SUM('Key inputs_EB_TRF'!E$75:E$83)&gt;0,'Key inputs_EB_TRF'!E77/SUM('Key inputs_EB_TRF'!E$75:E$83)&lt;0.001),0.001,'Key inputs_EB_TRF'!E77/SUM('Key inputs_EB_TRF'!E$75:E$83)),"")</f>
        <v>0</v>
      </c>
      <c r="M113" s="173">
        <f>IFERROR(IF(AND('Key inputs_EB_TRF'!F77/SUM('Key inputs_EB_TRF'!F$75:F$83)&gt;0,'Key inputs_EB_TRF'!F77/SUM('Key inputs_EB_TRF'!F$75:F$83)&lt;0.001),0.001,'Key inputs_EB_TRF'!F77/SUM('Key inputs_EB_TRF'!F$75:F$83)),"")</f>
        <v>0</v>
      </c>
      <c r="N113" s="173">
        <f>IFERROR(IF(AND('Key inputs_EB_TRF'!G77/SUM('Key inputs_EB_TRF'!G$75:G$83)&gt;0,'Key inputs_EB_TRF'!G77/SUM('Key inputs_EB_TRF'!G$75:G$83)&lt;0.001),0.001,'Key inputs_EB_TRF'!G77/SUM('Key inputs_EB_TRF'!G$75:G$83)),"")</f>
        <v>0</v>
      </c>
      <c r="O113" s="173">
        <f>IFERROR(IF(AND('Key inputs_EB_TRF'!H77/SUM('Key inputs_EB_TRF'!H$75:H$83)&gt;0,'Key inputs_EB_TRF'!H77/SUM('Key inputs_EB_TRF'!H$75:H$83)&lt;0.001),0.001,'Key inputs_EB_TRF'!H77/SUM('Key inputs_EB_TRF'!H$75:H$83)),"")</f>
        <v>0</v>
      </c>
      <c r="P113" s="173">
        <f>IFERROR(IF(AND('Key inputs_EB_TRF'!I77/SUM('Key inputs_EB_TRF'!I$75:I$83)&gt;0,'Key inputs_EB_TRF'!I77/SUM('Key inputs_EB_TRF'!I$75:I$83)&lt;0.001),0.001,'Key inputs_EB_TRF'!I77/SUM('Key inputs_EB_TRF'!I$75:I$83)),"")</f>
        <v>0</v>
      </c>
      <c r="Q113" s="173">
        <f>IFERROR(IF(AND('Key inputs_EB_TRF'!J77/SUM('Key inputs_EB_TRF'!J$75:J$83)&gt;0,'Key inputs_EB_TRF'!J77/SUM('Key inputs_EB_TRF'!J$75:J$83)&lt;0.001),0.001,'Key inputs_EB_TRF'!J77/SUM('Key inputs_EB_TRF'!J$75:J$83)),"")</f>
        <v>0</v>
      </c>
      <c r="R113" s="173">
        <f>IFERROR(IF(AND('Key inputs_EB_TRF'!K77/SUM('Key inputs_EB_TRF'!K$75:K$83)&gt;0,'Key inputs_EB_TRF'!K77/SUM('Key inputs_EB_TRF'!K$75:K$83)&lt;0.001),0.001,'Key inputs_EB_TRF'!K77/SUM('Key inputs_EB_TRF'!K$75:K$83)),"")</f>
        <v>9.556585405983492E-2</v>
      </c>
      <c r="S113" s="173">
        <f>IFERROR(IF(AND('Key inputs_EB_TRF'!L77/SUM('Key inputs_EB_TRF'!L$75:L$83)&gt;0,'Key inputs_EB_TRF'!L77/SUM('Key inputs_EB_TRF'!L$75:L$83)&lt;0.001),0.001,'Key inputs_EB_TRF'!L77/SUM('Key inputs_EB_TRF'!L$75:L$83)),"")</f>
        <v>0</v>
      </c>
      <c r="T113" s="348">
        <f>IFERROR(IF(AND('Key inputs_EB_TRF'!M77/SUM('Key inputs_EB_TRF'!M$75:M$83)&gt;0,'Key inputs_EB_TRF'!M77/SUM('Key inputs_EB_TRF'!M$75:M$83)&lt;0.001),0.001,'Key inputs_EB_TRF'!M77/SUM('Key inputs_EB_TRF'!M$75:M$83)),"")</f>
        <v>0</v>
      </c>
      <c r="U113" s="173">
        <f>IFERROR(IF(AND('Key inputs_EB_TRF'!N77/SUM('Key inputs_EB_TRF'!N$75:N$83)&gt;0,'Key inputs_EB_TRF'!N77/SUM('Key inputs_EB_TRF'!N$75:N$83)&lt;0.001),0.001,'Key inputs_EB_TRF'!N77/SUM('Key inputs_EB_TRF'!N$75:N$83)),"")</f>
        <v>0</v>
      </c>
      <c r="V113" s="173">
        <f>IFERROR(IF(AND('Key inputs_EB_TRF'!O77/SUM('Key inputs_EB_TRF'!O$75:O$83)&gt;0,'Key inputs_EB_TRF'!O77/SUM('Key inputs_EB_TRF'!O$75:O$83)&lt;0.001),0.001,'Key inputs_EB_TRF'!O77/SUM('Key inputs_EB_TRF'!O$75:O$83)),"")</f>
        <v>0</v>
      </c>
      <c r="W113" s="173">
        <f>IFERROR(IF(AND('Key inputs_EB_TRF'!P77/SUM('Key inputs_EB_TRF'!P$75:P$83)&gt;0,'Key inputs_EB_TRF'!P77/SUM('Key inputs_EB_TRF'!P$75:P$83)&lt;0.001),0.001,'Key inputs_EB_TRF'!P77/SUM('Key inputs_EB_TRF'!P$75:P$83)),"")</f>
        <v>0</v>
      </c>
      <c r="X113" s="173">
        <f>IFERROR(IF(AND('Key inputs_EB_TRF'!Q77/SUM('Key inputs_EB_TRF'!Q$75:Q$83)&gt;0,'Key inputs_EB_TRF'!Q77/SUM('Key inputs_EB_TRF'!Q$75:Q$83)&lt;0.001),0.001,'Key inputs_EB_TRF'!Q77/SUM('Key inputs_EB_TRF'!Q$75:Q$83)),"")</f>
        <v>0</v>
      </c>
      <c r="Y113" s="173">
        <f>IFERROR(IF(AND('Key inputs_EB_TRF'!R77/SUM('Key inputs_EB_TRF'!R$75:R$83)&gt;0,'Key inputs_EB_TRF'!R77/SUM('Key inputs_EB_TRF'!R$75:R$83)&lt;0.001),0.001,'Key inputs_EB_TRF'!R77/SUM('Key inputs_EB_TRF'!R$75:R$83)),"")</f>
        <v>0</v>
      </c>
      <c r="Z113" s="173">
        <f>IFERROR(IF(AND('Key inputs_EB_TRF'!S77/SUM('Key inputs_EB_TRF'!S$75:S$83)&gt;0,'Key inputs_EB_TRF'!S77/SUM('Key inputs_EB_TRF'!S$75:S$83)&lt;0.001),0.001,'Key inputs_EB_TRF'!S77/SUM('Key inputs_EB_TRF'!S$75:S$83)),"")</f>
        <v>0</v>
      </c>
      <c r="AA113" s="173">
        <f>IFERROR(IF(AND('Key inputs_EB_TRF'!T77/SUM('Key inputs_EB_TRF'!T$75:T$83)&gt;0,'Key inputs_EB_TRF'!T77/SUM('Key inputs_EB_TRF'!T$75:T$83)&lt;0.001),0.001,'Key inputs_EB_TRF'!T77/SUM('Key inputs_EB_TRF'!T$75:T$83)),"")</f>
        <v>0</v>
      </c>
      <c r="AB113" s="173">
        <f>IFERROR(IF(AND('Key inputs_EB_TRF'!U77/SUM('Key inputs_EB_TRF'!U$75:U$83)&gt;0,'Key inputs_EB_TRF'!U77/SUM('Key inputs_EB_TRF'!U$75:U$83)&lt;0.001),0.001,'Key inputs_EB_TRF'!U77/SUM('Key inputs_EB_TRF'!U$75:U$83)),"")</f>
        <v>0</v>
      </c>
      <c r="AC113" s="173">
        <f>IFERROR(IF(AND('Key inputs_EB_TRF'!V77/SUM('Key inputs_EB_TRF'!V$75:V$83)&gt;0,'Key inputs_EB_TRF'!V77/SUM('Key inputs_EB_TRF'!V$75:V$83)&lt;0.001),0.001,'Key inputs_EB_TRF'!V77/SUM('Key inputs_EB_TRF'!V$75:V$83)),"")</f>
        <v>0</v>
      </c>
      <c r="AD113" s="173">
        <f>IFERROR(IF(AND('Key inputs_EB_TRF'!W77/SUM('Key inputs_EB_TRF'!W$75:W$83)&gt;0,'Key inputs_EB_TRF'!W77/SUM('Key inputs_EB_TRF'!W$75:W$83)&lt;0.001),0.001,'Key inputs_EB_TRF'!W77/SUM('Key inputs_EB_TRF'!W$75:W$83)),"")</f>
        <v>0</v>
      </c>
      <c r="AE113" s="173">
        <f>IFERROR(IF(AND('Key inputs_EB_TRF'!X77/SUM('Key inputs_EB_TRF'!X$75:X$83)&gt;0,'Key inputs_EB_TRF'!X77/SUM('Key inputs_EB_TRF'!X$75:X$83)&lt;0.001),0.001,'Key inputs_EB_TRF'!X77/SUM('Key inputs_EB_TRF'!X$75:X$83)),"")</f>
        <v>2.5949735851273741E-2</v>
      </c>
      <c r="AF113" s="173">
        <f>IFERROR(IF(AND('Key inputs_EB_TRF'!Y77/SUM('Key inputs_EB_TRF'!Y$75:Y$83)&gt;0,'Key inputs_EB_TRF'!Y77/SUM('Key inputs_EB_TRF'!Y$75:Y$83)&lt;0.001),0.001,'Key inputs_EB_TRF'!Y77/SUM('Key inputs_EB_TRF'!Y$75:Y$83)),"")</f>
        <v>0</v>
      </c>
      <c r="AG113" s="173">
        <f>IFERROR(IF(AND('Key inputs_EB_TRF'!Z77/SUM('Key inputs_EB_TRF'!Z$75:Z$83)&gt;0,'Key inputs_EB_TRF'!Z77/SUM('Key inputs_EB_TRF'!Z$75:Z$83)&lt;0.001),0.001,'Key inputs_EB_TRF'!Z77/SUM('Key inputs_EB_TRF'!Z$75:Z$83)),"")</f>
        <v>0</v>
      </c>
      <c r="AH113" s="173">
        <f>IFERROR(IF(AND('Key inputs_EB_TRF'!AA77/SUM('Key inputs_EB_TRF'!AA$75:AA$83)&gt;0,'Key inputs_EB_TRF'!AA77/SUM('Key inputs_EB_TRF'!AA$75:AA$83)&lt;0.001),0.001,'Key inputs_EB_TRF'!AA77/SUM('Key inputs_EB_TRF'!AA$75:AA$83)),"")</f>
        <v>0</v>
      </c>
      <c r="AI113" s="173">
        <f>IFERROR(IF(AND('Key inputs_EB_TRF'!AB77/SUM('Key inputs_EB_TRF'!AB$75:AB$83)&gt;0,'Key inputs_EB_TRF'!AB77/SUM('Key inputs_EB_TRF'!AB$75:AB$83)&lt;0.001),0.001,'Key inputs_EB_TRF'!AB77/SUM('Key inputs_EB_TRF'!AB$75:AB$83)),"")</f>
        <v>0</v>
      </c>
      <c r="AJ113" s="173">
        <f>IFERROR(IF(AND('Key inputs_EB_TRF'!AC77/SUM('Key inputs_EB_TRF'!AC$75:AC$83)&gt;0,'Key inputs_EB_TRF'!AC77/SUM('Key inputs_EB_TRF'!AC$75:AC$83)&lt;0.001),0.001,'Key inputs_EB_TRF'!AC77/SUM('Key inputs_EB_TRF'!AC$75:AC$83)),"")</f>
        <v>0</v>
      </c>
      <c r="AK113" s="173">
        <f>IFERROR(IF(AND('Key inputs_EB_TRF'!AD77/SUM('Key inputs_EB_TRF'!AD$75:AD$83)&gt;0,'Key inputs_EB_TRF'!AD77/SUM('Key inputs_EB_TRF'!AD$75:AD$83)&lt;0.001),0.001,'Key inputs_EB_TRF'!AD77/SUM('Key inputs_EB_TRF'!AD$75:AD$83)),"")</f>
        <v>0</v>
      </c>
      <c r="AL113" s="173">
        <f>IFERROR(IF(AND('Key inputs_EB_TRF'!AE77/SUM('Key inputs_EB_TRF'!AE$75:AE$83)&gt;0,'Key inputs_EB_TRF'!AE77/SUM('Key inputs_EB_TRF'!AE$75:AE$83)&lt;0.001),0.001,'Key inputs_EB_TRF'!AE77/SUM('Key inputs_EB_TRF'!AE$75:AE$83)),"")</f>
        <v>0</v>
      </c>
    </row>
    <row r="114" spans="3:38">
      <c r="D114" t="str">
        <f>Commodities!$C$33</f>
        <v>GASPIP</v>
      </c>
      <c r="G114" s="4" t="s">
        <v>705</v>
      </c>
      <c r="H114" t="s">
        <v>661</v>
      </c>
      <c r="I114">
        <v>2019</v>
      </c>
      <c r="J114" t="s">
        <v>650</v>
      </c>
      <c r="K114" s="173">
        <f>IFERROR(IF(AND('Key inputs_EB_TRF'!D78/SUM('Key inputs_EB_TRF'!D$75:D$83)&gt;0,'Key inputs_EB_TRF'!D78/SUM('Key inputs_EB_TRF'!D$75:D$83)&lt;0.001),0.001,'Key inputs_EB_TRF'!D78/SUM('Key inputs_EB_TRF'!D$75:D$83)),"")</f>
        <v>0</v>
      </c>
      <c r="L114" s="173">
        <f>IFERROR(IF(AND('Key inputs_EB_TRF'!E78/SUM('Key inputs_EB_TRF'!E$75:E$83)&gt;0,'Key inputs_EB_TRF'!E78/SUM('Key inputs_EB_TRF'!E$75:E$83)&lt;0.001),0.001,'Key inputs_EB_TRF'!E78/SUM('Key inputs_EB_TRF'!E$75:E$83)),"")</f>
        <v>0</v>
      </c>
      <c r="M114" s="173">
        <f>IFERROR(IF(AND('Key inputs_EB_TRF'!F78/SUM('Key inputs_EB_TRF'!F$75:F$83)&gt;0,'Key inputs_EB_TRF'!F78/SUM('Key inputs_EB_TRF'!F$75:F$83)&lt;0.001),0.001,'Key inputs_EB_TRF'!F78/SUM('Key inputs_EB_TRF'!F$75:F$83)),"")</f>
        <v>0</v>
      </c>
      <c r="N114" s="173">
        <f>IFERROR(IF(AND('Key inputs_EB_TRF'!G78/SUM('Key inputs_EB_TRF'!G$75:G$83)&gt;0,'Key inputs_EB_TRF'!G78/SUM('Key inputs_EB_TRF'!G$75:G$83)&lt;0.001),0.001,'Key inputs_EB_TRF'!G78/SUM('Key inputs_EB_TRF'!G$75:G$83)),"")</f>
        <v>0</v>
      </c>
      <c r="O114" s="173">
        <f>IFERROR(IF(AND('Key inputs_EB_TRF'!H78/SUM('Key inputs_EB_TRF'!H$75:H$83)&gt;0,'Key inputs_EB_TRF'!H78/SUM('Key inputs_EB_TRF'!H$75:H$83)&lt;0.001),0.001,'Key inputs_EB_TRF'!H78/SUM('Key inputs_EB_TRF'!H$75:H$83)),"")</f>
        <v>0</v>
      </c>
      <c r="P114" s="173">
        <f>IFERROR(IF(AND('Key inputs_EB_TRF'!I78/SUM('Key inputs_EB_TRF'!I$75:I$83)&gt;0,'Key inputs_EB_TRF'!I78/SUM('Key inputs_EB_TRF'!I$75:I$83)&lt;0.001),0.001,'Key inputs_EB_TRF'!I78/SUM('Key inputs_EB_TRF'!I$75:I$83)),"")</f>
        <v>0</v>
      </c>
      <c r="Q114" s="173">
        <f>IFERROR(IF(AND('Key inputs_EB_TRF'!J78/SUM('Key inputs_EB_TRF'!J$75:J$83)&gt;0,'Key inputs_EB_TRF'!J78/SUM('Key inputs_EB_TRF'!J$75:J$83)&lt;0.001),0.001,'Key inputs_EB_TRF'!J78/SUM('Key inputs_EB_TRF'!J$75:J$83)),"")</f>
        <v>0</v>
      </c>
      <c r="R114" s="173">
        <f>IFERROR(IF(AND('Key inputs_EB_TRF'!K78/SUM('Key inputs_EB_TRF'!K$75:K$83)&gt;0,'Key inputs_EB_TRF'!K78/SUM('Key inputs_EB_TRF'!K$75:K$83)&lt;0.001),0.001,'Key inputs_EB_TRF'!K78/SUM('Key inputs_EB_TRF'!K$75:K$83)),"")</f>
        <v>0</v>
      </c>
      <c r="S114" s="173">
        <f>IFERROR(IF(AND('Key inputs_EB_TRF'!L78/SUM('Key inputs_EB_TRF'!L$75:L$83)&gt;0,'Key inputs_EB_TRF'!L78/SUM('Key inputs_EB_TRF'!L$75:L$83)&lt;0.001),0.001,'Key inputs_EB_TRF'!L78/SUM('Key inputs_EB_TRF'!L$75:L$83)),"")</f>
        <v>0</v>
      </c>
      <c r="T114" s="348">
        <f>IFERROR(IF(AND('Key inputs_EB_TRF'!M78/SUM('Key inputs_EB_TRF'!M$75:M$83)&gt;0,'Key inputs_EB_TRF'!M78/SUM('Key inputs_EB_TRF'!M$75:M$83)&lt;0.001),0.001,'Key inputs_EB_TRF'!M78/SUM('Key inputs_EB_TRF'!M$75:M$83)),"")</f>
        <v>0</v>
      </c>
      <c r="U114" s="173">
        <f>IFERROR(IF(AND('Key inputs_EB_TRF'!N78/SUM('Key inputs_EB_TRF'!N$75:N$83)&gt;0,'Key inputs_EB_TRF'!N78/SUM('Key inputs_EB_TRF'!N$75:N$83)&lt;0.001),0.001,'Key inputs_EB_TRF'!N78/SUM('Key inputs_EB_TRF'!N$75:N$83)),"")</f>
        <v>0</v>
      </c>
      <c r="V114" s="173">
        <f>IFERROR(IF(AND('Key inputs_EB_TRF'!O78/SUM('Key inputs_EB_TRF'!O$75:O$83)&gt;0,'Key inputs_EB_TRF'!O78/SUM('Key inputs_EB_TRF'!O$75:O$83)&lt;0.001),0.001,'Key inputs_EB_TRF'!O78/SUM('Key inputs_EB_TRF'!O$75:O$83)),"")</f>
        <v>0</v>
      </c>
      <c r="W114" s="173">
        <f>IFERROR(IF(AND('Key inputs_EB_TRF'!P78/SUM('Key inputs_EB_TRF'!P$75:P$83)&gt;0,'Key inputs_EB_TRF'!P78/SUM('Key inputs_EB_TRF'!P$75:P$83)&lt;0.001),0.001,'Key inputs_EB_TRF'!P78/SUM('Key inputs_EB_TRF'!P$75:P$83)),"")</f>
        <v>0</v>
      </c>
      <c r="X114" s="173">
        <f>IFERROR(IF(AND('Key inputs_EB_TRF'!Q78/SUM('Key inputs_EB_TRF'!Q$75:Q$83)&gt;0,'Key inputs_EB_TRF'!Q78/SUM('Key inputs_EB_TRF'!Q$75:Q$83)&lt;0.001),0.001,'Key inputs_EB_TRF'!Q78/SUM('Key inputs_EB_TRF'!Q$75:Q$83)),"")</f>
        <v>4.0753401846547875E-2</v>
      </c>
      <c r="Y114" s="173">
        <f>IFERROR(IF(AND('Key inputs_EB_TRF'!R78/SUM('Key inputs_EB_TRF'!R$75:R$83)&gt;0,'Key inputs_EB_TRF'!R78/SUM('Key inputs_EB_TRF'!R$75:R$83)&lt;0.001),0.001,'Key inputs_EB_TRF'!R78/SUM('Key inputs_EB_TRF'!R$75:R$83)),"")</f>
        <v>0</v>
      </c>
      <c r="Z114" s="173">
        <f>IFERROR(IF(AND('Key inputs_EB_TRF'!S78/SUM('Key inputs_EB_TRF'!S$75:S$83)&gt;0,'Key inputs_EB_TRF'!S78/SUM('Key inputs_EB_TRF'!S$75:S$83)&lt;0.001),0.001,'Key inputs_EB_TRF'!S78/SUM('Key inputs_EB_TRF'!S$75:S$83)),"")</f>
        <v>0</v>
      </c>
      <c r="AA114" s="173">
        <f>IFERROR(IF(AND('Key inputs_EB_TRF'!T78/SUM('Key inputs_EB_TRF'!T$75:T$83)&gt;0,'Key inputs_EB_TRF'!T78/SUM('Key inputs_EB_TRF'!T$75:T$83)&lt;0.001),0.001,'Key inputs_EB_TRF'!T78/SUM('Key inputs_EB_TRF'!T$75:T$83)),"")</f>
        <v>0</v>
      </c>
      <c r="AB114" s="173">
        <f>IFERROR(IF(AND('Key inputs_EB_TRF'!U78/SUM('Key inputs_EB_TRF'!U$75:U$83)&gt;0,'Key inputs_EB_TRF'!U78/SUM('Key inputs_EB_TRF'!U$75:U$83)&lt;0.001),0.001,'Key inputs_EB_TRF'!U78/SUM('Key inputs_EB_TRF'!U$75:U$83)),"")</f>
        <v>0</v>
      </c>
      <c r="AC114" s="173">
        <f>IFERROR(IF(AND('Key inputs_EB_TRF'!V78/SUM('Key inputs_EB_TRF'!V$75:V$83)&gt;0,'Key inputs_EB_TRF'!V78/SUM('Key inputs_EB_TRF'!V$75:V$83)&lt;0.001),0.001,'Key inputs_EB_TRF'!V78/SUM('Key inputs_EB_TRF'!V$75:V$83)),"")</f>
        <v>0</v>
      </c>
      <c r="AD114" s="173">
        <f>IFERROR(IF(AND('Key inputs_EB_TRF'!W78/SUM('Key inputs_EB_TRF'!W$75:W$83)&gt;0,'Key inputs_EB_TRF'!W78/SUM('Key inputs_EB_TRF'!W$75:W$83)&lt;0.001),0.001,'Key inputs_EB_TRF'!W78/SUM('Key inputs_EB_TRF'!W$75:W$83)),"")</f>
        <v>0.60155705621747169</v>
      </c>
      <c r="AE114" s="173">
        <f>IFERROR(IF(AND('Key inputs_EB_TRF'!X78/SUM('Key inputs_EB_TRF'!X$75:X$83)&gt;0,'Key inputs_EB_TRF'!X78/SUM('Key inputs_EB_TRF'!X$75:X$83)&lt;0.001),0.001,'Key inputs_EB_TRF'!X78/SUM('Key inputs_EB_TRF'!X$75:X$83)),"")</f>
        <v>0</v>
      </c>
      <c r="AF114" s="173">
        <f>IFERROR(IF(AND('Key inputs_EB_TRF'!Y78/SUM('Key inputs_EB_TRF'!Y$75:Y$83)&gt;0,'Key inputs_EB_TRF'!Y78/SUM('Key inputs_EB_TRF'!Y$75:Y$83)&lt;0.001),0.001,'Key inputs_EB_TRF'!Y78/SUM('Key inputs_EB_TRF'!Y$75:Y$83)),"")</f>
        <v>0</v>
      </c>
      <c r="AG114" s="173">
        <f>IFERROR(IF(AND('Key inputs_EB_TRF'!Z78/SUM('Key inputs_EB_TRF'!Z$75:Z$83)&gt;0,'Key inputs_EB_TRF'!Z78/SUM('Key inputs_EB_TRF'!Z$75:Z$83)&lt;0.001),0.001,'Key inputs_EB_TRF'!Z78/SUM('Key inputs_EB_TRF'!Z$75:Z$83)),"")</f>
        <v>0</v>
      </c>
      <c r="AH114" s="173">
        <f>IFERROR(IF(AND('Key inputs_EB_TRF'!AA78/SUM('Key inputs_EB_TRF'!AA$75:AA$83)&gt;0,'Key inputs_EB_TRF'!AA78/SUM('Key inputs_EB_TRF'!AA$75:AA$83)&lt;0.001),0.001,'Key inputs_EB_TRF'!AA78/SUM('Key inputs_EB_TRF'!AA$75:AA$83)),"")</f>
        <v>4.3005818819898955E-2</v>
      </c>
      <c r="AI114" s="173">
        <f>IFERROR(IF(AND('Key inputs_EB_TRF'!AB78/SUM('Key inputs_EB_TRF'!AB$75:AB$83)&gt;0,'Key inputs_EB_TRF'!AB78/SUM('Key inputs_EB_TRF'!AB$75:AB$83)&lt;0.001),0.001,'Key inputs_EB_TRF'!AB78/SUM('Key inputs_EB_TRF'!AB$75:AB$83)),"")</f>
        <v>0</v>
      </c>
      <c r="AJ114" s="173">
        <f>IFERROR(IF(AND('Key inputs_EB_TRF'!AC78/SUM('Key inputs_EB_TRF'!AC$75:AC$83)&gt;0,'Key inputs_EB_TRF'!AC78/SUM('Key inputs_EB_TRF'!AC$75:AC$83)&lt;0.001),0.001,'Key inputs_EB_TRF'!AC78/SUM('Key inputs_EB_TRF'!AC$75:AC$83)),"")</f>
        <v>0</v>
      </c>
      <c r="AK114" s="173">
        <f>IFERROR(IF(AND('Key inputs_EB_TRF'!AD78/SUM('Key inputs_EB_TRF'!AD$75:AD$83)&gt;0,'Key inputs_EB_TRF'!AD78/SUM('Key inputs_EB_TRF'!AD$75:AD$83)&lt;0.001),0.001,'Key inputs_EB_TRF'!AD78/SUM('Key inputs_EB_TRF'!AD$75:AD$83)),"")</f>
        <v>4.1496442506311682E-2</v>
      </c>
      <c r="AL114" s="173">
        <f>IFERROR(IF(AND('Key inputs_EB_TRF'!AE78/SUM('Key inputs_EB_TRF'!AE$75:AE$83)&gt;0,'Key inputs_EB_TRF'!AE78/SUM('Key inputs_EB_TRF'!AE$75:AE$83)&lt;0.001),0.001,'Key inputs_EB_TRF'!AE78/SUM('Key inputs_EB_TRF'!AE$75:AE$83)),"")</f>
        <v>0</v>
      </c>
    </row>
    <row r="115" spans="3:38">
      <c r="D115" t="str">
        <f>Commodities!$C$42</f>
        <v>OILGSLb</v>
      </c>
      <c r="G115" s="4" t="s">
        <v>705</v>
      </c>
      <c r="H115" t="s">
        <v>661</v>
      </c>
      <c r="I115">
        <v>2019</v>
      </c>
      <c r="J115" t="s">
        <v>650</v>
      </c>
      <c r="K115" s="173">
        <f>IFERROR(IF(AND('Key inputs_EB_TRF'!D79/SUM('Key inputs_EB_TRF'!D$75:D$83)&gt;0,'Key inputs_EB_TRF'!D79/SUM('Key inputs_EB_TRF'!D$75:D$83)&lt;0.001),0.001,'Key inputs_EB_TRF'!D79/SUM('Key inputs_EB_TRF'!D$75:D$83)),"")</f>
        <v>0</v>
      </c>
      <c r="L115" s="173">
        <f>IFERROR(IF(AND('Key inputs_EB_TRF'!E79/SUM('Key inputs_EB_TRF'!E$75:E$83)&gt;0,'Key inputs_EB_TRF'!E79/SUM('Key inputs_EB_TRF'!E$75:E$83)&lt;0.001),0.001,'Key inputs_EB_TRF'!E79/SUM('Key inputs_EB_TRF'!E$75:E$83)),"")</f>
        <v>0</v>
      </c>
      <c r="M115" s="173">
        <f>IFERROR(IF(AND('Key inputs_EB_TRF'!F79/SUM('Key inputs_EB_TRF'!F$75:F$83)&gt;0,'Key inputs_EB_TRF'!F79/SUM('Key inputs_EB_TRF'!F$75:F$83)&lt;0.001),0.001,'Key inputs_EB_TRF'!F79/SUM('Key inputs_EB_TRF'!F$75:F$83)),"")</f>
        <v>0</v>
      </c>
      <c r="N115" s="173">
        <f>IFERROR(IF(AND('Key inputs_EB_TRF'!G79/SUM('Key inputs_EB_TRF'!G$75:G$83)&gt;0,'Key inputs_EB_TRF'!G79/SUM('Key inputs_EB_TRF'!G$75:G$83)&lt;0.001),0.001,'Key inputs_EB_TRF'!G79/SUM('Key inputs_EB_TRF'!G$75:G$83)),"")</f>
        <v>0</v>
      </c>
      <c r="O115" s="173">
        <f>IFERROR(IF(AND('Key inputs_EB_TRF'!H79/SUM('Key inputs_EB_TRF'!H$75:H$83)&gt;0,'Key inputs_EB_TRF'!H79/SUM('Key inputs_EB_TRF'!H$75:H$83)&lt;0.001),0.001,'Key inputs_EB_TRF'!H79/SUM('Key inputs_EB_TRF'!H$75:H$83)),"")</f>
        <v>0</v>
      </c>
      <c r="P115" s="173">
        <f>IFERROR(IF(AND('Key inputs_EB_TRF'!I79/SUM('Key inputs_EB_TRF'!I$75:I$83)&gt;0,'Key inputs_EB_TRF'!I79/SUM('Key inputs_EB_TRF'!I$75:I$83)&lt;0.001),0.001,'Key inputs_EB_TRF'!I79/SUM('Key inputs_EB_TRF'!I$75:I$83)),"")</f>
        <v>0</v>
      </c>
      <c r="Q115" s="173">
        <f>IFERROR(IF(AND('Key inputs_EB_TRF'!J79/SUM('Key inputs_EB_TRF'!J$75:J$83)&gt;0,'Key inputs_EB_TRF'!J79/SUM('Key inputs_EB_TRF'!J$75:J$83)&lt;0.001),0.001,'Key inputs_EB_TRF'!J79/SUM('Key inputs_EB_TRF'!J$75:J$83)),"")</f>
        <v>0</v>
      </c>
      <c r="R115" s="173">
        <f>IFERROR(IF(AND('Key inputs_EB_TRF'!K79/SUM('Key inputs_EB_TRF'!K$75:K$83)&gt;0,'Key inputs_EB_TRF'!K79/SUM('Key inputs_EB_TRF'!K$75:K$83)&lt;0.001),0.001,'Key inputs_EB_TRF'!K79/SUM('Key inputs_EB_TRF'!K$75:K$83)),"")</f>
        <v>0.29497902212959665</v>
      </c>
      <c r="S115" s="173">
        <f>IFERROR(IF(AND('Key inputs_EB_TRF'!L79/SUM('Key inputs_EB_TRF'!L$75:L$83)&gt;0,'Key inputs_EB_TRF'!L79/SUM('Key inputs_EB_TRF'!L$75:L$83)&lt;0.001),0.001,'Key inputs_EB_TRF'!L79/SUM('Key inputs_EB_TRF'!L$75:L$83)),"")</f>
        <v>6.5075206393485879E-2</v>
      </c>
      <c r="T115" s="348">
        <f>IFERROR(IF(AND('Key inputs_EB_TRF'!M79/SUM('Key inputs_EB_TRF'!M$75:M$83)&gt;0,'Key inputs_EB_TRF'!M79/SUM('Key inputs_EB_TRF'!M$75:M$83)&lt;0.001),0.001,'Key inputs_EB_TRF'!M79/SUM('Key inputs_EB_TRF'!M$75:M$83)),"")</f>
        <v>0</v>
      </c>
      <c r="U115" s="173">
        <f>IFERROR(IF(AND('Key inputs_EB_TRF'!N79/SUM('Key inputs_EB_TRF'!N$75:N$83)&gt;0,'Key inputs_EB_TRF'!N79/SUM('Key inputs_EB_TRF'!N$75:N$83)&lt;0.001),0.001,'Key inputs_EB_TRF'!N79/SUM('Key inputs_EB_TRF'!N$75:N$83)),"")</f>
        <v>0</v>
      </c>
      <c r="V115" s="173">
        <f>IFERROR(IF(AND('Key inputs_EB_TRF'!O79/SUM('Key inputs_EB_TRF'!O$75:O$83)&gt;0,'Key inputs_EB_TRF'!O79/SUM('Key inputs_EB_TRF'!O$75:O$83)&lt;0.001),0.001,'Key inputs_EB_TRF'!O79/SUM('Key inputs_EB_TRF'!O$75:O$83)),"")</f>
        <v>0</v>
      </c>
      <c r="W115" s="173">
        <f>IFERROR(IF(AND('Key inputs_EB_TRF'!P79/SUM('Key inputs_EB_TRF'!P$75:P$83)&gt;0,'Key inputs_EB_TRF'!P79/SUM('Key inputs_EB_TRF'!P$75:P$83)&lt;0.001),0.001,'Key inputs_EB_TRF'!P79/SUM('Key inputs_EB_TRF'!P$75:P$83)),"")</f>
        <v>0</v>
      </c>
      <c r="X115" s="173">
        <f>IFERROR(IF(AND('Key inputs_EB_TRF'!Q79/SUM('Key inputs_EB_TRF'!Q$75:Q$83)&gt;0,'Key inputs_EB_TRF'!Q79/SUM('Key inputs_EB_TRF'!Q$75:Q$83)&lt;0.001),0.001,'Key inputs_EB_TRF'!Q79/SUM('Key inputs_EB_TRF'!Q$75:Q$83)),"")</f>
        <v>0</v>
      </c>
      <c r="Y115" s="173">
        <f>IFERROR(IF(AND('Key inputs_EB_TRF'!R79/SUM('Key inputs_EB_TRF'!R$75:R$83)&gt;0,'Key inputs_EB_TRF'!R79/SUM('Key inputs_EB_TRF'!R$75:R$83)&lt;0.001),0.001,'Key inputs_EB_TRF'!R79/SUM('Key inputs_EB_TRF'!R$75:R$83)),"")</f>
        <v>0</v>
      </c>
      <c r="Z115" s="173">
        <f>IFERROR(IF(AND('Key inputs_EB_TRF'!S79/SUM('Key inputs_EB_TRF'!S$75:S$83)&gt;0,'Key inputs_EB_TRF'!S79/SUM('Key inputs_EB_TRF'!S$75:S$83)&lt;0.001),0.001,'Key inputs_EB_TRF'!S79/SUM('Key inputs_EB_TRF'!S$75:S$83)),"")</f>
        <v>0</v>
      </c>
      <c r="AA115" s="173">
        <f>IFERROR(IF(AND('Key inputs_EB_TRF'!T79/SUM('Key inputs_EB_TRF'!T$75:T$83)&gt;0,'Key inputs_EB_TRF'!T79/SUM('Key inputs_EB_TRF'!T$75:T$83)&lt;0.001),0.001,'Key inputs_EB_TRF'!T79/SUM('Key inputs_EB_TRF'!T$75:T$83)),"")</f>
        <v>9.4345456653654389E-2</v>
      </c>
      <c r="AB115" s="173">
        <f>IFERROR(IF(AND('Key inputs_EB_TRF'!U79/SUM('Key inputs_EB_TRF'!U$75:U$83)&gt;0,'Key inputs_EB_TRF'!U79/SUM('Key inputs_EB_TRF'!U$75:U$83)&lt;0.001),0.001,'Key inputs_EB_TRF'!U79/SUM('Key inputs_EB_TRF'!U$75:U$83)),"")</f>
        <v>0</v>
      </c>
      <c r="AC115" s="173">
        <f>IFERROR(IF(AND('Key inputs_EB_TRF'!V79/SUM('Key inputs_EB_TRF'!V$75:V$83)&gt;0,'Key inputs_EB_TRF'!V79/SUM('Key inputs_EB_TRF'!V$75:V$83)&lt;0.001),0.001,'Key inputs_EB_TRF'!V79/SUM('Key inputs_EB_TRF'!V$75:V$83)),"")</f>
        <v>0</v>
      </c>
      <c r="AD115" s="173">
        <f>IFERROR(IF(AND('Key inputs_EB_TRF'!W79/SUM('Key inputs_EB_TRF'!W$75:W$83)&gt;0,'Key inputs_EB_TRF'!W79/SUM('Key inputs_EB_TRF'!W$75:W$83)&lt;0.001),0.001,'Key inputs_EB_TRF'!W79/SUM('Key inputs_EB_TRF'!W$75:W$83)),"")</f>
        <v>0</v>
      </c>
      <c r="AE115" s="173">
        <f>IFERROR(IF(AND('Key inputs_EB_TRF'!X79/SUM('Key inputs_EB_TRF'!X$75:X$83)&gt;0,'Key inputs_EB_TRF'!X79/SUM('Key inputs_EB_TRF'!X$75:X$83)&lt;0.001),0.001,'Key inputs_EB_TRF'!X79/SUM('Key inputs_EB_TRF'!X$75:X$83)),"")</f>
        <v>0.21175229263468157</v>
      </c>
      <c r="AF115" s="173">
        <f>IFERROR(IF(AND('Key inputs_EB_TRF'!Y79/SUM('Key inputs_EB_TRF'!Y$75:Y$83)&gt;0,'Key inputs_EB_TRF'!Y79/SUM('Key inputs_EB_TRF'!Y$75:Y$83)&lt;0.001),0.001,'Key inputs_EB_TRF'!Y79/SUM('Key inputs_EB_TRF'!Y$75:Y$83)),"")</f>
        <v>0</v>
      </c>
      <c r="AG115" s="173">
        <f>IFERROR(IF(AND('Key inputs_EB_TRF'!Z79/SUM('Key inputs_EB_TRF'!Z$75:Z$83)&gt;0,'Key inputs_EB_TRF'!Z79/SUM('Key inputs_EB_TRF'!Z$75:Z$83)&lt;0.001),0.001,'Key inputs_EB_TRF'!Z79/SUM('Key inputs_EB_TRF'!Z$75:Z$83)),"")</f>
        <v>0</v>
      </c>
      <c r="AH115" s="173">
        <f>IFERROR(IF(AND('Key inputs_EB_TRF'!AA79/SUM('Key inputs_EB_TRF'!AA$75:AA$83)&gt;0,'Key inputs_EB_TRF'!AA79/SUM('Key inputs_EB_TRF'!AA$75:AA$83)&lt;0.001),0.001,'Key inputs_EB_TRF'!AA79/SUM('Key inputs_EB_TRF'!AA$75:AA$83)),"")</f>
        <v>0</v>
      </c>
      <c r="AI115" s="173">
        <f>IFERROR(IF(AND('Key inputs_EB_TRF'!AB79/SUM('Key inputs_EB_TRF'!AB$75:AB$83)&gt;0,'Key inputs_EB_TRF'!AB79/SUM('Key inputs_EB_TRF'!AB$75:AB$83)&lt;0.001),0.001,'Key inputs_EB_TRF'!AB79/SUM('Key inputs_EB_TRF'!AB$75:AB$83)),"")</f>
        <v>0</v>
      </c>
      <c r="AJ115" s="173">
        <f>IFERROR(IF(AND('Key inputs_EB_TRF'!AC79/SUM('Key inputs_EB_TRF'!AC$75:AC$83)&gt;0,'Key inputs_EB_TRF'!AC79/SUM('Key inputs_EB_TRF'!AC$75:AC$83)&lt;0.001),0.001,'Key inputs_EB_TRF'!AC79/SUM('Key inputs_EB_TRF'!AC$75:AC$83)),"")</f>
        <v>0</v>
      </c>
      <c r="AK115" s="173">
        <f>IFERROR(IF(AND('Key inputs_EB_TRF'!AD79/SUM('Key inputs_EB_TRF'!AD$75:AD$83)&gt;0,'Key inputs_EB_TRF'!AD79/SUM('Key inputs_EB_TRF'!AD$75:AD$83)&lt;0.001),0.001,'Key inputs_EB_TRF'!AD79/SUM('Key inputs_EB_TRF'!AD$75:AD$83)),"")</f>
        <v>0</v>
      </c>
      <c r="AL115" s="173">
        <f>IFERROR(IF(AND('Key inputs_EB_TRF'!AE79/SUM('Key inputs_EB_TRF'!AE$75:AE$83)&gt;0,'Key inputs_EB_TRF'!AE79/SUM('Key inputs_EB_TRF'!AE$75:AE$83)&lt;0.001),0.001,'Key inputs_EB_TRF'!AE79/SUM('Key inputs_EB_TRF'!AE$75:AE$83)),"")</f>
        <v>3.5173777540556179E-2</v>
      </c>
    </row>
    <row r="116" spans="3:38">
      <c r="D116" t="str">
        <f>Commodities!$C$43</f>
        <v>OILLPGb</v>
      </c>
      <c r="G116" s="4" t="s">
        <v>705</v>
      </c>
      <c r="H116" t="s">
        <v>661</v>
      </c>
      <c r="I116">
        <v>2019</v>
      </c>
      <c r="J116" t="s">
        <v>650</v>
      </c>
      <c r="K116" s="173">
        <f>IFERROR(IF(AND('Key inputs_EB_TRF'!D80/SUM('Key inputs_EB_TRF'!D$75:D$83)&gt;0,'Key inputs_EB_TRF'!D80/SUM('Key inputs_EB_TRF'!D$75:D$83)&lt;0.001),0.001,'Key inputs_EB_TRF'!D80/SUM('Key inputs_EB_TRF'!D$75:D$83)),"")</f>
        <v>0</v>
      </c>
      <c r="L116" s="173">
        <f>IFERROR(IF(AND('Key inputs_EB_TRF'!E80/SUM('Key inputs_EB_TRF'!E$75:E$83)&gt;0,'Key inputs_EB_TRF'!E80/SUM('Key inputs_EB_TRF'!E$75:E$83)&lt;0.001),0.001,'Key inputs_EB_TRF'!E80/SUM('Key inputs_EB_TRF'!E$75:E$83)),"")</f>
        <v>0.98077574734163897</v>
      </c>
      <c r="M116" s="173">
        <f>IFERROR(IF(AND('Key inputs_EB_TRF'!F80/SUM('Key inputs_EB_TRF'!F$75:F$83)&gt;0,'Key inputs_EB_TRF'!F80/SUM('Key inputs_EB_TRF'!F$75:F$83)&lt;0.001),0.001,'Key inputs_EB_TRF'!F80/SUM('Key inputs_EB_TRF'!F$75:F$83)),"")</f>
        <v>0.99713294099894367</v>
      </c>
      <c r="N116" s="173">
        <f>IFERROR(IF(AND('Key inputs_EB_TRF'!G80/SUM('Key inputs_EB_TRF'!G$75:G$83)&gt;0,'Key inputs_EB_TRF'!G80/SUM('Key inputs_EB_TRF'!G$75:G$83)&lt;0.001),0.001,'Key inputs_EB_TRF'!G80/SUM('Key inputs_EB_TRF'!G$75:G$83)),"")</f>
        <v>0.73290398126463696</v>
      </c>
      <c r="O116" s="173">
        <f>IFERROR(IF(AND('Key inputs_EB_TRF'!H80/SUM('Key inputs_EB_TRF'!H$75:H$83)&gt;0,'Key inputs_EB_TRF'!H80/SUM('Key inputs_EB_TRF'!H$75:H$83)&lt;0.001),0.001,'Key inputs_EB_TRF'!H80/SUM('Key inputs_EB_TRF'!H$75:H$83)),"")</f>
        <v>0.84489130894779163</v>
      </c>
      <c r="P116" s="173">
        <f>IFERROR(IF(AND('Key inputs_EB_TRF'!I80/SUM('Key inputs_EB_TRF'!I$75:I$83)&gt;0,'Key inputs_EB_TRF'!I80/SUM('Key inputs_EB_TRF'!I$75:I$83)&lt;0.001),0.001,'Key inputs_EB_TRF'!I80/SUM('Key inputs_EB_TRF'!I$75:I$83)),"")</f>
        <v>0.93506065129012839</v>
      </c>
      <c r="Q116" s="173">
        <f>IFERROR(IF(AND('Key inputs_EB_TRF'!J80/SUM('Key inputs_EB_TRF'!J$75:J$83)&gt;0,'Key inputs_EB_TRF'!J80/SUM('Key inputs_EB_TRF'!J$75:J$83)&lt;0.001),0.001,'Key inputs_EB_TRF'!J80/SUM('Key inputs_EB_TRF'!J$75:J$83)),"")</f>
        <v>0.73850560435629398</v>
      </c>
      <c r="R116" s="173">
        <f>IFERROR(IF(AND('Key inputs_EB_TRF'!K80/SUM('Key inputs_EB_TRF'!K$75:K$83)&gt;0,'Key inputs_EB_TRF'!K80/SUM('Key inputs_EB_TRF'!K$75:K$83)&lt;0.001),0.001,'Key inputs_EB_TRF'!K80/SUM('Key inputs_EB_TRF'!K$75:K$83)),"")</f>
        <v>0.60945512381056843</v>
      </c>
      <c r="S116" s="173">
        <f>IFERROR(IF(AND('Key inputs_EB_TRF'!L80/SUM('Key inputs_EB_TRF'!L$75:L$83)&gt;0,'Key inputs_EB_TRF'!L80/SUM('Key inputs_EB_TRF'!L$75:L$83)&lt;0.001),0.001,'Key inputs_EB_TRF'!L80/SUM('Key inputs_EB_TRF'!L$75:L$83)),"")</f>
        <v>0.56670562068835528</v>
      </c>
      <c r="T116" s="348">
        <f>IFERROR(IF(AND('Key inputs_EB_TRF'!M80/SUM('Key inputs_EB_TRF'!M$75:M$83)&gt;0,'Key inputs_EB_TRF'!M80/SUM('Key inputs_EB_TRF'!M$75:M$83)&lt;0.001),0.001,'Key inputs_EB_TRF'!M80/SUM('Key inputs_EB_TRF'!M$75:M$83)),"")</f>
        <v>0</v>
      </c>
      <c r="U116" s="173">
        <f>IFERROR(IF(AND('Key inputs_EB_TRF'!N80/SUM('Key inputs_EB_TRF'!N$75:N$83)&gt;0,'Key inputs_EB_TRF'!N80/SUM('Key inputs_EB_TRF'!N$75:N$83)&lt;0.001),0.001,'Key inputs_EB_TRF'!N80/SUM('Key inputs_EB_TRF'!N$75:N$83)),"")</f>
        <v>0</v>
      </c>
      <c r="V116" s="173">
        <f>IFERROR(IF(AND('Key inputs_EB_TRF'!O80/SUM('Key inputs_EB_TRF'!O$75:O$83)&gt;0,'Key inputs_EB_TRF'!O80/SUM('Key inputs_EB_TRF'!O$75:O$83)&lt;0.001),0.001,'Key inputs_EB_TRF'!O80/SUM('Key inputs_EB_TRF'!O$75:O$83)),"")</f>
        <v>0</v>
      </c>
      <c r="W116" s="173">
        <f>IFERROR(IF(AND('Key inputs_EB_TRF'!P80/SUM('Key inputs_EB_TRF'!P$75:P$83)&gt;0,'Key inputs_EB_TRF'!P80/SUM('Key inputs_EB_TRF'!P$75:P$83)&lt;0.001),0.001,'Key inputs_EB_TRF'!P80/SUM('Key inputs_EB_TRF'!P$75:P$83)),"")</f>
        <v>0.50392479006936841</v>
      </c>
      <c r="X116" s="173">
        <f>IFERROR(IF(AND('Key inputs_EB_TRF'!Q80/SUM('Key inputs_EB_TRF'!Q$75:Q$83)&gt;0,'Key inputs_EB_TRF'!Q80/SUM('Key inputs_EB_TRF'!Q$75:Q$83)&lt;0.001),0.001,'Key inputs_EB_TRF'!Q80/SUM('Key inputs_EB_TRF'!Q$75:Q$83)),"")</f>
        <v>0.70721236589752234</v>
      </c>
      <c r="Y116" s="173">
        <f>IFERROR(IF(AND('Key inputs_EB_TRF'!R80/SUM('Key inputs_EB_TRF'!R$75:R$83)&gt;0,'Key inputs_EB_TRF'!R80/SUM('Key inputs_EB_TRF'!R$75:R$83)&lt;0.001),0.001,'Key inputs_EB_TRF'!R80/SUM('Key inputs_EB_TRF'!R$75:R$83)),"")</f>
        <v>5.6608458164363155E-2</v>
      </c>
      <c r="Z116" s="173">
        <f>IFERROR(IF(AND('Key inputs_EB_TRF'!S80/SUM('Key inputs_EB_TRF'!S$75:S$83)&gt;0,'Key inputs_EB_TRF'!S80/SUM('Key inputs_EB_TRF'!S$75:S$83)&lt;0.001),0.001,'Key inputs_EB_TRF'!S80/SUM('Key inputs_EB_TRF'!S$75:S$83)),"")</f>
        <v>0</v>
      </c>
      <c r="AA116" s="173">
        <f>IFERROR(IF(AND('Key inputs_EB_TRF'!T80/SUM('Key inputs_EB_TRF'!T$75:T$83)&gt;0,'Key inputs_EB_TRF'!T80/SUM('Key inputs_EB_TRF'!T$75:T$83)&lt;0.001),0.001,'Key inputs_EB_TRF'!T80/SUM('Key inputs_EB_TRF'!T$75:T$83)),"")</f>
        <v>0</v>
      </c>
      <c r="AB116" s="173">
        <f>IFERROR(IF(AND('Key inputs_EB_TRF'!U80/SUM('Key inputs_EB_TRF'!U$75:U$83)&gt;0,'Key inputs_EB_TRF'!U80/SUM('Key inputs_EB_TRF'!U$75:U$83)&lt;0.001),0.001,'Key inputs_EB_TRF'!U80/SUM('Key inputs_EB_TRF'!U$75:U$83)),"")</f>
        <v>0.69095282215421472</v>
      </c>
      <c r="AC116" s="173">
        <f>IFERROR(IF(AND('Key inputs_EB_TRF'!V80/SUM('Key inputs_EB_TRF'!V$75:V$83)&gt;0,'Key inputs_EB_TRF'!V80/SUM('Key inputs_EB_TRF'!V$75:V$83)&lt;0.001),0.001,'Key inputs_EB_TRF'!V80/SUM('Key inputs_EB_TRF'!V$75:V$83)),"")</f>
        <v>0.62097693483058869</v>
      </c>
      <c r="AD116" s="173">
        <f>IFERROR(IF(AND('Key inputs_EB_TRF'!W80/SUM('Key inputs_EB_TRF'!W$75:W$83)&gt;0,'Key inputs_EB_TRF'!W80/SUM('Key inputs_EB_TRF'!W$75:W$83)&lt;0.001),0.001,'Key inputs_EB_TRF'!W80/SUM('Key inputs_EB_TRF'!W$75:W$83)),"")</f>
        <v>0</v>
      </c>
      <c r="AE116" s="173">
        <f>IFERROR(IF(AND('Key inputs_EB_TRF'!X80/SUM('Key inputs_EB_TRF'!X$75:X$83)&gt;0,'Key inputs_EB_TRF'!X80/SUM('Key inputs_EB_TRF'!X$75:X$83)&lt;0.001),0.001,'Key inputs_EB_TRF'!X80/SUM('Key inputs_EB_TRF'!X$75:X$83)),"")</f>
        <v>0.61800275165123553</v>
      </c>
      <c r="AF116" s="173">
        <f>IFERROR(IF(AND('Key inputs_EB_TRF'!Y80/SUM('Key inputs_EB_TRF'!Y$75:Y$83)&gt;0,'Key inputs_EB_TRF'!Y80/SUM('Key inputs_EB_TRF'!Y$75:Y$83)&lt;0.001),0.001,'Key inputs_EB_TRF'!Y80/SUM('Key inputs_EB_TRF'!Y$75:Y$83)),"")</f>
        <v>1</v>
      </c>
      <c r="AG116" s="173">
        <f>IFERROR(IF(AND('Key inputs_EB_TRF'!Z80/SUM('Key inputs_EB_TRF'!Z$75:Z$83)&gt;0,'Key inputs_EB_TRF'!Z80/SUM('Key inputs_EB_TRF'!Z$75:Z$83)&lt;0.001),0.001,'Key inputs_EB_TRF'!Z80/SUM('Key inputs_EB_TRF'!Z$75:Z$83)),"")</f>
        <v>0.62289748212446416</v>
      </c>
      <c r="AH116" s="173">
        <f>IFERROR(IF(AND('Key inputs_EB_TRF'!AA80/SUM('Key inputs_EB_TRF'!AA$75:AA$83)&gt;0,'Key inputs_EB_TRF'!AA80/SUM('Key inputs_EB_TRF'!AA$75:AA$83)&lt;0.001),0.001,'Key inputs_EB_TRF'!AA80/SUM('Key inputs_EB_TRF'!AA$75:AA$83)),"")</f>
        <v>0.60193523663537074</v>
      </c>
      <c r="AI116" s="173">
        <f>IFERROR(IF(AND('Key inputs_EB_TRF'!AB80/SUM('Key inputs_EB_TRF'!AB$75:AB$83)&gt;0,'Key inputs_EB_TRF'!AB80/SUM('Key inputs_EB_TRF'!AB$75:AB$83)&lt;0.001),0.001,'Key inputs_EB_TRF'!AB80/SUM('Key inputs_EB_TRF'!AB$75:AB$83)),"")</f>
        <v>0</v>
      </c>
      <c r="AJ116" s="173">
        <f>IFERROR(IF(AND('Key inputs_EB_TRF'!AC80/SUM('Key inputs_EB_TRF'!AC$75:AC$83)&gt;0,'Key inputs_EB_TRF'!AC80/SUM('Key inputs_EB_TRF'!AC$75:AC$83)&lt;0.001),0.001,'Key inputs_EB_TRF'!AC80/SUM('Key inputs_EB_TRF'!AC$75:AC$83)),"")</f>
        <v>0</v>
      </c>
      <c r="AK116" s="173">
        <f>IFERROR(IF(AND('Key inputs_EB_TRF'!AD80/SUM('Key inputs_EB_TRF'!AD$75:AD$83)&gt;0,'Key inputs_EB_TRF'!AD80/SUM('Key inputs_EB_TRF'!AD$75:AD$83)&lt;0.001),0.001,'Key inputs_EB_TRF'!AD80/SUM('Key inputs_EB_TRF'!AD$75:AD$83)),"")</f>
        <v>0</v>
      </c>
      <c r="AL116" s="173">
        <f>IFERROR(IF(AND('Key inputs_EB_TRF'!AE80/SUM('Key inputs_EB_TRF'!AE$75:AE$83)&gt;0,'Key inputs_EB_TRF'!AE80/SUM('Key inputs_EB_TRF'!AE$75:AE$83)&lt;0.001),0.001,'Key inputs_EB_TRF'!AE80/SUM('Key inputs_EB_TRF'!AE$75:AE$83)),"")</f>
        <v>0.60796508693134099</v>
      </c>
    </row>
    <row r="117" spans="3:38">
      <c r="D117" t="str">
        <f>Commodities!$C$44</f>
        <v>OILNAPb</v>
      </c>
      <c r="G117" s="4" t="s">
        <v>705</v>
      </c>
      <c r="H117" t="s">
        <v>661</v>
      </c>
      <c r="I117">
        <v>2019</v>
      </c>
      <c r="J117" t="s">
        <v>650</v>
      </c>
      <c r="K117" s="173">
        <f>IFERROR(IF(AND('Key inputs_EB_TRF'!D81/SUM('Key inputs_EB_TRF'!D$75:D$83)&gt;0,'Key inputs_EB_TRF'!D81/SUM('Key inputs_EB_TRF'!D$75:D$83)&lt;0.001),0.001,'Key inputs_EB_TRF'!D81/SUM('Key inputs_EB_TRF'!D$75:D$83)),"")</f>
        <v>0</v>
      </c>
      <c r="L117" s="173">
        <f>IFERROR(IF(AND('Key inputs_EB_TRF'!E81/SUM('Key inputs_EB_TRF'!E$75:E$83)&gt;0,'Key inputs_EB_TRF'!E81/SUM('Key inputs_EB_TRF'!E$75:E$83)&lt;0.001),0.001,'Key inputs_EB_TRF'!E81/SUM('Key inputs_EB_TRF'!E$75:E$83)),"")</f>
        <v>1.6907119693926425E-2</v>
      </c>
      <c r="M117" s="173">
        <f>IFERROR(IF(AND('Key inputs_EB_TRF'!F81/SUM('Key inputs_EB_TRF'!F$75:F$83)&gt;0,'Key inputs_EB_TRF'!F81/SUM('Key inputs_EB_TRF'!F$75:F$83)&lt;0.001),0.001,'Key inputs_EB_TRF'!F81/SUM('Key inputs_EB_TRF'!F$75:F$83)),"")</f>
        <v>0</v>
      </c>
      <c r="N117" s="173">
        <f>IFERROR(IF(AND('Key inputs_EB_TRF'!G81/SUM('Key inputs_EB_TRF'!G$75:G$83)&gt;0,'Key inputs_EB_TRF'!G81/SUM('Key inputs_EB_TRF'!G$75:G$83)&lt;0.001),0.001,'Key inputs_EB_TRF'!G81/SUM('Key inputs_EB_TRF'!G$75:G$83)),"")</f>
        <v>0</v>
      </c>
      <c r="O117" s="173">
        <f>IFERROR(IF(AND('Key inputs_EB_TRF'!H81/SUM('Key inputs_EB_TRF'!H$75:H$83)&gt;0,'Key inputs_EB_TRF'!H81/SUM('Key inputs_EB_TRF'!H$75:H$83)&lt;0.001),0.001,'Key inputs_EB_TRF'!H81/SUM('Key inputs_EB_TRF'!H$75:H$83)),"")</f>
        <v>0</v>
      </c>
      <c r="P117" s="173">
        <f>IFERROR(IF(AND('Key inputs_EB_TRF'!I81/SUM('Key inputs_EB_TRF'!I$75:I$83)&gt;0,'Key inputs_EB_TRF'!I81/SUM('Key inputs_EB_TRF'!I$75:I$83)&lt;0.001),0.001,'Key inputs_EB_TRF'!I81/SUM('Key inputs_EB_TRF'!I$75:I$83)),"")</f>
        <v>6.4650729382272178E-3</v>
      </c>
      <c r="Q117" s="173">
        <f>IFERROR(IF(AND('Key inputs_EB_TRF'!J81/SUM('Key inputs_EB_TRF'!J$75:J$83)&gt;0,'Key inputs_EB_TRF'!J81/SUM('Key inputs_EB_TRF'!J$75:J$83)&lt;0.001),0.001,'Key inputs_EB_TRF'!J81/SUM('Key inputs_EB_TRF'!J$75:J$83)),"")</f>
        <v>1.961027862792639E-2</v>
      </c>
      <c r="R117" s="173">
        <f>IFERROR(IF(AND('Key inputs_EB_TRF'!K81/SUM('Key inputs_EB_TRF'!K$75:K$83)&gt;0,'Key inputs_EB_TRF'!K81/SUM('Key inputs_EB_TRF'!K$75:K$83)&lt;0.001),0.001,'Key inputs_EB_TRF'!K81/SUM('Key inputs_EB_TRF'!K$75:K$83)),"")</f>
        <v>0</v>
      </c>
      <c r="S117" s="173">
        <f>IFERROR(IF(AND('Key inputs_EB_TRF'!L81/SUM('Key inputs_EB_TRF'!L$75:L$83)&gt;0,'Key inputs_EB_TRF'!L81/SUM('Key inputs_EB_TRF'!L$75:L$83)&lt;0.001),0.001,'Key inputs_EB_TRF'!L81/SUM('Key inputs_EB_TRF'!L$75:L$83)),"")</f>
        <v>0</v>
      </c>
      <c r="T117" s="348">
        <f>IFERROR(IF(AND('Key inputs_EB_TRF'!M81/SUM('Key inputs_EB_TRF'!M$75:M$83)&gt;0,'Key inputs_EB_TRF'!M81/SUM('Key inputs_EB_TRF'!M$75:M$83)&lt;0.001),0.001,'Key inputs_EB_TRF'!M81/SUM('Key inputs_EB_TRF'!M$75:M$83)),"")</f>
        <v>0</v>
      </c>
      <c r="U117" s="173">
        <f>IFERROR(IF(AND('Key inputs_EB_TRF'!N81/SUM('Key inputs_EB_TRF'!N$75:N$83)&gt;0,'Key inputs_EB_TRF'!N81/SUM('Key inputs_EB_TRF'!N$75:N$83)&lt;0.001),0.001,'Key inputs_EB_TRF'!N81/SUM('Key inputs_EB_TRF'!N$75:N$83)),"")</f>
        <v>0</v>
      </c>
      <c r="V117" s="173">
        <f>IFERROR(IF(AND('Key inputs_EB_TRF'!O81/SUM('Key inputs_EB_TRF'!O$75:O$83)&gt;0,'Key inputs_EB_TRF'!O81/SUM('Key inputs_EB_TRF'!O$75:O$83)&lt;0.001),0.001,'Key inputs_EB_TRF'!O81/SUM('Key inputs_EB_TRF'!O$75:O$83)),"")</f>
        <v>0</v>
      </c>
      <c r="W117" s="173">
        <f>IFERROR(IF(AND('Key inputs_EB_TRF'!P81/SUM('Key inputs_EB_TRF'!P$75:P$83)&gt;0,'Key inputs_EB_TRF'!P81/SUM('Key inputs_EB_TRF'!P$75:P$83)&lt;0.001),0.001,'Key inputs_EB_TRF'!P81/SUM('Key inputs_EB_TRF'!P$75:P$83)),"")</f>
        <v>0</v>
      </c>
      <c r="X117" s="173">
        <f>IFERROR(IF(AND('Key inputs_EB_TRF'!Q81/SUM('Key inputs_EB_TRF'!Q$75:Q$83)&gt;0,'Key inputs_EB_TRF'!Q81/SUM('Key inputs_EB_TRF'!Q$75:Q$83)&lt;0.001),0.001,'Key inputs_EB_TRF'!Q81/SUM('Key inputs_EB_TRF'!Q$75:Q$83)),"")</f>
        <v>6.5464999602500171E-2</v>
      </c>
      <c r="Y117" s="173">
        <f>IFERROR(IF(AND('Key inputs_EB_TRF'!R81/SUM('Key inputs_EB_TRF'!R$75:R$83)&gt;0,'Key inputs_EB_TRF'!R81/SUM('Key inputs_EB_TRF'!R$75:R$83)&lt;0.001),0.001,'Key inputs_EB_TRF'!R81/SUM('Key inputs_EB_TRF'!R$75:R$83)),"")</f>
        <v>0</v>
      </c>
      <c r="Z117" s="173">
        <f>IFERROR(IF(AND('Key inputs_EB_TRF'!S81/SUM('Key inputs_EB_TRF'!S$75:S$83)&gt;0,'Key inputs_EB_TRF'!S81/SUM('Key inputs_EB_TRF'!S$75:S$83)&lt;0.001),0.001,'Key inputs_EB_TRF'!S81/SUM('Key inputs_EB_TRF'!S$75:S$83)),"")</f>
        <v>0</v>
      </c>
      <c r="AA117" s="173">
        <f>IFERROR(IF(AND('Key inputs_EB_TRF'!T81/SUM('Key inputs_EB_TRF'!T$75:T$83)&gt;0,'Key inputs_EB_TRF'!T81/SUM('Key inputs_EB_TRF'!T$75:T$83)&lt;0.001),0.001,'Key inputs_EB_TRF'!T81/SUM('Key inputs_EB_TRF'!T$75:T$83)),"")</f>
        <v>0</v>
      </c>
      <c r="AB117" s="173">
        <f>IFERROR(IF(AND('Key inputs_EB_TRF'!U81/SUM('Key inputs_EB_TRF'!U$75:U$83)&gt;0,'Key inputs_EB_TRF'!U81/SUM('Key inputs_EB_TRF'!U$75:U$83)&lt;0.001),0.001,'Key inputs_EB_TRF'!U81/SUM('Key inputs_EB_TRF'!U$75:U$83)),"")</f>
        <v>0</v>
      </c>
      <c r="AC117" s="173">
        <f>IFERROR(IF(AND('Key inputs_EB_TRF'!V81/SUM('Key inputs_EB_TRF'!V$75:V$83)&gt;0,'Key inputs_EB_TRF'!V81/SUM('Key inputs_EB_TRF'!V$75:V$83)&lt;0.001),0.001,'Key inputs_EB_TRF'!V81/SUM('Key inputs_EB_TRF'!V$75:V$83)),"")</f>
        <v>0.31413863355242416</v>
      </c>
      <c r="AD117" s="173">
        <f>IFERROR(IF(AND('Key inputs_EB_TRF'!W81/SUM('Key inputs_EB_TRF'!W$75:W$83)&gt;0,'Key inputs_EB_TRF'!W81/SUM('Key inputs_EB_TRF'!W$75:W$83)&lt;0.001),0.001,'Key inputs_EB_TRF'!W81/SUM('Key inputs_EB_TRF'!W$75:W$83)),"")</f>
        <v>0</v>
      </c>
      <c r="AE117" s="173">
        <f>IFERROR(IF(AND('Key inputs_EB_TRF'!X81/SUM('Key inputs_EB_TRF'!X$75:X$83)&gt;0,'Key inputs_EB_TRF'!X81/SUM('Key inputs_EB_TRF'!X$75:X$83)&lt;0.001),0.001,'Key inputs_EB_TRF'!X81/SUM('Key inputs_EB_TRF'!X$75:X$83)),"")</f>
        <v>0</v>
      </c>
      <c r="AF117" s="173">
        <f>IFERROR(IF(AND('Key inputs_EB_TRF'!Y81/SUM('Key inputs_EB_TRF'!Y$75:Y$83)&gt;0,'Key inputs_EB_TRF'!Y81/SUM('Key inputs_EB_TRF'!Y$75:Y$83)&lt;0.001),0.001,'Key inputs_EB_TRF'!Y81/SUM('Key inputs_EB_TRF'!Y$75:Y$83)),"")</f>
        <v>0</v>
      </c>
      <c r="AG117" s="173">
        <f>IFERROR(IF(AND('Key inputs_EB_TRF'!Z81/SUM('Key inputs_EB_TRF'!Z$75:Z$83)&gt;0,'Key inputs_EB_TRF'!Z81/SUM('Key inputs_EB_TRF'!Z$75:Z$83)&lt;0.001),0.001,'Key inputs_EB_TRF'!Z81/SUM('Key inputs_EB_TRF'!Z$75:Z$83)),"")</f>
        <v>0.10739839837175022</v>
      </c>
      <c r="AH117" s="173">
        <f>IFERROR(IF(AND('Key inputs_EB_TRF'!AA81/SUM('Key inputs_EB_TRF'!AA$75:AA$83)&gt;0,'Key inputs_EB_TRF'!AA81/SUM('Key inputs_EB_TRF'!AA$75:AA$83)&lt;0.001),0.001,'Key inputs_EB_TRF'!AA81/SUM('Key inputs_EB_TRF'!AA$75:AA$83)),"")</f>
        <v>0</v>
      </c>
      <c r="AI117" s="173">
        <f>IFERROR(IF(AND('Key inputs_EB_TRF'!AB81/SUM('Key inputs_EB_TRF'!AB$75:AB$83)&gt;0,'Key inputs_EB_TRF'!AB81/SUM('Key inputs_EB_TRF'!AB$75:AB$83)&lt;0.001),0.001,'Key inputs_EB_TRF'!AB81/SUM('Key inputs_EB_TRF'!AB$75:AB$83)),"")</f>
        <v>0</v>
      </c>
      <c r="AJ117" s="173">
        <f>IFERROR(IF(AND('Key inputs_EB_TRF'!AC81/SUM('Key inputs_EB_TRF'!AC$75:AC$83)&gt;0,'Key inputs_EB_TRF'!AC81/SUM('Key inputs_EB_TRF'!AC$75:AC$83)&lt;0.001),0.001,'Key inputs_EB_TRF'!AC81/SUM('Key inputs_EB_TRF'!AC$75:AC$83)),"")</f>
        <v>0</v>
      </c>
      <c r="AK117" s="173">
        <f>IFERROR(IF(AND('Key inputs_EB_TRF'!AD81/SUM('Key inputs_EB_TRF'!AD$75:AD$83)&gt;0,'Key inputs_EB_TRF'!AD81/SUM('Key inputs_EB_TRF'!AD$75:AD$83)&lt;0.001),0.001,'Key inputs_EB_TRF'!AD81/SUM('Key inputs_EB_TRF'!AD$75:AD$83)),"")</f>
        <v>0</v>
      </c>
      <c r="AL117" s="173">
        <f>IFERROR(IF(AND('Key inputs_EB_TRF'!AE81/SUM('Key inputs_EB_TRF'!AE$75:AE$83)&gt;0,'Key inputs_EB_TRF'!AE81/SUM('Key inputs_EB_TRF'!AE$75:AE$83)&lt;0.001),0.001,'Key inputs_EB_TRF'!AE81/SUM('Key inputs_EB_TRF'!AE$75:AE$83)),"")</f>
        <v>0</v>
      </c>
    </row>
    <row r="118" spans="3:38">
      <c r="D118" t="str">
        <f>Commodities!$C$34</f>
        <v>OILPIP</v>
      </c>
      <c r="G118" s="4" t="s">
        <v>705</v>
      </c>
      <c r="H118" t="s">
        <v>661</v>
      </c>
      <c r="I118">
        <v>2019</v>
      </c>
      <c r="J118" t="s">
        <v>650</v>
      </c>
      <c r="K118" s="173">
        <f>IFERROR(IF(AND('Key inputs_EB_TRF'!D82/SUM('Key inputs_EB_TRF'!D$75:D$83)&gt;0,'Key inputs_EB_TRF'!D82/SUM('Key inputs_EB_TRF'!D$75:D$83)&lt;0.001),0.001,'Key inputs_EB_TRF'!D82/SUM('Key inputs_EB_TRF'!D$75:D$83)),"")</f>
        <v>0</v>
      </c>
      <c r="L118" s="173">
        <f>IFERROR(IF(AND('Key inputs_EB_TRF'!E82/SUM('Key inputs_EB_TRF'!E$75:E$83)&gt;0,'Key inputs_EB_TRF'!E82/SUM('Key inputs_EB_TRF'!E$75:E$83)&lt;0.001),0.001,'Key inputs_EB_TRF'!E82/SUM('Key inputs_EB_TRF'!E$75:E$83)),"")</f>
        <v>0</v>
      </c>
      <c r="M118" s="173">
        <f>IFERROR(IF(AND('Key inputs_EB_TRF'!F82/SUM('Key inputs_EB_TRF'!F$75:F$83)&gt;0,'Key inputs_EB_TRF'!F82/SUM('Key inputs_EB_TRF'!F$75:F$83)&lt;0.001),0.001,'Key inputs_EB_TRF'!F82/SUM('Key inputs_EB_TRF'!F$75:F$83)),"")</f>
        <v>0</v>
      </c>
      <c r="N118" s="173">
        <f>IFERROR(IF(AND('Key inputs_EB_TRF'!G82/SUM('Key inputs_EB_TRF'!G$75:G$83)&gt;0,'Key inputs_EB_TRF'!G82/SUM('Key inputs_EB_TRF'!G$75:G$83)&lt;0.001),0.001,'Key inputs_EB_TRF'!G82/SUM('Key inputs_EB_TRF'!G$75:G$83)),"")</f>
        <v>0</v>
      </c>
      <c r="O118" s="173">
        <f>IFERROR(IF(AND('Key inputs_EB_TRF'!H82/SUM('Key inputs_EB_TRF'!H$75:H$83)&gt;0,'Key inputs_EB_TRF'!H82/SUM('Key inputs_EB_TRF'!H$75:H$83)&lt;0.001),0.001,'Key inputs_EB_TRF'!H82/SUM('Key inputs_EB_TRF'!H$75:H$83)),"")</f>
        <v>0</v>
      </c>
      <c r="P118" s="173">
        <f>IFERROR(IF(AND('Key inputs_EB_TRF'!I82/SUM('Key inputs_EB_TRF'!I$75:I$83)&gt;0,'Key inputs_EB_TRF'!I82/SUM('Key inputs_EB_TRF'!I$75:I$83)&lt;0.001),0.001,'Key inputs_EB_TRF'!I82/SUM('Key inputs_EB_TRF'!I$75:I$83)),"")</f>
        <v>0</v>
      </c>
      <c r="Q118" s="173">
        <f>IFERROR(IF(AND('Key inputs_EB_TRF'!J82/SUM('Key inputs_EB_TRF'!J$75:J$83)&gt;0,'Key inputs_EB_TRF'!J82/SUM('Key inputs_EB_TRF'!J$75:J$83)&lt;0.001),0.001,'Key inputs_EB_TRF'!J82/SUM('Key inputs_EB_TRF'!J$75:J$83)),"")</f>
        <v>0</v>
      </c>
      <c r="R118" s="173">
        <f>IFERROR(IF(AND('Key inputs_EB_TRF'!K82/SUM('Key inputs_EB_TRF'!K$75:K$83)&gt;0,'Key inputs_EB_TRF'!K82/SUM('Key inputs_EB_TRF'!K$75:K$83)&lt;0.001),0.001,'Key inputs_EB_TRF'!K82/SUM('Key inputs_EB_TRF'!K$75:K$83)),"")</f>
        <v>0</v>
      </c>
      <c r="S118" s="173">
        <f>IFERROR(IF(AND('Key inputs_EB_TRF'!L82/SUM('Key inputs_EB_TRF'!L$75:L$83)&gt;0,'Key inputs_EB_TRF'!L82/SUM('Key inputs_EB_TRF'!L$75:L$83)&lt;0.001),0.001,'Key inputs_EB_TRF'!L82/SUM('Key inputs_EB_TRF'!L$75:L$83)),"")</f>
        <v>0</v>
      </c>
      <c r="T118" s="348">
        <f>IFERROR(IF(AND('Key inputs_EB_TRF'!M82/SUM('Key inputs_EB_TRF'!M$75:M$83)&gt;0,'Key inputs_EB_TRF'!M82/SUM('Key inputs_EB_TRF'!M$75:M$83)&lt;0.001),0.001,'Key inputs_EB_TRF'!M82/SUM('Key inputs_EB_TRF'!M$75:M$83)),"")</f>
        <v>1E-3</v>
      </c>
      <c r="U118" s="173">
        <f>IFERROR(IF(AND('Key inputs_EB_TRF'!N82/SUM('Key inputs_EB_TRF'!N$75:N$83)&gt;0,'Key inputs_EB_TRF'!N82/SUM('Key inputs_EB_TRF'!N$75:N$83)&lt;0.001),0.001,'Key inputs_EB_TRF'!N82/SUM('Key inputs_EB_TRF'!N$75:N$83)),"")</f>
        <v>0</v>
      </c>
      <c r="V118" s="173">
        <f>IFERROR(IF(AND('Key inputs_EB_TRF'!O82/SUM('Key inputs_EB_TRF'!O$75:O$83)&gt;0,'Key inputs_EB_TRF'!O82/SUM('Key inputs_EB_TRF'!O$75:O$83)&lt;0.001),0.001,'Key inputs_EB_TRF'!O82/SUM('Key inputs_EB_TRF'!O$75:O$83)),"")</f>
        <v>0</v>
      </c>
      <c r="W118" s="173">
        <f>IFERROR(IF(AND('Key inputs_EB_TRF'!P82/SUM('Key inputs_EB_TRF'!P$75:P$83)&gt;0,'Key inputs_EB_TRF'!P82/SUM('Key inputs_EB_TRF'!P$75:P$83)&lt;0.001),0.001,'Key inputs_EB_TRF'!P82/SUM('Key inputs_EB_TRF'!P$75:P$83)),"")</f>
        <v>0</v>
      </c>
      <c r="X118" s="173">
        <f>IFERROR(IF(AND('Key inputs_EB_TRF'!Q82/SUM('Key inputs_EB_TRF'!Q$75:Q$83)&gt;0,'Key inputs_EB_TRF'!Q82/SUM('Key inputs_EB_TRF'!Q$75:Q$83)&lt;0.001),0.001,'Key inputs_EB_TRF'!Q82/SUM('Key inputs_EB_TRF'!Q$75:Q$83)),"")</f>
        <v>0</v>
      </c>
      <c r="Y118" s="173">
        <f>IFERROR(IF(AND('Key inputs_EB_TRF'!R82/SUM('Key inputs_EB_TRF'!R$75:R$83)&gt;0,'Key inputs_EB_TRF'!R82/SUM('Key inputs_EB_TRF'!R$75:R$83)&lt;0.001),0.001,'Key inputs_EB_TRF'!R82/SUM('Key inputs_EB_TRF'!R$75:R$83)),"")</f>
        <v>0.1175204833236779</v>
      </c>
      <c r="Z118" s="173">
        <f>IFERROR(IF(AND('Key inputs_EB_TRF'!S82/SUM('Key inputs_EB_TRF'!S$75:S$83)&gt;0,'Key inputs_EB_TRF'!S82/SUM('Key inputs_EB_TRF'!S$75:S$83)&lt;0.001),0.001,'Key inputs_EB_TRF'!S82/SUM('Key inputs_EB_TRF'!S$75:S$83)),"")</f>
        <v>2.546816479400749E-2</v>
      </c>
      <c r="AA118" s="173">
        <f>IFERROR(IF(AND('Key inputs_EB_TRF'!T82/SUM('Key inputs_EB_TRF'!T$75:T$83)&gt;0,'Key inputs_EB_TRF'!T82/SUM('Key inputs_EB_TRF'!T$75:T$83)&lt;0.001),0.001,'Key inputs_EB_TRF'!T82/SUM('Key inputs_EB_TRF'!T$75:T$83)),"")</f>
        <v>0</v>
      </c>
      <c r="AB118" s="173">
        <f>IFERROR(IF(AND('Key inputs_EB_TRF'!U82/SUM('Key inputs_EB_TRF'!U$75:U$83)&gt;0,'Key inputs_EB_TRF'!U82/SUM('Key inputs_EB_TRF'!U$75:U$83)&lt;0.001),0.001,'Key inputs_EB_TRF'!U82/SUM('Key inputs_EB_TRF'!U$75:U$83)),"")</f>
        <v>0</v>
      </c>
      <c r="AC118" s="173">
        <f>IFERROR(IF(AND('Key inputs_EB_TRF'!V82/SUM('Key inputs_EB_TRF'!V$75:V$83)&gt;0,'Key inputs_EB_TRF'!V82/SUM('Key inputs_EB_TRF'!V$75:V$83)&lt;0.001),0.001,'Key inputs_EB_TRF'!V82/SUM('Key inputs_EB_TRF'!V$75:V$83)),"")</f>
        <v>0</v>
      </c>
      <c r="AD118" s="173">
        <f>IFERROR(IF(AND('Key inputs_EB_TRF'!W82/SUM('Key inputs_EB_TRF'!W$75:W$83)&gt;0,'Key inputs_EB_TRF'!W82/SUM('Key inputs_EB_TRF'!W$75:W$83)&lt;0.001),0.001,'Key inputs_EB_TRF'!W82/SUM('Key inputs_EB_TRF'!W$75:W$83)),"")</f>
        <v>0</v>
      </c>
      <c r="AE118" s="173">
        <f>IFERROR(IF(AND('Key inputs_EB_TRF'!X82/SUM('Key inputs_EB_TRF'!X$75:X$83)&gt;0,'Key inputs_EB_TRF'!X82/SUM('Key inputs_EB_TRF'!X$75:X$83)&lt;0.001),0.001,'Key inputs_EB_TRF'!X82/SUM('Key inputs_EB_TRF'!X$75:X$83)),"")</f>
        <v>0</v>
      </c>
      <c r="AF118" s="173">
        <f>IFERROR(IF(AND('Key inputs_EB_TRF'!Y82/SUM('Key inputs_EB_TRF'!Y$75:Y$83)&gt;0,'Key inputs_EB_TRF'!Y82/SUM('Key inputs_EB_TRF'!Y$75:Y$83)&lt;0.001),0.001,'Key inputs_EB_TRF'!Y82/SUM('Key inputs_EB_TRF'!Y$75:Y$83)),"")</f>
        <v>0</v>
      </c>
      <c r="AG118" s="173">
        <f>IFERROR(IF(AND('Key inputs_EB_TRF'!Z82/SUM('Key inputs_EB_TRF'!Z$75:Z$83)&gt;0,'Key inputs_EB_TRF'!Z82/SUM('Key inputs_EB_TRF'!Z$75:Z$83)&lt;0.001),0.001,'Key inputs_EB_TRF'!Z82/SUM('Key inputs_EB_TRF'!Z$75:Z$83)),"")</f>
        <v>0</v>
      </c>
      <c r="AH118" s="173">
        <f>IFERROR(IF(AND('Key inputs_EB_TRF'!AA82/SUM('Key inputs_EB_TRF'!AA$75:AA$83)&gt;0,'Key inputs_EB_TRF'!AA82/SUM('Key inputs_EB_TRF'!AA$75:AA$83)&lt;0.001),0.001,'Key inputs_EB_TRF'!AA82/SUM('Key inputs_EB_TRF'!AA$75:AA$83)),"")</f>
        <v>0</v>
      </c>
      <c r="AI118" s="173">
        <f>IFERROR(IF(AND('Key inputs_EB_TRF'!AB82/SUM('Key inputs_EB_TRF'!AB$75:AB$83)&gt;0,'Key inputs_EB_TRF'!AB82/SUM('Key inputs_EB_TRF'!AB$75:AB$83)&lt;0.001),0.001,'Key inputs_EB_TRF'!AB82/SUM('Key inputs_EB_TRF'!AB$75:AB$83)),"")</f>
        <v>0</v>
      </c>
      <c r="AJ118" s="173">
        <f>IFERROR(IF(AND('Key inputs_EB_TRF'!AC82/SUM('Key inputs_EB_TRF'!AC$75:AC$83)&gt;0,'Key inputs_EB_TRF'!AC82/SUM('Key inputs_EB_TRF'!AC$75:AC$83)&lt;0.001),0.001,'Key inputs_EB_TRF'!AC82/SUM('Key inputs_EB_TRF'!AC$75:AC$83)),"")</f>
        <v>0</v>
      </c>
      <c r="AK118" s="173">
        <f>IFERROR(IF(AND('Key inputs_EB_TRF'!AD82/SUM('Key inputs_EB_TRF'!AD$75:AD$83)&gt;0,'Key inputs_EB_TRF'!AD82/SUM('Key inputs_EB_TRF'!AD$75:AD$83)&lt;0.001),0.001,'Key inputs_EB_TRF'!AD82/SUM('Key inputs_EB_TRF'!AD$75:AD$83)),"")</f>
        <v>0</v>
      </c>
      <c r="AL118" s="173">
        <f>IFERROR(IF(AND('Key inputs_EB_TRF'!AE82/SUM('Key inputs_EB_TRF'!AE$75:AE$83)&gt;0,'Key inputs_EB_TRF'!AE82/SUM('Key inputs_EB_TRF'!AE$75:AE$83)&lt;0.001),0.001,'Key inputs_EB_TRF'!AE82/SUM('Key inputs_EB_TRF'!AE$75:AE$83)),"")</f>
        <v>0</v>
      </c>
    </row>
    <row r="119" spans="3:38">
      <c r="D119" t="str">
        <f>Commodities!$C$45</f>
        <v>OILOPPb</v>
      </c>
      <c r="G119" s="4" t="s">
        <v>705</v>
      </c>
      <c r="H119" t="s">
        <v>661</v>
      </c>
      <c r="I119">
        <v>2019</v>
      </c>
      <c r="J119" t="s">
        <v>650</v>
      </c>
      <c r="K119" s="173">
        <f>IFERROR(IF(AND('Key inputs_EB_TRF'!D83/SUM('Key inputs_EB_TRF'!D$75:D$83)&gt;0,'Key inputs_EB_TRF'!D83/SUM('Key inputs_EB_TRF'!D$75:D$83)&lt;0.001),0.001,'Key inputs_EB_TRF'!D83/SUM('Key inputs_EB_TRF'!D$75:D$83)),"")</f>
        <v>0</v>
      </c>
      <c r="L119" s="173">
        <f>IFERROR(IF(AND('Key inputs_EB_TRF'!E83/SUM('Key inputs_EB_TRF'!E$75:E$83)&gt;0,'Key inputs_EB_TRF'!E83/SUM('Key inputs_EB_TRF'!E$75:E$83)&lt;0.001),0.001,'Key inputs_EB_TRF'!E83/SUM('Key inputs_EB_TRF'!E$75:E$83)),"")</f>
        <v>0</v>
      </c>
      <c r="M119" s="173">
        <f>IFERROR(IF(AND('Key inputs_EB_TRF'!F83/SUM('Key inputs_EB_TRF'!F$75:F$83)&gt;0,'Key inputs_EB_TRF'!F83/SUM('Key inputs_EB_TRF'!F$75:F$83)&lt;0.001),0.001,'Key inputs_EB_TRF'!F83/SUM('Key inputs_EB_TRF'!F$75:F$83)),"")</f>
        <v>0</v>
      </c>
      <c r="N119" s="173">
        <f>IFERROR(IF(AND('Key inputs_EB_TRF'!G83/SUM('Key inputs_EB_TRF'!G$75:G$83)&gt;0,'Key inputs_EB_TRF'!G83/SUM('Key inputs_EB_TRF'!G$75:G$83)&lt;0.001),0.001,'Key inputs_EB_TRF'!G83/SUM('Key inputs_EB_TRF'!G$75:G$83)),"")</f>
        <v>0</v>
      </c>
      <c r="O119" s="173">
        <f>IFERROR(IF(AND('Key inputs_EB_TRF'!H83/SUM('Key inputs_EB_TRF'!H$75:H$83)&gt;0,'Key inputs_EB_TRF'!H83/SUM('Key inputs_EB_TRF'!H$75:H$83)&lt;0.001),0.001,'Key inputs_EB_TRF'!H83/SUM('Key inputs_EB_TRF'!H$75:H$83)),"")</f>
        <v>0.15255540351817631</v>
      </c>
      <c r="P119" s="173">
        <f>IFERROR(IF(AND('Key inputs_EB_TRF'!I83/SUM('Key inputs_EB_TRF'!I$75:I$83)&gt;0,'Key inputs_EB_TRF'!I83/SUM('Key inputs_EB_TRF'!I$75:I$83)&lt;0.001),0.001,'Key inputs_EB_TRF'!I83/SUM('Key inputs_EB_TRF'!I$75:I$83)),"")</f>
        <v>0</v>
      </c>
      <c r="Q119" s="173">
        <f>IFERROR(IF(AND('Key inputs_EB_TRF'!J83/SUM('Key inputs_EB_TRF'!J$75:J$83)&gt;0,'Key inputs_EB_TRF'!J83/SUM('Key inputs_EB_TRF'!J$75:J$83)&lt;0.001),0.001,'Key inputs_EB_TRF'!J83/SUM('Key inputs_EB_TRF'!J$75:J$83)),"")</f>
        <v>0.24188411701577964</v>
      </c>
      <c r="R119" s="173">
        <f>IFERROR(IF(AND('Key inputs_EB_TRF'!K83/SUM('Key inputs_EB_TRF'!K$75:K$83)&gt;0,'Key inputs_EB_TRF'!K83/SUM('Key inputs_EB_TRF'!K$75:K$83)&lt;0.001),0.001,'Key inputs_EB_TRF'!K83/SUM('Key inputs_EB_TRF'!K$75:K$83)),"")</f>
        <v>0</v>
      </c>
      <c r="S119" s="173">
        <f>IFERROR(IF(AND('Key inputs_EB_TRF'!L83/SUM('Key inputs_EB_TRF'!L$75:L$83)&gt;0,'Key inputs_EB_TRF'!L83/SUM('Key inputs_EB_TRF'!L$75:L$83)&lt;0.001),0.001,'Key inputs_EB_TRF'!L83/SUM('Key inputs_EB_TRF'!L$75:L$83)),"")</f>
        <v>0.36821917291815887</v>
      </c>
      <c r="T119" s="348">
        <f>IFERROR(IF(AND('Key inputs_EB_TRF'!M83/SUM('Key inputs_EB_TRF'!M$75:M$83)&gt;0,'Key inputs_EB_TRF'!M83/SUM('Key inputs_EB_TRF'!M$75:M$83)&lt;0.001),0.001,'Key inputs_EB_TRF'!M83/SUM('Key inputs_EB_TRF'!M$75:M$83)),"")</f>
        <v>0.99992048447220772</v>
      </c>
      <c r="U119" s="173">
        <f>IFERROR(IF(AND('Key inputs_EB_TRF'!N83/SUM('Key inputs_EB_TRF'!N$75:N$83)&gt;0,'Key inputs_EB_TRF'!N83/SUM('Key inputs_EB_TRF'!N$75:N$83)&lt;0.001),0.001,'Key inputs_EB_TRF'!N83/SUM('Key inputs_EB_TRF'!N$75:N$83)),"")</f>
        <v>0</v>
      </c>
      <c r="V119" s="173">
        <f>IFERROR(IF(AND('Key inputs_EB_TRF'!O83/SUM('Key inputs_EB_TRF'!O$75:O$83)&gt;0,'Key inputs_EB_TRF'!O83/SUM('Key inputs_EB_TRF'!O$75:O$83)&lt;0.001),0.001,'Key inputs_EB_TRF'!O83/SUM('Key inputs_EB_TRF'!O$75:O$83)),"")</f>
        <v>0</v>
      </c>
      <c r="W119" s="173">
        <f>IFERROR(IF(AND('Key inputs_EB_TRF'!P83/SUM('Key inputs_EB_TRF'!P$75:P$83)&gt;0,'Key inputs_EB_TRF'!P83/SUM('Key inputs_EB_TRF'!P$75:P$83)&lt;0.001),0.001,'Key inputs_EB_TRF'!P83/SUM('Key inputs_EB_TRF'!P$75:P$83)),"")</f>
        <v>1.4603870025556773E-2</v>
      </c>
      <c r="X119" s="173">
        <f>IFERROR(IF(AND('Key inputs_EB_TRF'!Q83/SUM('Key inputs_EB_TRF'!Q$75:Q$83)&gt;0,'Key inputs_EB_TRF'!Q83/SUM('Key inputs_EB_TRF'!Q$75:Q$83)&lt;0.001),0.001,'Key inputs_EB_TRF'!Q83/SUM('Key inputs_EB_TRF'!Q$75:Q$83)),"")</f>
        <v>0.17401683250646205</v>
      </c>
      <c r="Y119" s="173">
        <f>IFERROR(IF(AND('Key inputs_EB_TRF'!R83/SUM('Key inputs_EB_TRF'!R$75:R$83)&gt;0,'Key inputs_EB_TRF'!R83/SUM('Key inputs_EB_TRF'!R$75:R$83)&lt;0.001),0.001,'Key inputs_EB_TRF'!R83/SUM('Key inputs_EB_TRF'!R$75:R$83)),"")</f>
        <v>0</v>
      </c>
      <c r="Z119" s="173">
        <f>IFERROR(IF(AND('Key inputs_EB_TRF'!S83/SUM('Key inputs_EB_TRF'!S$75:S$83)&gt;0,'Key inputs_EB_TRF'!S83/SUM('Key inputs_EB_TRF'!S$75:S$83)&lt;0.001),0.001,'Key inputs_EB_TRF'!S83/SUM('Key inputs_EB_TRF'!S$75:S$83)),"")</f>
        <v>0.24007490636704121</v>
      </c>
      <c r="AA119" s="173">
        <f>IFERROR(IF(AND('Key inputs_EB_TRF'!T83/SUM('Key inputs_EB_TRF'!T$75:T$83)&gt;0,'Key inputs_EB_TRF'!T83/SUM('Key inputs_EB_TRF'!T$75:T$83)&lt;0.001),0.001,'Key inputs_EB_TRF'!T83/SUM('Key inputs_EB_TRF'!T$75:T$83)),"")</f>
        <v>1E-3</v>
      </c>
      <c r="AB119" s="173">
        <f>IFERROR(IF(AND('Key inputs_EB_TRF'!U83/SUM('Key inputs_EB_TRF'!U$75:U$83)&gt;0,'Key inputs_EB_TRF'!U83/SUM('Key inputs_EB_TRF'!U$75:U$83)&lt;0.001),0.001,'Key inputs_EB_TRF'!U83/SUM('Key inputs_EB_TRF'!U$75:U$83)),"")</f>
        <v>0</v>
      </c>
      <c r="AC119" s="173">
        <f>IFERROR(IF(AND('Key inputs_EB_TRF'!V83/SUM('Key inputs_EB_TRF'!V$75:V$83)&gt;0,'Key inputs_EB_TRF'!V83/SUM('Key inputs_EB_TRF'!V$75:V$83)&lt;0.001),0.001,'Key inputs_EB_TRF'!V83/SUM('Key inputs_EB_TRF'!V$75:V$83)),"")</f>
        <v>0</v>
      </c>
      <c r="AD119" s="173">
        <f>IFERROR(IF(AND('Key inputs_EB_TRF'!W83/SUM('Key inputs_EB_TRF'!W$75:W$83)&gt;0,'Key inputs_EB_TRF'!W83/SUM('Key inputs_EB_TRF'!W$75:W$83)&lt;0.001),0.001,'Key inputs_EB_TRF'!W83/SUM('Key inputs_EB_TRF'!W$75:W$83)),"")</f>
        <v>0</v>
      </c>
      <c r="AE119" s="173">
        <f>IFERROR(IF(AND('Key inputs_EB_TRF'!X83/SUM('Key inputs_EB_TRF'!X$75:X$83)&gt;0,'Key inputs_EB_TRF'!X83/SUM('Key inputs_EB_TRF'!X$75:X$83)&lt;0.001),0.001,'Key inputs_EB_TRF'!X83/SUM('Key inputs_EB_TRF'!X$75:X$83)),"")</f>
        <v>0.13507816745903123</v>
      </c>
      <c r="AF119" s="173">
        <f>IFERROR(IF(AND('Key inputs_EB_TRF'!Y83/SUM('Key inputs_EB_TRF'!Y$75:Y$83)&gt;0,'Key inputs_EB_TRF'!Y83/SUM('Key inputs_EB_TRF'!Y$75:Y$83)&lt;0.001),0.001,'Key inputs_EB_TRF'!Y83/SUM('Key inputs_EB_TRF'!Y$75:Y$83)),"")</f>
        <v>0</v>
      </c>
      <c r="AG119" s="173">
        <f>IFERROR(IF(AND('Key inputs_EB_TRF'!Z83/SUM('Key inputs_EB_TRF'!Z$75:Z$83)&gt;0,'Key inputs_EB_TRF'!Z83/SUM('Key inputs_EB_TRF'!Z$75:Z$83)&lt;0.001),0.001,'Key inputs_EB_TRF'!Z83/SUM('Key inputs_EB_TRF'!Z$75:Z$83)),"")</f>
        <v>0.26965279758002036</v>
      </c>
      <c r="AH119" s="173">
        <f>IFERROR(IF(AND('Key inputs_EB_TRF'!AA83/SUM('Key inputs_EB_TRF'!AA$75:AA$83)&gt;0,'Key inputs_EB_TRF'!AA83/SUM('Key inputs_EB_TRF'!AA$75:AA$83)&lt;0.001),0.001,'Key inputs_EB_TRF'!AA83/SUM('Key inputs_EB_TRF'!AA$75:AA$83)),"")</f>
        <v>0.34528695757404626</v>
      </c>
      <c r="AI119" s="173">
        <f>IFERROR(IF(AND('Key inputs_EB_TRF'!AB83/SUM('Key inputs_EB_TRF'!AB$75:AB$83)&gt;0,'Key inputs_EB_TRF'!AB83/SUM('Key inputs_EB_TRF'!AB$75:AB$83)&lt;0.001),0.001,'Key inputs_EB_TRF'!AB83/SUM('Key inputs_EB_TRF'!AB$75:AB$83)),"")</f>
        <v>0</v>
      </c>
      <c r="AJ119" s="173">
        <f>IFERROR(IF(AND('Key inputs_EB_TRF'!AC83/SUM('Key inputs_EB_TRF'!AC$75:AC$83)&gt;0,'Key inputs_EB_TRF'!AC83/SUM('Key inputs_EB_TRF'!AC$75:AC$83)&lt;0.001),0.001,'Key inputs_EB_TRF'!AC83/SUM('Key inputs_EB_TRF'!AC$75:AC$83)),"")</f>
        <v>0</v>
      </c>
      <c r="AK119" s="173">
        <f>IFERROR(IF(AND('Key inputs_EB_TRF'!AD83/SUM('Key inputs_EB_TRF'!AD$75:AD$83)&gt;0,'Key inputs_EB_TRF'!AD83/SUM('Key inputs_EB_TRF'!AD$75:AD$83)&lt;0.001),0.001,'Key inputs_EB_TRF'!AD83/SUM('Key inputs_EB_TRF'!AD$75:AD$83)),"")</f>
        <v>0.27757631397750748</v>
      </c>
      <c r="AL119" s="173">
        <f>IFERROR(IF(AND('Key inputs_EB_TRF'!AE83/SUM('Key inputs_EB_TRF'!AE$75:AE$83)&gt;0,'Key inputs_EB_TRF'!AE83/SUM('Key inputs_EB_TRF'!AE$75:AE$83)&lt;0.001),0.001,'Key inputs_EB_TRF'!AE83/SUM('Key inputs_EB_TRF'!AE$75:AE$83)),"")</f>
        <v>0.35686113552810284</v>
      </c>
    </row>
    <row r="120" spans="3:38">
      <c r="E120" s="4" t="s">
        <v>359</v>
      </c>
      <c r="F120" s="4" t="s">
        <v>691</v>
      </c>
      <c r="G120" s="4" t="s">
        <v>692</v>
      </c>
      <c r="J120" s="4" t="s">
        <v>2664</v>
      </c>
      <c r="K120" s="173">
        <f>IFERROR(K84/(-SUM('Key inputs_EB_OWN'!E$620:E$639)/10^3),"")</f>
        <v>7122.9019611957146</v>
      </c>
      <c r="L120" s="173">
        <f>IFERROR(L84/(-SUM('Key inputs_EB_OWN'!F$620:F$639)/10^3),"")</f>
        <v>63.319311191414165</v>
      </c>
      <c r="M120" s="173">
        <f>IFERROR(M84/(-SUM('Key inputs_EB_OWN'!G$620:G$639)/10^3),"")</f>
        <v>8.9909892508783802</v>
      </c>
      <c r="N120" s="173">
        <f>IFERROR(N84/(-SUM('Key inputs_EB_OWN'!H$620:H$639)/10^3),"")</f>
        <v>3.5138744056092244</v>
      </c>
      <c r="O120" s="173">
        <f>IFERROR(O84/(-SUM('Key inputs_EB_OWN'!I$620:I$639)/10^3),"")</f>
        <v>3.9736402881225321</v>
      </c>
      <c r="P120" s="173">
        <f>IFERROR(P84/(-SUM('Key inputs_EB_OWN'!J$620:J$639)/10^3),"")</f>
        <v>0.44741595847317706</v>
      </c>
      <c r="Q120" s="173">
        <f>IFERROR(Q84/(-SUM('Key inputs_EB_OWN'!K$620:K$639)/10^3),"")</f>
        <v>865.92661934316652</v>
      </c>
      <c r="R120" s="173" t="str">
        <f>IFERROR(R84/(-SUM('Key inputs_EB_OWN'!L$620:L$639)/10^3),"")</f>
        <v/>
      </c>
      <c r="S120" s="173">
        <f>IFERROR(S84/(-SUM('Key inputs_EB_OWN'!M$620:M$639)/10^3),"")</f>
        <v>0.18200461683969812</v>
      </c>
      <c r="T120" s="173">
        <f>IFERROR(T84/(-SUM('Key inputs_EB_OWN'!N$620:N$639)/10^3),"")</f>
        <v>297.54037940379402</v>
      </c>
      <c r="U120" s="173">
        <f>IFERROR(U84/(-SUM('Key inputs_EB_OWN'!O$620:O$639)/10^3),"")</f>
        <v>8.3889349121306029</v>
      </c>
      <c r="V120" s="173">
        <f>IFERROR(V84/(-SUM('Key inputs_EB_OWN'!P$620:P$639)/10^3),"")</f>
        <v>5.7452238570723928</v>
      </c>
      <c r="W120" s="173">
        <f>IFERROR(W84/(-SUM('Key inputs_EB_OWN'!Q$620:Q$639)/10^3),"")</f>
        <v>0.68225288691065988</v>
      </c>
      <c r="X120" s="173">
        <f>IFERROR(X84/(-SUM('Key inputs_EB_OWN'!R$620:R$639)/10^3),"")</f>
        <v>11.687147731605187</v>
      </c>
      <c r="Y120" s="173">
        <f>IFERROR(Y84/(-SUM('Key inputs_EB_OWN'!S$620:S$639)/10^3),"")</f>
        <v>0.48016907914097889</v>
      </c>
      <c r="Z120" s="173">
        <f>IFERROR(Z84/(-SUM('Key inputs_EB_OWN'!T$620:T$639)/10^3),"")</f>
        <v>2.236207652749499E-2</v>
      </c>
      <c r="AA120" s="173">
        <f>IFERROR(AA84/(-SUM('Key inputs_EB_OWN'!U$620:U$639)/10^3),"")</f>
        <v>0.64471127863911859</v>
      </c>
      <c r="AB120" s="173">
        <f>IFERROR(AB84/(-SUM('Key inputs_EB_OWN'!V$620:V$639)/10^3),"")</f>
        <v>1.6529655641842766</v>
      </c>
      <c r="AC120" s="173" t="str">
        <f>IFERROR(AC84/(-SUM('Key inputs_EB_OWN'!W$620:W$639)/10^3),"")</f>
        <v/>
      </c>
      <c r="AD120" s="173">
        <f>IFERROR(AD84/(-SUM('Key inputs_EB_OWN'!X$620:X$639)/10^3),"")</f>
        <v>3.3320815762260443</v>
      </c>
      <c r="AE120" s="173">
        <f>IFERROR(AE84/(-SUM('Key inputs_EB_OWN'!Y$620:Y$639)/10^3),"")</f>
        <v>10.386650146298486</v>
      </c>
      <c r="AF120" s="173">
        <f>IFERROR(AF84/(-SUM('Key inputs_EB_OWN'!Z$620:Z$639)/10^3),"")</f>
        <v>0.65958389584076338</v>
      </c>
      <c r="AG120" s="173">
        <f>IFERROR(AG84/(-SUM('Key inputs_EB_OWN'!AA$620:AA$639)/10^3),"")</f>
        <v>88.090246958302643</v>
      </c>
      <c r="AH120" s="173">
        <f>IFERROR(AH84/(-SUM('Key inputs_EB_OWN'!AB$620:AB$639)/10^3),"")</f>
        <v>18.170828553555367</v>
      </c>
      <c r="AI120" s="173" t="str">
        <f>IFERROR(AI84/(-SUM('Key inputs_EB_OWN'!AC$620:AC$639)/10^3),"")</f>
        <v/>
      </c>
      <c r="AJ120" s="173">
        <f>IFERROR(AJ84/(-SUM('Key inputs_EB_OWN'!AD$620:AD$639)/10^3),"")</f>
        <v>6.9083090410672061E-4</v>
      </c>
      <c r="AK120" s="173">
        <f>IFERROR(AK84/(-SUM('Key inputs_EB_OWN'!AE$620:AE$639)/10^3),"")</f>
        <v>5.7569984616801966</v>
      </c>
      <c r="AL120" s="173">
        <f>IFERROR(AL84/(-SUM('Key inputs_EB_OWN'!AF$620:AF$639)/10^3),"")</f>
        <v>40.847686199446542</v>
      </c>
    </row>
    <row r="121" spans="3:38">
      <c r="C121" t="str">
        <f>Commodities!$C$80</f>
        <v>UPSBDL</v>
      </c>
      <c r="E121" s="4"/>
      <c r="F121" s="4" t="s">
        <v>359</v>
      </c>
      <c r="G121" s="4" t="s">
        <v>702</v>
      </c>
      <c r="H121" t="s">
        <v>661</v>
      </c>
      <c r="I121">
        <v>2019</v>
      </c>
      <c r="J121" t="s">
        <v>650</v>
      </c>
      <c r="K121" s="173">
        <f>IFERROR(IF(AND('Key inputs_EB_OWN'!E620/SUM('Key inputs_EB_OWN'!E$620:E$639)&gt;0,'Key inputs_EB_OWN'!E620/SUM('Key inputs_EB_OWN'!E$620:E$639)&lt;0.001),0.001,'Key inputs_EB_OWN'!E620/SUM('Key inputs_EB_OWN'!E$620:E$639)),"")</f>
        <v>0</v>
      </c>
      <c r="L121" s="173">
        <f>IFERROR(IF(AND('Key inputs_EB_OWN'!F620/SUM('Key inputs_EB_OWN'!F$620:F$639)&gt;0,'Key inputs_EB_OWN'!F620/SUM('Key inputs_EB_OWN'!F$620:F$639)&lt;0.001),0.001,'Key inputs_EB_OWN'!F620/SUM('Key inputs_EB_OWN'!F$620:F$639)),"")</f>
        <v>0</v>
      </c>
      <c r="M121" s="173">
        <f>IFERROR(IF(AND('Key inputs_EB_OWN'!G620/SUM('Key inputs_EB_OWN'!G$620:G$639)&gt;0,'Key inputs_EB_OWN'!G620/SUM('Key inputs_EB_OWN'!G$620:G$639)&lt;0.001),0.001,'Key inputs_EB_OWN'!G620/SUM('Key inputs_EB_OWN'!G$620:G$639)),"")</f>
        <v>0</v>
      </c>
      <c r="N121" s="173">
        <f>IFERROR(IF(AND('Key inputs_EB_OWN'!H620/SUM('Key inputs_EB_OWN'!H$620:H$639)&gt;0,'Key inputs_EB_OWN'!H620/SUM('Key inputs_EB_OWN'!H$620:H$639)&lt;0.001),0.001,'Key inputs_EB_OWN'!H620/SUM('Key inputs_EB_OWN'!H$620:H$639)),"")</f>
        <v>0</v>
      </c>
      <c r="O121" s="173">
        <f>IFERROR(IF(AND('Key inputs_EB_OWN'!I620/SUM('Key inputs_EB_OWN'!I$620:I$639)&gt;0,'Key inputs_EB_OWN'!I620/SUM('Key inputs_EB_OWN'!I$620:I$639)&lt;0.001),0.001,'Key inputs_EB_OWN'!I620/SUM('Key inputs_EB_OWN'!I$620:I$639)),"")</f>
        <v>0</v>
      </c>
      <c r="P121" s="173">
        <f>IFERROR(IF(AND('Key inputs_EB_OWN'!J620/SUM('Key inputs_EB_OWN'!J$620:J$639)&gt;0,'Key inputs_EB_OWN'!J620/SUM('Key inputs_EB_OWN'!J$620:J$639)&lt;0.001),0.001,'Key inputs_EB_OWN'!J620/SUM('Key inputs_EB_OWN'!J$620:J$639)),"")</f>
        <v>0</v>
      </c>
      <c r="Q121" s="173">
        <f>IFERROR(IF(AND('Key inputs_EB_OWN'!K620/SUM('Key inputs_EB_OWN'!K$620:K$639)&gt;0,'Key inputs_EB_OWN'!K620/SUM('Key inputs_EB_OWN'!K$620:K$639)&lt;0.001),0.001,'Key inputs_EB_OWN'!K620/SUM('Key inputs_EB_OWN'!K$620:K$639)),"")</f>
        <v>0</v>
      </c>
      <c r="R121" s="173" t="str">
        <f>IFERROR(IF(AND('Key inputs_EB_OWN'!L620/SUM('Key inputs_EB_OWN'!L$620:L$639)&gt;0,'Key inputs_EB_OWN'!L620/SUM('Key inputs_EB_OWN'!L$620:L$639)&lt;0.001),0.001,'Key inputs_EB_OWN'!L620/SUM('Key inputs_EB_OWN'!L$620:L$639)),"")</f>
        <v/>
      </c>
      <c r="S121" s="173">
        <f>IFERROR(IF(AND('Key inputs_EB_OWN'!M620/SUM('Key inputs_EB_OWN'!M$620:M$639)&gt;0,'Key inputs_EB_OWN'!M620/SUM('Key inputs_EB_OWN'!M$620:M$639)&lt;0.001),0.001,'Key inputs_EB_OWN'!M620/SUM('Key inputs_EB_OWN'!M$620:M$639)),"")</f>
        <v>0</v>
      </c>
      <c r="T121" s="173">
        <f>IFERROR(IF(AND('Key inputs_EB_OWN'!N620/SUM('Key inputs_EB_OWN'!N$620:N$639)&gt;0,'Key inputs_EB_OWN'!N620/SUM('Key inputs_EB_OWN'!N$620:N$639)&lt;0.001),0.001,'Key inputs_EB_OWN'!N620/SUM('Key inputs_EB_OWN'!N$620:N$639)),"")</f>
        <v>0</v>
      </c>
      <c r="U121" s="173">
        <f>IFERROR(IF(AND('Key inputs_EB_OWN'!O620/SUM('Key inputs_EB_OWN'!O$620:O$639)&gt;0,'Key inputs_EB_OWN'!O620/SUM('Key inputs_EB_OWN'!O$620:O$639)&lt;0.001),0.001,'Key inputs_EB_OWN'!O620/SUM('Key inputs_EB_OWN'!O$620:O$639)),"")</f>
        <v>0</v>
      </c>
      <c r="V121" s="173">
        <f>IFERROR(IF(AND('Key inputs_EB_OWN'!P620/SUM('Key inputs_EB_OWN'!P$620:P$639)&gt;0,'Key inputs_EB_OWN'!P620/SUM('Key inputs_EB_OWN'!P$620:P$639)&lt;0.001),0.001,'Key inputs_EB_OWN'!P620/SUM('Key inputs_EB_OWN'!P$620:P$639)),"")</f>
        <v>0</v>
      </c>
      <c r="W121" s="173">
        <f>IFERROR(IF(AND('Key inputs_EB_OWN'!Q620/SUM('Key inputs_EB_OWN'!Q$620:Q$639)&gt;0,'Key inputs_EB_OWN'!Q620/SUM('Key inputs_EB_OWN'!Q$620:Q$639)&lt;0.001),0.001,'Key inputs_EB_OWN'!Q620/SUM('Key inputs_EB_OWN'!Q$620:Q$639)),"")</f>
        <v>0</v>
      </c>
      <c r="X121" s="173">
        <f>IFERROR(IF(AND('Key inputs_EB_OWN'!R620/SUM('Key inputs_EB_OWN'!R$620:R$639)&gt;0,'Key inputs_EB_OWN'!R620/SUM('Key inputs_EB_OWN'!R$620:R$639)&lt;0.001),0.001,'Key inputs_EB_OWN'!R620/SUM('Key inputs_EB_OWN'!R$620:R$639)),"")</f>
        <v>0</v>
      </c>
      <c r="Y121" s="173">
        <f>IFERROR(IF(AND('Key inputs_EB_OWN'!S620/SUM('Key inputs_EB_OWN'!S$620:S$639)&gt;0,'Key inputs_EB_OWN'!S620/SUM('Key inputs_EB_OWN'!S$620:S$639)&lt;0.001),0.001,'Key inputs_EB_OWN'!S620/SUM('Key inputs_EB_OWN'!S$620:S$639)),"")</f>
        <v>0</v>
      </c>
      <c r="Z121" s="173">
        <f>IFERROR(IF(AND('Key inputs_EB_OWN'!T620/SUM('Key inputs_EB_OWN'!T$620:T$639)&gt;0,'Key inputs_EB_OWN'!T620/SUM('Key inputs_EB_OWN'!T$620:T$639)&lt;0.001),0.001,'Key inputs_EB_OWN'!T620/SUM('Key inputs_EB_OWN'!T$620:T$639)),"")</f>
        <v>0</v>
      </c>
      <c r="AA121" s="173">
        <f>IFERROR(IF(AND('Key inputs_EB_OWN'!U620/SUM('Key inputs_EB_OWN'!U$620:U$639)&gt;0,'Key inputs_EB_OWN'!U620/SUM('Key inputs_EB_OWN'!U$620:U$639)&lt;0.001),0.001,'Key inputs_EB_OWN'!U620/SUM('Key inputs_EB_OWN'!U$620:U$639)),"")</f>
        <v>0</v>
      </c>
      <c r="AB121" s="173">
        <f>IFERROR(IF(AND('Key inputs_EB_OWN'!V620/SUM('Key inputs_EB_OWN'!V$620:V$639)&gt;0,'Key inputs_EB_OWN'!V620/SUM('Key inputs_EB_OWN'!V$620:V$639)&lt;0.001),0.001,'Key inputs_EB_OWN'!V620/SUM('Key inputs_EB_OWN'!V$620:V$639)),"")</f>
        <v>0</v>
      </c>
      <c r="AC121" s="173" t="str">
        <f>IFERROR(IF(AND('Key inputs_EB_OWN'!W620/SUM('Key inputs_EB_OWN'!W$620:W$639)&gt;0,'Key inputs_EB_OWN'!W620/SUM('Key inputs_EB_OWN'!W$620:W$639)&lt;0.001),0.001,'Key inputs_EB_OWN'!W620/SUM('Key inputs_EB_OWN'!W$620:W$639)),"")</f>
        <v/>
      </c>
      <c r="AD121" s="173">
        <f>IFERROR(IF(AND('Key inputs_EB_OWN'!X620/SUM('Key inputs_EB_OWN'!X$620:X$639)&gt;0,'Key inputs_EB_OWN'!X620/SUM('Key inputs_EB_OWN'!X$620:X$639)&lt;0.001),0.001,'Key inputs_EB_OWN'!X620/SUM('Key inputs_EB_OWN'!X$620:X$639)),"")</f>
        <v>0</v>
      </c>
      <c r="AE121" s="173">
        <f>IFERROR(IF(AND('Key inputs_EB_OWN'!Y620/SUM('Key inputs_EB_OWN'!Y$620:Y$639)&gt;0,'Key inputs_EB_OWN'!Y620/SUM('Key inputs_EB_OWN'!Y$620:Y$639)&lt;0.001),0.001,'Key inputs_EB_OWN'!Y620/SUM('Key inputs_EB_OWN'!Y$620:Y$639)),"")</f>
        <v>0</v>
      </c>
      <c r="AF121" s="173">
        <f>IFERROR(IF(AND('Key inputs_EB_OWN'!Z620/SUM('Key inputs_EB_OWN'!Z$620:Z$639)&gt;0,'Key inputs_EB_OWN'!Z620/SUM('Key inputs_EB_OWN'!Z$620:Z$639)&lt;0.001),0.001,'Key inputs_EB_OWN'!Z620/SUM('Key inputs_EB_OWN'!Z$620:Z$639)),"")</f>
        <v>0</v>
      </c>
      <c r="AG121" s="173">
        <f>IFERROR(IF(AND('Key inputs_EB_OWN'!AA620/SUM('Key inputs_EB_OWN'!AA$620:AA$639)&gt;0,'Key inputs_EB_OWN'!AA620/SUM('Key inputs_EB_OWN'!AA$620:AA$639)&lt;0.001),0.001,'Key inputs_EB_OWN'!AA620/SUM('Key inputs_EB_OWN'!AA$620:AA$639)),"")</f>
        <v>0</v>
      </c>
      <c r="AH121" s="173">
        <f>IFERROR(IF(AND('Key inputs_EB_OWN'!AB620/SUM('Key inputs_EB_OWN'!AB$620:AB$639)&gt;0,'Key inputs_EB_OWN'!AB620/SUM('Key inputs_EB_OWN'!AB$620:AB$639)&lt;0.001),0.001,'Key inputs_EB_OWN'!AB620/SUM('Key inputs_EB_OWN'!AB$620:AB$639)),"")</f>
        <v>0</v>
      </c>
      <c r="AI121" s="173" t="str">
        <f>IFERROR(IF(AND('Key inputs_EB_OWN'!AC620/SUM('Key inputs_EB_OWN'!AC$620:AC$639)&gt;0,'Key inputs_EB_OWN'!AC620/SUM('Key inputs_EB_OWN'!AC$620:AC$639)&lt;0.001),0.001,'Key inputs_EB_OWN'!AC620/SUM('Key inputs_EB_OWN'!AC$620:AC$639)),"")</f>
        <v/>
      </c>
      <c r="AJ121" s="173">
        <f>IFERROR(IF(AND('Key inputs_EB_OWN'!AD620/SUM('Key inputs_EB_OWN'!AD$620:AD$639)&gt;0,'Key inputs_EB_OWN'!AD620/SUM('Key inputs_EB_OWN'!AD$620:AD$639)&lt;0.001),0.001,'Key inputs_EB_OWN'!AD620/SUM('Key inputs_EB_OWN'!AD$620:AD$639)),"")</f>
        <v>0</v>
      </c>
      <c r="AK121" s="173">
        <f>IFERROR(IF(AND('Key inputs_EB_OWN'!AE620/SUM('Key inputs_EB_OWN'!AE$620:AE$639)&gt;0,'Key inputs_EB_OWN'!AE620/SUM('Key inputs_EB_OWN'!AE$620:AE$639)&lt;0.001),0.001,'Key inputs_EB_OWN'!AE620/SUM('Key inputs_EB_OWN'!AE$620:AE$639)),"")</f>
        <v>0</v>
      </c>
      <c r="AL121" s="173">
        <f>IFERROR(IF(AND('Key inputs_EB_OWN'!AF620/SUM('Key inputs_EB_OWN'!AF$620:AF$639)&gt;0,'Key inputs_EB_OWN'!AF620/SUM('Key inputs_EB_OWN'!AF$620:AF$639)&lt;0.001),0.001,'Key inputs_EB_OWN'!AF620/SUM('Key inputs_EB_OWN'!AF$620:AF$639)),"")</f>
        <v>0</v>
      </c>
    </row>
    <row r="122" spans="3:38">
      <c r="C122" t="str">
        <f>Commodities!$C$83</f>
        <v>UPSBFG</v>
      </c>
      <c r="F122" s="4" t="s">
        <v>359</v>
      </c>
      <c r="G122" s="4" t="s">
        <v>702</v>
      </c>
      <c r="H122" t="s">
        <v>661</v>
      </c>
      <c r="I122">
        <v>2019</v>
      </c>
      <c r="J122" t="s">
        <v>650</v>
      </c>
      <c r="K122" s="173">
        <f>IFERROR(IF(AND('Key inputs_EB_OWN'!E621/SUM('Key inputs_EB_OWN'!E$620:E$639)&gt;0,'Key inputs_EB_OWN'!E621/SUM('Key inputs_EB_OWN'!E$620:E$639)&lt;0.001),0.001,'Key inputs_EB_OWN'!E621/SUM('Key inputs_EB_OWN'!E$620:E$639)),"")</f>
        <v>0</v>
      </c>
      <c r="L122" s="173">
        <f>IFERROR(IF(AND('Key inputs_EB_OWN'!F621/SUM('Key inputs_EB_OWN'!F$620:F$639)&gt;0,'Key inputs_EB_OWN'!F621/SUM('Key inputs_EB_OWN'!F$620:F$639)&lt;0.001),0.001,'Key inputs_EB_OWN'!F621/SUM('Key inputs_EB_OWN'!F$620:F$639)),"")</f>
        <v>0</v>
      </c>
      <c r="M122" s="173">
        <f>IFERROR(IF(AND('Key inputs_EB_OWN'!G621/SUM('Key inputs_EB_OWN'!G$620:G$639)&gt;0,'Key inputs_EB_OWN'!G621/SUM('Key inputs_EB_OWN'!G$620:G$639)&lt;0.001),0.001,'Key inputs_EB_OWN'!G621/SUM('Key inputs_EB_OWN'!G$620:G$639)),"")</f>
        <v>0</v>
      </c>
      <c r="N122" s="173">
        <f>IFERROR(IF(AND('Key inputs_EB_OWN'!H621/SUM('Key inputs_EB_OWN'!H$620:H$639)&gt;0,'Key inputs_EB_OWN'!H621/SUM('Key inputs_EB_OWN'!H$620:H$639)&lt;0.001),0.001,'Key inputs_EB_OWN'!H621/SUM('Key inputs_EB_OWN'!H$620:H$639)),"")</f>
        <v>0</v>
      </c>
      <c r="O122" s="173">
        <f>IFERROR(IF(AND('Key inputs_EB_OWN'!I621/SUM('Key inputs_EB_OWN'!I$620:I$639)&gt;0,'Key inputs_EB_OWN'!I621/SUM('Key inputs_EB_OWN'!I$620:I$639)&lt;0.001),0.001,'Key inputs_EB_OWN'!I621/SUM('Key inputs_EB_OWN'!I$620:I$639)),"")</f>
        <v>0</v>
      </c>
      <c r="P122" s="173">
        <f>IFERROR(IF(AND('Key inputs_EB_OWN'!J621/SUM('Key inputs_EB_OWN'!J$620:J$639)&gt;0,'Key inputs_EB_OWN'!J621/SUM('Key inputs_EB_OWN'!J$620:J$639)&lt;0.001),0.001,'Key inputs_EB_OWN'!J621/SUM('Key inputs_EB_OWN'!J$620:J$639)),"")</f>
        <v>0</v>
      </c>
      <c r="Q122" s="173">
        <f>IFERROR(IF(AND('Key inputs_EB_OWN'!K621/SUM('Key inputs_EB_OWN'!K$620:K$639)&gt;0,'Key inputs_EB_OWN'!K621/SUM('Key inputs_EB_OWN'!K$620:K$639)&lt;0.001),0.001,'Key inputs_EB_OWN'!K621/SUM('Key inputs_EB_OWN'!K$620:K$639)),"")</f>
        <v>0</v>
      </c>
      <c r="R122" s="173" t="str">
        <f>IFERROR(IF(AND('Key inputs_EB_OWN'!L621/SUM('Key inputs_EB_OWN'!L$620:L$639)&gt;0,'Key inputs_EB_OWN'!L621/SUM('Key inputs_EB_OWN'!L$620:L$639)&lt;0.001),0.001,'Key inputs_EB_OWN'!L621/SUM('Key inputs_EB_OWN'!L$620:L$639)),"")</f>
        <v/>
      </c>
      <c r="S122" s="173">
        <f>IFERROR(IF(AND('Key inputs_EB_OWN'!M621/SUM('Key inputs_EB_OWN'!M$620:M$639)&gt;0,'Key inputs_EB_OWN'!M621/SUM('Key inputs_EB_OWN'!M$620:M$639)&lt;0.001),0.001,'Key inputs_EB_OWN'!M621/SUM('Key inputs_EB_OWN'!M$620:M$639)),"")</f>
        <v>0</v>
      </c>
      <c r="T122" s="173">
        <f>IFERROR(IF(AND('Key inputs_EB_OWN'!N621/SUM('Key inputs_EB_OWN'!N$620:N$639)&gt;0,'Key inputs_EB_OWN'!N621/SUM('Key inputs_EB_OWN'!N$620:N$639)&lt;0.001),0.001,'Key inputs_EB_OWN'!N621/SUM('Key inputs_EB_OWN'!N$620:N$639)),"")</f>
        <v>0</v>
      </c>
      <c r="U122" s="173">
        <f>IFERROR(IF(AND('Key inputs_EB_OWN'!O621/SUM('Key inputs_EB_OWN'!O$620:O$639)&gt;0,'Key inputs_EB_OWN'!O621/SUM('Key inputs_EB_OWN'!O$620:O$639)&lt;0.001),0.001,'Key inputs_EB_OWN'!O621/SUM('Key inputs_EB_OWN'!O$620:O$639)),"")</f>
        <v>0</v>
      </c>
      <c r="V122" s="173">
        <f>IFERROR(IF(AND('Key inputs_EB_OWN'!P621/SUM('Key inputs_EB_OWN'!P$620:P$639)&gt;0,'Key inputs_EB_OWN'!P621/SUM('Key inputs_EB_OWN'!P$620:P$639)&lt;0.001),0.001,'Key inputs_EB_OWN'!P621/SUM('Key inputs_EB_OWN'!P$620:P$639)),"")</f>
        <v>0</v>
      </c>
      <c r="W122" s="173">
        <f>IFERROR(IF(AND('Key inputs_EB_OWN'!Q621/SUM('Key inputs_EB_OWN'!Q$620:Q$639)&gt;0,'Key inputs_EB_OWN'!Q621/SUM('Key inputs_EB_OWN'!Q$620:Q$639)&lt;0.001),0.001,'Key inputs_EB_OWN'!Q621/SUM('Key inputs_EB_OWN'!Q$620:Q$639)),"")</f>
        <v>0</v>
      </c>
      <c r="X122" s="173">
        <f>IFERROR(IF(AND('Key inputs_EB_OWN'!R621/SUM('Key inputs_EB_OWN'!R$620:R$639)&gt;0,'Key inputs_EB_OWN'!R621/SUM('Key inputs_EB_OWN'!R$620:R$639)&lt;0.001),0.001,'Key inputs_EB_OWN'!R621/SUM('Key inputs_EB_OWN'!R$620:R$639)),"")</f>
        <v>0</v>
      </c>
      <c r="Y122" s="173">
        <f>IFERROR(IF(AND('Key inputs_EB_OWN'!S621/SUM('Key inputs_EB_OWN'!S$620:S$639)&gt;0,'Key inputs_EB_OWN'!S621/SUM('Key inputs_EB_OWN'!S$620:S$639)&lt;0.001),0.001,'Key inputs_EB_OWN'!S621/SUM('Key inputs_EB_OWN'!S$620:S$639)),"")</f>
        <v>0</v>
      </c>
      <c r="Z122" s="173">
        <f>IFERROR(IF(AND('Key inputs_EB_OWN'!T621/SUM('Key inputs_EB_OWN'!T$620:T$639)&gt;0,'Key inputs_EB_OWN'!T621/SUM('Key inputs_EB_OWN'!T$620:T$639)&lt;0.001),0.001,'Key inputs_EB_OWN'!T621/SUM('Key inputs_EB_OWN'!T$620:T$639)),"")</f>
        <v>0.10839542067692809</v>
      </c>
      <c r="AA122" s="173">
        <f>IFERROR(IF(AND('Key inputs_EB_OWN'!U621/SUM('Key inputs_EB_OWN'!U$620:U$639)&gt;0,'Key inputs_EB_OWN'!U621/SUM('Key inputs_EB_OWN'!U$620:U$639)&lt;0.001),0.001,'Key inputs_EB_OWN'!U621/SUM('Key inputs_EB_OWN'!U$620:U$639)),"")</f>
        <v>1E-3</v>
      </c>
      <c r="AB122" s="173">
        <f>IFERROR(IF(AND('Key inputs_EB_OWN'!V621/SUM('Key inputs_EB_OWN'!V$620:V$639)&gt;0,'Key inputs_EB_OWN'!V621/SUM('Key inputs_EB_OWN'!V$620:V$639)&lt;0.001),0.001,'Key inputs_EB_OWN'!V621/SUM('Key inputs_EB_OWN'!V$620:V$639)),"")</f>
        <v>0</v>
      </c>
      <c r="AC122" s="173" t="str">
        <f>IFERROR(IF(AND('Key inputs_EB_OWN'!W621/SUM('Key inputs_EB_OWN'!W$620:W$639)&gt;0,'Key inputs_EB_OWN'!W621/SUM('Key inputs_EB_OWN'!W$620:W$639)&lt;0.001),0.001,'Key inputs_EB_OWN'!W621/SUM('Key inputs_EB_OWN'!W$620:W$639)),"")</f>
        <v/>
      </c>
      <c r="AD122" s="173">
        <f>IFERROR(IF(AND('Key inputs_EB_OWN'!X621/SUM('Key inputs_EB_OWN'!X$620:X$639)&gt;0,'Key inputs_EB_OWN'!X621/SUM('Key inputs_EB_OWN'!X$620:X$639)&lt;0.001),0.001,'Key inputs_EB_OWN'!X621/SUM('Key inputs_EB_OWN'!X$620:X$639)),"")</f>
        <v>0</v>
      </c>
      <c r="AE122" s="173">
        <f>IFERROR(IF(AND('Key inputs_EB_OWN'!Y621/SUM('Key inputs_EB_OWN'!Y$620:Y$639)&gt;0,'Key inputs_EB_OWN'!Y621/SUM('Key inputs_EB_OWN'!Y$620:Y$639)&lt;0.001),0.001,'Key inputs_EB_OWN'!Y621/SUM('Key inputs_EB_OWN'!Y$620:Y$639)),"")</f>
        <v>0</v>
      </c>
      <c r="AF122" s="173">
        <f>IFERROR(IF(AND('Key inputs_EB_OWN'!Z621/SUM('Key inputs_EB_OWN'!Z$620:Z$639)&gt;0,'Key inputs_EB_OWN'!Z621/SUM('Key inputs_EB_OWN'!Z$620:Z$639)&lt;0.001),0.001,'Key inputs_EB_OWN'!Z621/SUM('Key inputs_EB_OWN'!Z$620:Z$639)),"")</f>
        <v>0</v>
      </c>
      <c r="AG122" s="173">
        <f>IFERROR(IF(AND('Key inputs_EB_OWN'!AA621/SUM('Key inputs_EB_OWN'!AA$620:AA$639)&gt;0,'Key inputs_EB_OWN'!AA621/SUM('Key inputs_EB_OWN'!AA$620:AA$639)&lt;0.001),0.001,'Key inputs_EB_OWN'!AA621/SUM('Key inputs_EB_OWN'!AA$620:AA$639)),"")</f>
        <v>0</v>
      </c>
      <c r="AH122" s="173">
        <f>IFERROR(IF(AND('Key inputs_EB_OWN'!AB621/SUM('Key inputs_EB_OWN'!AB$620:AB$639)&gt;0,'Key inputs_EB_OWN'!AB621/SUM('Key inputs_EB_OWN'!AB$620:AB$639)&lt;0.001),0.001,'Key inputs_EB_OWN'!AB621/SUM('Key inputs_EB_OWN'!AB$620:AB$639)),"")</f>
        <v>0</v>
      </c>
      <c r="AI122" s="173" t="str">
        <f>IFERROR(IF(AND('Key inputs_EB_OWN'!AC621/SUM('Key inputs_EB_OWN'!AC$620:AC$639)&gt;0,'Key inputs_EB_OWN'!AC621/SUM('Key inputs_EB_OWN'!AC$620:AC$639)&lt;0.001),0.001,'Key inputs_EB_OWN'!AC621/SUM('Key inputs_EB_OWN'!AC$620:AC$639)),"")</f>
        <v/>
      </c>
      <c r="AJ122" s="173">
        <f>IFERROR(IF(AND('Key inputs_EB_OWN'!AD621/SUM('Key inputs_EB_OWN'!AD$620:AD$639)&gt;0,'Key inputs_EB_OWN'!AD621/SUM('Key inputs_EB_OWN'!AD$620:AD$639)&lt;0.001),0.001,'Key inputs_EB_OWN'!AD621/SUM('Key inputs_EB_OWN'!AD$620:AD$639)),"")</f>
        <v>0</v>
      </c>
      <c r="AK122" s="173">
        <f>IFERROR(IF(AND('Key inputs_EB_OWN'!AE621/SUM('Key inputs_EB_OWN'!AE$620:AE$639)&gt;0,'Key inputs_EB_OWN'!AE621/SUM('Key inputs_EB_OWN'!AE$620:AE$639)&lt;0.001),0.001,'Key inputs_EB_OWN'!AE621/SUM('Key inputs_EB_OWN'!AE$620:AE$639)),"")</f>
        <v>0</v>
      </c>
      <c r="AL122" s="173">
        <f>IFERROR(IF(AND('Key inputs_EB_OWN'!AF621/SUM('Key inputs_EB_OWN'!AF$620:AF$639)&gt;0,'Key inputs_EB_OWN'!AF621/SUM('Key inputs_EB_OWN'!AF$620:AF$639)&lt;0.001),0.001,'Key inputs_EB_OWN'!AF621/SUM('Key inputs_EB_OWN'!AF$620:AF$639)),"")</f>
        <v>0</v>
      </c>
    </row>
    <row r="123" spans="3:38">
      <c r="C123" t="str">
        <f>Commodities!$C$84</f>
        <v>UPSBGS</v>
      </c>
      <c r="F123" s="4" t="s">
        <v>359</v>
      </c>
      <c r="G123" s="4" t="s">
        <v>702</v>
      </c>
      <c r="H123" t="s">
        <v>661</v>
      </c>
      <c r="I123">
        <v>2019</v>
      </c>
      <c r="J123" t="s">
        <v>650</v>
      </c>
      <c r="K123" s="173">
        <f>IFERROR(IF(AND('Key inputs_EB_OWN'!E622/SUM('Key inputs_EB_OWN'!E$620:E$639)&gt;0,'Key inputs_EB_OWN'!E622/SUM('Key inputs_EB_OWN'!E$620:E$639)&lt;0.001),0.001,'Key inputs_EB_OWN'!E622/SUM('Key inputs_EB_OWN'!E$620:E$639)),"")</f>
        <v>0</v>
      </c>
      <c r="L123" s="173">
        <f>IFERROR(IF(AND('Key inputs_EB_OWN'!F622/SUM('Key inputs_EB_OWN'!F$620:F$639)&gt;0,'Key inputs_EB_OWN'!F622/SUM('Key inputs_EB_OWN'!F$620:F$639)&lt;0.001),0.001,'Key inputs_EB_OWN'!F622/SUM('Key inputs_EB_OWN'!F$620:F$639)),"")</f>
        <v>0</v>
      </c>
      <c r="M123" s="173">
        <f>IFERROR(IF(AND('Key inputs_EB_OWN'!G622/SUM('Key inputs_EB_OWN'!G$620:G$639)&gt;0,'Key inputs_EB_OWN'!G622/SUM('Key inputs_EB_OWN'!G$620:G$639)&lt;0.001),0.001,'Key inputs_EB_OWN'!G622/SUM('Key inputs_EB_OWN'!G$620:G$639)),"")</f>
        <v>0</v>
      </c>
      <c r="N123" s="173">
        <f>IFERROR(IF(AND('Key inputs_EB_OWN'!H622/SUM('Key inputs_EB_OWN'!H$620:H$639)&gt;0,'Key inputs_EB_OWN'!H622/SUM('Key inputs_EB_OWN'!H$620:H$639)&lt;0.001),0.001,'Key inputs_EB_OWN'!H622/SUM('Key inputs_EB_OWN'!H$620:H$639)),"")</f>
        <v>0</v>
      </c>
      <c r="O123" s="173">
        <f>IFERROR(IF(AND('Key inputs_EB_OWN'!I622/SUM('Key inputs_EB_OWN'!I$620:I$639)&gt;0,'Key inputs_EB_OWN'!I622/SUM('Key inputs_EB_OWN'!I$620:I$639)&lt;0.001),0.001,'Key inputs_EB_OWN'!I622/SUM('Key inputs_EB_OWN'!I$620:I$639)),"")</f>
        <v>0</v>
      </c>
      <c r="P123" s="173">
        <f>IFERROR(IF(AND('Key inputs_EB_OWN'!J622/SUM('Key inputs_EB_OWN'!J$620:J$639)&gt;0,'Key inputs_EB_OWN'!J622/SUM('Key inputs_EB_OWN'!J$620:J$639)&lt;0.001),0.001,'Key inputs_EB_OWN'!J622/SUM('Key inputs_EB_OWN'!J$620:J$639)),"")</f>
        <v>0</v>
      </c>
      <c r="Q123" s="173">
        <f>IFERROR(IF(AND('Key inputs_EB_OWN'!K622/SUM('Key inputs_EB_OWN'!K$620:K$639)&gt;0,'Key inputs_EB_OWN'!K622/SUM('Key inputs_EB_OWN'!K$620:K$639)&lt;0.001),0.001,'Key inputs_EB_OWN'!K622/SUM('Key inputs_EB_OWN'!K$620:K$639)),"")</f>
        <v>0</v>
      </c>
      <c r="R123" s="173" t="str">
        <f>IFERROR(IF(AND('Key inputs_EB_OWN'!L622/SUM('Key inputs_EB_OWN'!L$620:L$639)&gt;0,'Key inputs_EB_OWN'!L622/SUM('Key inputs_EB_OWN'!L$620:L$639)&lt;0.001),0.001,'Key inputs_EB_OWN'!L622/SUM('Key inputs_EB_OWN'!L$620:L$639)),"")</f>
        <v/>
      </c>
      <c r="S123" s="173">
        <f>IFERROR(IF(AND('Key inputs_EB_OWN'!M622/SUM('Key inputs_EB_OWN'!M$620:M$639)&gt;0,'Key inputs_EB_OWN'!M622/SUM('Key inputs_EB_OWN'!M$620:M$639)&lt;0.001),0.001,'Key inputs_EB_OWN'!M622/SUM('Key inputs_EB_OWN'!M$620:M$639)),"")</f>
        <v>0</v>
      </c>
      <c r="T123" s="173">
        <f>IFERROR(IF(AND('Key inputs_EB_OWN'!N622/SUM('Key inputs_EB_OWN'!N$620:N$639)&gt;0,'Key inputs_EB_OWN'!N622/SUM('Key inputs_EB_OWN'!N$620:N$639)&lt;0.001),0.001,'Key inputs_EB_OWN'!N622/SUM('Key inputs_EB_OWN'!N$620:N$639)),"")</f>
        <v>0</v>
      </c>
      <c r="U123" s="173">
        <f>IFERROR(IF(AND('Key inputs_EB_OWN'!O622/SUM('Key inputs_EB_OWN'!O$620:O$639)&gt;0,'Key inputs_EB_OWN'!O622/SUM('Key inputs_EB_OWN'!O$620:O$639)&lt;0.001),0.001,'Key inputs_EB_OWN'!O622/SUM('Key inputs_EB_OWN'!O$620:O$639)),"")</f>
        <v>0</v>
      </c>
      <c r="V123" s="173">
        <f>IFERROR(IF(AND('Key inputs_EB_OWN'!P622/SUM('Key inputs_EB_OWN'!P$620:P$639)&gt;0,'Key inputs_EB_OWN'!P622/SUM('Key inputs_EB_OWN'!P$620:P$639)&lt;0.001),0.001,'Key inputs_EB_OWN'!P622/SUM('Key inputs_EB_OWN'!P$620:P$639)),"")</f>
        <v>0</v>
      </c>
      <c r="W123" s="173">
        <f>IFERROR(IF(AND('Key inputs_EB_OWN'!Q622/SUM('Key inputs_EB_OWN'!Q$620:Q$639)&gt;0,'Key inputs_EB_OWN'!Q622/SUM('Key inputs_EB_OWN'!Q$620:Q$639)&lt;0.001),0.001,'Key inputs_EB_OWN'!Q622/SUM('Key inputs_EB_OWN'!Q$620:Q$639)),"")</f>
        <v>0</v>
      </c>
      <c r="X123" s="173">
        <f>IFERROR(IF(AND('Key inputs_EB_OWN'!R622/SUM('Key inputs_EB_OWN'!R$620:R$639)&gt;0,'Key inputs_EB_OWN'!R622/SUM('Key inputs_EB_OWN'!R$620:R$639)&lt;0.001),0.001,'Key inputs_EB_OWN'!R622/SUM('Key inputs_EB_OWN'!R$620:R$639)),"")</f>
        <v>0</v>
      </c>
      <c r="Y123" s="173">
        <f>IFERROR(IF(AND('Key inputs_EB_OWN'!S622/SUM('Key inputs_EB_OWN'!S$620:S$639)&gt;0,'Key inputs_EB_OWN'!S622/SUM('Key inputs_EB_OWN'!S$620:S$639)&lt;0.001),0.001,'Key inputs_EB_OWN'!S622/SUM('Key inputs_EB_OWN'!S$620:S$639)),"")</f>
        <v>0</v>
      </c>
      <c r="Z123" s="173">
        <f>IFERROR(IF(AND('Key inputs_EB_OWN'!T622/SUM('Key inputs_EB_OWN'!T$620:T$639)&gt;0,'Key inputs_EB_OWN'!T622/SUM('Key inputs_EB_OWN'!T$620:T$639)&lt;0.001),0.001,'Key inputs_EB_OWN'!T622/SUM('Key inputs_EB_OWN'!T$620:T$639)),"")</f>
        <v>0</v>
      </c>
      <c r="AA123" s="173">
        <f>IFERROR(IF(AND('Key inputs_EB_OWN'!U622/SUM('Key inputs_EB_OWN'!U$620:U$639)&gt;0,'Key inputs_EB_OWN'!U622/SUM('Key inputs_EB_OWN'!U$620:U$639)&lt;0.001),0.001,'Key inputs_EB_OWN'!U622/SUM('Key inputs_EB_OWN'!U$620:U$639)),"")</f>
        <v>8.3763825790589153E-3</v>
      </c>
      <c r="AB123" s="173">
        <f>IFERROR(IF(AND('Key inputs_EB_OWN'!V622/SUM('Key inputs_EB_OWN'!V$620:V$639)&gt;0,'Key inputs_EB_OWN'!V622/SUM('Key inputs_EB_OWN'!V$620:V$639)&lt;0.001),0.001,'Key inputs_EB_OWN'!V622/SUM('Key inputs_EB_OWN'!V$620:V$639)),"")</f>
        <v>0</v>
      </c>
      <c r="AC123" s="173" t="str">
        <f>IFERROR(IF(AND('Key inputs_EB_OWN'!W622/SUM('Key inputs_EB_OWN'!W$620:W$639)&gt;0,'Key inputs_EB_OWN'!W622/SUM('Key inputs_EB_OWN'!W$620:W$639)&lt;0.001),0.001,'Key inputs_EB_OWN'!W622/SUM('Key inputs_EB_OWN'!W$620:W$639)),"")</f>
        <v/>
      </c>
      <c r="AD123" s="173">
        <f>IFERROR(IF(AND('Key inputs_EB_OWN'!X622/SUM('Key inputs_EB_OWN'!X$620:X$639)&gt;0,'Key inputs_EB_OWN'!X622/SUM('Key inputs_EB_OWN'!X$620:X$639)&lt;0.001),0.001,'Key inputs_EB_OWN'!X622/SUM('Key inputs_EB_OWN'!X$620:X$639)),"")</f>
        <v>0</v>
      </c>
      <c r="AE123" s="173">
        <f>IFERROR(IF(AND('Key inputs_EB_OWN'!Y622/SUM('Key inputs_EB_OWN'!Y$620:Y$639)&gt;0,'Key inputs_EB_OWN'!Y622/SUM('Key inputs_EB_OWN'!Y$620:Y$639)&lt;0.001),0.001,'Key inputs_EB_OWN'!Y622/SUM('Key inputs_EB_OWN'!Y$620:Y$639)),"")</f>
        <v>0</v>
      </c>
      <c r="AF123" s="173">
        <f>IFERROR(IF(AND('Key inputs_EB_OWN'!Z622/SUM('Key inputs_EB_OWN'!Z$620:Z$639)&gt;0,'Key inputs_EB_OWN'!Z622/SUM('Key inputs_EB_OWN'!Z$620:Z$639)&lt;0.001),0.001,'Key inputs_EB_OWN'!Z622/SUM('Key inputs_EB_OWN'!Z$620:Z$639)),"")</f>
        <v>0</v>
      </c>
      <c r="AG123" s="173">
        <f>IFERROR(IF(AND('Key inputs_EB_OWN'!AA622/SUM('Key inputs_EB_OWN'!AA$620:AA$639)&gt;0,'Key inputs_EB_OWN'!AA622/SUM('Key inputs_EB_OWN'!AA$620:AA$639)&lt;0.001),0.001,'Key inputs_EB_OWN'!AA622/SUM('Key inputs_EB_OWN'!AA$620:AA$639)),"")</f>
        <v>0</v>
      </c>
      <c r="AH123" s="173">
        <f>IFERROR(IF(AND('Key inputs_EB_OWN'!AB622/SUM('Key inputs_EB_OWN'!AB$620:AB$639)&gt;0,'Key inputs_EB_OWN'!AB622/SUM('Key inputs_EB_OWN'!AB$620:AB$639)&lt;0.001),0.001,'Key inputs_EB_OWN'!AB622/SUM('Key inputs_EB_OWN'!AB$620:AB$639)),"")</f>
        <v>0</v>
      </c>
      <c r="AI123" s="173" t="str">
        <f>IFERROR(IF(AND('Key inputs_EB_OWN'!AC622/SUM('Key inputs_EB_OWN'!AC$620:AC$639)&gt;0,'Key inputs_EB_OWN'!AC622/SUM('Key inputs_EB_OWN'!AC$620:AC$639)&lt;0.001),0.001,'Key inputs_EB_OWN'!AC622/SUM('Key inputs_EB_OWN'!AC$620:AC$639)),"")</f>
        <v/>
      </c>
      <c r="AJ123" s="173">
        <f>IFERROR(IF(AND('Key inputs_EB_OWN'!AD622/SUM('Key inputs_EB_OWN'!AD$620:AD$639)&gt;0,'Key inputs_EB_OWN'!AD622/SUM('Key inputs_EB_OWN'!AD$620:AD$639)&lt;0.001),0.001,'Key inputs_EB_OWN'!AD622/SUM('Key inputs_EB_OWN'!AD$620:AD$639)),"")</f>
        <v>0</v>
      </c>
      <c r="AK123" s="173">
        <f>IFERROR(IF(AND('Key inputs_EB_OWN'!AE622/SUM('Key inputs_EB_OWN'!AE$620:AE$639)&gt;0,'Key inputs_EB_OWN'!AE622/SUM('Key inputs_EB_OWN'!AE$620:AE$639)&lt;0.001),0.001,'Key inputs_EB_OWN'!AE622/SUM('Key inputs_EB_OWN'!AE$620:AE$639)),"")</f>
        <v>0</v>
      </c>
      <c r="AL123" s="173">
        <f>IFERROR(IF(AND('Key inputs_EB_OWN'!AF622/SUM('Key inputs_EB_OWN'!AF$620:AF$639)&gt;0,'Key inputs_EB_OWN'!AF622/SUM('Key inputs_EB_OWN'!AF$620:AF$639)&lt;0.001),0.001,'Key inputs_EB_OWN'!AF622/SUM('Key inputs_EB_OWN'!AF$620:AF$639)),"")</f>
        <v>0</v>
      </c>
    </row>
    <row r="124" spans="3:38">
      <c r="C124" t="str">
        <f>Commodities!$C$85</f>
        <v>UPSBIO</v>
      </c>
      <c r="F124" s="4" t="s">
        <v>359</v>
      </c>
      <c r="G124" s="4" t="s">
        <v>702</v>
      </c>
      <c r="H124" t="s">
        <v>661</v>
      </c>
      <c r="I124">
        <v>2019</v>
      </c>
      <c r="J124" t="s">
        <v>650</v>
      </c>
      <c r="K124" s="173">
        <f>IFERROR(IF(AND('Key inputs_EB_OWN'!E623/SUM('Key inputs_EB_OWN'!E$620:E$639)&gt;0,'Key inputs_EB_OWN'!E623/SUM('Key inputs_EB_OWN'!E$620:E$639)&lt;0.001),0.001,'Key inputs_EB_OWN'!E623/SUM('Key inputs_EB_OWN'!E$620:E$639)),"")</f>
        <v>1</v>
      </c>
      <c r="L124" s="173">
        <f>IFERROR(IF(AND('Key inputs_EB_OWN'!F623/SUM('Key inputs_EB_OWN'!F$620:F$639)&gt;0,'Key inputs_EB_OWN'!F623/SUM('Key inputs_EB_OWN'!F$620:F$639)&lt;0.001),0.001,'Key inputs_EB_OWN'!F623/SUM('Key inputs_EB_OWN'!F$620:F$639)),"")</f>
        <v>0</v>
      </c>
      <c r="M124" s="173">
        <f>IFERROR(IF(AND('Key inputs_EB_OWN'!G623/SUM('Key inputs_EB_OWN'!G$620:G$639)&gt;0,'Key inputs_EB_OWN'!G623/SUM('Key inputs_EB_OWN'!G$620:G$639)&lt;0.001),0.001,'Key inputs_EB_OWN'!G623/SUM('Key inputs_EB_OWN'!G$620:G$639)),"")</f>
        <v>0</v>
      </c>
      <c r="N124" s="173">
        <f>IFERROR(IF(AND('Key inputs_EB_OWN'!H623/SUM('Key inputs_EB_OWN'!H$620:H$639)&gt;0,'Key inputs_EB_OWN'!H623/SUM('Key inputs_EB_OWN'!H$620:H$639)&lt;0.001),0.001,'Key inputs_EB_OWN'!H623/SUM('Key inputs_EB_OWN'!H$620:H$639)),"")</f>
        <v>9.463596174357396E-3</v>
      </c>
      <c r="O124" s="173">
        <f>IFERROR(IF(AND('Key inputs_EB_OWN'!I623/SUM('Key inputs_EB_OWN'!I$620:I$639)&gt;0,'Key inputs_EB_OWN'!I623/SUM('Key inputs_EB_OWN'!I$620:I$639)&lt;0.001),0.001,'Key inputs_EB_OWN'!I623/SUM('Key inputs_EB_OWN'!I$620:I$639)),"")</f>
        <v>0</v>
      </c>
      <c r="P124" s="173">
        <f>IFERROR(IF(AND('Key inputs_EB_OWN'!J623/SUM('Key inputs_EB_OWN'!J$620:J$639)&gt;0,'Key inputs_EB_OWN'!J623/SUM('Key inputs_EB_OWN'!J$620:J$639)&lt;0.001),0.001,'Key inputs_EB_OWN'!J623/SUM('Key inputs_EB_OWN'!J$620:J$639)),"")</f>
        <v>0</v>
      </c>
      <c r="Q124" s="173">
        <f>IFERROR(IF(AND('Key inputs_EB_OWN'!K623/SUM('Key inputs_EB_OWN'!K$620:K$639)&gt;0,'Key inputs_EB_OWN'!K623/SUM('Key inputs_EB_OWN'!K$620:K$639)&lt;0.001),0.001,'Key inputs_EB_OWN'!K623/SUM('Key inputs_EB_OWN'!K$620:K$639)),"")</f>
        <v>0</v>
      </c>
      <c r="R124" s="173" t="str">
        <f>IFERROR(IF(AND('Key inputs_EB_OWN'!L623/SUM('Key inputs_EB_OWN'!L$620:L$639)&gt;0,'Key inputs_EB_OWN'!L623/SUM('Key inputs_EB_OWN'!L$620:L$639)&lt;0.001),0.001,'Key inputs_EB_OWN'!L623/SUM('Key inputs_EB_OWN'!L$620:L$639)),"")</f>
        <v/>
      </c>
      <c r="S124" s="173">
        <f>IFERROR(IF(AND('Key inputs_EB_OWN'!M623/SUM('Key inputs_EB_OWN'!M$620:M$639)&gt;0,'Key inputs_EB_OWN'!M623/SUM('Key inputs_EB_OWN'!M$620:M$639)&lt;0.001),0.001,'Key inputs_EB_OWN'!M623/SUM('Key inputs_EB_OWN'!M$620:M$639)),"")</f>
        <v>0.94157217491297551</v>
      </c>
      <c r="T124" s="173">
        <f>IFERROR(IF(AND('Key inputs_EB_OWN'!N623/SUM('Key inputs_EB_OWN'!N$620:N$639)&gt;0,'Key inputs_EB_OWN'!N623/SUM('Key inputs_EB_OWN'!N$620:N$639)&lt;0.001),0.001,'Key inputs_EB_OWN'!N623/SUM('Key inputs_EB_OWN'!N$620:N$639)),"")</f>
        <v>0</v>
      </c>
      <c r="U124" s="173">
        <f>IFERROR(IF(AND('Key inputs_EB_OWN'!O623/SUM('Key inputs_EB_OWN'!O$620:O$639)&gt;0,'Key inputs_EB_OWN'!O623/SUM('Key inputs_EB_OWN'!O$620:O$639)&lt;0.001),0.001,'Key inputs_EB_OWN'!O623/SUM('Key inputs_EB_OWN'!O$620:O$639)),"")</f>
        <v>0</v>
      </c>
      <c r="V124" s="173">
        <f>IFERROR(IF(AND('Key inputs_EB_OWN'!P623/SUM('Key inputs_EB_OWN'!P$620:P$639)&gt;0,'Key inputs_EB_OWN'!P623/SUM('Key inputs_EB_OWN'!P$620:P$639)&lt;0.001),0.001,'Key inputs_EB_OWN'!P623/SUM('Key inputs_EB_OWN'!P$620:P$639)),"")</f>
        <v>3.2960378089192141E-3</v>
      </c>
      <c r="W124" s="173">
        <f>IFERROR(IF(AND('Key inputs_EB_OWN'!Q623/SUM('Key inputs_EB_OWN'!Q$620:Q$639)&gt;0,'Key inputs_EB_OWN'!Q623/SUM('Key inputs_EB_OWN'!Q$620:Q$639)&lt;0.001),0.001,'Key inputs_EB_OWN'!Q623/SUM('Key inputs_EB_OWN'!Q$620:Q$639)),"")</f>
        <v>1.2454415606255203E-3</v>
      </c>
      <c r="X124" s="173">
        <f>IFERROR(IF(AND('Key inputs_EB_OWN'!R623/SUM('Key inputs_EB_OWN'!R$620:R$639)&gt;0,'Key inputs_EB_OWN'!R623/SUM('Key inputs_EB_OWN'!R$620:R$639)&lt;0.001),0.001,'Key inputs_EB_OWN'!R623/SUM('Key inputs_EB_OWN'!R$620:R$639)),"")</f>
        <v>0</v>
      </c>
      <c r="Y124" s="173">
        <f>IFERROR(IF(AND('Key inputs_EB_OWN'!S623/SUM('Key inputs_EB_OWN'!S$620:S$639)&gt;0,'Key inputs_EB_OWN'!S623/SUM('Key inputs_EB_OWN'!S$620:S$639)&lt;0.001),0.001,'Key inputs_EB_OWN'!S623/SUM('Key inputs_EB_OWN'!S$620:S$639)),"")</f>
        <v>1E-3</v>
      </c>
      <c r="Z124" s="173">
        <f>IFERROR(IF(AND('Key inputs_EB_OWN'!T623/SUM('Key inputs_EB_OWN'!T$620:T$639)&gt;0,'Key inputs_EB_OWN'!T623/SUM('Key inputs_EB_OWN'!T$620:T$639)&lt;0.001),0.001,'Key inputs_EB_OWN'!T623/SUM('Key inputs_EB_OWN'!T$620:T$639)),"")</f>
        <v>0</v>
      </c>
      <c r="AA124" s="173">
        <f>IFERROR(IF(AND('Key inputs_EB_OWN'!U623/SUM('Key inputs_EB_OWN'!U$620:U$639)&gt;0,'Key inputs_EB_OWN'!U623/SUM('Key inputs_EB_OWN'!U$620:U$639)&lt;0.001),0.001,'Key inputs_EB_OWN'!U623/SUM('Key inputs_EB_OWN'!U$620:U$639)),"")</f>
        <v>1.0219745440748397E-2</v>
      </c>
      <c r="AB124" s="173">
        <f>IFERROR(IF(AND('Key inputs_EB_OWN'!V623/SUM('Key inputs_EB_OWN'!V$620:V$639)&gt;0,'Key inputs_EB_OWN'!V623/SUM('Key inputs_EB_OWN'!V$620:V$639)&lt;0.001),0.001,'Key inputs_EB_OWN'!V623/SUM('Key inputs_EB_OWN'!V$620:V$639)),"")</f>
        <v>0</v>
      </c>
      <c r="AC124" s="173" t="str">
        <f>IFERROR(IF(AND('Key inputs_EB_OWN'!W623/SUM('Key inputs_EB_OWN'!W$620:W$639)&gt;0,'Key inputs_EB_OWN'!W623/SUM('Key inputs_EB_OWN'!W$620:W$639)&lt;0.001),0.001,'Key inputs_EB_OWN'!W623/SUM('Key inputs_EB_OWN'!W$620:W$639)),"")</f>
        <v/>
      </c>
      <c r="AD124" s="173">
        <f>IFERROR(IF(AND('Key inputs_EB_OWN'!X623/SUM('Key inputs_EB_OWN'!X$620:X$639)&gt;0,'Key inputs_EB_OWN'!X623/SUM('Key inputs_EB_OWN'!X$620:X$639)&lt;0.001),0.001,'Key inputs_EB_OWN'!X623/SUM('Key inputs_EB_OWN'!X$620:X$639)),"")</f>
        <v>0</v>
      </c>
      <c r="AE124" s="173">
        <f>IFERROR(IF(AND('Key inputs_EB_OWN'!Y623/SUM('Key inputs_EB_OWN'!Y$620:Y$639)&gt;0,'Key inputs_EB_OWN'!Y623/SUM('Key inputs_EB_OWN'!Y$620:Y$639)&lt;0.001),0.001,'Key inputs_EB_OWN'!Y623/SUM('Key inputs_EB_OWN'!Y$620:Y$639)),"")</f>
        <v>3.6183242243679629E-2</v>
      </c>
      <c r="AF124" s="173">
        <f>IFERROR(IF(AND('Key inputs_EB_OWN'!Z623/SUM('Key inputs_EB_OWN'!Z$620:Z$639)&gt;0,'Key inputs_EB_OWN'!Z623/SUM('Key inputs_EB_OWN'!Z$620:Z$639)&lt;0.001),0.001,'Key inputs_EB_OWN'!Z623/SUM('Key inputs_EB_OWN'!Z$620:Z$639)),"")</f>
        <v>0</v>
      </c>
      <c r="AG124" s="173">
        <f>IFERROR(IF(AND('Key inputs_EB_OWN'!AA623/SUM('Key inputs_EB_OWN'!AA$620:AA$639)&gt;0,'Key inputs_EB_OWN'!AA623/SUM('Key inputs_EB_OWN'!AA$620:AA$639)&lt;0.001),0.001,'Key inputs_EB_OWN'!AA623/SUM('Key inputs_EB_OWN'!AA$620:AA$639)),"")</f>
        <v>0</v>
      </c>
      <c r="AH124" s="173">
        <f>IFERROR(IF(AND('Key inputs_EB_OWN'!AB623/SUM('Key inputs_EB_OWN'!AB$620:AB$639)&gt;0,'Key inputs_EB_OWN'!AB623/SUM('Key inputs_EB_OWN'!AB$620:AB$639)&lt;0.001),0.001,'Key inputs_EB_OWN'!AB623/SUM('Key inputs_EB_OWN'!AB$620:AB$639)),"")</f>
        <v>0</v>
      </c>
      <c r="AI124" s="173" t="str">
        <f>IFERROR(IF(AND('Key inputs_EB_OWN'!AC623/SUM('Key inputs_EB_OWN'!AC$620:AC$639)&gt;0,'Key inputs_EB_OWN'!AC623/SUM('Key inputs_EB_OWN'!AC$620:AC$639)&lt;0.001),0.001,'Key inputs_EB_OWN'!AC623/SUM('Key inputs_EB_OWN'!AC$620:AC$639)),"")</f>
        <v/>
      </c>
      <c r="AJ124" s="173">
        <f>IFERROR(IF(AND('Key inputs_EB_OWN'!AD623/SUM('Key inputs_EB_OWN'!AD$620:AD$639)&gt;0,'Key inputs_EB_OWN'!AD623/SUM('Key inputs_EB_OWN'!AD$620:AD$639)&lt;0.001),0.001,'Key inputs_EB_OWN'!AD623/SUM('Key inputs_EB_OWN'!AD$620:AD$639)),"")</f>
        <v>0</v>
      </c>
      <c r="AK124" s="173">
        <f>IFERROR(IF(AND('Key inputs_EB_OWN'!AE623/SUM('Key inputs_EB_OWN'!AE$620:AE$639)&gt;0,'Key inputs_EB_OWN'!AE623/SUM('Key inputs_EB_OWN'!AE$620:AE$639)&lt;0.001),0.001,'Key inputs_EB_OWN'!AE623/SUM('Key inputs_EB_OWN'!AE$620:AE$639)),"")</f>
        <v>0</v>
      </c>
      <c r="AL124" s="173">
        <f>IFERROR(IF(AND('Key inputs_EB_OWN'!AF623/SUM('Key inputs_EB_OWN'!AF$620:AF$639)&gt;0,'Key inputs_EB_OWN'!AF623/SUM('Key inputs_EB_OWN'!AF$620:AF$639)&lt;0.001),0.001,'Key inputs_EB_OWN'!AF623/SUM('Key inputs_EB_OWN'!AF$620:AF$639)),"")</f>
        <v>0</v>
      </c>
    </row>
    <row r="125" spans="3:38">
      <c r="C125" t="str">
        <f>Commodities!$C$86</f>
        <v>UPSCOA</v>
      </c>
      <c r="F125" s="4" t="s">
        <v>359</v>
      </c>
      <c r="G125" s="4" t="s">
        <v>702</v>
      </c>
      <c r="H125" t="s">
        <v>661</v>
      </c>
      <c r="I125">
        <v>2019</v>
      </c>
      <c r="J125" t="s">
        <v>650</v>
      </c>
      <c r="K125" s="173">
        <f>IFERROR(IF(AND('Key inputs_EB_OWN'!E624/SUM('Key inputs_EB_OWN'!E$620:E$639)&gt;0,'Key inputs_EB_OWN'!E624/SUM('Key inputs_EB_OWN'!E$620:E$639)&lt;0.001),0.001,'Key inputs_EB_OWN'!E624/SUM('Key inputs_EB_OWN'!E$620:E$639)),"")</f>
        <v>0</v>
      </c>
      <c r="L125" s="173">
        <f>IFERROR(IF(AND('Key inputs_EB_OWN'!F624/SUM('Key inputs_EB_OWN'!F$620:F$639)&gt;0,'Key inputs_EB_OWN'!F624/SUM('Key inputs_EB_OWN'!F$620:F$639)&lt;0.001),0.001,'Key inputs_EB_OWN'!F624/SUM('Key inputs_EB_OWN'!F$620:F$639)),"")</f>
        <v>0</v>
      </c>
      <c r="M125" s="173">
        <f>IFERROR(IF(AND('Key inputs_EB_OWN'!G624/SUM('Key inputs_EB_OWN'!G$620:G$639)&gt;0,'Key inputs_EB_OWN'!G624/SUM('Key inputs_EB_OWN'!G$620:G$639)&lt;0.001),0.001,'Key inputs_EB_OWN'!G624/SUM('Key inputs_EB_OWN'!G$620:G$639)),"")</f>
        <v>3.9073561253251447E-2</v>
      </c>
      <c r="N125" s="173">
        <f>IFERROR(IF(AND('Key inputs_EB_OWN'!H624/SUM('Key inputs_EB_OWN'!H$620:H$639)&gt;0,'Key inputs_EB_OWN'!H624/SUM('Key inputs_EB_OWN'!H$620:H$639)&lt;0.001),0.001,'Key inputs_EB_OWN'!H624/SUM('Key inputs_EB_OWN'!H$620:H$639)),"")</f>
        <v>4.8944501655003803E-2</v>
      </c>
      <c r="O125" s="173">
        <f>IFERROR(IF(AND('Key inputs_EB_OWN'!I624/SUM('Key inputs_EB_OWN'!I$620:I$639)&gt;0,'Key inputs_EB_OWN'!I624/SUM('Key inputs_EB_OWN'!I$620:I$639)&lt;0.001),0.001,'Key inputs_EB_OWN'!I624/SUM('Key inputs_EB_OWN'!I$620:I$639)),"")</f>
        <v>0</v>
      </c>
      <c r="P125" s="173">
        <f>IFERROR(IF(AND('Key inputs_EB_OWN'!J624/SUM('Key inputs_EB_OWN'!J$620:J$639)&gt;0,'Key inputs_EB_OWN'!J624/SUM('Key inputs_EB_OWN'!J$620:J$639)&lt;0.001),0.001,'Key inputs_EB_OWN'!J624/SUM('Key inputs_EB_OWN'!J$620:J$639)),"")</f>
        <v>0</v>
      </c>
      <c r="Q125" s="173">
        <f>IFERROR(IF(AND('Key inputs_EB_OWN'!K624/SUM('Key inputs_EB_OWN'!K$620:K$639)&gt;0,'Key inputs_EB_OWN'!K624/SUM('Key inputs_EB_OWN'!K$620:K$639)&lt;0.001),0.001,'Key inputs_EB_OWN'!K624/SUM('Key inputs_EB_OWN'!K$620:K$639)),"")</f>
        <v>0</v>
      </c>
      <c r="R125" s="173" t="str">
        <f>IFERROR(IF(AND('Key inputs_EB_OWN'!L624/SUM('Key inputs_EB_OWN'!L$620:L$639)&gt;0,'Key inputs_EB_OWN'!L624/SUM('Key inputs_EB_OWN'!L$620:L$639)&lt;0.001),0.001,'Key inputs_EB_OWN'!L624/SUM('Key inputs_EB_OWN'!L$620:L$639)),"")</f>
        <v/>
      </c>
      <c r="S125" s="173">
        <f>IFERROR(IF(AND('Key inputs_EB_OWN'!M624/SUM('Key inputs_EB_OWN'!M$620:M$639)&gt;0,'Key inputs_EB_OWN'!M624/SUM('Key inputs_EB_OWN'!M$620:M$639)&lt;0.001),0.001,'Key inputs_EB_OWN'!M624/SUM('Key inputs_EB_OWN'!M$620:M$639)),"")</f>
        <v>0</v>
      </c>
      <c r="T125" s="173">
        <f>IFERROR(IF(AND('Key inputs_EB_OWN'!N624/SUM('Key inputs_EB_OWN'!N$620:N$639)&gt;0,'Key inputs_EB_OWN'!N624/SUM('Key inputs_EB_OWN'!N$620:N$639)&lt;0.001),0.001,'Key inputs_EB_OWN'!N624/SUM('Key inputs_EB_OWN'!N$620:N$639)),"")</f>
        <v>0</v>
      </c>
      <c r="U125" s="173">
        <f>IFERROR(IF(AND('Key inputs_EB_OWN'!O624/SUM('Key inputs_EB_OWN'!O$620:O$639)&gt;0,'Key inputs_EB_OWN'!O624/SUM('Key inputs_EB_OWN'!O$620:O$639)&lt;0.001),0.001,'Key inputs_EB_OWN'!O624/SUM('Key inputs_EB_OWN'!O$620:O$639)),"")</f>
        <v>0</v>
      </c>
      <c r="V125" s="173">
        <f>IFERROR(IF(AND('Key inputs_EB_OWN'!P624/SUM('Key inputs_EB_OWN'!P$620:P$639)&gt;0,'Key inputs_EB_OWN'!P624/SUM('Key inputs_EB_OWN'!P$620:P$639)&lt;0.001),0.001,'Key inputs_EB_OWN'!P624/SUM('Key inputs_EB_OWN'!P$620:P$639)),"")</f>
        <v>0.17326718611949404</v>
      </c>
      <c r="W125" s="173">
        <f>IFERROR(IF(AND('Key inputs_EB_OWN'!Q624/SUM('Key inputs_EB_OWN'!Q$620:Q$639)&gt;0,'Key inputs_EB_OWN'!Q624/SUM('Key inputs_EB_OWN'!Q$620:Q$639)&lt;0.001),0.001,'Key inputs_EB_OWN'!Q624/SUM('Key inputs_EB_OWN'!Q$620:Q$639)),"")</f>
        <v>3.2302368548528568E-2</v>
      </c>
      <c r="X125" s="173">
        <f>IFERROR(IF(AND('Key inputs_EB_OWN'!R624/SUM('Key inputs_EB_OWN'!R$620:R$639)&gt;0,'Key inputs_EB_OWN'!R624/SUM('Key inputs_EB_OWN'!R$620:R$639)&lt;0.001),0.001,'Key inputs_EB_OWN'!R624/SUM('Key inputs_EB_OWN'!R$620:R$639)),"")</f>
        <v>0</v>
      </c>
      <c r="Y125" s="173">
        <f>IFERROR(IF(AND('Key inputs_EB_OWN'!S624/SUM('Key inputs_EB_OWN'!S$620:S$639)&gt;0,'Key inputs_EB_OWN'!S624/SUM('Key inputs_EB_OWN'!S$620:S$639)&lt;0.001),0.001,'Key inputs_EB_OWN'!S624/SUM('Key inputs_EB_OWN'!S$620:S$639)),"")</f>
        <v>1.6763690291747489E-2</v>
      </c>
      <c r="Z125" s="173">
        <f>IFERROR(IF(AND('Key inputs_EB_OWN'!T624/SUM('Key inputs_EB_OWN'!T$620:T$639)&gt;0,'Key inputs_EB_OWN'!T624/SUM('Key inputs_EB_OWN'!T$620:T$639)&lt;0.001),0.001,'Key inputs_EB_OWN'!T624/SUM('Key inputs_EB_OWN'!T$620:T$639)),"")</f>
        <v>0</v>
      </c>
      <c r="AA125" s="173">
        <f>IFERROR(IF(AND('Key inputs_EB_OWN'!U624/SUM('Key inputs_EB_OWN'!U$620:U$639)&gt;0,'Key inputs_EB_OWN'!U624/SUM('Key inputs_EB_OWN'!U$620:U$639)&lt;0.001),0.001,'Key inputs_EB_OWN'!U624/SUM('Key inputs_EB_OWN'!U$620:U$639)),"")</f>
        <v>4.7383645805516114E-2</v>
      </c>
      <c r="AB125" s="173">
        <f>IFERROR(IF(AND('Key inputs_EB_OWN'!V624/SUM('Key inputs_EB_OWN'!V$620:V$639)&gt;0,'Key inputs_EB_OWN'!V624/SUM('Key inputs_EB_OWN'!V$620:V$639)&lt;0.001),0.001,'Key inputs_EB_OWN'!V624/SUM('Key inputs_EB_OWN'!V$620:V$639)),"")</f>
        <v>0.95096067572166698</v>
      </c>
      <c r="AC125" s="173" t="str">
        <f>IFERROR(IF(AND('Key inputs_EB_OWN'!W624/SUM('Key inputs_EB_OWN'!W$620:W$639)&gt;0,'Key inputs_EB_OWN'!W624/SUM('Key inputs_EB_OWN'!W$620:W$639)&lt;0.001),0.001,'Key inputs_EB_OWN'!W624/SUM('Key inputs_EB_OWN'!W$620:W$639)),"")</f>
        <v/>
      </c>
      <c r="AD125" s="173">
        <f>IFERROR(IF(AND('Key inputs_EB_OWN'!X624/SUM('Key inputs_EB_OWN'!X$620:X$639)&gt;0,'Key inputs_EB_OWN'!X624/SUM('Key inputs_EB_OWN'!X$620:X$639)&lt;0.001),0.001,'Key inputs_EB_OWN'!X624/SUM('Key inputs_EB_OWN'!X$620:X$639)),"")</f>
        <v>0</v>
      </c>
      <c r="AE125" s="173">
        <f>IFERROR(IF(AND('Key inputs_EB_OWN'!Y624/SUM('Key inputs_EB_OWN'!Y$620:Y$639)&gt;0,'Key inputs_EB_OWN'!Y624/SUM('Key inputs_EB_OWN'!Y$620:Y$639)&lt;0.001),0.001,'Key inputs_EB_OWN'!Y624/SUM('Key inputs_EB_OWN'!Y$620:Y$639)),"")</f>
        <v>0</v>
      </c>
      <c r="AF125" s="173">
        <f>IFERROR(IF(AND('Key inputs_EB_OWN'!Z624/SUM('Key inputs_EB_OWN'!Z$620:Z$639)&gt;0,'Key inputs_EB_OWN'!Z624/SUM('Key inputs_EB_OWN'!Z$620:Z$639)&lt;0.001),0.001,'Key inputs_EB_OWN'!Z624/SUM('Key inputs_EB_OWN'!Z$620:Z$639)),"")</f>
        <v>0.49257387093236493</v>
      </c>
      <c r="AG125" s="173">
        <f>IFERROR(IF(AND('Key inputs_EB_OWN'!AA624/SUM('Key inputs_EB_OWN'!AA$620:AA$639)&gt;0,'Key inputs_EB_OWN'!AA624/SUM('Key inputs_EB_OWN'!AA$620:AA$639)&lt;0.001),0.001,'Key inputs_EB_OWN'!AA624/SUM('Key inputs_EB_OWN'!AA$620:AA$639)),"")</f>
        <v>0</v>
      </c>
      <c r="AH125" s="173">
        <f>IFERROR(IF(AND('Key inputs_EB_OWN'!AB624/SUM('Key inputs_EB_OWN'!AB$620:AB$639)&gt;0,'Key inputs_EB_OWN'!AB624/SUM('Key inputs_EB_OWN'!AB$620:AB$639)&lt;0.001),0.001,'Key inputs_EB_OWN'!AB624/SUM('Key inputs_EB_OWN'!AB$620:AB$639)),"")</f>
        <v>0</v>
      </c>
      <c r="AI125" s="173" t="str">
        <f>IFERROR(IF(AND('Key inputs_EB_OWN'!AC624/SUM('Key inputs_EB_OWN'!AC$620:AC$639)&gt;0,'Key inputs_EB_OWN'!AC624/SUM('Key inputs_EB_OWN'!AC$620:AC$639)&lt;0.001),0.001,'Key inputs_EB_OWN'!AC624/SUM('Key inputs_EB_OWN'!AC$620:AC$639)),"")</f>
        <v/>
      </c>
      <c r="AJ125" s="173">
        <f>IFERROR(IF(AND('Key inputs_EB_OWN'!AD624/SUM('Key inputs_EB_OWN'!AD$620:AD$639)&gt;0,'Key inputs_EB_OWN'!AD624/SUM('Key inputs_EB_OWN'!AD$620:AD$639)&lt;0.001),0.001,'Key inputs_EB_OWN'!AD624/SUM('Key inputs_EB_OWN'!AD$620:AD$639)),"")</f>
        <v>0</v>
      </c>
      <c r="AK125" s="173">
        <f>IFERROR(IF(AND('Key inputs_EB_OWN'!AE624/SUM('Key inputs_EB_OWN'!AE$620:AE$639)&gt;0,'Key inputs_EB_OWN'!AE624/SUM('Key inputs_EB_OWN'!AE$620:AE$639)&lt;0.001),0.001,'Key inputs_EB_OWN'!AE624/SUM('Key inputs_EB_OWN'!AE$620:AE$639)),"")</f>
        <v>0</v>
      </c>
      <c r="AL125" s="173">
        <f>IFERROR(IF(AND('Key inputs_EB_OWN'!AF624/SUM('Key inputs_EB_OWN'!AF$620:AF$639)&gt;0,'Key inputs_EB_OWN'!AF624/SUM('Key inputs_EB_OWN'!AF$620:AF$639)&lt;0.001),0.001,'Key inputs_EB_OWN'!AF624/SUM('Key inputs_EB_OWN'!AF$620:AF$639)),"")</f>
        <v>0</v>
      </c>
    </row>
    <row r="126" spans="3:38">
      <c r="C126" t="str">
        <f>Commodities!$C$87</f>
        <v>UPSCOACOL</v>
      </c>
      <c r="F126" s="4" t="s">
        <v>359</v>
      </c>
      <c r="G126" s="4" t="s">
        <v>702</v>
      </c>
      <c r="H126" t="s">
        <v>661</v>
      </c>
      <c r="I126">
        <v>2019</v>
      </c>
      <c r="J126" t="s">
        <v>650</v>
      </c>
      <c r="K126" s="173">
        <f>IFERROR(IF(AND('Key inputs_EB_OWN'!E625/SUM('Key inputs_EB_OWN'!E$620:E$639)&gt;0,'Key inputs_EB_OWN'!E625/SUM('Key inputs_EB_OWN'!E$620:E$639)&lt;0.001),0.001,'Key inputs_EB_OWN'!E625/SUM('Key inputs_EB_OWN'!E$620:E$639)),"")</f>
        <v>0</v>
      </c>
      <c r="L126" s="173">
        <f>IFERROR(IF(AND('Key inputs_EB_OWN'!F625/SUM('Key inputs_EB_OWN'!F$620:F$639)&gt;0,'Key inputs_EB_OWN'!F625/SUM('Key inputs_EB_OWN'!F$620:F$639)&lt;0.001),0.001,'Key inputs_EB_OWN'!F625/SUM('Key inputs_EB_OWN'!F$620:F$639)),"")</f>
        <v>0</v>
      </c>
      <c r="M126" s="173">
        <f>IFERROR(IF(AND('Key inputs_EB_OWN'!G625/SUM('Key inputs_EB_OWN'!G$620:G$639)&gt;0,'Key inputs_EB_OWN'!G625/SUM('Key inputs_EB_OWN'!G$620:G$639)&lt;0.001),0.001,'Key inputs_EB_OWN'!G625/SUM('Key inputs_EB_OWN'!G$620:G$639)),"")</f>
        <v>0</v>
      </c>
      <c r="N126" s="173">
        <f>IFERROR(IF(AND('Key inputs_EB_OWN'!H625/SUM('Key inputs_EB_OWN'!H$620:H$639)&gt;0,'Key inputs_EB_OWN'!H625/SUM('Key inputs_EB_OWN'!H$620:H$639)&lt;0.001),0.001,'Key inputs_EB_OWN'!H625/SUM('Key inputs_EB_OWN'!H$620:H$639)),"")</f>
        <v>0</v>
      </c>
      <c r="O126" s="173">
        <f>IFERROR(IF(AND('Key inputs_EB_OWN'!I625/SUM('Key inputs_EB_OWN'!I$620:I$639)&gt;0,'Key inputs_EB_OWN'!I625/SUM('Key inputs_EB_OWN'!I$620:I$639)&lt;0.001),0.001,'Key inputs_EB_OWN'!I625/SUM('Key inputs_EB_OWN'!I$620:I$639)),"")</f>
        <v>0</v>
      </c>
      <c r="P126" s="173">
        <f>IFERROR(IF(AND('Key inputs_EB_OWN'!J625/SUM('Key inputs_EB_OWN'!J$620:J$639)&gt;0,'Key inputs_EB_OWN'!J625/SUM('Key inputs_EB_OWN'!J$620:J$639)&lt;0.001),0.001,'Key inputs_EB_OWN'!J625/SUM('Key inputs_EB_OWN'!J$620:J$639)),"")</f>
        <v>0</v>
      </c>
      <c r="Q126" s="173">
        <f>IFERROR(IF(AND('Key inputs_EB_OWN'!K625/SUM('Key inputs_EB_OWN'!K$620:K$639)&gt;0,'Key inputs_EB_OWN'!K625/SUM('Key inputs_EB_OWN'!K$620:K$639)&lt;0.001),0.001,'Key inputs_EB_OWN'!K625/SUM('Key inputs_EB_OWN'!K$620:K$639)),"")</f>
        <v>0</v>
      </c>
      <c r="R126" s="173" t="str">
        <f>IFERROR(IF(AND('Key inputs_EB_OWN'!L625/SUM('Key inputs_EB_OWN'!L$620:L$639)&gt;0,'Key inputs_EB_OWN'!L625/SUM('Key inputs_EB_OWN'!L$620:L$639)&lt;0.001),0.001,'Key inputs_EB_OWN'!L625/SUM('Key inputs_EB_OWN'!L$620:L$639)),"")</f>
        <v/>
      </c>
      <c r="S126" s="173">
        <f>IFERROR(IF(AND('Key inputs_EB_OWN'!M625/SUM('Key inputs_EB_OWN'!M$620:M$639)&gt;0,'Key inputs_EB_OWN'!M625/SUM('Key inputs_EB_OWN'!M$620:M$639)&lt;0.001),0.001,'Key inputs_EB_OWN'!M625/SUM('Key inputs_EB_OWN'!M$620:M$639)),"")</f>
        <v>0</v>
      </c>
      <c r="T126" s="173">
        <f>IFERROR(IF(AND('Key inputs_EB_OWN'!N625/SUM('Key inputs_EB_OWN'!N$620:N$639)&gt;0,'Key inputs_EB_OWN'!N625/SUM('Key inputs_EB_OWN'!N$620:N$639)&lt;0.001),0.001,'Key inputs_EB_OWN'!N625/SUM('Key inputs_EB_OWN'!N$620:N$639)),"")</f>
        <v>0</v>
      </c>
      <c r="U126" s="173">
        <f>IFERROR(IF(AND('Key inputs_EB_OWN'!O625/SUM('Key inputs_EB_OWN'!O$620:O$639)&gt;0,'Key inputs_EB_OWN'!O625/SUM('Key inputs_EB_OWN'!O$620:O$639)&lt;0.001),0.001,'Key inputs_EB_OWN'!O625/SUM('Key inputs_EB_OWN'!O$620:O$639)),"")</f>
        <v>0</v>
      </c>
      <c r="V126" s="173">
        <f>IFERROR(IF(AND('Key inputs_EB_OWN'!P625/SUM('Key inputs_EB_OWN'!P$620:P$639)&gt;0,'Key inputs_EB_OWN'!P625/SUM('Key inputs_EB_OWN'!P$620:P$639)&lt;0.001),0.001,'Key inputs_EB_OWN'!P625/SUM('Key inputs_EB_OWN'!P$620:P$639)),"")</f>
        <v>0</v>
      </c>
      <c r="W126" s="173">
        <f>IFERROR(IF(AND('Key inputs_EB_OWN'!Q625/SUM('Key inputs_EB_OWN'!Q$620:Q$639)&gt;0,'Key inputs_EB_OWN'!Q625/SUM('Key inputs_EB_OWN'!Q$620:Q$639)&lt;0.001),0.001,'Key inputs_EB_OWN'!Q625/SUM('Key inputs_EB_OWN'!Q$620:Q$639)),"")</f>
        <v>7.3979228701155905E-2</v>
      </c>
      <c r="X126" s="173">
        <f>IFERROR(IF(AND('Key inputs_EB_OWN'!R625/SUM('Key inputs_EB_OWN'!R$620:R$639)&gt;0,'Key inputs_EB_OWN'!R625/SUM('Key inputs_EB_OWN'!R$620:R$639)&lt;0.001),0.001,'Key inputs_EB_OWN'!R625/SUM('Key inputs_EB_OWN'!R$620:R$639)),"")</f>
        <v>0</v>
      </c>
      <c r="Y126" s="173">
        <f>IFERROR(IF(AND('Key inputs_EB_OWN'!S625/SUM('Key inputs_EB_OWN'!S$620:S$639)&gt;0,'Key inputs_EB_OWN'!S625/SUM('Key inputs_EB_OWN'!S$620:S$639)&lt;0.001),0.001,'Key inputs_EB_OWN'!S625/SUM('Key inputs_EB_OWN'!S$620:S$639)),"")</f>
        <v>1E-3</v>
      </c>
      <c r="Z126" s="173">
        <f>IFERROR(IF(AND('Key inputs_EB_OWN'!T625/SUM('Key inputs_EB_OWN'!T$620:T$639)&gt;0,'Key inputs_EB_OWN'!T625/SUM('Key inputs_EB_OWN'!T$620:T$639)&lt;0.001),0.001,'Key inputs_EB_OWN'!T625/SUM('Key inputs_EB_OWN'!T$620:T$639)),"")</f>
        <v>0</v>
      </c>
      <c r="AA126" s="173">
        <f>IFERROR(IF(AND('Key inputs_EB_OWN'!U625/SUM('Key inputs_EB_OWN'!U$620:U$639)&gt;0,'Key inputs_EB_OWN'!U625/SUM('Key inputs_EB_OWN'!U$620:U$639)&lt;0.001),0.001,'Key inputs_EB_OWN'!U625/SUM('Key inputs_EB_OWN'!U$620:U$639)),"")</f>
        <v>5.3375007105669697E-2</v>
      </c>
      <c r="AB126" s="173">
        <f>IFERROR(IF(AND('Key inputs_EB_OWN'!V625/SUM('Key inputs_EB_OWN'!V$620:V$639)&gt;0,'Key inputs_EB_OWN'!V625/SUM('Key inputs_EB_OWN'!V$620:V$639)&lt;0.001),0.001,'Key inputs_EB_OWN'!V625/SUM('Key inputs_EB_OWN'!V$620:V$639)),"")</f>
        <v>0</v>
      </c>
      <c r="AC126" s="173" t="str">
        <f>IFERROR(IF(AND('Key inputs_EB_OWN'!W625/SUM('Key inputs_EB_OWN'!W$620:W$639)&gt;0,'Key inputs_EB_OWN'!W625/SUM('Key inputs_EB_OWN'!W$620:W$639)&lt;0.001),0.001,'Key inputs_EB_OWN'!W625/SUM('Key inputs_EB_OWN'!W$620:W$639)),"")</f>
        <v/>
      </c>
      <c r="AD126" s="173">
        <f>IFERROR(IF(AND('Key inputs_EB_OWN'!X625/SUM('Key inputs_EB_OWN'!X$620:X$639)&gt;0,'Key inputs_EB_OWN'!X625/SUM('Key inputs_EB_OWN'!X$620:X$639)&lt;0.001),0.001,'Key inputs_EB_OWN'!X625/SUM('Key inputs_EB_OWN'!X$620:X$639)),"")</f>
        <v>0</v>
      </c>
      <c r="AE126" s="173">
        <f>IFERROR(IF(AND('Key inputs_EB_OWN'!Y625/SUM('Key inputs_EB_OWN'!Y$620:Y$639)&gt;0,'Key inputs_EB_OWN'!Y625/SUM('Key inputs_EB_OWN'!Y$620:Y$639)&lt;0.001),0.001,'Key inputs_EB_OWN'!Y625/SUM('Key inputs_EB_OWN'!Y$620:Y$639)),"")</f>
        <v>0</v>
      </c>
      <c r="AF126" s="173">
        <f>IFERROR(IF(AND('Key inputs_EB_OWN'!Z625/SUM('Key inputs_EB_OWN'!Z$620:Z$639)&gt;0,'Key inputs_EB_OWN'!Z625/SUM('Key inputs_EB_OWN'!Z$620:Z$639)&lt;0.001),0.001,'Key inputs_EB_OWN'!Z625/SUM('Key inputs_EB_OWN'!Z$620:Z$639)),"")</f>
        <v>0</v>
      </c>
      <c r="AG126" s="173">
        <f>IFERROR(IF(AND('Key inputs_EB_OWN'!AA625/SUM('Key inputs_EB_OWN'!AA$620:AA$639)&gt;0,'Key inputs_EB_OWN'!AA625/SUM('Key inputs_EB_OWN'!AA$620:AA$639)&lt;0.001),0.001,'Key inputs_EB_OWN'!AA625/SUM('Key inputs_EB_OWN'!AA$620:AA$639)),"")</f>
        <v>0</v>
      </c>
      <c r="AH126" s="173">
        <f>IFERROR(IF(AND('Key inputs_EB_OWN'!AB625/SUM('Key inputs_EB_OWN'!AB$620:AB$639)&gt;0,'Key inputs_EB_OWN'!AB625/SUM('Key inputs_EB_OWN'!AB$620:AB$639)&lt;0.001),0.001,'Key inputs_EB_OWN'!AB625/SUM('Key inputs_EB_OWN'!AB$620:AB$639)),"")</f>
        <v>0</v>
      </c>
      <c r="AI126" s="173" t="str">
        <f>IFERROR(IF(AND('Key inputs_EB_OWN'!AC625/SUM('Key inputs_EB_OWN'!AC$620:AC$639)&gt;0,'Key inputs_EB_OWN'!AC625/SUM('Key inputs_EB_OWN'!AC$620:AC$639)&lt;0.001),0.001,'Key inputs_EB_OWN'!AC625/SUM('Key inputs_EB_OWN'!AC$620:AC$639)),"")</f>
        <v/>
      </c>
      <c r="AJ126" s="173">
        <f>IFERROR(IF(AND('Key inputs_EB_OWN'!AD625/SUM('Key inputs_EB_OWN'!AD$620:AD$639)&gt;0,'Key inputs_EB_OWN'!AD625/SUM('Key inputs_EB_OWN'!AD$620:AD$639)&lt;0.001),0.001,'Key inputs_EB_OWN'!AD625/SUM('Key inputs_EB_OWN'!AD$620:AD$639)),"")</f>
        <v>0</v>
      </c>
      <c r="AK126" s="173">
        <f>IFERROR(IF(AND('Key inputs_EB_OWN'!AE625/SUM('Key inputs_EB_OWN'!AE$620:AE$639)&gt;0,'Key inputs_EB_OWN'!AE625/SUM('Key inputs_EB_OWN'!AE$620:AE$639)&lt;0.001),0.001,'Key inputs_EB_OWN'!AE625/SUM('Key inputs_EB_OWN'!AE$620:AE$639)),"")</f>
        <v>0</v>
      </c>
      <c r="AL126" s="173">
        <f>IFERROR(IF(AND('Key inputs_EB_OWN'!AF625/SUM('Key inputs_EB_OWN'!AF$620:AF$639)&gt;0,'Key inputs_EB_OWN'!AF625/SUM('Key inputs_EB_OWN'!AF$620:AF$639)&lt;0.001),0.001,'Key inputs_EB_OWN'!AF625/SUM('Key inputs_EB_OWN'!AF$620:AF$639)),"")</f>
        <v>0</v>
      </c>
    </row>
    <row r="127" spans="3:38">
      <c r="C127" t="str">
        <f>Commodities!$C$88</f>
        <v>UPSCOG</v>
      </c>
      <c r="F127" s="4" t="s">
        <v>359</v>
      </c>
      <c r="G127" s="4" t="s">
        <v>702</v>
      </c>
      <c r="H127" t="s">
        <v>661</v>
      </c>
      <c r="I127">
        <v>2019</v>
      </c>
      <c r="J127" t="s">
        <v>650</v>
      </c>
      <c r="K127" s="173">
        <f>IFERROR(IF(AND('Key inputs_EB_OWN'!E626/SUM('Key inputs_EB_OWN'!E$620:E$639)&gt;0,'Key inputs_EB_OWN'!E626/SUM('Key inputs_EB_OWN'!E$620:E$639)&lt;0.001),0.001,'Key inputs_EB_OWN'!E626/SUM('Key inputs_EB_OWN'!E$620:E$639)),"")</f>
        <v>0</v>
      </c>
      <c r="L127" s="173">
        <f>IFERROR(IF(AND('Key inputs_EB_OWN'!F626/SUM('Key inputs_EB_OWN'!F$620:F$639)&gt;0,'Key inputs_EB_OWN'!F626/SUM('Key inputs_EB_OWN'!F$620:F$639)&lt;0.001),0.001,'Key inputs_EB_OWN'!F626/SUM('Key inputs_EB_OWN'!F$620:F$639)),"")</f>
        <v>0</v>
      </c>
      <c r="M127" s="173">
        <f>IFERROR(IF(AND('Key inputs_EB_OWN'!G626/SUM('Key inputs_EB_OWN'!G$620:G$639)&gt;0,'Key inputs_EB_OWN'!G626/SUM('Key inputs_EB_OWN'!G$620:G$639)&lt;0.001),0.001,'Key inputs_EB_OWN'!G626/SUM('Key inputs_EB_OWN'!G$620:G$639)),"")</f>
        <v>0</v>
      </c>
      <c r="N127" s="173">
        <f>IFERROR(IF(AND('Key inputs_EB_OWN'!H626/SUM('Key inputs_EB_OWN'!H$620:H$639)&gt;0,'Key inputs_EB_OWN'!H626/SUM('Key inputs_EB_OWN'!H$620:H$639)&lt;0.001),0.001,'Key inputs_EB_OWN'!H626/SUM('Key inputs_EB_OWN'!H$620:H$639)),"")</f>
        <v>0</v>
      </c>
      <c r="O127" s="173">
        <f>IFERROR(IF(AND('Key inputs_EB_OWN'!I626/SUM('Key inputs_EB_OWN'!I$620:I$639)&gt;0,'Key inputs_EB_OWN'!I626/SUM('Key inputs_EB_OWN'!I$620:I$639)&lt;0.001),0.001,'Key inputs_EB_OWN'!I626/SUM('Key inputs_EB_OWN'!I$620:I$639)),"")</f>
        <v>0</v>
      </c>
      <c r="P127" s="173">
        <f>IFERROR(IF(AND('Key inputs_EB_OWN'!J626/SUM('Key inputs_EB_OWN'!J$620:J$639)&gt;0,'Key inputs_EB_OWN'!J626/SUM('Key inputs_EB_OWN'!J$620:J$639)&lt;0.001),0.001,'Key inputs_EB_OWN'!J626/SUM('Key inputs_EB_OWN'!J$620:J$639)),"")</f>
        <v>0</v>
      </c>
      <c r="Q127" s="173">
        <f>IFERROR(IF(AND('Key inputs_EB_OWN'!K626/SUM('Key inputs_EB_OWN'!K$620:K$639)&gt;0,'Key inputs_EB_OWN'!K626/SUM('Key inputs_EB_OWN'!K$620:K$639)&lt;0.001),0.001,'Key inputs_EB_OWN'!K626/SUM('Key inputs_EB_OWN'!K$620:K$639)),"")</f>
        <v>0</v>
      </c>
      <c r="R127" s="173" t="str">
        <f>IFERROR(IF(AND('Key inputs_EB_OWN'!L626/SUM('Key inputs_EB_OWN'!L$620:L$639)&gt;0,'Key inputs_EB_OWN'!L626/SUM('Key inputs_EB_OWN'!L$620:L$639)&lt;0.001),0.001,'Key inputs_EB_OWN'!L626/SUM('Key inputs_EB_OWN'!L$620:L$639)),"")</f>
        <v/>
      </c>
      <c r="S127" s="173">
        <f>IFERROR(IF(AND('Key inputs_EB_OWN'!M626/SUM('Key inputs_EB_OWN'!M$620:M$639)&gt;0,'Key inputs_EB_OWN'!M626/SUM('Key inputs_EB_OWN'!M$620:M$639)&lt;0.001),0.001,'Key inputs_EB_OWN'!M626/SUM('Key inputs_EB_OWN'!M$620:M$639)),"")</f>
        <v>0</v>
      </c>
      <c r="T127" s="173">
        <f>IFERROR(IF(AND('Key inputs_EB_OWN'!N626/SUM('Key inputs_EB_OWN'!N$620:N$639)&gt;0,'Key inputs_EB_OWN'!N626/SUM('Key inputs_EB_OWN'!N$620:N$639)&lt;0.001),0.001,'Key inputs_EB_OWN'!N626/SUM('Key inputs_EB_OWN'!N$620:N$639)),"")</f>
        <v>0</v>
      </c>
      <c r="U127" s="173">
        <f>IFERROR(IF(AND('Key inputs_EB_OWN'!O626/SUM('Key inputs_EB_OWN'!O$620:O$639)&gt;0,'Key inputs_EB_OWN'!O626/SUM('Key inputs_EB_OWN'!O$620:O$639)&lt;0.001),0.001,'Key inputs_EB_OWN'!O626/SUM('Key inputs_EB_OWN'!O$620:O$639)),"")</f>
        <v>0</v>
      </c>
      <c r="V127" s="173">
        <f>IFERROR(IF(AND('Key inputs_EB_OWN'!P626/SUM('Key inputs_EB_OWN'!P$620:P$639)&gt;0,'Key inputs_EB_OWN'!P626/SUM('Key inputs_EB_OWN'!P$620:P$639)&lt;0.001),0.001,'Key inputs_EB_OWN'!P626/SUM('Key inputs_EB_OWN'!P$620:P$639)),"")</f>
        <v>9.4102446863606175E-3</v>
      </c>
      <c r="W127" s="173">
        <f>IFERROR(IF(AND('Key inputs_EB_OWN'!Q626/SUM('Key inputs_EB_OWN'!Q$620:Q$639)&gt;0,'Key inputs_EB_OWN'!Q626/SUM('Key inputs_EB_OWN'!Q$620:Q$639)&lt;0.001),0.001,'Key inputs_EB_OWN'!Q626/SUM('Key inputs_EB_OWN'!Q$620:Q$639)),"")</f>
        <v>0</v>
      </c>
      <c r="X127" s="173">
        <f>IFERROR(IF(AND('Key inputs_EB_OWN'!R626/SUM('Key inputs_EB_OWN'!R$620:R$639)&gt;0,'Key inputs_EB_OWN'!R626/SUM('Key inputs_EB_OWN'!R$620:R$639)&lt;0.001),0.001,'Key inputs_EB_OWN'!R626/SUM('Key inputs_EB_OWN'!R$620:R$639)),"")</f>
        <v>0</v>
      </c>
      <c r="Y127" s="173">
        <f>IFERROR(IF(AND('Key inputs_EB_OWN'!S626/SUM('Key inputs_EB_OWN'!S$620:S$639)&gt;0,'Key inputs_EB_OWN'!S626/SUM('Key inputs_EB_OWN'!S$620:S$639)&lt;0.001),0.001,'Key inputs_EB_OWN'!S626/SUM('Key inputs_EB_OWN'!S$620:S$639)),"")</f>
        <v>1.0504205972027633E-2</v>
      </c>
      <c r="Z127" s="173">
        <f>IFERROR(IF(AND('Key inputs_EB_OWN'!T626/SUM('Key inputs_EB_OWN'!T$620:T$639)&gt;0,'Key inputs_EB_OWN'!T626/SUM('Key inputs_EB_OWN'!T$620:T$639)&lt;0.001),0.001,'Key inputs_EB_OWN'!T626/SUM('Key inputs_EB_OWN'!T$620:T$639)),"")</f>
        <v>0</v>
      </c>
      <c r="AA127" s="173">
        <f>IFERROR(IF(AND('Key inputs_EB_OWN'!U626/SUM('Key inputs_EB_OWN'!U$620:U$639)&gt;0,'Key inputs_EB_OWN'!U626/SUM('Key inputs_EB_OWN'!U$620:U$639)&lt;0.001),0.001,'Key inputs_EB_OWN'!U626/SUM('Key inputs_EB_OWN'!U$620:U$639)),"")</f>
        <v>0</v>
      </c>
      <c r="AB127" s="173">
        <f>IFERROR(IF(AND('Key inputs_EB_OWN'!V626/SUM('Key inputs_EB_OWN'!V$620:V$639)&gt;0,'Key inputs_EB_OWN'!V626/SUM('Key inputs_EB_OWN'!V$620:V$639)&lt;0.001),0.001,'Key inputs_EB_OWN'!V626/SUM('Key inputs_EB_OWN'!V$620:V$639)),"")</f>
        <v>0</v>
      </c>
      <c r="AC127" s="173" t="str">
        <f>IFERROR(IF(AND('Key inputs_EB_OWN'!W626/SUM('Key inputs_EB_OWN'!W$620:W$639)&gt;0,'Key inputs_EB_OWN'!W626/SUM('Key inputs_EB_OWN'!W$620:W$639)&lt;0.001),0.001,'Key inputs_EB_OWN'!W626/SUM('Key inputs_EB_OWN'!W$620:W$639)),"")</f>
        <v/>
      </c>
      <c r="AD127" s="173">
        <f>IFERROR(IF(AND('Key inputs_EB_OWN'!X626/SUM('Key inputs_EB_OWN'!X$620:X$639)&gt;0,'Key inputs_EB_OWN'!X626/SUM('Key inputs_EB_OWN'!X$620:X$639)&lt;0.001),0.001,'Key inputs_EB_OWN'!X626/SUM('Key inputs_EB_OWN'!X$620:X$639)),"")</f>
        <v>0</v>
      </c>
      <c r="AE127" s="173">
        <f>IFERROR(IF(AND('Key inputs_EB_OWN'!Y626/SUM('Key inputs_EB_OWN'!Y$620:Y$639)&gt;0,'Key inputs_EB_OWN'!Y626/SUM('Key inputs_EB_OWN'!Y$620:Y$639)&lt;0.001),0.001,'Key inputs_EB_OWN'!Y626/SUM('Key inputs_EB_OWN'!Y$620:Y$639)),"")</f>
        <v>0</v>
      </c>
      <c r="AF127" s="173">
        <f>IFERROR(IF(AND('Key inputs_EB_OWN'!Z626/SUM('Key inputs_EB_OWN'!Z$620:Z$639)&gt;0,'Key inputs_EB_OWN'!Z626/SUM('Key inputs_EB_OWN'!Z$620:Z$639)&lt;0.001),0.001,'Key inputs_EB_OWN'!Z626/SUM('Key inputs_EB_OWN'!Z$620:Z$639)),"")</f>
        <v>0</v>
      </c>
      <c r="AG127" s="173">
        <f>IFERROR(IF(AND('Key inputs_EB_OWN'!AA626/SUM('Key inputs_EB_OWN'!AA$620:AA$639)&gt;0,'Key inputs_EB_OWN'!AA626/SUM('Key inputs_EB_OWN'!AA$620:AA$639)&lt;0.001),0.001,'Key inputs_EB_OWN'!AA626/SUM('Key inputs_EB_OWN'!AA$620:AA$639)),"")</f>
        <v>0</v>
      </c>
      <c r="AH127" s="173">
        <f>IFERROR(IF(AND('Key inputs_EB_OWN'!AB626/SUM('Key inputs_EB_OWN'!AB$620:AB$639)&gt;0,'Key inputs_EB_OWN'!AB626/SUM('Key inputs_EB_OWN'!AB$620:AB$639)&lt;0.001),0.001,'Key inputs_EB_OWN'!AB626/SUM('Key inputs_EB_OWN'!AB$620:AB$639)),"")</f>
        <v>0</v>
      </c>
      <c r="AI127" s="173" t="str">
        <f>IFERROR(IF(AND('Key inputs_EB_OWN'!AC626/SUM('Key inputs_EB_OWN'!AC$620:AC$639)&gt;0,'Key inputs_EB_OWN'!AC626/SUM('Key inputs_EB_OWN'!AC$620:AC$639)&lt;0.001),0.001,'Key inputs_EB_OWN'!AC626/SUM('Key inputs_EB_OWN'!AC$620:AC$639)),"")</f>
        <v/>
      </c>
      <c r="AJ127" s="173">
        <f>IFERROR(IF(AND('Key inputs_EB_OWN'!AD626/SUM('Key inputs_EB_OWN'!AD$620:AD$639)&gt;0,'Key inputs_EB_OWN'!AD626/SUM('Key inputs_EB_OWN'!AD$620:AD$639)&lt;0.001),0.001,'Key inputs_EB_OWN'!AD626/SUM('Key inputs_EB_OWN'!AD$620:AD$639)),"")</f>
        <v>0</v>
      </c>
      <c r="AK127" s="173">
        <f>IFERROR(IF(AND('Key inputs_EB_OWN'!AE626/SUM('Key inputs_EB_OWN'!AE$620:AE$639)&gt;0,'Key inputs_EB_OWN'!AE626/SUM('Key inputs_EB_OWN'!AE$620:AE$639)&lt;0.001),0.001,'Key inputs_EB_OWN'!AE626/SUM('Key inputs_EB_OWN'!AE$620:AE$639)),"")</f>
        <v>0</v>
      </c>
      <c r="AL127" s="173">
        <f>IFERROR(IF(AND('Key inputs_EB_OWN'!AF626/SUM('Key inputs_EB_OWN'!AF$620:AF$639)&gt;0,'Key inputs_EB_OWN'!AF626/SUM('Key inputs_EB_OWN'!AF$620:AF$639)&lt;0.001),0.001,'Key inputs_EB_OWN'!AF626/SUM('Key inputs_EB_OWN'!AF$620:AF$639)),"")</f>
        <v>0</v>
      </c>
    </row>
    <row r="128" spans="3:38">
      <c r="C128" t="str">
        <f>Commodities!$C$89</f>
        <v>UPSCOK</v>
      </c>
      <c r="F128" s="4" t="s">
        <v>359</v>
      </c>
      <c r="G128" s="4" t="s">
        <v>702</v>
      </c>
      <c r="H128" t="s">
        <v>661</v>
      </c>
      <c r="I128">
        <v>2019</v>
      </c>
      <c r="J128" t="s">
        <v>650</v>
      </c>
      <c r="K128" s="173">
        <f>IFERROR(IF(AND('Key inputs_EB_OWN'!E627/SUM('Key inputs_EB_OWN'!E$620:E$639)&gt;0,'Key inputs_EB_OWN'!E627/SUM('Key inputs_EB_OWN'!E$620:E$639)&lt;0.001),0.001,'Key inputs_EB_OWN'!E627/SUM('Key inputs_EB_OWN'!E$620:E$639)),"")</f>
        <v>0</v>
      </c>
      <c r="L128" s="173">
        <f>IFERROR(IF(AND('Key inputs_EB_OWN'!F627/SUM('Key inputs_EB_OWN'!F$620:F$639)&gt;0,'Key inputs_EB_OWN'!F627/SUM('Key inputs_EB_OWN'!F$620:F$639)&lt;0.001),0.001,'Key inputs_EB_OWN'!F627/SUM('Key inputs_EB_OWN'!F$620:F$639)),"")</f>
        <v>0</v>
      </c>
      <c r="M128" s="173">
        <f>IFERROR(IF(AND('Key inputs_EB_OWN'!G627/SUM('Key inputs_EB_OWN'!G$620:G$639)&gt;0,'Key inputs_EB_OWN'!G627/SUM('Key inputs_EB_OWN'!G$620:G$639)&lt;0.001),0.001,'Key inputs_EB_OWN'!G627/SUM('Key inputs_EB_OWN'!G$620:G$639)),"")</f>
        <v>0</v>
      </c>
      <c r="N128" s="173">
        <f>IFERROR(IF(AND('Key inputs_EB_OWN'!H627/SUM('Key inputs_EB_OWN'!H$620:H$639)&gt;0,'Key inputs_EB_OWN'!H627/SUM('Key inputs_EB_OWN'!H$620:H$639)&lt;0.001),0.001,'Key inputs_EB_OWN'!H627/SUM('Key inputs_EB_OWN'!H$620:H$639)),"")</f>
        <v>0</v>
      </c>
      <c r="O128" s="173">
        <f>IFERROR(IF(AND('Key inputs_EB_OWN'!I627/SUM('Key inputs_EB_OWN'!I$620:I$639)&gt;0,'Key inputs_EB_OWN'!I627/SUM('Key inputs_EB_OWN'!I$620:I$639)&lt;0.001),0.001,'Key inputs_EB_OWN'!I627/SUM('Key inputs_EB_OWN'!I$620:I$639)),"")</f>
        <v>0</v>
      </c>
      <c r="P128" s="173">
        <f>IFERROR(IF(AND('Key inputs_EB_OWN'!J627/SUM('Key inputs_EB_OWN'!J$620:J$639)&gt;0,'Key inputs_EB_OWN'!J627/SUM('Key inputs_EB_OWN'!J$620:J$639)&lt;0.001),0.001,'Key inputs_EB_OWN'!J627/SUM('Key inputs_EB_OWN'!J$620:J$639)),"")</f>
        <v>0</v>
      </c>
      <c r="Q128" s="173">
        <f>IFERROR(IF(AND('Key inputs_EB_OWN'!K627/SUM('Key inputs_EB_OWN'!K$620:K$639)&gt;0,'Key inputs_EB_OWN'!K627/SUM('Key inputs_EB_OWN'!K$620:K$639)&lt;0.001),0.001,'Key inputs_EB_OWN'!K627/SUM('Key inputs_EB_OWN'!K$620:K$639)),"")</f>
        <v>0</v>
      </c>
      <c r="R128" s="173" t="str">
        <f>IFERROR(IF(AND('Key inputs_EB_OWN'!L627/SUM('Key inputs_EB_OWN'!L$620:L$639)&gt;0,'Key inputs_EB_OWN'!L627/SUM('Key inputs_EB_OWN'!L$620:L$639)&lt;0.001),0.001,'Key inputs_EB_OWN'!L627/SUM('Key inputs_EB_OWN'!L$620:L$639)),"")</f>
        <v/>
      </c>
      <c r="S128" s="173">
        <f>IFERROR(IF(AND('Key inputs_EB_OWN'!M627/SUM('Key inputs_EB_OWN'!M$620:M$639)&gt;0,'Key inputs_EB_OWN'!M627/SUM('Key inputs_EB_OWN'!M$620:M$639)&lt;0.001),0.001,'Key inputs_EB_OWN'!M627/SUM('Key inputs_EB_OWN'!M$620:M$639)),"")</f>
        <v>0</v>
      </c>
      <c r="T128" s="173">
        <f>IFERROR(IF(AND('Key inputs_EB_OWN'!N627/SUM('Key inputs_EB_OWN'!N$620:N$639)&gt;0,'Key inputs_EB_OWN'!N627/SUM('Key inputs_EB_OWN'!N$620:N$639)&lt;0.001),0.001,'Key inputs_EB_OWN'!N627/SUM('Key inputs_EB_OWN'!N$620:N$639)),"")</f>
        <v>0</v>
      </c>
      <c r="U128" s="173">
        <f>IFERROR(IF(AND('Key inputs_EB_OWN'!O627/SUM('Key inputs_EB_OWN'!O$620:O$639)&gt;0,'Key inputs_EB_OWN'!O627/SUM('Key inputs_EB_OWN'!O$620:O$639)&lt;0.001),0.001,'Key inputs_EB_OWN'!O627/SUM('Key inputs_EB_OWN'!O$620:O$639)),"")</f>
        <v>0</v>
      </c>
      <c r="V128" s="173">
        <f>IFERROR(IF(AND('Key inputs_EB_OWN'!P627/SUM('Key inputs_EB_OWN'!P$620:P$639)&gt;0,'Key inputs_EB_OWN'!P627/SUM('Key inputs_EB_OWN'!P$620:P$639)&lt;0.001),0.001,'Key inputs_EB_OWN'!P627/SUM('Key inputs_EB_OWN'!P$620:P$639)),"")</f>
        <v>0</v>
      </c>
      <c r="W128" s="173">
        <f>IFERROR(IF(AND('Key inputs_EB_OWN'!Q627/SUM('Key inputs_EB_OWN'!Q$620:Q$639)&gt;0,'Key inputs_EB_OWN'!Q627/SUM('Key inputs_EB_OWN'!Q$620:Q$639)&lt;0.001),0.001,'Key inputs_EB_OWN'!Q627/SUM('Key inputs_EB_OWN'!Q$620:Q$639)),"")</f>
        <v>0</v>
      </c>
      <c r="X128" s="173">
        <f>IFERROR(IF(AND('Key inputs_EB_OWN'!R627/SUM('Key inputs_EB_OWN'!R$620:R$639)&gt;0,'Key inputs_EB_OWN'!R627/SUM('Key inputs_EB_OWN'!R$620:R$639)&lt;0.001),0.001,'Key inputs_EB_OWN'!R627/SUM('Key inputs_EB_OWN'!R$620:R$639)),"")</f>
        <v>0</v>
      </c>
      <c r="Y128" s="173">
        <f>IFERROR(IF(AND('Key inputs_EB_OWN'!S627/SUM('Key inputs_EB_OWN'!S$620:S$639)&gt;0,'Key inputs_EB_OWN'!S627/SUM('Key inputs_EB_OWN'!S$620:S$639)&lt;0.001),0.001,'Key inputs_EB_OWN'!S627/SUM('Key inputs_EB_OWN'!S$620:S$639)),"")</f>
        <v>0</v>
      </c>
      <c r="Z128" s="173">
        <f>IFERROR(IF(AND('Key inputs_EB_OWN'!T627/SUM('Key inputs_EB_OWN'!T$620:T$639)&gt;0,'Key inputs_EB_OWN'!T627/SUM('Key inputs_EB_OWN'!T$620:T$639)&lt;0.001),0.001,'Key inputs_EB_OWN'!T627/SUM('Key inputs_EB_OWN'!T$620:T$639)),"")</f>
        <v>0</v>
      </c>
      <c r="AA128" s="173">
        <f>IFERROR(IF(AND('Key inputs_EB_OWN'!U627/SUM('Key inputs_EB_OWN'!U$620:U$639)&gt;0,'Key inputs_EB_OWN'!U627/SUM('Key inputs_EB_OWN'!U$620:U$639)&lt;0.001),0.001,'Key inputs_EB_OWN'!U627/SUM('Key inputs_EB_OWN'!U$620:U$639)),"")</f>
        <v>0</v>
      </c>
      <c r="AB128" s="173">
        <f>IFERROR(IF(AND('Key inputs_EB_OWN'!V627/SUM('Key inputs_EB_OWN'!V$620:V$639)&gt;0,'Key inputs_EB_OWN'!V627/SUM('Key inputs_EB_OWN'!V$620:V$639)&lt;0.001),0.001,'Key inputs_EB_OWN'!V627/SUM('Key inputs_EB_OWN'!V$620:V$639)),"")</f>
        <v>3.0475542217134372E-3</v>
      </c>
      <c r="AC128" s="173" t="str">
        <f>IFERROR(IF(AND('Key inputs_EB_OWN'!W627/SUM('Key inputs_EB_OWN'!W$620:W$639)&gt;0,'Key inputs_EB_OWN'!W627/SUM('Key inputs_EB_OWN'!W$620:W$639)&lt;0.001),0.001,'Key inputs_EB_OWN'!W627/SUM('Key inputs_EB_OWN'!W$620:W$639)),"")</f>
        <v/>
      </c>
      <c r="AD128" s="173">
        <f>IFERROR(IF(AND('Key inputs_EB_OWN'!X627/SUM('Key inputs_EB_OWN'!X$620:X$639)&gt;0,'Key inputs_EB_OWN'!X627/SUM('Key inputs_EB_OWN'!X$620:X$639)&lt;0.001),0.001,'Key inputs_EB_OWN'!X627/SUM('Key inputs_EB_OWN'!X$620:X$639)),"")</f>
        <v>0</v>
      </c>
      <c r="AE128" s="173">
        <f>IFERROR(IF(AND('Key inputs_EB_OWN'!Y627/SUM('Key inputs_EB_OWN'!Y$620:Y$639)&gt;0,'Key inputs_EB_OWN'!Y627/SUM('Key inputs_EB_OWN'!Y$620:Y$639)&lt;0.001),0.001,'Key inputs_EB_OWN'!Y627/SUM('Key inputs_EB_OWN'!Y$620:Y$639)),"")</f>
        <v>0</v>
      </c>
      <c r="AF128" s="173">
        <f>IFERROR(IF(AND('Key inputs_EB_OWN'!Z627/SUM('Key inputs_EB_OWN'!Z$620:Z$639)&gt;0,'Key inputs_EB_OWN'!Z627/SUM('Key inputs_EB_OWN'!Z$620:Z$639)&lt;0.001),0.001,'Key inputs_EB_OWN'!Z627/SUM('Key inputs_EB_OWN'!Z$620:Z$639)),"")</f>
        <v>0</v>
      </c>
      <c r="AG128" s="173">
        <f>IFERROR(IF(AND('Key inputs_EB_OWN'!AA627/SUM('Key inputs_EB_OWN'!AA$620:AA$639)&gt;0,'Key inputs_EB_OWN'!AA627/SUM('Key inputs_EB_OWN'!AA$620:AA$639)&lt;0.001),0.001,'Key inputs_EB_OWN'!AA627/SUM('Key inputs_EB_OWN'!AA$620:AA$639)),"")</f>
        <v>0</v>
      </c>
      <c r="AH128" s="173">
        <f>IFERROR(IF(AND('Key inputs_EB_OWN'!AB627/SUM('Key inputs_EB_OWN'!AB$620:AB$639)&gt;0,'Key inputs_EB_OWN'!AB627/SUM('Key inputs_EB_OWN'!AB$620:AB$639)&lt;0.001),0.001,'Key inputs_EB_OWN'!AB627/SUM('Key inputs_EB_OWN'!AB$620:AB$639)),"")</f>
        <v>0</v>
      </c>
      <c r="AI128" s="173" t="str">
        <f>IFERROR(IF(AND('Key inputs_EB_OWN'!AC627/SUM('Key inputs_EB_OWN'!AC$620:AC$639)&gt;0,'Key inputs_EB_OWN'!AC627/SUM('Key inputs_EB_OWN'!AC$620:AC$639)&lt;0.001),0.001,'Key inputs_EB_OWN'!AC627/SUM('Key inputs_EB_OWN'!AC$620:AC$639)),"")</f>
        <v/>
      </c>
      <c r="AJ128" s="173">
        <f>IFERROR(IF(AND('Key inputs_EB_OWN'!AD627/SUM('Key inputs_EB_OWN'!AD$620:AD$639)&gt;0,'Key inputs_EB_OWN'!AD627/SUM('Key inputs_EB_OWN'!AD$620:AD$639)&lt;0.001),0.001,'Key inputs_EB_OWN'!AD627/SUM('Key inputs_EB_OWN'!AD$620:AD$639)),"")</f>
        <v>0</v>
      </c>
      <c r="AK128" s="173">
        <f>IFERROR(IF(AND('Key inputs_EB_OWN'!AE627/SUM('Key inputs_EB_OWN'!AE$620:AE$639)&gt;0,'Key inputs_EB_OWN'!AE627/SUM('Key inputs_EB_OWN'!AE$620:AE$639)&lt;0.001),0.001,'Key inputs_EB_OWN'!AE627/SUM('Key inputs_EB_OWN'!AE$620:AE$639)),"")</f>
        <v>0</v>
      </c>
      <c r="AL128" s="173">
        <f>IFERROR(IF(AND('Key inputs_EB_OWN'!AF627/SUM('Key inputs_EB_OWN'!AF$620:AF$639)&gt;0,'Key inputs_EB_OWN'!AF627/SUM('Key inputs_EB_OWN'!AF$620:AF$639)&lt;0.001),0.001,'Key inputs_EB_OWN'!AF627/SUM('Key inputs_EB_OWN'!AF$620:AF$639)),"")</f>
        <v>0</v>
      </c>
    </row>
    <row r="129" spans="1:47">
      <c r="C129" t="str">
        <f>Commodities!$C$90</f>
        <v>UPSDSL</v>
      </c>
      <c r="F129" s="4" t="s">
        <v>359</v>
      </c>
      <c r="G129" s="4" t="s">
        <v>702</v>
      </c>
      <c r="H129" t="s">
        <v>661</v>
      </c>
      <c r="I129">
        <v>2019</v>
      </c>
      <c r="J129" t="s">
        <v>650</v>
      </c>
      <c r="K129" s="173">
        <f>IFERROR(IF(AND('Key inputs_EB_OWN'!E628/SUM('Key inputs_EB_OWN'!E$620:E$639)&gt;0,'Key inputs_EB_OWN'!E628/SUM('Key inputs_EB_OWN'!E$620:E$639)&lt;0.001),0.001,'Key inputs_EB_OWN'!E628/SUM('Key inputs_EB_OWN'!E$620:E$639)),"")</f>
        <v>0</v>
      </c>
      <c r="L129" s="173">
        <f>IFERROR(IF(AND('Key inputs_EB_OWN'!F628/SUM('Key inputs_EB_OWN'!F$620:F$639)&gt;0,'Key inputs_EB_OWN'!F628/SUM('Key inputs_EB_OWN'!F$620:F$639)&lt;0.001),0.001,'Key inputs_EB_OWN'!F628/SUM('Key inputs_EB_OWN'!F$620:F$639)),"")</f>
        <v>0</v>
      </c>
      <c r="M129" s="173">
        <f>IFERROR(IF(AND('Key inputs_EB_OWN'!G628/SUM('Key inputs_EB_OWN'!G$620:G$639)&gt;0,'Key inputs_EB_OWN'!G628/SUM('Key inputs_EB_OWN'!G$620:G$639)&lt;0.001),0.001,'Key inputs_EB_OWN'!G628/SUM('Key inputs_EB_OWN'!G$620:G$639)),"")</f>
        <v>0</v>
      </c>
      <c r="N129" s="173">
        <f>IFERROR(IF(AND('Key inputs_EB_OWN'!H628/SUM('Key inputs_EB_OWN'!H$620:H$639)&gt;0,'Key inputs_EB_OWN'!H628/SUM('Key inputs_EB_OWN'!H$620:H$639)&lt;0.001),0.001,'Key inputs_EB_OWN'!H628/SUM('Key inputs_EB_OWN'!H$620:H$639)),"")</f>
        <v>0</v>
      </c>
      <c r="O129" s="173">
        <f>IFERROR(IF(AND('Key inputs_EB_OWN'!I628/SUM('Key inputs_EB_OWN'!I$620:I$639)&gt;0,'Key inputs_EB_OWN'!I628/SUM('Key inputs_EB_OWN'!I$620:I$639)&lt;0.001),0.001,'Key inputs_EB_OWN'!I628/SUM('Key inputs_EB_OWN'!I$620:I$639)),"")</f>
        <v>4.3110042651124961E-2</v>
      </c>
      <c r="P129" s="173">
        <f>IFERROR(IF(AND('Key inputs_EB_OWN'!J628/SUM('Key inputs_EB_OWN'!J$620:J$639)&gt;0,'Key inputs_EB_OWN'!J628/SUM('Key inputs_EB_OWN'!J$620:J$639)&lt;0.001),0.001,'Key inputs_EB_OWN'!J628/SUM('Key inputs_EB_OWN'!J$620:J$639)),"")</f>
        <v>1E-3</v>
      </c>
      <c r="Q129" s="173">
        <f>IFERROR(IF(AND('Key inputs_EB_OWN'!K628/SUM('Key inputs_EB_OWN'!K$620:K$639)&gt;0,'Key inputs_EB_OWN'!K628/SUM('Key inputs_EB_OWN'!K$620:K$639)&lt;0.001),0.001,'Key inputs_EB_OWN'!K628/SUM('Key inputs_EB_OWN'!K$620:K$639)),"")</f>
        <v>0</v>
      </c>
      <c r="R129" s="173" t="str">
        <f>IFERROR(IF(AND('Key inputs_EB_OWN'!L628/SUM('Key inputs_EB_OWN'!L$620:L$639)&gt;0,'Key inputs_EB_OWN'!L628/SUM('Key inputs_EB_OWN'!L$620:L$639)&lt;0.001),0.001,'Key inputs_EB_OWN'!L628/SUM('Key inputs_EB_OWN'!L$620:L$639)),"")</f>
        <v/>
      </c>
      <c r="S129" s="173">
        <f>IFERROR(IF(AND('Key inputs_EB_OWN'!M628/SUM('Key inputs_EB_OWN'!M$620:M$639)&gt;0,'Key inputs_EB_OWN'!M628/SUM('Key inputs_EB_OWN'!M$620:M$639)&lt;0.001),0.001,'Key inputs_EB_OWN'!M628/SUM('Key inputs_EB_OWN'!M$620:M$639)),"")</f>
        <v>0</v>
      </c>
      <c r="T129" s="173">
        <f>IFERROR(IF(AND('Key inputs_EB_OWN'!N628/SUM('Key inputs_EB_OWN'!N$620:N$639)&gt;0,'Key inputs_EB_OWN'!N628/SUM('Key inputs_EB_OWN'!N$620:N$639)&lt;0.001),0.001,'Key inputs_EB_OWN'!N628/SUM('Key inputs_EB_OWN'!N$620:N$639)),"")</f>
        <v>0</v>
      </c>
      <c r="U129" s="173">
        <f>IFERROR(IF(AND('Key inputs_EB_OWN'!O628/SUM('Key inputs_EB_OWN'!O$620:O$639)&gt;0,'Key inputs_EB_OWN'!O628/SUM('Key inputs_EB_OWN'!O$620:O$639)&lt;0.001),0.001,'Key inputs_EB_OWN'!O628/SUM('Key inputs_EB_OWN'!O$620:O$639)),"")</f>
        <v>0</v>
      </c>
      <c r="V129" s="173">
        <f>IFERROR(IF(AND('Key inputs_EB_OWN'!P628/SUM('Key inputs_EB_OWN'!P$620:P$639)&gt;0,'Key inputs_EB_OWN'!P628/SUM('Key inputs_EB_OWN'!P$620:P$639)&lt;0.001),0.001,'Key inputs_EB_OWN'!P628/SUM('Key inputs_EB_OWN'!P$620:P$639)),"")</f>
        <v>5.1768778795526224E-3</v>
      </c>
      <c r="W129" s="173">
        <f>IFERROR(IF(AND('Key inputs_EB_OWN'!Q628/SUM('Key inputs_EB_OWN'!Q$620:Q$639)&gt;0,'Key inputs_EB_OWN'!Q628/SUM('Key inputs_EB_OWN'!Q$620:Q$639)&lt;0.001),0.001,'Key inputs_EB_OWN'!Q628/SUM('Key inputs_EB_OWN'!Q$620:Q$639)),"")</f>
        <v>5.9030536700597123E-2</v>
      </c>
      <c r="X129" s="173">
        <f>IFERROR(IF(AND('Key inputs_EB_OWN'!R628/SUM('Key inputs_EB_OWN'!R$620:R$639)&gt;0,'Key inputs_EB_OWN'!R628/SUM('Key inputs_EB_OWN'!R$620:R$639)&lt;0.001),0.001,'Key inputs_EB_OWN'!R628/SUM('Key inputs_EB_OWN'!R$620:R$639)),"")</f>
        <v>0</v>
      </c>
      <c r="Y129" s="173">
        <f>IFERROR(IF(AND('Key inputs_EB_OWN'!S628/SUM('Key inputs_EB_OWN'!S$620:S$639)&gt;0,'Key inputs_EB_OWN'!S628/SUM('Key inputs_EB_OWN'!S$620:S$639)&lt;0.001),0.001,'Key inputs_EB_OWN'!S628/SUM('Key inputs_EB_OWN'!S$620:S$639)),"")</f>
        <v>7.4148200159160106E-3</v>
      </c>
      <c r="Z129" s="173">
        <f>IFERROR(IF(AND('Key inputs_EB_OWN'!T628/SUM('Key inputs_EB_OWN'!T$620:T$639)&gt;0,'Key inputs_EB_OWN'!T628/SUM('Key inputs_EB_OWN'!T$620:T$639)&lt;0.001),0.001,'Key inputs_EB_OWN'!T628/SUM('Key inputs_EB_OWN'!T$620:T$639)),"")</f>
        <v>0</v>
      </c>
      <c r="AA129" s="173">
        <f>IFERROR(IF(AND('Key inputs_EB_OWN'!U628/SUM('Key inputs_EB_OWN'!U$620:U$639)&gt;0,'Key inputs_EB_OWN'!U628/SUM('Key inputs_EB_OWN'!U$620:U$639)&lt;0.001),0.001,'Key inputs_EB_OWN'!U628/SUM('Key inputs_EB_OWN'!U$620:U$639)),"")</f>
        <v>1E-3</v>
      </c>
      <c r="AB129" s="173">
        <f>IFERROR(IF(AND('Key inputs_EB_OWN'!V628/SUM('Key inputs_EB_OWN'!V$620:V$639)&gt;0,'Key inputs_EB_OWN'!V628/SUM('Key inputs_EB_OWN'!V$620:V$639)&lt;0.001),0.001,'Key inputs_EB_OWN'!V628/SUM('Key inputs_EB_OWN'!V$620:V$639)),"")</f>
        <v>0</v>
      </c>
      <c r="AC129" s="173" t="str">
        <f>IFERROR(IF(AND('Key inputs_EB_OWN'!W628/SUM('Key inputs_EB_OWN'!W$620:W$639)&gt;0,'Key inputs_EB_OWN'!W628/SUM('Key inputs_EB_OWN'!W$620:W$639)&lt;0.001),0.001,'Key inputs_EB_OWN'!W628/SUM('Key inputs_EB_OWN'!W$620:W$639)),"")</f>
        <v/>
      </c>
      <c r="AD129" s="173">
        <f>IFERROR(IF(AND('Key inputs_EB_OWN'!X628/SUM('Key inputs_EB_OWN'!X$620:X$639)&gt;0,'Key inputs_EB_OWN'!X628/SUM('Key inputs_EB_OWN'!X$620:X$639)&lt;0.001),0.001,'Key inputs_EB_OWN'!X628/SUM('Key inputs_EB_OWN'!X$620:X$639)),"")</f>
        <v>0</v>
      </c>
      <c r="AE129" s="173">
        <f>IFERROR(IF(AND('Key inputs_EB_OWN'!Y628/SUM('Key inputs_EB_OWN'!Y$620:Y$639)&gt;0,'Key inputs_EB_OWN'!Y628/SUM('Key inputs_EB_OWN'!Y$620:Y$639)&lt;0.001),0.001,'Key inputs_EB_OWN'!Y628/SUM('Key inputs_EB_OWN'!Y$620:Y$639)),"")</f>
        <v>0</v>
      </c>
      <c r="AF129" s="173">
        <f>IFERROR(IF(AND('Key inputs_EB_OWN'!Z628/SUM('Key inputs_EB_OWN'!Z$620:Z$639)&gt;0,'Key inputs_EB_OWN'!Z628/SUM('Key inputs_EB_OWN'!Z$620:Z$639)&lt;0.001),0.001,'Key inputs_EB_OWN'!Z628/SUM('Key inputs_EB_OWN'!Z$620:Z$639)),"")</f>
        <v>0</v>
      </c>
      <c r="AG129" s="173">
        <f>IFERROR(IF(AND('Key inputs_EB_OWN'!AA628/SUM('Key inputs_EB_OWN'!AA$620:AA$639)&gt;0,'Key inputs_EB_OWN'!AA628/SUM('Key inputs_EB_OWN'!AA$620:AA$639)&lt;0.001),0.001,'Key inputs_EB_OWN'!AA628/SUM('Key inputs_EB_OWN'!AA$620:AA$639)),"")</f>
        <v>7.1384230567051593E-3</v>
      </c>
      <c r="AH129" s="173">
        <f>IFERROR(IF(AND('Key inputs_EB_OWN'!AB628/SUM('Key inputs_EB_OWN'!AB$620:AB$639)&gt;0,'Key inputs_EB_OWN'!AB628/SUM('Key inputs_EB_OWN'!AB$620:AB$639)&lt;0.001),0.001,'Key inputs_EB_OWN'!AB628/SUM('Key inputs_EB_OWN'!AB$620:AB$639)),"")</f>
        <v>0</v>
      </c>
      <c r="AI129" s="173" t="str">
        <f>IFERROR(IF(AND('Key inputs_EB_OWN'!AC628/SUM('Key inputs_EB_OWN'!AC$620:AC$639)&gt;0,'Key inputs_EB_OWN'!AC628/SUM('Key inputs_EB_OWN'!AC$620:AC$639)&lt;0.001),0.001,'Key inputs_EB_OWN'!AC628/SUM('Key inputs_EB_OWN'!AC$620:AC$639)),"")</f>
        <v/>
      </c>
      <c r="AJ129" s="173">
        <f>IFERROR(IF(AND('Key inputs_EB_OWN'!AD628/SUM('Key inputs_EB_OWN'!AD$620:AD$639)&gt;0,'Key inputs_EB_OWN'!AD628/SUM('Key inputs_EB_OWN'!AD$620:AD$639)&lt;0.001),0.001,'Key inputs_EB_OWN'!AD628/SUM('Key inputs_EB_OWN'!AD$620:AD$639)),"")</f>
        <v>0</v>
      </c>
      <c r="AK129" s="173">
        <f>IFERROR(IF(AND('Key inputs_EB_OWN'!AE628/SUM('Key inputs_EB_OWN'!AE$620:AE$639)&gt;0,'Key inputs_EB_OWN'!AE628/SUM('Key inputs_EB_OWN'!AE$620:AE$639)&lt;0.001),0.001,'Key inputs_EB_OWN'!AE628/SUM('Key inputs_EB_OWN'!AE$620:AE$639)),"")</f>
        <v>0</v>
      </c>
      <c r="AL129" s="173">
        <f>IFERROR(IF(AND('Key inputs_EB_OWN'!AF628/SUM('Key inputs_EB_OWN'!AF$620:AF$639)&gt;0,'Key inputs_EB_OWN'!AF628/SUM('Key inputs_EB_OWN'!AF$620:AF$639)&lt;0.001),0.001,'Key inputs_EB_OWN'!AF628/SUM('Key inputs_EB_OWN'!AF$620:AF$639)),"")</f>
        <v>0</v>
      </c>
    </row>
    <row r="130" spans="1:47">
      <c r="C130" t="str">
        <f>Commodities!$C$91</f>
        <v>UPSELC</v>
      </c>
      <c r="F130" s="4" t="s">
        <v>359</v>
      </c>
      <c r="G130" s="4" t="s">
        <v>702</v>
      </c>
      <c r="H130" t="s">
        <v>661</v>
      </c>
      <c r="I130">
        <v>2019</v>
      </c>
      <c r="J130" t="s">
        <v>650</v>
      </c>
      <c r="K130" s="173">
        <f>IFERROR(IF(AND('Key inputs_EB_OWN'!E629/SUM('Key inputs_EB_OWN'!E$620:E$639)&gt;0,'Key inputs_EB_OWN'!E629/SUM('Key inputs_EB_OWN'!E$620:E$639)&lt;0.001),0.001,'Key inputs_EB_OWN'!E629/SUM('Key inputs_EB_OWN'!E$620:E$639)),"")</f>
        <v>0</v>
      </c>
      <c r="L130" s="173">
        <f>IFERROR(IF(AND('Key inputs_EB_OWN'!F629/SUM('Key inputs_EB_OWN'!F$620:F$639)&gt;0,'Key inputs_EB_OWN'!F629/SUM('Key inputs_EB_OWN'!F$620:F$639)&lt;0.001),0.001,'Key inputs_EB_OWN'!F629/SUM('Key inputs_EB_OWN'!F$620:F$639)),"")</f>
        <v>0.22267974284969411</v>
      </c>
      <c r="M130" s="173">
        <f>IFERROR(IF(AND('Key inputs_EB_OWN'!G629/SUM('Key inputs_EB_OWN'!G$620:G$639)&gt;0,'Key inputs_EB_OWN'!G629/SUM('Key inputs_EB_OWN'!G$620:G$639)&lt;0.001),0.001,'Key inputs_EB_OWN'!G629/SUM('Key inputs_EB_OWN'!G$620:G$639)),"")</f>
        <v>4.2393001072657921E-2</v>
      </c>
      <c r="N130" s="173">
        <f>IFERROR(IF(AND('Key inputs_EB_OWN'!H629/SUM('Key inputs_EB_OWN'!H$620:H$639)&gt;0,'Key inputs_EB_OWN'!H629/SUM('Key inputs_EB_OWN'!H$620:H$639)&lt;0.001),0.001,'Key inputs_EB_OWN'!H629/SUM('Key inputs_EB_OWN'!H$620:H$639)),"")</f>
        <v>0.94159190217063871</v>
      </c>
      <c r="O130" s="173">
        <f>IFERROR(IF(AND('Key inputs_EB_OWN'!I629/SUM('Key inputs_EB_OWN'!I$620:I$639)&gt;0,'Key inputs_EB_OWN'!I629/SUM('Key inputs_EB_OWN'!I$620:I$639)&lt;0.001),0.001,'Key inputs_EB_OWN'!I629/SUM('Key inputs_EB_OWN'!I$620:I$639)),"")</f>
        <v>0.12624542418377649</v>
      </c>
      <c r="P130" s="173">
        <f>IFERROR(IF(AND('Key inputs_EB_OWN'!J629/SUM('Key inputs_EB_OWN'!J$620:J$639)&gt;0,'Key inputs_EB_OWN'!J629/SUM('Key inputs_EB_OWN'!J$620:J$639)&lt;0.001),0.001,'Key inputs_EB_OWN'!J629/SUM('Key inputs_EB_OWN'!J$620:J$639)),"")</f>
        <v>2.8495466626548764E-3</v>
      </c>
      <c r="Q130" s="173">
        <f>IFERROR(IF(AND('Key inputs_EB_OWN'!K629/SUM('Key inputs_EB_OWN'!K$620:K$639)&gt;0,'Key inputs_EB_OWN'!K629/SUM('Key inputs_EB_OWN'!K$620:K$639)&lt;0.001),0.001,'Key inputs_EB_OWN'!K629/SUM('Key inputs_EB_OWN'!K$620:K$639)),"")</f>
        <v>0</v>
      </c>
      <c r="R130" s="173" t="str">
        <f>IFERROR(IF(AND('Key inputs_EB_OWN'!L629/SUM('Key inputs_EB_OWN'!L$620:L$639)&gt;0,'Key inputs_EB_OWN'!L629/SUM('Key inputs_EB_OWN'!L$620:L$639)&lt;0.001),0.001,'Key inputs_EB_OWN'!L629/SUM('Key inputs_EB_OWN'!L$620:L$639)),"")</f>
        <v/>
      </c>
      <c r="S130" s="173">
        <f>IFERROR(IF(AND('Key inputs_EB_OWN'!M629/SUM('Key inputs_EB_OWN'!M$620:M$639)&gt;0,'Key inputs_EB_OWN'!M629/SUM('Key inputs_EB_OWN'!M$620:M$639)&lt;0.001),0.001,'Key inputs_EB_OWN'!M629/SUM('Key inputs_EB_OWN'!M$620:M$639)),"")</f>
        <v>5.8427825087024592E-2</v>
      </c>
      <c r="T130" s="173">
        <f>IFERROR(IF(AND('Key inputs_EB_OWN'!N629/SUM('Key inputs_EB_OWN'!N$620:N$639)&gt;0,'Key inputs_EB_OWN'!N629/SUM('Key inputs_EB_OWN'!N$620:N$639)&lt;0.001),0.001,'Key inputs_EB_OWN'!N629/SUM('Key inputs_EB_OWN'!N$620:N$639)),"")</f>
        <v>1</v>
      </c>
      <c r="U130" s="173">
        <f>IFERROR(IF(AND('Key inputs_EB_OWN'!O629/SUM('Key inputs_EB_OWN'!O$620:O$639)&gt;0,'Key inputs_EB_OWN'!O629/SUM('Key inputs_EB_OWN'!O$620:O$639)&lt;0.001),0.001,'Key inputs_EB_OWN'!O629/SUM('Key inputs_EB_OWN'!O$620:O$639)),"")</f>
        <v>0</v>
      </c>
      <c r="V130" s="173">
        <f>IFERROR(IF(AND('Key inputs_EB_OWN'!P629/SUM('Key inputs_EB_OWN'!P$620:P$639)&gt;0,'Key inputs_EB_OWN'!P629/SUM('Key inputs_EB_OWN'!P$620:P$639)&lt;0.001),0.001,'Key inputs_EB_OWN'!P629/SUM('Key inputs_EB_OWN'!P$620:P$639)),"")</f>
        <v>0.37977878387800468</v>
      </c>
      <c r="W130" s="173">
        <f>IFERROR(IF(AND('Key inputs_EB_OWN'!Q629/SUM('Key inputs_EB_OWN'!Q$620:Q$639)&gt;0,'Key inputs_EB_OWN'!Q629/SUM('Key inputs_EB_OWN'!Q$620:Q$639)&lt;0.001),0.001,'Key inputs_EB_OWN'!Q629/SUM('Key inputs_EB_OWN'!Q$620:Q$639)),"")</f>
        <v>0.64388316036325977</v>
      </c>
      <c r="X130" s="173">
        <f>IFERROR(IF(AND('Key inputs_EB_OWN'!R629/SUM('Key inputs_EB_OWN'!R$620:R$639)&gt;0,'Key inputs_EB_OWN'!R629/SUM('Key inputs_EB_OWN'!R$620:R$639)&lt;0.001),0.001,'Key inputs_EB_OWN'!R629/SUM('Key inputs_EB_OWN'!R$620:R$639)),"")</f>
        <v>0.7375587116528185</v>
      </c>
      <c r="Y130" s="173">
        <f>IFERROR(IF(AND('Key inputs_EB_OWN'!S629/SUM('Key inputs_EB_OWN'!S$620:S$639)&gt;0,'Key inputs_EB_OWN'!S629/SUM('Key inputs_EB_OWN'!S$620:S$639)&lt;0.001),0.001,'Key inputs_EB_OWN'!S629/SUM('Key inputs_EB_OWN'!S$620:S$639)),"")</f>
        <v>0.45737419347662328</v>
      </c>
      <c r="Z130" s="173">
        <f>IFERROR(IF(AND('Key inputs_EB_OWN'!T629/SUM('Key inputs_EB_OWN'!T$620:T$639)&gt;0,'Key inputs_EB_OWN'!T629/SUM('Key inputs_EB_OWN'!T$620:T$639)&lt;0.001),0.001,'Key inputs_EB_OWN'!T629/SUM('Key inputs_EB_OWN'!T$620:T$639)),"")</f>
        <v>0.66690424735682796</v>
      </c>
      <c r="AA130" s="173">
        <f>IFERROR(IF(AND('Key inputs_EB_OWN'!U629/SUM('Key inputs_EB_OWN'!U$620:U$639)&gt;0,'Key inputs_EB_OWN'!U629/SUM('Key inputs_EB_OWN'!U$620:U$639)&lt;0.001),0.001,'Key inputs_EB_OWN'!U629/SUM('Key inputs_EB_OWN'!U$620:U$639)),"")</f>
        <v>0.62693994095672567</v>
      </c>
      <c r="AB130" s="173">
        <f>IFERROR(IF(AND('Key inputs_EB_OWN'!V629/SUM('Key inputs_EB_OWN'!V$620:V$639)&gt;0,'Key inputs_EB_OWN'!V629/SUM('Key inputs_EB_OWN'!V$620:V$639)&lt;0.001),0.001,'Key inputs_EB_OWN'!V629/SUM('Key inputs_EB_OWN'!V$620:V$639)),"")</f>
        <v>0</v>
      </c>
      <c r="AC130" s="173" t="str">
        <f>IFERROR(IF(AND('Key inputs_EB_OWN'!W629/SUM('Key inputs_EB_OWN'!W$620:W$639)&gt;0,'Key inputs_EB_OWN'!W629/SUM('Key inputs_EB_OWN'!W$620:W$639)&lt;0.001),0.001,'Key inputs_EB_OWN'!W629/SUM('Key inputs_EB_OWN'!W$620:W$639)),"")</f>
        <v/>
      </c>
      <c r="AD130" s="173">
        <f>IFERROR(IF(AND('Key inputs_EB_OWN'!X629/SUM('Key inputs_EB_OWN'!X$620:X$639)&gt;0,'Key inputs_EB_OWN'!X629/SUM('Key inputs_EB_OWN'!X$620:X$639)&lt;0.001),0.001,'Key inputs_EB_OWN'!X629/SUM('Key inputs_EB_OWN'!X$620:X$639)),"")</f>
        <v>1</v>
      </c>
      <c r="AE130" s="173">
        <f>IFERROR(IF(AND('Key inputs_EB_OWN'!Y629/SUM('Key inputs_EB_OWN'!Y$620:Y$639)&gt;0,'Key inputs_EB_OWN'!Y629/SUM('Key inputs_EB_OWN'!Y$620:Y$639)&lt;0.001),0.001,'Key inputs_EB_OWN'!Y629/SUM('Key inputs_EB_OWN'!Y$620:Y$639)),"")</f>
        <v>2.9651771800187465E-2</v>
      </c>
      <c r="AF130" s="173">
        <f>IFERROR(IF(AND('Key inputs_EB_OWN'!Z629/SUM('Key inputs_EB_OWN'!Z$620:Z$639)&gt;0,'Key inputs_EB_OWN'!Z629/SUM('Key inputs_EB_OWN'!Z$620:Z$639)&lt;0.001),0.001,'Key inputs_EB_OWN'!Z629/SUM('Key inputs_EB_OWN'!Z$620:Z$639)),"")</f>
        <v>0.19082979517900342</v>
      </c>
      <c r="AG130" s="173">
        <f>IFERROR(IF(AND('Key inputs_EB_OWN'!AA629/SUM('Key inputs_EB_OWN'!AA$620:AA$639)&gt;0,'Key inputs_EB_OWN'!AA629/SUM('Key inputs_EB_OWN'!AA$620:AA$639)&lt;0.001),0.001,'Key inputs_EB_OWN'!AA629/SUM('Key inputs_EB_OWN'!AA$620:AA$639)),"")</f>
        <v>0.98436749139115443</v>
      </c>
      <c r="AH130" s="173">
        <f>IFERROR(IF(AND('Key inputs_EB_OWN'!AB629/SUM('Key inputs_EB_OWN'!AB$620:AB$639)&gt;0,'Key inputs_EB_OWN'!AB629/SUM('Key inputs_EB_OWN'!AB$620:AB$639)&lt;0.001),0.001,'Key inputs_EB_OWN'!AB629/SUM('Key inputs_EB_OWN'!AB$620:AB$639)),"")</f>
        <v>0</v>
      </c>
      <c r="AI130" s="173" t="str">
        <f>IFERROR(IF(AND('Key inputs_EB_OWN'!AC629/SUM('Key inputs_EB_OWN'!AC$620:AC$639)&gt;0,'Key inputs_EB_OWN'!AC629/SUM('Key inputs_EB_OWN'!AC$620:AC$639)&lt;0.001),0.001,'Key inputs_EB_OWN'!AC629/SUM('Key inputs_EB_OWN'!AC$620:AC$639)),"")</f>
        <v/>
      </c>
      <c r="AJ130" s="173">
        <f>IFERROR(IF(AND('Key inputs_EB_OWN'!AD629/SUM('Key inputs_EB_OWN'!AD$620:AD$639)&gt;0,'Key inputs_EB_OWN'!AD629/SUM('Key inputs_EB_OWN'!AD$620:AD$639)&lt;0.001),0.001,'Key inputs_EB_OWN'!AD629/SUM('Key inputs_EB_OWN'!AD$620:AD$639)),"")</f>
        <v>0.27038373669459648</v>
      </c>
      <c r="AK130" s="173">
        <f>IFERROR(IF(AND('Key inputs_EB_OWN'!AE629/SUM('Key inputs_EB_OWN'!AE$620:AE$639)&gt;0,'Key inputs_EB_OWN'!AE629/SUM('Key inputs_EB_OWN'!AE$620:AE$639)&lt;0.001),0.001,'Key inputs_EB_OWN'!AE629/SUM('Key inputs_EB_OWN'!AE$620:AE$639)),"")</f>
        <v>1</v>
      </c>
      <c r="AL130" s="173">
        <f>IFERROR(IF(AND('Key inputs_EB_OWN'!AF629/SUM('Key inputs_EB_OWN'!AF$620:AF$639)&gt;0,'Key inputs_EB_OWN'!AF629/SUM('Key inputs_EB_OWN'!AF$620:AF$639)&lt;0.001),0.001,'Key inputs_EB_OWN'!AF629/SUM('Key inputs_EB_OWN'!AF$620:AF$639)),"")</f>
        <v>0.99958660204225891</v>
      </c>
    </row>
    <row r="131" spans="1:47">
      <c r="C131" t="str">
        <f>Commodities!$C$92</f>
        <v>UPSGAS</v>
      </c>
      <c r="F131" s="4" t="s">
        <v>359</v>
      </c>
      <c r="G131" s="4" t="s">
        <v>702</v>
      </c>
      <c r="H131" t="s">
        <v>661</v>
      </c>
      <c r="I131">
        <v>2019</v>
      </c>
      <c r="J131" t="s">
        <v>650</v>
      </c>
      <c r="K131" s="173">
        <f>IFERROR(IF(AND('Key inputs_EB_OWN'!E630/SUM('Key inputs_EB_OWN'!E$620:E$639)&gt;0,'Key inputs_EB_OWN'!E630/SUM('Key inputs_EB_OWN'!E$620:E$639)&lt;0.001),0.001,'Key inputs_EB_OWN'!E630/SUM('Key inputs_EB_OWN'!E$620:E$639)),"")</f>
        <v>0</v>
      </c>
      <c r="L131" s="173">
        <f>IFERROR(IF(AND('Key inputs_EB_OWN'!F630/SUM('Key inputs_EB_OWN'!F$620:F$639)&gt;0,'Key inputs_EB_OWN'!F630/SUM('Key inputs_EB_OWN'!F$620:F$639)&lt;0.001),0.001,'Key inputs_EB_OWN'!F630/SUM('Key inputs_EB_OWN'!F$620:F$639)),"")</f>
        <v>0.6733941123504027</v>
      </c>
      <c r="M131" s="173">
        <f>IFERROR(IF(AND('Key inputs_EB_OWN'!G630/SUM('Key inputs_EB_OWN'!G$620:G$639)&gt;0,'Key inputs_EB_OWN'!G630/SUM('Key inputs_EB_OWN'!G$620:G$639)&lt;0.001),0.001,'Key inputs_EB_OWN'!G630/SUM('Key inputs_EB_OWN'!G$620:G$639)),"")</f>
        <v>0.76705746283231169</v>
      </c>
      <c r="N131" s="173">
        <f>IFERROR(IF(AND('Key inputs_EB_OWN'!H630/SUM('Key inputs_EB_OWN'!H$620:H$639)&gt;0,'Key inputs_EB_OWN'!H630/SUM('Key inputs_EB_OWN'!H$620:H$639)&lt;0.001),0.001,'Key inputs_EB_OWN'!H630/SUM('Key inputs_EB_OWN'!H$620:H$639)),"")</f>
        <v>0</v>
      </c>
      <c r="O131" s="173">
        <f>IFERROR(IF(AND('Key inputs_EB_OWN'!I630/SUM('Key inputs_EB_OWN'!I$620:I$639)&gt;0,'Key inputs_EB_OWN'!I630/SUM('Key inputs_EB_OWN'!I$620:I$639)&lt;0.001),0.001,'Key inputs_EB_OWN'!I630/SUM('Key inputs_EB_OWN'!I$620:I$639)),"")</f>
        <v>0.46780303756921937</v>
      </c>
      <c r="P131" s="173">
        <f>IFERROR(IF(AND('Key inputs_EB_OWN'!J630/SUM('Key inputs_EB_OWN'!J$620:J$639)&gt;0,'Key inputs_EB_OWN'!J630/SUM('Key inputs_EB_OWN'!J$620:J$639)&lt;0.001),0.001,'Key inputs_EB_OWN'!J630/SUM('Key inputs_EB_OWN'!J$620:J$639)),"")</f>
        <v>0.97743237781370129</v>
      </c>
      <c r="Q131" s="173">
        <f>IFERROR(IF(AND('Key inputs_EB_OWN'!K630/SUM('Key inputs_EB_OWN'!K$620:K$639)&gt;0,'Key inputs_EB_OWN'!K630/SUM('Key inputs_EB_OWN'!K$620:K$639)&lt;0.001),0.001,'Key inputs_EB_OWN'!K630/SUM('Key inputs_EB_OWN'!K$620:K$639)),"")</f>
        <v>1</v>
      </c>
      <c r="R131" s="173" t="str">
        <f>IFERROR(IF(AND('Key inputs_EB_OWN'!L630/SUM('Key inputs_EB_OWN'!L$620:L$639)&gt;0,'Key inputs_EB_OWN'!L630/SUM('Key inputs_EB_OWN'!L$620:L$639)&lt;0.001),0.001,'Key inputs_EB_OWN'!L630/SUM('Key inputs_EB_OWN'!L$620:L$639)),"")</f>
        <v/>
      </c>
      <c r="S131" s="173">
        <f>IFERROR(IF(AND('Key inputs_EB_OWN'!M630/SUM('Key inputs_EB_OWN'!M$620:M$639)&gt;0,'Key inputs_EB_OWN'!M630/SUM('Key inputs_EB_OWN'!M$620:M$639)&lt;0.001),0.001,'Key inputs_EB_OWN'!M630/SUM('Key inputs_EB_OWN'!M$620:M$639)),"")</f>
        <v>0</v>
      </c>
      <c r="T131" s="173">
        <f>IFERROR(IF(AND('Key inputs_EB_OWN'!N630/SUM('Key inputs_EB_OWN'!N$620:N$639)&gt;0,'Key inputs_EB_OWN'!N630/SUM('Key inputs_EB_OWN'!N$620:N$639)&lt;0.001),0.001,'Key inputs_EB_OWN'!N630/SUM('Key inputs_EB_OWN'!N$620:N$639)),"")</f>
        <v>0</v>
      </c>
      <c r="U131" s="173">
        <f>IFERROR(IF(AND('Key inputs_EB_OWN'!O630/SUM('Key inputs_EB_OWN'!O$620:O$639)&gt;0,'Key inputs_EB_OWN'!O630/SUM('Key inputs_EB_OWN'!O$620:O$639)&lt;0.001),0.001,'Key inputs_EB_OWN'!O630/SUM('Key inputs_EB_OWN'!O$620:O$639)),"")</f>
        <v>0</v>
      </c>
      <c r="V131" s="173">
        <f>IFERROR(IF(AND('Key inputs_EB_OWN'!P630/SUM('Key inputs_EB_OWN'!P$620:P$639)&gt;0,'Key inputs_EB_OWN'!P630/SUM('Key inputs_EB_OWN'!P$620:P$639)&lt;0.001),0.001,'Key inputs_EB_OWN'!P630/SUM('Key inputs_EB_OWN'!P$620:P$639)),"")</f>
        <v>0.28368847969411443</v>
      </c>
      <c r="W131" s="173">
        <f>IFERROR(IF(AND('Key inputs_EB_OWN'!Q630/SUM('Key inputs_EB_OWN'!Q$620:Q$639)&gt;0,'Key inputs_EB_OWN'!Q630/SUM('Key inputs_EB_OWN'!Q$620:Q$639)&lt;0.001),0.001,'Key inputs_EB_OWN'!Q630/SUM('Key inputs_EB_OWN'!Q$620:Q$639)),"")</f>
        <v>3.6407807185049108E-2</v>
      </c>
      <c r="X131" s="173">
        <f>IFERROR(IF(AND('Key inputs_EB_OWN'!R630/SUM('Key inputs_EB_OWN'!R$620:R$639)&gt;0,'Key inputs_EB_OWN'!R630/SUM('Key inputs_EB_OWN'!R$620:R$639)&lt;0.001),0.001,'Key inputs_EB_OWN'!R630/SUM('Key inputs_EB_OWN'!R$620:R$639)),"")</f>
        <v>0.26244128834718161</v>
      </c>
      <c r="Y131" s="173">
        <f>IFERROR(IF(AND('Key inputs_EB_OWN'!S630/SUM('Key inputs_EB_OWN'!S$620:S$639)&gt;0,'Key inputs_EB_OWN'!S630/SUM('Key inputs_EB_OWN'!S$620:S$639)&lt;0.001),0.001,'Key inputs_EB_OWN'!S630/SUM('Key inputs_EB_OWN'!S$620:S$639)),"")</f>
        <v>2.2593435165929886E-2</v>
      </c>
      <c r="Z131" s="173">
        <f>IFERROR(IF(AND('Key inputs_EB_OWN'!T630/SUM('Key inputs_EB_OWN'!T$620:T$639)&gt;0,'Key inputs_EB_OWN'!T630/SUM('Key inputs_EB_OWN'!T$620:T$639)&lt;0.001),0.001,'Key inputs_EB_OWN'!T630/SUM('Key inputs_EB_OWN'!T$620:T$639)),"")</f>
        <v>6.9152094397170696E-2</v>
      </c>
      <c r="AA131" s="173">
        <f>IFERROR(IF(AND('Key inputs_EB_OWN'!U630/SUM('Key inputs_EB_OWN'!U$620:U$639)&gt;0,'Key inputs_EB_OWN'!U630/SUM('Key inputs_EB_OWN'!U$620:U$639)&lt;0.001),0.001,'Key inputs_EB_OWN'!U630/SUM('Key inputs_EB_OWN'!U$620:U$639)),"")</f>
        <v>1.0990219145403339E-2</v>
      </c>
      <c r="AB131" s="173">
        <f>IFERROR(IF(AND('Key inputs_EB_OWN'!V630/SUM('Key inputs_EB_OWN'!V$620:V$639)&gt;0,'Key inputs_EB_OWN'!V630/SUM('Key inputs_EB_OWN'!V$620:V$639)&lt;0.001),0.001,'Key inputs_EB_OWN'!V630/SUM('Key inputs_EB_OWN'!V$620:V$639)),"")</f>
        <v>0</v>
      </c>
      <c r="AC131" s="173" t="str">
        <f>IFERROR(IF(AND('Key inputs_EB_OWN'!W630/SUM('Key inputs_EB_OWN'!W$620:W$639)&gt;0,'Key inputs_EB_OWN'!W630/SUM('Key inputs_EB_OWN'!W$620:W$639)&lt;0.001),0.001,'Key inputs_EB_OWN'!W630/SUM('Key inputs_EB_OWN'!W$620:W$639)),"")</f>
        <v/>
      </c>
      <c r="AD131" s="173">
        <f>IFERROR(IF(AND('Key inputs_EB_OWN'!X630/SUM('Key inputs_EB_OWN'!X$620:X$639)&gt;0,'Key inputs_EB_OWN'!X630/SUM('Key inputs_EB_OWN'!X$620:X$639)&lt;0.001),0.001,'Key inputs_EB_OWN'!X630/SUM('Key inputs_EB_OWN'!X$620:X$639)),"")</f>
        <v>0</v>
      </c>
      <c r="AE131" s="173">
        <f>IFERROR(IF(AND('Key inputs_EB_OWN'!Y630/SUM('Key inputs_EB_OWN'!Y$620:Y$639)&gt;0,'Key inputs_EB_OWN'!Y630/SUM('Key inputs_EB_OWN'!Y$620:Y$639)&lt;0.001),0.001,'Key inputs_EB_OWN'!Y630/SUM('Key inputs_EB_OWN'!Y$620:Y$639)),"")</f>
        <v>0.87653305046388563</v>
      </c>
      <c r="AF131" s="173">
        <f>IFERROR(IF(AND('Key inputs_EB_OWN'!Z630/SUM('Key inputs_EB_OWN'!Z$620:Z$639)&gt;0,'Key inputs_EB_OWN'!Z630/SUM('Key inputs_EB_OWN'!Z$620:Z$639)&lt;0.001),0.001,'Key inputs_EB_OWN'!Z630/SUM('Key inputs_EB_OWN'!Z$620:Z$639)),"")</f>
        <v>0.31659633388863162</v>
      </c>
      <c r="AG131" s="173">
        <f>IFERROR(IF(AND('Key inputs_EB_OWN'!AA630/SUM('Key inputs_EB_OWN'!AA$620:AA$639)&gt;0,'Key inputs_EB_OWN'!AA630/SUM('Key inputs_EB_OWN'!AA$620:AA$639)&lt;0.001),0.001,'Key inputs_EB_OWN'!AA630/SUM('Key inputs_EB_OWN'!AA$620:AA$639)),"")</f>
        <v>0</v>
      </c>
      <c r="AH131" s="173">
        <f>IFERROR(IF(AND('Key inputs_EB_OWN'!AB630/SUM('Key inputs_EB_OWN'!AB$620:AB$639)&gt;0,'Key inputs_EB_OWN'!AB630/SUM('Key inputs_EB_OWN'!AB$620:AB$639)&lt;0.001),0.001,'Key inputs_EB_OWN'!AB630/SUM('Key inputs_EB_OWN'!AB$620:AB$639)),"")</f>
        <v>1</v>
      </c>
      <c r="AI131" s="173" t="str">
        <f>IFERROR(IF(AND('Key inputs_EB_OWN'!AC630/SUM('Key inputs_EB_OWN'!AC$620:AC$639)&gt;0,'Key inputs_EB_OWN'!AC630/SUM('Key inputs_EB_OWN'!AC$620:AC$639)&lt;0.001),0.001,'Key inputs_EB_OWN'!AC630/SUM('Key inputs_EB_OWN'!AC$620:AC$639)),"")</f>
        <v/>
      </c>
      <c r="AJ131" s="173">
        <f>IFERROR(IF(AND('Key inputs_EB_OWN'!AD630/SUM('Key inputs_EB_OWN'!AD$620:AD$639)&gt;0,'Key inputs_EB_OWN'!AD630/SUM('Key inputs_EB_OWN'!AD$620:AD$639)&lt;0.001),0.001,'Key inputs_EB_OWN'!AD630/SUM('Key inputs_EB_OWN'!AD$620:AD$639)),"")</f>
        <v>0.54727380886226484</v>
      </c>
      <c r="AK131" s="173">
        <f>IFERROR(IF(AND('Key inputs_EB_OWN'!AE630/SUM('Key inputs_EB_OWN'!AE$620:AE$639)&gt;0,'Key inputs_EB_OWN'!AE630/SUM('Key inputs_EB_OWN'!AE$620:AE$639)&lt;0.001),0.001,'Key inputs_EB_OWN'!AE630/SUM('Key inputs_EB_OWN'!AE$620:AE$639)),"")</f>
        <v>0</v>
      </c>
      <c r="AL131" s="173">
        <f>IFERROR(IF(AND('Key inputs_EB_OWN'!AF630/SUM('Key inputs_EB_OWN'!AF$620:AF$639)&gt;0,'Key inputs_EB_OWN'!AF630/SUM('Key inputs_EB_OWN'!AF$620:AF$639)&lt;0.001),0.001,'Key inputs_EB_OWN'!AF630/SUM('Key inputs_EB_OWN'!AF$620:AF$639)),"")</f>
        <v>0</v>
      </c>
      <c r="AN131" s="281"/>
      <c r="AO131" s="281"/>
      <c r="AP131" s="281"/>
      <c r="AQ131" s="281"/>
      <c r="AR131" s="281"/>
      <c r="AS131" s="281"/>
      <c r="AT131" s="281"/>
      <c r="AU131" s="281"/>
    </row>
    <row r="132" spans="1:47">
      <c r="C132" t="str">
        <f>Commodities!$C$93</f>
        <v>UPSGSL</v>
      </c>
      <c r="F132" s="4" t="s">
        <v>359</v>
      </c>
      <c r="G132" s="4" t="s">
        <v>702</v>
      </c>
      <c r="H132" t="s">
        <v>661</v>
      </c>
      <c r="I132">
        <v>2019</v>
      </c>
      <c r="J132" t="s">
        <v>650</v>
      </c>
      <c r="K132" s="173">
        <f>IFERROR(IF(AND('Key inputs_EB_OWN'!E631/SUM('Key inputs_EB_OWN'!E$620:E$639)&gt;0,'Key inputs_EB_OWN'!E631/SUM('Key inputs_EB_OWN'!E$620:E$639)&lt;0.001),0.001,'Key inputs_EB_OWN'!E631/SUM('Key inputs_EB_OWN'!E$620:E$639)),"")</f>
        <v>0</v>
      </c>
      <c r="L132" s="173">
        <f>IFERROR(IF(AND('Key inputs_EB_OWN'!F631/SUM('Key inputs_EB_OWN'!F$620:F$639)&gt;0,'Key inputs_EB_OWN'!F631/SUM('Key inputs_EB_OWN'!F$620:F$639)&lt;0.001),0.001,'Key inputs_EB_OWN'!F631/SUM('Key inputs_EB_OWN'!F$620:F$639)),"")</f>
        <v>0</v>
      </c>
      <c r="M132" s="173">
        <f>IFERROR(IF(AND('Key inputs_EB_OWN'!G631/SUM('Key inputs_EB_OWN'!G$620:G$639)&gt;0,'Key inputs_EB_OWN'!G631/SUM('Key inputs_EB_OWN'!G$620:G$639)&lt;0.001),0.001,'Key inputs_EB_OWN'!G631/SUM('Key inputs_EB_OWN'!G$620:G$639)),"")</f>
        <v>0</v>
      </c>
      <c r="N132" s="173">
        <f>IFERROR(IF(AND('Key inputs_EB_OWN'!H631/SUM('Key inputs_EB_OWN'!H$620:H$639)&gt;0,'Key inputs_EB_OWN'!H631/SUM('Key inputs_EB_OWN'!H$620:H$639)&lt;0.001),0.001,'Key inputs_EB_OWN'!H631/SUM('Key inputs_EB_OWN'!H$620:H$639)),"")</f>
        <v>0</v>
      </c>
      <c r="O132" s="173">
        <f>IFERROR(IF(AND('Key inputs_EB_OWN'!I631/SUM('Key inputs_EB_OWN'!I$620:I$639)&gt;0,'Key inputs_EB_OWN'!I631/SUM('Key inputs_EB_OWN'!I$620:I$639)&lt;0.001),0.001,'Key inputs_EB_OWN'!I631/SUM('Key inputs_EB_OWN'!I$620:I$639)),"")</f>
        <v>1E-3</v>
      </c>
      <c r="P132" s="173">
        <f>IFERROR(IF(AND('Key inputs_EB_OWN'!J631/SUM('Key inputs_EB_OWN'!J$620:J$639)&gt;0,'Key inputs_EB_OWN'!J631/SUM('Key inputs_EB_OWN'!J$620:J$639)&lt;0.001),0.001,'Key inputs_EB_OWN'!J631/SUM('Key inputs_EB_OWN'!J$620:J$639)),"")</f>
        <v>0</v>
      </c>
      <c r="Q132" s="173">
        <f>IFERROR(IF(AND('Key inputs_EB_OWN'!K631/SUM('Key inputs_EB_OWN'!K$620:K$639)&gt;0,'Key inputs_EB_OWN'!K631/SUM('Key inputs_EB_OWN'!K$620:K$639)&lt;0.001),0.001,'Key inputs_EB_OWN'!K631/SUM('Key inputs_EB_OWN'!K$620:K$639)),"")</f>
        <v>0</v>
      </c>
      <c r="R132" s="173" t="str">
        <f>IFERROR(IF(AND('Key inputs_EB_OWN'!L631/SUM('Key inputs_EB_OWN'!L$620:L$639)&gt;0,'Key inputs_EB_OWN'!L631/SUM('Key inputs_EB_OWN'!L$620:L$639)&lt;0.001),0.001,'Key inputs_EB_OWN'!L631/SUM('Key inputs_EB_OWN'!L$620:L$639)),"")</f>
        <v/>
      </c>
      <c r="S132" s="173">
        <f>IFERROR(IF(AND('Key inputs_EB_OWN'!M631/SUM('Key inputs_EB_OWN'!M$620:M$639)&gt;0,'Key inputs_EB_OWN'!M631/SUM('Key inputs_EB_OWN'!M$620:M$639)&lt;0.001),0.001,'Key inputs_EB_OWN'!M631/SUM('Key inputs_EB_OWN'!M$620:M$639)),"")</f>
        <v>0</v>
      </c>
      <c r="T132" s="173">
        <f>IFERROR(IF(AND('Key inputs_EB_OWN'!N631/SUM('Key inputs_EB_OWN'!N$620:N$639)&gt;0,'Key inputs_EB_OWN'!N631/SUM('Key inputs_EB_OWN'!N$620:N$639)&lt;0.001),0.001,'Key inputs_EB_OWN'!N631/SUM('Key inputs_EB_OWN'!N$620:N$639)),"")</f>
        <v>0</v>
      </c>
      <c r="U132" s="173">
        <f>IFERROR(IF(AND('Key inputs_EB_OWN'!O631/SUM('Key inputs_EB_OWN'!O$620:O$639)&gt;0,'Key inputs_EB_OWN'!O631/SUM('Key inputs_EB_OWN'!O$620:O$639)&lt;0.001),0.001,'Key inputs_EB_OWN'!O631/SUM('Key inputs_EB_OWN'!O$620:O$639)),"")</f>
        <v>0</v>
      </c>
      <c r="V132" s="173">
        <f>IFERROR(IF(AND('Key inputs_EB_OWN'!P631/SUM('Key inputs_EB_OWN'!P$620:P$639)&gt;0,'Key inputs_EB_OWN'!P631/SUM('Key inputs_EB_OWN'!P$620:P$639)&lt;0.001),0.001,'Key inputs_EB_OWN'!P631/SUM('Key inputs_EB_OWN'!P$620:P$639)),"")</f>
        <v>9.6783249372959894E-3</v>
      </c>
      <c r="W132" s="173">
        <f>IFERROR(IF(AND('Key inputs_EB_OWN'!Q631/SUM('Key inputs_EB_OWN'!Q$620:Q$639)&gt;0,'Key inputs_EB_OWN'!Q631/SUM('Key inputs_EB_OWN'!Q$620:Q$639)&lt;0.001),0.001,'Key inputs_EB_OWN'!Q631/SUM('Key inputs_EB_OWN'!Q$620:Q$639)),"")</f>
        <v>0</v>
      </c>
      <c r="X132" s="173">
        <f>IFERROR(IF(AND('Key inputs_EB_OWN'!R631/SUM('Key inputs_EB_OWN'!R$620:R$639)&gt;0,'Key inputs_EB_OWN'!R631/SUM('Key inputs_EB_OWN'!R$620:R$639)&lt;0.001),0.001,'Key inputs_EB_OWN'!R631/SUM('Key inputs_EB_OWN'!R$620:R$639)),"")</f>
        <v>0</v>
      </c>
      <c r="Y132" s="173">
        <f>IFERROR(IF(AND('Key inputs_EB_OWN'!S631/SUM('Key inputs_EB_OWN'!S$620:S$639)&gt;0,'Key inputs_EB_OWN'!S631/SUM('Key inputs_EB_OWN'!S$620:S$639)&lt;0.001),0.001,'Key inputs_EB_OWN'!S631/SUM('Key inputs_EB_OWN'!S$620:S$639)),"")</f>
        <v>1E-3</v>
      </c>
      <c r="Z132" s="173">
        <f>IFERROR(IF(AND('Key inputs_EB_OWN'!T631/SUM('Key inputs_EB_OWN'!T$620:T$639)&gt;0,'Key inputs_EB_OWN'!T631/SUM('Key inputs_EB_OWN'!T$620:T$639)&lt;0.001),0.001,'Key inputs_EB_OWN'!T631/SUM('Key inputs_EB_OWN'!T$620:T$639)),"")</f>
        <v>1E-3</v>
      </c>
      <c r="AA132" s="173">
        <f>IFERROR(IF(AND('Key inputs_EB_OWN'!U631/SUM('Key inputs_EB_OWN'!U$620:U$639)&gt;0,'Key inputs_EB_OWN'!U631/SUM('Key inputs_EB_OWN'!U$620:U$639)&lt;0.001),0.001,'Key inputs_EB_OWN'!U631/SUM('Key inputs_EB_OWN'!U$620:U$639)),"")</f>
        <v>1E-3</v>
      </c>
      <c r="AB132" s="173">
        <f>IFERROR(IF(AND('Key inputs_EB_OWN'!V631/SUM('Key inputs_EB_OWN'!V$620:V$639)&gt;0,'Key inputs_EB_OWN'!V631/SUM('Key inputs_EB_OWN'!V$620:V$639)&lt;0.001),0.001,'Key inputs_EB_OWN'!V631/SUM('Key inputs_EB_OWN'!V$620:V$639)),"")</f>
        <v>4.2000556913461835E-2</v>
      </c>
      <c r="AC132" s="173" t="str">
        <f>IFERROR(IF(AND('Key inputs_EB_OWN'!W631/SUM('Key inputs_EB_OWN'!W$620:W$639)&gt;0,'Key inputs_EB_OWN'!W631/SUM('Key inputs_EB_OWN'!W$620:W$639)&lt;0.001),0.001,'Key inputs_EB_OWN'!W631/SUM('Key inputs_EB_OWN'!W$620:W$639)),"")</f>
        <v/>
      </c>
      <c r="AD132" s="173">
        <f>IFERROR(IF(AND('Key inputs_EB_OWN'!X631/SUM('Key inputs_EB_OWN'!X$620:X$639)&gt;0,'Key inputs_EB_OWN'!X631/SUM('Key inputs_EB_OWN'!X$620:X$639)&lt;0.001),0.001,'Key inputs_EB_OWN'!X631/SUM('Key inputs_EB_OWN'!X$620:X$639)),"")</f>
        <v>0</v>
      </c>
      <c r="AE132" s="173">
        <f>IFERROR(IF(AND('Key inputs_EB_OWN'!Y631/SUM('Key inputs_EB_OWN'!Y$620:Y$639)&gt;0,'Key inputs_EB_OWN'!Y631/SUM('Key inputs_EB_OWN'!Y$620:Y$639)&lt;0.001),0.001,'Key inputs_EB_OWN'!Y631/SUM('Key inputs_EB_OWN'!Y$620:Y$639)),"")</f>
        <v>3.4419595615015623E-3</v>
      </c>
      <c r="AF132" s="173">
        <f>IFERROR(IF(AND('Key inputs_EB_OWN'!Z631/SUM('Key inputs_EB_OWN'!Z$620:Z$639)&gt;0,'Key inputs_EB_OWN'!Z631/SUM('Key inputs_EB_OWN'!Z$620:Z$639)&lt;0.001),0.001,'Key inputs_EB_OWN'!Z631/SUM('Key inputs_EB_OWN'!Z$620:Z$639)),"")</f>
        <v>0</v>
      </c>
      <c r="AG132" s="173">
        <f>IFERROR(IF(AND('Key inputs_EB_OWN'!AA631/SUM('Key inputs_EB_OWN'!AA$620:AA$639)&gt;0,'Key inputs_EB_OWN'!AA631/SUM('Key inputs_EB_OWN'!AA$620:AA$639)&lt;0.001),0.001,'Key inputs_EB_OWN'!AA631/SUM('Key inputs_EB_OWN'!AA$620:AA$639)),"")</f>
        <v>0</v>
      </c>
      <c r="AH132" s="173">
        <f>IFERROR(IF(AND('Key inputs_EB_OWN'!AB631/SUM('Key inputs_EB_OWN'!AB$620:AB$639)&gt;0,'Key inputs_EB_OWN'!AB631/SUM('Key inputs_EB_OWN'!AB$620:AB$639)&lt;0.001),0.001,'Key inputs_EB_OWN'!AB631/SUM('Key inputs_EB_OWN'!AB$620:AB$639)),"")</f>
        <v>0</v>
      </c>
      <c r="AI132" s="173" t="str">
        <f>IFERROR(IF(AND('Key inputs_EB_OWN'!AC631/SUM('Key inputs_EB_OWN'!AC$620:AC$639)&gt;0,'Key inputs_EB_OWN'!AC631/SUM('Key inputs_EB_OWN'!AC$620:AC$639)&lt;0.001),0.001,'Key inputs_EB_OWN'!AC631/SUM('Key inputs_EB_OWN'!AC$620:AC$639)),"")</f>
        <v/>
      </c>
      <c r="AJ132" s="173">
        <f>IFERROR(IF(AND('Key inputs_EB_OWN'!AD631/SUM('Key inputs_EB_OWN'!AD$620:AD$639)&gt;0,'Key inputs_EB_OWN'!AD631/SUM('Key inputs_EB_OWN'!AD$620:AD$639)&lt;0.001),0.001,'Key inputs_EB_OWN'!AD631/SUM('Key inputs_EB_OWN'!AD$620:AD$639)),"")</f>
        <v>0</v>
      </c>
      <c r="AK132" s="173">
        <f>IFERROR(IF(AND('Key inputs_EB_OWN'!AE631/SUM('Key inputs_EB_OWN'!AE$620:AE$639)&gt;0,'Key inputs_EB_OWN'!AE631/SUM('Key inputs_EB_OWN'!AE$620:AE$639)&lt;0.001),0.001,'Key inputs_EB_OWN'!AE631/SUM('Key inputs_EB_OWN'!AE$620:AE$639)),"")</f>
        <v>0</v>
      </c>
      <c r="AL132" s="173">
        <f>IFERROR(IF(AND('Key inputs_EB_OWN'!AF631/SUM('Key inputs_EB_OWN'!AF$620:AF$639)&gt;0,'Key inputs_EB_OWN'!AF631/SUM('Key inputs_EB_OWN'!AF$620:AF$639)&lt;0.001),0.001,'Key inputs_EB_OWN'!AF631/SUM('Key inputs_EB_OWN'!AF$620:AF$639)),"")</f>
        <v>0</v>
      </c>
    </row>
    <row r="133" spans="1:47">
      <c r="C133" t="str">
        <f>Commodities!$C$94</f>
        <v>UPSHET</v>
      </c>
      <c r="F133" s="4" t="s">
        <v>359</v>
      </c>
      <c r="G133" s="4" t="s">
        <v>702</v>
      </c>
      <c r="H133" t="s">
        <v>661</v>
      </c>
      <c r="I133">
        <v>2019</v>
      </c>
      <c r="J133" t="s">
        <v>650</v>
      </c>
      <c r="K133" s="173">
        <f>IFERROR(IF(AND('Key inputs_EB_OWN'!E632/SUM('Key inputs_EB_OWN'!E$620:E$639)&gt;0,'Key inputs_EB_OWN'!E632/SUM('Key inputs_EB_OWN'!E$620:E$639)&lt;0.001),0.001,'Key inputs_EB_OWN'!E632/SUM('Key inputs_EB_OWN'!E$620:E$639)),"")</f>
        <v>0</v>
      </c>
      <c r="L133" s="173">
        <f>IFERROR(IF(AND('Key inputs_EB_OWN'!F632/SUM('Key inputs_EB_OWN'!F$620:F$639)&gt;0,'Key inputs_EB_OWN'!F632/SUM('Key inputs_EB_OWN'!F$620:F$639)&lt;0.001),0.001,'Key inputs_EB_OWN'!F632/SUM('Key inputs_EB_OWN'!F$620:F$639)),"")</f>
        <v>0</v>
      </c>
      <c r="M133" s="173">
        <f>IFERROR(IF(AND('Key inputs_EB_OWN'!G632/SUM('Key inputs_EB_OWN'!G$620:G$639)&gt;0,'Key inputs_EB_OWN'!G632/SUM('Key inputs_EB_OWN'!G$620:G$639)&lt;0.001),0.001,'Key inputs_EB_OWN'!G632/SUM('Key inputs_EB_OWN'!G$620:G$639)),"")</f>
        <v>0</v>
      </c>
      <c r="N133" s="173">
        <f>IFERROR(IF(AND('Key inputs_EB_OWN'!H632/SUM('Key inputs_EB_OWN'!H$620:H$639)&gt;0,'Key inputs_EB_OWN'!H632/SUM('Key inputs_EB_OWN'!H$620:H$639)&lt;0.001),0.001,'Key inputs_EB_OWN'!H632/SUM('Key inputs_EB_OWN'!H$620:H$639)),"")</f>
        <v>0</v>
      </c>
      <c r="O133" s="173">
        <f>IFERROR(IF(AND('Key inputs_EB_OWN'!I632/SUM('Key inputs_EB_OWN'!I$620:I$639)&gt;0,'Key inputs_EB_OWN'!I632/SUM('Key inputs_EB_OWN'!I$620:I$639)&lt;0.001),0.001,'Key inputs_EB_OWN'!I632/SUM('Key inputs_EB_OWN'!I$620:I$639)),"")</f>
        <v>0</v>
      </c>
      <c r="P133" s="173">
        <f>IFERROR(IF(AND('Key inputs_EB_OWN'!J632/SUM('Key inputs_EB_OWN'!J$620:J$639)&gt;0,'Key inputs_EB_OWN'!J632/SUM('Key inputs_EB_OWN'!J$620:J$639)&lt;0.001),0.001,'Key inputs_EB_OWN'!J632/SUM('Key inputs_EB_OWN'!J$620:J$639)),"")</f>
        <v>0</v>
      </c>
      <c r="Q133" s="173">
        <f>IFERROR(IF(AND('Key inputs_EB_OWN'!K632/SUM('Key inputs_EB_OWN'!K$620:K$639)&gt;0,'Key inputs_EB_OWN'!K632/SUM('Key inputs_EB_OWN'!K$620:K$639)&lt;0.001),0.001,'Key inputs_EB_OWN'!K632/SUM('Key inputs_EB_OWN'!K$620:K$639)),"")</f>
        <v>0</v>
      </c>
      <c r="R133" s="173" t="str">
        <f>IFERROR(IF(AND('Key inputs_EB_OWN'!L632/SUM('Key inputs_EB_OWN'!L$620:L$639)&gt;0,'Key inputs_EB_OWN'!L632/SUM('Key inputs_EB_OWN'!L$620:L$639)&lt;0.001),0.001,'Key inputs_EB_OWN'!L632/SUM('Key inputs_EB_OWN'!L$620:L$639)),"")</f>
        <v/>
      </c>
      <c r="S133" s="173">
        <f>IFERROR(IF(AND('Key inputs_EB_OWN'!M632/SUM('Key inputs_EB_OWN'!M$620:M$639)&gt;0,'Key inputs_EB_OWN'!M632/SUM('Key inputs_EB_OWN'!M$620:M$639)&lt;0.001),0.001,'Key inputs_EB_OWN'!M632/SUM('Key inputs_EB_OWN'!M$620:M$639)),"")</f>
        <v>0</v>
      </c>
      <c r="T133" s="173">
        <f>IFERROR(IF(AND('Key inputs_EB_OWN'!N632/SUM('Key inputs_EB_OWN'!N$620:N$639)&gt;0,'Key inputs_EB_OWN'!N632/SUM('Key inputs_EB_OWN'!N$620:N$639)&lt;0.001),0.001,'Key inputs_EB_OWN'!N632/SUM('Key inputs_EB_OWN'!N$620:N$639)),"")</f>
        <v>0</v>
      </c>
      <c r="U133" s="173">
        <f>IFERROR(IF(AND('Key inputs_EB_OWN'!O632/SUM('Key inputs_EB_OWN'!O$620:O$639)&gt;0,'Key inputs_EB_OWN'!O632/SUM('Key inputs_EB_OWN'!O$620:O$639)&lt;0.001),0.001,'Key inputs_EB_OWN'!O632/SUM('Key inputs_EB_OWN'!O$620:O$639)),"")</f>
        <v>0</v>
      </c>
      <c r="V133" s="173">
        <f>IFERROR(IF(AND('Key inputs_EB_OWN'!P632/SUM('Key inputs_EB_OWN'!P$620:P$639)&gt;0,'Key inputs_EB_OWN'!P632/SUM('Key inputs_EB_OWN'!P$620:P$639)&lt;0.001),0.001,'Key inputs_EB_OWN'!P632/SUM('Key inputs_EB_OWN'!P$620:P$639)),"")</f>
        <v>0.12979376112422997</v>
      </c>
      <c r="W133" s="173">
        <f>IFERROR(IF(AND('Key inputs_EB_OWN'!Q632/SUM('Key inputs_EB_OWN'!Q$620:Q$639)&gt;0,'Key inputs_EB_OWN'!Q632/SUM('Key inputs_EB_OWN'!Q$620:Q$639)&lt;0.001),0.001,'Key inputs_EB_OWN'!Q632/SUM('Key inputs_EB_OWN'!Q$620:Q$639)),"")</f>
        <v>0.11038285230085615</v>
      </c>
      <c r="X133" s="173">
        <f>IFERROR(IF(AND('Key inputs_EB_OWN'!R632/SUM('Key inputs_EB_OWN'!R$620:R$639)&gt;0,'Key inputs_EB_OWN'!R632/SUM('Key inputs_EB_OWN'!R$620:R$639)&lt;0.001),0.001,'Key inputs_EB_OWN'!R632/SUM('Key inputs_EB_OWN'!R$620:R$639)),"")</f>
        <v>0</v>
      </c>
      <c r="Y133" s="173">
        <f>IFERROR(IF(AND('Key inputs_EB_OWN'!S632/SUM('Key inputs_EB_OWN'!S$620:S$639)&gt;0,'Key inputs_EB_OWN'!S632/SUM('Key inputs_EB_OWN'!S$620:S$639)&lt;0.001),0.001,'Key inputs_EB_OWN'!S632/SUM('Key inputs_EB_OWN'!S$620:S$639)),"")</f>
        <v>0.29792696281968972</v>
      </c>
      <c r="Z133" s="173">
        <f>IFERROR(IF(AND('Key inputs_EB_OWN'!T632/SUM('Key inputs_EB_OWN'!T$620:T$639)&gt;0,'Key inputs_EB_OWN'!T632/SUM('Key inputs_EB_OWN'!T$620:T$639)&lt;0.001),0.001,'Key inputs_EB_OWN'!T632/SUM('Key inputs_EB_OWN'!T$620:T$639)),"")</f>
        <v>0.15544019632080872</v>
      </c>
      <c r="AA133" s="173">
        <f>IFERROR(IF(AND('Key inputs_EB_OWN'!U632/SUM('Key inputs_EB_OWN'!U$620:U$639)&gt;0,'Key inputs_EB_OWN'!U632/SUM('Key inputs_EB_OWN'!U$620:U$639)&lt;0.001),0.001,'Key inputs_EB_OWN'!U632/SUM('Key inputs_EB_OWN'!U$620:U$639)),"")</f>
        <v>8.4499536484929361E-2</v>
      </c>
      <c r="AB133" s="173">
        <f>IFERROR(IF(AND('Key inputs_EB_OWN'!V632/SUM('Key inputs_EB_OWN'!V$620:V$639)&gt;0,'Key inputs_EB_OWN'!V632/SUM('Key inputs_EB_OWN'!V$620:V$639)&lt;0.001),0.001,'Key inputs_EB_OWN'!V632/SUM('Key inputs_EB_OWN'!V$620:V$639)),"")</f>
        <v>0</v>
      </c>
      <c r="AC133" s="173" t="str">
        <f>IFERROR(IF(AND('Key inputs_EB_OWN'!W632/SUM('Key inputs_EB_OWN'!W$620:W$639)&gt;0,'Key inputs_EB_OWN'!W632/SUM('Key inputs_EB_OWN'!W$620:W$639)&lt;0.001),0.001,'Key inputs_EB_OWN'!W632/SUM('Key inputs_EB_OWN'!W$620:W$639)),"")</f>
        <v/>
      </c>
      <c r="AD133" s="173">
        <f>IFERROR(IF(AND('Key inputs_EB_OWN'!X632/SUM('Key inputs_EB_OWN'!X$620:X$639)&gt;0,'Key inputs_EB_OWN'!X632/SUM('Key inputs_EB_OWN'!X$620:X$639)&lt;0.001),0.001,'Key inputs_EB_OWN'!X632/SUM('Key inputs_EB_OWN'!X$620:X$639)),"")</f>
        <v>0</v>
      </c>
      <c r="AE133" s="173">
        <f>IFERROR(IF(AND('Key inputs_EB_OWN'!Y632/SUM('Key inputs_EB_OWN'!Y$620:Y$639)&gt;0,'Key inputs_EB_OWN'!Y632/SUM('Key inputs_EB_OWN'!Y$620:Y$639)&lt;0.001),0.001,'Key inputs_EB_OWN'!Y632/SUM('Key inputs_EB_OWN'!Y$620:Y$639)),"")</f>
        <v>0</v>
      </c>
      <c r="AF133" s="173">
        <f>IFERROR(IF(AND('Key inputs_EB_OWN'!Z632/SUM('Key inputs_EB_OWN'!Z$620:Z$639)&gt;0,'Key inputs_EB_OWN'!Z632/SUM('Key inputs_EB_OWN'!Z$620:Z$639)&lt;0.001),0.001,'Key inputs_EB_OWN'!Z632/SUM('Key inputs_EB_OWN'!Z$620:Z$639)),"")</f>
        <v>0</v>
      </c>
      <c r="AG133" s="173">
        <f>IFERROR(IF(AND('Key inputs_EB_OWN'!AA632/SUM('Key inputs_EB_OWN'!AA$620:AA$639)&gt;0,'Key inputs_EB_OWN'!AA632/SUM('Key inputs_EB_OWN'!AA$620:AA$639)&lt;0.001),0.001,'Key inputs_EB_OWN'!AA632/SUM('Key inputs_EB_OWN'!AA$620:AA$639)),"")</f>
        <v>0</v>
      </c>
      <c r="AH133" s="173">
        <f>IFERROR(IF(AND('Key inputs_EB_OWN'!AB632/SUM('Key inputs_EB_OWN'!AB$620:AB$639)&gt;0,'Key inputs_EB_OWN'!AB632/SUM('Key inputs_EB_OWN'!AB$620:AB$639)&lt;0.001),0.001,'Key inputs_EB_OWN'!AB632/SUM('Key inputs_EB_OWN'!AB$620:AB$639)),"")</f>
        <v>0</v>
      </c>
      <c r="AI133" s="173" t="str">
        <f>IFERROR(IF(AND('Key inputs_EB_OWN'!AC632/SUM('Key inputs_EB_OWN'!AC$620:AC$639)&gt;0,'Key inputs_EB_OWN'!AC632/SUM('Key inputs_EB_OWN'!AC$620:AC$639)&lt;0.001),0.001,'Key inputs_EB_OWN'!AC632/SUM('Key inputs_EB_OWN'!AC$620:AC$639)),"")</f>
        <v/>
      </c>
      <c r="AJ133" s="173">
        <f>IFERROR(IF(AND('Key inputs_EB_OWN'!AD632/SUM('Key inputs_EB_OWN'!AD$620:AD$639)&gt;0,'Key inputs_EB_OWN'!AD632/SUM('Key inputs_EB_OWN'!AD$620:AD$639)&lt;0.001),0.001,'Key inputs_EB_OWN'!AD632/SUM('Key inputs_EB_OWN'!AD$620:AD$639)),"")</f>
        <v>2.8713582561834382E-2</v>
      </c>
      <c r="AK133" s="173">
        <f>IFERROR(IF(AND('Key inputs_EB_OWN'!AE632/SUM('Key inputs_EB_OWN'!AE$620:AE$639)&gt;0,'Key inputs_EB_OWN'!AE632/SUM('Key inputs_EB_OWN'!AE$620:AE$639)&lt;0.001),0.001,'Key inputs_EB_OWN'!AE632/SUM('Key inputs_EB_OWN'!AE$620:AE$639)),"")</f>
        <v>0</v>
      </c>
      <c r="AL133" s="173">
        <f>IFERROR(IF(AND('Key inputs_EB_OWN'!AF632/SUM('Key inputs_EB_OWN'!AF$620:AF$639)&gt;0,'Key inputs_EB_OWN'!AF632/SUM('Key inputs_EB_OWN'!AF$620:AF$639)&lt;0.001),0.001,'Key inputs_EB_OWN'!AF632/SUM('Key inputs_EB_OWN'!AF$620:AF$639)),"")</f>
        <v>0</v>
      </c>
    </row>
    <row r="134" spans="1:47">
      <c r="C134" t="str">
        <f>Commodities!$C$95</f>
        <v>UPSHFO</v>
      </c>
      <c r="F134" s="4" t="s">
        <v>359</v>
      </c>
      <c r="G134" s="4" t="s">
        <v>702</v>
      </c>
      <c r="H134" t="s">
        <v>661</v>
      </c>
      <c r="I134">
        <v>2019</v>
      </c>
      <c r="J134" t="s">
        <v>650</v>
      </c>
      <c r="K134" s="173">
        <f>IFERROR(IF(AND('Key inputs_EB_OWN'!E633/SUM('Key inputs_EB_OWN'!E$620:E$639)&gt;0,'Key inputs_EB_OWN'!E633/SUM('Key inputs_EB_OWN'!E$620:E$639)&lt;0.001),0.001,'Key inputs_EB_OWN'!E633/SUM('Key inputs_EB_OWN'!E$620:E$639)),"")</f>
        <v>0</v>
      </c>
      <c r="L134" s="173">
        <f>IFERROR(IF(AND('Key inputs_EB_OWN'!F633/SUM('Key inputs_EB_OWN'!F$620:F$639)&gt;0,'Key inputs_EB_OWN'!F633/SUM('Key inputs_EB_OWN'!F$620:F$639)&lt;0.001),0.001,'Key inputs_EB_OWN'!F633/SUM('Key inputs_EB_OWN'!F$620:F$639)),"")</f>
        <v>0</v>
      </c>
      <c r="M134" s="173">
        <f>IFERROR(IF(AND('Key inputs_EB_OWN'!G633/SUM('Key inputs_EB_OWN'!G$620:G$639)&gt;0,'Key inputs_EB_OWN'!G633/SUM('Key inputs_EB_OWN'!G$620:G$639)&lt;0.001),0.001,'Key inputs_EB_OWN'!G633/SUM('Key inputs_EB_OWN'!G$620:G$639)),"")</f>
        <v>0.15147597484177899</v>
      </c>
      <c r="N134" s="173">
        <f>IFERROR(IF(AND('Key inputs_EB_OWN'!H633/SUM('Key inputs_EB_OWN'!H$620:H$639)&gt;0,'Key inputs_EB_OWN'!H633/SUM('Key inputs_EB_OWN'!H$620:H$639)&lt;0.001),0.001,'Key inputs_EB_OWN'!H633/SUM('Key inputs_EB_OWN'!H$620:H$639)),"")</f>
        <v>0</v>
      </c>
      <c r="O134" s="173">
        <f>IFERROR(IF(AND('Key inputs_EB_OWN'!I633/SUM('Key inputs_EB_OWN'!I$620:I$639)&gt;0,'Key inputs_EB_OWN'!I633/SUM('Key inputs_EB_OWN'!I$620:I$639)&lt;0.001),0.001,'Key inputs_EB_OWN'!I633/SUM('Key inputs_EB_OWN'!I$620:I$639)),"")</f>
        <v>0.13157900584073273</v>
      </c>
      <c r="P134" s="173">
        <f>IFERROR(IF(AND('Key inputs_EB_OWN'!J633/SUM('Key inputs_EB_OWN'!J$620:J$639)&gt;0,'Key inputs_EB_OWN'!J633/SUM('Key inputs_EB_OWN'!J$620:J$639)&lt;0.001),0.001,'Key inputs_EB_OWN'!J633/SUM('Key inputs_EB_OWN'!J$620:J$639)),"")</f>
        <v>0</v>
      </c>
      <c r="Q134" s="173">
        <f>IFERROR(IF(AND('Key inputs_EB_OWN'!K633/SUM('Key inputs_EB_OWN'!K$620:K$639)&gt;0,'Key inputs_EB_OWN'!K633/SUM('Key inputs_EB_OWN'!K$620:K$639)&lt;0.001),0.001,'Key inputs_EB_OWN'!K633/SUM('Key inputs_EB_OWN'!K$620:K$639)),"")</f>
        <v>0</v>
      </c>
      <c r="R134" s="173" t="str">
        <f>IFERROR(IF(AND('Key inputs_EB_OWN'!L633/SUM('Key inputs_EB_OWN'!L$620:L$639)&gt;0,'Key inputs_EB_OWN'!L633/SUM('Key inputs_EB_OWN'!L$620:L$639)&lt;0.001),0.001,'Key inputs_EB_OWN'!L633/SUM('Key inputs_EB_OWN'!L$620:L$639)),"")</f>
        <v/>
      </c>
      <c r="S134" s="173">
        <f>IFERROR(IF(AND('Key inputs_EB_OWN'!M633/SUM('Key inputs_EB_OWN'!M$620:M$639)&gt;0,'Key inputs_EB_OWN'!M633/SUM('Key inputs_EB_OWN'!M$620:M$639)&lt;0.001),0.001,'Key inputs_EB_OWN'!M633/SUM('Key inputs_EB_OWN'!M$620:M$639)),"")</f>
        <v>0</v>
      </c>
      <c r="T134" s="173">
        <f>IFERROR(IF(AND('Key inputs_EB_OWN'!N633/SUM('Key inputs_EB_OWN'!N$620:N$639)&gt;0,'Key inputs_EB_OWN'!N633/SUM('Key inputs_EB_OWN'!N$620:N$639)&lt;0.001),0.001,'Key inputs_EB_OWN'!N633/SUM('Key inputs_EB_OWN'!N$620:N$639)),"")</f>
        <v>0</v>
      </c>
      <c r="U134" s="173">
        <f>IFERROR(IF(AND('Key inputs_EB_OWN'!O633/SUM('Key inputs_EB_OWN'!O$620:O$639)&gt;0,'Key inputs_EB_OWN'!O633/SUM('Key inputs_EB_OWN'!O$620:O$639)&lt;0.001),0.001,'Key inputs_EB_OWN'!O633/SUM('Key inputs_EB_OWN'!O$620:O$639)),"")</f>
        <v>1</v>
      </c>
      <c r="V134" s="173">
        <f>IFERROR(IF(AND('Key inputs_EB_OWN'!P633/SUM('Key inputs_EB_OWN'!P$620:P$639)&gt;0,'Key inputs_EB_OWN'!P633/SUM('Key inputs_EB_OWN'!P$620:P$639)&lt;0.001),0.001,'Key inputs_EB_OWN'!P633/SUM('Key inputs_EB_OWN'!P$620:P$639)),"")</f>
        <v>1E-3</v>
      </c>
      <c r="W134" s="173">
        <f>IFERROR(IF(AND('Key inputs_EB_OWN'!Q633/SUM('Key inputs_EB_OWN'!Q$620:Q$639)&gt;0,'Key inputs_EB_OWN'!Q633/SUM('Key inputs_EB_OWN'!Q$620:Q$639)&lt;0.001),0.001,'Key inputs_EB_OWN'!Q633/SUM('Key inputs_EB_OWN'!Q$620:Q$639)),"")</f>
        <v>3.4701851761109341E-2</v>
      </c>
      <c r="X134" s="173">
        <f>IFERROR(IF(AND('Key inputs_EB_OWN'!R633/SUM('Key inputs_EB_OWN'!R$620:R$639)&gt;0,'Key inputs_EB_OWN'!R633/SUM('Key inputs_EB_OWN'!R$620:R$639)&lt;0.001),0.001,'Key inputs_EB_OWN'!R633/SUM('Key inputs_EB_OWN'!R$620:R$639)),"")</f>
        <v>0</v>
      </c>
      <c r="Y134" s="173">
        <f>IFERROR(IF(AND('Key inputs_EB_OWN'!S633/SUM('Key inputs_EB_OWN'!S$620:S$639)&gt;0,'Key inputs_EB_OWN'!S633/SUM('Key inputs_EB_OWN'!S$620:S$639)&lt;0.001),0.001,'Key inputs_EB_OWN'!S633/SUM('Key inputs_EB_OWN'!S$620:S$639)),"")</f>
        <v>0</v>
      </c>
      <c r="Z134" s="173">
        <f>IFERROR(IF(AND('Key inputs_EB_OWN'!T633/SUM('Key inputs_EB_OWN'!T$620:T$639)&gt;0,'Key inputs_EB_OWN'!T633/SUM('Key inputs_EB_OWN'!T$620:T$639)&lt;0.001),0.001,'Key inputs_EB_OWN'!T633/SUM('Key inputs_EB_OWN'!T$620:T$639)),"")</f>
        <v>0</v>
      </c>
      <c r="AA134" s="173">
        <f>IFERROR(IF(AND('Key inputs_EB_OWN'!U633/SUM('Key inputs_EB_OWN'!U$620:U$639)&gt;0,'Key inputs_EB_OWN'!U633/SUM('Key inputs_EB_OWN'!U$620:U$639)&lt;0.001),0.001,'Key inputs_EB_OWN'!U633/SUM('Key inputs_EB_OWN'!U$620:U$639)),"")</f>
        <v>1.168058355017576E-2</v>
      </c>
      <c r="AB134" s="173">
        <f>IFERROR(IF(AND('Key inputs_EB_OWN'!V633/SUM('Key inputs_EB_OWN'!V$620:V$639)&gt;0,'Key inputs_EB_OWN'!V633/SUM('Key inputs_EB_OWN'!V$620:V$639)&lt;0.001),0.001,'Key inputs_EB_OWN'!V633/SUM('Key inputs_EB_OWN'!V$620:V$639)),"")</f>
        <v>0</v>
      </c>
      <c r="AC134" s="173" t="str">
        <f>IFERROR(IF(AND('Key inputs_EB_OWN'!W633/SUM('Key inputs_EB_OWN'!W$620:W$639)&gt;0,'Key inputs_EB_OWN'!W633/SUM('Key inputs_EB_OWN'!W$620:W$639)&lt;0.001),0.001,'Key inputs_EB_OWN'!W633/SUM('Key inputs_EB_OWN'!W$620:W$639)),"")</f>
        <v/>
      </c>
      <c r="AD134" s="173">
        <f>IFERROR(IF(AND('Key inputs_EB_OWN'!X633/SUM('Key inputs_EB_OWN'!X$620:X$639)&gt;0,'Key inputs_EB_OWN'!X633/SUM('Key inputs_EB_OWN'!X$620:X$639)&lt;0.001),0.001,'Key inputs_EB_OWN'!X633/SUM('Key inputs_EB_OWN'!X$620:X$639)),"")</f>
        <v>0</v>
      </c>
      <c r="AE134" s="173">
        <f>IFERROR(IF(AND('Key inputs_EB_OWN'!Y633/SUM('Key inputs_EB_OWN'!Y$620:Y$639)&gt;0,'Key inputs_EB_OWN'!Y633/SUM('Key inputs_EB_OWN'!Y$620:Y$639)&lt;0.001),0.001,'Key inputs_EB_OWN'!Y633/SUM('Key inputs_EB_OWN'!Y$620:Y$639)),"")</f>
        <v>1.8990247563698284E-2</v>
      </c>
      <c r="AF134" s="173">
        <f>IFERROR(IF(AND('Key inputs_EB_OWN'!Z633/SUM('Key inputs_EB_OWN'!Z$620:Z$639)&gt;0,'Key inputs_EB_OWN'!Z633/SUM('Key inputs_EB_OWN'!Z$620:Z$639)&lt;0.001),0.001,'Key inputs_EB_OWN'!Z633/SUM('Key inputs_EB_OWN'!Z$620:Z$639)),"")</f>
        <v>0</v>
      </c>
      <c r="AG134" s="173">
        <f>IFERROR(IF(AND('Key inputs_EB_OWN'!AA633/SUM('Key inputs_EB_OWN'!AA$620:AA$639)&gt;0,'Key inputs_EB_OWN'!AA633/SUM('Key inputs_EB_OWN'!AA$620:AA$639)&lt;0.001),0.001,'Key inputs_EB_OWN'!AA633/SUM('Key inputs_EB_OWN'!AA$620:AA$639)),"")</f>
        <v>0</v>
      </c>
      <c r="AH134" s="173">
        <f>IFERROR(IF(AND('Key inputs_EB_OWN'!AB633/SUM('Key inputs_EB_OWN'!AB$620:AB$639)&gt;0,'Key inputs_EB_OWN'!AB633/SUM('Key inputs_EB_OWN'!AB$620:AB$639)&lt;0.001),0.001,'Key inputs_EB_OWN'!AB633/SUM('Key inputs_EB_OWN'!AB$620:AB$639)),"")</f>
        <v>0</v>
      </c>
      <c r="AI134" s="173" t="str">
        <f>IFERROR(IF(AND('Key inputs_EB_OWN'!AC633/SUM('Key inputs_EB_OWN'!AC$620:AC$639)&gt;0,'Key inputs_EB_OWN'!AC633/SUM('Key inputs_EB_OWN'!AC$620:AC$639)&lt;0.001),0.001,'Key inputs_EB_OWN'!AC633/SUM('Key inputs_EB_OWN'!AC$620:AC$639)),"")</f>
        <v/>
      </c>
      <c r="AJ134" s="173">
        <f>IFERROR(IF(AND('Key inputs_EB_OWN'!AD633/SUM('Key inputs_EB_OWN'!AD$620:AD$639)&gt;0,'Key inputs_EB_OWN'!AD633/SUM('Key inputs_EB_OWN'!AD$620:AD$639)&lt;0.001),0.001,'Key inputs_EB_OWN'!AD633/SUM('Key inputs_EB_OWN'!AD$620:AD$639)),"")</f>
        <v>0.1269923386810945</v>
      </c>
      <c r="AK134" s="173">
        <f>IFERROR(IF(AND('Key inputs_EB_OWN'!AE633/SUM('Key inputs_EB_OWN'!AE$620:AE$639)&gt;0,'Key inputs_EB_OWN'!AE633/SUM('Key inputs_EB_OWN'!AE$620:AE$639)&lt;0.001),0.001,'Key inputs_EB_OWN'!AE633/SUM('Key inputs_EB_OWN'!AE$620:AE$639)),"")</f>
        <v>0</v>
      </c>
      <c r="AL134" s="173">
        <f>IFERROR(IF(AND('Key inputs_EB_OWN'!AF633/SUM('Key inputs_EB_OWN'!AF$620:AF$639)&gt;0,'Key inputs_EB_OWN'!AF633/SUM('Key inputs_EB_OWN'!AF$620:AF$639)&lt;0.001),0.001,'Key inputs_EB_OWN'!AF633/SUM('Key inputs_EB_OWN'!AF$620:AF$639)),"")</f>
        <v>1E-3</v>
      </c>
    </row>
    <row r="135" spans="1:47" s="281" customFormat="1">
      <c r="A135"/>
      <c r="B135"/>
      <c r="C135" t="str">
        <f>Commodities!$C$96</f>
        <v>UPSKER</v>
      </c>
      <c r="D135"/>
      <c r="E135"/>
      <c r="F135" s="4" t="s">
        <v>359</v>
      </c>
      <c r="G135" s="4" t="s">
        <v>702</v>
      </c>
      <c r="H135" t="s">
        <v>661</v>
      </c>
      <c r="I135">
        <v>2019</v>
      </c>
      <c r="J135" t="s">
        <v>650</v>
      </c>
      <c r="K135" s="173">
        <f>IFERROR(IF(AND('Key inputs_EB_OWN'!E634/SUM('Key inputs_EB_OWN'!E$620:E$639)&gt;0,'Key inputs_EB_OWN'!E634/SUM('Key inputs_EB_OWN'!E$620:E$639)&lt;0.001),0.001,'Key inputs_EB_OWN'!E634/SUM('Key inputs_EB_OWN'!E$620:E$639)),"")</f>
        <v>0</v>
      </c>
      <c r="L135" s="173">
        <f>IFERROR(IF(AND('Key inputs_EB_OWN'!F634/SUM('Key inputs_EB_OWN'!F$620:F$639)&gt;0,'Key inputs_EB_OWN'!F634/SUM('Key inputs_EB_OWN'!F$620:F$639)&lt;0.001),0.001,'Key inputs_EB_OWN'!F634/SUM('Key inputs_EB_OWN'!F$620:F$639)),"")</f>
        <v>0</v>
      </c>
      <c r="M135" s="173">
        <f>IFERROR(IF(AND('Key inputs_EB_OWN'!G634/SUM('Key inputs_EB_OWN'!G$620:G$639)&gt;0,'Key inputs_EB_OWN'!G634/SUM('Key inputs_EB_OWN'!G$620:G$639)&lt;0.001),0.001,'Key inputs_EB_OWN'!G634/SUM('Key inputs_EB_OWN'!G$620:G$639)),"")</f>
        <v>0</v>
      </c>
      <c r="N135" s="173">
        <f>IFERROR(IF(AND('Key inputs_EB_OWN'!H634/SUM('Key inputs_EB_OWN'!H$620:H$639)&gt;0,'Key inputs_EB_OWN'!H634/SUM('Key inputs_EB_OWN'!H$620:H$639)&lt;0.001),0.001,'Key inputs_EB_OWN'!H634/SUM('Key inputs_EB_OWN'!H$620:H$639)),"")</f>
        <v>0</v>
      </c>
      <c r="O135" s="173">
        <f>IFERROR(IF(AND('Key inputs_EB_OWN'!I634/SUM('Key inputs_EB_OWN'!I$620:I$639)&gt;0,'Key inputs_EB_OWN'!I634/SUM('Key inputs_EB_OWN'!I$620:I$639)&lt;0.001),0.001,'Key inputs_EB_OWN'!I634/SUM('Key inputs_EB_OWN'!I$620:I$639)),"")</f>
        <v>1.7460945277125772E-2</v>
      </c>
      <c r="P135" s="173">
        <f>IFERROR(IF(AND('Key inputs_EB_OWN'!J634/SUM('Key inputs_EB_OWN'!J$620:J$639)&gt;0,'Key inputs_EB_OWN'!J634/SUM('Key inputs_EB_OWN'!J$620:J$639)&lt;0.001),0.001,'Key inputs_EB_OWN'!J634/SUM('Key inputs_EB_OWN'!J$620:J$639)),"")</f>
        <v>0</v>
      </c>
      <c r="Q135" s="173">
        <f>IFERROR(IF(AND('Key inputs_EB_OWN'!K634/SUM('Key inputs_EB_OWN'!K$620:K$639)&gt;0,'Key inputs_EB_OWN'!K634/SUM('Key inputs_EB_OWN'!K$620:K$639)&lt;0.001),0.001,'Key inputs_EB_OWN'!K634/SUM('Key inputs_EB_OWN'!K$620:K$639)),"")</f>
        <v>0</v>
      </c>
      <c r="R135" s="173" t="str">
        <f>IFERROR(IF(AND('Key inputs_EB_OWN'!L634/SUM('Key inputs_EB_OWN'!L$620:L$639)&gt;0,'Key inputs_EB_OWN'!L634/SUM('Key inputs_EB_OWN'!L$620:L$639)&lt;0.001),0.001,'Key inputs_EB_OWN'!L634/SUM('Key inputs_EB_OWN'!L$620:L$639)),"")</f>
        <v/>
      </c>
      <c r="S135" s="173">
        <f>IFERROR(IF(AND('Key inputs_EB_OWN'!M634/SUM('Key inputs_EB_OWN'!M$620:M$639)&gt;0,'Key inputs_EB_OWN'!M634/SUM('Key inputs_EB_OWN'!M$620:M$639)&lt;0.001),0.001,'Key inputs_EB_OWN'!M634/SUM('Key inputs_EB_OWN'!M$620:M$639)),"")</f>
        <v>0</v>
      </c>
      <c r="T135" s="173">
        <f>IFERROR(IF(AND('Key inputs_EB_OWN'!N634/SUM('Key inputs_EB_OWN'!N$620:N$639)&gt;0,'Key inputs_EB_OWN'!N634/SUM('Key inputs_EB_OWN'!N$620:N$639)&lt;0.001),0.001,'Key inputs_EB_OWN'!N634/SUM('Key inputs_EB_OWN'!N$620:N$639)),"")</f>
        <v>0</v>
      </c>
      <c r="U135" s="173">
        <f>IFERROR(IF(AND('Key inputs_EB_OWN'!O634/SUM('Key inputs_EB_OWN'!O$620:O$639)&gt;0,'Key inputs_EB_OWN'!O634/SUM('Key inputs_EB_OWN'!O$620:O$639)&lt;0.001),0.001,'Key inputs_EB_OWN'!O634/SUM('Key inputs_EB_OWN'!O$620:O$639)),"")</f>
        <v>0</v>
      </c>
      <c r="V135" s="173">
        <f>IFERROR(IF(AND('Key inputs_EB_OWN'!P634/SUM('Key inputs_EB_OWN'!P$620:P$639)&gt;0,'Key inputs_EB_OWN'!P634/SUM('Key inputs_EB_OWN'!P$620:P$639)&lt;0.001),0.001,'Key inputs_EB_OWN'!P634/SUM('Key inputs_EB_OWN'!P$620:P$639)),"")</f>
        <v>0</v>
      </c>
      <c r="W135" s="173">
        <f>IFERROR(IF(AND('Key inputs_EB_OWN'!Q634/SUM('Key inputs_EB_OWN'!Q$620:Q$639)&gt;0,'Key inputs_EB_OWN'!Q634/SUM('Key inputs_EB_OWN'!Q$620:Q$639)&lt;0.001),0.001,'Key inputs_EB_OWN'!Q634/SUM('Key inputs_EB_OWN'!Q$620:Q$639)),"")</f>
        <v>0</v>
      </c>
      <c r="X135" s="173">
        <f>IFERROR(IF(AND('Key inputs_EB_OWN'!R634/SUM('Key inputs_EB_OWN'!R$620:R$639)&gt;0,'Key inputs_EB_OWN'!R634/SUM('Key inputs_EB_OWN'!R$620:R$639)&lt;0.001),0.001,'Key inputs_EB_OWN'!R634/SUM('Key inputs_EB_OWN'!R$620:R$639)),"")</f>
        <v>0</v>
      </c>
      <c r="Y135" s="173">
        <f>IFERROR(IF(AND('Key inputs_EB_OWN'!S634/SUM('Key inputs_EB_OWN'!S$620:S$639)&gt;0,'Key inputs_EB_OWN'!S634/SUM('Key inputs_EB_OWN'!S$620:S$639)&lt;0.001),0.001,'Key inputs_EB_OWN'!S634/SUM('Key inputs_EB_OWN'!S$620:S$639)),"")</f>
        <v>1E-3</v>
      </c>
      <c r="Z135" s="173">
        <f>IFERROR(IF(AND('Key inputs_EB_OWN'!T634/SUM('Key inputs_EB_OWN'!T$620:T$639)&gt;0,'Key inputs_EB_OWN'!T634/SUM('Key inputs_EB_OWN'!T$620:T$639)&lt;0.001),0.001,'Key inputs_EB_OWN'!T634/SUM('Key inputs_EB_OWN'!T$620:T$639)),"")</f>
        <v>0</v>
      </c>
      <c r="AA135" s="173">
        <f>IFERROR(IF(AND('Key inputs_EB_OWN'!U634/SUM('Key inputs_EB_OWN'!U$620:U$639)&gt;0,'Key inputs_EB_OWN'!U634/SUM('Key inputs_EB_OWN'!U$620:U$639)&lt;0.001),0.001,'Key inputs_EB_OWN'!U634/SUM('Key inputs_EB_OWN'!U$620:U$639)),"")</f>
        <v>0</v>
      </c>
      <c r="AB135" s="173">
        <f>IFERROR(IF(AND('Key inputs_EB_OWN'!V634/SUM('Key inputs_EB_OWN'!V$620:V$639)&gt;0,'Key inputs_EB_OWN'!V634/SUM('Key inputs_EB_OWN'!V$620:V$639)&lt;0.001),0.001,'Key inputs_EB_OWN'!V634/SUM('Key inputs_EB_OWN'!V$620:V$639)),"")</f>
        <v>3.9912131431576996E-3</v>
      </c>
      <c r="AC135" s="173" t="str">
        <f>IFERROR(IF(AND('Key inputs_EB_OWN'!W634/SUM('Key inputs_EB_OWN'!W$620:W$639)&gt;0,'Key inputs_EB_OWN'!W634/SUM('Key inputs_EB_OWN'!W$620:W$639)&lt;0.001),0.001,'Key inputs_EB_OWN'!W634/SUM('Key inputs_EB_OWN'!W$620:W$639)),"")</f>
        <v/>
      </c>
      <c r="AD135" s="173">
        <f>IFERROR(IF(AND('Key inputs_EB_OWN'!X634/SUM('Key inputs_EB_OWN'!X$620:X$639)&gt;0,'Key inputs_EB_OWN'!X634/SUM('Key inputs_EB_OWN'!X$620:X$639)&lt;0.001),0.001,'Key inputs_EB_OWN'!X634/SUM('Key inputs_EB_OWN'!X$620:X$639)),"")</f>
        <v>0</v>
      </c>
      <c r="AE135" s="173">
        <f>IFERROR(IF(AND('Key inputs_EB_OWN'!Y634/SUM('Key inputs_EB_OWN'!Y$620:Y$639)&gt;0,'Key inputs_EB_OWN'!Y634/SUM('Key inputs_EB_OWN'!Y$620:Y$639)&lt;0.001),0.001,'Key inputs_EB_OWN'!Y634/SUM('Key inputs_EB_OWN'!Y$620:Y$639)),"")</f>
        <v>1E-3</v>
      </c>
      <c r="AF135" s="173">
        <f>IFERROR(IF(AND('Key inputs_EB_OWN'!Z634/SUM('Key inputs_EB_OWN'!Z$620:Z$639)&gt;0,'Key inputs_EB_OWN'!Z634/SUM('Key inputs_EB_OWN'!Z$620:Z$639)&lt;0.001),0.001,'Key inputs_EB_OWN'!Z634/SUM('Key inputs_EB_OWN'!Z$620:Z$639)),"")</f>
        <v>0</v>
      </c>
      <c r="AG135" s="173">
        <f>IFERROR(IF(AND('Key inputs_EB_OWN'!AA634/SUM('Key inputs_EB_OWN'!AA$620:AA$639)&gt;0,'Key inputs_EB_OWN'!AA634/SUM('Key inputs_EB_OWN'!AA$620:AA$639)&lt;0.001),0.001,'Key inputs_EB_OWN'!AA634/SUM('Key inputs_EB_OWN'!AA$620:AA$639)),"")</f>
        <v>0</v>
      </c>
      <c r="AH135" s="173">
        <f>IFERROR(IF(AND('Key inputs_EB_OWN'!AB634/SUM('Key inputs_EB_OWN'!AB$620:AB$639)&gt;0,'Key inputs_EB_OWN'!AB634/SUM('Key inputs_EB_OWN'!AB$620:AB$639)&lt;0.001),0.001,'Key inputs_EB_OWN'!AB634/SUM('Key inputs_EB_OWN'!AB$620:AB$639)),"")</f>
        <v>0</v>
      </c>
      <c r="AI135" s="173" t="str">
        <f>IFERROR(IF(AND('Key inputs_EB_OWN'!AC634/SUM('Key inputs_EB_OWN'!AC$620:AC$639)&gt;0,'Key inputs_EB_OWN'!AC634/SUM('Key inputs_EB_OWN'!AC$620:AC$639)&lt;0.001),0.001,'Key inputs_EB_OWN'!AC634/SUM('Key inputs_EB_OWN'!AC$620:AC$639)),"")</f>
        <v/>
      </c>
      <c r="AJ135" s="173">
        <f>IFERROR(IF(AND('Key inputs_EB_OWN'!AD634/SUM('Key inputs_EB_OWN'!AD$620:AD$639)&gt;0,'Key inputs_EB_OWN'!AD634/SUM('Key inputs_EB_OWN'!AD$620:AD$639)&lt;0.001),0.001,'Key inputs_EB_OWN'!AD634/SUM('Key inputs_EB_OWN'!AD$620:AD$639)),"")</f>
        <v>0</v>
      </c>
      <c r="AK135" s="173">
        <f>IFERROR(IF(AND('Key inputs_EB_OWN'!AE634/SUM('Key inputs_EB_OWN'!AE$620:AE$639)&gt;0,'Key inputs_EB_OWN'!AE634/SUM('Key inputs_EB_OWN'!AE$620:AE$639)&lt;0.001),0.001,'Key inputs_EB_OWN'!AE634/SUM('Key inputs_EB_OWN'!AE$620:AE$639)),"")</f>
        <v>0</v>
      </c>
      <c r="AL135" s="173">
        <f>IFERROR(IF(AND('Key inputs_EB_OWN'!AF634/SUM('Key inputs_EB_OWN'!AF$620:AF$639)&gt;0,'Key inputs_EB_OWN'!AF634/SUM('Key inputs_EB_OWN'!AF$620:AF$639)&lt;0.001),0.001,'Key inputs_EB_OWN'!AF634/SUM('Key inputs_EB_OWN'!AF$620:AF$639)),"")</f>
        <v>0</v>
      </c>
      <c r="AN135"/>
      <c r="AO135"/>
      <c r="AP135"/>
      <c r="AQ135"/>
      <c r="AR135"/>
      <c r="AS135"/>
      <c r="AT135"/>
      <c r="AU135"/>
    </row>
    <row r="136" spans="1:47">
      <c r="C136" t="str">
        <f>Commodities!$C$97</f>
        <v>UPSLPG</v>
      </c>
      <c r="F136" s="4" t="s">
        <v>359</v>
      </c>
      <c r="G136" s="4" t="s">
        <v>702</v>
      </c>
      <c r="H136" t="s">
        <v>661</v>
      </c>
      <c r="I136">
        <v>2019</v>
      </c>
      <c r="J136" t="s">
        <v>650</v>
      </c>
      <c r="K136" s="173">
        <f>IFERROR(IF(AND('Key inputs_EB_OWN'!E635/SUM('Key inputs_EB_OWN'!E$620:E$639)&gt;0,'Key inputs_EB_OWN'!E635/SUM('Key inputs_EB_OWN'!E$620:E$639)&lt;0.001),0.001,'Key inputs_EB_OWN'!E635/SUM('Key inputs_EB_OWN'!E$620:E$639)),"")</f>
        <v>0</v>
      </c>
      <c r="L136" s="173">
        <f>IFERROR(IF(AND('Key inputs_EB_OWN'!F635/SUM('Key inputs_EB_OWN'!F$620:F$639)&gt;0,'Key inputs_EB_OWN'!F635/SUM('Key inputs_EB_OWN'!F$620:F$639)&lt;0.001),0.001,'Key inputs_EB_OWN'!F635/SUM('Key inputs_EB_OWN'!F$620:F$639)),"")</f>
        <v>0.10392614479990323</v>
      </c>
      <c r="M136" s="173">
        <f>IFERROR(IF(AND('Key inputs_EB_OWN'!G635/SUM('Key inputs_EB_OWN'!G$620:G$639)&gt;0,'Key inputs_EB_OWN'!G635/SUM('Key inputs_EB_OWN'!G$620:G$639)&lt;0.001),0.001,'Key inputs_EB_OWN'!G635/SUM('Key inputs_EB_OWN'!G$620:G$639)),"")</f>
        <v>0</v>
      </c>
      <c r="N136" s="173">
        <f>IFERROR(IF(AND('Key inputs_EB_OWN'!H635/SUM('Key inputs_EB_OWN'!H$620:H$639)&gt;0,'Key inputs_EB_OWN'!H635/SUM('Key inputs_EB_OWN'!H$620:H$639)&lt;0.001),0.001,'Key inputs_EB_OWN'!H635/SUM('Key inputs_EB_OWN'!H$620:H$639)),"")</f>
        <v>0</v>
      </c>
      <c r="O136" s="173">
        <f>IFERROR(IF(AND('Key inputs_EB_OWN'!I635/SUM('Key inputs_EB_OWN'!I$620:I$639)&gt;0,'Key inputs_EB_OWN'!I635/SUM('Key inputs_EB_OWN'!I$620:I$639)&lt;0.001),0.001,'Key inputs_EB_OWN'!I635/SUM('Key inputs_EB_OWN'!I$620:I$639)),"")</f>
        <v>8.7900234669085961E-3</v>
      </c>
      <c r="P136" s="173">
        <f>IFERROR(IF(AND('Key inputs_EB_OWN'!J635/SUM('Key inputs_EB_OWN'!J$620:J$639)&gt;0,'Key inputs_EB_OWN'!J635/SUM('Key inputs_EB_OWN'!J$620:J$639)&lt;0.001),0.001,'Key inputs_EB_OWN'!J635/SUM('Key inputs_EB_OWN'!J$620:J$639)),"")</f>
        <v>1.9213123576579168E-2</v>
      </c>
      <c r="Q136" s="173">
        <f>IFERROR(IF(AND('Key inputs_EB_OWN'!K635/SUM('Key inputs_EB_OWN'!K$620:K$639)&gt;0,'Key inputs_EB_OWN'!K635/SUM('Key inputs_EB_OWN'!K$620:K$639)&lt;0.001),0.001,'Key inputs_EB_OWN'!K635/SUM('Key inputs_EB_OWN'!K$620:K$639)),"")</f>
        <v>0</v>
      </c>
      <c r="R136" s="173" t="str">
        <f>IFERROR(IF(AND('Key inputs_EB_OWN'!L635/SUM('Key inputs_EB_OWN'!L$620:L$639)&gt;0,'Key inputs_EB_OWN'!L635/SUM('Key inputs_EB_OWN'!L$620:L$639)&lt;0.001),0.001,'Key inputs_EB_OWN'!L635/SUM('Key inputs_EB_OWN'!L$620:L$639)),"")</f>
        <v/>
      </c>
      <c r="S136" s="173">
        <f>IFERROR(IF(AND('Key inputs_EB_OWN'!M635/SUM('Key inputs_EB_OWN'!M$620:M$639)&gt;0,'Key inputs_EB_OWN'!M635/SUM('Key inputs_EB_OWN'!M$620:M$639)&lt;0.001),0.001,'Key inputs_EB_OWN'!M635/SUM('Key inputs_EB_OWN'!M$620:M$639)),"")</f>
        <v>0</v>
      </c>
      <c r="T136" s="173">
        <f>IFERROR(IF(AND('Key inputs_EB_OWN'!N635/SUM('Key inputs_EB_OWN'!N$620:N$639)&gt;0,'Key inputs_EB_OWN'!N635/SUM('Key inputs_EB_OWN'!N$620:N$639)&lt;0.001),0.001,'Key inputs_EB_OWN'!N635/SUM('Key inputs_EB_OWN'!N$620:N$639)),"")</f>
        <v>0</v>
      </c>
      <c r="U136" s="173">
        <f>IFERROR(IF(AND('Key inputs_EB_OWN'!O635/SUM('Key inputs_EB_OWN'!O$620:O$639)&gt;0,'Key inputs_EB_OWN'!O635/SUM('Key inputs_EB_OWN'!O$620:O$639)&lt;0.001),0.001,'Key inputs_EB_OWN'!O635/SUM('Key inputs_EB_OWN'!O$620:O$639)),"")</f>
        <v>0</v>
      </c>
      <c r="V136" s="173">
        <f>IFERROR(IF(AND('Key inputs_EB_OWN'!P635/SUM('Key inputs_EB_OWN'!P$620:P$639)&gt;0,'Key inputs_EB_OWN'!P635/SUM('Key inputs_EB_OWN'!P$620:P$639)&lt;0.001),0.001,'Key inputs_EB_OWN'!P635/SUM('Key inputs_EB_OWN'!P$620:P$639)),"")</f>
        <v>1E-3</v>
      </c>
      <c r="W136" s="173">
        <f>IFERROR(IF(AND('Key inputs_EB_OWN'!Q635/SUM('Key inputs_EB_OWN'!Q$620:Q$639)&gt;0,'Key inputs_EB_OWN'!Q635/SUM('Key inputs_EB_OWN'!Q$620:Q$639)&lt;0.001),0.001,'Key inputs_EB_OWN'!Q635/SUM('Key inputs_EB_OWN'!Q$620:Q$639)),"")</f>
        <v>0</v>
      </c>
      <c r="X136" s="173">
        <f>IFERROR(IF(AND('Key inputs_EB_OWN'!R635/SUM('Key inputs_EB_OWN'!R$620:R$639)&gt;0,'Key inputs_EB_OWN'!R635/SUM('Key inputs_EB_OWN'!R$620:R$639)&lt;0.001),0.001,'Key inputs_EB_OWN'!R635/SUM('Key inputs_EB_OWN'!R$620:R$639)),"")</f>
        <v>0</v>
      </c>
      <c r="Y136" s="173">
        <f>IFERROR(IF(AND('Key inputs_EB_OWN'!S635/SUM('Key inputs_EB_OWN'!S$620:S$639)&gt;0,'Key inputs_EB_OWN'!S635/SUM('Key inputs_EB_OWN'!S$620:S$639)&lt;0.001),0.001,'Key inputs_EB_OWN'!S635/SUM('Key inputs_EB_OWN'!S$620:S$639)),"")</f>
        <v>0.13008628555901064</v>
      </c>
      <c r="Z136" s="173">
        <f>IFERROR(IF(AND('Key inputs_EB_OWN'!T635/SUM('Key inputs_EB_OWN'!T$620:T$639)&gt;0,'Key inputs_EB_OWN'!T635/SUM('Key inputs_EB_OWN'!T$620:T$639)&lt;0.001),0.001,'Key inputs_EB_OWN'!T635/SUM('Key inputs_EB_OWN'!T$620:T$639)),"")</f>
        <v>1E-3</v>
      </c>
      <c r="AA136" s="173">
        <f>IFERROR(IF(AND('Key inputs_EB_OWN'!U635/SUM('Key inputs_EB_OWN'!U$620:U$639)&gt;0,'Key inputs_EB_OWN'!U635/SUM('Key inputs_EB_OWN'!U$620:U$639)&lt;0.001),0.001,'Key inputs_EB_OWN'!U635/SUM('Key inputs_EB_OWN'!U$620:U$639)),"")</f>
        <v>0.12215380638930197</v>
      </c>
      <c r="AB136" s="173">
        <f>IFERROR(IF(AND('Key inputs_EB_OWN'!V635/SUM('Key inputs_EB_OWN'!V$620:V$639)&gt;0,'Key inputs_EB_OWN'!V635/SUM('Key inputs_EB_OWN'!V$620:V$639)&lt;0.001),0.001,'Key inputs_EB_OWN'!V635/SUM('Key inputs_EB_OWN'!V$620:V$639)),"")</f>
        <v>0</v>
      </c>
      <c r="AC136" s="173" t="str">
        <f>IFERROR(IF(AND('Key inputs_EB_OWN'!W635/SUM('Key inputs_EB_OWN'!W$620:W$639)&gt;0,'Key inputs_EB_OWN'!W635/SUM('Key inputs_EB_OWN'!W$620:W$639)&lt;0.001),0.001,'Key inputs_EB_OWN'!W635/SUM('Key inputs_EB_OWN'!W$620:W$639)),"")</f>
        <v/>
      </c>
      <c r="AD136" s="173">
        <f>IFERROR(IF(AND('Key inputs_EB_OWN'!X635/SUM('Key inputs_EB_OWN'!X$620:X$639)&gt;0,'Key inputs_EB_OWN'!X635/SUM('Key inputs_EB_OWN'!X$620:X$639)&lt;0.001),0.001,'Key inputs_EB_OWN'!X635/SUM('Key inputs_EB_OWN'!X$620:X$639)),"")</f>
        <v>0</v>
      </c>
      <c r="AE136" s="173">
        <f>IFERROR(IF(AND('Key inputs_EB_OWN'!Y635/SUM('Key inputs_EB_OWN'!Y$620:Y$639)&gt;0,'Key inputs_EB_OWN'!Y635/SUM('Key inputs_EB_OWN'!Y$620:Y$639)&lt;0.001),0.001,'Key inputs_EB_OWN'!Y635/SUM('Key inputs_EB_OWN'!Y$620:Y$639)),"")</f>
        <v>3.4536605282153313E-2</v>
      </c>
      <c r="AF136" s="173">
        <f>IFERROR(IF(AND('Key inputs_EB_OWN'!Z635/SUM('Key inputs_EB_OWN'!Z$620:Z$639)&gt;0,'Key inputs_EB_OWN'!Z635/SUM('Key inputs_EB_OWN'!Z$620:Z$639)&lt;0.001),0.001,'Key inputs_EB_OWN'!Z635/SUM('Key inputs_EB_OWN'!Z$620:Z$639)),"")</f>
        <v>0</v>
      </c>
      <c r="AG136" s="173">
        <f>IFERROR(IF(AND('Key inputs_EB_OWN'!AA635/SUM('Key inputs_EB_OWN'!AA$620:AA$639)&gt;0,'Key inputs_EB_OWN'!AA635/SUM('Key inputs_EB_OWN'!AA$620:AA$639)&lt;0.001),0.001,'Key inputs_EB_OWN'!AA635/SUM('Key inputs_EB_OWN'!AA$620:AA$639)),"")</f>
        <v>0</v>
      </c>
      <c r="AH136" s="173">
        <f>IFERROR(IF(AND('Key inputs_EB_OWN'!AB635/SUM('Key inputs_EB_OWN'!AB$620:AB$639)&gt;0,'Key inputs_EB_OWN'!AB635/SUM('Key inputs_EB_OWN'!AB$620:AB$639)&lt;0.001),0.001,'Key inputs_EB_OWN'!AB635/SUM('Key inputs_EB_OWN'!AB$620:AB$639)),"")</f>
        <v>0</v>
      </c>
      <c r="AI136" s="173" t="str">
        <f>IFERROR(IF(AND('Key inputs_EB_OWN'!AC635/SUM('Key inputs_EB_OWN'!AC$620:AC$639)&gt;0,'Key inputs_EB_OWN'!AC635/SUM('Key inputs_EB_OWN'!AC$620:AC$639)&lt;0.001),0.001,'Key inputs_EB_OWN'!AC635/SUM('Key inputs_EB_OWN'!AC$620:AC$639)),"")</f>
        <v/>
      </c>
      <c r="AJ136" s="173">
        <f>IFERROR(IF(AND('Key inputs_EB_OWN'!AD635/SUM('Key inputs_EB_OWN'!AD$620:AD$639)&gt;0,'Key inputs_EB_OWN'!AD635/SUM('Key inputs_EB_OWN'!AD$620:AD$639)&lt;0.001),0.001,'Key inputs_EB_OWN'!AD635/SUM('Key inputs_EB_OWN'!AD$620:AD$639)),"")</f>
        <v>2.663653320020978E-2</v>
      </c>
      <c r="AK136" s="173">
        <f>IFERROR(IF(AND('Key inputs_EB_OWN'!AE635/SUM('Key inputs_EB_OWN'!AE$620:AE$639)&gt;0,'Key inputs_EB_OWN'!AE635/SUM('Key inputs_EB_OWN'!AE$620:AE$639)&lt;0.001),0.001,'Key inputs_EB_OWN'!AE635/SUM('Key inputs_EB_OWN'!AE$620:AE$639)),"")</f>
        <v>0</v>
      </c>
      <c r="AL136" s="173">
        <f>IFERROR(IF(AND('Key inputs_EB_OWN'!AF635/SUM('Key inputs_EB_OWN'!AF$620:AF$639)&gt;0,'Key inputs_EB_OWN'!AF635/SUM('Key inputs_EB_OWN'!AF$620:AF$639)&lt;0.001),0.001,'Key inputs_EB_OWN'!AF635/SUM('Key inputs_EB_OWN'!AF$620:AF$639)),"")</f>
        <v>0</v>
      </c>
    </row>
    <row r="137" spans="1:47">
      <c r="C137" t="str">
        <f>Commodities!$C$98</f>
        <v>UPSNAP</v>
      </c>
      <c r="F137" s="4" t="s">
        <v>359</v>
      </c>
      <c r="G137" s="4" t="s">
        <v>702</v>
      </c>
      <c r="H137" t="s">
        <v>661</v>
      </c>
      <c r="I137">
        <v>2019</v>
      </c>
      <c r="J137" t="s">
        <v>650</v>
      </c>
      <c r="K137" s="173">
        <f>IFERROR(IF(AND('Key inputs_EB_OWN'!E636/SUM('Key inputs_EB_OWN'!E$620:E$639)&gt;0,'Key inputs_EB_OWN'!E636/SUM('Key inputs_EB_OWN'!E$620:E$639)&lt;0.001),0.001,'Key inputs_EB_OWN'!E636/SUM('Key inputs_EB_OWN'!E$620:E$639)),"")</f>
        <v>0</v>
      </c>
      <c r="L137" s="173">
        <f>IFERROR(IF(AND('Key inputs_EB_OWN'!F636/SUM('Key inputs_EB_OWN'!F$620:F$639)&gt;0,'Key inputs_EB_OWN'!F636/SUM('Key inputs_EB_OWN'!F$620:F$639)&lt;0.001),0.001,'Key inputs_EB_OWN'!F636/SUM('Key inputs_EB_OWN'!F$620:F$639)),"")</f>
        <v>0</v>
      </c>
      <c r="M137" s="173">
        <f>IFERROR(IF(AND('Key inputs_EB_OWN'!G636/SUM('Key inputs_EB_OWN'!G$620:G$639)&gt;0,'Key inputs_EB_OWN'!G636/SUM('Key inputs_EB_OWN'!G$620:G$639)&lt;0.001),0.001,'Key inputs_EB_OWN'!G636/SUM('Key inputs_EB_OWN'!G$620:G$639)),"")</f>
        <v>0</v>
      </c>
      <c r="N137" s="173">
        <f>IFERROR(IF(AND('Key inputs_EB_OWN'!H636/SUM('Key inputs_EB_OWN'!H$620:H$639)&gt;0,'Key inputs_EB_OWN'!H636/SUM('Key inputs_EB_OWN'!H$620:H$639)&lt;0.001),0.001,'Key inputs_EB_OWN'!H636/SUM('Key inputs_EB_OWN'!H$620:H$639)),"")</f>
        <v>0</v>
      </c>
      <c r="O137" s="173">
        <f>IFERROR(IF(AND('Key inputs_EB_OWN'!I636/SUM('Key inputs_EB_OWN'!I$620:I$639)&gt;0,'Key inputs_EB_OWN'!I636/SUM('Key inputs_EB_OWN'!I$620:I$639)&lt;0.001),0.001,'Key inputs_EB_OWN'!I636/SUM('Key inputs_EB_OWN'!I$620:I$639)),"")</f>
        <v>0</v>
      </c>
      <c r="P137" s="173">
        <f>IFERROR(IF(AND('Key inputs_EB_OWN'!J636/SUM('Key inputs_EB_OWN'!J$620:J$639)&gt;0,'Key inputs_EB_OWN'!J636/SUM('Key inputs_EB_OWN'!J$620:J$639)&lt;0.001),0.001,'Key inputs_EB_OWN'!J636/SUM('Key inputs_EB_OWN'!J$620:J$639)),"")</f>
        <v>0</v>
      </c>
      <c r="Q137" s="173">
        <f>IFERROR(IF(AND('Key inputs_EB_OWN'!K636/SUM('Key inputs_EB_OWN'!K$620:K$639)&gt;0,'Key inputs_EB_OWN'!K636/SUM('Key inputs_EB_OWN'!K$620:K$639)&lt;0.001),0.001,'Key inputs_EB_OWN'!K636/SUM('Key inputs_EB_OWN'!K$620:K$639)),"")</f>
        <v>0</v>
      </c>
      <c r="R137" s="173" t="str">
        <f>IFERROR(IF(AND('Key inputs_EB_OWN'!L636/SUM('Key inputs_EB_OWN'!L$620:L$639)&gt;0,'Key inputs_EB_OWN'!L636/SUM('Key inputs_EB_OWN'!L$620:L$639)&lt;0.001),0.001,'Key inputs_EB_OWN'!L636/SUM('Key inputs_EB_OWN'!L$620:L$639)),"")</f>
        <v/>
      </c>
      <c r="S137" s="173">
        <f>IFERROR(IF(AND('Key inputs_EB_OWN'!M636/SUM('Key inputs_EB_OWN'!M$620:M$639)&gt;0,'Key inputs_EB_OWN'!M636/SUM('Key inputs_EB_OWN'!M$620:M$639)&lt;0.001),0.001,'Key inputs_EB_OWN'!M636/SUM('Key inputs_EB_OWN'!M$620:M$639)),"")</f>
        <v>0</v>
      </c>
      <c r="T137" s="173">
        <f>IFERROR(IF(AND('Key inputs_EB_OWN'!N636/SUM('Key inputs_EB_OWN'!N$620:N$639)&gt;0,'Key inputs_EB_OWN'!N636/SUM('Key inputs_EB_OWN'!N$620:N$639)&lt;0.001),0.001,'Key inputs_EB_OWN'!N636/SUM('Key inputs_EB_OWN'!N$620:N$639)),"")</f>
        <v>0</v>
      </c>
      <c r="U137" s="173">
        <f>IFERROR(IF(AND('Key inputs_EB_OWN'!O636/SUM('Key inputs_EB_OWN'!O$620:O$639)&gt;0,'Key inputs_EB_OWN'!O636/SUM('Key inputs_EB_OWN'!O$620:O$639)&lt;0.001),0.001,'Key inputs_EB_OWN'!O636/SUM('Key inputs_EB_OWN'!O$620:O$639)),"")</f>
        <v>0</v>
      </c>
      <c r="V137" s="173">
        <f>IFERROR(IF(AND('Key inputs_EB_OWN'!P636/SUM('Key inputs_EB_OWN'!P$620:P$639)&gt;0,'Key inputs_EB_OWN'!P636/SUM('Key inputs_EB_OWN'!P$620:P$639)&lt;0.001),0.001,'Key inputs_EB_OWN'!P636/SUM('Key inputs_EB_OWN'!P$620:P$639)),"")</f>
        <v>0</v>
      </c>
      <c r="W137" s="173">
        <f>IFERROR(IF(AND('Key inputs_EB_OWN'!Q636/SUM('Key inputs_EB_OWN'!Q$620:Q$639)&gt;0,'Key inputs_EB_OWN'!Q636/SUM('Key inputs_EB_OWN'!Q$620:Q$639)&lt;0.001),0.001,'Key inputs_EB_OWN'!Q636/SUM('Key inputs_EB_OWN'!Q$620:Q$639)),"")</f>
        <v>0</v>
      </c>
      <c r="X137" s="173">
        <f>IFERROR(IF(AND('Key inputs_EB_OWN'!R636/SUM('Key inputs_EB_OWN'!R$620:R$639)&gt;0,'Key inputs_EB_OWN'!R636/SUM('Key inputs_EB_OWN'!R$620:R$639)&lt;0.001),0.001,'Key inputs_EB_OWN'!R636/SUM('Key inputs_EB_OWN'!R$620:R$639)),"")</f>
        <v>0</v>
      </c>
      <c r="Y137" s="173">
        <f>IFERROR(IF(AND('Key inputs_EB_OWN'!S636/SUM('Key inputs_EB_OWN'!S$620:S$639)&gt;0,'Key inputs_EB_OWN'!S636/SUM('Key inputs_EB_OWN'!S$620:S$639)&lt;0.001),0.001,'Key inputs_EB_OWN'!S636/SUM('Key inputs_EB_OWN'!S$620:S$639)),"")</f>
        <v>0</v>
      </c>
      <c r="Z137" s="173">
        <f>IFERROR(IF(AND('Key inputs_EB_OWN'!T636/SUM('Key inputs_EB_OWN'!T$620:T$639)&gt;0,'Key inputs_EB_OWN'!T636/SUM('Key inputs_EB_OWN'!T$620:T$639)&lt;0.001),0.001,'Key inputs_EB_OWN'!T636/SUM('Key inputs_EB_OWN'!T$620:T$639)),"")</f>
        <v>0</v>
      </c>
      <c r="AA137" s="173">
        <f>IFERROR(IF(AND('Key inputs_EB_OWN'!U636/SUM('Key inputs_EB_OWN'!U$620:U$639)&gt;0,'Key inputs_EB_OWN'!U636/SUM('Key inputs_EB_OWN'!U$620:U$639)&lt;0.001),0.001,'Key inputs_EB_OWN'!U636/SUM('Key inputs_EB_OWN'!U$620:U$639)),"")</f>
        <v>0</v>
      </c>
      <c r="AB137" s="173">
        <f>IFERROR(IF(AND('Key inputs_EB_OWN'!V636/SUM('Key inputs_EB_OWN'!V$620:V$639)&gt;0,'Key inputs_EB_OWN'!V636/SUM('Key inputs_EB_OWN'!V$620:V$639)&lt;0.001),0.001,'Key inputs_EB_OWN'!V636/SUM('Key inputs_EB_OWN'!V$620:V$639)),"")</f>
        <v>0</v>
      </c>
      <c r="AC137" s="173" t="str">
        <f>IFERROR(IF(AND('Key inputs_EB_OWN'!W636/SUM('Key inputs_EB_OWN'!W$620:W$639)&gt;0,'Key inputs_EB_OWN'!W636/SUM('Key inputs_EB_OWN'!W$620:W$639)&lt;0.001),0.001,'Key inputs_EB_OWN'!W636/SUM('Key inputs_EB_OWN'!W$620:W$639)),"")</f>
        <v/>
      </c>
      <c r="AD137" s="173">
        <f>IFERROR(IF(AND('Key inputs_EB_OWN'!X636/SUM('Key inputs_EB_OWN'!X$620:X$639)&gt;0,'Key inputs_EB_OWN'!X636/SUM('Key inputs_EB_OWN'!X$620:X$639)&lt;0.001),0.001,'Key inputs_EB_OWN'!X636/SUM('Key inputs_EB_OWN'!X$620:X$639)),"")</f>
        <v>0</v>
      </c>
      <c r="AE137" s="173">
        <f>IFERROR(IF(AND('Key inputs_EB_OWN'!Y636/SUM('Key inputs_EB_OWN'!Y$620:Y$639)&gt;0,'Key inputs_EB_OWN'!Y636/SUM('Key inputs_EB_OWN'!Y$620:Y$639)&lt;0.001),0.001,'Key inputs_EB_OWN'!Y636/SUM('Key inputs_EB_OWN'!Y$620:Y$639)),"")</f>
        <v>0</v>
      </c>
      <c r="AF137" s="173">
        <f>IFERROR(IF(AND('Key inputs_EB_OWN'!Z636/SUM('Key inputs_EB_OWN'!Z$620:Z$639)&gt;0,'Key inputs_EB_OWN'!Z636/SUM('Key inputs_EB_OWN'!Z$620:Z$639)&lt;0.001),0.001,'Key inputs_EB_OWN'!Z636/SUM('Key inputs_EB_OWN'!Z$620:Z$639)),"")</f>
        <v>0</v>
      </c>
      <c r="AG137" s="173">
        <f>IFERROR(IF(AND('Key inputs_EB_OWN'!AA636/SUM('Key inputs_EB_OWN'!AA$620:AA$639)&gt;0,'Key inputs_EB_OWN'!AA636/SUM('Key inputs_EB_OWN'!AA$620:AA$639)&lt;0.001),0.001,'Key inputs_EB_OWN'!AA636/SUM('Key inputs_EB_OWN'!AA$620:AA$639)),"")</f>
        <v>0</v>
      </c>
      <c r="AH137" s="173">
        <f>IFERROR(IF(AND('Key inputs_EB_OWN'!AB636/SUM('Key inputs_EB_OWN'!AB$620:AB$639)&gt;0,'Key inputs_EB_OWN'!AB636/SUM('Key inputs_EB_OWN'!AB$620:AB$639)&lt;0.001),0.001,'Key inputs_EB_OWN'!AB636/SUM('Key inputs_EB_OWN'!AB$620:AB$639)),"")</f>
        <v>0</v>
      </c>
      <c r="AI137" s="173" t="str">
        <f>IFERROR(IF(AND('Key inputs_EB_OWN'!AC636/SUM('Key inputs_EB_OWN'!AC$620:AC$639)&gt;0,'Key inputs_EB_OWN'!AC636/SUM('Key inputs_EB_OWN'!AC$620:AC$639)&lt;0.001),0.001,'Key inputs_EB_OWN'!AC636/SUM('Key inputs_EB_OWN'!AC$620:AC$639)),"")</f>
        <v/>
      </c>
      <c r="AJ137" s="173">
        <f>IFERROR(IF(AND('Key inputs_EB_OWN'!AD636/SUM('Key inputs_EB_OWN'!AD$620:AD$639)&gt;0,'Key inputs_EB_OWN'!AD636/SUM('Key inputs_EB_OWN'!AD$620:AD$639)&lt;0.001),0.001,'Key inputs_EB_OWN'!AD636/SUM('Key inputs_EB_OWN'!AD$620:AD$639)),"")</f>
        <v>0</v>
      </c>
      <c r="AK137" s="173">
        <f>IFERROR(IF(AND('Key inputs_EB_OWN'!AE636/SUM('Key inputs_EB_OWN'!AE$620:AE$639)&gt;0,'Key inputs_EB_OWN'!AE636/SUM('Key inputs_EB_OWN'!AE$620:AE$639)&lt;0.001),0.001,'Key inputs_EB_OWN'!AE636/SUM('Key inputs_EB_OWN'!AE$620:AE$639)),"")</f>
        <v>0</v>
      </c>
      <c r="AL137" s="173">
        <f>IFERROR(IF(AND('Key inputs_EB_OWN'!AF636/SUM('Key inputs_EB_OWN'!AF$620:AF$639)&gt;0,'Key inputs_EB_OWN'!AF636/SUM('Key inputs_EB_OWN'!AF$620:AF$639)&lt;0.001),0.001,'Key inputs_EB_OWN'!AF636/SUM('Key inputs_EB_OWN'!AF$620:AF$639)),"")</f>
        <v>0</v>
      </c>
    </row>
    <row r="138" spans="1:47">
      <c r="C138" t="str">
        <f>Commodities!$C$99</f>
        <v>UPSOIL</v>
      </c>
      <c r="F138" s="4" t="s">
        <v>359</v>
      </c>
      <c r="G138" s="4" t="s">
        <v>702</v>
      </c>
      <c r="H138" t="s">
        <v>661</v>
      </c>
      <c r="I138">
        <v>2019</v>
      </c>
      <c r="J138" t="s">
        <v>650</v>
      </c>
      <c r="K138" s="173">
        <f>IFERROR(IF(AND('Key inputs_EB_OWN'!E637/SUM('Key inputs_EB_OWN'!E$620:E$639)&gt;0,'Key inputs_EB_OWN'!E637/SUM('Key inputs_EB_OWN'!E$620:E$639)&lt;0.001),0.001,'Key inputs_EB_OWN'!E637/SUM('Key inputs_EB_OWN'!E$620:E$639)),"")</f>
        <v>0</v>
      </c>
      <c r="L138" s="173">
        <f>IFERROR(IF(AND('Key inputs_EB_OWN'!F637/SUM('Key inputs_EB_OWN'!F$620:F$639)&gt;0,'Key inputs_EB_OWN'!F637/SUM('Key inputs_EB_OWN'!F$620:F$639)&lt;0.001),0.001,'Key inputs_EB_OWN'!F637/SUM('Key inputs_EB_OWN'!F$620:F$639)),"")</f>
        <v>0</v>
      </c>
      <c r="M138" s="173">
        <f>IFERROR(IF(AND('Key inputs_EB_OWN'!G637/SUM('Key inputs_EB_OWN'!G$620:G$639)&gt;0,'Key inputs_EB_OWN'!G637/SUM('Key inputs_EB_OWN'!G$620:G$639)&lt;0.001),0.001,'Key inputs_EB_OWN'!G637/SUM('Key inputs_EB_OWN'!G$620:G$639)),"")</f>
        <v>0</v>
      </c>
      <c r="N138" s="173">
        <f>IFERROR(IF(AND('Key inputs_EB_OWN'!H637/SUM('Key inputs_EB_OWN'!H$620:H$639)&gt;0,'Key inputs_EB_OWN'!H637/SUM('Key inputs_EB_OWN'!H$620:H$639)&lt;0.001),0.001,'Key inputs_EB_OWN'!H637/SUM('Key inputs_EB_OWN'!H$620:H$639)),"")</f>
        <v>0</v>
      </c>
      <c r="O138" s="173">
        <f>IFERROR(IF(AND('Key inputs_EB_OWN'!I637/SUM('Key inputs_EB_OWN'!I$620:I$639)&gt;0,'Key inputs_EB_OWN'!I637/SUM('Key inputs_EB_OWN'!I$620:I$639)&lt;0.001),0.001,'Key inputs_EB_OWN'!I637/SUM('Key inputs_EB_OWN'!I$620:I$639)),"")</f>
        <v>0</v>
      </c>
      <c r="P138" s="173">
        <f>IFERROR(IF(AND('Key inputs_EB_OWN'!J637/SUM('Key inputs_EB_OWN'!J$620:J$639)&gt;0,'Key inputs_EB_OWN'!J637/SUM('Key inputs_EB_OWN'!J$620:J$639)&lt;0.001),0.001,'Key inputs_EB_OWN'!J637/SUM('Key inputs_EB_OWN'!J$620:J$639)),"")</f>
        <v>0</v>
      </c>
      <c r="Q138" s="173">
        <f>IFERROR(IF(AND('Key inputs_EB_OWN'!K637/SUM('Key inputs_EB_OWN'!K$620:K$639)&gt;0,'Key inputs_EB_OWN'!K637/SUM('Key inputs_EB_OWN'!K$620:K$639)&lt;0.001),0.001,'Key inputs_EB_OWN'!K637/SUM('Key inputs_EB_OWN'!K$620:K$639)),"")</f>
        <v>0</v>
      </c>
      <c r="R138" s="173" t="str">
        <f>IFERROR(IF(AND('Key inputs_EB_OWN'!L637/SUM('Key inputs_EB_OWN'!L$620:L$639)&gt;0,'Key inputs_EB_OWN'!L637/SUM('Key inputs_EB_OWN'!L$620:L$639)&lt;0.001),0.001,'Key inputs_EB_OWN'!L637/SUM('Key inputs_EB_OWN'!L$620:L$639)),"")</f>
        <v/>
      </c>
      <c r="S138" s="173">
        <f>IFERROR(IF(AND('Key inputs_EB_OWN'!M637/SUM('Key inputs_EB_OWN'!M$620:M$639)&gt;0,'Key inputs_EB_OWN'!M637/SUM('Key inputs_EB_OWN'!M$620:M$639)&lt;0.001),0.001,'Key inputs_EB_OWN'!M637/SUM('Key inputs_EB_OWN'!M$620:M$639)),"")</f>
        <v>0</v>
      </c>
      <c r="T138" s="173">
        <f>IFERROR(IF(AND('Key inputs_EB_OWN'!N637/SUM('Key inputs_EB_OWN'!N$620:N$639)&gt;0,'Key inputs_EB_OWN'!N637/SUM('Key inputs_EB_OWN'!N$620:N$639)&lt;0.001),0.001,'Key inputs_EB_OWN'!N637/SUM('Key inputs_EB_OWN'!N$620:N$639)),"")</f>
        <v>0</v>
      </c>
      <c r="U138" s="173">
        <f>IFERROR(IF(AND('Key inputs_EB_OWN'!O637/SUM('Key inputs_EB_OWN'!O$620:O$639)&gt;0,'Key inputs_EB_OWN'!O637/SUM('Key inputs_EB_OWN'!O$620:O$639)&lt;0.001),0.001,'Key inputs_EB_OWN'!O637/SUM('Key inputs_EB_OWN'!O$620:O$639)),"")</f>
        <v>0</v>
      </c>
      <c r="V138" s="173">
        <f>IFERROR(IF(AND('Key inputs_EB_OWN'!P637/SUM('Key inputs_EB_OWN'!P$620:P$639)&gt;0,'Key inputs_EB_OWN'!P637/SUM('Key inputs_EB_OWN'!P$620:P$639)&lt;0.001),0.001,'Key inputs_EB_OWN'!P637/SUM('Key inputs_EB_OWN'!P$620:P$639)),"")</f>
        <v>0</v>
      </c>
      <c r="W138" s="173">
        <f>IFERROR(IF(AND('Key inputs_EB_OWN'!Q637/SUM('Key inputs_EB_OWN'!Q$620:Q$639)&gt;0,'Key inputs_EB_OWN'!Q637/SUM('Key inputs_EB_OWN'!Q$620:Q$639)&lt;0.001),0.001,'Key inputs_EB_OWN'!Q637/SUM('Key inputs_EB_OWN'!Q$620:Q$639)),"")</f>
        <v>1.1908179677859556E-3</v>
      </c>
      <c r="X138" s="173">
        <f>IFERROR(IF(AND('Key inputs_EB_OWN'!R637/SUM('Key inputs_EB_OWN'!R$620:R$639)&gt;0,'Key inputs_EB_OWN'!R637/SUM('Key inputs_EB_OWN'!R$620:R$639)&lt;0.001),0.001,'Key inputs_EB_OWN'!R637/SUM('Key inputs_EB_OWN'!R$620:R$639)),"")</f>
        <v>0</v>
      </c>
      <c r="Y138" s="173">
        <f>IFERROR(IF(AND('Key inputs_EB_OWN'!S637/SUM('Key inputs_EB_OWN'!S$620:S$639)&gt;0,'Key inputs_EB_OWN'!S637/SUM('Key inputs_EB_OWN'!S$620:S$639)&lt;0.001),0.001,'Key inputs_EB_OWN'!S637/SUM('Key inputs_EB_OWN'!S$620:S$639)),"")</f>
        <v>0</v>
      </c>
      <c r="Z138" s="173">
        <f>IFERROR(IF(AND('Key inputs_EB_OWN'!T637/SUM('Key inputs_EB_OWN'!T$620:T$639)&gt;0,'Key inputs_EB_OWN'!T637/SUM('Key inputs_EB_OWN'!T$620:T$639)&lt;0.001),0.001,'Key inputs_EB_OWN'!T637/SUM('Key inputs_EB_OWN'!T$620:T$639)),"")</f>
        <v>0</v>
      </c>
      <c r="AA138" s="173">
        <f>IFERROR(IF(AND('Key inputs_EB_OWN'!U637/SUM('Key inputs_EB_OWN'!U$620:U$639)&gt;0,'Key inputs_EB_OWN'!U637/SUM('Key inputs_EB_OWN'!U$620:U$639)&lt;0.001),0.001,'Key inputs_EB_OWN'!U637/SUM('Key inputs_EB_OWN'!U$620:U$639)),"")</f>
        <v>0</v>
      </c>
      <c r="AB138" s="173">
        <f>IFERROR(IF(AND('Key inputs_EB_OWN'!V637/SUM('Key inputs_EB_OWN'!V$620:V$639)&gt;0,'Key inputs_EB_OWN'!V637/SUM('Key inputs_EB_OWN'!V$620:V$639)&lt;0.001),0.001,'Key inputs_EB_OWN'!V637/SUM('Key inputs_EB_OWN'!V$620:V$639)),"")</f>
        <v>0</v>
      </c>
      <c r="AC138" s="173" t="str">
        <f>IFERROR(IF(AND('Key inputs_EB_OWN'!W637/SUM('Key inputs_EB_OWN'!W$620:W$639)&gt;0,'Key inputs_EB_OWN'!W637/SUM('Key inputs_EB_OWN'!W$620:W$639)&lt;0.001),0.001,'Key inputs_EB_OWN'!W637/SUM('Key inputs_EB_OWN'!W$620:W$639)),"")</f>
        <v/>
      </c>
      <c r="AD138" s="173">
        <f>IFERROR(IF(AND('Key inputs_EB_OWN'!X637/SUM('Key inputs_EB_OWN'!X$620:X$639)&gt;0,'Key inputs_EB_OWN'!X637/SUM('Key inputs_EB_OWN'!X$620:X$639)&lt;0.001),0.001,'Key inputs_EB_OWN'!X637/SUM('Key inputs_EB_OWN'!X$620:X$639)),"")</f>
        <v>0</v>
      </c>
      <c r="AE138" s="173">
        <f>IFERROR(IF(AND('Key inputs_EB_OWN'!Y637/SUM('Key inputs_EB_OWN'!Y$620:Y$639)&gt;0,'Key inputs_EB_OWN'!Y637/SUM('Key inputs_EB_OWN'!Y$620:Y$639)&lt;0.001),0.001,'Key inputs_EB_OWN'!Y637/SUM('Key inputs_EB_OWN'!Y$620:Y$639)),"")</f>
        <v>0</v>
      </c>
      <c r="AF138" s="173">
        <f>IFERROR(IF(AND('Key inputs_EB_OWN'!Z637/SUM('Key inputs_EB_OWN'!Z$620:Z$639)&gt;0,'Key inputs_EB_OWN'!Z637/SUM('Key inputs_EB_OWN'!Z$620:Z$639)&lt;0.001),0.001,'Key inputs_EB_OWN'!Z637/SUM('Key inputs_EB_OWN'!Z$620:Z$639)),"")</f>
        <v>0</v>
      </c>
      <c r="AG138" s="173">
        <f>IFERROR(IF(AND('Key inputs_EB_OWN'!AA637/SUM('Key inputs_EB_OWN'!AA$620:AA$639)&gt;0,'Key inputs_EB_OWN'!AA637/SUM('Key inputs_EB_OWN'!AA$620:AA$639)&lt;0.001),0.001,'Key inputs_EB_OWN'!AA637/SUM('Key inputs_EB_OWN'!AA$620:AA$639)),"")</f>
        <v>0</v>
      </c>
      <c r="AH138" s="173">
        <f>IFERROR(IF(AND('Key inputs_EB_OWN'!AB637/SUM('Key inputs_EB_OWN'!AB$620:AB$639)&gt;0,'Key inputs_EB_OWN'!AB637/SUM('Key inputs_EB_OWN'!AB$620:AB$639)&lt;0.001),0.001,'Key inputs_EB_OWN'!AB637/SUM('Key inputs_EB_OWN'!AB$620:AB$639)),"")</f>
        <v>0</v>
      </c>
      <c r="AI138" s="173" t="str">
        <f>IFERROR(IF(AND('Key inputs_EB_OWN'!AC637/SUM('Key inputs_EB_OWN'!AC$620:AC$639)&gt;0,'Key inputs_EB_OWN'!AC637/SUM('Key inputs_EB_OWN'!AC$620:AC$639)&lt;0.001),0.001,'Key inputs_EB_OWN'!AC637/SUM('Key inputs_EB_OWN'!AC$620:AC$639)),"")</f>
        <v/>
      </c>
      <c r="AJ138" s="173">
        <f>IFERROR(IF(AND('Key inputs_EB_OWN'!AD637/SUM('Key inputs_EB_OWN'!AD$620:AD$639)&gt;0,'Key inputs_EB_OWN'!AD637/SUM('Key inputs_EB_OWN'!AD$620:AD$639)&lt;0.001),0.001,'Key inputs_EB_OWN'!AD637/SUM('Key inputs_EB_OWN'!AD$620:AD$639)),"")</f>
        <v>0</v>
      </c>
      <c r="AK138" s="173">
        <f>IFERROR(IF(AND('Key inputs_EB_OWN'!AE637/SUM('Key inputs_EB_OWN'!AE$620:AE$639)&gt;0,'Key inputs_EB_OWN'!AE637/SUM('Key inputs_EB_OWN'!AE$620:AE$639)&lt;0.001),0.001,'Key inputs_EB_OWN'!AE637/SUM('Key inputs_EB_OWN'!AE$620:AE$639)),"")</f>
        <v>0</v>
      </c>
      <c r="AL138" s="173">
        <f>IFERROR(IF(AND('Key inputs_EB_OWN'!AF637/SUM('Key inputs_EB_OWN'!AF$620:AF$639)&gt;0,'Key inputs_EB_OWN'!AF637/SUM('Key inputs_EB_OWN'!AF$620:AF$639)&lt;0.001),0.001,'Key inputs_EB_OWN'!AF637/SUM('Key inputs_EB_OWN'!AF$620:AF$639)),"")</f>
        <v>0</v>
      </c>
    </row>
    <row r="139" spans="1:47">
      <c r="C139" t="str">
        <f>Commodities!$C$100</f>
        <v>UPSOIL2</v>
      </c>
      <c r="F139" s="4" t="s">
        <v>359</v>
      </c>
      <c r="G139" s="4" t="s">
        <v>702</v>
      </c>
      <c r="H139" t="s">
        <v>661</v>
      </c>
      <c r="I139">
        <v>2019</v>
      </c>
      <c r="J139" t="s">
        <v>650</v>
      </c>
      <c r="K139" s="173">
        <f>IFERROR(IF(AND('Key inputs_EB_OWN'!E638/SUM('Key inputs_EB_OWN'!E$620:E$639)&gt;0,'Key inputs_EB_OWN'!E638/SUM('Key inputs_EB_OWN'!E$620:E$639)&lt;0.001),0.001,'Key inputs_EB_OWN'!E638/SUM('Key inputs_EB_OWN'!E$620:E$639)),"")</f>
        <v>0</v>
      </c>
      <c r="L139" s="173">
        <f>IFERROR(IF(AND('Key inputs_EB_OWN'!F638/SUM('Key inputs_EB_OWN'!F$620:F$639)&gt;0,'Key inputs_EB_OWN'!F638/SUM('Key inputs_EB_OWN'!F$620:F$639)&lt;0.001),0.001,'Key inputs_EB_OWN'!F638/SUM('Key inputs_EB_OWN'!F$620:F$639)),"")</f>
        <v>0</v>
      </c>
      <c r="M139" s="173">
        <f>IFERROR(IF(AND('Key inputs_EB_OWN'!G638/SUM('Key inputs_EB_OWN'!G$620:G$639)&gt;0,'Key inputs_EB_OWN'!G638/SUM('Key inputs_EB_OWN'!G$620:G$639)&lt;0.001),0.001,'Key inputs_EB_OWN'!G638/SUM('Key inputs_EB_OWN'!G$620:G$639)),"")</f>
        <v>0</v>
      </c>
      <c r="N139" s="173">
        <f>IFERROR(IF(AND('Key inputs_EB_OWN'!H638/SUM('Key inputs_EB_OWN'!H$620:H$639)&gt;0,'Key inputs_EB_OWN'!H638/SUM('Key inputs_EB_OWN'!H$620:H$639)&lt;0.001),0.001,'Key inputs_EB_OWN'!H638/SUM('Key inputs_EB_OWN'!H$620:H$639)),"")</f>
        <v>0</v>
      </c>
      <c r="O139" s="173">
        <f>IFERROR(IF(AND('Key inputs_EB_OWN'!I638/SUM('Key inputs_EB_OWN'!I$620:I$639)&gt;0,'Key inputs_EB_OWN'!I638/SUM('Key inputs_EB_OWN'!I$620:I$639)&lt;0.001),0.001,'Key inputs_EB_OWN'!I638/SUM('Key inputs_EB_OWN'!I$620:I$639)),"")</f>
        <v>0.20498629653157849</v>
      </c>
      <c r="P139" s="173">
        <f>IFERROR(IF(AND('Key inputs_EB_OWN'!J638/SUM('Key inputs_EB_OWN'!J$620:J$639)&gt;0,'Key inputs_EB_OWN'!J638/SUM('Key inputs_EB_OWN'!J$620:J$639)&lt;0.001),0.001,'Key inputs_EB_OWN'!J638/SUM('Key inputs_EB_OWN'!J$620:J$639)),"")</f>
        <v>1E-3</v>
      </c>
      <c r="Q139" s="173">
        <f>IFERROR(IF(AND('Key inputs_EB_OWN'!K638/SUM('Key inputs_EB_OWN'!K$620:K$639)&gt;0,'Key inputs_EB_OWN'!K638/SUM('Key inputs_EB_OWN'!K$620:K$639)&lt;0.001),0.001,'Key inputs_EB_OWN'!K638/SUM('Key inputs_EB_OWN'!K$620:K$639)),"")</f>
        <v>0</v>
      </c>
      <c r="R139" s="173" t="str">
        <f>IFERROR(IF(AND('Key inputs_EB_OWN'!L638/SUM('Key inputs_EB_OWN'!L$620:L$639)&gt;0,'Key inputs_EB_OWN'!L638/SUM('Key inputs_EB_OWN'!L$620:L$639)&lt;0.001),0.001,'Key inputs_EB_OWN'!L638/SUM('Key inputs_EB_OWN'!L$620:L$639)),"")</f>
        <v/>
      </c>
      <c r="S139" s="173">
        <f>IFERROR(IF(AND('Key inputs_EB_OWN'!M638/SUM('Key inputs_EB_OWN'!M$620:M$639)&gt;0,'Key inputs_EB_OWN'!M638/SUM('Key inputs_EB_OWN'!M$620:M$639)&lt;0.001),0.001,'Key inputs_EB_OWN'!M638/SUM('Key inputs_EB_OWN'!M$620:M$639)),"")</f>
        <v>0</v>
      </c>
      <c r="T139" s="173">
        <f>IFERROR(IF(AND('Key inputs_EB_OWN'!N638/SUM('Key inputs_EB_OWN'!N$620:N$639)&gt;0,'Key inputs_EB_OWN'!N638/SUM('Key inputs_EB_OWN'!N$620:N$639)&lt;0.001),0.001,'Key inputs_EB_OWN'!N638/SUM('Key inputs_EB_OWN'!N$620:N$639)),"")</f>
        <v>0</v>
      </c>
      <c r="U139" s="173">
        <f>IFERROR(IF(AND('Key inputs_EB_OWN'!O638/SUM('Key inputs_EB_OWN'!O$620:O$639)&gt;0,'Key inputs_EB_OWN'!O638/SUM('Key inputs_EB_OWN'!O$620:O$639)&lt;0.001),0.001,'Key inputs_EB_OWN'!O638/SUM('Key inputs_EB_OWN'!O$620:O$639)),"")</f>
        <v>0</v>
      </c>
      <c r="V139" s="173">
        <f>IFERROR(IF(AND('Key inputs_EB_OWN'!P638/SUM('Key inputs_EB_OWN'!P$620:P$639)&gt;0,'Key inputs_EB_OWN'!P638/SUM('Key inputs_EB_OWN'!P$620:P$639)&lt;0.001),0.001,'Key inputs_EB_OWN'!P638/SUM('Key inputs_EB_OWN'!P$620:P$639)),"")</f>
        <v>5.3709904391244226E-3</v>
      </c>
      <c r="W139" s="173">
        <f>IFERROR(IF(AND('Key inputs_EB_OWN'!Q638/SUM('Key inputs_EB_OWN'!Q$620:Q$639)&gt;0,'Key inputs_EB_OWN'!Q638/SUM('Key inputs_EB_OWN'!Q$620:Q$639)&lt;0.001),0.001,'Key inputs_EB_OWN'!Q638/SUM('Key inputs_EB_OWN'!Q$620:Q$639)),"")</f>
        <v>6.8759349110325552E-3</v>
      </c>
      <c r="X139" s="173">
        <f>IFERROR(IF(AND('Key inputs_EB_OWN'!R638/SUM('Key inputs_EB_OWN'!R$620:R$639)&gt;0,'Key inputs_EB_OWN'!R638/SUM('Key inputs_EB_OWN'!R$620:R$639)&lt;0.001),0.001,'Key inputs_EB_OWN'!R638/SUM('Key inputs_EB_OWN'!R$620:R$639)),"")</f>
        <v>0</v>
      </c>
      <c r="Y139" s="173">
        <f>IFERROR(IF(AND('Key inputs_EB_OWN'!S638/SUM('Key inputs_EB_OWN'!S$620:S$639)&gt;0,'Key inputs_EB_OWN'!S638/SUM('Key inputs_EB_OWN'!S$620:S$639)&lt;0.001),0.001,'Key inputs_EB_OWN'!S638/SUM('Key inputs_EB_OWN'!S$620:S$639)),"")</f>
        <v>5.6581393079099949E-2</v>
      </c>
      <c r="Z139" s="173">
        <f>IFERROR(IF(AND('Key inputs_EB_OWN'!T638/SUM('Key inputs_EB_OWN'!T$620:T$639)&gt;0,'Key inputs_EB_OWN'!T638/SUM('Key inputs_EB_OWN'!T$620:T$639)&lt;0.001),0.001,'Key inputs_EB_OWN'!T638/SUM('Key inputs_EB_OWN'!T$620:T$639)),"")</f>
        <v>1E-3</v>
      </c>
      <c r="AA139" s="173">
        <f>IFERROR(IF(AND('Key inputs_EB_OWN'!U638/SUM('Key inputs_EB_OWN'!U$620:U$639)&gt;0,'Key inputs_EB_OWN'!U638/SUM('Key inputs_EB_OWN'!U$620:U$639)&lt;0.001),0.001,'Key inputs_EB_OWN'!U638/SUM('Key inputs_EB_OWN'!U$620:U$639)),"")</f>
        <v>5.6082553067796203E-3</v>
      </c>
      <c r="AB139" s="173">
        <f>IFERROR(IF(AND('Key inputs_EB_OWN'!V638/SUM('Key inputs_EB_OWN'!V$620:V$639)&gt;0,'Key inputs_EB_OWN'!V638/SUM('Key inputs_EB_OWN'!V$620:V$639)&lt;0.001),0.001,'Key inputs_EB_OWN'!V638/SUM('Key inputs_EB_OWN'!V$620:V$639)),"")</f>
        <v>0</v>
      </c>
      <c r="AC139" s="173" t="str">
        <f>IFERROR(IF(AND('Key inputs_EB_OWN'!W638/SUM('Key inputs_EB_OWN'!W$620:W$639)&gt;0,'Key inputs_EB_OWN'!W638/SUM('Key inputs_EB_OWN'!W$620:W$639)&lt;0.001),0.001,'Key inputs_EB_OWN'!W638/SUM('Key inputs_EB_OWN'!W$620:W$639)),"")</f>
        <v/>
      </c>
      <c r="AD139" s="173">
        <f>IFERROR(IF(AND('Key inputs_EB_OWN'!X638/SUM('Key inputs_EB_OWN'!X$620:X$639)&gt;0,'Key inputs_EB_OWN'!X638/SUM('Key inputs_EB_OWN'!X$620:X$639)&lt;0.001),0.001,'Key inputs_EB_OWN'!X638/SUM('Key inputs_EB_OWN'!X$620:X$639)),"")</f>
        <v>0</v>
      </c>
      <c r="AE139" s="173">
        <f>IFERROR(IF(AND('Key inputs_EB_OWN'!Y638/SUM('Key inputs_EB_OWN'!Y$620:Y$639)&gt;0,'Key inputs_EB_OWN'!Y638/SUM('Key inputs_EB_OWN'!Y$620:Y$639)&lt;0.001),0.001,'Key inputs_EB_OWN'!Y638/SUM('Key inputs_EB_OWN'!Y$620:Y$639)),"")</f>
        <v>0</v>
      </c>
      <c r="AF139" s="173">
        <f>IFERROR(IF(AND('Key inputs_EB_OWN'!Z638/SUM('Key inputs_EB_OWN'!Z$620:Z$639)&gt;0,'Key inputs_EB_OWN'!Z638/SUM('Key inputs_EB_OWN'!Z$620:Z$639)&lt;0.001),0.001,'Key inputs_EB_OWN'!Z638/SUM('Key inputs_EB_OWN'!Z$620:Z$639)),"")</f>
        <v>0</v>
      </c>
      <c r="AG139" s="173">
        <f>IFERROR(IF(AND('Key inputs_EB_OWN'!AA638/SUM('Key inputs_EB_OWN'!AA$620:AA$639)&gt;0,'Key inputs_EB_OWN'!AA638/SUM('Key inputs_EB_OWN'!AA$620:AA$639)&lt;0.001),0.001,'Key inputs_EB_OWN'!AA638/SUM('Key inputs_EB_OWN'!AA$620:AA$639)),"")</f>
        <v>8.4940855521404967E-3</v>
      </c>
      <c r="AH139" s="173">
        <f>IFERROR(IF(AND('Key inputs_EB_OWN'!AB638/SUM('Key inputs_EB_OWN'!AB$620:AB$639)&gt;0,'Key inputs_EB_OWN'!AB638/SUM('Key inputs_EB_OWN'!AB$620:AB$639)&lt;0.001),0.001,'Key inputs_EB_OWN'!AB638/SUM('Key inputs_EB_OWN'!AB$620:AB$639)),"")</f>
        <v>0</v>
      </c>
      <c r="AI139" s="173" t="str">
        <f>IFERROR(IF(AND('Key inputs_EB_OWN'!AC638/SUM('Key inputs_EB_OWN'!AC$620:AC$639)&gt;0,'Key inputs_EB_OWN'!AC638/SUM('Key inputs_EB_OWN'!AC$620:AC$639)&lt;0.001),0.001,'Key inputs_EB_OWN'!AC638/SUM('Key inputs_EB_OWN'!AC$620:AC$639)),"")</f>
        <v/>
      </c>
      <c r="AJ139" s="173">
        <f>IFERROR(IF(AND('Key inputs_EB_OWN'!AD638/SUM('Key inputs_EB_OWN'!AD$620:AD$639)&gt;0,'Key inputs_EB_OWN'!AD638/SUM('Key inputs_EB_OWN'!AD$620:AD$639)&lt;0.001),0.001,'Key inputs_EB_OWN'!AD638/SUM('Key inputs_EB_OWN'!AD$620:AD$639)),"")</f>
        <v>0</v>
      </c>
      <c r="AK139" s="173">
        <f>IFERROR(IF(AND('Key inputs_EB_OWN'!AE638/SUM('Key inputs_EB_OWN'!AE$620:AE$639)&gt;0,'Key inputs_EB_OWN'!AE638/SUM('Key inputs_EB_OWN'!AE$620:AE$639)&lt;0.001),0.001,'Key inputs_EB_OWN'!AE638/SUM('Key inputs_EB_OWN'!AE$620:AE$639)),"")</f>
        <v>0</v>
      </c>
      <c r="AL139" s="173">
        <f>IFERROR(IF(AND('Key inputs_EB_OWN'!AF638/SUM('Key inputs_EB_OWN'!AF$620:AF$639)&gt;0,'Key inputs_EB_OWN'!AF638/SUM('Key inputs_EB_OWN'!AF$620:AF$639)&lt;0.001),0.001,'Key inputs_EB_OWN'!AF638/SUM('Key inputs_EB_OWN'!AF$620:AF$639)),"")</f>
        <v>0</v>
      </c>
    </row>
    <row r="140" spans="1:47">
      <c r="A140" s="236"/>
      <c r="B140" s="236"/>
      <c r="C140" s="236" t="str">
        <f>Commodities!$C$101</f>
        <v>UPSWAS</v>
      </c>
      <c r="D140" s="236"/>
      <c r="E140" s="236"/>
      <c r="F140" s="259" t="s">
        <v>359</v>
      </c>
      <c r="G140" s="259" t="s">
        <v>702</v>
      </c>
      <c r="H140" s="236" t="s">
        <v>661</v>
      </c>
      <c r="I140" s="236">
        <v>2019</v>
      </c>
      <c r="J140" s="236" t="s">
        <v>650</v>
      </c>
      <c r="K140" s="226">
        <f>IFERROR(IF(AND('Key inputs_EB_OWN'!E639/SUM('Key inputs_EB_OWN'!E$620:E$639)&gt;0,'Key inputs_EB_OWN'!E639/SUM('Key inputs_EB_OWN'!E$620:E$639)&lt;0.001),0.001,'Key inputs_EB_OWN'!E639/SUM('Key inputs_EB_OWN'!E$620:E$639)),"")</f>
        <v>0</v>
      </c>
      <c r="L140" s="226">
        <f>IFERROR(IF(AND('Key inputs_EB_OWN'!F639/SUM('Key inputs_EB_OWN'!F$620:F$639)&gt;0,'Key inputs_EB_OWN'!F639/SUM('Key inputs_EB_OWN'!F$620:F$639)&lt;0.001),0.001,'Key inputs_EB_OWN'!F639/SUM('Key inputs_EB_OWN'!F$620:F$639)),"")</f>
        <v>0</v>
      </c>
      <c r="M140" s="226">
        <f>IFERROR(IF(AND('Key inputs_EB_OWN'!G639/SUM('Key inputs_EB_OWN'!G$620:G$639)&gt;0,'Key inputs_EB_OWN'!G639/SUM('Key inputs_EB_OWN'!G$620:G$639)&lt;0.001),0.001,'Key inputs_EB_OWN'!G639/SUM('Key inputs_EB_OWN'!G$620:G$639)),"")</f>
        <v>0</v>
      </c>
      <c r="N140" s="226">
        <f>IFERROR(IF(AND('Key inputs_EB_OWN'!H639/SUM('Key inputs_EB_OWN'!H$620:H$639)&gt;0,'Key inputs_EB_OWN'!H639/SUM('Key inputs_EB_OWN'!H$620:H$639)&lt;0.001),0.001,'Key inputs_EB_OWN'!H639/SUM('Key inputs_EB_OWN'!H$620:H$639)),"")</f>
        <v>0</v>
      </c>
      <c r="O140" s="226">
        <f>IFERROR(IF(AND('Key inputs_EB_OWN'!I639/SUM('Key inputs_EB_OWN'!I$620:I$639)&gt;0,'Key inputs_EB_OWN'!I639/SUM('Key inputs_EB_OWN'!I$620:I$639)&lt;0.001),0.001,'Key inputs_EB_OWN'!I639/SUM('Key inputs_EB_OWN'!I$620:I$639)),"")</f>
        <v>0</v>
      </c>
      <c r="P140" s="226">
        <f>IFERROR(IF(AND('Key inputs_EB_OWN'!J639/SUM('Key inputs_EB_OWN'!J$620:J$639)&gt;0,'Key inputs_EB_OWN'!J639/SUM('Key inputs_EB_OWN'!J$620:J$639)&lt;0.001),0.001,'Key inputs_EB_OWN'!J639/SUM('Key inputs_EB_OWN'!J$620:J$639)),"")</f>
        <v>0</v>
      </c>
      <c r="Q140" s="226">
        <f>IFERROR(IF(AND('Key inputs_EB_OWN'!K639/SUM('Key inputs_EB_OWN'!K$620:K$639)&gt;0,'Key inputs_EB_OWN'!K639/SUM('Key inputs_EB_OWN'!K$620:K$639)&lt;0.001),0.001,'Key inputs_EB_OWN'!K639/SUM('Key inputs_EB_OWN'!K$620:K$639)),"")</f>
        <v>0</v>
      </c>
      <c r="R140" s="226" t="str">
        <f>IFERROR(IF(AND('Key inputs_EB_OWN'!L639/SUM('Key inputs_EB_OWN'!L$620:L$639)&gt;0,'Key inputs_EB_OWN'!L639/SUM('Key inputs_EB_OWN'!L$620:L$639)&lt;0.001),0.001,'Key inputs_EB_OWN'!L639/SUM('Key inputs_EB_OWN'!L$620:L$639)),"")</f>
        <v/>
      </c>
      <c r="S140" s="226">
        <f>IFERROR(IF(AND('Key inputs_EB_OWN'!M639/SUM('Key inputs_EB_OWN'!M$620:M$639)&gt;0,'Key inputs_EB_OWN'!M639/SUM('Key inputs_EB_OWN'!M$620:M$639)&lt;0.001),0.001,'Key inputs_EB_OWN'!M639/SUM('Key inputs_EB_OWN'!M$620:M$639)),"")</f>
        <v>0</v>
      </c>
      <c r="T140" s="226">
        <f>IFERROR(IF(AND('Key inputs_EB_OWN'!N639/SUM('Key inputs_EB_OWN'!N$620:N$639)&gt;0,'Key inputs_EB_OWN'!N639/SUM('Key inputs_EB_OWN'!N$620:N$639)&lt;0.001),0.001,'Key inputs_EB_OWN'!N639/SUM('Key inputs_EB_OWN'!N$620:N$639)),"")</f>
        <v>0</v>
      </c>
      <c r="U140" s="226">
        <f>IFERROR(IF(AND('Key inputs_EB_OWN'!O639/SUM('Key inputs_EB_OWN'!O$620:O$639)&gt;0,'Key inputs_EB_OWN'!O639/SUM('Key inputs_EB_OWN'!O$620:O$639)&lt;0.001),0.001,'Key inputs_EB_OWN'!O639/SUM('Key inputs_EB_OWN'!O$620:O$639)),"")</f>
        <v>0</v>
      </c>
      <c r="V140" s="226">
        <f>IFERROR(IF(AND('Key inputs_EB_OWN'!P639/SUM('Key inputs_EB_OWN'!P$620:P$639)&gt;0,'Key inputs_EB_OWN'!P639/SUM('Key inputs_EB_OWN'!P$620:P$639)&lt;0.001),0.001,'Key inputs_EB_OWN'!P639/SUM('Key inputs_EB_OWN'!P$620:P$639)),"")</f>
        <v>0</v>
      </c>
      <c r="W140" s="226">
        <f>IFERROR(IF(AND('Key inputs_EB_OWN'!Q639/SUM('Key inputs_EB_OWN'!Q$620:Q$639)&gt;0,'Key inputs_EB_OWN'!Q639/SUM('Key inputs_EB_OWN'!Q$620:Q$639)&lt;0.001),0.001,'Key inputs_EB_OWN'!Q639/SUM('Key inputs_EB_OWN'!Q$620:Q$639)),"")</f>
        <v>0</v>
      </c>
      <c r="X140" s="226">
        <f>IFERROR(IF(AND('Key inputs_EB_OWN'!R639/SUM('Key inputs_EB_OWN'!R$620:R$639)&gt;0,'Key inputs_EB_OWN'!R639/SUM('Key inputs_EB_OWN'!R$620:R$639)&lt;0.001),0.001,'Key inputs_EB_OWN'!R639/SUM('Key inputs_EB_OWN'!R$620:R$639)),"")</f>
        <v>0</v>
      </c>
      <c r="Y140" s="226">
        <f>IFERROR(IF(AND('Key inputs_EB_OWN'!S639/SUM('Key inputs_EB_OWN'!S$620:S$639)&gt;0,'Key inputs_EB_OWN'!S639/SUM('Key inputs_EB_OWN'!S$620:S$639)&lt;0.001),0.001,'Key inputs_EB_OWN'!S639/SUM('Key inputs_EB_OWN'!S$620:S$639)),"")</f>
        <v>0</v>
      </c>
      <c r="Z140" s="226">
        <f>IFERROR(IF(AND('Key inputs_EB_OWN'!T639/SUM('Key inputs_EB_OWN'!T$620:T$639)&gt;0,'Key inputs_EB_OWN'!T639/SUM('Key inputs_EB_OWN'!T$620:T$639)&lt;0.001),0.001,'Key inputs_EB_OWN'!T639/SUM('Key inputs_EB_OWN'!T$620:T$639)),"")</f>
        <v>0</v>
      </c>
      <c r="AA140" s="226">
        <f>IFERROR(IF(AND('Key inputs_EB_OWN'!U639/SUM('Key inputs_EB_OWN'!U$620:U$639)&gt;0,'Key inputs_EB_OWN'!U639/SUM('Key inputs_EB_OWN'!U$620:U$639)&lt;0.001),0.001,'Key inputs_EB_OWN'!U639/SUM('Key inputs_EB_OWN'!U$620:U$639)),"")</f>
        <v>1.7932872757725003E-2</v>
      </c>
      <c r="AB140" s="226">
        <f>IFERROR(IF(AND('Key inputs_EB_OWN'!V639/SUM('Key inputs_EB_OWN'!V$620:V$639)&gt;0,'Key inputs_EB_OWN'!V639/SUM('Key inputs_EB_OWN'!V$620:V$639)&lt;0.001),0.001,'Key inputs_EB_OWN'!V639/SUM('Key inputs_EB_OWN'!V$620:V$639)),"")</f>
        <v>0</v>
      </c>
      <c r="AC140" s="226" t="str">
        <f>IFERROR(IF(AND('Key inputs_EB_OWN'!W639/SUM('Key inputs_EB_OWN'!W$620:W$639)&gt;0,'Key inputs_EB_OWN'!W639/SUM('Key inputs_EB_OWN'!W$620:W$639)&lt;0.001),0.001,'Key inputs_EB_OWN'!W639/SUM('Key inputs_EB_OWN'!W$620:W$639)),"")</f>
        <v/>
      </c>
      <c r="AD140" s="226">
        <f>IFERROR(IF(AND('Key inputs_EB_OWN'!X639/SUM('Key inputs_EB_OWN'!X$620:X$639)&gt;0,'Key inputs_EB_OWN'!X639/SUM('Key inputs_EB_OWN'!X$620:X$639)&lt;0.001),0.001,'Key inputs_EB_OWN'!X639/SUM('Key inputs_EB_OWN'!X$620:X$639)),"")</f>
        <v>0</v>
      </c>
      <c r="AE140" s="226">
        <f>IFERROR(IF(AND('Key inputs_EB_OWN'!Y639/SUM('Key inputs_EB_OWN'!Y$620:Y$639)&gt;0,'Key inputs_EB_OWN'!Y639/SUM('Key inputs_EB_OWN'!Y$620:Y$639)&lt;0.001),0.001,'Key inputs_EB_OWN'!Y639/SUM('Key inputs_EB_OWN'!Y$620:Y$639)),"")</f>
        <v>0</v>
      </c>
      <c r="AF140" s="226">
        <f>IFERROR(IF(AND('Key inputs_EB_OWN'!Z639/SUM('Key inputs_EB_OWN'!Z$620:Z$639)&gt;0,'Key inputs_EB_OWN'!Z639/SUM('Key inputs_EB_OWN'!Z$620:Z$639)&lt;0.001),0.001,'Key inputs_EB_OWN'!Z639/SUM('Key inputs_EB_OWN'!Z$620:Z$639)),"")</f>
        <v>0</v>
      </c>
      <c r="AG140" s="226">
        <f>IFERROR(IF(AND('Key inputs_EB_OWN'!AA639/SUM('Key inputs_EB_OWN'!AA$620:AA$639)&gt;0,'Key inputs_EB_OWN'!AA639/SUM('Key inputs_EB_OWN'!AA$620:AA$639)&lt;0.001),0.001,'Key inputs_EB_OWN'!AA639/SUM('Key inputs_EB_OWN'!AA$620:AA$639)),"")</f>
        <v>0</v>
      </c>
      <c r="AH140" s="226">
        <f>IFERROR(IF(AND('Key inputs_EB_OWN'!AB639/SUM('Key inputs_EB_OWN'!AB$620:AB$639)&gt;0,'Key inputs_EB_OWN'!AB639/SUM('Key inputs_EB_OWN'!AB$620:AB$639)&lt;0.001),0.001,'Key inputs_EB_OWN'!AB639/SUM('Key inputs_EB_OWN'!AB$620:AB$639)),"")</f>
        <v>0</v>
      </c>
      <c r="AI140" s="226" t="str">
        <f>IFERROR(IF(AND('Key inputs_EB_OWN'!AC639/SUM('Key inputs_EB_OWN'!AC$620:AC$639)&gt;0,'Key inputs_EB_OWN'!AC639/SUM('Key inputs_EB_OWN'!AC$620:AC$639)&lt;0.001),0.001,'Key inputs_EB_OWN'!AC639/SUM('Key inputs_EB_OWN'!AC$620:AC$639)),"")</f>
        <v/>
      </c>
      <c r="AJ140" s="226">
        <f>IFERROR(IF(AND('Key inputs_EB_OWN'!AD639/SUM('Key inputs_EB_OWN'!AD$620:AD$639)&gt;0,'Key inputs_EB_OWN'!AD639/SUM('Key inputs_EB_OWN'!AD$620:AD$639)&lt;0.001),0.001,'Key inputs_EB_OWN'!AD639/SUM('Key inputs_EB_OWN'!AD$620:AD$639)),"")</f>
        <v>0</v>
      </c>
      <c r="AK140" s="226">
        <f>IFERROR(IF(AND('Key inputs_EB_OWN'!AE639/SUM('Key inputs_EB_OWN'!AE$620:AE$639)&gt;0,'Key inputs_EB_OWN'!AE639/SUM('Key inputs_EB_OWN'!AE$620:AE$639)&lt;0.001),0.001,'Key inputs_EB_OWN'!AE639/SUM('Key inputs_EB_OWN'!AE$620:AE$639)),"")</f>
        <v>0</v>
      </c>
      <c r="AL140" s="226">
        <f>IFERROR(IF(AND('Key inputs_EB_OWN'!AF639/SUM('Key inputs_EB_OWN'!AF$620:AF$639)&gt;0,'Key inputs_EB_OWN'!AF639/SUM('Key inputs_EB_OWN'!AF$620:AF$639)&lt;0.001),0.001,'Key inputs_EB_OWN'!AF639/SUM('Key inputs_EB_OWN'!AF$620:AF$639)),"")</f>
        <v>0</v>
      </c>
    </row>
    <row r="141" spans="1:47">
      <c r="A141" t="str">
        <f>AO14</f>
        <v>U-TRF-OILREF_00</v>
      </c>
      <c r="B141" t="str">
        <f>AP14</f>
        <v>UPS Transformation: Oil refineries - Existing</v>
      </c>
      <c r="C141" s="4"/>
      <c r="D141" s="4"/>
      <c r="E141" s="4"/>
      <c r="F141" s="4"/>
      <c r="G141" s="4" t="s">
        <v>695</v>
      </c>
      <c r="H141" s="4"/>
      <c r="I141" s="4"/>
      <c r="J141" s="4" t="s">
        <v>2665</v>
      </c>
      <c r="K141" s="333">
        <v>1</v>
      </c>
      <c r="L141" s="333">
        <v>1</v>
      </c>
      <c r="M141" s="333">
        <v>1</v>
      </c>
      <c r="N141" s="333">
        <v>1</v>
      </c>
      <c r="O141" s="333">
        <v>1</v>
      </c>
      <c r="P141" s="333">
        <v>1</v>
      </c>
      <c r="Q141" s="333">
        <v>1</v>
      </c>
      <c r="R141" s="333">
        <v>1</v>
      </c>
      <c r="S141" s="333">
        <v>1</v>
      </c>
      <c r="T141" s="333">
        <v>1</v>
      </c>
      <c r="U141" s="333">
        <v>1</v>
      </c>
      <c r="V141" s="333">
        <v>1</v>
      </c>
      <c r="W141" s="333">
        <v>1</v>
      </c>
      <c r="X141" s="333">
        <v>1</v>
      </c>
      <c r="Y141" s="333">
        <v>1</v>
      </c>
      <c r="Z141" s="333">
        <v>1</v>
      </c>
      <c r="AA141" s="333">
        <v>1</v>
      </c>
      <c r="AB141" s="333">
        <v>1</v>
      </c>
      <c r="AC141" s="333">
        <v>1</v>
      </c>
      <c r="AD141" s="333">
        <v>1</v>
      </c>
      <c r="AE141" s="333">
        <v>1</v>
      </c>
      <c r="AF141" s="333">
        <v>1</v>
      </c>
      <c r="AG141" s="333">
        <v>1</v>
      </c>
      <c r="AH141" s="333">
        <v>1</v>
      </c>
      <c r="AI141" s="333">
        <v>1</v>
      </c>
      <c r="AJ141" s="333">
        <v>1</v>
      </c>
      <c r="AK141" s="333">
        <v>1</v>
      </c>
      <c r="AL141" s="333">
        <v>1</v>
      </c>
    </row>
    <row r="142" spans="1:47">
      <c r="C142" s="4"/>
      <c r="D142" s="4"/>
      <c r="E142" s="4"/>
      <c r="F142" s="4"/>
      <c r="G142" s="4" t="s">
        <v>697</v>
      </c>
      <c r="H142" s="4"/>
      <c r="I142" s="4"/>
      <c r="J142" s="4" t="s">
        <v>698</v>
      </c>
      <c r="K142" s="331">
        <v>100</v>
      </c>
      <c r="L142" s="331">
        <v>100</v>
      </c>
      <c r="M142" s="331">
        <v>100</v>
      </c>
      <c r="N142" s="331">
        <v>100</v>
      </c>
      <c r="O142" s="331">
        <v>100</v>
      </c>
      <c r="P142" s="331">
        <v>100</v>
      </c>
      <c r="Q142" s="331">
        <v>100</v>
      </c>
      <c r="R142" s="331">
        <v>100</v>
      </c>
      <c r="S142" s="331">
        <v>100</v>
      </c>
      <c r="T142" s="331">
        <v>100</v>
      </c>
      <c r="U142" s="331">
        <v>100</v>
      </c>
      <c r="V142" s="331">
        <v>100</v>
      </c>
      <c r="W142" s="331">
        <v>100</v>
      </c>
      <c r="X142" s="331">
        <v>100</v>
      </c>
      <c r="Y142" s="331">
        <v>100</v>
      </c>
      <c r="Z142" s="331">
        <v>100</v>
      </c>
      <c r="AA142" s="331">
        <v>100</v>
      </c>
      <c r="AB142" s="331">
        <v>100</v>
      </c>
      <c r="AC142" s="331">
        <v>100</v>
      </c>
      <c r="AD142" s="331">
        <v>100</v>
      </c>
      <c r="AE142" s="331">
        <v>100</v>
      </c>
      <c r="AF142" s="331">
        <v>100</v>
      </c>
      <c r="AG142" s="331">
        <v>100</v>
      </c>
      <c r="AH142" s="331">
        <v>100</v>
      </c>
      <c r="AI142" s="331">
        <v>100</v>
      </c>
      <c r="AJ142" s="331">
        <v>100</v>
      </c>
      <c r="AK142" s="331">
        <v>100</v>
      </c>
      <c r="AL142" s="331">
        <v>100</v>
      </c>
    </row>
    <row r="143" spans="1:47">
      <c r="A143" s="281"/>
      <c r="B143" s="281"/>
      <c r="C143" s="346"/>
      <c r="D143" s="346"/>
      <c r="E143" s="346"/>
      <c r="F143" s="346"/>
      <c r="G143" s="346" t="s">
        <v>706</v>
      </c>
      <c r="H143" s="346" t="s">
        <v>661</v>
      </c>
      <c r="I143" s="346">
        <v>2019</v>
      </c>
      <c r="J143" t="s">
        <v>650</v>
      </c>
      <c r="K143" s="347">
        <f>(-SUM('Key inputs_Refineries'!E$11:E$13)/10^3)/K151</f>
        <v>0.5827302512511181</v>
      </c>
      <c r="L143" s="347">
        <f>(-SUM('Key inputs_Refineries'!F$11:F$13)/10^3)/L151</f>
        <v>0.57669224255383911</v>
      </c>
      <c r="M143" s="347">
        <f>(-SUM('Key inputs_Refineries'!G$11:G$13)/10^3)/M151</f>
        <v>0.53479539950277621</v>
      </c>
      <c r="N143" s="347">
        <f>(-SUM('Key inputs_Refineries'!H$11:H$13)/10^3)/N151</f>
        <v>1.0142922917807942</v>
      </c>
      <c r="O143" s="347">
        <f>(-SUM('Key inputs_Refineries'!I$11:I$13)/10^3)/O151</f>
        <v>0.99402950949791224</v>
      </c>
      <c r="P143" s="347">
        <f>(-SUM('Key inputs_Refineries'!J$11:J$13)/10^3)/P151</f>
        <v>0.64366378921863143</v>
      </c>
      <c r="Q143" s="347">
        <f>(-SUM('Key inputs_Refineries'!K$11:K$13)/10^3)/Q151</f>
        <v>0.6981778600202343</v>
      </c>
      <c r="R143" s="347">
        <f>(-SUM('Key inputs_Refineries'!L$11:L$13)/10^3)/R151</f>
        <v>0.66242786066896076</v>
      </c>
      <c r="S143" s="347">
        <f>(-SUM('Key inputs_Refineries'!M$11:M$13)/10^3)/S151</f>
        <v>0.76715877901579155</v>
      </c>
      <c r="T143" s="347">
        <f>(-SUM('Key inputs_Refineries'!N$11:N$13)/10^3)/T151</f>
        <v>0.6901466731655691</v>
      </c>
      <c r="U143" s="347">
        <f>(-SUM('Key inputs_Refineries'!O$11:O$13)/10^3)/U151</f>
        <v>0.75141562809130868</v>
      </c>
      <c r="V143" s="347">
        <f>(-SUM('Key inputs_Refineries'!P$11:P$13)/10^3)/V151</f>
        <v>0.77255601478709046</v>
      </c>
      <c r="W143" s="347">
        <f>(-SUM('Key inputs_Refineries'!Q$11:Q$13)/10^3)/W151</f>
        <v>0.31661156662001205</v>
      </c>
      <c r="X143" s="347">
        <f>(-SUM('Key inputs_Refineries'!R$11:R$13)/10^3)/X151</f>
        <v>0.77668376649678084</v>
      </c>
      <c r="Y143" s="347">
        <f>(-SUM('Key inputs_Refineries'!S$11:S$13)/10^3)/Y151</f>
        <v>0.74465680615034702</v>
      </c>
      <c r="Z143" s="347">
        <f>(-SUM('Key inputs_Refineries'!T$11:T$13)/10^3)/Z151</f>
        <v>0.6896457497010785</v>
      </c>
      <c r="AA143" s="347">
        <f>(-SUM('Key inputs_Refineries'!U$11:U$13)/10^3)/AA151</f>
        <v>0.81127189674661127</v>
      </c>
      <c r="AB143" s="347">
        <f>(-SUM('Key inputs_Refineries'!V$11:V$13)/10^3)/AB151</f>
        <v>0.79314630090665872</v>
      </c>
      <c r="AC143" s="347">
        <f>(-SUM('Key inputs_Refineries'!W$11:W$13)/10^3)/AC151</f>
        <v>0.98585036236715007</v>
      </c>
      <c r="AD143" s="347">
        <f>(-SUM('Key inputs_Refineries'!X$11:X$13)/10^3)/AD151</f>
        <v>0.86282036878214396</v>
      </c>
      <c r="AE143" s="347">
        <f>(-SUM('Key inputs_Refineries'!Y$11:Y$13)/10^3)/AE151</f>
        <v>0.41952718565386021</v>
      </c>
      <c r="AF143" s="347">
        <f>(-SUM('Key inputs_Refineries'!Z$11:Z$13)/10^3)/AF151</f>
        <v>0.66578854122129738</v>
      </c>
      <c r="AG143" s="347">
        <f>(-SUM('Key inputs_Refineries'!AA$11:AA$13)/10^3)/AG151</f>
        <v>0.74325002204595692</v>
      </c>
      <c r="AH143" s="347">
        <f>(-SUM('Key inputs_Refineries'!AB$11:AB$13)/10^3)/AH151</f>
        <v>0.38274119768330195</v>
      </c>
      <c r="AI143" s="347">
        <f>(-SUM('Key inputs_Refineries'!AC$11:AC$13)/10^3)/AI151</f>
        <v>0.15686280559317881</v>
      </c>
      <c r="AJ143" s="347">
        <f>(-SUM('Key inputs_Refineries'!AD$11:AD$13)/10^3)/AJ151</f>
        <v>0.94639286516748022</v>
      </c>
      <c r="AK143" s="347">
        <f>(-SUM('Key inputs_Refineries'!AE$11:AE$13)/10^3)/AK151</f>
        <v>0.7964637569060854</v>
      </c>
      <c r="AL143" s="347">
        <f>(-SUM('Key inputs_Refineries'!AF$11:AF$13)/10^3)/AL151</f>
        <v>0.85649588962691625</v>
      </c>
    </row>
    <row r="144" spans="1:47">
      <c r="A144" s="281"/>
      <c r="B144" s="281"/>
      <c r="C144" s="346"/>
      <c r="D144" s="346"/>
      <c r="E144" s="346"/>
      <c r="F144" s="346"/>
      <c r="G144" s="346" t="s">
        <v>706</v>
      </c>
      <c r="H144" s="346" t="s">
        <v>661</v>
      </c>
      <c r="I144" s="346">
        <v>2025</v>
      </c>
      <c r="J144" t="s">
        <v>650</v>
      </c>
      <c r="K144" s="421">
        <v>1</v>
      </c>
      <c r="L144" s="421">
        <v>1</v>
      </c>
      <c r="M144" s="421">
        <v>1</v>
      </c>
      <c r="N144" s="421">
        <v>1</v>
      </c>
      <c r="O144" s="421">
        <v>1</v>
      </c>
      <c r="P144" s="421">
        <v>1</v>
      </c>
      <c r="Q144" s="421">
        <v>1</v>
      </c>
      <c r="R144" s="421">
        <v>1</v>
      </c>
      <c r="S144" s="421">
        <v>1</v>
      </c>
      <c r="T144" s="421">
        <v>1</v>
      </c>
      <c r="U144" s="421">
        <v>1</v>
      </c>
      <c r="V144" s="421">
        <v>1</v>
      </c>
      <c r="W144" s="421">
        <v>1</v>
      </c>
      <c r="X144" s="421">
        <v>1</v>
      </c>
      <c r="Y144" s="421">
        <v>1</v>
      </c>
      <c r="Z144" s="421">
        <v>1</v>
      </c>
      <c r="AA144" s="421">
        <v>1</v>
      </c>
      <c r="AB144" s="421">
        <v>1</v>
      </c>
      <c r="AC144" s="421">
        <v>1</v>
      </c>
      <c r="AD144" s="421">
        <v>1</v>
      </c>
      <c r="AE144" s="421">
        <v>1</v>
      </c>
      <c r="AF144" s="421">
        <v>1</v>
      </c>
      <c r="AG144" s="421">
        <v>1</v>
      </c>
      <c r="AH144" s="421">
        <v>1</v>
      </c>
      <c r="AI144" s="421">
        <v>1</v>
      </c>
      <c r="AJ144" s="421">
        <v>1</v>
      </c>
      <c r="AK144" s="421">
        <v>1</v>
      </c>
      <c r="AL144" s="421">
        <v>1</v>
      </c>
    </row>
    <row r="145" spans="1:38">
      <c r="A145" s="281"/>
      <c r="B145" s="281"/>
      <c r="C145" s="346"/>
      <c r="D145" s="346"/>
      <c r="E145" s="346"/>
      <c r="F145" s="346"/>
      <c r="G145" s="346" t="s">
        <v>706</v>
      </c>
      <c r="H145" s="346" t="s">
        <v>661</v>
      </c>
      <c r="I145" s="346">
        <v>2050</v>
      </c>
      <c r="J145" t="s">
        <v>650</v>
      </c>
      <c r="K145" s="421">
        <v>1</v>
      </c>
      <c r="L145" s="421">
        <v>1</v>
      </c>
      <c r="M145" s="421">
        <v>1</v>
      </c>
      <c r="N145" s="421">
        <v>1</v>
      </c>
      <c r="O145" s="421">
        <v>1</v>
      </c>
      <c r="P145" s="421">
        <v>1</v>
      </c>
      <c r="Q145" s="421">
        <v>1</v>
      </c>
      <c r="R145" s="421">
        <v>1</v>
      </c>
      <c r="S145" s="421">
        <v>1</v>
      </c>
      <c r="T145" s="421">
        <v>1</v>
      </c>
      <c r="U145" s="421">
        <v>1</v>
      </c>
      <c r="V145" s="421">
        <v>1</v>
      </c>
      <c r="W145" s="421">
        <v>1</v>
      </c>
      <c r="X145" s="421">
        <v>1</v>
      </c>
      <c r="Y145" s="421">
        <v>1</v>
      </c>
      <c r="Z145" s="421">
        <v>1</v>
      </c>
      <c r="AA145" s="421">
        <v>1</v>
      </c>
      <c r="AB145" s="421">
        <v>1</v>
      </c>
      <c r="AC145" s="421">
        <v>1</v>
      </c>
      <c r="AD145" s="421">
        <v>1</v>
      </c>
      <c r="AE145" s="421">
        <v>1</v>
      </c>
      <c r="AF145" s="421">
        <v>1</v>
      </c>
      <c r="AG145" s="421">
        <v>1</v>
      </c>
      <c r="AH145" s="421">
        <v>1</v>
      </c>
      <c r="AI145" s="421">
        <v>1</v>
      </c>
      <c r="AJ145" s="421">
        <v>1</v>
      </c>
      <c r="AK145" s="421">
        <v>1</v>
      </c>
      <c r="AL145" s="421">
        <v>1</v>
      </c>
    </row>
    <row r="146" spans="1:38">
      <c r="A146" s="281"/>
      <c r="B146" s="281"/>
      <c r="C146" s="346"/>
      <c r="D146" s="346"/>
      <c r="E146" s="346"/>
      <c r="F146" s="346"/>
      <c r="G146" s="346" t="s">
        <v>706</v>
      </c>
      <c r="H146" s="346" t="s">
        <v>661</v>
      </c>
      <c r="I146" s="346">
        <v>0</v>
      </c>
      <c r="K146" s="421">
        <v>5</v>
      </c>
      <c r="L146" s="421">
        <v>5</v>
      </c>
      <c r="M146" s="421">
        <v>5</v>
      </c>
      <c r="N146" s="421">
        <v>5</v>
      </c>
      <c r="O146" s="421">
        <v>5</v>
      </c>
      <c r="P146" s="421">
        <v>5</v>
      </c>
      <c r="Q146" s="421">
        <v>5</v>
      </c>
      <c r="R146" s="421">
        <v>5</v>
      </c>
      <c r="S146" s="421">
        <v>5</v>
      </c>
      <c r="T146" s="421">
        <v>5</v>
      </c>
      <c r="U146" s="421">
        <v>5</v>
      </c>
      <c r="V146" s="421">
        <v>5</v>
      </c>
      <c r="W146" s="421">
        <v>5</v>
      </c>
      <c r="X146" s="421">
        <v>5</v>
      </c>
      <c r="Y146" s="421">
        <v>5</v>
      </c>
      <c r="Z146" s="421">
        <v>5</v>
      </c>
      <c r="AA146" s="421">
        <v>5</v>
      </c>
      <c r="AB146" s="421">
        <v>5</v>
      </c>
      <c r="AC146" s="421">
        <v>5</v>
      </c>
      <c r="AD146" s="421">
        <v>5</v>
      </c>
      <c r="AE146" s="421">
        <v>5</v>
      </c>
      <c r="AF146" s="421">
        <v>5</v>
      </c>
      <c r="AG146" s="421">
        <v>5</v>
      </c>
      <c r="AH146" s="421">
        <v>5</v>
      </c>
      <c r="AI146" s="421">
        <v>5</v>
      </c>
      <c r="AJ146" s="421">
        <v>5</v>
      </c>
      <c r="AK146" s="421">
        <v>5</v>
      </c>
      <c r="AL146" s="421">
        <v>5</v>
      </c>
    </row>
    <row r="147" spans="1:38">
      <c r="A147" s="4"/>
      <c r="B147" s="4"/>
      <c r="C147" s="4"/>
      <c r="D147" s="4"/>
      <c r="E147" s="4"/>
      <c r="F147" s="4"/>
      <c r="G147" s="4" t="s">
        <v>632</v>
      </c>
      <c r="H147" s="4" t="s">
        <v>700</v>
      </c>
      <c r="I147" s="4">
        <v>2019</v>
      </c>
      <c r="J147" s="4"/>
      <c r="K147" s="458">
        <f>K143</f>
        <v>0.5827302512511181</v>
      </c>
      <c r="L147" s="458">
        <f t="shared" ref="L147:AL147" si="2">L143</f>
        <v>0.57669224255383911</v>
      </c>
      <c r="M147" s="458">
        <f t="shared" si="2"/>
        <v>0.53479539950277621</v>
      </c>
      <c r="N147" s="458">
        <f t="shared" si="2"/>
        <v>1.0142922917807942</v>
      </c>
      <c r="O147" s="458">
        <f t="shared" si="2"/>
        <v>0.99402950949791224</v>
      </c>
      <c r="P147" s="458">
        <f t="shared" si="2"/>
        <v>0.64366378921863143</v>
      </c>
      <c r="Q147" s="458">
        <f t="shared" si="2"/>
        <v>0.6981778600202343</v>
      </c>
      <c r="R147" s="458">
        <f t="shared" si="2"/>
        <v>0.66242786066896076</v>
      </c>
      <c r="S147" s="458">
        <f t="shared" si="2"/>
        <v>0.76715877901579155</v>
      </c>
      <c r="T147" s="458">
        <f t="shared" si="2"/>
        <v>0.6901466731655691</v>
      </c>
      <c r="U147" s="458">
        <f t="shared" si="2"/>
        <v>0.75141562809130868</v>
      </c>
      <c r="V147" s="458">
        <f t="shared" si="2"/>
        <v>0.77255601478709046</v>
      </c>
      <c r="W147" s="458">
        <f t="shared" si="2"/>
        <v>0.31661156662001205</v>
      </c>
      <c r="X147" s="458">
        <f t="shared" si="2"/>
        <v>0.77668376649678084</v>
      </c>
      <c r="Y147" s="458">
        <f t="shared" si="2"/>
        <v>0.74465680615034702</v>
      </c>
      <c r="Z147" s="458">
        <f t="shared" si="2"/>
        <v>0.6896457497010785</v>
      </c>
      <c r="AA147" s="458">
        <f t="shared" si="2"/>
        <v>0.81127189674661127</v>
      </c>
      <c r="AB147" s="458">
        <f t="shared" si="2"/>
        <v>0.79314630090665872</v>
      </c>
      <c r="AC147" s="458">
        <f t="shared" si="2"/>
        <v>0.98585036236715007</v>
      </c>
      <c r="AD147" s="458">
        <f t="shared" si="2"/>
        <v>0.86282036878214396</v>
      </c>
      <c r="AE147" s="458">
        <f t="shared" si="2"/>
        <v>0.41952718565386021</v>
      </c>
      <c r="AF147" s="458">
        <f t="shared" si="2"/>
        <v>0.66578854122129738</v>
      </c>
      <c r="AG147" s="458">
        <f t="shared" si="2"/>
        <v>0.74325002204595692</v>
      </c>
      <c r="AH147" s="458">
        <f t="shared" si="2"/>
        <v>0.38274119768330195</v>
      </c>
      <c r="AI147" s="458">
        <f t="shared" si="2"/>
        <v>0.15686280559317881</v>
      </c>
      <c r="AJ147" s="458">
        <f t="shared" si="2"/>
        <v>0.94639286516748022</v>
      </c>
      <c r="AK147" s="458">
        <f t="shared" si="2"/>
        <v>0.7964637569060854</v>
      </c>
      <c r="AL147" s="458">
        <f t="shared" si="2"/>
        <v>0.85649588962691625</v>
      </c>
    </row>
    <row r="148" spans="1:38">
      <c r="A148" s="4"/>
      <c r="B148" s="4"/>
      <c r="C148" s="4"/>
      <c r="D148" s="4"/>
      <c r="E148" s="4"/>
      <c r="F148" s="4"/>
      <c r="G148" s="4" t="s">
        <v>632</v>
      </c>
      <c r="H148" s="4" t="s">
        <v>700</v>
      </c>
      <c r="I148" s="4">
        <v>2020</v>
      </c>
      <c r="J148" s="4"/>
      <c r="K148" s="331">
        <v>0</v>
      </c>
      <c r="L148" s="331">
        <v>0</v>
      </c>
      <c r="M148" s="331">
        <v>0</v>
      </c>
      <c r="N148" s="331">
        <v>0</v>
      </c>
      <c r="O148" s="331">
        <v>0</v>
      </c>
      <c r="P148" s="331">
        <v>0</v>
      </c>
      <c r="Q148" s="331">
        <v>0</v>
      </c>
      <c r="R148" s="331">
        <v>0</v>
      </c>
      <c r="S148" s="331">
        <v>0</v>
      </c>
      <c r="T148" s="331">
        <v>0</v>
      </c>
      <c r="U148" s="331">
        <v>0</v>
      </c>
      <c r="V148" s="331">
        <v>0</v>
      </c>
      <c r="W148" s="331">
        <v>0</v>
      </c>
      <c r="X148" s="331">
        <v>0</v>
      </c>
      <c r="Y148" s="331">
        <v>0</v>
      </c>
      <c r="Z148" s="331">
        <v>0</v>
      </c>
      <c r="AA148" s="331">
        <v>0</v>
      </c>
      <c r="AB148" s="331">
        <v>0</v>
      </c>
      <c r="AC148" s="331">
        <v>0</v>
      </c>
      <c r="AD148" s="331">
        <v>0</v>
      </c>
      <c r="AE148" s="331">
        <v>0</v>
      </c>
      <c r="AF148" s="331">
        <v>0</v>
      </c>
      <c r="AG148" s="331">
        <v>0</v>
      </c>
      <c r="AH148" s="331">
        <v>0</v>
      </c>
      <c r="AI148" s="331">
        <v>0</v>
      </c>
      <c r="AJ148" s="331">
        <v>0</v>
      </c>
      <c r="AK148" s="331">
        <v>0</v>
      </c>
      <c r="AL148" s="331">
        <v>0</v>
      </c>
    </row>
    <row r="149" spans="1:38">
      <c r="A149" s="4"/>
      <c r="B149" s="4"/>
      <c r="C149" s="4"/>
      <c r="D149" s="4"/>
      <c r="E149" s="4"/>
      <c r="F149" s="4"/>
      <c r="G149" s="4" t="s">
        <v>632</v>
      </c>
      <c r="H149" s="4" t="s">
        <v>700</v>
      </c>
      <c r="I149" s="4">
        <v>2050</v>
      </c>
      <c r="J149" s="4"/>
      <c r="K149" s="331">
        <v>0</v>
      </c>
      <c r="L149" s="331">
        <v>0</v>
      </c>
      <c r="M149" s="331">
        <v>0</v>
      </c>
      <c r="N149" s="331">
        <v>0</v>
      </c>
      <c r="O149" s="331">
        <v>0</v>
      </c>
      <c r="P149" s="331">
        <v>0</v>
      </c>
      <c r="Q149" s="331">
        <v>0</v>
      </c>
      <c r="R149" s="331">
        <v>0</v>
      </c>
      <c r="S149" s="331">
        <v>0</v>
      </c>
      <c r="T149" s="331">
        <v>0</v>
      </c>
      <c r="U149" s="331">
        <v>0</v>
      </c>
      <c r="V149" s="331">
        <v>0</v>
      </c>
      <c r="W149" s="331">
        <v>0</v>
      </c>
      <c r="X149" s="331">
        <v>0</v>
      </c>
      <c r="Y149" s="331">
        <v>0</v>
      </c>
      <c r="Z149" s="331">
        <v>0</v>
      </c>
      <c r="AA149" s="331">
        <v>0</v>
      </c>
      <c r="AB149" s="331">
        <v>0</v>
      </c>
      <c r="AC149" s="331">
        <v>0</v>
      </c>
      <c r="AD149" s="331">
        <v>0</v>
      </c>
      <c r="AE149" s="331">
        <v>0</v>
      </c>
      <c r="AF149" s="331">
        <v>0</v>
      </c>
      <c r="AG149" s="331">
        <v>0</v>
      </c>
      <c r="AH149" s="331">
        <v>0</v>
      </c>
      <c r="AI149" s="331">
        <v>0</v>
      </c>
      <c r="AJ149" s="331">
        <v>0</v>
      </c>
      <c r="AK149" s="331">
        <v>0</v>
      </c>
      <c r="AL149" s="331">
        <v>0</v>
      </c>
    </row>
    <row r="150" spans="1:38">
      <c r="A150" s="4"/>
      <c r="B150" s="4"/>
      <c r="C150" s="4"/>
      <c r="D150" s="4"/>
      <c r="E150" s="4"/>
      <c r="F150" s="4"/>
      <c r="G150" s="4" t="s">
        <v>632</v>
      </c>
      <c r="H150" s="4" t="s">
        <v>700</v>
      </c>
      <c r="I150" s="4">
        <v>0</v>
      </c>
      <c r="J150" s="4"/>
      <c r="K150" s="331">
        <v>5</v>
      </c>
      <c r="L150" s="331">
        <v>5</v>
      </c>
      <c r="M150" s="331">
        <v>5</v>
      </c>
      <c r="N150" s="331">
        <v>5</v>
      </c>
      <c r="O150" s="331">
        <v>5</v>
      </c>
      <c r="P150" s="331">
        <v>5</v>
      </c>
      <c r="Q150" s="331">
        <v>5</v>
      </c>
      <c r="R150" s="331">
        <v>5</v>
      </c>
      <c r="S150" s="331">
        <v>5</v>
      </c>
      <c r="T150" s="331">
        <v>5</v>
      </c>
      <c r="U150" s="331">
        <v>5</v>
      </c>
      <c r="V150" s="331">
        <v>5</v>
      </c>
      <c r="W150" s="331">
        <v>5</v>
      </c>
      <c r="X150" s="331">
        <v>5</v>
      </c>
      <c r="Y150" s="331">
        <v>5</v>
      </c>
      <c r="Z150" s="331">
        <v>5</v>
      </c>
      <c r="AA150" s="331">
        <v>5</v>
      </c>
      <c r="AB150" s="331">
        <v>5</v>
      </c>
      <c r="AC150" s="331">
        <v>5</v>
      </c>
      <c r="AD150" s="331">
        <v>5</v>
      </c>
      <c r="AE150" s="331">
        <v>5</v>
      </c>
      <c r="AF150" s="331">
        <v>5</v>
      </c>
      <c r="AG150" s="331">
        <v>5</v>
      </c>
      <c r="AH150" s="331">
        <v>5</v>
      </c>
      <c r="AI150" s="331">
        <v>5</v>
      </c>
      <c r="AJ150" s="331">
        <v>5</v>
      </c>
      <c r="AK150" s="331">
        <v>5</v>
      </c>
      <c r="AL150" s="331">
        <v>5</v>
      </c>
    </row>
    <row r="151" spans="1:38">
      <c r="C151" s="4"/>
      <c r="D151" s="4"/>
      <c r="E151" s="4"/>
      <c r="F151" s="4"/>
      <c r="G151" s="4" t="s">
        <v>699</v>
      </c>
      <c r="H151" s="4"/>
      <c r="I151" s="4">
        <v>2019</v>
      </c>
      <c r="J151" s="346" t="s">
        <v>112</v>
      </c>
      <c r="K151" s="176">
        <f>'Key inputs_Refineries'!E$7/10^3</f>
        <v>256.93019999999996</v>
      </c>
      <c r="L151" s="176">
        <f>'Key inputs_Refineries'!F$7/10^3</f>
        <v>4531.0822778339189</v>
      </c>
      <c r="M151" s="176">
        <f>'Key inputs_Refineries'!G$7/10^3</f>
        <v>656.62307552848927</v>
      </c>
      <c r="N151" s="176">
        <f>'Key inputs_Refineries'!H$7/10^3</f>
        <v>1280.8684543180711</v>
      </c>
      <c r="O151" s="176">
        <f>'Key inputs_Refineries'!I$7/10^3</f>
        <v>1356.6800453249848</v>
      </c>
      <c r="P151" s="176">
        <f>'Key inputs_Refineries'!J$7/10^3</f>
        <v>2427.1133877151456</v>
      </c>
      <c r="Q151" s="176">
        <f>'Key inputs_Refineries'!K$7/10^3</f>
        <v>7697.7104370571733</v>
      </c>
      <c r="R151" s="176">
        <f>'Key inputs_Refineries'!L$7/10^3</f>
        <v>1020.4477198730145</v>
      </c>
      <c r="S151" s="176">
        <f>'Key inputs_Refineries'!M$7/10^3</f>
        <v>5565.141293797431</v>
      </c>
      <c r="T151" s="176">
        <f>'Key inputs_Refineries'!N$7/10^3</f>
        <v>7292.3687031852269</v>
      </c>
      <c r="U151" s="176">
        <f>'Key inputs_Refineries'!O$7/10^3</f>
        <v>572.66442686724474</v>
      </c>
      <c r="V151" s="176">
        <f>'Key inputs_Refineries'!P$7/10^3</f>
        <v>41306.760143204119</v>
      </c>
      <c r="W151" s="176">
        <f>'Key inputs_Refineries'!Q$7/10^3</f>
        <v>3321.4642510585104</v>
      </c>
      <c r="X151" s="176">
        <f>'Key inputs_Refineries'!R$7/10^3</f>
        <v>4106.8040013080672</v>
      </c>
      <c r="Y151" s="176">
        <f>'Key inputs_Refineries'!S$7/10^3</f>
        <v>4549.7643639558119</v>
      </c>
      <c r="Z151" s="176">
        <f>'Key inputs_Refineries'!T$7/10^3</f>
        <v>13451.571337923802</v>
      </c>
      <c r="AA151" s="176">
        <f>'Key inputs_Refineries'!U$7/10^3</f>
        <v>12572.003345489489</v>
      </c>
      <c r="AB151" s="176">
        <f>'Key inputs_Refineries'!V$7/10^3</f>
        <v>3746.0541599999992</v>
      </c>
      <c r="AC151" s="176">
        <f>'Key inputs_Refineries'!W$7/10^3</f>
        <v>10976.976236044435</v>
      </c>
      <c r="AD151" s="176">
        <f>'Key inputs_Refineries'!X$7/10^3</f>
        <v>7497.309097061122</v>
      </c>
      <c r="AE151" s="176">
        <f>'Key inputs_Refineries'!Y$7/10^3</f>
        <v>9323.2456292526094</v>
      </c>
      <c r="AF151" s="176">
        <f>'Key inputs_Refineries'!Z$7/10^3</f>
        <v>3696.7548217113549</v>
      </c>
      <c r="AG151" s="176">
        <f>'Key inputs_Refineries'!AA$7/10^3</f>
        <v>20999.032004112003</v>
      </c>
      <c r="AH151" s="176">
        <f>'Key inputs_Refineries'!AB$7/10^3</f>
        <v>3798.0938785765334</v>
      </c>
      <c r="AI151" s="176">
        <f>'Key inputs_Refineries'!AC$7/10^3</f>
        <v>582.64927529751105</v>
      </c>
      <c r="AJ151" s="176">
        <f>'Key inputs_Refineries'!AD$7/10^3</f>
        <v>13719.076377126245</v>
      </c>
      <c r="AK151" s="176">
        <f>'Key inputs_Refineries'!AE$7/10^3</f>
        <v>7708.304297296384</v>
      </c>
      <c r="AL151" s="176">
        <f>'Key inputs_Refineries'!AF$7/10^3</f>
        <v>42350.096993226827</v>
      </c>
    </row>
    <row r="152" spans="1:38">
      <c r="C152" s="4"/>
      <c r="D152" s="4"/>
      <c r="E152" s="4"/>
      <c r="F152" s="4"/>
      <c r="G152" s="4" t="s">
        <v>701</v>
      </c>
      <c r="H152" s="4" t="s">
        <v>661</v>
      </c>
      <c r="I152" s="4">
        <v>2019</v>
      </c>
      <c r="J152" s="346" t="s">
        <v>112</v>
      </c>
      <c r="K152" s="333">
        <v>0</v>
      </c>
      <c r="L152" s="333">
        <v>0</v>
      </c>
      <c r="M152" s="333">
        <v>0</v>
      </c>
      <c r="N152" s="333">
        <v>0</v>
      </c>
      <c r="O152" s="333">
        <v>0</v>
      </c>
      <c r="P152" s="333">
        <v>0</v>
      </c>
      <c r="Q152" s="333">
        <v>0</v>
      </c>
      <c r="R152" s="333">
        <v>0</v>
      </c>
      <c r="S152" s="333">
        <v>0</v>
      </c>
      <c r="T152" s="333">
        <v>0</v>
      </c>
      <c r="U152" s="333">
        <v>0</v>
      </c>
      <c r="V152" s="333">
        <v>0</v>
      </c>
      <c r="W152" s="333">
        <v>0</v>
      </c>
      <c r="X152" s="333">
        <v>0</v>
      </c>
      <c r="Y152" s="333">
        <v>0</v>
      </c>
      <c r="Z152" s="333">
        <v>0</v>
      </c>
      <c r="AA152" s="333">
        <v>0</v>
      </c>
      <c r="AB152" s="333">
        <v>0</v>
      </c>
      <c r="AC152" s="333">
        <v>0</v>
      </c>
      <c r="AD152" s="333">
        <v>0</v>
      </c>
      <c r="AE152" s="333">
        <v>0</v>
      </c>
      <c r="AF152" s="333">
        <v>0</v>
      </c>
      <c r="AG152" s="333">
        <v>0</v>
      </c>
      <c r="AH152" s="333">
        <v>0</v>
      </c>
      <c r="AI152" s="333">
        <v>0</v>
      </c>
      <c r="AJ152" s="333">
        <v>0</v>
      </c>
      <c r="AK152" s="333">
        <v>0</v>
      </c>
      <c r="AL152" s="333">
        <v>0</v>
      </c>
    </row>
    <row r="153" spans="1:38">
      <c r="C153" s="4"/>
      <c r="D153" s="4"/>
      <c r="E153" s="4"/>
      <c r="F153" s="4"/>
      <c r="G153" s="4" t="s">
        <v>701</v>
      </c>
      <c r="H153" s="4" t="s">
        <v>661</v>
      </c>
      <c r="I153" s="4">
        <v>2060</v>
      </c>
      <c r="J153" s="346" t="s">
        <v>112</v>
      </c>
      <c r="K153" s="333">
        <v>0</v>
      </c>
      <c r="L153" s="333">
        <v>0</v>
      </c>
      <c r="M153" s="333">
        <v>0</v>
      </c>
      <c r="N153" s="333">
        <v>0</v>
      </c>
      <c r="O153" s="333">
        <v>0</v>
      </c>
      <c r="P153" s="333">
        <v>0</v>
      </c>
      <c r="Q153" s="333">
        <v>0</v>
      </c>
      <c r="R153" s="333">
        <v>0</v>
      </c>
      <c r="S153" s="333">
        <v>0</v>
      </c>
      <c r="T153" s="333">
        <v>0</v>
      </c>
      <c r="U153" s="333">
        <v>0</v>
      </c>
      <c r="V153" s="333">
        <v>0</v>
      </c>
      <c r="W153" s="333">
        <v>0</v>
      </c>
      <c r="X153" s="333">
        <v>0</v>
      </c>
      <c r="Y153" s="333">
        <v>0</v>
      </c>
      <c r="Z153" s="333">
        <v>0</v>
      </c>
      <c r="AA153" s="333">
        <v>0</v>
      </c>
      <c r="AB153" s="333">
        <v>0</v>
      </c>
      <c r="AC153" s="333">
        <v>0</v>
      </c>
      <c r="AD153" s="333">
        <v>0</v>
      </c>
      <c r="AE153" s="333">
        <v>0</v>
      </c>
      <c r="AF153" s="333">
        <v>0</v>
      </c>
      <c r="AG153" s="333">
        <v>0</v>
      </c>
      <c r="AH153" s="333">
        <v>0</v>
      </c>
      <c r="AI153" s="333">
        <v>0</v>
      </c>
      <c r="AJ153" s="333">
        <v>0</v>
      </c>
      <c r="AK153" s="333">
        <v>0</v>
      </c>
      <c r="AL153" s="333">
        <v>0</v>
      </c>
    </row>
    <row r="154" spans="1:38">
      <c r="C154" s="4"/>
      <c r="D154" s="4"/>
      <c r="E154" s="4"/>
      <c r="F154" s="4"/>
      <c r="G154" s="4" t="s">
        <v>701</v>
      </c>
      <c r="H154" s="4" t="s">
        <v>661</v>
      </c>
      <c r="I154" s="4">
        <v>0</v>
      </c>
      <c r="J154" s="346"/>
      <c r="K154" s="333">
        <v>5</v>
      </c>
      <c r="L154" s="333">
        <v>5</v>
      </c>
      <c r="M154" s="333">
        <v>5</v>
      </c>
      <c r="N154" s="333">
        <v>5</v>
      </c>
      <c r="O154" s="333">
        <v>5</v>
      </c>
      <c r="P154" s="333">
        <v>5</v>
      </c>
      <c r="Q154" s="333">
        <v>5</v>
      </c>
      <c r="R154" s="333">
        <v>5</v>
      </c>
      <c r="S154" s="333">
        <v>5</v>
      </c>
      <c r="T154" s="333">
        <v>5</v>
      </c>
      <c r="U154" s="333">
        <v>5</v>
      </c>
      <c r="V154" s="333">
        <v>5</v>
      </c>
      <c r="W154" s="333">
        <v>5</v>
      </c>
      <c r="X154" s="333">
        <v>5</v>
      </c>
      <c r="Y154" s="333">
        <v>5</v>
      </c>
      <c r="Z154" s="333">
        <v>5</v>
      </c>
      <c r="AA154" s="333">
        <v>5</v>
      </c>
      <c r="AB154" s="333">
        <v>5</v>
      </c>
      <c r="AC154" s="333">
        <v>5</v>
      </c>
      <c r="AD154" s="333">
        <v>5</v>
      </c>
      <c r="AE154" s="333">
        <v>5</v>
      </c>
      <c r="AF154" s="333">
        <v>5</v>
      </c>
      <c r="AG154" s="333">
        <v>5</v>
      </c>
      <c r="AH154" s="333">
        <v>5</v>
      </c>
      <c r="AI154" s="333">
        <v>5</v>
      </c>
      <c r="AJ154" s="333">
        <v>5</v>
      </c>
      <c r="AK154" s="333">
        <v>5</v>
      </c>
      <c r="AL154" s="333">
        <v>5</v>
      </c>
    </row>
    <row r="155" spans="1:38">
      <c r="C155" s="4"/>
      <c r="D155" s="4"/>
      <c r="E155" s="4"/>
      <c r="F155" s="4"/>
      <c r="G155" s="4" t="s">
        <v>687</v>
      </c>
      <c r="H155" s="4"/>
      <c r="I155" s="4"/>
      <c r="J155" s="4" t="s">
        <v>2663</v>
      </c>
      <c r="K155" s="404">
        <f>'Key inputs_Refineries'!$C$171*10^3</f>
        <v>0.69959501843572802</v>
      </c>
      <c r="L155" s="404">
        <f>'Key inputs_Refineries'!$C$171*10^3</f>
        <v>0.69959501843572802</v>
      </c>
      <c r="M155" s="404">
        <f>'Key inputs_Refineries'!$C$171*10^3</f>
        <v>0.69959501843572802</v>
      </c>
      <c r="N155" s="404">
        <f>'Key inputs_Refineries'!$C$171*10^3</f>
        <v>0.69959501843572802</v>
      </c>
      <c r="O155" s="404">
        <f>'Key inputs_Refineries'!$C$171*10^3</f>
        <v>0.69959501843572802</v>
      </c>
      <c r="P155" s="404">
        <f>'Key inputs_Refineries'!$C$171*10^3</f>
        <v>0.69959501843572802</v>
      </c>
      <c r="Q155" s="404">
        <f>'Key inputs_Refineries'!$C$171*10^3</f>
        <v>0.69959501843572802</v>
      </c>
      <c r="R155" s="404">
        <f>'Key inputs_Refineries'!$C$171*10^3</f>
        <v>0.69959501843572802</v>
      </c>
      <c r="S155" s="404">
        <f>'Key inputs_Refineries'!$C$171*10^3</f>
        <v>0.69959501843572802</v>
      </c>
      <c r="T155" s="404">
        <f>'Key inputs_Refineries'!$C$171*10^3</f>
        <v>0.69959501843572802</v>
      </c>
      <c r="U155" s="404">
        <f>'Key inputs_Refineries'!$C$171*10^3</f>
        <v>0.69959501843572802</v>
      </c>
      <c r="V155" s="404">
        <f>'Key inputs_Refineries'!$C$171*10^3</f>
        <v>0.69959501843572802</v>
      </c>
      <c r="W155" s="404">
        <f>'Key inputs_Refineries'!$C$171*10^3</f>
        <v>0.69959501843572802</v>
      </c>
      <c r="X155" s="404">
        <f>'Key inputs_Refineries'!$C$171*10^3</f>
        <v>0.69959501843572802</v>
      </c>
      <c r="Y155" s="404">
        <f>'Key inputs_Refineries'!$C$171*10^3</f>
        <v>0.69959501843572802</v>
      </c>
      <c r="Z155" s="404">
        <f>'Key inputs_Refineries'!$C$171*10^3</f>
        <v>0.69959501843572802</v>
      </c>
      <c r="AA155" s="404">
        <f>'Key inputs_Refineries'!$C$171*10^3</f>
        <v>0.69959501843572802</v>
      </c>
      <c r="AB155" s="404">
        <f>'Key inputs_Refineries'!$C$171*10^3</f>
        <v>0.69959501843572802</v>
      </c>
      <c r="AC155" s="404">
        <f>'Key inputs_Refineries'!$C$171*10^3</f>
        <v>0.69959501843572802</v>
      </c>
      <c r="AD155" s="404">
        <f>'Key inputs_Refineries'!$C$171*10^3</f>
        <v>0.69959501843572802</v>
      </c>
      <c r="AE155" s="404">
        <f>'Key inputs_Refineries'!$C$171*10^3</f>
        <v>0.69959501843572802</v>
      </c>
      <c r="AF155" s="404">
        <f>'Key inputs_Refineries'!$C$171*10^3</f>
        <v>0.69959501843572802</v>
      </c>
      <c r="AG155" s="404">
        <f>'Key inputs_Refineries'!$C$171*10^3</f>
        <v>0.69959501843572802</v>
      </c>
      <c r="AH155" s="404">
        <f>'Key inputs_Refineries'!$C$171*10^3</f>
        <v>0.69959501843572802</v>
      </c>
      <c r="AI155" s="404">
        <f>'Key inputs_Refineries'!$C$171*10^3</f>
        <v>0.69959501843572802</v>
      </c>
      <c r="AJ155" s="404">
        <f>'Key inputs_Refineries'!$C$171*10^3</f>
        <v>0.69959501843572802</v>
      </c>
      <c r="AK155" s="404">
        <f>'Key inputs_Refineries'!$C$171*10^3</f>
        <v>0.69959501843572802</v>
      </c>
      <c r="AL155" s="404">
        <f>'Key inputs_Refineries'!$C$171*10^3</f>
        <v>0.69959501843572802</v>
      </c>
    </row>
    <row r="156" spans="1:38">
      <c r="C156" s="4"/>
      <c r="D156" s="4"/>
      <c r="E156" s="4"/>
      <c r="F156" s="4"/>
      <c r="G156" s="4" t="s">
        <v>689</v>
      </c>
      <c r="H156" s="4"/>
      <c r="I156" s="4"/>
      <c r="J156" s="4" t="s">
        <v>2663</v>
      </c>
      <c r="K156" s="404">
        <f>'Key inputs_Refineries'!$D$171*10^3</f>
        <v>0.49902112665020465</v>
      </c>
      <c r="L156" s="404">
        <f>'Key inputs_Refineries'!$D$171*10^3</f>
        <v>0.49902112665020465</v>
      </c>
      <c r="M156" s="404">
        <f>'Key inputs_Refineries'!$D$171*10^3</f>
        <v>0.49902112665020465</v>
      </c>
      <c r="N156" s="404">
        <f>'Key inputs_Refineries'!$D$171*10^3</f>
        <v>0.49902112665020465</v>
      </c>
      <c r="O156" s="404">
        <f>'Key inputs_Refineries'!$D$171*10^3</f>
        <v>0.49902112665020465</v>
      </c>
      <c r="P156" s="404">
        <f>'Key inputs_Refineries'!$D$171*10^3</f>
        <v>0.49902112665020465</v>
      </c>
      <c r="Q156" s="404">
        <f>'Key inputs_Refineries'!$D$171*10^3</f>
        <v>0.49902112665020465</v>
      </c>
      <c r="R156" s="404">
        <f>'Key inputs_Refineries'!$D$171*10^3</f>
        <v>0.49902112665020465</v>
      </c>
      <c r="S156" s="404">
        <f>'Key inputs_Refineries'!$D$171*10^3</f>
        <v>0.49902112665020465</v>
      </c>
      <c r="T156" s="404">
        <f>'Key inputs_Refineries'!$D$171*10^3</f>
        <v>0.49902112665020465</v>
      </c>
      <c r="U156" s="404">
        <f>'Key inputs_Refineries'!$D$171*10^3</f>
        <v>0.49902112665020465</v>
      </c>
      <c r="V156" s="404">
        <f>'Key inputs_Refineries'!$D$171*10^3</f>
        <v>0.49902112665020465</v>
      </c>
      <c r="W156" s="404">
        <f>'Key inputs_Refineries'!$D$171*10^3</f>
        <v>0.49902112665020465</v>
      </c>
      <c r="X156" s="404">
        <f>'Key inputs_Refineries'!$D$171*10^3</f>
        <v>0.49902112665020465</v>
      </c>
      <c r="Y156" s="404">
        <f>'Key inputs_Refineries'!$D$171*10^3</f>
        <v>0.49902112665020465</v>
      </c>
      <c r="Z156" s="404">
        <f>'Key inputs_Refineries'!$D$171*10^3</f>
        <v>0.49902112665020465</v>
      </c>
      <c r="AA156" s="404">
        <f>'Key inputs_Refineries'!$D$171*10^3</f>
        <v>0.49902112665020465</v>
      </c>
      <c r="AB156" s="404">
        <f>'Key inputs_Refineries'!$D$171*10^3</f>
        <v>0.49902112665020465</v>
      </c>
      <c r="AC156" s="404">
        <f>'Key inputs_Refineries'!$D$171*10^3</f>
        <v>0.49902112665020465</v>
      </c>
      <c r="AD156" s="404">
        <f>'Key inputs_Refineries'!$D$171*10^3</f>
        <v>0.49902112665020465</v>
      </c>
      <c r="AE156" s="404">
        <f>'Key inputs_Refineries'!$D$171*10^3</f>
        <v>0.49902112665020465</v>
      </c>
      <c r="AF156" s="404">
        <f>'Key inputs_Refineries'!$D$171*10^3</f>
        <v>0.49902112665020465</v>
      </c>
      <c r="AG156" s="404">
        <f>'Key inputs_Refineries'!$D$171*10^3</f>
        <v>0.49902112665020465</v>
      </c>
      <c r="AH156" s="404">
        <f>'Key inputs_Refineries'!$D$171*10^3</f>
        <v>0.49902112665020465</v>
      </c>
      <c r="AI156" s="404">
        <f>'Key inputs_Refineries'!$D$171*10^3</f>
        <v>0.49902112665020465</v>
      </c>
      <c r="AJ156" s="404">
        <f>'Key inputs_Refineries'!$D$171*10^3</f>
        <v>0.49902112665020465</v>
      </c>
      <c r="AK156" s="404">
        <f>'Key inputs_Refineries'!$D$171*10^3</f>
        <v>0.49902112665020465</v>
      </c>
      <c r="AL156" s="404">
        <f>'Key inputs_Refineries'!$D$171*10^3</f>
        <v>0.49902112665020465</v>
      </c>
    </row>
    <row r="157" spans="1:38">
      <c r="C157" s="4"/>
      <c r="D157" s="4"/>
      <c r="E157" s="4"/>
      <c r="F157" s="4"/>
      <c r="G157" s="4" t="s">
        <v>675</v>
      </c>
      <c r="H157" s="4"/>
      <c r="I157" s="4"/>
      <c r="J157" s="4" t="s">
        <v>2662</v>
      </c>
      <c r="K157" s="404">
        <f>'Key inputs_Refineries'!$E$171*10^3</f>
        <v>0.16342539630658601</v>
      </c>
      <c r="L157" s="404">
        <f>'Key inputs_Refineries'!$E$171*10^3</f>
        <v>0.16342539630658601</v>
      </c>
      <c r="M157" s="404">
        <f>'Key inputs_Refineries'!$E$171*10^3</f>
        <v>0.16342539630658601</v>
      </c>
      <c r="N157" s="404">
        <f>'Key inputs_Refineries'!$E$171*10^3</f>
        <v>0.16342539630658601</v>
      </c>
      <c r="O157" s="404">
        <f>'Key inputs_Refineries'!$E$171*10^3</f>
        <v>0.16342539630658601</v>
      </c>
      <c r="P157" s="404">
        <f>'Key inputs_Refineries'!$E$171*10^3</f>
        <v>0.16342539630658601</v>
      </c>
      <c r="Q157" s="404">
        <f>'Key inputs_Refineries'!$E$171*10^3</f>
        <v>0.16342539630658601</v>
      </c>
      <c r="R157" s="404">
        <f>'Key inputs_Refineries'!$E$171*10^3</f>
        <v>0.16342539630658601</v>
      </c>
      <c r="S157" s="404">
        <f>'Key inputs_Refineries'!$E$171*10^3</f>
        <v>0.16342539630658601</v>
      </c>
      <c r="T157" s="404">
        <f>'Key inputs_Refineries'!$E$171*10^3</f>
        <v>0.16342539630658601</v>
      </c>
      <c r="U157" s="404">
        <f>'Key inputs_Refineries'!$E$171*10^3</f>
        <v>0.16342539630658601</v>
      </c>
      <c r="V157" s="404">
        <f>'Key inputs_Refineries'!$E$171*10^3</f>
        <v>0.16342539630658601</v>
      </c>
      <c r="W157" s="404">
        <f>'Key inputs_Refineries'!$E$171*10^3</f>
        <v>0.16342539630658601</v>
      </c>
      <c r="X157" s="404">
        <f>'Key inputs_Refineries'!$E$171*10^3</f>
        <v>0.16342539630658601</v>
      </c>
      <c r="Y157" s="404">
        <f>'Key inputs_Refineries'!$E$171*10^3</f>
        <v>0.16342539630658601</v>
      </c>
      <c r="Z157" s="404">
        <f>'Key inputs_Refineries'!$E$171*10^3</f>
        <v>0.16342539630658601</v>
      </c>
      <c r="AA157" s="404">
        <f>'Key inputs_Refineries'!$E$171*10^3</f>
        <v>0.16342539630658601</v>
      </c>
      <c r="AB157" s="404">
        <f>'Key inputs_Refineries'!$E$171*10^3</f>
        <v>0.16342539630658601</v>
      </c>
      <c r="AC157" s="404">
        <f>'Key inputs_Refineries'!$E$171*10^3</f>
        <v>0.16342539630658601</v>
      </c>
      <c r="AD157" s="404">
        <f>'Key inputs_Refineries'!$E$171*10^3</f>
        <v>0.16342539630658601</v>
      </c>
      <c r="AE157" s="404">
        <f>'Key inputs_Refineries'!$E$171*10^3</f>
        <v>0.16342539630658601</v>
      </c>
      <c r="AF157" s="404">
        <f>'Key inputs_Refineries'!$E$171*10^3</f>
        <v>0.16342539630658601</v>
      </c>
      <c r="AG157" s="404">
        <f>'Key inputs_Refineries'!$E$171*10^3</f>
        <v>0.16342539630658601</v>
      </c>
      <c r="AH157" s="404">
        <f>'Key inputs_Refineries'!$E$171*10^3</f>
        <v>0.16342539630658601</v>
      </c>
      <c r="AI157" s="404">
        <f>'Key inputs_Refineries'!$E$171*10^3</f>
        <v>0.16342539630658601</v>
      </c>
      <c r="AJ157" s="404">
        <f>'Key inputs_Refineries'!$E$171*10^3</f>
        <v>0.16342539630658601</v>
      </c>
      <c r="AK157" s="404">
        <f>'Key inputs_Refineries'!$E$171*10^3</f>
        <v>0.16342539630658601</v>
      </c>
      <c r="AL157" s="404">
        <f>'Key inputs_Refineries'!$E$171*10^3</f>
        <v>0.16342539630658601</v>
      </c>
    </row>
    <row r="158" spans="1:38">
      <c r="C158" t="str">
        <f>Commodities!$C$25</f>
        <v>GASNAT</v>
      </c>
      <c r="F158" t="s">
        <v>364</v>
      </c>
      <c r="G158" s="4" t="s">
        <v>702</v>
      </c>
      <c r="H158" t="s">
        <v>661</v>
      </c>
      <c r="I158">
        <v>2019</v>
      </c>
      <c r="J158" s="4" t="s">
        <v>650</v>
      </c>
      <c r="K158" s="173">
        <f>IFERROR(IF(AND('Key inputs_Refineries'!E11/SUM('Key inputs_Refineries'!E$11:E$13)&gt;0,'Key inputs_Refineries'!E11/SUM('Key inputs_Refineries'!E$11:E$13)&lt;0.001),0.001,'Key inputs_Refineries'!E11/SUM('Key inputs_Refineries'!E$11:E$13)),"")</f>
        <v>0</v>
      </c>
      <c r="L158" s="173">
        <f>IFERROR(IF(AND('Key inputs_Refineries'!F11/SUM('Key inputs_Refineries'!F$11:F$13)&gt;0,'Key inputs_Refineries'!F11/SUM('Key inputs_Refineries'!F$11:F$13)&lt;0.001),0.001,'Key inputs_Refineries'!F11/SUM('Key inputs_Refineries'!F$11:F$13)),"")</f>
        <v>0</v>
      </c>
      <c r="M158" s="173">
        <f>IFERROR(IF(AND('Key inputs_Refineries'!G11/SUM('Key inputs_Refineries'!G$11:G$13)&gt;0,'Key inputs_Refineries'!G11/SUM('Key inputs_Refineries'!G$11:G$13)&lt;0.001),0.001,'Key inputs_Refineries'!G11/SUM('Key inputs_Refineries'!G$11:G$13)),"")</f>
        <v>0</v>
      </c>
      <c r="N158" s="173">
        <f>IFERROR(IF(AND('Key inputs_Refineries'!H11/SUM('Key inputs_Refineries'!H$11:H$13)&gt;0,'Key inputs_Refineries'!H11/SUM('Key inputs_Refineries'!H$11:H$13)&lt;0.001),0.001,'Key inputs_Refineries'!H11/SUM('Key inputs_Refineries'!H$11:H$13)),"")</f>
        <v>0</v>
      </c>
      <c r="O158" s="173">
        <f>IFERROR(IF(AND('Key inputs_Refineries'!I11/SUM('Key inputs_Refineries'!I$11:I$13)&gt;0,'Key inputs_Refineries'!I11/SUM('Key inputs_Refineries'!I$11:I$13)&lt;0.001),0.001,'Key inputs_Refineries'!I11/SUM('Key inputs_Refineries'!I$11:I$13)),"")</f>
        <v>0</v>
      </c>
      <c r="P158" s="173">
        <f>IFERROR(IF(AND('Key inputs_Refineries'!J11/SUM('Key inputs_Refineries'!J$11:J$13)&gt;0,'Key inputs_Refineries'!J11/SUM('Key inputs_Refineries'!J$11:J$13)&lt;0.001),0.001,'Key inputs_Refineries'!J11/SUM('Key inputs_Refineries'!J$11:J$13)),"")</f>
        <v>0</v>
      </c>
      <c r="Q158" s="173">
        <f>IFERROR(IF(AND('Key inputs_Refineries'!K11/SUM('Key inputs_Refineries'!K$11:K$13)&gt;0,'Key inputs_Refineries'!K11/SUM('Key inputs_Refineries'!K$11:K$13)&lt;0.001),0.001,'Key inputs_Refineries'!K11/SUM('Key inputs_Refineries'!K$11:K$13)),"")</f>
        <v>0</v>
      </c>
      <c r="R158" s="173">
        <f>IFERROR(IF(AND('Key inputs_Refineries'!L11/SUM('Key inputs_Refineries'!L$11:L$13)&gt;0,'Key inputs_Refineries'!L11/SUM('Key inputs_Refineries'!L$11:L$13)&lt;0.001),0.001,'Key inputs_Refineries'!L11/SUM('Key inputs_Refineries'!L$11:L$13)),"")</f>
        <v>0</v>
      </c>
      <c r="S158" s="173">
        <f>IFERROR(IF(AND('Key inputs_Refineries'!M11/SUM('Key inputs_Refineries'!M$11:M$13)&gt;0,'Key inputs_Refineries'!M11/SUM('Key inputs_Refineries'!M$11:M$13)&lt;0.001),0.001,'Key inputs_Refineries'!M11/SUM('Key inputs_Refineries'!M$11:M$13)),"")</f>
        <v>0</v>
      </c>
      <c r="T158" s="173">
        <f>IFERROR(IF(AND('Key inputs_Refineries'!N11/SUM('Key inputs_Refineries'!N$11:N$13)&gt;0,'Key inputs_Refineries'!N11/SUM('Key inputs_Refineries'!N$11:N$13)&lt;0.001),0.001,'Key inputs_Refineries'!N11/SUM('Key inputs_Refineries'!N$11:N$13)),"")</f>
        <v>0</v>
      </c>
      <c r="U158" s="173">
        <f>IFERROR(IF(AND('Key inputs_Refineries'!O11/SUM('Key inputs_Refineries'!O$11:O$13)&gt;0,'Key inputs_Refineries'!O11/SUM('Key inputs_Refineries'!O$11:O$13)&lt;0.001),0.001,'Key inputs_Refineries'!O11/SUM('Key inputs_Refineries'!O$11:O$13)),"")</f>
        <v>0</v>
      </c>
      <c r="V158" s="173">
        <f>IFERROR(IF(AND('Key inputs_Refineries'!P11/SUM('Key inputs_Refineries'!P$11:P$13)&gt;0,'Key inputs_Refineries'!P11/SUM('Key inputs_Refineries'!P$11:P$13)&lt;0.001),0.001,'Key inputs_Refineries'!P11/SUM('Key inputs_Refineries'!P$11:P$13)),"")</f>
        <v>3.5656105239612727E-3</v>
      </c>
      <c r="W158" s="173">
        <f>IFERROR(IF(AND('Key inputs_Refineries'!Q11/SUM('Key inputs_Refineries'!Q$11:Q$13)&gt;0,'Key inputs_Refineries'!Q11/SUM('Key inputs_Refineries'!Q$11:Q$13)&lt;0.001),0.001,'Key inputs_Refineries'!Q11/SUM('Key inputs_Refineries'!Q$11:Q$13)),"")</f>
        <v>0</v>
      </c>
      <c r="X158" s="173">
        <f>IFERROR(IF(AND('Key inputs_Refineries'!R11/SUM('Key inputs_Refineries'!R$11:R$13)&gt;0,'Key inputs_Refineries'!R11/SUM('Key inputs_Refineries'!R$11:R$13)&lt;0.001),0.001,'Key inputs_Refineries'!R11/SUM('Key inputs_Refineries'!R$11:R$13)),"")</f>
        <v>0</v>
      </c>
      <c r="Y158" s="173">
        <f>IFERROR(IF(AND('Key inputs_Refineries'!S11/SUM('Key inputs_Refineries'!S$11:S$13)&gt;0,'Key inputs_Refineries'!S11/SUM('Key inputs_Refineries'!S$11:S$13)&lt;0.001),0.001,'Key inputs_Refineries'!S11/SUM('Key inputs_Refineries'!S$11:S$13)),"")</f>
        <v>0</v>
      </c>
      <c r="Z158" s="173">
        <f>IFERROR(IF(AND('Key inputs_Refineries'!T11/SUM('Key inputs_Refineries'!T$11:T$13)&gt;0,'Key inputs_Refineries'!T11/SUM('Key inputs_Refineries'!T$11:T$13)&lt;0.001),0.001,'Key inputs_Refineries'!T11/SUM('Key inputs_Refineries'!T$11:T$13)),"")</f>
        <v>0</v>
      </c>
      <c r="AA158" s="173">
        <f>IFERROR(IF(AND('Key inputs_Refineries'!U11/SUM('Key inputs_Refineries'!U$11:U$13)&gt;0,'Key inputs_Refineries'!U11/SUM('Key inputs_Refineries'!U$11:U$13)&lt;0.001),0.001,'Key inputs_Refineries'!U11/SUM('Key inputs_Refineries'!U$11:U$13)),"")</f>
        <v>0</v>
      </c>
      <c r="AB158" s="173">
        <f>IFERROR(IF(AND('Key inputs_Refineries'!V11/SUM('Key inputs_Refineries'!V$11:V$13)&gt;0,'Key inputs_Refineries'!V11/SUM('Key inputs_Refineries'!V$11:V$13)&lt;0.001),0.001,'Key inputs_Refineries'!V11/SUM('Key inputs_Refineries'!V$11:V$13)),"")</f>
        <v>0</v>
      </c>
      <c r="AC158" s="173">
        <f>IFERROR(IF(AND('Key inputs_Refineries'!W11/SUM('Key inputs_Refineries'!W$11:W$13)&gt;0,'Key inputs_Refineries'!W11/SUM('Key inputs_Refineries'!W$11:W$13)&lt;0.001),0.001,'Key inputs_Refineries'!W11/SUM('Key inputs_Refineries'!W$11:W$13)),"")</f>
        <v>0</v>
      </c>
      <c r="AD158" s="173">
        <f>IFERROR(IF(AND('Key inputs_Refineries'!X11/SUM('Key inputs_Refineries'!X$11:X$13)&gt;0,'Key inputs_Refineries'!X11/SUM('Key inputs_Refineries'!X$11:X$13)&lt;0.001),0.001,'Key inputs_Refineries'!X11/SUM('Key inputs_Refineries'!X$11:X$13)),"")</f>
        <v>0</v>
      </c>
      <c r="AE158" s="173">
        <f>IFERROR(IF(AND('Key inputs_Refineries'!Y11/SUM('Key inputs_Refineries'!Y$11:Y$13)&gt;0,'Key inputs_Refineries'!Y11/SUM('Key inputs_Refineries'!Y$11:Y$13)&lt;0.001),0.001,'Key inputs_Refineries'!Y11/SUM('Key inputs_Refineries'!Y$11:Y$13)),"")</f>
        <v>0</v>
      </c>
      <c r="AF158" s="173">
        <f>IFERROR(IF(AND('Key inputs_Refineries'!Z11/SUM('Key inputs_Refineries'!Z$11:Z$13)&gt;0,'Key inputs_Refineries'!Z11/SUM('Key inputs_Refineries'!Z$11:Z$13)&lt;0.001),0.001,'Key inputs_Refineries'!Z11/SUM('Key inputs_Refineries'!Z$11:Z$13)),"")</f>
        <v>0</v>
      </c>
      <c r="AG158" s="173">
        <f>IFERROR(IF(AND('Key inputs_Refineries'!AA11/SUM('Key inputs_Refineries'!AA$11:AA$13)&gt;0,'Key inputs_Refineries'!AA11/SUM('Key inputs_Refineries'!AA$11:AA$13)&lt;0.001),0.001,'Key inputs_Refineries'!AA11/SUM('Key inputs_Refineries'!AA$11:AA$13)),"")</f>
        <v>0</v>
      </c>
      <c r="AH158" s="173">
        <f>IFERROR(IF(AND('Key inputs_Refineries'!AB11/SUM('Key inputs_Refineries'!AB$11:AB$13)&gt;0,'Key inputs_Refineries'!AB11/SUM('Key inputs_Refineries'!AB$11:AB$13)&lt;0.001),0.001,'Key inputs_Refineries'!AB11/SUM('Key inputs_Refineries'!AB$11:AB$13)),"")</f>
        <v>0</v>
      </c>
      <c r="AI158" s="173">
        <f>IFERROR(IF(AND('Key inputs_Refineries'!AC11/SUM('Key inputs_Refineries'!AC$11:AC$13)&gt;0,'Key inputs_Refineries'!AC11/SUM('Key inputs_Refineries'!AC$11:AC$13)&lt;0.001),0.001,'Key inputs_Refineries'!AC11/SUM('Key inputs_Refineries'!AC$11:AC$13)),"")</f>
        <v>0</v>
      </c>
      <c r="AJ158" s="173">
        <f>IFERROR(IF(AND('Key inputs_Refineries'!AD11/SUM('Key inputs_Refineries'!AD$11:AD$13)&gt;0,'Key inputs_Refineries'!AD11/SUM('Key inputs_Refineries'!AD$11:AD$13)&lt;0.001),0.001,'Key inputs_Refineries'!AD11/SUM('Key inputs_Refineries'!AD$11:AD$13)),"")</f>
        <v>0</v>
      </c>
      <c r="AK158" s="173">
        <f>IFERROR(IF(AND('Key inputs_Refineries'!AE11/SUM('Key inputs_Refineries'!AE$11:AE$13)&gt;0,'Key inputs_Refineries'!AE11/SUM('Key inputs_Refineries'!AE$11:AE$13)&lt;0.001),0.001,'Key inputs_Refineries'!AE11/SUM('Key inputs_Refineries'!AE$11:AE$13)),"")</f>
        <v>0</v>
      </c>
      <c r="AL158" s="173">
        <f>IFERROR(IF(AND('Key inputs_Refineries'!AF11/SUM('Key inputs_Refineries'!AF$11:AF$13)&gt;0,'Key inputs_Refineries'!AF11/SUM('Key inputs_Refineries'!AF$11:AF$13)&lt;0.001),0.001,'Key inputs_Refineries'!AF11/SUM('Key inputs_Refineries'!AF$11:AF$13)),"")</f>
        <v>0</v>
      </c>
    </row>
    <row r="159" spans="1:38">
      <c r="C159" t="str">
        <f>Commodities!$C$27</f>
        <v>OILCRD</v>
      </c>
      <c r="F159" t="s">
        <v>364</v>
      </c>
      <c r="G159" s="4" t="s">
        <v>702</v>
      </c>
      <c r="H159" t="s">
        <v>661</v>
      </c>
      <c r="I159">
        <v>2019</v>
      </c>
      <c r="J159" s="4" t="s">
        <v>650</v>
      </c>
      <c r="K159" s="173">
        <f>IFERROR(IF(AND('Key inputs_Refineries'!E12/SUM('Key inputs_Refineries'!E$11:E$13)&gt;0,'Key inputs_Refineries'!E12/SUM('Key inputs_Refineries'!E$11:E$13)&lt;0.001),0.001,'Key inputs_Refineries'!E12/SUM('Key inputs_Refineries'!E$11:E$13)),"")</f>
        <v>1</v>
      </c>
      <c r="L159" s="173">
        <f>IFERROR(IF(AND('Key inputs_Refineries'!F12/SUM('Key inputs_Refineries'!F$11:F$13)&gt;0,'Key inputs_Refineries'!F12/SUM('Key inputs_Refineries'!F$11:F$13)&lt;0.001),0.001,'Key inputs_Refineries'!F12/SUM('Key inputs_Refineries'!F$11:F$13)),"")</f>
        <v>0.78347288981416285</v>
      </c>
      <c r="M159" s="173">
        <f>IFERROR(IF(AND('Key inputs_Refineries'!G12/SUM('Key inputs_Refineries'!G$11:G$13)&gt;0,'Key inputs_Refineries'!G12/SUM('Key inputs_Refineries'!G$11:G$13)&lt;0.001),0.001,'Key inputs_Refineries'!G12/SUM('Key inputs_Refineries'!G$11:G$13)),"")</f>
        <v>0.87485725839292172</v>
      </c>
      <c r="N159" s="173">
        <f>IFERROR(IF(AND('Key inputs_Refineries'!H12/SUM('Key inputs_Refineries'!H$11:H$13)&gt;0,'Key inputs_Refineries'!H12/SUM('Key inputs_Refineries'!H$11:H$13)&lt;0.001),0.001,'Key inputs_Refineries'!H12/SUM('Key inputs_Refineries'!H$11:H$13)),"")</f>
        <v>0.89986568399176403</v>
      </c>
      <c r="O159" s="173">
        <f>IFERROR(IF(AND('Key inputs_Refineries'!I12/SUM('Key inputs_Refineries'!I$11:I$13)&gt;0,'Key inputs_Refineries'!I12/SUM('Key inputs_Refineries'!I$11:I$13)&lt;0.001),0.001,'Key inputs_Refineries'!I12/SUM('Key inputs_Refineries'!I$11:I$13)),"")</f>
        <v>0.91267407198683059</v>
      </c>
      <c r="P159" s="173">
        <f>IFERROR(IF(AND('Key inputs_Refineries'!J12/SUM('Key inputs_Refineries'!J$11:J$13)&gt;0,'Key inputs_Refineries'!J12/SUM('Key inputs_Refineries'!J$11:J$13)&lt;0.001),0.001,'Key inputs_Refineries'!J12/SUM('Key inputs_Refineries'!J$11:J$13)),"")</f>
        <v>0.84562408585081084</v>
      </c>
      <c r="Q159" s="173">
        <f>IFERROR(IF(AND('Key inputs_Refineries'!K12/SUM('Key inputs_Refineries'!K$11:K$13)&gt;0,'Key inputs_Refineries'!K12/SUM('Key inputs_Refineries'!K$11:K$13)&lt;0.001),0.001,'Key inputs_Refineries'!K12/SUM('Key inputs_Refineries'!K$11:K$13)),"")</f>
        <v>0.92806581458555804</v>
      </c>
      <c r="R159" s="173">
        <f>IFERROR(IF(AND('Key inputs_Refineries'!L12/SUM('Key inputs_Refineries'!L$11:L$13)&gt;0,'Key inputs_Refineries'!L12/SUM('Key inputs_Refineries'!L$11:L$13)&lt;0.001),0.001,'Key inputs_Refineries'!L12/SUM('Key inputs_Refineries'!L$11:L$13)),"")</f>
        <v>0.94978497661888861</v>
      </c>
      <c r="S159" s="173">
        <f>IFERROR(IF(AND('Key inputs_Refineries'!M12/SUM('Key inputs_Refineries'!M$11:M$13)&gt;0,'Key inputs_Refineries'!M12/SUM('Key inputs_Refineries'!M$11:M$13)&lt;0.001),0.001,'Key inputs_Refineries'!M12/SUM('Key inputs_Refineries'!M$11:M$13)),"")</f>
        <v>0.94746878152560565</v>
      </c>
      <c r="T159" s="173">
        <f>IFERROR(IF(AND('Key inputs_Refineries'!N12/SUM('Key inputs_Refineries'!N$11:N$13)&gt;0,'Key inputs_Refineries'!N12/SUM('Key inputs_Refineries'!N$11:N$13)&lt;0.001),0.001,'Key inputs_Refineries'!N12/SUM('Key inputs_Refineries'!N$11:N$13)),"")</f>
        <v>0.96924696451520864</v>
      </c>
      <c r="U159" s="173">
        <f>IFERROR(IF(AND('Key inputs_Refineries'!O12/SUM('Key inputs_Refineries'!O$11:O$13)&gt;0,'Key inputs_Refineries'!O12/SUM('Key inputs_Refineries'!O$11:O$13)&lt;0.001),0.001,'Key inputs_Refineries'!O12/SUM('Key inputs_Refineries'!O$11:O$13)),"")</f>
        <v>1</v>
      </c>
      <c r="V159" s="173">
        <f>IFERROR(IF(AND('Key inputs_Refineries'!P12/SUM('Key inputs_Refineries'!P$11:P$13)&gt;0,'Key inputs_Refineries'!P12/SUM('Key inputs_Refineries'!P$11:P$13)&lt;0.001),0.001,'Key inputs_Refineries'!P12/SUM('Key inputs_Refineries'!P$11:P$13)),"")</f>
        <v>0.99643438947603868</v>
      </c>
      <c r="W159" s="173">
        <f>IFERROR(IF(AND('Key inputs_Refineries'!Q12/SUM('Key inputs_Refineries'!Q$11:Q$13)&gt;0,'Key inputs_Refineries'!Q12/SUM('Key inputs_Refineries'!Q$11:Q$13)&lt;0.001),0.001,'Key inputs_Refineries'!Q12/SUM('Key inputs_Refineries'!Q$11:Q$13)),"")</f>
        <v>0.95812151606958451</v>
      </c>
      <c r="X159" s="173">
        <f>IFERROR(IF(AND('Key inputs_Refineries'!R12/SUM('Key inputs_Refineries'!R$11:R$13)&gt;0,'Key inputs_Refineries'!R12/SUM('Key inputs_Refineries'!R$11:R$13)&lt;0.001),0.001,'Key inputs_Refineries'!R12/SUM('Key inputs_Refineries'!R$11:R$13)),"")</f>
        <v>0.85879998294504034</v>
      </c>
      <c r="Y159" s="173">
        <f>IFERROR(IF(AND('Key inputs_Refineries'!S12/SUM('Key inputs_Refineries'!S$11:S$13)&gt;0,'Key inputs_Refineries'!S12/SUM('Key inputs_Refineries'!S$11:S$13)&lt;0.001),0.001,'Key inputs_Refineries'!S12/SUM('Key inputs_Refineries'!S$11:S$13)),"")</f>
        <v>0.99542947444416541</v>
      </c>
      <c r="Z159" s="173">
        <f>IFERROR(IF(AND('Key inputs_Refineries'!T12/SUM('Key inputs_Refineries'!T$11:T$13)&gt;0,'Key inputs_Refineries'!T12/SUM('Key inputs_Refineries'!T$11:T$13)&lt;0.001),0.001,'Key inputs_Refineries'!T12/SUM('Key inputs_Refineries'!T$11:T$13)),"")</f>
        <v>0.99899987269343082</v>
      </c>
      <c r="AA159" s="173">
        <f>IFERROR(IF(AND('Key inputs_Refineries'!U12/SUM('Key inputs_Refineries'!U$11:U$13)&gt;0,'Key inputs_Refineries'!U12/SUM('Key inputs_Refineries'!U$11:U$13)&lt;0.001),0.001,'Key inputs_Refineries'!U12/SUM('Key inputs_Refineries'!U$11:U$13)),"")</f>
        <v>0.97771506767171479</v>
      </c>
      <c r="AB159" s="173">
        <f>IFERROR(IF(AND('Key inputs_Refineries'!V12/SUM('Key inputs_Refineries'!V$11:V$13)&gt;0,'Key inputs_Refineries'!V12/SUM('Key inputs_Refineries'!V$11:V$13)&lt;0.001),0.001,'Key inputs_Refineries'!V12/SUM('Key inputs_Refineries'!V$11:V$13)),"")</f>
        <v>0.97528178302883473</v>
      </c>
      <c r="AC159" s="173">
        <f>IFERROR(IF(AND('Key inputs_Refineries'!W12/SUM('Key inputs_Refineries'!W$11:W$13)&gt;0,'Key inputs_Refineries'!W12/SUM('Key inputs_Refineries'!W$11:W$13)&lt;0.001),0.001,'Key inputs_Refineries'!W12/SUM('Key inputs_Refineries'!W$11:W$13)),"")</f>
        <v>0.97869235540290689</v>
      </c>
      <c r="AD159" s="173">
        <f>IFERROR(IF(AND('Key inputs_Refineries'!X12/SUM('Key inputs_Refineries'!X$11:X$13)&gt;0,'Key inputs_Refineries'!X12/SUM('Key inputs_Refineries'!X$11:X$13)&lt;0.001),0.001,'Key inputs_Refineries'!X12/SUM('Key inputs_Refineries'!X$11:X$13)),"")</f>
        <v>0.98129306516123238</v>
      </c>
      <c r="AE159" s="173">
        <f>IFERROR(IF(AND('Key inputs_Refineries'!Y12/SUM('Key inputs_Refineries'!Y$11:Y$13)&gt;0,'Key inputs_Refineries'!Y12/SUM('Key inputs_Refineries'!Y$11:Y$13)&lt;0.001),0.001,'Key inputs_Refineries'!Y12/SUM('Key inputs_Refineries'!Y$11:Y$13)),"")</f>
        <v>0.85382150175578542</v>
      </c>
      <c r="AF159" s="173">
        <f>IFERROR(IF(AND('Key inputs_Refineries'!Z12/SUM('Key inputs_Refineries'!Z$11:Z$13)&gt;0,'Key inputs_Refineries'!Z12/SUM('Key inputs_Refineries'!Z$11:Z$13)&lt;0.001),0.001,'Key inputs_Refineries'!Z12/SUM('Key inputs_Refineries'!Z$11:Z$13)),"")</f>
        <v>0.99821351447654594</v>
      </c>
      <c r="AG159" s="173">
        <f>IFERROR(IF(AND('Key inputs_Refineries'!AA12/SUM('Key inputs_Refineries'!AA$11:AA$13)&gt;0,'Key inputs_Refineries'!AA12/SUM('Key inputs_Refineries'!AA$11:AA$13)&lt;0.001),0.001,'Key inputs_Refineries'!AA12/SUM('Key inputs_Refineries'!AA$11:AA$13)),"")</f>
        <v>0.69153436248180444</v>
      </c>
      <c r="AH159" s="173">
        <f>IFERROR(IF(AND('Key inputs_Refineries'!AB12/SUM('Key inputs_Refineries'!AB$11:AB$13)&gt;0,'Key inputs_Refineries'!AB12/SUM('Key inputs_Refineries'!AB$11:AB$13)&lt;0.001),0.001,'Key inputs_Refineries'!AB12/SUM('Key inputs_Refineries'!AB$11:AB$13)),"")</f>
        <v>0.81489481573406108</v>
      </c>
      <c r="AI159" s="173">
        <f>IFERROR(IF(AND('Key inputs_Refineries'!AC12/SUM('Key inputs_Refineries'!AC$11:AC$13)&gt;0,'Key inputs_Refineries'!AC12/SUM('Key inputs_Refineries'!AC$11:AC$13)&lt;0.001),0.001,'Key inputs_Refineries'!AC12/SUM('Key inputs_Refineries'!AC$11:AC$13)),"")</f>
        <v>1</v>
      </c>
      <c r="AJ159" s="173">
        <f>IFERROR(IF(AND('Key inputs_Refineries'!AD12/SUM('Key inputs_Refineries'!AD$11:AD$13)&gt;0,'Key inputs_Refineries'!AD12/SUM('Key inputs_Refineries'!AD$11:AD$13)&lt;0.001),0.001,'Key inputs_Refineries'!AD12/SUM('Key inputs_Refineries'!AD$11:AD$13)),"")</f>
        <v>0.87423353519769043</v>
      </c>
      <c r="AK159" s="173">
        <f>IFERROR(IF(AND('Key inputs_Refineries'!AE12/SUM('Key inputs_Refineries'!AE$11:AE$13)&gt;0,'Key inputs_Refineries'!AE12/SUM('Key inputs_Refineries'!AE$11:AE$13)&lt;0.001),0.001,'Key inputs_Refineries'!AE12/SUM('Key inputs_Refineries'!AE$11:AE$13)),"")</f>
        <v>1</v>
      </c>
      <c r="AL159" s="173">
        <f>IFERROR(IF(AND('Key inputs_Refineries'!AF12/SUM('Key inputs_Refineries'!AF$11:AF$13)&gt;0,'Key inputs_Refineries'!AF12/SUM('Key inputs_Refineries'!AF$11:AF$13)&lt;0.001),0.001,'Key inputs_Refineries'!AF12/SUM('Key inputs_Refineries'!AF$11:AF$13)),"")</f>
        <v>0.85267638314275285</v>
      </c>
    </row>
    <row r="160" spans="1:38">
      <c r="C160" t="str">
        <f>Commodities!$C$26</f>
        <v>OILNGL</v>
      </c>
      <c r="F160" t="s">
        <v>364</v>
      </c>
      <c r="G160" s="4" t="s">
        <v>702</v>
      </c>
      <c r="H160" t="s">
        <v>661</v>
      </c>
      <c r="I160">
        <v>2019</v>
      </c>
      <c r="J160" s="4" t="s">
        <v>650</v>
      </c>
      <c r="K160" s="173">
        <f>IFERROR(IF(AND('Key inputs_Refineries'!E13/SUM('Key inputs_Refineries'!E$11:E$13)&gt;0,'Key inputs_Refineries'!E13/SUM('Key inputs_Refineries'!E$11:E$13)&lt;0.001),0.001,'Key inputs_Refineries'!E13/SUM('Key inputs_Refineries'!E$11:E$13)),"")</f>
        <v>0</v>
      </c>
      <c r="L160" s="173">
        <f>IFERROR(IF(AND('Key inputs_Refineries'!F13/SUM('Key inputs_Refineries'!F$11:F$13)&gt;0,'Key inputs_Refineries'!F13/SUM('Key inputs_Refineries'!F$11:F$13)&lt;0.001),0.001,'Key inputs_Refineries'!F13/SUM('Key inputs_Refineries'!F$11:F$13)),"")</f>
        <v>0.21652711018583717</v>
      </c>
      <c r="M160" s="173">
        <f>IFERROR(IF(AND('Key inputs_Refineries'!G13/SUM('Key inputs_Refineries'!G$11:G$13)&gt;0,'Key inputs_Refineries'!G13/SUM('Key inputs_Refineries'!G$11:G$13)&lt;0.001),0.001,'Key inputs_Refineries'!G13/SUM('Key inputs_Refineries'!G$11:G$13)),"")</f>
        <v>0.12514274160707828</v>
      </c>
      <c r="N160" s="173">
        <f>IFERROR(IF(AND('Key inputs_Refineries'!H13/SUM('Key inputs_Refineries'!H$11:H$13)&gt;0,'Key inputs_Refineries'!H13/SUM('Key inputs_Refineries'!H$11:H$13)&lt;0.001),0.001,'Key inputs_Refineries'!H13/SUM('Key inputs_Refineries'!H$11:H$13)),"")</f>
        <v>0.100134316008236</v>
      </c>
      <c r="O160" s="173">
        <f>IFERROR(IF(AND('Key inputs_Refineries'!I13/SUM('Key inputs_Refineries'!I$11:I$13)&gt;0,'Key inputs_Refineries'!I13/SUM('Key inputs_Refineries'!I$11:I$13)&lt;0.001),0.001,'Key inputs_Refineries'!I13/SUM('Key inputs_Refineries'!I$11:I$13)),"")</f>
        <v>8.7325928013169407E-2</v>
      </c>
      <c r="P160" s="173">
        <f>IFERROR(IF(AND('Key inputs_Refineries'!J13/SUM('Key inputs_Refineries'!J$11:J$13)&gt;0,'Key inputs_Refineries'!J13/SUM('Key inputs_Refineries'!J$11:J$13)&lt;0.001),0.001,'Key inputs_Refineries'!J13/SUM('Key inputs_Refineries'!J$11:J$13)),"")</f>
        <v>0.15437591414918914</v>
      </c>
      <c r="Q160" s="173">
        <f>IFERROR(IF(AND('Key inputs_Refineries'!K13/SUM('Key inputs_Refineries'!K$11:K$13)&gt;0,'Key inputs_Refineries'!K13/SUM('Key inputs_Refineries'!K$11:K$13)&lt;0.001),0.001,'Key inputs_Refineries'!K13/SUM('Key inputs_Refineries'!K$11:K$13)),"")</f>
        <v>7.1934185414441992E-2</v>
      </c>
      <c r="R160" s="173">
        <f>IFERROR(IF(AND('Key inputs_Refineries'!L13/SUM('Key inputs_Refineries'!L$11:L$13)&gt;0,'Key inputs_Refineries'!L13/SUM('Key inputs_Refineries'!L$11:L$13)&lt;0.001),0.001,'Key inputs_Refineries'!L13/SUM('Key inputs_Refineries'!L$11:L$13)),"")</f>
        <v>5.0215023381111376E-2</v>
      </c>
      <c r="S160" s="173">
        <f>IFERROR(IF(AND('Key inputs_Refineries'!M13/SUM('Key inputs_Refineries'!M$11:M$13)&gt;0,'Key inputs_Refineries'!M13/SUM('Key inputs_Refineries'!M$11:M$13)&lt;0.001),0.001,'Key inputs_Refineries'!M13/SUM('Key inputs_Refineries'!M$11:M$13)),"")</f>
        <v>5.2531218474394327E-2</v>
      </c>
      <c r="T160" s="173">
        <f>IFERROR(IF(AND('Key inputs_Refineries'!N13/SUM('Key inputs_Refineries'!N$11:N$13)&gt;0,'Key inputs_Refineries'!N13/SUM('Key inputs_Refineries'!N$11:N$13)&lt;0.001),0.001,'Key inputs_Refineries'!N13/SUM('Key inputs_Refineries'!N$11:N$13)),"")</f>
        <v>3.0753035484791382E-2</v>
      </c>
      <c r="U160" s="173">
        <f>IFERROR(IF(AND('Key inputs_Refineries'!O13/SUM('Key inputs_Refineries'!O$11:O$13)&gt;0,'Key inputs_Refineries'!O13/SUM('Key inputs_Refineries'!O$11:O$13)&lt;0.001),0.001,'Key inputs_Refineries'!O13/SUM('Key inputs_Refineries'!O$11:O$13)),"")</f>
        <v>0</v>
      </c>
      <c r="V160" s="173">
        <f>IFERROR(IF(AND('Key inputs_Refineries'!P13/SUM('Key inputs_Refineries'!P$11:P$13)&gt;0,'Key inputs_Refineries'!P13/SUM('Key inputs_Refineries'!P$11:P$13)&lt;0.001),0.001,'Key inputs_Refineries'!P13/SUM('Key inputs_Refineries'!P$11:P$13)),"")</f>
        <v>0</v>
      </c>
      <c r="W160" s="173">
        <f>IFERROR(IF(AND('Key inputs_Refineries'!Q13/SUM('Key inputs_Refineries'!Q$11:Q$13)&gt;0,'Key inputs_Refineries'!Q13/SUM('Key inputs_Refineries'!Q$11:Q$13)&lt;0.001),0.001,'Key inputs_Refineries'!Q13/SUM('Key inputs_Refineries'!Q$11:Q$13)),"")</f>
        <v>4.187848393041553E-2</v>
      </c>
      <c r="X160" s="173">
        <f>IFERROR(IF(AND('Key inputs_Refineries'!R13/SUM('Key inputs_Refineries'!R$11:R$13)&gt;0,'Key inputs_Refineries'!R13/SUM('Key inputs_Refineries'!R$11:R$13)&lt;0.001),0.001,'Key inputs_Refineries'!R13/SUM('Key inputs_Refineries'!R$11:R$13)),"")</f>
        <v>0.1412000170549596</v>
      </c>
      <c r="Y160" s="173">
        <f>IFERROR(IF(AND('Key inputs_Refineries'!S13/SUM('Key inputs_Refineries'!S$11:S$13)&gt;0,'Key inputs_Refineries'!S13/SUM('Key inputs_Refineries'!S$11:S$13)&lt;0.001),0.001,'Key inputs_Refineries'!S13/SUM('Key inputs_Refineries'!S$11:S$13)),"")</f>
        <v>4.5705255558346437E-3</v>
      </c>
      <c r="Z160" s="173">
        <f>IFERROR(IF(AND('Key inputs_Refineries'!T13/SUM('Key inputs_Refineries'!T$11:T$13)&gt;0,'Key inputs_Refineries'!T13/SUM('Key inputs_Refineries'!T$11:T$13)&lt;0.001),0.001,'Key inputs_Refineries'!T13/SUM('Key inputs_Refineries'!T$11:T$13)),"")</f>
        <v>1.0001273065692023E-3</v>
      </c>
      <c r="AA160" s="173">
        <f>IFERROR(IF(AND('Key inputs_Refineries'!U13/SUM('Key inputs_Refineries'!U$11:U$13)&gt;0,'Key inputs_Refineries'!U13/SUM('Key inputs_Refineries'!U$11:U$13)&lt;0.001),0.001,'Key inputs_Refineries'!U13/SUM('Key inputs_Refineries'!U$11:U$13)),"")</f>
        <v>2.2284932328285247E-2</v>
      </c>
      <c r="AB160" s="173">
        <f>IFERROR(IF(AND('Key inputs_Refineries'!V13/SUM('Key inputs_Refineries'!V$11:V$13)&gt;0,'Key inputs_Refineries'!V13/SUM('Key inputs_Refineries'!V$11:V$13)&lt;0.001),0.001,'Key inputs_Refineries'!V13/SUM('Key inputs_Refineries'!V$11:V$13)),"")</f>
        <v>2.4718216971165222E-2</v>
      </c>
      <c r="AC160" s="173">
        <f>IFERROR(IF(AND('Key inputs_Refineries'!W13/SUM('Key inputs_Refineries'!W$11:W$13)&gt;0,'Key inputs_Refineries'!W13/SUM('Key inputs_Refineries'!W$11:W$13)&lt;0.001),0.001,'Key inputs_Refineries'!W13/SUM('Key inputs_Refineries'!W$11:W$13)),"")</f>
        <v>2.1307644597093087E-2</v>
      </c>
      <c r="AD160" s="173">
        <f>IFERROR(IF(AND('Key inputs_Refineries'!X13/SUM('Key inputs_Refineries'!X$11:X$13)&gt;0,'Key inputs_Refineries'!X13/SUM('Key inputs_Refineries'!X$11:X$13)&lt;0.001),0.001,'Key inputs_Refineries'!X13/SUM('Key inputs_Refineries'!X$11:X$13)),"")</f>
        <v>1.8706934838767623E-2</v>
      </c>
      <c r="AE160" s="173">
        <f>IFERROR(IF(AND('Key inputs_Refineries'!Y13/SUM('Key inputs_Refineries'!Y$11:Y$13)&gt;0,'Key inputs_Refineries'!Y13/SUM('Key inputs_Refineries'!Y$11:Y$13)&lt;0.001),0.001,'Key inputs_Refineries'!Y13/SUM('Key inputs_Refineries'!Y$11:Y$13)),"")</f>
        <v>0.14617849824421461</v>
      </c>
      <c r="AF160" s="173">
        <f>IFERROR(IF(AND('Key inputs_Refineries'!Z13/SUM('Key inputs_Refineries'!Z$11:Z$13)&gt;0,'Key inputs_Refineries'!Z13/SUM('Key inputs_Refineries'!Z$11:Z$13)&lt;0.001),0.001,'Key inputs_Refineries'!Z13/SUM('Key inputs_Refineries'!Z$11:Z$13)),"")</f>
        <v>1.7864855234540724E-3</v>
      </c>
      <c r="AG160" s="173">
        <f>IFERROR(IF(AND('Key inputs_Refineries'!AA13/SUM('Key inputs_Refineries'!AA$11:AA$13)&gt;0,'Key inputs_Refineries'!AA13/SUM('Key inputs_Refineries'!AA$11:AA$13)&lt;0.001),0.001,'Key inputs_Refineries'!AA13/SUM('Key inputs_Refineries'!AA$11:AA$13)),"")</f>
        <v>0.30846563751819556</v>
      </c>
      <c r="AH160" s="173">
        <f>IFERROR(IF(AND('Key inputs_Refineries'!AB13/SUM('Key inputs_Refineries'!AB$11:AB$13)&gt;0,'Key inputs_Refineries'!AB13/SUM('Key inputs_Refineries'!AB$11:AB$13)&lt;0.001),0.001,'Key inputs_Refineries'!AB13/SUM('Key inputs_Refineries'!AB$11:AB$13)),"")</f>
        <v>0.18510518426593894</v>
      </c>
      <c r="AI160" s="173">
        <f>IFERROR(IF(AND('Key inputs_Refineries'!AC13/SUM('Key inputs_Refineries'!AC$11:AC$13)&gt;0,'Key inputs_Refineries'!AC13/SUM('Key inputs_Refineries'!AC$11:AC$13)&lt;0.001),0.001,'Key inputs_Refineries'!AC13/SUM('Key inputs_Refineries'!AC$11:AC$13)),"")</f>
        <v>0</v>
      </c>
      <c r="AJ160" s="173">
        <f>IFERROR(IF(AND('Key inputs_Refineries'!AD13/SUM('Key inputs_Refineries'!AD$11:AD$13)&gt;0,'Key inputs_Refineries'!AD13/SUM('Key inputs_Refineries'!AD$11:AD$13)&lt;0.001),0.001,'Key inputs_Refineries'!AD13/SUM('Key inputs_Refineries'!AD$11:AD$13)),"")</f>
        <v>0.1257664648023096</v>
      </c>
      <c r="AK160" s="173">
        <f>IFERROR(IF(AND('Key inputs_Refineries'!AE13/SUM('Key inputs_Refineries'!AE$11:AE$13)&gt;0,'Key inputs_Refineries'!AE13/SUM('Key inputs_Refineries'!AE$11:AE$13)&lt;0.001),0.001,'Key inputs_Refineries'!AE13/SUM('Key inputs_Refineries'!AE$11:AE$13)),"")</f>
        <v>0</v>
      </c>
      <c r="AL160" s="173">
        <f>IFERROR(IF(AND('Key inputs_Refineries'!AF13/SUM('Key inputs_Refineries'!AF$11:AF$13)&gt;0,'Key inputs_Refineries'!AF13/SUM('Key inputs_Refineries'!AF$11:AF$13)&lt;0.001),0.001,'Key inputs_Refineries'!AF13/SUM('Key inputs_Refineries'!AF$11:AF$13)),"")</f>
        <v>0.14732361685724718</v>
      </c>
    </row>
    <row r="161" spans="1:38">
      <c r="E161" t="s">
        <v>365</v>
      </c>
      <c r="F161" t="s">
        <v>691</v>
      </c>
      <c r="G161" t="s">
        <v>692</v>
      </c>
      <c r="J161" s="4" t="s">
        <v>2664</v>
      </c>
      <c r="K161" s="173">
        <f>IFERROR(-SUM('Key inputs_Refineries'!E11:E13)/SUM('Key inputs_Refineries'!E18:E24,-'Key inputs_Refineries'!E60),"")</f>
        <v>1.0536431714968102</v>
      </c>
      <c r="L161" s="173">
        <f>IFERROR(-SUM('Key inputs_Refineries'!F11:F13)/SUM('Key inputs_Refineries'!F18:F24,-'Key inputs_Refineries'!F60),"")</f>
        <v>1.0176268899696768</v>
      </c>
      <c r="M161" s="173">
        <f>IFERROR(-SUM('Key inputs_Refineries'!G11:G13)/SUM('Key inputs_Refineries'!G18:G24,-'Key inputs_Refineries'!G60),"")</f>
        <v>1.1240203126466364</v>
      </c>
      <c r="N161" s="173">
        <f>IFERROR(-SUM('Key inputs_Refineries'!H11:H13)/SUM('Key inputs_Refineries'!H18:H24,-'Key inputs_Refineries'!H60),"")</f>
        <v>0.98608391909477489</v>
      </c>
      <c r="O161" s="173">
        <f>IFERROR(-SUM('Key inputs_Refineries'!I11:I13)/SUM('Key inputs_Refineries'!I18:I24,-'Key inputs_Refineries'!I60),"")</f>
        <v>0.98816020079280786</v>
      </c>
      <c r="P161" s="173">
        <f>IFERROR(-SUM('Key inputs_Refineries'!J11:J13)/SUM('Key inputs_Refineries'!J18:J24,-'Key inputs_Refineries'!J60),"")</f>
        <v>1.0194996146743418</v>
      </c>
      <c r="Q161" s="173">
        <f>IFERROR(-SUM('Key inputs_Refineries'!K11:K13)/SUM('Key inputs_Refineries'!K18:K24,-'Key inputs_Refineries'!K60),"")</f>
        <v>1.0102849647964744</v>
      </c>
      <c r="R161" s="173">
        <f>IFERROR(-SUM('Key inputs_Refineries'!L11:L13)/SUM('Key inputs_Refineries'!L18:L24,-'Key inputs_Refineries'!L60),"")</f>
        <v>1.0611156753243165</v>
      </c>
      <c r="S161" s="173">
        <f>IFERROR(-SUM('Key inputs_Refineries'!M11:M13)/SUM('Key inputs_Refineries'!M18:M24,-'Key inputs_Refineries'!M60),"")</f>
        <v>0.9936257494312577</v>
      </c>
      <c r="T161" s="173">
        <f>IFERROR(-SUM('Key inputs_Refineries'!N11:N13)/SUM('Key inputs_Refineries'!N18:N24,-'Key inputs_Refineries'!N60),"")</f>
        <v>1.0205629198955304</v>
      </c>
      <c r="U161" s="173">
        <f>IFERROR(-SUM('Key inputs_Refineries'!O11:O13)/SUM('Key inputs_Refineries'!O18:O24,-'Key inputs_Refineries'!O60),"")</f>
        <v>1.0100355882564114</v>
      </c>
      <c r="V161" s="173">
        <f>IFERROR(-SUM('Key inputs_Refineries'!P11:P13)/SUM('Key inputs_Refineries'!P18:P24,-'Key inputs_Refineries'!P60),"")</f>
        <v>0.97137587668053182</v>
      </c>
      <c r="W161" s="173">
        <f>IFERROR(-SUM('Key inputs_Refineries'!Q11:Q13)/SUM('Key inputs_Refineries'!Q18:Q24,-'Key inputs_Refineries'!Q60),"")</f>
        <v>1.0805317123873066</v>
      </c>
      <c r="X161" s="173">
        <f>IFERROR(-SUM('Key inputs_Refineries'!R11:R13)/SUM('Key inputs_Refineries'!R18:R24,-'Key inputs_Refineries'!R60),"")</f>
        <v>0.98136986227927347</v>
      </c>
      <c r="Y161" s="173">
        <f>IFERROR(-SUM('Key inputs_Refineries'!S11:S13)/SUM('Key inputs_Refineries'!S18:S24,-'Key inputs_Refineries'!S60),"")</f>
        <v>0.99117809410106639</v>
      </c>
      <c r="Z161" s="173">
        <f>IFERROR(-SUM('Key inputs_Refineries'!T11:T13)/SUM('Key inputs_Refineries'!T18:T24,-'Key inputs_Refineries'!T60),"")</f>
        <v>0.99050389657827065</v>
      </c>
      <c r="AA161" s="173">
        <f>IFERROR(-SUM('Key inputs_Refineries'!U11:U13)/SUM('Key inputs_Refineries'!U18:U24,-'Key inputs_Refineries'!U60),"")</f>
        <v>0.98513180954326363</v>
      </c>
      <c r="AB161" s="173">
        <f>IFERROR(-SUM('Key inputs_Refineries'!V11:V13)/SUM('Key inputs_Refineries'!V18:V24,-'Key inputs_Refineries'!V60),"")</f>
        <v>1.0764570920964149</v>
      </c>
      <c r="AC161" s="173">
        <f>IFERROR(-SUM('Key inputs_Refineries'!W11:W13)/SUM('Key inputs_Refineries'!W18:W24,-'Key inputs_Refineries'!W60),"")</f>
        <v>0.97413845297400115</v>
      </c>
      <c r="AD161" s="173">
        <f>IFERROR(-SUM('Key inputs_Refineries'!X11:X13)/SUM('Key inputs_Refineries'!X18:X24,-'Key inputs_Refineries'!X60),"")</f>
        <v>0.97267932940321156</v>
      </c>
      <c r="AE161" s="173">
        <f>IFERROR(-SUM('Key inputs_Refineries'!Y11:Y13)/SUM('Key inputs_Refineries'!Y18:Y24,-'Key inputs_Refineries'!Y60),"")</f>
        <v>1.0059939512538623</v>
      </c>
      <c r="AF161" s="173">
        <f>IFERROR(-SUM('Key inputs_Refineries'!Z11:Z13)/SUM('Key inputs_Refineries'!Z18:Z24,-'Key inputs_Refineries'!Z60),"")</f>
        <v>1.0127746662677264</v>
      </c>
      <c r="AG161" s="173">
        <f>IFERROR(-SUM('Key inputs_Refineries'!AA11:AA13)/SUM('Key inputs_Refineries'!AA18:AA24,-'Key inputs_Refineries'!AA60),"")</f>
        <v>1.0107379150729474</v>
      </c>
      <c r="AH161" s="173">
        <f>IFERROR(-SUM('Key inputs_Refineries'!AB11:AB13)/SUM('Key inputs_Refineries'!AB18:AB24,-'Key inputs_Refineries'!AB60),"")</f>
        <v>1.0544445390367529</v>
      </c>
      <c r="AI161" s="173">
        <f>IFERROR(-SUM('Key inputs_Refineries'!AC11:AC13)/SUM('Key inputs_Refineries'!AC18:AC24,-'Key inputs_Refineries'!AC60),"")</f>
        <v>1.1252759339995901</v>
      </c>
      <c r="AJ161" s="173">
        <f>IFERROR(-SUM('Key inputs_Refineries'!AD11:AD13)/SUM('Key inputs_Refineries'!AD18:AD24,-'Key inputs_Refineries'!AD60),"")</f>
        <v>0.98641425519798631</v>
      </c>
      <c r="AK161" s="173">
        <f>IFERROR(-SUM('Key inputs_Refineries'!AE11:AE13)/SUM('Key inputs_Refineries'!AE18:AE24,-'Key inputs_Refineries'!AE60),"")</f>
        <v>0.97046945822310959</v>
      </c>
      <c r="AL161" s="173">
        <f>IFERROR(-SUM('Key inputs_Refineries'!AF11:AF13)/SUM('Key inputs_Refineries'!AF18:AF24,-'Key inputs_Refineries'!AF60),"")</f>
        <v>1.0103957529254788</v>
      </c>
    </row>
    <row r="162" spans="1:38">
      <c r="D162" t="str">
        <f>Commodities!$C$48</f>
        <v>OILDSL</v>
      </c>
      <c r="F162" t="s">
        <v>365</v>
      </c>
      <c r="G162" s="4" t="s">
        <v>705</v>
      </c>
      <c r="H162" t="s">
        <v>661</v>
      </c>
      <c r="I162">
        <v>2019</v>
      </c>
      <c r="J162" t="s">
        <v>650</v>
      </c>
      <c r="K162" s="173">
        <f>IFERROR(IF(AND('Key inputs_Refineries'!E18/SUM('Key inputs_Refineries'!E$18:E$24,-'Key inputs_Refineries'!E$60)&gt;0,'Key inputs_Refineries'!E18/SUM('Key inputs_Refineries'!E$18:E$24,-'Key inputs_Refineries'!E$60)&lt;0.001),0.001,'Key inputs_Refineries'!E18/SUM('Key inputs_Refineries'!E$18:E$24,-'Key inputs_Refineries'!E$60)),"")</f>
        <v>0.52220154753006798</v>
      </c>
      <c r="L162" s="173">
        <f>IFERROR(IF(AND('Key inputs_Refineries'!F18/SUM('Key inputs_Refineries'!F$18:F$24)&gt;0,'Key inputs_Refineries'!F18/SUM('Key inputs_Refineries'!F$18:F$24)&lt;0.001),0.001,'Key inputs_Refineries'!F18/SUM('Key inputs_Refineries'!F$18:F$24)),"")</f>
        <v>0.31873069880384081</v>
      </c>
      <c r="M162" s="173">
        <f>IFERROR(IF(AND('Key inputs_Refineries'!G18/SUM('Key inputs_Refineries'!G$18:G$24)&gt;0,'Key inputs_Refineries'!G18/SUM('Key inputs_Refineries'!G$18:G$24)&lt;0.001),0.001,'Key inputs_Refineries'!G18/SUM('Key inputs_Refineries'!G$18:G$24)),"")</f>
        <v>0.44853682753969393</v>
      </c>
      <c r="N162" s="173">
        <f>IFERROR(IF(AND('Key inputs_Refineries'!H18/SUM('Key inputs_Refineries'!H$18:H$24)&gt;0,'Key inputs_Refineries'!H18/SUM('Key inputs_Refineries'!H$18:H$24)&lt;0.001),0.001,'Key inputs_Refineries'!H18/SUM('Key inputs_Refineries'!H$18:H$24)),"")</f>
        <v>0.43108733245035558</v>
      </c>
      <c r="O162" s="173">
        <f>IFERROR(IF(AND('Key inputs_Refineries'!I18/SUM('Key inputs_Refineries'!I$18:I$24)&gt;0,'Key inputs_Refineries'!I18/SUM('Key inputs_Refineries'!I$18:I$24)&lt;0.001),0.001,'Key inputs_Refineries'!I18/SUM('Key inputs_Refineries'!I$18:I$24)),"")</f>
        <v>0.33176013243639391</v>
      </c>
      <c r="P162" s="173">
        <f>IFERROR(IF(AND('Key inputs_Refineries'!J18/SUM('Key inputs_Refineries'!J$18:J$24)&gt;0,'Key inputs_Refineries'!J18/SUM('Key inputs_Refineries'!J$18:J$24)&lt;0.001),0.001,'Key inputs_Refineries'!J18/SUM('Key inputs_Refineries'!J$18:J$24)),"")</f>
        <v>0.30568562542547084</v>
      </c>
      <c r="Q162" s="173">
        <f>IFERROR(IF(AND('Key inputs_Refineries'!K18/SUM('Key inputs_Refineries'!K$18:K$24)&gt;0,'Key inputs_Refineries'!K18/SUM('Key inputs_Refineries'!K$18:K$24)&lt;0.001),0.001,'Key inputs_Refineries'!K18/SUM('Key inputs_Refineries'!K$18:K$24)),"")</f>
        <v>0.31975107225835264</v>
      </c>
      <c r="R162" s="173">
        <f>IFERROR(IF(AND('Key inputs_Refineries'!L18/SUM('Key inputs_Refineries'!L$18:L$24)&gt;0,'Key inputs_Refineries'!L18/SUM('Key inputs_Refineries'!L$18:L$24)&lt;0.001),0.001,'Key inputs_Refineries'!L18/SUM('Key inputs_Refineries'!L$18:L$24)),"")</f>
        <v>0.40178642145128157</v>
      </c>
      <c r="S162" s="173">
        <f>IFERROR(IF(AND('Key inputs_Refineries'!M18/SUM('Key inputs_Refineries'!M$18:M$24)&gt;0,'Key inputs_Refineries'!M18/SUM('Key inputs_Refineries'!M$18:M$24)&lt;0.001),0.001,'Key inputs_Refineries'!M18/SUM('Key inputs_Refineries'!M$18:M$24)),"")</f>
        <v>0.61620654965527821</v>
      </c>
      <c r="T162" s="173">
        <f>IFERROR(IF(AND('Key inputs_Refineries'!N18/SUM('Key inputs_Refineries'!N$18:N$24)&gt;0,'Key inputs_Refineries'!N18/SUM('Key inputs_Refineries'!N$18:N$24)&lt;0.001),0.001,'Key inputs_Refineries'!N18/SUM('Key inputs_Refineries'!N$18:N$24)),"")</f>
        <v>0.36995379032273157</v>
      </c>
      <c r="U162" s="173">
        <f>IFERROR(IF(AND('Key inputs_Refineries'!O18/SUM('Key inputs_Refineries'!O$18:O$24)&gt;0,'Key inputs_Refineries'!O18/SUM('Key inputs_Refineries'!O$18:O$24)&lt;0.001),0.001,'Key inputs_Refineries'!O18/SUM('Key inputs_Refineries'!O$18:O$24)),"")</f>
        <v>0.32428791559920966</v>
      </c>
      <c r="V162" s="173">
        <f>IFERROR(IF(AND('Key inputs_Refineries'!P18/SUM('Key inputs_Refineries'!P$18:P$24)&gt;0,'Key inputs_Refineries'!P18/SUM('Key inputs_Refineries'!P$18:P$24)&lt;0.001),0.001,'Key inputs_Refineries'!P18/SUM('Key inputs_Refineries'!P$18:P$24)),"")</f>
        <v>0.23535346821831749</v>
      </c>
      <c r="W162" s="173">
        <f>IFERROR(IF(AND('Key inputs_Refineries'!Q18/SUM('Key inputs_Refineries'!Q$18:Q$24)&gt;0,'Key inputs_Refineries'!Q18/SUM('Key inputs_Refineries'!Q$18:Q$24)&lt;0.001),0.001,'Key inputs_Refineries'!Q18/SUM('Key inputs_Refineries'!Q$18:Q$24)),"")</f>
        <v>0.38789549677743368</v>
      </c>
      <c r="X162" s="173">
        <f>IFERROR(IF(AND('Key inputs_Refineries'!R18/SUM('Key inputs_Refineries'!R$18:R$24)&gt;0,'Key inputs_Refineries'!R18/SUM('Key inputs_Refineries'!R$18:R$24)&lt;0.001),0.001,'Key inputs_Refineries'!R18/SUM('Key inputs_Refineries'!R$18:R$24)),"")</f>
        <v>0.37990971043720395</v>
      </c>
      <c r="Y162" s="173">
        <f>IFERROR(IF(AND('Key inputs_Refineries'!S18/SUM('Key inputs_Refineries'!S$18:S$24)&gt;0,'Key inputs_Refineries'!S18/SUM('Key inputs_Refineries'!S$18:S$24)&lt;0.001),0.001,'Key inputs_Refineries'!S18/SUM('Key inputs_Refineries'!S$18:S$24)),"")</f>
        <v>0.4480266606423301</v>
      </c>
      <c r="Z162" s="173">
        <f>IFERROR(IF(AND('Key inputs_Refineries'!T18/SUM('Key inputs_Refineries'!T$18:T$24)&gt;0,'Key inputs_Refineries'!T18/SUM('Key inputs_Refineries'!T$18:T$24)&lt;0.001),0.001,'Key inputs_Refineries'!T18/SUM('Key inputs_Refineries'!T$18:T$24)),"")</f>
        <v>0.42389392644391249</v>
      </c>
      <c r="AA162" s="173">
        <f>IFERROR(IF(AND('Key inputs_Refineries'!U18/SUM('Key inputs_Refineries'!U$18:U$24)&gt;0,'Key inputs_Refineries'!U18/SUM('Key inputs_Refineries'!U$18:U$24)&lt;0.001),0.001,'Key inputs_Refineries'!U18/SUM('Key inputs_Refineries'!U$18:U$24)),"")</f>
        <v>0.38844330164999769</v>
      </c>
      <c r="AB162" s="173">
        <f>IFERROR(IF(AND('Key inputs_Refineries'!V18/SUM('Key inputs_Refineries'!V$18:V$24)&gt;0,'Key inputs_Refineries'!V18/SUM('Key inputs_Refineries'!V$18:V$24)&lt;0.001),0.001,'Key inputs_Refineries'!V18/SUM('Key inputs_Refineries'!V$18:V$24)),"")</f>
        <v>0.40487178270836127</v>
      </c>
      <c r="AC162" s="173">
        <f>IFERROR(IF(AND('Key inputs_Refineries'!W18/SUM('Key inputs_Refineries'!W$18:W$24)&gt;0,'Key inputs_Refineries'!W18/SUM('Key inputs_Refineries'!W$18:W$24)&lt;0.001),0.001,'Key inputs_Refineries'!W18/SUM('Key inputs_Refineries'!W$18:W$24)),"")</f>
        <v>0.44302794692343594</v>
      </c>
      <c r="AD162" s="173">
        <f>IFERROR(IF(AND('Key inputs_Refineries'!X18/SUM('Key inputs_Refineries'!X$18:X$24)&gt;0,'Key inputs_Refineries'!X18/SUM('Key inputs_Refineries'!X$18:X$24)&lt;0.001),0.001,'Key inputs_Refineries'!X18/SUM('Key inputs_Refineries'!X$18:X$24)),"")</f>
        <v>0.30403688555950936</v>
      </c>
      <c r="AE162" s="173">
        <f>IFERROR(IF(AND('Key inputs_Refineries'!Y18/SUM('Key inputs_Refineries'!Y$18:Y$24)&gt;0,'Key inputs_Refineries'!Y18/SUM('Key inputs_Refineries'!Y$18:Y$24)&lt;0.001),0.001,'Key inputs_Refineries'!Y18/SUM('Key inputs_Refineries'!Y$18:Y$24)),"")</f>
        <v>0.33423784081291441</v>
      </c>
      <c r="AF162" s="173">
        <f>IFERROR(IF(AND('Key inputs_Refineries'!Z18/SUM('Key inputs_Refineries'!Z$18:Z$24)&gt;0,'Key inputs_Refineries'!Z18/SUM('Key inputs_Refineries'!Z$18:Z$24)&lt;0.001),0.001,'Key inputs_Refineries'!Z18/SUM('Key inputs_Refineries'!Z$18:Z$24)),"")</f>
        <v>0.37024489594824006</v>
      </c>
      <c r="AG162" s="173">
        <f>IFERROR(IF(AND('Key inputs_Refineries'!AA18/SUM('Key inputs_Refineries'!AA$18:AA$24)&gt;0,'Key inputs_Refineries'!AA18/SUM('Key inputs_Refineries'!AA$18:AA$24)&lt;0.001),0.001,'Key inputs_Refineries'!AA18/SUM('Key inputs_Refineries'!AA$18:AA$24)),"")</f>
        <v>0.34578734926854565</v>
      </c>
      <c r="AH162" s="173">
        <f>IFERROR(IF(AND('Key inputs_Refineries'!AB18/SUM('Key inputs_Refineries'!AB$18:AB$24)&gt;0,'Key inputs_Refineries'!AB18/SUM('Key inputs_Refineries'!AB$18:AB$24)&lt;0.001),0.001,'Key inputs_Refineries'!AB18/SUM('Key inputs_Refineries'!AB$18:AB$24)),"")</f>
        <v>0.24724765355997544</v>
      </c>
      <c r="AI162" s="173">
        <f>IFERROR(IF(AND('Key inputs_Refineries'!AC18/SUM('Key inputs_Refineries'!AC$18:AC$24)&gt;0,'Key inputs_Refineries'!AC18/SUM('Key inputs_Refineries'!AC$18:AC$24)&lt;0.001),0.001,'Key inputs_Refineries'!AC18/SUM('Key inputs_Refineries'!AC$18:AC$24)),"")</f>
        <v>5.224371301316328E-2</v>
      </c>
      <c r="AJ162" s="173">
        <f>IFERROR(IF(AND('Key inputs_Refineries'!AD18/SUM('Key inputs_Refineries'!AD$18:AD$24)&gt;0,'Key inputs_Refineries'!AD18/SUM('Key inputs_Refineries'!AD$18:AD$24)&lt;0.001),0.001,'Key inputs_Refineries'!AD18/SUM('Key inputs_Refineries'!AD$18:AD$24)),"")</f>
        <v>0.32564201265879611</v>
      </c>
      <c r="AK162" s="173">
        <f>IFERROR(IF(AND('Key inputs_Refineries'!AE18/SUM('Key inputs_Refineries'!AE$18:AE$24)&gt;0,'Key inputs_Refineries'!AE18/SUM('Key inputs_Refineries'!AE$18:AE$24)&lt;0.001),0.001,'Key inputs_Refineries'!AE18/SUM('Key inputs_Refineries'!AE$18:AE$24)),"")</f>
        <v>0.34371127862384115</v>
      </c>
      <c r="AL162" s="173">
        <f>IFERROR(IF(AND('Key inputs_Refineries'!AF18/SUM('Key inputs_Refineries'!AF$18:AF$24)&gt;0,'Key inputs_Refineries'!AF18/SUM('Key inputs_Refineries'!AF$18:AF$24)&lt;0.001),0.001,'Key inputs_Refineries'!AF18/SUM('Key inputs_Refineries'!AF$18:AF$24)),"")</f>
        <v>0.30948000445029533</v>
      </c>
    </row>
    <row r="163" spans="1:38">
      <c r="D163" t="str">
        <f>Commodities!$C$49</f>
        <v>OILGSL</v>
      </c>
      <c r="F163" t="s">
        <v>365</v>
      </c>
      <c r="G163" s="4" t="s">
        <v>705</v>
      </c>
      <c r="H163" t="s">
        <v>661</v>
      </c>
      <c r="I163">
        <v>2019</v>
      </c>
      <c r="J163" t="s">
        <v>650</v>
      </c>
      <c r="K163" s="173">
        <f>IFERROR(IF(AND('Key inputs_Refineries'!E19/SUM('Key inputs_Refineries'!E$18:E$24,-'Key inputs_Refineries'!E$60)&gt;0,'Key inputs_Refineries'!E19/SUM('Key inputs_Refineries'!E$18:E$24,-'Key inputs_Refineries'!E$60)&lt;0.001),0.001,'Key inputs_Refineries'!E19/SUM('Key inputs_Refineries'!E$18:E$24,-'Key inputs_Refineries'!E$60)),"")</f>
        <v>0.26371867813246946</v>
      </c>
      <c r="L163" s="173">
        <f>IFERROR(IF(AND('Key inputs_Refineries'!F19/SUM('Key inputs_Refineries'!F$18:F$24)&gt;0,'Key inputs_Refineries'!F19/SUM('Key inputs_Refineries'!F$18:F$24)&lt;0.001),0.001,'Key inputs_Refineries'!F19/SUM('Key inputs_Refineries'!F$18:F$24)),"")</f>
        <v>0.15411883749663069</v>
      </c>
      <c r="M163" s="173">
        <f>IFERROR(IF(AND('Key inputs_Refineries'!G19/SUM('Key inputs_Refineries'!G$18:G$24)&gt;0,'Key inputs_Refineries'!G19/SUM('Key inputs_Refineries'!G$18:G$24)&lt;0.001),0.001,'Key inputs_Refineries'!G19/SUM('Key inputs_Refineries'!G$18:G$24)),"")</f>
        <v>0.18004692871702777</v>
      </c>
      <c r="N163" s="173">
        <f>IFERROR(IF(AND('Key inputs_Refineries'!H19/SUM('Key inputs_Refineries'!H$18:H$24)&gt;0,'Key inputs_Refineries'!H19/SUM('Key inputs_Refineries'!H$18:H$24)&lt;0.001),0.001,'Key inputs_Refineries'!H19/SUM('Key inputs_Refineries'!H$18:H$24)),"")</f>
        <v>0.25493789013468615</v>
      </c>
      <c r="O163" s="173">
        <f>IFERROR(IF(AND('Key inputs_Refineries'!I19/SUM('Key inputs_Refineries'!I$18:I$24)&gt;0,'Key inputs_Refineries'!I19/SUM('Key inputs_Refineries'!I$18:I$24)&lt;0.001),0.001,'Key inputs_Refineries'!I19/SUM('Key inputs_Refineries'!I$18:I$24)),"")</f>
        <v>0.35366786268468253</v>
      </c>
      <c r="P163" s="173">
        <f>IFERROR(IF(AND('Key inputs_Refineries'!J19/SUM('Key inputs_Refineries'!J$18:J$24)&gt;0,'Key inputs_Refineries'!J19/SUM('Key inputs_Refineries'!J$18:J$24)&lt;0.001),0.001,'Key inputs_Refineries'!J19/SUM('Key inputs_Refineries'!J$18:J$24)),"")</f>
        <v>0.29740179131572275</v>
      </c>
      <c r="Q163" s="173">
        <f>IFERROR(IF(AND('Key inputs_Refineries'!K19/SUM('Key inputs_Refineries'!K$18:K$24)&gt;0,'Key inputs_Refineries'!K19/SUM('Key inputs_Refineries'!K$18:K$24)&lt;0.001),0.001,'Key inputs_Refineries'!K19/SUM('Key inputs_Refineries'!K$18:K$24)),"")</f>
        <v>0.22028428464470406</v>
      </c>
      <c r="R163" s="173">
        <f>IFERROR(IF(AND('Key inputs_Refineries'!L19/SUM('Key inputs_Refineries'!L$18:L$24)&gt;0,'Key inputs_Refineries'!L19/SUM('Key inputs_Refineries'!L$18:L$24)&lt;0.001),0.001,'Key inputs_Refineries'!L19/SUM('Key inputs_Refineries'!L$18:L$24)),"")</f>
        <v>0.16963406808509263</v>
      </c>
      <c r="S163" s="173">
        <f>IFERROR(IF(AND('Key inputs_Refineries'!M19/SUM('Key inputs_Refineries'!M$18:M$24)&gt;0,'Key inputs_Refineries'!M19/SUM('Key inputs_Refineries'!M$18:M$24)&lt;0.001),0.001,'Key inputs_Refineries'!M19/SUM('Key inputs_Refineries'!M$18:M$24)),"")</f>
        <v>4.0630207863661866E-2</v>
      </c>
      <c r="T163" s="173">
        <f>IFERROR(IF(AND('Key inputs_Refineries'!N19/SUM('Key inputs_Refineries'!N$18:N$24)&gt;0,'Key inputs_Refineries'!N19/SUM('Key inputs_Refineries'!N$18:N$24)&lt;0.001),0.001,'Key inputs_Refineries'!N19/SUM('Key inputs_Refineries'!N$18:N$24)),"")</f>
        <v>0.33333374924330378</v>
      </c>
      <c r="U163" s="173">
        <f>IFERROR(IF(AND('Key inputs_Refineries'!O19/SUM('Key inputs_Refineries'!O$18:O$24)&gt;0,'Key inputs_Refineries'!O19/SUM('Key inputs_Refineries'!O$18:O$24)&lt;0.001),0.001,'Key inputs_Refineries'!O19/SUM('Key inputs_Refineries'!O$18:O$24)),"")</f>
        <v>0.33450477874098372</v>
      </c>
      <c r="V163" s="173">
        <f>IFERROR(IF(AND('Key inputs_Refineries'!P19/SUM('Key inputs_Refineries'!P$18:P$24)&gt;0,'Key inputs_Refineries'!P19/SUM('Key inputs_Refineries'!P$18:P$24)&lt;0.001),0.001,'Key inputs_Refineries'!P19/SUM('Key inputs_Refineries'!P$18:P$24)),"")</f>
        <v>0.21836958465599091</v>
      </c>
      <c r="W163" s="173">
        <f>IFERROR(IF(AND('Key inputs_Refineries'!Q19/SUM('Key inputs_Refineries'!Q$18:Q$24)&gt;0,'Key inputs_Refineries'!Q19/SUM('Key inputs_Refineries'!Q$18:Q$24)&lt;0.001),0.001,'Key inputs_Refineries'!Q19/SUM('Key inputs_Refineries'!Q$18:Q$24)),"")</f>
        <v>0.19708085711894199</v>
      </c>
      <c r="X163" s="173">
        <f>IFERROR(IF(AND('Key inputs_Refineries'!R19/SUM('Key inputs_Refineries'!R$18:R$24)&gt;0,'Key inputs_Refineries'!R19/SUM('Key inputs_Refineries'!R$18:R$24)&lt;0.001),0.001,'Key inputs_Refineries'!R19/SUM('Key inputs_Refineries'!R$18:R$24)),"")</f>
        <v>0.33836428908329924</v>
      </c>
      <c r="Y163" s="173">
        <f>IFERROR(IF(AND('Key inputs_Refineries'!S19/SUM('Key inputs_Refineries'!S$18:S$24)&gt;0,'Key inputs_Refineries'!S19/SUM('Key inputs_Refineries'!S$18:S$24)&lt;0.001),0.001,'Key inputs_Refineries'!S19/SUM('Key inputs_Refineries'!S$18:S$24)),"")</f>
        <v>0.22799574162093045</v>
      </c>
      <c r="Z163" s="173">
        <f>IFERROR(IF(AND('Key inputs_Refineries'!T19/SUM('Key inputs_Refineries'!T$18:T$24)&gt;0,'Key inputs_Refineries'!T19/SUM('Key inputs_Refineries'!T$18:T$24)&lt;0.001),0.001,'Key inputs_Refineries'!T19/SUM('Key inputs_Refineries'!T$18:T$24)),"")</f>
        <v>0.21068905345820099</v>
      </c>
      <c r="AA163" s="173">
        <f>IFERROR(IF(AND('Key inputs_Refineries'!U19/SUM('Key inputs_Refineries'!U$18:U$24)&gt;0,'Key inputs_Refineries'!U19/SUM('Key inputs_Refineries'!U$18:U$24)&lt;0.001),0.001,'Key inputs_Refineries'!U19/SUM('Key inputs_Refineries'!U$18:U$24)),"")</f>
        <v>0.28957763034762274</v>
      </c>
      <c r="AB163" s="173">
        <f>IFERROR(IF(AND('Key inputs_Refineries'!V19/SUM('Key inputs_Refineries'!V$18:V$24)&gt;0,'Key inputs_Refineries'!V19/SUM('Key inputs_Refineries'!V$18:V$24)&lt;0.001),0.001,'Key inputs_Refineries'!V19/SUM('Key inputs_Refineries'!V$18:V$24)),"")</f>
        <v>0.33734334922174664</v>
      </c>
      <c r="AC163" s="173">
        <f>IFERROR(IF(AND('Key inputs_Refineries'!W19/SUM('Key inputs_Refineries'!W$18:W$24)&gt;0,'Key inputs_Refineries'!W19/SUM('Key inputs_Refineries'!W$18:W$24)&lt;0.001),0.001,'Key inputs_Refineries'!W19/SUM('Key inputs_Refineries'!W$18:W$24)),"")</f>
        <v>0.17194059625668426</v>
      </c>
      <c r="AD163" s="173">
        <f>IFERROR(IF(AND('Key inputs_Refineries'!X19/SUM('Key inputs_Refineries'!X$18:X$24)&gt;0,'Key inputs_Refineries'!X19/SUM('Key inputs_Refineries'!X$18:X$24)&lt;0.001),0.001,'Key inputs_Refineries'!X19/SUM('Key inputs_Refineries'!X$18:X$24)),"")</f>
        <v>0.2474682993467332</v>
      </c>
      <c r="AE163" s="173">
        <f>IFERROR(IF(AND('Key inputs_Refineries'!Y19/SUM('Key inputs_Refineries'!Y$18:Y$24)&gt;0,'Key inputs_Refineries'!Y19/SUM('Key inputs_Refineries'!Y$18:Y$24)&lt;0.001),0.001,'Key inputs_Refineries'!Y19/SUM('Key inputs_Refineries'!Y$18:Y$24)),"")</f>
        <v>0.23234496939109303</v>
      </c>
      <c r="AF163" s="173">
        <f>IFERROR(IF(AND('Key inputs_Refineries'!Z19/SUM('Key inputs_Refineries'!Z$18:Z$24)&gt;0,'Key inputs_Refineries'!Z19/SUM('Key inputs_Refineries'!Z$18:Z$24)&lt;0.001),0.001,'Key inputs_Refineries'!Z19/SUM('Key inputs_Refineries'!Z$18:Z$24)),"")</f>
        <v>0.17558572694272956</v>
      </c>
      <c r="AG163" s="173">
        <f>IFERROR(IF(AND('Key inputs_Refineries'!AA19/SUM('Key inputs_Refineries'!AA$18:AA$24)&gt;0,'Key inputs_Refineries'!AA19/SUM('Key inputs_Refineries'!AA$18:AA$24)&lt;0.001),0.001,'Key inputs_Refineries'!AA19/SUM('Key inputs_Refineries'!AA$18:AA$24)),"")</f>
        <v>0.17490732798900593</v>
      </c>
      <c r="AH163" s="173">
        <f>IFERROR(IF(AND('Key inputs_Refineries'!AB19/SUM('Key inputs_Refineries'!AB$18:AB$24)&gt;0,'Key inputs_Refineries'!AB19/SUM('Key inputs_Refineries'!AB$18:AB$24)&lt;0.001),0.001,'Key inputs_Refineries'!AB19/SUM('Key inputs_Refineries'!AB$18:AB$24)),"")</f>
        <v>0.31233654559694302</v>
      </c>
      <c r="AI163" s="173">
        <f>IFERROR(IF(AND('Key inputs_Refineries'!AC19/SUM('Key inputs_Refineries'!AC$18:AC$24)&gt;0,'Key inputs_Refineries'!AC19/SUM('Key inputs_Refineries'!AC$18:AC$24)&lt;0.001),0.001,'Key inputs_Refineries'!AC19/SUM('Key inputs_Refineries'!AC$18:AC$24)),"")</f>
        <v>0.31665074500949097</v>
      </c>
      <c r="AJ163" s="173">
        <f>IFERROR(IF(AND('Key inputs_Refineries'!AD19/SUM('Key inputs_Refineries'!AD$18:AD$24)&gt;0,'Key inputs_Refineries'!AD19/SUM('Key inputs_Refineries'!AD$18:AD$24)&lt;0.001),0.001,'Key inputs_Refineries'!AD19/SUM('Key inputs_Refineries'!AD$18:AD$24)),"")</f>
        <v>0.13593078619922178</v>
      </c>
      <c r="AK163" s="173">
        <f>IFERROR(IF(AND('Key inputs_Refineries'!AE19/SUM('Key inputs_Refineries'!AE$18:AE$24)&gt;0,'Key inputs_Refineries'!AE19/SUM('Key inputs_Refineries'!AE$18:AE$24)&lt;0.001),0.001,'Key inputs_Refineries'!AE19/SUM('Key inputs_Refineries'!AE$18:AE$24)),"")</f>
        <v>0.15157634869688064</v>
      </c>
      <c r="AL163" s="173">
        <f>IFERROR(IF(AND('Key inputs_Refineries'!AF19/SUM('Key inputs_Refineries'!AF$18:AF$24)&gt;0,'Key inputs_Refineries'!AF19/SUM('Key inputs_Refineries'!AF$18:AF$24)&lt;0.001),0.001,'Key inputs_Refineries'!AF19/SUM('Key inputs_Refineries'!AF$18:AF$24)),"")</f>
        <v>0.45191520831956733</v>
      </c>
    </row>
    <row r="164" spans="1:38">
      <c r="D164" t="str">
        <f>Commodities!$C$50</f>
        <v>OILHFO</v>
      </c>
      <c r="F164" t="s">
        <v>365</v>
      </c>
      <c r="G164" s="4" t="s">
        <v>705</v>
      </c>
      <c r="H164" t="s">
        <v>661</v>
      </c>
      <c r="I164">
        <v>2019</v>
      </c>
      <c r="J164" t="s">
        <v>650</v>
      </c>
      <c r="K164" s="173">
        <f>IFERROR(IF(AND('Key inputs_Refineries'!E20/SUM('Key inputs_Refineries'!E$18:E$24,-'Key inputs_Refineries'!E$60)&gt;0,'Key inputs_Refineries'!E20/SUM('Key inputs_Refineries'!E$18:E$24,-'Key inputs_Refineries'!E$60)&lt;0.001),0.001,'Key inputs_Refineries'!E20/SUM('Key inputs_Refineries'!E$18:E$24,-'Key inputs_Refineries'!E$60)),"")</f>
        <v>3.2590094423639492E-2</v>
      </c>
      <c r="L164" s="173">
        <f>IFERROR(IF(AND('Key inputs_Refineries'!F20/SUM('Key inputs_Refineries'!F$18:F$24)&gt;0,'Key inputs_Refineries'!F20/SUM('Key inputs_Refineries'!F$18:F$24)&lt;0.001),0.001,'Key inputs_Refineries'!F20/SUM('Key inputs_Refineries'!F$18:F$24)),"")</f>
        <v>0.25947634537993464</v>
      </c>
      <c r="M164" s="173">
        <f>IFERROR(IF(AND('Key inputs_Refineries'!G20/SUM('Key inputs_Refineries'!G$18:G$24)&gt;0,'Key inputs_Refineries'!G20/SUM('Key inputs_Refineries'!G$18:G$24)&lt;0.001),0.001,'Key inputs_Refineries'!G20/SUM('Key inputs_Refineries'!G$18:G$24)),"")</f>
        <v>0.21978091012862219</v>
      </c>
      <c r="N164" s="173">
        <f>IFERROR(IF(AND('Key inputs_Refineries'!H20/SUM('Key inputs_Refineries'!H$18:H$24)&gt;0,'Key inputs_Refineries'!H20/SUM('Key inputs_Refineries'!H$18:H$24)&lt;0.001),0.001,'Key inputs_Refineries'!H20/SUM('Key inputs_Refineries'!H$18:H$24)),"")</f>
        <v>0.11349624554887636</v>
      </c>
      <c r="O164" s="173">
        <f>IFERROR(IF(AND('Key inputs_Refineries'!I20/SUM('Key inputs_Refineries'!I$18:I$24)&gt;0,'Key inputs_Refineries'!I20/SUM('Key inputs_Refineries'!I$18:I$24)&lt;0.001),0.001,'Key inputs_Refineries'!I20/SUM('Key inputs_Refineries'!I$18:I$24)),"")</f>
        <v>3.6508190574429521E-2</v>
      </c>
      <c r="P164" s="173">
        <f>IFERROR(IF(AND('Key inputs_Refineries'!J20/SUM('Key inputs_Refineries'!J$18:J$24)&gt;0,'Key inputs_Refineries'!J20/SUM('Key inputs_Refineries'!J$18:J$24)&lt;0.001),0.001,'Key inputs_Refineries'!J20/SUM('Key inputs_Refineries'!J$18:J$24)),"")</f>
        <v>0.13911395277440367</v>
      </c>
      <c r="Q164" s="173">
        <f>IFERROR(IF(AND('Key inputs_Refineries'!K20/SUM('Key inputs_Refineries'!K$18:K$24)&gt;0,'Key inputs_Refineries'!K20/SUM('Key inputs_Refineries'!K$18:K$24)&lt;0.001),0.001,'Key inputs_Refineries'!K20/SUM('Key inputs_Refineries'!K$18:K$24)),"")</f>
        <v>7.4598931720844266E-2</v>
      </c>
      <c r="R164" s="173">
        <f>IFERROR(IF(AND('Key inputs_Refineries'!L20/SUM('Key inputs_Refineries'!L$18:L$24)&gt;0,'Key inputs_Refineries'!L20/SUM('Key inputs_Refineries'!L$18:L$24)&lt;0.001),0.001,'Key inputs_Refineries'!L20/SUM('Key inputs_Refineries'!L$18:L$24)),"")</f>
        <v>0.23382368867258155</v>
      </c>
      <c r="S164" s="173">
        <f>IFERROR(IF(AND('Key inputs_Refineries'!M20/SUM('Key inputs_Refineries'!M$18:M$24)&gt;0,'Key inputs_Refineries'!M20/SUM('Key inputs_Refineries'!M$18:M$24)&lt;0.001),0.001,'Key inputs_Refineries'!M20/SUM('Key inputs_Refineries'!M$18:M$24)),"")</f>
        <v>0.11422043221681812</v>
      </c>
      <c r="T164" s="173">
        <f>IFERROR(IF(AND('Key inputs_Refineries'!N20/SUM('Key inputs_Refineries'!N$18:N$24)&gt;0,'Key inputs_Refineries'!N20/SUM('Key inputs_Refineries'!N$18:N$24)&lt;0.001),0.001,'Key inputs_Refineries'!N20/SUM('Key inputs_Refineries'!N$18:N$24)),"")</f>
        <v>2.8769532431931654E-2</v>
      </c>
      <c r="U164" s="173">
        <f>IFERROR(IF(AND('Key inputs_Refineries'!O20/SUM('Key inputs_Refineries'!O$18:O$24)&gt;0,'Key inputs_Refineries'!O20/SUM('Key inputs_Refineries'!O$18:O$24)&lt;0.001),0.001,'Key inputs_Refineries'!O20/SUM('Key inputs_Refineries'!O$18:O$24)),"")</f>
        <v>0.11105255197058073</v>
      </c>
      <c r="V164" s="173">
        <f>IFERROR(IF(AND('Key inputs_Refineries'!P20/SUM('Key inputs_Refineries'!P$18:P$24)&gt;0,'Key inputs_Refineries'!P20/SUM('Key inputs_Refineries'!P$18:P$24)&lt;0.001),0.001,'Key inputs_Refineries'!P20/SUM('Key inputs_Refineries'!P$18:P$24)),"")</f>
        <v>5.1071761953946151E-2</v>
      </c>
      <c r="W164" s="173">
        <f>IFERROR(IF(AND('Key inputs_Refineries'!Q20/SUM('Key inputs_Refineries'!Q$18:Q$24)&gt;0,'Key inputs_Refineries'!Q20/SUM('Key inputs_Refineries'!Q$18:Q$24)&lt;0.001),0.001,'Key inputs_Refineries'!Q20/SUM('Key inputs_Refineries'!Q$18:Q$24)),"")</f>
        <v>0.22068720180798526</v>
      </c>
      <c r="X164" s="173">
        <f>IFERROR(IF(AND('Key inputs_Refineries'!R20/SUM('Key inputs_Refineries'!R$18:R$24)&gt;0,'Key inputs_Refineries'!R20/SUM('Key inputs_Refineries'!R$18:R$24)&lt;0.001),0.001,'Key inputs_Refineries'!R20/SUM('Key inputs_Refineries'!R$18:R$24)),"")</f>
        <v>5.1480407227552573E-2</v>
      </c>
      <c r="Y164" s="173">
        <f>IFERROR(IF(AND('Key inputs_Refineries'!S20/SUM('Key inputs_Refineries'!S$18:S$24)&gt;0,'Key inputs_Refineries'!S20/SUM('Key inputs_Refineries'!S$18:S$24)&lt;0.001),0.001,'Key inputs_Refineries'!S20/SUM('Key inputs_Refineries'!S$18:S$24)),"")</f>
        <v>8.8302598881068076E-2</v>
      </c>
      <c r="Z164" s="173">
        <f>IFERROR(IF(AND('Key inputs_Refineries'!T20/SUM('Key inputs_Refineries'!T$18:T$24)&gt;0,'Key inputs_Refineries'!T20/SUM('Key inputs_Refineries'!T$18:T$24)&lt;0.001),0.001,'Key inputs_Refineries'!T20/SUM('Key inputs_Refineries'!T$18:T$24)),"")</f>
        <v>9.577499248228892E-2</v>
      </c>
      <c r="AA164" s="173">
        <f>IFERROR(IF(AND('Key inputs_Refineries'!U20/SUM('Key inputs_Refineries'!U$18:U$24)&gt;0,'Key inputs_Refineries'!U20/SUM('Key inputs_Refineries'!U$18:U$24)&lt;0.001),0.001,'Key inputs_Refineries'!U20/SUM('Key inputs_Refineries'!U$18:U$24)),"")</f>
        <v>0.11396786851224572</v>
      </c>
      <c r="AB164" s="173">
        <f>IFERROR(IF(AND('Key inputs_Refineries'!V20/SUM('Key inputs_Refineries'!V$18:V$24)&gt;0,'Key inputs_Refineries'!V20/SUM('Key inputs_Refineries'!V$18:V$24)&lt;0.001),0.001,'Key inputs_Refineries'!V20/SUM('Key inputs_Refineries'!V$18:V$24)),"")</f>
        <v>3.0448828688640014E-2</v>
      </c>
      <c r="AC164" s="173">
        <f>IFERROR(IF(AND('Key inputs_Refineries'!W20/SUM('Key inputs_Refineries'!W$18:W$24)&gt;0,'Key inputs_Refineries'!W20/SUM('Key inputs_Refineries'!W$18:W$24)&lt;0.001),0.001,'Key inputs_Refineries'!W20/SUM('Key inputs_Refineries'!W$18:W$24)),"")</f>
        <v>2.3457058278107328E-2</v>
      </c>
      <c r="AD164" s="173">
        <f>IFERROR(IF(AND('Key inputs_Refineries'!X20/SUM('Key inputs_Refineries'!X$18:X$24)&gt;0,'Key inputs_Refineries'!X20/SUM('Key inputs_Refineries'!X$18:X$24)&lt;0.001),0.001,'Key inputs_Refineries'!X20/SUM('Key inputs_Refineries'!X$18:X$24)),"")</f>
        <v>0.11340769868259896</v>
      </c>
      <c r="AE164" s="173">
        <f>IFERROR(IF(AND('Key inputs_Refineries'!Y20/SUM('Key inputs_Refineries'!Y$18:Y$24)&gt;0,'Key inputs_Refineries'!Y20/SUM('Key inputs_Refineries'!Y$18:Y$24)&lt;0.001),0.001,'Key inputs_Refineries'!Y20/SUM('Key inputs_Refineries'!Y$18:Y$24)),"")</f>
        <v>0.26913043704015244</v>
      </c>
      <c r="AF164" s="173">
        <f>IFERROR(IF(AND('Key inputs_Refineries'!Z20/SUM('Key inputs_Refineries'!Z$18:Z$24)&gt;0,'Key inputs_Refineries'!Z20/SUM('Key inputs_Refineries'!Z$18:Z$24)&lt;0.001),0.001,'Key inputs_Refineries'!Z20/SUM('Key inputs_Refineries'!Z$18:Z$24)),"")</f>
        <v>0.1444353330900546</v>
      </c>
      <c r="AG164" s="173">
        <f>IFERROR(IF(AND('Key inputs_Refineries'!AA20/SUM('Key inputs_Refineries'!AA$18:AA$24)&gt;0,'Key inputs_Refineries'!AA20/SUM('Key inputs_Refineries'!AA$18:AA$24)&lt;0.001),0.001,'Key inputs_Refineries'!AA20/SUM('Key inputs_Refineries'!AA$18:AA$24)),"")</f>
        <v>0.19905452703047191</v>
      </c>
      <c r="AH164" s="173">
        <f>IFERROR(IF(AND('Key inputs_Refineries'!AB20/SUM('Key inputs_Refineries'!AB$18:AB$24)&gt;0,'Key inputs_Refineries'!AB20/SUM('Key inputs_Refineries'!AB$18:AB$24)&lt;0.001),0.001,'Key inputs_Refineries'!AB20/SUM('Key inputs_Refineries'!AB$18:AB$24)),"")</f>
        <v>0.26748351968572714</v>
      </c>
      <c r="AI164" s="173">
        <f>IFERROR(IF(AND('Key inputs_Refineries'!AC20/SUM('Key inputs_Refineries'!AC$18:AC$24)&gt;0,'Key inputs_Refineries'!AC20/SUM('Key inputs_Refineries'!AC$18:AC$24)&lt;0.001),0.001,'Key inputs_Refineries'!AC20/SUM('Key inputs_Refineries'!AC$18:AC$24)),"")</f>
        <v>0.35772862052280935</v>
      </c>
      <c r="AJ164" s="173">
        <f>IFERROR(IF(AND('Key inputs_Refineries'!AD20/SUM('Key inputs_Refineries'!AD$18:AD$24)&gt;0,'Key inputs_Refineries'!AD20/SUM('Key inputs_Refineries'!AD$18:AD$24)&lt;0.001),0.001,'Key inputs_Refineries'!AD20/SUM('Key inputs_Refineries'!AD$18:AD$24)),"")</f>
        <v>0.17605116311554198</v>
      </c>
      <c r="AK164" s="173">
        <f>IFERROR(IF(AND('Key inputs_Refineries'!AE20/SUM('Key inputs_Refineries'!AE$18:AE$24)&gt;0,'Key inputs_Refineries'!AE20/SUM('Key inputs_Refineries'!AE$18:AE$24)&lt;0.001),0.001,'Key inputs_Refineries'!AE20/SUM('Key inputs_Refineries'!AE$18:AE$24)),"")</f>
        <v>6.0331409861717179E-2</v>
      </c>
      <c r="AL164" s="173">
        <f>IFERROR(IF(AND('Key inputs_Refineries'!AF20/SUM('Key inputs_Refineries'!AF$18:AF$24)&gt;0,'Key inputs_Refineries'!AF20/SUM('Key inputs_Refineries'!AF$18:AF$24)&lt;0.001),0.001,'Key inputs_Refineries'!AF20/SUM('Key inputs_Refineries'!AF$18:AF$24)),"")</f>
        <v>1.9303184276677345E-2</v>
      </c>
    </row>
    <row r="165" spans="1:38">
      <c r="D165" t="str">
        <f>Commodities!$C$51</f>
        <v>OILKER</v>
      </c>
      <c r="F165" t="s">
        <v>365</v>
      </c>
      <c r="G165" s="4" t="s">
        <v>705</v>
      </c>
      <c r="H165" t="s">
        <v>661</v>
      </c>
      <c r="I165">
        <v>2019</v>
      </c>
      <c r="J165" t="s">
        <v>650</v>
      </c>
      <c r="K165" s="173">
        <f>IFERROR(IF(AND('Key inputs_Refineries'!E21/SUM('Key inputs_Refineries'!E$18:E$24,-'Key inputs_Refineries'!E$60)&gt;0,'Key inputs_Refineries'!E21/SUM('Key inputs_Refineries'!E$18:E$24,-'Key inputs_Refineries'!E$60)&lt;0.001),0.001,'Key inputs_Refineries'!E21/SUM('Key inputs_Refineries'!E$18:E$24,-'Key inputs_Refineries'!E$60)),"")</f>
        <v>1.5095174376745131E-2</v>
      </c>
      <c r="L165" s="173">
        <f>IFERROR(IF(AND('Key inputs_Refineries'!F21/SUM('Key inputs_Refineries'!F$18:F$24)&gt;0,'Key inputs_Refineries'!F21/SUM('Key inputs_Refineries'!F$18:F$24)&lt;0.001),0.001,'Key inputs_Refineries'!F21/SUM('Key inputs_Refineries'!F$18:F$24)),"")</f>
        <v>7.1430168855917492E-2</v>
      </c>
      <c r="M165" s="173">
        <f>IFERROR(IF(AND('Key inputs_Refineries'!G21/SUM('Key inputs_Refineries'!G$18:G$24)&gt;0,'Key inputs_Refineries'!G21/SUM('Key inputs_Refineries'!G$18:G$24)&lt;0.001),0.001,'Key inputs_Refineries'!G21/SUM('Key inputs_Refineries'!G$18:G$24)),"")</f>
        <v>7.2815974729203162E-2</v>
      </c>
      <c r="N165" s="173">
        <f>IFERROR(IF(AND('Key inputs_Refineries'!H21/SUM('Key inputs_Refineries'!H$18:H$24)&gt;0,'Key inputs_Refineries'!H21/SUM('Key inputs_Refineries'!H$18:H$24)&lt;0.001),0.001,'Key inputs_Refineries'!H21/SUM('Key inputs_Refineries'!H$18:H$24)),"")</f>
        <v>0.10791132153447269</v>
      </c>
      <c r="O165" s="173">
        <f>IFERROR(IF(AND('Key inputs_Refineries'!I21/SUM('Key inputs_Refineries'!I$18:I$24)&gt;0,'Key inputs_Refineries'!I21/SUM('Key inputs_Refineries'!I$18:I$24)&lt;0.001),0.001,'Key inputs_Refineries'!I21/SUM('Key inputs_Refineries'!I$18:I$24)),"")</f>
        <v>0.1486107961745208</v>
      </c>
      <c r="P165" s="173">
        <f>IFERROR(IF(AND('Key inputs_Refineries'!J21/SUM('Key inputs_Refineries'!J$18:J$24)&gt;0,'Key inputs_Refineries'!J21/SUM('Key inputs_Refineries'!J$18:J$24)&lt;0.001),0.001,'Key inputs_Refineries'!J21/SUM('Key inputs_Refineries'!J$18:J$24)),"")</f>
        <v>5.9993726390538862E-2</v>
      </c>
      <c r="Q165" s="173">
        <f>IFERROR(IF(AND('Key inputs_Refineries'!K21/SUM('Key inputs_Refineries'!K$18:K$24)&gt;0,'Key inputs_Refineries'!K21/SUM('Key inputs_Refineries'!K$18:K$24)&lt;0.001),0.001,'Key inputs_Refineries'!K21/SUM('Key inputs_Refineries'!K$18:K$24)),"")</f>
        <v>0.17934549551046142</v>
      </c>
      <c r="R165" s="173">
        <f>IFERROR(IF(AND('Key inputs_Refineries'!L21/SUM('Key inputs_Refineries'!L$18:L$24)&gt;0,'Key inputs_Refineries'!L21/SUM('Key inputs_Refineries'!L$18:L$24)&lt;0.001),0.001,'Key inputs_Refineries'!L21/SUM('Key inputs_Refineries'!L$18:L$24)),"")</f>
        <v>8.7890577645162907E-2</v>
      </c>
      <c r="S165" s="173">
        <f>IFERROR(IF(AND('Key inputs_Refineries'!M21/SUM('Key inputs_Refineries'!M$18:M$24)&gt;0,'Key inputs_Refineries'!M21/SUM('Key inputs_Refineries'!M$18:M$24)&lt;0.001),0.001,'Key inputs_Refineries'!M21/SUM('Key inputs_Refineries'!M$18:M$24)),"")</f>
        <v>5.0801696263044913E-2</v>
      </c>
      <c r="T165" s="173">
        <f>IFERROR(IF(AND('Key inputs_Refineries'!N21/SUM('Key inputs_Refineries'!N$18:N$24)&gt;0,'Key inputs_Refineries'!N21/SUM('Key inputs_Refineries'!N$18:N$24)&lt;0.001),0.001,'Key inputs_Refineries'!N21/SUM('Key inputs_Refineries'!N$18:N$24)),"")</f>
        <v>4.9410312446126661E-2</v>
      </c>
      <c r="U165" s="173">
        <f>IFERROR(IF(AND('Key inputs_Refineries'!O21/SUM('Key inputs_Refineries'!O$18:O$24)&gt;0,'Key inputs_Refineries'!O21/SUM('Key inputs_Refineries'!O$18:O$24)&lt;0.001),0.001,'Key inputs_Refineries'!O21/SUM('Key inputs_Refineries'!O$18:O$24)),"")</f>
        <v>0.10663777048808387</v>
      </c>
      <c r="V165" s="173">
        <f>IFERROR(IF(AND('Key inputs_Refineries'!P21/SUM('Key inputs_Refineries'!P$18:P$24)&gt;0,'Key inputs_Refineries'!P21/SUM('Key inputs_Refineries'!P$18:P$24)&lt;0.001),0.001,'Key inputs_Refineries'!P21/SUM('Key inputs_Refineries'!P$18:P$24)),"")</f>
        <v>7.6545096077575897E-2</v>
      </c>
      <c r="W165" s="173">
        <f>IFERROR(IF(AND('Key inputs_Refineries'!Q21/SUM('Key inputs_Refineries'!Q$18:Q$24)&gt;0,'Key inputs_Refineries'!Q21/SUM('Key inputs_Refineries'!Q$18:Q$24)&lt;0.001),0.001,'Key inputs_Refineries'!Q21/SUM('Key inputs_Refineries'!Q$18:Q$24)),"")</f>
        <v>2.7114547585167823E-2</v>
      </c>
      <c r="X165" s="173">
        <f>IFERROR(IF(AND('Key inputs_Refineries'!R21/SUM('Key inputs_Refineries'!R$18:R$24)&gt;0,'Key inputs_Refineries'!R21/SUM('Key inputs_Refineries'!R$18:R$24)&lt;0.001),0.001,'Key inputs_Refineries'!R21/SUM('Key inputs_Refineries'!R$18:R$24)),"")</f>
        <v>9.7608000388611796E-2</v>
      </c>
      <c r="Y165" s="173">
        <f>IFERROR(IF(AND('Key inputs_Refineries'!S21/SUM('Key inputs_Refineries'!S$18:S$24)&gt;0,'Key inputs_Refineries'!S21/SUM('Key inputs_Refineries'!S$18:S$24)&lt;0.001),0.001,'Key inputs_Refineries'!S21/SUM('Key inputs_Refineries'!S$18:S$24)),"")</f>
        <v>4.0219533911256204E-2</v>
      </c>
      <c r="Z165" s="173">
        <f>IFERROR(IF(AND('Key inputs_Refineries'!T21/SUM('Key inputs_Refineries'!T$18:T$24)&gt;0,'Key inputs_Refineries'!T21/SUM('Key inputs_Refineries'!T$18:T$24)&lt;0.001),0.001,'Key inputs_Refineries'!T21/SUM('Key inputs_Refineries'!T$18:T$24)),"")</f>
        <v>7.8955151329637888E-2</v>
      </c>
      <c r="AA165" s="173">
        <f>IFERROR(IF(AND('Key inputs_Refineries'!U21/SUM('Key inputs_Refineries'!U$18:U$24)&gt;0,'Key inputs_Refineries'!U21/SUM('Key inputs_Refineries'!U$18:U$24)&lt;0.001),0.001,'Key inputs_Refineries'!U21/SUM('Key inputs_Refineries'!U$18:U$24)),"")</f>
        <v>7.0887530382841693E-2</v>
      </c>
      <c r="AB165" s="173">
        <f>IFERROR(IF(AND('Key inputs_Refineries'!V21/SUM('Key inputs_Refineries'!V$18:V$24)&gt;0,'Key inputs_Refineries'!V21/SUM('Key inputs_Refineries'!V$18:V$24)&lt;0.001),0.001,'Key inputs_Refineries'!V21/SUM('Key inputs_Refineries'!V$18:V$24)),"")</f>
        <v>0.11067255388346015</v>
      </c>
      <c r="AC165" s="173">
        <f>IFERROR(IF(AND('Key inputs_Refineries'!W21/SUM('Key inputs_Refineries'!W$18:W$24)&gt;0,'Key inputs_Refineries'!W21/SUM('Key inputs_Refineries'!W$18:W$24)&lt;0.001),0.001,'Key inputs_Refineries'!W21/SUM('Key inputs_Refineries'!W$18:W$24)),"")</f>
        <v>6.7561110613933884E-2</v>
      </c>
      <c r="AD165" s="173">
        <f>IFERROR(IF(AND('Key inputs_Refineries'!X21/SUM('Key inputs_Refineries'!X$18:X$24)&gt;0,'Key inputs_Refineries'!X21/SUM('Key inputs_Refineries'!X$18:X$24)&lt;0.001),0.001,'Key inputs_Refineries'!X21/SUM('Key inputs_Refineries'!X$18:X$24)),"")</f>
        <v>0.15560933102257535</v>
      </c>
      <c r="AE165" s="173">
        <f>IFERROR(IF(AND('Key inputs_Refineries'!Y21/SUM('Key inputs_Refineries'!Y$18:Y$24)&gt;0,'Key inputs_Refineries'!Y21/SUM('Key inputs_Refineries'!Y$18:Y$24)&lt;0.001),0.001,'Key inputs_Refineries'!Y21/SUM('Key inputs_Refineries'!Y$18:Y$24)),"")</f>
        <v>5.3106842998894031E-2</v>
      </c>
      <c r="AF165" s="173">
        <f>IFERROR(IF(AND('Key inputs_Refineries'!Z21/SUM('Key inputs_Refineries'!Z$18:Z$24)&gt;0,'Key inputs_Refineries'!Z21/SUM('Key inputs_Refineries'!Z$18:Z$24)&lt;0.001),0.001,'Key inputs_Refineries'!Z21/SUM('Key inputs_Refineries'!Z$18:Z$24)),"")</f>
        <v>0.13831857099076514</v>
      </c>
      <c r="AG165" s="173">
        <f>IFERROR(IF(AND('Key inputs_Refineries'!AA21/SUM('Key inputs_Refineries'!AA$18:AA$24)&gt;0,'Key inputs_Refineries'!AA21/SUM('Key inputs_Refineries'!AA$18:AA$24)&lt;0.001),0.001,'Key inputs_Refineries'!AA21/SUM('Key inputs_Refineries'!AA$18:AA$24)),"")</f>
        <v>0.11896877769875594</v>
      </c>
      <c r="AH165" s="173">
        <f>IFERROR(IF(AND('Key inputs_Refineries'!AB21/SUM('Key inputs_Refineries'!AB$18:AB$24)&gt;0,'Key inputs_Refineries'!AB21/SUM('Key inputs_Refineries'!AB$18:AB$24)&lt;0.001),0.001,'Key inputs_Refineries'!AB21/SUM('Key inputs_Refineries'!AB$18:AB$24)),"")</f>
        <v>5.0361755835179975E-2</v>
      </c>
      <c r="AI165" s="173">
        <f>IFERROR(IF(AND('Key inputs_Refineries'!AC21/SUM('Key inputs_Refineries'!AC$18:AC$24)&gt;0,'Key inputs_Refineries'!AC21/SUM('Key inputs_Refineries'!AC$18:AC$24)&lt;0.001),0.001,'Key inputs_Refineries'!AC21/SUM('Key inputs_Refineries'!AC$18:AC$24)),"")</f>
        <v>4.1871890624418449E-2</v>
      </c>
      <c r="AJ165" s="173">
        <f>IFERROR(IF(AND('Key inputs_Refineries'!AD21/SUM('Key inputs_Refineries'!AD$18:AD$24)&gt;0,'Key inputs_Refineries'!AD21/SUM('Key inputs_Refineries'!AD$18:AD$24)&lt;0.001),0.001,'Key inputs_Refineries'!AD21/SUM('Key inputs_Refineries'!AD$18:AD$24)),"")</f>
        <v>4.6944209864010766E-2</v>
      </c>
      <c r="AK165" s="173">
        <f>IFERROR(IF(AND('Key inputs_Refineries'!AE21/SUM('Key inputs_Refineries'!AE$18:AE$24)&gt;0,'Key inputs_Refineries'!AE21/SUM('Key inputs_Refineries'!AE$18:AE$24)&lt;0.001),0.001,'Key inputs_Refineries'!AE21/SUM('Key inputs_Refineries'!AE$18:AE$24)),"")</f>
        <v>0.15629758242851691</v>
      </c>
      <c r="AL165" s="173">
        <f>IFERROR(IF(AND('Key inputs_Refineries'!AF21/SUM('Key inputs_Refineries'!AF$18:AF$24)&gt;0,'Key inputs_Refineries'!AF21/SUM('Key inputs_Refineries'!AF$18:AF$24)&lt;0.001),0.001,'Key inputs_Refineries'!AF21/SUM('Key inputs_Refineries'!AF$18:AF$24)),"")</f>
        <v>9.8452449328474148E-2</v>
      </c>
    </row>
    <row r="166" spans="1:38">
      <c r="D166" t="str">
        <f>Commodities!$C$52</f>
        <v>OILLPG</v>
      </c>
      <c r="F166" t="s">
        <v>365</v>
      </c>
      <c r="G166" s="4" t="s">
        <v>705</v>
      </c>
      <c r="H166" t="s">
        <v>661</v>
      </c>
      <c r="I166">
        <v>2019</v>
      </c>
      <c r="J166" t="s">
        <v>650</v>
      </c>
      <c r="K166" s="173">
        <f>IFERROR(IF(AND('Key inputs_Refineries'!E22/SUM('Key inputs_Refineries'!E$18:E$24,-'Key inputs_Refineries'!E$60)&gt;0,'Key inputs_Refineries'!E22/SUM('Key inputs_Refineries'!E$18:E$24,-'Key inputs_Refineries'!E$60)&lt;0.001),0.001,'Key inputs_Refineries'!E22/SUM('Key inputs_Refineries'!E$18:E$24,-'Key inputs_Refineries'!E$60)),"")</f>
        <v>8.515226571497253E-2</v>
      </c>
      <c r="L166" s="173">
        <f>IFERROR(IF(AND('Key inputs_Refineries'!F22/SUM('Key inputs_Refineries'!F$18:F$24)&gt;0,'Key inputs_Refineries'!F22/SUM('Key inputs_Refineries'!F$18:F$24)&lt;0.001),0.001,'Key inputs_Refineries'!F22/SUM('Key inputs_Refineries'!F$18:F$24)),"")</f>
        <v>2.6255315859869639E-2</v>
      </c>
      <c r="M166" s="173">
        <f>IFERROR(IF(AND('Key inputs_Refineries'!G22/SUM('Key inputs_Refineries'!G$18:G$24)&gt;0,'Key inputs_Refineries'!G22/SUM('Key inputs_Refineries'!G$18:G$24)&lt;0.001),0.001,'Key inputs_Refineries'!G22/SUM('Key inputs_Refineries'!G$18:G$24)),"")</f>
        <v>3.476440275772185E-2</v>
      </c>
      <c r="N166" s="173">
        <f>IFERROR(IF(AND('Key inputs_Refineries'!H22/SUM('Key inputs_Refineries'!H$18:H$24)&gt;0,'Key inputs_Refineries'!H22/SUM('Key inputs_Refineries'!H$18:H$24)&lt;0.001),0.001,'Key inputs_Refineries'!H22/SUM('Key inputs_Refineries'!H$18:H$24)),"")</f>
        <v>4.4363859685037067E-2</v>
      </c>
      <c r="O166" s="173">
        <f>IFERROR(IF(AND('Key inputs_Refineries'!I22/SUM('Key inputs_Refineries'!I$18:I$24)&gt;0,'Key inputs_Refineries'!I22/SUM('Key inputs_Refineries'!I$18:I$24)&lt;0.001),0.001,'Key inputs_Refineries'!I22/SUM('Key inputs_Refineries'!I$18:I$24)),"")</f>
        <v>2.0664286487071297E-2</v>
      </c>
      <c r="P166" s="173">
        <f>IFERROR(IF(AND('Key inputs_Refineries'!J22/SUM('Key inputs_Refineries'!J$18:J$24)&gt;0,'Key inputs_Refineries'!J22/SUM('Key inputs_Refineries'!J$18:J$24)&lt;0.001),0.001,'Key inputs_Refineries'!J22/SUM('Key inputs_Refineries'!J$18:J$24)),"")</f>
        <v>0.10422334049681647</v>
      </c>
      <c r="Q166" s="173">
        <f>IFERROR(IF(AND('Key inputs_Refineries'!K22/SUM('Key inputs_Refineries'!K$18:K$24)&gt;0,'Key inputs_Refineries'!K22/SUM('Key inputs_Refineries'!K$18:K$24)&lt;0.001),0.001,'Key inputs_Refineries'!K22/SUM('Key inputs_Refineries'!K$18:K$24)),"")</f>
        <v>3.1548657078991307E-2</v>
      </c>
      <c r="R166" s="173">
        <f>IFERROR(IF(AND('Key inputs_Refineries'!L22/SUM('Key inputs_Refineries'!L$18:L$24)&gt;0,'Key inputs_Refineries'!L22/SUM('Key inputs_Refineries'!L$18:L$24)&lt;0.001),0.001,'Key inputs_Refineries'!L22/SUM('Key inputs_Refineries'!L$18:L$24)),"")</f>
        <v>2.3190181470807397E-2</v>
      </c>
      <c r="S166" s="173">
        <f>IFERROR(IF(AND('Key inputs_Refineries'!M22/SUM('Key inputs_Refineries'!M$18:M$24)&gt;0,'Key inputs_Refineries'!M22/SUM('Key inputs_Refineries'!M$18:M$24)&lt;0.001),0.001,'Key inputs_Refineries'!M22/SUM('Key inputs_Refineries'!M$18:M$24)),"")</f>
        <v>4.4841353028597798E-2</v>
      </c>
      <c r="T166" s="173">
        <f>IFERROR(IF(AND('Key inputs_Refineries'!N22/SUM('Key inputs_Refineries'!N$18:N$24)&gt;0,'Key inputs_Refineries'!N22/SUM('Key inputs_Refineries'!N$18:N$24)&lt;0.001),0.001,'Key inputs_Refineries'!N22/SUM('Key inputs_Refineries'!N$18:N$24)),"")</f>
        <v>4.740437865857805E-2</v>
      </c>
      <c r="U166" s="173">
        <f>IFERROR(IF(AND('Key inputs_Refineries'!O22/SUM('Key inputs_Refineries'!O$18:O$24)&gt;0,'Key inputs_Refineries'!O22/SUM('Key inputs_Refineries'!O$18:O$24)&lt;0.001),0.001,'Key inputs_Refineries'!O22/SUM('Key inputs_Refineries'!O$18:O$24)),"")</f>
        <v>8.3299458314820246E-2</v>
      </c>
      <c r="V166" s="173">
        <f>IFERROR(IF(AND('Key inputs_Refineries'!P22/SUM('Key inputs_Refineries'!P$18:P$24)&gt;0,'Key inputs_Refineries'!P22/SUM('Key inputs_Refineries'!P$18:P$24)&lt;0.001),0.001,'Key inputs_Refineries'!P22/SUM('Key inputs_Refineries'!P$18:P$24)),"")</f>
        <v>6.3414048543440155E-2</v>
      </c>
      <c r="W166" s="173">
        <f>IFERROR(IF(AND('Key inputs_Refineries'!Q22/SUM('Key inputs_Refineries'!Q$18:Q$24)&gt;0,'Key inputs_Refineries'!Q22/SUM('Key inputs_Refineries'!Q$18:Q$24)&lt;0.001),0.001,'Key inputs_Refineries'!Q22/SUM('Key inputs_Refineries'!Q$18:Q$24)),"")</f>
        <v>4.3208546078513432E-2</v>
      </c>
      <c r="X166" s="173">
        <f>IFERROR(IF(AND('Key inputs_Refineries'!R22/SUM('Key inputs_Refineries'!R$18:R$24)&gt;0,'Key inputs_Refineries'!R22/SUM('Key inputs_Refineries'!R$18:R$24)&lt;0.001),0.001,'Key inputs_Refineries'!R22/SUM('Key inputs_Refineries'!R$18:R$24)),"")</f>
        <v>5.4994836790881414E-2</v>
      </c>
      <c r="Y166" s="173">
        <f>IFERROR(IF(AND('Key inputs_Refineries'!S22/SUM('Key inputs_Refineries'!S$18:S$24)&gt;0,'Key inputs_Refineries'!S22/SUM('Key inputs_Refineries'!S$18:S$24)&lt;0.001),0.001,'Key inputs_Refineries'!S22/SUM('Key inputs_Refineries'!S$18:S$24)),"")</f>
        <v>4.292280728176915E-2</v>
      </c>
      <c r="Z166" s="173">
        <f>IFERROR(IF(AND('Key inputs_Refineries'!T22/SUM('Key inputs_Refineries'!T$18:T$24)&gt;0,'Key inputs_Refineries'!T22/SUM('Key inputs_Refineries'!T$18:T$24)&lt;0.001),0.001,'Key inputs_Refineries'!T22/SUM('Key inputs_Refineries'!T$18:T$24)),"")</f>
        <v>3.0067395336755735E-2</v>
      </c>
      <c r="AA166" s="173">
        <f>IFERROR(IF(AND('Key inputs_Refineries'!U22/SUM('Key inputs_Refineries'!U$18:U$24)&gt;0,'Key inputs_Refineries'!U22/SUM('Key inputs_Refineries'!U$18:U$24)&lt;0.001),0.001,'Key inputs_Refineries'!U22/SUM('Key inputs_Refineries'!U$18:U$24)),"")</f>
        <v>3.5818254514137719E-2</v>
      </c>
      <c r="AB166" s="173">
        <f>IFERROR(IF(AND('Key inputs_Refineries'!V22/SUM('Key inputs_Refineries'!V$18:V$24)&gt;0,'Key inputs_Refineries'!V22/SUM('Key inputs_Refineries'!V$18:V$24)&lt;0.001),0.001,'Key inputs_Refineries'!V22/SUM('Key inputs_Refineries'!V$18:V$24)),"")</f>
        <v>2.3792279508578512E-2</v>
      </c>
      <c r="AC166" s="173">
        <f>IFERROR(IF(AND('Key inputs_Refineries'!W22/SUM('Key inputs_Refineries'!W$18:W$24)&gt;0,'Key inputs_Refineries'!W22/SUM('Key inputs_Refineries'!W$18:W$24)&lt;0.001),0.001,'Key inputs_Refineries'!W22/SUM('Key inputs_Refineries'!W$18:W$24)),"")</f>
        <v>4.8732088547563092E-2</v>
      </c>
      <c r="AD166" s="173">
        <f>IFERROR(IF(AND('Key inputs_Refineries'!X22/SUM('Key inputs_Refineries'!X$18:X$24)&gt;0,'Key inputs_Refineries'!X22/SUM('Key inputs_Refineries'!X$18:X$24)&lt;0.001),0.001,'Key inputs_Refineries'!X22/SUM('Key inputs_Refineries'!X$18:X$24)),"")</f>
        <v>2.3034615148573793E-2</v>
      </c>
      <c r="AE166" s="173">
        <f>IFERROR(IF(AND('Key inputs_Refineries'!Y22/SUM('Key inputs_Refineries'!Y$18:Y$24)&gt;0,'Key inputs_Refineries'!Y22/SUM('Key inputs_Refineries'!Y$18:Y$24)&lt;0.001),0.001,'Key inputs_Refineries'!Y22/SUM('Key inputs_Refineries'!Y$18:Y$24)),"")</f>
        <v>3.6482493989854148E-2</v>
      </c>
      <c r="AF166" s="173">
        <f>IFERROR(IF(AND('Key inputs_Refineries'!Z22/SUM('Key inputs_Refineries'!Z$18:Z$24)&gt;0,'Key inputs_Refineries'!Z22/SUM('Key inputs_Refineries'!Z$18:Z$24)&lt;0.001),0.001,'Key inputs_Refineries'!Z22/SUM('Key inputs_Refineries'!Z$18:Z$24)),"")</f>
        <v>3.1403414865109738E-2</v>
      </c>
      <c r="AG166" s="173">
        <f>IFERROR(IF(AND('Key inputs_Refineries'!AA22/SUM('Key inputs_Refineries'!AA$18:AA$24)&gt;0,'Key inputs_Refineries'!AA22/SUM('Key inputs_Refineries'!AA$18:AA$24)&lt;0.001),0.001,'Key inputs_Refineries'!AA22/SUM('Key inputs_Refineries'!AA$18:AA$24)),"")</f>
        <v>2.8080625428585883E-2</v>
      </c>
      <c r="AH166" s="173">
        <f>IFERROR(IF(AND('Key inputs_Refineries'!AB22/SUM('Key inputs_Refineries'!AB$18:AB$24)&gt;0,'Key inputs_Refineries'!AB22/SUM('Key inputs_Refineries'!AB$18:AB$24)&lt;0.001),0.001,'Key inputs_Refineries'!AB22/SUM('Key inputs_Refineries'!AB$18:AB$24)),"")</f>
        <v>1E-3</v>
      </c>
      <c r="AI166" s="173">
        <f>IFERROR(IF(AND('Key inputs_Refineries'!AC22/SUM('Key inputs_Refineries'!AC$18:AC$24)&gt;0,'Key inputs_Refineries'!AC22/SUM('Key inputs_Refineries'!AC$18:AC$24)&lt;0.001),0.001,'Key inputs_Refineries'!AC22/SUM('Key inputs_Refineries'!AC$18:AC$24)),"")</f>
        <v>0.21352803245536767</v>
      </c>
      <c r="AJ166" s="173">
        <f>IFERROR(IF(AND('Key inputs_Refineries'!AD22/SUM('Key inputs_Refineries'!AD$18:AD$24)&gt;0,'Key inputs_Refineries'!AD22/SUM('Key inputs_Refineries'!AD$18:AD$24)&lt;0.001),0.001,'Key inputs_Refineries'!AD22/SUM('Key inputs_Refineries'!AD$18:AD$24)),"")</f>
        <v>0.10931854612886585</v>
      </c>
      <c r="AK166" s="173">
        <f>IFERROR(IF(AND('Key inputs_Refineries'!AE22/SUM('Key inputs_Refineries'!AE$18:AE$24)&gt;0,'Key inputs_Refineries'!AE22/SUM('Key inputs_Refineries'!AE$18:AE$24)&lt;0.001),0.001,'Key inputs_Refineries'!AE22/SUM('Key inputs_Refineries'!AE$18:AE$24)),"")</f>
        <v>2.8742815027889553E-2</v>
      </c>
      <c r="AL166" s="173">
        <f>IFERROR(IF(AND('Key inputs_Refineries'!AF22/SUM('Key inputs_Refineries'!AF$18:AF$24)&gt;0,'Key inputs_Refineries'!AF22/SUM('Key inputs_Refineries'!AF$18:AF$24)&lt;0.001),0.001,'Key inputs_Refineries'!AF22/SUM('Key inputs_Refineries'!AF$18:AF$24)),"")</f>
        <v>1.340580876493574E-2</v>
      </c>
    </row>
    <row r="167" spans="1:38">
      <c r="D167" t="str">
        <f>Commodities!$C$53</f>
        <v>OILNAP</v>
      </c>
      <c r="F167" t="s">
        <v>365</v>
      </c>
      <c r="G167" s="4" t="s">
        <v>705</v>
      </c>
      <c r="H167" t="s">
        <v>661</v>
      </c>
      <c r="I167">
        <v>2019</v>
      </c>
      <c r="J167" t="s">
        <v>650</v>
      </c>
      <c r="K167" s="173">
        <f>IFERROR(IF(AND('Key inputs_Refineries'!E23/SUM('Key inputs_Refineries'!E$18:E$24,-'Key inputs_Refineries'!E$60)&gt;0,'Key inputs_Refineries'!E23/SUM('Key inputs_Refineries'!E$18:E$24,-'Key inputs_Refineries'!E$60)&lt;0.001),0.001,'Key inputs_Refineries'!E23/SUM('Key inputs_Refineries'!E$18:E$24,-'Key inputs_Refineries'!E$60)),"")</f>
        <v>1.3934007116995506E-3</v>
      </c>
      <c r="L167" s="173">
        <f>IFERROR(IF(AND('Key inputs_Refineries'!F23/SUM('Key inputs_Refineries'!F$18:F$24)&gt;0,'Key inputs_Refineries'!F23/SUM('Key inputs_Refineries'!F$18:F$24)&lt;0.001),0.001,'Key inputs_Refineries'!F23/SUM('Key inputs_Refineries'!F$18:F$24)),"")</f>
        <v>0.13780882404292943</v>
      </c>
      <c r="M167" s="173">
        <f>IFERROR(IF(AND('Key inputs_Refineries'!G23/SUM('Key inputs_Refineries'!G$18:G$24)&gt;0,'Key inputs_Refineries'!G23/SUM('Key inputs_Refineries'!G$18:G$24)&lt;0.001),0.001,'Key inputs_Refineries'!G23/SUM('Key inputs_Refineries'!G$18:G$24)),"")</f>
        <v>1.2417475829142528E-2</v>
      </c>
      <c r="N167" s="173">
        <f>IFERROR(IF(AND('Key inputs_Refineries'!H23/SUM('Key inputs_Refineries'!H$18:H$24)&gt;0,'Key inputs_Refineries'!H23/SUM('Key inputs_Refineries'!H$18:H$24)&lt;0.001),0.001,'Key inputs_Refineries'!H23/SUM('Key inputs_Refineries'!H$18:H$24)),"")</f>
        <v>2.5029417627180733E-2</v>
      </c>
      <c r="O167" s="173">
        <f>IFERROR(IF(AND('Key inputs_Refineries'!I23/SUM('Key inputs_Refineries'!I$18:I$24)&gt;0,'Key inputs_Refineries'!I23/SUM('Key inputs_Refineries'!I$18:I$24)&lt;0.001),0.001,'Key inputs_Refineries'!I23/SUM('Key inputs_Refineries'!I$18:I$24)),"")</f>
        <v>1E-3</v>
      </c>
      <c r="P167" s="173">
        <f>IFERROR(IF(AND('Key inputs_Refineries'!J23/SUM('Key inputs_Refineries'!J$18:J$24)&gt;0,'Key inputs_Refineries'!J23/SUM('Key inputs_Refineries'!J$18:J$24)&lt;0.001),0.001,'Key inputs_Refineries'!J23/SUM('Key inputs_Refineries'!J$18:J$24)),"")</f>
        <v>6.7474671970313817E-3</v>
      </c>
      <c r="Q167" s="173">
        <f>IFERROR(IF(AND('Key inputs_Refineries'!K23/SUM('Key inputs_Refineries'!K$18:K$24)&gt;0,'Key inputs_Refineries'!K23/SUM('Key inputs_Refineries'!K$18:K$24)&lt;0.001),0.001,'Key inputs_Refineries'!K23/SUM('Key inputs_Refineries'!K$18:K$24)),"")</f>
        <v>0.11233195619638225</v>
      </c>
      <c r="R167" s="173">
        <f>IFERROR(IF(AND('Key inputs_Refineries'!L23/SUM('Key inputs_Refineries'!L$18:L$24)&gt;0,'Key inputs_Refineries'!L23/SUM('Key inputs_Refineries'!L$18:L$24)&lt;0.001),0.001,'Key inputs_Refineries'!L23/SUM('Key inputs_Refineries'!L$18:L$24)),"")</f>
        <v>4.9209025210654518E-2</v>
      </c>
      <c r="S167" s="173">
        <f>IFERROR(IF(AND('Key inputs_Refineries'!M23/SUM('Key inputs_Refineries'!M$18:M$24)&gt;0,'Key inputs_Refineries'!M23/SUM('Key inputs_Refineries'!M$18:M$24)&lt;0.001),0.001,'Key inputs_Refineries'!M23/SUM('Key inputs_Refineries'!M$18:M$24)),"")</f>
        <v>2.2026591651959242E-2</v>
      </c>
      <c r="T167" s="173">
        <f>IFERROR(IF(AND('Key inputs_Refineries'!N23/SUM('Key inputs_Refineries'!N$18:N$24)&gt;0,'Key inputs_Refineries'!N23/SUM('Key inputs_Refineries'!N$18:N$24)&lt;0.001),0.001,'Key inputs_Refineries'!N23/SUM('Key inputs_Refineries'!N$18:N$24)),"")</f>
        <v>2.0587335582990363E-2</v>
      </c>
      <c r="U167" s="173">
        <f>IFERROR(IF(AND('Key inputs_Refineries'!O23/SUM('Key inputs_Refineries'!O$18:O$24)&gt;0,'Key inputs_Refineries'!O23/SUM('Key inputs_Refineries'!O$18:O$24)&lt;0.001),0.001,'Key inputs_Refineries'!O23/SUM('Key inputs_Refineries'!O$18:O$24)),"")</f>
        <v>1.6307276353976611E-3</v>
      </c>
      <c r="V167" s="173">
        <f>IFERROR(IF(AND('Key inputs_Refineries'!P23/SUM('Key inputs_Refineries'!P$18:P$24)&gt;0,'Key inputs_Refineries'!P23/SUM('Key inputs_Refineries'!P$18:P$24)&lt;0.001),0.001,'Key inputs_Refineries'!P23/SUM('Key inputs_Refineries'!P$18:P$24)),"")</f>
        <v>7.6258715470008426E-2</v>
      </c>
      <c r="W167" s="173">
        <f>IFERROR(IF(AND('Key inputs_Refineries'!Q23/SUM('Key inputs_Refineries'!Q$18:Q$24)&gt;0,'Key inputs_Refineries'!Q23/SUM('Key inputs_Refineries'!Q$18:Q$24)&lt;0.001),0.001,'Key inputs_Refineries'!Q23/SUM('Key inputs_Refineries'!Q$18:Q$24)),"")</f>
        <v>1.1791663179040764E-2</v>
      </c>
      <c r="X167" s="173">
        <f>IFERROR(IF(AND('Key inputs_Refineries'!R23/SUM('Key inputs_Refineries'!R$18:R$24)&gt;0,'Key inputs_Refineries'!R23/SUM('Key inputs_Refineries'!R$18:R$24)&lt;0.001),0.001,'Key inputs_Refineries'!R23/SUM('Key inputs_Refineries'!R$18:R$24)),"")</f>
        <v>2.4247495569355453E-2</v>
      </c>
      <c r="Y167" s="173">
        <f>IFERROR(IF(AND('Key inputs_Refineries'!S23/SUM('Key inputs_Refineries'!S$18:S$24)&gt;0,'Key inputs_Refineries'!S23/SUM('Key inputs_Refineries'!S$18:S$24)&lt;0.001),0.001,'Key inputs_Refineries'!S23/SUM('Key inputs_Refineries'!S$18:S$24)),"")</f>
        <v>5.3609212509948274E-2</v>
      </c>
      <c r="Z167" s="173">
        <f>IFERROR(IF(AND('Key inputs_Refineries'!T23/SUM('Key inputs_Refineries'!T$18:T$24)&gt;0,'Key inputs_Refineries'!T23/SUM('Key inputs_Refineries'!T$18:T$24)&lt;0.001),0.001,'Key inputs_Refineries'!T23/SUM('Key inputs_Refineries'!T$18:T$24)),"")</f>
        <v>4.7427757221583322E-2</v>
      </c>
      <c r="AA167" s="173">
        <f>IFERROR(IF(AND('Key inputs_Refineries'!U23/SUM('Key inputs_Refineries'!U$18:U$24)&gt;0,'Key inputs_Refineries'!U23/SUM('Key inputs_Refineries'!U$18:U$24)&lt;0.001),0.001,'Key inputs_Refineries'!U23/SUM('Key inputs_Refineries'!U$18:U$24)),"")</f>
        <v>4.6071743744028684E-2</v>
      </c>
      <c r="AB167" s="173">
        <f>IFERROR(IF(AND('Key inputs_Refineries'!V23/SUM('Key inputs_Refineries'!V$18:V$24)&gt;0,'Key inputs_Refineries'!V23/SUM('Key inputs_Refineries'!V$18:V$24)&lt;0.001),0.001,'Key inputs_Refineries'!V23/SUM('Key inputs_Refineries'!V$18:V$24)),"")</f>
        <v>7.9657464684356454E-3</v>
      </c>
      <c r="AC167" s="173">
        <f>IFERROR(IF(AND('Key inputs_Refineries'!W23/SUM('Key inputs_Refineries'!W$18:W$24)&gt;0,'Key inputs_Refineries'!W23/SUM('Key inputs_Refineries'!W$18:W$24)&lt;0.001),0.001,'Key inputs_Refineries'!W23/SUM('Key inputs_Refineries'!W$18:W$24)),"")</f>
        <v>6.7364080356879269E-2</v>
      </c>
      <c r="AD167" s="173">
        <f>IFERROR(IF(AND('Key inputs_Refineries'!X23/SUM('Key inputs_Refineries'!X$18:X$24)&gt;0,'Key inputs_Refineries'!X23/SUM('Key inputs_Refineries'!X$18:X$24)&lt;0.001),0.001,'Key inputs_Refineries'!X23/SUM('Key inputs_Refineries'!X$18:X$24)),"")</f>
        <v>7.5338316272401701E-2</v>
      </c>
      <c r="AE167" s="173">
        <f>IFERROR(IF(AND('Key inputs_Refineries'!Y23/SUM('Key inputs_Refineries'!Y$18:Y$24)&gt;0,'Key inputs_Refineries'!Y23/SUM('Key inputs_Refineries'!Y$18:Y$24)&lt;0.001),0.001,'Key inputs_Refineries'!Y23/SUM('Key inputs_Refineries'!Y$18:Y$24)),"")</f>
        <v>7.2480022430954716E-3</v>
      </c>
      <c r="AF167" s="173">
        <f>IFERROR(IF(AND('Key inputs_Refineries'!Z23/SUM('Key inputs_Refineries'!Z$18:Z$24)&gt;0,'Key inputs_Refineries'!Z23/SUM('Key inputs_Refineries'!Z$18:Z$24)&lt;0.001),0.001,'Key inputs_Refineries'!Z23/SUM('Key inputs_Refineries'!Z$18:Z$24)),"")</f>
        <v>3.364761938959307E-2</v>
      </c>
      <c r="AG167" s="173">
        <f>IFERROR(IF(AND('Key inputs_Refineries'!AA23/SUM('Key inputs_Refineries'!AA$18:AA$24)&gt;0,'Key inputs_Refineries'!AA23/SUM('Key inputs_Refineries'!AA$18:AA$24)&lt;0.001),0.001,'Key inputs_Refineries'!AA23/SUM('Key inputs_Refineries'!AA$18:AA$24)),"")</f>
        <v>6.3864542363594914E-2</v>
      </c>
      <c r="AH167" s="173">
        <f>IFERROR(IF(AND('Key inputs_Refineries'!AB23/SUM('Key inputs_Refineries'!AB$18:AB$24)&gt;0,'Key inputs_Refineries'!AB23/SUM('Key inputs_Refineries'!AB$18:AB$24)&lt;0.001),0.001,'Key inputs_Refineries'!AB23/SUM('Key inputs_Refineries'!AB$18:AB$24)),"")</f>
        <v>4.985162028592547E-2</v>
      </c>
      <c r="AI167" s="173">
        <f>IFERROR(IF(AND('Key inputs_Refineries'!AC23/SUM('Key inputs_Refineries'!AC$18:AC$24)&gt;0,'Key inputs_Refineries'!AC23/SUM('Key inputs_Refineries'!AC$18:AC$24)&lt;0.001),0.001,'Key inputs_Refineries'!AC23/SUM('Key inputs_Refineries'!AC$18:AC$24)),"")</f>
        <v>1.7666836221976848E-2</v>
      </c>
      <c r="AJ167" s="173">
        <f>IFERROR(IF(AND('Key inputs_Refineries'!AD23/SUM('Key inputs_Refineries'!AD$18:AD$24)&gt;0,'Key inputs_Refineries'!AD23/SUM('Key inputs_Refineries'!AD$18:AD$24)&lt;0.001),0.001,'Key inputs_Refineries'!AD23/SUM('Key inputs_Refineries'!AD$18:AD$24)),"")</f>
        <v>8.9871415356650344E-2</v>
      </c>
      <c r="AK167" s="173">
        <f>IFERROR(IF(AND('Key inputs_Refineries'!AE23/SUM('Key inputs_Refineries'!AE$18:AE$24)&gt;0,'Key inputs_Refineries'!AE23/SUM('Key inputs_Refineries'!AE$18:AE$24)&lt;0.001),0.001,'Key inputs_Refineries'!AE23/SUM('Key inputs_Refineries'!AE$18:AE$24)),"")</f>
        <v>0.18413722046834807</v>
      </c>
      <c r="AL167" s="173">
        <f>IFERROR(IF(AND('Key inputs_Refineries'!AF23/SUM('Key inputs_Refineries'!AF$18:AF$24)&gt;0,'Key inputs_Refineries'!AF23/SUM('Key inputs_Refineries'!AF$18:AF$24)&lt;0.001),0.001,'Key inputs_Refineries'!AF23/SUM('Key inputs_Refineries'!AF$18:AF$24)),"")</f>
        <v>9.0949240089480306E-3</v>
      </c>
    </row>
    <row r="168" spans="1:38">
      <c r="D168" t="str">
        <f>Commodities!$C$55</f>
        <v>OILOPP</v>
      </c>
      <c r="F168" t="s">
        <v>365</v>
      </c>
      <c r="G168" s="4" t="s">
        <v>705</v>
      </c>
      <c r="H168" t="s">
        <v>661</v>
      </c>
      <c r="I168">
        <v>2019</v>
      </c>
      <c r="J168" t="s">
        <v>650</v>
      </c>
      <c r="K168" s="173">
        <f>IFERROR(IF(AND('Key inputs_Refineries'!E24/SUM('Key inputs_Refineries'!E$18:E$24,-'Key inputs_Refineries'!E$60)&gt;0,'Key inputs_Refineries'!E24/SUM('Key inputs_Refineries'!E$18:E$24,-'Key inputs_Refineries'!E$60)&lt;0.001),0.001,'Key inputs_Refineries'!E24/SUM('Key inputs_Refineries'!E$18:E$24,-'Key inputs_Refineries'!E$60)),"")</f>
        <v>6.3519367796970427E-2</v>
      </c>
      <c r="L168" s="173">
        <f>IFERROR(IF(AND('Key inputs_Refineries'!F24/SUM('Key inputs_Refineries'!F$18:F$24)&gt;0,'Key inputs_Refineries'!F24/SUM('Key inputs_Refineries'!F$18:F$24)&lt;0.001),0.001,'Key inputs_Refineries'!F24/SUM('Key inputs_Refineries'!F$18:F$24)),"")</f>
        <v>3.2179809560877314E-2</v>
      </c>
      <c r="M168" s="173">
        <f>IFERROR(IF(AND('Key inputs_Refineries'!G24/SUM('Key inputs_Refineries'!G$18:G$24)&gt;0,'Key inputs_Refineries'!G24/SUM('Key inputs_Refineries'!G$18:G$24)&lt;0.001),0.001,'Key inputs_Refineries'!G24/SUM('Key inputs_Refineries'!G$18:G$24)),"")</f>
        <v>3.1637480298588629E-2</v>
      </c>
      <c r="N168" s="173">
        <f>IFERROR(IF(AND('Key inputs_Refineries'!H24/SUM('Key inputs_Refineries'!H$18:H$24)&gt;0,'Key inputs_Refineries'!H24/SUM('Key inputs_Refineries'!H$18:H$24)&lt;0.001),0.001,'Key inputs_Refineries'!H24/SUM('Key inputs_Refineries'!H$18:H$24)),"")</f>
        <v>2.3173933019391392E-2</v>
      </c>
      <c r="O168" s="173">
        <f>IFERROR(IF(AND('Key inputs_Refineries'!I24/SUM('Key inputs_Refineries'!I$18:I$24)&gt;0,'Key inputs_Refineries'!I24/SUM('Key inputs_Refineries'!I$18:I$24)&lt;0.001),0.001,'Key inputs_Refineries'!I24/SUM('Key inputs_Refineries'!I$18:I$24)),"")</f>
        <v>0.10870795967033178</v>
      </c>
      <c r="P168" s="173">
        <f>IFERROR(IF(AND('Key inputs_Refineries'!J24/SUM('Key inputs_Refineries'!J$18:J$24)&gt;0,'Key inputs_Refineries'!J24/SUM('Key inputs_Refineries'!J$18:J$24)&lt;0.001),0.001,'Key inputs_Refineries'!J24/SUM('Key inputs_Refineries'!J$18:J$24)),"")</f>
        <v>8.683409640001602E-2</v>
      </c>
      <c r="Q168" s="173">
        <f>IFERROR(IF(AND('Key inputs_Refineries'!K24/SUM('Key inputs_Refineries'!K$18:K$24)&gt;0,'Key inputs_Refineries'!K24/SUM('Key inputs_Refineries'!K$18:K$24)&lt;0.001),0.001,'Key inputs_Refineries'!K24/SUM('Key inputs_Refineries'!K$18:K$24)),"")</f>
        <v>6.2139602590264027E-2</v>
      </c>
      <c r="R168" s="173">
        <f>IFERROR(IF(AND('Key inputs_Refineries'!L24/SUM('Key inputs_Refineries'!L$18:L$24)&gt;0,'Key inputs_Refineries'!L24/SUM('Key inputs_Refineries'!L$18:L$24)&lt;0.001),0.001,'Key inputs_Refineries'!L24/SUM('Key inputs_Refineries'!L$18:L$24)),"")</f>
        <v>3.4466037464419466E-2</v>
      </c>
      <c r="S168" s="173">
        <f>IFERROR(IF(AND('Key inputs_Refineries'!M24/SUM('Key inputs_Refineries'!M$18:M$24)&gt;0,'Key inputs_Refineries'!M24/SUM('Key inputs_Refineries'!M$18:M$24)&lt;0.001),0.001,'Key inputs_Refineries'!M24/SUM('Key inputs_Refineries'!M$18:M$24)),"")</f>
        <v>0.11127316932063985</v>
      </c>
      <c r="T168" s="173">
        <f>IFERROR(IF(AND('Key inputs_Refineries'!N24/SUM('Key inputs_Refineries'!N$18:N$24)&gt;0,'Key inputs_Refineries'!N24/SUM('Key inputs_Refineries'!N$18:N$24)&lt;0.001),0.001,'Key inputs_Refineries'!N24/SUM('Key inputs_Refineries'!N$18:N$24)),"")</f>
        <v>0.15054090131433789</v>
      </c>
      <c r="U168" s="173">
        <f>IFERROR(IF(AND('Key inputs_Refineries'!O24/SUM('Key inputs_Refineries'!O$18:O$24)&gt;0,'Key inputs_Refineries'!O24/SUM('Key inputs_Refineries'!O$18:O$24)&lt;0.001),0.001,'Key inputs_Refineries'!O24/SUM('Key inputs_Refineries'!O$18:O$24)),"")</f>
        <v>3.8586797250924079E-2</v>
      </c>
      <c r="V168" s="173">
        <f>IFERROR(IF(AND('Key inputs_Refineries'!P24/SUM('Key inputs_Refineries'!P$18:P$24)&gt;0,'Key inputs_Refineries'!P24/SUM('Key inputs_Refineries'!P$18:P$24)&lt;0.001),0.001,'Key inputs_Refineries'!P24/SUM('Key inputs_Refineries'!P$18:P$24)),"")</f>
        <v>0.27898732508072099</v>
      </c>
      <c r="W168" s="173">
        <f>IFERROR(IF(AND('Key inputs_Refineries'!Q24/SUM('Key inputs_Refineries'!Q$18:Q$24)&gt;0,'Key inputs_Refineries'!Q24/SUM('Key inputs_Refineries'!Q$18:Q$24)&lt;0.001),0.001,'Key inputs_Refineries'!Q24/SUM('Key inputs_Refineries'!Q$18:Q$24)),"")</f>
        <v>0.11222168745291705</v>
      </c>
      <c r="X168" s="173">
        <f>IFERROR(IF(AND('Key inputs_Refineries'!R24/SUM('Key inputs_Refineries'!R$18:R$24)&gt;0,'Key inputs_Refineries'!R24/SUM('Key inputs_Refineries'!R$18:R$24)&lt;0.001),0.001,'Key inputs_Refineries'!R24/SUM('Key inputs_Refineries'!R$18:R$24)),"")</f>
        <v>5.3395260503095572E-2</v>
      </c>
      <c r="Y168" s="173">
        <f>IFERROR(IF(AND('Key inputs_Refineries'!S24/SUM('Key inputs_Refineries'!S$18:S$24)&gt;0,'Key inputs_Refineries'!S24/SUM('Key inputs_Refineries'!S$18:S$24)&lt;0.001),0.001,'Key inputs_Refineries'!S24/SUM('Key inputs_Refineries'!S$18:S$24)),"")</f>
        <v>9.8923445152697742E-2</v>
      </c>
      <c r="Z168" s="173">
        <f>IFERROR(IF(AND('Key inputs_Refineries'!T24/SUM('Key inputs_Refineries'!T$18:T$24)&gt;0,'Key inputs_Refineries'!T24/SUM('Key inputs_Refineries'!T$18:T$24)&lt;0.001),0.001,'Key inputs_Refineries'!T24/SUM('Key inputs_Refineries'!T$18:T$24)),"")</f>
        <v>0.11319172372762067</v>
      </c>
      <c r="AA168" s="173">
        <f>IFERROR(IF(AND('Key inputs_Refineries'!U24/SUM('Key inputs_Refineries'!U$18:U$24)&gt;0,'Key inputs_Refineries'!U24/SUM('Key inputs_Refineries'!U$18:U$24)&lt;0.001),0.001,'Key inputs_Refineries'!U24/SUM('Key inputs_Refineries'!U$18:U$24)),"")</f>
        <v>5.5233670849125747E-2</v>
      </c>
      <c r="AB168" s="173">
        <f>IFERROR(IF(AND('Key inputs_Refineries'!V24/SUM('Key inputs_Refineries'!V$18:V$24)&gt;0,'Key inputs_Refineries'!V24/SUM('Key inputs_Refineries'!V$18:V$24)&lt;0.001),0.001,'Key inputs_Refineries'!V24/SUM('Key inputs_Refineries'!V$18:V$24)),"")</f>
        <v>8.4905459520777771E-2</v>
      </c>
      <c r="AC168" s="173">
        <f>IFERROR(IF(AND('Key inputs_Refineries'!W24/SUM('Key inputs_Refineries'!W$18:W$24)&gt;0,'Key inputs_Refineries'!W24/SUM('Key inputs_Refineries'!W$18:W$24)&lt;0.001),0.001,'Key inputs_Refineries'!W24/SUM('Key inputs_Refineries'!W$18:W$24)),"")</f>
        <v>0.17791711902339624</v>
      </c>
      <c r="AD168" s="173">
        <f>IFERROR(IF(AND('Key inputs_Refineries'!X24/SUM('Key inputs_Refineries'!X$18:X$24)&gt;0,'Key inputs_Refineries'!X24/SUM('Key inputs_Refineries'!X$18:X$24)&lt;0.001),0.001,'Key inputs_Refineries'!X24/SUM('Key inputs_Refineries'!X$18:X$24)),"")</f>
        <v>8.1104853967607651E-2</v>
      </c>
      <c r="AE168" s="173">
        <f>IFERROR(IF(AND('Key inputs_Refineries'!Y24/SUM('Key inputs_Refineries'!Y$18:Y$24)&gt;0,'Key inputs_Refineries'!Y24/SUM('Key inputs_Refineries'!Y$18:Y$24)&lt;0.001),0.001,'Key inputs_Refineries'!Y24/SUM('Key inputs_Refineries'!Y$18:Y$24)),"")</f>
        <v>6.7449413523996443E-2</v>
      </c>
      <c r="AF168" s="173">
        <f>IFERROR(IF(AND('Key inputs_Refineries'!Z24/SUM('Key inputs_Refineries'!Z$18:Z$24)&gt;0,'Key inputs_Refineries'!Z24/SUM('Key inputs_Refineries'!Z$18:Z$24)&lt;0.001),0.001,'Key inputs_Refineries'!Z24/SUM('Key inputs_Refineries'!Z$18:Z$24)),"")</f>
        <v>0.10636443877350778</v>
      </c>
      <c r="AG168" s="173">
        <f>IFERROR(IF(AND('Key inputs_Refineries'!AA24/SUM('Key inputs_Refineries'!AA$18:AA$24)&gt;0,'Key inputs_Refineries'!AA24/SUM('Key inputs_Refineries'!AA$18:AA$24)&lt;0.001),0.001,'Key inputs_Refineries'!AA24/SUM('Key inputs_Refineries'!AA$18:AA$24)),"")</f>
        <v>6.9336850221039761E-2</v>
      </c>
      <c r="AH168" s="173">
        <f>IFERROR(IF(AND('Key inputs_Refineries'!AB24/SUM('Key inputs_Refineries'!AB$18:AB$24)&gt;0,'Key inputs_Refineries'!AB24/SUM('Key inputs_Refineries'!AB$18:AB$24)&lt;0.001),0.001,'Key inputs_Refineries'!AB24/SUM('Key inputs_Refineries'!AB$18:AB$24)),"")</f>
        <v>7.2393005491113729E-2</v>
      </c>
      <c r="AI168" s="173">
        <f>IFERROR(IF(AND('Key inputs_Refineries'!AC24/SUM('Key inputs_Refineries'!AC$18:AC$24)&gt;0,'Key inputs_Refineries'!AC24/SUM('Key inputs_Refineries'!AC$18:AC$24)&lt;0.001),0.001,'Key inputs_Refineries'!AC24/SUM('Key inputs_Refineries'!AC$18:AC$24)),"")</f>
        <v>1E-3</v>
      </c>
      <c r="AJ168" s="173">
        <f>IFERROR(IF(AND('Key inputs_Refineries'!AD24/SUM('Key inputs_Refineries'!AD$18:AD$24)&gt;0,'Key inputs_Refineries'!AD24/SUM('Key inputs_Refineries'!AD$18:AD$24)&lt;0.001),0.001,'Key inputs_Refineries'!AD24/SUM('Key inputs_Refineries'!AD$18:AD$24)),"")</f>
        <v>0.11624186667691318</v>
      </c>
      <c r="AK168" s="173">
        <f>IFERROR(IF(AND('Key inputs_Refineries'!AE24/SUM('Key inputs_Refineries'!AE$18:AE$24)&gt;0,'Key inputs_Refineries'!AE24/SUM('Key inputs_Refineries'!AE$18:AE$24)&lt;0.001),0.001,'Key inputs_Refineries'!AE24/SUM('Key inputs_Refineries'!AE$18:AE$24)),"")</f>
        <v>7.5203344892806473E-2</v>
      </c>
      <c r="AL168" s="173">
        <f>IFERROR(IF(AND('Key inputs_Refineries'!AF24/SUM('Key inputs_Refineries'!AF$18:AF$24)&gt;0,'Key inputs_Refineries'!AF24/SUM('Key inputs_Refineries'!AF$18:AF$24)&lt;0.001),0.001,'Key inputs_Refineries'!AF24/SUM('Key inputs_Refineries'!AF$18:AF$24)),"")</f>
        <v>9.8348420851102042E-2</v>
      </c>
    </row>
    <row r="169" spans="1:38">
      <c r="D169" t="str">
        <f>Commodities!$C$59</f>
        <v>GASHH2BYPRD</v>
      </c>
      <c r="F169" t="s">
        <v>365</v>
      </c>
      <c r="G169" s="4" t="s">
        <v>705</v>
      </c>
      <c r="H169" t="s">
        <v>661</v>
      </c>
      <c r="I169">
        <v>2019</v>
      </c>
      <c r="J169" t="s">
        <v>650</v>
      </c>
      <c r="K169" s="173">
        <f>IFERROR(IF(AND(-'Key inputs_Refineries'!E60/SUM('Key inputs_Refineries'!E$18:E$24,-'Key inputs_Refineries'!E$60)&gt;0,-'Key inputs_Refineries'!E60/SUM('Key inputs_Refineries'!E$18:E$24,-'Key inputs_Refineries'!E$60)&lt;0.001),0.001,-'Key inputs_Refineries'!E60/SUM('Key inputs_Refineries'!E$18:E$24,-'Key inputs_Refineries'!E$60)),"")</f>
        <v>1.632947131343546E-2</v>
      </c>
      <c r="L169" s="173">
        <f>IFERROR(IF(AND(-'Key inputs_Refineries'!F60/SUM('Key inputs_Refineries'!F$18:F$24,-'Key inputs_Refineries'!F$60)&gt;0,-'Key inputs_Refineries'!F60/SUM('Key inputs_Refineries'!F$18:F$24,-'Key inputs_Refineries'!F$60)&lt;0.001),0.001,-'Key inputs_Refineries'!F60/SUM('Key inputs_Refineries'!F$18:F$24,-'Key inputs_Refineries'!F$60)),"")</f>
        <v>7.4138255946316553E-3</v>
      </c>
      <c r="M169" s="173">
        <f>IFERROR(IF(AND(-'Key inputs_Refineries'!G60/SUM('Key inputs_Refineries'!G$18:G$24,-'Key inputs_Refineries'!G$60)&gt;0,-'Key inputs_Refineries'!G60/SUM('Key inputs_Refineries'!G$18:G$24,-'Key inputs_Refineries'!G$60)&lt;0.001),0.001,-'Key inputs_Refineries'!G60/SUM('Key inputs_Refineries'!G$18:G$24,-'Key inputs_Refineries'!G$60)),"")</f>
        <v>1.0668121819181177E-2</v>
      </c>
      <c r="N169" s="173">
        <f>IFERROR(IF(AND(-'Key inputs_Refineries'!H60/SUM('Key inputs_Refineries'!H$18:H$24,-'Key inputs_Refineries'!H$60)&gt;0,-'Key inputs_Refineries'!H60/SUM('Key inputs_Refineries'!H$18:H$24,-'Key inputs_Refineries'!H$60)&lt;0.001),0.001,-'Key inputs_Refineries'!H60/SUM('Key inputs_Refineries'!H$18:H$24,-'Key inputs_Refineries'!H$60)),"")</f>
        <v>1.3752135226987401E-2</v>
      </c>
      <c r="O169" s="173">
        <f>IFERROR(IF(AND(-'Key inputs_Refineries'!I60/SUM('Key inputs_Refineries'!I$18:I$24,-'Key inputs_Refineries'!I$60)&gt;0,-'Key inputs_Refineries'!I60/SUM('Key inputs_Refineries'!I$18:I$24,-'Key inputs_Refineries'!I$60)&lt;0.001),0.001,-'Key inputs_Refineries'!I60/SUM('Key inputs_Refineries'!I$18:I$24,-'Key inputs_Refineries'!I$60)),"")</f>
        <v>1.1181797560784936E-2</v>
      </c>
      <c r="P169" s="173">
        <f>IFERROR(IF(AND(-'Key inputs_Refineries'!J60/SUM('Key inputs_Refineries'!J$18:J$24,-'Key inputs_Refineries'!J$60)&gt;0,-'Key inputs_Refineries'!J60/SUM('Key inputs_Refineries'!J$18:J$24,-'Key inputs_Refineries'!J$60)&lt;0.001),0.001,-'Key inputs_Refineries'!J60/SUM('Key inputs_Refineries'!J$18:J$24,-'Key inputs_Refineries'!J$60)),"")</f>
        <v>2.2203909981370847E-2</v>
      </c>
      <c r="Q169" s="173">
        <f>IFERROR(IF(AND(-'Key inputs_Refineries'!K60/SUM('Key inputs_Refineries'!K$18:K$24,-'Key inputs_Refineries'!K$60)&gt;0,-'Key inputs_Refineries'!K60/SUM('Key inputs_Refineries'!K$18:K$24,-'Key inputs_Refineries'!K$60)&lt;0.001),0.001,-'Key inputs_Refineries'!K60/SUM('Key inputs_Refineries'!K$18:K$24,-'Key inputs_Refineries'!K$60)),"")</f>
        <v>2.6831515521719102E-2</v>
      </c>
      <c r="R169" s="173">
        <f>IFERROR(IF(AND(-'Key inputs_Refineries'!L60/SUM('Key inputs_Refineries'!L$18:L$24,-'Key inputs_Refineries'!L$60)&gt;0,-'Key inputs_Refineries'!L60/SUM('Key inputs_Refineries'!L$18:L$24,-'Key inputs_Refineries'!L$60)&lt;0.001),0.001,-'Key inputs_Refineries'!L60/SUM('Key inputs_Refineries'!L$18:L$24,-'Key inputs_Refineries'!L$60)),"")</f>
        <v>2.884101657038227E-2</v>
      </c>
      <c r="S169" s="173">
        <f>IFERROR(IF(AND(-'Key inputs_Refineries'!M60/SUM('Key inputs_Refineries'!M$18:M$24,-'Key inputs_Refineries'!M$60)&gt;0,-'Key inputs_Refineries'!M60/SUM('Key inputs_Refineries'!M$18:M$24,-'Key inputs_Refineries'!M$60)&lt;0.001),0.001,-'Key inputs_Refineries'!M60/SUM('Key inputs_Refineries'!M$18:M$24,-'Key inputs_Refineries'!M$60)),"")</f>
        <v>6.3654066451918657E-3</v>
      </c>
      <c r="T169" s="173">
        <f>IFERROR(IF(AND(-'Key inputs_Refineries'!N60/SUM('Key inputs_Refineries'!N$18:N$24,-'Key inputs_Refineries'!N$60)&gt;0,-'Key inputs_Refineries'!N60/SUM('Key inputs_Refineries'!N$18:N$24,-'Key inputs_Refineries'!N$60)&lt;0.001),0.001,-'Key inputs_Refineries'!N60/SUM('Key inputs_Refineries'!N$18:N$24,-'Key inputs_Refineries'!N$60)),"")</f>
        <v>2.4874683878411876E-2</v>
      </c>
      <c r="U169" s="173">
        <f>IFERROR(IF(AND(-'Key inputs_Refineries'!O60/SUM('Key inputs_Refineries'!O$18:O$24,-'Key inputs_Refineries'!O$60)&gt;0,-'Key inputs_Refineries'!O60/SUM('Key inputs_Refineries'!O$18:O$24,-'Key inputs_Refineries'!O$60)&lt;0.001),0.001,-'Key inputs_Refineries'!O60/SUM('Key inputs_Refineries'!O$18:O$24,-'Key inputs_Refineries'!O$60)),"")</f>
        <v>6.8292825727423248E-3</v>
      </c>
      <c r="V169" s="173">
        <f>IFERROR(IF(AND(-'Key inputs_Refineries'!P60/SUM('Key inputs_Refineries'!P$18:P$24,-'Key inputs_Refineries'!P$60)&gt;0,-'Key inputs_Refineries'!P60/SUM('Key inputs_Refineries'!P$18:P$24,-'Key inputs_Refineries'!P$60)&lt;0.001),0.001,-'Key inputs_Refineries'!P60/SUM('Key inputs_Refineries'!P$18:P$24,-'Key inputs_Refineries'!P$60)),"")</f>
        <v>2.8615265451716242E-2</v>
      </c>
      <c r="W169" s="173">
        <f>IFERROR(IF(AND(-'Key inputs_Refineries'!Q60/SUM('Key inputs_Refineries'!Q$18:Q$24,-'Key inputs_Refineries'!Q$60)&gt;0,-'Key inputs_Refineries'!Q60/SUM('Key inputs_Refineries'!Q$18:Q$24,-'Key inputs_Refineries'!Q$60)&lt;0.001),0.001,-'Key inputs_Refineries'!Q60/SUM('Key inputs_Refineries'!Q$18:Q$24,-'Key inputs_Refineries'!Q$60)),"")</f>
        <v>1.7958120155026323E-2</v>
      </c>
      <c r="X169" s="173">
        <f>IFERROR(IF(AND(-'Key inputs_Refineries'!R60/SUM('Key inputs_Refineries'!R$18:R$24,-'Key inputs_Refineries'!R$60)&gt;0,-'Key inputs_Refineries'!R60/SUM('Key inputs_Refineries'!R$18:R$24,-'Key inputs_Refineries'!R$60)&lt;0.001),0.001,-'Key inputs_Refineries'!R60/SUM('Key inputs_Refineries'!R$18:R$24,-'Key inputs_Refineries'!R$60)),"")</f>
        <v>1.8274164054757566E-2</v>
      </c>
      <c r="Y169" s="173">
        <f>IFERROR(IF(AND(-'Key inputs_Refineries'!S60/SUM('Key inputs_Refineries'!S$18:S$24,-'Key inputs_Refineries'!S$60)&gt;0,-'Key inputs_Refineries'!S60/SUM('Key inputs_Refineries'!S$18:S$24,-'Key inputs_Refineries'!S$60)&lt;0.001),0.001,-'Key inputs_Refineries'!S60/SUM('Key inputs_Refineries'!S$18:S$24,-'Key inputs_Refineries'!S$60)),"")</f>
        <v>9.3332909817206607E-3</v>
      </c>
      <c r="Z169" s="173">
        <f>IFERROR(IF(AND(-'Key inputs_Refineries'!T60/SUM('Key inputs_Refineries'!T$18:T$24,-'Key inputs_Refineries'!T$60)&gt;0,-'Key inputs_Refineries'!T60/SUM('Key inputs_Refineries'!T$18:T$24,-'Key inputs_Refineries'!T$60)&lt;0.001),0.001,-'Key inputs_Refineries'!T60/SUM('Key inputs_Refineries'!T$18:T$24,-'Key inputs_Refineries'!T$60)),"")</f>
        <v>9.3603962949059052E-3</v>
      </c>
      <c r="AA169" s="173">
        <f>IFERROR(IF(AND(-'Key inputs_Refineries'!U60/SUM('Key inputs_Refineries'!U$18:U$24,-'Key inputs_Refineries'!U$60)&gt;0,-'Key inputs_Refineries'!U60/SUM('Key inputs_Refineries'!U$18:U$24,-'Key inputs_Refineries'!U$60)&lt;0.001),0.001,-'Key inputs_Refineries'!U60/SUM('Key inputs_Refineries'!U$18:U$24,-'Key inputs_Refineries'!U$60)),"")</f>
        <v>1.4618993273688707E-2</v>
      </c>
      <c r="AB169" s="173">
        <f>IFERROR(IF(AND(-'Key inputs_Refineries'!V60/SUM('Key inputs_Refineries'!V$18:V$24,-'Key inputs_Refineries'!V$60)&gt;0,-'Key inputs_Refineries'!V60/SUM('Key inputs_Refineries'!V$18:V$24,-'Key inputs_Refineries'!V$60)&lt;0.001),0.001,-'Key inputs_Refineries'!V60/SUM('Key inputs_Refineries'!V$18:V$24,-'Key inputs_Refineries'!V$60)),"")</f>
        <v>3.0043420316138589E-2</v>
      </c>
      <c r="AC169" s="173">
        <f>IFERROR(IF(AND(-'Key inputs_Refineries'!W60/SUM('Key inputs_Refineries'!W$18:W$24,-'Key inputs_Refineries'!W$60)&gt;0,-'Key inputs_Refineries'!W60/SUM('Key inputs_Refineries'!W$18:W$24,-'Key inputs_Refineries'!W$60)&lt;0.001),0.001,-'Key inputs_Refineries'!W60/SUM('Key inputs_Refineries'!W$18:W$24,-'Key inputs_Refineries'!W$60)),"")</f>
        <v>2.7320640734416136E-2</v>
      </c>
      <c r="AD169" s="173">
        <f>IFERROR(IF(AND(-'Key inputs_Refineries'!X60/SUM('Key inputs_Refineries'!X$18:X$24,-'Key inputs_Refineries'!X$60)&gt;0,-'Key inputs_Refineries'!X60/SUM('Key inputs_Refineries'!X$18:X$24,-'Key inputs_Refineries'!X$60)&lt;0.001),0.001,-'Key inputs_Refineries'!X60/SUM('Key inputs_Refineries'!X$18:X$24,-'Key inputs_Refineries'!X$60)),"")</f>
        <v>2.7314355308626598E-2</v>
      </c>
      <c r="AE169" s="173">
        <f>IFERROR(IF(AND(-'Key inputs_Refineries'!Y60/SUM('Key inputs_Refineries'!Y$18:Y$24,-'Key inputs_Refineries'!Y$60)&gt;0,-'Key inputs_Refineries'!Y60/SUM('Key inputs_Refineries'!Y$18:Y$24,-'Key inputs_Refineries'!Y$60)&lt;0.001),0.001,-'Key inputs_Refineries'!Y60/SUM('Key inputs_Refineries'!Y$18:Y$24,-'Key inputs_Refineries'!Y$60)),"")</f>
        <v>9.3183509759017201E-3</v>
      </c>
      <c r="AF169" s="173">
        <f>IFERROR(IF(AND(-'Key inputs_Refineries'!Z60/SUM('Key inputs_Refineries'!Z$18:Z$24,-'Key inputs_Refineries'!Z$60)&gt;0,-'Key inputs_Refineries'!Z60/SUM('Key inputs_Refineries'!Z$18:Z$24,-'Key inputs_Refineries'!Z$60)&lt;0.001),0.001,-'Key inputs_Refineries'!Z60/SUM('Key inputs_Refineries'!Z$18:Z$24,-'Key inputs_Refineries'!Z$60)),"")</f>
        <v>1.446534569862133E-2</v>
      </c>
      <c r="AG169" s="173">
        <f>IFERROR(IF(AND(-'Key inputs_Refineries'!AA60/SUM('Key inputs_Refineries'!AA$18:AA$24,-'Key inputs_Refineries'!AA$60)&gt;0,-'Key inputs_Refineries'!AA60/SUM('Key inputs_Refineries'!AA$18:AA$24,-'Key inputs_Refineries'!AA$60)&lt;0.001),0.001,-'Key inputs_Refineries'!AA60/SUM('Key inputs_Refineries'!AA$18:AA$24,-'Key inputs_Refineries'!AA$60)),"")</f>
        <v>2.3228380747956547E-2</v>
      </c>
      <c r="AH169" s="173">
        <f>IFERROR(IF(AND(-'Key inputs_Refineries'!AB60/SUM('Key inputs_Refineries'!AB$18:AB$24,-'Key inputs_Refineries'!AB$60)&gt;0,-'Key inputs_Refineries'!AB60/SUM('Key inputs_Refineries'!AB$18:AB$24,-'Key inputs_Refineries'!AB$60)&lt;0.001),0.001,-'Key inputs_Refineries'!AB60/SUM('Key inputs_Refineries'!AB$18:AB$24,-'Key inputs_Refineries'!AB$60)),"")</f>
        <v>1.178361337309314E-2</v>
      </c>
      <c r="AI169" s="173">
        <f>IFERROR(IF(AND(-'Key inputs_Refineries'!AC60/SUM('Key inputs_Refineries'!AC$18:AC$24,-'Key inputs_Refineries'!AC$60)&gt;0,-'Key inputs_Refineries'!AC60/SUM('Key inputs_Refineries'!AC$18:AC$24,-'Key inputs_Refineries'!AC$60)&lt;0.001),0.001,-'Key inputs_Refineries'!AC60/SUM('Key inputs_Refineries'!AC$18:AC$24,-'Key inputs_Refineries'!AC$60)),"")</f>
        <v>7.6084718349932459E-3</v>
      </c>
      <c r="AJ169" s="173">
        <f>IFERROR(IF(AND(-'Key inputs_Refineries'!AD60/SUM('Key inputs_Refineries'!AD$18:AD$24,-'Key inputs_Refineries'!AD$60)&gt;0,-'Key inputs_Refineries'!AD60/SUM('Key inputs_Refineries'!AD$18:AD$24,-'Key inputs_Refineries'!AD$60)&lt;0.001),0.001,-'Key inputs_Refineries'!AD60/SUM('Key inputs_Refineries'!AD$18:AD$24,-'Key inputs_Refineries'!AD$60)),"")</f>
        <v>1.3364889392954169E-2</v>
      </c>
      <c r="AK169" s="173">
        <f>IFERROR(IF(AND(-'Key inputs_Refineries'!AE60/SUM('Key inputs_Refineries'!AE$18:AE$24,-'Key inputs_Refineries'!AE$60)&gt;0,-'Key inputs_Refineries'!AE60/SUM('Key inputs_Refineries'!AE$18:AE$24,-'Key inputs_Refineries'!AE$60)&lt;0.001),0.001,-'Key inputs_Refineries'!AE60/SUM('Key inputs_Refineries'!AE$18:AE$24,-'Key inputs_Refineries'!AE$60)),"")</f>
        <v>2.7771824382201798E-2</v>
      </c>
      <c r="AL169" s="173">
        <f>IFERROR(IF(AND(-'Key inputs_Refineries'!AF60/SUM('Key inputs_Refineries'!AF$18:AF$24,-'Key inputs_Refineries'!AF$60)&gt;0,-'Key inputs_Refineries'!AF60/SUM('Key inputs_Refineries'!AF$18:AF$24,-'Key inputs_Refineries'!AF$60)&lt;0.001),0.001,-'Key inputs_Refineries'!AF60/SUM('Key inputs_Refineries'!AF$18:AF$24,-'Key inputs_Refineries'!AF$60)),"")</f>
        <v>1.3540637115905422E-2</v>
      </c>
    </row>
    <row r="170" spans="1:38">
      <c r="C170" t="str">
        <f>Commodities!$C$104</f>
        <v>UREFBOI</v>
      </c>
      <c r="G170" s="4" t="s">
        <v>690</v>
      </c>
      <c r="J170" t="s">
        <v>2668</v>
      </c>
      <c r="K170" s="173">
        <f>EnergyServices!K108/(K$151*K$141*K$143)</f>
        <v>1.692748512232753E-3</v>
      </c>
      <c r="L170" s="173">
        <f>EnergyServices!L108/(L$151*L$141*L$143)</f>
        <v>3.3037460242976036E-3</v>
      </c>
      <c r="M170" s="173">
        <f>EnergyServices!M108/(M$151*M$141*M$143)</f>
        <v>3.0811668588983012E-3</v>
      </c>
      <c r="N170" s="173">
        <f>EnergyServices!N108/(N$151*N$141*N$143)</f>
        <v>1.8059558965093379E-4</v>
      </c>
      <c r="O170" s="173">
        <f>EnergyServices!O108/(O$151*O$141*O$143)</f>
        <v>7.4818052096809898E-3</v>
      </c>
      <c r="P170" s="173">
        <f>EnergyServices!P108/(P$151*P$141*P$143)</f>
        <v>3.6371807905773842E-3</v>
      </c>
      <c r="Q170" s="173">
        <f>EnergyServices!Q108/(Q$151*Q$141*Q$143)</f>
        <v>5.3599485752908694E-3</v>
      </c>
      <c r="R170" s="173">
        <f>EnergyServices!R108/(R$151*R$141*R$143)</f>
        <v>1.720494753488675E-3</v>
      </c>
      <c r="S170" s="173">
        <f>EnergyServices!S108/(S$151*S$141*S$143)</f>
        <v>4.6034265011576361E-3</v>
      </c>
      <c r="T170" s="173">
        <f>EnergyServices!T108/(T$151*T$141*T$143)</f>
        <v>5.4049916887883567E-3</v>
      </c>
      <c r="U170" s="173">
        <f>EnergyServices!U108/(U$151*U$141*U$143)</f>
        <v>1.0057778830974305E-2</v>
      </c>
      <c r="V170" s="173">
        <f>EnergyServices!V108/(V$151*V$141*V$143)</f>
        <v>2.7782342429587444E-2</v>
      </c>
      <c r="W170" s="173">
        <f>EnergyServices!W108/(W$151*W$141*W$143)</f>
        <v>1.7059766061717007E-2</v>
      </c>
      <c r="X170" s="173">
        <f>EnergyServices!X108/(X$151*X$141*X$143)</f>
        <v>8.6030046618912233E-3</v>
      </c>
      <c r="Y170" s="173">
        <f>EnergyServices!Y108/(Y$151*Y$141*Y$143)</f>
        <v>1.1201123384325305E-2</v>
      </c>
      <c r="Z170" s="173">
        <f>EnergyServices!Z108/(Z$151*Z$141*Z$143)</f>
        <v>1.5424536570591186E-2</v>
      </c>
      <c r="AA170" s="173">
        <f>EnergyServices!AA108/(AA$151*AA$141*AA$143)</f>
        <v>1.2804699299332076E-2</v>
      </c>
      <c r="AB170" s="173">
        <f>EnergyServices!AB108/(AB$151*AB$141*AB$143)</f>
        <v>1.4753207143107643E-2</v>
      </c>
      <c r="AC170" s="173">
        <f>EnergyServices!AC108/(AC$151*AC$141*AC$143)</f>
        <v>2.0501807471145661E-2</v>
      </c>
      <c r="AD170" s="173">
        <f>EnergyServices!AD108/(AD$151*AD$141*AD$143)</f>
        <v>1.168698724208591E-2</v>
      </c>
      <c r="AE170" s="173">
        <f>EnergyServices!AE108/(AE$151*AE$141*AE$143)</f>
        <v>1.5854920173403102E-2</v>
      </c>
      <c r="AF170" s="173">
        <f>EnergyServices!AF108/(AF$151*AF$141*AF$143)</f>
        <v>1.3653503913084238E-2</v>
      </c>
      <c r="AG170" s="173">
        <f>EnergyServices!AG108/(AG$151*AG$141*AG$143)</f>
        <v>6.6930294975519455E-3</v>
      </c>
      <c r="AH170" s="173">
        <f>EnergyServices!AH108/(AH$151*AH$141*AH$143)</f>
        <v>4.9260126894389134E-2</v>
      </c>
      <c r="AI170" s="173">
        <f>EnergyServices!AI108/(AI$151*AI$141*AI$143)</f>
        <v>1.3248881920759998E-2</v>
      </c>
      <c r="AJ170" s="173">
        <f>EnergyServices!AJ108/(AJ$151*AJ$141*AJ$143)</f>
        <v>9.5387673444928978E-3</v>
      </c>
      <c r="AK170" s="173">
        <f>EnergyServices!AK108/(AK$151*AK$141*AK$143)</f>
        <v>8.9713039812788949E-3</v>
      </c>
      <c r="AL170" s="173">
        <f>EnergyServices!AL108/(AL$151*AL$141*AL$143)</f>
        <v>7.4060144207416375E-3</v>
      </c>
    </row>
    <row r="171" spans="1:38">
      <c r="C171" t="str">
        <f>Commodities!$C$105</f>
        <v>UREFHET</v>
      </c>
      <c r="G171" s="4" t="s">
        <v>690</v>
      </c>
      <c r="J171" t="s">
        <v>2668</v>
      </c>
      <c r="K171" s="173">
        <f>EnergyServices!K207/(K$151*K$141*K$143)</f>
        <v>3.3854970244655059E-3</v>
      </c>
      <c r="L171" s="173">
        <f>EnergyServices!L207/(L$151*L$141*L$143)</f>
        <v>6.6165585986097892E-3</v>
      </c>
      <c r="M171" s="173">
        <f>EnergyServices!M207/(M$151*M$141*M$143)</f>
        <v>6.1625196303339057E-3</v>
      </c>
      <c r="N171" s="173">
        <f>EnergyServices!N207/(N$151*N$141*N$143)</f>
        <v>6.320845637782682E-4</v>
      </c>
      <c r="O171" s="173">
        <f>EnergyServices!O207/(O$151*O$141*O$143)</f>
        <v>1.5011424658946051E-2</v>
      </c>
      <c r="P171" s="173">
        <f>EnergyServices!P207/(P$151*P$141*P$143)</f>
        <v>7.3014741894573115E-3</v>
      </c>
      <c r="Q171" s="173">
        <f>EnergyServices!Q207/(Q$151*Q$141*Q$143)</f>
        <v>1.0719897150581739E-2</v>
      </c>
      <c r="R171" s="173">
        <f>EnergyServices!R207/(R$151*R$141*R$143)</f>
        <v>3.4409895069773501E-3</v>
      </c>
      <c r="S171" s="173">
        <f>EnergyServices!S207/(S$151*S$141*S$143)</f>
        <v>9.2517601743019942E-3</v>
      </c>
      <c r="T171" s="173">
        <f>EnergyServices!T207/(T$151*T$141*T$143)</f>
        <v>1.088533350347431E-2</v>
      </c>
      <c r="U171" s="173">
        <f>EnergyServices!U207/(U$151*U$141*U$143)</f>
        <v>2.0178212605805292E-2</v>
      </c>
      <c r="V171" s="173">
        <f>EnergyServices!V207/(V$151*V$141*V$143)</f>
        <v>5.5730697308937822E-2</v>
      </c>
      <c r="W171" s="173">
        <f>EnergyServices!W207/(W$151*W$141*W$143)</f>
        <v>3.4227757932473353E-2</v>
      </c>
      <c r="X171" s="173">
        <f>EnergyServices!X207/(X$151*X$141*X$143)</f>
        <v>1.726773097325392E-2</v>
      </c>
      <c r="Y171" s="173">
        <f>EnergyServices!Y207/(Y$151*Y$141*Y$143)</f>
        <v>2.2479949666364168E-2</v>
      </c>
      <c r="Z171" s="173">
        <f>EnergyServices!Z207/(Z$151*Z$141*Z$143)</f>
        <v>3.0911567804308031E-2</v>
      </c>
      <c r="AA171" s="173">
        <f>EnergyServices!AA207/(AA$151*AA$141*AA$143)</f>
        <v>2.5664182906115888E-2</v>
      </c>
      <c r="AB171" s="173">
        <f>EnergyServices!AB207/(AB$151*AB$141*AB$143)</f>
        <v>2.9506414286215286E-2</v>
      </c>
      <c r="AC171" s="173">
        <f>EnergyServices!AC207/(AC$151*AC$141*AC$143)</f>
        <v>4.1026137280831737E-2</v>
      </c>
      <c r="AD171" s="173">
        <f>EnergyServices!AD207/(AD$151*AD$141*AD$143)</f>
        <v>2.3440130252094717E-2</v>
      </c>
      <c r="AE171" s="173">
        <f>EnergyServices!AE207/(AE$151*AE$141*AE$143)</f>
        <v>3.1742365472821547E-2</v>
      </c>
      <c r="AF171" s="173">
        <f>EnergyServices!AF207/(AF$151*AF$141*AF$143)</f>
        <v>2.7368272156356677E-2</v>
      </c>
      <c r="AG171" s="173">
        <f>EnergyServices!AG207/(AG$151*AG$141*AG$143)</f>
        <v>1.3419408079528043E-2</v>
      </c>
      <c r="AH171" s="173">
        <f>EnergyServices!AH207/(AH$151*AH$141*AH$143)</f>
        <v>9.8564211655315953E-2</v>
      </c>
      <c r="AI171" s="173">
        <f>EnergyServices!AI207/(AI$151*AI$141*AI$143)</f>
        <v>2.6497763841519997E-2</v>
      </c>
      <c r="AJ171" s="173">
        <f>EnergyServices!AJ207/(AJ$151*AJ$141*AJ$143)</f>
        <v>1.9183642112529598E-2</v>
      </c>
      <c r="AK171" s="173">
        <f>EnergyServices!AK207/(AK$151*AK$141*AK$143)</f>
        <v>1.8041500223384584E-2</v>
      </c>
      <c r="AL171" s="173">
        <f>EnergyServices!AL207/(AL$151*AL$141*AL$143)</f>
        <v>1.4882256447028848E-2</v>
      </c>
    </row>
    <row r="172" spans="1:38">
      <c r="C172" t="str">
        <f>Commodities!$C$106</f>
        <v>UREFOTH</v>
      </c>
      <c r="G172" s="4" t="s">
        <v>690</v>
      </c>
      <c r="J172" t="s">
        <v>2668</v>
      </c>
      <c r="K172" s="173">
        <f>EnergyServices!K306/(K$151*K$141*K$143)</f>
        <v>1.5869517302182041E-4</v>
      </c>
      <c r="L172" s="173">
        <f>EnergyServices!L306/(L$151*L$141*L$143)</f>
        <v>8.4408598126233729E-4</v>
      </c>
      <c r="M172" s="173">
        <f>EnergyServices!M306/(M$151*M$141*M$143)</f>
        <v>2.9981661318897123E-4</v>
      </c>
      <c r="N172" s="173">
        <f>EnergyServices!N306/(N$151*N$141*N$143)</f>
        <v>1.598270968410764E-2</v>
      </c>
      <c r="O172" s="173">
        <f>EnergyServices!O306/(O$151*O$141*O$143)</f>
        <v>3.5194709838939466E-3</v>
      </c>
      <c r="P172" s="173">
        <f>EnergyServices!P306/(P$151*P$141*P$143)</f>
        <v>1.9389350509477746E-3</v>
      </c>
      <c r="Q172" s="173">
        <f>EnergyServices!Q306/(Q$151*Q$141*Q$143)</f>
        <v>5.0249517893351855E-4</v>
      </c>
      <c r="R172" s="173">
        <f>EnergyServices!R306/(R$151*R$141*R$143)</f>
        <v>1.6129638313956313E-4</v>
      </c>
      <c r="S172" s="173">
        <f>EnergyServices!S306/(S$151*S$141*S$143)</f>
        <v>3.0782876834510166E-3</v>
      </c>
      <c r="T172" s="173">
        <f>EnergyServices!T306/(T$151*T$141*T$143)</f>
        <v>4.947666015913503E-3</v>
      </c>
      <c r="U172" s="173">
        <f>EnergyServices!U306/(U$151*U$141*U$143)</f>
        <v>4.6356425189569951E-3</v>
      </c>
      <c r="V172" s="173">
        <f>EnergyServices!V306/(V$151*V$141*V$143)</f>
        <v>1.2388953360676847E-2</v>
      </c>
      <c r="W172" s="173">
        <f>EnergyServices!W306/(W$151*W$141*W$143)</f>
        <v>7.9779116885423124E-3</v>
      </c>
      <c r="X172" s="173">
        <f>EnergyServices!X306/(X$151*X$141*X$143)</f>
        <v>4.4442514027774604E-3</v>
      </c>
      <c r="Y172" s="173">
        <f>EnergyServices!Y306/(Y$151*Y$141*Y$143)</f>
        <v>5.6297198512734415E-3</v>
      </c>
      <c r="Z172" s="173">
        <f>EnergyServices!Z306/(Z$151*Z$141*Z$143)</f>
        <v>5.1293295114614333E-3</v>
      </c>
      <c r="AA172" s="173">
        <f>EnergyServices!AA306/(AA$151*AA$141*AA$143)</f>
        <v>4.4292906797486166E-3</v>
      </c>
      <c r="AB172" s="173">
        <f>EnergyServices!AB306/(AB$151*AB$141*AB$143)</f>
        <v>1.3831131696663403E-3</v>
      </c>
      <c r="AC172" s="173">
        <f>EnergyServices!AC306/(AC$151*AC$141*AC$143)</f>
        <v>3.2494547781460846E-3</v>
      </c>
      <c r="AD172" s="173">
        <f>EnergyServices!AD306/(AD$151*AD$141*AD$143)</f>
        <v>4.9947106259012218E-3</v>
      </c>
      <c r="AE172" s="173">
        <f>EnergyServices!AE306/(AE$151*AE$141*AE$143)</f>
        <v>3.4033483807859337E-3</v>
      </c>
      <c r="AF172" s="173">
        <f>EnergyServices!AF306/(AF$151*AF$141*AF$143)</f>
        <v>4.8907824523186831E-3</v>
      </c>
      <c r="AG172" s="173">
        <f>EnergyServices!AG306/(AG$151*AG$141*AG$143)</f>
        <v>2.5929831786437904E-3</v>
      </c>
      <c r="AH172" s="173">
        <f>EnergyServices!AH306/(AH$151*AH$141*AH$143)</f>
        <v>7.208903655413863E-3</v>
      </c>
      <c r="AI172" s="173">
        <f>EnergyServices!AI306/(AI$151*AI$141*AI$143)</f>
        <v>1.2420826800712487E-3</v>
      </c>
      <c r="AJ172" s="173">
        <f>EnergyServices!AJ306/(AJ$151*AJ$141*AJ$143)</f>
        <v>7.1479657136590997E-3</v>
      </c>
      <c r="AK172" s="173">
        <f>EnergyServices!AK306/(AK$151*AK$141*AK$143)</f>
        <v>6.6695223707241803E-3</v>
      </c>
      <c r="AL172" s="173">
        <f>EnergyServices!AL306/(AL$151*AL$141*AL$143)</f>
        <v>4.8333533537865516E-3</v>
      </c>
    </row>
    <row r="173" spans="1:38">
      <c r="C173" t="str">
        <f>Commodities!$C$107</f>
        <v>UREFHVA</v>
      </c>
      <c r="G173" s="4" t="s">
        <v>690</v>
      </c>
      <c r="J173" t="s">
        <v>2668</v>
      </c>
      <c r="K173" s="173">
        <f>EnergyServices!K405/(K$151*K$141*K$143)</f>
        <v>5.289839100727353E-5</v>
      </c>
      <c r="L173" s="173">
        <f>EnergyServices!L405/(L$151*L$141*L$143)</f>
        <v>1.4536374353537983E-4</v>
      </c>
      <c r="M173" s="173">
        <f>EnergyServices!M405/(M$151*M$141*M$143)</f>
        <v>9.7150183003455641E-5</v>
      </c>
      <c r="N173" s="173">
        <f>EnergyServices!N405/(N$151*N$141*N$143)</f>
        <v>1.2641691275565364E-3</v>
      </c>
      <c r="O173" s="173">
        <f>EnergyServices!O405/(O$151*O$141*O$143)</f>
        <v>4.5594340087020752E-4</v>
      </c>
      <c r="P173" s="173">
        <f>EnergyServices!P405/(P$151*P$141*P$143)</f>
        <v>2.3962255911110899E-4</v>
      </c>
      <c r="Q173" s="173">
        <f>EnergyServices!Q405/(Q$151*Q$141*Q$143)</f>
        <v>1.6749839297783967E-4</v>
      </c>
      <c r="R173" s="173">
        <f>EnergyServices!R405/(R$151*R$141*R$143)</f>
        <v>5.3765461046521095E-5</v>
      </c>
      <c r="S173" s="173">
        <f>EnergyServices!S405/(S$151*S$141*S$143)</f>
        <v>3.5248831468282686E-4</v>
      </c>
      <c r="T173" s="173">
        <f>EnergyServices!T405/(T$151*T$141*T$143)</f>
        <v>5.1897011684055329E-4</v>
      </c>
      <c r="U173" s="173">
        <f>EnergyServices!U405/(U$151*U$141*U$143)</f>
        <v>6.0539001513544566E-4</v>
      </c>
      <c r="V173" s="173">
        <f>EnergyServices!V405/(V$151*V$141*V$143)</f>
        <v>1.6394643737815799E-3</v>
      </c>
      <c r="W173" s="173">
        <f>EnergyServices!W405/(W$151*W$141*W$143)</f>
        <v>1.0359167605906094E-3</v>
      </c>
      <c r="X173" s="173">
        <f>EnergyServices!X405/(X$151*X$141*X$143)</f>
        <v>5.5559239218700308E-4</v>
      </c>
      <c r="Y173" s="173">
        <f>EnergyServices!Y405/(Y$151*Y$141*Y$143)</f>
        <v>7.1102981805441356E-4</v>
      </c>
      <c r="Z173" s="173">
        <f>EnergyServices!Z405/(Z$151*Z$141*Z$143)</f>
        <v>7.7235655693559733E-4</v>
      </c>
      <c r="AA173" s="173">
        <f>EnergyServices!AA405/(AA$151*AA$141*AA$143)</f>
        <v>6.5466561480694843E-4</v>
      </c>
      <c r="AB173" s="173">
        <f>EnergyServices!AB405/(AB$151*AB$141*AB$143)</f>
        <v>4.6103772322211384E-4</v>
      </c>
      <c r="AC173" s="173">
        <f>EnergyServices!AC405/(AC$151*AC$141*AC$143)</f>
        <v>7.4531651460901707E-4</v>
      </c>
      <c r="AD173" s="173">
        <f>EnergyServices!AD405/(AD$151*AD$141*AD$143)</f>
        <v>6.7256702312363799E-4</v>
      </c>
      <c r="AE173" s="173">
        <f>EnergyServices!AE405/(AE$151*AE$141*AE$143)</f>
        <v>6.4657257003180376E-4</v>
      </c>
      <c r="AF173" s="173">
        <f>EnergyServices!AF405/(AF$151*AF$141*AF$143)</f>
        <v>7.1129586461656164E-4</v>
      </c>
      <c r="AG173" s="173">
        <f>EnergyServices!AG405/(AG$151*AG$141*AG$143)</f>
        <v>3.6409145985235838E-4</v>
      </c>
      <c r="AH173" s="173">
        <f>EnergyServices!AH405/(AH$151*AH$141*AH$143)</f>
        <v>1.7435998870726614E-3</v>
      </c>
      <c r="AI173" s="173">
        <f>EnergyServices!AI405/(AI$151*AI$141*AI$143)</f>
        <v>4.1402756002374995E-4</v>
      </c>
      <c r="AJ173" s="173">
        <f>EnergyServices!AJ405/(AJ$151*AJ$141*AJ$143)</f>
        <v>7.9104388472932133E-4</v>
      </c>
      <c r="AK173" s="173">
        <f>EnergyServices!AK405/(AK$151*AK$141*AK$143)</f>
        <v>7.3979021117278818E-4</v>
      </c>
      <c r="AL173" s="173">
        <f>EnergyServices!AL405/(AL$151*AL$141*AL$143)</f>
        <v>5.5770370141196941E-4</v>
      </c>
    </row>
    <row r="174" spans="1:38" ht="16.2" thickBot="1">
      <c r="A174" s="405"/>
      <c r="B174" s="405"/>
      <c r="C174" s="405" t="str">
        <f>Commodities!$C$102</f>
        <v>UPSH2G</v>
      </c>
      <c r="D174" s="405"/>
      <c r="E174" s="405"/>
      <c r="F174" s="405"/>
      <c r="G174" s="406" t="s">
        <v>690</v>
      </c>
      <c r="H174" s="405"/>
      <c r="I174" s="405"/>
      <c r="J174" s="405" t="s">
        <v>2668</v>
      </c>
      <c r="K174" s="407">
        <f>-SUM('Key inputs_Refineries'!E$57)/(K$151*K$141*K$143)/10^3</f>
        <v>1.5498103869678898E-2</v>
      </c>
      <c r="L174" s="407">
        <f>-SUM('Key inputs_Refineries'!F$57)/(L$151*L$141*L$143)/10^3</f>
        <v>1.2142344225417387E-2</v>
      </c>
      <c r="M174" s="407">
        <f>-SUM('Key inputs_Refineries'!G$57)/(M$151*M$141*M$143)/10^3</f>
        <v>1.3558628661716017E-2</v>
      </c>
      <c r="N174" s="407">
        <f>-SUM('Key inputs_Refineries'!H$57)/(N$151*N$141*N$143)/10^3</f>
        <v>1.3946211839264011E-2</v>
      </c>
      <c r="O174" s="407">
        <f>-SUM('Key inputs_Refineries'!I$57)/(O$151*O$141*O$143)/10^3</f>
        <v>1.41447175668147E-2</v>
      </c>
      <c r="P174" s="407">
        <f>-SUM('Key inputs_Refineries'!J$57)/(P$151*P$141*P$143)/10^3</f>
        <v>2.4199137238803861E-2</v>
      </c>
      <c r="Q174" s="407">
        <f>-SUM('Key inputs_Refineries'!K$57)/(Q$151*Q$141*Q$143)/10^3</f>
        <v>2.6558363686155034E-2</v>
      </c>
      <c r="R174" s="407">
        <f>-SUM('Key inputs_Refineries'!L$57)/(R$151*R$141*R$143)/10^3</f>
        <v>2.7179898705734774E-2</v>
      </c>
      <c r="S174" s="407">
        <f>-SUM('Key inputs_Refineries'!M$57)/(S$151*S$141*S$143)/10^3</f>
        <v>1.4683969589361943E-2</v>
      </c>
      <c r="T174" s="407">
        <f>-SUM('Key inputs_Refineries'!N$57)/(T$151*T$141*T$143)/10^3</f>
        <v>3.0466867100362324E-2</v>
      </c>
      <c r="U174" s="407">
        <f>-SUM('Key inputs_Refineries'!O$57)/(U$151*U$141*U$143)/10^3</f>
        <v>1.5498103869678899E-2</v>
      </c>
      <c r="V174" s="407">
        <f>-SUM('Key inputs_Refineries'!P$57)/(V$151*V$141*V$143)/10^3</f>
        <v>3.2731654299927138E-2</v>
      </c>
      <c r="W174" s="407">
        <f>-SUM('Key inputs_Refineries'!Q$57)/(W$151*W$141*W$143)/10^3</f>
        <v>2.0774633392468864E-2</v>
      </c>
      <c r="X174" s="407">
        <f>-SUM('Key inputs_Refineries'!R$57)/(X$151*X$141*X$143)/10^3</f>
        <v>1.8621077289162964E-2</v>
      </c>
      <c r="Y174" s="407">
        <f>-SUM('Key inputs_Refineries'!S$57)/(Y$151*Y$141*Y$143)/10^3</f>
        <v>2.1583569571078917E-2</v>
      </c>
      <c r="Z174" s="407">
        <f>-SUM('Key inputs_Refineries'!T$57)/(Z$151*Z$141*Z$143)/10^3</f>
        <v>2.1660985340842532E-2</v>
      </c>
      <c r="AA174" s="407">
        <f>-SUM('Key inputs_Refineries'!U$57)/(AA$151*AA$141*AA$143)/10^3</f>
        <v>2.1199473921111281E-2</v>
      </c>
      <c r="AB174" s="407">
        <f>-SUM('Key inputs_Refineries'!V$57)/(AB$151*AB$141*AB$143)/10^3</f>
        <v>2.7909538184776712E-2</v>
      </c>
      <c r="AC174" s="407">
        <f>-SUM('Key inputs_Refineries'!W$57)/(AC$151*AC$141*AC$143)/10^3</f>
        <v>4.0065646360942168E-2</v>
      </c>
      <c r="AD174" s="407">
        <f>-SUM('Key inputs_Refineries'!X$57)/(AD$151*AD$141*AD$143)/10^3</f>
        <v>2.808156242549675E-2</v>
      </c>
      <c r="AE174" s="407">
        <f>-SUM('Key inputs_Refineries'!Y$57)/(AE$151*AE$141*AE$143)/10^3</f>
        <v>1.3232614320376387E-2</v>
      </c>
      <c r="AF174" s="407">
        <f>-SUM('Key inputs_Refineries'!Z$57)/(AF$151*AF$141*AF$143)/10^3</f>
        <v>2.8565773178211438E-2</v>
      </c>
      <c r="AG174" s="407">
        <f>-SUM('Key inputs_Refineries'!AA$57)/(AG$151*AG$141*AG$143)/10^3</f>
        <v>3.2830866017442735E-2</v>
      </c>
      <c r="AH174" s="407">
        <f>-SUM('Key inputs_Refineries'!AB$57)/(AH$151*AH$141*AH$143)/10^3</f>
        <v>2.5615032041046253E-2</v>
      </c>
      <c r="AI174" s="407">
        <f>-SUM('Key inputs_Refineries'!AC$57)/(AI$151*AI$141*AI$143)/10^3</f>
        <v>1.5498103869678898E-2</v>
      </c>
      <c r="AJ174" s="407">
        <f>-SUM('Key inputs_Refineries'!AD$57)/(AJ$151*AJ$141*AJ$143)/10^3</f>
        <v>1.3548962134850392E-2</v>
      </c>
      <c r="AK174" s="407">
        <f>-SUM('Key inputs_Refineries'!AE$57)/(AK$151*AK$141*AK$143)/10^3</f>
        <v>2.8616896850160424E-2</v>
      </c>
      <c r="AL174" s="407">
        <f>-SUM('Key inputs_Refineries'!AF$57)/(AL$151*AL$141*AL$143)/10^3</f>
        <v>2.6802640602358319E-2</v>
      </c>
    </row>
    <row r="175" spans="1:38" ht="16.2" thickTop="1">
      <c r="A175" s="4" t="str">
        <f>AO15</f>
        <v>U-TRF-COKOVEN_01</v>
      </c>
      <c r="B175" s="4" t="str">
        <f>AP15</f>
        <v>UPS Transformation: Coke ovens - New</v>
      </c>
      <c r="C175" s="4"/>
      <c r="D175" s="4"/>
      <c r="E175" s="4"/>
      <c r="F175" s="4"/>
      <c r="G175" s="4" t="s">
        <v>695</v>
      </c>
      <c r="H175" s="4"/>
      <c r="I175" s="4"/>
      <c r="J175" s="4" t="s">
        <v>2665</v>
      </c>
      <c r="K175" s="333">
        <v>1</v>
      </c>
      <c r="L175" s="333">
        <v>1</v>
      </c>
      <c r="M175" s="333">
        <v>1</v>
      </c>
      <c r="N175" s="333">
        <v>1</v>
      </c>
      <c r="O175" s="333">
        <v>1</v>
      </c>
      <c r="P175" s="333">
        <v>1</v>
      </c>
      <c r="Q175" s="333">
        <v>1</v>
      </c>
      <c r="R175" s="333">
        <v>1</v>
      </c>
      <c r="S175" s="333">
        <v>1</v>
      </c>
      <c r="T175" s="333">
        <v>1</v>
      </c>
      <c r="U175" s="333">
        <v>1</v>
      </c>
      <c r="V175" s="333">
        <v>1</v>
      </c>
      <c r="W175" s="333">
        <v>1</v>
      </c>
      <c r="X175" s="333">
        <v>1</v>
      </c>
      <c r="Y175" s="333">
        <v>1</v>
      </c>
      <c r="Z175" s="333">
        <v>1</v>
      </c>
      <c r="AA175" s="333">
        <v>1</v>
      </c>
      <c r="AB175" s="333">
        <v>1</v>
      </c>
      <c r="AC175" s="333">
        <v>1</v>
      </c>
      <c r="AD175" s="333">
        <v>1</v>
      </c>
      <c r="AE175" s="333">
        <v>1</v>
      </c>
      <c r="AF175" s="333">
        <v>1</v>
      </c>
      <c r="AG175" s="333">
        <v>1</v>
      </c>
      <c r="AH175" s="333">
        <v>1</v>
      </c>
      <c r="AI175" s="333">
        <v>1</v>
      </c>
      <c r="AJ175" s="333">
        <v>1</v>
      </c>
      <c r="AK175" s="333">
        <v>1</v>
      </c>
      <c r="AL175" s="333">
        <v>1</v>
      </c>
    </row>
    <row r="176" spans="1:38">
      <c r="A176" s="4"/>
      <c r="B176" s="4"/>
      <c r="C176" s="4"/>
      <c r="D176" s="4"/>
      <c r="E176" s="4"/>
      <c r="F176" s="4"/>
      <c r="G176" s="4" t="s">
        <v>697</v>
      </c>
      <c r="H176" s="4"/>
      <c r="I176" s="4"/>
      <c r="J176" s="4" t="s">
        <v>698</v>
      </c>
      <c r="K176" s="331">
        <v>100</v>
      </c>
      <c r="L176" s="331">
        <v>100</v>
      </c>
      <c r="M176" s="331">
        <v>100</v>
      </c>
      <c r="N176" s="331">
        <v>100</v>
      </c>
      <c r="O176" s="331">
        <v>100</v>
      </c>
      <c r="P176" s="331">
        <v>100</v>
      </c>
      <c r="Q176" s="331">
        <v>100</v>
      </c>
      <c r="R176" s="331">
        <v>100</v>
      </c>
      <c r="S176" s="331">
        <v>100</v>
      </c>
      <c r="T176" s="331">
        <v>100</v>
      </c>
      <c r="U176" s="331">
        <v>100</v>
      </c>
      <c r="V176" s="331">
        <v>100</v>
      </c>
      <c r="W176" s="331">
        <v>100</v>
      </c>
      <c r="X176" s="331">
        <v>100</v>
      </c>
      <c r="Y176" s="331">
        <v>100</v>
      </c>
      <c r="Z176" s="331">
        <v>100</v>
      </c>
      <c r="AA176" s="331">
        <v>100</v>
      </c>
      <c r="AB176" s="331">
        <v>100</v>
      </c>
      <c r="AC176" s="331">
        <v>100</v>
      </c>
      <c r="AD176" s="331">
        <v>100</v>
      </c>
      <c r="AE176" s="331">
        <v>100</v>
      </c>
      <c r="AF176" s="331">
        <v>100</v>
      </c>
      <c r="AG176" s="331">
        <v>100</v>
      </c>
      <c r="AH176" s="331">
        <v>100</v>
      </c>
      <c r="AI176" s="331">
        <v>100</v>
      </c>
      <c r="AJ176" s="331">
        <v>100</v>
      </c>
      <c r="AK176" s="331">
        <v>100</v>
      </c>
      <c r="AL176" s="331">
        <v>100</v>
      </c>
    </row>
    <row r="177" spans="1:38">
      <c r="G177" s="4" t="s">
        <v>707</v>
      </c>
      <c r="H177" s="4"/>
      <c r="I177" s="4"/>
      <c r="J177" s="4" t="s">
        <v>2669</v>
      </c>
      <c r="K177" s="385">
        <v>2020</v>
      </c>
      <c r="L177" s="385">
        <v>2020</v>
      </c>
      <c r="M177" s="385">
        <v>2020</v>
      </c>
      <c r="N177" s="385">
        <v>2020</v>
      </c>
      <c r="O177" s="385">
        <v>2020</v>
      </c>
      <c r="P177" s="385">
        <v>2020</v>
      </c>
      <c r="Q177" s="385">
        <v>2020</v>
      </c>
      <c r="R177" s="385">
        <v>2020</v>
      </c>
      <c r="S177" s="385">
        <v>2020</v>
      </c>
      <c r="T177" s="385">
        <v>2020</v>
      </c>
      <c r="U177" s="385">
        <v>2020</v>
      </c>
      <c r="V177" s="385">
        <v>2020</v>
      </c>
      <c r="W177" s="385">
        <v>2020</v>
      </c>
      <c r="X177" s="385">
        <v>2020</v>
      </c>
      <c r="Y177" s="385">
        <v>2020</v>
      </c>
      <c r="Z177" s="385">
        <v>2020</v>
      </c>
      <c r="AA177" s="385">
        <v>2020</v>
      </c>
      <c r="AB177" s="385">
        <v>2020</v>
      </c>
      <c r="AC177" s="385">
        <v>2020</v>
      </c>
      <c r="AD177" s="385">
        <v>2020</v>
      </c>
      <c r="AE177" s="385">
        <v>2020</v>
      </c>
      <c r="AF177" s="385">
        <v>2020</v>
      </c>
      <c r="AG177" s="385">
        <v>2020</v>
      </c>
      <c r="AH177" s="385">
        <v>2020</v>
      </c>
      <c r="AI177" s="385">
        <v>2020</v>
      </c>
      <c r="AJ177" s="385">
        <v>2020</v>
      </c>
      <c r="AK177" s="385">
        <v>2020</v>
      </c>
      <c r="AL177" s="385">
        <v>2020</v>
      </c>
    </row>
    <row r="178" spans="1:38">
      <c r="C178" s="4"/>
      <c r="D178" s="4"/>
      <c r="E178" s="4"/>
      <c r="F178" s="4"/>
      <c r="G178" s="4" t="s">
        <v>701</v>
      </c>
      <c r="H178" s="4" t="s">
        <v>661</v>
      </c>
      <c r="I178" s="4">
        <v>2019</v>
      </c>
      <c r="J178" s="4" t="s">
        <v>112</v>
      </c>
      <c r="K178" s="333">
        <f t="shared" ref="K178:AL178" si="3">IF(K12=0,0,"")</f>
        <v>0</v>
      </c>
      <c r="L178" s="333" t="str">
        <f t="shared" si="3"/>
        <v/>
      </c>
      <c r="M178" s="333">
        <f t="shared" si="3"/>
        <v>0</v>
      </c>
      <c r="N178" s="333" t="str">
        <f t="shared" si="3"/>
        <v/>
      </c>
      <c r="O178" s="333" t="str">
        <f t="shared" si="3"/>
        <v/>
      </c>
      <c r="P178" s="333" t="str">
        <f t="shared" si="3"/>
        <v/>
      </c>
      <c r="Q178" s="333">
        <f t="shared" si="3"/>
        <v>0</v>
      </c>
      <c r="R178" s="333">
        <f t="shared" si="3"/>
        <v>0</v>
      </c>
      <c r="S178" s="333" t="str">
        <f t="shared" si="3"/>
        <v/>
      </c>
      <c r="T178" s="333" t="str">
        <f t="shared" si="3"/>
        <v/>
      </c>
      <c r="U178" s="333" t="str">
        <f t="shared" si="3"/>
        <v/>
      </c>
      <c r="V178" s="333" t="str">
        <f t="shared" si="3"/>
        <v/>
      </c>
      <c r="W178" s="333" t="str">
        <f t="shared" si="3"/>
        <v/>
      </c>
      <c r="X178" s="333" t="str">
        <f t="shared" si="3"/>
        <v/>
      </c>
      <c r="Y178" s="333" t="str">
        <f t="shared" si="3"/>
        <v/>
      </c>
      <c r="Z178" s="333" t="str">
        <f t="shared" si="3"/>
        <v/>
      </c>
      <c r="AA178" s="333" t="str">
        <f t="shared" si="3"/>
        <v/>
      </c>
      <c r="AB178" s="333" t="str">
        <f t="shared" si="3"/>
        <v/>
      </c>
      <c r="AC178" s="333" t="str">
        <f t="shared" si="3"/>
        <v/>
      </c>
      <c r="AD178" s="333" t="str">
        <f t="shared" si="3"/>
        <v/>
      </c>
      <c r="AE178" s="333" t="str">
        <f t="shared" si="3"/>
        <v/>
      </c>
      <c r="AF178" s="333" t="str">
        <f t="shared" si="3"/>
        <v/>
      </c>
      <c r="AG178" s="333" t="str">
        <f t="shared" si="3"/>
        <v/>
      </c>
      <c r="AH178" s="333" t="str">
        <f t="shared" si="3"/>
        <v/>
      </c>
      <c r="AI178" s="333">
        <f t="shared" si="3"/>
        <v>0</v>
      </c>
      <c r="AJ178" s="333" t="str">
        <f t="shared" si="3"/>
        <v/>
      </c>
      <c r="AK178" s="333" t="str">
        <f t="shared" si="3"/>
        <v/>
      </c>
      <c r="AL178" s="333" t="str">
        <f t="shared" si="3"/>
        <v/>
      </c>
    </row>
    <row r="179" spans="1:38">
      <c r="C179" s="4"/>
      <c r="D179" s="4"/>
      <c r="E179" s="4"/>
      <c r="F179" s="4"/>
      <c r="G179" s="4" t="s">
        <v>701</v>
      </c>
      <c r="H179" s="4" t="s">
        <v>661</v>
      </c>
      <c r="I179" s="4">
        <v>2060</v>
      </c>
      <c r="J179" s="4" t="s">
        <v>112</v>
      </c>
      <c r="K179" s="333">
        <f>K178</f>
        <v>0</v>
      </c>
      <c r="L179" s="333" t="str">
        <f t="shared" ref="L179:AL179" si="4">L178</f>
        <v/>
      </c>
      <c r="M179" s="333">
        <f t="shared" si="4"/>
        <v>0</v>
      </c>
      <c r="N179" s="333" t="str">
        <f t="shared" si="4"/>
        <v/>
      </c>
      <c r="O179" s="333" t="str">
        <f t="shared" si="4"/>
        <v/>
      </c>
      <c r="P179" s="333" t="str">
        <f t="shared" si="4"/>
        <v/>
      </c>
      <c r="Q179" s="333">
        <f t="shared" si="4"/>
        <v>0</v>
      </c>
      <c r="R179" s="333">
        <f t="shared" si="4"/>
        <v>0</v>
      </c>
      <c r="S179" s="333" t="str">
        <f t="shared" si="4"/>
        <v/>
      </c>
      <c r="T179" s="333" t="str">
        <f t="shared" si="4"/>
        <v/>
      </c>
      <c r="U179" s="333" t="str">
        <f t="shared" si="4"/>
        <v/>
      </c>
      <c r="V179" s="333" t="str">
        <f t="shared" si="4"/>
        <v/>
      </c>
      <c r="W179" s="333" t="str">
        <f t="shared" si="4"/>
        <v/>
      </c>
      <c r="X179" s="333" t="str">
        <f t="shared" si="4"/>
        <v/>
      </c>
      <c r="Y179" s="333" t="str">
        <f t="shared" si="4"/>
        <v/>
      </c>
      <c r="Z179" s="333" t="str">
        <f t="shared" si="4"/>
        <v/>
      </c>
      <c r="AA179" s="333" t="str">
        <f t="shared" si="4"/>
        <v/>
      </c>
      <c r="AB179" s="333" t="str">
        <f t="shared" si="4"/>
        <v/>
      </c>
      <c r="AC179" s="333" t="str">
        <f t="shared" si="4"/>
        <v/>
      </c>
      <c r="AD179" s="333" t="str">
        <f t="shared" si="4"/>
        <v/>
      </c>
      <c r="AE179" s="333" t="str">
        <f t="shared" si="4"/>
        <v/>
      </c>
      <c r="AF179" s="333" t="str">
        <f t="shared" si="4"/>
        <v/>
      </c>
      <c r="AG179" s="333" t="str">
        <f t="shared" si="4"/>
        <v/>
      </c>
      <c r="AH179" s="333" t="str">
        <f t="shared" si="4"/>
        <v/>
      </c>
      <c r="AI179" s="333">
        <f t="shared" si="4"/>
        <v>0</v>
      </c>
      <c r="AJ179" s="333" t="str">
        <f t="shared" si="4"/>
        <v/>
      </c>
      <c r="AK179" s="333" t="str">
        <f t="shared" si="4"/>
        <v/>
      </c>
      <c r="AL179" s="333" t="str">
        <f t="shared" si="4"/>
        <v/>
      </c>
    </row>
    <row r="180" spans="1:38">
      <c r="C180" s="4"/>
      <c r="D180" s="4"/>
      <c r="E180" s="4"/>
      <c r="F180" s="4"/>
      <c r="G180" s="4" t="s">
        <v>701</v>
      </c>
      <c r="H180" s="4" t="s">
        <v>661</v>
      </c>
      <c r="I180" s="4">
        <v>0</v>
      </c>
      <c r="J180" s="4"/>
      <c r="K180" s="333">
        <f>IF(K178="","",5)</f>
        <v>5</v>
      </c>
      <c r="L180" s="333" t="str">
        <f t="shared" ref="L180:AL180" si="5">IF(L178="","",5)</f>
        <v/>
      </c>
      <c r="M180" s="333">
        <f t="shared" si="5"/>
        <v>5</v>
      </c>
      <c r="N180" s="333" t="str">
        <f t="shared" si="5"/>
        <v/>
      </c>
      <c r="O180" s="333" t="str">
        <f t="shared" si="5"/>
        <v/>
      </c>
      <c r="P180" s="333" t="str">
        <f t="shared" si="5"/>
        <v/>
      </c>
      <c r="Q180" s="333">
        <f t="shared" si="5"/>
        <v>5</v>
      </c>
      <c r="R180" s="333">
        <f t="shared" si="5"/>
        <v>5</v>
      </c>
      <c r="S180" s="333" t="str">
        <f t="shared" si="5"/>
        <v/>
      </c>
      <c r="T180" s="333" t="str">
        <f t="shared" si="5"/>
        <v/>
      </c>
      <c r="U180" s="333" t="str">
        <f t="shared" si="5"/>
        <v/>
      </c>
      <c r="V180" s="333" t="str">
        <f t="shared" si="5"/>
        <v/>
      </c>
      <c r="W180" s="333" t="str">
        <f t="shared" si="5"/>
        <v/>
      </c>
      <c r="X180" s="333" t="str">
        <f t="shared" si="5"/>
        <v/>
      </c>
      <c r="Y180" s="333" t="str">
        <f t="shared" si="5"/>
        <v/>
      </c>
      <c r="Z180" s="333" t="str">
        <f t="shared" si="5"/>
        <v/>
      </c>
      <c r="AA180" s="333" t="str">
        <f t="shared" si="5"/>
        <v/>
      </c>
      <c r="AB180" s="333" t="str">
        <f t="shared" si="5"/>
        <v/>
      </c>
      <c r="AC180" s="333" t="str">
        <f t="shared" si="5"/>
        <v/>
      </c>
      <c r="AD180" s="333" t="str">
        <f t="shared" si="5"/>
        <v/>
      </c>
      <c r="AE180" s="333" t="str">
        <f t="shared" si="5"/>
        <v/>
      </c>
      <c r="AF180" s="333" t="str">
        <f t="shared" si="5"/>
        <v/>
      </c>
      <c r="AG180" s="333" t="str">
        <f t="shared" si="5"/>
        <v/>
      </c>
      <c r="AH180" s="333" t="str">
        <f t="shared" si="5"/>
        <v/>
      </c>
      <c r="AI180" s="333">
        <f t="shared" si="5"/>
        <v>5</v>
      </c>
      <c r="AJ180" s="333" t="str">
        <f t="shared" si="5"/>
        <v/>
      </c>
      <c r="AK180" s="333" t="str">
        <f t="shared" si="5"/>
        <v/>
      </c>
      <c r="AL180" s="333" t="str">
        <f t="shared" si="5"/>
        <v/>
      </c>
    </row>
    <row r="181" spans="1:38">
      <c r="A181" s="4"/>
      <c r="B181" s="4"/>
      <c r="C181" s="4"/>
      <c r="D181" s="4"/>
      <c r="E181" s="4"/>
      <c r="F181" s="4"/>
      <c r="G181" s="4" t="s">
        <v>687</v>
      </c>
      <c r="H181" s="4"/>
      <c r="I181" s="4"/>
      <c r="J181" s="4" t="s">
        <v>2663</v>
      </c>
      <c r="K181" s="404">
        <f>'Key inputs_TRF'!$C$6*10^3</f>
        <v>4.0726604413012195</v>
      </c>
      <c r="L181" s="404">
        <f>'Key inputs_TRF'!$C$6*10^3</f>
        <v>4.0726604413012195</v>
      </c>
      <c r="M181" s="404">
        <f>'Key inputs_TRF'!$C$6*10^3</f>
        <v>4.0726604413012195</v>
      </c>
      <c r="N181" s="404">
        <f>'Key inputs_TRF'!$C$6*10^3</f>
        <v>4.0726604413012195</v>
      </c>
      <c r="O181" s="404">
        <f>'Key inputs_TRF'!$C$6*10^3</f>
        <v>4.0726604413012195</v>
      </c>
      <c r="P181" s="404">
        <f>'Key inputs_TRF'!$C$6*10^3</f>
        <v>4.0726604413012195</v>
      </c>
      <c r="Q181" s="404">
        <f>'Key inputs_TRF'!$C$6*10^3</f>
        <v>4.0726604413012195</v>
      </c>
      <c r="R181" s="404">
        <f>'Key inputs_TRF'!$C$6*10^3</f>
        <v>4.0726604413012195</v>
      </c>
      <c r="S181" s="404">
        <f>'Key inputs_TRF'!$C$6*10^3</f>
        <v>4.0726604413012195</v>
      </c>
      <c r="T181" s="404">
        <f>'Key inputs_TRF'!$C$6*10^3</f>
        <v>4.0726604413012195</v>
      </c>
      <c r="U181" s="404">
        <f>'Key inputs_TRF'!$C$6*10^3</f>
        <v>4.0726604413012195</v>
      </c>
      <c r="V181" s="404">
        <f>'Key inputs_TRF'!$C$6*10^3</f>
        <v>4.0726604413012195</v>
      </c>
      <c r="W181" s="404">
        <f>'Key inputs_TRF'!$C$6*10^3</f>
        <v>4.0726604413012195</v>
      </c>
      <c r="X181" s="404">
        <f>'Key inputs_TRF'!$C$6*10^3</f>
        <v>4.0726604413012195</v>
      </c>
      <c r="Y181" s="404">
        <f>'Key inputs_TRF'!$C$6*10^3</f>
        <v>4.0726604413012195</v>
      </c>
      <c r="Z181" s="404">
        <f>'Key inputs_TRF'!$C$6*10^3</f>
        <v>4.0726604413012195</v>
      </c>
      <c r="AA181" s="404">
        <f>'Key inputs_TRF'!$C$6*10^3</f>
        <v>4.0726604413012195</v>
      </c>
      <c r="AB181" s="404">
        <f>'Key inputs_TRF'!$C$6*10^3</f>
        <v>4.0726604413012195</v>
      </c>
      <c r="AC181" s="404">
        <f>'Key inputs_TRF'!$C$6*10^3</f>
        <v>4.0726604413012195</v>
      </c>
      <c r="AD181" s="404">
        <f>'Key inputs_TRF'!$C$6*10^3</f>
        <v>4.0726604413012195</v>
      </c>
      <c r="AE181" s="404">
        <f>'Key inputs_TRF'!$C$6*10^3</f>
        <v>4.0726604413012195</v>
      </c>
      <c r="AF181" s="404">
        <f>'Key inputs_TRF'!$C$6*10^3</f>
        <v>4.0726604413012195</v>
      </c>
      <c r="AG181" s="404">
        <f>'Key inputs_TRF'!$C$6*10^3</f>
        <v>4.0726604413012195</v>
      </c>
      <c r="AH181" s="404">
        <f>'Key inputs_TRF'!$C$6*10^3</f>
        <v>4.0726604413012195</v>
      </c>
      <c r="AI181" s="404">
        <f>'Key inputs_TRF'!$C$6*10^3</f>
        <v>4.0726604413012195</v>
      </c>
      <c r="AJ181" s="404">
        <f>'Key inputs_TRF'!$C$6*10^3</f>
        <v>4.0726604413012195</v>
      </c>
      <c r="AK181" s="404">
        <f>'Key inputs_TRF'!$C$6*10^3</f>
        <v>4.0726604413012195</v>
      </c>
      <c r="AL181" s="404">
        <f>'Key inputs_TRF'!$C$6*10^3</f>
        <v>4.0726604413012195</v>
      </c>
    </row>
    <row r="182" spans="1:38">
      <c r="A182" s="4"/>
      <c r="B182" s="4"/>
      <c r="C182" s="4"/>
      <c r="D182" s="4"/>
      <c r="E182" s="4"/>
      <c r="F182" s="4"/>
      <c r="G182" s="4" t="s">
        <v>689</v>
      </c>
      <c r="H182" s="4"/>
      <c r="I182" s="4"/>
      <c r="J182" s="4" t="s">
        <v>2663</v>
      </c>
      <c r="K182" s="404">
        <f>'Key inputs_TRF'!$C$12*10^3</f>
        <v>0.23497265063477774</v>
      </c>
      <c r="L182" s="404">
        <f>'Key inputs_TRF'!$C$12*10^3</f>
        <v>0.23497265063477774</v>
      </c>
      <c r="M182" s="404">
        <f>'Key inputs_TRF'!$C$12*10^3</f>
        <v>0.23497265063477774</v>
      </c>
      <c r="N182" s="404">
        <f>'Key inputs_TRF'!$C$12*10^3</f>
        <v>0.23497265063477774</v>
      </c>
      <c r="O182" s="404">
        <f>'Key inputs_TRF'!$C$12*10^3</f>
        <v>0.23497265063477774</v>
      </c>
      <c r="P182" s="404">
        <f>'Key inputs_TRF'!$C$12*10^3</f>
        <v>0.23497265063477774</v>
      </c>
      <c r="Q182" s="404">
        <f>'Key inputs_TRF'!$C$12*10^3</f>
        <v>0.23497265063477774</v>
      </c>
      <c r="R182" s="404">
        <f>'Key inputs_TRF'!$C$12*10^3</f>
        <v>0.23497265063477774</v>
      </c>
      <c r="S182" s="404">
        <f>'Key inputs_TRF'!$C$12*10^3</f>
        <v>0.23497265063477774</v>
      </c>
      <c r="T182" s="404">
        <f>'Key inputs_TRF'!$C$12*10^3</f>
        <v>0.23497265063477774</v>
      </c>
      <c r="U182" s="404">
        <f>'Key inputs_TRF'!$C$12*10^3</f>
        <v>0.23497265063477774</v>
      </c>
      <c r="V182" s="404">
        <f>'Key inputs_TRF'!$C$12*10^3</f>
        <v>0.23497265063477774</v>
      </c>
      <c r="W182" s="404">
        <f>'Key inputs_TRF'!$C$12*10^3</f>
        <v>0.23497265063477774</v>
      </c>
      <c r="X182" s="404">
        <f>'Key inputs_TRF'!$C$12*10^3</f>
        <v>0.23497265063477774</v>
      </c>
      <c r="Y182" s="404">
        <f>'Key inputs_TRF'!$C$12*10^3</f>
        <v>0.23497265063477774</v>
      </c>
      <c r="Z182" s="404">
        <f>'Key inputs_TRF'!$C$12*10^3</f>
        <v>0.23497265063477774</v>
      </c>
      <c r="AA182" s="404">
        <f>'Key inputs_TRF'!$C$12*10^3</f>
        <v>0.23497265063477774</v>
      </c>
      <c r="AB182" s="404">
        <f>'Key inputs_TRF'!$C$12*10^3</f>
        <v>0.23497265063477774</v>
      </c>
      <c r="AC182" s="404">
        <f>'Key inputs_TRF'!$C$12*10^3</f>
        <v>0.23497265063477774</v>
      </c>
      <c r="AD182" s="404">
        <f>'Key inputs_TRF'!$C$12*10^3</f>
        <v>0.23497265063477774</v>
      </c>
      <c r="AE182" s="404">
        <f>'Key inputs_TRF'!$C$12*10^3</f>
        <v>0.23497265063477774</v>
      </c>
      <c r="AF182" s="404">
        <f>'Key inputs_TRF'!$C$12*10^3</f>
        <v>0.23497265063477774</v>
      </c>
      <c r="AG182" s="404">
        <f>'Key inputs_TRF'!$C$12*10^3</f>
        <v>0.23497265063477774</v>
      </c>
      <c r="AH182" s="404">
        <f>'Key inputs_TRF'!$C$12*10^3</f>
        <v>0.23497265063477774</v>
      </c>
      <c r="AI182" s="404">
        <f>'Key inputs_TRF'!$C$12*10^3</f>
        <v>0.23497265063477774</v>
      </c>
      <c r="AJ182" s="404">
        <f>'Key inputs_TRF'!$C$12*10^3</f>
        <v>0.23497265063477774</v>
      </c>
      <c r="AK182" s="404">
        <f>'Key inputs_TRF'!$C$12*10^3</f>
        <v>0.23497265063477774</v>
      </c>
      <c r="AL182" s="404">
        <f>'Key inputs_TRF'!$C$12*10^3</f>
        <v>0.23497265063477774</v>
      </c>
    </row>
    <row r="183" spans="1:38">
      <c r="A183" s="4"/>
      <c r="B183" s="4"/>
      <c r="C183" s="4"/>
      <c r="D183" s="4"/>
      <c r="E183" s="4"/>
      <c r="F183" s="4"/>
      <c r="G183" s="4" t="s">
        <v>675</v>
      </c>
      <c r="H183" s="4"/>
      <c r="I183" s="4"/>
      <c r="J183" s="4" t="s">
        <v>2662</v>
      </c>
      <c r="K183" s="333"/>
      <c r="L183" s="333"/>
      <c r="M183" s="333"/>
      <c r="N183" s="333"/>
      <c r="O183" s="333"/>
      <c r="P183" s="333"/>
      <c r="Q183" s="333"/>
      <c r="R183" s="333"/>
      <c r="S183" s="333"/>
      <c r="T183" s="333"/>
      <c r="U183" s="333"/>
      <c r="V183" s="333"/>
      <c r="W183" s="333"/>
      <c r="X183" s="333"/>
      <c r="Y183" s="333"/>
      <c r="Z183" s="333"/>
      <c r="AA183" s="333"/>
      <c r="AB183" s="333"/>
      <c r="AC183" s="333"/>
      <c r="AD183" s="333"/>
      <c r="AE183" s="333"/>
      <c r="AF183" s="333"/>
      <c r="AG183" s="333"/>
      <c r="AH183" s="333"/>
      <c r="AI183" s="333"/>
      <c r="AJ183" s="333"/>
      <c r="AK183" s="333"/>
      <c r="AL183" s="333"/>
    </row>
    <row r="184" spans="1:38">
      <c r="A184" s="4"/>
      <c r="B184" s="4"/>
      <c r="C184" s="4"/>
      <c r="D184" s="4"/>
      <c r="E184" s="4" t="s">
        <v>361</v>
      </c>
      <c r="F184" s="4" t="s">
        <v>691</v>
      </c>
      <c r="G184" s="4" t="s">
        <v>692</v>
      </c>
      <c r="H184" s="4"/>
      <c r="I184" s="4"/>
      <c r="J184" s="4" t="s">
        <v>2664</v>
      </c>
      <c r="K184" s="332">
        <f>IF(K$12=0,AVERAGE($K23:$AL23),K23)</f>
        <v>0.94788466520372738</v>
      </c>
      <c r="L184" s="332">
        <f t="shared" ref="L184:AL184" si="6">IF(L$12=0,AVERAGE($K23:$AL23),L23)</f>
        <v>0.90297274979355902</v>
      </c>
      <c r="M184" s="332">
        <f t="shared" si="6"/>
        <v>0.94788466520372738</v>
      </c>
      <c r="N184" s="332">
        <f t="shared" si="6"/>
        <v>0.92638922591603967</v>
      </c>
      <c r="O184" s="332">
        <f t="shared" si="6"/>
        <v>0.8557570679940204</v>
      </c>
      <c r="P184" s="332">
        <f t="shared" si="6"/>
        <v>0.99872980202010331</v>
      </c>
      <c r="Q184" s="332">
        <f t="shared" si="6"/>
        <v>0.94788466520372738</v>
      </c>
      <c r="R184" s="332">
        <f t="shared" si="6"/>
        <v>0.94788466520372738</v>
      </c>
      <c r="S184" s="332">
        <f t="shared" si="6"/>
        <v>0.99618245457297283</v>
      </c>
      <c r="T184" s="332">
        <f t="shared" si="6"/>
        <v>1</v>
      </c>
      <c r="U184" s="332">
        <f t="shared" si="6"/>
        <v>0.9862470573658777</v>
      </c>
      <c r="V184" s="332">
        <f t="shared" si="6"/>
        <v>1.0003201572704712</v>
      </c>
      <c r="W184" s="332">
        <f t="shared" si="6"/>
        <v>0.99999736437050635</v>
      </c>
      <c r="X184" s="332">
        <f t="shared" si="6"/>
        <v>0.98917121735577096</v>
      </c>
      <c r="Y184" s="332">
        <f t="shared" si="6"/>
        <v>1.0071247523101927</v>
      </c>
      <c r="Z184" s="332">
        <f t="shared" si="6"/>
        <v>0.90505332335242017</v>
      </c>
      <c r="AA184" s="332">
        <f t="shared" si="6"/>
        <v>0.99909912663544698</v>
      </c>
      <c r="AB184" s="332">
        <f t="shared" si="6"/>
        <v>0.82224556795797754</v>
      </c>
      <c r="AC184" s="332">
        <f t="shared" si="6"/>
        <v>1.0048644757068081</v>
      </c>
      <c r="AD184" s="332">
        <f t="shared" si="6"/>
        <v>0.98717222279697914</v>
      </c>
      <c r="AE184" s="332">
        <f t="shared" si="6"/>
        <v>0.81038315434038366</v>
      </c>
      <c r="AF184" s="332">
        <f t="shared" si="6"/>
        <v>0.99804708187691971</v>
      </c>
      <c r="AG184" s="332">
        <f t="shared" si="6"/>
        <v>0.95222960002517543</v>
      </c>
      <c r="AH184" s="332">
        <f t="shared" si="6"/>
        <v>0.97697135204684515</v>
      </c>
      <c r="AI184" s="332">
        <f t="shared" si="6"/>
        <v>0.94788466520372738</v>
      </c>
      <c r="AJ184" s="332">
        <f t="shared" si="6"/>
        <v>0.83510391569891929</v>
      </c>
      <c r="AK184" s="332">
        <f t="shared" si="6"/>
        <v>0.94576623839620622</v>
      </c>
      <c r="AL184" s="332">
        <f t="shared" si="6"/>
        <v>0.90151939188213204</v>
      </c>
    </row>
    <row r="185" spans="1:38">
      <c r="C185" s="4" t="str">
        <f>Commodities!$C$22</f>
        <v>COA</v>
      </c>
      <c r="F185" s="4" t="s">
        <v>361</v>
      </c>
      <c r="G185" s="4" t="s">
        <v>702</v>
      </c>
      <c r="H185" t="s">
        <v>661</v>
      </c>
      <c r="I185">
        <v>2019</v>
      </c>
      <c r="J185" t="s">
        <v>650</v>
      </c>
      <c r="K185" s="173">
        <f t="shared" ref="K185:AL185" si="7">IF(K$12=0,AVERAGE($K24:$AL24),K24)</f>
        <v>0.99064924148189082</v>
      </c>
      <c r="L185" s="173">
        <f t="shared" si="7"/>
        <v>1</v>
      </c>
      <c r="M185" s="173">
        <f t="shared" si="7"/>
        <v>0.99064924148189082</v>
      </c>
      <c r="N185" s="173">
        <f t="shared" si="7"/>
        <v>1</v>
      </c>
      <c r="O185" s="173">
        <f t="shared" si="7"/>
        <v>1</v>
      </c>
      <c r="P185" s="173">
        <f t="shared" si="7"/>
        <v>1</v>
      </c>
      <c r="Q185" s="173">
        <f t="shared" si="7"/>
        <v>0.99064924148189082</v>
      </c>
      <c r="R185" s="173">
        <f t="shared" si="7"/>
        <v>0.99064924148189082</v>
      </c>
      <c r="S185" s="173">
        <f t="shared" si="7"/>
        <v>0.85331985388117115</v>
      </c>
      <c r="T185" s="173">
        <f t="shared" si="7"/>
        <v>1</v>
      </c>
      <c r="U185" s="173">
        <f t="shared" si="7"/>
        <v>1</v>
      </c>
      <c r="V185" s="173">
        <f t="shared" si="7"/>
        <v>1</v>
      </c>
      <c r="W185" s="173">
        <f t="shared" si="7"/>
        <v>1</v>
      </c>
      <c r="X185" s="173">
        <f t="shared" si="7"/>
        <v>0.98138861027527025</v>
      </c>
      <c r="Y185" s="173">
        <f t="shared" si="7"/>
        <v>1</v>
      </c>
      <c r="Z185" s="173">
        <f t="shared" si="7"/>
        <v>0.99999513916568639</v>
      </c>
      <c r="AA185" s="173">
        <f t="shared" si="7"/>
        <v>0.96671112047733421</v>
      </c>
      <c r="AB185" s="173">
        <f t="shared" si="7"/>
        <v>1</v>
      </c>
      <c r="AC185" s="173">
        <f t="shared" si="7"/>
        <v>1</v>
      </c>
      <c r="AD185" s="173">
        <f t="shared" si="7"/>
        <v>0.98351783028402717</v>
      </c>
      <c r="AE185" s="173">
        <f t="shared" si="7"/>
        <v>1</v>
      </c>
      <c r="AF185" s="173">
        <f t="shared" si="7"/>
        <v>1</v>
      </c>
      <c r="AG185" s="173">
        <f t="shared" si="7"/>
        <v>1</v>
      </c>
      <c r="AH185" s="173">
        <f t="shared" si="7"/>
        <v>1</v>
      </c>
      <c r="AI185" s="173">
        <f t="shared" si="7"/>
        <v>0.99064924148189082</v>
      </c>
      <c r="AJ185" s="173">
        <f t="shared" si="7"/>
        <v>1</v>
      </c>
      <c r="AK185" s="173">
        <f t="shared" si="7"/>
        <v>1</v>
      </c>
      <c r="AL185" s="173">
        <f t="shared" si="7"/>
        <v>1</v>
      </c>
    </row>
    <row r="186" spans="1:38">
      <c r="C186" s="4" t="str">
        <f>Commodities!$C$23</f>
        <v>COACOL</v>
      </c>
      <c r="F186" s="4" t="s">
        <v>361</v>
      </c>
      <c r="G186" s="4" t="s">
        <v>702</v>
      </c>
      <c r="H186" t="s">
        <v>661</v>
      </c>
      <c r="I186">
        <v>2019</v>
      </c>
      <c r="J186" t="s">
        <v>650</v>
      </c>
      <c r="K186" s="173">
        <f t="shared" ref="K186:AL186" si="8">IF(K$12=0,AVERAGE($K25:$AL25),K25)</f>
        <v>5.4975657184671417E-4</v>
      </c>
      <c r="L186" s="173">
        <f t="shared" si="8"/>
        <v>0</v>
      </c>
      <c r="M186" s="173">
        <f t="shared" si="8"/>
        <v>5.4975657184671417E-4</v>
      </c>
      <c r="N186" s="173">
        <f t="shared" si="8"/>
        <v>0</v>
      </c>
      <c r="O186" s="173">
        <f t="shared" si="8"/>
        <v>0</v>
      </c>
      <c r="P186" s="173">
        <f t="shared" si="8"/>
        <v>0</v>
      </c>
      <c r="Q186" s="173">
        <f t="shared" si="8"/>
        <v>5.4975657184671417E-4</v>
      </c>
      <c r="R186" s="173">
        <f t="shared" si="8"/>
        <v>5.4975657184671417E-4</v>
      </c>
      <c r="S186" s="173">
        <f t="shared" si="8"/>
        <v>0</v>
      </c>
      <c r="T186" s="173">
        <f t="shared" si="8"/>
        <v>0</v>
      </c>
      <c r="U186" s="173">
        <f t="shared" si="8"/>
        <v>0</v>
      </c>
      <c r="V186" s="173">
        <f t="shared" si="8"/>
        <v>0</v>
      </c>
      <c r="W186" s="173">
        <f t="shared" si="8"/>
        <v>0</v>
      </c>
      <c r="X186" s="173">
        <f t="shared" si="8"/>
        <v>0</v>
      </c>
      <c r="Y186" s="173">
        <f t="shared" si="8"/>
        <v>0</v>
      </c>
      <c r="Z186" s="173">
        <f t="shared" si="8"/>
        <v>0</v>
      </c>
      <c r="AA186" s="173">
        <f t="shared" si="8"/>
        <v>1.2644401152474425E-2</v>
      </c>
      <c r="AB186" s="173">
        <f t="shared" si="8"/>
        <v>0</v>
      </c>
      <c r="AC186" s="173">
        <f t="shared" si="8"/>
        <v>0</v>
      </c>
      <c r="AD186" s="173">
        <f t="shared" si="8"/>
        <v>0</v>
      </c>
      <c r="AE186" s="173">
        <f t="shared" si="8"/>
        <v>0</v>
      </c>
      <c r="AF186" s="173">
        <f t="shared" si="8"/>
        <v>0</v>
      </c>
      <c r="AG186" s="173">
        <f t="shared" si="8"/>
        <v>0</v>
      </c>
      <c r="AH186" s="173">
        <f t="shared" si="8"/>
        <v>0</v>
      </c>
      <c r="AI186" s="173">
        <f t="shared" si="8"/>
        <v>5.4975657184671417E-4</v>
      </c>
      <c r="AJ186" s="173">
        <f t="shared" si="8"/>
        <v>0</v>
      </c>
      <c r="AK186" s="173">
        <f t="shared" si="8"/>
        <v>0</v>
      </c>
      <c r="AL186" s="173">
        <f t="shared" si="8"/>
        <v>0</v>
      </c>
    </row>
    <row r="187" spans="1:38">
      <c r="C187" s="4" t="str">
        <f>Commodities!$C$25</f>
        <v>GASNAT</v>
      </c>
      <c r="F187" s="4" t="s">
        <v>361</v>
      </c>
      <c r="G187" s="4" t="s">
        <v>702</v>
      </c>
      <c r="H187" t="s">
        <v>661</v>
      </c>
      <c r="I187">
        <v>2019</v>
      </c>
      <c r="J187" t="s">
        <v>650</v>
      </c>
      <c r="K187" s="173">
        <f t="shared" ref="K187:AL187" si="9">IF(K$12=0,AVERAGE($K26:$AL26),K26)</f>
        <v>8.0919085759694539E-4</v>
      </c>
      <c r="L187" s="173">
        <f t="shared" si="9"/>
        <v>0</v>
      </c>
      <c r="M187" s="173">
        <f t="shared" si="9"/>
        <v>8.0919085759694539E-4</v>
      </c>
      <c r="N187" s="173">
        <f t="shared" si="9"/>
        <v>0</v>
      </c>
      <c r="O187" s="173">
        <f t="shared" si="9"/>
        <v>0</v>
      </c>
      <c r="P187" s="173">
        <f t="shared" si="9"/>
        <v>0</v>
      </c>
      <c r="Q187" s="173">
        <f t="shared" si="9"/>
        <v>8.0919085759694539E-4</v>
      </c>
      <c r="R187" s="173">
        <f t="shared" si="9"/>
        <v>8.0919085759694539E-4</v>
      </c>
      <c r="S187" s="173">
        <f t="shared" si="9"/>
        <v>0</v>
      </c>
      <c r="T187" s="173">
        <f t="shared" si="9"/>
        <v>0</v>
      </c>
      <c r="U187" s="173">
        <f t="shared" si="9"/>
        <v>0</v>
      </c>
      <c r="V187" s="173">
        <f t="shared" si="9"/>
        <v>0</v>
      </c>
      <c r="W187" s="173">
        <f t="shared" si="9"/>
        <v>0</v>
      </c>
      <c r="X187" s="173">
        <f t="shared" si="9"/>
        <v>1.8611389724729744E-2</v>
      </c>
      <c r="Y187" s="173">
        <f t="shared" si="9"/>
        <v>0</v>
      </c>
      <c r="Z187" s="173">
        <f t="shared" si="9"/>
        <v>0</v>
      </c>
      <c r="AA187" s="173">
        <f t="shared" si="9"/>
        <v>0</v>
      </c>
      <c r="AB187" s="173">
        <f t="shared" si="9"/>
        <v>0</v>
      </c>
      <c r="AC187" s="173">
        <f t="shared" si="9"/>
        <v>0</v>
      </c>
      <c r="AD187" s="173">
        <f t="shared" si="9"/>
        <v>0</v>
      </c>
      <c r="AE187" s="173">
        <f t="shared" si="9"/>
        <v>0</v>
      </c>
      <c r="AF187" s="173">
        <f t="shared" si="9"/>
        <v>0</v>
      </c>
      <c r="AG187" s="173">
        <f t="shared" si="9"/>
        <v>0</v>
      </c>
      <c r="AH187" s="173">
        <f t="shared" si="9"/>
        <v>0</v>
      </c>
      <c r="AI187" s="173">
        <f t="shared" si="9"/>
        <v>8.0919085759694539E-4</v>
      </c>
      <c r="AJ187" s="173">
        <f t="shared" si="9"/>
        <v>0</v>
      </c>
      <c r="AK187" s="173">
        <f t="shared" si="9"/>
        <v>0</v>
      </c>
      <c r="AL187" s="173">
        <f t="shared" si="9"/>
        <v>0</v>
      </c>
    </row>
    <row r="188" spans="1:38">
      <c r="C188" s="4" t="str">
        <f>Commodities!$C$52</f>
        <v>OILLPG</v>
      </c>
      <c r="F188" s="4" t="s">
        <v>361</v>
      </c>
      <c r="G188" s="4" t="s">
        <v>702</v>
      </c>
      <c r="H188" t="s">
        <v>661</v>
      </c>
      <c r="I188">
        <v>2019</v>
      </c>
      <c r="J188" t="s">
        <v>650</v>
      </c>
      <c r="K188" s="173">
        <f t="shared" ref="K188:AL188" si="10">IF(K$12=0,AVERAGE($K27:$AL27),K27)</f>
        <v>4.347826086956522E-5</v>
      </c>
      <c r="L188" s="173">
        <f t="shared" si="10"/>
        <v>0</v>
      </c>
      <c r="M188" s="173">
        <f t="shared" si="10"/>
        <v>4.347826086956522E-5</v>
      </c>
      <c r="N188" s="173">
        <f t="shared" si="10"/>
        <v>0</v>
      </c>
      <c r="O188" s="173">
        <f t="shared" si="10"/>
        <v>0</v>
      </c>
      <c r="P188" s="173">
        <f t="shared" si="10"/>
        <v>0</v>
      </c>
      <c r="Q188" s="173">
        <f t="shared" si="10"/>
        <v>4.347826086956522E-5</v>
      </c>
      <c r="R188" s="173">
        <f t="shared" si="10"/>
        <v>4.347826086956522E-5</v>
      </c>
      <c r="S188" s="173">
        <f t="shared" si="10"/>
        <v>0</v>
      </c>
      <c r="T188" s="173">
        <f t="shared" si="10"/>
        <v>0</v>
      </c>
      <c r="U188" s="173">
        <f t="shared" si="10"/>
        <v>0</v>
      </c>
      <c r="V188" s="173">
        <f t="shared" si="10"/>
        <v>0</v>
      </c>
      <c r="W188" s="173">
        <f t="shared" si="10"/>
        <v>0</v>
      </c>
      <c r="X188" s="173">
        <f t="shared" si="10"/>
        <v>0</v>
      </c>
      <c r="Y188" s="173">
        <f t="shared" si="10"/>
        <v>0</v>
      </c>
      <c r="Z188" s="173">
        <f t="shared" si="10"/>
        <v>1E-3</v>
      </c>
      <c r="AA188" s="173">
        <f t="shared" si="10"/>
        <v>0</v>
      </c>
      <c r="AB188" s="173">
        <f t="shared" si="10"/>
        <v>0</v>
      </c>
      <c r="AC188" s="173">
        <f t="shared" si="10"/>
        <v>0</v>
      </c>
      <c r="AD188" s="173">
        <f t="shared" si="10"/>
        <v>0</v>
      </c>
      <c r="AE188" s="173">
        <f t="shared" si="10"/>
        <v>0</v>
      </c>
      <c r="AF188" s="173">
        <f t="shared" si="10"/>
        <v>0</v>
      </c>
      <c r="AG188" s="173">
        <f t="shared" si="10"/>
        <v>0</v>
      </c>
      <c r="AH188" s="173">
        <f t="shared" si="10"/>
        <v>0</v>
      </c>
      <c r="AI188" s="173">
        <f t="shared" si="10"/>
        <v>4.347826086956522E-5</v>
      </c>
      <c r="AJ188" s="173">
        <f t="shared" si="10"/>
        <v>0</v>
      </c>
      <c r="AK188" s="173">
        <f t="shared" si="10"/>
        <v>0</v>
      </c>
      <c r="AL188" s="173">
        <f t="shared" si="10"/>
        <v>0</v>
      </c>
    </row>
    <row r="189" spans="1:38">
      <c r="C189" s="4" t="str">
        <f>Commodities!$C$55</f>
        <v>OILOPP</v>
      </c>
      <c r="F189" s="4" t="s">
        <v>361</v>
      </c>
      <c r="G189" s="4" t="s">
        <v>702</v>
      </c>
      <c r="H189" t="s">
        <v>661</v>
      </c>
      <c r="I189">
        <v>2019</v>
      </c>
      <c r="J189" t="s">
        <v>650</v>
      </c>
      <c r="K189" s="173">
        <f t="shared" ref="K189:AL189" si="11">IF(K$12=0,AVERAGE($K28:$AL28),K28)</f>
        <v>7.8230249078380769E-3</v>
      </c>
      <c r="L189" s="173">
        <f t="shared" si="11"/>
        <v>0</v>
      </c>
      <c r="M189" s="173">
        <f t="shared" si="11"/>
        <v>7.8230249078380769E-3</v>
      </c>
      <c r="N189" s="173">
        <f t="shared" si="11"/>
        <v>0</v>
      </c>
      <c r="O189" s="173">
        <f t="shared" si="11"/>
        <v>0</v>
      </c>
      <c r="P189" s="173">
        <f t="shared" si="11"/>
        <v>0</v>
      </c>
      <c r="Q189" s="173">
        <f t="shared" si="11"/>
        <v>7.8230249078380769E-3</v>
      </c>
      <c r="R189" s="173">
        <f t="shared" si="11"/>
        <v>7.8230249078380769E-3</v>
      </c>
      <c r="S189" s="173">
        <f t="shared" si="11"/>
        <v>0.14668014611882882</v>
      </c>
      <c r="T189" s="173">
        <f t="shared" si="11"/>
        <v>0</v>
      </c>
      <c r="U189" s="173">
        <f t="shared" si="11"/>
        <v>0</v>
      </c>
      <c r="V189" s="173">
        <f t="shared" si="11"/>
        <v>0</v>
      </c>
      <c r="W189" s="173">
        <f t="shared" si="11"/>
        <v>0</v>
      </c>
      <c r="X189" s="173">
        <f t="shared" si="11"/>
        <v>0</v>
      </c>
      <c r="Y189" s="173">
        <f t="shared" si="11"/>
        <v>0</v>
      </c>
      <c r="Z189" s="173">
        <f t="shared" si="11"/>
        <v>0</v>
      </c>
      <c r="AA189" s="173">
        <f t="shared" si="11"/>
        <v>2.0644478370191389E-2</v>
      </c>
      <c r="AB189" s="173">
        <f t="shared" si="11"/>
        <v>0</v>
      </c>
      <c r="AC189" s="173">
        <f t="shared" si="11"/>
        <v>0</v>
      </c>
      <c r="AD189" s="173">
        <f t="shared" si="11"/>
        <v>1.260494839125556E-2</v>
      </c>
      <c r="AE189" s="173">
        <f t="shared" si="11"/>
        <v>0</v>
      </c>
      <c r="AF189" s="173">
        <f t="shared" si="11"/>
        <v>0</v>
      </c>
      <c r="AG189" s="173">
        <f t="shared" si="11"/>
        <v>0</v>
      </c>
      <c r="AH189" s="173">
        <f t="shared" si="11"/>
        <v>0</v>
      </c>
      <c r="AI189" s="173">
        <f t="shared" si="11"/>
        <v>7.8230249078380769E-3</v>
      </c>
      <c r="AJ189" s="173">
        <f t="shared" si="11"/>
        <v>0</v>
      </c>
      <c r="AK189" s="173">
        <f t="shared" si="11"/>
        <v>0</v>
      </c>
      <c r="AL189" s="173">
        <f t="shared" si="11"/>
        <v>0</v>
      </c>
    </row>
    <row r="190" spans="1:38">
      <c r="C190" s="4" t="str">
        <f>Commodities!$C$135</f>
        <v>WASTEN</v>
      </c>
      <c r="F190" s="4" t="s">
        <v>361</v>
      </c>
      <c r="G190" s="4" t="s">
        <v>702</v>
      </c>
      <c r="H190" t="s">
        <v>661</v>
      </c>
      <c r="I190">
        <v>2019</v>
      </c>
      <c r="J190" t="s">
        <v>650</v>
      </c>
      <c r="K190" s="173">
        <f t="shared" ref="K190:AL190" si="12">IF(K$12=0,AVERAGE($K29:$AL29),K29)</f>
        <v>1.6857484020509937E-4</v>
      </c>
      <c r="L190" s="173">
        <f t="shared" si="12"/>
        <v>0</v>
      </c>
      <c r="M190" s="173">
        <f t="shared" si="12"/>
        <v>1.6857484020509937E-4</v>
      </c>
      <c r="N190" s="173">
        <f t="shared" si="12"/>
        <v>0</v>
      </c>
      <c r="O190" s="173">
        <f t="shared" si="12"/>
        <v>0</v>
      </c>
      <c r="P190" s="173">
        <f t="shared" si="12"/>
        <v>0</v>
      </c>
      <c r="Q190" s="173">
        <f t="shared" si="12"/>
        <v>1.6857484020509937E-4</v>
      </c>
      <c r="R190" s="173">
        <f t="shared" si="12"/>
        <v>1.6857484020509937E-4</v>
      </c>
      <c r="S190" s="173">
        <f t="shared" si="12"/>
        <v>0</v>
      </c>
      <c r="T190" s="173">
        <f t="shared" si="12"/>
        <v>0</v>
      </c>
      <c r="U190" s="173">
        <f t="shared" si="12"/>
        <v>0</v>
      </c>
      <c r="V190" s="173">
        <f t="shared" si="12"/>
        <v>0</v>
      </c>
      <c r="W190" s="173">
        <f t="shared" si="12"/>
        <v>0</v>
      </c>
      <c r="X190" s="173">
        <f t="shared" si="12"/>
        <v>0</v>
      </c>
      <c r="Y190" s="173">
        <f t="shared" si="12"/>
        <v>0</v>
      </c>
      <c r="Z190" s="173">
        <f t="shared" si="12"/>
        <v>0</v>
      </c>
      <c r="AA190" s="173">
        <f t="shared" si="12"/>
        <v>0</v>
      </c>
      <c r="AB190" s="173">
        <f t="shared" si="12"/>
        <v>0</v>
      </c>
      <c r="AC190" s="173">
        <f t="shared" si="12"/>
        <v>0</v>
      </c>
      <c r="AD190" s="173">
        <f t="shared" si="12"/>
        <v>3.8772213247172858E-3</v>
      </c>
      <c r="AE190" s="173">
        <f t="shared" si="12"/>
        <v>0</v>
      </c>
      <c r="AF190" s="173">
        <f t="shared" si="12"/>
        <v>0</v>
      </c>
      <c r="AG190" s="173">
        <f t="shared" si="12"/>
        <v>0</v>
      </c>
      <c r="AH190" s="173">
        <f t="shared" si="12"/>
        <v>0</v>
      </c>
      <c r="AI190" s="173">
        <f t="shared" si="12"/>
        <v>1.6857484020509937E-4</v>
      </c>
      <c r="AJ190" s="173">
        <f t="shared" si="12"/>
        <v>0</v>
      </c>
      <c r="AK190" s="173">
        <f t="shared" si="12"/>
        <v>0</v>
      </c>
      <c r="AL190" s="173">
        <f t="shared" si="12"/>
        <v>0</v>
      </c>
    </row>
    <row r="191" spans="1:38">
      <c r="D191" t="str">
        <f>Commodities!$C$29</f>
        <v>COACOG</v>
      </c>
      <c r="G191" s="4" t="s">
        <v>705</v>
      </c>
      <c r="H191" t="s">
        <v>661</v>
      </c>
      <c r="I191">
        <v>2019</v>
      </c>
      <c r="J191" t="s">
        <v>650</v>
      </c>
      <c r="K191" s="173">
        <f t="shared" ref="K191:AL191" si="13">IF(K$12=0,AVERAGE($K30:$AL30),K30)</f>
        <v>0.14823081037830663</v>
      </c>
      <c r="L191" s="173">
        <f t="shared" si="13"/>
        <v>0</v>
      </c>
      <c r="M191" s="173">
        <f t="shared" si="13"/>
        <v>0.14823081037830663</v>
      </c>
      <c r="N191" s="173">
        <f t="shared" si="13"/>
        <v>0.27674092701007164</v>
      </c>
      <c r="O191" s="173">
        <f t="shared" si="13"/>
        <v>0.23921869750923838</v>
      </c>
      <c r="P191" s="173">
        <f t="shared" si="13"/>
        <v>0.17676983845523583</v>
      </c>
      <c r="Q191" s="173">
        <f t="shared" si="13"/>
        <v>0.14823081037830663</v>
      </c>
      <c r="R191" s="173">
        <f t="shared" si="13"/>
        <v>0.14823081037830663</v>
      </c>
      <c r="S191" s="173">
        <f t="shared" si="13"/>
        <v>0.22827549178103207</v>
      </c>
      <c r="T191" s="173">
        <f t="shared" si="13"/>
        <v>0.27295157346970816</v>
      </c>
      <c r="U191" s="173">
        <f t="shared" si="13"/>
        <v>0.22298994974874373</v>
      </c>
      <c r="V191" s="173">
        <f t="shared" si="13"/>
        <v>0.11892901726565364</v>
      </c>
      <c r="W191" s="173">
        <f t="shared" si="13"/>
        <v>0.20526863724417854</v>
      </c>
      <c r="X191" s="173">
        <f t="shared" si="13"/>
        <v>0.25391043094545113</v>
      </c>
      <c r="Y191" s="173">
        <f t="shared" si="13"/>
        <v>0.22336021247500654</v>
      </c>
      <c r="Z191" s="173">
        <f t="shared" si="13"/>
        <v>0.12338272652570183</v>
      </c>
      <c r="AA191" s="173">
        <f t="shared" si="13"/>
        <v>0.20239300935981927</v>
      </c>
      <c r="AB191" s="173">
        <f t="shared" si="13"/>
        <v>0</v>
      </c>
      <c r="AC191" s="173">
        <f t="shared" si="13"/>
        <v>0.15236912148274756</v>
      </c>
      <c r="AD191" s="173">
        <f t="shared" si="13"/>
        <v>0.24205631661387672</v>
      </c>
      <c r="AE191" s="173">
        <f t="shared" si="13"/>
        <v>2.9236449495943239E-2</v>
      </c>
      <c r="AF191" s="173">
        <f t="shared" si="13"/>
        <v>0.23900080259483553</v>
      </c>
      <c r="AG191" s="173">
        <f t="shared" si="13"/>
        <v>0.13174592683168643</v>
      </c>
      <c r="AH191" s="173">
        <f t="shared" si="13"/>
        <v>0.23093049508143848</v>
      </c>
      <c r="AI191" s="173">
        <f t="shared" si="13"/>
        <v>0.14823081037830663</v>
      </c>
      <c r="AJ191" s="173">
        <f t="shared" si="13"/>
        <v>0.17957266366462568</v>
      </c>
      <c r="AK191" s="173">
        <f t="shared" si="13"/>
        <v>0.24821273055775805</v>
      </c>
      <c r="AL191" s="173">
        <f t="shared" si="13"/>
        <v>0.15314767247983416</v>
      </c>
    </row>
    <row r="192" spans="1:38">
      <c r="D192" t="str">
        <f>Commodities!$C$30</f>
        <v>COACOK</v>
      </c>
      <c r="G192" s="4" t="s">
        <v>705</v>
      </c>
      <c r="H192" t="s">
        <v>661</v>
      </c>
      <c r="I192">
        <v>2019</v>
      </c>
      <c r="J192" t="s">
        <v>650</v>
      </c>
      <c r="K192" s="173">
        <f t="shared" ref="K192:AL192" si="14">IF(K$12=0,AVERAGE($K31:$AL31),K31)</f>
        <v>0.85176918962169346</v>
      </c>
      <c r="L192" s="173">
        <f t="shared" si="14"/>
        <v>1</v>
      </c>
      <c r="M192" s="173">
        <f t="shared" si="14"/>
        <v>0.85176918962169346</v>
      </c>
      <c r="N192" s="173">
        <f t="shared" si="14"/>
        <v>0.72325907298992842</v>
      </c>
      <c r="O192" s="173">
        <f t="shared" si="14"/>
        <v>0.76078130249076159</v>
      </c>
      <c r="P192" s="173">
        <f t="shared" si="14"/>
        <v>0.82323016154476414</v>
      </c>
      <c r="Q192" s="173">
        <f t="shared" si="14"/>
        <v>0.85176918962169346</v>
      </c>
      <c r="R192" s="173">
        <f t="shared" si="14"/>
        <v>0.85176918962169346</v>
      </c>
      <c r="S192" s="173">
        <f t="shared" si="14"/>
        <v>0.77172450821896788</v>
      </c>
      <c r="T192" s="173">
        <f t="shared" si="14"/>
        <v>0.72704842653029189</v>
      </c>
      <c r="U192" s="173">
        <f t="shared" si="14"/>
        <v>0.77701005025125625</v>
      </c>
      <c r="V192" s="173">
        <f t="shared" si="14"/>
        <v>0.88107098273434636</v>
      </c>
      <c r="W192" s="173">
        <f t="shared" si="14"/>
        <v>0.79473136275582146</v>
      </c>
      <c r="X192" s="173">
        <f t="shared" si="14"/>
        <v>0.74608956905454882</v>
      </c>
      <c r="Y192" s="173">
        <f t="shared" si="14"/>
        <v>0.77663978752499352</v>
      </c>
      <c r="Z192" s="173">
        <f t="shared" si="14"/>
        <v>0.87661727347429819</v>
      </c>
      <c r="AA192" s="173">
        <f t="shared" si="14"/>
        <v>0.7976069906401807</v>
      </c>
      <c r="AB192" s="173">
        <f t="shared" si="14"/>
        <v>1</v>
      </c>
      <c r="AC192" s="173">
        <f t="shared" si="14"/>
        <v>0.84763087851725238</v>
      </c>
      <c r="AD192" s="173">
        <f t="shared" si="14"/>
        <v>0.75794368338612328</v>
      </c>
      <c r="AE192" s="173">
        <f t="shared" si="14"/>
        <v>0.97076355050405672</v>
      </c>
      <c r="AF192" s="173">
        <f t="shared" si="14"/>
        <v>0.76099919740516442</v>
      </c>
      <c r="AG192" s="173">
        <f t="shared" si="14"/>
        <v>0.8682540731683136</v>
      </c>
      <c r="AH192" s="173">
        <f t="shared" si="14"/>
        <v>0.76906950491856152</v>
      </c>
      <c r="AI192" s="173">
        <f t="shared" si="14"/>
        <v>0.85176918962169346</v>
      </c>
      <c r="AJ192" s="173">
        <f t="shared" si="14"/>
        <v>0.82042733633537435</v>
      </c>
      <c r="AK192" s="173">
        <f t="shared" si="14"/>
        <v>0.75178726944224195</v>
      </c>
      <c r="AL192" s="173">
        <f t="shared" si="14"/>
        <v>0.84685232752016582</v>
      </c>
    </row>
    <row r="193" spans="1:38">
      <c r="E193" s="4" t="s">
        <v>359</v>
      </c>
      <c r="F193" s="4" t="s">
        <v>691</v>
      </c>
      <c r="G193" s="4" t="s">
        <v>692</v>
      </c>
      <c r="J193" s="4" t="s">
        <v>2664</v>
      </c>
      <c r="K193" s="173">
        <f t="shared" ref="K193:AL193" si="15">IF(K$12=0,AVERAGE($K32:$AL32),K32)</f>
        <v>20.867856935403896</v>
      </c>
      <c r="L193" s="173" t="str">
        <f t="shared" si="15"/>
        <v/>
      </c>
      <c r="M193" s="173">
        <f t="shared" si="15"/>
        <v>20.867856935403896</v>
      </c>
      <c r="N193" s="173">
        <f t="shared" si="15"/>
        <v>99.159740259740246</v>
      </c>
      <c r="O193" s="173">
        <f t="shared" si="15"/>
        <v>4.694872797659448</v>
      </c>
      <c r="P193" s="173">
        <f t="shared" si="15"/>
        <v>5.6570736769283982</v>
      </c>
      <c r="Q193" s="173">
        <f t="shared" si="15"/>
        <v>20.867856935403896</v>
      </c>
      <c r="R193" s="173">
        <f t="shared" si="15"/>
        <v>20.867856935403896</v>
      </c>
      <c r="S193" s="173">
        <f t="shared" si="15"/>
        <v>40.692917166866749</v>
      </c>
      <c r="T193" s="173" t="str">
        <f t="shared" si="15"/>
        <v/>
      </c>
      <c r="U193" s="173" t="str">
        <f t="shared" si="15"/>
        <v/>
      </c>
      <c r="V193" s="173">
        <f t="shared" si="15"/>
        <v>16.439494141662831</v>
      </c>
      <c r="W193" s="173">
        <f t="shared" si="15"/>
        <v>12.256259148960838</v>
      </c>
      <c r="X193" s="173">
        <f t="shared" si="15"/>
        <v>6.2002069266161852</v>
      </c>
      <c r="Y193" s="173">
        <f t="shared" si="15"/>
        <v>7.3436239703766866</v>
      </c>
      <c r="Z193" s="173">
        <f t="shared" si="15"/>
        <v>9.2189014236854643</v>
      </c>
      <c r="AA193" s="173">
        <f t="shared" si="15"/>
        <v>11.605243302293829</v>
      </c>
      <c r="AB193" s="173" t="str">
        <f t="shared" si="15"/>
        <v/>
      </c>
      <c r="AC193" s="173">
        <f t="shared" si="15"/>
        <v>21.760332721599763</v>
      </c>
      <c r="AD193" s="173">
        <f t="shared" si="15"/>
        <v>9.6147933836424748</v>
      </c>
      <c r="AE193" s="173">
        <f t="shared" si="15"/>
        <v>49.483963344788087</v>
      </c>
      <c r="AF193" s="173">
        <f t="shared" si="15"/>
        <v>8.3012983760001262</v>
      </c>
      <c r="AG193" s="173">
        <f t="shared" si="15"/>
        <v>8.7685185435394661</v>
      </c>
      <c r="AH193" s="173">
        <f t="shared" si="15"/>
        <v>23.607868020304569</v>
      </c>
      <c r="AI193" s="173">
        <f t="shared" si="15"/>
        <v>20.867856935403896</v>
      </c>
      <c r="AJ193" s="173">
        <f t="shared" si="15"/>
        <v>34.755468886177439</v>
      </c>
      <c r="AK193" s="173">
        <f t="shared" si="15"/>
        <v>9.7434322873995445</v>
      </c>
      <c r="AL193" s="173">
        <f t="shared" si="15"/>
        <v>17.185273394431878</v>
      </c>
    </row>
    <row r="194" spans="1:38">
      <c r="C194" t="str">
        <f>Commodities!$C$83</f>
        <v>UPSBFG</v>
      </c>
      <c r="E194" s="4"/>
      <c r="F194" s="4" t="s">
        <v>359</v>
      </c>
      <c r="G194" s="4" t="s">
        <v>702</v>
      </c>
      <c r="H194" t="s">
        <v>661</v>
      </c>
      <c r="I194">
        <v>2019</v>
      </c>
      <c r="J194" t="s">
        <v>650</v>
      </c>
      <c r="K194" s="173">
        <f t="shared" ref="K194:AL194" si="16">IF(K$12=0,AVERAGE($K33:$AL33),K33)</f>
        <v>0.20127314882944483</v>
      </c>
      <c r="L194" s="173" t="str">
        <f t="shared" si="16"/>
        <v/>
      </c>
      <c r="M194" s="173">
        <f t="shared" si="16"/>
        <v>0.20127314882944483</v>
      </c>
      <c r="N194" s="173">
        <f t="shared" si="16"/>
        <v>0</v>
      </c>
      <c r="O194" s="173">
        <f t="shared" si="16"/>
        <v>1.5467330856208236E-2</v>
      </c>
      <c r="P194" s="173">
        <f t="shared" si="16"/>
        <v>0</v>
      </c>
      <c r="Q194" s="173">
        <f t="shared" si="16"/>
        <v>0.20127314882944483</v>
      </c>
      <c r="R194" s="173">
        <f t="shared" si="16"/>
        <v>0.20127314882944483</v>
      </c>
      <c r="S194" s="173">
        <f t="shared" si="16"/>
        <v>0</v>
      </c>
      <c r="T194" s="173" t="str">
        <f t="shared" si="16"/>
        <v/>
      </c>
      <c r="U194" s="173" t="str">
        <f t="shared" si="16"/>
        <v/>
      </c>
      <c r="V194" s="173">
        <f t="shared" si="16"/>
        <v>0</v>
      </c>
      <c r="W194" s="173">
        <f t="shared" si="16"/>
        <v>0</v>
      </c>
      <c r="X194" s="173">
        <f t="shared" si="16"/>
        <v>0.23499039965468999</v>
      </c>
      <c r="Y194" s="173">
        <f t="shared" si="16"/>
        <v>8.5271330020212352E-2</v>
      </c>
      <c r="Z194" s="173">
        <f t="shared" si="16"/>
        <v>0.64823377597470289</v>
      </c>
      <c r="AA194" s="173">
        <f t="shared" si="16"/>
        <v>0.42200790983946612</v>
      </c>
      <c r="AB194" s="173" t="str">
        <f t="shared" si="16"/>
        <v/>
      </c>
      <c r="AC194" s="173">
        <f t="shared" si="16"/>
        <v>0</v>
      </c>
      <c r="AD194" s="173">
        <f t="shared" si="16"/>
        <v>0.44708811324420039</v>
      </c>
      <c r="AE194" s="173">
        <f t="shared" si="16"/>
        <v>0</v>
      </c>
      <c r="AF194" s="173">
        <f t="shared" si="16"/>
        <v>0.50298716011312072</v>
      </c>
      <c r="AG194" s="173">
        <f t="shared" si="16"/>
        <v>0.59477789453104057</v>
      </c>
      <c r="AH194" s="173">
        <f t="shared" si="16"/>
        <v>0</v>
      </c>
      <c r="AI194" s="173">
        <f t="shared" si="16"/>
        <v>0.20127314882944483</v>
      </c>
      <c r="AJ194" s="173">
        <f t="shared" si="16"/>
        <v>8.2316541746557434E-2</v>
      </c>
      <c r="AK194" s="173">
        <f t="shared" si="16"/>
        <v>0.77418410815732075</v>
      </c>
      <c r="AL194" s="173">
        <f t="shared" si="16"/>
        <v>1.6865263621932056E-2</v>
      </c>
    </row>
    <row r="195" spans="1:38">
      <c r="C195" t="str">
        <f>Commodities!$C$86</f>
        <v>UPSCOA</v>
      </c>
      <c r="F195" s="4" t="s">
        <v>359</v>
      </c>
      <c r="G195" s="4" t="s">
        <v>702</v>
      </c>
      <c r="H195" t="s">
        <v>661</v>
      </c>
      <c r="I195">
        <v>2019</v>
      </c>
      <c r="J195" t="s">
        <v>650</v>
      </c>
      <c r="K195" s="173">
        <f t="shared" ref="K195:AL195" si="17">IF(K$12=0,AVERAGE($K34:$AL34),K34)</f>
        <v>3.4165395203596932E-2</v>
      </c>
      <c r="L195" s="173" t="str">
        <f t="shared" si="17"/>
        <v/>
      </c>
      <c r="M195" s="173">
        <f t="shared" si="17"/>
        <v>3.4165395203596932E-2</v>
      </c>
      <c r="N195" s="173">
        <f t="shared" si="17"/>
        <v>0</v>
      </c>
      <c r="O195" s="173">
        <f t="shared" si="17"/>
        <v>0</v>
      </c>
      <c r="P195" s="173">
        <f t="shared" si="17"/>
        <v>0</v>
      </c>
      <c r="Q195" s="173">
        <f t="shared" si="17"/>
        <v>3.4165395203596932E-2</v>
      </c>
      <c r="R195" s="173">
        <f t="shared" si="17"/>
        <v>3.4165395203596932E-2</v>
      </c>
      <c r="S195" s="173">
        <f t="shared" si="17"/>
        <v>0</v>
      </c>
      <c r="T195" s="173" t="str">
        <f t="shared" si="17"/>
        <v/>
      </c>
      <c r="U195" s="173" t="str">
        <f t="shared" si="17"/>
        <v/>
      </c>
      <c r="V195" s="173">
        <f t="shared" si="17"/>
        <v>0.58121342832861278</v>
      </c>
      <c r="W195" s="173">
        <f t="shared" si="17"/>
        <v>0</v>
      </c>
      <c r="X195" s="173">
        <f t="shared" si="17"/>
        <v>0</v>
      </c>
      <c r="Y195" s="173">
        <f t="shared" si="17"/>
        <v>3.2995201948395725E-2</v>
      </c>
      <c r="Z195" s="173">
        <f t="shared" si="17"/>
        <v>0</v>
      </c>
      <c r="AA195" s="173">
        <f t="shared" si="17"/>
        <v>1.5653676740054485E-2</v>
      </c>
      <c r="AB195" s="173" t="str">
        <f t="shared" si="17"/>
        <v/>
      </c>
      <c r="AC195" s="173">
        <f t="shared" si="17"/>
        <v>0</v>
      </c>
      <c r="AD195" s="173">
        <f t="shared" si="17"/>
        <v>1.9280201851278777E-2</v>
      </c>
      <c r="AE195" s="173">
        <f t="shared" si="17"/>
        <v>0</v>
      </c>
      <c r="AF195" s="173">
        <f t="shared" si="17"/>
        <v>0</v>
      </c>
      <c r="AG195" s="173">
        <f t="shared" si="17"/>
        <v>0</v>
      </c>
      <c r="AH195" s="173">
        <f t="shared" si="17"/>
        <v>0</v>
      </c>
      <c r="AI195" s="173">
        <f t="shared" si="17"/>
        <v>3.4165395203596932E-2</v>
      </c>
      <c r="AJ195" s="173">
        <f t="shared" si="17"/>
        <v>0</v>
      </c>
      <c r="AK195" s="173">
        <f t="shared" si="17"/>
        <v>0</v>
      </c>
      <c r="AL195" s="173">
        <f t="shared" si="17"/>
        <v>0</v>
      </c>
    </row>
    <row r="196" spans="1:38">
      <c r="C196" t="str">
        <f>Commodities!$C$88</f>
        <v>UPSCOG</v>
      </c>
      <c r="F196" s="4" t="s">
        <v>359</v>
      </c>
      <c r="G196" s="4" t="s">
        <v>702</v>
      </c>
      <c r="H196" t="s">
        <v>661</v>
      </c>
      <c r="I196">
        <v>2019</v>
      </c>
      <c r="J196" t="s">
        <v>650</v>
      </c>
      <c r="K196" s="173">
        <f t="shared" ref="K196:AL196" si="18">IF(K$12=0,AVERAGE($K35:$AL35),K35)</f>
        <v>0.60880138449066146</v>
      </c>
      <c r="L196" s="173" t="str">
        <f t="shared" si="18"/>
        <v/>
      </c>
      <c r="M196" s="173">
        <f t="shared" si="18"/>
        <v>0.60880138449066146</v>
      </c>
      <c r="N196" s="173">
        <f t="shared" si="18"/>
        <v>0</v>
      </c>
      <c r="O196" s="173">
        <f t="shared" si="18"/>
        <v>0.96312824595071622</v>
      </c>
      <c r="P196" s="173">
        <f t="shared" si="18"/>
        <v>1</v>
      </c>
      <c r="Q196" s="173">
        <f t="shared" si="18"/>
        <v>0.60880138449066146</v>
      </c>
      <c r="R196" s="173">
        <f t="shared" si="18"/>
        <v>0.60880138449066146</v>
      </c>
      <c r="S196" s="173">
        <f t="shared" si="18"/>
        <v>1</v>
      </c>
      <c r="T196" s="173" t="str">
        <f t="shared" si="18"/>
        <v/>
      </c>
      <c r="U196" s="173" t="str">
        <f t="shared" si="18"/>
        <v/>
      </c>
      <c r="V196" s="173">
        <f t="shared" si="18"/>
        <v>0.4036347853401851</v>
      </c>
      <c r="W196" s="173">
        <f t="shared" si="18"/>
        <v>0.68215449430179431</v>
      </c>
      <c r="X196" s="173">
        <f t="shared" si="18"/>
        <v>0.64855994823000618</v>
      </c>
      <c r="Y196" s="173">
        <f t="shared" si="18"/>
        <v>0.77222666525402672</v>
      </c>
      <c r="Z196" s="173">
        <f t="shared" si="18"/>
        <v>0.22691629236733116</v>
      </c>
      <c r="AA196" s="173">
        <f t="shared" si="18"/>
        <v>0.49003891999653038</v>
      </c>
      <c r="AB196" s="173" t="str">
        <f t="shared" si="18"/>
        <v/>
      </c>
      <c r="AC196" s="173">
        <f t="shared" si="18"/>
        <v>0.98064298669405969</v>
      </c>
      <c r="AD196" s="173">
        <f t="shared" si="18"/>
        <v>0.45498642962907304</v>
      </c>
      <c r="AE196" s="173">
        <f t="shared" si="18"/>
        <v>1</v>
      </c>
      <c r="AF196" s="173">
        <f t="shared" si="18"/>
        <v>0.49701283988687917</v>
      </c>
      <c r="AG196" s="173">
        <f t="shared" si="18"/>
        <v>0.38135332969688152</v>
      </c>
      <c r="AH196" s="173">
        <f t="shared" si="18"/>
        <v>0</v>
      </c>
      <c r="AI196" s="173">
        <f t="shared" si="18"/>
        <v>0.60880138449066146</v>
      </c>
      <c r="AJ196" s="173">
        <f t="shared" si="18"/>
        <v>0.91768345825344255</v>
      </c>
      <c r="AK196" s="173">
        <f t="shared" si="18"/>
        <v>0.22581589184267925</v>
      </c>
      <c r="AL196" s="173">
        <f t="shared" si="18"/>
        <v>0.92307201787895976</v>
      </c>
    </row>
    <row r="197" spans="1:38">
      <c r="C197" t="str">
        <f>Commodities!$C$89</f>
        <v>UPSCOK</v>
      </c>
      <c r="F197" s="4" t="s">
        <v>359</v>
      </c>
      <c r="G197" s="4" t="s">
        <v>702</v>
      </c>
      <c r="H197" t="s">
        <v>661</v>
      </c>
      <c r="I197">
        <v>2019</v>
      </c>
      <c r="J197" t="s">
        <v>650</v>
      </c>
      <c r="K197" s="173">
        <f t="shared" ref="K197:AL197" si="19">IF(K$12=0,AVERAGE($K36:$AL36),K36)</f>
        <v>0.11034737000241347</v>
      </c>
      <c r="L197" s="173" t="str">
        <f t="shared" si="19"/>
        <v/>
      </c>
      <c r="M197" s="173">
        <f t="shared" si="19"/>
        <v>0.11034737000241347</v>
      </c>
      <c r="N197" s="173">
        <f t="shared" si="19"/>
        <v>1</v>
      </c>
      <c r="O197" s="173">
        <f t="shared" si="19"/>
        <v>0</v>
      </c>
      <c r="P197" s="173">
        <f t="shared" si="19"/>
        <v>0</v>
      </c>
      <c r="Q197" s="173">
        <f t="shared" si="19"/>
        <v>0.11034737000241347</v>
      </c>
      <c r="R197" s="173">
        <f t="shared" si="19"/>
        <v>0.11034737000241347</v>
      </c>
      <c r="S197" s="173">
        <f t="shared" si="19"/>
        <v>0</v>
      </c>
      <c r="T197" s="173" t="str">
        <f t="shared" si="19"/>
        <v/>
      </c>
      <c r="U197" s="173" t="str">
        <f t="shared" si="19"/>
        <v/>
      </c>
      <c r="V197" s="173">
        <f t="shared" si="19"/>
        <v>1.515178633120212E-2</v>
      </c>
      <c r="W197" s="173">
        <f t="shared" si="19"/>
        <v>0</v>
      </c>
      <c r="X197" s="173">
        <f t="shared" si="19"/>
        <v>0</v>
      </c>
      <c r="Y197" s="173">
        <f t="shared" si="19"/>
        <v>0</v>
      </c>
      <c r="Z197" s="173">
        <f t="shared" si="19"/>
        <v>8.1448243714654103E-2</v>
      </c>
      <c r="AA197" s="173">
        <f t="shared" si="19"/>
        <v>0</v>
      </c>
      <c r="AB197" s="173" t="str">
        <f t="shared" si="19"/>
        <v/>
      </c>
      <c r="AC197" s="173">
        <f t="shared" si="19"/>
        <v>0</v>
      </c>
      <c r="AD197" s="173">
        <f t="shared" si="19"/>
        <v>0</v>
      </c>
      <c r="AE197" s="173">
        <f t="shared" si="19"/>
        <v>0</v>
      </c>
      <c r="AF197" s="173">
        <f t="shared" si="19"/>
        <v>0</v>
      </c>
      <c r="AG197" s="173">
        <f t="shared" si="19"/>
        <v>0</v>
      </c>
      <c r="AH197" s="173">
        <f t="shared" si="19"/>
        <v>1</v>
      </c>
      <c r="AI197" s="173">
        <f t="shared" si="19"/>
        <v>0.11034737000241347</v>
      </c>
      <c r="AJ197" s="173">
        <f t="shared" si="19"/>
        <v>0</v>
      </c>
      <c r="AK197" s="173">
        <f t="shared" si="19"/>
        <v>0</v>
      </c>
      <c r="AL197" s="173">
        <f t="shared" si="19"/>
        <v>0</v>
      </c>
    </row>
    <row r="198" spans="1:38">
      <c r="C198" t="str">
        <f>Commodities!$C$90</f>
        <v>UPSDSL</v>
      </c>
      <c r="F198" s="4" t="s">
        <v>359</v>
      </c>
      <c r="G198" s="4" t="s">
        <v>702</v>
      </c>
      <c r="H198" t="s">
        <v>661</v>
      </c>
      <c r="I198">
        <v>2019</v>
      </c>
      <c r="J198" t="s">
        <v>650</v>
      </c>
      <c r="K198" s="173">
        <f t="shared" ref="K198:AL198" si="20">IF(K$12=0,AVERAGE($K37:$AL37),K37)</f>
        <v>4.4428126304579417E-4</v>
      </c>
      <c r="L198" s="173" t="str">
        <f t="shared" si="20"/>
        <v/>
      </c>
      <c r="M198" s="173">
        <f t="shared" si="20"/>
        <v>4.4428126304579417E-4</v>
      </c>
      <c r="N198" s="173">
        <f t="shared" si="20"/>
        <v>0</v>
      </c>
      <c r="O198" s="173">
        <f t="shared" si="20"/>
        <v>0</v>
      </c>
      <c r="P198" s="173">
        <f t="shared" si="20"/>
        <v>0</v>
      </c>
      <c r="Q198" s="173">
        <f t="shared" si="20"/>
        <v>4.4428126304579417E-4</v>
      </c>
      <c r="R198" s="173">
        <f t="shared" si="20"/>
        <v>4.4428126304579417E-4</v>
      </c>
      <c r="S198" s="173">
        <f t="shared" si="20"/>
        <v>0</v>
      </c>
      <c r="T198" s="173" t="str">
        <f t="shared" si="20"/>
        <v/>
      </c>
      <c r="U198" s="173" t="str">
        <f t="shared" si="20"/>
        <v/>
      </c>
      <c r="V198" s="173">
        <f t="shared" si="20"/>
        <v>0</v>
      </c>
      <c r="W198" s="173">
        <f t="shared" si="20"/>
        <v>0</v>
      </c>
      <c r="X198" s="173">
        <f t="shared" si="20"/>
        <v>0</v>
      </c>
      <c r="Y198" s="173">
        <f t="shared" si="20"/>
        <v>1E-3</v>
      </c>
      <c r="Z198" s="173">
        <f t="shared" si="20"/>
        <v>0</v>
      </c>
      <c r="AA198" s="173">
        <f t="shared" si="20"/>
        <v>1.1148017406598699E-3</v>
      </c>
      <c r="AB198" s="173" t="str">
        <f t="shared" si="20"/>
        <v/>
      </c>
      <c r="AC198" s="173">
        <f t="shared" si="20"/>
        <v>0</v>
      </c>
      <c r="AD198" s="173">
        <f t="shared" si="20"/>
        <v>6.3265422572102185E-3</v>
      </c>
      <c r="AE198" s="173">
        <f t="shared" si="20"/>
        <v>0</v>
      </c>
      <c r="AF198" s="173">
        <f t="shared" si="20"/>
        <v>0</v>
      </c>
      <c r="AG198" s="173">
        <f t="shared" si="20"/>
        <v>0</v>
      </c>
      <c r="AH198" s="173">
        <f t="shared" si="20"/>
        <v>0</v>
      </c>
      <c r="AI198" s="173">
        <f t="shared" si="20"/>
        <v>4.4428126304579417E-4</v>
      </c>
      <c r="AJ198" s="173">
        <f t="shared" si="20"/>
        <v>0</v>
      </c>
      <c r="AK198" s="173">
        <f t="shared" si="20"/>
        <v>0</v>
      </c>
      <c r="AL198" s="173">
        <f t="shared" si="20"/>
        <v>0</v>
      </c>
    </row>
    <row r="199" spans="1:38">
      <c r="C199" t="str">
        <f>Commodities!$C$91</f>
        <v>UPSELC</v>
      </c>
      <c r="F199" s="4" t="s">
        <v>359</v>
      </c>
      <c r="G199" s="4" t="s">
        <v>702</v>
      </c>
      <c r="H199" t="s">
        <v>661</v>
      </c>
      <c r="I199">
        <v>2019</v>
      </c>
      <c r="J199" t="s">
        <v>650</v>
      </c>
      <c r="K199" s="173">
        <f t="shared" ref="K199:AL199" si="21">IF(K$12=0,AVERAGE($K38:$AL38),K38)</f>
        <v>1.7089993194644219E-2</v>
      </c>
      <c r="L199" s="173" t="str">
        <f t="shared" si="21"/>
        <v/>
      </c>
      <c r="M199" s="173">
        <f t="shared" si="21"/>
        <v>1.7089993194644219E-2</v>
      </c>
      <c r="N199" s="173">
        <f t="shared" si="21"/>
        <v>0</v>
      </c>
      <c r="O199" s="173">
        <f t="shared" si="21"/>
        <v>2.1404423193075617E-2</v>
      </c>
      <c r="P199" s="173">
        <f t="shared" si="21"/>
        <v>0</v>
      </c>
      <c r="Q199" s="173">
        <f t="shared" si="21"/>
        <v>1.7089993194644219E-2</v>
      </c>
      <c r="R199" s="173">
        <f t="shared" si="21"/>
        <v>1.7089993194644219E-2</v>
      </c>
      <c r="S199" s="173">
        <f t="shared" si="21"/>
        <v>0</v>
      </c>
      <c r="T199" s="173" t="str">
        <f t="shared" si="21"/>
        <v/>
      </c>
      <c r="U199" s="173" t="str">
        <f t="shared" si="21"/>
        <v/>
      </c>
      <c r="V199" s="173">
        <f t="shared" si="21"/>
        <v>0</v>
      </c>
      <c r="W199" s="173">
        <f t="shared" si="21"/>
        <v>5.186176544615638E-2</v>
      </c>
      <c r="X199" s="173">
        <f t="shared" si="21"/>
        <v>0</v>
      </c>
      <c r="Y199" s="173">
        <f t="shared" si="21"/>
        <v>4.8746688469510434E-2</v>
      </c>
      <c r="Z199" s="173">
        <f t="shared" si="21"/>
        <v>8.5311062115246E-3</v>
      </c>
      <c r="AA199" s="173">
        <f t="shared" si="21"/>
        <v>2.4580575904630551E-2</v>
      </c>
      <c r="AB199" s="173" t="str">
        <f t="shared" si="21"/>
        <v/>
      </c>
      <c r="AC199" s="173">
        <f t="shared" si="21"/>
        <v>1.9357013305940324E-2</v>
      </c>
      <c r="AD199" s="173">
        <f t="shared" si="21"/>
        <v>6.6296803896216075E-2</v>
      </c>
      <c r="AE199" s="173">
        <f t="shared" si="21"/>
        <v>0</v>
      </c>
      <c r="AF199" s="173">
        <f t="shared" si="21"/>
        <v>0</v>
      </c>
      <c r="AG199" s="173">
        <f t="shared" si="21"/>
        <v>2.3868775772077914E-2</v>
      </c>
      <c r="AH199" s="173">
        <f t="shared" si="21"/>
        <v>0</v>
      </c>
      <c r="AI199" s="173">
        <f t="shared" si="21"/>
        <v>1.7089993194644219E-2</v>
      </c>
      <c r="AJ199" s="173">
        <f t="shared" si="21"/>
        <v>0</v>
      </c>
      <c r="AK199" s="173">
        <f t="shared" si="21"/>
        <v>0</v>
      </c>
      <c r="AL199" s="173">
        <f t="shared" si="21"/>
        <v>6.0062718499108256E-2</v>
      </c>
    </row>
    <row r="200" spans="1:38">
      <c r="C200" t="str">
        <f>Commodities!$C$92</f>
        <v>UPSGAS</v>
      </c>
      <c r="F200" s="4" t="s">
        <v>359</v>
      </c>
      <c r="G200" s="4" t="s">
        <v>702</v>
      </c>
      <c r="H200" t="s">
        <v>661</v>
      </c>
      <c r="I200">
        <v>2019</v>
      </c>
      <c r="J200" t="s">
        <v>650</v>
      </c>
      <c r="K200" s="173">
        <f t="shared" ref="K200:AL200" si="22">IF(K$12=0,AVERAGE($K39:$AL39),K39)</f>
        <v>7.6797730599996615E-3</v>
      </c>
      <c r="L200" s="173" t="str">
        <f t="shared" si="22"/>
        <v/>
      </c>
      <c r="M200" s="173">
        <f t="shared" si="22"/>
        <v>7.6797730599996615E-3</v>
      </c>
      <c r="N200" s="173">
        <f t="shared" si="22"/>
        <v>0</v>
      </c>
      <c r="O200" s="173">
        <f t="shared" si="22"/>
        <v>0</v>
      </c>
      <c r="P200" s="173">
        <f t="shared" si="22"/>
        <v>0</v>
      </c>
      <c r="Q200" s="173">
        <f t="shared" si="22"/>
        <v>7.6797730599996615E-3</v>
      </c>
      <c r="R200" s="173">
        <f t="shared" si="22"/>
        <v>7.6797730599996615E-3</v>
      </c>
      <c r="S200" s="173">
        <f t="shared" si="22"/>
        <v>0</v>
      </c>
      <c r="T200" s="173" t="str">
        <f t="shared" si="22"/>
        <v/>
      </c>
      <c r="U200" s="173" t="str">
        <f t="shared" si="22"/>
        <v/>
      </c>
      <c r="V200" s="173">
        <f t="shared" si="22"/>
        <v>0</v>
      </c>
      <c r="W200" s="173">
        <f t="shared" si="22"/>
        <v>0</v>
      </c>
      <c r="X200" s="173">
        <f t="shared" si="22"/>
        <v>0.11644965211530378</v>
      </c>
      <c r="Y200" s="173">
        <f t="shared" si="22"/>
        <v>1E-3</v>
      </c>
      <c r="Z200" s="173">
        <f t="shared" si="22"/>
        <v>1.6621376202150574E-2</v>
      </c>
      <c r="AA200" s="173">
        <f t="shared" si="22"/>
        <v>7.6191961720549909E-3</v>
      </c>
      <c r="AB200" s="173" t="str">
        <f t="shared" si="22"/>
        <v/>
      </c>
      <c r="AC200" s="173">
        <f t="shared" si="22"/>
        <v>0</v>
      </c>
      <c r="AD200" s="173">
        <f t="shared" si="22"/>
        <v>4.2254636504842086E-3</v>
      </c>
      <c r="AE200" s="173">
        <f t="shared" si="22"/>
        <v>0</v>
      </c>
      <c r="AF200" s="173">
        <f t="shared" si="22"/>
        <v>0</v>
      </c>
      <c r="AG200" s="173">
        <f t="shared" si="22"/>
        <v>0</v>
      </c>
      <c r="AH200" s="173">
        <f t="shared" si="22"/>
        <v>0</v>
      </c>
      <c r="AI200" s="173">
        <f t="shared" si="22"/>
        <v>7.6797730599996615E-3</v>
      </c>
      <c r="AJ200" s="173">
        <f t="shared" si="22"/>
        <v>0</v>
      </c>
      <c r="AK200" s="173">
        <f t="shared" si="22"/>
        <v>0</v>
      </c>
      <c r="AL200" s="173">
        <f t="shared" si="22"/>
        <v>0</v>
      </c>
    </row>
    <row r="201" spans="1:38">
      <c r="C201" t="str">
        <f>Commodities!$C$94</f>
        <v>UPSHET</v>
      </c>
      <c r="F201" s="4" t="s">
        <v>359</v>
      </c>
      <c r="G201" s="4" t="s">
        <v>702</v>
      </c>
      <c r="H201" t="s">
        <v>661</v>
      </c>
      <c r="I201">
        <v>2019</v>
      </c>
      <c r="J201" t="s">
        <v>650</v>
      </c>
      <c r="K201" s="173">
        <f t="shared" ref="K201:AL201" si="23">IF(K$12=0,AVERAGE($K40:$AL40),K40)</f>
        <v>2.019344343275525E-2</v>
      </c>
      <c r="L201" s="173" t="str">
        <f t="shared" si="23"/>
        <v/>
      </c>
      <c r="M201" s="173">
        <f t="shared" si="23"/>
        <v>2.019344343275525E-2</v>
      </c>
      <c r="N201" s="173">
        <f t="shared" si="23"/>
        <v>0</v>
      </c>
      <c r="O201" s="173">
        <f t="shared" si="23"/>
        <v>0</v>
      </c>
      <c r="P201" s="173">
        <f t="shared" si="23"/>
        <v>0</v>
      </c>
      <c r="Q201" s="173">
        <f t="shared" si="23"/>
        <v>2.019344343275525E-2</v>
      </c>
      <c r="R201" s="173">
        <f t="shared" si="23"/>
        <v>2.019344343275525E-2</v>
      </c>
      <c r="S201" s="173">
        <f t="shared" si="23"/>
        <v>0</v>
      </c>
      <c r="T201" s="173" t="str">
        <f t="shared" si="23"/>
        <v/>
      </c>
      <c r="U201" s="173" t="str">
        <f t="shared" si="23"/>
        <v/>
      </c>
      <c r="V201" s="173">
        <f t="shared" si="23"/>
        <v>0</v>
      </c>
      <c r="W201" s="173">
        <f t="shared" si="23"/>
        <v>0.26598374025204924</v>
      </c>
      <c r="X201" s="173">
        <f t="shared" si="23"/>
        <v>0</v>
      </c>
      <c r="Y201" s="173">
        <f t="shared" si="23"/>
        <v>6.0457559834060016E-2</v>
      </c>
      <c r="Z201" s="173">
        <f t="shared" si="23"/>
        <v>1.8249205529636884E-2</v>
      </c>
      <c r="AA201" s="173">
        <f t="shared" si="23"/>
        <v>3.8984919606603635E-2</v>
      </c>
      <c r="AB201" s="173" t="str">
        <f t="shared" si="23"/>
        <v/>
      </c>
      <c r="AC201" s="173">
        <f t="shared" si="23"/>
        <v>0</v>
      </c>
      <c r="AD201" s="173">
        <f t="shared" si="23"/>
        <v>0</v>
      </c>
      <c r="AE201" s="173">
        <f t="shared" si="23"/>
        <v>0</v>
      </c>
      <c r="AF201" s="173">
        <f t="shared" si="23"/>
        <v>0</v>
      </c>
      <c r="AG201" s="173">
        <f t="shared" si="23"/>
        <v>0</v>
      </c>
      <c r="AH201" s="173">
        <f t="shared" si="23"/>
        <v>0</v>
      </c>
      <c r="AI201" s="173">
        <f t="shared" si="23"/>
        <v>2.019344343275525E-2</v>
      </c>
      <c r="AJ201" s="173">
        <f t="shared" si="23"/>
        <v>0</v>
      </c>
      <c r="AK201" s="173">
        <f t="shared" si="23"/>
        <v>0</v>
      </c>
      <c r="AL201" s="173">
        <f t="shared" si="23"/>
        <v>0</v>
      </c>
    </row>
    <row r="202" spans="1:38">
      <c r="C202" t="str">
        <f>Commodities!$C$96</f>
        <v>UPSKER</v>
      </c>
      <c r="F202" s="4" t="s">
        <v>359</v>
      </c>
      <c r="G202" s="4" t="s">
        <v>702</v>
      </c>
      <c r="H202" t="s">
        <v>661</v>
      </c>
      <c r="I202">
        <v>2019</v>
      </c>
      <c r="J202" t="s">
        <v>650</v>
      </c>
      <c r="K202" s="173">
        <f t="shared" ref="K202:AL202" si="24">IF(K$12=0,AVERAGE($K41:$AL41),K41)</f>
        <v>8.8350701179512476E-5</v>
      </c>
      <c r="L202" s="173" t="str">
        <f t="shared" si="24"/>
        <v/>
      </c>
      <c r="M202" s="173">
        <f t="shared" si="24"/>
        <v>8.8350701179512476E-5</v>
      </c>
      <c r="N202" s="173">
        <f t="shared" si="24"/>
        <v>0</v>
      </c>
      <c r="O202" s="173">
        <f t="shared" si="24"/>
        <v>0</v>
      </c>
      <c r="P202" s="173">
        <f t="shared" si="24"/>
        <v>0</v>
      </c>
      <c r="Q202" s="173">
        <f t="shared" si="24"/>
        <v>8.8350701179512476E-5</v>
      </c>
      <c r="R202" s="173">
        <f t="shared" si="24"/>
        <v>8.8350701179512476E-5</v>
      </c>
      <c r="S202" s="173">
        <f t="shared" si="24"/>
        <v>0</v>
      </c>
      <c r="T202" s="173" t="str">
        <f t="shared" si="24"/>
        <v/>
      </c>
      <c r="U202" s="173" t="str">
        <f t="shared" si="24"/>
        <v/>
      </c>
      <c r="V202" s="173">
        <f t="shared" si="24"/>
        <v>0</v>
      </c>
      <c r="W202" s="173">
        <f t="shared" si="24"/>
        <v>0</v>
      </c>
      <c r="X202" s="173">
        <f t="shared" si="24"/>
        <v>0</v>
      </c>
      <c r="Y202" s="173">
        <f t="shared" si="24"/>
        <v>0</v>
      </c>
      <c r="Z202" s="173">
        <f t="shared" si="24"/>
        <v>0</v>
      </c>
      <c r="AA202" s="173">
        <f t="shared" si="24"/>
        <v>0</v>
      </c>
      <c r="AB202" s="173" t="str">
        <f t="shared" si="24"/>
        <v/>
      </c>
      <c r="AC202" s="173">
        <f t="shared" si="24"/>
        <v>0</v>
      </c>
      <c r="AD202" s="173">
        <f t="shared" si="24"/>
        <v>1.6786633224107372E-3</v>
      </c>
      <c r="AE202" s="173">
        <f t="shared" si="24"/>
        <v>0</v>
      </c>
      <c r="AF202" s="173">
        <f t="shared" si="24"/>
        <v>0</v>
      </c>
      <c r="AG202" s="173">
        <f t="shared" si="24"/>
        <v>0</v>
      </c>
      <c r="AH202" s="173">
        <f t="shared" si="24"/>
        <v>0</v>
      </c>
      <c r="AI202" s="173">
        <f t="shared" si="24"/>
        <v>8.8350701179512476E-5</v>
      </c>
      <c r="AJ202" s="173">
        <f t="shared" si="24"/>
        <v>0</v>
      </c>
      <c r="AK202" s="173">
        <f t="shared" si="24"/>
        <v>0</v>
      </c>
      <c r="AL202" s="173">
        <f t="shared" si="24"/>
        <v>0</v>
      </c>
    </row>
    <row r="203" spans="1:38">
      <c r="A203" s="236"/>
      <c r="B203" s="236"/>
      <c r="C203" s="236" t="str">
        <f>Commodities!$C$97</f>
        <v>UPSLPG</v>
      </c>
      <c r="D203" s="236"/>
      <c r="E203" s="236"/>
      <c r="F203" s="259" t="s">
        <v>359</v>
      </c>
      <c r="G203" s="259" t="s">
        <v>702</v>
      </c>
      <c r="H203" s="236" t="s">
        <v>661</v>
      </c>
      <c r="I203" s="236">
        <v>2019</v>
      </c>
      <c r="J203" s="236" t="s">
        <v>650</v>
      </c>
      <c r="K203" s="226">
        <f t="shared" ref="K203:AL203" si="25">IF(K$12=0,AVERAGE($K42:$AL42),K42)</f>
        <v>5.2631578947368424E-5</v>
      </c>
      <c r="L203" s="226" t="str">
        <f t="shared" si="25"/>
        <v/>
      </c>
      <c r="M203" s="226">
        <f t="shared" si="25"/>
        <v>5.2631578947368424E-5</v>
      </c>
      <c r="N203" s="226">
        <f t="shared" si="25"/>
        <v>0</v>
      </c>
      <c r="O203" s="226">
        <f t="shared" si="25"/>
        <v>0</v>
      </c>
      <c r="P203" s="226">
        <f t="shared" si="25"/>
        <v>0</v>
      </c>
      <c r="Q203" s="226">
        <f t="shared" si="25"/>
        <v>5.2631578947368424E-5</v>
      </c>
      <c r="R203" s="226">
        <f t="shared" si="25"/>
        <v>5.2631578947368424E-5</v>
      </c>
      <c r="S203" s="226">
        <f t="shared" si="25"/>
        <v>0</v>
      </c>
      <c r="T203" s="226" t="str">
        <f t="shared" si="25"/>
        <v/>
      </c>
      <c r="U203" s="226" t="str">
        <f t="shared" si="25"/>
        <v/>
      </c>
      <c r="V203" s="226">
        <f t="shared" si="25"/>
        <v>0</v>
      </c>
      <c r="W203" s="226">
        <f t="shared" si="25"/>
        <v>0</v>
      </c>
      <c r="X203" s="226">
        <f t="shared" si="25"/>
        <v>0</v>
      </c>
      <c r="Y203" s="226">
        <f t="shared" si="25"/>
        <v>0</v>
      </c>
      <c r="Z203" s="226">
        <f t="shared" si="25"/>
        <v>0</v>
      </c>
      <c r="AA203" s="226">
        <f t="shared" si="25"/>
        <v>0</v>
      </c>
      <c r="AB203" s="226" t="str">
        <f t="shared" si="25"/>
        <v/>
      </c>
      <c r="AC203" s="226">
        <f t="shared" si="25"/>
        <v>0</v>
      </c>
      <c r="AD203" s="226">
        <f t="shared" si="25"/>
        <v>1E-3</v>
      </c>
      <c r="AE203" s="226">
        <f t="shared" si="25"/>
        <v>0</v>
      </c>
      <c r="AF203" s="226">
        <f t="shared" si="25"/>
        <v>0</v>
      </c>
      <c r="AG203" s="226">
        <f t="shared" si="25"/>
        <v>0</v>
      </c>
      <c r="AH203" s="226">
        <f t="shared" si="25"/>
        <v>0</v>
      </c>
      <c r="AI203" s="226">
        <f t="shared" si="25"/>
        <v>5.2631578947368424E-5</v>
      </c>
      <c r="AJ203" s="226">
        <f t="shared" si="25"/>
        <v>0</v>
      </c>
      <c r="AK203" s="226">
        <f t="shared" si="25"/>
        <v>0</v>
      </c>
      <c r="AL203" s="226">
        <f t="shared" si="25"/>
        <v>0</v>
      </c>
    </row>
    <row r="204" spans="1:38">
      <c r="A204" t="str">
        <f>AO16</f>
        <v>U-TRF-LIQGASCOA_01</v>
      </c>
      <c r="B204" t="str">
        <f>AP16</f>
        <v>UPS Transformation: Coal liquefaction and gas to liquid - New</v>
      </c>
      <c r="C204" s="4"/>
      <c r="D204" s="4"/>
      <c r="E204" s="4"/>
      <c r="F204" s="4"/>
      <c r="G204" s="4" t="s">
        <v>695</v>
      </c>
      <c r="H204" s="4"/>
      <c r="I204" s="4"/>
      <c r="J204" s="4" t="s">
        <v>2665</v>
      </c>
      <c r="K204" s="333">
        <v>1</v>
      </c>
      <c r="L204" s="333">
        <v>1</v>
      </c>
      <c r="M204" s="333">
        <v>1</v>
      </c>
      <c r="N204" s="333">
        <v>1</v>
      </c>
      <c r="O204" s="333">
        <v>1</v>
      </c>
      <c r="P204" s="333">
        <v>1</v>
      </c>
      <c r="Q204" s="333">
        <v>1</v>
      </c>
      <c r="R204" s="333">
        <v>1</v>
      </c>
      <c r="S204" s="333">
        <v>1</v>
      </c>
      <c r="T204" s="333">
        <v>1</v>
      </c>
      <c r="U204" s="333">
        <v>1</v>
      </c>
      <c r="V204" s="333">
        <v>1</v>
      </c>
      <c r="W204" s="333">
        <v>1</v>
      </c>
      <c r="X204" s="333">
        <v>1</v>
      </c>
      <c r="Y204" s="333">
        <v>1</v>
      </c>
      <c r="Z204" s="333">
        <v>1</v>
      </c>
      <c r="AA204" s="333">
        <v>1</v>
      </c>
      <c r="AB204" s="333">
        <v>1</v>
      </c>
      <c r="AC204" s="333">
        <v>1</v>
      </c>
      <c r="AD204" s="333">
        <v>1</v>
      </c>
      <c r="AE204" s="333">
        <v>1</v>
      </c>
      <c r="AF204" s="333">
        <v>1</v>
      </c>
      <c r="AG204" s="333">
        <v>1</v>
      </c>
      <c r="AH204" s="333">
        <v>1</v>
      </c>
      <c r="AI204" s="333">
        <v>1</v>
      </c>
      <c r="AJ204" s="333">
        <v>1</v>
      </c>
      <c r="AK204" s="333">
        <v>1</v>
      </c>
      <c r="AL204" s="333">
        <v>1</v>
      </c>
    </row>
    <row r="205" spans="1:38">
      <c r="C205" s="4"/>
      <c r="D205" s="4"/>
      <c r="E205" s="4"/>
      <c r="F205" s="4"/>
      <c r="G205" s="4" t="s">
        <v>697</v>
      </c>
      <c r="H205" s="4"/>
      <c r="I205" s="4"/>
      <c r="J205" s="4" t="s">
        <v>698</v>
      </c>
      <c r="K205" s="331">
        <v>100</v>
      </c>
      <c r="L205" s="331">
        <v>100</v>
      </c>
      <c r="M205" s="331">
        <v>100</v>
      </c>
      <c r="N205" s="331">
        <v>100</v>
      </c>
      <c r="O205" s="331">
        <v>100</v>
      </c>
      <c r="P205" s="331">
        <v>100</v>
      </c>
      <c r="Q205" s="331">
        <v>100</v>
      </c>
      <c r="R205" s="331">
        <v>100</v>
      </c>
      <c r="S205" s="331">
        <v>100</v>
      </c>
      <c r="T205" s="331">
        <v>100</v>
      </c>
      <c r="U205" s="331">
        <v>100</v>
      </c>
      <c r="V205" s="331">
        <v>100</v>
      </c>
      <c r="W205" s="331">
        <v>100</v>
      </c>
      <c r="X205" s="331">
        <v>100</v>
      </c>
      <c r="Y205" s="331">
        <v>100</v>
      </c>
      <c r="Z205" s="331">
        <v>100</v>
      </c>
      <c r="AA205" s="331">
        <v>100</v>
      </c>
      <c r="AB205" s="331">
        <v>100</v>
      </c>
      <c r="AC205" s="331">
        <v>100</v>
      </c>
      <c r="AD205" s="331">
        <v>100</v>
      </c>
      <c r="AE205" s="331">
        <v>100</v>
      </c>
      <c r="AF205" s="331">
        <v>100</v>
      </c>
      <c r="AG205" s="331">
        <v>100</v>
      </c>
      <c r="AH205" s="331">
        <v>100</v>
      </c>
      <c r="AI205" s="331">
        <v>100</v>
      </c>
      <c r="AJ205" s="331">
        <v>100</v>
      </c>
      <c r="AK205" s="331">
        <v>100</v>
      </c>
      <c r="AL205" s="331">
        <v>100</v>
      </c>
    </row>
    <row r="206" spans="1:38">
      <c r="C206" s="4"/>
      <c r="D206" s="4"/>
      <c r="E206" s="4"/>
      <c r="F206" s="4"/>
      <c r="G206" s="4" t="s">
        <v>707</v>
      </c>
      <c r="H206" s="4"/>
      <c r="I206" s="4"/>
      <c r="J206" s="4" t="s">
        <v>2669</v>
      </c>
      <c r="K206" s="354">
        <v>2020</v>
      </c>
      <c r="L206" s="354">
        <v>2020</v>
      </c>
      <c r="M206" s="354">
        <v>2020</v>
      </c>
      <c r="N206" s="354">
        <v>2020</v>
      </c>
      <c r="O206" s="354">
        <v>2020</v>
      </c>
      <c r="P206" s="354">
        <v>2020</v>
      </c>
      <c r="Q206" s="354">
        <v>2020</v>
      </c>
      <c r="R206" s="354">
        <v>2020</v>
      </c>
      <c r="S206" s="354">
        <v>2020</v>
      </c>
      <c r="T206" s="354">
        <v>2020</v>
      </c>
      <c r="U206" s="354">
        <v>2020</v>
      </c>
      <c r="V206" s="354">
        <v>2020</v>
      </c>
      <c r="W206" s="354">
        <v>2020</v>
      </c>
      <c r="X206" s="354">
        <v>2020</v>
      </c>
      <c r="Y206" s="354">
        <v>2020</v>
      </c>
      <c r="Z206" s="354">
        <v>2020</v>
      </c>
      <c r="AA206" s="354">
        <v>2020</v>
      </c>
      <c r="AB206" s="354">
        <v>2020</v>
      </c>
      <c r="AC206" s="354">
        <v>2020</v>
      </c>
      <c r="AD206" s="354">
        <v>2020</v>
      </c>
      <c r="AE206" s="354">
        <v>2020</v>
      </c>
      <c r="AF206" s="354">
        <v>2020</v>
      </c>
      <c r="AG206" s="354">
        <v>2020</v>
      </c>
      <c r="AH206" s="354">
        <v>2020</v>
      </c>
      <c r="AI206" s="354">
        <v>2020</v>
      </c>
      <c r="AJ206" s="354">
        <v>2020</v>
      </c>
      <c r="AK206" s="354">
        <v>2020</v>
      </c>
      <c r="AL206" s="354">
        <v>2020</v>
      </c>
    </row>
    <row r="207" spans="1:38">
      <c r="C207" s="4"/>
      <c r="D207" s="4"/>
      <c r="E207" s="4"/>
      <c r="F207" s="4"/>
      <c r="G207" s="4" t="s">
        <v>701</v>
      </c>
      <c r="H207" s="4" t="s">
        <v>661</v>
      </c>
      <c r="I207" s="4">
        <v>2019</v>
      </c>
      <c r="J207" s="4" t="s">
        <v>112</v>
      </c>
      <c r="K207" s="333">
        <f t="shared" ref="K207:AL207" si="26">IF(K45=0,0,"")</f>
        <v>0</v>
      </c>
      <c r="L207" s="333">
        <f t="shared" si="26"/>
        <v>0</v>
      </c>
      <c r="M207" s="333">
        <f t="shared" si="26"/>
        <v>0</v>
      </c>
      <c r="N207" s="333" t="str">
        <f t="shared" si="26"/>
        <v/>
      </c>
      <c r="O207" s="333">
        <f t="shared" si="26"/>
        <v>0</v>
      </c>
      <c r="P207" s="333" t="str">
        <f t="shared" si="26"/>
        <v/>
      </c>
      <c r="Q207" s="333" t="str">
        <f t="shared" si="26"/>
        <v/>
      </c>
      <c r="R207" s="333">
        <f t="shared" si="26"/>
        <v>0</v>
      </c>
      <c r="S207" s="333">
        <f t="shared" si="26"/>
        <v>0</v>
      </c>
      <c r="T207" s="333" t="str">
        <f t="shared" si="26"/>
        <v/>
      </c>
      <c r="U207" s="333">
        <f t="shared" si="26"/>
        <v>0</v>
      </c>
      <c r="V207" s="333" t="str">
        <f t="shared" si="26"/>
        <v/>
      </c>
      <c r="W207" s="333">
        <f t="shared" si="26"/>
        <v>0</v>
      </c>
      <c r="X207" s="333">
        <f t="shared" si="26"/>
        <v>0</v>
      </c>
      <c r="Y207" s="333" t="str">
        <f t="shared" si="26"/>
        <v/>
      </c>
      <c r="Z207" s="333">
        <f t="shared" si="26"/>
        <v>0</v>
      </c>
      <c r="AA207" s="333" t="str">
        <f t="shared" si="26"/>
        <v/>
      </c>
      <c r="AB207" s="333">
        <f t="shared" si="26"/>
        <v>0</v>
      </c>
      <c r="AC207" s="333">
        <f t="shared" si="26"/>
        <v>0</v>
      </c>
      <c r="AD207" s="333">
        <f t="shared" si="26"/>
        <v>0</v>
      </c>
      <c r="AE207" s="333" t="str">
        <f t="shared" si="26"/>
        <v/>
      </c>
      <c r="AF207" s="333" t="str">
        <f t="shared" si="26"/>
        <v/>
      </c>
      <c r="AG207" s="333" t="str">
        <f t="shared" si="26"/>
        <v/>
      </c>
      <c r="AH207" s="333" t="str">
        <f t="shared" si="26"/>
        <v/>
      </c>
      <c r="AI207" s="333" t="str">
        <f t="shared" si="26"/>
        <v/>
      </c>
      <c r="AJ207" s="333" t="str">
        <f t="shared" si="26"/>
        <v/>
      </c>
      <c r="AK207" s="333">
        <f t="shared" si="26"/>
        <v>0</v>
      </c>
      <c r="AL207" s="333" t="str">
        <f t="shared" si="26"/>
        <v/>
      </c>
    </row>
    <row r="208" spans="1:38">
      <c r="C208" s="4"/>
      <c r="D208" s="4"/>
      <c r="E208" s="4"/>
      <c r="F208" s="4"/>
      <c r="G208" s="4" t="s">
        <v>701</v>
      </c>
      <c r="H208" s="4" t="s">
        <v>661</v>
      </c>
      <c r="I208" s="4">
        <v>2060</v>
      </c>
      <c r="J208" s="4" t="s">
        <v>112</v>
      </c>
      <c r="K208" s="333">
        <f>K207</f>
        <v>0</v>
      </c>
      <c r="L208" s="333">
        <f t="shared" ref="L208:AL208" si="27">L207</f>
        <v>0</v>
      </c>
      <c r="M208" s="333">
        <f t="shared" si="27"/>
        <v>0</v>
      </c>
      <c r="N208" s="333" t="str">
        <f t="shared" si="27"/>
        <v/>
      </c>
      <c r="O208" s="333">
        <f t="shared" si="27"/>
        <v>0</v>
      </c>
      <c r="P208" s="333" t="str">
        <f t="shared" si="27"/>
        <v/>
      </c>
      <c r="Q208" s="333" t="str">
        <f t="shared" si="27"/>
        <v/>
      </c>
      <c r="R208" s="333">
        <f t="shared" si="27"/>
        <v>0</v>
      </c>
      <c r="S208" s="333">
        <f t="shared" si="27"/>
        <v>0</v>
      </c>
      <c r="T208" s="333" t="str">
        <f t="shared" si="27"/>
        <v/>
      </c>
      <c r="U208" s="333">
        <f t="shared" si="27"/>
        <v>0</v>
      </c>
      <c r="V208" s="333" t="str">
        <f t="shared" si="27"/>
        <v/>
      </c>
      <c r="W208" s="333">
        <f t="shared" si="27"/>
        <v>0</v>
      </c>
      <c r="X208" s="333">
        <f t="shared" si="27"/>
        <v>0</v>
      </c>
      <c r="Y208" s="333" t="str">
        <f t="shared" si="27"/>
        <v/>
      </c>
      <c r="Z208" s="333">
        <f t="shared" si="27"/>
        <v>0</v>
      </c>
      <c r="AA208" s="333" t="str">
        <f t="shared" si="27"/>
        <v/>
      </c>
      <c r="AB208" s="333">
        <f t="shared" si="27"/>
        <v>0</v>
      </c>
      <c r="AC208" s="333">
        <f t="shared" si="27"/>
        <v>0</v>
      </c>
      <c r="AD208" s="333">
        <f t="shared" si="27"/>
        <v>0</v>
      </c>
      <c r="AE208" s="333" t="str">
        <f t="shared" si="27"/>
        <v/>
      </c>
      <c r="AF208" s="333" t="str">
        <f t="shared" si="27"/>
        <v/>
      </c>
      <c r="AG208" s="333" t="str">
        <f t="shared" si="27"/>
        <v/>
      </c>
      <c r="AH208" s="333" t="str">
        <f t="shared" si="27"/>
        <v/>
      </c>
      <c r="AI208" s="333" t="str">
        <f t="shared" si="27"/>
        <v/>
      </c>
      <c r="AJ208" s="333" t="str">
        <f t="shared" si="27"/>
        <v/>
      </c>
      <c r="AK208" s="333">
        <f t="shared" si="27"/>
        <v>0</v>
      </c>
      <c r="AL208" s="333" t="str">
        <f t="shared" si="27"/>
        <v/>
      </c>
    </row>
    <row r="209" spans="1:38">
      <c r="C209" s="4"/>
      <c r="D209" s="4"/>
      <c r="E209" s="4"/>
      <c r="F209" s="4"/>
      <c r="G209" s="4" t="s">
        <v>701</v>
      </c>
      <c r="H209" s="4" t="s">
        <v>661</v>
      </c>
      <c r="I209" s="4">
        <v>0</v>
      </c>
      <c r="J209" s="4"/>
      <c r="K209" s="333">
        <f>IF(K207="","",5)</f>
        <v>5</v>
      </c>
      <c r="L209" s="333">
        <f t="shared" ref="L209:AL209" si="28">IF(L207="","",5)</f>
        <v>5</v>
      </c>
      <c r="M209" s="333">
        <f t="shared" si="28"/>
        <v>5</v>
      </c>
      <c r="N209" s="333" t="str">
        <f t="shared" si="28"/>
        <v/>
      </c>
      <c r="O209" s="333">
        <f t="shared" si="28"/>
        <v>5</v>
      </c>
      <c r="P209" s="333" t="str">
        <f t="shared" si="28"/>
        <v/>
      </c>
      <c r="Q209" s="333" t="str">
        <f t="shared" si="28"/>
        <v/>
      </c>
      <c r="R209" s="333">
        <f t="shared" si="28"/>
        <v>5</v>
      </c>
      <c r="S209" s="333">
        <f t="shared" si="28"/>
        <v>5</v>
      </c>
      <c r="T209" s="333" t="str">
        <f t="shared" si="28"/>
        <v/>
      </c>
      <c r="U209" s="333">
        <f t="shared" si="28"/>
        <v>5</v>
      </c>
      <c r="V209" s="333" t="str">
        <f t="shared" si="28"/>
        <v/>
      </c>
      <c r="W209" s="333">
        <f t="shared" si="28"/>
        <v>5</v>
      </c>
      <c r="X209" s="333">
        <f t="shared" si="28"/>
        <v>5</v>
      </c>
      <c r="Y209" s="333" t="str">
        <f t="shared" si="28"/>
        <v/>
      </c>
      <c r="Z209" s="333">
        <f t="shared" si="28"/>
        <v>5</v>
      </c>
      <c r="AA209" s="333" t="str">
        <f t="shared" si="28"/>
        <v/>
      </c>
      <c r="AB209" s="333">
        <f t="shared" si="28"/>
        <v>5</v>
      </c>
      <c r="AC209" s="333">
        <f t="shared" si="28"/>
        <v>5</v>
      </c>
      <c r="AD209" s="333">
        <f t="shared" si="28"/>
        <v>5</v>
      </c>
      <c r="AE209" s="333" t="str">
        <f t="shared" si="28"/>
        <v/>
      </c>
      <c r="AF209" s="333" t="str">
        <f t="shared" si="28"/>
        <v/>
      </c>
      <c r="AG209" s="333" t="str">
        <f t="shared" si="28"/>
        <v/>
      </c>
      <c r="AH209" s="333" t="str">
        <f t="shared" si="28"/>
        <v/>
      </c>
      <c r="AI209" s="333" t="str">
        <f t="shared" si="28"/>
        <v/>
      </c>
      <c r="AJ209" s="333" t="str">
        <f t="shared" si="28"/>
        <v/>
      </c>
      <c r="AK209" s="333">
        <f t="shared" si="28"/>
        <v>5</v>
      </c>
      <c r="AL209" s="333" t="str">
        <f t="shared" si="28"/>
        <v/>
      </c>
    </row>
    <row r="210" spans="1:38">
      <c r="C210" s="4"/>
      <c r="D210" s="4"/>
      <c r="E210" s="4"/>
      <c r="F210" s="4"/>
      <c r="G210" s="4" t="s">
        <v>687</v>
      </c>
      <c r="H210" s="4"/>
      <c r="I210" s="4"/>
      <c r="J210" s="4" t="s">
        <v>2663</v>
      </c>
      <c r="K210" s="332">
        <f>'Key inputs_TRF'!$C$20*10^3</f>
        <v>17.93283606693366</v>
      </c>
      <c r="L210" s="332">
        <f>'Key inputs_TRF'!$C$20*10^3</f>
        <v>17.93283606693366</v>
      </c>
      <c r="M210" s="332">
        <f>'Key inputs_TRF'!$C$20*10^3</f>
        <v>17.93283606693366</v>
      </c>
      <c r="N210" s="332">
        <f>'Key inputs_TRF'!$C$20*10^3</f>
        <v>17.93283606693366</v>
      </c>
      <c r="O210" s="332">
        <f>'Key inputs_TRF'!$C$20*10^3</f>
        <v>17.93283606693366</v>
      </c>
      <c r="P210" s="332">
        <f>'Key inputs_TRF'!$C$20*10^3</f>
        <v>17.93283606693366</v>
      </c>
      <c r="Q210" s="332">
        <f>'Key inputs_TRF'!$C$20*10^3</f>
        <v>17.93283606693366</v>
      </c>
      <c r="R210" s="332">
        <f>'Key inputs_TRF'!$C$20*10^3</f>
        <v>17.93283606693366</v>
      </c>
      <c r="S210" s="332">
        <f>'Key inputs_TRF'!$C$20*10^3</f>
        <v>17.93283606693366</v>
      </c>
      <c r="T210" s="332">
        <f>'Key inputs_TRF'!$C$20*10^3</f>
        <v>17.93283606693366</v>
      </c>
      <c r="U210" s="332">
        <f>'Key inputs_TRF'!$C$20*10^3</f>
        <v>17.93283606693366</v>
      </c>
      <c r="V210" s="332">
        <f>'Key inputs_TRF'!$C$20*10^3</f>
        <v>17.93283606693366</v>
      </c>
      <c r="W210" s="332">
        <f>'Key inputs_TRF'!$C$20*10^3</f>
        <v>17.93283606693366</v>
      </c>
      <c r="X210" s="332">
        <f>'Key inputs_TRF'!$C$20*10^3</f>
        <v>17.93283606693366</v>
      </c>
      <c r="Y210" s="332">
        <f>'Key inputs_TRF'!$C$20*10^3</f>
        <v>17.93283606693366</v>
      </c>
      <c r="Z210" s="332">
        <f>'Key inputs_TRF'!$C$20*10^3</f>
        <v>17.93283606693366</v>
      </c>
      <c r="AA210" s="332">
        <f>'Key inputs_TRF'!$C$20*10^3</f>
        <v>17.93283606693366</v>
      </c>
      <c r="AB210" s="332">
        <f>'Key inputs_TRF'!$C$20*10^3</f>
        <v>17.93283606693366</v>
      </c>
      <c r="AC210" s="332">
        <f>'Key inputs_TRF'!$C$20*10^3</f>
        <v>17.93283606693366</v>
      </c>
      <c r="AD210" s="332">
        <f>'Key inputs_TRF'!$C$20*10^3</f>
        <v>17.93283606693366</v>
      </c>
      <c r="AE210" s="332">
        <f>'Key inputs_TRF'!$C$20*10^3</f>
        <v>17.93283606693366</v>
      </c>
      <c r="AF210" s="332">
        <f>'Key inputs_TRF'!$C$20*10^3</f>
        <v>17.93283606693366</v>
      </c>
      <c r="AG210" s="332">
        <f>'Key inputs_TRF'!$C$20*10^3</f>
        <v>17.93283606693366</v>
      </c>
      <c r="AH210" s="332">
        <f>'Key inputs_TRF'!$C$20*10^3</f>
        <v>17.93283606693366</v>
      </c>
      <c r="AI210" s="332">
        <f>'Key inputs_TRF'!$C$20*10^3</f>
        <v>17.93283606693366</v>
      </c>
      <c r="AJ210" s="332">
        <f>'Key inputs_TRF'!$C$20*10^3</f>
        <v>17.93283606693366</v>
      </c>
      <c r="AK210" s="332">
        <f>'Key inputs_TRF'!$C$20*10^3</f>
        <v>17.93283606693366</v>
      </c>
      <c r="AL210" s="332">
        <f>'Key inputs_TRF'!$C$20*10^3</f>
        <v>17.93283606693366</v>
      </c>
    </row>
    <row r="211" spans="1:38">
      <c r="C211" s="4"/>
      <c r="D211" s="4"/>
      <c r="E211" s="4"/>
      <c r="F211" s="4"/>
      <c r="G211" s="4" t="s">
        <v>689</v>
      </c>
      <c r="H211" s="4"/>
      <c r="I211" s="4"/>
      <c r="J211" s="4" t="s">
        <v>2663</v>
      </c>
      <c r="K211" s="333"/>
      <c r="L211" s="333"/>
      <c r="M211" s="333"/>
      <c r="N211" s="333"/>
      <c r="O211" s="333"/>
      <c r="P211" s="333"/>
      <c r="Q211" s="333"/>
      <c r="R211" s="333"/>
      <c r="S211" s="333"/>
      <c r="T211" s="333"/>
      <c r="U211" s="333"/>
      <c r="V211" s="333"/>
      <c r="W211" s="333"/>
      <c r="X211" s="333"/>
      <c r="Y211" s="333"/>
      <c r="Z211" s="333"/>
      <c r="AA211" s="333"/>
      <c r="AB211" s="333"/>
      <c r="AC211" s="333"/>
      <c r="AD211" s="333"/>
      <c r="AE211" s="333"/>
      <c r="AF211" s="333"/>
      <c r="AG211" s="333"/>
      <c r="AH211" s="333"/>
      <c r="AI211" s="333"/>
      <c r="AJ211" s="333"/>
      <c r="AK211" s="333"/>
      <c r="AL211" s="333"/>
    </row>
    <row r="212" spans="1:38">
      <c r="C212" s="4"/>
      <c r="D212" s="4"/>
      <c r="E212" s="4"/>
      <c r="F212" s="4"/>
      <c r="G212" s="4" t="s">
        <v>675</v>
      </c>
      <c r="H212" s="4"/>
      <c r="I212" s="4"/>
      <c r="J212" s="4" t="s">
        <v>2662</v>
      </c>
      <c r="K212" s="333"/>
      <c r="L212" s="333"/>
      <c r="M212" s="333"/>
      <c r="N212" s="333"/>
      <c r="O212" s="333"/>
      <c r="P212" s="333"/>
      <c r="Q212" s="333"/>
      <c r="R212" s="333"/>
      <c r="S212" s="333"/>
      <c r="T212" s="333"/>
      <c r="U212" s="333"/>
      <c r="V212" s="333"/>
      <c r="W212" s="333"/>
      <c r="X212" s="333"/>
      <c r="Y212" s="333"/>
      <c r="Z212" s="333"/>
      <c r="AA212" s="333"/>
      <c r="AB212" s="333"/>
      <c r="AC212" s="333"/>
      <c r="AD212" s="333"/>
      <c r="AE212" s="333"/>
      <c r="AF212" s="333"/>
      <c r="AG212" s="333"/>
      <c r="AH212" s="333"/>
      <c r="AI212" s="333"/>
      <c r="AJ212" s="333"/>
      <c r="AK212" s="333"/>
      <c r="AL212" s="333"/>
    </row>
    <row r="213" spans="1:38">
      <c r="C213" s="4"/>
      <c r="D213" s="4"/>
      <c r="E213" s="4" t="s">
        <v>362</v>
      </c>
      <c r="F213" s="4" t="s">
        <v>691</v>
      </c>
      <c r="G213" s="4" t="s">
        <v>692</v>
      </c>
      <c r="H213" s="4"/>
      <c r="I213" s="4"/>
      <c r="J213" s="4" t="s">
        <v>2664</v>
      </c>
      <c r="K213" s="173">
        <f t="shared" ref="K213:AL213" si="29">IF(K$45=0,AVERAGE($K56:$AL56),K56)</f>
        <v>0.74259601283916765</v>
      </c>
      <c r="L213" s="173">
        <f t="shared" si="29"/>
        <v>0.74259601283916765</v>
      </c>
      <c r="M213" s="173">
        <f t="shared" si="29"/>
        <v>0.74259601283916765</v>
      </c>
      <c r="N213" s="173">
        <f t="shared" si="29"/>
        <v>0.54142068828376477</v>
      </c>
      <c r="O213" s="173">
        <f t="shared" si="29"/>
        <v>0.74259601283916765</v>
      </c>
      <c r="P213" s="173">
        <f t="shared" si="29"/>
        <v>0.43285106943940943</v>
      </c>
      <c r="Q213" s="173">
        <f t="shared" si="29"/>
        <v>0.4209282520757931</v>
      </c>
      <c r="R213" s="173">
        <f t="shared" si="29"/>
        <v>0.74259601283916765</v>
      </c>
      <c r="S213" s="173">
        <f t="shared" si="29"/>
        <v>0.74259601283916765</v>
      </c>
      <c r="T213" s="173">
        <f t="shared" si="29"/>
        <v>1</v>
      </c>
      <c r="U213" s="173">
        <f t="shared" si="29"/>
        <v>0.74259601283916765</v>
      </c>
      <c r="V213" s="173">
        <f t="shared" si="29"/>
        <v>0.25480531008780483</v>
      </c>
      <c r="W213" s="173">
        <f t="shared" si="29"/>
        <v>0.74259601283916765</v>
      </c>
      <c r="X213" s="173">
        <f t="shared" si="29"/>
        <v>0.74259601283916765</v>
      </c>
      <c r="Y213" s="173">
        <f t="shared" si="29"/>
        <v>1</v>
      </c>
      <c r="Z213" s="173">
        <f t="shared" si="29"/>
        <v>0.74259601283916765</v>
      </c>
      <c r="AA213" s="173">
        <f t="shared" si="29"/>
        <v>1</v>
      </c>
      <c r="AB213" s="173">
        <f t="shared" si="29"/>
        <v>0.74259601283916765</v>
      </c>
      <c r="AC213" s="173">
        <f t="shared" si="29"/>
        <v>0.74259601283916765</v>
      </c>
      <c r="AD213" s="173">
        <f t="shared" si="29"/>
        <v>0.74259601283916765</v>
      </c>
      <c r="AE213" s="173">
        <f t="shared" si="29"/>
        <v>1</v>
      </c>
      <c r="AF213" s="173">
        <f t="shared" si="29"/>
        <v>1</v>
      </c>
      <c r="AG213" s="173">
        <f t="shared" si="29"/>
        <v>0.35464504878665654</v>
      </c>
      <c r="AH213" s="173">
        <f t="shared" si="29"/>
        <v>1</v>
      </c>
      <c r="AI213" s="173">
        <f t="shared" si="29"/>
        <v>0.39169381107491852</v>
      </c>
      <c r="AJ213" s="173">
        <f t="shared" si="29"/>
        <v>1</v>
      </c>
      <c r="AK213" s="173">
        <f t="shared" si="29"/>
        <v>0.74259601283916765</v>
      </c>
      <c r="AL213" s="173">
        <f t="shared" si="29"/>
        <v>1</v>
      </c>
    </row>
    <row r="214" spans="1:38">
      <c r="C214" s="4" t="str">
        <f>Commodities!$C$22</f>
        <v>COA</v>
      </c>
      <c r="F214" s="4" t="s">
        <v>362</v>
      </c>
      <c r="G214" s="4" t="s">
        <v>702</v>
      </c>
      <c r="H214" t="s">
        <v>661</v>
      </c>
      <c r="I214">
        <v>2019</v>
      </c>
      <c r="J214" t="s">
        <v>650</v>
      </c>
      <c r="K214" s="173">
        <f t="shared" ref="K214:AL214" si="30">IF(K$45=0,AVERAGE($K57:$AL57),K57)</f>
        <v>0.14292380068681729</v>
      </c>
      <c r="L214" s="173">
        <f t="shared" si="30"/>
        <v>0.14292380068681729</v>
      </c>
      <c r="M214" s="173">
        <f t="shared" si="30"/>
        <v>0.14292380068681729</v>
      </c>
      <c r="N214" s="173">
        <f t="shared" si="30"/>
        <v>0.73047811983445399</v>
      </c>
      <c r="O214" s="173">
        <f t="shared" si="30"/>
        <v>0.14292380068681729</v>
      </c>
      <c r="P214" s="173">
        <f t="shared" si="30"/>
        <v>0</v>
      </c>
      <c r="Q214" s="173">
        <f t="shared" si="30"/>
        <v>0</v>
      </c>
      <c r="R214" s="173">
        <f t="shared" si="30"/>
        <v>0.14292380068681729</v>
      </c>
      <c r="S214" s="173">
        <f t="shared" si="30"/>
        <v>0.14292380068681729</v>
      </c>
      <c r="T214" s="173">
        <f t="shared" si="30"/>
        <v>0</v>
      </c>
      <c r="U214" s="173">
        <f t="shared" si="30"/>
        <v>0.14292380068681729</v>
      </c>
      <c r="V214" s="173">
        <f t="shared" si="30"/>
        <v>0.52111596697594431</v>
      </c>
      <c r="W214" s="173">
        <f t="shared" si="30"/>
        <v>0.14292380068681729</v>
      </c>
      <c r="X214" s="173">
        <f t="shared" si="30"/>
        <v>0.14292380068681729</v>
      </c>
      <c r="Y214" s="173">
        <f t="shared" si="30"/>
        <v>0.749339122805044</v>
      </c>
      <c r="Z214" s="173">
        <f t="shared" si="30"/>
        <v>0.14292380068681729</v>
      </c>
      <c r="AA214" s="173">
        <f t="shared" si="30"/>
        <v>0</v>
      </c>
      <c r="AB214" s="173">
        <f t="shared" si="30"/>
        <v>0.14292380068681729</v>
      </c>
      <c r="AC214" s="173">
        <f t="shared" si="30"/>
        <v>0.14292380068681729</v>
      </c>
      <c r="AD214" s="173">
        <f t="shared" si="30"/>
        <v>0.14292380068681729</v>
      </c>
      <c r="AE214" s="173">
        <f t="shared" si="30"/>
        <v>0</v>
      </c>
      <c r="AF214" s="173">
        <f t="shared" si="30"/>
        <v>0</v>
      </c>
      <c r="AG214" s="173">
        <f t="shared" si="30"/>
        <v>0</v>
      </c>
      <c r="AH214" s="173">
        <f t="shared" si="30"/>
        <v>0</v>
      </c>
      <c r="AI214" s="173">
        <f t="shared" si="30"/>
        <v>0</v>
      </c>
      <c r="AJ214" s="173">
        <f t="shared" si="30"/>
        <v>0</v>
      </c>
      <c r="AK214" s="173">
        <f t="shared" si="30"/>
        <v>0.14292380068681729</v>
      </c>
      <c r="AL214" s="173">
        <f t="shared" si="30"/>
        <v>0</v>
      </c>
    </row>
    <row r="215" spans="1:38">
      <c r="C215" s="4" t="str">
        <f>Commodities!$C$25</f>
        <v>GASNAT</v>
      </c>
      <c r="F215" s="4" t="s">
        <v>362</v>
      </c>
      <c r="G215" s="4" t="s">
        <v>702</v>
      </c>
      <c r="H215" t="s">
        <v>661</v>
      </c>
      <c r="I215">
        <v>2019</v>
      </c>
      <c r="J215" t="s">
        <v>650</v>
      </c>
      <c r="K215" s="173">
        <f t="shared" ref="K215:AL215" si="31">IF(K$45=0,AVERAGE($K58:$AL58),K58)</f>
        <v>0.85707619931318269</v>
      </c>
      <c r="L215" s="173">
        <f t="shared" si="31"/>
        <v>0.85707619931318269</v>
      </c>
      <c r="M215" s="173">
        <f t="shared" si="31"/>
        <v>0.85707619931318269</v>
      </c>
      <c r="N215" s="173">
        <f t="shared" si="31"/>
        <v>0.26952188016554607</v>
      </c>
      <c r="O215" s="173">
        <f t="shared" si="31"/>
        <v>0.85707619931318269</v>
      </c>
      <c r="P215" s="173">
        <f t="shared" si="31"/>
        <v>1</v>
      </c>
      <c r="Q215" s="173">
        <f t="shared" si="31"/>
        <v>1</v>
      </c>
      <c r="R215" s="173">
        <f t="shared" si="31"/>
        <v>0.85707619931318269</v>
      </c>
      <c r="S215" s="173">
        <f t="shared" si="31"/>
        <v>0.85707619931318269</v>
      </c>
      <c r="T215" s="173">
        <f t="shared" si="31"/>
        <v>1</v>
      </c>
      <c r="U215" s="173">
        <f t="shared" si="31"/>
        <v>0.85707619931318269</v>
      </c>
      <c r="V215" s="173">
        <f t="shared" si="31"/>
        <v>0.47888403302405569</v>
      </c>
      <c r="W215" s="173">
        <f t="shared" si="31"/>
        <v>0.85707619931318269</v>
      </c>
      <c r="X215" s="173">
        <f t="shared" si="31"/>
        <v>0.85707619931318269</v>
      </c>
      <c r="Y215" s="173">
        <f t="shared" si="31"/>
        <v>0.25066087719495594</v>
      </c>
      <c r="Z215" s="173">
        <f t="shared" si="31"/>
        <v>0.85707619931318269</v>
      </c>
      <c r="AA215" s="173">
        <f t="shared" si="31"/>
        <v>1</v>
      </c>
      <c r="AB215" s="173">
        <f t="shared" si="31"/>
        <v>0.85707619931318269</v>
      </c>
      <c r="AC215" s="173">
        <f t="shared" si="31"/>
        <v>0.85707619931318269</v>
      </c>
      <c r="AD215" s="173">
        <f t="shared" si="31"/>
        <v>0.85707619931318269</v>
      </c>
      <c r="AE215" s="173">
        <f t="shared" si="31"/>
        <v>1</v>
      </c>
      <c r="AF215" s="173">
        <f t="shared" si="31"/>
        <v>1</v>
      </c>
      <c r="AG215" s="173">
        <f t="shared" si="31"/>
        <v>1</v>
      </c>
      <c r="AH215" s="173">
        <f t="shared" si="31"/>
        <v>1</v>
      </c>
      <c r="AI215" s="173">
        <f t="shared" si="31"/>
        <v>1</v>
      </c>
      <c r="AJ215" s="173">
        <f t="shared" si="31"/>
        <v>1</v>
      </c>
      <c r="AK215" s="173">
        <f t="shared" si="31"/>
        <v>0.85707619931318269</v>
      </c>
      <c r="AL215" s="173">
        <f t="shared" si="31"/>
        <v>1</v>
      </c>
    </row>
    <row r="216" spans="1:38">
      <c r="D216" t="str">
        <f>Commodities!$C$34</f>
        <v>OILPIP</v>
      </c>
      <c r="G216" s="4"/>
    </row>
    <row r="217" spans="1:38">
      <c r="E217" s="4" t="s">
        <v>359</v>
      </c>
      <c r="F217" s="4" t="s">
        <v>691</v>
      </c>
      <c r="G217" s="4" t="s">
        <v>692</v>
      </c>
      <c r="J217" s="4" t="s">
        <v>2664</v>
      </c>
      <c r="K217" s="263">
        <f t="shared" ref="K217:AL217" si="32">IF(K$45=0,AVERAGE($K60:$AL60),K60)</f>
        <v>45.224390730681051</v>
      </c>
      <c r="L217" s="263">
        <f t="shared" si="32"/>
        <v>45.224390730681051</v>
      </c>
      <c r="M217" s="263">
        <f t="shared" si="32"/>
        <v>45.224390730681051</v>
      </c>
      <c r="N217" s="263">
        <f t="shared" si="32"/>
        <v>0.25543640125945205</v>
      </c>
      <c r="O217" s="263">
        <f t="shared" si="32"/>
        <v>45.224390730681051</v>
      </c>
      <c r="P217" s="263" t="str">
        <f t="shared" si="32"/>
        <v/>
      </c>
      <c r="Q217" s="263" t="str">
        <f t="shared" si="32"/>
        <v/>
      </c>
      <c r="R217" s="263">
        <f t="shared" si="32"/>
        <v>45.224390730681051</v>
      </c>
      <c r="S217" s="263">
        <f t="shared" si="32"/>
        <v>45.224390730681051</v>
      </c>
      <c r="T217" s="263" t="str">
        <f t="shared" si="32"/>
        <v/>
      </c>
      <c r="U217" s="263">
        <f t="shared" si="32"/>
        <v>45.224390730681051</v>
      </c>
      <c r="V217" s="263" t="str">
        <f t="shared" si="32"/>
        <v/>
      </c>
      <c r="W217" s="263">
        <f t="shared" si="32"/>
        <v>45.224390730681051</v>
      </c>
      <c r="X217" s="263">
        <f t="shared" si="32"/>
        <v>45.224390730681051</v>
      </c>
      <c r="Y217" s="263">
        <f t="shared" si="32"/>
        <v>90.193345060102644</v>
      </c>
      <c r="Z217" s="263">
        <f t="shared" si="32"/>
        <v>45.224390730681051</v>
      </c>
      <c r="AA217" s="263" t="str">
        <f t="shared" si="32"/>
        <v/>
      </c>
      <c r="AB217" s="263">
        <f t="shared" si="32"/>
        <v>45.224390730681051</v>
      </c>
      <c r="AC217" s="263">
        <f t="shared" si="32"/>
        <v>45.224390730681051</v>
      </c>
      <c r="AD217" s="263">
        <f t="shared" si="32"/>
        <v>45.224390730681051</v>
      </c>
      <c r="AE217" s="263" t="str">
        <f t="shared" si="32"/>
        <v/>
      </c>
      <c r="AF217" s="263" t="str">
        <f t="shared" si="32"/>
        <v/>
      </c>
      <c r="AG217" s="263" t="str">
        <f t="shared" si="32"/>
        <v/>
      </c>
      <c r="AH217" s="263" t="str">
        <f t="shared" si="32"/>
        <v/>
      </c>
      <c r="AI217" s="263" t="str">
        <f t="shared" si="32"/>
        <v/>
      </c>
      <c r="AJ217" s="263" t="str">
        <f t="shared" si="32"/>
        <v/>
      </c>
      <c r="AK217" s="263">
        <f t="shared" si="32"/>
        <v>45.224390730681051</v>
      </c>
      <c r="AL217" s="263" t="str">
        <f t="shared" si="32"/>
        <v/>
      </c>
    </row>
    <row r="218" spans="1:38">
      <c r="C218" t="str">
        <f>Commodities!$C$86</f>
        <v>UPSCOA</v>
      </c>
      <c r="E218" s="4"/>
      <c r="F218" s="4" t="s">
        <v>359</v>
      </c>
      <c r="G218" s="4" t="s">
        <v>702</v>
      </c>
      <c r="H218" t="s">
        <v>661</v>
      </c>
      <c r="I218">
        <v>2019</v>
      </c>
      <c r="J218" t="s">
        <v>650</v>
      </c>
      <c r="K218" s="173">
        <f t="shared" ref="K218:AL218" si="33">IF(K$45=0,AVERAGE($K61:$AL61),K61)</f>
        <v>0.49124886907053106</v>
      </c>
      <c r="L218" s="173">
        <f t="shared" si="33"/>
        <v>0.49124886907053106</v>
      </c>
      <c r="M218" s="173">
        <f t="shared" si="33"/>
        <v>0.49124886907053106</v>
      </c>
      <c r="N218" s="173">
        <f t="shared" si="33"/>
        <v>0.98249773814106212</v>
      </c>
      <c r="O218" s="173">
        <f t="shared" si="33"/>
        <v>0.49124886907053106</v>
      </c>
      <c r="P218" s="173" t="str">
        <f t="shared" si="33"/>
        <v/>
      </c>
      <c r="Q218" s="173" t="str">
        <f t="shared" si="33"/>
        <v/>
      </c>
      <c r="R218" s="173">
        <f t="shared" si="33"/>
        <v>0.49124886907053106</v>
      </c>
      <c r="S218" s="173">
        <f t="shared" si="33"/>
        <v>0.49124886907053106</v>
      </c>
      <c r="T218" s="173" t="str">
        <f t="shared" si="33"/>
        <v/>
      </c>
      <c r="U218" s="173">
        <f t="shared" si="33"/>
        <v>0.49124886907053106</v>
      </c>
      <c r="V218" s="173" t="str">
        <f t="shared" si="33"/>
        <v/>
      </c>
      <c r="W218" s="173">
        <f t="shared" si="33"/>
        <v>0.49124886907053106</v>
      </c>
      <c r="X218" s="173">
        <f t="shared" si="33"/>
        <v>0.49124886907053106</v>
      </c>
      <c r="Y218" s="173">
        <f t="shared" si="33"/>
        <v>0</v>
      </c>
      <c r="Z218" s="173">
        <f t="shared" si="33"/>
        <v>0.49124886907053106</v>
      </c>
      <c r="AA218" s="173" t="str">
        <f t="shared" si="33"/>
        <v/>
      </c>
      <c r="AB218" s="173">
        <f t="shared" si="33"/>
        <v>0.49124886907053106</v>
      </c>
      <c r="AC218" s="173">
        <f t="shared" si="33"/>
        <v>0.49124886907053106</v>
      </c>
      <c r="AD218" s="173">
        <f t="shared" si="33"/>
        <v>0.49124886907053106</v>
      </c>
      <c r="AE218" s="173" t="str">
        <f t="shared" si="33"/>
        <v/>
      </c>
      <c r="AF218" s="173" t="str">
        <f t="shared" si="33"/>
        <v/>
      </c>
      <c r="AG218" s="173" t="str">
        <f t="shared" si="33"/>
        <v/>
      </c>
      <c r="AH218" s="173" t="str">
        <f t="shared" si="33"/>
        <v/>
      </c>
      <c r="AI218" s="173" t="str">
        <f t="shared" si="33"/>
        <v/>
      </c>
      <c r="AJ218" s="173" t="str">
        <f t="shared" si="33"/>
        <v/>
      </c>
      <c r="AK218" s="173">
        <f t="shared" si="33"/>
        <v>0.49124886907053106</v>
      </c>
      <c r="AL218" s="173" t="str">
        <f t="shared" si="33"/>
        <v/>
      </c>
    </row>
    <row r="219" spans="1:38">
      <c r="C219" t="str">
        <f>Commodities!$C$91</f>
        <v>UPSELC</v>
      </c>
      <c r="F219" s="4" t="s">
        <v>359</v>
      </c>
      <c r="G219" s="4" t="s">
        <v>702</v>
      </c>
      <c r="H219" t="s">
        <v>661</v>
      </c>
      <c r="I219">
        <v>2019</v>
      </c>
      <c r="J219" t="s">
        <v>650</v>
      </c>
      <c r="K219" s="173">
        <f t="shared" ref="K219:AL219" si="34">IF(K$45=0,AVERAGE($K62:$AL62),K62)</f>
        <v>0.34641724891057374</v>
      </c>
      <c r="L219" s="173">
        <f t="shared" si="34"/>
        <v>0.34641724891057374</v>
      </c>
      <c r="M219" s="173">
        <f t="shared" si="34"/>
        <v>0.34641724891057374</v>
      </c>
      <c r="N219" s="173">
        <f t="shared" si="34"/>
        <v>1.750226185893778E-2</v>
      </c>
      <c r="O219" s="173">
        <f t="shared" si="34"/>
        <v>0.34641724891057374</v>
      </c>
      <c r="P219" s="173" t="str">
        <f t="shared" si="34"/>
        <v/>
      </c>
      <c r="Q219" s="173" t="str">
        <f t="shared" si="34"/>
        <v/>
      </c>
      <c r="R219" s="173">
        <f t="shared" si="34"/>
        <v>0.34641724891057374</v>
      </c>
      <c r="S219" s="173">
        <f t="shared" si="34"/>
        <v>0.34641724891057374</v>
      </c>
      <c r="T219" s="173" t="str">
        <f t="shared" si="34"/>
        <v/>
      </c>
      <c r="U219" s="173">
        <f t="shared" si="34"/>
        <v>0.34641724891057374</v>
      </c>
      <c r="V219" s="173" t="str">
        <f t="shared" si="34"/>
        <v/>
      </c>
      <c r="W219" s="173">
        <f t="shared" si="34"/>
        <v>0.34641724891057374</v>
      </c>
      <c r="X219" s="173">
        <f t="shared" si="34"/>
        <v>0.34641724891057374</v>
      </c>
      <c r="Y219" s="173">
        <f t="shared" si="34"/>
        <v>0.6753322359622097</v>
      </c>
      <c r="Z219" s="173">
        <f t="shared" si="34"/>
        <v>0.34641724891057374</v>
      </c>
      <c r="AA219" s="173" t="str">
        <f t="shared" si="34"/>
        <v/>
      </c>
      <c r="AB219" s="173">
        <f t="shared" si="34"/>
        <v>0.34641724891057374</v>
      </c>
      <c r="AC219" s="173">
        <f t="shared" si="34"/>
        <v>0.34641724891057374</v>
      </c>
      <c r="AD219" s="173">
        <f t="shared" si="34"/>
        <v>0.34641724891057374</v>
      </c>
      <c r="AE219" s="173" t="str">
        <f t="shared" si="34"/>
        <v/>
      </c>
      <c r="AF219" s="173" t="str">
        <f t="shared" si="34"/>
        <v/>
      </c>
      <c r="AG219" s="173" t="str">
        <f t="shared" si="34"/>
        <v/>
      </c>
      <c r="AH219" s="173" t="str">
        <f t="shared" si="34"/>
        <v/>
      </c>
      <c r="AI219" s="173" t="str">
        <f t="shared" si="34"/>
        <v/>
      </c>
      <c r="AJ219" s="173" t="str">
        <f t="shared" si="34"/>
        <v/>
      </c>
      <c r="AK219" s="173">
        <f t="shared" si="34"/>
        <v>0.34641724891057374</v>
      </c>
      <c r="AL219" s="173" t="str">
        <f t="shared" si="34"/>
        <v/>
      </c>
    </row>
    <row r="220" spans="1:38">
      <c r="A220" s="236"/>
      <c r="B220" s="236"/>
      <c r="C220" s="236" t="str">
        <f>Commodities!$C$94</f>
        <v>UPSHET</v>
      </c>
      <c r="D220" s="236"/>
      <c r="E220" s="236"/>
      <c r="F220" s="259" t="s">
        <v>359</v>
      </c>
      <c r="G220" s="259" t="s">
        <v>702</v>
      </c>
      <c r="H220" s="236" t="s">
        <v>661</v>
      </c>
      <c r="I220" s="236">
        <v>2019</v>
      </c>
      <c r="J220" s="236" t="s">
        <v>650</v>
      </c>
      <c r="K220" s="226">
        <f t="shared" ref="K220:AL220" si="35">IF(K$45=0,AVERAGE($K63:$AL63),K63)</f>
        <v>0.16233388201889512</v>
      </c>
      <c r="L220" s="226">
        <f t="shared" si="35"/>
        <v>0.16233388201889512</v>
      </c>
      <c r="M220" s="226">
        <f t="shared" si="35"/>
        <v>0.16233388201889512</v>
      </c>
      <c r="N220" s="226">
        <f t="shared" si="35"/>
        <v>0</v>
      </c>
      <c r="O220" s="226">
        <f t="shared" si="35"/>
        <v>0.16233388201889512</v>
      </c>
      <c r="P220" s="226" t="str">
        <f t="shared" si="35"/>
        <v/>
      </c>
      <c r="Q220" s="226" t="str">
        <f t="shared" si="35"/>
        <v/>
      </c>
      <c r="R220" s="226">
        <f t="shared" si="35"/>
        <v>0.16233388201889512</v>
      </c>
      <c r="S220" s="226">
        <f t="shared" si="35"/>
        <v>0.16233388201889512</v>
      </c>
      <c r="T220" s="226" t="str">
        <f t="shared" si="35"/>
        <v/>
      </c>
      <c r="U220" s="226">
        <f t="shared" si="35"/>
        <v>0.16233388201889512</v>
      </c>
      <c r="V220" s="226" t="str">
        <f t="shared" si="35"/>
        <v/>
      </c>
      <c r="W220" s="226">
        <f t="shared" si="35"/>
        <v>0.16233388201889512</v>
      </c>
      <c r="X220" s="226">
        <f t="shared" si="35"/>
        <v>0.16233388201889512</v>
      </c>
      <c r="Y220" s="226">
        <f t="shared" si="35"/>
        <v>0.32466776403779024</v>
      </c>
      <c r="Z220" s="226">
        <f t="shared" si="35"/>
        <v>0.16233388201889512</v>
      </c>
      <c r="AA220" s="226" t="str">
        <f t="shared" si="35"/>
        <v/>
      </c>
      <c r="AB220" s="226">
        <f t="shared" si="35"/>
        <v>0.16233388201889512</v>
      </c>
      <c r="AC220" s="226">
        <f t="shared" si="35"/>
        <v>0.16233388201889512</v>
      </c>
      <c r="AD220" s="226">
        <f t="shared" si="35"/>
        <v>0.16233388201889512</v>
      </c>
      <c r="AE220" s="226" t="str">
        <f t="shared" si="35"/>
        <v/>
      </c>
      <c r="AF220" s="226" t="str">
        <f t="shared" si="35"/>
        <v/>
      </c>
      <c r="AG220" s="226" t="str">
        <f t="shared" si="35"/>
        <v/>
      </c>
      <c r="AH220" s="226" t="str">
        <f t="shared" si="35"/>
        <v/>
      </c>
      <c r="AI220" s="226" t="str">
        <f t="shared" si="35"/>
        <v/>
      </c>
      <c r="AJ220" s="226" t="str">
        <f t="shared" si="35"/>
        <v/>
      </c>
      <c r="AK220" s="226">
        <f t="shared" si="35"/>
        <v>0.16233388201889512</v>
      </c>
      <c r="AL220" s="226" t="str">
        <f t="shared" si="35"/>
        <v/>
      </c>
    </row>
    <row r="221" spans="1:38">
      <c r="A221" t="str">
        <f>AO17</f>
        <v>U-TRF-SEPGAS_01</v>
      </c>
      <c r="B221" t="str">
        <f>AP17</f>
        <v>UPS Transformation: Natural gas separation plant - New</v>
      </c>
      <c r="C221" s="4"/>
      <c r="D221" s="4"/>
      <c r="E221" s="4"/>
      <c r="F221" s="4"/>
      <c r="G221" s="4" t="s">
        <v>695</v>
      </c>
      <c r="H221" s="4"/>
      <c r="I221" s="4"/>
      <c r="J221" s="4" t="s">
        <v>2665</v>
      </c>
      <c r="K221" s="333">
        <v>1</v>
      </c>
      <c r="L221" s="333">
        <v>1</v>
      </c>
      <c r="M221" s="333">
        <v>1</v>
      </c>
      <c r="N221" s="333">
        <v>1</v>
      </c>
      <c r="O221" s="333">
        <v>1</v>
      </c>
      <c r="P221" s="333">
        <v>1</v>
      </c>
      <c r="Q221" s="333">
        <v>1</v>
      </c>
      <c r="R221" s="333">
        <v>1</v>
      </c>
      <c r="S221" s="333">
        <v>1</v>
      </c>
      <c r="T221" s="333">
        <v>1</v>
      </c>
      <c r="U221" s="333">
        <v>1</v>
      </c>
      <c r="V221" s="333">
        <v>1</v>
      </c>
      <c r="W221" s="333">
        <v>1</v>
      </c>
      <c r="X221" s="333">
        <v>1</v>
      </c>
      <c r="Y221" s="333">
        <v>1</v>
      </c>
      <c r="Z221" s="333">
        <v>1</v>
      </c>
      <c r="AA221" s="333">
        <v>1</v>
      </c>
      <c r="AB221" s="333">
        <v>1</v>
      </c>
      <c r="AC221" s="333">
        <v>1</v>
      </c>
      <c r="AD221" s="333">
        <v>1</v>
      </c>
      <c r="AE221" s="333">
        <v>1</v>
      </c>
      <c r="AF221" s="333">
        <v>1</v>
      </c>
      <c r="AG221" s="333">
        <v>1</v>
      </c>
      <c r="AH221" s="333">
        <v>1</v>
      </c>
      <c r="AI221" s="333">
        <v>1</v>
      </c>
      <c r="AJ221" s="333">
        <v>1</v>
      </c>
      <c r="AK221" s="333">
        <v>1</v>
      </c>
      <c r="AL221" s="333">
        <v>1</v>
      </c>
    </row>
    <row r="222" spans="1:38">
      <c r="C222" s="4"/>
      <c r="D222" s="4"/>
      <c r="E222" s="4"/>
      <c r="F222" s="4"/>
      <c r="G222" s="4" t="s">
        <v>697</v>
      </c>
      <c r="H222" s="4"/>
      <c r="I222" s="4"/>
      <c r="J222" s="4" t="s">
        <v>698</v>
      </c>
      <c r="K222" s="331">
        <v>100</v>
      </c>
      <c r="L222" s="331">
        <v>100</v>
      </c>
      <c r="M222" s="331">
        <v>100</v>
      </c>
      <c r="N222" s="331">
        <v>100</v>
      </c>
      <c r="O222" s="331">
        <v>100</v>
      </c>
      <c r="P222" s="331">
        <v>100</v>
      </c>
      <c r="Q222" s="331">
        <v>100</v>
      </c>
      <c r="R222" s="331">
        <v>100</v>
      </c>
      <c r="S222" s="331">
        <v>100</v>
      </c>
      <c r="T222" s="331">
        <v>100</v>
      </c>
      <c r="U222" s="331">
        <v>100</v>
      </c>
      <c r="V222" s="331">
        <v>100</v>
      </c>
      <c r="W222" s="331">
        <v>100</v>
      </c>
      <c r="X222" s="331">
        <v>100</v>
      </c>
      <c r="Y222" s="331">
        <v>100</v>
      </c>
      <c r="Z222" s="331">
        <v>100</v>
      </c>
      <c r="AA222" s="331">
        <v>100</v>
      </c>
      <c r="AB222" s="331">
        <v>100</v>
      </c>
      <c r="AC222" s="331">
        <v>100</v>
      </c>
      <c r="AD222" s="331">
        <v>100</v>
      </c>
      <c r="AE222" s="331">
        <v>100</v>
      </c>
      <c r="AF222" s="331">
        <v>100</v>
      </c>
      <c r="AG222" s="331">
        <v>100</v>
      </c>
      <c r="AH222" s="331">
        <v>100</v>
      </c>
      <c r="AI222" s="331">
        <v>100</v>
      </c>
      <c r="AJ222" s="331">
        <v>100</v>
      </c>
      <c r="AK222" s="331">
        <v>100</v>
      </c>
      <c r="AL222" s="331">
        <v>100</v>
      </c>
    </row>
    <row r="223" spans="1:38">
      <c r="C223" s="4"/>
      <c r="D223" s="4"/>
      <c r="E223" s="4"/>
      <c r="F223" s="4"/>
      <c r="G223" s="4" t="s">
        <v>707</v>
      </c>
      <c r="H223" s="4"/>
      <c r="I223" s="4"/>
      <c r="J223" s="4" t="s">
        <v>2669</v>
      </c>
      <c r="K223" s="354">
        <v>2020</v>
      </c>
      <c r="L223" s="354">
        <v>2020</v>
      </c>
      <c r="M223" s="354">
        <v>2020</v>
      </c>
      <c r="N223" s="354">
        <v>2020</v>
      </c>
      <c r="O223" s="354">
        <v>2020</v>
      </c>
      <c r="P223" s="354">
        <v>2020</v>
      </c>
      <c r="Q223" s="354">
        <v>2020</v>
      </c>
      <c r="R223" s="354">
        <v>2020</v>
      </c>
      <c r="S223" s="354">
        <v>2020</v>
      </c>
      <c r="T223" s="354">
        <v>2020</v>
      </c>
      <c r="U223" s="354">
        <v>2020</v>
      </c>
      <c r="V223" s="354">
        <v>2020</v>
      </c>
      <c r="W223" s="354">
        <v>2020</v>
      </c>
      <c r="X223" s="354">
        <v>2020</v>
      </c>
      <c r="Y223" s="354">
        <v>2020</v>
      </c>
      <c r="Z223" s="354">
        <v>2020</v>
      </c>
      <c r="AA223" s="354">
        <v>2020</v>
      </c>
      <c r="AB223" s="354">
        <v>2020</v>
      </c>
      <c r="AC223" s="354">
        <v>2020</v>
      </c>
      <c r="AD223" s="354">
        <v>2020</v>
      </c>
      <c r="AE223" s="354">
        <v>2020</v>
      </c>
      <c r="AF223" s="354">
        <v>2020</v>
      </c>
      <c r="AG223" s="354">
        <v>2020</v>
      </c>
      <c r="AH223" s="354">
        <v>2020</v>
      </c>
      <c r="AI223" s="354">
        <v>2020</v>
      </c>
      <c r="AJ223" s="354">
        <v>2020</v>
      </c>
      <c r="AK223" s="354">
        <v>2020</v>
      </c>
      <c r="AL223" s="354">
        <v>2020</v>
      </c>
    </row>
    <row r="224" spans="1:38">
      <c r="C224" s="4"/>
      <c r="D224" s="4"/>
      <c r="E224" s="4"/>
      <c r="F224" s="4"/>
      <c r="G224" s="4" t="s">
        <v>701</v>
      </c>
      <c r="H224" s="4" t="s">
        <v>661</v>
      </c>
      <c r="I224" s="4">
        <v>2019</v>
      </c>
      <c r="J224" s="4" t="s">
        <v>112</v>
      </c>
      <c r="K224" s="333" t="str">
        <f t="shared" ref="K224:AL224" si="36">IF(K66=0,0,"")</f>
        <v/>
      </c>
      <c r="L224" s="333" t="str">
        <f t="shared" si="36"/>
        <v/>
      </c>
      <c r="M224" s="333" t="str">
        <f t="shared" si="36"/>
        <v/>
      </c>
      <c r="N224" s="333" t="str">
        <f t="shared" si="36"/>
        <v/>
      </c>
      <c r="O224" s="333" t="str">
        <f t="shared" si="36"/>
        <v/>
      </c>
      <c r="P224" s="333" t="str">
        <f t="shared" si="36"/>
        <v/>
      </c>
      <c r="Q224" s="333" t="str">
        <f t="shared" si="36"/>
        <v/>
      </c>
      <c r="R224" s="333" t="str">
        <f t="shared" si="36"/>
        <v/>
      </c>
      <c r="S224" s="333" t="str">
        <f t="shared" si="36"/>
        <v/>
      </c>
      <c r="T224" s="333" t="str">
        <f t="shared" si="36"/>
        <v/>
      </c>
      <c r="U224" s="333" t="str">
        <f t="shared" si="36"/>
        <v/>
      </c>
      <c r="V224" s="333" t="str">
        <f t="shared" si="36"/>
        <v/>
      </c>
      <c r="W224" s="333" t="str">
        <f t="shared" si="36"/>
        <v/>
      </c>
      <c r="X224" s="333" t="str">
        <f t="shared" si="36"/>
        <v/>
      </c>
      <c r="Y224" s="333" t="str">
        <f t="shared" si="36"/>
        <v/>
      </c>
      <c r="Z224" s="333" t="str">
        <f t="shared" si="36"/>
        <v/>
      </c>
      <c r="AA224" s="333" t="str">
        <f t="shared" si="36"/>
        <v/>
      </c>
      <c r="AB224" s="333" t="str">
        <f t="shared" si="36"/>
        <v/>
      </c>
      <c r="AC224" s="333" t="str">
        <f t="shared" si="36"/>
        <v/>
      </c>
      <c r="AD224" s="333" t="str">
        <f t="shared" si="36"/>
        <v/>
      </c>
      <c r="AE224" s="333" t="str">
        <f t="shared" si="36"/>
        <v/>
      </c>
      <c r="AF224" s="333" t="str">
        <f t="shared" si="36"/>
        <v/>
      </c>
      <c r="AG224" s="333" t="str">
        <f t="shared" si="36"/>
        <v/>
      </c>
      <c r="AH224" s="333" t="str">
        <f t="shared" si="36"/>
        <v/>
      </c>
      <c r="AI224" s="333" t="str">
        <f t="shared" si="36"/>
        <v/>
      </c>
      <c r="AJ224" s="333" t="str">
        <f t="shared" si="36"/>
        <v/>
      </c>
      <c r="AK224" s="333" t="str">
        <f t="shared" si="36"/>
        <v/>
      </c>
      <c r="AL224" s="333" t="str">
        <f t="shared" si="36"/>
        <v/>
      </c>
    </row>
    <row r="225" spans="1:38">
      <c r="C225" s="4"/>
      <c r="D225" s="4"/>
      <c r="E225" s="4"/>
      <c r="F225" s="4"/>
      <c r="G225" s="4" t="s">
        <v>701</v>
      </c>
      <c r="H225" s="4" t="s">
        <v>661</v>
      </c>
      <c r="I225" s="4">
        <v>2060</v>
      </c>
      <c r="J225" s="4" t="s">
        <v>112</v>
      </c>
      <c r="K225" s="333" t="str">
        <f>K224</f>
        <v/>
      </c>
      <c r="L225" s="333" t="str">
        <f t="shared" ref="L225" si="37">L224</f>
        <v/>
      </c>
      <c r="M225" s="333" t="str">
        <f t="shared" ref="M225" si="38">M224</f>
        <v/>
      </c>
      <c r="N225" s="333" t="str">
        <f t="shared" ref="N225" si="39">N224</f>
        <v/>
      </c>
      <c r="O225" s="333" t="str">
        <f t="shared" ref="O225" si="40">O224</f>
        <v/>
      </c>
      <c r="P225" s="333" t="str">
        <f t="shared" ref="P225" si="41">P224</f>
        <v/>
      </c>
      <c r="Q225" s="333" t="str">
        <f t="shared" ref="Q225" si="42">Q224</f>
        <v/>
      </c>
      <c r="R225" s="333" t="str">
        <f t="shared" ref="R225" si="43">R224</f>
        <v/>
      </c>
      <c r="S225" s="333" t="str">
        <f t="shared" ref="S225" si="44">S224</f>
        <v/>
      </c>
      <c r="T225" s="333" t="str">
        <f t="shared" ref="T225" si="45">T224</f>
        <v/>
      </c>
      <c r="U225" s="333" t="str">
        <f t="shared" ref="U225" si="46">U224</f>
        <v/>
      </c>
      <c r="V225" s="333" t="str">
        <f t="shared" ref="V225" si="47">V224</f>
        <v/>
      </c>
      <c r="W225" s="333" t="str">
        <f t="shared" ref="W225" si="48">W224</f>
        <v/>
      </c>
      <c r="X225" s="333" t="str">
        <f t="shared" ref="X225" si="49">X224</f>
        <v/>
      </c>
      <c r="Y225" s="333" t="str">
        <f t="shared" ref="Y225" si="50">Y224</f>
        <v/>
      </c>
      <c r="Z225" s="333" t="str">
        <f t="shared" ref="Z225" si="51">Z224</f>
        <v/>
      </c>
      <c r="AA225" s="333" t="str">
        <f t="shared" ref="AA225" si="52">AA224</f>
        <v/>
      </c>
      <c r="AB225" s="333" t="str">
        <f t="shared" ref="AB225" si="53">AB224</f>
        <v/>
      </c>
      <c r="AC225" s="333" t="str">
        <f t="shared" ref="AC225" si="54">AC224</f>
        <v/>
      </c>
      <c r="AD225" s="333" t="str">
        <f t="shared" ref="AD225" si="55">AD224</f>
        <v/>
      </c>
      <c r="AE225" s="333" t="str">
        <f t="shared" ref="AE225" si="56">AE224</f>
        <v/>
      </c>
      <c r="AF225" s="333" t="str">
        <f t="shared" ref="AF225" si="57">AF224</f>
        <v/>
      </c>
      <c r="AG225" s="333" t="str">
        <f t="shared" ref="AG225" si="58">AG224</f>
        <v/>
      </c>
      <c r="AH225" s="333" t="str">
        <f t="shared" ref="AH225" si="59">AH224</f>
        <v/>
      </c>
      <c r="AI225" s="333" t="str">
        <f t="shared" ref="AI225" si="60">AI224</f>
        <v/>
      </c>
      <c r="AJ225" s="333" t="str">
        <f t="shared" ref="AJ225" si="61">AJ224</f>
        <v/>
      </c>
      <c r="AK225" s="333" t="str">
        <f t="shared" ref="AK225" si="62">AK224</f>
        <v/>
      </c>
      <c r="AL225" s="333" t="str">
        <f t="shared" ref="AL225" si="63">AL224</f>
        <v/>
      </c>
    </row>
    <row r="226" spans="1:38">
      <c r="C226" s="4"/>
      <c r="D226" s="4"/>
      <c r="E226" s="4"/>
      <c r="F226" s="4"/>
      <c r="G226" s="4" t="s">
        <v>701</v>
      </c>
      <c r="H226" s="4" t="s">
        <v>661</v>
      </c>
      <c r="I226" s="4">
        <v>0</v>
      </c>
      <c r="J226" s="4"/>
      <c r="K226" s="333" t="str">
        <f>IF(K224="","",5)</f>
        <v/>
      </c>
      <c r="L226" s="333" t="str">
        <f t="shared" ref="L226:AL226" si="64">IF(L224="","",5)</f>
        <v/>
      </c>
      <c r="M226" s="333" t="str">
        <f t="shared" si="64"/>
        <v/>
      </c>
      <c r="N226" s="333" t="str">
        <f t="shared" si="64"/>
        <v/>
      </c>
      <c r="O226" s="333" t="str">
        <f t="shared" si="64"/>
        <v/>
      </c>
      <c r="P226" s="333" t="str">
        <f t="shared" si="64"/>
        <v/>
      </c>
      <c r="Q226" s="333" t="str">
        <f t="shared" si="64"/>
        <v/>
      </c>
      <c r="R226" s="333" t="str">
        <f t="shared" si="64"/>
        <v/>
      </c>
      <c r="S226" s="333" t="str">
        <f t="shared" si="64"/>
        <v/>
      </c>
      <c r="T226" s="333" t="str">
        <f t="shared" si="64"/>
        <v/>
      </c>
      <c r="U226" s="333" t="str">
        <f t="shared" si="64"/>
        <v/>
      </c>
      <c r="V226" s="333" t="str">
        <f t="shared" si="64"/>
        <v/>
      </c>
      <c r="W226" s="333" t="str">
        <f t="shared" si="64"/>
        <v/>
      </c>
      <c r="X226" s="333" t="str">
        <f t="shared" si="64"/>
        <v/>
      </c>
      <c r="Y226" s="333" t="str">
        <f t="shared" si="64"/>
        <v/>
      </c>
      <c r="Z226" s="333" t="str">
        <f t="shared" si="64"/>
        <v/>
      </c>
      <c r="AA226" s="333" t="str">
        <f t="shared" si="64"/>
        <v/>
      </c>
      <c r="AB226" s="333" t="str">
        <f t="shared" si="64"/>
        <v/>
      </c>
      <c r="AC226" s="333" t="str">
        <f t="shared" si="64"/>
        <v/>
      </c>
      <c r="AD226" s="333" t="str">
        <f t="shared" si="64"/>
        <v/>
      </c>
      <c r="AE226" s="333" t="str">
        <f t="shared" si="64"/>
        <v/>
      </c>
      <c r="AF226" s="333" t="str">
        <f t="shared" si="64"/>
        <v/>
      </c>
      <c r="AG226" s="333" t="str">
        <f t="shared" si="64"/>
        <v/>
      </c>
      <c r="AH226" s="333" t="str">
        <f t="shared" si="64"/>
        <v/>
      </c>
      <c r="AI226" s="333" t="str">
        <f t="shared" si="64"/>
        <v/>
      </c>
      <c r="AJ226" s="333" t="str">
        <f t="shared" si="64"/>
        <v/>
      </c>
      <c r="AK226" s="333" t="str">
        <f t="shared" si="64"/>
        <v/>
      </c>
      <c r="AL226" s="333" t="str">
        <f t="shared" si="64"/>
        <v/>
      </c>
    </row>
    <row r="227" spans="1:38">
      <c r="C227" s="4"/>
      <c r="D227" s="4"/>
      <c r="E227" s="4"/>
      <c r="F227" s="4"/>
      <c r="G227" s="4" t="s">
        <v>687</v>
      </c>
      <c r="H227" s="4"/>
      <c r="I227" s="4"/>
      <c r="J227" s="4" t="s">
        <v>2663</v>
      </c>
      <c r="K227" s="409">
        <f>AVERAGE('Key inputs_TRF'!$C$26:$C$31)*10^3</f>
        <v>4.5235324424357265E-2</v>
      </c>
      <c r="L227" s="409">
        <f>AVERAGE('Key inputs_TRF'!$C$26:$C$31)*10^3</f>
        <v>4.5235324424357265E-2</v>
      </c>
      <c r="M227" s="409">
        <f>AVERAGE('Key inputs_TRF'!$C$26:$C$31)*10^3</f>
        <v>4.5235324424357265E-2</v>
      </c>
      <c r="N227" s="409">
        <f>AVERAGE('Key inputs_TRF'!$C$26:$C$31)*10^3</f>
        <v>4.5235324424357265E-2</v>
      </c>
      <c r="O227" s="409">
        <f>AVERAGE('Key inputs_TRF'!$C$26:$C$31)*10^3</f>
        <v>4.5235324424357265E-2</v>
      </c>
      <c r="P227" s="409">
        <f>AVERAGE('Key inputs_TRF'!$C$26:$C$31)*10^3</f>
        <v>4.5235324424357265E-2</v>
      </c>
      <c r="Q227" s="409">
        <f>AVERAGE('Key inputs_TRF'!$C$26:$C$31)*10^3</f>
        <v>4.5235324424357265E-2</v>
      </c>
      <c r="R227" s="409">
        <f>AVERAGE('Key inputs_TRF'!$C$26:$C$31)*10^3</f>
        <v>4.5235324424357265E-2</v>
      </c>
      <c r="S227" s="409">
        <f>AVERAGE('Key inputs_TRF'!$C$26:$C$31)*10^3</f>
        <v>4.5235324424357265E-2</v>
      </c>
      <c r="T227" s="409">
        <f>AVERAGE('Key inputs_TRF'!$C$26:$C$31)*10^3</f>
        <v>4.5235324424357265E-2</v>
      </c>
      <c r="U227" s="409">
        <f>AVERAGE('Key inputs_TRF'!$C$26:$C$31)*10^3</f>
        <v>4.5235324424357265E-2</v>
      </c>
      <c r="V227" s="409">
        <f>AVERAGE('Key inputs_TRF'!$C$26:$C$31)*10^3</f>
        <v>4.5235324424357265E-2</v>
      </c>
      <c r="W227" s="409">
        <f>AVERAGE('Key inputs_TRF'!$C$26:$C$31)*10^3</f>
        <v>4.5235324424357265E-2</v>
      </c>
      <c r="X227" s="409">
        <f>AVERAGE('Key inputs_TRF'!$C$26:$C$31)*10^3</f>
        <v>4.5235324424357265E-2</v>
      </c>
      <c r="Y227" s="409">
        <f>AVERAGE('Key inputs_TRF'!$C$26:$C$31)*10^3</f>
        <v>4.5235324424357265E-2</v>
      </c>
      <c r="Z227" s="409">
        <f>AVERAGE('Key inputs_TRF'!$C$26:$C$31)*10^3</f>
        <v>4.5235324424357265E-2</v>
      </c>
      <c r="AA227" s="409">
        <f>AVERAGE('Key inputs_TRF'!$C$26:$C$31)*10^3</f>
        <v>4.5235324424357265E-2</v>
      </c>
      <c r="AB227" s="409">
        <f>AVERAGE('Key inputs_TRF'!$C$26:$C$31)*10^3</f>
        <v>4.5235324424357265E-2</v>
      </c>
      <c r="AC227" s="409">
        <f>AVERAGE('Key inputs_TRF'!$C$26:$C$31)*10^3</f>
        <v>4.5235324424357265E-2</v>
      </c>
      <c r="AD227" s="409">
        <f>AVERAGE('Key inputs_TRF'!$C$26:$C$31)*10^3</f>
        <v>4.5235324424357265E-2</v>
      </c>
      <c r="AE227" s="409">
        <f>AVERAGE('Key inputs_TRF'!$C$26:$C$31)*10^3</f>
        <v>4.5235324424357265E-2</v>
      </c>
      <c r="AF227" s="409">
        <f>AVERAGE('Key inputs_TRF'!$C$26:$C$31)*10^3</f>
        <v>4.5235324424357265E-2</v>
      </c>
      <c r="AG227" s="409">
        <f>AVERAGE('Key inputs_TRF'!$C$26:$C$31)*10^3</f>
        <v>4.5235324424357265E-2</v>
      </c>
      <c r="AH227" s="409">
        <f>AVERAGE('Key inputs_TRF'!$C$26:$C$31)*10^3</f>
        <v>4.5235324424357265E-2</v>
      </c>
      <c r="AI227" s="409">
        <f>AVERAGE('Key inputs_TRF'!$C$26:$C$31)*10^3</f>
        <v>4.5235324424357265E-2</v>
      </c>
      <c r="AJ227" s="409">
        <f>AVERAGE('Key inputs_TRF'!$C$26:$C$31)*10^3</f>
        <v>4.5235324424357265E-2</v>
      </c>
      <c r="AK227" s="409">
        <f>AVERAGE('Key inputs_TRF'!$C$26:$C$31)*10^3</f>
        <v>4.5235324424357265E-2</v>
      </c>
      <c r="AL227" s="409">
        <f>AVERAGE('Key inputs_TRF'!$C$26:$C$31)*10^3</f>
        <v>4.5235324424357265E-2</v>
      </c>
    </row>
    <row r="228" spans="1:38">
      <c r="C228" s="4"/>
      <c r="D228" s="4"/>
      <c r="E228" s="4"/>
      <c r="F228" s="4"/>
      <c r="G228" s="4" t="s">
        <v>689</v>
      </c>
      <c r="H228" s="4"/>
      <c r="I228" s="4"/>
      <c r="J228" s="4" t="s">
        <v>2663</v>
      </c>
      <c r="K228" s="333"/>
      <c r="L228" s="333"/>
      <c r="M228" s="333"/>
      <c r="N228" s="333"/>
      <c r="O228" s="333"/>
      <c r="P228" s="333"/>
      <c r="Q228" s="333"/>
      <c r="R228" s="333"/>
      <c r="S228" s="333"/>
      <c r="T228" s="333"/>
      <c r="U228" s="333"/>
      <c r="V228" s="333"/>
      <c r="W228" s="333"/>
      <c r="X228" s="333"/>
      <c r="Y228" s="333"/>
      <c r="Z228" s="333"/>
      <c r="AA228" s="333"/>
      <c r="AB228" s="333"/>
      <c r="AC228" s="333"/>
      <c r="AD228" s="333"/>
      <c r="AE228" s="333"/>
      <c r="AF228" s="333"/>
      <c r="AG228" s="333"/>
      <c r="AH228" s="333"/>
      <c r="AI228" s="333"/>
      <c r="AJ228" s="333"/>
      <c r="AK228" s="333"/>
      <c r="AL228" s="333"/>
    </row>
    <row r="229" spans="1:38">
      <c r="C229" s="4"/>
      <c r="D229" s="4"/>
      <c r="E229" s="4"/>
      <c r="F229" s="4"/>
      <c r="G229" s="4" t="s">
        <v>675</v>
      </c>
      <c r="H229" s="4"/>
      <c r="I229" s="4"/>
      <c r="J229" s="4" t="s">
        <v>2662</v>
      </c>
      <c r="K229" s="333"/>
      <c r="L229" s="333"/>
      <c r="M229" s="333"/>
      <c r="N229" s="333"/>
      <c r="O229" s="333"/>
      <c r="P229" s="333"/>
      <c r="Q229" s="333"/>
      <c r="R229" s="333"/>
      <c r="S229" s="333"/>
      <c r="T229" s="333"/>
      <c r="U229" s="333"/>
      <c r="V229" s="333"/>
      <c r="W229" s="333"/>
      <c r="X229" s="333"/>
      <c r="Y229" s="333"/>
      <c r="Z229" s="333"/>
      <c r="AA229" s="333"/>
      <c r="AB229" s="333"/>
      <c r="AC229" s="333"/>
      <c r="AD229" s="333"/>
      <c r="AE229" s="333"/>
      <c r="AF229" s="333"/>
      <c r="AG229" s="333"/>
      <c r="AH229" s="333"/>
      <c r="AI229" s="333"/>
      <c r="AJ229" s="333"/>
      <c r="AK229" s="333"/>
      <c r="AL229" s="333"/>
    </row>
    <row r="230" spans="1:38">
      <c r="C230" s="4" t="str">
        <f>Commodities!$C$24</f>
        <v>GASWET</v>
      </c>
      <c r="F230" s="4"/>
      <c r="G230" s="4" t="s">
        <v>690</v>
      </c>
      <c r="J230" s="4" t="s">
        <v>2664</v>
      </c>
      <c r="K230" s="173">
        <f t="shared" ref="K230:AL230" si="65">IF(K$66=0,AVERAGE($K77:$AL77),K77)</f>
        <v>1</v>
      </c>
      <c r="L230" s="173">
        <f t="shared" si="65"/>
        <v>1</v>
      </c>
      <c r="M230" s="173">
        <f t="shared" si="65"/>
        <v>1</v>
      </c>
      <c r="N230" s="173">
        <f t="shared" si="65"/>
        <v>1</v>
      </c>
      <c r="O230" s="173">
        <f t="shared" si="65"/>
        <v>1</v>
      </c>
      <c r="P230" s="173">
        <f t="shared" si="65"/>
        <v>1</v>
      </c>
      <c r="Q230" s="173">
        <f t="shared" si="65"/>
        <v>1</v>
      </c>
      <c r="R230" s="173">
        <f t="shared" si="65"/>
        <v>1</v>
      </c>
      <c r="S230" s="173">
        <f t="shared" si="65"/>
        <v>1</v>
      </c>
      <c r="T230" s="173">
        <f t="shared" si="65"/>
        <v>1</v>
      </c>
      <c r="U230" s="173">
        <f t="shared" si="65"/>
        <v>1</v>
      </c>
      <c r="V230" s="173">
        <f t="shared" si="65"/>
        <v>1</v>
      </c>
      <c r="W230" s="173">
        <f t="shared" si="65"/>
        <v>1</v>
      </c>
      <c r="X230" s="173">
        <f t="shared" si="65"/>
        <v>1</v>
      </c>
      <c r="Y230" s="173">
        <f t="shared" si="65"/>
        <v>1</v>
      </c>
      <c r="Z230" s="173">
        <f t="shared" si="65"/>
        <v>1</v>
      </c>
      <c r="AA230" s="173">
        <f t="shared" si="65"/>
        <v>1</v>
      </c>
      <c r="AB230" s="173">
        <f t="shared" si="65"/>
        <v>1</v>
      </c>
      <c r="AC230" s="173">
        <f t="shared" si="65"/>
        <v>1</v>
      </c>
      <c r="AD230" s="173">
        <f t="shared" si="65"/>
        <v>1</v>
      </c>
      <c r="AE230" s="173">
        <f t="shared" si="65"/>
        <v>1</v>
      </c>
      <c r="AF230" s="173">
        <f t="shared" si="65"/>
        <v>1</v>
      </c>
      <c r="AG230" s="173">
        <f t="shared" si="65"/>
        <v>1</v>
      </c>
      <c r="AH230" s="173">
        <f t="shared" si="65"/>
        <v>1</v>
      </c>
      <c r="AI230" s="173">
        <f t="shared" si="65"/>
        <v>1</v>
      </c>
      <c r="AJ230" s="173">
        <f t="shared" si="65"/>
        <v>1</v>
      </c>
      <c r="AK230" s="173">
        <f t="shared" si="65"/>
        <v>1</v>
      </c>
      <c r="AL230" s="173">
        <f t="shared" si="65"/>
        <v>1</v>
      </c>
    </row>
    <row r="231" spans="1:38">
      <c r="D231" t="str">
        <f>Commodities!$C$35</f>
        <v>NGLPIP</v>
      </c>
      <c r="G231" s="4" t="s">
        <v>705</v>
      </c>
      <c r="H231" t="s">
        <v>661</v>
      </c>
      <c r="I231">
        <v>2019</v>
      </c>
      <c r="J231" t="s">
        <v>650</v>
      </c>
      <c r="K231" s="173">
        <f t="shared" ref="K231:AL231" si="66">IF(K$66=0,AVERAGE($K78:$AL78),K78)</f>
        <v>0</v>
      </c>
      <c r="L231" s="173">
        <f t="shared" si="66"/>
        <v>0.1507255752189619</v>
      </c>
      <c r="M231" s="173">
        <f t="shared" si="66"/>
        <v>0.13549031565727399</v>
      </c>
      <c r="N231" s="173">
        <f t="shared" si="66"/>
        <v>0.28772704449633779</v>
      </c>
      <c r="O231" s="173">
        <f t="shared" si="66"/>
        <v>4.829921437482243E-2</v>
      </c>
      <c r="P231" s="173">
        <f t="shared" si="66"/>
        <v>6.569062884898369E-2</v>
      </c>
      <c r="Q231" s="173">
        <f t="shared" si="66"/>
        <v>0.12899520822214061</v>
      </c>
      <c r="R231" s="173">
        <f t="shared" si="66"/>
        <v>3.2772220749737846E-2</v>
      </c>
      <c r="S231" s="173">
        <f t="shared" si="66"/>
        <v>0.23999414321248302</v>
      </c>
      <c r="T231" s="173">
        <f t="shared" si="66"/>
        <v>1.6998387574621576E-2</v>
      </c>
      <c r="U231" s="173">
        <f t="shared" si="66"/>
        <v>0</v>
      </c>
      <c r="V231" s="173">
        <f t="shared" si="66"/>
        <v>0</v>
      </c>
      <c r="W231" s="173">
        <f t="shared" si="66"/>
        <v>5.7872382736237293E-2</v>
      </c>
      <c r="X231" s="173">
        <f t="shared" si="66"/>
        <v>0.12647424371954652</v>
      </c>
      <c r="Y231" s="173">
        <f t="shared" si="66"/>
        <v>2.8375911805358034E-2</v>
      </c>
      <c r="Z231" s="173">
        <f t="shared" si="66"/>
        <v>3.9909850690200699E-4</v>
      </c>
      <c r="AA231" s="173">
        <f t="shared" si="66"/>
        <v>2.815018350052878E-2</v>
      </c>
      <c r="AB231" s="173">
        <f t="shared" si="66"/>
        <v>2.4908823901983457E-2</v>
      </c>
      <c r="AC231" s="173">
        <f t="shared" si="66"/>
        <v>0.26356838103350333</v>
      </c>
      <c r="AD231" s="173">
        <f t="shared" si="66"/>
        <v>5.0863265660246348E-2</v>
      </c>
      <c r="AE231" s="173">
        <f t="shared" si="66"/>
        <v>0.17272998711102405</v>
      </c>
      <c r="AF231" s="173">
        <f t="shared" si="66"/>
        <v>1.8068707941524265E-2</v>
      </c>
      <c r="AG231" s="173">
        <f t="shared" si="66"/>
        <v>0.27181587447340283</v>
      </c>
      <c r="AH231" s="173">
        <f t="shared" si="66"/>
        <v>0.31779016553497497</v>
      </c>
      <c r="AI231" s="173">
        <f t="shared" si="66"/>
        <v>3.2051278080256096E-2</v>
      </c>
      <c r="AJ231" s="173">
        <f t="shared" si="66"/>
        <v>5.7618725110546221E-2</v>
      </c>
      <c r="AK231" s="173">
        <f t="shared" si="66"/>
        <v>0</v>
      </c>
      <c r="AL231" s="173">
        <f t="shared" si="66"/>
        <v>0.24091621755512638</v>
      </c>
    </row>
    <row r="232" spans="1:38">
      <c r="D232" t="str">
        <f>Commodities!$C$33</f>
        <v>GASPIP</v>
      </c>
      <c r="G232" s="4" t="s">
        <v>705</v>
      </c>
      <c r="H232" t="s">
        <v>661</v>
      </c>
      <c r="I232">
        <v>2019</v>
      </c>
      <c r="J232" t="s">
        <v>650</v>
      </c>
      <c r="K232" s="173">
        <f t="shared" ref="K232:AL232" si="67">IF(K$66=0,AVERAGE($K79:$AL79),K79)</f>
        <v>1</v>
      </c>
      <c r="L232" s="173">
        <f t="shared" si="67"/>
        <v>0.8492744247810381</v>
      </c>
      <c r="M232" s="173">
        <f t="shared" si="67"/>
        <v>0.86450968434272601</v>
      </c>
      <c r="N232" s="173">
        <f t="shared" si="67"/>
        <v>0.71227295550366221</v>
      </c>
      <c r="O232" s="173">
        <f t="shared" si="67"/>
        <v>0.95170078562517757</v>
      </c>
      <c r="P232" s="173">
        <f t="shared" si="67"/>
        <v>0.93430937115101631</v>
      </c>
      <c r="Q232" s="173">
        <f t="shared" si="67"/>
        <v>0.87100479177785939</v>
      </c>
      <c r="R232" s="173">
        <f t="shared" si="67"/>
        <v>0.96722777925026215</v>
      </c>
      <c r="S232" s="173">
        <f t="shared" si="67"/>
        <v>0.76000585678751698</v>
      </c>
      <c r="T232" s="173">
        <f t="shared" si="67"/>
        <v>0.98300161242537842</v>
      </c>
      <c r="U232" s="173">
        <f t="shared" si="67"/>
        <v>1</v>
      </c>
      <c r="V232" s="173">
        <f t="shared" si="67"/>
        <v>1</v>
      </c>
      <c r="W232" s="173">
        <f t="shared" si="67"/>
        <v>0.94212761726376271</v>
      </c>
      <c r="X232" s="173">
        <f t="shared" si="67"/>
        <v>0.87352575628045348</v>
      </c>
      <c r="Y232" s="173">
        <f t="shared" si="67"/>
        <v>0.97162408819464197</v>
      </c>
      <c r="Z232" s="173">
        <f t="shared" si="67"/>
        <v>0.99960090149309799</v>
      </c>
      <c r="AA232" s="173">
        <f t="shared" si="67"/>
        <v>0.97184981649947122</v>
      </c>
      <c r="AB232" s="173">
        <f t="shared" si="67"/>
        <v>0.97509117609801654</v>
      </c>
      <c r="AC232" s="173">
        <f t="shared" si="67"/>
        <v>0.73643161896649667</v>
      </c>
      <c r="AD232" s="173">
        <f t="shared" si="67"/>
        <v>0.94913673433975365</v>
      </c>
      <c r="AE232" s="173">
        <f t="shared" si="67"/>
        <v>0.82727001288897595</v>
      </c>
      <c r="AF232" s="173">
        <f t="shared" si="67"/>
        <v>0.98193129205847574</v>
      </c>
      <c r="AG232" s="173">
        <f t="shared" si="67"/>
        <v>0.72818412552659717</v>
      </c>
      <c r="AH232" s="173">
        <f t="shared" si="67"/>
        <v>0.68220983446502503</v>
      </c>
      <c r="AI232" s="173">
        <f t="shared" si="67"/>
        <v>0.9679487219197439</v>
      </c>
      <c r="AJ232" s="173">
        <f t="shared" si="67"/>
        <v>0.94238127488945378</v>
      </c>
      <c r="AK232" s="173">
        <f t="shared" si="67"/>
        <v>1</v>
      </c>
      <c r="AL232" s="173">
        <f t="shared" si="67"/>
        <v>0.75908378244487362</v>
      </c>
    </row>
    <row r="233" spans="1:38">
      <c r="E233" s="4" t="s">
        <v>359</v>
      </c>
      <c r="F233" s="4" t="s">
        <v>691</v>
      </c>
      <c r="G233" s="4" t="s">
        <v>692</v>
      </c>
      <c r="J233" s="4" t="s">
        <v>2664</v>
      </c>
      <c r="K233" s="173" t="str">
        <f t="shared" ref="K233:AL233" si="68">IF(K$66=0,AVERAGE($K80:$AL80),K80)</f>
        <v/>
      </c>
      <c r="L233" s="173" t="str">
        <f t="shared" si="68"/>
        <v/>
      </c>
      <c r="M233" s="173" t="str">
        <f t="shared" si="68"/>
        <v/>
      </c>
      <c r="N233" s="173" t="str">
        <f t="shared" si="68"/>
        <v/>
      </c>
      <c r="O233" s="173" t="str">
        <f t="shared" si="68"/>
        <v/>
      </c>
      <c r="P233" s="173" t="str">
        <f t="shared" si="68"/>
        <v/>
      </c>
      <c r="Q233" s="173" t="str">
        <f t="shared" si="68"/>
        <v/>
      </c>
      <c r="R233" s="173" t="str">
        <f t="shared" si="68"/>
        <v/>
      </c>
      <c r="S233" s="173" t="str">
        <f t="shared" si="68"/>
        <v/>
      </c>
      <c r="T233" s="173" t="str">
        <f t="shared" si="68"/>
        <v/>
      </c>
      <c r="U233" s="173" t="str">
        <f t="shared" si="68"/>
        <v/>
      </c>
      <c r="V233" s="173" t="str">
        <f t="shared" si="68"/>
        <v/>
      </c>
      <c r="W233" s="173" t="str">
        <f t="shared" si="68"/>
        <v/>
      </c>
      <c r="X233" s="173" t="str">
        <f t="shared" si="68"/>
        <v/>
      </c>
      <c r="Y233" s="173" t="str">
        <f t="shared" si="68"/>
        <v/>
      </c>
      <c r="Z233" s="173" t="str">
        <f t="shared" si="68"/>
        <v/>
      </c>
      <c r="AA233" s="173" t="str">
        <f t="shared" si="68"/>
        <v/>
      </c>
      <c r="AB233" s="173" t="str">
        <f t="shared" si="68"/>
        <v/>
      </c>
      <c r="AC233" s="173" t="str">
        <f t="shared" si="68"/>
        <v/>
      </c>
      <c r="AD233" s="173" t="str">
        <f t="shared" si="68"/>
        <v/>
      </c>
      <c r="AE233" s="173">
        <f t="shared" si="68"/>
        <v>203.67007489825249</v>
      </c>
      <c r="AF233" s="173" t="str">
        <f t="shared" si="68"/>
        <v/>
      </c>
      <c r="AG233" s="173" t="str">
        <f t="shared" si="68"/>
        <v/>
      </c>
      <c r="AH233" s="173" t="str">
        <f t="shared" si="68"/>
        <v/>
      </c>
      <c r="AI233" s="173" t="str">
        <f t="shared" si="68"/>
        <v/>
      </c>
      <c r="AJ233" s="173" t="str">
        <f t="shared" si="68"/>
        <v/>
      </c>
      <c r="AK233" s="173" t="str">
        <f t="shared" si="68"/>
        <v/>
      </c>
      <c r="AL233" s="173" t="str">
        <f t="shared" si="68"/>
        <v/>
      </c>
    </row>
    <row r="234" spans="1:38">
      <c r="A234" s="236"/>
      <c r="B234" s="236"/>
      <c r="C234" s="236" t="str">
        <f>Commodities!$C$92</f>
        <v>UPSGAS</v>
      </c>
      <c r="D234" s="236"/>
      <c r="E234" s="259"/>
      <c r="F234" s="259" t="s">
        <v>359</v>
      </c>
      <c r="G234" s="259" t="s">
        <v>702</v>
      </c>
      <c r="H234" s="236" t="s">
        <v>661</v>
      </c>
      <c r="I234" s="236">
        <v>2019</v>
      </c>
      <c r="J234" s="236" t="s">
        <v>650</v>
      </c>
      <c r="K234" s="226" t="str">
        <f t="shared" ref="K234:AL234" si="69">IF(K$66=0,AVERAGE($K81:$AL81),K81)</f>
        <v/>
      </c>
      <c r="L234" s="226" t="str">
        <f t="shared" si="69"/>
        <v/>
      </c>
      <c r="M234" s="226" t="str">
        <f t="shared" si="69"/>
        <v/>
      </c>
      <c r="N234" s="226" t="str">
        <f t="shared" si="69"/>
        <v/>
      </c>
      <c r="O234" s="226" t="str">
        <f t="shared" si="69"/>
        <v/>
      </c>
      <c r="P234" s="226" t="str">
        <f t="shared" si="69"/>
        <v/>
      </c>
      <c r="Q234" s="226" t="str">
        <f t="shared" si="69"/>
        <v/>
      </c>
      <c r="R234" s="226" t="str">
        <f t="shared" si="69"/>
        <v/>
      </c>
      <c r="S234" s="226" t="str">
        <f t="shared" si="69"/>
        <v/>
      </c>
      <c r="T234" s="226" t="str">
        <f t="shared" si="69"/>
        <v/>
      </c>
      <c r="U234" s="226" t="str">
        <f t="shared" si="69"/>
        <v/>
      </c>
      <c r="V234" s="226" t="str">
        <f t="shared" si="69"/>
        <v/>
      </c>
      <c r="W234" s="226" t="str">
        <f t="shared" si="69"/>
        <v/>
      </c>
      <c r="X234" s="226" t="str">
        <f t="shared" si="69"/>
        <v/>
      </c>
      <c r="Y234" s="226" t="str">
        <f t="shared" si="69"/>
        <v/>
      </c>
      <c r="Z234" s="226" t="str">
        <f t="shared" si="69"/>
        <v/>
      </c>
      <c r="AA234" s="226" t="str">
        <f t="shared" si="69"/>
        <v/>
      </c>
      <c r="AB234" s="226" t="str">
        <f t="shared" si="69"/>
        <v/>
      </c>
      <c r="AC234" s="226" t="str">
        <f t="shared" si="69"/>
        <v/>
      </c>
      <c r="AD234" s="226" t="str">
        <f t="shared" si="69"/>
        <v/>
      </c>
      <c r="AE234" s="226">
        <f t="shared" si="69"/>
        <v>1</v>
      </c>
      <c r="AF234" s="226" t="str">
        <f t="shared" si="69"/>
        <v/>
      </c>
      <c r="AG234" s="226" t="str">
        <f t="shared" si="69"/>
        <v/>
      </c>
      <c r="AH234" s="226" t="str">
        <f t="shared" si="69"/>
        <v/>
      </c>
      <c r="AI234" s="226" t="str">
        <f t="shared" si="69"/>
        <v/>
      </c>
      <c r="AJ234" s="226" t="str">
        <f t="shared" si="69"/>
        <v/>
      </c>
      <c r="AK234" s="226" t="str">
        <f t="shared" si="69"/>
        <v/>
      </c>
      <c r="AL234" s="226" t="str">
        <f t="shared" si="69"/>
        <v/>
      </c>
    </row>
    <row r="235" spans="1:38">
      <c r="A235" t="str">
        <f>AO18</f>
        <v>U-TRF-OTH_01</v>
      </c>
      <c r="B235" t="str">
        <f>AP18</f>
        <v>UPS Transformation: Other processing plants - New</v>
      </c>
      <c r="C235" s="4"/>
      <c r="D235" s="4"/>
      <c r="E235" s="4"/>
      <c r="F235" s="4"/>
      <c r="G235" s="4" t="s">
        <v>695</v>
      </c>
      <c r="H235" s="4"/>
      <c r="I235" s="4"/>
      <c r="J235" s="4" t="s">
        <v>2665</v>
      </c>
      <c r="K235" s="333">
        <v>1</v>
      </c>
      <c r="L235" s="333">
        <v>1</v>
      </c>
      <c r="M235" s="333">
        <v>1</v>
      </c>
      <c r="N235" s="333">
        <v>1</v>
      </c>
      <c r="O235" s="333">
        <v>1</v>
      </c>
      <c r="P235" s="333">
        <v>1</v>
      </c>
      <c r="Q235" s="333">
        <v>1</v>
      </c>
      <c r="R235" s="333">
        <v>1</v>
      </c>
      <c r="S235" s="333">
        <v>1</v>
      </c>
      <c r="T235" s="333">
        <v>1</v>
      </c>
      <c r="U235" s="333">
        <v>1</v>
      </c>
      <c r="V235" s="333">
        <v>1</v>
      </c>
      <c r="W235" s="333">
        <v>1</v>
      </c>
      <c r="X235" s="333">
        <v>1</v>
      </c>
      <c r="Y235" s="333">
        <v>1</v>
      </c>
      <c r="Z235" s="333">
        <v>1</v>
      </c>
      <c r="AA235" s="333">
        <v>1</v>
      </c>
      <c r="AB235" s="333">
        <v>1</v>
      </c>
      <c r="AC235" s="333">
        <v>1</v>
      </c>
      <c r="AD235" s="333">
        <v>1</v>
      </c>
      <c r="AE235" s="333">
        <v>1</v>
      </c>
      <c r="AF235" s="333">
        <v>1</v>
      </c>
      <c r="AG235" s="333">
        <v>1</v>
      </c>
      <c r="AH235" s="333">
        <v>1</v>
      </c>
      <c r="AI235" s="333">
        <v>1</v>
      </c>
      <c r="AJ235" s="333">
        <v>1</v>
      </c>
      <c r="AK235" s="333">
        <v>1</v>
      </c>
      <c r="AL235" s="333">
        <v>1</v>
      </c>
    </row>
    <row r="236" spans="1:38">
      <c r="C236" s="4"/>
      <c r="D236" s="4"/>
      <c r="E236" s="4"/>
      <c r="F236" s="4"/>
      <c r="G236" s="4" t="s">
        <v>697</v>
      </c>
      <c r="H236" s="4"/>
      <c r="I236" s="4"/>
      <c r="J236" s="4" t="s">
        <v>698</v>
      </c>
      <c r="K236" s="331">
        <v>100</v>
      </c>
      <c r="L236" s="331">
        <v>100</v>
      </c>
      <c r="M236" s="331">
        <v>100</v>
      </c>
      <c r="N236" s="331">
        <v>100</v>
      </c>
      <c r="O236" s="331">
        <v>100</v>
      </c>
      <c r="P236" s="331">
        <v>100</v>
      </c>
      <c r="Q236" s="331">
        <v>100</v>
      </c>
      <c r="R236" s="331">
        <v>100</v>
      </c>
      <c r="S236" s="331">
        <v>100</v>
      </c>
      <c r="T236" s="331">
        <v>100</v>
      </c>
      <c r="U236" s="331">
        <v>100</v>
      </c>
      <c r="V236" s="331">
        <v>100</v>
      </c>
      <c r="W236" s="331">
        <v>100</v>
      </c>
      <c r="X236" s="331">
        <v>100</v>
      </c>
      <c r="Y236" s="331">
        <v>100</v>
      </c>
      <c r="Z236" s="331">
        <v>100</v>
      </c>
      <c r="AA236" s="331">
        <v>100</v>
      </c>
      <c r="AB236" s="331">
        <v>100</v>
      </c>
      <c r="AC236" s="331">
        <v>100</v>
      </c>
      <c r="AD236" s="331">
        <v>100</v>
      </c>
      <c r="AE236" s="331">
        <v>100</v>
      </c>
      <c r="AF236" s="331">
        <v>100</v>
      </c>
      <c r="AG236" s="331">
        <v>100</v>
      </c>
      <c r="AH236" s="331">
        <v>100</v>
      </c>
      <c r="AI236" s="331">
        <v>100</v>
      </c>
      <c r="AJ236" s="331">
        <v>100</v>
      </c>
      <c r="AK236" s="331">
        <v>100</v>
      </c>
      <c r="AL236" s="331">
        <v>100</v>
      </c>
    </row>
    <row r="237" spans="1:38">
      <c r="C237" s="4"/>
      <c r="D237" s="4"/>
      <c r="E237" s="4"/>
      <c r="F237" s="4"/>
      <c r="G237" s="4" t="s">
        <v>707</v>
      </c>
      <c r="H237" s="4"/>
      <c r="I237" s="4"/>
      <c r="J237" s="4" t="s">
        <v>2669</v>
      </c>
      <c r="K237" s="354">
        <v>2020</v>
      </c>
      <c r="L237" s="354">
        <v>2020</v>
      </c>
      <c r="M237" s="354">
        <v>2020</v>
      </c>
      <c r="N237" s="354">
        <v>2020</v>
      </c>
      <c r="O237" s="354">
        <v>2020</v>
      </c>
      <c r="P237" s="354">
        <v>2020</v>
      </c>
      <c r="Q237" s="354">
        <v>2020</v>
      </c>
      <c r="R237" s="354">
        <v>2020</v>
      </c>
      <c r="S237" s="354">
        <v>2020</v>
      </c>
      <c r="T237" s="354">
        <v>2020</v>
      </c>
      <c r="U237" s="354">
        <v>2020</v>
      </c>
      <c r="V237" s="354">
        <v>2020</v>
      </c>
      <c r="W237" s="354">
        <v>2020</v>
      </c>
      <c r="X237" s="354">
        <v>2020</v>
      </c>
      <c r="Y237" s="354">
        <v>2020</v>
      </c>
      <c r="Z237" s="354">
        <v>2020</v>
      </c>
      <c r="AA237" s="354">
        <v>2020</v>
      </c>
      <c r="AB237" s="354">
        <v>2020</v>
      </c>
      <c r="AC237" s="354">
        <v>2020</v>
      </c>
      <c r="AD237" s="354">
        <v>2020</v>
      </c>
      <c r="AE237" s="354">
        <v>2020</v>
      </c>
      <c r="AF237" s="354">
        <v>2020</v>
      </c>
      <c r="AG237" s="354">
        <v>2020</v>
      </c>
      <c r="AH237" s="354">
        <v>2020</v>
      </c>
      <c r="AI237" s="354">
        <v>2020</v>
      </c>
      <c r="AJ237" s="354">
        <v>2020</v>
      </c>
      <c r="AK237" s="354">
        <v>2020</v>
      </c>
      <c r="AL237" s="354">
        <v>2020</v>
      </c>
    </row>
    <row r="238" spans="1:38">
      <c r="C238" s="4"/>
      <c r="D238" s="4"/>
      <c r="E238" s="4"/>
      <c r="F238" s="4"/>
      <c r="G238" s="4" t="s">
        <v>701</v>
      </c>
      <c r="H238" s="4" t="s">
        <v>661</v>
      </c>
      <c r="I238" s="4">
        <v>2019</v>
      </c>
      <c r="J238" s="4" t="s">
        <v>112</v>
      </c>
      <c r="K238" s="333" t="str">
        <f t="shared" ref="K238:AL238" si="70">IF(K84=0,0,"")</f>
        <v/>
      </c>
      <c r="L238" s="333" t="str">
        <f t="shared" si="70"/>
        <v/>
      </c>
      <c r="M238" s="333" t="str">
        <f t="shared" si="70"/>
        <v/>
      </c>
      <c r="N238" s="333" t="str">
        <f t="shared" si="70"/>
        <v/>
      </c>
      <c r="O238" s="333" t="str">
        <f t="shared" si="70"/>
        <v/>
      </c>
      <c r="P238" s="333" t="str">
        <f t="shared" si="70"/>
        <v/>
      </c>
      <c r="Q238" s="333" t="str">
        <f t="shared" si="70"/>
        <v/>
      </c>
      <c r="R238" s="333" t="str">
        <f t="shared" si="70"/>
        <v/>
      </c>
      <c r="S238" s="333" t="str">
        <f t="shared" si="70"/>
        <v/>
      </c>
      <c r="T238" s="333" t="str">
        <f t="shared" si="70"/>
        <v/>
      </c>
      <c r="U238" s="333" t="str">
        <f t="shared" si="70"/>
        <v/>
      </c>
      <c r="V238" s="333" t="str">
        <f t="shared" si="70"/>
        <v/>
      </c>
      <c r="W238" s="333" t="str">
        <f t="shared" si="70"/>
        <v/>
      </c>
      <c r="X238" s="333" t="str">
        <f t="shared" si="70"/>
        <v/>
      </c>
      <c r="Y238" s="333" t="str">
        <f t="shared" si="70"/>
        <v/>
      </c>
      <c r="Z238" s="333" t="str">
        <f t="shared" si="70"/>
        <v/>
      </c>
      <c r="AA238" s="333" t="str">
        <f t="shared" si="70"/>
        <v/>
      </c>
      <c r="AB238" s="333" t="str">
        <f t="shared" si="70"/>
        <v/>
      </c>
      <c r="AC238" s="333" t="str">
        <f t="shared" si="70"/>
        <v/>
      </c>
      <c r="AD238" s="333" t="str">
        <f t="shared" si="70"/>
        <v/>
      </c>
      <c r="AE238" s="333" t="str">
        <f t="shared" si="70"/>
        <v/>
      </c>
      <c r="AF238" s="333" t="str">
        <f t="shared" si="70"/>
        <v/>
      </c>
      <c r="AG238" s="333" t="str">
        <f t="shared" si="70"/>
        <v/>
      </c>
      <c r="AH238" s="333" t="str">
        <f t="shared" si="70"/>
        <v/>
      </c>
      <c r="AI238" s="333" t="str">
        <f t="shared" si="70"/>
        <v/>
      </c>
      <c r="AJ238" s="333" t="str">
        <f t="shared" si="70"/>
        <v/>
      </c>
      <c r="AK238" s="333" t="str">
        <f t="shared" si="70"/>
        <v/>
      </c>
      <c r="AL238" s="333" t="str">
        <f t="shared" si="70"/>
        <v/>
      </c>
    </row>
    <row r="239" spans="1:38">
      <c r="C239" s="4"/>
      <c r="D239" s="4"/>
      <c r="E239" s="4"/>
      <c r="F239" s="4"/>
      <c r="G239" s="4" t="s">
        <v>701</v>
      </c>
      <c r="H239" s="4" t="s">
        <v>661</v>
      </c>
      <c r="I239" s="4">
        <v>2060</v>
      </c>
      <c r="J239" s="4" t="s">
        <v>112</v>
      </c>
      <c r="K239" s="333" t="str">
        <f>K238</f>
        <v/>
      </c>
      <c r="L239" s="333" t="str">
        <f t="shared" ref="L239" si="71">L238</f>
        <v/>
      </c>
      <c r="M239" s="333" t="str">
        <f t="shared" ref="M239" si="72">M238</f>
        <v/>
      </c>
      <c r="N239" s="333" t="str">
        <f t="shared" ref="N239" si="73">N238</f>
        <v/>
      </c>
      <c r="O239" s="333" t="str">
        <f t="shared" ref="O239" si="74">O238</f>
        <v/>
      </c>
      <c r="P239" s="333" t="str">
        <f t="shared" ref="P239" si="75">P238</f>
        <v/>
      </c>
      <c r="Q239" s="333" t="str">
        <f t="shared" ref="Q239" si="76">Q238</f>
        <v/>
      </c>
      <c r="R239" s="333" t="str">
        <f t="shared" ref="R239" si="77">R238</f>
        <v/>
      </c>
      <c r="S239" s="333" t="str">
        <f t="shared" ref="S239" si="78">S238</f>
        <v/>
      </c>
      <c r="T239" s="333" t="str">
        <f t="shared" ref="T239" si="79">T238</f>
        <v/>
      </c>
      <c r="U239" s="333" t="str">
        <f t="shared" ref="U239" si="80">U238</f>
        <v/>
      </c>
      <c r="V239" s="333" t="str">
        <f t="shared" ref="V239" si="81">V238</f>
        <v/>
      </c>
      <c r="W239" s="333" t="str">
        <f t="shared" ref="W239" si="82">W238</f>
        <v/>
      </c>
      <c r="X239" s="333" t="str">
        <f t="shared" ref="X239" si="83">X238</f>
        <v/>
      </c>
      <c r="Y239" s="333" t="str">
        <f t="shared" ref="Y239" si="84">Y238</f>
        <v/>
      </c>
      <c r="Z239" s="333" t="str">
        <f t="shared" ref="Z239" si="85">Z238</f>
        <v/>
      </c>
      <c r="AA239" s="333" t="str">
        <f t="shared" ref="AA239" si="86">AA238</f>
        <v/>
      </c>
      <c r="AB239" s="333" t="str">
        <f t="shared" ref="AB239" si="87">AB238</f>
        <v/>
      </c>
      <c r="AC239" s="333" t="str">
        <f t="shared" ref="AC239" si="88">AC238</f>
        <v/>
      </c>
      <c r="AD239" s="333" t="str">
        <f t="shared" ref="AD239" si="89">AD238</f>
        <v/>
      </c>
      <c r="AE239" s="333" t="str">
        <f t="shared" ref="AE239" si="90">AE238</f>
        <v/>
      </c>
      <c r="AF239" s="333" t="str">
        <f t="shared" ref="AF239" si="91">AF238</f>
        <v/>
      </c>
      <c r="AG239" s="333" t="str">
        <f t="shared" ref="AG239" si="92">AG238</f>
        <v/>
      </c>
      <c r="AH239" s="333" t="str">
        <f t="shared" ref="AH239" si="93">AH238</f>
        <v/>
      </c>
      <c r="AI239" s="333" t="str">
        <f t="shared" ref="AI239" si="94">AI238</f>
        <v/>
      </c>
      <c r="AJ239" s="333" t="str">
        <f t="shared" ref="AJ239" si="95">AJ238</f>
        <v/>
      </c>
      <c r="AK239" s="333" t="str">
        <f t="shared" ref="AK239" si="96">AK238</f>
        <v/>
      </c>
      <c r="AL239" s="333" t="str">
        <f t="shared" ref="AL239" si="97">AL238</f>
        <v/>
      </c>
    </row>
    <row r="240" spans="1:38">
      <c r="C240" s="4"/>
      <c r="D240" s="4"/>
      <c r="E240" s="4"/>
      <c r="F240" s="4"/>
      <c r="G240" s="4" t="s">
        <v>701</v>
      </c>
      <c r="H240" s="4" t="s">
        <v>661</v>
      </c>
      <c r="I240" s="4">
        <v>0</v>
      </c>
      <c r="J240" s="4"/>
      <c r="K240" s="333" t="str">
        <f>IF(K238="","",5)</f>
        <v/>
      </c>
      <c r="L240" s="333" t="str">
        <f t="shared" ref="L240:AL240" si="98">IF(L238="","",5)</f>
        <v/>
      </c>
      <c r="M240" s="333" t="str">
        <f t="shared" si="98"/>
        <v/>
      </c>
      <c r="N240" s="333" t="str">
        <f t="shared" si="98"/>
        <v/>
      </c>
      <c r="O240" s="333" t="str">
        <f t="shared" si="98"/>
        <v/>
      </c>
      <c r="P240" s="333" t="str">
        <f t="shared" si="98"/>
        <v/>
      </c>
      <c r="Q240" s="333" t="str">
        <f t="shared" si="98"/>
        <v/>
      </c>
      <c r="R240" s="333" t="str">
        <f t="shared" si="98"/>
        <v/>
      </c>
      <c r="S240" s="333" t="str">
        <f t="shared" si="98"/>
        <v/>
      </c>
      <c r="T240" s="333" t="str">
        <f t="shared" si="98"/>
        <v/>
      </c>
      <c r="U240" s="333" t="str">
        <f t="shared" si="98"/>
        <v/>
      </c>
      <c r="V240" s="333" t="str">
        <f t="shared" si="98"/>
        <v/>
      </c>
      <c r="W240" s="333" t="str">
        <f t="shared" si="98"/>
        <v/>
      </c>
      <c r="X240" s="333" t="str">
        <f t="shared" si="98"/>
        <v/>
      </c>
      <c r="Y240" s="333" t="str">
        <f t="shared" si="98"/>
        <v/>
      </c>
      <c r="Z240" s="333" t="str">
        <f t="shared" si="98"/>
        <v/>
      </c>
      <c r="AA240" s="333" t="str">
        <f t="shared" si="98"/>
        <v/>
      </c>
      <c r="AB240" s="333" t="str">
        <f t="shared" si="98"/>
        <v/>
      </c>
      <c r="AC240" s="333" t="str">
        <f t="shared" si="98"/>
        <v/>
      </c>
      <c r="AD240" s="333" t="str">
        <f t="shared" si="98"/>
        <v/>
      </c>
      <c r="AE240" s="333" t="str">
        <f t="shared" si="98"/>
        <v/>
      </c>
      <c r="AF240" s="333" t="str">
        <f t="shared" si="98"/>
        <v/>
      </c>
      <c r="AG240" s="333" t="str">
        <f t="shared" si="98"/>
        <v/>
      </c>
      <c r="AH240" s="333" t="str">
        <f t="shared" si="98"/>
        <v/>
      </c>
      <c r="AI240" s="333" t="str">
        <f t="shared" si="98"/>
        <v/>
      </c>
      <c r="AJ240" s="333" t="str">
        <f t="shared" si="98"/>
        <v/>
      </c>
      <c r="AK240" s="333" t="str">
        <f t="shared" si="98"/>
        <v/>
      </c>
      <c r="AL240" s="333" t="str">
        <f t="shared" si="98"/>
        <v/>
      </c>
    </row>
    <row r="241" spans="3:38">
      <c r="C241" s="4"/>
      <c r="D241" s="4"/>
      <c r="E241" s="4"/>
      <c r="F241" s="4"/>
      <c r="G241" s="4" t="s">
        <v>687</v>
      </c>
      <c r="H241" s="4"/>
      <c r="I241" s="4"/>
      <c r="J241" s="4" t="s">
        <v>2663</v>
      </c>
      <c r="K241" s="431">
        <f>'Key inputs_TRF'!$C$36*10^3</f>
        <v>3.8435179451725232</v>
      </c>
      <c r="L241" s="431">
        <f>'Key inputs_TRF'!$C$36*10^3</f>
        <v>3.8435179451725232</v>
      </c>
      <c r="M241" s="431">
        <f>'Key inputs_TRF'!$C$36*10^3</f>
        <v>3.8435179451725232</v>
      </c>
      <c r="N241" s="431">
        <f>'Key inputs_TRF'!$C$36*10^3</f>
        <v>3.8435179451725232</v>
      </c>
      <c r="O241" s="431">
        <f>'Key inputs_TRF'!$C$36*10^3</f>
        <v>3.8435179451725232</v>
      </c>
      <c r="P241" s="431">
        <f>'Key inputs_TRF'!$C$36*10^3</f>
        <v>3.8435179451725232</v>
      </c>
      <c r="Q241" s="431">
        <f>'Key inputs_TRF'!$C$36*10^3</f>
        <v>3.8435179451725232</v>
      </c>
      <c r="R241" s="431">
        <f>'Key inputs_TRF'!$C$36*10^3</f>
        <v>3.8435179451725232</v>
      </c>
      <c r="S241" s="431">
        <f>'Key inputs_TRF'!$C$36*10^3</f>
        <v>3.8435179451725232</v>
      </c>
      <c r="T241" s="431">
        <f>'Key inputs_TRF'!$C$36*10^3</f>
        <v>3.8435179451725232</v>
      </c>
      <c r="U241" s="431">
        <f>'Key inputs_TRF'!$C$36*10^3</f>
        <v>3.8435179451725232</v>
      </c>
      <c r="V241" s="431">
        <f>'Key inputs_TRF'!$C$36*10^3</f>
        <v>3.8435179451725232</v>
      </c>
      <c r="W241" s="431">
        <f>'Key inputs_TRF'!$C$36*10^3</f>
        <v>3.8435179451725232</v>
      </c>
      <c r="X241" s="431">
        <f>'Key inputs_TRF'!$C$36*10^3</f>
        <v>3.8435179451725232</v>
      </c>
      <c r="Y241" s="431">
        <f>'Key inputs_TRF'!$C$36*10^3</f>
        <v>3.8435179451725232</v>
      </c>
      <c r="Z241" s="431">
        <f>'Key inputs_TRF'!$C$36*10^3</f>
        <v>3.8435179451725232</v>
      </c>
      <c r="AA241" s="431">
        <f>'Key inputs_TRF'!$C$36*10^3</f>
        <v>3.8435179451725232</v>
      </c>
      <c r="AB241" s="431">
        <f>'Key inputs_TRF'!$C$36*10^3</f>
        <v>3.8435179451725232</v>
      </c>
      <c r="AC241" s="431">
        <f>'Key inputs_TRF'!$C$36*10^3</f>
        <v>3.8435179451725232</v>
      </c>
      <c r="AD241" s="431">
        <f>'Key inputs_TRF'!$C$36*10^3</f>
        <v>3.8435179451725232</v>
      </c>
      <c r="AE241" s="431">
        <f>'Key inputs_TRF'!$C$36*10^3</f>
        <v>3.8435179451725232</v>
      </c>
      <c r="AF241" s="431">
        <f>'Key inputs_TRF'!$C$36*10^3</f>
        <v>3.8435179451725232</v>
      </c>
      <c r="AG241" s="431">
        <f>'Key inputs_TRF'!$C$36*10^3</f>
        <v>3.8435179451725232</v>
      </c>
      <c r="AH241" s="431">
        <f>'Key inputs_TRF'!$C$36*10^3</f>
        <v>3.8435179451725232</v>
      </c>
      <c r="AI241" s="431">
        <f>'Key inputs_TRF'!$C$36*10^3</f>
        <v>3.8435179451725232</v>
      </c>
      <c r="AJ241" s="431">
        <f>'Key inputs_TRF'!$C$36*10^3</f>
        <v>3.8435179451725232</v>
      </c>
      <c r="AK241" s="431">
        <f>'Key inputs_TRF'!$C$36*10^3</f>
        <v>3.8435179451725232</v>
      </c>
      <c r="AL241" s="431">
        <f>'Key inputs_TRF'!$C$36*10^3</f>
        <v>3.8435179451725232</v>
      </c>
    </row>
    <row r="242" spans="3:38">
      <c r="C242" s="4"/>
      <c r="D242" s="4"/>
      <c r="E242" s="4"/>
      <c r="F242" s="4"/>
      <c r="G242" s="4" t="s">
        <v>689</v>
      </c>
      <c r="H242" s="4"/>
      <c r="I242" s="4"/>
      <c r="J242" s="4" t="s">
        <v>2663</v>
      </c>
      <c r="K242" s="431">
        <f>'Key inputs_TRF'!$C$37*10^3</f>
        <v>3.8435179451725227E-2</v>
      </c>
      <c r="L242" s="431">
        <f>'Key inputs_TRF'!$C$37*10^3</f>
        <v>3.8435179451725227E-2</v>
      </c>
      <c r="M242" s="431">
        <f>'Key inputs_TRF'!$C$37*10^3</f>
        <v>3.8435179451725227E-2</v>
      </c>
      <c r="N242" s="431">
        <f>'Key inputs_TRF'!$C$37*10^3</f>
        <v>3.8435179451725227E-2</v>
      </c>
      <c r="O242" s="431">
        <f>'Key inputs_TRF'!$C$37*10^3</f>
        <v>3.8435179451725227E-2</v>
      </c>
      <c r="P242" s="431">
        <f>'Key inputs_TRF'!$C$37*10^3</f>
        <v>3.8435179451725227E-2</v>
      </c>
      <c r="Q242" s="431">
        <f>'Key inputs_TRF'!$C$37*10^3</f>
        <v>3.8435179451725227E-2</v>
      </c>
      <c r="R242" s="431">
        <f>'Key inputs_TRF'!$C$37*10^3</f>
        <v>3.8435179451725227E-2</v>
      </c>
      <c r="S242" s="431">
        <f>'Key inputs_TRF'!$C$37*10^3</f>
        <v>3.8435179451725227E-2</v>
      </c>
      <c r="T242" s="431">
        <f>'Key inputs_TRF'!$C$37*10^3</f>
        <v>3.8435179451725227E-2</v>
      </c>
      <c r="U242" s="431">
        <f>'Key inputs_TRF'!$C$37*10^3</f>
        <v>3.8435179451725227E-2</v>
      </c>
      <c r="V242" s="431">
        <f>'Key inputs_TRF'!$C$37*10^3</f>
        <v>3.8435179451725227E-2</v>
      </c>
      <c r="W242" s="431">
        <f>'Key inputs_TRF'!$C$37*10^3</f>
        <v>3.8435179451725227E-2</v>
      </c>
      <c r="X242" s="431">
        <f>'Key inputs_TRF'!$C$37*10^3</f>
        <v>3.8435179451725227E-2</v>
      </c>
      <c r="Y242" s="431">
        <f>'Key inputs_TRF'!$C$37*10^3</f>
        <v>3.8435179451725227E-2</v>
      </c>
      <c r="Z242" s="431">
        <f>'Key inputs_TRF'!$C$37*10^3</f>
        <v>3.8435179451725227E-2</v>
      </c>
      <c r="AA242" s="431">
        <f>'Key inputs_TRF'!$C$37*10^3</f>
        <v>3.8435179451725227E-2</v>
      </c>
      <c r="AB242" s="431">
        <f>'Key inputs_TRF'!$C$37*10^3</f>
        <v>3.8435179451725227E-2</v>
      </c>
      <c r="AC242" s="431">
        <f>'Key inputs_TRF'!$C$37*10^3</f>
        <v>3.8435179451725227E-2</v>
      </c>
      <c r="AD242" s="431">
        <f>'Key inputs_TRF'!$C$37*10^3</f>
        <v>3.8435179451725227E-2</v>
      </c>
      <c r="AE242" s="431">
        <f>'Key inputs_TRF'!$C$37*10^3</f>
        <v>3.8435179451725227E-2</v>
      </c>
      <c r="AF242" s="431">
        <f>'Key inputs_TRF'!$C$37*10^3</f>
        <v>3.8435179451725227E-2</v>
      </c>
      <c r="AG242" s="431">
        <f>'Key inputs_TRF'!$C$37*10^3</f>
        <v>3.8435179451725227E-2</v>
      </c>
      <c r="AH242" s="431">
        <f>'Key inputs_TRF'!$C$37*10^3</f>
        <v>3.8435179451725227E-2</v>
      </c>
      <c r="AI242" s="431">
        <f>'Key inputs_TRF'!$C$37*10^3</f>
        <v>3.8435179451725227E-2</v>
      </c>
      <c r="AJ242" s="431">
        <f>'Key inputs_TRF'!$C$37*10^3</f>
        <v>3.8435179451725227E-2</v>
      </c>
      <c r="AK242" s="431">
        <f>'Key inputs_TRF'!$C$37*10^3</f>
        <v>3.8435179451725227E-2</v>
      </c>
      <c r="AL242" s="431">
        <f>'Key inputs_TRF'!$C$37*10^3</f>
        <v>3.8435179451725227E-2</v>
      </c>
    </row>
    <row r="243" spans="3:38">
      <c r="C243" s="4"/>
      <c r="D243" s="4"/>
      <c r="E243" s="4"/>
      <c r="F243" s="4"/>
      <c r="G243" s="4" t="s">
        <v>675</v>
      </c>
      <c r="H243" s="4"/>
      <c r="I243" s="4"/>
      <c r="J243" s="4" t="s">
        <v>2662</v>
      </c>
      <c r="K243" s="333"/>
      <c r="L243" s="333"/>
      <c r="M243" s="333"/>
      <c r="N243" s="333"/>
      <c r="O243" s="333"/>
      <c r="P243" s="333"/>
      <c r="Q243" s="333"/>
      <c r="R243" s="333"/>
      <c r="S243" s="333"/>
      <c r="T243" s="333"/>
      <c r="U243" s="333"/>
      <c r="V243" s="333"/>
      <c r="W243" s="333"/>
      <c r="X243" s="333"/>
      <c r="Y243" s="333"/>
      <c r="Z243" s="333"/>
      <c r="AA243" s="333"/>
      <c r="AB243" s="333"/>
      <c r="AC243" s="333"/>
      <c r="AD243" s="333"/>
      <c r="AE243" s="333"/>
      <c r="AF243" s="333"/>
      <c r="AG243" s="333"/>
      <c r="AH243" s="333"/>
      <c r="AI243" s="333"/>
      <c r="AJ243" s="333"/>
      <c r="AK243" s="333"/>
      <c r="AL243" s="333"/>
    </row>
    <row r="244" spans="3:38">
      <c r="C244" s="4"/>
      <c r="E244" s="4" t="s">
        <v>363</v>
      </c>
      <c r="F244" s="4" t="s">
        <v>691</v>
      </c>
      <c r="G244" s="4" t="s">
        <v>692</v>
      </c>
      <c r="J244" s="4" t="s">
        <v>2664</v>
      </c>
      <c r="K244" s="173">
        <f t="shared" ref="K244:AL244" si="99">IF(K$84=0,AVERAGE($K96:$AL96),K96)</f>
        <v>0.17675771547139593</v>
      </c>
      <c r="L244" s="173">
        <f t="shared" si="99"/>
        <v>0.95881501972123462</v>
      </c>
      <c r="M244" s="173">
        <f t="shared" si="99"/>
        <v>3.5257126440450731E-2</v>
      </c>
      <c r="N244" s="173">
        <f t="shared" si="99"/>
        <v>0.18329545481645415</v>
      </c>
      <c r="O244" s="173">
        <f t="shared" si="99"/>
        <v>1</v>
      </c>
      <c r="P244" s="173">
        <f t="shared" si="99"/>
        <v>1</v>
      </c>
      <c r="Q244" s="173">
        <f t="shared" si="99"/>
        <v>0.93382080023754732</v>
      </c>
      <c r="R244" s="173">
        <f t="shared" si="99"/>
        <v>0.79253689174798425</v>
      </c>
      <c r="S244" s="173">
        <f t="shared" si="99"/>
        <v>0.71364293640918719</v>
      </c>
      <c r="T244" s="173">
        <f t="shared" si="99"/>
        <v>1</v>
      </c>
      <c r="U244" s="173">
        <f t="shared" si="99"/>
        <v>0.41791718379781051</v>
      </c>
      <c r="V244" s="173">
        <f t="shared" si="99"/>
        <v>0.17449386310526138</v>
      </c>
      <c r="W244" s="173">
        <f t="shared" si="99"/>
        <v>0.19633001218550639</v>
      </c>
      <c r="X244" s="173">
        <f t="shared" si="99"/>
        <v>1.0000021486523651</v>
      </c>
      <c r="Y244" s="173">
        <f t="shared" si="99"/>
        <v>0.33538114227029231</v>
      </c>
      <c r="Z244" s="173">
        <f t="shared" si="99"/>
        <v>0.2248610409297625</v>
      </c>
      <c r="AA244" s="173">
        <f t="shared" si="99"/>
        <v>0.48684705705253656</v>
      </c>
      <c r="AB244" s="173">
        <f t="shared" si="99"/>
        <v>0.48975578901050548</v>
      </c>
      <c r="AC244" s="173">
        <f t="shared" si="99"/>
        <v>0.36563001587343819</v>
      </c>
      <c r="AD244" s="173">
        <f t="shared" si="99"/>
        <v>1</v>
      </c>
      <c r="AE244" s="173">
        <f t="shared" si="99"/>
        <v>0.85251738502508623</v>
      </c>
      <c r="AF244" s="173">
        <f t="shared" si="99"/>
        <v>1.4770279546476674E-2</v>
      </c>
      <c r="AG244" s="173">
        <f t="shared" si="99"/>
        <v>0.96693825147575052</v>
      </c>
      <c r="AH244" s="173">
        <f t="shared" si="99"/>
        <v>1</v>
      </c>
      <c r="AI244" s="173">
        <f t="shared" si="99"/>
        <v>0.23944819300019621</v>
      </c>
      <c r="AJ244" s="173">
        <f t="shared" si="99"/>
        <v>6.2040422041421354E-4</v>
      </c>
      <c r="AK244" s="173">
        <f t="shared" si="99"/>
        <v>1</v>
      </c>
      <c r="AL244" s="173">
        <f t="shared" si="99"/>
        <v>0.99999980427264967</v>
      </c>
    </row>
    <row r="245" spans="3:38">
      <c r="C245" s="4" t="str">
        <f>Commodities!$C$77</f>
        <v>BIODSL</v>
      </c>
      <c r="F245" s="4" t="s">
        <v>363</v>
      </c>
      <c r="G245" s="4" t="s">
        <v>702</v>
      </c>
      <c r="H245" t="s">
        <v>661</v>
      </c>
      <c r="I245">
        <v>2019</v>
      </c>
      <c r="J245" t="s">
        <v>650</v>
      </c>
      <c r="K245" s="173">
        <f t="shared" ref="K245:AL245" si="100">IF(K$84=0,AVERAGE($K97:$AL97),K97)</f>
        <v>0</v>
      </c>
      <c r="L245" s="173">
        <f t="shared" si="100"/>
        <v>0</v>
      </c>
      <c r="M245" s="173">
        <f t="shared" si="100"/>
        <v>0</v>
      </c>
      <c r="N245" s="173">
        <f t="shared" si="100"/>
        <v>0</v>
      </c>
      <c r="O245" s="173">
        <f t="shared" si="100"/>
        <v>0</v>
      </c>
      <c r="P245" s="173">
        <f t="shared" si="100"/>
        <v>0</v>
      </c>
      <c r="Q245" s="173">
        <f t="shared" si="100"/>
        <v>0</v>
      </c>
      <c r="R245" s="173">
        <f t="shared" si="100"/>
        <v>0</v>
      </c>
      <c r="S245" s="173">
        <f t="shared" si="100"/>
        <v>0</v>
      </c>
      <c r="T245" s="173">
        <f t="shared" si="100"/>
        <v>0</v>
      </c>
      <c r="U245" s="173">
        <f t="shared" si="100"/>
        <v>0</v>
      </c>
      <c r="V245" s="173">
        <f t="shared" si="100"/>
        <v>0</v>
      </c>
      <c r="W245" s="173">
        <f t="shared" si="100"/>
        <v>0</v>
      </c>
      <c r="X245" s="173">
        <f t="shared" si="100"/>
        <v>0</v>
      </c>
      <c r="Y245" s="173">
        <f t="shared" si="100"/>
        <v>0</v>
      </c>
      <c r="Z245" s="173">
        <f t="shared" si="100"/>
        <v>0</v>
      </c>
      <c r="AA245" s="173">
        <f t="shared" si="100"/>
        <v>0</v>
      </c>
      <c r="AB245" s="173">
        <f t="shared" si="100"/>
        <v>0</v>
      </c>
      <c r="AC245" s="173">
        <f t="shared" si="100"/>
        <v>0</v>
      </c>
      <c r="AD245" s="173">
        <f t="shared" si="100"/>
        <v>0</v>
      </c>
      <c r="AE245" s="173">
        <f t="shared" si="100"/>
        <v>0</v>
      </c>
      <c r="AF245" s="173">
        <f t="shared" si="100"/>
        <v>0</v>
      </c>
      <c r="AG245" s="173">
        <f t="shared" si="100"/>
        <v>0</v>
      </c>
      <c r="AH245" s="173">
        <f t="shared" si="100"/>
        <v>0</v>
      </c>
      <c r="AI245" s="173">
        <f t="shared" si="100"/>
        <v>0</v>
      </c>
      <c r="AJ245" s="173">
        <f t="shared" si="100"/>
        <v>0</v>
      </c>
      <c r="AK245" s="173">
        <f t="shared" si="100"/>
        <v>0</v>
      </c>
      <c r="AL245" s="173">
        <f t="shared" si="100"/>
        <v>0</v>
      </c>
    </row>
    <row r="246" spans="3:38">
      <c r="C246" s="4" t="str">
        <f>Commodities!$C$67</f>
        <v>BIOMASS</v>
      </c>
      <c r="F246" s="4" t="s">
        <v>363</v>
      </c>
      <c r="G246" s="4" t="s">
        <v>702</v>
      </c>
      <c r="H246" t="s">
        <v>661</v>
      </c>
      <c r="I246">
        <v>2019</v>
      </c>
      <c r="J246" t="s">
        <v>650</v>
      </c>
      <c r="K246" s="173">
        <f t="shared" ref="K246:AL246" si="101">IF(K$84=0,AVERAGE($K98:$AL98),K98)</f>
        <v>1</v>
      </c>
      <c r="L246" s="173">
        <f t="shared" si="101"/>
        <v>0.18721287135002876</v>
      </c>
      <c r="M246" s="173">
        <f t="shared" si="101"/>
        <v>0.96960343048062902</v>
      </c>
      <c r="N246" s="173">
        <f t="shared" si="101"/>
        <v>0.74517973018413008</v>
      </c>
      <c r="O246" s="173">
        <f t="shared" si="101"/>
        <v>1E-3</v>
      </c>
      <c r="P246" s="173">
        <f t="shared" si="101"/>
        <v>3.7009244064749681E-2</v>
      </c>
      <c r="Q246" s="173">
        <f t="shared" si="101"/>
        <v>0.15137610422388836</v>
      </c>
      <c r="R246" s="173">
        <f t="shared" si="101"/>
        <v>0.25436289744202728</v>
      </c>
      <c r="S246" s="173">
        <f t="shared" si="101"/>
        <v>0.66739751824326599</v>
      </c>
      <c r="T246" s="173">
        <f t="shared" si="101"/>
        <v>0</v>
      </c>
      <c r="U246" s="173">
        <f t="shared" si="101"/>
        <v>1</v>
      </c>
      <c r="V246" s="173">
        <f t="shared" si="101"/>
        <v>9.8402349707996748E-3</v>
      </c>
      <c r="W246" s="173">
        <f t="shared" si="101"/>
        <v>0.35509999283205507</v>
      </c>
      <c r="X246" s="173">
        <f t="shared" si="101"/>
        <v>4.5366646039603963E-2</v>
      </c>
      <c r="Y246" s="173">
        <f t="shared" si="101"/>
        <v>1.1454160228713119E-2</v>
      </c>
      <c r="Z246" s="173">
        <f t="shared" si="101"/>
        <v>0.72721913424288365</v>
      </c>
      <c r="AA246" s="173">
        <f t="shared" si="101"/>
        <v>9.7596467459481154E-2</v>
      </c>
      <c r="AB246" s="173">
        <f t="shared" si="101"/>
        <v>0.44743596795189117</v>
      </c>
      <c r="AC246" s="173">
        <f t="shared" si="101"/>
        <v>0.62830216286679619</v>
      </c>
      <c r="AD246" s="173">
        <f t="shared" si="101"/>
        <v>6.968041636199406E-3</v>
      </c>
      <c r="AE246" s="173">
        <f t="shared" si="101"/>
        <v>0.15680541294130415</v>
      </c>
      <c r="AF246" s="173">
        <f t="shared" si="101"/>
        <v>3.8038203896134638E-2</v>
      </c>
      <c r="AG246" s="173">
        <f t="shared" si="101"/>
        <v>1.2751270350284429E-3</v>
      </c>
      <c r="AH246" s="173">
        <f t="shared" si="101"/>
        <v>0</v>
      </c>
      <c r="AI246" s="173">
        <f t="shared" si="101"/>
        <v>1</v>
      </c>
      <c r="AJ246" s="173">
        <f t="shared" si="101"/>
        <v>6.3643479926384248E-3</v>
      </c>
      <c r="AK246" s="173">
        <f t="shared" si="101"/>
        <v>0</v>
      </c>
      <c r="AL246" s="173">
        <f t="shared" si="101"/>
        <v>4.4177620221610338E-3</v>
      </c>
    </row>
    <row r="247" spans="3:38">
      <c r="C247" s="4" t="str">
        <f>Commodities!$C$22</f>
        <v>COA</v>
      </c>
      <c r="F247" s="4" t="s">
        <v>363</v>
      </c>
      <c r="G247" s="4" t="s">
        <v>702</v>
      </c>
      <c r="H247" t="s">
        <v>661</v>
      </c>
      <c r="I247">
        <v>2019</v>
      </c>
      <c r="J247" t="s">
        <v>650</v>
      </c>
      <c r="K247" s="173">
        <f t="shared" ref="K247:AL247" si="102">IF(K$84=0,AVERAGE($K99:$AL99),K99)</f>
        <v>0</v>
      </c>
      <c r="L247" s="173">
        <f t="shared" si="102"/>
        <v>1.2923625367334084E-3</v>
      </c>
      <c r="M247" s="173">
        <f t="shared" si="102"/>
        <v>1E-3</v>
      </c>
      <c r="N247" s="173">
        <f t="shared" si="102"/>
        <v>0.14342881263369764</v>
      </c>
      <c r="O247" s="173">
        <f t="shared" si="102"/>
        <v>0</v>
      </c>
      <c r="P247" s="173">
        <f t="shared" si="102"/>
        <v>2.0211599198462896E-2</v>
      </c>
      <c r="Q247" s="173">
        <f t="shared" si="102"/>
        <v>0</v>
      </c>
      <c r="R247" s="173">
        <f t="shared" si="102"/>
        <v>0</v>
      </c>
      <c r="S247" s="173">
        <f t="shared" si="102"/>
        <v>0</v>
      </c>
      <c r="T247" s="173">
        <f t="shared" si="102"/>
        <v>0</v>
      </c>
      <c r="U247" s="173">
        <f t="shared" si="102"/>
        <v>0</v>
      </c>
      <c r="V247" s="173">
        <f t="shared" si="102"/>
        <v>0.10077394160794396</v>
      </c>
      <c r="W247" s="173">
        <f t="shared" si="102"/>
        <v>0.16903806178768546</v>
      </c>
      <c r="X247" s="173">
        <f t="shared" si="102"/>
        <v>9.7828142189218918E-3</v>
      </c>
      <c r="Y247" s="173">
        <f t="shared" si="102"/>
        <v>1.8041690182544895E-3</v>
      </c>
      <c r="Z247" s="173">
        <f t="shared" si="102"/>
        <v>0</v>
      </c>
      <c r="AA247" s="173">
        <f t="shared" si="102"/>
        <v>1E-3</v>
      </c>
      <c r="AB247" s="173">
        <f t="shared" si="102"/>
        <v>6.9234365546449586E-2</v>
      </c>
      <c r="AC247" s="173">
        <f t="shared" si="102"/>
        <v>4.0492786010091604E-2</v>
      </c>
      <c r="AD247" s="173">
        <f t="shared" si="102"/>
        <v>0</v>
      </c>
      <c r="AE247" s="173">
        <f t="shared" si="102"/>
        <v>0</v>
      </c>
      <c r="AF247" s="173">
        <f t="shared" si="102"/>
        <v>0</v>
      </c>
      <c r="AG247" s="173">
        <f t="shared" si="102"/>
        <v>0</v>
      </c>
      <c r="AH247" s="173">
        <f t="shared" si="102"/>
        <v>0</v>
      </c>
      <c r="AI247" s="173">
        <f t="shared" si="102"/>
        <v>0</v>
      </c>
      <c r="AJ247" s="173">
        <f t="shared" si="102"/>
        <v>0</v>
      </c>
      <c r="AK247" s="173">
        <f t="shared" si="102"/>
        <v>1</v>
      </c>
      <c r="AL247" s="173">
        <f t="shared" si="102"/>
        <v>0</v>
      </c>
    </row>
    <row r="248" spans="3:38">
      <c r="C248" s="4" t="str">
        <f>Commodities!$C$23</f>
        <v>COACOL</v>
      </c>
      <c r="F248" s="4" t="s">
        <v>363</v>
      </c>
      <c r="G248" s="4" t="s">
        <v>702</v>
      </c>
      <c r="H248" t="s">
        <v>661</v>
      </c>
      <c r="I248">
        <v>2019</v>
      </c>
      <c r="J248" t="s">
        <v>650</v>
      </c>
      <c r="K248" s="173">
        <f t="shared" ref="K248:AL248" si="103">IF(K$84=0,AVERAGE($K100:$AL100),K100)</f>
        <v>0</v>
      </c>
      <c r="L248" s="173">
        <f t="shared" si="103"/>
        <v>0</v>
      </c>
      <c r="M248" s="173">
        <f t="shared" si="103"/>
        <v>0</v>
      </c>
      <c r="N248" s="173">
        <f t="shared" si="103"/>
        <v>0</v>
      </c>
      <c r="O248" s="173">
        <f t="shared" si="103"/>
        <v>0</v>
      </c>
      <c r="P248" s="173">
        <f t="shared" si="103"/>
        <v>2.6470515474119091E-2</v>
      </c>
      <c r="Q248" s="173">
        <f t="shared" si="103"/>
        <v>0</v>
      </c>
      <c r="R248" s="173">
        <f t="shared" si="103"/>
        <v>0</v>
      </c>
      <c r="S248" s="173">
        <f t="shared" si="103"/>
        <v>0</v>
      </c>
      <c r="T248" s="173">
        <f t="shared" si="103"/>
        <v>0</v>
      </c>
      <c r="U248" s="173">
        <f t="shared" si="103"/>
        <v>0</v>
      </c>
      <c r="V248" s="173">
        <f t="shared" si="103"/>
        <v>0</v>
      </c>
      <c r="W248" s="173">
        <f t="shared" si="103"/>
        <v>0.38015196043294386</v>
      </c>
      <c r="X248" s="173">
        <f t="shared" si="103"/>
        <v>0</v>
      </c>
      <c r="Y248" s="173">
        <f t="shared" si="103"/>
        <v>0.48917035981606727</v>
      </c>
      <c r="Z248" s="173">
        <f t="shared" si="103"/>
        <v>0</v>
      </c>
      <c r="AA248" s="173">
        <f t="shared" si="103"/>
        <v>0.73394299764162774</v>
      </c>
      <c r="AB248" s="173">
        <f t="shared" si="103"/>
        <v>0</v>
      </c>
      <c r="AC248" s="173">
        <f t="shared" si="103"/>
        <v>0</v>
      </c>
      <c r="AD248" s="173">
        <f t="shared" si="103"/>
        <v>0</v>
      </c>
      <c r="AE248" s="173">
        <f t="shared" si="103"/>
        <v>0</v>
      </c>
      <c r="AF248" s="173">
        <f t="shared" si="103"/>
        <v>0</v>
      </c>
      <c r="AG248" s="173">
        <f t="shared" si="103"/>
        <v>0</v>
      </c>
      <c r="AH248" s="173">
        <f t="shared" si="103"/>
        <v>0</v>
      </c>
      <c r="AI248" s="173">
        <f t="shared" si="103"/>
        <v>0</v>
      </c>
      <c r="AJ248" s="173">
        <f t="shared" si="103"/>
        <v>1.2657911611135631E-3</v>
      </c>
      <c r="AK248" s="173">
        <f t="shared" si="103"/>
        <v>0</v>
      </c>
      <c r="AL248" s="173">
        <f t="shared" si="103"/>
        <v>1.8073072066027446E-2</v>
      </c>
    </row>
    <row r="249" spans="3:38">
      <c r="C249" s="4" t="str">
        <f>Commodities!$C$48</f>
        <v>OILDSL</v>
      </c>
      <c r="F249" s="4" t="s">
        <v>363</v>
      </c>
      <c r="G249" s="4" t="s">
        <v>702</v>
      </c>
      <c r="H249" t="s">
        <v>661</v>
      </c>
      <c r="I249">
        <v>2019</v>
      </c>
      <c r="J249" t="s">
        <v>650</v>
      </c>
      <c r="K249" s="173">
        <f t="shared" ref="K249:AL249" si="104">IF(K$84=0,AVERAGE($K101:$AL101),K101)</f>
        <v>0</v>
      </c>
      <c r="L249" s="173">
        <f t="shared" si="104"/>
        <v>0</v>
      </c>
      <c r="M249" s="173">
        <f t="shared" si="104"/>
        <v>0</v>
      </c>
      <c r="N249" s="173">
        <f t="shared" si="104"/>
        <v>0</v>
      </c>
      <c r="O249" s="173">
        <f t="shared" si="104"/>
        <v>0</v>
      </c>
      <c r="P249" s="173">
        <f t="shared" si="104"/>
        <v>0</v>
      </c>
      <c r="Q249" s="173">
        <f t="shared" si="104"/>
        <v>0</v>
      </c>
      <c r="R249" s="173">
        <f t="shared" si="104"/>
        <v>0</v>
      </c>
      <c r="S249" s="173">
        <f t="shared" si="104"/>
        <v>0</v>
      </c>
      <c r="T249" s="173">
        <f t="shared" si="104"/>
        <v>0</v>
      </c>
      <c r="U249" s="173">
        <f t="shared" si="104"/>
        <v>0</v>
      </c>
      <c r="V249" s="173">
        <f t="shared" si="104"/>
        <v>7.3712220942179036E-3</v>
      </c>
      <c r="W249" s="173">
        <f t="shared" si="104"/>
        <v>0</v>
      </c>
      <c r="X249" s="173">
        <f t="shared" si="104"/>
        <v>0</v>
      </c>
      <c r="Y249" s="173">
        <f t="shared" si="104"/>
        <v>0</v>
      </c>
      <c r="Z249" s="173">
        <f t="shared" si="104"/>
        <v>0</v>
      </c>
      <c r="AA249" s="173">
        <f t="shared" si="104"/>
        <v>0</v>
      </c>
      <c r="AB249" s="173">
        <f t="shared" si="104"/>
        <v>0</v>
      </c>
      <c r="AC249" s="173">
        <f t="shared" si="104"/>
        <v>0</v>
      </c>
      <c r="AD249" s="173">
        <f t="shared" si="104"/>
        <v>0</v>
      </c>
      <c r="AE249" s="173">
        <f t="shared" si="104"/>
        <v>0</v>
      </c>
      <c r="AF249" s="173">
        <f t="shared" si="104"/>
        <v>0</v>
      </c>
      <c r="AG249" s="173">
        <f t="shared" si="104"/>
        <v>0</v>
      </c>
      <c r="AH249" s="173">
        <f t="shared" si="104"/>
        <v>0</v>
      </c>
      <c r="AI249" s="173">
        <f t="shared" si="104"/>
        <v>0</v>
      </c>
      <c r="AJ249" s="173">
        <f t="shared" si="104"/>
        <v>0</v>
      </c>
      <c r="AK249" s="173">
        <f t="shared" si="104"/>
        <v>0</v>
      </c>
      <c r="AL249" s="173">
        <f t="shared" si="104"/>
        <v>0</v>
      </c>
    </row>
    <row r="250" spans="3:38">
      <c r="C250" s="4" t="str">
        <f>Commodities!$C$25</f>
        <v>GASNAT</v>
      </c>
      <c r="F250" s="4" t="s">
        <v>363</v>
      </c>
      <c r="G250" s="4" t="s">
        <v>702</v>
      </c>
      <c r="H250" t="s">
        <v>661</v>
      </c>
      <c r="I250">
        <v>2019</v>
      </c>
      <c r="J250" t="s">
        <v>650</v>
      </c>
      <c r="K250" s="173">
        <f t="shared" ref="K250:AL250" si="105">IF(K$84=0,AVERAGE($K102:$AL102),K102)</f>
        <v>0</v>
      </c>
      <c r="L250" s="173">
        <f t="shared" si="105"/>
        <v>0</v>
      </c>
      <c r="M250" s="173">
        <f t="shared" si="105"/>
        <v>0</v>
      </c>
      <c r="N250" s="173">
        <f t="shared" si="105"/>
        <v>0</v>
      </c>
      <c r="O250" s="173">
        <f t="shared" si="105"/>
        <v>1E-3</v>
      </c>
      <c r="P250" s="173">
        <f t="shared" si="105"/>
        <v>0</v>
      </c>
      <c r="Q250" s="173">
        <f t="shared" si="105"/>
        <v>0</v>
      </c>
      <c r="R250" s="173">
        <f t="shared" si="105"/>
        <v>0</v>
      </c>
      <c r="S250" s="173">
        <f t="shared" si="105"/>
        <v>0</v>
      </c>
      <c r="T250" s="173">
        <f t="shared" si="105"/>
        <v>1</v>
      </c>
      <c r="U250" s="173">
        <f t="shared" si="105"/>
        <v>0</v>
      </c>
      <c r="V250" s="173">
        <f t="shared" si="105"/>
        <v>3.136274933457354E-3</v>
      </c>
      <c r="W250" s="173">
        <f t="shared" si="105"/>
        <v>8.3793276467636735E-2</v>
      </c>
      <c r="X250" s="173">
        <f t="shared" si="105"/>
        <v>0</v>
      </c>
      <c r="Y250" s="173">
        <f t="shared" si="105"/>
        <v>0.49757131093696511</v>
      </c>
      <c r="Z250" s="173">
        <f t="shared" si="105"/>
        <v>0.27278086575711641</v>
      </c>
      <c r="AA250" s="173">
        <f t="shared" si="105"/>
        <v>1.0662853128606553E-3</v>
      </c>
      <c r="AB250" s="173">
        <f t="shared" si="105"/>
        <v>0.17316154226940211</v>
      </c>
      <c r="AC250" s="173">
        <f t="shared" si="105"/>
        <v>0</v>
      </c>
      <c r="AD250" s="173">
        <f t="shared" si="105"/>
        <v>0</v>
      </c>
      <c r="AE250" s="173">
        <f t="shared" si="105"/>
        <v>9.9656056166361959E-3</v>
      </c>
      <c r="AF250" s="173">
        <f t="shared" si="105"/>
        <v>0.87251165763249461</v>
      </c>
      <c r="AG250" s="173">
        <f t="shared" si="105"/>
        <v>0</v>
      </c>
      <c r="AH250" s="173">
        <f t="shared" si="105"/>
        <v>0</v>
      </c>
      <c r="AI250" s="173">
        <f t="shared" si="105"/>
        <v>0</v>
      </c>
      <c r="AJ250" s="173">
        <f t="shared" si="105"/>
        <v>0.99236986084624801</v>
      </c>
      <c r="AK250" s="173">
        <f t="shared" si="105"/>
        <v>0</v>
      </c>
      <c r="AL250" s="173">
        <f t="shared" si="105"/>
        <v>3.0509392172628391E-2</v>
      </c>
    </row>
    <row r="251" spans="3:38">
      <c r="C251" s="4" t="str">
        <f>Commodities!$C$49</f>
        <v>OILGSL</v>
      </c>
      <c r="F251" s="4" t="s">
        <v>363</v>
      </c>
      <c r="G251" s="4" t="s">
        <v>702</v>
      </c>
      <c r="H251" t="s">
        <v>661</v>
      </c>
      <c r="I251">
        <v>2019</v>
      </c>
      <c r="J251" t="s">
        <v>650</v>
      </c>
      <c r="K251" s="173">
        <f t="shared" ref="K251:AL251" si="106">IF(K$84=0,AVERAGE($K103:$AL103),K103)</f>
        <v>0</v>
      </c>
      <c r="L251" s="173">
        <f t="shared" si="106"/>
        <v>0</v>
      </c>
      <c r="M251" s="173">
        <f t="shared" si="106"/>
        <v>0</v>
      </c>
      <c r="N251" s="173">
        <f t="shared" si="106"/>
        <v>0</v>
      </c>
      <c r="O251" s="173">
        <f t="shared" si="106"/>
        <v>0</v>
      </c>
      <c r="P251" s="173">
        <f t="shared" si="106"/>
        <v>0</v>
      </c>
      <c r="Q251" s="173">
        <f t="shared" si="106"/>
        <v>0</v>
      </c>
      <c r="R251" s="173">
        <f t="shared" si="106"/>
        <v>0</v>
      </c>
      <c r="S251" s="173">
        <f t="shared" si="106"/>
        <v>0</v>
      </c>
      <c r="T251" s="173">
        <f t="shared" si="106"/>
        <v>0</v>
      </c>
      <c r="U251" s="173">
        <f t="shared" si="106"/>
        <v>0</v>
      </c>
      <c r="V251" s="173">
        <f t="shared" si="106"/>
        <v>1E-3</v>
      </c>
      <c r="W251" s="173">
        <f t="shared" si="106"/>
        <v>0</v>
      </c>
      <c r="X251" s="173">
        <f t="shared" si="106"/>
        <v>0</v>
      </c>
      <c r="Y251" s="173">
        <f t="shared" si="106"/>
        <v>0</v>
      </c>
      <c r="Z251" s="173">
        <f t="shared" si="106"/>
        <v>0</v>
      </c>
      <c r="AA251" s="173">
        <f t="shared" si="106"/>
        <v>0</v>
      </c>
      <c r="AB251" s="173">
        <f t="shared" si="106"/>
        <v>0</v>
      </c>
      <c r="AC251" s="173">
        <f t="shared" si="106"/>
        <v>0</v>
      </c>
      <c r="AD251" s="173">
        <f t="shared" si="106"/>
        <v>0</v>
      </c>
      <c r="AE251" s="173">
        <f t="shared" si="106"/>
        <v>0</v>
      </c>
      <c r="AF251" s="173">
        <f t="shared" si="106"/>
        <v>0</v>
      </c>
      <c r="AG251" s="173">
        <f t="shared" si="106"/>
        <v>0</v>
      </c>
      <c r="AH251" s="173">
        <f t="shared" si="106"/>
        <v>0</v>
      </c>
      <c r="AI251" s="173">
        <f t="shared" si="106"/>
        <v>0</v>
      </c>
      <c r="AJ251" s="173">
        <f t="shared" si="106"/>
        <v>0</v>
      </c>
      <c r="AK251" s="173">
        <f t="shared" si="106"/>
        <v>0</v>
      </c>
      <c r="AL251" s="173">
        <f t="shared" si="106"/>
        <v>0</v>
      </c>
    </row>
    <row r="252" spans="3:38">
      <c r="C252" s="4" t="str">
        <f>Commodities!$C$50</f>
        <v>OILHFO</v>
      </c>
      <c r="F252" s="4" t="s">
        <v>363</v>
      </c>
      <c r="G252" s="4" t="s">
        <v>702</v>
      </c>
      <c r="H252" t="s">
        <v>661</v>
      </c>
      <c r="I252">
        <v>2019</v>
      </c>
      <c r="J252" t="s">
        <v>650</v>
      </c>
      <c r="K252" s="173">
        <f t="shared" ref="K252:AL252" si="107">IF(K$84=0,AVERAGE($K104:$AL104),K104)</f>
        <v>0</v>
      </c>
      <c r="L252" s="173">
        <f t="shared" si="107"/>
        <v>0</v>
      </c>
      <c r="M252" s="173">
        <f t="shared" si="107"/>
        <v>0</v>
      </c>
      <c r="N252" s="173">
        <f t="shared" si="107"/>
        <v>0</v>
      </c>
      <c r="O252" s="173">
        <f t="shared" si="107"/>
        <v>0</v>
      </c>
      <c r="P252" s="173">
        <f t="shared" si="107"/>
        <v>0</v>
      </c>
      <c r="Q252" s="173">
        <f t="shared" si="107"/>
        <v>0</v>
      </c>
      <c r="R252" s="173">
        <f t="shared" si="107"/>
        <v>0</v>
      </c>
      <c r="S252" s="173">
        <f t="shared" si="107"/>
        <v>0</v>
      </c>
      <c r="T252" s="173">
        <f t="shared" si="107"/>
        <v>0</v>
      </c>
      <c r="U252" s="173">
        <f t="shared" si="107"/>
        <v>0</v>
      </c>
      <c r="V252" s="173">
        <f t="shared" si="107"/>
        <v>9.4728468576273012E-2</v>
      </c>
      <c r="W252" s="173">
        <f t="shared" si="107"/>
        <v>0</v>
      </c>
      <c r="X252" s="173">
        <f t="shared" si="107"/>
        <v>0</v>
      </c>
      <c r="Y252" s="173">
        <f t="shared" si="107"/>
        <v>0</v>
      </c>
      <c r="Z252" s="173">
        <f t="shared" si="107"/>
        <v>0</v>
      </c>
      <c r="AA252" s="173">
        <f t="shared" si="107"/>
        <v>0</v>
      </c>
      <c r="AB252" s="173">
        <f t="shared" si="107"/>
        <v>0</v>
      </c>
      <c r="AC252" s="173">
        <f t="shared" si="107"/>
        <v>0</v>
      </c>
      <c r="AD252" s="173">
        <f t="shared" si="107"/>
        <v>0</v>
      </c>
      <c r="AE252" s="173">
        <f t="shared" si="107"/>
        <v>0</v>
      </c>
      <c r="AF252" s="173">
        <f t="shared" si="107"/>
        <v>0</v>
      </c>
      <c r="AG252" s="173">
        <f t="shared" si="107"/>
        <v>0</v>
      </c>
      <c r="AH252" s="173">
        <f t="shared" si="107"/>
        <v>0</v>
      </c>
      <c r="AI252" s="173">
        <f t="shared" si="107"/>
        <v>0</v>
      </c>
      <c r="AJ252" s="173">
        <f t="shared" si="107"/>
        <v>0</v>
      </c>
      <c r="AK252" s="173">
        <f t="shared" si="107"/>
        <v>0</v>
      </c>
      <c r="AL252" s="173">
        <f t="shared" si="107"/>
        <v>0</v>
      </c>
    </row>
    <row r="253" spans="3:38">
      <c r="C253" s="4" t="str">
        <f>Commodities!$C$52</f>
        <v>OILLPG</v>
      </c>
      <c r="F253" s="4" t="s">
        <v>363</v>
      </c>
      <c r="G253" s="4" t="s">
        <v>702</v>
      </c>
      <c r="H253" t="s">
        <v>661</v>
      </c>
      <c r="I253">
        <v>2019</v>
      </c>
      <c r="J253" t="s">
        <v>650</v>
      </c>
      <c r="K253" s="173">
        <f t="shared" ref="K253:AL253" si="108">IF(K$84=0,AVERAGE($K105:$AL105),K105)</f>
        <v>0</v>
      </c>
      <c r="L253" s="173">
        <f t="shared" si="108"/>
        <v>0</v>
      </c>
      <c r="M253" s="173">
        <f t="shared" si="108"/>
        <v>0</v>
      </c>
      <c r="N253" s="173">
        <f t="shared" si="108"/>
        <v>0</v>
      </c>
      <c r="O253" s="173">
        <f t="shared" si="108"/>
        <v>0</v>
      </c>
      <c r="P253" s="173">
        <f t="shared" si="108"/>
        <v>0</v>
      </c>
      <c r="Q253" s="173">
        <f t="shared" si="108"/>
        <v>0</v>
      </c>
      <c r="R253" s="173">
        <f t="shared" si="108"/>
        <v>0</v>
      </c>
      <c r="S253" s="173">
        <f t="shared" si="108"/>
        <v>0</v>
      </c>
      <c r="T253" s="173">
        <f t="shared" si="108"/>
        <v>0</v>
      </c>
      <c r="U253" s="173">
        <f t="shared" si="108"/>
        <v>0</v>
      </c>
      <c r="V253" s="173">
        <f t="shared" si="108"/>
        <v>4.2792522152079515E-2</v>
      </c>
      <c r="W253" s="173">
        <f t="shared" si="108"/>
        <v>0</v>
      </c>
      <c r="X253" s="173">
        <f t="shared" si="108"/>
        <v>0</v>
      </c>
      <c r="Y253" s="173">
        <f t="shared" si="108"/>
        <v>0</v>
      </c>
      <c r="Z253" s="173">
        <f t="shared" si="108"/>
        <v>0</v>
      </c>
      <c r="AA253" s="173">
        <f t="shared" si="108"/>
        <v>0</v>
      </c>
      <c r="AB253" s="173">
        <f t="shared" si="108"/>
        <v>0</v>
      </c>
      <c r="AC253" s="173">
        <f t="shared" si="108"/>
        <v>0</v>
      </c>
      <c r="AD253" s="173">
        <f t="shared" si="108"/>
        <v>0.55000215063013458</v>
      </c>
      <c r="AE253" s="173">
        <f t="shared" si="108"/>
        <v>0</v>
      </c>
      <c r="AF253" s="173">
        <f t="shared" si="108"/>
        <v>0</v>
      </c>
      <c r="AG253" s="173">
        <f t="shared" si="108"/>
        <v>0</v>
      </c>
      <c r="AH253" s="173">
        <f t="shared" si="108"/>
        <v>0</v>
      </c>
      <c r="AI253" s="173">
        <f t="shared" si="108"/>
        <v>0</v>
      </c>
      <c r="AJ253" s="173">
        <f t="shared" si="108"/>
        <v>0</v>
      </c>
      <c r="AK253" s="173">
        <f t="shared" si="108"/>
        <v>0</v>
      </c>
      <c r="AL253" s="173">
        <f t="shared" si="108"/>
        <v>0</v>
      </c>
    </row>
    <row r="254" spans="3:38">
      <c r="C254" s="4" t="str">
        <f>Commodities!$C$53</f>
        <v>OILNAP</v>
      </c>
      <c r="F254" s="4" t="s">
        <v>363</v>
      </c>
      <c r="G254" s="4" t="s">
        <v>702</v>
      </c>
      <c r="H254" t="s">
        <v>661</v>
      </c>
      <c r="I254">
        <v>2019</v>
      </c>
      <c r="J254" t="s">
        <v>650</v>
      </c>
      <c r="K254" s="173">
        <f t="shared" ref="K254:AL254" si="109">IF(K$84=0,AVERAGE($K106:$AL106),K106)</f>
        <v>0</v>
      </c>
      <c r="L254" s="173">
        <f t="shared" si="109"/>
        <v>0</v>
      </c>
      <c r="M254" s="173">
        <f t="shared" si="109"/>
        <v>0</v>
      </c>
      <c r="N254" s="173">
        <f t="shared" si="109"/>
        <v>0</v>
      </c>
      <c r="O254" s="173">
        <f t="shared" si="109"/>
        <v>0</v>
      </c>
      <c r="P254" s="173">
        <f t="shared" si="109"/>
        <v>0</v>
      </c>
      <c r="Q254" s="173">
        <f t="shared" si="109"/>
        <v>0</v>
      </c>
      <c r="R254" s="173">
        <f t="shared" si="109"/>
        <v>0</v>
      </c>
      <c r="S254" s="173">
        <f t="shared" si="109"/>
        <v>0</v>
      </c>
      <c r="T254" s="173">
        <f t="shared" si="109"/>
        <v>0</v>
      </c>
      <c r="U254" s="173">
        <f t="shared" si="109"/>
        <v>0</v>
      </c>
      <c r="V254" s="173">
        <f t="shared" si="109"/>
        <v>5.646638000305515E-2</v>
      </c>
      <c r="W254" s="173">
        <f t="shared" si="109"/>
        <v>0</v>
      </c>
      <c r="X254" s="173">
        <f t="shared" si="109"/>
        <v>0</v>
      </c>
      <c r="Y254" s="173">
        <f t="shared" si="109"/>
        <v>0</v>
      </c>
      <c r="Z254" s="173">
        <f t="shared" si="109"/>
        <v>0</v>
      </c>
      <c r="AA254" s="173">
        <f t="shared" si="109"/>
        <v>0</v>
      </c>
      <c r="AB254" s="173">
        <f t="shared" si="109"/>
        <v>0</v>
      </c>
      <c r="AC254" s="173">
        <f t="shared" si="109"/>
        <v>0</v>
      </c>
      <c r="AD254" s="173">
        <f t="shared" si="109"/>
        <v>0.41651683943395412</v>
      </c>
      <c r="AE254" s="173">
        <f t="shared" si="109"/>
        <v>0</v>
      </c>
      <c r="AF254" s="173">
        <f t="shared" si="109"/>
        <v>0</v>
      </c>
      <c r="AG254" s="173">
        <f t="shared" si="109"/>
        <v>0</v>
      </c>
      <c r="AH254" s="173">
        <f t="shared" si="109"/>
        <v>0</v>
      </c>
      <c r="AI254" s="173">
        <f t="shared" si="109"/>
        <v>0</v>
      </c>
      <c r="AJ254" s="173">
        <f t="shared" si="109"/>
        <v>0</v>
      </c>
      <c r="AK254" s="173">
        <f t="shared" si="109"/>
        <v>0</v>
      </c>
      <c r="AL254" s="173">
        <f t="shared" si="109"/>
        <v>0</v>
      </c>
    </row>
    <row r="255" spans="3:38">
      <c r="C255" s="4" t="str">
        <f>Commodities!$C$27</f>
        <v>OILCRD</v>
      </c>
      <c r="F255" s="4" t="s">
        <v>363</v>
      </c>
      <c r="G255" s="4" t="s">
        <v>702</v>
      </c>
      <c r="H255" t="s">
        <v>661</v>
      </c>
      <c r="I255">
        <v>2019</v>
      </c>
      <c r="J255" t="s">
        <v>650</v>
      </c>
      <c r="K255" s="173">
        <f t="shared" ref="K255:AL255" si="110">IF(K$84=0,AVERAGE($K107:$AL107),K107)</f>
        <v>0</v>
      </c>
      <c r="L255" s="173">
        <f t="shared" si="110"/>
        <v>0</v>
      </c>
      <c r="M255" s="173">
        <f t="shared" si="110"/>
        <v>0</v>
      </c>
      <c r="N255" s="173">
        <f t="shared" si="110"/>
        <v>0</v>
      </c>
      <c r="O255" s="173">
        <f t="shared" si="110"/>
        <v>0</v>
      </c>
      <c r="P255" s="173">
        <f t="shared" si="110"/>
        <v>0</v>
      </c>
      <c r="Q255" s="173">
        <f t="shared" si="110"/>
        <v>0</v>
      </c>
      <c r="R255" s="173">
        <f t="shared" si="110"/>
        <v>0</v>
      </c>
      <c r="S255" s="173">
        <f t="shared" si="110"/>
        <v>0</v>
      </c>
      <c r="T255" s="173">
        <f t="shared" si="110"/>
        <v>0</v>
      </c>
      <c r="U255" s="173">
        <f t="shared" si="110"/>
        <v>0</v>
      </c>
      <c r="V255" s="173">
        <f t="shared" si="110"/>
        <v>0</v>
      </c>
      <c r="W255" s="173">
        <f t="shared" si="110"/>
        <v>0</v>
      </c>
      <c r="X255" s="173">
        <f t="shared" si="110"/>
        <v>0</v>
      </c>
      <c r="Y255" s="173">
        <f t="shared" si="110"/>
        <v>0</v>
      </c>
      <c r="Z255" s="173">
        <f t="shared" si="110"/>
        <v>0</v>
      </c>
      <c r="AA255" s="173">
        <f t="shared" si="110"/>
        <v>0</v>
      </c>
      <c r="AB255" s="173">
        <f t="shared" si="110"/>
        <v>0</v>
      </c>
      <c r="AC255" s="173">
        <f t="shared" si="110"/>
        <v>0</v>
      </c>
      <c r="AD255" s="173">
        <f t="shared" si="110"/>
        <v>0</v>
      </c>
      <c r="AE255" s="173">
        <f t="shared" si="110"/>
        <v>0</v>
      </c>
      <c r="AF255" s="173">
        <f t="shared" si="110"/>
        <v>0</v>
      </c>
      <c r="AG255" s="173">
        <f t="shared" si="110"/>
        <v>0</v>
      </c>
      <c r="AH255" s="173">
        <f t="shared" si="110"/>
        <v>0</v>
      </c>
      <c r="AI255" s="173">
        <f t="shared" si="110"/>
        <v>0</v>
      </c>
      <c r="AJ255" s="173">
        <f t="shared" si="110"/>
        <v>0</v>
      </c>
      <c r="AK255" s="173">
        <f t="shared" si="110"/>
        <v>0</v>
      </c>
      <c r="AL255" s="173">
        <f t="shared" si="110"/>
        <v>0</v>
      </c>
    </row>
    <row r="256" spans="3:38">
      <c r="C256" s="4" t="str">
        <f>Commodities!$C$26</f>
        <v>OILNGL</v>
      </c>
      <c r="F256" s="4" t="s">
        <v>363</v>
      </c>
      <c r="G256" s="4" t="s">
        <v>702</v>
      </c>
      <c r="H256" t="s">
        <v>661</v>
      </c>
      <c r="I256">
        <v>2019</v>
      </c>
      <c r="J256" t="s">
        <v>650</v>
      </c>
      <c r="K256" s="173">
        <f t="shared" ref="K256:AL256" si="111">IF(K$84=0,AVERAGE($K108:$AL108),K108)</f>
        <v>0</v>
      </c>
      <c r="L256" s="173">
        <f t="shared" si="111"/>
        <v>0.81149476611323779</v>
      </c>
      <c r="M256" s="173">
        <f t="shared" si="111"/>
        <v>3.029229312307807E-2</v>
      </c>
      <c r="N256" s="173">
        <f t="shared" si="111"/>
        <v>0.11139145718217222</v>
      </c>
      <c r="O256" s="173">
        <f t="shared" si="111"/>
        <v>0.99952743020778967</v>
      </c>
      <c r="P256" s="173">
        <f t="shared" si="111"/>
        <v>0.91630864126266831</v>
      </c>
      <c r="Q256" s="173">
        <f t="shared" si="111"/>
        <v>0.84862389577611164</v>
      </c>
      <c r="R256" s="173">
        <f t="shared" si="111"/>
        <v>0.74563710255797278</v>
      </c>
      <c r="S256" s="173">
        <f t="shared" si="111"/>
        <v>0.33260248175673401</v>
      </c>
      <c r="T256" s="173">
        <f t="shared" si="111"/>
        <v>0</v>
      </c>
      <c r="U256" s="173">
        <f t="shared" si="111"/>
        <v>0</v>
      </c>
      <c r="V256" s="173">
        <f t="shared" si="111"/>
        <v>0</v>
      </c>
      <c r="W256" s="173">
        <f t="shared" si="111"/>
        <v>1.1916708479678876E-2</v>
      </c>
      <c r="X256" s="173">
        <f t="shared" si="111"/>
        <v>0.94485053974147415</v>
      </c>
      <c r="Y256" s="173">
        <f t="shared" si="111"/>
        <v>0</v>
      </c>
      <c r="Z256" s="173">
        <f t="shared" si="111"/>
        <v>0</v>
      </c>
      <c r="AA256" s="173">
        <f t="shared" si="111"/>
        <v>0.16699909679361735</v>
      </c>
      <c r="AB256" s="173">
        <f t="shared" si="111"/>
        <v>0.31016812423225709</v>
      </c>
      <c r="AC256" s="173">
        <f t="shared" si="111"/>
        <v>0.33120505112311227</v>
      </c>
      <c r="AD256" s="173">
        <f t="shared" si="111"/>
        <v>0</v>
      </c>
      <c r="AE256" s="173">
        <f t="shared" si="111"/>
        <v>0.8332289814420597</v>
      </c>
      <c r="AF256" s="173">
        <f t="shared" si="111"/>
        <v>8.9450138471370746E-2</v>
      </c>
      <c r="AG256" s="173">
        <f t="shared" si="111"/>
        <v>0.99872487296497159</v>
      </c>
      <c r="AH256" s="173">
        <f t="shared" si="111"/>
        <v>1</v>
      </c>
      <c r="AI256" s="173">
        <f t="shared" si="111"/>
        <v>0</v>
      </c>
      <c r="AJ256" s="173">
        <f t="shared" si="111"/>
        <v>0</v>
      </c>
      <c r="AK256" s="173">
        <f t="shared" si="111"/>
        <v>0</v>
      </c>
      <c r="AL256" s="173">
        <f t="shared" si="111"/>
        <v>0.94699977373918309</v>
      </c>
    </row>
    <row r="257" spans="3:38">
      <c r="C257" s="4" t="str">
        <f>Commodities!$C$55</f>
        <v>OILOPP</v>
      </c>
      <c r="F257" s="4" t="s">
        <v>363</v>
      </c>
      <c r="G257" s="4" t="s">
        <v>702</v>
      </c>
      <c r="H257" t="s">
        <v>661</v>
      </c>
      <c r="I257">
        <v>2019</v>
      </c>
      <c r="J257" t="s">
        <v>650</v>
      </c>
      <c r="K257" s="173">
        <f t="shared" ref="K257:AL257" si="112">IF(K$84=0,AVERAGE($K109:$AL109),K109)</f>
        <v>0</v>
      </c>
      <c r="L257" s="173">
        <f t="shared" si="112"/>
        <v>0</v>
      </c>
      <c r="M257" s="173">
        <f t="shared" si="112"/>
        <v>0</v>
      </c>
      <c r="N257" s="173">
        <f t="shared" si="112"/>
        <v>0</v>
      </c>
      <c r="O257" s="173">
        <f t="shared" si="112"/>
        <v>0</v>
      </c>
      <c r="P257" s="173">
        <f t="shared" si="112"/>
        <v>0</v>
      </c>
      <c r="Q257" s="173">
        <f t="shared" si="112"/>
        <v>0</v>
      </c>
      <c r="R257" s="173">
        <f t="shared" si="112"/>
        <v>0</v>
      </c>
      <c r="S257" s="173">
        <f t="shared" si="112"/>
        <v>0</v>
      </c>
      <c r="T257" s="173">
        <f t="shared" si="112"/>
        <v>0</v>
      </c>
      <c r="U257" s="173">
        <f t="shared" si="112"/>
        <v>0</v>
      </c>
      <c r="V257" s="173">
        <f t="shared" si="112"/>
        <v>0.68424876518016697</v>
      </c>
      <c r="W257" s="173">
        <f t="shared" si="112"/>
        <v>0</v>
      </c>
      <c r="X257" s="173">
        <f t="shared" si="112"/>
        <v>0</v>
      </c>
      <c r="Y257" s="173">
        <f t="shared" si="112"/>
        <v>0</v>
      </c>
      <c r="Z257" s="173">
        <f t="shared" si="112"/>
        <v>0</v>
      </c>
      <c r="AA257" s="173">
        <f t="shared" si="112"/>
        <v>0</v>
      </c>
      <c r="AB257" s="173">
        <f t="shared" si="112"/>
        <v>0</v>
      </c>
      <c r="AC257" s="173">
        <f t="shared" si="112"/>
        <v>0</v>
      </c>
      <c r="AD257" s="173">
        <f t="shared" si="112"/>
        <v>2.6512968299711816E-2</v>
      </c>
      <c r="AE257" s="173">
        <f t="shared" si="112"/>
        <v>0</v>
      </c>
      <c r="AF257" s="173">
        <f t="shared" si="112"/>
        <v>0</v>
      </c>
      <c r="AG257" s="173">
        <f t="shared" si="112"/>
        <v>0</v>
      </c>
      <c r="AH257" s="173">
        <f t="shared" si="112"/>
        <v>0</v>
      </c>
      <c r="AI257" s="173">
        <f t="shared" si="112"/>
        <v>0</v>
      </c>
      <c r="AJ257" s="173">
        <f t="shared" si="112"/>
        <v>0</v>
      </c>
      <c r="AK257" s="173">
        <f t="shared" si="112"/>
        <v>0</v>
      </c>
      <c r="AL257" s="173">
        <f t="shared" si="112"/>
        <v>0</v>
      </c>
    </row>
    <row r="258" spans="3:38">
      <c r="C258" s="4" t="str">
        <f>Commodities!$C$135</f>
        <v>WASTEN</v>
      </c>
      <c r="F258" s="4" t="s">
        <v>363</v>
      </c>
      <c r="G258" s="4" t="s">
        <v>702</v>
      </c>
      <c r="H258" t="s">
        <v>661</v>
      </c>
      <c r="I258">
        <v>2019</v>
      </c>
      <c r="J258" t="s">
        <v>650</v>
      </c>
      <c r="K258" s="173">
        <f t="shared" ref="K258:AL258" si="113">IF(K$84=0,AVERAGE($K110:$AL110),K110)</f>
        <v>0</v>
      </c>
      <c r="L258" s="173">
        <f t="shared" si="113"/>
        <v>0</v>
      </c>
      <c r="M258" s="173">
        <f t="shared" si="113"/>
        <v>1E-3</v>
      </c>
      <c r="N258" s="173">
        <f t="shared" si="113"/>
        <v>0</v>
      </c>
      <c r="O258" s="173">
        <f t="shared" si="113"/>
        <v>0</v>
      </c>
      <c r="P258" s="173">
        <f t="shared" si="113"/>
        <v>0</v>
      </c>
      <c r="Q258" s="173">
        <f t="shared" si="113"/>
        <v>0</v>
      </c>
      <c r="R258" s="173">
        <f t="shared" si="113"/>
        <v>0</v>
      </c>
      <c r="S258" s="173">
        <f t="shared" si="113"/>
        <v>0</v>
      </c>
      <c r="T258" s="173">
        <f t="shared" si="113"/>
        <v>0</v>
      </c>
      <c r="U258" s="173">
        <f t="shared" si="113"/>
        <v>0</v>
      </c>
      <c r="V258" s="173">
        <f t="shared" si="113"/>
        <v>0</v>
      </c>
      <c r="W258" s="173">
        <f t="shared" si="113"/>
        <v>0</v>
      </c>
      <c r="X258" s="173">
        <f t="shared" si="113"/>
        <v>0</v>
      </c>
      <c r="Y258" s="173">
        <f t="shared" si="113"/>
        <v>0</v>
      </c>
      <c r="Z258" s="173">
        <f t="shared" si="113"/>
        <v>0</v>
      </c>
      <c r="AA258" s="173">
        <f t="shared" si="113"/>
        <v>0</v>
      </c>
      <c r="AB258" s="173">
        <f t="shared" si="113"/>
        <v>0</v>
      </c>
      <c r="AC258" s="173">
        <f t="shared" si="113"/>
        <v>0</v>
      </c>
      <c r="AD258" s="173">
        <f t="shared" si="113"/>
        <v>0</v>
      </c>
      <c r="AE258" s="173">
        <f t="shared" si="113"/>
        <v>0</v>
      </c>
      <c r="AF258" s="173">
        <f t="shared" si="113"/>
        <v>0</v>
      </c>
      <c r="AG258" s="173">
        <f t="shared" si="113"/>
        <v>0</v>
      </c>
      <c r="AH258" s="173">
        <f t="shared" si="113"/>
        <v>0</v>
      </c>
      <c r="AI258" s="173">
        <f t="shared" si="113"/>
        <v>0</v>
      </c>
      <c r="AJ258" s="173">
        <f t="shared" si="113"/>
        <v>0</v>
      </c>
      <c r="AK258" s="173">
        <f t="shared" si="113"/>
        <v>0</v>
      </c>
      <c r="AL258" s="173">
        <f t="shared" si="113"/>
        <v>0</v>
      </c>
    </row>
    <row r="259" spans="3:38">
      <c r="C259" s="4"/>
      <c r="D259" s="4" t="str">
        <f>Commodities!$C$39</f>
        <v>BIOMASSb</v>
      </c>
      <c r="G259" s="4" t="s">
        <v>705</v>
      </c>
      <c r="H259" t="s">
        <v>661</v>
      </c>
      <c r="I259">
        <v>2019</v>
      </c>
      <c r="J259" t="s">
        <v>650</v>
      </c>
      <c r="K259" s="173">
        <f t="shared" ref="K259:AL259" si="114">IF(K$84=0,AVERAGE($K111:$AL111),K111)</f>
        <v>1</v>
      </c>
      <c r="L259" s="173">
        <f t="shared" si="114"/>
        <v>0</v>
      </c>
      <c r="M259" s="173">
        <f t="shared" si="114"/>
        <v>0</v>
      </c>
      <c r="N259" s="173">
        <f t="shared" si="114"/>
        <v>0</v>
      </c>
      <c r="O259" s="173">
        <f t="shared" si="114"/>
        <v>0</v>
      </c>
      <c r="P259" s="173">
        <f t="shared" si="114"/>
        <v>0</v>
      </c>
      <c r="Q259" s="173">
        <f t="shared" si="114"/>
        <v>0</v>
      </c>
      <c r="R259" s="173">
        <f t="shared" si="114"/>
        <v>0</v>
      </c>
      <c r="S259" s="173">
        <f t="shared" si="114"/>
        <v>0</v>
      </c>
      <c r="T259" s="348">
        <f t="shared" si="114"/>
        <v>0</v>
      </c>
      <c r="U259" s="173">
        <f t="shared" si="114"/>
        <v>1</v>
      </c>
      <c r="V259" s="173">
        <f t="shared" si="114"/>
        <v>0</v>
      </c>
      <c r="W259" s="173">
        <f t="shared" si="114"/>
        <v>0</v>
      </c>
      <c r="X259" s="173">
        <f t="shared" si="114"/>
        <v>0</v>
      </c>
      <c r="Y259" s="173">
        <f t="shared" si="114"/>
        <v>0</v>
      </c>
      <c r="Z259" s="173">
        <f t="shared" si="114"/>
        <v>0</v>
      </c>
      <c r="AA259" s="173">
        <f t="shared" si="114"/>
        <v>0</v>
      </c>
      <c r="AB259" s="173">
        <f t="shared" si="114"/>
        <v>0</v>
      </c>
      <c r="AC259" s="173">
        <f t="shared" si="114"/>
        <v>0</v>
      </c>
      <c r="AD259" s="173">
        <f t="shared" si="114"/>
        <v>0</v>
      </c>
      <c r="AE259" s="173">
        <f t="shared" si="114"/>
        <v>0</v>
      </c>
      <c r="AF259" s="173">
        <f t="shared" si="114"/>
        <v>0</v>
      </c>
      <c r="AG259" s="173">
        <f t="shared" si="114"/>
        <v>0</v>
      </c>
      <c r="AH259" s="173">
        <f t="shared" si="114"/>
        <v>0</v>
      </c>
      <c r="AI259" s="173">
        <f t="shared" si="114"/>
        <v>1</v>
      </c>
      <c r="AJ259" s="173">
        <f t="shared" si="114"/>
        <v>0</v>
      </c>
      <c r="AK259" s="173">
        <f t="shared" si="114"/>
        <v>0</v>
      </c>
      <c r="AL259" s="173">
        <f t="shared" si="114"/>
        <v>0</v>
      </c>
    </row>
    <row r="260" spans="3:38">
      <c r="D260" t="str">
        <f>Commodities!$C$40</f>
        <v>COAb</v>
      </c>
      <c r="G260" s="4" t="s">
        <v>705</v>
      </c>
      <c r="H260" t="s">
        <v>661</v>
      </c>
      <c r="I260">
        <v>2019</v>
      </c>
      <c r="J260" t="s">
        <v>650</v>
      </c>
      <c r="K260" s="173">
        <f t="shared" ref="K260:AL260" si="115">IF(K$84=0,AVERAGE($K112:$AL112),K112)</f>
        <v>0</v>
      </c>
      <c r="L260" s="173">
        <f t="shared" si="115"/>
        <v>2.3171329644346593E-3</v>
      </c>
      <c r="M260" s="173">
        <f t="shared" si="115"/>
        <v>2.8670590010562848E-3</v>
      </c>
      <c r="N260" s="173">
        <f t="shared" si="115"/>
        <v>0.26709601873536298</v>
      </c>
      <c r="O260" s="173">
        <f t="shared" si="115"/>
        <v>2.5532875340320781E-3</v>
      </c>
      <c r="P260" s="173">
        <f t="shared" si="115"/>
        <v>5.8474275771644386E-2</v>
      </c>
      <c r="Q260" s="173">
        <f t="shared" si="115"/>
        <v>0</v>
      </c>
      <c r="R260" s="173">
        <f t="shared" si="115"/>
        <v>0</v>
      </c>
      <c r="S260" s="173">
        <f t="shared" si="115"/>
        <v>0</v>
      </c>
      <c r="T260" s="348">
        <f t="shared" si="115"/>
        <v>0</v>
      </c>
      <c r="U260" s="173">
        <f t="shared" si="115"/>
        <v>0</v>
      </c>
      <c r="V260" s="173">
        <f t="shared" si="115"/>
        <v>1</v>
      </c>
      <c r="W260" s="173">
        <f t="shared" si="115"/>
        <v>0.48147133990507485</v>
      </c>
      <c r="X260" s="173">
        <f t="shared" si="115"/>
        <v>1.2552400146967506E-2</v>
      </c>
      <c r="Y260" s="173">
        <f t="shared" si="115"/>
        <v>0.82587105851195897</v>
      </c>
      <c r="Z260" s="173">
        <f t="shared" si="115"/>
        <v>0.73445692883895131</v>
      </c>
      <c r="AA260" s="173">
        <f t="shared" si="115"/>
        <v>0.90517785593733491</v>
      </c>
      <c r="AB260" s="173">
        <f t="shared" si="115"/>
        <v>0.30904717784578523</v>
      </c>
      <c r="AC260" s="173">
        <f t="shared" si="115"/>
        <v>6.4884431616987218E-2</v>
      </c>
      <c r="AD260" s="173">
        <f t="shared" si="115"/>
        <v>0.39844294378252826</v>
      </c>
      <c r="AE260" s="173">
        <f t="shared" si="115"/>
        <v>9.2170524037778895E-3</v>
      </c>
      <c r="AF260" s="173">
        <f t="shared" si="115"/>
        <v>0</v>
      </c>
      <c r="AG260" s="173">
        <f t="shared" si="115"/>
        <v>1E-3</v>
      </c>
      <c r="AH260" s="173">
        <f t="shared" si="115"/>
        <v>9.7719869706840382E-3</v>
      </c>
      <c r="AI260" s="173">
        <f t="shared" si="115"/>
        <v>0</v>
      </c>
      <c r="AJ260" s="173">
        <f t="shared" si="115"/>
        <v>1</v>
      </c>
      <c r="AK260" s="173">
        <f t="shared" si="115"/>
        <v>0.68092724351618084</v>
      </c>
      <c r="AL260" s="173">
        <f t="shared" si="115"/>
        <v>0</v>
      </c>
    </row>
    <row r="261" spans="3:38">
      <c r="D261" t="str">
        <f>Commodities!$C$41</f>
        <v>OILDSLb</v>
      </c>
      <c r="G261" s="4" t="s">
        <v>705</v>
      </c>
      <c r="H261" t="s">
        <v>661</v>
      </c>
      <c r="I261">
        <v>2019</v>
      </c>
      <c r="J261" t="s">
        <v>650</v>
      </c>
      <c r="K261" s="173">
        <f t="shared" ref="K261:AL261" si="116">IF(K$84=0,AVERAGE($K113:$AL113),K113)</f>
        <v>0</v>
      </c>
      <c r="L261" s="173">
        <f t="shared" si="116"/>
        <v>0</v>
      </c>
      <c r="M261" s="173">
        <f t="shared" si="116"/>
        <v>0</v>
      </c>
      <c r="N261" s="173">
        <f t="shared" si="116"/>
        <v>0</v>
      </c>
      <c r="O261" s="173">
        <f t="shared" si="116"/>
        <v>0</v>
      </c>
      <c r="P261" s="173">
        <f t="shared" si="116"/>
        <v>0</v>
      </c>
      <c r="Q261" s="173">
        <f t="shared" si="116"/>
        <v>0</v>
      </c>
      <c r="R261" s="173">
        <f t="shared" si="116"/>
        <v>9.556585405983492E-2</v>
      </c>
      <c r="S261" s="173">
        <f t="shared" si="116"/>
        <v>0</v>
      </c>
      <c r="T261" s="348">
        <f t="shared" si="116"/>
        <v>0</v>
      </c>
      <c r="U261" s="173">
        <f t="shared" si="116"/>
        <v>0</v>
      </c>
      <c r="V261" s="173">
        <f t="shared" si="116"/>
        <v>0</v>
      </c>
      <c r="W261" s="173">
        <f t="shared" si="116"/>
        <v>0</v>
      </c>
      <c r="X261" s="173">
        <f t="shared" si="116"/>
        <v>0</v>
      </c>
      <c r="Y261" s="173">
        <f t="shared" si="116"/>
        <v>0</v>
      </c>
      <c r="Z261" s="173">
        <f t="shared" si="116"/>
        <v>0</v>
      </c>
      <c r="AA261" s="173">
        <f t="shared" si="116"/>
        <v>0</v>
      </c>
      <c r="AB261" s="173">
        <f t="shared" si="116"/>
        <v>0</v>
      </c>
      <c r="AC261" s="173">
        <f t="shared" si="116"/>
        <v>0</v>
      </c>
      <c r="AD261" s="173">
        <f t="shared" si="116"/>
        <v>0</v>
      </c>
      <c r="AE261" s="173">
        <f t="shared" si="116"/>
        <v>2.5949735851273741E-2</v>
      </c>
      <c r="AF261" s="173">
        <f t="shared" si="116"/>
        <v>0</v>
      </c>
      <c r="AG261" s="173">
        <f t="shared" si="116"/>
        <v>0</v>
      </c>
      <c r="AH261" s="173">
        <f t="shared" si="116"/>
        <v>0</v>
      </c>
      <c r="AI261" s="173">
        <f t="shared" si="116"/>
        <v>0</v>
      </c>
      <c r="AJ261" s="173">
        <f t="shared" si="116"/>
        <v>0</v>
      </c>
      <c r="AK261" s="173">
        <f t="shared" si="116"/>
        <v>0</v>
      </c>
      <c r="AL261" s="173">
        <f t="shared" si="116"/>
        <v>0</v>
      </c>
    </row>
    <row r="262" spans="3:38">
      <c r="D262" t="str">
        <f>Commodities!$C$33</f>
        <v>GASPIP</v>
      </c>
      <c r="G262" s="4" t="s">
        <v>705</v>
      </c>
      <c r="H262" t="s">
        <v>661</v>
      </c>
      <c r="I262">
        <v>2019</v>
      </c>
      <c r="J262" t="s">
        <v>650</v>
      </c>
      <c r="K262" s="173">
        <f t="shared" ref="K262:AL262" si="117">IF(K$84=0,AVERAGE($K114:$AL114),K114)</f>
        <v>0</v>
      </c>
      <c r="L262" s="173">
        <f t="shared" si="117"/>
        <v>0</v>
      </c>
      <c r="M262" s="173">
        <f t="shared" si="117"/>
        <v>0</v>
      </c>
      <c r="N262" s="173">
        <f t="shared" si="117"/>
        <v>0</v>
      </c>
      <c r="O262" s="173">
        <f t="shared" si="117"/>
        <v>0</v>
      </c>
      <c r="P262" s="173">
        <f t="shared" si="117"/>
        <v>0</v>
      </c>
      <c r="Q262" s="173">
        <f t="shared" si="117"/>
        <v>0</v>
      </c>
      <c r="R262" s="173">
        <f t="shared" si="117"/>
        <v>0</v>
      </c>
      <c r="S262" s="173">
        <f t="shared" si="117"/>
        <v>0</v>
      </c>
      <c r="T262" s="348">
        <f t="shared" si="117"/>
        <v>0</v>
      </c>
      <c r="U262" s="173">
        <f t="shared" si="117"/>
        <v>0</v>
      </c>
      <c r="V262" s="173">
        <f t="shared" si="117"/>
        <v>0</v>
      </c>
      <c r="W262" s="173">
        <f t="shared" si="117"/>
        <v>0</v>
      </c>
      <c r="X262" s="173">
        <f t="shared" si="117"/>
        <v>4.0753401846547875E-2</v>
      </c>
      <c r="Y262" s="173">
        <f t="shared" si="117"/>
        <v>0</v>
      </c>
      <c r="Z262" s="173">
        <f t="shared" si="117"/>
        <v>0</v>
      </c>
      <c r="AA262" s="173">
        <f t="shared" si="117"/>
        <v>0</v>
      </c>
      <c r="AB262" s="173">
        <f t="shared" si="117"/>
        <v>0</v>
      </c>
      <c r="AC262" s="173">
        <f t="shared" si="117"/>
        <v>0</v>
      </c>
      <c r="AD262" s="173">
        <f t="shared" si="117"/>
        <v>0.60155705621747169</v>
      </c>
      <c r="AE262" s="173">
        <f t="shared" si="117"/>
        <v>0</v>
      </c>
      <c r="AF262" s="173">
        <f t="shared" si="117"/>
        <v>0</v>
      </c>
      <c r="AG262" s="173">
        <f t="shared" si="117"/>
        <v>0</v>
      </c>
      <c r="AH262" s="173">
        <f t="shared" si="117"/>
        <v>4.3005818819898955E-2</v>
      </c>
      <c r="AI262" s="173">
        <f t="shared" si="117"/>
        <v>0</v>
      </c>
      <c r="AJ262" s="173">
        <f t="shared" si="117"/>
        <v>0</v>
      </c>
      <c r="AK262" s="173">
        <f t="shared" si="117"/>
        <v>4.1496442506311682E-2</v>
      </c>
      <c r="AL262" s="173">
        <f t="shared" si="117"/>
        <v>0</v>
      </c>
    </row>
    <row r="263" spans="3:38">
      <c r="D263" t="str">
        <f>Commodities!$C$42</f>
        <v>OILGSLb</v>
      </c>
      <c r="G263" s="4" t="s">
        <v>705</v>
      </c>
      <c r="H263" t="s">
        <v>661</v>
      </c>
      <c r="I263">
        <v>2019</v>
      </c>
      <c r="J263" t="s">
        <v>650</v>
      </c>
      <c r="K263" s="173">
        <f t="shared" ref="K263:AL263" si="118">IF(K$84=0,AVERAGE($K115:$AL115),K115)</f>
        <v>0</v>
      </c>
      <c r="L263" s="173">
        <f t="shared" si="118"/>
        <v>0</v>
      </c>
      <c r="M263" s="173">
        <f t="shared" si="118"/>
        <v>0</v>
      </c>
      <c r="N263" s="173">
        <f t="shared" si="118"/>
        <v>0</v>
      </c>
      <c r="O263" s="173">
        <f t="shared" si="118"/>
        <v>0</v>
      </c>
      <c r="P263" s="173">
        <f t="shared" si="118"/>
        <v>0</v>
      </c>
      <c r="Q263" s="173">
        <f t="shared" si="118"/>
        <v>0</v>
      </c>
      <c r="R263" s="173">
        <f t="shared" si="118"/>
        <v>0.29497902212959665</v>
      </c>
      <c r="S263" s="173">
        <f t="shared" si="118"/>
        <v>6.5075206393485879E-2</v>
      </c>
      <c r="T263" s="348">
        <f t="shared" si="118"/>
        <v>0</v>
      </c>
      <c r="U263" s="173">
        <f t="shared" si="118"/>
        <v>0</v>
      </c>
      <c r="V263" s="173">
        <f t="shared" si="118"/>
        <v>0</v>
      </c>
      <c r="W263" s="173">
        <f t="shared" si="118"/>
        <v>0</v>
      </c>
      <c r="X263" s="173">
        <f t="shared" si="118"/>
        <v>0</v>
      </c>
      <c r="Y263" s="173">
        <f t="shared" si="118"/>
        <v>0</v>
      </c>
      <c r="Z263" s="173">
        <f t="shared" si="118"/>
        <v>0</v>
      </c>
      <c r="AA263" s="173">
        <f t="shared" si="118"/>
        <v>9.4345456653654389E-2</v>
      </c>
      <c r="AB263" s="173">
        <f t="shared" si="118"/>
        <v>0</v>
      </c>
      <c r="AC263" s="173">
        <f t="shared" si="118"/>
        <v>0</v>
      </c>
      <c r="AD263" s="173">
        <f t="shared" si="118"/>
        <v>0</v>
      </c>
      <c r="AE263" s="173">
        <f t="shared" si="118"/>
        <v>0.21175229263468157</v>
      </c>
      <c r="AF263" s="173">
        <f t="shared" si="118"/>
        <v>0</v>
      </c>
      <c r="AG263" s="173">
        <f t="shared" si="118"/>
        <v>0</v>
      </c>
      <c r="AH263" s="173">
        <f t="shared" si="118"/>
        <v>0</v>
      </c>
      <c r="AI263" s="173">
        <f t="shared" si="118"/>
        <v>0</v>
      </c>
      <c r="AJ263" s="173">
        <f t="shared" si="118"/>
        <v>0</v>
      </c>
      <c r="AK263" s="173">
        <f t="shared" si="118"/>
        <v>0</v>
      </c>
      <c r="AL263" s="173">
        <f t="shared" si="118"/>
        <v>3.5173777540556179E-2</v>
      </c>
    </row>
    <row r="264" spans="3:38">
      <c r="D264" t="str">
        <f>Commodities!$C$43</f>
        <v>OILLPGb</v>
      </c>
      <c r="G264" s="4" t="s">
        <v>705</v>
      </c>
      <c r="H264" t="s">
        <v>661</v>
      </c>
      <c r="I264">
        <v>2019</v>
      </c>
      <c r="J264" t="s">
        <v>650</v>
      </c>
      <c r="K264" s="173">
        <f t="shared" ref="K264:AL264" si="119">IF(K$84=0,AVERAGE($K116:$AL116),K116)</f>
        <v>0</v>
      </c>
      <c r="L264" s="173">
        <f t="shared" si="119"/>
        <v>0.98077574734163897</v>
      </c>
      <c r="M264" s="173">
        <f t="shared" si="119"/>
        <v>0.99713294099894367</v>
      </c>
      <c r="N264" s="173">
        <f t="shared" si="119"/>
        <v>0.73290398126463696</v>
      </c>
      <c r="O264" s="173">
        <f t="shared" si="119"/>
        <v>0.84489130894779163</v>
      </c>
      <c r="P264" s="173">
        <f t="shared" si="119"/>
        <v>0.93506065129012839</v>
      </c>
      <c r="Q264" s="173">
        <f t="shared" si="119"/>
        <v>0.73850560435629398</v>
      </c>
      <c r="R264" s="173">
        <f t="shared" si="119"/>
        <v>0.60945512381056843</v>
      </c>
      <c r="S264" s="173">
        <f t="shared" si="119"/>
        <v>0.56670562068835528</v>
      </c>
      <c r="T264" s="348">
        <f t="shared" si="119"/>
        <v>0</v>
      </c>
      <c r="U264" s="173">
        <f t="shared" si="119"/>
        <v>0</v>
      </c>
      <c r="V264" s="173">
        <f t="shared" si="119"/>
        <v>0</v>
      </c>
      <c r="W264" s="173">
        <f t="shared" si="119"/>
        <v>0.50392479006936841</v>
      </c>
      <c r="X264" s="173">
        <f t="shared" si="119"/>
        <v>0.70721236589752234</v>
      </c>
      <c r="Y264" s="173">
        <f t="shared" si="119"/>
        <v>5.6608458164363155E-2</v>
      </c>
      <c r="Z264" s="173">
        <f t="shared" si="119"/>
        <v>0</v>
      </c>
      <c r="AA264" s="173">
        <f t="shared" si="119"/>
        <v>0</v>
      </c>
      <c r="AB264" s="173">
        <f t="shared" si="119"/>
        <v>0.69095282215421472</v>
      </c>
      <c r="AC264" s="173">
        <f t="shared" si="119"/>
        <v>0.62097693483058869</v>
      </c>
      <c r="AD264" s="173">
        <f t="shared" si="119"/>
        <v>0</v>
      </c>
      <c r="AE264" s="173">
        <f t="shared" si="119"/>
        <v>0.61800275165123553</v>
      </c>
      <c r="AF264" s="173">
        <f t="shared" si="119"/>
        <v>1</v>
      </c>
      <c r="AG264" s="173">
        <f t="shared" si="119"/>
        <v>0.62289748212446416</v>
      </c>
      <c r="AH264" s="173">
        <f t="shared" si="119"/>
        <v>0.60193523663537074</v>
      </c>
      <c r="AI264" s="173">
        <f t="shared" si="119"/>
        <v>0</v>
      </c>
      <c r="AJ264" s="173">
        <f t="shared" si="119"/>
        <v>0</v>
      </c>
      <c r="AK264" s="173">
        <f t="shared" si="119"/>
        <v>0</v>
      </c>
      <c r="AL264" s="173">
        <f t="shared" si="119"/>
        <v>0.60796508693134099</v>
      </c>
    </row>
    <row r="265" spans="3:38">
      <c r="D265" t="str">
        <f>Commodities!$C$44</f>
        <v>OILNAPb</v>
      </c>
      <c r="G265" s="4" t="s">
        <v>705</v>
      </c>
      <c r="H265" t="s">
        <v>661</v>
      </c>
      <c r="I265">
        <v>2019</v>
      </c>
      <c r="J265" t="s">
        <v>650</v>
      </c>
      <c r="K265" s="173">
        <f t="shared" ref="K265:AL265" si="120">IF(K$84=0,AVERAGE($K117:$AL117),K117)</f>
        <v>0</v>
      </c>
      <c r="L265" s="173">
        <f t="shared" si="120"/>
        <v>1.6907119693926425E-2</v>
      </c>
      <c r="M265" s="173">
        <f t="shared" si="120"/>
        <v>0</v>
      </c>
      <c r="N265" s="173">
        <f t="shared" si="120"/>
        <v>0</v>
      </c>
      <c r="O265" s="173">
        <f t="shared" si="120"/>
        <v>0</v>
      </c>
      <c r="P265" s="173">
        <f t="shared" si="120"/>
        <v>6.4650729382272178E-3</v>
      </c>
      <c r="Q265" s="173">
        <f t="shared" si="120"/>
        <v>1.961027862792639E-2</v>
      </c>
      <c r="R265" s="173">
        <f t="shared" si="120"/>
        <v>0</v>
      </c>
      <c r="S265" s="173">
        <f t="shared" si="120"/>
        <v>0</v>
      </c>
      <c r="T265" s="348">
        <f t="shared" si="120"/>
        <v>0</v>
      </c>
      <c r="U265" s="173">
        <f t="shared" si="120"/>
        <v>0</v>
      </c>
      <c r="V265" s="173">
        <f t="shared" si="120"/>
        <v>0</v>
      </c>
      <c r="W265" s="173">
        <f t="shared" si="120"/>
        <v>0</v>
      </c>
      <c r="X265" s="173">
        <f t="shared" si="120"/>
        <v>6.5464999602500171E-2</v>
      </c>
      <c r="Y265" s="173">
        <f t="shared" si="120"/>
        <v>0</v>
      </c>
      <c r="Z265" s="173">
        <f t="shared" si="120"/>
        <v>0</v>
      </c>
      <c r="AA265" s="173">
        <f t="shared" si="120"/>
        <v>0</v>
      </c>
      <c r="AB265" s="173">
        <f t="shared" si="120"/>
        <v>0</v>
      </c>
      <c r="AC265" s="173">
        <f t="shared" si="120"/>
        <v>0.31413863355242416</v>
      </c>
      <c r="AD265" s="173">
        <f t="shared" si="120"/>
        <v>0</v>
      </c>
      <c r="AE265" s="173">
        <f t="shared" si="120"/>
        <v>0</v>
      </c>
      <c r="AF265" s="173">
        <f t="shared" si="120"/>
        <v>0</v>
      </c>
      <c r="AG265" s="173">
        <f t="shared" si="120"/>
        <v>0.10739839837175022</v>
      </c>
      <c r="AH265" s="173">
        <f t="shared" si="120"/>
        <v>0</v>
      </c>
      <c r="AI265" s="173">
        <f t="shared" si="120"/>
        <v>0</v>
      </c>
      <c r="AJ265" s="173">
        <f t="shared" si="120"/>
        <v>0</v>
      </c>
      <c r="AK265" s="173">
        <f t="shared" si="120"/>
        <v>0</v>
      </c>
      <c r="AL265" s="173">
        <f t="shared" si="120"/>
        <v>0</v>
      </c>
    </row>
    <row r="266" spans="3:38">
      <c r="D266" t="str">
        <f>Commodities!$C$34</f>
        <v>OILPIP</v>
      </c>
      <c r="G266" s="4" t="s">
        <v>705</v>
      </c>
      <c r="H266" t="s">
        <v>661</v>
      </c>
      <c r="I266">
        <v>2019</v>
      </c>
      <c r="J266" t="s">
        <v>650</v>
      </c>
      <c r="K266" s="173">
        <f t="shared" ref="K266:AL266" si="121">IF(K$84=0,AVERAGE($K118:$AL118),K118)</f>
        <v>0</v>
      </c>
      <c r="L266" s="173">
        <f t="shared" si="121"/>
        <v>0</v>
      </c>
      <c r="M266" s="173">
        <f t="shared" si="121"/>
        <v>0</v>
      </c>
      <c r="N266" s="173">
        <f t="shared" si="121"/>
        <v>0</v>
      </c>
      <c r="O266" s="173">
        <f t="shared" si="121"/>
        <v>0</v>
      </c>
      <c r="P266" s="173">
        <f t="shared" si="121"/>
        <v>0</v>
      </c>
      <c r="Q266" s="173">
        <f t="shared" si="121"/>
        <v>0</v>
      </c>
      <c r="R266" s="173">
        <f t="shared" si="121"/>
        <v>0</v>
      </c>
      <c r="S266" s="173">
        <f t="shared" si="121"/>
        <v>0</v>
      </c>
      <c r="T266" s="348">
        <f t="shared" si="121"/>
        <v>1E-3</v>
      </c>
      <c r="U266" s="173">
        <f t="shared" si="121"/>
        <v>0</v>
      </c>
      <c r="V266" s="173">
        <f t="shared" si="121"/>
        <v>0</v>
      </c>
      <c r="W266" s="173">
        <f t="shared" si="121"/>
        <v>0</v>
      </c>
      <c r="X266" s="173">
        <f t="shared" si="121"/>
        <v>0</v>
      </c>
      <c r="Y266" s="173">
        <f t="shared" si="121"/>
        <v>0.1175204833236779</v>
      </c>
      <c r="Z266" s="173">
        <f t="shared" si="121"/>
        <v>2.546816479400749E-2</v>
      </c>
      <c r="AA266" s="173">
        <f t="shared" si="121"/>
        <v>0</v>
      </c>
      <c r="AB266" s="173">
        <f t="shared" si="121"/>
        <v>0</v>
      </c>
      <c r="AC266" s="173">
        <f t="shared" si="121"/>
        <v>0</v>
      </c>
      <c r="AD266" s="173">
        <f t="shared" si="121"/>
        <v>0</v>
      </c>
      <c r="AE266" s="173">
        <f t="shared" si="121"/>
        <v>0</v>
      </c>
      <c r="AF266" s="173">
        <f t="shared" si="121"/>
        <v>0</v>
      </c>
      <c r="AG266" s="173">
        <f t="shared" si="121"/>
        <v>0</v>
      </c>
      <c r="AH266" s="173">
        <f t="shared" si="121"/>
        <v>0</v>
      </c>
      <c r="AI266" s="173">
        <f t="shared" si="121"/>
        <v>0</v>
      </c>
      <c r="AJ266" s="173">
        <f t="shared" si="121"/>
        <v>0</v>
      </c>
      <c r="AK266" s="173">
        <f t="shared" si="121"/>
        <v>0</v>
      </c>
      <c r="AL266" s="173">
        <f t="shared" si="121"/>
        <v>0</v>
      </c>
    </row>
    <row r="267" spans="3:38">
      <c r="D267" t="str">
        <f>Commodities!$C$45</f>
        <v>OILOPPb</v>
      </c>
      <c r="G267" s="4" t="s">
        <v>705</v>
      </c>
      <c r="H267" t="s">
        <v>661</v>
      </c>
      <c r="I267">
        <v>2019</v>
      </c>
      <c r="J267" t="s">
        <v>650</v>
      </c>
      <c r="K267" s="173">
        <f t="shared" ref="K267:AL267" si="122">IF(K$84=0,AVERAGE($K119:$AL119),K119)</f>
        <v>0</v>
      </c>
      <c r="L267" s="173">
        <f t="shared" si="122"/>
        <v>0</v>
      </c>
      <c r="M267" s="173">
        <f t="shared" si="122"/>
        <v>0</v>
      </c>
      <c r="N267" s="173">
        <f t="shared" si="122"/>
        <v>0</v>
      </c>
      <c r="O267" s="173">
        <f t="shared" si="122"/>
        <v>0.15255540351817631</v>
      </c>
      <c r="P267" s="173">
        <f t="shared" si="122"/>
        <v>0</v>
      </c>
      <c r="Q267" s="173">
        <f t="shared" si="122"/>
        <v>0.24188411701577964</v>
      </c>
      <c r="R267" s="173">
        <f t="shared" si="122"/>
        <v>0</v>
      </c>
      <c r="S267" s="173">
        <f t="shared" si="122"/>
        <v>0.36821917291815887</v>
      </c>
      <c r="T267" s="348">
        <f t="shared" si="122"/>
        <v>0.99992048447220772</v>
      </c>
      <c r="U267" s="173">
        <f t="shared" si="122"/>
        <v>0</v>
      </c>
      <c r="V267" s="173">
        <f t="shared" si="122"/>
        <v>0</v>
      </c>
      <c r="W267" s="173">
        <f t="shared" si="122"/>
        <v>1.4603870025556773E-2</v>
      </c>
      <c r="X267" s="173">
        <f t="shared" si="122"/>
        <v>0.17401683250646205</v>
      </c>
      <c r="Y267" s="173">
        <f t="shared" si="122"/>
        <v>0</v>
      </c>
      <c r="Z267" s="173">
        <f t="shared" si="122"/>
        <v>0.24007490636704121</v>
      </c>
      <c r="AA267" s="173">
        <f t="shared" si="122"/>
        <v>1E-3</v>
      </c>
      <c r="AB267" s="173">
        <f t="shared" si="122"/>
        <v>0</v>
      </c>
      <c r="AC267" s="173">
        <f t="shared" si="122"/>
        <v>0</v>
      </c>
      <c r="AD267" s="173">
        <f t="shared" si="122"/>
        <v>0</v>
      </c>
      <c r="AE267" s="173">
        <f t="shared" si="122"/>
        <v>0.13507816745903123</v>
      </c>
      <c r="AF267" s="173">
        <f t="shared" si="122"/>
        <v>0</v>
      </c>
      <c r="AG267" s="173">
        <f t="shared" si="122"/>
        <v>0.26965279758002036</v>
      </c>
      <c r="AH267" s="173">
        <f t="shared" si="122"/>
        <v>0.34528695757404626</v>
      </c>
      <c r="AI267" s="173">
        <f t="shared" si="122"/>
        <v>0</v>
      </c>
      <c r="AJ267" s="173">
        <f t="shared" si="122"/>
        <v>0</v>
      </c>
      <c r="AK267" s="173">
        <f t="shared" si="122"/>
        <v>0.27757631397750748</v>
      </c>
      <c r="AL267" s="173">
        <f t="shared" si="122"/>
        <v>0.35686113552810284</v>
      </c>
    </row>
    <row r="268" spans="3:38">
      <c r="E268" s="4" t="s">
        <v>359</v>
      </c>
      <c r="F268" s="4" t="s">
        <v>691</v>
      </c>
      <c r="G268" s="4" t="s">
        <v>692</v>
      </c>
      <c r="J268" s="4" t="s">
        <v>2664</v>
      </c>
      <c r="K268" s="173">
        <f t="shared" ref="K268:AL268" si="123">IF(K$84=0,AVERAGE($K120:$AL120),K120)</f>
        <v>7122.9019611957146</v>
      </c>
      <c r="L268" s="173">
        <f t="shared" si="123"/>
        <v>63.319311191414165</v>
      </c>
      <c r="M268" s="173">
        <f t="shared" si="123"/>
        <v>8.9909892508783802</v>
      </c>
      <c r="N268" s="173">
        <f t="shared" si="123"/>
        <v>3.5138744056092244</v>
      </c>
      <c r="O268" s="173">
        <f t="shared" si="123"/>
        <v>3.9736402881225321</v>
      </c>
      <c r="P268" s="173">
        <f t="shared" si="123"/>
        <v>0.44741595847317706</v>
      </c>
      <c r="Q268" s="173">
        <f t="shared" si="123"/>
        <v>865.92661934316652</v>
      </c>
      <c r="R268" s="173" t="str">
        <f t="shared" si="123"/>
        <v/>
      </c>
      <c r="S268" s="173">
        <f t="shared" si="123"/>
        <v>0.18200461683969812</v>
      </c>
      <c r="T268" s="173">
        <f t="shared" si="123"/>
        <v>297.54037940379402</v>
      </c>
      <c r="U268" s="173">
        <f t="shared" si="123"/>
        <v>8.3889349121306029</v>
      </c>
      <c r="V268" s="173">
        <f t="shared" si="123"/>
        <v>5.7452238570723928</v>
      </c>
      <c r="W268" s="173">
        <f t="shared" si="123"/>
        <v>0.68225288691065988</v>
      </c>
      <c r="X268" s="173">
        <f t="shared" si="123"/>
        <v>11.687147731605187</v>
      </c>
      <c r="Y268" s="173">
        <f t="shared" si="123"/>
        <v>0.48016907914097889</v>
      </c>
      <c r="Z268" s="173">
        <f t="shared" si="123"/>
        <v>2.236207652749499E-2</v>
      </c>
      <c r="AA268" s="173">
        <f t="shared" si="123"/>
        <v>0.64471127863911859</v>
      </c>
      <c r="AB268" s="173">
        <f t="shared" si="123"/>
        <v>1.6529655641842766</v>
      </c>
      <c r="AC268" s="173" t="str">
        <f t="shared" si="123"/>
        <v/>
      </c>
      <c r="AD268" s="173">
        <f t="shared" si="123"/>
        <v>3.3320815762260443</v>
      </c>
      <c r="AE268" s="173">
        <f t="shared" si="123"/>
        <v>10.386650146298486</v>
      </c>
      <c r="AF268" s="173">
        <f t="shared" si="123"/>
        <v>0.65958389584076338</v>
      </c>
      <c r="AG268" s="173">
        <f t="shared" si="123"/>
        <v>88.090246958302643</v>
      </c>
      <c r="AH268" s="173">
        <f t="shared" si="123"/>
        <v>18.170828553555367</v>
      </c>
      <c r="AI268" s="173" t="str">
        <f t="shared" si="123"/>
        <v/>
      </c>
      <c r="AJ268" s="173">
        <f t="shared" si="123"/>
        <v>6.9083090410672061E-4</v>
      </c>
      <c r="AK268" s="173">
        <f t="shared" si="123"/>
        <v>5.7569984616801966</v>
      </c>
      <c r="AL268" s="173">
        <f t="shared" si="123"/>
        <v>40.847686199446542</v>
      </c>
    </row>
    <row r="269" spans="3:38">
      <c r="C269" t="str">
        <f>Commodities!$C$80</f>
        <v>UPSBDL</v>
      </c>
      <c r="E269" s="4"/>
      <c r="F269" s="4" t="s">
        <v>359</v>
      </c>
      <c r="G269" s="4" t="s">
        <v>702</v>
      </c>
      <c r="H269" t="s">
        <v>661</v>
      </c>
      <c r="I269">
        <v>2019</v>
      </c>
      <c r="J269" t="s">
        <v>650</v>
      </c>
      <c r="K269" s="173">
        <f t="shared" ref="K269:AL269" si="124">IF(K$84=0,AVERAGE($K121:$AL121),K121)</f>
        <v>0</v>
      </c>
      <c r="L269" s="173">
        <f t="shared" si="124"/>
        <v>0</v>
      </c>
      <c r="M269" s="173">
        <f t="shared" si="124"/>
        <v>0</v>
      </c>
      <c r="N269" s="173">
        <f t="shared" si="124"/>
        <v>0</v>
      </c>
      <c r="O269" s="173">
        <f t="shared" si="124"/>
        <v>0</v>
      </c>
      <c r="P269" s="173">
        <f t="shared" si="124"/>
        <v>0</v>
      </c>
      <c r="Q269" s="173">
        <f t="shared" si="124"/>
        <v>0</v>
      </c>
      <c r="R269" s="173" t="str">
        <f t="shared" si="124"/>
        <v/>
      </c>
      <c r="S269" s="173">
        <f t="shared" si="124"/>
        <v>0</v>
      </c>
      <c r="T269" s="173">
        <f t="shared" si="124"/>
        <v>0</v>
      </c>
      <c r="U269" s="173">
        <f t="shared" si="124"/>
        <v>0</v>
      </c>
      <c r="V269" s="173">
        <f t="shared" si="124"/>
        <v>0</v>
      </c>
      <c r="W269" s="173">
        <f t="shared" si="124"/>
        <v>0</v>
      </c>
      <c r="X269" s="173">
        <f t="shared" si="124"/>
        <v>0</v>
      </c>
      <c r="Y269" s="173">
        <f t="shared" si="124"/>
        <v>0</v>
      </c>
      <c r="Z269" s="173">
        <f t="shared" si="124"/>
        <v>0</v>
      </c>
      <c r="AA269" s="173">
        <f t="shared" si="124"/>
        <v>0</v>
      </c>
      <c r="AB269" s="173">
        <f t="shared" si="124"/>
        <v>0</v>
      </c>
      <c r="AC269" s="173" t="str">
        <f t="shared" si="124"/>
        <v/>
      </c>
      <c r="AD269" s="173">
        <f t="shared" si="124"/>
        <v>0</v>
      </c>
      <c r="AE269" s="173">
        <f t="shared" si="124"/>
        <v>0</v>
      </c>
      <c r="AF269" s="173">
        <f t="shared" si="124"/>
        <v>0</v>
      </c>
      <c r="AG269" s="173">
        <f t="shared" si="124"/>
        <v>0</v>
      </c>
      <c r="AH269" s="173">
        <f t="shared" si="124"/>
        <v>0</v>
      </c>
      <c r="AI269" s="173" t="str">
        <f t="shared" si="124"/>
        <v/>
      </c>
      <c r="AJ269" s="173">
        <f t="shared" si="124"/>
        <v>0</v>
      </c>
      <c r="AK269" s="173">
        <f t="shared" si="124"/>
        <v>0</v>
      </c>
      <c r="AL269" s="173">
        <f t="shared" si="124"/>
        <v>0</v>
      </c>
    </row>
    <row r="270" spans="3:38">
      <c r="C270" t="str">
        <f>Commodities!$C$83</f>
        <v>UPSBFG</v>
      </c>
      <c r="F270" s="4" t="s">
        <v>359</v>
      </c>
      <c r="G270" s="4" t="s">
        <v>702</v>
      </c>
      <c r="H270" t="s">
        <v>661</v>
      </c>
      <c r="I270">
        <v>2019</v>
      </c>
      <c r="J270" t="s">
        <v>650</v>
      </c>
      <c r="K270" s="173">
        <f t="shared" ref="K270:AL270" si="125">IF(K$84=0,AVERAGE($K122:$AL122),K122)</f>
        <v>0</v>
      </c>
      <c r="L270" s="173">
        <f t="shared" si="125"/>
        <v>0</v>
      </c>
      <c r="M270" s="173">
        <f t="shared" si="125"/>
        <v>0</v>
      </c>
      <c r="N270" s="173">
        <f t="shared" si="125"/>
        <v>0</v>
      </c>
      <c r="O270" s="173">
        <f t="shared" si="125"/>
        <v>0</v>
      </c>
      <c r="P270" s="173">
        <f t="shared" si="125"/>
        <v>0</v>
      </c>
      <c r="Q270" s="173">
        <f t="shared" si="125"/>
        <v>0</v>
      </c>
      <c r="R270" s="173" t="str">
        <f t="shared" si="125"/>
        <v/>
      </c>
      <c r="S270" s="173">
        <f t="shared" si="125"/>
        <v>0</v>
      </c>
      <c r="T270" s="173">
        <f t="shared" si="125"/>
        <v>0</v>
      </c>
      <c r="U270" s="173">
        <f t="shared" si="125"/>
        <v>0</v>
      </c>
      <c r="V270" s="173">
        <f t="shared" si="125"/>
        <v>0</v>
      </c>
      <c r="W270" s="173">
        <f t="shared" si="125"/>
        <v>0</v>
      </c>
      <c r="X270" s="173">
        <f t="shared" si="125"/>
        <v>0</v>
      </c>
      <c r="Y270" s="173">
        <f t="shared" si="125"/>
        <v>0</v>
      </c>
      <c r="Z270" s="173">
        <f t="shared" si="125"/>
        <v>0.10839542067692809</v>
      </c>
      <c r="AA270" s="173">
        <f t="shared" si="125"/>
        <v>1E-3</v>
      </c>
      <c r="AB270" s="173">
        <f t="shared" si="125"/>
        <v>0</v>
      </c>
      <c r="AC270" s="173" t="str">
        <f t="shared" si="125"/>
        <v/>
      </c>
      <c r="AD270" s="173">
        <f t="shared" si="125"/>
        <v>0</v>
      </c>
      <c r="AE270" s="173">
        <f t="shared" si="125"/>
        <v>0</v>
      </c>
      <c r="AF270" s="173">
        <f t="shared" si="125"/>
        <v>0</v>
      </c>
      <c r="AG270" s="173">
        <f t="shared" si="125"/>
        <v>0</v>
      </c>
      <c r="AH270" s="173">
        <f t="shared" si="125"/>
        <v>0</v>
      </c>
      <c r="AI270" s="173" t="str">
        <f t="shared" si="125"/>
        <v/>
      </c>
      <c r="AJ270" s="173">
        <f t="shared" si="125"/>
        <v>0</v>
      </c>
      <c r="AK270" s="173">
        <f t="shared" si="125"/>
        <v>0</v>
      </c>
      <c r="AL270" s="173">
        <f t="shared" si="125"/>
        <v>0</v>
      </c>
    </row>
    <row r="271" spans="3:38">
      <c r="C271" t="str">
        <f>Commodities!$C$84</f>
        <v>UPSBGS</v>
      </c>
      <c r="F271" s="4" t="s">
        <v>359</v>
      </c>
      <c r="G271" s="4" t="s">
        <v>702</v>
      </c>
      <c r="H271" t="s">
        <v>661</v>
      </c>
      <c r="I271">
        <v>2019</v>
      </c>
      <c r="J271" t="s">
        <v>650</v>
      </c>
      <c r="K271" s="173">
        <f t="shared" ref="K271:AL271" si="126">IF(K$84=0,AVERAGE($K123:$AL123),K123)</f>
        <v>0</v>
      </c>
      <c r="L271" s="173">
        <f t="shared" si="126"/>
        <v>0</v>
      </c>
      <c r="M271" s="173">
        <f t="shared" si="126"/>
        <v>0</v>
      </c>
      <c r="N271" s="173">
        <f t="shared" si="126"/>
        <v>0</v>
      </c>
      <c r="O271" s="173">
        <f t="shared" si="126"/>
        <v>0</v>
      </c>
      <c r="P271" s="173">
        <f t="shared" si="126"/>
        <v>0</v>
      </c>
      <c r="Q271" s="173">
        <f t="shared" si="126"/>
        <v>0</v>
      </c>
      <c r="R271" s="173" t="str">
        <f t="shared" si="126"/>
        <v/>
      </c>
      <c r="S271" s="173">
        <f t="shared" si="126"/>
        <v>0</v>
      </c>
      <c r="T271" s="173">
        <f t="shared" si="126"/>
        <v>0</v>
      </c>
      <c r="U271" s="173">
        <f t="shared" si="126"/>
        <v>0</v>
      </c>
      <c r="V271" s="173">
        <f t="shared" si="126"/>
        <v>0</v>
      </c>
      <c r="W271" s="173">
        <f t="shared" si="126"/>
        <v>0</v>
      </c>
      <c r="X271" s="173">
        <f t="shared" si="126"/>
        <v>0</v>
      </c>
      <c r="Y271" s="173">
        <f t="shared" si="126"/>
        <v>0</v>
      </c>
      <c r="Z271" s="173">
        <f t="shared" si="126"/>
        <v>0</v>
      </c>
      <c r="AA271" s="173">
        <f t="shared" si="126"/>
        <v>8.3763825790589153E-3</v>
      </c>
      <c r="AB271" s="173">
        <f t="shared" si="126"/>
        <v>0</v>
      </c>
      <c r="AC271" s="173" t="str">
        <f t="shared" si="126"/>
        <v/>
      </c>
      <c r="AD271" s="173">
        <f t="shared" si="126"/>
        <v>0</v>
      </c>
      <c r="AE271" s="173">
        <f t="shared" si="126"/>
        <v>0</v>
      </c>
      <c r="AF271" s="173">
        <f t="shared" si="126"/>
        <v>0</v>
      </c>
      <c r="AG271" s="173">
        <f t="shared" si="126"/>
        <v>0</v>
      </c>
      <c r="AH271" s="173">
        <f t="shared" si="126"/>
        <v>0</v>
      </c>
      <c r="AI271" s="173" t="str">
        <f t="shared" si="126"/>
        <v/>
      </c>
      <c r="AJ271" s="173">
        <f t="shared" si="126"/>
        <v>0</v>
      </c>
      <c r="AK271" s="173">
        <f t="shared" si="126"/>
        <v>0</v>
      </c>
      <c r="AL271" s="173">
        <f t="shared" si="126"/>
        <v>0</v>
      </c>
    </row>
    <row r="272" spans="3:38">
      <c r="C272" t="str">
        <f>Commodities!$C$85</f>
        <v>UPSBIO</v>
      </c>
      <c r="F272" s="4" t="s">
        <v>359</v>
      </c>
      <c r="G272" s="4" t="s">
        <v>702</v>
      </c>
      <c r="H272" t="s">
        <v>661</v>
      </c>
      <c r="I272">
        <v>2019</v>
      </c>
      <c r="J272" t="s">
        <v>650</v>
      </c>
      <c r="K272" s="173">
        <f t="shared" ref="K272:AL272" si="127">IF(K$84=0,AVERAGE($K124:$AL124),K124)</f>
        <v>1</v>
      </c>
      <c r="L272" s="173">
        <f t="shared" si="127"/>
        <v>0</v>
      </c>
      <c r="M272" s="173">
        <f t="shared" si="127"/>
        <v>0</v>
      </c>
      <c r="N272" s="173">
        <f t="shared" si="127"/>
        <v>9.463596174357396E-3</v>
      </c>
      <c r="O272" s="173">
        <f t="shared" si="127"/>
        <v>0</v>
      </c>
      <c r="P272" s="173">
        <f t="shared" si="127"/>
        <v>0</v>
      </c>
      <c r="Q272" s="173">
        <f t="shared" si="127"/>
        <v>0</v>
      </c>
      <c r="R272" s="173" t="str">
        <f t="shared" si="127"/>
        <v/>
      </c>
      <c r="S272" s="173">
        <f t="shared" si="127"/>
        <v>0.94157217491297551</v>
      </c>
      <c r="T272" s="173">
        <f t="shared" si="127"/>
        <v>0</v>
      </c>
      <c r="U272" s="173">
        <f t="shared" si="127"/>
        <v>0</v>
      </c>
      <c r="V272" s="173">
        <f t="shared" si="127"/>
        <v>3.2960378089192141E-3</v>
      </c>
      <c r="W272" s="173">
        <f t="shared" si="127"/>
        <v>1.2454415606255203E-3</v>
      </c>
      <c r="X272" s="173">
        <f t="shared" si="127"/>
        <v>0</v>
      </c>
      <c r="Y272" s="173">
        <f t="shared" si="127"/>
        <v>1E-3</v>
      </c>
      <c r="Z272" s="173">
        <f t="shared" si="127"/>
        <v>0</v>
      </c>
      <c r="AA272" s="173">
        <f t="shared" si="127"/>
        <v>1.0219745440748397E-2</v>
      </c>
      <c r="AB272" s="173">
        <f t="shared" si="127"/>
        <v>0</v>
      </c>
      <c r="AC272" s="173" t="str">
        <f t="shared" si="127"/>
        <v/>
      </c>
      <c r="AD272" s="173">
        <f t="shared" si="127"/>
        <v>0</v>
      </c>
      <c r="AE272" s="173">
        <f t="shared" si="127"/>
        <v>3.6183242243679629E-2</v>
      </c>
      <c r="AF272" s="173">
        <f t="shared" si="127"/>
        <v>0</v>
      </c>
      <c r="AG272" s="173">
        <f t="shared" si="127"/>
        <v>0</v>
      </c>
      <c r="AH272" s="173">
        <f t="shared" si="127"/>
        <v>0</v>
      </c>
      <c r="AI272" s="173" t="str">
        <f t="shared" si="127"/>
        <v/>
      </c>
      <c r="AJ272" s="173">
        <f t="shared" si="127"/>
        <v>0</v>
      </c>
      <c r="AK272" s="173">
        <f t="shared" si="127"/>
        <v>0</v>
      </c>
      <c r="AL272" s="173">
        <f t="shared" si="127"/>
        <v>0</v>
      </c>
    </row>
    <row r="273" spans="1:47">
      <c r="C273" t="str">
        <f>Commodities!$C$86</f>
        <v>UPSCOA</v>
      </c>
      <c r="F273" s="4" t="s">
        <v>359</v>
      </c>
      <c r="G273" s="4" t="s">
        <v>702</v>
      </c>
      <c r="H273" t="s">
        <v>661</v>
      </c>
      <c r="I273">
        <v>2019</v>
      </c>
      <c r="J273" t="s">
        <v>650</v>
      </c>
      <c r="K273" s="173">
        <f t="shared" ref="K273:AL273" si="128">IF(K$84=0,AVERAGE($K125:$AL125),K125)</f>
        <v>0</v>
      </c>
      <c r="L273" s="173">
        <f t="shared" si="128"/>
        <v>0</v>
      </c>
      <c r="M273" s="173">
        <f t="shared" si="128"/>
        <v>3.9073561253251447E-2</v>
      </c>
      <c r="N273" s="173">
        <f t="shared" si="128"/>
        <v>4.8944501655003803E-2</v>
      </c>
      <c r="O273" s="173">
        <f t="shared" si="128"/>
        <v>0</v>
      </c>
      <c r="P273" s="173">
        <f t="shared" si="128"/>
        <v>0</v>
      </c>
      <c r="Q273" s="173">
        <f t="shared" si="128"/>
        <v>0</v>
      </c>
      <c r="R273" s="173" t="str">
        <f t="shared" si="128"/>
        <v/>
      </c>
      <c r="S273" s="173">
        <f t="shared" si="128"/>
        <v>0</v>
      </c>
      <c r="T273" s="173">
        <f t="shared" si="128"/>
        <v>0</v>
      </c>
      <c r="U273" s="173">
        <f t="shared" si="128"/>
        <v>0</v>
      </c>
      <c r="V273" s="173">
        <f t="shared" si="128"/>
        <v>0.17326718611949404</v>
      </c>
      <c r="W273" s="173">
        <f t="shared" si="128"/>
        <v>3.2302368548528568E-2</v>
      </c>
      <c r="X273" s="173">
        <f t="shared" si="128"/>
        <v>0</v>
      </c>
      <c r="Y273" s="173">
        <f t="shared" si="128"/>
        <v>1.6763690291747489E-2</v>
      </c>
      <c r="Z273" s="173">
        <f t="shared" si="128"/>
        <v>0</v>
      </c>
      <c r="AA273" s="173">
        <f t="shared" si="128"/>
        <v>4.7383645805516114E-2</v>
      </c>
      <c r="AB273" s="173">
        <f t="shared" si="128"/>
        <v>0.95096067572166698</v>
      </c>
      <c r="AC273" s="173" t="str">
        <f t="shared" si="128"/>
        <v/>
      </c>
      <c r="AD273" s="173">
        <f t="shared" si="128"/>
        <v>0</v>
      </c>
      <c r="AE273" s="173">
        <f t="shared" si="128"/>
        <v>0</v>
      </c>
      <c r="AF273" s="173">
        <f t="shared" si="128"/>
        <v>0.49257387093236493</v>
      </c>
      <c r="AG273" s="173">
        <f t="shared" si="128"/>
        <v>0</v>
      </c>
      <c r="AH273" s="173">
        <f t="shared" si="128"/>
        <v>0</v>
      </c>
      <c r="AI273" s="173" t="str">
        <f t="shared" si="128"/>
        <v/>
      </c>
      <c r="AJ273" s="173">
        <f t="shared" si="128"/>
        <v>0</v>
      </c>
      <c r="AK273" s="173">
        <f t="shared" si="128"/>
        <v>0</v>
      </c>
      <c r="AL273" s="173">
        <f t="shared" si="128"/>
        <v>0</v>
      </c>
    </row>
    <row r="274" spans="1:47">
      <c r="C274" t="str">
        <f>Commodities!$C$87</f>
        <v>UPSCOACOL</v>
      </c>
      <c r="F274" s="4" t="s">
        <v>359</v>
      </c>
      <c r="G274" s="4" t="s">
        <v>702</v>
      </c>
      <c r="H274" t="s">
        <v>661</v>
      </c>
      <c r="I274">
        <v>2019</v>
      </c>
      <c r="J274" t="s">
        <v>650</v>
      </c>
      <c r="K274" s="173">
        <f t="shared" ref="K274:AL274" si="129">IF(K$84=0,AVERAGE($K126:$AL126),K126)</f>
        <v>0</v>
      </c>
      <c r="L274" s="173">
        <f t="shared" si="129"/>
        <v>0</v>
      </c>
      <c r="M274" s="173">
        <f t="shared" si="129"/>
        <v>0</v>
      </c>
      <c r="N274" s="173">
        <f t="shared" si="129"/>
        <v>0</v>
      </c>
      <c r="O274" s="173">
        <f t="shared" si="129"/>
        <v>0</v>
      </c>
      <c r="P274" s="173">
        <f t="shared" si="129"/>
        <v>0</v>
      </c>
      <c r="Q274" s="173">
        <f t="shared" si="129"/>
        <v>0</v>
      </c>
      <c r="R274" s="173" t="str">
        <f t="shared" si="129"/>
        <v/>
      </c>
      <c r="S274" s="173">
        <f t="shared" si="129"/>
        <v>0</v>
      </c>
      <c r="T274" s="173">
        <f t="shared" si="129"/>
        <v>0</v>
      </c>
      <c r="U274" s="173">
        <f t="shared" si="129"/>
        <v>0</v>
      </c>
      <c r="V274" s="173">
        <f t="shared" si="129"/>
        <v>0</v>
      </c>
      <c r="W274" s="173">
        <f t="shared" si="129"/>
        <v>7.3979228701155905E-2</v>
      </c>
      <c r="X274" s="173">
        <f t="shared" si="129"/>
        <v>0</v>
      </c>
      <c r="Y274" s="173">
        <f t="shared" si="129"/>
        <v>1E-3</v>
      </c>
      <c r="Z274" s="173">
        <f t="shared" si="129"/>
        <v>0</v>
      </c>
      <c r="AA274" s="173">
        <f t="shared" si="129"/>
        <v>5.3375007105669697E-2</v>
      </c>
      <c r="AB274" s="173">
        <f t="shared" si="129"/>
        <v>0</v>
      </c>
      <c r="AC274" s="173" t="str">
        <f t="shared" si="129"/>
        <v/>
      </c>
      <c r="AD274" s="173">
        <f t="shared" si="129"/>
        <v>0</v>
      </c>
      <c r="AE274" s="173">
        <f t="shared" si="129"/>
        <v>0</v>
      </c>
      <c r="AF274" s="173">
        <f t="shared" si="129"/>
        <v>0</v>
      </c>
      <c r="AG274" s="173">
        <f t="shared" si="129"/>
        <v>0</v>
      </c>
      <c r="AH274" s="173">
        <f t="shared" si="129"/>
        <v>0</v>
      </c>
      <c r="AI274" s="173" t="str">
        <f t="shared" si="129"/>
        <v/>
      </c>
      <c r="AJ274" s="173">
        <f t="shared" si="129"/>
        <v>0</v>
      </c>
      <c r="AK274" s="173">
        <f t="shared" si="129"/>
        <v>0</v>
      </c>
      <c r="AL274" s="173">
        <f t="shared" si="129"/>
        <v>0</v>
      </c>
    </row>
    <row r="275" spans="1:47">
      <c r="C275" t="str">
        <f>Commodities!$C$88</f>
        <v>UPSCOG</v>
      </c>
      <c r="F275" s="4" t="s">
        <v>359</v>
      </c>
      <c r="G275" s="4" t="s">
        <v>702</v>
      </c>
      <c r="H275" t="s">
        <v>661</v>
      </c>
      <c r="I275">
        <v>2019</v>
      </c>
      <c r="J275" t="s">
        <v>650</v>
      </c>
      <c r="K275" s="173">
        <f t="shared" ref="K275:AL275" si="130">IF(K$84=0,AVERAGE($K127:$AL127),K127)</f>
        <v>0</v>
      </c>
      <c r="L275" s="173">
        <f t="shared" si="130"/>
        <v>0</v>
      </c>
      <c r="M275" s="173">
        <f t="shared" si="130"/>
        <v>0</v>
      </c>
      <c r="N275" s="173">
        <f t="shared" si="130"/>
        <v>0</v>
      </c>
      <c r="O275" s="173">
        <f t="shared" si="130"/>
        <v>0</v>
      </c>
      <c r="P275" s="173">
        <f t="shared" si="130"/>
        <v>0</v>
      </c>
      <c r="Q275" s="173">
        <f t="shared" si="130"/>
        <v>0</v>
      </c>
      <c r="R275" s="173" t="str">
        <f t="shared" si="130"/>
        <v/>
      </c>
      <c r="S275" s="173">
        <f t="shared" si="130"/>
        <v>0</v>
      </c>
      <c r="T275" s="173">
        <f t="shared" si="130"/>
        <v>0</v>
      </c>
      <c r="U275" s="173">
        <f t="shared" si="130"/>
        <v>0</v>
      </c>
      <c r="V275" s="173">
        <f t="shared" si="130"/>
        <v>9.4102446863606175E-3</v>
      </c>
      <c r="W275" s="173">
        <f t="shared" si="130"/>
        <v>0</v>
      </c>
      <c r="X275" s="173">
        <f t="shared" si="130"/>
        <v>0</v>
      </c>
      <c r="Y275" s="173">
        <f t="shared" si="130"/>
        <v>1.0504205972027633E-2</v>
      </c>
      <c r="Z275" s="173">
        <f t="shared" si="130"/>
        <v>0</v>
      </c>
      <c r="AA275" s="173">
        <f t="shared" si="130"/>
        <v>0</v>
      </c>
      <c r="AB275" s="173">
        <f t="shared" si="130"/>
        <v>0</v>
      </c>
      <c r="AC275" s="173" t="str">
        <f t="shared" si="130"/>
        <v/>
      </c>
      <c r="AD275" s="173">
        <f t="shared" si="130"/>
        <v>0</v>
      </c>
      <c r="AE275" s="173">
        <f t="shared" si="130"/>
        <v>0</v>
      </c>
      <c r="AF275" s="173">
        <f t="shared" si="130"/>
        <v>0</v>
      </c>
      <c r="AG275" s="173">
        <f t="shared" si="130"/>
        <v>0</v>
      </c>
      <c r="AH275" s="173">
        <f t="shared" si="130"/>
        <v>0</v>
      </c>
      <c r="AI275" s="173" t="str">
        <f t="shared" si="130"/>
        <v/>
      </c>
      <c r="AJ275" s="173">
        <f t="shared" si="130"/>
        <v>0</v>
      </c>
      <c r="AK275" s="173">
        <f t="shared" si="130"/>
        <v>0</v>
      </c>
      <c r="AL275" s="173">
        <f t="shared" si="130"/>
        <v>0</v>
      </c>
      <c r="AN275" s="281"/>
      <c r="AO275" s="281"/>
      <c r="AP275" s="281"/>
      <c r="AQ275" s="281"/>
      <c r="AR275" s="281"/>
      <c r="AS275" s="281"/>
      <c r="AT275" s="281"/>
      <c r="AU275" s="281"/>
    </row>
    <row r="276" spans="1:47">
      <c r="C276" t="str">
        <f>Commodities!$C$89</f>
        <v>UPSCOK</v>
      </c>
      <c r="F276" s="4" t="s">
        <v>359</v>
      </c>
      <c r="G276" s="4" t="s">
        <v>702</v>
      </c>
      <c r="H276" t="s">
        <v>661</v>
      </c>
      <c r="I276">
        <v>2019</v>
      </c>
      <c r="J276" t="s">
        <v>650</v>
      </c>
      <c r="K276" s="173">
        <f t="shared" ref="K276:AL276" si="131">IF(K$84=0,AVERAGE($K128:$AL128),K128)</f>
        <v>0</v>
      </c>
      <c r="L276" s="173">
        <f t="shared" si="131"/>
        <v>0</v>
      </c>
      <c r="M276" s="173">
        <f t="shared" si="131"/>
        <v>0</v>
      </c>
      <c r="N276" s="173">
        <f t="shared" si="131"/>
        <v>0</v>
      </c>
      <c r="O276" s="173">
        <f t="shared" si="131"/>
        <v>0</v>
      </c>
      <c r="P276" s="173">
        <f t="shared" si="131"/>
        <v>0</v>
      </c>
      <c r="Q276" s="173">
        <f t="shared" si="131"/>
        <v>0</v>
      </c>
      <c r="R276" s="173" t="str">
        <f t="shared" si="131"/>
        <v/>
      </c>
      <c r="S276" s="173">
        <f t="shared" si="131"/>
        <v>0</v>
      </c>
      <c r="T276" s="173">
        <f t="shared" si="131"/>
        <v>0</v>
      </c>
      <c r="U276" s="173">
        <f t="shared" si="131"/>
        <v>0</v>
      </c>
      <c r="V276" s="173">
        <f t="shared" si="131"/>
        <v>0</v>
      </c>
      <c r="W276" s="173">
        <f t="shared" si="131"/>
        <v>0</v>
      </c>
      <c r="X276" s="173">
        <f t="shared" si="131"/>
        <v>0</v>
      </c>
      <c r="Y276" s="173">
        <f t="shared" si="131"/>
        <v>0</v>
      </c>
      <c r="Z276" s="173">
        <f t="shared" si="131"/>
        <v>0</v>
      </c>
      <c r="AA276" s="173">
        <f t="shared" si="131"/>
        <v>0</v>
      </c>
      <c r="AB276" s="173">
        <f t="shared" si="131"/>
        <v>3.0475542217134372E-3</v>
      </c>
      <c r="AC276" s="173" t="str">
        <f t="shared" si="131"/>
        <v/>
      </c>
      <c r="AD276" s="173">
        <f t="shared" si="131"/>
        <v>0</v>
      </c>
      <c r="AE276" s="173">
        <f t="shared" si="131"/>
        <v>0</v>
      </c>
      <c r="AF276" s="173">
        <f t="shared" si="131"/>
        <v>0</v>
      </c>
      <c r="AG276" s="173">
        <f t="shared" si="131"/>
        <v>0</v>
      </c>
      <c r="AH276" s="173">
        <f t="shared" si="131"/>
        <v>0</v>
      </c>
      <c r="AI276" s="173" t="str">
        <f t="shared" si="131"/>
        <v/>
      </c>
      <c r="AJ276" s="173">
        <f t="shared" si="131"/>
        <v>0</v>
      </c>
      <c r="AK276" s="173">
        <f t="shared" si="131"/>
        <v>0</v>
      </c>
      <c r="AL276" s="173">
        <f t="shared" si="131"/>
        <v>0</v>
      </c>
    </row>
    <row r="277" spans="1:47">
      <c r="C277" t="str">
        <f>Commodities!$C$90</f>
        <v>UPSDSL</v>
      </c>
      <c r="F277" s="4" t="s">
        <v>359</v>
      </c>
      <c r="G277" s="4" t="s">
        <v>702</v>
      </c>
      <c r="H277" t="s">
        <v>661</v>
      </c>
      <c r="I277">
        <v>2019</v>
      </c>
      <c r="J277" t="s">
        <v>650</v>
      </c>
      <c r="K277" s="173">
        <f t="shared" ref="K277:AL277" si="132">IF(K$84=0,AVERAGE($K129:$AL129),K129)</f>
        <v>0</v>
      </c>
      <c r="L277" s="173">
        <f t="shared" si="132"/>
        <v>0</v>
      </c>
      <c r="M277" s="173">
        <f t="shared" si="132"/>
        <v>0</v>
      </c>
      <c r="N277" s="173">
        <f t="shared" si="132"/>
        <v>0</v>
      </c>
      <c r="O277" s="173">
        <f t="shared" si="132"/>
        <v>4.3110042651124961E-2</v>
      </c>
      <c r="P277" s="173">
        <f t="shared" si="132"/>
        <v>1E-3</v>
      </c>
      <c r="Q277" s="173">
        <f t="shared" si="132"/>
        <v>0</v>
      </c>
      <c r="R277" s="173" t="str">
        <f t="shared" si="132"/>
        <v/>
      </c>
      <c r="S277" s="173">
        <f t="shared" si="132"/>
        <v>0</v>
      </c>
      <c r="T277" s="173">
        <f t="shared" si="132"/>
        <v>0</v>
      </c>
      <c r="U277" s="173">
        <f t="shared" si="132"/>
        <v>0</v>
      </c>
      <c r="V277" s="173">
        <f t="shared" si="132"/>
        <v>5.1768778795526224E-3</v>
      </c>
      <c r="W277" s="173">
        <f t="shared" si="132"/>
        <v>5.9030536700597123E-2</v>
      </c>
      <c r="X277" s="173">
        <f t="shared" si="132"/>
        <v>0</v>
      </c>
      <c r="Y277" s="173">
        <f t="shared" si="132"/>
        <v>7.4148200159160106E-3</v>
      </c>
      <c r="Z277" s="173">
        <f t="shared" si="132"/>
        <v>0</v>
      </c>
      <c r="AA277" s="173">
        <f t="shared" si="132"/>
        <v>1E-3</v>
      </c>
      <c r="AB277" s="173">
        <f t="shared" si="132"/>
        <v>0</v>
      </c>
      <c r="AC277" s="173" t="str">
        <f t="shared" si="132"/>
        <v/>
      </c>
      <c r="AD277" s="173">
        <f t="shared" si="132"/>
        <v>0</v>
      </c>
      <c r="AE277" s="173">
        <f t="shared" si="132"/>
        <v>0</v>
      </c>
      <c r="AF277" s="173">
        <f t="shared" si="132"/>
        <v>0</v>
      </c>
      <c r="AG277" s="173">
        <f t="shared" si="132"/>
        <v>7.1384230567051593E-3</v>
      </c>
      <c r="AH277" s="173">
        <f t="shared" si="132"/>
        <v>0</v>
      </c>
      <c r="AI277" s="173" t="str">
        <f t="shared" si="132"/>
        <v/>
      </c>
      <c r="AJ277" s="173">
        <f t="shared" si="132"/>
        <v>0</v>
      </c>
      <c r="AK277" s="173">
        <f t="shared" si="132"/>
        <v>0</v>
      </c>
      <c r="AL277" s="173">
        <f t="shared" si="132"/>
        <v>0</v>
      </c>
    </row>
    <row r="278" spans="1:47">
      <c r="C278" t="str">
        <f>Commodities!$C$91</f>
        <v>UPSELC</v>
      </c>
      <c r="F278" s="4" t="s">
        <v>359</v>
      </c>
      <c r="G278" s="4" t="s">
        <v>702</v>
      </c>
      <c r="H278" t="s">
        <v>661</v>
      </c>
      <c r="I278">
        <v>2019</v>
      </c>
      <c r="J278" t="s">
        <v>650</v>
      </c>
      <c r="K278" s="173">
        <f t="shared" ref="K278:AL278" si="133">IF(K$84=0,AVERAGE($K130:$AL130),K130)</f>
        <v>0</v>
      </c>
      <c r="L278" s="173">
        <f t="shared" si="133"/>
        <v>0.22267974284969411</v>
      </c>
      <c r="M278" s="173">
        <f t="shared" si="133"/>
        <v>4.2393001072657921E-2</v>
      </c>
      <c r="N278" s="173">
        <f t="shared" si="133"/>
        <v>0.94159190217063871</v>
      </c>
      <c r="O278" s="173">
        <f t="shared" si="133"/>
        <v>0.12624542418377649</v>
      </c>
      <c r="P278" s="173">
        <f t="shared" si="133"/>
        <v>2.8495466626548764E-3</v>
      </c>
      <c r="Q278" s="173">
        <f t="shared" si="133"/>
        <v>0</v>
      </c>
      <c r="R278" s="173" t="str">
        <f t="shared" si="133"/>
        <v/>
      </c>
      <c r="S278" s="173">
        <f t="shared" si="133"/>
        <v>5.8427825087024592E-2</v>
      </c>
      <c r="T278" s="173">
        <f t="shared" si="133"/>
        <v>1</v>
      </c>
      <c r="U278" s="173">
        <f t="shared" si="133"/>
        <v>0</v>
      </c>
      <c r="V278" s="173">
        <f t="shared" si="133"/>
        <v>0.37977878387800468</v>
      </c>
      <c r="W278" s="173">
        <f t="shared" si="133"/>
        <v>0.64388316036325977</v>
      </c>
      <c r="X278" s="173">
        <f t="shared" si="133"/>
        <v>0.7375587116528185</v>
      </c>
      <c r="Y278" s="173">
        <f t="shared" si="133"/>
        <v>0.45737419347662328</v>
      </c>
      <c r="Z278" s="173">
        <f t="shared" si="133"/>
        <v>0.66690424735682796</v>
      </c>
      <c r="AA278" s="173">
        <f t="shared" si="133"/>
        <v>0.62693994095672567</v>
      </c>
      <c r="AB278" s="173">
        <f t="shared" si="133"/>
        <v>0</v>
      </c>
      <c r="AC278" s="173" t="str">
        <f t="shared" si="133"/>
        <v/>
      </c>
      <c r="AD278" s="173">
        <f t="shared" si="133"/>
        <v>1</v>
      </c>
      <c r="AE278" s="173">
        <f t="shared" si="133"/>
        <v>2.9651771800187465E-2</v>
      </c>
      <c r="AF278" s="173">
        <f t="shared" si="133"/>
        <v>0.19082979517900342</v>
      </c>
      <c r="AG278" s="173">
        <f t="shared" si="133"/>
        <v>0.98436749139115443</v>
      </c>
      <c r="AH278" s="173">
        <f t="shared" si="133"/>
        <v>0</v>
      </c>
      <c r="AI278" s="173" t="str">
        <f t="shared" si="133"/>
        <v/>
      </c>
      <c r="AJ278" s="173">
        <f t="shared" si="133"/>
        <v>0.27038373669459648</v>
      </c>
      <c r="AK278" s="173">
        <f t="shared" si="133"/>
        <v>1</v>
      </c>
      <c r="AL278" s="173">
        <f t="shared" si="133"/>
        <v>0.99958660204225891</v>
      </c>
    </row>
    <row r="279" spans="1:47" s="281" customFormat="1">
      <c r="A279"/>
      <c r="B279"/>
      <c r="C279" t="str">
        <f>Commodities!$C$92</f>
        <v>UPSGAS</v>
      </c>
      <c r="D279"/>
      <c r="E279"/>
      <c r="F279" s="4" t="s">
        <v>359</v>
      </c>
      <c r="G279" s="4" t="s">
        <v>702</v>
      </c>
      <c r="H279" t="s">
        <v>661</v>
      </c>
      <c r="I279">
        <v>2019</v>
      </c>
      <c r="J279" t="s">
        <v>650</v>
      </c>
      <c r="K279" s="173">
        <f t="shared" ref="K279:AL279" si="134">IF(K$84=0,AVERAGE($K131:$AL131),K131)</f>
        <v>0</v>
      </c>
      <c r="L279" s="173">
        <f t="shared" si="134"/>
        <v>0.6733941123504027</v>
      </c>
      <c r="M279" s="173">
        <f t="shared" si="134"/>
        <v>0.76705746283231169</v>
      </c>
      <c r="N279" s="173">
        <f t="shared" si="134"/>
        <v>0</v>
      </c>
      <c r="O279" s="173">
        <f t="shared" si="134"/>
        <v>0.46780303756921937</v>
      </c>
      <c r="P279" s="173">
        <f t="shared" si="134"/>
        <v>0.97743237781370129</v>
      </c>
      <c r="Q279" s="173">
        <f t="shared" si="134"/>
        <v>1</v>
      </c>
      <c r="R279" s="173" t="str">
        <f t="shared" si="134"/>
        <v/>
      </c>
      <c r="S279" s="173">
        <f t="shared" si="134"/>
        <v>0</v>
      </c>
      <c r="T279" s="173">
        <f t="shared" si="134"/>
        <v>0</v>
      </c>
      <c r="U279" s="173">
        <f t="shared" si="134"/>
        <v>0</v>
      </c>
      <c r="V279" s="173">
        <f t="shared" si="134"/>
        <v>0.28368847969411443</v>
      </c>
      <c r="W279" s="173">
        <f t="shared" si="134"/>
        <v>3.6407807185049108E-2</v>
      </c>
      <c r="X279" s="173">
        <f t="shared" si="134"/>
        <v>0.26244128834718161</v>
      </c>
      <c r="Y279" s="173">
        <f t="shared" si="134"/>
        <v>2.2593435165929886E-2</v>
      </c>
      <c r="Z279" s="173">
        <f t="shared" si="134"/>
        <v>6.9152094397170696E-2</v>
      </c>
      <c r="AA279" s="173">
        <f t="shared" si="134"/>
        <v>1.0990219145403339E-2</v>
      </c>
      <c r="AB279" s="173">
        <f t="shared" si="134"/>
        <v>0</v>
      </c>
      <c r="AC279" s="173" t="str">
        <f t="shared" si="134"/>
        <v/>
      </c>
      <c r="AD279" s="173">
        <f t="shared" si="134"/>
        <v>0</v>
      </c>
      <c r="AE279" s="173">
        <f t="shared" si="134"/>
        <v>0.87653305046388563</v>
      </c>
      <c r="AF279" s="173">
        <f t="shared" si="134"/>
        <v>0.31659633388863162</v>
      </c>
      <c r="AG279" s="173">
        <f t="shared" si="134"/>
        <v>0</v>
      </c>
      <c r="AH279" s="173">
        <f t="shared" si="134"/>
        <v>1</v>
      </c>
      <c r="AI279" s="173" t="str">
        <f t="shared" si="134"/>
        <v/>
      </c>
      <c r="AJ279" s="173">
        <f t="shared" si="134"/>
        <v>0.54727380886226484</v>
      </c>
      <c r="AK279" s="173">
        <f t="shared" si="134"/>
        <v>0</v>
      </c>
      <c r="AL279" s="173">
        <f t="shared" si="134"/>
        <v>0</v>
      </c>
      <c r="AN279"/>
      <c r="AO279"/>
      <c r="AP279"/>
      <c r="AQ279"/>
      <c r="AR279"/>
      <c r="AS279"/>
      <c r="AT279"/>
      <c r="AU279"/>
    </row>
    <row r="280" spans="1:47">
      <c r="C280" t="str">
        <f>Commodities!$C$93</f>
        <v>UPSGSL</v>
      </c>
      <c r="F280" s="4" t="s">
        <v>359</v>
      </c>
      <c r="G280" s="4" t="s">
        <v>702</v>
      </c>
      <c r="H280" t="s">
        <v>661</v>
      </c>
      <c r="I280">
        <v>2019</v>
      </c>
      <c r="J280" t="s">
        <v>650</v>
      </c>
      <c r="K280" s="173">
        <f t="shared" ref="K280:AL280" si="135">IF(K$84=0,AVERAGE($K132:$AL132),K132)</f>
        <v>0</v>
      </c>
      <c r="L280" s="173">
        <f t="shared" si="135"/>
        <v>0</v>
      </c>
      <c r="M280" s="173">
        <f t="shared" si="135"/>
        <v>0</v>
      </c>
      <c r="N280" s="173">
        <f t="shared" si="135"/>
        <v>0</v>
      </c>
      <c r="O280" s="173">
        <f t="shared" si="135"/>
        <v>1E-3</v>
      </c>
      <c r="P280" s="173">
        <f t="shared" si="135"/>
        <v>0</v>
      </c>
      <c r="Q280" s="173">
        <f t="shared" si="135"/>
        <v>0</v>
      </c>
      <c r="R280" s="173" t="str">
        <f t="shared" si="135"/>
        <v/>
      </c>
      <c r="S280" s="173">
        <f t="shared" si="135"/>
        <v>0</v>
      </c>
      <c r="T280" s="173">
        <f t="shared" si="135"/>
        <v>0</v>
      </c>
      <c r="U280" s="173">
        <f t="shared" si="135"/>
        <v>0</v>
      </c>
      <c r="V280" s="173">
        <f t="shared" si="135"/>
        <v>9.6783249372959894E-3</v>
      </c>
      <c r="W280" s="173">
        <f t="shared" si="135"/>
        <v>0</v>
      </c>
      <c r="X280" s="173">
        <f t="shared" si="135"/>
        <v>0</v>
      </c>
      <c r="Y280" s="173">
        <f t="shared" si="135"/>
        <v>1E-3</v>
      </c>
      <c r="Z280" s="173">
        <f t="shared" si="135"/>
        <v>1E-3</v>
      </c>
      <c r="AA280" s="173">
        <f t="shared" si="135"/>
        <v>1E-3</v>
      </c>
      <c r="AB280" s="173">
        <f t="shared" si="135"/>
        <v>4.2000556913461835E-2</v>
      </c>
      <c r="AC280" s="173" t="str">
        <f t="shared" si="135"/>
        <v/>
      </c>
      <c r="AD280" s="173">
        <f t="shared" si="135"/>
        <v>0</v>
      </c>
      <c r="AE280" s="173">
        <f t="shared" si="135"/>
        <v>3.4419595615015623E-3</v>
      </c>
      <c r="AF280" s="173">
        <f t="shared" si="135"/>
        <v>0</v>
      </c>
      <c r="AG280" s="173">
        <f t="shared" si="135"/>
        <v>0</v>
      </c>
      <c r="AH280" s="173">
        <f t="shared" si="135"/>
        <v>0</v>
      </c>
      <c r="AI280" s="173" t="str">
        <f t="shared" si="135"/>
        <v/>
      </c>
      <c r="AJ280" s="173">
        <f t="shared" si="135"/>
        <v>0</v>
      </c>
      <c r="AK280" s="173">
        <f t="shared" si="135"/>
        <v>0</v>
      </c>
      <c r="AL280" s="173">
        <f t="shared" si="135"/>
        <v>0</v>
      </c>
    </row>
    <row r="281" spans="1:47">
      <c r="C281" t="str">
        <f>Commodities!$C$94</f>
        <v>UPSHET</v>
      </c>
      <c r="F281" s="4" t="s">
        <v>359</v>
      </c>
      <c r="G281" s="4" t="s">
        <v>702</v>
      </c>
      <c r="H281" t="s">
        <v>661</v>
      </c>
      <c r="I281">
        <v>2019</v>
      </c>
      <c r="J281" t="s">
        <v>650</v>
      </c>
      <c r="K281" s="173">
        <f t="shared" ref="K281:AL281" si="136">IF(K$84=0,AVERAGE($K133:$AL133),K133)</f>
        <v>0</v>
      </c>
      <c r="L281" s="173">
        <f t="shared" si="136"/>
        <v>0</v>
      </c>
      <c r="M281" s="173">
        <f t="shared" si="136"/>
        <v>0</v>
      </c>
      <c r="N281" s="173">
        <f t="shared" si="136"/>
        <v>0</v>
      </c>
      <c r="O281" s="173">
        <f t="shared" si="136"/>
        <v>0</v>
      </c>
      <c r="P281" s="173">
        <f t="shared" si="136"/>
        <v>0</v>
      </c>
      <c r="Q281" s="173">
        <f t="shared" si="136"/>
        <v>0</v>
      </c>
      <c r="R281" s="173" t="str">
        <f t="shared" si="136"/>
        <v/>
      </c>
      <c r="S281" s="173">
        <f t="shared" si="136"/>
        <v>0</v>
      </c>
      <c r="T281" s="173">
        <f t="shared" si="136"/>
        <v>0</v>
      </c>
      <c r="U281" s="173">
        <f t="shared" si="136"/>
        <v>0</v>
      </c>
      <c r="V281" s="173">
        <f t="shared" si="136"/>
        <v>0.12979376112422997</v>
      </c>
      <c r="W281" s="173">
        <f t="shared" si="136"/>
        <v>0.11038285230085615</v>
      </c>
      <c r="X281" s="173">
        <f t="shared" si="136"/>
        <v>0</v>
      </c>
      <c r="Y281" s="173">
        <f t="shared" si="136"/>
        <v>0.29792696281968972</v>
      </c>
      <c r="Z281" s="173">
        <f t="shared" si="136"/>
        <v>0.15544019632080872</v>
      </c>
      <c r="AA281" s="173">
        <f t="shared" si="136"/>
        <v>8.4499536484929361E-2</v>
      </c>
      <c r="AB281" s="173">
        <f t="shared" si="136"/>
        <v>0</v>
      </c>
      <c r="AC281" s="173" t="str">
        <f t="shared" si="136"/>
        <v/>
      </c>
      <c r="AD281" s="173">
        <f t="shared" si="136"/>
        <v>0</v>
      </c>
      <c r="AE281" s="173">
        <f t="shared" si="136"/>
        <v>0</v>
      </c>
      <c r="AF281" s="173">
        <f t="shared" si="136"/>
        <v>0</v>
      </c>
      <c r="AG281" s="173">
        <f t="shared" si="136"/>
        <v>0</v>
      </c>
      <c r="AH281" s="173">
        <f t="shared" si="136"/>
        <v>0</v>
      </c>
      <c r="AI281" s="173" t="str">
        <f t="shared" si="136"/>
        <v/>
      </c>
      <c r="AJ281" s="173">
        <f t="shared" si="136"/>
        <v>2.8713582561834382E-2</v>
      </c>
      <c r="AK281" s="173">
        <f t="shared" si="136"/>
        <v>0</v>
      </c>
      <c r="AL281" s="173">
        <f t="shared" si="136"/>
        <v>0</v>
      </c>
    </row>
    <row r="282" spans="1:47">
      <c r="C282" t="str">
        <f>Commodities!$C$95</f>
        <v>UPSHFO</v>
      </c>
      <c r="F282" s="4" t="s">
        <v>359</v>
      </c>
      <c r="G282" s="4" t="s">
        <v>702</v>
      </c>
      <c r="H282" t="s">
        <v>661</v>
      </c>
      <c r="I282">
        <v>2019</v>
      </c>
      <c r="J282" t="s">
        <v>650</v>
      </c>
      <c r="K282" s="173">
        <f t="shared" ref="K282:AL282" si="137">IF(K$84=0,AVERAGE($K134:$AL134),K134)</f>
        <v>0</v>
      </c>
      <c r="L282" s="173">
        <f t="shared" si="137"/>
        <v>0</v>
      </c>
      <c r="M282" s="173">
        <f t="shared" si="137"/>
        <v>0.15147597484177899</v>
      </c>
      <c r="N282" s="173">
        <f t="shared" si="137"/>
        <v>0</v>
      </c>
      <c r="O282" s="173">
        <f t="shared" si="137"/>
        <v>0.13157900584073273</v>
      </c>
      <c r="P282" s="173">
        <f t="shared" si="137"/>
        <v>0</v>
      </c>
      <c r="Q282" s="173">
        <f t="shared" si="137"/>
        <v>0</v>
      </c>
      <c r="R282" s="173" t="str">
        <f t="shared" si="137"/>
        <v/>
      </c>
      <c r="S282" s="173">
        <f t="shared" si="137"/>
        <v>0</v>
      </c>
      <c r="T282" s="173">
        <f t="shared" si="137"/>
        <v>0</v>
      </c>
      <c r="U282" s="173">
        <f t="shared" si="137"/>
        <v>1</v>
      </c>
      <c r="V282" s="173">
        <f t="shared" si="137"/>
        <v>1E-3</v>
      </c>
      <c r="W282" s="173">
        <f t="shared" si="137"/>
        <v>3.4701851761109341E-2</v>
      </c>
      <c r="X282" s="173">
        <f t="shared" si="137"/>
        <v>0</v>
      </c>
      <c r="Y282" s="173">
        <f t="shared" si="137"/>
        <v>0</v>
      </c>
      <c r="Z282" s="173">
        <f t="shared" si="137"/>
        <v>0</v>
      </c>
      <c r="AA282" s="173">
        <f t="shared" si="137"/>
        <v>1.168058355017576E-2</v>
      </c>
      <c r="AB282" s="173">
        <f t="shared" si="137"/>
        <v>0</v>
      </c>
      <c r="AC282" s="173" t="str">
        <f t="shared" si="137"/>
        <v/>
      </c>
      <c r="AD282" s="173">
        <f t="shared" si="137"/>
        <v>0</v>
      </c>
      <c r="AE282" s="173">
        <f t="shared" si="137"/>
        <v>1.8990247563698284E-2</v>
      </c>
      <c r="AF282" s="173">
        <f t="shared" si="137"/>
        <v>0</v>
      </c>
      <c r="AG282" s="173">
        <f t="shared" si="137"/>
        <v>0</v>
      </c>
      <c r="AH282" s="173">
        <f t="shared" si="137"/>
        <v>0</v>
      </c>
      <c r="AI282" s="173" t="str">
        <f t="shared" si="137"/>
        <v/>
      </c>
      <c r="AJ282" s="173">
        <f t="shared" si="137"/>
        <v>0.1269923386810945</v>
      </c>
      <c r="AK282" s="173">
        <f t="shared" si="137"/>
        <v>0</v>
      </c>
      <c r="AL282" s="173">
        <f t="shared" si="137"/>
        <v>1E-3</v>
      </c>
    </row>
    <row r="283" spans="1:47">
      <c r="C283" t="str">
        <f>Commodities!$C$96</f>
        <v>UPSKER</v>
      </c>
      <c r="F283" s="4" t="s">
        <v>359</v>
      </c>
      <c r="G283" s="4" t="s">
        <v>702</v>
      </c>
      <c r="H283" t="s">
        <v>661</v>
      </c>
      <c r="I283">
        <v>2019</v>
      </c>
      <c r="J283" t="s">
        <v>650</v>
      </c>
      <c r="K283" s="173">
        <f t="shared" ref="K283:AL283" si="138">IF(K$84=0,AVERAGE($K135:$AL135),K135)</f>
        <v>0</v>
      </c>
      <c r="L283" s="173">
        <f t="shared" si="138"/>
        <v>0</v>
      </c>
      <c r="M283" s="173">
        <f t="shared" si="138"/>
        <v>0</v>
      </c>
      <c r="N283" s="173">
        <f t="shared" si="138"/>
        <v>0</v>
      </c>
      <c r="O283" s="173">
        <f t="shared" si="138"/>
        <v>1.7460945277125772E-2</v>
      </c>
      <c r="P283" s="173">
        <f t="shared" si="138"/>
        <v>0</v>
      </c>
      <c r="Q283" s="173">
        <f t="shared" si="138"/>
        <v>0</v>
      </c>
      <c r="R283" s="173" t="str">
        <f t="shared" si="138"/>
        <v/>
      </c>
      <c r="S283" s="173">
        <f t="shared" si="138"/>
        <v>0</v>
      </c>
      <c r="T283" s="173">
        <f t="shared" si="138"/>
        <v>0</v>
      </c>
      <c r="U283" s="173">
        <f t="shared" si="138"/>
        <v>0</v>
      </c>
      <c r="V283" s="173">
        <f t="shared" si="138"/>
        <v>0</v>
      </c>
      <c r="W283" s="173">
        <f t="shared" si="138"/>
        <v>0</v>
      </c>
      <c r="X283" s="173">
        <f t="shared" si="138"/>
        <v>0</v>
      </c>
      <c r="Y283" s="173">
        <f t="shared" si="138"/>
        <v>1E-3</v>
      </c>
      <c r="Z283" s="173">
        <f t="shared" si="138"/>
        <v>0</v>
      </c>
      <c r="AA283" s="173">
        <f t="shared" si="138"/>
        <v>0</v>
      </c>
      <c r="AB283" s="173">
        <f t="shared" si="138"/>
        <v>3.9912131431576996E-3</v>
      </c>
      <c r="AC283" s="173" t="str">
        <f t="shared" si="138"/>
        <v/>
      </c>
      <c r="AD283" s="173">
        <f t="shared" si="138"/>
        <v>0</v>
      </c>
      <c r="AE283" s="173">
        <f t="shared" si="138"/>
        <v>1E-3</v>
      </c>
      <c r="AF283" s="173">
        <f t="shared" si="138"/>
        <v>0</v>
      </c>
      <c r="AG283" s="173">
        <f t="shared" si="138"/>
        <v>0</v>
      </c>
      <c r="AH283" s="173">
        <f t="shared" si="138"/>
        <v>0</v>
      </c>
      <c r="AI283" s="173" t="str">
        <f t="shared" si="138"/>
        <v/>
      </c>
      <c r="AJ283" s="173">
        <f t="shared" si="138"/>
        <v>0</v>
      </c>
      <c r="AK283" s="173">
        <f t="shared" si="138"/>
        <v>0</v>
      </c>
      <c r="AL283" s="173">
        <f t="shared" si="138"/>
        <v>0</v>
      </c>
    </row>
    <row r="284" spans="1:47">
      <c r="C284" t="str">
        <f>Commodities!$C$97</f>
        <v>UPSLPG</v>
      </c>
      <c r="F284" s="4" t="s">
        <v>359</v>
      </c>
      <c r="G284" s="4" t="s">
        <v>702</v>
      </c>
      <c r="H284" t="s">
        <v>661</v>
      </c>
      <c r="I284">
        <v>2019</v>
      </c>
      <c r="J284" t="s">
        <v>650</v>
      </c>
      <c r="K284" s="173">
        <f t="shared" ref="K284:AL284" si="139">IF(K$84=0,AVERAGE($K136:$AL136),K136)</f>
        <v>0</v>
      </c>
      <c r="L284" s="173">
        <f t="shared" si="139"/>
        <v>0.10392614479990323</v>
      </c>
      <c r="M284" s="173">
        <f t="shared" si="139"/>
        <v>0</v>
      </c>
      <c r="N284" s="173">
        <f t="shared" si="139"/>
        <v>0</v>
      </c>
      <c r="O284" s="173">
        <f t="shared" si="139"/>
        <v>8.7900234669085961E-3</v>
      </c>
      <c r="P284" s="173">
        <f t="shared" si="139"/>
        <v>1.9213123576579168E-2</v>
      </c>
      <c r="Q284" s="173">
        <f t="shared" si="139"/>
        <v>0</v>
      </c>
      <c r="R284" s="173" t="str">
        <f t="shared" si="139"/>
        <v/>
      </c>
      <c r="S284" s="173">
        <f t="shared" si="139"/>
        <v>0</v>
      </c>
      <c r="T284" s="173">
        <f t="shared" si="139"/>
        <v>0</v>
      </c>
      <c r="U284" s="173">
        <f t="shared" si="139"/>
        <v>0</v>
      </c>
      <c r="V284" s="173">
        <f t="shared" si="139"/>
        <v>1E-3</v>
      </c>
      <c r="W284" s="173">
        <f t="shared" si="139"/>
        <v>0</v>
      </c>
      <c r="X284" s="173">
        <f t="shared" si="139"/>
        <v>0</v>
      </c>
      <c r="Y284" s="173">
        <f t="shared" si="139"/>
        <v>0.13008628555901064</v>
      </c>
      <c r="Z284" s="173">
        <f t="shared" si="139"/>
        <v>1E-3</v>
      </c>
      <c r="AA284" s="173">
        <f t="shared" si="139"/>
        <v>0.12215380638930197</v>
      </c>
      <c r="AB284" s="173">
        <f t="shared" si="139"/>
        <v>0</v>
      </c>
      <c r="AC284" s="173" t="str">
        <f t="shared" si="139"/>
        <v/>
      </c>
      <c r="AD284" s="173">
        <f t="shared" si="139"/>
        <v>0</v>
      </c>
      <c r="AE284" s="173">
        <f t="shared" si="139"/>
        <v>3.4536605282153313E-2</v>
      </c>
      <c r="AF284" s="173">
        <f t="shared" si="139"/>
        <v>0</v>
      </c>
      <c r="AG284" s="173">
        <f t="shared" si="139"/>
        <v>0</v>
      </c>
      <c r="AH284" s="173">
        <f t="shared" si="139"/>
        <v>0</v>
      </c>
      <c r="AI284" s="173" t="str">
        <f t="shared" si="139"/>
        <v/>
      </c>
      <c r="AJ284" s="173">
        <f t="shared" si="139"/>
        <v>2.663653320020978E-2</v>
      </c>
      <c r="AK284" s="173">
        <f t="shared" si="139"/>
        <v>0</v>
      </c>
      <c r="AL284" s="173">
        <f t="shared" si="139"/>
        <v>0</v>
      </c>
    </row>
    <row r="285" spans="1:47">
      <c r="C285" t="str">
        <f>Commodities!$C$98</f>
        <v>UPSNAP</v>
      </c>
      <c r="F285" s="4" t="s">
        <v>359</v>
      </c>
      <c r="G285" s="4" t="s">
        <v>702</v>
      </c>
      <c r="H285" t="s">
        <v>661</v>
      </c>
      <c r="I285">
        <v>2019</v>
      </c>
      <c r="J285" t="s">
        <v>650</v>
      </c>
      <c r="K285" s="173">
        <f t="shared" ref="K285:AL285" si="140">IF(K$84=0,AVERAGE($K137:$AL137),K137)</f>
        <v>0</v>
      </c>
      <c r="L285" s="173">
        <f t="shared" si="140"/>
        <v>0</v>
      </c>
      <c r="M285" s="173">
        <f t="shared" si="140"/>
        <v>0</v>
      </c>
      <c r="N285" s="173">
        <f t="shared" si="140"/>
        <v>0</v>
      </c>
      <c r="O285" s="173">
        <f t="shared" si="140"/>
        <v>0</v>
      </c>
      <c r="P285" s="173">
        <f t="shared" si="140"/>
        <v>0</v>
      </c>
      <c r="Q285" s="173">
        <f t="shared" si="140"/>
        <v>0</v>
      </c>
      <c r="R285" s="173" t="str">
        <f t="shared" si="140"/>
        <v/>
      </c>
      <c r="S285" s="173">
        <f t="shared" si="140"/>
        <v>0</v>
      </c>
      <c r="T285" s="173">
        <f t="shared" si="140"/>
        <v>0</v>
      </c>
      <c r="U285" s="173">
        <f t="shared" si="140"/>
        <v>0</v>
      </c>
      <c r="V285" s="173">
        <f t="shared" si="140"/>
        <v>0</v>
      </c>
      <c r="W285" s="173">
        <f t="shared" si="140"/>
        <v>0</v>
      </c>
      <c r="X285" s="173">
        <f t="shared" si="140"/>
        <v>0</v>
      </c>
      <c r="Y285" s="173">
        <f t="shared" si="140"/>
        <v>0</v>
      </c>
      <c r="Z285" s="173">
        <f t="shared" si="140"/>
        <v>0</v>
      </c>
      <c r="AA285" s="173">
        <f t="shared" si="140"/>
        <v>0</v>
      </c>
      <c r="AB285" s="173">
        <f t="shared" si="140"/>
        <v>0</v>
      </c>
      <c r="AC285" s="173" t="str">
        <f t="shared" si="140"/>
        <v/>
      </c>
      <c r="AD285" s="173">
        <f t="shared" si="140"/>
        <v>0</v>
      </c>
      <c r="AE285" s="173">
        <f t="shared" si="140"/>
        <v>0</v>
      </c>
      <c r="AF285" s="173">
        <f t="shared" si="140"/>
        <v>0</v>
      </c>
      <c r="AG285" s="173">
        <f t="shared" si="140"/>
        <v>0</v>
      </c>
      <c r="AH285" s="173">
        <f t="shared" si="140"/>
        <v>0</v>
      </c>
      <c r="AI285" s="173" t="str">
        <f t="shared" si="140"/>
        <v/>
      </c>
      <c r="AJ285" s="173">
        <f t="shared" si="140"/>
        <v>0</v>
      </c>
      <c r="AK285" s="173">
        <f t="shared" si="140"/>
        <v>0</v>
      </c>
      <c r="AL285" s="173">
        <f t="shared" si="140"/>
        <v>0</v>
      </c>
    </row>
    <row r="286" spans="1:47">
      <c r="C286" t="str">
        <f>Commodities!$C$99</f>
        <v>UPSOIL</v>
      </c>
      <c r="F286" s="4" t="s">
        <v>359</v>
      </c>
      <c r="G286" s="4" t="s">
        <v>702</v>
      </c>
      <c r="H286" t="s">
        <v>661</v>
      </c>
      <c r="I286">
        <v>2019</v>
      </c>
      <c r="J286" t="s">
        <v>650</v>
      </c>
      <c r="K286" s="173">
        <f t="shared" ref="K286:AL286" si="141">IF(K$84=0,AVERAGE($K138:$AL138),K138)</f>
        <v>0</v>
      </c>
      <c r="L286" s="173">
        <f t="shared" si="141"/>
        <v>0</v>
      </c>
      <c r="M286" s="173">
        <f t="shared" si="141"/>
        <v>0</v>
      </c>
      <c r="N286" s="173">
        <f t="shared" si="141"/>
        <v>0</v>
      </c>
      <c r="O286" s="173">
        <f t="shared" si="141"/>
        <v>0</v>
      </c>
      <c r="P286" s="173">
        <f t="shared" si="141"/>
        <v>0</v>
      </c>
      <c r="Q286" s="173">
        <f t="shared" si="141"/>
        <v>0</v>
      </c>
      <c r="R286" s="173" t="str">
        <f t="shared" si="141"/>
        <v/>
      </c>
      <c r="S286" s="173">
        <f t="shared" si="141"/>
        <v>0</v>
      </c>
      <c r="T286" s="173">
        <f t="shared" si="141"/>
        <v>0</v>
      </c>
      <c r="U286" s="173">
        <f t="shared" si="141"/>
        <v>0</v>
      </c>
      <c r="V286" s="173">
        <f t="shared" si="141"/>
        <v>0</v>
      </c>
      <c r="W286" s="173">
        <f t="shared" si="141"/>
        <v>1.1908179677859556E-3</v>
      </c>
      <c r="X286" s="173">
        <f t="shared" si="141"/>
        <v>0</v>
      </c>
      <c r="Y286" s="173">
        <f t="shared" si="141"/>
        <v>0</v>
      </c>
      <c r="Z286" s="173">
        <f t="shared" si="141"/>
        <v>0</v>
      </c>
      <c r="AA286" s="173">
        <f t="shared" si="141"/>
        <v>0</v>
      </c>
      <c r="AB286" s="173">
        <f t="shared" si="141"/>
        <v>0</v>
      </c>
      <c r="AC286" s="173" t="str">
        <f t="shared" si="141"/>
        <v/>
      </c>
      <c r="AD286" s="173">
        <f t="shared" si="141"/>
        <v>0</v>
      </c>
      <c r="AE286" s="173">
        <f t="shared" si="141"/>
        <v>0</v>
      </c>
      <c r="AF286" s="173">
        <f t="shared" si="141"/>
        <v>0</v>
      </c>
      <c r="AG286" s="173">
        <f t="shared" si="141"/>
        <v>0</v>
      </c>
      <c r="AH286" s="173">
        <f t="shared" si="141"/>
        <v>0</v>
      </c>
      <c r="AI286" s="173" t="str">
        <f t="shared" si="141"/>
        <v/>
      </c>
      <c r="AJ286" s="173">
        <f t="shared" si="141"/>
        <v>0</v>
      </c>
      <c r="AK286" s="173">
        <f t="shared" si="141"/>
        <v>0</v>
      </c>
      <c r="AL286" s="173">
        <f t="shared" si="141"/>
        <v>0</v>
      </c>
    </row>
    <row r="287" spans="1:47">
      <c r="C287" t="str">
        <f>Commodities!$C$100</f>
        <v>UPSOIL2</v>
      </c>
      <c r="F287" s="4" t="s">
        <v>359</v>
      </c>
      <c r="G287" s="4" t="s">
        <v>702</v>
      </c>
      <c r="H287" t="s">
        <v>661</v>
      </c>
      <c r="I287">
        <v>2019</v>
      </c>
      <c r="J287" t="s">
        <v>650</v>
      </c>
      <c r="K287" s="173">
        <f t="shared" ref="K287:AL287" si="142">IF(K$84=0,AVERAGE($K139:$AL139),K139)</f>
        <v>0</v>
      </c>
      <c r="L287" s="173">
        <f t="shared" si="142"/>
        <v>0</v>
      </c>
      <c r="M287" s="173">
        <f t="shared" si="142"/>
        <v>0</v>
      </c>
      <c r="N287" s="173">
        <f t="shared" si="142"/>
        <v>0</v>
      </c>
      <c r="O287" s="173">
        <f t="shared" si="142"/>
        <v>0.20498629653157849</v>
      </c>
      <c r="P287" s="173">
        <f t="shared" si="142"/>
        <v>1E-3</v>
      </c>
      <c r="Q287" s="173">
        <f t="shared" si="142"/>
        <v>0</v>
      </c>
      <c r="R287" s="173" t="str">
        <f t="shared" si="142"/>
        <v/>
      </c>
      <c r="S287" s="173">
        <f t="shared" si="142"/>
        <v>0</v>
      </c>
      <c r="T287" s="173">
        <f t="shared" si="142"/>
        <v>0</v>
      </c>
      <c r="U287" s="173">
        <f t="shared" si="142"/>
        <v>0</v>
      </c>
      <c r="V287" s="173">
        <f t="shared" si="142"/>
        <v>5.3709904391244226E-3</v>
      </c>
      <c r="W287" s="173">
        <f t="shared" si="142"/>
        <v>6.8759349110325552E-3</v>
      </c>
      <c r="X287" s="173">
        <f t="shared" si="142"/>
        <v>0</v>
      </c>
      <c r="Y287" s="173">
        <f t="shared" si="142"/>
        <v>5.6581393079099949E-2</v>
      </c>
      <c r="Z287" s="173">
        <f t="shared" si="142"/>
        <v>1E-3</v>
      </c>
      <c r="AA287" s="173">
        <f t="shared" si="142"/>
        <v>5.6082553067796203E-3</v>
      </c>
      <c r="AB287" s="173">
        <f t="shared" si="142"/>
        <v>0</v>
      </c>
      <c r="AC287" s="173" t="str">
        <f t="shared" si="142"/>
        <v/>
      </c>
      <c r="AD287" s="173">
        <f t="shared" si="142"/>
        <v>0</v>
      </c>
      <c r="AE287" s="173">
        <f t="shared" si="142"/>
        <v>0</v>
      </c>
      <c r="AF287" s="173">
        <f t="shared" si="142"/>
        <v>0</v>
      </c>
      <c r="AG287" s="173">
        <f t="shared" si="142"/>
        <v>8.4940855521404967E-3</v>
      </c>
      <c r="AH287" s="173">
        <f t="shared" si="142"/>
        <v>0</v>
      </c>
      <c r="AI287" s="173" t="str">
        <f t="shared" si="142"/>
        <v/>
      </c>
      <c r="AJ287" s="173">
        <f t="shared" si="142"/>
        <v>0</v>
      </c>
      <c r="AK287" s="173">
        <f t="shared" si="142"/>
        <v>0</v>
      </c>
      <c r="AL287" s="173">
        <f t="shared" si="142"/>
        <v>0</v>
      </c>
    </row>
    <row r="288" spans="1:47">
      <c r="A288" s="236"/>
      <c r="B288" s="236"/>
      <c r="C288" s="236" t="str">
        <f>Commodities!$C$101</f>
        <v>UPSWAS</v>
      </c>
      <c r="D288" s="236"/>
      <c r="E288" s="236"/>
      <c r="F288" s="259" t="s">
        <v>359</v>
      </c>
      <c r="G288" s="259" t="s">
        <v>702</v>
      </c>
      <c r="H288" s="236" t="s">
        <v>661</v>
      </c>
      <c r="I288" s="236">
        <v>2019</v>
      </c>
      <c r="J288" s="236" t="s">
        <v>650</v>
      </c>
      <c r="K288" s="226">
        <f t="shared" ref="K288:AL288" si="143">IF(K$84=0,AVERAGE($K140:$AL140),K140)</f>
        <v>0</v>
      </c>
      <c r="L288" s="226">
        <f t="shared" si="143"/>
        <v>0</v>
      </c>
      <c r="M288" s="226">
        <f t="shared" si="143"/>
        <v>0</v>
      </c>
      <c r="N288" s="226">
        <f t="shared" si="143"/>
        <v>0</v>
      </c>
      <c r="O288" s="226">
        <f t="shared" si="143"/>
        <v>0</v>
      </c>
      <c r="P288" s="226">
        <f t="shared" si="143"/>
        <v>0</v>
      </c>
      <c r="Q288" s="226">
        <f t="shared" si="143"/>
        <v>0</v>
      </c>
      <c r="R288" s="226" t="str">
        <f t="shared" si="143"/>
        <v/>
      </c>
      <c r="S288" s="226">
        <f t="shared" si="143"/>
        <v>0</v>
      </c>
      <c r="T288" s="226">
        <f t="shared" si="143"/>
        <v>0</v>
      </c>
      <c r="U288" s="226">
        <f t="shared" si="143"/>
        <v>0</v>
      </c>
      <c r="V288" s="226">
        <f t="shared" si="143"/>
        <v>0</v>
      </c>
      <c r="W288" s="226">
        <f t="shared" si="143"/>
        <v>0</v>
      </c>
      <c r="X288" s="226">
        <f t="shared" si="143"/>
        <v>0</v>
      </c>
      <c r="Y288" s="226">
        <f t="shared" si="143"/>
        <v>0</v>
      </c>
      <c r="Z288" s="226">
        <f t="shared" si="143"/>
        <v>0</v>
      </c>
      <c r="AA288" s="226">
        <f t="shared" si="143"/>
        <v>1.7932872757725003E-2</v>
      </c>
      <c r="AB288" s="226">
        <f t="shared" si="143"/>
        <v>0</v>
      </c>
      <c r="AC288" s="226" t="str">
        <f t="shared" si="143"/>
        <v/>
      </c>
      <c r="AD288" s="226">
        <f t="shared" si="143"/>
        <v>0</v>
      </c>
      <c r="AE288" s="226">
        <f t="shared" si="143"/>
        <v>0</v>
      </c>
      <c r="AF288" s="226">
        <f t="shared" si="143"/>
        <v>0</v>
      </c>
      <c r="AG288" s="226">
        <f t="shared" si="143"/>
        <v>0</v>
      </c>
      <c r="AH288" s="226">
        <f t="shared" si="143"/>
        <v>0</v>
      </c>
      <c r="AI288" s="226" t="str">
        <f t="shared" si="143"/>
        <v/>
      </c>
      <c r="AJ288" s="226">
        <f t="shared" si="143"/>
        <v>0</v>
      </c>
      <c r="AK288" s="226">
        <f t="shared" si="143"/>
        <v>0</v>
      </c>
      <c r="AL288" s="226">
        <f t="shared" si="143"/>
        <v>0</v>
      </c>
    </row>
    <row r="289" spans="1:38">
      <c r="A289" t="str">
        <f>AO19</f>
        <v>U-TRF-OILREF_01</v>
      </c>
      <c r="B289" t="str">
        <f>AP19</f>
        <v>UPS Transformation: Oil refineries - New</v>
      </c>
      <c r="C289" s="4"/>
      <c r="D289" s="4"/>
      <c r="E289" s="4"/>
      <c r="F289" s="4"/>
      <c r="G289" s="4" t="s">
        <v>695</v>
      </c>
      <c r="H289" s="4"/>
      <c r="I289" s="4"/>
      <c r="J289" s="4" t="s">
        <v>2665</v>
      </c>
      <c r="K289" s="333">
        <v>1</v>
      </c>
      <c r="L289" s="333">
        <v>1</v>
      </c>
      <c r="M289" s="333">
        <v>1</v>
      </c>
      <c r="N289" s="333">
        <v>1</v>
      </c>
      <c r="O289" s="333">
        <v>1</v>
      </c>
      <c r="P289" s="333">
        <v>1</v>
      </c>
      <c r="Q289" s="333">
        <v>1</v>
      </c>
      <c r="R289" s="333">
        <v>1</v>
      </c>
      <c r="S289" s="333">
        <v>1</v>
      </c>
      <c r="T289" s="333">
        <v>1</v>
      </c>
      <c r="U289" s="333">
        <v>1</v>
      </c>
      <c r="V289" s="333">
        <v>1</v>
      </c>
      <c r="W289" s="333">
        <v>1</v>
      </c>
      <c r="X289" s="333">
        <v>1</v>
      </c>
      <c r="Y289" s="333">
        <v>1</v>
      </c>
      <c r="Z289" s="333">
        <v>1</v>
      </c>
      <c r="AA289" s="333">
        <v>1</v>
      </c>
      <c r="AB289" s="333">
        <v>1</v>
      </c>
      <c r="AC289" s="333">
        <v>1</v>
      </c>
      <c r="AD289" s="333">
        <v>1</v>
      </c>
      <c r="AE289" s="333">
        <v>1</v>
      </c>
      <c r="AF289" s="333">
        <v>1</v>
      </c>
      <c r="AG289" s="333">
        <v>1</v>
      </c>
      <c r="AH289" s="333">
        <v>1</v>
      </c>
      <c r="AI289" s="333">
        <v>1</v>
      </c>
      <c r="AJ289" s="333">
        <v>1</v>
      </c>
      <c r="AK289" s="333">
        <v>1</v>
      </c>
      <c r="AL289" s="333">
        <v>1</v>
      </c>
    </row>
    <row r="290" spans="1:38">
      <c r="C290" s="4"/>
      <c r="D290" s="4"/>
      <c r="E290" s="4"/>
      <c r="F290" s="4"/>
      <c r="G290" s="4" t="s">
        <v>697</v>
      </c>
      <c r="H290" s="4"/>
      <c r="I290" s="4"/>
      <c r="J290" s="4" t="s">
        <v>698</v>
      </c>
      <c r="K290" s="331">
        <v>100</v>
      </c>
      <c r="L290" s="331">
        <v>100</v>
      </c>
      <c r="M290" s="331">
        <v>100</v>
      </c>
      <c r="N290" s="331">
        <v>100</v>
      </c>
      <c r="O290" s="331">
        <v>100</v>
      </c>
      <c r="P290" s="331">
        <v>100</v>
      </c>
      <c r="Q290" s="331">
        <v>100</v>
      </c>
      <c r="R290" s="331">
        <v>100</v>
      </c>
      <c r="S290" s="331">
        <v>100</v>
      </c>
      <c r="T290" s="331">
        <v>100</v>
      </c>
      <c r="U290" s="331">
        <v>100</v>
      </c>
      <c r="V290" s="331">
        <v>100</v>
      </c>
      <c r="W290" s="331">
        <v>100</v>
      </c>
      <c r="X290" s="331">
        <v>100</v>
      </c>
      <c r="Y290" s="331">
        <v>100</v>
      </c>
      <c r="Z290" s="331">
        <v>100</v>
      </c>
      <c r="AA290" s="331">
        <v>100</v>
      </c>
      <c r="AB290" s="331">
        <v>100</v>
      </c>
      <c r="AC290" s="331">
        <v>100</v>
      </c>
      <c r="AD290" s="331">
        <v>100</v>
      </c>
      <c r="AE290" s="331">
        <v>100</v>
      </c>
      <c r="AF290" s="331">
        <v>100</v>
      </c>
      <c r="AG290" s="331">
        <v>100</v>
      </c>
      <c r="AH290" s="331">
        <v>100</v>
      </c>
      <c r="AI290" s="331">
        <v>100</v>
      </c>
      <c r="AJ290" s="331">
        <v>100</v>
      </c>
      <c r="AK290" s="331">
        <v>100</v>
      </c>
      <c r="AL290" s="331">
        <v>100</v>
      </c>
    </row>
    <row r="291" spans="1:38">
      <c r="A291" s="281"/>
      <c r="B291" s="281"/>
      <c r="C291" s="346"/>
      <c r="D291" s="346"/>
      <c r="E291" s="346"/>
      <c r="F291" s="346"/>
      <c r="G291" s="346" t="s">
        <v>706</v>
      </c>
      <c r="H291" s="346" t="s">
        <v>661</v>
      </c>
      <c r="I291" s="346">
        <v>2019</v>
      </c>
      <c r="J291" s="346" t="s">
        <v>650</v>
      </c>
      <c r="K291" s="173">
        <f t="shared" ref="K291:AL291" si="144">IF(K$151=0,AVERAGE($K143:$AL143),K143)</f>
        <v>0.5827302512511181</v>
      </c>
      <c r="L291" s="347">
        <f t="shared" si="144"/>
        <v>0.57669224255383911</v>
      </c>
      <c r="M291" s="347">
        <f t="shared" si="144"/>
        <v>0.53479539950277621</v>
      </c>
      <c r="N291" s="347">
        <f t="shared" si="144"/>
        <v>1.0142922917807942</v>
      </c>
      <c r="O291" s="347">
        <f t="shared" si="144"/>
        <v>0.99402950949791224</v>
      </c>
      <c r="P291" s="347">
        <f t="shared" si="144"/>
        <v>0.64366378921863143</v>
      </c>
      <c r="Q291" s="347">
        <f t="shared" si="144"/>
        <v>0.6981778600202343</v>
      </c>
      <c r="R291" s="347">
        <f t="shared" si="144"/>
        <v>0.66242786066896076</v>
      </c>
      <c r="S291" s="347">
        <f t="shared" si="144"/>
        <v>0.76715877901579155</v>
      </c>
      <c r="T291" s="347">
        <f t="shared" si="144"/>
        <v>0.6901466731655691</v>
      </c>
      <c r="U291" s="347">
        <f t="shared" si="144"/>
        <v>0.75141562809130868</v>
      </c>
      <c r="V291" s="347">
        <f t="shared" si="144"/>
        <v>0.77255601478709046</v>
      </c>
      <c r="W291" s="347">
        <f t="shared" si="144"/>
        <v>0.31661156662001205</v>
      </c>
      <c r="X291" s="347">
        <f t="shared" si="144"/>
        <v>0.77668376649678084</v>
      </c>
      <c r="Y291" s="347">
        <f t="shared" si="144"/>
        <v>0.74465680615034702</v>
      </c>
      <c r="Z291" s="347">
        <f t="shared" si="144"/>
        <v>0.6896457497010785</v>
      </c>
      <c r="AA291" s="347">
        <f t="shared" si="144"/>
        <v>0.81127189674661127</v>
      </c>
      <c r="AB291" s="347">
        <f t="shared" si="144"/>
        <v>0.79314630090665872</v>
      </c>
      <c r="AC291" s="347">
        <f t="shared" si="144"/>
        <v>0.98585036236715007</v>
      </c>
      <c r="AD291" s="347">
        <f t="shared" si="144"/>
        <v>0.86282036878214396</v>
      </c>
      <c r="AE291" s="347">
        <f t="shared" si="144"/>
        <v>0.41952718565386021</v>
      </c>
      <c r="AF291" s="347">
        <f t="shared" si="144"/>
        <v>0.66578854122129738</v>
      </c>
      <c r="AG291" s="347">
        <f t="shared" si="144"/>
        <v>0.74325002204595692</v>
      </c>
      <c r="AH291" s="347">
        <f t="shared" si="144"/>
        <v>0.38274119768330195</v>
      </c>
      <c r="AI291" s="347">
        <f t="shared" si="144"/>
        <v>0.15686280559317881</v>
      </c>
      <c r="AJ291" s="347">
        <f t="shared" si="144"/>
        <v>0.94639286516748022</v>
      </c>
      <c r="AK291" s="347">
        <f t="shared" si="144"/>
        <v>0.7964637569060854</v>
      </c>
      <c r="AL291" s="347">
        <f t="shared" si="144"/>
        <v>0.85649588962691625</v>
      </c>
    </row>
    <row r="292" spans="1:38">
      <c r="A292" s="281"/>
      <c r="B292" s="281"/>
      <c r="C292" s="346"/>
      <c r="D292" s="346"/>
      <c r="E292" s="346"/>
      <c r="F292" s="346"/>
      <c r="G292" s="346" t="s">
        <v>706</v>
      </c>
      <c r="H292" s="346" t="s">
        <v>661</v>
      </c>
      <c r="I292" s="346">
        <v>2025</v>
      </c>
      <c r="J292" s="346" t="s">
        <v>650</v>
      </c>
      <c r="K292" s="421">
        <f t="shared" ref="K292:AL292" si="145">IF(K$151=0,AVERAGE($K144:$AL144),K144)</f>
        <v>1</v>
      </c>
      <c r="L292" s="421">
        <f t="shared" si="145"/>
        <v>1</v>
      </c>
      <c r="M292" s="421">
        <f t="shared" si="145"/>
        <v>1</v>
      </c>
      <c r="N292" s="421">
        <f t="shared" si="145"/>
        <v>1</v>
      </c>
      <c r="O292" s="421">
        <f t="shared" si="145"/>
        <v>1</v>
      </c>
      <c r="P292" s="421">
        <f t="shared" si="145"/>
        <v>1</v>
      </c>
      <c r="Q292" s="421">
        <f t="shared" si="145"/>
        <v>1</v>
      </c>
      <c r="R292" s="421">
        <f t="shared" si="145"/>
        <v>1</v>
      </c>
      <c r="S292" s="421">
        <f t="shared" si="145"/>
        <v>1</v>
      </c>
      <c r="T292" s="421">
        <f t="shared" si="145"/>
        <v>1</v>
      </c>
      <c r="U292" s="421">
        <f t="shared" si="145"/>
        <v>1</v>
      </c>
      <c r="V292" s="421">
        <f t="shared" si="145"/>
        <v>1</v>
      </c>
      <c r="W292" s="421">
        <f t="shared" si="145"/>
        <v>1</v>
      </c>
      <c r="X292" s="421">
        <f t="shared" si="145"/>
        <v>1</v>
      </c>
      <c r="Y292" s="421">
        <f t="shared" si="145"/>
        <v>1</v>
      </c>
      <c r="Z292" s="421">
        <f t="shared" si="145"/>
        <v>1</v>
      </c>
      <c r="AA292" s="421">
        <f t="shared" si="145"/>
        <v>1</v>
      </c>
      <c r="AB292" s="421">
        <f t="shared" si="145"/>
        <v>1</v>
      </c>
      <c r="AC292" s="421">
        <f t="shared" si="145"/>
        <v>1</v>
      </c>
      <c r="AD292" s="421">
        <f t="shared" si="145"/>
        <v>1</v>
      </c>
      <c r="AE292" s="421">
        <f t="shared" si="145"/>
        <v>1</v>
      </c>
      <c r="AF292" s="421">
        <f t="shared" si="145"/>
        <v>1</v>
      </c>
      <c r="AG292" s="421">
        <f t="shared" si="145"/>
        <v>1</v>
      </c>
      <c r="AH292" s="421">
        <f t="shared" si="145"/>
        <v>1</v>
      </c>
      <c r="AI292" s="421">
        <f t="shared" si="145"/>
        <v>1</v>
      </c>
      <c r="AJ292" s="421">
        <f t="shared" si="145"/>
        <v>1</v>
      </c>
      <c r="AK292" s="421">
        <f t="shared" si="145"/>
        <v>1</v>
      </c>
      <c r="AL292" s="421">
        <f t="shared" si="145"/>
        <v>1</v>
      </c>
    </row>
    <row r="293" spans="1:38">
      <c r="A293" s="281"/>
      <c r="B293" s="281"/>
      <c r="C293" s="346"/>
      <c r="D293" s="346"/>
      <c r="E293" s="346"/>
      <c r="F293" s="346"/>
      <c r="G293" s="346" t="s">
        <v>706</v>
      </c>
      <c r="H293" s="346" t="s">
        <v>661</v>
      </c>
      <c r="I293" s="346">
        <v>2050</v>
      </c>
      <c r="J293" s="346" t="s">
        <v>650</v>
      </c>
      <c r="K293" s="421">
        <f t="shared" ref="K293:AL293" si="146">IF(K$151=0,AVERAGE($K145:$AL145),K145)</f>
        <v>1</v>
      </c>
      <c r="L293" s="421">
        <f t="shared" si="146"/>
        <v>1</v>
      </c>
      <c r="M293" s="421">
        <f t="shared" si="146"/>
        <v>1</v>
      </c>
      <c r="N293" s="421">
        <f t="shared" si="146"/>
        <v>1</v>
      </c>
      <c r="O293" s="421">
        <f t="shared" si="146"/>
        <v>1</v>
      </c>
      <c r="P293" s="421">
        <f t="shared" si="146"/>
        <v>1</v>
      </c>
      <c r="Q293" s="421">
        <f t="shared" si="146"/>
        <v>1</v>
      </c>
      <c r="R293" s="421">
        <f t="shared" si="146"/>
        <v>1</v>
      </c>
      <c r="S293" s="421">
        <f t="shared" si="146"/>
        <v>1</v>
      </c>
      <c r="T293" s="421">
        <f t="shared" si="146"/>
        <v>1</v>
      </c>
      <c r="U293" s="421">
        <f t="shared" si="146"/>
        <v>1</v>
      </c>
      <c r="V293" s="421">
        <f t="shared" si="146"/>
        <v>1</v>
      </c>
      <c r="W293" s="421">
        <f t="shared" si="146"/>
        <v>1</v>
      </c>
      <c r="X293" s="421">
        <f t="shared" si="146"/>
        <v>1</v>
      </c>
      <c r="Y293" s="421">
        <f t="shared" si="146"/>
        <v>1</v>
      </c>
      <c r="Z293" s="421">
        <f t="shared" si="146"/>
        <v>1</v>
      </c>
      <c r="AA293" s="421">
        <f t="shared" si="146"/>
        <v>1</v>
      </c>
      <c r="AB293" s="421">
        <f t="shared" si="146"/>
        <v>1</v>
      </c>
      <c r="AC293" s="421">
        <f t="shared" si="146"/>
        <v>1</v>
      </c>
      <c r="AD293" s="421">
        <f t="shared" si="146"/>
        <v>1</v>
      </c>
      <c r="AE293" s="421">
        <f t="shared" si="146"/>
        <v>1</v>
      </c>
      <c r="AF293" s="421">
        <f t="shared" si="146"/>
        <v>1</v>
      </c>
      <c r="AG293" s="421">
        <f t="shared" si="146"/>
        <v>1</v>
      </c>
      <c r="AH293" s="421">
        <f t="shared" si="146"/>
        <v>1</v>
      </c>
      <c r="AI293" s="421">
        <f t="shared" si="146"/>
        <v>1</v>
      </c>
      <c r="AJ293" s="421">
        <f t="shared" si="146"/>
        <v>1</v>
      </c>
      <c r="AK293" s="421">
        <f t="shared" si="146"/>
        <v>1</v>
      </c>
      <c r="AL293" s="421">
        <f t="shared" si="146"/>
        <v>1</v>
      </c>
    </row>
    <row r="294" spans="1:38">
      <c r="A294" s="281"/>
      <c r="B294" s="281"/>
      <c r="C294" s="346"/>
      <c r="D294" s="346"/>
      <c r="E294" s="346"/>
      <c r="F294" s="346"/>
      <c r="G294" s="346" t="s">
        <v>706</v>
      </c>
      <c r="H294" s="346" t="s">
        <v>661</v>
      </c>
      <c r="I294" s="346">
        <v>0</v>
      </c>
      <c r="J294" s="346"/>
      <c r="K294" s="421">
        <f t="shared" ref="K294:AL294" si="147">IF(K$151=0,AVERAGE($K146:$AL146),K146)</f>
        <v>5</v>
      </c>
      <c r="L294" s="421">
        <f t="shared" si="147"/>
        <v>5</v>
      </c>
      <c r="M294" s="421">
        <f t="shared" si="147"/>
        <v>5</v>
      </c>
      <c r="N294" s="421">
        <f t="shared" si="147"/>
        <v>5</v>
      </c>
      <c r="O294" s="421">
        <f t="shared" si="147"/>
        <v>5</v>
      </c>
      <c r="P294" s="421">
        <f t="shared" si="147"/>
        <v>5</v>
      </c>
      <c r="Q294" s="421">
        <f t="shared" si="147"/>
        <v>5</v>
      </c>
      <c r="R294" s="421">
        <f t="shared" si="147"/>
        <v>5</v>
      </c>
      <c r="S294" s="421">
        <f t="shared" si="147"/>
        <v>5</v>
      </c>
      <c r="T294" s="421">
        <f t="shared" si="147"/>
        <v>5</v>
      </c>
      <c r="U294" s="421">
        <f t="shared" si="147"/>
        <v>5</v>
      </c>
      <c r="V294" s="421">
        <f t="shared" si="147"/>
        <v>5</v>
      </c>
      <c r="W294" s="421">
        <f t="shared" si="147"/>
        <v>5</v>
      </c>
      <c r="X294" s="421">
        <f t="shared" si="147"/>
        <v>5</v>
      </c>
      <c r="Y294" s="421">
        <f t="shared" si="147"/>
        <v>5</v>
      </c>
      <c r="Z294" s="421">
        <f t="shared" si="147"/>
        <v>5</v>
      </c>
      <c r="AA294" s="421">
        <f t="shared" si="147"/>
        <v>5</v>
      </c>
      <c r="AB294" s="421">
        <f t="shared" si="147"/>
        <v>5</v>
      </c>
      <c r="AC294" s="421">
        <f t="shared" si="147"/>
        <v>5</v>
      </c>
      <c r="AD294" s="421">
        <f t="shared" si="147"/>
        <v>5</v>
      </c>
      <c r="AE294" s="421">
        <f t="shared" si="147"/>
        <v>5</v>
      </c>
      <c r="AF294" s="421">
        <f t="shared" si="147"/>
        <v>5</v>
      </c>
      <c r="AG294" s="421">
        <f t="shared" si="147"/>
        <v>5</v>
      </c>
      <c r="AH294" s="421">
        <f t="shared" si="147"/>
        <v>5</v>
      </c>
      <c r="AI294" s="421">
        <f t="shared" si="147"/>
        <v>5</v>
      </c>
      <c r="AJ294" s="421">
        <f t="shared" si="147"/>
        <v>5</v>
      </c>
      <c r="AK294" s="421">
        <f t="shared" si="147"/>
        <v>5</v>
      </c>
      <c r="AL294" s="421">
        <f t="shared" si="147"/>
        <v>5</v>
      </c>
    </row>
    <row r="295" spans="1:38">
      <c r="C295" s="4"/>
      <c r="D295" s="4"/>
      <c r="E295" s="4"/>
      <c r="F295" s="4"/>
      <c r="G295" s="4" t="s">
        <v>707</v>
      </c>
      <c r="H295" s="4"/>
      <c r="I295" s="4"/>
      <c r="J295" s="4" t="s">
        <v>2669</v>
      </c>
      <c r="K295" s="354">
        <v>2020</v>
      </c>
      <c r="L295" s="354">
        <v>2020</v>
      </c>
      <c r="M295" s="354">
        <v>2020</v>
      </c>
      <c r="N295" s="354">
        <v>2020</v>
      </c>
      <c r="O295" s="354">
        <v>2020</v>
      </c>
      <c r="P295" s="354">
        <v>2020</v>
      </c>
      <c r="Q295" s="354">
        <v>2020</v>
      </c>
      <c r="R295" s="354">
        <v>2020</v>
      </c>
      <c r="S295" s="354">
        <v>2020</v>
      </c>
      <c r="T295" s="354">
        <v>2020</v>
      </c>
      <c r="U295" s="354">
        <v>2020</v>
      </c>
      <c r="V295" s="354">
        <v>2020</v>
      </c>
      <c r="W295" s="354">
        <v>2020</v>
      </c>
      <c r="X295" s="354">
        <v>2020</v>
      </c>
      <c r="Y295" s="354">
        <v>2020</v>
      </c>
      <c r="Z295" s="354">
        <v>2020</v>
      </c>
      <c r="AA295" s="354">
        <v>2020</v>
      </c>
      <c r="AB295" s="354">
        <v>2020</v>
      </c>
      <c r="AC295" s="354">
        <v>2020</v>
      </c>
      <c r="AD295" s="354">
        <v>2020</v>
      </c>
      <c r="AE295" s="354">
        <v>2020</v>
      </c>
      <c r="AF295" s="354">
        <v>2020</v>
      </c>
      <c r="AG295" s="354">
        <v>2020</v>
      </c>
      <c r="AH295" s="354">
        <v>2020</v>
      </c>
      <c r="AI295" s="354">
        <v>2020</v>
      </c>
      <c r="AJ295" s="354">
        <v>2020</v>
      </c>
      <c r="AK295" s="354">
        <v>2020</v>
      </c>
      <c r="AL295" s="354">
        <v>2020</v>
      </c>
    </row>
    <row r="296" spans="1:38">
      <c r="C296" s="4"/>
      <c r="D296" s="4"/>
      <c r="E296" s="4"/>
      <c r="F296" s="4"/>
      <c r="G296" s="4" t="s">
        <v>701</v>
      </c>
      <c r="H296" s="4" t="s">
        <v>661</v>
      </c>
      <c r="I296" s="4">
        <v>2019</v>
      </c>
      <c r="J296" s="4" t="s">
        <v>112</v>
      </c>
      <c r="K296" s="333" t="str">
        <f t="shared" ref="K296:AL296" si="148">IF(K151=0,0,"")</f>
        <v/>
      </c>
      <c r="L296" s="333" t="str">
        <f t="shared" si="148"/>
        <v/>
      </c>
      <c r="M296" s="333" t="str">
        <f t="shared" si="148"/>
        <v/>
      </c>
      <c r="N296" s="333" t="str">
        <f t="shared" si="148"/>
        <v/>
      </c>
      <c r="O296" s="333" t="str">
        <f t="shared" si="148"/>
        <v/>
      </c>
      <c r="P296" s="333" t="str">
        <f t="shared" si="148"/>
        <v/>
      </c>
      <c r="Q296" s="333" t="str">
        <f t="shared" si="148"/>
        <v/>
      </c>
      <c r="R296" s="333" t="str">
        <f t="shared" si="148"/>
        <v/>
      </c>
      <c r="S296" s="333" t="str">
        <f t="shared" si="148"/>
        <v/>
      </c>
      <c r="T296" s="333" t="str">
        <f t="shared" si="148"/>
        <v/>
      </c>
      <c r="U296" s="333" t="str">
        <f t="shared" si="148"/>
        <v/>
      </c>
      <c r="V296" s="333" t="str">
        <f t="shared" si="148"/>
        <v/>
      </c>
      <c r="W296" s="333" t="str">
        <f t="shared" si="148"/>
        <v/>
      </c>
      <c r="X296" s="333" t="str">
        <f t="shared" si="148"/>
        <v/>
      </c>
      <c r="Y296" s="333" t="str">
        <f t="shared" si="148"/>
        <v/>
      </c>
      <c r="Z296" s="333" t="str">
        <f t="shared" si="148"/>
        <v/>
      </c>
      <c r="AA296" s="333" t="str">
        <f t="shared" si="148"/>
        <v/>
      </c>
      <c r="AB296" s="333" t="str">
        <f t="shared" si="148"/>
        <v/>
      </c>
      <c r="AC296" s="333" t="str">
        <f t="shared" si="148"/>
        <v/>
      </c>
      <c r="AD296" s="333" t="str">
        <f t="shared" si="148"/>
        <v/>
      </c>
      <c r="AE296" s="333" t="str">
        <f t="shared" si="148"/>
        <v/>
      </c>
      <c r="AF296" s="333" t="str">
        <f t="shared" si="148"/>
        <v/>
      </c>
      <c r="AG296" s="333" t="str">
        <f t="shared" si="148"/>
        <v/>
      </c>
      <c r="AH296" s="333" t="str">
        <f t="shared" si="148"/>
        <v/>
      </c>
      <c r="AI296" s="333" t="str">
        <f t="shared" si="148"/>
        <v/>
      </c>
      <c r="AJ296" s="333" t="str">
        <f t="shared" si="148"/>
        <v/>
      </c>
      <c r="AK296" s="333" t="str">
        <f t="shared" si="148"/>
        <v/>
      </c>
      <c r="AL296" s="333" t="str">
        <f t="shared" si="148"/>
        <v/>
      </c>
    </row>
    <row r="297" spans="1:38">
      <c r="C297" s="4"/>
      <c r="D297" s="4"/>
      <c r="E297" s="4"/>
      <c r="F297" s="4"/>
      <c r="G297" s="4" t="s">
        <v>701</v>
      </c>
      <c r="H297" s="4" t="s">
        <v>661</v>
      </c>
      <c r="I297" s="4">
        <v>2060</v>
      </c>
      <c r="J297" s="4" t="s">
        <v>112</v>
      </c>
      <c r="K297" s="333" t="str">
        <f>K296</f>
        <v/>
      </c>
      <c r="L297" s="333" t="str">
        <f t="shared" ref="L297" si="149">L296</f>
        <v/>
      </c>
      <c r="M297" s="333" t="str">
        <f t="shared" ref="M297" si="150">M296</f>
        <v/>
      </c>
      <c r="N297" s="333" t="str">
        <f t="shared" ref="N297" si="151">N296</f>
        <v/>
      </c>
      <c r="O297" s="333" t="str">
        <f t="shared" ref="O297" si="152">O296</f>
        <v/>
      </c>
      <c r="P297" s="333" t="str">
        <f t="shared" ref="P297" si="153">P296</f>
        <v/>
      </c>
      <c r="Q297" s="333" t="str">
        <f t="shared" ref="Q297" si="154">Q296</f>
        <v/>
      </c>
      <c r="R297" s="333" t="str">
        <f t="shared" ref="R297" si="155">R296</f>
        <v/>
      </c>
      <c r="S297" s="333" t="str">
        <f t="shared" ref="S297" si="156">S296</f>
        <v/>
      </c>
      <c r="T297" s="333" t="str">
        <f t="shared" ref="T297" si="157">T296</f>
        <v/>
      </c>
      <c r="U297" s="333" t="str">
        <f t="shared" ref="U297" si="158">U296</f>
        <v/>
      </c>
      <c r="V297" s="333" t="str">
        <f t="shared" ref="V297" si="159">V296</f>
        <v/>
      </c>
      <c r="W297" s="333" t="str">
        <f t="shared" ref="W297" si="160">W296</f>
        <v/>
      </c>
      <c r="X297" s="333" t="str">
        <f t="shared" ref="X297" si="161">X296</f>
        <v/>
      </c>
      <c r="Y297" s="333" t="str">
        <f t="shared" ref="Y297" si="162">Y296</f>
        <v/>
      </c>
      <c r="Z297" s="333" t="str">
        <f t="shared" ref="Z297" si="163">Z296</f>
        <v/>
      </c>
      <c r="AA297" s="333" t="str">
        <f t="shared" ref="AA297" si="164">AA296</f>
        <v/>
      </c>
      <c r="AB297" s="333" t="str">
        <f t="shared" ref="AB297" si="165">AB296</f>
        <v/>
      </c>
      <c r="AC297" s="333" t="str">
        <f t="shared" ref="AC297" si="166">AC296</f>
        <v/>
      </c>
      <c r="AD297" s="333" t="str">
        <f t="shared" ref="AD297" si="167">AD296</f>
        <v/>
      </c>
      <c r="AE297" s="333" t="str">
        <f t="shared" ref="AE297" si="168">AE296</f>
        <v/>
      </c>
      <c r="AF297" s="333" t="str">
        <f t="shared" ref="AF297" si="169">AF296</f>
        <v/>
      </c>
      <c r="AG297" s="333" t="str">
        <f t="shared" ref="AG297" si="170">AG296</f>
        <v/>
      </c>
      <c r="AH297" s="333" t="str">
        <f t="shared" ref="AH297" si="171">AH296</f>
        <v/>
      </c>
      <c r="AI297" s="333" t="str">
        <f t="shared" ref="AI297" si="172">AI296</f>
        <v/>
      </c>
      <c r="AJ297" s="333" t="str">
        <f t="shared" ref="AJ297" si="173">AJ296</f>
        <v/>
      </c>
      <c r="AK297" s="333" t="str">
        <f t="shared" ref="AK297" si="174">AK296</f>
        <v/>
      </c>
      <c r="AL297" s="333" t="str">
        <f t="shared" ref="AL297" si="175">AL296</f>
        <v/>
      </c>
    </row>
    <row r="298" spans="1:38">
      <c r="C298" s="4"/>
      <c r="D298" s="4"/>
      <c r="E298" s="4"/>
      <c r="F298" s="4"/>
      <c r="G298" s="4" t="s">
        <v>701</v>
      </c>
      <c r="H298" s="4" t="s">
        <v>661</v>
      </c>
      <c r="I298" s="4">
        <v>0</v>
      </c>
      <c r="J298" s="4"/>
      <c r="K298" s="333" t="str">
        <f>IF(K296="","",5)</f>
        <v/>
      </c>
      <c r="L298" s="333" t="str">
        <f t="shared" ref="L298:AL298" si="176">IF(L296="","",5)</f>
        <v/>
      </c>
      <c r="M298" s="333" t="str">
        <f t="shared" si="176"/>
        <v/>
      </c>
      <c r="N298" s="333" t="str">
        <f t="shared" si="176"/>
        <v/>
      </c>
      <c r="O298" s="333" t="str">
        <f t="shared" si="176"/>
        <v/>
      </c>
      <c r="P298" s="333" t="str">
        <f t="shared" si="176"/>
        <v/>
      </c>
      <c r="Q298" s="333" t="str">
        <f t="shared" si="176"/>
        <v/>
      </c>
      <c r="R298" s="333" t="str">
        <f t="shared" si="176"/>
        <v/>
      </c>
      <c r="S298" s="333" t="str">
        <f t="shared" si="176"/>
        <v/>
      </c>
      <c r="T298" s="333" t="str">
        <f t="shared" si="176"/>
        <v/>
      </c>
      <c r="U298" s="333" t="str">
        <f t="shared" si="176"/>
        <v/>
      </c>
      <c r="V298" s="333" t="str">
        <f t="shared" si="176"/>
        <v/>
      </c>
      <c r="W298" s="333" t="str">
        <f t="shared" si="176"/>
        <v/>
      </c>
      <c r="X298" s="333" t="str">
        <f t="shared" si="176"/>
        <v/>
      </c>
      <c r="Y298" s="333" t="str">
        <f t="shared" si="176"/>
        <v/>
      </c>
      <c r="Z298" s="333" t="str">
        <f t="shared" si="176"/>
        <v/>
      </c>
      <c r="AA298" s="333" t="str">
        <f t="shared" si="176"/>
        <v/>
      </c>
      <c r="AB298" s="333" t="str">
        <f t="shared" si="176"/>
        <v/>
      </c>
      <c r="AC298" s="333" t="str">
        <f t="shared" si="176"/>
        <v/>
      </c>
      <c r="AD298" s="333" t="str">
        <f t="shared" si="176"/>
        <v/>
      </c>
      <c r="AE298" s="333" t="str">
        <f t="shared" si="176"/>
        <v/>
      </c>
      <c r="AF298" s="333" t="str">
        <f t="shared" si="176"/>
        <v/>
      </c>
      <c r="AG298" s="333" t="str">
        <f t="shared" si="176"/>
        <v/>
      </c>
      <c r="AH298" s="333" t="str">
        <f t="shared" si="176"/>
        <v/>
      </c>
      <c r="AI298" s="333" t="str">
        <f t="shared" si="176"/>
        <v/>
      </c>
      <c r="AJ298" s="333" t="str">
        <f t="shared" si="176"/>
        <v/>
      </c>
      <c r="AK298" s="333" t="str">
        <f t="shared" si="176"/>
        <v/>
      </c>
      <c r="AL298" s="333" t="str">
        <f t="shared" si="176"/>
        <v/>
      </c>
    </row>
    <row r="299" spans="1:38">
      <c r="C299" s="4"/>
      <c r="D299" s="4"/>
      <c r="E299" s="4"/>
      <c r="F299" s="4"/>
      <c r="G299" s="4" t="s">
        <v>687</v>
      </c>
      <c r="H299" s="4"/>
      <c r="I299" s="4"/>
      <c r="J299" s="4" t="s">
        <v>2663</v>
      </c>
      <c r="K299" s="404">
        <f>'Key inputs_Refineries'!$C$171*10^3</f>
        <v>0.69959501843572802</v>
      </c>
      <c r="L299" s="404">
        <f>'Key inputs_Refineries'!$C$171*10^3</f>
        <v>0.69959501843572802</v>
      </c>
      <c r="M299" s="404">
        <f>'Key inputs_Refineries'!$C$171*10^3</f>
        <v>0.69959501843572802</v>
      </c>
      <c r="N299" s="404">
        <f>'Key inputs_Refineries'!$C$171*10^3</f>
        <v>0.69959501843572802</v>
      </c>
      <c r="O299" s="404">
        <f>'Key inputs_Refineries'!$C$171*10^3</f>
        <v>0.69959501843572802</v>
      </c>
      <c r="P299" s="404">
        <f>'Key inputs_Refineries'!$C$171*10^3</f>
        <v>0.69959501843572802</v>
      </c>
      <c r="Q299" s="404">
        <f>'Key inputs_Refineries'!$C$171*10^3</f>
        <v>0.69959501843572802</v>
      </c>
      <c r="R299" s="404">
        <f>'Key inputs_Refineries'!$C$171*10^3</f>
        <v>0.69959501843572802</v>
      </c>
      <c r="S299" s="404">
        <f>'Key inputs_Refineries'!$C$171*10^3</f>
        <v>0.69959501843572802</v>
      </c>
      <c r="T299" s="404">
        <f>'Key inputs_Refineries'!$C$171*10^3</f>
        <v>0.69959501843572802</v>
      </c>
      <c r="U299" s="404">
        <f>'Key inputs_Refineries'!$C$171*10^3</f>
        <v>0.69959501843572802</v>
      </c>
      <c r="V299" s="404">
        <f>'Key inputs_Refineries'!$C$171*10^3</f>
        <v>0.69959501843572802</v>
      </c>
      <c r="W299" s="404">
        <f>'Key inputs_Refineries'!$C$171*10^3</f>
        <v>0.69959501843572802</v>
      </c>
      <c r="X299" s="404">
        <f>'Key inputs_Refineries'!$C$171*10^3</f>
        <v>0.69959501843572802</v>
      </c>
      <c r="Y299" s="404">
        <f>'Key inputs_Refineries'!$C$171*10^3</f>
        <v>0.69959501843572802</v>
      </c>
      <c r="Z299" s="404">
        <f>'Key inputs_Refineries'!$C$171*10^3</f>
        <v>0.69959501843572802</v>
      </c>
      <c r="AA299" s="404">
        <f>'Key inputs_Refineries'!$C$171*10^3</f>
        <v>0.69959501843572802</v>
      </c>
      <c r="AB299" s="404">
        <f>'Key inputs_Refineries'!$C$171*10^3</f>
        <v>0.69959501843572802</v>
      </c>
      <c r="AC299" s="404">
        <f>'Key inputs_Refineries'!$C$171*10^3</f>
        <v>0.69959501843572802</v>
      </c>
      <c r="AD299" s="404">
        <f>'Key inputs_Refineries'!$C$171*10^3</f>
        <v>0.69959501843572802</v>
      </c>
      <c r="AE299" s="404">
        <f>'Key inputs_Refineries'!$C$171*10^3</f>
        <v>0.69959501843572802</v>
      </c>
      <c r="AF299" s="404">
        <f>'Key inputs_Refineries'!$C$171*10^3</f>
        <v>0.69959501843572802</v>
      </c>
      <c r="AG299" s="404">
        <f>'Key inputs_Refineries'!$C$171*10^3</f>
        <v>0.69959501843572802</v>
      </c>
      <c r="AH299" s="404">
        <f>'Key inputs_Refineries'!$C$171*10^3</f>
        <v>0.69959501843572802</v>
      </c>
      <c r="AI299" s="404">
        <f>'Key inputs_Refineries'!$C$171*10^3</f>
        <v>0.69959501843572802</v>
      </c>
      <c r="AJ299" s="404">
        <f>'Key inputs_Refineries'!$C$171*10^3</f>
        <v>0.69959501843572802</v>
      </c>
      <c r="AK299" s="404">
        <f>'Key inputs_Refineries'!$C$171*10^3</f>
        <v>0.69959501843572802</v>
      </c>
      <c r="AL299" s="404">
        <f>'Key inputs_Refineries'!$C$171*10^3</f>
        <v>0.69959501843572802</v>
      </c>
    </row>
    <row r="300" spans="1:38">
      <c r="C300" s="4"/>
      <c r="D300" s="4"/>
      <c r="E300" s="4"/>
      <c r="F300" s="4"/>
      <c r="G300" s="4" t="s">
        <v>689</v>
      </c>
      <c r="H300" s="4"/>
      <c r="I300" s="4"/>
      <c r="J300" s="4" t="s">
        <v>2663</v>
      </c>
      <c r="K300" s="404">
        <f>'Key inputs_Refineries'!$D$171*10^3</f>
        <v>0.49902112665020465</v>
      </c>
      <c r="L300" s="404">
        <f>'Key inputs_Refineries'!$D$171*10^3</f>
        <v>0.49902112665020465</v>
      </c>
      <c r="M300" s="404">
        <f>'Key inputs_Refineries'!$D$171*10^3</f>
        <v>0.49902112665020465</v>
      </c>
      <c r="N300" s="404">
        <f>'Key inputs_Refineries'!$D$171*10^3</f>
        <v>0.49902112665020465</v>
      </c>
      <c r="O300" s="404">
        <f>'Key inputs_Refineries'!$D$171*10^3</f>
        <v>0.49902112665020465</v>
      </c>
      <c r="P300" s="404">
        <f>'Key inputs_Refineries'!$D$171*10^3</f>
        <v>0.49902112665020465</v>
      </c>
      <c r="Q300" s="404">
        <f>'Key inputs_Refineries'!$D$171*10^3</f>
        <v>0.49902112665020465</v>
      </c>
      <c r="R300" s="404">
        <f>'Key inputs_Refineries'!$D$171*10^3</f>
        <v>0.49902112665020465</v>
      </c>
      <c r="S300" s="404">
        <f>'Key inputs_Refineries'!$D$171*10^3</f>
        <v>0.49902112665020465</v>
      </c>
      <c r="T300" s="404">
        <f>'Key inputs_Refineries'!$D$171*10^3</f>
        <v>0.49902112665020465</v>
      </c>
      <c r="U300" s="404">
        <f>'Key inputs_Refineries'!$D$171*10^3</f>
        <v>0.49902112665020465</v>
      </c>
      <c r="V300" s="404">
        <f>'Key inputs_Refineries'!$D$171*10^3</f>
        <v>0.49902112665020465</v>
      </c>
      <c r="W300" s="404">
        <f>'Key inputs_Refineries'!$D$171*10^3</f>
        <v>0.49902112665020465</v>
      </c>
      <c r="X300" s="404">
        <f>'Key inputs_Refineries'!$D$171*10^3</f>
        <v>0.49902112665020465</v>
      </c>
      <c r="Y300" s="404">
        <f>'Key inputs_Refineries'!$D$171*10^3</f>
        <v>0.49902112665020465</v>
      </c>
      <c r="Z300" s="404">
        <f>'Key inputs_Refineries'!$D$171*10^3</f>
        <v>0.49902112665020465</v>
      </c>
      <c r="AA300" s="404">
        <f>'Key inputs_Refineries'!$D$171*10^3</f>
        <v>0.49902112665020465</v>
      </c>
      <c r="AB300" s="404">
        <f>'Key inputs_Refineries'!$D$171*10^3</f>
        <v>0.49902112665020465</v>
      </c>
      <c r="AC300" s="404">
        <f>'Key inputs_Refineries'!$D$171*10^3</f>
        <v>0.49902112665020465</v>
      </c>
      <c r="AD300" s="404">
        <f>'Key inputs_Refineries'!$D$171*10^3</f>
        <v>0.49902112665020465</v>
      </c>
      <c r="AE300" s="404">
        <f>'Key inputs_Refineries'!$D$171*10^3</f>
        <v>0.49902112665020465</v>
      </c>
      <c r="AF300" s="404">
        <f>'Key inputs_Refineries'!$D$171*10^3</f>
        <v>0.49902112665020465</v>
      </c>
      <c r="AG300" s="404">
        <f>'Key inputs_Refineries'!$D$171*10^3</f>
        <v>0.49902112665020465</v>
      </c>
      <c r="AH300" s="404">
        <f>'Key inputs_Refineries'!$D$171*10^3</f>
        <v>0.49902112665020465</v>
      </c>
      <c r="AI300" s="404">
        <f>'Key inputs_Refineries'!$D$171*10^3</f>
        <v>0.49902112665020465</v>
      </c>
      <c r="AJ300" s="404">
        <f>'Key inputs_Refineries'!$D$171*10^3</f>
        <v>0.49902112665020465</v>
      </c>
      <c r="AK300" s="404">
        <f>'Key inputs_Refineries'!$D$171*10^3</f>
        <v>0.49902112665020465</v>
      </c>
      <c r="AL300" s="404">
        <f>'Key inputs_Refineries'!$D$171*10^3</f>
        <v>0.49902112665020465</v>
      </c>
    </row>
    <row r="301" spans="1:38">
      <c r="C301" s="4"/>
      <c r="D301" s="4"/>
      <c r="E301" s="4"/>
      <c r="F301" s="4"/>
      <c r="G301" s="4" t="s">
        <v>675</v>
      </c>
      <c r="H301" s="4"/>
      <c r="I301" s="4"/>
      <c r="J301" s="4" t="s">
        <v>2662</v>
      </c>
      <c r="K301" s="404">
        <f>'Key inputs_Refineries'!$E$171*10^3</f>
        <v>0.16342539630658601</v>
      </c>
      <c r="L301" s="404">
        <f>'Key inputs_Refineries'!$E$171*10^3</f>
        <v>0.16342539630658601</v>
      </c>
      <c r="M301" s="404">
        <f>'Key inputs_Refineries'!$E$171*10^3</f>
        <v>0.16342539630658601</v>
      </c>
      <c r="N301" s="404">
        <f>'Key inputs_Refineries'!$E$171*10^3</f>
        <v>0.16342539630658601</v>
      </c>
      <c r="O301" s="404">
        <f>'Key inputs_Refineries'!$E$171*10^3</f>
        <v>0.16342539630658601</v>
      </c>
      <c r="P301" s="404">
        <f>'Key inputs_Refineries'!$E$171*10^3</f>
        <v>0.16342539630658601</v>
      </c>
      <c r="Q301" s="404">
        <f>'Key inputs_Refineries'!$E$171*10^3</f>
        <v>0.16342539630658601</v>
      </c>
      <c r="R301" s="404">
        <f>'Key inputs_Refineries'!$E$171*10^3</f>
        <v>0.16342539630658601</v>
      </c>
      <c r="S301" s="404">
        <f>'Key inputs_Refineries'!$E$171*10^3</f>
        <v>0.16342539630658601</v>
      </c>
      <c r="T301" s="404">
        <f>'Key inputs_Refineries'!$E$171*10^3</f>
        <v>0.16342539630658601</v>
      </c>
      <c r="U301" s="404">
        <f>'Key inputs_Refineries'!$E$171*10^3</f>
        <v>0.16342539630658601</v>
      </c>
      <c r="V301" s="404">
        <f>'Key inputs_Refineries'!$E$171*10^3</f>
        <v>0.16342539630658601</v>
      </c>
      <c r="W301" s="404">
        <f>'Key inputs_Refineries'!$E$171*10^3</f>
        <v>0.16342539630658601</v>
      </c>
      <c r="X301" s="404">
        <f>'Key inputs_Refineries'!$E$171*10^3</f>
        <v>0.16342539630658601</v>
      </c>
      <c r="Y301" s="404">
        <f>'Key inputs_Refineries'!$E$171*10^3</f>
        <v>0.16342539630658601</v>
      </c>
      <c r="Z301" s="404">
        <f>'Key inputs_Refineries'!$E$171*10^3</f>
        <v>0.16342539630658601</v>
      </c>
      <c r="AA301" s="404">
        <f>'Key inputs_Refineries'!$E$171*10^3</f>
        <v>0.16342539630658601</v>
      </c>
      <c r="AB301" s="404">
        <f>'Key inputs_Refineries'!$E$171*10^3</f>
        <v>0.16342539630658601</v>
      </c>
      <c r="AC301" s="404">
        <f>'Key inputs_Refineries'!$E$171*10^3</f>
        <v>0.16342539630658601</v>
      </c>
      <c r="AD301" s="404">
        <f>'Key inputs_Refineries'!$E$171*10^3</f>
        <v>0.16342539630658601</v>
      </c>
      <c r="AE301" s="404">
        <f>'Key inputs_Refineries'!$E$171*10^3</f>
        <v>0.16342539630658601</v>
      </c>
      <c r="AF301" s="404">
        <f>'Key inputs_Refineries'!$E$171*10^3</f>
        <v>0.16342539630658601</v>
      </c>
      <c r="AG301" s="404">
        <f>'Key inputs_Refineries'!$E$171*10^3</f>
        <v>0.16342539630658601</v>
      </c>
      <c r="AH301" s="404">
        <f>'Key inputs_Refineries'!$E$171*10^3</f>
        <v>0.16342539630658601</v>
      </c>
      <c r="AI301" s="404">
        <f>'Key inputs_Refineries'!$E$171*10^3</f>
        <v>0.16342539630658601</v>
      </c>
      <c r="AJ301" s="404">
        <f>'Key inputs_Refineries'!$E$171*10^3</f>
        <v>0.16342539630658601</v>
      </c>
      <c r="AK301" s="404">
        <f>'Key inputs_Refineries'!$E$171*10^3</f>
        <v>0.16342539630658601</v>
      </c>
      <c r="AL301" s="404">
        <f>'Key inputs_Refineries'!$E$171*10^3</f>
        <v>0.16342539630658601</v>
      </c>
    </row>
    <row r="302" spans="1:38">
      <c r="C302" t="str">
        <f>Commodities!$C$25</f>
        <v>GASNAT</v>
      </c>
      <c r="F302" t="s">
        <v>364</v>
      </c>
      <c r="G302" s="4" t="s">
        <v>702</v>
      </c>
      <c r="H302" t="s">
        <v>661</v>
      </c>
      <c r="I302">
        <v>2019</v>
      </c>
      <c r="J302" t="s">
        <v>650</v>
      </c>
      <c r="K302" s="173">
        <f>IF(K$151=0,AVERAGE($K158:$AL158),K158)</f>
        <v>0</v>
      </c>
      <c r="L302" s="173">
        <f t="shared" ref="L302:AL302" si="177">IF(L$151=0,AVERAGE($K158:$AL158),L158)</f>
        <v>0</v>
      </c>
      <c r="M302" s="173">
        <f t="shared" si="177"/>
        <v>0</v>
      </c>
      <c r="N302" s="173">
        <f t="shared" si="177"/>
        <v>0</v>
      </c>
      <c r="O302" s="173">
        <f t="shared" si="177"/>
        <v>0</v>
      </c>
      <c r="P302" s="173">
        <f t="shared" si="177"/>
        <v>0</v>
      </c>
      <c r="Q302" s="173">
        <f t="shared" si="177"/>
        <v>0</v>
      </c>
      <c r="R302" s="173">
        <f t="shared" si="177"/>
        <v>0</v>
      </c>
      <c r="S302" s="173">
        <f t="shared" si="177"/>
        <v>0</v>
      </c>
      <c r="T302" s="173">
        <f t="shared" si="177"/>
        <v>0</v>
      </c>
      <c r="U302" s="173">
        <f t="shared" si="177"/>
        <v>0</v>
      </c>
      <c r="V302" s="173">
        <f t="shared" si="177"/>
        <v>3.5656105239612727E-3</v>
      </c>
      <c r="W302" s="173">
        <f t="shared" si="177"/>
        <v>0</v>
      </c>
      <c r="X302" s="173">
        <f t="shared" si="177"/>
        <v>0</v>
      </c>
      <c r="Y302" s="173">
        <f t="shared" si="177"/>
        <v>0</v>
      </c>
      <c r="Z302" s="173">
        <f t="shared" si="177"/>
        <v>0</v>
      </c>
      <c r="AA302" s="173">
        <f t="shared" si="177"/>
        <v>0</v>
      </c>
      <c r="AB302" s="173">
        <f t="shared" si="177"/>
        <v>0</v>
      </c>
      <c r="AC302" s="173">
        <f t="shared" si="177"/>
        <v>0</v>
      </c>
      <c r="AD302" s="173">
        <f t="shared" si="177"/>
        <v>0</v>
      </c>
      <c r="AE302" s="173">
        <f t="shared" si="177"/>
        <v>0</v>
      </c>
      <c r="AF302" s="173">
        <f t="shared" si="177"/>
        <v>0</v>
      </c>
      <c r="AG302" s="173">
        <f t="shared" si="177"/>
        <v>0</v>
      </c>
      <c r="AH302" s="173">
        <f t="shared" si="177"/>
        <v>0</v>
      </c>
      <c r="AI302" s="173">
        <f t="shared" si="177"/>
        <v>0</v>
      </c>
      <c r="AJ302" s="173">
        <f t="shared" si="177"/>
        <v>0</v>
      </c>
      <c r="AK302" s="173">
        <f t="shared" si="177"/>
        <v>0</v>
      </c>
      <c r="AL302" s="173">
        <f t="shared" si="177"/>
        <v>0</v>
      </c>
    </row>
    <row r="303" spans="1:38">
      <c r="C303" t="str">
        <f>Commodities!$C$27</f>
        <v>OILCRD</v>
      </c>
      <c r="F303" t="s">
        <v>364</v>
      </c>
      <c r="G303" s="4" t="s">
        <v>702</v>
      </c>
      <c r="H303" t="s">
        <v>661</v>
      </c>
      <c r="I303">
        <v>2019</v>
      </c>
      <c r="J303" t="s">
        <v>650</v>
      </c>
      <c r="K303" s="173">
        <f t="shared" ref="K303:AL303" si="178">IF(K$151=0,AVERAGE($K159:$AL159),K159)</f>
        <v>1</v>
      </c>
      <c r="L303" s="173">
        <f t="shared" si="178"/>
        <v>0.78347288981416285</v>
      </c>
      <c r="M303" s="173">
        <f t="shared" si="178"/>
        <v>0.87485725839292172</v>
      </c>
      <c r="N303" s="173">
        <f t="shared" si="178"/>
        <v>0.89986568399176403</v>
      </c>
      <c r="O303" s="173">
        <f t="shared" si="178"/>
        <v>0.91267407198683059</v>
      </c>
      <c r="P303" s="173">
        <f t="shared" si="178"/>
        <v>0.84562408585081084</v>
      </c>
      <c r="Q303" s="173">
        <f t="shared" si="178"/>
        <v>0.92806581458555804</v>
      </c>
      <c r="R303" s="173">
        <f t="shared" si="178"/>
        <v>0.94978497661888861</v>
      </c>
      <c r="S303" s="173">
        <f t="shared" si="178"/>
        <v>0.94746878152560565</v>
      </c>
      <c r="T303" s="173">
        <f t="shared" si="178"/>
        <v>0.96924696451520864</v>
      </c>
      <c r="U303" s="173">
        <f t="shared" si="178"/>
        <v>1</v>
      </c>
      <c r="V303" s="173">
        <f t="shared" si="178"/>
        <v>0.99643438947603868</v>
      </c>
      <c r="W303" s="173">
        <f t="shared" si="178"/>
        <v>0.95812151606958451</v>
      </c>
      <c r="X303" s="173">
        <f t="shared" si="178"/>
        <v>0.85879998294504034</v>
      </c>
      <c r="Y303" s="173">
        <f t="shared" si="178"/>
        <v>0.99542947444416541</v>
      </c>
      <c r="Z303" s="173">
        <f t="shared" si="178"/>
        <v>0.99899987269343082</v>
      </c>
      <c r="AA303" s="173">
        <f t="shared" si="178"/>
        <v>0.97771506767171479</v>
      </c>
      <c r="AB303" s="173">
        <f t="shared" si="178"/>
        <v>0.97528178302883473</v>
      </c>
      <c r="AC303" s="173">
        <f t="shared" si="178"/>
        <v>0.97869235540290689</v>
      </c>
      <c r="AD303" s="173">
        <f t="shared" si="178"/>
        <v>0.98129306516123238</v>
      </c>
      <c r="AE303" s="173">
        <f t="shared" si="178"/>
        <v>0.85382150175578542</v>
      </c>
      <c r="AF303" s="173">
        <f t="shared" si="178"/>
        <v>0.99821351447654594</v>
      </c>
      <c r="AG303" s="173">
        <f t="shared" si="178"/>
        <v>0.69153436248180444</v>
      </c>
      <c r="AH303" s="173">
        <f t="shared" si="178"/>
        <v>0.81489481573406108</v>
      </c>
      <c r="AI303" s="173">
        <f t="shared" si="178"/>
        <v>1</v>
      </c>
      <c r="AJ303" s="173">
        <f t="shared" si="178"/>
        <v>0.87423353519769043</v>
      </c>
      <c r="AK303" s="173">
        <f t="shared" si="178"/>
        <v>1</v>
      </c>
      <c r="AL303" s="173">
        <f t="shared" si="178"/>
        <v>0.85267638314275285</v>
      </c>
    </row>
    <row r="304" spans="1:38">
      <c r="C304" t="str">
        <f>Commodities!$C$26</f>
        <v>OILNGL</v>
      </c>
      <c r="F304" t="s">
        <v>364</v>
      </c>
      <c r="G304" s="4" t="s">
        <v>702</v>
      </c>
      <c r="H304" t="s">
        <v>661</v>
      </c>
      <c r="I304">
        <v>2019</v>
      </c>
      <c r="J304" t="s">
        <v>650</v>
      </c>
      <c r="K304" s="173">
        <f t="shared" ref="K304:AL304" si="179">IF(K$151=0,AVERAGE($K160:$AL160),K160)</f>
        <v>0</v>
      </c>
      <c r="L304" s="173">
        <f t="shared" si="179"/>
        <v>0.21652711018583717</v>
      </c>
      <c r="M304" s="173">
        <f t="shared" si="179"/>
        <v>0.12514274160707828</v>
      </c>
      <c r="N304" s="173">
        <f t="shared" si="179"/>
        <v>0.100134316008236</v>
      </c>
      <c r="O304" s="173">
        <f t="shared" si="179"/>
        <v>8.7325928013169407E-2</v>
      </c>
      <c r="P304" s="173">
        <f t="shared" si="179"/>
        <v>0.15437591414918914</v>
      </c>
      <c r="Q304" s="173">
        <f t="shared" si="179"/>
        <v>7.1934185414441992E-2</v>
      </c>
      <c r="R304" s="173">
        <f t="shared" si="179"/>
        <v>5.0215023381111376E-2</v>
      </c>
      <c r="S304" s="173">
        <f t="shared" si="179"/>
        <v>5.2531218474394327E-2</v>
      </c>
      <c r="T304" s="173">
        <f t="shared" si="179"/>
        <v>3.0753035484791382E-2</v>
      </c>
      <c r="U304" s="173">
        <f t="shared" si="179"/>
        <v>0</v>
      </c>
      <c r="V304" s="173">
        <f t="shared" si="179"/>
        <v>0</v>
      </c>
      <c r="W304" s="173">
        <f t="shared" si="179"/>
        <v>4.187848393041553E-2</v>
      </c>
      <c r="X304" s="173">
        <f t="shared" si="179"/>
        <v>0.1412000170549596</v>
      </c>
      <c r="Y304" s="173">
        <f t="shared" si="179"/>
        <v>4.5705255558346437E-3</v>
      </c>
      <c r="Z304" s="173">
        <f t="shared" si="179"/>
        <v>1.0001273065692023E-3</v>
      </c>
      <c r="AA304" s="173">
        <f t="shared" si="179"/>
        <v>2.2284932328285247E-2</v>
      </c>
      <c r="AB304" s="173">
        <f t="shared" si="179"/>
        <v>2.4718216971165222E-2</v>
      </c>
      <c r="AC304" s="173">
        <f t="shared" si="179"/>
        <v>2.1307644597093087E-2</v>
      </c>
      <c r="AD304" s="173">
        <f t="shared" si="179"/>
        <v>1.8706934838767623E-2</v>
      </c>
      <c r="AE304" s="173">
        <f t="shared" si="179"/>
        <v>0.14617849824421461</v>
      </c>
      <c r="AF304" s="173">
        <f t="shared" si="179"/>
        <v>1.7864855234540724E-3</v>
      </c>
      <c r="AG304" s="173">
        <f t="shared" si="179"/>
        <v>0.30846563751819556</v>
      </c>
      <c r="AH304" s="173">
        <f t="shared" si="179"/>
        <v>0.18510518426593894</v>
      </c>
      <c r="AI304" s="173">
        <f t="shared" si="179"/>
        <v>0</v>
      </c>
      <c r="AJ304" s="173">
        <f t="shared" si="179"/>
        <v>0.1257664648023096</v>
      </c>
      <c r="AK304" s="173">
        <f t="shared" si="179"/>
        <v>0</v>
      </c>
      <c r="AL304" s="173">
        <f t="shared" si="179"/>
        <v>0.14732361685724718</v>
      </c>
    </row>
    <row r="305" spans="1:38">
      <c r="E305" t="s">
        <v>365</v>
      </c>
      <c r="F305" t="s">
        <v>691</v>
      </c>
      <c r="G305" t="s">
        <v>692</v>
      </c>
      <c r="J305" s="4" t="s">
        <v>2664</v>
      </c>
      <c r="K305" s="173">
        <f t="shared" ref="K305:AL305" si="180">IF(K$151=0,AVERAGE($K161:$AL161),K161)</f>
        <v>1.0536431714968102</v>
      </c>
      <c r="L305" s="173">
        <f t="shared" si="180"/>
        <v>1.0176268899696768</v>
      </c>
      <c r="M305" s="173">
        <f t="shared" si="180"/>
        <v>1.1240203126466364</v>
      </c>
      <c r="N305" s="173">
        <f t="shared" si="180"/>
        <v>0.98608391909477489</v>
      </c>
      <c r="O305" s="173">
        <f t="shared" si="180"/>
        <v>0.98816020079280786</v>
      </c>
      <c r="P305" s="173">
        <f t="shared" si="180"/>
        <v>1.0194996146743418</v>
      </c>
      <c r="Q305" s="173">
        <f t="shared" si="180"/>
        <v>1.0102849647964744</v>
      </c>
      <c r="R305" s="173">
        <f t="shared" si="180"/>
        <v>1.0611156753243165</v>
      </c>
      <c r="S305" s="173">
        <f t="shared" si="180"/>
        <v>0.9936257494312577</v>
      </c>
      <c r="T305" s="173">
        <f t="shared" si="180"/>
        <v>1.0205629198955304</v>
      </c>
      <c r="U305" s="173">
        <f t="shared" si="180"/>
        <v>1.0100355882564114</v>
      </c>
      <c r="V305" s="173">
        <f t="shared" si="180"/>
        <v>0.97137587668053182</v>
      </c>
      <c r="W305" s="173">
        <f t="shared" si="180"/>
        <v>1.0805317123873066</v>
      </c>
      <c r="X305" s="173">
        <f t="shared" si="180"/>
        <v>0.98136986227927347</v>
      </c>
      <c r="Y305" s="173">
        <f t="shared" si="180"/>
        <v>0.99117809410106639</v>
      </c>
      <c r="Z305" s="173">
        <f t="shared" si="180"/>
        <v>0.99050389657827065</v>
      </c>
      <c r="AA305" s="173">
        <f t="shared" si="180"/>
        <v>0.98513180954326363</v>
      </c>
      <c r="AB305" s="173">
        <f t="shared" si="180"/>
        <v>1.0764570920964149</v>
      </c>
      <c r="AC305" s="173">
        <f t="shared" si="180"/>
        <v>0.97413845297400115</v>
      </c>
      <c r="AD305" s="173">
        <f t="shared" si="180"/>
        <v>0.97267932940321156</v>
      </c>
      <c r="AE305" s="173">
        <f t="shared" si="180"/>
        <v>1.0059939512538623</v>
      </c>
      <c r="AF305" s="173">
        <f t="shared" si="180"/>
        <v>1.0127746662677264</v>
      </c>
      <c r="AG305" s="173">
        <f t="shared" si="180"/>
        <v>1.0107379150729474</v>
      </c>
      <c r="AH305" s="173">
        <f t="shared" si="180"/>
        <v>1.0544445390367529</v>
      </c>
      <c r="AI305" s="173">
        <f t="shared" si="180"/>
        <v>1.1252759339995901</v>
      </c>
      <c r="AJ305" s="173">
        <f t="shared" si="180"/>
        <v>0.98641425519798631</v>
      </c>
      <c r="AK305" s="173">
        <f t="shared" si="180"/>
        <v>0.97046945822310959</v>
      </c>
      <c r="AL305" s="173">
        <f t="shared" si="180"/>
        <v>1.0103957529254788</v>
      </c>
    </row>
    <row r="306" spans="1:38">
      <c r="D306" t="str">
        <f>Commodities!$C$48</f>
        <v>OILDSL</v>
      </c>
      <c r="F306" t="s">
        <v>365</v>
      </c>
      <c r="G306" s="4" t="s">
        <v>705</v>
      </c>
      <c r="H306" t="s">
        <v>661</v>
      </c>
      <c r="I306">
        <v>2019</v>
      </c>
      <c r="J306" t="s">
        <v>650</v>
      </c>
      <c r="K306" s="173">
        <f t="shared" ref="K306:AL306" si="181">IF(K$151=0,AVERAGE($K162:$AL162),K162)</f>
        <v>0.52220154753006798</v>
      </c>
      <c r="L306" s="173">
        <f t="shared" si="181"/>
        <v>0.31873069880384081</v>
      </c>
      <c r="M306" s="173">
        <f t="shared" si="181"/>
        <v>0.44853682753969393</v>
      </c>
      <c r="N306" s="173">
        <f t="shared" si="181"/>
        <v>0.43108733245035558</v>
      </c>
      <c r="O306" s="173">
        <f t="shared" si="181"/>
        <v>0.33176013243639391</v>
      </c>
      <c r="P306" s="173">
        <f t="shared" si="181"/>
        <v>0.30568562542547084</v>
      </c>
      <c r="Q306" s="173">
        <f t="shared" si="181"/>
        <v>0.31975107225835264</v>
      </c>
      <c r="R306" s="173">
        <f t="shared" si="181"/>
        <v>0.40178642145128157</v>
      </c>
      <c r="S306" s="173">
        <f t="shared" si="181"/>
        <v>0.61620654965527821</v>
      </c>
      <c r="T306" s="173">
        <f t="shared" si="181"/>
        <v>0.36995379032273157</v>
      </c>
      <c r="U306" s="173">
        <f t="shared" si="181"/>
        <v>0.32428791559920966</v>
      </c>
      <c r="V306" s="173">
        <f t="shared" si="181"/>
        <v>0.23535346821831749</v>
      </c>
      <c r="W306" s="173">
        <f t="shared" si="181"/>
        <v>0.38789549677743368</v>
      </c>
      <c r="X306" s="173">
        <f t="shared" si="181"/>
        <v>0.37990971043720395</v>
      </c>
      <c r="Y306" s="173">
        <f t="shared" si="181"/>
        <v>0.4480266606423301</v>
      </c>
      <c r="Z306" s="173">
        <f t="shared" si="181"/>
        <v>0.42389392644391249</v>
      </c>
      <c r="AA306" s="173">
        <f t="shared" si="181"/>
        <v>0.38844330164999769</v>
      </c>
      <c r="AB306" s="173">
        <f t="shared" si="181"/>
        <v>0.40487178270836127</v>
      </c>
      <c r="AC306" s="173">
        <f t="shared" si="181"/>
        <v>0.44302794692343594</v>
      </c>
      <c r="AD306" s="173">
        <f t="shared" si="181"/>
        <v>0.30403688555950936</v>
      </c>
      <c r="AE306" s="173">
        <f t="shared" si="181"/>
        <v>0.33423784081291441</v>
      </c>
      <c r="AF306" s="173">
        <f t="shared" si="181"/>
        <v>0.37024489594824006</v>
      </c>
      <c r="AG306" s="173">
        <f t="shared" si="181"/>
        <v>0.34578734926854565</v>
      </c>
      <c r="AH306" s="173">
        <f t="shared" si="181"/>
        <v>0.24724765355997544</v>
      </c>
      <c r="AI306" s="173">
        <f t="shared" si="181"/>
        <v>5.224371301316328E-2</v>
      </c>
      <c r="AJ306" s="173">
        <f t="shared" si="181"/>
        <v>0.32564201265879611</v>
      </c>
      <c r="AK306" s="173">
        <f t="shared" si="181"/>
        <v>0.34371127862384115</v>
      </c>
      <c r="AL306" s="173">
        <f t="shared" si="181"/>
        <v>0.30948000445029533</v>
      </c>
    </row>
    <row r="307" spans="1:38">
      <c r="D307" t="str">
        <f>Commodities!$C$49</f>
        <v>OILGSL</v>
      </c>
      <c r="F307" t="s">
        <v>365</v>
      </c>
      <c r="G307" s="4" t="s">
        <v>705</v>
      </c>
      <c r="H307" t="s">
        <v>661</v>
      </c>
      <c r="I307">
        <v>2019</v>
      </c>
      <c r="J307" t="s">
        <v>650</v>
      </c>
      <c r="K307" s="173">
        <f t="shared" ref="K307:AL307" si="182">IF(K$151=0,AVERAGE($K163:$AL163),K163)</f>
        <v>0.26371867813246946</v>
      </c>
      <c r="L307" s="173">
        <f t="shared" si="182"/>
        <v>0.15411883749663069</v>
      </c>
      <c r="M307" s="173">
        <f t="shared" si="182"/>
        <v>0.18004692871702777</v>
      </c>
      <c r="N307" s="173">
        <f t="shared" si="182"/>
        <v>0.25493789013468615</v>
      </c>
      <c r="O307" s="173">
        <f t="shared" si="182"/>
        <v>0.35366786268468253</v>
      </c>
      <c r="P307" s="173">
        <f t="shared" si="182"/>
        <v>0.29740179131572275</v>
      </c>
      <c r="Q307" s="173">
        <f t="shared" si="182"/>
        <v>0.22028428464470406</v>
      </c>
      <c r="R307" s="173">
        <f t="shared" si="182"/>
        <v>0.16963406808509263</v>
      </c>
      <c r="S307" s="173">
        <f t="shared" si="182"/>
        <v>4.0630207863661866E-2</v>
      </c>
      <c r="T307" s="173">
        <f t="shared" si="182"/>
        <v>0.33333374924330378</v>
      </c>
      <c r="U307" s="173">
        <f t="shared" si="182"/>
        <v>0.33450477874098372</v>
      </c>
      <c r="V307" s="173">
        <f t="shared" si="182"/>
        <v>0.21836958465599091</v>
      </c>
      <c r="W307" s="173">
        <f t="shared" si="182"/>
        <v>0.19708085711894199</v>
      </c>
      <c r="X307" s="173">
        <f t="shared" si="182"/>
        <v>0.33836428908329924</v>
      </c>
      <c r="Y307" s="173">
        <f t="shared" si="182"/>
        <v>0.22799574162093045</v>
      </c>
      <c r="Z307" s="173">
        <f t="shared" si="182"/>
        <v>0.21068905345820099</v>
      </c>
      <c r="AA307" s="173">
        <f t="shared" si="182"/>
        <v>0.28957763034762274</v>
      </c>
      <c r="AB307" s="173">
        <f t="shared" si="182"/>
        <v>0.33734334922174664</v>
      </c>
      <c r="AC307" s="173">
        <f t="shared" si="182"/>
        <v>0.17194059625668426</v>
      </c>
      <c r="AD307" s="173">
        <f t="shared" si="182"/>
        <v>0.2474682993467332</v>
      </c>
      <c r="AE307" s="173">
        <f t="shared" si="182"/>
        <v>0.23234496939109303</v>
      </c>
      <c r="AF307" s="173">
        <f t="shared" si="182"/>
        <v>0.17558572694272956</v>
      </c>
      <c r="AG307" s="173">
        <f t="shared" si="182"/>
        <v>0.17490732798900593</v>
      </c>
      <c r="AH307" s="173">
        <f t="shared" si="182"/>
        <v>0.31233654559694302</v>
      </c>
      <c r="AI307" s="173">
        <f t="shared" si="182"/>
        <v>0.31665074500949097</v>
      </c>
      <c r="AJ307" s="173">
        <f t="shared" si="182"/>
        <v>0.13593078619922178</v>
      </c>
      <c r="AK307" s="173">
        <f t="shared" si="182"/>
        <v>0.15157634869688064</v>
      </c>
      <c r="AL307" s="173">
        <f t="shared" si="182"/>
        <v>0.45191520831956733</v>
      </c>
    </row>
    <row r="308" spans="1:38">
      <c r="D308" t="str">
        <f>Commodities!$C$50</f>
        <v>OILHFO</v>
      </c>
      <c r="F308" t="s">
        <v>365</v>
      </c>
      <c r="G308" s="4" t="s">
        <v>705</v>
      </c>
      <c r="H308" t="s">
        <v>661</v>
      </c>
      <c r="I308">
        <v>2019</v>
      </c>
      <c r="J308" t="s">
        <v>650</v>
      </c>
      <c r="K308" s="173">
        <f t="shared" ref="K308:AL308" si="183">IF(K$151=0,AVERAGE($K164:$AL164),K164)</f>
        <v>3.2590094423639492E-2</v>
      </c>
      <c r="L308" s="173">
        <f t="shared" si="183"/>
        <v>0.25947634537993464</v>
      </c>
      <c r="M308" s="173">
        <f t="shared" si="183"/>
        <v>0.21978091012862219</v>
      </c>
      <c r="N308" s="173">
        <f t="shared" si="183"/>
        <v>0.11349624554887636</v>
      </c>
      <c r="O308" s="173">
        <f t="shared" si="183"/>
        <v>3.6508190574429521E-2</v>
      </c>
      <c r="P308" s="173">
        <f t="shared" si="183"/>
        <v>0.13911395277440367</v>
      </c>
      <c r="Q308" s="173">
        <f t="shared" si="183"/>
        <v>7.4598931720844266E-2</v>
      </c>
      <c r="R308" s="173">
        <f t="shared" si="183"/>
        <v>0.23382368867258155</v>
      </c>
      <c r="S308" s="173">
        <f t="shared" si="183"/>
        <v>0.11422043221681812</v>
      </c>
      <c r="T308" s="173">
        <f t="shared" si="183"/>
        <v>2.8769532431931654E-2</v>
      </c>
      <c r="U308" s="173">
        <f t="shared" si="183"/>
        <v>0.11105255197058073</v>
      </c>
      <c r="V308" s="173">
        <f t="shared" si="183"/>
        <v>5.1071761953946151E-2</v>
      </c>
      <c r="W308" s="173">
        <f t="shared" si="183"/>
        <v>0.22068720180798526</v>
      </c>
      <c r="X308" s="173">
        <f t="shared" si="183"/>
        <v>5.1480407227552573E-2</v>
      </c>
      <c r="Y308" s="173">
        <f t="shared" si="183"/>
        <v>8.8302598881068076E-2</v>
      </c>
      <c r="Z308" s="173">
        <f t="shared" si="183"/>
        <v>9.577499248228892E-2</v>
      </c>
      <c r="AA308" s="173">
        <f t="shared" si="183"/>
        <v>0.11396786851224572</v>
      </c>
      <c r="AB308" s="173">
        <f t="shared" si="183"/>
        <v>3.0448828688640014E-2</v>
      </c>
      <c r="AC308" s="173">
        <f t="shared" si="183"/>
        <v>2.3457058278107328E-2</v>
      </c>
      <c r="AD308" s="173">
        <f t="shared" si="183"/>
        <v>0.11340769868259896</v>
      </c>
      <c r="AE308" s="173">
        <f t="shared" si="183"/>
        <v>0.26913043704015244</v>
      </c>
      <c r="AF308" s="173">
        <f t="shared" si="183"/>
        <v>0.1444353330900546</v>
      </c>
      <c r="AG308" s="173">
        <f t="shared" si="183"/>
        <v>0.19905452703047191</v>
      </c>
      <c r="AH308" s="173">
        <f t="shared" si="183"/>
        <v>0.26748351968572714</v>
      </c>
      <c r="AI308" s="173">
        <f t="shared" si="183"/>
        <v>0.35772862052280935</v>
      </c>
      <c r="AJ308" s="173">
        <f t="shared" si="183"/>
        <v>0.17605116311554198</v>
      </c>
      <c r="AK308" s="173">
        <f t="shared" si="183"/>
        <v>6.0331409861717179E-2</v>
      </c>
      <c r="AL308" s="173">
        <f t="shared" si="183"/>
        <v>1.9303184276677345E-2</v>
      </c>
    </row>
    <row r="309" spans="1:38">
      <c r="D309" t="str">
        <f>Commodities!$C$51</f>
        <v>OILKER</v>
      </c>
      <c r="F309" t="s">
        <v>365</v>
      </c>
      <c r="G309" s="4" t="s">
        <v>705</v>
      </c>
      <c r="H309" t="s">
        <v>661</v>
      </c>
      <c r="I309">
        <v>2019</v>
      </c>
      <c r="J309" t="s">
        <v>650</v>
      </c>
      <c r="K309" s="173">
        <f t="shared" ref="K309:AL309" si="184">IF(K$151=0,AVERAGE($K165:$AL165),K165)</f>
        <v>1.5095174376745131E-2</v>
      </c>
      <c r="L309" s="173">
        <f t="shared" si="184"/>
        <v>7.1430168855917492E-2</v>
      </c>
      <c r="M309" s="173">
        <f t="shared" si="184"/>
        <v>7.2815974729203162E-2</v>
      </c>
      <c r="N309" s="173">
        <f t="shared" si="184"/>
        <v>0.10791132153447269</v>
      </c>
      <c r="O309" s="173">
        <f t="shared" si="184"/>
        <v>0.1486107961745208</v>
      </c>
      <c r="P309" s="173">
        <f t="shared" si="184"/>
        <v>5.9993726390538862E-2</v>
      </c>
      <c r="Q309" s="173">
        <f t="shared" si="184"/>
        <v>0.17934549551046142</v>
      </c>
      <c r="R309" s="173">
        <f t="shared" si="184"/>
        <v>8.7890577645162907E-2</v>
      </c>
      <c r="S309" s="173">
        <f t="shared" si="184"/>
        <v>5.0801696263044913E-2</v>
      </c>
      <c r="T309" s="173">
        <f t="shared" si="184"/>
        <v>4.9410312446126661E-2</v>
      </c>
      <c r="U309" s="173">
        <f t="shared" si="184"/>
        <v>0.10663777048808387</v>
      </c>
      <c r="V309" s="173">
        <f t="shared" si="184"/>
        <v>7.6545096077575897E-2</v>
      </c>
      <c r="W309" s="173">
        <f t="shared" si="184"/>
        <v>2.7114547585167823E-2</v>
      </c>
      <c r="X309" s="173">
        <f t="shared" si="184"/>
        <v>9.7608000388611796E-2</v>
      </c>
      <c r="Y309" s="173">
        <f t="shared" si="184"/>
        <v>4.0219533911256204E-2</v>
      </c>
      <c r="Z309" s="173">
        <f t="shared" si="184"/>
        <v>7.8955151329637888E-2</v>
      </c>
      <c r="AA309" s="173">
        <f t="shared" si="184"/>
        <v>7.0887530382841693E-2</v>
      </c>
      <c r="AB309" s="173">
        <f t="shared" si="184"/>
        <v>0.11067255388346015</v>
      </c>
      <c r="AC309" s="173">
        <f t="shared" si="184"/>
        <v>6.7561110613933884E-2</v>
      </c>
      <c r="AD309" s="173">
        <f t="shared" si="184"/>
        <v>0.15560933102257535</v>
      </c>
      <c r="AE309" s="173">
        <f t="shared" si="184"/>
        <v>5.3106842998894031E-2</v>
      </c>
      <c r="AF309" s="173">
        <f t="shared" si="184"/>
        <v>0.13831857099076514</v>
      </c>
      <c r="AG309" s="173">
        <f t="shared" si="184"/>
        <v>0.11896877769875594</v>
      </c>
      <c r="AH309" s="173">
        <f t="shared" si="184"/>
        <v>5.0361755835179975E-2</v>
      </c>
      <c r="AI309" s="173">
        <f t="shared" si="184"/>
        <v>4.1871890624418449E-2</v>
      </c>
      <c r="AJ309" s="173">
        <f t="shared" si="184"/>
        <v>4.6944209864010766E-2</v>
      </c>
      <c r="AK309" s="173">
        <f t="shared" si="184"/>
        <v>0.15629758242851691</v>
      </c>
      <c r="AL309" s="173">
        <f t="shared" si="184"/>
        <v>9.8452449328474148E-2</v>
      </c>
    </row>
    <row r="310" spans="1:38">
      <c r="D310" t="str">
        <f>Commodities!$C$52</f>
        <v>OILLPG</v>
      </c>
      <c r="F310" t="s">
        <v>365</v>
      </c>
      <c r="G310" s="4" t="s">
        <v>705</v>
      </c>
      <c r="H310" t="s">
        <v>661</v>
      </c>
      <c r="I310">
        <v>2019</v>
      </c>
      <c r="J310" t="s">
        <v>650</v>
      </c>
      <c r="K310" s="173">
        <f t="shared" ref="K310:AL310" si="185">IF(K$151=0,AVERAGE($K166:$AL166),K166)</f>
        <v>8.515226571497253E-2</v>
      </c>
      <c r="L310" s="173">
        <f t="shared" si="185"/>
        <v>2.6255315859869639E-2</v>
      </c>
      <c r="M310" s="173">
        <f t="shared" si="185"/>
        <v>3.476440275772185E-2</v>
      </c>
      <c r="N310" s="173">
        <f t="shared" si="185"/>
        <v>4.4363859685037067E-2</v>
      </c>
      <c r="O310" s="173">
        <f t="shared" si="185"/>
        <v>2.0664286487071297E-2</v>
      </c>
      <c r="P310" s="173">
        <f t="shared" si="185"/>
        <v>0.10422334049681647</v>
      </c>
      <c r="Q310" s="173">
        <f t="shared" si="185"/>
        <v>3.1548657078991307E-2</v>
      </c>
      <c r="R310" s="173">
        <f t="shared" si="185"/>
        <v>2.3190181470807397E-2</v>
      </c>
      <c r="S310" s="173">
        <f t="shared" si="185"/>
        <v>4.4841353028597798E-2</v>
      </c>
      <c r="T310" s="173">
        <f t="shared" si="185"/>
        <v>4.740437865857805E-2</v>
      </c>
      <c r="U310" s="173">
        <f t="shared" si="185"/>
        <v>8.3299458314820246E-2</v>
      </c>
      <c r="V310" s="173">
        <f t="shared" si="185"/>
        <v>6.3414048543440155E-2</v>
      </c>
      <c r="W310" s="173">
        <f t="shared" si="185"/>
        <v>4.3208546078513432E-2</v>
      </c>
      <c r="X310" s="173">
        <f t="shared" si="185"/>
        <v>5.4994836790881414E-2</v>
      </c>
      <c r="Y310" s="173">
        <f t="shared" si="185"/>
        <v>4.292280728176915E-2</v>
      </c>
      <c r="Z310" s="173">
        <f t="shared" si="185"/>
        <v>3.0067395336755735E-2</v>
      </c>
      <c r="AA310" s="173">
        <f t="shared" si="185"/>
        <v>3.5818254514137719E-2</v>
      </c>
      <c r="AB310" s="173">
        <f t="shared" si="185"/>
        <v>2.3792279508578512E-2</v>
      </c>
      <c r="AC310" s="173">
        <f t="shared" si="185"/>
        <v>4.8732088547563092E-2</v>
      </c>
      <c r="AD310" s="173">
        <f t="shared" si="185"/>
        <v>2.3034615148573793E-2</v>
      </c>
      <c r="AE310" s="173">
        <f t="shared" si="185"/>
        <v>3.6482493989854148E-2</v>
      </c>
      <c r="AF310" s="173">
        <f t="shared" si="185"/>
        <v>3.1403414865109738E-2</v>
      </c>
      <c r="AG310" s="173">
        <f t="shared" si="185"/>
        <v>2.8080625428585883E-2</v>
      </c>
      <c r="AH310" s="173">
        <f t="shared" si="185"/>
        <v>1E-3</v>
      </c>
      <c r="AI310" s="173">
        <f t="shared" si="185"/>
        <v>0.21352803245536767</v>
      </c>
      <c r="AJ310" s="173">
        <f t="shared" si="185"/>
        <v>0.10931854612886585</v>
      </c>
      <c r="AK310" s="173">
        <f t="shared" si="185"/>
        <v>2.8742815027889553E-2</v>
      </c>
      <c r="AL310" s="173">
        <f t="shared" si="185"/>
        <v>1.340580876493574E-2</v>
      </c>
    </row>
    <row r="311" spans="1:38">
      <c r="D311" t="str">
        <f>Commodities!$C$53</f>
        <v>OILNAP</v>
      </c>
      <c r="F311" t="s">
        <v>365</v>
      </c>
      <c r="G311" s="4" t="s">
        <v>705</v>
      </c>
      <c r="H311" t="s">
        <v>661</v>
      </c>
      <c r="I311">
        <v>2019</v>
      </c>
      <c r="J311" t="s">
        <v>650</v>
      </c>
      <c r="K311" s="173">
        <f t="shared" ref="K311:AL311" si="186">IF(K$151=0,AVERAGE($K167:$AL167),K167)</f>
        <v>1.3934007116995506E-3</v>
      </c>
      <c r="L311" s="173">
        <f t="shared" si="186"/>
        <v>0.13780882404292943</v>
      </c>
      <c r="M311" s="173">
        <f t="shared" si="186"/>
        <v>1.2417475829142528E-2</v>
      </c>
      <c r="N311" s="173">
        <f t="shared" si="186"/>
        <v>2.5029417627180733E-2</v>
      </c>
      <c r="O311" s="173">
        <f t="shared" si="186"/>
        <v>1E-3</v>
      </c>
      <c r="P311" s="173">
        <f t="shared" si="186"/>
        <v>6.7474671970313817E-3</v>
      </c>
      <c r="Q311" s="173">
        <f t="shared" si="186"/>
        <v>0.11233195619638225</v>
      </c>
      <c r="R311" s="173">
        <f t="shared" si="186"/>
        <v>4.9209025210654518E-2</v>
      </c>
      <c r="S311" s="173">
        <f t="shared" si="186"/>
        <v>2.2026591651959242E-2</v>
      </c>
      <c r="T311" s="173">
        <f t="shared" si="186"/>
        <v>2.0587335582990363E-2</v>
      </c>
      <c r="U311" s="173">
        <f t="shared" si="186"/>
        <v>1.6307276353976611E-3</v>
      </c>
      <c r="V311" s="173">
        <f t="shared" si="186"/>
        <v>7.6258715470008426E-2</v>
      </c>
      <c r="W311" s="173">
        <f t="shared" si="186"/>
        <v>1.1791663179040764E-2</v>
      </c>
      <c r="X311" s="173">
        <f t="shared" si="186"/>
        <v>2.4247495569355453E-2</v>
      </c>
      <c r="Y311" s="173">
        <f t="shared" si="186"/>
        <v>5.3609212509948274E-2</v>
      </c>
      <c r="Z311" s="173">
        <f t="shared" si="186"/>
        <v>4.7427757221583322E-2</v>
      </c>
      <c r="AA311" s="173">
        <f t="shared" si="186"/>
        <v>4.6071743744028684E-2</v>
      </c>
      <c r="AB311" s="173">
        <f t="shared" si="186"/>
        <v>7.9657464684356454E-3</v>
      </c>
      <c r="AC311" s="173">
        <f t="shared" si="186"/>
        <v>6.7364080356879269E-2</v>
      </c>
      <c r="AD311" s="173">
        <f t="shared" si="186"/>
        <v>7.5338316272401701E-2</v>
      </c>
      <c r="AE311" s="173">
        <f t="shared" si="186"/>
        <v>7.2480022430954716E-3</v>
      </c>
      <c r="AF311" s="173">
        <f t="shared" si="186"/>
        <v>3.364761938959307E-2</v>
      </c>
      <c r="AG311" s="173">
        <f t="shared" si="186"/>
        <v>6.3864542363594914E-2</v>
      </c>
      <c r="AH311" s="173">
        <f t="shared" si="186"/>
        <v>4.985162028592547E-2</v>
      </c>
      <c r="AI311" s="173">
        <f t="shared" si="186"/>
        <v>1.7666836221976848E-2</v>
      </c>
      <c r="AJ311" s="173">
        <f t="shared" si="186"/>
        <v>8.9871415356650344E-2</v>
      </c>
      <c r="AK311" s="173">
        <f t="shared" si="186"/>
        <v>0.18413722046834807</v>
      </c>
      <c r="AL311" s="173">
        <f t="shared" si="186"/>
        <v>9.0949240089480306E-3</v>
      </c>
    </row>
    <row r="312" spans="1:38">
      <c r="D312" t="str">
        <f>Commodities!$C$55</f>
        <v>OILOPP</v>
      </c>
      <c r="F312" t="s">
        <v>365</v>
      </c>
      <c r="G312" s="4" t="s">
        <v>705</v>
      </c>
      <c r="H312" t="s">
        <v>661</v>
      </c>
      <c r="I312">
        <v>2019</v>
      </c>
      <c r="J312" t="s">
        <v>650</v>
      </c>
      <c r="K312" s="173">
        <f t="shared" ref="K312:AL313" si="187">IF(K$151=0,AVERAGE($K168:$AL168),K168)</f>
        <v>6.3519367796970427E-2</v>
      </c>
      <c r="L312" s="173">
        <f t="shared" si="187"/>
        <v>3.2179809560877314E-2</v>
      </c>
      <c r="M312" s="173">
        <f t="shared" si="187"/>
        <v>3.1637480298588629E-2</v>
      </c>
      <c r="N312" s="173">
        <f t="shared" si="187"/>
        <v>2.3173933019391392E-2</v>
      </c>
      <c r="O312" s="173">
        <f t="shared" si="187"/>
        <v>0.10870795967033178</v>
      </c>
      <c r="P312" s="173">
        <f t="shared" si="187"/>
        <v>8.683409640001602E-2</v>
      </c>
      <c r="Q312" s="173">
        <f t="shared" si="187"/>
        <v>6.2139602590264027E-2</v>
      </c>
      <c r="R312" s="173">
        <f t="shared" si="187"/>
        <v>3.4466037464419466E-2</v>
      </c>
      <c r="S312" s="173">
        <f t="shared" si="187"/>
        <v>0.11127316932063985</v>
      </c>
      <c r="T312" s="173">
        <f t="shared" si="187"/>
        <v>0.15054090131433789</v>
      </c>
      <c r="U312" s="173">
        <f t="shared" si="187"/>
        <v>3.8586797250924079E-2</v>
      </c>
      <c r="V312" s="173">
        <f t="shared" si="187"/>
        <v>0.27898732508072099</v>
      </c>
      <c r="W312" s="173">
        <f t="shared" si="187"/>
        <v>0.11222168745291705</v>
      </c>
      <c r="X312" s="173">
        <f t="shared" si="187"/>
        <v>5.3395260503095572E-2</v>
      </c>
      <c r="Y312" s="173">
        <f t="shared" si="187"/>
        <v>9.8923445152697742E-2</v>
      </c>
      <c r="Z312" s="173">
        <f t="shared" si="187"/>
        <v>0.11319172372762067</v>
      </c>
      <c r="AA312" s="173">
        <f t="shared" si="187"/>
        <v>5.5233670849125747E-2</v>
      </c>
      <c r="AB312" s="173">
        <f t="shared" si="187"/>
        <v>8.4905459520777771E-2</v>
      </c>
      <c r="AC312" s="173">
        <f t="shared" si="187"/>
        <v>0.17791711902339624</v>
      </c>
      <c r="AD312" s="173">
        <f t="shared" si="187"/>
        <v>8.1104853967607651E-2</v>
      </c>
      <c r="AE312" s="173">
        <f t="shared" si="187"/>
        <v>6.7449413523996443E-2</v>
      </c>
      <c r="AF312" s="173">
        <f t="shared" si="187"/>
        <v>0.10636443877350778</v>
      </c>
      <c r="AG312" s="173">
        <f t="shared" si="187"/>
        <v>6.9336850221039761E-2</v>
      </c>
      <c r="AH312" s="173">
        <f t="shared" si="187"/>
        <v>7.2393005491113729E-2</v>
      </c>
      <c r="AI312" s="173">
        <f t="shared" si="187"/>
        <v>1E-3</v>
      </c>
      <c r="AJ312" s="173">
        <f t="shared" si="187"/>
        <v>0.11624186667691318</v>
      </c>
      <c r="AK312" s="173">
        <f t="shared" si="187"/>
        <v>7.5203344892806473E-2</v>
      </c>
      <c r="AL312" s="173">
        <f t="shared" si="187"/>
        <v>9.8348420851102042E-2</v>
      </c>
    </row>
    <row r="313" spans="1:38">
      <c r="D313" t="str">
        <f>Commodities!C59</f>
        <v>GASHH2BYPRD</v>
      </c>
      <c r="F313" t="s">
        <v>365</v>
      </c>
      <c r="G313" s="4" t="s">
        <v>705</v>
      </c>
      <c r="H313" t="s">
        <v>661</v>
      </c>
      <c r="I313">
        <v>2019</v>
      </c>
      <c r="J313" t="s">
        <v>650</v>
      </c>
      <c r="K313" s="173">
        <f t="shared" si="187"/>
        <v>1.632947131343546E-2</v>
      </c>
      <c r="L313" s="173">
        <f t="shared" si="187"/>
        <v>7.4138255946316553E-3</v>
      </c>
      <c r="M313" s="173">
        <f t="shared" si="187"/>
        <v>1.0668121819181177E-2</v>
      </c>
      <c r="N313" s="173">
        <f t="shared" si="187"/>
        <v>1.3752135226987401E-2</v>
      </c>
      <c r="O313" s="173">
        <f t="shared" si="187"/>
        <v>1.1181797560784936E-2</v>
      </c>
      <c r="P313" s="173">
        <f t="shared" si="187"/>
        <v>2.2203909981370847E-2</v>
      </c>
      <c r="Q313" s="173">
        <f t="shared" si="187"/>
        <v>2.6831515521719102E-2</v>
      </c>
      <c r="R313" s="173">
        <f t="shared" si="187"/>
        <v>2.884101657038227E-2</v>
      </c>
      <c r="S313" s="173">
        <f t="shared" si="187"/>
        <v>6.3654066451918657E-3</v>
      </c>
      <c r="T313" s="173">
        <f t="shared" si="187"/>
        <v>2.4874683878411876E-2</v>
      </c>
      <c r="U313" s="173">
        <f t="shared" si="187"/>
        <v>6.8292825727423248E-3</v>
      </c>
      <c r="V313" s="173">
        <f t="shared" si="187"/>
        <v>2.8615265451716242E-2</v>
      </c>
      <c r="W313" s="173">
        <f t="shared" si="187"/>
        <v>1.7958120155026323E-2</v>
      </c>
      <c r="X313" s="173">
        <f t="shared" si="187"/>
        <v>1.8274164054757566E-2</v>
      </c>
      <c r="Y313" s="173">
        <f t="shared" si="187"/>
        <v>9.3332909817206607E-3</v>
      </c>
      <c r="Z313" s="173">
        <f t="shared" si="187"/>
        <v>9.3603962949059052E-3</v>
      </c>
      <c r="AA313" s="173">
        <f t="shared" si="187"/>
        <v>1.4618993273688707E-2</v>
      </c>
      <c r="AB313" s="173">
        <f t="shared" si="187"/>
        <v>3.0043420316138589E-2</v>
      </c>
      <c r="AC313" s="173">
        <f t="shared" si="187"/>
        <v>2.7320640734416136E-2</v>
      </c>
      <c r="AD313" s="173">
        <f t="shared" si="187"/>
        <v>2.7314355308626598E-2</v>
      </c>
      <c r="AE313" s="173">
        <f t="shared" si="187"/>
        <v>9.3183509759017201E-3</v>
      </c>
      <c r="AF313" s="173">
        <f t="shared" si="187"/>
        <v>1.446534569862133E-2</v>
      </c>
      <c r="AG313" s="173">
        <f t="shared" si="187"/>
        <v>2.3228380747956547E-2</v>
      </c>
      <c r="AH313" s="173">
        <f t="shared" si="187"/>
        <v>1.178361337309314E-2</v>
      </c>
      <c r="AI313" s="173">
        <f t="shared" si="187"/>
        <v>7.6084718349932459E-3</v>
      </c>
      <c r="AJ313" s="173">
        <f t="shared" si="187"/>
        <v>1.3364889392954169E-2</v>
      </c>
      <c r="AK313" s="173">
        <f t="shared" si="187"/>
        <v>2.7771824382201798E-2</v>
      </c>
      <c r="AL313" s="173">
        <f t="shared" si="187"/>
        <v>1.3540637115905422E-2</v>
      </c>
    </row>
    <row r="314" spans="1:38">
      <c r="C314" t="str">
        <f>Commodities!$C$104</f>
        <v>UREFBOI</v>
      </c>
      <c r="G314" s="4" t="s">
        <v>690</v>
      </c>
      <c r="J314" t="s">
        <v>2668</v>
      </c>
      <c r="K314" s="173">
        <f>IF(K$151=0,AVERAGE($K170:$AL170),K170)</f>
        <v>1.692748512232753E-3</v>
      </c>
      <c r="L314" s="173">
        <f t="shared" ref="L314:AL314" si="188">IF(L$151=0,AVERAGE($K170:$AL170),L170)</f>
        <v>3.3037460242976036E-3</v>
      </c>
      <c r="M314" s="173">
        <f t="shared" si="188"/>
        <v>3.0811668588983012E-3</v>
      </c>
      <c r="N314" s="173">
        <f t="shared" si="188"/>
        <v>1.8059558965093379E-4</v>
      </c>
      <c r="O314" s="173">
        <f t="shared" si="188"/>
        <v>7.4818052096809898E-3</v>
      </c>
      <c r="P314" s="173">
        <f t="shared" si="188"/>
        <v>3.6371807905773842E-3</v>
      </c>
      <c r="Q314" s="173">
        <f t="shared" si="188"/>
        <v>5.3599485752908694E-3</v>
      </c>
      <c r="R314" s="173">
        <f t="shared" si="188"/>
        <v>1.720494753488675E-3</v>
      </c>
      <c r="S314" s="173">
        <f t="shared" si="188"/>
        <v>4.6034265011576361E-3</v>
      </c>
      <c r="T314" s="173">
        <f t="shared" si="188"/>
        <v>5.4049916887883567E-3</v>
      </c>
      <c r="U314" s="173">
        <f t="shared" si="188"/>
        <v>1.0057778830974305E-2</v>
      </c>
      <c r="V314" s="173">
        <f t="shared" si="188"/>
        <v>2.7782342429587444E-2</v>
      </c>
      <c r="W314" s="173">
        <f t="shared" si="188"/>
        <v>1.7059766061717007E-2</v>
      </c>
      <c r="X314" s="173">
        <f t="shared" si="188"/>
        <v>8.6030046618912233E-3</v>
      </c>
      <c r="Y314" s="173">
        <f t="shared" si="188"/>
        <v>1.1201123384325305E-2</v>
      </c>
      <c r="Z314" s="173">
        <f t="shared" si="188"/>
        <v>1.5424536570591186E-2</v>
      </c>
      <c r="AA314" s="173">
        <f t="shared" si="188"/>
        <v>1.2804699299332076E-2</v>
      </c>
      <c r="AB314" s="173">
        <f t="shared" si="188"/>
        <v>1.4753207143107643E-2</v>
      </c>
      <c r="AC314" s="173">
        <f t="shared" si="188"/>
        <v>2.0501807471145661E-2</v>
      </c>
      <c r="AD314" s="173">
        <f t="shared" si="188"/>
        <v>1.168698724208591E-2</v>
      </c>
      <c r="AE314" s="173">
        <f t="shared" si="188"/>
        <v>1.5854920173403102E-2</v>
      </c>
      <c r="AF314" s="173">
        <f t="shared" si="188"/>
        <v>1.3653503913084238E-2</v>
      </c>
      <c r="AG314" s="173">
        <f t="shared" si="188"/>
        <v>6.6930294975519455E-3</v>
      </c>
      <c r="AH314" s="173">
        <f t="shared" si="188"/>
        <v>4.9260126894389134E-2</v>
      </c>
      <c r="AI314" s="173">
        <f t="shared" si="188"/>
        <v>1.3248881920759998E-2</v>
      </c>
      <c r="AJ314" s="173">
        <f t="shared" si="188"/>
        <v>9.5387673444928978E-3</v>
      </c>
      <c r="AK314" s="173">
        <f t="shared" si="188"/>
        <v>8.9713039812788949E-3</v>
      </c>
      <c r="AL314" s="173">
        <f t="shared" si="188"/>
        <v>7.4060144207416375E-3</v>
      </c>
    </row>
    <row r="315" spans="1:38">
      <c r="C315" t="str">
        <f>Commodities!$C$105</f>
        <v>UREFHET</v>
      </c>
      <c r="G315" s="4" t="s">
        <v>690</v>
      </c>
      <c r="J315" t="s">
        <v>2668</v>
      </c>
      <c r="K315" s="173">
        <f t="shared" ref="K315:AL315" si="189">IF(K$151=0,AVERAGE($K171:$AL171),K171)</f>
        <v>3.3854970244655059E-3</v>
      </c>
      <c r="L315" s="173">
        <f t="shared" si="189"/>
        <v>6.6165585986097892E-3</v>
      </c>
      <c r="M315" s="173">
        <f t="shared" si="189"/>
        <v>6.1625196303339057E-3</v>
      </c>
      <c r="N315" s="173">
        <f t="shared" si="189"/>
        <v>6.320845637782682E-4</v>
      </c>
      <c r="O315" s="173">
        <f t="shared" si="189"/>
        <v>1.5011424658946051E-2</v>
      </c>
      <c r="P315" s="173">
        <f t="shared" si="189"/>
        <v>7.3014741894573115E-3</v>
      </c>
      <c r="Q315" s="173">
        <f t="shared" si="189"/>
        <v>1.0719897150581739E-2</v>
      </c>
      <c r="R315" s="173">
        <f t="shared" si="189"/>
        <v>3.4409895069773501E-3</v>
      </c>
      <c r="S315" s="173">
        <f t="shared" si="189"/>
        <v>9.2517601743019942E-3</v>
      </c>
      <c r="T315" s="173">
        <f t="shared" si="189"/>
        <v>1.088533350347431E-2</v>
      </c>
      <c r="U315" s="173">
        <f t="shared" si="189"/>
        <v>2.0178212605805292E-2</v>
      </c>
      <c r="V315" s="173">
        <f t="shared" si="189"/>
        <v>5.5730697308937822E-2</v>
      </c>
      <c r="W315" s="173">
        <f t="shared" si="189"/>
        <v>3.4227757932473353E-2</v>
      </c>
      <c r="X315" s="173">
        <f t="shared" si="189"/>
        <v>1.726773097325392E-2</v>
      </c>
      <c r="Y315" s="173">
        <f t="shared" si="189"/>
        <v>2.2479949666364168E-2</v>
      </c>
      <c r="Z315" s="173">
        <f t="shared" si="189"/>
        <v>3.0911567804308031E-2</v>
      </c>
      <c r="AA315" s="173">
        <f t="shared" si="189"/>
        <v>2.5664182906115888E-2</v>
      </c>
      <c r="AB315" s="173">
        <f t="shared" si="189"/>
        <v>2.9506414286215286E-2</v>
      </c>
      <c r="AC315" s="173">
        <f t="shared" si="189"/>
        <v>4.1026137280831737E-2</v>
      </c>
      <c r="AD315" s="173">
        <f t="shared" si="189"/>
        <v>2.3440130252094717E-2</v>
      </c>
      <c r="AE315" s="173">
        <f t="shared" si="189"/>
        <v>3.1742365472821547E-2</v>
      </c>
      <c r="AF315" s="173">
        <f t="shared" si="189"/>
        <v>2.7368272156356677E-2</v>
      </c>
      <c r="AG315" s="173">
        <f t="shared" si="189"/>
        <v>1.3419408079528043E-2</v>
      </c>
      <c r="AH315" s="173">
        <f t="shared" si="189"/>
        <v>9.8564211655315953E-2</v>
      </c>
      <c r="AI315" s="173">
        <f t="shared" si="189"/>
        <v>2.6497763841519997E-2</v>
      </c>
      <c r="AJ315" s="173">
        <f t="shared" si="189"/>
        <v>1.9183642112529598E-2</v>
      </c>
      <c r="AK315" s="173">
        <f t="shared" si="189"/>
        <v>1.8041500223384584E-2</v>
      </c>
      <c r="AL315" s="173">
        <f t="shared" si="189"/>
        <v>1.4882256447028848E-2</v>
      </c>
    </row>
    <row r="316" spans="1:38">
      <c r="C316" t="str">
        <f>Commodities!$C$106</f>
        <v>UREFOTH</v>
      </c>
      <c r="G316" s="4" t="s">
        <v>690</v>
      </c>
      <c r="J316" t="s">
        <v>2668</v>
      </c>
      <c r="K316" s="173">
        <f t="shared" ref="K316:AL316" si="190">IF(K$151=0,AVERAGE($K172:$AL172),K172)</f>
        <v>1.5869517302182041E-4</v>
      </c>
      <c r="L316" s="173">
        <f t="shared" si="190"/>
        <v>8.4408598126233729E-4</v>
      </c>
      <c r="M316" s="173">
        <f t="shared" si="190"/>
        <v>2.9981661318897123E-4</v>
      </c>
      <c r="N316" s="173">
        <f t="shared" si="190"/>
        <v>1.598270968410764E-2</v>
      </c>
      <c r="O316" s="173">
        <f t="shared" si="190"/>
        <v>3.5194709838939466E-3</v>
      </c>
      <c r="P316" s="173">
        <f t="shared" si="190"/>
        <v>1.9389350509477746E-3</v>
      </c>
      <c r="Q316" s="173">
        <f t="shared" si="190"/>
        <v>5.0249517893351855E-4</v>
      </c>
      <c r="R316" s="173">
        <f t="shared" si="190"/>
        <v>1.6129638313956313E-4</v>
      </c>
      <c r="S316" s="173">
        <f t="shared" si="190"/>
        <v>3.0782876834510166E-3</v>
      </c>
      <c r="T316" s="173">
        <f t="shared" si="190"/>
        <v>4.947666015913503E-3</v>
      </c>
      <c r="U316" s="173">
        <f t="shared" si="190"/>
        <v>4.6356425189569951E-3</v>
      </c>
      <c r="V316" s="173">
        <f t="shared" si="190"/>
        <v>1.2388953360676847E-2</v>
      </c>
      <c r="W316" s="173">
        <f t="shared" si="190"/>
        <v>7.9779116885423124E-3</v>
      </c>
      <c r="X316" s="173">
        <f t="shared" si="190"/>
        <v>4.4442514027774604E-3</v>
      </c>
      <c r="Y316" s="173">
        <f t="shared" si="190"/>
        <v>5.6297198512734415E-3</v>
      </c>
      <c r="Z316" s="173">
        <f t="shared" si="190"/>
        <v>5.1293295114614333E-3</v>
      </c>
      <c r="AA316" s="173">
        <f t="shared" si="190"/>
        <v>4.4292906797486166E-3</v>
      </c>
      <c r="AB316" s="173">
        <f t="shared" si="190"/>
        <v>1.3831131696663403E-3</v>
      </c>
      <c r="AC316" s="173">
        <f t="shared" si="190"/>
        <v>3.2494547781460846E-3</v>
      </c>
      <c r="AD316" s="173">
        <f t="shared" si="190"/>
        <v>4.9947106259012218E-3</v>
      </c>
      <c r="AE316" s="173">
        <f t="shared" si="190"/>
        <v>3.4033483807859337E-3</v>
      </c>
      <c r="AF316" s="173">
        <f t="shared" si="190"/>
        <v>4.8907824523186831E-3</v>
      </c>
      <c r="AG316" s="173">
        <f t="shared" si="190"/>
        <v>2.5929831786437904E-3</v>
      </c>
      <c r="AH316" s="173">
        <f t="shared" si="190"/>
        <v>7.208903655413863E-3</v>
      </c>
      <c r="AI316" s="173">
        <f t="shared" si="190"/>
        <v>1.2420826800712487E-3</v>
      </c>
      <c r="AJ316" s="173">
        <f t="shared" si="190"/>
        <v>7.1479657136590997E-3</v>
      </c>
      <c r="AK316" s="173">
        <f t="shared" si="190"/>
        <v>6.6695223707241803E-3</v>
      </c>
      <c r="AL316" s="173">
        <f t="shared" si="190"/>
        <v>4.8333533537865516E-3</v>
      </c>
    </row>
    <row r="317" spans="1:38">
      <c r="C317" t="str">
        <f>Commodities!$C$107</f>
        <v>UREFHVA</v>
      </c>
      <c r="G317" s="4" t="s">
        <v>690</v>
      </c>
      <c r="J317" t="s">
        <v>2668</v>
      </c>
      <c r="K317" s="173">
        <f t="shared" ref="K317:AL317" si="191">IF(K$151=0,AVERAGE($K173:$AL173),K173)</f>
        <v>5.289839100727353E-5</v>
      </c>
      <c r="L317" s="173">
        <f t="shared" si="191"/>
        <v>1.4536374353537983E-4</v>
      </c>
      <c r="M317" s="173">
        <f t="shared" si="191"/>
        <v>9.7150183003455641E-5</v>
      </c>
      <c r="N317" s="173">
        <f t="shared" si="191"/>
        <v>1.2641691275565364E-3</v>
      </c>
      <c r="O317" s="173">
        <f t="shared" si="191"/>
        <v>4.5594340087020752E-4</v>
      </c>
      <c r="P317" s="173">
        <f t="shared" si="191"/>
        <v>2.3962255911110899E-4</v>
      </c>
      <c r="Q317" s="173">
        <f t="shared" si="191"/>
        <v>1.6749839297783967E-4</v>
      </c>
      <c r="R317" s="173">
        <f t="shared" si="191"/>
        <v>5.3765461046521095E-5</v>
      </c>
      <c r="S317" s="173">
        <f t="shared" si="191"/>
        <v>3.5248831468282686E-4</v>
      </c>
      <c r="T317" s="173">
        <f t="shared" si="191"/>
        <v>5.1897011684055329E-4</v>
      </c>
      <c r="U317" s="173">
        <f t="shared" si="191"/>
        <v>6.0539001513544566E-4</v>
      </c>
      <c r="V317" s="173">
        <f t="shared" si="191"/>
        <v>1.6394643737815799E-3</v>
      </c>
      <c r="W317" s="173">
        <f t="shared" si="191"/>
        <v>1.0359167605906094E-3</v>
      </c>
      <c r="X317" s="173">
        <f t="shared" si="191"/>
        <v>5.5559239218700308E-4</v>
      </c>
      <c r="Y317" s="173">
        <f t="shared" si="191"/>
        <v>7.1102981805441356E-4</v>
      </c>
      <c r="Z317" s="173">
        <f t="shared" si="191"/>
        <v>7.7235655693559733E-4</v>
      </c>
      <c r="AA317" s="173">
        <f t="shared" si="191"/>
        <v>6.5466561480694843E-4</v>
      </c>
      <c r="AB317" s="173">
        <f t="shared" si="191"/>
        <v>4.6103772322211384E-4</v>
      </c>
      <c r="AC317" s="173">
        <f t="shared" si="191"/>
        <v>7.4531651460901707E-4</v>
      </c>
      <c r="AD317" s="173">
        <f t="shared" si="191"/>
        <v>6.7256702312363799E-4</v>
      </c>
      <c r="AE317" s="173">
        <f t="shared" si="191"/>
        <v>6.4657257003180376E-4</v>
      </c>
      <c r="AF317" s="173">
        <f t="shared" si="191"/>
        <v>7.1129586461656164E-4</v>
      </c>
      <c r="AG317" s="173">
        <f t="shared" si="191"/>
        <v>3.6409145985235838E-4</v>
      </c>
      <c r="AH317" s="173">
        <f t="shared" si="191"/>
        <v>1.7435998870726614E-3</v>
      </c>
      <c r="AI317" s="173">
        <f t="shared" si="191"/>
        <v>4.1402756002374995E-4</v>
      </c>
      <c r="AJ317" s="173">
        <f t="shared" si="191"/>
        <v>7.9104388472932133E-4</v>
      </c>
      <c r="AK317" s="173">
        <f t="shared" si="191"/>
        <v>7.3979021117278818E-4</v>
      </c>
      <c r="AL317" s="173">
        <f t="shared" si="191"/>
        <v>5.5770370141196941E-4</v>
      </c>
    </row>
    <row r="318" spans="1:38">
      <c r="A318" s="236"/>
      <c r="B318" s="236"/>
      <c r="C318" s="236" t="str">
        <f>Commodities!$C$102</f>
        <v>UPSH2G</v>
      </c>
      <c r="D318" s="236"/>
      <c r="E318" s="236"/>
      <c r="F318" s="236"/>
      <c r="G318" s="259" t="s">
        <v>690</v>
      </c>
      <c r="H318" s="236"/>
      <c r="I318" s="236"/>
      <c r="J318" s="236" t="s">
        <v>2668</v>
      </c>
      <c r="K318" s="226">
        <f t="shared" ref="K318:AL318" si="192">IF(K$151=0,AVERAGE($K174:$AL174),K174)</f>
        <v>1.5498103869678898E-2</v>
      </c>
      <c r="L318" s="226">
        <f t="shared" si="192"/>
        <v>1.2142344225417387E-2</v>
      </c>
      <c r="M318" s="226">
        <f t="shared" si="192"/>
        <v>1.3558628661716017E-2</v>
      </c>
      <c r="N318" s="226">
        <f t="shared" si="192"/>
        <v>1.3946211839264011E-2</v>
      </c>
      <c r="O318" s="226">
        <f t="shared" si="192"/>
        <v>1.41447175668147E-2</v>
      </c>
      <c r="P318" s="226">
        <f t="shared" si="192"/>
        <v>2.4199137238803861E-2</v>
      </c>
      <c r="Q318" s="226">
        <f t="shared" si="192"/>
        <v>2.6558363686155034E-2</v>
      </c>
      <c r="R318" s="226">
        <f t="shared" si="192"/>
        <v>2.7179898705734774E-2</v>
      </c>
      <c r="S318" s="226">
        <f t="shared" si="192"/>
        <v>1.4683969589361943E-2</v>
      </c>
      <c r="T318" s="226">
        <f t="shared" si="192"/>
        <v>3.0466867100362324E-2</v>
      </c>
      <c r="U318" s="226">
        <f t="shared" si="192"/>
        <v>1.5498103869678899E-2</v>
      </c>
      <c r="V318" s="226">
        <f t="shared" si="192"/>
        <v>3.2731654299927138E-2</v>
      </c>
      <c r="W318" s="226">
        <f t="shared" si="192"/>
        <v>2.0774633392468864E-2</v>
      </c>
      <c r="X318" s="226">
        <f t="shared" si="192"/>
        <v>1.8621077289162964E-2</v>
      </c>
      <c r="Y318" s="226">
        <f t="shared" si="192"/>
        <v>2.1583569571078917E-2</v>
      </c>
      <c r="Z318" s="226">
        <f t="shared" si="192"/>
        <v>2.1660985340842532E-2</v>
      </c>
      <c r="AA318" s="226">
        <f t="shared" si="192"/>
        <v>2.1199473921111281E-2</v>
      </c>
      <c r="AB318" s="226">
        <f t="shared" si="192"/>
        <v>2.7909538184776712E-2</v>
      </c>
      <c r="AC318" s="226">
        <f t="shared" si="192"/>
        <v>4.0065646360942168E-2</v>
      </c>
      <c r="AD318" s="226">
        <f t="shared" si="192"/>
        <v>2.808156242549675E-2</v>
      </c>
      <c r="AE318" s="226">
        <f t="shared" si="192"/>
        <v>1.3232614320376387E-2</v>
      </c>
      <c r="AF318" s="226">
        <f t="shared" si="192"/>
        <v>2.8565773178211438E-2</v>
      </c>
      <c r="AG318" s="226">
        <f t="shared" si="192"/>
        <v>3.2830866017442735E-2</v>
      </c>
      <c r="AH318" s="226">
        <f t="shared" si="192"/>
        <v>2.5615032041046253E-2</v>
      </c>
      <c r="AI318" s="226">
        <f t="shared" si="192"/>
        <v>1.5498103869678898E-2</v>
      </c>
      <c r="AJ318" s="226">
        <f t="shared" si="192"/>
        <v>1.3548962134850392E-2</v>
      </c>
      <c r="AK318" s="226">
        <f t="shared" si="192"/>
        <v>2.8616896850160424E-2</v>
      </c>
      <c r="AL318" s="226">
        <f t="shared" si="192"/>
        <v>2.6802640602358319E-2</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36F91-A849-48E1-9D8E-8BD05956561D}">
  <sheetPr>
    <tabColor theme="9" tint="0.39997558519241921"/>
  </sheetPr>
  <dimension ref="A1:AU807"/>
  <sheetViews>
    <sheetView workbookViewId="0">
      <pane xSplit="9" ySplit="9" topLeftCell="AG27" activePane="bottomRight" state="frozen"/>
      <selection pane="topRight" activeCell="J1" sqref="J1"/>
      <selection pane="bottomLeft" activeCell="A10" sqref="A10"/>
      <selection pane="bottomRight" activeCell="AK8" sqref="AK8"/>
    </sheetView>
  </sheetViews>
  <sheetFormatPr defaultRowHeight="15.6"/>
  <cols>
    <col min="1" max="1" width="22.69921875" bestFit="1" customWidth="1"/>
    <col min="2" max="2" width="65.3984375" bestFit="1" customWidth="1"/>
    <col min="3" max="3" width="8.5" bestFit="1" customWidth="1"/>
    <col min="4" max="4" width="9.8984375" bestFit="1" customWidth="1"/>
    <col min="5" max="5" width="10.5" bestFit="1" customWidth="1"/>
    <col min="6" max="6" width="8.69921875" bestFit="1" customWidth="1"/>
    <col min="7" max="7" width="11.5" bestFit="1" customWidth="1"/>
    <col min="8" max="8" width="7.3984375" bestFit="1" customWidth="1"/>
    <col min="9" max="9" width="4.8984375" bestFit="1" customWidth="1"/>
    <col min="10" max="10" width="16.3984375" bestFit="1" customWidth="1"/>
    <col min="11" max="11" width="9.09765625" bestFit="1" customWidth="1"/>
    <col min="12" max="12" width="10.09765625" bestFit="1" customWidth="1"/>
    <col min="13" max="13" width="9.09765625" bestFit="1" customWidth="1"/>
    <col min="14" max="15" width="10.09765625" bestFit="1" customWidth="1"/>
    <col min="16" max="16" width="9.09765625" bestFit="1" customWidth="1"/>
    <col min="17" max="17" width="10.09765625" bestFit="1" customWidth="1"/>
    <col min="18" max="18" width="9.09765625" bestFit="1" customWidth="1"/>
    <col min="19" max="20" width="10.09765625" bestFit="1" customWidth="1"/>
    <col min="21" max="21" width="9.09765625" bestFit="1" customWidth="1"/>
    <col min="22" max="22" width="12.59765625" bestFit="1" customWidth="1"/>
    <col min="23" max="25" width="10.09765625" bestFit="1" customWidth="1"/>
    <col min="26" max="27" width="11.09765625" bestFit="1" customWidth="1"/>
    <col min="28" max="28" width="10.09765625" bestFit="1" customWidth="1"/>
    <col min="29" max="31" width="11.09765625" bestFit="1" customWidth="1"/>
    <col min="32" max="32" width="10.09765625" bestFit="1" customWidth="1"/>
    <col min="33" max="33" width="11.09765625" bestFit="1" customWidth="1"/>
    <col min="34" max="34" width="10.09765625" bestFit="1" customWidth="1"/>
    <col min="35" max="35" width="9.09765625" bestFit="1" customWidth="1"/>
    <col min="36" max="36" width="11.09765625" bestFit="1" customWidth="1"/>
    <col min="37" max="37" width="10.09765625" bestFit="1" customWidth="1"/>
    <col min="38" max="38" width="11.09765625" bestFit="1" customWidth="1"/>
    <col min="40" max="40" width="21.59765625" bestFit="1" customWidth="1"/>
    <col min="41" max="41" width="22.69921875" bestFit="1" customWidth="1"/>
    <col min="42" max="42" width="65.3984375" bestFit="1" customWidth="1"/>
    <col min="43" max="43" width="6" bestFit="1" customWidth="1"/>
    <col min="44" max="44" width="6.8984375" bestFit="1" customWidth="1"/>
    <col min="45" max="45" width="7.3984375" bestFit="1" customWidth="1"/>
    <col min="46" max="46" width="9.09765625" bestFit="1" customWidth="1"/>
    <col min="47" max="47" width="6.8984375" bestFit="1" customWidth="1"/>
  </cols>
  <sheetData>
    <row r="1" spans="1:47" s="4" customFormat="1" ht="23.4">
      <c r="A1" s="253" t="s">
        <v>708</v>
      </c>
    </row>
    <row r="2" spans="1:47" s="4" customFormat="1" ht="18">
      <c r="A2" s="8" t="s">
        <v>663</v>
      </c>
      <c r="B2" s="4" t="str">
        <f>Legend!B163&amp;" &amp; "&amp;Legend!B166</f>
        <v>S1 &amp; S4</v>
      </c>
    </row>
    <row r="3" spans="1:47" s="4" customFormat="1"/>
    <row r="4" spans="1:47" s="4" customFormat="1" ht="18">
      <c r="A4" s="8"/>
      <c r="G4"/>
      <c r="H4"/>
      <c r="L4" s="254"/>
      <c r="AN4" s="8" t="s">
        <v>665</v>
      </c>
    </row>
    <row r="5" spans="1:47" s="4" customFormat="1" ht="18">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2"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5.2">
      <c r="A8" s="241" t="s">
        <v>639</v>
      </c>
      <c r="B8" s="241" t="s">
        <v>668</v>
      </c>
      <c r="C8" s="241" t="s">
        <v>656</v>
      </c>
      <c r="D8" s="241" t="s">
        <v>657</v>
      </c>
      <c r="E8" s="241"/>
      <c r="F8" s="241"/>
      <c r="G8" s="241"/>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s="4" customFormat="1">
      <c r="A10" s="4" t="str">
        <f>AO10</f>
        <v>U-TRF-OILREFBOI_GAS00</v>
      </c>
      <c r="B10" s="4" t="str">
        <f>AP10</f>
        <v>UPS Transformation: Oil refinery boilers Gas - Existing</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"U-TRF-OILREFBOI_GAS00"</f>
        <v>U-TRF-OILREFBOI_GAS00</v>
      </c>
      <c r="AP10" t="str">
        <f>"UPS Transformation: Oil refinery boilers Gas - Existing"</f>
        <v>UPS Transformation: Oil refinery boilers Gas - Existing</v>
      </c>
      <c r="AQ10" s="4" t="s">
        <v>112</v>
      </c>
      <c r="AR10" s="4" t="s">
        <v>2671</v>
      </c>
    </row>
    <row r="11" spans="1:47" s="4" customFormat="1">
      <c r="G11" s="4" t="s">
        <v>697</v>
      </c>
      <c r="J11" s="4" t="s">
        <v>698</v>
      </c>
      <c r="K11" s="424">
        <f>'Key inputs_Refineries'!$F$172</f>
        <v>15</v>
      </c>
      <c r="L11" s="424">
        <f>'Key inputs_Refineries'!$F$172</f>
        <v>15</v>
      </c>
      <c r="M11" s="424">
        <f>'Key inputs_Refineries'!$F$172</f>
        <v>15</v>
      </c>
      <c r="N11" s="424">
        <f>'Key inputs_Refineries'!$F$172</f>
        <v>15</v>
      </c>
      <c r="O11" s="424">
        <f>'Key inputs_Refineries'!$F$172</f>
        <v>15</v>
      </c>
      <c r="P11" s="424">
        <f>'Key inputs_Refineries'!$F$172</f>
        <v>15</v>
      </c>
      <c r="Q11" s="424">
        <f>'Key inputs_Refineries'!$F$172</f>
        <v>15</v>
      </c>
      <c r="R11" s="424">
        <f>'Key inputs_Refineries'!$F$172</f>
        <v>15</v>
      </c>
      <c r="S11" s="424">
        <f>'Key inputs_Refineries'!$F$172</f>
        <v>15</v>
      </c>
      <c r="T11" s="424">
        <f>'Key inputs_Refineries'!$F$172</f>
        <v>15</v>
      </c>
      <c r="U11" s="424">
        <f>'Key inputs_Refineries'!$F$172</f>
        <v>15</v>
      </c>
      <c r="V11" s="424">
        <f>'Key inputs_Refineries'!$F$172</f>
        <v>15</v>
      </c>
      <c r="W11" s="424">
        <f>'Key inputs_Refineries'!$F$172</f>
        <v>15</v>
      </c>
      <c r="X11" s="424">
        <f>'Key inputs_Refineries'!$F$172</f>
        <v>15</v>
      </c>
      <c r="Y11" s="424">
        <f>'Key inputs_Refineries'!$F$172</f>
        <v>15</v>
      </c>
      <c r="Z11" s="424">
        <f>'Key inputs_Refineries'!$F$172</f>
        <v>15</v>
      </c>
      <c r="AA11" s="424">
        <f>'Key inputs_Refineries'!$F$172</f>
        <v>15</v>
      </c>
      <c r="AB11" s="424">
        <f>'Key inputs_Refineries'!$F$172</f>
        <v>15</v>
      </c>
      <c r="AC11" s="424">
        <f>'Key inputs_Refineries'!$F$172</f>
        <v>15</v>
      </c>
      <c r="AD11" s="424">
        <f>'Key inputs_Refineries'!$F$172</f>
        <v>15</v>
      </c>
      <c r="AE11" s="424">
        <f>'Key inputs_Refineries'!$F$172</f>
        <v>15</v>
      </c>
      <c r="AF11" s="424">
        <f>'Key inputs_Refineries'!$F$172</f>
        <v>15</v>
      </c>
      <c r="AG11" s="424">
        <f>'Key inputs_Refineries'!$F$172</f>
        <v>15</v>
      </c>
      <c r="AH11" s="424">
        <f>'Key inputs_Refineries'!$F$172</f>
        <v>15</v>
      </c>
      <c r="AI11" s="424">
        <f>'Key inputs_Refineries'!$F$172</f>
        <v>15</v>
      </c>
      <c r="AJ11" s="424">
        <f>'Key inputs_Refineries'!$F$172</f>
        <v>15</v>
      </c>
      <c r="AK11" s="424">
        <f>'Key inputs_Refineries'!$F$172</f>
        <v>15</v>
      </c>
      <c r="AL11" s="424">
        <f>'Key inputs_Refineries'!$F$172</f>
        <v>15</v>
      </c>
      <c r="AN11" s="4" t="s">
        <v>651</v>
      </c>
      <c r="AO11" t="str">
        <f>"U-TRF-OILREFBOI_OIL00"</f>
        <v>U-TRF-OILREFBOI_OIL00</v>
      </c>
      <c r="AP11" t="str">
        <f>"UPS Transformation: Oil refinery boilers Petroleum product - Existing"</f>
        <v>UPS Transformation: Oil refinery boilers Petroleum product - Existing</v>
      </c>
      <c r="AQ11" s="4" t="s">
        <v>112</v>
      </c>
      <c r="AR11" s="4" t="s">
        <v>2671</v>
      </c>
    </row>
    <row r="12" spans="1:47" s="4" customFormat="1">
      <c r="G12" s="4" t="s">
        <v>699</v>
      </c>
      <c r="I12" s="4">
        <v>2019</v>
      </c>
      <c r="J12" s="4" t="s">
        <v>112</v>
      </c>
      <c r="K12" s="347" cm="1">
        <f t="array" ref="K12">-SUM(SUMIFS('Key inputs_Refineries'!E$85:E$164,'Key inputs_Refineries'!$C$85:$C$164,$C20:$C21,'Key inputs_Refineries'!$B$85:$B$164,"Boiler"))*K19/10^3</f>
        <v>0</v>
      </c>
      <c r="L12" s="347" cm="1">
        <f t="array" ref="L12">-SUM(SUMIFS('Key inputs_Refineries'!F$85:F$164,'Key inputs_Refineries'!$C$85:$C$164,$C20:$C21,'Key inputs_Refineries'!$B$85:$B$164,"Boiler"))*L19/10^3</f>
        <v>2.2322590546330843</v>
      </c>
      <c r="M12" s="347" cm="1">
        <f t="array" ref="M12">-SUM(SUMIFS('Key inputs_Refineries'!G$85:G$164,'Key inputs_Refineries'!$C$85:$C$164,$C20:$C21,'Key inputs_Refineries'!$B$85:$B$164,"Boiler"))*M19/10^3</f>
        <v>0.288205322791867</v>
      </c>
      <c r="N12" s="347" cm="1">
        <f t="array" ref="N12">-SUM(SUMIFS('Key inputs_Refineries'!H$85:H$164,'Key inputs_Refineries'!$C$85:$C$164,$C20:$C21,'Key inputs_Refineries'!$B$85:$B$164,"Boiler"))*N19/10^3</f>
        <v>0</v>
      </c>
      <c r="O12" s="347" cm="1">
        <f t="array" ref="O12">-SUM(SUMIFS('Key inputs_Refineries'!I$85:I$164,'Key inputs_Refineries'!$C$85:$C$164,$C20:$C21,'Key inputs_Refineries'!$B$85:$B$164,"Boiler"))*O19/10^3</f>
        <v>0.58270524911909316</v>
      </c>
      <c r="P12" s="347" cm="1">
        <f t="array" ref="P12">-SUM(SUMIFS('Key inputs_Refineries'!J$85:J$164,'Key inputs_Refineries'!$C$85:$C$164,$C20:$C21,'Key inputs_Refineries'!$B$85:$B$164,"Boiler"))*P19/10^3</f>
        <v>0.47813824385598636</v>
      </c>
      <c r="Q12" s="347" cm="1">
        <f t="array" ref="Q12">-SUM(SUMIFS('Key inputs_Refineries'!K$85:K$164,'Key inputs_Refineries'!$C$85:$C$164,$C20:$C21,'Key inputs_Refineries'!$B$85:$B$164,"Boiler"))*Q19/10^3</f>
        <v>0.13819218453455867</v>
      </c>
      <c r="R12" s="347" cm="1">
        <f t="array" ref="R12">-SUM(SUMIFS('Key inputs_Refineries'!L$85:L$164,'Key inputs_Refineries'!$C$85:$C$164,$C20:$C21,'Key inputs_Refineries'!$B$85:$B$164,"Boiler"))*R19/10^3</f>
        <v>0</v>
      </c>
      <c r="S12" s="347" cm="1">
        <f t="array" ref="S12">-SUM(SUMIFS('Key inputs_Refineries'!M$85:M$164,'Key inputs_Refineries'!$C$85:$C$164,$C20:$C21,'Key inputs_Refineries'!$B$85:$B$164,"Boiler"))*S19/10^3</f>
        <v>11.249269887955087</v>
      </c>
      <c r="T12" s="347" cm="1">
        <f t="array" ref="T12">-SUM(SUMIFS('Key inputs_Refineries'!N$85:N$164,'Key inputs_Refineries'!$C$85:$C$164,$C20:$C21,'Key inputs_Refineries'!$B$85:$B$164,"Boiler"))*T19/10^3</f>
        <v>3.598622300435717</v>
      </c>
      <c r="U12" s="347" cm="1">
        <f t="array" ref="U12">-SUM(SUMIFS('Key inputs_Refineries'!O$85:O$164,'Key inputs_Refineries'!$C$85:$C$164,$C20:$C21,'Key inputs_Refineries'!$B$85:$B$164,"Boiler"))*U19/10^3</f>
        <v>0.59831361746428557</v>
      </c>
      <c r="V12" s="347" cm="1">
        <f t="array" ref="V12">-SUM(SUMIFS('Key inputs_Refineries'!P$85:P$164,'Key inputs_Refineries'!$C$85:$C$164,$C20:$C21,'Key inputs_Refineries'!$B$85:$B$164,"Boiler"))*V19/10^3</f>
        <v>36.684842630246187</v>
      </c>
      <c r="W12" s="347" cm="1">
        <f t="array" ref="W12">-SUM(SUMIFS('Key inputs_Refineries'!Q$85:Q$164,'Key inputs_Refineries'!$C$85:$C$164,$C20:$C21,'Key inputs_Refineries'!$B$85:$B$164,"Boiler"))*W19/10^3</f>
        <v>2.1035247575222931</v>
      </c>
      <c r="X12" s="347" cm="1">
        <f t="array" ref="X12">-SUM(SUMIFS('Key inputs_Refineries'!R$85:R$164,'Key inputs_Refineries'!$C$85:$C$164,$C20:$C21,'Key inputs_Refineries'!$B$85:$B$164,"Boiler"))*X19/10^3</f>
        <v>2.2426581368444913</v>
      </c>
      <c r="Y12" s="347" cm="1">
        <f t="array" ref="Y12">-SUM(SUMIFS('Key inputs_Refineries'!S$85:S$164,'Key inputs_Refineries'!$C$85:$C$164,$C20:$C21,'Key inputs_Refineries'!$B$85:$B$164,"Boiler"))*Y19/10^3</f>
        <v>4.1380670982003371</v>
      </c>
      <c r="Z12" s="347" cm="1">
        <f t="array" ref="Z12">-SUM(SUMIFS('Key inputs_Refineries'!T$85:T$164,'Key inputs_Refineries'!$C$85:$C$164,$C20:$C21,'Key inputs_Refineries'!$B$85:$B$164,"Boiler"))*Z19/10^3</f>
        <v>9.5210593379916197</v>
      </c>
      <c r="AA12" s="347" cm="1">
        <f t="array" ref="AA12">-SUM(SUMIFS('Key inputs_Refineries'!U$85:U$164,'Key inputs_Refineries'!$C$85:$C$164,$C20:$C21,'Key inputs_Refineries'!$B$85:$B$164,"Boiler"))*AA19/10^3</f>
        <v>12.85228638546746</v>
      </c>
      <c r="AB12" s="347" cm="1">
        <f t="array" ref="AB12">-SUM(SUMIFS('Key inputs_Refineries'!V$85:V$164,'Key inputs_Refineries'!$C$85:$C$164,$C20:$C21,'Key inputs_Refineries'!$B$85:$B$164,"Boiler"))*AB19/10^3</f>
        <v>0</v>
      </c>
      <c r="AC12" s="347" cm="1">
        <f t="array" ref="AC12">-SUM(SUMIFS('Key inputs_Refineries'!W$85:W$164,'Key inputs_Refineries'!$C$85:$C$164,$C20:$C21,'Key inputs_Refineries'!$B$85:$B$164,"Boiler"))*AC19/10^3</f>
        <v>25.665181830968251</v>
      </c>
      <c r="AD12" s="347" cm="1">
        <f t="array" ref="AD12">-SUM(SUMIFS('Key inputs_Refineries'!X$85:X$164,'Key inputs_Refineries'!$C$85:$C$164,$C20:$C21,'Key inputs_Refineries'!$B$85:$B$164,"Boiler"))*AD19/10^3</f>
        <v>2.0754490707116062</v>
      </c>
      <c r="AE12" s="347" cm="1">
        <f t="array" ref="AE12">-SUM(SUMIFS('Key inputs_Refineries'!Y$85:Y$164,'Key inputs_Refineries'!$C$85:$C$164,$C20:$C21,'Key inputs_Refineries'!$B$85:$B$164,"Boiler"))*AE19/10^3</f>
        <v>4.299041109625783</v>
      </c>
      <c r="AF12" s="347" cm="1">
        <f t="array" ref="AF12">-SUM(SUMIFS('Key inputs_Refineries'!Z$85:Z$164,'Key inputs_Refineries'!$C$85:$C$164,$C20:$C21,'Key inputs_Refineries'!$B$85:$B$164,"Boiler"))*AF19/10^3</f>
        <v>3.6202750905581267</v>
      </c>
      <c r="AG12" s="347" cm="1">
        <f t="array" ref="AG12">-SUM(SUMIFS('Key inputs_Refineries'!AA$85:AA$164,'Key inputs_Refineries'!$C$85:$C$164,$C20:$C21,'Key inputs_Refineries'!$B$85:$B$164,"Boiler"))*AG19/10^3</f>
        <v>19.905732528530727</v>
      </c>
      <c r="AH12" s="347" cm="1">
        <f t="array" ref="AH12">-SUM(SUMIFS('Key inputs_Refineries'!AB$85:AB$164,'Key inputs_Refineries'!$C$85:$C$164,$C20:$C21,'Key inputs_Refineries'!$B$85:$B$164,"Boiler"))*AH19/10^3</f>
        <v>32.824189431968136</v>
      </c>
      <c r="AI12" s="347" cm="1">
        <f t="array" ref="AI12">-SUM(SUMIFS('Key inputs_Refineries'!AC$85:AC$164,'Key inputs_Refineries'!$C$85:$C$164,$C20:$C21,'Key inputs_Refineries'!$B$85:$B$164,"Boiler"))*AI19/10^3</f>
        <v>0.69454281202978085</v>
      </c>
      <c r="AJ12" s="347" cm="1">
        <f t="array" ref="AJ12">-SUM(SUMIFS('Key inputs_Refineries'!AD$85:AD$164,'Key inputs_Refineries'!$C$85:$C$164,$C20:$C21,'Key inputs_Refineries'!$B$85:$B$164,"Boiler"))*AJ19/10^3</f>
        <v>0</v>
      </c>
      <c r="AK12" s="347" cm="1">
        <f t="array" ref="AK12">-SUM(SUMIFS('Key inputs_Refineries'!AE$85:AE$164,'Key inputs_Refineries'!$C$85:$C$164,$C20:$C21,'Key inputs_Refineries'!$B$85:$B$164,"Boiler"))*AK19/10^3</f>
        <v>0</v>
      </c>
      <c r="AL12" s="347" cm="1">
        <f t="array" ref="AL12">-SUM(SUMIFS('Key inputs_Refineries'!AF$85:AF$164,'Key inputs_Refineries'!$C$85:$C$164,$C20:$C21,'Key inputs_Refineries'!$B$85:$B$164,"Boiler"))*AL19/10^3</f>
        <v>63.451839752354473</v>
      </c>
      <c r="AN12" s="4" t="s">
        <v>651</v>
      </c>
      <c r="AO12" t="str">
        <f>"U-TRF-OILREFBOI_BIO00"</f>
        <v>U-TRF-OILREFBOI_BIO00</v>
      </c>
      <c r="AP12" t="str">
        <f>"UPS Transformation: Oil refinery boilers Biomass - Existing"</f>
        <v>UPS Transformation: Oil refinery boilers Biomass - Existing</v>
      </c>
      <c r="AQ12" s="4" t="s">
        <v>112</v>
      </c>
      <c r="AR12" s="4" t="s">
        <v>2671</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c r="AN13" s="4" t="s">
        <v>651</v>
      </c>
      <c r="AO13" t="str">
        <f>"U-TRF-OILREFBOI_COA00"</f>
        <v>U-TRF-OILREFBOI_COA00</v>
      </c>
      <c r="AP13" t="str">
        <f>"UPS Transformation: Oil refinery boilers Coal - Existing"</f>
        <v>UPS Transformation: Oil refinery boilers Coal - Existing</v>
      </c>
      <c r="AQ13" s="4" t="s">
        <v>112</v>
      </c>
      <c r="AR13" s="4" t="s">
        <v>2671</v>
      </c>
      <c r="AS13" s="4"/>
      <c r="AT13" s="4"/>
      <c r="AU13" s="4"/>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c r="AN14" s="4" t="s">
        <v>651</v>
      </c>
      <c r="AO14" t="str">
        <f>"U-TRF-OILREFBOI_ELC00"</f>
        <v>U-TRF-OILREFBOI_ELC00</v>
      </c>
      <c r="AP14" t="str">
        <f>"UPS Transformation: Oil refinery boilers Electricity - Existing"</f>
        <v>UPS Transformation: Oil refinery boilers Electricity - Existing</v>
      </c>
      <c r="AQ14" s="4" t="s">
        <v>112</v>
      </c>
      <c r="AR14" s="4" t="s">
        <v>2671</v>
      </c>
      <c r="AS14" s="4"/>
      <c r="AT14" s="4"/>
      <c r="AU14" s="4"/>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c r="AN15" s="4" t="s">
        <v>651</v>
      </c>
      <c r="AO15" t="str">
        <f>"U-TRF-OILREFBOI_HET00"</f>
        <v>U-TRF-OILREFBOI_HET00</v>
      </c>
      <c r="AP15" t="str">
        <f>"UPS Transformation: Oil refinery boilers Heat - Existing"</f>
        <v>UPS Transformation: Oil refinery boilers Heat - Existing</v>
      </c>
      <c r="AQ15" s="4" t="s">
        <v>112</v>
      </c>
      <c r="AR15" s="4" t="s">
        <v>2671</v>
      </c>
      <c r="AS15" s="4"/>
      <c r="AT15" s="4"/>
      <c r="AU15" s="4"/>
    </row>
    <row r="16" spans="1:47">
      <c r="G16" s="4" t="s">
        <v>687</v>
      </c>
      <c r="H16" s="4"/>
      <c r="I16" s="4"/>
      <c r="J16" s="4" t="s">
        <v>2663</v>
      </c>
      <c r="K16" s="174">
        <f>'Key inputs_Refineries'!$C$172*10^3</f>
        <v>1387.5840000000001</v>
      </c>
      <c r="L16" s="174">
        <f>'Key inputs_Refineries'!$C$172*10^3</f>
        <v>1387.5840000000001</v>
      </c>
      <c r="M16" s="174">
        <f>'Key inputs_Refineries'!$C$172*10^3</f>
        <v>1387.5840000000001</v>
      </c>
      <c r="N16" s="174">
        <f>'Key inputs_Refineries'!$C$172*10^3</f>
        <v>1387.5840000000001</v>
      </c>
      <c r="O16" s="174">
        <f>'Key inputs_Refineries'!$C$172*10^3</f>
        <v>1387.5840000000001</v>
      </c>
      <c r="P16" s="174">
        <f>'Key inputs_Refineries'!$C$172*10^3</f>
        <v>1387.5840000000001</v>
      </c>
      <c r="Q16" s="174">
        <f>'Key inputs_Refineries'!$C$172*10^3</f>
        <v>1387.5840000000001</v>
      </c>
      <c r="R16" s="174">
        <f>'Key inputs_Refineries'!$C$172*10^3</f>
        <v>1387.5840000000001</v>
      </c>
      <c r="S16" s="174">
        <f>'Key inputs_Refineries'!$C$172*10^3</f>
        <v>1387.5840000000001</v>
      </c>
      <c r="T16" s="174">
        <f>'Key inputs_Refineries'!$C$172*10^3</f>
        <v>1387.5840000000001</v>
      </c>
      <c r="U16" s="174">
        <f>'Key inputs_Refineries'!$C$172*10^3</f>
        <v>1387.5840000000001</v>
      </c>
      <c r="V16" s="174">
        <f>'Key inputs_Refineries'!$C$172*10^3</f>
        <v>1387.5840000000001</v>
      </c>
      <c r="W16" s="174">
        <f>'Key inputs_Refineries'!$C$172*10^3</f>
        <v>1387.5840000000001</v>
      </c>
      <c r="X16" s="174">
        <f>'Key inputs_Refineries'!$C$172*10^3</f>
        <v>1387.5840000000001</v>
      </c>
      <c r="Y16" s="174">
        <f>'Key inputs_Refineries'!$C$172*10^3</f>
        <v>1387.5840000000001</v>
      </c>
      <c r="Z16" s="174">
        <f>'Key inputs_Refineries'!$C$172*10^3</f>
        <v>1387.5840000000001</v>
      </c>
      <c r="AA16" s="174">
        <f>'Key inputs_Refineries'!$C$172*10^3</f>
        <v>1387.5840000000001</v>
      </c>
      <c r="AB16" s="174">
        <f>'Key inputs_Refineries'!$C$172*10^3</f>
        <v>1387.5840000000001</v>
      </c>
      <c r="AC16" s="174">
        <f>'Key inputs_Refineries'!$C$172*10^3</f>
        <v>1387.5840000000001</v>
      </c>
      <c r="AD16" s="174">
        <f>'Key inputs_Refineries'!$C$172*10^3</f>
        <v>1387.5840000000001</v>
      </c>
      <c r="AE16" s="174">
        <f>'Key inputs_Refineries'!$C$172*10^3</f>
        <v>1387.5840000000001</v>
      </c>
      <c r="AF16" s="174">
        <f>'Key inputs_Refineries'!$C$172*10^3</f>
        <v>1387.5840000000001</v>
      </c>
      <c r="AG16" s="174">
        <f>'Key inputs_Refineries'!$C$172*10^3</f>
        <v>1387.5840000000001</v>
      </c>
      <c r="AH16" s="174">
        <f>'Key inputs_Refineries'!$C$172*10^3</f>
        <v>1387.5840000000001</v>
      </c>
      <c r="AI16" s="174">
        <f>'Key inputs_Refineries'!$C$172*10^3</f>
        <v>1387.5840000000001</v>
      </c>
      <c r="AJ16" s="174">
        <f>'Key inputs_Refineries'!$C$172*10^3</f>
        <v>1387.5840000000001</v>
      </c>
      <c r="AK16" s="174">
        <f>'Key inputs_Refineries'!$C$172*10^3</f>
        <v>1387.5840000000001</v>
      </c>
      <c r="AL16" s="174">
        <f>'Key inputs_Refineries'!$C$172*10^3</f>
        <v>1387.5840000000001</v>
      </c>
      <c r="AN16" s="4" t="s">
        <v>651</v>
      </c>
      <c r="AO16" t="str">
        <f>"U-TRF-OILREFHET_GAS00"</f>
        <v>U-TRF-OILREFHET_GAS00</v>
      </c>
      <c r="AP16" t="str">
        <f>"UPS Transformation: Oil refinery process heat Gas - Existing"</f>
        <v>UPS Transformation: Oil refinery process heat Gas - Existing</v>
      </c>
      <c r="AQ16" s="4" t="s">
        <v>112</v>
      </c>
      <c r="AR16" s="4" t="s">
        <v>2671</v>
      </c>
      <c r="AS16" s="4"/>
      <c r="AT16" s="4"/>
      <c r="AU16" s="4"/>
    </row>
    <row r="17" spans="1:47">
      <c r="G17" s="4" t="s">
        <v>689</v>
      </c>
      <c r="H17" s="4"/>
      <c r="I17" s="4"/>
      <c r="J17" s="4" t="s">
        <v>2663</v>
      </c>
      <c r="K17" s="174">
        <f>'Key inputs_Refineries'!$D$172*10^3</f>
        <v>12.614400000000002</v>
      </c>
      <c r="L17" s="174">
        <f>'Key inputs_Refineries'!$D$172*10^3</f>
        <v>12.614400000000002</v>
      </c>
      <c r="M17" s="174">
        <f>'Key inputs_Refineries'!$D$172*10^3</f>
        <v>12.614400000000002</v>
      </c>
      <c r="N17" s="174">
        <f>'Key inputs_Refineries'!$D$172*10^3</f>
        <v>12.614400000000002</v>
      </c>
      <c r="O17" s="174">
        <f>'Key inputs_Refineries'!$D$172*10^3</f>
        <v>12.614400000000002</v>
      </c>
      <c r="P17" s="174">
        <f>'Key inputs_Refineries'!$D$172*10^3</f>
        <v>12.614400000000002</v>
      </c>
      <c r="Q17" s="174">
        <f>'Key inputs_Refineries'!$D$172*10^3</f>
        <v>12.614400000000002</v>
      </c>
      <c r="R17" s="174">
        <f>'Key inputs_Refineries'!$D$172*10^3</f>
        <v>12.614400000000002</v>
      </c>
      <c r="S17" s="174">
        <f>'Key inputs_Refineries'!$D$172*10^3</f>
        <v>12.614400000000002</v>
      </c>
      <c r="T17" s="174">
        <f>'Key inputs_Refineries'!$D$172*10^3</f>
        <v>12.614400000000002</v>
      </c>
      <c r="U17" s="174">
        <f>'Key inputs_Refineries'!$D$172*10^3</f>
        <v>12.614400000000002</v>
      </c>
      <c r="V17" s="174">
        <f>'Key inputs_Refineries'!$D$172*10^3</f>
        <v>12.614400000000002</v>
      </c>
      <c r="W17" s="174">
        <f>'Key inputs_Refineries'!$D$172*10^3</f>
        <v>12.614400000000002</v>
      </c>
      <c r="X17" s="174">
        <f>'Key inputs_Refineries'!$D$172*10^3</f>
        <v>12.614400000000002</v>
      </c>
      <c r="Y17" s="174">
        <f>'Key inputs_Refineries'!$D$172*10^3</f>
        <v>12.614400000000002</v>
      </c>
      <c r="Z17" s="174">
        <f>'Key inputs_Refineries'!$D$172*10^3</f>
        <v>12.614400000000002</v>
      </c>
      <c r="AA17" s="174">
        <f>'Key inputs_Refineries'!$D$172*10^3</f>
        <v>12.614400000000002</v>
      </c>
      <c r="AB17" s="174">
        <f>'Key inputs_Refineries'!$D$172*10^3</f>
        <v>12.614400000000002</v>
      </c>
      <c r="AC17" s="174">
        <f>'Key inputs_Refineries'!$D$172*10^3</f>
        <v>12.614400000000002</v>
      </c>
      <c r="AD17" s="174">
        <f>'Key inputs_Refineries'!$D$172*10^3</f>
        <v>12.614400000000002</v>
      </c>
      <c r="AE17" s="174">
        <f>'Key inputs_Refineries'!$D$172*10^3</f>
        <v>12.614400000000002</v>
      </c>
      <c r="AF17" s="174">
        <f>'Key inputs_Refineries'!$D$172*10^3</f>
        <v>12.614400000000002</v>
      </c>
      <c r="AG17" s="174">
        <f>'Key inputs_Refineries'!$D$172*10^3</f>
        <v>12.614400000000002</v>
      </c>
      <c r="AH17" s="174">
        <f>'Key inputs_Refineries'!$D$172*10^3</f>
        <v>12.614400000000002</v>
      </c>
      <c r="AI17" s="174">
        <f>'Key inputs_Refineries'!$D$172*10^3</f>
        <v>12.614400000000002</v>
      </c>
      <c r="AJ17" s="174">
        <f>'Key inputs_Refineries'!$D$172*10^3</f>
        <v>12.614400000000002</v>
      </c>
      <c r="AK17" s="174">
        <f>'Key inputs_Refineries'!$D$172*10^3</f>
        <v>12.614400000000002</v>
      </c>
      <c r="AL17" s="174">
        <f>'Key inputs_Refineries'!$D$172*10^3</f>
        <v>12.614400000000002</v>
      </c>
      <c r="AN17" s="4" t="s">
        <v>651</v>
      </c>
      <c r="AO17" t="str">
        <f>"U-TRF-OILREFHET_OIL00"</f>
        <v>U-TRF-OILREFHET_OIL00</v>
      </c>
      <c r="AP17" t="str">
        <f>"UPS Transformation: Oil refinery process heat Petroleum product - Existing"</f>
        <v>UPS Transformation: Oil refinery process heat Petroleum product - Existing</v>
      </c>
      <c r="AQ17" s="4" t="s">
        <v>112</v>
      </c>
      <c r="AR17" s="4" t="s">
        <v>2671</v>
      </c>
      <c r="AS17" s="4"/>
      <c r="AT17" s="4"/>
      <c r="AU17" s="4"/>
    </row>
    <row r="18" spans="1:47">
      <c r="G18" s="4" t="s">
        <v>675</v>
      </c>
      <c r="H18" s="4"/>
      <c r="I18" s="4"/>
      <c r="J18" s="4" t="s">
        <v>2662</v>
      </c>
      <c r="AN18" s="4" t="s">
        <v>651</v>
      </c>
      <c r="AO18" t="str">
        <f>"U-TRF-OILREFHET_BIO00"</f>
        <v>U-TRF-OILREFHET_BIO00</v>
      </c>
      <c r="AP18" t="str">
        <f>"UPS Transformation: Oil refinery process heat Biomass - Existing"</f>
        <v>UPS Transformation: Oil refinery process heat Biomass - Existing</v>
      </c>
      <c r="AQ18" s="4" t="s">
        <v>112</v>
      </c>
      <c r="AR18" s="4" t="s">
        <v>2671</v>
      </c>
      <c r="AS18" s="4"/>
      <c r="AT18" s="4"/>
      <c r="AU18" s="4"/>
    </row>
    <row r="19" spans="1:47">
      <c r="G19" s="4" t="s">
        <v>630</v>
      </c>
      <c r="H19" s="4"/>
      <c r="I19" s="4"/>
      <c r="J19" s="4" t="s">
        <v>2666</v>
      </c>
      <c r="K19" s="419">
        <f>'Key inputs_Refineries'!$H$172</f>
        <v>0.82</v>
      </c>
      <c r="L19" s="419">
        <f>'Key inputs_Refineries'!$H$172</f>
        <v>0.82</v>
      </c>
      <c r="M19" s="419">
        <f>'Key inputs_Refineries'!$H$172</f>
        <v>0.82</v>
      </c>
      <c r="N19" s="419">
        <f>'Key inputs_Refineries'!$H$172</f>
        <v>0.82</v>
      </c>
      <c r="O19" s="419">
        <f>'Key inputs_Refineries'!$H$172</f>
        <v>0.82</v>
      </c>
      <c r="P19" s="419">
        <f>'Key inputs_Refineries'!$H$172</f>
        <v>0.82</v>
      </c>
      <c r="Q19" s="419">
        <f>'Key inputs_Refineries'!$H$172</f>
        <v>0.82</v>
      </c>
      <c r="R19" s="419">
        <f>'Key inputs_Refineries'!$H$172</f>
        <v>0.82</v>
      </c>
      <c r="S19" s="419">
        <f>'Key inputs_Refineries'!$H$172</f>
        <v>0.82</v>
      </c>
      <c r="T19" s="419">
        <f>'Key inputs_Refineries'!$H$172</f>
        <v>0.82</v>
      </c>
      <c r="U19" s="419">
        <f>'Key inputs_Refineries'!$H$172</f>
        <v>0.82</v>
      </c>
      <c r="V19" s="419">
        <f>'Key inputs_Refineries'!$H$172</f>
        <v>0.82</v>
      </c>
      <c r="W19" s="419">
        <f>'Key inputs_Refineries'!$H$172</f>
        <v>0.82</v>
      </c>
      <c r="X19" s="419">
        <f>'Key inputs_Refineries'!$H$172</f>
        <v>0.82</v>
      </c>
      <c r="Y19" s="419">
        <f>'Key inputs_Refineries'!$H$172</f>
        <v>0.82</v>
      </c>
      <c r="Z19" s="419">
        <f>'Key inputs_Refineries'!$H$172</f>
        <v>0.82</v>
      </c>
      <c r="AA19" s="419">
        <f>'Key inputs_Refineries'!$H$172</f>
        <v>0.82</v>
      </c>
      <c r="AB19" s="419">
        <f>'Key inputs_Refineries'!$H$172</f>
        <v>0.82</v>
      </c>
      <c r="AC19" s="419">
        <f>'Key inputs_Refineries'!$H$172</f>
        <v>0.82</v>
      </c>
      <c r="AD19" s="419">
        <f>'Key inputs_Refineries'!$H$172</f>
        <v>0.82</v>
      </c>
      <c r="AE19" s="419">
        <f>'Key inputs_Refineries'!$H$172</f>
        <v>0.82</v>
      </c>
      <c r="AF19" s="419">
        <f>'Key inputs_Refineries'!$H$172</f>
        <v>0.82</v>
      </c>
      <c r="AG19" s="419">
        <f>'Key inputs_Refineries'!$H$172</f>
        <v>0.82</v>
      </c>
      <c r="AH19" s="419">
        <f>'Key inputs_Refineries'!$H$172</f>
        <v>0.82</v>
      </c>
      <c r="AI19" s="419">
        <f>'Key inputs_Refineries'!$H$172</f>
        <v>0.82</v>
      </c>
      <c r="AJ19" s="419">
        <f>'Key inputs_Refineries'!$H$172</f>
        <v>0.82</v>
      </c>
      <c r="AK19" s="419">
        <f>'Key inputs_Refineries'!$H$172</f>
        <v>0.82</v>
      </c>
      <c r="AL19" s="419">
        <f>'Key inputs_Refineries'!$H$172</f>
        <v>0.82</v>
      </c>
      <c r="AN19" s="4" t="s">
        <v>651</v>
      </c>
      <c r="AO19" t="str">
        <f>"U-TRF-OILREFHET_COA00"</f>
        <v>U-TRF-OILREFHET_COA00</v>
      </c>
      <c r="AP19" t="str">
        <f>"UPS Transformation: Oil refinery process heat Coal - Existing"</f>
        <v>UPS Transformation: Oil refinery process heat Coal - Existing</v>
      </c>
      <c r="AQ19" s="4" t="s">
        <v>112</v>
      </c>
      <c r="AR19" s="4" t="s">
        <v>2671</v>
      </c>
      <c r="AS19" s="4"/>
      <c r="AT19" s="4"/>
      <c r="AU19" s="4"/>
    </row>
    <row r="20" spans="1:47">
      <c r="C20" t="str">
        <f>Commodities!$C$92</f>
        <v>UPSGAS</v>
      </c>
      <c r="G20" s="4" t="s">
        <v>702</v>
      </c>
      <c r="H20" t="s">
        <v>661</v>
      </c>
      <c r="I20">
        <v>2019</v>
      </c>
      <c r="J20" s="4" t="s">
        <v>650</v>
      </c>
      <c r="K20" s="173" cm="1">
        <f t="array" ref="K20">IFERROR(IF(AND(SUMIFS('Key inputs_Refineries'!E$85:E$164,'Key inputs_Refineries'!$C$85:$C$164,$C20,'Key inputs_Refineries'!$B$85:$B$164,"Boiler")/SUM(SUMIFS('Key inputs_Refineries'!E$85:E$164,'Key inputs_Refineries'!$C$85:$C$164,$C20:$C21,'Key inputs_Refineries'!$B$85:$B$164,"Boiler"))&gt;0,SUMIFS('Key inputs_Refineries'!E$85:E$164,'Key inputs_Refineries'!$C$85:$C$164,$C20,'Key inputs_Refineries'!$B$85:$B$164,"Boiler")/SUM(SUMIFS('Key inputs_Refineries'!E$85:E$164,'Key inputs_Refineries'!$C$85:$C$164,$C20:$C21,'Key inputs_Refineries'!$B$85:$B$164,"Boiler"))&lt;0.001),0.001,SUMIFS('Key inputs_Refineries'!E$85:E$164,'Key inputs_Refineries'!$C$85:$C$164,$C20,'Key inputs_Refineries'!$B$85:$B$164,"Boiler")/SUM(SUMIFS('Key inputs_Refineries'!E$85:E$164,'Key inputs_Refineries'!$C$85:$C$164,$C20:$C21,'Key inputs_Refineries'!$B$85:$B$164,"Boiler"))),0)</f>
        <v>0</v>
      </c>
      <c r="L20" s="173" cm="1">
        <f t="array" ref="L20">IFERROR(IF(AND(SUMIFS('Key inputs_Refineries'!F$85:F$164,'Key inputs_Refineries'!$C$85:$C$164,$C20,'Key inputs_Refineries'!$B$85:$B$164,"Boiler")/SUM(SUMIFS('Key inputs_Refineries'!F$85:F$164,'Key inputs_Refineries'!$C$85:$C$164,$C20:$C21,'Key inputs_Refineries'!$B$85:$B$164,"Boiler"))&gt;0,SUMIFS('Key inputs_Refineries'!F$85:F$164,'Key inputs_Refineries'!$C$85:$C$164,$C20,'Key inputs_Refineries'!$B$85:$B$164,"Boiler")/SUM(SUMIFS('Key inputs_Refineries'!F$85:F$164,'Key inputs_Refineries'!$C$85:$C$164,$C20:$C21,'Key inputs_Refineries'!$B$85:$B$164,"Boiler"))&lt;0.001),0.001,SUMIFS('Key inputs_Refineries'!F$85:F$164,'Key inputs_Refineries'!$C$85:$C$164,$C20,'Key inputs_Refineries'!$B$85:$B$164,"Boiler")/SUM(SUMIFS('Key inputs_Refineries'!F$85:F$164,'Key inputs_Refineries'!$C$85:$C$164,$C20:$C21,'Key inputs_Refineries'!$B$85:$B$164,"Boiler"))),0)</f>
        <v>1</v>
      </c>
      <c r="M20" s="173" cm="1">
        <f t="array" ref="M20">IFERROR(IF(AND(SUMIFS('Key inputs_Refineries'!G$85:G$164,'Key inputs_Refineries'!$C$85:$C$164,$C20,'Key inputs_Refineries'!$B$85:$B$164,"Boiler")/SUM(SUMIFS('Key inputs_Refineries'!G$85:G$164,'Key inputs_Refineries'!$C$85:$C$164,$C20:$C21,'Key inputs_Refineries'!$B$85:$B$164,"Boiler"))&gt;0,SUMIFS('Key inputs_Refineries'!G$85:G$164,'Key inputs_Refineries'!$C$85:$C$164,$C20,'Key inputs_Refineries'!$B$85:$B$164,"Boiler")/SUM(SUMIFS('Key inputs_Refineries'!G$85:G$164,'Key inputs_Refineries'!$C$85:$C$164,$C20:$C21,'Key inputs_Refineries'!$B$85:$B$164,"Boiler"))&lt;0.001),0.001,SUMIFS('Key inputs_Refineries'!G$85:G$164,'Key inputs_Refineries'!$C$85:$C$164,$C20,'Key inputs_Refineries'!$B$85:$B$164,"Boiler")/SUM(SUMIFS('Key inputs_Refineries'!G$85:G$164,'Key inputs_Refineries'!$C$85:$C$164,$C20:$C21,'Key inputs_Refineries'!$B$85:$B$164,"Boiler"))),0)</f>
        <v>1</v>
      </c>
      <c r="N20" s="173" cm="1">
        <f t="array" ref="N20">IFERROR(IF(AND(SUMIFS('Key inputs_Refineries'!H$85:H$164,'Key inputs_Refineries'!$C$85:$C$164,$C20,'Key inputs_Refineries'!$B$85:$B$164,"Boiler")/SUM(SUMIFS('Key inputs_Refineries'!H$85:H$164,'Key inputs_Refineries'!$C$85:$C$164,$C20:$C21,'Key inputs_Refineries'!$B$85:$B$164,"Boiler"))&gt;0,SUMIFS('Key inputs_Refineries'!H$85:H$164,'Key inputs_Refineries'!$C$85:$C$164,$C20,'Key inputs_Refineries'!$B$85:$B$164,"Boiler")/SUM(SUMIFS('Key inputs_Refineries'!H$85:H$164,'Key inputs_Refineries'!$C$85:$C$164,$C20:$C21,'Key inputs_Refineries'!$B$85:$B$164,"Boiler"))&lt;0.001),0.001,SUMIFS('Key inputs_Refineries'!H$85:H$164,'Key inputs_Refineries'!$C$85:$C$164,$C20,'Key inputs_Refineries'!$B$85:$B$164,"Boiler")/SUM(SUMIFS('Key inputs_Refineries'!H$85:H$164,'Key inputs_Refineries'!$C$85:$C$164,$C20:$C21,'Key inputs_Refineries'!$B$85:$B$164,"Boiler"))),0)</f>
        <v>0</v>
      </c>
      <c r="O20" s="173" cm="1">
        <f t="array" ref="O20">IFERROR(IF(AND(SUMIFS('Key inputs_Refineries'!I$85:I$164,'Key inputs_Refineries'!$C$85:$C$164,$C20,'Key inputs_Refineries'!$B$85:$B$164,"Boiler")/SUM(SUMIFS('Key inputs_Refineries'!I$85:I$164,'Key inputs_Refineries'!$C$85:$C$164,$C20:$C21,'Key inputs_Refineries'!$B$85:$B$164,"Boiler"))&gt;0,SUMIFS('Key inputs_Refineries'!I$85:I$164,'Key inputs_Refineries'!$C$85:$C$164,$C20,'Key inputs_Refineries'!$B$85:$B$164,"Boiler")/SUM(SUMIFS('Key inputs_Refineries'!I$85:I$164,'Key inputs_Refineries'!$C$85:$C$164,$C20:$C21,'Key inputs_Refineries'!$B$85:$B$164,"Boiler"))&lt;0.001),0.001,SUMIFS('Key inputs_Refineries'!I$85:I$164,'Key inputs_Refineries'!$C$85:$C$164,$C20,'Key inputs_Refineries'!$B$85:$B$164,"Boiler")/SUM(SUMIFS('Key inputs_Refineries'!I$85:I$164,'Key inputs_Refineries'!$C$85:$C$164,$C20:$C21,'Key inputs_Refineries'!$B$85:$B$164,"Boiler"))),0)</f>
        <v>1</v>
      </c>
      <c r="P20" s="173" cm="1">
        <f t="array" ref="P20">IFERROR(IF(AND(SUMIFS('Key inputs_Refineries'!J$85:J$164,'Key inputs_Refineries'!$C$85:$C$164,$C20,'Key inputs_Refineries'!$B$85:$B$164,"Boiler")/SUM(SUMIFS('Key inputs_Refineries'!J$85:J$164,'Key inputs_Refineries'!$C$85:$C$164,$C20:$C21,'Key inputs_Refineries'!$B$85:$B$164,"Boiler"))&gt;0,SUMIFS('Key inputs_Refineries'!J$85:J$164,'Key inputs_Refineries'!$C$85:$C$164,$C20,'Key inputs_Refineries'!$B$85:$B$164,"Boiler")/SUM(SUMIFS('Key inputs_Refineries'!J$85:J$164,'Key inputs_Refineries'!$C$85:$C$164,$C20:$C21,'Key inputs_Refineries'!$B$85:$B$164,"Boiler"))&lt;0.001),0.001,SUMIFS('Key inputs_Refineries'!J$85:J$164,'Key inputs_Refineries'!$C$85:$C$164,$C20,'Key inputs_Refineries'!$B$85:$B$164,"Boiler")/SUM(SUMIFS('Key inputs_Refineries'!J$85:J$164,'Key inputs_Refineries'!$C$85:$C$164,$C20:$C21,'Key inputs_Refineries'!$B$85:$B$164,"Boiler"))),0)</f>
        <v>1</v>
      </c>
      <c r="Q20" s="173" cm="1">
        <f t="array" ref="Q20">IFERROR(IF(AND(SUMIFS('Key inputs_Refineries'!K$85:K$164,'Key inputs_Refineries'!$C$85:$C$164,$C20,'Key inputs_Refineries'!$B$85:$B$164,"Boiler")/SUM(SUMIFS('Key inputs_Refineries'!K$85:K$164,'Key inputs_Refineries'!$C$85:$C$164,$C20:$C21,'Key inputs_Refineries'!$B$85:$B$164,"Boiler"))&gt;0,SUMIFS('Key inputs_Refineries'!K$85:K$164,'Key inputs_Refineries'!$C$85:$C$164,$C20,'Key inputs_Refineries'!$B$85:$B$164,"Boiler")/SUM(SUMIFS('Key inputs_Refineries'!K$85:K$164,'Key inputs_Refineries'!$C$85:$C$164,$C20:$C21,'Key inputs_Refineries'!$B$85:$B$164,"Boiler"))&lt;0.001),0.001,SUMIFS('Key inputs_Refineries'!K$85:K$164,'Key inputs_Refineries'!$C$85:$C$164,$C20,'Key inputs_Refineries'!$B$85:$B$164,"Boiler")/SUM(SUMIFS('Key inputs_Refineries'!K$85:K$164,'Key inputs_Refineries'!$C$85:$C$164,$C20:$C21,'Key inputs_Refineries'!$B$85:$B$164,"Boiler"))),0)</f>
        <v>1</v>
      </c>
      <c r="R20" s="173" cm="1">
        <f t="array" ref="R20">IFERROR(IF(AND(SUMIFS('Key inputs_Refineries'!L$85:L$164,'Key inputs_Refineries'!$C$85:$C$164,$C20,'Key inputs_Refineries'!$B$85:$B$164,"Boiler")/SUM(SUMIFS('Key inputs_Refineries'!L$85:L$164,'Key inputs_Refineries'!$C$85:$C$164,$C20:$C21,'Key inputs_Refineries'!$B$85:$B$164,"Boiler"))&gt;0,SUMIFS('Key inputs_Refineries'!L$85:L$164,'Key inputs_Refineries'!$C$85:$C$164,$C20,'Key inputs_Refineries'!$B$85:$B$164,"Boiler")/SUM(SUMIFS('Key inputs_Refineries'!L$85:L$164,'Key inputs_Refineries'!$C$85:$C$164,$C20:$C21,'Key inputs_Refineries'!$B$85:$B$164,"Boiler"))&lt;0.001),0.001,SUMIFS('Key inputs_Refineries'!L$85:L$164,'Key inputs_Refineries'!$C$85:$C$164,$C20,'Key inputs_Refineries'!$B$85:$B$164,"Boiler")/SUM(SUMIFS('Key inputs_Refineries'!L$85:L$164,'Key inputs_Refineries'!$C$85:$C$164,$C20:$C21,'Key inputs_Refineries'!$B$85:$B$164,"Boiler"))),0)</f>
        <v>0</v>
      </c>
      <c r="S20" s="173" cm="1">
        <f t="array" ref="S20">IFERROR(IF(AND(SUMIFS('Key inputs_Refineries'!M$85:M$164,'Key inputs_Refineries'!$C$85:$C$164,$C20,'Key inputs_Refineries'!$B$85:$B$164,"Boiler")/SUM(SUMIFS('Key inputs_Refineries'!M$85:M$164,'Key inputs_Refineries'!$C$85:$C$164,$C20:$C21,'Key inputs_Refineries'!$B$85:$B$164,"Boiler"))&gt;0,SUMIFS('Key inputs_Refineries'!M$85:M$164,'Key inputs_Refineries'!$C$85:$C$164,$C20,'Key inputs_Refineries'!$B$85:$B$164,"Boiler")/SUM(SUMIFS('Key inputs_Refineries'!M$85:M$164,'Key inputs_Refineries'!$C$85:$C$164,$C20:$C21,'Key inputs_Refineries'!$B$85:$B$164,"Boiler"))&lt;0.001),0.001,SUMIFS('Key inputs_Refineries'!M$85:M$164,'Key inputs_Refineries'!$C$85:$C$164,$C20,'Key inputs_Refineries'!$B$85:$B$164,"Boiler")/SUM(SUMIFS('Key inputs_Refineries'!M$85:M$164,'Key inputs_Refineries'!$C$85:$C$164,$C20:$C21,'Key inputs_Refineries'!$B$85:$B$164,"Boiler"))),0)</f>
        <v>1</v>
      </c>
      <c r="T20" s="173" cm="1">
        <f t="array" ref="T20">IFERROR(IF(AND(SUMIFS('Key inputs_Refineries'!N$85:N$164,'Key inputs_Refineries'!$C$85:$C$164,$C20,'Key inputs_Refineries'!$B$85:$B$164,"Boiler")/SUM(SUMIFS('Key inputs_Refineries'!N$85:N$164,'Key inputs_Refineries'!$C$85:$C$164,$C20:$C21,'Key inputs_Refineries'!$B$85:$B$164,"Boiler"))&gt;0,SUMIFS('Key inputs_Refineries'!N$85:N$164,'Key inputs_Refineries'!$C$85:$C$164,$C20,'Key inputs_Refineries'!$B$85:$B$164,"Boiler")/SUM(SUMIFS('Key inputs_Refineries'!N$85:N$164,'Key inputs_Refineries'!$C$85:$C$164,$C20:$C21,'Key inputs_Refineries'!$B$85:$B$164,"Boiler"))&lt;0.001),0.001,SUMIFS('Key inputs_Refineries'!N$85:N$164,'Key inputs_Refineries'!$C$85:$C$164,$C20,'Key inputs_Refineries'!$B$85:$B$164,"Boiler")/SUM(SUMIFS('Key inputs_Refineries'!N$85:N$164,'Key inputs_Refineries'!$C$85:$C$164,$C20:$C21,'Key inputs_Refineries'!$B$85:$B$164,"Boiler"))),0)</f>
        <v>1</v>
      </c>
      <c r="U20" s="173" cm="1">
        <f t="array" ref="U20">IFERROR(IF(AND(SUMIFS('Key inputs_Refineries'!O$85:O$164,'Key inputs_Refineries'!$C$85:$C$164,$C20,'Key inputs_Refineries'!$B$85:$B$164,"Boiler")/SUM(SUMIFS('Key inputs_Refineries'!O$85:O$164,'Key inputs_Refineries'!$C$85:$C$164,$C20:$C21,'Key inputs_Refineries'!$B$85:$B$164,"Boiler"))&gt;0,SUMIFS('Key inputs_Refineries'!O$85:O$164,'Key inputs_Refineries'!$C$85:$C$164,$C20,'Key inputs_Refineries'!$B$85:$B$164,"Boiler")/SUM(SUMIFS('Key inputs_Refineries'!O$85:O$164,'Key inputs_Refineries'!$C$85:$C$164,$C20:$C21,'Key inputs_Refineries'!$B$85:$B$164,"Boiler"))&lt;0.001),0.001,SUMIFS('Key inputs_Refineries'!O$85:O$164,'Key inputs_Refineries'!$C$85:$C$164,$C20,'Key inputs_Refineries'!$B$85:$B$164,"Boiler")/SUM(SUMIFS('Key inputs_Refineries'!O$85:O$164,'Key inputs_Refineries'!$C$85:$C$164,$C20:$C21,'Key inputs_Refineries'!$B$85:$B$164,"Boiler"))),0)</f>
        <v>1</v>
      </c>
      <c r="V20" s="173" cm="1">
        <f t="array" ref="V20">IFERROR(IF(AND(SUMIFS('Key inputs_Refineries'!P$85:P$164,'Key inputs_Refineries'!$C$85:$C$164,$C20,'Key inputs_Refineries'!$B$85:$B$164,"Boiler")/SUM(SUMIFS('Key inputs_Refineries'!P$85:P$164,'Key inputs_Refineries'!$C$85:$C$164,$C20:$C21,'Key inputs_Refineries'!$B$85:$B$164,"Boiler"))&gt;0,SUMIFS('Key inputs_Refineries'!P$85:P$164,'Key inputs_Refineries'!$C$85:$C$164,$C20,'Key inputs_Refineries'!$B$85:$B$164,"Boiler")/SUM(SUMIFS('Key inputs_Refineries'!P$85:P$164,'Key inputs_Refineries'!$C$85:$C$164,$C20:$C21,'Key inputs_Refineries'!$B$85:$B$164,"Boiler"))&lt;0.001),0.001,SUMIFS('Key inputs_Refineries'!P$85:P$164,'Key inputs_Refineries'!$C$85:$C$164,$C20,'Key inputs_Refineries'!$B$85:$B$164,"Boiler")/SUM(SUMIFS('Key inputs_Refineries'!P$85:P$164,'Key inputs_Refineries'!$C$85:$C$164,$C20:$C21,'Key inputs_Refineries'!$B$85:$B$164,"Boiler"))),0)</f>
        <v>1</v>
      </c>
      <c r="W20" s="173" cm="1">
        <f t="array" ref="W20">IFERROR(IF(AND(SUMIFS('Key inputs_Refineries'!Q$85:Q$164,'Key inputs_Refineries'!$C$85:$C$164,$C20,'Key inputs_Refineries'!$B$85:$B$164,"Boiler")/SUM(SUMIFS('Key inputs_Refineries'!Q$85:Q$164,'Key inputs_Refineries'!$C$85:$C$164,$C20:$C21,'Key inputs_Refineries'!$B$85:$B$164,"Boiler"))&gt;0,SUMIFS('Key inputs_Refineries'!Q$85:Q$164,'Key inputs_Refineries'!$C$85:$C$164,$C20,'Key inputs_Refineries'!$B$85:$B$164,"Boiler")/SUM(SUMIFS('Key inputs_Refineries'!Q$85:Q$164,'Key inputs_Refineries'!$C$85:$C$164,$C20:$C21,'Key inputs_Refineries'!$B$85:$B$164,"Boiler"))&lt;0.001),0.001,SUMIFS('Key inputs_Refineries'!Q$85:Q$164,'Key inputs_Refineries'!$C$85:$C$164,$C20,'Key inputs_Refineries'!$B$85:$B$164,"Boiler")/SUM(SUMIFS('Key inputs_Refineries'!Q$85:Q$164,'Key inputs_Refineries'!$C$85:$C$164,$C20:$C21,'Key inputs_Refineries'!$B$85:$B$164,"Boiler"))),0)</f>
        <v>1</v>
      </c>
      <c r="X20" s="173" cm="1">
        <f t="array" ref="X20">IFERROR(IF(AND(SUMIFS('Key inputs_Refineries'!R$85:R$164,'Key inputs_Refineries'!$C$85:$C$164,$C20,'Key inputs_Refineries'!$B$85:$B$164,"Boiler")/SUM(SUMIFS('Key inputs_Refineries'!R$85:R$164,'Key inputs_Refineries'!$C$85:$C$164,$C20:$C21,'Key inputs_Refineries'!$B$85:$B$164,"Boiler"))&gt;0,SUMIFS('Key inputs_Refineries'!R$85:R$164,'Key inputs_Refineries'!$C$85:$C$164,$C20,'Key inputs_Refineries'!$B$85:$B$164,"Boiler")/SUM(SUMIFS('Key inputs_Refineries'!R$85:R$164,'Key inputs_Refineries'!$C$85:$C$164,$C20:$C21,'Key inputs_Refineries'!$B$85:$B$164,"Boiler"))&lt;0.001),0.001,SUMIFS('Key inputs_Refineries'!R$85:R$164,'Key inputs_Refineries'!$C$85:$C$164,$C20,'Key inputs_Refineries'!$B$85:$B$164,"Boiler")/SUM(SUMIFS('Key inputs_Refineries'!R$85:R$164,'Key inputs_Refineries'!$C$85:$C$164,$C20:$C21,'Key inputs_Refineries'!$B$85:$B$164,"Boiler"))),0)</f>
        <v>1</v>
      </c>
      <c r="Y20" s="173" cm="1">
        <f t="array" ref="Y20">IFERROR(IF(AND(SUMIFS('Key inputs_Refineries'!S$85:S$164,'Key inputs_Refineries'!$C$85:$C$164,$C20,'Key inputs_Refineries'!$B$85:$B$164,"Boiler")/SUM(SUMIFS('Key inputs_Refineries'!S$85:S$164,'Key inputs_Refineries'!$C$85:$C$164,$C20:$C21,'Key inputs_Refineries'!$B$85:$B$164,"Boiler"))&gt;0,SUMIFS('Key inputs_Refineries'!S$85:S$164,'Key inputs_Refineries'!$C$85:$C$164,$C20,'Key inputs_Refineries'!$B$85:$B$164,"Boiler")/SUM(SUMIFS('Key inputs_Refineries'!S$85:S$164,'Key inputs_Refineries'!$C$85:$C$164,$C20:$C21,'Key inputs_Refineries'!$B$85:$B$164,"Boiler"))&lt;0.001),0.001,SUMIFS('Key inputs_Refineries'!S$85:S$164,'Key inputs_Refineries'!$C$85:$C$164,$C20,'Key inputs_Refineries'!$B$85:$B$164,"Boiler")/SUM(SUMIFS('Key inputs_Refineries'!S$85:S$164,'Key inputs_Refineries'!$C$85:$C$164,$C20:$C21,'Key inputs_Refineries'!$B$85:$B$164,"Boiler"))),0)</f>
        <v>1</v>
      </c>
      <c r="Z20" s="173" cm="1">
        <f t="array" ref="Z20">IFERROR(IF(AND(SUMIFS('Key inputs_Refineries'!T$85:T$164,'Key inputs_Refineries'!$C$85:$C$164,$C20,'Key inputs_Refineries'!$B$85:$B$164,"Boiler")/SUM(SUMIFS('Key inputs_Refineries'!T$85:T$164,'Key inputs_Refineries'!$C$85:$C$164,$C20:$C21,'Key inputs_Refineries'!$B$85:$B$164,"Boiler"))&gt;0,SUMIFS('Key inputs_Refineries'!T$85:T$164,'Key inputs_Refineries'!$C$85:$C$164,$C20,'Key inputs_Refineries'!$B$85:$B$164,"Boiler")/SUM(SUMIFS('Key inputs_Refineries'!T$85:T$164,'Key inputs_Refineries'!$C$85:$C$164,$C20:$C21,'Key inputs_Refineries'!$B$85:$B$164,"Boiler"))&lt;0.001),0.001,SUMIFS('Key inputs_Refineries'!T$85:T$164,'Key inputs_Refineries'!$C$85:$C$164,$C20,'Key inputs_Refineries'!$B$85:$B$164,"Boiler")/SUM(SUMIFS('Key inputs_Refineries'!T$85:T$164,'Key inputs_Refineries'!$C$85:$C$164,$C20:$C21,'Key inputs_Refineries'!$B$85:$B$164,"Boiler"))),0)</f>
        <v>1</v>
      </c>
      <c r="AA20" s="173" cm="1">
        <f t="array" ref="AA20">IFERROR(IF(AND(SUMIFS('Key inputs_Refineries'!U$85:U$164,'Key inputs_Refineries'!$C$85:$C$164,$C20,'Key inputs_Refineries'!$B$85:$B$164,"Boiler")/SUM(SUMIFS('Key inputs_Refineries'!U$85:U$164,'Key inputs_Refineries'!$C$85:$C$164,$C20:$C21,'Key inputs_Refineries'!$B$85:$B$164,"Boiler"))&gt;0,SUMIFS('Key inputs_Refineries'!U$85:U$164,'Key inputs_Refineries'!$C$85:$C$164,$C20,'Key inputs_Refineries'!$B$85:$B$164,"Boiler")/SUM(SUMIFS('Key inputs_Refineries'!U$85:U$164,'Key inputs_Refineries'!$C$85:$C$164,$C20:$C21,'Key inputs_Refineries'!$B$85:$B$164,"Boiler"))&lt;0.001),0.001,SUMIFS('Key inputs_Refineries'!U$85:U$164,'Key inputs_Refineries'!$C$85:$C$164,$C20,'Key inputs_Refineries'!$B$85:$B$164,"Boiler")/SUM(SUMIFS('Key inputs_Refineries'!U$85:U$164,'Key inputs_Refineries'!$C$85:$C$164,$C20:$C21,'Key inputs_Refineries'!$B$85:$B$164,"Boiler"))),0)</f>
        <v>0.9879717706045219</v>
      </c>
      <c r="AB20" s="173" cm="1">
        <f t="array" ref="AB20">IFERROR(IF(AND(SUMIFS('Key inputs_Refineries'!V$85:V$164,'Key inputs_Refineries'!$C$85:$C$164,$C20,'Key inputs_Refineries'!$B$85:$B$164,"Boiler")/SUM(SUMIFS('Key inputs_Refineries'!V$85:V$164,'Key inputs_Refineries'!$C$85:$C$164,$C20:$C21,'Key inputs_Refineries'!$B$85:$B$164,"Boiler"))&gt;0,SUMIFS('Key inputs_Refineries'!V$85:V$164,'Key inputs_Refineries'!$C$85:$C$164,$C20,'Key inputs_Refineries'!$B$85:$B$164,"Boiler")/SUM(SUMIFS('Key inputs_Refineries'!V$85:V$164,'Key inputs_Refineries'!$C$85:$C$164,$C20:$C21,'Key inputs_Refineries'!$B$85:$B$164,"Boiler"))&lt;0.001),0.001,SUMIFS('Key inputs_Refineries'!V$85:V$164,'Key inputs_Refineries'!$C$85:$C$164,$C20,'Key inputs_Refineries'!$B$85:$B$164,"Boiler")/SUM(SUMIFS('Key inputs_Refineries'!V$85:V$164,'Key inputs_Refineries'!$C$85:$C$164,$C20:$C21,'Key inputs_Refineries'!$B$85:$B$164,"Boiler"))),0)</f>
        <v>0</v>
      </c>
      <c r="AC20" s="173" cm="1">
        <f t="array" ref="AC20">IFERROR(IF(AND(SUMIFS('Key inputs_Refineries'!W$85:W$164,'Key inputs_Refineries'!$C$85:$C$164,$C20,'Key inputs_Refineries'!$B$85:$B$164,"Boiler")/SUM(SUMIFS('Key inputs_Refineries'!W$85:W$164,'Key inputs_Refineries'!$C$85:$C$164,$C20:$C21,'Key inputs_Refineries'!$B$85:$B$164,"Boiler"))&gt;0,SUMIFS('Key inputs_Refineries'!W$85:W$164,'Key inputs_Refineries'!$C$85:$C$164,$C20,'Key inputs_Refineries'!$B$85:$B$164,"Boiler")/SUM(SUMIFS('Key inputs_Refineries'!W$85:W$164,'Key inputs_Refineries'!$C$85:$C$164,$C20:$C21,'Key inputs_Refineries'!$B$85:$B$164,"Boiler"))&lt;0.001),0.001,SUMIFS('Key inputs_Refineries'!W$85:W$164,'Key inputs_Refineries'!$C$85:$C$164,$C20,'Key inputs_Refineries'!$B$85:$B$164,"Boiler")/SUM(SUMIFS('Key inputs_Refineries'!W$85:W$164,'Key inputs_Refineries'!$C$85:$C$164,$C20:$C21,'Key inputs_Refineries'!$B$85:$B$164,"Boiler"))),0)</f>
        <v>1</v>
      </c>
      <c r="AD20" s="173" cm="1">
        <f t="array" ref="AD20">IFERROR(IF(AND(SUMIFS('Key inputs_Refineries'!X$85:X$164,'Key inputs_Refineries'!$C$85:$C$164,$C20,'Key inputs_Refineries'!$B$85:$B$164,"Boiler")/SUM(SUMIFS('Key inputs_Refineries'!X$85:X$164,'Key inputs_Refineries'!$C$85:$C$164,$C20:$C21,'Key inputs_Refineries'!$B$85:$B$164,"Boiler"))&gt;0,SUMIFS('Key inputs_Refineries'!X$85:X$164,'Key inputs_Refineries'!$C$85:$C$164,$C20,'Key inputs_Refineries'!$B$85:$B$164,"Boiler")/SUM(SUMIFS('Key inputs_Refineries'!X$85:X$164,'Key inputs_Refineries'!$C$85:$C$164,$C20:$C21,'Key inputs_Refineries'!$B$85:$B$164,"Boiler"))&lt;0.001),0.001,SUMIFS('Key inputs_Refineries'!X$85:X$164,'Key inputs_Refineries'!$C$85:$C$164,$C20,'Key inputs_Refineries'!$B$85:$B$164,"Boiler")/SUM(SUMIFS('Key inputs_Refineries'!X$85:X$164,'Key inputs_Refineries'!$C$85:$C$164,$C20:$C21,'Key inputs_Refineries'!$B$85:$B$164,"Boiler"))),0)</f>
        <v>1</v>
      </c>
      <c r="AE20" s="173" cm="1">
        <f t="array" ref="AE20">IFERROR(IF(AND(SUMIFS('Key inputs_Refineries'!Y$85:Y$164,'Key inputs_Refineries'!$C$85:$C$164,$C20,'Key inputs_Refineries'!$B$85:$B$164,"Boiler")/SUM(SUMIFS('Key inputs_Refineries'!Y$85:Y$164,'Key inputs_Refineries'!$C$85:$C$164,$C20:$C21,'Key inputs_Refineries'!$B$85:$B$164,"Boiler"))&gt;0,SUMIFS('Key inputs_Refineries'!Y$85:Y$164,'Key inputs_Refineries'!$C$85:$C$164,$C20,'Key inputs_Refineries'!$B$85:$B$164,"Boiler")/SUM(SUMIFS('Key inputs_Refineries'!Y$85:Y$164,'Key inputs_Refineries'!$C$85:$C$164,$C20:$C21,'Key inputs_Refineries'!$B$85:$B$164,"Boiler"))&lt;0.001),0.001,SUMIFS('Key inputs_Refineries'!Y$85:Y$164,'Key inputs_Refineries'!$C$85:$C$164,$C20,'Key inputs_Refineries'!$B$85:$B$164,"Boiler")/SUM(SUMIFS('Key inputs_Refineries'!Y$85:Y$164,'Key inputs_Refineries'!$C$85:$C$164,$C20:$C21,'Key inputs_Refineries'!$B$85:$B$164,"Boiler"))),0)</f>
        <v>1</v>
      </c>
      <c r="AF20" s="173" cm="1">
        <f t="array" ref="AF20">IFERROR(IF(AND(SUMIFS('Key inputs_Refineries'!Z$85:Z$164,'Key inputs_Refineries'!$C$85:$C$164,$C20,'Key inputs_Refineries'!$B$85:$B$164,"Boiler")/SUM(SUMIFS('Key inputs_Refineries'!Z$85:Z$164,'Key inputs_Refineries'!$C$85:$C$164,$C20:$C21,'Key inputs_Refineries'!$B$85:$B$164,"Boiler"))&gt;0,SUMIFS('Key inputs_Refineries'!Z$85:Z$164,'Key inputs_Refineries'!$C$85:$C$164,$C20,'Key inputs_Refineries'!$B$85:$B$164,"Boiler")/SUM(SUMIFS('Key inputs_Refineries'!Z$85:Z$164,'Key inputs_Refineries'!$C$85:$C$164,$C20:$C21,'Key inputs_Refineries'!$B$85:$B$164,"Boiler"))&lt;0.001),0.001,SUMIFS('Key inputs_Refineries'!Z$85:Z$164,'Key inputs_Refineries'!$C$85:$C$164,$C20,'Key inputs_Refineries'!$B$85:$B$164,"Boiler")/SUM(SUMIFS('Key inputs_Refineries'!Z$85:Z$164,'Key inputs_Refineries'!$C$85:$C$164,$C20:$C21,'Key inputs_Refineries'!$B$85:$B$164,"Boiler"))),0)</f>
        <v>1</v>
      </c>
      <c r="AG20" s="173" cm="1">
        <f t="array" ref="AG20">IFERROR(IF(AND(SUMIFS('Key inputs_Refineries'!AA$85:AA$164,'Key inputs_Refineries'!$C$85:$C$164,$C20,'Key inputs_Refineries'!$B$85:$B$164,"Boiler")/SUM(SUMIFS('Key inputs_Refineries'!AA$85:AA$164,'Key inputs_Refineries'!$C$85:$C$164,$C20:$C21,'Key inputs_Refineries'!$B$85:$B$164,"Boiler"))&gt;0,SUMIFS('Key inputs_Refineries'!AA$85:AA$164,'Key inputs_Refineries'!$C$85:$C$164,$C20,'Key inputs_Refineries'!$B$85:$B$164,"Boiler")/SUM(SUMIFS('Key inputs_Refineries'!AA$85:AA$164,'Key inputs_Refineries'!$C$85:$C$164,$C20:$C21,'Key inputs_Refineries'!$B$85:$B$164,"Boiler"))&lt;0.001),0.001,SUMIFS('Key inputs_Refineries'!AA$85:AA$164,'Key inputs_Refineries'!$C$85:$C$164,$C20,'Key inputs_Refineries'!$B$85:$B$164,"Boiler")/SUM(SUMIFS('Key inputs_Refineries'!AA$85:AA$164,'Key inputs_Refineries'!$C$85:$C$164,$C20:$C21,'Key inputs_Refineries'!$B$85:$B$164,"Boiler"))),0)</f>
        <v>1</v>
      </c>
      <c r="AH20" s="173" cm="1">
        <f t="array" ref="AH20">IFERROR(IF(AND(SUMIFS('Key inputs_Refineries'!AB$85:AB$164,'Key inputs_Refineries'!$C$85:$C$164,$C20,'Key inputs_Refineries'!$B$85:$B$164,"Boiler")/SUM(SUMIFS('Key inputs_Refineries'!AB$85:AB$164,'Key inputs_Refineries'!$C$85:$C$164,$C20:$C21,'Key inputs_Refineries'!$B$85:$B$164,"Boiler"))&gt;0,SUMIFS('Key inputs_Refineries'!AB$85:AB$164,'Key inputs_Refineries'!$C$85:$C$164,$C20,'Key inputs_Refineries'!$B$85:$B$164,"Boiler")/SUM(SUMIFS('Key inputs_Refineries'!AB$85:AB$164,'Key inputs_Refineries'!$C$85:$C$164,$C20:$C21,'Key inputs_Refineries'!$B$85:$B$164,"Boiler"))&lt;0.001),0.001,SUMIFS('Key inputs_Refineries'!AB$85:AB$164,'Key inputs_Refineries'!$C$85:$C$164,$C20,'Key inputs_Refineries'!$B$85:$B$164,"Boiler")/SUM(SUMIFS('Key inputs_Refineries'!AB$85:AB$164,'Key inputs_Refineries'!$C$85:$C$164,$C20:$C21,'Key inputs_Refineries'!$B$85:$B$164,"Boiler"))),0)</f>
        <v>1</v>
      </c>
      <c r="AI20" s="173" cm="1">
        <f t="array" ref="AI20">IFERROR(IF(AND(SUMIFS('Key inputs_Refineries'!AC$85:AC$164,'Key inputs_Refineries'!$C$85:$C$164,$C20,'Key inputs_Refineries'!$B$85:$B$164,"Boiler")/SUM(SUMIFS('Key inputs_Refineries'!AC$85:AC$164,'Key inputs_Refineries'!$C$85:$C$164,$C20:$C21,'Key inputs_Refineries'!$B$85:$B$164,"Boiler"))&gt;0,SUMIFS('Key inputs_Refineries'!AC$85:AC$164,'Key inputs_Refineries'!$C$85:$C$164,$C20,'Key inputs_Refineries'!$B$85:$B$164,"Boiler")/SUM(SUMIFS('Key inputs_Refineries'!AC$85:AC$164,'Key inputs_Refineries'!$C$85:$C$164,$C20:$C21,'Key inputs_Refineries'!$B$85:$B$164,"Boiler"))&lt;0.001),0.001,SUMIFS('Key inputs_Refineries'!AC$85:AC$164,'Key inputs_Refineries'!$C$85:$C$164,$C20,'Key inputs_Refineries'!$B$85:$B$164,"Boiler")/SUM(SUMIFS('Key inputs_Refineries'!AC$85:AC$164,'Key inputs_Refineries'!$C$85:$C$164,$C20:$C21,'Key inputs_Refineries'!$B$85:$B$164,"Boiler"))),0)</f>
        <v>1</v>
      </c>
      <c r="AJ20" s="173" cm="1">
        <f t="array" ref="AJ20">IFERROR(IF(AND(SUMIFS('Key inputs_Refineries'!AD$85:AD$164,'Key inputs_Refineries'!$C$85:$C$164,$C20,'Key inputs_Refineries'!$B$85:$B$164,"Boiler")/SUM(SUMIFS('Key inputs_Refineries'!AD$85:AD$164,'Key inputs_Refineries'!$C$85:$C$164,$C20:$C21,'Key inputs_Refineries'!$B$85:$B$164,"Boiler"))&gt;0,SUMIFS('Key inputs_Refineries'!AD$85:AD$164,'Key inputs_Refineries'!$C$85:$C$164,$C20,'Key inputs_Refineries'!$B$85:$B$164,"Boiler")/SUM(SUMIFS('Key inputs_Refineries'!AD$85:AD$164,'Key inputs_Refineries'!$C$85:$C$164,$C20:$C21,'Key inputs_Refineries'!$B$85:$B$164,"Boiler"))&lt;0.001),0.001,SUMIFS('Key inputs_Refineries'!AD$85:AD$164,'Key inputs_Refineries'!$C$85:$C$164,$C20,'Key inputs_Refineries'!$B$85:$B$164,"Boiler")/SUM(SUMIFS('Key inputs_Refineries'!AD$85:AD$164,'Key inputs_Refineries'!$C$85:$C$164,$C20:$C21,'Key inputs_Refineries'!$B$85:$B$164,"Boiler"))),0)</f>
        <v>0</v>
      </c>
      <c r="AK20" s="173" cm="1">
        <f t="array" ref="AK20">IFERROR(IF(AND(SUMIFS('Key inputs_Refineries'!AE$85:AE$164,'Key inputs_Refineries'!$C$85:$C$164,$C20,'Key inputs_Refineries'!$B$85:$B$164,"Boiler")/SUM(SUMIFS('Key inputs_Refineries'!AE$85:AE$164,'Key inputs_Refineries'!$C$85:$C$164,$C20:$C21,'Key inputs_Refineries'!$B$85:$B$164,"Boiler"))&gt;0,SUMIFS('Key inputs_Refineries'!AE$85:AE$164,'Key inputs_Refineries'!$C$85:$C$164,$C20,'Key inputs_Refineries'!$B$85:$B$164,"Boiler")/SUM(SUMIFS('Key inputs_Refineries'!AE$85:AE$164,'Key inputs_Refineries'!$C$85:$C$164,$C20:$C21,'Key inputs_Refineries'!$B$85:$B$164,"Boiler"))&lt;0.001),0.001,SUMIFS('Key inputs_Refineries'!AE$85:AE$164,'Key inputs_Refineries'!$C$85:$C$164,$C20,'Key inputs_Refineries'!$B$85:$B$164,"Boiler")/SUM(SUMIFS('Key inputs_Refineries'!AE$85:AE$164,'Key inputs_Refineries'!$C$85:$C$164,$C20:$C21,'Key inputs_Refineries'!$B$85:$B$164,"Boiler"))),0)</f>
        <v>0</v>
      </c>
      <c r="AL20" s="173" cm="1">
        <f t="array" ref="AL20">IFERROR(IF(AND(SUMIFS('Key inputs_Refineries'!AF$85:AF$164,'Key inputs_Refineries'!$C$85:$C$164,$C20,'Key inputs_Refineries'!$B$85:$B$164,"Boiler")/SUM(SUMIFS('Key inputs_Refineries'!AF$85:AF$164,'Key inputs_Refineries'!$C$85:$C$164,$C20:$C21,'Key inputs_Refineries'!$B$85:$B$164,"Boiler"))&gt;0,SUMIFS('Key inputs_Refineries'!AF$85:AF$164,'Key inputs_Refineries'!$C$85:$C$164,$C20,'Key inputs_Refineries'!$B$85:$B$164,"Boiler")/SUM(SUMIFS('Key inputs_Refineries'!AF$85:AF$164,'Key inputs_Refineries'!$C$85:$C$164,$C20:$C21,'Key inputs_Refineries'!$B$85:$B$164,"Boiler"))&lt;0.001),0.001,SUMIFS('Key inputs_Refineries'!AF$85:AF$164,'Key inputs_Refineries'!$C$85:$C$164,$C20,'Key inputs_Refineries'!$B$85:$B$164,"Boiler")/SUM(SUMIFS('Key inputs_Refineries'!AF$85:AF$164,'Key inputs_Refineries'!$C$85:$C$164,$C20:$C21,'Key inputs_Refineries'!$B$85:$B$164,"Boiler"))),0)</f>
        <v>1</v>
      </c>
      <c r="AN20" s="4" t="s">
        <v>651</v>
      </c>
      <c r="AO20" t="str">
        <f>"U-TRF-OILREFHET_ELC00"</f>
        <v>U-TRF-OILREFHET_ELC00</v>
      </c>
      <c r="AP20" t="str">
        <f>"UPS Transformation: Oil refinery process heat Electricity - Existing"</f>
        <v>UPS Transformation: Oil refinery process heat Electricity - Existing</v>
      </c>
      <c r="AQ20" s="4" t="s">
        <v>112</v>
      </c>
      <c r="AR20" s="4" t="s">
        <v>2671</v>
      </c>
      <c r="AS20" s="4"/>
      <c r="AT20" s="4"/>
      <c r="AU20" s="4"/>
    </row>
    <row r="21" spans="1:47">
      <c r="C21" t="str">
        <f>Commodities!$C$88</f>
        <v>UPSCOG</v>
      </c>
      <c r="G21" s="4" t="s">
        <v>702</v>
      </c>
      <c r="H21" t="s">
        <v>661</v>
      </c>
      <c r="I21">
        <v>2019</v>
      </c>
      <c r="J21" s="4" t="s">
        <v>650</v>
      </c>
      <c r="K21" s="173">
        <f>1-K20</f>
        <v>1</v>
      </c>
      <c r="L21" s="173">
        <f t="shared" ref="L21:AL21" si="0">1-L20</f>
        <v>0</v>
      </c>
      <c r="M21" s="173">
        <f t="shared" si="0"/>
        <v>0</v>
      </c>
      <c r="N21" s="173">
        <f t="shared" si="0"/>
        <v>1</v>
      </c>
      <c r="O21" s="173">
        <f t="shared" si="0"/>
        <v>0</v>
      </c>
      <c r="P21" s="173">
        <f t="shared" si="0"/>
        <v>0</v>
      </c>
      <c r="Q21" s="173">
        <f t="shared" si="0"/>
        <v>0</v>
      </c>
      <c r="R21" s="173">
        <f t="shared" si="0"/>
        <v>1</v>
      </c>
      <c r="S21" s="173">
        <f t="shared" si="0"/>
        <v>0</v>
      </c>
      <c r="T21" s="173">
        <f t="shared" si="0"/>
        <v>0</v>
      </c>
      <c r="U21" s="173">
        <f t="shared" si="0"/>
        <v>0</v>
      </c>
      <c r="V21" s="173">
        <f t="shared" si="0"/>
        <v>0</v>
      </c>
      <c r="W21" s="173">
        <f t="shared" si="0"/>
        <v>0</v>
      </c>
      <c r="X21" s="173">
        <f t="shared" si="0"/>
        <v>0</v>
      </c>
      <c r="Y21" s="173">
        <f t="shared" si="0"/>
        <v>0</v>
      </c>
      <c r="Z21" s="173">
        <f t="shared" si="0"/>
        <v>0</v>
      </c>
      <c r="AA21" s="173">
        <f t="shared" si="0"/>
        <v>1.2028229395478096E-2</v>
      </c>
      <c r="AB21" s="173">
        <f t="shared" si="0"/>
        <v>1</v>
      </c>
      <c r="AC21" s="173">
        <f t="shared" si="0"/>
        <v>0</v>
      </c>
      <c r="AD21" s="173">
        <f t="shared" si="0"/>
        <v>0</v>
      </c>
      <c r="AE21" s="173">
        <f t="shared" si="0"/>
        <v>0</v>
      </c>
      <c r="AF21" s="173">
        <f t="shared" si="0"/>
        <v>0</v>
      </c>
      <c r="AG21" s="173">
        <f t="shared" si="0"/>
        <v>0</v>
      </c>
      <c r="AH21" s="173">
        <f t="shared" si="0"/>
        <v>0</v>
      </c>
      <c r="AI21" s="173">
        <f t="shared" si="0"/>
        <v>0</v>
      </c>
      <c r="AJ21" s="173">
        <f t="shared" si="0"/>
        <v>1</v>
      </c>
      <c r="AK21" s="173">
        <f t="shared" si="0"/>
        <v>1</v>
      </c>
      <c r="AL21" s="173">
        <f t="shared" si="0"/>
        <v>0</v>
      </c>
      <c r="AN21" s="4" t="s">
        <v>651</v>
      </c>
      <c r="AO21" t="str">
        <f>"U-TRF-OILREFHET_HET00"</f>
        <v>U-TRF-OILREFHET_HET00</v>
      </c>
      <c r="AP21" t="str">
        <f>"UPS Transformation: Oil refinery process heat Heat - Existing"</f>
        <v>UPS Transformation: Oil refinery process heat Heat - Existing</v>
      </c>
      <c r="AQ21" s="4" t="s">
        <v>112</v>
      </c>
      <c r="AR21" s="4" t="s">
        <v>2671</v>
      </c>
      <c r="AS21" s="4"/>
      <c r="AT21" s="4"/>
      <c r="AU21" s="4"/>
    </row>
    <row r="22" spans="1:47">
      <c r="C22" t="str">
        <f>Commodities!$C$84</f>
        <v>UPSBGS</v>
      </c>
      <c r="G22" s="4" t="s">
        <v>702</v>
      </c>
      <c r="H22" t="s">
        <v>661</v>
      </c>
      <c r="I22">
        <v>2019</v>
      </c>
      <c r="J22" s="4" t="s">
        <v>650</v>
      </c>
      <c r="K22" s="426">
        <v>0</v>
      </c>
      <c r="L22" s="426">
        <v>0</v>
      </c>
      <c r="M22" s="426">
        <v>0</v>
      </c>
      <c r="N22" s="426">
        <v>0</v>
      </c>
      <c r="O22" s="426">
        <v>0</v>
      </c>
      <c r="P22" s="426">
        <v>0</v>
      </c>
      <c r="Q22" s="426">
        <v>0</v>
      </c>
      <c r="R22" s="426">
        <v>0</v>
      </c>
      <c r="S22" s="426">
        <v>0</v>
      </c>
      <c r="T22" s="426">
        <v>0</v>
      </c>
      <c r="U22" s="426">
        <v>0</v>
      </c>
      <c r="V22" s="426">
        <v>0</v>
      </c>
      <c r="W22" s="426">
        <v>0</v>
      </c>
      <c r="X22" s="426">
        <v>0</v>
      </c>
      <c r="Y22" s="426">
        <v>0</v>
      </c>
      <c r="Z22" s="426">
        <v>0</v>
      </c>
      <c r="AA22" s="426">
        <v>0</v>
      </c>
      <c r="AB22" s="426">
        <v>0</v>
      </c>
      <c r="AC22" s="426">
        <v>0</v>
      </c>
      <c r="AD22" s="426">
        <v>0</v>
      </c>
      <c r="AE22" s="426">
        <v>0</v>
      </c>
      <c r="AF22" s="426">
        <v>0</v>
      </c>
      <c r="AG22" s="426">
        <v>0</v>
      </c>
      <c r="AH22" s="426">
        <v>0</v>
      </c>
      <c r="AI22" s="426">
        <v>0</v>
      </c>
      <c r="AJ22" s="426">
        <v>0</v>
      </c>
      <c r="AK22" s="426">
        <v>0</v>
      </c>
      <c r="AL22" s="426">
        <v>0</v>
      </c>
      <c r="AN22" s="4" t="s">
        <v>651</v>
      </c>
      <c r="AO22" t="str">
        <f>"U-TRF-OILREFOTH_GAS00"</f>
        <v>U-TRF-OILREFOTH_GAS00</v>
      </c>
      <c r="AP22" t="str">
        <f>"UPS Transformation: Oil refinery other processes Gas - Existing"</f>
        <v>UPS Transformation: Oil refinery other processes Gas - Existing</v>
      </c>
      <c r="AQ22" s="4" t="s">
        <v>112</v>
      </c>
      <c r="AR22" s="4" t="s">
        <v>2671</v>
      </c>
      <c r="AS22" s="4"/>
      <c r="AT22" s="4"/>
      <c r="AU22" s="4"/>
    </row>
    <row r="23" spans="1:47">
      <c r="C23" t="str">
        <f>Commodities!$C$92</f>
        <v>UPSGAS</v>
      </c>
      <c r="G23" s="4" t="s">
        <v>702</v>
      </c>
      <c r="H23" t="s">
        <v>661</v>
      </c>
      <c r="I23">
        <v>2025</v>
      </c>
      <c r="J23" s="4" t="s">
        <v>650</v>
      </c>
      <c r="K23" s="426">
        <v>1</v>
      </c>
      <c r="L23" s="426">
        <v>1</v>
      </c>
      <c r="M23" s="426">
        <v>1</v>
      </c>
      <c r="N23" s="426">
        <v>1</v>
      </c>
      <c r="O23" s="426">
        <v>1</v>
      </c>
      <c r="P23" s="426">
        <v>1</v>
      </c>
      <c r="Q23" s="426">
        <v>1</v>
      </c>
      <c r="R23" s="426">
        <v>1</v>
      </c>
      <c r="S23" s="426">
        <v>1</v>
      </c>
      <c r="T23" s="426">
        <v>1</v>
      </c>
      <c r="U23" s="426">
        <v>1</v>
      </c>
      <c r="V23" s="426">
        <v>1</v>
      </c>
      <c r="W23" s="426">
        <v>1</v>
      </c>
      <c r="X23" s="426">
        <v>1</v>
      </c>
      <c r="Y23" s="426">
        <v>1</v>
      </c>
      <c r="Z23" s="426">
        <v>1</v>
      </c>
      <c r="AA23" s="426">
        <v>1</v>
      </c>
      <c r="AB23" s="426">
        <v>1</v>
      </c>
      <c r="AC23" s="426">
        <v>1</v>
      </c>
      <c r="AD23" s="426">
        <v>1</v>
      </c>
      <c r="AE23" s="426">
        <v>1</v>
      </c>
      <c r="AF23" s="426">
        <v>1</v>
      </c>
      <c r="AG23" s="426">
        <v>1</v>
      </c>
      <c r="AH23" s="426">
        <v>1</v>
      </c>
      <c r="AI23" s="426">
        <v>1</v>
      </c>
      <c r="AJ23" s="426">
        <v>1</v>
      </c>
      <c r="AK23" s="426">
        <v>1</v>
      </c>
      <c r="AL23" s="426">
        <v>1</v>
      </c>
      <c r="AN23" s="4" t="s">
        <v>651</v>
      </c>
      <c r="AO23" t="str">
        <f>"U-TRF-OILREFOTH_OIL00"</f>
        <v>U-TRF-OILREFOTH_OIL00</v>
      </c>
      <c r="AP23" t="str">
        <f>"UPS Transformation: Oil refinery other processes Petroleum product - Existing"</f>
        <v>UPS Transformation: Oil refinery other processes Petroleum product - Existing</v>
      </c>
      <c r="AQ23" s="4" t="s">
        <v>112</v>
      </c>
      <c r="AR23" s="4" t="s">
        <v>2671</v>
      </c>
      <c r="AS23" s="4"/>
      <c r="AT23" s="4"/>
      <c r="AU23" s="4"/>
    </row>
    <row r="24" spans="1:47">
      <c r="C24" t="str">
        <f>Commodities!$C$88</f>
        <v>UPSCOG</v>
      </c>
      <c r="G24" s="4" t="s">
        <v>702</v>
      </c>
      <c r="H24" t="s">
        <v>661</v>
      </c>
      <c r="I24">
        <v>2025</v>
      </c>
      <c r="J24" s="4" t="s">
        <v>650</v>
      </c>
      <c r="K24" s="426">
        <v>1</v>
      </c>
      <c r="L24" s="426">
        <v>1</v>
      </c>
      <c r="M24" s="426">
        <v>1</v>
      </c>
      <c r="N24" s="426">
        <v>1</v>
      </c>
      <c r="O24" s="426">
        <v>1</v>
      </c>
      <c r="P24" s="426">
        <v>1</v>
      </c>
      <c r="Q24" s="426">
        <v>1</v>
      </c>
      <c r="R24" s="426">
        <v>1</v>
      </c>
      <c r="S24" s="426">
        <v>1</v>
      </c>
      <c r="T24" s="426">
        <v>1</v>
      </c>
      <c r="U24" s="426">
        <v>1</v>
      </c>
      <c r="V24" s="426">
        <v>1</v>
      </c>
      <c r="W24" s="426">
        <v>1</v>
      </c>
      <c r="X24" s="426">
        <v>1</v>
      </c>
      <c r="Y24" s="426">
        <v>1</v>
      </c>
      <c r="Z24" s="426">
        <v>1</v>
      </c>
      <c r="AA24" s="426">
        <v>1</v>
      </c>
      <c r="AB24" s="426">
        <v>1</v>
      </c>
      <c r="AC24" s="426">
        <v>1</v>
      </c>
      <c r="AD24" s="426">
        <v>1</v>
      </c>
      <c r="AE24" s="426">
        <v>1</v>
      </c>
      <c r="AF24" s="426">
        <v>1</v>
      </c>
      <c r="AG24" s="426">
        <v>1</v>
      </c>
      <c r="AH24" s="426">
        <v>1</v>
      </c>
      <c r="AI24" s="426">
        <v>1</v>
      </c>
      <c r="AJ24" s="426">
        <v>1</v>
      </c>
      <c r="AK24" s="426">
        <v>1</v>
      </c>
      <c r="AL24" s="426">
        <v>1</v>
      </c>
      <c r="AN24" s="4" t="s">
        <v>651</v>
      </c>
      <c r="AO24" t="str">
        <f>"U-TRF-OILREFOTH_BIO00"</f>
        <v>U-TRF-OILREFOTH_BIO00</v>
      </c>
      <c r="AP24" t="str">
        <f>"UPS Transformation: Oil refinery other processes Biomass - Existing"</f>
        <v>UPS Transformation: Oil refinery other processes Biomass - Existing</v>
      </c>
      <c r="AQ24" s="4" t="s">
        <v>112</v>
      </c>
      <c r="AR24" s="4" t="s">
        <v>2671</v>
      </c>
      <c r="AS24" s="4"/>
      <c r="AT24" s="4"/>
      <c r="AU24" s="4"/>
    </row>
    <row r="25" spans="1:47">
      <c r="C25" t="str">
        <f>Commodities!$C$84</f>
        <v>UPSBGS</v>
      </c>
      <c r="G25" s="4" t="s">
        <v>702</v>
      </c>
      <c r="H25" t="s">
        <v>661</v>
      </c>
      <c r="I25">
        <v>2025</v>
      </c>
      <c r="J25" s="4" t="s">
        <v>650</v>
      </c>
      <c r="K25" s="426">
        <v>1</v>
      </c>
      <c r="L25" s="426">
        <v>1</v>
      </c>
      <c r="M25" s="426">
        <v>1</v>
      </c>
      <c r="N25" s="426">
        <v>1</v>
      </c>
      <c r="O25" s="426">
        <v>1</v>
      </c>
      <c r="P25" s="426">
        <v>1</v>
      </c>
      <c r="Q25" s="426">
        <v>1</v>
      </c>
      <c r="R25" s="426">
        <v>1</v>
      </c>
      <c r="S25" s="426">
        <v>1</v>
      </c>
      <c r="T25" s="426">
        <v>1</v>
      </c>
      <c r="U25" s="426">
        <v>1</v>
      </c>
      <c r="V25" s="426">
        <v>1</v>
      </c>
      <c r="W25" s="426">
        <v>1</v>
      </c>
      <c r="X25" s="426">
        <v>1</v>
      </c>
      <c r="Y25" s="426">
        <v>1</v>
      </c>
      <c r="Z25" s="426">
        <v>1</v>
      </c>
      <c r="AA25" s="426">
        <v>1</v>
      </c>
      <c r="AB25" s="426">
        <v>1</v>
      </c>
      <c r="AC25" s="426">
        <v>1</v>
      </c>
      <c r="AD25" s="426">
        <v>1</v>
      </c>
      <c r="AE25" s="426">
        <v>1</v>
      </c>
      <c r="AF25" s="426">
        <v>1</v>
      </c>
      <c r="AG25" s="426">
        <v>1</v>
      </c>
      <c r="AH25" s="426">
        <v>1</v>
      </c>
      <c r="AI25" s="426">
        <v>1</v>
      </c>
      <c r="AJ25" s="426">
        <v>1</v>
      </c>
      <c r="AK25" s="426">
        <v>1</v>
      </c>
      <c r="AL25" s="426">
        <v>1</v>
      </c>
      <c r="AN25" s="4" t="s">
        <v>651</v>
      </c>
      <c r="AO25" t="str">
        <f>"U-TRF-OILREFOTH_COA00"</f>
        <v>U-TRF-OILREFOTH_COA00</v>
      </c>
      <c r="AP25" t="str">
        <f>"UPS Transformation: Oil refinery other processes Coal - Existing"</f>
        <v>UPS Transformation: Oil refinery other processes Coal - Existing</v>
      </c>
      <c r="AQ25" s="4" t="s">
        <v>112</v>
      </c>
      <c r="AR25" s="4" t="s">
        <v>2671</v>
      </c>
      <c r="AS25" s="4"/>
      <c r="AT25" s="4"/>
      <c r="AU25" s="4"/>
    </row>
    <row r="26" spans="1:47">
      <c r="C26" t="str">
        <f>Commodities!$C$92</f>
        <v>UPSGAS</v>
      </c>
      <c r="G26" s="4" t="s">
        <v>702</v>
      </c>
      <c r="H26" t="s">
        <v>661</v>
      </c>
      <c r="I26">
        <v>2050</v>
      </c>
      <c r="J26" s="4" t="s">
        <v>650</v>
      </c>
      <c r="K26" s="426">
        <v>1</v>
      </c>
      <c r="L26" s="426">
        <v>1</v>
      </c>
      <c r="M26" s="426">
        <v>1</v>
      </c>
      <c r="N26" s="426">
        <v>1</v>
      </c>
      <c r="O26" s="426">
        <v>1</v>
      </c>
      <c r="P26" s="426">
        <v>1</v>
      </c>
      <c r="Q26" s="426">
        <v>1</v>
      </c>
      <c r="R26" s="426">
        <v>1</v>
      </c>
      <c r="S26" s="426">
        <v>1</v>
      </c>
      <c r="T26" s="426">
        <v>1</v>
      </c>
      <c r="U26" s="426">
        <v>1</v>
      </c>
      <c r="V26" s="426">
        <v>1</v>
      </c>
      <c r="W26" s="426">
        <v>1</v>
      </c>
      <c r="X26" s="426">
        <v>1</v>
      </c>
      <c r="Y26" s="426">
        <v>1</v>
      </c>
      <c r="Z26" s="426">
        <v>1</v>
      </c>
      <c r="AA26" s="426">
        <v>1</v>
      </c>
      <c r="AB26" s="426">
        <v>1</v>
      </c>
      <c r="AC26" s="426">
        <v>1</v>
      </c>
      <c r="AD26" s="426">
        <v>1</v>
      </c>
      <c r="AE26" s="426">
        <v>1</v>
      </c>
      <c r="AF26" s="426">
        <v>1</v>
      </c>
      <c r="AG26" s="426">
        <v>1</v>
      </c>
      <c r="AH26" s="426">
        <v>1</v>
      </c>
      <c r="AI26" s="426">
        <v>1</v>
      </c>
      <c r="AJ26" s="426">
        <v>1</v>
      </c>
      <c r="AK26" s="426">
        <v>1</v>
      </c>
      <c r="AL26" s="426">
        <v>1</v>
      </c>
      <c r="AN26" s="4" t="s">
        <v>651</v>
      </c>
      <c r="AO26" t="str">
        <f>"U-TRF-OILREFOTH_ELC00"</f>
        <v>U-TRF-OILREFOTH_ELC00</v>
      </c>
      <c r="AP26" t="str">
        <f>"UPS Transformation: Oil refinery other processes Electricity - Existing"</f>
        <v>UPS Transformation: Oil refinery other processes Electricity - Existing</v>
      </c>
      <c r="AQ26" s="4" t="s">
        <v>112</v>
      </c>
      <c r="AR26" s="4" t="s">
        <v>2671</v>
      </c>
      <c r="AS26" s="4"/>
      <c r="AT26" s="4"/>
      <c r="AU26" s="4"/>
    </row>
    <row r="27" spans="1:47">
      <c r="C27" t="str">
        <f>Commodities!$C$88</f>
        <v>UPSCOG</v>
      </c>
      <c r="G27" s="4" t="s">
        <v>702</v>
      </c>
      <c r="H27" t="s">
        <v>661</v>
      </c>
      <c r="I27">
        <v>2050</v>
      </c>
      <c r="J27" s="4" t="s">
        <v>650</v>
      </c>
      <c r="K27" s="426">
        <v>1</v>
      </c>
      <c r="L27" s="426">
        <v>1</v>
      </c>
      <c r="M27" s="426">
        <v>1</v>
      </c>
      <c r="N27" s="426">
        <v>1</v>
      </c>
      <c r="O27" s="426">
        <v>1</v>
      </c>
      <c r="P27" s="426">
        <v>1</v>
      </c>
      <c r="Q27" s="426">
        <v>1</v>
      </c>
      <c r="R27" s="426">
        <v>1</v>
      </c>
      <c r="S27" s="426">
        <v>1</v>
      </c>
      <c r="T27" s="426">
        <v>1</v>
      </c>
      <c r="U27" s="426">
        <v>1</v>
      </c>
      <c r="V27" s="426">
        <v>1</v>
      </c>
      <c r="W27" s="426">
        <v>1</v>
      </c>
      <c r="X27" s="426">
        <v>1</v>
      </c>
      <c r="Y27" s="426">
        <v>1</v>
      </c>
      <c r="Z27" s="426">
        <v>1</v>
      </c>
      <c r="AA27" s="426">
        <v>1</v>
      </c>
      <c r="AB27" s="426">
        <v>1</v>
      </c>
      <c r="AC27" s="426">
        <v>1</v>
      </c>
      <c r="AD27" s="426">
        <v>1</v>
      </c>
      <c r="AE27" s="426">
        <v>1</v>
      </c>
      <c r="AF27" s="426">
        <v>1</v>
      </c>
      <c r="AG27" s="426">
        <v>1</v>
      </c>
      <c r="AH27" s="426">
        <v>1</v>
      </c>
      <c r="AI27" s="426">
        <v>1</v>
      </c>
      <c r="AJ27" s="426">
        <v>1</v>
      </c>
      <c r="AK27" s="426">
        <v>1</v>
      </c>
      <c r="AL27" s="426">
        <v>1</v>
      </c>
      <c r="AN27" s="4" t="s">
        <v>651</v>
      </c>
      <c r="AO27" t="str">
        <f>"U-TRF-OILREFOTH_HET00"</f>
        <v>U-TRF-OILREFOTH_HET00</v>
      </c>
      <c r="AP27" t="str">
        <f>"UPS Transformation: Oil refinery other processes Heat - Existing"</f>
        <v>UPS Transformation: Oil refinery other processes Heat - Existing</v>
      </c>
      <c r="AQ27" s="4" t="s">
        <v>112</v>
      </c>
      <c r="AR27" s="4" t="s">
        <v>2671</v>
      </c>
      <c r="AS27" s="4"/>
      <c r="AT27" s="4"/>
      <c r="AU27" s="4"/>
    </row>
    <row r="28" spans="1:47">
      <c r="C28" t="str">
        <f>Commodities!$C$84</f>
        <v>UPSBGS</v>
      </c>
      <c r="G28" s="4" t="s">
        <v>702</v>
      </c>
      <c r="H28" t="s">
        <v>661</v>
      </c>
      <c r="I28">
        <v>2050</v>
      </c>
      <c r="J28" s="4" t="s">
        <v>650</v>
      </c>
      <c r="K28" s="426">
        <v>1</v>
      </c>
      <c r="L28" s="426">
        <v>1</v>
      </c>
      <c r="M28" s="426">
        <v>1</v>
      </c>
      <c r="N28" s="426">
        <v>1</v>
      </c>
      <c r="O28" s="426">
        <v>1</v>
      </c>
      <c r="P28" s="426">
        <v>1</v>
      </c>
      <c r="Q28" s="426">
        <v>1</v>
      </c>
      <c r="R28" s="426">
        <v>1</v>
      </c>
      <c r="S28" s="426">
        <v>1</v>
      </c>
      <c r="T28" s="426">
        <v>1</v>
      </c>
      <c r="U28" s="426">
        <v>1</v>
      </c>
      <c r="V28" s="426">
        <v>1</v>
      </c>
      <c r="W28" s="426">
        <v>1</v>
      </c>
      <c r="X28" s="426">
        <v>1</v>
      </c>
      <c r="Y28" s="426">
        <v>1</v>
      </c>
      <c r="Z28" s="426">
        <v>1</v>
      </c>
      <c r="AA28" s="426">
        <v>1</v>
      </c>
      <c r="AB28" s="426">
        <v>1</v>
      </c>
      <c r="AC28" s="426">
        <v>1</v>
      </c>
      <c r="AD28" s="426">
        <v>1</v>
      </c>
      <c r="AE28" s="426">
        <v>1</v>
      </c>
      <c r="AF28" s="426">
        <v>1</v>
      </c>
      <c r="AG28" s="426">
        <v>1</v>
      </c>
      <c r="AH28" s="426">
        <v>1</v>
      </c>
      <c r="AI28" s="426">
        <v>1</v>
      </c>
      <c r="AJ28" s="426">
        <v>1</v>
      </c>
      <c r="AK28" s="426">
        <v>1</v>
      </c>
      <c r="AL28" s="426">
        <v>1</v>
      </c>
      <c r="AN28" s="4" t="s">
        <v>651</v>
      </c>
      <c r="AO28" t="str">
        <f>"U-TRF-OILREFHVA_GAS00"</f>
        <v>U-TRF-OILREFHVA_GAS00</v>
      </c>
      <c r="AP28" t="str">
        <f>"UPS Transformation: Oil refinery HVAC Gas - Existing"</f>
        <v>UPS Transformation: Oil refinery HVAC Gas - Existing</v>
      </c>
      <c r="AQ28" s="4" t="s">
        <v>112</v>
      </c>
      <c r="AR28" s="4" t="s">
        <v>2671</v>
      </c>
      <c r="AS28" s="4"/>
      <c r="AT28" s="4"/>
      <c r="AU28" s="4"/>
    </row>
    <row r="29" spans="1:47">
      <c r="D29" t="str">
        <f>Commodities!$C$104</f>
        <v>UREFBOI</v>
      </c>
      <c r="AN29" s="4" t="s">
        <v>651</v>
      </c>
      <c r="AO29" t="str">
        <f>"U-TRF-OILREFHVA_OIL00"</f>
        <v>U-TRF-OILREFHVA_OIL00</v>
      </c>
      <c r="AP29" t="str">
        <f>"UPS Transformation: Oil refinery HVAC Petroleum product - Existing"</f>
        <v>UPS Transformation: Oil refinery HVAC Petroleum product - Existing</v>
      </c>
      <c r="AQ29" s="4" t="s">
        <v>112</v>
      </c>
      <c r="AR29" s="4" t="s">
        <v>2671</v>
      </c>
      <c r="AS29" s="4"/>
      <c r="AT29" s="4"/>
      <c r="AU29" s="4"/>
    </row>
    <row r="30" spans="1:47">
      <c r="A30" s="4" t="str">
        <f>AO11</f>
        <v>U-TRF-OILREFBOI_OIL00</v>
      </c>
      <c r="B30" s="4" t="str">
        <f>AP11</f>
        <v>UPS Transformation: Oil refinery boilers Petroleum product - Existing</v>
      </c>
      <c r="C30" s="4"/>
      <c r="D30" s="4"/>
      <c r="E30" s="4"/>
      <c r="F30" s="4"/>
      <c r="G30" s="4" t="s">
        <v>695</v>
      </c>
      <c r="H30" s="4"/>
      <c r="I30" s="4"/>
      <c r="J30" s="4" t="s">
        <v>2665</v>
      </c>
      <c r="K30" s="333">
        <v>1</v>
      </c>
      <c r="L30" s="333">
        <v>1</v>
      </c>
      <c r="M30" s="333">
        <v>1</v>
      </c>
      <c r="N30" s="333">
        <v>1</v>
      </c>
      <c r="O30" s="333">
        <v>1</v>
      </c>
      <c r="P30" s="333">
        <v>1</v>
      </c>
      <c r="Q30" s="333">
        <v>1</v>
      </c>
      <c r="R30" s="333">
        <v>1</v>
      </c>
      <c r="S30" s="333">
        <v>1</v>
      </c>
      <c r="T30" s="333">
        <v>1</v>
      </c>
      <c r="U30" s="333">
        <v>1</v>
      </c>
      <c r="V30" s="333">
        <v>1</v>
      </c>
      <c r="W30" s="333">
        <v>1</v>
      </c>
      <c r="X30" s="333">
        <v>1</v>
      </c>
      <c r="Y30" s="333">
        <v>1</v>
      </c>
      <c r="Z30" s="333">
        <v>1</v>
      </c>
      <c r="AA30" s="333">
        <v>1</v>
      </c>
      <c r="AB30" s="333">
        <v>1</v>
      </c>
      <c r="AC30" s="333">
        <v>1</v>
      </c>
      <c r="AD30" s="333">
        <v>1</v>
      </c>
      <c r="AE30" s="333">
        <v>1</v>
      </c>
      <c r="AF30" s="333">
        <v>1</v>
      </c>
      <c r="AG30" s="333">
        <v>1</v>
      </c>
      <c r="AH30" s="333">
        <v>1</v>
      </c>
      <c r="AI30" s="333">
        <v>1</v>
      </c>
      <c r="AJ30" s="333">
        <v>1</v>
      </c>
      <c r="AK30" s="333">
        <v>1</v>
      </c>
      <c r="AL30" s="333">
        <v>1</v>
      </c>
      <c r="AN30" s="4" t="s">
        <v>651</v>
      </c>
      <c r="AO30" t="str">
        <f>"U-TRF-OILREFHVA_BIO00"</f>
        <v>U-TRF-OILREFHVA_BIO00</v>
      </c>
      <c r="AP30" t="str">
        <f>"UPS Transformation: Oil refinery HVAC Biomass - Existing"</f>
        <v>UPS Transformation: Oil refinery HVAC Biomass - Existing</v>
      </c>
      <c r="AQ30" s="4" t="s">
        <v>112</v>
      </c>
      <c r="AR30" s="4" t="s">
        <v>2671</v>
      </c>
      <c r="AS30" s="4"/>
      <c r="AT30" s="4"/>
      <c r="AU30" s="4"/>
    </row>
    <row r="31" spans="1:47">
      <c r="A31" s="4"/>
      <c r="B31" s="4"/>
      <c r="C31" s="4"/>
      <c r="D31" s="4"/>
      <c r="E31" s="4"/>
      <c r="F31" s="4"/>
      <c r="G31" s="4" t="s">
        <v>697</v>
      </c>
      <c r="H31" s="4"/>
      <c r="I31" s="4"/>
      <c r="J31" s="4" t="s">
        <v>698</v>
      </c>
      <c r="K31" s="424">
        <f>'Key inputs_Refineries'!$F$173</f>
        <v>15</v>
      </c>
      <c r="L31" s="424">
        <f>'Key inputs_Refineries'!$F$173</f>
        <v>15</v>
      </c>
      <c r="M31" s="424">
        <f>'Key inputs_Refineries'!$F$173</f>
        <v>15</v>
      </c>
      <c r="N31" s="424">
        <f>'Key inputs_Refineries'!$F$173</f>
        <v>15</v>
      </c>
      <c r="O31" s="424">
        <f>'Key inputs_Refineries'!$F$173</f>
        <v>15</v>
      </c>
      <c r="P31" s="424">
        <f>'Key inputs_Refineries'!$F$173</f>
        <v>15</v>
      </c>
      <c r="Q31" s="424">
        <f>'Key inputs_Refineries'!$F$173</f>
        <v>15</v>
      </c>
      <c r="R31" s="424">
        <f>'Key inputs_Refineries'!$F$173</f>
        <v>15</v>
      </c>
      <c r="S31" s="424">
        <f>'Key inputs_Refineries'!$F$173</f>
        <v>15</v>
      </c>
      <c r="T31" s="424">
        <f>'Key inputs_Refineries'!$F$173</f>
        <v>15</v>
      </c>
      <c r="U31" s="424">
        <f>'Key inputs_Refineries'!$F$173</f>
        <v>15</v>
      </c>
      <c r="V31" s="424">
        <f>'Key inputs_Refineries'!$F$173</f>
        <v>15</v>
      </c>
      <c r="W31" s="424">
        <f>'Key inputs_Refineries'!$F$173</f>
        <v>15</v>
      </c>
      <c r="X31" s="424">
        <f>'Key inputs_Refineries'!$F$173</f>
        <v>15</v>
      </c>
      <c r="Y31" s="424">
        <f>'Key inputs_Refineries'!$F$173</f>
        <v>15</v>
      </c>
      <c r="Z31" s="424">
        <f>'Key inputs_Refineries'!$F$173</f>
        <v>15</v>
      </c>
      <c r="AA31" s="424">
        <f>'Key inputs_Refineries'!$F$173</f>
        <v>15</v>
      </c>
      <c r="AB31" s="424">
        <f>'Key inputs_Refineries'!$F$173</f>
        <v>15</v>
      </c>
      <c r="AC31" s="424">
        <f>'Key inputs_Refineries'!$F$173</f>
        <v>15</v>
      </c>
      <c r="AD31" s="424">
        <f>'Key inputs_Refineries'!$F$173</f>
        <v>15</v>
      </c>
      <c r="AE31" s="424">
        <f>'Key inputs_Refineries'!$F$173</f>
        <v>15</v>
      </c>
      <c r="AF31" s="424">
        <f>'Key inputs_Refineries'!$F$173</f>
        <v>15</v>
      </c>
      <c r="AG31" s="424">
        <f>'Key inputs_Refineries'!$F$173</f>
        <v>15</v>
      </c>
      <c r="AH31" s="424">
        <f>'Key inputs_Refineries'!$F$173</f>
        <v>15</v>
      </c>
      <c r="AI31" s="424">
        <f>'Key inputs_Refineries'!$F$173</f>
        <v>15</v>
      </c>
      <c r="AJ31" s="424">
        <f>'Key inputs_Refineries'!$F$173</f>
        <v>15</v>
      </c>
      <c r="AK31" s="424">
        <f>'Key inputs_Refineries'!$F$173</f>
        <v>15</v>
      </c>
      <c r="AL31" s="424">
        <f>'Key inputs_Refineries'!$F$173</f>
        <v>15</v>
      </c>
      <c r="AN31" s="4" t="s">
        <v>651</v>
      </c>
      <c r="AO31" t="str">
        <f>"U-TRF-OILREFHVA_COA00"</f>
        <v>U-TRF-OILREFHVA_COA00</v>
      </c>
      <c r="AP31" t="str">
        <f>"UPS Transformation: Oil refinery HVAC Coal - Existing"</f>
        <v>UPS Transformation: Oil refinery HVAC Coal - Existing</v>
      </c>
      <c r="AQ31" s="4" t="s">
        <v>112</v>
      </c>
      <c r="AR31" s="4" t="s">
        <v>2671</v>
      </c>
      <c r="AS31" s="4"/>
      <c r="AT31" s="4"/>
      <c r="AU31" s="4"/>
    </row>
    <row r="32" spans="1:47">
      <c r="A32" s="4"/>
      <c r="B32" s="4"/>
      <c r="C32" s="4"/>
      <c r="D32" s="4"/>
      <c r="E32" s="4"/>
      <c r="F32" s="4"/>
      <c r="G32" s="4" t="s">
        <v>699</v>
      </c>
      <c r="H32" s="4"/>
      <c r="I32" s="4">
        <v>2019</v>
      </c>
      <c r="J32" s="4" t="s">
        <v>112</v>
      </c>
      <c r="K32" s="347" cm="1">
        <f t="array" ref="K32">-SUM(SUMIFS('Key inputs_Refineries'!E$85:E$164,'Key inputs_Refineries'!$C$85:$C$164,$C40:$C49,'Key inputs_Refineries'!$B$85:$B$164,"Boiler"))*K39/10^3</f>
        <v>0.25344</v>
      </c>
      <c r="L32" s="347" cm="1">
        <f t="array" ref="L32">-SUM(SUMIFS('Key inputs_Refineries'!F$85:F$164,'Key inputs_Refineries'!$C$85:$C$164,$C40:$C49,'Key inputs_Refineries'!$B$85:$B$164,"Boiler"))*L39/10^3</f>
        <v>6.3847672847974568</v>
      </c>
      <c r="M32" s="347" cm="1">
        <f t="array" ref="M32">-SUM(SUMIFS('Key inputs_Refineries'!G$85:G$164,'Key inputs_Refineries'!$C$85:$C$164,$C40:$C49,'Key inputs_Refineries'!$B$85:$B$164,"Boiler"))*M39/10^3</f>
        <v>0.79373062697154384</v>
      </c>
      <c r="N32" s="347" cm="1">
        <f t="array" ref="N32">-SUM(SUMIFS('Key inputs_Refineries'!H$85:H$164,'Key inputs_Refineries'!$C$85:$C$164,$C40:$C49,'Key inputs_Refineries'!$B$85:$B$164,"Boiler"))*N39/10^3</f>
        <v>0</v>
      </c>
      <c r="O32" s="347" cm="1">
        <f t="array" ref="O32">-SUM(SUMIFS('Key inputs_Refineries'!I$85:I$164,'Key inputs_Refineries'!$C$85:$C$164,$C40:$C49,'Key inputs_Refineries'!$B$85:$B$164,"Boiler"))*O39/10^3</f>
        <v>9.4641200690736351</v>
      </c>
      <c r="P32" s="347" cm="1">
        <f t="array" ref="P32">-SUM(SUMIFS('Key inputs_Refineries'!J$85:J$164,'Key inputs_Refineries'!$C$85:$C$164,$C40:$C49,'Key inputs_Refineries'!$B$85:$B$164,"Boiler"))*P39/10^3</f>
        <v>5.1757915691478411</v>
      </c>
      <c r="Q32" s="347" cm="1">
        <f t="array" ref="Q32">-SUM(SUMIFS('Key inputs_Refineries'!K$85:K$164,'Key inputs_Refineries'!$C$85:$C$164,$C40:$C49,'Key inputs_Refineries'!$B$85:$B$164,"Boiler"))*Q39/10^3</f>
        <v>28.668160000000004</v>
      </c>
      <c r="R32" s="347" cm="1">
        <f t="array" ref="R32">-SUM(SUMIFS('Key inputs_Refineries'!L$85:L$164,'Key inputs_Refineries'!$C$85:$C$164,$C40:$C49,'Key inputs_Refineries'!$B$85:$B$164,"Boiler"))*R39/10^3</f>
        <v>1.163008</v>
      </c>
      <c r="S32" s="347" cm="1">
        <f t="array" ref="S32">-SUM(SUMIFS('Key inputs_Refineries'!M$85:M$164,'Key inputs_Refineries'!$C$85:$C$164,$C40:$C49,'Key inputs_Refineries'!$B$85:$B$164,"Boiler"))*S39/10^3</f>
        <v>8.2765390344827594</v>
      </c>
      <c r="T32" s="347" cm="1">
        <f t="array" ref="T32">-SUM(SUMIFS('Key inputs_Refineries'!N$85:N$164,'Key inputs_Refineries'!$C$85:$C$164,$C40:$C49,'Key inputs_Refineries'!$B$85:$B$164,"Boiler"))*T39/10^3</f>
        <v>23.350826547519794</v>
      </c>
      <c r="U32" s="347" cm="1">
        <f t="array" ref="U32">-SUM(SUMIFS('Key inputs_Refineries'!O$85:O$164,'Key inputs_Refineries'!$C$85:$C$164,$C40:$C49,'Key inputs_Refineries'!$B$85:$B$164,"Boiler"))*U39/10^3</f>
        <v>3.7116651426894212</v>
      </c>
      <c r="V32" s="347" cm="1">
        <f t="array" ref="V32">-SUM(SUMIFS('Key inputs_Refineries'!P$85:P$164,'Key inputs_Refineries'!$C$85:$C$164,$C40:$C49,'Key inputs_Refineries'!$B$85:$B$164,"Boiler"))*V39/10^3</f>
        <v>645.38681676552221</v>
      </c>
      <c r="W32" s="347" cm="1">
        <f t="array" ref="W32">-SUM(SUMIFS('Key inputs_Refineries'!Q$85:Q$164,'Key inputs_Refineries'!$C$85:$C$164,$C40:$C49,'Key inputs_Refineries'!$B$85:$B$164,"Boiler"))*W39/10^3</f>
        <v>8.5672319659015521</v>
      </c>
      <c r="X32" s="347" cm="1">
        <f t="array" ref="X32">-SUM(SUMIFS('Key inputs_Refineries'!R$85:R$164,'Key inputs_Refineries'!$C$85:$C$164,$C40:$C49,'Key inputs_Refineries'!$B$85:$B$164,"Boiler"))*X39/10^3</f>
        <v>20.838347660694417</v>
      </c>
      <c r="Y32" s="347" cm="1">
        <f t="array" ref="Y32">-SUM(SUMIFS('Key inputs_Refineries'!S$85:S$164,'Key inputs_Refineries'!$C$85:$C$164,$C40:$C49,'Key inputs_Refineries'!$B$85:$B$164,"Boiler"))*Y39/10^3</f>
        <v>32.730695440453609</v>
      </c>
      <c r="Z32" s="347" cm="1">
        <f t="array" ref="Z32">-SUM(SUMIFS('Key inputs_Refineries'!T$85:T$164,'Key inputs_Refineries'!$C$85:$C$164,$C40:$C49,'Key inputs_Refineries'!$B$85:$B$164,"Boiler"))*Z39/10^3</f>
        <v>118.49839749271074</v>
      </c>
      <c r="AA32" s="347" cm="1">
        <f t="array" ref="AA32">-SUM(SUMIFS('Key inputs_Refineries'!U$85:U$164,'Key inputs_Refineries'!$C$85:$C$164,$C40:$C49,'Key inputs_Refineries'!$B$85:$B$164,"Boiler"))*AA39/10^3</f>
        <v>111.11632582714303</v>
      </c>
      <c r="AB32" s="347" cm="1">
        <f t="array" ref="AB32">-SUM(SUMIFS('Key inputs_Refineries'!V$85:V$164,'Key inputs_Refineries'!$C$85:$C$164,$C40:$C49,'Key inputs_Refineries'!$B$85:$B$164,"Boiler"))*AB39/10^3</f>
        <v>43.834271714179991</v>
      </c>
      <c r="AC32" s="347" cm="1">
        <f t="array" ref="AC32">-SUM(SUMIFS('Key inputs_Refineries'!W$85:W$164,'Key inputs_Refineries'!$C$85:$C$164,$C40:$C49,'Key inputs_Refineries'!$B$85:$B$164,"Boiler"))*AC39/10^3</f>
        <v>196.03584000000004</v>
      </c>
      <c r="AD32" s="347" cm="1">
        <f t="array" ref="AD32">-SUM(SUMIFS('Key inputs_Refineries'!X$85:X$164,'Key inputs_Refineries'!$C$85:$C$164,$C40:$C49,'Key inputs_Refineries'!$B$85:$B$164,"Boiler"))*AD39/10^3</f>
        <v>72.759811600184051</v>
      </c>
      <c r="AE32" s="347" cm="1">
        <f t="array" ref="AE32">-SUM(SUMIFS('Key inputs_Refineries'!Y$85:Y$164,'Key inputs_Refineries'!$C$85:$C$164,$C40:$C49,'Key inputs_Refineries'!$B$85:$B$164,"Boiler"))*AE39/10^3</f>
        <v>57.630368642371486</v>
      </c>
      <c r="AF32" s="347" cm="1">
        <f t="array" ref="AF32">-SUM(SUMIFS('Key inputs_Refineries'!Z$85:Z$164,'Key inputs_Refineries'!$C$85:$C$164,$C40:$C49,'Key inputs_Refineries'!$B$85:$B$164,"Boiler"))*AF39/10^3</f>
        <v>29.883982149030498</v>
      </c>
      <c r="AG32" s="347" cm="1">
        <f t="array" ref="AG32">-SUM(SUMIFS('Key inputs_Refineries'!AA$85:AA$164,'Key inputs_Refineries'!$C$85:$C$164,$C40:$C49,'Key inputs_Refineries'!$B$85:$B$164,"Boiler"))*AG39/10^3</f>
        <v>84.20893492577801</v>
      </c>
      <c r="AH32" s="347" cm="1">
        <f t="array" ref="AH32">-SUM(SUMIFS('Key inputs_Refineries'!AB$85:AB$164,'Key inputs_Refineries'!$C$85:$C$164,$C40:$C49,'Key inputs_Refineries'!$B$85:$B$164,"Boiler"))*AH39/10^3</f>
        <v>38.742016000000007</v>
      </c>
      <c r="AI32" s="347" cm="1">
        <f t="array" ref="AI32">-SUM(SUMIFS('Key inputs_Refineries'!AC$85:AC$164,'Key inputs_Refineries'!$C$85:$C$164,$C40:$C49,'Key inputs_Refineries'!$B$85:$B$164,"Boiler"))*AI39/10^3</f>
        <v>0.51635200000000014</v>
      </c>
      <c r="AJ32" s="347" cm="1">
        <f t="array" ref="AJ32">-SUM(SUMIFS('Key inputs_Refineries'!AD$85:AD$164,'Key inputs_Refineries'!$C$85:$C$164,$C40:$C49,'Key inputs_Refineries'!$B$85:$B$164,"Boiler"))*AJ39/10^3</f>
        <v>0</v>
      </c>
      <c r="AK32" s="347" cm="1">
        <f t="array" ref="AK32">-SUM(SUMIFS('Key inputs_Refineries'!AE$85:AE$164,'Key inputs_Refineries'!$C$85:$C$164,$C40:$C49,'Key inputs_Refineries'!$B$85:$B$164,"Boiler"))*AK39/10^3</f>
        <v>54.28291625127985</v>
      </c>
      <c r="AL32" s="347" cm="1">
        <f t="array" ref="AL32">-SUM(SUMIFS('Key inputs_Refineries'!AF$85:AF$164,'Key inputs_Refineries'!$C$85:$C$164,$C40:$C49,'Key inputs_Refineries'!$B$85:$B$164,"Boiler"))*AL39/10^3</f>
        <v>183.92386866796261</v>
      </c>
      <c r="AN32" s="4" t="s">
        <v>651</v>
      </c>
      <c r="AO32" t="str">
        <f>"U-TRF-OILREFHVA_ELC00"</f>
        <v>U-TRF-OILREFHVA_ELC00</v>
      </c>
      <c r="AP32" t="str">
        <f>"UPS Transformation: Oil refinery HVAC Electricity - Existing"</f>
        <v>UPS Transformation: Oil refinery HVAC Electricity - Existing</v>
      </c>
      <c r="AQ32" s="4" t="s">
        <v>112</v>
      </c>
      <c r="AR32" s="4" t="s">
        <v>2671</v>
      </c>
      <c r="AS32" s="4"/>
      <c r="AT32" s="4"/>
      <c r="AU32" s="4"/>
    </row>
    <row r="33" spans="3:47">
      <c r="G33" s="4" t="s">
        <v>701</v>
      </c>
      <c r="H33" s="4" t="s">
        <v>661</v>
      </c>
      <c r="I33" s="4">
        <v>2019</v>
      </c>
      <c r="J33" s="4" t="s">
        <v>112</v>
      </c>
      <c r="K33" s="333">
        <v>0</v>
      </c>
      <c r="L33" s="333">
        <v>0</v>
      </c>
      <c r="M33" s="333">
        <v>0</v>
      </c>
      <c r="N33" s="333">
        <v>0</v>
      </c>
      <c r="O33" s="333">
        <v>0</v>
      </c>
      <c r="P33" s="333">
        <v>0</v>
      </c>
      <c r="Q33" s="333">
        <v>0</v>
      </c>
      <c r="R33" s="333">
        <v>0</v>
      </c>
      <c r="S33" s="333">
        <v>0</v>
      </c>
      <c r="T33" s="333">
        <v>0</v>
      </c>
      <c r="U33" s="333">
        <v>0</v>
      </c>
      <c r="V33" s="333">
        <v>0</v>
      </c>
      <c r="W33" s="333">
        <v>0</v>
      </c>
      <c r="X33" s="333">
        <v>0</v>
      </c>
      <c r="Y33" s="333">
        <v>0</v>
      </c>
      <c r="Z33" s="333">
        <v>0</v>
      </c>
      <c r="AA33" s="333">
        <v>0</v>
      </c>
      <c r="AB33" s="333">
        <v>0</v>
      </c>
      <c r="AC33" s="333">
        <v>0</v>
      </c>
      <c r="AD33" s="333">
        <v>0</v>
      </c>
      <c r="AE33" s="333">
        <v>0</v>
      </c>
      <c r="AF33" s="333">
        <v>0</v>
      </c>
      <c r="AG33" s="333">
        <v>0</v>
      </c>
      <c r="AH33" s="333">
        <v>0</v>
      </c>
      <c r="AI33" s="333">
        <v>0</v>
      </c>
      <c r="AJ33" s="333">
        <v>0</v>
      </c>
      <c r="AK33" s="333">
        <v>0</v>
      </c>
      <c r="AL33" s="333">
        <v>0</v>
      </c>
      <c r="AN33" s="4" t="s">
        <v>651</v>
      </c>
      <c r="AO33" t="str">
        <f>"U-TRF-OILREFHVA_HET00"</f>
        <v>U-TRF-OILREFHVA_HET00</v>
      </c>
      <c r="AP33" t="str">
        <f>"UPS Transformation: Oil refinery HVAC Heat - Existing"</f>
        <v>UPS Transformation: Oil refinery HVAC Heat - Existing</v>
      </c>
      <c r="AQ33" s="4" t="s">
        <v>112</v>
      </c>
      <c r="AR33" s="4" t="s">
        <v>2671</v>
      </c>
      <c r="AS33" s="4"/>
      <c r="AT33" s="4"/>
      <c r="AU33" s="4"/>
    </row>
    <row r="34" spans="3:47">
      <c r="G34" s="4" t="s">
        <v>701</v>
      </c>
      <c r="H34" s="4" t="s">
        <v>661</v>
      </c>
      <c r="I34" s="4">
        <v>2060</v>
      </c>
      <c r="J34" s="4" t="s">
        <v>112</v>
      </c>
      <c r="K34" s="333">
        <v>0</v>
      </c>
      <c r="L34" s="333">
        <v>0</v>
      </c>
      <c r="M34" s="333">
        <v>0</v>
      </c>
      <c r="N34" s="333">
        <v>0</v>
      </c>
      <c r="O34" s="333">
        <v>0</v>
      </c>
      <c r="P34" s="333">
        <v>0</v>
      </c>
      <c r="Q34" s="333">
        <v>0</v>
      </c>
      <c r="R34" s="333">
        <v>0</v>
      </c>
      <c r="S34" s="333">
        <v>0</v>
      </c>
      <c r="T34" s="333">
        <v>0</v>
      </c>
      <c r="U34" s="333">
        <v>0</v>
      </c>
      <c r="V34" s="333">
        <v>0</v>
      </c>
      <c r="W34" s="333">
        <v>0</v>
      </c>
      <c r="X34" s="333">
        <v>0</v>
      </c>
      <c r="Y34" s="333">
        <v>0</v>
      </c>
      <c r="Z34" s="333">
        <v>0</v>
      </c>
      <c r="AA34" s="333">
        <v>0</v>
      </c>
      <c r="AB34" s="333">
        <v>0</v>
      </c>
      <c r="AC34" s="333">
        <v>0</v>
      </c>
      <c r="AD34" s="333">
        <v>0</v>
      </c>
      <c r="AE34" s="333">
        <v>0</v>
      </c>
      <c r="AF34" s="333">
        <v>0</v>
      </c>
      <c r="AG34" s="333">
        <v>0</v>
      </c>
      <c r="AH34" s="333">
        <v>0</v>
      </c>
      <c r="AI34" s="333">
        <v>0</v>
      </c>
      <c r="AJ34" s="333">
        <v>0</v>
      </c>
      <c r="AK34" s="333">
        <v>0</v>
      </c>
      <c r="AL34" s="333">
        <v>0</v>
      </c>
      <c r="AT34" s="4"/>
      <c r="AU34" s="4"/>
    </row>
    <row r="35" spans="3:47">
      <c r="G35" s="4" t="s">
        <v>701</v>
      </c>
      <c r="H35" s="4" t="s">
        <v>661</v>
      </c>
      <c r="I35" s="4">
        <v>0</v>
      </c>
      <c r="J35" s="4"/>
      <c r="K35" s="333">
        <v>5</v>
      </c>
      <c r="L35" s="333">
        <v>5</v>
      </c>
      <c r="M35" s="333">
        <v>5</v>
      </c>
      <c r="N35" s="333">
        <v>5</v>
      </c>
      <c r="O35" s="333">
        <v>5</v>
      </c>
      <c r="P35" s="333">
        <v>5</v>
      </c>
      <c r="Q35" s="333">
        <v>5</v>
      </c>
      <c r="R35" s="333">
        <v>5</v>
      </c>
      <c r="S35" s="333">
        <v>5</v>
      </c>
      <c r="T35" s="333">
        <v>5</v>
      </c>
      <c r="U35" s="333">
        <v>5</v>
      </c>
      <c r="V35" s="333">
        <v>5</v>
      </c>
      <c r="W35" s="333">
        <v>5</v>
      </c>
      <c r="X35" s="333">
        <v>5</v>
      </c>
      <c r="Y35" s="333">
        <v>5</v>
      </c>
      <c r="Z35" s="333">
        <v>5</v>
      </c>
      <c r="AA35" s="333">
        <v>5</v>
      </c>
      <c r="AB35" s="333">
        <v>5</v>
      </c>
      <c r="AC35" s="333">
        <v>5</v>
      </c>
      <c r="AD35" s="333">
        <v>5</v>
      </c>
      <c r="AE35" s="333">
        <v>5</v>
      </c>
      <c r="AF35" s="333">
        <v>5</v>
      </c>
      <c r="AG35" s="333">
        <v>5</v>
      </c>
      <c r="AH35" s="333">
        <v>5</v>
      </c>
      <c r="AI35" s="333">
        <v>5</v>
      </c>
      <c r="AJ35" s="333">
        <v>5</v>
      </c>
      <c r="AK35" s="333">
        <v>5</v>
      </c>
      <c r="AL35" s="333">
        <v>5</v>
      </c>
      <c r="AT35" s="4"/>
      <c r="AU35" s="4"/>
    </row>
    <row r="36" spans="3:47">
      <c r="G36" s="4" t="s">
        <v>687</v>
      </c>
      <c r="H36" s="4"/>
      <c r="I36" s="4"/>
      <c r="J36" s="4" t="s">
        <v>2663</v>
      </c>
      <c r="K36" s="174">
        <f>'Key inputs_Refineries'!$C$173*10^3</f>
        <v>1040.6880000000001</v>
      </c>
      <c r="L36" s="174">
        <f>'Key inputs_Refineries'!$C$173*10^3</f>
        <v>1040.6880000000001</v>
      </c>
      <c r="M36" s="174">
        <f>'Key inputs_Refineries'!$C$173*10^3</f>
        <v>1040.6880000000001</v>
      </c>
      <c r="N36" s="174">
        <f>'Key inputs_Refineries'!$C$173*10^3</f>
        <v>1040.6880000000001</v>
      </c>
      <c r="O36" s="174">
        <f>'Key inputs_Refineries'!$C$173*10^3</f>
        <v>1040.6880000000001</v>
      </c>
      <c r="P36" s="174">
        <f>'Key inputs_Refineries'!$C$173*10^3</f>
        <v>1040.6880000000001</v>
      </c>
      <c r="Q36" s="174">
        <f>'Key inputs_Refineries'!$C$173*10^3</f>
        <v>1040.6880000000001</v>
      </c>
      <c r="R36" s="174">
        <f>'Key inputs_Refineries'!$C$173*10^3</f>
        <v>1040.6880000000001</v>
      </c>
      <c r="S36" s="174">
        <f>'Key inputs_Refineries'!$C$173*10^3</f>
        <v>1040.6880000000001</v>
      </c>
      <c r="T36" s="174">
        <f>'Key inputs_Refineries'!$C$173*10^3</f>
        <v>1040.6880000000001</v>
      </c>
      <c r="U36" s="174">
        <f>'Key inputs_Refineries'!$C$173*10^3</f>
        <v>1040.6880000000001</v>
      </c>
      <c r="V36" s="174">
        <f>'Key inputs_Refineries'!$C$173*10^3</f>
        <v>1040.6880000000001</v>
      </c>
      <c r="W36" s="174">
        <f>'Key inputs_Refineries'!$C$173*10^3</f>
        <v>1040.6880000000001</v>
      </c>
      <c r="X36" s="174">
        <f>'Key inputs_Refineries'!$C$173*10^3</f>
        <v>1040.6880000000001</v>
      </c>
      <c r="Y36" s="174">
        <f>'Key inputs_Refineries'!$C$173*10^3</f>
        <v>1040.6880000000001</v>
      </c>
      <c r="Z36" s="174">
        <f>'Key inputs_Refineries'!$C$173*10^3</f>
        <v>1040.6880000000001</v>
      </c>
      <c r="AA36" s="174">
        <f>'Key inputs_Refineries'!$C$173*10^3</f>
        <v>1040.6880000000001</v>
      </c>
      <c r="AB36" s="174">
        <f>'Key inputs_Refineries'!$C$173*10^3</f>
        <v>1040.6880000000001</v>
      </c>
      <c r="AC36" s="174">
        <f>'Key inputs_Refineries'!$C$173*10^3</f>
        <v>1040.6880000000001</v>
      </c>
      <c r="AD36" s="174">
        <f>'Key inputs_Refineries'!$C$173*10^3</f>
        <v>1040.6880000000001</v>
      </c>
      <c r="AE36" s="174">
        <f>'Key inputs_Refineries'!$C$173*10^3</f>
        <v>1040.6880000000001</v>
      </c>
      <c r="AF36" s="174">
        <f>'Key inputs_Refineries'!$C$173*10^3</f>
        <v>1040.6880000000001</v>
      </c>
      <c r="AG36" s="174">
        <f>'Key inputs_Refineries'!$C$173*10^3</f>
        <v>1040.6880000000001</v>
      </c>
      <c r="AH36" s="174">
        <f>'Key inputs_Refineries'!$C$173*10^3</f>
        <v>1040.6880000000001</v>
      </c>
      <c r="AI36" s="174">
        <f>'Key inputs_Refineries'!$C$173*10^3</f>
        <v>1040.6880000000001</v>
      </c>
      <c r="AJ36" s="174">
        <f>'Key inputs_Refineries'!$C$173*10^3</f>
        <v>1040.6880000000001</v>
      </c>
      <c r="AK36" s="174">
        <f>'Key inputs_Refineries'!$C$173*10^3</f>
        <v>1040.6880000000001</v>
      </c>
      <c r="AL36" s="174">
        <f>'Key inputs_Refineries'!$C$173*10^3</f>
        <v>1040.6880000000001</v>
      </c>
      <c r="AT36" s="4"/>
      <c r="AU36" s="4"/>
    </row>
    <row r="37" spans="3:47">
      <c r="G37" s="4" t="s">
        <v>689</v>
      </c>
      <c r="H37" s="4"/>
      <c r="I37" s="4"/>
      <c r="J37" s="4" t="s">
        <v>2663</v>
      </c>
      <c r="K37" s="174">
        <f>'Key inputs_Refineries'!$D$173*10^3</f>
        <v>9.4608000000000008</v>
      </c>
      <c r="L37" s="174">
        <f>'Key inputs_Refineries'!$D$173*10^3</f>
        <v>9.4608000000000008</v>
      </c>
      <c r="M37" s="174">
        <f>'Key inputs_Refineries'!$D$173*10^3</f>
        <v>9.4608000000000008</v>
      </c>
      <c r="N37" s="174">
        <f>'Key inputs_Refineries'!$D$173*10^3</f>
        <v>9.4608000000000008</v>
      </c>
      <c r="O37" s="174">
        <f>'Key inputs_Refineries'!$D$173*10^3</f>
        <v>9.4608000000000008</v>
      </c>
      <c r="P37" s="174">
        <f>'Key inputs_Refineries'!$D$173*10^3</f>
        <v>9.4608000000000008</v>
      </c>
      <c r="Q37" s="174">
        <f>'Key inputs_Refineries'!$D$173*10^3</f>
        <v>9.4608000000000008</v>
      </c>
      <c r="R37" s="174">
        <f>'Key inputs_Refineries'!$D$173*10^3</f>
        <v>9.4608000000000008</v>
      </c>
      <c r="S37" s="174">
        <f>'Key inputs_Refineries'!$D$173*10^3</f>
        <v>9.4608000000000008</v>
      </c>
      <c r="T37" s="174">
        <f>'Key inputs_Refineries'!$D$173*10^3</f>
        <v>9.4608000000000008</v>
      </c>
      <c r="U37" s="174">
        <f>'Key inputs_Refineries'!$D$173*10^3</f>
        <v>9.4608000000000008</v>
      </c>
      <c r="V37" s="174">
        <f>'Key inputs_Refineries'!$D$173*10^3</f>
        <v>9.4608000000000008</v>
      </c>
      <c r="W37" s="174">
        <f>'Key inputs_Refineries'!$D$173*10^3</f>
        <v>9.4608000000000008</v>
      </c>
      <c r="X37" s="174">
        <f>'Key inputs_Refineries'!$D$173*10^3</f>
        <v>9.4608000000000008</v>
      </c>
      <c r="Y37" s="174">
        <f>'Key inputs_Refineries'!$D$173*10^3</f>
        <v>9.4608000000000008</v>
      </c>
      <c r="Z37" s="174">
        <f>'Key inputs_Refineries'!$D$173*10^3</f>
        <v>9.4608000000000008</v>
      </c>
      <c r="AA37" s="174">
        <f>'Key inputs_Refineries'!$D$173*10^3</f>
        <v>9.4608000000000008</v>
      </c>
      <c r="AB37" s="174">
        <f>'Key inputs_Refineries'!$D$173*10^3</f>
        <v>9.4608000000000008</v>
      </c>
      <c r="AC37" s="174">
        <f>'Key inputs_Refineries'!$D$173*10^3</f>
        <v>9.4608000000000008</v>
      </c>
      <c r="AD37" s="174">
        <f>'Key inputs_Refineries'!$D$173*10^3</f>
        <v>9.4608000000000008</v>
      </c>
      <c r="AE37" s="174">
        <f>'Key inputs_Refineries'!$D$173*10^3</f>
        <v>9.4608000000000008</v>
      </c>
      <c r="AF37" s="174">
        <f>'Key inputs_Refineries'!$D$173*10^3</f>
        <v>9.4608000000000008</v>
      </c>
      <c r="AG37" s="174">
        <f>'Key inputs_Refineries'!$D$173*10^3</f>
        <v>9.4608000000000008</v>
      </c>
      <c r="AH37" s="174">
        <f>'Key inputs_Refineries'!$D$173*10^3</f>
        <v>9.4608000000000008</v>
      </c>
      <c r="AI37" s="174">
        <f>'Key inputs_Refineries'!$D$173*10^3</f>
        <v>9.4608000000000008</v>
      </c>
      <c r="AJ37" s="174">
        <f>'Key inputs_Refineries'!$D$173*10^3</f>
        <v>9.4608000000000008</v>
      </c>
      <c r="AK37" s="174">
        <f>'Key inputs_Refineries'!$D$173*10^3</f>
        <v>9.4608000000000008</v>
      </c>
      <c r="AL37" s="174">
        <f>'Key inputs_Refineries'!$D$173*10^3</f>
        <v>9.4608000000000008</v>
      </c>
      <c r="AT37" s="4"/>
      <c r="AU37" s="4"/>
    </row>
    <row r="38" spans="3:47">
      <c r="G38" s="4" t="s">
        <v>675</v>
      </c>
      <c r="H38" s="4"/>
      <c r="I38" s="4"/>
      <c r="J38" s="4" t="s">
        <v>2662</v>
      </c>
      <c r="AT38" s="4"/>
      <c r="AU38" s="4"/>
    </row>
    <row r="39" spans="3:47">
      <c r="G39" s="4" t="s">
        <v>630</v>
      </c>
      <c r="H39" s="4"/>
      <c r="I39" s="4"/>
      <c r="J39" s="4" t="s">
        <v>2666</v>
      </c>
      <c r="K39" s="419">
        <f>'Key inputs_Refineries'!$H$173</f>
        <v>0.8</v>
      </c>
      <c r="L39" s="419">
        <f>'Key inputs_Refineries'!$H$173</f>
        <v>0.8</v>
      </c>
      <c r="M39" s="419">
        <f>'Key inputs_Refineries'!$H$173</f>
        <v>0.8</v>
      </c>
      <c r="N39" s="419">
        <f>'Key inputs_Refineries'!$H$173</f>
        <v>0.8</v>
      </c>
      <c r="O39" s="419">
        <f>'Key inputs_Refineries'!$H$173</f>
        <v>0.8</v>
      </c>
      <c r="P39" s="419">
        <f>'Key inputs_Refineries'!$H$173</f>
        <v>0.8</v>
      </c>
      <c r="Q39" s="419">
        <f>'Key inputs_Refineries'!$H$173</f>
        <v>0.8</v>
      </c>
      <c r="R39" s="419">
        <f>'Key inputs_Refineries'!$H$173</f>
        <v>0.8</v>
      </c>
      <c r="S39" s="419">
        <f>'Key inputs_Refineries'!$H$173</f>
        <v>0.8</v>
      </c>
      <c r="T39" s="419">
        <f>'Key inputs_Refineries'!$H$173</f>
        <v>0.8</v>
      </c>
      <c r="U39" s="419">
        <f>'Key inputs_Refineries'!$H$173</f>
        <v>0.8</v>
      </c>
      <c r="V39" s="419">
        <f>'Key inputs_Refineries'!$H$173</f>
        <v>0.8</v>
      </c>
      <c r="W39" s="419">
        <f>'Key inputs_Refineries'!$H$173</f>
        <v>0.8</v>
      </c>
      <c r="X39" s="419">
        <f>'Key inputs_Refineries'!$H$173</f>
        <v>0.8</v>
      </c>
      <c r="Y39" s="419">
        <f>'Key inputs_Refineries'!$H$173</f>
        <v>0.8</v>
      </c>
      <c r="Z39" s="419">
        <f>'Key inputs_Refineries'!$H$173</f>
        <v>0.8</v>
      </c>
      <c r="AA39" s="419">
        <f>'Key inputs_Refineries'!$H$173</f>
        <v>0.8</v>
      </c>
      <c r="AB39" s="419">
        <f>'Key inputs_Refineries'!$H$173</f>
        <v>0.8</v>
      </c>
      <c r="AC39" s="419">
        <f>'Key inputs_Refineries'!$H$173</f>
        <v>0.8</v>
      </c>
      <c r="AD39" s="419">
        <f>'Key inputs_Refineries'!$H$173</f>
        <v>0.8</v>
      </c>
      <c r="AE39" s="419">
        <f>'Key inputs_Refineries'!$H$173</f>
        <v>0.8</v>
      </c>
      <c r="AF39" s="419">
        <f>'Key inputs_Refineries'!$H$173</f>
        <v>0.8</v>
      </c>
      <c r="AG39" s="419">
        <f>'Key inputs_Refineries'!$H$173</f>
        <v>0.8</v>
      </c>
      <c r="AH39" s="419">
        <f>'Key inputs_Refineries'!$H$173</f>
        <v>0.8</v>
      </c>
      <c r="AI39" s="419">
        <f>'Key inputs_Refineries'!$H$173</f>
        <v>0.8</v>
      </c>
      <c r="AJ39" s="419">
        <f>'Key inputs_Refineries'!$H$173</f>
        <v>0.8</v>
      </c>
      <c r="AK39" s="419">
        <f>'Key inputs_Refineries'!$H$173</f>
        <v>0.8</v>
      </c>
      <c r="AL39" s="419">
        <f>'Key inputs_Refineries'!$H$173</f>
        <v>0.8</v>
      </c>
      <c r="AT39" s="4"/>
      <c r="AU39" s="4"/>
    </row>
    <row r="40" spans="3:47">
      <c r="C40" t="str">
        <f>Commodities!$C$80</f>
        <v>UPSBDL</v>
      </c>
      <c r="G40" s="4" t="s">
        <v>702</v>
      </c>
      <c r="H40" t="s">
        <v>661</v>
      </c>
      <c r="I40">
        <v>2019</v>
      </c>
      <c r="J40" s="4" t="s">
        <v>650</v>
      </c>
      <c r="K40" s="173" cm="1">
        <f t="array" ref="K40">IFERROR(IF(AND(SUMIFS('Key inputs_Refineries'!E$85:E$164,'Key inputs_Refineries'!$C$85:$C$164,$C40,'Key inputs_Refineries'!$B$85:$B$164,"Boiler")/SUM(SUMIFS('Key inputs_Refineries'!E$85:E$164,'Key inputs_Refineries'!$C$85:$C$164,$C40:$C49,'Key inputs_Refineries'!$B$85:$B$164,"Boiler"))&gt;0,SUMIFS('Key inputs_Refineries'!E$85:E$164,'Key inputs_Refineries'!$C$85:$C$164,$C40,'Key inputs_Refineries'!$B$85:$B$164,"Boiler")/SUM(SUMIFS('Key inputs_Refineries'!E$85:E$164,'Key inputs_Refineries'!$C$85:$C$164,$C40:$C49,'Key inputs_Refineries'!$B$85:$B$164,"Boiler"))&lt;0.001),0.001,SUMIFS('Key inputs_Refineries'!E$85:E$164,'Key inputs_Refineries'!$C$85:$C$164,$C40,'Key inputs_Refineries'!$B$85:$B$164,"Boiler")/SUM(SUMIFS('Key inputs_Refineries'!E$85:E$164,'Key inputs_Refineries'!$C$85:$C$164,$C40:$C49,'Key inputs_Refineries'!$B$85:$B$164,"Boiler"))),0)</f>
        <v>0</v>
      </c>
      <c r="L40" s="173" cm="1">
        <f t="array" ref="L40">IFERROR(IF(AND(SUMIFS('Key inputs_Refineries'!F$85:F$164,'Key inputs_Refineries'!$C$85:$C$164,$C40,'Key inputs_Refineries'!$B$85:$B$164,"Boiler")/SUM(SUMIFS('Key inputs_Refineries'!F$85:F$164,'Key inputs_Refineries'!$C$85:$C$164,$C40:$C49,'Key inputs_Refineries'!$B$85:$B$164,"Boiler"))&gt;0,SUMIFS('Key inputs_Refineries'!F$85:F$164,'Key inputs_Refineries'!$C$85:$C$164,$C40,'Key inputs_Refineries'!$B$85:$B$164,"Boiler")/SUM(SUMIFS('Key inputs_Refineries'!F$85:F$164,'Key inputs_Refineries'!$C$85:$C$164,$C40:$C49,'Key inputs_Refineries'!$B$85:$B$164,"Boiler"))&lt;0.001),0.001,SUMIFS('Key inputs_Refineries'!F$85:F$164,'Key inputs_Refineries'!$C$85:$C$164,$C40,'Key inputs_Refineries'!$B$85:$B$164,"Boiler")/SUM(SUMIFS('Key inputs_Refineries'!F$85:F$164,'Key inputs_Refineries'!$C$85:$C$164,$C40:$C49,'Key inputs_Refineries'!$B$85:$B$164,"Boiler"))),0)</f>
        <v>0</v>
      </c>
      <c r="M40" s="173" cm="1">
        <f t="array" ref="M40">IFERROR(IF(AND(SUMIFS('Key inputs_Refineries'!G$85:G$164,'Key inputs_Refineries'!$C$85:$C$164,$C40,'Key inputs_Refineries'!$B$85:$B$164,"Boiler")/SUM(SUMIFS('Key inputs_Refineries'!G$85:G$164,'Key inputs_Refineries'!$C$85:$C$164,$C40:$C49,'Key inputs_Refineries'!$B$85:$B$164,"Boiler"))&gt;0,SUMIFS('Key inputs_Refineries'!G$85:G$164,'Key inputs_Refineries'!$C$85:$C$164,$C40,'Key inputs_Refineries'!$B$85:$B$164,"Boiler")/SUM(SUMIFS('Key inputs_Refineries'!G$85:G$164,'Key inputs_Refineries'!$C$85:$C$164,$C40:$C49,'Key inputs_Refineries'!$B$85:$B$164,"Boiler"))&lt;0.001),0.001,SUMIFS('Key inputs_Refineries'!G$85:G$164,'Key inputs_Refineries'!$C$85:$C$164,$C40,'Key inputs_Refineries'!$B$85:$B$164,"Boiler")/SUM(SUMIFS('Key inputs_Refineries'!G$85:G$164,'Key inputs_Refineries'!$C$85:$C$164,$C40:$C49,'Key inputs_Refineries'!$B$85:$B$164,"Boiler"))),0)</f>
        <v>0</v>
      </c>
      <c r="N40" s="173" cm="1">
        <f t="array" ref="N40">IFERROR(IF(AND(SUMIFS('Key inputs_Refineries'!H$85:H$164,'Key inputs_Refineries'!$C$85:$C$164,$C40,'Key inputs_Refineries'!$B$85:$B$164,"Boiler")/SUM(SUMIFS('Key inputs_Refineries'!H$85:H$164,'Key inputs_Refineries'!$C$85:$C$164,$C40:$C49,'Key inputs_Refineries'!$B$85:$B$164,"Boiler"))&gt;0,SUMIFS('Key inputs_Refineries'!H$85:H$164,'Key inputs_Refineries'!$C$85:$C$164,$C40,'Key inputs_Refineries'!$B$85:$B$164,"Boiler")/SUM(SUMIFS('Key inputs_Refineries'!H$85:H$164,'Key inputs_Refineries'!$C$85:$C$164,$C40:$C49,'Key inputs_Refineries'!$B$85:$B$164,"Boiler"))&lt;0.001),0.001,SUMIFS('Key inputs_Refineries'!H$85:H$164,'Key inputs_Refineries'!$C$85:$C$164,$C40,'Key inputs_Refineries'!$B$85:$B$164,"Boiler")/SUM(SUMIFS('Key inputs_Refineries'!H$85:H$164,'Key inputs_Refineries'!$C$85:$C$164,$C40:$C49,'Key inputs_Refineries'!$B$85:$B$164,"Boiler"))),0)</f>
        <v>0</v>
      </c>
      <c r="O40" s="173" cm="1">
        <f t="array" ref="O40">IFERROR(IF(AND(SUMIFS('Key inputs_Refineries'!I$85:I$164,'Key inputs_Refineries'!$C$85:$C$164,$C40,'Key inputs_Refineries'!$B$85:$B$164,"Boiler")/SUM(SUMIFS('Key inputs_Refineries'!I$85:I$164,'Key inputs_Refineries'!$C$85:$C$164,$C40:$C49,'Key inputs_Refineries'!$B$85:$B$164,"Boiler"))&gt;0,SUMIFS('Key inputs_Refineries'!I$85:I$164,'Key inputs_Refineries'!$C$85:$C$164,$C40,'Key inputs_Refineries'!$B$85:$B$164,"Boiler")/SUM(SUMIFS('Key inputs_Refineries'!I$85:I$164,'Key inputs_Refineries'!$C$85:$C$164,$C40:$C49,'Key inputs_Refineries'!$B$85:$B$164,"Boiler"))&lt;0.001),0.001,SUMIFS('Key inputs_Refineries'!I$85:I$164,'Key inputs_Refineries'!$C$85:$C$164,$C40,'Key inputs_Refineries'!$B$85:$B$164,"Boiler")/SUM(SUMIFS('Key inputs_Refineries'!I$85:I$164,'Key inputs_Refineries'!$C$85:$C$164,$C40:$C49,'Key inputs_Refineries'!$B$85:$B$164,"Boiler"))),0)</f>
        <v>0</v>
      </c>
      <c r="P40" s="173" cm="1">
        <f t="array" ref="P40">IFERROR(IF(AND(SUMIFS('Key inputs_Refineries'!J$85:J$164,'Key inputs_Refineries'!$C$85:$C$164,$C40,'Key inputs_Refineries'!$B$85:$B$164,"Boiler")/SUM(SUMIFS('Key inputs_Refineries'!J$85:J$164,'Key inputs_Refineries'!$C$85:$C$164,$C40:$C49,'Key inputs_Refineries'!$B$85:$B$164,"Boiler"))&gt;0,SUMIFS('Key inputs_Refineries'!J$85:J$164,'Key inputs_Refineries'!$C$85:$C$164,$C40,'Key inputs_Refineries'!$B$85:$B$164,"Boiler")/SUM(SUMIFS('Key inputs_Refineries'!J$85:J$164,'Key inputs_Refineries'!$C$85:$C$164,$C40:$C49,'Key inputs_Refineries'!$B$85:$B$164,"Boiler"))&lt;0.001),0.001,SUMIFS('Key inputs_Refineries'!J$85:J$164,'Key inputs_Refineries'!$C$85:$C$164,$C40,'Key inputs_Refineries'!$B$85:$B$164,"Boiler")/SUM(SUMIFS('Key inputs_Refineries'!J$85:J$164,'Key inputs_Refineries'!$C$85:$C$164,$C40:$C49,'Key inputs_Refineries'!$B$85:$B$164,"Boiler"))),0)</f>
        <v>0</v>
      </c>
      <c r="Q40" s="173" cm="1">
        <f t="array" ref="Q40">IFERROR(IF(AND(SUMIFS('Key inputs_Refineries'!K$85:K$164,'Key inputs_Refineries'!$C$85:$C$164,$C40,'Key inputs_Refineries'!$B$85:$B$164,"Boiler")/SUM(SUMIFS('Key inputs_Refineries'!K$85:K$164,'Key inputs_Refineries'!$C$85:$C$164,$C40:$C49,'Key inputs_Refineries'!$B$85:$B$164,"Boiler"))&gt;0,SUMIFS('Key inputs_Refineries'!K$85:K$164,'Key inputs_Refineries'!$C$85:$C$164,$C40,'Key inputs_Refineries'!$B$85:$B$164,"Boiler")/SUM(SUMIFS('Key inputs_Refineries'!K$85:K$164,'Key inputs_Refineries'!$C$85:$C$164,$C40:$C49,'Key inputs_Refineries'!$B$85:$B$164,"Boiler"))&lt;0.001),0.001,SUMIFS('Key inputs_Refineries'!K$85:K$164,'Key inputs_Refineries'!$C$85:$C$164,$C40,'Key inputs_Refineries'!$B$85:$B$164,"Boiler")/SUM(SUMIFS('Key inputs_Refineries'!K$85:K$164,'Key inputs_Refineries'!$C$85:$C$164,$C40:$C49,'Key inputs_Refineries'!$B$85:$B$164,"Boiler"))),0)</f>
        <v>0</v>
      </c>
      <c r="R40" s="173" cm="1">
        <f t="array" ref="R40">IFERROR(IF(AND(SUMIFS('Key inputs_Refineries'!L$85:L$164,'Key inputs_Refineries'!$C$85:$C$164,$C40,'Key inputs_Refineries'!$B$85:$B$164,"Boiler")/SUM(SUMIFS('Key inputs_Refineries'!L$85:L$164,'Key inputs_Refineries'!$C$85:$C$164,$C40:$C49,'Key inputs_Refineries'!$B$85:$B$164,"Boiler"))&gt;0,SUMIFS('Key inputs_Refineries'!L$85:L$164,'Key inputs_Refineries'!$C$85:$C$164,$C40,'Key inputs_Refineries'!$B$85:$B$164,"Boiler")/SUM(SUMIFS('Key inputs_Refineries'!L$85:L$164,'Key inputs_Refineries'!$C$85:$C$164,$C40:$C49,'Key inputs_Refineries'!$B$85:$B$164,"Boiler"))&lt;0.001),0.001,SUMIFS('Key inputs_Refineries'!L$85:L$164,'Key inputs_Refineries'!$C$85:$C$164,$C40,'Key inputs_Refineries'!$B$85:$B$164,"Boiler")/SUM(SUMIFS('Key inputs_Refineries'!L$85:L$164,'Key inputs_Refineries'!$C$85:$C$164,$C40:$C49,'Key inputs_Refineries'!$B$85:$B$164,"Boiler"))),0)</f>
        <v>0</v>
      </c>
      <c r="S40" s="173" cm="1">
        <f t="array" ref="S40">IFERROR(IF(AND(SUMIFS('Key inputs_Refineries'!M$85:M$164,'Key inputs_Refineries'!$C$85:$C$164,$C40,'Key inputs_Refineries'!$B$85:$B$164,"Boiler")/SUM(SUMIFS('Key inputs_Refineries'!M$85:M$164,'Key inputs_Refineries'!$C$85:$C$164,$C40:$C49,'Key inputs_Refineries'!$B$85:$B$164,"Boiler"))&gt;0,SUMIFS('Key inputs_Refineries'!M$85:M$164,'Key inputs_Refineries'!$C$85:$C$164,$C40,'Key inputs_Refineries'!$B$85:$B$164,"Boiler")/SUM(SUMIFS('Key inputs_Refineries'!M$85:M$164,'Key inputs_Refineries'!$C$85:$C$164,$C40:$C49,'Key inputs_Refineries'!$B$85:$B$164,"Boiler"))&lt;0.001),0.001,SUMIFS('Key inputs_Refineries'!M$85:M$164,'Key inputs_Refineries'!$C$85:$C$164,$C40,'Key inputs_Refineries'!$B$85:$B$164,"Boiler")/SUM(SUMIFS('Key inputs_Refineries'!M$85:M$164,'Key inputs_Refineries'!$C$85:$C$164,$C40:$C49,'Key inputs_Refineries'!$B$85:$B$164,"Boiler"))),0)</f>
        <v>0</v>
      </c>
      <c r="T40" s="173" cm="1">
        <f t="array" ref="T40">IFERROR(IF(AND(SUMIFS('Key inputs_Refineries'!N$85:N$164,'Key inputs_Refineries'!$C$85:$C$164,$C40,'Key inputs_Refineries'!$B$85:$B$164,"Boiler")/SUM(SUMIFS('Key inputs_Refineries'!N$85:N$164,'Key inputs_Refineries'!$C$85:$C$164,$C40:$C49,'Key inputs_Refineries'!$B$85:$B$164,"Boiler"))&gt;0,SUMIFS('Key inputs_Refineries'!N$85:N$164,'Key inputs_Refineries'!$C$85:$C$164,$C40,'Key inputs_Refineries'!$B$85:$B$164,"Boiler")/SUM(SUMIFS('Key inputs_Refineries'!N$85:N$164,'Key inputs_Refineries'!$C$85:$C$164,$C40:$C49,'Key inputs_Refineries'!$B$85:$B$164,"Boiler"))&lt;0.001),0.001,SUMIFS('Key inputs_Refineries'!N$85:N$164,'Key inputs_Refineries'!$C$85:$C$164,$C40,'Key inputs_Refineries'!$B$85:$B$164,"Boiler")/SUM(SUMIFS('Key inputs_Refineries'!N$85:N$164,'Key inputs_Refineries'!$C$85:$C$164,$C40:$C49,'Key inputs_Refineries'!$B$85:$B$164,"Boiler"))),0)</f>
        <v>0</v>
      </c>
      <c r="U40" s="173" cm="1">
        <f t="array" ref="U40">IFERROR(IF(AND(SUMIFS('Key inputs_Refineries'!O$85:O$164,'Key inputs_Refineries'!$C$85:$C$164,$C40,'Key inputs_Refineries'!$B$85:$B$164,"Boiler")/SUM(SUMIFS('Key inputs_Refineries'!O$85:O$164,'Key inputs_Refineries'!$C$85:$C$164,$C40:$C49,'Key inputs_Refineries'!$B$85:$B$164,"Boiler"))&gt;0,SUMIFS('Key inputs_Refineries'!O$85:O$164,'Key inputs_Refineries'!$C$85:$C$164,$C40,'Key inputs_Refineries'!$B$85:$B$164,"Boiler")/SUM(SUMIFS('Key inputs_Refineries'!O$85:O$164,'Key inputs_Refineries'!$C$85:$C$164,$C40:$C49,'Key inputs_Refineries'!$B$85:$B$164,"Boiler"))&lt;0.001),0.001,SUMIFS('Key inputs_Refineries'!O$85:O$164,'Key inputs_Refineries'!$C$85:$C$164,$C40,'Key inputs_Refineries'!$B$85:$B$164,"Boiler")/SUM(SUMIFS('Key inputs_Refineries'!O$85:O$164,'Key inputs_Refineries'!$C$85:$C$164,$C40:$C49,'Key inputs_Refineries'!$B$85:$B$164,"Boiler"))),0)</f>
        <v>0</v>
      </c>
      <c r="V40" s="173" cm="1">
        <f t="array" ref="V40">IFERROR(IF(AND(SUMIFS('Key inputs_Refineries'!P$85:P$164,'Key inputs_Refineries'!$C$85:$C$164,$C40,'Key inputs_Refineries'!$B$85:$B$164,"Boiler")/SUM(SUMIFS('Key inputs_Refineries'!P$85:P$164,'Key inputs_Refineries'!$C$85:$C$164,$C40:$C49,'Key inputs_Refineries'!$B$85:$B$164,"Boiler"))&gt;0,SUMIFS('Key inputs_Refineries'!P$85:P$164,'Key inputs_Refineries'!$C$85:$C$164,$C40,'Key inputs_Refineries'!$B$85:$B$164,"Boiler")/SUM(SUMIFS('Key inputs_Refineries'!P$85:P$164,'Key inputs_Refineries'!$C$85:$C$164,$C40:$C49,'Key inputs_Refineries'!$B$85:$B$164,"Boiler"))&lt;0.001),0.001,SUMIFS('Key inputs_Refineries'!P$85:P$164,'Key inputs_Refineries'!$C$85:$C$164,$C40,'Key inputs_Refineries'!$B$85:$B$164,"Boiler")/SUM(SUMIFS('Key inputs_Refineries'!P$85:P$164,'Key inputs_Refineries'!$C$85:$C$164,$C40:$C49,'Key inputs_Refineries'!$B$85:$B$164,"Boiler"))),0)</f>
        <v>0</v>
      </c>
      <c r="W40" s="173" cm="1">
        <f t="array" ref="W40">IFERROR(IF(AND(SUMIFS('Key inputs_Refineries'!Q$85:Q$164,'Key inputs_Refineries'!$C$85:$C$164,$C40,'Key inputs_Refineries'!$B$85:$B$164,"Boiler")/SUM(SUMIFS('Key inputs_Refineries'!Q$85:Q$164,'Key inputs_Refineries'!$C$85:$C$164,$C40:$C49,'Key inputs_Refineries'!$B$85:$B$164,"Boiler"))&gt;0,SUMIFS('Key inputs_Refineries'!Q$85:Q$164,'Key inputs_Refineries'!$C$85:$C$164,$C40,'Key inputs_Refineries'!$B$85:$B$164,"Boiler")/SUM(SUMIFS('Key inputs_Refineries'!Q$85:Q$164,'Key inputs_Refineries'!$C$85:$C$164,$C40:$C49,'Key inputs_Refineries'!$B$85:$B$164,"Boiler"))&lt;0.001),0.001,SUMIFS('Key inputs_Refineries'!Q$85:Q$164,'Key inputs_Refineries'!$C$85:$C$164,$C40,'Key inputs_Refineries'!$B$85:$B$164,"Boiler")/SUM(SUMIFS('Key inputs_Refineries'!Q$85:Q$164,'Key inputs_Refineries'!$C$85:$C$164,$C40:$C49,'Key inputs_Refineries'!$B$85:$B$164,"Boiler"))),0)</f>
        <v>0</v>
      </c>
      <c r="X40" s="173" cm="1">
        <f t="array" ref="X40">IFERROR(IF(AND(SUMIFS('Key inputs_Refineries'!R$85:R$164,'Key inputs_Refineries'!$C$85:$C$164,$C40,'Key inputs_Refineries'!$B$85:$B$164,"Boiler")/SUM(SUMIFS('Key inputs_Refineries'!R$85:R$164,'Key inputs_Refineries'!$C$85:$C$164,$C40:$C49,'Key inputs_Refineries'!$B$85:$B$164,"Boiler"))&gt;0,SUMIFS('Key inputs_Refineries'!R$85:R$164,'Key inputs_Refineries'!$C$85:$C$164,$C40,'Key inputs_Refineries'!$B$85:$B$164,"Boiler")/SUM(SUMIFS('Key inputs_Refineries'!R$85:R$164,'Key inputs_Refineries'!$C$85:$C$164,$C40:$C49,'Key inputs_Refineries'!$B$85:$B$164,"Boiler"))&lt;0.001),0.001,SUMIFS('Key inputs_Refineries'!R$85:R$164,'Key inputs_Refineries'!$C$85:$C$164,$C40,'Key inputs_Refineries'!$B$85:$B$164,"Boiler")/SUM(SUMIFS('Key inputs_Refineries'!R$85:R$164,'Key inputs_Refineries'!$C$85:$C$164,$C40:$C49,'Key inputs_Refineries'!$B$85:$B$164,"Boiler"))),0)</f>
        <v>0</v>
      </c>
      <c r="Y40" s="173" cm="1">
        <f t="array" ref="Y40">IFERROR(IF(AND(SUMIFS('Key inputs_Refineries'!S$85:S$164,'Key inputs_Refineries'!$C$85:$C$164,$C40,'Key inputs_Refineries'!$B$85:$B$164,"Boiler")/SUM(SUMIFS('Key inputs_Refineries'!S$85:S$164,'Key inputs_Refineries'!$C$85:$C$164,$C40:$C49,'Key inputs_Refineries'!$B$85:$B$164,"Boiler"))&gt;0,SUMIFS('Key inputs_Refineries'!S$85:S$164,'Key inputs_Refineries'!$C$85:$C$164,$C40,'Key inputs_Refineries'!$B$85:$B$164,"Boiler")/SUM(SUMIFS('Key inputs_Refineries'!S$85:S$164,'Key inputs_Refineries'!$C$85:$C$164,$C40:$C49,'Key inputs_Refineries'!$B$85:$B$164,"Boiler"))&lt;0.001),0.001,SUMIFS('Key inputs_Refineries'!S$85:S$164,'Key inputs_Refineries'!$C$85:$C$164,$C40,'Key inputs_Refineries'!$B$85:$B$164,"Boiler")/SUM(SUMIFS('Key inputs_Refineries'!S$85:S$164,'Key inputs_Refineries'!$C$85:$C$164,$C40:$C49,'Key inputs_Refineries'!$B$85:$B$164,"Boiler"))),0)</f>
        <v>0</v>
      </c>
      <c r="Z40" s="173" cm="1">
        <f t="array" ref="Z40">IFERROR(IF(AND(SUMIFS('Key inputs_Refineries'!T$85:T$164,'Key inputs_Refineries'!$C$85:$C$164,$C40,'Key inputs_Refineries'!$B$85:$B$164,"Boiler")/SUM(SUMIFS('Key inputs_Refineries'!T$85:T$164,'Key inputs_Refineries'!$C$85:$C$164,$C40:$C49,'Key inputs_Refineries'!$B$85:$B$164,"Boiler"))&gt;0,SUMIFS('Key inputs_Refineries'!T$85:T$164,'Key inputs_Refineries'!$C$85:$C$164,$C40,'Key inputs_Refineries'!$B$85:$B$164,"Boiler")/SUM(SUMIFS('Key inputs_Refineries'!T$85:T$164,'Key inputs_Refineries'!$C$85:$C$164,$C40:$C49,'Key inputs_Refineries'!$B$85:$B$164,"Boiler"))&lt;0.001),0.001,SUMIFS('Key inputs_Refineries'!T$85:T$164,'Key inputs_Refineries'!$C$85:$C$164,$C40,'Key inputs_Refineries'!$B$85:$B$164,"Boiler")/SUM(SUMIFS('Key inputs_Refineries'!T$85:T$164,'Key inputs_Refineries'!$C$85:$C$164,$C40:$C49,'Key inputs_Refineries'!$B$85:$B$164,"Boiler"))),0)</f>
        <v>0</v>
      </c>
      <c r="AA40" s="173" cm="1">
        <f t="array" ref="AA40">IFERROR(IF(AND(SUMIFS('Key inputs_Refineries'!U$85:U$164,'Key inputs_Refineries'!$C$85:$C$164,$C40,'Key inputs_Refineries'!$B$85:$B$164,"Boiler")/SUM(SUMIFS('Key inputs_Refineries'!U$85:U$164,'Key inputs_Refineries'!$C$85:$C$164,$C40:$C49,'Key inputs_Refineries'!$B$85:$B$164,"Boiler"))&gt;0,SUMIFS('Key inputs_Refineries'!U$85:U$164,'Key inputs_Refineries'!$C$85:$C$164,$C40,'Key inputs_Refineries'!$B$85:$B$164,"Boiler")/SUM(SUMIFS('Key inputs_Refineries'!U$85:U$164,'Key inputs_Refineries'!$C$85:$C$164,$C40:$C49,'Key inputs_Refineries'!$B$85:$B$164,"Boiler"))&lt;0.001),0.001,SUMIFS('Key inputs_Refineries'!U$85:U$164,'Key inputs_Refineries'!$C$85:$C$164,$C40,'Key inputs_Refineries'!$B$85:$B$164,"Boiler")/SUM(SUMIFS('Key inputs_Refineries'!U$85:U$164,'Key inputs_Refineries'!$C$85:$C$164,$C40:$C49,'Key inputs_Refineries'!$B$85:$B$164,"Boiler"))),0)</f>
        <v>1.2510132868886106E-3</v>
      </c>
      <c r="AB40" s="173" cm="1">
        <f t="array" ref="AB40">IFERROR(IF(AND(SUMIFS('Key inputs_Refineries'!V$85:V$164,'Key inputs_Refineries'!$C$85:$C$164,$C40,'Key inputs_Refineries'!$B$85:$B$164,"Boiler")/SUM(SUMIFS('Key inputs_Refineries'!V$85:V$164,'Key inputs_Refineries'!$C$85:$C$164,$C40:$C49,'Key inputs_Refineries'!$B$85:$B$164,"Boiler"))&gt;0,SUMIFS('Key inputs_Refineries'!V$85:V$164,'Key inputs_Refineries'!$C$85:$C$164,$C40,'Key inputs_Refineries'!$B$85:$B$164,"Boiler")/SUM(SUMIFS('Key inputs_Refineries'!V$85:V$164,'Key inputs_Refineries'!$C$85:$C$164,$C40:$C49,'Key inputs_Refineries'!$B$85:$B$164,"Boiler"))&lt;0.001),0.001,SUMIFS('Key inputs_Refineries'!V$85:V$164,'Key inputs_Refineries'!$C$85:$C$164,$C40,'Key inputs_Refineries'!$B$85:$B$164,"Boiler")/SUM(SUMIFS('Key inputs_Refineries'!V$85:V$164,'Key inputs_Refineries'!$C$85:$C$164,$C40:$C49,'Key inputs_Refineries'!$B$85:$B$164,"Boiler"))),0)</f>
        <v>0</v>
      </c>
      <c r="AC40" s="173" cm="1">
        <f t="array" ref="AC40">IFERROR(IF(AND(SUMIFS('Key inputs_Refineries'!W$85:W$164,'Key inputs_Refineries'!$C$85:$C$164,$C40,'Key inputs_Refineries'!$B$85:$B$164,"Boiler")/SUM(SUMIFS('Key inputs_Refineries'!W$85:W$164,'Key inputs_Refineries'!$C$85:$C$164,$C40:$C49,'Key inputs_Refineries'!$B$85:$B$164,"Boiler"))&gt;0,SUMIFS('Key inputs_Refineries'!W$85:W$164,'Key inputs_Refineries'!$C$85:$C$164,$C40,'Key inputs_Refineries'!$B$85:$B$164,"Boiler")/SUM(SUMIFS('Key inputs_Refineries'!W$85:W$164,'Key inputs_Refineries'!$C$85:$C$164,$C40:$C49,'Key inputs_Refineries'!$B$85:$B$164,"Boiler"))&lt;0.001),0.001,SUMIFS('Key inputs_Refineries'!W$85:W$164,'Key inputs_Refineries'!$C$85:$C$164,$C40,'Key inputs_Refineries'!$B$85:$B$164,"Boiler")/SUM(SUMIFS('Key inputs_Refineries'!W$85:W$164,'Key inputs_Refineries'!$C$85:$C$164,$C40:$C49,'Key inputs_Refineries'!$B$85:$B$164,"Boiler"))),0)</f>
        <v>0</v>
      </c>
      <c r="AD40" s="173" cm="1">
        <f t="array" ref="AD40">IFERROR(IF(AND(SUMIFS('Key inputs_Refineries'!X$85:X$164,'Key inputs_Refineries'!$C$85:$C$164,$C40,'Key inputs_Refineries'!$B$85:$B$164,"Boiler")/SUM(SUMIFS('Key inputs_Refineries'!X$85:X$164,'Key inputs_Refineries'!$C$85:$C$164,$C40:$C49,'Key inputs_Refineries'!$B$85:$B$164,"Boiler"))&gt;0,SUMIFS('Key inputs_Refineries'!X$85:X$164,'Key inputs_Refineries'!$C$85:$C$164,$C40,'Key inputs_Refineries'!$B$85:$B$164,"Boiler")/SUM(SUMIFS('Key inputs_Refineries'!X$85:X$164,'Key inputs_Refineries'!$C$85:$C$164,$C40:$C49,'Key inputs_Refineries'!$B$85:$B$164,"Boiler"))&lt;0.001),0.001,SUMIFS('Key inputs_Refineries'!X$85:X$164,'Key inputs_Refineries'!$C$85:$C$164,$C40,'Key inputs_Refineries'!$B$85:$B$164,"Boiler")/SUM(SUMIFS('Key inputs_Refineries'!X$85:X$164,'Key inputs_Refineries'!$C$85:$C$164,$C40:$C49,'Key inputs_Refineries'!$B$85:$B$164,"Boiler"))),0)</f>
        <v>0</v>
      </c>
      <c r="AE40" s="173" cm="1">
        <f t="array" ref="AE40">IFERROR(IF(AND(SUMIFS('Key inputs_Refineries'!Y$85:Y$164,'Key inputs_Refineries'!$C$85:$C$164,$C40,'Key inputs_Refineries'!$B$85:$B$164,"Boiler")/SUM(SUMIFS('Key inputs_Refineries'!Y$85:Y$164,'Key inputs_Refineries'!$C$85:$C$164,$C40:$C49,'Key inputs_Refineries'!$B$85:$B$164,"Boiler"))&gt;0,SUMIFS('Key inputs_Refineries'!Y$85:Y$164,'Key inputs_Refineries'!$C$85:$C$164,$C40,'Key inputs_Refineries'!$B$85:$B$164,"Boiler")/SUM(SUMIFS('Key inputs_Refineries'!Y$85:Y$164,'Key inputs_Refineries'!$C$85:$C$164,$C40:$C49,'Key inputs_Refineries'!$B$85:$B$164,"Boiler"))&lt;0.001),0.001,SUMIFS('Key inputs_Refineries'!Y$85:Y$164,'Key inputs_Refineries'!$C$85:$C$164,$C40,'Key inputs_Refineries'!$B$85:$B$164,"Boiler")/SUM(SUMIFS('Key inputs_Refineries'!Y$85:Y$164,'Key inputs_Refineries'!$C$85:$C$164,$C40:$C49,'Key inputs_Refineries'!$B$85:$B$164,"Boiler"))),0)</f>
        <v>1E-3</v>
      </c>
      <c r="AF40" s="173" cm="1">
        <f t="array" ref="AF40">IFERROR(IF(AND(SUMIFS('Key inputs_Refineries'!Z$85:Z$164,'Key inputs_Refineries'!$C$85:$C$164,$C40,'Key inputs_Refineries'!$B$85:$B$164,"Boiler")/SUM(SUMIFS('Key inputs_Refineries'!Z$85:Z$164,'Key inputs_Refineries'!$C$85:$C$164,$C40:$C49,'Key inputs_Refineries'!$B$85:$B$164,"Boiler"))&gt;0,SUMIFS('Key inputs_Refineries'!Z$85:Z$164,'Key inputs_Refineries'!$C$85:$C$164,$C40,'Key inputs_Refineries'!$B$85:$B$164,"Boiler")/SUM(SUMIFS('Key inputs_Refineries'!Z$85:Z$164,'Key inputs_Refineries'!$C$85:$C$164,$C40:$C49,'Key inputs_Refineries'!$B$85:$B$164,"Boiler"))&lt;0.001),0.001,SUMIFS('Key inputs_Refineries'!Z$85:Z$164,'Key inputs_Refineries'!$C$85:$C$164,$C40,'Key inputs_Refineries'!$B$85:$B$164,"Boiler")/SUM(SUMIFS('Key inputs_Refineries'!Z$85:Z$164,'Key inputs_Refineries'!$C$85:$C$164,$C40:$C49,'Key inputs_Refineries'!$B$85:$B$164,"Boiler"))),0)</f>
        <v>0</v>
      </c>
      <c r="AG40" s="173" cm="1">
        <f t="array" ref="AG40">IFERROR(IF(AND(SUMIFS('Key inputs_Refineries'!AA$85:AA$164,'Key inputs_Refineries'!$C$85:$C$164,$C40,'Key inputs_Refineries'!$B$85:$B$164,"Boiler")/SUM(SUMIFS('Key inputs_Refineries'!AA$85:AA$164,'Key inputs_Refineries'!$C$85:$C$164,$C40:$C49,'Key inputs_Refineries'!$B$85:$B$164,"Boiler"))&gt;0,SUMIFS('Key inputs_Refineries'!AA$85:AA$164,'Key inputs_Refineries'!$C$85:$C$164,$C40,'Key inputs_Refineries'!$B$85:$B$164,"Boiler")/SUM(SUMIFS('Key inputs_Refineries'!AA$85:AA$164,'Key inputs_Refineries'!$C$85:$C$164,$C40:$C49,'Key inputs_Refineries'!$B$85:$B$164,"Boiler"))&lt;0.001),0.001,SUMIFS('Key inputs_Refineries'!AA$85:AA$164,'Key inputs_Refineries'!$C$85:$C$164,$C40,'Key inputs_Refineries'!$B$85:$B$164,"Boiler")/SUM(SUMIFS('Key inputs_Refineries'!AA$85:AA$164,'Key inputs_Refineries'!$C$85:$C$164,$C40:$C49,'Key inputs_Refineries'!$B$85:$B$164,"Boiler"))),0)</f>
        <v>0</v>
      </c>
      <c r="AH40" s="173" cm="1">
        <f t="array" ref="AH40">IFERROR(IF(AND(SUMIFS('Key inputs_Refineries'!AB$85:AB$164,'Key inputs_Refineries'!$C$85:$C$164,$C40,'Key inputs_Refineries'!$B$85:$B$164,"Boiler")/SUM(SUMIFS('Key inputs_Refineries'!AB$85:AB$164,'Key inputs_Refineries'!$C$85:$C$164,$C40:$C49,'Key inputs_Refineries'!$B$85:$B$164,"Boiler"))&gt;0,SUMIFS('Key inputs_Refineries'!AB$85:AB$164,'Key inputs_Refineries'!$C$85:$C$164,$C40,'Key inputs_Refineries'!$B$85:$B$164,"Boiler")/SUM(SUMIFS('Key inputs_Refineries'!AB$85:AB$164,'Key inputs_Refineries'!$C$85:$C$164,$C40:$C49,'Key inputs_Refineries'!$B$85:$B$164,"Boiler"))&lt;0.001),0.001,SUMIFS('Key inputs_Refineries'!AB$85:AB$164,'Key inputs_Refineries'!$C$85:$C$164,$C40,'Key inputs_Refineries'!$B$85:$B$164,"Boiler")/SUM(SUMIFS('Key inputs_Refineries'!AB$85:AB$164,'Key inputs_Refineries'!$C$85:$C$164,$C40:$C49,'Key inputs_Refineries'!$B$85:$B$164,"Boiler"))),0)</f>
        <v>0</v>
      </c>
      <c r="AI40" s="173" cm="1">
        <f t="array" ref="AI40">IFERROR(IF(AND(SUMIFS('Key inputs_Refineries'!AC$85:AC$164,'Key inputs_Refineries'!$C$85:$C$164,$C40,'Key inputs_Refineries'!$B$85:$B$164,"Boiler")/SUM(SUMIFS('Key inputs_Refineries'!AC$85:AC$164,'Key inputs_Refineries'!$C$85:$C$164,$C40:$C49,'Key inputs_Refineries'!$B$85:$B$164,"Boiler"))&gt;0,SUMIFS('Key inputs_Refineries'!AC$85:AC$164,'Key inputs_Refineries'!$C$85:$C$164,$C40,'Key inputs_Refineries'!$B$85:$B$164,"Boiler")/SUM(SUMIFS('Key inputs_Refineries'!AC$85:AC$164,'Key inputs_Refineries'!$C$85:$C$164,$C40:$C49,'Key inputs_Refineries'!$B$85:$B$164,"Boiler"))&lt;0.001),0.001,SUMIFS('Key inputs_Refineries'!AC$85:AC$164,'Key inputs_Refineries'!$C$85:$C$164,$C40,'Key inputs_Refineries'!$B$85:$B$164,"Boiler")/SUM(SUMIFS('Key inputs_Refineries'!AC$85:AC$164,'Key inputs_Refineries'!$C$85:$C$164,$C40:$C49,'Key inputs_Refineries'!$B$85:$B$164,"Boiler"))),0)</f>
        <v>0</v>
      </c>
      <c r="AJ40" s="173" cm="1">
        <f t="array" ref="AJ40">IFERROR(IF(AND(SUMIFS('Key inputs_Refineries'!AD$85:AD$164,'Key inputs_Refineries'!$C$85:$C$164,$C40,'Key inputs_Refineries'!$B$85:$B$164,"Boiler")/SUM(SUMIFS('Key inputs_Refineries'!AD$85:AD$164,'Key inputs_Refineries'!$C$85:$C$164,$C40:$C49,'Key inputs_Refineries'!$B$85:$B$164,"Boiler"))&gt;0,SUMIFS('Key inputs_Refineries'!AD$85:AD$164,'Key inputs_Refineries'!$C$85:$C$164,$C40,'Key inputs_Refineries'!$B$85:$B$164,"Boiler")/SUM(SUMIFS('Key inputs_Refineries'!AD$85:AD$164,'Key inputs_Refineries'!$C$85:$C$164,$C40:$C49,'Key inputs_Refineries'!$B$85:$B$164,"Boiler"))&lt;0.001),0.001,SUMIFS('Key inputs_Refineries'!AD$85:AD$164,'Key inputs_Refineries'!$C$85:$C$164,$C40,'Key inputs_Refineries'!$B$85:$B$164,"Boiler")/SUM(SUMIFS('Key inputs_Refineries'!AD$85:AD$164,'Key inputs_Refineries'!$C$85:$C$164,$C40:$C49,'Key inputs_Refineries'!$B$85:$B$164,"Boiler"))),0)</f>
        <v>0</v>
      </c>
      <c r="AK40" s="173" cm="1">
        <f t="array" ref="AK40">IFERROR(IF(AND(SUMIFS('Key inputs_Refineries'!AE$85:AE$164,'Key inputs_Refineries'!$C$85:$C$164,$C40,'Key inputs_Refineries'!$B$85:$B$164,"Boiler")/SUM(SUMIFS('Key inputs_Refineries'!AE$85:AE$164,'Key inputs_Refineries'!$C$85:$C$164,$C40:$C49,'Key inputs_Refineries'!$B$85:$B$164,"Boiler"))&gt;0,SUMIFS('Key inputs_Refineries'!AE$85:AE$164,'Key inputs_Refineries'!$C$85:$C$164,$C40,'Key inputs_Refineries'!$B$85:$B$164,"Boiler")/SUM(SUMIFS('Key inputs_Refineries'!AE$85:AE$164,'Key inputs_Refineries'!$C$85:$C$164,$C40:$C49,'Key inputs_Refineries'!$B$85:$B$164,"Boiler"))&lt;0.001),0.001,SUMIFS('Key inputs_Refineries'!AE$85:AE$164,'Key inputs_Refineries'!$C$85:$C$164,$C40,'Key inputs_Refineries'!$B$85:$B$164,"Boiler")/SUM(SUMIFS('Key inputs_Refineries'!AE$85:AE$164,'Key inputs_Refineries'!$C$85:$C$164,$C40:$C49,'Key inputs_Refineries'!$B$85:$B$164,"Boiler"))),0)</f>
        <v>0</v>
      </c>
      <c r="AL40" s="173" cm="1">
        <f t="array" ref="AL40">IFERROR(IF(AND(SUMIFS('Key inputs_Refineries'!AF$85:AF$164,'Key inputs_Refineries'!$C$85:$C$164,$C40,'Key inputs_Refineries'!$B$85:$B$164,"Boiler")/SUM(SUMIFS('Key inputs_Refineries'!AF$85:AF$164,'Key inputs_Refineries'!$C$85:$C$164,$C40:$C49,'Key inputs_Refineries'!$B$85:$B$164,"Boiler"))&gt;0,SUMIFS('Key inputs_Refineries'!AF$85:AF$164,'Key inputs_Refineries'!$C$85:$C$164,$C40,'Key inputs_Refineries'!$B$85:$B$164,"Boiler")/SUM(SUMIFS('Key inputs_Refineries'!AF$85:AF$164,'Key inputs_Refineries'!$C$85:$C$164,$C40:$C49,'Key inputs_Refineries'!$B$85:$B$164,"Boiler"))&lt;0.001),0.001,SUMIFS('Key inputs_Refineries'!AF$85:AF$164,'Key inputs_Refineries'!$C$85:$C$164,$C40,'Key inputs_Refineries'!$B$85:$B$164,"Boiler")/SUM(SUMIFS('Key inputs_Refineries'!AF$85:AF$164,'Key inputs_Refineries'!$C$85:$C$164,$C40:$C49,'Key inputs_Refineries'!$B$85:$B$164,"Boiler"))),0)</f>
        <v>0</v>
      </c>
    </row>
    <row r="41" spans="3:47">
      <c r="C41" t="str">
        <f>Commodities!$C$90</f>
        <v>UPSDSL</v>
      </c>
      <c r="G41" s="4" t="s">
        <v>702</v>
      </c>
      <c r="H41" t="s">
        <v>661</v>
      </c>
      <c r="I41">
        <v>2019</v>
      </c>
      <c r="J41" s="4" t="s">
        <v>650</v>
      </c>
      <c r="K41" s="173" cm="1">
        <f t="array" ref="K41">IFERROR(IF(AND(SUMIFS('Key inputs_Refineries'!E$85:E$164,'Key inputs_Refineries'!$C$85:$C$164,$C41,'Key inputs_Refineries'!$B$85:$B$164,"Boiler")/SUM(SUMIFS('Key inputs_Refineries'!E$85:E$164,'Key inputs_Refineries'!$C$85:$C$164,$C40:$C49,'Key inputs_Refineries'!$B$85:$B$164,"Boiler"))&gt;0,SUMIFS('Key inputs_Refineries'!E$85:E$164,'Key inputs_Refineries'!$C$85:$C$164,$C41,'Key inputs_Refineries'!$B$85:$B$164,"Boiler")/SUM(SUMIFS('Key inputs_Refineries'!E$85:E$164,'Key inputs_Refineries'!$C$85:$C$164,$C40:$C49,'Key inputs_Refineries'!$B$85:$B$164,"Boiler"))&lt;0.001),0.001,SUMIFS('Key inputs_Refineries'!E$85:E$164,'Key inputs_Refineries'!$C$85:$C$164,$C41,'Key inputs_Refineries'!$B$85:$B$164,"Boiler")/SUM(SUMIFS('Key inputs_Refineries'!E$85:E$164,'Key inputs_Refineries'!$C$85:$C$164,$C40:$C49,'Key inputs_Refineries'!$B$85:$B$164,"Boiler"))),0)</f>
        <v>0</v>
      </c>
      <c r="L41" s="173" cm="1">
        <f t="array" ref="L41">IFERROR(IF(AND(SUMIFS('Key inputs_Refineries'!F$85:F$164,'Key inputs_Refineries'!$C$85:$C$164,$C41,'Key inputs_Refineries'!$B$85:$B$164,"Boiler")/SUM(SUMIFS('Key inputs_Refineries'!F$85:F$164,'Key inputs_Refineries'!$C$85:$C$164,$C40:$C49,'Key inputs_Refineries'!$B$85:$B$164,"Boiler"))&gt;0,SUMIFS('Key inputs_Refineries'!F$85:F$164,'Key inputs_Refineries'!$C$85:$C$164,$C41,'Key inputs_Refineries'!$B$85:$B$164,"Boiler")/SUM(SUMIFS('Key inputs_Refineries'!F$85:F$164,'Key inputs_Refineries'!$C$85:$C$164,$C40:$C49,'Key inputs_Refineries'!$B$85:$B$164,"Boiler"))&lt;0.001),0.001,SUMIFS('Key inputs_Refineries'!F$85:F$164,'Key inputs_Refineries'!$C$85:$C$164,$C41,'Key inputs_Refineries'!$B$85:$B$164,"Boiler")/SUM(SUMIFS('Key inputs_Refineries'!F$85:F$164,'Key inputs_Refineries'!$C$85:$C$164,$C40:$C49,'Key inputs_Refineries'!$B$85:$B$164,"Boiler"))),0)</f>
        <v>0</v>
      </c>
      <c r="M41" s="173" cm="1">
        <f t="array" ref="M41">IFERROR(IF(AND(SUMIFS('Key inputs_Refineries'!G$85:G$164,'Key inputs_Refineries'!$C$85:$C$164,$C41,'Key inputs_Refineries'!$B$85:$B$164,"Boiler")/SUM(SUMIFS('Key inputs_Refineries'!G$85:G$164,'Key inputs_Refineries'!$C$85:$C$164,$C40:$C49,'Key inputs_Refineries'!$B$85:$B$164,"Boiler"))&gt;0,SUMIFS('Key inputs_Refineries'!G$85:G$164,'Key inputs_Refineries'!$C$85:$C$164,$C41,'Key inputs_Refineries'!$B$85:$B$164,"Boiler")/SUM(SUMIFS('Key inputs_Refineries'!G$85:G$164,'Key inputs_Refineries'!$C$85:$C$164,$C40:$C49,'Key inputs_Refineries'!$B$85:$B$164,"Boiler"))&lt;0.001),0.001,SUMIFS('Key inputs_Refineries'!G$85:G$164,'Key inputs_Refineries'!$C$85:$C$164,$C41,'Key inputs_Refineries'!$B$85:$B$164,"Boiler")/SUM(SUMIFS('Key inputs_Refineries'!G$85:G$164,'Key inputs_Refineries'!$C$85:$C$164,$C40:$C49,'Key inputs_Refineries'!$B$85:$B$164,"Boiler"))),0)</f>
        <v>5.4967007249105165E-2</v>
      </c>
      <c r="N41" s="173" cm="1">
        <f t="array" ref="N41">IFERROR(IF(AND(SUMIFS('Key inputs_Refineries'!H$85:H$164,'Key inputs_Refineries'!$C$85:$C$164,$C41,'Key inputs_Refineries'!$B$85:$B$164,"Boiler")/SUM(SUMIFS('Key inputs_Refineries'!H$85:H$164,'Key inputs_Refineries'!$C$85:$C$164,$C40:$C49,'Key inputs_Refineries'!$B$85:$B$164,"Boiler"))&gt;0,SUMIFS('Key inputs_Refineries'!H$85:H$164,'Key inputs_Refineries'!$C$85:$C$164,$C41,'Key inputs_Refineries'!$B$85:$B$164,"Boiler")/SUM(SUMIFS('Key inputs_Refineries'!H$85:H$164,'Key inputs_Refineries'!$C$85:$C$164,$C40:$C49,'Key inputs_Refineries'!$B$85:$B$164,"Boiler"))&lt;0.001),0.001,SUMIFS('Key inputs_Refineries'!H$85:H$164,'Key inputs_Refineries'!$C$85:$C$164,$C41,'Key inputs_Refineries'!$B$85:$B$164,"Boiler")/SUM(SUMIFS('Key inputs_Refineries'!H$85:H$164,'Key inputs_Refineries'!$C$85:$C$164,$C40:$C49,'Key inputs_Refineries'!$B$85:$B$164,"Boiler"))),0)</f>
        <v>0</v>
      </c>
      <c r="O41" s="173" cm="1">
        <f t="array" ref="O41">IFERROR(IF(AND(SUMIFS('Key inputs_Refineries'!I$85:I$164,'Key inputs_Refineries'!$C$85:$C$164,$C41,'Key inputs_Refineries'!$B$85:$B$164,"Boiler")/SUM(SUMIFS('Key inputs_Refineries'!I$85:I$164,'Key inputs_Refineries'!$C$85:$C$164,$C40:$C49,'Key inputs_Refineries'!$B$85:$B$164,"Boiler"))&gt;0,SUMIFS('Key inputs_Refineries'!I$85:I$164,'Key inputs_Refineries'!$C$85:$C$164,$C41,'Key inputs_Refineries'!$B$85:$B$164,"Boiler")/SUM(SUMIFS('Key inputs_Refineries'!I$85:I$164,'Key inputs_Refineries'!$C$85:$C$164,$C40:$C49,'Key inputs_Refineries'!$B$85:$B$164,"Boiler"))&lt;0.001),0.001,SUMIFS('Key inputs_Refineries'!I$85:I$164,'Key inputs_Refineries'!$C$85:$C$164,$C41,'Key inputs_Refineries'!$B$85:$B$164,"Boiler")/SUM(SUMIFS('Key inputs_Refineries'!I$85:I$164,'Key inputs_Refineries'!$C$85:$C$164,$C40:$C49,'Key inputs_Refineries'!$B$85:$B$164,"Boiler"))),0)</f>
        <v>0</v>
      </c>
      <c r="P41" s="173" cm="1">
        <f t="array" ref="P41">IFERROR(IF(AND(SUMIFS('Key inputs_Refineries'!J$85:J$164,'Key inputs_Refineries'!$C$85:$C$164,$C41,'Key inputs_Refineries'!$B$85:$B$164,"Boiler")/SUM(SUMIFS('Key inputs_Refineries'!J$85:J$164,'Key inputs_Refineries'!$C$85:$C$164,$C40:$C49,'Key inputs_Refineries'!$B$85:$B$164,"Boiler"))&gt;0,SUMIFS('Key inputs_Refineries'!J$85:J$164,'Key inputs_Refineries'!$C$85:$C$164,$C41,'Key inputs_Refineries'!$B$85:$B$164,"Boiler")/SUM(SUMIFS('Key inputs_Refineries'!J$85:J$164,'Key inputs_Refineries'!$C$85:$C$164,$C40:$C49,'Key inputs_Refineries'!$B$85:$B$164,"Boiler"))&lt;0.001),0.001,SUMIFS('Key inputs_Refineries'!J$85:J$164,'Key inputs_Refineries'!$C$85:$C$164,$C41,'Key inputs_Refineries'!$B$85:$B$164,"Boiler")/SUM(SUMIFS('Key inputs_Refineries'!J$85:J$164,'Key inputs_Refineries'!$C$85:$C$164,$C40:$C49,'Key inputs_Refineries'!$B$85:$B$164,"Boiler"))),0)</f>
        <v>7.5112298847973434E-3</v>
      </c>
      <c r="Q41" s="173" cm="1">
        <f t="array" ref="Q41">IFERROR(IF(AND(SUMIFS('Key inputs_Refineries'!K$85:K$164,'Key inputs_Refineries'!$C$85:$C$164,$C41,'Key inputs_Refineries'!$B$85:$B$164,"Boiler")/SUM(SUMIFS('Key inputs_Refineries'!K$85:K$164,'Key inputs_Refineries'!$C$85:$C$164,$C40:$C49,'Key inputs_Refineries'!$B$85:$B$164,"Boiler"))&gt;0,SUMIFS('Key inputs_Refineries'!K$85:K$164,'Key inputs_Refineries'!$C$85:$C$164,$C41,'Key inputs_Refineries'!$B$85:$B$164,"Boiler")/SUM(SUMIFS('Key inputs_Refineries'!K$85:K$164,'Key inputs_Refineries'!$C$85:$C$164,$C40:$C49,'Key inputs_Refineries'!$B$85:$B$164,"Boiler"))&lt;0.001),0.001,SUMIFS('Key inputs_Refineries'!K$85:K$164,'Key inputs_Refineries'!$C$85:$C$164,$C41,'Key inputs_Refineries'!$B$85:$B$164,"Boiler")/SUM(SUMIFS('Key inputs_Refineries'!K$85:K$164,'Key inputs_Refineries'!$C$85:$C$164,$C40:$C49,'Key inputs_Refineries'!$B$85:$B$164,"Boiler"))),0)</f>
        <v>1.3591105951689957E-2</v>
      </c>
      <c r="R41" s="173" cm="1">
        <f t="array" ref="R41">IFERROR(IF(AND(SUMIFS('Key inputs_Refineries'!L$85:L$164,'Key inputs_Refineries'!$C$85:$C$164,$C41,'Key inputs_Refineries'!$B$85:$B$164,"Boiler")/SUM(SUMIFS('Key inputs_Refineries'!L$85:L$164,'Key inputs_Refineries'!$C$85:$C$164,$C40:$C49,'Key inputs_Refineries'!$B$85:$B$164,"Boiler"))&gt;0,SUMIFS('Key inputs_Refineries'!L$85:L$164,'Key inputs_Refineries'!$C$85:$C$164,$C41,'Key inputs_Refineries'!$B$85:$B$164,"Boiler")/SUM(SUMIFS('Key inputs_Refineries'!L$85:L$164,'Key inputs_Refineries'!$C$85:$C$164,$C40:$C49,'Key inputs_Refineries'!$B$85:$B$164,"Boiler"))&lt;0.001),0.001,SUMIFS('Key inputs_Refineries'!L$85:L$164,'Key inputs_Refineries'!$C$85:$C$164,$C41,'Key inputs_Refineries'!$B$85:$B$164,"Boiler")/SUM(SUMIFS('Key inputs_Refineries'!L$85:L$164,'Key inputs_Refineries'!$C$85:$C$164,$C40:$C49,'Key inputs_Refineries'!$B$85:$B$164,"Boiler"))),0)</f>
        <v>0</v>
      </c>
      <c r="S41" s="173" cm="1">
        <f t="array" ref="S41">IFERROR(IF(AND(SUMIFS('Key inputs_Refineries'!M$85:M$164,'Key inputs_Refineries'!$C$85:$C$164,$C41,'Key inputs_Refineries'!$B$85:$B$164,"Boiler")/SUM(SUMIFS('Key inputs_Refineries'!M$85:M$164,'Key inputs_Refineries'!$C$85:$C$164,$C40:$C49,'Key inputs_Refineries'!$B$85:$B$164,"Boiler"))&gt;0,SUMIFS('Key inputs_Refineries'!M$85:M$164,'Key inputs_Refineries'!$C$85:$C$164,$C41,'Key inputs_Refineries'!$B$85:$B$164,"Boiler")/SUM(SUMIFS('Key inputs_Refineries'!M$85:M$164,'Key inputs_Refineries'!$C$85:$C$164,$C40:$C49,'Key inputs_Refineries'!$B$85:$B$164,"Boiler"))&lt;0.001),0.001,SUMIFS('Key inputs_Refineries'!M$85:M$164,'Key inputs_Refineries'!$C$85:$C$164,$C41,'Key inputs_Refineries'!$B$85:$B$164,"Boiler")/SUM(SUMIFS('Key inputs_Refineries'!M$85:M$164,'Key inputs_Refineries'!$C$85:$C$164,$C40:$C49,'Key inputs_Refineries'!$B$85:$B$164,"Boiler"))),0)</f>
        <v>3.5051732768259555E-2</v>
      </c>
      <c r="T41" s="173" cm="1">
        <f t="array" ref="T41">IFERROR(IF(AND(SUMIFS('Key inputs_Refineries'!N$85:N$164,'Key inputs_Refineries'!$C$85:$C$164,$C41,'Key inputs_Refineries'!$B$85:$B$164,"Boiler")/SUM(SUMIFS('Key inputs_Refineries'!N$85:N$164,'Key inputs_Refineries'!$C$85:$C$164,$C40:$C49,'Key inputs_Refineries'!$B$85:$B$164,"Boiler"))&gt;0,SUMIFS('Key inputs_Refineries'!N$85:N$164,'Key inputs_Refineries'!$C$85:$C$164,$C41,'Key inputs_Refineries'!$B$85:$B$164,"Boiler")/SUM(SUMIFS('Key inputs_Refineries'!N$85:N$164,'Key inputs_Refineries'!$C$85:$C$164,$C40:$C49,'Key inputs_Refineries'!$B$85:$B$164,"Boiler"))&lt;0.001),0.001,SUMIFS('Key inputs_Refineries'!N$85:N$164,'Key inputs_Refineries'!$C$85:$C$164,$C41,'Key inputs_Refineries'!$B$85:$B$164,"Boiler")/SUM(SUMIFS('Key inputs_Refineries'!N$85:N$164,'Key inputs_Refineries'!$C$85:$C$164,$C40:$C49,'Key inputs_Refineries'!$B$85:$B$164,"Boiler"))),0)</f>
        <v>8.6333554563383288E-3</v>
      </c>
      <c r="U41" s="173" cm="1">
        <f t="array" ref="U41">IFERROR(IF(AND(SUMIFS('Key inputs_Refineries'!O$85:O$164,'Key inputs_Refineries'!$C$85:$C$164,$C41,'Key inputs_Refineries'!$B$85:$B$164,"Boiler")/SUM(SUMIFS('Key inputs_Refineries'!O$85:O$164,'Key inputs_Refineries'!$C$85:$C$164,$C40:$C49,'Key inputs_Refineries'!$B$85:$B$164,"Boiler"))&gt;0,SUMIFS('Key inputs_Refineries'!O$85:O$164,'Key inputs_Refineries'!$C$85:$C$164,$C41,'Key inputs_Refineries'!$B$85:$B$164,"Boiler")/SUM(SUMIFS('Key inputs_Refineries'!O$85:O$164,'Key inputs_Refineries'!$C$85:$C$164,$C40:$C49,'Key inputs_Refineries'!$B$85:$B$164,"Boiler"))&lt;0.001),0.001,SUMIFS('Key inputs_Refineries'!O$85:O$164,'Key inputs_Refineries'!$C$85:$C$164,$C41,'Key inputs_Refineries'!$B$85:$B$164,"Boiler")/SUM(SUMIFS('Key inputs_Refineries'!O$85:O$164,'Key inputs_Refineries'!$C$85:$C$164,$C40:$C49,'Key inputs_Refineries'!$B$85:$B$164,"Boiler"))),0)</f>
        <v>0</v>
      </c>
      <c r="V41" s="173" cm="1">
        <f t="array" ref="V41">IFERROR(IF(AND(SUMIFS('Key inputs_Refineries'!P$85:P$164,'Key inputs_Refineries'!$C$85:$C$164,$C41,'Key inputs_Refineries'!$B$85:$B$164,"Boiler")/SUM(SUMIFS('Key inputs_Refineries'!P$85:P$164,'Key inputs_Refineries'!$C$85:$C$164,$C40:$C49,'Key inputs_Refineries'!$B$85:$B$164,"Boiler"))&gt;0,SUMIFS('Key inputs_Refineries'!P$85:P$164,'Key inputs_Refineries'!$C$85:$C$164,$C41,'Key inputs_Refineries'!$B$85:$B$164,"Boiler")/SUM(SUMIFS('Key inputs_Refineries'!P$85:P$164,'Key inputs_Refineries'!$C$85:$C$164,$C40:$C49,'Key inputs_Refineries'!$B$85:$B$164,"Boiler"))&lt;0.001),0.001,SUMIFS('Key inputs_Refineries'!P$85:P$164,'Key inputs_Refineries'!$C$85:$C$164,$C41,'Key inputs_Refineries'!$B$85:$B$164,"Boiler")/SUM(SUMIFS('Key inputs_Refineries'!P$85:P$164,'Key inputs_Refineries'!$C$85:$C$164,$C40:$C49,'Key inputs_Refineries'!$B$85:$B$164,"Boiler"))),0)</f>
        <v>5.6882967399520768E-3</v>
      </c>
      <c r="W41" s="173" cm="1">
        <f t="array" ref="W41">IFERROR(IF(AND(SUMIFS('Key inputs_Refineries'!Q$85:Q$164,'Key inputs_Refineries'!$C$85:$C$164,$C41,'Key inputs_Refineries'!$B$85:$B$164,"Boiler")/SUM(SUMIFS('Key inputs_Refineries'!Q$85:Q$164,'Key inputs_Refineries'!$C$85:$C$164,$C40:$C49,'Key inputs_Refineries'!$B$85:$B$164,"Boiler"))&gt;0,SUMIFS('Key inputs_Refineries'!Q$85:Q$164,'Key inputs_Refineries'!$C$85:$C$164,$C41,'Key inputs_Refineries'!$B$85:$B$164,"Boiler")/SUM(SUMIFS('Key inputs_Refineries'!Q$85:Q$164,'Key inputs_Refineries'!$C$85:$C$164,$C40:$C49,'Key inputs_Refineries'!$B$85:$B$164,"Boiler"))&lt;0.001),0.001,SUMIFS('Key inputs_Refineries'!Q$85:Q$164,'Key inputs_Refineries'!$C$85:$C$164,$C41,'Key inputs_Refineries'!$B$85:$B$164,"Boiler")/SUM(SUMIFS('Key inputs_Refineries'!Q$85:Q$164,'Key inputs_Refineries'!$C$85:$C$164,$C40:$C49,'Key inputs_Refineries'!$B$85:$B$164,"Boiler"))),0)</f>
        <v>0</v>
      </c>
      <c r="X41" s="173" cm="1">
        <f t="array" ref="X41">IFERROR(IF(AND(SUMIFS('Key inputs_Refineries'!R$85:R$164,'Key inputs_Refineries'!$C$85:$C$164,$C41,'Key inputs_Refineries'!$B$85:$B$164,"Boiler")/SUM(SUMIFS('Key inputs_Refineries'!R$85:R$164,'Key inputs_Refineries'!$C$85:$C$164,$C40:$C49,'Key inputs_Refineries'!$B$85:$B$164,"Boiler"))&gt;0,SUMIFS('Key inputs_Refineries'!R$85:R$164,'Key inputs_Refineries'!$C$85:$C$164,$C41,'Key inputs_Refineries'!$B$85:$B$164,"Boiler")/SUM(SUMIFS('Key inputs_Refineries'!R$85:R$164,'Key inputs_Refineries'!$C$85:$C$164,$C40:$C49,'Key inputs_Refineries'!$B$85:$B$164,"Boiler"))&lt;0.001),0.001,SUMIFS('Key inputs_Refineries'!R$85:R$164,'Key inputs_Refineries'!$C$85:$C$164,$C41,'Key inputs_Refineries'!$B$85:$B$164,"Boiler")/SUM(SUMIFS('Key inputs_Refineries'!R$85:R$164,'Key inputs_Refineries'!$C$85:$C$164,$C40:$C49,'Key inputs_Refineries'!$B$85:$B$164,"Boiler"))),0)</f>
        <v>0</v>
      </c>
      <c r="Y41" s="173" cm="1">
        <f t="array" ref="Y41">IFERROR(IF(AND(SUMIFS('Key inputs_Refineries'!S$85:S$164,'Key inputs_Refineries'!$C$85:$C$164,$C41,'Key inputs_Refineries'!$B$85:$B$164,"Boiler")/SUM(SUMIFS('Key inputs_Refineries'!S$85:S$164,'Key inputs_Refineries'!$C$85:$C$164,$C40:$C49,'Key inputs_Refineries'!$B$85:$B$164,"Boiler"))&gt;0,SUMIFS('Key inputs_Refineries'!S$85:S$164,'Key inputs_Refineries'!$C$85:$C$164,$C41,'Key inputs_Refineries'!$B$85:$B$164,"Boiler")/SUM(SUMIFS('Key inputs_Refineries'!S$85:S$164,'Key inputs_Refineries'!$C$85:$C$164,$C40:$C49,'Key inputs_Refineries'!$B$85:$B$164,"Boiler"))&lt;0.001),0.001,SUMIFS('Key inputs_Refineries'!S$85:S$164,'Key inputs_Refineries'!$C$85:$C$164,$C41,'Key inputs_Refineries'!$B$85:$B$164,"Boiler")/SUM(SUMIFS('Key inputs_Refineries'!S$85:S$164,'Key inputs_Refineries'!$C$85:$C$164,$C40:$C49,'Key inputs_Refineries'!$B$85:$B$164,"Boiler"))),0)</f>
        <v>2.7787994220171155E-3</v>
      </c>
      <c r="Z41" s="173" cm="1">
        <f t="array" ref="Z41">IFERROR(IF(AND(SUMIFS('Key inputs_Refineries'!T$85:T$164,'Key inputs_Refineries'!$C$85:$C$164,$C41,'Key inputs_Refineries'!$B$85:$B$164,"Boiler")/SUM(SUMIFS('Key inputs_Refineries'!T$85:T$164,'Key inputs_Refineries'!$C$85:$C$164,$C40:$C49,'Key inputs_Refineries'!$B$85:$B$164,"Boiler"))&gt;0,SUMIFS('Key inputs_Refineries'!T$85:T$164,'Key inputs_Refineries'!$C$85:$C$164,$C41,'Key inputs_Refineries'!$B$85:$B$164,"Boiler")/SUM(SUMIFS('Key inputs_Refineries'!T$85:T$164,'Key inputs_Refineries'!$C$85:$C$164,$C40:$C49,'Key inputs_Refineries'!$B$85:$B$164,"Boiler"))&lt;0.001),0.001,SUMIFS('Key inputs_Refineries'!T$85:T$164,'Key inputs_Refineries'!$C$85:$C$164,$C41,'Key inputs_Refineries'!$B$85:$B$164,"Boiler")/SUM(SUMIFS('Key inputs_Refineries'!T$85:T$164,'Key inputs_Refineries'!$C$85:$C$164,$C40:$C49,'Key inputs_Refineries'!$B$85:$B$164,"Boiler"))),0)</f>
        <v>7.5121681310049548E-3</v>
      </c>
      <c r="AA41" s="173" cm="1">
        <f t="array" ref="AA41">IFERROR(IF(AND(SUMIFS('Key inputs_Refineries'!U$85:U$164,'Key inputs_Refineries'!$C$85:$C$164,$C41,'Key inputs_Refineries'!$B$85:$B$164,"Boiler")/SUM(SUMIFS('Key inputs_Refineries'!U$85:U$164,'Key inputs_Refineries'!$C$85:$C$164,$C40:$C49,'Key inputs_Refineries'!$B$85:$B$164,"Boiler"))&gt;0,SUMIFS('Key inputs_Refineries'!U$85:U$164,'Key inputs_Refineries'!$C$85:$C$164,$C41,'Key inputs_Refineries'!$B$85:$B$164,"Boiler")/SUM(SUMIFS('Key inputs_Refineries'!U$85:U$164,'Key inputs_Refineries'!$C$85:$C$164,$C40:$C49,'Key inputs_Refineries'!$B$85:$B$164,"Boiler"))&lt;0.001),0.001,SUMIFS('Key inputs_Refineries'!U$85:U$164,'Key inputs_Refineries'!$C$85:$C$164,$C41,'Key inputs_Refineries'!$B$85:$B$164,"Boiler")/SUM(SUMIFS('Key inputs_Refineries'!U$85:U$164,'Key inputs_Refineries'!$C$85:$C$164,$C40:$C49,'Key inputs_Refineries'!$B$85:$B$164,"Boiler"))),0)</f>
        <v>1.3171639290390735E-2</v>
      </c>
      <c r="AB41" s="173" cm="1">
        <f t="array" ref="AB41">IFERROR(IF(AND(SUMIFS('Key inputs_Refineries'!V$85:V$164,'Key inputs_Refineries'!$C$85:$C$164,$C41,'Key inputs_Refineries'!$B$85:$B$164,"Boiler")/SUM(SUMIFS('Key inputs_Refineries'!V$85:V$164,'Key inputs_Refineries'!$C$85:$C$164,$C40:$C49,'Key inputs_Refineries'!$B$85:$B$164,"Boiler"))&gt;0,SUMIFS('Key inputs_Refineries'!V$85:V$164,'Key inputs_Refineries'!$C$85:$C$164,$C41,'Key inputs_Refineries'!$B$85:$B$164,"Boiler")/SUM(SUMIFS('Key inputs_Refineries'!V$85:V$164,'Key inputs_Refineries'!$C$85:$C$164,$C40:$C49,'Key inputs_Refineries'!$B$85:$B$164,"Boiler"))&lt;0.001),0.001,SUMIFS('Key inputs_Refineries'!V$85:V$164,'Key inputs_Refineries'!$C$85:$C$164,$C41,'Key inputs_Refineries'!$B$85:$B$164,"Boiler")/SUM(SUMIFS('Key inputs_Refineries'!V$85:V$164,'Key inputs_Refineries'!$C$85:$C$164,$C40:$C49,'Key inputs_Refineries'!$B$85:$B$164,"Boiler"))),0)</f>
        <v>0.62732289155304854</v>
      </c>
      <c r="AC41" s="173" cm="1">
        <f t="array" ref="AC41">IFERROR(IF(AND(SUMIFS('Key inputs_Refineries'!W$85:W$164,'Key inputs_Refineries'!$C$85:$C$164,$C41,'Key inputs_Refineries'!$B$85:$B$164,"Boiler")/SUM(SUMIFS('Key inputs_Refineries'!W$85:W$164,'Key inputs_Refineries'!$C$85:$C$164,$C40:$C49,'Key inputs_Refineries'!$B$85:$B$164,"Boiler"))&gt;0,SUMIFS('Key inputs_Refineries'!W$85:W$164,'Key inputs_Refineries'!$C$85:$C$164,$C41,'Key inputs_Refineries'!$B$85:$B$164,"Boiler")/SUM(SUMIFS('Key inputs_Refineries'!W$85:W$164,'Key inputs_Refineries'!$C$85:$C$164,$C40:$C49,'Key inputs_Refineries'!$B$85:$B$164,"Boiler"))&lt;0.001),0.001,SUMIFS('Key inputs_Refineries'!W$85:W$164,'Key inputs_Refineries'!$C$85:$C$164,$C41,'Key inputs_Refineries'!$B$85:$B$164,"Boiler")/SUM(SUMIFS('Key inputs_Refineries'!W$85:W$164,'Key inputs_Refineries'!$C$85:$C$164,$C40:$C49,'Key inputs_Refineries'!$B$85:$B$164,"Boiler"))),0)</f>
        <v>0</v>
      </c>
      <c r="AD41" s="173" cm="1">
        <f t="array" ref="AD41">IFERROR(IF(AND(SUMIFS('Key inputs_Refineries'!X$85:X$164,'Key inputs_Refineries'!$C$85:$C$164,$C41,'Key inputs_Refineries'!$B$85:$B$164,"Boiler")/SUM(SUMIFS('Key inputs_Refineries'!X$85:X$164,'Key inputs_Refineries'!$C$85:$C$164,$C40:$C49,'Key inputs_Refineries'!$B$85:$B$164,"Boiler"))&gt;0,SUMIFS('Key inputs_Refineries'!X$85:X$164,'Key inputs_Refineries'!$C$85:$C$164,$C41,'Key inputs_Refineries'!$B$85:$B$164,"Boiler")/SUM(SUMIFS('Key inputs_Refineries'!X$85:X$164,'Key inputs_Refineries'!$C$85:$C$164,$C40:$C49,'Key inputs_Refineries'!$B$85:$B$164,"Boiler"))&lt;0.001),0.001,SUMIFS('Key inputs_Refineries'!X$85:X$164,'Key inputs_Refineries'!$C$85:$C$164,$C41,'Key inputs_Refineries'!$B$85:$B$164,"Boiler")/SUM(SUMIFS('Key inputs_Refineries'!X$85:X$164,'Key inputs_Refineries'!$C$85:$C$164,$C40:$C49,'Key inputs_Refineries'!$B$85:$B$164,"Boiler"))),0)</f>
        <v>9.5552781608146987E-3</v>
      </c>
      <c r="AE41" s="173" cm="1">
        <f t="array" ref="AE41">IFERROR(IF(AND(SUMIFS('Key inputs_Refineries'!Y$85:Y$164,'Key inputs_Refineries'!$C$85:$C$164,$C41,'Key inputs_Refineries'!$B$85:$B$164,"Boiler")/SUM(SUMIFS('Key inputs_Refineries'!Y$85:Y$164,'Key inputs_Refineries'!$C$85:$C$164,$C40:$C49,'Key inputs_Refineries'!$B$85:$B$164,"Boiler"))&gt;0,SUMIFS('Key inputs_Refineries'!Y$85:Y$164,'Key inputs_Refineries'!$C$85:$C$164,$C41,'Key inputs_Refineries'!$B$85:$B$164,"Boiler")/SUM(SUMIFS('Key inputs_Refineries'!Y$85:Y$164,'Key inputs_Refineries'!$C$85:$C$164,$C40:$C49,'Key inputs_Refineries'!$B$85:$B$164,"Boiler"))&lt;0.001),0.001,SUMIFS('Key inputs_Refineries'!Y$85:Y$164,'Key inputs_Refineries'!$C$85:$C$164,$C41,'Key inputs_Refineries'!$B$85:$B$164,"Boiler")/SUM(SUMIFS('Key inputs_Refineries'!Y$85:Y$164,'Key inputs_Refineries'!$C$85:$C$164,$C40:$C49,'Key inputs_Refineries'!$B$85:$B$164,"Boiler"))),0)</f>
        <v>1.5014083212701699E-2</v>
      </c>
      <c r="AF41" s="173" cm="1">
        <f t="array" ref="AF41">IFERROR(IF(AND(SUMIFS('Key inputs_Refineries'!Z$85:Z$164,'Key inputs_Refineries'!$C$85:$C$164,$C41,'Key inputs_Refineries'!$B$85:$B$164,"Boiler")/SUM(SUMIFS('Key inputs_Refineries'!Z$85:Z$164,'Key inputs_Refineries'!$C$85:$C$164,$C40:$C49,'Key inputs_Refineries'!$B$85:$B$164,"Boiler"))&gt;0,SUMIFS('Key inputs_Refineries'!Z$85:Z$164,'Key inputs_Refineries'!$C$85:$C$164,$C41,'Key inputs_Refineries'!$B$85:$B$164,"Boiler")/SUM(SUMIFS('Key inputs_Refineries'!Z$85:Z$164,'Key inputs_Refineries'!$C$85:$C$164,$C40:$C49,'Key inputs_Refineries'!$B$85:$B$164,"Boiler"))&lt;0.001),0.001,SUMIFS('Key inputs_Refineries'!Z$85:Z$164,'Key inputs_Refineries'!$C$85:$C$164,$C41,'Key inputs_Refineries'!$B$85:$B$164,"Boiler")/SUM(SUMIFS('Key inputs_Refineries'!Z$85:Z$164,'Key inputs_Refineries'!$C$85:$C$164,$C40:$C49,'Key inputs_Refineries'!$B$85:$B$164,"Boiler"))),0)</f>
        <v>3.8902919404541575E-2</v>
      </c>
      <c r="AG41" s="173" cm="1">
        <f t="array" ref="AG41">IFERROR(IF(AND(SUMIFS('Key inputs_Refineries'!AA$85:AA$164,'Key inputs_Refineries'!$C$85:$C$164,$C41,'Key inputs_Refineries'!$B$85:$B$164,"Boiler")/SUM(SUMIFS('Key inputs_Refineries'!AA$85:AA$164,'Key inputs_Refineries'!$C$85:$C$164,$C40:$C49,'Key inputs_Refineries'!$B$85:$B$164,"Boiler"))&gt;0,SUMIFS('Key inputs_Refineries'!AA$85:AA$164,'Key inputs_Refineries'!$C$85:$C$164,$C41,'Key inputs_Refineries'!$B$85:$B$164,"Boiler")/SUM(SUMIFS('Key inputs_Refineries'!AA$85:AA$164,'Key inputs_Refineries'!$C$85:$C$164,$C40:$C49,'Key inputs_Refineries'!$B$85:$B$164,"Boiler"))&lt;0.001),0.001,SUMIFS('Key inputs_Refineries'!AA$85:AA$164,'Key inputs_Refineries'!$C$85:$C$164,$C41,'Key inputs_Refineries'!$B$85:$B$164,"Boiler")/SUM(SUMIFS('Key inputs_Refineries'!AA$85:AA$164,'Key inputs_Refineries'!$C$85:$C$164,$C40:$C49,'Key inputs_Refineries'!$B$85:$B$164,"Boiler"))),0)</f>
        <v>3.0454378123189886E-2</v>
      </c>
      <c r="AH41" s="173" cm="1">
        <f t="array" ref="AH41">IFERROR(IF(AND(SUMIFS('Key inputs_Refineries'!AB$85:AB$164,'Key inputs_Refineries'!$C$85:$C$164,$C41,'Key inputs_Refineries'!$B$85:$B$164,"Boiler")/SUM(SUMIFS('Key inputs_Refineries'!AB$85:AB$164,'Key inputs_Refineries'!$C$85:$C$164,$C40:$C49,'Key inputs_Refineries'!$B$85:$B$164,"Boiler"))&gt;0,SUMIFS('Key inputs_Refineries'!AB$85:AB$164,'Key inputs_Refineries'!$C$85:$C$164,$C41,'Key inputs_Refineries'!$B$85:$B$164,"Boiler")/SUM(SUMIFS('Key inputs_Refineries'!AB$85:AB$164,'Key inputs_Refineries'!$C$85:$C$164,$C40:$C49,'Key inputs_Refineries'!$B$85:$B$164,"Boiler"))&lt;0.001),0.001,SUMIFS('Key inputs_Refineries'!AB$85:AB$164,'Key inputs_Refineries'!$C$85:$C$164,$C41,'Key inputs_Refineries'!$B$85:$B$164,"Boiler")/SUM(SUMIFS('Key inputs_Refineries'!AB$85:AB$164,'Key inputs_Refineries'!$C$85:$C$164,$C40:$C49,'Key inputs_Refineries'!$B$85:$B$164,"Boiler"))),0)</f>
        <v>0</v>
      </c>
      <c r="AI41" s="173" cm="1">
        <f t="array" ref="AI41">IFERROR(IF(AND(SUMIFS('Key inputs_Refineries'!AC$85:AC$164,'Key inputs_Refineries'!$C$85:$C$164,$C41,'Key inputs_Refineries'!$B$85:$B$164,"Boiler")/SUM(SUMIFS('Key inputs_Refineries'!AC$85:AC$164,'Key inputs_Refineries'!$C$85:$C$164,$C40:$C49,'Key inputs_Refineries'!$B$85:$B$164,"Boiler"))&gt;0,SUMIFS('Key inputs_Refineries'!AC$85:AC$164,'Key inputs_Refineries'!$C$85:$C$164,$C41,'Key inputs_Refineries'!$B$85:$B$164,"Boiler")/SUM(SUMIFS('Key inputs_Refineries'!AC$85:AC$164,'Key inputs_Refineries'!$C$85:$C$164,$C40:$C49,'Key inputs_Refineries'!$B$85:$B$164,"Boiler"))&lt;0.001),0.001,SUMIFS('Key inputs_Refineries'!AC$85:AC$164,'Key inputs_Refineries'!$C$85:$C$164,$C41,'Key inputs_Refineries'!$B$85:$B$164,"Boiler")/SUM(SUMIFS('Key inputs_Refineries'!AC$85:AC$164,'Key inputs_Refineries'!$C$85:$C$164,$C40:$C49,'Key inputs_Refineries'!$B$85:$B$164,"Boiler"))),0)</f>
        <v>0.10262766484878531</v>
      </c>
      <c r="AJ41" s="173" cm="1">
        <f t="array" ref="AJ41">IFERROR(IF(AND(SUMIFS('Key inputs_Refineries'!AD$85:AD$164,'Key inputs_Refineries'!$C$85:$C$164,$C41,'Key inputs_Refineries'!$B$85:$B$164,"Boiler")/SUM(SUMIFS('Key inputs_Refineries'!AD$85:AD$164,'Key inputs_Refineries'!$C$85:$C$164,$C40:$C49,'Key inputs_Refineries'!$B$85:$B$164,"Boiler"))&gt;0,SUMIFS('Key inputs_Refineries'!AD$85:AD$164,'Key inputs_Refineries'!$C$85:$C$164,$C41,'Key inputs_Refineries'!$B$85:$B$164,"Boiler")/SUM(SUMIFS('Key inputs_Refineries'!AD$85:AD$164,'Key inputs_Refineries'!$C$85:$C$164,$C40:$C49,'Key inputs_Refineries'!$B$85:$B$164,"Boiler"))&lt;0.001),0.001,SUMIFS('Key inputs_Refineries'!AD$85:AD$164,'Key inputs_Refineries'!$C$85:$C$164,$C41,'Key inputs_Refineries'!$B$85:$B$164,"Boiler")/SUM(SUMIFS('Key inputs_Refineries'!AD$85:AD$164,'Key inputs_Refineries'!$C$85:$C$164,$C40:$C49,'Key inputs_Refineries'!$B$85:$B$164,"Boiler"))),0)</f>
        <v>0</v>
      </c>
      <c r="AK41" s="173" cm="1">
        <f t="array" ref="AK41">IFERROR(IF(AND(SUMIFS('Key inputs_Refineries'!AE$85:AE$164,'Key inputs_Refineries'!$C$85:$C$164,$C41,'Key inputs_Refineries'!$B$85:$B$164,"Boiler")/SUM(SUMIFS('Key inputs_Refineries'!AE$85:AE$164,'Key inputs_Refineries'!$C$85:$C$164,$C40:$C49,'Key inputs_Refineries'!$B$85:$B$164,"Boiler"))&gt;0,SUMIFS('Key inputs_Refineries'!AE$85:AE$164,'Key inputs_Refineries'!$C$85:$C$164,$C41,'Key inputs_Refineries'!$B$85:$B$164,"Boiler")/SUM(SUMIFS('Key inputs_Refineries'!AE$85:AE$164,'Key inputs_Refineries'!$C$85:$C$164,$C40:$C49,'Key inputs_Refineries'!$B$85:$B$164,"Boiler"))&lt;0.001),0.001,SUMIFS('Key inputs_Refineries'!AE$85:AE$164,'Key inputs_Refineries'!$C$85:$C$164,$C41,'Key inputs_Refineries'!$B$85:$B$164,"Boiler")/SUM(SUMIFS('Key inputs_Refineries'!AE$85:AE$164,'Key inputs_Refineries'!$C$85:$C$164,$C40:$C49,'Key inputs_Refineries'!$B$85:$B$164,"Boiler"))),0)</f>
        <v>1E-3</v>
      </c>
      <c r="AL41" s="173" cm="1">
        <f t="array" ref="AL41">IFERROR(IF(AND(SUMIFS('Key inputs_Refineries'!AF$85:AF$164,'Key inputs_Refineries'!$C$85:$C$164,$C41,'Key inputs_Refineries'!$B$85:$B$164,"Boiler")/SUM(SUMIFS('Key inputs_Refineries'!AF$85:AF$164,'Key inputs_Refineries'!$C$85:$C$164,$C40:$C49,'Key inputs_Refineries'!$B$85:$B$164,"Boiler"))&gt;0,SUMIFS('Key inputs_Refineries'!AF$85:AF$164,'Key inputs_Refineries'!$C$85:$C$164,$C41,'Key inputs_Refineries'!$B$85:$B$164,"Boiler")/SUM(SUMIFS('Key inputs_Refineries'!AF$85:AF$164,'Key inputs_Refineries'!$C$85:$C$164,$C40:$C49,'Key inputs_Refineries'!$B$85:$B$164,"Boiler"))&lt;0.001),0.001,SUMIFS('Key inputs_Refineries'!AF$85:AF$164,'Key inputs_Refineries'!$C$85:$C$164,$C41,'Key inputs_Refineries'!$B$85:$B$164,"Boiler")/SUM(SUMIFS('Key inputs_Refineries'!AF$85:AF$164,'Key inputs_Refineries'!$C$85:$C$164,$C40:$C49,'Key inputs_Refineries'!$B$85:$B$164,"Boiler"))),0)</f>
        <v>1.1727367954192493E-2</v>
      </c>
    </row>
    <row r="42" spans="3:47">
      <c r="C42" t="str">
        <f>Commodities!$C$81</f>
        <v>UPSBGL</v>
      </c>
      <c r="G42" s="4" t="s">
        <v>702</v>
      </c>
      <c r="H42" t="s">
        <v>661</v>
      </c>
      <c r="I42">
        <v>2019</v>
      </c>
      <c r="J42" s="4" t="s">
        <v>650</v>
      </c>
      <c r="K42" s="426">
        <v>0</v>
      </c>
      <c r="L42" s="426">
        <v>0</v>
      </c>
      <c r="M42" s="426">
        <v>0</v>
      </c>
      <c r="N42" s="426">
        <v>0</v>
      </c>
      <c r="O42" s="426">
        <v>0</v>
      </c>
      <c r="P42" s="426">
        <v>0</v>
      </c>
      <c r="Q42" s="426">
        <v>0</v>
      </c>
      <c r="R42" s="426">
        <v>0</v>
      </c>
      <c r="S42" s="426">
        <v>0</v>
      </c>
      <c r="T42" s="426">
        <v>0</v>
      </c>
      <c r="U42" s="426">
        <v>0</v>
      </c>
      <c r="V42" s="426">
        <v>0</v>
      </c>
      <c r="W42" s="426">
        <v>0</v>
      </c>
      <c r="X42" s="426">
        <v>0</v>
      </c>
      <c r="Y42" s="426">
        <v>0</v>
      </c>
      <c r="Z42" s="426">
        <v>0</v>
      </c>
      <c r="AA42" s="426">
        <v>0</v>
      </c>
      <c r="AB42" s="426">
        <v>0</v>
      </c>
      <c r="AC42" s="426">
        <v>0</v>
      </c>
      <c r="AD42" s="426">
        <v>0</v>
      </c>
      <c r="AE42" s="426">
        <v>0</v>
      </c>
      <c r="AF42" s="426">
        <v>0</v>
      </c>
      <c r="AG42" s="426">
        <v>0</v>
      </c>
      <c r="AH42" s="426">
        <v>0</v>
      </c>
      <c r="AI42" s="426">
        <v>0</v>
      </c>
      <c r="AJ42" s="426">
        <v>0</v>
      </c>
      <c r="AK42" s="426">
        <v>0</v>
      </c>
      <c r="AL42" s="426">
        <v>0</v>
      </c>
    </row>
    <row r="43" spans="3:47">
      <c r="C43" t="str">
        <f>Commodities!$C$93</f>
        <v>UPSGSL</v>
      </c>
      <c r="G43" s="4" t="s">
        <v>702</v>
      </c>
      <c r="H43" t="s">
        <v>661</v>
      </c>
      <c r="I43">
        <v>2019</v>
      </c>
      <c r="J43" s="4" t="s">
        <v>650</v>
      </c>
      <c r="K43" s="173" cm="1">
        <f t="array" ref="K43">IFERROR(IF(AND(SUMIFS('Key inputs_Refineries'!E$85:E$164,'Key inputs_Refineries'!$C$85:$C$164,$C43,'Key inputs_Refineries'!$B$85:$B$164,"Boiler")/SUM(SUMIFS('Key inputs_Refineries'!E$85:E$164,'Key inputs_Refineries'!$C$85:$C$164,$C40:$C49,'Key inputs_Refineries'!$B$85:$B$164,"Boiler"))&gt;0,SUMIFS('Key inputs_Refineries'!E$85:E$164,'Key inputs_Refineries'!$C$85:$C$164,$C43,'Key inputs_Refineries'!$B$85:$B$164,"Boiler")/SUM(SUMIFS('Key inputs_Refineries'!E$85:E$164,'Key inputs_Refineries'!$C$85:$C$164,$C40:$C49,'Key inputs_Refineries'!$B$85:$B$164,"Boiler"))&lt;0.001),0.001,SUMIFS('Key inputs_Refineries'!E$85:E$164,'Key inputs_Refineries'!$C$85:$C$164,$C43,'Key inputs_Refineries'!$B$85:$B$164,"Boiler")/SUM(SUMIFS('Key inputs_Refineries'!E$85:E$164,'Key inputs_Refineries'!$C$85:$C$164,$C40:$C49,'Key inputs_Refineries'!$B$85:$B$164,"Boiler"))),0)</f>
        <v>0</v>
      </c>
      <c r="L43" s="173" cm="1">
        <f t="array" ref="L43">IFERROR(IF(AND(SUMIFS('Key inputs_Refineries'!F$85:F$164,'Key inputs_Refineries'!$C$85:$C$164,$C43,'Key inputs_Refineries'!$B$85:$B$164,"Boiler")/SUM(SUMIFS('Key inputs_Refineries'!F$85:F$164,'Key inputs_Refineries'!$C$85:$C$164,$C40:$C49,'Key inputs_Refineries'!$B$85:$B$164,"Boiler"))&gt;0,SUMIFS('Key inputs_Refineries'!F$85:F$164,'Key inputs_Refineries'!$C$85:$C$164,$C43,'Key inputs_Refineries'!$B$85:$B$164,"Boiler")/SUM(SUMIFS('Key inputs_Refineries'!F$85:F$164,'Key inputs_Refineries'!$C$85:$C$164,$C40:$C49,'Key inputs_Refineries'!$B$85:$B$164,"Boiler"))&lt;0.001),0.001,SUMIFS('Key inputs_Refineries'!F$85:F$164,'Key inputs_Refineries'!$C$85:$C$164,$C43,'Key inputs_Refineries'!$B$85:$B$164,"Boiler")/SUM(SUMIFS('Key inputs_Refineries'!F$85:F$164,'Key inputs_Refineries'!$C$85:$C$164,$C40:$C49,'Key inputs_Refineries'!$B$85:$B$164,"Boiler"))),0)</f>
        <v>0</v>
      </c>
      <c r="M43" s="173" cm="1">
        <f t="array" ref="M43">IFERROR(IF(AND(SUMIFS('Key inputs_Refineries'!G$85:G$164,'Key inputs_Refineries'!$C$85:$C$164,$C43,'Key inputs_Refineries'!$B$85:$B$164,"Boiler")/SUM(SUMIFS('Key inputs_Refineries'!G$85:G$164,'Key inputs_Refineries'!$C$85:$C$164,$C40:$C49,'Key inputs_Refineries'!$B$85:$B$164,"Boiler"))&gt;0,SUMIFS('Key inputs_Refineries'!G$85:G$164,'Key inputs_Refineries'!$C$85:$C$164,$C43,'Key inputs_Refineries'!$B$85:$B$164,"Boiler")/SUM(SUMIFS('Key inputs_Refineries'!G$85:G$164,'Key inputs_Refineries'!$C$85:$C$164,$C40:$C49,'Key inputs_Refineries'!$B$85:$B$164,"Boiler"))&lt;0.001),0.001,SUMIFS('Key inputs_Refineries'!G$85:G$164,'Key inputs_Refineries'!$C$85:$C$164,$C43,'Key inputs_Refineries'!$B$85:$B$164,"Boiler")/SUM(SUMIFS('Key inputs_Refineries'!G$85:G$164,'Key inputs_Refineries'!$C$85:$C$164,$C40:$C49,'Key inputs_Refineries'!$B$85:$B$164,"Boiler"))),0)</f>
        <v>0</v>
      </c>
      <c r="N43" s="173" cm="1">
        <f t="array" ref="N43">IFERROR(IF(AND(SUMIFS('Key inputs_Refineries'!H$85:H$164,'Key inputs_Refineries'!$C$85:$C$164,$C43,'Key inputs_Refineries'!$B$85:$B$164,"Boiler")/SUM(SUMIFS('Key inputs_Refineries'!H$85:H$164,'Key inputs_Refineries'!$C$85:$C$164,$C40:$C49,'Key inputs_Refineries'!$B$85:$B$164,"Boiler"))&gt;0,SUMIFS('Key inputs_Refineries'!H$85:H$164,'Key inputs_Refineries'!$C$85:$C$164,$C43,'Key inputs_Refineries'!$B$85:$B$164,"Boiler")/SUM(SUMIFS('Key inputs_Refineries'!H$85:H$164,'Key inputs_Refineries'!$C$85:$C$164,$C40:$C49,'Key inputs_Refineries'!$B$85:$B$164,"Boiler"))&lt;0.001),0.001,SUMIFS('Key inputs_Refineries'!H$85:H$164,'Key inputs_Refineries'!$C$85:$C$164,$C43,'Key inputs_Refineries'!$B$85:$B$164,"Boiler")/SUM(SUMIFS('Key inputs_Refineries'!H$85:H$164,'Key inputs_Refineries'!$C$85:$C$164,$C40:$C49,'Key inputs_Refineries'!$B$85:$B$164,"Boiler"))),0)</f>
        <v>0</v>
      </c>
      <c r="O43" s="173" cm="1">
        <f t="array" ref="O43">IFERROR(IF(AND(SUMIFS('Key inputs_Refineries'!I$85:I$164,'Key inputs_Refineries'!$C$85:$C$164,$C43,'Key inputs_Refineries'!$B$85:$B$164,"Boiler")/SUM(SUMIFS('Key inputs_Refineries'!I$85:I$164,'Key inputs_Refineries'!$C$85:$C$164,$C40:$C49,'Key inputs_Refineries'!$B$85:$B$164,"Boiler"))&gt;0,SUMIFS('Key inputs_Refineries'!I$85:I$164,'Key inputs_Refineries'!$C$85:$C$164,$C43,'Key inputs_Refineries'!$B$85:$B$164,"Boiler")/SUM(SUMIFS('Key inputs_Refineries'!I$85:I$164,'Key inputs_Refineries'!$C$85:$C$164,$C40:$C49,'Key inputs_Refineries'!$B$85:$B$164,"Boiler"))&lt;0.001),0.001,SUMIFS('Key inputs_Refineries'!I$85:I$164,'Key inputs_Refineries'!$C$85:$C$164,$C43,'Key inputs_Refineries'!$B$85:$B$164,"Boiler")/SUM(SUMIFS('Key inputs_Refineries'!I$85:I$164,'Key inputs_Refineries'!$C$85:$C$164,$C40:$C49,'Key inputs_Refineries'!$B$85:$B$164,"Boiler"))),0)</f>
        <v>0</v>
      </c>
      <c r="P43" s="173" cm="1">
        <f t="array" ref="P43">IFERROR(IF(AND(SUMIFS('Key inputs_Refineries'!J$85:J$164,'Key inputs_Refineries'!$C$85:$C$164,$C43,'Key inputs_Refineries'!$B$85:$B$164,"Boiler")/SUM(SUMIFS('Key inputs_Refineries'!J$85:J$164,'Key inputs_Refineries'!$C$85:$C$164,$C40:$C49,'Key inputs_Refineries'!$B$85:$B$164,"Boiler"))&gt;0,SUMIFS('Key inputs_Refineries'!J$85:J$164,'Key inputs_Refineries'!$C$85:$C$164,$C43,'Key inputs_Refineries'!$B$85:$B$164,"Boiler")/SUM(SUMIFS('Key inputs_Refineries'!J$85:J$164,'Key inputs_Refineries'!$C$85:$C$164,$C40:$C49,'Key inputs_Refineries'!$B$85:$B$164,"Boiler"))&lt;0.001),0.001,SUMIFS('Key inputs_Refineries'!J$85:J$164,'Key inputs_Refineries'!$C$85:$C$164,$C43,'Key inputs_Refineries'!$B$85:$B$164,"Boiler")/SUM(SUMIFS('Key inputs_Refineries'!J$85:J$164,'Key inputs_Refineries'!$C$85:$C$164,$C40:$C49,'Key inputs_Refineries'!$B$85:$B$164,"Boiler"))),0)</f>
        <v>0</v>
      </c>
      <c r="Q43" s="173" cm="1">
        <f t="array" ref="Q43">IFERROR(IF(AND(SUMIFS('Key inputs_Refineries'!K$85:K$164,'Key inputs_Refineries'!$C$85:$C$164,$C43,'Key inputs_Refineries'!$B$85:$B$164,"Boiler")/SUM(SUMIFS('Key inputs_Refineries'!K$85:K$164,'Key inputs_Refineries'!$C$85:$C$164,$C40:$C49,'Key inputs_Refineries'!$B$85:$B$164,"Boiler"))&gt;0,SUMIFS('Key inputs_Refineries'!K$85:K$164,'Key inputs_Refineries'!$C$85:$C$164,$C43,'Key inputs_Refineries'!$B$85:$B$164,"Boiler")/SUM(SUMIFS('Key inputs_Refineries'!K$85:K$164,'Key inputs_Refineries'!$C$85:$C$164,$C40:$C49,'Key inputs_Refineries'!$B$85:$B$164,"Boiler"))&lt;0.001),0.001,SUMIFS('Key inputs_Refineries'!K$85:K$164,'Key inputs_Refineries'!$C$85:$C$164,$C43,'Key inputs_Refineries'!$B$85:$B$164,"Boiler")/SUM(SUMIFS('Key inputs_Refineries'!K$85:K$164,'Key inputs_Refineries'!$C$85:$C$164,$C40:$C49,'Key inputs_Refineries'!$B$85:$B$164,"Boiler"))),0)</f>
        <v>0</v>
      </c>
      <c r="R43" s="173" cm="1">
        <f t="array" ref="R43">IFERROR(IF(AND(SUMIFS('Key inputs_Refineries'!L$85:L$164,'Key inputs_Refineries'!$C$85:$C$164,$C43,'Key inputs_Refineries'!$B$85:$B$164,"Boiler")/SUM(SUMIFS('Key inputs_Refineries'!L$85:L$164,'Key inputs_Refineries'!$C$85:$C$164,$C40:$C49,'Key inputs_Refineries'!$B$85:$B$164,"Boiler"))&gt;0,SUMIFS('Key inputs_Refineries'!L$85:L$164,'Key inputs_Refineries'!$C$85:$C$164,$C43,'Key inputs_Refineries'!$B$85:$B$164,"Boiler")/SUM(SUMIFS('Key inputs_Refineries'!L$85:L$164,'Key inputs_Refineries'!$C$85:$C$164,$C40:$C49,'Key inputs_Refineries'!$B$85:$B$164,"Boiler"))&lt;0.001),0.001,SUMIFS('Key inputs_Refineries'!L$85:L$164,'Key inputs_Refineries'!$C$85:$C$164,$C43,'Key inputs_Refineries'!$B$85:$B$164,"Boiler")/SUM(SUMIFS('Key inputs_Refineries'!L$85:L$164,'Key inputs_Refineries'!$C$85:$C$164,$C40:$C49,'Key inputs_Refineries'!$B$85:$B$164,"Boiler"))),0)</f>
        <v>0</v>
      </c>
      <c r="S43" s="173" cm="1">
        <f t="array" ref="S43">IFERROR(IF(AND(SUMIFS('Key inputs_Refineries'!M$85:M$164,'Key inputs_Refineries'!$C$85:$C$164,$C43,'Key inputs_Refineries'!$B$85:$B$164,"Boiler")/SUM(SUMIFS('Key inputs_Refineries'!M$85:M$164,'Key inputs_Refineries'!$C$85:$C$164,$C40:$C49,'Key inputs_Refineries'!$B$85:$B$164,"Boiler"))&gt;0,SUMIFS('Key inputs_Refineries'!M$85:M$164,'Key inputs_Refineries'!$C$85:$C$164,$C43,'Key inputs_Refineries'!$B$85:$B$164,"Boiler")/SUM(SUMIFS('Key inputs_Refineries'!M$85:M$164,'Key inputs_Refineries'!$C$85:$C$164,$C40:$C49,'Key inputs_Refineries'!$B$85:$B$164,"Boiler"))&lt;0.001),0.001,SUMIFS('Key inputs_Refineries'!M$85:M$164,'Key inputs_Refineries'!$C$85:$C$164,$C43,'Key inputs_Refineries'!$B$85:$B$164,"Boiler")/SUM(SUMIFS('Key inputs_Refineries'!M$85:M$164,'Key inputs_Refineries'!$C$85:$C$164,$C40:$C49,'Key inputs_Refineries'!$B$85:$B$164,"Boiler"))),0)</f>
        <v>0</v>
      </c>
      <c r="T43" s="173" cm="1">
        <f t="array" ref="T43">IFERROR(IF(AND(SUMIFS('Key inputs_Refineries'!N$85:N$164,'Key inputs_Refineries'!$C$85:$C$164,$C43,'Key inputs_Refineries'!$B$85:$B$164,"Boiler")/SUM(SUMIFS('Key inputs_Refineries'!N$85:N$164,'Key inputs_Refineries'!$C$85:$C$164,$C40:$C49,'Key inputs_Refineries'!$B$85:$B$164,"Boiler"))&gt;0,SUMIFS('Key inputs_Refineries'!N$85:N$164,'Key inputs_Refineries'!$C$85:$C$164,$C43,'Key inputs_Refineries'!$B$85:$B$164,"Boiler")/SUM(SUMIFS('Key inputs_Refineries'!N$85:N$164,'Key inputs_Refineries'!$C$85:$C$164,$C40:$C49,'Key inputs_Refineries'!$B$85:$B$164,"Boiler"))&lt;0.001),0.001,SUMIFS('Key inputs_Refineries'!N$85:N$164,'Key inputs_Refineries'!$C$85:$C$164,$C43,'Key inputs_Refineries'!$B$85:$B$164,"Boiler")/SUM(SUMIFS('Key inputs_Refineries'!N$85:N$164,'Key inputs_Refineries'!$C$85:$C$164,$C40:$C49,'Key inputs_Refineries'!$B$85:$B$164,"Boiler"))),0)</f>
        <v>2.7912331012078389E-2</v>
      </c>
      <c r="U43" s="173" cm="1">
        <f t="array" ref="U43">IFERROR(IF(AND(SUMIFS('Key inputs_Refineries'!O$85:O$164,'Key inputs_Refineries'!$C$85:$C$164,$C43,'Key inputs_Refineries'!$B$85:$B$164,"Boiler")/SUM(SUMIFS('Key inputs_Refineries'!O$85:O$164,'Key inputs_Refineries'!$C$85:$C$164,$C40:$C49,'Key inputs_Refineries'!$B$85:$B$164,"Boiler"))&gt;0,SUMIFS('Key inputs_Refineries'!O$85:O$164,'Key inputs_Refineries'!$C$85:$C$164,$C43,'Key inputs_Refineries'!$B$85:$B$164,"Boiler")/SUM(SUMIFS('Key inputs_Refineries'!O$85:O$164,'Key inputs_Refineries'!$C$85:$C$164,$C40:$C49,'Key inputs_Refineries'!$B$85:$B$164,"Boiler"))&lt;0.001),0.001,SUMIFS('Key inputs_Refineries'!O$85:O$164,'Key inputs_Refineries'!$C$85:$C$164,$C43,'Key inputs_Refineries'!$B$85:$B$164,"Boiler")/SUM(SUMIFS('Key inputs_Refineries'!O$85:O$164,'Key inputs_Refineries'!$C$85:$C$164,$C40:$C49,'Key inputs_Refineries'!$B$85:$B$164,"Boiler"))),0)</f>
        <v>0</v>
      </c>
      <c r="V43" s="173" cm="1">
        <f t="array" ref="V43">IFERROR(IF(AND(SUMIFS('Key inputs_Refineries'!P$85:P$164,'Key inputs_Refineries'!$C$85:$C$164,$C43,'Key inputs_Refineries'!$B$85:$B$164,"Boiler")/SUM(SUMIFS('Key inputs_Refineries'!P$85:P$164,'Key inputs_Refineries'!$C$85:$C$164,$C40:$C49,'Key inputs_Refineries'!$B$85:$B$164,"Boiler"))&gt;0,SUMIFS('Key inputs_Refineries'!P$85:P$164,'Key inputs_Refineries'!$C$85:$C$164,$C43,'Key inputs_Refineries'!$B$85:$B$164,"Boiler")/SUM(SUMIFS('Key inputs_Refineries'!P$85:P$164,'Key inputs_Refineries'!$C$85:$C$164,$C40:$C49,'Key inputs_Refineries'!$B$85:$B$164,"Boiler"))&lt;0.001),0.001,SUMIFS('Key inputs_Refineries'!P$85:P$164,'Key inputs_Refineries'!$C$85:$C$164,$C43,'Key inputs_Refineries'!$B$85:$B$164,"Boiler")/SUM(SUMIFS('Key inputs_Refineries'!P$85:P$164,'Key inputs_Refineries'!$C$85:$C$164,$C40:$C49,'Key inputs_Refineries'!$B$85:$B$164,"Boiler"))),0)</f>
        <v>1E-3</v>
      </c>
      <c r="W43" s="173" cm="1">
        <f t="array" ref="W43">IFERROR(IF(AND(SUMIFS('Key inputs_Refineries'!Q$85:Q$164,'Key inputs_Refineries'!$C$85:$C$164,$C43,'Key inputs_Refineries'!$B$85:$B$164,"Boiler")/SUM(SUMIFS('Key inputs_Refineries'!Q$85:Q$164,'Key inputs_Refineries'!$C$85:$C$164,$C40:$C49,'Key inputs_Refineries'!$B$85:$B$164,"Boiler"))&gt;0,SUMIFS('Key inputs_Refineries'!Q$85:Q$164,'Key inputs_Refineries'!$C$85:$C$164,$C43,'Key inputs_Refineries'!$B$85:$B$164,"Boiler")/SUM(SUMIFS('Key inputs_Refineries'!Q$85:Q$164,'Key inputs_Refineries'!$C$85:$C$164,$C40:$C49,'Key inputs_Refineries'!$B$85:$B$164,"Boiler"))&lt;0.001),0.001,SUMIFS('Key inputs_Refineries'!Q$85:Q$164,'Key inputs_Refineries'!$C$85:$C$164,$C43,'Key inputs_Refineries'!$B$85:$B$164,"Boiler")/SUM(SUMIFS('Key inputs_Refineries'!Q$85:Q$164,'Key inputs_Refineries'!$C$85:$C$164,$C40:$C49,'Key inputs_Refineries'!$B$85:$B$164,"Boiler"))),0)</f>
        <v>0</v>
      </c>
      <c r="X43" s="173" cm="1">
        <f t="array" ref="X43">IFERROR(IF(AND(SUMIFS('Key inputs_Refineries'!R$85:R$164,'Key inputs_Refineries'!$C$85:$C$164,$C43,'Key inputs_Refineries'!$B$85:$B$164,"Boiler")/SUM(SUMIFS('Key inputs_Refineries'!R$85:R$164,'Key inputs_Refineries'!$C$85:$C$164,$C40:$C49,'Key inputs_Refineries'!$B$85:$B$164,"Boiler"))&gt;0,SUMIFS('Key inputs_Refineries'!R$85:R$164,'Key inputs_Refineries'!$C$85:$C$164,$C43,'Key inputs_Refineries'!$B$85:$B$164,"Boiler")/SUM(SUMIFS('Key inputs_Refineries'!R$85:R$164,'Key inputs_Refineries'!$C$85:$C$164,$C40:$C49,'Key inputs_Refineries'!$B$85:$B$164,"Boiler"))&lt;0.001),0.001,SUMIFS('Key inputs_Refineries'!R$85:R$164,'Key inputs_Refineries'!$C$85:$C$164,$C43,'Key inputs_Refineries'!$B$85:$B$164,"Boiler")/SUM(SUMIFS('Key inputs_Refineries'!R$85:R$164,'Key inputs_Refineries'!$C$85:$C$164,$C40:$C49,'Key inputs_Refineries'!$B$85:$B$164,"Boiler"))),0)</f>
        <v>0</v>
      </c>
      <c r="Y43" s="173" cm="1">
        <f t="array" ref="Y43">IFERROR(IF(AND(SUMIFS('Key inputs_Refineries'!S$85:S$164,'Key inputs_Refineries'!$C$85:$C$164,$C43,'Key inputs_Refineries'!$B$85:$B$164,"Boiler")/SUM(SUMIFS('Key inputs_Refineries'!S$85:S$164,'Key inputs_Refineries'!$C$85:$C$164,$C40:$C49,'Key inputs_Refineries'!$B$85:$B$164,"Boiler"))&gt;0,SUMIFS('Key inputs_Refineries'!S$85:S$164,'Key inputs_Refineries'!$C$85:$C$164,$C43,'Key inputs_Refineries'!$B$85:$B$164,"Boiler")/SUM(SUMIFS('Key inputs_Refineries'!S$85:S$164,'Key inputs_Refineries'!$C$85:$C$164,$C40:$C49,'Key inputs_Refineries'!$B$85:$B$164,"Boiler"))&lt;0.001),0.001,SUMIFS('Key inputs_Refineries'!S$85:S$164,'Key inputs_Refineries'!$C$85:$C$164,$C43,'Key inputs_Refineries'!$B$85:$B$164,"Boiler")/SUM(SUMIFS('Key inputs_Refineries'!S$85:S$164,'Key inputs_Refineries'!$C$85:$C$164,$C40:$C49,'Key inputs_Refineries'!$B$85:$B$164,"Boiler"))),0)</f>
        <v>0</v>
      </c>
      <c r="Z43" s="173" cm="1">
        <f t="array" ref="Z43">IFERROR(IF(AND(SUMIFS('Key inputs_Refineries'!T$85:T$164,'Key inputs_Refineries'!$C$85:$C$164,$C43,'Key inputs_Refineries'!$B$85:$B$164,"Boiler")/SUM(SUMIFS('Key inputs_Refineries'!T$85:T$164,'Key inputs_Refineries'!$C$85:$C$164,$C40:$C49,'Key inputs_Refineries'!$B$85:$B$164,"Boiler"))&gt;0,SUMIFS('Key inputs_Refineries'!T$85:T$164,'Key inputs_Refineries'!$C$85:$C$164,$C43,'Key inputs_Refineries'!$B$85:$B$164,"Boiler")/SUM(SUMIFS('Key inputs_Refineries'!T$85:T$164,'Key inputs_Refineries'!$C$85:$C$164,$C40:$C49,'Key inputs_Refineries'!$B$85:$B$164,"Boiler"))&lt;0.001),0.001,SUMIFS('Key inputs_Refineries'!T$85:T$164,'Key inputs_Refineries'!$C$85:$C$164,$C43,'Key inputs_Refineries'!$B$85:$B$164,"Boiler")/SUM(SUMIFS('Key inputs_Refineries'!T$85:T$164,'Key inputs_Refineries'!$C$85:$C$164,$C40:$C49,'Key inputs_Refineries'!$B$85:$B$164,"Boiler"))),0)</f>
        <v>0</v>
      </c>
      <c r="AA43" s="173" cm="1">
        <f t="array" ref="AA43">IFERROR(IF(AND(SUMIFS('Key inputs_Refineries'!U$85:U$164,'Key inputs_Refineries'!$C$85:$C$164,$C43,'Key inputs_Refineries'!$B$85:$B$164,"Boiler")/SUM(SUMIFS('Key inputs_Refineries'!U$85:U$164,'Key inputs_Refineries'!$C$85:$C$164,$C40:$C49,'Key inputs_Refineries'!$B$85:$B$164,"Boiler"))&gt;0,SUMIFS('Key inputs_Refineries'!U$85:U$164,'Key inputs_Refineries'!$C$85:$C$164,$C43,'Key inputs_Refineries'!$B$85:$B$164,"Boiler")/SUM(SUMIFS('Key inputs_Refineries'!U$85:U$164,'Key inputs_Refineries'!$C$85:$C$164,$C40:$C49,'Key inputs_Refineries'!$B$85:$B$164,"Boiler"))&lt;0.001),0.001,SUMIFS('Key inputs_Refineries'!U$85:U$164,'Key inputs_Refineries'!$C$85:$C$164,$C43,'Key inputs_Refineries'!$B$85:$B$164,"Boiler")/SUM(SUMIFS('Key inputs_Refineries'!U$85:U$164,'Key inputs_Refineries'!$C$85:$C$164,$C40:$C49,'Key inputs_Refineries'!$B$85:$B$164,"Boiler"))),0)</f>
        <v>0</v>
      </c>
      <c r="AB43" s="173" cm="1">
        <f t="array" ref="AB43">IFERROR(IF(AND(SUMIFS('Key inputs_Refineries'!V$85:V$164,'Key inputs_Refineries'!$C$85:$C$164,$C43,'Key inputs_Refineries'!$B$85:$B$164,"Boiler")/SUM(SUMIFS('Key inputs_Refineries'!V$85:V$164,'Key inputs_Refineries'!$C$85:$C$164,$C40:$C49,'Key inputs_Refineries'!$B$85:$B$164,"Boiler"))&gt;0,SUMIFS('Key inputs_Refineries'!V$85:V$164,'Key inputs_Refineries'!$C$85:$C$164,$C43,'Key inputs_Refineries'!$B$85:$B$164,"Boiler")/SUM(SUMIFS('Key inputs_Refineries'!V$85:V$164,'Key inputs_Refineries'!$C$85:$C$164,$C40:$C49,'Key inputs_Refineries'!$B$85:$B$164,"Boiler"))&lt;0.001),0.001,SUMIFS('Key inputs_Refineries'!V$85:V$164,'Key inputs_Refineries'!$C$85:$C$164,$C43,'Key inputs_Refineries'!$B$85:$B$164,"Boiler")/SUM(SUMIFS('Key inputs_Refineries'!V$85:V$164,'Key inputs_Refineries'!$C$85:$C$164,$C40:$C49,'Key inputs_Refineries'!$B$85:$B$164,"Boiler"))),0)</f>
        <v>0</v>
      </c>
      <c r="AC43" s="173" cm="1">
        <f t="array" ref="AC43">IFERROR(IF(AND(SUMIFS('Key inputs_Refineries'!W$85:W$164,'Key inputs_Refineries'!$C$85:$C$164,$C43,'Key inputs_Refineries'!$B$85:$B$164,"Boiler")/SUM(SUMIFS('Key inputs_Refineries'!W$85:W$164,'Key inputs_Refineries'!$C$85:$C$164,$C40:$C49,'Key inputs_Refineries'!$B$85:$B$164,"Boiler"))&gt;0,SUMIFS('Key inputs_Refineries'!W$85:W$164,'Key inputs_Refineries'!$C$85:$C$164,$C43,'Key inputs_Refineries'!$B$85:$B$164,"Boiler")/SUM(SUMIFS('Key inputs_Refineries'!W$85:W$164,'Key inputs_Refineries'!$C$85:$C$164,$C40:$C49,'Key inputs_Refineries'!$B$85:$B$164,"Boiler"))&lt;0.001),0.001,SUMIFS('Key inputs_Refineries'!W$85:W$164,'Key inputs_Refineries'!$C$85:$C$164,$C43,'Key inputs_Refineries'!$B$85:$B$164,"Boiler")/SUM(SUMIFS('Key inputs_Refineries'!W$85:W$164,'Key inputs_Refineries'!$C$85:$C$164,$C40:$C49,'Key inputs_Refineries'!$B$85:$B$164,"Boiler"))),0)</f>
        <v>0</v>
      </c>
      <c r="AD43" s="173" cm="1">
        <f t="array" ref="AD43">IFERROR(IF(AND(SUMIFS('Key inputs_Refineries'!X$85:X$164,'Key inputs_Refineries'!$C$85:$C$164,$C43,'Key inputs_Refineries'!$B$85:$B$164,"Boiler")/SUM(SUMIFS('Key inputs_Refineries'!X$85:X$164,'Key inputs_Refineries'!$C$85:$C$164,$C40:$C49,'Key inputs_Refineries'!$B$85:$B$164,"Boiler"))&gt;0,SUMIFS('Key inputs_Refineries'!X$85:X$164,'Key inputs_Refineries'!$C$85:$C$164,$C43,'Key inputs_Refineries'!$B$85:$B$164,"Boiler")/SUM(SUMIFS('Key inputs_Refineries'!X$85:X$164,'Key inputs_Refineries'!$C$85:$C$164,$C40:$C49,'Key inputs_Refineries'!$B$85:$B$164,"Boiler"))&lt;0.001),0.001,SUMIFS('Key inputs_Refineries'!X$85:X$164,'Key inputs_Refineries'!$C$85:$C$164,$C43,'Key inputs_Refineries'!$B$85:$B$164,"Boiler")/SUM(SUMIFS('Key inputs_Refineries'!X$85:X$164,'Key inputs_Refineries'!$C$85:$C$164,$C40:$C49,'Key inputs_Refineries'!$B$85:$B$164,"Boiler"))),0)</f>
        <v>1E-3</v>
      </c>
      <c r="AE43" s="173" cm="1">
        <f t="array" ref="AE43">IFERROR(IF(AND(SUMIFS('Key inputs_Refineries'!Y$85:Y$164,'Key inputs_Refineries'!$C$85:$C$164,$C43,'Key inputs_Refineries'!$B$85:$B$164,"Boiler")/SUM(SUMIFS('Key inputs_Refineries'!Y$85:Y$164,'Key inputs_Refineries'!$C$85:$C$164,$C40:$C49,'Key inputs_Refineries'!$B$85:$B$164,"Boiler"))&gt;0,SUMIFS('Key inputs_Refineries'!Y$85:Y$164,'Key inputs_Refineries'!$C$85:$C$164,$C43,'Key inputs_Refineries'!$B$85:$B$164,"Boiler")/SUM(SUMIFS('Key inputs_Refineries'!Y$85:Y$164,'Key inputs_Refineries'!$C$85:$C$164,$C40:$C49,'Key inputs_Refineries'!$B$85:$B$164,"Boiler"))&lt;0.001),0.001,SUMIFS('Key inputs_Refineries'!Y$85:Y$164,'Key inputs_Refineries'!$C$85:$C$164,$C43,'Key inputs_Refineries'!$B$85:$B$164,"Boiler")/SUM(SUMIFS('Key inputs_Refineries'!Y$85:Y$164,'Key inputs_Refineries'!$C$85:$C$164,$C40:$C49,'Key inputs_Refineries'!$B$85:$B$164,"Boiler"))),0)</f>
        <v>2.0134433337153691E-2</v>
      </c>
      <c r="AF43" s="173" cm="1">
        <f t="array" ref="AF43">IFERROR(IF(AND(SUMIFS('Key inputs_Refineries'!Z$85:Z$164,'Key inputs_Refineries'!$C$85:$C$164,$C43,'Key inputs_Refineries'!$B$85:$B$164,"Boiler")/SUM(SUMIFS('Key inputs_Refineries'!Z$85:Z$164,'Key inputs_Refineries'!$C$85:$C$164,$C40:$C49,'Key inputs_Refineries'!$B$85:$B$164,"Boiler"))&gt;0,SUMIFS('Key inputs_Refineries'!Z$85:Z$164,'Key inputs_Refineries'!$C$85:$C$164,$C43,'Key inputs_Refineries'!$B$85:$B$164,"Boiler")/SUM(SUMIFS('Key inputs_Refineries'!Z$85:Z$164,'Key inputs_Refineries'!$C$85:$C$164,$C40:$C49,'Key inputs_Refineries'!$B$85:$B$164,"Boiler"))&lt;0.001),0.001,SUMIFS('Key inputs_Refineries'!Z$85:Z$164,'Key inputs_Refineries'!$C$85:$C$164,$C43,'Key inputs_Refineries'!$B$85:$B$164,"Boiler")/SUM(SUMIFS('Key inputs_Refineries'!Z$85:Z$164,'Key inputs_Refineries'!$C$85:$C$164,$C40:$C49,'Key inputs_Refineries'!$B$85:$B$164,"Boiler"))),0)</f>
        <v>0</v>
      </c>
      <c r="AG43" s="173" cm="1">
        <f t="array" ref="AG43">IFERROR(IF(AND(SUMIFS('Key inputs_Refineries'!AA$85:AA$164,'Key inputs_Refineries'!$C$85:$C$164,$C43,'Key inputs_Refineries'!$B$85:$B$164,"Boiler")/SUM(SUMIFS('Key inputs_Refineries'!AA$85:AA$164,'Key inputs_Refineries'!$C$85:$C$164,$C40:$C49,'Key inputs_Refineries'!$B$85:$B$164,"Boiler"))&gt;0,SUMIFS('Key inputs_Refineries'!AA$85:AA$164,'Key inputs_Refineries'!$C$85:$C$164,$C43,'Key inputs_Refineries'!$B$85:$B$164,"Boiler")/SUM(SUMIFS('Key inputs_Refineries'!AA$85:AA$164,'Key inputs_Refineries'!$C$85:$C$164,$C40:$C49,'Key inputs_Refineries'!$B$85:$B$164,"Boiler"))&lt;0.001),0.001,SUMIFS('Key inputs_Refineries'!AA$85:AA$164,'Key inputs_Refineries'!$C$85:$C$164,$C43,'Key inputs_Refineries'!$B$85:$B$164,"Boiler")/SUM(SUMIFS('Key inputs_Refineries'!AA$85:AA$164,'Key inputs_Refineries'!$C$85:$C$164,$C40:$C49,'Key inputs_Refineries'!$B$85:$B$164,"Boiler"))),0)</f>
        <v>0</v>
      </c>
      <c r="AH43" s="173" cm="1">
        <f t="array" ref="AH43">IFERROR(IF(AND(SUMIFS('Key inputs_Refineries'!AB$85:AB$164,'Key inputs_Refineries'!$C$85:$C$164,$C43,'Key inputs_Refineries'!$B$85:$B$164,"Boiler")/SUM(SUMIFS('Key inputs_Refineries'!AB$85:AB$164,'Key inputs_Refineries'!$C$85:$C$164,$C40:$C49,'Key inputs_Refineries'!$B$85:$B$164,"Boiler"))&gt;0,SUMIFS('Key inputs_Refineries'!AB$85:AB$164,'Key inputs_Refineries'!$C$85:$C$164,$C43,'Key inputs_Refineries'!$B$85:$B$164,"Boiler")/SUM(SUMIFS('Key inputs_Refineries'!AB$85:AB$164,'Key inputs_Refineries'!$C$85:$C$164,$C40:$C49,'Key inputs_Refineries'!$B$85:$B$164,"Boiler"))&lt;0.001),0.001,SUMIFS('Key inputs_Refineries'!AB$85:AB$164,'Key inputs_Refineries'!$C$85:$C$164,$C43,'Key inputs_Refineries'!$B$85:$B$164,"Boiler")/SUM(SUMIFS('Key inputs_Refineries'!AB$85:AB$164,'Key inputs_Refineries'!$C$85:$C$164,$C40:$C49,'Key inputs_Refineries'!$B$85:$B$164,"Boiler"))),0)</f>
        <v>0</v>
      </c>
      <c r="AI43" s="173" cm="1">
        <f t="array" ref="AI43">IFERROR(IF(AND(SUMIFS('Key inputs_Refineries'!AC$85:AC$164,'Key inputs_Refineries'!$C$85:$C$164,$C43,'Key inputs_Refineries'!$B$85:$B$164,"Boiler")/SUM(SUMIFS('Key inputs_Refineries'!AC$85:AC$164,'Key inputs_Refineries'!$C$85:$C$164,$C40:$C49,'Key inputs_Refineries'!$B$85:$B$164,"Boiler"))&gt;0,SUMIFS('Key inputs_Refineries'!AC$85:AC$164,'Key inputs_Refineries'!$C$85:$C$164,$C43,'Key inputs_Refineries'!$B$85:$B$164,"Boiler")/SUM(SUMIFS('Key inputs_Refineries'!AC$85:AC$164,'Key inputs_Refineries'!$C$85:$C$164,$C40:$C49,'Key inputs_Refineries'!$B$85:$B$164,"Boiler"))&lt;0.001),0.001,SUMIFS('Key inputs_Refineries'!AC$85:AC$164,'Key inputs_Refineries'!$C$85:$C$164,$C43,'Key inputs_Refineries'!$B$85:$B$164,"Boiler")/SUM(SUMIFS('Key inputs_Refineries'!AC$85:AC$164,'Key inputs_Refineries'!$C$85:$C$164,$C40:$C49,'Key inputs_Refineries'!$B$85:$B$164,"Boiler"))),0)</f>
        <v>0</v>
      </c>
      <c r="AJ43" s="173" cm="1">
        <f t="array" ref="AJ43">IFERROR(IF(AND(SUMIFS('Key inputs_Refineries'!AD$85:AD$164,'Key inputs_Refineries'!$C$85:$C$164,$C43,'Key inputs_Refineries'!$B$85:$B$164,"Boiler")/SUM(SUMIFS('Key inputs_Refineries'!AD$85:AD$164,'Key inputs_Refineries'!$C$85:$C$164,$C40:$C49,'Key inputs_Refineries'!$B$85:$B$164,"Boiler"))&gt;0,SUMIFS('Key inputs_Refineries'!AD$85:AD$164,'Key inputs_Refineries'!$C$85:$C$164,$C43,'Key inputs_Refineries'!$B$85:$B$164,"Boiler")/SUM(SUMIFS('Key inputs_Refineries'!AD$85:AD$164,'Key inputs_Refineries'!$C$85:$C$164,$C40:$C49,'Key inputs_Refineries'!$B$85:$B$164,"Boiler"))&lt;0.001),0.001,SUMIFS('Key inputs_Refineries'!AD$85:AD$164,'Key inputs_Refineries'!$C$85:$C$164,$C43,'Key inputs_Refineries'!$B$85:$B$164,"Boiler")/SUM(SUMIFS('Key inputs_Refineries'!AD$85:AD$164,'Key inputs_Refineries'!$C$85:$C$164,$C40:$C49,'Key inputs_Refineries'!$B$85:$B$164,"Boiler"))),0)</f>
        <v>0</v>
      </c>
      <c r="AK43" s="173" cm="1">
        <f t="array" ref="AK43">IFERROR(IF(AND(SUMIFS('Key inputs_Refineries'!AE$85:AE$164,'Key inputs_Refineries'!$C$85:$C$164,$C43,'Key inputs_Refineries'!$B$85:$B$164,"Boiler")/SUM(SUMIFS('Key inputs_Refineries'!AE$85:AE$164,'Key inputs_Refineries'!$C$85:$C$164,$C40:$C49,'Key inputs_Refineries'!$B$85:$B$164,"Boiler"))&gt;0,SUMIFS('Key inputs_Refineries'!AE$85:AE$164,'Key inputs_Refineries'!$C$85:$C$164,$C43,'Key inputs_Refineries'!$B$85:$B$164,"Boiler")/SUM(SUMIFS('Key inputs_Refineries'!AE$85:AE$164,'Key inputs_Refineries'!$C$85:$C$164,$C40:$C49,'Key inputs_Refineries'!$B$85:$B$164,"Boiler"))&lt;0.001),0.001,SUMIFS('Key inputs_Refineries'!AE$85:AE$164,'Key inputs_Refineries'!$C$85:$C$164,$C43,'Key inputs_Refineries'!$B$85:$B$164,"Boiler")/SUM(SUMIFS('Key inputs_Refineries'!AE$85:AE$164,'Key inputs_Refineries'!$C$85:$C$164,$C40:$C49,'Key inputs_Refineries'!$B$85:$B$164,"Boiler"))),0)</f>
        <v>0</v>
      </c>
      <c r="AL43" s="173" cm="1">
        <f t="array" ref="AL43">IFERROR(IF(AND(SUMIFS('Key inputs_Refineries'!AF$85:AF$164,'Key inputs_Refineries'!$C$85:$C$164,$C43,'Key inputs_Refineries'!$B$85:$B$164,"Boiler")/SUM(SUMIFS('Key inputs_Refineries'!AF$85:AF$164,'Key inputs_Refineries'!$C$85:$C$164,$C40:$C49,'Key inputs_Refineries'!$B$85:$B$164,"Boiler"))&gt;0,SUMIFS('Key inputs_Refineries'!AF$85:AF$164,'Key inputs_Refineries'!$C$85:$C$164,$C43,'Key inputs_Refineries'!$B$85:$B$164,"Boiler")/SUM(SUMIFS('Key inputs_Refineries'!AF$85:AF$164,'Key inputs_Refineries'!$C$85:$C$164,$C40:$C49,'Key inputs_Refineries'!$B$85:$B$164,"Boiler"))&lt;0.001),0.001,SUMIFS('Key inputs_Refineries'!AF$85:AF$164,'Key inputs_Refineries'!$C$85:$C$164,$C43,'Key inputs_Refineries'!$B$85:$B$164,"Boiler")/SUM(SUMIFS('Key inputs_Refineries'!AF$85:AF$164,'Key inputs_Refineries'!$C$85:$C$164,$C40:$C49,'Key inputs_Refineries'!$B$85:$B$164,"Boiler"))),0)</f>
        <v>2.4176673865044865E-3</v>
      </c>
    </row>
    <row r="44" spans="3:47">
      <c r="C44" t="str">
        <f>Commodities!$C$95</f>
        <v>UPSHFO</v>
      </c>
      <c r="G44" s="4" t="s">
        <v>702</v>
      </c>
      <c r="H44" t="s">
        <v>661</v>
      </c>
      <c r="I44">
        <v>2019</v>
      </c>
      <c r="J44" s="4" t="s">
        <v>650</v>
      </c>
      <c r="K44" s="173" cm="1">
        <f t="array" ref="K44">IFERROR(IF(AND(SUMIFS('Key inputs_Refineries'!E$85:E$164,'Key inputs_Refineries'!$C$85:$C$164,$C44,'Key inputs_Refineries'!$B$85:$B$164,"Boiler")/SUM(SUMIFS('Key inputs_Refineries'!E$85:E$164,'Key inputs_Refineries'!$C$85:$C$164,$C40:$C49,'Key inputs_Refineries'!$B$85:$B$164,"Boiler"))&gt;0,SUMIFS('Key inputs_Refineries'!E$85:E$164,'Key inputs_Refineries'!$C$85:$C$164,$C44,'Key inputs_Refineries'!$B$85:$B$164,"Boiler")/SUM(SUMIFS('Key inputs_Refineries'!E$85:E$164,'Key inputs_Refineries'!$C$85:$C$164,$C40:$C49,'Key inputs_Refineries'!$B$85:$B$164,"Boiler"))&lt;0.001),0.001,SUMIFS('Key inputs_Refineries'!E$85:E$164,'Key inputs_Refineries'!$C$85:$C$164,$C44,'Key inputs_Refineries'!$B$85:$B$164,"Boiler")/SUM(SUMIFS('Key inputs_Refineries'!E$85:E$164,'Key inputs_Refineries'!$C$85:$C$164,$C40:$C49,'Key inputs_Refineries'!$B$85:$B$164,"Boiler"))),0)</f>
        <v>0</v>
      </c>
      <c r="L44" s="173" cm="1">
        <f t="array" ref="L44">IFERROR(IF(AND(SUMIFS('Key inputs_Refineries'!F$85:F$164,'Key inputs_Refineries'!$C$85:$C$164,$C44,'Key inputs_Refineries'!$B$85:$B$164,"Boiler")/SUM(SUMIFS('Key inputs_Refineries'!F$85:F$164,'Key inputs_Refineries'!$C$85:$C$164,$C40:$C49,'Key inputs_Refineries'!$B$85:$B$164,"Boiler"))&gt;0,SUMIFS('Key inputs_Refineries'!F$85:F$164,'Key inputs_Refineries'!$C$85:$C$164,$C44,'Key inputs_Refineries'!$B$85:$B$164,"Boiler")/SUM(SUMIFS('Key inputs_Refineries'!F$85:F$164,'Key inputs_Refineries'!$C$85:$C$164,$C40:$C49,'Key inputs_Refineries'!$B$85:$B$164,"Boiler"))&lt;0.001),0.001,SUMIFS('Key inputs_Refineries'!F$85:F$164,'Key inputs_Refineries'!$C$85:$C$164,$C44,'Key inputs_Refineries'!$B$85:$B$164,"Boiler")/SUM(SUMIFS('Key inputs_Refineries'!F$85:F$164,'Key inputs_Refineries'!$C$85:$C$164,$C40:$C49,'Key inputs_Refineries'!$B$85:$B$164,"Boiler"))),0)</f>
        <v>0.37465171294428523</v>
      </c>
      <c r="M44" s="173" cm="1">
        <f t="array" ref="M44">IFERROR(IF(AND(SUMIFS('Key inputs_Refineries'!G$85:G$164,'Key inputs_Refineries'!$C$85:$C$164,$C44,'Key inputs_Refineries'!$B$85:$B$164,"Boiler")/SUM(SUMIFS('Key inputs_Refineries'!G$85:G$164,'Key inputs_Refineries'!$C$85:$C$164,$C40:$C49,'Key inputs_Refineries'!$B$85:$B$164,"Boiler"))&gt;0,SUMIFS('Key inputs_Refineries'!G$85:G$164,'Key inputs_Refineries'!$C$85:$C$164,$C44,'Key inputs_Refineries'!$B$85:$B$164,"Boiler")/SUM(SUMIFS('Key inputs_Refineries'!G$85:G$164,'Key inputs_Refineries'!$C$85:$C$164,$C40:$C49,'Key inputs_Refineries'!$B$85:$B$164,"Boiler"))&lt;0.001),0.001,SUMIFS('Key inputs_Refineries'!G$85:G$164,'Key inputs_Refineries'!$C$85:$C$164,$C44,'Key inputs_Refineries'!$B$85:$B$164,"Boiler")/SUM(SUMIFS('Key inputs_Refineries'!G$85:G$164,'Key inputs_Refineries'!$C$85:$C$164,$C40:$C49,'Key inputs_Refineries'!$B$85:$B$164,"Boiler"))),0)</f>
        <v>0.51919100635285487</v>
      </c>
      <c r="N44" s="173" cm="1">
        <f t="array" ref="N44">IFERROR(IF(AND(SUMIFS('Key inputs_Refineries'!H$85:H$164,'Key inputs_Refineries'!$C$85:$C$164,$C44,'Key inputs_Refineries'!$B$85:$B$164,"Boiler")/SUM(SUMIFS('Key inputs_Refineries'!H$85:H$164,'Key inputs_Refineries'!$C$85:$C$164,$C40:$C49,'Key inputs_Refineries'!$B$85:$B$164,"Boiler"))&gt;0,SUMIFS('Key inputs_Refineries'!H$85:H$164,'Key inputs_Refineries'!$C$85:$C$164,$C44,'Key inputs_Refineries'!$B$85:$B$164,"Boiler")/SUM(SUMIFS('Key inputs_Refineries'!H$85:H$164,'Key inputs_Refineries'!$C$85:$C$164,$C40:$C49,'Key inputs_Refineries'!$B$85:$B$164,"Boiler"))&lt;0.001),0.001,SUMIFS('Key inputs_Refineries'!H$85:H$164,'Key inputs_Refineries'!$C$85:$C$164,$C44,'Key inputs_Refineries'!$B$85:$B$164,"Boiler")/SUM(SUMIFS('Key inputs_Refineries'!H$85:H$164,'Key inputs_Refineries'!$C$85:$C$164,$C40:$C49,'Key inputs_Refineries'!$B$85:$B$164,"Boiler"))),0)</f>
        <v>0</v>
      </c>
      <c r="O44" s="173" cm="1">
        <f t="array" ref="O44">IFERROR(IF(AND(SUMIFS('Key inputs_Refineries'!I$85:I$164,'Key inputs_Refineries'!$C$85:$C$164,$C44,'Key inputs_Refineries'!$B$85:$B$164,"Boiler")/SUM(SUMIFS('Key inputs_Refineries'!I$85:I$164,'Key inputs_Refineries'!$C$85:$C$164,$C40:$C49,'Key inputs_Refineries'!$B$85:$B$164,"Boiler"))&gt;0,SUMIFS('Key inputs_Refineries'!I$85:I$164,'Key inputs_Refineries'!$C$85:$C$164,$C44,'Key inputs_Refineries'!$B$85:$B$164,"Boiler")/SUM(SUMIFS('Key inputs_Refineries'!I$85:I$164,'Key inputs_Refineries'!$C$85:$C$164,$C40:$C49,'Key inputs_Refineries'!$B$85:$B$164,"Boiler"))&lt;0.001),0.001,SUMIFS('Key inputs_Refineries'!I$85:I$164,'Key inputs_Refineries'!$C$85:$C$164,$C44,'Key inputs_Refineries'!$B$85:$B$164,"Boiler")/SUM(SUMIFS('Key inputs_Refineries'!I$85:I$164,'Key inputs_Refineries'!$C$85:$C$164,$C40:$C49,'Key inputs_Refineries'!$B$85:$B$164,"Boiler"))),0)</f>
        <v>9.1734191639610982E-2</v>
      </c>
      <c r="P44" s="173" cm="1">
        <f t="array" ref="P44">IFERROR(IF(AND(SUMIFS('Key inputs_Refineries'!J$85:J$164,'Key inputs_Refineries'!$C$85:$C$164,$C44,'Key inputs_Refineries'!$B$85:$B$164,"Boiler")/SUM(SUMIFS('Key inputs_Refineries'!J$85:J$164,'Key inputs_Refineries'!$C$85:$C$164,$C40:$C49,'Key inputs_Refineries'!$B$85:$B$164,"Boiler"))&gt;0,SUMIFS('Key inputs_Refineries'!J$85:J$164,'Key inputs_Refineries'!$C$85:$C$164,$C44,'Key inputs_Refineries'!$B$85:$B$164,"Boiler")/SUM(SUMIFS('Key inputs_Refineries'!J$85:J$164,'Key inputs_Refineries'!$C$85:$C$164,$C40:$C49,'Key inputs_Refineries'!$B$85:$B$164,"Boiler"))&lt;0.001),0.001,SUMIFS('Key inputs_Refineries'!J$85:J$164,'Key inputs_Refineries'!$C$85:$C$164,$C44,'Key inputs_Refineries'!$B$85:$B$164,"Boiler")/SUM(SUMIFS('Key inputs_Refineries'!J$85:J$164,'Key inputs_Refineries'!$C$85:$C$164,$C40:$C49,'Key inputs_Refineries'!$B$85:$B$164,"Boiler"))),0)</f>
        <v>0.10352194303840895</v>
      </c>
      <c r="Q44" s="173" cm="1">
        <f t="array" ref="Q44">IFERROR(IF(AND(SUMIFS('Key inputs_Refineries'!K$85:K$164,'Key inputs_Refineries'!$C$85:$C$164,$C44,'Key inputs_Refineries'!$B$85:$B$164,"Boiler")/SUM(SUMIFS('Key inputs_Refineries'!K$85:K$164,'Key inputs_Refineries'!$C$85:$C$164,$C40:$C49,'Key inputs_Refineries'!$B$85:$B$164,"Boiler"))&gt;0,SUMIFS('Key inputs_Refineries'!K$85:K$164,'Key inputs_Refineries'!$C$85:$C$164,$C44,'Key inputs_Refineries'!$B$85:$B$164,"Boiler")/SUM(SUMIFS('Key inputs_Refineries'!K$85:K$164,'Key inputs_Refineries'!$C$85:$C$164,$C40:$C49,'Key inputs_Refineries'!$B$85:$B$164,"Boiler"))&lt;0.001),0.001,SUMIFS('Key inputs_Refineries'!K$85:K$164,'Key inputs_Refineries'!$C$85:$C$164,$C44,'Key inputs_Refineries'!$B$85:$B$164,"Boiler")/SUM(SUMIFS('Key inputs_Refineries'!K$85:K$164,'Key inputs_Refineries'!$C$85:$C$164,$C40:$C49,'Key inputs_Refineries'!$B$85:$B$164,"Boiler"))),0)</f>
        <v>0.91831941777916681</v>
      </c>
      <c r="R44" s="173" cm="1">
        <f t="array" ref="R44">IFERROR(IF(AND(SUMIFS('Key inputs_Refineries'!L$85:L$164,'Key inputs_Refineries'!$C$85:$C$164,$C44,'Key inputs_Refineries'!$B$85:$B$164,"Boiler")/SUM(SUMIFS('Key inputs_Refineries'!L$85:L$164,'Key inputs_Refineries'!$C$85:$C$164,$C40:$C49,'Key inputs_Refineries'!$B$85:$B$164,"Boiler"))&gt;0,SUMIFS('Key inputs_Refineries'!L$85:L$164,'Key inputs_Refineries'!$C$85:$C$164,$C44,'Key inputs_Refineries'!$B$85:$B$164,"Boiler")/SUM(SUMIFS('Key inputs_Refineries'!L$85:L$164,'Key inputs_Refineries'!$C$85:$C$164,$C40:$C49,'Key inputs_Refineries'!$B$85:$B$164,"Boiler"))&lt;0.001),0.001,SUMIFS('Key inputs_Refineries'!L$85:L$164,'Key inputs_Refineries'!$C$85:$C$164,$C44,'Key inputs_Refineries'!$B$85:$B$164,"Boiler")/SUM(SUMIFS('Key inputs_Refineries'!L$85:L$164,'Key inputs_Refineries'!$C$85:$C$164,$C40:$C49,'Key inputs_Refineries'!$B$85:$B$164,"Boiler"))),0)</f>
        <v>1</v>
      </c>
      <c r="S44" s="173" cm="1">
        <f t="array" ref="S44">IFERROR(IF(AND(SUMIFS('Key inputs_Refineries'!M$85:M$164,'Key inputs_Refineries'!$C$85:$C$164,$C44,'Key inputs_Refineries'!$B$85:$B$164,"Boiler")/SUM(SUMIFS('Key inputs_Refineries'!M$85:M$164,'Key inputs_Refineries'!$C$85:$C$164,$C40:$C49,'Key inputs_Refineries'!$B$85:$B$164,"Boiler"))&gt;0,SUMIFS('Key inputs_Refineries'!M$85:M$164,'Key inputs_Refineries'!$C$85:$C$164,$C44,'Key inputs_Refineries'!$B$85:$B$164,"Boiler")/SUM(SUMIFS('Key inputs_Refineries'!M$85:M$164,'Key inputs_Refineries'!$C$85:$C$164,$C40:$C49,'Key inputs_Refineries'!$B$85:$B$164,"Boiler"))&lt;0.001),0.001,SUMIFS('Key inputs_Refineries'!M$85:M$164,'Key inputs_Refineries'!$C$85:$C$164,$C44,'Key inputs_Refineries'!$B$85:$B$164,"Boiler")/SUM(SUMIFS('Key inputs_Refineries'!M$85:M$164,'Key inputs_Refineries'!$C$85:$C$164,$C40:$C49,'Key inputs_Refineries'!$B$85:$B$164,"Boiler"))),0)</f>
        <v>0.96494826723174043</v>
      </c>
      <c r="T44" s="173" cm="1">
        <f t="array" ref="T44">IFERROR(IF(AND(SUMIFS('Key inputs_Refineries'!N$85:N$164,'Key inputs_Refineries'!$C$85:$C$164,$C44,'Key inputs_Refineries'!$B$85:$B$164,"Boiler")/SUM(SUMIFS('Key inputs_Refineries'!N$85:N$164,'Key inputs_Refineries'!$C$85:$C$164,$C40:$C49,'Key inputs_Refineries'!$B$85:$B$164,"Boiler"))&gt;0,SUMIFS('Key inputs_Refineries'!N$85:N$164,'Key inputs_Refineries'!$C$85:$C$164,$C44,'Key inputs_Refineries'!$B$85:$B$164,"Boiler")/SUM(SUMIFS('Key inputs_Refineries'!N$85:N$164,'Key inputs_Refineries'!$C$85:$C$164,$C40:$C49,'Key inputs_Refineries'!$B$85:$B$164,"Boiler"))&lt;0.001),0.001,SUMIFS('Key inputs_Refineries'!N$85:N$164,'Key inputs_Refineries'!$C$85:$C$164,$C44,'Key inputs_Refineries'!$B$85:$B$164,"Boiler")/SUM(SUMIFS('Key inputs_Refineries'!N$85:N$164,'Key inputs_Refineries'!$C$85:$C$164,$C40:$C49,'Key inputs_Refineries'!$B$85:$B$164,"Boiler"))),0)</f>
        <v>6.3476982152369937E-3</v>
      </c>
      <c r="U44" s="173" cm="1">
        <f t="array" ref="U44">IFERROR(IF(AND(SUMIFS('Key inputs_Refineries'!O$85:O$164,'Key inputs_Refineries'!$C$85:$C$164,$C44,'Key inputs_Refineries'!$B$85:$B$164,"Boiler")/SUM(SUMIFS('Key inputs_Refineries'!O$85:O$164,'Key inputs_Refineries'!$C$85:$C$164,$C40:$C49,'Key inputs_Refineries'!$B$85:$B$164,"Boiler"))&gt;0,SUMIFS('Key inputs_Refineries'!O$85:O$164,'Key inputs_Refineries'!$C$85:$C$164,$C44,'Key inputs_Refineries'!$B$85:$B$164,"Boiler")/SUM(SUMIFS('Key inputs_Refineries'!O$85:O$164,'Key inputs_Refineries'!$C$85:$C$164,$C40:$C49,'Key inputs_Refineries'!$B$85:$B$164,"Boiler"))&lt;0.001),0.001,SUMIFS('Key inputs_Refineries'!O$85:O$164,'Key inputs_Refineries'!$C$85:$C$164,$C44,'Key inputs_Refineries'!$B$85:$B$164,"Boiler")/SUM(SUMIFS('Key inputs_Refineries'!O$85:O$164,'Key inputs_Refineries'!$C$85:$C$164,$C40:$C49,'Key inputs_Refineries'!$B$85:$B$164,"Boiler"))),0)</f>
        <v>0.61457033647315606</v>
      </c>
      <c r="V44" s="173" cm="1">
        <f t="array" ref="V44">IFERROR(IF(AND(SUMIFS('Key inputs_Refineries'!P$85:P$164,'Key inputs_Refineries'!$C$85:$C$164,$C44,'Key inputs_Refineries'!$B$85:$B$164,"Boiler")/SUM(SUMIFS('Key inputs_Refineries'!P$85:P$164,'Key inputs_Refineries'!$C$85:$C$164,$C40:$C49,'Key inputs_Refineries'!$B$85:$B$164,"Boiler"))&gt;0,SUMIFS('Key inputs_Refineries'!P$85:P$164,'Key inputs_Refineries'!$C$85:$C$164,$C44,'Key inputs_Refineries'!$B$85:$B$164,"Boiler")/SUM(SUMIFS('Key inputs_Refineries'!P$85:P$164,'Key inputs_Refineries'!$C$85:$C$164,$C40:$C49,'Key inputs_Refineries'!$B$85:$B$164,"Boiler"))&lt;0.001),0.001,SUMIFS('Key inputs_Refineries'!P$85:P$164,'Key inputs_Refineries'!$C$85:$C$164,$C44,'Key inputs_Refineries'!$B$85:$B$164,"Boiler")/SUM(SUMIFS('Key inputs_Refineries'!P$85:P$164,'Key inputs_Refineries'!$C$85:$C$164,$C40:$C49,'Key inputs_Refineries'!$B$85:$B$164,"Boiler"))),0)</f>
        <v>6.3407167375633859E-3</v>
      </c>
      <c r="W44" s="173" cm="1">
        <f t="array" ref="W44">IFERROR(IF(AND(SUMIFS('Key inputs_Refineries'!Q$85:Q$164,'Key inputs_Refineries'!$C$85:$C$164,$C44,'Key inputs_Refineries'!$B$85:$B$164,"Boiler")/SUM(SUMIFS('Key inputs_Refineries'!Q$85:Q$164,'Key inputs_Refineries'!$C$85:$C$164,$C40:$C49,'Key inputs_Refineries'!$B$85:$B$164,"Boiler"))&gt;0,SUMIFS('Key inputs_Refineries'!Q$85:Q$164,'Key inputs_Refineries'!$C$85:$C$164,$C44,'Key inputs_Refineries'!$B$85:$B$164,"Boiler")/SUM(SUMIFS('Key inputs_Refineries'!Q$85:Q$164,'Key inputs_Refineries'!$C$85:$C$164,$C40:$C49,'Key inputs_Refineries'!$B$85:$B$164,"Boiler"))&lt;0.001),0.001,SUMIFS('Key inputs_Refineries'!Q$85:Q$164,'Key inputs_Refineries'!$C$85:$C$164,$C44,'Key inputs_Refineries'!$B$85:$B$164,"Boiler")/SUM(SUMIFS('Key inputs_Refineries'!Q$85:Q$164,'Key inputs_Refineries'!$C$85:$C$164,$C40:$C49,'Key inputs_Refineries'!$B$85:$B$164,"Boiler"))),0)</f>
        <v>0.94164147828318123</v>
      </c>
      <c r="X44" s="173" cm="1">
        <f t="array" ref="X44">IFERROR(IF(AND(SUMIFS('Key inputs_Refineries'!R$85:R$164,'Key inputs_Refineries'!$C$85:$C$164,$C44,'Key inputs_Refineries'!$B$85:$B$164,"Boiler")/SUM(SUMIFS('Key inputs_Refineries'!R$85:R$164,'Key inputs_Refineries'!$C$85:$C$164,$C40:$C49,'Key inputs_Refineries'!$B$85:$B$164,"Boiler"))&gt;0,SUMIFS('Key inputs_Refineries'!R$85:R$164,'Key inputs_Refineries'!$C$85:$C$164,$C44,'Key inputs_Refineries'!$B$85:$B$164,"Boiler")/SUM(SUMIFS('Key inputs_Refineries'!R$85:R$164,'Key inputs_Refineries'!$C$85:$C$164,$C40:$C49,'Key inputs_Refineries'!$B$85:$B$164,"Boiler"))&lt;0.001),0.001,SUMIFS('Key inputs_Refineries'!R$85:R$164,'Key inputs_Refineries'!$C$85:$C$164,$C44,'Key inputs_Refineries'!$B$85:$B$164,"Boiler")/SUM(SUMIFS('Key inputs_Refineries'!R$85:R$164,'Key inputs_Refineries'!$C$85:$C$164,$C40:$C49,'Key inputs_Refineries'!$B$85:$B$164,"Boiler"))),0)</f>
        <v>0.1905876476082399</v>
      </c>
      <c r="Y44" s="173" cm="1">
        <f t="array" ref="Y44">IFERROR(IF(AND(SUMIFS('Key inputs_Refineries'!S$85:S$164,'Key inputs_Refineries'!$C$85:$C$164,$C44,'Key inputs_Refineries'!$B$85:$B$164,"Boiler")/SUM(SUMIFS('Key inputs_Refineries'!S$85:S$164,'Key inputs_Refineries'!$C$85:$C$164,$C40:$C49,'Key inputs_Refineries'!$B$85:$B$164,"Boiler"))&gt;0,SUMIFS('Key inputs_Refineries'!S$85:S$164,'Key inputs_Refineries'!$C$85:$C$164,$C44,'Key inputs_Refineries'!$B$85:$B$164,"Boiler")/SUM(SUMIFS('Key inputs_Refineries'!S$85:S$164,'Key inputs_Refineries'!$C$85:$C$164,$C40:$C49,'Key inputs_Refineries'!$B$85:$B$164,"Boiler"))&lt;0.001),0.001,SUMIFS('Key inputs_Refineries'!S$85:S$164,'Key inputs_Refineries'!$C$85:$C$164,$C44,'Key inputs_Refineries'!$B$85:$B$164,"Boiler")/SUM(SUMIFS('Key inputs_Refineries'!S$85:S$164,'Key inputs_Refineries'!$C$85:$C$164,$C40:$C49,'Key inputs_Refineries'!$B$85:$B$164,"Boiler"))),0)</f>
        <v>0.42885543845730389</v>
      </c>
      <c r="Z44" s="173" cm="1">
        <f t="array" ref="Z44">IFERROR(IF(AND(SUMIFS('Key inputs_Refineries'!T$85:T$164,'Key inputs_Refineries'!$C$85:$C$164,$C44,'Key inputs_Refineries'!$B$85:$B$164,"Boiler")/SUM(SUMIFS('Key inputs_Refineries'!T$85:T$164,'Key inputs_Refineries'!$C$85:$C$164,$C40:$C49,'Key inputs_Refineries'!$B$85:$B$164,"Boiler"))&gt;0,SUMIFS('Key inputs_Refineries'!T$85:T$164,'Key inputs_Refineries'!$C$85:$C$164,$C44,'Key inputs_Refineries'!$B$85:$B$164,"Boiler")/SUM(SUMIFS('Key inputs_Refineries'!T$85:T$164,'Key inputs_Refineries'!$C$85:$C$164,$C40:$C49,'Key inputs_Refineries'!$B$85:$B$164,"Boiler"))&lt;0.001),0.001,SUMIFS('Key inputs_Refineries'!T$85:T$164,'Key inputs_Refineries'!$C$85:$C$164,$C44,'Key inputs_Refineries'!$B$85:$B$164,"Boiler")/SUM(SUMIFS('Key inputs_Refineries'!T$85:T$164,'Key inputs_Refineries'!$C$85:$C$164,$C40:$C49,'Key inputs_Refineries'!$B$85:$B$164,"Boiler"))),0)</f>
        <v>0.25806013116659293</v>
      </c>
      <c r="AA44" s="173" cm="1">
        <f t="array" ref="AA44">IFERROR(IF(AND(SUMIFS('Key inputs_Refineries'!U$85:U$164,'Key inputs_Refineries'!$C$85:$C$164,$C44,'Key inputs_Refineries'!$B$85:$B$164,"Boiler")/SUM(SUMIFS('Key inputs_Refineries'!U$85:U$164,'Key inputs_Refineries'!$C$85:$C$164,$C40:$C49,'Key inputs_Refineries'!$B$85:$B$164,"Boiler"))&gt;0,SUMIFS('Key inputs_Refineries'!U$85:U$164,'Key inputs_Refineries'!$C$85:$C$164,$C44,'Key inputs_Refineries'!$B$85:$B$164,"Boiler")/SUM(SUMIFS('Key inputs_Refineries'!U$85:U$164,'Key inputs_Refineries'!$C$85:$C$164,$C40:$C49,'Key inputs_Refineries'!$B$85:$B$164,"Boiler"))&lt;0.001),0.001,SUMIFS('Key inputs_Refineries'!U$85:U$164,'Key inputs_Refineries'!$C$85:$C$164,$C44,'Key inputs_Refineries'!$B$85:$B$164,"Boiler")/SUM(SUMIFS('Key inputs_Refineries'!U$85:U$164,'Key inputs_Refineries'!$C$85:$C$164,$C40:$C49,'Key inputs_Refineries'!$B$85:$B$164,"Boiler"))),0)</f>
        <v>0.39154120435237949</v>
      </c>
      <c r="AB44" s="173" cm="1">
        <f t="array" ref="AB44">IFERROR(IF(AND(SUMIFS('Key inputs_Refineries'!V$85:V$164,'Key inputs_Refineries'!$C$85:$C$164,$C44,'Key inputs_Refineries'!$B$85:$B$164,"Boiler")/SUM(SUMIFS('Key inputs_Refineries'!V$85:V$164,'Key inputs_Refineries'!$C$85:$C$164,$C40:$C49,'Key inputs_Refineries'!$B$85:$B$164,"Boiler"))&gt;0,SUMIFS('Key inputs_Refineries'!V$85:V$164,'Key inputs_Refineries'!$C$85:$C$164,$C44,'Key inputs_Refineries'!$B$85:$B$164,"Boiler")/SUM(SUMIFS('Key inputs_Refineries'!V$85:V$164,'Key inputs_Refineries'!$C$85:$C$164,$C40:$C49,'Key inputs_Refineries'!$B$85:$B$164,"Boiler"))&lt;0.001),0.001,SUMIFS('Key inputs_Refineries'!V$85:V$164,'Key inputs_Refineries'!$C$85:$C$164,$C44,'Key inputs_Refineries'!$B$85:$B$164,"Boiler")/SUM(SUMIFS('Key inputs_Refineries'!V$85:V$164,'Key inputs_Refineries'!$C$85:$C$164,$C40:$C49,'Key inputs_Refineries'!$B$85:$B$164,"Boiler"))),0)</f>
        <v>0</v>
      </c>
      <c r="AC44" s="173" cm="1">
        <f t="array" ref="AC44">IFERROR(IF(AND(SUMIFS('Key inputs_Refineries'!W$85:W$164,'Key inputs_Refineries'!$C$85:$C$164,$C44,'Key inputs_Refineries'!$B$85:$B$164,"Boiler")/SUM(SUMIFS('Key inputs_Refineries'!W$85:W$164,'Key inputs_Refineries'!$C$85:$C$164,$C40:$C49,'Key inputs_Refineries'!$B$85:$B$164,"Boiler"))&gt;0,SUMIFS('Key inputs_Refineries'!W$85:W$164,'Key inputs_Refineries'!$C$85:$C$164,$C44,'Key inputs_Refineries'!$B$85:$B$164,"Boiler")/SUM(SUMIFS('Key inputs_Refineries'!W$85:W$164,'Key inputs_Refineries'!$C$85:$C$164,$C40:$C49,'Key inputs_Refineries'!$B$85:$B$164,"Boiler"))&lt;0.001),0.001,SUMIFS('Key inputs_Refineries'!W$85:W$164,'Key inputs_Refineries'!$C$85:$C$164,$C44,'Key inputs_Refineries'!$B$85:$B$164,"Boiler")/SUM(SUMIFS('Key inputs_Refineries'!W$85:W$164,'Key inputs_Refineries'!$C$85:$C$164,$C40:$C49,'Key inputs_Refineries'!$B$85:$B$164,"Boiler"))),0)</f>
        <v>0</v>
      </c>
      <c r="AD44" s="173" cm="1">
        <f t="array" ref="AD44">IFERROR(IF(AND(SUMIFS('Key inputs_Refineries'!X$85:X$164,'Key inputs_Refineries'!$C$85:$C$164,$C44,'Key inputs_Refineries'!$B$85:$B$164,"Boiler")/SUM(SUMIFS('Key inputs_Refineries'!X$85:X$164,'Key inputs_Refineries'!$C$85:$C$164,$C40:$C49,'Key inputs_Refineries'!$B$85:$B$164,"Boiler"))&gt;0,SUMIFS('Key inputs_Refineries'!X$85:X$164,'Key inputs_Refineries'!$C$85:$C$164,$C44,'Key inputs_Refineries'!$B$85:$B$164,"Boiler")/SUM(SUMIFS('Key inputs_Refineries'!X$85:X$164,'Key inputs_Refineries'!$C$85:$C$164,$C40:$C49,'Key inputs_Refineries'!$B$85:$B$164,"Boiler"))&lt;0.001),0.001,SUMIFS('Key inputs_Refineries'!X$85:X$164,'Key inputs_Refineries'!$C$85:$C$164,$C44,'Key inputs_Refineries'!$B$85:$B$164,"Boiler")/SUM(SUMIFS('Key inputs_Refineries'!X$85:X$164,'Key inputs_Refineries'!$C$85:$C$164,$C40:$C49,'Key inputs_Refineries'!$B$85:$B$164,"Boiler"))),0)</f>
        <v>0.4756383948623702</v>
      </c>
      <c r="AE44" s="173" cm="1">
        <f t="array" ref="AE44">IFERROR(IF(AND(SUMIFS('Key inputs_Refineries'!Y$85:Y$164,'Key inputs_Refineries'!$C$85:$C$164,$C44,'Key inputs_Refineries'!$B$85:$B$164,"Boiler")/SUM(SUMIFS('Key inputs_Refineries'!Y$85:Y$164,'Key inputs_Refineries'!$C$85:$C$164,$C40:$C49,'Key inputs_Refineries'!$B$85:$B$164,"Boiler"))&gt;0,SUMIFS('Key inputs_Refineries'!Y$85:Y$164,'Key inputs_Refineries'!$C$85:$C$164,$C44,'Key inputs_Refineries'!$B$85:$B$164,"Boiler")/SUM(SUMIFS('Key inputs_Refineries'!Y$85:Y$164,'Key inputs_Refineries'!$C$85:$C$164,$C40:$C49,'Key inputs_Refineries'!$B$85:$B$164,"Boiler"))&lt;0.001),0.001,SUMIFS('Key inputs_Refineries'!Y$85:Y$164,'Key inputs_Refineries'!$C$85:$C$164,$C44,'Key inputs_Refineries'!$B$85:$B$164,"Boiler")/SUM(SUMIFS('Key inputs_Refineries'!Y$85:Y$164,'Key inputs_Refineries'!$C$85:$C$164,$C40:$C49,'Key inputs_Refineries'!$B$85:$B$164,"Boiler"))),0)</f>
        <v>0.73286575508212493</v>
      </c>
      <c r="AF44" s="173" cm="1">
        <f t="array" ref="AF44">IFERROR(IF(AND(SUMIFS('Key inputs_Refineries'!Z$85:Z$164,'Key inputs_Refineries'!$C$85:$C$164,$C44,'Key inputs_Refineries'!$B$85:$B$164,"Boiler")/SUM(SUMIFS('Key inputs_Refineries'!Z$85:Z$164,'Key inputs_Refineries'!$C$85:$C$164,$C40:$C49,'Key inputs_Refineries'!$B$85:$B$164,"Boiler"))&gt;0,SUMIFS('Key inputs_Refineries'!Z$85:Z$164,'Key inputs_Refineries'!$C$85:$C$164,$C44,'Key inputs_Refineries'!$B$85:$B$164,"Boiler")/SUM(SUMIFS('Key inputs_Refineries'!Z$85:Z$164,'Key inputs_Refineries'!$C$85:$C$164,$C40:$C49,'Key inputs_Refineries'!$B$85:$B$164,"Boiler"))&lt;0.001),0.001,SUMIFS('Key inputs_Refineries'!Z$85:Z$164,'Key inputs_Refineries'!$C$85:$C$164,$C44,'Key inputs_Refineries'!$B$85:$B$164,"Boiler")/SUM(SUMIFS('Key inputs_Refineries'!Z$85:Z$164,'Key inputs_Refineries'!$C$85:$C$164,$C40:$C49,'Key inputs_Refineries'!$B$85:$B$164,"Boiler"))),0)</f>
        <v>0.95711367572637651</v>
      </c>
      <c r="AG44" s="173" cm="1">
        <f t="array" ref="AG44">IFERROR(IF(AND(SUMIFS('Key inputs_Refineries'!AA$85:AA$164,'Key inputs_Refineries'!$C$85:$C$164,$C44,'Key inputs_Refineries'!$B$85:$B$164,"Boiler")/SUM(SUMIFS('Key inputs_Refineries'!AA$85:AA$164,'Key inputs_Refineries'!$C$85:$C$164,$C40:$C49,'Key inputs_Refineries'!$B$85:$B$164,"Boiler"))&gt;0,SUMIFS('Key inputs_Refineries'!AA$85:AA$164,'Key inputs_Refineries'!$C$85:$C$164,$C44,'Key inputs_Refineries'!$B$85:$B$164,"Boiler")/SUM(SUMIFS('Key inputs_Refineries'!AA$85:AA$164,'Key inputs_Refineries'!$C$85:$C$164,$C40:$C49,'Key inputs_Refineries'!$B$85:$B$164,"Boiler"))&lt;0.001),0.001,SUMIFS('Key inputs_Refineries'!AA$85:AA$164,'Key inputs_Refineries'!$C$85:$C$164,$C44,'Key inputs_Refineries'!$B$85:$B$164,"Boiler")/SUM(SUMIFS('Key inputs_Refineries'!AA$85:AA$164,'Key inputs_Refineries'!$C$85:$C$164,$C40:$C49,'Key inputs_Refineries'!$B$85:$B$164,"Boiler"))),0)</f>
        <v>0.75702598609266325</v>
      </c>
      <c r="AH44" s="173" cm="1">
        <f t="array" ref="AH44">IFERROR(IF(AND(SUMIFS('Key inputs_Refineries'!AB$85:AB$164,'Key inputs_Refineries'!$C$85:$C$164,$C44,'Key inputs_Refineries'!$B$85:$B$164,"Boiler")/SUM(SUMIFS('Key inputs_Refineries'!AB$85:AB$164,'Key inputs_Refineries'!$C$85:$C$164,$C40:$C49,'Key inputs_Refineries'!$B$85:$B$164,"Boiler"))&gt;0,SUMIFS('Key inputs_Refineries'!AB$85:AB$164,'Key inputs_Refineries'!$C$85:$C$164,$C44,'Key inputs_Refineries'!$B$85:$B$164,"Boiler")/SUM(SUMIFS('Key inputs_Refineries'!AB$85:AB$164,'Key inputs_Refineries'!$C$85:$C$164,$C40:$C49,'Key inputs_Refineries'!$B$85:$B$164,"Boiler"))&lt;0.001),0.001,SUMIFS('Key inputs_Refineries'!AB$85:AB$164,'Key inputs_Refineries'!$C$85:$C$164,$C44,'Key inputs_Refineries'!$B$85:$B$164,"Boiler")/SUM(SUMIFS('Key inputs_Refineries'!AB$85:AB$164,'Key inputs_Refineries'!$C$85:$C$164,$C40:$C49,'Key inputs_Refineries'!$B$85:$B$164,"Boiler"))),0)</f>
        <v>0.90502590262726645</v>
      </c>
      <c r="AI44" s="173" cm="1">
        <f t="array" ref="AI44">IFERROR(IF(AND(SUMIFS('Key inputs_Refineries'!AC$85:AC$164,'Key inputs_Refineries'!$C$85:$C$164,$C44,'Key inputs_Refineries'!$B$85:$B$164,"Boiler")/SUM(SUMIFS('Key inputs_Refineries'!AC$85:AC$164,'Key inputs_Refineries'!$C$85:$C$164,$C40:$C49,'Key inputs_Refineries'!$B$85:$B$164,"Boiler"))&gt;0,SUMIFS('Key inputs_Refineries'!AC$85:AC$164,'Key inputs_Refineries'!$C$85:$C$164,$C44,'Key inputs_Refineries'!$B$85:$B$164,"Boiler")/SUM(SUMIFS('Key inputs_Refineries'!AC$85:AC$164,'Key inputs_Refineries'!$C$85:$C$164,$C40:$C49,'Key inputs_Refineries'!$B$85:$B$164,"Boiler"))&lt;0.001),0.001,SUMIFS('Key inputs_Refineries'!AC$85:AC$164,'Key inputs_Refineries'!$C$85:$C$164,$C44,'Key inputs_Refineries'!$B$85:$B$164,"Boiler")/SUM(SUMIFS('Key inputs_Refineries'!AC$85:AC$164,'Key inputs_Refineries'!$C$85:$C$164,$C40:$C49,'Key inputs_Refineries'!$B$85:$B$164,"Boiler"))),0)</f>
        <v>0.80267724343083791</v>
      </c>
      <c r="AJ44" s="173" cm="1">
        <f t="array" ref="AJ44">IFERROR(IF(AND(SUMIFS('Key inputs_Refineries'!AD$85:AD$164,'Key inputs_Refineries'!$C$85:$C$164,$C44,'Key inputs_Refineries'!$B$85:$B$164,"Boiler")/SUM(SUMIFS('Key inputs_Refineries'!AD$85:AD$164,'Key inputs_Refineries'!$C$85:$C$164,$C40:$C49,'Key inputs_Refineries'!$B$85:$B$164,"Boiler"))&gt;0,SUMIFS('Key inputs_Refineries'!AD$85:AD$164,'Key inputs_Refineries'!$C$85:$C$164,$C44,'Key inputs_Refineries'!$B$85:$B$164,"Boiler")/SUM(SUMIFS('Key inputs_Refineries'!AD$85:AD$164,'Key inputs_Refineries'!$C$85:$C$164,$C40:$C49,'Key inputs_Refineries'!$B$85:$B$164,"Boiler"))&lt;0.001),0.001,SUMIFS('Key inputs_Refineries'!AD$85:AD$164,'Key inputs_Refineries'!$C$85:$C$164,$C44,'Key inputs_Refineries'!$B$85:$B$164,"Boiler")/SUM(SUMIFS('Key inputs_Refineries'!AD$85:AD$164,'Key inputs_Refineries'!$C$85:$C$164,$C40:$C49,'Key inputs_Refineries'!$B$85:$B$164,"Boiler"))),0)</f>
        <v>0</v>
      </c>
      <c r="AK44" s="173" cm="1">
        <f t="array" ref="AK44">IFERROR(IF(AND(SUMIFS('Key inputs_Refineries'!AE$85:AE$164,'Key inputs_Refineries'!$C$85:$C$164,$C44,'Key inputs_Refineries'!$B$85:$B$164,"Boiler")/SUM(SUMIFS('Key inputs_Refineries'!AE$85:AE$164,'Key inputs_Refineries'!$C$85:$C$164,$C40:$C49,'Key inputs_Refineries'!$B$85:$B$164,"Boiler"))&gt;0,SUMIFS('Key inputs_Refineries'!AE$85:AE$164,'Key inputs_Refineries'!$C$85:$C$164,$C44,'Key inputs_Refineries'!$B$85:$B$164,"Boiler")/SUM(SUMIFS('Key inputs_Refineries'!AE$85:AE$164,'Key inputs_Refineries'!$C$85:$C$164,$C40:$C49,'Key inputs_Refineries'!$B$85:$B$164,"Boiler"))&lt;0.001),0.001,SUMIFS('Key inputs_Refineries'!AE$85:AE$164,'Key inputs_Refineries'!$C$85:$C$164,$C44,'Key inputs_Refineries'!$B$85:$B$164,"Boiler")/SUM(SUMIFS('Key inputs_Refineries'!AE$85:AE$164,'Key inputs_Refineries'!$C$85:$C$164,$C40:$C49,'Key inputs_Refineries'!$B$85:$B$164,"Boiler"))),0)</f>
        <v>0.5386618718173517</v>
      </c>
      <c r="AL44" s="173" cm="1">
        <f t="array" ref="AL44">IFERROR(IF(AND(SUMIFS('Key inputs_Refineries'!AF$85:AF$164,'Key inputs_Refineries'!$C$85:$C$164,$C44,'Key inputs_Refineries'!$B$85:$B$164,"Boiler")/SUM(SUMIFS('Key inputs_Refineries'!AF$85:AF$164,'Key inputs_Refineries'!$C$85:$C$164,$C40:$C49,'Key inputs_Refineries'!$B$85:$B$164,"Boiler"))&gt;0,SUMIFS('Key inputs_Refineries'!AF$85:AF$164,'Key inputs_Refineries'!$C$85:$C$164,$C44,'Key inputs_Refineries'!$B$85:$B$164,"Boiler")/SUM(SUMIFS('Key inputs_Refineries'!AF$85:AF$164,'Key inputs_Refineries'!$C$85:$C$164,$C40:$C49,'Key inputs_Refineries'!$B$85:$B$164,"Boiler"))&lt;0.001),0.001,SUMIFS('Key inputs_Refineries'!AF$85:AF$164,'Key inputs_Refineries'!$C$85:$C$164,$C44,'Key inputs_Refineries'!$B$85:$B$164,"Boiler")/SUM(SUMIFS('Key inputs_Refineries'!AF$85:AF$164,'Key inputs_Refineries'!$C$85:$C$164,$C40:$C49,'Key inputs_Refineries'!$B$85:$B$164,"Boiler"))),0)</f>
        <v>1E-3</v>
      </c>
    </row>
    <row r="45" spans="3:47">
      <c r="C45" t="str">
        <f>Commodities!$C$96</f>
        <v>UPSKER</v>
      </c>
      <c r="G45" s="4" t="s">
        <v>702</v>
      </c>
      <c r="H45" t="s">
        <v>661</v>
      </c>
      <c r="I45">
        <v>2019</v>
      </c>
      <c r="J45" s="4" t="s">
        <v>650</v>
      </c>
      <c r="K45" s="173" cm="1">
        <f t="array" ref="K45">IFERROR(IF(AND(SUMIFS('Key inputs_Refineries'!E$85:E$164,'Key inputs_Refineries'!$C$85:$C$164,$C45,'Key inputs_Refineries'!$B$85:$B$164,"Boiler")/SUM(SUMIFS('Key inputs_Refineries'!E$85:E$164,'Key inputs_Refineries'!$C$85:$C$164,$C40:$C49,'Key inputs_Refineries'!$B$85:$B$164,"Boiler"))&gt;0,SUMIFS('Key inputs_Refineries'!E$85:E$164,'Key inputs_Refineries'!$C$85:$C$164,$C45,'Key inputs_Refineries'!$B$85:$B$164,"Boiler")/SUM(SUMIFS('Key inputs_Refineries'!E$85:E$164,'Key inputs_Refineries'!$C$85:$C$164,$C40:$C49,'Key inputs_Refineries'!$B$85:$B$164,"Boiler"))&lt;0.001),0.001,SUMIFS('Key inputs_Refineries'!E$85:E$164,'Key inputs_Refineries'!$C$85:$C$164,$C45,'Key inputs_Refineries'!$B$85:$B$164,"Boiler")/SUM(SUMIFS('Key inputs_Refineries'!E$85:E$164,'Key inputs_Refineries'!$C$85:$C$164,$C40:$C49,'Key inputs_Refineries'!$B$85:$B$164,"Boiler"))),0)</f>
        <v>0</v>
      </c>
      <c r="L45" s="173" cm="1">
        <f t="array" ref="L45">IFERROR(IF(AND(SUMIFS('Key inputs_Refineries'!F$85:F$164,'Key inputs_Refineries'!$C$85:$C$164,$C45,'Key inputs_Refineries'!$B$85:$B$164,"Boiler")/SUM(SUMIFS('Key inputs_Refineries'!F$85:F$164,'Key inputs_Refineries'!$C$85:$C$164,$C40:$C49,'Key inputs_Refineries'!$B$85:$B$164,"Boiler"))&gt;0,SUMIFS('Key inputs_Refineries'!F$85:F$164,'Key inputs_Refineries'!$C$85:$C$164,$C45,'Key inputs_Refineries'!$B$85:$B$164,"Boiler")/SUM(SUMIFS('Key inputs_Refineries'!F$85:F$164,'Key inputs_Refineries'!$C$85:$C$164,$C40:$C49,'Key inputs_Refineries'!$B$85:$B$164,"Boiler"))&lt;0.001),0.001,SUMIFS('Key inputs_Refineries'!F$85:F$164,'Key inputs_Refineries'!$C$85:$C$164,$C45,'Key inputs_Refineries'!$B$85:$B$164,"Boiler")/SUM(SUMIFS('Key inputs_Refineries'!F$85:F$164,'Key inputs_Refineries'!$C$85:$C$164,$C40:$C49,'Key inputs_Refineries'!$B$85:$B$164,"Boiler"))),0)</f>
        <v>0</v>
      </c>
      <c r="M45" s="173" cm="1">
        <f t="array" ref="M45">IFERROR(IF(AND(SUMIFS('Key inputs_Refineries'!G$85:G$164,'Key inputs_Refineries'!$C$85:$C$164,$C45,'Key inputs_Refineries'!$B$85:$B$164,"Boiler")/SUM(SUMIFS('Key inputs_Refineries'!G$85:G$164,'Key inputs_Refineries'!$C$85:$C$164,$C40:$C49,'Key inputs_Refineries'!$B$85:$B$164,"Boiler"))&gt;0,SUMIFS('Key inputs_Refineries'!G$85:G$164,'Key inputs_Refineries'!$C$85:$C$164,$C45,'Key inputs_Refineries'!$B$85:$B$164,"Boiler")/SUM(SUMIFS('Key inputs_Refineries'!G$85:G$164,'Key inputs_Refineries'!$C$85:$C$164,$C40:$C49,'Key inputs_Refineries'!$B$85:$B$164,"Boiler"))&lt;0.001),0.001,SUMIFS('Key inputs_Refineries'!G$85:G$164,'Key inputs_Refineries'!$C$85:$C$164,$C45,'Key inputs_Refineries'!$B$85:$B$164,"Boiler")/SUM(SUMIFS('Key inputs_Refineries'!G$85:G$164,'Key inputs_Refineries'!$C$85:$C$164,$C40:$C49,'Key inputs_Refineries'!$B$85:$B$164,"Boiler"))),0)</f>
        <v>0</v>
      </c>
      <c r="N45" s="173" cm="1">
        <f t="array" ref="N45">IFERROR(IF(AND(SUMIFS('Key inputs_Refineries'!H$85:H$164,'Key inputs_Refineries'!$C$85:$C$164,$C45,'Key inputs_Refineries'!$B$85:$B$164,"Boiler")/SUM(SUMIFS('Key inputs_Refineries'!H$85:H$164,'Key inputs_Refineries'!$C$85:$C$164,$C40:$C49,'Key inputs_Refineries'!$B$85:$B$164,"Boiler"))&gt;0,SUMIFS('Key inputs_Refineries'!H$85:H$164,'Key inputs_Refineries'!$C$85:$C$164,$C45,'Key inputs_Refineries'!$B$85:$B$164,"Boiler")/SUM(SUMIFS('Key inputs_Refineries'!H$85:H$164,'Key inputs_Refineries'!$C$85:$C$164,$C40:$C49,'Key inputs_Refineries'!$B$85:$B$164,"Boiler"))&lt;0.001),0.001,SUMIFS('Key inputs_Refineries'!H$85:H$164,'Key inputs_Refineries'!$C$85:$C$164,$C45,'Key inputs_Refineries'!$B$85:$B$164,"Boiler")/SUM(SUMIFS('Key inputs_Refineries'!H$85:H$164,'Key inputs_Refineries'!$C$85:$C$164,$C40:$C49,'Key inputs_Refineries'!$B$85:$B$164,"Boiler"))),0)</f>
        <v>0</v>
      </c>
      <c r="O45" s="173" cm="1">
        <f t="array" ref="O45">IFERROR(IF(AND(SUMIFS('Key inputs_Refineries'!I$85:I$164,'Key inputs_Refineries'!$C$85:$C$164,$C45,'Key inputs_Refineries'!$B$85:$B$164,"Boiler")/SUM(SUMIFS('Key inputs_Refineries'!I$85:I$164,'Key inputs_Refineries'!$C$85:$C$164,$C40:$C49,'Key inputs_Refineries'!$B$85:$B$164,"Boiler"))&gt;0,SUMIFS('Key inputs_Refineries'!I$85:I$164,'Key inputs_Refineries'!$C$85:$C$164,$C45,'Key inputs_Refineries'!$B$85:$B$164,"Boiler")/SUM(SUMIFS('Key inputs_Refineries'!I$85:I$164,'Key inputs_Refineries'!$C$85:$C$164,$C40:$C49,'Key inputs_Refineries'!$B$85:$B$164,"Boiler"))&lt;0.001),0.001,SUMIFS('Key inputs_Refineries'!I$85:I$164,'Key inputs_Refineries'!$C$85:$C$164,$C45,'Key inputs_Refineries'!$B$85:$B$164,"Boiler")/SUM(SUMIFS('Key inputs_Refineries'!I$85:I$164,'Key inputs_Refineries'!$C$85:$C$164,$C40:$C49,'Key inputs_Refineries'!$B$85:$B$164,"Boiler"))),0)</f>
        <v>0</v>
      </c>
      <c r="P45" s="173" cm="1">
        <f t="array" ref="P45">IFERROR(IF(AND(SUMIFS('Key inputs_Refineries'!J$85:J$164,'Key inputs_Refineries'!$C$85:$C$164,$C45,'Key inputs_Refineries'!$B$85:$B$164,"Boiler")/SUM(SUMIFS('Key inputs_Refineries'!J$85:J$164,'Key inputs_Refineries'!$C$85:$C$164,$C40:$C49,'Key inputs_Refineries'!$B$85:$B$164,"Boiler"))&gt;0,SUMIFS('Key inputs_Refineries'!J$85:J$164,'Key inputs_Refineries'!$C$85:$C$164,$C45,'Key inputs_Refineries'!$B$85:$B$164,"Boiler")/SUM(SUMIFS('Key inputs_Refineries'!J$85:J$164,'Key inputs_Refineries'!$C$85:$C$164,$C40:$C49,'Key inputs_Refineries'!$B$85:$B$164,"Boiler"))&lt;0.001),0.001,SUMIFS('Key inputs_Refineries'!J$85:J$164,'Key inputs_Refineries'!$C$85:$C$164,$C45,'Key inputs_Refineries'!$B$85:$B$164,"Boiler")/SUM(SUMIFS('Key inputs_Refineries'!J$85:J$164,'Key inputs_Refineries'!$C$85:$C$164,$C40:$C49,'Key inputs_Refineries'!$B$85:$B$164,"Boiler"))),0)</f>
        <v>0</v>
      </c>
      <c r="Q45" s="173" cm="1">
        <f t="array" ref="Q45">IFERROR(IF(AND(SUMIFS('Key inputs_Refineries'!K$85:K$164,'Key inputs_Refineries'!$C$85:$C$164,$C45,'Key inputs_Refineries'!$B$85:$B$164,"Boiler")/SUM(SUMIFS('Key inputs_Refineries'!K$85:K$164,'Key inputs_Refineries'!$C$85:$C$164,$C40:$C49,'Key inputs_Refineries'!$B$85:$B$164,"Boiler"))&gt;0,SUMIFS('Key inputs_Refineries'!K$85:K$164,'Key inputs_Refineries'!$C$85:$C$164,$C45,'Key inputs_Refineries'!$B$85:$B$164,"Boiler")/SUM(SUMIFS('Key inputs_Refineries'!K$85:K$164,'Key inputs_Refineries'!$C$85:$C$164,$C40:$C49,'Key inputs_Refineries'!$B$85:$B$164,"Boiler"))&lt;0.001),0.001,SUMIFS('Key inputs_Refineries'!K$85:K$164,'Key inputs_Refineries'!$C$85:$C$164,$C45,'Key inputs_Refineries'!$B$85:$B$164,"Boiler")/SUM(SUMIFS('Key inputs_Refineries'!K$85:K$164,'Key inputs_Refineries'!$C$85:$C$164,$C40:$C49,'Key inputs_Refineries'!$B$85:$B$164,"Boiler"))),0)</f>
        <v>0</v>
      </c>
      <c r="R45" s="173" cm="1">
        <f t="array" ref="R45">IFERROR(IF(AND(SUMIFS('Key inputs_Refineries'!L$85:L$164,'Key inputs_Refineries'!$C$85:$C$164,$C45,'Key inputs_Refineries'!$B$85:$B$164,"Boiler")/SUM(SUMIFS('Key inputs_Refineries'!L$85:L$164,'Key inputs_Refineries'!$C$85:$C$164,$C40:$C49,'Key inputs_Refineries'!$B$85:$B$164,"Boiler"))&gt;0,SUMIFS('Key inputs_Refineries'!L$85:L$164,'Key inputs_Refineries'!$C$85:$C$164,$C45,'Key inputs_Refineries'!$B$85:$B$164,"Boiler")/SUM(SUMIFS('Key inputs_Refineries'!L$85:L$164,'Key inputs_Refineries'!$C$85:$C$164,$C40:$C49,'Key inputs_Refineries'!$B$85:$B$164,"Boiler"))&lt;0.001),0.001,SUMIFS('Key inputs_Refineries'!L$85:L$164,'Key inputs_Refineries'!$C$85:$C$164,$C45,'Key inputs_Refineries'!$B$85:$B$164,"Boiler")/SUM(SUMIFS('Key inputs_Refineries'!L$85:L$164,'Key inputs_Refineries'!$C$85:$C$164,$C40:$C49,'Key inputs_Refineries'!$B$85:$B$164,"Boiler"))),0)</f>
        <v>0</v>
      </c>
      <c r="S45" s="173" cm="1">
        <f t="array" ref="S45">IFERROR(IF(AND(SUMIFS('Key inputs_Refineries'!M$85:M$164,'Key inputs_Refineries'!$C$85:$C$164,$C45,'Key inputs_Refineries'!$B$85:$B$164,"Boiler")/SUM(SUMIFS('Key inputs_Refineries'!M$85:M$164,'Key inputs_Refineries'!$C$85:$C$164,$C40:$C49,'Key inputs_Refineries'!$B$85:$B$164,"Boiler"))&gt;0,SUMIFS('Key inputs_Refineries'!M$85:M$164,'Key inputs_Refineries'!$C$85:$C$164,$C45,'Key inputs_Refineries'!$B$85:$B$164,"Boiler")/SUM(SUMIFS('Key inputs_Refineries'!M$85:M$164,'Key inputs_Refineries'!$C$85:$C$164,$C40:$C49,'Key inputs_Refineries'!$B$85:$B$164,"Boiler"))&lt;0.001),0.001,SUMIFS('Key inputs_Refineries'!M$85:M$164,'Key inputs_Refineries'!$C$85:$C$164,$C45,'Key inputs_Refineries'!$B$85:$B$164,"Boiler")/SUM(SUMIFS('Key inputs_Refineries'!M$85:M$164,'Key inputs_Refineries'!$C$85:$C$164,$C40:$C49,'Key inputs_Refineries'!$B$85:$B$164,"Boiler"))),0)</f>
        <v>0</v>
      </c>
      <c r="T45" s="173" cm="1">
        <f t="array" ref="T45">IFERROR(IF(AND(SUMIFS('Key inputs_Refineries'!N$85:N$164,'Key inputs_Refineries'!$C$85:$C$164,$C45,'Key inputs_Refineries'!$B$85:$B$164,"Boiler")/SUM(SUMIFS('Key inputs_Refineries'!N$85:N$164,'Key inputs_Refineries'!$C$85:$C$164,$C40:$C49,'Key inputs_Refineries'!$B$85:$B$164,"Boiler"))&gt;0,SUMIFS('Key inputs_Refineries'!N$85:N$164,'Key inputs_Refineries'!$C$85:$C$164,$C45,'Key inputs_Refineries'!$B$85:$B$164,"Boiler")/SUM(SUMIFS('Key inputs_Refineries'!N$85:N$164,'Key inputs_Refineries'!$C$85:$C$164,$C40:$C49,'Key inputs_Refineries'!$B$85:$B$164,"Boiler"))&lt;0.001),0.001,SUMIFS('Key inputs_Refineries'!N$85:N$164,'Key inputs_Refineries'!$C$85:$C$164,$C45,'Key inputs_Refineries'!$B$85:$B$164,"Boiler")/SUM(SUMIFS('Key inputs_Refineries'!N$85:N$164,'Key inputs_Refineries'!$C$85:$C$164,$C40:$C49,'Key inputs_Refineries'!$B$85:$B$164,"Boiler"))),0)</f>
        <v>0</v>
      </c>
      <c r="U45" s="173" cm="1">
        <f t="array" ref="U45">IFERROR(IF(AND(SUMIFS('Key inputs_Refineries'!O$85:O$164,'Key inputs_Refineries'!$C$85:$C$164,$C45,'Key inputs_Refineries'!$B$85:$B$164,"Boiler")/SUM(SUMIFS('Key inputs_Refineries'!O$85:O$164,'Key inputs_Refineries'!$C$85:$C$164,$C40:$C49,'Key inputs_Refineries'!$B$85:$B$164,"Boiler"))&gt;0,SUMIFS('Key inputs_Refineries'!O$85:O$164,'Key inputs_Refineries'!$C$85:$C$164,$C45,'Key inputs_Refineries'!$B$85:$B$164,"Boiler")/SUM(SUMIFS('Key inputs_Refineries'!O$85:O$164,'Key inputs_Refineries'!$C$85:$C$164,$C40:$C49,'Key inputs_Refineries'!$B$85:$B$164,"Boiler"))&lt;0.001),0.001,SUMIFS('Key inputs_Refineries'!O$85:O$164,'Key inputs_Refineries'!$C$85:$C$164,$C45,'Key inputs_Refineries'!$B$85:$B$164,"Boiler")/SUM(SUMIFS('Key inputs_Refineries'!O$85:O$164,'Key inputs_Refineries'!$C$85:$C$164,$C40:$C49,'Key inputs_Refineries'!$B$85:$B$164,"Boiler"))),0)</f>
        <v>0</v>
      </c>
      <c r="V45" s="173" cm="1">
        <f t="array" ref="V45">IFERROR(IF(AND(SUMIFS('Key inputs_Refineries'!P$85:P$164,'Key inputs_Refineries'!$C$85:$C$164,$C45,'Key inputs_Refineries'!$B$85:$B$164,"Boiler")/SUM(SUMIFS('Key inputs_Refineries'!P$85:P$164,'Key inputs_Refineries'!$C$85:$C$164,$C40:$C49,'Key inputs_Refineries'!$B$85:$B$164,"Boiler"))&gt;0,SUMIFS('Key inputs_Refineries'!P$85:P$164,'Key inputs_Refineries'!$C$85:$C$164,$C45,'Key inputs_Refineries'!$B$85:$B$164,"Boiler")/SUM(SUMIFS('Key inputs_Refineries'!P$85:P$164,'Key inputs_Refineries'!$C$85:$C$164,$C40:$C49,'Key inputs_Refineries'!$B$85:$B$164,"Boiler"))&lt;0.001),0.001,SUMIFS('Key inputs_Refineries'!P$85:P$164,'Key inputs_Refineries'!$C$85:$C$164,$C45,'Key inputs_Refineries'!$B$85:$B$164,"Boiler")/SUM(SUMIFS('Key inputs_Refineries'!P$85:P$164,'Key inputs_Refineries'!$C$85:$C$164,$C40:$C49,'Key inputs_Refineries'!$B$85:$B$164,"Boiler"))),0)</f>
        <v>1E-3</v>
      </c>
      <c r="W45" s="173" cm="1">
        <f t="array" ref="W45">IFERROR(IF(AND(SUMIFS('Key inputs_Refineries'!Q$85:Q$164,'Key inputs_Refineries'!$C$85:$C$164,$C45,'Key inputs_Refineries'!$B$85:$B$164,"Boiler")/SUM(SUMIFS('Key inputs_Refineries'!Q$85:Q$164,'Key inputs_Refineries'!$C$85:$C$164,$C40:$C49,'Key inputs_Refineries'!$B$85:$B$164,"Boiler"))&gt;0,SUMIFS('Key inputs_Refineries'!Q$85:Q$164,'Key inputs_Refineries'!$C$85:$C$164,$C45,'Key inputs_Refineries'!$B$85:$B$164,"Boiler")/SUM(SUMIFS('Key inputs_Refineries'!Q$85:Q$164,'Key inputs_Refineries'!$C$85:$C$164,$C40:$C49,'Key inputs_Refineries'!$B$85:$B$164,"Boiler"))&lt;0.001),0.001,SUMIFS('Key inputs_Refineries'!Q$85:Q$164,'Key inputs_Refineries'!$C$85:$C$164,$C45,'Key inputs_Refineries'!$B$85:$B$164,"Boiler")/SUM(SUMIFS('Key inputs_Refineries'!Q$85:Q$164,'Key inputs_Refineries'!$C$85:$C$164,$C40:$C49,'Key inputs_Refineries'!$B$85:$B$164,"Boiler"))),0)</f>
        <v>0</v>
      </c>
      <c r="X45" s="173" cm="1">
        <f t="array" ref="X45">IFERROR(IF(AND(SUMIFS('Key inputs_Refineries'!R$85:R$164,'Key inputs_Refineries'!$C$85:$C$164,$C45,'Key inputs_Refineries'!$B$85:$B$164,"Boiler")/SUM(SUMIFS('Key inputs_Refineries'!R$85:R$164,'Key inputs_Refineries'!$C$85:$C$164,$C40:$C49,'Key inputs_Refineries'!$B$85:$B$164,"Boiler"))&gt;0,SUMIFS('Key inputs_Refineries'!R$85:R$164,'Key inputs_Refineries'!$C$85:$C$164,$C45,'Key inputs_Refineries'!$B$85:$B$164,"Boiler")/SUM(SUMIFS('Key inputs_Refineries'!R$85:R$164,'Key inputs_Refineries'!$C$85:$C$164,$C40:$C49,'Key inputs_Refineries'!$B$85:$B$164,"Boiler"))&lt;0.001),0.001,SUMIFS('Key inputs_Refineries'!R$85:R$164,'Key inputs_Refineries'!$C$85:$C$164,$C45,'Key inputs_Refineries'!$B$85:$B$164,"Boiler")/SUM(SUMIFS('Key inputs_Refineries'!R$85:R$164,'Key inputs_Refineries'!$C$85:$C$164,$C40:$C49,'Key inputs_Refineries'!$B$85:$B$164,"Boiler"))),0)</f>
        <v>0</v>
      </c>
      <c r="Y45" s="173" cm="1">
        <f t="array" ref="Y45">IFERROR(IF(AND(SUMIFS('Key inputs_Refineries'!S$85:S$164,'Key inputs_Refineries'!$C$85:$C$164,$C45,'Key inputs_Refineries'!$B$85:$B$164,"Boiler")/SUM(SUMIFS('Key inputs_Refineries'!S$85:S$164,'Key inputs_Refineries'!$C$85:$C$164,$C40:$C49,'Key inputs_Refineries'!$B$85:$B$164,"Boiler"))&gt;0,SUMIFS('Key inputs_Refineries'!S$85:S$164,'Key inputs_Refineries'!$C$85:$C$164,$C45,'Key inputs_Refineries'!$B$85:$B$164,"Boiler")/SUM(SUMIFS('Key inputs_Refineries'!S$85:S$164,'Key inputs_Refineries'!$C$85:$C$164,$C40:$C49,'Key inputs_Refineries'!$B$85:$B$164,"Boiler"))&lt;0.001),0.001,SUMIFS('Key inputs_Refineries'!S$85:S$164,'Key inputs_Refineries'!$C$85:$C$164,$C45,'Key inputs_Refineries'!$B$85:$B$164,"Boiler")/SUM(SUMIFS('Key inputs_Refineries'!S$85:S$164,'Key inputs_Refineries'!$C$85:$C$164,$C40:$C49,'Key inputs_Refineries'!$B$85:$B$164,"Boiler"))),0)</f>
        <v>0</v>
      </c>
      <c r="Z45" s="173" cm="1">
        <f t="array" ref="Z45">IFERROR(IF(AND(SUMIFS('Key inputs_Refineries'!T$85:T$164,'Key inputs_Refineries'!$C$85:$C$164,$C45,'Key inputs_Refineries'!$B$85:$B$164,"Boiler")/SUM(SUMIFS('Key inputs_Refineries'!T$85:T$164,'Key inputs_Refineries'!$C$85:$C$164,$C40:$C49,'Key inputs_Refineries'!$B$85:$B$164,"Boiler"))&gt;0,SUMIFS('Key inputs_Refineries'!T$85:T$164,'Key inputs_Refineries'!$C$85:$C$164,$C45,'Key inputs_Refineries'!$B$85:$B$164,"Boiler")/SUM(SUMIFS('Key inputs_Refineries'!T$85:T$164,'Key inputs_Refineries'!$C$85:$C$164,$C40:$C49,'Key inputs_Refineries'!$B$85:$B$164,"Boiler"))&lt;0.001),0.001,SUMIFS('Key inputs_Refineries'!T$85:T$164,'Key inputs_Refineries'!$C$85:$C$164,$C45,'Key inputs_Refineries'!$B$85:$B$164,"Boiler")/SUM(SUMIFS('Key inputs_Refineries'!T$85:T$164,'Key inputs_Refineries'!$C$85:$C$164,$C40:$C49,'Key inputs_Refineries'!$B$85:$B$164,"Boiler"))),0)</f>
        <v>0</v>
      </c>
      <c r="AA45" s="173" cm="1">
        <f t="array" ref="AA45">IFERROR(IF(AND(SUMIFS('Key inputs_Refineries'!U$85:U$164,'Key inputs_Refineries'!$C$85:$C$164,$C45,'Key inputs_Refineries'!$B$85:$B$164,"Boiler")/SUM(SUMIFS('Key inputs_Refineries'!U$85:U$164,'Key inputs_Refineries'!$C$85:$C$164,$C40:$C49,'Key inputs_Refineries'!$B$85:$B$164,"Boiler"))&gt;0,SUMIFS('Key inputs_Refineries'!U$85:U$164,'Key inputs_Refineries'!$C$85:$C$164,$C45,'Key inputs_Refineries'!$B$85:$B$164,"Boiler")/SUM(SUMIFS('Key inputs_Refineries'!U$85:U$164,'Key inputs_Refineries'!$C$85:$C$164,$C40:$C49,'Key inputs_Refineries'!$B$85:$B$164,"Boiler"))&lt;0.001),0.001,SUMIFS('Key inputs_Refineries'!U$85:U$164,'Key inputs_Refineries'!$C$85:$C$164,$C45,'Key inputs_Refineries'!$B$85:$B$164,"Boiler")/SUM(SUMIFS('Key inputs_Refineries'!U$85:U$164,'Key inputs_Refineries'!$C$85:$C$164,$C40:$C49,'Key inputs_Refineries'!$B$85:$B$164,"Boiler"))),0)</f>
        <v>0</v>
      </c>
      <c r="AB45" s="173" cm="1">
        <f t="array" ref="AB45">IFERROR(IF(AND(SUMIFS('Key inputs_Refineries'!V$85:V$164,'Key inputs_Refineries'!$C$85:$C$164,$C45,'Key inputs_Refineries'!$B$85:$B$164,"Boiler")/SUM(SUMIFS('Key inputs_Refineries'!V$85:V$164,'Key inputs_Refineries'!$C$85:$C$164,$C40:$C49,'Key inputs_Refineries'!$B$85:$B$164,"Boiler"))&gt;0,SUMIFS('Key inputs_Refineries'!V$85:V$164,'Key inputs_Refineries'!$C$85:$C$164,$C45,'Key inputs_Refineries'!$B$85:$B$164,"Boiler")/SUM(SUMIFS('Key inputs_Refineries'!V$85:V$164,'Key inputs_Refineries'!$C$85:$C$164,$C40:$C49,'Key inputs_Refineries'!$B$85:$B$164,"Boiler"))&lt;0.001),0.001,SUMIFS('Key inputs_Refineries'!V$85:V$164,'Key inputs_Refineries'!$C$85:$C$164,$C45,'Key inputs_Refineries'!$B$85:$B$164,"Boiler")/SUM(SUMIFS('Key inputs_Refineries'!V$85:V$164,'Key inputs_Refineries'!$C$85:$C$164,$C40:$C49,'Key inputs_Refineries'!$B$85:$B$164,"Boiler"))),0)</f>
        <v>0</v>
      </c>
      <c r="AC45" s="173" cm="1">
        <f t="array" ref="AC45">IFERROR(IF(AND(SUMIFS('Key inputs_Refineries'!W$85:W$164,'Key inputs_Refineries'!$C$85:$C$164,$C45,'Key inputs_Refineries'!$B$85:$B$164,"Boiler")/SUM(SUMIFS('Key inputs_Refineries'!W$85:W$164,'Key inputs_Refineries'!$C$85:$C$164,$C40:$C49,'Key inputs_Refineries'!$B$85:$B$164,"Boiler"))&gt;0,SUMIFS('Key inputs_Refineries'!W$85:W$164,'Key inputs_Refineries'!$C$85:$C$164,$C45,'Key inputs_Refineries'!$B$85:$B$164,"Boiler")/SUM(SUMIFS('Key inputs_Refineries'!W$85:W$164,'Key inputs_Refineries'!$C$85:$C$164,$C40:$C49,'Key inputs_Refineries'!$B$85:$B$164,"Boiler"))&lt;0.001),0.001,SUMIFS('Key inputs_Refineries'!W$85:W$164,'Key inputs_Refineries'!$C$85:$C$164,$C45,'Key inputs_Refineries'!$B$85:$B$164,"Boiler")/SUM(SUMIFS('Key inputs_Refineries'!W$85:W$164,'Key inputs_Refineries'!$C$85:$C$164,$C40:$C49,'Key inputs_Refineries'!$B$85:$B$164,"Boiler"))),0)</f>
        <v>0</v>
      </c>
      <c r="AD45" s="173" cm="1">
        <f t="array" ref="AD45">IFERROR(IF(AND(SUMIFS('Key inputs_Refineries'!X$85:X$164,'Key inputs_Refineries'!$C$85:$C$164,$C45,'Key inputs_Refineries'!$B$85:$B$164,"Boiler")/SUM(SUMIFS('Key inputs_Refineries'!X$85:X$164,'Key inputs_Refineries'!$C$85:$C$164,$C40:$C49,'Key inputs_Refineries'!$B$85:$B$164,"Boiler"))&gt;0,SUMIFS('Key inputs_Refineries'!X$85:X$164,'Key inputs_Refineries'!$C$85:$C$164,$C45,'Key inputs_Refineries'!$B$85:$B$164,"Boiler")/SUM(SUMIFS('Key inputs_Refineries'!X$85:X$164,'Key inputs_Refineries'!$C$85:$C$164,$C40:$C49,'Key inputs_Refineries'!$B$85:$B$164,"Boiler"))&lt;0.001),0.001,SUMIFS('Key inputs_Refineries'!X$85:X$164,'Key inputs_Refineries'!$C$85:$C$164,$C45,'Key inputs_Refineries'!$B$85:$B$164,"Boiler")/SUM(SUMIFS('Key inputs_Refineries'!X$85:X$164,'Key inputs_Refineries'!$C$85:$C$164,$C40:$C49,'Key inputs_Refineries'!$B$85:$B$164,"Boiler"))),0)</f>
        <v>1.164397526383067E-2</v>
      </c>
      <c r="AE45" s="173" cm="1">
        <f t="array" ref="AE45">IFERROR(IF(AND(SUMIFS('Key inputs_Refineries'!Y$85:Y$164,'Key inputs_Refineries'!$C$85:$C$164,$C45,'Key inputs_Refineries'!$B$85:$B$164,"Boiler")/SUM(SUMIFS('Key inputs_Refineries'!Y$85:Y$164,'Key inputs_Refineries'!$C$85:$C$164,$C40:$C49,'Key inputs_Refineries'!$B$85:$B$164,"Boiler"))&gt;0,SUMIFS('Key inputs_Refineries'!Y$85:Y$164,'Key inputs_Refineries'!$C$85:$C$164,$C45,'Key inputs_Refineries'!$B$85:$B$164,"Boiler")/SUM(SUMIFS('Key inputs_Refineries'!Y$85:Y$164,'Key inputs_Refineries'!$C$85:$C$164,$C40:$C49,'Key inputs_Refineries'!$B$85:$B$164,"Boiler"))&lt;0.001),0.001,SUMIFS('Key inputs_Refineries'!Y$85:Y$164,'Key inputs_Refineries'!$C$85:$C$164,$C45,'Key inputs_Refineries'!$B$85:$B$164,"Boiler")/SUM(SUMIFS('Key inputs_Refineries'!Y$85:Y$164,'Key inputs_Refineries'!$C$85:$C$164,$C40:$C49,'Key inputs_Refineries'!$B$85:$B$164,"Boiler"))),0)</f>
        <v>2.1601592972530496E-2</v>
      </c>
      <c r="AF45" s="173" cm="1">
        <f t="array" ref="AF45">IFERROR(IF(AND(SUMIFS('Key inputs_Refineries'!Z$85:Z$164,'Key inputs_Refineries'!$C$85:$C$164,$C45,'Key inputs_Refineries'!$B$85:$B$164,"Boiler")/SUM(SUMIFS('Key inputs_Refineries'!Z$85:Z$164,'Key inputs_Refineries'!$C$85:$C$164,$C40:$C49,'Key inputs_Refineries'!$B$85:$B$164,"Boiler"))&gt;0,SUMIFS('Key inputs_Refineries'!Z$85:Z$164,'Key inputs_Refineries'!$C$85:$C$164,$C45,'Key inputs_Refineries'!$B$85:$B$164,"Boiler")/SUM(SUMIFS('Key inputs_Refineries'!Z$85:Z$164,'Key inputs_Refineries'!$C$85:$C$164,$C40:$C49,'Key inputs_Refineries'!$B$85:$B$164,"Boiler"))&lt;0.001),0.001,SUMIFS('Key inputs_Refineries'!Z$85:Z$164,'Key inputs_Refineries'!$C$85:$C$164,$C45,'Key inputs_Refineries'!$B$85:$B$164,"Boiler")/SUM(SUMIFS('Key inputs_Refineries'!Z$85:Z$164,'Key inputs_Refineries'!$C$85:$C$164,$C40:$C49,'Key inputs_Refineries'!$B$85:$B$164,"Boiler"))),0)</f>
        <v>0</v>
      </c>
      <c r="AG45" s="173" cm="1">
        <f t="array" ref="AG45">IFERROR(IF(AND(SUMIFS('Key inputs_Refineries'!AA$85:AA$164,'Key inputs_Refineries'!$C$85:$C$164,$C45,'Key inputs_Refineries'!$B$85:$B$164,"Boiler")/SUM(SUMIFS('Key inputs_Refineries'!AA$85:AA$164,'Key inputs_Refineries'!$C$85:$C$164,$C40:$C49,'Key inputs_Refineries'!$B$85:$B$164,"Boiler"))&gt;0,SUMIFS('Key inputs_Refineries'!AA$85:AA$164,'Key inputs_Refineries'!$C$85:$C$164,$C45,'Key inputs_Refineries'!$B$85:$B$164,"Boiler")/SUM(SUMIFS('Key inputs_Refineries'!AA$85:AA$164,'Key inputs_Refineries'!$C$85:$C$164,$C40:$C49,'Key inputs_Refineries'!$B$85:$B$164,"Boiler"))&lt;0.001),0.001,SUMIFS('Key inputs_Refineries'!AA$85:AA$164,'Key inputs_Refineries'!$C$85:$C$164,$C45,'Key inputs_Refineries'!$B$85:$B$164,"Boiler")/SUM(SUMIFS('Key inputs_Refineries'!AA$85:AA$164,'Key inputs_Refineries'!$C$85:$C$164,$C40:$C49,'Key inputs_Refineries'!$B$85:$B$164,"Boiler"))),0)</f>
        <v>0</v>
      </c>
      <c r="AH45" s="173" cm="1">
        <f t="array" ref="AH45">IFERROR(IF(AND(SUMIFS('Key inputs_Refineries'!AB$85:AB$164,'Key inputs_Refineries'!$C$85:$C$164,$C45,'Key inputs_Refineries'!$B$85:$B$164,"Boiler")/SUM(SUMIFS('Key inputs_Refineries'!AB$85:AB$164,'Key inputs_Refineries'!$C$85:$C$164,$C40:$C49,'Key inputs_Refineries'!$B$85:$B$164,"Boiler"))&gt;0,SUMIFS('Key inputs_Refineries'!AB$85:AB$164,'Key inputs_Refineries'!$C$85:$C$164,$C45,'Key inputs_Refineries'!$B$85:$B$164,"Boiler")/SUM(SUMIFS('Key inputs_Refineries'!AB$85:AB$164,'Key inputs_Refineries'!$C$85:$C$164,$C40:$C49,'Key inputs_Refineries'!$B$85:$B$164,"Boiler"))&lt;0.001),0.001,SUMIFS('Key inputs_Refineries'!AB$85:AB$164,'Key inputs_Refineries'!$C$85:$C$164,$C45,'Key inputs_Refineries'!$B$85:$B$164,"Boiler")/SUM(SUMIFS('Key inputs_Refineries'!AB$85:AB$164,'Key inputs_Refineries'!$C$85:$C$164,$C40:$C49,'Key inputs_Refineries'!$B$85:$B$164,"Boiler"))),0)</f>
        <v>0</v>
      </c>
      <c r="AI45" s="173" cm="1">
        <f t="array" ref="AI45">IFERROR(IF(AND(SUMIFS('Key inputs_Refineries'!AC$85:AC$164,'Key inputs_Refineries'!$C$85:$C$164,$C45,'Key inputs_Refineries'!$B$85:$B$164,"Boiler")/SUM(SUMIFS('Key inputs_Refineries'!AC$85:AC$164,'Key inputs_Refineries'!$C$85:$C$164,$C40:$C49,'Key inputs_Refineries'!$B$85:$B$164,"Boiler"))&gt;0,SUMIFS('Key inputs_Refineries'!AC$85:AC$164,'Key inputs_Refineries'!$C$85:$C$164,$C45,'Key inputs_Refineries'!$B$85:$B$164,"Boiler")/SUM(SUMIFS('Key inputs_Refineries'!AC$85:AC$164,'Key inputs_Refineries'!$C$85:$C$164,$C40:$C49,'Key inputs_Refineries'!$B$85:$B$164,"Boiler"))&lt;0.001),0.001,SUMIFS('Key inputs_Refineries'!AC$85:AC$164,'Key inputs_Refineries'!$C$85:$C$164,$C45,'Key inputs_Refineries'!$B$85:$B$164,"Boiler")/SUM(SUMIFS('Key inputs_Refineries'!AC$85:AC$164,'Key inputs_Refineries'!$C$85:$C$164,$C40:$C49,'Key inputs_Refineries'!$B$85:$B$164,"Boiler"))),0)</f>
        <v>0</v>
      </c>
      <c r="AJ45" s="173" cm="1">
        <f t="array" ref="AJ45">IFERROR(IF(AND(SUMIFS('Key inputs_Refineries'!AD$85:AD$164,'Key inputs_Refineries'!$C$85:$C$164,$C45,'Key inputs_Refineries'!$B$85:$B$164,"Boiler")/SUM(SUMIFS('Key inputs_Refineries'!AD$85:AD$164,'Key inputs_Refineries'!$C$85:$C$164,$C40:$C49,'Key inputs_Refineries'!$B$85:$B$164,"Boiler"))&gt;0,SUMIFS('Key inputs_Refineries'!AD$85:AD$164,'Key inputs_Refineries'!$C$85:$C$164,$C45,'Key inputs_Refineries'!$B$85:$B$164,"Boiler")/SUM(SUMIFS('Key inputs_Refineries'!AD$85:AD$164,'Key inputs_Refineries'!$C$85:$C$164,$C40:$C49,'Key inputs_Refineries'!$B$85:$B$164,"Boiler"))&lt;0.001),0.001,SUMIFS('Key inputs_Refineries'!AD$85:AD$164,'Key inputs_Refineries'!$C$85:$C$164,$C45,'Key inputs_Refineries'!$B$85:$B$164,"Boiler")/SUM(SUMIFS('Key inputs_Refineries'!AD$85:AD$164,'Key inputs_Refineries'!$C$85:$C$164,$C40:$C49,'Key inputs_Refineries'!$B$85:$B$164,"Boiler"))),0)</f>
        <v>0</v>
      </c>
      <c r="AK45" s="173" cm="1">
        <f t="array" ref="AK45">IFERROR(IF(AND(SUMIFS('Key inputs_Refineries'!AE$85:AE$164,'Key inputs_Refineries'!$C$85:$C$164,$C45,'Key inputs_Refineries'!$B$85:$B$164,"Boiler")/SUM(SUMIFS('Key inputs_Refineries'!AE$85:AE$164,'Key inputs_Refineries'!$C$85:$C$164,$C40:$C49,'Key inputs_Refineries'!$B$85:$B$164,"Boiler"))&gt;0,SUMIFS('Key inputs_Refineries'!AE$85:AE$164,'Key inputs_Refineries'!$C$85:$C$164,$C45,'Key inputs_Refineries'!$B$85:$B$164,"Boiler")/SUM(SUMIFS('Key inputs_Refineries'!AE$85:AE$164,'Key inputs_Refineries'!$C$85:$C$164,$C40:$C49,'Key inputs_Refineries'!$B$85:$B$164,"Boiler"))&lt;0.001),0.001,SUMIFS('Key inputs_Refineries'!AE$85:AE$164,'Key inputs_Refineries'!$C$85:$C$164,$C45,'Key inputs_Refineries'!$B$85:$B$164,"Boiler")/SUM(SUMIFS('Key inputs_Refineries'!AE$85:AE$164,'Key inputs_Refineries'!$C$85:$C$164,$C40:$C49,'Key inputs_Refineries'!$B$85:$B$164,"Boiler"))),0)</f>
        <v>0</v>
      </c>
      <c r="AL45" s="173" cm="1">
        <f t="array" ref="AL45">IFERROR(IF(AND(SUMIFS('Key inputs_Refineries'!AF$85:AF$164,'Key inputs_Refineries'!$C$85:$C$164,$C45,'Key inputs_Refineries'!$B$85:$B$164,"Boiler")/SUM(SUMIFS('Key inputs_Refineries'!AF$85:AF$164,'Key inputs_Refineries'!$C$85:$C$164,$C40:$C49,'Key inputs_Refineries'!$B$85:$B$164,"Boiler"))&gt;0,SUMIFS('Key inputs_Refineries'!AF$85:AF$164,'Key inputs_Refineries'!$C$85:$C$164,$C45,'Key inputs_Refineries'!$B$85:$B$164,"Boiler")/SUM(SUMIFS('Key inputs_Refineries'!AF$85:AF$164,'Key inputs_Refineries'!$C$85:$C$164,$C40:$C49,'Key inputs_Refineries'!$B$85:$B$164,"Boiler"))&lt;0.001),0.001,SUMIFS('Key inputs_Refineries'!AF$85:AF$164,'Key inputs_Refineries'!$C$85:$C$164,$C45,'Key inputs_Refineries'!$B$85:$B$164,"Boiler")/SUM(SUMIFS('Key inputs_Refineries'!AF$85:AF$164,'Key inputs_Refineries'!$C$85:$C$164,$C40:$C49,'Key inputs_Refineries'!$B$85:$B$164,"Boiler"))),0)</f>
        <v>7.2725742976555516E-3</v>
      </c>
    </row>
    <row r="46" spans="3:47">
      <c r="C46" t="str">
        <f>Commodities!$C$97</f>
        <v>UPSLPG</v>
      </c>
      <c r="G46" s="4" t="s">
        <v>702</v>
      </c>
      <c r="H46" t="s">
        <v>661</v>
      </c>
      <c r="I46">
        <v>2019</v>
      </c>
      <c r="J46" s="4" t="s">
        <v>650</v>
      </c>
      <c r="K46" s="173" cm="1">
        <f t="array" ref="K46">IFERROR(IF(AND(SUMIFS('Key inputs_Refineries'!E$85:E$164,'Key inputs_Refineries'!$C$85:$C$164,$C46,'Key inputs_Refineries'!$B$85:$B$164,"Boiler")/SUM(SUMIFS('Key inputs_Refineries'!E$85:E$164,'Key inputs_Refineries'!$C$85:$C$164,$C40:$C49,'Key inputs_Refineries'!$B$85:$B$164,"Boiler"))&gt;0,SUMIFS('Key inputs_Refineries'!E$85:E$164,'Key inputs_Refineries'!$C$85:$C$164,$C46,'Key inputs_Refineries'!$B$85:$B$164,"Boiler")/SUM(SUMIFS('Key inputs_Refineries'!E$85:E$164,'Key inputs_Refineries'!$C$85:$C$164,$C40:$C49,'Key inputs_Refineries'!$B$85:$B$164,"Boiler"))&lt;0.001),0.001,SUMIFS('Key inputs_Refineries'!E$85:E$164,'Key inputs_Refineries'!$C$85:$C$164,$C46,'Key inputs_Refineries'!$B$85:$B$164,"Boiler")/SUM(SUMIFS('Key inputs_Refineries'!E$85:E$164,'Key inputs_Refineries'!$C$85:$C$164,$C40:$C49,'Key inputs_Refineries'!$B$85:$B$164,"Boiler"))),0)</f>
        <v>0</v>
      </c>
      <c r="L46" s="173" cm="1">
        <f t="array" ref="L46">IFERROR(IF(AND(SUMIFS('Key inputs_Refineries'!F$85:F$164,'Key inputs_Refineries'!$C$85:$C$164,$C46,'Key inputs_Refineries'!$B$85:$B$164,"Boiler")/SUM(SUMIFS('Key inputs_Refineries'!F$85:F$164,'Key inputs_Refineries'!$C$85:$C$164,$C40:$C49,'Key inputs_Refineries'!$B$85:$B$164,"Boiler"))&gt;0,SUMIFS('Key inputs_Refineries'!F$85:F$164,'Key inputs_Refineries'!$C$85:$C$164,$C46,'Key inputs_Refineries'!$B$85:$B$164,"Boiler")/SUM(SUMIFS('Key inputs_Refineries'!F$85:F$164,'Key inputs_Refineries'!$C$85:$C$164,$C40:$C49,'Key inputs_Refineries'!$B$85:$B$164,"Boiler"))&lt;0.001),0.001,SUMIFS('Key inputs_Refineries'!F$85:F$164,'Key inputs_Refineries'!$C$85:$C$164,$C46,'Key inputs_Refineries'!$B$85:$B$164,"Boiler")/SUM(SUMIFS('Key inputs_Refineries'!F$85:F$164,'Key inputs_Refineries'!$C$85:$C$164,$C40:$C49,'Key inputs_Refineries'!$B$85:$B$164,"Boiler"))),0)</f>
        <v>0</v>
      </c>
      <c r="M46" s="173" cm="1">
        <f t="array" ref="M46">IFERROR(IF(AND(SUMIFS('Key inputs_Refineries'!G$85:G$164,'Key inputs_Refineries'!$C$85:$C$164,$C46,'Key inputs_Refineries'!$B$85:$B$164,"Boiler")/SUM(SUMIFS('Key inputs_Refineries'!G$85:G$164,'Key inputs_Refineries'!$C$85:$C$164,$C40:$C49,'Key inputs_Refineries'!$B$85:$B$164,"Boiler"))&gt;0,SUMIFS('Key inputs_Refineries'!G$85:G$164,'Key inputs_Refineries'!$C$85:$C$164,$C46,'Key inputs_Refineries'!$B$85:$B$164,"Boiler")/SUM(SUMIFS('Key inputs_Refineries'!G$85:G$164,'Key inputs_Refineries'!$C$85:$C$164,$C40:$C49,'Key inputs_Refineries'!$B$85:$B$164,"Boiler"))&lt;0.001),0.001,SUMIFS('Key inputs_Refineries'!G$85:G$164,'Key inputs_Refineries'!$C$85:$C$164,$C46,'Key inputs_Refineries'!$B$85:$B$164,"Boiler")/SUM(SUMIFS('Key inputs_Refineries'!G$85:G$164,'Key inputs_Refineries'!$C$85:$C$164,$C40:$C49,'Key inputs_Refineries'!$B$85:$B$164,"Boiler"))),0)</f>
        <v>0.11449728272014652</v>
      </c>
      <c r="N46" s="173" cm="1">
        <f t="array" ref="N46">IFERROR(IF(AND(SUMIFS('Key inputs_Refineries'!H$85:H$164,'Key inputs_Refineries'!$C$85:$C$164,$C46,'Key inputs_Refineries'!$B$85:$B$164,"Boiler")/SUM(SUMIFS('Key inputs_Refineries'!H$85:H$164,'Key inputs_Refineries'!$C$85:$C$164,$C40:$C49,'Key inputs_Refineries'!$B$85:$B$164,"Boiler"))&gt;0,SUMIFS('Key inputs_Refineries'!H$85:H$164,'Key inputs_Refineries'!$C$85:$C$164,$C46,'Key inputs_Refineries'!$B$85:$B$164,"Boiler")/SUM(SUMIFS('Key inputs_Refineries'!H$85:H$164,'Key inputs_Refineries'!$C$85:$C$164,$C40:$C49,'Key inputs_Refineries'!$B$85:$B$164,"Boiler"))&lt;0.001),0.001,SUMIFS('Key inputs_Refineries'!H$85:H$164,'Key inputs_Refineries'!$C$85:$C$164,$C46,'Key inputs_Refineries'!$B$85:$B$164,"Boiler")/SUM(SUMIFS('Key inputs_Refineries'!H$85:H$164,'Key inputs_Refineries'!$C$85:$C$164,$C40:$C49,'Key inputs_Refineries'!$B$85:$B$164,"Boiler"))),0)</f>
        <v>0</v>
      </c>
      <c r="O46" s="173" cm="1">
        <f t="array" ref="O46">IFERROR(IF(AND(SUMIFS('Key inputs_Refineries'!I$85:I$164,'Key inputs_Refineries'!$C$85:$C$164,$C46,'Key inputs_Refineries'!$B$85:$B$164,"Boiler")/SUM(SUMIFS('Key inputs_Refineries'!I$85:I$164,'Key inputs_Refineries'!$C$85:$C$164,$C40:$C49,'Key inputs_Refineries'!$B$85:$B$164,"Boiler"))&gt;0,SUMIFS('Key inputs_Refineries'!I$85:I$164,'Key inputs_Refineries'!$C$85:$C$164,$C46,'Key inputs_Refineries'!$B$85:$B$164,"Boiler")/SUM(SUMIFS('Key inputs_Refineries'!I$85:I$164,'Key inputs_Refineries'!$C$85:$C$164,$C40:$C49,'Key inputs_Refineries'!$B$85:$B$164,"Boiler"))&lt;0.001),0.001,SUMIFS('Key inputs_Refineries'!I$85:I$164,'Key inputs_Refineries'!$C$85:$C$164,$C46,'Key inputs_Refineries'!$B$85:$B$164,"Boiler")/SUM(SUMIFS('Key inputs_Refineries'!I$85:I$164,'Key inputs_Refineries'!$C$85:$C$164,$C40:$C49,'Key inputs_Refineries'!$B$85:$B$164,"Boiler"))),0)</f>
        <v>0</v>
      </c>
      <c r="P46" s="173" cm="1">
        <f t="array" ref="P46">IFERROR(IF(AND(SUMIFS('Key inputs_Refineries'!J$85:J$164,'Key inputs_Refineries'!$C$85:$C$164,$C46,'Key inputs_Refineries'!$B$85:$B$164,"Boiler")/SUM(SUMIFS('Key inputs_Refineries'!J$85:J$164,'Key inputs_Refineries'!$C$85:$C$164,$C40:$C49,'Key inputs_Refineries'!$B$85:$B$164,"Boiler"))&gt;0,SUMIFS('Key inputs_Refineries'!J$85:J$164,'Key inputs_Refineries'!$C$85:$C$164,$C46,'Key inputs_Refineries'!$B$85:$B$164,"Boiler")/SUM(SUMIFS('Key inputs_Refineries'!J$85:J$164,'Key inputs_Refineries'!$C$85:$C$164,$C40:$C49,'Key inputs_Refineries'!$B$85:$B$164,"Boiler"))&lt;0.001),0.001,SUMIFS('Key inputs_Refineries'!J$85:J$164,'Key inputs_Refineries'!$C$85:$C$164,$C46,'Key inputs_Refineries'!$B$85:$B$164,"Boiler")/SUM(SUMIFS('Key inputs_Refineries'!J$85:J$164,'Key inputs_Refineries'!$C$85:$C$164,$C40:$C49,'Key inputs_Refineries'!$B$85:$B$164,"Boiler"))),0)</f>
        <v>1.8429074047040168E-3</v>
      </c>
      <c r="Q46" s="173" cm="1">
        <f t="array" ref="Q46">IFERROR(IF(AND(SUMIFS('Key inputs_Refineries'!K$85:K$164,'Key inputs_Refineries'!$C$85:$C$164,$C46,'Key inputs_Refineries'!$B$85:$B$164,"Boiler")/SUM(SUMIFS('Key inputs_Refineries'!K$85:K$164,'Key inputs_Refineries'!$C$85:$C$164,$C40:$C49,'Key inputs_Refineries'!$B$85:$B$164,"Boiler"))&gt;0,SUMIFS('Key inputs_Refineries'!K$85:K$164,'Key inputs_Refineries'!$C$85:$C$164,$C46,'Key inputs_Refineries'!$B$85:$B$164,"Boiler")/SUM(SUMIFS('Key inputs_Refineries'!K$85:K$164,'Key inputs_Refineries'!$C$85:$C$164,$C40:$C49,'Key inputs_Refineries'!$B$85:$B$164,"Boiler"))&lt;0.001),0.001,SUMIFS('Key inputs_Refineries'!K$85:K$164,'Key inputs_Refineries'!$C$85:$C$164,$C46,'Key inputs_Refineries'!$B$85:$B$164,"Boiler")/SUM(SUMIFS('Key inputs_Refineries'!K$85:K$164,'Key inputs_Refineries'!$C$85:$C$164,$C40:$C49,'Key inputs_Refineries'!$B$85:$B$164,"Boiler"))),0)</f>
        <v>0</v>
      </c>
      <c r="R46" s="173" cm="1">
        <f t="array" ref="R46">IFERROR(IF(AND(SUMIFS('Key inputs_Refineries'!L$85:L$164,'Key inputs_Refineries'!$C$85:$C$164,$C46,'Key inputs_Refineries'!$B$85:$B$164,"Boiler")/SUM(SUMIFS('Key inputs_Refineries'!L$85:L$164,'Key inputs_Refineries'!$C$85:$C$164,$C40:$C49,'Key inputs_Refineries'!$B$85:$B$164,"Boiler"))&gt;0,SUMIFS('Key inputs_Refineries'!L$85:L$164,'Key inputs_Refineries'!$C$85:$C$164,$C46,'Key inputs_Refineries'!$B$85:$B$164,"Boiler")/SUM(SUMIFS('Key inputs_Refineries'!L$85:L$164,'Key inputs_Refineries'!$C$85:$C$164,$C40:$C49,'Key inputs_Refineries'!$B$85:$B$164,"Boiler"))&lt;0.001),0.001,SUMIFS('Key inputs_Refineries'!L$85:L$164,'Key inputs_Refineries'!$C$85:$C$164,$C46,'Key inputs_Refineries'!$B$85:$B$164,"Boiler")/SUM(SUMIFS('Key inputs_Refineries'!L$85:L$164,'Key inputs_Refineries'!$C$85:$C$164,$C40:$C49,'Key inputs_Refineries'!$B$85:$B$164,"Boiler"))),0)</f>
        <v>0</v>
      </c>
      <c r="S46" s="173" cm="1">
        <f t="array" ref="S46">IFERROR(IF(AND(SUMIFS('Key inputs_Refineries'!M$85:M$164,'Key inputs_Refineries'!$C$85:$C$164,$C46,'Key inputs_Refineries'!$B$85:$B$164,"Boiler")/SUM(SUMIFS('Key inputs_Refineries'!M$85:M$164,'Key inputs_Refineries'!$C$85:$C$164,$C40:$C49,'Key inputs_Refineries'!$B$85:$B$164,"Boiler"))&gt;0,SUMIFS('Key inputs_Refineries'!M$85:M$164,'Key inputs_Refineries'!$C$85:$C$164,$C46,'Key inputs_Refineries'!$B$85:$B$164,"Boiler")/SUM(SUMIFS('Key inputs_Refineries'!M$85:M$164,'Key inputs_Refineries'!$C$85:$C$164,$C40:$C49,'Key inputs_Refineries'!$B$85:$B$164,"Boiler"))&lt;0.001),0.001,SUMIFS('Key inputs_Refineries'!M$85:M$164,'Key inputs_Refineries'!$C$85:$C$164,$C46,'Key inputs_Refineries'!$B$85:$B$164,"Boiler")/SUM(SUMIFS('Key inputs_Refineries'!M$85:M$164,'Key inputs_Refineries'!$C$85:$C$164,$C40:$C49,'Key inputs_Refineries'!$B$85:$B$164,"Boiler"))),0)</f>
        <v>0</v>
      </c>
      <c r="T46" s="173" cm="1">
        <f t="array" ref="T46">IFERROR(IF(AND(SUMIFS('Key inputs_Refineries'!N$85:N$164,'Key inputs_Refineries'!$C$85:$C$164,$C46,'Key inputs_Refineries'!$B$85:$B$164,"Boiler")/SUM(SUMIFS('Key inputs_Refineries'!N$85:N$164,'Key inputs_Refineries'!$C$85:$C$164,$C40:$C49,'Key inputs_Refineries'!$B$85:$B$164,"Boiler"))&gt;0,SUMIFS('Key inputs_Refineries'!N$85:N$164,'Key inputs_Refineries'!$C$85:$C$164,$C46,'Key inputs_Refineries'!$B$85:$B$164,"Boiler")/SUM(SUMIFS('Key inputs_Refineries'!N$85:N$164,'Key inputs_Refineries'!$C$85:$C$164,$C40:$C49,'Key inputs_Refineries'!$B$85:$B$164,"Boiler"))&lt;0.001),0.001,SUMIFS('Key inputs_Refineries'!N$85:N$164,'Key inputs_Refineries'!$C$85:$C$164,$C46,'Key inputs_Refineries'!$B$85:$B$164,"Boiler")/SUM(SUMIFS('Key inputs_Refineries'!N$85:N$164,'Key inputs_Refineries'!$C$85:$C$164,$C40:$C49,'Key inputs_Refineries'!$B$85:$B$164,"Boiler"))),0)</f>
        <v>4.0866396011492612E-2</v>
      </c>
      <c r="U46" s="173" cm="1">
        <f t="array" ref="U46">IFERROR(IF(AND(SUMIFS('Key inputs_Refineries'!O$85:O$164,'Key inputs_Refineries'!$C$85:$C$164,$C46,'Key inputs_Refineries'!$B$85:$B$164,"Boiler")/SUM(SUMIFS('Key inputs_Refineries'!O$85:O$164,'Key inputs_Refineries'!$C$85:$C$164,$C40:$C49,'Key inputs_Refineries'!$B$85:$B$164,"Boiler"))&gt;0,SUMIFS('Key inputs_Refineries'!O$85:O$164,'Key inputs_Refineries'!$C$85:$C$164,$C46,'Key inputs_Refineries'!$B$85:$B$164,"Boiler")/SUM(SUMIFS('Key inputs_Refineries'!O$85:O$164,'Key inputs_Refineries'!$C$85:$C$164,$C40:$C49,'Key inputs_Refineries'!$B$85:$B$164,"Boiler"))&lt;0.001),0.001,SUMIFS('Key inputs_Refineries'!O$85:O$164,'Key inputs_Refineries'!$C$85:$C$164,$C46,'Key inputs_Refineries'!$B$85:$B$164,"Boiler")/SUM(SUMIFS('Key inputs_Refineries'!O$85:O$164,'Key inputs_Refineries'!$C$85:$C$164,$C40:$C49,'Key inputs_Refineries'!$B$85:$B$164,"Boiler"))),0)</f>
        <v>0.38542966352684382</v>
      </c>
      <c r="V46" s="173" cm="1">
        <f t="array" ref="V46">IFERROR(IF(AND(SUMIFS('Key inputs_Refineries'!P$85:P$164,'Key inputs_Refineries'!$C$85:$C$164,$C46,'Key inputs_Refineries'!$B$85:$B$164,"Boiler")/SUM(SUMIFS('Key inputs_Refineries'!P$85:P$164,'Key inputs_Refineries'!$C$85:$C$164,$C40:$C49,'Key inputs_Refineries'!$B$85:$B$164,"Boiler"))&gt;0,SUMIFS('Key inputs_Refineries'!P$85:P$164,'Key inputs_Refineries'!$C$85:$C$164,$C46,'Key inputs_Refineries'!$B$85:$B$164,"Boiler")/SUM(SUMIFS('Key inputs_Refineries'!P$85:P$164,'Key inputs_Refineries'!$C$85:$C$164,$C40:$C49,'Key inputs_Refineries'!$B$85:$B$164,"Boiler"))&lt;0.001),0.001,SUMIFS('Key inputs_Refineries'!P$85:P$164,'Key inputs_Refineries'!$C$85:$C$164,$C46,'Key inputs_Refineries'!$B$85:$B$164,"Boiler")/SUM(SUMIFS('Key inputs_Refineries'!P$85:P$164,'Key inputs_Refineries'!$C$85:$C$164,$C40:$C49,'Key inputs_Refineries'!$B$85:$B$164,"Boiler"))),0)</f>
        <v>0.20400018354543314</v>
      </c>
      <c r="W46" s="173" cm="1">
        <f t="array" ref="W46">IFERROR(IF(AND(SUMIFS('Key inputs_Refineries'!Q$85:Q$164,'Key inputs_Refineries'!$C$85:$C$164,$C46,'Key inputs_Refineries'!$B$85:$B$164,"Boiler")/SUM(SUMIFS('Key inputs_Refineries'!Q$85:Q$164,'Key inputs_Refineries'!$C$85:$C$164,$C40:$C49,'Key inputs_Refineries'!$B$85:$B$164,"Boiler"))&gt;0,SUMIFS('Key inputs_Refineries'!Q$85:Q$164,'Key inputs_Refineries'!$C$85:$C$164,$C46,'Key inputs_Refineries'!$B$85:$B$164,"Boiler")/SUM(SUMIFS('Key inputs_Refineries'!Q$85:Q$164,'Key inputs_Refineries'!$C$85:$C$164,$C40:$C49,'Key inputs_Refineries'!$B$85:$B$164,"Boiler"))&lt;0.001),0.001,SUMIFS('Key inputs_Refineries'!Q$85:Q$164,'Key inputs_Refineries'!$C$85:$C$164,$C46,'Key inputs_Refineries'!$B$85:$B$164,"Boiler")/SUM(SUMIFS('Key inputs_Refineries'!Q$85:Q$164,'Key inputs_Refineries'!$C$85:$C$164,$C40:$C49,'Key inputs_Refineries'!$B$85:$B$164,"Boiler"))),0)</f>
        <v>0</v>
      </c>
      <c r="X46" s="173" cm="1">
        <f t="array" ref="X46">IFERROR(IF(AND(SUMIFS('Key inputs_Refineries'!R$85:R$164,'Key inputs_Refineries'!$C$85:$C$164,$C46,'Key inputs_Refineries'!$B$85:$B$164,"Boiler")/SUM(SUMIFS('Key inputs_Refineries'!R$85:R$164,'Key inputs_Refineries'!$C$85:$C$164,$C40:$C49,'Key inputs_Refineries'!$B$85:$B$164,"Boiler"))&gt;0,SUMIFS('Key inputs_Refineries'!R$85:R$164,'Key inputs_Refineries'!$C$85:$C$164,$C46,'Key inputs_Refineries'!$B$85:$B$164,"Boiler")/SUM(SUMIFS('Key inputs_Refineries'!R$85:R$164,'Key inputs_Refineries'!$C$85:$C$164,$C40:$C49,'Key inputs_Refineries'!$B$85:$B$164,"Boiler"))&lt;0.001),0.001,SUMIFS('Key inputs_Refineries'!R$85:R$164,'Key inputs_Refineries'!$C$85:$C$164,$C46,'Key inputs_Refineries'!$B$85:$B$164,"Boiler")/SUM(SUMIFS('Key inputs_Refineries'!R$85:R$164,'Key inputs_Refineries'!$C$85:$C$164,$C40:$C49,'Key inputs_Refineries'!$B$85:$B$164,"Boiler"))),0)</f>
        <v>0</v>
      </c>
      <c r="Y46" s="173" cm="1">
        <f t="array" ref="Y46">IFERROR(IF(AND(SUMIFS('Key inputs_Refineries'!S$85:S$164,'Key inputs_Refineries'!$C$85:$C$164,$C46,'Key inputs_Refineries'!$B$85:$B$164,"Boiler")/SUM(SUMIFS('Key inputs_Refineries'!S$85:S$164,'Key inputs_Refineries'!$C$85:$C$164,$C40:$C49,'Key inputs_Refineries'!$B$85:$B$164,"Boiler"))&gt;0,SUMIFS('Key inputs_Refineries'!S$85:S$164,'Key inputs_Refineries'!$C$85:$C$164,$C46,'Key inputs_Refineries'!$B$85:$B$164,"Boiler")/SUM(SUMIFS('Key inputs_Refineries'!S$85:S$164,'Key inputs_Refineries'!$C$85:$C$164,$C40:$C49,'Key inputs_Refineries'!$B$85:$B$164,"Boiler"))&lt;0.001),0.001,SUMIFS('Key inputs_Refineries'!S$85:S$164,'Key inputs_Refineries'!$C$85:$C$164,$C46,'Key inputs_Refineries'!$B$85:$B$164,"Boiler")/SUM(SUMIFS('Key inputs_Refineries'!S$85:S$164,'Key inputs_Refineries'!$C$85:$C$164,$C40:$C49,'Key inputs_Refineries'!$B$85:$B$164,"Boiler"))),0)</f>
        <v>8.2373108109728369E-3</v>
      </c>
      <c r="Z46" s="173" cm="1">
        <f t="array" ref="Z46">IFERROR(IF(AND(SUMIFS('Key inputs_Refineries'!T$85:T$164,'Key inputs_Refineries'!$C$85:$C$164,$C46,'Key inputs_Refineries'!$B$85:$B$164,"Boiler")/SUM(SUMIFS('Key inputs_Refineries'!T$85:T$164,'Key inputs_Refineries'!$C$85:$C$164,$C40:$C49,'Key inputs_Refineries'!$B$85:$B$164,"Boiler"))&gt;0,SUMIFS('Key inputs_Refineries'!T$85:T$164,'Key inputs_Refineries'!$C$85:$C$164,$C46,'Key inputs_Refineries'!$B$85:$B$164,"Boiler")/SUM(SUMIFS('Key inputs_Refineries'!T$85:T$164,'Key inputs_Refineries'!$C$85:$C$164,$C40:$C49,'Key inputs_Refineries'!$B$85:$B$164,"Boiler"))&lt;0.001),0.001,SUMIFS('Key inputs_Refineries'!T$85:T$164,'Key inputs_Refineries'!$C$85:$C$164,$C46,'Key inputs_Refineries'!$B$85:$B$164,"Boiler")/SUM(SUMIFS('Key inputs_Refineries'!T$85:T$164,'Key inputs_Refineries'!$C$85:$C$164,$C40:$C49,'Key inputs_Refineries'!$B$85:$B$164,"Boiler"))),0)</f>
        <v>7.8067049163062063E-2</v>
      </c>
      <c r="AA46" s="173" cm="1">
        <f t="array" ref="AA46">IFERROR(IF(AND(SUMIFS('Key inputs_Refineries'!U$85:U$164,'Key inputs_Refineries'!$C$85:$C$164,$C46,'Key inputs_Refineries'!$B$85:$B$164,"Boiler")/SUM(SUMIFS('Key inputs_Refineries'!U$85:U$164,'Key inputs_Refineries'!$C$85:$C$164,$C40:$C49,'Key inputs_Refineries'!$B$85:$B$164,"Boiler"))&gt;0,SUMIFS('Key inputs_Refineries'!U$85:U$164,'Key inputs_Refineries'!$C$85:$C$164,$C46,'Key inputs_Refineries'!$B$85:$B$164,"Boiler")/SUM(SUMIFS('Key inputs_Refineries'!U$85:U$164,'Key inputs_Refineries'!$C$85:$C$164,$C40:$C49,'Key inputs_Refineries'!$B$85:$B$164,"Boiler"))&lt;0.001),0.001,SUMIFS('Key inputs_Refineries'!U$85:U$164,'Key inputs_Refineries'!$C$85:$C$164,$C46,'Key inputs_Refineries'!$B$85:$B$164,"Boiler")/SUM(SUMIFS('Key inputs_Refineries'!U$85:U$164,'Key inputs_Refineries'!$C$85:$C$164,$C40:$C49,'Key inputs_Refineries'!$B$85:$B$164,"Boiler"))),0)</f>
        <v>0.12670134629223898</v>
      </c>
      <c r="AB46" s="173" cm="1">
        <f t="array" ref="AB46">IFERROR(IF(AND(SUMIFS('Key inputs_Refineries'!V$85:V$164,'Key inputs_Refineries'!$C$85:$C$164,$C46,'Key inputs_Refineries'!$B$85:$B$164,"Boiler")/SUM(SUMIFS('Key inputs_Refineries'!V$85:V$164,'Key inputs_Refineries'!$C$85:$C$164,$C40:$C49,'Key inputs_Refineries'!$B$85:$B$164,"Boiler"))&gt;0,SUMIFS('Key inputs_Refineries'!V$85:V$164,'Key inputs_Refineries'!$C$85:$C$164,$C46,'Key inputs_Refineries'!$B$85:$B$164,"Boiler")/SUM(SUMIFS('Key inputs_Refineries'!V$85:V$164,'Key inputs_Refineries'!$C$85:$C$164,$C40:$C49,'Key inputs_Refineries'!$B$85:$B$164,"Boiler"))&lt;0.001),0.001,SUMIFS('Key inputs_Refineries'!V$85:V$164,'Key inputs_Refineries'!$C$85:$C$164,$C46,'Key inputs_Refineries'!$B$85:$B$164,"Boiler")/SUM(SUMIFS('Key inputs_Refineries'!V$85:V$164,'Key inputs_Refineries'!$C$85:$C$164,$C40:$C49,'Key inputs_Refineries'!$B$85:$B$164,"Boiler"))),0)</f>
        <v>0</v>
      </c>
      <c r="AC46" s="173" cm="1">
        <f t="array" ref="AC46">IFERROR(IF(AND(SUMIFS('Key inputs_Refineries'!W$85:W$164,'Key inputs_Refineries'!$C$85:$C$164,$C46,'Key inputs_Refineries'!$B$85:$B$164,"Boiler")/SUM(SUMIFS('Key inputs_Refineries'!W$85:W$164,'Key inputs_Refineries'!$C$85:$C$164,$C40:$C49,'Key inputs_Refineries'!$B$85:$B$164,"Boiler"))&gt;0,SUMIFS('Key inputs_Refineries'!W$85:W$164,'Key inputs_Refineries'!$C$85:$C$164,$C46,'Key inputs_Refineries'!$B$85:$B$164,"Boiler")/SUM(SUMIFS('Key inputs_Refineries'!W$85:W$164,'Key inputs_Refineries'!$C$85:$C$164,$C40:$C49,'Key inputs_Refineries'!$B$85:$B$164,"Boiler"))&lt;0.001),0.001,SUMIFS('Key inputs_Refineries'!W$85:W$164,'Key inputs_Refineries'!$C$85:$C$164,$C46,'Key inputs_Refineries'!$B$85:$B$164,"Boiler")/SUM(SUMIFS('Key inputs_Refineries'!W$85:W$164,'Key inputs_Refineries'!$C$85:$C$164,$C40:$C49,'Key inputs_Refineries'!$B$85:$B$164,"Boiler"))),0)</f>
        <v>0</v>
      </c>
      <c r="AD46" s="173" cm="1">
        <f t="array" ref="AD46">IFERROR(IF(AND(SUMIFS('Key inputs_Refineries'!X$85:X$164,'Key inputs_Refineries'!$C$85:$C$164,$C46,'Key inputs_Refineries'!$B$85:$B$164,"Boiler")/SUM(SUMIFS('Key inputs_Refineries'!X$85:X$164,'Key inputs_Refineries'!$C$85:$C$164,$C40:$C49,'Key inputs_Refineries'!$B$85:$B$164,"Boiler"))&gt;0,SUMIFS('Key inputs_Refineries'!X$85:X$164,'Key inputs_Refineries'!$C$85:$C$164,$C46,'Key inputs_Refineries'!$B$85:$B$164,"Boiler")/SUM(SUMIFS('Key inputs_Refineries'!X$85:X$164,'Key inputs_Refineries'!$C$85:$C$164,$C40:$C49,'Key inputs_Refineries'!$B$85:$B$164,"Boiler"))&lt;0.001),0.001,SUMIFS('Key inputs_Refineries'!X$85:X$164,'Key inputs_Refineries'!$C$85:$C$164,$C46,'Key inputs_Refineries'!$B$85:$B$164,"Boiler")/SUM(SUMIFS('Key inputs_Refineries'!X$85:X$164,'Key inputs_Refineries'!$C$85:$C$164,$C40:$C49,'Key inputs_Refineries'!$B$85:$B$164,"Boiler"))),0)</f>
        <v>5.9809032201112659E-2</v>
      </c>
      <c r="AE46" s="173" cm="1">
        <f t="array" ref="AE46">IFERROR(IF(AND(SUMIFS('Key inputs_Refineries'!Y$85:Y$164,'Key inputs_Refineries'!$C$85:$C$164,$C46,'Key inputs_Refineries'!$B$85:$B$164,"Boiler")/SUM(SUMIFS('Key inputs_Refineries'!Y$85:Y$164,'Key inputs_Refineries'!$C$85:$C$164,$C40:$C49,'Key inputs_Refineries'!$B$85:$B$164,"Boiler"))&gt;0,SUMIFS('Key inputs_Refineries'!Y$85:Y$164,'Key inputs_Refineries'!$C$85:$C$164,$C46,'Key inputs_Refineries'!$B$85:$B$164,"Boiler")/SUM(SUMIFS('Key inputs_Refineries'!Y$85:Y$164,'Key inputs_Refineries'!$C$85:$C$164,$C40:$C49,'Key inputs_Refineries'!$B$85:$B$164,"Boiler"))&lt;0.001),0.001,SUMIFS('Key inputs_Refineries'!Y$85:Y$164,'Key inputs_Refineries'!$C$85:$C$164,$C46,'Key inputs_Refineries'!$B$85:$B$164,"Boiler")/SUM(SUMIFS('Key inputs_Refineries'!Y$85:Y$164,'Key inputs_Refineries'!$C$85:$C$164,$C40:$C49,'Key inputs_Refineries'!$B$85:$B$164,"Boiler"))),0)</f>
        <v>0.15964808720573298</v>
      </c>
      <c r="AF46" s="173" cm="1">
        <f t="array" ref="AF46">IFERROR(IF(AND(SUMIFS('Key inputs_Refineries'!Z$85:Z$164,'Key inputs_Refineries'!$C$85:$C$164,$C46,'Key inputs_Refineries'!$B$85:$B$164,"Boiler")/SUM(SUMIFS('Key inputs_Refineries'!Z$85:Z$164,'Key inputs_Refineries'!$C$85:$C$164,$C40:$C49,'Key inputs_Refineries'!$B$85:$B$164,"Boiler"))&gt;0,SUMIFS('Key inputs_Refineries'!Z$85:Z$164,'Key inputs_Refineries'!$C$85:$C$164,$C46,'Key inputs_Refineries'!$B$85:$B$164,"Boiler")/SUM(SUMIFS('Key inputs_Refineries'!Z$85:Z$164,'Key inputs_Refineries'!$C$85:$C$164,$C40:$C49,'Key inputs_Refineries'!$B$85:$B$164,"Boiler"))&lt;0.001),0.001,SUMIFS('Key inputs_Refineries'!Z$85:Z$164,'Key inputs_Refineries'!$C$85:$C$164,$C46,'Key inputs_Refineries'!$B$85:$B$164,"Boiler")/SUM(SUMIFS('Key inputs_Refineries'!Z$85:Z$164,'Key inputs_Refineries'!$C$85:$C$164,$C40:$C49,'Key inputs_Refineries'!$B$85:$B$164,"Boiler"))),0)</f>
        <v>0</v>
      </c>
      <c r="AG46" s="173" cm="1">
        <f t="array" ref="AG46">IFERROR(IF(AND(SUMIFS('Key inputs_Refineries'!AA$85:AA$164,'Key inputs_Refineries'!$C$85:$C$164,$C46,'Key inputs_Refineries'!$B$85:$B$164,"Boiler")/SUM(SUMIFS('Key inputs_Refineries'!AA$85:AA$164,'Key inputs_Refineries'!$C$85:$C$164,$C40:$C49,'Key inputs_Refineries'!$B$85:$B$164,"Boiler"))&gt;0,SUMIFS('Key inputs_Refineries'!AA$85:AA$164,'Key inputs_Refineries'!$C$85:$C$164,$C46,'Key inputs_Refineries'!$B$85:$B$164,"Boiler")/SUM(SUMIFS('Key inputs_Refineries'!AA$85:AA$164,'Key inputs_Refineries'!$C$85:$C$164,$C40:$C49,'Key inputs_Refineries'!$B$85:$B$164,"Boiler"))&lt;0.001),0.001,SUMIFS('Key inputs_Refineries'!AA$85:AA$164,'Key inputs_Refineries'!$C$85:$C$164,$C46,'Key inputs_Refineries'!$B$85:$B$164,"Boiler")/SUM(SUMIFS('Key inputs_Refineries'!AA$85:AA$164,'Key inputs_Refineries'!$C$85:$C$164,$C40:$C49,'Key inputs_Refineries'!$B$85:$B$164,"Boiler"))),0)</f>
        <v>0.14701351118428413</v>
      </c>
      <c r="AH46" s="173" cm="1">
        <f t="array" ref="AH46">IFERROR(IF(AND(SUMIFS('Key inputs_Refineries'!AB$85:AB$164,'Key inputs_Refineries'!$C$85:$C$164,$C46,'Key inputs_Refineries'!$B$85:$B$164,"Boiler")/SUM(SUMIFS('Key inputs_Refineries'!AB$85:AB$164,'Key inputs_Refineries'!$C$85:$C$164,$C40:$C49,'Key inputs_Refineries'!$B$85:$B$164,"Boiler"))&gt;0,SUMIFS('Key inputs_Refineries'!AB$85:AB$164,'Key inputs_Refineries'!$C$85:$C$164,$C46,'Key inputs_Refineries'!$B$85:$B$164,"Boiler")/SUM(SUMIFS('Key inputs_Refineries'!AB$85:AB$164,'Key inputs_Refineries'!$C$85:$C$164,$C40:$C49,'Key inputs_Refineries'!$B$85:$B$164,"Boiler"))&lt;0.001),0.001,SUMIFS('Key inputs_Refineries'!AB$85:AB$164,'Key inputs_Refineries'!$C$85:$C$164,$C46,'Key inputs_Refineries'!$B$85:$B$164,"Boiler")/SUM(SUMIFS('Key inputs_Refineries'!AB$85:AB$164,'Key inputs_Refineries'!$C$85:$C$164,$C40:$C49,'Key inputs_Refineries'!$B$85:$B$164,"Boiler"))),0)</f>
        <v>0</v>
      </c>
      <c r="AI46" s="173" cm="1">
        <f t="array" ref="AI46">IFERROR(IF(AND(SUMIFS('Key inputs_Refineries'!AC$85:AC$164,'Key inputs_Refineries'!$C$85:$C$164,$C46,'Key inputs_Refineries'!$B$85:$B$164,"Boiler")/SUM(SUMIFS('Key inputs_Refineries'!AC$85:AC$164,'Key inputs_Refineries'!$C$85:$C$164,$C40:$C49,'Key inputs_Refineries'!$B$85:$B$164,"Boiler"))&gt;0,SUMIFS('Key inputs_Refineries'!AC$85:AC$164,'Key inputs_Refineries'!$C$85:$C$164,$C46,'Key inputs_Refineries'!$B$85:$B$164,"Boiler")/SUM(SUMIFS('Key inputs_Refineries'!AC$85:AC$164,'Key inputs_Refineries'!$C$85:$C$164,$C40:$C49,'Key inputs_Refineries'!$B$85:$B$164,"Boiler"))&lt;0.001),0.001,SUMIFS('Key inputs_Refineries'!AC$85:AC$164,'Key inputs_Refineries'!$C$85:$C$164,$C46,'Key inputs_Refineries'!$B$85:$B$164,"Boiler")/SUM(SUMIFS('Key inputs_Refineries'!AC$85:AC$164,'Key inputs_Refineries'!$C$85:$C$164,$C40:$C49,'Key inputs_Refineries'!$B$85:$B$164,"Boiler"))),0)</f>
        <v>8.2300446207238476E-2</v>
      </c>
      <c r="AJ46" s="173" cm="1">
        <f t="array" ref="AJ46">IFERROR(IF(AND(SUMIFS('Key inputs_Refineries'!AD$85:AD$164,'Key inputs_Refineries'!$C$85:$C$164,$C46,'Key inputs_Refineries'!$B$85:$B$164,"Boiler")/SUM(SUMIFS('Key inputs_Refineries'!AD$85:AD$164,'Key inputs_Refineries'!$C$85:$C$164,$C40:$C49,'Key inputs_Refineries'!$B$85:$B$164,"Boiler"))&gt;0,SUMIFS('Key inputs_Refineries'!AD$85:AD$164,'Key inputs_Refineries'!$C$85:$C$164,$C46,'Key inputs_Refineries'!$B$85:$B$164,"Boiler")/SUM(SUMIFS('Key inputs_Refineries'!AD$85:AD$164,'Key inputs_Refineries'!$C$85:$C$164,$C40:$C49,'Key inputs_Refineries'!$B$85:$B$164,"Boiler"))&lt;0.001),0.001,SUMIFS('Key inputs_Refineries'!AD$85:AD$164,'Key inputs_Refineries'!$C$85:$C$164,$C46,'Key inputs_Refineries'!$B$85:$B$164,"Boiler")/SUM(SUMIFS('Key inputs_Refineries'!AD$85:AD$164,'Key inputs_Refineries'!$C$85:$C$164,$C40:$C49,'Key inputs_Refineries'!$B$85:$B$164,"Boiler"))),0)</f>
        <v>0</v>
      </c>
      <c r="AK46" s="173" cm="1">
        <f t="array" ref="AK46">IFERROR(IF(AND(SUMIFS('Key inputs_Refineries'!AE$85:AE$164,'Key inputs_Refineries'!$C$85:$C$164,$C46,'Key inputs_Refineries'!$B$85:$B$164,"Boiler")/SUM(SUMIFS('Key inputs_Refineries'!AE$85:AE$164,'Key inputs_Refineries'!$C$85:$C$164,$C40:$C49,'Key inputs_Refineries'!$B$85:$B$164,"Boiler"))&gt;0,SUMIFS('Key inputs_Refineries'!AE$85:AE$164,'Key inputs_Refineries'!$C$85:$C$164,$C46,'Key inputs_Refineries'!$B$85:$B$164,"Boiler")/SUM(SUMIFS('Key inputs_Refineries'!AE$85:AE$164,'Key inputs_Refineries'!$C$85:$C$164,$C40:$C49,'Key inputs_Refineries'!$B$85:$B$164,"Boiler"))&lt;0.001),0.001,SUMIFS('Key inputs_Refineries'!AE$85:AE$164,'Key inputs_Refineries'!$C$85:$C$164,$C46,'Key inputs_Refineries'!$B$85:$B$164,"Boiler")/SUM(SUMIFS('Key inputs_Refineries'!AE$85:AE$164,'Key inputs_Refineries'!$C$85:$C$164,$C40:$C49,'Key inputs_Refineries'!$B$85:$B$164,"Boiler"))),0)</f>
        <v>0.19642918031687168</v>
      </c>
      <c r="AL46" s="173" cm="1">
        <f t="array" ref="AL46">IFERROR(IF(AND(SUMIFS('Key inputs_Refineries'!AF$85:AF$164,'Key inputs_Refineries'!$C$85:$C$164,$C46,'Key inputs_Refineries'!$B$85:$B$164,"Boiler")/SUM(SUMIFS('Key inputs_Refineries'!AF$85:AF$164,'Key inputs_Refineries'!$C$85:$C$164,$C40:$C49,'Key inputs_Refineries'!$B$85:$B$164,"Boiler"))&gt;0,SUMIFS('Key inputs_Refineries'!AF$85:AF$164,'Key inputs_Refineries'!$C$85:$C$164,$C46,'Key inputs_Refineries'!$B$85:$B$164,"Boiler")/SUM(SUMIFS('Key inputs_Refineries'!AF$85:AF$164,'Key inputs_Refineries'!$C$85:$C$164,$C40:$C49,'Key inputs_Refineries'!$B$85:$B$164,"Boiler"))&lt;0.001),0.001,SUMIFS('Key inputs_Refineries'!AF$85:AF$164,'Key inputs_Refineries'!$C$85:$C$164,$C46,'Key inputs_Refineries'!$B$85:$B$164,"Boiler")/SUM(SUMIFS('Key inputs_Refineries'!AF$85:AF$164,'Key inputs_Refineries'!$C$85:$C$164,$C40:$C49,'Key inputs_Refineries'!$B$85:$B$164,"Boiler"))),0)</f>
        <v>3.7520915854909229E-2</v>
      </c>
    </row>
    <row r="47" spans="3:47">
      <c r="C47" t="str">
        <f>Commodities!$C$98</f>
        <v>UPSNAP</v>
      </c>
      <c r="G47" s="4" t="s">
        <v>702</v>
      </c>
      <c r="H47" t="s">
        <v>661</v>
      </c>
      <c r="I47">
        <v>2019</v>
      </c>
      <c r="J47" s="4" t="s">
        <v>650</v>
      </c>
      <c r="K47" s="173" cm="1">
        <f t="array" ref="K47">IFERROR(IF(AND(SUMIFS('Key inputs_Refineries'!E$85:E$164,'Key inputs_Refineries'!$C$85:$C$164,$C47,'Key inputs_Refineries'!$B$85:$B$164,"Boiler")/SUM(SUMIFS('Key inputs_Refineries'!E$85:E$164,'Key inputs_Refineries'!$C$85:$C$164,$C40:$C49,'Key inputs_Refineries'!$B$85:$B$164,"Boiler"))&gt;0,SUMIFS('Key inputs_Refineries'!E$85:E$164,'Key inputs_Refineries'!$C$85:$C$164,$C47,'Key inputs_Refineries'!$B$85:$B$164,"Boiler")/SUM(SUMIFS('Key inputs_Refineries'!E$85:E$164,'Key inputs_Refineries'!$C$85:$C$164,$C40:$C49,'Key inputs_Refineries'!$B$85:$B$164,"Boiler"))&lt;0.001),0.001,SUMIFS('Key inputs_Refineries'!E$85:E$164,'Key inputs_Refineries'!$C$85:$C$164,$C47,'Key inputs_Refineries'!$B$85:$B$164,"Boiler")/SUM(SUMIFS('Key inputs_Refineries'!E$85:E$164,'Key inputs_Refineries'!$C$85:$C$164,$C40:$C49,'Key inputs_Refineries'!$B$85:$B$164,"Boiler"))),0)</f>
        <v>0</v>
      </c>
      <c r="L47" s="173" cm="1">
        <f t="array" ref="L47">IFERROR(IF(AND(SUMIFS('Key inputs_Refineries'!F$85:F$164,'Key inputs_Refineries'!$C$85:$C$164,$C47,'Key inputs_Refineries'!$B$85:$B$164,"Boiler")/SUM(SUMIFS('Key inputs_Refineries'!F$85:F$164,'Key inputs_Refineries'!$C$85:$C$164,$C40:$C49,'Key inputs_Refineries'!$B$85:$B$164,"Boiler"))&gt;0,SUMIFS('Key inputs_Refineries'!F$85:F$164,'Key inputs_Refineries'!$C$85:$C$164,$C47,'Key inputs_Refineries'!$B$85:$B$164,"Boiler")/SUM(SUMIFS('Key inputs_Refineries'!F$85:F$164,'Key inputs_Refineries'!$C$85:$C$164,$C40:$C49,'Key inputs_Refineries'!$B$85:$B$164,"Boiler"))&lt;0.001),0.001,SUMIFS('Key inputs_Refineries'!F$85:F$164,'Key inputs_Refineries'!$C$85:$C$164,$C47,'Key inputs_Refineries'!$B$85:$B$164,"Boiler")/SUM(SUMIFS('Key inputs_Refineries'!F$85:F$164,'Key inputs_Refineries'!$C$85:$C$164,$C40:$C49,'Key inputs_Refineries'!$B$85:$B$164,"Boiler"))),0)</f>
        <v>0</v>
      </c>
      <c r="M47" s="173" cm="1">
        <f t="array" ref="M47">IFERROR(IF(AND(SUMIFS('Key inputs_Refineries'!G$85:G$164,'Key inputs_Refineries'!$C$85:$C$164,$C47,'Key inputs_Refineries'!$B$85:$B$164,"Boiler")/SUM(SUMIFS('Key inputs_Refineries'!G$85:G$164,'Key inputs_Refineries'!$C$85:$C$164,$C40:$C49,'Key inputs_Refineries'!$B$85:$B$164,"Boiler"))&gt;0,SUMIFS('Key inputs_Refineries'!G$85:G$164,'Key inputs_Refineries'!$C$85:$C$164,$C47,'Key inputs_Refineries'!$B$85:$B$164,"Boiler")/SUM(SUMIFS('Key inputs_Refineries'!G$85:G$164,'Key inputs_Refineries'!$C$85:$C$164,$C40:$C49,'Key inputs_Refineries'!$B$85:$B$164,"Boiler"))&lt;0.001),0.001,SUMIFS('Key inputs_Refineries'!G$85:G$164,'Key inputs_Refineries'!$C$85:$C$164,$C47,'Key inputs_Refineries'!$B$85:$B$164,"Boiler")/SUM(SUMIFS('Key inputs_Refineries'!G$85:G$164,'Key inputs_Refineries'!$C$85:$C$164,$C40:$C49,'Key inputs_Refineries'!$B$85:$B$164,"Boiler"))),0)</f>
        <v>0</v>
      </c>
      <c r="N47" s="173" cm="1">
        <f t="array" ref="N47">IFERROR(IF(AND(SUMIFS('Key inputs_Refineries'!H$85:H$164,'Key inputs_Refineries'!$C$85:$C$164,$C47,'Key inputs_Refineries'!$B$85:$B$164,"Boiler")/SUM(SUMIFS('Key inputs_Refineries'!H$85:H$164,'Key inputs_Refineries'!$C$85:$C$164,$C40:$C49,'Key inputs_Refineries'!$B$85:$B$164,"Boiler"))&gt;0,SUMIFS('Key inputs_Refineries'!H$85:H$164,'Key inputs_Refineries'!$C$85:$C$164,$C47,'Key inputs_Refineries'!$B$85:$B$164,"Boiler")/SUM(SUMIFS('Key inputs_Refineries'!H$85:H$164,'Key inputs_Refineries'!$C$85:$C$164,$C40:$C49,'Key inputs_Refineries'!$B$85:$B$164,"Boiler"))&lt;0.001),0.001,SUMIFS('Key inputs_Refineries'!H$85:H$164,'Key inputs_Refineries'!$C$85:$C$164,$C47,'Key inputs_Refineries'!$B$85:$B$164,"Boiler")/SUM(SUMIFS('Key inputs_Refineries'!H$85:H$164,'Key inputs_Refineries'!$C$85:$C$164,$C40:$C49,'Key inputs_Refineries'!$B$85:$B$164,"Boiler"))),0)</f>
        <v>0</v>
      </c>
      <c r="O47" s="173" cm="1">
        <f t="array" ref="O47">IFERROR(IF(AND(SUMIFS('Key inputs_Refineries'!I$85:I$164,'Key inputs_Refineries'!$C$85:$C$164,$C47,'Key inputs_Refineries'!$B$85:$B$164,"Boiler")/SUM(SUMIFS('Key inputs_Refineries'!I$85:I$164,'Key inputs_Refineries'!$C$85:$C$164,$C40:$C49,'Key inputs_Refineries'!$B$85:$B$164,"Boiler"))&gt;0,SUMIFS('Key inputs_Refineries'!I$85:I$164,'Key inputs_Refineries'!$C$85:$C$164,$C47,'Key inputs_Refineries'!$B$85:$B$164,"Boiler")/SUM(SUMIFS('Key inputs_Refineries'!I$85:I$164,'Key inputs_Refineries'!$C$85:$C$164,$C40:$C49,'Key inputs_Refineries'!$B$85:$B$164,"Boiler"))&lt;0.001),0.001,SUMIFS('Key inputs_Refineries'!I$85:I$164,'Key inputs_Refineries'!$C$85:$C$164,$C47,'Key inputs_Refineries'!$B$85:$B$164,"Boiler")/SUM(SUMIFS('Key inputs_Refineries'!I$85:I$164,'Key inputs_Refineries'!$C$85:$C$164,$C40:$C49,'Key inputs_Refineries'!$B$85:$B$164,"Boiler"))),0)</f>
        <v>0</v>
      </c>
      <c r="P47" s="173" cm="1">
        <f t="array" ref="P47">IFERROR(IF(AND(SUMIFS('Key inputs_Refineries'!J$85:J$164,'Key inputs_Refineries'!$C$85:$C$164,$C47,'Key inputs_Refineries'!$B$85:$B$164,"Boiler")/SUM(SUMIFS('Key inputs_Refineries'!J$85:J$164,'Key inputs_Refineries'!$C$85:$C$164,$C40:$C49,'Key inputs_Refineries'!$B$85:$B$164,"Boiler"))&gt;0,SUMIFS('Key inputs_Refineries'!J$85:J$164,'Key inputs_Refineries'!$C$85:$C$164,$C47,'Key inputs_Refineries'!$B$85:$B$164,"Boiler")/SUM(SUMIFS('Key inputs_Refineries'!J$85:J$164,'Key inputs_Refineries'!$C$85:$C$164,$C40:$C49,'Key inputs_Refineries'!$B$85:$B$164,"Boiler"))&lt;0.001),0.001,SUMIFS('Key inputs_Refineries'!J$85:J$164,'Key inputs_Refineries'!$C$85:$C$164,$C47,'Key inputs_Refineries'!$B$85:$B$164,"Boiler")/SUM(SUMIFS('Key inputs_Refineries'!J$85:J$164,'Key inputs_Refineries'!$C$85:$C$164,$C40:$C49,'Key inputs_Refineries'!$B$85:$B$164,"Boiler"))),0)</f>
        <v>0</v>
      </c>
      <c r="Q47" s="173" cm="1">
        <f t="array" ref="Q47">IFERROR(IF(AND(SUMIFS('Key inputs_Refineries'!K$85:K$164,'Key inputs_Refineries'!$C$85:$C$164,$C47,'Key inputs_Refineries'!$B$85:$B$164,"Boiler")/SUM(SUMIFS('Key inputs_Refineries'!K$85:K$164,'Key inputs_Refineries'!$C$85:$C$164,$C40:$C49,'Key inputs_Refineries'!$B$85:$B$164,"Boiler"))&gt;0,SUMIFS('Key inputs_Refineries'!K$85:K$164,'Key inputs_Refineries'!$C$85:$C$164,$C47,'Key inputs_Refineries'!$B$85:$B$164,"Boiler")/SUM(SUMIFS('Key inputs_Refineries'!K$85:K$164,'Key inputs_Refineries'!$C$85:$C$164,$C40:$C49,'Key inputs_Refineries'!$B$85:$B$164,"Boiler"))&lt;0.001),0.001,SUMIFS('Key inputs_Refineries'!K$85:K$164,'Key inputs_Refineries'!$C$85:$C$164,$C47,'Key inputs_Refineries'!$B$85:$B$164,"Boiler")/SUM(SUMIFS('Key inputs_Refineries'!K$85:K$164,'Key inputs_Refineries'!$C$85:$C$164,$C40:$C49,'Key inputs_Refineries'!$B$85:$B$164,"Boiler"))),0)</f>
        <v>0</v>
      </c>
      <c r="R47" s="173" cm="1">
        <f t="array" ref="R47">IFERROR(IF(AND(SUMIFS('Key inputs_Refineries'!L$85:L$164,'Key inputs_Refineries'!$C$85:$C$164,$C47,'Key inputs_Refineries'!$B$85:$B$164,"Boiler")/SUM(SUMIFS('Key inputs_Refineries'!L$85:L$164,'Key inputs_Refineries'!$C$85:$C$164,$C40:$C49,'Key inputs_Refineries'!$B$85:$B$164,"Boiler"))&gt;0,SUMIFS('Key inputs_Refineries'!L$85:L$164,'Key inputs_Refineries'!$C$85:$C$164,$C47,'Key inputs_Refineries'!$B$85:$B$164,"Boiler")/SUM(SUMIFS('Key inputs_Refineries'!L$85:L$164,'Key inputs_Refineries'!$C$85:$C$164,$C40:$C49,'Key inputs_Refineries'!$B$85:$B$164,"Boiler"))&lt;0.001),0.001,SUMIFS('Key inputs_Refineries'!L$85:L$164,'Key inputs_Refineries'!$C$85:$C$164,$C47,'Key inputs_Refineries'!$B$85:$B$164,"Boiler")/SUM(SUMIFS('Key inputs_Refineries'!L$85:L$164,'Key inputs_Refineries'!$C$85:$C$164,$C40:$C49,'Key inputs_Refineries'!$B$85:$B$164,"Boiler"))),0)</f>
        <v>0</v>
      </c>
      <c r="S47" s="173" cm="1">
        <f t="array" ref="S47">IFERROR(IF(AND(SUMIFS('Key inputs_Refineries'!M$85:M$164,'Key inputs_Refineries'!$C$85:$C$164,$C47,'Key inputs_Refineries'!$B$85:$B$164,"Boiler")/SUM(SUMIFS('Key inputs_Refineries'!M$85:M$164,'Key inputs_Refineries'!$C$85:$C$164,$C40:$C49,'Key inputs_Refineries'!$B$85:$B$164,"Boiler"))&gt;0,SUMIFS('Key inputs_Refineries'!M$85:M$164,'Key inputs_Refineries'!$C$85:$C$164,$C47,'Key inputs_Refineries'!$B$85:$B$164,"Boiler")/SUM(SUMIFS('Key inputs_Refineries'!M$85:M$164,'Key inputs_Refineries'!$C$85:$C$164,$C40:$C49,'Key inputs_Refineries'!$B$85:$B$164,"Boiler"))&lt;0.001),0.001,SUMIFS('Key inputs_Refineries'!M$85:M$164,'Key inputs_Refineries'!$C$85:$C$164,$C47,'Key inputs_Refineries'!$B$85:$B$164,"Boiler")/SUM(SUMIFS('Key inputs_Refineries'!M$85:M$164,'Key inputs_Refineries'!$C$85:$C$164,$C40:$C49,'Key inputs_Refineries'!$B$85:$B$164,"Boiler"))),0)</f>
        <v>0</v>
      </c>
      <c r="T47" s="173" cm="1">
        <f t="array" ref="T47">IFERROR(IF(AND(SUMIFS('Key inputs_Refineries'!N$85:N$164,'Key inputs_Refineries'!$C$85:$C$164,$C47,'Key inputs_Refineries'!$B$85:$B$164,"Boiler")/SUM(SUMIFS('Key inputs_Refineries'!N$85:N$164,'Key inputs_Refineries'!$C$85:$C$164,$C40:$C49,'Key inputs_Refineries'!$B$85:$B$164,"Boiler"))&gt;0,SUMIFS('Key inputs_Refineries'!N$85:N$164,'Key inputs_Refineries'!$C$85:$C$164,$C47,'Key inputs_Refineries'!$B$85:$B$164,"Boiler")/SUM(SUMIFS('Key inputs_Refineries'!N$85:N$164,'Key inputs_Refineries'!$C$85:$C$164,$C40:$C49,'Key inputs_Refineries'!$B$85:$B$164,"Boiler"))&lt;0.001),0.001,SUMIFS('Key inputs_Refineries'!N$85:N$164,'Key inputs_Refineries'!$C$85:$C$164,$C47,'Key inputs_Refineries'!$B$85:$B$164,"Boiler")/SUM(SUMIFS('Key inputs_Refineries'!N$85:N$164,'Key inputs_Refineries'!$C$85:$C$164,$C40:$C49,'Key inputs_Refineries'!$B$85:$B$164,"Boiler"))),0)</f>
        <v>0</v>
      </c>
      <c r="U47" s="173" cm="1">
        <f t="array" ref="U47">IFERROR(IF(AND(SUMIFS('Key inputs_Refineries'!O$85:O$164,'Key inputs_Refineries'!$C$85:$C$164,$C47,'Key inputs_Refineries'!$B$85:$B$164,"Boiler")/SUM(SUMIFS('Key inputs_Refineries'!O$85:O$164,'Key inputs_Refineries'!$C$85:$C$164,$C40:$C49,'Key inputs_Refineries'!$B$85:$B$164,"Boiler"))&gt;0,SUMIFS('Key inputs_Refineries'!O$85:O$164,'Key inputs_Refineries'!$C$85:$C$164,$C47,'Key inputs_Refineries'!$B$85:$B$164,"Boiler")/SUM(SUMIFS('Key inputs_Refineries'!O$85:O$164,'Key inputs_Refineries'!$C$85:$C$164,$C40:$C49,'Key inputs_Refineries'!$B$85:$B$164,"Boiler"))&lt;0.001),0.001,SUMIFS('Key inputs_Refineries'!O$85:O$164,'Key inputs_Refineries'!$C$85:$C$164,$C47,'Key inputs_Refineries'!$B$85:$B$164,"Boiler")/SUM(SUMIFS('Key inputs_Refineries'!O$85:O$164,'Key inputs_Refineries'!$C$85:$C$164,$C40:$C49,'Key inputs_Refineries'!$B$85:$B$164,"Boiler"))),0)</f>
        <v>0</v>
      </c>
      <c r="V47" s="173" cm="1">
        <f t="array" ref="V47">IFERROR(IF(AND(SUMIFS('Key inputs_Refineries'!P$85:P$164,'Key inputs_Refineries'!$C$85:$C$164,$C47,'Key inputs_Refineries'!$B$85:$B$164,"Boiler")/SUM(SUMIFS('Key inputs_Refineries'!P$85:P$164,'Key inputs_Refineries'!$C$85:$C$164,$C40:$C49,'Key inputs_Refineries'!$B$85:$B$164,"Boiler"))&gt;0,SUMIFS('Key inputs_Refineries'!P$85:P$164,'Key inputs_Refineries'!$C$85:$C$164,$C47,'Key inputs_Refineries'!$B$85:$B$164,"Boiler")/SUM(SUMIFS('Key inputs_Refineries'!P$85:P$164,'Key inputs_Refineries'!$C$85:$C$164,$C40:$C49,'Key inputs_Refineries'!$B$85:$B$164,"Boiler"))&lt;0.001),0.001,SUMIFS('Key inputs_Refineries'!P$85:P$164,'Key inputs_Refineries'!$C$85:$C$164,$C47,'Key inputs_Refineries'!$B$85:$B$164,"Boiler")/SUM(SUMIFS('Key inputs_Refineries'!P$85:P$164,'Key inputs_Refineries'!$C$85:$C$164,$C40:$C49,'Key inputs_Refineries'!$B$85:$B$164,"Boiler"))),0)</f>
        <v>8.1634477464035786E-3</v>
      </c>
      <c r="W47" s="173" cm="1">
        <f t="array" ref="W47">IFERROR(IF(AND(SUMIFS('Key inputs_Refineries'!Q$85:Q$164,'Key inputs_Refineries'!$C$85:$C$164,$C47,'Key inputs_Refineries'!$B$85:$B$164,"Boiler")/SUM(SUMIFS('Key inputs_Refineries'!Q$85:Q$164,'Key inputs_Refineries'!$C$85:$C$164,$C40:$C49,'Key inputs_Refineries'!$B$85:$B$164,"Boiler"))&gt;0,SUMIFS('Key inputs_Refineries'!Q$85:Q$164,'Key inputs_Refineries'!$C$85:$C$164,$C47,'Key inputs_Refineries'!$B$85:$B$164,"Boiler")/SUM(SUMIFS('Key inputs_Refineries'!Q$85:Q$164,'Key inputs_Refineries'!$C$85:$C$164,$C40:$C49,'Key inputs_Refineries'!$B$85:$B$164,"Boiler"))&lt;0.001),0.001,SUMIFS('Key inputs_Refineries'!Q$85:Q$164,'Key inputs_Refineries'!$C$85:$C$164,$C47,'Key inputs_Refineries'!$B$85:$B$164,"Boiler")/SUM(SUMIFS('Key inputs_Refineries'!Q$85:Q$164,'Key inputs_Refineries'!$C$85:$C$164,$C40:$C49,'Key inputs_Refineries'!$B$85:$B$164,"Boiler"))),0)</f>
        <v>0</v>
      </c>
      <c r="X47" s="173" cm="1">
        <f t="array" ref="X47">IFERROR(IF(AND(SUMIFS('Key inputs_Refineries'!R$85:R$164,'Key inputs_Refineries'!$C$85:$C$164,$C47,'Key inputs_Refineries'!$B$85:$B$164,"Boiler")/SUM(SUMIFS('Key inputs_Refineries'!R$85:R$164,'Key inputs_Refineries'!$C$85:$C$164,$C40:$C49,'Key inputs_Refineries'!$B$85:$B$164,"Boiler"))&gt;0,SUMIFS('Key inputs_Refineries'!R$85:R$164,'Key inputs_Refineries'!$C$85:$C$164,$C47,'Key inputs_Refineries'!$B$85:$B$164,"Boiler")/SUM(SUMIFS('Key inputs_Refineries'!R$85:R$164,'Key inputs_Refineries'!$C$85:$C$164,$C40:$C49,'Key inputs_Refineries'!$B$85:$B$164,"Boiler"))&lt;0.001),0.001,SUMIFS('Key inputs_Refineries'!R$85:R$164,'Key inputs_Refineries'!$C$85:$C$164,$C47,'Key inputs_Refineries'!$B$85:$B$164,"Boiler")/SUM(SUMIFS('Key inputs_Refineries'!R$85:R$164,'Key inputs_Refineries'!$C$85:$C$164,$C40:$C49,'Key inputs_Refineries'!$B$85:$B$164,"Boiler"))),0)</f>
        <v>0</v>
      </c>
      <c r="Y47" s="173" cm="1">
        <f t="array" ref="Y47">IFERROR(IF(AND(SUMIFS('Key inputs_Refineries'!S$85:S$164,'Key inputs_Refineries'!$C$85:$C$164,$C47,'Key inputs_Refineries'!$B$85:$B$164,"Boiler")/SUM(SUMIFS('Key inputs_Refineries'!S$85:S$164,'Key inputs_Refineries'!$C$85:$C$164,$C40:$C49,'Key inputs_Refineries'!$B$85:$B$164,"Boiler"))&gt;0,SUMIFS('Key inputs_Refineries'!S$85:S$164,'Key inputs_Refineries'!$C$85:$C$164,$C47,'Key inputs_Refineries'!$B$85:$B$164,"Boiler")/SUM(SUMIFS('Key inputs_Refineries'!S$85:S$164,'Key inputs_Refineries'!$C$85:$C$164,$C40:$C49,'Key inputs_Refineries'!$B$85:$B$164,"Boiler"))&lt;0.001),0.001,SUMIFS('Key inputs_Refineries'!S$85:S$164,'Key inputs_Refineries'!$C$85:$C$164,$C47,'Key inputs_Refineries'!$B$85:$B$164,"Boiler")/SUM(SUMIFS('Key inputs_Refineries'!S$85:S$164,'Key inputs_Refineries'!$C$85:$C$164,$C40:$C49,'Key inputs_Refineries'!$B$85:$B$164,"Boiler"))),0)</f>
        <v>0</v>
      </c>
      <c r="Z47" s="173" cm="1">
        <f t="array" ref="Z47">IFERROR(IF(AND(SUMIFS('Key inputs_Refineries'!T$85:T$164,'Key inputs_Refineries'!$C$85:$C$164,$C47,'Key inputs_Refineries'!$B$85:$B$164,"Boiler")/SUM(SUMIFS('Key inputs_Refineries'!T$85:T$164,'Key inputs_Refineries'!$C$85:$C$164,$C40:$C49,'Key inputs_Refineries'!$B$85:$B$164,"Boiler"))&gt;0,SUMIFS('Key inputs_Refineries'!T$85:T$164,'Key inputs_Refineries'!$C$85:$C$164,$C47,'Key inputs_Refineries'!$B$85:$B$164,"Boiler")/SUM(SUMIFS('Key inputs_Refineries'!T$85:T$164,'Key inputs_Refineries'!$C$85:$C$164,$C40:$C49,'Key inputs_Refineries'!$B$85:$B$164,"Boiler"))&lt;0.001),0.001,SUMIFS('Key inputs_Refineries'!T$85:T$164,'Key inputs_Refineries'!$C$85:$C$164,$C47,'Key inputs_Refineries'!$B$85:$B$164,"Boiler")/SUM(SUMIFS('Key inputs_Refineries'!T$85:T$164,'Key inputs_Refineries'!$C$85:$C$164,$C40:$C49,'Key inputs_Refineries'!$B$85:$B$164,"Boiler"))),0)</f>
        <v>0</v>
      </c>
      <c r="AA47" s="173" cm="1">
        <f t="array" ref="AA47">IFERROR(IF(AND(SUMIFS('Key inputs_Refineries'!U$85:U$164,'Key inputs_Refineries'!$C$85:$C$164,$C47,'Key inputs_Refineries'!$B$85:$B$164,"Boiler")/SUM(SUMIFS('Key inputs_Refineries'!U$85:U$164,'Key inputs_Refineries'!$C$85:$C$164,$C40:$C49,'Key inputs_Refineries'!$B$85:$B$164,"Boiler"))&gt;0,SUMIFS('Key inputs_Refineries'!U$85:U$164,'Key inputs_Refineries'!$C$85:$C$164,$C47,'Key inputs_Refineries'!$B$85:$B$164,"Boiler")/SUM(SUMIFS('Key inputs_Refineries'!U$85:U$164,'Key inputs_Refineries'!$C$85:$C$164,$C40:$C49,'Key inputs_Refineries'!$B$85:$B$164,"Boiler"))&lt;0.001),0.001,SUMIFS('Key inputs_Refineries'!U$85:U$164,'Key inputs_Refineries'!$C$85:$C$164,$C47,'Key inputs_Refineries'!$B$85:$B$164,"Boiler")/SUM(SUMIFS('Key inputs_Refineries'!U$85:U$164,'Key inputs_Refineries'!$C$85:$C$164,$C40:$C49,'Key inputs_Refineries'!$B$85:$B$164,"Boiler"))),0)</f>
        <v>0</v>
      </c>
      <c r="AB47" s="173" cm="1">
        <f t="array" ref="AB47">IFERROR(IF(AND(SUMIFS('Key inputs_Refineries'!V$85:V$164,'Key inputs_Refineries'!$C$85:$C$164,$C47,'Key inputs_Refineries'!$B$85:$B$164,"Boiler")/SUM(SUMIFS('Key inputs_Refineries'!V$85:V$164,'Key inputs_Refineries'!$C$85:$C$164,$C40:$C49,'Key inputs_Refineries'!$B$85:$B$164,"Boiler"))&gt;0,SUMIFS('Key inputs_Refineries'!V$85:V$164,'Key inputs_Refineries'!$C$85:$C$164,$C47,'Key inputs_Refineries'!$B$85:$B$164,"Boiler")/SUM(SUMIFS('Key inputs_Refineries'!V$85:V$164,'Key inputs_Refineries'!$C$85:$C$164,$C40:$C49,'Key inputs_Refineries'!$B$85:$B$164,"Boiler"))&lt;0.001),0.001,SUMIFS('Key inputs_Refineries'!V$85:V$164,'Key inputs_Refineries'!$C$85:$C$164,$C47,'Key inputs_Refineries'!$B$85:$B$164,"Boiler")/SUM(SUMIFS('Key inputs_Refineries'!V$85:V$164,'Key inputs_Refineries'!$C$85:$C$164,$C40:$C49,'Key inputs_Refineries'!$B$85:$B$164,"Boiler"))),0)</f>
        <v>0</v>
      </c>
      <c r="AC47" s="173" cm="1">
        <f t="array" ref="AC47">IFERROR(IF(AND(SUMIFS('Key inputs_Refineries'!W$85:W$164,'Key inputs_Refineries'!$C$85:$C$164,$C47,'Key inputs_Refineries'!$B$85:$B$164,"Boiler")/SUM(SUMIFS('Key inputs_Refineries'!W$85:W$164,'Key inputs_Refineries'!$C$85:$C$164,$C40:$C49,'Key inputs_Refineries'!$B$85:$B$164,"Boiler"))&gt;0,SUMIFS('Key inputs_Refineries'!W$85:W$164,'Key inputs_Refineries'!$C$85:$C$164,$C47,'Key inputs_Refineries'!$B$85:$B$164,"Boiler")/SUM(SUMIFS('Key inputs_Refineries'!W$85:W$164,'Key inputs_Refineries'!$C$85:$C$164,$C40:$C49,'Key inputs_Refineries'!$B$85:$B$164,"Boiler"))&lt;0.001),0.001,SUMIFS('Key inputs_Refineries'!W$85:W$164,'Key inputs_Refineries'!$C$85:$C$164,$C47,'Key inputs_Refineries'!$B$85:$B$164,"Boiler")/SUM(SUMIFS('Key inputs_Refineries'!W$85:W$164,'Key inputs_Refineries'!$C$85:$C$164,$C40:$C49,'Key inputs_Refineries'!$B$85:$B$164,"Boiler"))),0)</f>
        <v>0</v>
      </c>
      <c r="AD47" s="173" cm="1">
        <f t="array" ref="AD47">IFERROR(IF(AND(SUMIFS('Key inputs_Refineries'!X$85:X$164,'Key inputs_Refineries'!$C$85:$C$164,$C47,'Key inputs_Refineries'!$B$85:$B$164,"Boiler")/SUM(SUMIFS('Key inputs_Refineries'!X$85:X$164,'Key inputs_Refineries'!$C$85:$C$164,$C40:$C49,'Key inputs_Refineries'!$B$85:$B$164,"Boiler"))&gt;0,SUMIFS('Key inputs_Refineries'!X$85:X$164,'Key inputs_Refineries'!$C$85:$C$164,$C47,'Key inputs_Refineries'!$B$85:$B$164,"Boiler")/SUM(SUMIFS('Key inputs_Refineries'!X$85:X$164,'Key inputs_Refineries'!$C$85:$C$164,$C40:$C49,'Key inputs_Refineries'!$B$85:$B$164,"Boiler"))&lt;0.001),0.001,SUMIFS('Key inputs_Refineries'!X$85:X$164,'Key inputs_Refineries'!$C$85:$C$164,$C47,'Key inputs_Refineries'!$B$85:$B$164,"Boiler")/SUM(SUMIFS('Key inputs_Refineries'!X$85:X$164,'Key inputs_Refineries'!$C$85:$C$164,$C40:$C49,'Key inputs_Refineries'!$B$85:$B$164,"Boiler"))),0)</f>
        <v>4.2432215423606054E-3</v>
      </c>
      <c r="AE47" s="173" cm="1">
        <f t="array" ref="AE47">IFERROR(IF(AND(SUMIFS('Key inputs_Refineries'!Y$85:Y$164,'Key inputs_Refineries'!$C$85:$C$164,$C47,'Key inputs_Refineries'!$B$85:$B$164,"Boiler")/SUM(SUMIFS('Key inputs_Refineries'!Y$85:Y$164,'Key inputs_Refineries'!$C$85:$C$164,$C40:$C49,'Key inputs_Refineries'!$B$85:$B$164,"Boiler"))&gt;0,SUMIFS('Key inputs_Refineries'!Y$85:Y$164,'Key inputs_Refineries'!$C$85:$C$164,$C47,'Key inputs_Refineries'!$B$85:$B$164,"Boiler")/SUM(SUMIFS('Key inputs_Refineries'!Y$85:Y$164,'Key inputs_Refineries'!$C$85:$C$164,$C40:$C49,'Key inputs_Refineries'!$B$85:$B$164,"Boiler"))&lt;0.001),0.001,SUMIFS('Key inputs_Refineries'!Y$85:Y$164,'Key inputs_Refineries'!$C$85:$C$164,$C47,'Key inputs_Refineries'!$B$85:$B$164,"Boiler")/SUM(SUMIFS('Key inputs_Refineries'!Y$85:Y$164,'Key inputs_Refineries'!$C$85:$C$164,$C40:$C49,'Key inputs_Refineries'!$B$85:$B$164,"Boiler"))),0)</f>
        <v>1E-3</v>
      </c>
      <c r="AF47" s="173" cm="1">
        <f t="array" ref="AF47">IFERROR(IF(AND(SUMIFS('Key inputs_Refineries'!Z$85:Z$164,'Key inputs_Refineries'!$C$85:$C$164,$C47,'Key inputs_Refineries'!$B$85:$B$164,"Boiler")/SUM(SUMIFS('Key inputs_Refineries'!Z$85:Z$164,'Key inputs_Refineries'!$C$85:$C$164,$C40:$C49,'Key inputs_Refineries'!$B$85:$B$164,"Boiler"))&gt;0,SUMIFS('Key inputs_Refineries'!Z$85:Z$164,'Key inputs_Refineries'!$C$85:$C$164,$C47,'Key inputs_Refineries'!$B$85:$B$164,"Boiler")/SUM(SUMIFS('Key inputs_Refineries'!Z$85:Z$164,'Key inputs_Refineries'!$C$85:$C$164,$C40:$C49,'Key inputs_Refineries'!$B$85:$B$164,"Boiler"))&lt;0.001),0.001,SUMIFS('Key inputs_Refineries'!Z$85:Z$164,'Key inputs_Refineries'!$C$85:$C$164,$C47,'Key inputs_Refineries'!$B$85:$B$164,"Boiler")/SUM(SUMIFS('Key inputs_Refineries'!Z$85:Z$164,'Key inputs_Refineries'!$C$85:$C$164,$C40:$C49,'Key inputs_Refineries'!$B$85:$B$164,"Boiler"))),0)</f>
        <v>0</v>
      </c>
      <c r="AG47" s="173" cm="1">
        <f t="array" ref="AG47">IFERROR(IF(AND(SUMIFS('Key inputs_Refineries'!AA$85:AA$164,'Key inputs_Refineries'!$C$85:$C$164,$C47,'Key inputs_Refineries'!$B$85:$B$164,"Boiler")/SUM(SUMIFS('Key inputs_Refineries'!AA$85:AA$164,'Key inputs_Refineries'!$C$85:$C$164,$C40:$C49,'Key inputs_Refineries'!$B$85:$B$164,"Boiler"))&gt;0,SUMIFS('Key inputs_Refineries'!AA$85:AA$164,'Key inputs_Refineries'!$C$85:$C$164,$C47,'Key inputs_Refineries'!$B$85:$B$164,"Boiler")/SUM(SUMIFS('Key inputs_Refineries'!AA$85:AA$164,'Key inputs_Refineries'!$C$85:$C$164,$C40:$C49,'Key inputs_Refineries'!$B$85:$B$164,"Boiler"))&lt;0.001),0.001,SUMIFS('Key inputs_Refineries'!AA$85:AA$164,'Key inputs_Refineries'!$C$85:$C$164,$C47,'Key inputs_Refineries'!$B$85:$B$164,"Boiler")/SUM(SUMIFS('Key inputs_Refineries'!AA$85:AA$164,'Key inputs_Refineries'!$C$85:$C$164,$C40:$C49,'Key inputs_Refineries'!$B$85:$B$164,"Boiler"))),0)</f>
        <v>1.2999285657333546E-2</v>
      </c>
      <c r="AH47" s="173" cm="1">
        <f t="array" ref="AH47">IFERROR(IF(AND(SUMIFS('Key inputs_Refineries'!AB$85:AB$164,'Key inputs_Refineries'!$C$85:$C$164,$C47,'Key inputs_Refineries'!$B$85:$B$164,"Boiler")/SUM(SUMIFS('Key inputs_Refineries'!AB$85:AB$164,'Key inputs_Refineries'!$C$85:$C$164,$C40:$C49,'Key inputs_Refineries'!$B$85:$B$164,"Boiler"))&gt;0,SUMIFS('Key inputs_Refineries'!AB$85:AB$164,'Key inputs_Refineries'!$C$85:$C$164,$C47,'Key inputs_Refineries'!$B$85:$B$164,"Boiler")/SUM(SUMIFS('Key inputs_Refineries'!AB$85:AB$164,'Key inputs_Refineries'!$C$85:$C$164,$C40:$C49,'Key inputs_Refineries'!$B$85:$B$164,"Boiler"))&lt;0.001),0.001,SUMIFS('Key inputs_Refineries'!AB$85:AB$164,'Key inputs_Refineries'!$C$85:$C$164,$C47,'Key inputs_Refineries'!$B$85:$B$164,"Boiler")/SUM(SUMIFS('Key inputs_Refineries'!AB$85:AB$164,'Key inputs_Refineries'!$C$85:$C$164,$C40:$C49,'Key inputs_Refineries'!$B$85:$B$164,"Boiler"))),0)</f>
        <v>0</v>
      </c>
      <c r="AI47" s="173" cm="1">
        <f t="array" ref="AI47">IFERROR(IF(AND(SUMIFS('Key inputs_Refineries'!AC$85:AC$164,'Key inputs_Refineries'!$C$85:$C$164,$C47,'Key inputs_Refineries'!$B$85:$B$164,"Boiler")/SUM(SUMIFS('Key inputs_Refineries'!AC$85:AC$164,'Key inputs_Refineries'!$C$85:$C$164,$C40:$C49,'Key inputs_Refineries'!$B$85:$B$164,"Boiler"))&gt;0,SUMIFS('Key inputs_Refineries'!AC$85:AC$164,'Key inputs_Refineries'!$C$85:$C$164,$C47,'Key inputs_Refineries'!$B$85:$B$164,"Boiler")/SUM(SUMIFS('Key inputs_Refineries'!AC$85:AC$164,'Key inputs_Refineries'!$C$85:$C$164,$C40:$C49,'Key inputs_Refineries'!$B$85:$B$164,"Boiler"))&lt;0.001),0.001,SUMIFS('Key inputs_Refineries'!AC$85:AC$164,'Key inputs_Refineries'!$C$85:$C$164,$C47,'Key inputs_Refineries'!$B$85:$B$164,"Boiler")/SUM(SUMIFS('Key inputs_Refineries'!AC$85:AC$164,'Key inputs_Refineries'!$C$85:$C$164,$C40:$C49,'Key inputs_Refineries'!$B$85:$B$164,"Boiler"))),0)</f>
        <v>0</v>
      </c>
      <c r="AJ47" s="173" cm="1">
        <f t="array" ref="AJ47">IFERROR(IF(AND(SUMIFS('Key inputs_Refineries'!AD$85:AD$164,'Key inputs_Refineries'!$C$85:$C$164,$C47,'Key inputs_Refineries'!$B$85:$B$164,"Boiler")/SUM(SUMIFS('Key inputs_Refineries'!AD$85:AD$164,'Key inputs_Refineries'!$C$85:$C$164,$C40:$C49,'Key inputs_Refineries'!$B$85:$B$164,"Boiler"))&gt;0,SUMIFS('Key inputs_Refineries'!AD$85:AD$164,'Key inputs_Refineries'!$C$85:$C$164,$C47,'Key inputs_Refineries'!$B$85:$B$164,"Boiler")/SUM(SUMIFS('Key inputs_Refineries'!AD$85:AD$164,'Key inputs_Refineries'!$C$85:$C$164,$C40:$C49,'Key inputs_Refineries'!$B$85:$B$164,"Boiler"))&lt;0.001),0.001,SUMIFS('Key inputs_Refineries'!AD$85:AD$164,'Key inputs_Refineries'!$C$85:$C$164,$C47,'Key inputs_Refineries'!$B$85:$B$164,"Boiler")/SUM(SUMIFS('Key inputs_Refineries'!AD$85:AD$164,'Key inputs_Refineries'!$C$85:$C$164,$C40:$C49,'Key inputs_Refineries'!$B$85:$B$164,"Boiler"))),0)</f>
        <v>0</v>
      </c>
      <c r="AK47" s="173" cm="1">
        <f t="array" ref="AK47">IFERROR(IF(AND(SUMIFS('Key inputs_Refineries'!AE$85:AE$164,'Key inputs_Refineries'!$C$85:$C$164,$C47,'Key inputs_Refineries'!$B$85:$B$164,"Boiler")/SUM(SUMIFS('Key inputs_Refineries'!AE$85:AE$164,'Key inputs_Refineries'!$C$85:$C$164,$C40:$C49,'Key inputs_Refineries'!$B$85:$B$164,"Boiler"))&gt;0,SUMIFS('Key inputs_Refineries'!AE$85:AE$164,'Key inputs_Refineries'!$C$85:$C$164,$C47,'Key inputs_Refineries'!$B$85:$B$164,"Boiler")/SUM(SUMIFS('Key inputs_Refineries'!AE$85:AE$164,'Key inputs_Refineries'!$C$85:$C$164,$C40:$C49,'Key inputs_Refineries'!$B$85:$B$164,"Boiler"))&lt;0.001),0.001,SUMIFS('Key inputs_Refineries'!AE$85:AE$164,'Key inputs_Refineries'!$C$85:$C$164,$C47,'Key inputs_Refineries'!$B$85:$B$164,"Boiler")/SUM(SUMIFS('Key inputs_Refineries'!AE$85:AE$164,'Key inputs_Refineries'!$C$85:$C$164,$C40:$C49,'Key inputs_Refineries'!$B$85:$B$164,"Boiler"))),0)</f>
        <v>0</v>
      </c>
      <c r="AL47" s="173" cm="1">
        <f t="array" ref="AL47">IFERROR(IF(AND(SUMIFS('Key inputs_Refineries'!AF$85:AF$164,'Key inputs_Refineries'!$C$85:$C$164,$C47,'Key inputs_Refineries'!$B$85:$B$164,"Boiler")/SUM(SUMIFS('Key inputs_Refineries'!AF$85:AF$164,'Key inputs_Refineries'!$C$85:$C$164,$C40:$C49,'Key inputs_Refineries'!$B$85:$B$164,"Boiler"))&gt;0,SUMIFS('Key inputs_Refineries'!AF$85:AF$164,'Key inputs_Refineries'!$C$85:$C$164,$C47,'Key inputs_Refineries'!$B$85:$B$164,"Boiler")/SUM(SUMIFS('Key inputs_Refineries'!AF$85:AF$164,'Key inputs_Refineries'!$C$85:$C$164,$C40:$C49,'Key inputs_Refineries'!$B$85:$B$164,"Boiler"))&lt;0.001),0.001,SUMIFS('Key inputs_Refineries'!AF$85:AF$164,'Key inputs_Refineries'!$C$85:$C$164,$C47,'Key inputs_Refineries'!$B$85:$B$164,"Boiler")/SUM(SUMIFS('Key inputs_Refineries'!AF$85:AF$164,'Key inputs_Refineries'!$C$85:$C$164,$C40:$C49,'Key inputs_Refineries'!$B$85:$B$164,"Boiler"))),0)</f>
        <v>1E-3</v>
      </c>
    </row>
    <row r="48" spans="3:47">
      <c r="C48" t="str">
        <f>Commodities!$C$99</f>
        <v>UPSOIL</v>
      </c>
      <c r="G48" s="4" t="s">
        <v>702</v>
      </c>
      <c r="H48" t="s">
        <v>661</v>
      </c>
      <c r="I48">
        <v>2019</v>
      </c>
      <c r="J48" s="4" t="s">
        <v>650</v>
      </c>
      <c r="K48" s="173" cm="1">
        <f t="array" ref="K48">IFERROR(IF(AND(SUMIFS('Key inputs_Refineries'!E$85:E$164,'Key inputs_Refineries'!$C$85:$C$164,$C48,'Key inputs_Refineries'!$B$85:$B$164,"Boiler")/SUM(SUMIFS('Key inputs_Refineries'!E$85:E$164,'Key inputs_Refineries'!$C$85:$C$164,$C40:$C49,'Key inputs_Refineries'!$B$85:$B$164,"Boiler"))&gt;0,SUMIFS('Key inputs_Refineries'!E$85:E$164,'Key inputs_Refineries'!$C$85:$C$164,$C48,'Key inputs_Refineries'!$B$85:$B$164,"Boiler")/SUM(SUMIFS('Key inputs_Refineries'!E$85:E$164,'Key inputs_Refineries'!$C$85:$C$164,$C40:$C49,'Key inputs_Refineries'!$B$85:$B$164,"Boiler"))&lt;0.001),0.001,SUMIFS('Key inputs_Refineries'!E$85:E$164,'Key inputs_Refineries'!$C$85:$C$164,$C48,'Key inputs_Refineries'!$B$85:$B$164,"Boiler")/SUM(SUMIFS('Key inputs_Refineries'!E$85:E$164,'Key inputs_Refineries'!$C$85:$C$164,$C40:$C49,'Key inputs_Refineries'!$B$85:$B$164,"Boiler"))),0)</f>
        <v>0</v>
      </c>
      <c r="L48" s="173" cm="1">
        <f t="array" ref="L48">IFERROR(IF(AND(SUMIFS('Key inputs_Refineries'!F$85:F$164,'Key inputs_Refineries'!$C$85:$C$164,$C48,'Key inputs_Refineries'!$B$85:$B$164,"Boiler")/SUM(SUMIFS('Key inputs_Refineries'!F$85:F$164,'Key inputs_Refineries'!$C$85:$C$164,$C40:$C49,'Key inputs_Refineries'!$B$85:$B$164,"Boiler"))&gt;0,SUMIFS('Key inputs_Refineries'!F$85:F$164,'Key inputs_Refineries'!$C$85:$C$164,$C48,'Key inputs_Refineries'!$B$85:$B$164,"Boiler")/SUM(SUMIFS('Key inputs_Refineries'!F$85:F$164,'Key inputs_Refineries'!$C$85:$C$164,$C40:$C49,'Key inputs_Refineries'!$B$85:$B$164,"Boiler"))&lt;0.001),0.001,SUMIFS('Key inputs_Refineries'!F$85:F$164,'Key inputs_Refineries'!$C$85:$C$164,$C48,'Key inputs_Refineries'!$B$85:$B$164,"Boiler")/SUM(SUMIFS('Key inputs_Refineries'!F$85:F$164,'Key inputs_Refineries'!$C$85:$C$164,$C40:$C49,'Key inputs_Refineries'!$B$85:$B$164,"Boiler"))),0)</f>
        <v>0.62534828705571477</v>
      </c>
      <c r="M48" s="173" cm="1">
        <f t="array" ref="M48">IFERROR(IF(AND(SUMIFS('Key inputs_Refineries'!G$85:G$164,'Key inputs_Refineries'!$C$85:$C$164,$C48,'Key inputs_Refineries'!$B$85:$B$164,"Boiler")/SUM(SUMIFS('Key inputs_Refineries'!G$85:G$164,'Key inputs_Refineries'!$C$85:$C$164,$C40:$C49,'Key inputs_Refineries'!$B$85:$B$164,"Boiler"))&gt;0,SUMIFS('Key inputs_Refineries'!G$85:G$164,'Key inputs_Refineries'!$C$85:$C$164,$C48,'Key inputs_Refineries'!$B$85:$B$164,"Boiler")/SUM(SUMIFS('Key inputs_Refineries'!G$85:G$164,'Key inputs_Refineries'!$C$85:$C$164,$C40:$C49,'Key inputs_Refineries'!$B$85:$B$164,"Boiler"))&lt;0.001),0.001,SUMIFS('Key inputs_Refineries'!G$85:G$164,'Key inputs_Refineries'!$C$85:$C$164,$C48,'Key inputs_Refineries'!$B$85:$B$164,"Boiler")/SUM(SUMIFS('Key inputs_Refineries'!G$85:G$164,'Key inputs_Refineries'!$C$85:$C$164,$C40:$C49,'Key inputs_Refineries'!$B$85:$B$164,"Boiler"))),0)</f>
        <v>0.31134470367789346</v>
      </c>
      <c r="N48" s="173" cm="1">
        <f t="array" ref="N48">IFERROR(IF(AND(SUMIFS('Key inputs_Refineries'!H$85:H$164,'Key inputs_Refineries'!$C$85:$C$164,$C48,'Key inputs_Refineries'!$B$85:$B$164,"Boiler")/SUM(SUMIFS('Key inputs_Refineries'!H$85:H$164,'Key inputs_Refineries'!$C$85:$C$164,$C40:$C49,'Key inputs_Refineries'!$B$85:$B$164,"Boiler"))&gt;0,SUMIFS('Key inputs_Refineries'!H$85:H$164,'Key inputs_Refineries'!$C$85:$C$164,$C48,'Key inputs_Refineries'!$B$85:$B$164,"Boiler")/SUM(SUMIFS('Key inputs_Refineries'!H$85:H$164,'Key inputs_Refineries'!$C$85:$C$164,$C40:$C49,'Key inputs_Refineries'!$B$85:$B$164,"Boiler"))&lt;0.001),0.001,SUMIFS('Key inputs_Refineries'!H$85:H$164,'Key inputs_Refineries'!$C$85:$C$164,$C48,'Key inputs_Refineries'!$B$85:$B$164,"Boiler")/SUM(SUMIFS('Key inputs_Refineries'!H$85:H$164,'Key inputs_Refineries'!$C$85:$C$164,$C40:$C49,'Key inputs_Refineries'!$B$85:$B$164,"Boiler"))),0)</f>
        <v>0</v>
      </c>
      <c r="O48" s="173" cm="1">
        <f t="array" ref="O48">IFERROR(IF(AND(SUMIFS('Key inputs_Refineries'!I$85:I$164,'Key inputs_Refineries'!$C$85:$C$164,$C48,'Key inputs_Refineries'!$B$85:$B$164,"Boiler")/SUM(SUMIFS('Key inputs_Refineries'!I$85:I$164,'Key inputs_Refineries'!$C$85:$C$164,$C40:$C49,'Key inputs_Refineries'!$B$85:$B$164,"Boiler"))&gt;0,SUMIFS('Key inputs_Refineries'!I$85:I$164,'Key inputs_Refineries'!$C$85:$C$164,$C48,'Key inputs_Refineries'!$B$85:$B$164,"Boiler")/SUM(SUMIFS('Key inputs_Refineries'!I$85:I$164,'Key inputs_Refineries'!$C$85:$C$164,$C40:$C49,'Key inputs_Refineries'!$B$85:$B$164,"Boiler"))&lt;0.001),0.001,SUMIFS('Key inputs_Refineries'!I$85:I$164,'Key inputs_Refineries'!$C$85:$C$164,$C48,'Key inputs_Refineries'!$B$85:$B$164,"Boiler")/SUM(SUMIFS('Key inputs_Refineries'!I$85:I$164,'Key inputs_Refineries'!$C$85:$C$164,$C40:$C49,'Key inputs_Refineries'!$B$85:$B$164,"Boiler"))),0)</f>
        <v>0</v>
      </c>
      <c r="P48" s="173" cm="1">
        <f t="array" ref="P48">IFERROR(IF(AND(SUMIFS('Key inputs_Refineries'!J$85:J$164,'Key inputs_Refineries'!$C$85:$C$164,$C48,'Key inputs_Refineries'!$B$85:$B$164,"Boiler")/SUM(SUMIFS('Key inputs_Refineries'!J$85:J$164,'Key inputs_Refineries'!$C$85:$C$164,$C40:$C49,'Key inputs_Refineries'!$B$85:$B$164,"Boiler"))&gt;0,SUMIFS('Key inputs_Refineries'!J$85:J$164,'Key inputs_Refineries'!$C$85:$C$164,$C48,'Key inputs_Refineries'!$B$85:$B$164,"Boiler")/SUM(SUMIFS('Key inputs_Refineries'!J$85:J$164,'Key inputs_Refineries'!$C$85:$C$164,$C40:$C49,'Key inputs_Refineries'!$B$85:$B$164,"Boiler"))&lt;0.001),0.001,SUMIFS('Key inputs_Refineries'!J$85:J$164,'Key inputs_Refineries'!$C$85:$C$164,$C48,'Key inputs_Refineries'!$B$85:$B$164,"Boiler")/SUM(SUMIFS('Key inputs_Refineries'!J$85:J$164,'Key inputs_Refineries'!$C$85:$C$164,$C40:$C49,'Key inputs_Refineries'!$B$85:$B$164,"Boiler"))),0)</f>
        <v>6.7577884287611982E-3</v>
      </c>
      <c r="Q48" s="173" cm="1">
        <f t="array" ref="Q48">IFERROR(IF(AND(SUMIFS('Key inputs_Refineries'!K$85:K$164,'Key inputs_Refineries'!$C$85:$C$164,$C48,'Key inputs_Refineries'!$B$85:$B$164,"Boiler")/SUM(SUMIFS('Key inputs_Refineries'!K$85:K$164,'Key inputs_Refineries'!$C$85:$C$164,$C40:$C49,'Key inputs_Refineries'!$B$85:$B$164,"Boiler"))&gt;0,SUMIFS('Key inputs_Refineries'!K$85:K$164,'Key inputs_Refineries'!$C$85:$C$164,$C48,'Key inputs_Refineries'!$B$85:$B$164,"Boiler")/SUM(SUMIFS('Key inputs_Refineries'!K$85:K$164,'Key inputs_Refineries'!$C$85:$C$164,$C40:$C49,'Key inputs_Refineries'!$B$85:$B$164,"Boiler"))&lt;0.001),0.001,SUMIFS('Key inputs_Refineries'!K$85:K$164,'Key inputs_Refineries'!$C$85:$C$164,$C48,'Key inputs_Refineries'!$B$85:$B$164,"Boiler")/SUM(SUMIFS('Key inputs_Refineries'!K$85:K$164,'Key inputs_Refineries'!$C$85:$C$164,$C40:$C49,'Key inputs_Refineries'!$B$85:$B$164,"Boiler"))),0)</f>
        <v>6.2820913515202928E-2</v>
      </c>
      <c r="R48" s="173" cm="1">
        <f t="array" ref="R48">IFERROR(IF(AND(SUMIFS('Key inputs_Refineries'!L$85:L$164,'Key inputs_Refineries'!$C$85:$C$164,$C48,'Key inputs_Refineries'!$B$85:$B$164,"Boiler")/SUM(SUMIFS('Key inputs_Refineries'!L$85:L$164,'Key inputs_Refineries'!$C$85:$C$164,$C40:$C49,'Key inputs_Refineries'!$B$85:$B$164,"Boiler"))&gt;0,SUMIFS('Key inputs_Refineries'!L$85:L$164,'Key inputs_Refineries'!$C$85:$C$164,$C48,'Key inputs_Refineries'!$B$85:$B$164,"Boiler")/SUM(SUMIFS('Key inputs_Refineries'!L$85:L$164,'Key inputs_Refineries'!$C$85:$C$164,$C40:$C49,'Key inputs_Refineries'!$B$85:$B$164,"Boiler"))&lt;0.001),0.001,SUMIFS('Key inputs_Refineries'!L$85:L$164,'Key inputs_Refineries'!$C$85:$C$164,$C48,'Key inputs_Refineries'!$B$85:$B$164,"Boiler")/SUM(SUMIFS('Key inputs_Refineries'!L$85:L$164,'Key inputs_Refineries'!$C$85:$C$164,$C40:$C49,'Key inputs_Refineries'!$B$85:$B$164,"Boiler"))),0)</f>
        <v>0</v>
      </c>
      <c r="S48" s="173" cm="1">
        <f t="array" ref="S48">IFERROR(IF(AND(SUMIFS('Key inputs_Refineries'!M$85:M$164,'Key inputs_Refineries'!$C$85:$C$164,$C48,'Key inputs_Refineries'!$B$85:$B$164,"Boiler")/SUM(SUMIFS('Key inputs_Refineries'!M$85:M$164,'Key inputs_Refineries'!$C$85:$C$164,$C40:$C49,'Key inputs_Refineries'!$B$85:$B$164,"Boiler"))&gt;0,SUMIFS('Key inputs_Refineries'!M$85:M$164,'Key inputs_Refineries'!$C$85:$C$164,$C48,'Key inputs_Refineries'!$B$85:$B$164,"Boiler")/SUM(SUMIFS('Key inputs_Refineries'!M$85:M$164,'Key inputs_Refineries'!$C$85:$C$164,$C40:$C49,'Key inputs_Refineries'!$B$85:$B$164,"Boiler"))&lt;0.001),0.001,SUMIFS('Key inputs_Refineries'!M$85:M$164,'Key inputs_Refineries'!$C$85:$C$164,$C48,'Key inputs_Refineries'!$B$85:$B$164,"Boiler")/SUM(SUMIFS('Key inputs_Refineries'!M$85:M$164,'Key inputs_Refineries'!$C$85:$C$164,$C40:$C49,'Key inputs_Refineries'!$B$85:$B$164,"Boiler"))),0)</f>
        <v>0</v>
      </c>
      <c r="T48" s="173" cm="1">
        <f t="array" ref="T48">IFERROR(IF(AND(SUMIFS('Key inputs_Refineries'!N$85:N$164,'Key inputs_Refineries'!$C$85:$C$164,$C48,'Key inputs_Refineries'!$B$85:$B$164,"Boiler")/SUM(SUMIFS('Key inputs_Refineries'!N$85:N$164,'Key inputs_Refineries'!$C$85:$C$164,$C40:$C49,'Key inputs_Refineries'!$B$85:$B$164,"Boiler"))&gt;0,SUMIFS('Key inputs_Refineries'!N$85:N$164,'Key inputs_Refineries'!$C$85:$C$164,$C48,'Key inputs_Refineries'!$B$85:$B$164,"Boiler")/SUM(SUMIFS('Key inputs_Refineries'!N$85:N$164,'Key inputs_Refineries'!$C$85:$C$164,$C40:$C49,'Key inputs_Refineries'!$B$85:$B$164,"Boiler"))&lt;0.001),0.001,SUMIFS('Key inputs_Refineries'!N$85:N$164,'Key inputs_Refineries'!$C$85:$C$164,$C48,'Key inputs_Refineries'!$B$85:$B$164,"Boiler")/SUM(SUMIFS('Key inputs_Refineries'!N$85:N$164,'Key inputs_Refineries'!$C$85:$C$164,$C40:$C49,'Key inputs_Refineries'!$B$85:$B$164,"Boiler"))),0)</f>
        <v>0</v>
      </c>
      <c r="U48" s="173" cm="1">
        <f t="array" ref="U48">IFERROR(IF(AND(SUMIFS('Key inputs_Refineries'!O$85:O$164,'Key inputs_Refineries'!$C$85:$C$164,$C48,'Key inputs_Refineries'!$B$85:$B$164,"Boiler")/SUM(SUMIFS('Key inputs_Refineries'!O$85:O$164,'Key inputs_Refineries'!$C$85:$C$164,$C40:$C49,'Key inputs_Refineries'!$B$85:$B$164,"Boiler"))&gt;0,SUMIFS('Key inputs_Refineries'!O$85:O$164,'Key inputs_Refineries'!$C$85:$C$164,$C48,'Key inputs_Refineries'!$B$85:$B$164,"Boiler")/SUM(SUMIFS('Key inputs_Refineries'!O$85:O$164,'Key inputs_Refineries'!$C$85:$C$164,$C40:$C49,'Key inputs_Refineries'!$B$85:$B$164,"Boiler"))&lt;0.001),0.001,SUMIFS('Key inputs_Refineries'!O$85:O$164,'Key inputs_Refineries'!$C$85:$C$164,$C48,'Key inputs_Refineries'!$B$85:$B$164,"Boiler")/SUM(SUMIFS('Key inputs_Refineries'!O$85:O$164,'Key inputs_Refineries'!$C$85:$C$164,$C40:$C49,'Key inputs_Refineries'!$B$85:$B$164,"Boiler"))),0)</f>
        <v>0</v>
      </c>
      <c r="V48" s="173" cm="1">
        <f t="array" ref="V48">IFERROR(IF(AND(SUMIFS('Key inputs_Refineries'!P$85:P$164,'Key inputs_Refineries'!$C$85:$C$164,$C48,'Key inputs_Refineries'!$B$85:$B$164,"Boiler")/SUM(SUMIFS('Key inputs_Refineries'!P$85:P$164,'Key inputs_Refineries'!$C$85:$C$164,$C40:$C49,'Key inputs_Refineries'!$B$85:$B$164,"Boiler"))&gt;0,SUMIFS('Key inputs_Refineries'!P$85:P$164,'Key inputs_Refineries'!$C$85:$C$164,$C48,'Key inputs_Refineries'!$B$85:$B$164,"Boiler")/SUM(SUMIFS('Key inputs_Refineries'!P$85:P$164,'Key inputs_Refineries'!$C$85:$C$164,$C40:$C49,'Key inputs_Refineries'!$B$85:$B$164,"Boiler"))&lt;0.001),0.001,SUMIFS('Key inputs_Refineries'!P$85:P$164,'Key inputs_Refineries'!$C$85:$C$164,$C48,'Key inputs_Refineries'!$B$85:$B$164,"Boiler")/SUM(SUMIFS('Key inputs_Refineries'!P$85:P$164,'Key inputs_Refineries'!$C$85:$C$164,$C40:$C49,'Key inputs_Refineries'!$B$85:$B$164,"Boiler"))),0)</f>
        <v>0</v>
      </c>
      <c r="W48" s="173" cm="1">
        <f t="array" ref="W48">IFERROR(IF(AND(SUMIFS('Key inputs_Refineries'!Q$85:Q$164,'Key inputs_Refineries'!$C$85:$C$164,$C48,'Key inputs_Refineries'!$B$85:$B$164,"Boiler")/SUM(SUMIFS('Key inputs_Refineries'!Q$85:Q$164,'Key inputs_Refineries'!$C$85:$C$164,$C40:$C49,'Key inputs_Refineries'!$B$85:$B$164,"Boiler"))&gt;0,SUMIFS('Key inputs_Refineries'!Q$85:Q$164,'Key inputs_Refineries'!$C$85:$C$164,$C48,'Key inputs_Refineries'!$B$85:$B$164,"Boiler")/SUM(SUMIFS('Key inputs_Refineries'!Q$85:Q$164,'Key inputs_Refineries'!$C$85:$C$164,$C40:$C49,'Key inputs_Refineries'!$B$85:$B$164,"Boiler"))&lt;0.001),0.001,SUMIFS('Key inputs_Refineries'!Q$85:Q$164,'Key inputs_Refineries'!$C$85:$C$164,$C48,'Key inputs_Refineries'!$B$85:$B$164,"Boiler")/SUM(SUMIFS('Key inputs_Refineries'!Q$85:Q$164,'Key inputs_Refineries'!$C$85:$C$164,$C40:$C49,'Key inputs_Refineries'!$B$85:$B$164,"Boiler"))),0)</f>
        <v>0</v>
      </c>
      <c r="X48" s="173" cm="1">
        <f t="array" ref="X48">IFERROR(IF(AND(SUMIFS('Key inputs_Refineries'!R$85:R$164,'Key inputs_Refineries'!$C$85:$C$164,$C48,'Key inputs_Refineries'!$B$85:$B$164,"Boiler")/SUM(SUMIFS('Key inputs_Refineries'!R$85:R$164,'Key inputs_Refineries'!$C$85:$C$164,$C40:$C49,'Key inputs_Refineries'!$B$85:$B$164,"Boiler"))&gt;0,SUMIFS('Key inputs_Refineries'!R$85:R$164,'Key inputs_Refineries'!$C$85:$C$164,$C48,'Key inputs_Refineries'!$B$85:$B$164,"Boiler")/SUM(SUMIFS('Key inputs_Refineries'!R$85:R$164,'Key inputs_Refineries'!$C$85:$C$164,$C40:$C49,'Key inputs_Refineries'!$B$85:$B$164,"Boiler"))&lt;0.001),0.001,SUMIFS('Key inputs_Refineries'!R$85:R$164,'Key inputs_Refineries'!$C$85:$C$164,$C48,'Key inputs_Refineries'!$B$85:$B$164,"Boiler")/SUM(SUMIFS('Key inputs_Refineries'!R$85:R$164,'Key inputs_Refineries'!$C$85:$C$164,$C40:$C49,'Key inputs_Refineries'!$B$85:$B$164,"Boiler"))),0)</f>
        <v>0</v>
      </c>
      <c r="Y48" s="173" cm="1">
        <f t="array" ref="Y48">IFERROR(IF(AND(SUMIFS('Key inputs_Refineries'!S$85:S$164,'Key inputs_Refineries'!$C$85:$C$164,$C48,'Key inputs_Refineries'!$B$85:$B$164,"Boiler")/SUM(SUMIFS('Key inputs_Refineries'!S$85:S$164,'Key inputs_Refineries'!$C$85:$C$164,$C40:$C49,'Key inputs_Refineries'!$B$85:$B$164,"Boiler"))&gt;0,SUMIFS('Key inputs_Refineries'!S$85:S$164,'Key inputs_Refineries'!$C$85:$C$164,$C48,'Key inputs_Refineries'!$B$85:$B$164,"Boiler")/SUM(SUMIFS('Key inputs_Refineries'!S$85:S$164,'Key inputs_Refineries'!$C$85:$C$164,$C40:$C49,'Key inputs_Refineries'!$B$85:$B$164,"Boiler"))&lt;0.001),0.001,SUMIFS('Key inputs_Refineries'!S$85:S$164,'Key inputs_Refineries'!$C$85:$C$164,$C48,'Key inputs_Refineries'!$B$85:$B$164,"Boiler")/SUM(SUMIFS('Key inputs_Refineries'!S$85:S$164,'Key inputs_Refineries'!$C$85:$C$164,$C40:$C49,'Key inputs_Refineries'!$B$85:$B$164,"Boiler"))),0)</f>
        <v>0</v>
      </c>
      <c r="Z48" s="173" cm="1">
        <f t="array" ref="Z48">IFERROR(IF(AND(SUMIFS('Key inputs_Refineries'!T$85:T$164,'Key inputs_Refineries'!$C$85:$C$164,$C48,'Key inputs_Refineries'!$B$85:$B$164,"Boiler")/SUM(SUMIFS('Key inputs_Refineries'!T$85:T$164,'Key inputs_Refineries'!$C$85:$C$164,$C40:$C49,'Key inputs_Refineries'!$B$85:$B$164,"Boiler"))&gt;0,SUMIFS('Key inputs_Refineries'!T$85:T$164,'Key inputs_Refineries'!$C$85:$C$164,$C48,'Key inputs_Refineries'!$B$85:$B$164,"Boiler")/SUM(SUMIFS('Key inputs_Refineries'!T$85:T$164,'Key inputs_Refineries'!$C$85:$C$164,$C40:$C49,'Key inputs_Refineries'!$B$85:$B$164,"Boiler"))&lt;0.001),0.001,SUMIFS('Key inputs_Refineries'!T$85:T$164,'Key inputs_Refineries'!$C$85:$C$164,$C48,'Key inputs_Refineries'!$B$85:$B$164,"Boiler")/SUM(SUMIFS('Key inputs_Refineries'!T$85:T$164,'Key inputs_Refineries'!$C$85:$C$164,$C40:$C49,'Key inputs_Refineries'!$B$85:$B$164,"Boiler"))),0)</f>
        <v>0</v>
      </c>
      <c r="AA48" s="173" cm="1">
        <f t="array" ref="AA48">IFERROR(IF(AND(SUMIFS('Key inputs_Refineries'!U$85:U$164,'Key inputs_Refineries'!$C$85:$C$164,$C48,'Key inputs_Refineries'!$B$85:$B$164,"Boiler")/SUM(SUMIFS('Key inputs_Refineries'!U$85:U$164,'Key inputs_Refineries'!$C$85:$C$164,$C40:$C49,'Key inputs_Refineries'!$B$85:$B$164,"Boiler"))&gt;0,SUMIFS('Key inputs_Refineries'!U$85:U$164,'Key inputs_Refineries'!$C$85:$C$164,$C48,'Key inputs_Refineries'!$B$85:$B$164,"Boiler")/SUM(SUMIFS('Key inputs_Refineries'!U$85:U$164,'Key inputs_Refineries'!$C$85:$C$164,$C40:$C49,'Key inputs_Refineries'!$B$85:$B$164,"Boiler"))&lt;0.001),0.001,SUMIFS('Key inputs_Refineries'!U$85:U$164,'Key inputs_Refineries'!$C$85:$C$164,$C48,'Key inputs_Refineries'!$B$85:$B$164,"Boiler")/SUM(SUMIFS('Key inputs_Refineries'!U$85:U$164,'Key inputs_Refineries'!$C$85:$C$164,$C40:$C49,'Key inputs_Refineries'!$B$85:$B$164,"Boiler"))),0)</f>
        <v>0</v>
      </c>
      <c r="AB48" s="173" cm="1">
        <f t="array" ref="AB48">IFERROR(IF(AND(SUMIFS('Key inputs_Refineries'!V$85:V$164,'Key inputs_Refineries'!$C$85:$C$164,$C48,'Key inputs_Refineries'!$B$85:$B$164,"Boiler")/SUM(SUMIFS('Key inputs_Refineries'!V$85:V$164,'Key inputs_Refineries'!$C$85:$C$164,$C40:$C49,'Key inputs_Refineries'!$B$85:$B$164,"Boiler"))&gt;0,SUMIFS('Key inputs_Refineries'!V$85:V$164,'Key inputs_Refineries'!$C$85:$C$164,$C48,'Key inputs_Refineries'!$B$85:$B$164,"Boiler")/SUM(SUMIFS('Key inputs_Refineries'!V$85:V$164,'Key inputs_Refineries'!$C$85:$C$164,$C40:$C49,'Key inputs_Refineries'!$B$85:$B$164,"Boiler"))&lt;0.001),0.001,SUMIFS('Key inputs_Refineries'!V$85:V$164,'Key inputs_Refineries'!$C$85:$C$164,$C48,'Key inputs_Refineries'!$B$85:$B$164,"Boiler")/SUM(SUMIFS('Key inputs_Refineries'!V$85:V$164,'Key inputs_Refineries'!$C$85:$C$164,$C40:$C49,'Key inputs_Refineries'!$B$85:$B$164,"Boiler"))),0)</f>
        <v>0.37267710844695157</v>
      </c>
      <c r="AC48" s="173" cm="1">
        <f t="array" ref="AC48">IFERROR(IF(AND(SUMIFS('Key inputs_Refineries'!W$85:W$164,'Key inputs_Refineries'!$C$85:$C$164,$C48,'Key inputs_Refineries'!$B$85:$B$164,"Boiler")/SUM(SUMIFS('Key inputs_Refineries'!W$85:W$164,'Key inputs_Refineries'!$C$85:$C$164,$C40:$C49,'Key inputs_Refineries'!$B$85:$B$164,"Boiler"))&gt;0,SUMIFS('Key inputs_Refineries'!W$85:W$164,'Key inputs_Refineries'!$C$85:$C$164,$C48,'Key inputs_Refineries'!$B$85:$B$164,"Boiler")/SUM(SUMIFS('Key inputs_Refineries'!W$85:W$164,'Key inputs_Refineries'!$C$85:$C$164,$C40:$C49,'Key inputs_Refineries'!$B$85:$B$164,"Boiler"))&lt;0.001),0.001,SUMIFS('Key inputs_Refineries'!W$85:W$164,'Key inputs_Refineries'!$C$85:$C$164,$C48,'Key inputs_Refineries'!$B$85:$B$164,"Boiler")/SUM(SUMIFS('Key inputs_Refineries'!W$85:W$164,'Key inputs_Refineries'!$C$85:$C$164,$C40:$C49,'Key inputs_Refineries'!$B$85:$B$164,"Boiler"))),0)</f>
        <v>0</v>
      </c>
      <c r="AD48" s="173" cm="1">
        <f t="array" ref="AD48">IFERROR(IF(AND(SUMIFS('Key inputs_Refineries'!X$85:X$164,'Key inputs_Refineries'!$C$85:$C$164,$C48,'Key inputs_Refineries'!$B$85:$B$164,"Boiler")/SUM(SUMIFS('Key inputs_Refineries'!X$85:X$164,'Key inputs_Refineries'!$C$85:$C$164,$C40:$C49,'Key inputs_Refineries'!$B$85:$B$164,"Boiler"))&gt;0,SUMIFS('Key inputs_Refineries'!X$85:X$164,'Key inputs_Refineries'!$C$85:$C$164,$C48,'Key inputs_Refineries'!$B$85:$B$164,"Boiler")/SUM(SUMIFS('Key inputs_Refineries'!X$85:X$164,'Key inputs_Refineries'!$C$85:$C$164,$C40:$C49,'Key inputs_Refineries'!$B$85:$B$164,"Boiler"))&lt;0.001),0.001,SUMIFS('Key inputs_Refineries'!X$85:X$164,'Key inputs_Refineries'!$C$85:$C$164,$C48,'Key inputs_Refineries'!$B$85:$B$164,"Boiler")/SUM(SUMIFS('Key inputs_Refineries'!X$85:X$164,'Key inputs_Refineries'!$C$85:$C$164,$C40:$C49,'Key inputs_Refineries'!$B$85:$B$164,"Boiler"))),0)</f>
        <v>0</v>
      </c>
      <c r="AE48" s="173" cm="1">
        <f t="array" ref="AE48">IFERROR(IF(AND(SUMIFS('Key inputs_Refineries'!Y$85:Y$164,'Key inputs_Refineries'!$C$85:$C$164,$C48,'Key inputs_Refineries'!$B$85:$B$164,"Boiler")/SUM(SUMIFS('Key inputs_Refineries'!Y$85:Y$164,'Key inputs_Refineries'!$C$85:$C$164,$C40:$C49,'Key inputs_Refineries'!$B$85:$B$164,"Boiler"))&gt;0,SUMIFS('Key inputs_Refineries'!Y$85:Y$164,'Key inputs_Refineries'!$C$85:$C$164,$C48,'Key inputs_Refineries'!$B$85:$B$164,"Boiler")/SUM(SUMIFS('Key inputs_Refineries'!Y$85:Y$164,'Key inputs_Refineries'!$C$85:$C$164,$C40:$C49,'Key inputs_Refineries'!$B$85:$B$164,"Boiler"))&lt;0.001),0.001,SUMIFS('Key inputs_Refineries'!Y$85:Y$164,'Key inputs_Refineries'!$C$85:$C$164,$C48,'Key inputs_Refineries'!$B$85:$B$164,"Boiler")/SUM(SUMIFS('Key inputs_Refineries'!Y$85:Y$164,'Key inputs_Refineries'!$C$85:$C$164,$C40:$C49,'Key inputs_Refineries'!$B$85:$B$164,"Boiler"))),0)</f>
        <v>3.8240414082870593E-2</v>
      </c>
      <c r="AF48" s="173" cm="1">
        <f t="array" ref="AF48">IFERROR(IF(AND(SUMIFS('Key inputs_Refineries'!Z$85:Z$164,'Key inputs_Refineries'!$C$85:$C$164,$C48,'Key inputs_Refineries'!$B$85:$B$164,"Boiler")/SUM(SUMIFS('Key inputs_Refineries'!Z$85:Z$164,'Key inputs_Refineries'!$C$85:$C$164,$C40:$C49,'Key inputs_Refineries'!$B$85:$B$164,"Boiler"))&gt;0,SUMIFS('Key inputs_Refineries'!Z$85:Z$164,'Key inputs_Refineries'!$C$85:$C$164,$C48,'Key inputs_Refineries'!$B$85:$B$164,"Boiler")/SUM(SUMIFS('Key inputs_Refineries'!Z$85:Z$164,'Key inputs_Refineries'!$C$85:$C$164,$C40:$C49,'Key inputs_Refineries'!$B$85:$B$164,"Boiler"))&lt;0.001),0.001,SUMIFS('Key inputs_Refineries'!Z$85:Z$164,'Key inputs_Refineries'!$C$85:$C$164,$C48,'Key inputs_Refineries'!$B$85:$B$164,"Boiler")/SUM(SUMIFS('Key inputs_Refineries'!Z$85:Z$164,'Key inputs_Refineries'!$C$85:$C$164,$C40:$C49,'Key inputs_Refineries'!$B$85:$B$164,"Boiler"))),0)</f>
        <v>0</v>
      </c>
      <c r="AG48" s="173" cm="1">
        <f t="array" ref="AG48">IFERROR(IF(AND(SUMIFS('Key inputs_Refineries'!AA$85:AA$164,'Key inputs_Refineries'!$C$85:$C$164,$C48,'Key inputs_Refineries'!$B$85:$B$164,"Boiler")/SUM(SUMIFS('Key inputs_Refineries'!AA$85:AA$164,'Key inputs_Refineries'!$C$85:$C$164,$C40:$C49,'Key inputs_Refineries'!$B$85:$B$164,"Boiler"))&gt;0,SUMIFS('Key inputs_Refineries'!AA$85:AA$164,'Key inputs_Refineries'!$C$85:$C$164,$C48,'Key inputs_Refineries'!$B$85:$B$164,"Boiler")/SUM(SUMIFS('Key inputs_Refineries'!AA$85:AA$164,'Key inputs_Refineries'!$C$85:$C$164,$C40:$C49,'Key inputs_Refineries'!$B$85:$B$164,"Boiler"))&lt;0.001),0.001,SUMIFS('Key inputs_Refineries'!AA$85:AA$164,'Key inputs_Refineries'!$C$85:$C$164,$C48,'Key inputs_Refineries'!$B$85:$B$164,"Boiler")/SUM(SUMIFS('Key inputs_Refineries'!AA$85:AA$164,'Key inputs_Refineries'!$C$85:$C$164,$C40:$C49,'Key inputs_Refineries'!$B$85:$B$164,"Boiler"))),0)</f>
        <v>0</v>
      </c>
      <c r="AH48" s="173" cm="1">
        <f t="array" ref="AH48">IFERROR(IF(AND(SUMIFS('Key inputs_Refineries'!AB$85:AB$164,'Key inputs_Refineries'!$C$85:$C$164,$C48,'Key inputs_Refineries'!$B$85:$B$164,"Boiler")/SUM(SUMIFS('Key inputs_Refineries'!AB$85:AB$164,'Key inputs_Refineries'!$C$85:$C$164,$C40:$C49,'Key inputs_Refineries'!$B$85:$B$164,"Boiler"))&gt;0,SUMIFS('Key inputs_Refineries'!AB$85:AB$164,'Key inputs_Refineries'!$C$85:$C$164,$C48,'Key inputs_Refineries'!$B$85:$B$164,"Boiler")/SUM(SUMIFS('Key inputs_Refineries'!AB$85:AB$164,'Key inputs_Refineries'!$C$85:$C$164,$C40:$C49,'Key inputs_Refineries'!$B$85:$B$164,"Boiler"))&lt;0.001),0.001,SUMIFS('Key inputs_Refineries'!AB$85:AB$164,'Key inputs_Refineries'!$C$85:$C$164,$C48,'Key inputs_Refineries'!$B$85:$B$164,"Boiler")/SUM(SUMIFS('Key inputs_Refineries'!AB$85:AB$164,'Key inputs_Refineries'!$C$85:$C$164,$C40:$C49,'Key inputs_Refineries'!$B$85:$B$164,"Boiler"))),0)</f>
        <v>0</v>
      </c>
      <c r="AI48" s="173" cm="1">
        <f t="array" ref="AI48">IFERROR(IF(AND(SUMIFS('Key inputs_Refineries'!AC$85:AC$164,'Key inputs_Refineries'!$C$85:$C$164,$C48,'Key inputs_Refineries'!$B$85:$B$164,"Boiler")/SUM(SUMIFS('Key inputs_Refineries'!AC$85:AC$164,'Key inputs_Refineries'!$C$85:$C$164,$C40:$C49,'Key inputs_Refineries'!$B$85:$B$164,"Boiler"))&gt;0,SUMIFS('Key inputs_Refineries'!AC$85:AC$164,'Key inputs_Refineries'!$C$85:$C$164,$C48,'Key inputs_Refineries'!$B$85:$B$164,"Boiler")/SUM(SUMIFS('Key inputs_Refineries'!AC$85:AC$164,'Key inputs_Refineries'!$C$85:$C$164,$C40:$C49,'Key inputs_Refineries'!$B$85:$B$164,"Boiler"))&lt;0.001),0.001,SUMIFS('Key inputs_Refineries'!AC$85:AC$164,'Key inputs_Refineries'!$C$85:$C$164,$C48,'Key inputs_Refineries'!$B$85:$B$164,"Boiler")/SUM(SUMIFS('Key inputs_Refineries'!AC$85:AC$164,'Key inputs_Refineries'!$C$85:$C$164,$C40:$C49,'Key inputs_Refineries'!$B$85:$B$164,"Boiler"))),0)</f>
        <v>0</v>
      </c>
      <c r="AJ48" s="173" cm="1">
        <f t="array" ref="AJ48">IFERROR(IF(AND(SUMIFS('Key inputs_Refineries'!AD$85:AD$164,'Key inputs_Refineries'!$C$85:$C$164,$C48,'Key inputs_Refineries'!$B$85:$B$164,"Boiler")/SUM(SUMIFS('Key inputs_Refineries'!AD$85:AD$164,'Key inputs_Refineries'!$C$85:$C$164,$C40:$C49,'Key inputs_Refineries'!$B$85:$B$164,"Boiler"))&gt;0,SUMIFS('Key inputs_Refineries'!AD$85:AD$164,'Key inputs_Refineries'!$C$85:$C$164,$C48,'Key inputs_Refineries'!$B$85:$B$164,"Boiler")/SUM(SUMIFS('Key inputs_Refineries'!AD$85:AD$164,'Key inputs_Refineries'!$C$85:$C$164,$C40:$C49,'Key inputs_Refineries'!$B$85:$B$164,"Boiler"))&lt;0.001),0.001,SUMIFS('Key inputs_Refineries'!AD$85:AD$164,'Key inputs_Refineries'!$C$85:$C$164,$C48,'Key inputs_Refineries'!$B$85:$B$164,"Boiler")/SUM(SUMIFS('Key inputs_Refineries'!AD$85:AD$164,'Key inputs_Refineries'!$C$85:$C$164,$C40:$C49,'Key inputs_Refineries'!$B$85:$B$164,"Boiler"))),0)</f>
        <v>0</v>
      </c>
      <c r="AK48" s="173" cm="1">
        <f t="array" ref="AK48">IFERROR(IF(AND(SUMIFS('Key inputs_Refineries'!AE$85:AE$164,'Key inputs_Refineries'!$C$85:$C$164,$C48,'Key inputs_Refineries'!$B$85:$B$164,"Boiler")/SUM(SUMIFS('Key inputs_Refineries'!AE$85:AE$164,'Key inputs_Refineries'!$C$85:$C$164,$C40:$C49,'Key inputs_Refineries'!$B$85:$B$164,"Boiler"))&gt;0,SUMIFS('Key inputs_Refineries'!AE$85:AE$164,'Key inputs_Refineries'!$C$85:$C$164,$C48,'Key inputs_Refineries'!$B$85:$B$164,"Boiler")/SUM(SUMIFS('Key inputs_Refineries'!AE$85:AE$164,'Key inputs_Refineries'!$C$85:$C$164,$C40:$C49,'Key inputs_Refineries'!$B$85:$B$164,"Boiler"))&lt;0.001),0.001,SUMIFS('Key inputs_Refineries'!AE$85:AE$164,'Key inputs_Refineries'!$C$85:$C$164,$C48,'Key inputs_Refineries'!$B$85:$B$164,"Boiler")/SUM(SUMIFS('Key inputs_Refineries'!AE$85:AE$164,'Key inputs_Refineries'!$C$85:$C$164,$C40:$C49,'Key inputs_Refineries'!$B$85:$B$164,"Boiler"))),0)</f>
        <v>0</v>
      </c>
      <c r="AL48" s="173" cm="1">
        <f t="array" ref="AL48">IFERROR(IF(AND(SUMIFS('Key inputs_Refineries'!AF$85:AF$164,'Key inputs_Refineries'!$C$85:$C$164,$C48,'Key inputs_Refineries'!$B$85:$B$164,"Boiler")/SUM(SUMIFS('Key inputs_Refineries'!AF$85:AF$164,'Key inputs_Refineries'!$C$85:$C$164,$C40:$C49,'Key inputs_Refineries'!$B$85:$B$164,"Boiler"))&gt;0,SUMIFS('Key inputs_Refineries'!AF$85:AF$164,'Key inputs_Refineries'!$C$85:$C$164,$C48,'Key inputs_Refineries'!$B$85:$B$164,"Boiler")/SUM(SUMIFS('Key inputs_Refineries'!AF$85:AF$164,'Key inputs_Refineries'!$C$85:$C$164,$C40:$C49,'Key inputs_Refineries'!$B$85:$B$164,"Boiler"))&lt;0.001),0.001,SUMIFS('Key inputs_Refineries'!AF$85:AF$164,'Key inputs_Refineries'!$C$85:$C$164,$C48,'Key inputs_Refineries'!$B$85:$B$164,"Boiler")/SUM(SUMIFS('Key inputs_Refineries'!AF$85:AF$164,'Key inputs_Refineries'!$C$85:$C$164,$C40:$C49,'Key inputs_Refineries'!$B$85:$B$164,"Boiler"))),0)</f>
        <v>0</v>
      </c>
    </row>
    <row r="49" spans="1:38">
      <c r="C49" t="str">
        <f>Commodities!$C$100</f>
        <v>UPSOIL2</v>
      </c>
      <c r="G49" s="4" t="s">
        <v>702</v>
      </c>
      <c r="H49" t="s">
        <v>661</v>
      </c>
      <c r="I49">
        <v>2019</v>
      </c>
      <c r="J49" s="4" t="s">
        <v>650</v>
      </c>
      <c r="K49" s="173" cm="1">
        <f t="array" ref="K49">IFERROR(IF(AND(SUMIFS('Key inputs_Refineries'!E$85:E$164,'Key inputs_Refineries'!$C$85:$C$164,$C49,'Key inputs_Refineries'!$B$85:$B$164,"Boiler")/SUM(SUMIFS('Key inputs_Refineries'!E$85:E$164,'Key inputs_Refineries'!$C$85:$C$164,$C40:$C49,'Key inputs_Refineries'!$B$85:$B$164,"Boiler"))&gt;0,SUMIFS('Key inputs_Refineries'!E$85:E$164,'Key inputs_Refineries'!$C$85:$C$164,$C49,'Key inputs_Refineries'!$B$85:$B$164,"Boiler")/SUM(SUMIFS('Key inputs_Refineries'!E$85:E$164,'Key inputs_Refineries'!$C$85:$C$164,$C40:$C49,'Key inputs_Refineries'!$B$85:$B$164,"Boiler"))&lt;0.001),0.001,SUMIFS('Key inputs_Refineries'!E$85:E$164,'Key inputs_Refineries'!$C$85:$C$164,$C49,'Key inputs_Refineries'!$B$85:$B$164,"Boiler")/SUM(SUMIFS('Key inputs_Refineries'!E$85:E$164,'Key inputs_Refineries'!$C$85:$C$164,$C40:$C49,'Key inputs_Refineries'!$B$85:$B$164,"Boiler"))),1)</f>
        <v>1</v>
      </c>
      <c r="L49" s="173" cm="1">
        <f t="array" ref="L49">IFERROR(IF(AND(SUMIFS('Key inputs_Refineries'!F$85:F$164,'Key inputs_Refineries'!$C$85:$C$164,$C49,'Key inputs_Refineries'!$B$85:$B$164,"Boiler")/SUM(SUMIFS('Key inputs_Refineries'!F$85:F$164,'Key inputs_Refineries'!$C$85:$C$164,$C40:$C49,'Key inputs_Refineries'!$B$85:$B$164,"Boiler"))&gt;0,SUMIFS('Key inputs_Refineries'!F$85:F$164,'Key inputs_Refineries'!$C$85:$C$164,$C49,'Key inputs_Refineries'!$B$85:$B$164,"Boiler")/SUM(SUMIFS('Key inputs_Refineries'!F$85:F$164,'Key inputs_Refineries'!$C$85:$C$164,$C40:$C49,'Key inputs_Refineries'!$B$85:$B$164,"Boiler"))&lt;0.001),0.001,SUMIFS('Key inputs_Refineries'!F$85:F$164,'Key inputs_Refineries'!$C$85:$C$164,$C49,'Key inputs_Refineries'!$B$85:$B$164,"Boiler")/SUM(SUMIFS('Key inputs_Refineries'!F$85:F$164,'Key inputs_Refineries'!$C$85:$C$164,$C40:$C49,'Key inputs_Refineries'!$B$85:$B$164,"Boiler"))),1)</f>
        <v>0</v>
      </c>
      <c r="M49" s="173" cm="1">
        <f t="array" ref="M49">IFERROR(IF(AND(SUMIFS('Key inputs_Refineries'!G$85:G$164,'Key inputs_Refineries'!$C$85:$C$164,$C49,'Key inputs_Refineries'!$B$85:$B$164,"Boiler")/SUM(SUMIFS('Key inputs_Refineries'!G$85:G$164,'Key inputs_Refineries'!$C$85:$C$164,$C40:$C49,'Key inputs_Refineries'!$B$85:$B$164,"Boiler"))&gt;0,SUMIFS('Key inputs_Refineries'!G$85:G$164,'Key inputs_Refineries'!$C$85:$C$164,$C49,'Key inputs_Refineries'!$B$85:$B$164,"Boiler")/SUM(SUMIFS('Key inputs_Refineries'!G$85:G$164,'Key inputs_Refineries'!$C$85:$C$164,$C40:$C49,'Key inputs_Refineries'!$B$85:$B$164,"Boiler"))&lt;0.001),0.001,SUMIFS('Key inputs_Refineries'!G$85:G$164,'Key inputs_Refineries'!$C$85:$C$164,$C49,'Key inputs_Refineries'!$B$85:$B$164,"Boiler")/SUM(SUMIFS('Key inputs_Refineries'!G$85:G$164,'Key inputs_Refineries'!$C$85:$C$164,$C40:$C49,'Key inputs_Refineries'!$B$85:$B$164,"Boiler"))),1)</f>
        <v>0</v>
      </c>
      <c r="N49" s="173" cm="1">
        <f t="array" ref="N49">IFERROR(IF(AND(SUMIFS('Key inputs_Refineries'!H$85:H$164,'Key inputs_Refineries'!$C$85:$C$164,$C49,'Key inputs_Refineries'!$B$85:$B$164,"Boiler")/SUM(SUMIFS('Key inputs_Refineries'!H$85:H$164,'Key inputs_Refineries'!$C$85:$C$164,$C40:$C49,'Key inputs_Refineries'!$B$85:$B$164,"Boiler"))&gt;0,SUMIFS('Key inputs_Refineries'!H$85:H$164,'Key inputs_Refineries'!$C$85:$C$164,$C49,'Key inputs_Refineries'!$B$85:$B$164,"Boiler")/SUM(SUMIFS('Key inputs_Refineries'!H$85:H$164,'Key inputs_Refineries'!$C$85:$C$164,$C40:$C49,'Key inputs_Refineries'!$B$85:$B$164,"Boiler"))&lt;0.001),0.001,SUMIFS('Key inputs_Refineries'!H$85:H$164,'Key inputs_Refineries'!$C$85:$C$164,$C49,'Key inputs_Refineries'!$B$85:$B$164,"Boiler")/SUM(SUMIFS('Key inputs_Refineries'!H$85:H$164,'Key inputs_Refineries'!$C$85:$C$164,$C40:$C49,'Key inputs_Refineries'!$B$85:$B$164,"Boiler"))),1)</f>
        <v>1</v>
      </c>
      <c r="O49" s="173" cm="1">
        <f t="array" ref="O49">IFERROR(IF(AND(SUMIFS('Key inputs_Refineries'!I$85:I$164,'Key inputs_Refineries'!$C$85:$C$164,$C49,'Key inputs_Refineries'!$B$85:$B$164,"Boiler")/SUM(SUMIFS('Key inputs_Refineries'!I$85:I$164,'Key inputs_Refineries'!$C$85:$C$164,$C40:$C49,'Key inputs_Refineries'!$B$85:$B$164,"Boiler"))&gt;0,SUMIFS('Key inputs_Refineries'!I$85:I$164,'Key inputs_Refineries'!$C$85:$C$164,$C49,'Key inputs_Refineries'!$B$85:$B$164,"Boiler")/SUM(SUMIFS('Key inputs_Refineries'!I$85:I$164,'Key inputs_Refineries'!$C$85:$C$164,$C40:$C49,'Key inputs_Refineries'!$B$85:$B$164,"Boiler"))&lt;0.001),0.001,SUMIFS('Key inputs_Refineries'!I$85:I$164,'Key inputs_Refineries'!$C$85:$C$164,$C49,'Key inputs_Refineries'!$B$85:$B$164,"Boiler")/SUM(SUMIFS('Key inputs_Refineries'!I$85:I$164,'Key inputs_Refineries'!$C$85:$C$164,$C40:$C49,'Key inputs_Refineries'!$B$85:$B$164,"Boiler"))),1)</f>
        <v>0.90826580836038906</v>
      </c>
      <c r="P49" s="173" cm="1">
        <f t="array" ref="P49">IFERROR(IF(AND(SUMIFS('Key inputs_Refineries'!J$85:J$164,'Key inputs_Refineries'!$C$85:$C$164,$C49,'Key inputs_Refineries'!$B$85:$B$164,"Boiler")/SUM(SUMIFS('Key inputs_Refineries'!J$85:J$164,'Key inputs_Refineries'!$C$85:$C$164,$C40:$C49,'Key inputs_Refineries'!$B$85:$B$164,"Boiler"))&gt;0,SUMIFS('Key inputs_Refineries'!J$85:J$164,'Key inputs_Refineries'!$C$85:$C$164,$C49,'Key inputs_Refineries'!$B$85:$B$164,"Boiler")/SUM(SUMIFS('Key inputs_Refineries'!J$85:J$164,'Key inputs_Refineries'!$C$85:$C$164,$C40:$C49,'Key inputs_Refineries'!$B$85:$B$164,"Boiler"))&lt;0.001),0.001,SUMIFS('Key inputs_Refineries'!J$85:J$164,'Key inputs_Refineries'!$C$85:$C$164,$C49,'Key inputs_Refineries'!$B$85:$B$164,"Boiler")/SUM(SUMIFS('Key inputs_Refineries'!J$85:J$164,'Key inputs_Refineries'!$C$85:$C$164,$C40:$C49,'Key inputs_Refineries'!$B$85:$B$164,"Boiler"))),1)</f>
        <v>0.88036613124332841</v>
      </c>
      <c r="Q49" s="173" cm="1">
        <f t="array" ref="Q49">IFERROR(IF(AND(SUMIFS('Key inputs_Refineries'!K$85:K$164,'Key inputs_Refineries'!$C$85:$C$164,$C49,'Key inputs_Refineries'!$B$85:$B$164,"Boiler")/SUM(SUMIFS('Key inputs_Refineries'!K$85:K$164,'Key inputs_Refineries'!$C$85:$C$164,$C40:$C49,'Key inputs_Refineries'!$B$85:$B$164,"Boiler"))&gt;0,SUMIFS('Key inputs_Refineries'!K$85:K$164,'Key inputs_Refineries'!$C$85:$C$164,$C49,'Key inputs_Refineries'!$B$85:$B$164,"Boiler")/SUM(SUMIFS('Key inputs_Refineries'!K$85:K$164,'Key inputs_Refineries'!$C$85:$C$164,$C40:$C49,'Key inputs_Refineries'!$B$85:$B$164,"Boiler"))&lt;0.001),0.001,SUMIFS('Key inputs_Refineries'!K$85:K$164,'Key inputs_Refineries'!$C$85:$C$164,$C49,'Key inputs_Refineries'!$B$85:$B$164,"Boiler")/SUM(SUMIFS('Key inputs_Refineries'!K$85:K$164,'Key inputs_Refineries'!$C$85:$C$164,$C40:$C49,'Key inputs_Refineries'!$B$85:$B$164,"Boiler"))),1)</f>
        <v>5.2685627539402593E-3</v>
      </c>
      <c r="R49" s="173" cm="1">
        <f t="array" ref="R49">IFERROR(IF(AND(SUMIFS('Key inputs_Refineries'!L$85:L$164,'Key inputs_Refineries'!$C$85:$C$164,$C49,'Key inputs_Refineries'!$B$85:$B$164,"Boiler")/SUM(SUMIFS('Key inputs_Refineries'!L$85:L$164,'Key inputs_Refineries'!$C$85:$C$164,$C40:$C49,'Key inputs_Refineries'!$B$85:$B$164,"Boiler"))&gt;0,SUMIFS('Key inputs_Refineries'!L$85:L$164,'Key inputs_Refineries'!$C$85:$C$164,$C49,'Key inputs_Refineries'!$B$85:$B$164,"Boiler")/SUM(SUMIFS('Key inputs_Refineries'!L$85:L$164,'Key inputs_Refineries'!$C$85:$C$164,$C40:$C49,'Key inputs_Refineries'!$B$85:$B$164,"Boiler"))&lt;0.001),0.001,SUMIFS('Key inputs_Refineries'!L$85:L$164,'Key inputs_Refineries'!$C$85:$C$164,$C49,'Key inputs_Refineries'!$B$85:$B$164,"Boiler")/SUM(SUMIFS('Key inputs_Refineries'!L$85:L$164,'Key inputs_Refineries'!$C$85:$C$164,$C40:$C49,'Key inputs_Refineries'!$B$85:$B$164,"Boiler"))),1)</f>
        <v>0</v>
      </c>
      <c r="S49" s="173" cm="1">
        <f t="array" ref="S49">IFERROR(IF(AND(SUMIFS('Key inputs_Refineries'!M$85:M$164,'Key inputs_Refineries'!$C$85:$C$164,$C49,'Key inputs_Refineries'!$B$85:$B$164,"Boiler")/SUM(SUMIFS('Key inputs_Refineries'!M$85:M$164,'Key inputs_Refineries'!$C$85:$C$164,$C40:$C49,'Key inputs_Refineries'!$B$85:$B$164,"Boiler"))&gt;0,SUMIFS('Key inputs_Refineries'!M$85:M$164,'Key inputs_Refineries'!$C$85:$C$164,$C49,'Key inputs_Refineries'!$B$85:$B$164,"Boiler")/SUM(SUMIFS('Key inputs_Refineries'!M$85:M$164,'Key inputs_Refineries'!$C$85:$C$164,$C40:$C49,'Key inputs_Refineries'!$B$85:$B$164,"Boiler"))&lt;0.001),0.001,SUMIFS('Key inputs_Refineries'!M$85:M$164,'Key inputs_Refineries'!$C$85:$C$164,$C49,'Key inputs_Refineries'!$B$85:$B$164,"Boiler")/SUM(SUMIFS('Key inputs_Refineries'!M$85:M$164,'Key inputs_Refineries'!$C$85:$C$164,$C40:$C49,'Key inputs_Refineries'!$B$85:$B$164,"Boiler"))),1)</f>
        <v>0</v>
      </c>
      <c r="T49" s="173" cm="1">
        <f t="array" ref="T49">IFERROR(IF(AND(SUMIFS('Key inputs_Refineries'!N$85:N$164,'Key inputs_Refineries'!$C$85:$C$164,$C49,'Key inputs_Refineries'!$B$85:$B$164,"Boiler")/SUM(SUMIFS('Key inputs_Refineries'!N$85:N$164,'Key inputs_Refineries'!$C$85:$C$164,$C40:$C49,'Key inputs_Refineries'!$B$85:$B$164,"Boiler"))&gt;0,SUMIFS('Key inputs_Refineries'!N$85:N$164,'Key inputs_Refineries'!$C$85:$C$164,$C49,'Key inputs_Refineries'!$B$85:$B$164,"Boiler")/SUM(SUMIFS('Key inputs_Refineries'!N$85:N$164,'Key inputs_Refineries'!$C$85:$C$164,$C40:$C49,'Key inputs_Refineries'!$B$85:$B$164,"Boiler"))&lt;0.001),0.001,SUMIFS('Key inputs_Refineries'!N$85:N$164,'Key inputs_Refineries'!$C$85:$C$164,$C49,'Key inputs_Refineries'!$B$85:$B$164,"Boiler")/SUM(SUMIFS('Key inputs_Refineries'!N$85:N$164,'Key inputs_Refineries'!$C$85:$C$164,$C40:$C49,'Key inputs_Refineries'!$B$85:$B$164,"Boiler"))),1)</f>
        <v>0.91624021930485366</v>
      </c>
      <c r="U49" s="173" cm="1">
        <f t="array" ref="U49">IFERROR(IF(AND(SUMIFS('Key inputs_Refineries'!O$85:O$164,'Key inputs_Refineries'!$C$85:$C$164,$C49,'Key inputs_Refineries'!$B$85:$B$164,"Boiler")/SUM(SUMIFS('Key inputs_Refineries'!O$85:O$164,'Key inputs_Refineries'!$C$85:$C$164,$C40:$C49,'Key inputs_Refineries'!$B$85:$B$164,"Boiler"))&gt;0,SUMIFS('Key inputs_Refineries'!O$85:O$164,'Key inputs_Refineries'!$C$85:$C$164,$C49,'Key inputs_Refineries'!$B$85:$B$164,"Boiler")/SUM(SUMIFS('Key inputs_Refineries'!O$85:O$164,'Key inputs_Refineries'!$C$85:$C$164,$C40:$C49,'Key inputs_Refineries'!$B$85:$B$164,"Boiler"))&lt;0.001),0.001,SUMIFS('Key inputs_Refineries'!O$85:O$164,'Key inputs_Refineries'!$C$85:$C$164,$C49,'Key inputs_Refineries'!$B$85:$B$164,"Boiler")/SUM(SUMIFS('Key inputs_Refineries'!O$85:O$164,'Key inputs_Refineries'!$C$85:$C$164,$C40:$C49,'Key inputs_Refineries'!$B$85:$B$164,"Boiler"))),1)</f>
        <v>0</v>
      </c>
      <c r="V49" s="173" cm="1">
        <f t="array" ref="V49">IFERROR(IF(AND(SUMIFS('Key inputs_Refineries'!P$85:P$164,'Key inputs_Refineries'!$C$85:$C$164,$C49,'Key inputs_Refineries'!$B$85:$B$164,"Boiler")/SUM(SUMIFS('Key inputs_Refineries'!P$85:P$164,'Key inputs_Refineries'!$C$85:$C$164,$C40:$C49,'Key inputs_Refineries'!$B$85:$B$164,"Boiler"))&gt;0,SUMIFS('Key inputs_Refineries'!P$85:P$164,'Key inputs_Refineries'!$C$85:$C$164,$C49,'Key inputs_Refineries'!$B$85:$B$164,"Boiler")/SUM(SUMIFS('Key inputs_Refineries'!P$85:P$164,'Key inputs_Refineries'!$C$85:$C$164,$C40:$C49,'Key inputs_Refineries'!$B$85:$B$164,"Boiler"))&lt;0.001),0.001,SUMIFS('Key inputs_Refineries'!P$85:P$164,'Key inputs_Refineries'!$C$85:$C$164,$C49,'Key inputs_Refineries'!$B$85:$B$164,"Boiler")/SUM(SUMIFS('Key inputs_Refineries'!P$85:P$164,'Key inputs_Refineries'!$C$85:$C$164,$C40:$C49,'Key inputs_Refineries'!$B$85:$B$164,"Boiler"))),1)</f>
        <v>0.77545242046249629</v>
      </c>
      <c r="W49" s="173" cm="1">
        <f t="array" ref="W49">IFERROR(IF(AND(SUMIFS('Key inputs_Refineries'!Q$85:Q$164,'Key inputs_Refineries'!$C$85:$C$164,$C49,'Key inputs_Refineries'!$B$85:$B$164,"Boiler")/SUM(SUMIFS('Key inputs_Refineries'!Q$85:Q$164,'Key inputs_Refineries'!$C$85:$C$164,$C40:$C49,'Key inputs_Refineries'!$B$85:$B$164,"Boiler"))&gt;0,SUMIFS('Key inputs_Refineries'!Q$85:Q$164,'Key inputs_Refineries'!$C$85:$C$164,$C49,'Key inputs_Refineries'!$B$85:$B$164,"Boiler")/SUM(SUMIFS('Key inputs_Refineries'!Q$85:Q$164,'Key inputs_Refineries'!$C$85:$C$164,$C40:$C49,'Key inputs_Refineries'!$B$85:$B$164,"Boiler"))&lt;0.001),0.001,SUMIFS('Key inputs_Refineries'!Q$85:Q$164,'Key inputs_Refineries'!$C$85:$C$164,$C49,'Key inputs_Refineries'!$B$85:$B$164,"Boiler")/SUM(SUMIFS('Key inputs_Refineries'!Q$85:Q$164,'Key inputs_Refineries'!$C$85:$C$164,$C40:$C49,'Key inputs_Refineries'!$B$85:$B$164,"Boiler"))),1)</f>
        <v>5.8358521716818726E-2</v>
      </c>
      <c r="X49" s="173" cm="1">
        <f t="array" ref="X49">IFERROR(IF(AND(SUMIFS('Key inputs_Refineries'!R$85:R$164,'Key inputs_Refineries'!$C$85:$C$164,$C49,'Key inputs_Refineries'!$B$85:$B$164,"Boiler")/SUM(SUMIFS('Key inputs_Refineries'!R$85:R$164,'Key inputs_Refineries'!$C$85:$C$164,$C40:$C49,'Key inputs_Refineries'!$B$85:$B$164,"Boiler"))&gt;0,SUMIFS('Key inputs_Refineries'!R$85:R$164,'Key inputs_Refineries'!$C$85:$C$164,$C49,'Key inputs_Refineries'!$B$85:$B$164,"Boiler")/SUM(SUMIFS('Key inputs_Refineries'!R$85:R$164,'Key inputs_Refineries'!$C$85:$C$164,$C40:$C49,'Key inputs_Refineries'!$B$85:$B$164,"Boiler"))&lt;0.001),0.001,SUMIFS('Key inputs_Refineries'!R$85:R$164,'Key inputs_Refineries'!$C$85:$C$164,$C49,'Key inputs_Refineries'!$B$85:$B$164,"Boiler")/SUM(SUMIFS('Key inputs_Refineries'!R$85:R$164,'Key inputs_Refineries'!$C$85:$C$164,$C40:$C49,'Key inputs_Refineries'!$B$85:$B$164,"Boiler"))),1)</f>
        <v>0.80941235239176013</v>
      </c>
      <c r="Y49" s="173" cm="1">
        <f t="array" ref="Y49">IFERROR(IF(AND(SUMIFS('Key inputs_Refineries'!S$85:S$164,'Key inputs_Refineries'!$C$85:$C$164,$C49,'Key inputs_Refineries'!$B$85:$B$164,"Boiler")/SUM(SUMIFS('Key inputs_Refineries'!S$85:S$164,'Key inputs_Refineries'!$C$85:$C$164,$C40:$C49,'Key inputs_Refineries'!$B$85:$B$164,"Boiler"))&gt;0,SUMIFS('Key inputs_Refineries'!S$85:S$164,'Key inputs_Refineries'!$C$85:$C$164,$C49,'Key inputs_Refineries'!$B$85:$B$164,"Boiler")/SUM(SUMIFS('Key inputs_Refineries'!S$85:S$164,'Key inputs_Refineries'!$C$85:$C$164,$C40:$C49,'Key inputs_Refineries'!$B$85:$B$164,"Boiler"))&lt;0.001),0.001,SUMIFS('Key inputs_Refineries'!S$85:S$164,'Key inputs_Refineries'!$C$85:$C$164,$C49,'Key inputs_Refineries'!$B$85:$B$164,"Boiler")/SUM(SUMIFS('Key inputs_Refineries'!S$85:S$164,'Key inputs_Refineries'!$C$85:$C$164,$C40:$C49,'Key inputs_Refineries'!$B$85:$B$164,"Boiler"))),1)</f>
        <v>0.56012845130970601</v>
      </c>
      <c r="Z49" s="173" cm="1">
        <f t="array" ref="Z49">IFERROR(IF(AND(SUMIFS('Key inputs_Refineries'!T$85:T$164,'Key inputs_Refineries'!$C$85:$C$164,$C49,'Key inputs_Refineries'!$B$85:$B$164,"Boiler")/SUM(SUMIFS('Key inputs_Refineries'!T$85:T$164,'Key inputs_Refineries'!$C$85:$C$164,$C40:$C49,'Key inputs_Refineries'!$B$85:$B$164,"Boiler"))&gt;0,SUMIFS('Key inputs_Refineries'!T$85:T$164,'Key inputs_Refineries'!$C$85:$C$164,$C49,'Key inputs_Refineries'!$B$85:$B$164,"Boiler")/SUM(SUMIFS('Key inputs_Refineries'!T$85:T$164,'Key inputs_Refineries'!$C$85:$C$164,$C40:$C49,'Key inputs_Refineries'!$B$85:$B$164,"Boiler"))&lt;0.001),0.001,SUMIFS('Key inputs_Refineries'!T$85:T$164,'Key inputs_Refineries'!$C$85:$C$164,$C49,'Key inputs_Refineries'!$B$85:$B$164,"Boiler")/SUM(SUMIFS('Key inputs_Refineries'!T$85:T$164,'Key inputs_Refineries'!$C$85:$C$164,$C40:$C49,'Key inputs_Refineries'!$B$85:$B$164,"Boiler"))),1)</f>
        <v>0.65636065153933998</v>
      </c>
      <c r="AA49" s="173" cm="1">
        <f t="array" ref="AA49">IFERROR(IF(AND(SUMIFS('Key inputs_Refineries'!U$85:U$164,'Key inputs_Refineries'!$C$85:$C$164,$C49,'Key inputs_Refineries'!$B$85:$B$164,"Boiler")/SUM(SUMIFS('Key inputs_Refineries'!U$85:U$164,'Key inputs_Refineries'!$C$85:$C$164,$C40:$C49,'Key inputs_Refineries'!$B$85:$B$164,"Boiler"))&gt;0,SUMIFS('Key inputs_Refineries'!U$85:U$164,'Key inputs_Refineries'!$C$85:$C$164,$C49,'Key inputs_Refineries'!$B$85:$B$164,"Boiler")/SUM(SUMIFS('Key inputs_Refineries'!U$85:U$164,'Key inputs_Refineries'!$C$85:$C$164,$C40:$C49,'Key inputs_Refineries'!$B$85:$B$164,"Boiler"))&lt;0.001),0.001,SUMIFS('Key inputs_Refineries'!U$85:U$164,'Key inputs_Refineries'!$C$85:$C$164,$C49,'Key inputs_Refineries'!$B$85:$B$164,"Boiler")/SUM(SUMIFS('Key inputs_Refineries'!U$85:U$164,'Key inputs_Refineries'!$C$85:$C$164,$C40:$C49,'Key inputs_Refineries'!$B$85:$B$164,"Boiler"))),1)</f>
        <v>0.46733479677810208</v>
      </c>
      <c r="AB49" s="173" cm="1">
        <f t="array" ref="AB49">IFERROR(IF(AND(SUMIFS('Key inputs_Refineries'!V$85:V$164,'Key inputs_Refineries'!$C$85:$C$164,$C49,'Key inputs_Refineries'!$B$85:$B$164,"Boiler")/SUM(SUMIFS('Key inputs_Refineries'!V$85:V$164,'Key inputs_Refineries'!$C$85:$C$164,$C40:$C49,'Key inputs_Refineries'!$B$85:$B$164,"Boiler"))&gt;0,SUMIFS('Key inputs_Refineries'!V$85:V$164,'Key inputs_Refineries'!$C$85:$C$164,$C49,'Key inputs_Refineries'!$B$85:$B$164,"Boiler")/SUM(SUMIFS('Key inputs_Refineries'!V$85:V$164,'Key inputs_Refineries'!$C$85:$C$164,$C40:$C49,'Key inputs_Refineries'!$B$85:$B$164,"Boiler"))&lt;0.001),0.001,SUMIFS('Key inputs_Refineries'!V$85:V$164,'Key inputs_Refineries'!$C$85:$C$164,$C49,'Key inputs_Refineries'!$B$85:$B$164,"Boiler")/SUM(SUMIFS('Key inputs_Refineries'!V$85:V$164,'Key inputs_Refineries'!$C$85:$C$164,$C40:$C49,'Key inputs_Refineries'!$B$85:$B$164,"Boiler"))),1)</f>
        <v>0</v>
      </c>
      <c r="AC49" s="173" cm="1">
        <f t="array" ref="AC49">IFERROR(IF(AND(SUMIFS('Key inputs_Refineries'!W$85:W$164,'Key inputs_Refineries'!$C$85:$C$164,$C49,'Key inputs_Refineries'!$B$85:$B$164,"Boiler")/SUM(SUMIFS('Key inputs_Refineries'!W$85:W$164,'Key inputs_Refineries'!$C$85:$C$164,$C40:$C49,'Key inputs_Refineries'!$B$85:$B$164,"Boiler"))&gt;0,SUMIFS('Key inputs_Refineries'!W$85:W$164,'Key inputs_Refineries'!$C$85:$C$164,$C49,'Key inputs_Refineries'!$B$85:$B$164,"Boiler")/SUM(SUMIFS('Key inputs_Refineries'!W$85:W$164,'Key inputs_Refineries'!$C$85:$C$164,$C40:$C49,'Key inputs_Refineries'!$B$85:$B$164,"Boiler"))&lt;0.001),0.001,SUMIFS('Key inputs_Refineries'!W$85:W$164,'Key inputs_Refineries'!$C$85:$C$164,$C49,'Key inputs_Refineries'!$B$85:$B$164,"Boiler")/SUM(SUMIFS('Key inputs_Refineries'!W$85:W$164,'Key inputs_Refineries'!$C$85:$C$164,$C40:$C49,'Key inputs_Refineries'!$B$85:$B$164,"Boiler"))),1)</f>
        <v>1</v>
      </c>
      <c r="AD49" s="173" cm="1">
        <f t="array" ref="AD49">IFERROR(IF(AND(SUMIFS('Key inputs_Refineries'!X$85:X$164,'Key inputs_Refineries'!$C$85:$C$164,$C49,'Key inputs_Refineries'!$B$85:$B$164,"Boiler")/SUM(SUMIFS('Key inputs_Refineries'!X$85:X$164,'Key inputs_Refineries'!$C$85:$C$164,$C40:$C49,'Key inputs_Refineries'!$B$85:$B$164,"Boiler"))&gt;0,SUMIFS('Key inputs_Refineries'!X$85:X$164,'Key inputs_Refineries'!$C$85:$C$164,$C49,'Key inputs_Refineries'!$B$85:$B$164,"Boiler")/SUM(SUMIFS('Key inputs_Refineries'!X$85:X$164,'Key inputs_Refineries'!$C$85:$C$164,$C40:$C49,'Key inputs_Refineries'!$B$85:$B$164,"Boiler"))&lt;0.001),0.001,SUMIFS('Key inputs_Refineries'!X$85:X$164,'Key inputs_Refineries'!$C$85:$C$164,$C49,'Key inputs_Refineries'!$B$85:$B$164,"Boiler")/SUM(SUMIFS('Key inputs_Refineries'!X$85:X$164,'Key inputs_Refineries'!$C$85:$C$164,$C40:$C49,'Key inputs_Refineries'!$B$85:$B$164,"Boiler"))),1)</f>
        <v>0.43903269260140848</v>
      </c>
      <c r="AE49" s="173" cm="1">
        <f t="array" ref="AE49">IFERROR(IF(AND(SUMIFS('Key inputs_Refineries'!Y$85:Y$164,'Key inputs_Refineries'!$C$85:$C$164,$C49,'Key inputs_Refineries'!$B$85:$B$164,"Boiler")/SUM(SUMIFS('Key inputs_Refineries'!Y$85:Y$164,'Key inputs_Refineries'!$C$85:$C$164,$C40:$C49,'Key inputs_Refineries'!$B$85:$B$164,"Boiler"))&gt;0,SUMIFS('Key inputs_Refineries'!Y$85:Y$164,'Key inputs_Refineries'!$C$85:$C$164,$C49,'Key inputs_Refineries'!$B$85:$B$164,"Boiler")/SUM(SUMIFS('Key inputs_Refineries'!Y$85:Y$164,'Key inputs_Refineries'!$C$85:$C$164,$C40:$C49,'Key inputs_Refineries'!$B$85:$B$164,"Boiler"))&lt;0.001),0.001,SUMIFS('Key inputs_Refineries'!Y$85:Y$164,'Key inputs_Refineries'!$C$85:$C$164,$C49,'Key inputs_Refineries'!$B$85:$B$164,"Boiler")/SUM(SUMIFS('Key inputs_Refineries'!Y$85:Y$164,'Key inputs_Refineries'!$C$85:$C$164,$C40:$C49,'Key inputs_Refineries'!$B$85:$B$164,"Boiler"))),1)</f>
        <v>1.2468981492366695E-2</v>
      </c>
      <c r="AF49" s="173" cm="1">
        <f t="array" ref="AF49">IFERROR(IF(AND(SUMIFS('Key inputs_Refineries'!Z$85:Z$164,'Key inputs_Refineries'!$C$85:$C$164,$C49,'Key inputs_Refineries'!$B$85:$B$164,"Boiler")/SUM(SUMIFS('Key inputs_Refineries'!Z$85:Z$164,'Key inputs_Refineries'!$C$85:$C$164,$C40:$C49,'Key inputs_Refineries'!$B$85:$B$164,"Boiler"))&gt;0,SUMIFS('Key inputs_Refineries'!Z$85:Z$164,'Key inputs_Refineries'!$C$85:$C$164,$C49,'Key inputs_Refineries'!$B$85:$B$164,"Boiler")/SUM(SUMIFS('Key inputs_Refineries'!Z$85:Z$164,'Key inputs_Refineries'!$C$85:$C$164,$C40:$C49,'Key inputs_Refineries'!$B$85:$B$164,"Boiler"))&lt;0.001),0.001,SUMIFS('Key inputs_Refineries'!Z$85:Z$164,'Key inputs_Refineries'!$C$85:$C$164,$C49,'Key inputs_Refineries'!$B$85:$B$164,"Boiler")/SUM(SUMIFS('Key inputs_Refineries'!Z$85:Z$164,'Key inputs_Refineries'!$C$85:$C$164,$C40:$C49,'Key inputs_Refineries'!$B$85:$B$164,"Boiler"))),1)</f>
        <v>3.9834048690817444E-3</v>
      </c>
      <c r="AG49" s="173" cm="1">
        <f t="array" ref="AG49">IFERROR(IF(AND(SUMIFS('Key inputs_Refineries'!AA$85:AA$164,'Key inputs_Refineries'!$C$85:$C$164,$C49,'Key inputs_Refineries'!$B$85:$B$164,"Boiler")/SUM(SUMIFS('Key inputs_Refineries'!AA$85:AA$164,'Key inputs_Refineries'!$C$85:$C$164,$C40:$C49,'Key inputs_Refineries'!$B$85:$B$164,"Boiler"))&gt;0,SUMIFS('Key inputs_Refineries'!AA$85:AA$164,'Key inputs_Refineries'!$C$85:$C$164,$C49,'Key inputs_Refineries'!$B$85:$B$164,"Boiler")/SUM(SUMIFS('Key inputs_Refineries'!AA$85:AA$164,'Key inputs_Refineries'!$C$85:$C$164,$C40:$C49,'Key inputs_Refineries'!$B$85:$B$164,"Boiler"))&lt;0.001),0.001,SUMIFS('Key inputs_Refineries'!AA$85:AA$164,'Key inputs_Refineries'!$C$85:$C$164,$C49,'Key inputs_Refineries'!$B$85:$B$164,"Boiler")/SUM(SUMIFS('Key inputs_Refineries'!AA$85:AA$164,'Key inputs_Refineries'!$C$85:$C$164,$C40:$C49,'Key inputs_Refineries'!$B$85:$B$164,"Boiler"))),1)</f>
        <v>5.2506838942529173E-2</v>
      </c>
      <c r="AH49" s="173" cm="1">
        <f t="array" ref="AH49">IFERROR(IF(AND(SUMIFS('Key inputs_Refineries'!AB$85:AB$164,'Key inputs_Refineries'!$C$85:$C$164,$C49,'Key inputs_Refineries'!$B$85:$B$164,"Boiler")/SUM(SUMIFS('Key inputs_Refineries'!AB$85:AB$164,'Key inputs_Refineries'!$C$85:$C$164,$C40:$C49,'Key inputs_Refineries'!$B$85:$B$164,"Boiler"))&gt;0,SUMIFS('Key inputs_Refineries'!AB$85:AB$164,'Key inputs_Refineries'!$C$85:$C$164,$C49,'Key inputs_Refineries'!$B$85:$B$164,"Boiler")/SUM(SUMIFS('Key inputs_Refineries'!AB$85:AB$164,'Key inputs_Refineries'!$C$85:$C$164,$C40:$C49,'Key inputs_Refineries'!$B$85:$B$164,"Boiler"))&lt;0.001),0.001,SUMIFS('Key inputs_Refineries'!AB$85:AB$164,'Key inputs_Refineries'!$C$85:$C$164,$C49,'Key inputs_Refineries'!$B$85:$B$164,"Boiler")/SUM(SUMIFS('Key inputs_Refineries'!AB$85:AB$164,'Key inputs_Refineries'!$C$85:$C$164,$C40:$C49,'Key inputs_Refineries'!$B$85:$B$164,"Boiler"))),1)</f>
        <v>9.4974097372733504E-2</v>
      </c>
      <c r="AI49" s="173" cm="1">
        <f t="array" ref="AI49">IFERROR(IF(AND(SUMIFS('Key inputs_Refineries'!AC$85:AC$164,'Key inputs_Refineries'!$C$85:$C$164,$C49,'Key inputs_Refineries'!$B$85:$B$164,"Boiler")/SUM(SUMIFS('Key inputs_Refineries'!AC$85:AC$164,'Key inputs_Refineries'!$C$85:$C$164,$C40:$C49,'Key inputs_Refineries'!$B$85:$B$164,"Boiler"))&gt;0,SUMIFS('Key inputs_Refineries'!AC$85:AC$164,'Key inputs_Refineries'!$C$85:$C$164,$C49,'Key inputs_Refineries'!$B$85:$B$164,"Boiler")/SUM(SUMIFS('Key inputs_Refineries'!AC$85:AC$164,'Key inputs_Refineries'!$C$85:$C$164,$C40:$C49,'Key inputs_Refineries'!$B$85:$B$164,"Boiler"))&lt;0.001),0.001,SUMIFS('Key inputs_Refineries'!AC$85:AC$164,'Key inputs_Refineries'!$C$85:$C$164,$C49,'Key inputs_Refineries'!$B$85:$B$164,"Boiler")/SUM(SUMIFS('Key inputs_Refineries'!AC$85:AC$164,'Key inputs_Refineries'!$C$85:$C$164,$C40:$C49,'Key inputs_Refineries'!$B$85:$B$164,"Boiler"))),1)</f>
        <v>1.2394645513138323E-2</v>
      </c>
      <c r="AJ49" s="173" cm="1">
        <f t="array" ref="AJ49">IFERROR(IF(AND(SUMIFS('Key inputs_Refineries'!AD$85:AD$164,'Key inputs_Refineries'!$C$85:$C$164,$C49,'Key inputs_Refineries'!$B$85:$B$164,"Boiler")/SUM(SUMIFS('Key inputs_Refineries'!AD$85:AD$164,'Key inputs_Refineries'!$C$85:$C$164,$C40:$C49,'Key inputs_Refineries'!$B$85:$B$164,"Boiler"))&gt;0,SUMIFS('Key inputs_Refineries'!AD$85:AD$164,'Key inputs_Refineries'!$C$85:$C$164,$C49,'Key inputs_Refineries'!$B$85:$B$164,"Boiler")/SUM(SUMIFS('Key inputs_Refineries'!AD$85:AD$164,'Key inputs_Refineries'!$C$85:$C$164,$C40:$C49,'Key inputs_Refineries'!$B$85:$B$164,"Boiler"))&lt;0.001),0.001,SUMIFS('Key inputs_Refineries'!AD$85:AD$164,'Key inputs_Refineries'!$C$85:$C$164,$C49,'Key inputs_Refineries'!$B$85:$B$164,"Boiler")/SUM(SUMIFS('Key inputs_Refineries'!AD$85:AD$164,'Key inputs_Refineries'!$C$85:$C$164,$C40:$C49,'Key inputs_Refineries'!$B$85:$B$164,"Boiler"))),1)</f>
        <v>1</v>
      </c>
      <c r="AK49" s="173" cm="1">
        <f t="array" ref="AK49">IFERROR(IF(AND(SUMIFS('Key inputs_Refineries'!AE$85:AE$164,'Key inputs_Refineries'!$C$85:$C$164,$C49,'Key inputs_Refineries'!$B$85:$B$164,"Boiler")/SUM(SUMIFS('Key inputs_Refineries'!AE$85:AE$164,'Key inputs_Refineries'!$C$85:$C$164,$C40:$C49,'Key inputs_Refineries'!$B$85:$B$164,"Boiler"))&gt;0,SUMIFS('Key inputs_Refineries'!AE$85:AE$164,'Key inputs_Refineries'!$C$85:$C$164,$C49,'Key inputs_Refineries'!$B$85:$B$164,"Boiler")/SUM(SUMIFS('Key inputs_Refineries'!AE$85:AE$164,'Key inputs_Refineries'!$C$85:$C$164,$C40:$C49,'Key inputs_Refineries'!$B$85:$B$164,"Boiler"))&lt;0.001),0.001,SUMIFS('Key inputs_Refineries'!AE$85:AE$164,'Key inputs_Refineries'!$C$85:$C$164,$C49,'Key inputs_Refineries'!$B$85:$B$164,"Boiler")/SUM(SUMIFS('Key inputs_Refineries'!AE$85:AE$164,'Key inputs_Refineries'!$C$85:$C$164,$C40:$C49,'Key inputs_Refineries'!$B$85:$B$164,"Boiler"))),1)</f>
        <v>0.26396698362328047</v>
      </c>
      <c r="AL49" s="173" cm="1">
        <f t="array" ref="AL49">IFERROR(IF(AND(SUMIFS('Key inputs_Refineries'!AF$85:AF$164,'Key inputs_Refineries'!$C$85:$C$164,$C49,'Key inputs_Refineries'!$B$85:$B$164,"Boiler")/SUM(SUMIFS('Key inputs_Refineries'!AF$85:AF$164,'Key inputs_Refineries'!$C$85:$C$164,$C40:$C49,'Key inputs_Refineries'!$B$85:$B$164,"Boiler"))&gt;0,SUMIFS('Key inputs_Refineries'!AF$85:AF$164,'Key inputs_Refineries'!$C$85:$C$164,$C49,'Key inputs_Refineries'!$B$85:$B$164,"Boiler")/SUM(SUMIFS('Key inputs_Refineries'!AF$85:AF$164,'Key inputs_Refineries'!$C$85:$C$164,$C40:$C49,'Key inputs_Refineries'!$B$85:$B$164,"Boiler"))&lt;0.001),0.001,SUMIFS('Key inputs_Refineries'!AF$85:AF$164,'Key inputs_Refineries'!$C$85:$C$164,$C49,'Key inputs_Refineries'!$B$85:$B$164,"Boiler")/SUM(SUMIFS('Key inputs_Refineries'!AF$85:AF$164,'Key inputs_Refineries'!$C$85:$C$164,$C40:$C49,'Key inputs_Refineries'!$B$85:$B$164,"Boiler"))),1)</f>
        <v>0.94020675648239993</v>
      </c>
    </row>
    <row r="50" spans="1:38">
      <c r="C50" t="str">
        <f>Commodities!$C$80</f>
        <v>UPSBDL</v>
      </c>
      <c r="G50" s="4" t="s">
        <v>702</v>
      </c>
      <c r="H50" t="s">
        <v>661</v>
      </c>
      <c r="I50">
        <v>2025</v>
      </c>
      <c r="J50" s="4" t="s">
        <v>650</v>
      </c>
      <c r="K50" s="426">
        <f>K41</f>
        <v>0</v>
      </c>
      <c r="L50" s="426">
        <f t="shared" ref="L50:AL50" si="1">L41</f>
        <v>0</v>
      </c>
      <c r="M50" s="426">
        <f t="shared" si="1"/>
        <v>5.4967007249105165E-2</v>
      </c>
      <c r="N50" s="426">
        <f t="shared" si="1"/>
        <v>0</v>
      </c>
      <c r="O50" s="426">
        <f t="shared" si="1"/>
        <v>0</v>
      </c>
      <c r="P50" s="426">
        <f t="shared" si="1"/>
        <v>7.5112298847973434E-3</v>
      </c>
      <c r="Q50" s="426">
        <f t="shared" si="1"/>
        <v>1.3591105951689957E-2</v>
      </c>
      <c r="R50" s="426">
        <f t="shared" si="1"/>
        <v>0</v>
      </c>
      <c r="S50" s="426">
        <f t="shared" si="1"/>
        <v>3.5051732768259555E-2</v>
      </c>
      <c r="T50" s="426">
        <f t="shared" si="1"/>
        <v>8.6333554563383288E-3</v>
      </c>
      <c r="U50" s="426">
        <f t="shared" si="1"/>
        <v>0</v>
      </c>
      <c r="V50" s="426">
        <f t="shared" si="1"/>
        <v>5.6882967399520768E-3</v>
      </c>
      <c r="W50" s="426">
        <f t="shared" si="1"/>
        <v>0</v>
      </c>
      <c r="X50" s="426">
        <f t="shared" si="1"/>
        <v>0</v>
      </c>
      <c r="Y50" s="426">
        <f t="shared" si="1"/>
        <v>2.7787994220171155E-3</v>
      </c>
      <c r="Z50" s="426">
        <f t="shared" si="1"/>
        <v>7.5121681310049548E-3</v>
      </c>
      <c r="AA50" s="426">
        <f t="shared" si="1"/>
        <v>1.3171639290390735E-2</v>
      </c>
      <c r="AB50" s="426">
        <f t="shared" si="1"/>
        <v>0.62732289155304854</v>
      </c>
      <c r="AC50" s="426">
        <f t="shared" si="1"/>
        <v>0</v>
      </c>
      <c r="AD50" s="426">
        <f t="shared" si="1"/>
        <v>9.5552781608146987E-3</v>
      </c>
      <c r="AE50" s="426">
        <f t="shared" si="1"/>
        <v>1.5014083212701699E-2</v>
      </c>
      <c r="AF50" s="426">
        <f t="shared" si="1"/>
        <v>3.8902919404541575E-2</v>
      </c>
      <c r="AG50" s="426">
        <f t="shared" si="1"/>
        <v>3.0454378123189886E-2</v>
      </c>
      <c r="AH50" s="426">
        <f t="shared" si="1"/>
        <v>0</v>
      </c>
      <c r="AI50" s="426">
        <f t="shared" si="1"/>
        <v>0.10262766484878531</v>
      </c>
      <c r="AJ50" s="426">
        <f t="shared" si="1"/>
        <v>0</v>
      </c>
      <c r="AK50" s="426">
        <f t="shared" si="1"/>
        <v>1E-3</v>
      </c>
      <c r="AL50" s="426">
        <f t="shared" si="1"/>
        <v>1.1727367954192493E-2</v>
      </c>
    </row>
    <row r="51" spans="1:38">
      <c r="C51" t="str">
        <f>Commodities!$C$90</f>
        <v>UPSDSL</v>
      </c>
      <c r="G51" s="4" t="s">
        <v>702</v>
      </c>
      <c r="H51" t="s">
        <v>661</v>
      </c>
      <c r="I51">
        <v>2025</v>
      </c>
      <c r="J51" s="4" t="s">
        <v>650</v>
      </c>
      <c r="K51" s="426">
        <f>K43</f>
        <v>0</v>
      </c>
      <c r="L51" s="426">
        <f t="shared" ref="L51:AL51" si="2">L43</f>
        <v>0</v>
      </c>
      <c r="M51" s="426">
        <f t="shared" si="2"/>
        <v>0</v>
      </c>
      <c r="N51" s="426">
        <f t="shared" si="2"/>
        <v>0</v>
      </c>
      <c r="O51" s="426">
        <f t="shared" si="2"/>
        <v>0</v>
      </c>
      <c r="P51" s="426">
        <f t="shared" si="2"/>
        <v>0</v>
      </c>
      <c r="Q51" s="426">
        <f t="shared" si="2"/>
        <v>0</v>
      </c>
      <c r="R51" s="426">
        <f t="shared" si="2"/>
        <v>0</v>
      </c>
      <c r="S51" s="426">
        <f t="shared" si="2"/>
        <v>0</v>
      </c>
      <c r="T51" s="426">
        <f t="shared" si="2"/>
        <v>2.7912331012078389E-2</v>
      </c>
      <c r="U51" s="426">
        <f t="shared" si="2"/>
        <v>0</v>
      </c>
      <c r="V51" s="426">
        <f t="shared" si="2"/>
        <v>1E-3</v>
      </c>
      <c r="W51" s="426">
        <f t="shared" si="2"/>
        <v>0</v>
      </c>
      <c r="X51" s="426">
        <f t="shared" si="2"/>
        <v>0</v>
      </c>
      <c r="Y51" s="426">
        <f t="shared" si="2"/>
        <v>0</v>
      </c>
      <c r="Z51" s="426">
        <f t="shared" si="2"/>
        <v>0</v>
      </c>
      <c r="AA51" s="426">
        <f t="shared" si="2"/>
        <v>0</v>
      </c>
      <c r="AB51" s="426">
        <f t="shared" si="2"/>
        <v>0</v>
      </c>
      <c r="AC51" s="426">
        <f t="shared" si="2"/>
        <v>0</v>
      </c>
      <c r="AD51" s="426">
        <f t="shared" si="2"/>
        <v>1E-3</v>
      </c>
      <c r="AE51" s="426">
        <f t="shared" si="2"/>
        <v>2.0134433337153691E-2</v>
      </c>
      <c r="AF51" s="426">
        <f t="shared" si="2"/>
        <v>0</v>
      </c>
      <c r="AG51" s="426">
        <f t="shared" si="2"/>
        <v>0</v>
      </c>
      <c r="AH51" s="426">
        <f t="shared" si="2"/>
        <v>0</v>
      </c>
      <c r="AI51" s="426">
        <f t="shared" si="2"/>
        <v>0</v>
      </c>
      <c r="AJ51" s="426">
        <f t="shared" si="2"/>
        <v>0</v>
      </c>
      <c r="AK51" s="426">
        <f t="shared" si="2"/>
        <v>0</v>
      </c>
      <c r="AL51" s="426">
        <f t="shared" si="2"/>
        <v>2.4176673865044865E-3</v>
      </c>
    </row>
    <row r="52" spans="1:38">
      <c r="C52" t="str">
        <f>Commodities!$C$81</f>
        <v>UPSBGL</v>
      </c>
      <c r="G52" s="4" t="s">
        <v>702</v>
      </c>
      <c r="H52" t="s">
        <v>661</v>
      </c>
      <c r="I52">
        <v>2050</v>
      </c>
      <c r="J52" s="4" t="s">
        <v>650</v>
      </c>
      <c r="K52" s="426">
        <f>K50</f>
        <v>0</v>
      </c>
      <c r="L52" s="426">
        <f t="shared" ref="L52:AL52" si="3">L50</f>
        <v>0</v>
      </c>
      <c r="M52" s="426">
        <f t="shared" si="3"/>
        <v>5.4967007249105165E-2</v>
      </c>
      <c r="N52" s="426">
        <f t="shared" si="3"/>
        <v>0</v>
      </c>
      <c r="O52" s="426">
        <f t="shared" si="3"/>
        <v>0</v>
      </c>
      <c r="P52" s="426">
        <f t="shared" si="3"/>
        <v>7.5112298847973434E-3</v>
      </c>
      <c r="Q52" s="426">
        <f t="shared" si="3"/>
        <v>1.3591105951689957E-2</v>
      </c>
      <c r="R52" s="426">
        <f t="shared" si="3"/>
        <v>0</v>
      </c>
      <c r="S52" s="426">
        <f t="shared" si="3"/>
        <v>3.5051732768259555E-2</v>
      </c>
      <c r="T52" s="426">
        <f t="shared" si="3"/>
        <v>8.6333554563383288E-3</v>
      </c>
      <c r="U52" s="426">
        <f t="shared" si="3"/>
        <v>0</v>
      </c>
      <c r="V52" s="426">
        <f t="shared" si="3"/>
        <v>5.6882967399520768E-3</v>
      </c>
      <c r="W52" s="426">
        <f t="shared" si="3"/>
        <v>0</v>
      </c>
      <c r="X52" s="426">
        <f t="shared" si="3"/>
        <v>0</v>
      </c>
      <c r="Y52" s="426">
        <f t="shared" si="3"/>
        <v>2.7787994220171155E-3</v>
      </c>
      <c r="Z52" s="426">
        <f t="shared" si="3"/>
        <v>7.5121681310049548E-3</v>
      </c>
      <c r="AA52" s="426">
        <f t="shared" si="3"/>
        <v>1.3171639290390735E-2</v>
      </c>
      <c r="AB52" s="426">
        <f t="shared" si="3"/>
        <v>0.62732289155304854</v>
      </c>
      <c r="AC52" s="426">
        <f t="shared" si="3"/>
        <v>0</v>
      </c>
      <c r="AD52" s="426">
        <f t="shared" si="3"/>
        <v>9.5552781608146987E-3</v>
      </c>
      <c r="AE52" s="426">
        <f t="shared" si="3"/>
        <v>1.5014083212701699E-2</v>
      </c>
      <c r="AF52" s="426">
        <f t="shared" si="3"/>
        <v>3.8902919404541575E-2</v>
      </c>
      <c r="AG52" s="426">
        <f t="shared" si="3"/>
        <v>3.0454378123189886E-2</v>
      </c>
      <c r="AH52" s="426">
        <f t="shared" si="3"/>
        <v>0</v>
      </c>
      <c r="AI52" s="426">
        <f t="shared" si="3"/>
        <v>0.10262766484878531</v>
      </c>
      <c r="AJ52" s="426">
        <f t="shared" si="3"/>
        <v>0</v>
      </c>
      <c r="AK52" s="426">
        <f t="shared" si="3"/>
        <v>1E-3</v>
      </c>
      <c r="AL52" s="426">
        <f t="shared" si="3"/>
        <v>1.1727367954192493E-2</v>
      </c>
    </row>
    <row r="53" spans="1:38">
      <c r="C53" t="str">
        <f>Commodities!$C$93</f>
        <v>UPSGSL</v>
      </c>
      <c r="G53" s="4" t="s">
        <v>702</v>
      </c>
      <c r="H53" t="s">
        <v>661</v>
      </c>
      <c r="I53">
        <v>2050</v>
      </c>
      <c r="J53" s="4" t="s">
        <v>650</v>
      </c>
      <c r="K53" s="426">
        <f>K51</f>
        <v>0</v>
      </c>
      <c r="L53" s="426">
        <f t="shared" ref="L53:AL53" si="4">L51</f>
        <v>0</v>
      </c>
      <c r="M53" s="426">
        <f t="shared" si="4"/>
        <v>0</v>
      </c>
      <c r="N53" s="426">
        <f t="shared" si="4"/>
        <v>0</v>
      </c>
      <c r="O53" s="426">
        <f t="shared" si="4"/>
        <v>0</v>
      </c>
      <c r="P53" s="426">
        <f t="shared" si="4"/>
        <v>0</v>
      </c>
      <c r="Q53" s="426">
        <f t="shared" si="4"/>
        <v>0</v>
      </c>
      <c r="R53" s="426">
        <f t="shared" si="4"/>
        <v>0</v>
      </c>
      <c r="S53" s="426">
        <f t="shared" si="4"/>
        <v>0</v>
      </c>
      <c r="T53" s="426">
        <f t="shared" si="4"/>
        <v>2.7912331012078389E-2</v>
      </c>
      <c r="U53" s="426">
        <f t="shared" si="4"/>
        <v>0</v>
      </c>
      <c r="V53" s="426">
        <f t="shared" si="4"/>
        <v>1E-3</v>
      </c>
      <c r="W53" s="426">
        <f t="shared" si="4"/>
        <v>0</v>
      </c>
      <c r="X53" s="426">
        <f t="shared" si="4"/>
        <v>0</v>
      </c>
      <c r="Y53" s="426">
        <f t="shared" si="4"/>
        <v>0</v>
      </c>
      <c r="Z53" s="426">
        <f t="shared" si="4"/>
        <v>0</v>
      </c>
      <c r="AA53" s="426">
        <f t="shared" si="4"/>
        <v>0</v>
      </c>
      <c r="AB53" s="426">
        <f t="shared" si="4"/>
        <v>0</v>
      </c>
      <c r="AC53" s="426">
        <f t="shared" si="4"/>
        <v>0</v>
      </c>
      <c r="AD53" s="426">
        <f t="shared" si="4"/>
        <v>1E-3</v>
      </c>
      <c r="AE53" s="426">
        <f t="shared" si="4"/>
        <v>2.0134433337153691E-2</v>
      </c>
      <c r="AF53" s="426">
        <f t="shared" si="4"/>
        <v>0</v>
      </c>
      <c r="AG53" s="426">
        <f t="shared" si="4"/>
        <v>0</v>
      </c>
      <c r="AH53" s="426">
        <f t="shared" si="4"/>
        <v>0</v>
      </c>
      <c r="AI53" s="426">
        <f t="shared" si="4"/>
        <v>0</v>
      </c>
      <c r="AJ53" s="426">
        <f t="shared" si="4"/>
        <v>0</v>
      </c>
      <c r="AK53" s="426">
        <f t="shared" si="4"/>
        <v>0</v>
      </c>
      <c r="AL53" s="426">
        <f t="shared" si="4"/>
        <v>2.4176673865044865E-3</v>
      </c>
    </row>
    <row r="54" spans="1:38">
      <c r="D54" t="str">
        <f>Commodities!$C$104</f>
        <v>UREFBOI</v>
      </c>
    </row>
    <row r="55" spans="1:38">
      <c r="A55" s="4" t="str">
        <f>AO12</f>
        <v>U-TRF-OILREFBOI_BIO00</v>
      </c>
      <c r="B55" s="4" t="str">
        <f>AP12</f>
        <v>UPS Transformation: Oil refinery boilers Biomass - Existing</v>
      </c>
      <c r="C55" s="4"/>
      <c r="D55" s="4"/>
      <c r="E55" s="4"/>
      <c r="F55" s="4"/>
      <c r="G55" s="4" t="s">
        <v>695</v>
      </c>
      <c r="H55" s="4"/>
      <c r="I55" s="4"/>
      <c r="J55" s="4" t="s">
        <v>2665</v>
      </c>
      <c r="K55" s="333">
        <v>1</v>
      </c>
      <c r="L55" s="333">
        <v>1</v>
      </c>
      <c r="M55" s="333">
        <v>1</v>
      </c>
      <c r="N55" s="333">
        <v>1</v>
      </c>
      <c r="O55" s="333">
        <v>1</v>
      </c>
      <c r="P55" s="333">
        <v>1</v>
      </c>
      <c r="Q55" s="333">
        <v>1</v>
      </c>
      <c r="R55" s="333">
        <v>1</v>
      </c>
      <c r="S55" s="333">
        <v>1</v>
      </c>
      <c r="T55" s="333">
        <v>1</v>
      </c>
      <c r="U55" s="333">
        <v>1</v>
      </c>
      <c r="V55" s="333">
        <v>1</v>
      </c>
      <c r="W55" s="333">
        <v>1</v>
      </c>
      <c r="X55" s="333">
        <v>1</v>
      </c>
      <c r="Y55" s="333">
        <v>1</v>
      </c>
      <c r="Z55" s="333">
        <v>1</v>
      </c>
      <c r="AA55" s="333">
        <v>1</v>
      </c>
      <c r="AB55" s="333">
        <v>1</v>
      </c>
      <c r="AC55" s="333">
        <v>1</v>
      </c>
      <c r="AD55" s="333">
        <v>1</v>
      </c>
      <c r="AE55" s="333">
        <v>1</v>
      </c>
      <c r="AF55" s="333">
        <v>1</v>
      </c>
      <c r="AG55" s="333">
        <v>1</v>
      </c>
      <c r="AH55" s="333">
        <v>1</v>
      </c>
      <c r="AI55" s="333">
        <v>1</v>
      </c>
      <c r="AJ55" s="333">
        <v>1</v>
      </c>
      <c r="AK55" s="333">
        <v>1</v>
      </c>
      <c r="AL55" s="333">
        <v>1</v>
      </c>
    </row>
    <row r="56" spans="1:38">
      <c r="A56" s="4"/>
      <c r="B56" s="4"/>
      <c r="C56" s="4"/>
      <c r="D56" s="4"/>
      <c r="E56" s="4"/>
      <c r="F56" s="4"/>
      <c r="G56" s="4" t="s">
        <v>697</v>
      </c>
      <c r="H56" s="4"/>
      <c r="I56" s="4"/>
      <c r="J56" s="4" t="s">
        <v>698</v>
      </c>
      <c r="K56" s="424">
        <f>'Key inputs_Refineries'!$F$174</f>
        <v>15</v>
      </c>
      <c r="L56" s="424">
        <f>'Key inputs_Refineries'!$F$174</f>
        <v>15</v>
      </c>
      <c r="M56" s="424">
        <f>'Key inputs_Refineries'!$F$174</f>
        <v>15</v>
      </c>
      <c r="N56" s="424">
        <f>'Key inputs_Refineries'!$F$174</f>
        <v>15</v>
      </c>
      <c r="O56" s="424">
        <f>'Key inputs_Refineries'!$F$174</f>
        <v>15</v>
      </c>
      <c r="P56" s="424">
        <f>'Key inputs_Refineries'!$F$174</f>
        <v>15</v>
      </c>
      <c r="Q56" s="424">
        <f>'Key inputs_Refineries'!$F$174</f>
        <v>15</v>
      </c>
      <c r="R56" s="424">
        <f>'Key inputs_Refineries'!$F$174</f>
        <v>15</v>
      </c>
      <c r="S56" s="424">
        <f>'Key inputs_Refineries'!$F$174</f>
        <v>15</v>
      </c>
      <c r="T56" s="424">
        <f>'Key inputs_Refineries'!$F$174</f>
        <v>15</v>
      </c>
      <c r="U56" s="424">
        <f>'Key inputs_Refineries'!$F$174</f>
        <v>15</v>
      </c>
      <c r="V56" s="424">
        <f>'Key inputs_Refineries'!$F$174</f>
        <v>15</v>
      </c>
      <c r="W56" s="424">
        <f>'Key inputs_Refineries'!$F$174</f>
        <v>15</v>
      </c>
      <c r="X56" s="424">
        <f>'Key inputs_Refineries'!$F$174</f>
        <v>15</v>
      </c>
      <c r="Y56" s="424">
        <f>'Key inputs_Refineries'!$F$174</f>
        <v>15</v>
      </c>
      <c r="Z56" s="424">
        <f>'Key inputs_Refineries'!$F$174</f>
        <v>15</v>
      </c>
      <c r="AA56" s="424">
        <f>'Key inputs_Refineries'!$F$174</f>
        <v>15</v>
      </c>
      <c r="AB56" s="424">
        <f>'Key inputs_Refineries'!$F$174</f>
        <v>15</v>
      </c>
      <c r="AC56" s="424">
        <f>'Key inputs_Refineries'!$F$174</f>
        <v>15</v>
      </c>
      <c r="AD56" s="424">
        <f>'Key inputs_Refineries'!$F$174</f>
        <v>15</v>
      </c>
      <c r="AE56" s="424">
        <f>'Key inputs_Refineries'!$F$174</f>
        <v>15</v>
      </c>
      <c r="AF56" s="424">
        <f>'Key inputs_Refineries'!$F$174</f>
        <v>15</v>
      </c>
      <c r="AG56" s="424">
        <f>'Key inputs_Refineries'!$F$174</f>
        <v>15</v>
      </c>
      <c r="AH56" s="424">
        <f>'Key inputs_Refineries'!$F$174</f>
        <v>15</v>
      </c>
      <c r="AI56" s="424">
        <f>'Key inputs_Refineries'!$F$174</f>
        <v>15</v>
      </c>
      <c r="AJ56" s="424">
        <f>'Key inputs_Refineries'!$F$174</f>
        <v>15</v>
      </c>
      <c r="AK56" s="424">
        <f>'Key inputs_Refineries'!$F$174</f>
        <v>15</v>
      </c>
      <c r="AL56" s="424">
        <f>'Key inputs_Refineries'!$F$174</f>
        <v>15</v>
      </c>
    </row>
    <row r="57" spans="1:38">
      <c r="A57" s="4"/>
      <c r="B57" s="4"/>
      <c r="C57" s="4"/>
      <c r="D57" s="4"/>
      <c r="E57" s="4"/>
      <c r="F57" s="4"/>
      <c r="G57" s="4" t="s">
        <v>699</v>
      </c>
      <c r="H57" s="4"/>
      <c r="I57" s="4">
        <v>2019</v>
      </c>
      <c r="J57" s="4" t="s">
        <v>112</v>
      </c>
      <c r="K57" s="347" cm="1">
        <f t="array" ref="K57">-SUM(SUMIFS('Key inputs_Refineries'!E$85:E$164,'Key inputs_Refineries'!$C$85:$C$164,$C65:$C66,'Key inputs_Refineries'!$B$85:$B$164,"Boiler"))*K64/10^3</f>
        <v>0</v>
      </c>
      <c r="L57" s="347" cm="1">
        <f t="array" ref="L57">-SUM(SUMIFS('Key inputs_Refineries'!F$85:F$164,'Key inputs_Refineries'!$C$85:$C$164,$C65:$C66,'Key inputs_Refineries'!$B$85:$B$164,"Boiler"))*L64/10^3</f>
        <v>0</v>
      </c>
      <c r="M57" s="347" cm="1">
        <f t="array" ref="M57">-SUM(SUMIFS('Key inputs_Refineries'!G$85:G$164,'Key inputs_Refineries'!$C$85:$C$164,$C65:$C66,'Key inputs_Refineries'!$B$85:$B$164,"Boiler"))*M64/10^3</f>
        <v>0</v>
      </c>
      <c r="N57" s="347" cm="1">
        <f t="array" ref="N57">-SUM(SUMIFS('Key inputs_Refineries'!H$85:H$164,'Key inputs_Refineries'!$C$85:$C$164,$C65:$C66,'Key inputs_Refineries'!$B$85:$B$164,"Boiler"))*N64/10^3</f>
        <v>0</v>
      </c>
      <c r="O57" s="347" cm="1">
        <f t="array" ref="O57">-SUM(SUMIFS('Key inputs_Refineries'!I$85:I$164,'Key inputs_Refineries'!$C$85:$C$164,$C65:$C66,'Key inputs_Refineries'!$B$85:$B$164,"Boiler"))*O64/10^3</f>
        <v>0</v>
      </c>
      <c r="P57" s="347" cm="1">
        <f t="array" ref="P57">-SUM(SUMIFS('Key inputs_Refineries'!J$85:J$164,'Key inputs_Refineries'!$C$85:$C$164,$C65:$C66,'Key inputs_Refineries'!$B$85:$B$164,"Boiler"))*P64/10^3</f>
        <v>0</v>
      </c>
      <c r="Q57" s="347" cm="1">
        <f t="array" ref="Q57">-SUM(SUMIFS('Key inputs_Refineries'!K$85:K$164,'Key inputs_Refineries'!$C$85:$C$164,$C65:$C66,'Key inputs_Refineries'!$B$85:$B$164,"Boiler"))*Q64/10^3</f>
        <v>0</v>
      </c>
      <c r="R57" s="347" cm="1">
        <f t="array" ref="R57">-SUM(SUMIFS('Key inputs_Refineries'!L$85:L$164,'Key inputs_Refineries'!$C$85:$C$164,$C65:$C66,'Key inputs_Refineries'!$B$85:$B$164,"Boiler"))*R64/10^3</f>
        <v>0</v>
      </c>
      <c r="S57" s="347" cm="1">
        <f t="array" ref="S57">-SUM(SUMIFS('Key inputs_Refineries'!M$85:M$164,'Key inputs_Refineries'!$C$85:$C$164,$C65:$C66,'Key inputs_Refineries'!$B$85:$B$164,"Boiler"))*S64/10^3</f>
        <v>0</v>
      </c>
      <c r="T57" s="347" cm="1">
        <f t="array" ref="T57">-SUM(SUMIFS('Key inputs_Refineries'!N$85:N$164,'Key inputs_Refineries'!$C$85:$C$164,$C65:$C66,'Key inputs_Refineries'!$B$85:$B$164,"Boiler"))*T64/10^3</f>
        <v>0</v>
      </c>
      <c r="U57" s="347" cm="1">
        <f t="array" ref="U57">-SUM(SUMIFS('Key inputs_Refineries'!O$85:O$164,'Key inputs_Refineries'!$C$85:$C$164,$C65:$C66,'Key inputs_Refineries'!$B$85:$B$164,"Boiler"))*U64/10^3</f>
        <v>0</v>
      </c>
      <c r="V57" s="347" cm="1">
        <f t="array" ref="V57">-SUM(SUMIFS('Key inputs_Refineries'!P$85:P$164,'Key inputs_Refineries'!$C$85:$C$164,$C65:$C66,'Key inputs_Refineries'!$B$85:$B$164,"Boiler"))*V64/10^3</f>
        <v>0</v>
      </c>
      <c r="W57" s="347" cm="1">
        <f t="array" ref="W57">-SUM(SUMIFS('Key inputs_Refineries'!Q$85:Q$164,'Key inputs_Refineries'!$C$85:$C$164,$C65:$C66,'Key inputs_Refineries'!$B$85:$B$164,"Boiler"))*W64/10^3</f>
        <v>0</v>
      </c>
      <c r="X57" s="347" cm="1">
        <f t="array" ref="X57">-SUM(SUMIFS('Key inputs_Refineries'!R$85:R$164,'Key inputs_Refineries'!$C$85:$C$164,$C65:$C66,'Key inputs_Refineries'!$B$85:$B$164,"Boiler"))*X64/10^3</f>
        <v>0</v>
      </c>
      <c r="Y57" s="347" cm="1">
        <f t="array" ref="Y57">-SUM(SUMIFS('Key inputs_Refineries'!S$85:S$164,'Key inputs_Refineries'!$C$85:$C$164,$C65:$C66,'Key inputs_Refineries'!$B$85:$B$164,"Boiler"))*Y64/10^3</f>
        <v>1.8334585206745857E-4</v>
      </c>
      <c r="Z57" s="347" cm="1">
        <f t="array" ref="Z57">-SUM(SUMIFS('Key inputs_Refineries'!T$85:T$164,'Key inputs_Refineries'!$C$85:$C$164,$C65:$C66,'Key inputs_Refineries'!$B$85:$B$164,"Boiler"))*Z64/10^3</f>
        <v>0</v>
      </c>
      <c r="AA57" s="347" cm="1">
        <f t="array" ref="AA57">-SUM(SUMIFS('Key inputs_Refineries'!U$85:U$164,'Key inputs_Refineries'!$C$85:$C$164,$C65:$C66,'Key inputs_Refineries'!$B$85:$B$164,"Boiler"))*AA64/10^3</f>
        <v>5.4645086871670592E-2</v>
      </c>
      <c r="AB57" s="347" cm="1">
        <f t="array" ref="AB57">-SUM(SUMIFS('Key inputs_Refineries'!V$85:V$164,'Key inputs_Refineries'!$C$85:$C$164,$C65:$C66,'Key inputs_Refineries'!$B$85:$B$164,"Boiler"))*AB64/10^3</f>
        <v>0</v>
      </c>
      <c r="AC57" s="347" cm="1">
        <f t="array" ref="AC57">-SUM(SUMIFS('Key inputs_Refineries'!W$85:W$164,'Key inputs_Refineries'!$C$85:$C$164,$C65:$C66,'Key inputs_Refineries'!$B$85:$B$164,"Boiler"))*AC64/10^3</f>
        <v>0</v>
      </c>
      <c r="AD57" s="347" cm="1">
        <f t="array" ref="AD57">-SUM(SUMIFS('Key inputs_Refineries'!X$85:X$164,'Key inputs_Refineries'!$C$85:$C$164,$C65:$C66,'Key inputs_Refineries'!$B$85:$B$164,"Boiler"))*AD64/10^3</f>
        <v>0</v>
      </c>
      <c r="AE57" s="347" cm="1">
        <f t="array" ref="AE57">-SUM(SUMIFS('Key inputs_Refineries'!Y$85:Y$164,'Key inputs_Refineries'!$C$85:$C$164,$C65:$C66,'Key inputs_Refineries'!$B$85:$B$164,"Boiler"))*AE64/10^3</f>
        <v>0</v>
      </c>
      <c r="AF57" s="347" cm="1">
        <f t="array" ref="AF57">-SUM(SUMIFS('Key inputs_Refineries'!Z$85:Z$164,'Key inputs_Refineries'!$C$85:$C$164,$C65:$C66,'Key inputs_Refineries'!$B$85:$B$164,"Boiler"))*AF64/10^3</f>
        <v>0</v>
      </c>
      <c r="AG57" s="347" cm="1">
        <f t="array" ref="AG57">-SUM(SUMIFS('Key inputs_Refineries'!AA$85:AA$164,'Key inputs_Refineries'!$C$85:$C$164,$C65:$C66,'Key inputs_Refineries'!$B$85:$B$164,"Boiler"))*AG64/10^3</f>
        <v>0</v>
      </c>
      <c r="AH57" s="347" cm="1">
        <f t="array" ref="AH57">-SUM(SUMIFS('Key inputs_Refineries'!AB$85:AB$164,'Key inputs_Refineries'!$C$85:$C$164,$C65:$C66,'Key inputs_Refineries'!$B$85:$B$164,"Boiler"))*AH64/10^3</f>
        <v>0</v>
      </c>
      <c r="AI57" s="347" cm="1">
        <f t="array" ref="AI57">-SUM(SUMIFS('Key inputs_Refineries'!AC$85:AC$164,'Key inputs_Refineries'!$C$85:$C$164,$C65:$C66,'Key inputs_Refineries'!$B$85:$B$164,"Boiler"))*AI64/10^3</f>
        <v>0</v>
      </c>
      <c r="AJ57" s="347" cm="1">
        <f t="array" ref="AJ57">-SUM(SUMIFS('Key inputs_Refineries'!AD$85:AD$164,'Key inputs_Refineries'!$C$85:$C$164,$C65:$C66,'Key inputs_Refineries'!$B$85:$B$164,"Boiler"))*AJ64/10^3</f>
        <v>1.0911359999999999</v>
      </c>
      <c r="AK57" s="347" cm="1">
        <f t="array" ref="AK57">-SUM(SUMIFS('Key inputs_Refineries'!AE$85:AE$164,'Key inputs_Refineries'!$C$85:$C$164,$C65:$C66,'Key inputs_Refineries'!$B$85:$B$164,"Boiler"))*AK64/10^3</f>
        <v>0</v>
      </c>
      <c r="AL57" s="347" cm="1">
        <f t="array" ref="AL57">-SUM(SUMIFS('Key inputs_Refineries'!AF$85:AF$164,'Key inputs_Refineries'!$C$85:$C$164,$C65:$C66,'Key inputs_Refineries'!$B$85:$B$164,"Boiler"))*AL64/10^3</f>
        <v>0</v>
      </c>
    </row>
    <row r="58" spans="1:38">
      <c r="G58" s="4" t="s">
        <v>701</v>
      </c>
      <c r="H58" s="4" t="s">
        <v>661</v>
      </c>
      <c r="I58" s="4">
        <v>2019</v>
      </c>
      <c r="J58" s="4" t="s">
        <v>112</v>
      </c>
      <c r="K58" s="333">
        <v>0</v>
      </c>
      <c r="L58" s="333">
        <v>0</v>
      </c>
      <c r="M58" s="333">
        <v>0</v>
      </c>
      <c r="N58" s="333">
        <v>0</v>
      </c>
      <c r="O58" s="333">
        <v>0</v>
      </c>
      <c r="P58" s="333">
        <v>0</v>
      </c>
      <c r="Q58" s="333">
        <v>0</v>
      </c>
      <c r="R58" s="333">
        <v>0</v>
      </c>
      <c r="S58" s="333">
        <v>0</v>
      </c>
      <c r="T58" s="333">
        <v>0</v>
      </c>
      <c r="U58" s="333">
        <v>0</v>
      </c>
      <c r="V58" s="333">
        <v>0</v>
      </c>
      <c r="W58" s="333">
        <v>0</v>
      </c>
      <c r="X58" s="333">
        <v>0</v>
      </c>
      <c r="Y58" s="333">
        <v>0</v>
      </c>
      <c r="Z58" s="333">
        <v>0</v>
      </c>
      <c r="AA58" s="333">
        <v>0</v>
      </c>
      <c r="AB58" s="333">
        <v>0</v>
      </c>
      <c r="AC58" s="333">
        <v>0</v>
      </c>
      <c r="AD58" s="333">
        <v>0</v>
      </c>
      <c r="AE58" s="333">
        <v>0</v>
      </c>
      <c r="AF58" s="333">
        <v>0</v>
      </c>
      <c r="AG58" s="333">
        <v>0</v>
      </c>
      <c r="AH58" s="333">
        <v>0</v>
      </c>
      <c r="AI58" s="333">
        <v>0</v>
      </c>
      <c r="AJ58" s="333">
        <v>0</v>
      </c>
      <c r="AK58" s="333">
        <v>0</v>
      </c>
      <c r="AL58" s="333">
        <v>0</v>
      </c>
    </row>
    <row r="59" spans="1:38">
      <c r="G59" s="4" t="s">
        <v>701</v>
      </c>
      <c r="H59" s="4" t="s">
        <v>661</v>
      </c>
      <c r="I59" s="4">
        <v>2060</v>
      </c>
      <c r="J59" s="4" t="s">
        <v>112</v>
      </c>
      <c r="K59" s="333">
        <v>0</v>
      </c>
      <c r="L59" s="333">
        <v>0</v>
      </c>
      <c r="M59" s="333">
        <v>0</v>
      </c>
      <c r="N59" s="333">
        <v>0</v>
      </c>
      <c r="O59" s="333">
        <v>0</v>
      </c>
      <c r="P59" s="333">
        <v>0</v>
      </c>
      <c r="Q59" s="333">
        <v>0</v>
      </c>
      <c r="R59" s="333">
        <v>0</v>
      </c>
      <c r="S59" s="333">
        <v>0</v>
      </c>
      <c r="T59" s="333">
        <v>0</v>
      </c>
      <c r="U59" s="333">
        <v>0</v>
      </c>
      <c r="V59" s="333">
        <v>0</v>
      </c>
      <c r="W59" s="333">
        <v>0</v>
      </c>
      <c r="X59" s="333">
        <v>0</v>
      </c>
      <c r="Y59" s="333">
        <v>0</v>
      </c>
      <c r="Z59" s="333">
        <v>0</v>
      </c>
      <c r="AA59" s="333">
        <v>0</v>
      </c>
      <c r="AB59" s="333">
        <v>0</v>
      </c>
      <c r="AC59" s="333">
        <v>0</v>
      </c>
      <c r="AD59" s="333">
        <v>0</v>
      </c>
      <c r="AE59" s="333">
        <v>0</v>
      </c>
      <c r="AF59" s="333">
        <v>0</v>
      </c>
      <c r="AG59" s="333">
        <v>0</v>
      </c>
      <c r="AH59" s="333">
        <v>0</v>
      </c>
      <c r="AI59" s="333">
        <v>0</v>
      </c>
      <c r="AJ59" s="333">
        <v>0</v>
      </c>
      <c r="AK59" s="333">
        <v>0</v>
      </c>
      <c r="AL59" s="333">
        <v>0</v>
      </c>
    </row>
    <row r="60" spans="1:38">
      <c r="G60" s="4" t="s">
        <v>701</v>
      </c>
      <c r="H60" s="4" t="s">
        <v>661</v>
      </c>
      <c r="I60" s="4">
        <v>0</v>
      </c>
      <c r="J60" s="4"/>
      <c r="K60" s="333">
        <v>5</v>
      </c>
      <c r="L60" s="333">
        <v>5</v>
      </c>
      <c r="M60" s="333">
        <v>5</v>
      </c>
      <c r="N60" s="333">
        <v>5</v>
      </c>
      <c r="O60" s="333">
        <v>5</v>
      </c>
      <c r="P60" s="333">
        <v>5</v>
      </c>
      <c r="Q60" s="333">
        <v>5</v>
      </c>
      <c r="R60" s="333">
        <v>5</v>
      </c>
      <c r="S60" s="333">
        <v>5</v>
      </c>
      <c r="T60" s="333">
        <v>5</v>
      </c>
      <c r="U60" s="333">
        <v>5</v>
      </c>
      <c r="V60" s="333">
        <v>5</v>
      </c>
      <c r="W60" s="333">
        <v>5</v>
      </c>
      <c r="X60" s="333">
        <v>5</v>
      </c>
      <c r="Y60" s="333">
        <v>5</v>
      </c>
      <c r="Z60" s="333">
        <v>5</v>
      </c>
      <c r="AA60" s="333">
        <v>5</v>
      </c>
      <c r="AB60" s="333">
        <v>5</v>
      </c>
      <c r="AC60" s="333">
        <v>5</v>
      </c>
      <c r="AD60" s="333">
        <v>5</v>
      </c>
      <c r="AE60" s="333">
        <v>5</v>
      </c>
      <c r="AF60" s="333">
        <v>5</v>
      </c>
      <c r="AG60" s="333">
        <v>5</v>
      </c>
      <c r="AH60" s="333">
        <v>5</v>
      </c>
      <c r="AI60" s="333">
        <v>5</v>
      </c>
      <c r="AJ60" s="333">
        <v>5</v>
      </c>
      <c r="AK60" s="333">
        <v>5</v>
      </c>
      <c r="AL60" s="333">
        <v>5</v>
      </c>
    </row>
    <row r="61" spans="1:38">
      <c r="G61" s="4" t="s">
        <v>687</v>
      </c>
      <c r="H61" s="4"/>
      <c r="I61" s="4"/>
      <c r="J61" s="4" t="s">
        <v>2663</v>
      </c>
      <c r="K61" s="174">
        <f>'Key inputs_Refineries'!$C$174*10^3</f>
        <v>2302.1279999999997</v>
      </c>
      <c r="L61" s="174">
        <f>'Key inputs_Refineries'!$C$174*10^3</f>
        <v>2302.1279999999997</v>
      </c>
      <c r="M61" s="174">
        <f>'Key inputs_Refineries'!$C$174*10^3</f>
        <v>2302.1279999999997</v>
      </c>
      <c r="N61" s="174">
        <f>'Key inputs_Refineries'!$C$174*10^3</f>
        <v>2302.1279999999997</v>
      </c>
      <c r="O61" s="174">
        <f>'Key inputs_Refineries'!$C$174*10^3</f>
        <v>2302.1279999999997</v>
      </c>
      <c r="P61" s="174">
        <f>'Key inputs_Refineries'!$C$174*10^3</f>
        <v>2302.1279999999997</v>
      </c>
      <c r="Q61" s="174">
        <f>'Key inputs_Refineries'!$C$174*10^3</f>
        <v>2302.1279999999997</v>
      </c>
      <c r="R61" s="174">
        <f>'Key inputs_Refineries'!$C$174*10^3</f>
        <v>2302.1279999999997</v>
      </c>
      <c r="S61" s="174">
        <f>'Key inputs_Refineries'!$C$174*10^3</f>
        <v>2302.1279999999997</v>
      </c>
      <c r="T61" s="174">
        <f>'Key inputs_Refineries'!$C$174*10^3</f>
        <v>2302.1279999999997</v>
      </c>
      <c r="U61" s="174">
        <f>'Key inputs_Refineries'!$C$174*10^3</f>
        <v>2302.1279999999997</v>
      </c>
      <c r="V61" s="174">
        <f>'Key inputs_Refineries'!$C$174*10^3</f>
        <v>2302.1279999999997</v>
      </c>
      <c r="W61" s="174">
        <f>'Key inputs_Refineries'!$C$174*10^3</f>
        <v>2302.1279999999997</v>
      </c>
      <c r="X61" s="174">
        <f>'Key inputs_Refineries'!$C$174*10^3</f>
        <v>2302.1279999999997</v>
      </c>
      <c r="Y61" s="174">
        <f>'Key inputs_Refineries'!$C$174*10^3</f>
        <v>2302.1279999999997</v>
      </c>
      <c r="Z61" s="174">
        <f>'Key inputs_Refineries'!$C$174*10^3</f>
        <v>2302.1279999999997</v>
      </c>
      <c r="AA61" s="174">
        <f>'Key inputs_Refineries'!$C$174*10^3</f>
        <v>2302.1279999999997</v>
      </c>
      <c r="AB61" s="174">
        <f>'Key inputs_Refineries'!$C$174*10^3</f>
        <v>2302.1279999999997</v>
      </c>
      <c r="AC61" s="174">
        <f>'Key inputs_Refineries'!$C$174*10^3</f>
        <v>2302.1279999999997</v>
      </c>
      <c r="AD61" s="174">
        <f>'Key inputs_Refineries'!$C$174*10^3</f>
        <v>2302.1279999999997</v>
      </c>
      <c r="AE61" s="174">
        <f>'Key inputs_Refineries'!$C$174*10^3</f>
        <v>2302.1279999999997</v>
      </c>
      <c r="AF61" s="174">
        <f>'Key inputs_Refineries'!$C$174*10^3</f>
        <v>2302.1279999999997</v>
      </c>
      <c r="AG61" s="174">
        <f>'Key inputs_Refineries'!$C$174*10^3</f>
        <v>2302.1279999999997</v>
      </c>
      <c r="AH61" s="174">
        <f>'Key inputs_Refineries'!$C$174*10^3</f>
        <v>2302.1279999999997</v>
      </c>
      <c r="AI61" s="174">
        <f>'Key inputs_Refineries'!$C$174*10^3</f>
        <v>2302.1279999999997</v>
      </c>
      <c r="AJ61" s="174">
        <f>'Key inputs_Refineries'!$C$174*10^3</f>
        <v>2302.1279999999997</v>
      </c>
      <c r="AK61" s="174">
        <f>'Key inputs_Refineries'!$C$174*10^3</f>
        <v>2302.1279999999997</v>
      </c>
      <c r="AL61" s="174">
        <f>'Key inputs_Refineries'!$C$174*10^3</f>
        <v>2302.1279999999997</v>
      </c>
    </row>
    <row r="62" spans="1:38">
      <c r="G62" s="4" t="s">
        <v>689</v>
      </c>
      <c r="H62" s="4"/>
      <c r="I62" s="4"/>
      <c r="J62" s="4" t="s">
        <v>2663</v>
      </c>
      <c r="K62" s="174">
        <f>'Key inputs_Refineries'!$D$174*10^3</f>
        <v>18.921600000000002</v>
      </c>
      <c r="L62" s="174">
        <f>'Key inputs_Refineries'!$D$174*10^3</f>
        <v>18.921600000000002</v>
      </c>
      <c r="M62" s="174">
        <f>'Key inputs_Refineries'!$D$174*10^3</f>
        <v>18.921600000000002</v>
      </c>
      <c r="N62" s="174">
        <f>'Key inputs_Refineries'!$D$174*10^3</f>
        <v>18.921600000000002</v>
      </c>
      <c r="O62" s="174">
        <f>'Key inputs_Refineries'!$D$174*10^3</f>
        <v>18.921600000000002</v>
      </c>
      <c r="P62" s="174">
        <f>'Key inputs_Refineries'!$D$174*10^3</f>
        <v>18.921600000000002</v>
      </c>
      <c r="Q62" s="174">
        <f>'Key inputs_Refineries'!$D$174*10^3</f>
        <v>18.921600000000002</v>
      </c>
      <c r="R62" s="174">
        <f>'Key inputs_Refineries'!$D$174*10^3</f>
        <v>18.921600000000002</v>
      </c>
      <c r="S62" s="174">
        <f>'Key inputs_Refineries'!$D$174*10^3</f>
        <v>18.921600000000002</v>
      </c>
      <c r="T62" s="174">
        <f>'Key inputs_Refineries'!$D$174*10^3</f>
        <v>18.921600000000002</v>
      </c>
      <c r="U62" s="174">
        <f>'Key inputs_Refineries'!$D$174*10^3</f>
        <v>18.921600000000002</v>
      </c>
      <c r="V62" s="174">
        <f>'Key inputs_Refineries'!$D$174*10^3</f>
        <v>18.921600000000002</v>
      </c>
      <c r="W62" s="174">
        <f>'Key inputs_Refineries'!$D$174*10^3</f>
        <v>18.921600000000002</v>
      </c>
      <c r="X62" s="174">
        <f>'Key inputs_Refineries'!$D$174*10^3</f>
        <v>18.921600000000002</v>
      </c>
      <c r="Y62" s="174">
        <f>'Key inputs_Refineries'!$D$174*10^3</f>
        <v>18.921600000000002</v>
      </c>
      <c r="Z62" s="174">
        <f>'Key inputs_Refineries'!$D$174*10^3</f>
        <v>18.921600000000002</v>
      </c>
      <c r="AA62" s="174">
        <f>'Key inputs_Refineries'!$D$174*10^3</f>
        <v>18.921600000000002</v>
      </c>
      <c r="AB62" s="174">
        <f>'Key inputs_Refineries'!$D$174*10^3</f>
        <v>18.921600000000002</v>
      </c>
      <c r="AC62" s="174">
        <f>'Key inputs_Refineries'!$D$174*10^3</f>
        <v>18.921600000000002</v>
      </c>
      <c r="AD62" s="174">
        <f>'Key inputs_Refineries'!$D$174*10^3</f>
        <v>18.921600000000002</v>
      </c>
      <c r="AE62" s="174">
        <f>'Key inputs_Refineries'!$D$174*10^3</f>
        <v>18.921600000000002</v>
      </c>
      <c r="AF62" s="174">
        <f>'Key inputs_Refineries'!$D$174*10^3</f>
        <v>18.921600000000002</v>
      </c>
      <c r="AG62" s="174">
        <f>'Key inputs_Refineries'!$D$174*10^3</f>
        <v>18.921600000000002</v>
      </c>
      <c r="AH62" s="174">
        <f>'Key inputs_Refineries'!$D$174*10^3</f>
        <v>18.921600000000002</v>
      </c>
      <c r="AI62" s="174">
        <f>'Key inputs_Refineries'!$D$174*10^3</f>
        <v>18.921600000000002</v>
      </c>
      <c r="AJ62" s="174">
        <f>'Key inputs_Refineries'!$D$174*10^3</f>
        <v>18.921600000000002</v>
      </c>
      <c r="AK62" s="174">
        <f>'Key inputs_Refineries'!$D$174*10^3</f>
        <v>18.921600000000002</v>
      </c>
      <c r="AL62" s="174">
        <f>'Key inputs_Refineries'!$D$174*10^3</f>
        <v>18.921600000000002</v>
      </c>
    </row>
    <row r="63" spans="1:38">
      <c r="G63" s="4" t="s">
        <v>675</v>
      </c>
      <c r="H63" s="4"/>
      <c r="I63" s="4"/>
      <c r="J63" s="4" t="s">
        <v>2662</v>
      </c>
    </row>
    <row r="64" spans="1:38">
      <c r="G64" s="4" t="s">
        <v>630</v>
      </c>
      <c r="H64" s="4"/>
      <c r="I64" s="4"/>
      <c r="J64" s="4" t="s">
        <v>2666</v>
      </c>
      <c r="K64" s="419">
        <f>'Key inputs_Refineries'!$H$174</f>
        <v>0.6</v>
      </c>
      <c r="L64" s="419">
        <f>'Key inputs_Refineries'!$H$174</f>
        <v>0.6</v>
      </c>
      <c r="M64" s="419">
        <f>'Key inputs_Refineries'!$H$174</f>
        <v>0.6</v>
      </c>
      <c r="N64" s="419">
        <f>'Key inputs_Refineries'!$H$174</f>
        <v>0.6</v>
      </c>
      <c r="O64" s="419">
        <f>'Key inputs_Refineries'!$H$174</f>
        <v>0.6</v>
      </c>
      <c r="P64" s="419">
        <f>'Key inputs_Refineries'!$H$174</f>
        <v>0.6</v>
      </c>
      <c r="Q64" s="419">
        <f>'Key inputs_Refineries'!$H$174</f>
        <v>0.6</v>
      </c>
      <c r="R64" s="419">
        <f>'Key inputs_Refineries'!$H$174</f>
        <v>0.6</v>
      </c>
      <c r="S64" s="419">
        <f>'Key inputs_Refineries'!$H$174</f>
        <v>0.6</v>
      </c>
      <c r="T64" s="419">
        <f>'Key inputs_Refineries'!$H$174</f>
        <v>0.6</v>
      </c>
      <c r="U64" s="419">
        <f>'Key inputs_Refineries'!$H$174</f>
        <v>0.6</v>
      </c>
      <c r="V64" s="419">
        <f>'Key inputs_Refineries'!$H$174</f>
        <v>0.6</v>
      </c>
      <c r="W64" s="419">
        <f>'Key inputs_Refineries'!$H$174</f>
        <v>0.6</v>
      </c>
      <c r="X64" s="419">
        <f>'Key inputs_Refineries'!$H$174</f>
        <v>0.6</v>
      </c>
      <c r="Y64" s="419">
        <f>'Key inputs_Refineries'!$H$174</f>
        <v>0.6</v>
      </c>
      <c r="Z64" s="419">
        <f>'Key inputs_Refineries'!$H$174</f>
        <v>0.6</v>
      </c>
      <c r="AA64" s="419">
        <f>'Key inputs_Refineries'!$H$174</f>
        <v>0.6</v>
      </c>
      <c r="AB64" s="419">
        <f>'Key inputs_Refineries'!$H$174</f>
        <v>0.6</v>
      </c>
      <c r="AC64" s="419">
        <f>'Key inputs_Refineries'!$H$174</f>
        <v>0.6</v>
      </c>
      <c r="AD64" s="419">
        <f>'Key inputs_Refineries'!$H$174</f>
        <v>0.6</v>
      </c>
      <c r="AE64" s="419">
        <f>'Key inputs_Refineries'!$H$174</f>
        <v>0.6</v>
      </c>
      <c r="AF64" s="419">
        <f>'Key inputs_Refineries'!$H$174</f>
        <v>0.6</v>
      </c>
      <c r="AG64" s="419">
        <f>'Key inputs_Refineries'!$H$174</f>
        <v>0.6</v>
      </c>
      <c r="AH64" s="419">
        <f>'Key inputs_Refineries'!$H$174</f>
        <v>0.6</v>
      </c>
      <c r="AI64" s="419">
        <f>'Key inputs_Refineries'!$H$174</f>
        <v>0.6</v>
      </c>
      <c r="AJ64" s="419">
        <f>'Key inputs_Refineries'!$H$174</f>
        <v>0.6</v>
      </c>
      <c r="AK64" s="419">
        <f>'Key inputs_Refineries'!$H$174</f>
        <v>0.6</v>
      </c>
      <c r="AL64" s="419">
        <f>'Key inputs_Refineries'!$H$174</f>
        <v>0.6</v>
      </c>
    </row>
    <row r="65" spans="1:38">
      <c r="C65" t="str">
        <f>Commodities!$C$85</f>
        <v>UPSBIO</v>
      </c>
      <c r="G65" s="4" t="s">
        <v>702</v>
      </c>
      <c r="H65" t="s">
        <v>661</v>
      </c>
      <c r="I65">
        <v>2019</v>
      </c>
      <c r="J65" s="4" t="s">
        <v>650</v>
      </c>
      <c r="K65" s="173" cm="1">
        <f t="array" ref="K65">IFERROR(SUMIFS('Key inputs_Refineries'!E$85:E$164,'Key inputs_Refineries'!$C$85:$C$164,$C65,'Key inputs_Refineries'!$B$85:$B$164,"Boiler")/SUM(SUMIFS('Key inputs_Refineries'!E$85:E$164,'Key inputs_Refineries'!$C$85:$C$164,$C65:$C66,'Key inputs_Refineries'!$B$85:$B$164,"Boiler")),0)</f>
        <v>0</v>
      </c>
      <c r="L65" s="173" cm="1">
        <f t="array" ref="L65">IFERROR(SUMIFS('Key inputs_Refineries'!F$85:F$164,'Key inputs_Refineries'!$C$85:$C$164,$C65,'Key inputs_Refineries'!$B$85:$B$164,"Boiler")/SUM(SUMIFS('Key inputs_Refineries'!F$85:F$164,'Key inputs_Refineries'!$C$85:$C$164,$C65:$C66,'Key inputs_Refineries'!$B$85:$B$164,"Boiler")),0)</f>
        <v>0</v>
      </c>
      <c r="M65" s="173" cm="1">
        <f t="array" ref="M65">IFERROR(SUMIFS('Key inputs_Refineries'!G$85:G$164,'Key inputs_Refineries'!$C$85:$C$164,$C65,'Key inputs_Refineries'!$B$85:$B$164,"Boiler")/SUM(SUMIFS('Key inputs_Refineries'!G$85:G$164,'Key inputs_Refineries'!$C$85:$C$164,$C65:$C66,'Key inputs_Refineries'!$B$85:$B$164,"Boiler")),0)</f>
        <v>0</v>
      </c>
      <c r="N65" s="173" cm="1">
        <f t="array" ref="N65">IFERROR(SUMIFS('Key inputs_Refineries'!H$85:H$164,'Key inputs_Refineries'!$C$85:$C$164,$C65,'Key inputs_Refineries'!$B$85:$B$164,"Boiler")/SUM(SUMIFS('Key inputs_Refineries'!H$85:H$164,'Key inputs_Refineries'!$C$85:$C$164,$C65:$C66,'Key inputs_Refineries'!$B$85:$B$164,"Boiler")),0)</f>
        <v>0</v>
      </c>
      <c r="O65" s="173" cm="1">
        <f t="array" ref="O65">IFERROR(SUMIFS('Key inputs_Refineries'!I$85:I$164,'Key inputs_Refineries'!$C$85:$C$164,$C65,'Key inputs_Refineries'!$B$85:$B$164,"Boiler")/SUM(SUMIFS('Key inputs_Refineries'!I$85:I$164,'Key inputs_Refineries'!$C$85:$C$164,$C65:$C66,'Key inputs_Refineries'!$B$85:$B$164,"Boiler")),0)</f>
        <v>0</v>
      </c>
      <c r="P65" s="173" cm="1">
        <f t="array" ref="P65">IFERROR(SUMIFS('Key inputs_Refineries'!J$85:J$164,'Key inputs_Refineries'!$C$85:$C$164,$C65,'Key inputs_Refineries'!$B$85:$B$164,"Boiler")/SUM(SUMIFS('Key inputs_Refineries'!J$85:J$164,'Key inputs_Refineries'!$C$85:$C$164,$C65:$C66,'Key inputs_Refineries'!$B$85:$B$164,"Boiler")),0)</f>
        <v>0</v>
      </c>
      <c r="Q65" s="173" cm="1">
        <f t="array" ref="Q65">IFERROR(SUMIFS('Key inputs_Refineries'!K$85:K$164,'Key inputs_Refineries'!$C$85:$C$164,$C65,'Key inputs_Refineries'!$B$85:$B$164,"Boiler")/SUM(SUMIFS('Key inputs_Refineries'!K$85:K$164,'Key inputs_Refineries'!$C$85:$C$164,$C65:$C66,'Key inputs_Refineries'!$B$85:$B$164,"Boiler")),0)</f>
        <v>0</v>
      </c>
      <c r="R65" s="173" cm="1">
        <f t="array" ref="R65">IFERROR(SUMIFS('Key inputs_Refineries'!L$85:L$164,'Key inputs_Refineries'!$C$85:$C$164,$C65,'Key inputs_Refineries'!$B$85:$B$164,"Boiler")/SUM(SUMIFS('Key inputs_Refineries'!L$85:L$164,'Key inputs_Refineries'!$C$85:$C$164,$C65:$C66,'Key inputs_Refineries'!$B$85:$B$164,"Boiler")),0)</f>
        <v>0</v>
      </c>
      <c r="S65" s="173" cm="1">
        <f t="array" ref="S65">IFERROR(SUMIFS('Key inputs_Refineries'!M$85:M$164,'Key inputs_Refineries'!$C$85:$C$164,$C65,'Key inputs_Refineries'!$B$85:$B$164,"Boiler")/SUM(SUMIFS('Key inputs_Refineries'!M$85:M$164,'Key inputs_Refineries'!$C$85:$C$164,$C65:$C66,'Key inputs_Refineries'!$B$85:$B$164,"Boiler")),0)</f>
        <v>0</v>
      </c>
      <c r="T65" s="173" cm="1">
        <f t="array" ref="T65">IFERROR(SUMIFS('Key inputs_Refineries'!N$85:N$164,'Key inputs_Refineries'!$C$85:$C$164,$C65,'Key inputs_Refineries'!$B$85:$B$164,"Boiler")/SUM(SUMIFS('Key inputs_Refineries'!N$85:N$164,'Key inputs_Refineries'!$C$85:$C$164,$C65:$C66,'Key inputs_Refineries'!$B$85:$B$164,"Boiler")),0)</f>
        <v>0</v>
      </c>
      <c r="U65" s="173" cm="1">
        <f t="array" ref="U65">IFERROR(SUMIFS('Key inputs_Refineries'!O$85:O$164,'Key inputs_Refineries'!$C$85:$C$164,$C65,'Key inputs_Refineries'!$B$85:$B$164,"Boiler")/SUM(SUMIFS('Key inputs_Refineries'!O$85:O$164,'Key inputs_Refineries'!$C$85:$C$164,$C65:$C66,'Key inputs_Refineries'!$B$85:$B$164,"Boiler")),0)</f>
        <v>0</v>
      </c>
      <c r="V65" s="173" cm="1">
        <f t="array" ref="V65">IFERROR(SUMIFS('Key inputs_Refineries'!P$85:P$164,'Key inputs_Refineries'!$C$85:$C$164,$C65,'Key inputs_Refineries'!$B$85:$B$164,"Boiler")/SUM(SUMIFS('Key inputs_Refineries'!P$85:P$164,'Key inputs_Refineries'!$C$85:$C$164,$C65:$C66,'Key inputs_Refineries'!$B$85:$B$164,"Boiler")),0)</f>
        <v>0</v>
      </c>
      <c r="W65" s="173" cm="1">
        <f t="array" ref="W65">IFERROR(SUMIFS('Key inputs_Refineries'!Q$85:Q$164,'Key inputs_Refineries'!$C$85:$C$164,$C65,'Key inputs_Refineries'!$B$85:$B$164,"Boiler")/SUM(SUMIFS('Key inputs_Refineries'!Q$85:Q$164,'Key inputs_Refineries'!$C$85:$C$164,$C65:$C66,'Key inputs_Refineries'!$B$85:$B$164,"Boiler")),0)</f>
        <v>0</v>
      </c>
      <c r="X65" s="173" cm="1">
        <f t="array" ref="X65">IFERROR(SUMIFS('Key inputs_Refineries'!R$85:R$164,'Key inputs_Refineries'!$C$85:$C$164,$C65,'Key inputs_Refineries'!$B$85:$B$164,"Boiler")/SUM(SUMIFS('Key inputs_Refineries'!R$85:R$164,'Key inputs_Refineries'!$C$85:$C$164,$C65:$C66,'Key inputs_Refineries'!$B$85:$B$164,"Boiler")),0)</f>
        <v>0</v>
      </c>
      <c r="Y65" s="173" cm="1">
        <f t="array" ref="Y65">IFERROR(SUMIFS('Key inputs_Refineries'!S$85:S$164,'Key inputs_Refineries'!$C$85:$C$164,$C65,'Key inputs_Refineries'!$B$85:$B$164,"Boiler")/SUM(SUMIFS('Key inputs_Refineries'!S$85:S$164,'Key inputs_Refineries'!$C$85:$C$164,$C65:$C66,'Key inputs_Refineries'!$B$85:$B$164,"Boiler")),0)</f>
        <v>1</v>
      </c>
      <c r="Z65" s="173" cm="1">
        <f t="array" ref="Z65">IFERROR(SUMIFS('Key inputs_Refineries'!T$85:T$164,'Key inputs_Refineries'!$C$85:$C$164,$C65,'Key inputs_Refineries'!$B$85:$B$164,"Boiler")/SUM(SUMIFS('Key inputs_Refineries'!T$85:T$164,'Key inputs_Refineries'!$C$85:$C$164,$C65:$C66,'Key inputs_Refineries'!$B$85:$B$164,"Boiler")),0)</f>
        <v>0</v>
      </c>
      <c r="AA65" s="173" cm="1">
        <f t="array" ref="AA65">IFERROR(SUMIFS('Key inputs_Refineries'!U$85:U$164,'Key inputs_Refineries'!$C$85:$C$164,$C65,'Key inputs_Refineries'!$B$85:$B$164,"Boiler")/SUM(SUMIFS('Key inputs_Refineries'!U$85:U$164,'Key inputs_Refineries'!$C$85:$C$164,$C65:$C66,'Key inputs_Refineries'!$B$85:$B$164,"Boiler")),0)</f>
        <v>1</v>
      </c>
      <c r="AB65" s="173" cm="1">
        <f t="array" ref="AB65">IFERROR(SUMIFS('Key inputs_Refineries'!V$85:V$164,'Key inputs_Refineries'!$C$85:$C$164,$C65,'Key inputs_Refineries'!$B$85:$B$164,"Boiler")/SUM(SUMIFS('Key inputs_Refineries'!V$85:V$164,'Key inputs_Refineries'!$C$85:$C$164,$C65:$C66,'Key inputs_Refineries'!$B$85:$B$164,"Boiler")),0)</f>
        <v>0</v>
      </c>
      <c r="AC65" s="173" cm="1">
        <f t="array" ref="AC65">IFERROR(SUMIFS('Key inputs_Refineries'!W$85:W$164,'Key inputs_Refineries'!$C$85:$C$164,$C65,'Key inputs_Refineries'!$B$85:$B$164,"Boiler")/SUM(SUMIFS('Key inputs_Refineries'!W$85:W$164,'Key inputs_Refineries'!$C$85:$C$164,$C65:$C66,'Key inputs_Refineries'!$B$85:$B$164,"Boiler")),0)</f>
        <v>0</v>
      </c>
      <c r="AD65" s="173" cm="1">
        <f t="array" ref="AD65">IFERROR(SUMIFS('Key inputs_Refineries'!X$85:X$164,'Key inputs_Refineries'!$C$85:$C$164,$C65,'Key inputs_Refineries'!$B$85:$B$164,"Boiler")/SUM(SUMIFS('Key inputs_Refineries'!X$85:X$164,'Key inputs_Refineries'!$C$85:$C$164,$C65:$C66,'Key inputs_Refineries'!$B$85:$B$164,"Boiler")),0)</f>
        <v>0</v>
      </c>
      <c r="AE65" s="173" cm="1">
        <f t="array" ref="AE65">IFERROR(SUMIFS('Key inputs_Refineries'!Y$85:Y$164,'Key inputs_Refineries'!$C$85:$C$164,$C65,'Key inputs_Refineries'!$B$85:$B$164,"Boiler")/SUM(SUMIFS('Key inputs_Refineries'!Y$85:Y$164,'Key inputs_Refineries'!$C$85:$C$164,$C65:$C66,'Key inputs_Refineries'!$B$85:$B$164,"Boiler")),0)</f>
        <v>0</v>
      </c>
      <c r="AF65" s="173" cm="1">
        <f t="array" ref="AF65">IFERROR(SUMIFS('Key inputs_Refineries'!Z$85:Z$164,'Key inputs_Refineries'!$C$85:$C$164,$C65,'Key inputs_Refineries'!$B$85:$B$164,"Boiler")/SUM(SUMIFS('Key inputs_Refineries'!Z$85:Z$164,'Key inputs_Refineries'!$C$85:$C$164,$C65:$C66,'Key inputs_Refineries'!$B$85:$B$164,"Boiler")),0)</f>
        <v>0</v>
      </c>
      <c r="AG65" s="173" cm="1">
        <f t="array" ref="AG65">IFERROR(SUMIFS('Key inputs_Refineries'!AA$85:AA$164,'Key inputs_Refineries'!$C$85:$C$164,$C65,'Key inputs_Refineries'!$B$85:$B$164,"Boiler")/SUM(SUMIFS('Key inputs_Refineries'!AA$85:AA$164,'Key inputs_Refineries'!$C$85:$C$164,$C65:$C66,'Key inputs_Refineries'!$B$85:$B$164,"Boiler")),0)</f>
        <v>0</v>
      </c>
      <c r="AH65" s="173" cm="1">
        <f t="array" ref="AH65">IFERROR(SUMIFS('Key inputs_Refineries'!AB$85:AB$164,'Key inputs_Refineries'!$C$85:$C$164,$C65,'Key inputs_Refineries'!$B$85:$B$164,"Boiler")/SUM(SUMIFS('Key inputs_Refineries'!AB$85:AB$164,'Key inputs_Refineries'!$C$85:$C$164,$C65:$C66,'Key inputs_Refineries'!$B$85:$B$164,"Boiler")),0)</f>
        <v>0</v>
      </c>
      <c r="AI65" s="173" cm="1">
        <f t="array" ref="AI65">IFERROR(SUMIFS('Key inputs_Refineries'!AC$85:AC$164,'Key inputs_Refineries'!$C$85:$C$164,$C65,'Key inputs_Refineries'!$B$85:$B$164,"Boiler")/SUM(SUMIFS('Key inputs_Refineries'!AC$85:AC$164,'Key inputs_Refineries'!$C$85:$C$164,$C65:$C66,'Key inputs_Refineries'!$B$85:$B$164,"Boiler")),0)</f>
        <v>0</v>
      </c>
      <c r="AJ65" s="173" cm="1">
        <f t="array" ref="AJ65">IFERROR(SUMIFS('Key inputs_Refineries'!AD$85:AD$164,'Key inputs_Refineries'!$C$85:$C$164,$C65,'Key inputs_Refineries'!$B$85:$B$164,"Boiler")/SUM(SUMIFS('Key inputs_Refineries'!AD$85:AD$164,'Key inputs_Refineries'!$C$85:$C$164,$C65:$C66,'Key inputs_Refineries'!$B$85:$B$164,"Boiler")),0)</f>
        <v>0</v>
      </c>
      <c r="AK65" s="173" cm="1">
        <f t="array" ref="AK65">IFERROR(SUMIFS('Key inputs_Refineries'!AE$85:AE$164,'Key inputs_Refineries'!$C$85:$C$164,$C65,'Key inputs_Refineries'!$B$85:$B$164,"Boiler")/SUM(SUMIFS('Key inputs_Refineries'!AE$85:AE$164,'Key inputs_Refineries'!$C$85:$C$164,$C65:$C66,'Key inputs_Refineries'!$B$85:$B$164,"Boiler")),0)</f>
        <v>0</v>
      </c>
      <c r="AL65" s="173" cm="1">
        <f t="array" ref="AL65">IFERROR(SUMIFS('Key inputs_Refineries'!AF$85:AF$164,'Key inputs_Refineries'!$C$85:$C$164,$C65,'Key inputs_Refineries'!$B$85:$B$164,"Boiler")/SUM(SUMIFS('Key inputs_Refineries'!AF$85:AF$164,'Key inputs_Refineries'!$C$85:$C$164,$C65:$C66,'Key inputs_Refineries'!$B$85:$B$164,"Boiler")),0)</f>
        <v>0</v>
      </c>
    </row>
    <row r="66" spans="1:38">
      <c r="C66" t="str">
        <f>Commodities!$C$101</f>
        <v>UPSWAS</v>
      </c>
      <c r="G66" s="4" t="s">
        <v>702</v>
      </c>
      <c r="H66" t="s">
        <v>661</v>
      </c>
      <c r="I66">
        <v>2019</v>
      </c>
      <c r="J66" s="4" t="s">
        <v>650</v>
      </c>
      <c r="K66" s="173">
        <f>1-K65</f>
        <v>1</v>
      </c>
      <c r="L66" s="173">
        <f t="shared" ref="L66:AL66" si="5">1-L65</f>
        <v>1</v>
      </c>
      <c r="M66" s="173">
        <f t="shared" si="5"/>
        <v>1</v>
      </c>
      <c r="N66" s="173">
        <f t="shared" si="5"/>
        <v>1</v>
      </c>
      <c r="O66" s="173">
        <f t="shared" si="5"/>
        <v>1</v>
      </c>
      <c r="P66" s="173">
        <f t="shared" si="5"/>
        <v>1</v>
      </c>
      <c r="Q66" s="173">
        <f t="shared" si="5"/>
        <v>1</v>
      </c>
      <c r="R66" s="173">
        <f t="shared" si="5"/>
        <v>1</v>
      </c>
      <c r="S66" s="173">
        <f t="shared" si="5"/>
        <v>1</v>
      </c>
      <c r="T66" s="173">
        <f t="shared" si="5"/>
        <v>1</v>
      </c>
      <c r="U66" s="173">
        <f t="shared" si="5"/>
        <v>1</v>
      </c>
      <c r="V66" s="173">
        <f t="shared" si="5"/>
        <v>1</v>
      </c>
      <c r="W66" s="173">
        <f t="shared" si="5"/>
        <v>1</v>
      </c>
      <c r="X66" s="173">
        <f t="shared" si="5"/>
        <v>1</v>
      </c>
      <c r="Y66" s="173">
        <f t="shared" si="5"/>
        <v>0</v>
      </c>
      <c r="Z66" s="173">
        <f t="shared" si="5"/>
        <v>1</v>
      </c>
      <c r="AA66" s="173">
        <f t="shared" si="5"/>
        <v>0</v>
      </c>
      <c r="AB66" s="173">
        <f t="shared" si="5"/>
        <v>1</v>
      </c>
      <c r="AC66" s="173">
        <f t="shared" si="5"/>
        <v>1</v>
      </c>
      <c r="AD66" s="173">
        <f t="shared" si="5"/>
        <v>1</v>
      </c>
      <c r="AE66" s="173">
        <f t="shared" si="5"/>
        <v>1</v>
      </c>
      <c r="AF66" s="173">
        <f t="shared" si="5"/>
        <v>1</v>
      </c>
      <c r="AG66" s="173">
        <f t="shared" si="5"/>
        <v>1</v>
      </c>
      <c r="AH66" s="173">
        <f t="shared" si="5"/>
        <v>1</v>
      </c>
      <c r="AI66" s="173">
        <f t="shared" si="5"/>
        <v>1</v>
      </c>
      <c r="AJ66" s="173">
        <f t="shared" si="5"/>
        <v>1</v>
      </c>
      <c r="AK66" s="173">
        <f t="shared" si="5"/>
        <v>1</v>
      </c>
      <c r="AL66" s="173">
        <f t="shared" si="5"/>
        <v>1</v>
      </c>
    </row>
    <row r="67" spans="1:38">
      <c r="C67" t="str">
        <f>Commodities!$C$85</f>
        <v>UPSBIO</v>
      </c>
      <c r="G67" s="4" t="s">
        <v>702</v>
      </c>
      <c r="H67" t="s">
        <v>661</v>
      </c>
      <c r="I67">
        <v>2025</v>
      </c>
      <c r="J67" s="4" t="s">
        <v>650</v>
      </c>
      <c r="K67" s="426">
        <v>1</v>
      </c>
      <c r="L67" s="426">
        <v>1</v>
      </c>
      <c r="M67" s="426">
        <v>1</v>
      </c>
      <c r="N67" s="426">
        <v>1</v>
      </c>
      <c r="O67" s="426">
        <v>1</v>
      </c>
      <c r="P67" s="426">
        <v>1</v>
      </c>
      <c r="Q67" s="426">
        <v>1</v>
      </c>
      <c r="R67" s="426">
        <v>1</v>
      </c>
      <c r="S67" s="426">
        <v>1</v>
      </c>
      <c r="T67" s="426">
        <v>1</v>
      </c>
      <c r="U67" s="426">
        <v>1</v>
      </c>
      <c r="V67" s="426">
        <v>1</v>
      </c>
      <c r="W67" s="426">
        <v>1</v>
      </c>
      <c r="X67" s="426">
        <v>1</v>
      </c>
      <c r="Y67" s="426">
        <v>1</v>
      </c>
      <c r="Z67" s="426">
        <v>1</v>
      </c>
      <c r="AA67" s="426">
        <v>1</v>
      </c>
      <c r="AB67" s="426">
        <v>1</v>
      </c>
      <c r="AC67" s="426">
        <v>1</v>
      </c>
      <c r="AD67" s="426">
        <v>1</v>
      </c>
      <c r="AE67" s="426">
        <v>1</v>
      </c>
      <c r="AF67" s="426">
        <v>1</v>
      </c>
      <c r="AG67" s="426">
        <v>1</v>
      </c>
      <c r="AH67" s="426">
        <v>1</v>
      </c>
      <c r="AI67" s="426">
        <v>1</v>
      </c>
      <c r="AJ67" s="426">
        <v>1</v>
      </c>
      <c r="AK67" s="426">
        <v>1</v>
      </c>
      <c r="AL67" s="426">
        <v>1</v>
      </c>
    </row>
    <row r="68" spans="1:38">
      <c r="C68" t="str">
        <f>Commodities!$C$101</f>
        <v>UPSWAS</v>
      </c>
      <c r="G68" s="4" t="s">
        <v>702</v>
      </c>
      <c r="H68" t="s">
        <v>661</v>
      </c>
      <c r="I68">
        <v>2025</v>
      </c>
      <c r="J68" s="4" t="s">
        <v>650</v>
      </c>
      <c r="K68" s="426">
        <v>1</v>
      </c>
      <c r="L68" s="426">
        <v>1</v>
      </c>
      <c r="M68" s="426">
        <v>1</v>
      </c>
      <c r="N68" s="426">
        <v>1</v>
      </c>
      <c r="O68" s="426">
        <v>1</v>
      </c>
      <c r="P68" s="426">
        <v>1</v>
      </c>
      <c r="Q68" s="426">
        <v>1</v>
      </c>
      <c r="R68" s="426">
        <v>1</v>
      </c>
      <c r="S68" s="426">
        <v>1</v>
      </c>
      <c r="T68" s="426">
        <v>1</v>
      </c>
      <c r="U68" s="426">
        <v>1</v>
      </c>
      <c r="V68" s="426">
        <v>1</v>
      </c>
      <c r="W68" s="426">
        <v>1</v>
      </c>
      <c r="X68" s="426">
        <v>1</v>
      </c>
      <c r="Y68" s="426">
        <v>1</v>
      </c>
      <c r="Z68" s="426">
        <v>1</v>
      </c>
      <c r="AA68" s="426">
        <v>1</v>
      </c>
      <c r="AB68" s="426">
        <v>1</v>
      </c>
      <c r="AC68" s="426">
        <v>1</v>
      </c>
      <c r="AD68" s="426">
        <v>1</v>
      </c>
      <c r="AE68" s="426">
        <v>1</v>
      </c>
      <c r="AF68" s="426">
        <v>1</v>
      </c>
      <c r="AG68" s="426">
        <v>1</v>
      </c>
      <c r="AH68" s="426">
        <v>1</v>
      </c>
      <c r="AI68" s="426">
        <v>1</v>
      </c>
      <c r="AJ68" s="426">
        <v>1</v>
      </c>
      <c r="AK68" s="426">
        <v>1</v>
      </c>
      <c r="AL68" s="426">
        <v>1</v>
      </c>
    </row>
    <row r="69" spans="1:38">
      <c r="C69" t="str">
        <f>Commodities!$C$85</f>
        <v>UPSBIO</v>
      </c>
      <c r="G69" s="4" t="s">
        <v>702</v>
      </c>
      <c r="H69" t="s">
        <v>661</v>
      </c>
      <c r="I69">
        <v>2050</v>
      </c>
      <c r="J69" s="4" t="s">
        <v>650</v>
      </c>
      <c r="K69" s="426">
        <v>1</v>
      </c>
      <c r="L69" s="426">
        <v>1</v>
      </c>
      <c r="M69" s="426">
        <v>1</v>
      </c>
      <c r="N69" s="426">
        <v>1</v>
      </c>
      <c r="O69" s="426">
        <v>1</v>
      </c>
      <c r="P69" s="426">
        <v>1</v>
      </c>
      <c r="Q69" s="426">
        <v>1</v>
      </c>
      <c r="R69" s="426">
        <v>1</v>
      </c>
      <c r="S69" s="426">
        <v>1</v>
      </c>
      <c r="T69" s="426">
        <v>1</v>
      </c>
      <c r="U69" s="426">
        <v>1</v>
      </c>
      <c r="V69" s="426">
        <v>1</v>
      </c>
      <c r="W69" s="426">
        <v>1</v>
      </c>
      <c r="X69" s="426">
        <v>1</v>
      </c>
      <c r="Y69" s="426">
        <v>1</v>
      </c>
      <c r="Z69" s="426">
        <v>1</v>
      </c>
      <c r="AA69" s="426">
        <v>1</v>
      </c>
      <c r="AB69" s="426">
        <v>1</v>
      </c>
      <c r="AC69" s="426">
        <v>1</v>
      </c>
      <c r="AD69" s="426">
        <v>1</v>
      </c>
      <c r="AE69" s="426">
        <v>1</v>
      </c>
      <c r="AF69" s="426">
        <v>1</v>
      </c>
      <c r="AG69" s="426">
        <v>1</v>
      </c>
      <c r="AH69" s="426">
        <v>1</v>
      </c>
      <c r="AI69" s="426">
        <v>1</v>
      </c>
      <c r="AJ69" s="426">
        <v>1</v>
      </c>
      <c r="AK69" s="426">
        <v>1</v>
      </c>
      <c r="AL69" s="426">
        <v>1</v>
      </c>
    </row>
    <row r="70" spans="1:38">
      <c r="C70" t="str">
        <f>Commodities!$C$101</f>
        <v>UPSWAS</v>
      </c>
      <c r="G70" s="4" t="s">
        <v>702</v>
      </c>
      <c r="H70" t="s">
        <v>661</v>
      </c>
      <c r="I70">
        <v>2050</v>
      </c>
      <c r="J70" s="4" t="s">
        <v>650</v>
      </c>
      <c r="K70" s="426">
        <v>1</v>
      </c>
      <c r="L70" s="426">
        <v>1</v>
      </c>
      <c r="M70" s="426">
        <v>1</v>
      </c>
      <c r="N70" s="426">
        <v>1</v>
      </c>
      <c r="O70" s="426">
        <v>1</v>
      </c>
      <c r="P70" s="426">
        <v>1</v>
      </c>
      <c r="Q70" s="426">
        <v>1</v>
      </c>
      <c r="R70" s="426">
        <v>1</v>
      </c>
      <c r="S70" s="426">
        <v>1</v>
      </c>
      <c r="T70" s="426">
        <v>1</v>
      </c>
      <c r="U70" s="426">
        <v>1</v>
      </c>
      <c r="V70" s="426">
        <v>1</v>
      </c>
      <c r="W70" s="426">
        <v>1</v>
      </c>
      <c r="X70" s="426">
        <v>1</v>
      </c>
      <c r="Y70" s="426">
        <v>1</v>
      </c>
      <c r="Z70" s="426">
        <v>1</v>
      </c>
      <c r="AA70" s="426">
        <v>1</v>
      </c>
      <c r="AB70" s="426">
        <v>1</v>
      </c>
      <c r="AC70" s="426">
        <v>1</v>
      </c>
      <c r="AD70" s="426">
        <v>1</v>
      </c>
      <c r="AE70" s="426">
        <v>1</v>
      </c>
      <c r="AF70" s="426">
        <v>1</v>
      </c>
      <c r="AG70" s="426">
        <v>1</v>
      </c>
      <c r="AH70" s="426">
        <v>1</v>
      </c>
      <c r="AI70" s="426">
        <v>1</v>
      </c>
      <c r="AJ70" s="426">
        <v>1</v>
      </c>
      <c r="AK70" s="426">
        <v>1</v>
      </c>
      <c r="AL70" s="426">
        <v>1</v>
      </c>
    </row>
    <row r="71" spans="1:38">
      <c r="D71" t="str">
        <f>Commodities!$C$104</f>
        <v>UREFBOI</v>
      </c>
      <c r="J71" s="4"/>
    </row>
    <row r="72" spans="1:38">
      <c r="A72" s="4" t="str">
        <f>AO13</f>
        <v>U-TRF-OILREFBOI_COA00</v>
      </c>
      <c r="B72" s="4" t="str">
        <f>AP13</f>
        <v>UPS Transformation: Oil refinery boilers Coal - Existing</v>
      </c>
      <c r="C72" s="4"/>
      <c r="D72" s="4"/>
      <c r="E72" s="4"/>
      <c r="F72" s="4"/>
      <c r="G72" s="4" t="s">
        <v>695</v>
      </c>
      <c r="H72" s="4"/>
      <c r="I72" s="4"/>
      <c r="J72" s="4" t="s">
        <v>2665</v>
      </c>
      <c r="K72" s="333">
        <v>1</v>
      </c>
      <c r="L72" s="333">
        <v>1</v>
      </c>
      <c r="M72" s="333">
        <v>1</v>
      </c>
      <c r="N72" s="333">
        <v>1</v>
      </c>
      <c r="O72" s="333">
        <v>1</v>
      </c>
      <c r="P72" s="333">
        <v>1</v>
      </c>
      <c r="Q72" s="333">
        <v>1</v>
      </c>
      <c r="R72" s="333">
        <v>1</v>
      </c>
      <c r="S72" s="333">
        <v>1</v>
      </c>
      <c r="T72" s="333">
        <v>1</v>
      </c>
      <c r="U72" s="333">
        <v>1</v>
      </c>
      <c r="V72" s="333">
        <v>1</v>
      </c>
      <c r="W72" s="333">
        <v>1</v>
      </c>
      <c r="X72" s="333">
        <v>1</v>
      </c>
      <c r="Y72" s="333">
        <v>1</v>
      </c>
      <c r="Z72" s="333">
        <v>1</v>
      </c>
      <c r="AA72" s="333">
        <v>1</v>
      </c>
      <c r="AB72" s="333">
        <v>1</v>
      </c>
      <c r="AC72" s="333">
        <v>1</v>
      </c>
      <c r="AD72" s="333">
        <v>1</v>
      </c>
      <c r="AE72" s="333">
        <v>1</v>
      </c>
      <c r="AF72" s="333">
        <v>1</v>
      </c>
      <c r="AG72" s="333">
        <v>1</v>
      </c>
      <c r="AH72" s="333">
        <v>1</v>
      </c>
      <c r="AI72" s="333">
        <v>1</v>
      </c>
      <c r="AJ72" s="333">
        <v>1</v>
      </c>
      <c r="AK72" s="333">
        <v>1</v>
      </c>
      <c r="AL72" s="333">
        <v>1</v>
      </c>
    </row>
    <row r="73" spans="1:38">
      <c r="A73" s="4"/>
      <c r="B73" s="4"/>
      <c r="C73" s="4"/>
      <c r="D73" s="4"/>
      <c r="E73" s="4"/>
      <c r="F73" s="4"/>
      <c r="G73" s="4" t="s">
        <v>697</v>
      </c>
      <c r="H73" s="4"/>
      <c r="I73" s="4"/>
      <c r="J73" s="4" t="s">
        <v>698</v>
      </c>
      <c r="K73" s="424">
        <f>'Key inputs_Refineries'!$F$175</f>
        <v>15</v>
      </c>
      <c r="L73" s="424">
        <f>'Key inputs_Refineries'!$F$175</f>
        <v>15</v>
      </c>
      <c r="M73" s="424">
        <f>'Key inputs_Refineries'!$F$175</f>
        <v>15</v>
      </c>
      <c r="N73" s="424">
        <f>'Key inputs_Refineries'!$F$175</f>
        <v>15</v>
      </c>
      <c r="O73" s="424">
        <f>'Key inputs_Refineries'!$F$175</f>
        <v>15</v>
      </c>
      <c r="P73" s="424">
        <f>'Key inputs_Refineries'!$F$175</f>
        <v>15</v>
      </c>
      <c r="Q73" s="424">
        <f>'Key inputs_Refineries'!$F$175</f>
        <v>15</v>
      </c>
      <c r="R73" s="424">
        <f>'Key inputs_Refineries'!$F$175</f>
        <v>15</v>
      </c>
      <c r="S73" s="424">
        <f>'Key inputs_Refineries'!$F$175</f>
        <v>15</v>
      </c>
      <c r="T73" s="424">
        <f>'Key inputs_Refineries'!$F$175</f>
        <v>15</v>
      </c>
      <c r="U73" s="424">
        <f>'Key inputs_Refineries'!$F$175</f>
        <v>15</v>
      </c>
      <c r="V73" s="424">
        <f>'Key inputs_Refineries'!$F$175</f>
        <v>15</v>
      </c>
      <c r="W73" s="424">
        <f>'Key inputs_Refineries'!$F$175</f>
        <v>15</v>
      </c>
      <c r="X73" s="424">
        <f>'Key inputs_Refineries'!$F$175</f>
        <v>15</v>
      </c>
      <c r="Y73" s="424">
        <f>'Key inputs_Refineries'!$F$175</f>
        <v>15</v>
      </c>
      <c r="Z73" s="424">
        <f>'Key inputs_Refineries'!$F$175</f>
        <v>15</v>
      </c>
      <c r="AA73" s="424">
        <f>'Key inputs_Refineries'!$F$175</f>
        <v>15</v>
      </c>
      <c r="AB73" s="424">
        <f>'Key inputs_Refineries'!$F$175</f>
        <v>15</v>
      </c>
      <c r="AC73" s="424">
        <f>'Key inputs_Refineries'!$F$175</f>
        <v>15</v>
      </c>
      <c r="AD73" s="424">
        <f>'Key inputs_Refineries'!$F$175</f>
        <v>15</v>
      </c>
      <c r="AE73" s="424">
        <f>'Key inputs_Refineries'!$F$175</f>
        <v>15</v>
      </c>
      <c r="AF73" s="424">
        <f>'Key inputs_Refineries'!$F$175</f>
        <v>15</v>
      </c>
      <c r="AG73" s="424">
        <f>'Key inputs_Refineries'!$F$175</f>
        <v>15</v>
      </c>
      <c r="AH73" s="424">
        <f>'Key inputs_Refineries'!$F$175</f>
        <v>15</v>
      </c>
      <c r="AI73" s="424">
        <f>'Key inputs_Refineries'!$F$175</f>
        <v>15</v>
      </c>
      <c r="AJ73" s="424">
        <f>'Key inputs_Refineries'!$F$175</f>
        <v>15</v>
      </c>
      <c r="AK73" s="424">
        <f>'Key inputs_Refineries'!$F$175</f>
        <v>15</v>
      </c>
      <c r="AL73" s="424">
        <f>'Key inputs_Refineries'!$F$175</f>
        <v>15</v>
      </c>
    </row>
    <row r="74" spans="1:38">
      <c r="A74" s="4"/>
      <c r="B74" s="4"/>
      <c r="C74" s="4"/>
      <c r="D74" s="4"/>
      <c r="E74" s="4"/>
      <c r="F74" s="4"/>
      <c r="G74" s="4" t="s">
        <v>699</v>
      </c>
      <c r="H74" s="4"/>
      <c r="I74" s="4">
        <v>2019</v>
      </c>
      <c r="J74" s="4" t="s">
        <v>112</v>
      </c>
      <c r="K74" s="347">
        <f>-SUM(SUMIFS('Key inputs_Refineries'!E$85:E$164,'Key inputs_Refineries'!$C$85:$C$164,$C82,'Key inputs_Refineries'!$B$85:$B$164,"Boiler"))*K81/10^3</f>
        <v>0</v>
      </c>
      <c r="L74" s="347">
        <f>-SUM(SUMIFS('Key inputs_Refineries'!F$85:F$164,'Key inputs_Refineries'!$C$85:$C$164,$C82,'Key inputs_Refineries'!$B$85:$B$164,"Boiler"))*L81/10^3</f>
        <v>0</v>
      </c>
      <c r="M74" s="347">
        <f>-SUM(SUMIFS('Key inputs_Refineries'!G$85:G$164,'Key inputs_Refineries'!$C$85:$C$164,$C82,'Key inputs_Refineries'!$B$85:$B$164,"Boiler"))*M81/10^3</f>
        <v>0</v>
      </c>
      <c r="N74" s="347">
        <f>-SUM(SUMIFS('Key inputs_Refineries'!H$85:H$164,'Key inputs_Refineries'!$C$85:$C$164,$C82,'Key inputs_Refineries'!$B$85:$B$164,"Boiler"))*N81/10^3</f>
        <v>0</v>
      </c>
      <c r="O74" s="347">
        <f>-SUM(SUMIFS('Key inputs_Refineries'!I$85:I$164,'Key inputs_Refineries'!$C$85:$C$164,$C82,'Key inputs_Refineries'!$B$85:$B$164,"Boiler"))*O81/10^3</f>
        <v>0</v>
      </c>
      <c r="P74" s="347">
        <f>-SUM(SUMIFS('Key inputs_Refineries'!J$85:J$164,'Key inputs_Refineries'!$C$85:$C$164,$C82,'Key inputs_Refineries'!$B$85:$B$164,"Boiler"))*P81/10^3</f>
        <v>0</v>
      </c>
      <c r="Q74" s="347">
        <f>-SUM(SUMIFS('Key inputs_Refineries'!K$85:K$164,'Key inputs_Refineries'!$C$85:$C$164,$C82,'Key inputs_Refineries'!$B$85:$B$164,"Boiler"))*Q81/10^3</f>
        <v>0</v>
      </c>
      <c r="R74" s="347">
        <f>-SUM(SUMIFS('Key inputs_Refineries'!L$85:L$164,'Key inputs_Refineries'!$C$85:$C$164,$C82,'Key inputs_Refineries'!$B$85:$B$164,"Boiler"))*R81/10^3</f>
        <v>0</v>
      </c>
      <c r="S74" s="347">
        <f>-SUM(SUMIFS('Key inputs_Refineries'!M$85:M$164,'Key inputs_Refineries'!$C$85:$C$164,$C82,'Key inputs_Refineries'!$B$85:$B$164,"Boiler"))*S81/10^3</f>
        <v>0</v>
      </c>
      <c r="T74" s="347">
        <f>-SUM(SUMIFS('Key inputs_Refineries'!N$85:N$164,'Key inputs_Refineries'!$C$85:$C$164,$C82,'Key inputs_Refineries'!$B$85:$B$164,"Boiler"))*T81/10^3</f>
        <v>0</v>
      </c>
      <c r="U74" s="347">
        <f>-SUM(SUMIFS('Key inputs_Refineries'!O$85:O$164,'Key inputs_Refineries'!$C$85:$C$164,$C82,'Key inputs_Refineries'!$B$85:$B$164,"Boiler"))*U81/10^3</f>
        <v>0</v>
      </c>
      <c r="V74" s="347">
        <f>-SUM(SUMIFS('Key inputs_Refineries'!P$85:P$164,'Key inputs_Refineries'!$C$85:$C$164,$C82,'Key inputs_Refineries'!$B$85:$B$164,"Boiler"))*V81/10^3</f>
        <v>0</v>
      </c>
      <c r="W74" s="347">
        <f>-SUM(SUMIFS('Key inputs_Refineries'!Q$85:Q$164,'Key inputs_Refineries'!$C$85:$C$164,$C82,'Key inputs_Refineries'!$B$85:$B$164,"Boiler"))*W81/10^3</f>
        <v>0</v>
      </c>
      <c r="X74" s="347">
        <f>-SUM(SUMIFS('Key inputs_Refineries'!R$85:R$164,'Key inputs_Refineries'!$C$85:$C$164,$C82,'Key inputs_Refineries'!$B$85:$B$164,"Boiler"))*X81/10^3</f>
        <v>0</v>
      </c>
      <c r="Y74" s="347">
        <f>-SUM(SUMIFS('Key inputs_Refineries'!S$85:S$164,'Key inputs_Refineries'!$C$85:$C$164,$C82,'Key inputs_Refineries'!$B$85:$B$164,"Boiler"))*Y81/10^3</f>
        <v>0.16656024026437652</v>
      </c>
      <c r="Z74" s="347">
        <f>-SUM(SUMIFS('Key inputs_Refineries'!T$85:T$164,'Key inputs_Refineries'!$C$85:$C$164,$C82,'Key inputs_Refineries'!$B$85:$B$164,"Boiler"))*Z81/10^3</f>
        <v>0</v>
      </c>
      <c r="AA74" s="347">
        <f>-SUM(SUMIFS('Key inputs_Refineries'!U$85:U$164,'Key inputs_Refineries'!$C$85:$C$164,$C82,'Key inputs_Refineries'!$B$85:$B$164,"Boiler"))*AA81/10^3</f>
        <v>0</v>
      </c>
      <c r="AB74" s="347">
        <f>-SUM(SUMIFS('Key inputs_Refineries'!V$85:V$164,'Key inputs_Refineries'!$C$85:$C$164,$C82,'Key inputs_Refineries'!$B$85:$B$164,"Boiler"))*AB81/10^3</f>
        <v>0</v>
      </c>
      <c r="AC74" s="347">
        <f>-SUM(SUMIFS('Key inputs_Refineries'!W$85:W$164,'Key inputs_Refineries'!$C$85:$C$164,$C82,'Key inputs_Refineries'!$B$85:$B$164,"Boiler"))*AC81/10^3</f>
        <v>0</v>
      </c>
      <c r="AD74" s="347">
        <f>-SUM(SUMIFS('Key inputs_Refineries'!X$85:X$164,'Key inputs_Refineries'!$C$85:$C$164,$C82,'Key inputs_Refineries'!$B$85:$B$164,"Boiler"))*AD81/10^3</f>
        <v>0.48058437573523294</v>
      </c>
      <c r="AE74" s="347">
        <f>-SUM(SUMIFS('Key inputs_Refineries'!Y$85:Y$164,'Key inputs_Refineries'!$C$85:$C$164,$C82,'Key inputs_Refineries'!$B$85:$B$164,"Boiler"))*AE81/10^3</f>
        <v>0</v>
      </c>
      <c r="AF74" s="347">
        <f>-SUM(SUMIFS('Key inputs_Refineries'!Z$85:Z$164,'Key inputs_Refineries'!$C$85:$C$164,$C82,'Key inputs_Refineries'!$B$85:$B$164,"Boiler"))*AF81/10^3</f>
        <v>0</v>
      </c>
      <c r="AG74" s="347">
        <f>-SUM(SUMIFS('Key inputs_Refineries'!AA$85:AA$164,'Key inputs_Refineries'!$C$85:$C$164,$C82,'Key inputs_Refineries'!$B$85:$B$164,"Boiler"))*AG81/10^3</f>
        <v>0</v>
      </c>
      <c r="AH74" s="347">
        <f>-SUM(SUMIFS('Key inputs_Refineries'!AB$85:AB$164,'Key inputs_Refineries'!$C$85:$C$164,$C82,'Key inputs_Refineries'!$B$85:$B$164,"Boiler"))*AH81/10^3</f>
        <v>0</v>
      </c>
      <c r="AI74" s="347">
        <f>-SUM(SUMIFS('Key inputs_Refineries'!AC$85:AC$164,'Key inputs_Refineries'!$C$85:$C$164,$C82,'Key inputs_Refineries'!$B$85:$B$164,"Boiler"))*AI81/10^3</f>
        <v>0</v>
      </c>
      <c r="AJ74" s="347">
        <f>-SUM(SUMIFS('Key inputs_Refineries'!AD$85:AD$164,'Key inputs_Refineries'!$C$85:$C$164,$C82,'Key inputs_Refineries'!$B$85:$B$164,"Boiler"))*AJ81/10^3</f>
        <v>0</v>
      </c>
      <c r="AK74" s="347">
        <f>-SUM(SUMIFS('Key inputs_Refineries'!AE$85:AE$164,'Key inputs_Refineries'!$C$85:$C$164,$C82,'Key inputs_Refineries'!$B$85:$B$164,"Boiler"))*AK81/10^3</f>
        <v>0</v>
      </c>
      <c r="AL74" s="347">
        <f>-SUM(SUMIFS('Key inputs_Refineries'!AF$85:AF$164,'Key inputs_Refineries'!$C$85:$C$164,$C82,'Key inputs_Refineries'!$B$85:$B$164,"Boiler"))*AL81/10^3</f>
        <v>0</v>
      </c>
    </row>
    <row r="75" spans="1:38">
      <c r="G75" s="4" t="s">
        <v>701</v>
      </c>
      <c r="H75" s="4" t="s">
        <v>661</v>
      </c>
      <c r="I75" s="4">
        <v>2019</v>
      </c>
      <c r="J75" s="4" t="s">
        <v>112</v>
      </c>
      <c r="K75" s="333">
        <v>0</v>
      </c>
      <c r="L75" s="333">
        <v>0</v>
      </c>
      <c r="M75" s="333">
        <v>0</v>
      </c>
      <c r="N75" s="333">
        <v>0</v>
      </c>
      <c r="O75" s="333">
        <v>0</v>
      </c>
      <c r="P75" s="333">
        <v>0</v>
      </c>
      <c r="Q75" s="333">
        <v>0</v>
      </c>
      <c r="R75" s="333">
        <v>0</v>
      </c>
      <c r="S75" s="333">
        <v>0</v>
      </c>
      <c r="T75" s="333">
        <v>0</v>
      </c>
      <c r="U75" s="333">
        <v>0</v>
      </c>
      <c r="V75" s="333">
        <v>0</v>
      </c>
      <c r="W75" s="333">
        <v>0</v>
      </c>
      <c r="X75" s="333">
        <v>0</v>
      </c>
      <c r="Y75" s="333">
        <v>0</v>
      </c>
      <c r="Z75" s="333">
        <v>0</v>
      </c>
      <c r="AA75" s="333">
        <v>0</v>
      </c>
      <c r="AB75" s="333">
        <v>0</v>
      </c>
      <c r="AC75" s="333">
        <v>0</v>
      </c>
      <c r="AD75" s="333">
        <v>0</v>
      </c>
      <c r="AE75" s="333">
        <v>0</v>
      </c>
      <c r="AF75" s="333">
        <v>0</v>
      </c>
      <c r="AG75" s="333">
        <v>0</v>
      </c>
      <c r="AH75" s="333">
        <v>0</v>
      </c>
      <c r="AI75" s="333">
        <v>0</v>
      </c>
      <c r="AJ75" s="333">
        <v>0</v>
      </c>
      <c r="AK75" s="333">
        <v>0</v>
      </c>
      <c r="AL75" s="333">
        <v>0</v>
      </c>
    </row>
    <row r="76" spans="1:38">
      <c r="G76" s="4" t="s">
        <v>701</v>
      </c>
      <c r="H76" s="4" t="s">
        <v>661</v>
      </c>
      <c r="I76" s="4">
        <v>2060</v>
      </c>
      <c r="J76" s="4" t="s">
        <v>112</v>
      </c>
      <c r="K76" s="333">
        <v>0</v>
      </c>
      <c r="L76" s="333">
        <v>0</v>
      </c>
      <c r="M76" s="333">
        <v>0</v>
      </c>
      <c r="N76" s="333">
        <v>0</v>
      </c>
      <c r="O76" s="333">
        <v>0</v>
      </c>
      <c r="P76" s="333">
        <v>0</v>
      </c>
      <c r="Q76" s="333">
        <v>0</v>
      </c>
      <c r="R76" s="333">
        <v>0</v>
      </c>
      <c r="S76" s="333">
        <v>0</v>
      </c>
      <c r="T76" s="333">
        <v>0</v>
      </c>
      <c r="U76" s="333">
        <v>0</v>
      </c>
      <c r="V76" s="333">
        <v>0</v>
      </c>
      <c r="W76" s="333">
        <v>0</v>
      </c>
      <c r="X76" s="333">
        <v>0</v>
      </c>
      <c r="Y76" s="333">
        <v>0</v>
      </c>
      <c r="Z76" s="333">
        <v>0</v>
      </c>
      <c r="AA76" s="333">
        <v>0</v>
      </c>
      <c r="AB76" s="333">
        <v>0</v>
      </c>
      <c r="AC76" s="333">
        <v>0</v>
      </c>
      <c r="AD76" s="333">
        <v>0</v>
      </c>
      <c r="AE76" s="333">
        <v>0</v>
      </c>
      <c r="AF76" s="333">
        <v>0</v>
      </c>
      <c r="AG76" s="333">
        <v>0</v>
      </c>
      <c r="AH76" s="333">
        <v>0</v>
      </c>
      <c r="AI76" s="333">
        <v>0</v>
      </c>
      <c r="AJ76" s="333">
        <v>0</v>
      </c>
      <c r="AK76" s="333">
        <v>0</v>
      </c>
      <c r="AL76" s="333">
        <v>0</v>
      </c>
    </row>
    <row r="77" spans="1:38">
      <c r="G77" s="4" t="s">
        <v>701</v>
      </c>
      <c r="H77" s="4" t="s">
        <v>661</v>
      </c>
      <c r="I77" s="4">
        <v>0</v>
      </c>
      <c r="J77" s="4"/>
      <c r="K77" s="333">
        <v>5</v>
      </c>
      <c r="L77" s="333">
        <v>5</v>
      </c>
      <c r="M77" s="333">
        <v>5</v>
      </c>
      <c r="N77" s="333">
        <v>5</v>
      </c>
      <c r="O77" s="333">
        <v>5</v>
      </c>
      <c r="P77" s="333">
        <v>5</v>
      </c>
      <c r="Q77" s="333">
        <v>5</v>
      </c>
      <c r="R77" s="333">
        <v>5</v>
      </c>
      <c r="S77" s="333">
        <v>5</v>
      </c>
      <c r="T77" s="333">
        <v>5</v>
      </c>
      <c r="U77" s="333">
        <v>5</v>
      </c>
      <c r="V77" s="333">
        <v>5</v>
      </c>
      <c r="W77" s="333">
        <v>5</v>
      </c>
      <c r="X77" s="333">
        <v>5</v>
      </c>
      <c r="Y77" s="333">
        <v>5</v>
      </c>
      <c r="Z77" s="333">
        <v>5</v>
      </c>
      <c r="AA77" s="333">
        <v>5</v>
      </c>
      <c r="AB77" s="333">
        <v>5</v>
      </c>
      <c r="AC77" s="333">
        <v>5</v>
      </c>
      <c r="AD77" s="333">
        <v>5</v>
      </c>
      <c r="AE77" s="333">
        <v>5</v>
      </c>
      <c r="AF77" s="333">
        <v>5</v>
      </c>
      <c r="AG77" s="333">
        <v>5</v>
      </c>
      <c r="AH77" s="333">
        <v>5</v>
      </c>
      <c r="AI77" s="333">
        <v>5</v>
      </c>
      <c r="AJ77" s="333">
        <v>5</v>
      </c>
      <c r="AK77" s="333">
        <v>5</v>
      </c>
      <c r="AL77" s="333">
        <v>5</v>
      </c>
    </row>
    <row r="78" spans="1:38">
      <c r="G78" s="4" t="s">
        <v>687</v>
      </c>
      <c r="H78" s="4"/>
      <c r="I78" s="4"/>
      <c r="J78" s="4" t="s">
        <v>2663</v>
      </c>
      <c r="K78" s="174">
        <f>'Key inputs_Refineries'!$C$175*10^3</f>
        <v>1829.088</v>
      </c>
      <c r="L78" s="174">
        <f>'Key inputs_Refineries'!$C$175*10^3</f>
        <v>1829.088</v>
      </c>
      <c r="M78" s="174">
        <f>'Key inputs_Refineries'!$C$175*10^3</f>
        <v>1829.088</v>
      </c>
      <c r="N78" s="174">
        <f>'Key inputs_Refineries'!$C$175*10^3</f>
        <v>1829.088</v>
      </c>
      <c r="O78" s="174">
        <f>'Key inputs_Refineries'!$C$175*10^3</f>
        <v>1829.088</v>
      </c>
      <c r="P78" s="174">
        <f>'Key inputs_Refineries'!$C$175*10^3</f>
        <v>1829.088</v>
      </c>
      <c r="Q78" s="174">
        <f>'Key inputs_Refineries'!$C$175*10^3</f>
        <v>1829.088</v>
      </c>
      <c r="R78" s="174">
        <f>'Key inputs_Refineries'!$C$175*10^3</f>
        <v>1829.088</v>
      </c>
      <c r="S78" s="174">
        <f>'Key inputs_Refineries'!$C$175*10^3</f>
        <v>1829.088</v>
      </c>
      <c r="T78" s="174">
        <f>'Key inputs_Refineries'!$C$175*10^3</f>
        <v>1829.088</v>
      </c>
      <c r="U78" s="174">
        <f>'Key inputs_Refineries'!$C$175*10^3</f>
        <v>1829.088</v>
      </c>
      <c r="V78" s="174">
        <f>'Key inputs_Refineries'!$C$175*10^3</f>
        <v>1829.088</v>
      </c>
      <c r="W78" s="174">
        <f>'Key inputs_Refineries'!$C$175*10^3</f>
        <v>1829.088</v>
      </c>
      <c r="X78" s="174">
        <f>'Key inputs_Refineries'!$C$175*10^3</f>
        <v>1829.088</v>
      </c>
      <c r="Y78" s="174">
        <f>'Key inputs_Refineries'!$C$175*10^3</f>
        <v>1829.088</v>
      </c>
      <c r="Z78" s="174">
        <f>'Key inputs_Refineries'!$C$175*10^3</f>
        <v>1829.088</v>
      </c>
      <c r="AA78" s="174">
        <f>'Key inputs_Refineries'!$C$175*10^3</f>
        <v>1829.088</v>
      </c>
      <c r="AB78" s="174">
        <f>'Key inputs_Refineries'!$C$175*10^3</f>
        <v>1829.088</v>
      </c>
      <c r="AC78" s="174">
        <f>'Key inputs_Refineries'!$C$175*10^3</f>
        <v>1829.088</v>
      </c>
      <c r="AD78" s="174">
        <f>'Key inputs_Refineries'!$C$175*10^3</f>
        <v>1829.088</v>
      </c>
      <c r="AE78" s="174">
        <f>'Key inputs_Refineries'!$C$175*10^3</f>
        <v>1829.088</v>
      </c>
      <c r="AF78" s="174">
        <f>'Key inputs_Refineries'!$C$175*10^3</f>
        <v>1829.088</v>
      </c>
      <c r="AG78" s="174">
        <f>'Key inputs_Refineries'!$C$175*10^3</f>
        <v>1829.088</v>
      </c>
      <c r="AH78" s="174">
        <f>'Key inputs_Refineries'!$C$175*10^3</f>
        <v>1829.088</v>
      </c>
      <c r="AI78" s="174">
        <f>'Key inputs_Refineries'!$C$175*10^3</f>
        <v>1829.088</v>
      </c>
      <c r="AJ78" s="174">
        <f>'Key inputs_Refineries'!$C$175*10^3</f>
        <v>1829.088</v>
      </c>
      <c r="AK78" s="174">
        <f>'Key inputs_Refineries'!$C$175*10^3</f>
        <v>1829.088</v>
      </c>
      <c r="AL78" s="174">
        <f>'Key inputs_Refineries'!$C$175*10^3</f>
        <v>1829.088</v>
      </c>
    </row>
    <row r="79" spans="1:38">
      <c r="G79" s="4" t="s">
        <v>689</v>
      </c>
      <c r="H79" s="4"/>
      <c r="I79" s="4"/>
      <c r="J79" s="4" t="s">
        <v>2663</v>
      </c>
      <c r="K79" s="174">
        <f>'Key inputs_Refineries'!$D$175*10^3</f>
        <v>15.768000000000001</v>
      </c>
      <c r="L79" s="174">
        <f>'Key inputs_Refineries'!$D$175*10^3</f>
        <v>15.768000000000001</v>
      </c>
      <c r="M79" s="174">
        <f>'Key inputs_Refineries'!$D$175*10^3</f>
        <v>15.768000000000001</v>
      </c>
      <c r="N79" s="174">
        <f>'Key inputs_Refineries'!$D$175*10^3</f>
        <v>15.768000000000001</v>
      </c>
      <c r="O79" s="174">
        <f>'Key inputs_Refineries'!$D$175*10^3</f>
        <v>15.768000000000001</v>
      </c>
      <c r="P79" s="174">
        <f>'Key inputs_Refineries'!$D$175*10^3</f>
        <v>15.768000000000001</v>
      </c>
      <c r="Q79" s="174">
        <f>'Key inputs_Refineries'!$D$175*10^3</f>
        <v>15.768000000000001</v>
      </c>
      <c r="R79" s="174">
        <f>'Key inputs_Refineries'!$D$175*10^3</f>
        <v>15.768000000000001</v>
      </c>
      <c r="S79" s="174">
        <f>'Key inputs_Refineries'!$D$175*10^3</f>
        <v>15.768000000000001</v>
      </c>
      <c r="T79" s="174">
        <f>'Key inputs_Refineries'!$D$175*10^3</f>
        <v>15.768000000000001</v>
      </c>
      <c r="U79" s="174">
        <f>'Key inputs_Refineries'!$D$175*10^3</f>
        <v>15.768000000000001</v>
      </c>
      <c r="V79" s="174">
        <f>'Key inputs_Refineries'!$D$175*10^3</f>
        <v>15.768000000000001</v>
      </c>
      <c r="W79" s="174">
        <f>'Key inputs_Refineries'!$D$175*10^3</f>
        <v>15.768000000000001</v>
      </c>
      <c r="X79" s="174">
        <f>'Key inputs_Refineries'!$D$175*10^3</f>
        <v>15.768000000000001</v>
      </c>
      <c r="Y79" s="174">
        <f>'Key inputs_Refineries'!$D$175*10^3</f>
        <v>15.768000000000001</v>
      </c>
      <c r="Z79" s="174">
        <f>'Key inputs_Refineries'!$D$175*10^3</f>
        <v>15.768000000000001</v>
      </c>
      <c r="AA79" s="174">
        <f>'Key inputs_Refineries'!$D$175*10^3</f>
        <v>15.768000000000001</v>
      </c>
      <c r="AB79" s="174">
        <f>'Key inputs_Refineries'!$D$175*10^3</f>
        <v>15.768000000000001</v>
      </c>
      <c r="AC79" s="174">
        <f>'Key inputs_Refineries'!$D$175*10^3</f>
        <v>15.768000000000001</v>
      </c>
      <c r="AD79" s="174">
        <f>'Key inputs_Refineries'!$D$175*10^3</f>
        <v>15.768000000000001</v>
      </c>
      <c r="AE79" s="174">
        <f>'Key inputs_Refineries'!$D$175*10^3</f>
        <v>15.768000000000001</v>
      </c>
      <c r="AF79" s="174">
        <f>'Key inputs_Refineries'!$D$175*10^3</f>
        <v>15.768000000000001</v>
      </c>
      <c r="AG79" s="174">
        <f>'Key inputs_Refineries'!$D$175*10^3</f>
        <v>15.768000000000001</v>
      </c>
      <c r="AH79" s="174">
        <f>'Key inputs_Refineries'!$D$175*10^3</f>
        <v>15.768000000000001</v>
      </c>
      <c r="AI79" s="174">
        <f>'Key inputs_Refineries'!$D$175*10^3</f>
        <v>15.768000000000001</v>
      </c>
      <c r="AJ79" s="174">
        <f>'Key inputs_Refineries'!$D$175*10^3</f>
        <v>15.768000000000001</v>
      </c>
      <c r="AK79" s="174">
        <f>'Key inputs_Refineries'!$D$175*10^3</f>
        <v>15.768000000000001</v>
      </c>
      <c r="AL79" s="174">
        <f>'Key inputs_Refineries'!$D$175*10^3</f>
        <v>15.768000000000001</v>
      </c>
    </row>
    <row r="80" spans="1:38">
      <c r="G80" s="4" t="s">
        <v>675</v>
      </c>
      <c r="H80" s="4"/>
      <c r="I80" s="4"/>
      <c r="J80" s="4" t="s">
        <v>2662</v>
      </c>
    </row>
    <row r="81" spans="1:38">
      <c r="G81" s="4" t="s">
        <v>630</v>
      </c>
      <c r="H81" s="4"/>
      <c r="I81" s="4"/>
      <c r="J81" s="4" t="s">
        <v>2666</v>
      </c>
      <c r="K81" s="419">
        <f>'Key inputs_Refineries'!$H$175</f>
        <v>0.68</v>
      </c>
      <c r="L81" s="419">
        <f>'Key inputs_Refineries'!$H$175</f>
        <v>0.68</v>
      </c>
      <c r="M81" s="419">
        <f>'Key inputs_Refineries'!$H$175</f>
        <v>0.68</v>
      </c>
      <c r="N81" s="419">
        <f>'Key inputs_Refineries'!$H$175</f>
        <v>0.68</v>
      </c>
      <c r="O81" s="419">
        <f>'Key inputs_Refineries'!$H$175</f>
        <v>0.68</v>
      </c>
      <c r="P81" s="419">
        <f>'Key inputs_Refineries'!$H$175</f>
        <v>0.68</v>
      </c>
      <c r="Q81" s="419">
        <f>'Key inputs_Refineries'!$H$175</f>
        <v>0.68</v>
      </c>
      <c r="R81" s="419">
        <f>'Key inputs_Refineries'!$H$175</f>
        <v>0.68</v>
      </c>
      <c r="S81" s="419">
        <f>'Key inputs_Refineries'!$H$175</f>
        <v>0.68</v>
      </c>
      <c r="T81" s="419">
        <f>'Key inputs_Refineries'!$H$175</f>
        <v>0.68</v>
      </c>
      <c r="U81" s="419">
        <f>'Key inputs_Refineries'!$H$175</f>
        <v>0.68</v>
      </c>
      <c r="V81" s="419">
        <f>'Key inputs_Refineries'!$H$175</f>
        <v>0.68</v>
      </c>
      <c r="W81" s="419">
        <f>'Key inputs_Refineries'!$H$175</f>
        <v>0.68</v>
      </c>
      <c r="X81" s="419">
        <f>'Key inputs_Refineries'!$H$175</f>
        <v>0.68</v>
      </c>
      <c r="Y81" s="419">
        <f>'Key inputs_Refineries'!$H$175</f>
        <v>0.68</v>
      </c>
      <c r="Z81" s="419">
        <f>'Key inputs_Refineries'!$H$175</f>
        <v>0.68</v>
      </c>
      <c r="AA81" s="419">
        <f>'Key inputs_Refineries'!$H$175</f>
        <v>0.68</v>
      </c>
      <c r="AB81" s="419">
        <f>'Key inputs_Refineries'!$H$175</f>
        <v>0.68</v>
      </c>
      <c r="AC81" s="419">
        <f>'Key inputs_Refineries'!$H$175</f>
        <v>0.68</v>
      </c>
      <c r="AD81" s="419">
        <f>'Key inputs_Refineries'!$H$175</f>
        <v>0.68</v>
      </c>
      <c r="AE81" s="419">
        <f>'Key inputs_Refineries'!$H$175</f>
        <v>0.68</v>
      </c>
      <c r="AF81" s="419">
        <f>'Key inputs_Refineries'!$H$175</f>
        <v>0.68</v>
      </c>
      <c r="AG81" s="419">
        <f>'Key inputs_Refineries'!$H$175</f>
        <v>0.68</v>
      </c>
      <c r="AH81" s="419">
        <f>'Key inputs_Refineries'!$H$175</f>
        <v>0.68</v>
      </c>
      <c r="AI81" s="419">
        <f>'Key inputs_Refineries'!$H$175</f>
        <v>0.68</v>
      </c>
      <c r="AJ81" s="419">
        <f>'Key inputs_Refineries'!$H$175</f>
        <v>0.68</v>
      </c>
      <c r="AK81" s="419">
        <f>'Key inputs_Refineries'!$H$175</f>
        <v>0.68</v>
      </c>
      <c r="AL81" s="419">
        <f>'Key inputs_Refineries'!$H$175</f>
        <v>0.68</v>
      </c>
    </row>
    <row r="82" spans="1:38">
      <c r="C82" t="str">
        <f>Commodities!$C$86</f>
        <v>UPSCOA</v>
      </c>
      <c r="G82" s="4" t="s">
        <v>702</v>
      </c>
      <c r="H82" t="s">
        <v>661</v>
      </c>
      <c r="I82">
        <v>2019</v>
      </c>
      <c r="J82" s="4" t="s">
        <v>650</v>
      </c>
      <c r="K82" s="173">
        <v>1</v>
      </c>
      <c r="L82" s="173">
        <v>1</v>
      </c>
      <c r="M82" s="173">
        <v>1</v>
      </c>
      <c r="N82" s="173">
        <v>1</v>
      </c>
      <c r="O82" s="173">
        <v>1</v>
      </c>
      <c r="P82" s="173">
        <v>1</v>
      </c>
      <c r="Q82" s="173">
        <v>1</v>
      </c>
      <c r="R82" s="173">
        <v>1</v>
      </c>
      <c r="S82" s="173">
        <v>1</v>
      </c>
      <c r="T82" s="173">
        <v>1</v>
      </c>
      <c r="U82" s="173">
        <v>1</v>
      </c>
      <c r="V82" s="173">
        <v>1</v>
      </c>
      <c r="W82" s="173">
        <v>1</v>
      </c>
      <c r="X82" s="173">
        <v>1</v>
      </c>
      <c r="Y82" s="173">
        <v>1</v>
      </c>
      <c r="Z82" s="173">
        <v>1</v>
      </c>
      <c r="AA82" s="173">
        <v>1</v>
      </c>
      <c r="AB82" s="173">
        <v>1</v>
      </c>
      <c r="AC82" s="173">
        <v>1</v>
      </c>
      <c r="AD82" s="173">
        <v>1</v>
      </c>
      <c r="AE82" s="173">
        <v>1</v>
      </c>
      <c r="AF82" s="173">
        <v>1</v>
      </c>
      <c r="AG82" s="173">
        <v>1</v>
      </c>
      <c r="AH82" s="173">
        <v>1</v>
      </c>
      <c r="AI82" s="173">
        <v>1</v>
      </c>
      <c r="AJ82" s="173">
        <v>1</v>
      </c>
      <c r="AK82" s="173">
        <v>1</v>
      </c>
      <c r="AL82" s="173">
        <v>1</v>
      </c>
    </row>
    <row r="83" spans="1:38">
      <c r="D83" t="str">
        <f>Commodities!$C$104</f>
        <v>UREFBOI</v>
      </c>
      <c r="J83" s="4"/>
    </row>
    <row r="84" spans="1:38">
      <c r="A84" s="4" t="str">
        <f>AO14</f>
        <v>U-TRF-OILREFBOI_ELC00</v>
      </c>
      <c r="B84" s="4" t="str">
        <f>AP14</f>
        <v>UPS Transformation: Oil refinery boilers Electricity - Existing</v>
      </c>
      <c r="C84" s="4"/>
      <c r="D84" s="4"/>
      <c r="E84" s="4"/>
      <c r="F84" s="4"/>
      <c r="G84" s="4" t="s">
        <v>695</v>
      </c>
      <c r="H84" s="4"/>
      <c r="I84" s="4"/>
      <c r="J84" s="4" t="s">
        <v>2665</v>
      </c>
      <c r="K84" s="333">
        <v>1</v>
      </c>
      <c r="L84" s="333">
        <v>1</v>
      </c>
      <c r="M84" s="333">
        <v>1</v>
      </c>
      <c r="N84" s="333">
        <v>1</v>
      </c>
      <c r="O84" s="333">
        <v>1</v>
      </c>
      <c r="P84" s="333">
        <v>1</v>
      </c>
      <c r="Q84" s="333">
        <v>1</v>
      </c>
      <c r="R84" s="333">
        <v>1</v>
      </c>
      <c r="S84" s="333">
        <v>1</v>
      </c>
      <c r="T84" s="333">
        <v>1</v>
      </c>
      <c r="U84" s="333">
        <v>1</v>
      </c>
      <c r="V84" s="333">
        <v>1</v>
      </c>
      <c r="W84" s="333">
        <v>1</v>
      </c>
      <c r="X84" s="333">
        <v>1</v>
      </c>
      <c r="Y84" s="333">
        <v>1</v>
      </c>
      <c r="Z84" s="333">
        <v>1</v>
      </c>
      <c r="AA84" s="333">
        <v>1</v>
      </c>
      <c r="AB84" s="333">
        <v>1</v>
      </c>
      <c r="AC84" s="333">
        <v>1</v>
      </c>
      <c r="AD84" s="333">
        <v>1</v>
      </c>
      <c r="AE84" s="333">
        <v>1</v>
      </c>
      <c r="AF84" s="333">
        <v>1</v>
      </c>
      <c r="AG84" s="333">
        <v>1</v>
      </c>
      <c r="AH84" s="333">
        <v>1</v>
      </c>
      <c r="AI84" s="333">
        <v>1</v>
      </c>
      <c r="AJ84" s="333">
        <v>1</v>
      </c>
      <c r="AK84" s="333">
        <v>1</v>
      </c>
      <c r="AL84" s="333">
        <v>1</v>
      </c>
    </row>
    <row r="85" spans="1:38">
      <c r="A85" s="4"/>
      <c r="B85" s="4"/>
      <c r="C85" s="4"/>
      <c r="D85" s="4"/>
      <c r="E85" s="4"/>
      <c r="F85" s="4"/>
      <c r="G85" s="4" t="s">
        <v>697</v>
      </c>
      <c r="H85" s="4"/>
      <c r="I85" s="4"/>
      <c r="J85" s="4" t="s">
        <v>698</v>
      </c>
      <c r="K85" s="424">
        <f>'Key inputs_Refineries'!$F$176</f>
        <v>15</v>
      </c>
      <c r="L85" s="424">
        <f>'Key inputs_Refineries'!$F$176</f>
        <v>15</v>
      </c>
      <c r="M85" s="424">
        <f>'Key inputs_Refineries'!$F$176</f>
        <v>15</v>
      </c>
      <c r="N85" s="424">
        <f>'Key inputs_Refineries'!$F$176</f>
        <v>15</v>
      </c>
      <c r="O85" s="424">
        <f>'Key inputs_Refineries'!$F$176</f>
        <v>15</v>
      </c>
      <c r="P85" s="424">
        <f>'Key inputs_Refineries'!$F$176</f>
        <v>15</v>
      </c>
      <c r="Q85" s="424">
        <f>'Key inputs_Refineries'!$F$176</f>
        <v>15</v>
      </c>
      <c r="R85" s="424">
        <f>'Key inputs_Refineries'!$F$176</f>
        <v>15</v>
      </c>
      <c r="S85" s="424">
        <f>'Key inputs_Refineries'!$F$176</f>
        <v>15</v>
      </c>
      <c r="T85" s="424">
        <f>'Key inputs_Refineries'!$F$176</f>
        <v>15</v>
      </c>
      <c r="U85" s="424">
        <f>'Key inputs_Refineries'!$F$176</f>
        <v>15</v>
      </c>
      <c r="V85" s="424">
        <f>'Key inputs_Refineries'!$F$176</f>
        <v>15</v>
      </c>
      <c r="W85" s="424">
        <f>'Key inputs_Refineries'!$F$176</f>
        <v>15</v>
      </c>
      <c r="X85" s="424">
        <f>'Key inputs_Refineries'!$F$176</f>
        <v>15</v>
      </c>
      <c r="Y85" s="424">
        <f>'Key inputs_Refineries'!$F$176</f>
        <v>15</v>
      </c>
      <c r="Z85" s="424">
        <f>'Key inputs_Refineries'!$F$176</f>
        <v>15</v>
      </c>
      <c r="AA85" s="424">
        <f>'Key inputs_Refineries'!$F$176</f>
        <v>15</v>
      </c>
      <c r="AB85" s="424">
        <f>'Key inputs_Refineries'!$F$176</f>
        <v>15</v>
      </c>
      <c r="AC85" s="424">
        <f>'Key inputs_Refineries'!$F$176</f>
        <v>15</v>
      </c>
      <c r="AD85" s="424">
        <f>'Key inputs_Refineries'!$F$176</f>
        <v>15</v>
      </c>
      <c r="AE85" s="424">
        <f>'Key inputs_Refineries'!$F$176</f>
        <v>15</v>
      </c>
      <c r="AF85" s="424">
        <f>'Key inputs_Refineries'!$F$176</f>
        <v>15</v>
      </c>
      <c r="AG85" s="424">
        <f>'Key inputs_Refineries'!$F$176</f>
        <v>15</v>
      </c>
      <c r="AH85" s="424">
        <f>'Key inputs_Refineries'!$F$176</f>
        <v>15</v>
      </c>
      <c r="AI85" s="424">
        <f>'Key inputs_Refineries'!$F$176</f>
        <v>15</v>
      </c>
      <c r="AJ85" s="424">
        <f>'Key inputs_Refineries'!$F$176</f>
        <v>15</v>
      </c>
      <c r="AK85" s="424">
        <f>'Key inputs_Refineries'!$F$176</f>
        <v>15</v>
      </c>
      <c r="AL85" s="424">
        <f>'Key inputs_Refineries'!$F$176</f>
        <v>15</v>
      </c>
    </row>
    <row r="86" spans="1:38">
      <c r="A86" s="4"/>
      <c r="B86" s="4"/>
      <c r="C86" s="4"/>
      <c r="D86" s="4"/>
      <c r="E86" s="4"/>
      <c r="F86" s="4"/>
      <c r="G86" s="4" t="s">
        <v>699</v>
      </c>
      <c r="H86" s="4"/>
      <c r="I86" s="4">
        <v>2019</v>
      </c>
      <c r="J86" s="4" t="s">
        <v>112</v>
      </c>
      <c r="K86" s="347">
        <f>-SUM(SUMIFS('Key inputs_Refineries'!E$85:E$164,'Key inputs_Refineries'!$C$85:$C$164,$C94,'Key inputs_Refineries'!$B$85:$B$164,"Boiler"))*K93/10^3</f>
        <v>0</v>
      </c>
      <c r="L86" s="347">
        <f>-SUM(SUMIFS('Key inputs_Refineries'!F$85:F$164,'Key inputs_Refineries'!$C$85:$C$164,$C94,'Key inputs_Refineries'!$B$85:$B$164,"Boiler"))*L93/10^3</f>
        <v>1.5794171900069213E-2</v>
      </c>
      <c r="M86" s="347">
        <f>-SUM(SUMIFS('Key inputs_Refineries'!G$85:G$164,'Key inputs_Refineries'!$C$85:$C$164,$C94,'Key inputs_Refineries'!$B$85:$B$164,"Boiler"))*M93/10^3</f>
        <v>4.3523240457698027E-5</v>
      </c>
      <c r="N86" s="347">
        <f>-SUM(SUMIFS('Key inputs_Refineries'!H$85:H$164,'Key inputs_Refineries'!$C$85:$C$164,$C94,'Key inputs_Refineries'!$B$85:$B$164,"Boiler"))*N93/10^3</f>
        <v>0.23462527518475185</v>
      </c>
      <c r="O86" s="347">
        <f>-SUM(SUMIFS('Key inputs_Refineries'!I$85:I$164,'Key inputs_Refineries'!$C$85:$C$164,$C94,'Key inputs_Refineries'!$B$85:$B$164,"Boiler"))*O93/10^3</f>
        <v>4.2987551478860242E-2</v>
      </c>
      <c r="P86" s="347">
        <f>-SUM(SUMIFS('Key inputs_Refineries'!J$85:J$164,'Key inputs_Refineries'!$C$85:$C$164,$C94,'Key inputs_Refineries'!$B$85:$B$164,"Boiler"))*P93/10^3</f>
        <v>2.8237691171737824E-2</v>
      </c>
      <c r="Q86" s="347">
        <f>-SUM(SUMIFS('Key inputs_Refineries'!K$85:K$164,'Key inputs_Refineries'!$C$85:$C$164,$C94,'Key inputs_Refineries'!$B$85:$B$164,"Boiler"))*Q93/10^3</f>
        <v>0</v>
      </c>
      <c r="R86" s="347">
        <f>-SUM(SUMIFS('Key inputs_Refineries'!L$85:L$164,'Key inputs_Refineries'!$C$85:$C$164,$C94,'Key inputs_Refineries'!$B$85:$B$164,"Boiler"))*R93/10^3</f>
        <v>0</v>
      </c>
      <c r="S86" s="347">
        <f>-SUM(SUMIFS('Key inputs_Refineries'!M$85:M$164,'Key inputs_Refineries'!$C$85:$C$164,$C94,'Key inputs_Refineries'!$B$85:$B$164,"Boiler"))*S93/10^3</f>
        <v>0.12781620000000002</v>
      </c>
      <c r="T86" s="347">
        <f>-SUM(SUMIFS('Key inputs_Refineries'!N$85:N$164,'Key inputs_Refineries'!$C$85:$C$164,$C94,'Key inputs_Refineries'!$B$85:$B$164,"Boiler"))*T93/10^3</f>
        <v>0.25281494334528493</v>
      </c>
      <c r="U86" s="347">
        <f>-SUM(SUMIFS('Key inputs_Refineries'!O$85:O$164,'Key inputs_Refineries'!$C$85:$C$164,$C94,'Key inputs_Refineries'!$B$85:$B$164,"Boiler"))*U93/10^3</f>
        <v>1.7973990824016451E-2</v>
      </c>
      <c r="V86" s="347">
        <f>-SUM(SUMIFS('Key inputs_Refineries'!P$85:P$164,'Key inputs_Refineries'!$C$85:$C$164,$C94,'Key inputs_Refineries'!$B$85:$B$164,"Boiler"))*V93/10^3</f>
        <v>3.5318358467803703</v>
      </c>
      <c r="W86" s="347">
        <f>-SUM(SUMIFS('Key inputs_Refineries'!Q$85:Q$164,'Key inputs_Refineries'!$C$85:$C$164,$C94,'Key inputs_Refineries'!$B$85:$B$164,"Boiler"))*W93/10^3</f>
        <v>7.5874517298067226E-2</v>
      </c>
      <c r="X86" s="347">
        <f>-SUM(SUMIFS('Key inputs_Refineries'!R$85:R$164,'Key inputs_Refineries'!$C$85:$C$164,$C94,'Key inputs_Refineries'!$B$85:$B$164,"Boiler"))*X93/10^3</f>
        <v>0.13124853643958381</v>
      </c>
      <c r="Y86" s="347">
        <f>-SUM(SUMIFS('Key inputs_Refineries'!S$85:S$164,'Key inputs_Refineries'!$C$85:$C$164,$C94,'Key inputs_Refineries'!$B$85:$B$164,"Boiler"))*Y93/10^3</f>
        <v>0.17550561839414119</v>
      </c>
      <c r="Z86" s="347">
        <f>-SUM(SUMIFS('Key inputs_Refineries'!T$85:T$164,'Key inputs_Refineries'!$C$85:$C$164,$C94,'Key inputs_Refineries'!$B$85:$B$164,"Boiler"))*Z93/10^3</f>
        <v>0.38650111885514016</v>
      </c>
      <c r="AA86" s="347">
        <f>-SUM(SUMIFS('Key inputs_Refineries'!U$85:U$164,'Key inputs_Refineries'!$C$85:$C$164,$C94,'Key inputs_Refineries'!$B$85:$B$164,"Boiler"))*AA93/10^3</f>
        <v>0.37250819945893948</v>
      </c>
      <c r="AB86" s="347">
        <f>-SUM(SUMIFS('Key inputs_Refineries'!V$85:V$164,'Key inputs_Refineries'!$C$85:$C$164,$C94,'Key inputs_Refineries'!$B$85:$B$164,"Boiler"))*AB93/10^3</f>
        <v>0</v>
      </c>
      <c r="AC86" s="347">
        <f>-SUM(SUMIFS('Key inputs_Refineries'!W$85:W$164,'Key inputs_Refineries'!$C$85:$C$164,$C94,'Key inputs_Refineries'!$B$85:$B$164,"Boiler"))*AC93/10^3</f>
        <v>0.16248599999999999</v>
      </c>
      <c r="AD86" s="347">
        <f>-SUM(SUMIFS('Key inputs_Refineries'!X$85:X$164,'Key inputs_Refineries'!$C$85:$C$164,$C94,'Key inputs_Refineries'!$B$85:$B$164,"Boiler"))*AD93/10^3</f>
        <v>0.2853003215789558</v>
      </c>
      <c r="AE86" s="347">
        <f>-SUM(SUMIFS('Key inputs_Refineries'!Y$85:Y$164,'Key inputs_Refineries'!$C$85:$C$164,$C94,'Key inputs_Refineries'!$B$85:$B$164,"Boiler"))*AE93/10^3</f>
        <v>8.4811542843833077E-2</v>
      </c>
      <c r="AF86" s="347">
        <f>-SUM(SUMIFS('Key inputs_Refineries'!Z$85:Z$164,'Key inputs_Refineries'!$C$85:$C$164,$C94,'Key inputs_Refineries'!$B$85:$B$164,"Boiler"))*AF93/10^3</f>
        <v>0.10052484101734571</v>
      </c>
      <c r="AG86" s="347">
        <f>-SUM(SUMIFS('Key inputs_Refineries'!AA$85:AA$164,'Key inputs_Refineries'!$C$85:$C$164,$C94,'Key inputs_Refineries'!$B$85:$B$164,"Boiler"))*AG93/10^3</f>
        <v>0.34699791264768443</v>
      </c>
      <c r="AH86" s="347">
        <f>-SUM(SUMIFS('Key inputs_Refineries'!AB$85:AB$164,'Key inputs_Refineries'!$C$85:$C$164,$C94,'Key inputs_Refineries'!$B$85:$B$164,"Boiler"))*AH93/10^3</f>
        <v>4.2600652755713064E-2</v>
      </c>
      <c r="AI86" s="347">
        <f>-SUM(SUMIFS('Key inputs_Refineries'!AC$85:AC$164,'Key inputs_Refineries'!$C$85:$C$164,$C94,'Key inputs_Refineries'!$B$85:$B$164,"Boiler"))*AI93/10^3</f>
        <v>0</v>
      </c>
      <c r="AJ86" s="347">
        <f>-SUM(SUMIFS('Key inputs_Refineries'!AD$85:AD$164,'Key inputs_Refineries'!$C$85:$C$164,$C94,'Key inputs_Refineries'!$B$85:$B$164,"Boiler"))*AJ93/10^3</f>
        <v>0.91844010946037902</v>
      </c>
      <c r="AK86" s="347">
        <f>-SUM(SUMIFS('Key inputs_Refineries'!AE$85:AE$164,'Key inputs_Refineries'!$C$85:$C$164,$C94,'Key inputs_Refineries'!$B$85:$B$164,"Boiler"))*AK93/10^3</f>
        <v>0.404758441824079</v>
      </c>
      <c r="AL86" s="347">
        <f>-SUM(SUMIFS('Key inputs_Refineries'!AF$85:AF$164,'Key inputs_Refineries'!$C$85:$C$164,$C94,'Key inputs_Refineries'!$B$85:$B$164,"Boiler"))*AL93/10^3</f>
        <v>1.6982291626874018</v>
      </c>
    </row>
    <row r="87" spans="1:38">
      <c r="G87" s="4" t="s">
        <v>701</v>
      </c>
      <c r="H87" s="4" t="s">
        <v>661</v>
      </c>
      <c r="I87" s="4">
        <v>2019</v>
      </c>
      <c r="J87" s="4" t="s">
        <v>112</v>
      </c>
      <c r="K87" s="333">
        <v>0</v>
      </c>
      <c r="L87" s="333">
        <v>0</v>
      </c>
      <c r="M87" s="333">
        <v>0</v>
      </c>
      <c r="N87" s="333">
        <v>0</v>
      </c>
      <c r="O87" s="333">
        <v>0</v>
      </c>
      <c r="P87" s="333">
        <v>0</v>
      </c>
      <c r="Q87" s="333">
        <v>0</v>
      </c>
      <c r="R87" s="333">
        <v>0</v>
      </c>
      <c r="S87" s="333">
        <v>0</v>
      </c>
      <c r="T87" s="333">
        <v>0</v>
      </c>
      <c r="U87" s="333">
        <v>0</v>
      </c>
      <c r="V87" s="333">
        <v>0</v>
      </c>
      <c r="W87" s="333">
        <v>0</v>
      </c>
      <c r="X87" s="333">
        <v>0</v>
      </c>
      <c r="Y87" s="333">
        <v>0</v>
      </c>
      <c r="Z87" s="333">
        <v>0</v>
      </c>
      <c r="AA87" s="333">
        <v>0</v>
      </c>
      <c r="AB87" s="333">
        <v>0</v>
      </c>
      <c r="AC87" s="333">
        <v>0</v>
      </c>
      <c r="AD87" s="333">
        <v>0</v>
      </c>
      <c r="AE87" s="333">
        <v>0</v>
      </c>
      <c r="AF87" s="333">
        <v>0</v>
      </c>
      <c r="AG87" s="333">
        <v>0</v>
      </c>
      <c r="AH87" s="333">
        <v>0</v>
      </c>
      <c r="AI87" s="333">
        <v>0</v>
      </c>
      <c r="AJ87" s="333">
        <v>0</v>
      </c>
      <c r="AK87" s="333">
        <v>0</v>
      </c>
      <c r="AL87" s="333">
        <v>0</v>
      </c>
    </row>
    <row r="88" spans="1:38">
      <c r="G88" s="4" t="s">
        <v>701</v>
      </c>
      <c r="H88" s="4" t="s">
        <v>661</v>
      </c>
      <c r="I88" s="4">
        <v>2060</v>
      </c>
      <c r="J88" s="4" t="s">
        <v>112</v>
      </c>
      <c r="K88" s="333">
        <v>0</v>
      </c>
      <c r="L88" s="333">
        <v>0</v>
      </c>
      <c r="M88" s="333">
        <v>0</v>
      </c>
      <c r="N88" s="333">
        <v>0</v>
      </c>
      <c r="O88" s="333">
        <v>0</v>
      </c>
      <c r="P88" s="333">
        <v>0</v>
      </c>
      <c r="Q88" s="333">
        <v>0</v>
      </c>
      <c r="R88" s="333">
        <v>0</v>
      </c>
      <c r="S88" s="333">
        <v>0</v>
      </c>
      <c r="T88" s="333">
        <v>0</v>
      </c>
      <c r="U88" s="333">
        <v>0</v>
      </c>
      <c r="V88" s="333">
        <v>0</v>
      </c>
      <c r="W88" s="333">
        <v>0</v>
      </c>
      <c r="X88" s="333">
        <v>0</v>
      </c>
      <c r="Y88" s="333">
        <v>0</v>
      </c>
      <c r="Z88" s="333">
        <v>0</v>
      </c>
      <c r="AA88" s="333">
        <v>0</v>
      </c>
      <c r="AB88" s="333">
        <v>0</v>
      </c>
      <c r="AC88" s="333">
        <v>0</v>
      </c>
      <c r="AD88" s="333">
        <v>0</v>
      </c>
      <c r="AE88" s="333">
        <v>0</v>
      </c>
      <c r="AF88" s="333">
        <v>0</v>
      </c>
      <c r="AG88" s="333">
        <v>0</v>
      </c>
      <c r="AH88" s="333">
        <v>0</v>
      </c>
      <c r="AI88" s="333">
        <v>0</v>
      </c>
      <c r="AJ88" s="333">
        <v>0</v>
      </c>
      <c r="AK88" s="333">
        <v>0</v>
      </c>
      <c r="AL88" s="333">
        <v>0</v>
      </c>
    </row>
    <row r="89" spans="1:38">
      <c r="G89" s="4" t="s">
        <v>701</v>
      </c>
      <c r="H89" s="4" t="s">
        <v>661</v>
      </c>
      <c r="I89" s="4">
        <v>0</v>
      </c>
      <c r="J89" s="4"/>
      <c r="K89" s="333">
        <v>5</v>
      </c>
      <c r="L89" s="333">
        <v>5</v>
      </c>
      <c r="M89" s="333">
        <v>5</v>
      </c>
      <c r="N89" s="333">
        <v>5</v>
      </c>
      <c r="O89" s="333">
        <v>5</v>
      </c>
      <c r="P89" s="333">
        <v>5</v>
      </c>
      <c r="Q89" s="333">
        <v>5</v>
      </c>
      <c r="R89" s="333">
        <v>5</v>
      </c>
      <c r="S89" s="333">
        <v>5</v>
      </c>
      <c r="T89" s="333">
        <v>5</v>
      </c>
      <c r="U89" s="333">
        <v>5</v>
      </c>
      <c r="V89" s="333">
        <v>5</v>
      </c>
      <c r="W89" s="333">
        <v>5</v>
      </c>
      <c r="X89" s="333">
        <v>5</v>
      </c>
      <c r="Y89" s="333">
        <v>5</v>
      </c>
      <c r="Z89" s="333">
        <v>5</v>
      </c>
      <c r="AA89" s="333">
        <v>5</v>
      </c>
      <c r="AB89" s="333">
        <v>5</v>
      </c>
      <c r="AC89" s="333">
        <v>5</v>
      </c>
      <c r="AD89" s="333">
        <v>5</v>
      </c>
      <c r="AE89" s="333">
        <v>5</v>
      </c>
      <c r="AF89" s="333">
        <v>5</v>
      </c>
      <c r="AG89" s="333">
        <v>5</v>
      </c>
      <c r="AH89" s="333">
        <v>5</v>
      </c>
      <c r="AI89" s="333">
        <v>5</v>
      </c>
      <c r="AJ89" s="333">
        <v>5</v>
      </c>
      <c r="AK89" s="333">
        <v>5</v>
      </c>
      <c r="AL89" s="333">
        <v>5</v>
      </c>
    </row>
    <row r="90" spans="1:38">
      <c r="G90" s="4" t="s">
        <v>687</v>
      </c>
      <c r="H90" s="4"/>
      <c r="I90" s="4"/>
      <c r="J90" s="4" t="s">
        <v>2663</v>
      </c>
      <c r="K90" s="174">
        <f>'Key inputs_Refineries'!$C$176*10^3</f>
        <v>946.08</v>
      </c>
      <c r="L90" s="174">
        <f>'Key inputs_Refineries'!$C$176*10^3</f>
        <v>946.08</v>
      </c>
      <c r="M90" s="174">
        <f>'Key inputs_Refineries'!$C$176*10^3</f>
        <v>946.08</v>
      </c>
      <c r="N90" s="174">
        <f>'Key inputs_Refineries'!$C$176*10^3</f>
        <v>946.08</v>
      </c>
      <c r="O90" s="174">
        <f>'Key inputs_Refineries'!$C$176*10^3</f>
        <v>946.08</v>
      </c>
      <c r="P90" s="174">
        <f>'Key inputs_Refineries'!$C$176*10^3</f>
        <v>946.08</v>
      </c>
      <c r="Q90" s="174">
        <f>'Key inputs_Refineries'!$C$176*10^3</f>
        <v>946.08</v>
      </c>
      <c r="R90" s="174">
        <f>'Key inputs_Refineries'!$C$176*10^3</f>
        <v>946.08</v>
      </c>
      <c r="S90" s="174">
        <f>'Key inputs_Refineries'!$C$176*10^3</f>
        <v>946.08</v>
      </c>
      <c r="T90" s="174">
        <f>'Key inputs_Refineries'!$C$176*10^3</f>
        <v>946.08</v>
      </c>
      <c r="U90" s="174">
        <f>'Key inputs_Refineries'!$C$176*10^3</f>
        <v>946.08</v>
      </c>
      <c r="V90" s="174">
        <f>'Key inputs_Refineries'!$C$176*10^3</f>
        <v>946.08</v>
      </c>
      <c r="W90" s="174">
        <f>'Key inputs_Refineries'!$C$176*10^3</f>
        <v>946.08</v>
      </c>
      <c r="X90" s="174">
        <f>'Key inputs_Refineries'!$C$176*10^3</f>
        <v>946.08</v>
      </c>
      <c r="Y90" s="174">
        <f>'Key inputs_Refineries'!$C$176*10^3</f>
        <v>946.08</v>
      </c>
      <c r="Z90" s="174">
        <f>'Key inputs_Refineries'!$C$176*10^3</f>
        <v>946.08</v>
      </c>
      <c r="AA90" s="174">
        <f>'Key inputs_Refineries'!$C$176*10^3</f>
        <v>946.08</v>
      </c>
      <c r="AB90" s="174">
        <f>'Key inputs_Refineries'!$C$176*10^3</f>
        <v>946.08</v>
      </c>
      <c r="AC90" s="174">
        <f>'Key inputs_Refineries'!$C$176*10^3</f>
        <v>946.08</v>
      </c>
      <c r="AD90" s="174">
        <f>'Key inputs_Refineries'!$C$176*10^3</f>
        <v>946.08</v>
      </c>
      <c r="AE90" s="174">
        <f>'Key inputs_Refineries'!$C$176*10^3</f>
        <v>946.08</v>
      </c>
      <c r="AF90" s="174">
        <f>'Key inputs_Refineries'!$C$176*10^3</f>
        <v>946.08</v>
      </c>
      <c r="AG90" s="174">
        <f>'Key inputs_Refineries'!$C$176*10^3</f>
        <v>946.08</v>
      </c>
      <c r="AH90" s="174">
        <f>'Key inputs_Refineries'!$C$176*10^3</f>
        <v>946.08</v>
      </c>
      <c r="AI90" s="174">
        <f>'Key inputs_Refineries'!$C$176*10^3</f>
        <v>946.08</v>
      </c>
      <c r="AJ90" s="174">
        <f>'Key inputs_Refineries'!$C$176*10^3</f>
        <v>946.08</v>
      </c>
      <c r="AK90" s="174">
        <f>'Key inputs_Refineries'!$C$176*10^3</f>
        <v>946.08</v>
      </c>
      <c r="AL90" s="174">
        <f>'Key inputs_Refineries'!$C$176*10^3</f>
        <v>946.08</v>
      </c>
    </row>
    <row r="91" spans="1:38">
      <c r="G91" s="4" t="s">
        <v>689</v>
      </c>
      <c r="H91" s="4"/>
      <c r="I91" s="4"/>
      <c r="J91" s="4" t="s">
        <v>2663</v>
      </c>
      <c r="K91" s="174">
        <f>'Key inputs_Refineries'!$D$176*10^3</f>
        <v>9.4608000000000008</v>
      </c>
      <c r="L91" s="174">
        <f>'Key inputs_Refineries'!$D$176*10^3</f>
        <v>9.4608000000000008</v>
      </c>
      <c r="M91" s="174">
        <f>'Key inputs_Refineries'!$D$176*10^3</f>
        <v>9.4608000000000008</v>
      </c>
      <c r="N91" s="174">
        <f>'Key inputs_Refineries'!$D$176*10^3</f>
        <v>9.4608000000000008</v>
      </c>
      <c r="O91" s="174">
        <f>'Key inputs_Refineries'!$D$176*10^3</f>
        <v>9.4608000000000008</v>
      </c>
      <c r="P91" s="174">
        <f>'Key inputs_Refineries'!$D$176*10^3</f>
        <v>9.4608000000000008</v>
      </c>
      <c r="Q91" s="174">
        <f>'Key inputs_Refineries'!$D$176*10^3</f>
        <v>9.4608000000000008</v>
      </c>
      <c r="R91" s="174">
        <f>'Key inputs_Refineries'!$D$176*10^3</f>
        <v>9.4608000000000008</v>
      </c>
      <c r="S91" s="174">
        <f>'Key inputs_Refineries'!$D$176*10^3</f>
        <v>9.4608000000000008</v>
      </c>
      <c r="T91" s="174">
        <f>'Key inputs_Refineries'!$D$176*10^3</f>
        <v>9.4608000000000008</v>
      </c>
      <c r="U91" s="174">
        <f>'Key inputs_Refineries'!$D$176*10^3</f>
        <v>9.4608000000000008</v>
      </c>
      <c r="V91" s="174">
        <f>'Key inputs_Refineries'!$D$176*10^3</f>
        <v>9.4608000000000008</v>
      </c>
      <c r="W91" s="174">
        <f>'Key inputs_Refineries'!$D$176*10^3</f>
        <v>9.4608000000000008</v>
      </c>
      <c r="X91" s="174">
        <f>'Key inputs_Refineries'!$D$176*10^3</f>
        <v>9.4608000000000008</v>
      </c>
      <c r="Y91" s="174">
        <f>'Key inputs_Refineries'!$D$176*10^3</f>
        <v>9.4608000000000008</v>
      </c>
      <c r="Z91" s="174">
        <f>'Key inputs_Refineries'!$D$176*10^3</f>
        <v>9.4608000000000008</v>
      </c>
      <c r="AA91" s="174">
        <f>'Key inputs_Refineries'!$D$176*10^3</f>
        <v>9.4608000000000008</v>
      </c>
      <c r="AB91" s="174">
        <f>'Key inputs_Refineries'!$D$176*10^3</f>
        <v>9.4608000000000008</v>
      </c>
      <c r="AC91" s="174">
        <f>'Key inputs_Refineries'!$D$176*10^3</f>
        <v>9.4608000000000008</v>
      </c>
      <c r="AD91" s="174">
        <f>'Key inputs_Refineries'!$D$176*10^3</f>
        <v>9.4608000000000008</v>
      </c>
      <c r="AE91" s="174">
        <f>'Key inputs_Refineries'!$D$176*10^3</f>
        <v>9.4608000000000008</v>
      </c>
      <c r="AF91" s="174">
        <f>'Key inputs_Refineries'!$D$176*10^3</f>
        <v>9.4608000000000008</v>
      </c>
      <c r="AG91" s="174">
        <f>'Key inputs_Refineries'!$D$176*10^3</f>
        <v>9.4608000000000008</v>
      </c>
      <c r="AH91" s="174">
        <f>'Key inputs_Refineries'!$D$176*10^3</f>
        <v>9.4608000000000008</v>
      </c>
      <c r="AI91" s="174">
        <f>'Key inputs_Refineries'!$D$176*10^3</f>
        <v>9.4608000000000008</v>
      </c>
      <c r="AJ91" s="174">
        <f>'Key inputs_Refineries'!$D$176*10^3</f>
        <v>9.4608000000000008</v>
      </c>
      <c r="AK91" s="174">
        <f>'Key inputs_Refineries'!$D$176*10^3</f>
        <v>9.4608000000000008</v>
      </c>
      <c r="AL91" s="174">
        <f>'Key inputs_Refineries'!$D$176*10^3</f>
        <v>9.4608000000000008</v>
      </c>
    </row>
    <row r="92" spans="1:38">
      <c r="G92" s="4" t="s">
        <v>675</v>
      </c>
      <c r="H92" s="4"/>
      <c r="I92" s="4"/>
      <c r="J92" s="4" t="s">
        <v>2662</v>
      </c>
    </row>
    <row r="93" spans="1:38">
      <c r="G93" s="4" t="s">
        <v>630</v>
      </c>
      <c r="H93" s="4"/>
      <c r="I93" s="4"/>
      <c r="J93" s="4" t="s">
        <v>2666</v>
      </c>
      <c r="K93" s="419">
        <f>'Key inputs_Refineries'!$H$176</f>
        <v>0.85</v>
      </c>
      <c r="L93" s="419">
        <f>'Key inputs_Refineries'!$H$176</f>
        <v>0.85</v>
      </c>
      <c r="M93" s="419">
        <f>'Key inputs_Refineries'!$H$176</f>
        <v>0.85</v>
      </c>
      <c r="N93" s="419">
        <f>'Key inputs_Refineries'!$H$176</f>
        <v>0.85</v>
      </c>
      <c r="O93" s="419">
        <f>'Key inputs_Refineries'!$H$176</f>
        <v>0.85</v>
      </c>
      <c r="P93" s="419">
        <f>'Key inputs_Refineries'!$H$176</f>
        <v>0.85</v>
      </c>
      <c r="Q93" s="419">
        <f>'Key inputs_Refineries'!$H$176</f>
        <v>0.85</v>
      </c>
      <c r="R93" s="419">
        <f>'Key inputs_Refineries'!$H$176</f>
        <v>0.85</v>
      </c>
      <c r="S93" s="419">
        <f>'Key inputs_Refineries'!$H$176</f>
        <v>0.85</v>
      </c>
      <c r="T93" s="419">
        <f>'Key inputs_Refineries'!$H$176</f>
        <v>0.85</v>
      </c>
      <c r="U93" s="419">
        <f>'Key inputs_Refineries'!$H$176</f>
        <v>0.85</v>
      </c>
      <c r="V93" s="419">
        <f>'Key inputs_Refineries'!$H$176</f>
        <v>0.85</v>
      </c>
      <c r="W93" s="419">
        <f>'Key inputs_Refineries'!$H$176</f>
        <v>0.85</v>
      </c>
      <c r="X93" s="419">
        <f>'Key inputs_Refineries'!$H$176</f>
        <v>0.85</v>
      </c>
      <c r="Y93" s="419">
        <f>'Key inputs_Refineries'!$H$176</f>
        <v>0.85</v>
      </c>
      <c r="Z93" s="419">
        <f>'Key inputs_Refineries'!$H$176</f>
        <v>0.85</v>
      </c>
      <c r="AA93" s="419">
        <f>'Key inputs_Refineries'!$H$176</f>
        <v>0.85</v>
      </c>
      <c r="AB93" s="419">
        <f>'Key inputs_Refineries'!$H$176</f>
        <v>0.85</v>
      </c>
      <c r="AC93" s="419">
        <f>'Key inputs_Refineries'!$H$176</f>
        <v>0.85</v>
      </c>
      <c r="AD93" s="419">
        <f>'Key inputs_Refineries'!$H$176</f>
        <v>0.85</v>
      </c>
      <c r="AE93" s="419">
        <f>'Key inputs_Refineries'!$H$176</f>
        <v>0.85</v>
      </c>
      <c r="AF93" s="419">
        <f>'Key inputs_Refineries'!$H$176</f>
        <v>0.85</v>
      </c>
      <c r="AG93" s="419">
        <f>'Key inputs_Refineries'!$H$176</f>
        <v>0.85</v>
      </c>
      <c r="AH93" s="419">
        <f>'Key inputs_Refineries'!$H$176</f>
        <v>0.85</v>
      </c>
      <c r="AI93" s="419">
        <f>'Key inputs_Refineries'!$H$176</f>
        <v>0.85</v>
      </c>
      <c r="AJ93" s="419">
        <f>'Key inputs_Refineries'!$H$176</f>
        <v>0.85</v>
      </c>
      <c r="AK93" s="419">
        <f>'Key inputs_Refineries'!$H$176</f>
        <v>0.85</v>
      </c>
      <c r="AL93" s="419">
        <f>'Key inputs_Refineries'!$H$176</f>
        <v>0.85</v>
      </c>
    </row>
    <row r="94" spans="1:38">
      <c r="C94" t="str">
        <f>Commodities!$C$91</f>
        <v>UPSELC</v>
      </c>
      <c r="G94" s="4" t="s">
        <v>702</v>
      </c>
      <c r="H94" t="s">
        <v>661</v>
      </c>
      <c r="I94">
        <v>2019</v>
      </c>
      <c r="J94" s="4" t="s">
        <v>650</v>
      </c>
      <c r="K94" s="173">
        <v>1</v>
      </c>
      <c r="L94" s="173">
        <v>1</v>
      </c>
      <c r="M94" s="173">
        <v>1</v>
      </c>
      <c r="N94" s="173">
        <v>1</v>
      </c>
      <c r="O94" s="173">
        <v>1</v>
      </c>
      <c r="P94" s="173">
        <v>1</v>
      </c>
      <c r="Q94" s="173">
        <v>1</v>
      </c>
      <c r="R94" s="173">
        <v>1</v>
      </c>
      <c r="S94" s="173">
        <v>1</v>
      </c>
      <c r="T94" s="173">
        <v>1</v>
      </c>
      <c r="U94" s="173">
        <v>1</v>
      </c>
      <c r="V94" s="173">
        <v>1</v>
      </c>
      <c r="W94" s="173">
        <v>1</v>
      </c>
      <c r="X94" s="173">
        <v>1</v>
      </c>
      <c r="Y94" s="173">
        <v>1</v>
      </c>
      <c r="Z94" s="173">
        <v>1</v>
      </c>
      <c r="AA94" s="173">
        <v>1</v>
      </c>
      <c r="AB94" s="173">
        <v>1</v>
      </c>
      <c r="AC94" s="173">
        <v>1</v>
      </c>
      <c r="AD94" s="173">
        <v>1</v>
      </c>
      <c r="AE94" s="173">
        <v>1</v>
      </c>
      <c r="AF94" s="173">
        <v>1</v>
      </c>
      <c r="AG94" s="173">
        <v>1</v>
      </c>
      <c r="AH94" s="173">
        <v>1</v>
      </c>
      <c r="AI94" s="173">
        <v>1</v>
      </c>
      <c r="AJ94" s="173">
        <v>1</v>
      </c>
      <c r="AK94" s="173">
        <v>1</v>
      </c>
      <c r="AL94" s="173">
        <v>1</v>
      </c>
    </row>
    <row r="95" spans="1:38">
      <c r="D95" t="str">
        <f>Commodities!$C$104</f>
        <v>UREFBOI</v>
      </c>
      <c r="J95" s="4"/>
    </row>
    <row r="96" spans="1:38">
      <c r="A96" s="4" t="str">
        <f>AO15</f>
        <v>U-TRF-OILREFBOI_HET00</v>
      </c>
      <c r="B96" s="4" t="str">
        <f>AP15</f>
        <v>UPS Transformation: Oil refinery boilers Heat - Existing</v>
      </c>
      <c r="C96" s="4"/>
      <c r="D96" s="4"/>
      <c r="E96" s="4"/>
      <c r="F96" s="4"/>
      <c r="G96" s="4" t="s">
        <v>695</v>
      </c>
      <c r="H96" s="4"/>
      <c r="I96" s="4"/>
      <c r="J96" s="4" t="s">
        <v>2665</v>
      </c>
      <c r="K96" s="333">
        <v>1</v>
      </c>
      <c r="L96" s="333">
        <v>1</v>
      </c>
      <c r="M96" s="333">
        <v>1</v>
      </c>
      <c r="N96" s="333">
        <v>1</v>
      </c>
      <c r="O96" s="333">
        <v>1</v>
      </c>
      <c r="P96" s="333">
        <v>1</v>
      </c>
      <c r="Q96" s="333">
        <v>1</v>
      </c>
      <c r="R96" s="333">
        <v>1</v>
      </c>
      <c r="S96" s="333">
        <v>1</v>
      </c>
      <c r="T96" s="333">
        <v>1</v>
      </c>
      <c r="U96" s="333">
        <v>1</v>
      </c>
      <c r="V96" s="333">
        <v>1</v>
      </c>
      <c r="W96" s="333">
        <v>1</v>
      </c>
      <c r="X96" s="333">
        <v>1</v>
      </c>
      <c r="Y96" s="333">
        <v>1</v>
      </c>
      <c r="Z96" s="333">
        <v>1</v>
      </c>
      <c r="AA96" s="333">
        <v>1</v>
      </c>
      <c r="AB96" s="333">
        <v>1</v>
      </c>
      <c r="AC96" s="333">
        <v>1</v>
      </c>
      <c r="AD96" s="333">
        <v>1</v>
      </c>
      <c r="AE96" s="333">
        <v>1</v>
      </c>
      <c r="AF96" s="333">
        <v>1</v>
      </c>
      <c r="AG96" s="333">
        <v>1</v>
      </c>
      <c r="AH96" s="333">
        <v>1</v>
      </c>
      <c r="AI96" s="333">
        <v>1</v>
      </c>
      <c r="AJ96" s="333">
        <v>1</v>
      </c>
      <c r="AK96" s="333">
        <v>1</v>
      </c>
      <c r="AL96" s="333">
        <v>1</v>
      </c>
    </row>
    <row r="97" spans="1:47">
      <c r="A97" s="4"/>
      <c r="B97" s="4"/>
      <c r="C97" s="4"/>
      <c r="D97" s="4"/>
      <c r="E97" s="4"/>
      <c r="F97" s="4"/>
      <c r="G97" s="4" t="s">
        <v>697</v>
      </c>
      <c r="H97" s="4"/>
      <c r="I97" s="4"/>
      <c r="J97" s="4" t="s">
        <v>698</v>
      </c>
      <c r="K97" s="424">
        <f>'Key inputs_Refineries'!$F$177</f>
        <v>15</v>
      </c>
      <c r="L97" s="424">
        <f>'Key inputs_Refineries'!$F$177</f>
        <v>15</v>
      </c>
      <c r="M97" s="424">
        <f>'Key inputs_Refineries'!$F$177</f>
        <v>15</v>
      </c>
      <c r="N97" s="424">
        <f>'Key inputs_Refineries'!$F$177</f>
        <v>15</v>
      </c>
      <c r="O97" s="424">
        <f>'Key inputs_Refineries'!$F$177</f>
        <v>15</v>
      </c>
      <c r="P97" s="424">
        <f>'Key inputs_Refineries'!$F$177</f>
        <v>15</v>
      </c>
      <c r="Q97" s="424">
        <f>'Key inputs_Refineries'!$F$177</f>
        <v>15</v>
      </c>
      <c r="R97" s="424">
        <f>'Key inputs_Refineries'!$F$177</f>
        <v>15</v>
      </c>
      <c r="S97" s="424">
        <f>'Key inputs_Refineries'!$F$177</f>
        <v>15</v>
      </c>
      <c r="T97" s="424">
        <f>'Key inputs_Refineries'!$F$177</f>
        <v>15</v>
      </c>
      <c r="U97" s="424">
        <f>'Key inputs_Refineries'!$F$177</f>
        <v>15</v>
      </c>
      <c r="V97" s="424">
        <f>'Key inputs_Refineries'!$F$177</f>
        <v>15</v>
      </c>
      <c r="W97" s="424">
        <f>'Key inputs_Refineries'!$F$177</f>
        <v>15</v>
      </c>
      <c r="X97" s="424">
        <f>'Key inputs_Refineries'!$F$177</f>
        <v>15</v>
      </c>
      <c r="Y97" s="424">
        <f>'Key inputs_Refineries'!$F$177</f>
        <v>15</v>
      </c>
      <c r="Z97" s="424">
        <f>'Key inputs_Refineries'!$F$177</f>
        <v>15</v>
      </c>
      <c r="AA97" s="424">
        <f>'Key inputs_Refineries'!$F$177</f>
        <v>15</v>
      </c>
      <c r="AB97" s="424">
        <f>'Key inputs_Refineries'!$F$177</f>
        <v>15</v>
      </c>
      <c r="AC97" s="424">
        <f>'Key inputs_Refineries'!$F$177</f>
        <v>15</v>
      </c>
      <c r="AD97" s="424">
        <f>'Key inputs_Refineries'!$F$177</f>
        <v>15</v>
      </c>
      <c r="AE97" s="424">
        <f>'Key inputs_Refineries'!$F$177</f>
        <v>15</v>
      </c>
      <c r="AF97" s="424">
        <f>'Key inputs_Refineries'!$F$177</f>
        <v>15</v>
      </c>
      <c r="AG97" s="424">
        <f>'Key inputs_Refineries'!$F$177</f>
        <v>15</v>
      </c>
      <c r="AH97" s="424">
        <f>'Key inputs_Refineries'!$F$177</f>
        <v>15</v>
      </c>
      <c r="AI97" s="424">
        <f>'Key inputs_Refineries'!$F$177</f>
        <v>15</v>
      </c>
      <c r="AJ97" s="424">
        <f>'Key inputs_Refineries'!$F$177</f>
        <v>15</v>
      </c>
      <c r="AK97" s="424">
        <f>'Key inputs_Refineries'!$F$177</f>
        <v>15</v>
      </c>
      <c r="AL97" s="424">
        <f>'Key inputs_Refineries'!$F$177</f>
        <v>15</v>
      </c>
    </row>
    <row r="98" spans="1:47">
      <c r="A98" s="4"/>
      <c r="B98" s="4"/>
      <c r="C98" s="4"/>
      <c r="D98" s="4"/>
      <c r="E98" s="4"/>
      <c r="F98" s="4"/>
      <c r="G98" s="4" t="s">
        <v>699</v>
      </c>
      <c r="H98" s="4"/>
      <c r="I98" s="4">
        <v>2019</v>
      </c>
      <c r="J98" s="4" t="s">
        <v>112</v>
      </c>
      <c r="K98" s="347">
        <f>-SUM(SUMIFS('Key inputs_Refineries'!E$85:E$164,'Key inputs_Refineries'!$C$85:$C$164,$C106,'Key inputs_Refineries'!$B$85:$B$164,"Boiler"))*K105/10^3</f>
        <v>0</v>
      </c>
      <c r="L98" s="347">
        <f>-SUM(SUMIFS('Key inputs_Refineries'!F$85:F$164,'Key inputs_Refineries'!$C$85:$C$164,$C106,'Key inputs_Refineries'!$B$85:$B$164,"Boiler"))*L105/10^3</f>
        <v>0</v>
      </c>
      <c r="M98" s="347">
        <f>-SUM(SUMIFS('Key inputs_Refineries'!G$85:G$164,'Key inputs_Refineries'!$C$85:$C$164,$C106,'Key inputs_Refineries'!$B$85:$B$164,"Boiler"))*M105/10^3</f>
        <v>0</v>
      </c>
      <c r="N98" s="347">
        <f>-SUM(SUMIFS('Key inputs_Refineries'!H$85:H$164,'Key inputs_Refineries'!$C$85:$C$164,$C106,'Key inputs_Refineries'!$B$85:$B$164,"Boiler"))*N105/10^3</f>
        <v>0</v>
      </c>
      <c r="O98" s="347">
        <f>-SUM(SUMIFS('Key inputs_Refineries'!I$85:I$164,'Key inputs_Refineries'!$C$85:$C$164,$C106,'Key inputs_Refineries'!$B$85:$B$164,"Boiler"))*O105/10^3</f>
        <v>0</v>
      </c>
      <c r="P98" s="347">
        <f>-SUM(SUMIFS('Key inputs_Refineries'!J$85:J$164,'Key inputs_Refineries'!$C$85:$C$164,$C106,'Key inputs_Refineries'!$B$85:$B$164,"Boiler"))*P105/10^3</f>
        <v>0</v>
      </c>
      <c r="Q98" s="347">
        <f>-SUM(SUMIFS('Key inputs_Refineries'!K$85:K$164,'Key inputs_Refineries'!$C$85:$C$164,$C106,'Key inputs_Refineries'!$B$85:$B$164,"Boiler"))*Q105/10^3</f>
        <v>0</v>
      </c>
      <c r="R98" s="347">
        <f>-SUM(SUMIFS('Key inputs_Refineries'!L$85:L$164,'Key inputs_Refineries'!$C$85:$C$164,$C106,'Key inputs_Refineries'!$B$85:$B$164,"Boiler"))*R105/10^3</f>
        <v>0</v>
      </c>
      <c r="S98" s="347">
        <f>-SUM(SUMIFS('Key inputs_Refineries'!M$85:M$164,'Key inputs_Refineries'!$C$85:$C$164,$C106,'Key inputs_Refineries'!$B$85:$B$164,"Boiler"))*S105/10^3</f>
        <v>0</v>
      </c>
      <c r="T98" s="347">
        <f>-SUM(SUMIFS('Key inputs_Refineries'!N$85:N$164,'Key inputs_Refineries'!$C$85:$C$164,$C106,'Key inputs_Refineries'!$B$85:$B$164,"Boiler"))*T105/10^3</f>
        <v>0</v>
      </c>
      <c r="U98" s="347">
        <f>-SUM(SUMIFS('Key inputs_Refineries'!O$85:O$164,'Key inputs_Refineries'!$C$85:$C$164,$C106,'Key inputs_Refineries'!$B$85:$B$164,"Boiler"))*U105/10^3</f>
        <v>0</v>
      </c>
      <c r="V98" s="347">
        <f>-SUM(SUMIFS('Key inputs_Refineries'!P$85:P$164,'Key inputs_Refineries'!$C$85:$C$164,$C106,'Key inputs_Refineries'!$B$85:$B$164,"Boiler"))*V105/10^3</f>
        <v>200.98067094916576</v>
      </c>
      <c r="W98" s="347">
        <f>-SUM(SUMIFS('Key inputs_Refineries'!Q$85:Q$164,'Key inputs_Refineries'!$C$85:$C$164,$C106,'Key inputs_Refineries'!$B$85:$B$164,"Boiler"))*W105/10^3</f>
        <v>7.1936575865045551</v>
      </c>
      <c r="X98" s="347">
        <f>-SUM(SUMIFS('Key inputs_Refineries'!R$85:R$164,'Key inputs_Refineries'!$C$85:$C$164,$C106,'Key inputs_Refineries'!$B$85:$B$164,"Boiler"))*X105/10^3</f>
        <v>4.2286463999999997</v>
      </c>
      <c r="Y98" s="347">
        <f>-SUM(SUMIFS('Key inputs_Refineries'!S$85:S$164,'Key inputs_Refineries'!$C$85:$C$164,$C106,'Key inputs_Refineries'!$B$85:$B$164,"Boiler"))*Y105/10^3</f>
        <v>0.73853989753359683</v>
      </c>
      <c r="Z98" s="347">
        <f>-SUM(SUMIFS('Key inputs_Refineries'!T$85:T$164,'Key inputs_Refineries'!$C$85:$C$164,$C106,'Key inputs_Refineries'!$B$85:$B$164,"Boiler"))*Z105/10^3</f>
        <v>14.684675974697651</v>
      </c>
      <c r="AA98" s="347">
        <f>-SUM(SUMIFS('Key inputs_Refineries'!U$85:U$164,'Key inputs_Refineries'!$C$85:$C$164,$C106,'Key inputs_Refineries'!$B$85:$B$164,"Boiler"))*AA105/10^3</f>
        <v>6.2033705258274425</v>
      </c>
      <c r="AB98" s="347">
        <f>-SUM(SUMIFS('Key inputs_Refineries'!V$85:V$164,'Key inputs_Refineries'!$C$85:$C$164,$C106,'Key inputs_Refineries'!$B$85:$B$164,"Boiler"))*AB105/10^3</f>
        <v>0</v>
      </c>
      <c r="AC98" s="347">
        <f>-SUM(SUMIFS('Key inputs_Refineries'!W$85:W$164,'Key inputs_Refineries'!$C$85:$C$164,$C106,'Key inputs_Refineries'!$B$85:$B$164,"Boiler"))*AC105/10^3</f>
        <v>0</v>
      </c>
      <c r="AD98" s="347">
        <f>-SUM(SUMIFS('Key inputs_Refineries'!X$85:X$164,'Key inputs_Refineries'!$C$85:$C$164,$C106,'Key inputs_Refineries'!$B$85:$B$164,"Boiler"))*AD105/10^3</f>
        <v>0</v>
      </c>
      <c r="AE98" s="347">
        <f>-SUM(SUMIFS('Key inputs_Refineries'!Y$85:Y$164,'Key inputs_Refineries'!$C$85:$C$164,$C106,'Key inputs_Refineries'!$B$85:$B$164,"Boiler"))*AE105/10^3</f>
        <v>0</v>
      </c>
      <c r="AF98" s="347">
        <f>-SUM(SUMIFS('Key inputs_Refineries'!Z$85:Z$164,'Key inputs_Refineries'!$C$85:$C$164,$C106,'Key inputs_Refineries'!$B$85:$B$164,"Boiler"))*AF105/10^3</f>
        <v>0</v>
      </c>
      <c r="AG98" s="347">
        <f>-SUM(SUMIFS('Key inputs_Refineries'!AA$85:AA$164,'Key inputs_Refineries'!$C$85:$C$164,$C106,'Key inputs_Refineries'!$B$85:$B$164,"Boiler"))*AG105/10^3</f>
        <v>0</v>
      </c>
      <c r="AH98" s="347">
        <f>-SUM(SUMIFS('Key inputs_Refineries'!AB$85:AB$164,'Key inputs_Refineries'!$C$85:$C$164,$C106,'Key inputs_Refineries'!$B$85:$B$164,"Boiler"))*AH105/10^3</f>
        <v>0</v>
      </c>
      <c r="AI98" s="347">
        <f>-SUM(SUMIFS('Key inputs_Refineries'!AC$85:AC$164,'Key inputs_Refineries'!$C$85:$C$164,$C106,'Key inputs_Refineries'!$B$85:$B$164,"Boiler"))*AI105/10^3</f>
        <v>0</v>
      </c>
      <c r="AJ98" s="347">
        <f>-SUM(SUMIFS('Key inputs_Refineries'!AD$85:AD$164,'Key inputs_Refineries'!$C$85:$C$164,$C106,'Key inputs_Refineries'!$B$85:$B$164,"Boiler"))*AJ105/10^3</f>
        <v>121.83830698012201</v>
      </c>
      <c r="AK98" s="347">
        <f>-SUM(SUMIFS('Key inputs_Refineries'!AE$85:AE$164,'Key inputs_Refineries'!$C$85:$C$164,$C106,'Key inputs_Refineries'!$B$85:$B$164,"Boiler"))*AK105/10^3</f>
        <v>0.39061439999999997</v>
      </c>
      <c r="AL98" s="347">
        <f>-SUM(SUMIFS('Key inputs_Refineries'!AF$85:AF$164,'Key inputs_Refineries'!$C$85:$C$164,$C106,'Key inputs_Refineries'!$B$85:$B$164,"Boiler"))*AL105/10^3</f>
        <v>19.5620832</v>
      </c>
    </row>
    <row r="99" spans="1:47">
      <c r="G99" s="4" t="s">
        <v>701</v>
      </c>
      <c r="H99" s="4" t="s">
        <v>661</v>
      </c>
      <c r="I99" s="4">
        <v>2019</v>
      </c>
      <c r="J99" s="4" t="s">
        <v>112</v>
      </c>
      <c r="K99" s="333">
        <v>0</v>
      </c>
      <c r="L99" s="333">
        <v>0</v>
      </c>
      <c r="M99" s="333">
        <v>0</v>
      </c>
      <c r="N99" s="333">
        <v>0</v>
      </c>
      <c r="O99" s="333">
        <v>0</v>
      </c>
      <c r="P99" s="333">
        <v>0</v>
      </c>
      <c r="Q99" s="333">
        <v>0</v>
      </c>
      <c r="R99" s="333">
        <v>0</v>
      </c>
      <c r="S99" s="333">
        <v>0</v>
      </c>
      <c r="T99" s="333">
        <v>0</v>
      </c>
      <c r="U99" s="333">
        <v>0</v>
      </c>
      <c r="V99" s="333">
        <v>0</v>
      </c>
      <c r="W99" s="333">
        <v>0</v>
      </c>
      <c r="X99" s="333">
        <v>0</v>
      </c>
      <c r="Y99" s="333">
        <v>0</v>
      </c>
      <c r="Z99" s="333">
        <v>0</v>
      </c>
      <c r="AA99" s="333">
        <v>0</v>
      </c>
      <c r="AB99" s="333">
        <v>0</v>
      </c>
      <c r="AC99" s="333">
        <v>0</v>
      </c>
      <c r="AD99" s="333">
        <v>0</v>
      </c>
      <c r="AE99" s="333">
        <v>0</v>
      </c>
      <c r="AF99" s="333">
        <v>0</v>
      </c>
      <c r="AG99" s="333">
        <v>0</v>
      </c>
      <c r="AH99" s="333">
        <v>0</v>
      </c>
      <c r="AI99" s="333">
        <v>0</v>
      </c>
      <c r="AJ99" s="333">
        <v>0</v>
      </c>
      <c r="AK99" s="333">
        <v>0</v>
      </c>
      <c r="AL99" s="333">
        <v>0</v>
      </c>
    </row>
    <row r="100" spans="1:47">
      <c r="G100" s="4" t="s">
        <v>701</v>
      </c>
      <c r="H100" s="4" t="s">
        <v>661</v>
      </c>
      <c r="I100" s="4">
        <v>2060</v>
      </c>
      <c r="J100" s="4" t="s">
        <v>112</v>
      </c>
      <c r="K100" s="333">
        <v>0</v>
      </c>
      <c r="L100" s="333">
        <v>0</v>
      </c>
      <c r="M100" s="333">
        <v>0</v>
      </c>
      <c r="N100" s="333">
        <v>0</v>
      </c>
      <c r="O100" s="333">
        <v>0</v>
      </c>
      <c r="P100" s="333">
        <v>0</v>
      </c>
      <c r="Q100" s="333">
        <v>0</v>
      </c>
      <c r="R100" s="333">
        <v>0</v>
      </c>
      <c r="S100" s="333">
        <v>0</v>
      </c>
      <c r="T100" s="333">
        <v>0</v>
      </c>
      <c r="U100" s="333">
        <v>0</v>
      </c>
      <c r="V100" s="333">
        <v>0</v>
      </c>
      <c r="W100" s="333">
        <v>0</v>
      </c>
      <c r="X100" s="333">
        <v>0</v>
      </c>
      <c r="Y100" s="333">
        <v>0</v>
      </c>
      <c r="Z100" s="333">
        <v>0</v>
      </c>
      <c r="AA100" s="333">
        <v>0</v>
      </c>
      <c r="AB100" s="333">
        <v>0</v>
      </c>
      <c r="AC100" s="333">
        <v>0</v>
      </c>
      <c r="AD100" s="333">
        <v>0</v>
      </c>
      <c r="AE100" s="333">
        <v>0</v>
      </c>
      <c r="AF100" s="333">
        <v>0</v>
      </c>
      <c r="AG100" s="333">
        <v>0</v>
      </c>
      <c r="AH100" s="333">
        <v>0</v>
      </c>
      <c r="AI100" s="333">
        <v>0</v>
      </c>
      <c r="AJ100" s="333">
        <v>0</v>
      </c>
      <c r="AK100" s="333">
        <v>0</v>
      </c>
      <c r="AL100" s="333">
        <v>0</v>
      </c>
    </row>
    <row r="101" spans="1:47">
      <c r="G101" s="4" t="s">
        <v>701</v>
      </c>
      <c r="H101" s="4" t="s">
        <v>661</v>
      </c>
      <c r="I101" s="4">
        <v>0</v>
      </c>
      <c r="J101" s="4"/>
      <c r="K101" s="333">
        <v>5</v>
      </c>
      <c r="L101" s="333">
        <v>5</v>
      </c>
      <c r="M101" s="333">
        <v>5</v>
      </c>
      <c r="N101" s="333">
        <v>5</v>
      </c>
      <c r="O101" s="333">
        <v>5</v>
      </c>
      <c r="P101" s="333">
        <v>5</v>
      </c>
      <c r="Q101" s="333">
        <v>5</v>
      </c>
      <c r="R101" s="333">
        <v>5</v>
      </c>
      <c r="S101" s="333">
        <v>5</v>
      </c>
      <c r="T101" s="333">
        <v>5</v>
      </c>
      <c r="U101" s="333">
        <v>5</v>
      </c>
      <c r="V101" s="333">
        <v>5</v>
      </c>
      <c r="W101" s="333">
        <v>5</v>
      </c>
      <c r="X101" s="333">
        <v>5</v>
      </c>
      <c r="Y101" s="333">
        <v>5</v>
      </c>
      <c r="Z101" s="333">
        <v>5</v>
      </c>
      <c r="AA101" s="333">
        <v>5</v>
      </c>
      <c r="AB101" s="333">
        <v>5</v>
      </c>
      <c r="AC101" s="333">
        <v>5</v>
      </c>
      <c r="AD101" s="333">
        <v>5</v>
      </c>
      <c r="AE101" s="333">
        <v>5</v>
      </c>
      <c r="AF101" s="333">
        <v>5</v>
      </c>
      <c r="AG101" s="333">
        <v>5</v>
      </c>
      <c r="AH101" s="333">
        <v>5</v>
      </c>
      <c r="AI101" s="333">
        <v>5</v>
      </c>
      <c r="AJ101" s="333">
        <v>5</v>
      </c>
      <c r="AK101" s="333">
        <v>5</v>
      </c>
      <c r="AL101" s="333">
        <v>5</v>
      </c>
    </row>
    <row r="102" spans="1:47">
      <c r="G102" s="4" t="s">
        <v>687</v>
      </c>
      <c r="H102" s="4"/>
      <c r="I102" s="4"/>
      <c r="J102" s="4" t="s">
        <v>2663</v>
      </c>
      <c r="K102" s="174">
        <f>'Key inputs_Refineries'!$C$177*10^3</f>
        <v>946.08</v>
      </c>
      <c r="L102" s="174">
        <f>'Key inputs_Refineries'!$C$177*10^3</f>
        <v>946.08</v>
      </c>
      <c r="M102" s="174">
        <f>'Key inputs_Refineries'!$C$177*10^3</f>
        <v>946.08</v>
      </c>
      <c r="N102" s="174">
        <f>'Key inputs_Refineries'!$C$177*10^3</f>
        <v>946.08</v>
      </c>
      <c r="O102" s="174">
        <f>'Key inputs_Refineries'!$C$177*10^3</f>
        <v>946.08</v>
      </c>
      <c r="P102" s="174">
        <f>'Key inputs_Refineries'!$C$177*10^3</f>
        <v>946.08</v>
      </c>
      <c r="Q102" s="174">
        <f>'Key inputs_Refineries'!$C$177*10^3</f>
        <v>946.08</v>
      </c>
      <c r="R102" s="174">
        <f>'Key inputs_Refineries'!$C$177*10^3</f>
        <v>946.08</v>
      </c>
      <c r="S102" s="174">
        <f>'Key inputs_Refineries'!$C$177*10^3</f>
        <v>946.08</v>
      </c>
      <c r="T102" s="174">
        <f>'Key inputs_Refineries'!$C$177*10^3</f>
        <v>946.08</v>
      </c>
      <c r="U102" s="174">
        <f>'Key inputs_Refineries'!$C$177*10^3</f>
        <v>946.08</v>
      </c>
      <c r="V102" s="174">
        <f>'Key inputs_Refineries'!$C$177*10^3</f>
        <v>946.08</v>
      </c>
      <c r="W102" s="174">
        <f>'Key inputs_Refineries'!$C$177*10^3</f>
        <v>946.08</v>
      </c>
      <c r="X102" s="174">
        <f>'Key inputs_Refineries'!$C$177*10^3</f>
        <v>946.08</v>
      </c>
      <c r="Y102" s="174">
        <f>'Key inputs_Refineries'!$C$177*10^3</f>
        <v>946.08</v>
      </c>
      <c r="Z102" s="174">
        <f>'Key inputs_Refineries'!$C$177*10^3</f>
        <v>946.08</v>
      </c>
      <c r="AA102" s="174">
        <f>'Key inputs_Refineries'!$C$177*10^3</f>
        <v>946.08</v>
      </c>
      <c r="AB102" s="174">
        <f>'Key inputs_Refineries'!$C$177*10^3</f>
        <v>946.08</v>
      </c>
      <c r="AC102" s="174">
        <f>'Key inputs_Refineries'!$C$177*10^3</f>
        <v>946.08</v>
      </c>
      <c r="AD102" s="174">
        <f>'Key inputs_Refineries'!$C$177*10^3</f>
        <v>946.08</v>
      </c>
      <c r="AE102" s="174">
        <f>'Key inputs_Refineries'!$C$177*10^3</f>
        <v>946.08</v>
      </c>
      <c r="AF102" s="174">
        <f>'Key inputs_Refineries'!$C$177*10^3</f>
        <v>946.08</v>
      </c>
      <c r="AG102" s="174">
        <f>'Key inputs_Refineries'!$C$177*10^3</f>
        <v>946.08</v>
      </c>
      <c r="AH102" s="174">
        <f>'Key inputs_Refineries'!$C$177*10^3</f>
        <v>946.08</v>
      </c>
      <c r="AI102" s="174">
        <f>'Key inputs_Refineries'!$C$177*10^3</f>
        <v>946.08</v>
      </c>
      <c r="AJ102" s="174">
        <f>'Key inputs_Refineries'!$C$177*10^3</f>
        <v>946.08</v>
      </c>
      <c r="AK102" s="174">
        <f>'Key inputs_Refineries'!$C$177*10^3</f>
        <v>946.08</v>
      </c>
      <c r="AL102" s="174">
        <f>'Key inputs_Refineries'!$C$177*10^3</f>
        <v>946.08</v>
      </c>
    </row>
    <row r="103" spans="1:47">
      <c r="G103" s="4" t="s">
        <v>689</v>
      </c>
      <c r="H103" s="4"/>
      <c r="I103" s="4"/>
      <c r="J103" s="4" t="s">
        <v>2663</v>
      </c>
      <c r="K103" s="174">
        <f>'Key inputs_Refineries'!$D$177*10^3</f>
        <v>9.4608000000000008</v>
      </c>
      <c r="L103" s="174">
        <f>'Key inputs_Refineries'!$D$177*10^3</f>
        <v>9.4608000000000008</v>
      </c>
      <c r="M103" s="174">
        <f>'Key inputs_Refineries'!$D$177*10^3</f>
        <v>9.4608000000000008</v>
      </c>
      <c r="N103" s="174">
        <f>'Key inputs_Refineries'!$D$177*10^3</f>
        <v>9.4608000000000008</v>
      </c>
      <c r="O103" s="174">
        <f>'Key inputs_Refineries'!$D$177*10^3</f>
        <v>9.4608000000000008</v>
      </c>
      <c r="P103" s="174">
        <f>'Key inputs_Refineries'!$D$177*10^3</f>
        <v>9.4608000000000008</v>
      </c>
      <c r="Q103" s="174">
        <f>'Key inputs_Refineries'!$D$177*10^3</f>
        <v>9.4608000000000008</v>
      </c>
      <c r="R103" s="174">
        <f>'Key inputs_Refineries'!$D$177*10^3</f>
        <v>9.4608000000000008</v>
      </c>
      <c r="S103" s="174">
        <f>'Key inputs_Refineries'!$D$177*10^3</f>
        <v>9.4608000000000008</v>
      </c>
      <c r="T103" s="174">
        <f>'Key inputs_Refineries'!$D$177*10^3</f>
        <v>9.4608000000000008</v>
      </c>
      <c r="U103" s="174">
        <f>'Key inputs_Refineries'!$D$177*10^3</f>
        <v>9.4608000000000008</v>
      </c>
      <c r="V103" s="174">
        <f>'Key inputs_Refineries'!$D$177*10^3</f>
        <v>9.4608000000000008</v>
      </c>
      <c r="W103" s="174">
        <f>'Key inputs_Refineries'!$D$177*10^3</f>
        <v>9.4608000000000008</v>
      </c>
      <c r="X103" s="174">
        <f>'Key inputs_Refineries'!$D$177*10^3</f>
        <v>9.4608000000000008</v>
      </c>
      <c r="Y103" s="174">
        <f>'Key inputs_Refineries'!$D$177*10^3</f>
        <v>9.4608000000000008</v>
      </c>
      <c r="Z103" s="174">
        <f>'Key inputs_Refineries'!$D$177*10^3</f>
        <v>9.4608000000000008</v>
      </c>
      <c r="AA103" s="174">
        <f>'Key inputs_Refineries'!$D$177*10^3</f>
        <v>9.4608000000000008</v>
      </c>
      <c r="AB103" s="174">
        <f>'Key inputs_Refineries'!$D$177*10^3</f>
        <v>9.4608000000000008</v>
      </c>
      <c r="AC103" s="174">
        <f>'Key inputs_Refineries'!$D$177*10^3</f>
        <v>9.4608000000000008</v>
      </c>
      <c r="AD103" s="174">
        <f>'Key inputs_Refineries'!$D$177*10^3</f>
        <v>9.4608000000000008</v>
      </c>
      <c r="AE103" s="174">
        <f>'Key inputs_Refineries'!$D$177*10^3</f>
        <v>9.4608000000000008</v>
      </c>
      <c r="AF103" s="174">
        <f>'Key inputs_Refineries'!$D$177*10^3</f>
        <v>9.4608000000000008</v>
      </c>
      <c r="AG103" s="174">
        <f>'Key inputs_Refineries'!$D$177*10^3</f>
        <v>9.4608000000000008</v>
      </c>
      <c r="AH103" s="174">
        <f>'Key inputs_Refineries'!$D$177*10^3</f>
        <v>9.4608000000000008</v>
      </c>
      <c r="AI103" s="174">
        <f>'Key inputs_Refineries'!$D$177*10^3</f>
        <v>9.4608000000000008</v>
      </c>
      <c r="AJ103" s="174">
        <f>'Key inputs_Refineries'!$D$177*10^3</f>
        <v>9.4608000000000008</v>
      </c>
      <c r="AK103" s="174">
        <f>'Key inputs_Refineries'!$D$177*10^3</f>
        <v>9.4608000000000008</v>
      </c>
      <c r="AL103" s="174">
        <f>'Key inputs_Refineries'!$D$177*10^3</f>
        <v>9.4608000000000008</v>
      </c>
    </row>
    <row r="104" spans="1:47">
      <c r="G104" s="4" t="s">
        <v>675</v>
      </c>
      <c r="H104" s="4"/>
      <c r="I104" s="4"/>
      <c r="J104" s="4" t="s">
        <v>2662</v>
      </c>
    </row>
    <row r="105" spans="1:47">
      <c r="G105" s="4" t="s">
        <v>630</v>
      </c>
      <c r="H105" s="4"/>
      <c r="I105" s="4"/>
      <c r="J105" s="4" t="s">
        <v>2666</v>
      </c>
      <c r="K105" s="338">
        <f>'Key inputs_Refineries'!$H$177</f>
        <v>0.99</v>
      </c>
      <c r="L105" s="338">
        <f>'Key inputs_Refineries'!$H$177</f>
        <v>0.99</v>
      </c>
      <c r="M105" s="338">
        <f>'Key inputs_Refineries'!$H$177</f>
        <v>0.99</v>
      </c>
      <c r="N105" s="338">
        <f>'Key inputs_Refineries'!$H$177</f>
        <v>0.99</v>
      </c>
      <c r="O105" s="338">
        <f>'Key inputs_Refineries'!$H$177</f>
        <v>0.99</v>
      </c>
      <c r="P105" s="338">
        <f>'Key inputs_Refineries'!$H$177</f>
        <v>0.99</v>
      </c>
      <c r="Q105" s="338">
        <f>'Key inputs_Refineries'!$H$177</f>
        <v>0.99</v>
      </c>
      <c r="R105" s="338">
        <f>'Key inputs_Refineries'!$H$177</f>
        <v>0.99</v>
      </c>
      <c r="S105" s="338">
        <f>'Key inputs_Refineries'!$H$177</f>
        <v>0.99</v>
      </c>
      <c r="T105" s="338">
        <f>'Key inputs_Refineries'!$H$177</f>
        <v>0.99</v>
      </c>
      <c r="U105" s="338">
        <f>'Key inputs_Refineries'!$H$177</f>
        <v>0.99</v>
      </c>
      <c r="V105" s="338">
        <f>'Key inputs_Refineries'!$H$177</f>
        <v>0.99</v>
      </c>
      <c r="W105" s="338">
        <f>'Key inputs_Refineries'!$H$177</f>
        <v>0.99</v>
      </c>
      <c r="X105" s="338">
        <f>'Key inputs_Refineries'!$H$177</f>
        <v>0.99</v>
      </c>
      <c r="Y105" s="338">
        <f>'Key inputs_Refineries'!$H$177</f>
        <v>0.99</v>
      </c>
      <c r="Z105" s="338">
        <f>'Key inputs_Refineries'!$H$177</f>
        <v>0.99</v>
      </c>
      <c r="AA105" s="338">
        <f>'Key inputs_Refineries'!$H$177</f>
        <v>0.99</v>
      </c>
      <c r="AB105" s="338">
        <f>'Key inputs_Refineries'!$H$177</f>
        <v>0.99</v>
      </c>
      <c r="AC105" s="338">
        <f>'Key inputs_Refineries'!$H$177</f>
        <v>0.99</v>
      </c>
      <c r="AD105" s="338">
        <f>'Key inputs_Refineries'!$H$177</f>
        <v>0.99</v>
      </c>
      <c r="AE105" s="338">
        <f>'Key inputs_Refineries'!$H$177</f>
        <v>0.99</v>
      </c>
      <c r="AF105" s="338">
        <f>'Key inputs_Refineries'!$H$177</f>
        <v>0.99</v>
      </c>
      <c r="AG105" s="338">
        <f>'Key inputs_Refineries'!$H$177</f>
        <v>0.99</v>
      </c>
      <c r="AH105" s="338">
        <f>'Key inputs_Refineries'!$H$177</f>
        <v>0.99</v>
      </c>
      <c r="AI105" s="338">
        <f>'Key inputs_Refineries'!$H$177</f>
        <v>0.99</v>
      </c>
      <c r="AJ105" s="338">
        <f>'Key inputs_Refineries'!$H$177</f>
        <v>0.99</v>
      </c>
      <c r="AK105" s="338">
        <f>'Key inputs_Refineries'!$H$177</f>
        <v>0.99</v>
      </c>
      <c r="AL105" s="338">
        <f>'Key inputs_Refineries'!$H$177</f>
        <v>0.99</v>
      </c>
      <c r="AN105" s="353"/>
      <c r="AO105" s="353"/>
      <c r="AP105" s="353"/>
      <c r="AQ105" s="353"/>
      <c r="AR105" s="353"/>
      <c r="AS105" s="353"/>
      <c r="AT105" s="353"/>
      <c r="AU105" s="353"/>
    </row>
    <row r="106" spans="1:47">
      <c r="C106" t="str">
        <f>Commodities!$C$94</f>
        <v>UPSHET</v>
      </c>
      <c r="G106" s="4" t="s">
        <v>702</v>
      </c>
      <c r="H106" t="s">
        <v>661</v>
      </c>
      <c r="I106">
        <v>2019</v>
      </c>
      <c r="J106" t="s">
        <v>650</v>
      </c>
      <c r="K106" s="173">
        <v>1</v>
      </c>
      <c r="L106" s="173">
        <v>1</v>
      </c>
      <c r="M106" s="173">
        <v>1</v>
      </c>
      <c r="N106" s="173">
        <v>1</v>
      </c>
      <c r="O106" s="173">
        <v>1</v>
      </c>
      <c r="P106" s="173">
        <v>1</v>
      </c>
      <c r="Q106" s="173">
        <v>1</v>
      </c>
      <c r="R106" s="173">
        <v>1</v>
      </c>
      <c r="S106" s="173">
        <v>1</v>
      </c>
      <c r="T106" s="173">
        <v>1</v>
      </c>
      <c r="U106" s="173">
        <v>1</v>
      </c>
      <c r="V106" s="173">
        <v>1</v>
      </c>
      <c r="W106" s="173">
        <v>1</v>
      </c>
      <c r="X106" s="173">
        <v>1</v>
      </c>
      <c r="Y106" s="173">
        <v>1</v>
      </c>
      <c r="Z106" s="173">
        <v>1</v>
      </c>
      <c r="AA106" s="173">
        <v>1</v>
      </c>
      <c r="AB106" s="173">
        <v>1</v>
      </c>
      <c r="AC106" s="173">
        <v>1</v>
      </c>
      <c r="AD106" s="173">
        <v>1</v>
      </c>
      <c r="AE106" s="173">
        <v>1</v>
      </c>
      <c r="AF106" s="173">
        <v>1</v>
      </c>
      <c r="AG106" s="173">
        <v>1</v>
      </c>
      <c r="AH106" s="173">
        <v>1</v>
      </c>
      <c r="AI106" s="173">
        <v>1</v>
      </c>
      <c r="AJ106" s="173">
        <v>1</v>
      </c>
      <c r="AK106" s="173">
        <v>1</v>
      </c>
      <c r="AL106" s="173">
        <v>1</v>
      </c>
    </row>
    <row r="107" spans="1:47" s="4" customFormat="1">
      <c r="A107" s="236"/>
      <c r="B107" s="236"/>
      <c r="C107" s="236"/>
      <c r="D107" s="236" t="str">
        <f>Commodities!$C$104</f>
        <v>UREFBOI</v>
      </c>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c r="AA107" s="236"/>
      <c r="AB107" s="236"/>
      <c r="AC107" s="236"/>
      <c r="AD107" s="236"/>
      <c r="AE107" s="236"/>
      <c r="AF107" s="236"/>
      <c r="AG107" s="236"/>
      <c r="AH107" s="236"/>
      <c r="AI107" s="236"/>
      <c r="AJ107" s="236"/>
      <c r="AK107" s="236"/>
      <c r="AL107" s="236"/>
      <c r="AN107"/>
      <c r="AO107"/>
      <c r="AP107"/>
      <c r="AQ107"/>
      <c r="AR107"/>
      <c r="AS107"/>
      <c r="AT107"/>
      <c r="AU107"/>
    </row>
    <row r="108" spans="1:47">
      <c r="A108" s="257" t="s">
        <v>709</v>
      </c>
      <c r="B108" s="257"/>
      <c r="C108" s="257"/>
      <c r="D108" s="257"/>
      <c r="E108" s="257"/>
      <c r="F108" s="257"/>
      <c r="G108" s="257"/>
      <c r="H108" s="257"/>
      <c r="I108" s="257"/>
      <c r="J108" s="257"/>
      <c r="K108" s="352">
        <f t="shared" ref="K108:AL108" si="6">SUM(K12+K32+K57+K74+K86+K98)</f>
        <v>0.25344</v>
      </c>
      <c r="L108" s="352">
        <f t="shared" si="6"/>
        <v>8.6328205113306105</v>
      </c>
      <c r="M108" s="352">
        <f t="shared" si="6"/>
        <v>1.0819794730038685</v>
      </c>
      <c r="N108" s="352">
        <f t="shared" si="6"/>
        <v>0.23462527518475185</v>
      </c>
      <c r="O108" s="352">
        <f t="shared" si="6"/>
        <v>10.089812869671588</v>
      </c>
      <c r="P108" s="352">
        <f t="shared" si="6"/>
        <v>5.682167504175565</v>
      </c>
      <c r="Q108" s="352">
        <f t="shared" si="6"/>
        <v>28.806352184534564</v>
      </c>
      <c r="R108" s="352">
        <f t="shared" si="6"/>
        <v>1.163008</v>
      </c>
      <c r="S108" s="352">
        <f t="shared" si="6"/>
        <v>19.653625122437848</v>
      </c>
      <c r="T108" s="352">
        <f t="shared" si="6"/>
        <v>27.202263791300798</v>
      </c>
      <c r="U108" s="352">
        <f t="shared" si="6"/>
        <v>4.3279527509777225</v>
      </c>
      <c r="V108" s="352">
        <f t="shared" si="6"/>
        <v>886.58416619171453</v>
      </c>
      <c r="W108" s="352">
        <f t="shared" si="6"/>
        <v>17.940288827226468</v>
      </c>
      <c r="X108" s="352">
        <f t="shared" si="6"/>
        <v>27.440900733978491</v>
      </c>
      <c r="Y108" s="352">
        <f t="shared" si="6"/>
        <v>37.949551640698125</v>
      </c>
      <c r="Z108" s="352">
        <f t="shared" si="6"/>
        <v>143.09063392425514</v>
      </c>
      <c r="AA108" s="352">
        <f t="shared" si="6"/>
        <v>130.59913602476854</v>
      </c>
      <c r="AB108" s="352">
        <f t="shared" si="6"/>
        <v>43.834271714179991</v>
      </c>
      <c r="AC108" s="352">
        <f t="shared" si="6"/>
        <v>221.86350783096827</v>
      </c>
      <c r="AD108" s="352">
        <f t="shared" si="6"/>
        <v>75.601145368209842</v>
      </c>
      <c r="AE108" s="352">
        <f t="shared" si="6"/>
        <v>62.0142212948411</v>
      </c>
      <c r="AF108" s="352">
        <f t="shared" si="6"/>
        <v>33.604782080605972</v>
      </c>
      <c r="AG108" s="352">
        <f t="shared" si="6"/>
        <v>104.46166536695642</v>
      </c>
      <c r="AH108" s="352">
        <f t="shared" si="6"/>
        <v>71.608806084723852</v>
      </c>
      <c r="AI108" s="352">
        <f t="shared" si="6"/>
        <v>1.2108948120297809</v>
      </c>
      <c r="AJ108" s="352">
        <f t="shared" si="6"/>
        <v>123.8478830895824</v>
      </c>
      <c r="AK108" s="352">
        <f t="shared" si="6"/>
        <v>55.078289093103926</v>
      </c>
      <c r="AL108" s="352">
        <f t="shared" si="6"/>
        <v>268.63602078300448</v>
      </c>
    </row>
    <row r="109" spans="1:47">
      <c r="A109" s="4" t="str">
        <f>AO16</f>
        <v>U-TRF-OILREFHET_GAS00</v>
      </c>
      <c r="B109" s="4" t="str">
        <f>AP16</f>
        <v>UPS Transformation: Oil refinery process heat Gas - Existing</v>
      </c>
      <c r="C109" s="4"/>
      <c r="D109" s="4"/>
      <c r="E109" s="4"/>
      <c r="F109" s="4"/>
      <c r="G109" s="4" t="s">
        <v>695</v>
      </c>
      <c r="H109" s="4"/>
      <c r="I109" s="4"/>
      <c r="J109" s="4" t="s">
        <v>2665</v>
      </c>
      <c r="K109" s="333">
        <v>1</v>
      </c>
      <c r="L109" s="333">
        <v>1</v>
      </c>
      <c r="M109" s="333">
        <v>1</v>
      </c>
      <c r="N109" s="333">
        <v>1</v>
      </c>
      <c r="O109" s="333">
        <v>1</v>
      </c>
      <c r="P109" s="333">
        <v>1</v>
      </c>
      <c r="Q109" s="333">
        <v>1</v>
      </c>
      <c r="R109" s="333">
        <v>1</v>
      </c>
      <c r="S109" s="333">
        <v>1</v>
      </c>
      <c r="T109" s="333">
        <v>1</v>
      </c>
      <c r="U109" s="333">
        <v>1</v>
      </c>
      <c r="V109" s="333">
        <v>1</v>
      </c>
      <c r="W109" s="333">
        <v>1</v>
      </c>
      <c r="X109" s="333">
        <v>1</v>
      </c>
      <c r="Y109" s="333">
        <v>1</v>
      </c>
      <c r="Z109" s="333">
        <v>1</v>
      </c>
      <c r="AA109" s="333">
        <v>1</v>
      </c>
      <c r="AB109" s="333">
        <v>1</v>
      </c>
      <c r="AC109" s="333">
        <v>1</v>
      </c>
      <c r="AD109" s="333">
        <v>1</v>
      </c>
      <c r="AE109" s="333">
        <v>1</v>
      </c>
      <c r="AF109" s="333">
        <v>1</v>
      </c>
      <c r="AG109" s="333">
        <v>1</v>
      </c>
      <c r="AH109" s="333">
        <v>1</v>
      </c>
      <c r="AI109" s="333">
        <v>1</v>
      </c>
      <c r="AJ109" s="333">
        <v>1</v>
      </c>
      <c r="AK109" s="333">
        <v>1</v>
      </c>
      <c r="AL109" s="333">
        <v>1</v>
      </c>
    </row>
    <row r="110" spans="1:47">
      <c r="C110" s="4"/>
      <c r="D110" s="4"/>
      <c r="E110" s="4"/>
      <c r="F110" s="4"/>
      <c r="G110" s="4" t="s">
        <v>697</v>
      </c>
      <c r="H110" s="4"/>
      <c r="I110" s="4"/>
      <c r="J110" s="4" t="s">
        <v>698</v>
      </c>
      <c r="K110" s="424">
        <f>'Key inputs_Refineries'!$F$178</f>
        <v>15</v>
      </c>
      <c r="L110" s="424">
        <f>'Key inputs_Refineries'!$F$178</f>
        <v>15</v>
      </c>
      <c r="M110" s="424">
        <f>'Key inputs_Refineries'!$F$178</f>
        <v>15</v>
      </c>
      <c r="N110" s="424">
        <f>'Key inputs_Refineries'!$F$178</f>
        <v>15</v>
      </c>
      <c r="O110" s="424">
        <f>'Key inputs_Refineries'!$F$178</f>
        <v>15</v>
      </c>
      <c r="P110" s="424">
        <f>'Key inputs_Refineries'!$F$178</f>
        <v>15</v>
      </c>
      <c r="Q110" s="424">
        <f>'Key inputs_Refineries'!$F$178</f>
        <v>15</v>
      </c>
      <c r="R110" s="424">
        <f>'Key inputs_Refineries'!$F$178</f>
        <v>15</v>
      </c>
      <c r="S110" s="424">
        <f>'Key inputs_Refineries'!$F$178</f>
        <v>15</v>
      </c>
      <c r="T110" s="424">
        <f>'Key inputs_Refineries'!$F$178</f>
        <v>15</v>
      </c>
      <c r="U110" s="424">
        <f>'Key inputs_Refineries'!$F$178</f>
        <v>15</v>
      </c>
      <c r="V110" s="424">
        <f>'Key inputs_Refineries'!$F$178</f>
        <v>15</v>
      </c>
      <c r="W110" s="424">
        <f>'Key inputs_Refineries'!$F$178</f>
        <v>15</v>
      </c>
      <c r="X110" s="424">
        <f>'Key inputs_Refineries'!$F$178</f>
        <v>15</v>
      </c>
      <c r="Y110" s="424">
        <f>'Key inputs_Refineries'!$F$178</f>
        <v>15</v>
      </c>
      <c r="Z110" s="424">
        <f>'Key inputs_Refineries'!$F$178</f>
        <v>15</v>
      </c>
      <c r="AA110" s="424">
        <f>'Key inputs_Refineries'!$F$178</f>
        <v>15</v>
      </c>
      <c r="AB110" s="424">
        <f>'Key inputs_Refineries'!$F$178</f>
        <v>15</v>
      </c>
      <c r="AC110" s="424">
        <f>'Key inputs_Refineries'!$F$178</f>
        <v>15</v>
      </c>
      <c r="AD110" s="424">
        <f>'Key inputs_Refineries'!$F$178</f>
        <v>15</v>
      </c>
      <c r="AE110" s="424">
        <f>'Key inputs_Refineries'!$F$178</f>
        <v>15</v>
      </c>
      <c r="AF110" s="424">
        <f>'Key inputs_Refineries'!$F$178</f>
        <v>15</v>
      </c>
      <c r="AG110" s="424">
        <f>'Key inputs_Refineries'!$F$178</f>
        <v>15</v>
      </c>
      <c r="AH110" s="424">
        <f>'Key inputs_Refineries'!$F$178</f>
        <v>15</v>
      </c>
      <c r="AI110" s="424">
        <f>'Key inputs_Refineries'!$F$178</f>
        <v>15</v>
      </c>
      <c r="AJ110" s="424">
        <f>'Key inputs_Refineries'!$F$178</f>
        <v>15</v>
      </c>
      <c r="AK110" s="424">
        <f>'Key inputs_Refineries'!$F$178</f>
        <v>15</v>
      </c>
      <c r="AL110" s="424">
        <f>'Key inputs_Refineries'!$F$178</f>
        <v>15</v>
      </c>
    </row>
    <row r="111" spans="1:47">
      <c r="C111" s="4"/>
      <c r="D111" s="4"/>
      <c r="E111" s="4"/>
      <c r="F111" s="4"/>
      <c r="G111" s="4" t="s">
        <v>699</v>
      </c>
      <c r="H111" s="4"/>
      <c r="I111" s="4">
        <v>2019</v>
      </c>
      <c r="J111" s="4" t="s">
        <v>112</v>
      </c>
      <c r="K111" s="347" cm="1">
        <f t="array" ref="K111">-SUM(SUMIFS('Key inputs_Refineries'!E$85:E$164,'Key inputs_Refineries'!$C$85:$C$164,$C119:$C120,'Key inputs_Refineries'!$B$85:$B$164,"Process heat"))*K118/10^3</f>
        <v>0</v>
      </c>
      <c r="L111" s="347" cm="1">
        <f t="array" ref="L111">-SUM(SUMIFS('Key inputs_Refineries'!F$85:F$164,'Key inputs_Refineries'!$C$85:$C$164,$C119:$C120,'Key inputs_Refineries'!$B$85:$B$164,"Process heat"))*L118/10^3</f>
        <v>4.4645181092661685</v>
      </c>
      <c r="M111" s="347" cm="1">
        <f t="array" ref="M111">-SUM(SUMIFS('Key inputs_Refineries'!G$85:G$164,'Key inputs_Refineries'!$C$85:$C$164,$C119:$C120,'Key inputs_Refineries'!$B$85:$B$164,"Process heat"))*M118/10^3</f>
        <v>0.576410645583734</v>
      </c>
      <c r="N111" s="347" cm="1">
        <f t="array" ref="N111">-SUM(SUMIFS('Key inputs_Refineries'!H$85:H$164,'Key inputs_Refineries'!$C$85:$C$164,$C119:$C120,'Key inputs_Refineries'!$B$85:$B$164,"Process heat"))*N118/10^3</f>
        <v>0</v>
      </c>
      <c r="O111" s="347" cm="1">
        <f t="array" ref="O111">-SUM(SUMIFS('Key inputs_Refineries'!I$85:I$164,'Key inputs_Refineries'!$C$85:$C$164,$C119:$C120,'Key inputs_Refineries'!$B$85:$B$164,"Process heat"))*O118/10^3</f>
        <v>1.1654104982381863</v>
      </c>
      <c r="P111" s="347" cm="1">
        <f t="array" ref="P111">-SUM(SUMIFS('Key inputs_Refineries'!J$85:J$164,'Key inputs_Refineries'!$C$85:$C$164,$C119:$C120,'Key inputs_Refineries'!$B$85:$B$164,"Process heat"))*P118/10^3</f>
        <v>0.95627648771197271</v>
      </c>
      <c r="Q111" s="347" cm="1">
        <f t="array" ref="Q111">-SUM(SUMIFS('Key inputs_Refineries'!K$85:K$164,'Key inputs_Refineries'!$C$85:$C$164,$C119:$C120,'Key inputs_Refineries'!$B$85:$B$164,"Process heat"))*Q118/10^3</f>
        <v>0.27638436906911734</v>
      </c>
      <c r="R111" s="347" cm="1">
        <f t="array" ref="R111">-SUM(SUMIFS('Key inputs_Refineries'!L$85:L$164,'Key inputs_Refineries'!$C$85:$C$164,$C119:$C120,'Key inputs_Refineries'!$B$85:$B$164,"Process heat"))*R118/10^3</f>
        <v>0</v>
      </c>
      <c r="S111" s="347" cm="1">
        <f t="array" ref="S111">-SUM(SUMIFS('Key inputs_Refineries'!M$85:M$164,'Key inputs_Refineries'!$C$85:$C$164,$C119:$C120,'Key inputs_Refineries'!$B$85:$B$164,"Process heat"))*S118/10^3</f>
        <v>22.498539775910174</v>
      </c>
      <c r="T111" s="347" cm="1">
        <f t="array" ref="T111">-SUM(SUMIFS('Key inputs_Refineries'!N$85:N$164,'Key inputs_Refineries'!$C$85:$C$164,$C119:$C120,'Key inputs_Refineries'!$B$85:$B$164,"Process heat"))*T118/10^3</f>
        <v>7.1972446008714339</v>
      </c>
      <c r="U111" s="347" cm="1">
        <f t="array" ref="U111">-SUM(SUMIFS('Key inputs_Refineries'!O$85:O$164,'Key inputs_Refineries'!$C$85:$C$164,$C119:$C120,'Key inputs_Refineries'!$B$85:$B$164,"Process heat"))*U118/10^3</f>
        <v>1.1966272349285711</v>
      </c>
      <c r="V111" s="347" cm="1">
        <f t="array" ref="V111">-SUM(SUMIFS('Key inputs_Refineries'!P$85:P$164,'Key inputs_Refineries'!$C$85:$C$164,$C119:$C120,'Key inputs_Refineries'!$B$85:$B$164,"Process heat"))*V118/10^3</f>
        <v>73.369685260492375</v>
      </c>
      <c r="W111" s="347" cm="1">
        <f t="array" ref="W111">-SUM(SUMIFS('Key inputs_Refineries'!Q$85:Q$164,'Key inputs_Refineries'!$C$85:$C$164,$C119:$C120,'Key inputs_Refineries'!$B$85:$B$164,"Process heat"))*W118/10^3</f>
        <v>4.2070495150445861</v>
      </c>
      <c r="X111" s="347" cm="1">
        <f t="array" ref="X111">-SUM(SUMIFS('Key inputs_Refineries'!R$85:R$164,'Key inputs_Refineries'!$C$85:$C$164,$C119:$C120,'Key inputs_Refineries'!$B$85:$B$164,"Process heat"))*X118/10^3</f>
        <v>4.4853162736889827</v>
      </c>
      <c r="Y111" s="347" cm="1">
        <f t="array" ref="Y111">-SUM(SUMIFS('Key inputs_Refineries'!S$85:S$164,'Key inputs_Refineries'!$C$85:$C$164,$C119:$C120,'Key inputs_Refineries'!$B$85:$B$164,"Process heat"))*Y118/10^3</f>
        <v>8.2761341964006743</v>
      </c>
      <c r="Z111" s="347" cm="1">
        <f t="array" ref="Z111">-SUM(SUMIFS('Key inputs_Refineries'!T$85:T$164,'Key inputs_Refineries'!$C$85:$C$164,$C119:$C120,'Key inputs_Refineries'!$B$85:$B$164,"Process heat"))*Z118/10^3</f>
        <v>19.042118675983239</v>
      </c>
      <c r="AA111" s="347" cm="1">
        <f t="array" ref="AA111">-SUM(SUMIFS('Key inputs_Refineries'!U$85:U$164,'Key inputs_Refineries'!$C$85:$C$164,$C119:$C120,'Key inputs_Refineries'!$B$85:$B$164,"Process heat"))*AA118/10^3</f>
        <v>25.70457277093492</v>
      </c>
      <c r="AB111" s="347" cm="1">
        <f t="array" ref="AB111">-SUM(SUMIFS('Key inputs_Refineries'!V$85:V$164,'Key inputs_Refineries'!$C$85:$C$164,$C119:$C120,'Key inputs_Refineries'!$B$85:$B$164,"Process heat"))*AB118/10^3</f>
        <v>0</v>
      </c>
      <c r="AC111" s="347" cm="1">
        <f t="array" ref="AC111">-SUM(SUMIFS('Key inputs_Refineries'!W$85:W$164,'Key inputs_Refineries'!$C$85:$C$164,$C119:$C120,'Key inputs_Refineries'!$B$85:$B$164,"Process heat"))*AC118/10^3</f>
        <v>51.330363661936502</v>
      </c>
      <c r="AD111" s="347" cm="1">
        <f t="array" ref="AD111">-SUM(SUMIFS('Key inputs_Refineries'!X$85:X$164,'Key inputs_Refineries'!$C$85:$C$164,$C119:$C120,'Key inputs_Refineries'!$B$85:$B$164,"Process heat"))*AD118/10^3</f>
        <v>4.1508981414232125</v>
      </c>
      <c r="AE111" s="347" cm="1">
        <f t="array" ref="AE111">-SUM(SUMIFS('Key inputs_Refineries'!Y$85:Y$164,'Key inputs_Refineries'!$C$85:$C$164,$C119:$C120,'Key inputs_Refineries'!$B$85:$B$164,"Process heat"))*AE118/10^3</f>
        <v>8.598082219251566</v>
      </c>
      <c r="AF111" s="347" cm="1">
        <f t="array" ref="AF111">-SUM(SUMIFS('Key inputs_Refineries'!Z$85:Z$164,'Key inputs_Refineries'!$C$85:$C$164,$C119:$C120,'Key inputs_Refineries'!$B$85:$B$164,"Process heat"))*AF118/10^3</f>
        <v>7.2405501811162534</v>
      </c>
      <c r="AG111" s="347" cm="1">
        <f t="array" ref="AG111">-SUM(SUMIFS('Key inputs_Refineries'!AA$85:AA$164,'Key inputs_Refineries'!$C$85:$C$164,$C119:$C120,'Key inputs_Refineries'!$B$85:$B$164,"Process heat"))*AG118/10^3</f>
        <v>39.811465057061454</v>
      </c>
      <c r="AH111" s="347" cm="1">
        <f t="array" ref="AH111">-SUM(SUMIFS('Key inputs_Refineries'!AB$85:AB$164,'Key inputs_Refineries'!$C$85:$C$164,$C119:$C120,'Key inputs_Refineries'!$B$85:$B$164,"Process heat"))*AH118/10^3</f>
        <v>65.648378863936273</v>
      </c>
      <c r="AI111" s="347" cm="1">
        <f t="array" ref="AI111">-SUM(SUMIFS('Key inputs_Refineries'!AC$85:AC$164,'Key inputs_Refineries'!$C$85:$C$164,$C119:$C120,'Key inputs_Refineries'!$B$85:$B$164,"Process heat"))*AI118/10^3</f>
        <v>1.3890856240595617</v>
      </c>
      <c r="AJ111" s="347" cm="1">
        <f t="array" ref="AJ111">-SUM(SUMIFS('Key inputs_Refineries'!AD$85:AD$164,'Key inputs_Refineries'!$C$85:$C$164,$C119:$C120,'Key inputs_Refineries'!$B$85:$B$164,"Process heat"))*AJ118/10^3</f>
        <v>0</v>
      </c>
      <c r="AK111" s="347" cm="1">
        <f t="array" ref="AK111">-SUM(SUMIFS('Key inputs_Refineries'!AE$85:AE$164,'Key inputs_Refineries'!$C$85:$C$164,$C119:$C120,'Key inputs_Refineries'!$B$85:$B$164,"Process heat"))*AK118/10^3</f>
        <v>0</v>
      </c>
      <c r="AL111" s="347" cm="1">
        <f t="array" ref="AL111">-SUM(SUMIFS('Key inputs_Refineries'!AF$85:AF$164,'Key inputs_Refineries'!$C$85:$C$164,$C119:$C120,'Key inputs_Refineries'!$B$85:$B$164,"Process heat"))*AL118/10^3</f>
        <v>126.90367950470895</v>
      </c>
    </row>
    <row r="112" spans="1:47">
      <c r="G112" s="4" t="s">
        <v>701</v>
      </c>
      <c r="H112" s="4" t="s">
        <v>661</v>
      </c>
      <c r="I112" s="4">
        <v>2019</v>
      </c>
      <c r="J112" s="4" t="s">
        <v>112</v>
      </c>
      <c r="K112" s="333">
        <v>0</v>
      </c>
      <c r="L112" s="333">
        <v>0</v>
      </c>
      <c r="M112" s="333">
        <v>0</v>
      </c>
      <c r="N112" s="333">
        <v>0</v>
      </c>
      <c r="O112" s="333">
        <v>0</v>
      </c>
      <c r="P112" s="333">
        <v>0</v>
      </c>
      <c r="Q112" s="333">
        <v>0</v>
      </c>
      <c r="R112" s="333">
        <v>0</v>
      </c>
      <c r="S112" s="333">
        <v>0</v>
      </c>
      <c r="T112" s="333">
        <v>0</v>
      </c>
      <c r="U112" s="333">
        <v>0</v>
      </c>
      <c r="V112" s="333">
        <v>0</v>
      </c>
      <c r="W112" s="333">
        <v>0</v>
      </c>
      <c r="X112" s="333">
        <v>0</v>
      </c>
      <c r="Y112" s="333">
        <v>0</v>
      </c>
      <c r="Z112" s="333">
        <v>0</v>
      </c>
      <c r="AA112" s="333">
        <v>0</v>
      </c>
      <c r="AB112" s="333">
        <v>0</v>
      </c>
      <c r="AC112" s="333">
        <v>0</v>
      </c>
      <c r="AD112" s="333">
        <v>0</v>
      </c>
      <c r="AE112" s="333">
        <v>0</v>
      </c>
      <c r="AF112" s="333">
        <v>0</v>
      </c>
      <c r="AG112" s="333">
        <v>0</v>
      </c>
      <c r="AH112" s="333">
        <v>0</v>
      </c>
      <c r="AI112" s="333">
        <v>0</v>
      </c>
      <c r="AJ112" s="333">
        <v>0</v>
      </c>
      <c r="AK112" s="333">
        <v>0</v>
      </c>
      <c r="AL112" s="333">
        <v>0</v>
      </c>
    </row>
    <row r="113" spans="3:38">
      <c r="G113" s="4" t="s">
        <v>701</v>
      </c>
      <c r="H113" s="4" t="s">
        <v>661</v>
      </c>
      <c r="I113" s="4">
        <v>2060</v>
      </c>
      <c r="J113" s="4" t="s">
        <v>112</v>
      </c>
      <c r="K113" s="333">
        <v>0</v>
      </c>
      <c r="L113" s="333">
        <v>0</v>
      </c>
      <c r="M113" s="333">
        <v>0</v>
      </c>
      <c r="N113" s="333">
        <v>0</v>
      </c>
      <c r="O113" s="333">
        <v>0</v>
      </c>
      <c r="P113" s="333">
        <v>0</v>
      </c>
      <c r="Q113" s="333">
        <v>0</v>
      </c>
      <c r="R113" s="333">
        <v>0</v>
      </c>
      <c r="S113" s="333">
        <v>0</v>
      </c>
      <c r="T113" s="333">
        <v>0</v>
      </c>
      <c r="U113" s="333">
        <v>0</v>
      </c>
      <c r="V113" s="333">
        <v>0</v>
      </c>
      <c r="W113" s="333">
        <v>0</v>
      </c>
      <c r="X113" s="333">
        <v>0</v>
      </c>
      <c r="Y113" s="333">
        <v>0</v>
      </c>
      <c r="Z113" s="333">
        <v>0</v>
      </c>
      <c r="AA113" s="333">
        <v>0</v>
      </c>
      <c r="AB113" s="333">
        <v>0</v>
      </c>
      <c r="AC113" s="333">
        <v>0</v>
      </c>
      <c r="AD113" s="333">
        <v>0</v>
      </c>
      <c r="AE113" s="333">
        <v>0</v>
      </c>
      <c r="AF113" s="333">
        <v>0</v>
      </c>
      <c r="AG113" s="333">
        <v>0</v>
      </c>
      <c r="AH113" s="333">
        <v>0</v>
      </c>
      <c r="AI113" s="333">
        <v>0</v>
      </c>
      <c r="AJ113" s="333">
        <v>0</v>
      </c>
      <c r="AK113" s="333">
        <v>0</v>
      </c>
      <c r="AL113" s="333">
        <v>0</v>
      </c>
    </row>
    <row r="114" spans="3:38">
      <c r="G114" s="4" t="s">
        <v>701</v>
      </c>
      <c r="H114" s="4" t="s">
        <v>661</v>
      </c>
      <c r="I114" s="4">
        <v>0</v>
      </c>
      <c r="J114" s="4"/>
      <c r="K114" s="333">
        <v>5</v>
      </c>
      <c r="L114" s="333">
        <v>5</v>
      </c>
      <c r="M114" s="333">
        <v>5</v>
      </c>
      <c r="N114" s="333">
        <v>5</v>
      </c>
      <c r="O114" s="333">
        <v>5</v>
      </c>
      <c r="P114" s="333">
        <v>5</v>
      </c>
      <c r="Q114" s="333">
        <v>5</v>
      </c>
      <c r="R114" s="333">
        <v>5</v>
      </c>
      <c r="S114" s="333">
        <v>5</v>
      </c>
      <c r="T114" s="333">
        <v>5</v>
      </c>
      <c r="U114" s="333">
        <v>5</v>
      </c>
      <c r="V114" s="333">
        <v>5</v>
      </c>
      <c r="W114" s="333">
        <v>5</v>
      </c>
      <c r="X114" s="333">
        <v>5</v>
      </c>
      <c r="Y114" s="333">
        <v>5</v>
      </c>
      <c r="Z114" s="333">
        <v>5</v>
      </c>
      <c r="AA114" s="333">
        <v>5</v>
      </c>
      <c r="AB114" s="333">
        <v>5</v>
      </c>
      <c r="AC114" s="333">
        <v>5</v>
      </c>
      <c r="AD114" s="333">
        <v>5</v>
      </c>
      <c r="AE114" s="333">
        <v>5</v>
      </c>
      <c r="AF114" s="333">
        <v>5</v>
      </c>
      <c r="AG114" s="333">
        <v>5</v>
      </c>
      <c r="AH114" s="333">
        <v>5</v>
      </c>
      <c r="AI114" s="333">
        <v>5</v>
      </c>
      <c r="AJ114" s="333">
        <v>5</v>
      </c>
      <c r="AK114" s="333">
        <v>5</v>
      </c>
      <c r="AL114" s="333">
        <v>5</v>
      </c>
    </row>
    <row r="115" spans="3:38">
      <c r="G115" s="4" t="s">
        <v>687</v>
      </c>
      <c r="H115" s="4"/>
      <c r="I115" s="4"/>
      <c r="J115" s="4" t="s">
        <v>2663</v>
      </c>
      <c r="K115" s="425">
        <f>'Key inputs_Refineries'!$C$178*10^3</f>
        <v>138.75840000000002</v>
      </c>
      <c r="L115" s="425">
        <f>'Key inputs_Refineries'!$C$178*10^3</f>
        <v>138.75840000000002</v>
      </c>
      <c r="M115" s="425">
        <f>'Key inputs_Refineries'!$C$178*10^3</f>
        <v>138.75840000000002</v>
      </c>
      <c r="N115" s="425">
        <f>'Key inputs_Refineries'!$C$178*10^3</f>
        <v>138.75840000000002</v>
      </c>
      <c r="O115" s="425">
        <f>'Key inputs_Refineries'!$C$178*10^3</f>
        <v>138.75840000000002</v>
      </c>
      <c r="P115" s="425">
        <f>'Key inputs_Refineries'!$C$178*10^3</f>
        <v>138.75840000000002</v>
      </c>
      <c r="Q115" s="425">
        <f>'Key inputs_Refineries'!$C$178*10^3</f>
        <v>138.75840000000002</v>
      </c>
      <c r="R115" s="425">
        <f>'Key inputs_Refineries'!$C$178*10^3</f>
        <v>138.75840000000002</v>
      </c>
      <c r="S115" s="425">
        <f>'Key inputs_Refineries'!$C$178*10^3</f>
        <v>138.75840000000002</v>
      </c>
      <c r="T115" s="425">
        <f>'Key inputs_Refineries'!$C$178*10^3</f>
        <v>138.75840000000002</v>
      </c>
      <c r="U115" s="425">
        <f>'Key inputs_Refineries'!$C$178*10^3</f>
        <v>138.75840000000002</v>
      </c>
      <c r="V115" s="425">
        <f>'Key inputs_Refineries'!$C$178*10^3</f>
        <v>138.75840000000002</v>
      </c>
      <c r="W115" s="425">
        <f>'Key inputs_Refineries'!$C$178*10^3</f>
        <v>138.75840000000002</v>
      </c>
      <c r="X115" s="425">
        <f>'Key inputs_Refineries'!$C$178*10^3</f>
        <v>138.75840000000002</v>
      </c>
      <c r="Y115" s="425">
        <f>'Key inputs_Refineries'!$C$178*10^3</f>
        <v>138.75840000000002</v>
      </c>
      <c r="Z115" s="425">
        <f>'Key inputs_Refineries'!$C$178*10^3</f>
        <v>138.75840000000002</v>
      </c>
      <c r="AA115" s="425">
        <f>'Key inputs_Refineries'!$C$178*10^3</f>
        <v>138.75840000000002</v>
      </c>
      <c r="AB115" s="425">
        <f>'Key inputs_Refineries'!$C$178*10^3</f>
        <v>138.75840000000002</v>
      </c>
      <c r="AC115" s="425">
        <f>'Key inputs_Refineries'!$C$178*10^3</f>
        <v>138.75840000000002</v>
      </c>
      <c r="AD115" s="425">
        <f>'Key inputs_Refineries'!$C$178*10^3</f>
        <v>138.75840000000002</v>
      </c>
      <c r="AE115" s="425">
        <f>'Key inputs_Refineries'!$C$178*10^3</f>
        <v>138.75840000000002</v>
      </c>
      <c r="AF115" s="425">
        <f>'Key inputs_Refineries'!$C$178*10^3</f>
        <v>138.75840000000002</v>
      </c>
      <c r="AG115" s="425">
        <f>'Key inputs_Refineries'!$C$178*10^3</f>
        <v>138.75840000000002</v>
      </c>
      <c r="AH115" s="425">
        <f>'Key inputs_Refineries'!$C$178*10^3</f>
        <v>138.75840000000002</v>
      </c>
      <c r="AI115" s="425">
        <f>'Key inputs_Refineries'!$C$178*10^3</f>
        <v>138.75840000000002</v>
      </c>
      <c r="AJ115" s="425">
        <f>'Key inputs_Refineries'!$C$178*10^3</f>
        <v>138.75840000000002</v>
      </c>
      <c r="AK115" s="425">
        <f>'Key inputs_Refineries'!$C$178*10^3</f>
        <v>138.75840000000002</v>
      </c>
      <c r="AL115" s="425">
        <f>'Key inputs_Refineries'!$C$178*10^3</f>
        <v>138.75840000000002</v>
      </c>
    </row>
    <row r="116" spans="3:38">
      <c r="G116" s="4" t="s">
        <v>689</v>
      </c>
      <c r="H116" s="4"/>
      <c r="I116" s="4"/>
      <c r="J116" s="4" t="s">
        <v>2663</v>
      </c>
      <c r="K116" s="425">
        <f>'Key inputs_Refineries'!$D$178*10^3</f>
        <v>1.2614400000000001</v>
      </c>
      <c r="L116" s="425">
        <f>'Key inputs_Refineries'!$D$178*10^3</f>
        <v>1.2614400000000001</v>
      </c>
      <c r="M116" s="425">
        <f>'Key inputs_Refineries'!$D$178*10^3</f>
        <v>1.2614400000000001</v>
      </c>
      <c r="N116" s="425">
        <f>'Key inputs_Refineries'!$D$178*10^3</f>
        <v>1.2614400000000001</v>
      </c>
      <c r="O116" s="425">
        <f>'Key inputs_Refineries'!$D$178*10^3</f>
        <v>1.2614400000000001</v>
      </c>
      <c r="P116" s="425">
        <f>'Key inputs_Refineries'!$D$178*10^3</f>
        <v>1.2614400000000001</v>
      </c>
      <c r="Q116" s="425">
        <f>'Key inputs_Refineries'!$D$178*10^3</f>
        <v>1.2614400000000001</v>
      </c>
      <c r="R116" s="425">
        <f>'Key inputs_Refineries'!$D$178*10^3</f>
        <v>1.2614400000000001</v>
      </c>
      <c r="S116" s="425">
        <f>'Key inputs_Refineries'!$D$178*10^3</f>
        <v>1.2614400000000001</v>
      </c>
      <c r="T116" s="425">
        <f>'Key inputs_Refineries'!$D$178*10^3</f>
        <v>1.2614400000000001</v>
      </c>
      <c r="U116" s="425">
        <f>'Key inputs_Refineries'!$D$178*10^3</f>
        <v>1.2614400000000001</v>
      </c>
      <c r="V116" s="425">
        <f>'Key inputs_Refineries'!$D$178*10^3</f>
        <v>1.2614400000000001</v>
      </c>
      <c r="W116" s="425">
        <f>'Key inputs_Refineries'!$D$178*10^3</f>
        <v>1.2614400000000001</v>
      </c>
      <c r="X116" s="425">
        <f>'Key inputs_Refineries'!$D$178*10^3</f>
        <v>1.2614400000000001</v>
      </c>
      <c r="Y116" s="425">
        <f>'Key inputs_Refineries'!$D$178*10^3</f>
        <v>1.2614400000000001</v>
      </c>
      <c r="Z116" s="425">
        <f>'Key inputs_Refineries'!$D$178*10^3</f>
        <v>1.2614400000000001</v>
      </c>
      <c r="AA116" s="425">
        <f>'Key inputs_Refineries'!$D$178*10^3</f>
        <v>1.2614400000000001</v>
      </c>
      <c r="AB116" s="425">
        <f>'Key inputs_Refineries'!$D$178*10^3</f>
        <v>1.2614400000000001</v>
      </c>
      <c r="AC116" s="425">
        <f>'Key inputs_Refineries'!$D$178*10^3</f>
        <v>1.2614400000000001</v>
      </c>
      <c r="AD116" s="425">
        <f>'Key inputs_Refineries'!$D$178*10^3</f>
        <v>1.2614400000000001</v>
      </c>
      <c r="AE116" s="425">
        <f>'Key inputs_Refineries'!$D$178*10^3</f>
        <v>1.2614400000000001</v>
      </c>
      <c r="AF116" s="425">
        <f>'Key inputs_Refineries'!$D$178*10^3</f>
        <v>1.2614400000000001</v>
      </c>
      <c r="AG116" s="425">
        <f>'Key inputs_Refineries'!$D$178*10^3</f>
        <v>1.2614400000000001</v>
      </c>
      <c r="AH116" s="425">
        <f>'Key inputs_Refineries'!$D$178*10^3</f>
        <v>1.2614400000000001</v>
      </c>
      <c r="AI116" s="425">
        <f>'Key inputs_Refineries'!$D$178*10^3</f>
        <v>1.2614400000000001</v>
      </c>
      <c r="AJ116" s="425">
        <f>'Key inputs_Refineries'!$D$178*10^3</f>
        <v>1.2614400000000001</v>
      </c>
      <c r="AK116" s="425">
        <f>'Key inputs_Refineries'!$D$178*10^3</f>
        <v>1.2614400000000001</v>
      </c>
      <c r="AL116" s="425">
        <f>'Key inputs_Refineries'!$D$178*10^3</f>
        <v>1.2614400000000001</v>
      </c>
    </row>
    <row r="117" spans="3:38">
      <c r="G117" s="4" t="s">
        <v>675</v>
      </c>
      <c r="H117" s="4"/>
      <c r="I117" s="4"/>
      <c r="J117" s="4" t="s">
        <v>2662</v>
      </c>
      <c r="K117" s="338"/>
      <c r="L117" s="338"/>
      <c r="M117" s="338"/>
      <c r="N117" s="338"/>
      <c r="O117" s="338"/>
      <c r="P117" s="338"/>
      <c r="Q117" s="338"/>
      <c r="R117" s="338"/>
      <c r="S117" s="338"/>
      <c r="T117" s="338"/>
      <c r="U117" s="338"/>
      <c r="V117" s="338"/>
      <c r="W117" s="338"/>
      <c r="X117" s="338"/>
      <c r="Y117" s="338"/>
      <c r="Z117" s="338"/>
      <c r="AA117" s="338"/>
      <c r="AB117" s="338"/>
      <c r="AC117" s="338"/>
      <c r="AD117" s="338"/>
      <c r="AE117" s="338"/>
      <c r="AF117" s="338"/>
      <c r="AG117" s="338"/>
      <c r="AH117" s="338"/>
      <c r="AI117" s="338"/>
      <c r="AJ117" s="338"/>
      <c r="AK117" s="338"/>
      <c r="AL117" s="338"/>
    </row>
    <row r="118" spans="3:38">
      <c r="G118" s="4" t="s">
        <v>630</v>
      </c>
      <c r="H118" s="4"/>
      <c r="I118" s="4"/>
      <c r="J118" s="4" t="s">
        <v>2666</v>
      </c>
      <c r="K118" s="425">
        <f>'Key inputs_Refineries'!$H$178</f>
        <v>0.82</v>
      </c>
      <c r="L118" s="425">
        <f>'Key inputs_Refineries'!$H$178</f>
        <v>0.82</v>
      </c>
      <c r="M118" s="425">
        <f>'Key inputs_Refineries'!$H$178</f>
        <v>0.82</v>
      </c>
      <c r="N118" s="425">
        <f>'Key inputs_Refineries'!$H$178</f>
        <v>0.82</v>
      </c>
      <c r="O118" s="425">
        <f>'Key inputs_Refineries'!$H$178</f>
        <v>0.82</v>
      </c>
      <c r="P118" s="425">
        <f>'Key inputs_Refineries'!$H$178</f>
        <v>0.82</v>
      </c>
      <c r="Q118" s="425">
        <f>'Key inputs_Refineries'!$H$178</f>
        <v>0.82</v>
      </c>
      <c r="R118" s="425">
        <f>'Key inputs_Refineries'!$H$178</f>
        <v>0.82</v>
      </c>
      <c r="S118" s="425">
        <f>'Key inputs_Refineries'!$H$178</f>
        <v>0.82</v>
      </c>
      <c r="T118" s="425">
        <f>'Key inputs_Refineries'!$H$178</f>
        <v>0.82</v>
      </c>
      <c r="U118" s="425">
        <f>'Key inputs_Refineries'!$H$178</f>
        <v>0.82</v>
      </c>
      <c r="V118" s="425">
        <f>'Key inputs_Refineries'!$H$178</f>
        <v>0.82</v>
      </c>
      <c r="W118" s="425">
        <f>'Key inputs_Refineries'!$H$178</f>
        <v>0.82</v>
      </c>
      <c r="X118" s="425">
        <f>'Key inputs_Refineries'!$H$178</f>
        <v>0.82</v>
      </c>
      <c r="Y118" s="425">
        <f>'Key inputs_Refineries'!$H$178</f>
        <v>0.82</v>
      </c>
      <c r="Z118" s="425">
        <f>'Key inputs_Refineries'!$H$178</f>
        <v>0.82</v>
      </c>
      <c r="AA118" s="425">
        <f>'Key inputs_Refineries'!$H$178</f>
        <v>0.82</v>
      </c>
      <c r="AB118" s="425">
        <f>'Key inputs_Refineries'!$H$178</f>
        <v>0.82</v>
      </c>
      <c r="AC118" s="425">
        <f>'Key inputs_Refineries'!$H$178</f>
        <v>0.82</v>
      </c>
      <c r="AD118" s="425">
        <f>'Key inputs_Refineries'!$H$178</f>
        <v>0.82</v>
      </c>
      <c r="AE118" s="425">
        <f>'Key inputs_Refineries'!$H$178</f>
        <v>0.82</v>
      </c>
      <c r="AF118" s="425">
        <f>'Key inputs_Refineries'!$H$178</f>
        <v>0.82</v>
      </c>
      <c r="AG118" s="425">
        <f>'Key inputs_Refineries'!$H$178</f>
        <v>0.82</v>
      </c>
      <c r="AH118" s="425">
        <f>'Key inputs_Refineries'!$H$178</f>
        <v>0.82</v>
      </c>
      <c r="AI118" s="425">
        <f>'Key inputs_Refineries'!$H$178</f>
        <v>0.82</v>
      </c>
      <c r="AJ118" s="425">
        <f>'Key inputs_Refineries'!$H$178</f>
        <v>0.82</v>
      </c>
      <c r="AK118" s="425">
        <f>'Key inputs_Refineries'!$H$178</f>
        <v>0.82</v>
      </c>
      <c r="AL118" s="425">
        <f>'Key inputs_Refineries'!$H$178</f>
        <v>0.82</v>
      </c>
    </row>
    <row r="119" spans="3:38">
      <c r="C119" t="str">
        <f>Commodities!$C$92</f>
        <v>UPSGAS</v>
      </c>
      <c r="G119" s="4" t="s">
        <v>702</v>
      </c>
      <c r="H119" t="s">
        <v>661</v>
      </c>
      <c r="I119">
        <v>2019</v>
      </c>
      <c r="J119" t="s">
        <v>650</v>
      </c>
      <c r="K119" s="173" cm="1">
        <f t="array" ref="K119">IFERROR(SUMIFS('Key inputs_Refineries'!E$85:E$164,'Key inputs_Refineries'!$C$85:$C$164,$C119,'Key inputs_Refineries'!$B$85:$B$164,"Process heat")/SUM(SUMIFS('Key inputs_Refineries'!E$85:E$164,'Key inputs_Refineries'!$C$85:$C$164,$C119:$C120,'Key inputs_Refineries'!$B$85:$B$164,"Process heat")),0)</f>
        <v>0</v>
      </c>
      <c r="L119" s="173" cm="1">
        <f t="array" ref="L119">IFERROR(SUMIFS('Key inputs_Refineries'!F$85:F$164,'Key inputs_Refineries'!$C$85:$C$164,$C119,'Key inputs_Refineries'!$B$85:$B$164,"Process heat")/SUM(SUMIFS('Key inputs_Refineries'!F$85:F$164,'Key inputs_Refineries'!$C$85:$C$164,$C119:$C120,'Key inputs_Refineries'!$B$85:$B$164,"Process heat")),0)</f>
        <v>1</v>
      </c>
      <c r="M119" s="173" cm="1">
        <f t="array" ref="M119">IFERROR(SUMIFS('Key inputs_Refineries'!G$85:G$164,'Key inputs_Refineries'!$C$85:$C$164,$C119,'Key inputs_Refineries'!$B$85:$B$164,"Process heat")/SUM(SUMIFS('Key inputs_Refineries'!G$85:G$164,'Key inputs_Refineries'!$C$85:$C$164,$C119:$C120,'Key inputs_Refineries'!$B$85:$B$164,"Process heat")),0)</f>
        <v>1</v>
      </c>
      <c r="N119" s="173" cm="1">
        <f t="array" ref="N119">IFERROR(SUMIFS('Key inputs_Refineries'!H$85:H$164,'Key inputs_Refineries'!$C$85:$C$164,$C119,'Key inputs_Refineries'!$B$85:$B$164,"Process heat")/SUM(SUMIFS('Key inputs_Refineries'!H$85:H$164,'Key inputs_Refineries'!$C$85:$C$164,$C119:$C120,'Key inputs_Refineries'!$B$85:$B$164,"Process heat")),0)</f>
        <v>0</v>
      </c>
      <c r="O119" s="173" cm="1">
        <f t="array" ref="O119">IFERROR(SUMIFS('Key inputs_Refineries'!I$85:I$164,'Key inputs_Refineries'!$C$85:$C$164,$C119,'Key inputs_Refineries'!$B$85:$B$164,"Process heat")/SUM(SUMIFS('Key inputs_Refineries'!I$85:I$164,'Key inputs_Refineries'!$C$85:$C$164,$C119:$C120,'Key inputs_Refineries'!$B$85:$B$164,"Process heat")),0)</f>
        <v>1</v>
      </c>
      <c r="P119" s="173" cm="1">
        <f t="array" ref="P119">IFERROR(SUMIFS('Key inputs_Refineries'!J$85:J$164,'Key inputs_Refineries'!$C$85:$C$164,$C119,'Key inputs_Refineries'!$B$85:$B$164,"Process heat")/SUM(SUMIFS('Key inputs_Refineries'!J$85:J$164,'Key inputs_Refineries'!$C$85:$C$164,$C119:$C120,'Key inputs_Refineries'!$B$85:$B$164,"Process heat")),0)</f>
        <v>1</v>
      </c>
      <c r="Q119" s="173" cm="1">
        <f t="array" ref="Q119">IFERROR(SUMIFS('Key inputs_Refineries'!K$85:K$164,'Key inputs_Refineries'!$C$85:$C$164,$C119,'Key inputs_Refineries'!$B$85:$B$164,"Process heat")/SUM(SUMIFS('Key inputs_Refineries'!K$85:K$164,'Key inputs_Refineries'!$C$85:$C$164,$C119:$C120,'Key inputs_Refineries'!$B$85:$B$164,"Process heat")),0)</f>
        <v>1</v>
      </c>
      <c r="R119" s="173" cm="1">
        <f t="array" ref="R119">IFERROR(SUMIFS('Key inputs_Refineries'!L$85:L$164,'Key inputs_Refineries'!$C$85:$C$164,$C119,'Key inputs_Refineries'!$B$85:$B$164,"Process heat")/SUM(SUMIFS('Key inputs_Refineries'!L$85:L$164,'Key inputs_Refineries'!$C$85:$C$164,$C119:$C120,'Key inputs_Refineries'!$B$85:$B$164,"Process heat")),0)</f>
        <v>0</v>
      </c>
      <c r="S119" s="173" cm="1">
        <f t="array" ref="S119">IFERROR(SUMIFS('Key inputs_Refineries'!M$85:M$164,'Key inputs_Refineries'!$C$85:$C$164,$C119,'Key inputs_Refineries'!$B$85:$B$164,"Process heat")/SUM(SUMIFS('Key inputs_Refineries'!M$85:M$164,'Key inputs_Refineries'!$C$85:$C$164,$C119:$C120,'Key inputs_Refineries'!$B$85:$B$164,"Process heat")),0)</f>
        <v>1</v>
      </c>
      <c r="T119" s="173" cm="1">
        <f t="array" ref="T119">IFERROR(SUMIFS('Key inputs_Refineries'!N$85:N$164,'Key inputs_Refineries'!$C$85:$C$164,$C119,'Key inputs_Refineries'!$B$85:$B$164,"Process heat")/SUM(SUMIFS('Key inputs_Refineries'!N$85:N$164,'Key inputs_Refineries'!$C$85:$C$164,$C119:$C120,'Key inputs_Refineries'!$B$85:$B$164,"Process heat")),0)</f>
        <v>1</v>
      </c>
      <c r="U119" s="173" cm="1">
        <f t="array" ref="U119">IFERROR(SUMIFS('Key inputs_Refineries'!O$85:O$164,'Key inputs_Refineries'!$C$85:$C$164,$C119,'Key inputs_Refineries'!$B$85:$B$164,"Process heat")/SUM(SUMIFS('Key inputs_Refineries'!O$85:O$164,'Key inputs_Refineries'!$C$85:$C$164,$C119:$C120,'Key inputs_Refineries'!$B$85:$B$164,"Process heat")),0)</f>
        <v>1</v>
      </c>
      <c r="V119" s="173" cm="1">
        <f t="array" ref="V119">IFERROR(SUMIFS('Key inputs_Refineries'!P$85:P$164,'Key inputs_Refineries'!$C$85:$C$164,$C119,'Key inputs_Refineries'!$B$85:$B$164,"Process heat")/SUM(SUMIFS('Key inputs_Refineries'!P$85:P$164,'Key inputs_Refineries'!$C$85:$C$164,$C119:$C120,'Key inputs_Refineries'!$B$85:$B$164,"Process heat")),0)</f>
        <v>1</v>
      </c>
      <c r="W119" s="173" cm="1">
        <f t="array" ref="W119">IFERROR(SUMIFS('Key inputs_Refineries'!Q$85:Q$164,'Key inputs_Refineries'!$C$85:$C$164,$C119,'Key inputs_Refineries'!$B$85:$B$164,"Process heat")/SUM(SUMIFS('Key inputs_Refineries'!Q$85:Q$164,'Key inputs_Refineries'!$C$85:$C$164,$C119:$C120,'Key inputs_Refineries'!$B$85:$B$164,"Process heat")),0)</f>
        <v>1</v>
      </c>
      <c r="X119" s="173" cm="1">
        <f t="array" ref="X119">IFERROR(SUMIFS('Key inputs_Refineries'!R$85:R$164,'Key inputs_Refineries'!$C$85:$C$164,$C119,'Key inputs_Refineries'!$B$85:$B$164,"Process heat")/SUM(SUMIFS('Key inputs_Refineries'!R$85:R$164,'Key inputs_Refineries'!$C$85:$C$164,$C119:$C120,'Key inputs_Refineries'!$B$85:$B$164,"Process heat")),0)</f>
        <v>1</v>
      </c>
      <c r="Y119" s="173" cm="1">
        <f t="array" ref="Y119">IFERROR(SUMIFS('Key inputs_Refineries'!S$85:S$164,'Key inputs_Refineries'!$C$85:$C$164,$C119,'Key inputs_Refineries'!$B$85:$B$164,"Process heat")/SUM(SUMIFS('Key inputs_Refineries'!S$85:S$164,'Key inputs_Refineries'!$C$85:$C$164,$C119:$C120,'Key inputs_Refineries'!$B$85:$B$164,"Process heat")),0)</f>
        <v>1</v>
      </c>
      <c r="Z119" s="173" cm="1">
        <f t="array" ref="Z119">IFERROR(SUMIFS('Key inputs_Refineries'!T$85:T$164,'Key inputs_Refineries'!$C$85:$C$164,$C119,'Key inputs_Refineries'!$B$85:$B$164,"Process heat")/SUM(SUMIFS('Key inputs_Refineries'!T$85:T$164,'Key inputs_Refineries'!$C$85:$C$164,$C119:$C120,'Key inputs_Refineries'!$B$85:$B$164,"Process heat")),0)</f>
        <v>1</v>
      </c>
      <c r="AA119" s="173" cm="1">
        <f t="array" ref="AA119">IFERROR(SUMIFS('Key inputs_Refineries'!U$85:U$164,'Key inputs_Refineries'!$C$85:$C$164,$C119,'Key inputs_Refineries'!$B$85:$B$164,"Process heat")/SUM(SUMIFS('Key inputs_Refineries'!U$85:U$164,'Key inputs_Refineries'!$C$85:$C$164,$C119:$C120,'Key inputs_Refineries'!$B$85:$B$164,"Process heat")),0)</f>
        <v>0.9879717706045219</v>
      </c>
      <c r="AB119" s="173" cm="1">
        <f t="array" ref="AB119">IFERROR(SUMIFS('Key inputs_Refineries'!V$85:V$164,'Key inputs_Refineries'!$C$85:$C$164,$C119,'Key inputs_Refineries'!$B$85:$B$164,"Process heat")/SUM(SUMIFS('Key inputs_Refineries'!V$85:V$164,'Key inputs_Refineries'!$C$85:$C$164,$C119:$C120,'Key inputs_Refineries'!$B$85:$B$164,"Process heat")),0)</f>
        <v>0</v>
      </c>
      <c r="AC119" s="173" cm="1">
        <f t="array" ref="AC119">IFERROR(SUMIFS('Key inputs_Refineries'!W$85:W$164,'Key inputs_Refineries'!$C$85:$C$164,$C119,'Key inputs_Refineries'!$B$85:$B$164,"Process heat")/SUM(SUMIFS('Key inputs_Refineries'!W$85:W$164,'Key inputs_Refineries'!$C$85:$C$164,$C119:$C120,'Key inputs_Refineries'!$B$85:$B$164,"Process heat")),0)</f>
        <v>1</v>
      </c>
      <c r="AD119" s="173" cm="1">
        <f t="array" ref="AD119">IFERROR(SUMIFS('Key inputs_Refineries'!X$85:X$164,'Key inputs_Refineries'!$C$85:$C$164,$C119,'Key inputs_Refineries'!$B$85:$B$164,"Process heat")/SUM(SUMIFS('Key inputs_Refineries'!X$85:X$164,'Key inputs_Refineries'!$C$85:$C$164,$C119:$C120,'Key inputs_Refineries'!$B$85:$B$164,"Process heat")),0)</f>
        <v>1</v>
      </c>
      <c r="AE119" s="173" cm="1">
        <f t="array" ref="AE119">IFERROR(SUMIFS('Key inputs_Refineries'!Y$85:Y$164,'Key inputs_Refineries'!$C$85:$C$164,$C119,'Key inputs_Refineries'!$B$85:$B$164,"Process heat")/SUM(SUMIFS('Key inputs_Refineries'!Y$85:Y$164,'Key inputs_Refineries'!$C$85:$C$164,$C119:$C120,'Key inputs_Refineries'!$B$85:$B$164,"Process heat")),0)</f>
        <v>1</v>
      </c>
      <c r="AF119" s="173" cm="1">
        <f t="array" ref="AF119">IFERROR(SUMIFS('Key inputs_Refineries'!Z$85:Z$164,'Key inputs_Refineries'!$C$85:$C$164,$C119,'Key inputs_Refineries'!$B$85:$B$164,"Process heat")/SUM(SUMIFS('Key inputs_Refineries'!Z$85:Z$164,'Key inputs_Refineries'!$C$85:$C$164,$C119:$C120,'Key inputs_Refineries'!$B$85:$B$164,"Process heat")),0)</f>
        <v>1</v>
      </c>
      <c r="AG119" s="173" cm="1">
        <f t="array" ref="AG119">IFERROR(SUMIFS('Key inputs_Refineries'!AA$85:AA$164,'Key inputs_Refineries'!$C$85:$C$164,$C119,'Key inputs_Refineries'!$B$85:$B$164,"Process heat")/SUM(SUMIFS('Key inputs_Refineries'!AA$85:AA$164,'Key inputs_Refineries'!$C$85:$C$164,$C119:$C120,'Key inputs_Refineries'!$B$85:$B$164,"Process heat")),0)</f>
        <v>1</v>
      </c>
      <c r="AH119" s="173" cm="1">
        <f t="array" ref="AH119">IFERROR(SUMIFS('Key inputs_Refineries'!AB$85:AB$164,'Key inputs_Refineries'!$C$85:$C$164,$C119,'Key inputs_Refineries'!$B$85:$B$164,"Process heat")/SUM(SUMIFS('Key inputs_Refineries'!AB$85:AB$164,'Key inputs_Refineries'!$C$85:$C$164,$C119:$C120,'Key inputs_Refineries'!$B$85:$B$164,"Process heat")),0)</f>
        <v>1</v>
      </c>
      <c r="AI119" s="173" cm="1">
        <f t="array" ref="AI119">IFERROR(SUMIFS('Key inputs_Refineries'!AC$85:AC$164,'Key inputs_Refineries'!$C$85:$C$164,$C119,'Key inputs_Refineries'!$B$85:$B$164,"Process heat")/SUM(SUMIFS('Key inputs_Refineries'!AC$85:AC$164,'Key inputs_Refineries'!$C$85:$C$164,$C119:$C120,'Key inputs_Refineries'!$B$85:$B$164,"Process heat")),0)</f>
        <v>1</v>
      </c>
      <c r="AJ119" s="173" cm="1">
        <f t="array" ref="AJ119">IFERROR(SUMIFS('Key inputs_Refineries'!AD$85:AD$164,'Key inputs_Refineries'!$C$85:$C$164,$C119,'Key inputs_Refineries'!$B$85:$B$164,"Process heat")/SUM(SUMIFS('Key inputs_Refineries'!AD$85:AD$164,'Key inputs_Refineries'!$C$85:$C$164,$C119:$C120,'Key inputs_Refineries'!$B$85:$B$164,"Process heat")),0)</f>
        <v>0</v>
      </c>
      <c r="AK119" s="173" cm="1">
        <f t="array" ref="AK119">IFERROR(SUMIFS('Key inputs_Refineries'!AE$85:AE$164,'Key inputs_Refineries'!$C$85:$C$164,$C119,'Key inputs_Refineries'!$B$85:$B$164,"Process heat")/SUM(SUMIFS('Key inputs_Refineries'!AE$85:AE$164,'Key inputs_Refineries'!$C$85:$C$164,$C119:$C120,'Key inputs_Refineries'!$B$85:$B$164,"Process heat")),0)</f>
        <v>0</v>
      </c>
      <c r="AL119" s="173" cm="1">
        <f t="array" ref="AL119">IFERROR(SUMIFS('Key inputs_Refineries'!AF$85:AF$164,'Key inputs_Refineries'!$C$85:$C$164,$C119,'Key inputs_Refineries'!$B$85:$B$164,"Process heat")/SUM(SUMIFS('Key inputs_Refineries'!AF$85:AF$164,'Key inputs_Refineries'!$C$85:$C$164,$C119:$C120,'Key inputs_Refineries'!$B$85:$B$164,"Process heat")),0)</f>
        <v>1</v>
      </c>
    </row>
    <row r="120" spans="3:38">
      <c r="C120" t="str">
        <f>Commodities!$C$88</f>
        <v>UPSCOG</v>
      </c>
      <c r="G120" s="4" t="s">
        <v>702</v>
      </c>
      <c r="H120" t="s">
        <v>661</v>
      </c>
      <c r="I120">
        <v>2019</v>
      </c>
      <c r="J120" t="s">
        <v>650</v>
      </c>
      <c r="K120" s="173">
        <f t="shared" ref="K120:AL120" si="7">1-K119</f>
        <v>1</v>
      </c>
      <c r="L120" s="173">
        <f t="shared" si="7"/>
        <v>0</v>
      </c>
      <c r="M120" s="173">
        <f t="shared" si="7"/>
        <v>0</v>
      </c>
      <c r="N120" s="173">
        <f t="shared" si="7"/>
        <v>1</v>
      </c>
      <c r="O120" s="173">
        <f t="shared" si="7"/>
        <v>0</v>
      </c>
      <c r="P120" s="173">
        <f t="shared" si="7"/>
        <v>0</v>
      </c>
      <c r="Q120" s="173">
        <f t="shared" si="7"/>
        <v>0</v>
      </c>
      <c r="R120" s="173">
        <f t="shared" si="7"/>
        <v>1</v>
      </c>
      <c r="S120" s="173">
        <f t="shared" si="7"/>
        <v>0</v>
      </c>
      <c r="T120" s="173">
        <f t="shared" si="7"/>
        <v>0</v>
      </c>
      <c r="U120" s="173">
        <f t="shared" si="7"/>
        <v>0</v>
      </c>
      <c r="V120" s="173">
        <f t="shared" si="7"/>
        <v>0</v>
      </c>
      <c r="W120" s="173">
        <f t="shared" si="7"/>
        <v>0</v>
      </c>
      <c r="X120" s="173">
        <f t="shared" si="7"/>
        <v>0</v>
      </c>
      <c r="Y120" s="173">
        <f t="shared" si="7"/>
        <v>0</v>
      </c>
      <c r="Z120" s="173">
        <f t="shared" si="7"/>
        <v>0</v>
      </c>
      <c r="AA120" s="173">
        <f t="shared" si="7"/>
        <v>1.2028229395478096E-2</v>
      </c>
      <c r="AB120" s="173">
        <f t="shared" si="7"/>
        <v>1</v>
      </c>
      <c r="AC120" s="173">
        <f t="shared" si="7"/>
        <v>0</v>
      </c>
      <c r="AD120" s="173">
        <f t="shared" si="7"/>
        <v>0</v>
      </c>
      <c r="AE120" s="173">
        <f t="shared" si="7"/>
        <v>0</v>
      </c>
      <c r="AF120" s="173">
        <f t="shared" si="7"/>
        <v>0</v>
      </c>
      <c r="AG120" s="173">
        <f t="shared" si="7"/>
        <v>0</v>
      </c>
      <c r="AH120" s="173">
        <f t="shared" si="7"/>
        <v>0</v>
      </c>
      <c r="AI120" s="173">
        <f t="shared" si="7"/>
        <v>0</v>
      </c>
      <c r="AJ120" s="173">
        <f t="shared" si="7"/>
        <v>1</v>
      </c>
      <c r="AK120" s="173">
        <f t="shared" si="7"/>
        <v>1</v>
      </c>
      <c r="AL120" s="173">
        <f t="shared" si="7"/>
        <v>0</v>
      </c>
    </row>
    <row r="121" spans="3:38">
      <c r="C121" t="str">
        <f>Commodities!$C$84</f>
        <v>UPSBGS</v>
      </c>
      <c r="G121" s="4" t="s">
        <v>702</v>
      </c>
      <c r="H121" t="s">
        <v>661</v>
      </c>
      <c r="I121">
        <v>2019</v>
      </c>
      <c r="J121" t="s">
        <v>650</v>
      </c>
      <c r="K121" s="426">
        <v>0</v>
      </c>
      <c r="L121" s="426">
        <v>0</v>
      </c>
      <c r="M121" s="426">
        <v>0</v>
      </c>
      <c r="N121" s="426">
        <v>0</v>
      </c>
      <c r="O121" s="426">
        <v>0</v>
      </c>
      <c r="P121" s="426">
        <v>0</v>
      </c>
      <c r="Q121" s="426">
        <v>0</v>
      </c>
      <c r="R121" s="426">
        <v>0</v>
      </c>
      <c r="S121" s="426">
        <v>0</v>
      </c>
      <c r="T121" s="426">
        <v>0</v>
      </c>
      <c r="U121" s="426">
        <v>0</v>
      </c>
      <c r="V121" s="426">
        <v>0</v>
      </c>
      <c r="W121" s="426">
        <v>0</v>
      </c>
      <c r="X121" s="426">
        <v>0</v>
      </c>
      <c r="Y121" s="426">
        <v>0</v>
      </c>
      <c r="Z121" s="426">
        <v>0</v>
      </c>
      <c r="AA121" s="426">
        <v>0</v>
      </c>
      <c r="AB121" s="426">
        <v>0</v>
      </c>
      <c r="AC121" s="426">
        <v>0</v>
      </c>
      <c r="AD121" s="426">
        <v>0</v>
      </c>
      <c r="AE121" s="426">
        <v>0</v>
      </c>
      <c r="AF121" s="426">
        <v>0</v>
      </c>
      <c r="AG121" s="426">
        <v>0</v>
      </c>
      <c r="AH121" s="426">
        <v>0</v>
      </c>
      <c r="AI121" s="426">
        <v>0</v>
      </c>
      <c r="AJ121" s="426">
        <v>0</v>
      </c>
      <c r="AK121" s="426">
        <v>0</v>
      </c>
      <c r="AL121" s="426">
        <v>0</v>
      </c>
    </row>
    <row r="122" spans="3:38">
      <c r="C122" t="str">
        <f>Commodities!$C$92</f>
        <v>UPSGAS</v>
      </c>
      <c r="G122" s="4" t="s">
        <v>702</v>
      </c>
      <c r="H122" t="s">
        <v>661</v>
      </c>
      <c r="I122">
        <v>2025</v>
      </c>
      <c r="J122" t="s">
        <v>650</v>
      </c>
      <c r="K122" s="426">
        <v>1</v>
      </c>
      <c r="L122" s="426">
        <v>1</v>
      </c>
      <c r="M122" s="426">
        <v>1</v>
      </c>
      <c r="N122" s="426">
        <v>1</v>
      </c>
      <c r="O122" s="426">
        <v>1</v>
      </c>
      <c r="P122" s="426">
        <v>1</v>
      </c>
      <c r="Q122" s="426">
        <v>1</v>
      </c>
      <c r="R122" s="426">
        <v>1</v>
      </c>
      <c r="S122" s="426">
        <v>1</v>
      </c>
      <c r="T122" s="426">
        <v>1</v>
      </c>
      <c r="U122" s="426">
        <v>1</v>
      </c>
      <c r="V122" s="426">
        <v>1</v>
      </c>
      <c r="W122" s="426">
        <v>1</v>
      </c>
      <c r="X122" s="426">
        <v>1</v>
      </c>
      <c r="Y122" s="426">
        <v>1</v>
      </c>
      <c r="Z122" s="426">
        <v>1</v>
      </c>
      <c r="AA122" s="426">
        <v>1</v>
      </c>
      <c r="AB122" s="426">
        <v>1</v>
      </c>
      <c r="AC122" s="426">
        <v>1</v>
      </c>
      <c r="AD122" s="426">
        <v>1</v>
      </c>
      <c r="AE122" s="426">
        <v>1</v>
      </c>
      <c r="AF122" s="426">
        <v>1</v>
      </c>
      <c r="AG122" s="426">
        <v>1</v>
      </c>
      <c r="AH122" s="426">
        <v>1</v>
      </c>
      <c r="AI122" s="426">
        <v>1</v>
      </c>
      <c r="AJ122" s="426">
        <v>1</v>
      </c>
      <c r="AK122" s="426">
        <v>1</v>
      </c>
      <c r="AL122" s="426">
        <v>1</v>
      </c>
    </row>
    <row r="123" spans="3:38">
      <c r="C123" t="str">
        <f>Commodities!$C$88</f>
        <v>UPSCOG</v>
      </c>
      <c r="G123" s="4" t="s">
        <v>702</v>
      </c>
      <c r="H123" t="s">
        <v>661</v>
      </c>
      <c r="I123">
        <v>2025</v>
      </c>
      <c r="J123" t="s">
        <v>650</v>
      </c>
      <c r="K123" s="426">
        <v>1</v>
      </c>
      <c r="L123" s="426">
        <v>1</v>
      </c>
      <c r="M123" s="426">
        <v>1</v>
      </c>
      <c r="N123" s="426">
        <v>1</v>
      </c>
      <c r="O123" s="426">
        <v>1</v>
      </c>
      <c r="P123" s="426">
        <v>1</v>
      </c>
      <c r="Q123" s="426">
        <v>1</v>
      </c>
      <c r="R123" s="426">
        <v>1</v>
      </c>
      <c r="S123" s="426">
        <v>1</v>
      </c>
      <c r="T123" s="426">
        <v>1</v>
      </c>
      <c r="U123" s="426">
        <v>1</v>
      </c>
      <c r="V123" s="426">
        <v>1</v>
      </c>
      <c r="W123" s="426">
        <v>1</v>
      </c>
      <c r="X123" s="426">
        <v>1</v>
      </c>
      <c r="Y123" s="426">
        <v>1</v>
      </c>
      <c r="Z123" s="426">
        <v>1</v>
      </c>
      <c r="AA123" s="426">
        <v>1</v>
      </c>
      <c r="AB123" s="426">
        <v>1</v>
      </c>
      <c r="AC123" s="426">
        <v>1</v>
      </c>
      <c r="AD123" s="426">
        <v>1</v>
      </c>
      <c r="AE123" s="426">
        <v>1</v>
      </c>
      <c r="AF123" s="426">
        <v>1</v>
      </c>
      <c r="AG123" s="426">
        <v>1</v>
      </c>
      <c r="AH123" s="426">
        <v>1</v>
      </c>
      <c r="AI123" s="426">
        <v>1</v>
      </c>
      <c r="AJ123" s="426">
        <v>1</v>
      </c>
      <c r="AK123" s="426">
        <v>1</v>
      </c>
      <c r="AL123" s="426">
        <v>1</v>
      </c>
    </row>
    <row r="124" spans="3:38">
      <c r="C124" t="str">
        <f>Commodities!$C$84</f>
        <v>UPSBGS</v>
      </c>
      <c r="G124" s="4" t="s">
        <v>702</v>
      </c>
      <c r="H124" t="s">
        <v>661</v>
      </c>
      <c r="I124">
        <v>2025</v>
      </c>
      <c r="J124" t="s">
        <v>650</v>
      </c>
      <c r="K124" s="426">
        <v>1</v>
      </c>
      <c r="L124" s="426">
        <v>1</v>
      </c>
      <c r="M124" s="426">
        <v>1</v>
      </c>
      <c r="N124" s="426">
        <v>1</v>
      </c>
      <c r="O124" s="426">
        <v>1</v>
      </c>
      <c r="P124" s="426">
        <v>1</v>
      </c>
      <c r="Q124" s="426">
        <v>1</v>
      </c>
      <c r="R124" s="426">
        <v>1</v>
      </c>
      <c r="S124" s="426">
        <v>1</v>
      </c>
      <c r="T124" s="426">
        <v>1</v>
      </c>
      <c r="U124" s="426">
        <v>1</v>
      </c>
      <c r="V124" s="426">
        <v>1</v>
      </c>
      <c r="W124" s="426">
        <v>1</v>
      </c>
      <c r="X124" s="426">
        <v>1</v>
      </c>
      <c r="Y124" s="426">
        <v>1</v>
      </c>
      <c r="Z124" s="426">
        <v>1</v>
      </c>
      <c r="AA124" s="426">
        <v>1</v>
      </c>
      <c r="AB124" s="426">
        <v>1</v>
      </c>
      <c r="AC124" s="426">
        <v>1</v>
      </c>
      <c r="AD124" s="426">
        <v>1</v>
      </c>
      <c r="AE124" s="426">
        <v>1</v>
      </c>
      <c r="AF124" s="426">
        <v>1</v>
      </c>
      <c r="AG124" s="426">
        <v>1</v>
      </c>
      <c r="AH124" s="426">
        <v>1</v>
      </c>
      <c r="AI124" s="426">
        <v>1</v>
      </c>
      <c r="AJ124" s="426">
        <v>1</v>
      </c>
      <c r="AK124" s="426">
        <v>1</v>
      </c>
      <c r="AL124" s="426">
        <v>1</v>
      </c>
    </row>
    <row r="125" spans="3:38">
      <c r="C125" t="str">
        <f>Commodities!$C$92</f>
        <v>UPSGAS</v>
      </c>
      <c r="G125" s="4" t="s">
        <v>702</v>
      </c>
      <c r="H125" t="s">
        <v>661</v>
      </c>
      <c r="I125">
        <v>2050</v>
      </c>
      <c r="J125" t="s">
        <v>650</v>
      </c>
      <c r="K125" s="426">
        <v>1</v>
      </c>
      <c r="L125" s="426">
        <v>1</v>
      </c>
      <c r="M125" s="426">
        <v>1</v>
      </c>
      <c r="N125" s="426">
        <v>1</v>
      </c>
      <c r="O125" s="426">
        <v>1</v>
      </c>
      <c r="P125" s="426">
        <v>1</v>
      </c>
      <c r="Q125" s="426">
        <v>1</v>
      </c>
      <c r="R125" s="426">
        <v>1</v>
      </c>
      <c r="S125" s="426">
        <v>1</v>
      </c>
      <c r="T125" s="426">
        <v>1</v>
      </c>
      <c r="U125" s="426">
        <v>1</v>
      </c>
      <c r="V125" s="426">
        <v>1</v>
      </c>
      <c r="W125" s="426">
        <v>1</v>
      </c>
      <c r="X125" s="426">
        <v>1</v>
      </c>
      <c r="Y125" s="426">
        <v>1</v>
      </c>
      <c r="Z125" s="426">
        <v>1</v>
      </c>
      <c r="AA125" s="426">
        <v>1</v>
      </c>
      <c r="AB125" s="426">
        <v>1</v>
      </c>
      <c r="AC125" s="426">
        <v>1</v>
      </c>
      <c r="AD125" s="426">
        <v>1</v>
      </c>
      <c r="AE125" s="426">
        <v>1</v>
      </c>
      <c r="AF125" s="426">
        <v>1</v>
      </c>
      <c r="AG125" s="426">
        <v>1</v>
      </c>
      <c r="AH125" s="426">
        <v>1</v>
      </c>
      <c r="AI125" s="426">
        <v>1</v>
      </c>
      <c r="AJ125" s="426">
        <v>1</v>
      </c>
      <c r="AK125" s="426">
        <v>1</v>
      </c>
      <c r="AL125" s="426">
        <v>1</v>
      </c>
    </row>
    <row r="126" spans="3:38">
      <c r="C126" t="str">
        <f>Commodities!$C$88</f>
        <v>UPSCOG</v>
      </c>
      <c r="G126" s="4" t="s">
        <v>702</v>
      </c>
      <c r="H126" t="s">
        <v>661</v>
      </c>
      <c r="I126">
        <v>2050</v>
      </c>
      <c r="J126" t="s">
        <v>650</v>
      </c>
      <c r="K126" s="426">
        <v>1</v>
      </c>
      <c r="L126" s="426">
        <v>1</v>
      </c>
      <c r="M126" s="426">
        <v>1</v>
      </c>
      <c r="N126" s="426">
        <v>1</v>
      </c>
      <c r="O126" s="426">
        <v>1</v>
      </c>
      <c r="P126" s="426">
        <v>1</v>
      </c>
      <c r="Q126" s="426">
        <v>1</v>
      </c>
      <c r="R126" s="426">
        <v>1</v>
      </c>
      <c r="S126" s="426">
        <v>1</v>
      </c>
      <c r="T126" s="426">
        <v>1</v>
      </c>
      <c r="U126" s="426">
        <v>1</v>
      </c>
      <c r="V126" s="426">
        <v>1</v>
      </c>
      <c r="W126" s="426">
        <v>1</v>
      </c>
      <c r="X126" s="426">
        <v>1</v>
      </c>
      <c r="Y126" s="426">
        <v>1</v>
      </c>
      <c r="Z126" s="426">
        <v>1</v>
      </c>
      <c r="AA126" s="426">
        <v>1</v>
      </c>
      <c r="AB126" s="426">
        <v>1</v>
      </c>
      <c r="AC126" s="426">
        <v>1</v>
      </c>
      <c r="AD126" s="426">
        <v>1</v>
      </c>
      <c r="AE126" s="426">
        <v>1</v>
      </c>
      <c r="AF126" s="426">
        <v>1</v>
      </c>
      <c r="AG126" s="426">
        <v>1</v>
      </c>
      <c r="AH126" s="426">
        <v>1</v>
      </c>
      <c r="AI126" s="426">
        <v>1</v>
      </c>
      <c r="AJ126" s="426">
        <v>1</v>
      </c>
      <c r="AK126" s="426">
        <v>1</v>
      </c>
      <c r="AL126" s="426">
        <v>1</v>
      </c>
    </row>
    <row r="127" spans="3:38">
      <c r="C127" t="str">
        <f>Commodities!$C$84</f>
        <v>UPSBGS</v>
      </c>
      <c r="G127" s="4" t="s">
        <v>702</v>
      </c>
      <c r="H127" t="s">
        <v>661</v>
      </c>
      <c r="I127">
        <v>2050</v>
      </c>
      <c r="J127" t="s">
        <v>650</v>
      </c>
      <c r="K127" s="426">
        <v>1</v>
      </c>
      <c r="L127" s="426">
        <v>1</v>
      </c>
      <c r="M127" s="426">
        <v>1</v>
      </c>
      <c r="N127" s="426">
        <v>1</v>
      </c>
      <c r="O127" s="426">
        <v>1</v>
      </c>
      <c r="P127" s="426">
        <v>1</v>
      </c>
      <c r="Q127" s="426">
        <v>1</v>
      </c>
      <c r="R127" s="426">
        <v>1</v>
      </c>
      <c r="S127" s="426">
        <v>1</v>
      </c>
      <c r="T127" s="426">
        <v>1</v>
      </c>
      <c r="U127" s="426">
        <v>1</v>
      </c>
      <c r="V127" s="426">
        <v>1</v>
      </c>
      <c r="W127" s="426">
        <v>1</v>
      </c>
      <c r="X127" s="426">
        <v>1</v>
      </c>
      <c r="Y127" s="426">
        <v>1</v>
      </c>
      <c r="Z127" s="426">
        <v>1</v>
      </c>
      <c r="AA127" s="426">
        <v>1</v>
      </c>
      <c r="AB127" s="426">
        <v>1</v>
      </c>
      <c r="AC127" s="426">
        <v>1</v>
      </c>
      <c r="AD127" s="426">
        <v>1</v>
      </c>
      <c r="AE127" s="426">
        <v>1</v>
      </c>
      <c r="AF127" s="426">
        <v>1</v>
      </c>
      <c r="AG127" s="426">
        <v>1</v>
      </c>
      <c r="AH127" s="426">
        <v>1</v>
      </c>
      <c r="AI127" s="426">
        <v>1</v>
      </c>
      <c r="AJ127" s="426">
        <v>1</v>
      </c>
      <c r="AK127" s="426">
        <v>1</v>
      </c>
      <c r="AL127" s="426">
        <v>1</v>
      </c>
    </row>
    <row r="128" spans="3:38">
      <c r="D128" t="str">
        <f>Commodities!$C$105</f>
        <v>UREFHET</v>
      </c>
    </row>
    <row r="129" spans="1:38">
      <c r="A129" s="4" t="str">
        <f>AO17</f>
        <v>U-TRF-OILREFHET_OIL00</v>
      </c>
      <c r="B129" s="4" t="str">
        <f>AP17</f>
        <v>UPS Transformation: Oil refinery process heat Petroleum product - Existing</v>
      </c>
      <c r="C129" s="4"/>
      <c r="D129" s="4"/>
      <c r="E129" s="4"/>
      <c r="F129" s="4"/>
      <c r="G129" s="4" t="s">
        <v>695</v>
      </c>
      <c r="H129" s="4"/>
      <c r="I129" s="4"/>
      <c r="J129" s="4" t="s">
        <v>2665</v>
      </c>
      <c r="K129" s="333">
        <v>1</v>
      </c>
      <c r="L129" s="333">
        <v>1</v>
      </c>
      <c r="M129" s="333">
        <v>1</v>
      </c>
      <c r="N129" s="333">
        <v>1</v>
      </c>
      <c r="O129" s="333">
        <v>1</v>
      </c>
      <c r="P129" s="333">
        <v>1</v>
      </c>
      <c r="Q129" s="333">
        <v>1</v>
      </c>
      <c r="R129" s="333">
        <v>1</v>
      </c>
      <c r="S129" s="333">
        <v>1</v>
      </c>
      <c r="T129" s="333">
        <v>1</v>
      </c>
      <c r="U129" s="333">
        <v>1</v>
      </c>
      <c r="V129" s="333">
        <v>1</v>
      </c>
      <c r="W129" s="333">
        <v>1</v>
      </c>
      <c r="X129" s="333">
        <v>1</v>
      </c>
      <c r="Y129" s="333">
        <v>1</v>
      </c>
      <c r="Z129" s="333">
        <v>1</v>
      </c>
      <c r="AA129" s="333">
        <v>1</v>
      </c>
      <c r="AB129" s="333">
        <v>1</v>
      </c>
      <c r="AC129" s="333">
        <v>1</v>
      </c>
      <c r="AD129" s="333">
        <v>1</v>
      </c>
      <c r="AE129" s="333">
        <v>1</v>
      </c>
      <c r="AF129" s="333">
        <v>1</v>
      </c>
      <c r="AG129" s="333">
        <v>1</v>
      </c>
      <c r="AH129" s="333">
        <v>1</v>
      </c>
      <c r="AI129" s="333">
        <v>1</v>
      </c>
      <c r="AJ129" s="333">
        <v>1</v>
      </c>
      <c r="AK129" s="333">
        <v>1</v>
      </c>
      <c r="AL129" s="333">
        <v>1</v>
      </c>
    </row>
    <row r="130" spans="1:38">
      <c r="C130" s="4"/>
      <c r="D130" s="4"/>
      <c r="E130" s="4"/>
      <c r="F130" s="4"/>
      <c r="G130" s="4" t="s">
        <v>697</v>
      </c>
      <c r="H130" s="4"/>
      <c r="I130" s="4"/>
      <c r="J130" s="4" t="s">
        <v>698</v>
      </c>
      <c r="K130" s="424">
        <f>'Key inputs_Refineries'!$F$179</f>
        <v>15</v>
      </c>
      <c r="L130" s="424">
        <f>'Key inputs_Refineries'!$F$179</f>
        <v>15</v>
      </c>
      <c r="M130" s="424">
        <f>'Key inputs_Refineries'!$F$179</f>
        <v>15</v>
      </c>
      <c r="N130" s="424">
        <f>'Key inputs_Refineries'!$F$179</f>
        <v>15</v>
      </c>
      <c r="O130" s="424">
        <f>'Key inputs_Refineries'!$F$179</f>
        <v>15</v>
      </c>
      <c r="P130" s="424">
        <f>'Key inputs_Refineries'!$F$179</f>
        <v>15</v>
      </c>
      <c r="Q130" s="424">
        <f>'Key inputs_Refineries'!$F$179</f>
        <v>15</v>
      </c>
      <c r="R130" s="424">
        <f>'Key inputs_Refineries'!$F$179</f>
        <v>15</v>
      </c>
      <c r="S130" s="424">
        <f>'Key inputs_Refineries'!$F$179</f>
        <v>15</v>
      </c>
      <c r="T130" s="424">
        <f>'Key inputs_Refineries'!$F$179</f>
        <v>15</v>
      </c>
      <c r="U130" s="424">
        <f>'Key inputs_Refineries'!$F$179</f>
        <v>15</v>
      </c>
      <c r="V130" s="424">
        <f>'Key inputs_Refineries'!$F$179</f>
        <v>15</v>
      </c>
      <c r="W130" s="424">
        <f>'Key inputs_Refineries'!$F$179</f>
        <v>15</v>
      </c>
      <c r="X130" s="424">
        <f>'Key inputs_Refineries'!$F$179</f>
        <v>15</v>
      </c>
      <c r="Y130" s="424">
        <f>'Key inputs_Refineries'!$F$179</f>
        <v>15</v>
      </c>
      <c r="Z130" s="424">
        <f>'Key inputs_Refineries'!$F$179</f>
        <v>15</v>
      </c>
      <c r="AA130" s="424">
        <f>'Key inputs_Refineries'!$F$179</f>
        <v>15</v>
      </c>
      <c r="AB130" s="424">
        <f>'Key inputs_Refineries'!$F$179</f>
        <v>15</v>
      </c>
      <c r="AC130" s="424">
        <f>'Key inputs_Refineries'!$F$179</f>
        <v>15</v>
      </c>
      <c r="AD130" s="424">
        <f>'Key inputs_Refineries'!$F$179</f>
        <v>15</v>
      </c>
      <c r="AE130" s="424">
        <f>'Key inputs_Refineries'!$F$179</f>
        <v>15</v>
      </c>
      <c r="AF130" s="424">
        <f>'Key inputs_Refineries'!$F$179</f>
        <v>15</v>
      </c>
      <c r="AG130" s="424">
        <f>'Key inputs_Refineries'!$F$179</f>
        <v>15</v>
      </c>
      <c r="AH130" s="424">
        <f>'Key inputs_Refineries'!$F$179</f>
        <v>15</v>
      </c>
      <c r="AI130" s="424">
        <f>'Key inputs_Refineries'!$F$179</f>
        <v>15</v>
      </c>
      <c r="AJ130" s="424">
        <f>'Key inputs_Refineries'!$F$179</f>
        <v>15</v>
      </c>
      <c r="AK130" s="424">
        <f>'Key inputs_Refineries'!$F$179</f>
        <v>15</v>
      </c>
      <c r="AL130" s="424">
        <f>'Key inputs_Refineries'!$F$179</f>
        <v>15</v>
      </c>
    </row>
    <row r="131" spans="1:38">
      <c r="C131" s="4"/>
      <c r="D131" s="4"/>
      <c r="E131" s="4"/>
      <c r="F131" s="4"/>
      <c r="G131" s="4" t="s">
        <v>699</v>
      </c>
      <c r="H131" s="4"/>
      <c r="I131" s="4">
        <v>2019</v>
      </c>
      <c r="J131" s="4" t="s">
        <v>112</v>
      </c>
      <c r="K131" s="347" cm="1">
        <f t="array" ref="K131">-SUM(SUMIFS('Key inputs_Refineries'!E$85:E$164,'Key inputs_Refineries'!$C$85:$C$164,$C139:$C148,'Key inputs_Refineries'!$B$85:$B$164,"Process heat"))*K138/10^3</f>
        <v>0.50688</v>
      </c>
      <c r="L131" s="347" cm="1">
        <f t="array" ref="L131">-SUM(SUMIFS('Key inputs_Refineries'!F$85:F$164,'Key inputs_Refineries'!$C$85:$C$164,$C139:$C148,'Key inputs_Refineries'!$B$85:$B$164,"Process heat"))*L138/10^3</f>
        <v>12.769534569594914</v>
      </c>
      <c r="M131" s="347" cm="1">
        <f t="array" ref="M131">-SUM(SUMIFS('Key inputs_Refineries'!G$85:G$164,'Key inputs_Refineries'!$C$85:$C$164,$C139:$C148,'Key inputs_Refineries'!$B$85:$B$164,"Process heat"))*M138/10^3</f>
        <v>1.5874612539430877</v>
      </c>
      <c r="N131" s="347" cm="1">
        <f t="array" ref="N131">-SUM(SUMIFS('Key inputs_Refineries'!H$85:H$164,'Key inputs_Refineries'!$C$85:$C$164,$C139:$C148,'Key inputs_Refineries'!$B$85:$B$164,"Process heat"))*N138/10^3</f>
        <v>0</v>
      </c>
      <c r="O131" s="347" cm="1">
        <f t="array" ref="O131">-SUM(SUMIFS('Key inputs_Refineries'!I$85:I$164,'Key inputs_Refineries'!$C$85:$C$164,$C139:$C148,'Key inputs_Refineries'!$B$85:$B$164,"Process heat"))*O138/10^3</f>
        <v>18.92824013814727</v>
      </c>
      <c r="P131" s="347" cm="1">
        <f t="array" ref="P131">-SUM(SUMIFS('Key inputs_Refineries'!J$85:J$164,'Key inputs_Refineries'!$C$85:$C$164,$C139:$C148,'Key inputs_Refineries'!$B$85:$B$164,"Process heat"))*P138/10^3</f>
        <v>10.351583138295682</v>
      </c>
      <c r="Q131" s="347" cm="1">
        <f t="array" ref="Q131">-SUM(SUMIFS('Key inputs_Refineries'!K$85:K$164,'Key inputs_Refineries'!$C$85:$C$164,$C139:$C148,'Key inputs_Refineries'!$B$85:$B$164,"Process heat"))*Q138/10^3</f>
        <v>57.336320000000008</v>
      </c>
      <c r="R131" s="347" cm="1">
        <f t="array" ref="R131">-SUM(SUMIFS('Key inputs_Refineries'!L$85:L$164,'Key inputs_Refineries'!$C$85:$C$164,$C139:$C148,'Key inputs_Refineries'!$B$85:$B$164,"Process heat"))*R138/10^3</f>
        <v>2.3260160000000001</v>
      </c>
      <c r="S131" s="347" cm="1">
        <f t="array" ref="S131">-SUM(SUMIFS('Key inputs_Refineries'!M$85:M$164,'Key inputs_Refineries'!$C$85:$C$164,$C139:$C148,'Key inputs_Refineries'!$B$85:$B$164,"Process heat"))*S138/10^3</f>
        <v>16.553078068965519</v>
      </c>
      <c r="T131" s="347" cm="1">
        <f t="array" ref="T131">-SUM(SUMIFS('Key inputs_Refineries'!N$85:N$164,'Key inputs_Refineries'!$C$85:$C$164,$C139:$C148,'Key inputs_Refineries'!$B$85:$B$164,"Process heat"))*T138/10^3</f>
        <v>46.701653095039589</v>
      </c>
      <c r="U131" s="347" cm="1">
        <f t="array" ref="U131">-SUM(SUMIFS('Key inputs_Refineries'!O$85:O$164,'Key inputs_Refineries'!$C$85:$C$164,$C139:$C148,'Key inputs_Refineries'!$B$85:$B$164,"Process heat"))*U138/10^3</f>
        <v>7.4233302853788423</v>
      </c>
      <c r="V131" s="347" cm="1">
        <f t="array" ref="V131">-SUM(SUMIFS('Key inputs_Refineries'!P$85:P$164,'Key inputs_Refineries'!$C$85:$C$164,$C139:$C148,'Key inputs_Refineries'!$B$85:$B$164,"Process heat"))*V138/10^3</f>
        <v>1290.7736335310444</v>
      </c>
      <c r="W131" s="347" cm="1">
        <f t="array" ref="W131">-SUM(SUMIFS('Key inputs_Refineries'!Q$85:Q$164,'Key inputs_Refineries'!$C$85:$C$164,$C139:$C148,'Key inputs_Refineries'!$B$85:$B$164,"Process heat"))*W138/10^3</f>
        <v>17.134463931803104</v>
      </c>
      <c r="X131" s="347" cm="1">
        <f t="array" ref="X131">-SUM(SUMIFS('Key inputs_Refineries'!R$85:R$164,'Key inputs_Refineries'!$C$85:$C$164,$C139:$C148,'Key inputs_Refineries'!$B$85:$B$164,"Process heat"))*X138/10^3</f>
        <v>41.676695321388834</v>
      </c>
      <c r="Y131" s="347" cm="1">
        <f t="array" ref="Y131">-SUM(SUMIFS('Key inputs_Refineries'!S$85:S$164,'Key inputs_Refineries'!$C$85:$C$164,$C139:$C148,'Key inputs_Refineries'!$B$85:$B$164,"Process heat"))*Y138/10^3</f>
        <v>65.461390880907217</v>
      </c>
      <c r="Z131" s="347" cm="1">
        <f t="array" ref="Z131">-SUM(SUMIFS('Key inputs_Refineries'!T$85:T$164,'Key inputs_Refineries'!$C$85:$C$164,$C139:$C148,'Key inputs_Refineries'!$B$85:$B$164,"Process heat"))*Z138/10^3</f>
        <v>236.99679498542147</v>
      </c>
      <c r="AA131" s="347" cm="1">
        <f t="array" ref="AA131">-SUM(SUMIFS('Key inputs_Refineries'!U$85:U$164,'Key inputs_Refineries'!$C$85:$C$164,$C139:$C148,'Key inputs_Refineries'!$B$85:$B$164,"Process heat"))*AA138/10^3</f>
        <v>222.23265165428606</v>
      </c>
      <c r="AB131" s="347" cm="1">
        <f t="array" ref="AB131">-SUM(SUMIFS('Key inputs_Refineries'!V$85:V$164,'Key inputs_Refineries'!$C$85:$C$164,$C139:$C148,'Key inputs_Refineries'!$B$85:$B$164,"Process heat"))*AB138/10^3</f>
        <v>87.668543428359982</v>
      </c>
      <c r="AC131" s="347" cm="1">
        <f t="array" ref="AC131">-SUM(SUMIFS('Key inputs_Refineries'!W$85:W$164,'Key inputs_Refineries'!$C$85:$C$164,$C139:$C148,'Key inputs_Refineries'!$B$85:$B$164,"Process heat"))*AC138/10^3</f>
        <v>392.07168000000007</v>
      </c>
      <c r="AD131" s="347" cm="1">
        <f t="array" ref="AD131">-SUM(SUMIFS('Key inputs_Refineries'!X$85:X$164,'Key inputs_Refineries'!$C$85:$C$164,$C139:$C148,'Key inputs_Refineries'!$B$85:$B$164,"Process heat"))*AD138/10^3</f>
        <v>145.5196232003681</v>
      </c>
      <c r="AE131" s="347" cm="1">
        <f t="array" ref="AE131">-SUM(SUMIFS('Key inputs_Refineries'!Y$85:Y$164,'Key inputs_Refineries'!$C$85:$C$164,$C139:$C148,'Key inputs_Refineries'!$B$85:$B$164,"Process heat"))*AE138/10^3</f>
        <v>115.26073728474297</v>
      </c>
      <c r="AF131" s="347" cm="1">
        <f t="array" ref="AF131">-SUM(SUMIFS('Key inputs_Refineries'!Z$85:Z$164,'Key inputs_Refineries'!$C$85:$C$164,$C139:$C148,'Key inputs_Refineries'!$B$85:$B$164,"Process heat"))*AF138/10^3</f>
        <v>59.767964298060996</v>
      </c>
      <c r="AG131" s="347" cm="1">
        <f t="array" ref="AG131">-SUM(SUMIFS('Key inputs_Refineries'!AA$85:AA$164,'Key inputs_Refineries'!$C$85:$C$164,$C139:$C148,'Key inputs_Refineries'!$B$85:$B$164,"Process heat"))*AG138/10^3</f>
        <v>168.41786985155602</v>
      </c>
      <c r="AH131" s="347" cm="1">
        <f t="array" ref="AH131">-SUM(SUMIFS('Key inputs_Refineries'!AB$85:AB$164,'Key inputs_Refineries'!$C$85:$C$164,$C139:$C148,'Key inputs_Refineries'!$B$85:$B$164,"Process heat"))*AH138/10^3</f>
        <v>77.484032000000013</v>
      </c>
      <c r="AI131" s="347" cm="1">
        <f t="array" ref="AI131">-SUM(SUMIFS('Key inputs_Refineries'!AC$85:AC$164,'Key inputs_Refineries'!$C$85:$C$164,$C139:$C148,'Key inputs_Refineries'!$B$85:$B$164,"Process heat"))*AI138/10^3</f>
        <v>1.0327040000000003</v>
      </c>
      <c r="AJ131" s="347" cm="1">
        <f t="array" ref="AJ131">-SUM(SUMIFS('Key inputs_Refineries'!AD$85:AD$164,'Key inputs_Refineries'!$C$85:$C$164,$C139:$C148,'Key inputs_Refineries'!$B$85:$B$164,"Process heat"))*AJ138/10^3</f>
        <v>0</v>
      </c>
      <c r="AK131" s="347" cm="1">
        <f t="array" ref="AK131">-SUM(SUMIFS('Key inputs_Refineries'!AE$85:AE$164,'Key inputs_Refineries'!$C$85:$C$164,$C139:$C148,'Key inputs_Refineries'!$B$85:$B$164,"Process heat"))*AK138/10^3</f>
        <v>108.5658325025597</v>
      </c>
      <c r="AL131" s="347" cm="1">
        <f t="array" ref="AL131">-SUM(SUMIFS('Key inputs_Refineries'!AF$85:AF$164,'Key inputs_Refineries'!$C$85:$C$164,$C139:$C148,'Key inputs_Refineries'!$B$85:$B$164,"Process heat"))*AL138/10^3</f>
        <v>367.84773733592522</v>
      </c>
    </row>
    <row r="132" spans="1:38">
      <c r="G132" s="4" t="s">
        <v>701</v>
      </c>
      <c r="H132" s="4" t="s">
        <v>661</v>
      </c>
      <c r="I132" s="4">
        <v>2019</v>
      </c>
      <c r="J132" s="4" t="s">
        <v>112</v>
      </c>
      <c r="K132" s="333">
        <v>0</v>
      </c>
      <c r="L132" s="333">
        <v>0</v>
      </c>
      <c r="M132" s="333">
        <v>0</v>
      </c>
      <c r="N132" s="333">
        <v>0</v>
      </c>
      <c r="O132" s="333">
        <v>0</v>
      </c>
      <c r="P132" s="333">
        <v>0</v>
      </c>
      <c r="Q132" s="333">
        <v>0</v>
      </c>
      <c r="R132" s="333">
        <v>0</v>
      </c>
      <c r="S132" s="333">
        <v>0</v>
      </c>
      <c r="T132" s="333">
        <v>0</v>
      </c>
      <c r="U132" s="333">
        <v>0</v>
      </c>
      <c r="V132" s="333">
        <v>0</v>
      </c>
      <c r="W132" s="333">
        <v>0</v>
      </c>
      <c r="X132" s="333">
        <v>0</v>
      </c>
      <c r="Y132" s="333">
        <v>0</v>
      </c>
      <c r="Z132" s="333">
        <v>0</v>
      </c>
      <c r="AA132" s="333">
        <v>0</v>
      </c>
      <c r="AB132" s="333">
        <v>0</v>
      </c>
      <c r="AC132" s="333">
        <v>0</v>
      </c>
      <c r="AD132" s="333">
        <v>0</v>
      </c>
      <c r="AE132" s="333">
        <v>0</v>
      </c>
      <c r="AF132" s="333">
        <v>0</v>
      </c>
      <c r="AG132" s="333">
        <v>0</v>
      </c>
      <c r="AH132" s="333">
        <v>0</v>
      </c>
      <c r="AI132" s="333">
        <v>0</v>
      </c>
      <c r="AJ132" s="333">
        <v>0</v>
      </c>
      <c r="AK132" s="333">
        <v>0</v>
      </c>
      <c r="AL132" s="333">
        <v>0</v>
      </c>
    </row>
    <row r="133" spans="1:38">
      <c r="G133" s="4" t="s">
        <v>701</v>
      </c>
      <c r="H133" s="4" t="s">
        <v>661</v>
      </c>
      <c r="I133" s="4">
        <v>2060</v>
      </c>
      <c r="J133" s="4" t="s">
        <v>112</v>
      </c>
      <c r="K133" s="333">
        <v>0</v>
      </c>
      <c r="L133" s="333">
        <v>0</v>
      </c>
      <c r="M133" s="333">
        <v>0</v>
      </c>
      <c r="N133" s="333">
        <v>0</v>
      </c>
      <c r="O133" s="333">
        <v>0</v>
      </c>
      <c r="P133" s="333">
        <v>0</v>
      </c>
      <c r="Q133" s="333">
        <v>0</v>
      </c>
      <c r="R133" s="333">
        <v>0</v>
      </c>
      <c r="S133" s="333">
        <v>0</v>
      </c>
      <c r="T133" s="333">
        <v>0</v>
      </c>
      <c r="U133" s="333">
        <v>0</v>
      </c>
      <c r="V133" s="333">
        <v>0</v>
      </c>
      <c r="W133" s="333">
        <v>0</v>
      </c>
      <c r="X133" s="333">
        <v>0</v>
      </c>
      <c r="Y133" s="333">
        <v>0</v>
      </c>
      <c r="Z133" s="333">
        <v>0</v>
      </c>
      <c r="AA133" s="333">
        <v>0</v>
      </c>
      <c r="AB133" s="333">
        <v>0</v>
      </c>
      <c r="AC133" s="333">
        <v>0</v>
      </c>
      <c r="AD133" s="333">
        <v>0</v>
      </c>
      <c r="AE133" s="333">
        <v>0</v>
      </c>
      <c r="AF133" s="333">
        <v>0</v>
      </c>
      <c r="AG133" s="333">
        <v>0</v>
      </c>
      <c r="AH133" s="333">
        <v>0</v>
      </c>
      <c r="AI133" s="333">
        <v>0</v>
      </c>
      <c r="AJ133" s="333">
        <v>0</v>
      </c>
      <c r="AK133" s="333">
        <v>0</v>
      </c>
      <c r="AL133" s="333">
        <v>0</v>
      </c>
    </row>
    <row r="134" spans="1:38">
      <c r="G134" s="4" t="s">
        <v>701</v>
      </c>
      <c r="H134" s="4" t="s">
        <v>661</v>
      </c>
      <c r="I134" s="4">
        <v>0</v>
      </c>
      <c r="J134" s="4"/>
      <c r="K134" s="333">
        <v>5</v>
      </c>
      <c r="L134" s="333">
        <v>5</v>
      </c>
      <c r="M134" s="333">
        <v>5</v>
      </c>
      <c r="N134" s="333">
        <v>5</v>
      </c>
      <c r="O134" s="333">
        <v>5</v>
      </c>
      <c r="P134" s="333">
        <v>5</v>
      </c>
      <c r="Q134" s="333">
        <v>5</v>
      </c>
      <c r="R134" s="333">
        <v>5</v>
      </c>
      <c r="S134" s="333">
        <v>5</v>
      </c>
      <c r="T134" s="333">
        <v>5</v>
      </c>
      <c r="U134" s="333">
        <v>5</v>
      </c>
      <c r="V134" s="333">
        <v>5</v>
      </c>
      <c r="W134" s="333">
        <v>5</v>
      </c>
      <c r="X134" s="333">
        <v>5</v>
      </c>
      <c r="Y134" s="333">
        <v>5</v>
      </c>
      <c r="Z134" s="333">
        <v>5</v>
      </c>
      <c r="AA134" s="333">
        <v>5</v>
      </c>
      <c r="AB134" s="333">
        <v>5</v>
      </c>
      <c r="AC134" s="333">
        <v>5</v>
      </c>
      <c r="AD134" s="333">
        <v>5</v>
      </c>
      <c r="AE134" s="333">
        <v>5</v>
      </c>
      <c r="AF134" s="333">
        <v>5</v>
      </c>
      <c r="AG134" s="333">
        <v>5</v>
      </c>
      <c r="AH134" s="333">
        <v>5</v>
      </c>
      <c r="AI134" s="333">
        <v>5</v>
      </c>
      <c r="AJ134" s="333">
        <v>5</v>
      </c>
      <c r="AK134" s="333">
        <v>5</v>
      </c>
      <c r="AL134" s="333">
        <v>5</v>
      </c>
    </row>
    <row r="135" spans="1:38">
      <c r="G135" s="4" t="s">
        <v>687</v>
      </c>
      <c r="H135" s="4"/>
      <c r="I135" s="4"/>
      <c r="J135" s="4" t="s">
        <v>2663</v>
      </c>
      <c r="K135" s="425">
        <f>'Key inputs_Refineries'!$C$179*10^3</f>
        <v>104.06880000000001</v>
      </c>
      <c r="L135" s="425">
        <f>'Key inputs_Refineries'!$C$179*10^3</f>
        <v>104.06880000000001</v>
      </c>
      <c r="M135" s="425">
        <f>'Key inputs_Refineries'!$C$179*10^3</f>
        <v>104.06880000000001</v>
      </c>
      <c r="N135" s="425">
        <f>'Key inputs_Refineries'!$C$179*10^3</f>
        <v>104.06880000000001</v>
      </c>
      <c r="O135" s="425">
        <f>'Key inputs_Refineries'!$C$179*10^3</f>
        <v>104.06880000000001</v>
      </c>
      <c r="P135" s="425">
        <f>'Key inputs_Refineries'!$C$179*10^3</f>
        <v>104.06880000000001</v>
      </c>
      <c r="Q135" s="425">
        <f>'Key inputs_Refineries'!$C$179*10^3</f>
        <v>104.06880000000001</v>
      </c>
      <c r="R135" s="425">
        <f>'Key inputs_Refineries'!$C$179*10^3</f>
        <v>104.06880000000001</v>
      </c>
      <c r="S135" s="425">
        <f>'Key inputs_Refineries'!$C$179*10^3</f>
        <v>104.06880000000001</v>
      </c>
      <c r="T135" s="425">
        <f>'Key inputs_Refineries'!$C$179*10^3</f>
        <v>104.06880000000001</v>
      </c>
      <c r="U135" s="425">
        <f>'Key inputs_Refineries'!$C$179*10^3</f>
        <v>104.06880000000001</v>
      </c>
      <c r="V135" s="425">
        <f>'Key inputs_Refineries'!$C$179*10^3</f>
        <v>104.06880000000001</v>
      </c>
      <c r="W135" s="425">
        <f>'Key inputs_Refineries'!$C$179*10^3</f>
        <v>104.06880000000001</v>
      </c>
      <c r="X135" s="425">
        <f>'Key inputs_Refineries'!$C$179*10^3</f>
        <v>104.06880000000001</v>
      </c>
      <c r="Y135" s="425">
        <f>'Key inputs_Refineries'!$C$179*10^3</f>
        <v>104.06880000000001</v>
      </c>
      <c r="Z135" s="425">
        <f>'Key inputs_Refineries'!$C$179*10^3</f>
        <v>104.06880000000001</v>
      </c>
      <c r="AA135" s="425">
        <f>'Key inputs_Refineries'!$C$179*10^3</f>
        <v>104.06880000000001</v>
      </c>
      <c r="AB135" s="425">
        <f>'Key inputs_Refineries'!$C$179*10^3</f>
        <v>104.06880000000001</v>
      </c>
      <c r="AC135" s="425">
        <f>'Key inputs_Refineries'!$C$179*10^3</f>
        <v>104.06880000000001</v>
      </c>
      <c r="AD135" s="425">
        <f>'Key inputs_Refineries'!$C$179*10^3</f>
        <v>104.06880000000001</v>
      </c>
      <c r="AE135" s="425">
        <f>'Key inputs_Refineries'!$C$179*10^3</f>
        <v>104.06880000000001</v>
      </c>
      <c r="AF135" s="425">
        <f>'Key inputs_Refineries'!$C$179*10^3</f>
        <v>104.06880000000001</v>
      </c>
      <c r="AG135" s="425">
        <f>'Key inputs_Refineries'!$C$179*10^3</f>
        <v>104.06880000000001</v>
      </c>
      <c r="AH135" s="425">
        <f>'Key inputs_Refineries'!$C$179*10^3</f>
        <v>104.06880000000001</v>
      </c>
      <c r="AI135" s="425">
        <f>'Key inputs_Refineries'!$C$179*10^3</f>
        <v>104.06880000000001</v>
      </c>
      <c r="AJ135" s="425">
        <f>'Key inputs_Refineries'!$C$179*10^3</f>
        <v>104.06880000000001</v>
      </c>
      <c r="AK135" s="425">
        <f>'Key inputs_Refineries'!$C$179*10^3</f>
        <v>104.06880000000001</v>
      </c>
      <c r="AL135" s="425">
        <f>'Key inputs_Refineries'!$C$179*10^3</f>
        <v>104.06880000000001</v>
      </c>
    </row>
    <row r="136" spans="1:38">
      <c r="G136" s="4" t="s">
        <v>689</v>
      </c>
      <c r="H136" s="4"/>
      <c r="I136" s="4"/>
      <c r="J136" s="4" t="s">
        <v>2663</v>
      </c>
      <c r="K136" s="425">
        <f>'Key inputs_Refineries'!$D$179*10^3</f>
        <v>0.94608000000000003</v>
      </c>
      <c r="L136" s="425">
        <f>'Key inputs_Refineries'!$D$179*10^3</f>
        <v>0.94608000000000003</v>
      </c>
      <c r="M136" s="425">
        <f>'Key inputs_Refineries'!$D$179*10^3</f>
        <v>0.94608000000000003</v>
      </c>
      <c r="N136" s="425">
        <f>'Key inputs_Refineries'!$D$179*10^3</f>
        <v>0.94608000000000003</v>
      </c>
      <c r="O136" s="425">
        <f>'Key inputs_Refineries'!$D$179*10^3</f>
        <v>0.94608000000000003</v>
      </c>
      <c r="P136" s="425">
        <f>'Key inputs_Refineries'!$D$179*10^3</f>
        <v>0.94608000000000003</v>
      </c>
      <c r="Q136" s="425">
        <f>'Key inputs_Refineries'!$D$179*10^3</f>
        <v>0.94608000000000003</v>
      </c>
      <c r="R136" s="425">
        <f>'Key inputs_Refineries'!$D$179*10^3</f>
        <v>0.94608000000000003</v>
      </c>
      <c r="S136" s="425">
        <f>'Key inputs_Refineries'!$D$179*10^3</f>
        <v>0.94608000000000003</v>
      </c>
      <c r="T136" s="425">
        <f>'Key inputs_Refineries'!$D$179*10^3</f>
        <v>0.94608000000000003</v>
      </c>
      <c r="U136" s="425">
        <f>'Key inputs_Refineries'!$D$179*10^3</f>
        <v>0.94608000000000003</v>
      </c>
      <c r="V136" s="425">
        <f>'Key inputs_Refineries'!$D$179*10^3</f>
        <v>0.94608000000000003</v>
      </c>
      <c r="W136" s="425">
        <f>'Key inputs_Refineries'!$D$179*10^3</f>
        <v>0.94608000000000003</v>
      </c>
      <c r="X136" s="425">
        <f>'Key inputs_Refineries'!$D$179*10^3</f>
        <v>0.94608000000000003</v>
      </c>
      <c r="Y136" s="425">
        <f>'Key inputs_Refineries'!$D$179*10^3</f>
        <v>0.94608000000000003</v>
      </c>
      <c r="Z136" s="425">
        <f>'Key inputs_Refineries'!$D$179*10^3</f>
        <v>0.94608000000000003</v>
      </c>
      <c r="AA136" s="425">
        <f>'Key inputs_Refineries'!$D$179*10^3</f>
        <v>0.94608000000000003</v>
      </c>
      <c r="AB136" s="425">
        <f>'Key inputs_Refineries'!$D$179*10^3</f>
        <v>0.94608000000000003</v>
      </c>
      <c r="AC136" s="425">
        <f>'Key inputs_Refineries'!$D$179*10^3</f>
        <v>0.94608000000000003</v>
      </c>
      <c r="AD136" s="425">
        <f>'Key inputs_Refineries'!$D$179*10^3</f>
        <v>0.94608000000000003</v>
      </c>
      <c r="AE136" s="425">
        <f>'Key inputs_Refineries'!$D$179*10^3</f>
        <v>0.94608000000000003</v>
      </c>
      <c r="AF136" s="425">
        <f>'Key inputs_Refineries'!$D$179*10^3</f>
        <v>0.94608000000000003</v>
      </c>
      <c r="AG136" s="425">
        <f>'Key inputs_Refineries'!$D$179*10^3</f>
        <v>0.94608000000000003</v>
      </c>
      <c r="AH136" s="425">
        <f>'Key inputs_Refineries'!$D$179*10^3</f>
        <v>0.94608000000000003</v>
      </c>
      <c r="AI136" s="425">
        <f>'Key inputs_Refineries'!$D$179*10^3</f>
        <v>0.94608000000000003</v>
      </c>
      <c r="AJ136" s="425">
        <f>'Key inputs_Refineries'!$D$179*10^3</f>
        <v>0.94608000000000003</v>
      </c>
      <c r="AK136" s="425">
        <f>'Key inputs_Refineries'!$D$179*10^3</f>
        <v>0.94608000000000003</v>
      </c>
      <c r="AL136" s="425">
        <f>'Key inputs_Refineries'!$D$179*10^3</f>
        <v>0.94608000000000003</v>
      </c>
    </row>
    <row r="137" spans="1:38">
      <c r="G137" s="4" t="s">
        <v>675</v>
      </c>
      <c r="H137" s="4"/>
      <c r="I137" s="4"/>
      <c r="J137" s="4" t="s">
        <v>2662</v>
      </c>
      <c r="K137" s="338"/>
      <c r="L137" s="338"/>
      <c r="M137" s="338"/>
      <c r="N137" s="338"/>
      <c r="O137" s="338"/>
      <c r="P137" s="338"/>
      <c r="Q137" s="338"/>
      <c r="R137" s="338"/>
      <c r="S137" s="338"/>
      <c r="T137" s="338"/>
      <c r="U137" s="338"/>
      <c r="V137" s="338"/>
      <c r="W137" s="338"/>
      <c r="X137" s="338"/>
      <c r="Y137" s="338"/>
      <c r="Z137" s="338"/>
      <c r="AA137" s="338"/>
      <c r="AB137" s="338"/>
      <c r="AC137" s="338"/>
      <c r="AD137" s="338"/>
      <c r="AE137" s="338"/>
      <c r="AF137" s="338"/>
      <c r="AG137" s="338"/>
      <c r="AH137" s="338"/>
      <c r="AI137" s="338"/>
      <c r="AJ137" s="338"/>
      <c r="AK137" s="338"/>
      <c r="AL137" s="338"/>
    </row>
    <row r="138" spans="1:38">
      <c r="G138" s="4" t="s">
        <v>630</v>
      </c>
      <c r="H138" s="4"/>
      <c r="I138" s="4"/>
      <c r="J138" s="4" t="s">
        <v>2666</v>
      </c>
      <c r="K138" s="425">
        <f>'Key inputs_Refineries'!$H$179</f>
        <v>0.8</v>
      </c>
      <c r="L138" s="425">
        <f>'Key inputs_Refineries'!$H$179</f>
        <v>0.8</v>
      </c>
      <c r="M138" s="425">
        <f>'Key inputs_Refineries'!$H$179</f>
        <v>0.8</v>
      </c>
      <c r="N138" s="425">
        <f>'Key inputs_Refineries'!$H$179</f>
        <v>0.8</v>
      </c>
      <c r="O138" s="425">
        <f>'Key inputs_Refineries'!$H$179</f>
        <v>0.8</v>
      </c>
      <c r="P138" s="425">
        <f>'Key inputs_Refineries'!$H$179</f>
        <v>0.8</v>
      </c>
      <c r="Q138" s="425">
        <f>'Key inputs_Refineries'!$H$179</f>
        <v>0.8</v>
      </c>
      <c r="R138" s="425">
        <f>'Key inputs_Refineries'!$H$179</f>
        <v>0.8</v>
      </c>
      <c r="S138" s="425">
        <f>'Key inputs_Refineries'!$H$179</f>
        <v>0.8</v>
      </c>
      <c r="T138" s="425">
        <f>'Key inputs_Refineries'!$H$179</f>
        <v>0.8</v>
      </c>
      <c r="U138" s="425">
        <f>'Key inputs_Refineries'!$H$179</f>
        <v>0.8</v>
      </c>
      <c r="V138" s="425">
        <f>'Key inputs_Refineries'!$H$179</f>
        <v>0.8</v>
      </c>
      <c r="W138" s="425">
        <f>'Key inputs_Refineries'!$H$179</f>
        <v>0.8</v>
      </c>
      <c r="X138" s="425">
        <f>'Key inputs_Refineries'!$H$179</f>
        <v>0.8</v>
      </c>
      <c r="Y138" s="425">
        <f>'Key inputs_Refineries'!$H$179</f>
        <v>0.8</v>
      </c>
      <c r="Z138" s="425">
        <f>'Key inputs_Refineries'!$H$179</f>
        <v>0.8</v>
      </c>
      <c r="AA138" s="425">
        <f>'Key inputs_Refineries'!$H$179</f>
        <v>0.8</v>
      </c>
      <c r="AB138" s="425">
        <f>'Key inputs_Refineries'!$H$179</f>
        <v>0.8</v>
      </c>
      <c r="AC138" s="425">
        <f>'Key inputs_Refineries'!$H$179</f>
        <v>0.8</v>
      </c>
      <c r="AD138" s="425">
        <f>'Key inputs_Refineries'!$H$179</f>
        <v>0.8</v>
      </c>
      <c r="AE138" s="425">
        <f>'Key inputs_Refineries'!$H$179</f>
        <v>0.8</v>
      </c>
      <c r="AF138" s="425">
        <f>'Key inputs_Refineries'!$H$179</f>
        <v>0.8</v>
      </c>
      <c r="AG138" s="425">
        <f>'Key inputs_Refineries'!$H$179</f>
        <v>0.8</v>
      </c>
      <c r="AH138" s="425">
        <f>'Key inputs_Refineries'!$H$179</f>
        <v>0.8</v>
      </c>
      <c r="AI138" s="425">
        <f>'Key inputs_Refineries'!$H$179</f>
        <v>0.8</v>
      </c>
      <c r="AJ138" s="425">
        <f>'Key inputs_Refineries'!$H$179</f>
        <v>0.8</v>
      </c>
      <c r="AK138" s="425">
        <f>'Key inputs_Refineries'!$H$179</f>
        <v>0.8</v>
      </c>
      <c r="AL138" s="425">
        <f>'Key inputs_Refineries'!$H$179</f>
        <v>0.8</v>
      </c>
    </row>
    <row r="139" spans="1:38">
      <c r="C139" t="str">
        <f>Commodities!$C$80</f>
        <v>UPSBDL</v>
      </c>
      <c r="G139" s="4" t="s">
        <v>702</v>
      </c>
      <c r="H139" t="s">
        <v>661</v>
      </c>
      <c r="I139">
        <v>2019</v>
      </c>
      <c r="J139" t="s">
        <v>650</v>
      </c>
      <c r="K139" s="173" cm="1">
        <f t="array" ref="K139">IFERROR(IF(AND(SUMIFS('Key inputs_Refineries'!E$85:E$164,'Key inputs_Refineries'!$C$85:$C$164,$C139,'Key inputs_Refineries'!$B$85:$B$164,"Boiler")/SUM(SUMIFS('Key inputs_Refineries'!E$85:E$164,'Key inputs_Refineries'!$C$85:$C$164,$C139:$C148,'Key inputs_Refineries'!$B$85:$B$164,"Boiler"))&gt;0,SUMIFS('Key inputs_Refineries'!E$85:E$164,'Key inputs_Refineries'!$C$85:$C$164,$C139,'Key inputs_Refineries'!$B$85:$B$164,"Boiler")/SUM(SUMIFS('Key inputs_Refineries'!E$85:E$164,'Key inputs_Refineries'!$C$85:$C$164,$C139:$C148,'Key inputs_Refineries'!$B$85:$B$164,"Boiler"))&lt;0.001),0.001,SUMIFS('Key inputs_Refineries'!E$85:E$164,'Key inputs_Refineries'!$C$85:$C$164,$C139,'Key inputs_Refineries'!$B$85:$B$164,"Boiler")/SUM(SUMIFS('Key inputs_Refineries'!E$85:E$164,'Key inputs_Refineries'!$C$85:$C$164,$C139:$C148,'Key inputs_Refineries'!$B$85:$B$164,"Boiler"))),0)</f>
        <v>0</v>
      </c>
      <c r="L139" s="173" cm="1">
        <f t="array" ref="L139">IFERROR(IF(AND(SUMIFS('Key inputs_Refineries'!F$85:F$164,'Key inputs_Refineries'!$C$85:$C$164,$C139,'Key inputs_Refineries'!$B$85:$B$164,"Boiler")/SUM(SUMIFS('Key inputs_Refineries'!F$85:F$164,'Key inputs_Refineries'!$C$85:$C$164,$C139:$C148,'Key inputs_Refineries'!$B$85:$B$164,"Boiler"))&gt;0,SUMIFS('Key inputs_Refineries'!F$85:F$164,'Key inputs_Refineries'!$C$85:$C$164,$C139,'Key inputs_Refineries'!$B$85:$B$164,"Boiler")/SUM(SUMIFS('Key inputs_Refineries'!F$85:F$164,'Key inputs_Refineries'!$C$85:$C$164,$C139:$C148,'Key inputs_Refineries'!$B$85:$B$164,"Boiler"))&lt;0.001),0.001,SUMIFS('Key inputs_Refineries'!F$85:F$164,'Key inputs_Refineries'!$C$85:$C$164,$C139,'Key inputs_Refineries'!$B$85:$B$164,"Boiler")/SUM(SUMIFS('Key inputs_Refineries'!F$85:F$164,'Key inputs_Refineries'!$C$85:$C$164,$C139:$C148,'Key inputs_Refineries'!$B$85:$B$164,"Boiler"))),0)</f>
        <v>0</v>
      </c>
      <c r="M139" s="173" cm="1">
        <f t="array" ref="M139">IFERROR(IF(AND(SUMIFS('Key inputs_Refineries'!G$85:G$164,'Key inputs_Refineries'!$C$85:$C$164,$C139,'Key inputs_Refineries'!$B$85:$B$164,"Boiler")/SUM(SUMIFS('Key inputs_Refineries'!G$85:G$164,'Key inputs_Refineries'!$C$85:$C$164,$C139:$C148,'Key inputs_Refineries'!$B$85:$B$164,"Boiler"))&gt;0,SUMIFS('Key inputs_Refineries'!G$85:G$164,'Key inputs_Refineries'!$C$85:$C$164,$C139,'Key inputs_Refineries'!$B$85:$B$164,"Boiler")/SUM(SUMIFS('Key inputs_Refineries'!G$85:G$164,'Key inputs_Refineries'!$C$85:$C$164,$C139:$C148,'Key inputs_Refineries'!$B$85:$B$164,"Boiler"))&lt;0.001),0.001,SUMIFS('Key inputs_Refineries'!G$85:G$164,'Key inputs_Refineries'!$C$85:$C$164,$C139,'Key inputs_Refineries'!$B$85:$B$164,"Boiler")/SUM(SUMIFS('Key inputs_Refineries'!G$85:G$164,'Key inputs_Refineries'!$C$85:$C$164,$C139:$C148,'Key inputs_Refineries'!$B$85:$B$164,"Boiler"))),0)</f>
        <v>0</v>
      </c>
      <c r="N139" s="173" cm="1">
        <f t="array" ref="N139">IFERROR(IF(AND(SUMIFS('Key inputs_Refineries'!H$85:H$164,'Key inputs_Refineries'!$C$85:$C$164,$C139,'Key inputs_Refineries'!$B$85:$B$164,"Boiler")/SUM(SUMIFS('Key inputs_Refineries'!H$85:H$164,'Key inputs_Refineries'!$C$85:$C$164,$C139:$C148,'Key inputs_Refineries'!$B$85:$B$164,"Boiler"))&gt;0,SUMIFS('Key inputs_Refineries'!H$85:H$164,'Key inputs_Refineries'!$C$85:$C$164,$C139,'Key inputs_Refineries'!$B$85:$B$164,"Boiler")/SUM(SUMIFS('Key inputs_Refineries'!H$85:H$164,'Key inputs_Refineries'!$C$85:$C$164,$C139:$C148,'Key inputs_Refineries'!$B$85:$B$164,"Boiler"))&lt;0.001),0.001,SUMIFS('Key inputs_Refineries'!H$85:H$164,'Key inputs_Refineries'!$C$85:$C$164,$C139,'Key inputs_Refineries'!$B$85:$B$164,"Boiler")/SUM(SUMIFS('Key inputs_Refineries'!H$85:H$164,'Key inputs_Refineries'!$C$85:$C$164,$C139:$C148,'Key inputs_Refineries'!$B$85:$B$164,"Boiler"))),0)</f>
        <v>0</v>
      </c>
      <c r="O139" s="173" cm="1">
        <f t="array" ref="O139">IFERROR(IF(AND(SUMIFS('Key inputs_Refineries'!I$85:I$164,'Key inputs_Refineries'!$C$85:$C$164,$C139,'Key inputs_Refineries'!$B$85:$B$164,"Boiler")/SUM(SUMIFS('Key inputs_Refineries'!I$85:I$164,'Key inputs_Refineries'!$C$85:$C$164,$C139:$C148,'Key inputs_Refineries'!$B$85:$B$164,"Boiler"))&gt;0,SUMIFS('Key inputs_Refineries'!I$85:I$164,'Key inputs_Refineries'!$C$85:$C$164,$C139,'Key inputs_Refineries'!$B$85:$B$164,"Boiler")/SUM(SUMIFS('Key inputs_Refineries'!I$85:I$164,'Key inputs_Refineries'!$C$85:$C$164,$C139:$C148,'Key inputs_Refineries'!$B$85:$B$164,"Boiler"))&lt;0.001),0.001,SUMIFS('Key inputs_Refineries'!I$85:I$164,'Key inputs_Refineries'!$C$85:$C$164,$C139,'Key inputs_Refineries'!$B$85:$B$164,"Boiler")/SUM(SUMIFS('Key inputs_Refineries'!I$85:I$164,'Key inputs_Refineries'!$C$85:$C$164,$C139:$C148,'Key inputs_Refineries'!$B$85:$B$164,"Boiler"))),0)</f>
        <v>0</v>
      </c>
      <c r="P139" s="173" cm="1">
        <f t="array" ref="P139">IFERROR(IF(AND(SUMIFS('Key inputs_Refineries'!J$85:J$164,'Key inputs_Refineries'!$C$85:$C$164,$C139,'Key inputs_Refineries'!$B$85:$B$164,"Boiler")/SUM(SUMIFS('Key inputs_Refineries'!J$85:J$164,'Key inputs_Refineries'!$C$85:$C$164,$C139:$C148,'Key inputs_Refineries'!$B$85:$B$164,"Boiler"))&gt;0,SUMIFS('Key inputs_Refineries'!J$85:J$164,'Key inputs_Refineries'!$C$85:$C$164,$C139,'Key inputs_Refineries'!$B$85:$B$164,"Boiler")/SUM(SUMIFS('Key inputs_Refineries'!J$85:J$164,'Key inputs_Refineries'!$C$85:$C$164,$C139:$C148,'Key inputs_Refineries'!$B$85:$B$164,"Boiler"))&lt;0.001),0.001,SUMIFS('Key inputs_Refineries'!J$85:J$164,'Key inputs_Refineries'!$C$85:$C$164,$C139,'Key inputs_Refineries'!$B$85:$B$164,"Boiler")/SUM(SUMIFS('Key inputs_Refineries'!J$85:J$164,'Key inputs_Refineries'!$C$85:$C$164,$C139:$C148,'Key inputs_Refineries'!$B$85:$B$164,"Boiler"))),0)</f>
        <v>0</v>
      </c>
      <c r="Q139" s="173" cm="1">
        <f t="array" ref="Q139">IFERROR(IF(AND(SUMIFS('Key inputs_Refineries'!K$85:K$164,'Key inputs_Refineries'!$C$85:$C$164,$C139,'Key inputs_Refineries'!$B$85:$B$164,"Boiler")/SUM(SUMIFS('Key inputs_Refineries'!K$85:K$164,'Key inputs_Refineries'!$C$85:$C$164,$C139:$C148,'Key inputs_Refineries'!$B$85:$B$164,"Boiler"))&gt;0,SUMIFS('Key inputs_Refineries'!K$85:K$164,'Key inputs_Refineries'!$C$85:$C$164,$C139,'Key inputs_Refineries'!$B$85:$B$164,"Boiler")/SUM(SUMIFS('Key inputs_Refineries'!K$85:K$164,'Key inputs_Refineries'!$C$85:$C$164,$C139:$C148,'Key inputs_Refineries'!$B$85:$B$164,"Boiler"))&lt;0.001),0.001,SUMIFS('Key inputs_Refineries'!K$85:K$164,'Key inputs_Refineries'!$C$85:$C$164,$C139,'Key inputs_Refineries'!$B$85:$B$164,"Boiler")/SUM(SUMIFS('Key inputs_Refineries'!K$85:K$164,'Key inputs_Refineries'!$C$85:$C$164,$C139:$C148,'Key inputs_Refineries'!$B$85:$B$164,"Boiler"))),0)</f>
        <v>0</v>
      </c>
      <c r="R139" s="173" cm="1">
        <f t="array" ref="R139">IFERROR(IF(AND(SUMIFS('Key inputs_Refineries'!L$85:L$164,'Key inputs_Refineries'!$C$85:$C$164,$C139,'Key inputs_Refineries'!$B$85:$B$164,"Boiler")/SUM(SUMIFS('Key inputs_Refineries'!L$85:L$164,'Key inputs_Refineries'!$C$85:$C$164,$C139:$C148,'Key inputs_Refineries'!$B$85:$B$164,"Boiler"))&gt;0,SUMIFS('Key inputs_Refineries'!L$85:L$164,'Key inputs_Refineries'!$C$85:$C$164,$C139,'Key inputs_Refineries'!$B$85:$B$164,"Boiler")/SUM(SUMIFS('Key inputs_Refineries'!L$85:L$164,'Key inputs_Refineries'!$C$85:$C$164,$C139:$C148,'Key inputs_Refineries'!$B$85:$B$164,"Boiler"))&lt;0.001),0.001,SUMIFS('Key inputs_Refineries'!L$85:L$164,'Key inputs_Refineries'!$C$85:$C$164,$C139,'Key inputs_Refineries'!$B$85:$B$164,"Boiler")/SUM(SUMIFS('Key inputs_Refineries'!L$85:L$164,'Key inputs_Refineries'!$C$85:$C$164,$C139:$C148,'Key inputs_Refineries'!$B$85:$B$164,"Boiler"))),0)</f>
        <v>0</v>
      </c>
      <c r="S139" s="173" cm="1">
        <f t="array" ref="S139">IFERROR(IF(AND(SUMIFS('Key inputs_Refineries'!M$85:M$164,'Key inputs_Refineries'!$C$85:$C$164,$C139,'Key inputs_Refineries'!$B$85:$B$164,"Boiler")/SUM(SUMIFS('Key inputs_Refineries'!M$85:M$164,'Key inputs_Refineries'!$C$85:$C$164,$C139:$C148,'Key inputs_Refineries'!$B$85:$B$164,"Boiler"))&gt;0,SUMIFS('Key inputs_Refineries'!M$85:M$164,'Key inputs_Refineries'!$C$85:$C$164,$C139,'Key inputs_Refineries'!$B$85:$B$164,"Boiler")/SUM(SUMIFS('Key inputs_Refineries'!M$85:M$164,'Key inputs_Refineries'!$C$85:$C$164,$C139:$C148,'Key inputs_Refineries'!$B$85:$B$164,"Boiler"))&lt;0.001),0.001,SUMIFS('Key inputs_Refineries'!M$85:M$164,'Key inputs_Refineries'!$C$85:$C$164,$C139,'Key inputs_Refineries'!$B$85:$B$164,"Boiler")/SUM(SUMIFS('Key inputs_Refineries'!M$85:M$164,'Key inputs_Refineries'!$C$85:$C$164,$C139:$C148,'Key inputs_Refineries'!$B$85:$B$164,"Boiler"))),0)</f>
        <v>0</v>
      </c>
      <c r="T139" s="173" cm="1">
        <f t="array" ref="T139">IFERROR(IF(AND(SUMIFS('Key inputs_Refineries'!N$85:N$164,'Key inputs_Refineries'!$C$85:$C$164,$C139,'Key inputs_Refineries'!$B$85:$B$164,"Boiler")/SUM(SUMIFS('Key inputs_Refineries'!N$85:N$164,'Key inputs_Refineries'!$C$85:$C$164,$C139:$C148,'Key inputs_Refineries'!$B$85:$B$164,"Boiler"))&gt;0,SUMIFS('Key inputs_Refineries'!N$85:N$164,'Key inputs_Refineries'!$C$85:$C$164,$C139,'Key inputs_Refineries'!$B$85:$B$164,"Boiler")/SUM(SUMIFS('Key inputs_Refineries'!N$85:N$164,'Key inputs_Refineries'!$C$85:$C$164,$C139:$C148,'Key inputs_Refineries'!$B$85:$B$164,"Boiler"))&lt;0.001),0.001,SUMIFS('Key inputs_Refineries'!N$85:N$164,'Key inputs_Refineries'!$C$85:$C$164,$C139,'Key inputs_Refineries'!$B$85:$B$164,"Boiler")/SUM(SUMIFS('Key inputs_Refineries'!N$85:N$164,'Key inputs_Refineries'!$C$85:$C$164,$C139:$C148,'Key inputs_Refineries'!$B$85:$B$164,"Boiler"))),0)</f>
        <v>0</v>
      </c>
      <c r="U139" s="173" cm="1">
        <f t="array" ref="U139">IFERROR(IF(AND(SUMIFS('Key inputs_Refineries'!O$85:O$164,'Key inputs_Refineries'!$C$85:$C$164,$C139,'Key inputs_Refineries'!$B$85:$B$164,"Boiler")/SUM(SUMIFS('Key inputs_Refineries'!O$85:O$164,'Key inputs_Refineries'!$C$85:$C$164,$C139:$C148,'Key inputs_Refineries'!$B$85:$B$164,"Boiler"))&gt;0,SUMIFS('Key inputs_Refineries'!O$85:O$164,'Key inputs_Refineries'!$C$85:$C$164,$C139,'Key inputs_Refineries'!$B$85:$B$164,"Boiler")/SUM(SUMIFS('Key inputs_Refineries'!O$85:O$164,'Key inputs_Refineries'!$C$85:$C$164,$C139:$C148,'Key inputs_Refineries'!$B$85:$B$164,"Boiler"))&lt;0.001),0.001,SUMIFS('Key inputs_Refineries'!O$85:O$164,'Key inputs_Refineries'!$C$85:$C$164,$C139,'Key inputs_Refineries'!$B$85:$B$164,"Boiler")/SUM(SUMIFS('Key inputs_Refineries'!O$85:O$164,'Key inputs_Refineries'!$C$85:$C$164,$C139:$C148,'Key inputs_Refineries'!$B$85:$B$164,"Boiler"))),0)</f>
        <v>0</v>
      </c>
      <c r="V139" s="173" cm="1">
        <f t="array" ref="V139">IFERROR(IF(AND(SUMIFS('Key inputs_Refineries'!P$85:P$164,'Key inputs_Refineries'!$C$85:$C$164,$C139,'Key inputs_Refineries'!$B$85:$B$164,"Boiler")/SUM(SUMIFS('Key inputs_Refineries'!P$85:P$164,'Key inputs_Refineries'!$C$85:$C$164,$C139:$C148,'Key inputs_Refineries'!$B$85:$B$164,"Boiler"))&gt;0,SUMIFS('Key inputs_Refineries'!P$85:P$164,'Key inputs_Refineries'!$C$85:$C$164,$C139,'Key inputs_Refineries'!$B$85:$B$164,"Boiler")/SUM(SUMIFS('Key inputs_Refineries'!P$85:P$164,'Key inputs_Refineries'!$C$85:$C$164,$C139:$C148,'Key inputs_Refineries'!$B$85:$B$164,"Boiler"))&lt;0.001),0.001,SUMIFS('Key inputs_Refineries'!P$85:P$164,'Key inputs_Refineries'!$C$85:$C$164,$C139,'Key inputs_Refineries'!$B$85:$B$164,"Boiler")/SUM(SUMIFS('Key inputs_Refineries'!P$85:P$164,'Key inputs_Refineries'!$C$85:$C$164,$C139:$C148,'Key inputs_Refineries'!$B$85:$B$164,"Boiler"))),0)</f>
        <v>0</v>
      </c>
      <c r="W139" s="173" cm="1">
        <f t="array" ref="W139">IFERROR(IF(AND(SUMIFS('Key inputs_Refineries'!Q$85:Q$164,'Key inputs_Refineries'!$C$85:$C$164,$C139,'Key inputs_Refineries'!$B$85:$B$164,"Boiler")/SUM(SUMIFS('Key inputs_Refineries'!Q$85:Q$164,'Key inputs_Refineries'!$C$85:$C$164,$C139:$C148,'Key inputs_Refineries'!$B$85:$B$164,"Boiler"))&gt;0,SUMIFS('Key inputs_Refineries'!Q$85:Q$164,'Key inputs_Refineries'!$C$85:$C$164,$C139,'Key inputs_Refineries'!$B$85:$B$164,"Boiler")/SUM(SUMIFS('Key inputs_Refineries'!Q$85:Q$164,'Key inputs_Refineries'!$C$85:$C$164,$C139:$C148,'Key inputs_Refineries'!$B$85:$B$164,"Boiler"))&lt;0.001),0.001,SUMIFS('Key inputs_Refineries'!Q$85:Q$164,'Key inputs_Refineries'!$C$85:$C$164,$C139,'Key inputs_Refineries'!$B$85:$B$164,"Boiler")/SUM(SUMIFS('Key inputs_Refineries'!Q$85:Q$164,'Key inputs_Refineries'!$C$85:$C$164,$C139:$C148,'Key inputs_Refineries'!$B$85:$B$164,"Boiler"))),0)</f>
        <v>0</v>
      </c>
      <c r="X139" s="173" cm="1">
        <f t="array" ref="X139">IFERROR(IF(AND(SUMIFS('Key inputs_Refineries'!R$85:R$164,'Key inputs_Refineries'!$C$85:$C$164,$C139,'Key inputs_Refineries'!$B$85:$B$164,"Boiler")/SUM(SUMIFS('Key inputs_Refineries'!R$85:R$164,'Key inputs_Refineries'!$C$85:$C$164,$C139:$C148,'Key inputs_Refineries'!$B$85:$B$164,"Boiler"))&gt;0,SUMIFS('Key inputs_Refineries'!R$85:R$164,'Key inputs_Refineries'!$C$85:$C$164,$C139,'Key inputs_Refineries'!$B$85:$B$164,"Boiler")/SUM(SUMIFS('Key inputs_Refineries'!R$85:R$164,'Key inputs_Refineries'!$C$85:$C$164,$C139:$C148,'Key inputs_Refineries'!$B$85:$B$164,"Boiler"))&lt;0.001),0.001,SUMIFS('Key inputs_Refineries'!R$85:R$164,'Key inputs_Refineries'!$C$85:$C$164,$C139,'Key inputs_Refineries'!$B$85:$B$164,"Boiler")/SUM(SUMIFS('Key inputs_Refineries'!R$85:R$164,'Key inputs_Refineries'!$C$85:$C$164,$C139:$C148,'Key inputs_Refineries'!$B$85:$B$164,"Boiler"))),0)</f>
        <v>0</v>
      </c>
      <c r="Y139" s="173" cm="1">
        <f t="array" ref="Y139">IFERROR(IF(AND(SUMIFS('Key inputs_Refineries'!S$85:S$164,'Key inputs_Refineries'!$C$85:$C$164,$C139,'Key inputs_Refineries'!$B$85:$B$164,"Boiler")/SUM(SUMIFS('Key inputs_Refineries'!S$85:S$164,'Key inputs_Refineries'!$C$85:$C$164,$C139:$C148,'Key inputs_Refineries'!$B$85:$B$164,"Boiler"))&gt;0,SUMIFS('Key inputs_Refineries'!S$85:S$164,'Key inputs_Refineries'!$C$85:$C$164,$C139,'Key inputs_Refineries'!$B$85:$B$164,"Boiler")/SUM(SUMIFS('Key inputs_Refineries'!S$85:S$164,'Key inputs_Refineries'!$C$85:$C$164,$C139:$C148,'Key inputs_Refineries'!$B$85:$B$164,"Boiler"))&lt;0.001),0.001,SUMIFS('Key inputs_Refineries'!S$85:S$164,'Key inputs_Refineries'!$C$85:$C$164,$C139,'Key inputs_Refineries'!$B$85:$B$164,"Boiler")/SUM(SUMIFS('Key inputs_Refineries'!S$85:S$164,'Key inputs_Refineries'!$C$85:$C$164,$C139:$C148,'Key inputs_Refineries'!$B$85:$B$164,"Boiler"))),0)</f>
        <v>0</v>
      </c>
      <c r="Z139" s="173" cm="1">
        <f t="array" ref="Z139">IFERROR(IF(AND(SUMIFS('Key inputs_Refineries'!T$85:T$164,'Key inputs_Refineries'!$C$85:$C$164,$C139,'Key inputs_Refineries'!$B$85:$B$164,"Boiler")/SUM(SUMIFS('Key inputs_Refineries'!T$85:T$164,'Key inputs_Refineries'!$C$85:$C$164,$C139:$C148,'Key inputs_Refineries'!$B$85:$B$164,"Boiler"))&gt;0,SUMIFS('Key inputs_Refineries'!T$85:T$164,'Key inputs_Refineries'!$C$85:$C$164,$C139,'Key inputs_Refineries'!$B$85:$B$164,"Boiler")/SUM(SUMIFS('Key inputs_Refineries'!T$85:T$164,'Key inputs_Refineries'!$C$85:$C$164,$C139:$C148,'Key inputs_Refineries'!$B$85:$B$164,"Boiler"))&lt;0.001),0.001,SUMIFS('Key inputs_Refineries'!T$85:T$164,'Key inputs_Refineries'!$C$85:$C$164,$C139,'Key inputs_Refineries'!$B$85:$B$164,"Boiler")/SUM(SUMIFS('Key inputs_Refineries'!T$85:T$164,'Key inputs_Refineries'!$C$85:$C$164,$C139:$C148,'Key inputs_Refineries'!$B$85:$B$164,"Boiler"))),0)</f>
        <v>0</v>
      </c>
      <c r="AA139" s="173" cm="1">
        <f t="array" ref="AA139">IFERROR(IF(AND(SUMIFS('Key inputs_Refineries'!U$85:U$164,'Key inputs_Refineries'!$C$85:$C$164,$C139,'Key inputs_Refineries'!$B$85:$B$164,"Boiler")/SUM(SUMIFS('Key inputs_Refineries'!U$85:U$164,'Key inputs_Refineries'!$C$85:$C$164,$C139:$C148,'Key inputs_Refineries'!$B$85:$B$164,"Boiler"))&gt;0,SUMIFS('Key inputs_Refineries'!U$85:U$164,'Key inputs_Refineries'!$C$85:$C$164,$C139,'Key inputs_Refineries'!$B$85:$B$164,"Boiler")/SUM(SUMIFS('Key inputs_Refineries'!U$85:U$164,'Key inputs_Refineries'!$C$85:$C$164,$C139:$C148,'Key inputs_Refineries'!$B$85:$B$164,"Boiler"))&lt;0.001),0.001,SUMIFS('Key inputs_Refineries'!U$85:U$164,'Key inputs_Refineries'!$C$85:$C$164,$C139,'Key inputs_Refineries'!$B$85:$B$164,"Boiler")/SUM(SUMIFS('Key inputs_Refineries'!U$85:U$164,'Key inputs_Refineries'!$C$85:$C$164,$C139:$C148,'Key inputs_Refineries'!$B$85:$B$164,"Boiler"))),0)</f>
        <v>1.2510132868886106E-3</v>
      </c>
      <c r="AB139" s="173" cm="1">
        <f t="array" ref="AB139">IFERROR(IF(AND(SUMIFS('Key inputs_Refineries'!V$85:V$164,'Key inputs_Refineries'!$C$85:$C$164,$C139,'Key inputs_Refineries'!$B$85:$B$164,"Boiler")/SUM(SUMIFS('Key inputs_Refineries'!V$85:V$164,'Key inputs_Refineries'!$C$85:$C$164,$C139:$C148,'Key inputs_Refineries'!$B$85:$B$164,"Boiler"))&gt;0,SUMIFS('Key inputs_Refineries'!V$85:V$164,'Key inputs_Refineries'!$C$85:$C$164,$C139,'Key inputs_Refineries'!$B$85:$B$164,"Boiler")/SUM(SUMIFS('Key inputs_Refineries'!V$85:V$164,'Key inputs_Refineries'!$C$85:$C$164,$C139:$C148,'Key inputs_Refineries'!$B$85:$B$164,"Boiler"))&lt;0.001),0.001,SUMIFS('Key inputs_Refineries'!V$85:V$164,'Key inputs_Refineries'!$C$85:$C$164,$C139,'Key inputs_Refineries'!$B$85:$B$164,"Boiler")/SUM(SUMIFS('Key inputs_Refineries'!V$85:V$164,'Key inputs_Refineries'!$C$85:$C$164,$C139:$C148,'Key inputs_Refineries'!$B$85:$B$164,"Boiler"))),0)</f>
        <v>0</v>
      </c>
      <c r="AC139" s="173" cm="1">
        <f t="array" ref="AC139">IFERROR(IF(AND(SUMIFS('Key inputs_Refineries'!W$85:W$164,'Key inputs_Refineries'!$C$85:$C$164,$C139,'Key inputs_Refineries'!$B$85:$B$164,"Boiler")/SUM(SUMIFS('Key inputs_Refineries'!W$85:W$164,'Key inputs_Refineries'!$C$85:$C$164,$C139:$C148,'Key inputs_Refineries'!$B$85:$B$164,"Boiler"))&gt;0,SUMIFS('Key inputs_Refineries'!W$85:W$164,'Key inputs_Refineries'!$C$85:$C$164,$C139,'Key inputs_Refineries'!$B$85:$B$164,"Boiler")/SUM(SUMIFS('Key inputs_Refineries'!W$85:W$164,'Key inputs_Refineries'!$C$85:$C$164,$C139:$C148,'Key inputs_Refineries'!$B$85:$B$164,"Boiler"))&lt;0.001),0.001,SUMIFS('Key inputs_Refineries'!W$85:W$164,'Key inputs_Refineries'!$C$85:$C$164,$C139,'Key inputs_Refineries'!$B$85:$B$164,"Boiler")/SUM(SUMIFS('Key inputs_Refineries'!W$85:W$164,'Key inputs_Refineries'!$C$85:$C$164,$C139:$C148,'Key inputs_Refineries'!$B$85:$B$164,"Boiler"))),0)</f>
        <v>0</v>
      </c>
      <c r="AD139" s="173" cm="1">
        <f t="array" ref="AD139">IFERROR(IF(AND(SUMIFS('Key inputs_Refineries'!X$85:X$164,'Key inputs_Refineries'!$C$85:$C$164,$C139,'Key inputs_Refineries'!$B$85:$B$164,"Boiler")/SUM(SUMIFS('Key inputs_Refineries'!X$85:X$164,'Key inputs_Refineries'!$C$85:$C$164,$C139:$C148,'Key inputs_Refineries'!$B$85:$B$164,"Boiler"))&gt;0,SUMIFS('Key inputs_Refineries'!X$85:X$164,'Key inputs_Refineries'!$C$85:$C$164,$C139,'Key inputs_Refineries'!$B$85:$B$164,"Boiler")/SUM(SUMIFS('Key inputs_Refineries'!X$85:X$164,'Key inputs_Refineries'!$C$85:$C$164,$C139:$C148,'Key inputs_Refineries'!$B$85:$B$164,"Boiler"))&lt;0.001),0.001,SUMIFS('Key inputs_Refineries'!X$85:X$164,'Key inputs_Refineries'!$C$85:$C$164,$C139,'Key inputs_Refineries'!$B$85:$B$164,"Boiler")/SUM(SUMIFS('Key inputs_Refineries'!X$85:X$164,'Key inputs_Refineries'!$C$85:$C$164,$C139:$C148,'Key inputs_Refineries'!$B$85:$B$164,"Boiler"))),0)</f>
        <v>0</v>
      </c>
      <c r="AE139" s="173" cm="1">
        <f t="array" ref="AE139">IFERROR(IF(AND(SUMIFS('Key inputs_Refineries'!Y$85:Y$164,'Key inputs_Refineries'!$C$85:$C$164,$C139,'Key inputs_Refineries'!$B$85:$B$164,"Boiler")/SUM(SUMIFS('Key inputs_Refineries'!Y$85:Y$164,'Key inputs_Refineries'!$C$85:$C$164,$C139:$C148,'Key inputs_Refineries'!$B$85:$B$164,"Boiler"))&gt;0,SUMIFS('Key inputs_Refineries'!Y$85:Y$164,'Key inputs_Refineries'!$C$85:$C$164,$C139,'Key inputs_Refineries'!$B$85:$B$164,"Boiler")/SUM(SUMIFS('Key inputs_Refineries'!Y$85:Y$164,'Key inputs_Refineries'!$C$85:$C$164,$C139:$C148,'Key inputs_Refineries'!$B$85:$B$164,"Boiler"))&lt;0.001),0.001,SUMIFS('Key inputs_Refineries'!Y$85:Y$164,'Key inputs_Refineries'!$C$85:$C$164,$C139,'Key inputs_Refineries'!$B$85:$B$164,"Boiler")/SUM(SUMIFS('Key inputs_Refineries'!Y$85:Y$164,'Key inputs_Refineries'!$C$85:$C$164,$C139:$C148,'Key inputs_Refineries'!$B$85:$B$164,"Boiler"))),0)</f>
        <v>1E-3</v>
      </c>
      <c r="AF139" s="173" cm="1">
        <f t="array" ref="AF139">IFERROR(IF(AND(SUMIFS('Key inputs_Refineries'!Z$85:Z$164,'Key inputs_Refineries'!$C$85:$C$164,$C139,'Key inputs_Refineries'!$B$85:$B$164,"Boiler")/SUM(SUMIFS('Key inputs_Refineries'!Z$85:Z$164,'Key inputs_Refineries'!$C$85:$C$164,$C139:$C148,'Key inputs_Refineries'!$B$85:$B$164,"Boiler"))&gt;0,SUMIFS('Key inputs_Refineries'!Z$85:Z$164,'Key inputs_Refineries'!$C$85:$C$164,$C139,'Key inputs_Refineries'!$B$85:$B$164,"Boiler")/SUM(SUMIFS('Key inputs_Refineries'!Z$85:Z$164,'Key inputs_Refineries'!$C$85:$C$164,$C139:$C148,'Key inputs_Refineries'!$B$85:$B$164,"Boiler"))&lt;0.001),0.001,SUMIFS('Key inputs_Refineries'!Z$85:Z$164,'Key inputs_Refineries'!$C$85:$C$164,$C139,'Key inputs_Refineries'!$B$85:$B$164,"Boiler")/SUM(SUMIFS('Key inputs_Refineries'!Z$85:Z$164,'Key inputs_Refineries'!$C$85:$C$164,$C139:$C148,'Key inputs_Refineries'!$B$85:$B$164,"Boiler"))),0)</f>
        <v>0</v>
      </c>
      <c r="AG139" s="173" cm="1">
        <f t="array" ref="AG139">IFERROR(IF(AND(SUMIFS('Key inputs_Refineries'!AA$85:AA$164,'Key inputs_Refineries'!$C$85:$C$164,$C139,'Key inputs_Refineries'!$B$85:$B$164,"Boiler")/SUM(SUMIFS('Key inputs_Refineries'!AA$85:AA$164,'Key inputs_Refineries'!$C$85:$C$164,$C139:$C148,'Key inputs_Refineries'!$B$85:$B$164,"Boiler"))&gt;0,SUMIFS('Key inputs_Refineries'!AA$85:AA$164,'Key inputs_Refineries'!$C$85:$C$164,$C139,'Key inputs_Refineries'!$B$85:$B$164,"Boiler")/SUM(SUMIFS('Key inputs_Refineries'!AA$85:AA$164,'Key inputs_Refineries'!$C$85:$C$164,$C139:$C148,'Key inputs_Refineries'!$B$85:$B$164,"Boiler"))&lt;0.001),0.001,SUMIFS('Key inputs_Refineries'!AA$85:AA$164,'Key inputs_Refineries'!$C$85:$C$164,$C139,'Key inputs_Refineries'!$B$85:$B$164,"Boiler")/SUM(SUMIFS('Key inputs_Refineries'!AA$85:AA$164,'Key inputs_Refineries'!$C$85:$C$164,$C139:$C148,'Key inputs_Refineries'!$B$85:$B$164,"Boiler"))),0)</f>
        <v>0</v>
      </c>
      <c r="AH139" s="173" cm="1">
        <f t="array" ref="AH139">IFERROR(IF(AND(SUMIFS('Key inputs_Refineries'!AB$85:AB$164,'Key inputs_Refineries'!$C$85:$C$164,$C139,'Key inputs_Refineries'!$B$85:$B$164,"Boiler")/SUM(SUMIFS('Key inputs_Refineries'!AB$85:AB$164,'Key inputs_Refineries'!$C$85:$C$164,$C139:$C148,'Key inputs_Refineries'!$B$85:$B$164,"Boiler"))&gt;0,SUMIFS('Key inputs_Refineries'!AB$85:AB$164,'Key inputs_Refineries'!$C$85:$C$164,$C139,'Key inputs_Refineries'!$B$85:$B$164,"Boiler")/SUM(SUMIFS('Key inputs_Refineries'!AB$85:AB$164,'Key inputs_Refineries'!$C$85:$C$164,$C139:$C148,'Key inputs_Refineries'!$B$85:$B$164,"Boiler"))&lt;0.001),0.001,SUMIFS('Key inputs_Refineries'!AB$85:AB$164,'Key inputs_Refineries'!$C$85:$C$164,$C139,'Key inputs_Refineries'!$B$85:$B$164,"Boiler")/SUM(SUMIFS('Key inputs_Refineries'!AB$85:AB$164,'Key inputs_Refineries'!$C$85:$C$164,$C139:$C148,'Key inputs_Refineries'!$B$85:$B$164,"Boiler"))),0)</f>
        <v>0</v>
      </c>
      <c r="AI139" s="173" cm="1">
        <f t="array" ref="AI139">IFERROR(IF(AND(SUMIFS('Key inputs_Refineries'!AC$85:AC$164,'Key inputs_Refineries'!$C$85:$C$164,$C139,'Key inputs_Refineries'!$B$85:$B$164,"Boiler")/SUM(SUMIFS('Key inputs_Refineries'!AC$85:AC$164,'Key inputs_Refineries'!$C$85:$C$164,$C139:$C148,'Key inputs_Refineries'!$B$85:$B$164,"Boiler"))&gt;0,SUMIFS('Key inputs_Refineries'!AC$85:AC$164,'Key inputs_Refineries'!$C$85:$C$164,$C139,'Key inputs_Refineries'!$B$85:$B$164,"Boiler")/SUM(SUMIFS('Key inputs_Refineries'!AC$85:AC$164,'Key inputs_Refineries'!$C$85:$C$164,$C139:$C148,'Key inputs_Refineries'!$B$85:$B$164,"Boiler"))&lt;0.001),0.001,SUMIFS('Key inputs_Refineries'!AC$85:AC$164,'Key inputs_Refineries'!$C$85:$C$164,$C139,'Key inputs_Refineries'!$B$85:$B$164,"Boiler")/SUM(SUMIFS('Key inputs_Refineries'!AC$85:AC$164,'Key inputs_Refineries'!$C$85:$C$164,$C139:$C148,'Key inputs_Refineries'!$B$85:$B$164,"Boiler"))),0)</f>
        <v>0</v>
      </c>
      <c r="AJ139" s="173" cm="1">
        <f t="array" ref="AJ139">IFERROR(IF(AND(SUMIFS('Key inputs_Refineries'!AD$85:AD$164,'Key inputs_Refineries'!$C$85:$C$164,$C139,'Key inputs_Refineries'!$B$85:$B$164,"Boiler")/SUM(SUMIFS('Key inputs_Refineries'!AD$85:AD$164,'Key inputs_Refineries'!$C$85:$C$164,$C139:$C148,'Key inputs_Refineries'!$B$85:$B$164,"Boiler"))&gt;0,SUMIFS('Key inputs_Refineries'!AD$85:AD$164,'Key inputs_Refineries'!$C$85:$C$164,$C139,'Key inputs_Refineries'!$B$85:$B$164,"Boiler")/SUM(SUMIFS('Key inputs_Refineries'!AD$85:AD$164,'Key inputs_Refineries'!$C$85:$C$164,$C139:$C148,'Key inputs_Refineries'!$B$85:$B$164,"Boiler"))&lt;0.001),0.001,SUMIFS('Key inputs_Refineries'!AD$85:AD$164,'Key inputs_Refineries'!$C$85:$C$164,$C139,'Key inputs_Refineries'!$B$85:$B$164,"Boiler")/SUM(SUMIFS('Key inputs_Refineries'!AD$85:AD$164,'Key inputs_Refineries'!$C$85:$C$164,$C139:$C148,'Key inputs_Refineries'!$B$85:$B$164,"Boiler"))),0)</f>
        <v>0</v>
      </c>
      <c r="AK139" s="173" cm="1">
        <f t="array" ref="AK139">IFERROR(IF(AND(SUMIFS('Key inputs_Refineries'!AE$85:AE$164,'Key inputs_Refineries'!$C$85:$C$164,$C139,'Key inputs_Refineries'!$B$85:$B$164,"Boiler")/SUM(SUMIFS('Key inputs_Refineries'!AE$85:AE$164,'Key inputs_Refineries'!$C$85:$C$164,$C139:$C148,'Key inputs_Refineries'!$B$85:$B$164,"Boiler"))&gt;0,SUMIFS('Key inputs_Refineries'!AE$85:AE$164,'Key inputs_Refineries'!$C$85:$C$164,$C139,'Key inputs_Refineries'!$B$85:$B$164,"Boiler")/SUM(SUMIFS('Key inputs_Refineries'!AE$85:AE$164,'Key inputs_Refineries'!$C$85:$C$164,$C139:$C148,'Key inputs_Refineries'!$B$85:$B$164,"Boiler"))&lt;0.001),0.001,SUMIFS('Key inputs_Refineries'!AE$85:AE$164,'Key inputs_Refineries'!$C$85:$C$164,$C139,'Key inputs_Refineries'!$B$85:$B$164,"Boiler")/SUM(SUMIFS('Key inputs_Refineries'!AE$85:AE$164,'Key inputs_Refineries'!$C$85:$C$164,$C139:$C148,'Key inputs_Refineries'!$B$85:$B$164,"Boiler"))),0)</f>
        <v>0</v>
      </c>
      <c r="AL139" s="173" cm="1">
        <f t="array" ref="AL139">IFERROR(IF(AND(SUMIFS('Key inputs_Refineries'!AF$85:AF$164,'Key inputs_Refineries'!$C$85:$C$164,$C139,'Key inputs_Refineries'!$B$85:$B$164,"Boiler")/SUM(SUMIFS('Key inputs_Refineries'!AF$85:AF$164,'Key inputs_Refineries'!$C$85:$C$164,$C139:$C148,'Key inputs_Refineries'!$B$85:$B$164,"Boiler"))&gt;0,SUMIFS('Key inputs_Refineries'!AF$85:AF$164,'Key inputs_Refineries'!$C$85:$C$164,$C139,'Key inputs_Refineries'!$B$85:$B$164,"Boiler")/SUM(SUMIFS('Key inputs_Refineries'!AF$85:AF$164,'Key inputs_Refineries'!$C$85:$C$164,$C139:$C148,'Key inputs_Refineries'!$B$85:$B$164,"Boiler"))&lt;0.001),0.001,SUMIFS('Key inputs_Refineries'!AF$85:AF$164,'Key inputs_Refineries'!$C$85:$C$164,$C139,'Key inputs_Refineries'!$B$85:$B$164,"Boiler")/SUM(SUMIFS('Key inputs_Refineries'!AF$85:AF$164,'Key inputs_Refineries'!$C$85:$C$164,$C139:$C148,'Key inputs_Refineries'!$B$85:$B$164,"Boiler"))),0)</f>
        <v>0</v>
      </c>
    </row>
    <row r="140" spans="1:38">
      <c r="C140" t="str">
        <f>Commodities!$C$90</f>
        <v>UPSDSL</v>
      </c>
      <c r="G140" s="4" t="s">
        <v>702</v>
      </c>
      <c r="H140" t="s">
        <v>661</v>
      </c>
      <c r="I140">
        <v>2019</v>
      </c>
      <c r="J140" t="s">
        <v>650</v>
      </c>
      <c r="K140" s="173" cm="1">
        <f t="array" ref="K140">IFERROR(IF(AND(SUMIFS('Key inputs_Refineries'!E$85:E$164,'Key inputs_Refineries'!$C$85:$C$164,$C140,'Key inputs_Refineries'!$B$85:$B$164,"Boiler")/SUM(SUMIFS('Key inputs_Refineries'!E$85:E$164,'Key inputs_Refineries'!$C$85:$C$164,$C139:$C148,'Key inputs_Refineries'!$B$85:$B$164,"Boiler"))&gt;0,SUMIFS('Key inputs_Refineries'!E$85:E$164,'Key inputs_Refineries'!$C$85:$C$164,$C140,'Key inputs_Refineries'!$B$85:$B$164,"Boiler")/SUM(SUMIFS('Key inputs_Refineries'!E$85:E$164,'Key inputs_Refineries'!$C$85:$C$164,$C139:$C148,'Key inputs_Refineries'!$B$85:$B$164,"Boiler"))&lt;0.001),0.001,SUMIFS('Key inputs_Refineries'!E$85:E$164,'Key inputs_Refineries'!$C$85:$C$164,$C140,'Key inputs_Refineries'!$B$85:$B$164,"Boiler")/SUM(SUMIFS('Key inputs_Refineries'!E$85:E$164,'Key inputs_Refineries'!$C$85:$C$164,$C139:$C148,'Key inputs_Refineries'!$B$85:$B$164,"Boiler"))),0)</f>
        <v>0</v>
      </c>
      <c r="L140" s="173" cm="1">
        <f t="array" ref="L140">IFERROR(IF(AND(SUMIFS('Key inputs_Refineries'!F$85:F$164,'Key inputs_Refineries'!$C$85:$C$164,$C140,'Key inputs_Refineries'!$B$85:$B$164,"Boiler")/SUM(SUMIFS('Key inputs_Refineries'!F$85:F$164,'Key inputs_Refineries'!$C$85:$C$164,$C139:$C148,'Key inputs_Refineries'!$B$85:$B$164,"Boiler"))&gt;0,SUMIFS('Key inputs_Refineries'!F$85:F$164,'Key inputs_Refineries'!$C$85:$C$164,$C140,'Key inputs_Refineries'!$B$85:$B$164,"Boiler")/SUM(SUMIFS('Key inputs_Refineries'!F$85:F$164,'Key inputs_Refineries'!$C$85:$C$164,$C139:$C148,'Key inputs_Refineries'!$B$85:$B$164,"Boiler"))&lt;0.001),0.001,SUMIFS('Key inputs_Refineries'!F$85:F$164,'Key inputs_Refineries'!$C$85:$C$164,$C140,'Key inputs_Refineries'!$B$85:$B$164,"Boiler")/SUM(SUMIFS('Key inputs_Refineries'!F$85:F$164,'Key inputs_Refineries'!$C$85:$C$164,$C139:$C148,'Key inputs_Refineries'!$B$85:$B$164,"Boiler"))),0)</f>
        <v>0</v>
      </c>
      <c r="M140" s="173" cm="1">
        <f t="array" ref="M140">IFERROR(IF(AND(SUMIFS('Key inputs_Refineries'!G$85:G$164,'Key inputs_Refineries'!$C$85:$C$164,$C140,'Key inputs_Refineries'!$B$85:$B$164,"Boiler")/SUM(SUMIFS('Key inputs_Refineries'!G$85:G$164,'Key inputs_Refineries'!$C$85:$C$164,$C139:$C148,'Key inputs_Refineries'!$B$85:$B$164,"Boiler"))&gt;0,SUMIFS('Key inputs_Refineries'!G$85:G$164,'Key inputs_Refineries'!$C$85:$C$164,$C140,'Key inputs_Refineries'!$B$85:$B$164,"Boiler")/SUM(SUMIFS('Key inputs_Refineries'!G$85:G$164,'Key inputs_Refineries'!$C$85:$C$164,$C139:$C148,'Key inputs_Refineries'!$B$85:$B$164,"Boiler"))&lt;0.001),0.001,SUMIFS('Key inputs_Refineries'!G$85:G$164,'Key inputs_Refineries'!$C$85:$C$164,$C140,'Key inputs_Refineries'!$B$85:$B$164,"Boiler")/SUM(SUMIFS('Key inputs_Refineries'!G$85:G$164,'Key inputs_Refineries'!$C$85:$C$164,$C139:$C148,'Key inputs_Refineries'!$B$85:$B$164,"Boiler"))),0)</f>
        <v>5.4967007249105165E-2</v>
      </c>
      <c r="N140" s="173" cm="1">
        <f t="array" ref="N140">IFERROR(IF(AND(SUMIFS('Key inputs_Refineries'!H$85:H$164,'Key inputs_Refineries'!$C$85:$C$164,$C140,'Key inputs_Refineries'!$B$85:$B$164,"Boiler")/SUM(SUMIFS('Key inputs_Refineries'!H$85:H$164,'Key inputs_Refineries'!$C$85:$C$164,$C139:$C148,'Key inputs_Refineries'!$B$85:$B$164,"Boiler"))&gt;0,SUMIFS('Key inputs_Refineries'!H$85:H$164,'Key inputs_Refineries'!$C$85:$C$164,$C140,'Key inputs_Refineries'!$B$85:$B$164,"Boiler")/SUM(SUMIFS('Key inputs_Refineries'!H$85:H$164,'Key inputs_Refineries'!$C$85:$C$164,$C139:$C148,'Key inputs_Refineries'!$B$85:$B$164,"Boiler"))&lt;0.001),0.001,SUMIFS('Key inputs_Refineries'!H$85:H$164,'Key inputs_Refineries'!$C$85:$C$164,$C140,'Key inputs_Refineries'!$B$85:$B$164,"Boiler")/SUM(SUMIFS('Key inputs_Refineries'!H$85:H$164,'Key inputs_Refineries'!$C$85:$C$164,$C139:$C148,'Key inputs_Refineries'!$B$85:$B$164,"Boiler"))),0)</f>
        <v>0</v>
      </c>
      <c r="O140" s="173" cm="1">
        <f t="array" ref="O140">IFERROR(IF(AND(SUMIFS('Key inputs_Refineries'!I$85:I$164,'Key inputs_Refineries'!$C$85:$C$164,$C140,'Key inputs_Refineries'!$B$85:$B$164,"Boiler")/SUM(SUMIFS('Key inputs_Refineries'!I$85:I$164,'Key inputs_Refineries'!$C$85:$C$164,$C139:$C148,'Key inputs_Refineries'!$B$85:$B$164,"Boiler"))&gt;0,SUMIFS('Key inputs_Refineries'!I$85:I$164,'Key inputs_Refineries'!$C$85:$C$164,$C140,'Key inputs_Refineries'!$B$85:$B$164,"Boiler")/SUM(SUMIFS('Key inputs_Refineries'!I$85:I$164,'Key inputs_Refineries'!$C$85:$C$164,$C139:$C148,'Key inputs_Refineries'!$B$85:$B$164,"Boiler"))&lt;0.001),0.001,SUMIFS('Key inputs_Refineries'!I$85:I$164,'Key inputs_Refineries'!$C$85:$C$164,$C140,'Key inputs_Refineries'!$B$85:$B$164,"Boiler")/SUM(SUMIFS('Key inputs_Refineries'!I$85:I$164,'Key inputs_Refineries'!$C$85:$C$164,$C139:$C148,'Key inputs_Refineries'!$B$85:$B$164,"Boiler"))),0)</f>
        <v>0</v>
      </c>
      <c r="P140" s="173" cm="1">
        <f t="array" ref="P140">IFERROR(IF(AND(SUMIFS('Key inputs_Refineries'!J$85:J$164,'Key inputs_Refineries'!$C$85:$C$164,$C140,'Key inputs_Refineries'!$B$85:$B$164,"Boiler")/SUM(SUMIFS('Key inputs_Refineries'!J$85:J$164,'Key inputs_Refineries'!$C$85:$C$164,$C139:$C148,'Key inputs_Refineries'!$B$85:$B$164,"Boiler"))&gt;0,SUMIFS('Key inputs_Refineries'!J$85:J$164,'Key inputs_Refineries'!$C$85:$C$164,$C140,'Key inputs_Refineries'!$B$85:$B$164,"Boiler")/SUM(SUMIFS('Key inputs_Refineries'!J$85:J$164,'Key inputs_Refineries'!$C$85:$C$164,$C139:$C148,'Key inputs_Refineries'!$B$85:$B$164,"Boiler"))&lt;0.001),0.001,SUMIFS('Key inputs_Refineries'!J$85:J$164,'Key inputs_Refineries'!$C$85:$C$164,$C140,'Key inputs_Refineries'!$B$85:$B$164,"Boiler")/SUM(SUMIFS('Key inputs_Refineries'!J$85:J$164,'Key inputs_Refineries'!$C$85:$C$164,$C139:$C148,'Key inputs_Refineries'!$B$85:$B$164,"Boiler"))),0)</f>
        <v>7.5112298847973434E-3</v>
      </c>
      <c r="Q140" s="173" cm="1">
        <f t="array" ref="Q140">IFERROR(IF(AND(SUMIFS('Key inputs_Refineries'!K$85:K$164,'Key inputs_Refineries'!$C$85:$C$164,$C140,'Key inputs_Refineries'!$B$85:$B$164,"Boiler")/SUM(SUMIFS('Key inputs_Refineries'!K$85:K$164,'Key inputs_Refineries'!$C$85:$C$164,$C139:$C148,'Key inputs_Refineries'!$B$85:$B$164,"Boiler"))&gt;0,SUMIFS('Key inputs_Refineries'!K$85:K$164,'Key inputs_Refineries'!$C$85:$C$164,$C140,'Key inputs_Refineries'!$B$85:$B$164,"Boiler")/SUM(SUMIFS('Key inputs_Refineries'!K$85:K$164,'Key inputs_Refineries'!$C$85:$C$164,$C139:$C148,'Key inputs_Refineries'!$B$85:$B$164,"Boiler"))&lt;0.001),0.001,SUMIFS('Key inputs_Refineries'!K$85:K$164,'Key inputs_Refineries'!$C$85:$C$164,$C140,'Key inputs_Refineries'!$B$85:$B$164,"Boiler")/SUM(SUMIFS('Key inputs_Refineries'!K$85:K$164,'Key inputs_Refineries'!$C$85:$C$164,$C139:$C148,'Key inputs_Refineries'!$B$85:$B$164,"Boiler"))),0)</f>
        <v>1.3591105951689957E-2</v>
      </c>
      <c r="R140" s="173" cm="1">
        <f t="array" ref="R140">IFERROR(IF(AND(SUMIFS('Key inputs_Refineries'!L$85:L$164,'Key inputs_Refineries'!$C$85:$C$164,$C140,'Key inputs_Refineries'!$B$85:$B$164,"Boiler")/SUM(SUMIFS('Key inputs_Refineries'!L$85:L$164,'Key inputs_Refineries'!$C$85:$C$164,$C139:$C148,'Key inputs_Refineries'!$B$85:$B$164,"Boiler"))&gt;0,SUMIFS('Key inputs_Refineries'!L$85:L$164,'Key inputs_Refineries'!$C$85:$C$164,$C140,'Key inputs_Refineries'!$B$85:$B$164,"Boiler")/SUM(SUMIFS('Key inputs_Refineries'!L$85:L$164,'Key inputs_Refineries'!$C$85:$C$164,$C139:$C148,'Key inputs_Refineries'!$B$85:$B$164,"Boiler"))&lt;0.001),0.001,SUMIFS('Key inputs_Refineries'!L$85:L$164,'Key inputs_Refineries'!$C$85:$C$164,$C140,'Key inputs_Refineries'!$B$85:$B$164,"Boiler")/SUM(SUMIFS('Key inputs_Refineries'!L$85:L$164,'Key inputs_Refineries'!$C$85:$C$164,$C139:$C148,'Key inputs_Refineries'!$B$85:$B$164,"Boiler"))),0)</f>
        <v>0</v>
      </c>
      <c r="S140" s="173" cm="1">
        <f t="array" ref="S140">IFERROR(IF(AND(SUMIFS('Key inputs_Refineries'!M$85:M$164,'Key inputs_Refineries'!$C$85:$C$164,$C140,'Key inputs_Refineries'!$B$85:$B$164,"Boiler")/SUM(SUMIFS('Key inputs_Refineries'!M$85:M$164,'Key inputs_Refineries'!$C$85:$C$164,$C139:$C148,'Key inputs_Refineries'!$B$85:$B$164,"Boiler"))&gt;0,SUMIFS('Key inputs_Refineries'!M$85:M$164,'Key inputs_Refineries'!$C$85:$C$164,$C140,'Key inputs_Refineries'!$B$85:$B$164,"Boiler")/SUM(SUMIFS('Key inputs_Refineries'!M$85:M$164,'Key inputs_Refineries'!$C$85:$C$164,$C139:$C148,'Key inputs_Refineries'!$B$85:$B$164,"Boiler"))&lt;0.001),0.001,SUMIFS('Key inputs_Refineries'!M$85:M$164,'Key inputs_Refineries'!$C$85:$C$164,$C140,'Key inputs_Refineries'!$B$85:$B$164,"Boiler")/SUM(SUMIFS('Key inputs_Refineries'!M$85:M$164,'Key inputs_Refineries'!$C$85:$C$164,$C139:$C148,'Key inputs_Refineries'!$B$85:$B$164,"Boiler"))),0)</f>
        <v>3.5051732768259555E-2</v>
      </c>
      <c r="T140" s="173" cm="1">
        <f t="array" ref="T140">IFERROR(IF(AND(SUMIFS('Key inputs_Refineries'!N$85:N$164,'Key inputs_Refineries'!$C$85:$C$164,$C140,'Key inputs_Refineries'!$B$85:$B$164,"Boiler")/SUM(SUMIFS('Key inputs_Refineries'!N$85:N$164,'Key inputs_Refineries'!$C$85:$C$164,$C139:$C148,'Key inputs_Refineries'!$B$85:$B$164,"Boiler"))&gt;0,SUMIFS('Key inputs_Refineries'!N$85:N$164,'Key inputs_Refineries'!$C$85:$C$164,$C140,'Key inputs_Refineries'!$B$85:$B$164,"Boiler")/SUM(SUMIFS('Key inputs_Refineries'!N$85:N$164,'Key inputs_Refineries'!$C$85:$C$164,$C139:$C148,'Key inputs_Refineries'!$B$85:$B$164,"Boiler"))&lt;0.001),0.001,SUMIFS('Key inputs_Refineries'!N$85:N$164,'Key inputs_Refineries'!$C$85:$C$164,$C140,'Key inputs_Refineries'!$B$85:$B$164,"Boiler")/SUM(SUMIFS('Key inputs_Refineries'!N$85:N$164,'Key inputs_Refineries'!$C$85:$C$164,$C139:$C148,'Key inputs_Refineries'!$B$85:$B$164,"Boiler"))),0)</f>
        <v>8.6333554563383288E-3</v>
      </c>
      <c r="U140" s="173" cm="1">
        <f t="array" ref="U140">IFERROR(IF(AND(SUMIFS('Key inputs_Refineries'!O$85:O$164,'Key inputs_Refineries'!$C$85:$C$164,$C140,'Key inputs_Refineries'!$B$85:$B$164,"Boiler")/SUM(SUMIFS('Key inputs_Refineries'!O$85:O$164,'Key inputs_Refineries'!$C$85:$C$164,$C139:$C148,'Key inputs_Refineries'!$B$85:$B$164,"Boiler"))&gt;0,SUMIFS('Key inputs_Refineries'!O$85:O$164,'Key inputs_Refineries'!$C$85:$C$164,$C140,'Key inputs_Refineries'!$B$85:$B$164,"Boiler")/SUM(SUMIFS('Key inputs_Refineries'!O$85:O$164,'Key inputs_Refineries'!$C$85:$C$164,$C139:$C148,'Key inputs_Refineries'!$B$85:$B$164,"Boiler"))&lt;0.001),0.001,SUMIFS('Key inputs_Refineries'!O$85:O$164,'Key inputs_Refineries'!$C$85:$C$164,$C140,'Key inputs_Refineries'!$B$85:$B$164,"Boiler")/SUM(SUMIFS('Key inputs_Refineries'!O$85:O$164,'Key inputs_Refineries'!$C$85:$C$164,$C139:$C148,'Key inputs_Refineries'!$B$85:$B$164,"Boiler"))),0)</f>
        <v>0</v>
      </c>
      <c r="V140" s="173" cm="1">
        <f t="array" ref="V140">IFERROR(IF(AND(SUMIFS('Key inputs_Refineries'!P$85:P$164,'Key inputs_Refineries'!$C$85:$C$164,$C140,'Key inputs_Refineries'!$B$85:$B$164,"Boiler")/SUM(SUMIFS('Key inputs_Refineries'!P$85:P$164,'Key inputs_Refineries'!$C$85:$C$164,$C139:$C148,'Key inputs_Refineries'!$B$85:$B$164,"Boiler"))&gt;0,SUMIFS('Key inputs_Refineries'!P$85:P$164,'Key inputs_Refineries'!$C$85:$C$164,$C140,'Key inputs_Refineries'!$B$85:$B$164,"Boiler")/SUM(SUMIFS('Key inputs_Refineries'!P$85:P$164,'Key inputs_Refineries'!$C$85:$C$164,$C139:$C148,'Key inputs_Refineries'!$B$85:$B$164,"Boiler"))&lt;0.001),0.001,SUMIFS('Key inputs_Refineries'!P$85:P$164,'Key inputs_Refineries'!$C$85:$C$164,$C140,'Key inputs_Refineries'!$B$85:$B$164,"Boiler")/SUM(SUMIFS('Key inputs_Refineries'!P$85:P$164,'Key inputs_Refineries'!$C$85:$C$164,$C139:$C148,'Key inputs_Refineries'!$B$85:$B$164,"Boiler"))),0)</f>
        <v>5.6882967399520768E-3</v>
      </c>
      <c r="W140" s="173" cm="1">
        <f t="array" ref="W140">IFERROR(IF(AND(SUMIFS('Key inputs_Refineries'!Q$85:Q$164,'Key inputs_Refineries'!$C$85:$C$164,$C140,'Key inputs_Refineries'!$B$85:$B$164,"Boiler")/SUM(SUMIFS('Key inputs_Refineries'!Q$85:Q$164,'Key inputs_Refineries'!$C$85:$C$164,$C139:$C148,'Key inputs_Refineries'!$B$85:$B$164,"Boiler"))&gt;0,SUMIFS('Key inputs_Refineries'!Q$85:Q$164,'Key inputs_Refineries'!$C$85:$C$164,$C140,'Key inputs_Refineries'!$B$85:$B$164,"Boiler")/SUM(SUMIFS('Key inputs_Refineries'!Q$85:Q$164,'Key inputs_Refineries'!$C$85:$C$164,$C139:$C148,'Key inputs_Refineries'!$B$85:$B$164,"Boiler"))&lt;0.001),0.001,SUMIFS('Key inputs_Refineries'!Q$85:Q$164,'Key inputs_Refineries'!$C$85:$C$164,$C140,'Key inputs_Refineries'!$B$85:$B$164,"Boiler")/SUM(SUMIFS('Key inputs_Refineries'!Q$85:Q$164,'Key inputs_Refineries'!$C$85:$C$164,$C139:$C148,'Key inputs_Refineries'!$B$85:$B$164,"Boiler"))),0)</f>
        <v>0</v>
      </c>
      <c r="X140" s="173" cm="1">
        <f t="array" ref="X140">IFERROR(IF(AND(SUMIFS('Key inputs_Refineries'!R$85:R$164,'Key inputs_Refineries'!$C$85:$C$164,$C140,'Key inputs_Refineries'!$B$85:$B$164,"Boiler")/SUM(SUMIFS('Key inputs_Refineries'!R$85:R$164,'Key inputs_Refineries'!$C$85:$C$164,$C139:$C148,'Key inputs_Refineries'!$B$85:$B$164,"Boiler"))&gt;0,SUMIFS('Key inputs_Refineries'!R$85:R$164,'Key inputs_Refineries'!$C$85:$C$164,$C140,'Key inputs_Refineries'!$B$85:$B$164,"Boiler")/SUM(SUMIFS('Key inputs_Refineries'!R$85:R$164,'Key inputs_Refineries'!$C$85:$C$164,$C139:$C148,'Key inputs_Refineries'!$B$85:$B$164,"Boiler"))&lt;0.001),0.001,SUMIFS('Key inputs_Refineries'!R$85:R$164,'Key inputs_Refineries'!$C$85:$C$164,$C140,'Key inputs_Refineries'!$B$85:$B$164,"Boiler")/SUM(SUMIFS('Key inputs_Refineries'!R$85:R$164,'Key inputs_Refineries'!$C$85:$C$164,$C139:$C148,'Key inputs_Refineries'!$B$85:$B$164,"Boiler"))),0)</f>
        <v>0</v>
      </c>
      <c r="Y140" s="173" cm="1">
        <f t="array" ref="Y140">IFERROR(IF(AND(SUMIFS('Key inputs_Refineries'!S$85:S$164,'Key inputs_Refineries'!$C$85:$C$164,$C140,'Key inputs_Refineries'!$B$85:$B$164,"Boiler")/SUM(SUMIFS('Key inputs_Refineries'!S$85:S$164,'Key inputs_Refineries'!$C$85:$C$164,$C139:$C148,'Key inputs_Refineries'!$B$85:$B$164,"Boiler"))&gt;0,SUMIFS('Key inputs_Refineries'!S$85:S$164,'Key inputs_Refineries'!$C$85:$C$164,$C140,'Key inputs_Refineries'!$B$85:$B$164,"Boiler")/SUM(SUMIFS('Key inputs_Refineries'!S$85:S$164,'Key inputs_Refineries'!$C$85:$C$164,$C139:$C148,'Key inputs_Refineries'!$B$85:$B$164,"Boiler"))&lt;0.001),0.001,SUMIFS('Key inputs_Refineries'!S$85:S$164,'Key inputs_Refineries'!$C$85:$C$164,$C140,'Key inputs_Refineries'!$B$85:$B$164,"Boiler")/SUM(SUMIFS('Key inputs_Refineries'!S$85:S$164,'Key inputs_Refineries'!$C$85:$C$164,$C139:$C148,'Key inputs_Refineries'!$B$85:$B$164,"Boiler"))),0)</f>
        <v>2.7787994220171155E-3</v>
      </c>
      <c r="Z140" s="173" cm="1">
        <f t="array" ref="Z140">IFERROR(IF(AND(SUMIFS('Key inputs_Refineries'!T$85:T$164,'Key inputs_Refineries'!$C$85:$C$164,$C140,'Key inputs_Refineries'!$B$85:$B$164,"Boiler")/SUM(SUMIFS('Key inputs_Refineries'!T$85:T$164,'Key inputs_Refineries'!$C$85:$C$164,$C139:$C148,'Key inputs_Refineries'!$B$85:$B$164,"Boiler"))&gt;0,SUMIFS('Key inputs_Refineries'!T$85:T$164,'Key inputs_Refineries'!$C$85:$C$164,$C140,'Key inputs_Refineries'!$B$85:$B$164,"Boiler")/SUM(SUMIFS('Key inputs_Refineries'!T$85:T$164,'Key inputs_Refineries'!$C$85:$C$164,$C139:$C148,'Key inputs_Refineries'!$B$85:$B$164,"Boiler"))&lt;0.001),0.001,SUMIFS('Key inputs_Refineries'!T$85:T$164,'Key inputs_Refineries'!$C$85:$C$164,$C140,'Key inputs_Refineries'!$B$85:$B$164,"Boiler")/SUM(SUMIFS('Key inputs_Refineries'!T$85:T$164,'Key inputs_Refineries'!$C$85:$C$164,$C139:$C148,'Key inputs_Refineries'!$B$85:$B$164,"Boiler"))),0)</f>
        <v>7.5121681310049548E-3</v>
      </c>
      <c r="AA140" s="173" cm="1">
        <f t="array" ref="AA140">IFERROR(IF(AND(SUMIFS('Key inputs_Refineries'!U$85:U$164,'Key inputs_Refineries'!$C$85:$C$164,$C140,'Key inputs_Refineries'!$B$85:$B$164,"Boiler")/SUM(SUMIFS('Key inputs_Refineries'!U$85:U$164,'Key inputs_Refineries'!$C$85:$C$164,$C139:$C148,'Key inputs_Refineries'!$B$85:$B$164,"Boiler"))&gt;0,SUMIFS('Key inputs_Refineries'!U$85:U$164,'Key inputs_Refineries'!$C$85:$C$164,$C140,'Key inputs_Refineries'!$B$85:$B$164,"Boiler")/SUM(SUMIFS('Key inputs_Refineries'!U$85:U$164,'Key inputs_Refineries'!$C$85:$C$164,$C139:$C148,'Key inputs_Refineries'!$B$85:$B$164,"Boiler"))&lt;0.001),0.001,SUMIFS('Key inputs_Refineries'!U$85:U$164,'Key inputs_Refineries'!$C$85:$C$164,$C140,'Key inputs_Refineries'!$B$85:$B$164,"Boiler")/SUM(SUMIFS('Key inputs_Refineries'!U$85:U$164,'Key inputs_Refineries'!$C$85:$C$164,$C139:$C148,'Key inputs_Refineries'!$B$85:$B$164,"Boiler"))),0)</f>
        <v>1.3171639290390735E-2</v>
      </c>
      <c r="AB140" s="173" cm="1">
        <f t="array" ref="AB140">IFERROR(IF(AND(SUMIFS('Key inputs_Refineries'!V$85:V$164,'Key inputs_Refineries'!$C$85:$C$164,$C140,'Key inputs_Refineries'!$B$85:$B$164,"Boiler")/SUM(SUMIFS('Key inputs_Refineries'!V$85:V$164,'Key inputs_Refineries'!$C$85:$C$164,$C139:$C148,'Key inputs_Refineries'!$B$85:$B$164,"Boiler"))&gt;0,SUMIFS('Key inputs_Refineries'!V$85:V$164,'Key inputs_Refineries'!$C$85:$C$164,$C140,'Key inputs_Refineries'!$B$85:$B$164,"Boiler")/SUM(SUMIFS('Key inputs_Refineries'!V$85:V$164,'Key inputs_Refineries'!$C$85:$C$164,$C139:$C148,'Key inputs_Refineries'!$B$85:$B$164,"Boiler"))&lt;0.001),0.001,SUMIFS('Key inputs_Refineries'!V$85:V$164,'Key inputs_Refineries'!$C$85:$C$164,$C140,'Key inputs_Refineries'!$B$85:$B$164,"Boiler")/SUM(SUMIFS('Key inputs_Refineries'!V$85:V$164,'Key inputs_Refineries'!$C$85:$C$164,$C139:$C148,'Key inputs_Refineries'!$B$85:$B$164,"Boiler"))),0)</f>
        <v>0.62732289155304854</v>
      </c>
      <c r="AC140" s="173" cm="1">
        <f t="array" ref="AC140">IFERROR(IF(AND(SUMIFS('Key inputs_Refineries'!W$85:W$164,'Key inputs_Refineries'!$C$85:$C$164,$C140,'Key inputs_Refineries'!$B$85:$B$164,"Boiler")/SUM(SUMIFS('Key inputs_Refineries'!W$85:W$164,'Key inputs_Refineries'!$C$85:$C$164,$C139:$C148,'Key inputs_Refineries'!$B$85:$B$164,"Boiler"))&gt;0,SUMIFS('Key inputs_Refineries'!W$85:W$164,'Key inputs_Refineries'!$C$85:$C$164,$C140,'Key inputs_Refineries'!$B$85:$B$164,"Boiler")/SUM(SUMIFS('Key inputs_Refineries'!W$85:W$164,'Key inputs_Refineries'!$C$85:$C$164,$C139:$C148,'Key inputs_Refineries'!$B$85:$B$164,"Boiler"))&lt;0.001),0.001,SUMIFS('Key inputs_Refineries'!W$85:W$164,'Key inputs_Refineries'!$C$85:$C$164,$C140,'Key inputs_Refineries'!$B$85:$B$164,"Boiler")/SUM(SUMIFS('Key inputs_Refineries'!W$85:W$164,'Key inputs_Refineries'!$C$85:$C$164,$C139:$C148,'Key inputs_Refineries'!$B$85:$B$164,"Boiler"))),0)</f>
        <v>0</v>
      </c>
      <c r="AD140" s="173" cm="1">
        <f t="array" ref="AD140">IFERROR(IF(AND(SUMIFS('Key inputs_Refineries'!X$85:X$164,'Key inputs_Refineries'!$C$85:$C$164,$C140,'Key inputs_Refineries'!$B$85:$B$164,"Boiler")/SUM(SUMIFS('Key inputs_Refineries'!X$85:X$164,'Key inputs_Refineries'!$C$85:$C$164,$C139:$C148,'Key inputs_Refineries'!$B$85:$B$164,"Boiler"))&gt;0,SUMIFS('Key inputs_Refineries'!X$85:X$164,'Key inputs_Refineries'!$C$85:$C$164,$C140,'Key inputs_Refineries'!$B$85:$B$164,"Boiler")/SUM(SUMIFS('Key inputs_Refineries'!X$85:X$164,'Key inputs_Refineries'!$C$85:$C$164,$C139:$C148,'Key inputs_Refineries'!$B$85:$B$164,"Boiler"))&lt;0.001),0.001,SUMIFS('Key inputs_Refineries'!X$85:X$164,'Key inputs_Refineries'!$C$85:$C$164,$C140,'Key inputs_Refineries'!$B$85:$B$164,"Boiler")/SUM(SUMIFS('Key inputs_Refineries'!X$85:X$164,'Key inputs_Refineries'!$C$85:$C$164,$C139:$C148,'Key inputs_Refineries'!$B$85:$B$164,"Boiler"))),0)</f>
        <v>9.5552781608146987E-3</v>
      </c>
      <c r="AE140" s="173" cm="1">
        <f t="array" ref="AE140">IFERROR(IF(AND(SUMIFS('Key inputs_Refineries'!Y$85:Y$164,'Key inputs_Refineries'!$C$85:$C$164,$C140,'Key inputs_Refineries'!$B$85:$B$164,"Boiler")/SUM(SUMIFS('Key inputs_Refineries'!Y$85:Y$164,'Key inputs_Refineries'!$C$85:$C$164,$C139:$C148,'Key inputs_Refineries'!$B$85:$B$164,"Boiler"))&gt;0,SUMIFS('Key inputs_Refineries'!Y$85:Y$164,'Key inputs_Refineries'!$C$85:$C$164,$C140,'Key inputs_Refineries'!$B$85:$B$164,"Boiler")/SUM(SUMIFS('Key inputs_Refineries'!Y$85:Y$164,'Key inputs_Refineries'!$C$85:$C$164,$C139:$C148,'Key inputs_Refineries'!$B$85:$B$164,"Boiler"))&lt;0.001),0.001,SUMIFS('Key inputs_Refineries'!Y$85:Y$164,'Key inputs_Refineries'!$C$85:$C$164,$C140,'Key inputs_Refineries'!$B$85:$B$164,"Boiler")/SUM(SUMIFS('Key inputs_Refineries'!Y$85:Y$164,'Key inputs_Refineries'!$C$85:$C$164,$C139:$C148,'Key inputs_Refineries'!$B$85:$B$164,"Boiler"))),0)</f>
        <v>1.5014083212701699E-2</v>
      </c>
      <c r="AF140" s="173" cm="1">
        <f t="array" ref="AF140">IFERROR(IF(AND(SUMIFS('Key inputs_Refineries'!Z$85:Z$164,'Key inputs_Refineries'!$C$85:$C$164,$C140,'Key inputs_Refineries'!$B$85:$B$164,"Boiler")/SUM(SUMIFS('Key inputs_Refineries'!Z$85:Z$164,'Key inputs_Refineries'!$C$85:$C$164,$C139:$C148,'Key inputs_Refineries'!$B$85:$B$164,"Boiler"))&gt;0,SUMIFS('Key inputs_Refineries'!Z$85:Z$164,'Key inputs_Refineries'!$C$85:$C$164,$C140,'Key inputs_Refineries'!$B$85:$B$164,"Boiler")/SUM(SUMIFS('Key inputs_Refineries'!Z$85:Z$164,'Key inputs_Refineries'!$C$85:$C$164,$C139:$C148,'Key inputs_Refineries'!$B$85:$B$164,"Boiler"))&lt;0.001),0.001,SUMIFS('Key inputs_Refineries'!Z$85:Z$164,'Key inputs_Refineries'!$C$85:$C$164,$C140,'Key inputs_Refineries'!$B$85:$B$164,"Boiler")/SUM(SUMIFS('Key inputs_Refineries'!Z$85:Z$164,'Key inputs_Refineries'!$C$85:$C$164,$C139:$C148,'Key inputs_Refineries'!$B$85:$B$164,"Boiler"))),0)</f>
        <v>3.8902919404541575E-2</v>
      </c>
      <c r="AG140" s="173" cm="1">
        <f t="array" ref="AG140">IFERROR(IF(AND(SUMIFS('Key inputs_Refineries'!AA$85:AA$164,'Key inputs_Refineries'!$C$85:$C$164,$C140,'Key inputs_Refineries'!$B$85:$B$164,"Boiler")/SUM(SUMIFS('Key inputs_Refineries'!AA$85:AA$164,'Key inputs_Refineries'!$C$85:$C$164,$C139:$C148,'Key inputs_Refineries'!$B$85:$B$164,"Boiler"))&gt;0,SUMIFS('Key inputs_Refineries'!AA$85:AA$164,'Key inputs_Refineries'!$C$85:$C$164,$C140,'Key inputs_Refineries'!$B$85:$B$164,"Boiler")/SUM(SUMIFS('Key inputs_Refineries'!AA$85:AA$164,'Key inputs_Refineries'!$C$85:$C$164,$C139:$C148,'Key inputs_Refineries'!$B$85:$B$164,"Boiler"))&lt;0.001),0.001,SUMIFS('Key inputs_Refineries'!AA$85:AA$164,'Key inputs_Refineries'!$C$85:$C$164,$C140,'Key inputs_Refineries'!$B$85:$B$164,"Boiler")/SUM(SUMIFS('Key inputs_Refineries'!AA$85:AA$164,'Key inputs_Refineries'!$C$85:$C$164,$C139:$C148,'Key inputs_Refineries'!$B$85:$B$164,"Boiler"))),0)</f>
        <v>3.0454378123189886E-2</v>
      </c>
      <c r="AH140" s="173" cm="1">
        <f t="array" ref="AH140">IFERROR(IF(AND(SUMIFS('Key inputs_Refineries'!AB$85:AB$164,'Key inputs_Refineries'!$C$85:$C$164,$C140,'Key inputs_Refineries'!$B$85:$B$164,"Boiler")/SUM(SUMIFS('Key inputs_Refineries'!AB$85:AB$164,'Key inputs_Refineries'!$C$85:$C$164,$C139:$C148,'Key inputs_Refineries'!$B$85:$B$164,"Boiler"))&gt;0,SUMIFS('Key inputs_Refineries'!AB$85:AB$164,'Key inputs_Refineries'!$C$85:$C$164,$C140,'Key inputs_Refineries'!$B$85:$B$164,"Boiler")/SUM(SUMIFS('Key inputs_Refineries'!AB$85:AB$164,'Key inputs_Refineries'!$C$85:$C$164,$C139:$C148,'Key inputs_Refineries'!$B$85:$B$164,"Boiler"))&lt;0.001),0.001,SUMIFS('Key inputs_Refineries'!AB$85:AB$164,'Key inputs_Refineries'!$C$85:$C$164,$C140,'Key inputs_Refineries'!$B$85:$B$164,"Boiler")/SUM(SUMIFS('Key inputs_Refineries'!AB$85:AB$164,'Key inputs_Refineries'!$C$85:$C$164,$C139:$C148,'Key inputs_Refineries'!$B$85:$B$164,"Boiler"))),0)</f>
        <v>0</v>
      </c>
      <c r="AI140" s="173" cm="1">
        <f t="array" ref="AI140">IFERROR(IF(AND(SUMIFS('Key inputs_Refineries'!AC$85:AC$164,'Key inputs_Refineries'!$C$85:$C$164,$C140,'Key inputs_Refineries'!$B$85:$B$164,"Boiler")/SUM(SUMIFS('Key inputs_Refineries'!AC$85:AC$164,'Key inputs_Refineries'!$C$85:$C$164,$C139:$C148,'Key inputs_Refineries'!$B$85:$B$164,"Boiler"))&gt;0,SUMIFS('Key inputs_Refineries'!AC$85:AC$164,'Key inputs_Refineries'!$C$85:$C$164,$C140,'Key inputs_Refineries'!$B$85:$B$164,"Boiler")/SUM(SUMIFS('Key inputs_Refineries'!AC$85:AC$164,'Key inputs_Refineries'!$C$85:$C$164,$C139:$C148,'Key inputs_Refineries'!$B$85:$B$164,"Boiler"))&lt;0.001),0.001,SUMIFS('Key inputs_Refineries'!AC$85:AC$164,'Key inputs_Refineries'!$C$85:$C$164,$C140,'Key inputs_Refineries'!$B$85:$B$164,"Boiler")/SUM(SUMIFS('Key inputs_Refineries'!AC$85:AC$164,'Key inputs_Refineries'!$C$85:$C$164,$C139:$C148,'Key inputs_Refineries'!$B$85:$B$164,"Boiler"))),0)</f>
        <v>0.10262766484878531</v>
      </c>
      <c r="AJ140" s="173" cm="1">
        <f t="array" ref="AJ140">IFERROR(IF(AND(SUMIFS('Key inputs_Refineries'!AD$85:AD$164,'Key inputs_Refineries'!$C$85:$C$164,$C140,'Key inputs_Refineries'!$B$85:$B$164,"Boiler")/SUM(SUMIFS('Key inputs_Refineries'!AD$85:AD$164,'Key inputs_Refineries'!$C$85:$C$164,$C139:$C148,'Key inputs_Refineries'!$B$85:$B$164,"Boiler"))&gt;0,SUMIFS('Key inputs_Refineries'!AD$85:AD$164,'Key inputs_Refineries'!$C$85:$C$164,$C140,'Key inputs_Refineries'!$B$85:$B$164,"Boiler")/SUM(SUMIFS('Key inputs_Refineries'!AD$85:AD$164,'Key inputs_Refineries'!$C$85:$C$164,$C139:$C148,'Key inputs_Refineries'!$B$85:$B$164,"Boiler"))&lt;0.001),0.001,SUMIFS('Key inputs_Refineries'!AD$85:AD$164,'Key inputs_Refineries'!$C$85:$C$164,$C140,'Key inputs_Refineries'!$B$85:$B$164,"Boiler")/SUM(SUMIFS('Key inputs_Refineries'!AD$85:AD$164,'Key inputs_Refineries'!$C$85:$C$164,$C139:$C148,'Key inputs_Refineries'!$B$85:$B$164,"Boiler"))),0)</f>
        <v>0</v>
      </c>
      <c r="AK140" s="173" cm="1">
        <f t="array" ref="AK140">IFERROR(IF(AND(SUMIFS('Key inputs_Refineries'!AE$85:AE$164,'Key inputs_Refineries'!$C$85:$C$164,$C140,'Key inputs_Refineries'!$B$85:$B$164,"Boiler")/SUM(SUMIFS('Key inputs_Refineries'!AE$85:AE$164,'Key inputs_Refineries'!$C$85:$C$164,$C139:$C148,'Key inputs_Refineries'!$B$85:$B$164,"Boiler"))&gt;0,SUMIFS('Key inputs_Refineries'!AE$85:AE$164,'Key inputs_Refineries'!$C$85:$C$164,$C140,'Key inputs_Refineries'!$B$85:$B$164,"Boiler")/SUM(SUMIFS('Key inputs_Refineries'!AE$85:AE$164,'Key inputs_Refineries'!$C$85:$C$164,$C139:$C148,'Key inputs_Refineries'!$B$85:$B$164,"Boiler"))&lt;0.001),0.001,SUMIFS('Key inputs_Refineries'!AE$85:AE$164,'Key inputs_Refineries'!$C$85:$C$164,$C140,'Key inputs_Refineries'!$B$85:$B$164,"Boiler")/SUM(SUMIFS('Key inputs_Refineries'!AE$85:AE$164,'Key inputs_Refineries'!$C$85:$C$164,$C139:$C148,'Key inputs_Refineries'!$B$85:$B$164,"Boiler"))),0)</f>
        <v>1E-3</v>
      </c>
      <c r="AL140" s="173" cm="1">
        <f t="array" ref="AL140">IFERROR(IF(AND(SUMIFS('Key inputs_Refineries'!AF$85:AF$164,'Key inputs_Refineries'!$C$85:$C$164,$C140,'Key inputs_Refineries'!$B$85:$B$164,"Boiler")/SUM(SUMIFS('Key inputs_Refineries'!AF$85:AF$164,'Key inputs_Refineries'!$C$85:$C$164,$C139:$C148,'Key inputs_Refineries'!$B$85:$B$164,"Boiler"))&gt;0,SUMIFS('Key inputs_Refineries'!AF$85:AF$164,'Key inputs_Refineries'!$C$85:$C$164,$C140,'Key inputs_Refineries'!$B$85:$B$164,"Boiler")/SUM(SUMIFS('Key inputs_Refineries'!AF$85:AF$164,'Key inputs_Refineries'!$C$85:$C$164,$C139:$C148,'Key inputs_Refineries'!$B$85:$B$164,"Boiler"))&lt;0.001),0.001,SUMIFS('Key inputs_Refineries'!AF$85:AF$164,'Key inputs_Refineries'!$C$85:$C$164,$C140,'Key inputs_Refineries'!$B$85:$B$164,"Boiler")/SUM(SUMIFS('Key inputs_Refineries'!AF$85:AF$164,'Key inputs_Refineries'!$C$85:$C$164,$C139:$C148,'Key inputs_Refineries'!$B$85:$B$164,"Boiler"))),0)</f>
        <v>1.1727367954192493E-2</v>
      </c>
    </row>
    <row r="141" spans="1:38">
      <c r="C141" t="str">
        <f>Commodities!$C$81</f>
        <v>UPSBGL</v>
      </c>
      <c r="G141" s="4" t="s">
        <v>702</v>
      </c>
      <c r="H141" t="s">
        <v>661</v>
      </c>
      <c r="I141">
        <v>2019</v>
      </c>
      <c r="J141" t="s">
        <v>650</v>
      </c>
      <c r="K141" s="426">
        <v>0</v>
      </c>
      <c r="L141" s="426">
        <v>0</v>
      </c>
      <c r="M141" s="426">
        <v>0</v>
      </c>
      <c r="N141" s="426">
        <v>0</v>
      </c>
      <c r="O141" s="426">
        <v>0</v>
      </c>
      <c r="P141" s="426">
        <v>0</v>
      </c>
      <c r="Q141" s="426">
        <v>0</v>
      </c>
      <c r="R141" s="426">
        <v>0</v>
      </c>
      <c r="S141" s="426">
        <v>0</v>
      </c>
      <c r="T141" s="426">
        <v>0</v>
      </c>
      <c r="U141" s="426">
        <v>0</v>
      </c>
      <c r="V141" s="426">
        <v>0</v>
      </c>
      <c r="W141" s="426">
        <v>0</v>
      </c>
      <c r="X141" s="426">
        <v>0</v>
      </c>
      <c r="Y141" s="426">
        <v>0</v>
      </c>
      <c r="Z141" s="426">
        <v>0</v>
      </c>
      <c r="AA141" s="426">
        <v>0</v>
      </c>
      <c r="AB141" s="426">
        <v>0</v>
      </c>
      <c r="AC141" s="426">
        <v>0</v>
      </c>
      <c r="AD141" s="426">
        <v>0</v>
      </c>
      <c r="AE141" s="426">
        <v>0</v>
      </c>
      <c r="AF141" s="426">
        <v>0</v>
      </c>
      <c r="AG141" s="426">
        <v>0</v>
      </c>
      <c r="AH141" s="426">
        <v>0</v>
      </c>
      <c r="AI141" s="426">
        <v>0</v>
      </c>
      <c r="AJ141" s="426">
        <v>0</v>
      </c>
      <c r="AK141" s="426">
        <v>0</v>
      </c>
      <c r="AL141" s="426">
        <v>0</v>
      </c>
    </row>
    <row r="142" spans="1:38">
      <c r="C142" t="str">
        <f>Commodities!$C$93</f>
        <v>UPSGSL</v>
      </c>
      <c r="G142" s="4" t="s">
        <v>702</v>
      </c>
      <c r="H142" t="s">
        <v>661</v>
      </c>
      <c r="I142">
        <v>2019</v>
      </c>
      <c r="J142" t="s">
        <v>650</v>
      </c>
      <c r="K142" s="173" cm="1">
        <f t="array" ref="K142">IFERROR(IF(AND(SUMIFS('Key inputs_Refineries'!E$85:E$164,'Key inputs_Refineries'!$C$85:$C$164,$C142,'Key inputs_Refineries'!$B$85:$B$164,"Boiler")/SUM(SUMIFS('Key inputs_Refineries'!E$85:E$164,'Key inputs_Refineries'!$C$85:$C$164,$C139:$C148,'Key inputs_Refineries'!$B$85:$B$164,"Boiler"))&gt;0,SUMIFS('Key inputs_Refineries'!E$85:E$164,'Key inputs_Refineries'!$C$85:$C$164,$C142,'Key inputs_Refineries'!$B$85:$B$164,"Boiler")/SUM(SUMIFS('Key inputs_Refineries'!E$85:E$164,'Key inputs_Refineries'!$C$85:$C$164,$C139:$C148,'Key inputs_Refineries'!$B$85:$B$164,"Boiler"))&lt;0.001),0.001,SUMIFS('Key inputs_Refineries'!E$85:E$164,'Key inputs_Refineries'!$C$85:$C$164,$C142,'Key inputs_Refineries'!$B$85:$B$164,"Boiler")/SUM(SUMIFS('Key inputs_Refineries'!E$85:E$164,'Key inputs_Refineries'!$C$85:$C$164,$C139:$C148,'Key inputs_Refineries'!$B$85:$B$164,"Boiler"))),0)</f>
        <v>0</v>
      </c>
      <c r="L142" s="173" cm="1">
        <f t="array" ref="L142">IFERROR(IF(AND(SUMIFS('Key inputs_Refineries'!F$85:F$164,'Key inputs_Refineries'!$C$85:$C$164,$C142,'Key inputs_Refineries'!$B$85:$B$164,"Boiler")/SUM(SUMIFS('Key inputs_Refineries'!F$85:F$164,'Key inputs_Refineries'!$C$85:$C$164,$C139:$C148,'Key inputs_Refineries'!$B$85:$B$164,"Boiler"))&gt;0,SUMIFS('Key inputs_Refineries'!F$85:F$164,'Key inputs_Refineries'!$C$85:$C$164,$C142,'Key inputs_Refineries'!$B$85:$B$164,"Boiler")/SUM(SUMIFS('Key inputs_Refineries'!F$85:F$164,'Key inputs_Refineries'!$C$85:$C$164,$C139:$C148,'Key inputs_Refineries'!$B$85:$B$164,"Boiler"))&lt;0.001),0.001,SUMIFS('Key inputs_Refineries'!F$85:F$164,'Key inputs_Refineries'!$C$85:$C$164,$C142,'Key inputs_Refineries'!$B$85:$B$164,"Boiler")/SUM(SUMIFS('Key inputs_Refineries'!F$85:F$164,'Key inputs_Refineries'!$C$85:$C$164,$C139:$C148,'Key inputs_Refineries'!$B$85:$B$164,"Boiler"))),0)</f>
        <v>0</v>
      </c>
      <c r="M142" s="173" cm="1">
        <f t="array" ref="M142">IFERROR(IF(AND(SUMIFS('Key inputs_Refineries'!G$85:G$164,'Key inputs_Refineries'!$C$85:$C$164,$C142,'Key inputs_Refineries'!$B$85:$B$164,"Boiler")/SUM(SUMIFS('Key inputs_Refineries'!G$85:G$164,'Key inputs_Refineries'!$C$85:$C$164,$C139:$C148,'Key inputs_Refineries'!$B$85:$B$164,"Boiler"))&gt;0,SUMIFS('Key inputs_Refineries'!G$85:G$164,'Key inputs_Refineries'!$C$85:$C$164,$C142,'Key inputs_Refineries'!$B$85:$B$164,"Boiler")/SUM(SUMIFS('Key inputs_Refineries'!G$85:G$164,'Key inputs_Refineries'!$C$85:$C$164,$C139:$C148,'Key inputs_Refineries'!$B$85:$B$164,"Boiler"))&lt;0.001),0.001,SUMIFS('Key inputs_Refineries'!G$85:G$164,'Key inputs_Refineries'!$C$85:$C$164,$C142,'Key inputs_Refineries'!$B$85:$B$164,"Boiler")/SUM(SUMIFS('Key inputs_Refineries'!G$85:G$164,'Key inputs_Refineries'!$C$85:$C$164,$C139:$C148,'Key inputs_Refineries'!$B$85:$B$164,"Boiler"))),0)</f>
        <v>0</v>
      </c>
      <c r="N142" s="173" cm="1">
        <f t="array" ref="N142">IFERROR(IF(AND(SUMIFS('Key inputs_Refineries'!H$85:H$164,'Key inputs_Refineries'!$C$85:$C$164,$C142,'Key inputs_Refineries'!$B$85:$B$164,"Boiler")/SUM(SUMIFS('Key inputs_Refineries'!H$85:H$164,'Key inputs_Refineries'!$C$85:$C$164,$C139:$C148,'Key inputs_Refineries'!$B$85:$B$164,"Boiler"))&gt;0,SUMIFS('Key inputs_Refineries'!H$85:H$164,'Key inputs_Refineries'!$C$85:$C$164,$C142,'Key inputs_Refineries'!$B$85:$B$164,"Boiler")/SUM(SUMIFS('Key inputs_Refineries'!H$85:H$164,'Key inputs_Refineries'!$C$85:$C$164,$C139:$C148,'Key inputs_Refineries'!$B$85:$B$164,"Boiler"))&lt;0.001),0.001,SUMIFS('Key inputs_Refineries'!H$85:H$164,'Key inputs_Refineries'!$C$85:$C$164,$C142,'Key inputs_Refineries'!$B$85:$B$164,"Boiler")/SUM(SUMIFS('Key inputs_Refineries'!H$85:H$164,'Key inputs_Refineries'!$C$85:$C$164,$C139:$C148,'Key inputs_Refineries'!$B$85:$B$164,"Boiler"))),0)</f>
        <v>0</v>
      </c>
      <c r="O142" s="173" cm="1">
        <f t="array" ref="O142">IFERROR(IF(AND(SUMIFS('Key inputs_Refineries'!I$85:I$164,'Key inputs_Refineries'!$C$85:$C$164,$C142,'Key inputs_Refineries'!$B$85:$B$164,"Boiler")/SUM(SUMIFS('Key inputs_Refineries'!I$85:I$164,'Key inputs_Refineries'!$C$85:$C$164,$C139:$C148,'Key inputs_Refineries'!$B$85:$B$164,"Boiler"))&gt;0,SUMIFS('Key inputs_Refineries'!I$85:I$164,'Key inputs_Refineries'!$C$85:$C$164,$C142,'Key inputs_Refineries'!$B$85:$B$164,"Boiler")/SUM(SUMIFS('Key inputs_Refineries'!I$85:I$164,'Key inputs_Refineries'!$C$85:$C$164,$C139:$C148,'Key inputs_Refineries'!$B$85:$B$164,"Boiler"))&lt;0.001),0.001,SUMIFS('Key inputs_Refineries'!I$85:I$164,'Key inputs_Refineries'!$C$85:$C$164,$C142,'Key inputs_Refineries'!$B$85:$B$164,"Boiler")/SUM(SUMIFS('Key inputs_Refineries'!I$85:I$164,'Key inputs_Refineries'!$C$85:$C$164,$C139:$C148,'Key inputs_Refineries'!$B$85:$B$164,"Boiler"))),0)</f>
        <v>0</v>
      </c>
      <c r="P142" s="173" cm="1">
        <f t="array" ref="P142">IFERROR(IF(AND(SUMIFS('Key inputs_Refineries'!J$85:J$164,'Key inputs_Refineries'!$C$85:$C$164,$C142,'Key inputs_Refineries'!$B$85:$B$164,"Boiler")/SUM(SUMIFS('Key inputs_Refineries'!J$85:J$164,'Key inputs_Refineries'!$C$85:$C$164,$C139:$C148,'Key inputs_Refineries'!$B$85:$B$164,"Boiler"))&gt;0,SUMIFS('Key inputs_Refineries'!J$85:J$164,'Key inputs_Refineries'!$C$85:$C$164,$C142,'Key inputs_Refineries'!$B$85:$B$164,"Boiler")/SUM(SUMIFS('Key inputs_Refineries'!J$85:J$164,'Key inputs_Refineries'!$C$85:$C$164,$C139:$C148,'Key inputs_Refineries'!$B$85:$B$164,"Boiler"))&lt;0.001),0.001,SUMIFS('Key inputs_Refineries'!J$85:J$164,'Key inputs_Refineries'!$C$85:$C$164,$C142,'Key inputs_Refineries'!$B$85:$B$164,"Boiler")/SUM(SUMIFS('Key inputs_Refineries'!J$85:J$164,'Key inputs_Refineries'!$C$85:$C$164,$C139:$C148,'Key inputs_Refineries'!$B$85:$B$164,"Boiler"))),0)</f>
        <v>0</v>
      </c>
      <c r="Q142" s="173" cm="1">
        <f t="array" ref="Q142">IFERROR(IF(AND(SUMIFS('Key inputs_Refineries'!K$85:K$164,'Key inputs_Refineries'!$C$85:$C$164,$C142,'Key inputs_Refineries'!$B$85:$B$164,"Boiler")/SUM(SUMIFS('Key inputs_Refineries'!K$85:K$164,'Key inputs_Refineries'!$C$85:$C$164,$C139:$C148,'Key inputs_Refineries'!$B$85:$B$164,"Boiler"))&gt;0,SUMIFS('Key inputs_Refineries'!K$85:K$164,'Key inputs_Refineries'!$C$85:$C$164,$C142,'Key inputs_Refineries'!$B$85:$B$164,"Boiler")/SUM(SUMIFS('Key inputs_Refineries'!K$85:K$164,'Key inputs_Refineries'!$C$85:$C$164,$C139:$C148,'Key inputs_Refineries'!$B$85:$B$164,"Boiler"))&lt;0.001),0.001,SUMIFS('Key inputs_Refineries'!K$85:K$164,'Key inputs_Refineries'!$C$85:$C$164,$C142,'Key inputs_Refineries'!$B$85:$B$164,"Boiler")/SUM(SUMIFS('Key inputs_Refineries'!K$85:K$164,'Key inputs_Refineries'!$C$85:$C$164,$C139:$C148,'Key inputs_Refineries'!$B$85:$B$164,"Boiler"))),0)</f>
        <v>0</v>
      </c>
      <c r="R142" s="173" cm="1">
        <f t="array" ref="R142">IFERROR(IF(AND(SUMIFS('Key inputs_Refineries'!L$85:L$164,'Key inputs_Refineries'!$C$85:$C$164,$C142,'Key inputs_Refineries'!$B$85:$B$164,"Boiler")/SUM(SUMIFS('Key inputs_Refineries'!L$85:L$164,'Key inputs_Refineries'!$C$85:$C$164,$C139:$C148,'Key inputs_Refineries'!$B$85:$B$164,"Boiler"))&gt;0,SUMIFS('Key inputs_Refineries'!L$85:L$164,'Key inputs_Refineries'!$C$85:$C$164,$C142,'Key inputs_Refineries'!$B$85:$B$164,"Boiler")/SUM(SUMIFS('Key inputs_Refineries'!L$85:L$164,'Key inputs_Refineries'!$C$85:$C$164,$C139:$C148,'Key inputs_Refineries'!$B$85:$B$164,"Boiler"))&lt;0.001),0.001,SUMIFS('Key inputs_Refineries'!L$85:L$164,'Key inputs_Refineries'!$C$85:$C$164,$C142,'Key inputs_Refineries'!$B$85:$B$164,"Boiler")/SUM(SUMIFS('Key inputs_Refineries'!L$85:L$164,'Key inputs_Refineries'!$C$85:$C$164,$C139:$C148,'Key inputs_Refineries'!$B$85:$B$164,"Boiler"))),0)</f>
        <v>0</v>
      </c>
      <c r="S142" s="173" cm="1">
        <f t="array" ref="S142">IFERROR(IF(AND(SUMIFS('Key inputs_Refineries'!M$85:M$164,'Key inputs_Refineries'!$C$85:$C$164,$C142,'Key inputs_Refineries'!$B$85:$B$164,"Boiler")/SUM(SUMIFS('Key inputs_Refineries'!M$85:M$164,'Key inputs_Refineries'!$C$85:$C$164,$C139:$C148,'Key inputs_Refineries'!$B$85:$B$164,"Boiler"))&gt;0,SUMIFS('Key inputs_Refineries'!M$85:M$164,'Key inputs_Refineries'!$C$85:$C$164,$C142,'Key inputs_Refineries'!$B$85:$B$164,"Boiler")/SUM(SUMIFS('Key inputs_Refineries'!M$85:M$164,'Key inputs_Refineries'!$C$85:$C$164,$C139:$C148,'Key inputs_Refineries'!$B$85:$B$164,"Boiler"))&lt;0.001),0.001,SUMIFS('Key inputs_Refineries'!M$85:M$164,'Key inputs_Refineries'!$C$85:$C$164,$C142,'Key inputs_Refineries'!$B$85:$B$164,"Boiler")/SUM(SUMIFS('Key inputs_Refineries'!M$85:M$164,'Key inputs_Refineries'!$C$85:$C$164,$C139:$C148,'Key inputs_Refineries'!$B$85:$B$164,"Boiler"))),0)</f>
        <v>0</v>
      </c>
      <c r="T142" s="173" cm="1">
        <f t="array" ref="T142">IFERROR(IF(AND(SUMIFS('Key inputs_Refineries'!N$85:N$164,'Key inputs_Refineries'!$C$85:$C$164,$C142,'Key inputs_Refineries'!$B$85:$B$164,"Boiler")/SUM(SUMIFS('Key inputs_Refineries'!N$85:N$164,'Key inputs_Refineries'!$C$85:$C$164,$C139:$C148,'Key inputs_Refineries'!$B$85:$B$164,"Boiler"))&gt;0,SUMIFS('Key inputs_Refineries'!N$85:N$164,'Key inputs_Refineries'!$C$85:$C$164,$C142,'Key inputs_Refineries'!$B$85:$B$164,"Boiler")/SUM(SUMIFS('Key inputs_Refineries'!N$85:N$164,'Key inputs_Refineries'!$C$85:$C$164,$C139:$C148,'Key inputs_Refineries'!$B$85:$B$164,"Boiler"))&lt;0.001),0.001,SUMIFS('Key inputs_Refineries'!N$85:N$164,'Key inputs_Refineries'!$C$85:$C$164,$C142,'Key inputs_Refineries'!$B$85:$B$164,"Boiler")/SUM(SUMIFS('Key inputs_Refineries'!N$85:N$164,'Key inputs_Refineries'!$C$85:$C$164,$C139:$C148,'Key inputs_Refineries'!$B$85:$B$164,"Boiler"))),0)</f>
        <v>2.7912331012078389E-2</v>
      </c>
      <c r="U142" s="173" cm="1">
        <f t="array" ref="U142">IFERROR(IF(AND(SUMIFS('Key inputs_Refineries'!O$85:O$164,'Key inputs_Refineries'!$C$85:$C$164,$C142,'Key inputs_Refineries'!$B$85:$B$164,"Boiler")/SUM(SUMIFS('Key inputs_Refineries'!O$85:O$164,'Key inputs_Refineries'!$C$85:$C$164,$C139:$C148,'Key inputs_Refineries'!$B$85:$B$164,"Boiler"))&gt;0,SUMIFS('Key inputs_Refineries'!O$85:O$164,'Key inputs_Refineries'!$C$85:$C$164,$C142,'Key inputs_Refineries'!$B$85:$B$164,"Boiler")/SUM(SUMIFS('Key inputs_Refineries'!O$85:O$164,'Key inputs_Refineries'!$C$85:$C$164,$C139:$C148,'Key inputs_Refineries'!$B$85:$B$164,"Boiler"))&lt;0.001),0.001,SUMIFS('Key inputs_Refineries'!O$85:O$164,'Key inputs_Refineries'!$C$85:$C$164,$C142,'Key inputs_Refineries'!$B$85:$B$164,"Boiler")/SUM(SUMIFS('Key inputs_Refineries'!O$85:O$164,'Key inputs_Refineries'!$C$85:$C$164,$C139:$C148,'Key inputs_Refineries'!$B$85:$B$164,"Boiler"))),0)</f>
        <v>0</v>
      </c>
      <c r="V142" s="173" cm="1">
        <f t="array" ref="V142">IFERROR(IF(AND(SUMIFS('Key inputs_Refineries'!P$85:P$164,'Key inputs_Refineries'!$C$85:$C$164,$C142,'Key inputs_Refineries'!$B$85:$B$164,"Boiler")/SUM(SUMIFS('Key inputs_Refineries'!P$85:P$164,'Key inputs_Refineries'!$C$85:$C$164,$C139:$C148,'Key inputs_Refineries'!$B$85:$B$164,"Boiler"))&gt;0,SUMIFS('Key inputs_Refineries'!P$85:P$164,'Key inputs_Refineries'!$C$85:$C$164,$C142,'Key inputs_Refineries'!$B$85:$B$164,"Boiler")/SUM(SUMIFS('Key inputs_Refineries'!P$85:P$164,'Key inputs_Refineries'!$C$85:$C$164,$C139:$C148,'Key inputs_Refineries'!$B$85:$B$164,"Boiler"))&lt;0.001),0.001,SUMIFS('Key inputs_Refineries'!P$85:P$164,'Key inputs_Refineries'!$C$85:$C$164,$C142,'Key inputs_Refineries'!$B$85:$B$164,"Boiler")/SUM(SUMIFS('Key inputs_Refineries'!P$85:P$164,'Key inputs_Refineries'!$C$85:$C$164,$C139:$C148,'Key inputs_Refineries'!$B$85:$B$164,"Boiler"))),0)</f>
        <v>1E-3</v>
      </c>
      <c r="W142" s="173" cm="1">
        <f t="array" ref="W142">IFERROR(IF(AND(SUMIFS('Key inputs_Refineries'!Q$85:Q$164,'Key inputs_Refineries'!$C$85:$C$164,$C142,'Key inputs_Refineries'!$B$85:$B$164,"Boiler")/SUM(SUMIFS('Key inputs_Refineries'!Q$85:Q$164,'Key inputs_Refineries'!$C$85:$C$164,$C139:$C148,'Key inputs_Refineries'!$B$85:$B$164,"Boiler"))&gt;0,SUMIFS('Key inputs_Refineries'!Q$85:Q$164,'Key inputs_Refineries'!$C$85:$C$164,$C142,'Key inputs_Refineries'!$B$85:$B$164,"Boiler")/SUM(SUMIFS('Key inputs_Refineries'!Q$85:Q$164,'Key inputs_Refineries'!$C$85:$C$164,$C139:$C148,'Key inputs_Refineries'!$B$85:$B$164,"Boiler"))&lt;0.001),0.001,SUMIFS('Key inputs_Refineries'!Q$85:Q$164,'Key inputs_Refineries'!$C$85:$C$164,$C142,'Key inputs_Refineries'!$B$85:$B$164,"Boiler")/SUM(SUMIFS('Key inputs_Refineries'!Q$85:Q$164,'Key inputs_Refineries'!$C$85:$C$164,$C139:$C148,'Key inputs_Refineries'!$B$85:$B$164,"Boiler"))),0)</f>
        <v>0</v>
      </c>
      <c r="X142" s="173" cm="1">
        <f t="array" ref="X142">IFERROR(IF(AND(SUMIFS('Key inputs_Refineries'!R$85:R$164,'Key inputs_Refineries'!$C$85:$C$164,$C142,'Key inputs_Refineries'!$B$85:$B$164,"Boiler")/SUM(SUMIFS('Key inputs_Refineries'!R$85:R$164,'Key inputs_Refineries'!$C$85:$C$164,$C139:$C148,'Key inputs_Refineries'!$B$85:$B$164,"Boiler"))&gt;0,SUMIFS('Key inputs_Refineries'!R$85:R$164,'Key inputs_Refineries'!$C$85:$C$164,$C142,'Key inputs_Refineries'!$B$85:$B$164,"Boiler")/SUM(SUMIFS('Key inputs_Refineries'!R$85:R$164,'Key inputs_Refineries'!$C$85:$C$164,$C139:$C148,'Key inputs_Refineries'!$B$85:$B$164,"Boiler"))&lt;0.001),0.001,SUMIFS('Key inputs_Refineries'!R$85:R$164,'Key inputs_Refineries'!$C$85:$C$164,$C142,'Key inputs_Refineries'!$B$85:$B$164,"Boiler")/SUM(SUMIFS('Key inputs_Refineries'!R$85:R$164,'Key inputs_Refineries'!$C$85:$C$164,$C139:$C148,'Key inputs_Refineries'!$B$85:$B$164,"Boiler"))),0)</f>
        <v>0</v>
      </c>
      <c r="Y142" s="173" cm="1">
        <f t="array" ref="Y142">IFERROR(IF(AND(SUMIFS('Key inputs_Refineries'!S$85:S$164,'Key inputs_Refineries'!$C$85:$C$164,$C142,'Key inputs_Refineries'!$B$85:$B$164,"Boiler")/SUM(SUMIFS('Key inputs_Refineries'!S$85:S$164,'Key inputs_Refineries'!$C$85:$C$164,$C139:$C148,'Key inputs_Refineries'!$B$85:$B$164,"Boiler"))&gt;0,SUMIFS('Key inputs_Refineries'!S$85:S$164,'Key inputs_Refineries'!$C$85:$C$164,$C142,'Key inputs_Refineries'!$B$85:$B$164,"Boiler")/SUM(SUMIFS('Key inputs_Refineries'!S$85:S$164,'Key inputs_Refineries'!$C$85:$C$164,$C139:$C148,'Key inputs_Refineries'!$B$85:$B$164,"Boiler"))&lt;0.001),0.001,SUMIFS('Key inputs_Refineries'!S$85:S$164,'Key inputs_Refineries'!$C$85:$C$164,$C142,'Key inputs_Refineries'!$B$85:$B$164,"Boiler")/SUM(SUMIFS('Key inputs_Refineries'!S$85:S$164,'Key inputs_Refineries'!$C$85:$C$164,$C139:$C148,'Key inputs_Refineries'!$B$85:$B$164,"Boiler"))),0)</f>
        <v>0</v>
      </c>
      <c r="Z142" s="173" cm="1">
        <f t="array" ref="Z142">IFERROR(IF(AND(SUMIFS('Key inputs_Refineries'!T$85:T$164,'Key inputs_Refineries'!$C$85:$C$164,$C142,'Key inputs_Refineries'!$B$85:$B$164,"Boiler")/SUM(SUMIFS('Key inputs_Refineries'!T$85:T$164,'Key inputs_Refineries'!$C$85:$C$164,$C139:$C148,'Key inputs_Refineries'!$B$85:$B$164,"Boiler"))&gt;0,SUMIFS('Key inputs_Refineries'!T$85:T$164,'Key inputs_Refineries'!$C$85:$C$164,$C142,'Key inputs_Refineries'!$B$85:$B$164,"Boiler")/SUM(SUMIFS('Key inputs_Refineries'!T$85:T$164,'Key inputs_Refineries'!$C$85:$C$164,$C139:$C148,'Key inputs_Refineries'!$B$85:$B$164,"Boiler"))&lt;0.001),0.001,SUMIFS('Key inputs_Refineries'!T$85:T$164,'Key inputs_Refineries'!$C$85:$C$164,$C142,'Key inputs_Refineries'!$B$85:$B$164,"Boiler")/SUM(SUMIFS('Key inputs_Refineries'!T$85:T$164,'Key inputs_Refineries'!$C$85:$C$164,$C139:$C148,'Key inputs_Refineries'!$B$85:$B$164,"Boiler"))),0)</f>
        <v>0</v>
      </c>
      <c r="AA142" s="173" cm="1">
        <f t="array" ref="AA142">IFERROR(IF(AND(SUMIFS('Key inputs_Refineries'!U$85:U$164,'Key inputs_Refineries'!$C$85:$C$164,$C142,'Key inputs_Refineries'!$B$85:$B$164,"Boiler")/SUM(SUMIFS('Key inputs_Refineries'!U$85:U$164,'Key inputs_Refineries'!$C$85:$C$164,$C139:$C148,'Key inputs_Refineries'!$B$85:$B$164,"Boiler"))&gt;0,SUMIFS('Key inputs_Refineries'!U$85:U$164,'Key inputs_Refineries'!$C$85:$C$164,$C142,'Key inputs_Refineries'!$B$85:$B$164,"Boiler")/SUM(SUMIFS('Key inputs_Refineries'!U$85:U$164,'Key inputs_Refineries'!$C$85:$C$164,$C139:$C148,'Key inputs_Refineries'!$B$85:$B$164,"Boiler"))&lt;0.001),0.001,SUMIFS('Key inputs_Refineries'!U$85:U$164,'Key inputs_Refineries'!$C$85:$C$164,$C142,'Key inputs_Refineries'!$B$85:$B$164,"Boiler")/SUM(SUMIFS('Key inputs_Refineries'!U$85:U$164,'Key inputs_Refineries'!$C$85:$C$164,$C139:$C148,'Key inputs_Refineries'!$B$85:$B$164,"Boiler"))),0)</f>
        <v>0</v>
      </c>
      <c r="AB142" s="173" cm="1">
        <f t="array" ref="AB142">IFERROR(IF(AND(SUMIFS('Key inputs_Refineries'!V$85:V$164,'Key inputs_Refineries'!$C$85:$C$164,$C142,'Key inputs_Refineries'!$B$85:$B$164,"Boiler")/SUM(SUMIFS('Key inputs_Refineries'!V$85:V$164,'Key inputs_Refineries'!$C$85:$C$164,$C139:$C148,'Key inputs_Refineries'!$B$85:$B$164,"Boiler"))&gt;0,SUMIFS('Key inputs_Refineries'!V$85:V$164,'Key inputs_Refineries'!$C$85:$C$164,$C142,'Key inputs_Refineries'!$B$85:$B$164,"Boiler")/SUM(SUMIFS('Key inputs_Refineries'!V$85:V$164,'Key inputs_Refineries'!$C$85:$C$164,$C139:$C148,'Key inputs_Refineries'!$B$85:$B$164,"Boiler"))&lt;0.001),0.001,SUMIFS('Key inputs_Refineries'!V$85:V$164,'Key inputs_Refineries'!$C$85:$C$164,$C142,'Key inputs_Refineries'!$B$85:$B$164,"Boiler")/SUM(SUMIFS('Key inputs_Refineries'!V$85:V$164,'Key inputs_Refineries'!$C$85:$C$164,$C139:$C148,'Key inputs_Refineries'!$B$85:$B$164,"Boiler"))),0)</f>
        <v>0</v>
      </c>
      <c r="AC142" s="173" cm="1">
        <f t="array" ref="AC142">IFERROR(IF(AND(SUMIFS('Key inputs_Refineries'!W$85:W$164,'Key inputs_Refineries'!$C$85:$C$164,$C142,'Key inputs_Refineries'!$B$85:$B$164,"Boiler")/SUM(SUMIFS('Key inputs_Refineries'!W$85:W$164,'Key inputs_Refineries'!$C$85:$C$164,$C139:$C148,'Key inputs_Refineries'!$B$85:$B$164,"Boiler"))&gt;0,SUMIFS('Key inputs_Refineries'!W$85:W$164,'Key inputs_Refineries'!$C$85:$C$164,$C142,'Key inputs_Refineries'!$B$85:$B$164,"Boiler")/SUM(SUMIFS('Key inputs_Refineries'!W$85:W$164,'Key inputs_Refineries'!$C$85:$C$164,$C139:$C148,'Key inputs_Refineries'!$B$85:$B$164,"Boiler"))&lt;0.001),0.001,SUMIFS('Key inputs_Refineries'!W$85:W$164,'Key inputs_Refineries'!$C$85:$C$164,$C142,'Key inputs_Refineries'!$B$85:$B$164,"Boiler")/SUM(SUMIFS('Key inputs_Refineries'!W$85:W$164,'Key inputs_Refineries'!$C$85:$C$164,$C139:$C148,'Key inputs_Refineries'!$B$85:$B$164,"Boiler"))),0)</f>
        <v>0</v>
      </c>
      <c r="AD142" s="173" cm="1">
        <f t="array" ref="AD142">IFERROR(IF(AND(SUMIFS('Key inputs_Refineries'!X$85:X$164,'Key inputs_Refineries'!$C$85:$C$164,$C142,'Key inputs_Refineries'!$B$85:$B$164,"Boiler")/SUM(SUMIFS('Key inputs_Refineries'!X$85:X$164,'Key inputs_Refineries'!$C$85:$C$164,$C139:$C148,'Key inputs_Refineries'!$B$85:$B$164,"Boiler"))&gt;0,SUMIFS('Key inputs_Refineries'!X$85:X$164,'Key inputs_Refineries'!$C$85:$C$164,$C142,'Key inputs_Refineries'!$B$85:$B$164,"Boiler")/SUM(SUMIFS('Key inputs_Refineries'!X$85:X$164,'Key inputs_Refineries'!$C$85:$C$164,$C139:$C148,'Key inputs_Refineries'!$B$85:$B$164,"Boiler"))&lt;0.001),0.001,SUMIFS('Key inputs_Refineries'!X$85:X$164,'Key inputs_Refineries'!$C$85:$C$164,$C142,'Key inputs_Refineries'!$B$85:$B$164,"Boiler")/SUM(SUMIFS('Key inputs_Refineries'!X$85:X$164,'Key inputs_Refineries'!$C$85:$C$164,$C139:$C148,'Key inputs_Refineries'!$B$85:$B$164,"Boiler"))),0)</f>
        <v>1E-3</v>
      </c>
      <c r="AE142" s="173" cm="1">
        <f t="array" ref="AE142">IFERROR(IF(AND(SUMIFS('Key inputs_Refineries'!Y$85:Y$164,'Key inputs_Refineries'!$C$85:$C$164,$C142,'Key inputs_Refineries'!$B$85:$B$164,"Boiler")/SUM(SUMIFS('Key inputs_Refineries'!Y$85:Y$164,'Key inputs_Refineries'!$C$85:$C$164,$C139:$C148,'Key inputs_Refineries'!$B$85:$B$164,"Boiler"))&gt;0,SUMIFS('Key inputs_Refineries'!Y$85:Y$164,'Key inputs_Refineries'!$C$85:$C$164,$C142,'Key inputs_Refineries'!$B$85:$B$164,"Boiler")/SUM(SUMIFS('Key inputs_Refineries'!Y$85:Y$164,'Key inputs_Refineries'!$C$85:$C$164,$C139:$C148,'Key inputs_Refineries'!$B$85:$B$164,"Boiler"))&lt;0.001),0.001,SUMIFS('Key inputs_Refineries'!Y$85:Y$164,'Key inputs_Refineries'!$C$85:$C$164,$C142,'Key inputs_Refineries'!$B$85:$B$164,"Boiler")/SUM(SUMIFS('Key inputs_Refineries'!Y$85:Y$164,'Key inputs_Refineries'!$C$85:$C$164,$C139:$C148,'Key inputs_Refineries'!$B$85:$B$164,"Boiler"))),0)</f>
        <v>2.0134433337153691E-2</v>
      </c>
      <c r="AF142" s="173" cm="1">
        <f t="array" ref="AF142">IFERROR(IF(AND(SUMIFS('Key inputs_Refineries'!Z$85:Z$164,'Key inputs_Refineries'!$C$85:$C$164,$C142,'Key inputs_Refineries'!$B$85:$B$164,"Boiler")/SUM(SUMIFS('Key inputs_Refineries'!Z$85:Z$164,'Key inputs_Refineries'!$C$85:$C$164,$C139:$C148,'Key inputs_Refineries'!$B$85:$B$164,"Boiler"))&gt;0,SUMIFS('Key inputs_Refineries'!Z$85:Z$164,'Key inputs_Refineries'!$C$85:$C$164,$C142,'Key inputs_Refineries'!$B$85:$B$164,"Boiler")/SUM(SUMIFS('Key inputs_Refineries'!Z$85:Z$164,'Key inputs_Refineries'!$C$85:$C$164,$C139:$C148,'Key inputs_Refineries'!$B$85:$B$164,"Boiler"))&lt;0.001),0.001,SUMIFS('Key inputs_Refineries'!Z$85:Z$164,'Key inputs_Refineries'!$C$85:$C$164,$C142,'Key inputs_Refineries'!$B$85:$B$164,"Boiler")/SUM(SUMIFS('Key inputs_Refineries'!Z$85:Z$164,'Key inputs_Refineries'!$C$85:$C$164,$C139:$C148,'Key inputs_Refineries'!$B$85:$B$164,"Boiler"))),0)</f>
        <v>0</v>
      </c>
      <c r="AG142" s="173" cm="1">
        <f t="array" ref="AG142">IFERROR(IF(AND(SUMIFS('Key inputs_Refineries'!AA$85:AA$164,'Key inputs_Refineries'!$C$85:$C$164,$C142,'Key inputs_Refineries'!$B$85:$B$164,"Boiler")/SUM(SUMIFS('Key inputs_Refineries'!AA$85:AA$164,'Key inputs_Refineries'!$C$85:$C$164,$C139:$C148,'Key inputs_Refineries'!$B$85:$B$164,"Boiler"))&gt;0,SUMIFS('Key inputs_Refineries'!AA$85:AA$164,'Key inputs_Refineries'!$C$85:$C$164,$C142,'Key inputs_Refineries'!$B$85:$B$164,"Boiler")/SUM(SUMIFS('Key inputs_Refineries'!AA$85:AA$164,'Key inputs_Refineries'!$C$85:$C$164,$C139:$C148,'Key inputs_Refineries'!$B$85:$B$164,"Boiler"))&lt;0.001),0.001,SUMIFS('Key inputs_Refineries'!AA$85:AA$164,'Key inputs_Refineries'!$C$85:$C$164,$C142,'Key inputs_Refineries'!$B$85:$B$164,"Boiler")/SUM(SUMIFS('Key inputs_Refineries'!AA$85:AA$164,'Key inputs_Refineries'!$C$85:$C$164,$C139:$C148,'Key inputs_Refineries'!$B$85:$B$164,"Boiler"))),0)</f>
        <v>0</v>
      </c>
      <c r="AH142" s="173" cm="1">
        <f t="array" ref="AH142">IFERROR(IF(AND(SUMIFS('Key inputs_Refineries'!AB$85:AB$164,'Key inputs_Refineries'!$C$85:$C$164,$C142,'Key inputs_Refineries'!$B$85:$B$164,"Boiler")/SUM(SUMIFS('Key inputs_Refineries'!AB$85:AB$164,'Key inputs_Refineries'!$C$85:$C$164,$C139:$C148,'Key inputs_Refineries'!$B$85:$B$164,"Boiler"))&gt;0,SUMIFS('Key inputs_Refineries'!AB$85:AB$164,'Key inputs_Refineries'!$C$85:$C$164,$C142,'Key inputs_Refineries'!$B$85:$B$164,"Boiler")/SUM(SUMIFS('Key inputs_Refineries'!AB$85:AB$164,'Key inputs_Refineries'!$C$85:$C$164,$C139:$C148,'Key inputs_Refineries'!$B$85:$B$164,"Boiler"))&lt;0.001),0.001,SUMIFS('Key inputs_Refineries'!AB$85:AB$164,'Key inputs_Refineries'!$C$85:$C$164,$C142,'Key inputs_Refineries'!$B$85:$B$164,"Boiler")/SUM(SUMIFS('Key inputs_Refineries'!AB$85:AB$164,'Key inputs_Refineries'!$C$85:$C$164,$C139:$C148,'Key inputs_Refineries'!$B$85:$B$164,"Boiler"))),0)</f>
        <v>0</v>
      </c>
      <c r="AI142" s="173" cm="1">
        <f t="array" ref="AI142">IFERROR(IF(AND(SUMIFS('Key inputs_Refineries'!AC$85:AC$164,'Key inputs_Refineries'!$C$85:$C$164,$C142,'Key inputs_Refineries'!$B$85:$B$164,"Boiler")/SUM(SUMIFS('Key inputs_Refineries'!AC$85:AC$164,'Key inputs_Refineries'!$C$85:$C$164,$C139:$C148,'Key inputs_Refineries'!$B$85:$B$164,"Boiler"))&gt;0,SUMIFS('Key inputs_Refineries'!AC$85:AC$164,'Key inputs_Refineries'!$C$85:$C$164,$C142,'Key inputs_Refineries'!$B$85:$B$164,"Boiler")/SUM(SUMIFS('Key inputs_Refineries'!AC$85:AC$164,'Key inputs_Refineries'!$C$85:$C$164,$C139:$C148,'Key inputs_Refineries'!$B$85:$B$164,"Boiler"))&lt;0.001),0.001,SUMIFS('Key inputs_Refineries'!AC$85:AC$164,'Key inputs_Refineries'!$C$85:$C$164,$C142,'Key inputs_Refineries'!$B$85:$B$164,"Boiler")/SUM(SUMIFS('Key inputs_Refineries'!AC$85:AC$164,'Key inputs_Refineries'!$C$85:$C$164,$C139:$C148,'Key inputs_Refineries'!$B$85:$B$164,"Boiler"))),0)</f>
        <v>0</v>
      </c>
      <c r="AJ142" s="173" cm="1">
        <f t="array" ref="AJ142">IFERROR(IF(AND(SUMIFS('Key inputs_Refineries'!AD$85:AD$164,'Key inputs_Refineries'!$C$85:$C$164,$C142,'Key inputs_Refineries'!$B$85:$B$164,"Boiler")/SUM(SUMIFS('Key inputs_Refineries'!AD$85:AD$164,'Key inputs_Refineries'!$C$85:$C$164,$C139:$C148,'Key inputs_Refineries'!$B$85:$B$164,"Boiler"))&gt;0,SUMIFS('Key inputs_Refineries'!AD$85:AD$164,'Key inputs_Refineries'!$C$85:$C$164,$C142,'Key inputs_Refineries'!$B$85:$B$164,"Boiler")/SUM(SUMIFS('Key inputs_Refineries'!AD$85:AD$164,'Key inputs_Refineries'!$C$85:$C$164,$C139:$C148,'Key inputs_Refineries'!$B$85:$B$164,"Boiler"))&lt;0.001),0.001,SUMIFS('Key inputs_Refineries'!AD$85:AD$164,'Key inputs_Refineries'!$C$85:$C$164,$C142,'Key inputs_Refineries'!$B$85:$B$164,"Boiler")/SUM(SUMIFS('Key inputs_Refineries'!AD$85:AD$164,'Key inputs_Refineries'!$C$85:$C$164,$C139:$C148,'Key inputs_Refineries'!$B$85:$B$164,"Boiler"))),0)</f>
        <v>0</v>
      </c>
      <c r="AK142" s="173" cm="1">
        <f t="array" ref="AK142">IFERROR(IF(AND(SUMIFS('Key inputs_Refineries'!AE$85:AE$164,'Key inputs_Refineries'!$C$85:$C$164,$C142,'Key inputs_Refineries'!$B$85:$B$164,"Boiler")/SUM(SUMIFS('Key inputs_Refineries'!AE$85:AE$164,'Key inputs_Refineries'!$C$85:$C$164,$C139:$C148,'Key inputs_Refineries'!$B$85:$B$164,"Boiler"))&gt;0,SUMIFS('Key inputs_Refineries'!AE$85:AE$164,'Key inputs_Refineries'!$C$85:$C$164,$C142,'Key inputs_Refineries'!$B$85:$B$164,"Boiler")/SUM(SUMIFS('Key inputs_Refineries'!AE$85:AE$164,'Key inputs_Refineries'!$C$85:$C$164,$C139:$C148,'Key inputs_Refineries'!$B$85:$B$164,"Boiler"))&lt;0.001),0.001,SUMIFS('Key inputs_Refineries'!AE$85:AE$164,'Key inputs_Refineries'!$C$85:$C$164,$C142,'Key inputs_Refineries'!$B$85:$B$164,"Boiler")/SUM(SUMIFS('Key inputs_Refineries'!AE$85:AE$164,'Key inputs_Refineries'!$C$85:$C$164,$C139:$C148,'Key inputs_Refineries'!$B$85:$B$164,"Boiler"))),0)</f>
        <v>0</v>
      </c>
      <c r="AL142" s="173" cm="1">
        <f t="array" ref="AL142">IFERROR(IF(AND(SUMIFS('Key inputs_Refineries'!AF$85:AF$164,'Key inputs_Refineries'!$C$85:$C$164,$C142,'Key inputs_Refineries'!$B$85:$B$164,"Boiler")/SUM(SUMIFS('Key inputs_Refineries'!AF$85:AF$164,'Key inputs_Refineries'!$C$85:$C$164,$C139:$C148,'Key inputs_Refineries'!$B$85:$B$164,"Boiler"))&gt;0,SUMIFS('Key inputs_Refineries'!AF$85:AF$164,'Key inputs_Refineries'!$C$85:$C$164,$C142,'Key inputs_Refineries'!$B$85:$B$164,"Boiler")/SUM(SUMIFS('Key inputs_Refineries'!AF$85:AF$164,'Key inputs_Refineries'!$C$85:$C$164,$C139:$C148,'Key inputs_Refineries'!$B$85:$B$164,"Boiler"))&lt;0.001),0.001,SUMIFS('Key inputs_Refineries'!AF$85:AF$164,'Key inputs_Refineries'!$C$85:$C$164,$C142,'Key inputs_Refineries'!$B$85:$B$164,"Boiler")/SUM(SUMIFS('Key inputs_Refineries'!AF$85:AF$164,'Key inputs_Refineries'!$C$85:$C$164,$C139:$C148,'Key inputs_Refineries'!$B$85:$B$164,"Boiler"))),0)</f>
        <v>2.4176673865044865E-3</v>
      </c>
    </row>
    <row r="143" spans="1:38">
      <c r="C143" t="str">
        <f>Commodities!$C$95</f>
        <v>UPSHFO</v>
      </c>
      <c r="G143" s="4" t="s">
        <v>702</v>
      </c>
      <c r="H143" t="s">
        <v>661</v>
      </c>
      <c r="I143">
        <v>2019</v>
      </c>
      <c r="J143" t="s">
        <v>650</v>
      </c>
      <c r="K143" s="173" cm="1">
        <f t="array" ref="K143">IFERROR(IF(AND(SUMIFS('Key inputs_Refineries'!E$85:E$164,'Key inputs_Refineries'!$C$85:$C$164,$C143,'Key inputs_Refineries'!$B$85:$B$164,"Boiler")/SUM(SUMIFS('Key inputs_Refineries'!E$85:E$164,'Key inputs_Refineries'!$C$85:$C$164,$C139:$C148,'Key inputs_Refineries'!$B$85:$B$164,"Boiler"))&gt;0,SUMIFS('Key inputs_Refineries'!E$85:E$164,'Key inputs_Refineries'!$C$85:$C$164,$C143,'Key inputs_Refineries'!$B$85:$B$164,"Boiler")/SUM(SUMIFS('Key inputs_Refineries'!E$85:E$164,'Key inputs_Refineries'!$C$85:$C$164,$C139:$C148,'Key inputs_Refineries'!$B$85:$B$164,"Boiler"))&lt;0.001),0.001,SUMIFS('Key inputs_Refineries'!E$85:E$164,'Key inputs_Refineries'!$C$85:$C$164,$C143,'Key inputs_Refineries'!$B$85:$B$164,"Boiler")/SUM(SUMIFS('Key inputs_Refineries'!E$85:E$164,'Key inputs_Refineries'!$C$85:$C$164,$C139:$C148,'Key inputs_Refineries'!$B$85:$B$164,"Boiler"))),0)</f>
        <v>0</v>
      </c>
      <c r="L143" s="173" cm="1">
        <f t="array" ref="L143">IFERROR(IF(AND(SUMIFS('Key inputs_Refineries'!F$85:F$164,'Key inputs_Refineries'!$C$85:$C$164,$C143,'Key inputs_Refineries'!$B$85:$B$164,"Boiler")/SUM(SUMIFS('Key inputs_Refineries'!F$85:F$164,'Key inputs_Refineries'!$C$85:$C$164,$C139:$C148,'Key inputs_Refineries'!$B$85:$B$164,"Boiler"))&gt;0,SUMIFS('Key inputs_Refineries'!F$85:F$164,'Key inputs_Refineries'!$C$85:$C$164,$C143,'Key inputs_Refineries'!$B$85:$B$164,"Boiler")/SUM(SUMIFS('Key inputs_Refineries'!F$85:F$164,'Key inputs_Refineries'!$C$85:$C$164,$C139:$C148,'Key inputs_Refineries'!$B$85:$B$164,"Boiler"))&lt;0.001),0.001,SUMIFS('Key inputs_Refineries'!F$85:F$164,'Key inputs_Refineries'!$C$85:$C$164,$C143,'Key inputs_Refineries'!$B$85:$B$164,"Boiler")/SUM(SUMIFS('Key inputs_Refineries'!F$85:F$164,'Key inputs_Refineries'!$C$85:$C$164,$C139:$C148,'Key inputs_Refineries'!$B$85:$B$164,"Boiler"))),0)</f>
        <v>0.37465171294428523</v>
      </c>
      <c r="M143" s="173" cm="1">
        <f t="array" ref="M143">IFERROR(IF(AND(SUMIFS('Key inputs_Refineries'!G$85:G$164,'Key inputs_Refineries'!$C$85:$C$164,$C143,'Key inputs_Refineries'!$B$85:$B$164,"Boiler")/SUM(SUMIFS('Key inputs_Refineries'!G$85:G$164,'Key inputs_Refineries'!$C$85:$C$164,$C139:$C148,'Key inputs_Refineries'!$B$85:$B$164,"Boiler"))&gt;0,SUMIFS('Key inputs_Refineries'!G$85:G$164,'Key inputs_Refineries'!$C$85:$C$164,$C143,'Key inputs_Refineries'!$B$85:$B$164,"Boiler")/SUM(SUMIFS('Key inputs_Refineries'!G$85:G$164,'Key inputs_Refineries'!$C$85:$C$164,$C139:$C148,'Key inputs_Refineries'!$B$85:$B$164,"Boiler"))&lt;0.001),0.001,SUMIFS('Key inputs_Refineries'!G$85:G$164,'Key inputs_Refineries'!$C$85:$C$164,$C143,'Key inputs_Refineries'!$B$85:$B$164,"Boiler")/SUM(SUMIFS('Key inputs_Refineries'!G$85:G$164,'Key inputs_Refineries'!$C$85:$C$164,$C139:$C148,'Key inputs_Refineries'!$B$85:$B$164,"Boiler"))),0)</f>
        <v>0.51919100635285487</v>
      </c>
      <c r="N143" s="173" cm="1">
        <f t="array" ref="N143">IFERROR(IF(AND(SUMIFS('Key inputs_Refineries'!H$85:H$164,'Key inputs_Refineries'!$C$85:$C$164,$C143,'Key inputs_Refineries'!$B$85:$B$164,"Boiler")/SUM(SUMIFS('Key inputs_Refineries'!H$85:H$164,'Key inputs_Refineries'!$C$85:$C$164,$C139:$C148,'Key inputs_Refineries'!$B$85:$B$164,"Boiler"))&gt;0,SUMIFS('Key inputs_Refineries'!H$85:H$164,'Key inputs_Refineries'!$C$85:$C$164,$C143,'Key inputs_Refineries'!$B$85:$B$164,"Boiler")/SUM(SUMIFS('Key inputs_Refineries'!H$85:H$164,'Key inputs_Refineries'!$C$85:$C$164,$C139:$C148,'Key inputs_Refineries'!$B$85:$B$164,"Boiler"))&lt;0.001),0.001,SUMIFS('Key inputs_Refineries'!H$85:H$164,'Key inputs_Refineries'!$C$85:$C$164,$C143,'Key inputs_Refineries'!$B$85:$B$164,"Boiler")/SUM(SUMIFS('Key inputs_Refineries'!H$85:H$164,'Key inputs_Refineries'!$C$85:$C$164,$C139:$C148,'Key inputs_Refineries'!$B$85:$B$164,"Boiler"))),0)</f>
        <v>0</v>
      </c>
      <c r="O143" s="173" cm="1">
        <f t="array" ref="O143">IFERROR(IF(AND(SUMIFS('Key inputs_Refineries'!I$85:I$164,'Key inputs_Refineries'!$C$85:$C$164,$C143,'Key inputs_Refineries'!$B$85:$B$164,"Boiler")/SUM(SUMIFS('Key inputs_Refineries'!I$85:I$164,'Key inputs_Refineries'!$C$85:$C$164,$C139:$C148,'Key inputs_Refineries'!$B$85:$B$164,"Boiler"))&gt;0,SUMIFS('Key inputs_Refineries'!I$85:I$164,'Key inputs_Refineries'!$C$85:$C$164,$C143,'Key inputs_Refineries'!$B$85:$B$164,"Boiler")/SUM(SUMIFS('Key inputs_Refineries'!I$85:I$164,'Key inputs_Refineries'!$C$85:$C$164,$C139:$C148,'Key inputs_Refineries'!$B$85:$B$164,"Boiler"))&lt;0.001),0.001,SUMIFS('Key inputs_Refineries'!I$85:I$164,'Key inputs_Refineries'!$C$85:$C$164,$C143,'Key inputs_Refineries'!$B$85:$B$164,"Boiler")/SUM(SUMIFS('Key inputs_Refineries'!I$85:I$164,'Key inputs_Refineries'!$C$85:$C$164,$C139:$C148,'Key inputs_Refineries'!$B$85:$B$164,"Boiler"))),0)</f>
        <v>9.1734191639610982E-2</v>
      </c>
      <c r="P143" s="173" cm="1">
        <f t="array" ref="P143">IFERROR(IF(AND(SUMIFS('Key inputs_Refineries'!J$85:J$164,'Key inputs_Refineries'!$C$85:$C$164,$C143,'Key inputs_Refineries'!$B$85:$B$164,"Boiler")/SUM(SUMIFS('Key inputs_Refineries'!J$85:J$164,'Key inputs_Refineries'!$C$85:$C$164,$C139:$C148,'Key inputs_Refineries'!$B$85:$B$164,"Boiler"))&gt;0,SUMIFS('Key inputs_Refineries'!J$85:J$164,'Key inputs_Refineries'!$C$85:$C$164,$C143,'Key inputs_Refineries'!$B$85:$B$164,"Boiler")/SUM(SUMIFS('Key inputs_Refineries'!J$85:J$164,'Key inputs_Refineries'!$C$85:$C$164,$C139:$C148,'Key inputs_Refineries'!$B$85:$B$164,"Boiler"))&lt;0.001),0.001,SUMIFS('Key inputs_Refineries'!J$85:J$164,'Key inputs_Refineries'!$C$85:$C$164,$C143,'Key inputs_Refineries'!$B$85:$B$164,"Boiler")/SUM(SUMIFS('Key inputs_Refineries'!J$85:J$164,'Key inputs_Refineries'!$C$85:$C$164,$C139:$C148,'Key inputs_Refineries'!$B$85:$B$164,"Boiler"))),0)</f>
        <v>0.10352194303840895</v>
      </c>
      <c r="Q143" s="173" cm="1">
        <f t="array" ref="Q143">IFERROR(IF(AND(SUMIFS('Key inputs_Refineries'!K$85:K$164,'Key inputs_Refineries'!$C$85:$C$164,$C143,'Key inputs_Refineries'!$B$85:$B$164,"Boiler")/SUM(SUMIFS('Key inputs_Refineries'!K$85:K$164,'Key inputs_Refineries'!$C$85:$C$164,$C139:$C148,'Key inputs_Refineries'!$B$85:$B$164,"Boiler"))&gt;0,SUMIFS('Key inputs_Refineries'!K$85:K$164,'Key inputs_Refineries'!$C$85:$C$164,$C143,'Key inputs_Refineries'!$B$85:$B$164,"Boiler")/SUM(SUMIFS('Key inputs_Refineries'!K$85:K$164,'Key inputs_Refineries'!$C$85:$C$164,$C139:$C148,'Key inputs_Refineries'!$B$85:$B$164,"Boiler"))&lt;0.001),0.001,SUMIFS('Key inputs_Refineries'!K$85:K$164,'Key inputs_Refineries'!$C$85:$C$164,$C143,'Key inputs_Refineries'!$B$85:$B$164,"Boiler")/SUM(SUMIFS('Key inputs_Refineries'!K$85:K$164,'Key inputs_Refineries'!$C$85:$C$164,$C139:$C148,'Key inputs_Refineries'!$B$85:$B$164,"Boiler"))),0)</f>
        <v>0.91831941777916681</v>
      </c>
      <c r="R143" s="173" cm="1">
        <f t="array" ref="R143">IFERROR(IF(AND(SUMIFS('Key inputs_Refineries'!L$85:L$164,'Key inputs_Refineries'!$C$85:$C$164,$C143,'Key inputs_Refineries'!$B$85:$B$164,"Boiler")/SUM(SUMIFS('Key inputs_Refineries'!L$85:L$164,'Key inputs_Refineries'!$C$85:$C$164,$C139:$C148,'Key inputs_Refineries'!$B$85:$B$164,"Boiler"))&gt;0,SUMIFS('Key inputs_Refineries'!L$85:L$164,'Key inputs_Refineries'!$C$85:$C$164,$C143,'Key inputs_Refineries'!$B$85:$B$164,"Boiler")/SUM(SUMIFS('Key inputs_Refineries'!L$85:L$164,'Key inputs_Refineries'!$C$85:$C$164,$C139:$C148,'Key inputs_Refineries'!$B$85:$B$164,"Boiler"))&lt;0.001),0.001,SUMIFS('Key inputs_Refineries'!L$85:L$164,'Key inputs_Refineries'!$C$85:$C$164,$C143,'Key inputs_Refineries'!$B$85:$B$164,"Boiler")/SUM(SUMIFS('Key inputs_Refineries'!L$85:L$164,'Key inputs_Refineries'!$C$85:$C$164,$C139:$C148,'Key inputs_Refineries'!$B$85:$B$164,"Boiler"))),0)</f>
        <v>1</v>
      </c>
      <c r="S143" s="173" cm="1">
        <f t="array" ref="S143">IFERROR(IF(AND(SUMIFS('Key inputs_Refineries'!M$85:M$164,'Key inputs_Refineries'!$C$85:$C$164,$C143,'Key inputs_Refineries'!$B$85:$B$164,"Boiler")/SUM(SUMIFS('Key inputs_Refineries'!M$85:M$164,'Key inputs_Refineries'!$C$85:$C$164,$C139:$C148,'Key inputs_Refineries'!$B$85:$B$164,"Boiler"))&gt;0,SUMIFS('Key inputs_Refineries'!M$85:M$164,'Key inputs_Refineries'!$C$85:$C$164,$C143,'Key inputs_Refineries'!$B$85:$B$164,"Boiler")/SUM(SUMIFS('Key inputs_Refineries'!M$85:M$164,'Key inputs_Refineries'!$C$85:$C$164,$C139:$C148,'Key inputs_Refineries'!$B$85:$B$164,"Boiler"))&lt;0.001),0.001,SUMIFS('Key inputs_Refineries'!M$85:M$164,'Key inputs_Refineries'!$C$85:$C$164,$C143,'Key inputs_Refineries'!$B$85:$B$164,"Boiler")/SUM(SUMIFS('Key inputs_Refineries'!M$85:M$164,'Key inputs_Refineries'!$C$85:$C$164,$C139:$C148,'Key inputs_Refineries'!$B$85:$B$164,"Boiler"))),0)</f>
        <v>0.96494826723174043</v>
      </c>
      <c r="T143" s="173" cm="1">
        <f t="array" ref="T143">IFERROR(IF(AND(SUMIFS('Key inputs_Refineries'!N$85:N$164,'Key inputs_Refineries'!$C$85:$C$164,$C143,'Key inputs_Refineries'!$B$85:$B$164,"Boiler")/SUM(SUMIFS('Key inputs_Refineries'!N$85:N$164,'Key inputs_Refineries'!$C$85:$C$164,$C139:$C148,'Key inputs_Refineries'!$B$85:$B$164,"Boiler"))&gt;0,SUMIFS('Key inputs_Refineries'!N$85:N$164,'Key inputs_Refineries'!$C$85:$C$164,$C143,'Key inputs_Refineries'!$B$85:$B$164,"Boiler")/SUM(SUMIFS('Key inputs_Refineries'!N$85:N$164,'Key inputs_Refineries'!$C$85:$C$164,$C139:$C148,'Key inputs_Refineries'!$B$85:$B$164,"Boiler"))&lt;0.001),0.001,SUMIFS('Key inputs_Refineries'!N$85:N$164,'Key inputs_Refineries'!$C$85:$C$164,$C143,'Key inputs_Refineries'!$B$85:$B$164,"Boiler")/SUM(SUMIFS('Key inputs_Refineries'!N$85:N$164,'Key inputs_Refineries'!$C$85:$C$164,$C139:$C148,'Key inputs_Refineries'!$B$85:$B$164,"Boiler"))),0)</f>
        <v>6.3476982152369937E-3</v>
      </c>
      <c r="U143" s="173" cm="1">
        <f t="array" ref="U143">IFERROR(IF(AND(SUMIFS('Key inputs_Refineries'!O$85:O$164,'Key inputs_Refineries'!$C$85:$C$164,$C143,'Key inputs_Refineries'!$B$85:$B$164,"Boiler")/SUM(SUMIFS('Key inputs_Refineries'!O$85:O$164,'Key inputs_Refineries'!$C$85:$C$164,$C139:$C148,'Key inputs_Refineries'!$B$85:$B$164,"Boiler"))&gt;0,SUMIFS('Key inputs_Refineries'!O$85:O$164,'Key inputs_Refineries'!$C$85:$C$164,$C143,'Key inputs_Refineries'!$B$85:$B$164,"Boiler")/SUM(SUMIFS('Key inputs_Refineries'!O$85:O$164,'Key inputs_Refineries'!$C$85:$C$164,$C139:$C148,'Key inputs_Refineries'!$B$85:$B$164,"Boiler"))&lt;0.001),0.001,SUMIFS('Key inputs_Refineries'!O$85:O$164,'Key inputs_Refineries'!$C$85:$C$164,$C143,'Key inputs_Refineries'!$B$85:$B$164,"Boiler")/SUM(SUMIFS('Key inputs_Refineries'!O$85:O$164,'Key inputs_Refineries'!$C$85:$C$164,$C139:$C148,'Key inputs_Refineries'!$B$85:$B$164,"Boiler"))),0)</f>
        <v>0.61457033647315606</v>
      </c>
      <c r="V143" s="173" cm="1">
        <f t="array" ref="V143">IFERROR(IF(AND(SUMIFS('Key inputs_Refineries'!P$85:P$164,'Key inputs_Refineries'!$C$85:$C$164,$C143,'Key inputs_Refineries'!$B$85:$B$164,"Boiler")/SUM(SUMIFS('Key inputs_Refineries'!P$85:P$164,'Key inputs_Refineries'!$C$85:$C$164,$C139:$C148,'Key inputs_Refineries'!$B$85:$B$164,"Boiler"))&gt;0,SUMIFS('Key inputs_Refineries'!P$85:P$164,'Key inputs_Refineries'!$C$85:$C$164,$C143,'Key inputs_Refineries'!$B$85:$B$164,"Boiler")/SUM(SUMIFS('Key inputs_Refineries'!P$85:P$164,'Key inputs_Refineries'!$C$85:$C$164,$C139:$C148,'Key inputs_Refineries'!$B$85:$B$164,"Boiler"))&lt;0.001),0.001,SUMIFS('Key inputs_Refineries'!P$85:P$164,'Key inputs_Refineries'!$C$85:$C$164,$C143,'Key inputs_Refineries'!$B$85:$B$164,"Boiler")/SUM(SUMIFS('Key inputs_Refineries'!P$85:P$164,'Key inputs_Refineries'!$C$85:$C$164,$C139:$C148,'Key inputs_Refineries'!$B$85:$B$164,"Boiler"))),0)</f>
        <v>6.3407167375633859E-3</v>
      </c>
      <c r="W143" s="173" cm="1">
        <f t="array" ref="W143">IFERROR(IF(AND(SUMIFS('Key inputs_Refineries'!Q$85:Q$164,'Key inputs_Refineries'!$C$85:$C$164,$C143,'Key inputs_Refineries'!$B$85:$B$164,"Boiler")/SUM(SUMIFS('Key inputs_Refineries'!Q$85:Q$164,'Key inputs_Refineries'!$C$85:$C$164,$C139:$C148,'Key inputs_Refineries'!$B$85:$B$164,"Boiler"))&gt;0,SUMIFS('Key inputs_Refineries'!Q$85:Q$164,'Key inputs_Refineries'!$C$85:$C$164,$C143,'Key inputs_Refineries'!$B$85:$B$164,"Boiler")/SUM(SUMIFS('Key inputs_Refineries'!Q$85:Q$164,'Key inputs_Refineries'!$C$85:$C$164,$C139:$C148,'Key inputs_Refineries'!$B$85:$B$164,"Boiler"))&lt;0.001),0.001,SUMIFS('Key inputs_Refineries'!Q$85:Q$164,'Key inputs_Refineries'!$C$85:$C$164,$C143,'Key inputs_Refineries'!$B$85:$B$164,"Boiler")/SUM(SUMIFS('Key inputs_Refineries'!Q$85:Q$164,'Key inputs_Refineries'!$C$85:$C$164,$C139:$C148,'Key inputs_Refineries'!$B$85:$B$164,"Boiler"))),0)</f>
        <v>0.94164147828318123</v>
      </c>
      <c r="X143" s="173" cm="1">
        <f t="array" ref="X143">IFERROR(IF(AND(SUMIFS('Key inputs_Refineries'!R$85:R$164,'Key inputs_Refineries'!$C$85:$C$164,$C143,'Key inputs_Refineries'!$B$85:$B$164,"Boiler")/SUM(SUMIFS('Key inputs_Refineries'!R$85:R$164,'Key inputs_Refineries'!$C$85:$C$164,$C139:$C148,'Key inputs_Refineries'!$B$85:$B$164,"Boiler"))&gt;0,SUMIFS('Key inputs_Refineries'!R$85:R$164,'Key inputs_Refineries'!$C$85:$C$164,$C143,'Key inputs_Refineries'!$B$85:$B$164,"Boiler")/SUM(SUMIFS('Key inputs_Refineries'!R$85:R$164,'Key inputs_Refineries'!$C$85:$C$164,$C139:$C148,'Key inputs_Refineries'!$B$85:$B$164,"Boiler"))&lt;0.001),0.001,SUMIFS('Key inputs_Refineries'!R$85:R$164,'Key inputs_Refineries'!$C$85:$C$164,$C143,'Key inputs_Refineries'!$B$85:$B$164,"Boiler")/SUM(SUMIFS('Key inputs_Refineries'!R$85:R$164,'Key inputs_Refineries'!$C$85:$C$164,$C139:$C148,'Key inputs_Refineries'!$B$85:$B$164,"Boiler"))),0)</f>
        <v>0.1905876476082399</v>
      </c>
      <c r="Y143" s="173" cm="1">
        <f t="array" ref="Y143">IFERROR(IF(AND(SUMIFS('Key inputs_Refineries'!S$85:S$164,'Key inputs_Refineries'!$C$85:$C$164,$C143,'Key inputs_Refineries'!$B$85:$B$164,"Boiler")/SUM(SUMIFS('Key inputs_Refineries'!S$85:S$164,'Key inputs_Refineries'!$C$85:$C$164,$C139:$C148,'Key inputs_Refineries'!$B$85:$B$164,"Boiler"))&gt;0,SUMIFS('Key inputs_Refineries'!S$85:S$164,'Key inputs_Refineries'!$C$85:$C$164,$C143,'Key inputs_Refineries'!$B$85:$B$164,"Boiler")/SUM(SUMIFS('Key inputs_Refineries'!S$85:S$164,'Key inputs_Refineries'!$C$85:$C$164,$C139:$C148,'Key inputs_Refineries'!$B$85:$B$164,"Boiler"))&lt;0.001),0.001,SUMIFS('Key inputs_Refineries'!S$85:S$164,'Key inputs_Refineries'!$C$85:$C$164,$C143,'Key inputs_Refineries'!$B$85:$B$164,"Boiler")/SUM(SUMIFS('Key inputs_Refineries'!S$85:S$164,'Key inputs_Refineries'!$C$85:$C$164,$C139:$C148,'Key inputs_Refineries'!$B$85:$B$164,"Boiler"))),0)</f>
        <v>0.42885543845730389</v>
      </c>
      <c r="Z143" s="173" cm="1">
        <f t="array" ref="Z143">IFERROR(IF(AND(SUMIFS('Key inputs_Refineries'!T$85:T$164,'Key inputs_Refineries'!$C$85:$C$164,$C143,'Key inputs_Refineries'!$B$85:$B$164,"Boiler")/SUM(SUMIFS('Key inputs_Refineries'!T$85:T$164,'Key inputs_Refineries'!$C$85:$C$164,$C139:$C148,'Key inputs_Refineries'!$B$85:$B$164,"Boiler"))&gt;0,SUMIFS('Key inputs_Refineries'!T$85:T$164,'Key inputs_Refineries'!$C$85:$C$164,$C143,'Key inputs_Refineries'!$B$85:$B$164,"Boiler")/SUM(SUMIFS('Key inputs_Refineries'!T$85:T$164,'Key inputs_Refineries'!$C$85:$C$164,$C139:$C148,'Key inputs_Refineries'!$B$85:$B$164,"Boiler"))&lt;0.001),0.001,SUMIFS('Key inputs_Refineries'!T$85:T$164,'Key inputs_Refineries'!$C$85:$C$164,$C143,'Key inputs_Refineries'!$B$85:$B$164,"Boiler")/SUM(SUMIFS('Key inputs_Refineries'!T$85:T$164,'Key inputs_Refineries'!$C$85:$C$164,$C139:$C148,'Key inputs_Refineries'!$B$85:$B$164,"Boiler"))),0)</f>
        <v>0.25806013116659293</v>
      </c>
      <c r="AA143" s="173" cm="1">
        <f t="array" ref="AA143">IFERROR(IF(AND(SUMIFS('Key inputs_Refineries'!U$85:U$164,'Key inputs_Refineries'!$C$85:$C$164,$C143,'Key inputs_Refineries'!$B$85:$B$164,"Boiler")/SUM(SUMIFS('Key inputs_Refineries'!U$85:U$164,'Key inputs_Refineries'!$C$85:$C$164,$C139:$C148,'Key inputs_Refineries'!$B$85:$B$164,"Boiler"))&gt;0,SUMIFS('Key inputs_Refineries'!U$85:U$164,'Key inputs_Refineries'!$C$85:$C$164,$C143,'Key inputs_Refineries'!$B$85:$B$164,"Boiler")/SUM(SUMIFS('Key inputs_Refineries'!U$85:U$164,'Key inputs_Refineries'!$C$85:$C$164,$C139:$C148,'Key inputs_Refineries'!$B$85:$B$164,"Boiler"))&lt;0.001),0.001,SUMIFS('Key inputs_Refineries'!U$85:U$164,'Key inputs_Refineries'!$C$85:$C$164,$C143,'Key inputs_Refineries'!$B$85:$B$164,"Boiler")/SUM(SUMIFS('Key inputs_Refineries'!U$85:U$164,'Key inputs_Refineries'!$C$85:$C$164,$C139:$C148,'Key inputs_Refineries'!$B$85:$B$164,"Boiler"))),0)</f>
        <v>0.39154120435237949</v>
      </c>
      <c r="AB143" s="173" cm="1">
        <f t="array" ref="AB143">IFERROR(IF(AND(SUMIFS('Key inputs_Refineries'!V$85:V$164,'Key inputs_Refineries'!$C$85:$C$164,$C143,'Key inputs_Refineries'!$B$85:$B$164,"Boiler")/SUM(SUMIFS('Key inputs_Refineries'!V$85:V$164,'Key inputs_Refineries'!$C$85:$C$164,$C139:$C148,'Key inputs_Refineries'!$B$85:$B$164,"Boiler"))&gt;0,SUMIFS('Key inputs_Refineries'!V$85:V$164,'Key inputs_Refineries'!$C$85:$C$164,$C143,'Key inputs_Refineries'!$B$85:$B$164,"Boiler")/SUM(SUMIFS('Key inputs_Refineries'!V$85:V$164,'Key inputs_Refineries'!$C$85:$C$164,$C139:$C148,'Key inputs_Refineries'!$B$85:$B$164,"Boiler"))&lt;0.001),0.001,SUMIFS('Key inputs_Refineries'!V$85:V$164,'Key inputs_Refineries'!$C$85:$C$164,$C143,'Key inputs_Refineries'!$B$85:$B$164,"Boiler")/SUM(SUMIFS('Key inputs_Refineries'!V$85:V$164,'Key inputs_Refineries'!$C$85:$C$164,$C139:$C148,'Key inputs_Refineries'!$B$85:$B$164,"Boiler"))),0)</f>
        <v>0</v>
      </c>
      <c r="AC143" s="173" cm="1">
        <f t="array" ref="AC143">IFERROR(IF(AND(SUMIFS('Key inputs_Refineries'!W$85:W$164,'Key inputs_Refineries'!$C$85:$C$164,$C143,'Key inputs_Refineries'!$B$85:$B$164,"Boiler")/SUM(SUMIFS('Key inputs_Refineries'!W$85:W$164,'Key inputs_Refineries'!$C$85:$C$164,$C139:$C148,'Key inputs_Refineries'!$B$85:$B$164,"Boiler"))&gt;0,SUMIFS('Key inputs_Refineries'!W$85:W$164,'Key inputs_Refineries'!$C$85:$C$164,$C143,'Key inputs_Refineries'!$B$85:$B$164,"Boiler")/SUM(SUMIFS('Key inputs_Refineries'!W$85:W$164,'Key inputs_Refineries'!$C$85:$C$164,$C139:$C148,'Key inputs_Refineries'!$B$85:$B$164,"Boiler"))&lt;0.001),0.001,SUMIFS('Key inputs_Refineries'!W$85:W$164,'Key inputs_Refineries'!$C$85:$C$164,$C143,'Key inputs_Refineries'!$B$85:$B$164,"Boiler")/SUM(SUMIFS('Key inputs_Refineries'!W$85:W$164,'Key inputs_Refineries'!$C$85:$C$164,$C139:$C148,'Key inputs_Refineries'!$B$85:$B$164,"Boiler"))),0)</f>
        <v>0</v>
      </c>
      <c r="AD143" s="173" cm="1">
        <f t="array" ref="AD143">IFERROR(IF(AND(SUMIFS('Key inputs_Refineries'!X$85:X$164,'Key inputs_Refineries'!$C$85:$C$164,$C143,'Key inputs_Refineries'!$B$85:$B$164,"Boiler")/SUM(SUMIFS('Key inputs_Refineries'!X$85:X$164,'Key inputs_Refineries'!$C$85:$C$164,$C139:$C148,'Key inputs_Refineries'!$B$85:$B$164,"Boiler"))&gt;0,SUMIFS('Key inputs_Refineries'!X$85:X$164,'Key inputs_Refineries'!$C$85:$C$164,$C143,'Key inputs_Refineries'!$B$85:$B$164,"Boiler")/SUM(SUMIFS('Key inputs_Refineries'!X$85:X$164,'Key inputs_Refineries'!$C$85:$C$164,$C139:$C148,'Key inputs_Refineries'!$B$85:$B$164,"Boiler"))&lt;0.001),0.001,SUMIFS('Key inputs_Refineries'!X$85:X$164,'Key inputs_Refineries'!$C$85:$C$164,$C143,'Key inputs_Refineries'!$B$85:$B$164,"Boiler")/SUM(SUMIFS('Key inputs_Refineries'!X$85:X$164,'Key inputs_Refineries'!$C$85:$C$164,$C139:$C148,'Key inputs_Refineries'!$B$85:$B$164,"Boiler"))),0)</f>
        <v>0.4756383948623702</v>
      </c>
      <c r="AE143" s="173" cm="1">
        <f t="array" ref="AE143">IFERROR(IF(AND(SUMIFS('Key inputs_Refineries'!Y$85:Y$164,'Key inputs_Refineries'!$C$85:$C$164,$C143,'Key inputs_Refineries'!$B$85:$B$164,"Boiler")/SUM(SUMIFS('Key inputs_Refineries'!Y$85:Y$164,'Key inputs_Refineries'!$C$85:$C$164,$C139:$C148,'Key inputs_Refineries'!$B$85:$B$164,"Boiler"))&gt;0,SUMIFS('Key inputs_Refineries'!Y$85:Y$164,'Key inputs_Refineries'!$C$85:$C$164,$C143,'Key inputs_Refineries'!$B$85:$B$164,"Boiler")/SUM(SUMIFS('Key inputs_Refineries'!Y$85:Y$164,'Key inputs_Refineries'!$C$85:$C$164,$C139:$C148,'Key inputs_Refineries'!$B$85:$B$164,"Boiler"))&lt;0.001),0.001,SUMIFS('Key inputs_Refineries'!Y$85:Y$164,'Key inputs_Refineries'!$C$85:$C$164,$C143,'Key inputs_Refineries'!$B$85:$B$164,"Boiler")/SUM(SUMIFS('Key inputs_Refineries'!Y$85:Y$164,'Key inputs_Refineries'!$C$85:$C$164,$C139:$C148,'Key inputs_Refineries'!$B$85:$B$164,"Boiler"))),0)</f>
        <v>0.73286575508212493</v>
      </c>
      <c r="AF143" s="173" cm="1">
        <f t="array" ref="AF143">IFERROR(IF(AND(SUMIFS('Key inputs_Refineries'!Z$85:Z$164,'Key inputs_Refineries'!$C$85:$C$164,$C143,'Key inputs_Refineries'!$B$85:$B$164,"Boiler")/SUM(SUMIFS('Key inputs_Refineries'!Z$85:Z$164,'Key inputs_Refineries'!$C$85:$C$164,$C139:$C148,'Key inputs_Refineries'!$B$85:$B$164,"Boiler"))&gt;0,SUMIFS('Key inputs_Refineries'!Z$85:Z$164,'Key inputs_Refineries'!$C$85:$C$164,$C143,'Key inputs_Refineries'!$B$85:$B$164,"Boiler")/SUM(SUMIFS('Key inputs_Refineries'!Z$85:Z$164,'Key inputs_Refineries'!$C$85:$C$164,$C139:$C148,'Key inputs_Refineries'!$B$85:$B$164,"Boiler"))&lt;0.001),0.001,SUMIFS('Key inputs_Refineries'!Z$85:Z$164,'Key inputs_Refineries'!$C$85:$C$164,$C143,'Key inputs_Refineries'!$B$85:$B$164,"Boiler")/SUM(SUMIFS('Key inputs_Refineries'!Z$85:Z$164,'Key inputs_Refineries'!$C$85:$C$164,$C139:$C148,'Key inputs_Refineries'!$B$85:$B$164,"Boiler"))),0)</f>
        <v>0.95711367572637651</v>
      </c>
      <c r="AG143" s="173" cm="1">
        <f t="array" ref="AG143">IFERROR(IF(AND(SUMIFS('Key inputs_Refineries'!AA$85:AA$164,'Key inputs_Refineries'!$C$85:$C$164,$C143,'Key inputs_Refineries'!$B$85:$B$164,"Boiler")/SUM(SUMIFS('Key inputs_Refineries'!AA$85:AA$164,'Key inputs_Refineries'!$C$85:$C$164,$C139:$C148,'Key inputs_Refineries'!$B$85:$B$164,"Boiler"))&gt;0,SUMIFS('Key inputs_Refineries'!AA$85:AA$164,'Key inputs_Refineries'!$C$85:$C$164,$C143,'Key inputs_Refineries'!$B$85:$B$164,"Boiler")/SUM(SUMIFS('Key inputs_Refineries'!AA$85:AA$164,'Key inputs_Refineries'!$C$85:$C$164,$C139:$C148,'Key inputs_Refineries'!$B$85:$B$164,"Boiler"))&lt;0.001),0.001,SUMIFS('Key inputs_Refineries'!AA$85:AA$164,'Key inputs_Refineries'!$C$85:$C$164,$C143,'Key inputs_Refineries'!$B$85:$B$164,"Boiler")/SUM(SUMIFS('Key inputs_Refineries'!AA$85:AA$164,'Key inputs_Refineries'!$C$85:$C$164,$C139:$C148,'Key inputs_Refineries'!$B$85:$B$164,"Boiler"))),0)</f>
        <v>0.75702598609266325</v>
      </c>
      <c r="AH143" s="173" cm="1">
        <f t="array" ref="AH143">IFERROR(IF(AND(SUMIFS('Key inputs_Refineries'!AB$85:AB$164,'Key inputs_Refineries'!$C$85:$C$164,$C143,'Key inputs_Refineries'!$B$85:$B$164,"Boiler")/SUM(SUMIFS('Key inputs_Refineries'!AB$85:AB$164,'Key inputs_Refineries'!$C$85:$C$164,$C139:$C148,'Key inputs_Refineries'!$B$85:$B$164,"Boiler"))&gt;0,SUMIFS('Key inputs_Refineries'!AB$85:AB$164,'Key inputs_Refineries'!$C$85:$C$164,$C143,'Key inputs_Refineries'!$B$85:$B$164,"Boiler")/SUM(SUMIFS('Key inputs_Refineries'!AB$85:AB$164,'Key inputs_Refineries'!$C$85:$C$164,$C139:$C148,'Key inputs_Refineries'!$B$85:$B$164,"Boiler"))&lt;0.001),0.001,SUMIFS('Key inputs_Refineries'!AB$85:AB$164,'Key inputs_Refineries'!$C$85:$C$164,$C143,'Key inputs_Refineries'!$B$85:$B$164,"Boiler")/SUM(SUMIFS('Key inputs_Refineries'!AB$85:AB$164,'Key inputs_Refineries'!$C$85:$C$164,$C139:$C148,'Key inputs_Refineries'!$B$85:$B$164,"Boiler"))),0)</f>
        <v>0.90502590262726645</v>
      </c>
      <c r="AI143" s="173" cm="1">
        <f t="array" ref="AI143">IFERROR(IF(AND(SUMIFS('Key inputs_Refineries'!AC$85:AC$164,'Key inputs_Refineries'!$C$85:$C$164,$C143,'Key inputs_Refineries'!$B$85:$B$164,"Boiler")/SUM(SUMIFS('Key inputs_Refineries'!AC$85:AC$164,'Key inputs_Refineries'!$C$85:$C$164,$C139:$C148,'Key inputs_Refineries'!$B$85:$B$164,"Boiler"))&gt;0,SUMIFS('Key inputs_Refineries'!AC$85:AC$164,'Key inputs_Refineries'!$C$85:$C$164,$C143,'Key inputs_Refineries'!$B$85:$B$164,"Boiler")/SUM(SUMIFS('Key inputs_Refineries'!AC$85:AC$164,'Key inputs_Refineries'!$C$85:$C$164,$C139:$C148,'Key inputs_Refineries'!$B$85:$B$164,"Boiler"))&lt;0.001),0.001,SUMIFS('Key inputs_Refineries'!AC$85:AC$164,'Key inputs_Refineries'!$C$85:$C$164,$C143,'Key inputs_Refineries'!$B$85:$B$164,"Boiler")/SUM(SUMIFS('Key inputs_Refineries'!AC$85:AC$164,'Key inputs_Refineries'!$C$85:$C$164,$C139:$C148,'Key inputs_Refineries'!$B$85:$B$164,"Boiler"))),0)</f>
        <v>0.80267724343083791</v>
      </c>
      <c r="AJ143" s="173" cm="1">
        <f t="array" ref="AJ143">IFERROR(IF(AND(SUMIFS('Key inputs_Refineries'!AD$85:AD$164,'Key inputs_Refineries'!$C$85:$C$164,$C143,'Key inputs_Refineries'!$B$85:$B$164,"Boiler")/SUM(SUMIFS('Key inputs_Refineries'!AD$85:AD$164,'Key inputs_Refineries'!$C$85:$C$164,$C139:$C148,'Key inputs_Refineries'!$B$85:$B$164,"Boiler"))&gt;0,SUMIFS('Key inputs_Refineries'!AD$85:AD$164,'Key inputs_Refineries'!$C$85:$C$164,$C143,'Key inputs_Refineries'!$B$85:$B$164,"Boiler")/SUM(SUMIFS('Key inputs_Refineries'!AD$85:AD$164,'Key inputs_Refineries'!$C$85:$C$164,$C139:$C148,'Key inputs_Refineries'!$B$85:$B$164,"Boiler"))&lt;0.001),0.001,SUMIFS('Key inputs_Refineries'!AD$85:AD$164,'Key inputs_Refineries'!$C$85:$C$164,$C143,'Key inputs_Refineries'!$B$85:$B$164,"Boiler")/SUM(SUMIFS('Key inputs_Refineries'!AD$85:AD$164,'Key inputs_Refineries'!$C$85:$C$164,$C139:$C148,'Key inputs_Refineries'!$B$85:$B$164,"Boiler"))),0)</f>
        <v>0</v>
      </c>
      <c r="AK143" s="173" cm="1">
        <f t="array" ref="AK143">IFERROR(IF(AND(SUMIFS('Key inputs_Refineries'!AE$85:AE$164,'Key inputs_Refineries'!$C$85:$C$164,$C143,'Key inputs_Refineries'!$B$85:$B$164,"Boiler")/SUM(SUMIFS('Key inputs_Refineries'!AE$85:AE$164,'Key inputs_Refineries'!$C$85:$C$164,$C139:$C148,'Key inputs_Refineries'!$B$85:$B$164,"Boiler"))&gt;0,SUMIFS('Key inputs_Refineries'!AE$85:AE$164,'Key inputs_Refineries'!$C$85:$C$164,$C143,'Key inputs_Refineries'!$B$85:$B$164,"Boiler")/SUM(SUMIFS('Key inputs_Refineries'!AE$85:AE$164,'Key inputs_Refineries'!$C$85:$C$164,$C139:$C148,'Key inputs_Refineries'!$B$85:$B$164,"Boiler"))&lt;0.001),0.001,SUMIFS('Key inputs_Refineries'!AE$85:AE$164,'Key inputs_Refineries'!$C$85:$C$164,$C143,'Key inputs_Refineries'!$B$85:$B$164,"Boiler")/SUM(SUMIFS('Key inputs_Refineries'!AE$85:AE$164,'Key inputs_Refineries'!$C$85:$C$164,$C139:$C148,'Key inputs_Refineries'!$B$85:$B$164,"Boiler"))),0)</f>
        <v>0.5386618718173517</v>
      </c>
      <c r="AL143" s="173" cm="1">
        <f t="array" ref="AL143">IFERROR(IF(AND(SUMIFS('Key inputs_Refineries'!AF$85:AF$164,'Key inputs_Refineries'!$C$85:$C$164,$C143,'Key inputs_Refineries'!$B$85:$B$164,"Boiler")/SUM(SUMIFS('Key inputs_Refineries'!AF$85:AF$164,'Key inputs_Refineries'!$C$85:$C$164,$C139:$C148,'Key inputs_Refineries'!$B$85:$B$164,"Boiler"))&gt;0,SUMIFS('Key inputs_Refineries'!AF$85:AF$164,'Key inputs_Refineries'!$C$85:$C$164,$C143,'Key inputs_Refineries'!$B$85:$B$164,"Boiler")/SUM(SUMIFS('Key inputs_Refineries'!AF$85:AF$164,'Key inputs_Refineries'!$C$85:$C$164,$C139:$C148,'Key inputs_Refineries'!$B$85:$B$164,"Boiler"))&lt;0.001),0.001,SUMIFS('Key inputs_Refineries'!AF$85:AF$164,'Key inputs_Refineries'!$C$85:$C$164,$C143,'Key inputs_Refineries'!$B$85:$B$164,"Boiler")/SUM(SUMIFS('Key inputs_Refineries'!AF$85:AF$164,'Key inputs_Refineries'!$C$85:$C$164,$C139:$C148,'Key inputs_Refineries'!$B$85:$B$164,"Boiler"))),0)</f>
        <v>1E-3</v>
      </c>
    </row>
    <row r="144" spans="1:38">
      <c r="C144" t="str">
        <f>Commodities!$C$96</f>
        <v>UPSKER</v>
      </c>
      <c r="G144" s="4" t="s">
        <v>702</v>
      </c>
      <c r="H144" t="s">
        <v>661</v>
      </c>
      <c r="I144">
        <v>2019</v>
      </c>
      <c r="J144" t="s">
        <v>650</v>
      </c>
      <c r="K144" s="173" cm="1">
        <f t="array" ref="K144">IFERROR(IF(AND(SUMIFS('Key inputs_Refineries'!E$85:E$164,'Key inputs_Refineries'!$C$85:$C$164,$C144,'Key inputs_Refineries'!$B$85:$B$164,"Boiler")/SUM(SUMIFS('Key inputs_Refineries'!E$85:E$164,'Key inputs_Refineries'!$C$85:$C$164,$C139:$C148,'Key inputs_Refineries'!$B$85:$B$164,"Boiler"))&gt;0,SUMIFS('Key inputs_Refineries'!E$85:E$164,'Key inputs_Refineries'!$C$85:$C$164,$C144,'Key inputs_Refineries'!$B$85:$B$164,"Boiler")/SUM(SUMIFS('Key inputs_Refineries'!E$85:E$164,'Key inputs_Refineries'!$C$85:$C$164,$C139:$C148,'Key inputs_Refineries'!$B$85:$B$164,"Boiler"))&lt;0.001),0.001,SUMIFS('Key inputs_Refineries'!E$85:E$164,'Key inputs_Refineries'!$C$85:$C$164,$C144,'Key inputs_Refineries'!$B$85:$B$164,"Boiler")/SUM(SUMIFS('Key inputs_Refineries'!E$85:E$164,'Key inputs_Refineries'!$C$85:$C$164,$C139:$C148,'Key inputs_Refineries'!$B$85:$B$164,"Boiler"))),0)</f>
        <v>0</v>
      </c>
      <c r="L144" s="173" cm="1">
        <f t="array" ref="L144">IFERROR(IF(AND(SUMIFS('Key inputs_Refineries'!F$85:F$164,'Key inputs_Refineries'!$C$85:$C$164,$C144,'Key inputs_Refineries'!$B$85:$B$164,"Boiler")/SUM(SUMIFS('Key inputs_Refineries'!F$85:F$164,'Key inputs_Refineries'!$C$85:$C$164,$C139:$C148,'Key inputs_Refineries'!$B$85:$B$164,"Boiler"))&gt;0,SUMIFS('Key inputs_Refineries'!F$85:F$164,'Key inputs_Refineries'!$C$85:$C$164,$C144,'Key inputs_Refineries'!$B$85:$B$164,"Boiler")/SUM(SUMIFS('Key inputs_Refineries'!F$85:F$164,'Key inputs_Refineries'!$C$85:$C$164,$C139:$C148,'Key inputs_Refineries'!$B$85:$B$164,"Boiler"))&lt;0.001),0.001,SUMIFS('Key inputs_Refineries'!F$85:F$164,'Key inputs_Refineries'!$C$85:$C$164,$C144,'Key inputs_Refineries'!$B$85:$B$164,"Boiler")/SUM(SUMIFS('Key inputs_Refineries'!F$85:F$164,'Key inputs_Refineries'!$C$85:$C$164,$C139:$C148,'Key inputs_Refineries'!$B$85:$B$164,"Boiler"))),0)</f>
        <v>0</v>
      </c>
      <c r="M144" s="173" cm="1">
        <f t="array" ref="M144">IFERROR(IF(AND(SUMIFS('Key inputs_Refineries'!G$85:G$164,'Key inputs_Refineries'!$C$85:$C$164,$C144,'Key inputs_Refineries'!$B$85:$B$164,"Boiler")/SUM(SUMIFS('Key inputs_Refineries'!G$85:G$164,'Key inputs_Refineries'!$C$85:$C$164,$C139:$C148,'Key inputs_Refineries'!$B$85:$B$164,"Boiler"))&gt;0,SUMIFS('Key inputs_Refineries'!G$85:G$164,'Key inputs_Refineries'!$C$85:$C$164,$C144,'Key inputs_Refineries'!$B$85:$B$164,"Boiler")/SUM(SUMIFS('Key inputs_Refineries'!G$85:G$164,'Key inputs_Refineries'!$C$85:$C$164,$C139:$C148,'Key inputs_Refineries'!$B$85:$B$164,"Boiler"))&lt;0.001),0.001,SUMIFS('Key inputs_Refineries'!G$85:G$164,'Key inputs_Refineries'!$C$85:$C$164,$C144,'Key inputs_Refineries'!$B$85:$B$164,"Boiler")/SUM(SUMIFS('Key inputs_Refineries'!G$85:G$164,'Key inputs_Refineries'!$C$85:$C$164,$C139:$C148,'Key inputs_Refineries'!$B$85:$B$164,"Boiler"))),0)</f>
        <v>0</v>
      </c>
      <c r="N144" s="173" cm="1">
        <f t="array" ref="N144">IFERROR(IF(AND(SUMIFS('Key inputs_Refineries'!H$85:H$164,'Key inputs_Refineries'!$C$85:$C$164,$C144,'Key inputs_Refineries'!$B$85:$B$164,"Boiler")/SUM(SUMIFS('Key inputs_Refineries'!H$85:H$164,'Key inputs_Refineries'!$C$85:$C$164,$C139:$C148,'Key inputs_Refineries'!$B$85:$B$164,"Boiler"))&gt;0,SUMIFS('Key inputs_Refineries'!H$85:H$164,'Key inputs_Refineries'!$C$85:$C$164,$C144,'Key inputs_Refineries'!$B$85:$B$164,"Boiler")/SUM(SUMIFS('Key inputs_Refineries'!H$85:H$164,'Key inputs_Refineries'!$C$85:$C$164,$C139:$C148,'Key inputs_Refineries'!$B$85:$B$164,"Boiler"))&lt;0.001),0.001,SUMIFS('Key inputs_Refineries'!H$85:H$164,'Key inputs_Refineries'!$C$85:$C$164,$C144,'Key inputs_Refineries'!$B$85:$B$164,"Boiler")/SUM(SUMIFS('Key inputs_Refineries'!H$85:H$164,'Key inputs_Refineries'!$C$85:$C$164,$C139:$C148,'Key inputs_Refineries'!$B$85:$B$164,"Boiler"))),0)</f>
        <v>0</v>
      </c>
      <c r="O144" s="173" cm="1">
        <f t="array" ref="O144">IFERROR(IF(AND(SUMIFS('Key inputs_Refineries'!I$85:I$164,'Key inputs_Refineries'!$C$85:$C$164,$C144,'Key inputs_Refineries'!$B$85:$B$164,"Boiler")/SUM(SUMIFS('Key inputs_Refineries'!I$85:I$164,'Key inputs_Refineries'!$C$85:$C$164,$C139:$C148,'Key inputs_Refineries'!$B$85:$B$164,"Boiler"))&gt;0,SUMIFS('Key inputs_Refineries'!I$85:I$164,'Key inputs_Refineries'!$C$85:$C$164,$C144,'Key inputs_Refineries'!$B$85:$B$164,"Boiler")/SUM(SUMIFS('Key inputs_Refineries'!I$85:I$164,'Key inputs_Refineries'!$C$85:$C$164,$C139:$C148,'Key inputs_Refineries'!$B$85:$B$164,"Boiler"))&lt;0.001),0.001,SUMIFS('Key inputs_Refineries'!I$85:I$164,'Key inputs_Refineries'!$C$85:$C$164,$C144,'Key inputs_Refineries'!$B$85:$B$164,"Boiler")/SUM(SUMIFS('Key inputs_Refineries'!I$85:I$164,'Key inputs_Refineries'!$C$85:$C$164,$C139:$C148,'Key inputs_Refineries'!$B$85:$B$164,"Boiler"))),0)</f>
        <v>0</v>
      </c>
      <c r="P144" s="173" cm="1">
        <f t="array" ref="P144">IFERROR(IF(AND(SUMIFS('Key inputs_Refineries'!J$85:J$164,'Key inputs_Refineries'!$C$85:$C$164,$C144,'Key inputs_Refineries'!$B$85:$B$164,"Boiler")/SUM(SUMIFS('Key inputs_Refineries'!J$85:J$164,'Key inputs_Refineries'!$C$85:$C$164,$C139:$C148,'Key inputs_Refineries'!$B$85:$B$164,"Boiler"))&gt;0,SUMIFS('Key inputs_Refineries'!J$85:J$164,'Key inputs_Refineries'!$C$85:$C$164,$C144,'Key inputs_Refineries'!$B$85:$B$164,"Boiler")/SUM(SUMIFS('Key inputs_Refineries'!J$85:J$164,'Key inputs_Refineries'!$C$85:$C$164,$C139:$C148,'Key inputs_Refineries'!$B$85:$B$164,"Boiler"))&lt;0.001),0.001,SUMIFS('Key inputs_Refineries'!J$85:J$164,'Key inputs_Refineries'!$C$85:$C$164,$C144,'Key inputs_Refineries'!$B$85:$B$164,"Boiler")/SUM(SUMIFS('Key inputs_Refineries'!J$85:J$164,'Key inputs_Refineries'!$C$85:$C$164,$C139:$C148,'Key inputs_Refineries'!$B$85:$B$164,"Boiler"))),0)</f>
        <v>0</v>
      </c>
      <c r="Q144" s="173" cm="1">
        <f t="array" ref="Q144">IFERROR(IF(AND(SUMIFS('Key inputs_Refineries'!K$85:K$164,'Key inputs_Refineries'!$C$85:$C$164,$C144,'Key inputs_Refineries'!$B$85:$B$164,"Boiler")/SUM(SUMIFS('Key inputs_Refineries'!K$85:K$164,'Key inputs_Refineries'!$C$85:$C$164,$C139:$C148,'Key inputs_Refineries'!$B$85:$B$164,"Boiler"))&gt;0,SUMIFS('Key inputs_Refineries'!K$85:K$164,'Key inputs_Refineries'!$C$85:$C$164,$C144,'Key inputs_Refineries'!$B$85:$B$164,"Boiler")/SUM(SUMIFS('Key inputs_Refineries'!K$85:K$164,'Key inputs_Refineries'!$C$85:$C$164,$C139:$C148,'Key inputs_Refineries'!$B$85:$B$164,"Boiler"))&lt;0.001),0.001,SUMIFS('Key inputs_Refineries'!K$85:K$164,'Key inputs_Refineries'!$C$85:$C$164,$C144,'Key inputs_Refineries'!$B$85:$B$164,"Boiler")/SUM(SUMIFS('Key inputs_Refineries'!K$85:K$164,'Key inputs_Refineries'!$C$85:$C$164,$C139:$C148,'Key inputs_Refineries'!$B$85:$B$164,"Boiler"))),0)</f>
        <v>0</v>
      </c>
      <c r="R144" s="173" cm="1">
        <f t="array" ref="R144">IFERROR(IF(AND(SUMIFS('Key inputs_Refineries'!L$85:L$164,'Key inputs_Refineries'!$C$85:$C$164,$C144,'Key inputs_Refineries'!$B$85:$B$164,"Boiler")/SUM(SUMIFS('Key inputs_Refineries'!L$85:L$164,'Key inputs_Refineries'!$C$85:$C$164,$C139:$C148,'Key inputs_Refineries'!$B$85:$B$164,"Boiler"))&gt;0,SUMIFS('Key inputs_Refineries'!L$85:L$164,'Key inputs_Refineries'!$C$85:$C$164,$C144,'Key inputs_Refineries'!$B$85:$B$164,"Boiler")/SUM(SUMIFS('Key inputs_Refineries'!L$85:L$164,'Key inputs_Refineries'!$C$85:$C$164,$C139:$C148,'Key inputs_Refineries'!$B$85:$B$164,"Boiler"))&lt;0.001),0.001,SUMIFS('Key inputs_Refineries'!L$85:L$164,'Key inputs_Refineries'!$C$85:$C$164,$C144,'Key inputs_Refineries'!$B$85:$B$164,"Boiler")/SUM(SUMIFS('Key inputs_Refineries'!L$85:L$164,'Key inputs_Refineries'!$C$85:$C$164,$C139:$C148,'Key inputs_Refineries'!$B$85:$B$164,"Boiler"))),0)</f>
        <v>0</v>
      </c>
      <c r="S144" s="173" cm="1">
        <f t="array" ref="S144">IFERROR(IF(AND(SUMIFS('Key inputs_Refineries'!M$85:M$164,'Key inputs_Refineries'!$C$85:$C$164,$C144,'Key inputs_Refineries'!$B$85:$B$164,"Boiler")/SUM(SUMIFS('Key inputs_Refineries'!M$85:M$164,'Key inputs_Refineries'!$C$85:$C$164,$C139:$C148,'Key inputs_Refineries'!$B$85:$B$164,"Boiler"))&gt;0,SUMIFS('Key inputs_Refineries'!M$85:M$164,'Key inputs_Refineries'!$C$85:$C$164,$C144,'Key inputs_Refineries'!$B$85:$B$164,"Boiler")/SUM(SUMIFS('Key inputs_Refineries'!M$85:M$164,'Key inputs_Refineries'!$C$85:$C$164,$C139:$C148,'Key inputs_Refineries'!$B$85:$B$164,"Boiler"))&lt;0.001),0.001,SUMIFS('Key inputs_Refineries'!M$85:M$164,'Key inputs_Refineries'!$C$85:$C$164,$C144,'Key inputs_Refineries'!$B$85:$B$164,"Boiler")/SUM(SUMIFS('Key inputs_Refineries'!M$85:M$164,'Key inputs_Refineries'!$C$85:$C$164,$C139:$C148,'Key inputs_Refineries'!$B$85:$B$164,"Boiler"))),0)</f>
        <v>0</v>
      </c>
      <c r="T144" s="173" cm="1">
        <f t="array" ref="T144">IFERROR(IF(AND(SUMIFS('Key inputs_Refineries'!N$85:N$164,'Key inputs_Refineries'!$C$85:$C$164,$C144,'Key inputs_Refineries'!$B$85:$B$164,"Boiler")/SUM(SUMIFS('Key inputs_Refineries'!N$85:N$164,'Key inputs_Refineries'!$C$85:$C$164,$C139:$C148,'Key inputs_Refineries'!$B$85:$B$164,"Boiler"))&gt;0,SUMIFS('Key inputs_Refineries'!N$85:N$164,'Key inputs_Refineries'!$C$85:$C$164,$C144,'Key inputs_Refineries'!$B$85:$B$164,"Boiler")/SUM(SUMIFS('Key inputs_Refineries'!N$85:N$164,'Key inputs_Refineries'!$C$85:$C$164,$C139:$C148,'Key inputs_Refineries'!$B$85:$B$164,"Boiler"))&lt;0.001),0.001,SUMIFS('Key inputs_Refineries'!N$85:N$164,'Key inputs_Refineries'!$C$85:$C$164,$C144,'Key inputs_Refineries'!$B$85:$B$164,"Boiler")/SUM(SUMIFS('Key inputs_Refineries'!N$85:N$164,'Key inputs_Refineries'!$C$85:$C$164,$C139:$C148,'Key inputs_Refineries'!$B$85:$B$164,"Boiler"))),0)</f>
        <v>0</v>
      </c>
      <c r="U144" s="173" cm="1">
        <f t="array" ref="U144">IFERROR(IF(AND(SUMIFS('Key inputs_Refineries'!O$85:O$164,'Key inputs_Refineries'!$C$85:$C$164,$C144,'Key inputs_Refineries'!$B$85:$B$164,"Boiler")/SUM(SUMIFS('Key inputs_Refineries'!O$85:O$164,'Key inputs_Refineries'!$C$85:$C$164,$C139:$C148,'Key inputs_Refineries'!$B$85:$B$164,"Boiler"))&gt;0,SUMIFS('Key inputs_Refineries'!O$85:O$164,'Key inputs_Refineries'!$C$85:$C$164,$C144,'Key inputs_Refineries'!$B$85:$B$164,"Boiler")/SUM(SUMIFS('Key inputs_Refineries'!O$85:O$164,'Key inputs_Refineries'!$C$85:$C$164,$C139:$C148,'Key inputs_Refineries'!$B$85:$B$164,"Boiler"))&lt;0.001),0.001,SUMIFS('Key inputs_Refineries'!O$85:O$164,'Key inputs_Refineries'!$C$85:$C$164,$C144,'Key inputs_Refineries'!$B$85:$B$164,"Boiler")/SUM(SUMIFS('Key inputs_Refineries'!O$85:O$164,'Key inputs_Refineries'!$C$85:$C$164,$C139:$C148,'Key inputs_Refineries'!$B$85:$B$164,"Boiler"))),0)</f>
        <v>0</v>
      </c>
      <c r="V144" s="173" cm="1">
        <f t="array" ref="V144">IFERROR(IF(AND(SUMIFS('Key inputs_Refineries'!P$85:P$164,'Key inputs_Refineries'!$C$85:$C$164,$C144,'Key inputs_Refineries'!$B$85:$B$164,"Boiler")/SUM(SUMIFS('Key inputs_Refineries'!P$85:P$164,'Key inputs_Refineries'!$C$85:$C$164,$C139:$C148,'Key inputs_Refineries'!$B$85:$B$164,"Boiler"))&gt;0,SUMIFS('Key inputs_Refineries'!P$85:P$164,'Key inputs_Refineries'!$C$85:$C$164,$C144,'Key inputs_Refineries'!$B$85:$B$164,"Boiler")/SUM(SUMIFS('Key inputs_Refineries'!P$85:P$164,'Key inputs_Refineries'!$C$85:$C$164,$C139:$C148,'Key inputs_Refineries'!$B$85:$B$164,"Boiler"))&lt;0.001),0.001,SUMIFS('Key inputs_Refineries'!P$85:P$164,'Key inputs_Refineries'!$C$85:$C$164,$C144,'Key inputs_Refineries'!$B$85:$B$164,"Boiler")/SUM(SUMIFS('Key inputs_Refineries'!P$85:P$164,'Key inputs_Refineries'!$C$85:$C$164,$C139:$C148,'Key inputs_Refineries'!$B$85:$B$164,"Boiler"))),0)</f>
        <v>1E-3</v>
      </c>
      <c r="W144" s="173" cm="1">
        <f t="array" ref="W144">IFERROR(IF(AND(SUMIFS('Key inputs_Refineries'!Q$85:Q$164,'Key inputs_Refineries'!$C$85:$C$164,$C144,'Key inputs_Refineries'!$B$85:$B$164,"Boiler")/SUM(SUMIFS('Key inputs_Refineries'!Q$85:Q$164,'Key inputs_Refineries'!$C$85:$C$164,$C139:$C148,'Key inputs_Refineries'!$B$85:$B$164,"Boiler"))&gt;0,SUMIFS('Key inputs_Refineries'!Q$85:Q$164,'Key inputs_Refineries'!$C$85:$C$164,$C144,'Key inputs_Refineries'!$B$85:$B$164,"Boiler")/SUM(SUMIFS('Key inputs_Refineries'!Q$85:Q$164,'Key inputs_Refineries'!$C$85:$C$164,$C139:$C148,'Key inputs_Refineries'!$B$85:$B$164,"Boiler"))&lt;0.001),0.001,SUMIFS('Key inputs_Refineries'!Q$85:Q$164,'Key inputs_Refineries'!$C$85:$C$164,$C144,'Key inputs_Refineries'!$B$85:$B$164,"Boiler")/SUM(SUMIFS('Key inputs_Refineries'!Q$85:Q$164,'Key inputs_Refineries'!$C$85:$C$164,$C139:$C148,'Key inputs_Refineries'!$B$85:$B$164,"Boiler"))),0)</f>
        <v>0</v>
      </c>
      <c r="X144" s="173" cm="1">
        <f t="array" ref="X144">IFERROR(IF(AND(SUMIFS('Key inputs_Refineries'!R$85:R$164,'Key inputs_Refineries'!$C$85:$C$164,$C144,'Key inputs_Refineries'!$B$85:$B$164,"Boiler")/SUM(SUMIFS('Key inputs_Refineries'!R$85:R$164,'Key inputs_Refineries'!$C$85:$C$164,$C139:$C148,'Key inputs_Refineries'!$B$85:$B$164,"Boiler"))&gt;0,SUMIFS('Key inputs_Refineries'!R$85:R$164,'Key inputs_Refineries'!$C$85:$C$164,$C144,'Key inputs_Refineries'!$B$85:$B$164,"Boiler")/SUM(SUMIFS('Key inputs_Refineries'!R$85:R$164,'Key inputs_Refineries'!$C$85:$C$164,$C139:$C148,'Key inputs_Refineries'!$B$85:$B$164,"Boiler"))&lt;0.001),0.001,SUMIFS('Key inputs_Refineries'!R$85:R$164,'Key inputs_Refineries'!$C$85:$C$164,$C144,'Key inputs_Refineries'!$B$85:$B$164,"Boiler")/SUM(SUMIFS('Key inputs_Refineries'!R$85:R$164,'Key inputs_Refineries'!$C$85:$C$164,$C139:$C148,'Key inputs_Refineries'!$B$85:$B$164,"Boiler"))),0)</f>
        <v>0</v>
      </c>
      <c r="Y144" s="173" cm="1">
        <f t="array" ref="Y144">IFERROR(IF(AND(SUMIFS('Key inputs_Refineries'!S$85:S$164,'Key inputs_Refineries'!$C$85:$C$164,$C144,'Key inputs_Refineries'!$B$85:$B$164,"Boiler")/SUM(SUMIFS('Key inputs_Refineries'!S$85:S$164,'Key inputs_Refineries'!$C$85:$C$164,$C139:$C148,'Key inputs_Refineries'!$B$85:$B$164,"Boiler"))&gt;0,SUMIFS('Key inputs_Refineries'!S$85:S$164,'Key inputs_Refineries'!$C$85:$C$164,$C144,'Key inputs_Refineries'!$B$85:$B$164,"Boiler")/SUM(SUMIFS('Key inputs_Refineries'!S$85:S$164,'Key inputs_Refineries'!$C$85:$C$164,$C139:$C148,'Key inputs_Refineries'!$B$85:$B$164,"Boiler"))&lt;0.001),0.001,SUMIFS('Key inputs_Refineries'!S$85:S$164,'Key inputs_Refineries'!$C$85:$C$164,$C144,'Key inputs_Refineries'!$B$85:$B$164,"Boiler")/SUM(SUMIFS('Key inputs_Refineries'!S$85:S$164,'Key inputs_Refineries'!$C$85:$C$164,$C139:$C148,'Key inputs_Refineries'!$B$85:$B$164,"Boiler"))),0)</f>
        <v>0</v>
      </c>
      <c r="Z144" s="173" cm="1">
        <f t="array" ref="Z144">IFERROR(IF(AND(SUMIFS('Key inputs_Refineries'!T$85:T$164,'Key inputs_Refineries'!$C$85:$C$164,$C144,'Key inputs_Refineries'!$B$85:$B$164,"Boiler")/SUM(SUMIFS('Key inputs_Refineries'!T$85:T$164,'Key inputs_Refineries'!$C$85:$C$164,$C139:$C148,'Key inputs_Refineries'!$B$85:$B$164,"Boiler"))&gt;0,SUMIFS('Key inputs_Refineries'!T$85:T$164,'Key inputs_Refineries'!$C$85:$C$164,$C144,'Key inputs_Refineries'!$B$85:$B$164,"Boiler")/SUM(SUMIFS('Key inputs_Refineries'!T$85:T$164,'Key inputs_Refineries'!$C$85:$C$164,$C139:$C148,'Key inputs_Refineries'!$B$85:$B$164,"Boiler"))&lt;0.001),0.001,SUMIFS('Key inputs_Refineries'!T$85:T$164,'Key inputs_Refineries'!$C$85:$C$164,$C144,'Key inputs_Refineries'!$B$85:$B$164,"Boiler")/SUM(SUMIFS('Key inputs_Refineries'!T$85:T$164,'Key inputs_Refineries'!$C$85:$C$164,$C139:$C148,'Key inputs_Refineries'!$B$85:$B$164,"Boiler"))),0)</f>
        <v>0</v>
      </c>
      <c r="AA144" s="173" cm="1">
        <f t="array" ref="AA144">IFERROR(IF(AND(SUMIFS('Key inputs_Refineries'!U$85:U$164,'Key inputs_Refineries'!$C$85:$C$164,$C144,'Key inputs_Refineries'!$B$85:$B$164,"Boiler")/SUM(SUMIFS('Key inputs_Refineries'!U$85:U$164,'Key inputs_Refineries'!$C$85:$C$164,$C139:$C148,'Key inputs_Refineries'!$B$85:$B$164,"Boiler"))&gt;0,SUMIFS('Key inputs_Refineries'!U$85:U$164,'Key inputs_Refineries'!$C$85:$C$164,$C144,'Key inputs_Refineries'!$B$85:$B$164,"Boiler")/SUM(SUMIFS('Key inputs_Refineries'!U$85:U$164,'Key inputs_Refineries'!$C$85:$C$164,$C139:$C148,'Key inputs_Refineries'!$B$85:$B$164,"Boiler"))&lt;0.001),0.001,SUMIFS('Key inputs_Refineries'!U$85:U$164,'Key inputs_Refineries'!$C$85:$C$164,$C144,'Key inputs_Refineries'!$B$85:$B$164,"Boiler")/SUM(SUMIFS('Key inputs_Refineries'!U$85:U$164,'Key inputs_Refineries'!$C$85:$C$164,$C139:$C148,'Key inputs_Refineries'!$B$85:$B$164,"Boiler"))),0)</f>
        <v>0</v>
      </c>
      <c r="AB144" s="173" cm="1">
        <f t="array" ref="AB144">IFERROR(IF(AND(SUMIFS('Key inputs_Refineries'!V$85:V$164,'Key inputs_Refineries'!$C$85:$C$164,$C144,'Key inputs_Refineries'!$B$85:$B$164,"Boiler")/SUM(SUMIFS('Key inputs_Refineries'!V$85:V$164,'Key inputs_Refineries'!$C$85:$C$164,$C139:$C148,'Key inputs_Refineries'!$B$85:$B$164,"Boiler"))&gt;0,SUMIFS('Key inputs_Refineries'!V$85:V$164,'Key inputs_Refineries'!$C$85:$C$164,$C144,'Key inputs_Refineries'!$B$85:$B$164,"Boiler")/SUM(SUMIFS('Key inputs_Refineries'!V$85:V$164,'Key inputs_Refineries'!$C$85:$C$164,$C139:$C148,'Key inputs_Refineries'!$B$85:$B$164,"Boiler"))&lt;0.001),0.001,SUMIFS('Key inputs_Refineries'!V$85:V$164,'Key inputs_Refineries'!$C$85:$C$164,$C144,'Key inputs_Refineries'!$B$85:$B$164,"Boiler")/SUM(SUMIFS('Key inputs_Refineries'!V$85:V$164,'Key inputs_Refineries'!$C$85:$C$164,$C139:$C148,'Key inputs_Refineries'!$B$85:$B$164,"Boiler"))),0)</f>
        <v>0</v>
      </c>
      <c r="AC144" s="173" cm="1">
        <f t="array" ref="AC144">IFERROR(IF(AND(SUMIFS('Key inputs_Refineries'!W$85:W$164,'Key inputs_Refineries'!$C$85:$C$164,$C144,'Key inputs_Refineries'!$B$85:$B$164,"Boiler")/SUM(SUMIFS('Key inputs_Refineries'!W$85:W$164,'Key inputs_Refineries'!$C$85:$C$164,$C139:$C148,'Key inputs_Refineries'!$B$85:$B$164,"Boiler"))&gt;0,SUMIFS('Key inputs_Refineries'!W$85:W$164,'Key inputs_Refineries'!$C$85:$C$164,$C144,'Key inputs_Refineries'!$B$85:$B$164,"Boiler")/SUM(SUMIFS('Key inputs_Refineries'!W$85:W$164,'Key inputs_Refineries'!$C$85:$C$164,$C139:$C148,'Key inputs_Refineries'!$B$85:$B$164,"Boiler"))&lt;0.001),0.001,SUMIFS('Key inputs_Refineries'!W$85:W$164,'Key inputs_Refineries'!$C$85:$C$164,$C144,'Key inputs_Refineries'!$B$85:$B$164,"Boiler")/SUM(SUMIFS('Key inputs_Refineries'!W$85:W$164,'Key inputs_Refineries'!$C$85:$C$164,$C139:$C148,'Key inputs_Refineries'!$B$85:$B$164,"Boiler"))),0)</f>
        <v>0</v>
      </c>
      <c r="AD144" s="173" cm="1">
        <f t="array" ref="AD144">IFERROR(IF(AND(SUMIFS('Key inputs_Refineries'!X$85:X$164,'Key inputs_Refineries'!$C$85:$C$164,$C144,'Key inputs_Refineries'!$B$85:$B$164,"Boiler")/SUM(SUMIFS('Key inputs_Refineries'!X$85:X$164,'Key inputs_Refineries'!$C$85:$C$164,$C139:$C148,'Key inputs_Refineries'!$B$85:$B$164,"Boiler"))&gt;0,SUMIFS('Key inputs_Refineries'!X$85:X$164,'Key inputs_Refineries'!$C$85:$C$164,$C144,'Key inputs_Refineries'!$B$85:$B$164,"Boiler")/SUM(SUMIFS('Key inputs_Refineries'!X$85:X$164,'Key inputs_Refineries'!$C$85:$C$164,$C139:$C148,'Key inputs_Refineries'!$B$85:$B$164,"Boiler"))&lt;0.001),0.001,SUMIFS('Key inputs_Refineries'!X$85:X$164,'Key inputs_Refineries'!$C$85:$C$164,$C144,'Key inputs_Refineries'!$B$85:$B$164,"Boiler")/SUM(SUMIFS('Key inputs_Refineries'!X$85:X$164,'Key inputs_Refineries'!$C$85:$C$164,$C139:$C148,'Key inputs_Refineries'!$B$85:$B$164,"Boiler"))),0)</f>
        <v>1.164397526383067E-2</v>
      </c>
      <c r="AE144" s="173" cm="1">
        <f t="array" ref="AE144">IFERROR(IF(AND(SUMIFS('Key inputs_Refineries'!Y$85:Y$164,'Key inputs_Refineries'!$C$85:$C$164,$C144,'Key inputs_Refineries'!$B$85:$B$164,"Boiler")/SUM(SUMIFS('Key inputs_Refineries'!Y$85:Y$164,'Key inputs_Refineries'!$C$85:$C$164,$C139:$C148,'Key inputs_Refineries'!$B$85:$B$164,"Boiler"))&gt;0,SUMIFS('Key inputs_Refineries'!Y$85:Y$164,'Key inputs_Refineries'!$C$85:$C$164,$C144,'Key inputs_Refineries'!$B$85:$B$164,"Boiler")/SUM(SUMIFS('Key inputs_Refineries'!Y$85:Y$164,'Key inputs_Refineries'!$C$85:$C$164,$C139:$C148,'Key inputs_Refineries'!$B$85:$B$164,"Boiler"))&lt;0.001),0.001,SUMIFS('Key inputs_Refineries'!Y$85:Y$164,'Key inputs_Refineries'!$C$85:$C$164,$C144,'Key inputs_Refineries'!$B$85:$B$164,"Boiler")/SUM(SUMIFS('Key inputs_Refineries'!Y$85:Y$164,'Key inputs_Refineries'!$C$85:$C$164,$C139:$C148,'Key inputs_Refineries'!$B$85:$B$164,"Boiler"))),0)</f>
        <v>2.1601592972530496E-2</v>
      </c>
      <c r="AF144" s="173" cm="1">
        <f t="array" ref="AF144">IFERROR(IF(AND(SUMIFS('Key inputs_Refineries'!Z$85:Z$164,'Key inputs_Refineries'!$C$85:$C$164,$C144,'Key inputs_Refineries'!$B$85:$B$164,"Boiler")/SUM(SUMIFS('Key inputs_Refineries'!Z$85:Z$164,'Key inputs_Refineries'!$C$85:$C$164,$C139:$C148,'Key inputs_Refineries'!$B$85:$B$164,"Boiler"))&gt;0,SUMIFS('Key inputs_Refineries'!Z$85:Z$164,'Key inputs_Refineries'!$C$85:$C$164,$C144,'Key inputs_Refineries'!$B$85:$B$164,"Boiler")/SUM(SUMIFS('Key inputs_Refineries'!Z$85:Z$164,'Key inputs_Refineries'!$C$85:$C$164,$C139:$C148,'Key inputs_Refineries'!$B$85:$B$164,"Boiler"))&lt;0.001),0.001,SUMIFS('Key inputs_Refineries'!Z$85:Z$164,'Key inputs_Refineries'!$C$85:$C$164,$C144,'Key inputs_Refineries'!$B$85:$B$164,"Boiler")/SUM(SUMIFS('Key inputs_Refineries'!Z$85:Z$164,'Key inputs_Refineries'!$C$85:$C$164,$C139:$C148,'Key inputs_Refineries'!$B$85:$B$164,"Boiler"))),0)</f>
        <v>0</v>
      </c>
      <c r="AG144" s="173" cm="1">
        <f t="array" ref="AG144">IFERROR(IF(AND(SUMIFS('Key inputs_Refineries'!AA$85:AA$164,'Key inputs_Refineries'!$C$85:$C$164,$C144,'Key inputs_Refineries'!$B$85:$B$164,"Boiler")/SUM(SUMIFS('Key inputs_Refineries'!AA$85:AA$164,'Key inputs_Refineries'!$C$85:$C$164,$C139:$C148,'Key inputs_Refineries'!$B$85:$B$164,"Boiler"))&gt;0,SUMIFS('Key inputs_Refineries'!AA$85:AA$164,'Key inputs_Refineries'!$C$85:$C$164,$C144,'Key inputs_Refineries'!$B$85:$B$164,"Boiler")/SUM(SUMIFS('Key inputs_Refineries'!AA$85:AA$164,'Key inputs_Refineries'!$C$85:$C$164,$C139:$C148,'Key inputs_Refineries'!$B$85:$B$164,"Boiler"))&lt;0.001),0.001,SUMIFS('Key inputs_Refineries'!AA$85:AA$164,'Key inputs_Refineries'!$C$85:$C$164,$C144,'Key inputs_Refineries'!$B$85:$B$164,"Boiler")/SUM(SUMIFS('Key inputs_Refineries'!AA$85:AA$164,'Key inputs_Refineries'!$C$85:$C$164,$C139:$C148,'Key inputs_Refineries'!$B$85:$B$164,"Boiler"))),0)</f>
        <v>0</v>
      </c>
      <c r="AH144" s="173" cm="1">
        <f t="array" ref="AH144">IFERROR(IF(AND(SUMIFS('Key inputs_Refineries'!AB$85:AB$164,'Key inputs_Refineries'!$C$85:$C$164,$C144,'Key inputs_Refineries'!$B$85:$B$164,"Boiler")/SUM(SUMIFS('Key inputs_Refineries'!AB$85:AB$164,'Key inputs_Refineries'!$C$85:$C$164,$C139:$C148,'Key inputs_Refineries'!$B$85:$B$164,"Boiler"))&gt;0,SUMIFS('Key inputs_Refineries'!AB$85:AB$164,'Key inputs_Refineries'!$C$85:$C$164,$C144,'Key inputs_Refineries'!$B$85:$B$164,"Boiler")/SUM(SUMIFS('Key inputs_Refineries'!AB$85:AB$164,'Key inputs_Refineries'!$C$85:$C$164,$C139:$C148,'Key inputs_Refineries'!$B$85:$B$164,"Boiler"))&lt;0.001),0.001,SUMIFS('Key inputs_Refineries'!AB$85:AB$164,'Key inputs_Refineries'!$C$85:$C$164,$C144,'Key inputs_Refineries'!$B$85:$B$164,"Boiler")/SUM(SUMIFS('Key inputs_Refineries'!AB$85:AB$164,'Key inputs_Refineries'!$C$85:$C$164,$C139:$C148,'Key inputs_Refineries'!$B$85:$B$164,"Boiler"))),0)</f>
        <v>0</v>
      </c>
      <c r="AI144" s="173" cm="1">
        <f t="array" ref="AI144">IFERROR(IF(AND(SUMIFS('Key inputs_Refineries'!AC$85:AC$164,'Key inputs_Refineries'!$C$85:$C$164,$C144,'Key inputs_Refineries'!$B$85:$B$164,"Boiler")/SUM(SUMIFS('Key inputs_Refineries'!AC$85:AC$164,'Key inputs_Refineries'!$C$85:$C$164,$C139:$C148,'Key inputs_Refineries'!$B$85:$B$164,"Boiler"))&gt;0,SUMIFS('Key inputs_Refineries'!AC$85:AC$164,'Key inputs_Refineries'!$C$85:$C$164,$C144,'Key inputs_Refineries'!$B$85:$B$164,"Boiler")/SUM(SUMIFS('Key inputs_Refineries'!AC$85:AC$164,'Key inputs_Refineries'!$C$85:$C$164,$C139:$C148,'Key inputs_Refineries'!$B$85:$B$164,"Boiler"))&lt;0.001),0.001,SUMIFS('Key inputs_Refineries'!AC$85:AC$164,'Key inputs_Refineries'!$C$85:$C$164,$C144,'Key inputs_Refineries'!$B$85:$B$164,"Boiler")/SUM(SUMIFS('Key inputs_Refineries'!AC$85:AC$164,'Key inputs_Refineries'!$C$85:$C$164,$C139:$C148,'Key inputs_Refineries'!$B$85:$B$164,"Boiler"))),0)</f>
        <v>0</v>
      </c>
      <c r="AJ144" s="173" cm="1">
        <f t="array" ref="AJ144">IFERROR(IF(AND(SUMIFS('Key inputs_Refineries'!AD$85:AD$164,'Key inputs_Refineries'!$C$85:$C$164,$C144,'Key inputs_Refineries'!$B$85:$B$164,"Boiler")/SUM(SUMIFS('Key inputs_Refineries'!AD$85:AD$164,'Key inputs_Refineries'!$C$85:$C$164,$C139:$C148,'Key inputs_Refineries'!$B$85:$B$164,"Boiler"))&gt;0,SUMIFS('Key inputs_Refineries'!AD$85:AD$164,'Key inputs_Refineries'!$C$85:$C$164,$C144,'Key inputs_Refineries'!$B$85:$B$164,"Boiler")/SUM(SUMIFS('Key inputs_Refineries'!AD$85:AD$164,'Key inputs_Refineries'!$C$85:$C$164,$C139:$C148,'Key inputs_Refineries'!$B$85:$B$164,"Boiler"))&lt;0.001),0.001,SUMIFS('Key inputs_Refineries'!AD$85:AD$164,'Key inputs_Refineries'!$C$85:$C$164,$C144,'Key inputs_Refineries'!$B$85:$B$164,"Boiler")/SUM(SUMIFS('Key inputs_Refineries'!AD$85:AD$164,'Key inputs_Refineries'!$C$85:$C$164,$C139:$C148,'Key inputs_Refineries'!$B$85:$B$164,"Boiler"))),0)</f>
        <v>0</v>
      </c>
      <c r="AK144" s="173" cm="1">
        <f t="array" ref="AK144">IFERROR(IF(AND(SUMIFS('Key inputs_Refineries'!AE$85:AE$164,'Key inputs_Refineries'!$C$85:$C$164,$C144,'Key inputs_Refineries'!$B$85:$B$164,"Boiler")/SUM(SUMIFS('Key inputs_Refineries'!AE$85:AE$164,'Key inputs_Refineries'!$C$85:$C$164,$C139:$C148,'Key inputs_Refineries'!$B$85:$B$164,"Boiler"))&gt;0,SUMIFS('Key inputs_Refineries'!AE$85:AE$164,'Key inputs_Refineries'!$C$85:$C$164,$C144,'Key inputs_Refineries'!$B$85:$B$164,"Boiler")/SUM(SUMIFS('Key inputs_Refineries'!AE$85:AE$164,'Key inputs_Refineries'!$C$85:$C$164,$C139:$C148,'Key inputs_Refineries'!$B$85:$B$164,"Boiler"))&lt;0.001),0.001,SUMIFS('Key inputs_Refineries'!AE$85:AE$164,'Key inputs_Refineries'!$C$85:$C$164,$C144,'Key inputs_Refineries'!$B$85:$B$164,"Boiler")/SUM(SUMIFS('Key inputs_Refineries'!AE$85:AE$164,'Key inputs_Refineries'!$C$85:$C$164,$C139:$C148,'Key inputs_Refineries'!$B$85:$B$164,"Boiler"))),0)</f>
        <v>0</v>
      </c>
      <c r="AL144" s="173" cm="1">
        <f t="array" ref="AL144">IFERROR(IF(AND(SUMIFS('Key inputs_Refineries'!AF$85:AF$164,'Key inputs_Refineries'!$C$85:$C$164,$C144,'Key inputs_Refineries'!$B$85:$B$164,"Boiler")/SUM(SUMIFS('Key inputs_Refineries'!AF$85:AF$164,'Key inputs_Refineries'!$C$85:$C$164,$C139:$C148,'Key inputs_Refineries'!$B$85:$B$164,"Boiler"))&gt;0,SUMIFS('Key inputs_Refineries'!AF$85:AF$164,'Key inputs_Refineries'!$C$85:$C$164,$C144,'Key inputs_Refineries'!$B$85:$B$164,"Boiler")/SUM(SUMIFS('Key inputs_Refineries'!AF$85:AF$164,'Key inputs_Refineries'!$C$85:$C$164,$C139:$C148,'Key inputs_Refineries'!$B$85:$B$164,"Boiler"))&lt;0.001),0.001,SUMIFS('Key inputs_Refineries'!AF$85:AF$164,'Key inputs_Refineries'!$C$85:$C$164,$C144,'Key inputs_Refineries'!$B$85:$B$164,"Boiler")/SUM(SUMIFS('Key inputs_Refineries'!AF$85:AF$164,'Key inputs_Refineries'!$C$85:$C$164,$C139:$C148,'Key inputs_Refineries'!$B$85:$B$164,"Boiler"))),0)</f>
        <v>7.2725742976555516E-3</v>
      </c>
    </row>
    <row r="145" spans="1:38">
      <c r="C145" t="str">
        <f>Commodities!$C$97</f>
        <v>UPSLPG</v>
      </c>
      <c r="G145" s="4" t="s">
        <v>702</v>
      </c>
      <c r="H145" t="s">
        <v>661</v>
      </c>
      <c r="I145">
        <v>2019</v>
      </c>
      <c r="J145" t="s">
        <v>650</v>
      </c>
      <c r="K145" s="173" cm="1">
        <f t="array" ref="K145">IFERROR(IF(AND(SUMIFS('Key inputs_Refineries'!E$85:E$164,'Key inputs_Refineries'!$C$85:$C$164,$C145,'Key inputs_Refineries'!$B$85:$B$164,"Boiler")/SUM(SUMIFS('Key inputs_Refineries'!E$85:E$164,'Key inputs_Refineries'!$C$85:$C$164,$C139:$C148,'Key inputs_Refineries'!$B$85:$B$164,"Boiler"))&gt;0,SUMIFS('Key inputs_Refineries'!E$85:E$164,'Key inputs_Refineries'!$C$85:$C$164,$C145,'Key inputs_Refineries'!$B$85:$B$164,"Boiler")/SUM(SUMIFS('Key inputs_Refineries'!E$85:E$164,'Key inputs_Refineries'!$C$85:$C$164,$C139:$C148,'Key inputs_Refineries'!$B$85:$B$164,"Boiler"))&lt;0.001),0.001,SUMIFS('Key inputs_Refineries'!E$85:E$164,'Key inputs_Refineries'!$C$85:$C$164,$C145,'Key inputs_Refineries'!$B$85:$B$164,"Boiler")/SUM(SUMIFS('Key inputs_Refineries'!E$85:E$164,'Key inputs_Refineries'!$C$85:$C$164,$C139:$C148,'Key inputs_Refineries'!$B$85:$B$164,"Boiler"))),0)</f>
        <v>0</v>
      </c>
      <c r="L145" s="173" cm="1">
        <f t="array" ref="L145">IFERROR(IF(AND(SUMIFS('Key inputs_Refineries'!F$85:F$164,'Key inputs_Refineries'!$C$85:$C$164,$C145,'Key inputs_Refineries'!$B$85:$B$164,"Boiler")/SUM(SUMIFS('Key inputs_Refineries'!F$85:F$164,'Key inputs_Refineries'!$C$85:$C$164,$C139:$C148,'Key inputs_Refineries'!$B$85:$B$164,"Boiler"))&gt;0,SUMIFS('Key inputs_Refineries'!F$85:F$164,'Key inputs_Refineries'!$C$85:$C$164,$C145,'Key inputs_Refineries'!$B$85:$B$164,"Boiler")/SUM(SUMIFS('Key inputs_Refineries'!F$85:F$164,'Key inputs_Refineries'!$C$85:$C$164,$C139:$C148,'Key inputs_Refineries'!$B$85:$B$164,"Boiler"))&lt;0.001),0.001,SUMIFS('Key inputs_Refineries'!F$85:F$164,'Key inputs_Refineries'!$C$85:$C$164,$C145,'Key inputs_Refineries'!$B$85:$B$164,"Boiler")/SUM(SUMIFS('Key inputs_Refineries'!F$85:F$164,'Key inputs_Refineries'!$C$85:$C$164,$C139:$C148,'Key inputs_Refineries'!$B$85:$B$164,"Boiler"))),0)</f>
        <v>0</v>
      </c>
      <c r="M145" s="173" cm="1">
        <f t="array" ref="M145">IFERROR(IF(AND(SUMIFS('Key inputs_Refineries'!G$85:G$164,'Key inputs_Refineries'!$C$85:$C$164,$C145,'Key inputs_Refineries'!$B$85:$B$164,"Boiler")/SUM(SUMIFS('Key inputs_Refineries'!G$85:G$164,'Key inputs_Refineries'!$C$85:$C$164,$C139:$C148,'Key inputs_Refineries'!$B$85:$B$164,"Boiler"))&gt;0,SUMIFS('Key inputs_Refineries'!G$85:G$164,'Key inputs_Refineries'!$C$85:$C$164,$C145,'Key inputs_Refineries'!$B$85:$B$164,"Boiler")/SUM(SUMIFS('Key inputs_Refineries'!G$85:G$164,'Key inputs_Refineries'!$C$85:$C$164,$C139:$C148,'Key inputs_Refineries'!$B$85:$B$164,"Boiler"))&lt;0.001),0.001,SUMIFS('Key inputs_Refineries'!G$85:G$164,'Key inputs_Refineries'!$C$85:$C$164,$C145,'Key inputs_Refineries'!$B$85:$B$164,"Boiler")/SUM(SUMIFS('Key inputs_Refineries'!G$85:G$164,'Key inputs_Refineries'!$C$85:$C$164,$C139:$C148,'Key inputs_Refineries'!$B$85:$B$164,"Boiler"))),0)</f>
        <v>0.11449728272014652</v>
      </c>
      <c r="N145" s="173" cm="1">
        <f t="array" ref="N145">IFERROR(IF(AND(SUMIFS('Key inputs_Refineries'!H$85:H$164,'Key inputs_Refineries'!$C$85:$C$164,$C145,'Key inputs_Refineries'!$B$85:$B$164,"Boiler")/SUM(SUMIFS('Key inputs_Refineries'!H$85:H$164,'Key inputs_Refineries'!$C$85:$C$164,$C139:$C148,'Key inputs_Refineries'!$B$85:$B$164,"Boiler"))&gt;0,SUMIFS('Key inputs_Refineries'!H$85:H$164,'Key inputs_Refineries'!$C$85:$C$164,$C145,'Key inputs_Refineries'!$B$85:$B$164,"Boiler")/SUM(SUMIFS('Key inputs_Refineries'!H$85:H$164,'Key inputs_Refineries'!$C$85:$C$164,$C139:$C148,'Key inputs_Refineries'!$B$85:$B$164,"Boiler"))&lt;0.001),0.001,SUMIFS('Key inputs_Refineries'!H$85:H$164,'Key inputs_Refineries'!$C$85:$C$164,$C145,'Key inputs_Refineries'!$B$85:$B$164,"Boiler")/SUM(SUMIFS('Key inputs_Refineries'!H$85:H$164,'Key inputs_Refineries'!$C$85:$C$164,$C139:$C148,'Key inputs_Refineries'!$B$85:$B$164,"Boiler"))),0)</f>
        <v>0</v>
      </c>
      <c r="O145" s="173" cm="1">
        <f t="array" ref="O145">IFERROR(IF(AND(SUMIFS('Key inputs_Refineries'!I$85:I$164,'Key inputs_Refineries'!$C$85:$C$164,$C145,'Key inputs_Refineries'!$B$85:$B$164,"Boiler")/SUM(SUMIFS('Key inputs_Refineries'!I$85:I$164,'Key inputs_Refineries'!$C$85:$C$164,$C139:$C148,'Key inputs_Refineries'!$B$85:$B$164,"Boiler"))&gt;0,SUMIFS('Key inputs_Refineries'!I$85:I$164,'Key inputs_Refineries'!$C$85:$C$164,$C145,'Key inputs_Refineries'!$B$85:$B$164,"Boiler")/SUM(SUMIFS('Key inputs_Refineries'!I$85:I$164,'Key inputs_Refineries'!$C$85:$C$164,$C139:$C148,'Key inputs_Refineries'!$B$85:$B$164,"Boiler"))&lt;0.001),0.001,SUMIFS('Key inputs_Refineries'!I$85:I$164,'Key inputs_Refineries'!$C$85:$C$164,$C145,'Key inputs_Refineries'!$B$85:$B$164,"Boiler")/SUM(SUMIFS('Key inputs_Refineries'!I$85:I$164,'Key inputs_Refineries'!$C$85:$C$164,$C139:$C148,'Key inputs_Refineries'!$B$85:$B$164,"Boiler"))),0)</f>
        <v>0</v>
      </c>
      <c r="P145" s="173" cm="1">
        <f t="array" ref="P145">IFERROR(IF(AND(SUMIFS('Key inputs_Refineries'!J$85:J$164,'Key inputs_Refineries'!$C$85:$C$164,$C145,'Key inputs_Refineries'!$B$85:$B$164,"Boiler")/SUM(SUMIFS('Key inputs_Refineries'!J$85:J$164,'Key inputs_Refineries'!$C$85:$C$164,$C139:$C148,'Key inputs_Refineries'!$B$85:$B$164,"Boiler"))&gt;0,SUMIFS('Key inputs_Refineries'!J$85:J$164,'Key inputs_Refineries'!$C$85:$C$164,$C145,'Key inputs_Refineries'!$B$85:$B$164,"Boiler")/SUM(SUMIFS('Key inputs_Refineries'!J$85:J$164,'Key inputs_Refineries'!$C$85:$C$164,$C139:$C148,'Key inputs_Refineries'!$B$85:$B$164,"Boiler"))&lt;0.001),0.001,SUMIFS('Key inputs_Refineries'!J$85:J$164,'Key inputs_Refineries'!$C$85:$C$164,$C145,'Key inputs_Refineries'!$B$85:$B$164,"Boiler")/SUM(SUMIFS('Key inputs_Refineries'!J$85:J$164,'Key inputs_Refineries'!$C$85:$C$164,$C139:$C148,'Key inputs_Refineries'!$B$85:$B$164,"Boiler"))),0)</f>
        <v>1.8429074047040168E-3</v>
      </c>
      <c r="Q145" s="173" cm="1">
        <f t="array" ref="Q145">IFERROR(IF(AND(SUMIFS('Key inputs_Refineries'!K$85:K$164,'Key inputs_Refineries'!$C$85:$C$164,$C145,'Key inputs_Refineries'!$B$85:$B$164,"Boiler")/SUM(SUMIFS('Key inputs_Refineries'!K$85:K$164,'Key inputs_Refineries'!$C$85:$C$164,$C139:$C148,'Key inputs_Refineries'!$B$85:$B$164,"Boiler"))&gt;0,SUMIFS('Key inputs_Refineries'!K$85:K$164,'Key inputs_Refineries'!$C$85:$C$164,$C145,'Key inputs_Refineries'!$B$85:$B$164,"Boiler")/SUM(SUMIFS('Key inputs_Refineries'!K$85:K$164,'Key inputs_Refineries'!$C$85:$C$164,$C139:$C148,'Key inputs_Refineries'!$B$85:$B$164,"Boiler"))&lt;0.001),0.001,SUMIFS('Key inputs_Refineries'!K$85:K$164,'Key inputs_Refineries'!$C$85:$C$164,$C145,'Key inputs_Refineries'!$B$85:$B$164,"Boiler")/SUM(SUMIFS('Key inputs_Refineries'!K$85:K$164,'Key inputs_Refineries'!$C$85:$C$164,$C139:$C148,'Key inputs_Refineries'!$B$85:$B$164,"Boiler"))),0)</f>
        <v>0</v>
      </c>
      <c r="R145" s="173" cm="1">
        <f t="array" ref="R145">IFERROR(IF(AND(SUMIFS('Key inputs_Refineries'!L$85:L$164,'Key inputs_Refineries'!$C$85:$C$164,$C145,'Key inputs_Refineries'!$B$85:$B$164,"Boiler")/SUM(SUMIFS('Key inputs_Refineries'!L$85:L$164,'Key inputs_Refineries'!$C$85:$C$164,$C139:$C148,'Key inputs_Refineries'!$B$85:$B$164,"Boiler"))&gt;0,SUMIFS('Key inputs_Refineries'!L$85:L$164,'Key inputs_Refineries'!$C$85:$C$164,$C145,'Key inputs_Refineries'!$B$85:$B$164,"Boiler")/SUM(SUMIFS('Key inputs_Refineries'!L$85:L$164,'Key inputs_Refineries'!$C$85:$C$164,$C139:$C148,'Key inputs_Refineries'!$B$85:$B$164,"Boiler"))&lt;0.001),0.001,SUMIFS('Key inputs_Refineries'!L$85:L$164,'Key inputs_Refineries'!$C$85:$C$164,$C145,'Key inputs_Refineries'!$B$85:$B$164,"Boiler")/SUM(SUMIFS('Key inputs_Refineries'!L$85:L$164,'Key inputs_Refineries'!$C$85:$C$164,$C139:$C148,'Key inputs_Refineries'!$B$85:$B$164,"Boiler"))),0)</f>
        <v>0</v>
      </c>
      <c r="S145" s="173" cm="1">
        <f t="array" ref="S145">IFERROR(IF(AND(SUMIFS('Key inputs_Refineries'!M$85:M$164,'Key inputs_Refineries'!$C$85:$C$164,$C145,'Key inputs_Refineries'!$B$85:$B$164,"Boiler")/SUM(SUMIFS('Key inputs_Refineries'!M$85:M$164,'Key inputs_Refineries'!$C$85:$C$164,$C139:$C148,'Key inputs_Refineries'!$B$85:$B$164,"Boiler"))&gt;0,SUMIFS('Key inputs_Refineries'!M$85:M$164,'Key inputs_Refineries'!$C$85:$C$164,$C145,'Key inputs_Refineries'!$B$85:$B$164,"Boiler")/SUM(SUMIFS('Key inputs_Refineries'!M$85:M$164,'Key inputs_Refineries'!$C$85:$C$164,$C139:$C148,'Key inputs_Refineries'!$B$85:$B$164,"Boiler"))&lt;0.001),0.001,SUMIFS('Key inputs_Refineries'!M$85:M$164,'Key inputs_Refineries'!$C$85:$C$164,$C145,'Key inputs_Refineries'!$B$85:$B$164,"Boiler")/SUM(SUMIFS('Key inputs_Refineries'!M$85:M$164,'Key inputs_Refineries'!$C$85:$C$164,$C139:$C148,'Key inputs_Refineries'!$B$85:$B$164,"Boiler"))),0)</f>
        <v>0</v>
      </c>
      <c r="T145" s="173" cm="1">
        <f t="array" ref="T145">IFERROR(IF(AND(SUMIFS('Key inputs_Refineries'!N$85:N$164,'Key inputs_Refineries'!$C$85:$C$164,$C145,'Key inputs_Refineries'!$B$85:$B$164,"Boiler")/SUM(SUMIFS('Key inputs_Refineries'!N$85:N$164,'Key inputs_Refineries'!$C$85:$C$164,$C139:$C148,'Key inputs_Refineries'!$B$85:$B$164,"Boiler"))&gt;0,SUMIFS('Key inputs_Refineries'!N$85:N$164,'Key inputs_Refineries'!$C$85:$C$164,$C145,'Key inputs_Refineries'!$B$85:$B$164,"Boiler")/SUM(SUMIFS('Key inputs_Refineries'!N$85:N$164,'Key inputs_Refineries'!$C$85:$C$164,$C139:$C148,'Key inputs_Refineries'!$B$85:$B$164,"Boiler"))&lt;0.001),0.001,SUMIFS('Key inputs_Refineries'!N$85:N$164,'Key inputs_Refineries'!$C$85:$C$164,$C145,'Key inputs_Refineries'!$B$85:$B$164,"Boiler")/SUM(SUMIFS('Key inputs_Refineries'!N$85:N$164,'Key inputs_Refineries'!$C$85:$C$164,$C139:$C148,'Key inputs_Refineries'!$B$85:$B$164,"Boiler"))),0)</f>
        <v>4.0866396011492612E-2</v>
      </c>
      <c r="U145" s="173" cm="1">
        <f t="array" ref="U145">IFERROR(IF(AND(SUMIFS('Key inputs_Refineries'!O$85:O$164,'Key inputs_Refineries'!$C$85:$C$164,$C145,'Key inputs_Refineries'!$B$85:$B$164,"Boiler")/SUM(SUMIFS('Key inputs_Refineries'!O$85:O$164,'Key inputs_Refineries'!$C$85:$C$164,$C139:$C148,'Key inputs_Refineries'!$B$85:$B$164,"Boiler"))&gt;0,SUMIFS('Key inputs_Refineries'!O$85:O$164,'Key inputs_Refineries'!$C$85:$C$164,$C145,'Key inputs_Refineries'!$B$85:$B$164,"Boiler")/SUM(SUMIFS('Key inputs_Refineries'!O$85:O$164,'Key inputs_Refineries'!$C$85:$C$164,$C139:$C148,'Key inputs_Refineries'!$B$85:$B$164,"Boiler"))&lt;0.001),0.001,SUMIFS('Key inputs_Refineries'!O$85:O$164,'Key inputs_Refineries'!$C$85:$C$164,$C145,'Key inputs_Refineries'!$B$85:$B$164,"Boiler")/SUM(SUMIFS('Key inputs_Refineries'!O$85:O$164,'Key inputs_Refineries'!$C$85:$C$164,$C139:$C148,'Key inputs_Refineries'!$B$85:$B$164,"Boiler"))),0)</f>
        <v>0.38542966352684382</v>
      </c>
      <c r="V145" s="173" cm="1">
        <f t="array" ref="V145">IFERROR(IF(AND(SUMIFS('Key inputs_Refineries'!P$85:P$164,'Key inputs_Refineries'!$C$85:$C$164,$C145,'Key inputs_Refineries'!$B$85:$B$164,"Boiler")/SUM(SUMIFS('Key inputs_Refineries'!P$85:P$164,'Key inputs_Refineries'!$C$85:$C$164,$C139:$C148,'Key inputs_Refineries'!$B$85:$B$164,"Boiler"))&gt;0,SUMIFS('Key inputs_Refineries'!P$85:P$164,'Key inputs_Refineries'!$C$85:$C$164,$C145,'Key inputs_Refineries'!$B$85:$B$164,"Boiler")/SUM(SUMIFS('Key inputs_Refineries'!P$85:P$164,'Key inputs_Refineries'!$C$85:$C$164,$C139:$C148,'Key inputs_Refineries'!$B$85:$B$164,"Boiler"))&lt;0.001),0.001,SUMIFS('Key inputs_Refineries'!P$85:P$164,'Key inputs_Refineries'!$C$85:$C$164,$C145,'Key inputs_Refineries'!$B$85:$B$164,"Boiler")/SUM(SUMIFS('Key inputs_Refineries'!P$85:P$164,'Key inputs_Refineries'!$C$85:$C$164,$C139:$C148,'Key inputs_Refineries'!$B$85:$B$164,"Boiler"))),0)</f>
        <v>0.20400018354543314</v>
      </c>
      <c r="W145" s="173" cm="1">
        <f t="array" ref="W145">IFERROR(IF(AND(SUMIFS('Key inputs_Refineries'!Q$85:Q$164,'Key inputs_Refineries'!$C$85:$C$164,$C145,'Key inputs_Refineries'!$B$85:$B$164,"Boiler")/SUM(SUMIFS('Key inputs_Refineries'!Q$85:Q$164,'Key inputs_Refineries'!$C$85:$C$164,$C139:$C148,'Key inputs_Refineries'!$B$85:$B$164,"Boiler"))&gt;0,SUMIFS('Key inputs_Refineries'!Q$85:Q$164,'Key inputs_Refineries'!$C$85:$C$164,$C145,'Key inputs_Refineries'!$B$85:$B$164,"Boiler")/SUM(SUMIFS('Key inputs_Refineries'!Q$85:Q$164,'Key inputs_Refineries'!$C$85:$C$164,$C139:$C148,'Key inputs_Refineries'!$B$85:$B$164,"Boiler"))&lt;0.001),0.001,SUMIFS('Key inputs_Refineries'!Q$85:Q$164,'Key inputs_Refineries'!$C$85:$C$164,$C145,'Key inputs_Refineries'!$B$85:$B$164,"Boiler")/SUM(SUMIFS('Key inputs_Refineries'!Q$85:Q$164,'Key inputs_Refineries'!$C$85:$C$164,$C139:$C148,'Key inputs_Refineries'!$B$85:$B$164,"Boiler"))),0)</f>
        <v>0</v>
      </c>
      <c r="X145" s="173" cm="1">
        <f t="array" ref="X145">IFERROR(IF(AND(SUMIFS('Key inputs_Refineries'!R$85:R$164,'Key inputs_Refineries'!$C$85:$C$164,$C145,'Key inputs_Refineries'!$B$85:$B$164,"Boiler")/SUM(SUMIFS('Key inputs_Refineries'!R$85:R$164,'Key inputs_Refineries'!$C$85:$C$164,$C139:$C148,'Key inputs_Refineries'!$B$85:$B$164,"Boiler"))&gt;0,SUMIFS('Key inputs_Refineries'!R$85:R$164,'Key inputs_Refineries'!$C$85:$C$164,$C145,'Key inputs_Refineries'!$B$85:$B$164,"Boiler")/SUM(SUMIFS('Key inputs_Refineries'!R$85:R$164,'Key inputs_Refineries'!$C$85:$C$164,$C139:$C148,'Key inputs_Refineries'!$B$85:$B$164,"Boiler"))&lt;0.001),0.001,SUMIFS('Key inputs_Refineries'!R$85:R$164,'Key inputs_Refineries'!$C$85:$C$164,$C145,'Key inputs_Refineries'!$B$85:$B$164,"Boiler")/SUM(SUMIFS('Key inputs_Refineries'!R$85:R$164,'Key inputs_Refineries'!$C$85:$C$164,$C139:$C148,'Key inputs_Refineries'!$B$85:$B$164,"Boiler"))),0)</f>
        <v>0</v>
      </c>
      <c r="Y145" s="173" cm="1">
        <f t="array" ref="Y145">IFERROR(IF(AND(SUMIFS('Key inputs_Refineries'!S$85:S$164,'Key inputs_Refineries'!$C$85:$C$164,$C145,'Key inputs_Refineries'!$B$85:$B$164,"Boiler")/SUM(SUMIFS('Key inputs_Refineries'!S$85:S$164,'Key inputs_Refineries'!$C$85:$C$164,$C139:$C148,'Key inputs_Refineries'!$B$85:$B$164,"Boiler"))&gt;0,SUMIFS('Key inputs_Refineries'!S$85:S$164,'Key inputs_Refineries'!$C$85:$C$164,$C145,'Key inputs_Refineries'!$B$85:$B$164,"Boiler")/SUM(SUMIFS('Key inputs_Refineries'!S$85:S$164,'Key inputs_Refineries'!$C$85:$C$164,$C139:$C148,'Key inputs_Refineries'!$B$85:$B$164,"Boiler"))&lt;0.001),0.001,SUMIFS('Key inputs_Refineries'!S$85:S$164,'Key inputs_Refineries'!$C$85:$C$164,$C145,'Key inputs_Refineries'!$B$85:$B$164,"Boiler")/SUM(SUMIFS('Key inputs_Refineries'!S$85:S$164,'Key inputs_Refineries'!$C$85:$C$164,$C139:$C148,'Key inputs_Refineries'!$B$85:$B$164,"Boiler"))),0)</f>
        <v>8.2373108109728369E-3</v>
      </c>
      <c r="Z145" s="173" cm="1">
        <f t="array" ref="Z145">IFERROR(IF(AND(SUMIFS('Key inputs_Refineries'!T$85:T$164,'Key inputs_Refineries'!$C$85:$C$164,$C145,'Key inputs_Refineries'!$B$85:$B$164,"Boiler")/SUM(SUMIFS('Key inputs_Refineries'!T$85:T$164,'Key inputs_Refineries'!$C$85:$C$164,$C139:$C148,'Key inputs_Refineries'!$B$85:$B$164,"Boiler"))&gt;0,SUMIFS('Key inputs_Refineries'!T$85:T$164,'Key inputs_Refineries'!$C$85:$C$164,$C145,'Key inputs_Refineries'!$B$85:$B$164,"Boiler")/SUM(SUMIFS('Key inputs_Refineries'!T$85:T$164,'Key inputs_Refineries'!$C$85:$C$164,$C139:$C148,'Key inputs_Refineries'!$B$85:$B$164,"Boiler"))&lt;0.001),0.001,SUMIFS('Key inputs_Refineries'!T$85:T$164,'Key inputs_Refineries'!$C$85:$C$164,$C145,'Key inputs_Refineries'!$B$85:$B$164,"Boiler")/SUM(SUMIFS('Key inputs_Refineries'!T$85:T$164,'Key inputs_Refineries'!$C$85:$C$164,$C139:$C148,'Key inputs_Refineries'!$B$85:$B$164,"Boiler"))),0)</f>
        <v>7.8067049163062063E-2</v>
      </c>
      <c r="AA145" s="173" cm="1">
        <f t="array" ref="AA145">IFERROR(IF(AND(SUMIFS('Key inputs_Refineries'!U$85:U$164,'Key inputs_Refineries'!$C$85:$C$164,$C145,'Key inputs_Refineries'!$B$85:$B$164,"Boiler")/SUM(SUMIFS('Key inputs_Refineries'!U$85:U$164,'Key inputs_Refineries'!$C$85:$C$164,$C139:$C148,'Key inputs_Refineries'!$B$85:$B$164,"Boiler"))&gt;0,SUMIFS('Key inputs_Refineries'!U$85:U$164,'Key inputs_Refineries'!$C$85:$C$164,$C145,'Key inputs_Refineries'!$B$85:$B$164,"Boiler")/SUM(SUMIFS('Key inputs_Refineries'!U$85:U$164,'Key inputs_Refineries'!$C$85:$C$164,$C139:$C148,'Key inputs_Refineries'!$B$85:$B$164,"Boiler"))&lt;0.001),0.001,SUMIFS('Key inputs_Refineries'!U$85:U$164,'Key inputs_Refineries'!$C$85:$C$164,$C145,'Key inputs_Refineries'!$B$85:$B$164,"Boiler")/SUM(SUMIFS('Key inputs_Refineries'!U$85:U$164,'Key inputs_Refineries'!$C$85:$C$164,$C139:$C148,'Key inputs_Refineries'!$B$85:$B$164,"Boiler"))),0)</f>
        <v>0.12670134629223898</v>
      </c>
      <c r="AB145" s="173" cm="1">
        <f t="array" ref="AB145">IFERROR(IF(AND(SUMIFS('Key inputs_Refineries'!V$85:V$164,'Key inputs_Refineries'!$C$85:$C$164,$C145,'Key inputs_Refineries'!$B$85:$B$164,"Boiler")/SUM(SUMIFS('Key inputs_Refineries'!V$85:V$164,'Key inputs_Refineries'!$C$85:$C$164,$C139:$C148,'Key inputs_Refineries'!$B$85:$B$164,"Boiler"))&gt;0,SUMIFS('Key inputs_Refineries'!V$85:V$164,'Key inputs_Refineries'!$C$85:$C$164,$C145,'Key inputs_Refineries'!$B$85:$B$164,"Boiler")/SUM(SUMIFS('Key inputs_Refineries'!V$85:V$164,'Key inputs_Refineries'!$C$85:$C$164,$C139:$C148,'Key inputs_Refineries'!$B$85:$B$164,"Boiler"))&lt;0.001),0.001,SUMIFS('Key inputs_Refineries'!V$85:V$164,'Key inputs_Refineries'!$C$85:$C$164,$C145,'Key inputs_Refineries'!$B$85:$B$164,"Boiler")/SUM(SUMIFS('Key inputs_Refineries'!V$85:V$164,'Key inputs_Refineries'!$C$85:$C$164,$C139:$C148,'Key inputs_Refineries'!$B$85:$B$164,"Boiler"))),0)</f>
        <v>0</v>
      </c>
      <c r="AC145" s="173" cm="1">
        <f t="array" ref="AC145">IFERROR(IF(AND(SUMIFS('Key inputs_Refineries'!W$85:W$164,'Key inputs_Refineries'!$C$85:$C$164,$C145,'Key inputs_Refineries'!$B$85:$B$164,"Boiler")/SUM(SUMIFS('Key inputs_Refineries'!W$85:W$164,'Key inputs_Refineries'!$C$85:$C$164,$C139:$C148,'Key inputs_Refineries'!$B$85:$B$164,"Boiler"))&gt;0,SUMIFS('Key inputs_Refineries'!W$85:W$164,'Key inputs_Refineries'!$C$85:$C$164,$C145,'Key inputs_Refineries'!$B$85:$B$164,"Boiler")/SUM(SUMIFS('Key inputs_Refineries'!W$85:W$164,'Key inputs_Refineries'!$C$85:$C$164,$C139:$C148,'Key inputs_Refineries'!$B$85:$B$164,"Boiler"))&lt;0.001),0.001,SUMIFS('Key inputs_Refineries'!W$85:W$164,'Key inputs_Refineries'!$C$85:$C$164,$C145,'Key inputs_Refineries'!$B$85:$B$164,"Boiler")/SUM(SUMIFS('Key inputs_Refineries'!W$85:W$164,'Key inputs_Refineries'!$C$85:$C$164,$C139:$C148,'Key inputs_Refineries'!$B$85:$B$164,"Boiler"))),0)</f>
        <v>0</v>
      </c>
      <c r="AD145" s="173" cm="1">
        <f t="array" ref="AD145">IFERROR(IF(AND(SUMIFS('Key inputs_Refineries'!X$85:X$164,'Key inputs_Refineries'!$C$85:$C$164,$C145,'Key inputs_Refineries'!$B$85:$B$164,"Boiler")/SUM(SUMIFS('Key inputs_Refineries'!X$85:X$164,'Key inputs_Refineries'!$C$85:$C$164,$C139:$C148,'Key inputs_Refineries'!$B$85:$B$164,"Boiler"))&gt;0,SUMIFS('Key inputs_Refineries'!X$85:X$164,'Key inputs_Refineries'!$C$85:$C$164,$C145,'Key inputs_Refineries'!$B$85:$B$164,"Boiler")/SUM(SUMIFS('Key inputs_Refineries'!X$85:X$164,'Key inputs_Refineries'!$C$85:$C$164,$C139:$C148,'Key inputs_Refineries'!$B$85:$B$164,"Boiler"))&lt;0.001),0.001,SUMIFS('Key inputs_Refineries'!X$85:X$164,'Key inputs_Refineries'!$C$85:$C$164,$C145,'Key inputs_Refineries'!$B$85:$B$164,"Boiler")/SUM(SUMIFS('Key inputs_Refineries'!X$85:X$164,'Key inputs_Refineries'!$C$85:$C$164,$C139:$C148,'Key inputs_Refineries'!$B$85:$B$164,"Boiler"))),0)</f>
        <v>5.9809032201112659E-2</v>
      </c>
      <c r="AE145" s="173" cm="1">
        <f t="array" ref="AE145">IFERROR(IF(AND(SUMIFS('Key inputs_Refineries'!Y$85:Y$164,'Key inputs_Refineries'!$C$85:$C$164,$C145,'Key inputs_Refineries'!$B$85:$B$164,"Boiler")/SUM(SUMIFS('Key inputs_Refineries'!Y$85:Y$164,'Key inputs_Refineries'!$C$85:$C$164,$C139:$C148,'Key inputs_Refineries'!$B$85:$B$164,"Boiler"))&gt;0,SUMIFS('Key inputs_Refineries'!Y$85:Y$164,'Key inputs_Refineries'!$C$85:$C$164,$C145,'Key inputs_Refineries'!$B$85:$B$164,"Boiler")/SUM(SUMIFS('Key inputs_Refineries'!Y$85:Y$164,'Key inputs_Refineries'!$C$85:$C$164,$C139:$C148,'Key inputs_Refineries'!$B$85:$B$164,"Boiler"))&lt;0.001),0.001,SUMIFS('Key inputs_Refineries'!Y$85:Y$164,'Key inputs_Refineries'!$C$85:$C$164,$C145,'Key inputs_Refineries'!$B$85:$B$164,"Boiler")/SUM(SUMIFS('Key inputs_Refineries'!Y$85:Y$164,'Key inputs_Refineries'!$C$85:$C$164,$C139:$C148,'Key inputs_Refineries'!$B$85:$B$164,"Boiler"))),0)</f>
        <v>0.15964808720573298</v>
      </c>
      <c r="AF145" s="173" cm="1">
        <f t="array" ref="AF145">IFERROR(IF(AND(SUMIFS('Key inputs_Refineries'!Z$85:Z$164,'Key inputs_Refineries'!$C$85:$C$164,$C145,'Key inputs_Refineries'!$B$85:$B$164,"Boiler")/SUM(SUMIFS('Key inputs_Refineries'!Z$85:Z$164,'Key inputs_Refineries'!$C$85:$C$164,$C139:$C148,'Key inputs_Refineries'!$B$85:$B$164,"Boiler"))&gt;0,SUMIFS('Key inputs_Refineries'!Z$85:Z$164,'Key inputs_Refineries'!$C$85:$C$164,$C145,'Key inputs_Refineries'!$B$85:$B$164,"Boiler")/SUM(SUMIFS('Key inputs_Refineries'!Z$85:Z$164,'Key inputs_Refineries'!$C$85:$C$164,$C139:$C148,'Key inputs_Refineries'!$B$85:$B$164,"Boiler"))&lt;0.001),0.001,SUMIFS('Key inputs_Refineries'!Z$85:Z$164,'Key inputs_Refineries'!$C$85:$C$164,$C145,'Key inputs_Refineries'!$B$85:$B$164,"Boiler")/SUM(SUMIFS('Key inputs_Refineries'!Z$85:Z$164,'Key inputs_Refineries'!$C$85:$C$164,$C139:$C148,'Key inputs_Refineries'!$B$85:$B$164,"Boiler"))),0)</f>
        <v>0</v>
      </c>
      <c r="AG145" s="173" cm="1">
        <f t="array" ref="AG145">IFERROR(IF(AND(SUMIFS('Key inputs_Refineries'!AA$85:AA$164,'Key inputs_Refineries'!$C$85:$C$164,$C145,'Key inputs_Refineries'!$B$85:$B$164,"Boiler")/SUM(SUMIFS('Key inputs_Refineries'!AA$85:AA$164,'Key inputs_Refineries'!$C$85:$C$164,$C139:$C148,'Key inputs_Refineries'!$B$85:$B$164,"Boiler"))&gt;0,SUMIFS('Key inputs_Refineries'!AA$85:AA$164,'Key inputs_Refineries'!$C$85:$C$164,$C145,'Key inputs_Refineries'!$B$85:$B$164,"Boiler")/SUM(SUMIFS('Key inputs_Refineries'!AA$85:AA$164,'Key inputs_Refineries'!$C$85:$C$164,$C139:$C148,'Key inputs_Refineries'!$B$85:$B$164,"Boiler"))&lt;0.001),0.001,SUMIFS('Key inputs_Refineries'!AA$85:AA$164,'Key inputs_Refineries'!$C$85:$C$164,$C145,'Key inputs_Refineries'!$B$85:$B$164,"Boiler")/SUM(SUMIFS('Key inputs_Refineries'!AA$85:AA$164,'Key inputs_Refineries'!$C$85:$C$164,$C139:$C148,'Key inputs_Refineries'!$B$85:$B$164,"Boiler"))),0)</f>
        <v>0.14701351118428413</v>
      </c>
      <c r="AH145" s="173" cm="1">
        <f t="array" ref="AH145">IFERROR(IF(AND(SUMIFS('Key inputs_Refineries'!AB$85:AB$164,'Key inputs_Refineries'!$C$85:$C$164,$C145,'Key inputs_Refineries'!$B$85:$B$164,"Boiler")/SUM(SUMIFS('Key inputs_Refineries'!AB$85:AB$164,'Key inputs_Refineries'!$C$85:$C$164,$C139:$C148,'Key inputs_Refineries'!$B$85:$B$164,"Boiler"))&gt;0,SUMIFS('Key inputs_Refineries'!AB$85:AB$164,'Key inputs_Refineries'!$C$85:$C$164,$C145,'Key inputs_Refineries'!$B$85:$B$164,"Boiler")/SUM(SUMIFS('Key inputs_Refineries'!AB$85:AB$164,'Key inputs_Refineries'!$C$85:$C$164,$C139:$C148,'Key inputs_Refineries'!$B$85:$B$164,"Boiler"))&lt;0.001),0.001,SUMIFS('Key inputs_Refineries'!AB$85:AB$164,'Key inputs_Refineries'!$C$85:$C$164,$C145,'Key inputs_Refineries'!$B$85:$B$164,"Boiler")/SUM(SUMIFS('Key inputs_Refineries'!AB$85:AB$164,'Key inputs_Refineries'!$C$85:$C$164,$C139:$C148,'Key inputs_Refineries'!$B$85:$B$164,"Boiler"))),0)</f>
        <v>0</v>
      </c>
      <c r="AI145" s="173" cm="1">
        <f t="array" ref="AI145">IFERROR(IF(AND(SUMIFS('Key inputs_Refineries'!AC$85:AC$164,'Key inputs_Refineries'!$C$85:$C$164,$C145,'Key inputs_Refineries'!$B$85:$B$164,"Boiler")/SUM(SUMIFS('Key inputs_Refineries'!AC$85:AC$164,'Key inputs_Refineries'!$C$85:$C$164,$C139:$C148,'Key inputs_Refineries'!$B$85:$B$164,"Boiler"))&gt;0,SUMIFS('Key inputs_Refineries'!AC$85:AC$164,'Key inputs_Refineries'!$C$85:$C$164,$C145,'Key inputs_Refineries'!$B$85:$B$164,"Boiler")/SUM(SUMIFS('Key inputs_Refineries'!AC$85:AC$164,'Key inputs_Refineries'!$C$85:$C$164,$C139:$C148,'Key inputs_Refineries'!$B$85:$B$164,"Boiler"))&lt;0.001),0.001,SUMIFS('Key inputs_Refineries'!AC$85:AC$164,'Key inputs_Refineries'!$C$85:$C$164,$C145,'Key inputs_Refineries'!$B$85:$B$164,"Boiler")/SUM(SUMIFS('Key inputs_Refineries'!AC$85:AC$164,'Key inputs_Refineries'!$C$85:$C$164,$C139:$C148,'Key inputs_Refineries'!$B$85:$B$164,"Boiler"))),0)</f>
        <v>8.2300446207238476E-2</v>
      </c>
      <c r="AJ145" s="173" cm="1">
        <f t="array" ref="AJ145">IFERROR(IF(AND(SUMIFS('Key inputs_Refineries'!AD$85:AD$164,'Key inputs_Refineries'!$C$85:$C$164,$C145,'Key inputs_Refineries'!$B$85:$B$164,"Boiler")/SUM(SUMIFS('Key inputs_Refineries'!AD$85:AD$164,'Key inputs_Refineries'!$C$85:$C$164,$C139:$C148,'Key inputs_Refineries'!$B$85:$B$164,"Boiler"))&gt;0,SUMIFS('Key inputs_Refineries'!AD$85:AD$164,'Key inputs_Refineries'!$C$85:$C$164,$C145,'Key inputs_Refineries'!$B$85:$B$164,"Boiler")/SUM(SUMIFS('Key inputs_Refineries'!AD$85:AD$164,'Key inputs_Refineries'!$C$85:$C$164,$C139:$C148,'Key inputs_Refineries'!$B$85:$B$164,"Boiler"))&lt;0.001),0.001,SUMIFS('Key inputs_Refineries'!AD$85:AD$164,'Key inputs_Refineries'!$C$85:$C$164,$C145,'Key inputs_Refineries'!$B$85:$B$164,"Boiler")/SUM(SUMIFS('Key inputs_Refineries'!AD$85:AD$164,'Key inputs_Refineries'!$C$85:$C$164,$C139:$C148,'Key inputs_Refineries'!$B$85:$B$164,"Boiler"))),0)</f>
        <v>0</v>
      </c>
      <c r="AK145" s="173" cm="1">
        <f t="array" ref="AK145">IFERROR(IF(AND(SUMIFS('Key inputs_Refineries'!AE$85:AE$164,'Key inputs_Refineries'!$C$85:$C$164,$C145,'Key inputs_Refineries'!$B$85:$B$164,"Boiler")/SUM(SUMIFS('Key inputs_Refineries'!AE$85:AE$164,'Key inputs_Refineries'!$C$85:$C$164,$C139:$C148,'Key inputs_Refineries'!$B$85:$B$164,"Boiler"))&gt;0,SUMIFS('Key inputs_Refineries'!AE$85:AE$164,'Key inputs_Refineries'!$C$85:$C$164,$C145,'Key inputs_Refineries'!$B$85:$B$164,"Boiler")/SUM(SUMIFS('Key inputs_Refineries'!AE$85:AE$164,'Key inputs_Refineries'!$C$85:$C$164,$C139:$C148,'Key inputs_Refineries'!$B$85:$B$164,"Boiler"))&lt;0.001),0.001,SUMIFS('Key inputs_Refineries'!AE$85:AE$164,'Key inputs_Refineries'!$C$85:$C$164,$C145,'Key inputs_Refineries'!$B$85:$B$164,"Boiler")/SUM(SUMIFS('Key inputs_Refineries'!AE$85:AE$164,'Key inputs_Refineries'!$C$85:$C$164,$C139:$C148,'Key inputs_Refineries'!$B$85:$B$164,"Boiler"))),0)</f>
        <v>0.19642918031687168</v>
      </c>
      <c r="AL145" s="173" cm="1">
        <f t="array" ref="AL145">IFERROR(IF(AND(SUMIFS('Key inputs_Refineries'!AF$85:AF$164,'Key inputs_Refineries'!$C$85:$C$164,$C145,'Key inputs_Refineries'!$B$85:$B$164,"Boiler")/SUM(SUMIFS('Key inputs_Refineries'!AF$85:AF$164,'Key inputs_Refineries'!$C$85:$C$164,$C139:$C148,'Key inputs_Refineries'!$B$85:$B$164,"Boiler"))&gt;0,SUMIFS('Key inputs_Refineries'!AF$85:AF$164,'Key inputs_Refineries'!$C$85:$C$164,$C145,'Key inputs_Refineries'!$B$85:$B$164,"Boiler")/SUM(SUMIFS('Key inputs_Refineries'!AF$85:AF$164,'Key inputs_Refineries'!$C$85:$C$164,$C139:$C148,'Key inputs_Refineries'!$B$85:$B$164,"Boiler"))&lt;0.001),0.001,SUMIFS('Key inputs_Refineries'!AF$85:AF$164,'Key inputs_Refineries'!$C$85:$C$164,$C145,'Key inputs_Refineries'!$B$85:$B$164,"Boiler")/SUM(SUMIFS('Key inputs_Refineries'!AF$85:AF$164,'Key inputs_Refineries'!$C$85:$C$164,$C139:$C148,'Key inputs_Refineries'!$B$85:$B$164,"Boiler"))),0)</f>
        <v>3.7520915854909229E-2</v>
      </c>
    </row>
    <row r="146" spans="1:38">
      <c r="C146" t="str">
        <f>Commodities!$C$98</f>
        <v>UPSNAP</v>
      </c>
      <c r="G146" s="4" t="s">
        <v>702</v>
      </c>
      <c r="H146" t="s">
        <v>661</v>
      </c>
      <c r="I146">
        <v>2019</v>
      </c>
      <c r="J146" t="s">
        <v>650</v>
      </c>
      <c r="K146" s="173" cm="1">
        <f t="array" ref="K146">IFERROR(IF(AND(SUMIFS('Key inputs_Refineries'!E$85:E$164,'Key inputs_Refineries'!$C$85:$C$164,$C146,'Key inputs_Refineries'!$B$85:$B$164,"Boiler")/SUM(SUMIFS('Key inputs_Refineries'!E$85:E$164,'Key inputs_Refineries'!$C$85:$C$164,$C139:$C148,'Key inputs_Refineries'!$B$85:$B$164,"Boiler"))&gt;0,SUMIFS('Key inputs_Refineries'!E$85:E$164,'Key inputs_Refineries'!$C$85:$C$164,$C146,'Key inputs_Refineries'!$B$85:$B$164,"Boiler")/SUM(SUMIFS('Key inputs_Refineries'!E$85:E$164,'Key inputs_Refineries'!$C$85:$C$164,$C139:$C148,'Key inputs_Refineries'!$B$85:$B$164,"Boiler"))&lt;0.001),0.001,SUMIFS('Key inputs_Refineries'!E$85:E$164,'Key inputs_Refineries'!$C$85:$C$164,$C146,'Key inputs_Refineries'!$B$85:$B$164,"Boiler")/SUM(SUMIFS('Key inputs_Refineries'!E$85:E$164,'Key inputs_Refineries'!$C$85:$C$164,$C139:$C148,'Key inputs_Refineries'!$B$85:$B$164,"Boiler"))),0)</f>
        <v>0</v>
      </c>
      <c r="L146" s="173" cm="1">
        <f t="array" ref="L146">IFERROR(IF(AND(SUMIFS('Key inputs_Refineries'!F$85:F$164,'Key inputs_Refineries'!$C$85:$C$164,$C146,'Key inputs_Refineries'!$B$85:$B$164,"Boiler")/SUM(SUMIFS('Key inputs_Refineries'!F$85:F$164,'Key inputs_Refineries'!$C$85:$C$164,$C139:$C148,'Key inputs_Refineries'!$B$85:$B$164,"Boiler"))&gt;0,SUMIFS('Key inputs_Refineries'!F$85:F$164,'Key inputs_Refineries'!$C$85:$C$164,$C146,'Key inputs_Refineries'!$B$85:$B$164,"Boiler")/SUM(SUMIFS('Key inputs_Refineries'!F$85:F$164,'Key inputs_Refineries'!$C$85:$C$164,$C139:$C148,'Key inputs_Refineries'!$B$85:$B$164,"Boiler"))&lt;0.001),0.001,SUMIFS('Key inputs_Refineries'!F$85:F$164,'Key inputs_Refineries'!$C$85:$C$164,$C146,'Key inputs_Refineries'!$B$85:$B$164,"Boiler")/SUM(SUMIFS('Key inputs_Refineries'!F$85:F$164,'Key inputs_Refineries'!$C$85:$C$164,$C139:$C148,'Key inputs_Refineries'!$B$85:$B$164,"Boiler"))),0)</f>
        <v>0</v>
      </c>
      <c r="M146" s="173" cm="1">
        <f t="array" ref="M146">IFERROR(IF(AND(SUMIFS('Key inputs_Refineries'!G$85:G$164,'Key inputs_Refineries'!$C$85:$C$164,$C146,'Key inputs_Refineries'!$B$85:$B$164,"Boiler")/SUM(SUMIFS('Key inputs_Refineries'!G$85:G$164,'Key inputs_Refineries'!$C$85:$C$164,$C139:$C148,'Key inputs_Refineries'!$B$85:$B$164,"Boiler"))&gt;0,SUMIFS('Key inputs_Refineries'!G$85:G$164,'Key inputs_Refineries'!$C$85:$C$164,$C146,'Key inputs_Refineries'!$B$85:$B$164,"Boiler")/SUM(SUMIFS('Key inputs_Refineries'!G$85:G$164,'Key inputs_Refineries'!$C$85:$C$164,$C139:$C148,'Key inputs_Refineries'!$B$85:$B$164,"Boiler"))&lt;0.001),0.001,SUMIFS('Key inputs_Refineries'!G$85:G$164,'Key inputs_Refineries'!$C$85:$C$164,$C146,'Key inputs_Refineries'!$B$85:$B$164,"Boiler")/SUM(SUMIFS('Key inputs_Refineries'!G$85:G$164,'Key inputs_Refineries'!$C$85:$C$164,$C139:$C148,'Key inputs_Refineries'!$B$85:$B$164,"Boiler"))),0)</f>
        <v>0</v>
      </c>
      <c r="N146" s="173" cm="1">
        <f t="array" ref="N146">IFERROR(IF(AND(SUMIFS('Key inputs_Refineries'!H$85:H$164,'Key inputs_Refineries'!$C$85:$C$164,$C146,'Key inputs_Refineries'!$B$85:$B$164,"Boiler")/SUM(SUMIFS('Key inputs_Refineries'!H$85:H$164,'Key inputs_Refineries'!$C$85:$C$164,$C139:$C148,'Key inputs_Refineries'!$B$85:$B$164,"Boiler"))&gt;0,SUMIFS('Key inputs_Refineries'!H$85:H$164,'Key inputs_Refineries'!$C$85:$C$164,$C146,'Key inputs_Refineries'!$B$85:$B$164,"Boiler")/SUM(SUMIFS('Key inputs_Refineries'!H$85:H$164,'Key inputs_Refineries'!$C$85:$C$164,$C139:$C148,'Key inputs_Refineries'!$B$85:$B$164,"Boiler"))&lt;0.001),0.001,SUMIFS('Key inputs_Refineries'!H$85:H$164,'Key inputs_Refineries'!$C$85:$C$164,$C146,'Key inputs_Refineries'!$B$85:$B$164,"Boiler")/SUM(SUMIFS('Key inputs_Refineries'!H$85:H$164,'Key inputs_Refineries'!$C$85:$C$164,$C139:$C148,'Key inputs_Refineries'!$B$85:$B$164,"Boiler"))),0)</f>
        <v>0</v>
      </c>
      <c r="O146" s="173" cm="1">
        <f t="array" ref="O146">IFERROR(IF(AND(SUMIFS('Key inputs_Refineries'!I$85:I$164,'Key inputs_Refineries'!$C$85:$C$164,$C146,'Key inputs_Refineries'!$B$85:$B$164,"Boiler")/SUM(SUMIFS('Key inputs_Refineries'!I$85:I$164,'Key inputs_Refineries'!$C$85:$C$164,$C139:$C148,'Key inputs_Refineries'!$B$85:$B$164,"Boiler"))&gt;0,SUMIFS('Key inputs_Refineries'!I$85:I$164,'Key inputs_Refineries'!$C$85:$C$164,$C146,'Key inputs_Refineries'!$B$85:$B$164,"Boiler")/SUM(SUMIFS('Key inputs_Refineries'!I$85:I$164,'Key inputs_Refineries'!$C$85:$C$164,$C139:$C148,'Key inputs_Refineries'!$B$85:$B$164,"Boiler"))&lt;0.001),0.001,SUMIFS('Key inputs_Refineries'!I$85:I$164,'Key inputs_Refineries'!$C$85:$C$164,$C146,'Key inputs_Refineries'!$B$85:$B$164,"Boiler")/SUM(SUMIFS('Key inputs_Refineries'!I$85:I$164,'Key inputs_Refineries'!$C$85:$C$164,$C139:$C148,'Key inputs_Refineries'!$B$85:$B$164,"Boiler"))),0)</f>
        <v>0</v>
      </c>
      <c r="P146" s="173" cm="1">
        <f t="array" ref="P146">IFERROR(IF(AND(SUMIFS('Key inputs_Refineries'!J$85:J$164,'Key inputs_Refineries'!$C$85:$C$164,$C146,'Key inputs_Refineries'!$B$85:$B$164,"Boiler")/SUM(SUMIFS('Key inputs_Refineries'!J$85:J$164,'Key inputs_Refineries'!$C$85:$C$164,$C139:$C148,'Key inputs_Refineries'!$B$85:$B$164,"Boiler"))&gt;0,SUMIFS('Key inputs_Refineries'!J$85:J$164,'Key inputs_Refineries'!$C$85:$C$164,$C146,'Key inputs_Refineries'!$B$85:$B$164,"Boiler")/SUM(SUMIFS('Key inputs_Refineries'!J$85:J$164,'Key inputs_Refineries'!$C$85:$C$164,$C139:$C148,'Key inputs_Refineries'!$B$85:$B$164,"Boiler"))&lt;0.001),0.001,SUMIFS('Key inputs_Refineries'!J$85:J$164,'Key inputs_Refineries'!$C$85:$C$164,$C146,'Key inputs_Refineries'!$B$85:$B$164,"Boiler")/SUM(SUMIFS('Key inputs_Refineries'!J$85:J$164,'Key inputs_Refineries'!$C$85:$C$164,$C139:$C148,'Key inputs_Refineries'!$B$85:$B$164,"Boiler"))),0)</f>
        <v>0</v>
      </c>
      <c r="Q146" s="173" cm="1">
        <f t="array" ref="Q146">IFERROR(IF(AND(SUMIFS('Key inputs_Refineries'!K$85:K$164,'Key inputs_Refineries'!$C$85:$C$164,$C146,'Key inputs_Refineries'!$B$85:$B$164,"Boiler")/SUM(SUMIFS('Key inputs_Refineries'!K$85:K$164,'Key inputs_Refineries'!$C$85:$C$164,$C139:$C148,'Key inputs_Refineries'!$B$85:$B$164,"Boiler"))&gt;0,SUMIFS('Key inputs_Refineries'!K$85:K$164,'Key inputs_Refineries'!$C$85:$C$164,$C146,'Key inputs_Refineries'!$B$85:$B$164,"Boiler")/SUM(SUMIFS('Key inputs_Refineries'!K$85:K$164,'Key inputs_Refineries'!$C$85:$C$164,$C139:$C148,'Key inputs_Refineries'!$B$85:$B$164,"Boiler"))&lt;0.001),0.001,SUMIFS('Key inputs_Refineries'!K$85:K$164,'Key inputs_Refineries'!$C$85:$C$164,$C146,'Key inputs_Refineries'!$B$85:$B$164,"Boiler")/SUM(SUMIFS('Key inputs_Refineries'!K$85:K$164,'Key inputs_Refineries'!$C$85:$C$164,$C139:$C148,'Key inputs_Refineries'!$B$85:$B$164,"Boiler"))),0)</f>
        <v>0</v>
      </c>
      <c r="R146" s="173" cm="1">
        <f t="array" ref="R146">IFERROR(IF(AND(SUMIFS('Key inputs_Refineries'!L$85:L$164,'Key inputs_Refineries'!$C$85:$C$164,$C146,'Key inputs_Refineries'!$B$85:$B$164,"Boiler")/SUM(SUMIFS('Key inputs_Refineries'!L$85:L$164,'Key inputs_Refineries'!$C$85:$C$164,$C139:$C148,'Key inputs_Refineries'!$B$85:$B$164,"Boiler"))&gt;0,SUMIFS('Key inputs_Refineries'!L$85:L$164,'Key inputs_Refineries'!$C$85:$C$164,$C146,'Key inputs_Refineries'!$B$85:$B$164,"Boiler")/SUM(SUMIFS('Key inputs_Refineries'!L$85:L$164,'Key inputs_Refineries'!$C$85:$C$164,$C139:$C148,'Key inputs_Refineries'!$B$85:$B$164,"Boiler"))&lt;0.001),0.001,SUMIFS('Key inputs_Refineries'!L$85:L$164,'Key inputs_Refineries'!$C$85:$C$164,$C146,'Key inputs_Refineries'!$B$85:$B$164,"Boiler")/SUM(SUMIFS('Key inputs_Refineries'!L$85:L$164,'Key inputs_Refineries'!$C$85:$C$164,$C139:$C148,'Key inputs_Refineries'!$B$85:$B$164,"Boiler"))),0)</f>
        <v>0</v>
      </c>
      <c r="S146" s="173" cm="1">
        <f t="array" ref="S146">IFERROR(IF(AND(SUMIFS('Key inputs_Refineries'!M$85:M$164,'Key inputs_Refineries'!$C$85:$C$164,$C146,'Key inputs_Refineries'!$B$85:$B$164,"Boiler")/SUM(SUMIFS('Key inputs_Refineries'!M$85:M$164,'Key inputs_Refineries'!$C$85:$C$164,$C139:$C148,'Key inputs_Refineries'!$B$85:$B$164,"Boiler"))&gt;0,SUMIFS('Key inputs_Refineries'!M$85:M$164,'Key inputs_Refineries'!$C$85:$C$164,$C146,'Key inputs_Refineries'!$B$85:$B$164,"Boiler")/SUM(SUMIFS('Key inputs_Refineries'!M$85:M$164,'Key inputs_Refineries'!$C$85:$C$164,$C139:$C148,'Key inputs_Refineries'!$B$85:$B$164,"Boiler"))&lt;0.001),0.001,SUMIFS('Key inputs_Refineries'!M$85:M$164,'Key inputs_Refineries'!$C$85:$C$164,$C146,'Key inputs_Refineries'!$B$85:$B$164,"Boiler")/SUM(SUMIFS('Key inputs_Refineries'!M$85:M$164,'Key inputs_Refineries'!$C$85:$C$164,$C139:$C148,'Key inputs_Refineries'!$B$85:$B$164,"Boiler"))),0)</f>
        <v>0</v>
      </c>
      <c r="T146" s="173" cm="1">
        <f t="array" ref="T146">IFERROR(IF(AND(SUMIFS('Key inputs_Refineries'!N$85:N$164,'Key inputs_Refineries'!$C$85:$C$164,$C146,'Key inputs_Refineries'!$B$85:$B$164,"Boiler")/SUM(SUMIFS('Key inputs_Refineries'!N$85:N$164,'Key inputs_Refineries'!$C$85:$C$164,$C139:$C148,'Key inputs_Refineries'!$B$85:$B$164,"Boiler"))&gt;0,SUMIFS('Key inputs_Refineries'!N$85:N$164,'Key inputs_Refineries'!$C$85:$C$164,$C146,'Key inputs_Refineries'!$B$85:$B$164,"Boiler")/SUM(SUMIFS('Key inputs_Refineries'!N$85:N$164,'Key inputs_Refineries'!$C$85:$C$164,$C139:$C148,'Key inputs_Refineries'!$B$85:$B$164,"Boiler"))&lt;0.001),0.001,SUMIFS('Key inputs_Refineries'!N$85:N$164,'Key inputs_Refineries'!$C$85:$C$164,$C146,'Key inputs_Refineries'!$B$85:$B$164,"Boiler")/SUM(SUMIFS('Key inputs_Refineries'!N$85:N$164,'Key inputs_Refineries'!$C$85:$C$164,$C139:$C148,'Key inputs_Refineries'!$B$85:$B$164,"Boiler"))),0)</f>
        <v>0</v>
      </c>
      <c r="U146" s="173" cm="1">
        <f t="array" ref="U146">IFERROR(IF(AND(SUMIFS('Key inputs_Refineries'!O$85:O$164,'Key inputs_Refineries'!$C$85:$C$164,$C146,'Key inputs_Refineries'!$B$85:$B$164,"Boiler")/SUM(SUMIFS('Key inputs_Refineries'!O$85:O$164,'Key inputs_Refineries'!$C$85:$C$164,$C139:$C148,'Key inputs_Refineries'!$B$85:$B$164,"Boiler"))&gt;0,SUMIFS('Key inputs_Refineries'!O$85:O$164,'Key inputs_Refineries'!$C$85:$C$164,$C146,'Key inputs_Refineries'!$B$85:$B$164,"Boiler")/SUM(SUMIFS('Key inputs_Refineries'!O$85:O$164,'Key inputs_Refineries'!$C$85:$C$164,$C139:$C148,'Key inputs_Refineries'!$B$85:$B$164,"Boiler"))&lt;0.001),0.001,SUMIFS('Key inputs_Refineries'!O$85:O$164,'Key inputs_Refineries'!$C$85:$C$164,$C146,'Key inputs_Refineries'!$B$85:$B$164,"Boiler")/SUM(SUMIFS('Key inputs_Refineries'!O$85:O$164,'Key inputs_Refineries'!$C$85:$C$164,$C139:$C148,'Key inputs_Refineries'!$B$85:$B$164,"Boiler"))),0)</f>
        <v>0</v>
      </c>
      <c r="V146" s="173" cm="1">
        <f t="array" ref="V146">IFERROR(IF(AND(SUMIFS('Key inputs_Refineries'!P$85:P$164,'Key inputs_Refineries'!$C$85:$C$164,$C146,'Key inputs_Refineries'!$B$85:$B$164,"Boiler")/SUM(SUMIFS('Key inputs_Refineries'!P$85:P$164,'Key inputs_Refineries'!$C$85:$C$164,$C139:$C148,'Key inputs_Refineries'!$B$85:$B$164,"Boiler"))&gt;0,SUMIFS('Key inputs_Refineries'!P$85:P$164,'Key inputs_Refineries'!$C$85:$C$164,$C146,'Key inputs_Refineries'!$B$85:$B$164,"Boiler")/SUM(SUMIFS('Key inputs_Refineries'!P$85:P$164,'Key inputs_Refineries'!$C$85:$C$164,$C139:$C148,'Key inputs_Refineries'!$B$85:$B$164,"Boiler"))&lt;0.001),0.001,SUMIFS('Key inputs_Refineries'!P$85:P$164,'Key inputs_Refineries'!$C$85:$C$164,$C146,'Key inputs_Refineries'!$B$85:$B$164,"Boiler")/SUM(SUMIFS('Key inputs_Refineries'!P$85:P$164,'Key inputs_Refineries'!$C$85:$C$164,$C139:$C148,'Key inputs_Refineries'!$B$85:$B$164,"Boiler"))),0)</f>
        <v>8.1634477464035786E-3</v>
      </c>
      <c r="W146" s="173" cm="1">
        <f t="array" ref="W146">IFERROR(IF(AND(SUMIFS('Key inputs_Refineries'!Q$85:Q$164,'Key inputs_Refineries'!$C$85:$C$164,$C146,'Key inputs_Refineries'!$B$85:$B$164,"Boiler")/SUM(SUMIFS('Key inputs_Refineries'!Q$85:Q$164,'Key inputs_Refineries'!$C$85:$C$164,$C139:$C148,'Key inputs_Refineries'!$B$85:$B$164,"Boiler"))&gt;0,SUMIFS('Key inputs_Refineries'!Q$85:Q$164,'Key inputs_Refineries'!$C$85:$C$164,$C146,'Key inputs_Refineries'!$B$85:$B$164,"Boiler")/SUM(SUMIFS('Key inputs_Refineries'!Q$85:Q$164,'Key inputs_Refineries'!$C$85:$C$164,$C139:$C148,'Key inputs_Refineries'!$B$85:$B$164,"Boiler"))&lt;0.001),0.001,SUMIFS('Key inputs_Refineries'!Q$85:Q$164,'Key inputs_Refineries'!$C$85:$C$164,$C146,'Key inputs_Refineries'!$B$85:$B$164,"Boiler")/SUM(SUMIFS('Key inputs_Refineries'!Q$85:Q$164,'Key inputs_Refineries'!$C$85:$C$164,$C139:$C148,'Key inputs_Refineries'!$B$85:$B$164,"Boiler"))),0)</f>
        <v>0</v>
      </c>
      <c r="X146" s="173" cm="1">
        <f t="array" ref="X146">IFERROR(IF(AND(SUMIFS('Key inputs_Refineries'!R$85:R$164,'Key inputs_Refineries'!$C$85:$C$164,$C146,'Key inputs_Refineries'!$B$85:$B$164,"Boiler")/SUM(SUMIFS('Key inputs_Refineries'!R$85:R$164,'Key inputs_Refineries'!$C$85:$C$164,$C139:$C148,'Key inputs_Refineries'!$B$85:$B$164,"Boiler"))&gt;0,SUMIFS('Key inputs_Refineries'!R$85:R$164,'Key inputs_Refineries'!$C$85:$C$164,$C146,'Key inputs_Refineries'!$B$85:$B$164,"Boiler")/SUM(SUMIFS('Key inputs_Refineries'!R$85:R$164,'Key inputs_Refineries'!$C$85:$C$164,$C139:$C148,'Key inputs_Refineries'!$B$85:$B$164,"Boiler"))&lt;0.001),0.001,SUMIFS('Key inputs_Refineries'!R$85:R$164,'Key inputs_Refineries'!$C$85:$C$164,$C146,'Key inputs_Refineries'!$B$85:$B$164,"Boiler")/SUM(SUMIFS('Key inputs_Refineries'!R$85:R$164,'Key inputs_Refineries'!$C$85:$C$164,$C139:$C148,'Key inputs_Refineries'!$B$85:$B$164,"Boiler"))),0)</f>
        <v>0</v>
      </c>
      <c r="Y146" s="173" cm="1">
        <f t="array" ref="Y146">IFERROR(IF(AND(SUMIFS('Key inputs_Refineries'!S$85:S$164,'Key inputs_Refineries'!$C$85:$C$164,$C146,'Key inputs_Refineries'!$B$85:$B$164,"Boiler")/SUM(SUMIFS('Key inputs_Refineries'!S$85:S$164,'Key inputs_Refineries'!$C$85:$C$164,$C139:$C148,'Key inputs_Refineries'!$B$85:$B$164,"Boiler"))&gt;0,SUMIFS('Key inputs_Refineries'!S$85:S$164,'Key inputs_Refineries'!$C$85:$C$164,$C146,'Key inputs_Refineries'!$B$85:$B$164,"Boiler")/SUM(SUMIFS('Key inputs_Refineries'!S$85:S$164,'Key inputs_Refineries'!$C$85:$C$164,$C139:$C148,'Key inputs_Refineries'!$B$85:$B$164,"Boiler"))&lt;0.001),0.001,SUMIFS('Key inputs_Refineries'!S$85:S$164,'Key inputs_Refineries'!$C$85:$C$164,$C146,'Key inputs_Refineries'!$B$85:$B$164,"Boiler")/SUM(SUMIFS('Key inputs_Refineries'!S$85:S$164,'Key inputs_Refineries'!$C$85:$C$164,$C139:$C148,'Key inputs_Refineries'!$B$85:$B$164,"Boiler"))),0)</f>
        <v>0</v>
      </c>
      <c r="Z146" s="173" cm="1">
        <f t="array" ref="Z146">IFERROR(IF(AND(SUMIFS('Key inputs_Refineries'!T$85:T$164,'Key inputs_Refineries'!$C$85:$C$164,$C146,'Key inputs_Refineries'!$B$85:$B$164,"Boiler")/SUM(SUMIFS('Key inputs_Refineries'!T$85:T$164,'Key inputs_Refineries'!$C$85:$C$164,$C139:$C148,'Key inputs_Refineries'!$B$85:$B$164,"Boiler"))&gt;0,SUMIFS('Key inputs_Refineries'!T$85:T$164,'Key inputs_Refineries'!$C$85:$C$164,$C146,'Key inputs_Refineries'!$B$85:$B$164,"Boiler")/SUM(SUMIFS('Key inputs_Refineries'!T$85:T$164,'Key inputs_Refineries'!$C$85:$C$164,$C139:$C148,'Key inputs_Refineries'!$B$85:$B$164,"Boiler"))&lt;0.001),0.001,SUMIFS('Key inputs_Refineries'!T$85:T$164,'Key inputs_Refineries'!$C$85:$C$164,$C146,'Key inputs_Refineries'!$B$85:$B$164,"Boiler")/SUM(SUMIFS('Key inputs_Refineries'!T$85:T$164,'Key inputs_Refineries'!$C$85:$C$164,$C139:$C148,'Key inputs_Refineries'!$B$85:$B$164,"Boiler"))),0)</f>
        <v>0</v>
      </c>
      <c r="AA146" s="173" cm="1">
        <f t="array" ref="AA146">IFERROR(IF(AND(SUMIFS('Key inputs_Refineries'!U$85:U$164,'Key inputs_Refineries'!$C$85:$C$164,$C146,'Key inputs_Refineries'!$B$85:$B$164,"Boiler")/SUM(SUMIFS('Key inputs_Refineries'!U$85:U$164,'Key inputs_Refineries'!$C$85:$C$164,$C139:$C148,'Key inputs_Refineries'!$B$85:$B$164,"Boiler"))&gt;0,SUMIFS('Key inputs_Refineries'!U$85:U$164,'Key inputs_Refineries'!$C$85:$C$164,$C146,'Key inputs_Refineries'!$B$85:$B$164,"Boiler")/SUM(SUMIFS('Key inputs_Refineries'!U$85:U$164,'Key inputs_Refineries'!$C$85:$C$164,$C139:$C148,'Key inputs_Refineries'!$B$85:$B$164,"Boiler"))&lt;0.001),0.001,SUMIFS('Key inputs_Refineries'!U$85:U$164,'Key inputs_Refineries'!$C$85:$C$164,$C146,'Key inputs_Refineries'!$B$85:$B$164,"Boiler")/SUM(SUMIFS('Key inputs_Refineries'!U$85:U$164,'Key inputs_Refineries'!$C$85:$C$164,$C139:$C148,'Key inputs_Refineries'!$B$85:$B$164,"Boiler"))),0)</f>
        <v>0</v>
      </c>
      <c r="AB146" s="173" cm="1">
        <f t="array" ref="AB146">IFERROR(IF(AND(SUMIFS('Key inputs_Refineries'!V$85:V$164,'Key inputs_Refineries'!$C$85:$C$164,$C146,'Key inputs_Refineries'!$B$85:$B$164,"Boiler")/SUM(SUMIFS('Key inputs_Refineries'!V$85:V$164,'Key inputs_Refineries'!$C$85:$C$164,$C139:$C148,'Key inputs_Refineries'!$B$85:$B$164,"Boiler"))&gt;0,SUMIFS('Key inputs_Refineries'!V$85:V$164,'Key inputs_Refineries'!$C$85:$C$164,$C146,'Key inputs_Refineries'!$B$85:$B$164,"Boiler")/SUM(SUMIFS('Key inputs_Refineries'!V$85:V$164,'Key inputs_Refineries'!$C$85:$C$164,$C139:$C148,'Key inputs_Refineries'!$B$85:$B$164,"Boiler"))&lt;0.001),0.001,SUMIFS('Key inputs_Refineries'!V$85:V$164,'Key inputs_Refineries'!$C$85:$C$164,$C146,'Key inputs_Refineries'!$B$85:$B$164,"Boiler")/SUM(SUMIFS('Key inputs_Refineries'!V$85:V$164,'Key inputs_Refineries'!$C$85:$C$164,$C139:$C148,'Key inputs_Refineries'!$B$85:$B$164,"Boiler"))),0)</f>
        <v>0</v>
      </c>
      <c r="AC146" s="173" cm="1">
        <f t="array" ref="AC146">IFERROR(IF(AND(SUMIFS('Key inputs_Refineries'!W$85:W$164,'Key inputs_Refineries'!$C$85:$C$164,$C146,'Key inputs_Refineries'!$B$85:$B$164,"Boiler")/SUM(SUMIFS('Key inputs_Refineries'!W$85:W$164,'Key inputs_Refineries'!$C$85:$C$164,$C139:$C148,'Key inputs_Refineries'!$B$85:$B$164,"Boiler"))&gt;0,SUMIFS('Key inputs_Refineries'!W$85:W$164,'Key inputs_Refineries'!$C$85:$C$164,$C146,'Key inputs_Refineries'!$B$85:$B$164,"Boiler")/SUM(SUMIFS('Key inputs_Refineries'!W$85:W$164,'Key inputs_Refineries'!$C$85:$C$164,$C139:$C148,'Key inputs_Refineries'!$B$85:$B$164,"Boiler"))&lt;0.001),0.001,SUMIFS('Key inputs_Refineries'!W$85:W$164,'Key inputs_Refineries'!$C$85:$C$164,$C146,'Key inputs_Refineries'!$B$85:$B$164,"Boiler")/SUM(SUMIFS('Key inputs_Refineries'!W$85:W$164,'Key inputs_Refineries'!$C$85:$C$164,$C139:$C148,'Key inputs_Refineries'!$B$85:$B$164,"Boiler"))),0)</f>
        <v>0</v>
      </c>
      <c r="AD146" s="173" cm="1">
        <f t="array" ref="AD146">IFERROR(IF(AND(SUMIFS('Key inputs_Refineries'!X$85:X$164,'Key inputs_Refineries'!$C$85:$C$164,$C146,'Key inputs_Refineries'!$B$85:$B$164,"Boiler")/SUM(SUMIFS('Key inputs_Refineries'!X$85:X$164,'Key inputs_Refineries'!$C$85:$C$164,$C139:$C148,'Key inputs_Refineries'!$B$85:$B$164,"Boiler"))&gt;0,SUMIFS('Key inputs_Refineries'!X$85:X$164,'Key inputs_Refineries'!$C$85:$C$164,$C146,'Key inputs_Refineries'!$B$85:$B$164,"Boiler")/SUM(SUMIFS('Key inputs_Refineries'!X$85:X$164,'Key inputs_Refineries'!$C$85:$C$164,$C139:$C148,'Key inputs_Refineries'!$B$85:$B$164,"Boiler"))&lt;0.001),0.001,SUMIFS('Key inputs_Refineries'!X$85:X$164,'Key inputs_Refineries'!$C$85:$C$164,$C146,'Key inputs_Refineries'!$B$85:$B$164,"Boiler")/SUM(SUMIFS('Key inputs_Refineries'!X$85:X$164,'Key inputs_Refineries'!$C$85:$C$164,$C139:$C148,'Key inputs_Refineries'!$B$85:$B$164,"Boiler"))),0)</f>
        <v>4.2432215423606054E-3</v>
      </c>
      <c r="AE146" s="173" cm="1">
        <f t="array" ref="AE146">IFERROR(IF(AND(SUMIFS('Key inputs_Refineries'!Y$85:Y$164,'Key inputs_Refineries'!$C$85:$C$164,$C146,'Key inputs_Refineries'!$B$85:$B$164,"Boiler")/SUM(SUMIFS('Key inputs_Refineries'!Y$85:Y$164,'Key inputs_Refineries'!$C$85:$C$164,$C139:$C148,'Key inputs_Refineries'!$B$85:$B$164,"Boiler"))&gt;0,SUMIFS('Key inputs_Refineries'!Y$85:Y$164,'Key inputs_Refineries'!$C$85:$C$164,$C146,'Key inputs_Refineries'!$B$85:$B$164,"Boiler")/SUM(SUMIFS('Key inputs_Refineries'!Y$85:Y$164,'Key inputs_Refineries'!$C$85:$C$164,$C139:$C148,'Key inputs_Refineries'!$B$85:$B$164,"Boiler"))&lt;0.001),0.001,SUMIFS('Key inputs_Refineries'!Y$85:Y$164,'Key inputs_Refineries'!$C$85:$C$164,$C146,'Key inputs_Refineries'!$B$85:$B$164,"Boiler")/SUM(SUMIFS('Key inputs_Refineries'!Y$85:Y$164,'Key inputs_Refineries'!$C$85:$C$164,$C139:$C148,'Key inputs_Refineries'!$B$85:$B$164,"Boiler"))),0)</f>
        <v>1E-3</v>
      </c>
      <c r="AF146" s="173" cm="1">
        <f t="array" ref="AF146">IFERROR(IF(AND(SUMIFS('Key inputs_Refineries'!Z$85:Z$164,'Key inputs_Refineries'!$C$85:$C$164,$C146,'Key inputs_Refineries'!$B$85:$B$164,"Boiler")/SUM(SUMIFS('Key inputs_Refineries'!Z$85:Z$164,'Key inputs_Refineries'!$C$85:$C$164,$C139:$C148,'Key inputs_Refineries'!$B$85:$B$164,"Boiler"))&gt;0,SUMIFS('Key inputs_Refineries'!Z$85:Z$164,'Key inputs_Refineries'!$C$85:$C$164,$C146,'Key inputs_Refineries'!$B$85:$B$164,"Boiler")/SUM(SUMIFS('Key inputs_Refineries'!Z$85:Z$164,'Key inputs_Refineries'!$C$85:$C$164,$C139:$C148,'Key inputs_Refineries'!$B$85:$B$164,"Boiler"))&lt;0.001),0.001,SUMIFS('Key inputs_Refineries'!Z$85:Z$164,'Key inputs_Refineries'!$C$85:$C$164,$C146,'Key inputs_Refineries'!$B$85:$B$164,"Boiler")/SUM(SUMIFS('Key inputs_Refineries'!Z$85:Z$164,'Key inputs_Refineries'!$C$85:$C$164,$C139:$C148,'Key inputs_Refineries'!$B$85:$B$164,"Boiler"))),0)</f>
        <v>0</v>
      </c>
      <c r="AG146" s="173" cm="1">
        <f t="array" ref="AG146">IFERROR(IF(AND(SUMIFS('Key inputs_Refineries'!AA$85:AA$164,'Key inputs_Refineries'!$C$85:$C$164,$C146,'Key inputs_Refineries'!$B$85:$B$164,"Boiler")/SUM(SUMIFS('Key inputs_Refineries'!AA$85:AA$164,'Key inputs_Refineries'!$C$85:$C$164,$C139:$C148,'Key inputs_Refineries'!$B$85:$B$164,"Boiler"))&gt;0,SUMIFS('Key inputs_Refineries'!AA$85:AA$164,'Key inputs_Refineries'!$C$85:$C$164,$C146,'Key inputs_Refineries'!$B$85:$B$164,"Boiler")/SUM(SUMIFS('Key inputs_Refineries'!AA$85:AA$164,'Key inputs_Refineries'!$C$85:$C$164,$C139:$C148,'Key inputs_Refineries'!$B$85:$B$164,"Boiler"))&lt;0.001),0.001,SUMIFS('Key inputs_Refineries'!AA$85:AA$164,'Key inputs_Refineries'!$C$85:$C$164,$C146,'Key inputs_Refineries'!$B$85:$B$164,"Boiler")/SUM(SUMIFS('Key inputs_Refineries'!AA$85:AA$164,'Key inputs_Refineries'!$C$85:$C$164,$C139:$C148,'Key inputs_Refineries'!$B$85:$B$164,"Boiler"))),0)</f>
        <v>1.2999285657333546E-2</v>
      </c>
      <c r="AH146" s="173" cm="1">
        <f t="array" ref="AH146">IFERROR(IF(AND(SUMIFS('Key inputs_Refineries'!AB$85:AB$164,'Key inputs_Refineries'!$C$85:$C$164,$C146,'Key inputs_Refineries'!$B$85:$B$164,"Boiler")/SUM(SUMIFS('Key inputs_Refineries'!AB$85:AB$164,'Key inputs_Refineries'!$C$85:$C$164,$C139:$C148,'Key inputs_Refineries'!$B$85:$B$164,"Boiler"))&gt;0,SUMIFS('Key inputs_Refineries'!AB$85:AB$164,'Key inputs_Refineries'!$C$85:$C$164,$C146,'Key inputs_Refineries'!$B$85:$B$164,"Boiler")/SUM(SUMIFS('Key inputs_Refineries'!AB$85:AB$164,'Key inputs_Refineries'!$C$85:$C$164,$C139:$C148,'Key inputs_Refineries'!$B$85:$B$164,"Boiler"))&lt;0.001),0.001,SUMIFS('Key inputs_Refineries'!AB$85:AB$164,'Key inputs_Refineries'!$C$85:$C$164,$C146,'Key inputs_Refineries'!$B$85:$B$164,"Boiler")/SUM(SUMIFS('Key inputs_Refineries'!AB$85:AB$164,'Key inputs_Refineries'!$C$85:$C$164,$C139:$C148,'Key inputs_Refineries'!$B$85:$B$164,"Boiler"))),0)</f>
        <v>0</v>
      </c>
      <c r="AI146" s="173" cm="1">
        <f t="array" ref="AI146">IFERROR(IF(AND(SUMIFS('Key inputs_Refineries'!AC$85:AC$164,'Key inputs_Refineries'!$C$85:$C$164,$C146,'Key inputs_Refineries'!$B$85:$B$164,"Boiler")/SUM(SUMIFS('Key inputs_Refineries'!AC$85:AC$164,'Key inputs_Refineries'!$C$85:$C$164,$C139:$C148,'Key inputs_Refineries'!$B$85:$B$164,"Boiler"))&gt;0,SUMIFS('Key inputs_Refineries'!AC$85:AC$164,'Key inputs_Refineries'!$C$85:$C$164,$C146,'Key inputs_Refineries'!$B$85:$B$164,"Boiler")/SUM(SUMIFS('Key inputs_Refineries'!AC$85:AC$164,'Key inputs_Refineries'!$C$85:$C$164,$C139:$C148,'Key inputs_Refineries'!$B$85:$B$164,"Boiler"))&lt;0.001),0.001,SUMIFS('Key inputs_Refineries'!AC$85:AC$164,'Key inputs_Refineries'!$C$85:$C$164,$C146,'Key inputs_Refineries'!$B$85:$B$164,"Boiler")/SUM(SUMIFS('Key inputs_Refineries'!AC$85:AC$164,'Key inputs_Refineries'!$C$85:$C$164,$C139:$C148,'Key inputs_Refineries'!$B$85:$B$164,"Boiler"))),0)</f>
        <v>0</v>
      </c>
      <c r="AJ146" s="173" cm="1">
        <f t="array" ref="AJ146">IFERROR(IF(AND(SUMIFS('Key inputs_Refineries'!AD$85:AD$164,'Key inputs_Refineries'!$C$85:$C$164,$C146,'Key inputs_Refineries'!$B$85:$B$164,"Boiler")/SUM(SUMIFS('Key inputs_Refineries'!AD$85:AD$164,'Key inputs_Refineries'!$C$85:$C$164,$C139:$C148,'Key inputs_Refineries'!$B$85:$B$164,"Boiler"))&gt;0,SUMIFS('Key inputs_Refineries'!AD$85:AD$164,'Key inputs_Refineries'!$C$85:$C$164,$C146,'Key inputs_Refineries'!$B$85:$B$164,"Boiler")/SUM(SUMIFS('Key inputs_Refineries'!AD$85:AD$164,'Key inputs_Refineries'!$C$85:$C$164,$C139:$C148,'Key inputs_Refineries'!$B$85:$B$164,"Boiler"))&lt;0.001),0.001,SUMIFS('Key inputs_Refineries'!AD$85:AD$164,'Key inputs_Refineries'!$C$85:$C$164,$C146,'Key inputs_Refineries'!$B$85:$B$164,"Boiler")/SUM(SUMIFS('Key inputs_Refineries'!AD$85:AD$164,'Key inputs_Refineries'!$C$85:$C$164,$C139:$C148,'Key inputs_Refineries'!$B$85:$B$164,"Boiler"))),0)</f>
        <v>0</v>
      </c>
      <c r="AK146" s="173" cm="1">
        <f t="array" ref="AK146">IFERROR(IF(AND(SUMIFS('Key inputs_Refineries'!AE$85:AE$164,'Key inputs_Refineries'!$C$85:$C$164,$C146,'Key inputs_Refineries'!$B$85:$B$164,"Boiler")/SUM(SUMIFS('Key inputs_Refineries'!AE$85:AE$164,'Key inputs_Refineries'!$C$85:$C$164,$C139:$C148,'Key inputs_Refineries'!$B$85:$B$164,"Boiler"))&gt;0,SUMIFS('Key inputs_Refineries'!AE$85:AE$164,'Key inputs_Refineries'!$C$85:$C$164,$C146,'Key inputs_Refineries'!$B$85:$B$164,"Boiler")/SUM(SUMIFS('Key inputs_Refineries'!AE$85:AE$164,'Key inputs_Refineries'!$C$85:$C$164,$C139:$C148,'Key inputs_Refineries'!$B$85:$B$164,"Boiler"))&lt;0.001),0.001,SUMIFS('Key inputs_Refineries'!AE$85:AE$164,'Key inputs_Refineries'!$C$85:$C$164,$C146,'Key inputs_Refineries'!$B$85:$B$164,"Boiler")/SUM(SUMIFS('Key inputs_Refineries'!AE$85:AE$164,'Key inputs_Refineries'!$C$85:$C$164,$C139:$C148,'Key inputs_Refineries'!$B$85:$B$164,"Boiler"))),0)</f>
        <v>0</v>
      </c>
      <c r="AL146" s="173" cm="1">
        <f t="array" ref="AL146">IFERROR(IF(AND(SUMIFS('Key inputs_Refineries'!AF$85:AF$164,'Key inputs_Refineries'!$C$85:$C$164,$C146,'Key inputs_Refineries'!$B$85:$B$164,"Boiler")/SUM(SUMIFS('Key inputs_Refineries'!AF$85:AF$164,'Key inputs_Refineries'!$C$85:$C$164,$C139:$C148,'Key inputs_Refineries'!$B$85:$B$164,"Boiler"))&gt;0,SUMIFS('Key inputs_Refineries'!AF$85:AF$164,'Key inputs_Refineries'!$C$85:$C$164,$C146,'Key inputs_Refineries'!$B$85:$B$164,"Boiler")/SUM(SUMIFS('Key inputs_Refineries'!AF$85:AF$164,'Key inputs_Refineries'!$C$85:$C$164,$C139:$C148,'Key inputs_Refineries'!$B$85:$B$164,"Boiler"))&lt;0.001),0.001,SUMIFS('Key inputs_Refineries'!AF$85:AF$164,'Key inputs_Refineries'!$C$85:$C$164,$C146,'Key inputs_Refineries'!$B$85:$B$164,"Boiler")/SUM(SUMIFS('Key inputs_Refineries'!AF$85:AF$164,'Key inputs_Refineries'!$C$85:$C$164,$C139:$C148,'Key inputs_Refineries'!$B$85:$B$164,"Boiler"))),0)</f>
        <v>1E-3</v>
      </c>
    </row>
    <row r="147" spans="1:38">
      <c r="C147" t="str">
        <f>Commodities!$C$99</f>
        <v>UPSOIL</v>
      </c>
      <c r="G147" s="4" t="s">
        <v>702</v>
      </c>
      <c r="H147" t="s">
        <v>661</v>
      </c>
      <c r="I147">
        <v>2019</v>
      </c>
      <c r="J147" t="s">
        <v>650</v>
      </c>
      <c r="K147" s="173" cm="1">
        <f t="array" ref="K147">IFERROR(IF(AND(SUMIFS('Key inputs_Refineries'!E$85:E$164,'Key inputs_Refineries'!$C$85:$C$164,$C147,'Key inputs_Refineries'!$B$85:$B$164,"Boiler")/SUM(SUMIFS('Key inputs_Refineries'!E$85:E$164,'Key inputs_Refineries'!$C$85:$C$164,$C139:$C148,'Key inputs_Refineries'!$B$85:$B$164,"Boiler"))&gt;0,SUMIFS('Key inputs_Refineries'!E$85:E$164,'Key inputs_Refineries'!$C$85:$C$164,$C147,'Key inputs_Refineries'!$B$85:$B$164,"Boiler")/SUM(SUMIFS('Key inputs_Refineries'!E$85:E$164,'Key inputs_Refineries'!$C$85:$C$164,$C139:$C148,'Key inputs_Refineries'!$B$85:$B$164,"Boiler"))&lt;0.001),0.001,SUMIFS('Key inputs_Refineries'!E$85:E$164,'Key inputs_Refineries'!$C$85:$C$164,$C147,'Key inputs_Refineries'!$B$85:$B$164,"Boiler")/SUM(SUMIFS('Key inputs_Refineries'!E$85:E$164,'Key inputs_Refineries'!$C$85:$C$164,$C139:$C148,'Key inputs_Refineries'!$B$85:$B$164,"Boiler"))),0)</f>
        <v>0</v>
      </c>
      <c r="L147" s="173" cm="1">
        <f t="array" ref="L147">IFERROR(IF(AND(SUMIFS('Key inputs_Refineries'!F$85:F$164,'Key inputs_Refineries'!$C$85:$C$164,$C147,'Key inputs_Refineries'!$B$85:$B$164,"Boiler")/SUM(SUMIFS('Key inputs_Refineries'!F$85:F$164,'Key inputs_Refineries'!$C$85:$C$164,$C139:$C148,'Key inputs_Refineries'!$B$85:$B$164,"Boiler"))&gt;0,SUMIFS('Key inputs_Refineries'!F$85:F$164,'Key inputs_Refineries'!$C$85:$C$164,$C147,'Key inputs_Refineries'!$B$85:$B$164,"Boiler")/SUM(SUMIFS('Key inputs_Refineries'!F$85:F$164,'Key inputs_Refineries'!$C$85:$C$164,$C139:$C148,'Key inputs_Refineries'!$B$85:$B$164,"Boiler"))&lt;0.001),0.001,SUMIFS('Key inputs_Refineries'!F$85:F$164,'Key inputs_Refineries'!$C$85:$C$164,$C147,'Key inputs_Refineries'!$B$85:$B$164,"Boiler")/SUM(SUMIFS('Key inputs_Refineries'!F$85:F$164,'Key inputs_Refineries'!$C$85:$C$164,$C139:$C148,'Key inputs_Refineries'!$B$85:$B$164,"Boiler"))),0)</f>
        <v>0.62534828705571477</v>
      </c>
      <c r="M147" s="173" cm="1">
        <f t="array" ref="M147">IFERROR(IF(AND(SUMIFS('Key inputs_Refineries'!G$85:G$164,'Key inputs_Refineries'!$C$85:$C$164,$C147,'Key inputs_Refineries'!$B$85:$B$164,"Boiler")/SUM(SUMIFS('Key inputs_Refineries'!G$85:G$164,'Key inputs_Refineries'!$C$85:$C$164,$C139:$C148,'Key inputs_Refineries'!$B$85:$B$164,"Boiler"))&gt;0,SUMIFS('Key inputs_Refineries'!G$85:G$164,'Key inputs_Refineries'!$C$85:$C$164,$C147,'Key inputs_Refineries'!$B$85:$B$164,"Boiler")/SUM(SUMIFS('Key inputs_Refineries'!G$85:G$164,'Key inputs_Refineries'!$C$85:$C$164,$C139:$C148,'Key inputs_Refineries'!$B$85:$B$164,"Boiler"))&lt;0.001),0.001,SUMIFS('Key inputs_Refineries'!G$85:G$164,'Key inputs_Refineries'!$C$85:$C$164,$C147,'Key inputs_Refineries'!$B$85:$B$164,"Boiler")/SUM(SUMIFS('Key inputs_Refineries'!G$85:G$164,'Key inputs_Refineries'!$C$85:$C$164,$C139:$C148,'Key inputs_Refineries'!$B$85:$B$164,"Boiler"))),0)</f>
        <v>0.31134470367789346</v>
      </c>
      <c r="N147" s="173" cm="1">
        <f t="array" ref="N147">IFERROR(IF(AND(SUMIFS('Key inputs_Refineries'!H$85:H$164,'Key inputs_Refineries'!$C$85:$C$164,$C147,'Key inputs_Refineries'!$B$85:$B$164,"Boiler")/SUM(SUMIFS('Key inputs_Refineries'!H$85:H$164,'Key inputs_Refineries'!$C$85:$C$164,$C139:$C148,'Key inputs_Refineries'!$B$85:$B$164,"Boiler"))&gt;0,SUMIFS('Key inputs_Refineries'!H$85:H$164,'Key inputs_Refineries'!$C$85:$C$164,$C147,'Key inputs_Refineries'!$B$85:$B$164,"Boiler")/SUM(SUMIFS('Key inputs_Refineries'!H$85:H$164,'Key inputs_Refineries'!$C$85:$C$164,$C139:$C148,'Key inputs_Refineries'!$B$85:$B$164,"Boiler"))&lt;0.001),0.001,SUMIFS('Key inputs_Refineries'!H$85:H$164,'Key inputs_Refineries'!$C$85:$C$164,$C147,'Key inputs_Refineries'!$B$85:$B$164,"Boiler")/SUM(SUMIFS('Key inputs_Refineries'!H$85:H$164,'Key inputs_Refineries'!$C$85:$C$164,$C139:$C148,'Key inputs_Refineries'!$B$85:$B$164,"Boiler"))),0)</f>
        <v>0</v>
      </c>
      <c r="O147" s="173" cm="1">
        <f t="array" ref="O147">IFERROR(IF(AND(SUMIFS('Key inputs_Refineries'!I$85:I$164,'Key inputs_Refineries'!$C$85:$C$164,$C147,'Key inputs_Refineries'!$B$85:$B$164,"Boiler")/SUM(SUMIFS('Key inputs_Refineries'!I$85:I$164,'Key inputs_Refineries'!$C$85:$C$164,$C139:$C148,'Key inputs_Refineries'!$B$85:$B$164,"Boiler"))&gt;0,SUMIFS('Key inputs_Refineries'!I$85:I$164,'Key inputs_Refineries'!$C$85:$C$164,$C147,'Key inputs_Refineries'!$B$85:$B$164,"Boiler")/SUM(SUMIFS('Key inputs_Refineries'!I$85:I$164,'Key inputs_Refineries'!$C$85:$C$164,$C139:$C148,'Key inputs_Refineries'!$B$85:$B$164,"Boiler"))&lt;0.001),0.001,SUMIFS('Key inputs_Refineries'!I$85:I$164,'Key inputs_Refineries'!$C$85:$C$164,$C147,'Key inputs_Refineries'!$B$85:$B$164,"Boiler")/SUM(SUMIFS('Key inputs_Refineries'!I$85:I$164,'Key inputs_Refineries'!$C$85:$C$164,$C139:$C148,'Key inputs_Refineries'!$B$85:$B$164,"Boiler"))),0)</f>
        <v>0</v>
      </c>
      <c r="P147" s="173" cm="1">
        <f t="array" ref="P147">IFERROR(IF(AND(SUMIFS('Key inputs_Refineries'!J$85:J$164,'Key inputs_Refineries'!$C$85:$C$164,$C147,'Key inputs_Refineries'!$B$85:$B$164,"Boiler")/SUM(SUMIFS('Key inputs_Refineries'!J$85:J$164,'Key inputs_Refineries'!$C$85:$C$164,$C139:$C148,'Key inputs_Refineries'!$B$85:$B$164,"Boiler"))&gt;0,SUMIFS('Key inputs_Refineries'!J$85:J$164,'Key inputs_Refineries'!$C$85:$C$164,$C147,'Key inputs_Refineries'!$B$85:$B$164,"Boiler")/SUM(SUMIFS('Key inputs_Refineries'!J$85:J$164,'Key inputs_Refineries'!$C$85:$C$164,$C139:$C148,'Key inputs_Refineries'!$B$85:$B$164,"Boiler"))&lt;0.001),0.001,SUMIFS('Key inputs_Refineries'!J$85:J$164,'Key inputs_Refineries'!$C$85:$C$164,$C147,'Key inputs_Refineries'!$B$85:$B$164,"Boiler")/SUM(SUMIFS('Key inputs_Refineries'!J$85:J$164,'Key inputs_Refineries'!$C$85:$C$164,$C139:$C148,'Key inputs_Refineries'!$B$85:$B$164,"Boiler"))),0)</f>
        <v>6.7577884287611982E-3</v>
      </c>
      <c r="Q147" s="173" cm="1">
        <f t="array" ref="Q147">IFERROR(IF(AND(SUMIFS('Key inputs_Refineries'!K$85:K$164,'Key inputs_Refineries'!$C$85:$C$164,$C147,'Key inputs_Refineries'!$B$85:$B$164,"Boiler")/SUM(SUMIFS('Key inputs_Refineries'!K$85:K$164,'Key inputs_Refineries'!$C$85:$C$164,$C139:$C148,'Key inputs_Refineries'!$B$85:$B$164,"Boiler"))&gt;0,SUMIFS('Key inputs_Refineries'!K$85:K$164,'Key inputs_Refineries'!$C$85:$C$164,$C147,'Key inputs_Refineries'!$B$85:$B$164,"Boiler")/SUM(SUMIFS('Key inputs_Refineries'!K$85:K$164,'Key inputs_Refineries'!$C$85:$C$164,$C139:$C148,'Key inputs_Refineries'!$B$85:$B$164,"Boiler"))&lt;0.001),0.001,SUMIFS('Key inputs_Refineries'!K$85:K$164,'Key inputs_Refineries'!$C$85:$C$164,$C147,'Key inputs_Refineries'!$B$85:$B$164,"Boiler")/SUM(SUMIFS('Key inputs_Refineries'!K$85:K$164,'Key inputs_Refineries'!$C$85:$C$164,$C139:$C148,'Key inputs_Refineries'!$B$85:$B$164,"Boiler"))),0)</f>
        <v>6.2820913515202928E-2</v>
      </c>
      <c r="R147" s="173" cm="1">
        <f t="array" ref="R147">IFERROR(IF(AND(SUMIFS('Key inputs_Refineries'!L$85:L$164,'Key inputs_Refineries'!$C$85:$C$164,$C147,'Key inputs_Refineries'!$B$85:$B$164,"Boiler")/SUM(SUMIFS('Key inputs_Refineries'!L$85:L$164,'Key inputs_Refineries'!$C$85:$C$164,$C139:$C148,'Key inputs_Refineries'!$B$85:$B$164,"Boiler"))&gt;0,SUMIFS('Key inputs_Refineries'!L$85:L$164,'Key inputs_Refineries'!$C$85:$C$164,$C147,'Key inputs_Refineries'!$B$85:$B$164,"Boiler")/SUM(SUMIFS('Key inputs_Refineries'!L$85:L$164,'Key inputs_Refineries'!$C$85:$C$164,$C139:$C148,'Key inputs_Refineries'!$B$85:$B$164,"Boiler"))&lt;0.001),0.001,SUMIFS('Key inputs_Refineries'!L$85:L$164,'Key inputs_Refineries'!$C$85:$C$164,$C147,'Key inputs_Refineries'!$B$85:$B$164,"Boiler")/SUM(SUMIFS('Key inputs_Refineries'!L$85:L$164,'Key inputs_Refineries'!$C$85:$C$164,$C139:$C148,'Key inputs_Refineries'!$B$85:$B$164,"Boiler"))),0)</f>
        <v>0</v>
      </c>
      <c r="S147" s="173" cm="1">
        <f t="array" ref="S147">IFERROR(IF(AND(SUMIFS('Key inputs_Refineries'!M$85:M$164,'Key inputs_Refineries'!$C$85:$C$164,$C147,'Key inputs_Refineries'!$B$85:$B$164,"Boiler")/SUM(SUMIFS('Key inputs_Refineries'!M$85:M$164,'Key inputs_Refineries'!$C$85:$C$164,$C139:$C148,'Key inputs_Refineries'!$B$85:$B$164,"Boiler"))&gt;0,SUMIFS('Key inputs_Refineries'!M$85:M$164,'Key inputs_Refineries'!$C$85:$C$164,$C147,'Key inputs_Refineries'!$B$85:$B$164,"Boiler")/SUM(SUMIFS('Key inputs_Refineries'!M$85:M$164,'Key inputs_Refineries'!$C$85:$C$164,$C139:$C148,'Key inputs_Refineries'!$B$85:$B$164,"Boiler"))&lt;0.001),0.001,SUMIFS('Key inputs_Refineries'!M$85:M$164,'Key inputs_Refineries'!$C$85:$C$164,$C147,'Key inputs_Refineries'!$B$85:$B$164,"Boiler")/SUM(SUMIFS('Key inputs_Refineries'!M$85:M$164,'Key inputs_Refineries'!$C$85:$C$164,$C139:$C148,'Key inputs_Refineries'!$B$85:$B$164,"Boiler"))),0)</f>
        <v>0</v>
      </c>
      <c r="T147" s="173" cm="1">
        <f t="array" ref="T147">IFERROR(IF(AND(SUMIFS('Key inputs_Refineries'!N$85:N$164,'Key inputs_Refineries'!$C$85:$C$164,$C147,'Key inputs_Refineries'!$B$85:$B$164,"Boiler")/SUM(SUMIFS('Key inputs_Refineries'!N$85:N$164,'Key inputs_Refineries'!$C$85:$C$164,$C139:$C148,'Key inputs_Refineries'!$B$85:$B$164,"Boiler"))&gt;0,SUMIFS('Key inputs_Refineries'!N$85:N$164,'Key inputs_Refineries'!$C$85:$C$164,$C147,'Key inputs_Refineries'!$B$85:$B$164,"Boiler")/SUM(SUMIFS('Key inputs_Refineries'!N$85:N$164,'Key inputs_Refineries'!$C$85:$C$164,$C139:$C148,'Key inputs_Refineries'!$B$85:$B$164,"Boiler"))&lt;0.001),0.001,SUMIFS('Key inputs_Refineries'!N$85:N$164,'Key inputs_Refineries'!$C$85:$C$164,$C147,'Key inputs_Refineries'!$B$85:$B$164,"Boiler")/SUM(SUMIFS('Key inputs_Refineries'!N$85:N$164,'Key inputs_Refineries'!$C$85:$C$164,$C139:$C148,'Key inputs_Refineries'!$B$85:$B$164,"Boiler"))),0)</f>
        <v>0</v>
      </c>
      <c r="U147" s="173" cm="1">
        <f t="array" ref="U147">IFERROR(IF(AND(SUMIFS('Key inputs_Refineries'!O$85:O$164,'Key inputs_Refineries'!$C$85:$C$164,$C147,'Key inputs_Refineries'!$B$85:$B$164,"Boiler")/SUM(SUMIFS('Key inputs_Refineries'!O$85:O$164,'Key inputs_Refineries'!$C$85:$C$164,$C139:$C148,'Key inputs_Refineries'!$B$85:$B$164,"Boiler"))&gt;0,SUMIFS('Key inputs_Refineries'!O$85:O$164,'Key inputs_Refineries'!$C$85:$C$164,$C147,'Key inputs_Refineries'!$B$85:$B$164,"Boiler")/SUM(SUMIFS('Key inputs_Refineries'!O$85:O$164,'Key inputs_Refineries'!$C$85:$C$164,$C139:$C148,'Key inputs_Refineries'!$B$85:$B$164,"Boiler"))&lt;0.001),0.001,SUMIFS('Key inputs_Refineries'!O$85:O$164,'Key inputs_Refineries'!$C$85:$C$164,$C147,'Key inputs_Refineries'!$B$85:$B$164,"Boiler")/SUM(SUMIFS('Key inputs_Refineries'!O$85:O$164,'Key inputs_Refineries'!$C$85:$C$164,$C139:$C148,'Key inputs_Refineries'!$B$85:$B$164,"Boiler"))),0)</f>
        <v>0</v>
      </c>
      <c r="V147" s="173" cm="1">
        <f t="array" ref="V147">IFERROR(IF(AND(SUMIFS('Key inputs_Refineries'!P$85:P$164,'Key inputs_Refineries'!$C$85:$C$164,$C147,'Key inputs_Refineries'!$B$85:$B$164,"Boiler")/SUM(SUMIFS('Key inputs_Refineries'!P$85:P$164,'Key inputs_Refineries'!$C$85:$C$164,$C139:$C148,'Key inputs_Refineries'!$B$85:$B$164,"Boiler"))&gt;0,SUMIFS('Key inputs_Refineries'!P$85:P$164,'Key inputs_Refineries'!$C$85:$C$164,$C147,'Key inputs_Refineries'!$B$85:$B$164,"Boiler")/SUM(SUMIFS('Key inputs_Refineries'!P$85:P$164,'Key inputs_Refineries'!$C$85:$C$164,$C139:$C148,'Key inputs_Refineries'!$B$85:$B$164,"Boiler"))&lt;0.001),0.001,SUMIFS('Key inputs_Refineries'!P$85:P$164,'Key inputs_Refineries'!$C$85:$C$164,$C147,'Key inputs_Refineries'!$B$85:$B$164,"Boiler")/SUM(SUMIFS('Key inputs_Refineries'!P$85:P$164,'Key inputs_Refineries'!$C$85:$C$164,$C139:$C148,'Key inputs_Refineries'!$B$85:$B$164,"Boiler"))),0)</f>
        <v>0</v>
      </c>
      <c r="W147" s="173" cm="1">
        <f t="array" ref="W147">IFERROR(IF(AND(SUMIFS('Key inputs_Refineries'!Q$85:Q$164,'Key inputs_Refineries'!$C$85:$C$164,$C147,'Key inputs_Refineries'!$B$85:$B$164,"Boiler")/SUM(SUMIFS('Key inputs_Refineries'!Q$85:Q$164,'Key inputs_Refineries'!$C$85:$C$164,$C139:$C148,'Key inputs_Refineries'!$B$85:$B$164,"Boiler"))&gt;0,SUMIFS('Key inputs_Refineries'!Q$85:Q$164,'Key inputs_Refineries'!$C$85:$C$164,$C147,'Key inputs_Refineries'!$B$85:$B$164,"Boiler")/SUM(SUMIFS('Key inputs_Refineries'!Q$85:Q$164,'Key inputs_Refineries'!$C$85:$C$164,$C139:$C148,'Key inputs_Refineries'!$B$85:$B$164,"Boiler"))&lt;0.001),0.001,SUMIFS('Key inputs_Refineries'!Q$85:Q$164,'Key inputs_Refineries'!$C$85:$C$164,$C147,'Key inputs_Refineries'!$B$85:$B$164,"Boiler")/SUM(SUMIFS('Key inputs_Refineries'!Q$85:Q$164,'Key inputs_Refineries'!$C$85:$C$164,$C139:$C148,'Key inputs_Refineries'!$B$85:$B$164,"Boiler"))),0)</f>
        <v>0</v>
      </c>
      <c r="X147" s="173" cm="1">
        <f t="array" ref="X147">IFERROR(IF(AND(SUMIFS('Key inputs_Refineries'!R$85:R$164,'Key inputs_Refineries'!$C$85:$C$164,$C147,'Key inputs_Refineries'!$B$85:$B$164,"Boiler")/SUM(SUMIFS('Key inputs_Refineries'!R$85:R$164,'Key inputs_Refineries'!$C$85:$C$164,$C139:$C148,'Key inputs_Refineries'!$B$85:$B$164,"Boiler"))&gt;0,SUMIFS('Key inputs_Refineries'!R$85:R$164,'Key inputs_Refineries'!$C$85:$C$164,$C147,'Key inputs_Refineries'!$B$85:$B$164,"Boiler")/SUM(SUMIFS('Key inputs_Refineries'!R$85:R$164,'Key inputs_Refineries'!$C$85:$C$164,$C139:$C148,'Key inputs_Refineries'!$B$85:$B$164,"Boiler"))&lt;0.001),0.001,SUMIFS('Key inputs_Refineries'!R$85:R$164,'Key inputs_Refineries'!$C$85:$C$164,$C147,'Key inputs_Refineries'!$B$85:$B$164,"Boiler")/SUM(SUMIFS('Key inputs_Refineries'!R$85:R$164,'Key inputs_Refineries'!$C$85:$C$164,$C139:$C148,'Key inputs_Refineries'!$B$85:$B$164,"Boiler"))),0)</f>
        <v>0</v>
      </c>
      <c r="Y147" s="173" cm="1">
        <f t="array" ref="Y147">IFERROR(IF(AND(SUMIFS('Key inputs_Refineries'!S$85:S$164,'Key inputs_Refineries'!$C$85:$C$164,$C147,'Key inputs_Refineries'!$B$85:$B$164,"Boiler")/SUM(SUMIFS('Key inputs_Refineries'!S$85:S$164,'Key inputs_Refineries'!$C$85:$C$164,$C139:$C148,'Key inputs_Refineries'!$B$85:$B$164,"Boiler"))&gt;0,SUMIFS('Key inputs_Refineries'!S$85:S$164,'Key inputs_Refineries'!$C$85:$C$164,$C147,'Key inputs_Refineries'!$B$85:$B$164,"Boiler")/SUM(SUMIFS('Key inputs_Refineries'!S$85:S$164,'Key inputs_Refineries'!$C$85:$C$164,$C139:$C148,'Key inputs_Refineries'!$B$85:$B$164,"Boiler"))&lt;0.001),0.001,SUMIFS('Key inputs_Refineries'!S$85:S$164,'Key inputs_Refineries'!$C$85:$C$164,$C147,'Key inputs_Refineries'!$B$85:$B$164,"Boiler")/SUM(SUMIFS('Key inputs_Refineries'!S$85:S$164,'Key inputs_Refineries'!$C$85:$C$164,$C139:$C148,'Key inputs_Refineries'!$B$85:$B$164,"Boiler"))),0)</f>
        <v>0</v>
      </c>
      <c r="Z147" s="173" cm="1">
        <f t="array" ref="Z147">IFERROR(IF(AND(SUMIFS('Key inputs_Refineries'!T$85:T$164,'Key inputs_Refineries'!$C$85:$C$164,$C147,'Key inputs_Refineries'!$B$85:$B$164,"Boiler")/SUM(SUMIFS('Key inputs_Refineries'!T$85:T$164,'Key inputs_Refineries'!$C$85:$C$164,$C139:$C148,'Key inputs_Refineries'!$B$85:$B$164,"Boiler"))&gt;0,SUMIFS('Key inputs_Refineries'!T$85:T$164,'Key inputs_Refineries'!$C$85:$C$164,$C147,'Key inputs_Refineries'!$B$85:$B$164,"Boiler")/SUM(SUMIFS('Key inputs_Refineries'!T$85:T$164,'Key inputs_Refineries'!$C$85:$C$164,$C139:$C148,'Key inputs_Refineries'!$B$85:$B$164,"Boiler"))&lt;0.001),0.001,SUMIFS('Key inputs_Refineries'!T$85:T$164,'Key inputs_Refineries'!$C$85:$C$164,$C147,'Key inputs_Refineries'!$B$85:$B$164,"Boiler")/SUM(SUMIFS('Key inputs_Refineries'!T$85:T$164,'Key inputs_Refineries'!$C$85:$C$164,$C139:$C148,'Key inputs_Refineries'!$B$85:$B$164,"Boiler"))),0)</f>
        <v>0</v>
      </c>
      <c r="AA147" s="173" cm="1">
        <f t="array" ref="AA147">IFERROR(IF(AND(SUMIFS('Key inputs_Refineries'!U$85:U$164,'Key inputs_Refineries'!$C$85:$C$164,$C147,'Key inputs_Refineries'!$B$85:$B$164,"Boiler")/SUM(SUMIFS('Key inputs_Refineries'!U$85:U$164,'Key inputs_Refineries'!$C$85:$C$164,$C139:$C148,'Key inputs_Refineries'!$B$85:$B$164,"Boiler"))&gt;0,SUMIFS('Key inputs_Refineries'!U$85:U$164,'Key inputs_Refineries'!$C$85:$C$164,$C147,'Key inputs_Refineries'!$B$85:$B$164,"Boiler")/SUM(SUMIFS('Key inputs_Refineries'!U$85:U$164,'Key inputs_Refineries'!$C$85:$C$164,$C139:$C148,'Key inputs_Refineries'!$B$85:$B$164,"Boiler"))&lt;0.001),0.001,SUMIFS('Key inputs_Refineries'!U$85:U$164,'Key inputs_Refineries'!$C$85:$C$164,$C147,'Key inputs_Refineries'!$B$85:$B$164,"Boiler")/SUM(SUMIFS('Key inputs_Refineries'!U$85:U$164,'Key inputs_Refineries'!$C$85:$C$164,$C139:$C148,'Key inputs_Refineries'!$B$85:$B$164,"Boiler"))),0)</f>
        <v>0</v>
      </c>
      <c r="AB147" s="173" cm="1">
        <f t="array" ref="AB147">IFERROR(IF(AND(SUMIFS('Key inputs_Refineries'!V$85:V$164,'Key inputs_Refineries'!$C$85:$C$164,$C147,'Key inputs_Refineries'!$B$85:$B$164,"Boiler")/SUM(SUMIFS('Key inputs_Refineries'!V$85:V$164,'Key inputs_Refineries'!$C$85:$C$164,$C139:$C148,'Key inputs_Refineries'!$B$85:$B$164,"Boiler"))&gt;0,SUMIFS('Key inputs_Refineries'!V$85:V$164,'Key inputs_Refineries'!$C$85:$C$164,$C147,'Key inputs_Refineries'!$B$85:$B$164,"Boiler")/SUM(SUMIFS('Key inputs_Refineries'!V$85:V$164,'Key inputs_Refineries'!$C$85:$C$164,$C139:$C148,'Key inputs_Refineries'!$B$85:$B$164,"Boiler"))&lt;0.001),0.001,SUMIFS('Key inputs_Refineries'!V$85:V$164,'Key inputs_Refineries'!$C$85:$C$164,$C147,'Key inputs_Refineries'!$B$85:$B$164,"Boiler")/SUM(SUMIFS('Key inputs_Refineries'!V$85:V$164,'Key inputs_Refineries'!$C$85:$C$164,$C139:$C148,'Key inputs_Refineries'!$B$85:$B$164,"Boiler"))),0)</f>
        <v>0.37267710844695157</v>
      </c>
      <c r="AC147" s="173" cm="1">
        <f t="array" ref="AC147">IFERROR(IF(AND(SUMIFS('Key inputs_Refineries'!W$85:W$164,'Key inputs_Refineries'!$C$85:$C$164,$C147,'Key inputs_Refineries'!$B$85:$B$164,"Boiler")/SUM(SUMIFS('Key inputs_Refineries'!W$85:W$164,'Key inputs_Refineries'!$C$85:$C$164,$C139:$C148,'Key inputs_Refineries'!$B$85:$B$164,"Boiler"))&gt;0,SUMIFS('Key inputs_Refineries'!W$85:W$164,'Key inputs_Refineries'!$C$85:$C$164,$C147,'Key inputs_Refineries'!$B$85:$B$164,"Boiler")/SUM(SUMIFS('Key inputs_Refineries'!W$85:W$164,'Key inputs_Refineries'!$C$85:$C$164,$C139:$C148,'Key inputs_Refineries'!$B$85:$B$164,"Boiler"))&lt;0.001),0.001,SUMIFS('Key inputs_Refineries'!W$85:W$164,'Key inputs_Refineries'!$C$85:$C$164,$C147,'Key inputs_Refineries'!$B$85:$B$164,"Boiler")/SUM(SUMIFS('Key inputs_Refineries'!W$85:W$164,'Key inputs_Refineries'!$C$85:$C$164,$C139:$C148,'Key inputs_Refineries'!$B$85:$B$164,"Boiler"))),0)</f>
        <v>0</v>
      </c>
      <c r="AD147" s="173" cm="1">
        <f t="array" ref="AD147">IFERROR(IF(AND(SUMIFS('Key inputs_Refineries'!X$85:X$164,'Key inputs_Refineries'!$C$85:$C$164,$C147,'Key inputs_Refineries'!$B$85:$B$164,"Boiler")/SUM(SUMIFS('Key inputs_Refineries'!X$85:X$164,'Key inputs_Refineries'!$C$85:$C$164,$C139:$C148,'Key inputs_Refineries'!$B$85:$B$164,"Boiler"))&gt;0,SUMIFS('Key inputs_Refineries'!X$85:X$164,'Key inputs_Refineries'!$C$85:$C$164,$C147,'Key inputs_Refineries'!$B$85:$B$164,"Boiler")/SUM(SUMIFS('Key inputs_Refineries'!X$85:X$164,'Key inputs_Refineries'!$C$85:$C$164,$C139:$C148,'Key inputs_Refineries'!$B$85:$B$164,"Boiler"))&lt;0.001),0.001,SUMIFS('Key inputs_Refineries'!X$85:X$164,'Key inputs_Refineries'!$C$85:$C$164,$C147,'Key inputs_Refineries'!$B$85:$B$164,"Boiler")/SUM(SUMIFS('Key inputs_Refineries'!X$85:X$164,'Key inputs_Refineries'!$C$85:$C$164,$C139:$C148,'Key inputs_Refineries'!$B$85:$B$164,"Boiler"))),0)</f>
        <v>0</v>
      </c>
      <c r="AE147" s="173" cm="1">
        <f t="array" ref="AE147">IFERROR(IF(AND(SUMIFS('Key inputs_Refineries'!Y$85:Y$164,'Key inputs_Refineries'!$C$85:$C$164,$C147,'Key inputs_Refineries'!$B$85:$B$164,"Boiler")/SUM(SUMIFS('Key inputs_Refineries'!Y$85:Y$164,'Key inputs_Refineries'!$C$85:$C$164,$C139:$C148,'Key inputs_Refineries'!$B$85:$B$164,"Boiler"))&gt;0,SUMIFS('Key inputs_Refineries'!Y$85:Y$164,'Key inputs_Refineries'!$C$85:$C$164,$C147,'Key inputs_Refineries'!$B$85:$B$164,"Boiler")/SUM(SUMIFS('Key inputs_Refineries'!Y$85:Y$164,'Key inputs_Refineries'!$C$85:$C$164,$C139:$C148,'Key inputs_Refineries'!$B$85:$B$164,"Boiler"))&lt;0.001),0.001,SUMIFS('Key inputs_Refineries'!Y$85:Y$164,'Key inputs_Refineries'!$C$85:$C$164,$C147,'Key inputs_Refineries'!$B$85:$B$164,"Boiler")/SUM(SUMIFS('Key inputs_Refineries'!Y$85:Y$164,'Key inputs_Refineries'!$C$85:$C$164,$C139:$C148,'Key inputs_Refineries'!$B$85:$B$164,"Boiler"))),0)</f>
        <v>3.8240414082870593E-2</v>
      </c>
      <c r="AF147" s="173" cm="1">
        <f t="array" ref="AF147">IFERROR(IF(AND(SUMIFS('Key inputs_Refineries'!Z$85:Z$164,'Key inputs_Refineries'!$C$85:$C$164,$C147,'Key inputs_Refineries'!$B$85:$B$164,"Boiler")/SUM(SUMIFS('Key inputs_Refineries'!Z$85:Z$164,'Key inputs_Refineries'!$C$85:$C$164,$C139:$C148,'Key inputs_Refineries'!$B$85:$B$164,"Boiler"))&gt;0,SUMIFS('Key inputs_Refineries'!Z$85:Z$164,'Key inputs_Refineries'!$C$85:$C$164,$C147,'Key inputs_Refineries'!$B$85:$B$164,"Boiler")/SUM(SUMIFS('Key inputs_Refineries'!Z$85:Z$164,'Key inputs_Refineries'!$C$85:$C$164,$C139:$C148,'Key inputs_Refineries'!$B$85:$B$164,"Boiler"))&lt;0.001),0.001,SUMIFS('Key inputs_Refineries'!Z$85:Z$164,'Key inputs_Refineries'!$C$85:$C$164,$C147,'Key inputs_Refineries'!$B$85:$B$164,"Boiler")/SUM(SUMIFS('Key inputs_Refineries'!Z$85:Z$164,'Key inputs_Refineries'!$C$85:$C$164,$C139:$C148,'Key inputs_Refineries'!$B$85:$B$164,"Boiler"))),0)</f>
        <v>0</v>
      </c>
      <c r="AG147" s="173" cm="1">
        <f t="array" ref="AG147">IFERROR(IF(AND(SUMIFS('Key inputs_Refineries'!AA$85:AA$164,'Key inputs_Refineries'!$C$85:$C$164,$C147,'Key inputs_Refineries'!$B$85:$B$164,"Boiler")/SUM(SUMIFS('Key inputs_Refineries'!AA$85:AA$164,'Key inputs_Refineries'!$C$85:$C$164,$C139:$C148,'Key inputs_Refineries'!$B$85:$B$164,"Boiler"))&gt;0,SUMIFS('Key inputs_Refineries'!AA$85:AA$164,'Key inputs_Refineries'!$C$85:$C$164,$C147,'Key inputs_Refineries'!$B$85:$B$164,"Boiler")/SUM(SUMIFS('Key inputs_Refineries'!AA$85:AA$164,'Key inputs_Refineries'!$C$85:$C$164,$C139:$C148,'Key inputs_Refineries'!$B$85:$B$164,"Boiler"))&lt;0.001),0.001,SUMIFS('Key inputs_Refineries'!AA$85:AA$164,'Key inputs_Refineries'!$C$85:$C$164,$C147,'Key inputs_Refineries'!$B$85:$B$164,"Boiler")/SUM(SUMIFS('Key inputs_Refineries'!AA$85:AA$164,'Key inputs_Refineries'!$C$85:$C$164,$C139:$C148,'Key inputs_Refineries'!$B$85:$B$164,"Boiler"))),0)</f>
        <v>0</v>
      </c>
      <c r="AH147" s="173" cm="1">
        <f t="array" ref="AH147">IFERROR(IF(AND(SUMIFS('Key inputs_Refineries'!AB$85:AB$164,'Key inputs_Refineries'!$C$85:$C$164,$C147,'Key inputs_Refineries'!$B$85:$B$164,"Boiler")/SUM(SUMIFS('Key inputs_Refineries'!AB$85:AB$164,'Key inputs_Refineries'!$C$85:$C$164,$C139:$C148,'Key inputs_Refineries'!$B$85:$B$164,"Boiler"))&gt;0,SUMIFS('Key inputs_Refineries'!AB$85:AB$164,'Key inputs_Refineries'!$C$85:$C$164,$C147,'Key inputs_Refineries'!$B$85:$B$164,"Boiler")/SUM(SUMIFS('Key inputs_Refineries'!AB$85:AB$164,'Key inputs_Refineries'!$C$85:$C$164,$C139:$C148,'Key inputs_Refineries'!$B$85:$B$164,"Boiler"))&lt;0.001),0.001,SUMIFS('Key inputs_Refineries'!AB$85:AB$164,'Key inputs_Refineries'!$C$85:$C$164,$C147,'Key inputs_Refineries'!$B$85:$B$164,"Boiler")/SUM(SUMIFS('Key inputs_Refineries'!AB$85:AB$164,'Key inputs_Refineries'!$C$85:$C$164,$C139:$C148,'Key inputs_Refineries'!$B$85:$B$164,"Boiler"))),0)</f>
        <v>0</v>
      </c>
      <c r="AI147" s="173" cm="1">
        <f t="array" ref="AI147">IFERROR(IF(AND(SUMIFS('Key inputs_Refineries'!AC$85:AC$164,'Key inputs_Refineries'!$C$85:$C$164,$C147,'Key inputs_Refineries'!$B$85:$B$164,"Boiler")/SUM(SUMIFS('Key inputs_Refineries'!AC$85:AC$164,'Key inputs_Refineries'!$C$85:$C$164,$C139:$C148,'Key inputs_Refineries'!$B$85:$B$164,"Boiler"))&gt;0,SUMIFS('Key inputs_Refineries'!AC$85:AC$164,'Key inputs_Refineries'!$C$85:$C$164,$C147,'Key inputs_Refineries'!$B$85:$B$164,"Boiler")/SUM(SUMIFS('Key inputs_Refineries'!AC$85:AC$164,'Key inputs_Refineries'!$C$85:$C$164,$C139:$C148,'Key inputs_Refineries'!$B$85:$B$164,"Boiler"))&lt;0.001),0.001,SUMIFS('Key inputs_Refineries'!AC$85:AC$164,'Key inputs_Refineries'!$C$85:$C$164,$C147,'Key inputs_Refineries'!$B$85:$B$164,"Boiler")/SUM(SUMIFS('Key inputs_Refineries'!AC$85:AC$164,'Key inputs_Refineries'!$C$85:$C$164,$C139:$C148,'Key inputs_Refineries'!$B$85:$B$164,"Boiler"))),0)</f>
        <v>0</v>
      </c>
      <c r="AJ147" s="173" cm="1">
        <f t="array" ref="AJ147">IFERROR(IF(AND(SUMIFS('Key inputs_Refineries'!AD$85:AD$164,'Key inputs_Refineries'!$C$85:$C$164,$C147,'Key inputs_Refineries'!$B$85:$B$164,"Boiler")/SUM(SUMIFS('Key inputs_Refineries'!AD$85:AD$164,'Key inputs_Refineries'!$C$85:$C$164,$C139:$C148,'Key inputs_Refineries'!$B$85:$B$164,"Boiler"))&gt;0,SUMIFS('Key inputs_Refineries'!AD$85:AD$164,'Key inputs_Refineries'!$C$85:$C$164,$C147,'Key inputs_Refineries'!$B$85:$B$164,"Boiler")/SUM(SUMIFS('Key inputs_Refineries'!AD$85:AD$164,'Key inputs_Refineries'!$C$85:$C$164,$C139:$C148,'Key inputs_Refineries'!$B$85:$B$164,"Boiler"))&lt;0.001),0.001,SUMIFS('Key inputs_Refineries'!AD$85:AD$164,'Key inputs_Refineries'!$C$85:$C$164,$C147,'Key inputs_Refineries'!$B$85:$B$164,"Boiler")/SUM(SUMIFS('Key inputs_Refineries'!AD$85:AD$164,'Key inputs_Refineries'!$C$85:$C$164,$C139:$C148,'Key inputs_Refineries'!$B$85:$B$164,"Boiler"))),0)</f>
        <v>0</v>
      </c>
      <c r="AK147" s="173" cm="1">
        <f t="array" ref="AK147">IFERROR(IF(AND(SUMIFS('Key inputs_Refineries'!AE$85:AE$164,'Key inputs_Refineries'!$C$85:$C$164,$C147,'Key inputs_Refineries'!$B$85:$B$164,"Boiler")/SUM(SUMIFS('Key inputs_Refineries'!AE$85:AE$164,'Key inputs_Refineries'!$C$85:$C$164,$C139:$C148,'Key inputs_Refineries'!$B$85:$B$164,"Boiler"))&gt;0,SUMIFS('Key inputs_Refineries'!AE$85:AE$164,'Key inputs_Refineries'!$C$85:$C$164,$C147,'Key inputs_Refineries'!$B$85:$B$164,"Boiler")/SUM(SUMIFS('Key inputs_Refineries'!AE$85:AE$164,'Key inputs_Refineries'!$C$85:$C$164,$C139:$C148,'Key inputs_Refineries'!$B$85:$B$164,"Boiler"))&lt;0.001),0.001,SUMIFS('Key inputs_Refineries'!AE$85:AE$164,'Key inputs_Refineries'!$C$85:$C$164,$C147,'Key inputs_Refineries'!$B$85:$B$164,"Boiler")/SUM(SUMIFS('Key inputs_Refineries'!AE$85:AE$164,'Key inputs_Refineries'!$C$85:$C$164,$C139:$C148,'Key inputs_Refineries'!$B$85:$B$164,"Boiler"))),0)</f>
        <v>0</v>
      </c>
      <c r="AL147" s="173" cm="1">
        <f t="array" ref="AL147">IFERROR(IF(AND(SUMIFS('Key inputs_Refineries'!AF$85:AF$164,'Key inputs_Refineries'!$C$85:$C$164,$C147,'Key inputs_Refineries'!$B$85:$B$164,"Boiler")/SUM(SUMIFS('Key inputs_Refineries'!AF$85:AF$164,'Key inputs_Refineries'!$C$85:$C$164,$C139:$C148,'Key inputs_Refineries'!$B$85:$B$164,"Boiler"))&gt;0,SUMIFS('Key inputs_Refineries'!AF$85:AF$164,'Key inputs_Refineries'!$C$85:$C$164,$C147,'Key inputs_Refineries'!$B$85:$B$164,"Boiler")/SUM(SUMIFS('Key inputs_Refineries'!AF$85:AF$164,'Key inputs_Refineries'!$C$85:$C$164,$C139:$C148,'Key inputs_Refineries'!$B$85:$B$164,"Boiler"))&lt;0.001),0.001,SUMIFS('Key inputs_Refineries'!AF$85:AF$164,'Key inputs_Refineries'!$C$85:$C$164,$C147,'Key inputs_Refineries'!$B$85:$B$164,"Boiler")/SUM(SUMIFS('Key inputs_Refineries'!AF$85:AF$164,'Key inputs_Refineries'!$C$85:$C$164,$C139:$C148,'Key inputs_Refineries'!$B$85:$B$164,"Boiler"))),0)</f>
        <v>0</v>
      </c>
    </row>
    <row r="148" spans="1:38">
      <c r="C148" t="str">
        <f>Commodities!$C$100</f>
        <v>UPSOIL2</v>
      </c>
      <c r="G148" s="4" t="s">
        <v>702</v>
      </c>
      <c r="H148" t="s">
        <v>661</v>
      </c>
      <c r="I148">
        <v>2019</v>
      </c>
      <c r="J148" t="s">
        <v>650</v>
      </c>
      <c r="K148" s="173" cm="1">
        <f t="array" ref="K148">IFERROR(IF(AND(SUMIFS('Key inputs_Refineries'!E$85:E$164,'Key inputs_Refineries'!$C$85:$C$164,$C148,'Key inputs_Refineries'!$B$85:$B$164,"Boiler")/SUM(SUMIFS('Key inputs_Refineries'!E$85:E$164,'Key inputs_Refineries'!$C$85:$C$164,$C139:$C148,'Key inputs_Refineries'!$B$85:$B$164,"Boiler"))&gt;0,SUMIFS('Key inputs_Refineries'!E$85:E$164,'Key inputs_Refineries'!$C$85:$C$164,$C148,'Key inputs_Refineries'!$B$85:$B$164,"Boiler")/SUM(SUMIFS('Key inputs_Refineries'!E$85:E$164,'Key inputs_Refineries'!$C$85:$C$164,$C139:$C148,'Key inputs_Refineries'!$B$85:$B$164,"Boiler"))&lt;0.001),0.001,SUMIFS('Key inputs_Refineries'!E$85:E$164,'Key inputs_Refineries'!$C$85:$C$164,$C148,'Key inputs_Refineries'!$B$85:$B$164,"Boiler")/SUM(SUMIFS('Key inputs_Refineries'!E$85:E$164,'Key inputs_Refineries'!$C$85:$C$164,$C139:$C148,'Key inputs_Refineries'!$B$85:$B$164,"Boiler"))),1)</f>
        <v>1</v>
      </c>
      <c r="L148" s="173" cm="1">
        <f t="array" ref="L148">IFERROR(IF(AND(SUMIFS('Key inputs_Refineries'!F$85:F$164,'Key inputs_Refineries'!$C$85:$C$164,$C148,'Key inputs_Refineries'!$B$85:$B$164,"Boiler")/SUM(SUMIFS('Key inputs_Refineries'!F$85:F$164,'Key inputs_Refineries'!$C$85:$C$164,$C139:$C148,'Key inputs_Refineries'!$B$85:$B$164,"Boiler"))&gt;0,SUMIFS('Key inputs_Refineries'!F$85:F$164,'Key inputs_Refineries'!$C$85:$C$164,$C148,'Key inputs_Refineries'!$B$85:$B$164,"Boiler")/SUM(SUMIFS('Key inputs_Refineries'!F$85:F$164,'Key inputs_Refineries'!$C$85:$C$164,$C139:$C148,'Key inputs_Refineries'!$B$85:$B$164,"Boiler"))&lt;0.001),0.001,SUMIFS('Key inputs_Refineries'!F$85:F$164,'Key inputs_Refineries'!$C$85:$C$164,$C148,'Key inputs_Refineries'!$B$85:$B$164,"Boiler")/SUM(SUMIFS('Key inputs_Refineries'!F$85:F$164,'Key inputs_Refineries'!$C$85:$C$164,$C139:$C148,'Key inputs_Refineries'!$B$85:$B$164,"Boiler"))),1)</f>
        <v>0</v>
      </c>
      <c r="M148" s="173" cm="1">
        <f t="array" ref="M148">IFERROR(IF(AND(SUMIFS('Key inputs_Refineries'!G$85:G$164,'Key inputs_Refineries'!$C$85:$C$164,$C148,'Key inputs_Refineries'!$B$85:$B$164,"Boiler")/SUM(SUMIFS('Key inputs_Refineries'!G$85:G$164,'Key inputs_Refineries'!$C$85:$C$164,$C139:$C148,'Key inputs_Refineries'!$B$85:$B$164,"Boiler"))&gt;0,SUMIFS('Key inputs_Refineries'!G$85:G$164,'Key inputs_Refineries'!$C$85:$C$164,$C148,'Key inputs_Refineries'!$B$85:$B$164,"Boiler")/SUM(SUMIFS('Key inputs_Refineries'!G$85:G$164,'Key inputs_Refineries'!$C$85:$C$164,$C139:$C148,'Key inputs_Refineries'!$B$85:$B$164,"Boiler"))&lt;0.001),0.001,SUMIFS('Key inputs_Refineries'!G$85:G$164,'Key inputs_Refineries'!$C$85:$C$164,$C148,'Key inputs_Refineries'!$B$85:$B$164,"Boiler")/SUM(SUMIFS('Key inputs_Refineries'!G$85:G$164,'Key inputs_Refineries'!$C$85:$C$164,$C139:$C148,'Key inputs_Refineries'!$B$85:$B$164,"Boiler"))),1)</f>
        <v>0</v>
      </c>
      <c r="N148" s="173" cm="1">
        <f t="array" ref="N148">IFERROR(IF(AND(SUMIFS('Key inputs_Refineries'!H$85:H$164,'Key inputs_Refineries'!$C$85:$C$164,$C148,'Key inputs_Refineries'!$B$85:$B$164,"Boiler")/SUM(SUMIFS('Key inputs_Refineries'!H$85:H$164,'Key inputs_Refineries'!$C$85:$C$164,$C139:$C148,'Key inputs_Refineries'!$B$85:$B$164,"Boiler"))&gt;0,SUMIFS('Key inputs_Refineries'!H$85:H$164,'Key inputs_Refineries'!$C$85:$C$164,$C148,'Key inputs_Refineries'!$B$85:$B$164,"Boiler")/SUM(SUMIFS('Key inputs_Refineries'!H$85:H$164,'Key inputs_Refineries'!$C$85:$C$164,$C139:$C148,'Key inputs_Refineries'!$B$85:$B$164,"Boiler"))&lt;0.001),0.001,SUMIFS('Key inputs_Refineries'!H$85:H$164,'Key inputs_Refineries'!$C$85:$C$164,$C148,'Key inputs_Refineries'!$B$85:$B$164,"Boiler")/SUM(SUMIFS('Key inputs_Refineries'!H$85:H$164,'Key inputs_Refineries'!$C$85:$C$164,$C139:$C148,'Key inputs_Refineries'!$B$85:$B$164,"Boiler"))),1)</f>
        <v>1</v>
      </c>
      <c r="O148" s="173" cm="1">
        <f t="array" ref="O148">IFERROR(IF(AND(SUMIFS('Key inputs_Refineries'!I$85:I$164,'Key inputs_Refineries'!$C$85:$C$164,$C148,'Key inputs_Refineries'!$B$85:$B$164,"Boiler")/SUM(SUMIFS('Key inputs_Refineries'!I$85:I$164,'Key inputs_Refineries'!$C$85:$C$164,$C139:$C148,'Key inputs_Refineries'!$B$85:$B$164,"Boiler"))&gt;0,SUMIFS('Key inputs_Refineries'!I$85:I$164,'Key inputs_Refineries'!$C$85:$C$164,$C148,'Key inputs_Refineries'!$B$85:$B$164,"Boiler")/SUM(SUMIFS('Key inputs_Refineries'!I$85:I$164,'Key inputs_Refineries'!$C$85:$C$164,$C139:$C148,'Key inputs_Refineries'!$B$85:$B$164,"Boiler"))&lt;0.001),0.001,SUMIFS('Key inputs_Refineries'!I$85:I$164,'Key inputs_Refineries'!$C$85:$C$164,$C148,'Key inputs_Refineries'!$B$85:$B$164,"Boiler")/SUM(SUMIFS('Key inputs_Refineries'!I$85:I$164,'Key inputs_Refineries'!$C$85:$C$164,$C139:$C148,'Key inputs_Refineries'!$B$85:$B$164,"Boiler"))),1)</f>
        <v>0.90826580836038906</v>
      </c>
      <c r="P148" s="173" cm="1">
        <f t="array" ref="P148">IFERROR(IF(AND(SUMIFS('Key inputs_Refineries'!J$85:J$164,'Key inputs_Refineries'!$C$85:$C$164,$C148,'Key inputs_Refineries'!$B$85:$B$164,"Boiler")/SUM(SUMIFS('Key inputs_Refineries'!J$85:J$164,'Key inputs_Refineries'!$C$85:$C$164,$C139:$C148,'Key inputs_Refineries'!$B$85:$B$164,"Boiler"))&gt;0,SUMIFS('Key inputs_Refineries'!J$85:J$164,'Key inputs_Refineries'!$C$85:$C$164,$C148,'Key inputs_Refineries'!$B$85:$B$164,"Boiler")/SUM(SUMIFS('Key inputs_Refineries'!J$85:J$164,'Key inputs_Refineries'!$C$85:$C$164,$C139:$C148,'Key inputs_Refineries'!$B$85:$B$164,"Boiler"))&lt;0.001),0.001,SUMIFS('Key inputs_Refineries'!J$85:J$164,'Key inputs_Refineries'!$C$85:$C$164,$C148,'Key inputs_Refineries'!$B$85:$B$164,"Boiler")/SUM(SUMIFS('Key inputs_Refineries'!J$85:J$164,'Key inputs_Refineries'!$C$85:$C$164,$C139:$C148,'Key inputs_Refineries'!$B$85:$B$164,"Boiler"))),1)</f>
        <v>0.88036613124332841</v>
      </c>
      <c r="Q148" s="173" cm="1">
        <f t="array" ref="Q148">IFERROR(IF(AND(SUMIFS('Key inputs_Refineries'!K$85:K$164,'Key inputs_Refineries'!$C$85:$C$164,$C148,'Key inputs_Refineries'!$B$85:$B$164,"Boiler")/SUM(SUMIFS('Key inputs_Refineries'!K$85:K$164,'Key inputs_Refineries'!$C$85:$C$164,$C139:$C148,'Key inputs_Refineries'!$B$85:$B$164,"Boiler"))&gt;0,SUMIFS('Key inputs_Refineries'!K$85:K$164,'Key inputs_Refineries'!$C$85:$C$164,$C148,'Key inputs_Refineries'!$B$85:$B$164,"Boiler")/SUM(SUMIFS('Key inputs_Refineries'!K$85:K$164,'Key inputs_Refineries'!$C$85:$C$164,$C139:$C148,'Key inputs_Refineries'!$B$85:$B$164,"Boiler"))&lt;0.001),0.001,SUMIFS('Key inputs_Refineries'!K$85:K$164,'Key inputs_Refineries'!$C$85:$C$164,$C148,'Key inputs_Refineries'!$B$85:$B$164,"Boiler")/SUM(SUMIFS('Key inputs_Refineries'!K$85:K$164,'Key inputs_Refineries'!$C$85:$C$164,$C139:$C148,'Key inputs_Refineries'!$B$85:$B$164,"Boiler"))),1)</f>
        <v>5.2685627539402593E-3</v>
      </c>
      <c r="R148" s="173" cm="1">
        <f t="array" ref="R148">IFERROR(IF(AND(SUMIFS('Key inputs_Refineries'!L$85:L$164,'Key inputs_Refineries'!$C$85:$C$164,$C148,'Key inputs_Refineries'!$B$85:$B$164,"Boiler")/SUM(SUMIFS('Key inputs_Refineries'!L$85:L$164,'Key inputs_Refineries'!$C$85:$C$164,$C139:$C148,'Key inputs_Refineries'!$B$85:$B$164,"Boiler"))&gt;0,SUMIFS('Key inputs_Refineries'!L$85:L$164,'Key inputs_Refineries'!$C$85:$C$164,$C148,'Key inputs_Refineries'!$B$85:$B$164,"Boiler")/SUM(SUMIFS('Key inputs_Refineries'!L$85:L$164,'Key inputs_Refineries'!$C$85:$C$164,$C139:$C148,'Key inputs_Refineries'!$B$85:$B$164,"Boiler"))&lt;0.001),0.001,SUMIFS('Key inputs_Refineries'!L$85:L$164,'Key inputs_Refineries'!$C$85:$C$164,$C148,'Key inputs_Refineries'!$B$85:$B$164,"Boiler")/SUM(SUMIFS('Key inputs_Refineries'!L$85:L$164,'Key inputs_Refineries'!$C$85:$C$164,$C139:$C148,'Key inputs_Refineries'!$B$85:$B$164,"Boiler"))),1)</f>
        <v>0</v>
      </c>
      <c r="S148" s="173" cm="1">
        <f t="array" ref="S148">IFERROR(IF(AND(SUMIFS('Key inputs_Refineries'!M$85:M$164,'Key inputs_Refineries'!$C$85:$C$164,$C148,'Key inputs_Refineries'!$B$85:$B$164,"Boiler")/SUM(SUMIFS('Key inputs_Refineries'!M$85:M$164,'Key inputs_Refineries'!$C$85:$C$164,$C139:$C148,'Key inputs_Refineries'!$B$85:$B$164,"Boiler"))&gt;0,SUMIFS('Key inputs_Refineries'!M$85:M$164,'Key inputs_Refineries'!$C$85:$C$164,$C148,'Key inputs_Refineries'!$B$85:$B$164,"Boiler")/SUM(SUMIFS('Key inputs_Refineries'!M$85:M$164,'Key inputs_Refineries'!$C$85:$C$164,$C139:$C148,'Key inputs_Refineries'!$B$85:$B$164,"Boiler"))&lt;0.001),0.001,SUMIFS('Key inputs_Refineries'!M$85:M$164,'Key inputs_Refineries'!$C$85:$C$164,$C148,'Key inputs_Refineries'!$B$85:$B$164,"Boiler")/SUM(SUMIFS('Key inputs_Refineries'!M$85:M$164,'Key inputs_Refineries'!$C$85:$C$164,$C139:$C148,'Key inputs_Refineries'!$B$85:$B$164,"Boiler"))),1)</f>
        <v>0</v>
      </c>
      <c r="T148" s="173" cm="1">
        <f t="array" ref="T148">IFERROR(IF(AND(SUMIFS('Key inputs_Refineries'!N$85:N$164,'Key inputs_Refineries'!$C$85:$C$164,$C148,'Key inputs_Refineries'!$B$85:$B$164,"Boiler")/SUM(SUMIFS('Key inputs_Refineries'!N$85:N$164,'Key inputs_Refineries'!$C$85:$C$164,$C139:$C148,'Key inputs_Refineries'!$B$85:$B$164,"Boiler"))&gt;0,SUMIFS('Key inputs_Refineries'!N$85:N$164,'Key inputs_Refineries'!$C$85:$C$164,$C148,'Key inputs_Refineries'!$B$85:$B$164,"Boiler")/SUM(SUMIFS('Key inputs_Refineries'!N$85:N$164,'Key inputs_Refineries'!$C$85:$C$164,$C139:$C148,'Key inputs_Refineries'!$B$85:$B$164,"Boiler"))&lt;0.001),0.001,SUMIFS('Key inputs_Refineries'!N$85:N$164,'Key inputs_Refineries'!$C$85:$C$164,$C148,'Key inputs_Refineries'!$B$85:$B$164,"Boiler")/SUM(SUMIFS('Key inputs_Refineries'!N$85:N$164,'Key inputs_Refineries'!$C$85:$C$164,$C139:$C148,'Key inputs_Refineries'!$B$85:$B$164,"Boiler"))),1)</f>
        <v>0.91624021930485366</v>
      </c>
      <c r="U148" s="173" cm="1">
        <f t="array" ref="U148">IFERROR(IF(AND(SUMIFS('Key inputs_Refineries'!O$85:O$164,'Key inputs_Refineries'!$C$85:$C$164,$C148,'Key inputs_Refineries'!$B$85:$B$164,"Boiler")/SUM(SUMIFS('Key inputs_Refineries'!O$85:O$164,'Key inputs_Refineries'!$C$85:$C$164,$C139:$C148,'Key inputs_Refineries'!$B$85:$B$164,"Boiler"))&gt;0,SUMIFS('Key inputs_Refineries'!O$85:O$164,'Key inputs_Refineries'!$C$85:$C$164,$C148,'Key inputs_Refineries'!$B$85:$B$164,"Boiler")/SUM(SUMIFS('Key inputs_Refineries'!O$85:O$164,'Key inputs_Refineries'!$C$85:$C$164,$C139:$C148,'Key inputs_Refineries'!$B$85:$B$164,"Boiler"))&lt;0.001),0.001,SUMIFS('Key inputs_Refineries'!O$85:O$164,'Key inputs_Refineries'!$C$85:$C$164,$C148,'Key inputs_Refineries'!$B$85:$B$164,"Boiler")/SUM(SUMIFS('Key inputs_Refineries'!O$85:O$164,'Key inputs_Refineries'!$C$85:$C$164,$C139:$C148,'Key inputs_Refineries'!$B$85:$B$164,"Boiler"))),1)</f>
        <v>0</v>
      </c>
      <c r="V148" s="173" cm="1">
        <f t="array" ref="V148">IFERROR(IF(AND(SUMIFS('Key inputs_Refineries'!P$85:P$164,'Key inputs_Refineries'!$C$85:$C$164,$C148,'Key inputs_Refineries'!$B$85:$B$164,"Boiler")/SUM(SUMIFS('Key inputs_Refineries'!P$85:P$164,'Key inputs_Refineries'!$C$85:$C$164,$C139:$C148,'Key inputs_Refineries'!$B$85:$B$164,"Boiler"))&gt;0,SUMIFS('Key inputs_Refineries'!P$85:P$164,'Key inputs_Refineries'!$C$85:$C$164,$C148,'Key inputs_Refineries'!$B$85:$B$164,"Boiler")/SUM(SUMIFS('Key inputs_Refineries'!P$85:P$164,'Key inputs_Refineries'!$C$85:$C$164,$C139:$C148,'Key inputs_Refineries'!$B$85:$B$164,"Boiler"))&lt;0.001),0.001,SUMIFS('Key inputs_Refineries'!P$85:P$164,'Key inputs_Refineries'!$C$85:$C$164,$C148,'Key inputs_Refineries'!$B$85:$B$164,"Boiler")/SUM(SUMIFS('Key inputs_Refineries'!P$85:P$164,'Key inputs_Refineries'!$C$85:$C$164,$C139:$C148,'Key inputs_Refineries'!$B$85:$B$164,"Boiler"))),1)</f>
        <v>0.77545242046249629</v>
      </c>
      <c r="W148" s="173" cm="1">
        <f t="array" ref="W148">IFERROR(IF(AND(SUMIFS('Key inputs_Refineries'!Q$85:Q$164,'Key inputs_Refineries'!$C$85:$C$164,$C148,'Key inputs_Refineries'!$B$85:$B$164,"Boiler")/SUM(SUMIFS('Key inputs_Refineries'!Q$85:Q$164,'Key inputs_Refineries'!$C$85:$C$164,$C139:$C148,'Key inputs_Refineries'!$B$85:$B$164,"Boiler"))&gt;0,SUMIFS('Key inputs_Refineries'!Q$85:Q$164,'Key inputs_Refineries'!$C$85:$C$164,$C148,'Key inputs_Refineries'!$B$85:$B$164,"Boiler")/SUM(SUMIFS('Key inputs_Refineries'!Q$85:Q$164,'Key inputs_Refineries'!$C$85:$C$164,$C139:$C148,'Key inputs_Refineries'!$B$85:$B$164,"Boiler"))&lt;0.001),0.001,SUMIFS('Key inputs_Refineries'!Q$85:Q$164,'Key inputs_Refineries'!$C$85:$C$164,$C148,'Key inputs_Refineries'!$B$85:$B$164,"Boiler")/SUM(SUMIFS('Key inputs_Refineries'!Q$85:Q$164,'Key inputs_Refineries'!$C$85:$C$164,$C139:$C148,'Key inputs_Refineries'!$B$85:$B$164,"Boiler"))),1)</f>
        <v>5.8358521716818726E-2</v>
      </c>
      <c r="X148" s="173" cm="1">
        <f t="array" ref="X148">IFERROR(IF(AND(SUMIFS('Key inputs_Refineries'!R$85:R$164,'Key inputs_Refineries'!$C$85:$C$164,$C148,'Key inputs_Refineries'!$B$85:$B$164,"Boiler")/SUM(SUMIFS('Key inputs_Refineries'!R$85:R$164,'Key inputs_Refineries'!$C$85:$C$164,$C139:$C148,'Key inputs_Refineries'!$B$85:$B$164,"Boiler"))&gt;0,SUMIFS('Key inputs_Refineries'!R$85:R$164,'Key inputs_Refineries'!$C$85:$C$164,$C148,'Key inputs_Refineries'!$B$85:$B$164,"Boiler")/SUM(SUMIFS('Key inputs_Refineries'!R$85:R$164,'Key inputs_Refineries'!$C$85:$C$164,$C139:$C148,'Key inputs_Refineries'!$B$85:$B$164,"Boiler"))&lt;0.001),0.001,SUMIFS('Key inputs_Refineries'!R$85:R$164,'Key inputs_Refineries'!$C$85:$C$164,$C148,'Key inputs_Refineries'!$B$85:$B$164,"Boiler")/SUM(SUMIFS('Key inputs_Refineries'!R$85:R$164,'Key inputs_Refineries'!$C$85:$C$164,$C139:$C148,'Key inputs_Refineries'!$B$85:$B$164,"Boiler"))),1)</f>
        <v>0.80941235239176013</v>
      </c>
      <c r="Y148" s="173" cm="1">
        <f t="array" ref="Y148">IFERROR(IF(AND(SUMIFS('Key inputs_Refineries'!S$85:S$164,'Key inputs_Refineries'!$C$85:$C$164,$C148,'Key inputs_Refineries'!$B$85:$B$164,"Boiler")/SUM(SUMIFS('Key inputs_Refineries'!S$85:S$164,'Key inputs_Refineries'!$C$85:$C$164,$C139:$C148,'Key inputs_Refineries'!$B$85:$B$164,"Boiler"))&gt;0,SUMIFS('Key inputs_Refineries'!S$85:S$164,'Key inputs_Refineries'!$C$85:$C$164,$C148,'Key inputs_Refineries'!$B$85:$B$164,"Boiler")/SUM(SUMIFS('Key inputs_Refineries'!S$85:S$164,'Key inputs_Refineries'!$C$85:$C$164,$C139:$C148,'Key inputs_Refineries'!$B$85:$B$164,"Boiler"))&lt;0.001),0.001,SUMIFS('Key inputs_Refineries'!S$85:S$164,'Key inputs_Refineries'!$C$85:$C$164,$C148,'Key inputs_Refineries'!$B$85:$B$164,"Boiler")/SUM(SUMIFS('Key inputs_Refineries'!S$85:S$164,'Key inputs_Refineries'!$C$85:$C$164,$C139:$C148,'Key inputs_Refineries'!$B$85:$B$164,"Boiler"))),1)</f>
        <v>0.56012845130970601</v>
      </c>
      <c r="Z148" s="173" cm="1">
        <f t="array" ref="Z148">IFERROR(IF(AND(SUMIFS('Key inputs_Refineries'!T$85:T$164,'Key inputs_Refineries'!$C$85:$C$164,$C148,'Key inputs_Refineries'!$B$85:$B$164,"Boiler")/SUM(SUMIFS('Key inputs_Refineries'!T$85:T$164,'Key inputs_Refineries'!$C$85:$C$164,$C139:$C148,'Key inputs_Refineries'!$B$85:$B$164,"Boiler"))&gt;0,SUMIFS('Key inputs_Refineries'!T$85:T$164,'Key inputs_Refineries'!$C$85:$C$164,$C148,'Key inputs_Refineries'!$B$85:$B$164,"Boiler")/SUM(SUMIFS('Key inputs_Refineries'!T$85:T$164,'Key inputs_Refineries'!$C$85:$C$164,$C139:$C148,'Key inputs_Refineries'!$B$85:$B$164,"Boiler"))&lt;0.001),0.001,SUMIFS('Key inputs_Refineries'!T$85:T$164,'Key inputs_Refineries'!$C$85:$C$164,$C148,'Key inputs_Refineries'!$B$85:$B$164,"Boiler")/SUM(SUMIFS('Key inputs_Refineries'!T$85:T$164,'Key inputs_Refineries'!$C$85:$C$164,$C139:$C148,'Key inputs_Refineries'!$B$85:$B$164,"Boiler"))),1)</f>
        <v>0.65636065153933998</v>
      </c>
      <c r="AA148" s="173" cm="1">
        <f t="array" ref="AA148">IFERROR(IF(AND(SUMIFS('Key inputs_Refineries'!U$85:U$164,'Key inputs_Refineries'!$C$85:$C$164,$C148,'Key inputs_Refineries'!$B$85:$B$164,"Boiler")/SUM(SUMIFS('Key inputs_Refineries'!U$85:U$164,'Key inputs_Refineries'!$C$85:$C$164,$C139:$C148,'Key inputs_Refineries'!$B$85:$B$164,"Boiler"))&gt;0,SUMIFS('Key inputs_Refineries'!U$85:U$164,'Key inputs_Refineries'!$C$85:$C$164,$C148,'Key inputs_Refineries'!$B$85:$B$164,"Boiler")/SUM(SUMIFS('Key inputs_Refineries'!U$85:U$164,'Key inputs_Refineries'!$C$85:$C$164,$C139:$C148,'Key inputs_Refineries'!$B$85:$B$164,"Boiler"))&lt;0.001),0.001,SUMIFS('Key inputs_Refineries'!U$85:U$164,'Key inputs_Refineries'!$C$85:$C$164,$C148,'Key inputs_Refineries'!$B$85:$B$164,"Boiler")/SUM(SUMIFS('Key inputs_Refineries'!U$85:U$164,'Key inputs_Refineries'!$C$85:$C$164,$C139:$C148,'Key inputs_Refineries'!$B$85:$B$164,"Boiler"))),1)</f>
        <v>0.46733479677810208</v>
      </c>
      <c r="AB148" s="173" cm="1">
        <f t="array" ref="AB148">IFERROR(IF(AND(SUMIFS('Key inputs_Refineries'!V$85:V$164,'Key inputs_Refineries'!$C$85:$C$164,$C148,'Key inputs_Refineries'!$B$85:$B$164,"Boiler")/SUM(SUMIFS('Key inputs_Refineries'!V$85:V$164,'Key inputs_Refineries'!$C$85:$C$164,$C139:$C148,'Key inputs_Refineries'!$B$85:$B$164,"Boiler"))&gt;0,SUMIFS('Key inputs_Refineries'!V$85:V$164,'Key inputs_Refineries'!$C$85:$C$164,$C148,'Key inputs_Refineries'!$B$85:$B$164,"Boiler")/SUM(SUMIFS('Key inputs_Refineries'!V$85:V$164,'Key inputs_Refineries'!$C$85:$C$164,$C139:$C148,'Key inputs_Refineries'!$B$85:$B$164,"Boiler"))&lt;0.001),0.001,SUMIFS('Key inputs_Refineries'!V$85:V$164,'Key inputs_Refineries'!$C$85:$C$164,$C148,'Key inputs_Refineries'!$B$85:$B$164,"Boiler")/SUM(SUMIFS('Key inputs_Refineries'!V$85:V$164,'Key inputs_Refineries'!$C$85:$C$164,$C139:$C148,'Key inputs_Refineries'!$B$85:$B$164,"Boiler"))),1)</f>
        <v>0</v>
      </c>
      <c r="AC148" s="173" cm="1">
        <f t="array" ref="AC148">IFERROR(IF(AND(SUMIFS('Key inputs_Refineries'!W$85:W$164,'Key inputs_Refineries'!$C$85:$C$164,$C148,'Key inputs_Refineries'!$B$85:$B$164,"Boiler")/SUM(SUMIFS('Key inputs_Refineries'!W$85:W$164,'Key inputs_Refineries'!$C$85:$C$164,$C139:$C148,'Key inputs_Refineries'!$B$85:$B$164,"Boiler"))&gt;0,SUMIFS('Key inputs_Refineries'!W$85:W$164,'Key inputs_Refineries'!$C$85:$C$164,$C148,'Key inputs_Refineries'!$B$85:$B$164,"Boiler")/SUM(SUMIFS('Key inputs_Refineries'!W$85:W$164,'Key inputs_Refineries'!$C$85:$C$164,$C139:$C148,'Key inputs_Refineries'!$B$85:$B$164,"Boiler"))&lt;0.001),0.001,SUMIFS('Key inputs_Refineries'!W$85:W$164,'Key inputs_Refineries'!$C$85:$C$164,$C148,'Key inputs_Refineries'!$B$85:$B$164,"Boiler")/SUM(SUMIFS('Key inputs_Refineries'!W$85:W$164,'Key inputs_Refineries'!$C$85:$C$164,$C139:$C148,'Key inputs_Refineries'!$B$85:$B$164,"Boiler"))),1)</f>
        <v>1</v>
      </c>
      <c r="AD148" s="173" cm="1">
        <f t="array" ref="AD148">IFERROR(IF(AND(SUMIFS('Key inputs_Refineries'!X$85:X$164,'Key inputs_Refineries'!$C$85:$C$164,$C148,'Key inputs_Refineries'!$B$85:$B$164,"Boiler")/SUM(SUMIFS('Key inputs_Refineries'!X$85:X$164,'Key inputs_Refineries'!$C$85:$C$164,$C139:$C148,'Key inputs_Refineries'!$B$85:$B$164,"Boiler"))&gt;0,SUMIFS('Key inputs_Refineries'!X$85:X$164,'Key inputs_Refineries'!$C$85:$C$164,$C148,'Key inputs_Refineries'!$B$85:$B$164,"Boiler")/SUM(SUMIFS('Key inputs_Refineries'!X$85:X$164,'Key inputs_Refineries'!$C$85:$C$164,$C139:$C148,'Key inputs_Refineries'!$B$85:$B$164,"Boiler"))&lt;0.001),0.001,SUMIFS('Key inputs_Refineries'!X$85:X$164,'Key inputs_Refineries'!$C$85:$C$164,$C148,'Key inputs_Refineries'!$B$85:$B$164,"Boiler")/SUM(SUMIFS('Key inputs_Refineries'!X$85:X$164,'Key inputs_Refineries'!$C$85:$C$164,$C139:$C148,'Key inputs_Refineries'!$B$85:$B$164,"Boiler"))),1)</f>
        <v>0.43903269260140848</v>
      </c>
      <c r="AE148" s="173" cm="1">
        <f t="array" ref="AE148">IFERROR(IF(AND(SUMIFS('Key inputs_Refineries'!Y$85:Y$164,'Key inputs_Refineries'!$C$85:$C$164,$C148,'Key inputs_Refineries'!$B$85:$B$164,"Boiler")/SUM(SUMIFS('Key inputs_Refineries'!Y$85:Y$164,'Key inputs_Refineries'!$C$85:$C$164,$C139:$C148,'Key inputs_Refineries'!$B$85:$B$164,"Boiler"))&gt;0,SUMIFS('Key inputs_Refineries'!Y$85:Y$164,'Key inputs_Refineries'!$C$85:$C$164,$C148,'Key inputs_Refineries'!$B$85:$B$164,"Boiler")/SUM(SUMIFS('Key inputs_Refineries'!Y$85:Y$164,'Key inputs_Refineries'!$C$85:$C$164,$C139:$C148,'Key inputs_Refineries'!$B$85:$B$164,"Boiler"))&lt;0.001),0.001,SUMIFS('Key inputs_Refineries'!Y$85:Y$164,'Key inputs_Refineries'!$C$85:$C$164,$C148,'Key inputs_Refineries'!$B$85:$B$164,"Boiler")/SUM(SUMIFS('Key inputs_Refineries'!Y$85:Y$164,'Key inputs_Refineries'!$C$85:$C$164,$C139:$C148,'Key inputs_Refineries'!$B$85:$B$164,"Boiler"))),1)</f>
        <v>1.2468981492366695E-2</v>
      </c>
      <c r="AF148" s="173" cm="1">
        <f t="array" ref="AF148">IFERROR(IF(AND(SUMIFS('Key inputs_Refineries'!Z$85:Z$164,'Key inputs_Refineries'!$C$85:$C$164,$C148,'Key inputs_Refineries'!$B$85:$B$164,"Boiler")/SUM(SUMIFS('Key inputs_Refineries'!Z$85:Z$164,'Key inputs_Refineries'!$C$85:$C$164,$C139:$C148,'Key inputs_Refineries'!$B$85:$B$164,"Boiler"))&gt;0,SUMIFS('Key inputs_Refineries'!Z$85:Z$164,'Key inputs_Refineries'!$C$85:$C$164,$C148,'Key inputs_Refineries'!$B$85:$B$164,"Boiler")/SUM(SUMIFS('Key inputs_Refineries'!Z$85:Z$164,'Key inputs_Refineries'!$C$85:$C$164,$C139:$C148,'Key inputs_Refineries'!$B$85:$B$164,"Boiler"))&lt;0.001),0.001,SUMIFS('Key inputs_Refineries'!Z$85:Z$164,'Key inputs_Refineries'!$C$85:$C$164,$C148,'Key inputs_Refineries'!$B$85:$B$164,"Boiler")/SUM(SUMIFS('Key inputs_Refineries'!Z$85:Z$164,'Key inputs_Refineries'!$C$85:$C$164,$C139:$C148,'Key inputs_Refineries'!$B$85:$B$164,"Boiler"))),1)</f>
        <v>3.9834048690817444E-3</v>
      </c>
      <c r="AG148" s="173" cm="1">
        <f t="array" ref="AG148">IFERROR(IF(AND(SUMIFS('Key inputs_Refineries'!AA$85:AA$164,'Key inputs_Refineries'!$C$85:$C$164,$C148,'Key inputs_Refineries'!$B$85:$B$164,"Boiler")/SUM(SUMIFS('Key inputs_Refineries'!AA$85:AA$164,'Key inputs_Refineries'!$C$85:$C$164,$C139:$C148,'Key inputs_Refineries'!$B$85:$B$164,"Boiler"))&gt;0,SUMIFS('Key inputs_Refineries'!AA$85:AA$164,'Key inputs_Refineries'!$C$85:$C$164,$C148,'Key inputs_Refineries'!$B$85:$B$164,"Boiler")/SUM(SUMIFS('Key inputs_Refineries'!AA$85:AA$164,'Key inputs_Refineries'!$C$85:$C$164,$C139:$C148,'Key inputs_Refineries'!$B$85:$B$164,"Boiler"))&lt;0.001),0.001,SUMIFS('Key inputs_Refineries'!AA$85:AA$164,'Key inputs_Refineries'!$C$85:$C$164,$C148,'Key inputs_Refineries'!$B$85:$B$164,"Boiler")/SUM(SUMIFS('Key inputs_Refineries'!AA$85:AA$164,'Key inputs_Refineries'!$C$85:$C$164,$C139:$C148,'Key inputs_Refineries'!$B$85:$B$164,"Boiler"))),1)</f>
        <v>5.2506838942529173E-2</v>
      </c>
      <c r="AH148" s="173" cm="1">
        <f t="array" ref="AH148">IFERROR(IF(AND(SUMIFS('Key inputs_Refineries'!AB$85:AB$164,'Key inputs_Refineries'!$C$85:$C$164,$C148,'Key inputs_Refineries'!$B$85:$B$164,"Boiler")/SUM(SUMIFS('Key inputs_Refineries'!AB$85:AB$164,'Key inputs_Refineries'!$C$85:$C$164,$C139:$C148,'Key inputs_Refineries'!$B$85:$B$164,"Boiler"))&gt;0,SUMIFS('Key inputs_Refineries'!AB$85:AB$164,'Key inputs_Refineries'!$C$85:$C$164,$C148,'Key inputs_Refineries'!$B$85:$B$164,"Boiler")/SUM(SUMIFS('Key inputs_Refineries'!AB$85:AB$164,'Key inputs_Refineries'!$C$85:$C$164,$C139:$C148,'Key inputs_Refineries'!$B$85:$B$164,"Boiler"))&lt;0.001),0.001,SUMIFS('Key inputs_Refineries'!AB$85:AB$164,'Key inputs_Refineries'!$C$85:$C$164,$C148,'Key inputs_Refineries'!$B$85:$B$164,"Boiler")/SUM(SUMIFS('Key inputs_Refineries'!AB$85:AB$164,'Key inputs_Refineries'!$C$85:$C$164,$C139:$C148,'Key inputs_Refineries'!$B$85:$B$164,"Boiler"))),1)</f>
        <v>9.4974097372733504E-2</v>
      </c>
      <c r="AI148" s="173" cm="1">
        <f t="array" ref="AI148">IFERROR(IF(AND(SUMIFS('Key inputs_Refineries'!AC$85:AC$164,'Key inputs_Refineries'!$C$85:$C$164,$C148,'Key inputs_Refineries'!$B$85:$B$164,"Boiler")/SUM(SUMIFS('Key inputs_Refineries'!AC$85:AC$164,'Key inputs_Refineries'!$C$85:$C$164,$C139:$C148,'Key inputs_Refineries'!$B$85:$B$164,"Boiler"))&gt;0,SUMIFS('Key inputs_Refineries'!AC$85:AC$164,'Key inputs_Refineries'!$C$85:$C$164,$C148,'Key inputs_Refineries'!$B$85:$B$164,"Boiler")/SUM(SUMIFS('Key inputs_Refineries'!AC$85:AC$164,'Key inputs_Refineries'!$C$85:$C$164,$C139:$C148,'Key inputs_Refineries'!$B$85:$B$164,"Boiler"))&lt;0.001),0.001,SUMIFS('Key inputs_Refineries'!AC$85:AC$164,'Key inputs_Refineries'!$C$85:$C$164,$C148,'Key inputs_Refineries'!$B$85:$B$164,"Boiler")/SUM(SUMIFS('Key inputs_Refineries'!AC$85:AC$164,'Key inputs_Refineries'!$C$85:$C$164,$C139:$C148,'Key inputs_Refineries'!$B$85:$B$164,"Boiler"))),1)</f>
        <v>1.2394645513138323E-2</v>
      </c>
      <c r="AJ148" s="173" cm="1">
        <f t="array" ref="AJ148">IFERROR(IF(AND(SUMIFS('Key inputs_Refineries'!AD$85:AD$164,'Key inputs_Refineries'!$C$85:$C$164,$C148,'Key inputs_Refineries'!$B$85:$B$164,"Boiler")/SUM(SUMIFS('Key inputs_Refineries'!AD$85:AD$164,'Key inputs_Refineries'!$C$85:$C$164,$C139:$C148,'Key inputs_Refineries'!$B$85:$B$164,"Boiler"))&gt;0,SUMIFS('Key inputs_Refineries'!AD$85:AD$164,'Key inputs_Refineries'!$C$85:$C$164,$C148,'Key inputs_Refineries'!$B$85:$B$164,"Boiler")/SUM(SUMIFS('Key inputs_Refineries'!AD$85:AD$164,'Key inputs_Refineries'!$C$85:$C$164,$C139:$C148,'Key inputs_Refineries'!$B$85:$B$164,"Boiler"))&lt;0.001),0.001,SUMIFS('Key inputs_Refineries'!AD$85:AD$164,'Key inputs_Refineries'!$C$85:$C$164,$C148,'Key inputs_Refineries'!$B$85:$B$164,"Boiler")/SUM(SUMIFS('Key inputs_Refineries'!AD$85:AD$164,'Key inputs_Refineries'!$C$85:$C$164,$C139:$C148,'Key inputs_Refineries'!$B$85:$B$164,"Boiler"))),1)</f>
        <v>1</v>
      </c>
      <c r="AK148" s="173" cm="1">
        <f t="array" ref="AK148">IFERROR(IF(AND(SUMIFS('Key inputs_Refineries'!AE$85:AE$164,'Key inputs_Refineries'!$C$85:$C$164,$C148,'Key inputs_Refineries'!$B$85:$B$164,"Boiler")/SUM(SUMIFS('Key inputs_Refineries'!AE$85:AE$164,'Key inputs_Refineries'!$C$85:$C$164,$C139:$C148,'Key inputs_Refineries'!$B$85:$B$164,"Boiler"))&gt;0,SUMIFS('Key inputs_Refineries'!AE$85:AE$164,'Key inputs_Refineries'!$C$85:$C$164,$C148,'Key inputs_Refineries'!$B$85:$B$164,"Boiler")/SUM(SUMIFS('Key inputs_Refineries'!AE$85:AE$164,'Key inputs_Refineries'!$C$85:$C$164,$C139:$C148,'Key inputs_Refineries'!$B$85:$B$164,"Boiler"))&lt;0.001),0.001,SUMIFS('Key inputs_Refineries'!AE$85:AE$164,'Key inputs_Refineries'!$C$85:$C$164,$C148,'Key inputs_Refineries'!$B$85:$B$164,"Boiler")/SUM(SUMIFS('Key inputs_Refineries'!AE$85:AE$164,'Key inputs_Refineries'!$C$85:$C$164,$C139:$C148,'Key inputs_Refineries'!$B$85:$B$164,"Boiler"))),1)</f>
        <v>0.26396698362328047</v>
      </c>
      <c r="AL148" s="173" cm="1">
        <f t="array" ref="AL148">IFERROR(IF(AND(SUMIFS('Key inputs_Refineries'!AF$85:AF$164,'Key inputs_Refineries'!$C$85:$C$164,$C148,'Key inputs_Refineries'!$B$85:$B$164,"Boiler")/SUM(SUMIFS('Key inputs_Refineries'!AF$85:AF$164,'Key inputs_Refineries'!$C$85:$C$164,$C139:$C148,'Key inputs_Refineries'!$B$85:$B$164,"Boiler"))&gt;0,SUMIFS('Key inputs_Refineries'!AF$85:AF$164,'Key inputs_Refineries'!$C$85:$C$164,$C148,'Key inputs_Refineries'!$B$85:$B$164,"Boiler")/SUM(SUMIFS('Key inputs_Refineries'!AF$85:AF$164,'Key inputs_Refineries'!$C$85:$C$164,$C139:$C148,'Key inputs_Refineries'!$B$85:$B$164,"Boiler"))&lt;0.001),0.001,SUMIFS('Key inputs_Refineries'!AF$85:AF$164,'Key inputs_Refineries'!$C$85:$C$164,$C148,'Key inputs_Refineries'!$B$85:$B$164,"Boiler")/SUM(SUMIFS('Key inputs_Refineries'!AF$85:AF$164,'Key inputs_Refineries'!$C$85:$C$164,$C139:$C148,'Key inputs_Refineries'!$B$85:$B$164,"Boiler"))),1)</f>
        <v>0.94020675648239993</v>
      </c>
    </row>
    <row r="149" spans="1:38">
      <c r="C149" t="s">
        <v>515</v>
      </c>
      <c r="G149" s="4" t="s">
        <v>702</v>
      </c>
      <c r="H149" t="s">
        <v>661</v>
      </c>
      <c r="I149">
        <v>2025</v>
      </c>
      <c r="J149" t="s">
        <v>650</v>
      </c>
      <c r="K149" s="173">
        <f>K140</f>
        <v>0</v>
      </c>
      <c r="L149" s="173">
        <f t="shared" ref="L149:AL149" si="8">L140</f>
        <v>0</v>
      </c>
      <c r="M149" s="173">
        <f t="shared" si="8"/>
        <v>5.4967007249105165E-2</v>
      </c>
      <c r="N149" s="173">
        <f t="shared" si="8"/>
        <v>0</v>
      </c>
      <c r="O149" s="173">
        <f t="shared" si="8"/>
        <v>0</v>
      </c>
      <c r="P149" s="173">
        <f t="shared" si="8"/>
        <v>7.5112298847973434E-3</v>
      </c>
      <c r="Q149" s="173">
        <f t="shared" si="8"/>
        <v>1.3591105951689957E-2</v>
      </c>
      <c r="R149" s="173">
        <f t="shared" si="8"/>
        <v>0</v>
      </c>
      <c r="S149" s="173">
        <f t="shared" si="8"/>
        <v>3.5051732768259555E-2</v>
      </c>
      <c r="T149" s="173">
        <f t="shared" si="8"/>
        <v>8.6333554563383288E-3</v>
      </c>
      <c r="U149" s="173">
        <f t="shared" si="8"/>
        <v>0</v>
      </c>
      <c r="V149" s="173">
        <f t="shared" si="8"/>
        <v>5.6882967399520768E-3</v>
      </c>
      <c r="W149" s="173">
        <f t="shared" si="8"/>
        <v>0</v>
      </c>
      <c r="X149" s="173">
        <f t="shared" si="8"/>
        <v>0</v>
      </c>
      <c r="Y149" s="173">
        <f t="shared" si="8"/>
        <v>2.7787994220171155E-3</v>
      </c>
      <c r="Z149" s="173">
        <f t="shared" si="8"/>
        <v>7.5121681310049548E-3</v>
      </c>
      <c r="AA149" s="173">
        <f t="shared" si="8"/>
        <v>1.3171639290390735E-2</v>
      </c>
      <c r="AB149" s="173">
        <f t="shared" si="8"/>
        <v>0.62732289155304854</v>
      </c>
      <c r="AC149" s="173">
        <f t="shared" si="8"/>
        <v>0</v>
      </c>
      <c r="AD149" s="173">
        <f t="shared" si="8"/>
        <v>9.5552781608146987E-3</v>
      </c>
      <c r="AE149" s="173">
        <f t="shared" si="8"/>
        <v>1.5014083212701699E-2</v>
      </c>
      <c r="AF149" s="173">
        <f t="shared" si="8"/>
        <v>3.8902919404541575E-2</v>
      </c>
      <c r="AG149" s="173">
        <f t="shared" si="8"/>
        <v>3.0454378123189886E-2</v>
      </c>
      <c r="AH149" s="173">
        <f t="shared" si="8"/>
        <v>0</v>
      </c>
      <c r="AI149" s="173">
        <f t="shared" si="8"/>
        <v>0.10262766484878531</v>
      </c>
      <c r="AJ149" s="173">
        <f t="shared" si="8"/>
        <v>0</v>
      </c>
      <c r="AK149" s="173">
        <f t="shared" si="8"/>
        <v>1E-3</v>
      </c>
      <c r="AL149" s="173">
        <f t="shared" si="8"/>
        <v>1.1727367954192493E-2</v>
      </c>
    </row>
    <row r="150" spans="1:38">
      <c r="C150" t="s">
        <v>517</v>
      </c>
      <c r="G150" s="4" t="s">
        <v>702</v>
      </c>
      <c r="H150" t="s">
        <v>661</v>
      </c>
      <c r="I150">
        <v>2025</v>
      </c>
      <c r="J150" t="s">
        <v>650</v>
      </c>
      <c r="K150" s="173">
        <f>K142</f>
        <v>0</v>
      </c>
      <c r="L150" s="173">
        <f t="shared" ref="L150:AL150" si="9">L142</f>
        <v>0</v>
      </c>
      <c r="M150" s="173">
        <f t="shared" si="9"/>
        <v>0</v>
      </c>
      <c r="N150" s="173">
        <f t="shared" si="9"/>
        <v>0</v>
      </c>
      <c r="O150" s="173">
        <f t="shared" si="9"/>
        <v>0</v>
      </c>
      <c r="P150" s="173">
        <f t="shared" si="9"/>
        <v>0</v>
      </c>
      <c r="Q150" s="173">
        <f t="shared" si="9"/>
        <v>0</v>
      </c>
      <c r="R150" s="173">
        <f t="shared" si="9"/>
        <v>0</v>
      </c>
      <c r="S150" s="173">
        <f t="shared" si="9"/>
        <v>0</v>
      </c>
      <c r="T150" s="173">
        <f t="shared" si="9"/>
        <v>2.7912331012078389E-2</v>
      </c>
      <c r="U150" s="173">
        <f t="shared" si="9"/>
        <v>0</v>
      </c>
      <c r="V150" s="173">
        <f t="shared" si="9"/>
        <v>1E-3</v>
      </c>
      <c r="W150" s="173">
        <f t="shared" si="9"/>
        <v>0</v>
      </c>
      <c r="X150" s="173">
        <f t="shared" si="9"/>
        <v>0</v>
      </c>
      <c r="Y150" s="173">
        <f t="shared" si="9"/>
        <v>0</v>
      </c>
      <c r="Z150" s="173">
        <f t="shared" si="9"/>
        <v>0</v>
      </c>
      <c r="AA150" s="173">
        <f t="shared" si="9"/>
        <v>0</v>
      </c>
      <c r="AB150" s="173">
        <f t="shared" si="9"/>
        <v>0</v>
      </c>
      <c r="AC150" s="173">
        <f t="shared" si="9"/>
        <v>0</v>
      </c>
      <c r="AD150" s="173">
        <f t="shared" si="9"/>
        <v>1E-3</v>
      </c>
      <c r="AE150" s="173">
        <f t="shared" si="9"/>
        <v>2.0134433337153691E-2</v>
      </c>
      <c r="AF150" s="173">
        <f t="shared" si="9"/>
        <v>0</v>
      </c>
      <c r="AG150" s="173">
        <f t="shared" si="9"/>
        <v>0</v>
      </c>
      <c r="AH150" s="173">
        <f t="shared" si="9"/>
        <v>0</v>
      </c>
      <c r="AI150" s="173">
        <f t="shared" si="9"/>
        <v>0</v>
      </c>
      <c r="AJ150" s="173">
        <f t="shared" si="9"/>
        <v>0</v>
      </c>
      <c r="AK150" s="173">
        <f t="shared" si="9"/>
        <v>0</v>
      </c>
      <c r="AL150" s="173">
        <f t="shared" si="9"/>
        <v>2.4176673865044865E-3</v>
      </c>
    </row>
    <row r="151" spans="1:38">
      <c r="C151" t="s">
        <v>515</v>
      </c>
      <c r="G151" s="4" t="s">
        <v>702</v>
      </c>
      <c r="H151" t="s">
        <v>661</v>
      </c>
      <c r="I151">
        <v>2050</v>
      </c>
      <c r="J151" t="s">
        <v>650</v>
      </c>
      <c r="K151" s="173">
        <f>K149</f>
        <v>0</v>
      </c>
      <c r="L151" s="173">
        <f t="shared" ref="L151:AL151" si="10">L149</f>
        <v>0</v>
      </c>
      <c r="M151" s="173">
        <f t="shared" si="10"/>
        <v>5.4967007249105165E-2</v>
      </c>
      <c r="N151" s="173">
        <f t="shared" si="10"/>
        <v>0</v>
      </c>
      <c r="O151" s="173">
        <f t="shared" si="10"/>
        <v>0</v>
      </c>
      <c r="P151" s="173">
        <f t="shared" si="10"/>
        <v>7.5112298847973434E-3</v>
      </c>
      <c r="Q151" s="173">
        <f t="shared" si="10"/>
        <v>1.3591105951689957E-2</v>
      </c>
      <c r="R151" s="173">
        <f t="shared" si="10"/>
        <v>0</v>
      </c>
      <c r="S151" s="173">
        <f t="shared" si="10"/>
        <v>3.5051732768259555E-2</v>
      </c>
      <c r="T151" s="173">
        <f t="shared" si="10"/>
        <v>8.6333554563383288E-3</v>
      </c>
      <c r="U151" s="173">
        <f t="shared" si="10"/>
        <v>0</v>
      </c>
      <c r="V151" s="173">
        <f t="shared" si="10"/>
        <v>5.6882967399520768E-3</v>
      </c>
      <c r="W151" s="173">
        <f t="shared" si="10"/>
        <v>0</v>
      </c>
      <c r="X151" s="173">
        <f t="shared" si="10"/>
        <v>0</v>
      </c>
      <c r="Y151" s="173">
        <f t="shared" si="10"/>
        <v>2.7787994220171155E-3</v>
      </c>
      <c r="Z151" s="173">
        <f t="shared" si="10"/>
        <v>7.5121681310049548E-3</v>
      </c>
      <c r="AA151" s="173">
        <f t="shared" si="10"/>
        <v>1.3171639290390735E-2</v>
      </c>
      <c r="AB151" s="173">
        <f t="shared" si="10"/>
        <v>0.62732289155304854</v>
      </c>
      <c r="AC151" s="173">
        <f t="shared" si="10"/>
        <v>0</v>
      </c>
      <c r="AD151" s="173">
        <f t="shared" si="10"/>
        <v>9.5552781608146987E-3</v>
      </c>
      <c r="AE151" s="173">
        <f t="shared" si="10"/>
        <v>1.5014083212701699E-2</v>
      </c>
      <c r="AF151" s="173">
        <f t="shared" si="10"/>
        <v>3.8902919404541575E-2</v>
      </c>
      <c r="AG151" s="173">
        <f t="shared" si="10"/>
        <v>3.0454378123189886E-2</v>
      </c>
      <c r="AH151" s="173">
        <f t="shared" si="10"/>
        <v>0</v>
      </c>
      <c r="AI151" s="173">
        <f t="shared" si="10"/>
        <v>0.10262766484878531</v>
      </c>
      <c r="AJ151" s="173">
        <f t="shared" si="10"/>
        <v>0</v>
      </c>
      <c r="AK151" s="173">
        <f t="shared" si="10"/>
        <v>1E-3</v>
      </c>
      <c r="AL151" s="173">
        <f t="shared" si="10"/>
        <v>1.1727367954192493E-2</v>
      </c>
    </row>
    <row r="152" spans="1:38">
      <c r="C152" t="s">
        <v>517</v>
      </c>
      <c r="G152" s="4" t="s">
        <v>702</v>
      </c>
      <c r="H152" t="s">
        <v>661</v>
      </c>
      <c r="I152">
        <v>2050</v>
      </c>
      <c r="J152" t="s">
        <v>650</v>
      </c>
      <c r="K152" s="173">
        <f>K150</f>
        <v>0</v>
      </c>
      <c r="L152" s="173">
        <f t="shared" ref="L152:AL152" si="11">L150</f>
        <v>0</v>
      </c>
      <c r="M152" s="173">
        <f t="shared" si="11"/>
        <v>0</v>
      </c>
      <c r="N152" s="173">
        <f t="shared" si="11"/>
        <v>0</v>
      </c>
      <c r="O152" s="173">
        <f t="shared" si="11"/>
        <v>0</v>
      </c>
      <c r="P152" s="173">
        <f t="shared" si="11"/>
        <v>0</v>
      </c>
      <c r="Q152" s="173">
        <f t="shared" si="11"/>
        <v>0</v>
      </c>
      <c r="R152" s="173">
        <f t="shared" si="11"/>
        <v>0</v>
      </c>
      <c r="S152" s="173">
        <f t="shared" si="11"/>
        <v>0</v>
      </c>
      <c r="T152" s="173">
        <f t="shared" si="11"/>
        <v>2.7912331012078389E-2</v>
      </c>
      <c r="U152" s="173">
        <f t="shared" si="11"/>
        <v>0</v>
      </c>
      <c r="V152" s="173">
        <f t="shared" si="11"/>
        <v>1E-3</v>
      </c>
      <c r="W152" s="173">
        <f t="shared" si="11"/>
        <v>0</v>
      </c>
      <c r="X152" s="173">
        <f t="shared" si="11"/>
        <v>0</v>
      </c>
      <c r="Y152" s="173">
        <f t="shared" si="11"/>
        <v>0</v>
      </c>
      <c r="Z152" s="173">
        <f t="shared" si="11"/>
        <v>0</v>
      </c>
      <c r="AA152" s="173">
        <f t="shared" si="11"/>
        <v>0</v>
      </c>
      <c r="AB152" s="173">
        <f t="shared" si="11"/>
        <v>0</v>
      </c>
      <c r="AC152" s="173">
        <f t="shared" si="11"/>
        <v>0</v>
      </c>
      <c r="AD152" s="173">
        <f t="shared" si="11"/>
        <v>1E-3</v>
      </c>
      <c r="AE152" s="173">
        <f t="shared" si="11"/>
        <v>2.0134433337153691E-2</v>
      </c>
      <c r="AF152" s="173">
        <f t="shared" si="11"/>
        <v>0</v>
      </c>
      <c r="AG152" s="173">
        <f t="shared" si="11"/>
        <v>0</v>
      </c>
      <c r="AH152" s="173">
        <f t="shared" si="11"/>
        <v>0</v>
      </c>
      <c r="AI152" s="173">
        <f t="shared" si="11"/>
        <v>0</v>
      </c>
      <c r="AJ152" s="173">
        <f t="shared" si="11"/>
        <v>0</v>
      </c>
      <c r="AK152" s="173">
        <f t="shared" si="11"/>
        <v>0</v>
      </c>
      <c r="AL152" s="173">
        <f t="shared" si="11"/>
        <v>2.4176673865044865E-3</v>
      </c>
    </row>
    <row r="153" spans="1:38">
      <c r="D153" t="str">
        <f>Commodities!$C$105</f>
        <v>UREFHET</v>
      </c>
    </row>
    <row r="154" spans="1:38">
      <c r="A154" s="4" t="str">
        <f>AO18</f>
        <v>U-TRF-OILREFHET_BIO00</v>
      </c>
      <c r="B154" s="4" t="str">
        <f>AP18</f>
        <v>UPS Transformation: Oil refinery process heat Biomass - Existing</v>
      </c>
      <c r="C154" s="4"/>
      <c r="D154" s="4"/>
      <c r="E154" s="4"/>
      <c r="F154" s="4"/>
      <c r="G154" s="4" t="s">
        <v>695</v>
      </c>
      <c r="H154" s="4"/>
      <c r="I154" s="4"/>
      <c r="J154" s="4" t="s">
        <v>2665</v>
      </c>
      <c r="K154" s="333">
        <v>1</v>
      </c>
      <c r="L154" s="333">
        <v>1</v>
      </c>
      <c r="M154" s="333">
        <v>1</v>
      </c>
      <c r="N154" s="333">
        <v>1</v>
      </c>
      <c r="O154" s="333">
        <v>1</v>
      </c>
      <c r="P154" s="333">
        <v>1</v>
      </c>
      <c r="Q154" s="333">
        <v>1</v>
      </c>
      <c r="R154" s="333">
        <v>1</v>
      </c>
      <c r="S154" s="333">
        <v>1</v>
      </c>
      <c r="T154" s="333">
        <v>1</v>
      </c>
      <c r="U154" s="333">
        <v>1</v>
      </c>
      <c r="V154" s="333">
        <v>1</v>
      </c>
      <c r="W154" s="333">
        <v>1</v>
      </c>
      <c r="X154" s="333">
        <v>1</v>
      </c>
      <c r="Y154" s="333">
        <v>1</v>
      </c>
      <c r="Z154" s="333">
        <v>1</v>
      </c>
      <c r="AA154" s="333">
        <v>1</v>
      </c>
      <c r="AB154" s="333">
        <v>1</v>
      </c>
      <c r="AC154" s="333">
        <v>1</v>
      </c>
      <c r="AD154" s="333">
        <v>1</v>
      </c>
      <c r="AE154" s="333">
        <v>1</v>
      </c>
      <c r="AF154" s="333">
        <v>1</v>
      </c>
      <c r="AG154" s="333">
        <v>1</v>
      </c>
      <c r="AH154" s="333">
        <v>1</v>
      </c>
      <c r="AI154" s="333">
        <v>1</v>
      </c>
      <c r="AJ154" s="333">
        <v>1</v>
      </c>
      <c r="AK154" s="333">
        <v>1</v>
      </c>
      <c r="AL154" s="333">
        <v>1</v>
      </c>
    </row>
    <row r="155" spans="1:38">
      <c r="C155" s="4"/>
      <c r="D155" s="4"/>
      <c r="E155" s="4"/>
      <c r="F155" s="4"/>
      <c r="G155" s="4" t="s">
        <v>697</v>
      </c>
      <c r="H155" s="4"/>
      <c r="I155" s="4"/>
      <c r="J155" s="4" t="s">
        <v>698</v>
      </c>
      <c r="K155" s="424">
        <f>'Key inputs_Refineries'!$F$180</f>
        <v>15</v>
      </c>
      <c r="L155" s="424">
        <f>'Key inputs_Refineries'!$F$180</f>
        <v>15</v>
      </c>
      <c r="M155" s="424">
        <f>'Key inputs_Refineries'!$F$180</f>
        <v>15</v>
      </c>
      <c r="N155" s="424">
        <f>'Key inputs_Refineries'!$F$180</f>
        <v>15</v>
      </c>
      <c r="O155" s="424">
        <f>'Key inputs_Refineries'!$F$180</f>
        <v>15</v>
      </c>
      <c r="P155" s="424">
        <f>'Key inputs_Refineries'!$F$180</f>
        <v>15</v>
      </c>
      <c r="Q155" s="424">
        <f>'Key inputs_Refineries'!$F$180</f>
        <v>15</v>
      </c>
      <c r="R155" s="424">
        <f>'Key inputs_Refineries'!$F$180</f>
        <v>15</v>
      </c>
      <c r="S155" s="424">
        <f>'Key inputs_Refineries'!$F$180</f>
        <v>15</v>
      </c>
      <c r="T155" s="424">
        <f>'Key inputs_Refineries'!$F$180</f>
        <v>15</v>
      </c>
      <c r="U155" s="424">
        <f>'Key inputs_Refineries'!$F$180</f>
        <v>15</v>
      </c>
      <c r="V155" s="424">
        <f>'Key inputs_Refineries'!$F$180</f>
        <v>15</v>
      </c>
      <c r="W155" s="424">
        <f>'Key inputs_Refineries'!$F$180</f>
        <v>15</v>
      </c>
      <c r="X155" s="424">
        <f>'Key inputs_Refineries'!$F$180</f>
        <v>15</v>
      </c>
      <c r="Y155" s="424">
        <f>'Key inputs_Refineries'!$F$180</f>
        <v>15</v>
      </c>
      <c r="Z155" s="424">
        <f>'Key inputs_Refineries'!$F$180</f>
        <v>15</v>
      </c>
      <c r="AA155" s="424">
        <f>'Key inputs_Refineries'!$F$180</f>
        <v>15</v>
      </c>
      <c r="AB155" s="424">
        <f>'Key inputs_Refineries'!$F$180</f>
        <v>15</v>
      </c>
      <c r="AC155" s="424">
        <f>'Key inputs_Refineries'!$F$180</f>
        <v>15</v>
      </c>
      <c r="AD155" s="424">
        <f>'Key inputs_Refineries'!$F$180</f>
        <v>15</v>
      </c>
      <c r="AE155" s="424">
        <f>'Key inputs_Refineries'!$F$180</f>
        <v>15</v>
      </c>
      <c r="AF155" s="424">
        <f>'Key inputs_Refineries'!$F$180</f>
        <v>15</v>
      </c>
      <c r="AG155" s="424">
        <f>'Key inputs_Refineries'!$F$180</f>
        <v>15</v>
      </c>
      <c r="AH155" s="424">
        <f>'Key inputs_Refineries'!$F$180</f>
        <v>15</v>
      </c>
      <c r="AI155" s="424">
        <f>'Key inputs_Refineries'!$F$180</f>
        <v>15</v>
      </c>
      <c r="AJ155" s="424">
        <f>'Key inputs_Refineries'!$F$180</f>
        <v>15</v>
      </c>
      <c r="AK155" s="424">
        <f>'Key inputs_Refineries'!$F$180</f>
        <v>15</v>
      </c>
      <c r="AL155" s="424">
        <f>'Key inputs_Refineries'!$F$180</f>
        <v>15</v>
      </c>
    </row>
    <row r="156" spans="1:38">
      <c r="C156" s="4"/>
      <c r="D156" s="4"/>
      <c r="E156" s="4"/>
      <c r="F156" s="4"/>
      <c r="G156" s="4" t="s">
        <v>699</v>
      </c>
      <c r="H156" s="4"/>
      <c r="I156" s="4">
        <v>2019</v>
      </c>
      <c r="J156" s="4" t="s">
        <v>112</v>
      </c>
      <c r="K156" s="347" cm="1">
        <f t="array" ref="K156">-SUM(SUMIFS('Key inputs_Refineries'!E$85:E$164,'Key inputs_Refineries'!$C$85:$C$164,$C164:$C165,'Key inputs_Refineries'!$B$85:$B$164,"Process heat"))*K163/10^3</f>
        <v>0</v>
      </c>
      <c r="L156" s="347" cm="1">
        <f t="array" ref="L156">-SUM(SUMIFS('Key inputs_Refineries'!F$85:F$164,'Key inputs_Refineries'!$C$85:$C$164,$C164:$C165,'Key inputs_Refineries'!$B$85:$B$164,"Process heat"))*L163/10^3</f>
        <v>0</v>
      </c>
      <c r="M156" s="347" cm="1">
        <f t="array" ref="M156">-SUM(SUMIFS('Key inputs_Refineries'!G$85:G$164,'Key inputs_Refineries'!$C$85:$C$164,$C164:$C165,'Key inputs_Refineries'!$B$85:$B$164,"Process heat"))*M163/10^3</f>
        <v>0</v>
      </c>
      <c r="N156" s="347" cm="1">
        <f t="array" ref="N156">-SUM(SUMIFS('Key inputs_Refineries'!H$85:H$164,'Key inputs_Refineries'!$C$85:$C$164,$C164:$C165,'Key inputs_Refineries'!$B$85:$B$164,"Process heat"))*N163/10^3</f>
        <v>0</v>
      </c>
      <c r="O156" s="347" cm="1">
        <f t="array" ref="O156">-SUM(SUMIFS('Key inputs_Refineries'!I$85:I$164,'Key inputs_Refineries'!$C$85:$C$164,$C164:$C165,'Key inputs_Refineries'!$B$85:$B$164,"Process heat"))*O163/10^3</f>
        <v>0</v>
      </c>
      <c r="P156" s="347" cm="1">
        <f t="array" ref="P156">-SUM(SUMIFS('Key inputs_Refineries'!J$85:J$164,'Key inputs_Refineries'!$C$85:$C$164,$C164:$C165,'Key inputs_Refineries'!$B$85:$B$164,"Process heat"))*P163/10^3</f>
        <v>0</v>
      </c>
      <c r="Q156" s="347" cm="1">
        <f t="array" ref="Q156">-SUM(SUMIFS('Key inputs_Refineries'!K$85:K$164,'Key inputs_Refineries'!$C$85:$C$164,$C164:$C165,'Key inputs_Refineries'!$B$85:$B$164,"Process heat"))*Q163/10^3</f>
        <v>0</v>
      </c>
      <c r="R156" s="347" cm="1">
        <f t="array" ref="R156">-SUM(SUMIFS('Key inputs_Refineries'!L$85:L$164,'Key inputs_Refineries'!$C$85:$C$164,$C164:$C165,'Key inputs_Refineries'!$B$85:$B$164,"Process heat"))*R163/10^3</f>
        <v>0</v>
      </c>
      <c r="S156" s="347" cm="1">
        <f t="array" ref="S156">-SUM(SUMIFS('Key inputs_Refineries'!M$85:M$164,'Key inputs_Refineries'!$C$85:$C$164,$C164:$C165,'Key inputs_Refineries'!$B$85:$B$164,"Process heat"))*S163/10^3</f>
        <v>0</v>
      </c>
      <c r="T156" s="347" cm="1">
        <f t="array" ref="T156">-SUM(SUMIFS('Key inputs_Refineries'!N$85:N$164,'Key inputs_Refineries'!$C$85:$C$164,$C164:$C165,'Key inputs_Refineries'!$B$85:$B$164,"Process heat"))*T163/10^3</f>
        <v>0</v>
      </c>
      <c r="U156" s="347" cm="1">
        <f t="array" ref="U156">-SUM(SUMIFS('Key inputs_Refineries'!O$85:O$164,'Key inputs_Refineries'!$C$85:$C$164,$C164:$C165,'Key inputs_Refineries'!$B$85:$B$164,"Process heat"))*U163/10^3</f>
        <v>0</v>
      </c>
      <c r="V156" s="347" cm="1">
        <f t="array" ref="V156">-SUM(SUMIFS('Key inputs_Refineries'!P$85:P$164,'Key inputs_Refineries'!$C$85:$C$164,$C164:$C165,'Key inputs_Refineries'!$B$85:$B$164,"Process heat"))*V163/10^3</f>
        <v>0</v>
      </c>
      <c r="W156" s="347" cm="1">
        <f t="array" ref="W156">-SUM(SUMIFS('Key inputs_Refineries'!Q$85:Q$164,'Key inputs_Refineries'!$C$85:$C$164,$C164:$C165,'Key inputs_Refineries'!$B$85:$B$164,"Process heat"))*W163/10^3</f>
        <v>0</v>
      </c>
      <c r="X156" s="347" cm="1">
        <f t="array" ref="X156">-SUM(SUMIFS('Key inputs_Refineries'!R$85:R$164,'Key inputs_Refineries'!$C$85:$C$164,$C164:$C165,'Key inputs_Refineries'!$B$85:$B$164,"Process heat"))*X163/10^3</f>
        <v>0</v>
      </c>
      <c r="Y156" s="347" cm="1">
        <f t="array" ref="Y156">-SUM(SUMIFS('Key inputs_Refineries'!S$85:S$164,'Key inputs_Refineries'!$C$85:$C$164,$C164:$C165,'Key inputs_Refineries'!$B$85:$B$164,"Process heat"))*Y163/10^3</f>
        <v>3.6669170413491714E-4</v>
      </c>
      <c r="Z156" s="347" cm="1">
        <f t="array" ref="Z156">-SUM(SUMIFS('Key inputs_Refineries'!T$85:T$164,'Key inputs_Refineries'!$C$85:$C$164,$C164:$C165,'Key inputs_Refineries'!$B$85:$B$164,"Process heat"))*Z163/10^3</f>
        <v>0</v>
      </c>
      <c r="AA156" s="347" cm="1">
        <f t="array" ref="AA156">-SUM(SUMIFS('Key inputs_Refineries'!U$85:U$164,'Key inputs_Refineries'!$C$85:$C$164,$C164:$C165,'Key inputs_Refineries'!$B$85:$B$164,"Process heat"))*AA163/10^3</f>
        <v>0.10929017374334118</v>
      </c>
      <c r="AB156" s="347" cm="1">
        <f t="array" ref="AB156">-SUM(SUMIFS('Key inputs_Refineries'!V$85:V$164,'Key inputs_Refineries'!$C$85:$C$164,$C164:$C165,'Key inputs_Refineries'!$B$85:$B$164,"Process heat"))*AB163/10^3</f>
        <v>0</v>
      </c>
      <c r="AC156" s="347" cm="1">
        <f t="array" ref="AC156">-SUM(SUMIFS('Key inputs_Refineries'!W$85:W$164,'Key inputs_Refineries'!$C$85:$C$164,$C164:$C165,'Key inputs_Refineries'!$B$85:$B$164,"Process heat"))*AC163/10^3</f>
        <v>0</v>
      </c>
      <c r="AD156" s="347" cm="1">
        <f t="array" ref="AD156">-SUM(SUMIFS('Key inputs_Refineries'!X$85:X$164,'Key inputs_Refineries'!$C$85:$C$164,$C164:$C165,'Key inputs_Refineries'!$B$85:$B$164,"Process heat"))*AD163/10^3</f>
        <v>0</v>
      </c>
      <c r="AE156" s="347" cm="1">
        <f t="array" ref="AE156">-SUM(SUMIFS('Key inputs_Refineries'!Y$85:Y$164,'Key inputs_Refineries'!$C$85:$C$164,$C164:$C165,'Key inputs_Refineries'!$B$85:$B$164,"Process heat"))*AE163/10^3</f>
        <v>0</v>
      </c>
      <c r="AF156" s="347" cm="1">
        <f t="array" ref="AF156">-SUM(SUMIFS('Key inputs_Refineries'!Z$85:Z$164,'Key inputs_Refineries'!$C$85:$C$164,$C164:$C165,'Key inputs_Refineries'!$B$85:$B$164,"Process heat"))*AF163/10^3</f>
        <v>0</v>
      </c>
      <c r="AG156" s="347" cm="1">
        <f t="array" ref="AG156">-SUM(SUMIFS('Key inputs_Refineries'!AA$85:AA$164,'Key inputs_Refineries'!$C$85:$C$164,$C164:$C165,'Key inputs_Refineries'!$B$85:$B$164,"Process heat"))*AG163/10^3</f>
        <v>0</v>
      </c>
      <c r="AH156" s="347" cm="1">
        <f t="array" ref="AH156">-SUM(SUMIFS('Key inputs_Refineries'!AB$85:AB$164,'Key inputs_Refineries'!$C$85:$C$164,$C164:$C165,'Key inputs_Refineries'!$B$85:$B$164,"Process heat"))*AH163/10^3</f>
        <v>0</v>
      </c>
      <c r="AI156" s="347" cm="1">
        <f t="array" ref="AI156">-SUM(SUMIFS('Key inputs_Refineries'!AC$85:AC$164,'Key inputs_Refineries'!$C$85:$C$164,$C164:$C165,'Key inputs_Refineries'!$B$85:$B$164,"Process heat"))*AI163/10^3</f>
        <v>0</v>
      </c>
      <c r="AJ156" s="347" cm="1">
        <f t="array" ref="AJ156">-SUM(SUMIFS('Key inputs_Refineries'!AD$85:AD$164,'Key inputs_Refineries'!$C$85:$C$164,$C164:$C165,'Key inputs_Refineries'!$B$85:$B$164,"Process heat"))*AJ163/10^3</f>
        <v>2.1822719999999998</v>
      </c>
      <c r="AK156" s="347" cm="1">
        <f t="array" ref="AK156">-SUM(SUMIFS('Key inputs_Refineries'!AE$85:AE$164,'Key inputs_Refineries'!$C$85:$C$164,$C164:$C165,'Key inputs_Refineries'!$B$85:$B$164,"Process heat"))*AK163/10^3</f>
        <v>0</v>
      </c>
      <c r="AL156" s="347" cm="1">
        <f t="array" ref="AL156">-SUM(SUMIFS('Key inputs_Refineries'!AF$85:AF$164,'Key inputs_Refineries'!$C$85:$C$164,$C164:$C165,'Key inputs_Refineries'!$B$85:$B$164,"Process heat"))*AL163/10^3</f>
        <v>0</v>
      </c>
    </row>
    <row r="157" spans="1:38">
      <c r="G157" s="4" t="s">
        <v>701</v>
      </c>
      <c r="H157" s="4" t="s">
        <v>661</v>
      </c>
      <c r="I157" s="4">
        <v>2019</v>
      </c>
      <c r="J157" s="4" t="s">
        <v>112</v>
      </c>
      <c r="K157" s="333">
        <v>0</v>
      </c>
      <c r="L157" s="333">
        <v>0</v>
      </c>
      <c r="M157" s="333">
        <v>0</v>
      </c>
      <c r="N157" s="333">
        <v>0</v>
      </c>
      <c r="O157" s="333">
        <v>0</v>
      </c>
      <c r="P157" s="333">
        <v>0</v>
      </c>
      <c r="Q157" s="333">
        <v>0</v>
      </c>
      <c r="R157" s="333">
        <v>0</v>
      </c>
      <c r="S157" s="333">
        <v>0</v>
      </c>
      <c r="T157" s="333">
        <v>0</v>
      </c>
      <c r="U157" s="333">
        <v>0</v>
      </c>
      <c r="V157" s="333">
        <v>0</v>
      </c>
      <c r="W157" s="333">
        <v>0</v>
      </c>
      <c r="X157" s="333">
        <v>0</v>
      </c>
      <c r="Y157" s="333">
        <v>0</v>
      </c>
      <c r="Z157" s="333">
        <v>0</v>
      </c>
      <c r="AA157" s="333">
        <v>0</v>
      </c>
      <c r="AB157" s="333">
        <v>0</v>
      </c>
      <c r="AC157" s="333">
        <v>0</v>
      </c>
      <c r="AD157" s="333">
        <v>0</v>
      </c>
      <c r="AE157" s="333">
        <v>0</v>
      </c>
      <c r="AF157" s="333">
        <v>0</v>
      </c>
      <c r="AG157" s="333">
        <v>0</v>
      </c>
      <c r="AH157" s="333">
        <v>0</v>
      </c>
      <c r="AI157" s="333">
        <v>0</v>
      </c>
      <c r="AJ157" s="333">
        <v>0</v>
      </c>
      <c r="AK157" s="333">
        <v>0</v>
      </c>
      <c r="AL157" s="333">
        <v>0</v>
      </c>
    </row>
    <row r="158" spans="1:38">
      <c r="G158" s="4" t="s">
        <v>701</v>
      </c>
      <c r="H158" s="4" t="s">
        <v>661</v>
      </c>
      <c r="I158" s="4">
        <v>2060</v>
      </c>
      <c r="J158" s="4" t="s">
        <v>112</v>
      </c>
      <c r="K158" s="333">
        <v>0</v>
      </c>
      <c r="L158" s="333">
        <v>0</v>
      </c>
      <c r="M158" s="333">
        <v>0</v>
      </c>
      <c r="N158" s="333">
        <v>0</v>
      </c>
      <c r="O158" s="333">
        <v>0</v>
      </c>
      <c r="P158" s="333">
        <v>0</v>
      </c>
      <c r="Q158" s="333">
        <v>0</v>
      </c>
      <c r="R158" s="333">
        <v>0</v>
      </c>
      <c r="S158" s="333">
        <v>0</v>
      </c>
      <c r="T158" s="333">
        <v>0</v>
      </c>
      <c r="U158" s="333">
        <v>0</v>
      </c>
      <c r="V158" s="333">
        <v>0</v>
      </c>
      <c r="W158" s="333">
        <v>0</v>
      </c>
      <c r="X158" s="333">
        <v>0</v>
      </c>
      <c r="Y158" s="333">
        <v>0</v>
      </c>
      <c r="Z158" s="333">
        <v>0</v>
      </c>
      <c r="AA158" s="333">
        <v>0</v>
      </c>
      <c r="AB158" s="333">
        <v>0</v>
      </c>
      <c r="AC158" s="333">
        <v>0</v>
      </c>
      <c r="AD158" s="333">
        <v>0</v>
      </c>
      <c r="AE158" s="333">
        <v>0</v>
      </c>
      <c r="AF158" s="333">
        <v>0</v>
      </c>
      <c r="AG158" s="333">
        <v>0</v>
      </c>
      <c r="AH158" s="333">
        <v>0</v>
      </c>
      <c r="AI158" s="333">
        <v>0</v>
      </c>
      <c r="AJ158" s="333">
        <v>0</v>
      </c>
      <c r="AK158" s="333">
        <v>0</v>
      </c>
      <c r="AL158" s="333">
        <v>0</v>
      </c>
    </row>
    <row r="159" spans="1:38">
      <c r="G159" s="4" t="s">
        <v>701</v>
      </c>
      <c r="H159" s="4" t="s">
        <v>661</v>
      </c>
      <c r="I159" s="4">
        <v>0</v>
      </c>
      <c r="J159" s="4"/>
      <c r="K159" s="333">
        <v>5</v>
      </c>
      <c r="L159" s="333">
        <v>5</v>
      </c>
      <c r="M159" s="333">
        <v>5</v>
      </c>
      <c r="N159" s="333">
        <v>5</v>
      </c>
      <c r="O159" s="333">
        <v>5</v>
      </c>
      <c r="P159" s="333">
        <v>5</v>
      </c>
      <c r="Q159" s="333">
        <v>5</v>
      </c>
      <c r="R159" s="333">
        <v>5</v>
      </c>
      <c r="S159" s="333">
        <v>5</v>
      </c>
      <c r="T159" s="333">
        <v>5</v>
      </c>
      <c r="U159" s="333">
        <v>5</v>
      </c>
      <c r="V159" s="333">
        <v>5</v>
      </c>
      <c r="W159" s="333">
        <v>5</v>
      </c>
      <c r="X159" s="333">
        <v>5</v>
      </c>
      <c r="Y159" s="333">
        <v>5</v>
      </c>
      <c r="Z159" s="333">
        <v>5</v>
      </c>
      <c r="AA159" s="333">
        <v>5</v>
      </c>
      <c r="AB159" s="333">
        <v>5</v>
      </c>
      <c r="AC159" s="333">
        <v>5</v>
      </c>
      <c r="AD159" s="333">
        <v>5</v>
      </c>
      <c r="AE159" s="333">
        <v>5</v>
      </c>
      <c r="AF159" s="333">
        <v>5</v>
      </c>
      <c r="AG159" s="333">
        <v>5</v>
      </c>
      <c r="AH159" s="333">
        <v>5</v>
      </c>
      <c r="AI159" s="333">
        <v>5</v>
      </c>
      <c r="AJ159" s="333">
        <v>5</v>
      </c>
      <c r="AK159" s="333">
        <v>5</v>
      </c>
      <c r="AL159" s="333">
        <v>5</v>
      </c>
    </row>
    <row r="160" spans="1:38">
      <c r="G160" s="4" t="s">
        <v>687</v>
      </c>
      <c r="H160" s="4"/>
      <c r="I160" s="4"/>
      <c r="J160" s="4" t="s">
        <v>2663</v>
      </c>
      <c r="K160" s="425">
        <f>'Key inputs_Refineries'!$C$180*10^3</f>
        <v>230.21279999999999</v>
      </c>
      <c r="L160" s="425">
        <f>'Key inputs_Refineries'!$C$180*10^3</f>
        <v>230.21279999999999</v>
      </c>
      <c r="M160" s="425">
        <f>'Key inputs_Refineries'!$C$180*10^3</f>
        <v>230.21279999999999</v>
      </c>
      <c r="N160" s="425">
        <f>'Key inputs_Refineries'!$C$180*10^3</f>
        <v>230.21279999999999</v>
      </c>
      <c r="O160" s="425">
        <f>'Key inputs_Refineries'!$C$180*10^3</f>
        <v>230.21279999999999</v>
      </c>
      <c r="P160" s="425">
        <f>'Key inputs_Refineries'!$C$180*10^3</f>
        <v>230.21279999999999</v>
      </c>
      <c r="Q160" s="425">
        <f>'Key inputs_Refineries'!$C$180*10^3</f>
        <v>230.21279999999999</v>
      </c>
      <c r="R160" s="425">
        <f>'Key inputs_Refineries'!$C$180*10^3</f>
        <v>230.21279999999999</v>
      </c>
      <c r="S160" s="425">
        <f>'Key inputs_Refineries'!$C$180*10^3</f>
        <v>230.21279999999999</v>
      </c>
      <c r="T160" s="425">
        <f>'Key inputs_Refineries'!$C$180*10^3</f>
        <v>230.21279999999999</v>
      </c>
      <c r="U160" s="425">
        <f>'Key inputs_Refineries'!$C$180*10^3</f>
        <v>230.21279999999999</v>
      </c>
      <c r="V160" s="425">
        <f>'Key inputs_Refineries'!$C$180*10^3</f>
        <v>230.21279999999999</v>
      </c>
      <c r="W160" s="425">
        <f>'Key inputs_Refineries'!$C$180*10^3</f>
        <v>230.21279999999999</v>
      </c>
      <c r="X160" s="425">
        <f>'Key inputs_Refineries'!$C$180*10^3</f>
        <v>230.21279999999999</v>
      </c>
      <c r="Y160" s="425">
        <f>'Key inputs_Refineries'!$C$180*10^3</f>
        <v>230.21279999999999</v>
      </c>
      <c r="Z160" s="425">
        <f>'Key inputs_Refineries'!$C$180*10^3</f>
        <v>230.21279999999999</v>
      </c>
      <c r="AA160" s="425">
        <f>'Key inputs_Refineries'!$C$180*10^3</f>
        <v>230.21279999999999</v>
      </c>
      <c r="AB160" s="425">
        <f>'Key inputs_Refineries'!$C$180*10^3</f>
        <v>230.21279999999999</v>
      </c>
      <c r="AC160" s="425">
        <f>'Key inputs_Refineries'!$C$180*10^3</f>
        <v>230.21279999999999</v>
      </c>
      <c r="AD160" s="425">
        <f>'Key inputs_Refineries'!$C$180*10^3</f>
        <v>230.21279999999999</v>
      </c>
      <c r="AE160" s="425">
        <f>'Key inputs_Refineries'!$C$180*10^3</f>
        <v>230.21279999999999</v>
      </c>
      <c r="AF160" s="425">
        <f>'Key inputs_Refineries'!$C$180*10^3</f>
        <v>230.21279999999999</v>
      </c>
      <c r="AG160" s="425">
        <f>'Key inputs_Refineries'!$C$180*10^3</f>
        <v>230.21279999999999</v>
      </c>
      <c r="AH160" s="425">
        <f>'Key inputs_Refineries'!$C$180*10^3</f>
        <v>230.21279999999999</v>
      </c>
      <c r="AI160" s="425">
        <f>'Key inputs_Refineries'!$C$180*10^3</f>
        <v>230.21279999999999</v>
      </c>
      <c r="AJ160" s="425">
        <f>'Key inputs_Refineries'!$C$180*10^3</f>
        <v>230.21279999999999</v>
      </c>
      <c r="AK160" s="425">
        <f>'Key inputs_Refineries'!$C$180*10^3</f>
        <v>230.21279999999999</v>
      </c>
      <c r="AL160" s="425">
        <f>'Key inputs_Refineries'!$C$180*10^3</f>
        <v>230.21279999999999</v>
      </c>
    </row>
    <row r="161" spans="1:38">
      <c r="G161" s="4" t="s">
        <v>689</v>
      </c>
      <c r="H161" s="4"/>
      <c r="I161" s="4"/>
      <c r="J161" s="4" t="s">
        <v>2663</v>
      </c>
      <c r="K161" s="425">
        <f>'Key inputs_Refineries'!$D$180*10^3</f>
        <v>1.8921600000000001</v>
      </c>
      <c r="L161" s="425">
        <f>'Key inputs_Refineries'!$D$180*10^3</f>
        <v>1.8921600000000001</v>
      </c>
      <c r="M161" s="425">
        <f>'Key inputs_Refineries'!$D$180*10^3</f>
        <v>1.8921600000000001</v>
      </c>
      <c r="N161" s="425">
        <f>'Key inputs_Refineries'!$D$180*10^3</f>
        <v>1.8921600000000001</v>
      </c>
      <c r="O161" s="425">
        <f>'Key inputs_Refineries'!$D$180*10^3</f>
        <v>1.8921600000000001</v>
      </c>
      <c r="P161" s="425">
        <f>'Key inputs_Refineries'!$D$180*10^3</f>
        <v>1.8921600000000001</v>
      </c>
      <c r="Q161" s="425">
        <f>'Key inputs_Refineries'!$D$180*10^3</f>
        <v>1.8921600000000001</v>
      </c>
      <c r="R161" s="425">
        <f>'Key inputs_Refineries'!$D$180*10^3</f>
        <v>1.8921600000000001</v>
      </c>
      <c r="S161" s="425">
        <f>'Key inputs_Refineries'!$D$180*10^3</f>
        <v>1.8921600000000001</v>
      </c>
      <c r="T161" s="425">
        <f>'Key inputs_Refineries'!$D$180*10^3</f>
        <v>1.8921600000000001</v>
      </c>
      <c r="U161" s="425">
        <f>'Key inputs_Refineries'!$D$180*10^3</f>
        <v>1.8921600000000001</v>
      </c>
      <c r="V161" s="425">
        <f>'Key inputs_Refineries'!$D$180*10^3</f>
        <v>1.8921600000000001</v>
      </c>
      <c r="W161" s="425">
        <f>'Key inputs_Refineries'!$D$180*10^3</f>
        <v>1.8921600000000001</v>
      </c>
      <c r="X161" s="425">
        <f>'Key inputs_Refineries'!$D$180*10^3</f>
        <v>1.8921600000000001</v>
      </c>
      <c r="Y161" s="425">
        <f>'Key inputs_Refineries'!$D$180*10^3</f>
        <v>1.8921600000000001</v>
      </c>
      <c r="Z161" s="425">
        <f>'Key inputs_Refineries'!$D$180*10^3</f>
        <v>1.8921600000000001</v>
      </c>
      <c r="AA161" s="425">
        <f>'Key inputs_Refineries'!$D$180*10^3</f>
        <v>1.8921600000000001</v>
      </c>
      <c r="AB161" s="425">
        <f>'Key inputs_Refineries'!$D$180*10^3</f>
        <v>1.8921600000000001</v>
      </c>
      <c r="AC161" s="425">
        <f>'Key inputs_Refineries'!$D$180*10^3</f>
        <v>1.8921600000000001</v>
      </c>
      <c r="AD161" s="425">
        <f>'Key inputs_Refineries'!$D$180*10^3</f>
        <v>1.8921600000000001</v>
      </c>
      <c r="AE161" s="425">
        <f>'Key inputs_Refineries'!$D$180*10^3</f>
        <v>1.8921600000000001</v>
      </c>
      <c r="AF161" s="425">
        <f>'Key inputs_Refineries'!$D$180*10^3</f>
        <v>1.8921600000000001</v>
      </c>
      <c r="AG161" s="425">
        <f>'Key inputs_Refineries'!$D$180*10^3</f>
        <v>1.8921600000000001</v>
      </c>
      <c r="AH161" s="425">
        <f>'Key inputs_Refineries'!$D$180*10^3</f>
        <v>1.8921600000000001</v>
      </c>
      <c r="AI161" s="425">
        <f>'Key inputs_Refineries'!$D$180*10^3</f>
        <v>1.8921600000000001</v>
      </c>
      <c r="AJ161" s="425">
        <f>'Key inputs_Refineries'!$D$180*10^3</f>
        <v>1.8921600000000001</v>
      </c>
      <c r="AK161" s="425">
        <f>'Key inputs_Refineries'!$D$180*10^3</f>
        <v>1.8921600000000001</v>
      </c>
      <c r="AL161" s="425">
        <f>'Key inputs_Refineries'!$D$180*10^3</f>
        <v>1.8921600000000001</v>
      </c>
    </row>
    <row r="162" spans="1:38">
      <c r="G162" s="4" t="s">
        <v>675</v>
      </c>
      <c r="H162" s="4"/>
      <c r="I162" s="4"/>
      <c r="J162" s="4" t="s">
        <v>2662</v>
      </c>
      <c r="K162" s="338"/>
      <c r="L162" s="338"/>
      <c r="M162" s="338"/>
      <c r="N162" s="338"/>
      <c r="O162" s="338"/>
      <c r="P162" s="338"/>
      <c r="Q162" s="338"/>
      <c r="R162" s="338"/>
      <c r="S162" s="338"/>
      <c r="T162" s="338"/>
      <c r="U162" s="338"/>
      <c r="V162" s="338"/>
      <c r="W162" s="338"/>
      <c r="X162" s="338"/>
      <c r="Y162" s="338"/>
      <c r="Z162" s="338"/>
      <c r="AA162" s="338"/>
      <c r="AB162" s="338"/>
      <c r="AC162" s="338"/>
      <c r="AD162" s="338"/>
      <c r="AE162" s="338"/>
      <c r="AF162" s="338"/>
      <c r="AG162" s="338"/>
      <c r="AH162" s="338"/>
      <c r="AI162" s="338"/>
      <c r="AJ162" s="338"/>
      <c r="AK162" s="338"/>
      <c r="AL162" s="338"/>
    </row>
    <row r="163" spans="1:38">
      <c r="G163" s="4" t="s">
        <v>630</v>
      </c>
      <c r="H163" s="4"/>
      <c r="I163" s="4"/>
      <c r="J163" s="4" t="s">
        <v>2666</v>
      </c>
      <c r="K163" s="425">
        <f>'Key inputs_Refineries'!$H$180</f>
        <v>0.6</v>
      </c>
      <c r="L163" s="425">
        <f>'Key inputs_Refineries'!$H$180</f>
        <v>0.6</v>
      </c>
      <c r="M163" s="425">
        <f>'Key inputs_Refineries'!$H$180</f>
        <v>0.6</v>
      </c>
      <c r="N163" s="425">
        <f>'Key inputs_Refineries'!$H$180</f>
        <v>0.6</v>
      </c>
      <c r="O163" s="425">
        <f>'Key inputs_Refineries'!$H$180</f>
        <v>0.6</v>
      </c>
      <c r="P163" s="425">
        <f>'Key inputs_Refineries'!$H$180</f>
        <v>0.6</v>
      </c>
      <c r="Q163" s="425">
        <f>'Key inputs_Refineries'!$H$180</f>
        <v>0.6</v>
      </c>
      <c r="R163" s="425">
        <f>'Key inputs_Refineries'!$H$180</f>
        <v>0.6</v>
      </c>
      <c r="S163" s="425">
        <f>'Key inputs_Refineries'!$H$180</f>
        <v>0.6</v>
      </c>
      <c r="T163" s="425">
        <f>'Key inputs_Refineries'!$H$180</f>
        <v>0.6</v>
      </c>
      <c r="U163" s="425">
        <f>'Key inputs_Refineries'!$H$180</f>
        <v>0.6</v>
      </c>
      <c r="V163" s="425">
        <f>'Key inputs_Refineries'!$H$180</f>
        <v>0.6</v>
      </c>
      <c r="W163" s="425">
        <f>'Key inputs_Refineries'!$H$180</f>
        <v>0.6</v>
      </c>
      <c r="X163" s="425">
        <f>'Key inputs_Refineries'!$H$180</f>
        <v>0.6</v>
      </c>
      <c r="Y163" s="425">
        <f>'Key inputs_Refineries'!$H$180</f>
        <v>0.6</v>
      </c>
      <c r="Z163" s="425">
        <f>'Key inputs_Refineries'!$H$180</f>
        <v>0.6</v>
      </c>
      <c r="AA163" s="425">
        <f>'Key inputs_Refineries'!$H$180</f>
        <v>0.6</v>
      </c>
      <c r="AB163" s="425">
        <f>'Key inputs_Refineries'!$H$180</f>
        <v>0.6</v>
      </c>
      <c r="AC163" s="425">
        <f>'Key inputs_Refineries'!$H$180</f>
        <v>0.6</v>
      </c>
      <c r="AD163" s="425">
        <f>'Key inputs_Refineries'!$H$180</f>
        <v>0.6</v>
      </c>
      <c r="AE163" s="425">
        <f>'Key inputs_Refineries'!$H$180</f>
        <v>0.6</v>
      </c>
      <c r="AF163" s="425">
        <f>'Key inputs_Refineries'!$H$180</f>
        <v>0.6</v>
      </c>
      <c r="AG163" s="425">
        <f>'Key inputs_Refineries'!$H$180</f>
        <v>0.6</v>
      </c>
      <c r="AH163" s="425">
        <f>'Key inputs_Refineries'!$H$180</f>
        <v>0.6</v>
      </c>
      <c r="AI163" s="425">
        <f>'Key inputs_Refineries'!$H$180</f>
        <v>0.6</v>
      </c>
      <c r="AJ163" s="425">
        <f>'Key inputs_Refineries'!$H$180</f>
        <v>0.6</v>
      </c>
      <c r="AK163" s="425">
        <f>'Key inputs_Refineries'!$H$180</f>
        <v>0.6</v>
      </c>
      <c r="AL163" s="425">
        <f>'Key inputs_Refineries'!$H$180</f>
        <v>0.6</v>
      </c>
    </row>
    <row r="164" spans="1:38">
      <c r="C164" t="str">
        <f>Commodities!$C$85</f>
        <v>UPSBIO</v>
      </c>
      <c r="G164" s="4" t="s">
        <v>702</v>
      </c>
      <c r="H164" t="s">
        <v>661</v>
      </c>
      <c r="I164">
        <v>2019</v>
      </c>
      <c r="J164" t="s">
        <v>650</v>
      </c>
      <c r="K164" s="173" cm="1">
        <f t="array" ref="K164">IFERROR(SUMIFS('Key inputs_Refineries'!E$85:E$164,'Key inputs_Refineries'!$C$85:$C$164,$C164,'Key inputs_Refineries'!$B$85:$B$164,"Process heat")/SUM(SUMIFS('Key inputs_Refineries'!E$85:E$164,'Key inputs_Refineries'!$C$85:$C$164,$C164:$C165,'Key inputs_Refineries'!$B$85:$B$164,"Process heat")),0)</f>
        <v>0</v>
      </c>
      <c r="L164" s="173" cm="1">
        <f t="array" ref="L164">IFERROR(SUMIFS('Key inputs_Refineries'!F$85:F$164,'Key inputs_Refineries'!$C$85:$C$164,$C164,'Key inputs_Refineries'!$B$85:$B$164,"Process heat")/SUM(SUMIFS('Key inputs_Refineries'!F$85:F$164,'Key inputs_Refineries'!$C$85:$C$164,$C164:$C165,'Key inputs_Refineries'!$B$85:$B$164,"Process heat")),0)</f>
        <v>0</v>
      </c>
      <c r="M164" s="173" cm="1">
        <f t="array" ref="M164">IFERROR(SUMIFS('Key inputs_Refineries'!G$85:G$164,'Key inputs_Refineries'!$C$85:$C$164,$C164,'Key inputs_Refineries'!$B$85:$B$164,"Process heat")/SUM(SUMIFS('Key inputs_Refineries'!G$85:G$164,'Key inputs_Refineries'!$C$85:$C$164,$C164:$C165,'Key inputs_Refineries'!$B$85:$B$164,"Process heat")),0)</f>
        <v>0</v>
      </c>
      <c r="N164" s="173" cm="1">
        <f t="array" ref="N164">IFERROR(SUMIFS('Key inputs_Refineries'!H$85:H$164,'Key inputs_Refineries'!$C$85:$C$164,$C164,'Key inputs_Refineries'!$B$85:$B$164,"Process heat")/SUM(SUMIFS('Key inputs_Refineries'!H$85:H$164,'Key inputs_Refineries'!$C$85:$C$164,$C164:$C165,'Key inputs_Refineries'!$B$85:$B$164,"Process heat")),0)</f>
        <v>0</v>
      </c>
      <c r="O164" s="173" cm="1">
        <f t="array" ref="O164">IFERROR(SUMIFS('Key inputs_Refineries'!I$85:I$164,'Key inputs_Refineries'!$C$85:$C$164,$C164,'Key inputs_Refineries'!$B$85:$B$164,"Process heat")/SUM(SUMIFS('Key inputs_Refineries'!I$85:I$164,'Key inputs_Refineries'!$C$85:$C$164,$C164:$C165,'Key inputs_Refineries'!$B$85:$B$164,"Process heat")),0)</f>
        <v>0</v>
      </c>
      <c r="P164" s="173" cm="1">
        <f t="array" ref="P164">IFERROR(SUMIFS('Key inputs_Refineries'!J$85:J$164,'Key inputs_Refineries'!$C$85:$C$164,$C164,'Key inputs_Refineries'!$B$85:$B$164,"Process heat")/SUM(SUMIFS('Key inputs_Refineries'!J$85:J$164,'Key inputs_Refineries'!$C$85:$C$164,$C164:$C165,'Key inputs_Refineries'!$B$85:$B$164,"Process heat")),0)</f>
        <v>0</v>
      </c>
      <c r="Q164" s="173" cm="1">
        <f t="array" ref="Q164">IFERROR(SUMIFS('Key inputs_Refineries'!K$85:K$164,'Key inputs_Refineries'!$C$85:$C$164,$C164,'Key inputs_Refineries'!$B$85:$B$164,"Process heat")/SUM(SUMIFS('Key inputs_Refineries'!K$85:K$164,'Key inputs_Refineries'!$C$85:$C$164,$C164:$C165,'Key inputs_Refineries'!$B$85:$B$164,"Process heat")),0)</f>
        <v>0</v>
      </c>
      <c r="R164" s="173" cm="1">
        <f t="array" ref="R164">IFERROR(SUMIFS('Key inputs_Refineries'!L$85:L$164,'Key inputs_Refineries'!$C$85:$C$164,$C164,'Key inputs_Refineries'!$B$85:$B$164,"Process heat")/SUM(SUMIFS('Key inputs_Refineries'!L$85:L$164,'Key inputs_Refineries'!$C$85:$C$164,$C164:$C165,'Key inputs_Refineries'!$B$85:$B$164,"Process heat")),0)</f>
        <v>0</v>
      </c>
      <c r="S164" s="173" cm="1">
        <f t="array" ref="S164">IFERROR(SUMIFS('Key inputs_Refineries'!M$85:M$164,'Key inputs_Refineries'!$C$85:$C$164,$C164,'Key inputs_Refineries'!$B$85:$B$164,"Process heat")/SUM(SUMIFS('Key inputs_Refineries'!M$85:M$164,'Key inputs_Refineries'!$C$85:$C$164,$C164:$C165,'Key inputs_Refineries'!$B$85:$B$164,"Process heat")),0)</f>
        <v>0</v>
      </c>
      <c r="T164" s="173" cm="1">
        <f t="array" ref="T164">IFERROR(SUMIFS('Key inputs_Refineries'!N$85:N$164,'Key inputs_Refineries'!$C$85:$C$164,$C164,'Key inputs_Refineries'!$B$85:$B$164,"Process heat")/SUM(SUMIFS('Key inputs_Refineries'!N$85:N$164,'Key inputs_Refineries'!$C$85:$C$164,$C164:$C165,'Key inputs_Refineries'!$B$85:$B$164,"Process heat")),0)</f>
        <v>0</v>
      </c>
      <c r="U164" s="173" cm="1">
        <f t="array" ref="U164">IFERROR(SUMIFS('Key inputs_Refineries'!O$85:O$164,'Key inputs_Refineries'!$C$85:$C$164,$C164,'Key inputs_Refineries'!$B$85:$B$164,"Process heat")/SUM(SUMIFS('Key inputs_Refineries'!O$85:O$164,'Key inputs_Refineries'!$C$85:$C$164,$C164:$C165,'Key inputs_Refineries'!$B$85:$B$164,"Process heat")),0)</f>
        <v>0</v>
      </c>
      <c r="V164" s="173" cm="1">
        <f t="array" ref="V164">IFERROR(SUMIFS('Key inputs_Refineries'!P$85:P$164,'Key inputs_Refineries'!$C$85:$C$164,$C164,'Key inputs_Refineries'!$B$85:$B$164,"Process heat")/SUM(SUMIFS('Key inputs_Refineries'!P$85:P$164,'Key inputs_Refineries'!$C$85:$C$164,$C164:$C165,'Key inputs_Refineries'!$B$85:$B$164,"Process heat")),0)</f>
        <v>0</v>
      </c>
      <c r="W164" s="173" cm="1">
        <f t="array" ref="W164">IFERROR(SUMIFS('Key inputs_Refineries'!Q$85:Q$164,'Key inputs_Refineries'!$C$85:$C$164,$C164,'Key inputs_Refineries'!$B$85:$B$164,"Process heat")/SUM(SUMIFS('Key inputs_Refineries'!Q$85:Q$164,'Key inputs_Refineries'!$C$85:$C$164,$C164:$C165,'Key inputs_Refineries'!$B$85:$B$164,"Process heat")),0)</f>
        <v>0</v>
      </c>
      <c r="X164" s="173" cm="1">
        <f t="array" ref="X164">IFERROR(SUMIFS('Key inputs_Refineries'!R$85:R$164,'Key inputs_Refineries'!$C$85:$C$164,$C164,'Key inputs_Refineries'!$B$85:$B$164,"Process heat")/SUM(SUMIFS('Key inputs_Refineries'!R$85:R$164,'Key inputs_Refineries'!$C$85:$C$164,$C164:$C165,'Key inputs_Refineries'!$B$85:$B$164,"Process heat")),0)</f>
        <v>0</v>
      </c>
      <c r="Y164" s="173" cm="1">
        <f t="array" ref="Y164">IFERROR(SUMIFS('Key inputs_Refineries'!S$85:S$164,'Key inputs_Refineries'!$C$85:$C$164,$C164,'Key inputs_Refineries'!$B$85:$B$164,"Process heat")/SUM(SUMIFS('Key inputs_Refineries'!S$85:S$164,'Key inputs_Refineries'!$C$85:$C$164,$C164:$C165,'Key inputs_Refineries'!$B$85:$B$164,"Process heat")),0)</f>
        <v>1</v>
      </c>
      <c r="Z164" s="173" cm="1">
        <f t="array" ref="Z164">IFERROR(SUMIFS('Key inputs_Refineries'!T$85:T$164,'Key inputs_Refineries'!$C$85:$C$164,$C164,'Key inputs_Refineries'!$B$85:$B$164,"Process heat")/SUM(SUMIFS('Key inputs_Refineries'!T$85:T$164,'Key inputs_Refineries'!$C$85:$C$164,$C164:$C165,'Key inputs_Refineries'!$B$85:$B$164,"Process heat")),0)</f>
        <v>0</v>
      </c>
      <c r="AA164" s="173" cm="1">
        <f t="array" ref="AA164">IFERROR(SUMIFS('Key inputs_Refineries'!U$85:U$164,'Key inputs_Refineries'!$C$85:$C$164,$C164,'Key inputs_Refineries'!$B$85:$B$164,"Process heat")/SUM(SUMIFS('Key inputs_Refineries'!U$85:U$164,'Key inputs_Refineries'!$C$85:$C$164,$C164:$C165,'Key inputs_Refineries'!$B$85:$B$164,"Process heat")),0)</f>
        <v>1</v>
      </c>
      <c r="AB164" s="173" cm="1">
        <f t="array" ref="AB164">IFERROR(SUMIFS('Key inputs_Refineries'!V$85:V$164,'Key inputs_Refineries'!$C$85:$C$164,$C164,'Key inputs_Refineries'!$B$85:$B$164,"Process heat")/SUM(SUMIFS('Key inputs_Refineries'!V$85:V$164,'Key inputs_Refineries'!$C$85:$C$164,$C164:$C165,'Key inputs_Refineries'!$B$85:$B$164,"Process heat")),0)</f>
        <v>0</v>
      </c>
      <c r="AC164" s="173" cm="1">
        <f t="array" ref="AC164">IFERROR(SUMIFS('Key inputs_Refineries'!W$85:W$164,'Key inputs_Refineries'!$C$85:$C$164,$C164,'Key inputs_Refineries'!$B$85:$B$164,"Process heat")/SUM(SUMIFS('Key inputs_Refineries'!W$85:W$164,'Key inputs_Refineries'!$C$85:$C$164,$C164:$C165,'Key inputs_Refineries'!$B$85:$B$164,"Process heat")),0)</f>
        <v>0</v>
      </c>
      <c r="AD164" s="173" cm="1">
        <f t="array" ref="AD164">IFERROR(SUMIFS('Key inputs_Refineries'!X$85:X$164,'Key inputs_Refineries'!$C$85:$C$164,$C164,'Key inputs_Refineries'!$B$85:$B$164,"Process heat")/SUM(SUMIFS('Key inputs_Refineries'!X$85:X$164,'Key inputs_Refineries'!$C$85:$C$164,$C164:$C165,'Key inputs_Refineries'!$B$85:$B$164,"Process heat")),0)</f>
        <v>0</v>
      </c>
      <c r="AE164" s="173" cm="1">
        <f t="array" ref="AE164">IFERROR(SUMIFS('Key inputs_Refineries'!Y$85:Y$164,'Key inputs_Refineries'!$C$85:$C$164,$C164,'Key inputs_Refineries'!$B$85:$B$164,"Process heat")/SUM(SUMIFS('Key inputs_Refineries'!Y$85:Y$164,'Key inputs_Refineries'!$C$85:$C$164,$C164:$C165,'Key inputs_Refineries'!$B$85:$B$164,"Process heat")),0)</f>
        <v>0</v>
      </c>
      <c r="AF164" s="173" cm="1">
        <f t="array" ref="AF164">IFERROR(SUMIFS('Key inputs_Refineries'!Z$85:Z$164,'Key inputs_Refineries'!$C$85:$C$164,$C164,'Key inputs_Refineries'!$B$85:$B$164,"Process heat")/SUM(SUMIFS('Key inputs_Refineries'!Z$85:Z$164,'Key inputs_Refineries'!$C$85:$C$164,$C164:$C165,'Key inputs_Refineries'!$B$85:$B$164,"Process heat")),0)</f>
        <v>0</v>
      </c>
      <c r="AG164" s="173" cm="1">
        <f t="array" ref="AG164">IFERROR(SUMIFS('Key inputs_Refineries'!AA$85:AA$164,'Key inputs_Refineries'!$C$85:$C$164,$C164,'Key inputs_Refineries'!$B$85:$B$164,"Process heat")/SUM(SUMIFS('Key inputs_Refineries'!AA$85:AA$164,'Key inputs_Refineries'!$C$85:$C$164,$C164:$C165,'Key inputs_Refineries'!$B$85:$B$164,"Process heat")),0)</f>
        <v>0</v>
      </c>
      <c r="AH164" s="173" cm="1">
        <f t="array" ref="AH164">IFERROR(SUMIFS('Key inputs_Refineries'!AB$85:AB$164,'Key inputs_Refineries'!$C$85:$C$164,$C164,'Key inputs_Refineries'!$B$85:$B$164,"Process heat")/SUM(SUMIFS('Key inputs_Refineries'!AB$85:AB$164,'Key inputs_Refineries'!$C$85:$C$164,$C164:$C165,'Key inputs_Refineries'!$B$85:$B$164,"Process heat")),0)</f>
        <v>0</v>
      </c>
      <c r="AI164" s="173" cm="1">
        <f t="array" ref="AI164">IFERROR(SUMIFS('Key inputs_Refineries'!AC$85:AC$164,'Key inputs_Refineries'!$C$85:$C$164,$C164,'Key inputs_Refineries'!$B$85:$B$164,"Process heat")/SUM(SUMIFS('Key inputs_Refineries'!AC$85:AC$164,'Key inputs_Refineries'!$C$85:$C$164,$C164:$C165,'Key inputs_Refineries'!$B$85:$B$164,"Process heat")),0)</f>
        <v>0</v>
      </c>
      <c r="AJ164" s="173" cm="1">
        <f t="array" ref="AJ164">IFERROR(SUMIFS('Key inputs_Refineries'!AD$85:AD$164,'Key inputs_Refineries'!$C$85:$C$164,$C164,'Key inputs_Refineries'!$B$85:$B$164,"Process heat")/SUM(SUMIFS('Key inputs_Refineries'!AD$85:AD$164,'Key inputs_Refineries'!$C$85:$C$164,$C164:$C165,'Key inputs_Refineries'!$B$85:$B$164,"Process heat")),0)</f>
        <v>0</v>
      </c>
      <c r="AK164" s="173" cm="1">
        <f t="array" ref="AK164">IFERROR(SUMIFS('Key inputs_Refineries'!AE$85:AE$164,'Key inputs_Refineries'!$C$85:$C$164,$C164,'Key inputs_Refineries'!$B$85:$B$164,"Process heat")/SUM(SUMIFS('Key inputs_Refineries'!AE$85:AE$164,'Key inputs_Refineries'!$C$85:$C$164,$C164:$C165,'Key inputs_Refineries'!$B$85:$B$164,"Process heat")),0)</f>
        <v>0</v>
      </c>
      <c r="AL164" s="173" cm="1">
        <f t="array" ref="AL164">IFERROR(SUMIFS('Key inputs_Refineries'!AF$85:AF$164,'Key inputs_Refineries'!$C$85:$C$164,$C164,'Key inputs_Refineries'!$B$85:$B$164,"Process heat")/SUM(SUMIFS('Key inputs_Refineries'!AF$85:AF$164,'Key inputs_Refineries'!$C$85:$C$164,$C164:$C165,'Key inputs_Refineries'!$B$85:$B$164,"Process heat")),0)</f>
        <v>0</v>
      </c>
    </row>
    <row r="165" spans="1:38">
      <c r="C165" t="str">
        <f>Commodities!$C$101</f>
        <v>UPSWAS</v>
      </c>
      <c r="G165" s="4" t="s">
        <v>702</v>
      </c>
      <c r="H165" t="s">
        <v>661</v>
      </c>
      <c r="I165">
        <v>2019</v>
      </c>
      <c r="J165" t="s">
        <v>650</v>
      </c>
      <c r="K165" s="173">
        <f t="shared" ref="K165:AL165" si="12">1-K164</f>
        <v>1</v>
      </c>
      <c r="L165" s="173">
        <f t="shared" si="12"/>
        <v>1</v>
      </c>
      <c r="M165" s="173">
        <f t="shared" si="12"/>
        <v>1</v>
      </c>
      <c r="N165" s="173">
        <f t="shared" si="12"/>
        <v>1</v>
      </c>
      <c r="O165" s="173">
        <f t="shared" si="12"/>
        <v>1</v>
      </c>
      <c r="P165" s="173">
        <f t="shared" si="12"/>
        <v>1</v>
      </c>
      <c r="Q165" s="173">
        <f t="shared" si="12"/>
        <v>1</v>
      </c>
      <c r="R165" s="173">
        <f t="shared" si="12"/>
        <v>1</v>
      </c>
      <c r="S165" s="173">
        <f t="shared" si="12"/>
        <v>1</v>
      </c>
      <c r="T165" s="173">
        <f t="shared" si="12"/>
        <v>1</v>
      </c>
      <c r="U165" s="173">
        <f t="shared" si="12"/>
        <v>1</v>
      </c>
      <c r="V165" s="173">
        <f t="shared" si="12"/>
        <v>1</v>
      </c>
      <c r="W165" s="173">
        <f t="shared" si="12"/>
        <v>1</v>
      </c>
      <c r="X165" s="173">
        <f t="shared" si="12"/>
        <v>1</v>
      </c>
      <c r="Y165" s="173">
        <f t="shared" si="12"/>
        <v>0</v>
      </c>
      <c r="Z165" s="173">
        <f t="shared" si="12"/>
        <v>1</v>
      </c>
      <c r="AA165" s="173">
        <f t="shared" si="12"/>
        <v>0</v>
      </c>
      <c r="AB165" s="173">
        <f t="shared" si="12"/>
        <v>1</v>
      </c>
      <c r="AC165" s="173">
        <f t="shared" si="12"/>
        <v>1</v>
      </c>
      <c r="AD165" s="173">
        <f t="shared" si="12"/>
        <v>1</v>
      </c>
      <c r="AE165" s="173">
        <f t="shared" si="12"/>
        <v>1</v>
      </c>
      <c r="AF165" s="173">
        <f t="shared" si="12"/>
        <v>1</v>
      </c>
      <c r="AG165" s="173">
        <f t="shared" si="12"/>
        <v>1</v>
      </c>
      <c r="AH165" s="173">
        <f t="shared" si="12"/>
        <v>1</v>
      </c>
      <c r="AI165" s="173">
        <f t="shared" si="12"/>
        <v>1</v>
      </c>
      <c r="AJ165" s="173">
        <f t="shared" si="12"/>
        <v>1</v>
      </c>
      <c r="AK165" s="173">
        <f t="shared" si="12"/>
        <v>1</v>
      </c>
      <c r="AL165" s="173">
        <f t="shared" si="12"/>
        <v>1</v>
      </c>
    </row>
    <row r="166" spans="1:38">
      <c r="C166" t="str">
        <f>Commodities!$C$85</f>
        <v>UPSBIO</v>
      </c>
      <c r="G166" s="4" t="s">
        <v>702</v>
      </c>
      <c r="H166" t="s">
        <v>661</v>
      </c>
      <c r="I166">
        <v>2025</v>
      </c>
      <c r="J166" t="s">
        <v>650</v>
      </c>
      <c r="K166" s="426">
        <v>1</v>
      </c>
      <c r="L166" s="426">
        <v>1</v>
      </c>
      <c r="M166" s="426">
        <v>1</v>
      </c>
      <c r="N166" s="426">
        <v>1</v>
      </c>
      <c r="O166" s="426">
        <v>1</v>
      </c>
      <c r="P166" s="426">
        <v>1</v>
      </c>
      <c r="Q166" s="426">
        <v>1</v>
      </c>
      <c r="R166" s="426">
        <v>1</v>
      </c>
      <c r="S166" s="426">
        <v>1</v>
      </c>
      <c r="T166" s="426">
        <v>1</v>
      </c>
      <c r="U166" s="426">
        <v>1</v>
      </c>
      <c r="V166" s="426">
        <v>1</v>
      </c>
      <c r="W166" s="426">
        <v>1</v>
      </c>
      <c r="X166" s="426">
        <v>1</v>
      </c>
      <c r="Y166" s="426">
        <v>1</v>
      </c>
      <c r="Z166" s="426">
        <v>1</v>
      </c>
      <c r="AA166" s="426">
        <v>1</v>
      </c>
      <c r="AB166" s="426">
        <v>1</v>
      </c>
      <c r="AC166" s="426">
        <v>1</v>
      </c>
      <c r="AD166" s="426">
        <v>1</v>
      </c>
      <c r="AE166" s="426">
        <v>1</v>
      </c>
      <c r="AF166" s="426">
        <v>1</v>
      </c>
      <c r="AG166" s="426">
        <v>1</v>
      </c>
      <c r="AH166" s="426">
        <v>1</v>
      </c>
      <c r="AI166" s="426">
        <v>1</v>
      </c>
      <c r="AJ166" s="426">
        <v>1</v>
      </c>
      <c r="AK166" s="426">
        <v>1</v>
      </c>
      <c r="AL166" s="426">
        <v>1</v>
      </c>
    </row>
    <row r="167" spans="1:38">
      <c r="C167" t="str">
        <f>Commodities!$C$101</f>
        <v>UPSWAS</v>
      </c>
      <c r="G167" s="4" t="s">
        <v>702</v>
      </c>
      <c r="H167" t="s">
        <v>661</v>
      </c>
      <c r="I167">
        <v>2025</v>
      </c>
      <c r="J167" t="s">
        <v>650</v>
      </c>
      <c r="K167" s="426">
        <v>1</v>
      </c>
      <c r="L167" s="426">
        <v>1</v>
      </c>
      <c r="M167" s="426">
        <v>1</v>
      </c>
      <c r="N167" s="426">
        <v>1</v>
      </c>
      <c r="O167" s="426">
        <v>1</v>
      </c>
      <c r="P167" s="426">
        <v>1</v>
      </c>
      <c r="Q167" s="426">
        <v>1</v>
      </c>
      <c r="R167" s="426">
        <v>1</v>
      </c>
      <c r="S167" s="426">
        <v>1</v>
      </c>
      <c r="T167" s="426">
        <v>1</v>
      </c>
      <c r="U167" s="426">
        <v>1</v>
      </c>
      <c r="V167" s="426">
        <v>1</v>
      </c>
      <c r="W167" s="426">
        <v>1</v>
      </c>
      <c r="X167" s="426">
        <v>1</v>
      </c>
      <c r="Y167" s="426">
        <v>1</v>
      </c>
      <c r="Z167" s="426">
        <v>1</v>
      </c>
      <c r="AA167" s="426">
        <v>1</v>
      </c>
      <c r="AB167" s="426">
        <v>1</v>
      </c>
      <c r="AC167" s="426">
        <v>1</v>
      </c>
      <c r="AD167" s="426">
        <v>1</v>
      </c>
      <c r="AE167" s="426">
        <v>1</v>
      </c>
      <c r="AF167" s="426">
        <v>1</v>
      </c>
      <c r="AG167" s="426">
        <v>1</v>
      </c>
      <c r="AH167" s="426">
        <v>1</v>
      </c>
      <c r="AI167" s="426">
        <v>1</v>
      </c>
      <c r="AJ167" s="426">
        <v>1</v>
      </c>
      <c r="AK167" s="426">
        <v>1</v>
      </c>
      <c r="AL167" s="426">
        <v>1</v>
      </c>
    </row>
    <row r="168" spans="1:38">
      <c r="C168" t="str">
        <f>Commodities!$C$85</f>
        <v>UPSBIO</v>
      </c>
      <c r="G168" s="4" t="s">
        <v>702</v>
      </c>
      <c r="H168" t="s">
        <v>661</v>
      </c>
      <c r="I168">
        <v>2050</v>
      </c>
      <c r="J168" t="s">
        <v>650</v>
      </c>
      <c r="K168" s="426">
        <v>1</v>
      </c>
      <c r="L168" s="426">
        <v>1</v>
      </c>
      <c r="M168" s="426">
        <v>1</v>
      </c>
      <c r="N168" s="426">
        <v>1</v>
      </c>
      <c r="O168" s="426">
        <v>1</v>
      </c>
      <c r="P168" s="426">
        <v>1</v>
      </c>
      <c r="Q168" s="426">
        <v>1</v>
      </c>
      <c r="R168" s="426">
        <v>1</v>
      </c>
      <c r="S168" s="426">
        <v>1</v>
      </c>
      <c r="T168" s="426">
        <v>1</v>
      </c>
      <c r="U168" s="426">
        <v>1</v>
      </c>
      <c r="V168" s="426">
        <v>1</v>
      </c>
      <c r="W168" s="426">
        <v>1</v>
      </c>
      <c r="X168" s="426">
        <v>1</v>
      </c>
      <c r="Y168" s="426">
        <v>1</v>
      </c>
      <c r="Z168" s="426">
        <v>1</v>
      </c>
      <c r="AA168" s="426">
        <v>1</v>
      </c>
      <c r="AB168" s="426">
        <v>1</v>
      </c>
      <c r="AC168" s="426">
        <v>1</v>
      </c>
      <c r="AD168" s="426">
        <v>1</v>
      </c>
      <c r="AE168" s="426">
        <v>1</v>
      </c>
      <c r="AF168" s="426">
        <v>1</v>
      </c>
      <c r="AG168" s="426">
        <v>1</v>
      </c>
      <c r="AH168" s="426">
        <v>1</v>
      </c>
      <c r="AI168" s="426">
        <v>1</v>
      </c>
      <c r="AJ168" s="426">
        <v>1</v>
      </c>
      <c r="AK168" s="426">
        <v>1</v>
      </c>
      <c r="AL168" s="426">
        <v>1</v>
      </c>
    </row>
    <row r="169" spans="1:38">
      <c r="C169" t="str">
        <f>Commodities!$C$101</f>
        <v>UPSWAS</v>
      </c>
      <c r="G169" s="4" t="s">
        <v>702</v>
      </c>
      <c r="H169" t="s">
        <v>661</v>
      </c>
      <c r="I169">
        <v>2050</v>
      </c>
      <c r="J169" t="s">
        <v>650</v>
      </c>
      <c r="K169" s="426">
        <v>1</v>
      </c>
      <c r="L169" s="426">
        <v>1</v>
      </c>
      <c r="M169" s="426">
        <v>1</v>
      </c>
      <c r="N169" s="426">
        <v>1</v>
      </c>
      <c r="O169" s="426">
        <v>1</v>
      </c>
      <c r="P169" s="426">
        <v>1</v>
      </c>
      <c r="Q169" s="426">
        <v>1</v>
      </c>
      <c r="R169" s="426">
        <v>1</v>
      </c>
      <c r="S169" s="426">
        <v>1</v>
      </c>
      <c r="T169" s="426">
        <v>1</v>
      </c>
      <c r="U169" s="426">
        <v>1</v>
      </c>
      <c r="V169" s="426">
        <v>1</v>
      </c>
      <c r="W169" s="426">
        <v>1</v>
      </c>
      <c r="X169" s="426">
        <v>1</v>
      </c>
      <c r="Y169" s="426">
        <v>1</v>
      </c>
      <c r="Z169" s="426">
        <v>1</v>
      </c>
      <c r="AA169" s="426">
        <v>1</v>
      </c>
      <c r="AB169" s="426">
        <v>1</v>
      </c>
      <c r="AC169" s="426">
        <v>1</v>
      </c>
      <c r="AD169" s="426">
        <v>1</v>
      </c>
      <c r="AE169" s="426">
        <v>1</v>
      </c>
      <c r="AF169" s="426">
        <v>1</v>
      </c>
      <c r="AG169" s="426">
        <v>1</v>
      </c>
      <c r="AH169" s="426">
        <v>1</v>
      </c>
      <c r="AI169" s="426">
        <v>1</v>
      </c>
      <c r="AJ169" s="426">
        <v>1</v>
      </c>
      <c r="AK169" s="426">
        <v>1</v>
      </c>
      <c r="AL169" s="426">
        <v>1</v>
      </c>
    </row>
    <row r="170" spans="1:38">
      <c r="D170" t="str">
        <f>Commodities!$C$105</f>
        <v>UREFHET</v>
      </c>
    </row>
    <row r="171" spans="1:38">
      <c r="A171" s="4" t="str">
        <f>AO19</f>
        <v>U-TRF-OILREFHET_COA00</v>
      </c>
      <c r="B171" s="4" t="str">
        <f>AP19</f>
        <v>UPS Transformation: Oil refinery process heat Coal - Existing</v>
      </c>
      <c r="C171" s="4"/>
      <c r="D171" s="4"/>
      <c r="E171" s="4"/>
      <c r="F171" s="4"/>
      <c r="G171" s="4" t="s">
        <v>695</v>
      </c>
      <c r="H171" s="4"/>
      <c r="I171" s="4"/>
      <c r="J171" s="4" t="s">
        <v>2665</v>
      </c>
      <c r="K171" s="333">
        <v>1</v>
      </c>
      <c r="L171" s="333">
        <v>1</v>
      </c>
      <c r="M171" s="333">
        <v>1</v>
      </c>
      <c r="N171" s="333">
        <v>1</v>
      </c>
      <c r="O171" s="333">
        <v>1</v>
      </c>
      <c r="P171" s="333">
        <v>1</v>
      </c>
      <c r="Q171" s="333">
        <v>1</v>
      </c>
      <c r="R171" s="333">
        <v>1</v>
      </c>
      <c r="S171" s="333">
        <v>1</v>
      </c>
      <c r="T171" s="333">
        <v>1</v>
      </c>
      <c r="U171" s="333">
        <v>1</v>
      </c>
      <c r="V171" s="333">
        <v>1</v>
      </c>
      <c r="W171" s="333">
        <v>1</v>
      </c>
      <c r="X171" s="333">
        <v>1</v>
      </c>
      <c r="Y171" s="333">
        <v>1</v>
      </c>
      <c r="Z171" s="333">
        <v>1</v>
      </c>
      <c r="AA171" s="333">
        <v>1</v>
      </c>
      <c r="AB171" s="333">
        <v>1</v>
      </c>
      <c r="AC171" s="333">
        <v>1</v>
      </c>
      <c r="AD171" s="333">
        <v>1</v>
      </c>
      <c r="AE171" s="333">
        <v>1</v>
      </c>
      <c r="AF171" s="333">
        <v>1</v>
      </c>
      <c r="AG171" s="333">
        <v>1</v>
      </c>
      <c r="AH171" s="333">
        <v>1</v>
      </c>
      <c r="AI171" s="333">
        <v>1</v>
      </c>
      <c r="AJ171" s="333">
        <v>1</v>
      </c>
      <c r="AK171" s="333">
        <v>1</v>
      </c>
      <c r="AL171" s="333">
        <v>1</v>
      </c>
    </row>
    <row r="172" spans="1:38">
      <c r="C172" s="4"/>
      <c r="D172" s="4"/>
      <c r="E172" s="4"/>
      <c r="F172" s="4"/>
      <c r="G172" s="4" t="s">
        <v>697</v>
      </c>
      <c r="H172" s="4"/>
      <c r="I172" s="4"/>
      <c r="J172" s="4" t="s">
        <v>698</v>
      </c>
      <c r="K172" s="424">
        <f>'Key inputs_Refineries'!$F$181</f>
        <v>15</v>
      </c>
      <c r="L172" s="424">
        <f>'Key inputs_Refineries'!$F$181</f>
        <v>15</v>
      </c>
      <c r="M172" s="424">
        <f>'Key inputs_Refineries'!$F$181</f>
        <v>15</v>
      </c>
      <c r="N172" s="424">
        <f>'Key inputs_Refineries'!$F$181</f>
        <v>15</v>
      </c>
      <c r="O172" s="424">
        <f>'Key inputs_Refineries'!$F$181</f>
        <v>15</v>
      </c>
      <c r="P172" s="424">
        <f>'Key inputs_Refineries'!$F$181</f>
        <v>15</v>
      </c>
      <c r="Q172" s="424">
        <f>'Key inputs_Refineries'!$F$181</f>
        <v>15</v>
      </c>
      <c r="R172" s="424">
        <f>'Key inputs_Refineries'!$F$181</f>
        <v>15</v>
      </c>
      <c r="S172" s="424">
        <f>'Key inputs_Refineries'!$F$181</f>
        <v>15</v>
      </c>
      <c r="T172" s="424">
        <f>'Key inputs_Refineries'!$F$181</f>
        <v>15</v>
      </c>
      <c r="U172" s="424">
        <f>'Key inputs_Refineries'!$F$181</f>
        <v>15</v>
      </c>
      <c r="V172" s="424">
        <f>'Key inputs_Refineries'!$F$181</f>
        <v>15</v>
      </c>
      <c r="W172" s="424">
        <f>'Key inputs_Refineries'!$F$181</f>
        <v>15</v>
      </c>
      <c r="X172" s="424">
        <f>'Key inputs_Refineries'!$F$181</f>
        <v>15</v>
      </c>
      <c r="Y172" s="424">
        <f>'Key inputs_Refineries'!$F$181</f>
        <v>15</v>
      </c>
      <c r="Z172" s="424">
        <f>'Key inputs_Refineries'!$F$181</f>
        <v>15</v>
      </c>
      <c r="AA172" s="424">
        <f>'Key inputs_Refineries'!$F$181</f>
        <v>15</v>
      </c>
      <c r="AB172" s="424">
        <f>'Key inputs_Refineries'!$F$181</f>
        <v>15</v>
      </c>
      <c r="AC172" s="424">
        <f>'Key inputs_Refineries'!$F$181</f>
        <v>15</v>
      </c>
      <c r="AD172" s="424">
        <f>'Key inputs_Refineries'!$F$181</f>
        <v>15</v>
      </c>
      <c r="AE172" s="424">
        <f>'Key inputs_Refineries'!$F$181</f>
        <v>15</v>
      </c>
      <c r="AF172" s="424">
        <f>'Key inputs_Refineries'!$F$181</f>
        <v>15</v>
      </c>
      <c r="AG172" s="424">
        <f>'Key inputs_Refineries'!$F$181</f>
        <v>15</v>
      </c>
      <c r="AH172" s="424">
        <f>'Key inputs_Refineries'!$F$181</f>
        <v>15</v>
      </c>
      <c r="AI172" s="424">
        <f>'Key inputs_Refineries'!$F$181</f>
        <v>15</v>
      </c>
      <c r="AJ172" s="424">
        <f>'Key inputs_Refineries'!$F$181</f>
        <v>15</v>
      </c>
      <c r="AK172" s="424">
        <f>'Key inputs_Refineries'!$F$181</f>
        <v>15</v>
      </c>
      <c r="AL172" s="424">
        <f>'Key inputs_Refineries'!$F$181</f>
        <v>15</v>
      </c>
    </row>
    <row r="173" spans="1:38">
      <c r="C173" s="4"/>
      <c r="D173" s="4"/>
      <c r="E173" s="4"/>
      <c r="F173" s="4"/>
      <c r="G173" s="4" t="s">
        <v>699</v>
      </c>
      <c r="H173" s="4"/>
      <c r="I173" s="4">
        <v>2019</v>
      </c>
      <c r="J173" s="4" t="s">
        <v>112</v>
      </c>
      <c r="K173" s="347">
        <f>-SUM(SUMIFS('Key inputs_Refineries'!E$85:E$164,'Key inputs_Refineries'!$C$85:$C$164,$C181,'Key inputs_Refineries'!$B$85:$B$164,"Process heat"))*K180/10^3</f>
        <v>0</v>
      </c>
      <c r="L173" s="347">
        <f>-SUM(SUMIFS('Key inputs_Refineries'!F$85:F$164,'Key inputs_Refineries'!$C$85:$C$164,$C181,'Key inputs_Refineries'!$B$85:$B$164,"Process heat"))*L180/10^3</f>
        <v>0</v>
      </c>
      <c r="M173" s="347">
        <f>-SUM(SUMIFS('Key inputs_Refineries'!G$85:G$164,'Key inputs_Refineries'!$C$85:$C$164,$C181,'Key inputs_Refineries'!$B$85:$B$164,"Process heat"))*M180/10^3</f>
        <v>0</v>
      </c>
      <c r="N173" s="347">
        <f>-SUM(SUMIFS('Key inputs_Refineries'!H$85:H$164,'Key inputs_Refineries'!$C$85:$C$164,$C181,'Key inputs_Refineries'!$B$85:$B$164,"Process heat"))*N180/10^3</f>
        <v>0</v>
      </c>
      <c r="O173" s="347">
        <f>-SUM(SUMIFS('Key inputs_Refineries'!I$85:I$164,'Key inputs_Refineries'!$C$85:$C$164,$C181,'Key inputs_Refineries'!$B$85:$B$164,"Process heat"))*O180/10^3</f>
        <v>0</v>
      </c>
      <c r="P173" s="347">
        <f>-SUM(SUMIFS('Key inputs_Refineries'!J$85:J$164,'Key inputs_Refineries'!$C$85:$C$164,$C181,'Key inputs_Refineries'!$B$85:$B$164,"Process heat"))*P180/10^3</f>
        <v>0</v>
      </c>
      <c r="Q173" s="347">
        <f>-SUM(SUMIFS('Key inputs_Refineries'!K$85:K$164,'Key inputs_Refineries'!$C$85:$C$164,$C181,'Key inputs_Refineries'!$B$85:$B$164,"Process heat"))*Q180/10^3</f>
        <v>0</v>
      </c>
      <c r="R173" s="347">
        <f>-SUM(SUMIFS('Key inputs_Refineries'!L$85:L$164,'Key inputs_Refineries'!$C$85:$C$164,$C181,'Key inputs_Refineries'!$B$85:$B$164,"Process heat"))*R180/10^3</f>
        <v>0</v>
      </c>
      <c r="S173" s="347">
        <f>-SUM(SUMIFS('Key inputs_Refineries'!M$85:M$164,'Key inputs_Refineries'!$C$85:$C$164,$C181,'Key inputs_Refineries'!$B$85:$B$164,"Process heat"))*S180/10^3</f>
        <v>0</v>
      </c>
      <c r="T173" s="347">
        <f>-SUM(SUMIFS('Key inputs_Refineries'!N$85:N$164,'Key inputs_Refineries'!$C$85:$C$164,$C181,'Key inputs_Refineries'!$B$85:$B$164,"Process heat"))*T180/10^3</f>
        <v>0</v>
      </c>
      <c r="U173" s="347">
        <f>-SUM(SUMIFS('Key inputs_Refineries'!O$85:O$164,'Key inputs_Refineries'!$C$85:$C$164,$C181,'Key inputs_Refineries'!$B$85:$B$164,"Process heat"))*U180/10^3</f>
        <v>0</v>
      </c>
      <c r="V173" s="347">
        <f>-SUM(SUMIFS('Key inputs_Refineries'!P$85:P$164,'Key inputs_Refineries'!$C$85:$C$164,$C181,'Key inputs_Refineries'!$B$85:$B$164,"Process heat"))*V180/10^3</f>
        <v>0</v>
      </c>
      <c r="W173" s="347">
        <f>-SUM(SUMIFS('Key inputs_Refineries'!Q$85:Q$164,'Key inputs_Refineries'!$C$85:$C$164,$C181,'Key inputs_Refineries'!$B$85:$B$164,"Process heat"))*W180/10^3</f>
        <v>0</v>
      </c>
      <c r="X173" s="347">
        <f>-SUM(SUMIFS('Key inputs_Refineries'!R$85:R$164,'Key inputs_Refineries'!$C$85:$C$164,$C181,'Key inputs_Refineries'!$B$85:$B$164,"Process heat"))*X180/10^3</f>
        <v>0</v>
      </c>
      <c r="Y173" s="347">
        <f>-SUM(SUMIFS('Key inputs_Refineries'!S$85:S$164,'Key inputs_Refineries'!$C$85:$C$164,$C181,'Key inputs_Refineries'!$B$85:$B$164,"Process heat"))*Y180/10^3</f>
        <v>0.33312048052875304</v>
      </c>
      <c r="Z173" s="347">
        <f>-SUM(SUMIFS('Key inputs_Refineries'!T$85:T$164,'Key inputs_Refineries'!$C$85:$C$164,$C181,'Key inputs_Refineries'!$B$85:$B$164,"Process heat"))*Z180/10^3</f>
        <v>0</v>
      </c>
      <c r="AA173" s="347">
        <f>-SUM(SUMIFS('Key inputs_Refineries'!U$85:U$164,'Key inputs_Refineries'!$C$85:$C$164,$C181,'Key inputs_Refineries'!$B$85:$B$164,"Process heat"))*AA180/10^3</f>
        <v>0</v>
      </c>
      <c r="AB173" s="347">
        <f>-SUM(SUMIFS('Key inputs_Refineries'!V$85:V$164,'Key inputs_Refineries'!$C$85:$C$164,$C181,'Key inputs_Refineries'!$B$85:$B$164,"Process heat"))*AB180/10^3</f>
        <v>0</v>
      </c>
      <c r="AC173" s="347">
        <f>-SUM(SUMIFS('Key inputs_Refineries'!W$85:W$164,'Key inputs_Refineries'!$C$85:$C$164,$C181,'Key inputs_Refineries'!$B$85:$B$164,"Process heat"))*AC180/10^3</f>
        <v>0</v>
      </c>
      <c r="AD173" s="347">
        <f>-SUM(SUMIFS('Key inputs_Refineries'!X$85:X$164,'Key inputs_Refineries'!$C$85:$C$164,$C181,'Key inputs_Refineries'!$B$85:$B$164,"Process heat"))*AD180/10^3</f>
        <v>0.96116875147046588</v>
      </c>
      <c r="AE173" s="347">
        <f>-SUM(SUMIFS('Key inputs_Refineries'!Y$85:Y$164,'Key inputs_Refineries'!$C$85:$C$164,$C181,'Key inputs_Refineries'!$B$85:$B$164,"Process heat"))*AE180/10^3</f>
        <v>0</v>
      </c>
      <c r="AF173" s="347">
        <f>-SUM(SUMIFS('Key inputs_Refineries'!Z$85:Z$164,'Key inputs_Refineries'!$C$85:$C$164,$C181,'Key inputs_Refineries'!$B$85:$B$164,"Process heat"))*AF180/10^3</f>
        <v>0</v>
      </c>
      <c r="AG173" s="347">
        <f>-SUM(SUMIFS('Key inputs_Refineries'!AA$85:AA$164,'Key inputs_Refineries'!$C$85:$C$164,$C181,'Key inputs_Refineries'!$B$85:$B$164,"Process heat"))*AG180/10^3</f>
        <v>0</v>
      </c>
      <c r="AH173" s="347">
        <f>-SUM(SUMIFS('Key inputs_Refineries'!AB$85:AB$164,'Key inputs_Refineries'!$C$85:$C$164,$C181,'Key inputs_Refineries'!$B$85:$B$164,"Process heat"))*AH180/10^3</f>
        <v>0</v>
      </c>
      <c r="AI173" s="347">
        <f>-SUM(SUMIFS('Key inputs_Refineries'!AC$85:AC$164,'Key inputs_Refineries'!$C$85:$C$164,$C181,'Key inputs_Refineries'!$B$85:$B$164,"Process heat"))*AI180/10^3</f>
        <v>0</v>
      </c>
      <c r="AJ173" s="347">
        <f>-SUM(SUMIFS('Key inputs_Refineries'!AD$85:AD$164,'Key inputs_Refineries'!$C$85:$C$164,$C181,'Key inputs_Refineries'!$B$85:$B$164,"Process heat"))*AJ180/10^3</f>
        <v>0</v>
      </c>
      <c r="AK173" s="347">
        <f>-SUM(SUMIFS('Key inputs_Refineries'!AE$85:AE$164,'Key inputs_Refineries'!$C$85:$C$164,$C181,'Key inputs_Refineries'!$B$85:$B$164,"Process heat"))*AK180/10^3</f>
        <v>0</v>
      </c>
      <c r="AL173" s="347">
        <f>-SUM(SUMIFS('Key inputs_Refineries'!AF$85:AF$164,'Key inputs_Refineries'!$C$85:$C$164,$C181,'Key inputs_Refineries'!$B$85:$B$164,"Process heat"))*AL180/10^3</f>
        <v>0</v>
      </c>
    </row>
    <row r="174" spans="1:38">
      <c r="G174" s="4" t="s">
        <v>701</v>
      </c>
      <c r="H174" s="4" t="s">
        <v>661</v>
      </c>
      <c r="I174" s="4">
        <v>2019</v>
      </c>
      <c r="J174" s="4" t="s">
        <v>112</v>
      </c>
      <c r="K174" s="333">
        <v>0</v>
      </c>
      <c r="L174" s="333">
        <v>0</v>
      </c>
      <c r="M174" s="333">
        <v>0</v>
      </c>
      <c r="N174" s="333">
        <v>0</v>
      </c>
      <c r="O174" s="333">
        <v>0</v>
      </c>
      <c r="P174" s="333">
        <v>0</v>
      </c>
      <c r="Q174" s="333">
        <v>0</v>
      </c>
      <c r="R174" s="333">
        <v>0</v>
      </c>
      <c r="S174" s="333">
        <v>0</v>
      </c>
      <c r="T174" s="333">
        <v>0</v>
      </c>
      <c r="U174" s="333">
        <v>0</v>
      </c>
      <c r="V174" s="333">
        <v>0</v>
      </c>
      <c r="W174" s="333">
        <v>0</v>
      </c>
      <c r="X174" s="333">
        <v>0</v>
      </c>
      <c r="Y174" s="333">
        <v>0</v>
      </c>
      <c r="Z174" s="333">
        <v>0</v>
      </c>
      <c r="AA174" s="333">
        <v>0</v>
      </c>
      <c r="AB174" s="333">
        <v>0</v>
      </c>
      <c r="AC174" s="333">
        <v>0</v>
      </c>
      <c r="AD174" s="333">
        <v>0</v>
      </c>
      <c r="AE174" s="333">
        <v>0</v>
      </c>
      <c r="AF174" s="333">
        <v>0</v>
      </c>
      <c r="AG174" s="333">
        <v>0</v>
      </c>
      <c r="AH174" s="333">
        <v>0</v>
      </c>
      <c r="AI174" s="333">
        <v>0</v>
      </c>
      <c r="AJ174" s="333">
        <v>0</v>
      </c>
      <c r="AK174" s="333">
        <v>0</v>
      </c>
      <c r="AL174" s="333">
        <v>0</v>
      </c>
    </row>
    <row r="175" spans="1:38">
      <c r="G175" s="4" t="s">
        <v>701</v>
      </c>
      <c r="H175" s="4" t="s">
        <v>661</v>
      </c>
      <c r="I175" s="4">
        <v>2060</v>
      </c>
      <c r="J175" s="4" t="s">
        <v>112</v>
      </c>
      <c r="K175" s="333">
        <v>0</v>
      </c>
      <c r="L175" s="333">
        <v>0</v>
      </c>
      <c r="M175" s="333">
        <v>0</v>
      </c>
      <c r="N175" s="333">
        <v>0</v>
      </c>
      <c r="O175" s="333">
        <v>0</v>
      </c>
      <c r="P175" s="333">
        <v>0</v>
      </c>
      <c r="Q175" s="333">
        <v>0</v>
      </c>
      <c r="R175" s="333">
        <v>0</v>
      </c>
      <c r="S175" s="333">
        <v>0</v>
      </c>
      <c r="T175" s="333">
        <v>0</v>
      </c>
      <c r="U175" s="333">
        <v>0</v>
      </c>
      <c r="V175" s="333">
        <v>0</v>
      </c>
      <c r="W175" s="333">
        <v>0</v>
      </c>
      <c r="X175" s="333">
        <v>0</v>
      </c>
      <c r="Y175" s="333">
        <v>0</v>
      </c>
      <c r="Z175" s="333">
        <v>0</v>
      </c>
      <c r="AA175" s="333">
        <v>0</v>
      </c>
      <c r="AB175" s="333">
        <v>0</v>
      </c>
      <c r="AC175" s="333">
        <v>0</v>
      </c>
      <c r="AD175" s="333">
        <v>0</v>
      </c>
      <c r="AE175" s="333">
        <v>0</v>
      </c>
      <c r="AF175" s="333">
        <v>0</v>
      </c>
      <c r="AG175" s="333">
        <v>0</v>
      </c>
      <c r="AH175" s="333">
        <v>0</v>
      </c>
      <c r="AI175" s="333">
        <v>0</v>
      </c>
      <c r="AJ175" s="333">
        <v>0</v>
      </c>
      <c r="AK175" s="333">
        <v>0</v>
      </c>
      <c r="AL175" s="333">
        <v>0</v>
      </c>
    </row>
    <row r="176" spans="1:38">
      <c r="G176" s="4" t="s">
        <v>701</v>
      </c>
      <c r="H176" s="4" t="s">
        <v>661</v>
      </c>
      <c r="I176" s="4">
        <v>0</v>
      </c>
      <c r="J176" s="4"/>
      <c r="K176" s="333">
        <v>5</v>
      </c>
      <c r="L176" s="333">
        <v>5</v>
      </c>
      <c r="M176" s="333">
        <v>5</v>
      </c>
      <c r="N176" s="333">
        <v>5</v>
      </c>
      <c r="O176" s="333">
        <v>5</v>
      </c>
      <c r="P176" s="333">
        <v>5</v>
      </c>
      <c r="Q176" s="333">
        <v>5</v>
      </c>
      <c r="R176" s="333">
        <v>5</v>
      </c>
      <c r="S176" s="333">
        <v>5</v>
      </c>
      <c r="T176" s="333">
        <v>5</v>
      </c>
      <c r="U176" s="333">
        <v>5</v>
      </c>
      <c r="V176" s="333">
        <v>5</v>
      </c>
      <c r="W176" s="333">
        <v>5</v>
      </c>
      <c r="X176" s="333">
        <v>5</v>
      </c>
      <c r="Y176" s="333">
        <v>5</v>
      </c>
      <c r="Z176" s="333">
        <v>5</v>
      </c>
      <c r="AA176" s="333">
        <v>5</v>
      </c>
      <c r="AB176" s="333">
        <v>5</v>
      </c>
      <c r="AC176" s="333">
        <v>5</v>
      </c>
      <c r="AD176" s="333">
        <v>5</v>
      </c>
      <c r="AE176" s="333">
        <v>5</v>
      </c>
      <c r="AF176" s="333">
        <v>5</v>
      </c>
      <c r="AG176" s="333">
        <v>5</v>
      </c>
      <c r="AH176" s="333">
        <v>5</v>
      </c>
      <c r="AI176" s="333">
        <v>5</v>
      </c>
      <c r="AJ176" s="333">
        <v>5</v>
      </c>
      <c r="AK176" s="333">
        <v>5</v>
      </c>
      <c r="AL176" s="333">
        <v>5</v>
      </c>
    </row>
    <row r="177" spans="1:38">
      <c r="G177" s="4" t="s">
        <v>687</v>
      </c>
      <c r="H177" s="4"/>
      <c r="I177" s="4"/>
      <c r="J177" s="4" t="s">
        <v>2663</v>
      </c>
      <c r="K177" s="425">
        <f>'Key inputs_Refineries'!$C$181*10^3</f>
        <v>182.90880000000001</v>
      </c>
      <c r="L177" s="425">
        <f>'Key inputs_Refineries'!$C$181*10^3</f>
        <v>182.90880000000001</v>
      </c>
      <c r="M177" s="425">
        <f>'Key inputs_Refineries'!$C$181*10^3</f>
        <v>182.90880000000001</v>
      </c>
      <c r="N177" s="425">
        <f>'Key inputs_Refineries'!$C$181*10^3</f>
        <v>182.90880000000001</v>
      </c>
      <c r="O177" s="425">
        <f>'Key inputs_Refineries'!$C$181*10^3</f>
        <v>182.90880000000001</v>
      </c>
      <c r="P177" s="425">
        <f>'Key inputs_Refineries'!$C$181*10^3</f>
        <v>182.90880000000001</v>
      </c>
      <c r="Q177" s="425">
        <f>'Key inputs_Refineries'!$C$181*10^3</f>
        <v>182.90880000000001</v>
      </c>
      <c r="R177" s="425">
        <f>'Key inputs_Refineries'!$C$181*10^3</f>
        <v>182.90880000000001</v>
      </c>
      <c r="S177" s="425">
        <f>'Key inputs_Refineries'!$C$181*10^3</f>
        <v>182.90880000000001</v>
      </c>
      <c r="T177" s="425">
        <f>'Key inputs_Refineries'!$C$181*10^3</f>
        <v>182.90880000000001</v>
      </c>
      <c r="U177" s="425">
        <f>'Key inputs_Refineries'!$C$181*10^3</f>
        <v>182.90880000000001</v>
      </c>
      <c r="V177" s="425">
        <f>'Key inputs_Refineries'!$C$181*10^3</f>
        <v>182.90880000000001</v>
      </c>
      <c r="W177" s="425">
        <f>'Key inputs_Refineries'!$C$181*10^3</f>
        <v>182.90880000000001</v>
      </c>
      <c r="X177" s="425">
        <f>'Key inputs_Refineries'!$C$181*10^3</f>
        <v>182.90880000000001</v>
      </c>
      <c r="Y177" s="425">
        <f>'Key inputs_Refineries'!$C$181*10^3</f>
        <v>182.90880000000001</v>
      </c>
      <c r="Z177" s="425">
        <f>'Key inputs_Refineries'!$C$181*10^3</f>
        <v>182.90880000000001</v>
      </c>
      <c r="AA177" s="425">
        <f>'Key inputs_Refineries'!$C$181*10^3</f>
        <v>182.90880000000001</v>
      </c>
      <c r="AB177" s="425">
        <f>'Key inputs_Refineries'!$C$181*10^3</f>
        <v>182.90880000000001</v>
      </c>
      <c r="AC177" s="425">
        <f>'Key inputs_Refineries'!$C$181*10^3</f>
        <v>182.90880000000001</v>
      </c>
      <c r="AD177" s="425">
        <f>'Key inputs_Refineries'!$C$181*10^3</f>
        <v>182.90880000000001</v>
      </c>
      <c r="AE177" s="425">
        <f>'Key inputs_Refineries'!$C$181*10^3</f>
        <v>182.90880000000001</v>
      </c>
      <c r="AF177" s="425">
        <f>'Key inputs_Refineries'!$C$181*10^3</f>
        <v>182.90880000000001</v>
      </c>
      <c r="AG177" s="425">
        <f>'Key inputs_Refineries'!$C$181*10^3</f>
        <v>182.90880000000001</v>
      </c>
      <c r="AH177" s="425">
        <f>'Key inputs_Refineries'!$C$181*10^3</f>
        <v>182.90880000000001</v>
      </c>
      <c r="AI177" s="425">
        <f>'Key inputs_Refineries'!$C$181*10^3</f>
        <v>182.90880000000001</v>
      </c>
      <c r="AJ177" s="425">
        <f>'Key inputs_Refineries'!$C$181*10^3</f>
        <v>182.90880000000001</v>
      </c>
      <c r="AK177" s="425">
        <f>'Key inputs_Refineries'!$C$181*10^3</f>
        <v>182.90880000000001</v>
      </c>
      <c r="AL177" s="425">
        <f>'Key inputs_Refineries'!$C$181*10^3</f>
        <v>182.90880000000001</v>
      </c>
    </row>
    <row r="178" spans="1:38">
      <c r="G178" s="4" t="s">
        <v>689</v>
      </c>
      <c r="H178" s="4"/>
      <c r="I178" s="4"/>
      <c r="J178" s="4" t="s">
        <v>2663</v>
      </c>
      <c r="K178" s="425">
        <f>'Key inputs_Refineries'!$D$181*10^3</f>
        <v>1.5768000000000002</v>
      </c>
      <c r="L178" s="425">
        <f>'Key inputs_Refineries'!$D$181*10^3</f>
        <v>1.5768000000000002</v>
      </c>
      <c r="M178" s="425">
        <f>'Key inputs_Refineries'!$D$181*10^3</f>
        <v>1.5768000000000002</v>
      </c>
      <c r="N178" s="425">
        <f>'Key inputs_Refineries'!$D$181*10^3</f>
        <v>1.5768000000000002</v>
      </c>
      <c r="O178" s="425">
        <f>'Key inputs_Refineries'!$D$181*10^3</f>
        <v>1.5768000000000002</v>
      </c>
      <c r="P178" s="425">
        <f>'Key inputs_Refineries'!$D$181*10^3</f>
        <v>1.5768000000000002</v>
      </c>
      <c r="Q178" s="425">
        <f>'Key inputs_Refineries'!$D$181*10^3</f>
        <v>1.5768000000000002</v>
      </c>
      <c r="R178" s="425">
        <f>'Key inputs_Refineries'!$D$181*10^3</f>
        <v>1.5768000000000002</v>
      </c>
      <c r="S178" s="425">
        <f>'Key inputs_Refineries'!$D$181*10^3</f>
        <v>1.5768000000000002</v>
      </c>
      <c r="T178" s="425">
        <f>'Key inputs_Refineries'!$D$181*10^3</f>
        <v>1.5768000000000002</v>
      </c>
      <c r="U178" s="425">
        <f>'Key inputs_Refineries'!$D$181*10^3</f>
        <v>1.5768000000000002</v>
      </c>
      <c r="V178" s="425">
        <f>'Key inputs_Refineries'!$D$181*10^3</f>
        <v>1.5768000000000002</v>
      </c>
      <c r="W178" s="425">
        <f>'Key inputs_Refineries'!$D$181*10^3</f>
        <v>1.5768000000000002</v>
      </c>
      <c r="X178" s="425">
        <f>'Key inputs_Refineries'!$D$181*10^3</f>
        <v>1.5768000000000002</v>
      </c>
      <c r="Y178" s="425">
        <f>'Key inputs_Refineries'!$D$181*10^3</f>
        <v>1.5768000000000002</v>
      </c>
      <c r="Z178" s="425">
        <f>'Key inputs_Refineries'!$D$181*10^3</f>
        <v>1.5768000000000002</v>
      </c>
      <c r="AA178" s="425">
        <f>'Key inputs_Refineries'!$D$181*10^3</f>
        <v>1.5768000000000002</v>
      </c>
      <c r="AB178" s="425">
        <f>'Key inputs_Refineries'!$D$181*10^3</f>
        <v>1.5768000000000002</v>
      </c>
      <c r="AC178" s="425">
        <f>'Key inputs_Refineries'!$D$181*10^3</f>
        <v>1.5768000000000002</v>
      </c>
      <c r="AD178" s="425">
        <f>'Key inputs_Refineries'!$D$181*10^3</f>
        <v>1.5768000000000002</v>
      </c>
      <c r="AE178" s="425">
        <f>'Key inputs_Refineries'!$D$181*10^3</f>
        <v>1.5768000000000002</v>
      </c>
      <c r="AF178" s="425">
        <f>'Key inputs_Refineries'!$D$181*10^3</f>
        <v>1.5768000000000002</v>
      </c>
      <c r="AG178" s="425">
        <f>'Key inputs_Refineries'!$D$181*10^3</f>
        <v>1.5768000000000002</v>
      </c>
      <c r="AH178" s="425">
        <f>'Key inputs_Refineries'!$D$181*10^3</f>
        <v>1.5768000000000002</v>
      </c>
      <c r="AI178" s="425">
        <f>'Key inputs_Refineries'!$D$181*10^3</f>
        <v>1.5768000000000002</v>
      </c>
      <c r="AJ178" s="425">
        <f>'Key inputs_Refineries'!$D$181*10^3</f>
        <v>1.5768000000000002</v>
      </c>
      <c r="AK178" s="425">
        <f>'Key inputs_Refineries'!$D$181*10^3</f>
        <v>1.5768000000000002</v>
      </c>
      <c r="AL178" s="425">
        <f>'Key inputs_Refineries'!$D$181*10^3</f>
        <v>1.5768000000000002</v>
      </c>
    </row>
    <row r="179" spans="1:38">
      <c r="G179" s="4" t="s">
        <v>675</v>
      </c>
      <c r="H179" s="4"/>
      <c r="I179" s="4"/>
      <c r="J179" s="4" t="s">
        <v>2662</v>
      </c>
      <c r="K179" s="338"/>
      <c r="L179" s="338"/>
      <c r="M179" s="338"/>
      <c r="N179" s="338"/>
      <c r="O179" s="338"/>
      <c r="P179" s="338"/>
      <c r="Q179" s="338"/>
      <c r="R179" s="338"/>
      <c r="S179" s="338"/>
      <c r="T179" s="338"/>
      <c r="U179" s="338"/>
      <c r="V179" s="338"/>
      <c r="W179" s="338"/>
      <c r="X179" s="338"/>
      <c r="Y179" s="338"/>
      <c r="Z179" s="338"/>
      <c r="AA179" s="338"/>
      <c r="AB179" s="338"/>
      <c r="AC179" s="338"/>
      <c r="AD179" s="338"/>
      <c r="AE179" s="338"/>
      <c r="AF179" s="338"/>
      <c r="AG179" s="338"/>
      <c r="AH179" s="338"/>
      <c r="AI179" s="338"/>
      <c r="AJ179" s="338"/>
      <c r="AK179" s="338"/>
      <c r="AL179" s="338"/>
    </row>
    <row r="180" spans="1:38">
      <c r="G180" s="4" t="s">
        <v>630</v>
      </c>
      <c r="H180" s="4"/>
      <c r="I180" s="4"/>
      <c r="J180" s="4" t="s">
        <v>2666</v>
      </c>
      <c r="K180" s="425">
        <f>'Key inputs_Refineries'!$H$181</f>
        <v>0.68</v>
      </c>
      <c r="L180" s="425">
        <f>'Key inputs_Refineries'!$H$181</f>
        <v>0.68</v>
      </c>
      <c r="M180" s="425">
        <f>'Key inputs_Refineries'!$H$181</f>
        <v>0.68</v>
      </c>
      <c r="N180" s="425">
        <f>'Key inputs_Refineries'!$H$181</f>
        <v>0.68</v>
      </c>
      <c r="O180" s="425">
        <f>'Key inputs_Refineries'!$H$181</f>
        <v>0.68</v>
      </c>
      <c r="P180" s="425">
        <f>'Key inputs_Refineries'!$H$181</f>
        <v>0.68</v>
      </c>
      <c r="Q180" s="425">
        <f>'Key inputs_Refineries'!$H$181</f>
        <v>0.68</v>
      </c>
      <c r="R180" s="425">
        <f>'Key inputs_Refineries'!$H$181</f>
        <v>0.68</v>
      </c>
      <c r="S180" s="425">
        <f>'Key inputs_Refineries'!$H$181</f>
        <v>0.68</v>
      </c>
      <c r="T180" s="425">
        <f>'Key inputs_Refineries'!$H$181</f>
        <v>0.68</v>
      </c>
      <c r="U180" s="425">
        <f>'Key inputs_Refineries'!$H$181</f>
        <v>0.68</v>
      </c>
      <c r="V180" s="425">
        <f>'Key inputs_Refineries'!$H$181</f>
        <v>0.68</v>
      </c>
      <c r="W180" s="425">
        <f>'Key inputs_Refineries'!$H$181</f>
        <v>0.68</v>
      </c>
      <c r="X180" s="425">
        <f>'Key inputs_Refineries'!$H$181</f>
        <v>0.68</v>
      </c>
      <c r="Y180" s="425">
        <f>'Key inputs_Refineries'!$H$181</f>
        <v>0.68</v>
      </c>
      <c r="Z180" s="425">
        <f>'Key inputs_Refineries'!$H$181</f>
        <v>0.68</v>
      </c>
      <c r="AA180" s="425">
        <f>'Key inputs_Refineries'!$H$181</f>
        <v>0.68</v>
      </c>
      <c r="AB180" s="425">
        <f>'Key inputs_Refineries'!$H$181</f>
        <v>0.68</v>
      </c>
      <c r="AC180" s="425">
        <f>'Key inputs_Refineries'!$H$181</f>
        <v>0.68</v>
      </c>
      <c r="AD180" s="425">
        <f>'Key inputs_Refineries'!$H$181</f>
        <v>0.68</v>
      </c>
      <c r="AE180" s="425">
        <f>'Key inputs_Refineries'!$H$181</f>
        <v>0.68</v>
      </c>
      <c r="AF180" s="425">
        <f>'Key inputs_Refineries'!$H$181</f>
        <v>0.68</v>
      </c>
      <c r="AG180" s="425">
        <f>'Key inputs_Refineries'!$H$181</f>
        <v>0.68</v>
      </c>
      <c r="AH180" s="425">
        <f>'Key inputs_Refineries'!$H$181</f>
        <v>0.68</v>
      </c>
      <c r="AI180" s="425">
        <f>'Key inputs_Refineries'!$H$181</f>
        <v>0.68</v>
      </c>
      <c r="AJ180" s="425">
        <f>'Key inputs_Refineries'!$H$181</f>
        <v>0.68</v>
      </c>
      <c r="AK180" s="425">
        <f>'Key inputs_Refineries'!$H$181</f>
        <v>0.68</v>
      </c>
      <c r="AL180" s="425">
        <f>'Key inputs_Refineries'!$H$181</f>
        <v>0.68</v>
      </c>
    </row>
    <row r="181" spans="1:38">
      <c r="C181" t="str">
        <f>Commodities!$C$86</f>
        <v>UPSCOA</v>
      </c>
      <c r="G181" s="4" t="s">
        <v>702</v>
      </c>
      <c r="H181" t="s">
        <v>661</v>
      </c>
      <c r="I181">
        <v>2019</v>
      </c>
      <c r="J181" t="s">
        <v>650</v>
      </c>
      <c r="K181" s="173">
        <v>1</v>
      </c>
      <c r="L181" s="173">
        <v>1</v>
      </c>
      <c r="M181" s="173">
        <v>1</v>
      </c>
      <c r="N181" s="173">
        <v>1</v>
      </c>
      <c r="O181" s="173">
        <v>1</v>
      </c>
      <c r="P181" s="173">
        <v>1</v>
      </c>
      <c r="Q181" s="173">
        <v>1</v>
      </c>
      <c r="R181" s="173">
        <v>1</v>
      </c>
      <c r="S181" s="173">
        <v>1</v>
      </c>
      <c r="T181" s="173">
        <v>1</v>
      </c>
      <c r="U181" s="173">
        <v>1</v>
      </c>
      <c r="V181" s="173">
        <v>1</v>
      </c>
      <c r="W181" s="173">
        <v>1</v>
      </c>
      <c r="X181" s="173">
        <v>1</v>
      </c>
      <c r="Y181" s="173">
        <v>1</v>
      </c>
      <c r="Z181" s="173">
        <v>1</v>
      </c>
      <c r="AA181" s="173">
        <v>1</v>
      </c>
      <c r="AB181" s="173">
        <v>1</v>
      </c>
      <c r="AC181" s="173">
        <v>1</v>
      </c>
      <c r="AD181" s="173">
        <v>1</v>
      </c>
      <c r="AE181" s="173">
        <v>1</v>
      </c>
      <c r="AF181" s="173">
        <v>1</v>
      </c>
      <c r="AG181" s="173">
        <v>1</v>
      </c>
      <c r="AH181" s="173">
        <v>1</v>
      </c>
      <c r="AI181" s="173">
        <v>1</v>
      </c>
      <c r="AJ181" s="173">
        <v>1</v>
      </c>
      <c r="AK181" s="173">
        <v>1</v>
      </c>
      <c r="AL181" s="173">
        <v>1</v>
      </c>
    </row>
    <row r="182" spans="1:38">
      <c r="D182" t="str">
        <f>Commodities!$C$105</f>
        <v>UREFHET</v>
      </c>
    </row>
    <row r="183" spans="1:38">
      <c r="A183" s="4" t="str">
        <f>AO20</f>
        <v>U-TRF-OILREFHET_ELC00</v>
      </c>
      <c r="B183" s="4" t="str">
        <f>AP20</f>
        <v>UPS Transformation: Oil refinery process heat Electricity - Existing</v>
      </c>
      <c r="C183" s="4"/>
      <c r="D183" s="4"/>
      <c r="E183" s="4"/>
      <c r="F183" s="4"/>
      <c r="G183" s="4" t="s">
        <v>695</v>
      </c>
      <c r="H183" s="4"/>
      <c r="I183" s="4"/>
      <c r="J183" s="4" t="s">
        <v>2665</v>
      </c>
      <c r="K183" s="333">
        <v>1</v>
      </c>
      <c r="L183" s="333">
        <v>1</v>
      </c>
      <c r="M183" s="333">
        <v>1</v>
      </c>
      <c r="N183" s="333">
        <v>1</v>
      </c>
      <c r="O183" s="333">
        <v>1</v>
      </c>
      <c r="P183" s="333">
        <v>1</v>
      </c>
      <c r="Q183" s="333">
        <v>1</v>
      </c>
      <c r="R183" s="333">
        <v>1</v>
      </c>
      <c r="S183" s="333">
        <v>1</v>
      </c>
      <c r="T183" s="333">
        <v>1</v>
      </c>
      <c r="U183" s="333">
        <v>1</v>
      </c>
      <c r="V183" s="333">
        <v>1</v>
      </c>
      <c r="W183" s="333">
        <v>1</v>
      </c>
      <c r="X183" s="333">
        <v>1</v>
      </c>
      <c r="Y183" s="333">
        <v>1</v>
      </c>
      <c r="Z183" s="333">
        <v>1</v>
      </c>
      <c r="AA183" s="333">
        <v>1</v>
      </c>
      <c r="AB183" s="333">
        <v>1</v>
      </c>
      <c r="AC183" s="333">
        <v>1</v>
      </c>
      <c r="AD183" s="333">
        <v>1</v>
      </c>
      <c r="AE183" s="333">
        <v>1</v>
      </c>
      <c r="AF183" s="333">
        <v>1</v>
      </c>
      <c r="AG183" s="333">
        <v>1</v>
      </c>
      <c r="AH183" s="333">
        <v>1</v>
      </c>
      <c r="AI183" s="333">
        <v>1</v>
      </c>
      <c r="AJ183" s="333">
        <v>1</v>
      </c>
      <c r="AK183" s="333">
        <v>1</v>
      </c>
      <c r="AL183" s="333">
        <v>1</v>
      </c>
    </row>
    <row r="184" spans="1:38">
      <c r="C184" s="4"/>
      <c r="D184" s="4"/>
      <c r="E184" s="4"/>
      <c r="F184" s="4"/>
      <c r="G184" s="4" t="s">
        <v>697</v>
      </c>
      <c r="H184" s="4"/>
      <c r="I184" s="4"/>
      <c r="J184" s="4" t="s">
        <v>698</v>
      </c>
      <c r="K184" s="424">
        <f>'Key inputs_Refineries'!$F$182</f>
        <v>15</v>
      </c>
      <c r="L184" s="424">
        <f>'Key inputs_Refineries'!$F$182</f>
        <v>15</v>
      </c>
      <c r="M184" s="424">
        <f>'Key inputs_Refineries'!$F$182</f>
        <v>15</v>
      </c>
      <c r="N184" s="424">
        <f>'Key inputs_Refineries'!$F$182</f>
        <v>15</v>
      </c>
      <c r="O184" s="424">
        <f>'Key inputs_Refineries'!$F$182</f>
        <v>15</v>
      </c>
      <c r="P184" s="424">
        <f>'Key inputs_Refineries'!$F$182</f>
        <v>15</v>
      </c>
      <c r="Q184" s="424">
        <f>'Key inputs_Refineries'!$F$182</f>
        <v>15</v>
      </c>
      <c r="R184" s="424">
        <f>'Key inputs_Refineries'!$F$182</f>
        <v>15</v>
      </c>
      <c r="S184" s="424">
        <f>'Key inputs_Refineries'!$F$182</f>
        <v>15</v>
      </c>
      <c r="T184" s="424">
        <f>'Key inputs_Refineries'!$F$182</f>
        <v>15</v>
      </c>
      <c r="U184" s="424">
        <f>'Key inputs_Refineries'!$F$182</f>
        <v>15</v>
      </c>
      <c r="V184" s="424">
        <f>'Key inputs_Refineries'!$F$182</f>
        <v>15</v>
      </c>
      <c r="W184" s="424">
        <f>'Key inputs_Refineries'!$F$182</f>
        <v>15</v>
      </c>
      <c r="X184" s="424">
        <f>'Key inputs_Refineries'!$F$182</f>
        <v>15</v>
      </c>
      <c r="Y184" s="424">
        <f>'Key inputs_Refineries'!$F$182</f>
        <v>15</v>
      </c>
      <c r="Z184" s="424">
        <f>'Key inputs_Refineries'!$F$182</f>
        <v>15</v>
      </c>
      <c r="AA184" s="424">
        <f>'Key inputs_Refineries'!$F$182</f>
        <v>15</v>
      </c>
      <c r="AB184" s="424">
        <f>'Key inputs_Refineries'!$F$182</f>
        <v>15</v>
      </c>
      <c r="AC184" s="424">
        <f>'Key inputs_Refineries'!$F$182</f>
        <v>15</v>
      </c>
      <c r="AD184" s="424">
        <f>'Key inputs_Refineries'!$F$182</f>
        <v>15</v>
      </c>
      <c r="AE184" s="424">
        <f>'Key inputs_Refineries'!$F$182</f>
        <v>15</v>
      </c>
      <c r="AF184" s="424">
        <f>'Key inputs_Refineries'!$F$182</f>
        <v>15</v>
      </c>
      <c r="AG184" s="424">
        <f>'Key inputs_Refineries'!$F$182</f>
        <v>15</v>
      </c>
      <c r="AH184" s="424">
        <f>'Key inputs_Refineries'!$F$182</f>
        <v>15</v>
      </c>
      <c r="AI184" s="424">
        <f>'Key inputs_Refineries'!$F$182</f>
        <v>15</v>
      </c>
      <c r="AJ184" s="424">
        <f>'Key inputs_Refineries'!$F$182</f>
        <v>15</v>
      </c>
      <c r="AK184" s="424">
        <f>'Key inputs_Refineries'!$F$182</f>
        <v>15</v>
      </c>
      <c r="AL184" s="424">
        <f>'Key inputs_Refineries'!$F$182</f>
        <v>15</v>
      </c>
    </row>
    <row r="185" spans="1:38">
      <c r="A185" s="4"/>
      <c r="B185" s="4"/>
      <c r="C185" s="4"/>
      <c r="D185" s="4"/>
      <c r="E185" s="4"/>
      <c r="F185" s="4"/>
      <c r="G185" s="4" t="s">
        <v>699</v>
      </c>
      <c r="H185" s="4"/>
      <c r="I185" s="4">
        <v>2019</v>
      </c>
      <c r="J185" s="4" t="s">
        <v>112</v>
      </c>
      <c r="K185" s="347">
        <f>-SUM(SUMIFS('Key inputs_Refineries'!E$85:E$164,'Key inputs_Refineries'!$C$85:$C$164,$C193,'Key inputs_Refineries'!$B$85:$B$164,"Process heat"))*K192/10^3</f>
        <v>0</v>
      </c>
      <c r="L185" s="347">
        <f>-SUM(SUMIFS('Key inputs_Refineries'!F$85:F$164,'Key inputs_Refineries'!$C$85:$C$164,$C193,'Key inputs_Refineries'!$B$85:$B$164,"Process heat"))*L192/10^3</f>
        <v>5.527960165024224E-2</v>
      </c>
      <c r="M185" s="347">
        <f>-SUM(SUMIFS('Key inputs_Refineries'!G$85:G$164,'Key inputs_Refineries'!$C$85:$C$164,$C193,'Key inputs_Refineries'!$B$85:$B$164,"Process heat"))*M192/10^3</f>
        <v>1.5233134160194309E-4</v>
      </c>
      <c r="N185" s="347">
        <f>-SUM(SUMIFS('Key inputs_Refineries'!H$85:H$164,'Key inputs_Refineries'!$C$85:$C$164,$C193,'Key inputs_Refineries'!$B$85:$B$164,"Process heat"))*N192/10^3</f>
        <v>0.82118846314663141</v>
      </c>
      <c r="O185" s="347">
        <f>-SUM(SUMIFS('Key inputs_Refineries'!I$85:I$164,'Key inputs_Refineries'!$C$85:$C$164,$C193,'Key inputs_Refineries'!$B$85:$B$164,"Process heat"))*O192/10^3</f>
        <v>0.15045643017601085</v>
      </c>
      <c r="P185" s="347">
        <f>-SUM(SUMIFS('Key inputs_Refineries'!J$85:J$164,'Key inputs_Refineries'!$C$85:$C$164,$C193,'Key inputs_Refineries'!$B$85:$B$164,"Process heat"))*P192/10^3</f>
        <v>9.8831919101082397E-2</v>
      </c>
      <c r="Q185" s="347">
        <f>-SUM(SUMIFS('Key inputs_Refineries'!K$85:K$164,'Key inputs_Refineries'!$C$85:$C$164,$C193,'Key inputs_Refineries'!$B$85:$B$164,"Process heat"))*Q192/10^3</f>
        <v>0</v>
      </c>
      <c r="R185" s="347">
        <f>-SUM(SUMIFS('Key inputs_Refineries'!L$85:L$164,'Key inputs_Refineries'!$C$85:$C$164,$C193,'Key inputs_Refineries'!$B$85:$B$164,"Process heat"))*R192/10^3</f>
        <v>0</v>
      </c>
      <c r="S185" s="347">
        <f>-SUM(SUMIFS('Key inputs_Refineries'!M$85:M$164,'Key inputs_Refineries'!$C$85:$C$164,$C193,'Key inputs_Refineries'!$B$85:$B$164,"Process heat"))*S192/10^3</f>
        <v>0.4473567</v>
      </c>
      <c r="T185" s="347">
        <f>-SUM(SUMIFS('Key inputs_Refineries'!N$85:N$164,'Key inputs_Refineries'!$C$85:$C$164,$C193,'Key inputs_Refineries'!$B$85:$B$164,"Process heat"))*T192/10^3</f>
        <v>0.88485230170849716</v>
      </c>
      <c r="U185" s="347">
        <f>-SUM(SUMIFS('Key inputs_Refineries'!O$85:O$164,'Key inputs_Refineries'!$C$85:$C$164,$C193,'Key inputs_Refineries'!$B$85:$B$164,"Process heat"))*U192/10^3</f>
        <v>6.2908967884057587E-2</v>
      </c>
      <c r="V185" s="347">
        <f>-SUM(SUMIFS('Key inputs_Refineries'!P$85:P$164,'Key inputs_Refineries'!$C$85:$C$164,$C193,'Key inputs_Refineries'!$B$85:$B$164,"Process heat"))*V192/10^3</f>
        <v>12.361425463731299</v>
      </c>
      <c r="W185" s="347">
        <f>-SUM(SUMIFS('Key inputs_Refineries'!Q$85:Q$164,'Key inputs_Refineries'!$C$85:$C$164,$C193,'Key inputs_Refineries'!$B$85:$B$164,"Process heat"))*W192/10^3</f>
        <v>0.26556081054323533</v>
      </c>
      <c r="X185" s="347">
        <f>-SUM(SUMIFS('Key inputs_Refineries'!R$85:R$164,'Key inputs_Refineries'!$C$85:$C$164,$C193,'Key inputs_Refineries'!$B$85:$B$164,"Process heat"))*X192/10^3</f>
        <v>0.4593698775385433</v>
      </c>
      <c r="Y185" s="347">
        <f>-SUM(SUMIFS('Key inputs_Refineries'!S$85:S$164,'Key inputs_Refineries'!$C$85:$C$164,$C193,'Key inputs_Refineries'!$B$85:$B$164,"Process heat"))*Y192/10^3</f>
        <v>0.61426966437949415</v>
      </c>
      <c r="Z185" s="347">
        <f>-SUM(SUMIFS('Key inputs_Refineries'!T$85:T$164,'Key inputs_Refineries'!$C$85:$C$164,$C193,'Key inputs_Refineries'!$B$85:$B$164,"Process heat"))*Z192/10^3</f>
        <v>1.3527539159929904</v>
      </c>
      <c r="AA185" s="347">
        <f>-SUM(SUMIFS('Key inputs_Refineries'!U$85:U$164,'Key inputs_Refineries'!$C$85:$C$164,$C193,'Key inputs_Refineries'!$B$85:$B$164,"Process heat"))*AA192/10^3</f>
        <v>1.3037786981062882</v>
      </c>
      <c r="AB185" s="347">
        <f>-SUM(SUMIFS('Key inputs_Refineries'!V$85:V$164,'Key inputs_Refineries'!$C$85:$C$164,$C193,'Key inputs_Refineries'!$B$85:$B$164,"Process heat"))*AB192/10^3</f>
        <v>0</v>
      </c>
      <c r="AC185" s="347">
        <f>-SUM(SUMIFS('Key inputs_Refineries'!W$85:W$164,'Key inputs_Refineries'!$C$85:$C$164,$C193,'Key inputs_Refineries'!$B$85:$B$164,"Process heat"))*AC192/10^3</f>
        <v>0.56870100000000001</v>
      </c>
      <c r="AD185" s="347">
        <f>-SUM(SUMIFS('Key inputs_Refineries'!X$85:X$164,'Key inputs_Refineries'!$C$85:$C$164,$C193,'Key inputs_Refineries'!$B$85:$B$164,"Process heat"))*AD192/10^3</f>
        <v>0.99855112552634551</v>
      </c>
      <c r="AE185" s="347">
        <f>-SUM(SUMIFS('Key inputs_Refineries'!Y$85:Y$164,'Key inputs_Refineries'!$C$85:$C$164,$C193,'Key inputs_Refineries'!$B$85:$B$164,"Process heat"))*AE192/10^3</f>
        <v>0.29684039995341582</v>
      </c>
      <c r="AF185" s="347">
        <f>-SUM(SUMIFS('Key inputs_Refineries'!Z$85:Z$164,'Key inputs_Refineries'!$C$85:$C$164,$C193,'Key inputs_Refineries'!$B$85:$B$164,"Process heat"))*AF192/10^3</f>
        <v>0.35183694356071005</v>
      </c>
      <c r="AG185" s="347">
        <f>-SUM(SUMIFS('Key inputs_Refineries'!AA$85:AA$164,'Key inputs_Refineries'!$C$85:$C$164,$C193,'Key inputs_Refineries'!$B$85:$B$164,"Process heat"))*AG192/10^3</f>
        <v>1.2144926942668957</v>
      </c>
      <c r="AH185" s="347">
        <f>-SUM(SUMIFS('Key inputs_Refineries'!AB$85:AB$164,'Key inputs_Refineries'!$C$85:$C$164,$C193,'Key inputs_Refineries'!$B$85:$B$164,"Process heat"))*AH192/10^3</f>
        <v>0.14910228464499573</v>
      </c>
      <c r="AI185" s="347">
        <f>-SUM(SUMIFS('Key inputs_Refineries'!AC$85:AC$164,'Key inputs_Refineries'!$C$85:$C$164,$C193,'Key inputs_Refineries'!$B$85:$B$164,"Process heat"))*AI192/10^3</f>
        <v>0</v>
      </c>
      <c r="AJ185" s="347">
        <f>-SUM(SUMIFS('Key inputs_Refineries'!AD$85:AD$164,'Key inputs_Refineries'!$C$85:$C$164,$C193,'Key inputs_Refineries'!$B$85:$B$164,"Process heat"))*AJ192/10^3</f>
        <v>3.2145403831113271</v>
      </c>
      <c r="AK185" s="347">
        <f>-SUM(SUMIFS('Key inputs_Refineries'!AE$85:AE$164,'Key inputs_Refineries'!$C$85:$C$164,$C193,'Key inputs_Refineries'!$B$85:$B$164,"Process heat"))*AK192/10^3</f>
        <v>1.4166545463842766</v>
      </c>
      <c r="AL185" s="347">
        <f>-SUM(SUMIFS('Key inputs_Refineries'!AF$85:AF$164,'Key inputs_Refineries'!$C$85:$C$164,$C193,'Key inputs_Refineries'!$B$85:$B$164,"Process heat"))*AL192/10^3</f>
        <v>5.9438020694059066</v>
      </c>
    </row>
    <row r="186" spans="1:38">
      <c r="G186" s="4" t="s">
        <v>701</v>
      </c>
      <c r="H186" s="4" t="s">
        <v>661</v>
      </c>
      <c r="I186" s="4">
        <v>2019</v>
      </c>
      <c r="J186" s="4" t="s">
        <v>112</v>
      </c>
      <c r="K186" s="333">
        <v>0</v>
      </c>
      <c r="L186" s="333">
        <v>0</v>
      </c>
      <c r="M186" s="333">
        <v>0</v>
      </c>
      <c r="N186" s="333">
        <v>0</v>
      </c>
      <c r="O186" s="333">
        <v>0</v>
      </c>
      <c r="P186" s="333">
        <v>0</v>
      </c>
      <c r="Q186" s="333">
        <v>0</v>
      </c>
      <c r="R186" s="333">
        <v>0</v>
      </c>
      <c r="S186" s="333">
        <v>0</v>
      </c>
      <c r="T186" s="333">
        <v>0</v>
      </c>
      <c r="U186" s="333">
        <v>0</v>
      </c>
      <c r="V186" s="333">
        <v>0</v>
      </c>
      <c r="W186" s="333">
        <v>0</v>
      </c>
      <c r="X186" s="333">
        <v>0</v>
      </c>
      <c r="Y186" s="333">
        <v>0</v>
      </c>
      <c r="Z186" s="333">
        <v>0</v>
      </c>
      <c r="AA186" s="333">
        <v>0</v>
      </c>
      <c r="AB186" s="333">
        <v>0</v>
      </c>
      <c r="AC186" s="333">
        <v>0</v>
      </c>
      <c r="AD186" s="333">
        <v>0</v>
      </c>
      <c r="AE186" s="333">
        <v>0</v>
      </c>
      <c r="AF186" s="333">
        <v>0</v>
      </c>
      <c r="AG186" s="333">
        <v>0</v>
      </c>
      <c r="AH186" s="333">
        <v>0</v>
      </c>
      <c r="AI186" s="333">
        <v>0</v>
      </c>
      <c r="AJ186" s="333">
        <v>0</v>
      </c>
      <c r="AK186" s="333">
        <v>0</v>
      </c>
      <c r="AL186" s="333">
        <v>0</v>
      </c>
    </row>
    <row r="187" spans="1:38">
      <c r="G187" s="4" t="s">
        <v>701</v>
      </c>
      <c r="H187" s="4" t="s">
        <v>661</v>
      </c>
      <c r="I187" s="4">
        <v>2060</v>
      </c>
      <c r="J187" s="4" t="s">
        <v>112</v>
      </c>
      <c r="K187" s="333">
        <v>0</v>
      </c>
      <c r="L187" s="333">
        <v>0</v>
      </c>
      <c r="M187" s="333">
        <v>0</v>
      </c>
      <c r="N187" s="333">
        <v>0</v>
      </c>
      <c r="O187" s="333">
        <v>0</v>
      </c>
      <c r="P187" s="333">
        <v>0</v>
      </c>
      <c r="Q187" s="333">
        <v>0</v>
      </c>
      <c r="R187" s="333">
        <v>0</v>
      </c>
      <c r="S187" s="333">
        <v>0</v>
      </c>
      <c r="T187" s="333">
        <v>0</v>
      </c>
      <c r="U187" s="333">
        <v>0</v>
      </c>
      <c r="V187" s="333">
        <v>0</v>
      </c>
      <c r="W187" s="333">
        <v>0</v>
      </c>
      <c r="X187" s="333">
        <v>0</v>
      </c>
      <c r="Y187" s="333">
        <v>0</v>
      </c>
      <c r="Z187" s="333">
        <v>0</v>
      </c>
      <c r="AA187" s="333">
        <v>0</v>
      </c>
      <c r="AB187" s="333">
        <v>0</v>
      </c>
      <c r="AC187" s="333">
        <v>0</v>
      </c>
      <c r="AD187" s="333">
        <v>0</v>
      </c>
      <c r="AE187" s="333">
        <v>0</v>
      </c>
      <c r="AF187" s="333">
        <v>0</v>
      </c>
      <c r="AG187" s="333">
        <v>0</v>
      </c>
      <c r="AH187" s="333">
        <v>0</v>
      </c>
      <c r="AI187" s="333">
        <v>0</v>
      </c>
      <c r="AJ187" s="333">
        <v>0</v>
      </c>
      <c r="AK187" s="333">
        <v>0</v>
      </c>
      <c r="AL187" s="333">
        <v>0</v>
      </c>
    </row>
    <row r="188" spans="1:38">
      <c r="G188" s="4" t="s">
        <v>701</v>
      </c>
      <c r="H188" s="4" t="s">
        <v>661</v>
      </c>
      <c r="I188" s="4">
        <v>0</v>
      </c>
      <c r="J188" s="4"/>
      <c r="K188" s="333">
        <v>5</v>
      </c>
      <c r="L188" s="333">
        <v>5</v>
      </c>
      <c r="M188" s="333">
        <v>5</v>
      </c>
      <c r="N188" s="333">
        <v>5</v>
      </c>
      <c r="O188" s="333">
        <v>5</v>
      </c>
      <c r="P188" s="333">
        <v>5</v>
      </c>
      <c r="Q188" s="333">
        <v>5</v>
      </c>
      <c r="R188" s="333">
        <v>5</v>
      </c>
      <c r="S188" s="333">
        <v>5</v>
      </c>
      <c r="T188" s="333">
        <v>5</v>
      </c>
      <c r="U188" s="333">
        <v>5</v>
      </c>
      <c r="V188" s="333">
        <v>5</v>
      </c>
      <c r="W188" s="333">
        <v>5</v>
      </c>
      <c r="X188" s="333">
        <v>5</v>
      </c>
      <c r="Y188" s="333">
        <v>5</v>
      </c>
      <c r="Z188" s="333">
        <v>5</v>
      </c>
      <c r="AA188" s="333">
        <v>5</v>
      </c>
      <c r="AB188" s="333">
        <v>5</v>
      </c>
      <c r="AC188" s="333">
        <v>5</v>
      </c>
      <c r="AD188" s="333">
        <v>5</v>
      </c>
      <c r="AE188" s="333">
        <v>5</v>
      </c>
      <c r="AF188" s="333">
        <v>5</v>
      </c>
      <c r="AG188" s="333">
        <v>5</v>
      </c>
      <c r="AH188" s="333">
        <v>5</v>
      </c>
      <c r="AI188" s="333">
        <v>5</v>
      </c>
      <c r="AJ188" s="333">
        <v>5</v>
      </c>
      <c r="AK188" s="333">
        <v>5</v>
      </c>
      <c r="AL188" s="333">
        <v>5</v>
      </c>
    </row>
    <row r="189" spans="1:38">
      <c r="G189" s="4" t="s">
        <v>687</v>
      </c>
      <c r="H189" s="4"/>
      <c r="I189" s="4"/>
      <c r="J189" s="4" t="s">
        <v>2663</v>
      </c>
      <c r="K189" s="425">
        <f>'Key inputs_Refineries'!$C$182*10^3</f>
        <v>94.608000000000018</v>
      </c>
      <c r="L189" s="425">
        <f>'Key inputs_Refineries'!$C$182*10^3</f>
        <v>94.608000000000018</v>
      </c>
      <c r="M189" s="425">
        <f>'Key inputs_Refineries'!$C$182*10^3</f>
        <v>94.608000000000018</v>
      </c>
      <c r="N189" s="425">
        <f>'Key inputs_Refineries'!$C$182*10^3</f>
        <v>94.608000000000018</v>
      </c>
      <c r="O189" s="425">
        <f>'Key inputs_Refineries'!$C$182*10^3</f>
        <v>94.608000000000018</v>
      </c>
      <c r="P189" s="425">
        <f>'Key inputs_Refineries'!$C$182*10^3</f>
        <v>94.608000000000018</v>
      </c>
      <c r="Q189" s="425">
        <f>'Key inputs_Refineries'!$C$182*10^3</f>
        <v>94.608000000000018</v>
      </c>
      <c r="R189" s="425">
        <f>'Key inputs_Refineries'!$C$182*10^3</f>
        <v>94.608000000000018</v>
      </c>
      <c r="S189" s="425">
        <f>'Key inputs_Refineries'!$C$182*10^3</f>
        <v>94.608000000000018</v>
      </c>
      <c r="T189" s="425">
        <f>'Key inputs_Refineries'!$C$182*10^3</f>
        <v>94.608000000000018</v>
      </c>
      <c r="U189" s="425">
        <f>'Key inputs_Refineries'!$C$182*10^3</f>
        <v>94.608000000000018</v>
      </c>
      <c r="V189" s="425">
        <f>'Key inputs_Refineries'!$C$182*10^3</f>
        <v>94.608000000000018</v>
      </c>
      <c r="W189" s="425">
        <f>'Key inputs_Refineries'!$C$182*10^3</f>
        <v>94.608000000000018</v>
      </c>
      <c r="X189" s="425">
        <f>'Key inputs_Refineries'!$C$182*10^3</f>
        <v>94.608000000000018</v>
      </c>
      <c r="Y189" s="425">
        <f>'Key inputs_Refineries'!$C$182*10^3</f>
        <v>94.608000000000018</v>
      </c>
      <c r="Z189" s="425">
        <f>'Key inputs_Refineries'!$C$182*10^3</f>
        <v>94.608000000000018</v>
      </c>
      <c r="AA189" s="425">
        <f>'Key inputs_Refineries'!$C$182*10^3</f>
        <v>94.608000000000018</v>
      </c>
      <c r="AB189" s="425">
        <f>'Key inputs_Refineries'!$C$182*10^3</f>
        <v>94.608000000000018</v>
      </c>
      <c r="AC189" s="425">
        <f>'Key inputs_Refineries'!$C$182*10^3</f>
        <v>94.608000000000018</v>
      </c>
      <c r="AD189" s="425">
        <f>'Key inputs_Refineries'!$C$182*10^3</f>
        <v>94.608000000000018</v>
      </c>
      <c r="AE189" s="425">
        <f>'Key inputs_Refineries'!$C$182*10^3</f>
        <v>94.608000000000018</v>
      </c>
      <c r="AF189" s="425">
        <f>'Key inputs_Refineries'!$C$182*10^3</f>
        <v>94.608000000000018</v>
      </c>
      <c r="AG189" s="425">
        <f>'Key inputs_Refineries'!$C$182*10^3</f>
        <v>94.608000000000018</v>
      </c>
      <c r="AH189" s="425">
        <f>'Key inputs_Refineries'!$C$182*10^3</f>
        <v>94.608000000000018</v>
      </c>
      <c r="AI189" s="425">
        <f>'Key inputs_Refineries'!$C$182*10^3</f>
        <v>94.608000000000018</v>
      </c>
      <c r="AJ189" s="425">
        <f>'Key inputs_Refineries'!$C$182*10^3</f>
        <v>94.608000000000018</v>
      </c>
      <c r="AK189" s="425">
        <f>'Key inputs_Refineries'!$C$182*10^3</f>
        <v>94.608000000000018</v>
      </c>
      <c r="AL189" s="425">
        <f>'Key inputs_Refineries'!$C$182*10^3</f>
        <v>94.608000000000018</v>
      </c>
    </row>
    <row r="190" spans="1:38">
      <c r="G190" s="4" t="s">
        <v>689</v>
      </c>
      <c r="H190" s="4"/>
      <c r="I190" s="4"/>
      <c r="J190" s="4" t="s">
        <v>2663</v>
      </c>
      <c r="K190" s="425">
        <f>'Key inputs_Refineries'!$D$182*10^3</f>
        <v>0.94608000000000003</v>
      </c>
      <c r="L190" s="425">
        <f>'Key inputs_Refineries'!$D$182*10^3</f>
        <v>0.94608000000000003</v>
      </c>
      <c r="M190" s="425">
        <f>'Key inputs_Refineries'!$D$182*10^3</f>
        <v>0.94608000000000003</v>
      </c>
      <c r="N190" s="425">
        <f>'Key inputs_Refineries'!$D$182*10^3</f>
        <v>0.94608000000000003</v>
      </c>
      <c r="O190" s="425">
        <f>'Key inputs_Refineries'!$D$182*10^3</f>
        <v>0.94608000000000003</v>
      </c>
      <c r="P190" s="425">
        <f>'Key inputs_Refineries'!$D$182*10^3</f>
        <v>0.94608000000000003</v>
      </c>
      <c r="Q190" s="425">
        <f>'Key inputs_Refineries'!$D$182*10^3</f>
        <v>0.94608000000000003</v>
      </c>
      <c r="R190" s="425">
        <f>'Key inputs_Refineries'!$D$182*10^3</f>
        <v>0.94608000000000003</v>
      </c>
      <c r="S190" s="425">
        <f>'Key inputs_Refineries'!$D$182*10^3</f>
        <v>0.94608000000000003</v>
      </c>
      <c r="T190" s="425">
        <f>'Key inputs_Refineries'!$D$182*10^3</f>
        <v>0.94608000000000003</v>
      </c>
      <c r="U190" s="425">
        <f>'Key inputs_Refineries'!$D$182*10^3</f>
        <v>0.94608000000000003</v>
      </c>
      <c r="V190" s="425">
        <f>'Key inputs_Refineries'!$D$182*10^3</f>
        <v>0.94608000000000003</v>
      </c>
      <c r="W190" s="425">
        <f>'Key inputs_Refineries'!$D$182*10^3</f>
        <v>0.94608000000000003</v>
      </c>
      <c r="X190" s="425">
        <f>'Key inputs_Refineries'!$D$182*10^3</f>
        <v>0.94608000000000003</v>
      </c>
      <c r="Y190" s="425">
        <f>'Key inputs_Refineries'!$D$182*10^3</f>
        <v>0.94608000000000003</v>
      </c>
      <c r="Z190" s="425">
        <f>'Key inputs_Refineries'!$D$182*10^3</f>
        <v>0.94608000000000003</v>
      </c>
      <c r="AA190" s="425">
        <f>'Key inputs_Refineries'!$D$182*10^3</f>
        <v>0.94608000000000003</v>
      </c>
      <c r="AB190" s="425">
        <f>'Key inputs_Refineries'!$D$182*10^3</f>
        <v>0.94608000000000003</v>
      </c>
      <c r="AC190" s="425">
        <f>'Key inputs_Refineries'!$D$182*10^3</f>
        <v>0.94608000000000003</v>
      </c>
      <c r="AD190" s="425">
        <f>'Key inputs_Refineries'!$D$182*10^3</f>
        <v>0.94608000000000003</v>
      </c>
      <c r="AE190" s="425">
        <f>'Key inputs_Refineries'!$D$182*10^3</f>
        <v>0.94608000000000003</v>
      </c>
      <c r="AF190" s="425">
        <f>'Key inputs_Refineries'!$D$182*10^3</f>
        <v>0.94608000000000003</v>
      </c>
      <c r="AG190" s="425">
        <f>'Key inputs_Refineries'!$D$182*10^3</f>
        <v>0.94608000000000003</v>
      </c>
      <c r="AH190" s="425">
        <f>'Key inputs_Refineries'!$D$182*10^3</f>
        <v>0.94608000000000003</v>
      </c>
      <c r="AI190" s="425">
        <f>'Key inputs_Refineries'!$D$182*10^3</f>
        <v>0.94608000000000003</v>
      </c>
      <c r="AJ190" s="425">
        <f>'Key inputs_Refineries'!$D$182*10^3</f>
        <v>0.94608000000000003</v>
      </c>
      <c r="AK190" s="425">
        <f>'Key inputs_Refineries'!$D$182*10^3</f>
        <v>0.94608000000000003</v>
      </c>
      <c r="AL190" s="425">
        <f>'Key inputs_Refineries'!$D$182*10^3</f>
        <v>0.94608000000000003</v>
      </c>
    </row>
    <row r="191" spans="1:38">
      <c r="G191" s="4" t="s">
        <v>675</v>
      </c>
      <c r="H191" s="4"/>
      <c r="I191" s="4"/>
      <c r="J191" s="4" t="s">
        <v>2662</v>
      </c>
      <c r="K191" s="338"/>
      <c r="L191" s="338"/>
      <c r="M191" s="338"/>
      <c r="N191" s="338"/>
      <c r="O191" s="338"/>
      <c r="P191" s="338"/>
      <c r="Q191" s="338"/>
      <c r="R191" s="338"/>
      <c r="S191" s="338"/>
      <c r="T191" s="338"/>
      <c r="U191" s="338"/>
      <c r="V191" s="338"/>
      <c r="W191" s="338"/>
      <c r="X191" s="338"/>
      <c r="Y191" s="338"/>
      <c r="Z191" s="338"/>
      <c r="AA191" s="338"/>
      <c r="AB191" s="338"/>
      <c r="AC191" s="338"/>
      <c r="AD191" s="338"/>
      <c r="AE191" s="338"/>
      <c r="AF191" s="338"/>
      <c r="AG191" s="338"/>
      <c r="AH191" s="338"/>
      <c r="AI191" s="338"/>
      <c r="AJ191" s="338"/>
      <c r="AK191" s="338"/>
      <c r="AL191" s="338"/>
    </row>
    <row r="192" spans="1:38">
      <c r="G192" s="4" t="s">
        <v>630</v>
      </c>
      <c r="H192" s="4"/>
      <c r="I192" s="4"/>
      <c r="J192" s="4" t="s">
        <v>2666</v>
      </c>
      <c r="K192" s="425">
        <f>'Key inputs_Refineries'!$H$182</f>
        <v>0.85</v>
      </c>
      <c r="L192" s="425">
        <f>'Key inputs_Refineries'!$H$182</f>
        <v>0.85</v>
      </c>
      <c r="M192" s="425">
        <f>'Key inputs_Refineries'!$H$182</f>
        <v>0.85</v>
      </c>
      <c r="N192" s="425">
        <f>'Key inputs_Refineries'!$H$182</f>
        <v>0.85</v>
      </c>
      <c r="O192" s="425">
        <f>'Key inputs_Refineries'!$H$182</f>
        <v>0.85</v>
      </c>
      <c r="P192" s="425">
        <f>'Key inputs_Refineries'!$H$182</f>
        <v>0.85</v>
      </c>
      <c r="Q192" s="425">
        <f>'Key inputs_Refineries'!$H$182</f>
        <v>0.85</v>
      </c>
      <c r="R192" s="425">
        <f>'Key inputs_Refineries'!$H$182</f>
        <v>0.85</v>
      </c>
      <c r="S192" s="425">
        <f>'Key inputs_Refineries'!$H$182</f>
        <v>0.85</v>
      </c>
      <c r="T192" s="425">
        <f>'Key inputs_Refineries'!$H$182</f>
        <v>0.85</v>
      </c>
      <c r="U192" s="425">
        <f>'Key inputs_Refineries'!$H$182</f>
        <v>0.85</v>
      </c>
      <c r="V192" s="425">
        <f>'Key inputs_Refineries'!$H$182</f>
        <v>0.85</v>
      </c>
      <c r="W192" s="425">
        <f>'Key inputs_Refineries'!$H$182</f>
        <v>0.85</v>
      </c>
      <c r="X192" s="425">
        <f>'Key inputs_Refineries'!$H$182</f>
        <v>0.85</v>
      </c>
      <c r="Y192" s="425">
        <f>'Key inputs_Refineries'!$H$182</f>
        <v>0.85</v>
      </c>
      <c r="Z192" s="425">
        <f>'Key inputs_Refineries'!$H$182</f>
        <v>0.85</v>
      </c>
      <c r="AA192" s="425">
        <f>'Key inputs_Refineries'!$H$182</f>
        <v>0.85</v>
      </c>
      <c r="AB192" s="425">
        <f>'Key inputs_Refineries'!$H$182</f>
        <v>0.85</v>
      </c>
      <c r="AC192" s="425">
        <f>'Key inputs_Refineries'!$H$182</f>
        <v>0.85</v>
      </c>
      <c r="AD192" s="425">
        <f>'Key inputs_Refineries'!$H$182</f>
        <v>0.85</v>
      </c>
      <c r="AE192" s="425">
        <f>'Key inputs_Refineries'!$H$182</f>
        <v>0.85</v>
      </c>
      <c r="AF192" s="425">
        <f>'Key inputs_Refineries'!$H$182</f>
        <v>0.85</v>
      </c>
      <c r="AG192" s="425">
        <f>'Key inputs_Refineries'!$H$182</f>
        <v>0.85</v>
      </c>
      <c r="AH192" s="425">
        <f>'Key inputs_Refineries'!$H$182</f>
        <v>0.85</v>
      </c>
      <c r="AI192" s="425">
        <f>'Key inputs_Refineries'!$H$182</f>
        <v>0.85</v>
      </c>
      <c r="AJ192" s="425">
        <f>'Key inputs_Refineries'!$H$182</f>
        <v>0.85</v>
      </c>
      <c r="AK192" s="425">
        <f>'Key inputs_Refineries'!$H$182</f>
        <v>0.85</v>
      </c>
      <c r="AL192" s="425">
        <f>'Key inputs_Refineries'!$H$182</f>
        <v>0.85</v>
      </c>
    </row>
    <row r="193" spans="1:47">
      <c r="C193" t="str">
        <f>Commodities!$C$91</f>
        <v>UPSELC</v>
      </c>
      <c r="G193" s="4" t="s">
        <v>702</v>
      </c>
      <c r="H193" t="s">
        <v>661</v>
      </c>
      <c r="I193">
        <v>2019</v>
      </c>
      <c r="J193" t="s">
        <v>650</v>
      </c>
      <c r="K193" s="173">
        <v>1</v>
      </c>
      <c r="L193" s="173">
        <v>1</v>
      </c>
      <c r="M193" s="173">
        <v>1</v>
      </c>
      <c r="N193" s="173">
        <v>1</v>
      </c>
      <c r="O193" s="173">
        <v>1</v>
      </c>
      <c r="P193" s="173">
        <v>1</v>
      </c>
      <c r="Q193" s="173">
        <v>1</v>
      </c>
      <c r="R193" s="173">
        <v>1</v>
      </c>
      <c r="S193" s="173">
        <v>1</v>
      </c>
      <c r="T193" s="173">
        <v>1</v>
      </c>
      <c r="U193" s="173">
        <v>1</v>
      </c>
      <c r="V193" s="173">
        <v>1</v>
      </c>
      <c r="W193" s="173">
        <v>1</v>
      </c>
      <c r="X193" s="173">
        <v>1</v>
      </c>
      <c r="Y193" s="173">
        <v>1</v>
      </c>
      <c r="Z193" s="173">
        <v>1</v>
      </c>
      <c r="AA193" s="173">
        <v>1</v>
      </c>
      <c r="AB193" s="173">
        <v>1</v>
      </c>
      <c r="AC193" s="173">
        <v>1</v>
      </c>
      <c r="AD193" s="173">
        <v>1</v>
      </c>
      <c r="AE193" s="173">
        <v>1</v>
      </c>
      <c r="AF193" s="173">
        <v>1</v>
      </c>
      <c r="AG193" s="173">
        <v>1</v>
      </c>
      <c r="AH193" s="173">
        <v>1</v>
      </c>
      <c r="AI193" s="173">
        <v>1</v>
      </c>
      <c r="AJ193" s="173">
        <v>1</v>
      </c>
      <c r="AK193" s="173">
        <v>1</v>
      </c>
      <c r="AL193" s="173">
        <v>1</v>
      </c>
    </row>
    <row r="194" spans="1:47">
      <c r="D194" t="str">
        <f>Commodities!$C$105</f>
        <v>UREFHET</v>
      </c>
    </row>
    <row r="195" spans="1:47">
      <c r="A195" s="4" t="str">
        <f>AO21</f>
        <v>U-TRF-OILREFHET_HET00</v>
      </c>
      <c r="B195" s="4" t="str">
        <f>AP21</f>
        <v>UPS Transformation: Oil refinery process heat Heat - Existing</v>
      </c>
      <c r="C195" s="4"/>
      <c r="D195" s="4"/>
      <c r="E195" s="4"/>
      <c r="F195" s="4"/>
      <c r="G195" s="4" t="s">
        <v>695</v>
      </c>
      <c r="H195" s="4"/>
      <c r="I195" s="4"/>
      <c r="J195" s="4" t="s">
        <v>2665</v>
      </c>
      <c r="K195" s="333">
        <v>1</v>
      </c>
      <c r="L195" s="333">
        <v>1</v>
      </c>
      <c r="M195" s="333">
        <v>1</v>
      </c>
      <c r="N195" s="333">
        <v>1</v>
      </c>
      <c r="O195" s="333">
        <v>1</v>
      </c>
      <c r="P195" s="333">
        <v>1</v>
      </c>
      <c r="Q195" s="333">
        <v>1</v>
      </c>
      <c r="R195" s="333">
        <v>1</v>
      </c>
      <c r="S195" s="333">
        <v>1</v>
      </c>
      <c r="T195" s="333">
        <v>1</v>
      </c>
      <c r="U195" s="333">
        <v>1</v>
      </c>
      <c r="V195" s="333">
        <v>1</v>
      </c>
      <c r="W195" s="333">
        <v>1</v>
      </c>
      <c r="X195" s="333">
        <v>1</v>
      </c>
      <c r="Y195" s="333">
        <v>1</v>
      </c>
      <c r="Z195" s="333">
        <v>1</v>
      </c>
      <c r="AA195" s="333">
        <v>1</v>
      </c>
      <c r="AB195" s="333">
        <v>1</v>
      </c>
      <c r="AC195" s="333">
        <v>1</v>
      </c>
      <c r="AD195" s="333">
        <v>1</v>
      </c>
      <c r="AE195" s="333">
        <v>1</v>
      </c>
      <c r="AF195" s="333">
        <v>1</v>
      </c>
      <c r="AG195" s="333">
        <v>1</v>
      </c>
      <c r="AH195" s="333">
        <v>1</v>
      </c>
      <c r="AI195" s="333">
        <v>1</v>
      </c>
      <c r="AJ195" s="333">
        <v>1</v>
      </c>
      <c r="AK195" s="333">
        <v>1</v>
      </c>
      <c r="AL195" s="333">
        <v>1</v>
      </c>
    </row>
    <row r="196" spans="1:47">
      <c r="A196" s="4"/>
      <c r="B196" s="4"/>
      <c r="C196" s="4"/>
      <c r="D196" s="4"/>
      <c r="E196" s="4"/>
      <c r="F196" s="4"/>
      <c r="G196" s="4" t="s">
        <v>697</v>
      </c>
      <c r="H196" s="4"/>
      <c r="I196" s="4"/>
      <c r="J196" s="4" t="s">
        <v>698</v>
      </c>
      <c r="K196" s="424">
        <f>'Key inputs_Refineries'!$F$183</f>
        <v>15</v>
      </c>
      <c r="L196" s="424">
        <f>'Key inputs_Refineries'!$F$183</f>
        <v>15</v>
      </c>
      <c r="M196" s="424">
        <f>'Key inputs_Refineries'!$F$183</f>
        <v>15</v>
      </c>
      <c r="N196" s="424">
        <f>'Key inputs_Refineries'!$F$183</f>
        <v>15</v>
      </c>
      <c r="O196" s="424">
        <f>'Key inputs_Refineries'!$F$183</f>
        <v>15</v>
      </c>
      <c r="P196" s="424">
        <f>'Key inputs_Refineries'!$F$183</f>
        <v>15</v>
      </c>
      <c r="Q196" s="424">
        <f>'Key inputs_Refineries'!$F$183</f>
        <v>15</v>
      </c>
      <c r="R196" s="424">
        <f>'Key inputs_Refineries'!$F$183</f>
        <v>15</v>
      </c>
      <c r="S196" s="424">
        <f>'Key inputs_Refineries'!$F$183</f>
        <v>15</v>
      </c>
      <c r="T196" s="424">
        <f>'Key inputs_Refineries'!$F$183</f>
        <v>15</v>
      </c>
      <c r="U196" s="424">
        <f>'Key inputs_Refineries'!$F$183</f>
        <v>15</v>
      </c>
      <c r="V196" s="424">
        <f>'Key inputs_Refineries'!$F$183</f>
        <v>15</v>
      </c>
      <c r="W196" s="424">
        <f>'Key inputs_Refineries'!$F$183</f>
        <v>15</v>
      </c>
      <c r="X196" s="424">
        <f>'Key inputs_Refineries'!$F$183</f>
        <v>15</v>
      </c>
      <c r="Y196" s="424">
        <f>'Key inputs_Refineries'!$F$183</f>
        <v>15</v>
      </c>
      <c r="Z196" s="424">
        <f>'Key inputs_Refineries'!$F$183</f>
        <v>15</v>
      </c>
      <c r="AA196" s="424">
        <f>'Key inputs_Refineries'!$F$183</f>
        <v>15</v>
      </c>
      <c r="AB196" s="424">
        <f>'Key inputs_Refineries'!$F$183</f>
        <v>15</v>
      </c>
      <c r="AC196" s="424">
        <f>'Key inputs_Refineries'!$F$183</f>
        <v>15</v>
      </c>
      <c r="AD196" s="424">
        <f>'Key inputs_Refineries'!$F$183</f>
        <v>15</v>
      </c>
      <c r="AE196" s="424">
        <f>'Key inputs_Refineries'!$F$183</f>
        <v>15</v>
      </c>
      <c r="AF196" s="424">
        <f>'Key inputs_Refineries'!$F$183</f>
        <v>15</v>
      </c>
      <c r="AG196" s="424">
        <f>'Key inputs_Refineries'!$F$183</f>
        <v>15</v>
      </c>
      <c r="AH196" s="424">
        <f>'Key inputs_Refineries'!$F$183</f>
        <v>15</v>
      </c>
      <c r="AI196" s="424">
        <f>'Key inputs_Refineries'!$F$183</f>
        <v>15</v>
      </c>
      <c r="AJ196" s="424">
        <f>'Key inputs_Refineries'!$F$183</f>
        <v>15</v>
      </c>
      <c r="AK196" s="424">
        <f>'Key inputs_Refineries'!$F$183</f>
        <v>15</v>
      </c>
      <c r="AL196" s="424">
        <f>'Key inputs_Refineries'!$F$183</f>
        <v>15</v>
      </c>
    </row>
    <row r="197" spans="1:47">
      <c r="A197" s="4"/>
      <c r="B197" s="4"/>
      <c r="C197" s="4"/>
      <c r="D197" s="4"/>
      <c r="E197" s="4"/>
      <c r="F197" s="4"/>
      <c r="G197" s="4" t="s">
        <v>699</v>
      </c>
      <c r="H197" s="4"/>
      <c r="I197" s="4">
        <v>2019</v>
      </c>
      <c r="J197" s="4" t="s">
        <v>112</v>
      </c>
      <c r="K197" s="347">
        <f>-SUM(SUMIFS('Key inputs_Refineries'!E$85:E$164,'Key inputs_Refineries'!$C$85:$C$164,$C205,'Key inputs_Refineries'!$B$85:$B$164,"Process heat"))*K204/10^3</f>
        <v>0</v>
      </c>
      <c r="L197" s="347">
        <f>-SUM(SUMIFS('Key inputs_Refineries'!F$85:F$164,'Key inputs_Refineries'!$C$85:$C$164,$C205,'Key inputs_Refineries'!$B$85:$B$164,"Process heat"))*L204/10^3</f>
        <v>0</v>
      </c>
      <c r="M197" s="347">
        <f>-SUM(SUMIFS('Key inputs_Refineries'!G$85:G$164,'Key inputs_Refineries'!$C$85:$C$164,$C205,'Key inputs_Refineries'!$B$85:$B$164,"Process heat"))*M204/10^3</f>
        <v>0</v>
      </c>
      <c r="N197" s="347">
        <f>-SUM(SUMIFS('Key inputs_Refineries'!H$85:H$164,'Key inputs_Refineries'!$C$85:$C$164,$C205,'Key inputs_Refineries'!$B$85:$B$164,"Process heat"))*N204/10^3</f>
        <v>0</v>
      </c>
      <c r="O197" s="347">
        <f>-SUM(SUMIFS('Key inputs_Refineries'!I$85:I$164,'Key inputs_Refineries'!$C$85:$C$164,$C205,'Key inputs_Refineries'!$B$85:$B$164,"Process heat"))*O204/10^3</f>
        <v>0</v>
      </c>
      <c r="P197" s="347">
        <f>-SUM(SUMIFS('Key inputs_Refineries'!J$85:J$164,'Key inputs_Refineries'!$C$85:$C$164,$C205,'Key inputs_Refineries'!$B$85:$B$164,"Process heat"))*P204/10^3</f>
        <v>0</v>
      </c>
      <c r="Q197" s="347">
        <f>-SUM(SUMIFS('Key inputs_Refineries'!K$85:K$164,'Key inputs_Refineries'!$C$85:$C$164,$C205,'Key inputs_Refineries'!$B$85:$B$164,"Process heat"))*Q204/10^3</f>
        <v>0</v>
      </c>
      <c r="R197" s="347">
        <f>-SUM(SUMIFS('Key inputs_Refineries'!L$85:L$164,'Key inputs_Refineries'!$C$85:$C$164,$C205,'Key inputs_Refineries'!$B$85:$B$164,"Process heat"))*R204/10^3</f>
        <v>0</v>
      </c>
      <c r="S197" s="347">
        <f>-SUM(SUMIFS('Key inputs_Refineries'!M$85:M$164,'Key inputs_Refineries'!$C$85:$C$164,$C205,'Key inputs_Refineries'!$B$85:$B$164,"Process heat"))*S204/10^3</f>
        <v>0</v>
      </c>
      <c r="T197" s="347">
        <f>-SUM(SUMIFS('Key inputs_Refineries'!N$85:N$164,'Key inputs_Refineries'!$C$85:$C$164,$C205,'Key inputs_Refineries'!$B$85:$B$164,"Process heat"))*T204/10^3</f>
        <v>0</v>
      </c>
      <c r="U197" s="347">
        <f>-SUM(SUMIFS('Key inputs_Refineries'!O$85:O$164,'Key inputs_Refineries'!$C$85:$C$164,$C205,'Key inputs_Refineries'!$B$85:$B$164,"Process heat"))*U204/10^3</f>
        <v>0</v>
      </c>
      <c r="V197" s="347">
        <f>-SUM(SUMIFS('Key inputs_Refineries'!P$85:P$164,'Key inputs_Refineries'!$C$85:$C$164,$C205,'Key inputs_Refineries'!$B$85:$B$164,"Process heat"))*V204/10^3</f>
        <v>401.96134189833151</v>
      </c>
      <c r="W197" s="347">
        <f>-SUM(SUMIFS('Key inputs_Refineries'!Q$85:Q$164,'Key inputs_Refineries'!$C$85:$C$164,$C205,'Key inputs_Refineries'!$B$85:$B$164,"Process heat"))*W204/10^3</f>
        <v>14.38731517300911</v>
      </c>
      <c r="X197" s="347">
        <f>-SUM(SUMIFS('Key inputs_Refineries'!R$85:R$164,'Key inputs_Refineries'!$C$85:$C$164,$C205,'Key inputs_Refineries'!$B$85:$B$164,"Process heat"))*X204/10^3</f>
        <v>8.4572927999999994</v>
      </c>
      <c r="Y197" s="347">
        <f>-SUM(SUMIFS('Key inputs_Refineries'!S$85:S$164,'Key inputs_Refineries'!$C$85:$C$164,$C205,'Key inputs_Refineries'!$B$85:$B$164,"Process heat"))*Y204/10^3</f>
        <v>1.4770797950671937</v>
      </c>
      <c r="Z197" s="347">
        <f>-SUM(SUMIFS('Key inputs_Refineries'!T$85:T$164,'Key inputs_Refineries'!$C$85:$C$164,$C205,'Key inputs_Refineries'!$B$85:$B$164,"Process heat"))*Z204/10^3</f>
        <v>29.369351949395302</v>
      </c>
      <c r="AA197" s="347">
        <f>-SUM(SUMIFS('Key inputs_Refineries'!U$85:U$164,'Key inputs_Refineries'!$C$85:$C$164,$C205,'Key inputs_Refineries'!$B$85:$B$164,"Process heat"))*AA204/10^3</f>
        <v>12.406741051654885</v>
      </c>
      <c r="AB197" s="347">
        <f>-SUM(SUMIFS('Key inputs_Refineries'!V$85:V$164,'Key inputs_Refineries'!$C$85:$C$164,$C205,'Key inputs_Refineries'!$B$85:$B$164,"Process heat"))*AB204/10^3</f>
        <v>0</v>
      </c>
      <c r="AC197" s="347">
        <f>-SUM(SUMIFS('Key inputs_Refineries'!W$85:W$164,'Key inputs_Refineries'!$C$85:$C$164,$C205,'Key inputs_Refineries'!$B$85:$B$164,"Process heat"))*AC204/10^3</f>
        <v>0</v>
      </c>
      <c r="AD197" s="347">
        <f>-SUM(SUMIFS('Key inputs_Refineries'!X$85:X$164,'Key inputs_Refineries'!$C$85:$C$164,$C205,'Key inputs_Refineries'!$B$85:$B$164,"Process heat"))*AD204/10^3</f>
        <v>0</v>
      </c>
      <c r="AE197" s="347">
        <f>-SUM(SUMIFS('Key inputs_Refineries'!Y$85:Y$164,'Key inputs_Refineries'!$C$85:$C$164,$C205,'Key inputs_Refineries'!$B$85:$B$164,"Process heat"))*AE204/10^3</f>
        <v>0</v>
      </c>
      <c r="AF197" s="347">
        <f>-SUM(SUMIFS('Key inputs_Refineries'!Z$85:Z$164,'Key inputs_Refineries'!$C$85:$C$164,$C205,'Key inputs_Refineries'!$B$85:$B$164,"Process heat"))*AF204/10^3</f>
        <v>0</v>
      </c>
      <c r="AG197" s="347">
        <f>-SUM(SUMIFS('Key inputs_Refineries'!AA$85:AA$164,'Key inputs_Refineries'!$C$85:$C$164,$C205,'Key inputs_Refineries'!$B$85:$B$164,"Process heat"))*AG204/10^3</f>
        <v>0</v>
      </c>
      <c r="AH197" s="347">
        <f>-SUM(SUMIFS('Key inputs_Refineries'!AB$85:AB$164,'Key inputs_Refineries'!$C$85:$C$164,$C205,'Key inputs_Refineries'!$B$85:$B$164,"Process heat"))*AH204/10^3</f>
        <v>0</v>
      </c>
      <c r="AI197" s="347">
        <f>-SUM(SUMIFS('Key inputs_Refineries'!AC$85:AC$164,'Key inputs_Refineries'!$C$85:$C$164,$C205,'Key inputs_Refineries'!$B$85:$B$164,"Process heat"))*AI204/10^3</f>
        <v>0</v>
      </c>
      <c r="AJ197" s="347">
        <f>-SUM(SUMIFS('Key inputs_Refineries'!AD$85:AD$164,'Key inputs_Refineries'!$C$85:$C$164,$C205,'Key inputs_Refineries'!$B$85:$B$164,"Process heat"))*AJ204/10^3</f>
        <v>243.67661396024403</v>
      </c>
      <c r="AK197" s="347">
        <f>-SUM(SUMIFS('Key inputs_Refineries'!AE$85:AE$164,'Key inputs_Refineries'!$C$85:$C$164,$C205,'Key inputs_Refineries'!$B$85:$B$164,"Process heat"))*AK204/10^3</f>
        <v>0.78122879999999995</v>
      </c>
      <c r="AL197" s="347">
        <f>-SUM(SUMIFS('Key inputs_Refineries'!AF$85:AF$164,'Key inputs_Refineries'!$C$85:$C$164,$C205,'Key inputs_Refineries'!$B$85:$B$164,"Process heat"))*AL204/10^3</f>
        <v>39.1241664</v>
      </c>
    </row>
    <row r="198" spans="1:47">
      <c r="G198" s="4" t="s">
        <v>701</v>
      </c>
      <c r="H198" s="4" t="s">
        <v>661</v>
      </c>
      <c r="I198" s="4">
        <v>2019</v>
      </c>
      <c r="J198" s="4" t="s">
        <v>112</v>
      </c>
      <c r="K198" s="333">
        <v>0</v>
      </c>
      <c r="L198" s="333">
        <v>0</v>
      </c>
      <c r="M198" s="333">
        <v>0</v>
      </c>
      <c r="N198" s="333">
        <v>0</v>
      </c>
      <c r="O198" s="333">
        <v>0</v>
      </c>
      <c r="P198" s="333">
        <v>0</v>
      </c>
      <c r="Q198" s="333">
        <v>0</v>
      </c>
      <c r="R198" s="333">
        <v>0</v>
      </c>
      <c r="S198" s="333">
        <v>0</v>
      </c>
      <c r="T198" s="333">
        <v>0</v>
      </c>
      <c r="U198" s="333">
        <v>0</v>
      </c>
      <c r="V198" s="333">
        <v>0</v>
      </c>
      <c r="W198" s="333">
        <v>0</v>
      </c>
      <c r="X198" s="333">
        <v>0</v>
      </c>
      <c r="Y198" s="333">
        <v>0</v>
      </c>
      <c r="Z198" s="333">
        <v>0</v>
      </c>
      <c r="AA198" s="333">
        <v>0</v>
      </c>
      <c r="AB198" s="333">
        <v>0</v>
      </c>
      <c r="AC198" s="333">
        <v>0</v>
      </c>
      <c r="AD198" s="333">
        <v>0</v>
      </c>
      <c r="AE198" s="333">
        <v>0</v>
      </c>
      <c r="AF198" s="333">
        <v>0</v>
      </c>
      <c r="AG198" s="333">
        <v>0</v>
      </c>
      <c r="AH198" s="333">
        <v>0</v>
      </c>
      <c r="AI198" s="333">
        <v>0</v>
      </c>
      <c r="AJ198" s="333">
        <v>0</v>
      </c>
      <c r="AK198" s="333">
        <v>0</v>
      </c>
      <c r="AL198" s="333">
        <v>0</v>
      </c>
    </row>
    <row r="199" spans="1:47">
      <c r="G199" s="4" t="s">
        <v>701</v>
      </c>
      <c r="H199" s="4" t="s">
        <v>661</v>
      </c>
      <c r="I199" s="4">
        <v>2060</v>
      </c>
      <c r="J199" s="4" t="s">
        <v>112</v>
      </c>
      <c r="K199" s="333">
        <v>0</v>
      </c>
      <c r="L199" s="333">
        <v>0</v>
      </c>
      <c r="M199" s="333">
        <v>0</v>
      </c>
      <c r="N199" s="333">
        <v>0</v>
      </c>
      <c r="O199" s="333">
        <v>0</v>
      </c>
      <c r="P199" s="333">
        <v>0</v>
      </c>
      <c r="Q199" s="333">
        <v>0</v>
      </c>
      <c r="R199" s="333">
        <v>0</v>
      </c>
      <c r="S199" s="333">
        <v>0</v>
      </c>
      <c r="T199" s="333">
        <v>0</v>
      </c>
      <c r="U199" s="333">
        <v>0</v>
      </c>
      <c r="V199" s="333">
        <v>0</v>
      </c>
      <c r="W199" s="333">
        <v>0</v>
      </c>
      <c r="X199" s="333">
        <v>0</v>
      </c>
      <c r="Y199" s="333">
        <v>0</v>
      </c>
      <c r="Z199" s="333">
        <v>0</v>
      </c>
      <c r="AA199" s="333">
        <v>0</v>
      </c>
      <c r="AB199" s="333">
        <v>0</v>
      </c>
      <c r="AC199" s="333">
        <v>0</v>
      </c>
      <c r="AD199" s="333">
        <v>0</v>
      </c>
      <c r="AE199" s="333">
        <v>0</v>
      </c>
      <c r="AF199" s="333">
        <v>0</v>
      </c>
      <c r="AG199" s="333">
        <v>0</v>
      </c>
      <c r="AH199" s="333">
        <v>0</v>
      </c>
      <c r="AI199" s="333">
        <v>0</v>
      </c>
      <c r="AJ199" s="333">
        <v>0</v>
      </c>
      <c r="AK199" s="333">
        <v>0</v>
      </c>
      <c r="AL199" s="333">
        <v>0</v>
      </c>
    </row>
    <row r="200" spans="1:47">
      <c r="G200" s="4" t="s">
        <v>701</v>
      </c>
      <c r="H200" s="4" t="s">
        <v>661</v>
      </c>
      <c r="I200" s="4">
        <v>0</v>
      </c>
      <c r="J200" s="4"/>
      <c r="K200" s="333">
        <v>5</v>
      </c>
      <c r="L200" s="333">
        <v>5</v>
      </c>
      <c r="M200" s="333">
        <v>5</v>
      </c>
      <c r="N200" s="333">
        <v>5</v>
      </c>
      <c r="O200" s="333">
        <v>5</v>
      </c>
      <c r="P200" s="333">
        <v>5</v>
      </c>
      <c r="Q200" s="333">
        <v>5</v>
      </c>
      <c r="R200" s="333">
        <v>5</v>
      </c>
      <c r="S200" s="333">
        <v>5</v>
      </c>
      <c r="T200" s="333">
        <v>5</v>
      </c>
      <c r="U200" s="333">
        <v>5</v>
      </c>
      <c r="V200" s="333">
        <v>5</v>
      </c>
      <c r="W200" s="333">
        <v>5</v>
      </c>
      <c r="X200" s="333">
        <v>5</v>
      </c>
      <c r="Y200" s="333">
        <v>5</v>
      </c>
      <c r="Z200" s="333">
        <v>5</v>
      </c>
      <c r="AA200" s="333">
        <v>5</v>
      </c>
      <c r="AB200" s="333">
        <v>5</v>
      </c>
      <c r="AC200" s="333">
        <v>5</v>
      </c>
      <c r="AD200" s="333">
        <v>5</v>
      </c>
      <c r="AE200" s="333">
        <v>5</v>
      </c>
      <c r="AF200" s="333">
        <v>5</v>
      </c>
      <c r="AG200" s="333">
        <v>5</v>
      </c>
      <c r="AH200" s="333">
        <v>5</v>
      </c>
      <c r="AI200" s="333">
        <v>5</v>
      </c>
      <c r="AJ200" s="333">
        <v>5</v>
      </c>
      <c r="AK200" s="333">
        <v>5</v>
      </c>
      <c r="AL200" s="333">
        <v>5</v>
      </c>
    </row>
    <row r="201" spans="1:47">
      <c r="G201" s="4" t="s">
        <v>687</v>
      </c>
      <c r="H201" s="4"/>
      <c r="I201" s="4"/>
      <c r="J201" s="4" t="s">
        <v>2663</v>
      </c>
      <c r="K201" s="425">
        <f>'Key inputs_Refineries'!$C$183*10^3</f>
        <v>94.608000000000018</v>
      </c>
      <c r="L201" s="425">
        <f>'Key inputs_Refineries'!$C$183*10^3</f>
        <v>94.608000000000018</v>
      </c>
      <c r="M201" s="425">
        <f>'Key inputs_Refineries'!$C$183*10^3</f>
        <v>94.608000000000018</v>
      </c>
      <c r="N201" s="425">
        <f>'Key inputs_Refineries'!$C$183*10^3</f>
        <v>94.608000000000018</v>
      </c>
      <c r="O201" s="425">
        <f>'Key inputs_Refineries'!$C$183*10^3</f>
        <v>94.608000000000018</v>
      </c>
      <c r="P201" s="425">
        <f>'Key inputs_Refineries'!$C$183*10^3</f>
        <v>94.608000000000018</v>
      </c>
      <c r="Q201" s="425">
        <f>'Key inputs_Refineries'!$C$183*10^3</f>
        <v>94.608000000000018</v>
      </c>
      <c r="R201" s="425">
        <f>'Key inputs_Refineries'!$C$183*10^3</f>
        <v>94.608000000000018</v>
      </c>
      <c r="S201" s="425">
        <f>'Key inputs_Refineries'!$C$183*10^3</f>
        <v>94.608000000000018</v>
      </c>
      <c r="T201" s="425">
        <f>'Key inputs_Refineries'!$C$183*10^3</f>
        <v>94.608000000000018</v>
      </c>
      <c r="U201" s="425">
        <f>'Key inputs_Refineries'!$C$183*10^3</f>
        <v>94.608000000000018</v>
      </c>
      <c r="V201" s="425">
        <f>'Key inputs_Refineries'!$C$183*10^3</f>
        <v>94.608000000000018</v>
      </c>
      <c r="W201" s="425">
        <f>'Key inputs_Refineries'!$C$183*10^3</f>
        <v>94.608000000000018</v>
      </c>
      <c r="X201" s="425">
        <f>'Key inputs_Refineries'!$C$183*10^3</f>
        <v>94.608000000000018</v>
      </c>
      <c r="Y201" s="425">
        <f>'Key inputs_Refineries'!$C$183*10^3</f>
        <v>94.608000000000018</v>
      </c>
      <c r="Z201" s="425">
        <f>'Key inputs_Refineries'!$C$183*10^3</f>
        <v>94.608000000000018</v>
      </c>
      <c r="AA201" s="425">
        <f>'Key inputs_Refineries'!$C$183*10^3</f>
        <v>94.608000000000018</v>
      </c>
      <c r="AB201" s="425">
        <f>'Key inputs_Refineries'!$C$183*10^3</f>
        <v>94.608000000000018</v>
      </c>
      <c r="AC201" s="425">
        <f>'Key inputs_Refineries'!$C$183*10^3</f>
        <v>94.608000000000018</v>
      </c>
      <c r="AD201" s="425">
        <f>'Key inputs_Refineries'!$C$183*10^3</f>
        <v>94.608000000000018</v>
      </c>
      <c r="AE201" s="425">
        <f>'Key inputs_Refineries'!$C$183*10^3</f>
        <v>94.608000000000018</v>
      </c>
      <c r="AF201" s="425">
        <f>'Key inputs_Refineries'!$C$183*10^3</f>
        <v>94.608000000000018</v>
      </c>
      <c r="AG201" s="425">
        <f>'Key inputs_Refineries'!$C$183*10^3</f>
        <v>94.608000000000018</v>
      </c>
      <c r="AH201" s="425">
        <f>'Key inputs_Refineries'!$C$183*10^3</f>
        <v>94.608000000000018</v>
      </c>
      <c r="AI201" s="425">
        <f>'Key inputs_Refineries'!$C$183*10^3</f>
        <v>94.608000000000018</v>
      </c>
      <c r="AJ201" s="425">
        <f>'Key inputs_Refineries'!$C$183*10^3</f>
        <v>94.608000000000018</v>
      </c>
      <c r="AK201" s="425">
        <f>'Key inputs_Refineries'!$C$183*10^3</f>
        <v>94.608000000000018</v>
      </c>
      <c r="AL201" s="425">
        <f>'Key inputs_Refineries'!$C$183*10^3</f>
        <v>94.608000000000018</v>
      </c>
    </row>
    <row r="202" spans="1:47">
      <c r="G202" s="4" t="s">
        <v>689</v>
      </c>
      <c r="H202" s="4"/>
      <c r="I202" s="4"/>
      <c r="J202" s="4" t="s">
        <v>2663</v>
      </c>
      <c r="K202" s="425">
        <f>'Key inputs_Refineries'!$D$183*10^3</f>
        <v>0.94608000000000003</v>
      </c>
      <c r="L202" s="425">
        <f>'Key inputs_Refineries'!$D$183*10^3</f>
        <v>0.94608000000000003</v>
      </c>
      <c r="M202" s="425">
        <f>'Key inputs_Refineries'!$D$183*10^3</f>
        <v>0.94608000000000003</v>
      </c>
      <c r="N202" s="425">
        <f>'Key inputs_Refineries'!$D$183*10^3</f>
        <v>0.94608000000000003</v>
      </c>
      <c r="O202" s="425">
        <f>'Key inputs_Refineries'!$D$183*10^3</f>
        <v>0.94608000000000003</v>
      </c>
      <c r="P202" s="425">
        <f>'Key inputs_Refineries'!$D$183*10^3</f>
        <v>0.94608000000000003</v>
      </c>
      <c r="Q202" s="425">
        <f>'Key inputs_Refineries'!$D$183*10^3</f>
        <v>0.94608000000000003</v>
      </c>
      <c r="R202" s="425">
        <f>'Key inputs_Refineries'!$D$183*10^3</f>
        <v>0.94608000000000003</v>
      </c>
      <c r="S202" s="425">
        <f>'Key inputs_Refineries'!$D$183*10^3</f>
        <v>0.94608000000000003</v>
      </c>
      <c r="T202" s="425">
        <f>'Key inputs_Refineries'!$D$183*10^3</f>
        <v>0.94608000000000003</v>
      </c>
      <c r="U202" s="425">
        <f>'Key inputs_Refineries'!$D$183*10^3</f>
        <v>0.94608000000000003</v>
      </c>
      <c r="V202" s="425">
        <f>'Key inputs_Refineries'!$D$183*10^3</f>
        <v>0.94608000000000003</v>
      </c>
      <c r="W202" s="425">
        <f>'Key inputs_Refineries'!$D$183*10^3</f>
        <v>0.94608000000000003</v>
      </c>
      <c r="X202" s="425">
        <f>'Key inputs_Refineries'!$D$183*10^3</f>
        <v>0.94608000000000003</v>
      </c>
      <c r="Y202" s="425">
        <f>'Key inputs_Refineries'!$D$183*10^3</f>
        <v>0.94608000000000003</v>
      </c>
      <c r="Z202" s="425">
        <f>'Key inputs_Refineries'!$D$183*10^3</f>
        <v>0.94608000000000003</v>
      </c>
      <c r="AA202" s="425">
        <f>'Key inputs_Refineries'!$D$183*10^3</f>
        <v>0.94608000000000003</v>
      </c>
      <c r="AB202" s="425">
        <f>'Key inputs_Refineries'!$D$183*10^3</f>
        <v>0.94608000000000003</v>
      </c>
      <c r="AC202" s="425">
        <f>'Key inputs_Refineries'!$D$183*10^3</f>
        <v>0.94608000000000003</v>
      </c>
      <c r="AD202" s="425">
        <f>'Key inputs_Refineries'!$D$183*10^3</f>
        <v>0.94608000000000003</v>
      </c>
      <c r="AE202" s="425">
        <f>'Key inputs_Refineries'!$D$183*10^3</f>
        <v>0.94608000000000003</v>
      </c>
      <c r="AF202" s="425">
        <f>'Key inputs_Refineries'!$D$183*10^3</f>
        <v>0.94608000000000003</v>
      </c>
      <c r="AG202" s="425">
        <f>'Key inputs_Refineries'!$D$183*10^3</f>
        <v>0.94608000000000003</v>
      </c>
      <c r="AH202" s="425">
        <f>'Key inputs_Refineries'!$D$183*10^3</f>
        <v>0.94608000000000003</v>
      </c>
      <c r="AI202" s="425">
        <f>'Key inputs_Refineries'!$D$183*10^3</f>
        <v>0.94608000000000003</v>
      </c>
      <c r="AJ202" s="425">
        <f>'Key inputs_Refineries'!$D$183*10^3</f>
        <v>0.94608000000000003</v>
      </c>
      <c r="AK202" s="425">
        <f>'Key inputs_Refineries'!$D$183*10^3</f>
        <v>0.94608000000000003</v>
      </c>
      <c r="AL202" s="425">
        <f>'Key inputs_Refineries'!$D$183*10^3</f>
        <v>0.94608000000000003</v>
      </c>
    </row>
    <row r="203" spans="1:47">
      <c r="G203" s="4" t="s">
        <v>675</v>
      </c>
      <c r="H203" s="4"/>
      <c r="I203" s="4"/>
      <c r="J203" s="4" t="s">
        <v>2662</v>
      </c>
      <c r="K203" s="338"/>
      <c r="L203" s="338"/>
      <c r="M203" s="338"/>
      <c r="N203" s="338"/>
      <c r="O203" s="338"/>
      <c r="P203" s="338"/>
      <c r="Q203" s="338"/>
      <c r="R203" s="338"/>
      <c r="S203" s="338"/>
      <c r="T203" s="338"/>
      <c r="U203" s="338"/>
      <c r="V203" s="338"/>
      <c r="W203" s="338"/>
      <c r="X203" s="338"/>
      <c r="Y203" s="338"/>
      <c r="Z203" s="338"/>
      <c r="AA203" s="338"/>
      <c r="AB203" s="338"/>
      <c r="AC203" s="338"/>
      <c r="AD203" s="338"/>
      <c r="AE203" s="338"/>
      <c r="AF203" s="338"/>
      <c r="AG203" s="338"/>
      <c r="AH203" s="338"/>
      <c r="AI203" s="338"/>
      <c r="AJ203" s="338"/>
      <c r="AK203" s="338"/>
      <c r="AL203" s="338"/>
    </row>
    <row r="204" spans="1:47">
      <c r="G204" s="4" t="s">
        <v>630</v>
      </c>
      <c r="H204" s="4"/>
      <c r="I204" s="4"/>
      <c r="J204" s="4" t="s">
        <v>2666</v>
      </c>
      <c r="K204" s="425">
        <f>'Key inputs_Refineries'!$H$183</f>
        <v>0.99</v>
      </c>
      <c r="L204" s="425">
        <f>'Key inputs_Refineries'!$H$183</f>
        <v>0.99</v>
      </c>
      <c r="M204" s="425">
        <f>'Key inputs_Refineries'!$H$183</f>
        <v>0.99</v>
      </c>
      <c r="N204" s="425">
        <f>'Key inputs_Refineries'!$H$183</f>
        <v>0.99</v>
      </c>
      <c r="O204" s="425">
        <f>'Key inputs_Refineries'!$H$183</f>
        <v>0.99</v>
      </c>
      <c r="P204" s="425">
        <f>'Key inputs_Refineries'!$H$183</f>
        <v>0.99</v>
      </c>
      <c r="Q204" s="425">
        <f>'Key inputs_Refineries'!$H$183</f>
        <v>0.99</v>
      </c>
      <c r="R204" s="425">
        <f>'Key inputs_Refineries'!$H$183</f>
        <v>0.99</v>
      </c>
      <c r="S204" s="425">
        <f>'Key inputs_Refineries'!$H$183</f>
        <v>0.99</v>
      </c>
      <c r="T204" s="425">
        <f>'Key inputs_Refineries'!$H$183</f>
        <v>0.99</v>
      </c>
      <c r="U204" s="425">
        <f>'Key inputs_Refineries'!$H$183</f>
        <v>0.99</v>
      </c>
      <c r="V204" s="425">
        <f>'Key inputs_Refineries'!$H$183</f>
        <v>0.99</v>
      </c>
      <c r="W204" s="425">
        <f>'Key inputs_Refineries'!$H$183</f>
        <v>0.99</v>
      </c>
      <c r="X204" s="425">
        <f>'Key inputs_Refineries'!$H$183</f>
        <v>0.99</v>
      </c>
      <c r="Y204" s="425">
        <f>'Key inputs_Refineries'!$H$183</f>
        <v>0.99</v>
      </c>
      <c r="Z204" s="425">
        <f>'Key inputs_Refineries'!$H$183</f>
        <v>0.99</v>
      </c>
      <c r="AA204" s="425">
        <f>'Key inputs_Refineries'!$H$183</f>
        <v>0.99</v>
      </c>
      <c r="AB204" s="425">
        <f>'Key inputs_Refineries'!$H$183</f>
        <v>0.99</v>
      </c>
      <c r="AC204" s="425">
        <f>'Key inputs_Refineries'!$H$183</f>
        <v>0.99</v>
      </c>
      <c r="AD204" s="425">
        <f>'Key inputs_Refineries'!$H$183</f>
        <v>0.99</v>
      </c>
      <c r="AE204" s="425">
        <f>'Key inputs_Refineries'!$H$183</f>
        <v>0.99</v>
      </c>
      <c r="AF204" s="425">
        <f>'Key inputs_Refineries'!$H$183</f>
        <v>0.99</v>
      </c>
      <c r="AG204" s="425">
        <f>'Key inputs_Refineries'!$H$183</f>
        <v>0.99</v>
      </c>
      <c r="AH204" s="425">
        <f>'Key inputs_Refineries'!$H$183</f>
        <v>0.99</v>
      </c>
      <c r="AI204" s="425">
        <f>'Key inputs_Refineries'!$H$183</f>
        <v>0.99</v>
      </c>
      <c r="AJ204" s="425">
        <f>'Key inputs_Refineries'!$H$183</f>
        <v>0.99</v>
      </c>
      <c r="AK204" s="425">
        <f>'Key inputs_Refineries'!$H$183</f>
        <v>0.99</v>
      </c>
      <c r="AL204" s="425">
        <f>'Key inputs_Refineries'!$H$183</f>
        <v>0.99</v>
      </c>
      <c r="AN204" s="353"/>
      <c r="AO204" s="353"/>
      <c r="AP204" s="353"/>
      <c r="AQ204" s="353"/>
      <c r="AR204" s="353"/>
      <c r="AS204" s="353"/>
      <c r="AT204" s="353"/>
      <c r="AU204" s="353"/>
    </row>
    <row r="205" spans="1:47">
      <c r="C205" t="str">
        <f>Commodities!$C$94</f>
        <v>UPSHET</v>
      </c>
      <c r="G205" s="4" t="s">
        <v>702</v>
      </c>
      <c r="H205" t="s">
        <v>661</v>
      </c>
      <c r="I205">
        <v>2019</v>
      </c>
      <c r="J205" t="s">
        <v>650</v>
      </c>
      <c r="K205" s="173">
        <v>1</v>
      </c>
      <c r="L205" s="173">
        <v>1</v>
      </c>
      <c r="M205" s="173">
        <v>1</v>
      </c>
      <c r="N205" s="173">
        <v>1</v>
      </c>
      <c r="O205" s="173">
        <v>1</v>
      </c>
      <c r="P205" s="173">
        <v>1</v>
      </c>
      <c r="Q205" s="173">
        <v>1</v>
      </c>
      <c r="R205" s="173">
        <v>1</v>
      </c>
      <c r="S205" s="173">
        <v>1</v>
      </c>
      <c r="T205" s="173">
        <v>1</v>
      </c>
      <c r="U205" s="173">
        <v>1</v>
      </c>
      <c r="V205" s="173">
        <v>1</v>
      </c>
      <c r="W205" s="173">
        <v>1</v>
      </c>
      <c r="X205" s="173">
        <v>1</v>
      </c>
      <c r="Y205" s="173">
        <v>1</v>
      </c>
      <c r="Z205" s="173">
        <v>1</v>
      </c>
      <c r="AA205" s="173">
        <v>1</v>
      </c>
      <c r="AB205" s="173">
        <v>1</v>
      </c>
      <c r="AC205" s="173">
        <v>1</v>
      </c>
      <c r="AD205" s="173">
        <v>1</v>
      </c>
      <c r="AE205" s="173">
        <v>1</v>
      </c>
      <c r="AF205" s="173">
        <v>1</v>
      </c>
      <c r="AG205" s="173">
        <v>1</v>
      </c>
      <c r="AH205" s="173">
        <v>1</v>
      </c>
      <c r="AI205" s="173">
        <v>1</v>
      </c>
      <c r="AJ205" s="173">
        <v>1</v>
      </c>
      <c r="AK205" s="173">
        <v>1</v>
      </c>
      <c r="AL205" s="173">
        <v>1</v>
      </c>
      <c r="AN205" s="4"/>
      <c r="AQ205" s="4"/>
      <c r="AR205" s="4"/>
      <c r="AS205" s="4"/>
      <c r="AT205" s="4"/>
      <c r="AU205" s="4"/>
    </row>
    <row r="206" spans="1:47" s="4" customFormat="1">
      <c r="A206" s="236"/>
      <c r="B206" s="236"/>
      <c r="C206" s="236"/>
      <c r="D206" s="236" t="str">
        <f>Commodities!$C$105</f>
        <v>UREFHET</v>
      </c>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c r="AB206" s="236"/>
      <c r="AC206" s="236"/>
      <c r="AD206" s="236"/>
      <c r="AE206" s="236"/>
      <c r="AF206" s="236"/>
      <c r="AG206" s="236"/>
      <c r="AH206" s="236"/>
      <c r="AI206" s="236"/>
      <c r="AJ206" s="236"/>
      <c r="AK206" s="236"/>
      <c r="AL206" s="236"/>
      <c r="AO206"/>
      <c r="AP206"/>
    </row>
    <row r="207" spans="1:47" s="4" customFormat="1">
      <c r="A207" s="257" t="s">
        <v>709</v>
      </c>
      <c r="B207" s="257"/>
      <c r="C207" s="257"/>
      <c r="D207" s="257"/>
      <c r="E207" s="257"/>
      <c r="F207" s="257"/>
      <c r="G207" s="257"/>
      <c r="H207" s="257"/>
      <c r="I207" s="257"/>
      <c r="J207" s="257"/>
      <c r="K207" s="352">
        <f>SUM(K111+K131+K156+K173+K185+K197)</f>
        <v>0.50688</v>
      </c>
      <c r="L207" s="352">
        <f t="shared" ref="L207:AL207" si="13">SUM(L111+L131+L156+L173+L185+L197)</f>
        <v>17.289332280511324</v>
      </c>
      <c r="M207" s="352">
        <f t="shared" si="13"/>
        <v>2.1640242308684239</v>
      </c>
      <c r="N207" s="352">
        <f t="shared" si="13"/>
        <v>0.82118846314663141</v>
      </c>
      <c r="O207" s="352">
        <f t="shared" si="13"/>
        <v>20.244107066561465</v>
      </c>
      <c r="P207" s="352">
        <f t="shared" si="13"/>
        <v>11.406691545108737</v>
      </c>
      <c r="Q207" s="352">
        <f t="shared" si="13"/>
        <v>57.612704369069128</v>
      </c>
      <c r="R207" s="352">
        <f t="shared" si="13"/>
        <v>2.3260160000000001</v>
      </c>
      <c r="S207" s="352">
        <f t="shared" si="13"/>
        <v>39.498974544875693</v>
      </c>
      <c r="T207" s="352">
        <f t="shared" si="13"/>
        <v>54.783749997619523</v>
      </c>
      <c r="U207" s="352">
        <f t="shared" si="13"/>
        <v>8.6828664881914701</v>
      </c>
      <c r="V207" s="352">
        <f t="shared" si="13"/>
        <v>1778.4660861535997</v>
      </c>
      <c r="W207" s="352">
        <f t="shared" si="13"/>
        <v>35.994389430400034</v>
      </c>
      <c r="X207" s="352">
        <f t="shared" si="13"/>
        <v>55.078674272616354</v>
      </c>
      <c r="Y207" s="352">
        <f t="shared" si="13"/>
        <v>76.162361708987461</v>
      </c>
      <c r="Z207" s="352">
        <f t="shared" si="13"/>
        <v>286.76101952679301</v>
      </c>
      <c r="AA207" s="352">
        <f t="shared" si="13"/>
        <v>261.75703434872554</v>
      </c>
      <c r="AB207" s="352">
        <f t="shared" si="13"/>
        <v>87.668543428359982</v>
      </c>
      <c r="AC207" s="352">
        <f t="shared" si="13"/>
        <v>443.97074466193652</v>
      </c>
      <c r="AD207" s="352">
        <f t="shared" si="13"/>
        <v>151.63024121878811</v>
      </c>
      <c r="AE207" s="352">
        <f t="shared" si="13"/>
        <v>124.15565990394795</v>
      </c>
      <c r="AF207" s="352">
        <f t="shared" si="13"/>
        <v>67.360351422737963</v>
      </c>
      <c r="AG207" s="352">
        <f t="shared" si="13"/>
        <v>209.4438276028844</v>
      </c>
      <c r="AH207" s="352">
        <f t="shared" si="13"/>
        <v>143.28151314858127</v>
      </c>
      <c r="AI207" s="352">
        <f t="shared" si="13"/>
        <v>2.4217896240595618</v>
      </c>
      <c r="AJ207" s="352">
        <f t="shared" si="13"/>
        <v>249.07342634335535</v>
      </c>
      <c r="AK207" s="352">
        <f t="shared" si="13"/>
        <v>110.76371584894397</v>
      </c>
      <c r="AL207" s="352">
        <f t="shared" si="13"/>
        <v>539.81938531004016</v>
      </c>
      <c r="AO207"/>
      <c r="AP207"/>
    </row>
    <row r="208" spans="1:47" s="4" customFormat="1">
      <c r="A208" s="4" t="str">
        <f>AO22</f>
        <v>U-TRF-OILREFOTH_GAS00</v>
      </c>
      <c r="B208" s="4" t="str">
        <f>AP22</f>
        <v>UPS Transformation: Oil refinery other processes Gas - Existing</v>
      </c>
      <c r="G208" s="4" t="s">
        <v>695</v>
      </c>
      <c r="J208" s="4" t="s">
        <v>2665</v>
      </c>
      <c r="K208" s="333">
        <v>1</v>
      </c>
      <c r="L208" s="333">
        <v>1</v>
      </c>
      <c r="M208" s="333">
        <v>1</v>
      </c>
      <c r="N208" s="333">
        <v>1</v>
      </c>
      <c r="O208" s="333">
        <v>1</v>
      </c>
      <c r="P208" s="333">
        <v>1</v>
      </c>
      <c r="Q208" s="333">
        <v>1</v>
      </c>
      <c r="R208" s="333">
        <v>1</v>
      </c>
      <c r="S208" s="333">
        <v>1</v>
      </c>
      <c r="T208" s="333">
        <v>1</v>
      </c>
      <c r="U208" s="333">
        <v>1</v>
      </c>
      <c r="V208" s="333">
        <v>1</v>
      </c>
      <c r="W208" s="333">
        <v>1</v>
      </c>
      <c r="X208" s="333">
        <v>1</v>
      </c>
      <c r="Y208" s="333">
        <v>1</v>
      </c>
      <c r="Z208" s="333">
        <v>1</v>
      </c>
      <c r="AA208" s="333">
        <v>1</v>
      </c>
      <c r="AB208" s="333">
        <v>1</v>
      </c>
      <c r="AC208" s="333">
        <v>1</v>
      </c>
      <c r="AD208" s="333">
        <v>1</v>
      </c>
      <c r="AE208" s="333">
        <v>1</v>
      </c>
      <c r="AF208" s="333">
        <v>1</v>
      </c>
      <c r="AG208" s="333">
        <v>1</v>
      </c>
      <c r="AH208" s="333">
        <v>1</v>
      </c>
      <c r="AI208" s="333">
        <v>1</v>
      </c>
      <c r="AJ208" s="333">
        <v>1</v>
      </c>
      <c r="AK208" s="333">
        <v>1</v>
      </c>
      <c r="AL208" s="333">
        <v>1</v>
      </c>
      <c r="AO208"/>
      <c r="AP208"/>
    </row>
    <row r="209" spans="1:47" s="4" customFormat="1">
      <c r="G209" s="4" t="s">
        <v>697</v>
      </c>
      <c r="J209" s="4" t="s">
        <v>698</v>
      </c>
      <c r="K209" s="424">
        <f>'Key inputs_Refineries'!$F$184</f>
        <v>15</v>
      </c>
      <c r="L209" s="424">
        <f>'Key inputs_Refineries'!$F$184</f>
        <v>15</v>
      </c>
      <c r="M209" s="424">
        <f>'Key inputs_Refineries'!$F$184</f>
        <v>15</v>
      </c>
      <c r="N209" s="424">
        <f>'Key inputs_Refineries'!$F$184</f>
        <v>15</v>
      </c>
      <c r="O209" s="424">
        <f>'Key inputs_Refineries'!$F$184</f>
        <v>15</v>
      </c>
      <c r="P209" s="424">
        <f>'Key inputs_Refineries'!$F$184</f>
        <v>15</v>
      </c>
      <c r="Q209" s="424">
        <f>'Key inputs_Refineries'!$F$184</f>
        <v>15</v>
      </c>
      <c r="R209" s="424">
        <f>'Key inputs_Refineries'!$F$184</f>
        <v>15</v>
      </c>
      <c r="S209" s="424">
        <f>'Key inputs_Refineries'!$F$184</f>
        <v>15</v>
      </c>
      <c r="T209" s="424">
        <f>'Key inputs_Refineries'!$F$184</f>
        <v>15</v>
      </c>
      <c r="U209" s="424">
        <f>'Key inputs_Refineries'!$F$184</f>
        <v>15</v>
      </c>
      <c r="V209" s="424">
        <f>'Key inputs_Refineries'!$F$184</f>
        <v>15</v>
      </c>
      <c r="W209" s="424">
        <f>'Key inputs_Refineries'!$F$184</f>
        <v>15</v>
      </c>
      <c r="X209" s="424">
        <f>'Key inputs_Refineries'!$F$184</f>
        <v>15</v>
      </c>
      <c r="Y209" s="424">
        <f>'Key inputs_Refineries'!$F$184</f>
        <v>15</v>
      </c>
      <c r="Z209" s="424">
        <f>'Key inputs_Refineries'!$F$184</f>
        <v>15</v>
      </c>
      <c r="AA209" s="424">
        <f>'Key inputs_Refineries'!$F$184</f>
        <v>15</v>
      </c>
      <c r="AB209" s="424">
        <f>'Key inputs_Refineries'!$F$184</f>
        <v>15</v>
      </c>
      <c r="AC209" s="424">
        <f>'Key inputs_Refineries'!$F$184</f>
        <v>15</v>
      </c>
      <c r="AD209" s="424">
        <f>'Key inputs_Refineries'!$F$184</f>
        <v>15</v>
      </c>
      <c r="AE209" s="424">
        <f>'Key inputs_Refineries'!$F$184</f>
        <v>15</v>
      </c>
      <c r="AF209" s="424">
        <f>'Key inputs_Refineries'!$F$184</f>
        <v>15</v>
      </c>
      <c r="AG209" s="424">
        <f>'Key inputs_Refineries'!$F$184</f>
        <v>15</v>
      </c>
      <c r="AH209" s="424">
        <f>'Key inputs_Refineries'!$F$184</f>
        <v>15</v>
      </c>
      <c r="AI209" s="424">
        <f>'Key inputs_Refineries'!$F$184</f>
        <v>15</v>
      </c>
      <c r="AJ209" s="424">
        <f>'Key inputs_Refineries'!$F$184</f>
        <v>15</v>
      </c>
      <c r="AK209" s="424">
        <f>'Key inputs_Refineries'!$F$184</f>
        <v>15</v>
      </c>
      <c r="AL209" s="424">
        <f>'Key inputs_Refineries'!$F$184</f>
        <v>15</v>
      </c>
      <c r="AO209"/>
      <c r="AP209"/>
    </row>
    <row r="210" spans="1:47">
      <c r="A210" s="4"/>
      <c r="B210" s="4"/>
      <c r="C210" s="4"/>
      <c r="D210" s="4"/>
      <c r="E210" s="4"/>
      <c r="F210" s="4"/>
      <c r="G210" s="4" t="s">
        <v>699</v>
      </c>
      <c r="H210" s="4"/>
      <c r="I210" s="4">
        <v>2019</v>
      </c>
      <c r="J210" s="4" t="s">
        <v>112</v>
      </c>
      <c r="K210" s="347" cm="1">
        <f t="array" ref="K210">-SUM(SUMIFS('Key inputs_Refineries'!E$85:E$164,'Key inputs_Refineries'!$C$85:$C$164,$C218:$C219,'Key inputs_Refineries'!$B$85:$B$164,"Other processes"))*K217/10^3</f>
        <v>0</v>
      </c>
      <c r="L210" s="347" cm="1">
        <f t="array" ref="L210">-SUM(SUMIFS('Key inputs_Refineries'!F$85:F$164,'Key inputs_Refineries'!$C$85:$C$164,$C218:$C219,'Key inputs_Refineries'!$B$85:$B$164,"Other processes"))*L217/10^3</f>
        <v>0.20927428637185147</v>
      </c>
      <c r="M210" s="347" cm="1">
        <f t="array" ref="M210">-SUM(SUMIFS('Key inputs_Refineries'!G$85:G$164,'Key inputs_Refineries'!$C$85:$C$164,$C218:$C219,'Key inputs_Refineries'!$B$85:$B$164,"Other processes"))*M217/10^3</f>
        <v>2.7019249011737502E-2</v>
      </c>
      <c r="N210" s="347" cm="1">
        <f t="array" ref="N210">-SUM(SUMIFS('Key inputs_Refineries'!H$85:H$164,'Key inputs_Refineries'!$C$85:$C$164,$C218:$C219,'Key inputs_Refineries'!$B$85:$B$164,"Other processes"))*N217/10^3</f>
        <v>0</v>
      </c>
      <c r="O210" s="347" cm="1">
        <f t="array" ref="O210">-SUM(SUMIFS('Key inputs_Refineries'!I$85:I$164,'Key inputs_Refineries'!$C$85:$C$164,$C218:$C219,'Key inputs_Refineries'!$B$85:$B$164,"Other processes"))*O217/10^3</f>
        <v>5.4628617104914928E-2</v>
      </c>
      <c r="P210" s="347" cm="1">
        <f t="array" ref="P210">-SUM(SUMIFS('Key inputs_Refineries'!J$85:J$164,'Key inputs_Refineries'!$C$85:$C$164,$C218:$C219,'Key inputs_Refineries'!$B$85:$B$164,"Other processes"))*P217/10^3</f>
        <v>4.4825460361498676E-2</v>
      </c>
      <c r="Q210" s="347" cm="1">
        <f t="array" ref="Q210">-SUM(SUMIFS('Key inputs_Refineries'!K$85:K$164,'Key inputs_Refineries'!$C$85:$C$164,$C218:$C219,'Key inputs_Refineries'!$B$85:$B$164,"Other processes"))*Q217/10^3</f>
        <v>1.2955517300114862E-2</v>
      </c>
      <c r="R210" s="347" cm="1">
        <f t="array" ref="R210">-SUM(SUMIFS('Key inputs_Refineries'!L$85:L$164,'Key inputs_Refineries'!$C$85:$C$164,$C218:$C219,'Key inputs_Refineries'!$B$85:$B$164,"Other processes"))*R217/10^3</f>
        <v>0</v>
      </c>
      <c r="S210" s="347" cm="1">
        <f t="array" ref="S210">-SUM(SUMIFS('Key inputs_Refineries'!M$85:M$164,'Key inputs_Refineries'!$C$85:$C$164,$C218:$C219,'Key inputs_Refineries'!$B$85:$B$164,"Other processes"))*S217/10^3</f>
        <v>1.0546190519957885</v>
      </c>
      <c r="T210" s="347" cm="1">
        <f t="array" ref="T210">-SUM(SUMIFS('Key inputs_Refineries'!N$85:N$164,'Key inputs_Refineries'!$C$85:$C$164,$C218:$C219,'Key inputs_Refineries'!$B$85:$B$164,"Other processes"))*T217/10^3</f>
        <v>0.33737084066584816</v>
      </c>
      <c r="U210" s="347" cm="1">
        <f t="array" ref="U210">-SUM(SUMIFS('Key inputs_Refineries'!O$85:O$164,'Key inputs_Refineries'!$C$85:$C$164,$C218:$C219,'Key inputs_Refineries'!$B$85:$B$164,"Other processes"))*U217/10^3</f>
        <v>5.6091901637276717E-2</v>
      </c>
      <c r="V210" s="347" cm="1">
        <f t="array" ref="V210">-SUM(SUMIFS('Key inputs_Refineries'!P$85:P$164,'Key inputs_Refineries'!$C$85:$C$164,$C218:$C219,'Key inputs_Refineries'!$B$85:$B$164,"Other processes"))*V217/10^3</f>
        <v>3.4392039965855767</v>
      </c>
      <c r="W210" s="347" cm="1">
        <f t="array" ref="W210">-SUM(SUMIFS('Key inputs_Refineries'!Q$85:Q$164,'Key inputs_Refineries'!$C$85:$C$164,$C218:$C219,'Key inputs_Refineries'!$B$85:$B$164,"Other processes"))*W217/10^3</f>
        <v>0.19720544601771475</v>
      </c>
      <c r="X210" s="347" cm="1">
        <f t="array" ref="X210">-SUM(SUMIFS('Key inputs_Refineries'!R$85:R$164,'Key inputs_Refineries'!$C$85:$C$164,$C218:$C219,'Key inputs_Refineries'!$B$85:$B$164,"Other processes"))*X217/10^3</f>
        <v>0.21024920032917088</v>
      </c>
      <c r="Y210" s="347" cm="1">
        <f t="array" ref="Y210">-SUM(SUMIFS('Key inputs_Refineries'!S$85:S$164,'Key inputs_Refineries'!$C$85:$C$164,$C218:$C219,'Key inputs_Refineries'!$B$85:$B$164,"Other processes"))*Y217/10^3</f>
        <v>0.38794379045628125</v>
      </c>
      <c r="Z210" s="347" cm="1">
        <f t="array" ref="Z210">-SUM(SUMIFS('Key inputs_Refineries'!T$85:T$164,'Key inputs_Refineries'!$C$85:$C$164,$C218:$C219,'Key inputs_Refineries'!$B$85:$B$164,"Other processes"))*Z217/10^3</f>
        <v>0.89259931293671335</v>
      </c>
      <c r="AA210" s="347" cm="1">
        <f t="array" ref="AA210">-SUM(SUMIFS('Key inputs_Refineries'!U$85:U$164,'Key inputs_Refineries'!$C$85:$C$164,$C218:$C219,'Key inputs_Refineries'!$B$85:$B$164,"Other processes"))*AA217/10^3</f>
        <v>1.2049018486375731</v>
      </c>
      <c r="AB210" s="347" cm="1">
        <f t="array" ref="AB210">-SUM(SUMIFS('Key inputs_Refineries'!V$85:V$164,'Key inputs_Refineries'!$C$85:$C$164,$C218:$C219,'Key inputs_Refineries'!$B$85:$B$164,"Other processes"))*AB217/10^3</f>
        <v>0</v>
      </c>
      <c r="AC210" s="347" cm="1">
        <f t="array" ref="AC210">-SUM(SUMIFS('Key inputs_Refineries'!W$85:W$164,'Key inputs_Refineries'!$C$85:$C$164,$C218:$C219,'Key inputs_Refineries'!$B$85:$B$164,"Other processes"))*AC217/10^3</f>
        <v>2.4061107966532709</v>
      </c>
      <c r="AD210" s="347" cm="1">
        <f t="array" ref="AD210">-SUM(SUMIFS('Key inputs_Refineries'!X$85:X$164,'Key inputs_Refineries'!$C$85:$C$164,$C218:$C219,'Key inputs_Refineries'!$B$85:$B$164,"Other processes"))*AD217/10^3</f>
        <v>0.19457335037921289</v>
      </c>
      <c r="AE210" s="347" cm="1">
        <f t="array" ref="AE210">-SUM(SUMIFS('Key inputs_Refineries'!Y$85:Y$164,'Key inputs_Refineries'!$C$85:$C$164,$C218:$C219,'Key inputs_Refineries'!$B$85:$B$164,"Other processes"))*AE217/10^3</f>
        <v>0.40303510402741677</v>
      </c>
      <c r="AF210" s="347" cm="1">
        <f t="array" ref="AF210">-SUM(SUMIFS('Key inputs_Refineries'!Z$85:Z$164,'Key inputs_Refineries'!$C$85:$C$164,$C218:$C219,'Key inputs_Refineries'!$B$85:$B$164,"Other processes"))*AF217/10^3</f>
        <v>0.33940078973982407</v>
      </c>
      <c r="AG210" s="347" cm="1">
        <f t="array" ref="AG210">-SUM(SUMIFS('Key inputs_Refineries'!AA$85:AA$164,'Key inputs_Refineries'!$C$85:$C$164,$C218:$C219,'Key inputs_Refineries'!$B$85:$B$164,"Other processes"))*AG217/10^3</f>
        <v>1.8661624245497535</v>
      </c>
      <c r="AH210" s="347" cm="1">
        <f t="array" ref="AH210">-SUM(SUMIFS('Key inputs_Refineries'!AB$85:AB$164,'Key inputs_Refineries'!$C$85:$C$164,$C218:$C219,'Key inputs_Refineries'!$B$85:$B$164,"Other processes"))*AH217/10^3</f>
        <v>3.0772677592470097</v>
      </c>
      <c r="AI210" s="347" cm="1">
        <f t="array" ref="AI210">-SUM(SUMIFS('Key inputs_Refineries'!AC$85:AC$164,'Key inputs_Refineries'!$C$85:$C$164,$C218:$C219,'Key inputs_Refineries'!$B$85:$B$164,"Other processes"))*AI217/10^3</f>
        <v>6.5113388627791896E-2</v>
      </c>
      <c r="AJ210" s="347" cm="1">
        <f t="array" ref="AJ210">-SUM(SUMIFS('Key inputs_Refineries'!AD$85:AD$164,'Key inputs_Refineries'!$C$85:$C$164,$C218:$C219,'Key inputs_Refineries'!$B$85:$B$164,"Other processes"))*AJ217/10^3</f>
        <v>0</v>
      </c>
      <c r="AK210" s="347" cm="1">
        <f t="array" ref="AK210">-SUM(SUMIFS('Key inputs_Refineries'!AE$85:AE$164,'Key inputs_Refineries'!$C$85:$C$164,$C218:$C219,'Key inputs_Refineries'!$B$85:$B$164,"Other processes"))*AK217/10^3</f>
        <v>0</v>
      </c>
      <c r="AL210" s="347" cm="1">
        <f t="array" ref="AL210">-SUM(SUMIFS('Key inputs_Refineries'!AF$85:AF$164,'Key inputs_Refineries'!$C$85:$C$164,$C218:$C219,'Key inputs_Refineries'!$B$85:$B$164,"Other processes"))*AL217/10^3</f>
        <v>5.9486099767832261</v>
      </c>
      <c r="AN210" s="4"/>
      <c r="AQ210" s="4"/>
      <c r="AR210" s="4"/>
      <c r="AS210" s="4"/>
      <c r="AT210" s="4"/>
      <c r="AU210" s="4"/>
    </row>
    <row r="211" spans="1:47">
      <c r="G211" s="4" t="s">
        <v>701</v>
      </c>
      <c r="H211" s="4" t="s">
        <v>661</v>
      </c>
      <c r="I211" s="4">
        <v>2019</v>
      </c>
      <c r="J211" s="4" t="s">
        <v>112</v>
      </c>
      <c r="K211" s="333">
        <v>0</v>
      </c>
      <c r="L211" s="333">
        <v>0</v>
      </c>
      <c r="M211" s="333">
        <v>0</v>
      </c>
      <c r="N211" s="333">
        <v>0</v>
      </c>
      <c r="O211" s="333">
        <v>0</v>
      </c>
      <c r="P211" s="333">
        <v>0</v>
      </c>
      <c r="Q211" s="333">
        <v>0</v>
      </c>
      <c r="R211" s="333">
        <v>0</v>
      </c>
      <c r="S211" s="333">
        <v>0</v>
      </c>
      <c r="T211" s="333">
        <v>0</v>
      </c>
      <c r="U211" s="333">
        <v>0</v>
      </c>
      <c r="V211" s="333">
        <v>0</v>
      </c>
      <c r="W211" s="333">
        <v>0</v>
      </c>
      <c r="X211" s="333">
        <v>0</v>
      </c>
      <c r="Y211" s="333">
        <v>0</v>
      </c>
      <c r="Z211" s="333">
        <v>0</v>
      </c>
      <c r="AA211" s="333">
        <v>0</v>
      </c>
      <c r="AB211" s="333">
        <v>0</v>
      </c>
      <c r="AC211" s="333">
        <v>0</v>
      </c>
      <c r="AD211" s="333">
        <v>0</v>
      </c>
      <c r="AE211" s="333">
        <v>0</v>
      </c>
      <c r="AF211" s="333">
        <v>0</v>
      </c>
      <c r="AG211" s="333">
        <v>0</v>
      </c>
      <c r="AH211" s="333">
        <v>0</v>
      </c>
      <c r="AI211" s="333">
        <v>0</v>
      </c>
      <c r="AJ211" s="333">
        <v>0</v>
      </c>
      <c r="AK211" s="333">
        <v>0</v>
      </c>
      <c r="AL211" s="333">
        <v>0</v>
      </c>
      <c r="AN211" s="4"/>
      <c r="AQ211" s="4"/>
      <c r="AR211" s="4"/>
      <c r="AS211" s="4"/>
      <c r="AT211" s="4"/>
      <c r="AU211" s="4"/>
    </row>
    <row r="212" spans="1:47">
      <c r="G212" s="4" t="s">
        <v>701</v>
      </c>
      <c r="H212" s="4" t="s">
        <v>661</v>
      </c>
      <c r="I212" s="4">
        <v>2060</v>
      </c>
      <c r="J212" s="4" t="s">
        <v>112</v>
      </c>
      <c r="K212" s="333">
        <v>0</v>
      </c>
      <c r="L212" s="333">
        <v>0</v>
      </c>
      <c r="M212" s="333">
        <v>0</v>
      </c>
      <c r="N212" s="333">
        <v>0</v>
      </c>
      <c r="O212" s="333">
        <v>0</v>
      </c>
      <c r="P212" s="333">
        <v>0</v>
      </c>
      <c r="Q212" s="333">
        <v>0</v>
      </c>
      <c r="R212" s="333">
        <v>0</v>
      </c>
      <c r="S212" s="333">
        <v>0</v>
      </c>
      <c r="T212" s="333">
        <v>0</v>
      </c>
      <c r="U212" s="333">
        <v>0</v>
      </c>
      <c r="V212" s="333">
        <v>0</v>
      </c>
      <c r="W212" s="333">
        <v>0</v>
      </c>
      <c r="X212" s="333">
        <v>0</v>
      </c>
      <c r="Y212" s="333">
        <v>0</v>
      </c>
      <c r="Z212" s="333">
        <v>0</v>
      </c>
      <c r="AA212" s="333">
        <v>0</v>
      </c>
      <c r="AB212" s="333">
        <v>0</v>
      </c>
      <c r="AC212" s="333">
        <v>0</v>
      </c>
      <c r="AD212" s="333">
        <v>0</v>
      </c>
      <c r="AE212" s="333">
        <v>0</v>
      </c>
      <c r="AF212" s="333">
        <v>0</v>
      </c>
      <c r="AG212" s="333">
        <v>0</v>
      </c>
      <c r="AH212" s="333">
        <v>0</v>
      </c>
      <c r="AI212" s="333">
        <v>0</v>
      </c>
      <c r="AJ212" s="333">
        <v>0</v>
      </c>
      <c r="AK212" s="333">
        <v>0</v>
      </c>
      <c r="AL212" s="333">
        <v>0</v>
      </c>
      <c r="AN212" s="4"/>
      <c r="AQ212" s="4"/>
      <c r="AR212" s="4"/>
      <c r="AS212" s="4"/>
      <c r="AT212" s="4"/>
      <c r="AU212" s="4"/>
    </row>
    <row r="213" spans="1:47">
      <c r="G213" s="4" t="s">
        <v>701</v>
      </c>
      <c r="H213" s="4" t="s">
        <v>661</v>
      </c>
      <c r="I213" s="4">
        <v>0</v>
      </c>
      <c r="J213" s="4"/>
      <c r="K213" s="333">
        <v>5</v>
      </c>
      <c r="L213" s="333">
        <v>5</v>
      </c>
      <c r="M213" s="333">
        <v>5</v>
      </c>
      <c r="N213" s="333">
        <v>5</v>
      </c>
      <c r="O213" s="333">
        <v>5</v>
      </c>
      <c r="P213" s="333">
        <v>5</v>
      </c>
      <c r="Q213" s="333">
        <v>5</v>
      </c>
      <c r="R213" s="333">
        <v>5</v>
      </c>
      <c r="S213" s="333">
        <v>5</v>
      </c>
      <c r="T213" s="333">
        <v>5</v>
      </c>
      <c r="U213" s="333">
        <v>5</v>
      </c>
      <c r="V213" s="333">
        <v>5</v>
      </c>
      <c r="W213" s="333">
        <v>5</v>
      </c>
      <c r="X213" s="333">
        <v>5</v>
      </c>
      <c r="Y213" s="333">
        <v>5</v>
      </c>
      <c r="Z213" s="333">
        <v>5</v>
      </c>
      <c r="AA213" s="333">
        <v>5</v>
      </c>
      <c r="AB213" s="333">
        <v>5</v>
      </c>
      <c r="AC213" s="333">
        <v>5</v>
      </c>
      <c r="AD213" s="333">
        <v>5</v>
      </c>
      <c r="AE213" s="333">
        <v>5</v>
      </c>
      <c r="AF213" s="333">
        <v>5</v>
      </c>
      <c r="AG213" s="333">
        <v>5</v>
      </c>
      <c r="AH213" s="333">
        <v>5</v>
      </c>
      <c r="AI213" s="333">
        <v>5</v>
      </c>
      <c r="AJ213" s="333">
        <v>5</v>
      </c>
      <c r="AK213" s="333">
        <v>5</v>
      </c>
      <c r="AL213" s="333">
        <v>5</v>
      </c>
      <c r="AN213" s="4"/>
      <c r="AQ213" s="4"/>
      <c r="AR213" s="4"/>
      <c r="AS213" s="4"/>
      <c r="AT213" s="4"/>
      <c r="AU213" s="4"/>
    </row>
    <row r="214" spans="1:47">
      <c r="G214" s="4" t="s">
        <v>687</v>
      </c>
      <c r="H214" s="4"/>
      <c r="I214" s="4"/>
      <c r="J214" s="4" t="s">
        <v>2663</v>
      </c>
      <c r="K214" s="425">
        <f>'Key inputs_Refineries'!$C$184*10^3</f>
        <v>138.75840000000002</v>
      </c>
      <c r="L214" s="425">
        <f>'Key inputs_Refineries'!$C$184*10^3</f>
        <v>138.75840000000002</v>
      </c>
      <c r="M214" s="425">
        <f>'Key inputs_Refineries'!$C$184*10^3</f>
        <v>138.75840000000002</v>
      </c>
      <c r="N214" s="425">
        <f>'Key inputs_Refineries'!$C$184*10^3</f>
        <v>138.75840000000002</v>
      </c>
      <c r="O214" s="425">
        <f>'Key inputs_Refineries'!$C$184*10^3</f>
        <v>138.75840000000002</v>
      </c>
      <c r="P214" s="425">
        <f>'Key inputs_Refineries'!$C$184*10^3</f>
        <v>138.75840000000002</v>
      </c>
      <c r="Q214" s="425">
        <f>'Key inputs_Refineries'!$C$184*10^3</f>
        <v>138.75840000000002</v>
      </c>
      <c r="R214" s="425">
        <f>'Key inputs_Refineries'!$C$184*10^3</f>
        <v>138.75840000000002</v>
      </c>
      <c r="S214" s="425">
        <f>'Key inputs_Refineries'!$C$184*10^3</f>
        <v>138.75840000000002</v>
      </c>
      <c r="T214" s="425">
        <f>'Key inputs_Refineries'!$C$184*10^3</f>
        <v>138.75840000000002</v>
      </c>
      <c r="U214" s="425">
        <f>'Key inputs_Refineries'!$C$184*10^3</f>
        <v>138.75840000000002</v>
      </c>
      <c r="V214" s="425">
        <f>'Key inputs_Refineries'!$C$184*10^3</f>
        <v>138.75840000000002</v>
      </c>
      <c r="W214" s="425">
        <f>'Key inputs_Refineries'!$C$184*10^3</f>
        <v>138.75840000000002</v>
      </c>
      <c r="X214" s="425">
        <f>'Key inputs_Refineries'!$C$184*10^3</f>
        <v>138.75840000000002</v>
      </c>
      <c r="Y214" s="425">
        <f>'Key inputs_Refineries'!$C$184*10^3</f>
        <v>138.75840000000002</v>
      </c>
      <c r="Z214" s="425">
        <f>'Key inputs_Refineries'!$C$184*10^3</f>
        <v>138.75840000000002</v>
      </c>
      <c r="AA214" s="425">
        <f>'Key inputs_Refineries'!$C$184*10^3</f>
        <v>138.75840000000002</v>
      </c>
      <c r="AB214" s="425">
        <f>'Key inputs_Refineries'!$C$184*10^3</f>
        <v>138.75840000000002</v>
      </c>
      <c r="AC214" s="425">
        <f>'Key inputs_Refineries'!$C$184*10^3</f>
        <v>138.75840000000002</v>
      </c>
      <c r="AD214" s="425">
        <f>'Key inputs_Refineries'!$C$184*10^3</f>
        <v>138.75840000000002</v>
      </c>
      <c r="AE214" s="425">
        <f>'Key inputs_Refineries'!$C$184*10^3</f>
        <v>138.75840000000002</v>
      </c>
      <c r="AF214" s="425">
        <f>'Key inputs_Refineries'!$C$184*10^3</f>
        <v>138.75840000000002</v>
      </c>
      <c r="AG214" s="425">
        <f>'Key inputs_Refineries'!$C$184*10^3</f>
        <v>138.75840000000002</v>
      </c>
      <c r="AH214" s="425">
        <f>'Key inputs_Refineries'!$C$184*10^3</f>
        <v>138.75840000000002</v>
      </c>
      <c r="AI214" s="425">
        <f>'Key inputs_Refineries'!$C$184*10^3</f>
        <v>138.75840000000002</v>
      </c>
      <c r="AJ214" s="425">
        <f>'Key inputs_Refineries'!$C$184*10^3</f>
        <v>138.75840000000002</v>
      </c>
      <c r="AK214" s="425">
        <f>'Key inputs_Refineries'!$C$184*10^3</f>
        <v>138.75840000000002</v>
      </c>
      <c r="AL214" s="425">
        <f>'Key inputs_Refineries'!$C$184*10^3</f>
        <v>138.75840000000002</v>
      </c>
      <c r="AN214" s="4"/>
      <c r="AQ214" s="4"/>
      <c r="AR214" s="4"/>
      <c r="AS214" s="4"/>
      <c r="AT214" s="4"/>
      <c r="AU214" s="4"/>
    </row>
    <row r="215" spans="1:47">
      <c r="G215" s="4" t="s">
        <v>689</v>
      </c>
      <c r="H215" s="4"/>
      <c r="I215" s="4"/>
      <c r="J215" s="4" t="s">
        <v>2663</v>
      </c>
      <c r="K215" s="425">
        <f>'Key inputs_Refineries'!$D$184*10^3</f>
        <v>1.2614400000000001</v>
      </c>
      <c r="L215" s="425">
        <f>'Key inputs_Refineries'!$D$184*10^3</f>
        <v>1.2614400000000001</v>
      </c>
      <c r="M215" s="425">
        <f>'Key inputs_Refineries'!$D$184*10^3</f>
        <v>1.2614400000000001</v>
      </c>
      <c r="N215" s="425">
        <f>'Key inputs_Refineries'!$D$184*10^3</f>
        <v>1.2614400000000001</v>
      </c>
      <c r="O215" s="425">
        <f>'Key inputs_Refineries'!$D$184*10^3</f>
        <v>1.2614400000000001</v>
      </c>
      <c r="P215" s="425">
        <f>'Key inputs_Refineries'!$D$184*10^3</f>
        <v>1.2614400000000001</v>
      </c>
      <c r="Q215" s="425">
        <f>'Key inputs_Refineries'!$D$184*10^3</f>
        <v>1.2614400000000001</v>
      </c>
      <c r="R215" s="425">
        <f>'Key inputs_Refineries'!$D$184*10^3</f>
        <v>1.2614400000000001</v>
      </c>
      <c r="S215" s="425">
        <f>'Key inputs_Refineries'!$D$184*10^3</f>
        <v>1.2614400000000001</v>
      </c>
      <c r="T215" s="425">
        <f>'Key inputs_Refineries'!$D$184*10^3</f>
        <v>1.2614400000000001</v>
      </c>
      <c r="U215" s="425">
        <f>'Key inputs_Refineries'!$D$184*10^3</f>
        <v>1.2614400000000001</v>
      </c>
      <c r="V215" s="425">
        <f>'Key inputs_Refineries'!$D$184*10^3</f>
        <v>1.2614400000000001</v>
      </c>
      <c r="W215" s="425">
        <f>'Key inputs_Refineries'!$D$184*10^3</f>
        <v>1.2614400000000001</v>
      </c>
      <c r="X215" s="425">
        <f>'Key inputs_Refineries'!$D$184*10^3</f>
        <v>1.2614400000000001</v>
      </c>
      <c r="Y215" s="425">
        <f>'Key inputs_Refineries'!$D$184*10^3</f>
        <v>1.2614400000000001</v>
      </c>
      <c r="Z215" s="425">
        <f>'Key inputs_Refineries'!$D$184*10^3</f>
        <v>1.2614400000000001</v>
      </c>
      <c r="AA215" s="425">
        <f>'Key inputs_Refineries'!$D$184*10^3</f>
        <v>1.2614400000000001</v>
      </c>
      <c r="AB215" s="425">
        <f>'Key inputs_Refineries'!$D$184*10^3</f>
        <v>1.2614400000000001</v>
      </c>
      <c r="AC215" s="425">
        <f>'Key inputs_Refineries'!$D$184*10^3</f>
        <v>1.2614400000000001</v>
      </c>
      <c r="AD215" s="425">
        <f>'Key inputs_Refineries'!$D$184*10^3</f>
        <v>1.2614400000000001</v>
      </c>
      <c r="AE215" s="425">
        <f>'Key inputs_Refineries'!$D$184*10^3</f>
        <v>1.2614400000000001</v>
      </c>
      <c r="AF215" s="425">
        <f>'Key inputs_Refineries'!$D$184*10^3</f>
        <v>1.2614400000000001</v>
      </c>
      <c r="AG215" s="425">
        <f>'Key inputs_Refineries'!$D$184*10^3</f>
        <v>1.2614400000000001</v>
      </c>
      <c r="AH215" s="425">
        <f>'Key inputs_Refineries'!$D$184*10^3</f>
        <v>1.2614400000000001</v>
      </c>
      <c r="AI215" s="425">
        <f>'Key inputs_Refineries'!$D$184*10^3</f>
        <v>1.2614400000000001</v>
      </c>
      <c r="AJ215" s="425">
        <f>'Key inputs_Refineries'!$D$184*10^3</f>
        <v>1.2614400000000001</v>
      </c>
      <c r="AK215" s="425">
        <f>'Key inputs_Refineries'!$D$184*10^3</f>
        <v>1.2614400000000001</v>
      </c>
      <c r="AL215" s="425">
        <f>'Key inputs_Refineries'!$D$184*10^3</f>
        <v>1.2614400000000001</v>
      </c>
      <c r="AN215" s="4"/>
      <c r="AQ215" s="4"/>
      <c r="AR215" s="4"/>
      <c r="AS215" s="4"/>
      <c r="AT215" s="4"/>
      <c r="AU215" s="4"/>
    </row>
    <row r="216" spans="1:47">
      <c r="G216" s="4" t="s">
        <v>675</v>
      </c>
      <c r="H216" s="4"/>
      <c r="I216" s="4"/>
      <c r="J216" s="4" t="s">
        <v>2662</v>
      </c>
      <c r="K216" s="338"/>
      <c r="L216" s="338"/>
      <c r="M216" s="338"/>
      <c r="N216" s="338"/>
      <c r="O216" s="338"/>
      <c r="P216" s="338"/>
      <c r="Q216" s="338"/>
      <c r="R216" s="338"/>
      <c r="S216" s="338"/>
      <c r="T216" s="338"/>
      <c r="U216" s="338"/>
      <c r="V216" s="338"/>
      <c r="W216" s="338"/>
      <c r="X216" s="338"/>
      <c r="Y216" s="338"/>
      <c r="Z216" s="338"/>
      <c r="AA216" s="338"/>
      <c r="AB216" s="338"/>
      <c r="AC216" s="338"/>
      <c r="AD216" s="338"/>
      <c r="AE216" s="338"/>
      <c r="AF216" s="338"/>
      <c r="AG216" s="338"/>
      <c r="AH216" s="338"/>
      <c r="AI216" s="338"/>
      <c r="AJ216" s="338"/>
      <c r="AK216" s="338"/>
      <c r="AL216" s="338"/>
      <c r="AN216" s="4"/>
      <c r="AQ216" s="4"/>
      <c r="AR216" s="4"/>
      <c r="AS216" s="4"/>
      <c r="AT216" s="4"/>
      <c r="AU216" s="4"/>
    </row>
    <row r="217" spans="1:47">
      <c r="G217" s="4" t="s">
        <v>630</v>
      </c>
      <c r="H217" s="4"/>
      <c r="I217" s="4"/>
      <c r="J217" s="4" t="s">
        <v>2666</v>
      </c>
      <c r="K217" s="425">
        <f>'Key inputs_Refineries'!$H$184</f>
        <v>0.82</v>
      </c>
      <c r="L217" s="425">
        <f>'Key inputs_Refineries'!$H$184</f>
        <v>0.82</v>
      </c>
      <c r="M217" s="425">
        <f>'Key inputs_Refineries'!$H$184</f>
        <v>0.82</v>
      </c>
      <c r="N217" s="425">
        <f>'Key inputs_Refineries'!$H$184</f>
        <v>0.82</v>
      </c>
      <c r="O217" s="425">
        <f>'Key inputs_Refineries'!$H$184</f>
        <v>0.82</v>
      </c>
      <c r="P217" s="425">
        <f>'Key inputs_Refineries'!$H$184</f>
        <v>0.82</v>
      </c>
      <c r="Q217" s="425">
        <f>'Key inputs_Refineries'!$H$184</f>
        <v>0.82</v>
      </c>
      <c r="R217" s="425">
        <f>'Key inputs_Refineries'!$H$184</f>
        <v>0.82</v>
      </c>
      <c r="S217" s="425">
        <f>'Key inputs_Refineries'!$H$184</f>
        <v>0.82</v>
      </c>
      <c r="T217" s="425">
        <f>'Key inputs_Refineries'!$H$184</f>
        <v>0.82</v>
      </c>
      <c r="U217" s="425">
        <f>'Key inputs_Refineries'!$H$184</f>
        <v>0.82</v>
      </c>
      <c r="V217" s="425">
        <f>'Key inputs_Refineries'!$H$184</f>
        <v>0.82</v>
      </c>
      <c r="W217" s="425">
        <f>'Key inputs_Refineries'!$H$184</f>
        <v>0.82</v>
      </c>
      <c r="X217" s="425">
        <f>'Key inputs_Refineries'!$H$184</f>
        <v>0.82</v>
      </c>
      <c r="Y217" s="425">
        <f>'Key inputs_Refineries'!$H$184</f>
        <v>0.82</v>
      </c>
      <c r="Z217" s="425">
        <f>'Key inputs_Refineries'!$H$184</f>
        <v>0.82</v>
      </c>
      <c r="AA217" s="425">
        <f>'Key inputs_Refineries'!$H$184</f>
        <v>0.82</v>
      </c>
      <c r="AB217" s="425">
        <f>'Key inputs_Refineries'!$H$184</f>
        <v>0.82</v>
      </c>
      <c r="AC217" s="425">
        <f>'Key inputs_Refineries'!$H$184</f>
        <v>0.82</v>
      </c>
      <c r="AD217" s="425">
        <f>'Key inputs_Refineries'!$H$184</f>
        <v>0.82</v>
      </c>
      <c r="AE217" s="425">
        <f>'Key inputs_Refineries'!$H$184</f>
        <v>0.82</v>
      </c>
      <c r="AF217" s="425">
        <f>'Key inputs_Refineries'!$H$184</f>
        <v>0.82</v>
      </c>
      <c r="AG217" s="425">
        <f>'Key inputs_Refineries'!$H$184</f>
        <v>0.82</v>
      </c>
      <c r="AH217" s="425">
        <f>'Key inputs_Refineries'!$H$184</f>
        <v>0.82</v>
      </c>
      <c r="AI217" s="425">
        <f>'Key inputs_Refineries'!$H$184</f>
        <v>0.82</v>
      </c>
      <c r="AJ217" s="425">
        <f>'Key inputs_Refineries'!$H$184</f>
        <v>0.82</v>
      </c>
      <c r="AK217" s="425">
        <f>'Key inputs_Refineries'!$H$184</f>
        <v>0.82</v>
      </c>
      <c r="AL217" s="425">
        <f>'Key inputs_Refineries'!$H$184</f>
        <v>0.82</v>
      </c>
      <c r="AN217" s="4"/>
      <c r="AQ217" s="4"/>
      <c r="AR217" s="4"/>
      <c r="AS217" s="4"/>
      <c r="AT217" s="4"/>
      <c r="AU217" s="4"/>
    </row>
    <row r="218" spans="1:47">
      <c r="C218" t="str">
        <f>Commodities!$C$92</f>
        <v>UPSGAS</v>
      </c>
      <c r="G218" s="4" t="s">
        <v>702</v>
      </c>
      <c r="H218" t="s">
        <v>661</v>
      </c>
      <c r="I218">
        <v>2019</v>
      </c>
      <c r="J218" t="s">
        <v>650</v>
      </c>
      <c r="K218" s="173" cm="1">
        <f t="array" ref="K218">IFERROR(SUMIFS('Key inputs_Refineries'!E$85:E$164,'Key inputs_Refineries'!$C$85:$C$164,$C218,'Key inputs_Refineries'!$B$85:$B$164,"Other processes")/SUM(SUMIFS('Key inputs_Refineries'!E$85:E$164,'Key inputs_Refineries'!$C$85:$C$164,$C218:$C219,'Key inputs_Refineries'!$B$85:$B$164,"Other processes")),0)</f>
        <v>0</v>
      </c>
      <c r="L218" s="173" cm="1">
        <f t="array" ref="L218">IFERROR(SUMIFS('Key inputs_Refineries'!F$85:F$164,'Key inputs_Refineries'!$C$85:$C$164,$C218,'Key inputs_Refineries'!$B$85:$B$164,"Other processes")/SUM(SUMIFS('Key inputs_Refineries'!F$85:F$164,'Key inputs_Refineries'!$C$85:$C$164,$C218:$C219,'Key inputs_Refineries'!$B$85:$B$164,"Other processes")),0)</f>
        <v>1</v>
      </c>
      <c r="M218" s="173" cm="1">
        <f t="array" ref="M218">IFERROR(SUMIFS('Key inputs_Refineries'!G$85:G$164,'Key inputs_Refineries'!$C$85:$C$164,$C218,'Key inputs_Refineries'!$B$85:$B$164,"Other processes")/SUM(SUMIFS('Key inputs_Refineries'!G$85:G$164,'Key inputs_Refineries'!$C$85:$C$164,$C218:$C219,'Key inputs_Refineries'!$B$85:$B$164,"Other processes")),0)</f>
        <v>1</v>
      </c>
      <c r="N218" s="173" cm="1">
        <f t="array" ref="N218">IFERROR(SUMIFS('Key inputs_Refineries'!H$85:H$164,'Key inputs_Refineries'!$C$85:$C$164,$C218,'Key inputs_Refineries'!$B$85:$B$164,"Other processes")/SUM(SUMIFS('Key inputs_Refineries'!H$85:H$164,'Key inputs_Refineries'!$C$85:$C$164,$C218:$C219,'Key inputs_Refineries'!$B$85:$B$164,"Other processes")),0)</f>
        <v>0</v>
      </c>
      <c r="O218" s="173" cm="1">
        <f t="array" ref="O218">IFERROR(SUMIFS('Key inputs_Refineries'!I$85:I$164,'Key inputs_Refineries'!$C$85:$C$164,$C218,'Key inputs_Refineries'!$B$85:$B$164,"Other processes")/SUM(SUMIFS('Key inputs_Refineries'!I$85:I$164,'Key inputs_Refineries'!$C$85:$C$164,$C218:$C219,'Key inputs_Refineries'!$B$85:$B$164,"Other processes")),0)</f>
        <v>1</v>
      </c>
      <c r="P218" s="173" cm="1">
        <f t="array" ref="P218">IFERROR(SUMIFS('Key inputs_Refineries'!J$85:J$164,'Key inputs_Refineries'!$C$85:$C$164,$C218,'Key inputs_Refineries'!$B$85:$B$164,"Other processes")/SUM(SUMIFS('Key inputs_Refineries'!J$85:J$164,'Key inputs_Refineries'!$C$85:$C$164,$C218:$C219,'Key inputs_Refineries'!$B$85:$B$164,"Other processes")),0)</f>
        <v>1</v>
      </c>
      <c r="Q218" s="173" cm="1">
        <f t="array" ref="Q218">IFERROR(SUMIFS('Key inputs_Refineries'!K$85:K$164,'Key inputs_Refineries'!$C$85:$C$164,$C218,'Key inputs_Refineries'!$B$85:$B$164,"Other processes")/SUM(SUMIFS('Key inputs_Refineries'!K$85:K$164,'Key inputs_Refineries'!$C$85:$C$164,$C218:$C219,'Key inputs_Refineries'!$B$85:$B$164,"Other processes")),0)</f>
        <v>1</v>
      </c>
      <c r="R218" s="173" cm="1">
        <f t="array" ref="R218">IFERROR(SUMIFS('Key inputs_Refineries'!L$85:L$164,'Key inputs_Refineries'!$C$85:$C$164,$C218,'Key inputs_Refineries'!$B$85:$B$164,"Other processes")/SUM(SUMIFS('Key inputs_Refineries'!L$85:L$164,'Key inputs_Refineries'!$C$85:$C$164,$C218:$C219,'Key inputs_Refineries'!$B$85:$B$164,"Other processes")),0)</f>
        <v>0</v>
      </c>
      <c r="S218" s="173" cm="1">
        <f t="array" ref="S218">IFERROR(SUMIFS('Key inputs_Refineries'!M$85:M$164,'Key inputs_Refineries'!$C$85:$C$164,$C218,'Key inputs_Refineries'!$B$85:$B$164,"Other processes")/SUM(SUMIFS('Key inputs_Refineries'!M$85:M$164,'Key inputs_Refineries'!$C$85:$C$164,$C218:$C219,'Key inputs_Refineries'!$B$85:$B$164,"Other processes")),0)</f>
        <v>1</v>
      </c>
      <c r="T218" s="173" cm="1">
        <f t="array" ref="T218">IFERROR(SUMIFS('Key inputs_Refineries'!N$85:N$164,'Key inputs_Refineries'!$C$85:$C$164,$C218,'Key inputs_Refineries'!$B$85:$B$164,"Other processes")/SUM(SUMIFS('Key inputs_Refineries'!N$85:N$164,'Key inputs_Refineries'!$C$85:$C$164,$C218:$C219,'Key inputs_Refineries'!$B$85:$B$164,"Other processes")),0)</f>
        <v>1</v>
      </c>
      <c r="U218" s="173" cm="1">
        <f t="array" ref="U218">IFERROR(SUMIFS('Key inputs_Refineries'!O$85:O$164,'Key inputs_Refineries'!$C$85:$C$164,$C218,'Key inputs_Refineries'!$B$85:$B$164,"Other processes")/SUM(SUMIFS('Key inputs_Refineries'!O$85:O$164,'Key inputs_Refineries'!$C$85:$C$164,$C218:$C219,'Key inputs_Refineries'!$B$85:$B$164,"Other processes")),0)</f>
        <v>1</v>
      </c>
      <c r="V218" s="173" cm="1">
        <f t="array" ref="V218">IFERROR(SUMIFS('Key inputs_Refineries'!P$85:P$164,'Key inputs_Refineries'!$C$85:$C$164,$C218,'Key inputs_Refineries'!$B$85:$B$164,"Other processes")/SUM(SUMIFS('Key inputs_Refineries'!P$85:P$164,'Key inputs_Refineries'!$C$85:$C$164,$C218:$C219,'Key inputs_Refineries'!$B$85:$B$164,"Other processes")),0)</f>
        <v>1</v>
      </c>
      <c r="W218" s="173" cm="1">
        <f t="array" ref="W218">IFERROR(SUMIFS('Key inputs_Refineries'!Q$85:Q$164,'Key inputs_Refineries'!$C$85:$C$164,$C218,'Key inputs_Refineries'!$B$85:$B$164,"Other processes")/SUM(SUMIFS('Key inputs_Refineries'!Q$85:Q$164,'Key inputs_Refineries'!$C$85:$C$164,$C218:$C219,'Key inputs_Refineries'!$B$85:$B$164,"Other processes")),0)</f>
        <v>1</v>
      </c>
      <c r="X218" s="173" cm="1">
        <f t="array" ref="X218">IFERROR(SUMIFS('Key inputs_Refineries'!R$85:R$164,'Key inputs_Refineries'!$C$85:$C$164,$C218,'Key inputs_Refineries'!$B$85:$B$164,"Other processes")/SUM(SUMIFS('Key inputs_Refineries'!R$85:R$164,'Key inputs_Refineries'!$C$85:$C$164,$C218:$C219,'Key inputs_Refineries'!$B$85:$B$164,"Other processes")),0)</f>
        <v>1</v>
      </c>
      <c r="Y218" s="173" cm="1">
        <f t="array" ref="Y218">IFERROR(SUMIFS('Key inputs_Refineries'!S$85:S$164,'Key inputs_Refineries'!$C$85:$C$164,$C218,'Key inputs_Refineries'!$B$85:$B$164,"Other processes")/SUM(SUMIFS('Key inputs_Refineries'!S$85:S$164,'Key inputs_Refineries'!$C$85:$C$164,$C218:$C219,'Key inputs_Refineries'!$B$85:$B$164,"Other processes")),0)</f>
        <v>1</v>
      </c>
      <c r="Z218" s="173" cm="1">
        <f t="array" ref="Z218">IFERROR(SUMIFS('Key inputs_Refineries'!T$85:T$164,'Key inputs_Refineries'!$C$85:$C$164,$C218,'Key inputs_Refineries'!$B$85:$B$164,"Other processes")/SUM(SUMIFS('Key inputs_Refineries'!T$85:T$164,'Key inputs_Refineries'!$C$85:$C$164,$C218:$C219,'Key inputs_Refineries'!$B$85:$B$164,"Other processes")),0)</f>
        <v>1</v>
      </c>
      <c r="AA218" s="173" cm="1">
        <f t="array" ref="AA218">IFERROR(SUMIFS('Key inputs_Refineries'!U$85:U$164,'Key inputs_Refineries'!$C$85:$C$164,$C218,'Key inputs_Refineries'!$B$85:$B$164,"Other processes")/SUM(SUMIFS('Key inputs_Refineries'!U$85:U$164,'Key inputs_Refineries'!$C$85:$C$164,$C218:$C219,'Key inputs_Refineries'!$B$85:$B$164,"Other processes")),0)</f>
        <v>0.9879717706045219</v>
      </c>
      <c r="AB218" s="173" cm="1">
        <f t="array" ref="AB218">IFERROR(SUMIFS('Key inputs_Refineries'!V$85:V$164,'Key inputs_Refineries'!$C$85:$C$164,$C218,'Key inputs_Refineries'!$B$85:$B$164,"Other processes")/SUM(SUMIFS('Key inputs_Refineries'!V$85:V$164,'Key inputs_Refineries'!$C$85:$C$164,$C218:$C219,'Key inputs_Refineries'!$B$85:$B$164,"Other processes")),0)</f>
        <v>0</v>
      </c>
      <c r="AC218" s="173" cm="1">
        <f t="array" ref="AC218">IFERROR(SUMIFS('Key inputs_Refineries'!W$85:W$164,'Key inputs_Refineries'!$C$85:$C$164,$C218,'Key inputs_Refineries'!$B$85:$B$164,"Other processes")/SUM(SUMIFS('Key inputs_Refineries'!W$85:W$164,'Key inputs_Refineries'!$C$85:$C$164,$C218:$C219,'Key inputs_Refineries'!$B$85:$B$164,"Other processes")),0)</f>
        <v>1</v>
      </c>
      <c r="AD218" s="173" cm="1">
        <f t="array" ref="AD218">IFERROR(SUMIFS('Key inputs_Refineries'!X$85:X$164,'Key inputs_Refineries'!$C$85:$C$164,$C218,'Key inputs_Refineries'!$B$85:$B$164,"Other processes")/SUM(SUMIFS('Key inputs_Refineries'!X$85:X$164,'Key inputs_Refineries'!$C$85:$C$164,$C218:$C219,'Key inputs_Refineries'!$B$85:$B$164,"Other processes")),0)</f>
        <v>1</v>
      </c>
      <c r="AE218" s="173" cm="1">
        <f t="array" ref="AE218">IFERROR(SUMIFS('Key inputs_Refineries'!Y$85:Y$164,'Key inputs_Refineries'!$C$85:$C$164,$C218,'Key inputs_Refineries'!$B$85:$B$164,"Other processes")/SUM(SUMIFS('Key inputs_Refineries'!Y$85:Y$164,'Key inputs_Refineries'!$C$85:$C$164,$C218:$C219,'Key inputs_Refineries'!$B$85:$B$164,"Other processes")),0)</f>
        <v>1</v>
      </c>
      <c r="AF218" s="173" cm="1">
        <f t="array" ref="AF218">IFERROR(SUMIFS('Key inputs_Refineries'!Z$85:Z$164,'Key inputs_Refineries'!$C$85:$C$164,$C218,'Key inputs_Refineries'!$B$85:$B$164,"Other processes")/SUM(SUMIFS('Key inputs_Refineries'!Z$85:Z$164,'Key inputs_Refineries'!$C$85:$C$164,$C218:$C219,'Key inputs_Refineries'!$B$85:$B$164,"Other processes")),0)</f>
        <v>1</v>
      </c>
      <c r="AG218" s="173" cm="1">
        <f t="array" ref="AG218">IFERROR(SUMIFS('Key inputs_Refineries'!AA$85:AA$164,'Key inputs_Refineries'!$C$85:$C$164,$C218,'Key inputs_Refineries'!$B$85:$B$164,"Other processes")/SUM(SUMIFS('Key inputs_Refineries'!AA$85:AA$164,'Key inputs_Refineries'!$C$85:$C$164,$C218:$C219,'Key inputs_Refineries'!$B$85:$B$164,"Other processes")),0)</f>
        <v>1</v>
      </c>
      <c r="AH218" s="173" cm="1">
        <f t="array" ref="AH218">IFERROR(SUMIFS('Key inputs_Refineries'!AB$85:AB$164,'Key inputs_Refineries'!$C$85:$C$164,$C218,'Key inputs_Refineries'!$B$85:$B$164,"Other processes")/SUM(SUMIFS('Key inputs_Refineries'!AB$85:AB$164,'Key inputs_Refineries'!$C$85:$C$164,$C218:$C219,'Key inputs_Refineries'!$B$85:$B$164,"Other processes")),0)</f>
        <v>1</v>
      </c>
      <c r="AI218" s="173" cm="1">
        <f t="array" ref="AI218">IFERROR(SUMIFS('Key inputs_Refineries'!AC$85:AC$164,'Key inputs_Refineries'!$C$85:$C$164,$C218,'Key inputs_Refineries'!$B$85:$B$164,"Other processes")/SUM(SUMIFS('Key inputs_Refineries'!AC$85:AC$164,'Key inputs_Refineries'!$C$85:$C$164,$C218:$C219,'Key inputs_Refineries'!$B$85:$B$164,"Other processes")),0)</f>
        <v>1</v>
      </c>
      <c r="AJ218" s="173" cm="1">
        <f t="array" ref="AJ218">IFERROR(SUMIFS('Key inputs_Refineries'!AD$85:AD$164,'Key inputs_Refineries'!$C$85:$C$164,$C218,'Key inputs_Refineries'!$B$85:$B$164,"Other processes")/SUM(SUMIFS('Key inputs_Refineries'!AD$85:AD$164,'Key inputs_Refineries'!$C$85:$C$164,$C218:$C219,'Key inputs_Refineries'!$B$85:$B$164,"Other processes")),0)</f>
        <v>0</v>
      </c>
      <c r="AK218" s="173" cm="1">
        <f t="array" ref="AK218">IFERROR(SUMIFS('Key inputs_Refineries'!AE$85:AE$164,'Key inputs_Refineries'!$C$85:$C$164,$C218,'Key inputs_Refineries'!$B$85:$B$164,"Other processes")/SUM(SUMIFS('Key inputs_Refineries'!AE$85:AE$164,'Key inputs_Refineries'!$C$85:$C$164,$C218:$C219,'Key inputs_Refineries'!$B$85:$B$164,"Other processes")),0)</f>
        <v>0</v>
      </c>
      <c r="AL218" s="173" cm="1">
        <f t="array" ref="AL218">IFERROR(SUMIFS('Key inputs_Refineries'!AF$85:AF$164,'Key inputs_Refineries'!$C$85:$C$164,$C218,'Key inputs_Refineries'!$B$85:$B$164,"Other processes")/SUM(SUMIFS('Key inputs_Refineries'!AF$85:AF$164,'Key inputs_Refineries'!$C$85:$C$164,$C218:$C219,'Key inputs_Refineries'!$B$85:$B$164,"Other processes")),0)</f>
        <v>1</v>
      </c>
      <c r="AN218" s="4"/>
      <c r="AQ218" s="4"/>
      <c r="AR218" s="4"/>
      <c r="AS218" s="4"/>
      <c r="AT218" s="4"/>
      <c r="AU218" s="4"/>
    </row>
    <row r="219" spans="1:47">
      <c r="C219" t="str">
        <f>Commodities!$C$88</f>
        <v>UPSCOG</v>
      </c>
      <c r="G219" s="4" t="s">
        <v>702</v>
      </c>
      <c r="H219" t="s">
        <v>661</v>
      </c>
      <c r="I219">
        <v>2019</v>
      </c>
      <c r="J219" t="s">
        <v>650</v>
      </c>
      <c r="K219" s="173">
        <f t="shared" ref="K219:AL219" si="14">1-K218</f>
        <v>1</v>
      </c>
      <c r="L219" s="173">
        <f t="shared" si="14"/>
        <v>0</v>
      </c>
      <c r="M219" s="173">
        <f t="shared" si="14"/>
        <v>0</v>
      </c>
      <c r="N219" s="173">
        <f t="shared" si="14"/>
        <v>1</v>
      </c>
      <c r="O219" s="173">
        <f t="shared" si="14"/>
        <v>0</v>
      </c>
      <c r="P219" s="173">
        <f t="shared" si="14"/>
        <v>0</v>
      </c>
      <c r="Q219" s="173">
        <f t="shared" si="14"/>
        <v>0</v>
      </c>
      <c r="R219" s="173">
        <f t="shared" si="14"/>
        <v>1</v>
      </c>
      <c r="S219" s="173">
        <f t="shared" si="14"/>
        <v>0</v>
      </c>
      <c r="T219" s="173">
        <f t="shared" si="14"/>
        <v>0</v>
      </c>
      <c r="U219" s="173">
        <f t="shared" si="14"/>
        <v>0</v>
      </c>
      <c r="V219" s="173">
        <f t="shared" si="14"/>
        <v>0</v>
      </c>
      <c r="W219" s="173">
        <f t="shared" si="14"/>
        <v>0</v>
      </c>
      <c r="X219" s="173">
        <f t="shared" si="14"/>
        <v>0</v>
      </c>
      <c r="Y219" s="173">
        <f t="shared" si="14"/>
        <v>0</v>
      </c>
      <c r="Z219" s="173">
        <f t="shared" si="14"/>
        <v>0</v>
      </c>
      <c r="AA219" s="173">
        <f t="shared" si="14"/>
        <v>1.2028229395478096E-2</v>
      </c>
      <c r="AB219" s="173">
        <f t="shared" si="14"/>
        <v>1</v>
      </c>
      <c r="AC219" s="173">
        <f t="shared" si="14"/>
        <v>0</v>
      </c>
      <c r="AD219" s="173">
        <f t="shared" si="14"/>
        <v>0</v>
      </c>
      <c r="AE219" s="173">
        <f t="shared" si="14"/>
        <v>0</v>
      </c>
      <c r="AF219" s="173">
        <f t="shared" si="14"/>
        <v>0</v>
      </c>
      <c r="AG219" s="173">
        <f t="shared" si="14"/>
        <v>0</v>
      </c>
      <c r="AH219" s="173">
        <f t="shared" si="14"/>
        <v>0</v>
      </c>
      <c r="AI219" s="173">
        <f t="shared" si="14"/>
        <v>0</v>
      </c>
      <c r="AJ219" s="173">
        <f t="shared" si="14"/>
        <v>1</v>
      </c>
      <c r="AK219" s="173">
        <f t="shared" si="14"/>
        <v>1</v>
      </c>
      <c r="AL219" s="173">
        <f t="shared" si="14"/>
        <v>0</v>
      </c>
      <c r="AN219" s="4"/>
      <c r="AQ219" s="4"/>
      <c r="AR219" s="4"/>
      <c r="AS219" s="4"/>
      <c r="AT219" s="4"/>
      <c r="AU219" s="4"/>
    </row>
    <row r="220" spans="1:47">
      <c r="C220" t="str">
        <f>Commodities!$C$84</f>
        <v>UPSBGS</v>
      </c>
      <c r="G220" s="4" t="s">
        <v>702</v>
      </c>
      <c r="H220" t="s">
        <v>661</v>
      </c>
      <c r="I220">
        <v>2019</v>
      </c>
      <c r="J220" t="s">
        <v>650</v>
      </c>
      <c r="K220" s="426">
        <v>0</v>
      </c>
      <c r="L220" s="426">
        <v>0</v>
      </c>
      <c r="M220" s="426">
        <v>0</v>
      </c>
      <c r="N220" s="426">
        <v>0</v>
      </c>
      <c r="O220" s="426">
        <v>0</v>
      </c>
      <c r="P220" s="426">
        <v>0</v>
      </c>
      <c r="Q220" s="426">
        <v>0</v>
      </c>
      <c r="R220" s="426">
        <v>0</v>
      </c>
      <c r="S220" s="426">
        <v>0</v>
      </c>
      <c r="T220" s="426">
        <v>0</v>
      </c>
      <c r="U220" s="426">
        <v>0</v>
      </c>
      <c r="V220" s="426">
        <v>0</v>
      </c>
      <c r="W220" s="426">
        <v>0</v>
      </c>
      <c r="X220" s="426">
        <v>0</v>
      </c>
      <c r="Y220" s="426">
        <v>0</v>
      </c>
      <c r="Z220" s="426">
        <v>0</v>
      </c>
      <c r="AA220" s="426">
        <v>0</v>
      </c>
      <c r="AB220" s="426">
        <v>0</v>
      </c>
      <c r="AC220" s="426">
        <v>0</v>
      </c>
      <c r="AD220" s="426">
        <v>0</v>
      </c>
      <c r="AE220" s="426">
        <v>0</v>
      </c>
      <c r="AF220" s="426">
        <v>0</v>
      </c>
      <c r="AG220" s="426">
        <v>0</v>
      </c>
      <c r="AH220" s="426">
        <v>0</v>
      </c>
      <c r="AI220" s="426">
        <v>0</v>
      </c>
      <c r="AJ220" s="426">
        <v>0</v>
      </c>
      <c r="AK220" s="426">
        <v>0</v>
      </c>
      <c r="AL220" s="426">
        <v>0</v>
      </c>
      <c r="AN220" s="4"/>
      <c r="AQ220" s="4"/>
      <c r="AR220" s="4"/>
      <c r="AS220" s="4"/>
      <c r="AT220" s="4"/>
      <c r="AU220" s="4"/>
    </row>
    <row r="221" spans="1:47">
      <c r="C221" t="str">
        <f>Commodities!$C$92</f>
        <v>UPSGAS</v>
      </c>
      <c r="G221" s="4" t="s">
        <v>702</v>
      </c>
      <c r="H221" t="s">
        <v>661</v>
      </c>
      <c r="I221">
        <v>2025</v>
      </c>
      <c r="J221" t="s">
        <v>650</v>
      </c>
      <c r="K221" s="426">
        <v>1</v>
      </c>
      <c r="L221" s="426">
        <v>1</v>
      </c>
      <c r="M221" s="426">
        <v>1</v>
      </c>
      <c r="N221" s="426">
        <v>1</v>
      </c>
      <c r="O221" s="426">
        <v>1</v>
      </c>
      <c r="P221" s="426">
        <v>1</v>
      </c>
      <c r="Q221" s="426">
        <v>1</v>
      </c>
      <c r="R221" s="426">
        <v>1</v>
      </c>
      <c r="S221" s="426">
        <v>1</v>
      </c>
      <c r="T221" s="426">
        <v>1</v>
      </c>
      <c r="U221" s="426">
        <v>1</v>
      </c>
      <c r="V221" s="426">
        <v>1</v>
      </c>
      <c r="W221" s="426">
        <v>1</v>
      </c>
      <c r="X221" s="426">
        <v>1</v>
      </c>
      <c r="Y221" s="426">
        <v>1</v>
      </c>
      <c r="Z221" s="426">
        <v>1</v>
      </c>
      <c r="AA221" s="426">
        <v>1</v>
      </c>
      <c r="AB221" s="426">
        <v>1</v>
      </c>
      <c r="AC221" s="426">
        <v>1</v>
      </c>
      <c r="AD221" s="426">
        <v>1</v>
      </c>
      <c r="AE221" s="426">
        <v>1</v>
      </c>
      <c r="AF221" s="426">
        <v>1</v>
      </c>
      <c r="AG221" s="426">
        <v>1</v>
      </c>
      <c r="AH221" s="426">
        <v>1</v>
      </c>
      <c r="AI221" s="426">
        <v>1</v>
      </c>
      <c r="AJ221" s="426">
        <v>1</v>
      </c>
      <c r="AK221" s="426">
        <v>1</v>
      </c>
      <c r="AL221" s="426">
        <v>1</v>
      </c>
      <c r="AN221" s="4"/>
      <c r="AQ221" s="4"/>
      <c r="AR221" s="4"/>
      <c r="AS221" s="4"/>
      <c r="AT221" s="4"/>
      <c r="AU221" s="4"/>
    </row>
    <row r="222" spans="1:47">
      <c r="C222" t="str">
        <f>Commodities!$C$88</f>
        <v>UPSCOG</v>
      </c>
      <c r="G222" s="4" t="s">
        <v>702</v>
      </c>
      <c r="H222" t="s">
        <v>661</v>
      </c>
      <c r="I222">
        <v>2025</v>
      </c>
      <c r="J222" t="s">
        <v>650</v>
      </c>
      <c r="K222" s="426">
        <v>1</v>
      </c>
      <c r="L222" s="426">
        <v>1</v>
      </c>
      <c r="M222" s="426">
        <v>1</v>
      </c>
      <c r="N222" s="426">
        <v>1</v>
      </c>
      <c r="O222" s="426">
        <v>1</v>
      </c>
      <c r="P222" s="426">
        <v>1</v>
      </c>
      <c r="Q222" s="426">
        <v>1</v>
      </c>
      <c r="R222" s="426">
        <v>1</v>
      </c>
      <c r="S222" s="426">
        <v>1</v>
      </c>
      <c r="T222" s="426">
        <v>1</v>
      </c>
      <c r="U222" s="426">
        <v>1</v>
      </c>
      <c r="V222" s="426">
        <v>1</v>
      </c>
      <c r="W222" s="426">
        <v>1</v>
      </c>
      <c r="X222" s="426">
        <v>1</v>
      </c>
      <c r="Y222" s="426">
        <v>1</v>
      </c>
      <c r="Z222" s="426">
        <v>1</v>
      </c>
      <c r="AA222" s="426">
        <v>1</v>
      </c>
      <c r="AB222" s="426">
        <v>1</v>
      </c>
      <c r="AC222" s="426">
        <v>1</v>
      </c>
      <c r="AD222" s="426">
        <v>1</v>
      </c>
      <c r="AE222" s="426">
        <v>1</v>
      </c>
      <c r="AF222" s="426">
        <v>1</v>
      </c>
      <c r="AG222" s="426">
        <v>1</v>
      </c>
      <c r="AH222" s="426">
        <v>1</v>
      </c>
      <c r="AI222" s="426">
        <v>1</v>
      </c>
      <c r="AJ222" s="426">
        <v>1</v>
      </c>
      <c r="AK222" s="426">
        <v>1</v>
      </c>
      <c r="AL222" s="426">
        <v>1</v>
      </c>
      <c r="AN222" s="4"/>
      <c r="AQ222" s="4"/>
      <c r="AR222" s="4"/>
      <c r="AS222" s="4"/>
      <c r="AT222" s="4"/>
      <c r="AU222" s="4"/>
    </row>
    <row r="223" spans="1:47">
      <c r="C223" t="str">
        <f>Commodities!$C$84</f>
        <v>UPSBGS</v>
      </c>
      <c r="G223" s="4" t="s">
        <v>702</v>
      </c>
      <c r="H223" t="s">
        <v>661</v>
      </c>
      <c r="I223">
        <v>2025</v>
      </c>
      <c r="J223" t="s">
        <v>650</v>
      </c>
      <c r="K223" s="426">
        <v>1</v>
      </c>
      <c r="L223" s="426">
        <v>1</v>
      </c>
      <c r="M223" s="426">
        <v>1</v>
      </c>
      <c r="N223" s="426">
        <v>1</v>
      </c>
      <c r="O223" s="426">
        <v>1</v>
      </c>
      <c r="P223" s="426">
        <v>1</v>
      </c>
      <c r="Q223" s="426">
        <v>1</v>
      </c>
      <c r="R223" s="426">
        <v>1</v>
      </c>
      <c r="S223" s="426">
        <v>1</v>
      </c>
      <c r="T223" s="426">
        <v>1</v>
      </c>
      <c r="U223" s="426">
        <v>1</v>
      </c>
      <c r="V223" s="426">
        <v>1</v>
      </c>
      <c r="W223" s="426">
        <v>1</v>
      </c>
      <c r="X223" s="426">
        <v>1</v>
      </c>
      <c r="Y223" s="426">
        <v>1</v>
      </c>
      <c r="Z223" s="426">
        <v>1</v>
      </c>
      <c r="AA223" s="426">
        <v>1</v>
      </c>
      <c r="AB223" s="426">
        <v>1</v>
      </c>
      <c r="AC223" s="426">
        <v>1</v>
      </c>
      <c r="AD223" s="426">
        <v>1</v>
      </c>
      <c r="AE223" s="426">
        <v>1</v>
      </c>
      <c r="AF223" s="426">
        <v>1</v>
      </c>
      <c r="AG223" s="426">
        <v>1</v>
      </c>
      <c r="AH223" s="426">
        <v>1</v>
      </c>
      <c r="AI223" s="426">
        <v>1</v>
      </c>
      <c r="AJ223" s="426">
        <v>1</v>
      </c>
      <c r="AK223" s="426">
        <v>1</v>
      </c>
      <c r="AL223" s="426">
        <v>1</v>
      </c>
      <c r="AN223" s="4"/>
      <c r="AQ223" s="4"/>
      <c r="AR223" s="4"/>
      <c r="AS223" s="4"/>
      <c r="AT223" s="4"/>
      <c r="AU223" s="4"/>
    </row>
    <row r="224" spans="1:47">
      <c r="C224" t="str">
        <f>Commodities!$C$92</f>
        <v>UPSGAS</v>
      </c>
      <c r="G224" s="4" t="s">
        <v>702</v>
      </c>
      <c r="H224" t="s">
        <v>661</v>
      </c>
      <c r="I224">
        <v>2050</v>
      </c>
      <c r="J224" t="s">
        <v>650</v>
      </c>
      <c r="K224" s="426">
        <v>1</v>
      </c>
      <c r="L224" s="426">
        <v>1</v>
      </c>
      <c r="M224" s="426">
        <v>1</v>
      </c>
      <c r="N224" s="426">
        <v>1</v>
      </c>
      <c r="O224" s="426">
        <v>1</v>
      </c>
      <c r="P224" s="426">
        <v>1</v>
      </c>
      <c r="Q224" s="426">
        <v>1</v>
      </c>
      <c r="R224" s="426">
        <v>1</v>
      </c>
      <c r="S224" s="426">
        <v>1</v>
      </c>
      <c r="T224" s="426">
        <v>1</v>
      </c>
      <c r="U224" s="426">
        <v>1</v>
      </c>
      <c r="V224" s="426">
        <v>1</v>
      </c>
      <c r="W224" s="426">
        <v>1</v>
      </c>
      <c r="X224" s="426">
        <v>1</v>
      </c>
      <c r="Y224" s="426">
        <v>1</v>
      </c>
      <c r="Z224" s="426">
        <v>1</v>
      </c>
      <c r="AA224" s="426">
        <v>1</v>
      </c>
      <c r="AB224" s="426">
        <v>1</v>
      </c>
      <c r="AC224" s="426">
        <v>1</v>
      </c>
      <c r="AD224" s="426">
        <v>1</v>
      </c>
      <c r="AE224" s="426">
        <v>1</v>
      </c>
      <c r="AF224" s="426">
        <v>1</v>
      </c>
      <c r="AG224" s="426">
        <v>1</v>
      </c>
      <c r="AH224" s="426">
        <v>1</v>
      </c>
      <c r="AI224" s="426">
        <v>1</v>
      </c>
      <c r="AJ224" s="426">
        <v>1</v>
      </c>
      <c r="AK224" s="426">
        <v>1</v>
      </c>
      <c r="AL224" s="426">
        <v>1</v>
      </c>
      <c r="AN224" s="4"/>
      <c r="AQ224" s="4"/>
      <c r="AR224" s="4"/>
      <c r="AS224" s="4"/>
      <c r="AT224" s="4"/>
      <c r="AU224" s="4"/>
    </row>
    <row r="225" spans="1:47">
      <c r="C225" t="str">
        <f>Commodities!$C$88</f>
        <v>UPSCOG</v>
      </c>
      <c r="G225" s="4" t="s">
        <v>702</v>
      </c>
      <c r="H225" t="s">
        <v>661</v>
      </c>
      <c r="I225">
        <v>2050</v>
      </c>
      <c r="J225" t="s">
        <v>650</v>
      </c>
      <c r="K225" s="426">
        <v>1</v>
      </c>
      <c r="L225" s="426">
        <v>1</v>
      </c>
      <c r="M225" s="426">
        <v>1</v>
      </c>
      <c r="N225" s="426">
        <v>1</v>
      </c>
      <c r="O225" s="426">
        <v>1</v>
      </c>
      <c r="P225" s="426">
        <v>1</v>
      </c>
      <c r="Q225" s="426">
        <v>1</v>
      </c>
      <c r="R225" s="426">
        <v>1</v>
      </c>
      <c r="S225" s="426">
        <v>1</v>
      </c>
      <c r="T225" s="426">
        <v>1</v>
      </c>
      <c r="U225" s="426">
        <v>1</v>
      </c>
      <c r="V225" s="426">
        <v>1</v>
      </c>
      <c r="W225" s="426">
        <v>1</v>
      </c>
      <c r="X225" s="426">
        <v>1</v>
      </c>
      <c r="Y225" s="426">
        <v>1</v>
      </c>
      <c r="Z225" s="426">
        <v>1</v>
      </c>
      <c r="AA225" s="426">
        <v>1</v>
      </c>
      <c r="AB225" s="426">
        <v>1</v>
      </c>
      <c r="AC225" s="426">
        <v>1</v>
      </c>
      <c r="AD225" s="426">
        <v>1</v>
      </c>
      <c r="AE225" s="426">
        <v>1</v>
      </c>
      <c r="AF225" s="426">
        <v>1</v>
      </c>
      <c r="AG225" s="426">
        <v>1</v>
      </c>
      <c r="AH225" s="426">
        <v>1</v>
      </c>
      <c r="AI225" s="426">
        <v>1</v>
      </c>
      <c r="AJ225" s="426">
        <v>1</v>
      </c>
      <c r="AK225" s="426">
        <v>1</v>
      </c>
      <c r="AL225" s="426">
        <v>1</v>
      </c>
      <c r="AN225" s="4"/>
      <c r="AQ225" s="4"/>
      <c r="AR225" s="4"/>
      <c r="AS225" s="4"/>
      <c r="AT225" s="4"/>
      <c r="AU225" s="4"/>
    </row>
    <row r="226" spans="1:47">
      <c r="C226" t="str">
        <f>Commodities!$C$84</f>
        <v>UPSBGS</v>
      </c>
      <c r="G226" s="4" t="s">
        <v>702</v>
      </c>
      <c r="H226" t="s">
        <v>661</v>
      </c>
      <c r="I226">
        <v>2050</v>
      </c>
      <c r="J226" t="s">
        <v>650</v>
      </c>
      <c r="K226" s="426">
        <v>1</v>
      </c>
      <c r="L226" s="426">
        <v>1</v>
      </c>
      <c r="M226" s="426">
        <v>1</v>
      </c>
      <c r="N226" s="426">
        <v>1</v>
      </c>
      <c r="O226" s="426">
        <v>1</v>
      </c>
      <c r="P226" s="426">
        <v>1</v>
      </c>
      <c r="Q226" s="426">
        <v>1</v>
      </c>
      <c r="R226" s="426">
        <v>1</v>
      </c>
      <c r="S226" s="426">
        <v>1</v>
      </c>
      <c r="T226" s="426">
        <v>1</v>
      </c>
      <c r="U226" s="426">
        <v>1</v>
      </c>
      <c r="V226" s="426">
        <v>1</v>
      </c>
      <c r="W226" s="426">
        <v>1</v>
      </c>
      <c r="X226" s="426">
        <v>1</v>
      </c>
      <c r="Y226" s="426">
        <v>1</v>
      </c>
      <c r="Z226" s="426">
        <v>1</v>
      </c>
      <c r="AA226" s="426">
        <v>1</v>
      </c>
      <c r="AB226" s="426">
        <v>1</v>
      </c>
      <c r="AC226" s="426">
        <v>1</v>
      </c>
      <c r="AD226" s="426">
        <v>1</v>
      </c>
      <c r="AE226" s="426">
        <v>1</v>
      </c>
      <c r="AF226" s="426">
        <v>1</v>
      </c>
      <c r="AG226" s="426">
        <v>1</v>
      </c>
      <c r="AH226" s="426">
        <v>1</v>
      </c>
      <c r="AI226" s="426">
        <v>1</v>
      </c>
      <c r="AJ226" s="426">
        <v>1</v>
      </c>
      <c r="AK226" s="426">
        <v>1</v>
      </c>
      <c r="AL226" s="426">
        <v>1</v>
      </c>
      <c r="AN226" s="4"/>
      <c r="AQ226" s="4"/>
      <c r="AR226" s="4"/>
      <c r="AS226" s="4"/>
      <c r="AT226" s="4"/>
      <c r="AU226" s="4"/>
    </row>
    <row r="227" spans="1:47">
      <c r="D227" t="str">
        <f>Commodities!$C$106</f>
        <v>UREFOTH</v>
      </c>
      <c r="AN227" s="4"/>
      <c r="AQ227" s="4"/>
      <c r="AR227" s="4"/>
      <c r="AS227" s="4"/>
      <c r="AT227" s="4"/>
      <c r="AU227" s="4"/>
    </row>
    <row r="228" spans="1:47">
      <c r="A228" s="4" t="str">
        <f>AO23</f>
        <v>U-TRF-OILREFOTH_OIL00</v>
      </c>
      <c r="B228" s="4" t="str">
        <f>AP23</f>
        <v>UPS Transformation: Oil refinery other processes Petroleum product - Existing</v>
      </c>
      <c r="C228" s="4"/>
      <c r="D228" s="4"/>
      <c r="E228" s="4"/>
      <c r="F228" s="4"/>
      <c r="G228" s="4" t="s">
        <v>695</v>
      </c>
      <c r="H228" s="4"/>
      <c r="I228" s="4"/>
      <c r="J228" s="4" t="s">
        <v>2665</v>
      </c>
      <c r="K228" s="333">
        <v>1</v>
      </c>
      <c r="L228" s="333">
        <v>1</v>
      </c>
      <c r="M228" s="333">
        <v>1</v>
      </c>
      <c r="N228" s="333">
        <v>1</v>
      </c>
      <c r="O228" s="333">
        <v>1</v>
      </c>
      <c r="P228" s="333">
        <v>1</v>
      </c>
      <c r="Q228" s="333">
        <v>1</v>
      </c>
      <c r="R228" s="333">
        <v>1</v>
      </c>
      <c r="S228" s="333">
        <v>1</v>
      </c>
      <c r="T228" s="333">
        <v>1</v>
      </c>
      <c r="U228" s="333">
        <v>1</v>
      </c>
      <c r="V228" s="333">
        <v>1</v>
      </c>
      <c r="W228" s="333">
        <v>1</v>
      </c>
      <c r="X228" s="333">
        <v>1</v>
      </c>
      <c r="Y228" s="333">
        <v>1</v>
      </c>
      <c r="Z228" s="333">
        <v>1</v>
      </c>
      <c r="AA228" s="333">
        <v>1</v>
      </c>
      <c r="AB228" s="333">
        <v>1</v>
      </c>
      <c r="AC228" s="333">
        <v>1</v>
      </c>
      <c r="AD228" s="333">
        <v>1</v>
      </c>
      <c r="AE228" s="333">
        <v>1</v>
      </c>
      <c r="AF228" s="333">
        <v>1</v>
      </c>
      <c r="AG228" s="333">
        <v>1</v>
      </c>
      <c r="AH228" s="333">
        <v>1</v>
      </c>
      <c r="AI228" s="333">
        <v>1</v>
      </c>
      <c r="AJ228" s="333">
        <v>1</v>
      </c>
      <c r="AK228" s="333">
        <v>1</v>
      </c>
      <c r="AL228" s="333">
        <v>1</v>
      </c>
      <c r="AN228" s="4"/>
      <c r="AQ228" s="4"/>
      <c r="AR228" s="4"/>
      <c r="AS228" s="4"/>
      <c r="AT228" s="4"/>
      <c r="AU228" s="4"/>
    </row>
    <row r="229" spans="1:47">
      <c r="C229" s="4"/>
      <c r="D229" s="4"/>
      <c r="E229" s="4"/>
      <c r="F229" s="4"/>
      <c r="G229" s="4" t="s">
        <v>697</v>
      </c>
      <c r="H229" s="4"/>
      <c r="I229" s="4"/>
      <c r="J229" s="4" t="s">
        <v>698</v>
      </c>
      <c r="K229" s="424">
        <f>'Key inputs_Refineries'!$F$185</f>
        <v>15</v>
      </c>
      <c r="L229" s="424">
        <f>'Key inputs_Refineries'!$F$185</f>
        <v>15</v>
      </c>
      <c r="M229" s="424">
        <f>'Key inputs_Refineries'!$F$185</f>
        <v>15</v>
      </c>
      <c r="N229" s="424">
        <f>'Key inputs_Refineries'!$F$185</f>
        <v>15</v>
      </c>
      <c r="O229" s="424">
        <f>'Key inputs_Refineries'!$F$185</f>
        <v>15</v>
      </c>
      <c r="P229" s="424">
        <f>'Key inputs_Refineries'!$F$185</f>
        <v>15</v>
      </c>
      <c r="Q229" s="424">
        <f>'Key inputs_Refineries'!$F$185</f>
        <v>15</v>
      </c>
      <c r="R229" s="424">
        <f>'Key inputs_Refineries'!$F$185</f>
        <v>15</v>
      </c>
      <c r="S229" s="424">
        <f>'Key inputs_Refineries'!$F$185</f>
        <v>15</v>
      </c>
      <c r="T229" s="424">
        <f>'Key inputs_Refineries'!$F$185</f>
        <v>15</v>
      </c>
      <c r="U229" s="424">
        <f>'Key inputs_Refineries'!$F$185</f>
        <v>15</v>
      </c>
      <c r="V229" s="424">
        <f>'Key inputs_Refineries'!$F$185</f>
        <v>15</v>
      </c>
      <c r="W229" s="424">
        <f>'Key inputs_Refineries'!$F$185</f>
        <v>15</v>
      </c>
      <c r="X229" s="424">
        <f>'Key inputs_Refineries'!$F$185</f>
        <v>15</v>
      </c>
      <c r="Y229" s="424">
        <f>'Key inputs_Refineries'!$F$185</f>
        <v>15</v>
      </c>
      <c r="Z229" s="424">
        <f>'Key inputs_Refineries'!$F$185</f>
        <v>15</v>
      </c>
      <c r="AA229" s="424">
        <f>'Key inputs_Refineries'!$F$185</f>
        <v>15</v>
      </c>
      <c r="AB229" s="424">
        <f>'Key inputs_Refineries'!$F$185</f>
        <v>15</v>
      </c>
      <c r="AC229" s="424">
        <f>'Key inputs_Refineries'!$F$185</f>
        <v>15</v>
      </c>
      <c r="AD229" s="424">
        <f>'Key inputs_Refineries'!$F$185</f>
        <v>15</v>
      </c>
      <c r="AE229" s="424">
        <f>'Key inputs_Refineries'!$F$185</f>
        <v>15</v>
      </c>
      <c r="AF229" s="424">
        <f>'Key inputs_Refineries'!$F$185</f>
        <v>15</v>
      </c>
      <c r="AG229" s="424">
        <f>'Key inputs_Refineries'!$F$185</f>
        <v>15</v>
      </c>
      <c r="AH229" s="424">
        <f>'Key inputs_Refineries'!$F$185</f>
        <v>15</v>
      </c>
      <c r="AI229" s="424">
        <f>'Key inputs_Refineries'!$F$185</f>
        <v>15</v>
      </c>
      <c r="AJ229" s="424">
        <f>'Key inputs_Refineries'!$F$185</f>
        <v>15</v>
      </c>
      <c r="AK229" s="424">
        <f>'Key inputs_Refineries'!$F$185</f>
        <v>15</v>
      </c>
      <c r="AL229" s="424">
        <f>'Key inputs_Refineries'!$F$185</f>
        <v>15</v>
      </c>
      <c r="AN229" s="4"/>
      <c r="AQ229" s="4"/>
      <c r="AR229" s="4"/>
      <c r="AS229" s="4"/>
      <c r="AT229" s="4"/>
      <c r="AU229" s="4"/>
    </row>
    <row r="230" spans="1:47">
      <c r="C230" s="4"/>
      <c r="D230" s="4"/>
      <c r="E230" s="4"/>
      <c r="F230" s="4"/>
      <c r="G230" s="4" t="s">
        <v>699</v>
      </c>
      <c r="H230" s="4"/>
      <c r="I230" s="4">
        <v>2019</v>
      </c>
      <c r="J230" s="4" t="s">
        <v>112</v>
      </c>
      <c r="K230" s="347" cm="1">
        <f t="array" ref="K230">-SUM(SUMIFS('Key inputs_Refineries'!E$85:E$164,'Key inputs_Refineries'!$C$85:$C$164,$C238:$C247,'Key inputs_Refineries'!$B$85:$B$164,"Other processes"))*K237/10^3</f>
        <v>2.3759999999999976E-2</v>
      </c>
      <c r="L230" s="347" cm="1">
        <f t="array" ref="L230">-SUM(SUMIFS('Key inputs_Refineries'!F$85:F$164,'Key inputs_Refineries'!$C$85:$C$164,$C238:$C247,'Key inputs_Refineries'!$B$85:$B$164,"Other processes"))*L237/10^3</f>
        <v>0.59857193294976097</v>
      </c>
      <c r="M230" s="347" cm="1">
        <f t="array" ref="M230">-SUM(SUMIFS('Key inputs_Refineries'!G$85:G$164,'Key inputs_Refineries'!$C$85:$C$164,$C238:$C247,'Key inputs_Refineries'!$B$85:$B$164,"Other processes"))*M237/10^3</f>
        <v>7.4412246278582173E-2</v>
      </c>
      <c r="N230" s="347" cm="1">
        <f t="array" ref="N230">-SUM(SUMIFS('Key inputs_Refineries'!H$85:H$164,'Key inputs_Refineries'!$C$85:$C$164,$C238:$C247,'Key inputs_Refineries'!$B$85:$B$164,"Other processes"))*N237/10^3</f>
        <v>0</v>
      </c>
      <c r="O230" s="347" cm="1">
        <f t="array" ref="O230">-SUM(SUMIFS('Key inputs_Refineries'!I$85:I$164,'Key inputs_Refineries'!$C$85:$C$164,$C238:$C247,'Key inputs_Refineries'!$B$85:$B$164,"Other processes"))*O237/10^3</f>
        <v>0.88726125647565235</v>
      </c>
      <c r="P230" s="347" cm="1">
        <f t="array" ref="P230">-SUM(SUMIFS('Key inputs_Refineries'!J$85:J$164,'Key inputs_Refineries'!$C$85:$C$164,$C238:$C247,'Key inputs_Refineries'!$B$85:$B$164,"Other processes"))*P237/10^3</f>
        <v>0.48523045960760958</v>
      </c>
      <c r="Q230" s="347" cm="1">
        <f t="array" ref="Q230">-SUM(SUMIFS('Key inputs_Refineries'!K$85:K$164,'Key inputs_Refineries'!$C$85:$C$164,$C238:$C247,'Key inputs_Refineries'!$B$85:$B$164,"Other processes"))*Q237/10^3</f>
        <v>2.6876399999999978</v>
      </c>
      <c r="R230" s="347" cm="1">
        <f t="array" ref="R230">-SUM(SUMIFS('Key inputs_Refineries'!L$85:L$164,'Key inputs_Refineries'!$C$85:$C$164,$C238:$C247,'Key inputs_Refineries'!$B$85:$B$164,"Other processes"))*R237/10^3</f>
        <v>0.10903199999999991</v>
      </c>
      <c r="S230" s="347" cm="1">
        <f t="array" ref="S230">-SUM(SUMIFS('Key inputs_Refineries'!M$85:M$164,'Key inputs_Refineries'!$C$85:$C$164,$C238:$C247,'Key inputs_Refineries'!$B$85:$B$164,"Other processes"))*S237/10^3</f>
        <v>0.77592553448275792</v>
      </c>
      <c r="T230" s="347" cm="1">
        <f t="array" ref="T230">-SUM(SUMIFS('Key inputs_Refineries'!N$85:N$164,'Key inputs_Refineries'!$C$85:$C$164,$C238:$C247,'Key inputs_Refineries'!$B$85:$B$164,"Other processes"))*T237/10^3</f>
        <v>2.1891399888299783</v>
      </c>
      <c r="U230" s="347" cm="1">
        <f t="array" ref="U230">-SUM(SUMIFS('Key inputs_Refineries'!O$85:O$164,'Key inputs_Refineries'!$C$85:$C$164,$C238:$C247,'Key inputs_Refineries'!$B$85:$B$164,"Other processes"))*U237/10^3</f>
        <v>0.34796860712713285</v>
      </c>
      <c r="V230" s="347" cm="1">
        <f t="array" ref="V230">-SUM(SUMIFS('Key inputs_Refineries'!P$85:P$164,'Key inputs_Refineries'!$C$85:$C$164,$C238:$C247,'Key inputs_Refineries'!$B$85:$B$164,"Other processes"))*V237/10^3</f>
        <v>60.505014071767654</v>
      </c>
      <c r="W230" s="347" cm="1">
        <f t="array" ref="W230">-SUM(SUMIFS('Key inputs_Refineries'!Q$85:Q$164,'Key inputs_Refineries'!$C$85:$C$164,$C238:$C247,'Key inputs_Refineries'!$B$85:$B$164,"Other processes"))*W237/10^3</f>
        <v>0.80317799680326973</v>
      </c>
      <c r="X230" s="347" cm="1">
        <f t="array" ref="X230">-SUM(SUMIFS('Key inputs_Refineries'!R$85:R$164,'Key inputs_Refineries'!$C$85:$C$164,$C238:$C247,'Key inputs_Refineries'!$B$85:$B$164,"Other processes"))*X237/10^3</f>
        <v>1.9535950931900998</v>
      </c>
      <c r="Y230" s="347" cm="1">
        <f t="array" ref="Y230">-SUM(SUMIFS('Key inputs_Refineries'!S$85:S$164,'Key inputs_Refineries'!$C$85:$C$164,$C238:$C247,'Key inputs_Refineries'!$B$85:$B$164,"Other processes"))*Y237/10^3</f>
        <v>3.0685026975425225</v>
      </c>
      <c r="Z230" s="347" cm="1">
        <f t="array" ref="Z230">-SUM(SUMIFS('Key inputs_Refineries'!T$85:T$164,'Key inputs_Refineries'!$C$85:$C$164,$C238:$C247,'Key inputs_Refineries'!$B$85:$B$164,"Other processes"))*Z237/10^3</f>
        <v>11.109224764941622</v>
      </c>
      <c r="AA230" s="347" cm="1">
        <f t="array" ref="AA230">-SUM(SUMIFS('Key inputs_Refineries'!U$85:U$164,'Key inputs_Refineries'!$C$85:$C$164,$C238:$C247,'Key inputs_Refineries'!$B$85:$B$164,"Other processes"))*AA237/10^3</f>
        <v>10.41715554629465</v>
      </c>
      <c r="AB230" s="347" cm="1">
        <f t="array" ref="AB230">-SUM(SUMIFS('Key inputs_Refineries'!V$85:V$164,'Key inputs_Refineries'!$C$85:$C$164,$C238:$C247,'Key inputs_Refineries'!$B$85:$B$164,"Other processes"))*AB237/10^3</f>
        <v>4.1094629732043702</v>
      </c>
      <c r="AC230" s="347" cm="1">
        <f t="array" ref="AC230">-SUM(SUMIFS('Key inputs_Refineries'!W$85:W$164,'Key inputs_Refineries'!$C$85:$C$164,$C238:$C247,'Key inputs_Refineries'!$B$85:$B$164,"Other processes"))*AC237/10^3</f>
        <v>18.378359999999983</v>
      </c>
      <c r="AD230" s="347" cm="1">
        <f t="array" ref="AD230">-SUM(SUMIFS('Key inputs_Refineries'!X$85:X$164,'Key inputs_Refineries'!$C$85:$C$164,$C238:$C247,'Key inputs_Refineries'!$B$85:$B$164,"Other processes"))*AD237/10^3</f>
        <v>6.821232337517249</v>
      </c>
      <c r="AE230" s="347" cm="1">
        <f t="array" ref="AE230">-SUM(SUMIFS('Key inputs_Refineries'!Y$85:Y$164,'Key inputs_Refineries'!$C$85:$C$164,$C238:$C247,'Key inputs_Refineries'!$B$85:$B$164,"Other processes"))*AE237/10^3</f>
        <v>5.4028470602223218</v>
      </c>
      <c r="AF230" s="347" cm="1">
        <f t="array" ref="AF230">-SUM(SUMIFS('Key inputs_Refineries'!Z$85:Z$164,'Key inputs_Refineries'!$C$85:$C$164,$C238:$C247,'Key inputs_Refineries'!$B$85:$B$164,"Other processes"))*AF237/10^3</f>
        <v>2.8016233264716059</v>
      </c>
      <c r="AG230" s="347" cm="1">
        <f t="array" ref="AG230">-SUM(SUMIFS('Key inputs_Refineries'!AA$85:AA$164,'Key inputs_Refineries'!$C$85:$C$164,$C238:$C247,'Key inputs_Refineries'!$B$85:$B$164,"Other processes"))*AG237/10^3</f>
        <v>7.8945876492916813</v>
      </c>
      <c r="AH230" s="347" cm="1">
        <f t="array" ref="AH230">-SUM(SUMIFS('Key inputs_Refineries'!AB$85:AB$164,'Key inputs_Refineries'!$C$85:$C$164,$C238:$C247,'Key inputs_Refineries'!$B$85:$B$164,"Other processes"))*AH237/10^3</f>
        <v>3.6320639999999966</v>
      </c>
      <c r="AI230" s="347" cm="1">
        <f t="array" ref="AI230">-SUM(SUMIFS('Key inputs_Refineries'!AC$85:AC$164,'Key inputs_Refineries'!$C$85:$C$164,$C238:$C247,'Key inputs_Refineries'!$B$85:$B$164,"Other processes"))*AI237/10^3</f>
        <v>4.8407999999999958E-2</v>
      </c>
      <c r="AJ230" s="347" cm="1">
        <f t="array" ref="AJ230">-SUM(SUMIFS('Key inputs_Refineries'!AD$85:AD$164,'Key inputs_Refineries'!$C$85:$C$164,$C238:$C247,'Key inputs_Refineries'!$B$85:$B$164,"Other processes"))*AJ237/10^3</f>
        <v>0</v>
      </c>
      <c r="AK230" s="347" cm="1">
        <f t="array" ref="AK230">-SUM(SUMIFS('Key inputs_Refineries'!AE$85:AE$164,'Key inputs_Refineries'!$C$85:$C$164,$C238:$C247,'Key inputs_Refineries'!$B$85:$B$164,"Other processes"))*AK237/10^3</f>
        <v>5.0890233985574813</v>
      </c>
      <c r="AL230" s="347" cm="1">
        <f t="array" ref="AL230">-SUM(SUMIFS('Key inputs_Refineries'!AF$85:AF$164,'Key inputs_Refineries'!$C$85:$C$164,$C238:$C247,'Key inputs_Refineries'!$B$85:$B$164,"Other processes"))*AL237/10^3</f>
        <v>17.242862687621475</v>
      </c>
      <c r="AN230" s="4"/>
      <c r="AQ230" s="4"/>
      <c r="AR230" s="4"/>
      <c r="AS230" s="4"/>
      <c r="AT230" s="4"/>
      <c r="AU230" s="4"/>
    </row>
    <row r="231" spans="1:47">
      <c r="G231" s="4" t="s">
        <v>701</v>
      </c>
      <c r="H231" s="4" t="s">
        <v>661</v>
      </c>
      <c r="I231" s="4">
        <v>2019</v>
      </c>
      <c r="J231" s="4" t="s">
        <v>112</v>
      </c>
      <c r="K231" s="333">
        <v>0</v>
      </c>
      <c r="L231" s="333">
        <v>0</v>
      </c>
      <c r="M231" s="333">
        <v>0</v>
      </c>
      <c r="N231" s="333">
        <v>0</v>
      </c>
      <c r="O231" s="333">
        <v>0</v>
      </c>
      <c r="P231" s="333">
        <v>0</v>
      </c>
      <c r="Q231" s="333">
        <v>0</v>
      </c>
      <c r="R231" s="333">
        <v>0</v>
      </c>
      <c r="S231" s="333">
        <v>0</v>
      </c>
      <c r="T231" s="333">
        <v>0</v>
      </c>
      <c r="U231" s="333">
        <v>0</v>
      </c>
      <c r="V231" s="333">
        <v>0</v>
      </c>
      <c r="W231" s="333">
        <v>0</v>
      </c>
      <c r="X231" s="333">
        <v>0</v>
      </c>
      <c r="Y231" s="333">
        <v>0</v>
      </c>
      <c r="Z231" s="333">
        <v>0</v>
      </c>
      <c r="AA231" s="333">
        <v>0</v>
      </c>
      <c r="AB231" s="333">
        <v>0</v>
      </c>
      <c r="AC231" s="333">
        <v>0</v>
      </c>
      <c r="AD231" s="333">
        <v>0</v>
      </c>
      <c r="AE231" s="333">
        <v>0</v>
      </c>
      <c r="AF231" s="333">
        <v>0</v>
      </c>
      <c r="AG231" s="333">
        <v>0</v>
      </c>
      <c r="AH231" s="333">
        <v>0</v>
      </c>
      <c r="AI231" s="333">
        <v>0</v>
      </c>
      <c r="AJ231" s="333">
        <v>0</v>
      </c>
      <c r="AK231" s="333">
        <v>0</v>
      </c>
      <c r="AL231" s="333">
        <v>0</v>
      </c>
      <c r="AN231" s="4"/>
      <c r="AQ231" s="4"/>
      <c r="AR231" s="4"/>
      <c r="AS231" s="4"/>
      <c r="AT231" s="4"/>
      <c r="AU231" s="4"/>
    </row>
    <row r="232" spans="1:47">
      <c r="G232" s="4" t="s">
        <v>701</v>
      </c>
      <c r="H232" s="4" t="s">
        <v>661</v>
      </c>
      <c r="I232" s="4">
        <v>2060</v>
      </c>
      <c r="J232" s="4" t="s">
        <v>112</v>
      </c>
      <c r="K232" s="333">
        <v>0</v>
      </c>
      <c r="L232" s="333">
        <v>0</v>
      </c>
      <c r="M232" s="333">
        <v>0</v>
      </c>
      <c r="N232" s="333">
        <v>0</v>
      </c>
      <c r="O232" s="333">
        <v>0</v>
      </c>
      <c r="P232" s="333">
        <v>0</v>
      </c>
      <c r="Q232" s="333">
        <v>0</v>
      </c>
      <c r="R232" s="333">
        <v>0</v>
      </c>
      <c r="S232" s="333">
        <v>0</v>
      </c>
      <c r="T232" s="333">
        <v>0</v>
      </c>
      <c r="U232" s="333">
        <v>0</v>
      </c>
      <c r="V232" s="333">
        <v>0</v>
      </c>
      <c r="W232" s="333">
        <v>0</v>
      </c>
      <c r="X232" s="333">
        <v>0</v>
      </c>
      <c r="Y232" s="333">
        <v>0</v>
      </c>
      <c r="Z232" s="333">
        <v>0</v>
      </c>
      <c r="AA232" s="333">
        <v>0</v>
      </c>
      <c r="AB232" s="333">
        <v>0</v>
      </c>
      <c r="AC232" s="333">
        <v>0</v>
      </c>
      <c r="AD232" s="333">
        <v>0</v>
      </c>
      <c r="AE232" s="333">
        <v>0</v>
      </c>
      <c r="AF232" s="333">
        <v>0</v>
      </c>
      <c r="AG232" s="333">
        <v>0</v>
      </c>
      <c r="AH232" s="333">
        <v>0</v>
      </c>
      <c r="AI232" s="333">
        <v>0</v>
      </c>
      <c r="AJ232" s="333">
        <v>0</v>
      </c>
      <c r="AK232" s="333">
        <v>0</v>
      </c>
      <c r="AL232" s="333">
        <v>0</v>
      </c>
      <c r="AN232" s="4"/>
      <c r="AQ232" s="4"/>
      <c r="AR232" s="4"/>
      <c r="AS232" s="4"/>
      <c r="AT232" s="4"/>
      <c r="AU232" s="4"/>
    </row>
    <row r="233" spans="1:47">
      <c r="G233" s="4" t="s">
        <v>701</v>
      </c>
      <c r="H233" s="4" t="s">
        <v>661</v>
      </c>
      <c r="I233" s="4">
        <v>0</v>
      </c>
      <c r="J233" s="4"/>
      <c r="K233" s="333">
        <v>5</v>
      </c>
      <c r="L233" s="333">
        <v>5</v>
      </c>
      <c r="M233" s="333">
        <v>5</v>
      </c>
      <c r="N233" s="333">
        <v>5</v>
      </c>
      <c r="O233" s="333">
        <v>5</v>
      </c>
      <c r="P233" s="333">
        <v>5</v>
      </c>
      <c r="Q233" s="333">
        <v>5</v>
      </c>
      <c r="R233" s="333">
        <v>5</v>
      </c>
      <c r="S233" s="333">
        <v>5</v>
      </c>
      <c r="T233" s="333">
        <v>5</v>
      </c>
      <c r="U233" s="333">
        <v>5</v>
      </c>
      <c r="V233" s="333">
        <v>5</v>
      </c>
      <c r="W233" s="333">
        <v>5</v>
      </c>
      <c r="X233" s="333">
        <v>5</v>
      </c>
      <c r="Y233" s="333">
        <v>5</v>
      </c>
      <c r="Z233" s="333">
        <v>5</v>
      </c>
      <c r="AA233" s="333">
        <v>5</v>
      </c>
      <c r="AB233" s="333">
        <v>5</v>
      </c>
      <c r="AC233" s="333">
        <v>5</v>
      </c>
      <c r="AD233" s="333">
        <v>5</v>
      </c>
      <c r="AE233" s="333">
        <v>5</v>
      </c>
      <c r="AF233" s="333">
        <v>5</v>
      </c>
      <c r="AG233" s="333">
        <v>5</v>
      </c>
      <c r="AH233" s="333">
        <v>5</v>
      </c>
      <c r="AI233" s="333">
        <v>5</v>
      </c>
      <c r="AJ233" s="333">
        <v>5</v>
      </c>
      <c r="AK233" s="333">
        <v>5</v>
      </c>
      <c r="AL233" s="333">
        <v>5</v>
      </c>
      <c r="AN233" s="4"/>
      <c r="AQ233" s="4"/>
      <c r="AR233" s="4"/>
      <c r="AS233" s="4"/>
      <c r="AT233" s="4"/>
      <c r="AU233" s="4"/>
    </row>
    <row r="234" spans="1:47">
      <c r="G234" s="4" t="s">
        <v>687</v>
      </c>
      <c r="H234" s="4"/>
      <c r="I234" s="4"/>
      <c r="J234" s="4" t="s">
        <v>2663</v>
      </c>
      <c r="K234" s="425">
        <f>'Key inputs_Refineries'!$C$185*10^3</f>
        <v>104.06880000000001</v>
      </c>
      <c r="L234" s="425">
        <f>'Key inputs_Refineries'!$C$185*10^3</f>
        <v>104.06880000000001</v>
      </c>
      <c r="M234" s="425">
        <f>'Key inputs_Refineries'!$C$185*10^3</f>
        <v>104.06880000000001</v>
      </c>
      <c r="N234" s="425">
        <f>'Key inputs_Refineries'!$C$185*10^3</f>
        <v>104.06880000000001</v>
      </c>
      <c r="O234" s="425">
        <f>'Key inputs_Refineries'!$C$185*10^3</f>
        <v>104.06880000000001</v>
      </c>
      <c r="P234" s="425">
        <f>'Key inputs_Refineries'!$C$185*10^3</f>
        <v>104.06880000000001</v>
      </c>
      <c r="Q234" s="425">
        <f>'Key inputs_Refineries'!$C$185*10^3</f>
        <v>104.06880000000001</v>
      </c>
      <c r="R234" s="425">
        <f>'Key inputs_Refineries'!$C$185*10^3</f>
        <v>104.06880000000001</v>
      </c>
      <c r="S234" s="425">
        <f>'Key inputs_Refineries'!$C$185*10^3</f>
        <v>104.06880000000001</v>
      </c>
      <c r="T234" s="425">
        <f>'Key inputs_Refineries'!$C$185*10^3</f>
        <v>104.06880000000001</v>
      </c>
      <c r="U234" s="425">
        <f>'Key inputs_Refineries'!$C$185*10^3</f>
        <v>104.06880000000001</v>
      </c>
      <c r="V234" s="425">
        <f>'Key inputs_Refineries'!$C$185*10^3</f>
        <v>104.06880000000001</v>
      </c>
      <c r="W234" s="425">
        <f>'Key inputs_Refineries'!$C$185*10^3</f>
        <v>104.06880000000001</v>
      </c>
      <c r="X234" s="425">
        <f>'Key inputs_Refineries'!$C$185*10^3</f>
        <v>104.06880000000001</v>
      </c>
      <c r="Y234" s="425">
        <f>'Key inputs_Refineries'!$C$185*10^3</f>
        <v>104.06880000000001</v>
      </c>
      <c r="Z234" s="425">
        <f>'Key inputs_Refineries'!$C$185*10^3</f>
        <v>104.06880000000001</v>
      </c>
      <c r="AA234" s="425">
        <f>'Key inputs_Refineries'!$C$185*10^3</f>
        <v>104.06880000000001</v>
      </c>
      <c r="AB234" s="425">
        <f>'Key inputs_Refineries'!$C$185*10^3</f>
        <v>104.06880000000001</v>
      </c>
      <c r="AC234" s="425">
        <f>'Key inputs_Refineries'!$C$185*10^3</f>
        <v>104.06880000000001</v>
      </c>
      <c r="AD234" s="425">
        <f>'Key inputs_Refineries'!$C$185*10^3</f>
        <v>104.06880000000001</v>
      </c>
      <c r="AE234" s="425">
        <f>'Key inputs_Refineries'!$C$185*10^3</f>
        <v>104.06880000000001</v>
      </c>
      <c r="AF234" s="425">
        <f>'Key inputs_Refineries'!$C$185*10^3</f>
        <v>104.06880000000001</v>
      </c>
      <c r="AG234" s="425">
        <f>'Key inputs_Refineries'!$C$185*10^3</f>
        <v>104.06880000000001</v>
      </c>
      <c r="AH234" s="425">
        <f>'Key inputs_Refineries'!$C$185*10^3</f>
        <v>104.06880000000001</v>
      </c>
      <c r="AI234" s="425">
        <f>'Key inputs_Refineries'!$C$185*10^3</f>
        <v>104.06880000000001</v>
      </c>
      <c r="AJ234" s="425">
        <f>'Key inputs_Refineries'!$C$185*10^3</f>
        <v>104.06880000000001</v>
      </c>
      <c r="AK234" s="425">
        <f>'Key inputs_Refineries'!$C$185*10^3</f>
        <v>104.06880000000001</v>
      </c>
      <c r="AL234" s="425">
        <f>'Key inputs_Refineries'!$C$185*10^3</f>
        <v>104.06880000000001</v>
      </c>
      <c r="AN234" s="4"/>
      <c r="AQ234" s="4"/>
      <c r="AR234" s="4"/>
      <c r="AS234" s="4"/>
      <c r="AT234" s="4"/>
      <c r="AU234" s="4"/>
    </row>
    <row r="235" spans="1:47">
      <c r="G235" s="4" t="s">
        <v>689</v>
      </c>
      <c r="H235" s="4"/>
      <c r="I235" s="4"/>
      <c r="J235" s="4" t="s">
        <v>2663</v>
      </c>
      <c r="K235" s="425">
        <f>'Key inputs_Refineries'!$D$185*10^3</f>
        <v>0.94608000000000003</v>
      </c>
      <c r="L235" s="425">
        <f>'Key inputs_Refineries'!$D$185*10^3</f>
        <v>0.94608000000000003</v>
      </c>
      <c r="M235" s="425">
        <f>'Key inputs_Refineries'!$D$185*10^3</f>
        <v>0.94608000000000003</v>
      </c>
      <c r="N235" s="425">
        <f>'Key inputs_Refineries'!$D$185*10^3</f>
        <v>0.94608000000000003</v>
      </c>
      <c r="O235" s="425">
        <f>'Key inputs_Refineries'!$D$185*10^3</f>
        <v>0.94608000000000003</v>
      </c>
      <c r="P235" s="425">
        <f>'Key inputs_Refineries'!$D$185*10^3</f>
        <v>0.94608000000000003</v>
      </c>
      <c r="Q235" s="425">
        <f>'Key inputs_Refineries'!$D$185*10^3</f>
        <v>0.94608000000000003</v>
      </c>
      <c r="R235" s="425">
        <f>'Key inputs_Refineries'!$D$185*10^3</f>
        <v>0.94608000000000003</v>
      </c>
      <c r="S235" s="425">
        <f>'Key inputs_Refineries'!$D$185*10^3</f>
        <v>0.94608000000000003</v>
      </c>
      <c r="T235" s="425">
        <f>'Key inputs_Refineries'!$D$185*10^3</f>
        <v>0.94608000000000003</v>
      </c>
      <c r="U235" s="425">
        <f>'Key inputs_Refineries'!$D$185*10^3</f>
        <v>0.94608000000000003</v>
      </c>
      <c r="V235" s="425">
        <f>'Key inputs_Refineries'!$D$185*10^3</f>
        <v>0.94608000000000003</v>
      </c>
      <c r="W235" s="425">
        <f>'Key inputs_Refineries'!$D$185*10^3</f>
        <v>0.94608000000000003</v>
      </c>
      <c r="X235" s="425">
        <f>'Key inputs_Refineries'!$D$185*10^3</f>
        <v>0.94608000000000003</v>
      </c>
      <c r="Y235" s="425">
        <f>'Key inputs_Refineries'!$D$185*10^3</f>
        <v>0.94608000000000003</v>
      </c>
      <c r="Z235" s="425">
        <f>'Key inputs_Refineries'!$D$185*10^3</f>
        <v>0.94608000000000003</v>
      </c>
      <c r="AA235" s="425">
        <f>'Key inputs_Refineries'!$D$185*10^3</f>
        <v>0.94608000000000003</v>
      </c>
      <c r="AB235" s="425">
        <f>'Key inputs_Refineries'!$D$185*10^3</f>
        <v>0.94608000000000003</v>
      </c>
      <c r="AC235" s="425">
        <f>'Key inputs_Refineries'!$D$185*10^3</f>
        <v>0.94608000000000003</v>
      </c>
      <c r="AD235" s="425">
        <f>'Key inputs_Refineries'!$D$185*10^3</f>
        <v>0.94608000000000003</v>
      </c>
      <c r="AE235" s="425">
        <f>'Key inputs_Refineries'!$D$185*10^3</f>
        <v>0.94608000000000003</v>
      </c>
      <c r="AF235" s="425">
        <f>'Key inputs_Refineries'!$D$185*10^3</f>
        <v>0.94608000000000003</v>
      </c>
      <c r="AG235" s="425">
        <f>'Key inputs_Refineries'!$D$185*10^3</f>
        <v>0.94608000000000003</v>
      </c>
      <c r="AH235" s="425">
        <f>'Key inputs_Refineries'!$D$185*10^3</f>
        <v>0.94608000000000003</v>
      </c>
      <c r="AI235" s="425">
        <f>'Key inputs_Refineries'!$D$185*10^3</f>
        <v>0.94608000000000003</v>
      </c>
      <c r="AJ235" s="425">
        <f>'Key inputs_Refineries'!$D$185*10^3</f>
        <v>0.94608000000000003</v>
      </c>
      <c r="AK235" s="425">
        <f>'Key inputs_Refineries'!$D$185*10^3</f>
        <v>0.94608000000000003</v>
      </c>
      <c r="AL235" s="425">
        <f>'Key inputs_Refineries'!$D$185*10^3</f>
        <v>0.94608000000000003</v>
      </c>
      <c r="AN235" s="4"/>
      <c r="AQ235" s="4"/>
      <c r="AR235" s="4"/>
      <c r="AS235" s="4"/>
      <c r="AT235" s="4"/>
      <c r="AU235" s="4"/>
    </row>
    <row r="236" spans="1:47">
      <c r="G236" s="4" t="s">
        <v>675</v>
      </c>
      <c r="H236" s="4"/>
      <c r="I236" s="4"/>
      <c r="J236" s="4" t="s">
        <v>2662</v>
      </c>
      <c r="K236" s="338"/>
      <c r="L236" s="338"/>
      <c r="M236" s="338"/>
      <c r="N236" s="338"/>
      <c r="O236" s="338"/>
      <c r="P236" s="338"/>
      <c r="Q236" s="338"/>
      <c r="R236" s="338"/>
      <c r="S236" s="338"/>
      <c r="T236" s="338"/>
      <c r="U236" s="338"/>
      <c r="V236" s="338"/>
      <c r="W236" s="338"/>
      <c r="X236" s="338"/>
      <c r="Y236" s="338"/>
      <c r="Z236" s="338"/>
      <c r="AA236" s="338"/>
      <c r="AB236" s="338"/>
      <c r="AC236" s="338"/>
      <c r="AD236" s="338"/>
      <c r="AE236" s="338"/>
      <c r="AF236" s="338"/>
      <c r="AG236" s="338"/>
      <c r="AH236" s="338"/>
      <c r="AI236" s="338"/>
      <c r="AJ236" s="338"/>
      <c r="AK236" s="338"/>
      <c r="AL236" s="338"/>
      <c r="AN236" s="4"/>
      <c r="AQ236" s="4"/>
      <c r="AR236" s="4"/>
      <c r="AS236" s="4"/>
      <c r="AT236" s="4"/>
      <c r="AU236" s="4"/>
    </row>
    <row r="237" spans="1:47">
      <c r="G237" s="4" t="s">
        <v>630</v>
      </c>
      <c r="H237" s="4"/>
      <c r="I237" s="4"/>
      <c r="J237" s="4" t="s">
        <v>2666</v>
      </c>
      <c r="K237" s="425">
        <f>'Key inputs_Refineries'!$H$185</f>
        <v>0.8</v>
      </c>
      <c r="L237" s="425">
        <f>'Key inputs_Refineries'!$H$185</f>
        <v>0.8</v>
      </c>
      <c r="M237" s="425">
        <f>'Key inputs_Refineries'!$H$185</f>
        <v>0.8</v>
      </c>
      <c r="N237" s="425">
        <f>'Key inputs_Refineries'!$H$185</f>
        <v>0.8</v>
      </c>
      <c r="O237" s="425">
        <f>'Key inputs_Refineries'!$H$185</f>
        <v>0.8</v>
      </c>
      <c r="P237" s="425">
        <f>'Key inputs_Refineries'!$H$185</f>
        <v>0.8</v>
      </c>
      <c r="Q237" s="425">
        <f>'Key inputs_Refineries'!$H$185</f>
        <v>0.8</v>
      </c>
      <c r="R237" s="425">
        <f>'Key inputs_Refineries'!$H$185</f>
        <v>0.8</v>
      </c>
      <c r="S237" s="425">
        <f>'Key inputs_Refineries'!$H$185</f>
        <v>0.8</v>
      </c>
      <c r="T237" s="425">
        <f>'Key inputs_Refineries'!$H$185</f>
        <v>0.8</v>
      </c>
      <c r="U237" s="425">
        <f>'Key inputs_Refineries'!$H$185</f>
        <v>0.8</v>
      </c>
      <c r="V237" s="425">
        <f>'Key inputs_Refineries'!$H$185</f>
        <v>0.8</v>
      </c>
      <c r="W237" s="425">
        <f>'Key inputs_Refineries'!$H$185</f>
        <v>0.8</v>
      </c>
      <c r="X237" s="425">
        <f>'Key inputs_Refineries'!$H$185</f>
        <v>0.8</v>
      </c>
      <c r="Y237" s="425">
        <f>'Key inputs_Refineries'!$H$185</f>
        <v>0.8</v>
      </c>
      <c r="Z237" s="425">
        <f>'Key inputs_Refineries'!$H$185</f>
        <v>0.8</v>
      </c>
      <c r="AA237" s="425">
        <f>'Key inputs_Refineries'!$H$185</f>
        <v>0.8</v>
      </c>
      <c r="AB237" s="425">
        <f>'Key inputs_Refineries'!$H$185</f>
        <v>0.8</v>
      </c>
      <c r="AC237" s="425">
        <f>'Key inputs_Refineries'!$H$185</f>
        <v>0.8</v>
      </c>
      <c r="AD237" s="425">
        <f>'Key inputs_Refineries'!$H$185</f>
        <v>0.8</v>
      </c>
      <c r="AE237" s="425">
        <f>'Key inputs_Refineries'!$H$185</f>
        <v>0.8</v>
      </c>
      <c r="AF237" s="425">
        <f>'Key inputs_Refineries'!$H$185</f>
        <v>0.8</v>
      </c>
      <c r="AG237" s="425">
        <f>'Key inputs_Refineries'!$H$185</f>
        <v>0.8</v>
      </c>
      <c r="AH237" s="425">
        <f>'Key inputs_Refineries'!$H$185</f>
        <v>0.8</v>
      </c>
      <c r="AI237" s="425">
        <f>'Key inputs_Refineries'!$H$185</f>
        <v>0.8</v>
      </c>
      <c r="AJ237" s="425">
        <f>'Key inputs_Refineries'!$H$185</f>
        <v>0.8</v>
      </c>
      <c r="AK237" s="425">
        <f>'Key inputs_Refineries'!$H$185</f>
        <v>0.8</v>
      </c>
      <c r="AL237" s="425">
        <f>'Key inputs_Refineries'!$H$185</f>
        <v>0.8</v>
      </c>
      <c r="AN237" s="4"/>
      <c r="AQ237" s="4"/>
      <c r="AR237" s="4"/>
      <c r="AS237" s="4"/>
      <c r="AT237" s="4"/>
      <c r="AU237" s="4"/>
    </row>
    <row r="238" spans="1:47">
      <c r="C238" t="str">
        <f>Commodities!$C$80</f>
        <v>UPSBDL</v>
      </c>
      <c r="G238" s="4" t="s">
        <v>702</v>
      </c>
      <c r="H238" t="s">
        <v>661</v>
      </c>
      <c r="I238">
        <v>2019</v>
      </c>
      <c r="J238" t="s">
        <v>650</v>
      </c>
      <c r="K238" s="173" cm="1">
        <f t="array" ref="K238">IFERROR(IF(AND(SUMIFS('Key inputs_Refineries'!E$85:E$164,'Key inputs_Refineries'!$C$85:$C$164,$C238,'Key inputs_Refineries'!$B$85:$B$164,"Boiler")/SUM(SUMIFS('Key inputs_Refineries'!E$85:E$164,'Key inputs_Refineries'!$C$85:$C$164,$C238:$C247,'Key inputs_Refineries'!$B$85:$B$164,"Boiler"))&gt;0,SUMIFS('Key inputs_Refineries'!E$85:E$164,'Key inputs_Refineries'!$C$85:$C$164,$C238,'Key inputs_Refineries'!$B$85:$B$164,"Boiler")/SUM(SUMIFS('Key inputs_Refineries'!E$85:E$164,'Key inputs_Refineries'!$C$85:$C$164,$C238:$C247,'Key inputs_Refineries'!$B$85:$B$164,"Boiler"))&lt;0.001),0.001,SUMIFS('Key inputs_Refineries'!E$85:E$164,'Key inputs_Refineries'!$C$85:$C$164,$C238,'Key inputs_Refineries'!$B$85:$B$164,"Boiler")/SUM(SUMIFS('Key inputs_Refineries'!E$85:E$164,'Key inputs_Refineries'!$C$85:$C$164,$C238:$C247,'Key inputs_Refineries'!$B$85:$B$164,"Boiler"))),0)</f>
        <v>0</v>
      </c>
      <c r="L238" s="173" cm="1">
        <f t="array" ref="L238">IFERROR(IF(AND(SUMIFS('Key inputs_Refineries'!F$85:F$164,'Key inputs_Refineries'!$C$85:$C$164,$C238,'Key inputs_Refineries'!$B$85:$B$164,"Boiler")/SUM(SUMIFS('Key inputs_Refineries'!F$85:F$164,'Key inputs_Refineries'!$C$85:$C$164,$C238:$C247,'Key inputs_Refineries'!$B$85:$B$164,"Boiler"))&gt;0,SUMIFS('Key inputs_Refineries'!F$85:F$164,'Key inputs_Refineries'!$C$85:$C$164,$C238,'Key inputs_Refineries'!$B$85:$B$164,"Boiler")/SUM(SUMIFS('Key inputs_Refineries'!F$85:F$164,'Key inputs_Refineries'!$C$85:$C$164,$C238:$C247,'Key inputs_Refineries'!$B$85:$B$164,"Boiler"))&lt;0.001),0.001,SUMIFS('Key inputs_Refineries'!F$85:F$164,'Key inputs_Refineries'!$C$85:$C$164,$C238,'Key inputs_Refineries'!$B$85:$B$164,"Boiler")/SUM(SUMIFS('Key inputs_Refineries'!F$85:F$164,'Key inputs_Refineries'!$C$85:$C$164,$C238:$C247,'Key inputs_Refineries'!$B$85:$B$164,"Boiler"))),0)</f>
        <v>0</v>
      </c>
      <c r="M238" s="173" cm="1">
        <f t="array" ref="M238">IFERROR(IF(AND(SUMIFS('Key inputs_Refineries'!G$85:G$164,'Key inputs_Refineries'!$C$85:$C$164,$C238,'Key inputs_Refineries'!$B$85:$B$164,"Boiler")/SUM(SUMIFS('Key inputs_Refineries'!G$85:G$164,'Key inputs_Refineries'!$C$85:$C$164,$C238:$C247,'Key inputs_Refineries'!$B$85:$B$164,"Boiler"))&gt;0,SUMIFS('Key inputs_Refineries'!G$85:G$164,'Key inputs_Refineries'!$C$85:$C$164,$C238,'Key inputs_Refineries'!$B$85:$B$164,"Boiler")/SUM(SUMIFS('Key inputs_Refineries'!G$85:G$164,'Key inputs_Refineries'!$C$85:$C$164,$C238:$C247,'Key inputs_Refineries'!$B$85:$B$164,"Boiler"))&lt;0.001),0.001,SUMIFS('Key inputs_Refineries'!G$85:G$164,'Key inputs_Refineries'!$C$85:$C$164,$C238,'Key inputs_Refineries'!$B$85:$B$164,"Boiler")/SUM(SUMIFS('Key inputs_Refineries'!G$85:G$164,'Key inputs_Refineries'!$C$85:$C$164,$C238:$C247,'Key inputs_Refineries'!$B$85:$B$164,"Boiler"))),0)</f>
        <v>0</v>
      </c>
      <c r="N238" s="173" cm="1">
        <f t="array" ref="N238">IFERROR(IF(AND(SUMIFS('Key inputs_Refineries'!H$85:H$164,'Key inputs_Refineries'!$C$85:$C$164,$C238,'Key inputs_Refineries'!$B$85:$B$164,"Boiler")/SUM(SUMIFS('Key inputs_Refineries'!H$85:H$164,'Key inputs_Refineries'!$C$85:$C$164,$C238:$C247,'Key inputs_Refineries'!$B$85:$B$164,"Boiler"))&gt;0,SUMIFS('Key inputs_Refineries'!H$85:H$164,'Key inputs_Refineries'!$C$85:$C$164,$C238,'Key inputs_Refineries'!$B$85:$B$164,"Boiler")/SUM(SUMIFS('Key inputs_Refineries'!H$85:H$164,'Key inputs_Refineries'!$C$85:$C$164,$C238:$C247,'Key inputs_Refineries'!$B$85:$B$164,"Boiler"))&lt;0.001),0.001,SUMIFS('Key inputs_Refineries'!H$85:H$164,'Key inputs_Refineries'!$C$85:$C$164,$C238,'Key inputs_Refineries'!$B$85:$B$164,"Boiler")/SUM(SUMIFS('Key inputs_Refineries'!H$85:H$164,'Key inputs_Refineries'!$C$85:$C$164,$C238:$C247,'Key inputs_Refineries'!$B$85:$B$164,"Boiler"))),0)</f>
        <v>0</v>
      </c>
      <c r="O238" s="173" cm="1">
        <f t="array" ref="O238">IFERROR(IF(AND(SUMIFS('Key inputs_Refineries'!I$85:I$164,'Key inputs_Refineries'!$C$85:$C$164,$C238,'Key inputs_Refineries'!$B$85:$B$164,"Boiler")/SUM(SUMIFS('Key inputs_Refineries'!I$85:I$164,'Key inputs_Refineries'!$C$85:$C$164,$C238:$C247,'Key inputs_Refineries'!$B$85:$B$164,"Boiler"))&gt;0,SUMIFS('Key inputs_Refineries'!I$85:I$164,'Key inputs_Refineries'!$C$85:$C$164,$C238,'Key inputs_Refineries'!$B$85:$B$164,"Boiler")/SUM(SUMIFS('Key inputs_Refineries'!I$85:I$164,'Key inputs_Refineries'!$C$85:$C$164,$C238:$C247,'Key inputs_Refineries'!$B$85:$B$164,"Boiler"))&lt;0.001),0.001,SUMIFS('Key inputs_Refineries'!I$85:I$164,'Key inputs_Refineries'!$C$85:$C$164,$C238,'Key inputs_Refineries'!$B$85:$B$164,"Boiler")/SUM(SUMIFS('Key inputs_Refineries'!I$85:I$164,'Key inputs_Refineries'!$C$85:$C$164,$C238:$C247,'Key inputs_Refineries'!$B$85:$B$164,"Boiler"))),0)</f>
        <v>0</v>
      </c>
      <c r="P238" s="173" cm="1">
        <f t="array" ref="P238">IFERROR(IF(AND(SUMIFS('Key inputs_Refineries'!J$85:J$164,'Key inputs_Refineries'!$C$85:$C$164,$C238,'Key inputs_Refineries'!$B$85:$B$164,"Boiler")/SUM(SUMIFS('Key inputs_Refineries'!J$85:J$164,'Key inputs_Refineries'!$C$85:$C$164,$C238:$C247,'Key inputs_Refineries'!$B$85:$B$164,"Boiler"))&gt;0,SUMIFS('Key inputs_Refineries'!J$85:J$164,'Key inputs_Refineries'!$C$85:$C$164,$C238,'Key inputs_Refineries'!$B$85:$B$164,"Boiler")/SUM(SUMIFS('Key inputs_Refineries'!J$85:J$164,'Key inputs_Refineries'!$C$85:$C$164,$C238:$C247,'Key inputs_Refineries'!$B$85:$B$164,"Boiler"))&lt;0.001),0.001,SUMIFS('Key inputs_Refineries'!J$85:J$164,'Key inputs_Refineries'!$C$85:$C$164,$C238,'Key inputs_Refineries'!$B$85:$B$164,"Boiler")/SUM(SUMIFS('Key inputs_Refineries'!J$85:J$164,'Key inputs_Refineries'!$C$85:$C$164,$C238:$C247,'Key inputs_Refineries'!$B$85:$B$164,"Boiler"))),0)</f>
        <v>0</v>
      </c>
      <c r="Q238" s="173" cm="1">
        <f t="array" ref="Q238">IFERROR(IF(AND(SUMIFS('Key inputs_Refineries'!K$85:K$164,'Key inputs_Refineries'!$C$85:$C$164,$C238,'Key inputs_Refineries'!$B$85:$B$164,"Boiler")/SUM(SUMIFS('Key inputs_Refineries'!K$85:K$164,'Key inputs_Refineries'!$C$85:$C$164,$C238:$C247,'Key inputs_Refineries'!$B$85:$B$164,"Boiler"))&gt;0,SUMIFS('Key inputs_Refineries'!K$85:K$164,'Key inputs_Refineries'!$C$85:$C$164,$C238,'Key inputs_Refineries'!$B$85:$B$164,"Boiler")/SUM(SUMIFS('Key inputs_Refineries'!K$85:K$164,'Key inputs_Refineries'!$C$85:$C$164,$C238:$C247,'Key inputs_Refineries'!$B$85:$B$164,"Boiler"))&lt;0.001),0.001,SUMIFS('Key inputs_Refineries'!K$85:K$164,'Key inputs_Refineries'!$C$85:$C$164,$C238,'Key inputs_Refineries'!$B$85:$B$164,"Boiler")/SUM(SUMIFS('Key inputs_Refineries'!K$85:K$164,'Key inputs_Refineries'!$C$85:$C$164,$C238:$C247,'Key inputs_Refineries'!$B$85:$B$164,"Boiler"))),0)</f>
        <v>0</v>
      </c>
      <c r="R238" s="173" cm="1">
        <f t="array" ref="R238">IFERROR(IF(AND(SUMIFS('Key inputs_Refineries'!L$85:L$164,'Key inputs_Refineries'!$C$85:$C$164,$C238,'Key inputs_Refineries'!$B$85:$B$164,"Boiler")/SUM(SUMIFS('Key inputs_Refineries'!L$85:L$164,'Key inputs_Refineries'!$C$85:$C$164,$C238:$C247,'Key inputs_Refineries'!$B$85:$B$164,"Boiler"))&gt;0,SUMIFS('Key inputs_Refineries'!L$85:L$164,'Key inputs_Refineries'!$C$85:$C$164,$C238,'Key inputs_Refineries'!$B$85:$B$164,"Boiler")/SUM(SUMIFS('Key inputs_Refineries'!L$85:L$164,'Key inputs_Refineries'!$C$85:$C$164,$C238:$C247,'Key inputs_Refineries'!$B$85:$B$164,"Boiler"))&lt;0.001),0.001,SUMIFS('Key inputs_Refineries'!L$85:L$164,'Key inputs_Refineries'!$C$85:$C$164,$C238,'Key inputs_Refineries'!$B$85:$B$164,"Boiler")/SUM(SUMIFS('Key inputs_Refineries'!L$85:L$164,'Key inputs_Refineries'!$C$85:$C$164,$C238:$C247,'Key inputs_Refineries'!$B$85:$B$164,"Boiler"))),0)</f>
        <v>0</v>
      </c>
      <c r="S238" s="173" cm="1">
        <f t="array" ref="S238">IFERROR(IF(AND(SUMIFS('Key inputs_Refineries'!M$85:M$164,'Key inputs_Refineries'!$C$85:$C$164,$C238,'Key inputs_Refineries'!$B$85:$B$164,"Boiler")/SUM(SUMIFS('Key inputs_Refineries'!M$85:M$164,'Key inputs_Refineries'!$C$85:$C$164,$C238:$C247,'Key inputs_Refineries'!$B$85:$B$164,"Boiler"))&gt;0,SUMIFS('Key inputs_Refineries'!M$85:M$164,'Key inputs_Refineries'!$C$85:$C$164,$C238,'Key inputs_Refineries'!$B$85:$B$164,"Boiler")/SUM(SUMIFS('Key inputs_Refineries'!M$85:M$164,'Key inputs_Refineries'!$C$85:$C$164,$C238:$C247,'Key inputs_Refineries'!$B$85:$B$164,"Boiler"))&lt;0.001),0.001,SUMIFS('Key inputs_Refineries'!M$85:M$164,'Key inputs_Refineries'!$C$85:$C$164,$C238,'Key inputs_Refineries'!$B$85:$B$164,"Boiler")/SUM(SUMIFS('Key inputs_Refineries'!M$85:M$164,'Key inputs_Refineries'!$C$85:$C$164,$C238:$C247,'Key inputs_Refineries'!$B$85:$B$164,"Boiler"))),0)</f>
        <v>0</v>
      </c>
      <c r="T238" s="173" cm="1">
        <f t="array" ref="T238">IFERROR(IF(AND(SUMIFS('Key inputs_Refineries'!N$85:N$164,'Key inputs_Refineries'!$C$85:$C$164,$C238,'Key inputs_Refineries'!$B$85:$B$164,"Boiler")/SUM(SUMIFS('Key inputs_Refineries'!N$85:N$164,'Key inputs_Refineries'!$C$85:$C$164,$C238:$C247,'Key inputs_Refineries'!$B$85:$B$164,"Boiler"))&gt;0,SUMIFS('Key inputs_Refineries'!N$85:N$164,'Key inputs_Refineries'!$C$85:$C$164,$C238,'Key inputs_Refineries'!$B$85:$B$164,"Boiler")/SUM(SUMIFS('Key inputs_Refineries'!N$85:N$164,'Key inputs_Refineries'!$C$85:$C$164,$C238:$C247,'Key inputs_Refineries'!$B$85:$B$164,"Boiler"))&lt;0.001),0.001,SUMIFS('Key inputs_Refineries'!N$85:N$164,'Key inputs_Refineries'!$C$85:$C$164,$C238,'Key inputs_Refineries'!$B$85:$B$164,"Boiler")/SUM(SUMIFS('Key inputs_Refineries'!N$85:N$164,'Key inputs_Refineries'!$C$85:$C$164,$C238:$C247,'Key inputs_Refineries'!$B$85:$B$164,"Boiler"))),0)</f>
        <v>0</v>
      </c>
      <c r="U238" s="173" cm="1">
        <f t="array" ref="U238">IFERROR(IF(AND(SUMIFS('Key inputs_Refineries'!O$85:O$164,'Key inputs_Refineries'!$C$85:$C$164,$C238,'Key inputs_Refineries'!$B$85:$B$164,"Boiler")/SUM(SUMIFS('Key inputs_Refineries'!O$85:O$164,'Key inputs_Refineries'!$C$85:$C$164,$C238:$C247,'Key inputs_Refineries'!$B$85:$B$164,"Boiler"))&gt;0,SUMIFS('Key inputs_Refineries'!O$85:O$164,'Key inputs_Refineries'!$C$85:$C$164,$C238,'Key inputs_Refineries'!$B$85:$B$164,"Boiler")/SUM(SUMIFS('Key inputs_Refineries'!O$85:O$164,'Key inputs_Refineries'!$C$85:$C$164,$C238:$C247,'Key inputs_Refineries'!$B$85:$B$164,"Boiler"))&lt;0.001),0.001,SUMIFS('Key inputs_Refineries'!O$85:O$164,'Key inputs_Refineries'!$C$85:$C$164,$C238,'Key inputs_Refineries'!$B$85:$B$164,"Boiler")/SUM(SUMIFS('Key inputs_Refineries'!O$85:O$164,'Key inputs_Refineries'!$C$85:$C$164,$C238:$C247,'Key inputs_Refineries'!$B$85:$B$164,"Boiler"))),0)</f>
        <v>0</v>
      </c>
      <c r="V238" s="173" cm="1">
        <f t="array" ref="V238">IFERROR(IF(AND(SUMIFS('Key inputs_Refineries'!P$85:P$164,'Key inputs_Refineries'!$C$85:$C$164,$C238,'Key inputs_Refineries'!$B$85:$B$164,"Boiler")/SUM(SUMIFS('Key inputs_Refineries'!P$85:P$164,'Key inputs_Refineries'!$C$85:$C$164,$C238:$C247,'Key inputs_Refineries'!$B$85:$B$164,"Boiler"))&gt;0,SUMIFS('Key inputs_Refineries'!P$85:P$164,'Key inputs_Refineries'!$C$85:$C$164,$C238,'Key inputs_Refineries'!$B$85:$B$164,"Boiler")/SUM(SUMIFS('Key inputs_Refineries'!P$85:P$164,'Key inputs_Refineries'!$C$85:$C$164,$C238:$C247,'Key inputs_Refineries'!$B$85:$B$164,"Boiler"))&lt;0.001),0.001,SUMIFS('Key inputs_Refineries'!P$85:P$164,'Key inputs_Refineries'!$C$85:$C$164,$C238,'Key inputs_Refineries'!$B$85:$B$164,"Boiler")/SUM(SUMIFS('Key inputs_Refineries'!P$85:P$164,'Key inputs_Refineries'!$C$85:$C$164,$C238:$C247,'Key inputs_Refineries'!$B$85:$B$164,"Boiler"))),0)</f>
        <v>0</v>
      </c>
      <c r="W238" s="173" cm="1">
        <f t="array" ref="W238">IFERROR(IF(AND(SUMIFS('Key inputs_Refineries'!Q$85:Q$164,'Key inputs_Refineries'!$C$85:$C$164,$C238,'Key inputs_Refineries'!$B$85:$B$164,"Boiler")/SUM(SUMIFS('Key inputs_Refineries'!Q$85:Q$164,'Key inputs_Refineries'!$C$85:$C$164,$C238:$C247,'Key inputs_Refineries'!$B$85:$B$164,"Boiler"))&gt;0,SUMIFS('Key inputs_Refineries'!Q$85:Q$164,'Key inputs_Refineries'!$C$85:$C$164,$C238,'Key inputs_Refineries'!$B$85:$B$164,"Boiler")/SUM(SUMIFS('Key inputs_Refineries'!Q$85:Q$164,'Key inputs_Refineries'!$C$85:$C$164,$C238:$C247,'Key inputs_Refineries'!$B$85:$B$164,"Boiler"))&lt;0.001),0.001,SUMIFS('Key inputs_Refineries'!Q$85:Q$164,'Key inputs_Refineries'!$C$85:$C$164,$C238,'Key inputs_Refineries'!$B$85:$B$164,"Boiler")/SUM(SUMIFS('Key inputs_Refineries'!Q$85:Q$164,'Key inputs_Refineries'!$C$85:$C$164,$C238:$C247,'Key inputs_Refineries'!$B$85:$B$164,"Boiler"))),0)</f>
        <v>0</v>
      </c>
      <c r="X238" s="173" cm="1">
        <f t="array" ref="X238">IFERROR(IF(AND(SUMIFS('Key inputs_Refineries'!R$85:R$164,'Key inputs_Refineries'!$C$85:$C$164,$C238,'Key inputs_Refineries'!$B$85:$B$164,"Boiler")/SUM(SUMIFS('Key inputs_Refineries'!R$85:R$164,'Key inputs_Refineries'!$C$85:$C$164,$C238:$C247,'Key inputs_Refineries'!$B$85:$B$164,"Boiler"))&gt;0,SUMIFS('Key inputs_Refineries'!R$85:R$164,'Key inputs_Refineries'!$C$85:$C$164,$C238,'Key inputs_Refineries'!$B$85:$B$164,"Boiler")/SUM(SUMIFS('Key inputs_Refineries'!R$85:R$164,'Key inputs_Refineries'!$C$85:$C$164,$C238:$C247,'Key inputs_Refineries'!$B$85:$B$164,"Boiler"))&lt;0.001),0.001,SUMIFS('Key inputs_Refineries'!R$85:R$164,'Key inputs_Refineries'!$C$85:$C$164,$C238,'Key inputs_Refineries'!$B$85:$B$164,"Boiler")/SUM(SUMIFS('Key inputs_Refineries'!R$85:R$164,'Key inputs_Refineries'!$C$85:$C$164,$C238:$C247,'Key inputs_Refineries'!$B$85:$B$164,"Boiler"))),0)</f>
        <v>0</v>
      </c>
      <c r="Y238" s="173" cm="1">
        <f t="array" ref="Y238">IFERROR(IF(AND(SUMIFS('Key inputs_Refineries'!S$85:S$164,'Key inputs_Refineries'!$C$85:$C$164,$C238,'Key inputs_Refineries'!$B$85:$B$164,"Boiler")/SUM(SUMIFS('Key inputs_Refineries'!S$85:S$164,'Key inputs_Refineries'!$C$85:$C$164,$C238:$C247,'Key inputs_Refineries'!$B$85:$B$164,"Boiler"))&gt;0,SUMIFS('Key inputs_Refineries'!S$85:S$164,'Key inputs_Refineries'!$C$85:$C$164,$C238,'Key inputs_Refineries'!$B$85:$B$164,"Boiler")/SUM(SUMIFS('Key inputs_Refineries'!S$85:S$164,'Key inputs_Refineries'!$C$85:$C$164,$C238:$C247,'Key inputs_Refineries'!$B$85:$B$164,"Boiler"))&lt;0.001),0.001,SUMIFS('Key inputs_Refineries'!S$85:S$164,'Key inputs_Refineries'!$C$85:$C$164,$C238,'Key inputs_Refineries'!$B$85:$B$164,"Boiler")/SUM(SUMIFS('Key inputs_Refineries'!S$85:S$164,'Key inputs_Refineries'!$C$85:$C$164,$C238:$C247,'Key inputs_Refineries'!$B$85:$B$164,"Boiler"))),0)</f>
        <v>0</v>
      </c>
      <c r="Z238" s="173" cm="1">
        <f t="array" ref="Z238">IFERROR(IF(AND(SUMIFS('Key inputs_Refineries'!T$85:T$164,'Key inputs_Refineries'!$C$85:$C$164,$C238,'Key inputs_Refineries'!$B$85:$B$164,"Boiler")/SUM(SUMIFS('Key inputs_Refineries'!T$85:T$164,'Key inputs_Refineries'!$C$85:$C$164,$C238:$C247,'Key inputs_Refineries'!$B$85:$B$164,"Boiler"))&gt;0,SUMIFS('Key inputs_Refineries'!T$85:T$164,'Key inputs_Refineries'!$C$85:$C$164,$C238,'Key inputs_Refineries'!$B$85:$B$164,"Boiler")/SUM(SUMIFS('Key inputs_Refineries'!T$85:T$164,'Key inputs_Refineries'!$C$85:$C$164,$C238:$C247,'Key inputs_Refineries'!$B$85:$B$164,"Boiler"))&lt;0.001),0.001,SUMIFS('Key inputs_Refineries'!T$85:T$164,'Key inputs_Refineries'!$C$85:$C$164,$C238,'Key inputs_Refineries'!$B$85:$B$164,"Boiler")/SUM(SUMIFS('Key inputs_Refineries'!T$85:T$164,'Key inputs_Refineries'!$C$85:$C$164,$C238:$C247,'Key inputs_Refineries'!$B$85:$B$164,"Boiler"))),0)</f>
        <v>0</v>
      </c>
      <c r="AA238" s="173" cm="1">
        <f t="array" ref="AA238">IFERROR(IF(AND(SUMIFS('Key inputs_Refineries'!U$85:U$164,'Key inputs_Refineries'!$C$85:$C$164,$C238,'Key inputs_Refineries'!$B$85:$B$164,"Boiler")/SUM(SUMIFS('Key inputs_Refineries'!U$85:U$164,'Key inputs_Refineries'!$C$85:$C$164,$C238:$C247,'Key inputs_Refineries'!$B$85:$B$164,"Boiler"))&gt;0,SUMIFS('Key inputs_Refineries'!U$85:U$164,'Key inputs_Refineries'!$C$85:$C$164,$C238,'Key inputs_Refineries'!$B$85:$B$164,"Boiler")/SUM(SUMIFS('Key inputs_Refineries'!U$85:U$164,'Key inputs_Refineries'!$C$85:$C$164,$C238:$C247,'Key inputs_Refineries'!$B$85:$B$164,"Boiler"))&lt;0.001),0.001,SUMIFS('Key inputs_Refineries'!U$85:U$164,'Key inputs_Refineries'!$C$85:$C$164,$C238,'Key inputs_Refineries'!$B$85:$B$164,"Boiler")/SUM(SUMIFS('Key inputs_Refineries'!U$85:U$164,'Key inputs_Refineries'!$C$85:$C$164,$C238:$C247,'Key inputs_Refineries'!$B$85:$B$164,"Boiler"))),0)</f>
        <v>1.2510132868886106E-3</v>
      </c>
      <c r="AB238" s="173" cm="1">
        <f t="array" ref="AB238">IFERROR(IF(AND(SUMIFS('Key inputs_Refineries'!V$85:V$164,'Key inputs_Refineries'!$C$85:$C$164,$C238,'Key inputs_Refineries'!$B$85:$B$164,"Boiler")/SUM(SUMIFS('Key inputs_Refineries'!V$85:V$164,'Key inputs_Refineries'!$C$85:$C$164,$C238:$C247,'Key inputs_Refineries'!$B$85:$B$164,"Boiler"))&gt;0,SUMIFS('Key inputs_Refineries'!V$85:V$164,'Key inputs_Refineries'!$C$85:$C$164,$C238,'Key inputs_Refineries'!$B$85:$B$164,"Boiler")/SUM(SUMIFS('Key inputs_Refineries'!V$85:V$164,'Key inputs_Refineries'!$C$85:$C$164,$C238:$C247,'Key inputs_Refineries'!$B$85:$B$164,"Boiler"))&lt;0.001),0.001,SUMIFS('Key inputs_Refineries'!V$85:V$164,'Key inputs_Refineries'!$C$85:$C$164,$C238,'Key inputs_Refineries'!$B$85:$B$164,"Boiler")/SUM(SUMIFS('Key inputs_Refineries'!V$85:V$164,'Key inputs_Refineries'!$C$85:$C$164,$C238:$C247,'Key inputs_Refineries'!$B$85:$B$164,"Boiler"))),0)</f>
        <v>0</v>
      </c>
      <c r="AC238" s="173" cm="1">
        <f t="array" ref="AC238">IFERROR(IF(AND(SUMIFS('Key inputs_Refineries'!W$85:W$164,'Key inputs_Refineries'!$C$85:$C$164,$C238,'Key inputs_Refineries'!$B$85:$B$164,"Boiler")/SUM(SUMIFS('Key inputs_Refineries'!W$85:W$164,'Key inputs_Refineries'!$C$85:$C$164,$C238:$C247,'Key inputs_Refineries'!$B$85:$B$164,"Boiler"))&gt;0,SUMIFS('Key inputs_Refineries'!W$85:W$164,'Key inputs_Refineries'!$C$85:$C$164,$C238,'Key inputs_Refineries'!$B$85:$B$164,"Boiler")/SUM(SUMIFS('Key inputs_Refineries'!W$85:W$164,'Key inputs_Refineries'!$C$85:$C$164,$C238:$C247,'Key inputs_Refineries'!$B$85:$B$164,"Boiler"))&lt;0.001),0.001,SUMIFS('Key inputs_Refineries'!W$85:W$164,'Key inputs_Refineries'!$C$85:$C$164,$C238,'Key inputs_Refineries'!$B$85:$B$164,"Boiler")/SUM(SUMIFS('Key inputs_Refineries'!W$85:W$164,'Key inputs_Refineries'!$C$85:$C$164,$C238:$C247,'Key inputs_Refineries'!$B$85:$B$164,"Boiler"))),0)</f>
        <v>0</v>
      </c>
      <c r="AD238" s="173" cm="1">
        <f t="array" ref="AD238">IFERROR(IF(AND(SUMIFS('Key inputs_Refineries'!X$85:X$164,'Key inputs_Refineries'!$C$85:$C$164,$C238,'Key inputs_Refineries'!$B$85:$B$164,"Boiler")/SUM(SUMIFS('Key inputs_Refineries'!X$85:X$164,'Key inputs_Refineries'!$C$85:$C$164,$C238:$C247,'Key inputs_Refineries'!$B$85:$B$164,"Boiler"))&gt;0,SUMIFS('Key inputs_Refineries'!X$85:X$164,'Key inputs_Refineries'!$C$85:$C$164,$C238,'Key inputs_Refineries'!$B$85:$B$164,"Boiler")/SUM(SUMIFS('Key inputs_Refineries'!X$85:X$164,'Key inputs_Refineries'!$C$85:$C$164,$C238:$C247,'Key inputs_Refineries'!$B$85:$B$164,"Boiler"))&lt;0.001),0.001,SUMIFS('Key inputs_Refineries'!X$85:X$164,'Key inputs_Refineries'!$C$85:$C$164,$C238,'Key inputs_Refineries'!$B$85:$B$164,"Boiler")/SUM(SUMIFS('Key inputs_Refineries'!X$85:X$164,'Key inputs_Refineries'!$C$85:$C$164,$C238:$C247,'Key inputs_Refineries'!$B$85:$B$164,"Boiler"))),0)</f>
        <v>0</v>
      </c>
      <c r="AE238" s="173" cm="1">
        <f t="array" ref="AE238">IFERROR(IF(AND(SUMIFS('Key inputs_Refineries'!Y$85:Y$164,'Key inputs_Refineries'!$C$85:$C$164,$C238,'Key inputs_Refineries'!$B$85:$B$164,"Boiler")/SUM(SUMIFS('Key inputs_Refineries'!Y$85:Y$164,'Key inputs_Refineries'!$C$85:$C$164,$C238:$C247,'Key inputs_Refineries'!$B$85:$B$164,"Boiler"))&gt;0,SUMIFS('Key inputs_Refineries'!Y$85:Y$164,'Key inputs_Refineries'!$C$85:$C$164,$C238,'Key inputs_Refineries'!$B$85:$B$164,"Boiler")/SUM(SUMIFS('Key inputs_Refineries'!Y$85:Y$164,'Key inputs_Refineries'!$C$85:$C$164,$C238:$C247,'Key inputs_Refineries'!$B$85:$B$164,"Boiler"))&lt;0.001),0.001,SUMIFS('Key inputs_Refineries'!Y$85:Y$164,'Key inputs_Refineries'!$C$85:$C$164,$C238,'Key inputs_Refineries'!$B$85:$B$164,"Boiler")/SUM(SUMIFS('Key inputs_Refineries'!Y$85:Y$164,'Key inputs_Refineries'!$C$85:$C$164,$C238:$C247,'Key inputs_Refineries'!$B$85:$B$164,"Boiler"))),0)</f>
        <v>1E-3</v>
      </c>
      <c r="AF238" s="173" cm="1">
        <f t="array" ref="AF238">IFERROR(IF(AND(SUMIFS('Key inputs_Refineries'!Z$85:Z$164,'Key inputs_Refineries'!$C$85:$C$164,$C238,'Key inputs_Refineries'!$B$85:$B$164,"Boiler")/SUM(SUMIFS('Key inputs_Refineries'!Z$85:Z$164,'Key inputs_Refineries'!$C$85:$C$164,$C238:$C247,'Key inputs_Refineries'!$B$85:$B$164,"Boiler"))&gt;0,SUMIFS('Key inputs_Refineries'!Z$85:Z$164,'Key inputs_Refineries'!$C$85:$C$164,$C238,'Key inputs_Refineries'!$B$85:$B$164,"Boiler")/SUM(SUMIFS('Key inputs_Refineries'!Z$85:Z$164,'Key inputs_Refineries'!$C$85:$C$164,$C238:$C247,'Key inputs_Refineries'!$B$85:$B$164,"Boiler"))&lt;0.001),0.001,SUMIFS('Key inputs_Refineries'!Z$85:Z$164,'Key inputs_Refineries'!$C$85:$C$164,$C238,'Key inputs_Refineries'!$B$85:$B$164,"Boiler")/SUM(SUMIFS('Key inputs_Refineries'!Z$85:Z$164,'Key inputs_Refineries'!$C$85:$C$164,$C238:$C247,'Key inputs_Refineries'!$B$85:$B$164,"Boiler"))),0)</f>
        <v>0</v>
      </c>
      <c r="AG238" s="173" cm="1">
        <f t="array" ref="AG238">IFERROR(IF(AND(SUMIFS('Key inputs_Refineries'!AA$85:AA$164,'Key inputs_Refineries'!$C$85:$C$164,$C238,'Key inputs_Refineries'!$B$85:$B$164,"Boiler")/SUM(SUMIFS('Key inputs_Refineries'!AA$85:AA$164,'Key inputs_Refineries'!$C$85:$C$164,$C238:$C247,'Key inputs_Refineries'!$B$85:$B$164,"Boiler"))&gt;0,SUMIFS('Key inputs_Refineries'!AA$85:AA$164,'Key inputs_Refineries'!$C$85:$C$164,$C238,'Key inputs_Refineries'!$B$85:$B$164,"Boiler")/SUM(SUMIFS('Key inputs_Refineries'!AA$85:AA$164,'Key inputs_Refineries'!$C$85:$C$164,$C238:$C247,'Key inputs_Refineries'!$B$85:$B$164,"Boiler"))&lt;0.001),0.001,SUMIFS('Key inputs_Refineries'!AA$85:AA$164,'Key inputs_Refineries'!$C$85:$C$164,$C238,'Key inputs_Refineries'!$B$85:$B$164,"Boiler")/SUM(SUMIFS('Key inputs_Refineries'!AA$85:AA$164,'Key inputs_Refineries'!$C$85:$C$164,$C238:$C247,'Key inputs_Refineries'!$B$85:$B$164,"Boiler"))),0)</f>
        <v>0</v>
      </c>
      <c r="AH238" s="173" cm="1">
        <f t="array" ref="AH238">IFERROR(IF(AND(SUMIFS('Key inputs_Refineries'!AB$85:AB$164,'Key inputs_Refineries'!$C$85:$C$164,$C238,'Key inputs_Refineries'!$B$85:$B$164,"Boiler")/SUM(SUMIFS('Key inputs_Refineries'!AB$85:AB$164,'Key inputs_Refineries'!$C$85:$C$164,$C238:$C247,'Key inputs_Refineries'!$B$85:$B$164,"Boiler"))&gt;0,SUMIFS('Key inputs_Refineries'!AB$85:AB$164,'Key inputs_Refineries'!$C$85:$C$164,$C238,'Key inputs_Refineries'!$B$85:$B$164,"Boiler")/SUM(SUMIFS('Key inputs_Refineries'!AB$85:AB$164,'Key inputs_Refineries'!$C$85:$C$164,$C238:$C247,'Key inputs_Refineries'!$B$85:$B$164,"Boiler"))&lt;0.001),0.001,SUMIFS('Key inputs_Refineries'!AB$85:AB$164,'Key inputs_Refineries'!$C$85:$C$164,$C238,'Key inputs_Refineries'!$B$85:$B$164,"Boiler")/SUM(SUMIFS('Key inputs_Refineries'!AB$85:AB$164,'Key inputs_Refineries'!$C$85:$C$164,$C238:$C247,'Key inputs_Refineries'!$B$85:$B$164,"Boiler"))),0)</f>
        <v>0</v>
      </c>
      <c r="AI238" s="173" cm="1">
        <f t="array" ref="AI238">IFERROR(IF(AND(SUMIFS('Key inputs_Refineries'!AC$85:AC$164,'Key inputs_Refineries'!$C$85:$C$164,$C238,'Key inputs_Refineries'!$B$85:$B$164,"Boiler")/SUM(SUMIFS('Key inputs_Refineries'!AC$85:AC$164,'Key inputs_Refineries'!$C$85:$C$164,$C238:$C247,'Key inputs_Refineries'!$B$85:$B$164,"Boiler"))&gt;0,SUMIFS('Key inputs_Refineries'!AC$85:AC$164,'Key inputs_Refineries'!$C$85:$C$164,$C238,'Key inputs_Refineries'!$B$85:$B$164,"Boiler")/SUM(SUMIFS('Key inputs_Refineries'!AC$85:AC$164,'Key inputs_Refineries'!$C$85:$C$164,$C238:$C247,'Key inputs_Refineries'!$B$85:$B$164,"Boiler"))&lt;0.001),0.001,SUMIFS('Key inputs_Refineries'!AC$85:AC$164,'Key inputs_Refineries'!$C$85:$C$164,$C238,'Key inputs_Refineries'!$B$85:$B$164,"Boiler")/SUM(SUMIFS('Key inputs_Refineries'!AC$85:AC$164,'Key inputs_Refineries'!$C$85:$C$164,$C238:$C247,'Key inputs_Refineries'!$B$85:$B$164,"Boiler"))),0)</f>
        <v>0</v>
      </c>
      <c r="AJ238" s="173" cm="1">
        <f t="array" ref="AJ238">IFERROR(IF(AND(SUMIFS('Key inputs_Refineries'!AD$85:AD$164,'Key inputs_Refineries'!$C$85:$C$164,$C238,'Key inputs_Refineries'!$B$85:$B$164,"Boiler")/SUM(SUMIFS('Key inputs_Refineries'!AD$85:AD$164,'Key inputs_Refineries'!$C$85:$C$164,$C238:$C247,'Key inputs_Refineries'!$B$85:$B$164,"Boiler"))&gt;0,SUMIFS('Key inputs_Refineries'!AD$85:AD$164,'Key inputs_Refineries'!$C$85:$C$164,$C238,'Key inputs_Refineries'!$B$85:$B$164,"Boiler")/SUM(SUMIFS('Key inputs_Refineries'!AD$85:AD$164,'Key inputs_Refineries'!$C$85:$C$164,$C238:$C247,'Key inputs_Refineries'!$B$85:$B$164,"Boiler"))&lt;0.001),0.001,SUMIFS('Key inputs_Refineries'!AD$85:AD$164,'Key inputs_Refineries'!$C$85:$C$164,$C238,'Key inputs_Refineries'!$B$85:$B$164,"Boiler")/SUM(SUMIFS('Key inputs_Refineries'!AD$85:AD$164,'Key inputs_Refineries'!$C$85:$C$164,$C238:$C247,'Key inputs_Refineries'!$B$85:$B$164,"Boiler"))),0)</f>
        <v>0</v>
      </c>
      <c r="AK238" s="173" cm="1">
        <f t="array" ref="AK238">IFERROR(IF(AND(SUMIFS('Key inputs_Refineries'!AE$85:AE$164,'Key inputs_Refineries'!$C$85:$C$164,$C238,'Key inputs_Refineries'!$B$85:$B$164,"Boiler")/SUM(SUMIFS('Key inputs_Refineries'!AE$85:AE$164,'Key inputs_Refineries'!$C$85:$C$164,$C238:$C247,'Key inputs_Refineries'!$B$85:$B$164,"Boiler"))&gt;0,SUMIFS('Key inputs_Refineries'!AE$85:AE$164,'Key inputs_Refineries'!$C$85:$C$164,$C238,'Key inputs_Refineries'!$B$85:$B$164,"Boiler")/SUM(SUMIFS('Key inputs_Refineries'!AE$85:AE$164,'Key inputs_Refineries'!$C$85:$C$164,$C238:$C247,'Key inputs_Refineries'!$B$85:$B$164,"Boiler"))&lt;0.001),0.001,SUMIFS('Key inputs_Refineries'!AE$85:AE$164,'Key inputs_Refineries'!$C$85:$C$164,$C238,'Key inputs_Refineries'!$B$85:$B$164,"Boiler")/SUM(SUMIFS('Key inputs_Refineries'!AE$85:AE$164,'Key inputs_Refineries'!$C$85:$C$164,$C238:$C247,'Key inputs_Refineries'!$B$85:$B$164,"Boiler"))),0)</f>
        <v>0</v>
      </c>
      <c r="AL238" s="173" cm="1">
        <f t="array" ref="AL238">IFERROR(IF(AND(SUMIFS('Key inputs_Refineries'!AF$85:AF$164,'Key inputs_Refineries'!$C$85:$C$164,$C238,'Key inputs_Refineries'!$B$85:$B$164,"Boiler")/SUM(SUMIFS('Key inputs_Refineries'!AF$85:AF$164,'Key inputs_Refineries'!$C$85:$C$164,$C238:$C247,'Key inputs_Refineries'!$B$85:$B$164,"Boiler"))&gt;0,SUMIFS('Key inputs_Refineries'!AF$85:AF$164,'Key inputs_Refineries'!$C$85:$C$164,$C238,'Key inputs_Refineries'!$B$85:$B$164,"Boiler")/SUM(SUMIFS('Key inputs_Refineries'!AF$85:AF$164,'Key inputs_Refineries'!$C$85:$C$164,$C238:$C247,'Key inputs_Refineries'!$B$85:$B$164,"Boiler"))&lt;0.001),0.001,SUMIFS('Key inputs_Refineries'!AF$85:AF$164,'Key inputs_Refineries'!$C$85:$C$164,$C238,'Key inputs_Refineries'!$B$85:$B$164,"Boiler")/SUM(SUMIFS('Key inputs_Refineries'!AF$85:AF$164,'Key inputs_Refineries'!$C$85:$C$164,$C238:$C247,'Key inputs_Refineries'!$B$85:$B$164,"Boiler"))),0)</f>
        <v>0</v>
      </c>
    </row>
    <row r="239" spans="1:47">
      <c r="C239" t="str">
        <f>Commodities!$C$90</f>
        <v>UPSDSL</v>
      </c>
      <c r="G239" s="4" t="s">
        <v>702</v>
      </c>
      <c r="H239" t="s">
        <v>661</v>
      </c>
      <c r="I239">
        <v>2019</v>
      </c>
      <c r="J239" t="s">
        <v>650</v>
      </c>
      <c r="K239" s="173" cm="1">
        <f t="array" ref="K239">IFERROR(IF(AND(SUMIFS('Key inputs_Refineries'!E$85:E$164,'Key inputs_Refineries'!$C$85:$C$164,$C239,'Key inputs_Refineries'!$B$85:$B$164,"Boiler")/SUM(SUMIFS('Key inputs_Refineries'!E$85:E$164,'Key inputs_Refineries'!$C$85:$C$164,$C238:$C247,'Key inputs_Refineries'!$B$85:$B$164,"Boiler"))&gt;0,SUMIFS('Key inputs_Refineries'!E$85:E$164,'Key inputs_Refineries'!$C$85:$C$164,$C239,'Key inputs_Refineries'!$B$85:$B$164,"Boiler")/SUM(SUMIFS('Key inputs_Refineries'!E$85:E$164,'Key inputs_Refineries'!$C$85:$C$164,$C238:$C247,'Key inputs_Refineries'!$B$85:$B$164,"Boiler"))&lt;0.001),0.001,SUMIFS('Key inputs_Refineries'!E$85:E$164,'Key inputs_Refineries'!$C$85:$C$164,$C239,'Key inputs_Refineries'!$B$85:$B$164,"Boiler")/SUM(SUMIFS('Key inputs_Refineries'!E$85:E$164,'Key inputs_Refineries'!$C$85:$C$164,$C238:$C247,'Key inputs_Refineries'!$B$85:$B$164,"Boiler"))),0)</f>
        <v>0</v>
      </c>
      <c r="L239" s="173" cm="1">
        <f t="array" ref="L239">IFERROR(IF(AND(SUMIFS('Key inputs_Refineries'!F$85:F$164,'Key inputs_Refineries'!$C$85:$C$164,$C239,'Key inputs_Refineries'!$B$85:$B$164,"Boiler")/SUM(SUMIFS('Key inputs_Refineries'!F$85:F$164,'Key inputs_Refineries'!$C$85:$C$164,$C238:$C247,'Key inputs_Refineries'!$B$85:$B$164,"Boiler"))&gt;0,SUMIFS('Key inputs_Refineries'!F$85:F$164,'Key inputs_Refineries'!$C$85:$C$164,$C239,'Key inputs_Refineries'!$B$85:$B$164,"Boiler")/SUM(SUMIFS('Key inputs_Refineries'!F$85:F$164,'Key inputs_Refineries'!$C$85:$C$164,$C238:$C247,'Key inputs_Refineries'!$B$85:$B$164,"Boiler"))&lt;0.001),0.001,SUMIFS('Key inputs_Refineries'!F$85:F$164,'Key inputs_Refineries'!$C$85:$C$164,$C239,'Key inputs_Refineries'!$B$85:$B$164,"Boiler")/SUM(SUMIFS('Key inputs_Refineries'!F$85:F$164,'Key inputs_Refineries'!$C$85:$C$164,$C238:$C247,'Key inputs_Refineries'!$B$85:$B$164,"Boiler"))),0)</f>
        <v>0</v>
      </c>
      <c r="M239" s="173" cm="1">
        <f t="array" ref="M239">IFERROR(IF(AND(SUMIFS('Key inputs_Refineries'!G$85:G$164,'Key inputs_Refineries'!$C$85:$C$164,$C239,'Key inputs_Refineries'!$B$85:$B$164,"Boiler")/SUM(SUMIFS('Key inputs_Refineries'!G$85:G$164,'Key inputs_Refineries'!$C$85:$C$164,$C238:$C247,'Key inputs_Refineries'!$B$85:$B$164,"Boiler"))&gt;0,SUMIFS('Key inputs_Refineries'!G$85:G$164,'Key inputs_Refineries'!$C$85:$C$164,$C239,'Key inputs_Refineries'!$B$85:$B$164,"Boiler")/SUM(SUMIFS('Key inputs_Refineries'!G$85:G$164,'Key inputs_Refineries'!$C$85:$C$164,$C238:$C247,'Key inputs_Refineries'!$B$85:$B$164,"Boiler"))&lt;0.001),0.001,SUMIFS('Key inputs_Refineries'!G$85:G$164,'Key inputs_Refineries'!$C$85:$C$164,$C239,'Key inputs_Refineries'!$B$85:$B$164,"Boiler")/SUM(SUMIFS('Key inputs_Refineries'!G$85:G$164,'Key inputs_Refineries'!$C$85:$C$164,$C238:$C247,'Key inputs_Refineries'!$B$85:$B$164,"Boiler"))),0)</f>
        <v>5.4967007249105165E-2</v>
      </c>
      <c r="N239" s="173" cm="1">
        <f t="array" ref="N239">IFERROR(IF(AND(SUMIFS('Key inputs_Refineries'!H$85:H$164,'Key inputs_Refineries'!$C$85:$C$164,$C239,'Key inputs_Refineries'!$B$85:$B$164,"Boiler")/SUM(SUMIFS('Key inputs_Refineries'!H$85:H$164,'Key inputs_Refineries'!$C$85:$C$164,$C238:$C247,'Key inputs_Refineries'!$B$85:$B$164,"Boiler"))&gt;0,SUMIFS('Key inputs_Refineries'!H$85:H$164,'Key inputs_Refineries'!$C$85:$C$164,$C239,'Key inputs_Refineries'!$B$85:$B$164,"Boiler")/SUM(SUMIFS('Key inputs_Refineries'!H$85:H$164,'Key inputs_Refineries'!$C$85:$C$164,$C238:$C247,'Key inputs_Refineries'!$B$85:$B$164,"Boiler"))&lt;0.001),0.001,SUMIFS('Key inputs_Refineries'!H$85:H$164,'Key inputs_Refineries'!$C$85:$C$164,$C239,'Key inputs_Refineries'!$B$85:$B$164,"Boiler")/SUM(SUMIFS('Key inputs_Refineries'!H$85:H$164,'Key inputs_Refineries'!$C$85:$C$164,$C238:$C247,'Key inputs_Refineries'!$B$85:$B$164,"Boiler"))),0)</f>
        <v>0</v>
      </c>
      <c r="O239" s="173" cm="1">
        <f t="array" ref="O239">IFERROR(IF(AND(SUMIFS('Key inputs_Refineries'!I$85:I$164,'Key inputs_Refineries'!$C$85:$C$164,$C239,'Key inputs_Refineries'!$B$85:$B$164,"Boiler")/SUM(SUMIFS('Key inputs_Refineries'!I$85:I$164,'Key inputs_Refineries'!$C$85:$C$164,$C238:$C247,'Key inputs_Refineries'!$B$85:$B$164,"Boiler"))&gt;0,SUMIFS('Key inputs_Refineries'!I$85:I$164,'Key inputs_Refineries'!$C$85:$C$164,$C239,'Key inputs_Refineries'!$B$85:$B$164,"Boiler")/SUM(SUMIFS('Key inputs_Refineries'!I$85:I$164,'Key inputs_Refineries'!$C$85:$C$164,$C238:$C247,'Key inputs_Refineries'!$B$85:$B$164,"Boiler"))&lt;0.001),0.001,SUMIFS('Key inputs_Refineries'!I$85:I$164,'Key inputs_Refineries'!$C$85:$C$164,$C239,'Key inputs_Refineries'!$B$85:$B$164,"Boiler")/SUM(SUMIFS('Key inputs_Refineries'!I$85:I$164,'Key inputs_Refineries'!$C$85:$C$164,$C238:$C247,'Key inputs_Refineries'!$B$85:$B$164,"Boiler"))),0)</f>
        <v>0</v>
      </c>
      <c r="P239" s="173" cm="1">
        <f t="array" ref="P239">IFERROR(IF(AND(SUMIFS('Key inputs_Refineries'!J$85:J$164,'Key inputs_Refineries'!$C$85:$C$164,$C239,'Key inputs_Refineries'!$B$85:$B$164,"Boiler")/SUM(SUMIFS('Key inputs_Refineries'!J$85:J$164,'Key inputs_Refineries'!$C$85:$C$164,$C238:$C247,'Key inputs_Refineries'!$B$85:$B$164,"Boiler"))&gt;0,SUMIFS('Key inputs_Refineries'!J$85:J$164,'Key inputs_Refineries'!$C$85:$C$164,$C239,'Key inputs_Refineries'!$B$85:$B$164,"Boiler")/SUM(SUMIFS('Key inputs_Refineries'!J$85:J$164,'Key inputs_Refineries'!$C$85:$C$164,$C238:$C247,'Key inputs_Refineries'!$B$85:$B$164,"Boiler"))&lt;0.001),0.001,SUMIFS('Key inputs_Refineries'!J$85:J$164,'Key inputs_Refineries'!$C$85:$C$164,$C239,'Key inputs_Refineries'!$B$85:$B$164,"Boiler")/SUM(SUMIFS('Key inputs_Refineries'!J$85:J$164,'Key inputs_Refineries'!$C$85:$C$164,$C238:$C247,'Key inputs_Refineries'!$B$85:$B$164,"Boiler"))),0)</f>
        <v>7.5112298847973434E-3</v>
      </c>
      <c r="Q239" s="173" cm="1">
        <f t="array" ref="Q239">IFERROR(IF(AND(SUMIFS('Key inputs_Refineries'!K$85:K$164,'Key inputs_Refineries'!$C$85:$C$164,$C239,'Key inputs_Refineries'!$B$85:$B$164,"Boiler")/SUM(SUMIFS('Key inputs_Refineries'!K$85:K$164,'Key inputs_Refineries'!$C$85:$C$164,$C238:$C247,'Key inputs_Refineries'!$B$85:$B$164,"Boiler"))&gt;0,SUMIFS('Key inputs_Refineries'!K$85:K$164,'Key inputs_Refineries'!$C$85:$C$164,$C239,'Key inputs_Refineries'!$B$85:$B$164,"Boiler")/SUM(SUMIFS('Key inputs_Refineries'!K$85:K$164,'Key inputs_Refineries'!$C$85:$C$164,$C238:$C247,'Key inputs_Refineries'!$B$85:$B$164,"Boiler"))&lt;0.001),0.001,SUMIFS('Key inputs_Refineries'!K$85:K$164,'Key inputs_Refineries'!$C$85:$C$164,$C239,'Key inputs_Refineries'!$B$85:$B$164,"Boiler")/SUM(SUMIFS('Key inputs_Refineries'!K$85:K$164,'Key inputs_Refineries'!$C$85:$C$164,$C238:$C247,'Key inputs_Refineries'!$B$85:$B$164,"Boiler"))),0)</f>
        <v>1.3591105951689957E-2</v>
      </c>
      <c r="R239" s="173" cm="1">
        <f t="array" ref="R239">IFERROR(IF(AND(SUMIFS('Key inputs_Refineries'!L$85:L$164,'Key inputs_Refineries'!$C$85:$C$164,$C239,'Key inputs_Refineries'!$B$85:$B$164,"Boiler")/SUM(SUMIFS('Key inputs_Refineries'!L$85:L$164,'Key inputs_Refineries'!$C$85:$C$164,$C238:$C247,'Key inputs_Refineries'!$B$85:$B$164,"Boiler"))&gt;0,SUMIFS('Key inputs_Refineries'!L$85:L$164,'Key inputs_Refineries'!$C$85:$C$164,$C239,'Key inputs_Refineries'!$B$85:$B$164,"Boiler")/SUM(SUMIFS('Key inputs_Refineries'!L$85:L$164,'Key inputs_Refineries'!$C$85:$C$164,$C238:$C247,'Key inputs_Refineries'!$B$85:$B$164,"Boiler"))&lt;0.001),0.001,SUMIFS('Key inputs_Refineries'!L$85:L$164,'Key inputs_Refineries'!$C$85:$C$164,$C239,'Key inputs_Refineries'!$B$85:$B$164,"Boiler")/SUM(SUMIFS('Key inputs_Refineries'!L$85:L$164,'Key inputs_Refineries'!$C$85:$C$164,$C238:$C247,'Key inputs_Refineries'!$B$85:$B$164,"Boiler"))),0)</f>
        <v>0</v>
      </c>
      <c r="S239" s="173" cm="1">
        <f t="array" ref="S239">IFERROR(IF(AND(SUMIFS('Key inputs_Refineries'!M$85:M$164,'Key inputs_Refineries'!$C$85:$C$164,$C239,'Key inputs_Refineries'!$B$85:$B$164,"Boiler")/SUM(SUMIFS('Key inputs_Refineries'!M$85:M$164,'Key inputs_Refineries'!$C$85:$C$164,$C238:$C247,'Key inputs_Refineries'!$B$85:$B$164,"Boiler"))&gt;0,SUMIFS('Key inputs_Refineries'!M$85:M$164,'Key inputs_Refineries'!$C$85:$C$164,$C239,'Key inputs_Refineries'!$B$85:$B$164,"Boiler")/SUM(SUMIFS('Key inputs_Refineries'!M$85:M$164,'Key inputs_Refineries'!$C$85:$C$164,$C238:$C247,'Key inputs_Refineries'!$B$85:$B$164,"Boiler"))&lt;0.001),0.001,SUMIFS('Key inputs_Refineries'!M$85:M$164,'Key inputs_Refineries'!$C$85:$C$164,$C239,'Key inputs_Refineries'!$B$85:$B$164,"Boiler")/SUM(SUMIFS('Key inputs_Refineries'!M$85:M$164,'Key inputs_Refineries'!$C$85:$C$164,$C238:$C247,'Key inputs_Refineries'!$B$85:$B$164,"Boiler"))),0)</f>
        <v>3.5051732768259555E-2</v>
      </c>
      <c r="T239" s="173" cm="1">
        <f t="array" ref="T239">IFERROR(IF(AND(SUMIFS('Key inputs_Refineries'!N$85:N$164,'Key inputs_Refineries'!$C$85:$C$164,$C239,'Key inputs_Refineries'!$B$85:$B$164,"Boiler")/SUM(SUMIFS('Key inputs_Refineries'!N$85:N$164,'Key inputs_Refineries'!$C$85:$C$164,$C238:$C247,'Key inputs_Refineries'!$B$85:$B$164,"Boiler"))&gt;0,SUMIFS('Key inputs_Refineries'!N$85:N$164,'Key inputs_Refineries'!$C$85:$C$164,$C239,'Key inputs_Refineries'!$B$85:$B$164,"Boiler")/SUM(SUMIFS('Key inputs_Refineries'!N$85:N$164,'Key inputs_Refineries'!$C$85:$C$164,$C238:$C247,'Key inputs_Refineries'!$B$85:$B$164,"Boiler"))&lt;0.001),0.001,SUMIFS('Key inputs_Refineries'!N$85:N$164,'Key inputs_Refineries'!$C$85:$C$164,$C239,'Key inputs_Refineries'!$B$85:$B$164,"Boiler")/SUM(SUMIFS('Key inputs_Refineries'!N$85:N$164,'Key inputs_Refineries'!$C$85:$C$164,$C238:$C247,'Key inputs_Refineries'!$B$85:$B$164,"Boiler"))),0)</f>
        <v>8.6333554563383288E-3</v>
      </c>
      <c r="U239" s="173" cm="1">
        <f t="array" ref="U239">IFERROR(IF(AND(SUMIFS('Key inputs_Refineries'!O$85:O$164,'Key inputs_Refineries'!$C$85:$C$164,$C239,'Key inputs_Refineries'!$B$85:$B$164,"Boiler")/SUM(SUMIFS('Key inputs_Refineries'!O$85:O$164,'Key inputs_Refineries'!$C$85:$C$164,$C238:$C247,'Key inputs_Refineries'!$B$85:$B$164,"Boiler"))&gt;0,SUMIFS('Key inputs_Refineries'!O$85:O$164,'Key inputs_Refineries'!$C$85:$C$164,$C239,'Key inputs_Refineries'!$B$85:$B$164,"Boiler")/SUM(SUMIFS('Key inputs_Refineries'!O$85:O$164,'Key inputs_Refineries'!$C$85:$C$164,$C238:$C247,'Key inputs_Refineries'!$B$85:$B$164,"Boiler"))&lt;0.001),0.001,SUMIFS('Key inputs_Refineries'!O$85:O$164,'Key inputs_Refineries'!$C$85:$C$164,$C239,'Key inputs_Refineries'!$B$85:$B$164,"Boiler")/SUM(SUMIFS('Key inputs_Refineries'!O$85:O$164,'Key inputs_Refineries'!$C$85:$C$164,$C238:$C247,'Key inputs_Refineries'!$B$85:$B$164,"Boiler"))),0)</f>
        <v>0</v>
      </c>
      <c r="V239" s="173" cm="1">
        <f t="array" ref="V239">IFERROR(IF(AND(SUMIFS('Key inputs_Refineries'!P$85:P$164,'Key inputs_Refineries'!$C$85:$C$164,$C239,'Key inputs_Refineries'!$B$85:$B$164,"Boiler")/SUM(SUMIFS('Key inputs_Refineries'!P$85:P$164,'Key inputs_Refineries'!$C$85:$C$164,$C238:$C247,'Key inputs_Refineries'!$B$85:$B$164,"Boiler"))&gt;0,SUMIFS('Key inputs_Refineries'!P$85:P$164,'Key inputs_Refineries'!$C$85:$C$164,$C239,'Key inputs_Refineries'!$B$85:$B$164,"Boiler")/SUM(SUMIFS('Key inputs_Refineries'!P$85:P$164,'Key inputs_Refineries'!$C$85:$C$164,$C238:$C247,'Key inputs_Refineries'!$B$85:$B$164,"Boiler"))&lt;0.001),0.001,SUMIFS('Key inputs_Refineries'!P$85:P$164,'Key inputs_Refineries'!$C$85:$C$164,$C239,'Key inputs_Refineries'!$B$85:$B$164,"Boiler")/SUM(SUMIFS('Key inputs_Refineries'!P$85:P$164,'Key inputs_Refineries'!$C$85:$C$164,$C238:$C247,'Key inputs_Refineries'!$B$85:$B$164,"Boiler"))),0)</f>
        <v>5.6882967399520768E-3</v>
      </c>
      <c r="W239" s="173" cm="1">
        <f t="array" ref="W239">IFERROR(IF(AND(SUMIFS('Key inputs_Refineries'!Q$85:Q$164,'Key inputs_Refineries'!$C$85:$C$164,$C239,'Key inputs_Refineries'!$B$85:$B$164,"Boiler")/SUM(SUMIFS('Key inputs_Refineries'!Q$85:Q$164,'Key inputs_Refineries'!$C$85:$C$164,$C238:$C247,'Key inputs_Refineries'!$B$85:$B$164,"Boiler"))&gt;0,SUMIFS('Key inputs_Refineries'!Q$85:Q$164,'Key inputs_Refineries'!$C$85:$C$164,$C239,'Key inputs_Refineries'!$B$85:$B$164,"Boiler")/SUM(SUMIFS('Key inputs_Refineries'!Q$85:Q$164,'Key inputs_Refineries'!$C$85:$C$164,$C238:$C247,'Key inputs_Refineries'!$B$85:$B$164,"Boiler"))&lt;0.001),0.001,SUMIFS('Key inputs_Refineries'!Q$85:Q$164,'Key inputs_Refineries'!$C$85:$C$164,$C239,'Key inputs_Refineries'!$B$85:$B$164,"Boiler")/SUM(SUMIFS('Key inputs_Refineries'!Q$85:Q$164,'Key inputs_Refineries'!$C$85:$C$164,$C238:$C247,'Key inputs_Refineries'!$B$85:$B$164,"Boiler"))),0)</f>
        <v>0</v>
      </c>
      <c r="X239" s="173" cm="1">
        <f t="array" ref="X239">IFERROR(IF(AND(SUMIFS('Key inputs_Refineries'!R$85:R$164,'Key inputs_Refineries'!$C$85:$C$164,$C239,'Key inputs_Refineries'!$B$85:$B$164,"Boiler")/SUM(SUMIFS('Key inputs_Refineries'!R$85:R$164,'Key inputs_Refineries'!$C$85:$C$164,$C238:$C247,'Key inputs_Refineries'!$B$85:$B$164,"Boiler"))&gt;0,SUMIFS('Key inputs_Refineries'!R$85:R$164,'Key inputs_Refineries'!$C$85:$C$164,$C239,'Key inputs_Refineries'!$B$85:$B$164,"Boiler")/SUM(SUMIFS('Key inputs_Refineries'!R$85:R$164,'Key inputs_Refineries'!$C$85:$C$164,$C238:$C247,'Key inputs_Refineries'!$B$85:$B$164,"Boiler"))&lt;0.001),0.001,SUMIFS('Key inputs_Refineries'!R$85:R$164,'Key inputs_Refineries'!$C$85:$C$164,$C239,'Key inputs_Refineries'!$B$85:$B$164,"Boiler")/SUM(SUMIFS('Key inputs_Refineries'!R$85:R$164,'Key inputs_Refineries'!$C$85:$C$164,$C238:$C247,'Key inputs_Refineries'!$B$85:$B$164,"Boiler"))),0)</f>
        <v>0</v>
      </c>
      <c r="Y239" s="173" cm="1">
        <f t="array" ref="Y239">IFERROR(IF(AND(SUMIFS('Key inputs_Refineries'!S$85:S$164,'Key inputs_Refineries'!$C$85:$C$164,$C239,'Key inputs_Refineries'!$B$85:$B$164,"Boiler")/SUM(SUMIFS('Key inputs_Refineries'!S$85:S$164,'Key inputs_Refineries'!$C$85:$C$164,$C238:$C247,'Key inputs_Refineries'!$B$85:$B$164,"Boiler"))&gt;0,SUMIFS('Key inputs_Refineries'!S$85:S$164,'Key inputs_Refineries'!$C$85:$C$164,$C239,'Key inputs_Refineries'!$B$85:$B$164,"Boiler")/SUM(SUMIFS('Key inputs_Refineries'!S$85:S$164,'Key inputs_Refineries'!$C$85:$C$164,$C238:$C247,'Key inputs_Refineries'!$B$85:$B$164,"Boiler"))&lt;0.001),0.001,SUMIFS('Key inputs_Refineries'!S$85:S$164,'Key inputs_Refineries'!$C$85:$C$164,$C239,'Key inputs_Refineries'!$B$85:$B$164,"Boiler")/SUM(SUMIFS('Key inputs_Refineries'!S$85:S$164,'Key inputs_Refineries'!$C$85:$C$164,$C238:$C247,'Key inputs_Refineries'!$B$85:$B$164,"Boiler"))),0)</f>
        <v>2.7787994220171155E-3</v>
      </c>
      <c r="Z239" s="173" cm="1">
        <f t="array" ref="Z239">IFERROR(IF(AND(SUMIFS('Key inputs_Refineries'!T$85:T$164,'Key inputs_Refineries'!$C$85:$C$164,$C239,'Key inputs_Refineries'!$B$85:$B$164,"Boiler")/SUM(SUMIFS('Key inputs_Refineries'!T$85:T$164,'Key inputs_Refineries'!$C$85:$C$164,$C238:$C247,'Key inputs_Refineries'!$B$85:$B$164,"Boiler"))&gt;0,SUMIFS('Key inputs_Refineries'!T$85:T$164,'Key inputs_Refineries'!$C$85:$C$164,$C239,'Key inputs_Refineries'!$B$85:$B$164,"Boiler")/SUM(SUMIFS('Key inputs_Refineries'!T$85:T$164,'Key inputs_Refineries'!$C$85:$C$164,$C238:$C247,'Key inputs_Refineries'!$B$85:$B$164,"Boiler"))&lt;0.001),0.001,SUMIFS('Key inputs_Refineries'!T$85:T$164,'Key inputs_Refineries'!$C$85:$C$164,$C239,'Key inputs_Refineries'!$B$85:$B$164,"Boiler")/SUM(SUMIFS('Key inputs_Refineries'!T$85:T$164,'Key inputs_Refineries'!$C$85:$C$164,$C238:$C247,'Key inputs_Refineries'!$B$85:$B$164,"Boiler"))),0)</f>
        <v>7.5121681310049548E-3</v>
      </c>
      <c r="AA239" s="173" cm="1">
        <f t="array" ref="AA239">IFERROR(IF(AND(SUMIFS('Key inputs_Refineries'!U$85:U$164,'Key inputs_Refineries'!$C$85:$C$164,$C239,'Key inputs_Refineries'!$B$85:$B$164,"Boiler")/SUM(SUMIFS('Key inputs_Refineries'!U$85:U$164,'Key inputs_Refineries'!$C$85:$C$164,$C238:$C247,'Key inputs_Refineries'!$B$85:$B$164,"Boiler"))&gt;0,SUMIFS('Key inputs_Refineries'!U$85:U$164,'Key inputs_Refineries'!$C$85:$C$164,$C239,'Key inputs_Refineries'!$B$85:$B$164,"Boiler")/SUM(SUMIFS('Key inputs_Refineries'!U$85:U$164,'Key inputs_Refineries'!$C$85:$C$164,$C238:$C247,'Key inputs_Refineries'!$B$85:$B$164,"Boiler"))&lt;0.001),0.001,SUMIFS('Key inputs_Refineries'!U$85:U$164,'Key inputs_Refineries'!$C$85:$C$164,$C239,'Key inputs_Refineries'!$B$85:$B$164,"Boiler")/SUM(SUMIFS('Key inputs_Refineries'!U$85:U$164,'Key inputs_Refineries'!$C$85:$C$164,$C238:$C247,'Key inputs_Refineries'!$B$85:$B$164,"Boiler"))),0)</f>
        <v>1.3171639290390735E-2</v>
      </c>
      <c r="AB239" s="173" cm="1">
        <f t="array" ref="AB239">IFERROR(IF(AND(SUMIFS('Key inputs_Refineries'!V$85:V$164,'Key inputs_Refineries'!$C$85:$C$164,$C239,'Key inputs_Refineries'!$B$85:$B$164,"Boiler")/SUM(SUMIFS('Key inputs_Refineries'!V$85:V$164,'Key inputs_Refineries'!$C$85:$C$164,$C238:$C247,'Key inputs_Refineries'!$B$85:$B$164,"Boiler"))&gt;0,SUMIFS('Key inputs_Refineries'!V$85:V$164,'Key inputs_Refineries'!$C$85:$C$164,$C239,'Key inputs_Refineries'!$B$85:$B$164,"Boiler")/SUM(SUMIFS('Key inputs_Refineries'!V$85:V$164,'Key inputs_Refineries'!$C$85:$C$164,$C238:$C247,'Key inputs_Refineries'!$B$85:$B$164,"Boiler"))&lt;0.001),0.001,SUMIFS('Key inputs_Refineries'!V$85:V$164,'Key inputs_Refineries'!$C$85:$C$164,$C239,'Key inputs_Refineries'!$B$85:$B$164,"Boiler")/SUM(SUMIFS('Key inputs_Refineries'!V$85:V$164,'Key inputs_Refineries'!$C$85:$C$164,$C238:$C247,'Key inputs_Refineries'!$B$85:$B$164,"Boiler"))),0)</f>
        <v>0.62732289155304854</v>
      </c>
      <c r="AC239" s="173" cm="1">
        <f t="array" ref="AC239">IFERROR(IF(AND(SUMIFS('Key inputs_Refineries'!W$85:W$164,'Key inputs_Refineries'!$C$85:$C$164,$C239,'Key inputs_Refineries'!$B$85:$B$164,"Boiler")/SUM(SUMIFS('Key inputs_Refineries'!W$85:W$164,'Key inputs_Refineries'!$C$85:$C$164,$C238:$C247,'Key inputs_Refineries'!$B$85:$B$164,"Boiler"))&gt;0,SUMIFS('Key inputs_Refineries'!W$85:W$164,'Key inputs_Refineries'!$C$85:$C$164,$C239,'Key inputs_Refineries'!$B$85:$B$164,"Boiler")/SUM(SUMIFS('Key inputs_Refineries'!W$85:W$164,'Key inputs_Refineries'!$C$85:$C$164,$C238:$C247,'Key inputs_Refineries'!$B$85:$B$164,"Boiler"))&lt;0.001),0.001,SUMIFS('Key inputs_Refineries'!W$85:W$164,'Key inputs_Refineries'!$C$85:$C$164,$C239,'Key inputs_Refineries'!$B$85:$B$164,"Boiler")/SUM(SUMIFS('Key inputs_Refineries'!W$85:W$164,'Key inputs_Refineries'!$C$85:$C$164,$C238:$C247,'Key inputs_Refineries'!$B$85:$B$164,"Boiler"))),0)</f>
        <v>0</v>
      </c>
      <c r="AD239" s="173" cm="1">
        <f t="array" ref="AD239">IFERROR(IF(AND(SUMIFS('Key inputs_Refineries'!X$85:X$164,'Key inputs_Refineries'!$C$85:$C$164,$C239,'Key inputs_Refineries'!$B$85:$B$164,"Boiler")/SUM(SUMIFS('Key inputs_Refineries'!X$85:X$164,'Key inputs_Refineries'!$C$85:$C$164,$C238:$C247,'Key inputs_Refineries'!$B$85:$B$164,"Boiler"))&gt;0,SUMIFS('Key inputs_Refineries'!X$85:X$164,'Key inputs_Refineries'!$C$85:$C$164,$C239,'Key inputs_Refineries'!$B$85:$B$164,"Boiler")/SUM(SUMIFS('Key inputs_Refineries'!X$85:X$164,'Key inputs_Refineries'!$C$85:$C$164,$C238:$C247,'Key inputs_Refineries'!$B$85:$B$164,"Boiler"))&lt;0.001),0.001,SUMIFS('Key inputs_Refineries'!X$85:X$164,'Key inputs_Refineries'!$C$85:$C$164,$C239,'Key inputs_Refineries'!$B$85:$B$164,"Boiler")/SUM(SUMIFS('Key inputs_Refineries'!X$85:X$164,'Key inputs_Refineries'!$C$85:$C$164,$C238:$C247,'Key inputs_Refineries'!$B$85:$B$164,"Boiler"))),0)</f>
        <v>9.5552781608146987E-3</v>
      </c>
      <c r="AE239" s="173" cm="1">
        <f t="array" ref="AE239">IFERROR(IF(AND(SUMIFS('Key inputs_Refineries'!Y$85:Y$164,'Key inputs_Refineries'!$C$85:$C$164,$C239,'Key inputs_Refineries'!$B$85:$B$164,"Boiler")/SUM(SUMIFS('Key inputs_Refineries'!Y$85:Y$164,'Key inputs_Refineries'!$C$85:$C$164,$C238:$C247,'Key inputs_Refineries'!$B$85:$B$164,"Boiler"))&gt;0,SUMIFS('Key inputs_Refineries'!Y$85:Y$164,'Key inputs_Refineries'!$C$85:$C$164,$C239,'Key inputs_Refineries'!$B$85:$B$164,"Boiler")/SUM(SUMIFS('Key inputs_Refineries'!Y$85:Y$164,'Key inputs_Refineries'!$C$85:$C$164,$C238:$C247,'Key inputs_Refineries'!$B$85:$B$164,"Boiler"))&lt;0.001),0.001,SUMIFS('Key inputs_Refineries'!Y$85:Y$164,'Key inputs_Refineries'!$C$85:$C$164,$C239,'Key inputs_Refineries'!$B$85:$B$164,"Boiler")/SUM(SUMIFS('Key inputs_Refineries'!Y$85:Y$164,'Key inputs_Refineries'!$C$85:$C$164,$C238:$C247,'Key inputs_Refineries'!$B$85:$B$164,"Boiler"))),0)</f>
        <v>1.5014083212701699E-2</v>
      </c>
      <c r="AF239" s="173" cm="1">
        <f t="array" ref="AF239">IFERROR(IF(AND(SUMIFS('Key inputs_Refineries'!Z$85:Z$164,'Key inputs_Refineries'!$C$85:$C$164,$C239,'Key inputs_Refineries'!$B$85:$B$164,"Boiler")/SUM(SUMIFS('Key inputs_Refineries'!Z$85:Z$164,'Key inputs_Refineries'!$C$85:$C$164,$C238:$C247,'Key inputs_Refineries'!$B$85:$B$164,"Boiler"))&gt;0,SUMIFS('Key inputs_Refineries'!Z$85:Z$164,'Key inputs_Refineries'!$C$85:$C$164,$C239,'Key inputs_Refineries'!$B$85:$B$164,"Boiler")/SUM(SUMIFS('Key inputs_Refineries'!Z$85:Z$164,'Key inputs_Refineries'!$C$85:$C$164,$C238:$C247,'Key inputs_Refineries'!$B$85:$B$164,"Boiler"))&lt;0.001),0.001,SUMIFS('Key inputs_Refineries'!Z$85:Z$164,'Key inputs_Refineries'!$C$85:$C$164,$C239,'Key inputs_Refineries'!$B$85:$B$164,"Boiler")/SUM(SUMIFS('Key inputs_Refineries'!Z$85:Z$164,'Key inputs_Refineries'!$C$85:$C$164,$C238:$C247,'Key inputs_Refineries'!$B$85:$B$164,"Boiler"))),0)</f>
        <v>3.8902919404541575E-2</v>
      </c>
      <c r="AG239" s="173" cm="1">
        <f t="array" ref="AG239">IFERROR(IF(AND(SUMIFS('Key inputs_Refineries'!AA$85:AA$164,'Key inputs_Refineries'!$C$85:$C$164,$C239,'Key inputs_Refineries'!$B$85:$B$164,"Boiler")/SUM(SUMIFS('Key inputs_Refineries'!AA$85:AA$164,'Key inputs_Refineries'!$C$85:$C$164,$C238:$C247,'Key inputs_Refineries'!$B$85:$B$164,"Boiler"))&gt;0,SUMIFS('Key inputs_Refineries'!AA$85:AA$164,'Key inputs_Refineries'!$C$85:$C$164,$C239,'Key inputs_Refineries'!$B$85:$B$164,"Boiler")/SUM(SUMIFS('Key inputs_Refineries'!AA$85:AA$164,'Key inputs_Refineries'!$C$85:$C$164,$C238:$C247,'Key inputs_Refineries'!$B$85:$B$164,"Boiler"))&lt;0.001),0.001,SUMIFS('Key inputs_Refineries'!AA$85:AA$164,'Key inputs_Refineries'!$C$85:$C$164,$C239,'Key inputs_Refineries'!$B$85:$B$164,"Boiler")/SUM(SUMIFS('Key inputs_Refineries'!AA$85:AA$164,'Key inputs_Refineries'!$C$85:$C$164,$C238:$C247,'Key inputs_Refineries'!$B$85:$B$164,"Boiler"))),0)</f>
        <v>3.0454378123189886E-2</v>
      </c>
      <c r="AH239" s="173" cm="1">
        <f t="array" ref="AH239">IFERROR(IF(AND(SUMIFS('Key inputs_Refineries'!AB$85:AB$164,'Key inputs_Refineries'!$C$85:$C$164,$C239,'Key inputs_Refineries'!$B$85:$B$164,"Boiler")/SUM(SUMIFS('Key inputs_Refineries'!AB$85:AB$164,'Key inputs_Refineries'!$C$85:$C$164,$C238:$C247,'Key inputs_Refineries'!$B$85:$B$164,"Boiler"))&gt;0,SUMIFS('Key inputs_Refineries'!AB$85:AB$164,'Key inputs_Refineries'!$C$85:$C$164,$C239,'Key inputs_Refineries'!$B$85:$B$164,"Boiler")/SUM(SUMIFS('Key inputs_Refineries'!AB$85:AB$164,'Key inputs_Refineries'!$C$85:$C$164,$C238:$C247,'Key inputs_Refineries'!$B$85:$B$164,"Boiler"))&lt;0.001),0.001,SUMIFS('Key inputs_Refineries'!AB$85:AB$164,'Key inputs_Refineries'!$C$85:$C$164,$C239,'Key inputs_Refineries'!$B$85:$B$164,"Boiler")/SUM(SUMIFS('Key inputs_Refineries'!AB$85:AB$164,'Key inputs_Refineries'!$C$85:$C$164,$C238:$C247,'Key inputs_Refineries'!$B$85:$B$164,"Boiler"))),0)</f>
        <v>0</v>
      </c>
      <c r="AI239" s="173" cm="1">
        <f t="array" ref="AI239">IFERROR(IF(AND(SUMIFS('Key inputs_Refineries'!AC$85:AC$164,'Key inputs_Refineries'!$C$85:$C$164,$C239,'Key inputs_Refineries'!$B$85:$B$164,"Boiler")/SUM(SUMIFS('Key inputs_Refineries'!AC$85:AC$164,'Key inputs_Refineries'!$C$85:$C$164,$C238:$C247,'Key inputs_Refineries'!$B$85:$B$164,"Boiler"))&gt;0,SUMIFS('Key inputs_Refineries'!AC$85:AC$164,'Key inputs_Refineries'!$C$85:$C$164,$C239,'Key inputs_Refineries'!$B$85:$B$164,"Boiler")/SUM(SUMIFS('Key inputs_Refineries'!AC$85:AC$164,'Key inputs_Refineries'!$C$85:$C$164,$C238:$C247,'Key inputs_Refineries'!$B$85:$B$164,"Boiler"))&lt;0.001),0.001,SUMIFS('Key inputs_Refineries'!AC$85:AC$164,'Key inputs_Refineries'!$C$85:$C$164,$C239,'Key inputs_Refineries'!$B$85:$B$164,"Boiler")/SUM(SUMIFS('Key inputs_Refineries'!AC$85:AC$164,'Key inputs_Refineries'!$C$85:$C$164,$C238:$C247,'Key inputs_Refineries'!$B$85:$B$164,"Boiler"))),0)</f>
        <v>0.10262766484878531</v>
      </c>
      <c r="AJ239" s="173" cm="1">
        <f t="array" ref="AJ239">IFERROR(IF(AND(SUMIFS('Key inputs_Refineries'!AD$85:AD$164,'Key inputs_Refineries'!$C$85:$C$164,$C239,'Key inputs_Refineries'!$B$85:$B$164,"Boiler")/SUM(SUMIFS('Key inputs_Refineries'!AD$85:AD$164,'Key inputs_Refineries'!$C$85:$C$164,$C238:$C247,'Key inputs_Refineries'!$B$85:$B$164,"Boiler"))&gt;0,SUMIFS('Key inputs_Refineries'!AD$85:AD$164,'Key inputs_Refineries'!$C$85:$C$164,$C239,'Key inputs_Refineries'!$B$85:$B$164,"Boiler")/SUM(SUMIFS('Key inputs_Refineries'!AD$85:AD$164,'Key inputs_Refineries'!$C$85:$C$164,$C238:$C247,'Key inputs_Refineries'!$B$85:$B$164,"Boiler"))&lt;0.001),0.001,SUMIFS('Key inputs_Refineries'!AD$85:AD$164,'Key inputs_Refineries'!$C$85:$C$164,$C239,'Key inputs_Refineries'!$B$85:$B$164,"Boiler")/SUM(SUMIFS('Key inputs_Refineries'!AD$85:AD$164,'Key inputs_Refineries'!$C$85:$C$164,$C238:$C247,'Key inputs_Refineries'!$B$85:$B$164,"Boiler"))),0)</f>
        <v>0</v>
      </c>
      <c r="AK239" s="173" cm="1">
        <f t="array" ref="AK239">IFERROR(IF(AND(SUMIFS('Key inputs_Refineries'!AE$85:AE$164,'Key inputs_Refineries'!$C$85:$C$164,$C239,'Key inputs_Refineries'!$B$85:$B$164,"Boiler")/SUM(SUMIFS('Key inputs_Refineries'!AE$85:AE$164,'Key inputs_Refineries'!$C$85:$C$164,$C238:$C247,'Key inputs_Refineries'!$B$85:$B$164,"Boiler"))&gt;0,SUMIFS('Key inputs_Refineries'!AE$85:AE$164,'Key inputs_Refineries'!$C$85:$C$164,$C239,'Key inputs_Refineries'!$B$85:$B$164,"Boiler")/SUM(SUMIFS('Key inputs_Refineries'!AE$85:AE$164,'Key inputs_Refineries'!$C$85:$C$164,$C238:$C247,'Key inputs_Refineries'!$B$85:$B$164,"Boiler"))&lt;0.001),0.001,SUMIFS('Key inputs_Refineries'!AE$85:AE$164,'Key inputs_Refineries'!$C$85:$C$164,$C239,'Key inputs_Refineries'!$B$85:$B$164,"Boiler")/SUM(SUMIFS('Key inputs_Refineries'!AE$85:AE$164,'Key inputs_Refineries'!$C$85:$C$164,$C238:$C247,'Key inputs_Refineries'!$B$85:$B$164,"Boiler"))),0)</f>
        <v>1E-3</v>
      </c>
      <c r="AL239" s="173" cm="1">
        <f t="array" ref="AL239">IFERROR(IF(AND(SUMIFS('Key inputs_Refineries'!AF$85:AF$164,'Key inputs_Refineries'!$C$85:$C$164,$C239,'Key inputs_Refineries'!$B$85:$B$164,"Boiler")/SUM(SUMIFS('Key inputs_Refineries'!AF$85:AF$164,'Key inputs_Refineries'!$C$85:$C$164,$C238:$C247,'Key inputs_Refineries'!$B$85:$B$164,"Boiler"))&gt;0,SUMIFS('Key inputs_Refineries'!AF$85:AF$164,'Key inputs_Refineries'!$C$85:$C$164,$C239,'Key inputs_Refineries'!$B$85:$B$164,"Boiler")/SUM(SUMIFS('Key inputs_Refineries'!AF$85:AF$164,'Key inputs_Refineries'!$C$85:$C$164,$C238:$C247,'Key inputs_Refineries'!$B$85:$B$164,"Boiler"))&lt;0.001),0.001,SUMIFS('Key inputs_Refineries'!AF$85:AF$164,'Key inputs_Refineries'!$C$85:$C$164,$C239,'Key inputs_Refineries'!$B$85:$B$164,"Boiler")/SUM(SUMIFS('Key inputs_Refineries'!AF$85:AF$164,'Key inputs_Refineries'!$C$85:$C$164,$C238:$C247,'Key inputs_Refineries'!$B$85:$B$164,"Boiler"))),0)</f>
        <v>1.1727367954192493E-2</v>
      </c>
    </row>
    <row r="240" spans="1:47">
      <c r="C240" t="str">
        <f>Commodities!$C$81</f>
        <v>UPSBGL</v>
      </c>
      <c r="G240" s="4" t="s">
        <v>702</v>
      </c>
      <c r="H240" t="s">
        <v>661</v>
      </c>
      <c r="I240">
        <v>2019</v>
      </c>
      <c r="J240" t="s">
        <v>650</v>
      </c>
      <c r="K240" s="426">
        <v>0</v>
      </c>
      <c r="L240" s="426">
        <v>0</v>
      </c>
      <c r="M240" s="426">
        <v>0</v>
      </c>
      <c r="N240" s="426">
        <v>0</v>
      </c>
      <c r="O240" s="426">
        <v>0</v>
      </c>
      <c r="P240" s="426">
        <v>0</v>
      </c>
      <c r="Q240" s="426">
        <v>0</v>
      </c>
      <c r="R240" s="426">
        <v>0</v>
      </c>
      <c r="S240" s="426">
        <v>0</v>
      </c>
      <c r="T240" s="426">
        <v>0</v>
      </c>
      <c r="U240" s="426">
        <v>0</v>
      </c>
      <c r="V240" s="426">
        <v>0</v>
      </c>
      <c r="W240" s="426">
        <v>0</v>
      </c>
      <c r="X240" s="426">
        <v>0</v>
      </c>
      <c r="Y240" s="426">
        <v>0</v>
      </c>
      <c r="Z240" s="426">
        <v>0</v>
      </c>
      <c r="AA240" s="426">
        <v>0</v>
      </c>
      <c r="AB240" s="426">
        <v>0</v>
      </c>
      <c r="AC240" s="426">
        <v>0</v>
      </c>
      <c r="AD240" s="426">
        <v>0</v>
      </c>
      <c r="AE240" s="426">
        <v>0</v>
      </c>
      <c r="AF240" s="426">
        <v>0</v>
      </c>
      <c r="AG240" s="426">
        <v>0</v>
      </c>
      <c r="AH240" s="426">
        <v>0</v>
      </c>
      <c r="AI240" s="426">
        <v>0</v>
      </c>
      <c r="AJ240" s="426">
        <v>0</v>
      </c>
      <c r="AK240" s="426">
        <v>0</v>
      </c>
      <c r="AL240" s="426">
        <v>0</v>
      </c>
    </row>
    <row r="241" spans="1:38">
      <c r="C241" t="str">
        <f>Commodities!$C$93</f>
        <v>UPSGSL</v>
      </c>
      <c r="G241" s="4" t="s">
        <v>702</v>
      </c>
      <c r="H241" t="s">
        <v>661</v>
      </c>
      <c r="I241">
        <v>2019</v>
      </c>
      <c r="J241" t="s">
        <v>650</v>
      </c>
      <c r="K241" s="173" cm="1">
        <f t="array" ref="K241">IFERROR(IF(AND(SUMIFS('Key inputs_Refineries'!E$85:E$164,'Key inputs_Refineries'!$C$85:$C$164,$C241,'Key inputs_Refineries'!$B$85:$B$164,"Boiler")/SUM(SUMIFS('Key inputs_Refineries'!E$85:E$164,'Key inputs_Refineries'!$C$85:$C$164,$C238:$C247,'Key inputs_Refineries'!$B$85:$B$164,"Boiler"))&gt;0,SUMIFS('Key inputs_Refineries'!E$85:E$164,'Key inputs_Refineries'!$C$85:$C$164,$C241,'Key inputs_Refineries'!$B$85:$B$164,"Boiler")/SUM(SUMIFS('Key inputs_Refineries'!E$85:E$164,'Key inputs_Refineries'!$C$85:$C$164,$C238:$C247,'Key inputs_Refineries'!$B$85:$B$164,"Boiler"))&lt;0.001),0.001,SUMIFS('Key inputs_Refineries'!E$85:E$164,'Key inputs_Refineries'!$C$85:$C$164,$C241,'Key inputs_Refineries'!$B$85:$B$164,"Boiler")/SUM(SUMIFS('Key inputs_Refineries'!E$85:E$164,'Key inputs_Refineries'!$C$85:$C$164,$C238:$C247,'Key inputs_Refineries'!$B$85:$B$164,"Boiler"))),0)</f>
        <v>0</v>
      </c>
      <c r="L241" s="173" cm="1">
        <f t="array" ref="L241">IFERROR(IF(AND(SUMIFS('Key inputs_Refineries'!F$85:F$164,'Key inputs_Refineries'!$C$85:$C$164,$C241,'Key inputs_Refineries'!$B$85:$B$164,"Boiler")/SUM(SUMIFS('Key inputs_Refineries'!F$85:F$164,'Key inputs_Refineries'!$C$85:$C$164,$C238:$C247,'Key inputs_Refineries'!$B$85:$B$164,"Boiler"))&gt;0,SUMIFS('Key inputs_Refineries'!F$85:F$164,'Key inputs_Refineries'!$C$85:$C$164,$C241,'Key inputs_Refineries'!$B$85:$B$164,"Boiler")/SUM(SUMIFS('Key inputs_Refineries'!F$85:F$164,'Key inputs_Refineries'!$C$85:$C$164,$C238:$C247,'Key inputs_Refineries'!$B$85:$B$164,"Boiler"))&lt;0.001),0.001,SUMIFS('Key inputs_Refineries'!F$85:F$164,'Key inputs_Refineries'!$C$85:$C$164,$C241,'Key inputs_Refineries'!$B$85:$B$164,"Boiler")/SUM(SUMIFS('Key inputs_Refineries'!F$85:F$164,'Key inputs_Refineries'!$C$85:$C$164,$C238:$C247,'Key inputs_Refineries'!$B$85:$B$164,"Boiler"))),0)</f>
        <v>0</v>
      </c>
      <c r="M241" s="173" cm="1">
        <f t="array" ref="M241">IFERROR(IF(AND(SUMIFS('Key inputs_Refineries'!G$85:G$164,'Key inputs_Refineries'!$C$85:$C$164,$C241,'Key inputs_Refineries'!$B$85:$B$164,"Boiler")/SUM(SUMIFS('Key inputs_Refineries'!G$85:G$164,'Key inputs_Refineries'!$C$85:$C$164,$C238:$C247,'Key inputs_Refineries'!$B$85:$B$164,"Boiler"))&gt;0,SUMIFS('Key inputs_Refineries'!G$85:G$164,'Key inputs_Refineries'!$C$85:$C$164,$C241,'Key inputs_Refineries'!$B$85:$B$164,"Boiler")/SUM(SUMIFS('Key inputs_Refineries'!G$85:G$164,'Key inputs_Refineries'!$C$85:$C$164,$C238:$C247,'Key inputs_Refineries'!$B$85:$B$164,"Boiler"))&lt;0.001),0.001,SUMIFS('Key inputs_Refineries'!G$85:G$164,'Key inputs_Refineries'!$C$85:$C$164,$C241,'Key inputs_Refineries'!$B$85:$B$164,"Boiler")/SUM(SUMIFS('Key inputs_Refineries'!G$85:G$164,'Key inputs_Refineries'!$C$85:$C$164,$C238:$C247,'Key inputs_Refineries'!$B$85:$B$164,"Boiler"))),0)</f>
        <v>0</v>
      </c>
      <c r="N241" s="173" cm="1">
        <f t="array" ref="N241">IFERROR(IF(AND(SUMIFS('Key inputs_Refineries'!H$85:H$164,'Key inputs_Refineries'!$C$85:$C$164,$C241,'Key inputs_Refineries'!$B$85:$B$164,"Boiler")/SUM(SUMIFS('Key inputs_Refineries'!H$85:H$164,'Key inputs_Refineries'!$C$85:$C$164,$C238:$C247,'Key inputs_Refineries'!$B$85:$B$164,"Boiler"))&gt;0,SUMIFS('Key inputs_Refineries'!H$85:H$164,'Key inputs_Refineries'!$C$85:$C$164,$C241,'Key inputs_Refineries'!$B$85:$B$164,"Boiler")/SUM(SUMIFS('Key inputs_Refineries'!H$85:H$164,'Key inputs_Refineries'!$C$85:$C$164,$C238:$C247,'Key inputs_Refineries'!$B$85:$B$164,"Boiler"))&lt;0.001),0.001,SUMIFS('Key inputs_Refineries'!H$85:H$164,'Key inputs_Refineries'!$C$85:$C$164,$C241,'Key inputs_Refineries'!$B$85:$B$164,"Boiler")/SUM(SUMIFS('Key inputs_Refineries'!H$85:H$164,'Key inputs_Refineries'!$C$85:$C$164,$C238:$C247,'Key inputs_Refineries'!$B$85:$B$164,"Boiler"))),0)</f>
        <v>0</v>
      </c>
      <c r="O241" s="173" cm="1">
        <f t="array" ref="O241">IFERROR(IF(AND(SUMIFS('Key inputs_Refineries'!I$85:I$164,'Key inputs_Refineries'!$C$85:$C$164,$C241,'Key inputs_Refineries'!$B$85:$B$164,"Boiler")/SUM(SUMIFS('Key inputs_Refineries'!I$85:I$164,'Key inputs_Refineries'!$C$85:$C$164,$C238:$C247,'Key inputs_Refineries'!$B$85:$B$164,"Boiler"))&gt;0,SUMIFS('Key inputs_Refineries'!I$85:I$164,'Key inputs_Refineries'!$C$85:$C$164,$C241,'Key inputs_Refineries'!$B$85:$B$164,"Boiler")/SUM(SUMIFS('Key inputs_Refineries'!I$85:I$164,'Key inputs_Refineries'!$C$85:$C$164,$C238:$C247,'Key inputs_Refineries'!$B$85:$B$164,"Boiler"))&lt;0.001),0.001,SUMIFS('Key inputs_Refineries'!I$85:I$164,'Key inputs_Refineries'!$C$85:$C$164,$C241,'Key inputs_Refineries'!$B$85:$B$164,"Boiler")/SUM(SUMIFS('Key inputs_Refineries'!I$85:I$164,'Key inputs_Refineries'!$C$85:$C$164,$C238:$C247,'Key inputs_Refineries'!$B$85:$B$164,"Boiler"))),0)</f>
        <v>0</v>
      </c>
      <c r="P241" s="173" cm="1">
        <f t="array" ref="P241">IFERROR(IF(AND(SUMIFS('Key inputs_Refineries'!J$85:J$164,'Key inputs_Refineries'!$C$85:$C$164,$C241,'Key inputs_Refineries'!$B$85:$B$164,"Boiler")/SUM(SUMIFS('Key inputs_Refineries'!J$85:J$164,'Key inputs_Refineries'!$C$85:$C$164,$C238:$C247,'Key inputs_Refineries'!$B$85:$B$164,"Boiler"))&gt;0,SUMIFS('Key inputs_Refineries'!J$85:J$164,'Key inputs_Refineries'!$C$85:$C$164,$C241,'Key inputs_Refineries'!$B$85:$B$164,"Boiler")/SUM(SUMIFS('Key inputs_Refineries'!J$85:J$164,'Key inputs_Refineries'!$C$85:$C$164,$C238:$C247,'Key inputs_Refineries'!$B$85:$B$164,"Boiler"))&lt;0.001),0.001,SUMIFS('Key inputs_Refineries'!J$85:J$164,'Key inputs_Refineries'!$C$85:$C$164,$C241,'Key inputs_Refineries'!$B$85:$B$164,"Boiler")/SUM(SUMIFS('Key inputs_Refineries'!J$85:J$164,'Key inputs_Refineries'!$C$85:$C$164,$C238:$C247,'Key inputs_Refineries'!$B$85:$B$164,"Boiler"))),0)</f>
        <v>0</v>
      </c>
      <c r="Q241" s="173" cm="1">
        <f t="array" ref="Q241">IFERROR(IF(AND(SUMIFS('Key inputs_Refineries'!K$85:K$164,'Key inputs_Refineries'!$C$85:$C$164,$C241,'Key inputs_Refineries'!$B$85:$B$164,"Boiler")/SUM(SUMIFS('Key inputs_Refineries'!K$85:K$164,'Key inputs_Refineries'!$C$85:$C$164,$C238:$C247,'Key inputs_Refineries'!$B$85:$B$164,"Boiler"))&gt;0,SUMIFS('Key inputs_Refineries'!K$85:K$164,'Key inputs_Refineries'!$C$85:$C$164,$C241,'Key inputs_Refineries'!$B$85:$B$164,"Boiler")/SUM(SUMIFS('Key inputs_Refineries'!K$85:K$164,'Key inputs_Refineries'!$C$85:$C$164,$C238:$C247,'Key inputs_Refineries'!$B$85:$B$164,"Boiler"))&lt;0.001),0.001,SUMIFS('Key inputs_Refineries'!K$85:K$164,'Key inputs_Refineries'!$C$85:$C$164,$C241,'Key inputs_Refineries'!$B$85:$B$164,"Boiler")/SUM(SUMIFS('Key inputs_Refineries'!K$85:K$164,'Key inputs_Refineries'!$C$85:$C$164,$C238:$C247,'Key inputs_Refineries'!$B$85:$B$164,"Boiler"))),0)</f>
        <v>0</v>
      </c>
      <c r="R241" s="173" cm="1">
        <f t="array" ref="R241">IFERROR(IF(AND(SUMIFS('Key inputs_Refineries'!L$85:L$164,'Key inputs_Refineries'!$C$85:$C$164,$C241,'Key inputs_Refineries'!$B$85:$B$164,"Boiler")/SUM(SUMIFS('Key inputs_Refineries'!L$85:L$164,'Key inputs_Refineries'!$C$85:$C$164,$C238:$C247,'Key inputs_Refineries'!$B$85:$B$164,"Boiler"))&gt;0,SUMIFS('Key inputs_Refineries'!L$85:L$164,'Key inputs_Refineries'!$C$85:$C$164,$C241,'Key inputs_Refineries'!$B$85:$B$164,"Boiler")/SUM(SUMIFS('Key inputs_Refineries'!L$85:L$164,'Key inputs_Refineries'!$C$85:$C$164,$C238:$C247,'Key inputs_Refineries'!$B$85:$B$164,"Boiler"))&lt;0.001),0.001,SUMIFS('Key inputs_Refineries'!L$85:L$164,'Key inputs_Refineries'!$C$85:$C$164,$C241,'Key inputs_Refineries'!$B$85:$B$164,"Boiler")/SUM(SUMIFS('Key inputs_Refineries'!L$85:L$164,'Key inputs_Refineries'!$C$85:$C$164,$C238:$C247,'Key inputs_Refineries'!$B$85:$B$164,"Boiler"))),0)</f>
        <v>0</v>
      </c>
      <c r="S241" s="173" cm="1">
        <f t="array" ref="S241">IFERROR(IF(AND(SUMIFS('Key inputs_Refineries'!M$85:M$164,'Key inputs_Refineries'!$C$85:$C$164,$C241,'Key inputs_Refineries'!$B$85:$B$164,"Boiler")/SUM(SUMIFS('Key inputs_Refineries'!M$85:M$164,'Key inputs_Refineries'!$C$85:$C$164,$C238:$C247,'Key inputs_Refineries'!$B$85:$B$164,"Boiler"))&gt;0,SUMIFS('Key inputs_Refineries'!M$85:M$164,'Key inputs_Refineries'!$C$85:$C$164,$C241,'Key inputs_Refineries'!$B$85:$B$164,"Boiler")/SUM(SUMIFS('Key inputs_Refineries'!M$85:M$164,'Key inputs_Refineries'!$C$85:$C$164,$C238:$C247,'Key inputs_Refineries'!$B$85:$B$164,"Boiler"))&lt;0.001),0.001,SUMIFS('Key inputs_Refineries'!M$85:M$164,'Key inputs_Refineries'!$C$85:$C$164,$C241,'Key inputs_Refineries'!$B$85:$B$164,"Boiler")/SUM(SUMIFS('Key inputs_Refineries'!M$85:M$164,'Key inputs_Refineries'!$C$85:$C$164,$C238:$C247,'Key inputs_Refineries'!$B$85:$B$164,"Boiler"))),0)</f>
        <v>0</v>
      </c>
      <c r="T241" s="173" cm="1">
        <f t="array" ref="T241">IFERROR(IF(AND(SUMIFS('Key inputs_Refineries'!N$85:N$164,'Key inputs_Refineries'!$C$85:$C$164,$C241,'Key inputs_Refineries'!$B$85:$B$164,"Boiler")/SUM(SUMIFS('Key inputs_Refineries'!N$85:N$164,'Key inputs_Refineries'!$C$85:$C$164,$C238:$C247,'Key inputs_Refineries'!$B$85:$B$164,"Boiler"))&gt;0,SUMIFS('Key inputs_Refineries'!N$85:N$164,'Key inputs_Refineries'!$C$85:$C$164,$C241,'Key inputs_Refineries'!$B$85:$B$164,"Boiler")/SUM(SUMIFS('Key inputs_Refineries'!N$85:N$164,'Key inputs_Refineries'!$C$85:$C$164,$C238:$C247,'Key inputs_Refineries'!$B$85:$B$164,"Boiler"))&lt;0.001),0.001,SUMIFS('Key inputs_Refineries'!N$85:N$164,'Key inputs_Refineries'!$C$85:$C$164,$C241,'Key inputs_Refineries'!$B$85:$B$164,"Boiler")/SUM(SUMIFS('Key inputs_Refineries'!N$85:N$164,'Key inputs_Refineries'!$C$85:$C$164,$C238:$C247,'Key inputs_Refineries'!$B$85:$B$164,"Boiler"))),0)</f>
        <v>2.7912331012078389E-2</v>
      </c>
      <c r="U241" s="173" cm="1">
        <f t="array" ref="U241">IFERROR(IF(AND(SUMIFS('Key inputs_Refineries'!O$85:O$164,'Key inputs_Refineries'!$C$85:$C$164,$C241,'Key inputs_Refineries'!$B$85:$B$164,"Boiler")/SUM(SUMIFS('Key inputs_Refineries'!O$85:O$164,'Key inputs_Refineries'!$C$85:$C$164,$C238:$C247,'Key inputs_Refineries'!$B$85:$B$164,"Boiler"))&gt;0,SUMIFS('Key inputs_Refineries'!O$85:O$164,'Key inputs_Refineries'!$C$85:$C$164,$C241,'Key inputs_Refineries'!$B$85:$B$164,"Boiler")/SUM(SUMIFS('Key inputs_Refineries'!O$85:O$164,'Key inputs_Refineries'!$C$85:$C$164,$C238:$C247,'Key inputs_Refineries'!$B$85:$B$164,"Boiler"))&lt;0.001),0.001,SUMIFS('Key inputs_Refineries'!O$85:O$164,'Key inputs_Refineries'!$C$85:$C$164,$C241,'Key inputs_Refineries'!$B$85:$B$164,"Boiler")/SUM(SUMIFS('Key inputs_Refineries'!O$85:O$164,'Key inputs_Refineries'!$C$85:$C$164,$C238:$C247,'Key inputs_Refineries'!$B$85:$B$164,"Boiler"))),0)</f>
        <v>0</v>
      </c>
      <c r="V241" s="173" cm="1">
        <f t="array" ref="V241">IFERROR(IF(AND(SUMIFS('Key inputs_Refineries'!P$85:P$164,'Key inputs_Refineries'!$C$85:$C$164,$C241,'Key inputs_Refineries'!$B$85:$B$164,"Boiler")/SUM(SUMIFS('Key inputs_Refineries'!P$85:P$164,'Key inputs_Refineries'!$C$85:$C$164,$C238:$C247,'Key inputs_Refineries'!$B$85:$B$164,"Boiler"))&gt;0,SUMIFS('Key inputs_Refineries'!P$85:P$164,'Key inputs_Refineries'!$C$85:$C$164,$C241,'Key inputs_Refineries'!$B$85:$B$164,"Boiler")/SUM(SUMIFS('Key inputs_Refineries'!P$85:P$164,'Key inputs_Refineries'!$C$85:$C$164,$C238:$C247,'Key inputs_Refineries'!$B$85:$B$164,"Boiler"))&lt;0.001),0.001,SUMIFS('Key inputs_Refineries'!P$85:P$164,'Key inputs_Refineries'!$C$85:$C$164,$C241,'Key inputs_Refineries'!$B$85:$B$164,"Boiler")/SUM(SUMIFS('Key inputs_Refineries'!P$85:P$164,'Key inputs_Refineries'!$C$85:$C$164,$C238:$C247,'Key inputs_Refineries'!$B$85:$B$164,"Boiler"))),0)</f>
        <v>1E-3</v>
      </c>
      <c r="W241" s="173" cm="1">
        <f t="array" ref="W241">IFERROR(IF(AND(SUMIFS('Key inputs_Refineries'!Q$85:Q$164,'Key inputs_Refineries'!$C$85:$C$164,$C241,'Key inputs_Refineries'!$B$85:$B$164,"Boiler")/SUM(SUMIFS('Key inputs_Refineries'!Q$85:Q$164,'Key inputs_Refineries'!$C$85:$C$164,$C238:$C247,'Key inputs_Refineries'!$B$85:$B$164,"Boiler"))&gt;0,SUMIFS('Key inputs_Refineries'!Q$85:Q$164,'Key inputs_Refineries'!$C$85:$C$164,$C241,'Key inputs_Refineries'!$B$85:$B$164,"Boiler")/SUM(SUMIFS('Key inputs_Refineries'!Q$85:Q$164,'Key inputs_Refineries'!$C$85:$C$164,$C238:$C247,'Key inputs_Refineries'!$B$85:$B$164,"Boiler"))&lt;0.001),0.001,SUMIFS('Key inputs_Refineries'!Q$85:Q$164,'Key inputs_Refineries'!$C$85:$C$164,$C241,'Key inputs_Refineries'!$B$85:$B$164,"Boiler")/SUM(SUMIFS('Key inputs_Refineries'!Q$85:Q$164,'Key inputs_Refineries'!$C$85:$C$164,$C238:$C247,'Key inputs_Refineries'!$B$85:$B$164,"Boiler"))),0)</f>
        <v>0</v>
      </c>
      <c r="X241" s="173" cm="1">
        <f t="array" ref="X241">IFERROR(IF(AND(SUMIFS('Key inputs_Refineries'!R$85:R$164,'Key inputs_Refineries'!$C$85:$C$164,$C241,'Key inputs_Refineries'!$B$85:$B$164,"Boiler")/SUM(SUMIFS('Key inputs_Refineries'!R$85:R$164,'Key inputs_Refineries'!$C$85:$C$164,$C238:$C247,'Key inputs_Refineries'!$B$85:$B$164,"Boiler"))&gt;0,SUMIFS('Key inputs_Refineries'!R$85:R$164,'Key inputs_Refineries'!$C$85:$C$164,$C241,'Key inputs_Refineries'!$B$85:$B$164,"Boiler")/SUM(SUMIFS('Key inputs_Refineries'!R$85:R$164,'Key inputs_Refineries'!$C$85:$C$164,$C238:$C247,'Key inputs_Refineries'!$B$85:$B$164,"Boiler"))&lt;0.001),0.001,SUMIFS('Key inputs_Refineries'!R$85:R$164,'Key inputs_Refineries'!$C$85:$C$164,$C241,'Key inputs_Refineries'!$B$85:$B$164,"Boiler")/SUM(SUMIFS('Key inputs_Refineries'!R$85:R$164,'Key inputs_Refineries'!$C$85:$C$164,$C238:$C247,'Key inputs_Refineries'!$B$85:$B$164,"Boiler"))),0)</f>
        <v>0</v>
      </c>
      <c r="Y241" s="173" cm="1">
        <f t="array" ref="Y241">IFERROR(IF(AND(SUMIFS('Key inputs_Refineries'!S$85:S$164,'Key inputs_Refineries'!$C$85:$C$164,$C241,'Key inputs_Refineries'!$B$85:$B$164,"Boiler")/SUM(SUMIFS('Key inputs_Refineries'!S$85:S$164,'Key inputs_Refineries'!$C$85:$C$164,$C238:$C247,'Key inputs_Refineries'!$B$85:$B$164,"Boiler"))&gt;0,SUMIFS('Key inputs_Refineries'!S$85:S$164,'Key inputs_Refineries'!$C$85:$C$164,$C241,'Key inputs_Refineries'!$B$85:$B$164,"Boiler")/SUM(SUMIFS('Key inputs_Refineries'!S$85:S$164,'Key inputs_Refineries'!$C$85:$C$164,$C238:$C247,'Key inputs_Refineries'!$B$85:$B$164,"Boiler"))&lt;0.001),0.001,SUMIFS('Key inputs_Refineries'!S$85:S$164,'Key inputs_Refineries'!$C$85:$C$164,$C241,'Key inputs_Refineries'!$B$85:$B$164,"Boiler")/SUM(SUMIFS('Key inputs_Refineries'!S$85:S$164,'Key inputs_Refineries'!$C$85:$C$164,$C238:$C247,'Key inputs_Refineries'!$B$85:$B$164,"Boiler"))),0)</f>
        <v>0</v>
      </c>
      <c r="Z241" s="173" cm="1">
        <f t="array" ref="Z241">IFERROR(IF(AND(SUMIFS('Key inputs_Refineries'!T$85:T$164,'Key inputs_Refineries'!$C$85:$C$164,$C241,'Key inputs_Refineries'!$B$85:$B$164,"Boiler")/SUM(SUMIFS('Key inputs_Refineries'!T$85:T$164,'Key inputs_Refineries'!$C$85:$C$164,$C238:$C247,'Key inputs_Refineries'!$B$85:$B$164,"Boiler"))&gt;0,SUMIFS('Key inputs_Refineries'!T$85:T$164,'Key inputs_Refineries'!$C$85:$C$164,$C241,'Key inputs_Refineries'!$B$85:$B$164,"Boiler")/SUM(SUMIFS('Key inputs_Refineries'!T$85:T$164,'Key inputs_Refineries'!$C$85:$C$164,$C238:$C247,'Key inputs_Refineries'!$B$85:$B$164,"Boiler"))&lt;0.001),0.001,SUMIFS('Key inputs_Refineries'!T$85:T$164,'Key inputs_Refineries'!$C$85:$C$164,$C241,'Key inputs_Refineries'!$B$85:$B$164,"Boiler")/SUM(SUMIFS('Key inputs_Refineries'!T$85:T$164,'Key inputs_Refineries'!$C$85:$C$164,$C238:$C247,'Key inputs_Refineries'!$B$85:$B$164,"Boiler"))),0)</f>
        <v>0</v>
      </c>
      <c r="AA241" s="173" cm="1">
        <f t="array" ref="AA241">IFERROR(IF(AND(SUMIFS('Key inputs_Refineries'!U$85:U$164,'Key inputs_Refineries'!$C$85:$C$164,$C241,'Key inputs_Refineries'!$B$85:$B$164,"Boiler")/SUM(SUMIFS('Key inputs_Refineries'!U$85:U$164,'Key inputs_Refineries'!$C$85:$C$164,$C238:$C247,'Key inputs_Refineries'!$B$85:$B$164,"Boiler"))&gt;0,SUMIFS('Key inputs_Refineries'!U$85:U$164,'Key inputs_Refineries'!$C$85:$C$164,$C241,'Key inputs_Refineries'!$B$85:$B$164,"Boiler")/SUM(SUMIFS('Key inputs_Refineries'!U$85:U$164,'Key inputs_Refineries'!$C$85:$C$164,$C238:$C247,'Key inputs_Refineries'!$B$85:$B$164,"Boiler"))&lt;0.001),0.001,SUMIFS('Key inputs_Refineries'!U$85:U$164,'Key inputs_Refineries'!$C$85:$C$164,$C241,'Key inputs_Refineries'!$B$85:$B$164,"Boiler")/SUM(SUMIFS('Key inputs_Refineries'!U$85:U$164,'Key inputs_Refineries'!$C$85:$C$164,$C238:$C247,'Key inputs_Refineries'!$B$85:$B$164,"Boiler"))),0)</f>
        <v>0</v>
      </c>
      <c r="AB241" s="173" cm="1">
        <f t="array" ref="AB241">IFERROR(IF(AND(SUMIFS('Key inputs_Refineries'!V$85:V$164,'Key inputs_Refineries'!$C$85:$C$164,$C241,'Key inputs_Refineries'!$B$85:$B$164,"Boiler")/SUM(SUMIFS('Key inputs_Refineries'!V$85:V$164,'Key inputs_Refineries'!$C$85:$C$164,$C238:$C247,'Key inputs_Refineries'!$B$85:$B$164,"Boiler"))&gt;0,SUMIFS('Key inputs_Refineries'!V$85:V$164,'Key inputs_Refineries'!$C$85:$C$164,$C241,'Key inputs_Refineries'!$B$85:$B$164,"Boiler")/SUM(SUMIFS('Key inputs_Refineries'!V$85:V$164,'Key inputs_Refineries'!$C$85:$C$164,$C238:$C247,'Key inputs_Refineries'!$B$85:$B$164,"Boiler"))&lt;0.001),0.001,SUMIFS('Key inputs_Refineries'!V$85:V$164,'Key inputs_Refineries'!$C$85:$C$164,$C241,'Key inputs_Refineries'!$B$85:$B$164,"Boiler")/SUM(SUMIFS('Key inputs_Refineries'!V$85:V$164,'Key inputs_Refineries'!$C$85:$C$164,$C238:$C247,'Key inputs_Refineries'!$B$85:$B$164,"Boiler"))),0)</f>
        <v>0</v>
      </c>
      <c r="AC241" s="173" cm="1">
        <f t="array" ref="AC241">IFERROR(IF(AND(SUMIFS('Key inputs_Refineries'!W$85:W$164,'Key inputs_Refineries'!$C$85:$C$164,$C241,'Key inputs_Refineries'!$B$85:$B$164,"Boiler")/SUM(SUMIFS('Key inputs_Refineries'!W$85:W$164,'Key inputs_Refineries'!$C$85:$C$164,$C238:$C247,'Key inputs_Refineries'!$B$85:$B$164,"Boiler"))&gt;0,SUMIFS('Key inputs_Refineries'!W$85:W$164,'Key inputs_Refineries'!$C$85:$C$164,$C241,'Key inputs_Refineries'!$B$85:$B$164,"Boiler")/SUM(SUMIFS('Key inputs_Refineries'!W$85:W$164,'Key inputs_Refineries'!$C$85:$C$164,$C238:$C247,'Key inputs_Refineries'!$B$85:$B$164,"Boiler"))&lt;0.001),0.001,SUMIFS('Key inputs_Refineries'!W$85:W$164,'Key inputs_Refineries'!$C$85:$C$164,$C241,'Key inputs_Refineries'!$B$85:$B$164,"Boiler")/SUM(SUMIFS('Key inputs_Refineries'!W$85:W$164,'Key inputs_Refineries'!$C$85:$C$164,$C238:$C247,'Key inputs_Refineries'!$B$85:$B$164,"Boiler"))),0)</f>
        <v>0</v>
      </c>
      <c r="AD241" s="173" cm="1">
        <f t="array" ref="AD241">IFERROR(IF(AND(SUMIFS('Key inputs_Refineries'!X$85:X$164,'Key inputs_Refineries'!$C$85:$C$164,$C241,'Key inputs_Refineries'!$B$85:$B$164,"Boiler")/SUM(SUMIFS('Key inputs_Refineries'!X$85:X$164,'Key inputs_Refineries'!$C$85:$C$164,$C238:$C247,'Key inputs_Refineries'!$B$85:$B$164,"Boiler"))&gt;0,SUMIFS('Key inputs_Refineries'!X$85:X$164,'Key inputs_Refineries'!$C$85:$C$164,$C241,'Key inputs_Refineries'!$B$85:$B$164,"Boiler")/SUM(SUMIFS('Key inputs_Refineries'!X$85:X$164,'Key inputs_Refineries'!$C$85:$C$164,$C238:$C247,'Key inputs_Refineries'!$B$85:$B$164,"Boiler"))&lt;0.001),0.001,SUMIFS('Key inputs_Refineries'!X$85:X$164,'Key inputs_Refineries'!$C$85:$C$164,$C241,'Key inputs_Refineries'!$B$85:$B$164,"Boiler")/SUM(SUMIFS('Key inputs_Refineries'!X$85:X$164,'Key inputs_Refineries'!$C$85:$C$164,$C238:$C247,'Key inputs_Refineries'!$B$85:$B$164,"Boiler"))),0)</f>
        <v>1E-3</v>
      </c>
      <c r="AE241" s="173" cm="1">
        <f t="array" ref="AE241">IFERROR(IF(AND(SUMIFS('Key inputs_Refineries'!Y$85:Y$164,'Key inputs_Refineries'!$C$85:$C$164,$C241,'Key inputs_Refineries'!$B$85:$B$164,"Boiler")/SUM(SUMIFS('Key inputs_Refineries'!Y$85:Y$164,'Key inputs_Refineries'!$C$85:$C$164,$C238:$C247,'Key inputs_Refineries'!$B$85:$B$164,"Boiler"))&gt;0,SUMIFS('Key inputs_Refineries'!Y$85:Y$164,'Key inputs_Refineries'!$C$85:$C$164,$C241,'Key inputs_Refineries'!$B$85:$B$164,"Boiler")/SUM(SUMIFS('Key inputs_Refineries'!Y$85:Y$164,'Key inputs_Refineries'!$C$85:$C$164,$C238:$C247,'Key inputs_Refineries'!$B$85:$B$164,"Boiler"))&lt;0.001),0.001,SUMIFS('Key inputs_Refineries'!Y$85:Y$164,'Key inputs_Refineries'!$C$85:$C$164,$C241,'Key inputs_Refineries'!$B$85:$B$164,"Boiler")/SUM(SUMIFS('Key inputs_Refineries'!Y$85:Y$164,'Key inputs_Refineries'!$C$85:$C$164,$C238:$C247,'Key inputs_Refineries'!$B$85:$B$164,"Boiler"))),0)</f>
        <v>2.0134433337153691E-2</v>
      </c>
      <c r="AF241" s="173" cm="1">
        <f t="array" ref="AF241">IFERROR(IF(AND(SUMIFS('Key inputs_Refineries'!Z$85:Z$164,'Key inputs_Refineries'!$C$85:$C$164,$C241,'Key inputs_Refineries'!$B$85:$B$164,"Boiler")/SUM(SUMIFS('Key inputs_Refineries'!Z$85:Z$164,'Key inputs_Refineries'!$C$85:$C$164,$C238:$C247,'Key inputs_Refineries'!$B$85:$B$164,"Boiler"))&gt;0,SUMIFS('Key inputs_Refineries'!Z$85:Z$164,'Key inputs_Refineries'!$C$85:$C$164,$C241,'Key inputs_Refineries'!$B$85:$B$164,"Boiler")/SUM(SUMIFS('Key inputs_Refineries'!Z$85:Z$164,'Key inputs_Refineries'!$C$85:$C$164,$C238:$C247,'Key inputs_Refineries'!$B$85:$B$164,"Boiler"))&lt;0.001),0.001,SUMIFS('Key inputs_Refineries'!Z$85:Z$164,'Key inputs_Refineries'!$C$85:$C$164,$C241,'Key inputs_Refineries'!$B$85:$B$164,"Boiler")/SUM(SUMIFS('Key inputs_Refineries'!Z$85:Z$164,'Key inputs_Refineries'!$C$85:$C$164,$C238:$C247,'Key inputs_Refineries'!$B$85:$B$164,"Boiler"))),0)</f>
        <v>0</v>
      </c>
      <c r="AG241" s="173" cm="1">
        <f t="array" ref="AG241">IFERROR(IF(AND(SUMIFS('Key inputs_Refineries'!AA$85:AA$164,'Key inputs_Refineries'!$C$85:$C$164,$C241,'Key inputs_Refineries'!$B$85:$B$164,"Boiler")/SUM(SUMIFS('Key inputs_Refineries'!AA$85:AA$164,'Key inputs_Refineries'!$C$85:$C$164,$C238:$C247,'Key inputs_Refineries'!$B$85:$B$164,"Boiler"))&gt;0,SUMIFS('Key inputs_Refineries'!AA$85:AA$164,'Key inputs_Refineries'!$C$85:$C$164,$C241,'Key inputs_Refineries'!$B$85:$B$164,"Boiler")/SUM(SUMIFS('Key inputs_Refineries'!AA$85:AA$164,'Key inputs_Refineries'!$C$85:$C$164,$C238:$C247,'Key inputs_Refineries'!$B$85:$B$164,"Boiler"))&lt;0.001),0.001,SUMIFS('Key inputs_Refineries'!AA$85:AA$164,'Key inputs_Refineries'!$C$85:$C$164,$C241,'Key inputs_Refineries'!$B$85:$B$164,"Boiler")/SUM(SUMIFS('Key inputs_Refineries'!AA$85:AA$164,'Key inputs_Refineries'!$C$85:$C$164,$C238:$C247,'Key inputs_Refineries'!$B$85:$B$164,"Boiler"))),0)</f>
        <v>0</v>
      </c>
      <c r="AH241" s="173" cm="1">
        <f t="array" ref="AH241">IFERROR(IF(AND(SUMIFS('Key inputs_Refineries'!AB$85:AB$164,'Key inputs_Refineries'!$C$85:$C$164,$C241,'Key inputs_Refineries'!$B$85:$B$164,"Boiler")/SUM(SUMIFS('Key inputs_Refineries'!AB$85:AB$164,'Key inputs_Refineries'!$C$85:$C$164,$C238:$C247,'Key inputs_Refineries'!$B$85:$B$164,"Boiler"))&gt;0,SUMIFS('Key inputs_Refineries'!AB$85:AB$164,'Key inputs_Refineries'!$C$85:$C$164,$C241,'Key inputs_Refineries'!$B$85:$B$164,"Boiler")/SUM(SUMIFS('Key inputs_Refineries'!AB$85:AB$164,'Key inputs_Refineries'!$C$85:$C$164,$C238:$C247,'Key inputs_Refineries'!$B$85:$B$164,"Boiler"))&lt;0.001),0.001,SUMIFS('Key inputs_Refineries'!AB$85:AB$164,'Key inputs_Refineries'!$C$85:$C$164,$C241,'Key inputs_Refineries'!$B$85:$B$164,"Boiler")/SUM(SUMIFS('Key inputs_Refineries'!AB$85:AB$164,'Key inputs_Refineries'!$C$85:$C$164,$C238:$C247,'Key inputs_Refineries'!$B$85:$B$164,"Boiler"))),0)</f>
        <v>0</v>
      </c>
      <c r="AI241" s="173" cm="1">
        <f t="array" ref="AI241">IFERROR(IF(AND(SUMIFS('Key inputs_Refineries'!AC$85:AC$164,'Key inputs_Refineries'!$C$85:$C$164,$C241,'Key inputs_Refineries'!$B$85:$B$164,"Boiler")/SUM(SUMIFS('Key inputs_Refineries'!AC$85:AC$164,'Key inputs_Refineries'!$C$85:$C$164,$C238:$C247,'Key inputs_Refineries'!$B$85:$B$164,"Boiler"))&gt;0,SUMIFS('Key inputs_Refineries'!AC$85:AC$164,'Key inputs_Refineries'!$C$85:$C$164,$C241,'Key inputs_Refineries'!$B$85:$B$164,"Boiler")/SUM(SUMIFS('Key inputs_Refineries'!AC$85:AC$164,'Key inputs_Refineries'!$C$85:$C$164,$C238:$C247,'Key inputs_Refineries'!$B$85:$B$164,"Boiler"))&lt;0.001),0.001,SUMIFS('Key inputs_Refineries'!AC$85:AC$164,'Key inputs_Refineries'!$C$85:$C$164,$C241,'Key inputs_Refineries'!$B$85:$B$164,"Boiler")/SUM(SUMIFS('Key inputs_Refineries'!AC$85:AC$164,'Key inputs_Refineries'!$C$85:$C$164,$C238:$C247,'Key inputs_Refineries'!$B$85:$B$164,"Boiler"))),0)</f>
        <v>0</v>
      </c>
      <c r="AJ241" s="173" cm="1">
        <f t="array" ref="AJ241">IFERROR(IF(AND(SUMIFS('Key inputs_Refineries'!AD$85:AD$164,'Key inputs_Refineries'!$C$85:$C$164,$C241,'Key inputs_Refineries'!$B$85:$B$164,"Boiler")/SUM(SUMIFS('Key inputs_Refineries'!AD$85:AD$164,'Key inputs_Refineries'!$C$85:$C$164,$C238:$C247,'Key inputs_Refineries'!$B$85:$B$164,"Boiler"))&gt;0,SUMIFS('Key inputs_Refineries'!AD$85:AD$164,'Key inputs_Refineries'!$C$85:$C$164,$C241,'Key inputs_Refineries'!$B$85:$B$164,"Boiler")/SUM(SUMIFS('Key inputs_Refineries'!AD$85:AD$164,'Key inputs_Refineries'!$C$85:$C$164,$C238:$C247,'Key inputs_Refineries'!$B$85:$B$164,"Boiler"))&lt;0.001),0.001,SUMIFS('Key inputs_Refineries'!AD$85:AD$164,'Key inputs_Refineries'!$C$85:$C$164,$C241,'Key inputs_Refineries'!$B$85:$B$164,"Boiler")/SUM(SUMIFS('Key inputs_Refineries'!AD$85:AD$164,'Key inputs_Refineries'!$C$85:$C$164,$C238:$C247,'Key inputs_Refineries'!$B$85:$B$164,"Boiler"))),0)</f>
        <v>0</v>
      </c>
      <c r="AK241" s="173" cm="1">
        <f t="array" ref="AK241">IFERROR(IF(AND(SUMIFS('Key inputs_Refineries'!AE$85:AE$164,'Key inputs_Refineries'!$C$85:$C$164,$C241,'Key inputs_Refineries'!$B$85:$B$164,"Boiler")/SUM(SUMIFS('Key inputs_Refineries'!AE$85:AE$164,'Key inputs_Refineries'!$C$85:$C$164,$C238:$C247,'Key inputs_Refineries'!$B$85:$B$164,"Boiler"))&gt;0,SUMIFS('Key inputs_Refineries'!AE$85:AE$164,'Key inputs_Refineries'!$C$85:$C$164,$C241,'Key inputs_Refineries'!$B$85:$B$164,"Boiler")/SUM(SUMIFS('Key inputs_Refineries'!AE$85:AE$164,'Key inputs_Refineries'!$C$85:$C$164,$C238:$C247,'Key inputs_Refineries'!$B$85:$B$164,"Boiler"))&lt;0.001),0.001,SUMIFS('Key inputs_Refineries'!AE$85:AE$164,'Key inputs_Refineries'!$C$85:$C$164,$C241,'Key inputs_Refineries'!$B$85:$B$164,"Boiler")/SUM(SUMIFS('Key inputs_Refineries'!AE$85:AE$164,'Key inputs_Refineries'!$C$85:$C$164,$C238:$C247,'Key inputs_Refineries'!$B$85:$B$164,"Boiler"))),0)</f>
        <v>0</v>
      </c>
      <c r="AL241" s="173" cm="1">
        <f t="array" ref="AL241">IFERROR(IF(AND(SUMIFS('Key inputs_Refineries'!AF$85:AF$164,'Key inputs_Refineries'!$C$85:$C$164,$C241,'Key inputs_Refineries'!$B$85:$B$164,"Boiler")/SUM(SUMIFS('Key inputs_Refineries'!AF$85:AF$164,'Key inputs_Refineries'!$C$85:$C$164,$C238:$C247,'Key inputs_Refineries'!$B$85:$B$164,"Boiler"))&gt;0,SUMIFS('Key inputs_Refineries'!AF$85:AF$164,'Key inputs_Refineries'!$C$85:$C$164,$C241,'Key inputs_Refineries'!$B$85:$B$164,"Boiler")/SUM(SUMIFS('Key inputs_Refineries'!AF$85:AF$164,'Key inputs_Refineries'!$C$85:$C$164,$C238:$C247,'Key inputs_Refineries'!$B$85:$B$164,"Boiler"))&lt;0.001),0.001,SUMIFS('Key inputs_Refineries'!AF$85:AF$164,'Key inputs_Refineries'!$C$85:$C$164,$C241,'Key inputs_Refineries'!$B$85:$B$164,"Boiler")/SUM(SUMIFS('Key inputs_Refineries'!AF$85:AF$164,'Key inputs_Refineries'!$C$85:$C$164,$C238:$C247,'Key inputs_Refineries'!$B$85:$B$164,"Boiler"))),0)</f>
        <v>2.4176673865044865E-3</v>
      </c>
    </row>
    <row r="242" spans="1:38">
      <c r="C242" t="str">
        <f>Commodities!$C$95</f>
        <v>UPSHFO</v>
      </c>
      <c r="G242" s="4" t="s">
        <v>702</v>
      </c>
      <c r="H242" t="s">
        <v>661</v>
      </c>
      <c r="I242">
        <v>2019</v>
      </c>
      <c r="J242" t="s">
        <v>650</v>
      </c>
      <c r="K242" s="173" cm="1">
        <f t="array" ref="K242">IFERROR(IF(AND(SUMIFS('Key inputs_Refineries'!E$85:E$164,'Key inputs_Refineries'!$C$85:$C$164,$C242,'Key inputs_Refineries'!$B$85:$B$164,"Boiler")/SUM(SUMIFS('Key inputs_Refineries'!E$85:E$164,'Key inputs_Refineries'!$C$85:$C$164,$C238:$C247,'Key inputs_Refineries'!$B$85:$B$164,"Boiler"))&gt;0,SUMIFS('Key inputs_Refineries'!E$85:E$164,'Key inputs_Refineries'!$C$85:$C$164,$C242,'Key inputs_Refineries'!$B$85:$B$164,"Boiler")/SUM(SUMIFS('Key inputs_Refineries'!E$85:E$164,'Key inputs_Refineries'!$C$85:$C$164,$C238:$C247,'Key inputs_Refineries'!$B$85:$B$164,"Boiler"))&lt;0.001),0.001,SUMIFS('Key inputs_Refineries'!E$85:E$164,'Key inputs_Refineries'!$C$85:$C$164,$C242,'Key inputs_Refineries'!$B$85:$B$164,"Boiler")/SUM(SUMIFS('Key inputs_Refineries'!E$85:E$164,'Key inputs_Refineries'!$C$85:$C$164,$C238:$C247,'Key inputs_Refineries'!$B$85:$B$164,"Boiler"))),0)</f>
        <v>0</v>
      </c>
      <c r="L242" s="173" cm="1">
        <f t="array" ref="L242">IFERROR(IF(AND(SUMIFS('Key inputs_Refineries'!F$85:F$164,'Key inputs_Refineries'!$C$85:$C$164,$C242,'Key inputs_Refineries'!$B$85:$B$164,"Boiler")/SUM(SUMIFS('Key inputs_Refineries'!F$85:F$164,'Key inputs_Refineries'!$C$85:$C$164,$C238:$C247,'Key inputs_Refineries'!$B$85:$B$164,"Boiler"))&gt;0,SUMIFS('Key inputs_Refineries'!F$85:F$164,'Key inputs_Refineries'!$C$85:$C$164,$C242,'Key inputs_Refineries'!$B$85:$B$164,"Boiler")/SUM(SUMIFS('Key inputs_Refineries'!F$85:F$164,'Key inputs_Refineries'!$C$85:$C$164,$C238:$C247,'Key inputs_Refineries'!$B$85:$B$164,"Boiler"))&lt;0.001),0.001,SUMIFS('Key inputs_Refineries'!F$85:F$164,'Key inputs_Refineries'!$C$85:$C$164,$C242,'Key inputs_Refineries'!$B$85:$B$164,"Boiler")/SUM(SUMIFS('Key inputs_Refineries'!F$85:F$164,'Key inputs_Refineries'!$C$85:$C$164,$C238:$C247,'Key inputs_Refineries'!$B$85:$B$164,"Boiler"))),0)</f>
        <v>0.37465171294428523</v>
      </c>
      <c r="M242" s="173" cm="1">
        <f t="array" ref="M242">IFERROR(IF(AND(SUMIFS('Key inputs_Refineries'!G$85:G$164,'Key inputs_Refineries'!$C$85:$C$164,$C242,'Key inputs_Refineries'!$B$85:$B$164,"Boiler")/SUM(SUMIFS('Key inputs_Refineries'!G$85:G$164,'Key inputs_Refineries'!$C$85:$C$164,$C238:$C247,'Key inputs_Refineries'!$B$85:$B$164,"Boiler"))&gt;0,SUMIFS('Key inputs_Refineries'!G$85:G$164,'Key inputs_Refineries'!$C$85:$C$164,$C242,'Key inputs_Refineries'!$B$85:$B$164,"Boiler")/SUM(SUMIFS('Key inputs_Refineries'!G$85:G$164,'Key inputs_Refineries'!$C$85:$C$164,$C238:$C247,'Key inputs_Refineries'!$B$85:$B$164,"Boiler"))&lt;0.001),0.001,SUMIFS('Key inputs_Refineries'!G$85:G$164,'Key inputs_Refineries'!$C$85:$C$164,$C242,'Key inputs_Refineries'!$B$85:$B$164,"Boiler")/SUM(SUMIFS('Key inputs_Refineries'!G$85:G$164,'Key inputs_Refineries'!$C$85:$C$164,$C238:$C247,'Key inputs_Refineries'!$B$85:$B$164,"Boiler"))),0)</f>
        <v>0.51919100635285487</v>
      </c>
      <c r="N242" s="173" cm="1">
        <f t="array" ref="N242">IFERROR(IF(AND(SUMIFS('Key inputs_Refineries'!H$85:H$164,'Key inputs_Refineries'!$C$85:$C$164,$C242,'Key inputs_Refineries'!$B$85:$B$164,"Boiler")/SUM(SUMIFS('Key inputs_Refineries'!H$85:H$164,'Key inputs_Refineries'!$C$85:$C$164,$C238:$C247,'Key inputs_Refineries'!$B$85:$B$164,"Boiler"))&gt;0,SUMIFS('Key inputs_Refineries'!H$85:H$164,'Key inputs_Refineries'!$C$85:$C$164,$C242,'Key inputs_Refineries'!$B$85:$B$164,"Boiler")/SUM(SUMIFS('Key inputs_Refineries'!H$85:H$164,'Key inputs_Refineries'!$C$85:$C$164,$C238:$C247,'Key inputs_Refineries'!$B$85:$B$164,"Boiler"))&lt;0.001),0.001,SUMIFS('Key inputs_Refineries'!H$85:H$164,'Key inputs_Refineries'!$C$85:$C$164,$C242,'Key inputs_Refineries'!$B$85:$B$164,"Boiler")/SUM(SUMIFS('Key inputs_Refineries'!H$85:H$164,'Key inputs_Refineries'!$C$85:$C$164,$C238:$C247,'Key inputs_Refineries'!$B$85:$B$164,"Boiler"))),0)</f>
        <v>0</v>
      </c>
      <c r="O242" s="173" cm="1">
        <f t="array" ref="O242">IFERROR(IF(AND(SUMIFS('Key inputs_Refineries'!I$85:I$164,'Key inputs_Refineries'!$C$85:$C$164,$C242,'Key inputs_Refineries'!$B$85:$B$164,"Boiler")/SUM(SUMIFS('Key inputs_Refineries'!I$85:I$164,'Key inputs_Refineries'!$C$85:$C$164,$C238:$C247,'Key inputs_Refineries'!$B$85:$B$164,"Boiler"))&gt;0,SUMIFS('Key inputs_Refineries'!I$85:I$164,'Key inputs_Refineries'!$C$85:$C$164,$C242,'Key inputs_Refineries'!$B$85:$B$164,"Boiler")/SUM(SUMIFS('Key inputs_Refineries'!I$85:I$164,'Key inputs_Refineries'!$C$85:$C$164,$C238:$C247,'Key inputs_Refineries'!$B$85:$B$164,"Boiler"))&lt;0.001),0.001,SUMIFS('Key inputs_Refineries'!I$85:I$164,'Key inputs_Refineries'!$C$85:$C$164,$C242,'Key inputs_Refineries'!$B$85:$B$164,"Boiler")/SUM(SUMIFS('Key inputs_Refineries'!I$85:I$164,'Key inputs_Refineries'!$C$85:$C$164,$C238:$C247,'Key inputs_Refineries'!$B$85:$B$164,"Boiler"))),0)</f>
        <v>9.1734191639610982E-2</v>
      </c>
      <c r="P242" s="173" cm="1">
        <f t="array" ref="P242">IFERROR(IF(AND(SUMIFS('Key inputs_Refineries'!J$85:J$164,'Key inputs_Refineries'!$C$85:$C$164,$C242,'Key inputs_Refineries'!$B$85:$B$164,"Boiler")/SUM(SUMIFS('Key inputs_Refineries'!J$85:J$164,'Key inputs_Refineries'!$C$85:$C$164,$C238:$C247,'Key inputs_Refineries'!$B$85:$B$164,"Boiler"))&gt;0,SUMIFS('Key inputs_Refineries'!J$85:J$164,'Key inputs_Refineries'!$C$85:$C$164,$C242,'Key inputs_Refineries'!$B$85:$B$164,"Boiler")/SUM(SUMIFS('Key inputs_Refineries'!J$85:J$164,'Key inputs_Refineries'!$C$85:$C$164,$C238:$C247,'Key inputs_Refineries'!$B$85:$B$164,"Boiler"))&lt;0.001),0.001,SUMIFS('Key inputs_Refineries'!J$85:J$164,'Key inputs_Refineries'!$C$85:$C$164,$C242,'Key inputs_Refineries'!$B$85:$B$164,"Boiler")/SUM(SUMIFS('Key inputs_Refineries'!J$85:J$164,'Key inputs_Refineries'!$C$85:$C$164,$C238:$C247,'Key inputs_Refineries'!$B$85:$B$164,"Boiler"))),0)</f>
        <v>0.10352194303840895</v>
      </c>
      <c r="Q242" s="173" cm="1">
        <f t="array" ref="Q242">IFERROR(IF(AND(SUMIFS('Key inputs_Refineries'!K$85:K$164,'Key inputs_Refineries'!$C$85:$C$164,$C242,'Key inputs_Refineries'!$B$85:$B$164,"Boiler")/SUM(SUMIFS('Key inputs_Refineries'!K$85:K$164,'Key inputs_Refineries'!$C$85:$C$164,$C238:$C247,'Key inputs_Refineries'!$B$85:$B$164,"Boiler"))&gt;0,SUMIFS('Key inputs_Refineries'!K$85:K$164,'Key inputs_Refineries'!$C$85:$C$164,$C242,'Key inputs_Refineries'!$B$85:$B$164,"Boiler")/SUM(SUMIFS('Key inputs_Refineries'!K$85:K$164,'Key inputs_Refineries'!$C$85:$C$164,$C238:$C247,'Key inputs_Refineries'!$B$85:$B$164,"Boiler"))&lt;0.001),0.001,SUMIFS('Key inputs_Refineries'!K$85:K$164,'Key inputs_Refineries'!$C$85:$C$164,$C242,'Key inputs_Refineries'!$B$85:$B$164,"Boiler")/SUM(SUMIFS('Key inputs_Refineries'!K$85:K$164,'Key inputs_Refineries'!$C$85:$C$164,$C238:$C247,'Key inputs_Refineries'!$B$85:$B$164,"Boiler"))),0)</f>
        <v>0.91831941777916681</v>
      </c>
      <c r="R242" s="173" cm="1">
        <f t="array" ref="R242">IFERROR(IF(AND(SUMIFS('Key inputs_Refineries'!L$85:L$164,'Key inputs_Refineries'!$C$85:$C$164,$C242,'Key inputs_Refineries'!$B$85:$B$164,"Boiler")/SUM(SUMIFS('Key inputs_Refineries'!L$85:L$164,'Key inputs_Refineries'!$C$85:$C$164,$C238:$C247,'Key inputs_Refineries'!$B$85:$B$164,"Boiler"))&gt;0,SUMIFS('Key inputs_Refineries'!L$85:L$164,'Key inputs_Refineries'!$C$85:$C$164,$C242,'Key inputs_Refineries'!$B$85:$B$164,"Boiler")/SUM(SUMIFS('Key inputs_Refineries'!L$85:L$164,'Key inputs_Refineries'!$C$85:$C$164,$C238:$C247,'Key inputs_Refineries'!$B$85:$B$164,"Boiler"))&lt;0.001),0.001,SUMIFS('Key inputs_Refineries'!L$85:L$164,'Key inputs_Refineries'!$C$85:$C$164,$C242,'Key inputs_Refineries'!$B$85:$B$164,"Boiler")/SUM(SUMIFS('Key inputs_Refineries'!L$85:L$164,'Key inputs_Refineries'!$C$85:$C$164,$C238:$C247,'Key inputs_Refineries'!$B$85:$B$164,"Boiler"))),0)</f>
        <v>1</v>
      </c>
      <c r="S242" s="173" cm="1">
        <f t="array" ref="S242">IFERROR(IF(AND(SUMIFS('Key inputs_Refineries'!M$85:M$164,'Key inputs_Refineries'!$C$85:$C$164,$C242,'Key inputs_Refineries'!$B$85:$B$164,"Boiler")/SUM(SUMIFS('Key inputs_Refineries'!M$85:M$164,'Key inputs_Refineries'!$C$85:$C$164,$C238:$C247,'Key inputs_Refineries'!$B$85:$B$164,"Boiler"))&gt;0,SUMIFS('Key inputs_Refineries'!M$85:M$164,'Key inputs_Refineries'!$C$85:$C$164,$C242,'Key inputs_Refineries'!$B$85:$B$164,"Boiler")/SUM(SUMIFS('Key inputs_Refineries'!M$85:M$164,'Key inputs_Refineries'!$C$85:$C$164,$C238:$C247,'Key inputs_Refineries'!$B$85:$B$164,"Boiler"))&lt;0.001),0.001,SUMIFS('Key inputs_Refineries'!M$85:M$164,'Key inputs_Refineries'!$C$85:$C$164,$C242,'Key inputs_Refineries'!$B$85:$B$164,"Boiler")/SUM(SUMIFS('Key inputs_Refineries'!M$85:M$164,'Key inputs_Refineries'!$C$85:$C$164,$C238:$C247,'Key inputs_Refineries'!$B$85:$B$164,"Boiler"))),0)</f>
        <v>0.96494826723174043</v>
      </c>
      <c r="T242" s="173" cm="1">
        <f t="array" ref="T242">IFERROR(IF(AND(SUMIFS('Key inputs_Refineries'!N$85:N$164,'Key inputs_Refineries'!$C$85:$C$164,$C242,'Key inputs_Refineries'!$B$85:$B$164,"Boiler")/SUM(SUMIFS('Key inputs_Refineries'!N$85:N$164,'Key inputs_Refineries'!$C$85:$C$164,$C238:$C247,'Key inputs_Refineries'!$B$85:$B$164,"Boiler"))&gt;0,SUMIFS('Key inputs_Refineries'!N$85:N$164,'Key inputs_Refineries'!$C$85:$C$164,$C242,'Key inputs_Refineries'!$B$85:$B$164,"Boiler")/SUM(SUMIFS('Key inputs_Refineries'!N$85:N$164,'Key inputs_Refineries'!$C$85:$C$164,$C238:$C247,'Key inputs_Refineries'!$B$85:$B$164,"Boiler"))&lt;0.001),0.001,SUMIFS('Key inputs_Refineries'!N$85:N$164,'Key inputs_Refineries'!$C$85:$C$164,$C242,'Key inputs_Refineries'!$B$85:$B$164,"Boiler")/SUM(SUMIFS('Key inputs_Refineries'!N$85:N$164,'Key inputs_Refineries'!$C$85:$C$164,$C238:$C247,'Key inputs_Refineries'!$B$85:$B$164,"Boiler"))),0)</f>
        <v>6.3476982152369937E-3</v>
      </c>
      <c r="U242" s="173" cm="1">
        <f t="array" ref="U242">IFERROR(IF(AND(SUMIFS('Key inputs_Refineries'!O$85:O$164,'Key inputs_Refineries'!$C$85:$C$164,$C242,'Key inputs_Refineries'!$B$85:$B$164,"Boiler")/SUM(SUMIFS('Key inputs_Refineries'!O$85:O$164,'Key inputs_Refineries'!$C$85:$C$164,$C238:$C247,'Key inputs_Refineries'!$B$85:$B$164,"Boiler"))&gt;0,SUMIFS('Key inputs_Refineries'!O$85:O$164,'Key inputs_Refineries'!$C$85:$C$164,$C242,'Key inputs_Refineries'!$B$85:$B$164,"Boiler")/SUM(SUMIFS('Key inputs_Refineries'!O$85:O$164,'Key inputs_Refineries'!$C$85:$C$164,$C238:$C247,'Key inputs_Refineries'!$B$85:$B$164,"Boiler"))&lt;0.001),0.001,SUMIFS('Key inputs_Refineries'!O$85:O$164,'Key inputs_Refineries'!$C$85:$C$164,$C242,'Key inputs_Refineries'!$B$85:$B$164,"Boiler")/SUM(SUMIFS('Key inputs_Refineries'!O$85:O$164,'Key inputs_Refineries'!$C$85:$C$164,$C238:$C247,'Key inputs_Refineries'!$B$85:$B$164,"Boiler"))),0)</f>
        <v>0.61457033647315606</v>
      </c>
      <c r="V242" s="173" cm="1">
        <f t="array" ref="V242">IFERROR(IF(AND(SUMIFS('Key inputs_Refineries'!P$85:P$164,'Key inputs_Refineries'!$C$85:$C$164,$C242,'Key inputs_Refineries'!$B$85:$B$164,"Boiler")/SUM(SUMIFS('Key inputs_Refineries'!P$85:P$164,'Key inputs_Refineries'!$C$85:$C$164,$C238:$C247,'Key inputs_Refineries'!$B$85:$B$164,"Boiler"))&gt;0,SUMIFS('Key inputs_Refineries'!P$85:P$164,'Key inputs_Refineries'!$C$85:$C$164,$C242,'Key inputs_Refineries'!$B$85:$B$164,"Boiler")/SUM(SUMIFS('Key inputs_Refineries'!P$85:P$164,'Key inputs_Refineries'!$C$85:$C$164,$C238:$C247,'Key inputs_Refineries'!$B$85:$B$164,"Boiler"))&lt;0.001),0.001,SUMIFS('Key inputs_Refineries'!P$85:P$164,'Key inputs_Refineries'!$C$85:$C$164,$C242,'Key inputs_Refineries'!$B$85:$B$164,"Boiler")/SUM(SUMIFS('Key inputs_Refineries'!P$85:P$164,'Key inputs_Refineries'!$C$85:$C$164,$C238:$C247,'Key inputs_Refineries'!$B$85:$B$164,"Boiler"))),0)</f>
        <v>6.3407167375633859E-3</v>
      </c>
      <c r="W242" s="173" cm="1">
        <f t="array" ref="W242">IFERROR(IF(AND(SUMIFS('Key inputs_Refineries'!Q$85:Q$164,'Key inputs_Refineries'!$C$85:$C$164,$C242,'Key inputs_Refineries'!$B$85:$B$164,"Boiler")/SUM(SUMIFS('Key inputs_Refineries'!Q$85:Q$164,'Key inputs_Refineries'!$C$85:$C$164,$C238:$C247,'Key inputs_Refineries'!$B$85:$B$164,"Boiler"))&gt;0,SUMIFS('Key inputs_Refineries'!Q$85:Q$164,'Key inputs_Refineries'!$C$85:$C$164,$C242,'Key inputs_Refineries'!$B$85:$B$164,"Boiler")/SUM(SUMIFS('Key inputs_Refineries'!Q$85:Q$164,'Key inputs_Refineries'!$C$85:$C$164,$C238:$C247,'Key inputs_Refineries'!$B$85:$B$164,"Boiler"))&lt;0.001),0.001,SUMIFS('Key inputs_Refineries'!Q$85:Q$164,'Key inputs_Refineries'!$C$85:$C$164,$C242,'Key inputs_Refineries'!$B$85:$B$164,"Boiler")/SUM(SUMIFS('Key inputs_Refineries'!Q$85:Q$164,'Key inputs_Refineries'!$C$85:$C$164,$C238:$C247,'Key inputs_Refineries'!$B$85:$B$164,"Boiler"))),0)</f>
        <v>0.94164147828318123</v>
      </c>
      <c r="X242" s="173" cm="1">
        <f t="array" ref="X242">IFERROR(IF(AND(SUMIFS('Key inputs_Refineries'!R$85:R$164,'Key inputs_Refineries'!$C$85:$C$164,$C242,'Key inputs_Refineries'!$B$85:$B$164,"Boiler")/SUM(SUMIFS('Key inputs_Refineries'!R$85:R$164,'Key inputs_Refineries'!$C$85:$C$164,$C238:$C247,'Key inputs_Refineries'!$B$85:$B$164,"Boiler"))&gt;0,SUMIFS('Key inputs_Refineries'!R$85:R$164,'Key inputs_Refineries'!$C$85:$C$164,$C242,'Key inputs_Refineries'!$B$85:$B$164,"Boiler")/SUM(SUMIFS('Key inputs_Refineries'!R$85:R$164,'Key inputs_Refineries'!$C$85:$C$164,$C238:$C247,'Key inputs_Refineries'!$B$85:$B$164,"Boiler"))&lt;0.001),0.001,SUMIFS('Key inputs_Refineries'!R$85:R$164,'Key inputs_Refineries'!$C$85:$C$164,$C242,'Key inputs_Refineries'!$B$85:$B$164,"Boiler")/SUM(SUMIFS('Key inputs_Refineries'!R$85:R$164,'Key inputs_Refineries'!$C$85:$C$164,$C238:$C247,'Key inputs_Refineries'!$B$85:$B$164,"Boiler"))),0)</f>
        <v>0.1905876476082399</v>
      </c>
      <c r="Y242" s="173" cm="1">
        <f t="array" ref="Y242">IFERROR(IF(AND(SUMIFS('Key inputs_Refineries'!S$85:S$164,'Key inputs_Refineries'!$C$85:$C$164,$C242,'Key inputs_Refineries'!$B$85:$B$164,"Boiler")/SUM(SUMIFS('Key inputs_Refineries'!S$85:S$164,'Key inputs_Refineries'!$C$85:$C$164,$C238:$C247,'Key inputs_Refineries'!$B$85:$B$164,"Boiler"))&gt;0,SUMIFS('Key inputs_Refineries'!S$85:S$164,'Key inputs_Refineries'!$C$85:$C$164,$C242,'Key inputs_Refineries'!$B$85:$B$164,"Boiler")/SUM(SUMIFS('Key inputs_Refineries'!S$85:S$164,'Key inputs_Refineries'!$C$85:$C$164,$C238:$C247,'Key inputs_Refineries'!$B$85:$B$164,"Boiler"))&lt;0.001),0.001,SUMIFS('Key inputs_Refineries'!S$85:S$164,'Key inputs_Refineries'!$C$85:$C$164,$C242,'Key inputs_Refineries'!$B$85:$B$164,"Boiler")/SUM(SUMIFS('Key inputs_Refineries'!S$85:S$164,'Key inputs_Refineries'!$C$85:$C$164,$C238:$C247,'Key inputs_Refineries'!$B$85:$B$164,"Boiler"))),0)</f>
        <v>0.42885543845730389</v>
      </c>
      <c r="Z242" s="173" cm="1">
        <f t="array" ref="Z242">IFERROR(IF(AND(SUMIFS('Key inputs_Refineries'!T$85:T$164,'Key inputs_Refineries'!$C$85:$C$164,$C242,'Key inputs_Refineries'!$B$85:$B$164,"Boiler")/SUM(SUMIFS('Key inputs_Refineries'!T$85:T$164,'Key inputs_Refineries'!$C$85:$C$164,$C238:$C247,'Key inputs_Refineries'!$B$85:$B$164,"Boiler"))&gt;0,SUMIFS('Key inputs_Refineries'!T$85:T$164,'Key inputs_Refineries'!$C$85:$C$164,$C242,'Key inputs_Refineries'!$B$85:$B$164,"Boiler")/SUM(SUMIFS('Key inputs_Refineries'!T$85:T$164,'Key inputs_Refineries'!$C$85:$C$164,$C238:$C247,'Key inputs_Refineries'!$B$85:$B$164,"Boiler"))&lt;0.001),0.001,SUMIFS('Key inputs_Refineries'!T$85:T$164,'Key inputs_Refineries'!$C$85:$C$164,$C242,'Key inputs_Refineries'!$B$85:$B$164,"Boiler")/SUM(SUMIFS('Key inputs_Refineries'!T$85:T$164,'Key inputs_Refineries'!$C$85:$C$164,$C238:$C247,'Key inputs_Refineries'!$B$85:$B$164,"Boiler"))),0)</f>
        <v>0.25806013116659293</v>
      </c>
      <c r="AA242" s="173" cm="1">
        <f t="array" ref="AA242">IFERROR(IF(AND(SUMIFS('Key inputs_Refineries'!U$85:U$164,'Key inputs_Refineries'!$C$85:$C$164,$C242,'Key inputs_Refineries'!$B$85:$B$164,"Boiler")/SUM(SUMIFS('Key inputs_Refineries'!U$85:U$164,'Key inputs_Refineries'!$C$85:$C$164,$C238:$C247,'Key inputs_Refineries'!$B$85:$B$164,"Boiler"))&gt;0,SUMIFS('Key inputs_Refineries'!U$85:U$164,'Key inputs_Refineries'!$C$85:$C$164,$C242,'Key inputs_Refineries'!$B$85:$B$164,"Boiler")/SUM(SUMIFS('Key inputs_Refineries'!U$85:U$164,'Key inputs_Refineries'!$C$85:$C$164,$C238:$C247,'Key inputs_Refineries'!$B$85:$B$164,"Boiler"))&lt;0.001),0.001,SUMIFS('Key inputs_Refineries'!U$85:U$164,'Key inputs_Refineries'!$C$85:$C$164,$C242,'Key inputs_Refineries'!$B$85:$B$164,"Boiler")/SUM(SUMIFS('Key inputs_Refineries'!U$85:U$164,'Key inputs_Refineries'!$C$85:$C$164,$C238:$C247,'Key inputs_Refineries'!$B$85:$B$164,"Boiler"))),0)</f>
        <v>0.39154120435237949</v>
      </c>
      <c r="AB242" s="173" cm="1">
        <f t="array" ref="AB242">IFERROR(IF(AND(SUMIFS('Key inputs_Refineries'!V$85:V$164,'Key inputs_Refineries'!$C$85:$C$164,$C242,'Key inputs_Refineries'!$B$85:$B$164,"Boiler")/SUM(SUMIFS('Key inputs_Refineries'!V$85:V$164,'Key inputs_Refineries'!$C$85:$C$164,$C238:$C247,'Key inputs_Refineries'!$B$85:$B$164,"Boiler"))&gt;0,SUMIFS('Key inputs_Refineries'!V$85:V$164,'Key inputs_Refineries'!$C$85:$C$164,$C242,'Key inputs_Refineries'!$B$85:$B$164,"Boiler")/SUM(SUMIFS('Key inputs_Refineries'!V$85:V$164,'Key inputs_Refineries'!$C$85:$C$164,$C238:$C247,'Key inputs_Refineries'!$B$85:$B$164,"Boiler"))&lt;0.001),0.001,SUMIFS('Key inputs_Refineries'!V$85:V$164,'Key inputs_Refineries'!$C$85:$C$164,$C242,'Key inputs_Refineries'!$B$85:$B$164,"Boiler")/SUM(SUMIFS('Key inputs_Refineries'!V$85:V$164,'Key inputs_Refineries'!$C$85:$C$164,$C238:$C247,'Key inputs_Refineries'!$B$85:$B$164,"Boiler"))),0)</f>
        <v>0</v>
      </c>
      <c r="AC242" s="173" cm="1">
        <f t="array" ref="AC242">IFERROR(IF(AND(SUMIFS('Key inputs_Refineries'!W$85:W$164,'Key inputs_Refineries'!$C$85:$C$164,$C242,'Key inputs_Refineries'!$B$85:$B$164,"Boiler")/SUM(SUMIFS('Key inputs_Refineries'!W$85:W$164,'Key inputs_Refineries'!$C$85:$C$164,$C238:$C247,'Key inputs_Refineries'!$B$85:$B$164,"Boiler"))&gt;0,SUMIFS('Key inputs_Refineries'!W$85:W$164,'Key inputs_Refineries'!$C$85:$C$164,$C242,'Key inputs_Refineries'!$B$85:$B$164,"Boiler")/SUM(SUMIFS('Key inputs_Refineries'!W$85:W$164,'Key inputs_Refineries'!$C$85:$C$164,$C238:$C247,'Key inputs_Refineries'!$B$85:$B$164,"Boiler"))&lt;0.001),0.001,SUMIFS('Key inputs_Refineries'!W$85:W$164,'Key inputs_Refineries'!$C$85:$C$164,$C242,'Key inputs_Refineries'!$B$85:$B$164,"Boiler")/SUM(SUMIFS('Key inputs_Refineries'!W$85:W$164,'Key inputs_Refineries'!$C$85:$C$164,$C238:$C247,'Key inputs_Refineries'!$B$85:$B$164,"Boiler"))),0)</f>
        <v>0</v>
      </c>
      <c r="AD242" s="173" cm="1">
        <f t="array" ref="AD242">IFERROR(IF(AND(SUMIFS('Key inputs_Refineries'!X$85:X$164,'Key inputs_Refineries'!$C$85:$C$164,$C242,'Key inputs_Refineries'!$B$85:$B$164,"Boiler")/SUM(SUMIFS('Key inputs_Refineries'!X$85:X$164,'Key inputs_Refineries'!$C$85:$C$164,$C238:$C247,'Key inputs_Refineries'!$B$85:$B$164,"Boiler"))&gt;0,SUMIFS('Key inputs_Refineries'!X$85:X$164,'Key inputs_Refineries'!$C$85:$C$164,$C242,'Key inputs_Refineries'!$B$85:$B$164,"Boiler")/SUM(SUMIFS('Key inputs_Refineries'!X$85:X$164,'Key inputs_Refineries'!$C$85:$C$164,$C238:$C247,'Key inputs_Refineries'!$B$85:$B$164,"Boiler"))&lt;0.001),0.001,SUMIFS('Key inputs_Refineries'!X$85:X$164,'Key inputs_Refineries'!$C$85:$C$164,$C242,'Key inputs_Refineries'!$B$85:$B$164,"Boiler")/SUM(SUMIFS('Key inputs_Refineries'!X$85:X$164,'Key inputs_Refineries'!$C$85:$C$164,$C238:$C247,'Key inputs_Refineries'!$B$85:$B$164,"Boiler"))),0)</f>
        <v>0.4756383948623702</v>
      </c>
      <c r="AE242" s="173" cm="1">
        <f t="array" ref="AE242">IFERROR(IF(AND(SUMIFS('Key inputs_Refineries'!Y$85:Y$164,'Key inputs_Refineries'!$C$85:$C$164,$C242,'Key inputs_Refineries'!$B$85:$B$164,"Boiler")/SUM(SUMIFS('Key inputs_Refineries'!Y$85:Y$164,'Key inputs_Refineries'!$C$85:$C$164,$C238:$C247,'Key inputs_Refineries'!$B$85:$B$164,"Boiler"))&gt;0,SUMIFS('Key inputs_Refineries'!Y$85:Y$164,'Key inputs_Refineries'!$C$85:$C$164,$C242,'Key inputs_Refineries'!$B$85:$B$164,"Boiler")/SUM(SUMIFS('Key inputs_Refineries'!Y$85:Y$164,'Key inputs_Refineries'!$C$85:$C$164,$C238:$C247,'Key inputs_Refineries'!$B$85:$B$164,"Boiler"))&lt;0.001),0.001,SUMIFS('Key inputs_Refineries'!Y$85:Y$164,'Key inputs_Refineries'!$C$85:$C$164,$C242,'Key inputs_Refineries'!$B$85:$B$164,"Boiler")/SUM(SUMIFS('Key inputs_Refineries'!Y$85:Y$164,'Key inputs_Refineries'!$C$85:$C$164,$C238:$C247,'Key inputs_Refineries'!$B$85:$B$164,"Boiler"))),0)</f>
        <v>0.73286575508212493</v>
      </c>
      <c r="AF242" s="173" cm="1">
        <f t="array" ref="AF242">IFERROR(IF(AND(SUMIFS('Key inputs_Refineries'!Z$85:Z$164,'Key inputs_Refineries'!$C$85:$C$164,$C242,'Key inputs_Refineries'!$B$85:$B$164,"Boiler")/SUM(SUMIFS('Key inputs_Refineries'!Z$85:Z$164,'Key inputs_Refineries'!$C$85:$C$164,$C238:$C247,'Key inputs_Refineries'!$B$85:$B$164,"Boiler"))&gt;0,SUMIFS('Key inputs_Refineries'!Z$85:Z$164,'Key inputs_Refineries'!$C$85:$C$164,$C242,'Key inputs_Refineries'!$B$85:$B$164,"Boiler")/SUM(SUMIFS('Key inputs_Refineries'!Z$85:Z$164,'Key inputs_Refineries'!$C$85:$C$164,$C238:$C247,'Key inputs_Refineries'!$B$85:$B$164,"Boiler"))&lt;0.001),0.001,SUMIFS('Key inputs_Refineries'!Z$85:Z$164,'Key inputs_Refineries'!$C$85:$C$164,$C242,'Key inputs_Refineries'!$B$85:$B$164,"Boiler")/SUM(SUMIFS('Key inputs_Refineries'!Z$85:Z$164,'Key inputs_Refineries'!$C$85:$C$164,$C238:$C247,'Key inputs_Refineries'!$B$85:$B$164,"Boiler"))),0)</f>
        <v>0.95711367572637651</v>
      </c>
      <c r="AG242" s="173" cm="1">
        <f t="array" ref="AG242">IFERROR(IF(AND(SUMIFS('Key inputs_Refineries'!AA$85:AA$164,'Key inputs_Refineries'!$C$85:$C$164,$C242,'Key inputs_Refineries'!$B$85:$B$164,"Boiler")/SUM(SUMIFS('Key inputs_Refineries'!AA$85:AA$164,'Key inputs_Refineries'!$C$85:$C$164,$C238:$C247,'Key inputs_Refineries'!$B$85:$B$164,"Boiler"))&gt;0,SUMIFS('Key inputs_Refineries'!AA$85:AA$164,'Key inputs_Refineries'!$C$85:$C$164,$C242,'Key inputs_Refineries'!$B$85:$B$164,"Boiler")/SUM(SUMIFS('Key inputs_Refineries'!AA$85:AA$164,'Key inputs_Refineries'!$C$85:$C$164,$C238:$C247,'Key inputs_Refineries'!$B$85:$B$164,"Boiler"))&lt;0.001),0.001,SUMIFS('Key inputs_Refineries'!AA$85:AA$164,'Key inputs_Refineries'!$C$85:$C$164,$C242,'Key inputs_Refineries'!$B$85:$B$164,"Boiler")/SUM(SUMIFS('Key inputs_Refineries'!AA$85:AA$164,'Key inputs_Refineries'!$C$85:$C$164,$C238:$C247,'Key inputs_Refineries'!$B$85:$B$164,"Boiler"))),0)</f>
        <v>0.75702598609266325</v>
      </c>
      <c r="AH242" s="173" cm="1">
        <f t="array" ref="AH242">IFERROR(IF(AND(SUMIFS('Key inputs_Refineries'!AB$85:AB$164,'Key inputs_Refineries'!$C$85:$C$164,$C242,'Key inputs_Refineries'!$B$85:$B$164,"Boiler")/SUM(SUMIFS('Key inputs_Refineries'!AB$85:AB$164,'Key inputs_Refineries'!$C$85:$C$164,$C238:$C247,'Key inputs_Refineries'!$B$85:$B$164,"Boiler"))&gt;0,SUMIFS('Key inputs_Refineries'!AB$85:AB$164,'Key inputs_Refineries'!$C$85:$C$164,$C242,'Key inputs_Refineries'!$B$85:$B$164,"Boiler")/SUM(SUMIFS('Key inputs_Refineries'!AB$85:AB$164,'Key inputs_Refineries'!$C$85:$C$164,$C238:$C247,'Key inputs_Refineries'!$B$85:$B$164,"Boiler"))&lt;0.001),0.001,SUMIFS('Key inputs_Refineries'!AB$85:AB$164,'Key inputs_Refineries'!$C$85:$C$164,$C242,'Key inputs_Refineries'!$B$85:$B$164,"Boiler")/SUM(SUMIFS('Key inputs_Refineries'!AB$85:AB$164,'Key inputs_Refineries'!$C$85:$C$164,$C238:$C247,'Key inputs_Refineries'!$B$85:$B$164,"Boiler"))),0)</f>
        <v>0.90502590262726645</v>
      </c>
      <c r="AI242" s="173" cm="1">
        <f t="array" ref="AI242">IFERROR(IF(AND(SUMIFS('Key inputs_Refineries'!AC$85:AC$164,'Key inputs_Refineries'!$C$85:$C$164,$C242,'Key inputs_Refineries'!$B$85:$B$164,"Boiler")/SUM(SUMIFS('Key inputs_Refineries'!AC$85:AC$164,'Key inputs_Refineries'!$C$85:$C$164,$C238:$C247,'Key inputs_Refineries'!$B$85:$B$164,"Boiler"))&gt;0,SUMIFS('Key inputs_Refineries'!AC$85:AC$164,'Key inputs_Refineries'!$C$85:$C$164,$C242,'Key inputs_Refineries'!$B$85:$B$164,"Boiler")/SUM(SUMIFS('Key inputs_Refineries'!AC$85:AC$164,'Key inputs_Refineries'!$C$85:$C$164,$C238:$C247,'Key inputs_Refineries'!$B$85:$B$164,"Boiler"))&lt;0.001),0.001,SUMIFS('Key inputs_Refineries'!AC$85:AC$164,'Key inputs_Refineries'!$C$85:$C$164,$C242,'Key inputs_Refineries'!$B$85:$B$164,"Boiler")/SUM(SUMIFS('Key inputs_Refineries'!AC$85:AC$164,'Key inputs_Refineries'!$C$85:$C$164,$C238:$C247,'Key inputs_Refineries'!$B$85:$B$164,"Boiler"))),0)</f>
        <v>0.80267724343083791</v>
      </c>
      <c r="AJ242" s="173" cm="1">
        <f t="array" ref="AJ242">IFERROR(IF(AND(SUMIFS('Key inputs_Refineries'!AD$85:AD$164,'Key inputs_Refineries'!$C$85:$C$164,$C242,'Key inputs_Refineries'!$B$85:$B$164,"Boiler")/SUM(SUMIFS('Key inputs_Refineries'!AD$85:AD$164,'Key inputs_Refineries'!$C$85:$C$164,$C238:$C247,'Key inputs_Refineries'!$B$85:$B$164,"Boiler"))&gt;0,SUMIFS('Key inputs_Refineries'!AD$85:AD$164,'Key inputs_Refineries'!$C$85:$C$164,$C242,'Key inputs_Refineries'!$B$85:$B$164,"Boiler")/SUM(SUMIFS('Key inputs_Refineries'!AD$85:AD$164,'Key inputs_Refineries'!$C$85:$C$164,$C238:$C247,'Key inputs_Refineries'!$B$85:$B$164,"Boiler"))&lt;0.001),0.001,SUMIFS('Key inputs_Refineries'!AD$85:AD$164,'Key inputs_Refineries'!$C$85:$C$164,$C242,'Key inputs_Refineries'!$B$85:$B$164,"Boiler")/SUM(SUMIFS('Key inputs_Refineries'!AD$85:AD$164,'Key inputs_Refineries'!$C$85:$C$164,$C238:$C247,'Key inputs_Refineries'!$B$85:$B$164,"Boiler"))),0)</f>
        <v>0</v>
      </c>
      <c r="AK242" s="173" cm="1">
        <f t="array" ref="AK242">IFERROR(IF(AND(SUMIFS('Key inputs_Refineries'!AE$85:AE$164,'Key inputs_Refineries'!$C$85:$C$164,$C242,'Key inputs_Refineries'!$B$85:$B$164,"Boiler")/SUM(SUMIFS('Key inputs_Refineries'!AE$85:AE$164,'Key inputs_Refineries'!$C$85:$C$164,$C238:$C247,'Key inputs_Refineries'!$B$85:$B$164,"Boiler"))&gt;0,SUMIFS('Key inputs_Refineries'!AE$85:AE$164,'Key inputs_Refineries'!$C$85:$C$164,$C242,'Key inputs_Refineries'!$B$85:$B$164,"Boiler")/SUM(SUMIFS('Key inputs_Refineries'!AE$85:AE$164,'Key inputs_Refineries'!$C$85:$C$164,$C238:$C247,'Key inputs_Refineries'!$B$85:$B$164,"Boiler"))&lt;0.001),0.001,SUMIFS('Key inputs_Refineries'!AE$85:AE$164,'Key inputs_Refineries'!$C$85:$C$164,$C242,'Key inputs_Refineries'!$B$85:$B$164,"Boiler")/SUM(SUMIFS('Key inputs_Refineries'!AE$85:AE$164,'Key inputs_Refineries'!$C$85:$C$164,$C238:$C247,'Key inputs_Refineries'!$B$85:$B$164,"Boiler"))),0)</f>
        <v>0.5386618718173517</v>
      </c>
      <c r="AL242" s="173" cm="1">
        <f t="array" ref="AL242">IFERROR(IF(AND(SUMIFS('Key inputs_Refineries'!AF$85:AF$164,'Key inputs_Refineries'!$C$85:$C$164,$C242,'Key inputs_Refineries'!$B$85:$B$164,"Boiler")/SUM(SUMIFS('Key inputs_Refineries'!AF$85:AF$164,'Key inputs_Refineries'!$C$85:$C$164,$C238:$C247,'Key inputs_Refineries'!$B$85:$B$164,"Boiler"))&gt;0,SUMIFS('Key inputs_Refineries'!AF$85:AF$164,'Key inputs_Refineries'!$C$85:$C$164,$C242,'Key inputs_Refineries'!$B$85:$B$164,"Boiler")/SUM(SUMIFS('Key inputs_Refineries'!AF$85:AF$164,'Key inputs_Refineries'!$C$85:$C$164,$C238:$C247,'Key inputs_Refineries'!$B$85:$B$164,"Boiler"))&lt;0.001),0.001,SUMIFS('Key inputs_Refineries'!AF$85:AF$164,'Key inputs_Refineries'!$C$85:$C$164,$C242,'Key inputs_Refineries'!$B$85:$B$164,"Boiler")/SUM(SUMIFS('Key inputs_Refineries'!AF$85:AF$164,'Key inputs_Refineries'!$C$85:$C$164,$C238:$C247,'Key inputs_Refineries'!$B$85:$B$164,"Boiler"))),0)</f>
        <v>1E-3</v>
      </c>
    </row>
    <row r="243" spans="1:38">
      <c r="C243" t="str">
        <f>Commodities!$C$96</f>
        <v>UPSKER</v>
      </c>
      <c r="G243" s="4" t="s">
        <v>702</v>
      </c>
      <c r="H243" t="s">
        <v>661</v>
      </c>
      <c r="I243">
        <v>2019</v>
      </c>
      <c r="J243" t="s">
        <v>650</v>
      </c>
      <c r="K243" s="173" cm="1">
        <f t="array" ref="K243">IFERROR(IF(AND(SUMIFS('Key inputs_Refineries'!E$85:E$164,'Key inputs_Refineries'!$C$85:$C$164,$C243,'Key inputs_Refineries'!$B$85:$B$164,"Boiler")/SUM(SUMIFS('Key inputs_Refineries'!E$85:E$164,'Key inputs_Refineries'!$C$85:$C$164,$C238:$C247,'Key inputs_Refineries'!$B$85:$B$164,"Boiler"))&gt;0,SUMIFS('Key inputs_Refineries'!E$85:E$164,'Key inputs_Refineries'!$C$85:$C$164,$C243,'Key inputs_Refineries'!$B$85:$B$164,"Boiler")/SUM(SUMIFS('Key inputs_Refineries'!E$85:E$164,'Key inputs_Refineries'!$C$85:$C$164,$C238:$C247,'Key inputs_Refineries'!$B$85:$B$164,"Boiler"))&lt;0.001),0.001,SUMIFS('Key inputs_Refineries'!E$85:E$164,'Key inputs_Refineries'!$C$85:$C$164,$C243,'Key inputs_Refineries'!$B$85:$B$164,"Boiler")/SUM(SUMIFS('Key inputs_Refineries'!E$85:E$164,'Key inputs_Refineries'!$C$85:$C$164,$C238:$C247,'Key inputs_Refineries'!$B$85:$B$164,"Boiler"))),0)</f>
        <v>0</v>
      </c>
      <c r="L243" s="173" cm="1">
        <f t="array" ref="L243">IFERROR(IF(AND(SUMIFS('Key inputs_Refineries'!F$85:F$164,'Key inputs_Refineries'!$C$85:$C$164,$C243,'Key inputs_Refineries'!$B$85:$B$164,"Boiler")/SUM(SUMIFS('Key inputs_Refineries'!F$85:F$164,'Key inputs_Refineries'!$C$85:$C$164,$C238:$C247,'Key inputs_Refineries'!$B$85:$B$164,"Boiler"))&gt;0,SUMIFS('Key inputs_Refineries'!F$85:F$164,'Key inputs_Refineries'!$C$85:$C$164,$C243,'Key inputs_Refineries'!$B$85:$B$164,"Boiler")/SUM(SUMIFS('Key inputs_Refineries'!F$85:F$164,'Key inputs_Refineries'!$C$85:$C$164,$C238:$C247,'Key inputs_Refineries'!$B$85:$B$164,"Boiler"))&lt;0.001),0.001,SUMIFS('Key inputs_Refineries'!F$85:F$164,'Key inputs_Refineries'!$C$85:$C$164,$C243,'Key inputs_Refineries'!$B$85:$B$164,"Boiler")/SUM(SUMIFS('Key inputs_Refineries'!F$85:F$164,'Key inputs_Refineries'!$C$85:$C$164,$C238:$C247,'Key inputs_Refineries'!$B$85:$B$164,"Boiler"))),0)</f>
        <v>0</v>
      </c>
      <c r="M243" s="173" cm="1">
        <f t="array" ref="M243">IFERROR(IF(AND(SUMIFS('Key inputs_Refineries'!G$85:G$164,'Key inputs_Refineries'!$C$85:$C$164,$C243,'Key inputs_Refineries'!$B$85:$B$164,"Boiler")/SUM(SUMIFS('Key inputs_Refineries'!G$85:G$164,'Key inputs_Refineries'!$C$85:$C$164,$C238:$C247,'Key inputs_Refineries'!$B$85:$B$164,"Boiler"))&gt;0,SUMIFS('Key inputs_Refineries'!G$85:G$164,'Key inputs_Refineries'!$C$85:$C$164,$C243,'Key inputs_Refineries'!$B$85:$B$164,"Boiler")/SUM(SUMIFS('Key inputs_Refineries'!G$85:G$164,'Key inputs_Refineries'!$C$85:$C$164,$C238:$C247,'Key inputs_Refineries'!$B$85:$B$164,"Boiler"))&lt;0.001),0.001,SUMIFS('Key inputs_Refineries'!G$85:G$164,'Key inputs_Refineries'!$C$85:$C$164,$C243,'Key inputs_Refineries'!$B$85:$B$164,"Boiler")/SUM(SUMIFS('Key inputs_Refineries'!G$85:G$164,'Key inputs_Refineries'!$C$85:$C$164,$C238:$C247,'Key inputs_Refineries'!$B$85:$B$164,"Boiler"))),0)</f>
        <v>0</v>
      </c>
      <c r="N243" s="173" cm="1">
        <f t="array" ref="N243">IFERROR(IF(AND(SUMIFS('Key inputs_Refineries'!H$85:H$164,'Key inputs_Refineries'!$C$85:$C$164,$C243,'Key inputs_Refineries'!$B$85:$B$164,"Boiler")/SUM(SUMIFS('Key inputs_Refineries'!H$85:H$164,'Key inputs_Refineries'!$C$85:$C$164,$C238:$C247,'Key inputs_Refineries'!$B$85:$B$164,"Boiler"))&gt;0,SUMIFS('Key inputs_Refineries'!H$85:H$164,'Key inputs_Refineries'!$C$85:$C$164,$C243,'Key inputs_Refineries'!$B$85:$B$164,"Boiler")/SUM(SUMIFS('Key inputs_Refineries'!H$85:H$164,'Key inputs_Refineries'!$C$85:$C$164,$C238:$C247,'Key inputs_Refineries'!$B$85:$B$164,"Boiler"))&lt;0.001),0.001,SUMIFS('Key inputs_Refineries'!H$85:H$164,'Key inputs_Refineries'!$C$85:$C$164,$C243,'Key inputs_Refineries'!$B$85:$B$164,"Boiler")/SUM(SUMIFS('Key inputs_Refineries'!H$85:H$164,'Key inputs_Refineries'!$C$85:$C$164,$C238:$C247,'Key inputs_Refineries'!$B$85:$B$164,"Boiler"))),0)</f>
        <v>0</v>
      </c>
      <c r="O243" s="173" cm="1">
        <f t="array" ref="O243">IFERROR(IF(AND(SUMIFS('Key inputs_Refineries'!I$85:I$164,'Key inputs_Refineries'!$C$85:$C$164,$C243,'Key inputs_Refineries'!$B$85:$B$164,"Boiler")/SUM(SUMIFS('Key inputs_Refineries'!I$85:I$164,'Key inputs_Refineries'!$C$85:$C$164,$C238:$C247,'Key inputs_Refineries'!$B$85:$B$164,"Boiler"))&gt;0,SUMIFS('Key inputs_Refineries'!I$85:I$164,'Key inputs_Refineries'!$C$85:$C$164,$C243,'Key inputs_Refineries'!$B$85:$B$164,"Boiler")/SUM(SUMIFS('Key inputs_Refineries'!I$85:I$164,'Key inputs_Refineries'!$C$85:$C$164,$C238:$C247,'Key inputs_Refineries'!$B$85:$B$164,"Boiler"))&lt;0.001),0.001,SUMIFS('Key inputs_Refineries'!I$85:I$164,'Key inputs_Refineries'!$C$85:$C$164,$C243,'Key inputs_Refineries'!$B$85:$B$164,"Boiler")/SUM(SUMIFS('Key inputs_Refineries'!I$85:I$164,'Key inputs_Refineries'!$C$85:$C$164,$C238:$C247,'Key inputs_Refineries'!$B$85:$B$164,"Boiler"))),0)</f>
        <v>0</v>
      </c>
      <c r="P243" s="173" cm="1">
        <f t="array" ref="P243">IFERROR(IF(AND(SUMIFS('Key inputs_Refineries'!J$85:J$164,'Key inputs_Refineries'!$C$85:$C$164,$C243,'Key inputs_Refineries'!$B$85:$B$164,"Boiler")/SUM(SUMIFS('Key inputs_Refineries'!J$85:J$164,'Key inputs_Refineries'!$C$85:$C$164,$C238:$C247,'Key inputs_Refineries'!$B$85:$B$164,"Boiler"))&gt;0,SUMIFS('Key inputs_Refineries'!J$85:J$164,'Key inputs_Refineries'!$C$85:$C$164,$C243,'Key inputs_Refineries'!$B$85:$B$164,"Boiler")/SUM(SUMIFS('Key inputs_Refineries'!J$85:J$164,'Key inputs_Refineries'!$C$85:$C$164,$C238:$C247,'Key inputs_Refineries'!$B$85:$B$164,"Boiler"))&lt;0.001),0.001,SUMIFS('Key inputs_Refineries'!J$85:J$164,'Key inputs_Refineries'!$C$85:$C$164,$C243,'Key inputs_Refineries'!$B$85:$B$164,"Boiler")/SUM(SUMIFS('Key inputs_Refineries'!J$85:J$164,'Key inputs_Refineries'!$C$85:$C$164,$C238:$C247,'Key inputs_Refineries'!$B$85:$B$164,"Boiler"))),0)</f>
        <v>0</v>
      </c>
      <c r="Q243" s="173" cm="1">
        <f t="array" ref="Q243">IFERROR(IF(AND(SUMIFS('Key inputs_Refineries'!K$85:K$164,'Key inputs_Refineries'!$C$85:$C$164,$C243,'Key inputs_Refineries'!$B$85:$B$164,"Boiler")/SUM(SUMIFS('Key inputs_Refineries'!K$85:K$164,'Key inputs_Refineries'!$C$85:$C$164,$C238:$C247,'Key inputs_Refineries'!$B$85:$B$164,"Boiler"))&gt;0,SUMIFS('Key inputs_Refineries'!K$85:K$164,'Key inputs_Refineries'!$C$85:$C$164,$C243,'Key inputs_Refineries'!$B$85:$B$164,"Boiler")/SUM(SUMIFS('Key inputs_Refineries'!K$85:K$164,'Key inputs_Refineries'!$C$85:$C$164,$C238:$C247,'Key inputs_Refineries'!$B$85:$B$164,"Boiler"))&lt;0.001),0.001,SUMIFS('Key inputs_Refineries'!K$85:K$164,'Key inputs_Refineries'!$C$85:$C$164,$C243,'Key inputs_Refineries'!$B$85:$B$164,"Boiler")/SUM(SUMIFS('Key inputs_Refineries'!K$85:K$164,'Key inputs_Refineries'!$C$85:$C$164,$C238:$C247,'Key inputs_Refineries'!$B$85:$B$164,"Boiler"))),0)</f>
        <v>0</v>
      </c>
      <c r="R243" s="173" cm="1">
        <f t="array" ref="R243">IFERROR(IF(AND(SUMIFS('Key inputs_Refineries'!L$85:L$164,'Key inputs_Refineries'!$C$85:$C$164,$C243,'Key inputs_Refineries'!$B$85:$B$164,"Boiler")/SUM(SUMIFS('Key inputs_Refineries'!L$85:L$164,'Key inputs_Refineries'!$C$85:$C$164,$C238:$C247,'Key inputs_Refineries'!$B$85:$B$164,"Boiler"))&gt;0,SUMIFS('Key inputs_Refineries'!L$85:L$164,'Key inputs_Refineries'!$C$85:$C$164,$C243,'Key inputs_Refineries'!$B$85:$B$164,"Boiler")/SUM(SUMIFS('Key inputs_Refineries'!L$85:L$164,'Key inputs_Refineries'!$C$85:$C$164,$C238:$C247,'Key inputs_Refineries'!$B$85:$B$164,"Boiler"))&lt;0.001),0.001,SUMIFS('Key inputs_Refineries'!L$85:L$164,'Key inputs_Refineries'!$C$85:$C$164,$C243,'Key inputs_Refineries'!$B$85:$B$164,"Boiler")/SUM(SUMIFS('Key inputs_Refineries'!L$85:L$164,'Key inputs_Refineries'!$C$85:$C$164,$C238:$C247,'Key inputs_Refineries'!$B$85:$B$164,"Boiler"))),0)</f>
        <v>0</v>
      </c>
      <c r="S243" s="173" cm="1">
        <f t="array" ref="S243">IFERROR(IF(AND(SUMIFS('Key inputs_Refineries'!M$85:M$164,'Key inputs_Refineries'!$C$85:$C$164,$C243,'Key inputs_Refineries'!$B$85:$B$164,"Boiler")/SUM(SUMIFS('Key inputs_Refineries'!M$85:M$164,'Key inputs_Refineries'!$C$85:$C$164,$C238:$C247,'Key inputs_Refineries'!$B$85:$B$164,"Boiler"))&gt;0,SUMIFS('Key inputs_Refineries'!M$85:M$164,'Key inputs_Refineries'!$C$85:$C$164,$C243,'Key inputs_Refineries'!$B$85:$B$164,"Boiler")/SUM(SUMIFS('Key inputs_Refineries'!M$85:M$164,'Key inputs_Refineries'!$C$85:$C$164,$C238:$C247,'Key inputs_Refineries'!$B$85:$B$164,"Boiler"))&lt;0.001),0.001,SUMIFS('Key inputs_Refineries'!M$85:M$164,'Key inputs_Refineries'!$C$85:$C$164,$C243,'Key inputs_Refineries'!$B$85:$B$164,"Boiler")/SUM(SUMIFS('Key inputs_Refineries'!M$85:M$164,'Key inputs_Refineries'!$C$85:$C$164,$C238:$C247,'Key inputs_Refineries'!$B$85:$B$164,"Boiler"))),0)</f>
        <v>0</v>
      </c>
      <c r="T243" s="173" cm="1">
        <f t="array" ref="T243">IFERROR(IF(AND(SUMIFS('Key inputs_Refineries'!N$85:N$164,'Key inputs_Refineries'!$C$85:$C$164,$C243,'Key inputs_Refineries'!$B$85:$B$164,"Boiler")/SUM(SUMIFS('Key inputs_Refineries'!N$85:N$164,'Key inputs_Refineries'!$C$85:$C$164,$C238:$C247,'Key inputs_Refineries'!$B$85:$B$164,"Boiler"))&gt;0,SUMIFS('Key inputs_Refineries'!N$85:N$164,'Key inputs_Refineries'!$C$85:$C$164,$C243,'Key inputs_Refineries'!$B$85:$B$164,"Boiler")/SUM(SUMIFS('Key inputs_Refineries'!N$85:N$164,'Key inputs_Refineries'!$C$85:$C$164,$C238:$C247,'Key inputs_Refineries'!$B$85:$B$164,"Boiler"))&lt;0.001),0.001,SUMIFS('Key inputs_Refineries'!N$85:N$164,'Key inputs_Refineries'!$C$85:$C$164,$C243,'Key inputs_Refineries'!$B$85:$B$164,"Boiler")/SUM(SUMIFS('Key inputs_Refineries'!N$85:N$164,'Key inputs_Refineries'!$C$85:$C$164,$C238:$C247,'Key inputs_Refineries'!$B$85:$B$164,"Boiler"))),0)</f>
        <v>0</v>
      </c>
      <c r="U243" s="173" cm="1">
        <f t="array" ref="U243">IFERROR(IF(AND(SUMIFS('Key inputs_Refineries'!O$85:O$164,'Key inputs_Refineries'!$C$85:$C$164,$C243,'Key inputs_Refineries'!$B$85:$B$164,"Boiler")/SUM(SUMIFS('Key inputs_Refineries'!O$85:O$164,'Key inputs_Refineries'!$C$85:$C$164,$C238:$C247,'Key inputs_Refineries'!$B$85:$B$164,"Boiler"))&gt;0,SUMIFS('Key inputs_Refineries'!O$85:O$164,'Key inputs_Refineries'!$C$85:$C$164,$C243,'Key inputs_Refineries'!$B$85:$B$164,"Boiler")/SUM(SUMIFS('Key inputs_Refineries'!O$85:O$164,'Key inputs_Refineries'!$C$85:$C$164,$C238:$C247,'Key inputs_Refineries'!$B$85:$B$164,"Boiler"))&lt;0.001),0.001,SUMIFS('Key inputs_Refineries'!O$85:O$164,'Key inputs_Refineries'!$C$85:$C$164,$C243,'Key inputs_Refineries'!$B$85:$B$164,"Boiler")/SUM(SUMIFS('Key inputs_Refineries'!O$85:O$164,'Key inputs_Refineries'!$C$85:$C$164,$C238:$C247,'Key inputs_Refineries'!$B$85:$B$164,"Boiler"))),0)</f>
        <v>0</v>
      </c>
      <c r="V243" s="173" cm="1">
        <f t="array" ref="V243">IFERROR(IF(AND(SUMIFS('Key inputs_Refineries'!P$85:P$164,'Key inputs_Refineries'!$C$85:$C$164,$C243,'Key inputs_Refineries'!$B$85:$B$164,"Boiler")/SUM(SUMIFS('Key inputs_Refineries'!P$85:P$164,'Key inputs_Refineries'!$C$85:$C$164,$C238:$C247,'Key inputs_Refineries'!$B$85:$B$164,"Boiler"))&gt;0,SUMIFS('Key inputs_Refineries'!P$85:P$164,'Key inputs_Refineries'!$C$85:$C$164,$C243,'Key inputs_Refineries'!$B$85:$B$164,"Boiler")/SUM(SUMIFS('Key inputs_Refineries'!P$85:P$164,'Key inputs_Refineries'!$C$85:$C$164,$C238:$C247,'Key inputs_Refineries'!$B$85:$B$164,"Boiler"))&lt;0.001),0.001,SUMIFS('Key inputs_Refineries'!P$85:P$164,'Key inputs_Refineries'!$C$85:$C$164,$C243,'Key inputs_Refineries'!$B$85:$B$164,"Boiler")/SUM(SUMIFS('Key inputs_Refineries'!P$85:P$164,'Key inputs_Refineries'!$C$85:$C$164,$C238:$C247,'Key inputs_Refineries'!$B$85:$B$164,"Boiler"))),0)</f>
        <v>1E-3</v>
      </c>
      <c r="W243" s="173" cm="1">
        <f t="array" ref="W243">IFERROR(IF(AND(SUMIFS('Key inputs_Refineries'!Q$85:Q$164,'Key inputs_Refineries'!$C$85:$C$164,$C243,'Key inputs_Refineries'!$B$85:$B$164,"Boiler")/SUM(SUMIFS('Key inputs_Refineries'!Q$85:Q$164,'Key inputs_Refineries'!$C$85:$C$164,$C238:$C247,'Key inputs_Refineries'!$B$85:$B$164,"Boiler"))&gt;0,SUMIFS('Key inputs_Refineries'!Q$85:Q$164,'Key inputs_Refineries'!$C$85:$C$164,$C243,'Key inputs_Refineries'!$B$85:$B$164,"Boiler")/SUM(SUMIFS('Key inputs_Refineries'!Q$85:Q$164,'Key inputs_Refineries'!$C$85:$C$164,$C238:$C247,'Key inputs_Refineries'!$B$85:$B$164,"Boiler"))&lt;0.001),0.001,SUMIFS('Key inputs_Refineries'!Q$85:Q$164,'Key inputs_Refineries'!$C$85:$C$164,$C243,'Key inputs_Refineries'!$B$85:$B$164,"Boiler")/SUM(SUMIFS('Key inputs_Refineries'!Q$85:Q$164,'Key inputs_Refineries'!$C$85:$C$164,$C238:$C247,'Key inputs_Refineries'!$B$85:$B$164,"Boiler"))),0)</f>
        <v>0</v>
      </c>
      <c r="X243" s="173" cm="1">
        <f t="array" ref="X243">IFERROR(IF(AND(SUMIFS('Key inputs_Refineries'!R$85:R$164,'Key inputs_Refineries'!$C$85:$C$164,$C243,'Key inputs_Refineries'!$B$85:$B$164,"Boiler")/SUM(SUMIFS('Key inputs_Refineries'!R$85:R$164,'Key inputs_Refineries'!$C$85:$C$164,$C238:$C247,'Key inputs_Refineries'!$B$85:$B$164,"Boiler"))&gt;0,SUMIFS('Key inputs_Refineries'!R$85:R$164,'Key inputs_Refineries'!$C$85:$C$164,$C243,'Key inputs_Refineries'!$B$85:$B$164,"Boiler")/SUM(SUMIFS('Key inputs_Refineries'!R$85:R$164,'Key inputs_Refineries'!$C$85:$C$164,$C238:$C247,'Key inputs_Refineries'!$B$85:$B$164,"Boiler"))&lt;0.001),0.001,SUMIFS('Key inputs_Refineries'!R$85:R$164,'Key inputs_Refineries'!$C$85:$C$164,$C243,'Key inputs_Refineries'!$B$85:$B$164,"Boiler")/SUM(SUMIFS('Key inputs_Refineries'!R$85:R$164,'Key inputs_Refineries'!$C$85:$C$164,$C238:$C247,'Key inputs_Refineries'!$B$85:$B$164,"Boiler"))),0)</f>
        <v>0</v>
      </c>
      <c r="Y243" s="173" cm="1">
        <f t="array" ref="Y243">IFERROR(IF(AND(SUMIFS('Key inputs_Refineries'!S$85:S$164,'Key inputs_Refineries'!$C$85:$C$164,$C243,'Key inputs_Refineries'!$B$85:$B$164,"Boiler")/SUM(SUMIFS('Key inputs_Refineries'!S$85:S$164,'Key inputs_Refineries'!$C$85:$C$164,$C238:$C247,'Key inputs_Refineries'!$B$85:$B$164,"Boiler"))&gt;0,SUMIFS('Key inputs_Refineries'!S$85:S$164,'Key inputs_Refineries'!$C$85:$C$164,$C243,'Key inputs_Refineries'!$B$85:$B$164,"Boiler")/SUM(SUMIFS('Key inputs_Refineries'!S$85:S$164,'Key inputs_Refineries'!$C$85:$C$164,$C238:$C247,'Key inputs_Refineries'!$B$85:$B$164,"Boiler"))&lt;0.001),0.001,SUMIFS('Key inputs_Refineries'!S$85:S$164,'Key inputs_Refineries'!$C$85:$C$164,$C243,'Key inputs_Refineries'!$B$85:$B$164,"Boiler")/SUM(SUMIFS('Key inputs_Refineries'!S$85:S$164,'Key inputs_Refineries'!$C$85:$C$164,$C238:$C247,'Key inputs_Refineries'!$B$85:$B$164,"Boiler"))),0)</f>
        <v>0</v>
      </c>
      <c r="Z243" s="173" cm="1">
        <f t="array" ref="Z243">IFERROR(IF(AND(SUMIFS('Key inputs_Refineries'!T$85:T$164,'Key inputs_Refineries'!$C$85:$C$164,$C243,'Key inputs_Refineries'!$B$85:$B$164,"Boiler")/SUM(SUMIFS('Key inputs_Refineries'!T$85:T$164,'Key inputs_Refineries'!$C$85:$C$164,$C238:$C247,'Key inputs_Refineries'!$B$85:$B$164,"Boiler"))&gt;0,SUMIFS('Key inputs_Refineries'!T$85:T$164,'Key inputs_Refineries'!$C$85:$C$164,$C243,'Key inputs_Refineries'!$B$85:$B$164,"Boiler")/SUM(SUMIFS('Key inputs_Refineries'!T$85:T$164,'Key inputs_Refineries'!$C$85:$C$164,$C238:$C247,'Key inputs_Refineries'!$B$85:$B$164,"Boiler"))&lt;0.001),0.001,SUMIFS('Key inputs_Refineries'!T$85:T$164,'Key inputs_Refineries'!$C$85:$C$164,$C243,'Key inputs_Refineries'!$B$85:$B$164,"Boiler")/SUM(SUMIFS('Key inputs_Refineries'!T$85:T$164,'Key inputs_Refineries'!$C$85:$C$164,$C238:$C247,'Key inputs_Refineries'!$B$85:$B$164,"Boiler"))),0)</f>
        <v>0</v>
      </c>
      <c r="AA243" s="173" cm="1">
        <f t="array" ref="AA243">IFERROR(IF(AND(SUMIFS('Key inputs_Refineries'!U$85:U$164,'Key inputs_Refineries'!$C$85:$C$164,$C243,'Key inputs_Refineries'!$B$85:$B$164,"Boiler")/SUM(SUMIFS('Key inputs_Refineries'!U$85:U$164,'Key inputs_Refineries'!$C$85:$C$164,$C238:$C247,'Key inputs_Refineries'!$B$85:$B$164,"Boiler"))&gt;0,SUMIFS('Key inputs_Refineries'!U$85:U$164,'Key inputs_Refineries'!$C$85:$C$164,$C243,'Key inputs_Refineries'!$B$85:$B$164,"Boiler")/SUM(SUMIFS('Key inputs_Refineries'!U$85:U$164,'Key inputs_Refineries'!$C$85:$C$164,$C238:$C247,'Key inputs_Refineries'!$B$85:$B$164,"Boiler"))&lt;0.001),0.001,SUMIFS('Key inputs_Refineries'!U$85:U$164,'Key inputs_Refineries'!$C$85:$C$164,$C243,'Key inputs_Refineries'!$B$85:$B$164,"Boiler")/SUM(SUMIFS('Key inputs_Refineries'!U$85:U$164,'Key inputs_Refineries'!$C$85:$C$164,$C238:$C247,'Key inputs_Refineries'!$B$85:$B$164,"Boiler"))),0)</f>
        <v>0</v>
      </c>
      <c r="AB243" s="173" cm="1">
        <f t="array" ref="AB243">IFERROR(IF(AND(SUMIFS('Key inputs_Refineries'!V$85:V$164,'Key inputs_Refineries'!$C$85:$C$164,$C243,'Key inputs_Refineries'!$B$85:$B$164,"Boiler")/SUM(SUMIFS('Key inputs_Refineries'!V$85:V$164,'Key inputs_Refineries'!$C$85:$C$164,$C238:$C247,'Key inputs_Refineries'!$B$85:$B$164,"Boiler"))&gt;0,SUMIFS('Key inputs_Refineries'!V$85:V$164,'Key inputs_Refineries'!$C$85:$C$164,$C243,'Key inputs_Refineries'!$B$85:$B$164,"Boiler")/SUM(SUMIFS('Key inputs_Refineries'!V$85:V$164,'Key inputs_Refineries'!$C$85:$C$164,$C238:$C247,'Key inputs_Refineries'!$B$85:$B$164,"Boiler"))&lt;0.001),0.001,SUMIFS('Key inputs_Refineries'!V$85:V$164,'Key inputs_Refineries'!$C$85:$C$164,$C243,'Key inputs_Refineries'!$B$85:$B$164,"Boiler")/SUM(SUMIFS('Key inputs_Refineries'!V$85:V$164,'Key inputs_Refineries'!$C$85:$C$164,$C238:$C247,'Key inputs_Refineries'!$B$85:$B$164,"Boiler"))),0)</f>
        <v>0</v>
      </c>
      <c r="AC243" s="173" cm="1">
        <f t="array" ref="AC243">IFERROR(IF(AND(SUMIFS('Key inputs_Refineries'!W$85:W$164,'Key inputs_Refineries'!$C$85:$C$164,$C243,'Key inputs_Refineries'!$B$85:$B$164,"Boiler")/SUM(SUMIFS('Key inputs_Refineries'!W$85:W$164,'Key inputs_Refineries'!$C$85:$C$164,$C238:$C247,'Key inputs_Refineries'!$B$85:$B$164,"Boiler"))&gt;0,SUMIFS('Key inputs_Refineries'!W$85:W$164,'Key inputs_Refineries'!$C$85:$C$164,$C243,'Key inputs_Refineries'!$B$85:$B$164,"Boiler")/SUM(SUMIFS('Key inputs_Refineries'!W$85:W$164,'Key inputs_Refineries'!$C$85:$C$164,$C238:$C247,'Key inputs_Refineries'!$B$85:$B$164,"Boiler"))&lt;0.001),0.001,SUMIFS('Key inputs_Refineries'!W$85:W$164,'Key inputs_Refineries'!$C$85:$C$164,$C243,'Key inputs_Refineries'!$B$85:$B$164,"Boiler")/SUM(SUMIFS('Key inputs_Refineries'!W$85:W$164,'Key inputs_Refineries'!$C$85:$C$164,$C238:$C247,'Key inputs_Refineries'!$B$85:$B$164,"Boiler"))),0)</f>
        <v>0</v>
      </c>
      <c r="AD243" s="173" cm="1">
        <f t="array" ref="AD243">IFERROR(IF(AND(SUMIFS('Key inputs_Refineries'!X$85:X$164,'Key inputs_Refineries'!$C$85:$C$164,$C243,'Key inputs_Refineries'!$B$85:$B$164,"Boiler")/SUM(SUMIFS('Key inputs_Refineries'!X$85:X$164,'Key inputs_Refineries'!$C$85:$C$164,$C238:$C247,'Key inputs_Refineries'!$B$85:$B$164,"Boiler"))&gt;0,SUMIFS('Key inputs_Refineries'!X$85:X$164,'Key inputs_Refineries'!$C$85:$C$164,$C243,'Key inputs_Refineries'!$B$85:$B$164,"Boiler")/SUM(SUMIFS('Key inputs_Refineries'!X$85:X$164,'Key inputs_Refineries'!$C$85:$C$164,$C238:$C247,'Key inputs_Refineries'!$B$85:$B$164,"Boiler"))&lt;0.001),0.001,SUMIFS('Key inputs_Refineries'!X$85:X$164,'Key inputs_Refineries'!$C$85:$C$164,$C243,'Key inputs_Refineries'!$B$85:$B$164,"Boiler")/SUM(SUMIFS('Key inputs_Refineries'!X$85:X$164,'Key inputs_Refineries'!$C$85:$C$164,$C238:$C247,'Key inputs_Refineries'!$B$85:$B$164,"Boiler"))),0)</f>
        <v>1.164397526383067E-2</v>
      </c>
      <c r="AE243" s="173" cm="1">
        <f t="array" ref="AE243">IFERROR(IF(AND(SUMIFS('Key inputs_Refineries'!Y$85:Y$164,'Key inputs_Refineries'!$C$85:$C$164,$C243,'Key inputs_Refineries'!$B$85:$B$164,"Boiler")/SUM(SUMIFS('Key inputs_Refineries'!Y$85:Y$164,'Key inputs_Refineries'!$C$85:$C$164,$C238:$C247,'Key inputs_Refineries'!$B$85:$B$164,"Boiler"))&gt;0,SUMIFS('Key inputs_Refineries'!Y$85:Y$164,'Key inputs_Refineries'!$C$85:$C$164,$C243,'Key inputs_Refineries'!$B$85:$B$164,"Boiler")/SUM(SUMIFS('Key inputs_Refineries'!Y$85:Y$164,'Key inputs_Refineries'!$C$85:$C$164,$C238:$C247,'Key inputs_Refineries'!$B$85:$B$164,"Boiler"))&lt;0.001),0.001,SUMIFS('Key inputs_Refineries'!Y$85:Y$164,'Key inputs_Refineries'!$C$85:$C$164,$C243,'Key inputs_Refineries'!$B$85:$B$164,"Boiler")/SUM(SUMIFS('Key inputs_Refineries'!Y$85:Y$164,'Key inputs_Refineries'!$C$85:$C$164,$C238:$C247,'Key inputs_Refineries'!$B$85:$B$164,"Boiler"))),0)</f>
        <v>2.1601592972530496E-2</v>
      </c>
      <c r="AF243" s="173" cm="1">
        <f t="array" ref="AF243">IFERROR(IF(AND(SUMIFS('Key inputs_Refineries'!Z$85:Z$164,'Key inputs_Refineries'!$C$85:$C$164,$C243,'Key inputs_Refineries'!$B$85:$B$164,"Boiler")/SUM(SUMIFS('Key inputs_Refineries'!Z$85:Z$164,'Key inputs_Refineries'!$C$85:$C$164,$C238:$C247,'Key inputs_Refineries'!$B$85:$B$164,"Boiler"))&gt;0,SUMIFS('Key inputs_Refineries'!Z$85:Z$164,'Key inputs_Refineries'!$C$85:$C$164,$C243,'Key inputs_Refineries'!$B$85:$B$164,"Boiler")/SUM(SUMIFS('Key inputs_Refineries'!Z$85:Z$164,'Key inputs_Refineries'!$C$85:$C$164,$C238:$C247,'Key inputs_Refineries'!$B$85:$B$164,"Boiler"))&lt;0.001),0.001,SUMIFS('Key inputs_Refineries'!Z$85:Z$164,'Key inputs_Refineries'!$C$85:$C$164,$C243,'Key inputs_Refineries'!$B$85:$B$164,"Boiler")/SUM(SUMIFS('Key inputs_Refineries'!Z$85:Z$164,'Key inputs_Refineries'!$C$85:$C$164,$C238:$C247,'Key inputs_Refineries'!$B$85:$B$164,"Boiler"))),0)</f>
        <v>0</v>
      </c>
      <c r="AG243" s="173" cm="1">
        <f t="array" ref="AG243">IFERROR(IF(AND(SUMIFS('Key inputs_Refineries'!AA$85:AA$164,'Key inputs_Refineries'!$C$85:$C$164,$C243,'Key inputs_Refineries'!$B$85:$B$164,"Boiler")/SUM(SUMIFS('Key inputs_Refineries'!AA$85:AA$164,'Key inputs_Refineries'!$C$85:$C$164,$C238:$C247,'Key inputs_Refineries'!$B$85:$B$164,"Boiler"))&gt;0,SUMIFS('Key inputs_Refineries'!AA$85:AA$164,'Key inputs_Refineries'!$C$85:$C$164,$C243,'Key inputs_Refineries'!$B$85:$B$164,"Boiler")/SUM(SUMIFS('Key inputs_Refineries'!AA$85:AA$164,'Key inputs_Refineries'!$C$85:$C$164,$C238:$C247,'Key inputs_Refineries'!$B$85:$B$164,"Boiler"))&lt;0.001),0.001,SUMIFS('Key inputs_Refineries'!AA$85:AA$164,'Key inputs_Refineries'!$C$85:$C$164,$C243,'Key inputs_Refineries'!$B$85:$B$164,"Boiler")/SUM(SUMIFS('Key inputs_Refineries'!AA$85:AA$164,'Key inputs_Refineries'!$C$85:$C$164,$C238:$C247,'Key inputs_Refineries'!$B$85:$B$164,"Boiler"))),0)</f>
        <v>0</v>
      </c>
      <c r="AH243" s="173" cm="1">
        <f t="array" ref="AH243">IFERROR(IF(AND(SUMIFS('Key inputs_Refineries'!AB$85:AB$164,'Key inputs_Refineries'!$C$85:$C$164,$C243,'Key inputs_Refineries'!$B$85:$B$164,"Boiler")/SUM(SUMIFS('Key inputs_Refineries'!AB$85:AB$164,'Key inputs_Refineries'!$C$85:$C$164,$C238:$C247,'Key inputs_Refineries'!$B$85:$B$164,"Boiler"))&gt;0,SUMIFS('Key inputs_Refineries'!AB$85:AB$164,'Key inputs_Refineries'!$C$85:$C$164,$C243,'Key inputs_Refineries'!$B$85:$B$164,"Boiler")/SUM(SUMIFS('Key inputs_Refineries'!AB$85:AB$164,'Key inputs_Refineries'!$C$85:$C$164,$C238:$C247,'Key inputs_Refineries'!$B$85:$B$164,"Boiler"))&lt;0.001),0.001,SUMIFS('Key inputs_Refineries'!AB$85:AB$164,'Key inputs_Refineries'!$C$85:$C$164,$C243,'Key inputs_Refineries'!$B$85:$B$164,"Boiler")/SUM(SUMIFS('Key inputs_Refineries'!AB$85:AB$164,'Key inputs_Refineries'!$C$85:$C$164,$C238:$C247,'Key inputs_Refineries'!$B$85:$B$164,"Boiler"))),0)</f>
        <v>0</v>
      </c>
      <c r="AI243" s="173" cm="1">
        <f t="array" ref="AI243">IFERROR(IF(AND(SUMIFS('Key inputs_Refineries'!AC$85:AC$164,'Key inputs_Refineries'!$C$85:$C$164,$C243,'Key inputs_Refineries'!$B$85:$B$164,"Boiler")/SUM(SUMIFS('Key inputs_Refineries'!AC$85:AC$164,'Key inputs_Refineries'!$C$85:$C$164,$C238:$C247,'Key inputs_Refineries'!$B$85:$B$164,"Boiler"))&gt;0,SUMIFS('Key inputs_Refineries'!AC$85:AC$164,'Key inputs_Refineries'!$C$85:$C$164,$C243,'Key inputs_Refineries'!$B$85:$B$164,"Boiler")/SUM(SUMIFS('Key inputs_Refineries'!AC$85:AC$164,'Key inputs_Refineries'!$C$85:$C$164,$C238:$C247,'Key inputs_Refineries'!$B$85:$B$164,"Boiler"))&lt;0.001),0.001,SUMIFS('Key inputs_Refineries'!AC$85:AC$164,'Key inputs_Refineries'!$C$85:$C$164,$C243,'Key inputs_Refineries'!$B$85:$B$164,"Boiler")/SUM(SUMIFS('Key inputs_Refineries'!AC$85:AC$164,'Key inputs_Refineries'!$C$85:$C$164,$C238:$C247,'Key inputs_Refineries'!$B$85:$B$164,"Boiler"))),0)</f>
        <v>0</v>
      </c>
      <c r="AJ243" s="173" cm="1">
        <f t="array" ref="AJ243">IFERROR(IF(AND(SUMIFS('Key inputs_Refineries'!AD$85:AD$164,'Key inputs_Refineries'!$C$85:$C$164,$C243,'Key inputs_Refineries'!$B$85:$B$164,"Boiler")/SUM(SUMIFS('Key inputs_Refineries'!AD$85:AD$164,'Key inputs_Refineries'!$C$85:$C$164,$C238:$C247,'Key inputs_Refineries'!$B$85:$B$164,"Boiler"))&gt;0,SUMIFS('Key inputs_Refineries'!AD$85:AD$164,'Key inputs_Refineries'!$C$85:$C$164,$C243,'Key inputs_Refineries'!$B$85:$B$164,"Boiler")/SUM(SUMIFS('Key inputs_Refineries'!AD$85:AD$164,'Key inputs_Refineries'!$C$85:$C$164,$C238:$C247,'Key inputs_Refineries'!$B$85:$B$164,"Boiler"))&lt;0.001),0.001,SUMIFS('Key inputs_Refineries'!AD$85:AD$164,'Key inputs_Refineries'!$C$85:$C$164,$C243,'Key inputs_Refineries'!$B$85:$B$164,"Boiler")/SUM(SUMIFS('Key inputs_Refineries'!AD$85:AD$164,'Key inputs_Refineries'!$C$85:$C$164,$C238:$C247,'Key inputs_Refineries'!$B$85:$B$164,"Boiler"))),0)</f>
        <v>0</v>
      </c>
      <c r="AK243" s="173" cm="1">
        <f t="array" ref="AK243">IFERROR(IF(AND(SUMIFS('Key inputs_Refineries'!AE$85:AE$164,'Key inputs_Refineries'!$C$85:$C$164,$C243,'Key inputs_Refineries'!$B$85:$B$164,"Boiler")/SUM(SUMIFS('Key inputs_Refineries'!AE$85:AE$164,'Key inputs_Refineries'!$C$85:$C$164,$C238:$C247,'Key inputs_Refineries'!$B$85:$B$164,"Boiler"))&gt;0,SUMIFS('Key inputs_Refineries'!AE$85:AE$164,'Key inputs_Refineries'!$C$85:$C$164,$C243,'Key inputs_Refineries'!$B$85:$B$164,"Boiler")/SUM(SUMIFS('Key inputs_Refineries'!AE$85:AE$164,'Key inputs_Refineries'!$C$85:$C$164,$C238:$C247,'Key inputs_Refineries'!$B$85:$B$164,"Boiler"))&lt;0.001),0.001,SUMIFS('Key inputs_Refineries'!AE$85:AE$164,'Key inputs_Refineries'!$C$85:$C$164,$C243,'Key inputs_Refineries'!$B$85:$B$164,"Boiler")/SUM(SUMIFS('Key inputs_Refineries'!AE$85:AE$164,'Key inputs_Refineries'!$C$85:$C$164,$C238:$C247,'Key inputs_Refineries'!$B$85:$B$164,"Boiler"))),0)</f>
        <v>0</v>
      </c>
      <c r="AL243" s="173" cm="1">
        <f t="array" ref="AL243">IFERROR(IF(AND(SUMIFS('Key inputs_Refineries'!AF$85:AF$164,'Key inputs_Refineries'!$C$85:$C$164,$C243,'Key inputs_Refineries'!$B$85:$B$164,"Boiler")/SUM(SUMIFS('Key inputs_Refineries'!AF$85:AF$164,'Key inputs_Refineries'!$C$85:$C$164,$C238:$C247,'Key inputs_Refineries'!$B$85:$B$164,"Boiler"))&gt;0,SUMIFS('Key inputs_Refineries'!AF$85:AF$164,'Key inputs_Refineries'!$C$85:$C$164,$C243,'Key inputs_Refineries'!$B$85:$B$164,"Boiler")/SUM(SUMIFS('Key inputs_Refineries'!AF$85:AF$164,'Key inputs_Refineries'!$C$85:$C$164,$C238:$C247,'Key inputs_Refineries'!$B$85:$B$164,"Boiler"))&lt;0.001),0.001,SUMIFS('Key inputs_Refineries'!AF$85:AF$164,'Key inputs_Refineries'!$C$85:$C$164,$C243,'Key inputs_Refineries'!$B$85:$B$164,"Boiler")/SUM(SUMIFS('Key inputs_Refineries'!AF$85:AF$164,'Key inputs_Refineries'!$C$85:$C$164,$C238:$C247,'Key inputs_Refineries'!$B$85:$B$164,"Boiler"))),0)</f>
        <v>7.2725742976555516E-3</v>
      </c>
    </row>
    <row r="244" spans="1:38">
      <c r="C244" t="str">
        <f>Commodities!$C$97</f>
        <v>UPSLPG</v>
      </c>
      <c r="G244" s="4" t="s">
        <v>702</v>
      </c>
      <c r="H244" t="s">
        <v>661</v>
      </c>
      <c r="I244">
        <v>2019</v>
      </c>
      <c r="J244" t="s">
        <v>650</v>
      </c>
      <c r="K244" s="173" cm="1">
        <f t="array" ref="K244">IFERROR(IF(AND(SUMIFS('Key inputs_Refineries'!E$85:E$164,'Key inputs_Refineries'!$C$85:$C$164,$C244,'Key inputs_Refineries'!$B$85:$B$164,"Boiler")/SUM(SUMIFS('Key inputs_Refineries'!E$85:E$164,'Key inputs_Refineries'!$C$85:$C$164,$C238:$C247,'Key inputs_Refineries'!$B$85:$B$164,"Boiler"))&gt;0,SUMIFS('Key inputs_Refineries'!E$85:E$164,'Key inputs_Refineries'!$C$85:$C$164,$C244,'Key inputs_Refineries'!$B$85:$B$164,"Boiler")/SUM(SUMIFS('Key inputs_Refineries'!E$85:E$164,'Key inputs_Refineries'!$C$85:$C$164,$C238:$C247,'Key inputs_Refineries'!$B$85:$B$164,"Boiler"))&lt;0.001),0.001,SUMIFS('Key inputs_Refineries'!E$85:E$164,'Key inputs_Refineries'!$C$85:$C$164,$C244,'Key inputs_Refineries'!$B$85:$B$164,"Boiler")/SUM(SUMIFS('Key inputs_Refineries'!E$85:E$164,'Key inputs_Refineries'!$C$85:$C$164,$C238:$C247,'Key inputs_Refineries'!$B$85:$B$164,"Boiler"))),0)</f>
        <v>0</v>
      </c>
      <c r="L244" s="173" cm="1">
        <f t="array" ref="L244">IFERROR(IF(AND(SUMIFS('Key inputs_Refineries'!F$85:F$164,'Key inputs_Refineries'!$C$85:$C$164,$C244,'Key inputs_Refineries'!$B$85:$B$164,"Boiler")/SUM(SUMIFS('Key inputs_Refineries'!F$85:F$164,'Key inputs_Refineries'!$C$85:$C$164,$C238:$C247,'Key inputs_Refineries'!$B$85:$B$164,"Boiler"))&gt;0,SUMIFS('Key inputs_Refineries'!F$85:F$164,'Key inputs_Refineries'!$C$85:$C$164,$C244,'Key inputs_Refineries'!$B$85:$B$164,"Boiler")/SUM(SUMIFS('Key inputs_Refineries'!F$85:F$164,'Key inputs_Refineries'!$C$85:$C$164,$C238:$C247,'Key inputs_Refineries'!$B$85:$B$164,"Boiler"))&lt;0.001),0.001,SUMIFS('Key inputs_Refineries'!F$85:F$164,'Key inputs_Refineries'!$C$85:$C$164,$C244,'Key inputs_Refineries'!$B$85:$B$164,"Boiler")/SUM(SUMIFS('Key inputs_Refineries'!F$85:F$164,'Key inputs_Refineries'!$C$85:$C$164,$C238:$C247,'Key inputs_Refineries'!$B$85:$B$164,"Boiler"))),0)</f>
        <v>0</v>
      </c>
      <c r="M244" s="173" cm="1">
        <f t="array" ref="M244">IFERROR(IF(AND(SUMIFS('Key inputs_Refineries'!G$85:G$164,'Key inputs_Refineries'!$C$85:$C$164,$C244,'Key inputs_Refineries'!$B$85:$B$164,"Boiler")/SUM(SUMIFS('Key inputs_Refineries'!G$85:G$164,'Key inputs_Refineries'!$C$85:$C$164,$C238:$C247,'Key inputs_Refineries'!$B$85:$B$164,"Boiler"))&gt;0,SUMIFS('Key inputs_Refineries'!G$85:G$164,'Key inputs_Refineries'!$C$85:$C$164,$C244,'Key inputs_Refineries'!$B$85:$B$164,"Boiler")/SUM(SUMIFS('Key inputs_Refineries'!G$85:G$164,'Key inputs_Refineries'!$C$85:$C$164,$C238:$C247,'Key inputs_Refineries'!$B$85:$B$164,"Boiler"))&lt;0.001),0.001,SUMIFS('Key inputs_Refineries'!G$85:G$164,'Key inputs_Refineries'!$C$85:$C$164,$C244,'Key inputs_Refineries'!$B$85:$B$164,"Boiler")/SUM(SUMIFS('Key inputs_Refineries'!G$85:G$164,'Key inputs_Refineries'!$C$85:$C$164,$C238:$C247,'Key inputs_Refineries'!$B$85:$B$164,"Boiler"))),0)</f>
        <v>0.11449728272014652</v>
      </c>
      <c r="N244" s="173" cm="1">
        <f t="array" ref="N244">IFERROR(IF(AND(SUMIFS('Key inputs_Refineries'!H$85:H$164,'Key inputs_Refineries'!$C$85:$C$164,$C244,'Key inputs_Refineries'!$B$85:$B$164,"Boiler")/SUM(SUMIFS('Key inputs_Refineries'!H$85:H$164,'Key inputs_Refineries'!$C$85:$C$164,$C238:$C247,'Key inputs_Refineries'!$B$85:$B$164,"Boiler"))&gt;0,SUMIFS('Key inputs_Refineries'!H$85:H$164,'Key inputs_Refineries'!$C$85:$C$164,$C244,'Key inputs_Refineries'!$B$85:$B$164,"Boiler")/SUM(SUMIFS('Key inputs_Refineries'!H$85:H$164,'Key inputs_Refineries'!$C$85:$C$164,$C238:$C247,'Key inputs_Refineries'!$B$85:$B$164,"Boiler"))&lt;0.001),0.001,SUMIFS('Key inputs_Refineries'!H$85:H$164,'Key inputs_Refineries'!$C$85:$C$164,$C244,'Key inputs_Refineries'!$B$85:$B$164,"Boiler")/SUM(SUMIFS('Key inputs_Refineries'!H$85:H$164,'Key inputs_Refineries'!$C$85:$C$164,$C238:$C247,'Key inputs_Refineries'!$B$85:$B$164,"Boiler"))),0)</f>
        <v>0</v>
      </c>
      <c r="O244" s="173" cm="1">
        <f t="array" ref="O244">IFERROR(IF(AND(SUMIFS('Key inputs_Refineries'!I$85:I$164,'Key inputs_Refineries'!$C$85:$C$164,$C244,'Key inputs_Refineries'!$B$85:$B$164,"Boiler")/SUM(SUMIFS('Key inputs_Refineries'!I$85:I$164,'Key inputs_Refineries'!$C$85:$C$164,$C238:$C247,'Key inputs_Refineries'!$B$85:$B$164,"Boiler"))&gt;0,SUMIFS('Key inputs_Refineries'!I$85:I$164,'Key inputs_Refineries'!$C$85:$C$164,$C244,'Key inputs_Refineries'!$B$85:$B$164,"Boiler")/SUM(SUMIFS('Key inputs_Refineries'!I$85:I$164,'Key inputs_Refineries'!$C$85:$C$164,$C238:$C247,'Key inputs_Refineries'!$B$85:$B$164,"Boiler"))&lt;0.001),0.001,SUMIFS('Key inputs_Refineries'!I$85:I$164,'Key inputs_Refineries'!$C$85:$C$164,$C244,'Key inputs_Refineries'!$B$85:$B$164,"Boiler")/SUM(SUMIFS('Key inputs_Refineries'!I$85:I$164,'Key inputs_Refineries'!$C$85:$C$164,$C238:$C247,'Key inputs_Refineries'!$B$85:$B$164,"Boiler"))),0)</f>
        <v>0</v>
      </c>
      <c r="P244" s="173" cm="1">
        <f t="array" ref="P244">IFERROR(IF(AND(SUMIFS('Key inputs_Refineries'!J$85:J$164,'Key inputs_Refineries'!$C$85:$C$164,$C244,'Key inputs_Refineries'!$B$85:$B$164,"Boiler")/SUM(SUMIFS('Key inputs_Refineries'!J$85:J$164,'Key inputs_Refineries'!$C$85:$C$164,$C238:$C247,'Key inputs_Refineries'!$B$85:$B$164,"Boiler"))&gt;0,SUMIFS('Key inputs_Refineries'!J$85:J$164,'Key inputs_Refineries'!$C$85:$C$164,$C244,'Key inputs_Refineries'!$B$85:$B$164,"Boiler")/SUM(SUMIFS('Key inputs_Refineries'!J$85:J$164,'Key inputs_Refineries'!$C$85:$C$164,$C238:$C247,'Key inputs_Refineries'!$B$85:$B$164,"Boiler"))&lt;0.001),0.001,SUMIFS('Key inputs_Refineries'!J$85:J$164,'Key inputs_Refineries'!$C$85:$C$164,$C244,'Key inputs_Refineries'!$B$85:$B$164,"Boiler")/SUM(SUMIFS('Key inputs_Refineries'!J$85:J$164,'Key inputs_Refineries'!$C$85:$C$164,$C238:$C247,'Key inputs_Refineries'!$B$85:$B$164,"Boiler"))),0)</f>
        <v>1.8429074047040168E-3</v>
      </c>
      <c r="Q244" s="173" cm="1">
        <f t="array" ref="Q244">IFERROR(IF(AND(SUMIFS('Key inputs_Refineries'!K$85:K$164,'Key inputs_Refineries'!$C$85:$C$164,$C244,'Key inputs_Refineries'!$B$85:$B$164,"Boiler")/SUM(SUMIFS('Key inputs_Refineries'!K$85:K$164,'Key inputs_Refineries'!$C$85:$C$164,$C238:$C247,'Key inputs_Refineries'!$B$85:$B$164,"Boiler"))&gt;0,SUMIFS('Key inputs_Refineries'!K$85:K$164,'Key inputs_Refineries'!$C$85:$C$164,$C244,'Key inputs_Refineries'!$B$85:$B$164,"Boiler")/SUM(SUMIFS('Key inputs_Refineries'!K$85:K$164,'Key inputs_Refineries'!$C$85:$C$164,$C238:$C247,'Key inputs_Refineries'!$B$85:$B$164,"Boiler"))&lt;0.001),0.001,SUMIFS('Key inputs_Refineries'!K$85:K$164,'Key inputs_Refineries'!$C$85:$C$164,$C244,'Key inputs_Refineries'!$B$85:$B$164,"Boiler")/SUM(SUMIFS('Key inputs_Refineries'!K$85:K$164,'Key inputs_Refineries'!$C$85:$C$164,$C238:$C247,'Key inputs_Refineries'!$B$85:$B$164,"Boiler"))),0)</f>
        <v>0</v>
      </c>
      <c r="R244" s="173" cm="1">
        <f t="array" ref="R244">IFERROR(IF(AND(SUMIFS('Key inputs_Refineries'!L$85:L$164,'Key inputs_Refineries'!$C$85:$C$164,$C244,'Key inputs_Refineries'!$B$85:$B$164,"Boiler")/SUM(SUMIFS('Key inputs_Refineries'!L$85:L$164,'Key inputs_Refineries'!$C$85:$C$164,$C238:$C247,'Key inputs_Refineries'!$B$85:$B$164,"Boiler"))&gt;0,SUMIFS('Key inputs_Refineries'!L$85:L$164,'Key inputs_Refineries'!$C$85:$C$164,$C244,'Key inputs_Refineries'!$B$85:$B$164,"Boiler")/SUM(SUMIFS('Key inputs_Refineries'!L$85:L$164,'Key inputs_Refineries'!$C$85:$C$164,$C238:$C247,'Key inputs_Refineries'!$B$85:$B$164,"Boiler"))&lt;0.001),0.001,SUMIFS('Key inputs_Refineries'!L$85:L$164,'Key inputs_Refineries'!$C$85:$C$164,$C244,'Key inputs_Refineries'!$B$85:$B$164,"Boiler")/SUM(SUMIFS('Key inputs_Refineries'!L$85:L$164,'Key inputs_Refineries'!$C$85:$C$164,$C238:$C247,'Key inputs_Refineries'!$B$85:$B$164,"Boiler"))),0)</f>
        <v>0</v>
      </c>
      <c r="S244" s="173" cm="1">
        <f t="array" ref="S244">IFERROR(IF(AND(SUMIFS('Key inputs_Refineries'!M$85:M$164,'Key inputs_Refineries'!$C$85:$C$164,$C244,'Key inputs_Refineries'!$B$85:$B$164,"Boiler")/SUM(SUMIFS('Key inputs_Refineries'!M$85:M$164,'Key inputs_Refineries'!$C$85:$C$164,$C238:$C247,'Key inputs_Refineries'!$B$85:$B$164,"Boiler"))&gt;0,SUMIFS('Key inputs_Refineries'!M$85:M$164,'Key inputs_Refineries'!$C$85:$C$164,$C244,'Key inputs_Refineries'!$B$85:$B$164,"Boiler")/SUM(SUMIFS('Key inputs_Refineries'!M$85:M$164,'Key inputs_Refineries'!$C$85:$C$164,$C238:$C247,'Key inputs_Refineries'!$B$85:$B$164,"Boiler"))&lt;0.001),0.001,SUMIFS('Key inputs_Refineries'!M$85:M$164,'Key inputs_Refineries'!$C$85:$C$164,$C244,'Key inputs_Refineries'!$B$85:$B$164,"Boiler")/SUM(SUMIFS('Key inputs_Refineries'!M$85:M$164,'Key inputs_Refineries'!$C$85:$C$164,$C238:$C247,'Key inputs_Refineries'!$B$85:$B$164,"Boiler"))),0)</f>
        <v>0</v>
      </c>
      <c r="T244" s="173" cm="1">
        <f t="array" ref="T244">IFERROR(IF(AND(SUMIFS('Key inputs_Refineries'!N$85:N$164,'Key inputs_Refineries'!$C$85:$C$164,$C244,'Key inputs_Refineries'!$B$85:$B$164,"Boiler")/SUM(SUMIFS('Key inputs_Refineries'!N$85:N$164,'Key inputs_Refineries'!$C$85:$C$164,$C238:$C247,'Key inputs_Refineries'!$B$85:$B$164,"Boiler"))&gt;0,SUMIFS('Key inputs_Refineries'!N$85:N$164,'Key inputs_Refineries'!$C$85:$C$164,$C244,'Key inputs_Refineries'!$B$85:$B$164,"Boiler")/SUM(SUMIFS('Key inputs_Refineries'!N$85:N$164,'Key inputs_Refineries'!$C$85:$C$164,$C238:$C247,'Key inputs_Refineries'!$B$85:$B$164,"Boiler"))&lt;0.001),0.001,SUMIFS('Key inputs_Refineries'!N$85:N$164,'Key inputs_Refineries'!$C$85:$C$164,$C244,'Key inputs_Refineries'!$B$85:$B$164,"Boiler")/SUM(SUMIFS('Key inputs_Refineries'!N$85:N$164,'Key inputs_Refineries'!$C$85:$C$164,$C238:$C247,'Key inputs_Refineries'!$B$85:$B$164,"Boiler"))),0)</f>
        <v>4.0866396011492612E-2</v>
      </c>
      <c r="U244" s="173" cm="1">
        <f t="array" ref="U244">IFERROR(IF(AND(SUMIFS('Key inputs_Refineries'!O$85:O$164,'Key inputs_Refineries'!$C$85:$C$164,$C244,'Key inputs_Refineries'!$B$85:$B$164,"Boiler")/SUM(SUMIFS('Key inputs_Refineries'!O$85:O$164,'Key inputs_Refineries'!$C$85:$C$164,$C238:$C247,'Key inputs_Refineries'!$B$85:$B$164,"Boiler"))&gt;0,SUMIFS('Key inputs_Refineries'!O$85:O$164,'Key inputs_Refineries'!$C$85:$C$164,$C244,'Key inputs_Refineries'!$B$85:$B$164,"Boiler")/SUM(SUMIFS('Key inputs_Refineries'!O$85:O$164,'Key inputs_Refineries'!$C$85:$C$164,$C238:$C247,'Key inputs_Refineries'!$B$85:$B$164,"Boiler"))&lt;0.001),0.001,SUMIFS('Key inputs_Refineries'!O$85:O$164,'Key inputs_Refineries'!$C$85:$C$164,$C244,'Key inputs_Refineries'!$B$85:$B$164,"Boiler")/SUM(SUMIFS('Key inputs_Refineries'!O$85:O$164,'Key inputs_Refineries'!$C$85:$C$164,$C238:$C247,'Key inputs_Refineries'!$B$85:$B$164,"Boiler"))),0)</f>
        <v>0.38542966352684382</v>
      </c>
      <c r="V244" s="173" cm="1">
        <f t="array" ref="V244">IFERROR(IF(AND(SUMIFS('Key inputs_Refineries'!P$85:P$164,'Key inputs_Refineries'!$C$85:$C$164,$C244,'Key inputs_Refineries'!$B$85:$B$164,"Boiler")/SUM(SUMIFS('Key inputs_Refineries'!P$85:P$164,'Key inputs_Refineries'!$C$85:$C$164,$C238:$C247,'Key inputs_Refineries'!$B$85:$B$164,"Boiler"))&gt;0,SUMIFS('Key inputs_Refineries'!P$85:P$164,'Key inputs_Refineries'!$C$85:$C$164,$C244,'Key inputs_Refineries'!$B$85:$B$164,"Boiler")/SUM(SUMIFS('Key inputs_Refineries'!P$85:P$164,'Key inputs_Refineries'!$C$85:$C$164,$C238:$C247,'Key inputs_Refineries'!$B$85:$B$164,"Boiler"))&lt;0.001),0.001,SUMIFS('Key inputs_Refineries'!P$85:P$164,'Key inputs_Refineries'!$C$85:$C$164,$C244,'Key inputs_Refineries'!$B$85:$B$164,"Boiler")/SUM(SUMIFS('Key inputs_Refineries'!P$85:P$164,'Key inputs_Refineries'!$C$85:$C$164,$C238:$C247,'Key inputs_Refineries'!$B$85:$B$164,"Boiler"))),0)</f>
        <v>0.20400018354543314</v>
      </c>
      <c r="W244" s="173" cm="1">
        <f t="array" ref="W244">IFERROR(IF(AND(SUMIFS('Key inputs_Refineries'!Q$85:Q$164,'Key inputs_Refineries'!$C$85:$C$164,$C244,'Key inputs_Refineries'!$B$85:$B$164,"Boiler")/SUM(SUMIFS('Key inputs_Refineries'!Q$85:Q$164,'Key inputs_Refineries'!$C$85:$C$164,$C238:$C247,'Key inputs_Refineries'!$B$85:$B$164,"Boiler"))&gt;0,SUMIFS('Key inputs_Refineries'!Q$85:Q$164,'Key inputs_Refineries'!$C$85:$C$164,$C244,'Key inputs_Refineries'!$B$85:$B$164,"Boiler")/SUM(SUMIFS('Key inputs_Refineries'!Q$85:Q$164,'Key inputs_Refineries'!$C$85:$C$164,$C238:$C247,'Key inputs_Refineries'!$B$85:$B$164,"Boiler"))&lt;0.001),0.001,SUMIFS('Key inputs_Refineries'!Q$85:Q$164,'Key inputs_Refineries'!$C$85:$C$164,$C244,'Key inputs_Refineries'!$B$85:$B$164,"Boiler")/SUM(SUMIFS('Key inputs_Refineries'!Q$85:Q$164,'Key inputs_Refineries'!$C$85:$C$164,$C238:$C247,'Key inputs_Refineries'!$B$85:$B$164,"Boiler"))),0)</f>
        <v>0</v>
      </c>
      <c r="X244" s="173" cm="1">
        <f t="array" ref="X244">IFERROR(IF(AND(SUMIFS('Key inputs_Refineries'!R$85:R$164,'Key inputs_Refineries'!$C$85:$C$164,$C244,'Key inputs_Refineries'!$B$85:$B$164,"Boiler")/SUM(SUMIFS('Key inputs_Refineries'!R$85:R$164,'Key inputs_Refineries'!$C$85:$C$164,$C238:$C247,'Key inputs_Refineries'!$B$85:$B$164,"Boiler"))&gt;0,SUMIFS('Key inputs_Refineries'!R$85:R$164,'Key inputs_Refineries'!$C$85:$C$164,$C244,'Key inputs_Refineries'!$B$85:$B$164,"Boiler")/SUM(SUMIFS('Key inputs_Refineries'!R$85:R$164,'Key inputs_Refineries'!$C$85:$C$164,$C238:$C247,'Key inputs_Refineries'!$B$85:$B$164,"Boiler"))&lt;0.001),0.001,SUMIFS('Key inputs_Refineries'!R$85:R$164,'Key inputs_Refineries'!$C$85:$C$164,$C244,'Key inputs_Refineries'!$B$85:$B$164,"Boiler")/SUM(SUMIFS('Key inputs_Refineries'!R$85:R$164,'Key inputs_Refineries'!$C$85:$C$164,$C238:$C247,'Key inputs_Refineries'!$B$85:$B$164,"Boiler"))),0)</f>
        <v>0</v>
      </c>
      <c r="Y244" s="173" cm="1">
        <f t="array" ref="Y244">IFERROR(IF(AND(SUMIFS('Key inputs_Refineries'!S$85:S$164,'Key inputs_Refineries'!$C$85:$C$164,$C244,'Key inputs_Refineries'!$B$85:$B$164,"Boiler")/SUM(SUMIFS('Key inputs_Refineries'!S$85:S$164,'Key inputs_Refineries'!$C$85:$C$164,$C238:$C247,'Key inputs_Refineries'!$B$85:$B$164,"Boiler"))&gt;0,SUMIFS('Key inputs_Refineries'!S$85:S$164,'Key inputs_Refineries'!$C$85:$C$164,$C244,'Key inputs_Refineries'!$B$85:$B$164,"Boiler")/SUM(SUMIFS('Key inputs_Refineries'!S$85:S$164,'Key inputs_Refineries'!$C$85:$C$164,$C238:$C247,'Key inputs_Refineries'!$B$85:$B$164,"Boiler"))&lt;0.001),0.001,SUMIFS('Key inputs_Refineries'!S$85:S$164,'Key inputs_Refineries'!$C$85:$C$164,$C244,'Key inputs_Refineries'!$B$85:$B$164,"Boiler")/SUM(SUMIFS('Key inputs_Refineries'!S$85:S$164,'Key inputs_Refineries'!$C$85:$C$164,$C238:$C247,'Key inputs_Refineries'!$B$85:$B$164,"Boiler"))),0)</f>
        <v>8.2373108109728369E-3</v>
      </c>
      <c r="Z244" s="173" cm="1">
        <f t="array" ref="Z244">IFERROR(IF(AND(SUMIFS('Key inputs_Refineries'!T$85:T$164,'Key inputs_Refineries'!$C$85:$C$164,$C244,'Key inputs_Refineries'!$B$85:$B$164,"Boiler")/SUM(SUMIFS('Key inputs_Refineries'!T$85:T$164,'Key inputs_Refineries'!$C$85:$C$164,$C238:$C247,'Key inputs_Refineries'!$B$85:$B$164,"Boiler"))&gt;0,SUMIFS('Key inputs_Refineries'!T$85:T$164,'Key inputs_Refineries'!$C$85:$C$164,$C244,'Key inputs_Refineries'!$B$85:$B$164,"Boiler")/SUM(SUMIFS('Key inputs_Refineries'!T$85:T$164,'Key inputs_Refineries'!$C$85:$C$164,$C238:$C247,'Key inputs_Refineries'!$B$85:$B$164,"Boiler"))&lt;0.001),0.001,SUMIFS('Key inputs_Refineries'!T$85:T$164,'Key inputs_Refineries'!$C$85:$C$164,$C244,'Key inputs_Refineries'!$B$85:$B$164,"Boiler")/SUM(SUMIFS('Key inputs_Refineries'!T$85:T$164,'Key inputs_Refineries'!$C$85:$C$164,$C238:$C247,'Key inputs_Refineries'!$B$85:$B$164,"Boiler"))),0)</f>
        <v>7.8067049163062063E-2</v>
      </c>
      <c r="AA244" s="173" cm="1">
        <f t="array" ref="AA244">IFERROR(IF(AND(SUMIFS('Key inputs_Refineries'!U$85:U$164,'Key inputs_Refineries'!$C$85:$C$164,$C244,'Key inputs_Refineries'!$B$85:$B$164,"Boiler")/SUM(SUMIFS('Key inputs_Refineries'!U$85:U$164,'Key inputs_Refineries'!$C$85:$C$164,$C238:$C247,'Key inputs_Refineries'!$B$85:$B$164,"Boiler"))&gt;0,SUMIFS('Key inputs_Refineries'!U$85:U$164,'Key inputs_Refineries'!$C$85:$C$164,$C244,'Key inputs_Refineries'!$B$85:$B$164,"Boiler")/SUM(SUMIFS('Key inputs_Refineries'!U$85:U$164,'Key inputs_Refineries'!$C$85:$C$164,$C238:$C247,'Key inputs_Refineries'!$B$85:$B$164,"Boiler"))&lt;0.001),0.001,SUMIFS('Key inputs_Refineries'!U$85:U$164,'Key inputs_Refineries'!$C$85:$C$164,$C244,'Key inputs_Refineries'!$B$85:$B$164,"Boiler")/SUM(SUMIFS('Key inputs_Refineries'!U$85:U$164,'Key inputs_Refineries'!$C$85:$C$164,$C238:$C247,'Key inputs_Refineries'!$B$85:$B$164,"Boiler"))),0)</f>
        <v>0.12670134629223898</v>
      </c>
      <c r="AB244" s="173" cm="1">
        <f t="array" ref="AB244">IFERROR(IF(AND(SUMIFS('Key inputs_Refineries'!V$85:V$164,'Key inputs_Refineries'!$C$85:$C$164,$C244,'Key inputs_Refineries'!$B$85:$B$164,"Boiler")/SUM(SUMIFS('Key inputs_Refineries'!V$85:V$164,'Key inputs_Refineries'!$C$85:$C$164,$C238:$C247,'Key inputs_Refineries'!$B$85:$B$164,"Boiler"))&gt;0,SUMIFS('Key inputs_Refineries'!V$85:V$164,'Key inputs_Refineries'!$C$85:$C$164,$C244,'Key inputs_Refineries'!$B$85:$B$164,"Boiler")/SUM(SUMIFS('Key inputs_Refineries'!V$85:V$164,'Key inputs_Refineries'!$C$85:$C$164,$C238:$C247,'Key inputs_Refineries'!$B$85:$B$164,"Boiler"))&lt;0.001),0.001,SUMIFS('Key inputs_Refineries'!V$85:V$164,'Key inputs_Refineries'!$C$85:$C$164,$C244,'Key inputs_Refineries'!$B$85:$B$164,"Boiler")/SUM(SUMIFS('Key inputs_Refineries'!V$85:V$164,'Key inputs_Refineries'!$C$85:$C$164,$C238:$C247,'Key inputs_Refineries'!$B$85:$B$164,"Boiler"))),0)</f>
        <v>0</v>
      </c>
      <c r="AC244" s="173" cm="1">
        <f t="array" ref="AC244">IFERROR(IF(AND(SUMIFS('Key inputs_Refineries'!W$85:W$164,'Key inputs_Refineries'!$C$85:$C$164,$C244,'Key inputs_Refineries'!$B$85:$B$164,"Boiler")/SUM(SUMIFS('Key inputs_Refineries'!W$85:W$164,'Key inputs_Refineries'!$C$85:$C$164,$C238:$C247,'Key inputs_Refineries'!$B$85:$B$164,"Boiler"))&gt;0,SUMIFS('Key inputs_Refineries'!W$85:W$164,'Key inputs_Refineries'!$C$85:$C$164,$C244,'Key inputs_Refineries'!$B$85:$B$164,"Boiler")/SUM(SUMIFS('Key inputs_Refineries'!W$85:W$164,'Key inputs_Refineries'!$C$85:$C$164,$C238:$C247,'Key inputs_Refineries'!$B$85:$B$164,"Boiler"))&lt;0.001),0.001,SUMIFS('Key inputs_Refineries'!W$85:W$164,'Key inputs_Refineries'!$C$85:$C$164,$C244,'Key inputs_Refineries'!$B$85:$B$164,"Boiler")/SUM(SUMIFS('Key inputs_Refineries'!W$85:W$164,'Key inputs_Refineries'!$C$85:$C$164,$C238:$C247,'Key inputs_Refineries'!$B$85:$B$164,"Boiler"))),0)</f>
        <v>0</v>
      </c>
      <c r="AD244" s="173" cm="1">
        <f t="array" ref="AD244">IFERROR(IF(AND(SUMIFS('Key inputs_Refineries'!X$85:X$164,'Key inputs_Refineries'!$C$85:$C$164,$C244,'Key inputs_Refineries'!$B$85:$B$164,"Boiler")/SUM(SUMIFS('Key inputs_Refineries'!X$85:X$164,'Key inputs_Refineries'!$C$85:$C$164,$C238:$C247,'Key inputs_Refineries'!$B$85:$B$164,"Boiler"))&gt;0,SUMIFS('Key inputs_Refineries'!X$85:X$164,'Key inputs_Refineries'!$C$85:$C$164,$C244,'Key inputs_Refineries'!$B$85:$B$164,"Boiler")/SUM(SUMIFS('Key inputs_Refineries'!X$85:X$164,'Key inputs_Refineries'!$C$85:$C$164,$C238:$C247,'Key inputs_Refineries'!$B$85:$B$164,"Boiler"))&lt;0.001),0.001,SUMIFS('Key inputs_Refineries'!X$85:X$164,'Key inputs_Refineries'!$C$85:$C$164,$C244,'Key inputs_Refineries'!$B$85:$B$164,"Boiler")/SUM(SUMIFS('Key inputs_Refineries'!X$85:X$164,'Key inputs_Refineries'!$C$85:$C$164,$C238:$C247,'Key inputs_Refineries'!$B$85:$B$164,"Boiler"))),0)</f>
        <v>5.9809032201112659E-2</v>
      </c>
      <c r="AE244" s="173" cm="1">
        <f t="array" ref="AE244">IFERROR(IF(AND(SUMIFS('Key inputs_Refineries'!Y$85:Y$164,'Key inputs_Refineries'!$C$85:$C$164,$C244,'Key inputs_Refineries'!$B$85:$B$164,"Boiler")/SUM(SUMIFS('Key inputs_Refineries'!Y$85:Y$164,'Key inputs_Refineries'!$C$85:$C$164,$C238:$C247,'Key inputs_Refineries'!$B$85:$B$164,"Boiler"))&gt;0,SUMIFS('Key inputs_Refineries'!Y$85:Y$164,'Key inputs_Refineries'!$C$85:$C$164,$C244,'Key inputs_Refineries'!$B$85:$B$164,"Boiler")/SUM(SUMIFS('Key inputs_Refineries'!Y$85:Y$164,'Key inputs_Refineries'!$C$85:$C$164,$C238:$C247,'Key inputs_Refineries'!$B$85:$B$164,"Boiler"))&lt;0.001),0.001,SUMIFS('Key inputs_Refineries'!Y$85:Y$164,'Key inputs_Refineries'!$C$85:$C$164,$C244,'Key inputs_Refineries'!$B$85:$B$164,"Boiler")/SUM(SUMIFS('Key inputs_Refineries'!Y$85:Y$164,'Key inputs_Refineries'!$C$85:$C$164,$C238:$C247,'Key inputs_Refineries'!$B$85:$B$164,"Boiler"))),0)</f>
        <v>0.15964808720573298</v>
      </c>
      <c r="AF244" s="173" cm="1">
        <f t="array" ref="AF244">IFERROR(IF(AND(SUMIFS('Key inputs_Refineries'!Z$85:Z$164,'Key inputs_Refineries'!$C$85:$C$164,$C244,'Key inputs_Refineries'!$B$85:$B$164,"Boiler")/SUM(SUMIFS('Key inputs_Refineries'!Z$85:Z$164,'Key inputs_Refineries'!$C$85:$C$164,$C238:$C247,'Key inputs_Refineries'!$B$85:$B$164,"Boiler"))&gt;0,SUMIFS('Key inputs_Refineries'!Z$85:Z$164,'Key inputs_Refineries'!$C$85:$C$164,$C244,'Key inputs_Refineries'!$B$85:$B$164,"Boiler")/SUM(SUMIFS('Key inputs_Refineries'!Z$85:Z$164,'Key inputs_Refineries'!$C$85:$C$164,$C238:$C247,'Key inputs_Refineries'!$B$85:$B$164,"Boiler"))&lt;0.001),0.001,SUMIFS('Key inputs_Refineries'!Z$85:Z$164,'Key inputs_Refineries'!$C$85:$C$164,$C244,'Key inputs_Refineries'!$B$85:$B$164,"Boiler")/SUM(SUMIFS('Key inputs_Refineries'!Z$85:Z$164,'Key inputs_Refineries'!$C$85:$C$164,$C238:$C247,'Key inputs_Refineries'!$B$85:$B$164,"Boiler"))),0)</f>
        <v>0</v>
      </c>
      <c r="AG244" s="173" cm="1">
        <f t="array" ref="AG244">IFERROR(IF(AND(SUMIFS('Key inputs_Refineries'!AA$85:AA$164,'Key inputs_Refineries'!$C$85:$C$164,$C244,'Key inputs_Refineries'!$B$85:$B$164,"Boiler")/SUM(SUMIFS('Key inputs_Refineries'!AA$85:AA$164,'Key inputs_Refineries'!$C$85:$C$164,$C238:$C247,'Key inputs_Refineries'!$B$85:$B$164,"Boiler"))&gt;0,SUMIFS('Key inputs_Refineries'!AA$85:AA$164,'Key inputs_Refineries'!$C$85:$C$164,$C244,'Key inputs_Refineries'!$B$85:$B$164,"Boiler")/SUM(SUMIFS('Key inputs_Refineries'!AA$85:AA$164,'Key inputs_Refineries'!$C$85:$C$164,$C238:$C247,'Key inputs_Refineries'!$B$85:$B$164,"Boiler"))&lt;0.001),0.001,SUMIFS('Key inputs_Refineries'!AA$85:AA$164,'Key inputs_Refineries'!$C$85:$C$164,$C244,'Key inputs_Refineries'!$B$85:$B$164,"Boiler")/SUM(SUMIFS('Key inputs_Refineries'!AA$85:AA$164,'Key inputs_Refineries'!$C$85:$C$164,$C238:$C247,'Key inputs_Refineries'!$B$85:$B$164,"Boiler"))),0)</f>
        <v>0.14701351118428413</v>
      </c>
      <c r="AH244" s="173" cm="1">
        <f t="array" ref="AH244">IFERROR(IF(AND(SUMIFS('Key inputs_Refineries'!AB$85:AB$164,'Key inputs_Refineries'!$C$85:$C$164,$C244,'Key inputs_Refineries'!$B$85:$B$164,"Boiler")/SUM(SUMIFS('Key inputs_Refineries'!AB$85:AB$164,'Key inputs_Refineries'!$C$85:$C$164,$C238:$C247,'Key inputs_Refineries'!$B$85:$B$164,"Boiler"))&gt;0,SUMIFS('Key inputs_Refineries'!AB$85:AB$164,'Key inputs_Refineries'!$C$85:$C$164,$C244,'Key inputs_Refineries'!$B$85:$B$164,"Boiler")/SUM(SUMIFS('Key inputs_Refineries'!AB$85:AB$164,'Key inputs_Refineries'!$C$85:$C$164,$C238:$C247,'Key inputs_Refineries'!$B$85:$B$164,"Boiler"))&lt;0.001),0.001,SUMIFS('Key inputs_Refineries'!AB$85:AB$164,'Key inputs_Refineries'!$C$85:$C$164,$C244,'Key inputs_Refineries'!$B$85:$B$164,"Boiler")/SUM(SUMIFS('Key inputs_Refineries'!AB$85:AB$164,'Key inputs_Refineries'!$C$85:$C$164,$C238:$C247,'Key inputs_Refineries'!$B$85:$B$164,"Boiler"))),0)</f>
        <v>0</v>
      </c>
      <c r="AI244" s="173" cm="1">
        <f t="array" ref="AI244">IFERROR(IF(AND(SUMIFS('Key inputs_Refineries'!AC$85:AC$164,'Key inputs_Refineries'!$C$85:$C$164,$C244,'Key inputs_Refineries'!$B$85:$B$164,"Boiler")/SUM(SUMIFS('Key inputs_Refineries'!AC$85:AC$164,'Key inputs_Refineries'!$C$85:$C$164,$C238:$C247,'Key inputs_Refineries'!$B$85:$B$164,"Boiler"))&gt;0,SUMIFS('Key inputs_Refineries'!AC$85:AC$164,'Key inputs_Refineries'!$C$85:$C$164,$C244,'Key inputs_Refineries'!$B$85:$B$164,"Boiler")/SUM(SUMIFS('Key inputs_Refineries'!AC$85:AC$164,'Key inputs_Refineries'!$C$85:$C$164,$C238:$C247,'Key inputs_Refineries'!$B$85:$B$164,"Boiler"))&lt;0.001),0.001,SUMIFS('Key inputs_Refineries'!AC$85:AC$164,'Key inputs_Refineries'!$C$85:$C$164,$C244,'Key inputs_Refineries'!$B$85:$B$164,"Boiler")/SUM(SUMIFS('Key inputs_Refineries'!AC$85:AC$164,'Key inputs_Refineries'!$C$85:$C$164,$C238:$C247,'Key inputs_Refineries'!$B$85:$B$164,"Boiler"))),0)</f>
        <v>8.2300446207238476E-2</v>
      </c>
      <c r="AJ244" s="173" cm="1">
        <f t="array" ref="AJ244">IFERROR(IF(AND(SUMIFS('Key inputs_Refineries'!AD$85:AD$164,'Key inputs_Refineries'!$C$85:$C$164,$C244,'Key inputs_Refineries'!$B$85:$B$164,"Boiler")/SUM(SUMIFS('Key inputs_Refineries'!AD$85:AD$164,'Key inputs_Refineries'!$C$85:$C$164,$C238:$C247,'Key inputs_Refineries'!$B$85:$B$164,"Boiler"))&gt;0,SUMIFS('Key inputs_Refineries'!AD$85:AD$164,'Key inputs_Refineries'!$C$85:$C$164,$C244,'Key inputs_Refineries'!$B$85:$B$164,"Boiler")/SUM(SUMIFS('Key inputs_Refineries'!AD$85:AD$164,'Key inputs_Refineries'!$C$85:$C$164,$C238:$C247,'Key inputs_Refineries'!$B$85:$B$164,"Boiler"))&lt;0.001),0.001,SUMIFS('Key inputs_Refineries'!AD$85:AD$164,'Key inputs_Refineries'!$C$85:$C$164,$C244,'Key inputs_Refineries'!$B$85:$B$164,"Boiler")/SUM(SUMIFS('Key inputs_Refineries'!AD$85:AD$164,'Key inputs_Refineries'!$C$85:$C$164,$C238:$C247,'Key inputs_Refineries'!$B$85:$B$164,"Boiler"))),0)</f>
        <v>0</v>
      </c>
      <c r="AK244" s="173" cm="1">
        <f t="array" ref="AK244">IFERROR(IF(AND(SUMIFS('Key inputs_Refineries'!AE$85:AE$164,'Key inputs_Refineries'!$C$85:$C$164,$C244,'Key inputs_Refineries'!$B$85:$B$164,"Boiler")/SUM(SUMIFS('Key inputs_Refineries'!AE$85:AE$164,'Key inputs_Refineries'!$C$85:$C$164,$C238:$C247,'Key inputs_Refineries'!$B$85:$B$164,"Boiler"))&gt;0,SUMIFS('Key inputs_Refineries'!AE$85:AE$164,'Key inputs_Refineries'!$C$85:$C$164,$C244,'Key inputs_Refineries'!$B$85:$B$164,"Boiler")/SUM(SUMIFS('Key inputs_Refineries'!AE$85:AE$164,'Key inputs_Refineries'!$C$85:$C$164,$C238:$C247,'Key inputs_Refineries'!$B$85:$B$164,"Boiler"))&lt;0.001),0.001,SUMIFS('Key inputs_Refineries'!AE$85:AE$164,'Key inputs_Refineries'!$C$85:$C$164,$C244,'Key inputs_Refineries'!$B$85:$B$164,"Boiler")/SUM(SUMIFS('Key inputs_Refineries'!AE$85:AE$164,'Key inputs_Refineries'!$C$85:$C$164,$C238:$C247,'Key inputs_Refineries'!$B$85:$B$164,"Boiler"))),0)</f>
        <v>0.19642918031687168</v>
      </c>
      <c r="AL244" s="173" cm="1">
        <f t="array" ref="AL244">IFERROR(IF(AND(SUMIFS('Key inputs_Refineries'!AF$85:AF$164,'Key inputs_Refineries'!$C$85:$C$164,$C244,'Key inputs_Refineries'!$B$85:$B$164,"Boiler")/SUM(SUMIFS('Key inputs_Refineries'!AF$85:AF$164,'Key inputs_Refineries'!$C$85:$C$164,$C238:$C247,'Key inputs_Refineries'!$B$85:$B$164,"Boiler"))&gt;0,SUMIFS('Key inputs_Refineries'!AF$85:AF$164,'Key inputs_Refineries'!$C$85:$C$164,$C244,'Key inputs_Refineries'!$B$85:$B$164,"Boiler")/SUM(SUMIFS('Key inputs_Refineries'!AF$85:AF$164,'Key inputs_Refineries'!$C$85:$C$164,$C238:$C247,'Key inputs_Refineries'!$B$85:$B$164,"Boiler"))&lt;0.001),0.001,SUMIFS('Key inputs_Refineries'!AF$85:AF$164,'Key inputs_Refineries'!$C$85:$C$164,$C244,'Key inputs_Refineries'!$B$85:$B$164,"Boiler")/SUM(SUMIFS('Key inputs_Refineries'!AF$85:AF$164,'Key inputs_Refineries'!$C$85:$C$164,$C238:$C247,'Key inputs_Refineries'!$B$85:$B$164,"Boiler"))),0)</f>
        <v>3.7520915854909229E-2</v>
      </c>
    </row>
    <row r="245" spans="1:38">
      <c r="C245" t="str">
        <f>Commodities!$C$98</f>
        <v>UPSNAP</v>
      </c>
      <c r="G245" s="4" t="s">
        <v>702</v>
      </c>
      <c r="H245" t="s">
        <v>661</v>
      </c>
      <c r="I245">
        <v>2019</v>
      </c>
      <c r="J245" t="s">
        <v>650</v>
      </c>
      <c r="K245" s="173" cm="1">
        <f t="array" ref="K245">IFERROR(IF(AND(SUMIFS('Key inputs_Refineries'!E$85:E$164,'Key inputs_Refineries'!$C$85:$C$164,$C245,'Key inputs_Refineries'!$B$85:$B$164,"Boiler")/SUM(SUMIFS('Key inputs_Refineries'!E$85:E$164,'Key inputs_Refineries'!$C$85:$C$164,$C238:$C247,'Key inputs_Refineries'!$B$85:$B$164,"Boiler"))&gt;0,SUMIFS('Key inputs_Refineries'!E$85:E$164,'Key inputs_Refineries'!$C$85:$C$164,$C245,'Key inputs_Refineries'!$B$85:$B$164,"Boiler")/SUM(SUMIFS('Key inputs_Refineries'!E$85:E$164,'Key inputs_Refineries'!$C$85:$C$164,$C238:$C247,'Key inputs_Refineries'!$B$85:$B$164,"Boiler"))&lt;0.001),0.001,SUMIFS('Key inputs_Refineries'!E$85:E$164,'Key inputs_Refineries'!$C$85:$C$164,$C245,'Key inputs_Refineries'!$B$85:$B$164,"Boiler")/SUM(SUMIFS('Key inputs_Refineries'!E$85:E$164,'Key inputs_Refineries'!$C$85:$C$164,$C238:$C247,'Key inputs_Refineries'!$B$85:$B$164,"Boiler"))),0)</f>
        <v>0</v>
      </c>
      <c r="L245" s="173" cm="1">
        <f t="array" ref="L245">IFERROR(IF(AND(SUMIFS('Key inputs_Refineries'!F$85:F$164,'Key inputs_Refineries'!$C$85:$C$164,$C245,'Key inputs_Refineries'!$B$85:$B$164,"Boiler")/SUM(SUMIFS('Key inputs_Refineries'!F$85:F$164,'Key inputs_Refineries'!$C$85:$C$164,$C238:$C247,'Key inputs_Refineries'!$B$85:$B$164,"Boiler"))&gt;0,SUMIFS('Key inputs_Refineries'!F$85:F$164,'Key inputs_Refineries'!$C$85:$C$164,$C245,'Key inputs_Refineries'!$B$85:$B$164,"Boiler")/SUM(SUMIFS('Key inputs_Refineries'!F$85:F$164,'Key inputs_Refineries'!$C$85:$C$164,$C238:$C247,'Key inputs_Refineries'!$B$85:$B$164,"Boiler"))&lt;0.001),0.001,SUMIFS('Key inputs_Refineries'!F$85:F$164,'Key inputs_Refineries'!$C$85:$C$164,$C245,'Key inputs_Refineries'!$B$85:$B$164,"Boiler")/SUM(SUMIFS('Key inputs_Refineries'!F$85:F$164,'Key inputs_Refineries'!$C$85:$C$164,$C238:$C247,'Key inputs_Refineries'!$B$85:$B$164,"Boiler"))),0)</f>
        <v>0</v>
      </c>
      <c r="M245" s="173" cm="1">
        <f t="array" ref="M245">IFERROR(IF(AND(SUMIFS('Key inputs_Refineries'!G$85:G$164,'Key inputs_Refineries'!$C$85:$C$164,$C245,'Key inputs_Refineries'!$B$85:$B$164,"Boiler")/SUM(SUMIFS('Key inputs_Refineries'!G$85:G$164,'Key inputs_Refineries'!$C$85:$C$164,$C238:$C247,'Key inputs_Refineries'!$B$85:$B$164,"Boiler"))&gt;0,SUMIFS('Key inputs_Refineries'!G$85:G$164,'Key inputs_Refineries'!$C$85:$C$164,$C245,'Key inputs_Refineries'!$B$85:$B$164,"Boiler")/SUM(SUMIFS('Key inputs_Refineries'!G$85:G$164,'Key inputs_Refineries'!$C$85:$C$164,$C238:$C247,'Key inputs_Refineries'!$B$85:$B$164,"Boiler"))&lt;0.001),0.001,SUMIFS('Key inputs_Refineries'!G$85:G$164,'Key inputs_Refineries'!$C$85:$C$164,$C245,'Key inputs_Refineries'!$B$85:$B$164,"Boiler")/SUM(SUMIFS('Key inputs_Refineries'!G$85:G$164,'Key inputs_Refineries'!$C$85:$C$164,$C238:$C247,'Key inputs_Refineries'!$B$85:$B$164,"Boiler"))),0)</f>
        <v>0</v>
      </c>
      <c r="N245" s="173" cm="1">
        <f t="array" ref="N245">IFERROR(IF(AND(SUMIFS('Key inputs_Refineries'!H$85:H$164,'Key inputs_Refineries'!$C$85:$C$164,$C245,'Key inputs_Refineries'!$B$85:$B$164,"Boiler")/SUM(SUMIFS('Key inputs_Refineries'!H$85:H$164,'Key inputs_Refineries'!$C$85:$C$164,$C238:$C247,'Key inputs_Refineries'!$B$85:$B$164,"Boiler"))&gt;0,SUMIFS('Key inputs_Refineries'!H$85:H$164,'Key inputs_Refineries'!$C$85:$C$164,$C245,'Key inputs_Refineries'!$B$85:$B$164,"Boiler")/SUM(SUMIFS('Key inputs_Refineries'!H$85:H$164,'Key inputs_Refineries'!$C$85:$C$164,$C238:$C247,'Key inputs_Refineries'!$B$85:$B$164,"Boiler"))&lt;0.001),0.001,SUMIFS('Key inputs_Refineries'!H$85:H$164,'Key inputs_Refineries'!$C$85:$C$164,$C245,'Key inputs_Refineries'!$B$85:$B$164,"Boiler")/SUM(SUMIFS('Key inputs_Refineries'!H$85:H$164,'Key inputs_Refineries'!$C$85:$C$164,$C238:$C247,'Key inputs_Refineries'!$B$85:$B$164,"Boiler"))),0)</f>
        <v>0</v>
      </c>
      <c r="O245" s="173" cm="1">
        <f t="array" ref="O245">IFERROR(IF(AND(SUMIFS('Key inputs_Refineries'!I$85:I$164,'Key inputs_Refineries'!$C$85:$C$164,$C245,'Key inputs_Refineries'!$B$85:$B$164,"Boiler")/SUM(SUMIFS('Key inputs_Refineries'!I$85:I$164,'Key inputs_Refineries'!$C$85:$C$164,$C238:$C247,'Key inputs_Refineries'!$B$85:$B$164,"Boiler"))&gt;0,SUMIFS('Key inputs_Refineries'!I$85:I$164,'Key inputs_Refineries'!$C$85:$C$164,$C245,'Key inputs_Refineries'!$B$85:$B$164,"Boiler")/SUM(SUMIFS('Key inputs_Refineries'!I$85:I$164,'Key inputs_Refineries'!$C$85:$C$164,$C238:$C247,'Key inputs_Refineries'!$B$85:$B$164,"Boiler"))&lt;0.001),0.001,SUMIFS('Key inputs_Refineries'!I$85:I$164,'Key inputs_Refineries'!$C$85:$C$164,$C245,'Key inputs_Refineries'!$B$85:$B$164,"Boiler")/SUM(SUMIFS('Key inputs_Refineries'!I$85:I$164,'Key inputs_Refineries'!$C$85:$C$164,$C238:$C247,'Key inputs_Refineries'!$B$85:$B$164,"Boiler"))),0)</f>
        <v>0</v>
      </c>
      <c r="P245" s="173" cm="1">
        <f t="array" ref="P245">IFERROR(IF(AND(SUMIFS('Key inputs_Refineries'!J$85:J$164,'Key inputs_Refineries'!$C$85:$C$164,$C245,'Key inputs_Refineries'!$B$85:$B$164,"Boiler")/SUM(SUMIFS('Key inputs_Refineries'!J$85:J$164,'Key inputs_Refineries'!$C$85:$C$164,$C238:$C247,'Key inputs_Refineries'!$B$85:$B$164,"Boiler"))&gt;0,SUMIFS('Key inputs_Refineries'!J$85:J$164,'Key inputs_Refineries'!$C$85:$C$164,$C245,'Key inputs_Refineries'!$B$85:$B$164,"Boiler")/SUM(SUMIFS('Key inputs_Refineries'!J$85:J$164,'Key inputs_Refineries'!$C$85:$C$164,$C238:$C247,'Key inputs_Refineries'!$B$85:$B$164,"Boiler"))&lt;0.001),0.001,SUMIFS('Key inputs_Refineries'!J$85:J$164,'Key inputs_Refineries'!$C$85:$C$164,$C245,'Key inputs_Refineries'!$B$85:$B$164,"Boiler")/SUM(SUMIFS('Key inputs_Refineries'!J$85:J$164,'Key inputs_Refineries'!$C$85:$C$164,$C238:$C247,'Key inputs_Refineries'!$B$85:$B$164,"Boiler"))),0)</f>
        <v>0</v>
      </c>
      <c r="Q245" s="173" cm="1">
        <f t="array" ref="Q245">IFERROR(IF(AND(SUMIFS('Key inputs_Refineries'!K$85:K$164,'Key inputs_Refineries'!$C$85:$C$164,$C245,'Key inputs_Refineries'!$B$85:$B$164,"Boiler")/SUM(SUMIFS('Key inputs_Refineries'!K$85:K$164,'Key inputs_Refineries'!$C$85:$C$164,$C238:$C247,'Key inputs_Refineries'!$B$85:$B$164,"Boiler"))&gt;0,SUMIFS('Key inputs_Refineries'!K$85:K$164,'Key inputs_Refineries'!$C$85:$C$164,$C245,'Key inputs_Refineries'!$B$85:$B$164,"Boiler")/SUM(SUMIFS('Key inputs_Refineries'!K$85:K$164,'Key inputs_Refineries'!$C$85:$C$164,$C238:$C247,'Key inputs_Refineries'!$B$85:$B$164,"Boiler"))&lt;0.001),0.001,SUMIFS('Key inputs_Refineries'!K$85:K$164,'Key inputs_Refineries'!$C$85:$C$164,$C245,'Key inputs_Refineries'!$B$85:$B$164,"Boiler")/SUM(SUMIFS('Key inputs_Refineries'!K$85:K$164,'Key inputs_Refineries'!$C$85:$C$164,$C238:$C247,'Key inputs_Refineries'!$B$85:$B$164,"Boiler"))),0)</f>
        <v>0</v>
      </c>
      <c r="R245" s="173" cm="1">
        <f t="array" ref="R245">IFERROR(IF(AND(SUMIFS('Key inputs_Refineries'!L$85:L$164,'Key inputs_Refineries'!$C$85:$C$164,$C245,'Key inputs_Refineries'!$B$85:$B$164,"Boiler")/SUM(SUMIFS('Key inputs_Refineries'!L$85:L$164,'Key inputs_Refineries'!$C$85:$C$164,$C238:$C247,'Key inputs_Refineries'!$B$85:$B$164,"Boiler"))&gt;0,SUMIFS('Key inputs_Refineries'!L$85:L$164,'Key inputs_Refineries'!$C$85:$C$164,$C245,'Key inputs_Refineries'!$B$85:$B$164,"Boiler")/SUM(SUMIFS('Key inputs_Refineries'!L$85:L$164,'Key inputs_Refineries'!$C$85:$C$164,$C238:$C247,'Key inputs_Refineries'!$B$85:$B$164,"Boiler"))&lt;0.001),0.001,SUMIFS('Key inputs_Refineries'!L$85:L$164,'Key inputs_Refineries'!$C$85:$C$164,$C245,'Key inputs_Refineries'!$B$85:$B$164,"Boiler")/SUM(SUMIFS('Key inputs_Refineries'!L$85:L$164,'Key inputs_Refineries'!$C$85:$C$164,$C238:$C247,'Key inputs_Refineries'!$B$85:$B$164,"Boiler"))),0)</f>
        <v>0</v>
      </c>
      <c r="S245" s="173" cm="1">
        <f t="array" ref="S245">IFERROR(IF(AND(SUMIFS('Key inputs_Refineries'!M$85:M$164,'Key inputs_Refineries'!$C$85:$C$164,$C245,'Key inputs_Refineries'!$B$85:$B$164,"Boiler")/SUM(SUMIFS('Key inputs_Refineries'!M$85:M$164,'Key inputs_Refineries'!$C$85:$C$164,$C238:$C247,'Key inputs_Refineries'!$B$85:$B$164,"Boiler"))&gt;0,SUMIFS('Key inputs_Refineries'!M$85:M$164,'Key inputs_Refineries'!$C$85:$C$164,$C245,'Key inputs_Refineries'!$B$85:$B$164,"Boiler")/SUM(SUMIFS('Key inputs_Refineries'!M$85:M$164,'Key inputs_Refineries'!$C$85:$C$164,$C238:$C247,'Key inputs_Refineries'!$B$85:$B$164,"Boiler"))&lt;0.001),0.001,SUMIFS('Key inputs_Refineries'!M$85:M$164,'Key inputs_Refineries'!$C$85:$C$164,$C245,'Key inputs_Refineries'!$B$85:$B$164,"Boiler")/SUM(SUMIFS('Key inputs_Refineries'!M$85:M$164,'Key inputs_Refineries'!$C$85:$C$164,$C238:$C247,'Key inputs_Refineries'!$B$85:$B$164,"Boiler"))),0)</f>
        <v>0</v>
      </c>
      <c r="T245" s="173" cm="1">
        <f t="array" ref="T245">IFERROR(IF(AND(SUMIFS('Key inputs_Refineries'!N$85:N$164,'Key inputs_Refineries'!$C$85:$C$164,$C245,'Key inputs_Refineries'!$B$85:$B$164,"Boiler")/SUM(SUMIFS('Key inputs_Refineries'!N$85:N$164,'Key inputs_Refineries'!$C$85:$C$164,$C238:$C247,'Key inputs_Refineries'!$B$85:$B$164,"Boiler"))&gt;0,SUMIFS('Key inputs_Refineries'!N$85:N$164,'Key inputs_Refineries'!$C$85:$C$164,$C245,'Key inputs_Refineries'!$B$85:$B$164,"Boiler")/SUM(SUMIFS('Key inputs_Refineries'!N$85:N$164,'Key inputs_Refineries'!$C$85:$C$164,$C238:$C247,'Key inputs_Refineries'!$B$85:$B$164,"Boiler"))&lt;0.001),0.001,SUMIFS('Key inputs_Refineries'!N$85:N$164,'Key inputs_Refineries'!$C$85:$C$164,$C245,'Key inputs_Refineries'!$B$85:$B$164,"Boiler")/SUM(SUMIFS('Key inputs_Refineries'!N$85:N$164,'Key inputs_Refineries'!$C$85:$C$164,$C238:$C247,'Key inputs_Refineries'!$B$85:$B$164,"Boiler"))),0)</f>
        <v>0</v>
      </c>
      <c r="U245" s="173" cm="1">
        <f t="array" ref="U245">IFERROR(IF(AND(SUMIFS('Key inputs_Refineries'!O$85:O$164,'Key inputs_Refineries'!$C$85:$C$164,$C245,'Key inputs_Refineries'!$B$85:$B$164,"Boiler")/SUM(SUMIFS('Key inputs_Refineries'!O$85:O$164,'Key inputs_Refineries'!$C$85:$C$164,$C238:$C247,'Key inputs_Refineries'!$B$85:$B$164,"Boiler"))&gt;0,SUMIFS('Key inputs_Refineries'!O$85:O$164,'Key inputs_Refineries'!$C$85:$C$164,$C245,'Key inputs_Refineries'!$B$85:$B$164,"Boiler")/SUM(SUMIFS('Key inputs_Refineries'!O$85:O$164,'Key inputs_Refineries'!$C$85:$C$164,$C238:$C247,'Key inputs_Refineries'!$B$85:$B$164,"Boiler"))&lt;0.001),0.001,SUMIFS('Key inputs_Refineries'!O$85:O$164,'Key inputs_Refineries'!$C$85:$C$164,$C245,'Key inputs_Refineries'!$B$85:$B$164,"Boiler")/SUM(SUMIFS('Key inputs_Refineries'!O$85:O$164,'Key inputs_Refineries'!$C$85:$C$164,$C238:$C247,'Key inputs_Refineries'!$B$85:$B$164,"Boiler"))),0)</f>
        <v>0</v>
      </c>
      <c r="V245" s="173" cm="1">
        <f t="array" ref="V245">IFERROR(IF(AND(SUMIFS('Key inputs_Refineries'!P$85:P$164,'Key inputs_Refineries'!$C$85:$C$164,$C245,'Key inputs_Refineries'!$B$85:$B$164,"Boiler")/SUM(SUMIFS('Key inputs_Refineries'!P$85:P$164,'Key inputs_Refineries'!$C$85:$C$164,$C238:$C247,'Key inputs_Refineries'!$B$85:$B$164,"Boiler"))&gt;0,SUMIFS('Key inputs_Refineries'!P$85:P$164,'Key inputs_Refineries'!$C$85:$C$164,$C245,'Key inputs_Refineries'!$B$85:$B$164,"Boiler")/SUM(SUMIFS('Key inputs_Refineries'!P$85:P$164,'Key inputs_Refineries'!$C$85:$C$164,$C238:$C247,'Key inputs_Refineries'!$B$85:$B$164,"Boiler"))&lt;0.001),0.001,SUMIFS('Key inputs_Refineries'!P$85:P$164,'Key inputs_Refineries'!$C$85:$C$164,$C245,'Key inputs_Refineries'!$B$85:$B$164,"Boiler")/SUM(SUMIFS('Key inputs_Refineries'!P$85:P$164,'Key inputs_Refineries'!$C$85:$C$164,$C238:$C247,'Key inputs_Refineries'!$B$85:$B$164,"Boiler"))),0)</f>
        <v>8.1634477464035786E-3</v>
      </c>
      <c r="W245" s="173" cm="1">
        <f t="array" ref="W245">IFERROR(IF(AND(SUMIFS('Key inputs_Refineries'!Q$85:Q$164,'Key inputs_Refineries'!$C$85:$C$164,$C245,'Key inputs_Refineries'!$B$85:$B$164,"Boiler")/SUM(SUMIFS('Key inputs_Refineries'!Q$85:Q$164,'Key inputs_Refineries'!$C$85:$C$164,$C238:$C247,'Key inputs_Refineries'!$B$85:$B$164,"Boiler"))&gt;0,SUMIFS('Key inputs_Refineries'!Q$85:Q$164,'Key inputs_Refineries'!$C$85:$C$164,$C245,'Key inputs_Refineries'!$B$85:$B$164,"Boiler")/SUM(SUMIFS('Key inputs_Refineries'!Q$85:Q$164,'Key inputs_Refineries'!$C$85:$C$164,$C238:$C247,'Key inputs_Refineries'!$B$85:$B$164,"Boiler"))&lt;0.001),0.001,SUMIFS('Key inputs_Refineries'!Q$85:Q$164,'Key inputs_Refineries'!$C$85:$C$164,$C245,'Key inputs_Refineries'!$B$85:$B$164,"Boiler")/SUM(SUMIFS('Key inputs_Refineries'!Q$85:Q$164,'Key inputs_Refineries'!$C$85:$C$164,$C238:$C247,'Key inputs_Refineries'!$B$85:$B$164,"Boiler"))),0)</f>
        <v>0</v>
      </c>
      <c r="X245" s="173" cm="1">
        <f t="array" ref="X245">IFERROR(IF(AND(SUMIFS('Key inputs_Refineries'!R$85:R$164,'Key inputs_Refineries'!$C$85:$C$164,$C245,'Key inputs_Refineries'!$B$85:$B$164,"Boiler")/SUM(SUMIFS('Key inputs_Refineries'!R$85:R$164,'Key inputs_Refineries'!$C$85:$C$164,$C238:$C247,'Key inputs_Refineries'!$B$85:$B$164,"Boiler"))&gt;0,SUMIFS('Key inputs_Refineries'!R$85:R$164,'Key inputs_Refineries'!$C$85:$C$164,$C245,'Key inputs_Refineries'!$B$85:$B$164,"Boiler")/SUM(SUMIFS('Key inputs_Refineries'!R$85:R$164,'Key inputs_Refineries'!$C$85:$C$164,$C238:$C247,'Key inputs_Refineries'!$B$85:$B$164,"Boiler"))&lt;0.001),0.001,SUMIFS('Key inputs_Refineries'!R$85:R$164,'Key inputs_Refineries'!$C$85:$C$164,$C245,'Key inputs_Refineries'!$B$85:$B$164,"Boiler")/SUM(SUMIFS('Key inputs_Refineries'!R$85:R$164,'Key inputs_Refineries'!$C$85:$C$164,$C238:$C247,'Key inputs_Refineries'!$B$85:$B$164,"Boiler"))),0)</f>
        <v>0</v>
      </c>
      <c r="Y245" s="173" cm="1">
        <f t="array" ref="Y245">IFERROR(IF(AND(SUMIFS('Key inputs_Refineries'!S$85:S$164,'Key inputs_Refineries'!$C$85:$C$164,$C245,'Key inputs_Refineries'!$B$85:$B$164,"Boiler")/SUM(SUMIFS('Key inputs_Refineries'!S$85:S$164,'Key inputs_Refineries'!$C$85:$C$164,$C238:$C247,'Key inputs_Refineries'!$B$85:$B$164,"Boiler"))&gt;0,SUMIFS('Key inputs_Refineries'!S$85:S$164,'Key inputs_Refineries'!$C$85:$C$164,$C245,'Key inputs_Refineries'!$B$85:$B$164,"Boiler")/SUM(SUMIFS('Key inputs_Refineries'!S$85:S$164,'Key inputs_Refineries'!$C$85:$C$164,$C238:$C247,'Key inputs_Refineries'!$B$85:$B$164,"Boiler"))&lt;0.001),0.001,SUMIFS('Key inputs_Refineries'!S$85:S$164,'Key inputs_Refineries'!$C$85:$C$164,$C245,'Key inputs_Refineries'!$B$85:$B$164,"Boiler")/SUM(SUMIFS('Key inputs_Refineries'!S$85:S$164,'Key inputs_Refineries'!$C$85:$C$164,$C238:$C247,'Key inputs_Refineries'!$B$85:$B$164,"Boiler"))),0)</f>
        <v>0</v>
      </c>
      <c r="Z245" s="173" cm="1">
        <f t="array" ref="Z245">IFERROR(IF(AND(SUMIFS('Key inputs_Refineries'!T$85:T$164,'Key inputs_Refineries'!$C$85:$C$164,$C245,'Key inputs_Refineries'!$B$85:$B$164,"Boiler")/SUM(SUMIFS('Key inputs_Refineries'!T$85:T$164,'Key inputs_Refineries'!$C$85:$C$164,$C238:$C247,'Key inputs_Refineries'!$B$85:$B$164,"Boiler"))&gt;0,SUMIFS('Key inputs_Refineries'!T$85:T$164,'Key inputs_Refineries'!$C$85:$C$164,$C245,'Key inputs_Refineries'!$B$85:$B$164,"Boiler")/SUM(SUMIFS('Key inputs_Refineries'!T$85:T$164,'Key inputs_Refineries'!$C$85:$C$164,$C238:$C247,'Key inputs_Refineries'!$B$85:$B$164,"Boiler"))&lt;0.001),0.001,SUMIFS('Key inputs_Refineries'!T$85:T$164,'Key inputs_Refineries'!$C$85:$C$164,$C245,'Key inputs_Refineries'!$B$85:$B$164,"Boiler")/SUM(SUMIFS('Key inputs_Refineries'!T$85:T$164,'Key inputs_Refineries'!$C$85:$C$164,$C238:$C247,'Key inputs_Refineries'!$B$85:$B$164,"Boiler"))),0)</f>
        <v>0</v>
      </c>
      <c r="AA245" s="173" cm="1">
        <f t="array" ref="AA245">IFERROR(IF(AND(SUMIFS('Key inputs_Refineries'!U$85:U$164,'Key inputs_Refineries'!$C$85:$C$164,$C245,'Key inputs_Refineries'!$B$85:$B$164,"Boiler")/SUM(SUMIFS('Key inputs_Refineries'!U$85:U$164,'Key inputs_Refineries'!$C$85:$C$164,$C238:$C247,'Key inputs_Refineries'!$B$85:$B$164,"Boiler"))&gt;0,SUMIFS('Key inputs_Refineries'!U$85:U$164,'Key inputs_Refineries'!$C$85:$C$164,$C245,'Key inputs_Refineries'!$B$85:$B$164,"Boiler")/SUM(SUMIFS('Key inputs_Refineries'!U$85:U$164,'Key inputs_Refineries'!$C$85:$C$164,$C238:$C247,'Key inputs_Refineries'!$B$85:$B$164,"Boiler"))&lt;0.001),0.001,SUMIFS('Key inputs_Refineries'!U$85:U$164,'Key inputs_Refineries'!$C$85:$C$164,$C245,'Key inputs_Refineries'!$B$85:$B$164,"Boiler")/SUM(SUMIFS('Key inputs_Refineries'!U$85:U$164,'Key inputs_Refineries'!$C$85:$C$164,$C238:$C247,'Key inputs_Refineries'!$B$85:$B$164,"Boiler"))),0)</f>
        <v>0</v>
      </c>
      <c r="AB245" s="173" cm="1">
        <f t="array" ref="AB245">IFERROR(IF(AND(SUMIFS('Key inputs_Refineries'!V$85:V$164,'Key inputs_Refineries'!$C$85:$C$164,$C245,'Key inputs_Refineries'!$B$85:$B$164,"Boiler")/SUM(SUMIFS('Key inputs_Refineries'!V$85:V$164,'Key inputs_Refineries'!$C$85:$C$164,$C238:$C247,'Key inputs_Refineries'!$B$85:$B$164,"Boiler"))&gt;0,SUMIFS('Key inputs_Refineries'!V$85:V$164,'Key inputs_Refineries'!$C$85:$C$164,$C245,'Key inputs_Refineries'!$B$85:$B$164,"Boiler")/SUM(SUMIFS('Key inputs_Refineries'!V$85:V$164,'Key inputs_Refineries'!$C$85:$C$164,$C238:$C247,'Key inputs_Refineries'!$B$85:$B$164,"Boiler"))&lt;0.001),0.001,SUMIFS('Key inputs_Refineries'!V$85:V$164,'Key inputs_Refineries'!$C$85:$C$164,$C245,'Key inputs_Refineries'!$B$85:$B$164,"Boiler")/SUM(SUMIFS('Key inputs_Refineries'!V$85:V$164,'Key inputs_Refineries'!$C$85:$C$164,$C238:$C247,'Key inputs_Refineries'!$B$85:$B$164,"Boiler"))),0)</f>
        <v>0</v>
      </c>
      <c r="AC245" s="173" cm="1">
        <f t="array" ref="AC245">IFERROR(IF(AND(SUMIFS('Key inputs_Refineries'!W$85:W$164,'Key inputs_Refineries'!$C$85:$C$164,$C245,'Key inputs_Refineries'!$B$85:$B$164,"Boiler")/SUM(SUMIFS('Key inputs_Refineries'!W$85:W$164,'Key inputs_Refineries'!$C$85:$C$164,$C238:$C247,'Key inputs_Refineries'!$B$85:$B$164,"Boiler"))&gt;0,SUMIFS('Key inputs_Refineries'!W$85:W$164,'Key inputs_Refineries'!$C$85:$C$164,$C245,'Key inputs_Refineries'!$B$85:$B$164,"Boiler")/SUM(SUMIFS('Key inputs_Refineries'!W$85:W$164,'Key inputs_Refineries'!$C$85:$C$164,$C238:$C247,'Key inputs_Refineries'!$B$85:$B$164,"Boiler"))&lt;0.001),0.001,SUMIFS('Key inputs_Refineries'!W$85:W$164,'Key inputs_Refineries'!$C$85:$C$164,$C245,'Key inputs_Refineries'!$B$85:$B$164,"Boiler")/SUM(SUMIFS('Key inputs_Refineries'!W$85:W$164,'Key inputs_Refineries'!$C$85:$C$164,$C238:$C247,'Key inputs_Refineries'!$B$85:$B$164,"Boiler"))),0)</f>
        <v>0</v>
      </c>
      <c r="AD245" s="173" cm="1">
        <f t="array" ref="AD245">IFERROR(IF(AND(SUMIFS('Key inputs_Refineries'!X$85:X$164,'Key inputs_Refineries'!$C$85:$C$164,$C245,'Key inputs_Refineries'!$B$85:$B$164,"Boiler")/SUM(SUMIFS('Key inputs_Refineries'!X$85:X$164,'Key inputs_Refineries'!$C$85:$C$164,$C238:$C247,'Key inputs_Refineries'!$B$85:$B$164,"Boiler"))&gt;0,SUMIFS('Key inputs_Refineries'!X$85:X$164,'Key inputs_Refineries'!$C$85:$C$164,$C245,'Key inputs_Refineries'!$B$85:$B$164,"Boiler")/SUM(SUMIFS('Key inputs_Refineries'!X$85:X$164,'Key inputs_Refineries'!$C$85:$C$164,$C238:$C247,'Key inputs_Refineries'!$B$85:$B$164,"Boiler"))&lt;0.001),0.001,SUMIFS('Key inputs_Refineries'!X$85:X$164,'Key inputs_Refineries'!$C$85:$C$164,$C245,'Key inputs_Refineries'!$B$85:$B$164,"Boiler")/SUM(SUMIFS('Key inputs_Refineries'!X$85:X$164,'Key inputs_Refineries'!$C$85:$C$164,$C238:$C247,'Key inputs_Refineries'!$B$85:$B$164,"Boiler"))),0)</f>
        <v>4.2432215423606054E-3</v>
      </c>
      <c r="AE245" s="173" cm="1">
        <f t="array" ref="AE245">IFERROR(IF(AND(SUMIFS('Key inputs_Refineries'!Y$85:Y$164,'Key inputs_Refineries'!$C$85:$C$164,$C245,'Key inputs_Refineries'!$B$85:$B$164,"Boiler")/SUM(SUMIFS('Key inputs_Refineries'!Y$85:Y$164,'Key inputs_Refineries'!$C$85:$C$164,$C238:$C247,'Key inputs_Refineries'!$B$85:$B$164,"Boiler"))&gt;0,SUMIFS('Key inputs_Refineries'!Y$85:Y$164,'Key inputs_Refineries'!$C$85:$C$164,$C245,'Key inputs_Refineries'!$B$85:$B$164,"Boiler")/SUM(SUMIFS('Key inputs_Refineries'!Y$85:Y$164,'Key inputs_Refineries'!$C$85:$C$164,$C238:$C247,'Key inputs_Refineries'!$B$85:$B$164,"Boiler"))&lt;0.001),0.001,SUMIFS('Key inputs_Refineries'!Y$85:Y$164,'Key inputs_Refineries'!$C$85:$C$164,$C245,'Key inputs_Refineries'!$B$85:$B$164,"Boiler")/SUM(SUMIFS('Key inputs_Refineries'!Y$85:Y$164,'Key inputs_Refineries'!$C$85:$C$164,$C238:$C247,'Key inputs_Refineries'!$B$85:$B$164,"Boiler"))),0)</f>
        <v>1E-3</v>
      </c>
      <c r="AF245" s="173" cm="1">
        <f t="array" ref="AF245">IFERROR(IF(AND(SUMIFS('Key inputs_Refineries'!Z$85:Z$164,'Key inputs_Refineries'!$C$85:$C$164,$C245,'Key inputs_Refineries'!$B$85:$B$164,"Boiler")/SUM(SUMIFS('Key inputs_Refineries'!Z$85:Z$164,'Key inputs_Refineries'!$C$85:$C$164,$C238:$C247,'Key inputs_Refineries'!$B$85:$B$164,"Boiler"))&gt;0,SUMIFS('Key inputs_Refineries'!Z$85:Z$164,'Key inputs_Refineries'!$C$85:$C$164,$C245,'Key inputs_Refineries'!$B$85:$B$164,"Boiler")/SUM(SUMIFS('Key inputs_Refineries'!Z$85:Z$164,'Key inputs_Refineries'!$C$85:$C$164,$C238:$C247,'Key inputs_Refineries'!$B$85:$B$164,"Boiler"))&lt;0.001),0.001,SUMIFS('Key inputs_Refineries'!Z$85:Z$164,'Key inputs_Refineries'!$C$85:$C$164,$C245,'Key inputs_Refineries'!$B$85:$B$164,"Boiler")/SUM(SUMIFS('Key inputs_Refineries'!Z$85:Z$164,'Key inputs_Refineries'!$C$85:$C$164,$C238:$C247,'Key inputs_Refineries'!$B$85:$B$164,"Boiler"))),0)</f>
        <v>0</v>
      </c>
      <c r="AG245" s="173" cm="1">
        <f t="array" ref="AG245">IFERROR(IF(AND(SUMIFS('Key inputs_Refineries'!AA$85:AA$164,'Key inputs_Refineries'!$C$85:$C$164,$C245,'Key inputs_Refineries'!$B$85:$B$164,"Boiler")/SUM(SUMIFS('Key inputs_Refineries'!AA$85:AA$164,'Key inputs_Refineries'!$C$85:$C$164,$C238:$C247,'Key inputs_Refineries'!$B$85:$B$164,"Boiler"))&gt;0,SUMIFS('Key inputs_Refineries'!AA$85:AA$164,'Key inputs_Refineries'!$C$85:$C$164,$C245,'Key inputs_Refineries'!$B$85:$B$164,"Boiler")/SUM(SUMIFS('Key inputs_Refineries'!AA$85:AA$164,'Key inputs_Refineries'!$C$85:$C$164,$C238:$C247,'Key inputs_Refineries'!$B$85:$B$164,"Boiler"))&lt;0.001),0.001,SUMIFS('Key inputs_Refineries'!AA$85:AA$164,'Key inputs_Refineries'!$C$85:$C$164,$C245,'Key inputs_Refineries'!$B$85:$B$164,"Boiler")/SUM(SUMIFS('Key inputs_Refineries'!AA$85:AA$164,'Key inputs_Refineries'!$C$85:$C$164,$C238:$C247,'Key inputs_Refineries'!$B$85:$B$164,"Boiler"))),0)</f>
        <v>1.2999285657333546E-2</v>
      </c>
      <c r="AH245" s="173" cm="1">
        <f t="array" ref="AH245">IFERROR(IF(AND(SUMIFS('Key inputs_Refineries'!AB$85:AB$164,'Key inputs_Refineries'!$C$85:$C$164,$C245,'Key inputs_Refineries'!$B$85:$B$164,"Boiler")/SUM(SUMIFS('Key inputs_Refineries'!AB$85:AB$164,'Key inputs_Refineries'!$C$85:$C$164,$C238:$C247,'Key inputs_Refineries'!$B$85:$B$164,"Boiler"))&gt;0,SUMIFS('Key inputs_Refineries'!AB$85:AB$164,'Key inputs_Refineries'!$C$85:$C$164,$C245,'Key inputs_Refineries'!$B$85:$B$164,"Boiler")/SUM(SUMIFS('Key inputs_Refineries'!AB$85:AB$164,'Key inputs_Refineries'!$C$85:$C$164,$C238:$C247,'Key inputs_Refineries'!$B$85:$B$164,"Boiler"))&lt;0.001),0.001,SUMIFS('Key inputs_Refineries'!AB$85:AB$164,'Key inputs_Refineries'!$C$85:$C$164,$C245,'Key inputs_Refineries'!$B$85:$B$164,"Boiler")/SUM(SUMIFS('Key inputs_Refineries'!AB$85:AB$164,'Key inputs_Refineries'!$C$85:$C$164,$C238:$C247,'Key inputs_Refineries'!$B$85:$B$164,"Boiler"))),0)</f>
        <v>0</v>
      </c>
      <c r="AI245" s="173" cm="1">
        <f t="array" ref="AI245">IFERROR(IF(AND(SUMIFS('Key inputs_Refineries'!AC$85:AC$164,'Key inputs_Refineries'!$C$85:$C$164,$C245,'Key inputs_Refineries'!$B$85:$B$164,"Boiler")/SUM(SUMIFS('Key inputs_Refineries'!AC$85:AC$164,'Key inputs_Refineries'!$C$85:$C$164,$C238:$C247,'Key inputs_Refineries'!$B$85:$B$164,"Boiler"))&gt;0,SUMIFS('Key inputs_Refineries'!AC$85:AC$164,'Key inputs_Refineries'!$C$85:$C$164,$C245,'Key inputs_Refineries'!$B$85:$B$164,"Boiler")/SUM(SUMIFS('Key inputs_Refineries'!AC$85:AC$164,'Key inputs_Refineries'!$C$85:$C$164,$C238:$C247,'Key inputs_Refineries'!$B$85:$B$164,"Boiler"))&lt;0.001),0.001,SUMIFS('Key inputs_Refineries'!AC$85:AC$164,'Key inputs_Refineries'!$C$85:$C$164,$C245,'Key inputs_Refineries'!$B$85:$B$164,"Boiler")/SUM(SUMIFS('Key inputs_Refineries'!AC$85:AC$164,'Key inputs_Refineries'!$C$85:$C$164,$C238:$C247,'Key inputs_Refineries'!$B$85:$B$164,"Boiler"))),0)</f>
        <v>0</v>
      </c>
      <c r="AJ245" s="173" cm="1">
        <f t="array" ref="AJ245">IFERROR(IF(AND(SUMIFS('Key inputs_Refineries'!AD$85:AD$164,'Key inputs_Refineries'!$C$85:$C$164,$C245,'Key inputs_Refineries'!$B$85:$B$164,"Boiler")/SUM(SUMIFS('Key inputs_Refineries'!AD$85:AD$164,'Key inputs_Refineries'!$C$85:$C$164,$C238:$C247,'Key inputs_Refineries'!$B$85:$B$164,"Boiler"))&gt;0,SUMIFS('Key inputs_Refineries'!AD$85:AD$164,'Key inputs_Refineries'!$C$85:$C$164,$C245,'Key inputs_Refineries'!$B$85:$B$164,"Boiler")/SUM(SUMIFS('Key inputs_Refineries'!AD$85:AD$164,'Key inputs_Refineries'!$C$85:$C$164,$C238:$C247,'Key inputs_Refineries'!$B$85:$B$164,"Boiler"))&lt;0.001),0.001,SUMIFS('Key inputs_Refineries'!AD$85:AD$164,'Key inputs_Refineries'!$C$85:$C$164,$C245,'Key inputs_Refineries'!$B$85:$B$164,"Boiler")/SUM(SUMIFS('Key inputs_Refineries'!AD$85:AD$164,'Key inputs_Refineries'!$C$85:$C$164,$C238:$C247,'Key inputs_Refineries'!$B$85:$B$164,"Boiler"))),0)</f>
        <v>0</v>
      </c>
      <c r="AK245" s="173" cm="1">
        <f t="array" ref="AK245">IFERROR(IF(AND(SUMIFS('Key inputs_Refineries'!AE$85:AE$164,'Key inputs_Refineries'!$C$85:$C$164,$C245,'Key inputs_Refineries'!$B$85:$B$164,"Boiler")/SUM(SUMIFS('Key inputs_Refineries'!AE$85:AE$164,'Key inputs_Refineries'!$C$85:$C$164,$C238:$C247,'Key inputs_Refineries'!$B$85:$B$164,"Boiler"))&gt;0,SUMIFS('Key inputs_Refineries'!AE$85:AE$164,'Key inputs_Refineries'!$C$85:$C$164,$C245,'Key inputs_Refineries'!$B$85:$B$164,"Boiler")/SUM(SUMIFS('Key inputs_Refineries'!AE$85:AE$164,'Key inputs_Refineries'!$C$85:$C$164,$C238:$C247,'Key inputs_Refineries'!$B$85:$B$164,"Boiler"))&lt;0.001),0.001,SUMIFS('Key inputs_Refineries'!AE$85:AE$164,'Key inputs_Refineries'!$C$85:$C$164,$C245,'Key inputs_Refineries'!$B$85:$B$164,"Boiler")/SUM(SUMIFS('Key inputs_Refineries'!AE$85:AE$164,'Key inputs_Refineries'!$C$85:$C$164,$C238:$C247,'Key inputs_Refineries'!$B$85:$B$164,"Boiler"))),0)</f>
        <v>0</v>
      </c>
      <c r="AL245" s="173" cm="1">
        <f t="array" ref="AL245">IFERROR(IF(AND(SUMIFS('Key inputs_Refineries'!AF$85:AF$164,'Key inputs_Refineries'!$C$85:$C$164,$C245,'Key inputs_Refineries'!$B$85:$B$164,"Boiler")/SUM(SUMIFS('Key inputs_Refineries'!AF$85:AF$164,'Key inputs_Refineries'!$C$85:$C$164,$C238:$C247,'Key inputs_Refineries'!$B$85:$B$164,"Boiler"))&gt;0,SUMIFS('Key inputs_Refineries'!AF$85:AF$164,'Key inputs_Refineries'!$C$85:$C$164,$C245,'Key inputs_Refineries'!$B$85:$B$164,"Boiler")/SUM(SUMIFS('Key inputs_Refineries'!AF$85:AF$164,'Key inputs_Refineries'!$C$85:$C$164,$C238:$C247,'Key inputs_Refineries'!$B$85:$B$164,"Boiler"))&lt;0.001),0.001,SUMIFS('Key inputs_Refineries'!AF$85:AF$164,'Key inputs_Refineries'!$C$85:$C$164,$C245,'Key inputs_Refineries'!$B$85:$B$164,"Boiler")/SUM(SUMIFS('Key inputs_Refineries'!AF$85:AF$164,'Key inputs_Refineries'!$C$85:$C$164,$C238:$C247,'Key inputs_Refineries'!$B$85:$B$164,"Boiler"))),0)</f>
        <v>1E-3</v>
      </c>
    </row>
    <row r="246" spans="1:38">
      <c r="C246" t="str">
        <f>Commodities!$C$99</f>
        <v>UPSOIL</v>
      </c>
      <c r="G246" s="4" t="s">
        <v>702</v>
      </c>
      <c r="H246" t="s">
        <v>661</v>
      </c>
      <c r="I246">
        <v>2019</v>
      </c>
      <c r="J246" t="s">
        <v>650</v>
      </c>
      <c r="K246" s="173" cm="1">
        <f t="array" ref="K246">IFERROR(IF(AND(SUMIFS('Key inputs_Refineries'!E$85:E$164,'Key inputs_Refineries'!$C$85:$C$164,$C246,'Key inputs_Refineries'!$B$85:$B$164,"Boiler")/SUM(SUMIFS('Key inputs_Refineries'!E$85:E$164,'Key inputs_Refineries'!$C$85:$C$164,$C238:$C247,'Key inputs_Refineries'!$B$85:$B$164,"Boiler"))&gt;0,SUMIFS('Key inputs_Refineries'!E$85:E$164,'Key inputs_Refineries'!$C$85:$C$164,$C246,'Key inputs_Refineries'!$B$85:$B$164,"Boiler")/SUM(SUMIFS('Key inputs_Refineries'!E$85:E$164,'Key inputs_Refineries'!$C$85:$C$164,$C238:$C247,'Key inputs_Refineries'!$B$85:$B$164,"Boiler"))&lt;0.001),0.001,SUMIFS('Key inputs_Refineries'!E$85:E$164,'Key inputs_Refineries'!$C$85:$C$164,$C246,'Key inputs_Refineries'!$B$85:$B$164,"Boiler")/SUM(SUMIFS('Key inputs_Refineries'!E$85:E$164,'Key inputs_Refineries'!$C$85:$C$164,$C238:$C247,'Key inputs_Refineries'!$B$85:$B$164,"Boiler"))),0)</f>
        <v>0</v>
      </c>
      <c r="L246" s="173" cm="1">
        <f t="array" ref="L246">IFERROR(IF(AND(SUMIFS('Key inputs_Refineries'!F$85:F$164,'Key inputs_Refineries'!$C$85:$C$164,$C246,'Key inputs_Refineries'!$B$85:$B$164,"Boiler")/SUM(SUMIFS('Key inputs_Refineries'!F$85:F$164,'Key inputs_Refineries'!$C$85:$C$164,$C238:$C247,'Key inputs_Refineries'!$B$85:$B$164,"Boiler"))&gt;0,SUMIFS('Key inputs_Refineries'!F$85:F$164,'Key inputs_Refineries'!$C$85:$C$164,$C246,'Key inputs_Refineries'!$B$85:$B$164,"Boiler")/SUM(SUMIFS('Key inputs_Refineries'!F$85:F$164,'Key inputs_Refineries'!$C$85:$C$164,$C238:$C247,'Key inputs_Refineries'!$B$85:$B$164,"Boiler"))&lt;0.001),0.001,SUMIFS('Key inputs_Refineries'!F$85:F$164,'Key inputs_Refineries'!$C$85:$C$164,$C246,'Key inputs_Refineries'!$B$85:$B$164,"Boiler")/SUM(SUMIFS('Key inputs_Refineries'!F$85:F$164,'Key inputs_Refineries'!$C$85:$C$164,$C238:$C247,'Key inputs_Refineries'!$B$85:$B$164,"Boiler"))),0)</f>
        <v>0.62534828705571477</v>
      </c>
      <c r="M246" s="173" cm="1">
        <f t="array" ref="M246">IFERROR(IF(AND(SUMIFS('Key inputs_Refineries'!G$85:G$164,'Key inputs_Refineries'!$C$85:$C$164,$C246,'Key inputs_Refineries'!$B$85:$B$164,"Boiler")/SUM(SUMIFS('Key inputs_Refineries'!G$85:G$164,'Key inputs_Refineries'!$C$85:$C$164,$C238:$C247,'Key inputs_Refineries'!$B$85:$B$164,"Boiler"))&gt;0,SUMIFS('Key inputs_Refineries'!G$85:G$164,'Key inputs_Refineries'!$C$85:$C$164,$C246,'Key inputs_Refineries'!$B$85:$B$164,"Boiler")/SUM(SUMIFS('Key inputs_Refineries'!G$85:G$164,'Key inputs_Refineries'!$C$85:$C$164,$C238:$C247,'Key inputs_Refineries'!$B$85:$B$164,"Boiler"))&lt;0.001),0.001,SUMIFS('Key inputs_Refineries'!G$85:G$164,'Key inputs_Refineries'!$C$85:$C$164,$C246,'Key inputs_Refineries'!$B$85:$B$164,"Boiler")/SUM(SUMIFS('Key inputs_Refineries'!G$85:G$164,'Key inputs_Refineries'!$C$85:$C$164,$C238:$C247,'Key inputs_Refineries'!$B$85:$B$164,"Boiler"))),0)</f>
        <v>0.31134470367789346</v>
      </c>
      <c r="N246" s="173" cm="1">
        <f t="array" ref="N246">IFERROR(IF(AND(SUMIFS('Key inputs_Refineries'!H$85:H$164,'Key inputs_Refineries'!$C$85:$C$164,$C246,'Key inputs_Refineries'!$B$85:$B$164,"Boiler")/SUM(SUMIFS('Key inputs_Refineries'!H$85:H$164,'Key inputs_Refineries'!$C$85:$C$164,$C238:$C247,'Key inputs_Refineries'!$B$85:$B$164,"Boiler"))&gt;0,SUMIFS('Key inputs_Refineries'!H$85:H$164,'Key inputs_Refineries'!$C$85:$C$164,$C246,'Key inputs_Refineries'!$B$85:$B$164,"Boiler")/SUM(SUMIFS('Key inputs_Refineries'!H$85:H$164,'Key inputs_Refineries'!$C$85:$C$164,$C238:$C247,'Key inputs_Refineries'!$B$85:$B$164,"Boiler"))&lt;0.001),0.001,SUMIFS('Key inputs_Refineries'!H$85:H$164,'Key inputs_Refineries'!$C$85:$C$164,$C246,'Key inputs_Refineries'!$B$85:$B$164,"Boiler")/SUM(SUMIFS('Key inputs_Refineries'!H$85:H$164,'Key inputs_Refineries'!$C$85:$C$164,$C238:$C247,'Key inputs_Refineries'!$B$85:$B$164,"Boiler"))),0)</f>
        <v>0</v>
      </c>
      <c r="O246" s="173" cm="1">
        <f t="array" ref="O246">IFERROR(IF(AND(SUMIFS('Key inputs_Refineries'!I$85:I$164,'Key inputs_Refineries'!$C$85:$C$164,$C246,'Key inputs_Refineries'!$B$85:$B$164,"Boiler")/SUM(SUMIFS('Key inputs_Refineries'!I$85:I$164,'Key inputs_Refineries'!$C$85:$C$164,$C238:$C247,'Key inputs_Refineries'!$B$85:$B$164,"Boiler"))&gt;0,SUMIFS('Key inputs_Refineries'!I$85:I$164,'Key inputs_Refineries'!$C$85:$C$164,$C246,'Key inputs_Refineries'!$B$85:$B$164,"Boiler")/SUM(SUMIFS('Key inputs_Refineries'!I$85:I$164,'Key inputs_Refineries'!$C$85:$C$164,$C238:$C247,'Key inputs_Refineries'!$B$85:$B$164,"Boiler"))&lt;0.001),0.001,SUMIFS('Key inputs_Refineries'!I$85:I$164,'Key inputs_Refineries'!$C$85:$C$164,$C246,'Key inputs_Refineries'!$B$85:$B$164,"Boiler")/SUM(SUMIFS('Key inputs_Refineries'!I$85:I$164,'Key inputs_Refineries'!$C$85:$C$164,$C238:$C247,'Key inputs_Refineries'!$B$85:$B$164,"Boiler"))),0)</f>
        <v>0</v>
      </c>
      <c r="P246" s="173" cm="1">
        <f t="array" ref="P246">IFERROR(IF(AND(SUMIFS('Key inputs_Refineries'!J$85:J$164,'Key inputs_Refineries'!$C$85:$C$164,$C246,'Key inputs_Refineries'!$B$85:$B$164,"Boiler")/SUM(SUMIFS('Key inputs_Refineries'!J$85:J$164,'Key inputs_Refineries'!$C$85:$C$164,$C238:$C247,'Key inputs_Refineries'!$B$85:$B$164,"Boiler"))&gt;0,SUMIFS('Key inputs_Refineries'!J$85:J$164,'Key inputs_Refineries'!$C$85:$C$164,$C246,'Key inputs_Refineries'!$B$85:$B$164,"Boiler")/SUM(SUMIFS('Key inputs_Refineries'!J$85:J$164,'Key inputs_Refineries'!$C$85:$C$164,$C238:$C247,'Key inputs_Refineries'!$B$85:$B$164,"Boiler"))&lt;0.001),0.001,SUMIFS('Key inputs_Refineries'!J$85:J$164,'Key inputs_Refineries'!$C$85:$C$164,$C246,'Key inputs_Refineries'!$B$85:$B$164,"Boiler")/SUM(SUMIFS('Key inputs_Refineries'!J$85:J$164,'Key inputs_Refineries'!$C$85:$C$164,$C238:$C247,'Key inputs_Refineries'!$B$85:$B$164,"Boiler"))),0)</f>
        <v>6.7577884287611982E-3</v>
      </c>
      <c r="Q246" s="173" cm="1">
        <f t="array" ref="Q246">IFERROR(IF(AND(SUMIFS('Key inputs_Refineries'!K$85:K$164,'Key inputs_Refineries'!$C$85:$C$164,$C246,'Key inputs_Refineries'!$B$85:$B$164,"Boiler")/SUM(SUMIFS('Key inputs_Refineries'!K$85:K$164,'Key inputs_Refineries'!$C$85:$C$164,$C238:$C247,'Key inputs_Refineries'!$B$85:$B$164,"Boiler"))&gt;0,SUMIFS('Key inputs_Refineries'!K$85:K$164,'Key inputs_Refineries'!$C$85:$C$164,$C246,'Key inputs_Refineries'!$B$85:$B$164,"Boiler")/SUM(SUMIFS('Key inputs_Refineries'!K$85:K$164,'Key inputs_Refineries'!$C$85:$C$164,$C238:$C247,'Key inputs_Refineries'!$B$85:$B$164,"Boiler"))&lt;0.001),0.001,SUMIFS('Key inputs_Refineries'!K$85:K$164,'Key inputs_Refineries'!$C$85:$C$164,$C246,'Key inputs_Refineries'!$B$85:$B$164,"Boiler")/SUM(SUMIFS('Key inputs_Refineries'!K$85:K$164,'Key inputs_Refineries'!$C$85:$C$164,$C238:$C247,'Key inputs_Refineries'!$B$85:$B$164,"Boiler"))),0)</f>
        <v>6.2820913515202928E-2</v>
      </c>
      <c r="R246" s="173" cm="1">
        <f t="array" ref="R246">IFERROR(IF(AND(SUMIFS('Key inputs_Refineries'!L$85:L$164,'Key inputs_Refineries'!$C$85:$C$164,$C246,'Key inputs_Refineries'!$B$85:$B$164,"Boiler")/SUM(SUMIFS('Key inputs_Refineries'!L$85:L$164,'Key inputs_Refineries'!$C$85:$C$164,$C238:$C247,'Key inputs_Refineries'!$B$85:$B$164,"Boiler"))&gt;0,SUMIFS('Key inputs_Refineries'!L$85:L$164,'Key inputs_Refineries'!$C$85:$C$164,$C246,'Key inputs_Refineries'!$B$85:$B$164,"Boiler")/SUM(SUMIFS('Key inputs_Refineries'!L$85:L$164,'Key inputs_Refineries'!$C$85:$C$164,$C238:$C247,'Key inputs_Refineries'!$B$85:$B$164,"Boiler"))&lt;0.001),0.001,SUMIFS('Key inputs_Refineries'!L$85:L$164,'Key inputs_Refineries'!$C$85:$C$164,$C246,'Key inputs_Refineries'!$B$85:$B$164,"Boiler")/SUM(SUMIFS('Key inputs_Refineries'!L$85:L$164,'Key inputs_Refineries'!$C$85:$C$164,$C238:$C247,'Key inputs_Refineries'!$B$85:$B$164,"Boiler"))),0)</f>
        <v>0</v>
      </c>
      <c r="S246" s="173" cm="1">
        <f t="array" ref="S246">IFERROR(IF(AND(SUMIFS('Key inputs_Refineries'!M$85:M$164,'Key inputs_Refineries'!$C$85:$C$164,$C246,'Key inputs_Refineries'!$B$85:$B$164,"Boiler")/SUM(SUMIFS('Key inputs_Refineries'!M$85:M$164,'Key inputs_Refineries'!$C$85:$C$164,$C238:$C247,'Key inputs_Refineries'!$B$85:$B$164,"Boiler"))&gt;0,SUMIFS('Key inputs_Refineries'!M$85:M$164,'Key inputs_Refineries'!$C$85:$C$164,$C246,'Key inputs_Refineries'!$B$85:$B$164,"Boiler")/SUM(SUMIFS('Key inputs_Refineries'!M$85:M$164,'Key inputs_Refineries'!$C$85:$C$164,$C238:$C247,'Key inputs_Refineries'!$B$85:$B$164,"Boiler"))&lt;0.001),0.001,SUMIFS('Key inputs_Refineries'!M$85:M$164,'Key inputs_Refineries'!$C$85:$C$164,$C246,'Key inputs_Refineries'!$B$85:$B$164,"Boiler")/SUM(SUMIFS('Key inputs_Refineries'!M$85:M$164,'Key inputs_Refineries'!$C$85:$C$164,$C238:$C247,'Key inputs_Refineries'!$B$85:$B$164,"Boiler"))),0)</f>
        <v>0</v>
      </c>
      <c r="T246" s="173" cm="1">
        <f t="array" ref="T246">IFERROR(IF(AND(SUMIFS('Key inputs_Refineries'!N$85:N$164,'Key inputs_Refineries'!$C$85:$C$164,$C246,'Key inputs_Refineries'!$B$85:$B$164,"Boiler")/SUM(SUMIFS('Key inputs_Refineries'!N$85:N$164,'Key inputs_Refineries'!$C$85:$C$164,$C238:$C247,'Key inputs_Refineries'!$B$85:$B$164,"Boiler"))&gt;0,SUMIFS('Key inputs_Refineries'!N$85:N$164,'Key inputs_Refineries'!$C$85:$C$164,$C246,'Key inputs_Refineries'!$B$85:$B$164,"Boiler")/SUM(SUMIFS('Key inputs_Refineries'!N$85:N$164,'Key inputs_Refineries'!$C$85:$C$164,$C238:$C247,'Key inputs_Refineries'!$B$85:$B$164,"Boiler"))&lt;0.001),0.001,SUMIFS('Key inputs_Refineries'!N$85:N$164,'Key inputs_Refineries'!$C$85:$C$164,$C246,'Key inputs_Refineries'!$B$85:$B$164,"Boiler")/SUM(SUMIFS('Key inputs_Refineries'!N$85:N$164,'Key inputs_Refineries'!$C$85:$C$164,$C238:$C247,'Key inputs_Refineries'!$B$85:$B$164,"Boiler"))),0)</f>
        <v>0</v>
      </c>
      <c r="U246" s="173" cm="1">
        <f t="array" ref="U246">IFERROR(IF(AND(SUMIFS('Key inputs_Refineries'!O$85:O$164,'Key inputs_Refineries'!$C$85:$C$164,$C246,'Key inputs_Refineries'!$B$85:$B$164,"Boiler")/SUM(SUMIFS('Key inputs_Refineries'!O$85:O$164,'Key inputs_Refineries'!$C$85:$C$164,$C238:$C247,'Key inputs_Refineries'!$B$85:$B$164,"Boiler"))&gt;0,SUMIFS('Key inputs_Refineries'!O$85:O$164,'Key inputs_Refineries'!$C$85:$C$164,$C246,'Key inputs_Refineries'!$B$85:$B$164,"Boiler")/SUM(SUMIFS('Key inputs_Refineries'!O$85:O$164,'Key inputs_Refineries'!$C$85:$C$164,$C238:$C247,'Key inputs_Refineries'!$B$85:$B$164,"Boiler"))&lt;0.001),0.001,SUMIFS('Key inputs_Refineries'!O$85:O$164,'Key inputs_Refineries'!$C$85:$C$164,$C246,'Key inputs_Refineries'!$B$85:$B$164,"Boiler")/SUM(SUMIFS('Key inputs_Refineries'!O$85:O$164,'Key inputs_Refineries'!$C$85:$C$164,$C238:$C247,'Key inputs_Refineries'!$B$85:$B$164,"Boiler"))),0)</f>
        <v>0</v>
      </c>
      <c r="V246" s="173" cm="1">
        <f t="array" ref="V246">IFERROR(IF(AND(SUMIFS('Key inputs_Refineries'!P$85:P$164,'Key inputs_Refineries'!$C$85:$C$164,$C246,'Key inputs_Refineries'!$B$85:$B$164,"Boiler")/SUM(SUMIFS('Key inputs_Refineries'!P$85:P$164,'Key inputs_Refineries'!$C$85:$C$164,$C238:$C247,'Key inputs_Refineries'!$B$85:$B$164,"Boiler"))&gt;0,SUMIFS('Key inputs_Refineries'!P$85:P$164,'Key inputs_Refineries'!$C$85:$C$164,$C246,'Key inputs_Refineries'!$B$85:$B$164,"Boiler")/SUM(SUMIFS('Key inputs_Refineries'!P$85:P$164,'Key inputs_Refineries'!$C$85:$C$164,$C238:$C247,'Key inputs_Refineries'!$B$85:$B$164,"Boiler"))&lt;0.001),0.001,SUMIFS('Key inputs_Refineries'!P$85:P$164,'Key inputs_Refineries'!$C$85:$C$164,$C246,'Key inputs_Refineries'!$B$85:$B$164,"Boiler")/SUM(SUMIFS('Key inputs_Refineries'!P$85:P$164,'Key inputs_Refineries'!$C$85:$C$164,$C238:$C247,'Key inputs_Refineries'!$B$85:$B$164,"Boiler"))),0)</f>
        <v>0</v>
      </c>
      <c r="W246" s="173" cm="1">
        <f t="array" ref="W246">IFERROR(IF(AND(SUMIFS('Key inputs_Refineries'!Q$85:Q$164,'Key inputs_Refineries'!$C$85:$C$164,$C246,'Key inputs_Refineries'!$B$85:$B$164,"Boiler")/SUM(SUMIFS('Key inputs_Refineries'!Q$85:Q$164,'Key inputs_Refineries'!$C$85:$C$164,$C238:$C247,'Key inputs_Refineries'!$B$85:$B$164,"Boiler"))&gt;0,SUMIFS('Key inputs_Refineries'!Q$85:Q$164,'Key inputs_Refineries'!$C$85:$C$164,$C246,'Key inputs_Refineries'!$B$85:$B$164,"Boiler")/SUM(SUMIFS('Key inputs_Refineries'!Q$85:Q$164,'Key inputs_Refineries'!$C$85:$C$164,$C238:$C247,'Key inputs_Refineries'!$B$85:$B$164,"Boiler"))&lt;0.001),0.001,SUMIFS('Key inputs_Refineries'!Q$85:Q$164,'Key inputs_Refineries'!$C$85:$C$164,$C246,'Key inputs_Refineries'!$B$85:$B$164,"Boiler")/SUM(SUMIFS('Key inputs_Refineries'!Q$85:Q$164,'Key inputs_Refineries'!$C$85:$C$164,$C238:$C247,'Key inputs_Refineries'!$B$85:$B$164,"Boiler"))),0)</f>
        <v>0</v>
      </c>
      <c r="X246" s="173" cm="1">
        <f t="array" ref="X246">IFERROR(IF(AND(SUMIFS('Key inputs_Refineries'!R$85:R$164,'Key inputs_Refineries'!$C$85:$C$164,$C246,'Key inputs_Refineries'!$B$85:$B$164,"Boiler")/SUM(SUMIFS('Key inputs_Refineries'!R$85:R$164,'Key inputs_Refineries'!$C$85:$C$164,$C238:$C247,'Key inputs_Refineries'!$B$85:$B$164,"Boiler"))&gt;0,SUMIFS('Key inputs_Refineries'!R$85:R$164,'Key inputs_Refineries'!$C$85:$C$164,$C246,'Key inputs_Refineries'!$B$85:$B$164,"Boiler")/SUM(SUMIFS('Key inputs_Refineries'!R$85:R$164,'Key inputs_Refineries'!$C$85:$C$164,$C238:$C247,'Key inputs_Refineries'!$B$85:$B$164,"Boiler"))&lt;0.001),0.001,SUMIFS('Key inputs_Refineries'!R$85:R$164,'Key inputs_Refineries'!$C$85:$C$164,$C246,'Key inputs_Refineries'!$B$85:$B$164,"Boiler")/SUM(SUMIFS('Key inputs_Refineries'!R$85:R$164,'Key inputs_Refineries'!$C$85:$C$164,$C238:$C247,'Key inputs_Refineries'!$B$85:$B$164,"Boiler"))),0)</f>
        <v>0</v>
      </c>
      <c r="Y246" s="173" cm="1">
        <f t="array" ref="Y246">IFERROR(IF(AND(SUMIFS('Key inputs_Refineries'!S$85:S$164,'Key inputs_Refineries'!$C$85:$C$164,$C246,'Key inputs_Refineries'!$B$85:$B$164,"Boiler")/SUM(SUMIFS('Key inputs_Refineries'!S$85:S$164,'Key inputs_Refineries'!$C$85:$C$164,$C238:$C247,'Key inputs_Refineries'!$B$85:$B$164,"Boiler"))&gt;0,SUMIFS('Key inputs_Refineries'!S$85:S$164,'Key inputs_Refineries'!$C$85:$C$164,$C246,'Key inputs_Refineries'!$B$85:$B$164,"Boiler")/SUM(SUMIFS('Key inputs_Refineries'!S$85:S$164,'Key inputs_Refineries'!$C$85:$C$164,$C238:$C247,'Key inputs_Refineries'!$B$85:$B$164,"Boiler"))&lt;0.001),0.001,SUMIFS('Key inputs_Refineries'!S$85:S$164,'Key inputs_Refineries'!$C$85:$C$164,$C246,'Key inputs_Refineries'!$B$85:$B$164,"Boiler")/SUM(SUMIFS('Key inputs_Refineries'!S$85:S$164,'Key inputs_Refineries'!$C$85:$C$164,$C238:$C247,'Key inputs_Refineries'!$B$85:$B$164,"Boiler"))),0)</f>
        <v>0</v>
      </c>
      <c r="Z246" s="173" cm="1">
        <f t="array" ref="Z246">IFERROR(IF(AND(SUMIFS('Key inputs_Refineries'!T$85:T$164,'Key inputs_Refineries'!$C$85:$C$164,$C246,'Key inputs_Refineries'!$B$85:$B$164,"Boiler")/SUM(SUMIFS('Key inputs_Refineries'!T$85:T$164,'Key inputs_Refineries'!$C$85:$C$164,$C238:$C247,'Key inputs_Refineries'!$B$85:$B$164,"Boiler"))&gt;0,SUMIFS('Key inputs_Refineries'!T$85:T$164,'Key inputs_Refineries'!$C$85:$C$164,$C246,'Key inputs_Refineries'!$B$85:$B$164,"Boiler")/SUM(SUMIFS('Key inputs_Refineries'!T$85:T$164,'Key inputs_Refineries'!$C$85:$C$164,$C238:$C247,'Key inputs_Refineries'!$B$85:$B$164,"Boiler"))&lt;0.001),0.001,SUMIFS('Key inputs_Refineries'!T$85:T$164,'Key inputs_Refineries'!$C$85:$C$164,$C246,'Key inputs_Refineries'!$B$85:$B$164,"Boiler")/SUM(SUMIFS('Key inputs_Refineries'!T$85:T$164,'Key inputs_Refineries'!$C$85:$C$164,$C238:$C247,'Key inputs_Refineries'!$B$85:$B$164,"Boiler"))),0)</f>
        <v>0</v>
      </c>
      <c r="AA246" s="173" cm="1">
        <f t="array" ref="AA246">IFERROR(IF(AND(SUMIFS('Key inputs_Refineries'!U$85:U$164,'Key inputs_Refineries'!$C$85:$C$164,$C246,'Key inputs_Refineries'!$B$85:$B$164,"Boiler")/SUM(SUMIFS('Key inputs_Refineries'!U$85:U$164,'Key inputs_Refineries'!$C$85:$C$164,$C238:$C247,'Key inputs_Refineries'!$B$85:$B$164,"Boiler"))&gt;0,SUMIFS('Key inputs_Refineries'!U$85:U$164,'Key inputs_Refineries'!$C$85:$C$164,$C246,'Key inputs_Refineries'!$B$85:$B$164,"Boiler")/SUM(SUMIFS('Key inputs_Refineries'!U$85:U$164,'Key inputs_Refineries'!$C$85:$C$164,$C238:$C247,'Key inputs_Refineries'!$B$85:$B$164,"Boiler"))&lt;0.001),0.001,SUMIFS('Key inputs_Refineries'!U$85:U$164,'Key inputs_Refineries'!$C$85:$C$164,$C246,'Key inputs_Refineries'!$B$85:$B$164,"Boiler")/SUM(SUMIFS('Key inputs_Refineries'!U$85:U$164,'Key inputs_Refineries'!$C$85:$C$164,$C238:$C247,'Key inputs_Refineries'!$B$85:$B$164,"Boiler"))),0)</f>
        <v>0</v>
      </c>
      <c r="AB246" s="173" cm="1">
        <f t="array" ref="AB246">IFERROR(IF(AND(SUMIFS('Key inputs_Refineries'!V$85:V$164,'Key inputs_Refineries'!$C$85:$C$164,$C246,'Key inputs_Refineries'!$B$85:$B$164,"Boiler")/SUM(SUMIFS('Key inputs_Refineries'!V$85:V$164,'Key inputs_Refineries'!$C$85:$C$164,$C238:$C247,'Key inputs_Refineries'!$B$85:$B$164,"Boiler"))&gt;0,SUMIFS('Key inputs_Refineries'!V$85:V$164,'Key inputs_Refineries'!$C$85:$C$164,$C246,'Key inputs_Refineries'!$B$85:$B$164,"Boiler")/SUM(SUMIFS('Key inputs_Refineries'!V$85:V$164,'Key inputs_Refineries'!$C$85:$C$164,$C238:$C247,'Key inputs_Refineries'!$B$85:$B$164,"Boiler"))&lt;0.001),0.001,SUMIFS('Key inputs_Refineries'!V$85:V$164,'Key inputs_Refineries'!$C$85:$C$164,$C246,'Key inputs_Refineries'!$B$85:$B$164,"Boiler")/SUM(SUMIFS('Key inputs_Refineries'!V$85:V$164,'Key inputs_Refineries'!$C$85:$C$164,$C238:$C247,'Key inputs_Refineries'!$B$85:$B$164,"Boiler"))),0)</f>
        <v>0.37267710844695157</v>
      </c>
      <c r="AC246" s="173" cm="1">
        <f t="array" ref="AC246">IFERROR(IF(AND(SUMIFS('Key inputs_Refineries'!W$85:W$164,'Key inputs_Refineries'!$C$85:$C$164,$C246,'Key inputs_Refineries'!$B$85:$B$164,"Boiler")/SUM(SUMIFS('Key inputs_Refineries'!W$85:W$164,'Key inputs_Refineries'!$C$85:$C$164,$C238:$C247,'Key inputs_Refineries'!$B$85:$B$164,"Boiler"))&gt;0,SUMIFS('Key inputs_Refineries'!W$85:W$164,'Key inputs_Refineries'!$C$85:$C$164,$C246,'Key inputs_Refineries'!$B$85:$B$164,"Boiler")/SUM(SUMIFS('Key inputs_Refineries'!W$85:W$164,'Key inputs_Refineries'!$C$85:$C$164,$C238:$C247,'Key inputs_Refineries'!$B$85:$B$164,"Boiler"))&lt;0.001),0.001,SUMIFS('Key inputs_Refineries'!W$85:W$164,'Key inputs_Refineries'!$C$85:$C$164,$C246,'Key inputs_Refineries'!$B$85:$B$164,"Boiler")/SUM(SUMIFS('Key inputs_Refineries'!W$85:W$164,'Key inputs_Refineries'!$C$85:$C$164,$C238:$C247,'Key inputs_Refineries'!$B$85:$B$164,"Boiler"))),0)</f>
        <v>0</v>
      </c>
      <c r="AD246" s="173" cm="1">
        <f t="array" ref="AD246">IFERROR(IF(AND(SUMIFS('Key inputs_Refineries'!X$85:X$164,'Key inputs_Refineries'!$C$85:$C$164,$C246,'Key inputs_Refineries'!$B$85:$B$164,"Boiler")/SUM(SUMIFS('Key inputs_Refineries'!X$85:X$164,'Key inputs_Refineries'!$C$85:$C$164,$C238:$C247,'Key inputs_Refineries'!$B$85:$B$164,"Boiler"))&gt;0,SUMIFS('Key inputs_Refineries'!X$85:X$164,'Key inputs_Refineries'!$C$85:$C$164,$C246,'Key inputs_Refineries'!$B$85:$B$164,"Boiler")/SUM(SUMIFS('Key inputs_Refineries'!X$85:X$164,'Key inputs_Refineries'!$C$85:$C$164,$C238:$C247,'Key inputs_Refineries'!$B$85:$B$164,"Boiler"))&lt;0.001),0.001,SUMIFS('Key inputs_Refineries'!X$85:X$164,'Key inputs_Refineries'!$C$85:$C$164,$C246,'Key inputs_Refineries'!$B$85:$B$164,"Boiler")/SUM(SUMIFS('Key inputs_Refineries'!X$85:X$164,'Key inputs_Refineries'!$C$85:$C$164,$C238:$C247,'Key inputs_Refineries'!$B$85:$B$164,"Boiler"))),0)</f>
        <v>0</v>
      </c>
      <c r="AE246" s="173" cm="1">
        <f t="array" ref="AE246">IFERROR(IF(AND(SUMIFS('Key inputs_Refineries'!Y$85:Y$164,'Key inputs_Refineries'!$C$85:$C$164,$C246,'Key inputs_Refineries'!$B$85:$B$164,"Boiler")/SUM(SUMIFS('Key inputs_Refineries'!Y$85:Y$164,'Key inputs_Refineries'!$C$85:$C$164,$C238:$C247,'Key inputs_Refineries'!$B$85:$B$164,"Boiler"))&gt;0,SUMIFS('Key inputs_Refineries'!Y$85:Y$164,'Key inputs_Refineries'!$C$85:$C$164,$C246,'Key inputs_Refineries'!$B$85:$B$164,"Boiler")/SUM(SUMIFS('Key inputs_Refineries'!Y$85:Y$164,'Key inputs_Refineries'!$C$85:$C$164,$C238:$C247,'Key inputs_Refineries'!$B$85:$B$164,"Boiler"))&lt;0.001),0.001,SUMIFS('Key inputs_Refineries'!Y$85:Y$164,'Key inputs_Refineries'!$C$85:$C$164,$C246,'Key inputs_Refineries'!$B$85:$B$164,"Boiler")/SUM(SUMIFS('Key inputs_Refineries'!Y$85:Y$164,'Key inputs_Refineries'!$C$85:$C$164,$C238:$C247,'Key inputs_Refineries'!$B$85:$B$164,"Boiler"))),0)</f>
        <v>3.8240414082870593E-2</v>
      </c>
      <c r="AF246" s="173" cm="1">
        <f t="array" ref="AF246">IFERROR(IF(AND(SUMIFS('Key inputs_Refineries'!Z$85:Z$164,'Key inputs_Refineries'!$C$85:$C$164,$C246,'Key inputs_Refineries'!$B$85:$B$164,"Boiler")/SUM(SUMIFS('Key inputs_Refineries'!Z$85:Z$164,'Key inputs_Refineries'!$C$85:$C$164,$C238:$C247,'Key inputs_Refineries'!$B$85:$B$164,"Boiler"))&gt;0,SUMIFS('Key inputs_Refineries'!Z$85:Z$164,'Key inputs_Refineries'!$C$85:$C$164,$C246,'Key inputs_Refineries'!$B$85:$B$164,"Boiler")/SUM(SUMIFS('Key inputs_Refineries'!Z$85:Z$164,'Key inputs_Refineries'!$C$85:$C$164,$C238:$C247,'Key inputs_Refineries'!$B$85:$B$164,"Boiler"))&lt;0.001),0.001,SUMIFS('Key inputs_Refineries'!Z$85:Z$164,'Key inputs_Refineries'!$C$85:$C$164,$C246,'Key inputs_Refineries'!$B$85:$B$164,"Boiler")/SUM(SUMIFS('Key inputs_Refineries'!Z$85:Z$164,'Key inputs_Refineries'!$C$85:$C$164,$C238:$C247,'Key inputs_Refineries'!$B$85:$B$164,"Boiler"))),0)</f>
        <v>0</v>
      </c>
      <c r="AG246" s="173" cm="1">
        <f t="array" ref="AG246">IFERROR(IF(AND(SUMIFS('Key inputs_Refineries'!AA$85:AA$164,'Key inputs_Refineries'!$C$85:$C$164,$C246,'Key inputs_Refineries'!$B$85:$B$164,"Boiler")/SUM(SUMIFS('Key inputs_Refineries'!AA$85:AA$164,'Key inputs_Refineries'!$C$85:$C$164,$C238:$C247,'Key inputs_Refineries'!$B$85:$B$164,"Boiler"))&gt;0,SUMIFS('Key inputs_Refineries'!AA$85:AA$164,'Key inputs_Refineries'!$C$85:$C$164,$C246,'Key inputs_Refineries'!$B$85:$B$164,"Boiler")/SUM(SUMIFS('Key inputs_Refineries'!AA$85:AA$164,'Key inputs_Refineries'!$C$85:$C$164,$C238:$C247,'Key inputs_Refineries'!$B$85:$B$164,"Boiler"))&lt;0.001),0.001,SUMIFS('Key inputs_Refineries'!AA$85:AA$164,'Key inputs_Refineries'!$C$85:$C$164,$C246,'Key inputs_Refineries'!$B$85:$B$164,"Boiler")/SUM(SUMIFS('Key inputs_Refineries'!AA$85:AA$164,'Key inputs_Refineries'!$C$85:$C$164,$C238:$C247,'Key inputs_Refineries'!$B$85:$B$164,"Boiler"))),0)</f>
        <v>0</v>
      </c>
      <c r="AH246" s="173" cm="1">
        <f t="array" ref="AH246">IFERROR(IF(AND(SUMIFS('Key inputs_Refineries'!AB$85:AB$164,'Key inputs_Refineries'!$C$85:$C$164,$C246,'Key inputs_Refineries'!$B$85:$B$164,"Boiler")/SUM(SUMIFS('Key inputs_Refineries'!AB$85:AB$164,'Key inputs_Refineries'!$C$85:$C$164,$C238:$C247,'Key inputs_Refineries'!$B$85:$B$164,"Boiler"))&gt;0,SUMIFS('Key inputs_Refineries'!AB$85:AB$164,'Key inputs_Refineries'!$C$85:$C$164,$C246,'Key inputs_Refineries'!$B$85:$B$164,"Boiler")/SUM(SUMIFS('Key inputs_Refineries'!AB$85:AB$164,'Key inputs_Refineries'!$C$85:$C$164,$C238:$C247,'Key inputs_Refineries'!$B$85:$B$164,"Boiler"))&lt;0.001),0.001,SUMIFS('Key inputs_Refineries'!AB$85:AB$164,'Key inputs_Refineries'!$C$85:$C$164,$C246,'Key inputs_Refineries'!$B$85:$B$164,"Boiler")/SUM(SUMIFS('Key inputs_Refineries'!AB$85:AB$164,'Key inputs_Refineries'!$C$85:$C$164,$C238:$C247,'Key inputs_Refineries'!$B$85:$B$164,"Boiler"))),0)</f>
        <v>0</v>
      </c>
      <c r="AI246" s="173" cm="1">
        <f t="array" ref="AI246">IFERROR(IF(AND(SUMIFS('Key inputs_Refineries'!AC$85:AC$164,'Key inputs_Refineries'!$C$85:$C$164,$C246,'Key inputs_Refineries'!$B$85:$B$164,"Boiler")/SUM(SUMIFS('Key inputs_Refineries'!AC$85:AC$164,'Key inputs_Refineries'!$C$85:$C$164,$C238:$C247,'Key inputs_Refineries'!$B$85:$B$164,"Boiler"))&gt;0,SUMIFS('Key inputs_Refineries'!AC$85:AC$164,'Key inputs_Refineries'!$C$85:$C$164,$C246,'Key inputs_Refineries'!$B$85:$B$164,"Boiler")/SUM(SUMIFS('Key inputs_Refineries'!AC$85:AC$164,'Key inputs_Refineries'!$C$85:$C$164,$C238:$C247,'Key inputs_Refineries'!$B$85:$B$164,"Boiler"))&lt;0.001),0.001,SUMIFS('Key inputs_Refineries'!AC$85:AC$164,'Key inputs_Refineries'!$C$85:$C$164,$C246,'Key inputs_Refineries'!$B$85:$B$164,"Boiler")/SUM(SUMIFS('Key inputs_Refineries'!AC$85:AC$164,'Key inputs_Refineries'!$C$85:$C$164,$C238:$C247,'Key inputs_Refineries'!$B$85:$B$164,"Boiler"))),0)</f>
        <v>0</v>
      </c>
      <c r="AJ246" s="173" cm="1">
        <f t="array" ref="AJ246">IFERROR(IF(AND(SUMIFS('Key inputs_Refineries'!AD$85:AD$164,'Key inputs_Refineries'!$C$85:$C$164,$C246,'Key inputs_Refineries'!$B$85:$B$164,"Boiler")/SUM(SUMIFS('Key inputs_Refineries'!AD$85:AD$164,'Key inputs_Refineries'!$C$85:$C$164,$C238:$C247,'Key inputs_Refineries'!$B$85:$B$164,"Boiler"))&gt;0,SUMIFS('Key inputs_Refineries'!AD$85:AD$164,'Key inputs_Refineries'!$C$85:$C$164,$C246,'Key inputs_Refineries'!$B$85:$B$164,"Boiler")/SUM(SUMIFS('Key inputs_Refineries'!AD$85:AD$164,'Key inputs_Refineries'!$C$85:$C$164,$C238:$C247,'Key inputs_Refineries'!$B$85:$B$164,"Boiler"))&lt;0.001),0.001,SUMIFS('Key inputs_Refineries'!AD$85:AD$164,'Key inputs_Refineries'!$C$85:$C$164,$C246,'Key inputs_Refineries'!$B$85:$B$164,"Boiler")/SUM(SUMIFS('Key inputs_Refineries'!AD$85:AD$164,'Key inputs_Refineries'!$C$85:$C$164,$C238:$C247,'Key inputs_Refineries'!$B$85:$B$164,"Boiler"))),0)</f>
        <v>0</v>
      </c>
      <c r="AK246" s="173" cm="1">
        <f t="array" ref="AK246">IFERROR(IF(AND(SUMIFS('Key inputs_Refineries'!AE$85:AE$164,'Key inputs_Refineries'!$C$85:$C$164,$C246,'Key inputs_Refineries'!$B$85:$B$164,"Boiler")/SUM(SUMIFS('Key inputs_Refineries'!AE$85:AE$164,'Key inputs_Refineries'!$C$85:$C$164,$C238:$C247,'Key inputs_Refineries'!$B$85:$B$164,"Boiler"))&gt;0,SUMIFS('Key inputs_Refineries'!AE$85:AE$164,'Key inputs_Refineries'!$C$85:$C$164,$C246,'Key inputs_Refineries'!$B$85:$B$164,"Boiler")/SUM(SUMIFS('Key inputs_Refineries'!AE$85:AE$164,'Key inputs_Refineries'!$C$85:$C$164,$C238:$C247,'Key inputs_Refineries'!$B$85:$B$164,"Boiler"))&lt;0.001),0.001,SUMIFS('Key inputs_Refineries'!AE$85:AE$164,'Key inputs_Refineries'!$C$85:$C$164,$C246,'Key inputs_Refineries'!$B$85:$B$164,"Boiler")/SUM(SUMIFS('Key inputs_Refineries'!AE$85:AE$164,'Key inputs_Refineries'!$C$85:$C$164,$C238:$C247,'Key inputs_Refineries'!$B$85:$B$164,"Boiler"))),0)</f>
        <v>0</v>
      </c>
      <c r="AL246" s="173" cm="1">
        <f t="array" ref="AL246">IFERROR(IF(AND(SUMIFS('Key inputs_Refineries'!AF$85:AF$164,'Key inputs_Refineries'!$C$85:$C$164,$C246,'Key inputs_Refineries'!$B$85:$B$164,"Boiler")/SUM(SUMIFS('Key inputs_Refineries'!AF$85:AF$164,'Key inputs_Refineries'!$C$85:$C$164,$C238:$C247,'Key inputs_Refineries'!$B$85:$B$164,"Boiler"))&gt;0,SUMIFS('Key inputs_Refineries'!AF$85:AF$164,'Key inputs_Refineries'!$C$85:$C$164,$C246,'Key inputs_Refineries'!$B$85:$B$164,"Boiler")/SUM(SUMIFS('Key inputs_Refineries'!AF$85:AF$164,'Key inputs_Refineries'!$C$85:$C$164,$C238:$C247,'Key inputs_Refineries'!$B$85:$B$164,"Boiler"))&lt;0.001),0.001,SUMIFS('Key inputs_Refineries'!AF$85:AF$164,'Key inputs_Refineries'!$C$85:$C$164,$C246,'Key inputs_Refineries'!$B$85:$B$164,"Boiler")/SUM(SUMIFS('Key inputs_Refineries'!AF$85:AF$164,'Key inputs_Refineries'!$C$85:$C$164,$C238:$C247,'Key inputs_Refineries'!$B$85:$B$164,"Boiler"))),0)</f>
        <v>0</v>
      </c>
    </row>
    <row r="247" spans="1:38">
      <c r="C247" t="str">
        <f>Commodities!$C$100</f>
        <v>UPSOIL2</v>
      </c>
      <c r="G247" s="4" t="s">
        <v>702</v>
      </c>
      <c r="H247" t="s">
        <v>661</v>
      </c>
      <c r="I247">
        <v>2019</v>
      </c>
      <c r="J247" t="s">
        <v>650</v>
      </c>
      <c r="K247" s="173" cm="1">
        <f t="array" ref="K247">IFERROR(IF(AND(SUMIFS('Key inputs_Refineries'!E$85:E$164,'Key inputs_Refineries'!$C$85:$C$164,$C247,'Key inputs_Refineries'!$B$85:$B$164,"Boiler")/SUM(SUMIFS('Key inputs_Refineries'!E$85:E$164,'Key inputs_Refineries'!$C$85:$C$164,$C238:$C247,'Key inputs_Refineries'!$B$85:$B$164,"Boiler"))&gt;0,SUMIFS('Key inputs_Refineries'!E$85:E$164,'Key inputs_Refineries'!$C$85:$C$164,$C247,'Key inputs_Refineries'!$B$85:$B$164,"Boiler")/SUM(SUMIFS('Key inputs_Refineries'!E$85:E$164,'Key inputs_Refineries'!$C$85:$C$164,$C238:$C247,'Key inputs_Refineries'!$B$85:$B$164,"Boiler"))&lt;0.001),0.001,SUMIFS('Key inputs_Refineries'!E$85:E$164,'Key inputs_Refineries'!$C$85:$C$164,$C247,'Key inputs_Refineries'!$B$85:$B$164,"Boiler")/SUM(SUMIFS('Key inputs_Refineries'!E$85:E$164,'Key inputs_Refineries'!$C$85:$C$164,$C238:$C247,'Key inputs_Refineries'!$B$85:$B$164,"Boiler"))),1)</f>
        <v>1</v>
      </c>
      <c r="L247" s="173" cm="1">
        <f t="array" ref="L247">IFERROR(IF(AND(SUMIFS('Key inputs_Refineries'!F$85:F$164,'Key inputs_Refineries'!$C$85:$C$164,$C247,'Key inputs_Refineries'!$B$85:$B$164,"Boiler")/SUM(SUMIFS('Key inputs_Refineries'!F$85:F$164,'Key inputs_Refineries'!$C$85:$C$164,$C238:$C247,'Key inputs_Refineries'!$B$85:$B$164,"Boiler"))&gt;0,SUMIFS('Key inputs_Refineries'!F$85:F$164,'Key inputs_Refineries'!$C$85:$C$164,$C247,'Key inputs_Refineries'!$B$85:$B$164,"Boiler")/SUM(SUMIFS('Key inputs_Refineries'!F$85:F$164,'Key inputs_Refineries'!$C$85:$C$164,$C238:$C247,'Key inputs_Refineries'!$B$85:$B$164,"Boiler"))&lt;0.001),0.001,SUMIFS('Key inputs_Refineries'!F$85:F$164,'Key inputs_Refineries'!$C$85:$C$164,$C247,'Key inputs_Refineries'!$B$85:$B$164,"Boiler")/SUM(SUMIFS('Key inputs_Refineries'!F$85:F$164,'Key inputs_Refineries'!$C$85:$C$164,$C238:$C247,'Key inputs_Refineries'!$B$85:$B$164,"Boiler"))),1)</f>
        <v>0</v>
      </c>
      <c r="M247" s="173" cm="1">
        <f t="array" ref="M247">IFERROR(IF(AND(SUMIFS('Key inputs_Refineries'!G$85:G$164,'Key inputs_Refineries'!$C$85:$C$164,$C247,'Key inputs_Refineries'!$B$85:$B$164,"Boiler")/SUM(SUMIFS('Key inputs_Refineries'!G$85:G$164,'Key inputs_Refineries'!$C$85:$C$164,$C238:$C247,'Key inputs_Refineries'!$B$85:$B$164,"Boiler"))&gt;0,SUMIFS('Key inputs_Refineries'!G$85:G$164,'Key inputs_Refineries'!$C$85:$C$164,$C247,'Key inputs_Refineries'!$B$85:$B$164,"Boiler")/SUM(SUMIFS('Key inputs_Refineries'!G$85:G$164,'Key inputs_Refineries'!$C$85:$C$164,$C238:$C247,'Key inputs_Refineries'!$B$85:$B$164,"Boiler"))&lt;0.001),0.001,SUMIFS('Key inputs_Refineries'!G$85:G$164,'Key inputs_Refineries'!$C$85:$C$164,$C247,'Key inputs_Refineries'!$B$85:$B$164,"Boiler")/SUM(SUMIFS('Key inputs_Refineries'!G$85:G$164,'Key inputs_Refineries'!$C$85:$C$164,$C238:$C247,'Key inputs_Refineries'!$B$85:$B$164,"Boiler"))),1)</f>
        <v>0</v>
      </c>
      <c r="N247" s="173" cm="1">
        <f t="array" ref="N247">IFERROR(IF(AND(SUMIFS('Key inputs_Refineries'!H$85:H$164,'Key inputs_Refineries'!$C$85:$C$164,$C247,'Key inputs_Refineries'!$B$85:$B$164,"Boiler")/SUM(SUMIFS('Key inputs_Refineries'!H$85:H$164,'Key inputs_Refineries'!$C$85:$C$164,$C238:$C247,'Key inputs_Refineries'!$B$85:$B$164,"Boiler"))&gt;0,SUMIFS('Key inputs_Refineries'!H$85:H$164,'Key inputs_Refineries'!$C$85:$C$164,$C247,'Key inputs_Refineries'!$B$85:$B$164,"Boiler")/SUM(SUMIFS('Key inputs_Refineries'!H$85:H$164,'Key inputs_Refineries'!$C$85:$C$164,$C238:$C247,'Key inputs_Refineries'!$B$85:$B$164,"Boiler"))&lt;0.001),0.001,SUMIFS('Key inputs_Refineries'!H$85:H$164,'Key inputs_Refineries'!$C$85:$C$164,$C247,'Key inputs_Refineries'!$B$85:$B$164,"Boiler")/SUM(SUMIFS('Key inputs_Refineries'!H$85:H$164,'Key inputs_Refineries'!$C$85:$C$164,$C238:$C247,'Key inputs_Refineries'!$B$85:$B$164,"Boiler"))),1)</f>
        <v>1</v>
      </c>
      <c r="O247" s="173" cm="1">
        <f t="array" ref="O247">IFERROR(IF(AND(SUMIFS('Key inputs_Refineries'!I$85:I$164,'Key inputs_Refineries'!$C$85:$C$164,$C247,'Key inputs_Refineries'!$B$85:$B$164,"Boiler")/SUM(SUMIFS('Key inputs_Refineries'!I$85:I$164,'Key inputs_Refineries'!$C$85:$C$164,$C238:$C247,'Key inputs_Refineries'!$B$85:$B$164,"Boiler"))&gt;0,SUMIFS('Key inputs_Refineries'!I$85:I$164,'Key inputs_Refineries'!$C$85:$C$164,$C247,'Key inputs_Refineries'!$B$85:$B$164,"Boiler")/SUM(SUMIFS('Key inputs_Refineries'!I$85:I$164,'Key inputs_Refineries'!$C$85:$C$164,$C238:$C247,'Key inputs_Refineries'!$B$85:$B$164,"Boiler"))&lt;0.001),0.001,SUMIFS('Key inputs_Refineries'!I$85:I$164,'Key inputs_Refineries'!$C$85:$C$164,$C247,'Key inputs_Refineries'!$B$85:$B$164,"Boiler")/SUM(SUMIFS('Key inputs_Refineries'!I$85:I$164,'Key inputs_Refineries'!$C$85:$C$164,$C238:$C247,'Key inputs_Refineries'!$B$85:$B$164,"Boiler"))),1)</f>
        <v>0.90826580836038906</v>
      </c>
      <c r="P247" s="173" cm="1">
        <f t="array" ref="P247">IFERROR(IF(AND(SUMIFS('Key inputs_Refineries'!J$85:J$164,'Key inputs_Refineries'!$C$85:$C$164,$C247,'Key inputs_Refineries'!$B$85:$B$164,"Boiler")/SUM(SUMIFS('Key inputs_Refineries'!J$85:J$164,'Key inputs_Refineries'!$C$85:$C$164,$C238:$C247,'Key inputs_Refineries'!$B$85:$B$164,"Boiler"))&gt;0,SUMIFS('Key inputs_Refineries'!J$85:J$164,'Key inputs_Refineries'!$C$85:$C$164,$C247,'Key inputs_Refineries'!$B$85:$B$164,"Boiler")/SUM(SUMIFS('Key inputs_Refineries'!J$85:J$164,'Key inputs_Refineries'!$C$85:$C$164,$C238:$C247,'Key inputs_Refineries'!$B$85:$B$164,"Boiler"))&lt;0.001),0.001,SUMIFS('Key inputs_Refineries'!J$85:J$164,'Key inputs_Refineries'!$C$85:$C$164,$C247,'Key inputs_Refineries'!$B$85:$B$164,"Boiler")/SUM(SUMIFS('Key inputs_Refineries'!J$85:J$164,'Key inputs_Refineries'!$C$85:$C$164,$C238:$C247,'Key inputs_Refineries'!$B$85:$B$164,"Boiler"))),1)</f>
        <v>0.88036613124332841</v>
      </c>
      <c r="Q247" s="173" cm="1">
        <f t="array" ref="Q247">IFERROR(IF(AND(SUMIFS('Key inputs_Refineries'!K$85:K$164,'Key inputs_Refineries'!$C$85:$C$164,$C247,'Key inputs_Refineries'!$B$85:$B$164,"Boiler")/SUM(SUMIFS('Key inputs_Refineries'!K$85:K$164,'Key inputs_Refineries'!$C$85:$C$164,$C238:$C247,'Key inputs_Refineries'!$B$85:$B$164,"Boiler"))&gt;0,SUMIFS('Key inputs_Refineries'!K$85:K$164,'Key inputs_Refineries'!$C$85:$C$164,$C247,'Key inputs_Refineries'!$B$85:$B$164,"Boiler")/SUM(SUMIFS('Key inputs_Refineries'!K$85:K$164,'Key inputs_Refineries'!$C$85:$C$164,$C238:$C247,'Key inputs_Refineries'!$B$85:$B$164,"Boiler"))&lt;0.001),0.001,SUMIFS('Key inputs_Refineries'!K$85:K$164,'Key inputs_Refineries'!$C$85:$C$164,$C247,'Key inputs_Refineries'!$B$85:$B$164,"Boiler")/SUM(SUMIFS('Key inputs_Refineries'!K$85:K$164,'Key inputs_Refineries'!$C$85:$C$164,$C238:$C247,'Key inputs_Refineries'!$B$85:$B$164,"Boiler"))),1)</f>
        <v>5.2685627539402593E-3</v>
      </c>
      <c r="R247" s="173" cm="1">
        <f t="array" ref="R247">IFERROR(IF(AND(SUMIFS('Key inputs_Refineries'!L$85:L$164,'Key inputs_Refineries'!$C$85:$C$164,$C247,'Key inputs_Refineries'!$B$85:$B$164,"Boiler")/SUM(SUMIFS('Key inputs_Refineries'!L$85:L$164,'Key inputs_Refineries'!$C$85:$C$164,$C238:$C247,'Key inputs_Refineries'!$B$85:$B$164,"Boiler"))&gt;0,SUMIFS('Key inputs_Refineries'!L$85:L$164,'Key inputs_Refineries'!$C$85:$C$164,$C247,'Key inputs_Refineries'!$B$85:$B$164,"Boiler")/SUM(SUMIFS('Key inputs_Refineries'!L$85:L$164,'Key inputs_Refineries'!$C$85:$C$164,$C238:$C247,'Key inputs_Refineries'!$B$85:$B$164,"Boiler"))&lt;0.001),0.001,SUMIFS('Key inputs_Refineries'!L$85:L$164,'Key inputs_Refineries'!$C$85:$C$164,$C247,'Key inputs_Refineries'!$B$85:$B$164,"Boiler")/SUM(SUMIFS('Key inputs_Refineries'!L$85:L$164,'Key inputs_Refineries'!$C$85:$C$164,$C238:$C247,'Key inputs_Refineries'!$B$85:$B$164,"Boiler"))),1)</f>
        <v>0</v>
      </c>
      <c r="S247" s="173" cm="1">
        <f t="array" ref="S247">IFERROR(IF(AND(SUMIFS('Key inputs_Refineries'!M$85:M$164,'Key inputs_Refineries'!$C$85:$C$164,$C247,'Key inputs_Refineries'!$B$85:$B$164,"Boiler")/SUM(SUMIFS('Key inputs_Refineries'!M$85:M$164,'Key inputs_Refineries'!$C$85:$C$164,$C238:$C247,'Key inputs_Refineries'!$B$85:$B$164,"Boiler"))&gt;0,SUMIFS('Key inputs_Refineries'!M$85:M$164,'Key inputs_Refineries'!$C$85:$C$164,$C247,'Key inputs_Refineries'!$B$85:$B$164,"Boiler")/SUM(SUMIFS('Key inputs_Refineries'!M$85:M$164,'Key inputs_Refineries'!$C$85:$C$164,$C238:$C247,'Key inputs_Refineries'!$B$85:$B$164,"Boiler"))&lt;0.001),0.001,SUMIFS('Key inputs_Refineries'!M$85:M$164,'Key inputs_Refineries'!$C$85:$C$164,$C247,'Key inputs_Refineries'!$B$85:$B$164,"Boiler")/SUM(SUMIFS('Key inputs_Refineries'!M$85:M$164,'Key inputs_Refineries'!$C$85:$C$164,$C238:$C247,'Key inputs_Refineries'!$B$85:$B$164,"Boiler"))),1)</f>
        <v>0</v>
      </c>
      <c r="T247" s="173" cm="1">
        <f t="array" ref="T247">IFERROR(IF(AND(SUMIFS('Key inputs_Refineries'!N$85:N$164,'Key inputs_Refineries'!$C$85:$C$164,$C247,'Key inputs_Refineries'!$B$85:$B$164,"Boiler")/SUM(SUMIFS('Key inputs_Refineries'!N$85:N$164,'Key inputs_Refineries'!$C$85:$C$164,$C238:$C247,'Key inputs_Refineries'!$B$85:$B$164,"Boiler"))&gt;0,SUMIFS('Key inputs_Refineries'!N$85:N$164,'Key inputs_Refineries'!$C$85:$C$164,$C247,'Key inputs_Refineries'!$B$85:$B$164,"Boiler")/SUM(SUMIFS('Key inputs_Refineries'!N$85:N$164,'Key inputs_Refineries'!$C$85:$C$164,$C238:$C247,'Key inputs_Refineries'!$B$85:$B$164,"Boiler"))&lt;0.001),0.001,SUMIFS('Key inputs_Refineries'!N$85:N$164,'Key inputs_Refineries'!$C$85:$C$164,$C247,'Key inputs_Refineries'!$B$85:$B$164,"Boiler")/SUM(SUMIFS('Key inputs_Refineries'!N$85:N$164,'Key inputs_Refineries'!$C$85:$C$164,$C238:$C247,'Key inputs_Refineries'!$B$85:$B$164,"Boiler"))),1)</f>
        <v>0.91624021930485366</v>
      </c>
      <c r="U247" s="173" cm="1">
        <f t="array" ref="U247">IFERROR(IF(AND(SUMIFS('Key inputs_Refineries'!O$85:O$164,'Key inputs_Refineries'!$C$85:$C$164,$C247,'Key inputs_Refineries'!$B$85:$B$164,"Boiler")/SUM(SUMIFS('Key inputs_Refineries'!O$85:O$164,'Key inputs_Refineries'!$C$85:$C$164,$C238:$C247,'Key inputs_Refineries'!$B$85:$B$164,"Boiler"))&gt;0,SUMIFS('Key inputs_Refineries'!O$85:O$164,'Key inputs_Refineries'!$C$85:$C$164,$C247,'Key inputs_Refineries'!$B$85:$B$164,"Boiler")/SUM(SUMIFS('Key inputs_Refineries'!O$85:O$164,'Key inputs_Refineries'!$C$85:$C$164,$C238:$C247,'Key inputs_Refineries'!$B$85:$B$164,"Boiler"))&lt;0.001),0.001,SUMIFS('Key inputs_Refineries'!O$85:O$164,'Key inputs_Refineries'!$C$85:$C$164,$C247,'Key inputs_Refineries'!$B$85:$B$164,"Boiler")/SUM(SUMIFS('Key inputs_Refineries'!O$85:O$164,'Key inputs_Refineries'!$C$85:$C$164,$C238:$C247,'Key inputs_Refineries'!$B$85:$B$164,"Boiler"))),1)</f>
        <v>0</v>
      </c>
      <c r="V247" s="173" cm="1">
        <f t="array" ref="V247">IFERROR(IF(AND(SUMIFS('Key inputs_Refineries'!P$85:P$164,'Key inputs_Refineries'!$C$85:$C$164,$C247,'Key inputs_Refineries'!$B$85:$B$164,"Boiler")/SUM(SUMIFS('Key inputs_Refineries'!P$85:P$164,'Key inputs_Refineries'!$C$85:$C$164,$C238:$C247,'Key inputs_Refineries'!$B$85:$B$164,"Boiler"))&gt;0,SUMIFS('Key inputs_Refineries'!P$85:P$164,'Key inputs_Refineries'!$C$85:$C$164,$C247,'Key inputs_Refineries'!$B$85:$B$164,"Boiler")/SUM(SUMIFS('Key inputs_Refineries'!P$85:P$164,'Key inputs_Refineries'!$C$85:$C$164,$C238:$C247,'Key inputs_Refineries'!$B$85:$B$164,"Boiler"))&lt;0.001),0.001,SUMIFS('Key inputs_Refineries'!P$85:P$164,'Key inputs_Refineries'!$C$85:$C$164,$C247,'Key inputs_Refineries'!$B$85:$B$164,"Boiler")/SUM(SUMIFS('Key inputs_Refineries'!P$85:P$164,'Key inputs_Refineries'!$C$85:$C$164,$C238:$C247,'Key inputs_Refineries'!$B$85:$B$164,"Boiler"))),1)</f>
        <v>0.77545242046249629</v>
      </c>
      <c r="W247" s="173" cm="1">
        <f t="array" ref="W247">IFERROR(IF(AND(SUMIFS('Key inputs_Refineries'!Q$85:Q$164,'Key inputs_Refineries'!$C$85:$C$164,$C247,'Key inputs_Refineries'!$B$85:$B$164,"Boiler")/SUM(SUMIFS('Key inputs_Refineries'!Q$85:Q$164,'Key inputs_Refineries'!$C$85:$C$164,$C238:$C247,'Key inputs_Refineries'!$B$85:$B$164,"Boiler"))&gt;0,SUMIFS('Key inputs_Refineries'!Q$85:Q$164,'Key inputs_Refineries'!$C$85:$C$164,$C247,'Key inputs_Refineries'!$B$85:$B$164,"Boiler")/SUM(SUMIFS('Key inputs_Refineries'!Q$85:Q$164,'Key inputs_Refineries'!$C$85:$C$164,$C238:$C247,'Key inputs_Refineries'!$B$85:$B$164,"Boiler"))&lt;0.001),0.001,SUMIFS('Key inputs_Refineries'!Q$85:Q$164,'Key inputs_Refineries'!$C$85:$C$164,$C247,'Key inputs_Refineries'!$B$85:$B$164,"Boiler")/SUM(SUMIFS('Key inputs_Refineries'!Q$85:Q$164,'Key inputs_Refineries'!$C$85:$C$164,$C238:$C247,'Key inputs_Refineries'!$B$85:$B$164,"Boiler"))),1)</f>
        <v>5.8358521716818726E-2</v>
      </c>
      <c r="X247" s="173" cm="1">
        <f t="array" ref="X247">IFERROR(IF(AND(SUMIFS('Key inputs_Refineries'!R$85:R$164,'Key inputs_Refineries'!$C$85:$C$164,$C247,'Key inputs_Refineries'!$B$85:$B$164,"Boiler")/SUM(SUMIFS('Key inputs_Refineries'!R$85:R$164,'Key inputs_Refineries'!$C$85:$C$164,$C238:$C247,'Key inputs_Refineries'!$B$85:$B$164,"Boiler"))&gt;0,SUMIFS('Key inputs_Refineries'!R$85:R$164,'Key inputs_Refineries'!$C$85:$C$164,$C247,'Key inputs_Refineries'!$B$85:$B$164,"Boiler")/SUM(SUMIFS('Key inputs_Refineries'!R$85:R$164,'Key inputs_Refineries'!$C$85:$C$164,$C238:$C247,'Key inputs_Refineries'!$B$85:$B$164,"Boiler"))&lt;0.001),0.001,SUMIFS('Key inputs_Refineries'!R$85:R$164,'Key inputs_Refineries'!$C$85:$C$164,$C247,'Key inputs_Refineries'!$B$85:$B$164,"Boiler")/SUM(SUMIFS('Key inputs_Refineries'!R$85:R$164,'Key inputs_Refineries'!$C$85:$C$164,$C238:$C247,'Key inputs_Refineries'!$B$85:$B$164,"Boiler"))),1)</f>
        <v>0.80941235239176013</v>
      </c>
      <c r="Y247" s="173" cm="1">
        <f t="array" ref="Y247">IFERROR(IF(AND(SUMIFS('Key inputs_Refineries'!S$85:S$164,'Key inputs_Refineries'!$C$85:$C$164,$C247,'Key inputs_Refineries'!$B$85:$B$164,"Boiler")/SUM(SUMIFS('Key inputs_Refineries'!S$85:S$164,'Key inputs_Refineries'!$C$85:$C$164,$C238:$C247,'Key inputs_Refineries'!$B$85:$B$164,"Boiler"))&gt;0,SUMIFS('Key inputs_Refineries'!S$85:S$164,'Key inputs_Refineries'!$C$85:$C$164,$C247,'Key inputs_Refineries'!$B$85:$B$164,"Boiler")/SUM(SUMIFS('Key inputs_Refineries'!S$85:S$164,'Key inputs_Refineries'!$C$85:$C$164,$C238:$C247,'Key inputs_Refineries'!$B$85:$B$164,"Boiler"))&lt;0.001),0.001,SUMIFS('Key inputs_Refineries'!S$85:S$164,'Key inputs_Refineries'!$C$85:$C$164,$C247,'Key inputs_Refineries'!$B$85:$B$164,"Boiler")/SUM(SUMIFS('Key inputs_Refineries'!S$85:S$164,'Key inputs_Refineries'!$C$85:$C$164,$C238:$C247,'Key inputs_Refineries'!$B$85:$B$164,"Boiler"))),1)</f>
        <v>0.56012845130970601</v>
      </c>
      <c r="Z247" s="173" cm="1">
        <f t="array" ref="Z247">IFERROR(IF(AND(SUMIFS('Key inputs_Refineries'!T$85:T$164,'Key inputs_Refineries'!$C$85:$C$164,$C247,'Key inputs_Refineries'!$B$85:$B$164,"Boiler")/SUM(SUMIFS('Key inputs_Refineries'!T$85:T$164,'Key inputs_Refineries'!$C$85:$C$164,$C238:$C247,'Key inputs_Refineries'!$B$85:$B$164,"Boiler"))&gt;0,SUMIFS('Key inputs_Refineries'!T$85:T$164,'Key inputs_Refineries'!$C$85:$C$164,$C247,'Key inputs_Refineries'!$B$85:$B$164,"Boiler")/SUM(SUMIFS('Key inputs_Refineries'!T$85:T$164,'Key inputs_Refineries'!$C$85:$C$164,$C238:$C247,'Key inputs_Refineries'!$B$85:$B$164,"Boiler"))&lt;0.001),0.001,SUMIFS('Key inputs_Refineries'!T$85:T$164,'Key inputs_Refineries'!$C$85:$C$164,$C247,'Key inputs_Refineries'!$B$85:$B$164,"Boiler")/SUM(SUMIFS('Key inputs_Refineries'!T$85:T$164,'Key inputs_Refineries'!$C$85:$C$164,$C238:$C247,'Key inputs_Refineries'!$B$85:$B$164,"Boiler"))),1)</f>
        <v>0.65636065153933998</v>
      </c>
      <c r="AA247" s="173" cm="1">
        <f t="array" ref="AA247">IFERROR(IF(AND(SUMIFS('Key inputs_Refineries'!U$85:U$164,'Key inputs_Refineries'!$C$85:$C$164,$C247,'Key inputs_Refineries'!$B$85:$B$164,"Boiler")/SUM(SUMIFS('Key inputs_Refineries'!U$85:U$164,'Key inputs_Refineries'!$C$85:$C$164,$C238:$C247,'Key inputs_Refineries'!$B$85:$B$164,"Boiler"))&gt;0,SUMIFS('Key inputs_Refineries'!U$85:U$164,'Key inputs_Refineries'!$C$85:$C$164,$C247,'Key inputs_Refineries'!$B$85:$B$164,"Boiler")/SUM(SUMIFS('Key inputs_Refineries'!U$85:U$164,'Key inputs_Refineries'!$C$85:$C$164,$C238:$C247,'Key inputs_Refineries'!$B$85:$B$164,"Boiler"))&lt;0.001),0.001,SUMIFS('Key inputs_Refineries'!U$85:U$164,'Key inputs_Refineries'!$C$85:$C$164,$C247,'Key inputs_Refineries'!$B$85:$B$164,"Boiler")/SUM(SUMIFS('Key inputs_Refineries'!U$85:U$164,'Key inputs_Refineries'!$C$85:$C$164,$C238:$C247,'Key inputs_Refineries'!$B$85:$B$164,"Boiler"))),1)</f>
        <v>0.46733479677810208</v>
      </c>
      <c r="AB247" s="173" cm="1">
        <f t="array" ref="AB247">IFERROR(IF(AND(SUMIFS('Key inputs_Refineries'!V$85:V$164,'Key inputs_Refineries'!$C$85:$C$164,$C247,'Key inputs_Refineries'!$B$85:$B$164,"Boiler")/SUM(SUMIFS('Key inputs_Refineries'!V$85:V$164,'Key inputs_Refineries'!$C$85:$C$164,$C238:$C247,'Key inputs_Refineries'!$B$85:$B$164,"Boiler"))&gt;0,SUMIFS('Key inputs_Refineries'!V$85:V$164,'Key inputs_Refineries'!$C$85:$C$164,$C247,'Key inputs_Refineries'!$B$85:$B$164,"Boiler")/SUM(SUMIFS('Key inputs_Refineries'!V$85:V$164,'Key inputs_Refineries'!$C$85:$C$164,$C238:$C247,'Key inputs_Refineries'!$B$85:$B$164,"Boiler"))&lt;0.001),0.001,SUMIFS('Key inputs_Refineries'!V$85:V$164,'Key inputs_Refineries'!$C$85:$C$164,$C247,'Key inputs_Refineries'!$B$85:$B$164,"Boiler")/SUM(SUMIFS('Key inputs_Refineries'!V$85:V$164,'Key inputs_Refineries'!$C$85:$C$164,$C238:$C247,'Key inputs_Refineries'!$B$85:$B$164,"Boiler"))),1)</f>
        <v>0</v>
      </c>
      <c r="AC247" s="173" cm="1">
        <f t="array" ref="AC247">IFERROR(IF(AND(SUMIFS('Key inputs_Refineries'!W$85:W$164,'Key inputs_Refineries'!$C$85:$C$164,$C247,'Key inputs_Refineries'!$B$85:$B$164,"Boiler")/SUM(SUMIFS('Key inputs_Refineries'!W$85:W$164,'Key inputs_Refineries'!$C$85:$C$164,$C238:$C247,'Key inputs_Refineries'!$B$85:$B$164,"Boiler"))&gt;0,SUMIFS('Key inputs_Refineries'!W$85:W$164,'Key inputs_Refineries'!$C$85:$C$164,$C247,'Key inputs_Refineries'!$B$85:$B$164,"Boiler")/SUM(SUMIFS('Key inputs_Refineries'!W$85:W$164,'Key inputs_Refineries'!$C$85:$C$164,$C238:$C247,'Key inputs_Refineries'!$B$85:$B$164,"Boiler"))&lt;0.001),0.001,SUMIFS('Key inputs_Refineries'!W$85:W$164,'Key inputs_Refineries'!$C$85:$C$164,$C247,'Key inputs_Refineries'!$B$85:$B$164,"Boiler")/SUM(SUMIFS('Key inputs_Refineries'!W$85:W$164,'Key inputs_Refineries'!$C$85:$C$164,$C238:$C247,'Key inputs_Refineries'!$B$85:$B$164,"Boiler"))),1)</f>
        <v>1</v>
      </c>
      <c r="AD247" s="173" cm="1">
        <f t="array" ref="AD247">IFERROR(IF(AND(SUMIFS('Key inputs_Refineries'!X$85:X$164,'Key inputs_Refineries'!$C$85:$C$164,$C247,'Key inputs_Refineries'!$B$85:$B$164,"Boiler")/SUM(SUMIFS('Key inputs_Refineries'!X$85:X$164,'Key inputs_Refineries'!$C$85:$C$164,$C238:$C247,'Key inputs_Refineries'!$B$85:$B$164,"Boiler"))&gt;0,SUMIFS('Key inputs_Refineries'!X$85:X$164,'Key inputs_Refineries'!$C$85:$C$164,$C247,'Key inputs_Refineries'!$B$85:$B$164,"Boiler")/SUM(SUMIFS('Key inputs_Refineries'!X$85:X$164,'Key inputs_Refineries'!$C$85:$C$164,$C238:$C247,'Key inputs_Refineries'!$B$85:$B$164,"Boiler"))&lt;0.001),0.001,SUMIFS('Key inputs_Refineries'!X$85:X$164,'Key inputs_Refineries'!$C$85:$C$164,$C247,'Key inputs_Refineries'!$B$85:$B$164,"Boiler")/SUM(SUMIFS('Key inputs_Refineries'!X$85:X$164,'Key inputs_Refineries'!$C$85:$C$164,$C238:$C247,'Key inputs_Refineries'!$B$85:$B$164,"Boiler"))),1)</f>
        <v>0.43903269260140848</v>
      </c>
      <c r="AE247" s="173" cm="1">
        <f t="array" ref="AE247">IFERROR(IF(AND(SUMIFS('Key inputs_Refineries'!Y$85:Y$164,'Key inputs_Refineries'!$C$85:$C$164,$C247,'Key inputs_Refineries'!$B$85:$B$164,"Boiler")/SUM(SUMIFS('Key inputs_Refineries'!Y$85:Y$164,'Key inputs_Refineries'!$C$85:$C$164,$C238:$C247,'Key inputs_Refineries'!$B$85:$B$164,"Boiler"))&gt;0,SUMIFS('Key inputs_Refineries'!Y$85:Y$164,'Key inputs_Refineries'!$C$85:$C$164,$C247,'Key inputs_Refineries'!$B$85:$B$164,"Boiler")/SUM(SUMIFS('Key inputs_Refineries'!Y$85:Y$164,'Key inputs_Refineries'!$C$85:$C$164,$C238:$C247,'Key inputs_Refineries'!$B$85:$B$164,"Boiler"))&lt;0.001),0.001,SUMIFS('Key inputs_Refineries'!Y$85:Y$164,'Key inputs_Refineries'!$C$85:$C$164,$C247,'Key inputs_Refineries'!$B$85:$B$164,"Boiler")/SUM(SUMIFS('Key inputs_Refineries'!Y$85:Y$164,'Key inputs_Refineries'!$C$85:$C$164,$C238:$C247,'Key inputs_Refineries'!$B$85:$B$164,"Boiler"))),1)</f>
        <v>1.2468981492366695E-2</v>
      </c>
      <c r="AF247" s="173" cm="1">
        <f t="array" ref="AF247">IFERROR(IF(AND(SUMIFS('Key inputs_Refineries'!Z$85:Z$164,'Key inputs_Refineries'!$C$85:$C$164,$C247,'Key inputs_Refineries'!$B$85:$B$164,"Boiler")/SUM(SUMIFS('Key inputs_Refineries'!Z$85:Z$164,'Key inputs_Refineries'!$C$85:$C$164,$C238:$C247,'Key inputs_Refineries'!$B$85:$B$164,"Boiler"))&gt;0,SUMIFS('Key inputs_Refineries'!Z$85:Z$164,'Key inputs_Refineries'!$C$85:$C$164,$C247,'Key inputs_Refineries'!$B$85:$B$164,"Boiler")/SUM(SUMIFS('Key inputs_Refineries'!Z$85:Z$164,'Key inputs_Refineries'!$C$85:$C$164,$C238:$C247,'Key inputs_Refineries'!$B$85:$B$164,"Boiler"))&lt;0.001),0.001,SUMIFS('Key inputs_Refineries'!Z$85:Z$164,'Key inputs_Refineries'!$C$85:$C$164,$C247,'Key inputs_Refineries'!$B$85:$B$164,"Boiler")/SUM(SUMIFS('Key inputs_Refineries'!Z$85:Z$164,'Key inputs_Refineries'!$C$85:$C$164,$C238:$C247,'Key inputs_Refineries'!$B$85:$B$164,"Boiler"))),1)</f>
        <v>3.9834048690817444E-3</v>
      </c>
      <c r="AG247" s="173" cm="1">
        <f t="array" ref="AG247">IFERROR(IF(AND(SUMIFS('Key inputs_Refineries'!AA$85:AA$164,'Key inputs_Refineries'!$C$85:$C$164,$C247,'Key inputs_Refineries'!$B$85:$B$164,"Boiler")/SUM(SUMIFS('Key inputs_Refineries'!AA$85:AA$164,'Key inputs_Refineries'!$C$85:$C$164,$C238:$C247,'Key inputs_Refineries'!$B$85:$B$164,"Boiler"))&gt;0,SUMIFS('Key inputs_Refineries'!AA$85:AA$164,'Key inputs_Refineries'!$C$85:$C$164,$C247,'Key inputs_Refineries'!$B$85:$B$164,"Boiler")/SUM(SUMIFS('Key inputs_Refineries'!AA$85:AA$164,'Key inputs_Refineries'!$C$85:$C$164,$C238:$C247,'Key inputs_Refineries'!$B$85:$B$164,"Boiler"))&lt;0.001),0.001,SUMIFS('Key inputs_Refineries'!AA$85:AA$164,'Key inputs_Refineries'!$C$85:$C$164,$C247,'Key inputs_Refineries'!$B$85:$B$164,"Boiler")/SUM(SUMIFS('Key inputs_Refineries'!AA$85:AA$164,'Key inputs_Refineries'!$C$85:$C$164,$C238:$C247,'Key inputs_Refineries'!$B$85:$B$164,"Boiler"))),1)</f>
        <v>5.2506838942529173E-2</v>
      </c>
      <c r="AH247" s="173" cm="1">
        <f t="array" ref="AH247">IFERROR(IF(AND(SUMIFS('Key inputs_Refineries'!AB$85:AB$164,'Key inputs_Refineries'!$C$85:$C$164,$C247,'Key inputs_Refineries'!$B$85:$B$164,"Boiler")/SUM(SUMIFS('Key inputs_Refineries'!AB$85:AB$164,'Key inputs_Refineries'!$C$85:$C$164,$C238:$C247,'Key inputs_Refineries'!$B$85:$B$164,"Boiler"))&gt;0,SUMIFS('Key inputs_Refineries'!AB$85:AB$164,'Key inputs_Refineries'!$C$85:$C$164,$C247,'Key inputs_Refineries'!$B$85:$B$164,"Boiler")/SUM(SUMIFS('Key inputs_Refineries'!AB$85:AB$164,'Key inputs_Refineries'!$C$85:$C$164,$C238:$C247,'Key inputs_Refineries'!$B$85:$B$164,"Boiler"))&lt;0.001),0.001,SUMIFS('Key inputs_Refineries'!AB$85:AB$164,'Key inputs_Refineries'!$C$85:$C$164,$C247,'Key inputs_Refineries'!$B$85:$B$164,"Boiler")/SUM(SUMIFS('Key inputs_Refineries'!AB$85:AB$164,'Key inputs_Refineries'!$C$85:$C$164,$C238:$C247,'Key inputs_Refineries'!$B$85:$B$164,"Boiler"))),1)</f>
        <v>9.4974097372733504E-2</v>
      </c>
      <c r="AI247" s="173" cm="1">
        <f t="array" ref="AI247">IFERROR(IF(AND(SUMIFS('Key inputs_Refineries'!AC$85:AC$164,'Key inputs_Refineries'!$C$85:$C$164,$C247,'Key inputs_Refineries'!$B$85:$B$164,"Boiler")/SUM(SUMIFS('Key inputs_Refineries'!AC$85:AC$164,'Key inputs_Refineries'!$C$85:$C$164,$C238:$C247,'Key inputs_Refineries'!$B$85:$B$164,"Boiler"))&gt;0,SUMIFS('Key inputs_Refineries'!AC$85:AC$164,'Key inputs_Refineries'!$C$85:$C$164,$C247,'Key inputs_Refineries'!$B$85:$B$164,"Boiler")/SUM(SUMIFS('Key inputs_Refineries'!AC$85:AC$164,'Key inputs_Refineries'!$C$85:$C$164,$C238:$C247,'Key inputs_Refineries'!$B$85:$B$164,"Boiler"))&lt;0.001),0.001,SUMIFS('Key inputs_Refineries'!AC$85:AC$164,'Key inputs_Refineries'!$C$85:$C$164,$C247,'Key inputs_Refineries'!$B$85:$B$164,"Boiler")/SUM(SUMIFS('Key inputs_Refineries'!AC$85:AC$164,'Key inputs_Refineries'!$C$85:$C$164,$C238:$C247,'Key inputs_Refineries'!$B$85:$B$164,"Boiler"))),1)</f>
        <v>1.2394645513138323E-2</v>
      </c>
      <c r="AJ247" s="173" cm="1">
        <f t="array" ref="AJ247">IFERROR(IF(AND(SUMIFS('Key inputs_Refineries'!AD$85:AD$164,'Key inputs_Refineries'!$C$85:$C$164,$C247,'Key inputs_Refineries'!$B$85:$B$164,"Boiler")/SUM(SUMIFS('Key inputs_Refineries'!AD$85:AD$164,'Key inputs_Refineries'!$C$85:$C$164,$C238:$C247,'Key inputs_Refineries'!$B$85:$B$164,"Boiler"))&gt;0,SUMIFS('Key inputs_Refineries'!AD$85:AD$164,'Key inputs_Refineries'!$C$85:$C$164,$C247,'Key inputs_Refineries'!$B$85:$B$164,"Boiler")/SUM(SUMIFS('Key inputs_Refineries'!AD$85:AD$164,'Key inputs_Refineries'!$C$85:$C$164,$C238:$C247,'Key inputs_Refineries'!$B$85:$B$164,"Boiler"))&lt;0.001),0.001,SUMIFS('Key inputs_Refineries'!AD$85:AD$164,'Key inputs_Refineries'!$C$85:$C$164,$C247,'Key inputs_Refineries'!$B$85:$B$164,"Boiler")/SUM(SUMIFS('Key inputs_Refineries'!AD$85:AD$164,'Key inputs_Refineries'!$C$85:$C$164,$C238:$C247,'Key inputs_Refineries'!$B$85:$B$164,"Boiler"))),1)</f>
        <v>1</v>
      </c>
      <c r="AK247" s="173" cm="1">
        <f t="array" ref="AK247">IFERROR(IF(AND(SUMIFS('Key inputs_Refineries'!AE$85:AE$164,'Key inputs_Refineries'!$C$85:$C$164,$C247,'Key inputs_Refineries'!$B$85:$B$164,"Boiler")/SUM(SUMIFS('Key inputs_Refineries'!AE$85:AE$164,'Key inputs_Refineries'!$C$85:$C$164,$C238:$C247,'Key inputs_Refineries'!$B$85:$B$164,"Boiler"))&gt;0,SUMIFS('Key inputs_Refineries'!AE$85:AE$164,'Key inputs_Refineries'!$C$85:$C$164,$C247,'Key inputs_Refineries'!$B$85:$B$164,"Boiler")/SUM(SUMIFS('Key inputs_Refineries'!AE$85:AE$164,'Key inputs_Refineries'!$C$85:$C$164,$C238:$C247,'Key inputs_Refineries'!$B$85:$B$164,"Boiler"))&lt;0.001),0.001,SUMIFS('Key inputs_Refineries'!AE$85:AE$164,'Key inputs_Refineries'!$C$85:$C$164,$C247,'Key inputs_Refineries'!$B$85:$B$164,"Boiler")/SUM(SUMIFS('Key inputs_Refineries'!AE$85:AE$164,'Key inputs_Refineries'!$C$85:$C$164,$C238:$C247,'Key inputs_Refineries'!$B$85:$B$164,"Boiler"))),1)</f>
        <v>0.26396698362328047</v>
      </c>
      <c r="AL247" s="173" cm="1">
        <f t="array" ref="AL247">IFERROR(IF(AND(SUMIFS('Key inputs_Refineries'!AF$85:AF$164,'Key inputs_Refineries'!$C$85:$C$164,$C247,'Key inputs_Refineries'!$B$85:$B$164,"Boiler")/SUM(SUMIFS('Key inputs_Refineries'!AF$85:AF$164,'Key inputs_Refineries'!$C$85:$C$164,$C238:$C247,'Key inputs_Refineries'!$B$85:$B$164,"Boiler"))&gt;0,SUMIFS('Key inputs_Refineries'!AF$85:AF$164,'Key inputs_Refineries'!$C$85:$C$164,$C247,'Key inputs_Refineries'!$B$85:$B$164,"Boiler")/SUM(SUMIFS('Key inputs_Refineries'!AF$85:AF$164,'Key inputs_Refineries'!$C$85:$C$164,$C238:$C247,'Key inputs_Refineries'!$B$85:$B$164,"Boiler"))&lt;0.001),0.001,SUMIFS('Key inputs_Refineries'!AF$85:AF$164,'Key inputs_Refineries'!$C$85:$C$164,$C247,'Key inputs_Refineries'!$B$85:$B$164,"Boiler")/SUM(SUMIFS('Key inputs_Refineries'!AF$85:AF$164,'Key inputs_Refineries'!$C$85:$C$164,$C238:$C247,'Key inputs_Refineries'!$B$85:$B$164,"Boiler"))),1)</f>
        <v>0.94020675648239993</v>
      </c>
    </row>
    <row r="248" spans="1:38">
      <c r="C248" t="s">
        <v>515</v>
      </c>
      <c r="G248" s="4" t="s">
        <v>702</v>
      </c>
      <c r="H248" t="s">
        <v>661</v>
      </c>
      <c r="I248">
        <v>2025</v>
      </c>
      <c r="J248" t="s">
        <v>650</v>
      </c>
      <c r="K248" s="426">
        <f>K239</f>
        <v>0</v>
      </c>
      <c r="L248" s="426">
        <f t="shared" ref="L248:AL248" si="15">L239</f>
        <v>0</v>
      </c>
      <c r="M248" s="426">
        <f t="shared" si="15"/>
        <v>5.4967007249105165E-2</v>
      </c>
      <c r="N248" s="426">
        <f t="shared" si="15"/>
        <v>0</v>
      </c>
      <c r="O248" s="426">
        <f t="shared" si="15"/>
        <v>0</v>
      </c>
      <c r="P248" s="426">
        <f t="shared" si="15"/>
        <v>7.5112298847973434E-3</v>
      </c>
      <c r="Q248" s="426">
        <f t="shared" si="15"/>
        <v>1.3591105951689957E-2</v>
      </c>
      <c r="R248" s="426">
        <f t="shared" si="15"/>
        <v>0</v>
      </c>
      <c r="S248" s="426">
        <f t="shared" si="15"/>
        <v>3.5051732768259555E-2</v>
      </c>
      <c r="T248" s="426">
        <f t="shared" si="15"/>
        <v>8.6333554563383288E-3</v>
      </c>
      <c r="U248" s="426">
        <f t="shared" si="15"/>
        <v>0</v>
      </c>
      <c r="V248" s="426">
        <f t="shared" si="15"/>
        <v>5.6882967399520768E-3</v>
      </c>
      <c r="W248" s="426">
        <f t="shared" si="15"/>
        <v>0</v>
      </c>
      <c r="X248" s="426">
        <f t="shared" si="15"/>
        <v>0</v>
      </c>
      <c r="Y248" s="426">
        <f t="shared" si="15"/>
        <v>2.7787994220171155E-3</v>
      </c>
      <c r="Z248" s="426">
        <f t="shared" si="15"/>
        <v>7.5121681310049548E-3</v>
      </c>
      <c r="AA248" s="426">
        <f t="shared" si="15"/>
        <v>1.3171639290390735E-2</v>
      </c>
      <c r="AB248" s="426">
        <f t="shared" si="15"/>
        <v>0.62732289155304854</v>
      </c>
      <c r="AC248" s="426">
        <f t="shared" si="15"/>
        <v>0</v>
      </c>
      <c r="AD248" s="426">
        <f t="shared" si="15"/>
        <v>9.5552781608146987E-3</v>
      </c>
      <c r="AE248" s="426">
        <f t="shared" si="15"/>
        <v>1.5014083212701699E-2</v>
      </c>
      <c r="AF248" s="426">
        <f t="shared" si="15"/>
        <v>3.8902919404541575E-2</v>
      </c>
      <c r="AG248" s="426">
        <f t="shared" si="15"/>
        <v>3.0454378123189886E-2</v>
      </c>
      <c r="AH248" s="426">
        <f t="shared" si="15"/>
        <v>0</v>
      </c>
      <c r="AI248" s="426">
        <f t="shared" si="15"/>
        <v>0.10262766484878531</v>
      </c>
      <c r="AJ248" s="426">
        <f t="shared" si="15"/>
        <v>0</v>
      </c>
      <c r="AK248" s="426">
        <f t="shared" si="15"/>
        <v>1E-3</v>
      </c>
      <c r="AL248" s="426">
        <f t="shared" si="15"/>
        <v>1.1727367954192493E-2</v>
      </c>
    </row>
    <row r="249" spans="1:38">
      <c r="C249" t="s">
        <v>517</v>
      </c>
      <c r="G249" s="4" t="s">
        <v>702</v>
      </c>
      <c r="H249" t="s">
        <v>661</v>
      </c>
      <c r="I249">
        <v>2025</v>
      </c>
      <c r="J249" t="s">
        <v>650</v>
      </c>
      <c r="K249" s="426">
        <f>K241</f>
        <v>0</v>
      </c>
      <c r="L249" s="426">
        <f t="shared" ref="L249:AL249" si="16">L241</f>
        <v>0</v>
      </c>
      <c r="M249" s="426">
        <f t="shared" si="16"/>
        <v>0</v>
      </c>
      <c r="N249" s="426">
        <f t="shared" si="16"/>
        <v>0</v>
      </c>
      <c r="O249" s="426">
        <f t="shared" si="16"/>
        <v>0</v>
      </c>
      <c r="P249" s="426">
        <f t="shared" si="16"/>
        <v>0</v>
      </c>
      <c r="Q249" s="426">
        <f t="shared" si="16"/>
        <v>0</v>
      </c>
      <c r="R249" s="426">
        <f t="shared" si="16"/>
        <v>0</v>
      </c>
      <c r="S249" s="426">
        <f t="shared" si="16"/>
        <v>0</v>
      </c>
      <c r="T249" s="426">
        <f t="shared" si="16"/>
        <v>2.7912331012078389E-2</v>
      </c>
      <c r="U249" s="426">
        <f t="shared" si="16"/>
        <v>0</v>
      </c>
      <c r="V249" s="426">
        <f t="shared" si="16"/>
        <v>1E-3</v>
      </c>
      <c r="W249" s="426">
        <f t="shared" si="16"/>
        <v>0</v>
      </c>
      <c r="X249" s="426">
        <f t="shared" si="16"/>
        <v>0</v>
      </c>
      <c r="Y249" s="426">
        <f t="shared" si="16"/>
        <v>0</v>
      </c>
      <c r="Z249" s="426">
        <f t="shared" si="16"/>
        <v>0</v>
      </c>
      <c r="AA249" s="426">
        <f t="shared" si="16"/>
        <v>0</v>
      </c>
      <c r="AB249" s="426">
        <f t="shared" si="16"/>
        <v>0</v>
      </c>
      <c r="AC249" s="426">
        <f t="shared" si="16"/>
        <v>0</v>
      </c>
      <c r="AD249" s="426">
        <f t="shared" si="16"/>
        <v>1E-3</v>
      </c>
      <c r="AE249" s="426">
        <f t="shared" si="16"/>
        <v>2.0134433337153691E-2</v>
      </c>
      <c r="AF249" s="426">
        <f t="shared" si="16"/>
        <v>0</v>
      </c>
      <c r="AG249" s="426">
        <f t="shared" si="16"/>
        <v>0</v>
      </c>
      <c r="AH249" s="426">
        <f t="shared" si="16"/>
        <v>0</v>
      </c>
      <c r="AI249" s="426">
        <f t="shared" si="16"/>
        <v>0</v>
      </c>
      <c r="AJ249" s="426">
        <f t="shared" si="16"/>
        <v>0</v>
      </c>
      <c r="AK249" s="426">
        <f t="shared" si="16"/>
        <v>0</v>
      </c>
      <c r="AL249" s="426">
        <f t="shared" si="16"/>
        <v>2.4176673865044865E-3</v>
      </c>
    </row>
    <row r="250" spans="1:38">
      <c r="C250" t="s">
        <v>515</v>
      </c>
      <c r="G250" s="4" t="s">
        <v>702</v>
      </c>
      <c r="H250" t="s">
        <v>661</v>
      </c>
      <c r="I250">
        <v>2050</v>
      </c>
      <c r="J250" t="s">
        <v>650</v>
      </c>
      <c r="K250" s="426">
        <f>K248</f>
        <v>0</v>
      </c>
      <c r="L250" s="426">
        <f t="shared" ref="L250:AL250" si="17">L248</f>
        <v>0</v>
      </c>
      <c r="M250" s="426">
        <f t="shared" si="17"/>
        <v>5.4967007249105165E-2</v>
      </c>
      <c r="N250" s="426">
        <f t="shared" si="17"/>
        <v>0</v>
      </c>
      <c r="O250" s="426">
        <f t="shared" si="17"/>
        <v>0</v>
      </c>
      <c r="P250" s="426">
        <f t="shared" si="17"/>
        <v>7.5112298847973434E-3</v>
      </c>
      <c r="Q250" s="426">
        <f t="shared" si="17"/>
        <v>1.3591105951689957E-2</v>
      </c>
      <c r="R250" s="426">
        <f t="shared" si="17"/>
        <v>0</v>
      </c>
      <c r="S250" s="426">
        <f t="shared" si="17"/>
        <v>3.5051732768259555E-2</v>
      </c>
      <c r="T250" s="426">
        <f t="shared" si="17"/>
        <v>8.6333554563383288E-3</v>
      </c>
      <c r="U250" s="426">
        <f t="shared" si="17"/>
        <v>0</v>
      </c>
      <c r="V250" s="426">
        <f t="shared" si="17"/>
        <v>5.6882967399520768E-3</v>
      </c>
      <c r="W250" s="426">
        <f t="shared" si="17"/>
        <v>0</v>
      </c>
      <c r="X250" s="426">
        <f t="shared" si="17"/>
        <v>0</v>
      </c>
      <c r="Y250" s="426">
        <f t="shared" si="17"/>
        <v>2.7787994220171155E-3</v>
      </c>
      <c r="Z250" s="426">
        <f t="shared" si="17"/>
        <v>7.5121681310049548E-3</v>
      </c>
      <c r="AA250" s="426">
        <f t="shared" si="17"/>
        <v>1.3171639290390735E-2</v>
      </c>
      <c r="AB250" s="426">
        <f t="shared" si="17"/>
        <v>0.62732289155304854</v>
      </c>
      <c r="AC250" s="426">
        <f t="shared" si="17"/>
        <v>0</v>
      </c>
      <c r="AD250" s="426">
        <f t="shared" si="17"/>
        <v>9.5552781608146987E-3</v>
      </c>
      <c r="AE250" s="426">
        <f t="shared" si="17"/>
        <v>1.5014083212701699E-2</v>
      </c>
      <c r="AF250" s="426">
        <f t="shared" si="17"/>
        <v>3.8902919404541575E-2</v>
      </c>
      <c r="AG250" s="426">
        <f t="shared" si="17"/>
        <v>3.0454378123189886E-2</v>
      </c>
      <c r="AH250" s="426">
        <f t="shared" si="17"/>
        <v>0</v>
      </c>
      <c r="AI250" s="426">
        <f t="shared" si="17"/>
        <v>0.10262766484878531</v>
      </c>
      <c r="AJ250" s="426">
        <f t="shared" si="17"/>
        <v>0</v>
      </c>
      <c r="AK250" s="426">
        <f t="shared" si="17"/>
        <v>1E-3</v>
      </c>
      <c r="AL250" s="426">
        <f t="shared" si="17"/>
        <v>1.1727367954192493E-2</v>
      </c>
    </row>
    <row r="251" spans="1:38">
      <c r="C251" t="s">
        <v>517</v>
      </c>
      <c r="G251" s="4" t="s">
        <v>702</v>
      </c>
      <c r="H251" t="s">
        <v>661</v>
      </c>
      <c r="I251">
        <v>2050</v>
      </c>
      <c r="J251" t="s">
        <v>650</v>
      </c>
      <c r="K251" s="426">
        <f>K249</f>
        <v>0</v>
      </c>
      <c r="L251" s="426">
        <f t="shared" ref="L251:AL251" si="18">L249</f>
        <v>0</v>
      </c>
      <c r="M251" s="426">
        <f t="shared" si="18"/>
        <v>0</v>
      </c>
      <c r="N251" s="426">
        <f t="shared" si="18"/>
        <v>0</v>
      </c>
      <c r="O251" s="426">
        <f t="shared" si="18"/>
        <v>0</v>
      </c>
      <c r="P251" s="426">
        <f t="shared" si="18"/>
        <v>0</v>
      </c>
      <c r="Q251" s="426">
        <f t="shared" si="18"/>
        <v>0</v>
      </c>
      <c r="R251" s="426">
        <f t="shared" si="18"/>
        <v>0</v>
      </c>
      <c r="S251" s="426">
        <f t="shared" si="18"/>
        <v>0</v>
      </c>
      <c r="T251" s="426">
        <f t="shared" si="18"/>
        <v>2.7912331012078389E-2</v>
      </c>
      <c r="U251" s="426">
        <f t="shared" si="18"/>
        <v>0</v>
      </c>
      <c r="V251" s="426">
        <f t="shared" si="18"/>
        <v>1E-3</v>
      </c>
      <c r="W251" s="426">
        <f t="shared" si="18"/>
        <v>0</v>
      </c>
      <c r="X251" s="426">
        <f t="shared" si="18"/>
        <v>0</v>
      </c>
      <c r="Y251" s="426">
        <f t="shared" si="18"/>
        <v>0</v>
      </c>
      <c r="Z251" s="426">
        <f t="shared" si="18"/>
        <v>0</v>
      </c>
      <c r="AA251" s="426">
        <f t="shared" si="18"/>
        <v>0</v>
      </c>
      <c r="AB251" s="426">
        <f t="shared" si="18"/>
        <v>0</v>
      </c>
      <c r="AC251" s="426">
        <f t="shared" si="18"/>
        <v>0</v>
      </c>
      <c r="AD251" s="426">
        <f t="shared" si="18"/>
        <v>1E-3</v>
      </c>
      <c r="AE251" s="426">
        <f t="shared" si="18"/>
        <v>2.0134433337153691E-2</v>
      </c>
      <c r="AF251" s="426">
        <f t="shared" si="18"/>
        <v>0</v>
      </c>
      <c r="AG251" s="426">
        <f t="shared" si="18"/>
        <v>0</v>
      </c>
      <c r="AH251" s="426">
        <f t="shared" si="18"/>
        <v>0</v>
      </c>
      <c r="AI251" s="426">
        <f t="shared" si="18"/>
        <v>0</v>
      </c>
      <c r="AJ251" s="426">
        <f t="shared" si="18"/>
        <v>0</v>
      </c>
      <c r="AK251" s="426">
        <f t="shared" si="18"/>
        <v>0</v>
      </c>
      <c r="AL251" s="426">
        <f t="shared" si="18"/>
        <v>2.4176673865044865E-3</v>
      </c>
    </row>
    <row r="252" spans="1:38">
      <c r="D252" t="str">
        <f>Commodities!$C$106</f>
        <v>UREFOTH</v>
      </c>
    </row>
    <row r="253" spans="1:38">
      <c r="A253" s="4" t="str">
        <f>AO24</f>
        <v>U-TRF-OILREFOTH_BIO00</v>
      </c>
      <c r="B253" s="4" t="str">
        <f>AP24</f>
        <v>UPS Transformation: Oil refinery other processes Biomass - Existing</v>
      </c>
      <c r="C253" s="4"/>
      <c r="D253" s="4"/>
      <c r="E253" s="4"/>
      <c r="F253" s="4"/>
      <c r="G253" s="4" t="s">
        <v>695</v>
      </c>
      <c r="H253" s="4"/>
      <c r="I253" s="4"/>
      <c r="J253" s="4" t="s">
        <v>2665</v>
      </c>
      <c r="K253" s="333">
        <v>1</v>
      </c>
      <c r="L253" s="333">
        <v>1</v>
      </c>
      <c r="M253" s="333">
        <v>1</v>
      </c>
      <c r="N253" s="333">
        <v>1</v>
      </c>
      <c r="O253" s="333">
        <v>1</v>
      </c>
      <c r="P253" s="333">
        <v>1</v>
      </c>
      <c r="Q253" s="333">
        <v>1</v>
      </c>
      <c r="R253" s="333">
        <v>1</v>
      </c>
      <c r="S253" s="333">
        <v>1</v>
      </c>
      <c r="T253" s="333">
        <v>1</v>
      </c>
      <c r="U253" s="333">
        <v>1</v>
      </c>
      <c r="V253" s="333">
        <v>1</v>
      </c>
      <c r="W253" s="333">
        <v>1</v>
      </c>
      <c r="X253" s="333">
        <v>1</v>
      </c>
      <c r="Y253" s="333">
        <v>1</v>
      </c>
      <c r="Z253" s="333">
        <v>1</v>
      </c>
      <c r="AA253" s="333">
        <v>1</v>
      </c>
      <c r="AB253" s="333">
        <v>1</v>
      </c>
      <c r="AC253" s="333">
        <v>1</v>
      </c>
      <c r="AD253" s="333">
        <v>1</v>
      </c>
      <c r="AE253" s="333">
        <v>1</v>
      </c>
      <c r="AF253" s="333">
        <v>1</v>
      </c>
      <c r="AG253" s="333">
        <v>1</v>
      </c>
      <c r="AH253" s="333">
        <v>1</v>
      </c>
      <c r="AI253" s="333">
        <v>1</v>
      </c>
      <c r="AJ253" s="333">
        <v>1</v>
      </c>
      <c r="AK253" s="333">
        <v>1</v>
      </c>
      <c r="AL253" s="333">
        <v>1</v>
      </c>
    </row>
    <row r="254" spans="1:38">
      <c r="C254" s="4"/>
      <c r="D254" s="4"/>
      <c r="E254" s="4"/>
      <c r="F254" s="4"/>
      <c r="G254" s="4" t="s">
        <v>697</v>
      </c>
      <c r="H254" s="4"/>
      <c r="I254" s="4"/>
      <c r="J254" s="4" t="s">
        <v>698</v>
      </c>
      <c r="K254" s="424">
        <f>'Key inputs_Refineries'!$F$186</f>
        <v>15</v>
      </c>
      <c r="L254" s="424">
        <f>'Key inputs_Refineries'!$F$186</f>
        <v>15</v>
      </c>
      <c r="M254" s="424">
        <f>'Key inputs_Refineries'!$F$186</f>
        <v>15</v>
      </c>
      <c r="N254" s="424">
        <f>'Key inputs_Refineries'!$F$186</f>
        <v>15</v>
      </c>
      <c r="O254" s="424">
        <f>'Key inputs_Refineries'!$F$186</f>
        <v>15</v>
      </c>
      <c r="P254" s="424">
        <f>'Key inputs_Refineries'!$F$186</f>
        <v>15</v>
      </c>
      <c r="Q254" s="424">
        <f>'Key inputs_Refineries'!$F$186</f>
        <v>15</v>
      </c>
      <c r="R254" s="424">
        <f>'Key inputs_Refineries'!$F$186</f>
        <v>15</v>
      </c>
      <c r="S254" s="424">
        <f>'Key inputs_Refineries'!$F$186</f>
        <v>15</v>
      </c>
      <c r="T254" s="424">
        <f>'Key inputs_Refineries'!$F$186</f>
        <v>15</v>
      </c>
      <c r="U254" s="424">
        <f>'Key inputs_Refineries'!$F$186</f>
        <v>15</v>
      </c>
      <c r="V254" s="424">
        <f>'Key inputs_Refineries'!$F$186</f>
        <v>15</v>
      </c>
      <c r="W254" s="424">
        <f>'Key inputs_Refineries'!$F$186</f>
        <v>15</v>
      </c>
      <c r="X254" s="424">
        <f>'Key inputs_Refineries'!$F$186</f>
        <v>15</v>
      </c>
      <c r="Y254" s="424">
        <f>'Key inputs_Refineries'!$F$186</f>
        <v>15</v>
      </c>
      <c r="Z254" s="424">
        <f>'Key inputs_Refineries'!$F$186</f>
        <v>15</v>
      </c>
      <c r="AA254" s="424">
        <f>'Key inputs_Refineries'!$F$186</f>
        <v>15</v>
      </c>
      <c r="AB254" s="424">
        <f>'Key inputs_Refineries'!$F$186</f>
        <v>15</v>
      </c>
      <c r="AC254" s="424">
        <f>'Key inputs_Refineries'!$F$186</f>
        <v>15</v>
      </c>
      <c r="AD254" s="424">
        <f>'Key inputs_Refineries'!$F$186</f>
        <v>15</v>
      </c>
      <c r="AE254" s="424">
        <f>'Key inputs_Refineries'!$F$186</f>
        <v>15</v>
      </c>
      <c r="AF254" s="424">
        <f>'Key inputs_Refineries'!$F$186</f>
        <v>15</v>
      </c>
      <c r="AG254" s="424">
        <f>'Key inputs_Refineries'!$F$186</f>
        <v>15</v>
      </c>
      <c r="AH254" s="424">
        <f>'Key inputs_Refineries'!$F$186</f>
        <v>15</v>
      </c>
      <c r="AI254" s="424">
        <f>'Key inputs_Refineries'!$F$186</f>
        <v>15</v>
      </c>
      <c r="AJ254" s="424">
        <f>'Key inputs_Refineries'!$F$186</f>
        <v>15</v>
      </c>
      <c r="AK254" s="424">
        <f>'Key inputs_Refineries'!$F$186</f>
        <v>15</v>
      </c>
      <c r="AL254" s="424">
        <f>'Key inputs_Refineries'!$F$186</f>
        <v>15</v>
      </c>
    </row>
    <row r="255" spans="1:38">
      <c r="C255" s="4"/>
      <c r="D255" s="4"/>
      <c r="E255" s="4"/>
      <c r="F255" s="4"/>
      <c r="G255" s="4" t="s">
        <v>699</v>
      </c>
      <c r="H255" s="4"/>
      <c r="I255" s="4">
        <v>2019</v>
      </c>
      <c r="J255" s="4" t="s">
        <v>112</v>
      </c>
      <c r="K255" s="347" cm="1">
        <f t="array" ref="K255">-SUM(SUMIFS('Key inputs_Refineries'!E$85:E$164,'Key inputs_Refineries'!$C$85:$C$164,$C263:$C264,'Key inputs_Refineries'!$B$85:$B$164,"Other processes"))*K262/10^3</f>
        <v>0</v>
      </c>
      <c r="L255" s="347" cm="1">
        <f t="array" ref="L255">-SUM(SUMIFS('Key inputs_Refineries'!F$85:F$164,'Key inputs_Refineries'!$C$85:$C$164,$C263:$C264,'Key inputs_Refineries'!$B$85:$B$164,"Other processes"))*L262/10^3</f>
        <v>0</v>
      </c>
      <c r="M255" s="347" cm="1">
        <f t="array" ref="M255">-SUM(SUMIFS('Key inputs_Refineries'!G$85:G$164,'Key inputs_Refineries'!$C$85:$C$164,$C263:$C264,'Key inputs_Refineries'!$B$85:$B$164,"Other processes"))*M262/10^3</f>
        <v>0</v>
      </c>
      <c r="N255" s="347" cm="1">
        <f t="array" ref="N255">-SUM(SUMIFS('Key inputs_Refineries'!H$85:H$164,'Key inputs_Refineries'!$C$85:$C$164,$C263:$C264,'Key inputs_Refineries'!$B$85:$B$164,"Other processes"))*N262/10^3</f>
        <v>0</v>
      </c>
      <c r="O255" s="347" cm="1">
        <f t="array" ref="O255">-SUM(SUMIFS('Key inputs_Refineries'!I$85:I$164,'Key inputs_Refineries'!$C$85:$C$164,$C263:$C264,'Key inputs_Refineries'!$B$85:$B$164,"Other processes"))*O262/10^3</f>
        <v>0</v>
      </c>
      <c r="P255" s="347" cm="1">
        <f t="array" ref="P255">-SUM(SUMIFS('Key inputs_Refineries'!J$85:J$164,'Key inputs_Refineries'!$C$85:$C$164,$C263:$C264,'Key inputs_Refineries'!$B$85:$B$164,"Other processes"))*P262/10^3</f>
        <v>0</v>
      </c>
      <c r="Q255" s="347" cm="1">
        <f t="array" ref="Q255">-SUM(SUMIFS('Key inputs_Refineries'!K$85:K$164,'Key inputs_Refineries'!$C$85:$C$164,$C263:$C264,'Key inputs_Refineries'!$B$85:$B$164,"Other processes"))*Q262/10^3</f>
        <v>0</v>
      </c>
      <c r="R255" s="347" cm="1">
        <f t="array" ref="R255">-SUM(SUMIFS('Key inputs_Refineries'!L$85:L$164,'Key inputs_Refineries'!$C$85:$C$164,$C263:$C264,'Key inputs_Refineries'!$B$85:$B$164,"Other processes"))*R262/10^3</f>
        <v>0</v>
      </c>
      <c r="S255" s="347" cm="1">
        <f t="array" ref="S255">-SUM(SUMIFS('Key inputs_Refineries'!M$85:M$164,'Key inputs_Refineries'!$C$85:$C$164,$C263:$C264,'Key inputs_Refineries'!$B$85:$B$164,"Other processes"))*S262/10^3</f>
        <v>0</v>
      </c>
      <c r="T255" s="347" cm="1">
        <f t="array" ref="T255">-SUM(SUMIFS('Key inputs_Refineries'!N$85:N$164,'Key inputs_Refineries'!$C$85:$C$164,$C263:$C264,'Key inputs_Refineries'!$B$85:$B$164,"Other processes"))*T262/10^3</f>
        <v>0</v>
      </c>
      <c r="U255" s="347" cm="1">
        <f t="array" ref="U255">-SUM(SUMIFS('Key inputs_Refineries'!O$85:O$164,'Key inputs_Refineries'!$C$85:$C$164,$C263:$C264,'Key inputs_Refineries'!$B$85:$B$164,"Other processes"))*U262/10^3</f>
        <v>0</v>
      </c>
      <c r="V255" s="347" cm="1">
        <f t="array" ref="V255">-SUM(SUMIFS('Key inputs_Refineries'!P$85:P$164,'Key inputs_Refineries'!$C$85:$C$164,$C263:$C264,'Key inputs_Refineries'!$B$85:$B$164,"Other processes"))*V262/10^3</f>
        <v>0</v>
      </c>
      <c r="W255" s="347" cm="1">
        <f t="array" ref="W255">-SUM(SUMIFS('Key inputs_Refineries'!Q$85:Q$164,'Key inputs_Refineries'!$C$85:$C$164,$C263:$C264,'Key inputs_Refineries'!$B$85:$B$164,"Other processes"))*W262/10^3</f>
        <v>0</v>
      </c>
      <c r="X255" s="347" cm="1">
        <f t="array" ref="X255">-SUM(SUMIFS('Key inputs_Refineries'!R$85:R$164,'Key inputs_Refineries'!$C$85:$C$164,$C263:$C264,'Key inputs_Refineries'!$B$85:$B$164,"Other processes"))*X262/10^3</f>
        <v>0</v>
      </c>
      <c r="Y255" s="347" cm="1">
        <f t="array" ref="Y255">-SUM(SUMIFS('Key inputs_Refineries'!S$85:S$164,'Key inputs_Refineries'!$C$85:$C$164,$C263:$C264,'Key inputs_Refineries'!$B$85:$B$164,"Other processes"))*Y262/10^3</f>
        <v>1.7188673631324223E-5</v>
      </c>
      <c r="Z255" s="347" cm="1">
        <f t="array" ref="Z255">-SUM(SUMIFS('Key inputs_Refineries'!T$85:T$164,'Key inputs_Refineries'!$C$85:$C$164,$C263:$C264,'Key inputs_Refineries'!$B$85:$B$164,"Other processes"))*Z262/10^3</f>
        <v>0</v>
      </c>
      <c r="AA255" s="347" cm="1">
        <f t="array" ref="AA255">-SUM(SUMIFS('Key inputs_Refineries'!U$85:U$164,'Key inputs_Refineries'!$C$85:$C$164,$C263:$C264,'Key inputs_Refineries'!$B$85:$B$164,"Other processes"))*AA262/10^3</f>
        <v>5.1229768942191124E-3</v>
      </c>
      <c r="AB255" s="347" cm="1">
        <f t="array" ref="AB255">-SUM(SUMIFS('Key inputs_Refineries'!V$85:V$164,'Key inputs_Refineries'!$C$85:$C$164,$C263:$C264,'Key inputs_Refineries'!$B$85:$B$164,"Other processes"))*AB262/10^3</f>
        <v>0</v>
      </c>
      <c r="AC255" s="347" cm="1">
        <f t="array" ref="AC255">-SUM(SUMIFS('Key inputs_Refineries'!W$85:W$164,'Key inputs_Refineries'!$C$85:$C$164,$C263:$C264,'Key inputs_Refineries'!$B$85:$B$164,"Other processes"))*AC262/10^3</f>
        <v>0</v>
      </c>
      <c r="AD255" s="347" cm="1">
        <f t="array" ref="AD255">-SUM(SUMIFS('Key inputs_Refineries'!X$85:X$164,'Key inputs_Refineries'!$C$85:$C$164,$C263:$C264,'Key inputs_Refineries'!$B$85:$B$164,"Other processes"))*AD262/10^3</f>
        <v>0</v>
      </c>
      <c r="AE255" s="347" cm="1">
        <f t="array" ref="AE255">-SUM(SUMIFS('Key inputs_Refineries'!Y$85:Y$164,'Key inputs_Refineries'!$C$85:$C$164,$C263:$C264,'Key inputs_Refineries'!$B$85:$B$164,"Other processes"))*AE262/10^3</f>
        <v>0</v>
      </c>
      <c r="AF255" s="347" cm="1">
        <f t="array" ref="AF255">-SUM(SUMIFS('Key inputs_Refineries'!Z$85:Z$164,'Key inputs_Refineries'!$C$85:$C$164,$C263:$C264,'Key inputs_Refineries'!$B$85:$B$164,"Other processes"))*AF262/10^3</f>
        <v>0</v>
      </c>
      <c r="AG255" s="347" cm="1">
        <f t="array" ref="AG255">-SUM(SUMIFS('Key inputs_Refineries'!AA$85:AA$164,'Key inputs_Refineries'!$C$85:$C$164,$C263:$C264,'Key inputs_Refineries'!$B$85:$B$164,"Other processes"))*AG262/10^3</f>
        <v>0</v>
      </c>
      <c r="AH255" s="347" cm="1">
        <f t="array" ref="AH255">-SUM(SUMIFS('Key inputs_Refineries'!AB$85:AB$164,'Key inputs_Refineries'!$C$85:$C$164,$C263:$C264,'Key inputs_Refineries'!$B$85:$B$164,"Other processes"))*AH262/10^3</f>
        <v>0</v>
      </c>
      <c r="AI255" s="347" cm="1">
        <f t="array" ref="AI255">-SUM(SUMIFS('Key inputs_Refineries'!AC$85:AC$164,'Key inputs_Refineries'!$C$85:$C$164,$C263:$C264,'Key inputs_Refineries'!$B$85:$B$164,"Other processes"))*AI262/10^3</f>
        <v>0</v>
      </c>
      <c r="AJ255" s="347" cm="1">
        <f t="array" ref="AJ255">-SUM(SUMIFS('Key inputs_Refineries'!AD$85:AD$164,'Key inputs_Refineries'!$C$85:$C$164,$C263:$C264,'Key inputs_Refineries'!$B$85:$B$164,"Other processes"))*AJ262/10^3</f>
        <v>0.1022939999999999</v>
      </c>
      <c r="AK255" s="347" cm="1">
        <f t="array" ref="AK255">-SUM(SUMIFS('Key inputs_Refineries'!AE$85:AE$164,'Key inputs_Refineries'!$C$85:$C$164,$C263:$C264,'Key inputs_Refineries'!$B$85:$B$164,"Other processes"))*AK262/10^3</f>
        <v>0</v>
      </c>
      <c r="AL255" s="347" cm="1">
        <f t="array" ref="AL255">-SUM(SUMIFS('Key inputs_Refineries'!AF$85:AF$164,'Key inputs_Refineries'!$C$85:$C$164,$C263:$C264,'Key inputs_Refineries'!$B$85:$B$164,"Other processes"))*AL262/10^3</f>
        <v>0</v>
      </c>
    </row>
    <row r="256" spans="1:38">
      <c r="G256" s="4" t="s">
        <v>701</v>
      </c>
      <c r="H256" s="4" t="s">
        <v>661</v>
      </c>
      <c r="I256" s="4">
        <v>2019</v>
      </c>
      <c r="J256" s="4" t="s">
        <v>112</v>
      </c>
      <c r="K256" s="333">
        <v>0</v>
      </c>
      <c r="L256" s="333">
        <v>0</v>
      </c>
      <c r="M256" s="333">
        <v>0</v>
      </c>
      <c r="N256" s="333">
        <v>0</v>
      </c>
      <c r="O256" s="333">
        <v>0</v>
      </c>
      <c r="P256" s="333">
        <v>0</v>
      </c>
      <c r="Q256" s="333">
        <v>0</v>
      </c>
      <c r="R256" s="333">
        <v>0</v>
      </c>
      <c r="S256" s="333">
        <v>0</v>
      </c>
      <c r="T256" s="333">
        <v>0</v>
      </c>
      <c r="U256" s="333">
        <v>0</v>
      </c>
      <c r="V256" s="333">
        <v>0</v>
      </c>
      <c r="W256" s="333">
        <v>0</v>
      </c>
      <c r="X256" s="333">
        <v>0</v>
      </c>
      <c r="Y256" s="333">
        <v>0</v>
      </c>
      <c r="Z256" s="333">
        <v>0</v>
      </c>
      <c r="AA256" s="333">
        <v>0</v>
      </c>
      <c r="AB256" s="333">
        <v>0</v>
      </c>
      <c r="AC256" s="333">
        <v>0</v>
      </c>
      <c r="AD256" s="333">
        <v>0</v>
      </c>
      <c r="AE256" s="333">
        <v>0</v>
      </c>
      <c r="AF256" s="333">
        <v>0</v>
      </c>
      <c r="AG256" s="333">
        <v>0</v>
      </c>
      <c r="AH256" s="333">
        <v>0</v>
      </c>
      <c r="AI256" s="333">
        <v>0</v>
      </c>
      <c r="AJ256" s="333">
        <v>0</v>
      </c>
      <c r="AK256" s="333">
        <v>0</v>
      </c>
      <c r="AL256" s="333">
        <v>0</v>
      </c>
    </row>
    <row r="257" spans="1:38">
      <c r="G257" s="4" t="s">
        <v>701</v>
      </c>
      <c r="H257" s="4" t="s">
        <v>661</v>
      </c>
      <c r="I257" s="4">
        <v>2060</v>
      </c>
      <c r="J257" s="4" t="s">
        <v>112</v>
      </c>
      <c r="K257" s="333">
        <v>0</v>
      </c>
      <c r="L257" s="333">
        <v>0</v>
      </c>
      <c r="M257" s="333">
        <v>0</v>
      </c>
      <c r="N257" s="333">
        <v>0</v>
      </c>
      <c r="O257" s="333">
        <v>0</v>
      </c>
      <c r="P257" s="333">
        <v>0</v>
      </c>
      <c r="Q257" s="333">
        <v>0</v>
      </c>
      <c r="R257" s="333">
        <v>0</v>
      </c>
      <c r="S257" s="333">
        <v>0</v>
      </c>
      <c r="T257" s="333">
        <v>0</v>
      </c>
      <c r="U257" s="333">
        <v>0</v>
      </c>
      <c r="V257" s="333">
        <v>0</v>
      </c>
      <c r="W257" s="333">
        <v>0</v>
      </c>
      <c r="X257" s="333">
        <v>0</v>
      </c>
      <c r="Y257" s="333">
        <v>0</v>
      </c>
      <c r="Z257" s="333">
        <v>0</v>
      </c>
      <c r="AA257" s="333">
        <v>0</v>
      </c>
      <c r="AB257" s="333">
        <v>0</v>
      </c>
      <c r="AC257" s="333">
        <v>0</v>
      </c>
      <c r="AD257" s="333">
        <v>0</v>
      </c>
      <c r="AE257" s="333">
        <v>0</v>
      </c>
      <c r="AF257" s="333">
        <v>0</v>
      </c>
      <c r="AG257" s="333">
        <v>0</v>
      </c>
      <c r="AH257" s="333">
        <v>0</v>
      </c>
      <c r="AI257" s="333">
        <v>0</v>
      </c>
      <c r="AJ257" s="333">
        <v>0</v>
      </c>
      <c r="AK257" s="333">
        <v>0</v>
      </c>
      <c r="AL257" s="333">
        <v>0</v>
      </c>
    </row>
    <row r="258" spans="1:38">
      <c r="G258" s="4" t="s">
        <v>701</v>
      </c>
      <c r="H258" s="4" t="s">
        <v>661</v>
      </c>
      <c r="I258" s="4">
        <v>0</v>
      </c>
      <c r="J258" s="4"/>
      <c r="K258" s="333">
        <v>5</v>
      </c>
      <c r="L258" s="333">
        <v>5</v>
      </c>
      <c r="M258" s="333">
        <v>5</v>
      </c>
      <c r="N258" s="333">
        <v>5</v>
      </c>
      <c r="O258" s="333">
        <v>5</v>
      </c>
      <c r="P258" s="333">
        <v>5</v>
      </c>
      <c r="Q258" s="333">
        <v>5</v>
      </c>
      <c r="R258" s="333">
        <v>5</v>
      </c>
      <c r="S258" s="333">
        <v>5</v>
      </c>
      <c r="T258" s="333">
        <v>5</v>
      </c>
      <c r="U258" s="333">
        <v>5</v>
      </c>
      <c r="V258" s="333">
        <v>5</v>
      </c>
      <c r="W258" s="333">
        <v>5</v>
      </c>
      <c r="X258" s="333">
        <v>5</v>
      </c>
      <c r="Y258" s="333">
        <v>5</v>
      </c>
      <c r="Z258" s="333">
        <v>5</v>
      </c>
      <c r="AA258" s="333">
        <v>5</v>
      </c>
      <c r="AB258" s="333">
        <v>5</v>
      </c>
      <c r="AC258" s="333">
        <v>5</v>
      </c>
      <c r="AD258" s="333">
        <v>5</v>
      </c>
      <c r="AE258" s="333">
        <v>5</v>
      </c>
      <c r="AF258" s="333">
        <v>5</v>
      </c>
      <c r="AG258" s="333">
        <v>5</v>
      </c>
      <c r="AH258" s="333">
        <v>5</v>
      </c>
      <c r="AI258" s="333">
        <v>5</v>
      </c>
      <c r="AJ258" s="333">
        <v>5</v>
      </c>
      <c r="AK258" s="333">
        <v>5</v>
      </c>
      <c r="AL258" s="333">
        <v>5</v>
      </c>
    </row>
    <row r="259" spans="1:38">
      <c r="G259" s="4" t="s">
        <v>687</v>
      </c>
      <c r="H259" s="4"/>
      <c r="I259" s="4"/>
      <c r="J259" s="4" t="s">
        <v>2663</v>
      </c>
      <c r="K259" s="425">
        <f>'Key inputs_Refineries'!$C$186*10^3</f>
        <v>230.21279999999999</v>
      </c>
      <c r="L259" s="425">
        <f>'Key inputs_Refineries'!$C$186*10^3</f>
        <v>230.21279999999999</v>
      </c>
      <c r="M259" s="425">
        <f>'Key inputs_Refineries'!$C$186*10^3</f>
        <v>230.21279999999999</v>
      </c>
      <c r="N259" s="425">
        <f>'Key inputs_Refineries'!$C$186*10^3</f>
        <v>230.21279999999999</v>
      </c>
      <c r="O259" s="425">
        <f>'Key inputs_Refineries'!$C$186*10^3</f>
        <v>230.21279999999999</v>
      </c>
      <c r="P259" s="425">
        <f>'Key inputs_Refineries'!$C$186*10^3</f>
        <v>230.21279999999999</v>
      </c>
      <c r="Q259" s="425">
        <f>'Key inputs_Refineries'!$C$186*10^3</f>
        <v>230.21279999999999</v>
      </c>
      <c r="R259" s="425">
        <f>'Key inputs_Refineries'!$C$186*10^3</f>
        <v>230.21279999999999</v>
      </c>
      <c r="S259" s="425">
        <f>'Key inputs_Refineries'!$C$186*10^3</f>
        <v>230.21279999999999</v>
      </c>
      <c r="T259" s="425">
        <f>'Key inputs_Refineries'!$C$186*10^3</f>
        <v>230.21279999999999</v>
      </c>
      <c r="U259" s="425">
        <f>'Key inputs_Refineries'!$C$186*10^3</f>
        <v>230.21279999999999</v>
      </c>
      <c r="V259" s="425">
        <f>'Key inputs_Refineries'!$C$186*10^3</f>
        <v>230.21279999999999</v>
      </c>
      <c r="W259" s="425">
        <f>'Key inputs_Refineries'!$C$186*10^3</f>
        <v>230.21279999999999</v>
      </c>
      <c r="X259" s="425">
        <f>'Key inputs_Refineries'!$C$186*10^3</f>
        <v>230.21279999999999</v>
      </c>
      <c r="Y259" s="425">
        <f>'Key inputs_Refineries'!$C$186*10^3</f>
        <v>230.21279999999999</v>
      </c>
      <c r="Z259" s="425">
        <f>'Key inputs_Refineries'!$C$186*10^3</f>
        <v>230.21279999999999</v>
      </c>
      <c r="AA259" s="425">
        <f>'Key inputs_Refineries'!$C$186*10^3</f>
        <v>230.21279999999999</v>
      </c>
      <c r="AB259" s="425">
        <f>'Key inputs_Refineries'!$C$186*10^3</f>
        <v>230.21279999999999</v>
      </c>
      <c r="AC259" s="425">
        <f>'Key inputs_Refineries'!$C$186*10^3</f>
        <v>230.21279999999999</v>
      </c>
      <c r="AD259" s="425">
        <f>'Key inputs_Refineries'!$C$186*10^3</f>
        <v>230.21279999999999</v>
      </c>
      <c r="AE259" s="425">
        <f>'Key inputs_Refineries'!$C$186*10^3</f>
        <v>230.21279999999999</v>
      </c>
      <c r="AF259" s="425">
        <f>'Key inputs_Refineries'!$C$186*10^3</f>
        <v>230.21279999999999</v>
      </c>
      <c r="AG259" s="425">
        <f>'Key inputs_Refineries'!$C$186*10^3</f>
        <v>230.21279999999999</v>
      </c>
      <c r="AH259" s="425">
        <f>'Key inputs_Refineries'!$C$186*10^3</f>
        <v>230.21279999999999</v>
      </c>
      <c r="AI259" s="425">
        <f>'Key inputs_Refineries'!$C$186*10^3</f>
        <v>230.21279999999999</v>
      </c>
      <c r="AJ259" s="425">
        <f>'Key inputs_Refineries'!$C$186*10^3</f>
        <v>230.21279999999999</v>
      </c>
      <c r="AK259" s="425">
        <f>'Key inputs_Refineries'!$C$186*10^3</f>
        <v>230.21279999999999</v>
      </c>
      <c r="AL259" s="425">
        <f>'Key inputs_Refineries'!$C$186*10^3</f>
        <v>230.21279999999999</v>
      </c>
    </row>
    <row r="260" spans="1:38">
      <c r="G260" s="4" t="s">
        <v>689</v>
      </c>
      <c r="H260" s="4"/>
      <c r="I260" s="4"/>
      <c r="J260" s="4" t="s">
        <v>2663</v>
      </c>
      <c r="K260" s="425">
        <f>'Key inputs_Refineries'!$D$186*10^3</f>
        <v>1.8921600000000001</v>
      </c>
      <c r="L260" s="425">
        <f>'Key inputs_Refineries'!$D$186*10^3</f>
        <v>1.8921600000000001</v>
      </c>
      <c r="M260" s="425">
        <f>'Key inputs_Refineries'!$D$186*10^3</f>
        <v>1.8921600000000001</v>
      </c>
      <c r="N260" s="425">
        <f>'Key inputs_Refineries'!$D$186*10^3</f>
        <v>1.8921600000000001</v>
      </c>
      <c r="O260" s="425">
        <f>'Key inputs_Refineries'!$D$186*10^3</f>
        <v>1.8921600000000001</v>
      </c>
      <c r="P260" s="425">
        <f>'Key inputs_Refineries'!$D$186*10^3</f>
        <v>1.8921600000000001</v>
      </c>
      <c r="Q260" s="425">
        <f>'Key inputs_Refineries'!$D$186*10^3</f>
        <v>1.8921600000000001</v>
      </c>
      <c r="R260" s="425">
        <f>'Key inputs_Refineries'!$D$186*10^3</f>
        <v>1.8921600000000001</v>
      </c>
      <c r="S260" s="425">
        <f>'Key inputs_Refineries'!$D$186*10^3</f>
        <v>1.8921600000000001</v>
      </c>
      <c r="T260" s="425">
        <f>'Key inputs_Refineries'!$D$186*10^3</f>
        <v>1.8921600000000001</v>
      </c>
      <c r="U260" s="425">
        <f>'Key inputs_Refineries'!$D$186*10^3</f>
        <v>1.8921600000000001</v>
      </c>
      <c r="V260" s="425">
        <f>'Key inputs_Refineries'!$D$186*10^3</f>
        <v>1.8921600000000001</v>
      </c>
      <c r="W260" s="425">
        <f>'Key inputs_Refineries'!$D$186*10^3</f>
        <v>1.8921600000000001</v>
      </c>
      <c r="X260" s="425">
        <f>'Key inputs_Refineries'!$D$186*10^3</f>
        <v>1.8921600000000001</v>
      </c>
      <c r="Y260" s="425">
        <f>'Key inputs_Refineries'!$D$186*10^3</f>
        <v>1.8921600000000001</v>
      </c>
      <c r="Z260" s="425">
        <f>'Key inputs_Refineries'!$D$186*10^3</f>
        <v>1.8921600000000001</v>
      </c>
      <c r="AA260" s="425">
        <f>'Key inputs_Refineries'!$D$186*10^3</f>
        <v>1.8921600000000001</v>
      </c>
      <c r="AB260" s="425">
        <f>'Key inputs_Refineries'!$D$186*10^3</f>
        <v>1.8921600000000001</v>
      </c>
      <c r="AC260" s="425">
        <f>'Key inputs_Refineries'!$D$186*10^3</f>
        <v>1.8921600000000001</v>
      </c>
      <c r="AD260" s="425">
        <f>'Key inputs_Refineries'!$D$186*10^3</f>
        <v>1.8921600000000001</v>
      </c>
      <c r="AE260" s="425">
        <f>'Key inputs_Refineries'!$D$186*10^3</f>
        <v>1.8921600000000001</v>
      </c>
      <c r="AF260" s="425">
        <f>'Key inputs_Refineries'!$D$186*10^3</f>
        <v>1.8921600000000001</v>
      </c>
      <c r="AG260" s="425">
        <f>'Key inputs_Refineries'!$D$186*10^3</f>
        <v>1.8921600000000001</v>
      </c>
      <c r="AH260" s="425">
        <f>'Key inputs_Refineries'!$D$186*10^3</f>
        <v>1.8921600000000001</v>
      </c>
      <c r="AI260" s="425">
        <f>'Key inputs_Refineries'!$D$186*10^3</f>
        <v>1.8921600000000001</v>
      </c>
      <c r="AJ260" s="425">
        <f>'Key inputs_Refineries'!$D$186*10^3</f>
        <v>1.8921600000000001</v>
      </c>
      <c r="AK260" s="425">
        <f>'Key inputs_Refineries'!$D$186*10^3</f>
        <v>1.8921600000000001</v>
      </c>
      <c r="AL260" s="425">
        <f>'Key inputs_Refineries'!$D$186*10^3</f>
        <v>1.8921600000000001</v>
      </c>
    </row>
    <row r="261" spans="1:38">
      <c r="G261" s="4" t="s">
        <v>675</v>
      </c>
      <c r="H261" s="4"/>
      <c r="I261" s="4"/>
      <c r="J261" s="4" t="s">
        <v>2662</v>
      </c>
      <c r="K261" s="338"/>
      <c r="L261" s="338"/>
      <c r="M261" s="338"/>
      <c r="N261" s="338"/>
      <c r="O261" s="338"/>
      <c r="P261" s="338"/>
      <c r="Q261" s="338"/>
      <c r="R261" s="338"/>
      <c r="S261" s="338"/>
      <c r="T261" s="338"/>
      <c r="U261" s="338"/>
      <c r="V261" s="338"/>
      <c r="W261" s="338"/>
      <c r="X261" s="338"/>
      <c r="Y261" s="338"/>
      <c r="Z261" s="338"/>
      <c r="AA261" s="338"/>
      <c r="AB261" s="338"/>
      <c r="AC261" s="338"/>
      <c r="AD261" s="338"/>
      <c r="AE261" s="338"/>
      <c r="AF261" s="338"/>
      <c r="AG261" s="338"/>
      <c r="AH261" s="338"/>
      <c r="AI261" s="338"/>
      <c r="AJ261" s="338"/>
      <c r="AK261" s="338"/>
      <c r="AL261" s="338"/>
    </row>
    <row r="262" spans="1:38">
      <c r="G262" s="4" t="s">
        <v>630</v>
      </c>
      <c r="H262" s="4"/>
      <c r="I262" s="4"/>
      <c r="J262" s="4" t="s">
        <v>2666</v>
      </c>
      <c r="K262" s="425">
        <f>'Key inputs_Refineries'!$H$186</f>
        <v>0.6</v>
      </c>
      <c r="L262" s="425">
        <f>'Key inputs_Refineries'!$H$186</f>
        <v>0.6</v>
      </c>
      <c r="M262" s="425">
        <f>'Key inputs_Refineries'!$H$186</f>
        <v>0.6</v>
      </c>
      <c r="N262" s="425">
        <f>'Key inputs_Refineries'!$H$186</f>
        <v>0.6</v>
      </c>
      <c r="O262" s="425">
        <f>'Key inputs_Refineries'!$H$186</f>
        <v>0.6</v>
      </c>
      <c r="P262" s="425">
        <f>'Key inputs_Refineries'!$H$186</f>
        <v>0.6</v>
      </c>
      <c r="Q262" s="425">
        <f>'Key inputs_Refineries'!$H$186</f>
        <v>0.6</v>
      </c>
      <c r="R262" s="425">
        <f>'Key inputs_Refineries'!$H$186</f>
        <v>0.6</v>
      </c>
      <c r="S262" s="425">
        <f>'Key inputs_Refineries'!$H$186</f>
        <v>0.6</v>
      </c>
      <c r="T262" s="425">
        <f>'Key inputs_Refineries'!$H$186</f>
        <v>0.6</v>
      </c>
      <c r="U262" s="425">
        <f>'Key inputs_Refineries'!$H$186</f>
        <v>0.6</v>
      </c>
      <c r="V262" s="425">
        <f>'Key inputs_Refineries'!$H$186</f>
        <v>0.6</v>
      </c>
      <c r="W262" s="425">
        <f>'Key inputs_Refineries'!$H$186</f>
        <v>0.6</v>
      </c>
      <c r="X262" s="425">
        <f>'Key inputs_Refineries'!$H$186</f>
        <v>0.6</v>
      </c>
      <c r="Y262" s="425">
        <f>'Key inputs_Refineries'!$H$186</f>
        <v>0.6</v>
      </c>
      <c r="Z262" s="425">
        <f>'Key inputs_Refineries'!$H$186</f>
        <v>0.6</v>
      </c>
      <c r="AA262" s="425">
        <f>'Key inputs_Refineries'!$H$186</f>
        <v>0.6</v>
      </c>
      <c r="AB262" s="425">
        <f>'Key inputs_Refineries'!$H$186</f>
        <v>0.6</v>
      </c>
      <c r="AC262" s="425">
        <f>'Key inputs_Refineries'!$H$186</f>
        <v>0.6</v>
      </c>
      <c r="AD262" s="425">
        <f>'Key inputs_Refineries'!$H$186</f>
        <v>0.6</v>
      </c>
      <c r="AE262" s="425">
        <f>'Key inputs_Refineries'!$H$186</f>
        <v>0.6</v>
      </c>
      <c r="AF262" s="425">
        <f>'Key inputs_Refineries'!$H$186</f>
        <v>0.6</v>
      </c>
      <c r="AG262" s="425">
        <f>'Key inputs_Refineries'!$H$186</f>
        <v>0.6</v>
      </c>
      <c r="AH262" s="425">
        <f>'Key inputs_Refineries'!$H$186</f>
        <v>0.6</v>
      </c>
      <c r="AI262" s="425">
        <f>'Key inputs_Refineries'!$H$186</f>
        <v>0.6</v>
      </c>
      <c r="AJ262" s="425">
        <f>'Key inputs_Refineries'!$H$186</f>
        <v>0.6</v>
      </c>
      <c r="AK262" s="425">
        <f>'Key inputs_Refineries'!$H$186</f>
        <v>0.6</v>
      </c>
      <c r="AL262" s="425">
        <f>'Key inputs_Refineries'!$H$186</f>
        <v>0.6</v>
      </c>
    </row>
    <row r="263" spans="1:38">
      <c r="C263" t="str">
        <f>Commodities!$C$85</f>
        <v>UPSBIO</v>
      </c>
      <c r="G263" s="4" t="s">
        <v>702</v>
      </c>
      <c r="H263" t="s">
        <v>661</v>
      </c>
      <c r="I263">
        <v>2019</v>
      </c>
      <c r="J263" t="s">
        <v>650</v>
      </c>
      <c r="K263" s="173" cm="1">
        <f t="array" ref="K263">IFERROR(SUMIFS('Key inputs_Refineries'!E$85:E$164,'Key inputs_Refineries'!$C$85:$C$164,$C263,'Key inputs_Refineries'!$B$85:$B$164,"Other processes")/SUM(SUMIFS('Key inputs_Refineries'!E$85:E$164,'Key inputs_Refineries'!$C$85:$C$164,$C263:$C264,'Key inputs_Refineries'!$B$85:$B$164,"Other processes")),0)</f>
        <v>0</v>
      </c>
      <c r="L263" s="173" cm="1">
        <f t="array" ref="L263">IFERROR(SUMIFS('Key inputs_Refineries'!F$85:F$164,'Key inputs_Refineries'!$C$85:$C$164,$C263,'Key inputs_Refineries'!$B$85:$B$164,"Other processes")/SUM(SUMIFS('Key inputs_Refineries'!F$85:F$164,'Key inputs_Refineries'!$C$85:$C$164,$C263:$C264,'Key inputs_Refineries'!$B$85:$B$164,"Other processes")),0)</f>
        <v>0</v>
      </c>
      <c r="M263" s="173" cm="1">
        <f t="array" ref="M263">IFERROR(SUMIFS('Key inputs_Refineries'!G$85:G$164,'Key inputs_Refineries'!$C$85:$C$164,$C263,'Key inputs_Refineries'!$B$85:$B$164,"Other processes")/SUM(SUMIFS('Key inputs_Refineries'!G$85:G$164,'Key inputs_Refineries'!$C$85:$C$164,$C263:$C264,'Key inputs_Refineries'!$B$85:$B$164,"Other processes")),0)</f>
        <v>0</v>
      </c>
      <c r="N263" s="173" cm="1">
        <f t="array" ref="N263">IFERROR(SUMIFS('Key inputs_Refineries'!H$85:H$164,'Key inputs_Refineries'!$C$85:$C$164,$C263,'Key inputs_Refineries'!$B$85:$B$164,"Other processes")/SUM(SUMIFS('Key inputs_Refineries'!H$85:H$164,'Key inputs_Refineries'!$C$85:$C$164,$C263:$C264,'Key inputs_Refineries'!$B$85:$B$164,"Other processes")),0)</f>
        <v>0</v>
      </c>
      <c r="O263" s="173" cm="1">
        <f t="array" ref="O263">IFERROR(SUMIFS('Key inputs_Refineries'!I$85:I$164,'Key inputs_Refineries'!$C$85:$C$164,$C263,'Key inputs_Refineries'!$B$85:$B$164,"Other processes")/SUM(SUMIFS('Key inputs_Refineries'!I$85:I$164,'Key inputs_Refineries'!$C$85:$C$164,$C263:$C264,'Key inputs_Refineries'!$B$85:$B$164,"Other processes")),0)</f>
        <v>0</v>
      </c>
      <c r="P263" s="173" cm="1">
        <f t="array" ref="P263">IFERROR(SUMIFS('Key inputs_Refineries'!J$85:J$164,'Key inputs_Refineries'!$C$85:$C$164,$C263,'Key inputs_Refineries'!$B$85:$B$164,"Other processes")/SUM(SUMIFS('Key inputs_Refineries'!J$85:J$164,'Key inputs_Refineries'!$C$85:$C$164,$C263:$C264,'Key inputs_Refineries'!$B$85:$B$164,"Other processes")),0)</f>
        <v>0</v>
      </c>
      <c r="Q263" s="173" cm="1">
        <f t="array" ref="Q263">IFERROR(SUMIFS('Key inputs_Refineries'!K$85:K$164,'Key inputs_Refineries'!$C$85:$C$164,$C263,'Key inputs_Refineries'!$B$85:$B$164,"Other processes")/SUM(SUMIFS('Key inputs_Refineries'!K$85:K$164,'Key inputs_Refineries'!$C$85:$C$164,$C263:$C264,'Key inputs_Refineries'!$B$85:$B$164,"Other processes")),0)</f>
        <v>0</v>
      </c>
      <c r="R263" s="173" cm="1">
        <f t="array" ref="R263">IFERROR(SUMIFS('Key inputs_Refineries'!L$85:L$164,'Key inputs_Refineries'!$C$85:$C$164,$C263,'Key inputs_Refineries'!$B$85:$B$164,"Other processes")/SUM(SUMIFS('Key inputs_Refineries'!L$85:L$164,'Key inputs_Refineries'!$C$85:$C$164,$C263:$C264,'Key inputs_Refineries'!$B$85:$B$164,"Other processes")),0)</f>
        <v>0</v>
      </c>
      <c r="S263" s="173" cm="1">
        <f t="array" ref="S263">IFERROR(SUMIFS('Key inputs_Refineries'!M$85:M$164,'Key inputs_Refineries'!$C$85:$C$164,$C263,'Key inputs_Refineries'!$B$85:$B$164,"Other processes")/SUM(SUMIFS('Key inputs_Refineries'!M$85:M$164,'Key inputs_Refineries'!$C$85:$C$164,$C263:$C264,'Key inputs_Refineries'!$B$85:$B$164,"Other processes")),0)</f>
        <v>0</v>
      </c>
      <c r="T263" s="173" cm="1">
        <f t="array" ref="T263">IFERROR(SUMIFS('Key inputs_Refineries'!N$85:N$164,'Key inputs_Refineries'!$C$85:$C$164,$C263,'Key inputs_Refineries'!$B$85:$B$164,"Other processes")/SUM(SUMIFS('Key inputs_Refineries'!N$85:N$164,'Key inputs_Refineries'!$C$85:$C$164,$C263:$C264,'Key inputs_Refineries'!$B$85:$B$164,"Other processes")),0)</f>
        <v>0</v>
      </c>
      <c r="U263" s="173" cm="1">
        <f t="array" ref="U263">IFERROR(SUMIFS('Key inputs_Refineries'!O$85:O$164,'Key inputs_Refineries'!$C$85:$C$164,$C263,'Key inputs_Refineries'!$B$85:$B$164,"Other processes")/SUM(SUMIFS('Key inputs_Refineries'!O$85:O$164,'Key inputs_Refineries'!$C$85:$C$164,$C263:$C264,'Key inputs_Refineries'!$B$85:$B$164,"Other processes")),0)</f>
        <v>0</v>
      </c>
      <c r="V263" s="173" cm="1">
        <f t="array" ref="V263">IFERROR(SUMIFS('Key inputs_Refineries'!P$85:P$164,'Key inputs_Refineries'!$C$85:$C$164,$C263,'Key inputs_Refineries'!$B$85:$B$164,"Other processes")/SUM(SUMIFS('Key inputs_Refineries'!P$85:P$164,'Key inputs_Refineries'!$C$85:$C$164,$C263:$C264,'Key inputs_Refineries'!$B$85:$B$164,"Other processes")),0)</f>
        <v>0</v>
      </c>
      <c r="W263" s="173" cm="1">
        <f t="array" ref="W263">IFERROR(SUMIFS('Key inputs_Refineries'!Q$85:Q$164,'Key inputs_Refineries'!$C$85:$C$164,$C263,'Key inputs_Refineries'!$B$85:$B$164,"Other processes")/SUM(SUMIFS('Key inputs_Refineries'!Q$85:Q$164,'Key inputs_Refineries'!$C$85:$C$164,$C263:$C264,'Key inputs_Refineries'!$B$85:$B$164,"Other processes")),0)</f>
        <v>0</v>
      </c>
      <c r="X263" s="173" cm="1">
        <f t="array" ref="X263">IFERROR(SUMIFS('Key inputs_Refineries'!R$85:R$164,'Key inputs_Refineries'!$C$85:$C$164,$C263,'Key inputs_Refineries'!$B$85:$B$164,"Other processes")/SUM(SUMIFS('Key inputs_Refineries'!R$85:R$164,'Key inputs_Refineries'!$C$85:$C$164,$C263:$C264,'Key inputs_Refineries'!$B$85:$B$164,"Other processes")),0)</f>
        <v>0</v>
      </c>
      <c r="Y263" s="173" cm="1">
        <f t="array" ref="Y263">IFERROR(SUMIFS('Key inputs_Refineries'!S$85:S$164,'Key inputs_Refineries'!$C$85:$C$164,$C263,'Key inputs_Refineries'!$B$85:$B$164,"Other processes")/SUM(SUMIFS('Key inputs_Refineries'!S$85:S$164,'Key inputs_Refineries'!$C$85:$C$164,$C263:$C264,'Key inputs_Refineries'!$B$85:$B$164,"Other processes")),0)</f>
        <v>1</v>
      </c>
      <c r="Z263" s="173" cm="1">
        <f t="array" ref="Z263">IFERROR(SUMIFS('Key inputs_Refineries'!T$85:T$164,'Key inputs_Refineries'!$C$85:$C$164,$C263,'Key inputs_Refineries'!$B$85:$B$164,"Other processes")/SUM(SUMIFS('Key inputs_Refineries'!T$85:T$164,'Key inputs_Refineries'!$C$85:$C$164,$C263:$C264,'Key inputs_Refineries'!$B$85:$B$164,"Other processes")),0)</f>
        <v>0</v>
      </c>
      <c r="AA263" s="173" cm="1">
        <f t="array" ref="AA263">IFERROR(SUMIFS('Key inputs_Refineries'!U$85:U$164,'Key inputs_Refineries'!$C$85:$C$164,$C263,'Key inputs_Refineries'!$B$85:$B$164,"Other processes")/SUM(SUMIFS('Key inputs_Refineries'!U$85:U$164,'Key inputs_Refineries'!$C$85:$C$164,$C263:$C264,'Key inputs_Refineries'!$B$85:$B$164,"Other processes")),0)</f>
        <v>1</v>
      </c>
      <c r="AB263" s="173" cm="1">
        <f t="array" ref="AB263">IFERROR(SUMIFS('Key inputs_Refineries'!V$85:V$164,'Key inputs_Refineries'!$C$85:$C$164,$C263,'Key inputs_Refineries'!$B$85:$B$164,"Other processes")/SUM(SUMIFS('Key inputs_Refineries'!V$85:V$164,'Key inputs_Refineries'!$C$85:$C$164,$C263:$C264,'Key inputs_Refineries'!$B$85:$B$164,"Other processes")),0)</f>
        <v>0</v>
      </c>
      <c r="AC263" s="173" cm="1">
        <f t="array" ref="AC263">IFERROR(SUMIFS('Key inputs_Refineries'!W$85:W$164,'Key inputs_Refineries'!$C$85:$C$164,$C263,'Key inputs_Refineries'!$B$85:$B$164,"Other processes")/SUM(SUMIFS('Key inputs_Refineries'!W$85:W$164,'Key inputs_Refineries'!$C$85:$C$164,$C263:$C264,'Key inputs_Refineries'!$B$85:$B$164,"Other processes")),0)</f>
        <v>0</v>
      </c>
      <c r="AD263" s="173" cm="1">
        <f t="array" ref="AD263">IFERROR(SUMIFS('Key inputs_Refineries'!X$85:X$164,'Key inputs_Refineries'!$C$85:$C$164,$C263,'Key inputs_Refineries'!$B$85:$B$164,"Other processes")/SUM(SUMIFS('Key inputs_Refineries'!X$85:X$164,'Key inputs_Refineries'!$C$85:$C$164,$C263:$C264,'Key inputs_Refineries'!$B$85:$B$164,"Other processes")),0)</f>
        <v>0</v>
      </c>
      <c r="AE263" s="173" cm="1">
        <f t="array" ref="AE263">IFERROR(SUMIFS('Key inputs_Refineries'!Y$85:Y$164,'Key inputs_Refineries'!$C$85:$C$164,$C263,'Key inputs_Refineries'!$B$85:$B$164,"Other processes")/SUM(SUMIFS('Key inputs_Refineries'!Y$85:Y$164,'Key inputs_Refineries'!$C$85:$C$164,$C263:$C264,'Key inputs_Refineries'!$B$85:$B$164,"Other processes")),0)</f>
        <v>0</v>
      </c>
      <c r="AF263" s="173" cm="1">
        <f t="array" ref="AF263">IFERROR(SUMIFS('Key inputs_Refineries'!Z$85:Z$164,'Key inputs_Refineries'!$C$85:$C$164,$C263,'Key inputs_Refineries'!$B$85:$B$164,"Other processes")/SUM(SUMIFS('Key inputs_Refineries'!Z$85:Z$164,'Key inputs_Refineries'!$C$85:$C$164,$C263:$C264,'Key inputs_Refineries'!$B$85:$B$164,"Other processes")),0)</f>
        <v>0</v>
      </c>
      <c r="AG263" s="173" cm="1">
        <f t="array" ref="AG263">IFERROR(SUMIFS('Key inputs_Refineries'!AA$85:AA$164,'Key inputs_Refineries'!$C$85:$C$164,$C263,'Key inputs_Refineries'!$B$85:$B$164,"Other processes")/SUM(SUMIFS('Key inputs_Refineries'!AA$85:AA$164,'Key inputs_Refineries'!$C$85:$C$164,$C263:$C264,'Key inputs_Refineries'!$B$85:$B$164,"Other processes")),0)</f>
        <v>0</v>
      </c>
      <c r="AH263" s="173" cm="1">
        <f t="array" ref="AH263">IFERROR(SUMIFS('Key inputs_Refineries'!AB$85:AB$164,'Key inputs_Refineries'!$C$85:$C$164,$C263,'Key inputs_Refineries'!$B$85:$B$164,"Other processes")/SUM(SUMIFS('Key inputs_Refineries'!AB$85:AB$164,'Key inputs_Refineries'!$C$85:$C$164,$C263:$C264,'Key inputs_Refineries'!$B$85:$B$164,"Other processes")),0)</f>
        <v>0</v>
      </c>
      <c r="AI263" s="173" cm="1">
        <f t="array" ref="AI263">IFERROR(SUMIFS('Key inputs_Refineries'!AC$85:AC$164,'Key inputs_Refineries'!$C$85:$C$164,$C263,'Key inputs_Refineries'!$B$85:$B$164,"Other processes")/SUM(SUMIFS('Key inputs_Refineries'!AC$85:AC$164,'Key inputs_Refineries'!$C$85:$C$164,$C263:$C264,'Key inputs_Refineries'!$B$85:$B$164,"Other processes")),0)</f>
        <v>0</v>
      </c>
      <c r="AJ263" s="173" cm="1">
        <f t="array" ref="AJ263">IFERROR(SUMIFS('Key inputs_Refineries'!AD$85:AD$164,'Key inputs_Refineries'!$C$85:$C$164,$C263,'Key inputs_Refineries'!$B$85:$B$164,"Other processes")/SUM(SUMIFS('Key inputs_Refineries'!AD$85:AD$164,'Key inputs_Refineries'!$C$85:$C$164,$C263:$C264,'Key inputs_Refineries'!$B$85:$B$164,"Other processes")),0)</f>
        <v>0</v>
      </c>
      <c r="AK263" s="173" cm="1">
        <f t="array" ref="AK263">IFERROR(SUMIFS('Key inputs_Refineries'!AE$85:AE$164,'Key inputs_Refineries'!$C$85:$C$164,$C263,'Key inputs_Refineries'!$B$85:$B$164,"Other processes")/SUM(SUMIFS('Key inputs_Refineries'!AE$85:AE$164,'Key inputs_Refineries'!$C$85:$C$164,$C263:$C264,'Key inputs_Refineries'!$B$85:$B$164,"Other processes")),0)</f>
        <v>0</v>
      </c>
      <c r="AL263" s="173" cm="1">
        <f t="array" ref="AL263">IFERROR(SUMIFS('Key inputs_Refineries'!AF$85:AF$164,'Key inputs_Refineries'!$C$85:$C$164,$C263,'Key inputs_Refineries'!$B$85:$B$164,"Other processes")/SUM(SUMIFS('Key inputs_Refineries'!AF$85:AF$164,'Key inputs_Refineries'!$C$85:$C$164,$C263:$C264,'Key inputs_Refineries'!$B$85:$B$164,"Other processes")),0)</f>
        <v>0</v>
      </c>
    </row>
    <row r="264" spans="1:38">
      <c r="C264" t="str">
        <f>Commodities!$C$101</f>
        <v>UPSWAS</v>
      </c>
      <c r="G264" s="4" t="s">
        <v>702</v>
      </c>
      <c r="H264" t="s">
        <v>661</v>
      </c>
      <c r="I264">
        <v>2019</v>
      </c>
      <c r="J264" t="s">
        <v>650</v>
      </c>
      <c r="K264" s="173">
        <f t="shared" ref="K264:AL264" si="19">1-K263</f>
        <v>1</v>
      </c>
      <c r="L264" s="173">
        <f t="shared" si="19"/>
        <v>1</v>
      </c>
      <c r="M264" s="173">
        <f t="shared" si="19"/>
        <v>1</v>
      </c>
      <c r="N264" s="173">
        <f t="shared" si="19"/>
        <v>1</v>
      </c>
      <c r="O264" s="173">
        <f t="shared" si="19"/>
        <v>1</v>
      </c>
      <c r="P264" s="173">
        <f t="shared" si="19"/>
        <v>1</v>
      </c>
      <c r="Q264" s="173">
        <f t="shared" si="19"/>
        <v>1</v>
      </c>
      <c r="R264" s="173">
        <f t="shared" si="19"/>
        <v>1</v>
      </c>
      <c r="S264" s="173">
        <f t="shared" si="19"/>
        <v>1</v>
      </c>
      <c r="T264" s="173">
        <f t="shared" si="19"/>
        <v>1</v>
      </c>
      <c r="U264" s="173">
        <f t="shared" si="19"/>
        <v>1</v>
      </c>
      <c r="V264" s="173">
        <f t="shared" si="19"/>
        <v>1</v>
      </c>
      <c r="W264" s="173">
        <f t="shared" si="19"/>
        <v>1</v>
      </c>
      <c r="X264" s="173">
        <f t="shared" si="19"/>
        <v>1</v>
      </c>
      <c r="Y264" s="173">
        <f t="shared" si="19"/>
        <v>0</v>
      </c>
      <c r="Z264" s="173">
        <f t="shared" si="19"/>
        <v>1</v>
      </c>
      <c r="AA264" s="173">
        <f t="shared" si="19"/>
        <v>0</v>
      </c>
      <c r="AB264" s="173">
        <f t="shared" si="19"/>
        <v>1</v>
      </c>
      <c r="AC264" s="173">
        <f t="shared" si="19"/>
        <v>1</v>
      </c>
      <c r="AD264" s="173">
        <f t="shared" si="19"/>
        <v>1</v>
      </c>
      <c r="AE264" s="173">
        <f t="shared" si="19"/>
        <v>1</v>
      </c>
      <c r="AF264" s="173">
        <f t="shared" si="19"/>
        <v>1</v>
      </c>
      <c r="AG264" s="173">
        <f t="shared" si="19"/>
        <v>1</v>
      </c>
      <c r="AH264" s="173">
        <f t="shared" si="19"/>
        <v>1</v>
      </c>
      <c r="AI264" s="173">
        <f t="shared" si="19"/>
        <v>1</v>
      </c>
      <c r="AJ264" s="173">
        <f t="shared" si="19"/>
        <v>1</v>
      </c>
      <c r="AK264" s="173">
        <f t="shared" si="19"/>
        <v>1</v>
      </c>
      <c r="AL264" s="173">
        <f t="shared" si="19"/>
        <v>1</v>
      </c>
    </row>
    <row r="265" spans="1:38">
      <c r="C265" t="str">
        <f>Commodities!$C$85</f>
        <v>UPSBIO</v>
      </c>
      <c r="G265" s="4" t="s">
        <v>702</v>
      </c>
      <c r="H265" t="s">
        <v>661</v>
      </c>
      <c r="I265">
        <v>2025</v>
      </c>
      <c r="J265" t="s">
        <v>650</v>
      </c>
      <c r="K265" s="426">
        <v>1</v>
      </c>
      <c r="L265" s="426">
        <v>1</v>
      </c>
      <c r="M265" s="426">
        <v>1</v>
      </c>
      <c r="N265" s="426">
        <v>1</v>
      </c>
      <c r="O265" s="426">
        <v>1</v>
      </c>
      <c r="P265" s="426">
        <v>1</v>
      </c>
      <c r="Q265" s="426">
        <v>1</v>
      </c>
      <c r="R265" s="426">
        <v>1</v>
      </c>
      <c r="S265" s="426">
        <v>1</v>
      </c>
      <c r="T265" s="426">
        <v>1</v>
      </c>
      <c r="U265" s="426">
        <v>1</v>
      </c>
      <c r="V265" s="426">
        <v>1</v>
      </c>
      <c r="W265" s="426">
        <v>1</v>
      </c>
      <c r="X265" s="426">
        <v>1</v>
      </c>
      <c r="Y265" s="426">
        <v>1</v>
      </c>
      <c r="Z265" s="426">
        <v>1</v>
      </c>
      <c r="AA265" s="426">
        <v>1</v>
      </c>
      <c r="AB265" s="426">
        <v>1</v>
      </c>
      <c r="AC265" s="426">
        <v>1</v>
      </c>
      <c r="AD265" s="426">
        <v>1</v>
      </c>
      <c r="AE265" s="426">
        <v>1</v>
      </c>
      <c r="AF265" s="426">
        <v>1</v>
      </c>
      <c r="AG265" s="426">
        <v>1</v>
      </c>
      <c r="AH265" s="426">
        <v>1</v>
      </c>
      <c r="AI265" s="426">
        <v>1</v>
      </c>
      <c r="AJ265" s="426">
        <v>1</v>
      </c>
      <c r="AK265" s="426">
        <v>1</v>
      </c>
      <c r="AL265" s="426">
        <v>1</v>
      </c>
    </row>
    <row r="266" spans="1:38">
      <c r="C266" t="str">
        <f>Commodities!$C$101</f>
        <v>UPSWAS</v>
      </c>
      <c r="G266" s="4" t="s">
        <v>702</v>
      </c>
      <c r="H266" t="s">
        <v>661</v>
      </c>
      <c r="I266">
        <v>2025</v>
      </c>
      <c r="J266" t="s">
        <v>650</v>
      </c>
      <c r="K266" s="426">
        <v>1</v>
      </c>
      <c r="L266" s="426">
        <v>1</v>
      </c>
      <c r="M266" s="426">
        <v>1</v>
      </c>
      <c r="N266" s="426">
        <v>1</v>
      </c>
      <c r="O266" s="426">
        <v>1</v>
      </c>
      <c r="P266" s="426">
        <v>1</v>
      </c>
      <c r="Q266" s="426">
        <v>1</v>
      </c>
      <c r="R266" s="426">
        <v>1</v>
      </c>
      <c r="S266" s="426">
        <v>1</v>
      </c>
      <c r="T266" s="426">
        <v>1</v>
      </c>
      <c r="U266" s="426">
        <v>1</v>
      </c>
      <c r="V266" s="426">
        <v>1</v>
      </c>
      <c r="W266" s="426">
        <v>1</v>
      </c>
      <c r="X266" s="426">
        <v>1</v>
      </c>
      <c r="Y266" s="426">
        <v>1</v>
      </c>
      <c r="Z266" s="426">
        <v>1</v>
      </c>
      <c r="AA266" s="426">
        <v>1</v>
      </c>
      <c r="AB266" s="426">
        <v>1</v>
      </c>
      <c r="AC266" s="426">
        <v>1</v>
      </c>
      <c r="AD266" s="426">
        <v>1</v>
      </c>
      <c r="AE266" s="426">
        <v>1</v>
      </c>
      <c r="AF266" s="426">
        <v>1</v>
      </c>
      <c r="AG266" s="426">
        <v>1</v>
      </c>
      <c r="AH266" s="426">
        <v>1</v>
      </c>
      <c r="AI266" s="426">
        <v>1</v>
      </c>
      <c r="AJ266" s="426">
        <v>1</v>
      </c>
      <c r="AK266" s="426">
        <v>1</v>
      </c>
      <c r="AL266" s="426">
        <v>1</v>
      </c>
    </row>
    <row r="267" spans="1:38">
      <c r="C267" t="str">
        <f>Commodities!$C$85</f>
        <v>UPSBIO</v>
      </c>
      <c r="G267" s="4" t="s">
        <v>702</v>
      </c>
      <c r="H267" t="s">
        <v>661</v>
      </c>
      <c r="I267">
        <v>2050</v>
      </c>
      <c r="J267" t="s">
        <v>650</v>
      </c>
      <c r="K267" s="426">
        <v>1</v>
      </c>
      <c r="L267" s="426">
        <v>1</v>
      </c>
      <c r="M267" s="426">
        <v>1</v>
      </c>
      <c r="N267" s="426">
        <v>1</v>
      </c>
      <c r="O267" s="426">
        <v>1</v>
      </c>
      <c r="P267" s="426">
        <v>1</v>
      </c>
      <c r="Q267" s="426">
        <v>1</v>
      </c>
      <c r="R267" s="426">
        <v>1</v>
      </c>
      <c r="S267" s="426">
        <v>1</v>
      </c>
      <c r="T267" s="426">
        <v>1</v>
      </c>
      <c r="U267" s="426">
        <v>1</v>
      </c>
      <c r="V267" s="426">
        <v>1</v>
      </c>
      <c r="W267" s="426">
        <v>1</v>
      </c>
      <c r="X267" s="426">
        <v>1</v>
      </c>
      <c r="Y267" s="426">
        <v>1</v>
      </c>
      <c r="Z267" s="426">
        <v>1</v>
      </c>
      <c r="AA267" s="426">
        <v>1</v>
      </c>
      <c r="AB267" s="426">
        <v>1</v>
      </c>
      <c r="AC267" s="426">
        <v>1</v>
      </c>
      <c r="AD267" s="426">
        <v>1</v>
      </c>
      <c r="AE267" s="426">
        <v>1</v>
      </c>
      <c r="AF267" s="426">
        <v>1</v>
      </c>
      <c r="AG267" s="426">
        <v>1</v>
      </c>
      <c r="AH267" s="426">
        <v>1</v>
      </c>
      <c r="AI267" s="426">
        <v>1</v>
      </c>
      <c r="AJ267" s="426">
        <v>1</v>
      </c>
      <c r="AK267" s="426">
        <v>1</v>
      </c>
      <c r="AL267" s="426">
        <v>1</v>
      </c>
    </row>
    <row r="268" spans="1:38">
      <c r="C268" t="str">
        <f>Commodities!$C$101</f>
        <v>UPSWAS</v>
      </c>
      <c r="G268" s="4" t="s">
        <v>702</v>
      </c>
      <c r="H268" t="s">
        <v>661</v>
      </c>
      <c r="I268">
        <v>2050</v>
      </c>
      <c r="J268" t="s">
        <v>650</v>
      </c>
      <c r="K268" s="426">
        <v>1</v>
      </c>
      <c r="L268" s="426">
        <v>1</v>
      </c>
      <c r="M268" s="426">
        <v>1</v>
      </c>
      <c r="N268" s="426">
        <v>1</v>
      </c>
      <c r="O268" s="426">
        <v>1</v>
      </c>
      <c r="P268" s="426">
        <v>1</v>
      </c>
      <c r="Q268" s="426">
        <v>1</v>
      </c>
      <c r="R268" s="426">
        <v>1</v>
      </c>
      <c r="S268" s="426">
        <v>1</v>
      </c>
      <c r="T268" s="426">
        <v>1</v>
      </c>
      <c r="U268" s="426">
        <v>1</v>
      </c>
      <c r="V268" s="426">
        <v>1</v>
      </c>
      <c r="W268" s="426">
        <v>1</v>
      </c>
      <c r="X268" s="426">
        <v>1</v>
      </c>
      <c r="Y268" s="426">
        <v>1</v>
      </c>
      <c r="Z268" s="426">
        <v>1</v>
      </c>
      <c r="AA268" s="426">
        <v>1</v>
      </c>
      <c r="AB268" s="426">
        <v>1</v>
      </c>
      <c r="AC268" s="426">
        <v>1</v>
      </c>
      <c r="AD268" s="426">
        <v>1</v>
      </c>
      <c r="AE268" s="426">
        <v>1</v>
      </c>
      <c r="AF268" s="426">
        <v>1</v>
      </c>
      <c r="AG268" s="426">
        <v>1</v>
      </c>
      <c r="AH268" s="426">
        <v>1</v>
      </c>
      <c r="AI268" s="426">
        <v>1</v>
      </c>
      <c r="AJ268" s="426">
        <v>1</v>
      </c>
      <c r="AK268" s="426">
        <v>1</v>
      </c>
      <c r="AL268" s="426">
        <v>1</v>
      </c>
    </row>
    <row r="269" spans="1:38">
      <c r="D269" t="str">
        <f>Commodities!$C$106</f>
        <v>UREFOTH</v>
      </c>
    </row>
    <row r="270" spans="1:38">
      <c r="A270" s="4" t="str">
        <f>AO25</f>
        <v>U-TRF-OILREFOTH_COA00</v>
      </c>
      <c r="B270" s="4" t="str">
        <f>AP25</f>
        <v>UPS Transformation: Oil refinery other processes Coal - Existing</v>
      </c>
      <c r="C270" s="4"/>
      <c r="D270" s="4"/>
      <c r="E270" s="4"/>
      <c r="F270" s="4"/>
      <c r="G270" s="4" t="s">
        <v>695</v>
      </c>
      <c r="H270" s="4"/>
      <c r="I270" s="4"/>
      <c r="J270" s="4" t="s">
        <v>2665</v>
      </c>
      <c r="K270" s="333">
        <v>1</v>
      </c>
      <c r="L270" s="333">
        <v>1</v>
      </c>
      <c r="M270" s="333">
        <v>1</v>
      </c>
      <c r="N270" s="333">
        <v>1</v>
      </c>
      <c r="O270" s="333">
        <v>1</v>
      </c>
      <c r="P270" s="333">
        <v>1</v>
      </c>
      <c r="Q270" s="333">
        <v>1</v>
      </c>
      <c r="R270" s="333">
        <v>1</v>
      </c>
      <c r="S270" s="333">
        <v>1</v>
      </c>
      <c r="T270" s="333">
        <v>1</v>
      </c>
      <c r="U270" s="333">
        <v>1</v>
      </c>
      <c r="V270" s="333">
        <v>1</v>
      </c>
      <c r="W270" s="333">
        <v>1</v>
      </c>
      <c r="X270" s="333">
        <v>1</v>
      </c>
      <c r="Y270" s="333">
        <v>1</v>
      </c>
      <c r="Z270" s="333">
        <v>1</v>
      </c>
      <c r="AA270" s="333">
        <v>1</v>
      </c>
      <c r="AB270" s="333">
        <v>1</v>
      </c>
      <c r="AC270" s="333">
        <v>1</v>
      </c>
      <c r="AD270" s="333">
        <v>1</v>
      </c>
      <c r="AE270" s="333">
        <v>1</v>
      </c>
      <c r="AF270" s="333">
        <v>1</v>
      </c>
      <c r="AG270" s="333">
        <v>1</v>
      </c>
      <c r="AH270" s="333">
        <v>1</v>
      </c>
      <c r="AI270" s="333">
        <v>1</v>
      </c>
      <c r="AJ270" s="333">
        <v>1</v>
      </c>
      <c r="AK270" s="333">
        <v>1</v>
      </c>
      <c r="AL270" s="333">
        <v>1</v>
      </c>
    </row>
    <row r="271" spans="1:38">
      <c r="C271" s="4"/>
      <c r="D271" s="4"/>
      <c r="E271" s="4"/>
      <c r="F271" s="4"/>
      <c r="G271" s="4" t="s">
        <v>697</v>
      </c>
      <c r="H271" s="4"/>
      <c r="I271" s="4"/>
      <c r="J271" s="4" t="s">
        <v>698</v>
      </c>
      <c r="K271" s="424">
        <f>'Key inputs_Refineries'!$F$187</f>
        <v>15</v>
      </c>
      <c r="L271" s="424">
        <f>'Key inputs_Refineries'!$F$187</f>
        <v>15</v>
      </c>
      <c r="M271" s="424">
        <f>'Key inputs_Refineries'!$F$187</f>
        <v>15</v>
      </c>
      <c r="N271" s="424">
        <f>'Key inputs_Refineries'!$F$187</f>
        <v>15</v>
      </c>
      <c r="O271" s="424">
        <f>'Key inputs_Refineries'!$F$187</f>
        <v>15</v>
      </c>
      <c r="P271" s="424">
        <f>'Key inputs_Refineries'!$F$187</f>
        <v>15</v>
      </c>
      <c r="Q271" s="424">
        <f>'Key inputs_Refineries'!$F$187</f>
        <v>15</v>
      </c>
      <c r="R271" s="424">
        <f>'Key inputs_Refineries'!$F$187</f>
        <v>15</v>
      </c>
      <c r="S271" s="424">
        <f>'Key inputs_Refineries'!$F$187</f>
        <v>15</v>
      </c>
      <c r="T271" s="424">
        <f>'Key inputs_Refineries'!$F$187</f>
        <v>15</v>
      </c>
      <c r="U271" s="424">
        <f>'Key inputs_Refineries'!$F$187</f>
        <v>15</v>
      </c>
      <c r="V271" s="424">
        <f>'Key inputs_Refineries'!$F$187</f>
        <v>15</v>
      </c>
      <c r="W271" s="424">
        <f>'Key inputs_Refineries'!$F$187</f>
        <v>15</v>
      </c>
      <c r="X271" s="424">
        <f>'Key inputs_Refineries'!$F$187</f>
        <v>15</v>
      </c>
      <c r="Y271" s="424">
        <f>'Key inputs_Refineries'!$F$187</f>
        <v>15</v>
      </c>
      <c r="Z271" s="424">
        <f>'Key inputs_Refineries'!$F$187</f>
        <v>15</v>
      </c>
      <c r="AA271" s="424">
        <f>'Key inputs_Refineries'!$F$187</f>
        <v>15</v>
      </c>
      <c r="AB271" s="424">
        <f>'Key inputs_Refineries'!$F$187</f>
        <v>15</v>
      </c>
      <c r="AC271" s="424">
        <f>'Key inputs_Refineries'!$F$187</f>
        <v>15</v>
      </c>
      <c r="AD271" s="424">
        <f>'Key inputs_Refineries'!$F$187</f>
        <v>15</v>
      </c>
      <c r="AE271" s="424">
        <f>'Key inputs_Refineries'!$F$187</f>
        <v>15</v>
      </c>
      <c r="AF271" s="424">
        <f>'Key inputs_Refineries'!$F$187</f>
        <v>15</v>
      </c>
      <c r="AG271" s="424">
        <f>'Key inputs_Refineries'!$F$187</f>
        <v>15</v>
      </c>
      <c r="AH271" s="424">
        <f>'Key inputs_Refineries'!$F$187</f>
        <v>15</v>
      </c>
      <c r="AI271" s="424">
        <f>'Key inputs_Refineries'!$F$187</f>
        <v>15</v>
      </c>
      <c r="AJ271" s="424">
        <f>'Key inputs_Refineries'!$F$187</f>
        <v>15</v>
      </c>
      <c r="AK271" s="424">
        <f>'Key inputs_Refineries'!$F$187</f>
        <v>15</v>
      </c>
      <c r="AL271" s="424">
        <f>'Key inputs_Refineries'!$F$187</f>
        <v>15</v>
      </c>
    </row>
    <row r="272" spans="1:38">
      <c r="C272" s="4"/>
      <c r="D272" s="4"/>
      <c r="E272" s="4"/>
      <c r="F272" s="4"/>
      <c r="G272" s="4" t="s">
        <v>699</v>
      </c>
      <c r="H272" s="4"/>
      <c r="I272" s="4">
        <v>2019</v>
      </c>
      <c r="J272" s="4" t="s">
        <v>112</v>
      </c>
      <c r="K272" s="347">
        <f>-SUM(SUMIFS('Key inputs_Refineries'!E$85:E$164,'Key inputs_Refineries'!$C$85:$C$164,$C280,'Key inputs_Refineries'!$B$85:$B$164,"Other processes"))*K279/10^3</f>
        <v>0</v>
      </c>
      <c r="L272" s="347">
        <f>-SUM(SUMIFS('Key inputs_Refineries'!F$85:F$164,'Key inputs_Refineries'!$C$85:$C$164,$C280,'Key inputs_Refineries'!$B$85:$B$164,"Other processes"))*L279/10^3</f>
        <v>0</v>
      </c>
      <c r="M272" s="347">
        <f>-SUM(SUMIFS('Key inputs_Refineries'!G$85:G$164,'Key inputs_Refineries'!$C$85:$C$164,$C280,'Key inputs_Refineries'!$B$85:$B$164,"Other processes"))*M279/10^3</f>
        <v>0</v>
      </c>
      <c r="N272" s="347">
        <f>-SUM(SUMIFS('Key inputs_Refineries'!H$85:H$164,'Key inputs_Refineries'!$C$85:$C$164,$C280,'Key inputs_Refineries'!$B$85:$B$164,"Other processes"))*N279/10^3</f>
        <v>0</v>
      </c>
      <c r="O272" s="347">
        <f>-SUM(SUMIFS('Key inputs_Refineries'!I$85:I$164,'Key inputs_Refineries'!$C$85:$C$164,$C280,'Key inputs_Refineries'!$B$85:$B$164,"Other processes"))*O279/10^3</f>
        <v>0</v>
      </c>
      <c r="P272" s="347">
        <f>-SUM(SUMIFS('Key inputs_Refineries'!J$85:J$164,'Key inputs_Refineries'!$C$85:$C$164,$C280,'Key inputs_Refineries'!$B$85:$B$164,"Other processes"))*P279/10^3</f>
        <v>0</v>
      </c>
      <c r="Q272" s="347">
        <f>-SUM(SUMIFS('Key inputs_Refineries'!K$85:K$164,'Key inputs_Refineries'!$C$85:$C$164,$C280,'Key inputs_Refineries'!$B$85:$B$164,"Other processes"))*Q279/10^3</f>
        <v>0</v>
      </c>
      <c r="R272" s="347">
        <f>-SUM(SUMIFS('Key inputs_Refineries'!L$85:L$164,'Key inputs_Refineries'!$C$85:$C$164,$C280,'Key inputs_Refineries'!$B$85:$B$164,"Other processes"))*R279/10^3</f>
        <v>0</v>
      </c>
      <c r="S272" s="347">
        <f>-SUM(SUMIFS('Key inputs_Refineries'!M$85:M$164,'Key inputs_Refineries'!$C$85:$C$164,$C280,'Key inputs_Refineries'!$B$85:$B$164,"Other processes"))*S279/10^3</f>
        <v>0</v>
      </c>
      <c r="T272" s="347">
        <f>-SUM(SUMIFS('Key inputs_Refineries'!N$85:N$164,'Key inputs_Refineries'!$C$85:$C$164,$C280,'Key inputs_Refineries'!$B$85:$B$164,"Other processes"))*T279/10^3</f>
        <v>0</v>
      </c>
      <c r="U272" s="347">
        <f>-SUM(SUMIFS('Key inputs_Refineries'!O$85:O$164,'Key inputs_Refineries'!$C$85:$C$164,$C280,'Key inputs_Refineries'!$B$85:$B$164,"Other processes"))*U279/10^3</f>
        <v>0</v>
      </c>
      <c r="V272" s="347">
        <f>-SUM(SUMIFS('Key inputs_Refineries'!P$85:P$164,'Key inputs_Refineries'!$C$85:$C$164,$C280,'Key inputs_Refineries'!$B$85:$B$164,"Other processes"))*V279/10^3</f>
        <v>0</v>
      </c>
      <c r="W272" s="347">
        <f>-SUM(SUMIFS('Key inputs_Refineries'!Q$85:Q$164,'Key inputs_Refineries'!$C$85:$C$164,$C280,'Key inputs_Refineries'!$B$85:$B$164,"Other processes"))*W279/10^3</f>
        <v>0</v>
      </c>
      <c r="X272" s="347">
        <f>-SUM(SUMIFS('Key inputs_Refineries'!R$85:R$164,'Key inputs_Refineries'!$C$85:$C$164,$C280,'Key inputs_Refineries'!$B$85:$B$164,"Other processes"))*X279/10^3</f>
        <v>0</v>
      </c>
      <c r="Y272" s="347">
        <f>-SUM(SUMIFS('Key inputs_Refineries'!S$85:S$164,'Key inputs_Refineries'!$C$85:$C$164,$C280,'Key inputs_Refineries'!$B$85:$B$164,"Other processes"))*Y279/10^3</f>
        <v>1.5615022524785284E-2</v>
      </c>
      <c r="Z272" s="347">
        <f>-SUM(SUMIFS('Key inputs_Refineries'!T$85:T$164,'Key inputs_Refineries'!$C$85:$C$164,$C280,'Key inputs_Refineries'!$B$85:$B$164,"Other processes"))*Z279/10^3</f>
        <v>0</v>
      </c>
      <c r="AA272" s="347">
        <f>-SUM(SUMIFS('Key inputs_Refineries'!U$85:U$164,'Key inputs_Refineries'!$C$85:$C$164,$C280,'Key inputs_Refineries'!$B$85:$B$164,"Other processes"))*AA279/10^3</f>
        <v>0</v>
      </c>
      <c r="AB272" s="347">
        <f>-SUM(SUMIFS('Key inputs_Refineries'!V$85:V$164,'Key inputs_Refineries'!$C$85:$C$164,$C280,'Key inputs_Refineries'!$B$85:$B$164,"Other processes"))*AB279/10^3</f>
        <v>0</v>
      </c>
      <c r="AC272" s="347">
        <f>-SUM(SUMIFS('Key inputs_Refineries'!W$85:W$164,'Key inputs_Refineries'!$C$85:$C$164,$C280,'Key inputs_Refineries'!$B$85:$B$164,"Other processes"))*AC279/10^3</f>
        <v>0</v>
      </c>
      <c r="AD272" s="347">
        <f>-SUM(SUMIFS('Key inputs_Refineries'!X$85:X$164,'Key inputs_Refineries'!$C$85:$C$164,$C280,'Key inputs_Refineries'!$B$85:$B$164,"Other processes"))*AD279/10^3</f>
        <v>4.5054785225178036E-2</v>
      </c>
      <c r="AE272" s="347">
        <f>-SUM(SUMIFS('Key inputs_Refineries'!Y$85:Y$164,'Key inputs_Refineries'!$C$85:$C$164,$C280,'Key inputs_Refineries'!$B$85:$B$164,"Other processes"))*AE279/10^3</f>
        <v>0</v>
      </c>
      <c r="AF272" s="347">
        <f>-SUM(SUMIFS('Key inputs_Refineries'!Z$85:Z$164,'Key inputs_Refineries'!$C$85:$C$164,$C280,'Key inputs_Refineries'!$B$85:$B$164,"Other processes"))*AF279/10^3</f>
        <v>0</v>
      </c>
      <c r="AG272" s="347">
        <f>-SUM(SUMIFS('Key inputs_Refineries'!AA$85:AA$164,'Key inputs_Refineries'!$C$85:$C$164,$C280,'Key inputs_Refineries'!$B$85:$B$164,"Other processes"))*AG279/10^3</f>
        <v>0</v>
      </c>
      <c r="AH272" s="347">
        <f>-SUM(SUMIFS('Key inputs_Refineries'!AB$85:AB$164,'Key inputs_Refineries'!$C$85:$C$164,$C280,'Key inputs_Refineries'!$B$85:$B$164,"Other processes"))*AH279/10^3</f>
        <v>0</v>
      </c>
      <c r="AI272" s="347">
        <f>-SUM(SUMIFS('Key inputs_Refineries'!AC$85:AC$164,'Key inputs_Refineries'!$C$85:$C$164,$C280,'Key inputs_Refineries'!$B$85:$B$164,"Other processes"))*AI279/10^3</f>
        <v>0</v>
      </c>
      <c r="AJ272" s="347">
        <f>-SUM(SUMIFS('Key inputs_Refineries'!AD$85:AD$164,'Key inputs_Refineries'!$C$85:$C$164,$C280,'Key inputs_Refineries'!$B$85:$B$164,"Other processes"))*AJ279/10^3</f>
        <v>0</v>
      </c>
      <c r="AK272" s="347">
        <f>-SUM(SUMIFS('Key inputs_Refineries'!AE$85:AE$164,'Key inputs_Refineries'!$C$85:$C$164,$C280,'Key inputs_Refineries'!$B$85:$B$164,"Other processes"))*AK279/10^3</f>
        <v>0</v>
      </c>
      <c r="AL272" s="347">
        <f>-SUM(SUMIFS('Key inputs_Refineries'!AF$85:AF$164,'Key inputs_Refineries'!$C$85:$C$164,$C280,'Key inputs_Refineries'!$B$85:$B$164,"Other processes"))*AL279/10^3</f>
        <v>0</v>
      </c>
    </row>
    <row r="273" spans="1:38">
      <c r="G273" s="4" t="s">
        <v>701</v>
      </c>
      <c r="H273" s="4" t="s">
        <v>661</v>
      </c>
      <c r="I273" s="4">
        <v>2019</v>
      </c>
      <c r="J273" s="4" t="s">
        <v>112</v>
      </c>
      <c r="K273" s="333">
        <v>0</v>
      </c>
      <c r="L273" s="333">
        <v>0</v>
      </c>
      <c r="M273" s="333">
        <v>0</v>
      </c>
      <c r="N273" s="333">
        <v>0</v>
      </c>
      <c r="O273" s="333">
        <v>0</v>
      </c>
      <c r="P273" s="333">
        <v>0</v>
      </c>
      <c r="Q273" s="333">
        <v>0</v>
      </c>
      <c r="R273" s="333">
        <v>0</v>
      </c>
      <c r="S273" s="333">
        <v>0</v>
      </c>
      <c r="T273" s="333">
        <v>0</v>
      </c>
      <c r="U273" s="333">
        <v>0</v>
      </c>
      <c r="V273" s="333">
        <v>0</v>
      </c>
      <c r="W273" s="333">
        <v>0</v>
      </c>
      <c r="X273" s="333">
        <v>0</v>
      </c>
      <c r="Y273" s="333">
        <v>0</v>
      </c>
      <c r="Z273" s="333">
        <v>0</v>
      </c>
      <c r="AA273" s="333">
        <v>0</v>
      </c>
      <c r="AB273" s="333">
        <v>0</v>
      </c>
      <c r="AC273" s="333">
        <v>0</v>
      </c>
      <c r="AD273" s="333">
        <v>0</v>
      </c>
      <c r="AE273" s="333">
        <v>0</v>
      </c>
      <c r="AF273" s="333">
        <v>0</v>
      </c>
      <c r="AG273" s="333">
        <v>0</v>
      </c>
      <c r="AH273" s="333">
        <v>0</v>
      </c>
      <c r="AI273" s="333">
        <v>0</v>
      </c>
      <c r="AJ273" s="333">
        <v>0</v>
      </c>
      <c r="AK273" s="333">
        <v>0</v>
      </c>
      <c r="AL273" s="333">
        <v>0</v>
      </c>
    </row>
    <row r="274" spans="1:38">
      <c r="G274" s="4" t="s">
        <v>701</v>
      </c>
      <c r="H274" s="4" t="s">
        <v>661</v>
      </c>
      <c r="I274" s="4">
        <v>2060</v>
      </c>
      <c r="J274" s="4" t="s">
        <v>112</v>
      </c>
      <c r="K274" s="333">
        <v>0</v>
      </c>
      <c r="L274" s="333">
        <v>0</v>
      </c>
      <c r="M274" s="333">
        <v>0</v>
      </c>
      <c r="N274" s="333">
        <v>0</v>
      </c>
      <c r="O274" s="333">
        <v>0</v>
      </c>
      <c r="P274" s="333">
        <v>0</v>
      </c>
      <c r="Q274" s="333">
        <v>0</v>
      </c>
      <c r="R274" s="333">
        <v>0</v>
      </c>
      <c r="S274" s="333">
        <v>0</v>
      </c>
      <c r="T274" s="333">
        <v>0</v>
      </c>
      <c r="U274" s="333">
        <v>0</v>
      </c>
      <c r="V274" s="333">
        <v>0</v>
      </c>
      <c r="W274" s="333">
        <v>0</v>
      </c>
      <c r="X274" s="333">
        <v>0</v>
      </c>
      <c r="Y274" s="333">
        <v>0</v>
      </c>
      <c r="Z274" s="333">
        <v>0</v>
      </c>
      <c r="AA274" s="333">
        <v>0</v>
      </c>
      <c r="AB274" s="333">
        <v>0</v>
      </c>
      <c r="AC274" s="333">
        <v>0</v>
      </c>
      <c r="AD274" s="333">
        <v>0</v>
      </c>
      <c r="AE274" s="333">
        <v>0</v>
      </c>
      <c r="AF274" s="333">
        <v>0</v>
      </c>
      <c r="AG274" s="333">
        <v>0</v>
      </c>
      <c r="AH274" s="333">
        <v>0</v>
      </c>
      <c r="AI274" s="333">
        <v>0</v>
      </c>
      <c r="AJ274" s="333">
        <v>0</v>
      </c>
      <c r="AK274" s="333">
        <v>0</v>
      </c>
      <c r="AL274" s="333">
        <v>0</v>
      </c>
    </row>
    <row r="275" spans="1:38">
      <c r="G275" s="4" t="s">
        <v>701</v>
      </c>
      <c r="H275" s="4" t="s">
        <v>661</v>
      </c>
      <c r="I275" s="4">
        <v>0</v>
      </c>
      <c r="J275" s="4"/>
      <c r="K275" s="333">
        <v>5</v>
      </c>
      <c r="L275" s="333">
        <v>5</v>
      </c>
      <c r="M275" s="333">
        <v>5</v>
      </c>
      <c r="N275" s="333">
        <v>5</v>
      </c>
      <c r="O275" s="333">
        <v>5</v>
      </c>
      <c r="P275" s="333">
        <v>5</v>
      </c>
      <c r="Q275" s="333">
        <v>5</v>
      </c>
      <c r="R275" s="333">
        <v>5</v>
      </c>
      <c r="S275" s="333">
        <v>5</v>
      </c>
      <c r="T275" s="333">
        <v>5</v>
      </c>
      <c r="U275" s="333">
        <v>5</v>
      </c>
      <c r="V275" s="333">
        <v>5</v>
      </c>
      <c r="W275" s="333">
        <v>5</v>
      </c>
      <c r="X275" s="333">
        <v>5</v>
      </c>
      <c r="Y275" s="333">
        <v>5</v>
      </c>
      <c r="Z275" s="333">
        <v>5</v>
      </c>
      <c r="AA275" s="333">
        <v>5</v>
      </c>
      <c r="AB275" s="333">
        <v>5</v>
      </c>
      <c r="AC275" s="333">
        <v>5</v>
      </c>
      <c r="AD275" s="333">
        <v>5</v>
      </c>
      <c r="AE275" s="333">
        <v>5</v>
      </c>
      <c r="AF275" s="333">
        <v>5</v>
      </c>
      <c r="AG275" s="333">
        <v>5</v>
      </c>
      <c r="AH275" s="333">
        <v>5</v>
      </c>
      <c r="AI275" s="333">
        <v>5</v>
      </c>
      <c r="AJ275" s="333">
        <v>5</v>
      </c>
      <c r="AK275" s="333">
        <v>5</v>
      </c>
      <c r="AL275" s="333">
        <v>5</v>
      </c>
    </row>
    <row r="276" spans="1:38">
      <c r="G276" s="4" t="s">
        <v>687</v>
      </c>
      <c r="H276" s="4"/>
      <c r="I276" s="4"/>
      <c r="J276" s="4" t="s">
        <v>2663</v>
      </c>
      <c r="K276" s="425">
        <f>'Key inputs_Refineries'!$C$187*10^3</f>
        <v>182.90880000000001</v>
      </c>
      <c r="L276" s="425">
        <f>'Key inputs_Refineries'!$C$187*10^3</f>
        <v>182.90880000000001</v>
      </c>
      <c r="M276" s="425">
        <f>'Key inputs_Refineries'!$C$187*10^3</f>
        <v>182.90880000000001</v>
      </c>
      <c r="N276" s="425">
        <f>'Key inputs_Refineries'!$C$187*10^3</f>
        <v>182.90880000000001</v>
      </c>
      <c r="O276" s="425">
        <f>'Key inputs_Refineries'!$C$187*10^3</f>
        <v>182.90880000000001</v>
      </c>
      <c r="P276" s="425">
        <f>'Key inputs_Refineries'!$C$187*10^3</f>
        <v>182.90880000000001</v>
      </c>
      <c r="Q276" s="425">
        <f>'Key inputs_Refineries'!$C$187*10^3</f>
        <v>182.90880000000001</v>
      </c>
      <c r="R276" s="425">
        <f>'Key inputs_Refineries'!$C$187*10^3</f>
        <v>182.90880000000001</v>
      </c>
      <c r="S276" s="425">
        <f>'Key inputs_Refineries'!$C$187*10^3</f>
        <v>182.90880000000001</v>
      </c>
      <c r="T276" s="425">
        <f>'Key inputs_Refineries'!$C$187*10^3</f>
        <v>182.90880000000001</v>
      </c>
      <c r="U276" s="425">
        <f>'Key inputs_Refineries'!$C$187*10^3</f>
        <v>182.90880000000001</v>
      </c>
      <c r="V276" s="425">
        <f>'Key inputs_Refineries'!$C$187*10^3</f>
        <v>182.90880000000001</v>
      </c>
      <c r="W276" s="425">
        <f>'Key inputs_Refineries'!$C$187*10^3</f>
        <v>182.90880000000001</v>
      </c>
      <c r="X276" s="425">
        <f>'Key inputs_Refineries'!$C$187*10^3</f>
        <v>182.90880000000001</v>
      </c>
      <c r="Y276" s="425">
        <f>'Key inputs_Refineries'!$C$187*10^3</f>
        <v>182.90880000000001</v>
      </c>
      <c r="Z276" s="425">
        <f>'Key inputs_Refineries'!$C$187*10^3</f>
        <v>182.90880000000001</v>
      </c>
      <c r="AA276" s="425">
        <f>'Key inputs_Refineries'!$C$187*10^3</f>
        <v>182.90880000000001</v>
      </c>
      <c r="AB276" s="425">
        <f>'Key inputs_Refineries'!$C$187*10^3</f>
        <v>182.90880000000001</v>
      </c>
      <c r="AC276" s="425">
        <f>'Key inputs_Refineries'!$C$187*10^3</f>
        <v>182.90880000000001</v>
      </c>
      <c r="AD276" s="425">
        <f>'Key inputs_Refineries'!$C$187*10^3</f>
        <v>182.90880000000001</v>
      </c>
      <c r="AE276" s="425">
        <f>'Key inputs_Refineries'!$C$187*10^3</f>
        <v>182.90880000000001</v>
      </c>
      <c r="AF276" s="425">
        <f>'Key inputs_Refineries'!$C$187*10^3</f>
        <v>182.90880000000001</v>
      </c>
      <c r="AG276" s="425">
        <f>'Key inputs_Refineries'!$C$187*10^3</f>
        <v>182.90880000000001</v>
      </c>
      <c r="AH276" s="425">
        <f>'Key inputs_Refineries'!$C$187*10^3</f>
        <v>182.90880000000001</v>
      </c>
      <c r="AI276" s="425">
        <f>'Key inputs_Refineries'!$C$187*10^3</f>
        <v>182.90880000000001</v>
      </c>
      <c r="AJ276" s="425">
        <f>'Key inputs_Refineries'!$C$187*10^3</f>
        <v>182.90880000000001</v>
      </c>
      <c r="AK276" s="425">
        <f>'Key inputs_Refineries'!$C$187*10^3</f>
        <v>182.90880000000001</v>
      </c>
      <c r="AL276" s="425">
        <f>'Key inputs_Refineries'!$C$187*10^3</f>
        <v>182.90880000000001</v>
      </c>
    </row>
    <row r="277" spans="1:38">
      <c r="G277" s="4" t="s">
        <v>689</v>
      </c>
      <c r="H277" s="4"/>
      <c r="I277" s="4"/>
      <c r="J277" s="4" t="s">
        <v>2663</v>
      </c>
      <c r="K277" s="425">
        <f>'Key inputs_Refineries'!$D$187*10^3</f>
        <v>1.5768000000000002</v>
      </c>
      <c r="L277" s="425">
        <f>'Key inputs_Refineries'!$D$187*10^3</f>
        <v>1.5768000000000002</v>
      </c>
      <c r="M277" s="425">
        <f>'Key inputs_Refineries'!$D$187*10^3</f>
        <v>1.5768000000000002</v>
      </c>
      <c r="N277" s="425">
        <f>'Key inputs_Refineries'!$D$187*10^3</f>
        <v>1.5768000000000002</v>
      </c>
      <c r="O277" s="425">
        <f>'Key inputs_Refineries'!$D$187*10^3</f>
        <v>1.5768000000000002</v>
      </c>
      <c r="P277" s="425">
        <f>'Key inputs_Refineries'!$D$187*10^3</f>
        <v>1.5768000000000002</v>
      </c>
      <c r="Q277" s="425">
        <f>'Key inputs_Refineries'!$D$187*10^3</f>
        <v>1.5768000000000002</v>
      </c>
      <c r="R277" s="425">
        <f>'Key inputs_Refineries'!$D$187*10^3</f>
        <v>1.5768000000000002</v>
      </c>
      <c r="S277" s="425">
        <f>'Key inputs_Refineries'!$D$187*10^3</f>
        <v>1.5768000000000002</v>
      </c>
      <c r="T277" s="425">
        <f>'Key inputs_Refineries'!$D$187*10^3</f>
        <v>1.5768000000000002</v>
      </c>
      <c r="U277" s="425">
        <f>'Key inputs_Refineries'!$D$187*10^3</f>
        <v>1.5768000000000002</v>
      </c>
      <c r="V277" s="425">
        <f>'Key inputs_Refineries'!$D$187*10^3</f>
        <v>1.5768000000000002</v>
      </c>
      <c r="W277" s="425">
        <f>'Key inputs_Refineries'!$D$187*10^3</f>
        <v>1.5768000000000002</v>
      </c>
      <c r="X277" s="425">
        <f>'Key inputs_Refineries'!$D$187*10^3</f>
        <v>1.5768000000000002</v>
      </c>
      <c r="Y277" s="425">
        <f>'Key inputs_Refineries'!$D$187*10^3</f>
        <v>1.5768000000000002</v>
      </c>
      <c r="Z277" s="425">
        <f>'Key inputs_Refineries'!$D$187*10^3</f>
        <v>1.5768000000000002</v>
      </c>
      <c r="AA277" s="425">
        <f>'Key inputs_Refineries'!$D$187*10^3</f>
        <v>1.5768000000000002</v>
      </c>
      <c r="AB277" s="425">
        <f>'Key inputs_Refineries'!$D$187*10^3</f>
        <v>1.5768000000000002</v>
      </c>
      <c r="AC277" s="425">
        <f>'Key inputs_Refineries'!$D$187*10^3</f>
        <v>1.5768000000000002</v>
      </c>
      <c r="AD277" s="425">
        <f>'Key inputs_Refineries'!$D$187*10^3</f>
        <v>1.5768000000000002</v>
      </c>
      <c r="AE277" s="425">
        <f>'Key inputs_Refineries'!$D$187*10^3</f>
        <v>1.5768000000000002</v>
      </c>
      <c r="AF277" s="425">
        <f>'Key inputs_Refineries'!$D$187*10^3</f>
        <v>1.5768000000000002</v>
      </c>
      <c r="AG277" s="425">
        <f>'Key inputs_Refineries'!$D$187*10^3</f>
        <v>1.5768000000000002</v>
      </c>
      <c r="AH277" s="425">
        <f>'Key inputs_Refineries'!$D$187*10^3</f>
        <v>1.5768000000000002</v>
      </c>
      <c r="AI277" s="425">
        <f>'Key inputs_Refineries'!$D$187*10^3</f>
        <v>1.5768000000000002</v>
      </c>
      <c r="AJ277" s="425">
        <f>'Key inputs_Refineries'!$D$187*10^3</f>
        <v>1.5768000000000002</v>
      </c>
      <c r="AK277" s="425">
        <f>'Key inputs_Refineries'!$D$187*10^3</f>
        <v>1.5768000000000002</v>
      </c>
      <c r="AL277" s="425">
        <f>'Key inputs_Refineries'!$D$187*10^3</f>
        <v>1.5768000000000002</v>
      </c>
    </row>
    <row r="278" spans="1:38">
      <c r="G278" s="4" t="s">
        <v>675</v>
      </c>
      <c r="H278" s="4"/>
      <c r="I278" s="4"/>
      <c r="J278" s="4" t="s">
        <v>2662</v>
      </c>
      <c r="K278" s="338"/>
      <c r="L278" s="338"/>
      <c r="M278" s="338"/>
      <c r="N278" s="338"/>
      <c r="O278" s="338"/>
      <c r="P278" s="338"/>
      <c r="Q278" s="338"/>
      <c r="R278" s="338"/>
      <c r="S278" s="338"/>
      <c r="T278" s="338"/>
      <c r="U278" s="338"/>
      <c r="V278" s="338"/>
      <c r="W278" s="338"/>
      <c r="X278" s="338"/>
      <c r="Y278" s="338"/>
      <c r="Z278" s="338"/>
      <c r="AA278" s="338"/>
      <c r="AB278" s="338"/>
      <c r="AC278" s="338"/>
      <c r="AD278" s="338"/>
      <c r="AE278" s="338"/>
      <c r="AF278" s="338"/>
      <c r="AG278" s="338"/>
      <c r="AH278" s="338"/>
      <c r="AI278" s="338"/>
      <c r="AJ278" s="338"/>
      <c r="AK278" s="338"/>
      <c r="AL278" s="338"/>
    </row>
    <row r="279" spans="1:38">
      <c r="G279" s="4" t="s">
        <v>630</v>
      </c>
      <c r="H279" s="4"/>
      <c r="I279" s="4"/>
      <c r="J279" s="4" t="s">
        <v>2666</v>
      </c>
      <c r="K279" s="425">
        <f>'Key inputs_Refineries'!$H$187</f>
        <v>0.68</v>
      </c>
      <c r="L279" s="425">
        <f>'Key inputs_Refineries'!$H$187</f>
        <v>0.68</v>
      </c>
      <c r="M279" s="425">
        <f>'Key inputs_Refineries'!$H$187</f>
        <v>0.68</v>
      </c>
      <c r="N279" s="425">
        <f>'Key inputs_Refineries'!$H$187</f>
        <v>0.68</v>
      </c>
      <c r="O279" s="425">
        <f>'Key inputs_Refineries'!$H$187</f>
        <v>0.68</v>
      </c>
      <c r="P279" s="425">
        <f>'Key inputs_Refineries'!$H$187</f>
        <v>0.68</v>
      </c>
      <c r="Q279" s="425">
        <f>'Key inputs_Refineries'!$H$187</f>
        <v>0.68</v>
      </c>
      <c r="R279" s="425">
        <f>'Key inputs_Refineries'!$H$187</f>
        <v>0.68</v>
      </c>
      <c r="S279" s="425">
        <f>'Key inputs_Refineries'!$H$187</f>
        <v>0.68</v>
      </c>
      <c r="T279" s="425">
        <f>'Key inputs_Refineries'!$H$187</f>
        <v>0.68</v>
      </c>
      <c r="U279" s="425">
        <f>'Key inputs_Refineries'!$H$187</f>
        <v>0.68</v>
      </c>
      <c r="V279" s="425">
        <f>'Key inputs_Refineries'!$H$187</f>
        <v>0.68</v>
      </c>
      <c r="W279" s="425">
        <f>'Key inputs_Refineries'!$H$187</f>
        <v>0.68</v>
      </c>
      <c r="X279" s="425">
        <f>'Key inputs_Refineries'!$H$187</f>
        <v>0.68</v>
      </c>
      <c r="Y279" s="425">
        <f>'Key inputs_Refineries'!$H$187</f>
        <v>0.68</v>
      </c>
      <c r="Z279" s="425">
        <f>'Key inputs_Refineries'!$H$187</f>
        <v>0.68</v>
      </c>
      <c r="AA279" s="425">
        <f>'Key inputs_Refineries'!$H$187</f>
        <v>0.68</v>
      </c>
      <c r="AB279" s="425">
        <f>'Key inputs_Refineries'!$H$187</f>
        <v>0.68</v>
      </c>
      <c r="AC279" s="425">
        <f>'Key inputs_Refineries'!$H$187</f>
        <v>0.68</v>
      </c>
      <c r="AD279" s="425">
        <f>'Key inputs_Refineries'!$H$187</f>
        <v>0.68</v>
      </c>
      <c r="AE279" s="425">
        <f>'Key inputs_Refineries'!$H$187</f>
        <v>0.68</v>
      </c>
      <c r="AF279" s="425">
        <f>'Key inputs_Refineries'!$H$187</f>
        <v>0.68</v>
      </c>
      <c r="AG279" s="425">
        <f>'Key inputs_Refineries'!$H$187</f>
        <v>0.68</v>
      </c>
      <c r="AH279" s="425">
        <f>'Key inputs_Refineries'!$H$187</f>
        <v>0.68</v>
      </c>
      <c r="AI279" s="425">
        <f>'Key inputs_Refineries'!$H$187</f>
        <v>0.68</v>
      </c>
      <c r="AJ279" s="425">
        <f>'Key inputs_Refineries'!$H$187</f>
        <v>0.68</v>
      </c>
      <c r="AK279" s="425">
        <f>'Key inputs_Refineries'!$H$187</f>
        <v>0.68</v>
      </c>
      <c r="AL279" s="425">
        <f>'Key inputs_Refineries'!$H$187</f>
        <v>0.68</v>
      </c>
    </row>
    <row r="280" spans="1:38">
      <c r="C280" t="str">
        <f>Commodities!$C$86</f>
        <v>UPSCOA</v>
      </c>
      <c r="G280" s="4" t="s">
        <v>702</v>
      </c>
      <c r="H280" t="s">
        <v>661</v>
      </c>
      <c r="I280">
        <v>2019</v>
      </c>
      <c r="J280" t="s">
        <v>650</v>
      </c>
      <c r="K280" s="173">
        <v>1</v>
      </c>
      <c r="L280" s="173">
        <v>1</v>
      </c>
      <c r="M280" s="173">
        <v>1</v>
      </c>
      <c r="N280" s="173">
        <v>1</v>
      </c>
      <c r="O280" s="173">
        <v>1</v>
      </c>
      <c r="P280" s="173">
        <v>1</v>
      </c>
      <c r="Q280" s="173">
        <v>1</v>
      </c>
      <c r="R280" s="173">
        <v>1</v>
      </c>
      <c r="S280" s="173">
        <v>1</v>
      </c>
      <c r="T280" s="173">
        <v>1</v>
      </c>
      <c r="U280" s="173">
        <v>1</v>
      </c>
      <c r="V280" s="173">
        <v>1</v>
      </c>
      <c r="W280" s="173">
        <v>1</v>
      </c>
      <c r="X280" s="173">
        <v>1</v>
      </c>
      <c r="Y280" s="173">
        <v>1</v>
      </c>
      <c r="Z280" s="173">
        <v>1</v>
      </c>
      <c r="AA280" s="173">
        <v>1</v>
      </c>
      <c r="AB280" s="173">
        <v>1</v>
      </c>
      <c r="AC280" s="173">
        <v>1</v>
      </c>
      <c r="AD280" s="173">
        <v>1</v>
      </c>
      <c r="AE280" s="173">
        <v>1</v>
      </c>
      <c r="AF280" s="173">
        <v>1</v>
      </c>
      <c r="AG280" s="173">
        <v>1</v>
      </c>
      <c r="AH280" s="173">
        <v>1</v>
      </c>
      <c r="AI280" s="173">
        <v>1</v>
      </c>
      <c r="AJ280" s="173">
        <v>1</v>
      </c>
      <c r="AK280" s="173">
        <v>1</v>
      </c>
      <c r="AL280" s="173">
        <v>1</v>
      </c>
    </row>
    <row r="281" spans="1:38">
      <c r="D281" t="str">
        <f>Commodities!$C$106</f>
        <v>UREFOTH</v>
      </c>
    </row>
    <row r="282" spans="1:38">
      <c r="A282" s="4" t="str">
        <f>AO26</f>
        <v>U-TRF-OILREFOTH_ELC00</v>
      </c>
      <c r="B282" s="4" t="str">
        <f>AP26</f>
        <v>UPS Transformation: Oil refinery other processes Electricity - Existing</v>
      </c>
      <c r="C282" s="4"/>
      <c r="D282" s="4"/>
      <c r="E282" s="4"/>
      <c r="F282" s="4"/>
      <c r="G282" s="4" t="s">
        <v>695</v>
      </c>
      <c r="H282" s="4"/>
      <c r="I282" s="4"/>
      <c r="J282" s="4" t="s">
        <v>2665</v>
      </c>
      <c r="K282" s="333">
        <v>1</v>
      </c>
      <c r="L282" s="333">
        <v>1</v>
      </c>
      <c r="M282" s="333">
        <v>1</v>
      </c>
      <c r="N282" s="333">
        <v>1</v>
      </c>
      <c r="O282" s="333">
        <v>1</v>
      </c>
      <c r="P282" s="333">
        <v>1</v>
      </c>
      <c r="Q282" s="333">
        <v>1</v>
      </c>
      <c r="R282" s="333">
        <v>1</v>
      </c>
      <c r="S282" s="333">
        <v>1</v>
      </c>
      <c r="T282" s="333">
        <v>1</v>
      </c>
      <c r="U282" s="333">
        <v>1</v>
      </c>
      <c r="V282" s="333">
        <v>1</v>
      </c>
      <c r="W282" s="333">
        <v>1</v>
      </c>
      <c r="X282" s="333">
        <v>1</v>
      </c>
      <c r="Y282" s="333">
        <v>1</v>
      </c>
      <c r="Z282" s="333">
        <v>1</v>
      </c>
      <c r="AA282" s="333">
        <v>1</v>
      </c>
      <c r="AB282" s="333">
        <v>1</v>
      </c>
      <c r="AC282" s="333">
        <v>1</v>
      </c>
      <c r="AD282" s="333">
        <v>1</v>
      </c>
      <c r="AE282" s="333">
        <v>1</v>
      </c>
      <c r="AF282" s="333">
        <v>1</v>
      </c>
      <c r="AG282" s="333">
        <v>1</v>
      </c>
      <c r="AH282" s="333">
        <v>1</v>
      </c>
      <c r="AI282" s="333">
        <v>1</v>
      </c>
      <c r="AJ282" s="333">
        <v>1</v>
      </c>
      <c r="AK282" s="333">
        <v>1</v>
      </c>
      <c r="AL282" s="333">
        <v>1</v>
      </c>
    </row>
    <row r="283" spans="1:38">
      <c r="C283" s="4"/>
      <c r="D283" s="4"/>
      <c r="E283" s="4"/>
      <c r="F283" s="4"/>
      <c r="G283" s="4" t="s">
        <v>697</v>
      </c>
      <c r="H283" s="4"/>
      <c r="I283" s="4"/>
      <c r="J283" s="4" t="s">
        <v>698</v>
      </c>
      <c r="K283" s="424">
        <f>'Key inputs_Refineries'!$F$188</f>
        <v>15</v>
      </c>
      <c r="L283" s="424">
        <f>'Key inputs_Refineries'!$F$188</f>
        <v>15</v>
      </c>
      <c r="M283" s="424">
        <f>'Key inputs_Refineries'!$F$188</f>
        <v>15</v>
      </c>
      <c r="N283" s="424">
        <f>'Key inputs_Refineries'!$F$188</f>
        <v>15</v>
      </c>
      <c r="O283" s="424">
        <f>'Key inputs_Refineries'!$F$188</f>
        <v>15</v>
      </c>
      <c r="P283" s="424">
        <f>'Key inputs_Refineries'!$F$188</f>
        <v>15</v>
      </c>
      <c r="Q283" s="424">
        <f>'Key inputs_Refineries'!$F$188</f>
        <v>15</v>
      </c>
      <c r="R283" s="424">
        <f>'Key inputs_Refineries'!$F$188</f>
        <v>15</v>
      </c>
      <c r="S283" s="424">
        <f>'Key inputs_Refineries'!$F$188</f>
        <v>15</v>
      </c>
      <c r="T283" s="424">
        <f>'Key inputs_Refineries'!$F$188</f>
        <v>15</v>
      </c>
      <c r="U283" s="424">
        <f>'Key inputs_Refineries'!$F$188</f>
        <v>15</v>
      </c>
      <c r="V283" s="424">
        <f>'Key inputs_Refineries'!$F$188</f>
        <v>15</v>
      </c>
      <c r="W283" s="424">
        <f>'Key inputs_Refineries'!$F$188</f>
        <v>15</v>
      </c>
      <c r="X283" s="424">
        <f>'Key inputs_Refineries'!$F$188</f>
        <v>15</v>
      </c>
      <c r="Y283" s="424">
        <f>'Key inputs_Refineries'!$F$188</f>
        <v>15</v>
      </c>
      <c r="Z283" s="424">
        <f>'Key inputs_Refineries'!$F$188</f>
        <v>15</v>
      </c>
      <c r="AA283" s="424">
        <f>'Key inputs_Refineries'!$F$188</f>
        <v>15</v>
      </c>
      <c r="AB283" s="424">
        <f>'Key inputs_Refineries'!$F$188</f>
        <v>15</v>
      </c>
      <c r="AC283" s="424">
        <f>'Key inputs_Refineries'!$F$188</f>
        <v>15</v>
      </c>
      <c r="AD283" s="424">
        <f>'Key inputs_Refineries'!$F$188</f>
        <v>15</v>
      </c>
      <c r="AE283" s="424">
        <f>'Key inputs_Refineries'!$F$188</f>
        <v>15</v>
      </c>
      <c r="AF283" s="424">
        <f>'Key inputs_Refineries'!$F$188</f>
        <v>15</v>
      </c>
      <c r="AG283" s="424">
        <f>'Key inputs_Refineries'!$F$188</f>
        <v>15</v>
      </c>
      <c r="AH283" s="424">
        <f>'Key inputs_Refineries'!$F$188</f>
        <v>15</v>
      </c>
      <c r="AI283" s="424">
        <f>'Key inputs_Refineries'!$F$188</f>
        <v>15</v>
      </c>
      <c r="AJ283" s="424">
        <f>'Key inputs_Refineries'!$F$188</f>
        <v>15</v>
      </c>
      <c r="AK283" s="424">
        <f>'Key inputs_Refineries'!$F$188</f>
        <v>15</v>
      </c>
      <c r="AL283" s="424">
        <f>'Key inputs_Refineries'!$F$188</f>
        <v>15</v>
      </c>
    </row>
    <row r="284" spans="1:38">
      <c r="C284" s="4"/>
      <c r="D284" s="4"/>
      <c r="E284" s="4"/>
      <c r="F284" s="4"/>
      <c r="G284" s="4" t="s">
        <v>699</v>
      </c>
      <c r="H284" s="4"/>
      <c r="I284" s="4">
        <v>2019</v>
      </c>
      <c r="J284" s="4" t="s">
        <v>112</v>
      </c>
      <c r="K284" s="347">
        <f>-SUM(SUMIFS('Key inputs_Refineries'!E$85:E$164,'Key inputs_Refineries'!$C$85:$C$164,$C292,'Key inputs_Refineries'!$B$85:$B$164,"Other processes"))*K291/10^3</f>
        <v>0</v>
      </c>
      <c r="L284" s="347">
        <f>-SUM(SUMIFS('Key inputs_Refineries'!F$85:F$164,'Key inputs_Refineries'!$C$85:$C$164,$C292,'Key inputs_Refineries'!$B$85:$B$164,"Other processes"))*L291/10^3</f>
        <v>1.3977842131561253</v>
      </c>
      <c r="M284" s="347">
        <f>-SUM(SUMIFS('Key inputs_Refineries'!G$85:G$164,'Key inputs_Refineries'!$C$85:$C$164,$C292,'Key inputs_Refineries'!$B$85:$B$164,"Other processes"))*M291/10^3</f>
        <v>3.8518067805062756E-3</v>
      </c>
      <c r="N284" s="347">
        <f>-SUM(SUMIFS('Key inputs_Refineries'!H$85:H$164,'Key inputs_Refineries'!$C$85:$C$164,$C292,'Key inputs_Refineries'!$B$85:$B$164,"Other processes"))*N291/10^3</f>
        <v>20.764336853850537</v>
      </c>
      <c r="O284" s="347">
        <f>-SUM(SUMIFS('Key inputs_Refineries'!I$85:I$164,'Key inputs_Refineries'!$C$85:$C$164,$C292,'Key inputs_Refineries'!$B$85:$B$164,"Other processes"))*O291/10^3</f>
        <v>3.8043983058791313</v>
      </c>
      <c r="P284" s="347">
        <f>-SUM(SUMIFS('Key inputs_Refineries'!J$85:J$164,'Key inputs_Refineries'!$C$85:$C$164,$C292,'Key inputs_Refineries'!$B$85:$B$164,"Other processes"))*P291/10^3</f>
        <v>2.4990356686987973</v>
      </c>
      <c r="Q284" s="347">
        <f>-SUM(SUMIFS('Key inputs_Refineries'!K$85:K$164,'Key inputs_Refineries'!$C$85:$C$164,$C292,'Key inputs_Refineries'!$B$85:$B$164,"Other processes"))*Q291/10^3</f>
        <v>0</v>
      </c>
      <c r="R284" s="347">
        <f>-SUM(SUMIFS('Key inputs_Refineries'!L$85:L$164,'Key inputs_Refineries'!$C$85:$C$164,$C292,'Key inputs_Refineries'!$B$85:$B$164,"Other processes"))*R291/10^3</f>
        <v>0</v>
      </c>
      <c r="S284" s="347">
        <f>-SUM(SUMIFS('Key inputs_Refineries'!M$85:M$164,'Key inputs_Refineries'!$C$85:$C$164,$C292,'Key inputs_Refineries'!$B$85:$B$164,"Other processes"))*S291/10^3</f>
        <v>11.311733700000001</v>
      </c>
      <c r="T284" s="347">
        <f>-SUM(SUMIFS('Key inputs_Refineries'!N$85:N$164,'Key inputs_Refineries'!$C$85:$C$164,$C292,'Key inputs_Refineries'!$B$85:$B$164,"Other processes"))*T291/10^3</f>
        <v>22.374122486057715</v>
      </c>
      <c r="U284" s="347">
        <f>-SUM(SUMIFS('Key inputs_Refineries'!O$85:O$164,'Key inputs_Refineries'!$C$85:$C$164,$C292,'Key inputs_Refineries'!$B$85:$B$164,"Other processes"))*U291/10^3</f>
        <v>1.590698187925456</v>
      </c>
      <c r="V284" s="347">
        <f>-SUM(SUMIFS('Key inputs_Refineries'!P$85:P$164,'Key inputs_Refineries'!$C$85:$C$164,$C292,'Key inputs_Refineries'!$B$85:$B$164,"Other processes"))*V291/10^3</f>
        <v>312.56747244006283</v>
      </c>
      <c r="W284" s="347">
        <f>-SUM(SUMIFS('Key inputs_Refineries'!Q$85:Q$164,'Key inputs_Refineries'!$C$85:$C$164,$C292,'Key inputs_Refineries'!$B$85:$B$164,"Other processes"))*W291/10^3</f>
        <v>6.7148947808789501</v>
      </c>
      <c r="X284" s="347">
        <f>-SUM(SUMIFS('Key inputs_Refineries'!R$85:R$164,'Key inputs_Refineries'!$C$85:$C$164,$C292,'Key inputs_Refineries'!$B$85:$B$164,"Other processes"))*X291/10^3</f>
        <v>11.615495474903163</v>
      </c>
      <c r="Y284" s="347">
        <f>-SUM(SUMIFS('Key inputs_Refineries'!S$85:S$164,'Key inputs_Refineries'!$C$85:$C$164,$C292,'Key inputs_Refineries'!$B$85:$B$164,"Other processes"))*Y291/10^3</f>
        <v>15.532247227881495</v>
      </c>
      <c r="Z284" s="347">
        <f>-SUM(SUMIFS('Key inputs_Refineries'!T$85:T$164,'Key inputs_Refineries'!$C$85:$C$164,$C292,'Key inputs_Refineries'!$B$85:$B$164,"Other processes"))*Z291/10^3</f>
        <v>34.205349018679904</v>
      </c>
      <c r="AA284" s="347">
        <f>-SUM(SUMIFS('Key inputs_Refineries'!U$85:U$164,'Key inputs_Refineries'!$C$85:$C$164,$C292,'Key inputs_Refineries'!$B$85:$B$164,"Other processes"))*AA291/10^3</f>
        <v>32.96697565211614</v>
      </c>
      <c r="AB284" s="347">
        <f>-SUM(SUMIFS('Key inputs_Refineries'!V$85:V$164,'Key inputs_Refineries'!$C$85:$C$164,$C292,'Key inputs_Refineries'!$B$85:$B$164,"Other processes"))*AB291/10^3</f>
        <v>0</v>
      </c>
      <c r="AC284" s="347">
        <f>-SUM(SUMIFS('Key inputs_Refineries'!W$85:W$164,'Key inputs_Refineries'!$C$85:$C$164,$C292,'Key inputs_Refineries'!$B$85:$B$164,"Other processes"))*AC291/10^3</f>
        <v>14.380010999999998</v>
      </c>
      <c r="AD284" s="347">
        <f>-SUM(SUMIFS('Key inputs_Refineries'!X$85:X$164,'Key inputs_Refineries'!$C$85:$C$164,$C292,'Key inputs_Refineries'!$B$85:$B$164,"Other processes"))*AD291/10^3</f>
        <v>25.249078459737589</v>
      </c>
      <c r="AE284" s="347">
        <f>-SUM(SUMIFS('Key inputs_Refineries'!Y$85:Y$164,'Key inputs_Refineries'!$C$85:$C$164,$C292,'Key inputs_Refineries'!$B$85:$B$164,"Other processes"))*AE291/10^3</f>
        <v>7.5058215416792269</v>
      </c>
      <c r="AF284" s="347">
        <f>-SUM(SUMIFS('Key inputs_Refineries'!Z$85:Z$164,'Key inputs_Refineries'!$C$85:$C$164,$C292,'Key inputs_Refineries'!$B$85:$B$164,"Other processes"))*AF291/10^3</f>
        <v>8.8964484300350968</v>
      </c>
      <c r="AG284" s="347">
        <f>-SUM(SUMIFS('Key inputs_Refineries'!AA$85:AA$164,'Key inputs_Refineries'!$C$85:$C$164,$C292,'Key inputs_Refineries'!$B$85:$B$164,"Other processes"))*AG291/10^3</f>
        <v>30.709315269320069</v>
      </c>
      <c r="AH284" s="347">
        <f>-SUM(SUMIFS('Key inputs_Refineries'!AB$85:AB$164,'Key inputs_Refineries'!$C$85:$C$164,$C292,'Key inputs_Refineries'!$B$85:$B$164,"Other processes"))*AH291/10^3</f>
        <v>3.7701577688806061</v>
      </c>
      <c r="AI284" s="347">
        <f>-SUM(SUMIFS('Key inputs_Refineries'!AC$85:AC$164,'Key inputs_Refineries'!$C$85:$C$164,$C292,'Key inputs_Refineries'!$B$85:$B$164,"Other processes"))*AI291/10^3</f>
        <v>0</v>
      </c>
      <c r="AJ284" s="347">
        <f>-SUM(SUMIFS('Key inputs_Refineries'!AD$85:AD$164,'Key inputs_Refineries'!$C$85:$C$164,$C292,'Key inputs_Refineries'!$B$85:$B$164,"Other processes"))*AJ291/10^3</f>
        <v>81.281949687243554</v>
      </c>
      <c r="AK284" s="347">
        <f>-SUM(SUMIFS('Key inputs_Refineries'!AE$85:AE$164,'Key inputs_Refineries'!$C$85:$C$164,$C292,'Key inputs_Refineries'!$B$85:$B$164,"Other processes"))*AK291/10^3</f>
        <v>35.821122101430994</v>
      </c>
      <c r="AL284" s="347">
        <f>-SUM(SUMIFS('Key inputs_Refineries'!AF$85:AF$164,'Key inputs_Refineries'!$C$85:$C$164,$C292,'Key inputs_Refineries'!$B$85:$B$164,"Other processes"))*AL291/10^3</f>
        <v>150.29328089783507</v>
      </c>
    </row>
    <row r="285" spans="1:38">
      <c r="G285" s="4" t="s">
        <v>701</v>
      </c>
      <c r="H285" s="4" t="s">
        <v>661</v>
      </c>
      <c r="I285" s="4">
        <v>2019</v>
      </c>
      <c r="J285" s="4" t="s">
        <v>112</v>
      </c>
      <c r="K285" s="333">
        <v>0</v>
      </c>
      <c r="L285" s="333">
        <v>0</v>
      </c>
      <c r="M285" s="333">
        <v>0</v>
      </c>
      <c r="N285" s="333">
        <v>0</v>
      </c>
      <c r="O285" s="333">
        <v>0</v>
      </c>
      <c r="P285" s="333">
        <v>0</v>
      </c>
      <c r="Q285" s="333">
        <v>0</v>
      </c>
      <c r="R285" s="333">
        <v>0</v>
      </c>
      <c r="S285" s="333">
        <v>0</v>
      </c>
      <c r="T285" s="333">
        <v>0</v>
      </c>
      <c r="U285" s="333">
        <v>0</v>
      </c>
      <c r="V285" s="333">
        <v>0</v>
      </c>
      <c r="W285" s="333">
        <v>0</v>
      </c>
      <c r="X285" s="333">
        <v>0</v>
      </c>
      <c r="Y285" s="333">
        <v>0</v>
      </c>
      <c r="Z285" s="333">
        <v>0</v>
      </c>
      <c r="AA285" s="333">
        <v>0</v>
      </c>
      <c r="AB285" s="333">
        <v>0</v>
      </c>
      <c r="AC285" s="333">
        <v>0</v>
      </c>
      <c r="AD285" s="333">
        <v>0</v>
      </c>
      <c r="AE285" s="333">
        <v>0</v>
      </c>
      <c r="AF285" s="333">
        <v>0</v>
      </c>
      <c r="AG285" s="333">
        <v>0</v>
      </c>
      <c r="AH285" s="333">
        <v>0</v>
      </c>
      <c r="AI285" s="333">
        <v>0</v>
      </c>
      <c r="AJ285" s="333">
        <v>0</v>
      </c>
      <c r="AK285" s="333">
        <v>0</v>
      </c>
      <c r="AL285" s="333">
        <v>0</v>
      </c>
    </row>
    <row r="286" spans="1:38">
      <c r="G286" s="4" t="s">
        <v>701</v>
      </c>
      <c r="H286" s="4" t="s">
        <v>661</v>
      </c>
      <c r="I286" s="4">
        <v>2060</v>
      </c>
      <c r="J286" s="4" t="s">
        <v>112</v>
      </c>
      <c r="K286" s="333">
        <v>0</v>
      </c>
      <c r="L286" s="333">
        <v>0</v>
      </c>
      <c r="M286" s="333">
        <v>0</v>
      </c>
      <c r="N286" s="333">
        <v>0</v>
      </c>
      <c r="O286" s="333">
        <v>0</v>
      </c>
      <c r="P286" s="333">
        <v>0</v>
      </c>
      <c r="Q286" s="333">
        <v>0</v>
      </c>
      <c r="R286" s="333">
        <v>0</v>
      </c>
      <c r="S286" s="333">
        <v>0</v>
      </c>
      <c r="T286" s="333">
        <v>0</v>
      </c>
      <c r="U286" s="333">
        <v>0</v>
      </c>
      <c r="V286" s="333">
        <v>0</v>
      </c>
      <c r="W286" s="333">
        <v>0</v>
      </c>
      <c r="X286" s="333">
        <v>0</v>
      </c>
      <c r="Y286" s="333">
        <v>0</v>
      </c>
      <c r="Z286" s="333">
        <v>0</v>
      </c>
      <c r="AA286" s="333">
        <v>0</v>
      </c>
      <c r="AB286" s="333">
        <v>0</v>
      </c>
      <c r="AC286" s="333">
        <v>0</v>
      </c>
      <c r="AD286" s="333">
        <v>0</v>
      </c>
      <c r="AE286" s="333">
        <v>0</v>
      </c>
      <c r="AF286" s="333">
        <v>0</v>
      </c>
      <c r="AG286" s="333">
        <v>0</v>
      </c>
      <c r="AH286" s="333">
        <v>0</v>
      </c>
      <c r="AI286" s="333">
        <v>0</v>
      </c>
      <c r="AJ286" s="333">
        <v>0</v>
      </c>
      <c r="AK286" s="333">
        <v>0</v>
      </c>
      <c r="AL286" s="333">
        <v>0</v>
      </c>
    </row>
    <row r="287" spans="1:38">
      <c r="G287" s="4" t="s">
        <v>701</v>
      </c>
      <c r="H287" s="4" t="s">
        <v>661</v>
      </c>
      <c r="I287" s="4">
        <v>0</v>
      </c>
      <c r="J287" s="4"/>
      <c r="K287" s="333">
        <v>5</v>
      </c>
      <c r="L287" s="333">
        <v>5</v>
      </c>
      <c r="M287" s="333">
        <v>5</v>
      </c>
      <c r="N287" s="333">
        <v>5</v>
      </c>
      <c r="O287" s="333">
        <v>5</v>
      </c>
      <c r="P287" s="333">
        <v>5</v>
      </c>
      <c r="Q287" s="333">
        <v>5</v>
      </c>
      <c r="R287" s="333">
        <v>5</v>
      </c>
      <c r="S287" s="333">
        <v>5</v>
      </c>
      <c r="T287" s="333">
        <v>5</v>
      </c>
      <c r="U287" s="333">
        <v>5</v>
      </c>
      <c r="V287" s="333">
        <v>5</v>
      </c>
      <c r="W287" s="333">
        <v>5</v>
      </c>
      <c r="X287" s="333">
        <v>5</v>
      </c>
      <c r="Y287" s="333">
        <v>5</v>
      </c>
      <c r="Z287" s="333">
        <v>5</v>
      </c>
      <c r="AA287" s="333">
        <v>5</v>
      </c>
      <c r="AB287" s="333">
        <v>5</v>
      </c>
      <c r="AC287" s="333">
        <v>5</v>
      </c>
      <c r="AD287" s="333">
        <v>5</v>
      </c>
      <c r="AE287" s="333">
        <v>5</v>
      </c>
      <c r="AF287" s="333">
        <v>5</v>
      </c>
      <c r="AG287" s="333">
        <v>5</v>
      </c>
      <c r="AH287" s="333">
        <v>5</v>
      </c>
      <c r="AI287" s="333">
        <v>5</v>
      </c>
      <c r="AJ287" s="333">
        <v>5</v>
      </c>
      <c r="AK287" s="333">
        <v>5</v>
      </c>
      <c r="AL287" s="333">
        <v>5</v>
      </c>
    </row>
    <row r="288" spans="1:38">
      <c r="G288" s="4" t="s">
        <v>687</v>
      </c>
      <c r="H288" s="4"/>
      <c r="I288" s="4"/>
      <c r="J288" s="4" t="s">
        <v>2663</v>
      </c>
      <c r="K288" s="425">
        <f>'Key inputs_Refineries'!$C$188*10^3</f>
        <v>94.608000000000018</v>
      </c>
      <c r="L288" s="425">
        <f>'Key inputs_Refineries'!$C$188*10^3</f>
        <v>94.608000000000018</v>
      </c>
      <c r="M288" s="425">
        <f>'Key inputs_Refineries'!$C$188*10^3</f>
        <v>94.608000000000018</v>
      </c>
      <c r="N288" s="425">
        <f>'Key inputs_Refineries'!$C$188*10^3</f>
        <v>94.608000000000018</v>
      </c>
      <c r="O288" s="425">
        <f>'Key inputs_Refineries'!$C$188*10^3</f>
        <v>94.608000000000018</v>
      </c>
      <c r="P288" s="425">
        <f>'Key inputs_Refineries'!$C$188*10^3</f>
        <v>94.608000000000018</v>
      </c>
      <c r="Q288" s="425">
        <f>'Key inputs_Refineries'!$C$188*10^3</f>
        <v>94.608000000000018</v>
      </c>
      <c r="R288" s="425">
        <f>'Key inputs_Refineries'!$C$188*10^3</f>
        <v>94.608000000000018</v>
      </c>
      <c r="S288" s="425">
        <f>'Key inputs_Refineries'!$C$188*10^3</f>
        <v>94.608000000000018</v>
      </c>
      <c r="T288" s="425">
        <f>'Key inputs_Refineries'!$C$188*10^3</f>
        <v>94.608000000000018</v>
      </c>
      <c r="U288" s="425">
        <f>'Key inputs_Refineries'!$C$188*10^3</f>
        <v>94.608000000000018</v>
      </c>
      <c r="V288" s="425">
        <f>'Key inputs_Refineries'!$C$188*10^3</f>
        <v>94.608000000000018</v>
      </c>
      <c r="W288" s="425">
        <f>'Key inputs_Refineries'!$C$188*10^3</f>
        <v>94.608000000000018</v>
      </c>
      <c r="X288" s="425">
        <f>'Key inputs_Refineries'!$C$188*10^3</f>
        <v>94.608000000000018</v>
      </c>
      <c r="Y288" s="425">
        <f>'Key inputs_Refineries'!$C$188*10^3</f>
        <v>94.608000000000018</v>
      </c>
      <c r="Z288" s="425">
        <f>'Key inputs_Refineries'!$C$188*10^3</f>
        <v>94.608000000000018</v>
      </c>
      <c r="AA288" s="425">
        <f>'Key inputs_Refineries'!$C$188*10^3</f>
        <v>94.608000000000018</v>
      </c>
      <c r="AB288" s="425">
        <f>'Key inputs_Refineries'!$C$188*10^3</f>
        <v>94.608000000000018</v>
      </c>
      <c r="AC288" s="425">
        <f>'Key inputs_Refineries'!$C$188*10^3</f>
        <v>94.608000000000018</v>
      </c>
      <c r="AD288" s="425">
        <f>'Key inputs_Refineries'!$C$188*10^3</f>
        <v>94.608000000000018</v>
      </c>
      <c r="AE288" s="425">
        <f>'Key inputs_Refineries'!$C$188*10^3</f>
        <v>94.608000000000018</v>
      </c>
      <c r="AF288" s="425">
        <f>'Key inputs_Refineries'!$C$188*10^3</f>
        <v>94.608000000000018</v>
      </c>
      <c r="AG288" s="425">
        <f>'Key inputs_Refineries'!$C$188*10^3</f>
        <v>94.608000000000018</v>
      </c>
      <c r="AH288" s="425">
        <f>'Key inputs_Refineries'!$C$188*10^3</f>
        <v>94.608000000000018</v>
      </c>
      <c r="AI288" s="425">
        <f>'Key inputs_Refineries'!$C$188*10^3</f>
        <v>94.608000000000018</v>
      </c>
      <c r="AJ288" s="425">
        <f>'Key inputs_Refineries'!$C$188*10^3</f>
        <v>94.608000000000018</v>
      </c>
      <c r="AK288" s="425">
        <f>'Key inputs_Refineries'!$C$188*10^3</f>
        <v>94.608000000000018</v>
      </c>
      <c r="AL288" s="425">
        <f>'Key inputs_Refineries'!$C$188*10^3</f>
        <v>94.608000000000018</v>
      </c>
    </row>
    <row r="289" spans="1:47">
      <c r="G289" s="4" t="s">
        <v>689</v>
      </c>
      <c r="H289" s="4"/>
      <c r="I289" s="4"/>
      <c r="J289" s="4" t="s">
        <v>2663</v>
      </c>
      <c r="K289" s="425">
        <f>'Key inputs_Refineries'!$D$188*10^3</f>
        <v>0.94608000000000003</v>
      </c>
      <c r="L289" s="425">
        <f>'Key inputs_Refineries'!$D$188*10^3</f>
        <v>0.94608000000000003</v>
      </c>
      <c r="M289" s="425">
        <f>'Key inputs_Refineries'!$D$188*10^3</f>
        <v>0.94608000000000003</v>
      </c>
      <c r="N289" s="425">
        <f>'Key inputs_Refineries'!$D$188*10^3</f>
        <v>0.94608000000000003</v>
      </c>
      <c r="O289" s="425">
        <f>'Key inputs_Refineries'!$D$188*10^3</f>
        <v>0.94608000000000003</v>
      </c>
      <c r="P289" s="425">
        <f>'Key inputs_Refineries'!$D$188*10^3</f>
        <v>0.94608000000000003</v>
      </c>
      <c r="Q289" s="425">
        <f>'Key inputs_Refineries'!$D$188*10^3</f>
        <v>0.94608000000000003</v>
      </c>
      <c r="R289" s="425">
        <f>'Key inputs_Refineries'!$D$188*10^3</f>
        <v>0.94608000000000003</v>
      </c>
      <c r="S289" s="425">
        <f>'Key inputs_Refineries'!$D$188*10^3</f>
        <v>0.94608000000000003</v>
      </c>
      <c r="T289" s="425">
        <f>'Key inputs_Refineries'!$D$188*10^3</f>
        <v>0.94608000000000003</v>
      </c>
      <c r="U289" s="425">
        <f>'Key inputs_Refineries'!$D$188*10^3</f>
        <v>0.94608000000000003</v>
      </c>
      <c r="V289" s="425">
        <f>'Key inputs_Refineries'!$D$188*10^3</f>
        <v>0.94608000000000003</v>
      </c>
      <c r="W289" s="425">
        <f>'Key inputs_Refineries'!$D$188*10^3</f>
        <v>0.94608000000000003</v>
      </c>
      <c r="X289" s="425">
        <f>'Key inputs_Refineries'!$D$188*10^3</f>
        <v>0.94608000000000003</v>
      </c>
      <c r="Y289" s="425">
        <f>'Key inputs_Refineries'!$D$188*10^3</f>
        <v>0.94608000000000003</v>
      </c>
      <c r="Z289" s="425">
        <f>'Key inputs_Refineries'!$D$188*10^3</f>
        <v>0.94608000000000003</v>
      </c>
      <c r="AA289" s="425">
        <f>'Key inputs_Refineries'!$D$188*10^3</f>
        <v>0.94608000000000003</v>
      </c>
      <c r="AB289" s="425">
        <f>'Key inputs_Refineries'!$D$188*10^3</f>
        <v>0.94608000000000003</v>
      </c>
      <c r="AC289" s="425">
        <f>'Key inputs_Refineries'!$D$188*10^3</f>
        <v>0.94608000000000003</v>
      </c>
      <c r="AD289" s="425">
        <f>'Key inputs_Refineries'!$D$188*10^3</f>
        <v>0.94608000000000003</v>
      </c>
      <c r="AE289" s="425">
        <f>'Key inputs_Refineries'!$D$188*10^3</f>
        <v>0.94608000000000003</v>
      </c>
      <c r="AF289" s="425">
        <f>'Key inputs_Refineries'!$D$188*10^3</f>
        <v>0.94608000000000003</v>
      </c>
      <c r="AG289" s="425">
        <f>'Key inputs_Refineries'!$D$188*10^3</f>
        <v>0.94608000000000003</v>
      </c>
      <c r="AH289" s="425">
        <f>'Key inputs_Refineries'!$D$188*10^3</f>
        <v>0.94608000000000003</v>
      </c>
      <c r="AI289" s="425">
        <f>'Key inputs_Refineries'!$D$188*10^3</f>
        <v>0.94608000000000003</v>
      </c>
      <c r="AJ289" s="425">
        <f>'Key inputs_Refineries'!$D$188*10^3</f>
        <v>0.94608000000000003</v>
      </c>
      <c r="AK289" s="425">
        <f>'Key inputs_Refineries'!$D$188*10^3</f>
        <v>0.94608000000000003</v>
      </c>
      <c r="AL289" s="425">
        <f>'Key inputs_Refineries'!$D$188*10^3</f>
        <v>0.94608000000000003</v>
      </c>
    </row>
    <row r="290" spans="1:47">
      <c r="G290" s="4" t="s">
        <v>675</v>
      </c>
      <c r="H290" s="4"/>
      <c r="I290" s="4"/>
      <c r="J290" s="4" t="s">
        <v>2662</v>
      </c>
      <c r="K290" s="338"/>
      <c r="L290" s="338"/>
      <c r="M290" s="338"/>
      <c r="N290" s="338"/>
      <c r="O290" s="338"/>
      <c r="P290" s="338"/>
      <c r="Q290" s="338"/>
      <c r="R290" s="338"/>
      <c r="S290" s="338"/>
      <c r="T290" s="338"/>
      <c r="U290" s="338"/>
      <c r="V290" s="338"/>
      <c r="W290" s="338"/>
      <c r="X290" s="338"/>
      <c r="Y290" s="338"/>
      <c r="Z290" s="338"/>
      <c r="AA290" s="338"/>
      <c r="AB290" s="338"/>
      <c r="AC290" s="338"/>
      <c r="AD290" s="338"/>
      <c r="AE290" s="338"/>
      <c r="AF290" s="338"/>
      <c r="AG290" s="338"/>
      <c r="AH290" s="338"/>
      <c r="AI290" s="338"/>
      <c r="AJ290" s="338"/>
      <c r="AK290" s="338"/>
      <c r="AL290" s="338"/>
    </row>
    <row r="291" spans="1:47">
      <c r="G291" s="4" t="s">
        <v>630</v>
      </c>
      <c r="H291" s="4"/>
      <c r="I291" s="4"/>
      <c r="J291" s="4" t="s">
        <v>2666</v>
      </c>
      <c r="K291" s="425">
        <f>'Key inputs_Refineries'!$H$188</f>
        <v>0.85</v>
      </c>
      <c r="L291" s="425">
        <f>'Key inputs_Refineries'!$H$188</f>
        <v>0.85</v>
      </c>
      <c r="M291" s="425">
        <f>'Key inputs_Refineries'!$H$188</f>
        <v>0.85</v>
      </c>
      <c r="N291" s="425">
        <f>'Key inputs_Refineries'!$H$188</f>
        <v>0.85</v>
      </c>
      <c r="O291" s="425">
        <f>'Key inputs_Refineries'!$H$188</f>
        <v>0.85</v>
      </c>
      <c r="P291" s="425">
        <f>'Key inputs_Refineries'!$H$188</f>
        <v>0.85</v>
      </c>
      <c r="Q291" s="425">
        <f>'Key inputs_Refineries'!$H$188</f>
        <v>0.85</v>
      </c>
      <c r="R291" s="425">
        <f>'Key inputs_Refineries'!$H$188</f>
        <v>0.85</v>
      </c>
      <c r="S291" s="425">
        <f>'Key inputs_Refineries'!$H$188</f>
        <v>0.85</v>
      </c>
      <c r="T291" s="425">
        <f>'Key inputs_Refineries'!$H$188</f>
        <v>0.85</v>
      </c>
      <c r="U291" s="425">
        <f>'Key inputs_Refineries'!$H$188</f>
        <v>0.85</v>
      </c>
      <c r="V291" s="425">
        <f>'Key inputs_Refineries'!$H$188</f>
        <v>0.85</v>
      </c>
      <c r="W291" s="425">
        <f>'Key inputs_Refineries'!$H$188</f>
        <v>0.85</v>
      </c>
      <c r="X291" s="425">
        <f>'Key inputs_Refineries'!$H$188</f>
        <v>0.85</v>
      </c>
      <c r="Y291" s="425">
        <f>'Key inputs_Refineries'!$H$188</f>
        <v>0.85</v>
      </c>
      <c r="Z291" s="425">
        <f>'Key inputs_Refineries'!$H$188</f>
        <v>0.85</v>
      </c>
      <c r="AA291" s="425">
        <f>'Key inputs_Refineries'!$H$188</f>
        <v>0.85</v>
      </c>
      <c r="AB291" s="425">
        <f>'Key inputs_Refineries'!$H$188</f>
        <v>0.85</v>
      </c>
      <c r="AC291" s="425">
        <f>'Key inputs_Refineries'!$H$188</f>
        <v>0.85</v>
      </c>
      <c r="AD291" s="425">
        <f>'Key inputs_Refineries'!$H$188</f>
        <v>0.85</v>
      </c>
      <c r="AE291" s="425">
        <f>'Key inputs_Refineries'!$H$188</f>
        <v>0.85</v>
      </c>
      <c r="AF291" s="425">
        <f>'Key inputs_Refineries'!$H$188</f>
        <v>0.85</v>
      </c>
      <c r="AG291" s="425">
        <f>'Key inputs_Refineries'!$H$188</f>
        <v>0.85</v>
      </c>
      <c r="AH291" s="425">
        <f>'Key inputs_Refineries'!$H$188</f>
        <v>0.85</v>
      </c>
      <c r="AI291" s="425">
        <f>'Key inputs_Refineries'!$H$188</f>
        <v>0.85</v>
      </c>
      <c r="AJ291" s="425">
        <f>'Key inputs_Refineries'!$H$188</f>
        <v>0.85</v>
      </c>
      <c r="AK291" s="425">
        <f>'Key inputs_Refineries'!$H$188</f>
        <v>0.85</v>
      </c>
      <c r="AL291" s="425">
        <f>'Key inputs_Refineries'!$H$188</f>
        <v>0.85</v>
      </c>
    </row>
    <row r="292" spans="1:47">
      <c r="C292" t="str">
        <f>Commodities!$C$91</f>
        <v>UPSELC</v>
      </c>
      <c r="G292" s="4" t="s">
        <v>702</v>
      </c>
      <c r="H292" t="s">
        <v>661</v>
      </c>
      <c r="I292">
        <v>2019</v>
      </c>
      <c r="J292" t="s">
        <v>650</v>
      </c>
      <c r="K292" s="173">
        <v>1</v>
      </c>
      <c r="L292" s="173">
        <v>1</v>
      </c>
      <c r="M292" s="173">
        <v>1</v>
      </c>
      <c r="N292" s="173">
        <v>1</v>
      </c>
      <c r="O292" s="173">
        <v>1</v>
      </c>
      <c r="P292" s="173">
        <v>1</v>
      </c>
      <c r="Q292" s="173">
        <v>1</v>
      </c>
      <c r="R292" s="173">
        <v>1</v>
      </c>
      <c r="S292" s="173">
        <v>1</v>
      </c>
      <c r="T292" s="173">
        <v>1</v>
      </c>
      <c r="U292" s="173">
        <v>1</v>
      </c>
      <c r="V292" s="173">
        <v>1</v>
      </c>
      <c r="W292" s="173">
        <v>1</v>
      </c>
      <c r="X292" s="173">
        <v>1</v>
      </c>
      <c r="Y292" s="173">
        <v>1</v>
      </c>
      <c r="Z292" s="173">
        <v>1</v>
      </c>
      <c r="AA292" s="173">
        <v>1</v>
      </c>
      <c r="AB292" s="173">
        <v>1</v>
      </c>
      <c r="AC292" s="173">
        <v>1</v>
      </c>
      <c r="AD292" s="173">
        <v>1</v>
      </c>
      <c r="AE292" s="173">
        <v>1</v>
      </c>
      <c r="AF292" s="173">
        <v>1</v>
      </c>
      <c r="AG292" s="173">
        <v>1</v>
      </c>
      <c r="AH292" s="173">
        <v>1</v>
      </c>
      <c r="AI292" s="173">
        <v>1</v>
      </c>
      <c r="AJ292" s="173">
        <v>1</v>
      </c>
      <c r="AK292" s="173">
        <v>1</v>
      </c>
      <c r="AL292" s="173">
        <v>1</v>
      </c>
    </row>
    <row r="293" spans="1:47">
      <c r="D293" t="str">
        <f>Commodities!$C$106</f>
        <v>UREFOTH</v>
      </c>
    </row>
    <row r="294" spans="1:47">
      <c r="A294" s="4" t="str">
        <f>AO27</f>
        <v>U-TRF-OILREFOTH_HET00</v>
      </c>
      <c r="B294" s="4" t="str">
        <f>AP27</f>
        <v>UPS Transformation: Oil refinery other processes Heat - Existing</v>
      </c>
      <c r="C294" s="4"/>
      <c r="D294" s="4"/>
      <c r="E294" s="4"/>
      <c r="F294" s="4"/>
      <c r="G294" s="4" t="s">
        <v>695</v>
      </c>
      <c r="H294" s="4"/>
      <c r="I294" s="4"/>
      <c r="J294" s="4" t="s">
        <v>2665</v>
      </c>
      <c r="K294" s="333">
        <v>1</v>
      </c>
      <c r="L294" s="333">
        <v>1</v>
      </c>
      <c r="M294" s="333">
        <v>1</v>
      </c>
      <c r="N294" s="333">
        <v>1</v>
      </c>
      <c r="O294" s="333">
        <v>1</v>
      </c>
      <c r="P294" s="333">
        <v>1</v>
      </c>
      <c r="Q294" s="333">
        <v>1</v>
      </c>
      <c r="R294" s="333">
        <v>1</v>
      </c>
      <c r="S294" s="333">
        <v>1</v>
      </c>
      <c r="T294" s="333">
        <v>1</v>
      </c>
      <c r="U294" s="333">
        <v>1</v>
      </c>
      <c r="V294" s="333">
        <v>1</v>
      </c>
      <c r="W294" s="333">
        <v>1</v>
      </c>
      <c r="X294" s="333">
        <v>1</v>
      </c>
      <c r="Y294" s="333">
        <v>1</v>
      </c>
      <c r="Z294" s="333">
        <v>1</v>
      </c>
      <c r="AA294" s="333">
        <v>1</v>
      </c>
      <c r="AB294" s="333">
        <v>1</v>
      </c>
      <c r="AC294" s="333">
        <v>1</v>
      </c>
      <c r="AD294" s="333">
        <v>1</v>
      </c>
      <c r="AE294" s="333">
        <v>1</v>
      </c>
      <c r="AF294" s="333">
        <v>1</v>
      </c>
      <c r="AG294" s="333">
        <v>1</v>
      </c>
      <c r="AH294" s="333">
        <v>1</v>
      </c>
      <c r="AI294" s="333">
        <v>1</v>
      </c>
      <c r="AJ294" s="333">
        <v>1</v>
      </c>
      <c r="AK294" s="333">
        <v>1</v>
      </c>
      <c r="AL294" s="333">
        <v>1</v>
      </c>
    </row>
    <row r="295" spans="1:47">
      <c r="C295" s="4"/>
      <c r="D295" s="4"/>
      <c r="E295" s="4"/>
      <c r="F295" s="4"/>
      <c r="G295" s="4" t="s">
        <v>697</v>
      </c>
      <c r="H295" s="4"/>
      <c r="I295" s="4"/>
      <c r="J295" s="4" t="s">
        <v>698</v>
      </c>
      <c r="K295" s="424">
        <f>'Key inputs_Refineries'!$F$189</f>
        <v>15</v>
      </c>
      <c r="L295" s="424">
        <f>'Key inputs_Refineries'!$F$189</f>
        <v>15</v>
      </c>
      <c r="M295" s="424">
        <f>'Key inputs_Refineries'!$F$189</f>
        <v>15</v>
      </c>
      <c r="N295" s="424">
        <f>'Key inputs_Refineries'!$F$189</f>
        <v>15</v>
      </c>
      <c r="O295" s="424">
        <f>'Key inputs_Refineries'!$F$189</f>
        <v>15</v>
      </c>
      <c r="P295" s="424">
        <f>'Key inputs_Refineries'!$F$189</f>
        <v>15</v>
      </c>
      <c r="Q295" s="424">
        <f>'Key inputs_Refineries'!$F$189</f>
        <v>15</v>
      </c>
      <c r="R295" s="424">
        <f>'Key inputs_Refineries'!$F$189</f>
        <v>15</v>
      </c>
      <c r="S295" s="424">
        <f>'Key inputs_Refineries'!$F$189</f>
        <v>15</v>
      </c>
      <c r="T295" s="424">
        <f>'Key inputs_Refineries'!$F$189</f>
        <v>15</v>
      </c>
      <c r="U295" s="424">
        <f>'Key inputs_Refineries'!$F$189</f>
        <v>15</v>
      </c>
      <c r="V295" s="424">
        <f>'Key inputs_Refineries'!$F$189</f>
        <v>15</v>
      </c>
      <c r="W295" s="424">
        <f>'Key inputs_Refineries'!$F$189</f>
        <v>15</v>
      </c>
      <c r="X295" s="424">
        <f>'Key inputs_Refineries'!$F$189</f>
        <v>15</v>
      </c>
      <c r="Y295" s="424">
        <f>'Key inputs_Refineries'!$F$189</f>
        <v>15</v>
      </c>
      <c r="Z295" s="424">
        <f>'Key inputs_Refineries'!$F$189</f>
        <v>15</v>
      </c>
      <c r="AA295" s="424">
        <f>'Key inputs_Refineries'!$F$189</f>
        <v>15</v>
      </c>
      <c r="AB295" s="424">
        <f>'Key inputs_Refineries'!$F$189</f>
        <v>15</v>
      </c>
      <c r="AC295" s="424">
        <f>'Key inputs_Refineries'!$F$189</f>
        <v>15</v>
      </c>
      <c r="AD295" s="424">
        <f>'Key inputs_Refineries'!$F$189</f>
        <v>15</v>
      </c>
      <c r="AE295" s="424">
        <f>'Key inputs_Refineries'!$F$189</f>
        <v>15</v>
      </c>
      <c r="AF295" s="424">
        <f>'Key inputs_Refineries'!$F$189</f>
        <v>15</v>
      </c>
      <c r="AG295" s="424">
        <f>'Key inputs_Refineries'!$F$189</f>
        <v>15</v>
      </c>
      <c r="AH295" s="424">
        <f>'Key inputs_Refineries'!$F$189</f>
        <v>15</v>
      </c>
      <c r="AI295" s="424">
        <f>'Key inputs_Refineries'!$F$189</f>
        <v>15</v>
      </c>
      <c r="AJ295" s="424">
        <f>'Key inputs_Refineries'!$F$189</f>
        <v>15</v>
      </c>
      <c r="AK295" s="424">
        <f>'Key inputs_Refineries'!$F$189</f>
        <v>15</v>
      </c>
      <c r="AL295" s="424">
        <f>'Key inputs_Refineries'!$F$189</f>
        <v>15</v>
      </c>
    </row>
    <row r="296" spans="1:47">
      <c r="A296" s="4"/>
      <c r="B296" s="4"/>
      <c r="C296" s="4"/>
      <c r="D296" s="4"/>
      <c r="E296" s="4"/>
      <c r="F296" s="4"/>
      <c r="G296" s="4" t="s">
        <v>699</v>
      </c>
      <c r="H296" s="4"/>
      <c r="I296" s="4">
        <v>2019</v>
      </c>
      <c r="J296" s="4" t="s">
        <v>112</v>
      </c>
      <c r="K296" s="347">
        <f>-SUM(SUMIFS('Key inputs_Refineries'!E$85:E$164,'Key inputs_Refineries'!$C$85:$C$164,$C304,'Key inputs_Refineries'!$B$85:$B$164,"Other processes"))*K303/10^3</f>
        <v>0</v>
      </c>
      <c r="L296" s="347">
        <f>-SUM(SUMIFS('Key inputs_Refineries'!F$85:F$164,'Key inputs_Refineries'!$C$85:$C$164,$C304,'Key inputs_Refineries'!$B$85:$B$164,"Other processes"))*L303/10^3</f>
        <v>0</v>
      </c>
      <c r="M296" s="347">
        <f>-SUM(SUMIFS('Key inputs_Refineries'!G$85:G$164,'Key inputs_Refineries'!$C$85:$C$164,$C304,'Key inputs_Refineries'!$B$85:$B$164,"Other processes"))*M303/10^3</f>
        <v>0</v>
      </c>
      <c r="N296" s="347">
        <f>-SUM(SUMIFS('Key inputs_Refineries'!H$85:H$164,'Key inputs_Refineries'!$C$85:$C$164,$C304,'Key inputs_Refineries'!$B$85:$B$164,"Other processes"))*N303/10^3</f>
        <v>0</v>
      </c>
      <c r="O296" s="347">
        <f>-SUM(SUMIFS('Key inputs_Refineries'!I$85:I$164,'Key inputs_Refineries'!$C$85:$C$164,$C304,'Key inputs_Refineries'!$B$85:$B$164,"Other processes"))*O303/10^3</f>
        <v>0</v>
      </c>
      <c r="P296" s="347">
        <f>-SUM(SUMIFS('Key inputs_Refineries'!J$85:J$164,'Key inputs_Refineries'!$C$85:$C$164,$C304,'Key inputs_Refineries'!$B$85:$B$164,"Other processes"))*P303/10^3</f>
        <v>0</v>
      </c>
      <c r="Q296" s="347">
        <f>-SUM(SUMIFS('Key inputs_Refineries'!K$85:K$164,'Key inputs_Refineries'!$C$85:$C$164,$C304,'Key inputs_Refineries'!$B$85:$B$164,"Other processes"))*Q303/10^3</f>
        <v>0</v>
      </c>
      <c r="R296" s="347">
        <f>-SUM(SUMIFS('Key inputs_Refineries'!L$85:L$164,'Key inputs_Refineries'!$C$85:$C$164,$C304,'Key inputs_Refineries'!$B$85:$B$164,"Other processes"))*R303/10^3</f>
        <v>0</v>
      </c>
      <c r="S296" s="347">
        <f>-SUM(SUMIFS('Key inputs_Refineries'!M$85:M$164,'Key inputs_Refineries'!$C$85:$C$164,$C304,'Key inputs_Refineries'!$B$85:$B$164,"Other processes"))*S303/10^3</f>
        <v>0</v>
      </c>
      <c r="T296" s="347">
        <f>-SUM(SUMIFS('Key inputs_Refineries'!N$85:N$164,'Key inputs_Refineries'!$C$85:$C$164,$C304,'Key inputs_Refineries'!$B$85:$B$164,"Other processes"))*T303/10^3</f>
        <v>0</v>
      </c>
      <c r="U296" s="347">
        <f>-SUM(SUMIFS('Key inputs_Refineries'!O$85:O$164,'Key inputs_Refineries'!$C$85:$C$164,$C304,'Key inputs_Refineries'!$B$85:$B$164,"Other processes"))*U303/10^3</f>
        <v>0</v>
      </c>
      <c r="V296" s="347">
        <f>-SUM(SUMIFS('Key inputs_Refineries'!P$85:P$164,'Key inputs_Refineries'!$C$85:$C$164,$C304,'Key inputs_Refineries'!$B$85:$B$164,"Other processes"))*V303/10^3</f>
        <v>18.841937901484275</v>
      </c>
      <c r="W296" s="347">
        <f>-SUM(SUMIFS('Key inputs_Refineries'!Q$85:Q$164,'Key inputs_Refineries'!$C$85:$C$164,$C304,'Key inputs_Refineries'!$B$85:$B$164,"Other processes"))*W303/10^3</f>
        <v>0.67440539873480132</v>
      </c>
      <c r="X296" s="347">
        <f>-SUM(SUMIFS('Key inputs_Refineries'!R$85:R$164,'Key inputs_Refineries'!$C$85:$C$164,$C304,'Key inputs_Refineries'!$B$85:$B$164,"Other processes"))*X303/10^3</f>
        <v>0.39643559999999961</v>
      </c>
      <c r="Y296" s="347">
        <f>-SUM(SUMIFS('Key inputs_Refineries'!S$85:S$164,'Key inputs_Refineries'!$C$85:$C$164,$C304,'Key inputs_Refineries'!$B$85:$B$164,"Other processes"))*Y303/10^3</f>
        <v>6.9238115393774641E-2</v>
      </c>
      <c r="Z296" s="347">
        <f>-SUM(SUMIFS('Key inputs_Refineries'!T$85:T$164,'Key inputs_Refineries'!$C$85:$C$164,$C304,'Key inputs_Refineries'!$B$85:$B$164,"Other processes"))*Z303/10^3</f>
        <v>1.3766883726279036</v>
      </c>
      <c r="AA296" s="347">
        <f>-SUM(SUMIFS('Key inputs_Refineries'!U$85:U$164,'Key inputs_Refineries'!$C$85:$C$164,$C304,'Key inputs_Refineries'!$B$85:$B$164,"Other processes"))*AA303/10^3</f>
        <v>0.5815659867963221</v>
      </c>
      <c r="AB296" s="347">
        <f>-SUM(SUMIFS('Key inputs_Refineries'!V$85:V$164,'Key inputs_Refineries'!$C$85:$C$164,$C304,'Key inputs_Refineries'!$B$85:$B$164,"Other processes"))*AB303/10^3</f>
        <v>0</v>
      </c>
      <c r="AC296" s="347">
        <f>-SUM(SUMIFS('Key inputs_Refineries'!W$85:W$164,'Key inputs_Refineries'!$C$85:$C$164,$C304,'Key inputs_Refineries'!$B$85:$B$164,"Other processes"))*AC303/10^3</f>
        <v>0</v>
      </c>
      <c r="AD296" s="347">
        <f>-SUM(SUMIFS('Key inputs_Refineries'!X$85:X$164,'Key inputs_Refineries'!$C$85:$C$164,$C304,'Key inputs_Refineries'!$B$85:$B$164,"Other processes"))*AD303/10^3</f>
        <v>0</v>
      </c>
      <c r="AE296" s="347">
        <f>-SUM(SUMIFS('Key inputs_Refineries'!Y$85:Y$164,'Key inputs_Refineries'!$C$85:$C$164,$C304,'Key inputs_Refineries'!$B$85:$B$164,"Other processes"))*AE303/10^3</f>
        <v>0</v>
      </c>
      <c r="AF296" s="347">
        <f>-SUM(SUMIFS('Key inputs_Refineries'!Z$85:Z$164,'Key inputs_Refineries'!$C$85:$C$164,$C304,'Key inputs_Refineries'!$B$85:$B$164,"Other processes"))*AF303/10^3</f>
        <v>0</v>
      </c>
      <c r="AG296" s="347">
        <f>-SUM(SUMIFS('Key inputs_Refineries'!AA$85:AA$164,'Key inputs_Refineries'!$C$85:$C$164,$C304,'Key inputs_Refineries'!$B$85:$B$164,"Other processes"))*AG303/10^3</f>
        <v>0</v>
      </c>
      <c r="AH296" s="347">
        <f>-SUM(SUMIFS('Key inputs_Refineries'!AB$85:AB$164,'Key inputs_Refineries'!$C$85:$C$164,$C304,'Key inputs_Refineries'!$B$85:$B$164,"Other processes"))*AH303/10^3</f>
        <v>0</v>
      </c>
      <c r="AI296" s="347">
        <f>-SUM(SUMIFS('Key inputs_Refineries'!AC$85:AC$164,'Key inputs_Refineries'!$C$85:$C$164,$C304,'Key inputs_Refineries'!$B$85:$B$164,"Other processes"))*AI303/10^3</f>
        <v>0</v>
      </c>
      <c r="AJ296" s="347">
        <f>-SUM(SUMIFS('Key inputs_Refineries'!AD$85:AD$164,'Key inputs_Refineries'!$C$85:$C$164,$C304,'Key inputs_Refineries'!$B$85:$B$164,"Other processes"))*AJ303/10^3</f>
        <v>11.422341279386428</v>
      </c>
      <c r="AK296" s="347">
        <f>-SUM(SUMIFS('Key inputs_Refineries'!AE$85:AE$164,'Key inputs_Refineries'!$C$85:$C$164,$C304,'Key inputs_Refineries'!$B$85:$B$164,"Other processes"))*AK303/10^3</f>
        <v>3.6620099999999968E-2</v>
      </c>
      <c r="AL296" s="347">
        <f>-SUM(SUMIFS('Key inputs_Refineries'!AF$85:AF$164,'Key inputs_Refineries'!$C$85:$C$164,$C304,'Key inputs_Refineries'!$B$85:$B$164,"Other processes"))*AL303/10^3</f>
        <v>1.8339452999999983</v>
      </c>
    </row>
    <row r="297" spans="1:47">
      <c r="G297" s="4" t="s">
        <v>701</v>
      </c>
      <c r="H297" s="4" t="s">
        <v>661</v>
      </c>
      <c r="I297" s="4">
        <v>2019</v>
      </c>
      <c r="J297" s="4" t="s">
        <v>112</v>
      </c>
      <c r="K297" s="333">
        <v>0</v>
      </c>
      <c r="L297" s="333">
        <v>0</v>
      </c>
      <c r="M297" s="333">
        <v>0</v>
      </c>
      <c r="N297" s="333">
        <v>0</v>
      </c>
      <c r="O297" s="333">
        <v>0</v>
      </c>
      <c r="P297" s="333">
        <v>0</v>
      </c>
      <c r="Q297" s="333">
        <v>0</v>
      </c>
      <c r="R297" s="333">
        <v>0</v>
      </c>
      <c r="S297" s="333">
        <v>0</v>
      </c>
      <c r="T297" s="333">
        <v>0</v>
      </c>
      <c r="U297" s="333">
        <v>0</v>
      </c>
      <c r="V297" s="333">
        <v>0</v>
      </c>
      <c r="W297" s="333">
        <v>0</v>
      </c>
      <c r="X297" s="333">
        <v>0</v>
      </c>
      <c r="Y297" s="333">
        <v>0</v>
      </c>
      <c r="Z297" s="333">
        <v>0</v>
      </c>
      <c r="AA297" s="333">
        <v>0</v>
      </c>
      <c r="AB297" s="333">
        <v>0</v>
      </c>
      <c r="AC297" s="333">
        <v>0</v>
      </c>
      <c r="AD297" s="333">
        <v>0</v>
      </c>
      <c r="AE297" s="333">
        <v>0</v>
      </c>
      <c r="AF297" s="333">
        <v>0</v>
      </c>
      <c r="AG297" s="333">
        <v>0</v>
      </c>
      <c r="AH297" s="333">
        <v>0</v>
      </c>
      <c r="AI297" s="333">
        <v>0</v>
      </c>
      <c r="AJ297" s="333">
        <v>0</v>
      </c>
      <c r="AK297" s="333">
        <v>0</v>
      </c>
      <c r="AL297" s="333">
        <v>0</v>
      </c>
    </row>
    <row r="298" spans="1:47">
      <c r="G298" s="4" t="s">
        <v>701</v>
      </c>
      <c r="H298" s="4" t="s">
        <v>661</v>
      </c>
      <c r="I298" s="4">
        <v>2060</v>
      </c>
      <c r="J298" s="4" t="s">
        <v>112</v>
      </c>
      <c r="K298" s="333">
        <v>0</v>
      </c>
      <c r="L298" s="333">
        <v>0</v>
      </c>
      <c r="M298" s="333">
        <v>0</v>
      </c>
      <c r="N298" s="333">
        <v>0</v>
      </c>
      <c r="O298" s="333">
        <v>0</v>
      </c>
      <c r="P298" s="333">
        <v>0</v>
      </c>
      <c r="Q298" s="333">
        <v>0</v>
      </c>
      <c r="R298" s="333">
        <v>0</v>
      </c>
      <c r="S298" s="333">
        <v>0</v>
      </c>
      <c r="T298" s="333">
        <v>0</v>
      </c>
      <c r="U298" s="333">
        <v>0</v>
      </c>
      <c r="V298" s="333">
        <v>0</v>
      </c>
      <c r="W298" s="333">
        <v>0</v>
      </c>
      <c r="X298" s="333">
        <v>0</v>
      </c>
      <c r="Y298" s="333">
        <v>0</v>
      </c>
      <c r="Z298" s="333">
        <v>0</v>
      </c>
      <c r="AA298" s="333">
        <v>0</v>
      </c>
      <c r="AB298" s="333">
        <v>0</v>
      </c>
      <c r="AC298" s="333">
        <v>0</v>
      </c>
      <c r="AD298" s="333">
        <v>0</v>
      </c>
      <c r="AE298" s="333">
        <v>0</v>
      </c>
      <c r="AF298" s="333">
        <v>0</v>
      </c>
      <c r="AG298" s="333">
        <v>0</v>
      </c>
      <c r="AH298" s="333">
        <v>0</v>
      </c>
      <c r="AI298" s="333">
        <v>0</v>
      </c>
      <c r="AJ298" s="333">
        <v>0</v>
      </c>
      <c r="AK298" s="333">
        <v>0</v>
      </c>
      <c r="AL298" s="333">
        <v>0</v>
      </c>
    </row>
    <row r="299" spans="1:47">
      <c r="G299" s="4" t="s">
        <v>701</v>
      </c>
      <c r="H299" s="4" t="s">
        <v>661</v>
      </c>
      <c r="I299" s="4">
        <v>0</v>
      </c>
      <c r="J299" s="4"/>
      <c r="K299" s="333">
        <v>5</v>
      </c>
      <c r="L299" s="333">
        <v>5</v>
      </c>
      <c r="M299" s="333">
        <v>5</v>
      </c>
      <c r="N299" s="333">
        <v>5</v>
      </c>
      <c r="O299" s="333">
        <v>5</v>
      </c>
      <c r="P299" s="333">
        <v>5</v>
      </c>
      <c r="Q299" s="333">
        <v>5</v>
      </c>
      <c r="R299" s="333">
        <v>5</v>
      </c>
      <c r="S299" s="333">
        <v>5</v>
      </c>
      <c r="T299" s="333">
        <v>5</v>
      </c>
      <c r="U299" s="333">
        <v>5</v>
      </c>
      <c r="V299" s="333">
        <v>5</v>
      </c>
      <c r="W299" s="333">
        <v>5</v>
      </c>
      <c r="X299" s="333">
        <v>5</v>
      </c>
      <c r="Y299" s="333">
        <v>5</v>
      </c>
      <c r="Z299" s="333">
        <v>5</v>
      </c>
      <c r="AA299" s="333">
        <v>5</v>
      </c>
      <c r="AB299" s="333">
        <v>5</v>
      </c>
      <c r="AC299" s="333">
        <v>5</v>
      </c>
      <c r="AD299" s="333">
        <v>5</v>
      </c>
      <c r="AE299" s="333">
        <v>5</v>
      </c>
      <c r="AF299" s="333">
        <v>5</v>
      </c>
      <c r="AG299" s="333">
        <v>5</v>
      </c>
      <c r="AH299" s="333">
        <v>5</v>
      </c>
      <c r="AI299" s="333">
        <v>5</v>
      </c>
      <c r="AJ299" s="333">
        <v>5</v>
      </c>
      <c r="AK299" s="333">
        <v>5</v>
      </c>
      <c r="AL299" s="333">
        <v>5</v>
      </c>
    </row>
    <row r="300" spans="1:47">
      <c r="G300" s="4" t="s">
        <v>687</v>
      </c>
      <c r="H300" s="4"/>
      <c r="I300" s="4"/>
      <c r="J300" s="4" t="s">
        <v>2663</v>
      </c>
      <c r="K300" s="425">
        <f>'Key inputs_Refineries'!$C$189*10^3</f>
        <v>94.608000000000018</v>
      </c>
      <c r="L300" s="425">
        <f>'Key inputs_Refineries'!$C$189*10^3</f>
        <v>94.608000000000018</v>
      </c>
      <c r="M300" s="425">
        <f>'Key inputs_Refineries'!$C$189*10^3</f>
        <v>94.608000000000018</v>
      </c>
      <c r="N300" s="425">
        <f>'Key inputs_Refineries'!$C$189*10^3</f>
        <v>94.608000000000018</v>
      </c>
      <c r="O300" s="425">
        <f>'Key inputs_Refineries'!$C$189*10^3</f>
        <v>94.608000000000018</v>
      </c>
      <c r="P300" s="425">
        <f>'Key inputs_Refineries'!$C$189*10^3</f>
        <v>94.608000000000018</v>
      </c>
      <c r="Q300" s="425">
        <f>'Key inputs_Refineries'!$C$189*10^3</f>
        <v>94.608000000000018</v>
      </c>
      <c r="R300" s="425">
        <f>'Key inputs_Refineries'!$C$189*10^3</f>
        <v>94.608000000000018</v>
      </c>
      <c r="S300" s="425">
        <f>'Key inputs_Refineries'!$C$189*10^3</f>
        <v>94.608000000000018</v>
      </c>
      <c r="T300" s="425">
        <f>'Key inputs_Refineries'!$C$189*10^3</f>
        <v>94.608000000000018</v>
      </c>
      <c r="U300" s="425">
        <f>'Key inputs_Refineries'!$C$189*10^3</f>
        <v>94.608000000000018</v>
      </c>
      <c r="V300" s="425">
        <f>'Key inputs_Refineries'!$C$189*10^3</f>
        <v>94.608000000000018</v>
      </c>
      <c r="W300" s="425">
        <f>'Key inputs_Refineries'!$C$189*10^3</f>
        <v>94.608000000000018</v>
      </c>
      <c r="X300" s="425">
        <f>'Key inputs_Refineries'!$C$189*10^3</f>
        <v>94.608000000000018</v>
      </c>
      <c r="Y300" s="425">
        <f>'Key inputs_Refineries'!$C$189*10^3</f>
        <v>94.608000000000018</v>
      </c>
      <c r="Z300" s="425">
        <f>'Key inputs_Refineries'!$C$189*10^3</f>
        <v>94.608000000000018</v>
      </c>
      <c r="AA300" s="425">
        <f>'Key inputs_Refineries'!$C$189*10^3</f>
        <v>94.608000000000018</v>
      </c>
      <c r="AB300" s="425">
        <f>'Key inputs_Refineries'!$C$189*10^3</f>
        <v>94.608000000000018</v>
      </c>
      <c r="AC300" s="425">
        <f>'Key inputs_Refineries'!$C$189*10^3</f>
        <v>94.608000000000018</v>
      </c>
      <c r="AD300" s="425">
        <f>'Key inputs_Refineries'!$C$189*10^3</f>
        <v>94.608000000000018</v>
      </c>
      <c r="AE300" s="425">
        <f>'Key inputs_Refineries'!$C$189*10^3</f>
        <v>94.608000000000018</v>
      </c>
      <c r="AF300" s="425">
        <f>'Key inputs_Refineries'!$C$189*10^3</f>
        <v>94.608000000000018</v>
      </c>
      <c r="AG300" s="425">
        <f>'Key inputs_Refineries'!$C$189*10^3</f>
        <v>94.608000000000018</v>
      </c>
      <c r="AH300" s="425">
        <f>'Key inputs_Refineries'!$C$189*10^3</f>
        <v>94.608000000000018</v>
      </c>
      <c r="AI300" s="425">
        <f>'Key inputs_Refineries'!$C$189*10^3</f>
        <v>94.608000000000018</v>
      </c>
      <c r="AJ300" s="425">
        <f>'Key inputs_Refineries'!$C$189*10^3</f>
        <v>94.608000000000018</v>
      </c>
      <c r="AK300" s="425">
        <f>'Key inputs_Refineries'!$C$189*10^3</f>
        <v>94.608000000000018</v>
      </c>
      <c r="AL300" s="425">
        <f>'Key inputs_Refineries'!$C$189*10^3</f>
        <v>94.608000000000018</v>
      </c>
    </row>
    <row r="301" spans="1:47">
      <c r="G301" s="4" t="s">
        <v>689</v>
      </c>
      <c r="H301" s="4"/>
      <c r="I301" s="4"/>
      <c r="J301" s="4" t="s">
        <v>2663</v>
      </c>
      <c r="K301" s="425">
        <f>'Key inputs_Refineries'!$D$189*10^3</f>
        <v>0.94608000000000003</v>
      </c>
      <c r="L301" s="425">
        <f>'Key inputs_Refineries'!$D$189*10^3</f>
        <v>0.94608000000000003</v>
      </c>
      <c r="M301" s="425">
        <f>'Key inputs_Refineries'!$D$189*10^3</f>
        <v>0.94608000000000003</v>
      </c>
      <c r="N301" s="425">
        <f>'Key inputs_Refineries'!$D$189*10^3</f>
        <v>0.94608000000000003</v>
      </c>
      <c r="O301" s="425">
        <f>'Key inputs_Refineries'!$D$189*10^3</f>
        <v>0.94608000000000003</v>
      </c>
      <c r="P301" s="425">
        <f>'Key inputs_Refineries'!$D$189*10^3</f>
        <v>0.94608000000000003</v>
      </c>
      <c r="Q301" s="425">
        <f>'Key inputs_Refineries'!$D$189*10^3</f>
        <v>0.94608000000000003</v>
      </c>
      <c r="R301" s="425">
        <f>'Key inputs_Refineries'!$D$189*10^3</f>
        <v>0.94608000000000003</v>
      </c>
      <c r="S301" s="425">
        <f>'Key inputs_Refineries'!$D$189*10^3</f>
        <v>0.94608000000000003</v>
      </c>
      <c r="T301" s="425">
        <f>'Key inputs_Refineries'!$D$189*10^3</f>
        <v>0.94608000000000003</v>
      </c>
      <c r="U301" s="425">
        <f>'Key inputs_Refineries'!$D$189*10^3</f>
        <v>0.94608000000000003</v>
      </c>
      <c r="V301" s="425">
        <f>'Key inputs_Refineries'!$D$189*10^3</f>
        <v>0.94608000000000003</v>
      </c>
      <c r="W301" s="425">
        <f>'Key inputs_Refineries'!$D$189*10^3</f>
        <v>0.94608000000000003</v>
      </c>
      <c r="X301" s="425">
        <f>'Key inputs_Refineries'!$D$189*10^3</f>
        <v>0.94608000000000003</v>
      </c>
      <c r="Y301" s="425">
        <f>'Key inputs_Refineries'!$D$189*10^3</f>
        <v>0.94608000000000003</v>
      </c>
      <c r="Z301" s="425">
        <f>'Key inputs_Refineries'!$D$189*10^3</f>
        <v>0.94608000000000003</v>
      </c>
      <c r="AA301" s="425">
        <f>'Key inputs_Refineries'!$D$189*10^3</f>
        <v>0.94608000000000003</v>
      </c>
      <c r="AB301" s="425">
        <f>'Key inputs_Refineries'!$D$189*10^3</f>
        <v>0.94608000000000003</v>
      </c>
      <c r="AC301" s="425">
        <f>'Key inputs_Refineries'!$D$189*10^3</f>
        <v>0.94608000000000003</v>
      </c>
      <c r="AD301" s="425">
        <f>'Key inputs_Refineries'!$D$189*10^3</f>
        <v>0.94608000000000003</v>
      </c>
      <c r="AE301" s="425">
        <f>'Key inputs_Refineries'!$D$189*10^3</f>
        <v>0.94608000000000003</v>
      </c>
      <c r="AF301" s="425">
        <f>'Key inputs_Refineries'!$D$189*10^3</f>
        <v>0.94608000000000003</v>
      </c>
      <c r="AG301" s="425">
        <f>'Key inputs_Refineries'!$D$189*10^3</f>
        <v>0.94608000000000003</v>
      </c>
      <c r="AH301" s="425">
        <f>'Key inputs_Refineries'!$D$189*10^3</f>
        <v>0.94608000000000003</v>
      </c>
      <c r="AI301" s="425">
        <f>'Key inputs_Refineries'!$D$189*10^3</f>
        <v>0.94608000000000003</v>
      </c>
      <c r="AJ301" s="425">
        <f>'Key inputs_Refineries'!$D$189*10^3</f>
        <v>0.94608000000000003</v>
      </c>
      <c r="AK301" s="425">
        <f>'Key inputs_Refineries'!$D$189*10^3</f>
        <v>0.94608000000000003</v>
      </c>
      <c r="AL301" s="425">
        <f>'Key inputs_Refineries'!$D$189*10^3</f>
        <v>0.94608000000000003</v>
      </c>
    </row>
    <row r="302" spans="1:47">
      <c r="G302" s="4" t="s">
        <v>675</v>
      </c>
      <c r="H302" s="4"/>
      <c r="I302" s="4"/>
      <c r="J302" s="4" t="s">
        <v>2662</v>
      </c>
      <c r="K302" s="338"/>
      <c r="L302" s="338"/>
      <c r="M302" s="338"/>
      <c r="N302" s="338"/>
      <c r="O302" s="338"/>
      <c r="P302" s="338"/>
      <c r="Q302" s="338"/>
      <c r="R302" s="338"/>
      <c r="S302" s="338"/>
      <c r="T302" s="338"/>
      <c r="U302" s="338"/>
      <c r="V302" s="338"/>
      <c r="W302" s="338"/>
      <c r="X302" s="338"/>
      <c r="Y302" s="338"/>
      <c r="Z302" s="338"/>
      <c r="AA302" s="338"/>
      <c r="AB302" s="338"/>
      <c r="AC302" s="338"/>
      <c r="AD302" s="338"/>
      <c r="AE302" s="338"/>
      <c r="AF302" s="338"/>
      <c r="AG302" s="338"/>
      <c r="AH302" s="338"/>
      <c r="AI302" s="338"/>
      <c r="AJ302" s="338"/>
      <c r="AK302" s="338"/>
      <c r="AL302" s="338"/>
    </row>
    <row r="303" spans="1:47">
      <c r="G303" s="4" t="s">
        <v>630</v>
      </c>
      <c r="H303" s="4"/>
      <c r="I303" s="4"/>
      <c r="J303" s="4" t="s">
        <v>2666</v>
      </c>
      <c r="K303" s="425">
        <f>'Key inputs_Refineries'!$H$189</f>
        <v>0.99</v>
      </c>
      <c r="L303" s="425">
        <f>'Key inputs_Refineries'!$H$189</f>
        <v>0.99</v>
      </c>
      <c r="M303" s="425">
        <f>'Key inputs_Refineries'!$H$189</f>
        <v>0.99</v>
      </c>
      <c r="N303" s="425">
        <f>'Key inputs_Refineries'!$H$189</f>
        <v>0.99</v>
      </c>
      <c r="O303" s="425">
        <f>'Key inputs_Refineries'!$H$189</f>
        <v>0.99</v>
      </c>
      <c r="P303" s="425">
        <f>'Key inputs_Refineries'!$H$189</f>
        <v>0.99</v>
      </c>
      <c r="Q303" s="425">
        <f>'Key inputs_Refineries'!$H$189</f>
        <v>0.99</v>
      </c>
      <c r="R303" s="425">
        <f>'Key inputs_Refineries'!$H$189</f>
        <v>0.99</v>
      </c>
      <c r="S303" s="425">
        <f>'Key inputs_Refineries'!$H$189</f>
        <v>0.99</v>
      </c>
      <c r="T303" s="425">
        <f>'Key inputs_Refineries'!$H$189</f>
        <v>0.99</v>
      </c>
      <c r="U303" s="425">
        <f>'Key inputs_Refineries'!$H$189</f>
        <v>0.99</v>
      </c>
      <c r="V303" s="425">
        <f>'Key inputs_Refineries'!$H$189</f>
        <v>0.99</v>
      </c>
      <c r="W303" s="425">
        <f>'Key inputs_Refineries'!$H$189</f>
        <v>0.99</v>
      </c>
      <c r="X303" s="425">
        <f>'Key inputs_Refineries'!$H$189</f>
        <v>0.99</v>
      </c>
      <c r="Y303" s="425">
        <f>'Key inputs_Refineries'!$H$189</f>
        <v>0.99</v>
      </c>
      <c r="Z303" s="425">
        <f>'Key inputs_Refineries'!$H$189</f>
        <v>0.99</v>
      </c>
      <c r="AA303" s="425">
        <f>'Key inputs_Refineries'!$H$189</f>
        <v>0.99</v>
      </c>
      <c r="AB303" s="425">
        <f>'Key inputs_Refineries'!$H$189</f>
        <v>0.99</v>
      </c>
      <c r="AC303" s="425">
        <f>'Key inputs_Refineries'!$H$189</f>
        <v>0.99</v>
      </c>
      <c r="AD303" s="425">
        <f>'Key inputs_Refineries'!$H$189</f>
        <v>0.99</v>
      </c>
      <c r="AE303" s="425">
        <f>'Key inputs_Refineries'!$H$189</f>
        <v>0.99</v>
      </c>
      <c r="AF303" s="425">
        <f>'Key inputs_Refineries'!$H$189</f>
        <v>0.99</v>
      </c>
      <c r="AG303" s="425">
        <f>'Key inputs_Refineries'!$H$189</f>
        <v>0.99</v>
      </c>
      <c r="AH303" s="425">
        <f>'Key inputs_Refineries'!$H$189</f>
        <v>0.99</v>
      </c>
      <c r="AI303" s="425">
        <f>'Key inputs_Refineries'!$H$189</f>
        <v>0.99</v>
      </c>
      <c r="AJ303" s="425">
        <f>'Key inputs_Refineries'!$H$189</f>
        <v>0.99</v>
      </c>
      <c r="AK303" s="425">
        <f>'Key inputs_Refineries'!$H$189</f>
        <v>0.99</v>
      </c>
      <c r="AL303" s="425">
        <f>'Key inputs_Refineries'!$H$189</f>
        <v>0.99</v>
      </c>
      <c r="AN303" s="353"/>
      <c r="AO303" s="353"/>
      <c r="AP303" s="353"/>
      <c r="AQ303" s="353"/>
      <c r="AR303" s="353"/>
      <c r="AS303" s="353"/>
      <c r="AT303" s="353"/>
      <c r="AU303" s="353"/>
    </row>
    <row r="304" spans="1:47">
      <c r="C304" t="str">
        <f>Commodities!$C$94</f>
        <v>UPSHET</v>
      </c>
      <c r="G304" s="4" t="s">
        <v>702</v>
      </c>
      <c r="H304" t="s">
        <v>661</v>
      </c>
      <c r="I304">
        <v>2019</v>
      </c>
      <c r="J304" t="s">
        <v>650</v>
      </c>
      <c r="K304" s="173">
        <v>1</v>
      </c>
      <c r="L304" s="173">
        <v>1</v>
      </c>
      <c r="M304" s="173">
        <v>1</v>
      </c>
      <c r="N304" s="173">
        <v>1</v>
      </c>
      <c r="O304" s="173">
        <v>1</v>
      </c>
      <c r="P304" s="173">
        <v>1</v>
      </c>
      <c r="Q304" s="173">
        <v>1</v>
      </c>
      <c r="R304" s="173">
        <v>1</v>
      </c>
      <c r="S304" s="173">
        <v>1</v>
      </c>
      <c r="T304" s="173">
        <v>1</v>
      </c>
      <c r="U304" s="173">
        <v>1</v>
      </c>
      <c r="V304" s="173">
        <v>1</v>
      </c>
      <c r="W304" s="173">
        <v>1</v>
      </c>
      <c r="X304" s="173">
        <v>1</v>
      </c>
      <c r="Y304" s="173">
        <v>1</v>
      </c>
      <c r="Z304" s="173">
        <v>1</v>
      </c>
      <c r="AA304" s="173">
        <v>1</v>
      </c>
      <c r="AB304" s="173">
        <v>1</v>
      </c>
      <c r="AC304" s="173">
        <v>1</v>
      </c>
      <c r="AD304" s="173">
        <v>1</v>
      </c>
      <c r="AE304" s="173">
        <v>1</v>
      </c>
      <c r="AF304" s="173">
        <v>1</v>
      </c>
      <c r="AG304" s="173">
        <v>1</v>
      </c>
      <c r="AH304" s="173">
        <v>1</v>
      </c>
      <c r="AI304" s="173">
        <v>1</v>
      </c>
      <c r="AJ304" s="173">
        <v>1</v>
      </c>
      <c r="AK304" s="173">
        <v>1</v>
      </c>
      <c r="AL304" s="173">
        <v>1</v>
      </c>
      <c r="AN304" s="4"/>
      <c r="AQ304" s="4"/>
      <c r="AR304" s="4"/>
      <c r="AS304" s="4"/>
      <c r="AT304" s="4"/>
      <c r="AU304" s="4"/>
    </row>
    <row r="305" spans="1:47" s="4" customFormat="1">
      <c r="A305" s="236"/>
      <c r="B305" s="236"/>
      <c r="C305" s="236"/>
      <c r="D305" s="236" t="str">
        <f>Commodities!$C$106</f>
        <v>UREFOTH</v>
      </c>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c r="AB305" s="236"/>
      <c r="AC305" s="236"/>
      <c r="AD305" s="236"/>
      <c r="AE305" s="236"/>
      <c r="AF305" s="236"/>
      <c r="AG305" s="236"/>
      <c r="AH305" s="236"/>
      <c r="AI305" s="236"/>
      <c r="AJ305" s="236"/>
      <c r="AK305" s="236"/>
      <c r="AL305" s="236"/>
      <c r="AO305"/>
      <c r="AP305"/>
    </row>
    <row r="306" spans="1:47" s="4" customFormat="1">
      <c r="A306" s="257" t="s">
        <v>709</v>
      </c>
      <c r="B306" s="257"/>
      <c r="C306" s="257"/>
      <c r="D306" s="257"/>
      <c r="E306" s="257"/>
      <c r="F306" s="257"/>
      <c r="G306" s="257"/>
      <c r="H306" s="257"/>
      <c r="I306" s="257"/>
      <c r="J306" s="257"/>
      <c r="K306" s="352">
        <f>SUM(K210+K230+K255+K272+K284+K296)</f>
        <v>2.3759999999999976E-2</v>
      </c>
      <c r="L306" s="352">
        <f t="shared" ref="L306:AL306" si="20">SUM(L210+L230+L255+L272+L284+L296)</f>
        <v>2.2056304324777378</v>
      </c>
      <c r="M306" s="352">
        <f t="shared" si="20"/>
        <v>0.10528330207082594</v>
      </c>
      <c r="N306" s="352">
        <f t="shared" si="20"/>
        <v>20.764336853850537</v>
      </c>
      <c r="O306" s="352">
        <f t="shared" si="20"/>
        <v>4.7462881794596985</v>
      </c>
      <c r="P306" s="352">
        <f t="shared" si="20"/>
        <v>3.0290915886679057</v>
      </c>
      <c r="Q306" s="352">
        <f t="shared" si="20"/>
        <v>2.7005955173001128</v>
      </c>
      <c r="R306" s="352">
        <f t="shared" si="20"/>
        <v>0.10903199999999991</v>
      </c>
      <c r="S306" s="352">
        <f t="shared" si="20"/>
        <v>13.142278286478547</v>
      </c>
      <c r="T306" s="352">
        <f t="shared" si="20"/>
        <v>24.900633315553542</v>
      </c>
      <c r="U306" s="352">
        <f t="shared" si="20"/>
        <v>1.9947586966898656</v>
      </c>
      <c r="V306" s="352">
        <f t="shared" si="20"/>
        <v>395.35362840990035</v>
      </c>
      <c r="W306" s="352">
        <f t="shared" si="20"/>
        <v>8.3896836224347364</v>
      </c>
      <c r="X306" s="352">
        <f t="shared" si="20"/>
        <v>14.175775368422434</v>
      </c>
      <c r="Y306" s="352">
        <f t="shared" si="20"/>
        <v>19.073564042472487</v>
      </c>
      <c r="Z306" s="352">
        <f t="shared" si="20"/>
        <v>47.583861469186139</v>
      </c>
      <c r="AA306" s="352">
        <f t="shared" si="20"/>
        <v>45.175722010738902</v>
      </c>
      <c r="AB306" s="352">
        <f t="shared" si="20"/>
        <v>4.1094629732043702</v>
      </c>
      <c r="AC306" s="352">
        <f t="shared" si="20"/>
        <v>35.164481796653249</v>
      </c>
      <c r="AD306" s="352">
        <f t="shared" si="20"/>
        <v>32.309938932859225</v>
      </c>
      <c r="AE306" s="352">
        <f t="shared" si="20"/>
        <v>13.311703705928966</v>
      </c>
      <c r="AF306" s="352">
        <f t="shared" si="20"/>
        <v>12.037472546246526</v>
      </c>
      <c r="AG306" s="352">
        <f t="shared" si="20"/>
        <v>40.470065343161501</v>
      </c>
      <c r="AH306" s="352">
        <f t="shared" si="20"/>
        <v>10.479489528127612</v>
      </c>
      <c r="AI306" s="352">
        <f t="shared" si="20"/>
        <v>0.11352138862779185</v>
      </c>
      <c r="AJ306" s="352">
        <f t="shared" si="20"/>
        <v>92.806584966629984</v>
      </c>
      <c r="AK306" s="352">
        <f t="shared" si="20"/>
        <v>40.946765599988474</v>
      </c>
      <c r="AL306" s="352">
        <f t="shared" si="20"/>
        <v>175.31869886223978</v>
      </c>
      <c r="AO306"/>
      <c r="AP306"/>
    </row>
    <row r="307" spans="1:47" s="4" customFormat="1">
      <c r="A307" s="4" t="str">
        <f>AO28</f>
        <v>U-TRF-OILREFHVA_GAS00</v>
      </c>
      <c r="B307" s="4" t="str">
        <f>AP28</f>
        <v>UPS Transformation: Oil refinery HVAC Gas - Existing</v>
      </c>
      <c r="G307" s="4" t="s">
        <v>695</v>
      </c>
      <c r="J307" s="4" t="s">
        <v>2665</v>
      </c>
      <c r="K307" s="333">
        <v>1</v>
      </c>
      <c r="L307" s="333">
        <v>1</v>
      </c>
      <c r="M307" s="333">
        <v>1</v>
      </c>
      <c r="N307" s="333">
        <v>1</v>
      </c>
      <c r="O307" s="333">
        <v>1</v>
      </c>
      <c r="P307" s="333">
        <v>1</v>
      </c>
      <c r="Q307" s="333">
        <v>1</v>
      </c>
      <c r="R307" s="333">
        <v>1</v>
      </c>
      <c r="S307" s="333">
        <v>1</v>
      </c>
      <c r="T307" s="333">
        <v>1</v>
      </c>
      <c r="U307" s="333">
        <v>1</v>
      </c>
      <c r="V307" s="333">
        <v>1</v>
      </c>
      <c r="W307" s="333">
        <v>1</v>
      </c>
      <c r="X307" s="333">
        <v>1</v>
      </c>
      <c r="Y307" s="333">
        <v>1</v>
      </c>
      <c r="Z307" s="333">
        <v>1</v>
      </c>
      <c r="AA307" s="333">
        <v>1</v>
      </c>
      <c r="AB307" s="333">
        <v>1</v>
      </c>
      <c r="AC307" s="333">
        <v>1</v>
      </c>
      <c r="AD307" s="333">
        <v>1</v>
      </c>
      <c r="AE307" s="333">
        <v>1</v>
      </c>
      <c r="AF307" s="333">
        <v>1</v>
      </c>
      <c r="AG307" s="333">
        <v>1</v>
      </c>
      <c r="AH307" s="333">
        <v>1</v>
      </c>
      <c r="AI307" s="333">
        <v>1</v>
      </c>
      <c r="AJ307" s="333">
        <v>1</v>
      </c>
      <c r="AK307" s="333">
        <v>1</v>
      </c>
      <c r="AL307" s="333">
        <v>1</v>
      </c>
      <c r="AO307"/>
      <c r="AP307"/>
    </row>
    <row r="308" spans="1:47" s="4" customFormat="1">
      <c r="G308" s="4" t="s">
        <v>697</v>
      </c>
      <c r="J308" s="4" t="s">
        <v>698</v>
      </c>
      <c r="K308" s="424">
        <f>'Key inputs_Refineries'!$F$190</f>
        <v>15</v>
      </c>
      <c r="L308" s="424">
        <f>'Key inputs_Refineries'!$F$190</f>
        <v>15</v>
      </c>
      <c r="M308" s="424">
        <f>'Key inputs_Refineries'!$F$190</f>
        <v>15</v>
      </c>
      <c r="N308" s="424">
        <f>'Key inputs_Refineries'!$F$190</f>
        <v>15</v>
      </c>
      <c r="O308" s="424">
        <f>'Key inputs_Refineries'!$F$190</f>
        <v>15</v>
      </c>
      <c r="P308" s="424">
        <f>'Key inputs_Refineries'!$F$190</f>
        <v>15</v>
      </c>
      <c r="Q308" s="424">
        <f>'Key inputs_Refineries'!$F$190</f>
        <v>15</v>
      </c>
      <c r="R308" s="424">
        <f>'Key inputs_Refineries'!$F$190</f>
        <v>15</v>
      </c>
      <c r="S308" s="424">
        <f>'Key inputs_Refineries'!$F$190</f>
        <v>15</v>
      </c>
      <c r="T308" s="424">
        <f>'Key inputs_Refineries'!$F$190</f>
        <v>15</v>
      </c>
      <c r="U308" s="424">
        <f>'Key inputs_Refineries'!$F$190</f>
        <v>15</v>
      </c>
      <c r="V308" s="424">
        <f>'Key inputs_Refineries'!$F$190</f>
        <v>15</v>
      </c>
      <c r="W308" s="424">
        <f>'Key inputs_Refineries'!$F$190</f>
        <v>15</v>
      </c>
      <c r="X308" s="424">
        <f>'Key inputs_Refineries'!$F$190</f>
        <v>15</v>
      </c>
      <c r="Y308" s="424">
        <f>'Key inputs_Refineries'!$F$190</f>
        <v>15</v>
      </c>
      <c r="Z308" s="424">
        <f>'Key inputs_Refineries'!$F$190</f>
        <v>15</v>
      </c>
      <c r="AA308" s="424">
        <f>'Key inputs_Refineries'!$F$190</f>
        <v>15</v>
      </c>
      <c r="AB308" s="424">
        <f>'Key inputs_Refineries'!$F$190</f>
        <v>15</v>
      </c>
      <c r="AC308" s="424">
        <f>'Key inputs_Refineries'!$F$190</f>
        <v>15</v>
      </c>
      <c r="AD308" s="424">
        <f>'Key inputs_Refineries'!$F$190</f>
        <v>15</v>
      </c>
      <c r="AE308" s="424">
        <f>'Key inputs_Refineries'!$F$190</f>
        <v>15</v>
      </c>
      <c r="AF308" s="424">
        <f>'Key inputs_Refineries'!$F$190</f>
        <v>15</v>
      </c>
      <c r="AG308" s="424">
        <f>'Key inputs_Refineries'!$F$190</f>
        <v>15</v>
      </c>
      <c r="AH308" s="424">
        <f>'Key inputs_Refineries'!$F$190</f>
        <v>15</v>
      </c>
      <c r="AI308" s="424">
        <f>'Key inputs_Refineries'!$F$190</f>
        <v>15</v>
      </c>
      <c r="AJ308" s="424">
        <f>'Key inputs_Refineries'!$F$190</f>
        <v>15</v>
      </c>
      <c r="AK308" s="424">
        <f>'Key inputs_Refineries'!$F$190</f>
        <v>15</v>
      </c>
      <c r="AL308" s="424">
        <f>'Key inputs_Refineries'!$F$190</f>
        <v>15</v>
      </c>
      <c r="AO308"/>
      <c r="AP308"/>
    </row>
    <row r="309" spans="1:47">
      <c r="A309" s="4"/>
      <c r="B309" s="4"/>
      <c r="C309" s="4"/>
      <c r="D309" s="4"/>
      <c r="E309" s="4"/>
      <c r="F309" s="4"/>
      <c r="G309" s="4" t="s">
        <v>699</v>
      </c>
      <c r="H309" s="4"/>
      <c r="I309" s="4">
        <v>2019</v>
      </c>
      <c r="J309" s="4" t="s">
        <v>112</v>
      </c>
      <c r="K309" s="347" cm="1">
        <f t="array" ref="K309">-SUM(SUMIFS('Key inputs_Refineries'!E$85:E$164,'Key inputs_Refineries'!$C$85:$C$164,$C317:$C318,'Key inputs_Refineries'!$B$85:$B$164,"HVAC"))*K316/10^3</f>
        <v>0</v>
      </c>
      <c r="L309" s="347" cm="1">
        <f t="array" ref="L309">-SUM(SUMIFS('Key inputs_Refineries'!F$85:F$164,'Key inputs_Refineries'!$C$85:$C$164,$C317:$C318,'Key inputs_Refineries'!$B$85:$B$164,"HVAC"))*L316/10^3</f>
        <v>6.9758095457283884E-2</v>
      </c>
      <c r="M309" s="347" cm="1">
        <f t="array" ref="M309">-SUM(SUMIFS('Key inputs_Refineries'!G$85:G$164,'Key inputs_Refineries'!$C$85:$C$164,$C317:$C318,'Key inputs_Refineries'!$B$85:$B$164,"HVAC"))*M316/10^3</f>
        <v>9.0064163372458438E-3</v>
      </c>
      <c r="N309" s="347" cm="1">
        <f t="array" ref="N309">-SUM(SUMIFS('Key inputs_Refineries'!H$85:H$164,'Key inputs_Refineries'!$C$85:$C$164,$C317:$C318,'Key inputs_Refineries'!$B$85:$B$164,"HVAC"))*N316/10^3</f>
        <v>0</v>
      </c>
      <c r="O309" s="347" cm="1">
        <f t="array" ref="O309">-SUM(SUMIFS('Key inputs_Refineries'!I$85:I$164,'Key inputs_Refineries'!$C$85:$C$164,$C317:$C318,'Key inputs_Refineries'!$B$85:$B$164,"HVAC"))*O316/10^3</f>
        <v>1.8209539034971661E-2</v>
      </c>
      <c r="P309" s="347" cm="1">
        <f t="array" ref="P309">-SUM(SUMIFS('Key inputs_Refineries'!J$85:J$164,'Key inputs_Refineries'!$C$85:$C$164,$C317:$C318,'Key inputs_Refineries'!$B$85:$B$164,"HVAC"))*P316/10^3</f>
        <v>1.4941820120499574E-2</v>
      </c>
      <c r="Q309" s="347" cm="1">
        <f t="array" ref="Q309">-SUM(SUMIFS('Key inputs_Refineries'!K$85:K$164,'Key inputs_Refineries'!$C$85:$C$164,$C317:$C318,'Key inputs_Refineries'!$B$85:$B$164,"HVAC"))*Q316/10^3</f>
        <v>4.3185057667049585E-3</v>
      </c>
      <c r="R309" s="347" cm="1">
        <f t="array" ref="R309">-SUM(SUMIFS('Key inputs_Refineries'!L$85:L$164,'Key inputs_Refineries'!$C$85:$C$164,$C317:$C318,'Key inputs_Refineries'!$B$85:$B$164,"HVAC"))*R316/10^3</f>
        <v>0</v>
      </c>
      <c r="S309" s="347" cm="1">
        <f t="array" ref="S309">-SUM(SUMIFS('Key inputs_Refineries'!M$85:M$164,'Key inputs_Refineries'!$C$85:$C$164,$C317:$C318,'Key inputs_Refineries'!$B$85:$B$164,"HVAC"))*S316/10^3</f>
        <v>0.35153968399859647</v>
      </c>
      <c r="T309" s="347" cm="1">
        <f t="array" ref="T309">-SUM(SUMIFS('Key inputs_Refineries'!N$85:N$164,'Key inputs_Refineries'!$C$85:$C$164,$C317:$C318,'Key inputs_Refineries'!$B$85:$B$164,"HVAC"))*T316/10^3</f>
        <v>0.11245694688861615</v>
      </c>
      <c r="U309" s="347" cm="1">
        <f t="array" ref="U309">-SUM(SUMIFS('Key inputs_Refineries'!O$85:O$164,'Key inputs_Refineries'!$C$85:$C$164,$C317:$C318,'Key inputs_Refineries'!$B$85:$B$164,"HVAC"))*U316/10^3</f>
        <v>1.8697300545758924E-2</v>
      </c>
      <c r="V309" s="347" cm="1">
        <f t="array" ref="V309">-SUM(SUMIFS('Key inputs_Refineries'!P$85:P$164,'Key inputs_Refineries'!$C$85:$C$164,$C317:$C318,'Key inputs_Refineries'!$B$85:$B$164,"HVAC"))*V316/10^3</f>
        <v>1.1464013321951934</v>
      </c>
      <c r="W309" s="347" cm="1">
        <f t="array" ref="W309">-SUM(SUMIFS('Key inputs_Refineries'!Q$85:Q$164,'Key inputs_Refineries'!$C$85:$C$164,$C317:$C318,'Key inputs_Refineries'!$B$85:$B$164,"HVAC"))*W316/10^3</f>
        <v>6.5735148672571658E-2</v>
      </c>
      <c r="X309" s="347" cm="1">
        <f t="array" ref="X309">-SUM(SUMIFS('Key inputs_Refineries'!R$85:R$164,'Key inputs_Refineries'!$C$85:$C$164,$C317:$C318,'Key inputs_Refineries'!$B$85:$B$164,"HVAC"))*X316/10^3</f>
        <v>7.0083066776390354E-2</v>
      </c>
      <c r="Y309" s="347" cm="1">
        <f t="array" ref="Y309">-SUM(SUMIFS('Key inputs_Refineries'!S$85:S$164,'Key inputs_Refineries'!$C$85:$C$164,$C317:$C318,'Key inputs_Refineries'!$B$85:$B$164,"HVAC"))*Y316/10^3</f>
        <v>0.12931459681876054</v>
      </c>
      <c r="Z309" s="347" cm="1">
        <f t="array" ref="Z309">-SUM(SUMIFS('Key inputs_Refineries'!T$85:T$164,'Key inputs_Refineries'!$C$85:$C$164,$C317:$C318,'Key inputs_Refineries'!$B$85:$B$164,"HVAC"))*Z316/10^3</f>
        <v>0.29753310431223812</v>
      </c>
      <c r="AA309" s="347" cm="1">
        <f t="array" ref="AA309">-SUM(SUMIFS('Key inputs_Refineries'!U$85:U$164,'Key inputs_Refineries'!$C$85:$C$164,$C317:$C318,'Key inputs_Refineries'!$B$85:$B$164,"HVAC"))*AA316/10^3</f>
        <v>0.40163394954585813</v>
      </c>
      <c r="AB309" s="347" cm="1">
        <f t="array" ref="AB309">-SUM(SUMIFS('Key inputs_Refineries'!V$85:V$164,'Key inputs_Refineries'!$C$85:$C$164,$C317:$C318,'Key inputs_Refineries'!$B$85:$B$164,"HVAC"))*AB316/10^3</f>
        <v>0</v>
      </c>
      <c r="AC309" s="347" cm="1">
        <f t="array" ref="AC309">-SUM(SUMIFS('Key inputs_Refineries'!W$85:W$164,'Key inputs_Refineries'!$C$85:$C$164,$C317:$C318,'Key inputs_Refineries'!$B$85:$B$164,"HVAC"))*AC316/10^3</f>
        <v>0.80203693221775785</v>
      </c>
      <c r="AD309" s="347" cm="1">
        <f t="array" ref="AD309">-SUM(SUMIFS('Key inputs_Refineries'!X$85:X$164,'Key inputs_Refineries'!$C$85:$C$164,$C317:$C318,'Key inputs_Refineries'!$B$85:$B$164,"HVAC"))*AD316/10^3</f>
        <v>6.4857783459737695E-2</v>
      </c>
      <c r="AE309" s="347" cm="1">
        <f t="array" ref="AE309">-SUM(SUMIFS('Key inputs_Refineries'!Y$85:Y$164,'Key inputs_Refineries'!$C$85:$C$164,$C317:$C318,'Key inputs_Refineries'!$B$85:$B$164,"HVAC"))*AE316/10^3</f>
        <v>0.13434503467580572</v>
      </c>
      <c r="AF309" s="347" cm="1">
        <f t="array" ref="AF309">-SUM(SUMIFS('Key inputs_Refineries'!Z$85:Z$164,'Key inputs_Refineries'!$C$85:$C$164,$C317:$C318,'Key inputs_Refineries'!$B$85:$B$164,"HVAC"))*AF316/10^3</f>
        <v>0.11313359657994146</v>
      </c>
      <c r="AG309" s="347" cm="1">
        <f t="array" ref="AG309">-SUM(SUMIFS('Key inputs_Refineries'!AA$85:AA$164,'Key inputs_Refineries'!$C$85:$C$164,$C317:$C318,'Key inputs_Refineries'!$B$85:$B$164,"HVAC"))*AG316/10^3</f>
        <v>0.62205414151658522</v>
      </c>
      <c r="AH309" s="347" cm="1">
        <f t="array" ref="AH309">-SUM(SUMIFS('Key inputs_Refineries'!AB$85:AB$164,'Key inputs_Refineries'!$C$85:$C$164,$C317:$C318,'Key inputs_Refineries'!$B$85:$B$164,"HVAC"))*AH316/10^3</f>
        <v>1.0257559197490043</v>
      </c>
      <c r="AI309" s="347" cm="1">
        <f t="array" ref="AI309">-SUM(SUMIFS('Key inputs_Refineries'!AC$85:AC$164,'Key inputs_Refineries'!$C$85:$C$164,$C317:$C318,'Key inputs_Refineries'!$B$85:$B$164,"HVAC"))*AI316/10^3</f>
        <v>2.1704462875930652E-2</v>
      </c>
      <c r="AJ309" s="347" cm="1">
        <f t="array" ref="AJ309">-SUM(SUMIFS('Key inputs_Refineries'!AD$85:AD$164,'Key inputs_Refineries'!$C$85:$C$164,$C317:$C318,'Key inputs_Refineries'!$B$85:$B$164,"HVAC"))*AJ316/10^3</f>
        <v>0</v>
      </c>
      <c r="AK309" s="347" cm="1">
        <f t="array" ref="AK309">-SUM(SUMIFS('Key inputs_Refineries'!AE$85:AE$164,'Key inputs_Refineries'!$C$85:$C$164,$C317:$C318,'Key inputs_Refineries'!$B$85:$B$164,"HVAC"))*AK316/10^3</f>
        <v>0</v>
      </c>
      <c r="AL309" s="347" cm="1">
        <f t="array" ref="AL309">-SUM(SUMIFS('Key inputs_Refineries'!AF$85:AF$164,'Key inputs_Refineries'!$C$85:$C$164,$C317:$C318,'Key inputs_Refineries'!$B$85:$B$164,"HVAC"))*AL316/10^3</f>
        <v>1.9828699922610773</v>
      </c>
      <c r="AN309" s="4"/>
      <c r="AQ309" s="4"/>
      <c r="AR309" s="4"/>
      <c r="AS309" s="4"/>
      <c r="AT309" s="4"/>
      <c r="AU309" s="4"/>
    </row>
    <row r="310" spans="1:47">
      <c r="G310" s="4" t="s">
        <v>701</v>
      </c>
      <c r="H310" s="4" t="s">
        <v>661</v>
      </c>
      <c r="I310" s="4">
        <v>2019</v>
      </c>
      <c r="J310" s="4" t="s">
        <v>112</v>
      </c>
      <c r="K310" s="333">
        <v>0</v>
      </c>
      <c r="L310" s="333">
        <v>0</v>
      </c>
      <c r="M310" s="333">
        <v>0</v>
      </c>
      <c r="N310" s="333">
        <v>0</v>
      </c>
      <c r="O310" s="333">
        <v>0</v>
      </c>
      <c r="P310" s="333">
        <v>0</v>
      </c>
      <c r="Q310" s="333">
        <v>0</v>
      </c>
      <c r="R310" s="333">
        <v>0</v>
      </c>
      <c r="S310" s="333">
        <v>0</v>
      </c>
      <c r="T310" s="333">
        <v>0</v>
      </c>
      <c r="U310" s="333">
        <v>0</v>
      </c>
      <c r="V310" s="333">
        <v>0</v>
      </c>
      <c r="W310" s="333">
        <v>0</v>
      </c>
      <c r="X310" s="333">
        <v>0</v>
      </c>
      <c r="Y310" s="333">
        <v>0</v>
      </c>
      <c r="Z310" s="333">
        <v>0</v>
      </c>
      <c r="AA310" s="333">
        <v>0</v>
      </c>
      <c r="AB310" s="333">
        <v>0</v>
      </c>
      <c r="AC310" s="333">
        <v>0</v>
      </c>
      <c r="AD310" s="333">
        <v>0</v>
      </c>
      <c r="AE310" s="333">
        <v>0</v>
      </c>
      <c r="AF310" s="333">
        <v>0</v>
      </c>
      <c r="AG310" s="333">
        <v>0</v>
      </c>
      <c r="AH310" s="333">
        <v>0</v>
      </c>
      <c r="AI310" s="333">
        <v>0</v>
      </c>
      <c r="AJ310" s="333">
        <v>0</v>
      </c>
      <c r="AK310" s="333">
        <v>0</v>
      </c>
      <c r="AL310" s="333">
        <v>0</v>
      </c>
      <c r="AN310" s="4"/>
      <c r="AQ310" s="4"/>
      <c r="AR310" s="4"/>
      <c r="AS310" s="4"/>
      <c r="AT310" s="4"/>
      <c r="AU310" s="4"/>
    </row>
    <row r="311" spans="1:47">
      <c r="G311" s="4" t="s">
        <v>701</v>
      </c>
      <c r="H311" s="4" t="s">
        <v>661</v>
      </c>
      <c r="I311" s="4">
        <v>2060</v>
      </c>
      <c r="J311" s="4" t="s">
        <v>112</v>
      </c>
      <c r="K311" s="333">
        <v>0</v>
      </c>
      <c r="L311" s="333">
        <v>0</v>
      </c>
      <c r="M311" s="333">
        <v>0</v>
      </c>
      <c r="N311" s="333">
        <v>0</v>
      </c>
      <c r="O311" s="333">
        <v>0</v>
      </c>
      <c r="P311" s="333">
        <v>0</v>
      </c>
      <c r="Q311" s="333">
        <v>0</v>
      </c>
      <c r="R311" s="333">
        <v>0</v>
      </c>
      <c r="S311" s="333">
        <v>0</v>
      </c>
      <c r="T311" s="333">
        <v>0</v>
      </c>
      <c r="U311" s="333">
        <v>0</v>
      </c>
      <c r="V311" s="333">
        <v>0</v>
      </c>
      <c r="W311" s="333">
        <v>0</v>
      </c>
      <c r="X311" s="333">
        <v>0</v>
      </c>
      <c r="Y311" s="333">
        <v>0</v>
      </c>
      <c r="Z311" s="333">
        <v>0</v>
      </c>
      <c r="AA311" s="333">
        <v>0</v>
      </c>
      <c r="AB311" s="333">
        <v>0</v>
      </c>
      <c r="AC311" s="333">
        <v>0</v>
      </c>
      <c r="AD311" s="333">
        <v>0</v>
      </c>
      <c r="AE311" s="333">
        <v>0</v>
      </c>
      <c r="AF311" s="333">
        <v>0</v>
      </c>
      <c r="AG311" s="333">
        <v>0</v>
      </c>
      <c r="AH311" s="333">
        <v>0</v>
      </c>
      <c r="AI311" s="333">
        <v>0</v>
      </c>
      <c r="AJ311" s="333">
        <v>0</v>
      </c>
      <c r="AK311" s="333">
        <v>0</v>
      </c>
      <c r="AL311" s="333">
        <v>0</v>
      </c>
      <c r="AN311" s="4"/>
      <c r="AQ311" s="4"/>
      <c r="AR311" s="4"/>
      <c r="AS311" s="4"/>
      <c r="AT311" s="4"/>
      <c r="AU311" s="4"/>
    </row>
    <row r="312" spans="1:47">
      <c r="G312" s="4" t="s">
        <v>701</v>
      </c>
      <c r="H312" s="4" t="s">
        <v>661</v>
      </c>
      <c r="I312" s="4">
        <v>0</v>
      </c>
      <c r="J312" s="4"/>
      <c r="K312" s="333">
        <v>5</v>
      </c>
      <c r="L312" s="333">
        <v>5</v>
      </c>
      <c r="M312" s="333">
        <v>5</v>
      </c>
      <c r="N312" s="333">
        <v>5</v>
      </c>
      <c r="O312" s="333">
        <v>5</v>
      </c>
      <c r="P312" s="333">
        <v>5</v>
      </c>
      <c r="Q312" s="333">
        <v>5</v>
      </c>
      <c r="R312" s="333">
        <v>5</v>
      </c>
      <c r="S312" s="333">
        <v>5</v>
      </c>
      <c r="T312" s="333">
        <v>5</v>
      </c>
      <c r="U312" s="333">
        <v>5</v>
      </c>
      <c r="V312" s="333">
        <v>5</v>
      </c>
      <c r="W312" s="333">
        <v>5</v>
      </c>
      <c r="X312" s="333">
        <v>5</v>
      </c>
      <c r="Y312" s="333">
        <v>5</v>
      </c>
      <c r="Z312" s="333">
        <v>5</v>
      </c>
      <c r="AA312" s="333">
        <v>5</v>
      </c>
      <c r="AB312" s="333">
        <v>5</v>
      </c>
      <c r="AC312" s="333">
        <v>5</v>
      </c>
      <c r="AD312" s="333">
        <v>5</v>
      </c>
      <c r="AE312" s="333">
        <v>5</v>
      </c>
      <c r="AF312" s="333">
        <v>5</v>
      </c>
      <c r="AG312" s="333">
        <v>5</v>
      </c>
      <c r="AH312" s="333">
        <v>5</v>
      </c>
      <c r="AI312" s="333">
        <v>5</v>
      </c>
      <c r="AJ312" s="333">
        <v>5</v>
      </c>
      <c r="AK312" s="333">
        <v>5</v>
      </c>
      <c r="AL312" s="333">
        <v>5</v>
      </c>
      <c r="AN312" s="4"/>
      <c r="AQ312" s="4"/>
      <c r="AR312" s="4"/>
      <c r="AS312" s="4"/>
      <c r="AT312" s="4"/>
      <c r="AU312" s="4"/>
    </row>
    <row r="313" spans="1:47">
      <c r="A313" s="4"/>
      <c r="B313" s="4"/>
      <c r="G313" s="4" t="s">
        <v>687</v>
      </c>
      <c r="H313" s="4"/>
      <c r="I313" s="4"/>
      <c r="J313" s="4" t="s">
        <v>2663</v>
      </c>
      <c r="K313" s="425">
        <f>'Key inputs_Refineries'!$C$190*10^3</f>
        <v>138.75840000000002</v>
      </c>
      <c r="L313" s="425">
        <f>'Key inputs_Refineries'!$C$190*10^3</f>
        <v>138.75840000000002</v>
      </c>
      <c r="M313" s="425">
        <f>'Key inputs_Refineries'!$C$190*10^3</f>
        <v>138.75840000000002</v>
      </c>
      <c r="N313" s="425">
        <f>'Key inputs_Refineries'!$C$190*10^3</f>
        <v>138.75840000000002</v>
      </c>
      <c r="O313" s="425">
        <f>'Key inputs_Refineries'!$C$190*10^3</f>
        <v>138.75840000000002</v>
      </c>
      <c r="P313" s="425">
        <f>'Key inputs_Refineries'!$C$190*10^3</f>
        <v>138.75840000000002</v>
      </c>
      <c r="Q313" s="425">
        <f>'Key inputs_Refineries'!$C$190*10^3</f>
        <v>138.75840000000002</v>
      </c>
      <c r="R313" s="425">
        <f>'Key inputs_Refineries'!$C$190*10^3</f>
        <v>138.75840000000002</v>
      </c>
      <c r="S313" s="425">
        <f>'Key inputs_Refineries'!$C$190*10^3</f>
        <v>138.75840000000002</v>
      </c>
      <c r="T313" s="425">
        <f>'Key inputs_Refineries'!$C$190*10^3</f>
        <v>138.75840000000002</v>
      </c>
      <c r="U313" s="425">
        <f>'Key inputs_Refineries'!$C$190*10^3</f>
        <v>138.75840000000002</v>
      </c>
      <c r="V313" s="425">
        <f>'Key inputs_Refineries'!$C$190*10^3</f>
        <v>138.75840000000002</v>
      </c>
      <c r="W313" s="425">
        <f>'Key inputs_Refineries'!$C$190*10^3</f>
        <v>138.75840000000002</v>
      </c>
      <c r="X313" s="425">
        <f>'Key inputs_Refineries'!$C$190*10^3</f>
        <v>138.75840000000002</v>
      </c>
      <c r="Y313" s="425">
        <f>'Key inputs_Refineries'!$C$190*10^3</f>
        <v>138.75840000000002</v>
      </c>
      <c r="Z313" s="425">
        <f>'Key inputs_Refineries'!$C$190*10^3</f>
        <v>138.75840000000002</v>
      </c>
      <c r="AA313" s="425">
        <f>'Key inputs_Refineries'!$C$190*10^3</f>
        <v>138.75840000000002</v>
      </c>
      <c r="AB313" s="425">
        <f>'Key inputs_Refineries'!$C$190*10^3</f>
        <v>138.75840000000002</v>
      </c>
      <c r="AC313" s="425">
        <f>'Key inputs_Refineries'!$C$190*10^3</f>
        <v>138.75840000000002</v>
      </c>
      <c r="AD313" s="425">
        <f>'Key inputs_Refineries'!$C$190*10^3</f>
        <v>138.75840000000002</v>
      </c>
      <c r="AE313" s="425">
        <f>'Key inputs_Refineries'!$C$190*10^3</f>
        <v>138.75840000000002</v>
      </c>
      <c r="AF313" s="425">
        <f>'Key inputs_Refineries'!$C$190*10^3</f>
        <v>138.75840000000002</v>
      </c>
      <c r="AG313" s="425">
        <f>'Key inputs_Refineries'!$C$190*10^3</f>
        <v>138.75840000000002</v>
      </c>
      <c r="AH313" s="425">
        <f>'Key inputs_Refineries'!$C$190*10^3</f>
        <v>138.75840000000002</v>
      </c>
      <c r="AI313" s="425">
        <f>'Key inputs_Refineries'!$C$190*10^3</f>
        <v>138.75840000000002</v>
      </c>
      <c r="AJ313" s="425">
        <f>'Key inputs_Refineries'!$C$190*10^3</f>
        <v>138.75840000000002</v>
      </c>
      <c r="AK313" s="425">
        <f>'Key inputs_Refineries'!$C$190*10^3</f>
        <v>138.75840000000002</v>
      </c>
      <c r="AL313" s="425">
        <f>'Key inputs_Refineries'!$C$190*10^3</f>
        <v>138.75840000000002</v>
      </c>
      <c r="AN313" s="4"/>
      <c r="AQ313" s="4"/>
      <c r="AR313" s="4"/>
      <c r="AS313" s="4"/>
      <c r="AT313" s="4"/>
      <c r="AU313" s="4"/>
    </row>
    <row r="314" spans="1:47">
      <c r="A314" s="4"/>
      <c r="B314" s="4"/>
      <c r="G314" s="4" t="s">
        <v>689</v>
      </c>
      <c r="H314" s="4"/>
      <c r="I314" s="4"/>
      <c r="J314" s="4" t="s">
        <v>2663</v>
      </c>
      <c r="K314" s="425">
        <f>'Key inputs_Refineries'!$D$190*10^3</f>
        <v>1.2614400000000001</v>
      </c>
      <c r="L314" s="425">
        <f>'Key inputs_Refineries'!$D$190*10^3</f>
        <v>1.2614400000000001</v>
      </c>
      <c r="M314" s="425">
        <f>'Key inputs_Refineries'!$D$190*10^3</f>
        <v>1.2614400000000001</v>
      </c>
      <c r="N314" s="425">
        <f>'Key inputs_Refineries'!$D$190*10^3</f>
        <v>1.2614400000000001</v>
      </c>
      <c r="O314" s="425">
        <f>'Key inputs_Refineries'!$D$190*10^3</f>
        <v>1.2614400000000001</v>
      </c>
      <c r="P314" s="425">
        <f>'Key inputs_Refineries'!$D$190*10^3</f>
        <v>1.2614400000000001</v>
      </c>
      <c r="Q314" s="425">
        <f>'Key inputs_Refineries'!$D$190*10^3</f>
        <v>1.2614400000000001</v>
      </c>
      <c r="R314" s="425">
        <f>'Key inputs_Refineries'!$D$190*10^3</f>
        <v>1.2614400000000001</v>
      </c>
      <c r="S314" s="425">
        <f>'Key inputs_Refineries'!$D$190*10^3</f>
        <v>1.2614400000000001</v>
      </c>
      <c r="T314" s="425">
        <f>'Key inputs_Refineries'!$D$190*10^3</f>
        <v>1.2614400000000001</v>
      </c>
      <c r="U314" s="425">
        <f>'Key inputs_Refineries'!$D$190*10^3</f>
        <v>1.2614400000000001</v>
      </c>
      <c r="V314" s="425">
        <f>'Key inputs_Refineries'!$D$190*10^3</f>
        <v>1.2614400000000001</v>
      </c>
      <c r="W314" s="425">
        <f>'Key inputs_Refineries'!$D$190*10^3</f>
        <v>1.2614400000000001</v>
      </c>
      <c r="X314" s="425">
        <f>'Key inputs_Refineries'!$D$190*10^3</f>
        <v>1.2614400000000001</v>
      </c>
      <c r="Y314" s="425">
        <f>'Key inputs_Refineries'!$D$190*10^3</f>
        <v>1.2614400000000001</v>
      </c>
      <c r="Z314" s="425">
        <f>'Key inputs_Refineries'!$D$190*10^3</f>
        <v>1.2614400000000001</v>
      </c>
      <c r="AA314" s="425">
        <f>'Key inputs_Refineries'!$D$190*10^3</f>
        <v>1.2614400000000001</v>
      </c>
      <c r="AB314" s="425">
        <f>'Key inputs_Refineries'!$D$190*10^3</f>
        <v>1.2614400000000001</v>
      </c>
      <c r="AC314" s="425">
        <f>'Key inputs_Refineries'!$D$190*10^3</f>
        <v>1.2614400000000001</v>
      </c>
      <c r="AD314" s="425">
        <f>'Key inputs_Refineries'!$D$190*10^3</f>
        <v>1.2614400000000001</v>
      </c>
      <c r="AE314" s="425">
        <f>'Key inputs_Refineries'!$D$190*10^3</f>
        <v>1.2614400000000001</v>
      </c>
      <c r="AF314" s="425">
        <f>'Key inputs_Refineries'!$D$190*10^3</f>
        <v>1.2614400000000001</v>
      </c>
      <c r="AG314" s="425">
        <f>'Key inputs_Refineries'!$D$190*10^3</f>
        <v>1.2614400000000001</v>
      </c>
      <c r="AH314" s="425">
        <f>'Key inputs_Refineries'!$D$190*10^3</f>
        <v>1.2614400000000001</v>
      </c>
      <c r="AI314" s="425">
        <f>'Key inputs_Refineries'!$D$190*10^3</f>
        <v>1.2614400000000001</v>
      </c>
      <c r="AJ314" s="425">
        <f>'Key inputs_Refineries'!$D$190*10^3</f>
        <v>1.2614400000000001</v>
      </c>
      <c r="AK314" s="425">
        <f>'Key inputs_Refineries'!$D$190*10^3</f>
        <v>1.2614400000000001</v>
      </c>
      <c r="AL314" s="425">
        <f>'Key inputs_Refineries'!$D$190*10^3</f>
        <v>1.2614400000000001</v>
      </c>
      <c r="AN314" s="4"/>
      <c r="AQ314" s="4"/>
      <c r="AR314" s="4"/>
      <c r="AS314" s="4"/>
      <c r="AT314" s="4"/>
      <c r="AU314" s="4"/>
    </row>
    <row r="315" spans="1:47">
      <c r="A315" s="4"/>
      <c r="B315" s="4"/>
      <c r="G315" s="4" t="s">
        <v>675</v>
      </c>
      <c r="H315" s="4"/>
      <c r="I315" s="4"/>
      <c r="J315" s="4" t="s">
        <v>2662</v>
      </c>
      <c r="K315" s="338"/>
      <c r="L315" s="338"/>
      <c r="M315" s="338"/>
      <c r="N315" s="338"/>
      <c r="O315" s="338"/>
      <c r="P315" s="338"/>
      <c r="Q315" s="338"/>
      <c r="R315" s="338"/>
      <c r="S315" s="338"/>
      <c r="T315" s="338"/>
      <c r="U315" s="338"/>
      <c r="V315" s="338"/>
      <c r="W315" s="338"/>
      <c r="X315" s="338"/>
      <c r="Y315" s="338"/>
      <c r="Z315" s="338"/>
      <c r="AA315" s="338"/>
      <c r="AB315" s="338"/>
      <c r="AC315" s="338"/>
      <c r="AD315" s="338"/>
      <c r="AE315" s="338"/>
      <c r="AF315" s="338"/>
      <c r="AG315" s="338"/>
      <c r="AH315" s="338"/>
      <c r="AI315" s="338"/>
      <c r="AJ315" s="338"/>
      <c r="AK315" s="338"/>
      <c r="AL315" s="338"/>
      <c r="AN315" s="4"/>
      <c r="AQ315" s="4"/>
      <c r="AR315" s="4"/>
      <c r="AS315" s="4"/>
      <c r="AT315" s="4"/>
      <c r="AU315" s="4"/>
    </row>
    <row r="316" spans="1:47">
      <c r="A316" s="4"/>
      <c r="B316" s="4"/>
      <c r="G316" s="4" t="s">
        <v>630</v>
      </c>
      <c r="H316" s="4"/>
      <c r="I316" s="4"/>
      <c r="J316" s="4" t="s">
        <v>2666</v>
      </c>
      <c r="K316" s="425">
        <f>'Key inputs_Refineries'!$H$190</f>
        <v>0.82</v>
      </c>
      <c r="L316" s="425">
        <f>'Key inputs_Refineries'!$H$190</f>
        <v>0.82</v>
      </c>
      <c r="M316" s="425">
        <f>'Key inputs_Refineries'!$H$190</f>
        <v>0.82</v>
      </c>
      <c r="N316" s="425">
        <f>'Key inputs_Refineries'!$H$190</f>
        <v>0.82</v>
      </c>
      <c r="O316" s="425">
        <f>'Key inputs_Refineries'!$H$190</f>
        <v>0.82</v>
      </c>
      <c r="P316" s="425">
        <f>'Key inputs_Refineries'!$H$190</f>
        <v>0.82</v>
      </c>
      <c r="Q316" s="425">
        <f>'Key inputs_Refineries'!$H$190</f>
        <v>0.82</v>
      </c>
      <c r="R316" s="425">
        <f>'Key inputs_Refineries'!$H$190</f>
        <v>0.82</v>
      </c>
      <c r="S316" s="425">
        <f>'Key inputs_Refineries'!$H$190</f>
        <v>0.82</v>
      </c>
      <c r="T316" s="425">
        <f>'Key inputs_Refineries'!$H$190</f>
        <v>0.82</v>
      </c>
      <c r="U316" s="425">
        <f>'Key inputs_Refineries'!$H$190</f>
        <v>0.82</v>
      </c>
      <c r="V316" s="425">
        <f>'Key inputs_Refineries'!$H$190</f>
        <v>0.82</v>
      </c>
      <c r="W316" s="425">
        <f>'Key inputs_Refineries'!$H$190</f>
        <v>0.82</v>
      </c>
      <c r="X316" s="425">
        <f>'Key inputs_Refineries'!$H$190</f>
        <v>0.82</v>
      </c>
      <c r="Y316" s="425">
        <f>'Key inputs_Refineries'!$H$190</f>
        <v>0.82</v>
      </c>
      <c r="Z316" s="425">
        <f>'Key inputs_Refineries'!$H$190</f>
        <v>0.82</v>
      </c>
      <c r="AA316" s="425">
        <f>'Key inputs_Refineries'!$H$190</f>
        <v>0.82</v>
      </c>
      <c r="AB316" s="425">
        <f>'Key inputs_Refineries'!$H$190</f>
        <v>0.82</v>
      </c>
      <c r="AC316" s="425">
        <f>'Key inputs_Refineries'!$H$190</f>
        <v>0.82</v>
      </c>
      <c r="AD316" s="425">
        <f>'Key inputs_Refineries'!$H$190</f>
        <v>0.82</v>
      </c>
      <c r="AE316" s="425">
        <f>'Key inputs_Refineries'!$H$190</f>
        <v>0.82</v>
      </c>
      <c r="AF316" s="425">
        <f>'Key inputs_Refineries'!$H$190</f>
        <v>0.82</v>
      </c>
      <c r="AG316" s="425">
        <f>'Key inputs_Refineries'!$H$190</f>
        <v>0.82</v>
      </c>
      <c r="AH316" s="425">
        <f>'Key inputs_Refineries'!$H$190</f>
        <v>0.82</v>
      </c>
      <c r="AI316" s="425">
        <f>'Key inputs_Refineries'!$H$190</f>
        <v>0.82</v>
      </c>
      <c r="AJ316" s="425">
        <f>'Key inputs_Refineries'!$H$190</f>
        <v>0.82</v>
      </c>
      <c r="AK316" s="425">
        <f>'Key inputs_Refineries'!$H$190</f>
        <v>0.82</v>
      </c>
      <c r="AL316" s="425">
        <f>'Key inputs_Refineries'!$H$190</f>
        <v>0.82</v>
      </c>
      <c r="AN316" s="4"/>
      <c r="AQ316" s="4"/>
      <c r="AR316" s="4"/>
      <c r="AS316" s="4"/>
      <c r="AT316" s="4"/>
      <c r="AU316" s="4"/>
    </row>
    <row r="317" spans="1:47">
      <c r="C317" t="str">
        <f>Commodities!$C$92</f>
        <v>UPSGAS</v>
      </c>
      <c r="G317" s="4" t="s">
        <v>702</v>
      </c>
      <c r="H317" t="s">
        <v>661</v>
      </c>
      <c r="I317">
        <v>2019</v>
      </c>
      <c r="J317" t="s">
        <v>650</v>
      </c>
      <c r="K317" s="173" cm="1">
        <f t="array" ref="K317">IFERROR(SUMIFS('Key inputs_Refineries'!E$85:E$164,'Key inputs_Refineries'!$C$85:$C$164,$C317,'Key inputs_Refineries'!$B$85:$B$164,"HVAC")/SUM(SUMIFS('Key inputs_Refineries'!E$85:E$164,'Key inputs_Refineries'!$C$85:$C$164,$C317:$C318,'Key inputs_Refineries'!$B$85:$B$164,"HVAC")),0)</f>
        <v>0</v>
      </c>
      <c r="L317" s="173" cm="1">
        <f t="array" ref="L317">IFERROR(SUMIFS('Key inputs_Refineries'!F$85:F$164,'Key inputs_Refineries'!$C$85:$C$164,$C317,'Key inputs_Refineries'!$B$85:$B$164,"HVAC")/SUM(SUMIFS('Key inputs_Refineries'!F$85:F$164,'Key inputs_Refineries'!$C$85:$C$164,$C317:$C318,'Key inputs_Refineries'!$B$85:$B$164,"HVAC")),0)</f>
        <v>1</v>
      </c>
      <c r="M317" s="173" cm="1">
        <f t="array" ref="M317">IFERROR(SUMIFS('Key inputs_Refineries'!G$85:G$164,'Key inputs_Refineries'!$C$85:$C$164,$C317,'Key inputs_Refineries'!$B$85:$B$164,"HVAC")/SUM(SUMIFS('Key inputs_Refineries'!G$85:G$164,'Key inputs_Refineries'!$C$85:$C$164,$C317:$C318,'Key inputs_Refineries'!$B$85:$B$164,"HVAC")),0)</f>
        <v>1</v>
      </c>
      <c r="N317" s="173" cm="1">
        <f t="array" ref="N317">IFERROR(SUMIFS('Key inputs_Refineries'!H$85:H$164,'Key inputs_Refineries'!$C$85:$C$164,$C317,'Key inputs_Refineries'!$B$85:$B$164,"HVAC")/SUM(SUMIFS('Key inputs_Refineries'!H$85:H$164,'Key inputs_Refineries'!$C$85:$C$164,$C317:$C318,'Key inputs_Refineries'!$B$85:$B$164,"HVAC")),0)</f>
        <v>0</v>
      </c>
      <c r="O317" s="173" cm="1">
        <f t="array" ref="O317">IFERROR(SUMIFS('Key inputs_Refineries'!I$85:I$164,'Key inputs_Refineries'!$C$85:$C$164,$C317,'Key inputs_Refineries'!$B$85:$B$164,"HVAC")/SUM(SUMIFS('Key inputs_Refineries'!I$85:I$164,'Key inputs_Refineries'!$C$85:$C$164,$C317:$C318,'Key inputs_Refineries'!$B$85:$B$164,"HVAC")),0)</f>
        <v>1</v>
      </c>
      <c r="P317" s="173" cm="1">
        <f t="array" ref="P317">IFERROR(SUMIFS('Key inputs_Refineries'!J$85:J$164,'Key inputs_Refineries'!$C$85:$C$164,$C317,'Key inputs_Refineries'!$B$85:$B$164,"HVAC")/SUM(SUMIFS('Key inputs_Refineries'!J$85:J$164,'Key inputs_Refineries'!$C$85:$C$164,$C317:$C318,'Key inputs_Refineries'!$B$85:$B$164,"HVAC")),0)</f>
        <v>1</v>
      </c>
      <c r="Q317" s="173" cm="1">
        <f t="array" ref="Q317">IFERROR(SUMIFS('Key inputs_Refineries'!K$85:K$164,'Key inputs_Refineries'!$C$85:$C$164,$C317,'Key inputs_Refineries'!$B$85:$B$164,"HVAC")/SUM(SUMIFS('Key inputs_Refineries'!K$85:K$164,'Key inputs_Refineries'!$C$85:$C$164,$C317:$C318,'Key inputs_Refineries'!$B$85:$B$164,"HVAC")),0)</f>
        <v>1</v>
      </c>
      <c r="R317" s="173" cm="1">
        <f t="array" ref="R317">IFERROR(SUMIFS('Key inputs_Refineries'!L$85:L$164,'Key inputs_Refineries'!$C$85:$C$164,$C317,'Key inputs_Refineries'!$B$85:$B$164,"HVAC")/SUM(SUMIFS('Key inputs_Refineries'!L$85:L$164,'Key inputs_Refineries'!$C$85:$C$164,$C317:$C318,'Key inputs_Refineries'!$B$85:$B$164,"HVAC")),0)</f>
        <v>0</v>
      </c>
      <c r="S317" s="173" cm="1">
        <f t="array" ref="S317">IFERROR(SUMIFS('Key inputs_Refineries'!M$85:M$164,'Key inputs_Refineries'!$C$85:$C$164,$C317,'Key inputs_Refineries'!$B$85:$B$164,"HVAC")/SUM(SUMIFS('Key inputs_Refineries'!M$85:M$164,'Key inputs_Refineries'!$C$85:$C$164,$C317:$C318,'Key inputs_Refineries'!$B$85:$B$164,"HVAC")),0)</f>
        <v>1</v>
      </c>
      <c r="T317" s="173" cm="1">
        <f t="array" ref="T317">IFERROR(SUMIFS('Key inputs_Refineries'!N$85:N$164,'Key inputs_Refineries'!$C$85:$C$164,$C317,'Key inputs_Refineries'!$B$85:$B$164,"HVAC")/SUM(SUMIFS('Key inputs_Refineries'!N$85:N$164,'Key inputs_Refineries'!$C$85:$C$164,$C317:$C318,'Key inputs_Refineries'!$B$85:$B$164,"HVAC")),0)</f>
        <v>1</v>
      </c>
      <c r="U317" s="173" cm="1">
        <f t="array" ref="U317">IFERROR(SUMIFS('Key inputs_Refineries'!O$85:O$164,'Key inputs_Refineries'!$C$85:$C$164,$C317,'Key inputs_Refineries'!$B$85:$B$164,"HVAC")/SUM(SUMIFS('Key inputs_Refineries'!O$85:O$164,'Key inputs_Refineries'!$C$85:$C$164,$C317:$C318,'Key inputs_Refineries'!$B$85:$B$164,"HVAC")),0)</f>
        <v>1</v>
      </c>
      <c r="V317" s="173" cm="1">
        <f t="array" ref="V317">IFERROR(SUMIFS('Key inputs_Refineries'!P$85:P$164,'Key inputs_Refineries'!$C$85:$C$164,$C317,'Key inputs_Refineries'!$B$85:$B$164,"HVAC")/SUM(SUMIFS('Key inputs_Refineries'!P$85:P$164,'Key inputs_Refineries'!$C$85:$C$164,$C317:$C318,'Key inputs_Refineries'!$B$85:$B$164,"HVAC")),0)</f>
        <v>1</v>
      </c>
      <c r="W317" s="173" cm="1">
        <f t="array" ref="W317">IFERROR(SUMIFS('Key inputs_Refineries'!Q$85:Q$164,'Key inputs_Refineries'!$C$85:$C$164,$C317,'Key inputs_Refineries'!$B$85:$B$164,"HVAC")/SUM(SUMIFS('Key inputs_Refineries'!Q$85:Q$164,'Key inputs_Refineries'!$C$85:$C$164,$C317:$C318,'Key inputs_Refineries'!$B$85:$B$164,"HVAC")),0)</f>
        <v>1</v>
      </c>
      <c r="X317" s="173" cm="1">
        <f t="array" ref="X317">IFERROR(SUMIFS('Key inputs_Refineries'!R$85:R$164,'Key inputs_Refineries'!$C$85:$C$164,$C317,'Key inputs_Refineries'!$B$85:$B$164,"HVAC")/SUM(SUMIFS('Key inputs_Refineries'!R$85:R$164,'Key inputs_Refineries'!$C$85:$C$164,$C317:$C318,'Key inputs_Refineries'!$B$85:$B$164,"HVAC")),0)</f>
        <v>1</v>
      </c>
      <c r="Y317" s="173" cm="1">
        <f t="array" ref="Y317">IFERROR(SUMIFS('Key inputs_Refineries'!S$85:S$164,'Key inputs_Refineries'!$C$85:$C$164,$C317,'Key inputs_Refineries'!$B$85:$B$164,"HVAC")/SUM(SUMIFS('Key inputs_Refineries'!S$85:S$164,'Key inputs_Refineries'!$C$85:$C$164,$C317:$C318,'Key inputs_Refineries'!$B$85:$B$164,"HVAC")),0)</f>
        <v>1</v>
      </c>
      <c r="Z317" s="173" cm="1">
        <f t="array" ref="Z317">IFERROR(SUMIFS('Key inputs_Refineries'!T$85:T$164,'Key inputs_Refineries'!$C$85:$C$164,$C317,'Key inputs_Refineries'!$B$85:$B$164,"HVAC")/SUM(SUMIFS('Key inputs_Refineries'!T$85:T$164,'Key inputs_Refineries'!$C$85:$C$164,$C317:$C318,'Key inputs_Refineries'!$B$85:$B$164,"HVAC")),0)</f>
        <v>1</v>
      </c>
      <c r="AA317" s="173" cm="1">
        <f t="array" ref="AA317">IFERROR(SUMIFS('Key inputs_Refineries'!U$85:U$164,'Key inputs_Refineries'!$C$85:$C$164,$C317,'Key inputs_Refineries'!$B$85:$B$164,"HVAC")/SUM(SUMIFS('Key inputs_Refineries'!U$85:U$164,'Key inputs_Refineries'!$C$85:$C$164,$C317:$C318,'Key inputs_Refineries'!$B$85:$B$164,"HVAC")),0)</f>
        <v>0.9879717706045219</v>
      </c>
      <c r="AB317" s="173" cm="1">
        <f t="array" ref="AB317">IFERROR(SUMIFS('Key inputs_Refineries'!V$85:V$164,'Key inputs_Refineries'!$C$85:$C$164,$C317,'Key inputs_Refineries'!$B$85:$B$164,"HVAC")/SUM(SUMIFS('Key inputs_Refineries'!V$85:V$164,'Key inputs_Refineries'!$C$85:$C$164,$C317:$C318,'Key inputs_Refineries'!$B$85:$B$164,"HVAC")),0)</f>
        <v>0</v>
      </c>
      <c r="AC317" s="173" cm="1">
        <f t="array" ref="AC317">IFERROR(SUMIFS('Key inputs_Refineries'!W$85:W$164,'Key inputs_Refineries'!$C$85:$C$164,$C317,'Key inputs_Refineries'!$B$85:$B$164,"HVAC")/SUM(SUMIFS('Key inputs_Refineries'!W$85:W$164,'Key inputs_Refineries'!$C$85:$C$164,$C317:$C318,'Key inputs_Refineries'!$B$85:$B$164,"HVAC")),0)</f>
        <v>1</v>
      </c>
      <c r="AD317" s="173" cm="1">
        <f t="array" ref="AD317">IFERROR(SUMIFS('Key inputs_Refineries'!X$85:X$164,'Key inputs_Refineries'!$C$85:$C$164,$C317,'Key inputs_Refineries'!$B$85:$B$164,"HVAC")/SUM(SUMIFS('Key inputs_Refineries'!X$85:X$164,'Key inputs_Refineries'!$C$85:$C$164,$C317:$C318,'Key inputs_Refineries'!$B$85:$B$164,"HVAC")),0)</f>
        <v>1</v>
      </c>
      <c r="AE317" s="173" cm="1">
        <f t="array" ref="AE317">IFERROR(SUMIFS('Key inputs_Refineries'!Y$85:Y$164,'Key inputs_Refineries'!$C$85:$C$164,$C317,'Key inputs_Refineries'!$B$85:$B$164,"HVAC")/SUM(SUMIFS('Key inputs_Refineries'!Y$85:Y$164,'Key inputs_Refineries'!$C$85:$C$164,$C317:$C318,'Key inputs_Refineries'!$B$85:$B$164,"HVAC")),0)</f>
        <v>1</v>
      </c>
      <c r="AF317" s="173" cm="1">
        <f t="array" ref="AF317">IFERROR(SUMIFS('Key inputs_Refineries'!Z$85:Z$164,'Key inputs_Refineries'!$C$85:$C$164,$C317,'Key inputs_Refineries'!$B$85:$B$164,"HVAC")/SUM(SUMIFS('Key inputs_Refineries'!Z$85:Z$164,'Key inputs_Refineries'!$C$85:$C$164,$C317:$C318,'Key inputs_Refineries'!$B$85:$B$164,"HVAC")),0)</f>
        <v>1</v>
      </c>
      <c r="AG317" s="173" cm="1">
        <f t="array" ref="AG317">IFERROR(SUMIFS('Key inputs_Refineries'!AA$85:AA$164,'Key inputs_Refineries'!$C$85:$C$164,$C317,'Key inputs_Refineries'!$B$85:$B$164,"HVAC")/SUM(SUMIFS('Key inputs_Refineries'!AA$85:AA$164,'Key inputs_Refineries'!$C$85:$C$164,$C317:$C318,'Key inputs_Refineries'!$B$85:$B$164,"HVAC")),0)</f>
        <v>1</v>
      </c>
      <c r="AH317" s="173" cm="1">
        <f t="array" ref="AH317">IFERROR(SUMIFS('Key inputs_Refineries'!AB$85:AB$164,'Key inputs_Refineries'!$C$85:$C$164,$C317,'Key inputs_Refineries'!$B$85:$B$164,"HVAC")/SUM(SUMIFS('Key inputs_Refineries'!AB$85:AB$164,'Key inputs_Refineries'!$C$85:$C$164,$C317:$C318,'Key inputs_Refineries'!$B$85:$B$164,"HVAC")),0)</f>
        <v>1</v>
      </c>
      <c r="AI317" s="173" cm="1">
        <f t="array" ref="AI317">IFERROR(SUMIFS('Key inputs_Refineries'!AC$85:AC$164,'Key inputs_Refineries'!$C$85:$C$164,$C317,'Key inputs_Refineries'!$B$85:$B$164,"HVAC")/SUM(SUMIFS('Key inputs_Refineries'!AC$85:AC$164,'Key inputs_Refineries'!$C$85:$C$164,$C317:$C318,'Key inputs_Refineries'!$B$85:$B$164,"HVAC")),0)</f>
        <v>1</v>
      </c>
      <c r="AJ317" s="173" cm="1">
        <f t="array" ref="AJ317">IFERROR(SUMIFS('Key inputs_Refineries'!AD$85:AD$164,'Key inputs_Refineries'!$C$85:$C$164,$C317,'Key inputs_Refineries'!$B$85:$B$164,"HVAC")/SUM(SUMIFS('Key inputs_Refineries'!AD$85:AD$164,'Key inputs_Refineries'!$C$85:$C$164,$C317:$C318,'Key inputs_Refineries'!$B$85:$B$164,"HVAC")),0)</f>
        <v>0</v>
      </c>
      <c r="AK317" s="173" cm="1">
        <f t="array" ref="AK317">IFERROR(SUMIFS('Key inputs_Refineries'!AE$85:AE$164,'Key inputs_Refineries'!$C$85:$C$164,$C317,'Key inputs_Refineries'!$B$85:$B$164,"HVAC")/SUM(SUMIFS('Key inputs_Refineries'!AE$85:AE$164,'Key inputs_Refineries'!$C$85:$C$164,$C317:$C318,'Key inputs_Refineries'!$B$85:$B$164,"HVAC")),0)</f>
        <v>0</v>
      </c>
      <c r="AL317" s="173" cm="1">
        <f t="array" ref="AL317">IFERROR(SUMIFS('Key inputs_Refineries'!AF$85:AF$164,'Key inputs_Refineries'!$C$85:$C$164,$C317,'Key inputs_Refineries'!$B$85:$B$164,"HVAC")/SUM(SUMIFS('Key inputs_Refineries'!AF$85:AF$164,'Key inputs_Refineries'!$C$85:$C$164,$C317:$C318,'Key inputs_Refineries'!$B$85:$B$164,"HVAC")),0)</f>
        <v>1</v>
      </c>
      <c r="AN317" s="4"/>
      <c r="AQ317" s="4"/>
      <c r="AR317" s="4"/>
      <c r="AS317" s="4"/>
      <c r="AT317" s="4"/>
      <c r="AU317" s="4"/>
    </row>
    <row r="318" spans="1:47">
      <c r="C318" t="str">
        <f>Commodities!$C$88</f>
        <v>UPSCOG</v>
      </c>
      <c r="G318" s="4" t="s">
        <v>702</v>
      </c>
      <c r="H318" t="s">
        <v>661</v>
      </c>
      <c r="I318">
        <v>2019</v>
      </c>
      <c r="J318" t="s">
        <v>650</v>
      </c>
      <c r="K318" s="173">
        <f t="shared" ref="K318:AL318" si="21">1-K317</f>
        <v>1</v>
      </c>
      <c r="L318" s="173">
        <f t="shared" si="21"/>
        <v>0</v>
      </c>
      <c r="M318" s="173">
        <f t="shared" si="21"/>
        <v>0</v>
      </c>
      <c r="N318" s="173">
        <f t="shared" si="21"/>
        <v>1</v>
      </c>
      <c r="O318" s="173">
        <f t="shared" si="21"/>
        <v>0</v>
      </c>
      <c r="P318" s="173">
        <f t="shared" si="21"/>
        <v>0</v>
      </c>
      <c r="Q318" s="173">
        <f t="shared" si="21"/>
        <v>0</v>
      </c>
      <c r="R318" s="173">
        <f t="shared" si="21"/>
        <v>1</v>
      </c>
      <c r="S318" s="173">
        <f t="shared" si="21"/>
        <v>0</v>
      </c>
      <c r="T318" s="173">
        <f t="shared" si="21"/>
        <v>0</v>
      </c>
      <c r="U318" s="173">
        <f t="shared" si="21"/>
        <v>0</v>
      </c>
      <c r="V318" s="173">
        <f t="shared" si="21"/>
        <v>0</v>
      </c>
      <c r="W318" s="173">
        <f t="shared" si="21"/>
        <v>0</v>
      </c>
      <c r="X318" s="173">
        <f t="shared" si="21"/>
        <v>0</v>
      </c>
      <c r="Y318" s="173">
        <f t="shared" si="21"/>
        <v>0</v>
      </c>
      <c r="Z318" s="173">
        <f t="shared" si="21"/>
        <v>0</v>
      </c>
      <c r="AA318" s="173">
        <f t="shared" si="21"/>
        <v>1.2028229395478096E-2</v>
      </c>
      <c r="AB318" s="173">
        <f t="shared" si="21"/>
        <v>1</v>
      </c>
      <c r="AC318" s="173">
        <f t="shared" si="21"/>
        <v>0</v>
      </c>
      <c r="AD318" s="173">
        <f t="shared" si="21"/>
        <v>0</v>
      </c>
      <c r="AE318" s="173">
        <f t="shared" si="21"/>
        <v>0</v>
      </c>
      <c r="AF318" s="173">
        <f t="shared" si="21"/>
        <v>0</v>
      </c>
      <c r="AG318" s="173">
        <f t="shared" si="21"/>
        <v>0</v>
      </c>
      <c r="AH318" s="173">
        <f t="shared" si="21"/>
        <v>0</v>
      </c>
      <c r="AI318" s="173">
        <f t="shared" si="21"/>
        <v>0</v>
      </c>
      <c r="AJ318" s="173">
        <f t="shared" si="21"/>
        <v>1</v>
      </c>
      <c r="AK318" s="173">
        <f t="shared" si="21"/>
        <v>1</v>
      </c>
      <c r="AL318" s="173">
        <f t="shared" si="21"/>
        <v>0</v>
      </c>
      <c r="AN318" s="4"/>
      <c r="AQ318" s="4"/>
      <c r="AR318" s="4"/>
      <c r="AS318" s="4"/>
      <c r="AT318" s="4"/>
      <c r="AU318" s="4"/>
    </row>
    <row r="319" spans="1:47">
      <c r="C319" t="str">
        <f>Commodities!$C$84</f>
        <v>UPSBGS</v>
      </c>
      <c r="G319" s="4" t="s">
        <v>702</v>
      </c>
      <c r="H319" t="s">
        <v>661</v>
      </c>
      <c r="I319">
        <v>2019</v>
      </c>
      <c r="J319" t="s">
        <v>650</v>
      </c>
      <c r="K319" s="426">
        <v>0</v>
      </c>
      <c r="L319" s="426">
        <v>0</v>
      </c>
      <c r="M319" s="426">
        <v>0</v>
      </c>
      <c r="N319" s="426">
        <v>0</v>
      </c>
      <c r="O319" s="426">
        <v>0</v>
      </c>
      <c r="P319" s="426">
        <v>0</v>
      </c>
      <c r="Q319" s="426">
        <v>0</v>
      </c>
      <c r="R319" s="426">
        <v>0</v>
      </c>
      <c r="S319" s="426">
        <v>0</v>
      </c>
      <c r="T319" s="426">
        <v>0</v>
      </c>
      <c r="U319" s="426">
        <v>0</v>
      </c>
      <c r="V319" s="426">
        <v>0</v>
      </c>
      <c r="W319" s="426">
        <v>0</v>
      </c>
      <c r="X319" s="426">
        <v>0</v>
      </c>
      <c r="Y319" s="426">
        <v>0</v>
      </c>
      <c r="Z319" s="426">
        <v>0</v>
      </c>
      <c r="AA319" s="426">
        <v>0</v>
      </c>
      <c r="AB319" s="426">
        <v>0</v>
      </c>
      <c r="AC319" s="426">
        <v>0</v>
      </c>
      <c r="AD319" s="426">
        <v>0</v>
      </c>
      <c r="AE319" s="426">
        <v>0</v>
      </c>
      <c r="AF319" s="426">
        <v>0</v>
      </c>
      <c r="AG319" s="426">
        <v>0</v>
      </c>
      <c r="AH319" s="426">
        <v>0</v>
      </c>
      <c r="AI319" s="426">
        <v>0</v>
      </c>
      <c r="AJ319" s="426">
        <v>0</v>
      </c>
      <c r="AK319" s="426">
        <v>0</v>
      </c>
      <c r="AL319" s="426">
        <v>0</v>
      </c>
      <c r="AN319" s="4"/>
      <c r="AQ319" s="4"/>
      <c r="AR319" s="4"/>
      <c r="AS319" s="4"/>
      <c r="AT319" s="4"/>
      <c r="AU319" s="4"/>
    </row>
    <row r="320" spans="1:47">
      <c r="C320" t="str">
        <f>Commodities!$C$92</f>
        <v>UPSGAS</v>
      </c>
      <c r="G320" s="4" t="s">
        <v>702</v>
      </c>
      <c r="H320" t="s">
        <v>661</v>
      </c>
      <c r="I320">
        <v>2025</v>
      </c>
      <c r="J320" t="s">
        <v>650</v>
      </c>
      <c r="K320" s="426">
        <v>1</v>
      </c>
      <c r="L320" s="426">
        <v>1</v>
      </c>
      <c r="M320" s="426">
        <v>1</v>
      </c>
      <c r="N320" s="426">
        <v>1</v>
      </c>
      <c r="O320" s="426">
        <v>1</v>
      </c>
      <c r="P320" s="426">
        <v>1</v>
      </c>
      <c r="Q320" s="426">
        <v>1</v>
      </c>
      <c r="R320" s="426">
        <v>1</v>
      </c>
      <c r="S320" s="426">
        <v>1</v>
      </c>
      <c r="T320" s="426">
        <v>1</v>
      </c>
      <c r="U320" s="426">
        <v>1</v>
      </c>
      <c r="V320" s="426">
        <v>1</v>
      </c>
      <c r="W320" s="426">
        <v>1</v>
      </c>
      <c r="X320" s="426">
        <v>1</v>
      </c>
      <c r="Y320" s="426">
        <v>1</v>
      </c>
      <c r="Z320" s="426">
        <v>1</v>
      </c>
      <c r="AA320" s="426">
        <v>1</v>
      </c>
      <c r="AB320" s="426">
        <v>1</v>
      </c>
      <c r="AC320" s="426">
        <v>1</v>
      </c>
      <c r="AD320" s="426">
        <v>1</v>
      </c>
      <c r="AE320" s="426">
        <v>1</v>
      </c>
      <c r="AF320" s="426">
        <v>1</v>
      </c>
      <c r="AG320" s="426">
        <v>1</v>
      </c>
      <c r="AH320" s="426">
        <v>1</v>
      </c>
      <c r="AI320" s="426">
        <v>1</v>
      </c>
      <c r="AJ320" s="426">
        <v>1</v>
      </c>
      <c r="AK320" s="426">
        <v>1</v>
      </c>
      <c r="AL320" s="426">
        <v>1</v>
      </c>
      <c r="AN320" s="4"/>
      <c r="AQ320" s="4"/>
      <c r="AR320" s="4"/>
      <c r="AS320" s="4"/>
      <c r="AT320" s="4"/>
      <c r="AU320" s="4"/>
    </row>
    <row r="321" spans="1:47">
      <c r="C321" t="str">
        <f>Commodities!$C$88</f>
        <v>UPSCOG</v>
      </c>
      <c r="G321" s="4" t="s">
        <v>702</v>
      </c>
      <c r="H321" t="s">
        <v>661</v>
      </c>
      <c r="I321">
        <v>2025</v>
      </c>
      <c r="J321" t="s">
        <v>650</v>
      </c>
      <c r="K321" s="426">
        <v>1</v>
      </c>
      <c r="L321" s="426">
        <v>1</v>
      </c>
      <c r="M321" s="426">
        <v>1</v>
      </c>
      <c r="N321" s="426">
        <v>1</v>
      </c>
      <c r="O321" s="426">
        <v>1</v>
      </c>
      <c r="P321" s="426">
        <v>1</v>
      </c>
      <c r="Q321" s="426">
        <v>1</v>
      </c>
      <c r="R321" s="426">
        <v>1</v>
      </c>
      <c r="S321" s="426">
        <v>1</v>
      </c>
      <c r="T321" s="426">
        <v>1</v>
      </c>
      <c r="U321" s="426">
        <v>1</v>
      </c>
      <c r="V321" s="426">
        <v>1</v>
      </c>
      <c r="W321" s="426">
        <v>1</v>
      </c>
      <c r="X321" s="426">
        <v>1</v>
      </c>
      <c r="Y321" s="426">
        <v>1</v>
      </c>
      <c r="Z321" s="426">
        <v>1</v>
      </c>
      <c r="AA321" s="426">
        <v>1</v>
      </c>
      <c r="AB321" s="426">
        <v>1</v>
      </c>
      <c r="AC321" s="426">
        <v>1</v>
      </c>
      <c r="AD321" s="426">
        <v>1</v>
      </c>
      <c r="AE321" s="426">
        <v>1</v>
      </c>
      <c r="AF321" s="426">
        <v>1</v>
      </c>
      <c r="AG321" s="426">
        <v>1</v>
      </c>
      <c r="AH321" s="426">
        <v>1</v>
      </c>
      <c r="AI321" s="426">
        <v>1</v>
      </c>
      <c r="AJ321" s="426">
        <v>1</v>
      </c>
      <c r="AK321" s="426">
        <v>1</v>
      </c>
      <c r="AL321" s="426">
        <v>1</v>
      </c>
      <c r="AN321" s="4"/>
      <c r="AQ321" s="4"/>
      <c r="AR321" s="4"/>
      <c r="AS321" s="4"/>
      <c r="AT321" s="4"/>
      <c r="AU321" s="4"/>
    </row>
    <row r="322" spans="1:47">
      <c r="C322" t="str">
        <f>Commodities!$C$84</f>
        <v>UPSBGS</v>
      </c>
      <c r="G322" s="4" t="s">
        <v>702</v>
      </c>
      <c r="H322" t="s">
        <v>661</v>
      </c>
      <c r="I322">
        <v>2025</v>
      </c>
      <c r="J322" t="s">
        <v>650</v>
      </c>
      <c r="K322" s="426">
        <v>1</v>
      </c>
      <c r="L322" s="426">
        <v>1</v>
      </c>
      <c r="M322" s="426">
        <v>1</v>
      </c>
      <c r="N322" s="426">
        <v>1</v>
      </c>
      <c r="O322" s="426">
        <v>1</v>
      </c>
      <c r="P322" s="426">
        <v>1</v>
      </c>
      <c r="Q322" s="426">
        <v>1</v>
      </c>
      <c r="R322" s="426">
        <v>1</v>
      </c>
      <c r="S322" s="426">
        <v>1</v>
      </c>
      <c r="T322" s="426">
        <v>1</v>
      </c>
      <c r="U322" s="426">
        <v>1</v>
      </c>
      <c r="V322" s="426">
        <v>1</v>
      </c>
      <c r="W322" s="426">
        <v>1</v>
      </c>
      <c r="X322" s="426">
        <v>1</v>
      </c>
      <c r="Y322" s="426">
        <v>1</v>
      </c>
      <c r="Z322" s="426">
        <v>1</v>
      </c>
      <c r="AA322" s="426">
        <v>1</v>
      </c>
      <c r="AB322" s="426">
        <v>1</v>
      </c>
      <c r="AC322" s="426">
        <v>1</v>
      </c>
      <c r="AD322" s="426">
        <v>1</v>
      </c>
      <c r="AE322" s="426">
        <v>1</v>
      </c>
      <c r="AF322" s="426">
        <v>1</v>
      </c>
      <c r="AG322" s="426">
        <v>1</v>
      </c>
      <c r="AH322" s="426">
        <v>1</v>
      </c>
      <c r="AI322" s="426">
        <v>1</v>
      </c>
      <c r="AJ322" s="426">
        <v>1</v>
      </c>
      <c r="AK322" s="426">
        <v>1</v>
      </c>
      <c r="AL322" s="426">
        <v>1</v>
      </c>
      <c r="AN322" s="4"/>
      <c r="AQ322" s="4"/>
      <c r="AR322" s="4"/>
      <c r="AS322" s="4"/>
      <c r="AT322" s="4"/>
      <c r="AU322" s="4"/>
    </row>
    <row r="323" spans="1:47">
      <c r="C323" t="str">
        <f>Commodities!$C$92</f>
        <v>UPSGAS</v>
      </c>
      <c r="G323" s="4" t="s">
        <v>702</v>
      </c>
      <c r="H323" t="s">
        <v>661</v>
      </c>
      <c r="I323">
        <v>2050</v>
      </c>
      <c r="J323" t="s">
        <v>650</v>
      </c>
      <c r="K323" s="426">
        <v>1</v>
      </c>
      <c r="L323" s="426">
        <v>1</v>
      </c>
      <c r="M323" s="426">
        <v>1</v>
      </c>
      <c r="N323" s="426">
        <v>1</v>
      </c>
      <c r="O323" s="426">
        <v>1</v>
      </c>
      <c r="P323" s="426">
        <v>1</v>
      </c>
      <c r="Q323" s="426">
        <v>1</v>
      </c>
      <c r="R323" s="426">
        <v>1</v>
      </c>
      <c r="S323" s="426">
        <v>1</v>
      </c>
      <c r="T323" s="426">
        <v>1</v>
      </c>
      <c r="U323" s="426">
        <v>1</v>
      </c>
      <c r="V323" s="426">
        <v>1</v>
      </c>
      <c r="W323" s="426">
        <v>1</v>
      </c>
      <c r="X323" s="426">
        <v>1</v>
      </c>
      <c r="Y323" s="426">
        <v>1</v>
      </c>
      <c r="Z323" s="426">
        <v>1</v>
      </c>
      <c r="AA323" s="426">
        <v>1</v>
      </c>
      <c r="AB323" s="426">
        <v>1</v>
      </c>
      <c r="AC323" s="426">
        <v>1</v>
      </c>
      <c r="AD323" s="426">
        <v>1</v>
      </c>
      <c r="AE323" s="426">
        <v>1</v>
      </c>
      <c r="AF323" s="426">
        <v>1</v>
      </c>
      <c r="AG323" s="426">
        <v>1</v>
      </c>
      <c r="AH323" s="426">
        <v>1</v>
      </c>
      <c r="AI323" s="426">
        <v>1</v>
      </c>
      <c r="AJ323" s="426">
        <v>1</v>
      </c>
      <c r="AK323" s="426">
        <v>1</v>
      </c>
      <c r="AL323" s="426">
        <v>1</v>
      </c>
      <c r="AN323" s="4"/>
      <c r="AQ323" s="4"/>
      <c r="AR323" s="4"/>
      <c r="AS323" s="4"/>
      <c r="AT323" s="4"/>
      <c r="AU323" s="4"/>
    </row>
    <row r="324" spans="1:47">
      <c r="C324" t="str">
        <f>Commodities!$C$88</f>
        <v>UPSCOG</v>
      </c>
      <c r="G324" s="4" t="s">
        <v>702</v>
      </c>
      <c r="H324" t="s">
        <v>661</v>
      </c>
      <c r="I324">
        <v>2050</v>
      </c>
      <c r="J324" t="s">
        <v>650</v>
      </c>
      <c r="K324" s="426">
        <v>1</v>
      </c>
      <c r="L324" s="426">
        <v>1</v>
      </c>
      <c r="M324" s="426">
        <v>1</v>
      </c>
      <c r="N324" s="426">
        <v>1</v>
      </c>
      <c r="O324" s="426">
        <v>1</v>
      </c>
      <c r="P324" s="426">
        <v>1</v>
      </c>
      <c r="Q324" s="426">
        <v>1</v>
      </c>
      <c r="R324" s="426">
        <v>1</v>
      </c>
      <c r="S324" s="426">
        <v>1</v>
      </c>
      <c r="T324" s="426">
        <v>1</v>
      </c>
      <c r="U324" s="426">
        <v>1</v>
      </c>
      <c r="V324" s="426">
        <v>1</v>
      </c>
      <c r="W324" s="426">
        <v>1</v>
      </c>
      <c r="X324" s="426">
        <v>1</v>
      </c>
      <c r="Y324" s="426">
        <v>1</v>
      </c>
      <c r="Z324" s="426">
        <v>1</v>
      </c>
      <c r="AA324" s="426">
        <v>1</v>
      </c>
      <c r="AB324" s="426">
        <v>1</v>
      </c>
      <c r="AC324" s="426">
        <v>1</v>
      </c>
      <c r="AD324" s="426">
        <v>1</v>
      </c>
      <c r="AE324" s="426">
        <v>1</v>
      </c>
      <c r="AF324" s="426">
        <v>1</v>
      </c>
      <c r="AG324" s="426">
        <v>1</v>
      </c>
      <c r="AH324" s="426">
        <v>1</v>
      </c>
      <c r="AI324" s="426">
        <v>1</v>
      </c>
      <c r="AJ324" s="426">
        <v>1</v>
      </c>
      <c r="AK324" s="426">
        <v>1</v>
      </c>
      <c r="AL324" s="426">
        <v>1</v>
      </c>
      <c r="AN324" s="4"/>
      <c r="AQ324" s="4"/>
      <c r="AR324" s="4"/>
      <c r="AS324" s="4"/>
      <c r="AT324" s="4"/>
      <c r="AU324" s="4"/>
    </row>
    <row r="325" spans="1:47">
      <c r="C325" t="str">
        <f>Commodities!$C$84</f>
        <v>UPSBGS</v>
      </c>
      <c r="G325" s="4" t="s">
        <v>702</v>
      </c>
      <c r="H325" t="s">
        <v>661</v>
      </c>
      <c r="I325">
        <v>2050</v>
      </c>
      <c r="J325" t="s">
        <v>650</v>
      </c>
      <c r="K325" s="426">
        <v>1</v>
      </c>
      <c r="L325" s="426">
        <v>1</v>
      </c>
      <c r="M325" s="426">
        <v>1</v>
      </c>
      <c r="N325" s="426">
        <v>1</v>
      </c>
      <c r="O325" s="426">
        <v>1</v>
      </c>
      <c r="P325" s="426">
        <v>1</v>
      </c>
      <c r="Q325" s="426">
        <v>1</v>
      </c>
      <c r="R325" s="426">
        <v>1</v>
      </c>
      <c r="S325" s="426">
        <v>1</v>
      </c>
      <c r="T325" s="426">
        <v>1</v>
      </c>
      <c r="U325" s="426">
        <v>1</v>
      </c>
      <c r="V325" s="426">
        <v>1</v>
      </c>
      <c r="W325" s="426">
        <v>1</v>
      </c>
      <c r="X325" s="426">
        <v>1</v>
      </c>
      <c r="Y325" s="426">
        <v>1</v>
      </c>
      <c r="Z325" s="426">
        <v>1</v>
      </c>
      <c r="AA325" s="426">
        <v>1</v>
      </c>
      <c r="AB325" s="426">
        <v>1</v>
      </c>
      <c r="AC325" s="426">
        <v>1</v>
      </c>
      <c r="AD325" s="426">
        <v>1</v>
      </c>
      <c r="AE325" s="426">
        <v>1</v>
      </c>
      <c r="AF325" s="426">
        <v>1</v>
      </c>
      <c r="AG325" s="426">
        <v>1</v>
      </c>
      <c r="AH325" s="426">
        <v>1</v>
      </c>
      <c r="AI325" s="426">
        <v>1</v>
      </c>
      <c r="AJ325" s="426">
        <v>1</v>
      </c>
      <c r="AK325" s="426">
        <v>1</v>
      </c>
      <c r="AL325" s="426">
        <v>1</v>
      </c>
      <c r="AN325" s="4"/>
      <c r="AQ325" s="4"/>
      <c r="AR325" s="4"/>
      <c r="AS325" s="4"/>
      <c r="AT325" s="4"/>
      <c r="AU325" s="4"/>
    </row>
    <row r="326" spans="1:47">
      <c r="D326" t="str">
        <f>Commodities!$C$107</f>
        <v>UREFHVA</v>
      </c>
      <c r="AN326" s="4"/>
      <c r="AQ326" s="4"/>
      <c r="AR326" s="4"/>
      <c r="AS326" s="4"/>
      <c r="AT326" s="4"/>
      <c r="AU326" s="4"/>
    </row>
    <row r="327" spans="1:47">
      <c r="A327" s="4" t="str">
        <f>AO29</f>
        <v>U-TRF-OILREFHVA_OIL00</v>
      </c>
      <c r="B327" s="4" t="str">
        <f>AP29</f>
        <v>UPS Transformation: Oil refinery HVAC Petroleum product - Existing</v>
      </c>
      <c r="C327" s="4"/>
      <c r="D327" s="4"/>
      <c r="E327" s="4"/>
      <c r="F327" s="4"/>
      <c r="G327" s="4" t="s">
        <v>695</v>
      </c>
      <c r="H327" s="4"/>
      <c r="I327" s="4"/>
      <c r="J327" s="4" t="s">
        <v>2665</v>
      </c>
      <c r="K327" s="333">
        <v>1</v>
      </c>
      <c r="L327" s="333">
        <v>1</v>
      </c>
      <c r="M327" s="333">
        <v>1</v>
      </c>
      <c r="N327" s="333">
        <v>1</v>
      </c>
      <c r="O327" s="333">
        <v>1</v>
      </c>
      <c r="P327" s="333">
        <v>1</v>
      </c>
      <c r="Q327" s="333">
        <v>1</v>
      </c>
      <c r="R327" s="333">
        <v>1</v>
      </c>
      <c r="S327" s="333">
        <v>1</v>
      </c>
      <c r="T327" s="333">
        <v>1</v>
      </c>
      <c r="U327" s="333">
        <v>1</v>
      </c>
      <c r="V327" s="333">
        <v>1</v>
      </c>
      <c r="W327" s="333">
        <v>1</v>
      </c>
      <c r="X327" s="333">
        <v>1</v>
      </c>
      <c r="Y327" s="333">
        <v>1</v>
      </c>
      <c r="Z327" s="333">
        <v>1</v>
      </c>
      <c r="AA327" s="333">
        <v>1</v>
      </c>
      <c r="AB327" s="333">
        <v>1</v>
      </c>
      <c r="AC327" s="333">
        <v>1</v>
      </c>
      <c r="AD327" s="333">
        <v>1</v>
      </c>
      <c r="AE327" s="333">
        <v>1</v>
      </c>
      <c r="AF327" s="333">
        <v>1</v>
      </c>
      <c r="AG327" s="333">
        <v>1</v>
      </c>
      <c r="AH327" s="333">
        <v>1</v>
      </c>
      <c r="AI327" s="333">
        <v>1</v>
      </c>
      <c r="AJ327" s="333">
        <v>1</v>
      </c>
      <c r="AK327" s="333">
        <v>1</v>
      </c>
      <c r="AL327" s="333">
        <v>1</v>
      </c>
      <c r="AN327" s="4"/>
      <c r="AQ327" s="4"/>
      <c r="AR327" s="4"/>
      <c r="AS327" s="4"/>
      <c r="AT327" s="4"/>
      <c r="AU327" s="4"/>
    </row>
    <row r="328" spans="1:47">
      <c r="C328" s="4"/>
      <c r="D328" s="4"/>
      <c r="E328" s="4"/>
      <c r="F328" s="4"/>
      <c r="G328" s="4" t="s">
        <v>697</v>
      </c>
      <c r="H328" s="4"/>
      <c r="I328" s="4"/>
      <c r="J328" s="4" t="s">
        <v>698</v>
      </c>
      <c r="K328" s="424">
        <f>'Key inputs_Refineries'!$F$191</f>
        <v>15</v>
      </c>
      <c r="L328" s="424">
        <f>'Key inputs_Refineries'!$F$191</f>
        <v>15</v>
      </c>
      <c r="M328" s="424">
        <f>'Key inputs_Refineries'!$F$191</f>
        <v>15</v>
      </c>
      <c r="N328" s="424">
        <f>'Key inputs_Refineries'!$F$191</f>
        <v>15</v>
      </c>
      <c r="O328" s="424">
        <f>'Key inputs_Refineries'!$F$191</f>
        <v>15</v>
      </c>
      <c r="P328" s="424">
        <f>'Key inputs_Refineries'!$F$191</f>
        <v>15</v>
      </c>
      <c r="Q328" s="424">
        <f>'Key inputs_Refineries'!$F$191</f>
        <v>15</v>
      </c>
      <c r="R328" s="424">
        <f>'Key inputs_Refineries'!$F$191</f>
        <v>15</v>
      </c>
      <c r="S328" s="424">
        <f>'Key inputs_Refineries'!$F$191</f>
        <v>15</v>
      </c>
      <c r="T328" s="424">
        <f>'Key inputs_Refineries'!$F$191</f>
        <v>15</v>
      </c>
      <c r="U328" s="424">
        <f>'Key inputs_Refineries'!$F$191</f>
        <v>15</v>
      </c>
      <c r="V328" s="424">
        <f>'Key inputs_Refineries'!$F$191</f>
        <v>15</v>
      </c>
      <c r="W328" s="424">
        <f>'Key inputs_Refineries'!$F$191</f>
        <v>15</v>
      </c>
      <c r="X328" s="424">
        <f>'Key inputs_Refineries'!$F$191</f>
        <v>15</v>
      </c>
      <c r="Y328" s="424">
        <f>'Key inputs_Refineries'!$F$191</f>
        <v>15</v>
      </c>
      <c r="Z328" s="424">
        <f>'Key inputs_Refineries'!$F$191</f>
        <v>15</v>
      </c>
      <c r="AA328" s="424">
        <f>'Key inputs_Refineries'!$F$191</f>
        <v>15</v>
      </c>
      <c r="AB328" s="424">
        <f>'Key inputs_Refineries'!$F$191</f>
        <v>15</v>
      </c>
      <c r="AC328" s="424">
        <f>'Key inputs_Refineries'!$F$191</f>
        <v>15</v>
      </c>
      <c r="AD328" s="424">
        <f>'Key inputs_Refineries'!$F$191</f>
        <v>15</v>
      </c>
      <c r="AE328" s="424">
        <f>'Key inputs_Refineries'!$F$191</f>
        <v>15</v>
      </c>
      <c r="AF328" s="424">
        <f>'Key inputs_Refineries'!$F$191</f>
        <v>15</v>
      </c>
      <c r="AG328" s="424">
        <f>'Key inputs_Refineries'!$F$191</f>
        <v>15</v>
      </c>
      <c r="AH328" s="424">
        <f>'Key inputs_Refineries'!$F$191</f>
        <v>15</v>
      </c>
      <c r="AI328" s="424">
        <f>'Key inputs_Refineries'!$F$191</f>
        <v>15</v>
      </c>
      <c r="AJ328" s="424">
        <f>'Key inputs_Refineries'!$F$191</f>
        <v>15</v>
      </c>
      <c r="AK328" s="424">
        <f>'Key inputs_Refineries'!$F$191</f>
        <v>15</v>
      </c>
      <c r="AL328" s="424">
        <f>'Key inputs_Refineries'!$F$191</f>
        <v>15</v>
      </c>
      <c r="AN328" s="4"/>
      <c r="AQ328" s="4"/>
      <c r="AR328" s="4"/>
      <c r="AS328" s="4"/>
      <c r="AT328" s="4"/>
      <c r="AU328" s="4"/>
    </row>
    <row r="329" spans="1:47">
      <c r="C329" s="4"/>
      <c r="D329" s="4"/>
      <c r="E329" s="4"/>
      <c r="F329" s="4"/>
      <c r="G329" s="4" t="s">
        <v>699</v>
      </c>
      <c r="H329" s="4"/>
      <c r="I329" s="4">
        <v>2019</v>
      </c>
      <c r="J329" s="4" t="s">
        <v>112</v>
      </c>
      <c r="K329" s="347" cm="1">
        <f t="array" ref="K329">-SUM(SUMIFS('Key inputs_Refineries'!E$85:E$164,'Key inputs_Refineries'!$C$85:$C$164,$C337:$C346,'Key inputs_Refineries'!$B$85:$B$164,"HVAC"))*K336/10^3</f>
        <v>7.92E-3</v>
      </c>
      <c r="L329" s="347" cm="1">
        <f t="array" ref="L329">-SUM(SUMIFS('Key inputs_Refineries'!F$85:F$164,'Key inputs_Refineries'!$C$85:$C$164,$C337:$C346,'Key inputs_Refineries'!$B$85:$B$164,"HVAC"))*L336/10^3</f>
        <v>0.19952397764992053</v>
      </c>
      <c r="M329" s="347" cm="1">
        <f t="array" ref="M329">-SUM(SUMIFS('Key inputs_Refineries'!G$85:G$164,'Key inputs_Refineries'!$C$85:$C$164,$C337:$C346,'Key inputs_Refineries'!$B$85:$B$164,"HVAC"))*M336/10^3</f>
        <v>2.4804082092860745E-2</v>
      </c>
      <c r="N329" s="347" cm="1">
        <f t="array" ref="N329">-SUM(SUMIFS('Key inputs_Refineries'!H$85:H$164,'Key inputs_Refineries'!$C$85:$C$164,$C337:$C346,'Key inputs_Refineries'!$B$85:$B$164,"HVAC"))*N336/10^3</f>
        <v>0</v>
      </c>
      <c r="O329" s="347" cm="1">
        <f t="array" ref="O329">-SUM(SUMIFS('Key inputs_Refineries'!I$85:I$164,'Key inputs_Refineries'!$C$85:$C$164,$C337:$C346,'Key inputs_Refineries'!$B$85:$B$164,"HVAC"))*O336/10^3</f>
        <v>0.2957537521585511</v>
      </c>
      <c r="P329" s="347" cm="1">
        <f t="array" ref="P329">-SUM(SUMIFS('Key inputs_Refineries'!J$85:J$164,'Key inputs_Refineries'!$C$85:$C$164,$C337:$C346,'Key inputs_Refineries'!$B$85:$B$164,"HVAC"))*P336/10^3</f>
        <v>0.16174348653587003</v>
      </c>
      <c r="Q329" s="347" cm="1">
        <f t="array" ref="Q329">-SUM(SUMIFS('Key inputs_Refineries'!K$85:K$164,'Key inputs_Refineries'!$C$85:$C$164,$C337:$C346,'Key inputs_Refineries'!$B$85:$B$164,"HVAC"))*Q336/10^3</f>
        <v>0.89588000000000012</v>
      </c>
      <c r="R329" s="347" cm="1">
        <f t="array" ref="R329">-SUM(SUMIFS('Key inputs_Refineries'!L$85:L$164,'Key inputs_Refineries'!$C$85:$C$164,$C337:$C346,'Key inputs_Refineries'!$B$85:$B$164,"HVAC"))*R336/10^3</f>
        <v>3.6344000000000001E-2</v>
      </c>
      <c r="S329" s="347" cm="1">
        <f t="array" ref="S329">-SUM(SUMIFS('Key inputs_Refineries'!M$85:M$164,'Key inputs_Refineries'!$C$85:$C$164,$C337:$C346,'Key inputs_Refineries'!$B$85:$B$164,"HVAC"))*S336/10^3</f>
        <v>0.25864184482758623</v>
      </c>
      <c r="T329" s="347" cm="1">
        <f t="array" ref="T329">-SUM(SUMIFS('Key inputs_Refineries'!N$85:N$164,'Key inputs_Refineries'!$C$85:$C$164,$C337:$C346,'Key inputs_Refineries'!$B$85:$B$164,"HVAC"))*T336/10^3</f>
        <v>0.72971332960999358</v>
      </c>
      <c r="U329" s="347" cm="1">
        <f t="array" ref="U329">-SUM(SUMIFS('Key inputs_Refineries'!O$85:O$164,'Key inputs_Refineries'!$C$85:$C$164,$C337:$C346,'Key inputs_Refineries'!$B$85:$B$164,"HVAC"))*U336/10^3</f>
        <v>0.11598953570904441</v>
      </c>
      <c r="V329" s="347" cm="1">
        <f t="array" ref="V329">-SUM(SUMIFS('Key inputs_Refineries'!P$85:P$164,'Key inputs_Refineries'!$C$85:$C$164,$C337:$C346,'Key inputs_Refineries'!$B$85:$B$164,"HVAC"))*V336/10^3</f>
        <v>20.168338023922569</v>
      </c>
      <c r="W329" s="347" cm="1">
        <f t="array" ref="W329">-SUM(SUMIFS('Key inputs_Refineries'!Q$85:Q$164,'Key inputs_Refineries'!$C$85:$C$164,$C337:$C346,'Key inputs_Refineries'!$B$85:$B$164,"HVAC"))*W336/10^3</f>
        <v>0.2677259989344235</v>
      </c>
      <c r="X329" s="347" cm="1">
        <f t="array" ref="X329">-SUM(SUMIFS('Key inputs_Refineries'!R$85:R$164,'Key inputs_Refineries'!$C$85:$C$164,$C337:$C346,'Key inputs_Refineries'!$B$85:$B$164,"HVAC"))*X336/10^3</f>
        <v>0.65119836439670054</v>
      </c>
      <c r="Y329" s="347" cm="1">
        <f t="array" ref="Y329">-SUM(SUMIFS('Key inputs_Refineries'!S$85:S$164,'Key inputs_Refineries'!$C$85:$C$164,$C337:$C346,'Key inputs_Refineries'!$B$85:$B$164,"HVAC"))*Y336/10^3</f>
        <v>1.0228342325141753</v>
      </c>
      <c r="Z329" s="347" cm="1">
        <f t="array" ref="Z329">-SUM(SUMIFS('Key inputs_Refineries'!T$85:T$164,'Key inputs_Refineries'!$C$85:$C$164,$C337:$C346,'Key inputs_Refineries'!$B$85:$B$164,"HVAC"))*Z336/10^3</f>
        <v>3.7030749216472105</v>
      </c>
      <c r="AA329" s="347" cm="1">
        <f t="array" ref="AA329">-SUM(SUMIFS('Key inputs_Refineries'!U$85:U$164,'Key inputs_Refineries'!$C$85:$C$164,$C337:$C346,'Key inputs_Refineries'!$B$85:$B$164,"HVAC"))*AA336/10^3</f>
        <v>3.4723851820982197</v>
      </c>
      <c r="AB329" s="347" cm="1">
        <f t="array" ref="AB329">-SUM(SUMIFS('Key inputs_Refineries'!V$85:V$164,'Key inputs_Refineries'!$C$85:$C$164,$C337:$C346,'Key inputs_Refineries'!$B$85:$B$164,"HVAC"))*AB336/10^3</f>
        <v>1.3698209910681247</v>
      </c>
      <c r="AC329" s="347" cm="1">
        <f t="array" ref="AC329">-SUM(SUMIFS('Key inputs_Refineries'!W$85:W$164,'Key inputs_Refineries'!$C$85:$C$164,$C337:$C346,'Key inputs_Refineries'!$B$85:$B$164,"HVAC"))*AC336/10^3</f>
        <v>6.1261200000000011</v>
      </c>
      <c r="AD329" s="347" cm="1">
        <f t="array" ref="AD329">-SUM(SUMIFS('Key inputs_Refineries'!X$85:X$164,'Key inputs_Refineries'!$C$85:$C$164,$C337:$C346,'Key inputs_Refineries'!$B$85:$B$164,"HVAC"))*AD336/10^3</f>
        <v>2.2737441125057516</v>
      </c>
      <c r="AE329" s="347" cm="1">
        <f t="array" ref="AE329">-SUM(SUMIFS('Key inputs_Refineries'!Y$85:Y$164,'Key inputs_Refineries'!$C$85:$C$164,$C337:$C346,'Key inputs_Refineries'!$B$85:$B$164,"HVAC"))*AE336/10^3</f>
        <v>1.800949020074109</v>
      </c>
      <c r="AF329" s="347" cm="1">
        <f t="array" ref="AF329">-SUM(SUMIFS('Key inputs_Refineries'!Z$85:Z$164,'Key inputs_Refineries'!$C$85:$C$164,$C337:$C346,'Key inputs_Refineries'!$B$85:$B$164,"HVAC"))*AF336/10^3</f>
        <v>0.93387444215720306</v>
      </c>
      <c r="AG329" s="347" cm="1">
        <f t="array" ref="AG329">-SUM(SUMIFS('Key inputs_Refineries'!AA$85:AA$164,'Key inputs_Refineries'!$C$85:$C$164,$C337:$C346,'Key inputs_Refineries'!$B$85:$B$164,"HVAC"))*AG336/10^3</f>
        <v>2.6315292164305628</v>
      </c>
      <c r="AH329" s="347" cm="1">
        <f t="array" ref="AH329">-SUM(SUMIFS('Key inputs_Refineries'!AB$85:AB$164,'Key inputs_Refineries'!$C$85:$C$164,$C337:$C346,'Key inputs_Refineries'!$B$85:$B$164,"HVAC"))*AH336/10^3</f>
        <v>1.2106880000000002</v>
      </c>
      <c r="AI329" s="347" cm="1">
        <f t="array" ref="AI329">-SUM(SUMIFS('Key inputs_Refineries'!AC$85:AC$164,'Key inputs_Refineries'!$C$85:$C$164,$C337:$C346,'Key inputs_Refineries'!$B$85:$B$164,"HVAC"))*AI336/10^3</f>
        <v>1.6136000000000005E-2</v>
      </c>
      <c r="AJ329" s="347" cm="1">
        <f t="array" ref="AJ329">-SUM(SUMIFS('Key inputs_Refineries'!AD$85:AD$164,'Key inputs_Refineries'!$C$85:$C$164,$C337:$C346,'Key inputs_Refineries'!$B$85:$B$164,"HVAC"))*AJ336/10^3</f>
        <v>0</v>
      </c>
      <c r="AK329" s="347" cm="1">
        <f t="array" ref="AK329">-SUM(SUMIFS('Key inputs_Refineries'!AE$85:AE$164,'Key inputs_Refineries'!$C$85:$C$164,$C337:$C346,'Key inputs_Refineries'!$B$85:$B$164,"HVAC"))*AK336/10^3</f>
        <v>1.6963411328524953</v>
      </c>
      <c r="AL329" s="347" cm="1">
        <f t="array" ref="AL329">-SUM(SUMIFS('Key inputs_Refineries'!AF$85:AF$164,'Key inputs_Refineries'!$C$85:$C$164,$C337:$C346,'Key inputs_Refineries'!$B$85:$B$164,"HVAC"))*AL336/10^3</f>
        <v>5.7476208958738315</v>
      </c>
      <c r="AN329" s="4"/>
      <c r="AQ329" s="4"/>
      <c r="AR329" s="4"/>
      <c r="AS329" s="4"/>
      <c r="AT329" s="4"/>
      <c r="AU329" s="4"/>
    </row>
    <row r="330" spans="1:47">
      <c r="G330" s="4" t="s">
        <v>701</v>
      </c>
      <c r="H330" s="4" t="s">
        <v>661</v>
      </c>
      <c r="I330" s="4">
        <v>2019</v>
      </c>
      <c r="J330" s="4" t="s">
        <v>112</v>
      </c>
      <c r="K330" s="333">
        <v>0</v>
      </c>
      <c r="L330" s="333">
        <v>0</v>
      </c>
      <c r="M330" s="333">
        <v>0</v>
      </c>
      <c r="N330" s="333">
        <v>0</v>
      </c>
      <c r="O330" s="333">
        <v>0</v>
      </c>
      <c r="P330" s="333">
        <v>0</v>
      </c>
      <c r="Q330" s="333">
        <v>0</v>
      </c>
      <c r="R330" s="333">
        <v>0</v>
      </c>
      <c r="S330" s="333">
        <v>0</v>
      </c>
      <c r="T330" s="333">
        <v>0</v>
      </c>
      <c r="U330" s="333">
        <v>0</v>
      </c>
      <c r="V330" s="333">
        <v>0</v>
      </c>
      <c r="W330" s="333">
        <v>0</v>
      </c>
      <c r="X330" s="333">
        <v>0</v>
      </c>
      <c r="Y330" s="333">
        <v>0</v>
      </c>
      <c r="Z330" s="333">
        <v>0</v>
      </c>
      <c r="AA330" s="333">
        <v>0</v>
      </c>
      <c r="AB330" s="333">
        <v>0</v>
      </c>
      <c r="AC330" s="333">
        <v>0</v>
      </c>
      <c r="AD330" s="333">
        <v>0</v>
      </c>
      <c r="AE330" s="333">
        <v>0</v>
      </c>
      <c r="AF330" s="333">
        <v>0</v>
      </c>
      <c r="AG330" s="333">
        <v>0</v>
      </c>
      <c r="AH330" s="333">
        <v>0</v>
      </c>
      <c r="AI330" s="333">
        <v>0</v>
      </c>
      <c r="AJ330" s="333">
        <v>0</v>
      </c>
      <c r="AK330" s="333">
        <v>0</v>
      </c>
      <c r="AL330" s="333">
        <v>0</v>
      </c>
      <c r="AN330" s="4"/>
      <c r="AQ330" s="4"/>
      <c r="AR330" s="4"/>
      <c r="AS330" s="4"/>
      <c r="AT330" s="4"/>
      <c r="AU330" s="4"/>
    </row>
    <row r="331" spans="1:47">
      <c r="G331" s="4" t="s">
        <v>701</v>
      </c>
      <c r="H331" s="4" t="s">
        <v>661</v>
      </c>
      <c r="I331" s="4">
        <v>2060</v>
      </c>
      <c r="J331" s="4" t="s">
        <v>112</v>
      </c>
      <c r="K331" s="333">
        <v>0</v>
      </c>
      <c r="L331" s="333">
        <v>0</v>
      </c>
      <c r="M331" s="333">
        <v>0</v>
      </c>
      <c r="N331" s="333">
        <v>0</v>
      </c>
      <c r="O331" s="333">
        <v>0</v>
      </c>
      <c r="P331" s="333">
        <v>0</v>
      </c>
      <c r="Q331" s="333">
        <v>0</v>
      </c>
      <c r="R331" s="333">
        <v>0</v>
      </c>
      <c r="S331" s="333">
        <v>0</v>
      </c>
      <c r="T331" s="333">
        <v>0</v>
      </c>
      <c r="U331" s="333">
        <v>0</v>
      </c>
      <c r="V331" s="333">
        <v>0</v>
      </c>
      <c r="W331" s="333">
        <v>0</v>
      </c>
      <c r="X331" s="333">
        <v>0</v>
      </c>
      <c r="Y331" s="333">
        <v>0</v>
      </c>
      <c r="Z331" s="333">
        <v>0</v>
      </c>
      <c r="AA331" s="333">
        <v>0</v>
      </c>
      <c r="AB331" s="333">
        <v>0</v>
      </c>
      <c r="AC331" s="333">
        <v>0</v>
      </c>
      <c r="AD331" s="333">
        <v>0</v>
      </c>
      <c r="AE331" s="333">
        <v>0</v>
      </c>
      <c r="AF331" s="333">
        <v>0</v>
      </c>
      <c r="AG331" s="333">
        <v>0</v>
      </c>
      <c r="AH331" s="333">
        <v>0</v>
      </c>
      <c r="AI331" s="333">
        <v>0</v>
      </c>
      <c r="AJ331" s="333">
        <v>0</v>
      </c>
      <c r="AK331" s="333">
        <v>0</v>
      </c>
      <c r="AL331" s="333">
        <v>0</v>
      </c>
      <c r="AN331" s="4"/>
      <c r="AQ331" s="4"/>
      <c r="AR331" s="4"/>
      <c r="AS331" s="4"/>
      <c r="AT331" s="4"/>
      <c r="AU331" s="4"/>
    </row>
    <row r="332" spans="1:47">
      <c r="G332" s="4" t="s">
        <v>701</v>
      </c>
      <c r="H332" s="4" t="s">
        <v>661</v>
      </c>
      <c r="I332" s="4">
        <v>0</v>
      </c>
      <c r="J332" s="4"/>
      <c r="K332" s="333">
        <v>5</v>
      </c>
      <c r="L332" s="333">
        <v>5</v>
      </c>
      <c r="M332" s="333">
        <v>5</v>
      </c>
      <c r="N332" s="333">
        <v>5</v>
      </c>
      <c r="O332" s="333">
        <v>5</v>
      </c>
      <c r="P332" s="333">
        <v>5</v>
      </c>
      <c r="Q332" s="333">
        <v>5</v>
      </c>
      <c r="R332" s="333">
        <v>5</v>
      </c>
      <c r="S332" s="333">
        <v>5</v>
      </c>
      <c r="T332" s="333">
        <v>5</v>
      </c>
      <c r="U332" s="333">
        <v>5</v>
      </c>
      <c r="V332" s="333">
        <v>5</v>
      </c>
      <c r="W332" s="333">
        <v>5</v>
      </c>
      <c r="X332" s="333">
        <v>5</v>
      </c>
      <c r="Y332" s="333">
        <v>5</v>
      </c>
      <c r="Z332" s="333">
        <v>5</v>
      </c>
      <c r="AA332" s="333">
        <v>5</v>
      </c>
      <c r="AB332" s="333">
        <v>5</v>
      </c>
      <c r="AC332" s="333">
        <v>5</v>
      </c>
      <c r="AD332" s="333">
        <v>5</v>
      </c>
      <c r="AE332" s="333">
        <v>5</v>
      </c>
      <c r="AF332" s="333">
        <v>5</v>
      </c>
      <c r="AG332" s="333">
        <v>5</v>
      </c>
      <c r="AH332" s="333">
        <v>5</v>
      </c>
      <c r="AI332" s="333">
        <v>5</v>
      </c>
      <c r="AJ332" s="333">
        <v>5</v>
      </c>
      <c r="AK332" s="333">
        <v>5</v>
      </c>
      <c r="AL332" s="333">
        <v>5</v>
      </c>
      <c r="AN332" s="4"/>
      <c r="AQ332" s="4"/>
      <c r="AR332" s="4"/>
      <c r="AS332" s="4"/>
      <c r="AT332" s="4"/>
      <c r="AU332" s="4"/>
    </row>
    <row r="333" spans="1:47">
      <c r="G333" s="4" t="s">
        <v>687</v>
      </c>
      <c r="H333" s="4"/>
      <c r="I333" s="4"/>
      <c r="J333" s="4" t="s">
        <v>2663</v>
      </c>
      <c r="K333" s="425">
        <f>'Key inputs_Refineries'!$C$191*10^3</f>
        <v>104.06880000000001</v>
      </c>
      <c r="L333" s="425">
        <f>'Key inputs_Refineries'!$C$191*10^3</f>
        <v>104.06880000000001</v>
      </c>
      <c r="M333" s="425">
        <f>'Key inputs_Refineries'!$C$191*10^3</f>
        <v>104.06880000000001</v>
      </c>
      <c r="N333" s="425">
        <f>'Key inputs_Refineries'!$C$191*10^3</f>
        <v>104.06880000000001</v>
      </c>
      <c r="O333" s="425">
        <f>'Key inputs_Refineries'!$C$191*10^3</f>
        <v>104.06880000000001</v>
      </c>
      <c r="P333" s="425">
        <f>'Key inputs_Refineries'!$C$191*10^3</f>
        <v>104.06880000000001</v>
      </c>
      <c r="Q333" s="425">
        <f>'Key inputs_Refineries'!$C$191*10^3</f>
        <v>104.06880000000001</v>
      </c>
      <c r="R333" s="425">
        <f>'Key inputs_Refineries'!$C$191*10^3</f>
        <v>104.06880000000001</v>
      </c>
      <c r="S333" s="425">
        <f>'Key inputs_Refineries'!$C$191*10^3</f>
        <v>104.06880000000001</v>
      </c>
      <c r="T333" s="425">
        <f>'Key inputs_Refineries'!$C$191*10^3</f>
        <v>104.06880000000001</v>
      </c>
      <c r="U333" s="425">
        <f>'Key inputs_Refineries'!$C$191*10^3</f>
        <v>104.06880000000001</v>
      </c>
      <c r="V333" s="425">
        <f>'Key inputs_Refineries'!$C$191*10^3</f>
        <v>104.06880000000001</v>
      </c>
      <c r="W333" s="425">
        <f>'Key inputs_Refineries'!$C$191*10^3</f>
        <v>104.06880000000001</v>
      </c>
      <c r="X333" s="425">
        <f>'Key inputs_Refineries'!$C$191*10^3</f>
        <v>104.06880000000001</v>
      </c>
      <c r="Y333" s="425">
        <f>'Key inputs_Refineries'!$C$191*10^3</f>
        <v>104.06880000000001</v>
      </c>
      <c r="Z333" s="425">
        <f>'Key inputs_Refineries'!$C$191*10^3</f>
        <v>104.06880000000001</v>
      </c>
      <c r="AA333" s="425">
        <f>'Key inputs_Refineries'!$C$191*10^3</f>
        <v>104.06880000000001</v>
      </c>
      <c r="AB333" s="425">
        <f>'Key inputs_Refineries'!$C$191*10^3</f>
        <v>104.06880000000001</v>
      </c>
      <c r="AC333" s="425">
        <f>'Key inputs_Refineries'!$C$191*10^3</f>
        <v>104.06880000000001</v>
      </c>
      <c r="AD333" s="425">
        <f>'Key inputs_Refineries'!$C$191*10^3</f>
        <v>104.06880000000001</v>
      </c>
      <c r="AE333" s="425">
        <f>'Key inputs_Refineries'!$C$191*10^3</f>
        <v>104.06880000000001</v>
      </c>
      <c r="AF333" s="425">
        <f>'Key inputs_Refineries'!$C$191*10^3</f>
        <v>104.06880000000001</v>
      </c>
      <c r="AG333" s="425">
        <f>'Key inputs_Refineries'!$C$191*10^3</f>
        <v>104.06880000000001</v>
      </c>
      <c r="AH333" s="425">
        <f>'Key inputs_Refineries'!$C$191*10^3</f>
        <v>104.06880000000001</v>
      </c>
      <c r="AI333" s="425">
        <f>'Key inputs_Refineries'!$C$191*10^3</f>
        <v>104.06880000000001</v>
      </c>
      <c r="AJ333" s="425">
        <f>'Key inputs_Refineries'!$C$191*10^3</f>
        <v>104.06880000000001</v>
      </c>
      <c r="AK333" s="425">
        <f>'Key inputs_Refineries'!$C$191*10^3</f>
        <v>104.06880000000001</v>
      </c>
      <c r="AL333" s="425">
        <f>'Key inputs_Refineries'!$C$191*10^3</f>
        <v>104.06880000000001</v>
      </c>
      <c r="AN333" s="4"/>
      <c r="AQ333" s="4"/>
      <c r="AR333" s="4"/>
      <c r="AS333" s="4"/>
      <c r="AT333" s="4"/>
      <c r="AU333" s="4"/>
    </row>
    <row r="334" spans="1:47">
      <c r="G334" s="4" t="s">
        <v>689</v>
      </c>
      <c r="H334" s="4"/>
      <c r="I334" s="4"/>
      <c r="J334" s="4" t="s">
        <v>2663</v>
      </c>
      <c r="K334" s="425">
        <f>'Key inputs_Refineries'!$D$191*10^3</f>
        <v>0.94608000000000003</v>
      </c>
      <c r="L334" s="425">
        <f>'Key inputs_Refineries'!$D$191*10^3</f>
        <v>0.94608000000000003</v>
      </c>
      <c r="M334" s="425">
        <f>'Key inputs_Refineries'!$D$191*10^3</f>
        <v>0.94608000000000003</v>
      </c>
      <c r="N334" s="425">
        <f>'Key inputs_Refineries'!$D$191*10^3</f>
        <v>0.94608000000000003</v>
      </c>
      <c r="O334" s="425">
        <f>'Key inputs_Refineries'!$D$191*10^3</f>
        <v>0.94608000000000003</v>
      </c>
      <c r="P334" s="425">
        <f>'Key inputs_Refineries'!$D$191*10^3</f>
        <v>0.94608000000000003</v>
      </c>
      <c r="Q334" s="425">
        <f>'Key inputs_Refineries'!$D$191*10^3</f>
        <v>0.94608000000000003</v>
      </c>
      <c r="R334" s="425">
        <f>'Key inputs_Refineries'!$D$191*10^3</f>
        <v>0.94608000000000003</v>
      </c>
      <c r="S334" s="425">
        <f>'Key inputs_Refineries'!$D$191*10^3</f>
        <v>0.94608000000000003</v>
      </c>
      <c r="T334" s="425">
        <f>'Key inputs_Refineries'!$D$191*10^3</f>
        <v>0.94608000000000003</v>
      </c>
      <c r="U334" s="425">
        <f>'Key inputs_Refineries'!$D$191*10^3</f>
        <v>0.94608000000000003</v>
      </c>
      <c r="V334" s="425">
        <f>'Key inputs_Refineries'!$D$191*10^3</f>
        <v>0.94608000000000003</v>
      </c>
      <c r="W334" s="425">
        <f>'Key inputs_Refineries'!$D$191*10^3</f>
        <v>0.94608000000000003</v>
      </c>
      <c r="X334" s="425">
        <f>'Key inputs_Refineries'!$D$191*10^3</f>
        <v>0.94608000000000003</v>
      </c>
      <c r="Y334" s="425">
        <f>'Key inputs_Refineries'!$D$191*10^3</f>
        <v>0.94608000000000003</v>
      </c>
      <c r="Z334" s="425">
        <f>'Key inputs_Refineries'!$D$191*10^3</f>
        <v>0.94608000000000003</v>
      </c>
      <c r="AA334" s="425">
        <f>'Key inputs_Refineries'!$D$191*10^3</f>
        <v>0.94608000000000003</v>
      </c>
      <c r="AB334" s="425">
        <f>'Key inputs_Refineries'!$D$191*10^3</f>
        <v>0.94608000000000003</v>
      </c>
      <c r="AC334" s="425">
        <f>'Key inputs_Refineries'!$D$191*10^3</f>
        <v>0.94608000000000003</v>
      </c>
      <c r="AD334" s="425">
        <f>'Key inputs_Refineries'!$D$191*10^3</f>
        <v>0.94608000000000003</v>
      </c>
      <c r="AE334" s="425">
        <f>'Key inputs_Refineries'!$D$191*10^3</f>
        <v>0.94608000000000003</v>
      </c>
      <c r="AF334" s="425">
        <f>'Key inputs_Refineries'!$D$191*10^3</f>
        <v>0.94608000000000003</v>
      </c>
      <c r="AG334" s="425">
        <f>'Key inputs_Refineries'!$D$191*10^3</f>
        <v>0.94608000000000003</v>
      </c>
      <c r="AH334" s="425">
        <f>'Key inputs_Refineries'!$D$191*10^3</f>
        <v>0.94608000000000003</v>
      </c>
      <c r="AI334" s="425">
        <f>'Key inputs_Refineries'!$D$191*10^3</f>
        <v>0.94608000000000003</v>
      </c>
      <c r="AJ334" s="425">
        <f>'Key inputs_Refineries'!$D$191*10^3</f>
        <v>0.94608000000000003</v>
      </c>
      <c r="AK334" s="425">
        <f>'Key inputs_Refineries'!$D$191*10^3</f>
        <v>0.94608000000000003</v>
      </c>
      <c r="AL334" s="425">
        <f>'Key inputs_Refineries'!$D$191*10^3</f>
        <v>0.94608000000000003</v>
      </c>
      <c r="AN334" s="4"/>
      <c r="AQ334" s="4"/>
      <c r="AR334" s="4"/>
      <c r="AS334" s="4"/>
      <c r="AT334" s="4"/>
      <c r="AU334" s="4"/>
    </row>
    <row r="335" spans="1:47">
      <c r="G335" s="4" t="s">
        <v>675</v>
      </c>
      <c r="H335" s="4"/>
      <c r="I335" s="4"/>
      <c r="J335" s="4" t="s">
        <v>2662</v>
      </c>
      <c r="K335" s="338"/>
      <c r="L335" s="338"/>
      <c r="M335" s="338"/>
      <c r="N335" s="338"/>
      <c r="O335" s="338"/>
      <c r="P335" s="338"/>
      <c r="Q335" s="338"/>
      <c r="R335" s="338"/>
      <c r="S335" s="338"/>
      <c r="T335" s="338"/>
      <c r="U335" s="338"/>
      <c r="V335" s="338"/>
      <c r="W335" s="338"/>
      <c r="X335" s="338"/>
      <c r="Y335" s="338"/>
      <c r="Z335" s="338"/>
      <c r="AA335" s="338"/>
      <c r="AB335" s="338"/>
      <c r="AC335" s="338"/>
      <c r="AD335" s="338"/>
      <c r="AE335" s="338"/>
      <c r="AF335" s="338"/>
      <c r="AG335" s="338"/>
      <c r="AH335" s="338"/>
      <c r="AI335" s="338"/>
      <c r="AJ335" s="338"/>
      <c r="AK335" s="338"/>
      <c r="AL335" s="338"/>
      <c r="AN335" s="4"/>
      <c r="AQ335" s="4"/>
      <c r="AR335" s="4"/>
      <c r="AS335" s="4"/>
      <c r="AT335" s="4"/>
      <c r="AU335" s="4"/>
    </row>
    <row r="336" spans="1:47">
      <c r="G336" s="4" t="s">
        <v>630</v>
      </c>
      <c r="H336" s="4"/>
      <c r="I336" s="4"/>
      <c r="J336" s="4" t="s">
        <v>2666</v>
      </c>
      <c r="K336" s="425">
        <f>'Key inputs_Refineries'!$H$191</f>
        <v>0.8</v>
      </c>
      <c r="L336" s="425">
        <f>'Key inputs_Refineries'!$H$191</f>
        <v>0.8</v>
      </c>
      <c r="M336" s="425">
        <f>'Key inputs_Refineries'!$H$191</f>
        <v>0.8</v>
      </c>
      <c r="N336" s="425">
        <f>'Key inputs_Refineries'!$H$191</f>
        <v>0.8</v>
      </c>
      <c r="O336" s="425">
        <f>'Key inputs_Refineries'!$H$191</f>
        <v>0.8</v>
      </c>
      <c r="P336" s="425">
        <f>'Key inputs_Refineries'!$H$191</f>
        <v>0.8</v>
      </c>
      <c r="Q336" s="425">
        <f>'Key inputs_Refineries'!$H$191</f>
        <v>0.8</v>
      </c>
      <c r="R336" s="425">
        <f>'Key inputs_Refineries'!$H$191</f>
        <v>0.8</v>
      </c>
      <c r="S336" s="425">
        <f>'Key inputs_Refineries'!$H$191</f>
        <v>0.8</v>
      </c>
      <c r="T336" s="425">
        <f>'Key inputs_Refineries'!$H$191</f>
        <v>0.8</v>
      </c>
      <c r="U336" s="425">
        <f>'Key inputs_Refineries'!$H$191</f>
        <v>0.8</v>
      </c>
      <c r="V336" s="425">
        <f>'Key inputs_Refineries'!$H$191</f>
        <v>0.8</v>
      </c>
      <c r="W336" s="425">
        <f>'Key inputs_Refineries'!$H$191</f>
        <v>0.8</v>
      </c>
      <c r="X336" s="425">
        <f>'Key inputs_Refineries'!$H$191</f>
        <v>0.8</v>
      </c>
      <c r="Y336" s="425">
        <f>'Key inputs_Refineries'!$H$191</f>
        <v>0.8</v>
      </c>
      <c r="Z336" s="425">
        <f>'Key inputs_Refineries'!$H$191</f>
        <v>0.8</v>
      </c>
      <c r="AA336" s="425">
        <f>'Key inputs_Refineries'!$H$191</f>
        <v>0.8</v>
      </c>
      <c r="AB336" s="425">
        <f>'Key inputs_Refineries'!$H$191</f>
        <v>0.8</v>
      </c>
      <c r="AC336" s="425">
        <f>'Key inputs_Refineries'!$H$191</f>
        <v>0.8</v>
      </c>
      <c r="AD336" s="425">
        <f>'Key inputs_Refineries'!$H$191</f>
        <v>0.8</v>
      </c>
      <c r="AE336" s="425">
        <f>'Key inputs_Refineries'!$H$191</f>
        <v>0.8</v>
      </c>
      <c r="AF336" s="425">
        <f>'Key inputs_Refineries'!$H$191</f>
        <v>0.8</v>
      </c>
      <c r="AG336" s="425">
        <f>'Key inputs_Refineries'!$H$191</f>
        <v>0.8</v>
      </c>
      <c r="AH336" s="425">
        <f>'Key inputs_Refineries'!$H$191</f>
        <v>0.8</v>
      </c>
      <c r="AI336" s="425">
        <f>'Key inputs_Refineries'!$H$191</f>
        <v>0.8</v>
      </c>
      <c r="AJ336" s="425">
        <f>'Key inputs_Refineries'!$H$191</f>
        <v>0.8</v>
      </c>
      <c r="AK336" s="425">
        <f>'Key inputs_Refineries'!$H$191</f>
        <v>0.8</v>
      </c>
      <c r="AL336" s="425">
        <f>'Key inputs_Refineries'!$H$191</f>
        <v>0.8</v>
      </c>
      <c r="AN336" s="4"/>
      <c r="AQ336" s="4"/>
      <c r="AR336" s="4"/>
      <c r="AS336" s="4"/>
      <c r="AT336" s="4"/>
      <c r="AU336" s="4"/>
    </row>
    <row r="337" spans="1:38">
      <c r="C337" t="str">
        <f>Commodities!$C$80</f>
        <v>UPSBDL</v>
      </c>
      <c r="G337" s="4" t="s">
        <v>702</v>
      </c>
      <c r="H337" t="s">
        <v>661</v>
      </c>
      <c r="I337">
        <v>2019</v>
      </c>
      <c r="J337" t="s">
        <v>650</v>
      </c>
      <c r="K337" s="173" cm="1">
        <f t="array" ref="K337">IFERROR(IF(AND(SUMIFS('Key inputs_Refineries'!E$85:E$164,'Key inputs_Refineries'!$C$85:$C$164,$C337,'Key inputs_Refineries'!$B$85:$B$164,"Boiler")/SUM(SUMIFS('Key inputs_Refineries'!E$85:E$164,'Key inputs_Refineries'!$C$85:$C$164,$C337:$C346,'Key inputs_Refineries'!$B$85:$B$164,"Boiler"))&gt;0,SUMIFS('Key inputs_Refineries'!E$85:E$164,'Key inputs_Refineries'!$C$85:$C$164,$C337,'Key inputs_Refineries'!$B$85:$B$164,"Boiler")/SUM(SUMIFS('Key inputs_Refineries'!E$85:E$164,'Key inputs_Refineries'!$C$85:$C$164,$C337:$C346,'Key inputs_Refineries'!$B$85:$B$164,"Boiler"))&lt;0.001),0.001,SUMIFS('Key inputs_Refineries'!E$85:E$164,'Key inputs_Refineries'!$C$85:$C$164,$C337,'Key inputs_Refineries'!$B$85:$B$164,"Boiler")/SUM(SUMIFS('Key inputs_Refineries'!E$85:E$164,'Key inputs_Refineries'!$C$85:$C$164,$C337:$C346,'Key inputs_Refineries'!$B$85:$B$164,"Boiler"))),0)</f>
        <v>0</v>
      </c>
      <c r="L337" s="173" cm="1">
        <f t="array" ref="L337">IFERROR(IF(AND(SUMIFS('Key inputs_Refineries'!F$85:F$164,'Key inputs_Refineries'!$C$85:$C$164,$C337,'Key inputs_Refineries'!$B$85:$B$164,"Boiler")/SUM(SUMIFS('Key inputs_Refineries'!F$85:F$164,'Key inputs_Refineries'!$C$85:$C$164,$C337:$C346,'Key inputs_Refineries'!$B$85:$B$164,"Boiler"))&gt;0,SUMIFS('Key inputs_Refineries'!F$85:F$164,'Key inputs_Refineries'!$C$85:$C$164,$C337,'Key inputs_Refineries'!$B$85:$B$164,"Boiler")/SUM(SUMIFS('Key inputs_Refineries'!F$85:F$164,'Key inputs_Refineries'!$C$85:$C$164,$C337:$C346,'Key inputs_Refineries'!$B$85:$B$164,"Boiler"))&lt;0.001),0.001,SUMIFS('Key inputs_Refineries'!F$85:F$164,'Key inputs_Refineries'!$C$85:$C$164,$C337,'Key inputs_Refineries'!$B$85:$B$164,"Boiler")/SUM(SUMIFS('Key inputs_Refineries'!F$85:F$164,'Key inputs_Refineries'!$C$85:$C$164,$C337:$C346,'Key inputs_Refineries'!$B$85:$B$164,"Boiler"))),0)</f>
        <v>0</v>
      </c>
      <c r="M337" s="173" cm="1">
        <f t="array" ref="M337">IFERROR(IF(AND(SUMIFS('Key inputs_Refineries'!G$85:G$164,'Key inputs_Refineries'!$C$85:$C$164,$C337,'Key inputs_Refineries'!$B$85:$B$164,"Boiler")/SUM(SUMIFS('Key inputs_Refineries'!G$85:G$164,'Key inputs_Refineries'!$C$85:$C$164,$C337:$C346,'Key inputs_Refineries'!$B$85:$B$164,"Boiler"))&gt;0,SUMIFS('Key inputs_Refineries'!G$85:G$164,'Key inputs_Refineries'!$C$85:$C$164,$C337,'Key inputs_Refineries'!$B$85:$B$164,"Boiler")/SUM(SUMIFS('Key inputs_Refineries'!G$85:G$164,'Key inputs_Refineries'!$C$85:$C$164,$C337:$C346,'Key inputs_Refineries'!$B$85:$B$164,"Boiler"))&lt;0.001),0.001,SUMIFS('Key inputs_Refineries'!G$85:G$164,'Key inputs_Refineries'!$C$85:$C$164,$C337,'Key inputs_Refineries'!$B$85:$B$164,"Boiler")/SUM(SUMIFS('Key inputs_Refineries'!G$85:G$164,'Key inputs_Refineries'!$C$85:$C$164,$C337:$C346,'Key inputs_Refineries'!$B$85:$B$164,"Boiler"))),0)</f>
        <v>0</v>
      </c>
      <c r="N337" s="173" cm="1">
        <f t="array" ref="N337">IFERROR(IF(AND(SUMIFS('Key inputs_Refineries'!H$85:H$164,'Key inputs_Refineries'!$C$85:$C$164,$C337,'Key inputs_Refineries'!$B$85:$B$164,"Boiler")/SUM(SUMIFS('Key inputs_Refineries'!H$85:H$164,'Key inputs_Refineries'!$C$85:$C$164,$C337:$C346,'Key inputs_Refineries'!$B$85:$B$164,"Boiler"))&gt;0,SUMIFS('Key inputs_Refineries'!H$85:H$164,'Key inputs_Refineries'!$C$85:$C$164,$C337,'Key inputs_Refineries'!$B$85:$B$164,"Boiler")/SUM(SUMIFS('Key inputs_Refineries'!H$85:H$164,'Key inputs_Refineries'!$C$85:$C$164,$C337:$C346,'Key inputs_Refineries'!$B$85:$B$164,"Boiler"))&lt;0.001),0.001,SUMIFS('Key inputs_Refineries'!H$85:H$164,'Key inputs_Refineries'!$C$85:$C$164,$C337,'Key inputs_Refineries'!$B$85:$B$164,"Boiler")/SUM(SUMIFS('Key inputs_Refineries'!H$85:H$164,'Key inputs_Refineries'!$C$85:$C$164,$C337:$C346,'Key inputs_Refineries'!$B$85:$B$164,"Boiler"))),0)</f>
        <v>0</v>
      </c>
      <c r="O337" s="173" cm="1">
        <f t="array" ref="O337">IFERROR(IF(AND(SUMIFS('Key inputs_Refineries'!I$85:I$164,'Key inputs_Refineries'!$C$85:$C$164,$C337,'Key inputs_Refineries'!$B$85:$B$164,"Boiler")/SUM(SUMIFS('Key inputs_Refineries'!I$85:I$164,'Key inputs_Refineries'!$C$85:$C$164,$C337:$C346,'Key inputs_Refineries'!$B$85:$B$164,"Boiler"))&gt;0,SUMIFS('Key inputs_Refineries'!I$85:I$164,'Key inputs_Refineries'!$C$85:$C$164,$C337,'Key inputs_Refineries'!$B$85:$B$164,"Boiler")/SUM(SUMIFS('Key inputs_Refineries'!I$85:I$164,'Key inputs_Refineries'!$C$85:$C$164,$C337:$C346,'Key inputs_Refineries'!$B$85:$B$164,"Boiler"))&lt;0.001),0.001,SUMIFS('Key inputs_Refineries'!I$85:I$164,'Key inputs_Refineries'!$C$85:$C$164,$C337,'Key inputs_Refineries'!$B$85:$B$164,"Boiler")/SUM(SUMIFS('Key inputs_Refineries'!I$85:I$164,'Key inputs_Refineries'!$C$85:$C$164,$C337:$C346,'Key inputs_Refineries'!$B$85:$B$164,"Boiler"))),0)</f>
        <v>0</v>
      </c>
      <c r="P337" s="173" cm="1">
        <f t="array" ref="P337">IFERROR(IF(AND(SUMIFS('Key inputs_Refineries'!J$85:J$164,'Key inputs_Refineries'!$C$85:$C$164,$C337,'Key inputs_Refineries'!$B$85:$B$164,"Boiler")/SUM(SUMIFS('Key inputs_Refineries'!J$85:J$164,'Key inputs_Refineries'!$C$85:$C$164,$C337:$C346,'Key inputs_Refineries'!$B$85:$B$164,"Boiler"))&gt;0,SUMIFS('Key inputs_Refineries'!J$85:J$164,'Key inputs_Refineries'!$C$85:$C$164,$C337,'Key inputs_Refineries'!$B$85:$B$164,"Boiler")/SUM(SUMIFS('Key inputs_Refineries'!J$85:J$164,'Key inputs_Refineries'!$C$85:$C$164,$C337:$C346,'Key inputs_Refineries'!$B$85:$B$164,"Boiler"))&lt;0.001),0.001,SUMIFS('Key inputs_Refineries'!J$85:J$164,'Key inputs_Refineries'!$C$85:$C$164,$C337,'Key inputs_Refineries'!$B$85:$B$164,"Boiler")/SUM(SUMIFS('Key inputs_Refineries'!J$85:J$164,'Key inputs_Refineries'!$C$85:$C$164,$C337:$C346,'Key inputs_Refineries'!$B$85:$B$164,"Boiler"))),0)</f>
        <v>0</v>
      </c>
      <c r="Q337" s="173" cm="1">
        <f t="array" ref="Q337">IFERROR(IF(AND(SUMIFS('Key inputs_Refineries'!K$85:K$164,'Key inputs_Refineries'!$C$85:$C$164,$C337,'Key inputs_Refineries'!$B$85:$B$164,"Boiler")/SUM(SUMIFS('Key inputs_Refineries'!K$85:K$164,'Key inputs_Refineries'!$C$85:$C$164,$C337:$C346,'Key inputs_Refineries'!$B$85:$B$164,"Boiler"))&gt;0,SUMIFS('Key inputs_Refineries'!K$85:K$164,'Key inputs_Refineries'!$C$85:$C$164,$C337,'Key inputs_Refineries'!$B$85:$B$164,"Boiler")/SUM(SUMIFS('Key inputs_Refineries'!K$85:K$164,'Key inputs_Refineries'!$C$85:$C$164,$C337:$C346,'Key inputs_Refineries'!$B$85:$B$164,"Boiler"))&lt;0.001),0.001,SUMIFS('Key inputs_Refineries'!K$85:K$164,'Key inputs_Refineries'!$C$85:$C$164,$C337,'Key inputs_Refineries'!$B$85:$B$164,"Boiler")/SUM(SUMIFS('Key inputs_Refineries'!K$85:K$164,'Key inputs_Refineries'!$C$85:$C$164,$C337:$C346,'Key inputs_Refineries'!$B$85:$B$164,"Boiler"))),0)</f>
        <v>0</v>
      </c>
      <c r="R337" s="173" cm="1">
        <f t="array" ref="R337">IFERROR(IF(AND(SUMIFS('Key inputs_Refineries'!L$85:L$164,'Key inputs_Refineries'!$C$85:$C$164,$C337,'Key inputs_Refineries'!$B$85:$B$164,"Boiler")/SUM(SUMIFS('Key inputs_Refineries'!L$85:L$164,'Key inputs_Refineries'!$C$85:$C$164,$C337:$C346,'Key inputs_Refineries'!$B$85:$B$164,"Boiler"))&gt;0,SUMIFS('Key inputs_Refineries'!L$85:L$164,'Key inputs_Refineries'!$C$85:$C$164,$C337,'Key inputs_Refineries'!$B$85:$B$164,"Boiler")/SUM(SUMIFS('Key inputs_Refineries'!L$85:L$164,'Key inputs_Refineries'!$C$85:$C$164,$C337:$C346,'Key inputs_Refineries'!$B$85:$B$164,"Boiler"))&lt;0.001),0.001,SUMIFS('Key inputs_Refineries'!L$85:L$164,'Key inputs_Refineries'!$C$85:$C$164,$C337,'Key inputs_Refineries'!$B$85:$B$164,"Boiler")/SUM(SUMIFS('Key inputs_Refineries'!L$85:L$164,'Key inputs_Refineries'!$C$85:$C$164,$C337:$C346,'Key inputs_Refineries'!$B$85:$B$164,"Boiler"))),0)</f>
        <v>0</v>
      </c>
      <c r="S337" s="173" cm="1">
        <f t="array" ref="S337">IFERROR(IF(AND(SUMIFS('Key inputs_Refineries'!M$85:M$164,'Key inputs_Refineries'!$C$85:$C$164,$C337,'Key inputs_Refineries'!$B$85:$B$164,"Boiler")/SUM(SUMIFS('Key inputs_Refineries'!M$85:M$164,'Key inputs_Refineries'!$C$85:$C$164,$C337:$C346,'Key inputs_Refineries'!$B$85:$B$164,"Boiler"))&gt;0,SUMIFS('Key inputs_Refineries'!M$85:M$164,'Key inputs_Refineries'!$C$85:$C$164,$C337,'Key inputs_Refineries'!$B$85:$B$164,"Boiler")/SUM(SUMIFS('Key inputs_Refineries'!M$85:M$164,'Key inputs_Refineries'!$C$85:$C$164,$C337:$C346,'Key inputs_Refineries'!$B$85:$B$164,"Boiler"))&lt;0.001),0.001,SUMIFS('Key inputs_Refineries'!M$85:M$164,'Key inputs_Refineries'!$C$85:$C$164,$C337,'Key inputs_Refineries'!$B$85:$B$164,"Boiler")/SUM(SUMIFS('Key inputs_Refineries'!M$85:M$164,'Key inputs_Refineries'!$C$85:$C$164,$C337:$C346,'Key inputs_Refineries'!$B$85:$B$164,"Boiler"))),0)</f>
        <v>0</v>
      </c>
      <c r="T337" s="173" cm="1">
        <f t="array" ref="T337">IFERROR(IF(AND(SUMIFS('Key inputs_Refineries'!N$85:N$164,'Key inputs_Refineries'!$C$85:$C$164,$C337,'Key inputs_Refineries'!$B$85:$B$164,"Boiler")/SUM(SUMIFS('Key inputs_Refineries'!N$85:N$164,'Key inputs_Refineries'!$C$85:$C$164,$C337:$C346,'Key inputs_Refineries'!$B$85:$B$164,"Boiler"))&gt;0,SUMIFS('Key inputs_Refineries'!N$85:N$164,'Key inputs_Refineries'!$C$85:$C$164,$C337,'Key inputs_Refineries'!$B$85:$B$164,"Boiler")/SUM(SUMIFS('Key inputs_Refineries'!N$85:N$164,'Key inputs_Refineries'!$C$85:$C$164,$C337:$C346,'Key inputs_Refineries'!$B$85:$B$164,"Boiler"))&lt;0.001),0.001,SUMIFS('Key inputs_Refineries'!N$85:N$164,'Key inputs_Refineries'!$C$85:$C$164,$C337,'Key inputs_Refineries'!$B$85:$B$164,"Boiler")/SUM(SUMIFS('Key inputs_Refineries'!N$85:N$164,'Key inputs_Refineries'!$C$85:$C$164,$C337:$C346,'Key inputs_Refineries'!$B$85:$B$164,"Boiler"))),0)</f>
        <v>0</v>
      </c>
      <c r="U337" s="173" cm="1">
        <f t="array" ref="U337">IFERROR(IF(AND(SUMIFS('Key inputs_Refineries'!O$85:O$164,'Key inputs_Refineries'!$C$85:$C$164,$C337,'Key inputs_Refineries'!$B$85:$B$164,"Boiler")/SUM(SUMIFS('Key inputs_Refineries'!O$85:O$164,'Key inputs_Refineries'!$C$85:$C$164,$C337:$C346,'Key inputs_Refineries'!$B$85:$B$164,"Boiler"))&gt;0,SUMIFS('Key inputs_Refineries'!O$85:O$164,'Key inputs_Refineries'!$C$85:$C$164,$C337,'Key inputs_Refineries'!$B$85:$B$164,"Boiler")/SUM(SUMIFS('Key inputs_Refineries'!O$85:O$164,'Key inputs_Refineries'!$C$85:$C$164,$C337:$C346,'Key inputs_Refineries'!$B$85:$B$164,"Boiler"))&lt;0.001),0.001,SUMIFS('Key inputs_Refineries'!O$85:O$164,'Key inputs_Refineries'!$C$85:$C$164,$C337,'Key inputs_Refineries'!$B$85:$B$164,"Boiler")/SUM(SUMIFS('Key inputs_Refineries'!O$85:O$164,'Key inputs_Refineries'!$C$85:$C$164,$C337:$C346,'Key inputs_Refineries'!$B$85:$B$164,"Boiler"))),0)</f>
        <v>0</v>
      </c>
      <c r="V337" s="173" cm="1">
        <f t="array" ref="V337">IFERROR(IF(AND(SUMIFS('Key inputs_Refineries'!P$85:P$164,'Key inputs_Refineries'!$C$85:$C$164,$C337,'Key inputs_Refineries'!$B$85:$B$164,"Boiler")/SUM(SUMIFS('Key inputs_Refineries'!P$85:P$164,'Key inputs_Refineries'!$C$85:$C$164,$C337:$C346,'Key inputs_Refineries'!$B$85:$B$164,"Boiler"))&gt;0,SUMIFS('Key inputs_Refineries'!P$85:P$164,'Key inputs_Refineries'!$C$85:$C$164,$C337,'Key inputs_Refineries'!$B$85:$B$164,"Boiler")/SUM(SUMIFS('Key inputs_Refineries'!P$85:P$164,'Key inputs_Refineries'!$C$85:$C$164,$C337:$C346,'Key inputs_Refineries'!$B$85:$B$164,"Boiler"))&lt;0.001),0.001,SUMIFS('Key inputs_Refineries'!P$85:P$164,'Key inputs_Refineries'!$C$85:$C$164,$C337,'Key inputs_Refineries'!$B$85:$B$164,"Boiler")/SUM(SUMIFS('Key inputs_Refineries'!P$85:P$164,'Key inputs_Refineries'!$C$85:$C$164,$C337:$C346,'Key inputs_Refineries'!$B$85:$B$164,"Boiler"))),0)</f>
        <v>0</v>
      </c>
      <c r="W337" s="173" cm="1">
        <f t="array" ref="W337">IFERROR(IF(AND(SUMIFS('Key inputs_Refineries'!Q$85:Q$164,'Key inputs_Refineries'!$C$85:$C$164,$C337,'Key inputs_Refineries'!$B$85:$B$164,"Boiler")/SUM(SUMIFS('Key inputs_Refineries'!Q$85:Q$164,'Key inputs_Refineries'!$C$85:$C$164,$C337:$C346,'Key inputs_Refineries'!$B$85:$B$164,"Boiler"))&gt;0,SUMIFS('Key inputs_Refineries'!Q$85:Q$164,'Key inputs_Refineries'!$C$85:$C$164,$C337,'Key inputs_Refineries'!$B$85:$B$164,"Boiler")/SUM(SUMIFS('Key inputs_Refineries'!Q$85:Q$164,'Key inputs_Refineries'!$C$85:$C$164,$C337:$C346,'Key inputs_Refineries'!$B$85:$B$164,"Boiler"))&lt;0.001),0.001,SUMIFS('Key inputs_Refineries'!Q$85:Q$164,'Key inputs_Refineries'!$C$85:$C$164,$C337,'Key inputs_Refineries'!$B$85:$B$164,"Boiler")/SUM(SUMIFS('Key inputs_Refineries'!Q$85:Q$164,'Key inputs_Refineries'!$C$85:$C$164,$C337:$C346,'Key inputs_Refineries'!$B$85:$B$164,"Boiler"))),0)</f>
        <v>0</v>
      </c>
      <c r="X337" s="173" cm="1">
        <f t="array" ref="X337">IFERROR(IF(AND(SUMIFS('Key inputs_Refineries'!R$85:R$164,'Key inputs_Refineries'!$C$85:$C$164,$C337,'Key inputs_Refineries'!$B$85:$B$164,"Boiler")/SUM(SUMIFS('Key inputs_Refineries'!R$85:R$164,'Key inputs_Refineries'!$C$85:$C$164,$C337:$C346,'Key inputs_Refineries'!$B$85:$B$164,"Boiler"))&gt;0,SUMIFS('Key inputs_Refineries'!R$85:R$164,'Key inputs_Refineries'!$C$85:$C$164,$C337,'Key inputs_Refineries'!$B$85:$B$164,"Boiler")/SUM(SUMIFS('Key inputs_Refineries'!R$85:R$164,'Key inputs_Refineries'!$C$85:$C$164,$C337:$C346,'Key inputs_Refineries'!$B$85:$B$164,"Boiler"))&lt;0.001),0.001,SUMIFS('Key inputs_Refineries'!R$85:R$164,'Key inputs_Refineries'!$C$85:$C$164,$C337,'Key inputs_Refineries'!$B$85:$B$164,"Boiler")/SUM(SUMIFS('Key inputs_Refineries'!R$85:R$164,'Key inputs_Refineries'!$C$85:$C$164,$C337:$C346,'Key inputs_Refineries'!$B$85:$B$164,"Boiler"))),0)</f>
        <v>0</v>
      </c>
      <c r="Y337" s="173" cm="1">
        <f t="array" ref="Y337">IFERROR(IF(AND(SUMIFS('Key inputs_Refineries'!S$85:S$164,'Key inputs_Refineries'!$C$85:$C$164,$C337,'Key inputs_Refineries'!$B$85:$B$164,"Boiler")/SUM(SUMIFS('Key inputs_Refineries'!S$85:S$164,'Key inputs_Refineries'!$C$85:$C$164,$C337:$C346,'Key inputs_Refineries'!$B$85:$B$164,"Boiler"))&gt;0,SUMIFS('Key inputs_Refineries'!S$85:S$164,'Key inputs_Refineries'!$C$85:$C$164,$C337,'Key inputs_Refineries'!$B$85:$B$164,"Boiler")/SUM(SUMIFS('Key inputs_Refineries'!S$85:S$164,'Key inputs_Refineries'!$C$85:$C$164,$C337:$C346,'Key inputs_Refineries'!$B$85:$B$164,"Boiler"))&lt;0.001),0.001,SUMIFS('Key inputs_Refineries'!S$85:S$164,'Key inputs_Refineries'!$C$85:$C$164,$C337,'Key inputs_Refineries'!$B$85:$B$164,"Boiler")/SUM(SUMIFS('Key inputs_Refineries'!S$85:S$164,'Key inputs_Refineries'!$C$85:$C$164,$C337:$C346,'Key inputs_Refineries'!$B$85:$B$164,"Boiler"))),0)</f>
        <v>0</v>
      </c>
      <c r="Z337" s="173" cm="1">
        <f t="array" ref="Z337">IFERROR(IF(AND(SUMIFS('Key inputs_Refineries'!T$85:T$164,'Key inputs_Refineries'!$C$85:$C$164,$C337,'Key inputs_Refineries'!$B$85:$B$164,"Boiler")/SUM(SUMIFS('Key inputs_Refineries'!T$85:T$164,'Key inputs_Refineries'!$C$85:$C$164,$C337:$C346,'Key inputs_Refineries'!$B$85:$B$164,"Boiler"))&gt;0,SUMIFS('Key inputs_Refineries'!T$85:T$164,'Key inputs_Refineries'!$C$85:$C$164,$C337,'Key inputs_Refineries'!$B$85:$B$164,"Boiler")/SUM(SUMIFS('Key inputs_Refineries'!T$85:T$164,'Key inputs_Refineries'!$C$85:$C$164,$C337:$C346,'Key inputs_Refineries'!$B$85:$B$164,"Boiler"))&lt;0.001),0.001,SUMIFS('Key inputs_Refineries'!T$85:T$164,'Key inputs_Refineries'!$C$85:$C$164,$C337,'Key inputs_Refineries'!$B$85:$B$164,"Boiler")/SUM(SUMIFS('Key inputs_Refineries'!T$85:T$164,'Key inputs_Refineries'!$C$85:$C$164,$C337:$C346,'Key inputs_Refineries'!$B$85:$B$164,"Boiler"))),0)</f>
        <v>0</v>
      </c>
      <c r="AA337" s="173" cm="1">
        <f t="array" ref="AA337">IFERROR(IF(AND(SUMIFS('Key inputs_Refineries'!U$85:U$164,'Key inputs_Refineries'!$C$85:$C$164,$C337,'Key inputs_Refineries'!$B$85:$B$164,"Boiler")/SUM(SUMIFS('Key inputs_Refineries'!U$85:U$164,'Key inputs_Refineries'!$C$85:$C$164,$C337:$C346,'Key inputs_Refineries'!$B$85:$B$164,"Boiler"))&gt;0,SUMIFS('Key inputs_Refineries'!U$85:U$164,'Key inputs_Refineries'!$C$85:$C$164,$C337,'Key inputs_Refineries'!$B$85:$B$164,"Boiler")/SUM(SUMIFS('Key inputs_Refineries'!U$85:U$164,'Key inputs_Refineries'!$C$85:$C$164,$C337:$C346,'Key inputs_Refineries'!$B$85:$B$164,"Boiler"))&lt;0.001),0.001,SUMIFS('Key inputs_Refineries'!U$85:U$164,'Key inputs_Refineries'!$C$85:$C$164,$C337,'Key inputs_Refineries'!$B$85:$B$164,"Boiler")/SUM(SUMIFS('Key inputs_Refineries'!U$85:U$164,'Key inputs_Refineries'!$C$85:$C$164,$C337:$C346,'Key inputs_Refineries'!$B$85:$B$164,"Boiler"))),0)</f>
        <v>1.2510132868886106E-3</v>
      </c>
      <c r="AB337" s="173" cm="1">
        <f t="array" ref="AB337">IFERROR(IF(AND(SUMIFS('Key inputs_Refineries'!V$85:V$164,'Key inputs_Refineries'!$C$85:$C$164,$C337,'Key inputs_Refineries'!$B$85:$B$164,"Boiler")/SUM(SUMIFS('Key inputs_Refineries'!V$85:V$164,'Key inputs_Refineries'!$C$85:$C$164,$C337:$C346,'Key inputs_Refineries'!$B$85:$B$164,"Boiler"))&gt;0,SUMIFS('Key inputs_Refineries'!V$85:V$164,'Key inputs_Refineries'!$C$85:$C$164,$C337,'Key inputs_Refineries'!$B$85:$B$164,"Boiler")/SUM(SUMIFS('Key inputs_Refineries'!V$85:V$164,'Key inputs_Refineries'!$C$85:$C$164,$C337:$C346,'Key inputs_Refineries'!$B$85:$B$164,"Boiler"))&lt;0.001),0.001,SUMIFS('Key inputs_Refineries'!V$85:V$164,'Key inputs_Refineries'!$C$85:$C$164,$C337,'Key inputs_Refineries'!$B$85:$B$164,"Boiler")/SUM(SUMIFS('Key inputs_Refineries'!V$85:V$164,'Key inputs_Refineries'!$C$85:$C$164,$C337:$C346,'Key inputs_Refineries'!$B$85:$B$164,"Boiler"))),0)</f>
        <v>0</v>
      </c>
      <c r="AC337" s="173" cm="1">
        <f t="array" ref="AC337">IFERROR(IF(AND(SUMIFS('Key inputs_Refineries'!W$85:W$164,'Key inputs_Refineries'!$C$85:$C$164,$C337,'Key inputs_Refineries'!$B$85:$B$164,"Boiler")/SUM(SUMIFS('Key inputs_Refineries'!W$85:W$164,'Key inputs_Refineries'!$C$85:$C$164,$C337:$C346,'Key inputs_Refineries'!$B$85:$B$164,"Boiler"))&gt;0,SUMIFS('Key inputs_Refineries'!W$85:W$164,'Key inputs_Refineries'!$C$85:$C$164,$C337,'Key inputs_Refineries'!$B$85:$B$164,"Boiler")/SUM(SUMIFS('Key inputs_Refineries'!W$85:W$164,'Key inputs_Refineries'!$C$85:$C$164,$C337:$C346,'Key inputs_Refineries'!$B$85:$B$164,"Boiler"))&lt;0.001),0.001,SUMIFS('Key inputs_Refineries'!W$85:W$164,'Key inputs_Refineries'!$C$85:$C$164,$C337,'Key inputs_Refineries'!$B$85:$B$164,"Boiler")/SUM(SUMIFS('Key inputs_Refineries'!W$85:W$164,'Key inputs_Refineries'!$C$85:$C$164,$C337:$C346,'Key inputs_Refineries'!$B$85:$B$164,"Boiler"))),0)</f>
        <v>0</v>
      </c>
      <c r="AD337" s="173" cm="1">
        <f t="array" ref="AD337">IFERROR(IF(AND(SUMIFS('Key inputs_Refineries'!X$85:X$164,'Key inputs_Refineries'!$C$85:$C$164,$C337,'Key inputs_Refineries'!$B$85:$B$164,"Boiler")/SUM(SUMIFS('Key inputs_Refineries'!X$85:X$164,'Key inputs_Refineries'!$C$85:$C$164,$C337:$C346,'Key inputs_Refineries'!$B$85:$B$164,"Boiler"))&gt;0,SUMIFS('Key inputs_Refineries'!X$85:X$164,'Key inputs_Refineries'!$C$85:$C$164,$C337,'Key inputs_Refineries'!$B$85:$B$164,"Boiler")/SUM(SUMIFS('Key inputs_Refineries'!X$85:X$164,'Key inputs_Refineries'!$C$85:$C$164,$C337:$C346,'Key inputs_Refineries'!$B$85:$B$164,"Boiler"))&lt;0.001),0.001,SUMIFS('Key inputs_Refineries'!X$85:X$164,'Key inputs_Refineries'!$C$85:$C$164,$C337,'Key inputs_Refineries'!$B$85:$B$164,"Boiler")/SUM(SUMIFS('Key inputs_Refineries'!X$85:X$164,'Key inputs_Refineries'!$C$85:$C$164,$C337:$C346,'Key inputs_Refineries'!$B$85:$B$164,"Boiler"))),0)</f>
        <v>0</v>
      </c>
      <c r="AE337" s="173" cm="1">
        <f t="array" ref="AE337">IFERROR(IF(AND(SUMIFS('Key inputs_Refineries'!Y$85:Y$164,'Key inputs_Refineries'!$C$85:$C$164,$C337,'Key inputs_Refineries'!$B$85:$B$164,"Boiler")/SUM(SUMIFS('Key inputs_Refineries'!Y$85:Y$164,'Key inputs_Refineries'!$C$85:$C$164,$C337:$C346,'Key inputs_Refineries'!$B$85:$B$164,"Boiler"))&gt;0,SUMIFS('Key inputs_Refineries'!Y$85:Y$164,'Key inputs_Refineries'!$C$85:$C$164,$C337,'Key inputs_Refineries'!$B$85:$B$164,"Boiler")/SUM(SUMIFS('Key inputs_Refineries'!Y$85:Y$164,'Key inputs_Refineries'!$C$85:$C$164,$C337:$C346,'Key inputs_Refineries'!$B$85:$B$164,"Boiler"))&lt;0.001),0.001,SUMIFS('Key inputs_Refineries'!Y$85:Y$164,'Key inputs_Refineries'!$C$85:$C$164,$C337,'Key inputs_Refineries'!$B$85:$B$164,"Boiler")/SUM(SUMIFS('Key inputs_Refineries'!Y$85:Y$164,'Key inputs_Refineries'!$C$85:$C$164,$C337:$C346,'Key inputs_Refineries'!$B$85:$B$164,"Boiler"))),0)</f>
        <v>1E-3</v>
      </c>
      <c r="AF337" s="173" cm="1">
        <f t="array" ref="AF337">IFERROR(IF(AND(SUMIFS('Key inputs_Refineries'!Z$85:Z$164,'Key inputs_Refineries'!$C$85:$C$164,$C337,'Key inputs_Refineries'!$B$85:$B$164,"Boiler")/SUM(SUMIFS('Key inputs_Refineries'!Z$85:Z$164,'Key inputs_Refineries'!$C$85:$C$164,$C337:$C346,'Key inputs_Refineries'!$B$85:$B$164,"Boiler"))&gt;0,SUMIFS('Key inputs_Refineries'!Z$85:Z$164,'Key inputs_Refineries'!$C$85:$C$164,$C337,'Key inputs_Refineries'!$B$85:$B$164,"Boiler")/SUM(SUMIFS('Key inputs_Refineries'!Z$85:Z$164,'Key inputs_Refineries'!$C$85:$C$164,$C337:$C346,'Key inputs_Refineries'!$B$85:$B$164,"Boiler"))&lt;0.001),0.001,SUMIFS('Key inputs_Refineries'!Z$85:Z$164,'Key inputs_Refineries'!$C$85:$C$164,$C337,'Key inputs_Refineries'!$B$85:$B$164,"Boiler")/SUM(SUMIFS('Key inputs_Refineries'!Z$85:Z$164,'Key inputs_Refineries'!$C$85:$C$164,$C337:$C346,'Key inputs_Refineries'!$B$85:$B$164,"Boiler"))),0)</f>
        <v>0</v>
      </c>
      <c r="AG337" s="173" cm="1">
        <f t="array" ref="AG337">IFERROR(IF(AND(SUMIFS('Key inputs_Refineries'!AA$85:AA$164,'Key inputs_Refineries'!$C$85:$C$164,$C337,'Key inputs_Refineries'!$B$85:$B$164,"Boiler")/SUM(SUMIFS('Key inputs_Refineries'!AA$85:AA$164,'Key inputs_Refineries'!$C$85:$C$164,$C337:$C346,'Key inputs_Refineries'!$B$85:$B$164,"Boiler"))&gt;0,SUMIFS('Key inputs_Refineries'!AA$85:AA$164,'Key inputs_Refineries'!$C$85:$C$164,$C337,'Key inputs_Refineries'!$B$85:$B$164,"Boiler")/SUM(SUMIFS('Key inputs_Refineries'!AA$85:AA$164,'Key inputs_Refineries'!$C$85:$C$164,$C337:$C346,'Key inputs_Refineries'!$B$85:$B$164,"Boiler"))&lt;0.001),0.001,SUMIFS('Key inputs_Refineries'!AA$85:AA$164,'Key inputs_Refineries'!$C$85:$C$164,$C337,'Key inputs_Refineries'!$B$85:$B$164,"Boiler")/SUM(SUMIFS('Key inputs_Refineries'!AA$85:AA$164,'Key inputs_Refineries'!$C$85:$C$164,$C337:$C346,'Key inputs_Refineries'!$B$85:$B$164,"Boiler"))),0)</f>
        <v>0</v>
      </c>
      <c r="AH337" s="173" cm="1">
        <f t="array" ref="AH337">IFERROR(IF(AND(SUMIFS('Key inputs_Refineries'!AB$85:AB$164,'Key inputs_Refineries'!$C$85:$C$164,$C337,'Key inputs_Refineries'!$B$85:$B$164,"Boiler")/SUM(SUMIFS('Key inputs_Refineries'!AB$85:AB$164,'Key inputs_Refineries'!$C$85:$C$164,$C337:$C346,'Key inputs_Refineries'!$B$85:$B$164,"Boiler"))&gt;0,SUMIFS('Key inputs_Refineries'!AB$85:AB$164,'Key inputs_Refineries'!$C$85:$C$164,$C337,'Key inputs_Refineries'!$B$85:$B$164,"Boiler")/SUM(SUMIFS('Key inputs_Refineries'!AB$85:AB$164,'Key inputs_Refineries'!$C$85:$C$164,$C337:$C346,'Key inputs_Refineries'!$B$85:$B$164,"Boiler"))&lt;0.001),0.001,SUMIFS('Key inputs_Refineries'!AB$85:AB$164,'Key inputs_Refineries'!$C$85:$C$164,$C337,'Key inputs_Refineries'!$B$85:$B$164,"Boiler")/SUM(SUMIFS('Key inputs_Refineries'!AB$85:AB$164,'Key inputs_Refineries'!$C$85:$C$164,$C337:$C346,'Key inputs_Refineries'!$B$85:$B$164,"Boiler"))),0)</f>
        <v>0</v>
      </c>
      <c r="AI337" s="173" cm="1">
        <f t="array" ref="AI337">IFERROR(IF(AND(SUMIFS('Key inputs_Refineries'!AC$85:AC$164,'Key inputs_Refineries'!$C$85:$C$164,$C337,'Key inputs_Refineries'!$B$85:$B$164,"Boiler")/SUM(SUMIFS('Key inputs_Refineries'!AC$85:AC$164,'Key inputs_Refineries'!$C$85:$C$164,$C337:$C346,'Key inputs_Refineries'!$B$85:$B$164,"Boiler"))&gt;0,SUMIFS('Key inputs_Refineries'!AC$85:AC$164,'Key inputs_Refineries'!$C$85:$C$164,$C337,'Key inputs_Refineries'!$B$85:$B$164,"Boiler")/SUM(SUMIFS('Key inputs_Refineries'!AC$85:AC$164,'Key inputs_Refineries'!$C$85:$C$164,$C337:$C346,'Key inputs_Refineries'!$B$85:$B$164,"Boiler"))&lt;0.001),0.001,SUMIFS('Key inputs_Refineries'!AC$85:AC$164,'Key inputs_Refineries'!$C$85:$C$164,$C337,'Key inputs_Refineries'!$B$85:$B$164,"Boiler")/SUM(SUMIFS('Key inputs_Refineries'!AC$85:AC$164,'Key inputs_Refineries'!$C$85:$C$164,$C337:$C346,'Key inputs_Refineries'!$B$85:$B$164,"Boiler"))),0)</f>
        <v>0</v>
      </c>
      <c r="AJ337" s="173" cm="1">
        <f t="array" ref="AJ337">IFERROR(IF(AND(SUMIFS('Key inputs_Refineries'!AD$85:AD$164,'Key inputs_Refineries'!$C$85:$C$164,$C337,'Key inputs_Refineries'!$B$85:$B$164,"Boiler")/SUM(SUMIFS('Key inputs_Refineries'!AD$85:AD$164,'Key inputs_Refineries'!$C$85:$C$164,$C337:$C346,'Key inputs_Refineries'!$B$85:$B$164,"Boiler"))&gt;0,SUMIFS('Key inputs_Refineries'!AD$85:AD$164,'Key inputs_Refineries'!$C$85:$C$164,$C337,'Key inputs_Refineries'!$B$85:$B$164,"Boiler")/SUM(SUMIFS('Key inputs_Refineries'!AD$85:AD$164,'Key inputs_Refineries'!$C$85:$C$164,$C337:$C346,'Key inputs_Refineries'!$B$85:$B$164,"Boiler"))&lt;0.001),0.001,SUMIFS('Key inputs_Refineries'!AD$85:AD$164,'Key inputs_Refineries'!$C$85:$C$164,$C337,'Key inputs_Refineries'!$B$85:$B$164,"Boiler")/SUM(SUMIFS('Key inputs_Refineries'!AD$85:AD$164,'Key inputs_Refineries'!$C$85:$C$164,$C337:$C346,'Key inputs_Refineries'!$B$85:$B$164,"Boiler"))),0)</f>
        <v>0</v>
      </c>
      <c r="AK337" s="173" cm="1">
        <f t="array" ref="AK337">IFERROR(IF(AND(SUMIFS('Key inputs_Refineries'!AE$85:AE$164,'Key inputs_Refineries'!$C$85:$C$164,$C337,'Key inputs_Refineries'!$B$85:$B$164,"Boiler")/SUM(SUMIFS('Key inputs_Refineries'!AE$85:AE$164,'Key inputs_Refineries'!$C$85:$C$164,$C337:$C346,'Key inputs_Refineries'!$B$85:$B$164,"Boiler"))&gt;0,SUMIFS('Key inputs_Refineries'!AE$85:AE$164,'Key inputs_Refineries'!$C$85:$C$164,$C337,'Key inputs_Refineries'!$B$85:$B$164,"Boiler")/SUM(SUMIFS('Key inputs_Refineries'!AE$85:AE$164,'Key inputs_Refineries'!$C$85:$C$164,$C337:$C346,'Key inputs_Refineries'!$B$85:$B$164,"Boiler"))&lt;0.001),0.001,SUMIFS('Key inputs_Refineries'!AE$85:AE$164,'Key inputs_Refineries'!$C$85:$C$164,$C337,'Key inputs_Refineries'!$B$85:$B$164,"Boiler")/SUM(SUMIFS('Key inputs_Refineries'!AE$85:AE$164,'Key inputs_Refineries'!$C$85:$C$164,$C337:$C346,'Key inputs_Refineries'!$B$85:$B$164,"Boiler"))),0)</f>
        <v>0</v>
      </c>
      <c r="AL337" s="173" cm="1">
        <f t="array" ref="AL337">IFERROR(IF(AND(SUMIFS('Key inputs_Refineries'!AF$85:AF$164,'Key inputs_Refineries'!$C$85:$C$164,$C337,'Key inputs_Refineries'!$B$85:$B$164,"Boiler")/SUM(SUMIFS('Key inputs_Refineries'!AF$85:AF$164,'Key inputs_Refineries'!$C$85:$C$164,$C337:$C346,'Key inputs_Refineries'!$B$85:$B$164,"Boiler"))&gt;0,SUMIFS('Key inputs_Refineries'!AF$85:AF$164,'Key inputs_Refineries'!$C$85:$C$164,$C337,'Key inputs_Refineries'!$B$85:$B$164,"Boiler")/SUM(SUMIFS('Key inputs_Refineries'!AF$85:AF$164,'Key inputs_Refineries'!$C$85:$C$164,$C337:$C346,'Key inputs_Refineries'!$B$85:$B$164,"Boiler"))&lt;0.001),0.001,SUMIFS('Key inputs_Refineries'!AF$85:AF$164,'Key inputs_Refineries'!$C$85:$C$164,$C337,'Key inputs_Refineries'!$B$85:$B$164,"Boiler")/SUM(SUMIFS('Key inputs_Refineries'!AF$85:AF$164,'Key inputs_Refineries'!$C$85:$C$164,$C337:$C346,'Key inputs_Refineries'!$B$85:$B$164,"Boiler"))),0)</f>
        <v>0</v>
      </c>
    </row>
    <row r="338" spans="1:38">
      <c r="C338" t="str">
        <f>Commodities!$C$90</f>
        <v>UPSDSL</v>
      </c>
      <c r="G338" s="4" t="s">
        <v>702</v>
      </c>
      <c r="H338" t="s">
        <v>661</v>
      </c>
      <c r="I338">
        <v>2019</v>
      </c>
      <c r="J338" t="s">
        <v>650</v>
      </c>
      <c r="K338" s="173" cm="1">
        <f t="array" ref="K338">IFERROR(IF(AND(SUMIFS('Key inputs_Refineries'!E$85:E$164,'Key inputs_Refineries'!$C$85:$C$164,$C338,'Key inputs_Refineries'!$B$85:$B$164,"Boiler")/SUM(SUMIFS('Key inputs_Refineries'!E$85:E$164,'Key inputs_Refineries'!$C$85:$C$164,$C337:$C346,'Key inputs_Refineries'!$B$85:$B$164,"Boiler"))&gt;0,SUMIFS('Key inputs_Refineries'!E$85:E$164,'Key inputs_Refineries'!$C$85:$C$164,$C338,'Key inputs_Refineries'!$B$85:$B$164,"Boiler")/SUM(SUMIFS('Key inputs_Refineries'!E$85:E$164,'Key inputs_Refineries'!$C$85:$C$164,$C337:$C346,'Key inputs_Refineries'!$B$85:$B$164,"Boiler"))&lt;0.001),0.001,SUMIFS('Key inputs_Refineries'!E$85:E$164,'Key inputs_Refineries'!$C$85:$C$164,$C338,'Key inputs_Refineries'!$B$85:$B$164,"Boiler")/SUM(SUMIFS('Key inputs_Refineries'!E$85:E$164,'Key inputs_Refineries'!$C$85:$C$164,$C337:$C346,'Key inputs_Refineries'!$B$85:$B$164,"Boiler"))),0)</f>
        <v>0</v>
      </c>
      <c r="L338" s="173" cm="1">
        <f t="array" ref="L338">IFERROR(IF(AND(SUMIFS('Key inputs_Refineries'!F$85:F$164,'Key inputs_Refineries'!$C$85:$C$164,$C338,'Key inputs_Refineries'!$B$85:$B$164,"Boiler")/SUM(SUMIFS('Key inputs_Refineries'!F$85:F$164,'Key inputs_Refineries'!$C$85:$C$164,$C337:$C346,'Key inputs_Refineries'!$B$85:$B$164,"Boiler"))&gt;0,SUMIFS('Key inputs_Refineries'!F$85:F$164,'Key inputs_Refineries'!$C$85:$C$164,$C338,'Key inputs_Refineries'!$B$85:$B$164,"Boiler")/SUM(SUMIFS('Key inputs_Refineries'!F$85:F$164,'Key inputs_Refineries'!$C$85:$C$164,$C337:$C346,'Key inputs_Refineries'!$B$85:$B$164,"Boiler"))&lt;0.001),0.001,SUMIFS('Key inputs_Refineries'!F$85:F$164,'Key inputs_Refineries'!$C$85:$C$164,$C338,'Key inputs_Refineries'!$B$85:$B$164,"Boiler")/SUM(SUMIFS('Key inputs_Refineries'!F$85:F$164,'Key inputs_Refineries'!$C$85:$C$164,$C337:$C346,'Key inputs_Refineries'!$B$85:$B$164,"Boiler"))),0)</f>
        <v>0</v>
      </c>
      <c r="M338" s="173" cm="1">
        <f t="array" ref="M338">IFERROR(IF(AND(SUMIFS('Key inputs_Refineries'!G$85:G$164,'Key inputs_Refineries'!$C$85:$C$164,$C338,'Key inputs_Refineries'!$B$85:$B$164,"Boiler")/SUM(SUMIFS('Key inputs_Refineries'!G$85:G$164,'Key inputs_Refineries'!$C$85:$C$164,$C337:$C346,'Key inputs_Refineries'!$B$85:$B$164,"Boiler"))&gt;0,SUMIFS('Key inputs_Refineries'!G$85:G$164,'Key inputs_Refineries'!$C$85:$C$164,$C338,'Key inputs_Refineries'!$B$85:$B$164,"Boiler")/SUM(SUMIFS('Key inputs_Refineries'!G$85:G$164,'Key inputs_Refineries'!$C$85:$C$164,$C337:$C346,'Key inputs_Refineries'!$B$85:$B$164,"Boiler"))&lt;0.001),0.001,SUMIFS('Key inputs_Refineries'!G$85:G$164,'Key inputs_Refineries'!$C$85:$C$164,$C338,'Key inputs_Refineries'!$B$85:$B$164,"Boiler")/SUM(SUMIFS('Key inputs_Refineries'!G$85:G$164,'Key inputs_Refineries'!$C$85:$C$164,$C337:$C346,'Key inputs_Refineries'!$B$85:$B$164,"Boiler"))),0)</f>
        <v>5.4967007249105165E-2</v>
      </c>
      <c r="N338" s="173" cm="1">
        <f t="array" ref="N338">IFERROR(IF(AND(SUMIFS('Key inputs_Refineries'!H$85:H$164,'Key inputs_Refineries'!$C$85:$C$164,$C338,'Key inputs_Refineries'!$B$85:$B$164,"Boiler")/SUM(SUMIFS('Key inputs_Refineries'!H$85:H$164,'Key inputs_Refineries'!$C$85:$C$164,$C337:$C346,'Key inputs_Refineries'!$B$85:$B$164,"Boiler"))&gt;0,SUMIFS('Key inputs_Refineries'!H$85:H$164,'Key inputs_Refineries'!$C$85:$C$164,$C338,'Key inputs_Refineries'!$B$85:$B$164,"Boiler")/SUM(SUMIFS('Key inputs_Refineries'!H$85:H$164,'Key inputs_Refineries'!$C$85:$C$164,$C337:$C346,'Key inputs_Refineries'!$B$85:$B$164,"Boiler"))&lt;0.001),0.001,SUMIFS('Key inputs_Refineries'!H$85:H$164,'Key inputs_Refineries'!$C$85:$C$164,$C338,'Key inputs_Refineries'!$B$85:$B$164,"Boiler")/SUM(SUMIFS('Key inputs_Refineries'!H$85:H$164,'Key inputs_Refineries'!$C$85:$C$164,$C337:$C346,'Key inputs_Refineries'!$B$85:$B$164,"Boiler"))),0)</f>
        <v>0</v>
      </c>
      <c r="O338" s="173" cm="1">
        <f t="array" ref="O338">IFERROR(IF(AND(SUMIFS('Key inputs_Refineries'!I$85:I$164,'Key inputs_Refineries'!$C$85:$C$164,$C338,'Key inputs_Refineries'!$B$85:$B$164,"Boiler")/SUM(SUMIFS('Key inputs_Refineries'!I$85:I$164,'Key inputs_Refineries'!$C$85:$C$164,$C337:$C346,'Key inputs_Refineries'!$B$85:$B$164,"Boiler"))&gt;0,SUMIFS('Key inputs_Refineries'!I$85:I$164,'Key inputs_Refineries'!$C$85:$C$164,$C338,'Key inputs_Refineries'!$B$85:$B$164,"Boiler")/SUM(SUMIFS('Key inputs_Refineries'!I$85:I$164,'Key inputs_Refineries'!$C$85:$C$164,$C337:$C346,'Key inputs_Refineries'!$B$85:$B$164,"Boiler"))&lt;0.001),0.001,SUMIFS('Key inputs_Refineries'!I$85:I$164,'Key inputs_Refineries'!$C$85:$C$164,$C338,'Key inputs_Refineries'!$B$85:$B$164,"Boiler")/SUM(SUMIFS('Key inputs_Refineries'!I$85:I$164,'Key inputs_Refineries'!$C$85:$C$164,$C337:$C346,'Key inputs_Refineries'!$B$85:$B$164,"Boiler"))),0)</f>
        <v>0</v>
      </c>
      <c r="P338" s="173" cm="1">
        <f t="array" ref="P338">IFERROR(IF(AND(SUMIFS('Key inputs_Refineries'!J$85:J$164,'Key inputs_Refineries'!$C$85:$C$164,$C338,'Key inputs_Refineries'!$B$85:$B$164,"Boiler")/SUM(SUMIFS('Key inputs_Refineries'!J$85:J$164,'Key inputs_Refineries'!$C$85:$C$164,$C337:$C346,'Key inputs_Refineries'!$B$85:$B$164,"Boiler"))&gt;0,SUMIFS('Key inputs_Refineries'!J$85:J$164,'Key inputs_Refineries'!$C$85:$C$164,$C338,'Key inputs_Refineries'!$B$85:$B$164,"Boiler")/SUM(SUMIFS('Key inputs_Refineries'!J$85:J$164,'Key inputs_Refineries'!$C$85:$C$164,$C337:$C346,'Key inputs_Refineries'!$B$85:$B$164,"Boiler"))&lt;0.001),0.001,SUMIFS('Key inputs_Refineries'!J$85:J$164,'Key inputs_Refineries'!$C$85:$C$164,$C338,'Key inputs_Refineries'!$B$85:$B$164,"Boiler")/SUM(SUMIFS('Key inputs_Refineries'!J$85:J$164,'Key inputs_Refineries'!$C$85:$C$164,$C337:$C346,'Key inputs_Refineries'!$B$85:$B$164,"Boiler"))),0)</f>
        <v>7.5112298847973434E-3</v>
      </c>
      <c r="Q338" s="173" cm="1">
        <f t="array" ref="Q338">IFERROR(IF(AND(SUMIFS('Key inputs_Refineries'!K$85:K$164,'Key inputs_Refineries'!$C$85:$C$164,$C338,'Key inputs_Refineries'!$B$85:$B$164,"Boiler")/SUM(SUMIFS('Key inputs_Refineries'!K$85:K$164,'Key inputs_Refineries'!$C$85:$C$164,$C337:$C346,'Key inputs_Refineries'!$B$85:$B$164,"Boiler"))&gt;0,SUMIFS('Key inputs_Refineries'!K$85:K$164,'Key inputs_Refineries'!$C$85:$C$164,$C338,'Key inputs_Refineries'!$B$85:$B$164,"Boiler")/SUM(SUMIFS('Key inputs_Refineries'!K$85:K$164,'Key inputs_Refineries'!$C$85:$C$164,$C337:$C346,'Key inputs_Refineries'!$B$85:$B$164,"Boiler"))&lt;0.001),0.001,SUMIFS('Key inputs_Refineries'!K$85:K$164,'Key inputs_Refineries'!$C$85:$C$164,$C338,'Key inputs_Refineries'!$B$85:$B$164,"Boiler")/SUM(SUMIFS('Key inputs_Refineries'!K$85:K$164,'Key inputs_Refineries'!$C$85:$C$164,$C337:$C346,'Key inputs_Refineries'!$B$85:$B$164,"Boiler"))),0)</f>
        <v>1.3591105951689957E-2</v>
      </c>
      <c r="R338" s="173" cm="1">
        <f t="array" ref="R338">IFERROR(IF(AND(SUMIFS('Key inputs_Refineries'!L$85:L$164,'Key inputs_Refineries'!$C$85:$C$164,$C338,'Key inputs_Refineries'!$B$85:$B$164,"Boiler")/SUM(SUMIFS('Key inputs_Refineries'!L$85:L$164,'Key inputs_Refineries'!$C$85:$C$164,$C337:$C346,'Key inputs_Refineries'!$B$85:$B$164,"Boiler"))&gt;0,SUMIFS('Key inputs_Refineries'!L$85:L$164,'Key inputs_Refineries'!$C$85:$C$164,$C338,'Key inputs_Refineries'!$B$85:$B$164,"Boiler")/SUM(SUMIFS('Key inputs_Refineries'!L$85:L$164,'Key inputs_Refineries'!$C$85:$C$164,$C337:$C346,'Key inputs_Refineries'!$B$85:$B$164,"Boiler"))&lt;0.001),0.001,SUMIFS('Key inputs_Refineries'!L$85:L$164,'Key inputs_Refineries'!$C$85:$C$164,$C338,'Key inputs_Refineries'!$B$85:$B$164,"Boiler")/SUM(SUMIFS('Key inputs_Refineries'!L$85:L$164,'Key inputs_Refineries'!$C$85:$C$164,$C337:$C346,'Key inputs_Refineries'!$B$85:$B$164,"Boiler"))),0)</f>
        <v>0</v>
      </c>
      <c r="S338" s="173" cm="1">
        <f t="array" ref="S338">IFERROR(IF(AND(SUMIFS('Key inputs_Refineries'!M$85:M$164,'Key inputs_Refineries'!$C$85:$C$164,$C338,'Key inputs_Refineries'!$B$85:$B$164,"Boiler")/SUM(SUMIFS('Key inputs_Refineries'!M$85:M$164,'Key inputs_Refineries'!$C$85:$C$164,$C337:$C346,'Key inputs_Refineries'!$B$85:$B$164,"Boiler"))&gt;0,SUMIFS('Key inputs_Refineries'!M$85:M$164,'Key inputs_Refineries'!$C$85:$C$164,$C338,'Key inputs_Refineries'!$B$85:$B$164,"Boiler")/SUM(SUMIFS('Key inputs_Refineries'!M$85:M$164,'Key inputs_Refineries'!$C$85:$C$164,$C337:$C346,'Key inputs_Refineries'!$B$85:$B$164,"Boiler"))&lt;0.001),0.001,SUMIFS('Key inputs_Refineries'!M$85:M$164,'Key inputs_Refineries'!$C$85:$C$164,$C338,'Key inputs_Refineries'!$B$85:$B$164,"Boiler")/SUM(SUMIFS('Key inputs_Refineries'!M$85:M$164,'Key inputs_Refineries'!$C$85:$C$164,$C337:$C346,'Key inputs_Refineries'!$B$85:$B$164,"Boiler"))),0)</f>
        <v>3.5051732768259555E-2</v>
      </c>
      <c r="T338" s="173" cm="1">
        <f t="array" ref="T338">IFERROR(IF(AND(SUMIFS('Key inputs_Refineries'!N$85:N$164,'Key inputs_Refineries'!$C$85:$C$164,$C338,'Key inputs_Refineries'!$B$85:$B$164,"Boiler")/SUM(SUMIFS('Key inputs_Refineries'!N$85:N$164,'Key inputs_Refineries'!$C$85:$C$164,$C337:$C346,'Key inputs_Refineries'!$B$85:$B$164,"Boiler"))&gt;0,SUMIFS('Key inputs_Refineries'!N$85:N$164,'Key inputs_Refineries'!$C$85:$C$164,$C338,'Key inputs_Refineries'!$B$85:$B$164,"Boiler")/SUM(SUMIFS('Key inputs_Refineries'!N$85:N$164,'Key inputs_Refineries'!$C$85:$C$164,$C337:$C346,'Key inputs_Refineries'!$B$85:$B$164,"Boiler"))&lt;0.001),0.001,SUMIFS('Key inputs_Refineries'!N$85:N$164,'Key inputs_Refineries'!$C$85:$C$164,$C338,'Key inputs_Refineries'!$B$85:$B$164,"Boiler")/SUM(SUMIFS('Key inputs_Refineries'!N$85:N$164,'Key inputs_Refineries'!$C$85:$C$164,$C337:$C346,'Key inputs_Refineries'!$B$85:$B$164,"Boiler"))),0)</f>
        <v>8.6333554563383288E-3</v>
      </c>
      <c r="U338" s="173" cm="1">
        <f t="array" ref="U338">IFERROR(IF(AND(SUMIFS('Key inputs_Refineries'!O$85:O$164,'Key inputs_Refineries'!$C$85:$C$164,$C338,'Key inputs_Refineries'!$B$85:$B$164,"Boiler")/SUM(SUMIFS('Key inputs_Refineries'!O$85:O$164,'Key inputs_Refineries'!$C$85:$C$164,$C337:$C346,'Key inputs_Refineries'!$B$85:$B$164,"Boiler"))&gt;0,SUMIFS('Key inputs_Refineries'!O$85:O$164,'Key inputs_Refineries'!$C$85:$C$164,$C338,'Key inputs_Refineries'!$B$85:$B$164,"Boiler")/SUM(SUMIFS('Key inputs_Refineries'!O$85:O$164,'Key inputs_Refineries'!$C$85:$C$164,$C337:$C346,'Key inputs_Refineries'!$B$85:$B$164,"Boiler"))&lt;0.001),0.001,SUMIFS('Key inputs_Refineries'!O$85:O$164,'Key inputs_Refineries'!$C$85:$C$164,$C338,'Key inputs_Refineries'!$B$85:$B$164,"Boiler")/SUM(SUMIFS('Key inputs_Refineries'!O$85:O$164,'Key inputs_Refineries'!$C$85:$C$164,$C337:$C346,'Key inputs_Refineries'!$B$85:$B$164,"Boiler"))),0)</f>
        <v>0</v>
      </c>
      <c r="V338" s="173" cm="1">
        <f t="array" ref="V338">IFERROR(IF(AND(SUMIFS('Key inputs_Refineries'!P$85:P$164,'Key inputs_Refineries'!$C$85:$C$164,$C338,'Key inputs_Refineries'!$B$85:$B$164,"Boiler")/SUM(SUMIFS('Key inputs_Refineries'!P$85:P$164,'Key inputs_Refineries'!$C$85:$C$164,$C337:$C346,'Key inputs_Refineries'!$B$85:$B$164,"Boiler"))&gt;0,SUMIFS('Key inputs_Refineries'!P$85:P$164,'Key inputs_Refineries'!$C$85:$C$164,$C338,'Key inputs_Refineries'!$B$85:$B$164,"Boiler")/SUM(SUMIFS('Key inputs_Refineries'!P$85:P$164,'Key inputs_Refineries'!$C$85:$C$164,$C337:$C346,'Key inputs_Refineries'!$B$85:$B$164,"Boiler"))&lt;0.001),0.001,SUMIFS('Key inputs_Refineries'!P$85:P$164,'Key inputs_Refineries'!$C$85:$C$164,$C338,'Key inputs_Refineries'!$B$85:$B$164,"Boiler")/SUM(SUMIFS('Key inputs_Refineries'!P$85:P$164,'Key inputs_Refineries'!$C$85:$C$164,$C337:$C346,'Key inputs_Refineries'!$B$85:$B$164,"Boiler"))),0)</f>
        <v>5.6882967399520768E-3</v>
      </c>
      <c r="W338" s="173" cm="1">
        <f t="array" ref="W338">IFERROR(IF(AND(SUMIFS('Key inputs_Refineries'!Q$85:Q$164,'Key inputs_Refineries'!$C$85:$C$164,$C338,'Key inputs_Refineries'!$B$85:$B$164,"Boiler")/SUM(SUMIFS('Key inputs_Refineries'!Q$85:Q$164,'Key inputs_Refineries'!$C$85:$C$164,$C337:$C346,'Key inputs_Refineries'!$B$85:$B$164,"Boiler"))&gt;0,SUMIFS('Key inputs_Refineries'!Q$85:Q$164,'Key inputs_Refineries'!$C$85:$C$164,$C338,'Key inputs_Refineries'!$B$85:$B$164,"Boiler")/SUM(SUMIFS('Key inputs_Refineries'!Q$85:Q$164,'Key inputs_Refineries'!$C$85:$C$164,$C337:$C346,'Key inputs_Refineries'!$B$85:$B$164,"Boiler"))&lt;0.001),0.001,SUMIFS('Key inputs_Refineries'!Q$85:Q$164,'Key inputs_Refineries'!$C$85:$C$164,$C338,'Key inputs_Refineries'!$B$85:$B$164,"Boiler")/SUM(SUMIFS('Key inputs_Refineries'!Q$85:Q$164,'Key inputs_Refineries'!$C$85:$C$164,$C337:$C346,'Key inputs_Refineries'!$B$85:$B$164,"Boiler"))),0)</f>
        <v>0</v>
      </c>
      <c r="X338" s="173" cm="1">
        <f t="array" ref="X338">IFERROR(IF(AND(SUMIFS('Key inputs_Refineries'!R$85:R$164,'Key inputs_Refineries'!$C$85:$C$164,$C338,'Key inputs_Refineries'!$B$85:$B$164,"Boiler")/SUM(SUMIFS('Key inputs_Refineries'!R$85:R$164,'Key inputs_Refineries'!$C$85:$C$164,$C337:$C346,'Key inputs_Refineries'!$B$85:$B$164,"Boiler"))&gt;0,SUMIFS('Key inputs_Refineries'!R$85:R$164,'Key inputs_Refineries'!$C$85:$C$164,$C338,'Key inputs_Refineries'!$B$85:$B$164,"Boiler")/SUM(SUMIFS('Key inputs_Refineries'!R$85:R$164,'Key inputs_Refineries'!$C$85:$C$164,$C337:$C346,'Key inputs_Refineries'!$B$85:$B$164,"Boiler"))&lt;0.001),0.001,SUMIFS('Key inputs_Refineries'!R$85:R$164,'Key inputs_Refineries'!$C$85:$C$164,$C338,'Key inputs_Refineries'!$B$85:$B$164,"Boiler")/SUM(SUMIFS('Key inputs_Refineries'!R$85:R$164,'Key inputs_Refineries'!$C$85:$C$164,$C337:$C346,'Key inputs_Refineries'!$B$85:$B$164,"Boiler"))),0)</f>
        <v>0</v>
      </c>
      <c r="Y338" s="173" cm="1">
        <f t="array" ref="Y338">IFERROR(IF(AND(SUMIFS('Key inputs_Refineries'!S$85:S$164,'Key inputs_Refineries'!$C$85:$C$164,$C338,'Key inputs_Refineries'!$B$85:$B$164,"Boiler")/SUM(SUMIFS('Key inputs_Refineries'!S$85:S$164,'Key inputs_Refineries'!$C$85:$C$164,$C337:$C346,'Key inputs_Refineries'!$B$85:$B$164,"Boiler"))&gt;0,SUMIFS('Key inputs_Refineries'!S$85:S$164,'Key inputs_Refineries'!$C$85:$C$164,$C338,'Key inputs_Refineries'!$B$85:$B$164,"Boiler")/SUM(SUMIFS('Key inputs_Refineries'!S$85:S$164,'Key inputs_Refineries'!$C$85:$C$164,$C337:$C346,'Key inputs_Refineries'!$B$85:$B$164,"Boiler"))&lt;0.001),0.001,SUMIFS('Key inputs_Refineries'!S$85:S$164,'Key inputs_Refineries'!$C$85:$C$164,$C338,'Key inputs_Refineries'!$B$85:$B$164,"Boiler")/SUM(SUMIFS('Key inputs_Refineries'!S$85:S$164,'Key inputs_Refineries'!$C$85:$C$164,$C337:$C346,'Key inputs_Refineries'!$B$85:$B$164,"Boiler"))),0)</f>
        <v>2.7787994220171155E-3</v>
      </c>
      <c r="Z338" s="173" cm="1">
        <f t="array" ref="Z338">IFERROR(IF(AND(SUMIFS('Key inputs_Refineries'!T$85:T$164,'Key inputs_Refineries'!$C$85:$C$164,$C338,'Key inputs_Refineries'!$B$85:$B$164,"Boiler")/SUM(SUMIFS('Key inputs_Refineries'!T$85:T$164,'Key inputs_Refineries'!$C$85:$C$164,$C337:$C346,'Key inputs_Refineries'!$B$85:$B$164,"Boiler"))&gt;0,SUMIFS('Key inputs_Refineries'!T$85:T$164,'Key inputs_Refineries'!$C$85:$C$164,$C338,'Key inputs_Refineries'!$B$85:$B$164,"Boiler")/SUM(SUMIFS('Key inputs_Refineries'!T$85:T$164,'Key inputs_Refineries'!$C$85:$C$164,$C337:$C346,'Key inputs_Refineries'!$B$85:$B$164,"Boiler"))&lt;0.001),0.001,SUMIFS('Key inputs_Refineries'!T$85:T$164,'Key inputs_Refineries'!$C$85:$C$164,$C338,'Key inputs_Refineries'!$B$85:$B$164,"Boiler")/SUM(SUMIFS('Key inputs_Refineries'!T$85:T$164,'Key inputs_Refineries'!$C$85:$C$164,$C337:$C346,'Key inputs_Refineries'!$B$85:$B$164,"Boiler"))),0)</f>
        <v>7.5121681310049548E-3</v>
      </c>
      <c r="AA338" s="173" cm="1">
        <f t="array" ref="AA338">IFERROR(IF(AND(SUMIFS('Key inputs_Refineries'!U$85:U$164,'Key inputs_Refineries'!$C$85:$C$164,$C338,'Key inputs_Refineries'!$B$85:$B$164,"Boiler")/SUM(SUMIFS('Key inputs_Refineries'!U$85:U$164,'Key inputs_Refineries'!$C$85:$C$164,$C337:$C346,'Key inputs_Refineries'!$B$85:$B$164,"Boiler"))&gt;0,SUMIFS('Key inputs_Refineries'!U$85:U$164,'Key inputs_Refineries'!$C$85:$C$164,$C338,'Key inputs_Refineries'!$B$85:$B$164,"Boiler")/SUM(SUMIFS('Key inputs_Refineries'!U$85:U$164,'Key inputs_Refineries'!$C$85:$C$164,$C337:$C346,'Key inputs_Refineries'!$B$85:$B$164,"Boiler"))&lt;0.001),0.001,SUMIFS('Key inputs_Refineries'!U$85:U$164,'Key inputs_Refineries'!$C$85:$C$164,$C338,'Key inputs_Refineries'!$B$85:$B$164,"Boiler")/SUM(SUMIFS('Key inputs_Refineries'!U$85:U$164,'Key inputs_Refineries'!$C$85:$C$164,$C337:$C346,'Key inputs_Refineries'!$B$85:$B$164,"Boiler"))),0)</f>
        <v>1.3171639290390735E-2</v>
      </c>
      <c r="AB338" s="173" cm="1">
        <f t="array" ref="AB338">IFERROR(IF(AND(SUMIFS('Key inputs_Refineries'!V$85:V$164,'Key inputs_Refineries'!$C$85:$C$164,$C338,'Key inputs_Refineries'!$B$85:$B$164,"Boiler")/SUM(SUMIFS('Key inputs_Refineries'!V$85:V$164,'Key inputs_Refineries'!$C$85:$C$164,$C337:$C346,'Key inputs_Refineries'!$B$85:$B$164,"Boiler"))&gt;0,SUMIFS('Key inputs_Refineries'!V$85:V$164,'Key inputs_Refineries'!$C$85:$C$164,$C338,'Key inputs_Refineries'!$B$85:$B$164,"Boiler")/SUM(SUMIFS('Key inputs_Refineries'!V$85:V$164,'Key inputs_Refineries'!$C$85:$C$164,$C337:$C346,'Key inputs_Refineries'!$B$85:$B$164,"Boiler"))&lt;0.001),0.001,SUMIFS('Key inputs_Refineries'!V$85:V$164,'Key inputs_Refineries'!$C$85:$C$164,$C338,'Key inputs_Refineries'!$B$85:$B$164,"Boiler")/SUM(SUMIFS('Key inputs_Refineries'!V$85:V$164,'Key inputs_Refineries'!$C$85:$C$164,$C337:$C346,'Key inputs_Refineries'!$B$85:$B$164,"Boiler"))),0)</f>
        <v>0.62732289155304854</v>
      </c>
      <c r="AC338" s="173" cm="1">
        <f t="array" ref="AC338">IFERROR(IF(AND(SUMIFS('Key inputs_Refineries'!W$85:W$164,'Key inputs_Refineries'!$C$85:$C$164,$C338,'Key inputs_Refineries'!$B$85:$B$164,"Boiler")/SUM(SUMIFS('Key inputs_Refineries'!W$85:W$164,'Key inputs_Refineries'!$C$85:$C$164,$C337:$C346,'Key inputs_Refineries'!$B$85:$B$164,"Boiler"))&gt;0,SUMIFS('Key inputs_Refineries'!W$85:W$164,'Key inputs_Refineries'!$C$85:$C$164,$C338,'Key inputs_Refineries'!$B$85:$B$164,"Boiler")/SUM(SUMIFS('Key inputs_Refineries'!W$85:W$164,'Key inputs_Refineries'!$C$85:$C$164,$C337:$C346,'Key inputs_Refineries'!$B$85:$B$164,"Boiler"))&lt;0.001),0.001,SUMIFS('Key inputs_Refineries'!W$85:W$164,'Key inputs_Refineries'!$C$85:$C$164,$C338,'Key inputs_Refineries'!$B$85:$B$164,"Boiler")/SUM(SUMIFS('Key inputs_Refineries'!W$85:W$164,'Key inputs_Refineries'!$C$85:$C$164,$C337:$C346,'Key inputs_Refineries'!$B$85:$B$164,"Boiler"))),0)</f>
        <v>0</v>
      </c>
      <c r="AD338" s="173" cm="1">
        <f t="array" ref="AD338">IFERROR(IF(AND(SUMIFS('Key inputs_Refineries'!X$85:X$164,'Key inputs_Refineries'!$C$85:$C$164,$C338,'Key inputs_Refineries'!$B$85:$B$164,"Boiler")/SUM(SUMIFS('Key inputs_Refineries'!X$85:X$164,'Key inputs_Refineries'!$C$85:$C$164,$C337:$C346,'Key inputs_Refineries'!$B$85:$B$164,"Boiler"))&gt;0,SUMIFS('Key inputs_Refineries'!X$85:X$164,'Key inputs_Refineries'!$C$85:$C$164,$C338,'Key inputs_Refineries'!$B$85:$B$164,"Boiler")/SUM(SUMIFS('Key inputs_Refineries'!X$85:X$164,'Key inputs_Refineries'!$C$85:$C$164,$C337:$C346,'Key inputs_Refineries'!$B$85:$B$164,"Boiler"))&lt;0.001),0.001,SUMIFS('Key inputs_Refineries'!X$85:X$164,'Key inputs_Refineries'!$C$85:$C$164,$C338,'Key inputs_Refineries'!$B$85:$B$164,"Boiler")/SUM(SUMIFS('Key inputs_Refineries'!X$85:X$164,'Key inputs_Refineries'!$C$85:$C$164,$C337:$C346,'Key inputs_Refineries'!$B$85:$B$164,"Boiler"))),0)</f>
        <v>9.5552781608146987E-3</v>
      </c>
      <c r="AE338" s="173" cm="1">
        <f t="array" ref="AE338">IFERROR(IF(AND(SUMIFS('Key inputs_Refineries'!Y$85:Y$164,'Key inputs_Refineries'!$C$85:$C$164,$C338,'Key inputs_Refineries'!$B$85:$B$164,"Boiler")/SUM(SUMIFS('Key inputs_Refineries'!Y$85:Y$164,'Key inputs_Refineries'!$C$85:$C$164,$C337:$C346,'Key inputs_Refineries'!$B$85:$B$164,"Boiler"))&gt;0,SUMIFS('Key inputs_Refineries'!Y$85:Y$164,'Key inputs_Refineries'!$C$85:$C$164,$C338,'Key inputs_Refineries'!$B$85:$B$164,"Boiler")/SUM(SUMIFS('Key inputs_Refineries'!Y$85:Y$164,'Key inputs_Refineries'!$C$85:$C$164,$C337:$C346,'Key inputs_Refineries'!$B$85:$B$164,"Boiler"))&lt;0.001),0.001,SUMIFS('Key inputs_Refineries'!Y$85:Y$164,'Key inputs_Refineries'!$C$85:$C$164,$C338,'Key inputs_Refineries'!$B$85:$B$164,"Boiler")/SUM(SUMIFS('Key inputs_Refineries'!Y$85:Y$164,'Key inputs_Refineries'!$C$85:$C$164,$C337:$C346,'Key inputs_Refineries'!$B$85:$B$164,"Boiler"))),0)</f>
        <v>1.5014083212701699E-2</v>
      </c>
      <c r="AF338" s="173" cm="1">
        <f t="array" ref="AF338">IFERROR(IF(AND(SUMIFS('Key inputs_Refineries'!Z$85:Z$164,'Key inputs_Refineries'!$C$85:$C$164,$C338,'Key inputs_Refineries'!$B$85:$B$164,"Boiler")/SUM(SUMIFS('Key inputs_Refineries'!Z$85:Z$164,'Key inputs_Refineries'!$C$85:$C$164,$C337:$C346,'Key inputs_Refineries'!$B$85:$B$164,"Boiler"))&gt;0,SUMIFS('Key inputs_Refineries'!Z$85:Z$164,'Key inputs_Refineries'!$C$85:$C$164,$C338,'Key inputs_Refineries'!$B$85:$B$164,"Boiler")/SUM(SUMIFS('Key inputs_Refineries'!Z$85:Z$164,'Key inputs_Refineries'!$C$85:$C$164,$C337:$C346,'Key inputs_Refineries'!$B$85:$B$164,"Boiler"))&lt;0.001),0.001,SUMIFS('Key inputs_Refineries'!Z$85:Z$164,'Key inputs_Refineries'!$C$85:$C$164,$C338,'Key inputs_Refineries'!$B$85:$B$164,"Boiler")/SUM(SUMIFS('Key inputs_Refineries'!Z$85:Z$164,'Key inputs_Refineries'!$C$85:$C$164,$C337:$C346,'Key inputs_Refineries'!$B$85:$B$164,"Boiler"))),0)</f>
        <v>3.8902919404541575E-2</v>
      </c>
      <c r="AG338" s="173" cm="1">
        <f t="array" ref="AG338">IFERROR(IF(AND(SUMIFS('Key inputs_Refineries'!AA$85:AA$164,'Key inputs_Refineries'!$C$85:$C$164,$C338,'Key inputs_Refineries'!$B$85:$B$164,"Boiler")/SUM(SUMIFS('Key inputs_Refineries'!AA$85:AA$164,'Key inputs_Refineries'!$C$85:$C$164,$C337:$C346,'Key inputs_Refineries'!$B$85:$B$164,"Boiler"))&gt;0,SUMIFS('Key inputs_Refineries'!AA$85:AA$164,'Key inputs_Refineries'!$C$85:$C$164,$C338,'Key inputs_Refineries'!$B$85:$B$164,"Boiler")/SUM(SUMIFS('Key inputs_Refineries'!AA$85:AA$164,'Key inputs_Refineries'!$C$85:$C$164,$C337:$C346,'Key inputs_Refineries'!$B$85:$B$164,"Boiler"))&lt;0.001),0.001,SUMIFS('Key inputs_Refineries'!AA$85:AA$164,'Key inputs_Refineries'!$C$85:$C$164,$C338,'Key inputs_Refineries'!$B$85:$B$164,"Boiler")/SUM(SUMIFS('Key inputs_Refineries'!AA$85:AA$164,'Key inputs_Refineries'!$C$85:$C$164,$C337:$C346,'Key inputs_Refineries'!$B$85:$B$164,"Boiler"))),0)</f>
        <v>3.0454378123189886E-2</v>
      </c>
      <c r="AH338" s="173" cm="1">
        <f t="array" ref="AH338">IFERROR(IF(AND(SUMIFS('Key inputs_Refineries'!AB$85:AB$164,'Key inputs_Refineries'!$C$85:$C$164,$C338,'Key inputs_Refineries'!$B$85:$B$164,"Boiler")/SUM(SUMIFS('Key inputs_Refineries'!AB$85:AB$164,'Key inputs_Refineries'!$C$85:$C$164,$C337:$C346,'Key inputs_Refineries'!$B$85:$B$164,"Boiler"))&gt;0,SUMIFS('Key inputs_Refineries'!AB$85:AB$164,'Key inputs_Refineries'!$C$85:$C$164,$C338,'Key inputs_Refineries'!$B$85:$B$164,"Boiler")/SUM(SUMIFS('Key inputs_Refineries'!AB$85:AB$164,'Key inputs_Refineries'!$C$85:$C$164,$C337:$C346,'Key inputs_Refineries'!$B$85:$B$164,"Boiler"))&lt;0.001),0.001,SUMIFS('Key inputs_Refineries'!AB$85:AB$164,'Key inputs_Refineries'!$C$85:$C$164,$C338,'Key inputs_Refineries'!$B$85:$B$164,"Boiler")/SUM(SUMIFS('Key inputs_Refineries'!AB$85:AB$164,'Key inputs_Refineries'!$C$85:$C$164,$C337:$C346,'Key inputs_Refineries'!$B$85:$B$164,"Boiler"))),0)</f>
        <v>0</v>
      </c>
      <c r="AI338" s="173" cm="1">
        <f t="array" ref="AI338">IFERROR(IF(AND(SUMIFS('Key inputs_Refineries'!AC$85:AC$164,'Key inputs_Refineries'!$C$85:$C$164,$C338,'Key inputs_Refineries'!$B$85:$B$164,"Boiler")/SUM(SUMIFS('Key inputs_Refineries'!AC$85:AC$164,'Key inputs_Refineries'!$C$85:$C$164,$C337:$C346,'Key inputs_Refineries'!$B$85:$B$164,"Boiler"))&gt;0,SUMIFS('Key inputs_Refineries'!AC$85:AC$164,'Key inputs_Refineries'!$C$85:$C$164,$C338,'Key inputs_Refineries'!$B$85:$B$164,"Boiler")/SUM(SUMIFS('Key inputs_Refineries'!AC$85:AC$164,'Key inputs_Refineries'!$C$85:$C$164,$C337:$C346,'Key inputs_Refineries'!$B$85:$B$164,"Boiler"))&lt;0.001),0.001,SUMIFS('Key inputs_Refineries'!AC$85:AC$164,'Key inputs_Refineries'!$C$85:$C$164,$C338,'Key inputs_Refineries'!$B$85:$B$164,"Boiler")/SUM(SUMIFS('Key inputs_Refineries'!AC$85:AC$164,'Key inputs_Refineries'!$C$85:$C$164,$C337:$C346,'Key inputs_Refineries'!$B$85:$B$164,"Boiler"))),0)</f>
        <v>0.10262766484878531</v>
      </c>
      <c r="AJ338" s="173" cm="1">
        <f t="array" ref="AJ338">IFERROR(IF(AND(SUMIFS('Key inputs_Refineries'!AD$85:AD$164,'Key inputs_Refineries'!$C$85:$C$164,$C338,'Key inputs_Refineries'!$B$85:$B$164,"Boiler")/SUM(SUMIFS('Key inputs_Refineries'!AD$85:AD$164,'Key inputs_Refineries'!$C$85:$C$164,$C337:$C346,'Key inputs_Refineries'!$B$85:$B$164,"Boiler"))&gt;0,SUMIFS('Key inputs_Refineries'!AD$85:AD$164,'Key inputs_Refineries'!$C$85:$C$164,$C338,'Key inputs_Refineries'!$B$85:$B$164,"Boiler")/SUM(SUMIFS('Key inputs_Refineries'!AD$85:AD$164,'Key inputs_Refineries'!$C$85:$C$164,$C337:$C346,'Key inputs_Refineries'!$B$85:$B$164,"Boiler"))&lt;0.001),0.001,SUMIFS('Key inputs_Refineries'!AD$85:AD$164,'Key inputs_Refineries'!$C$85:$C$164,$C338,'Key inputs_Refineries'!$B$85:$B$164,"Boiler")/SUM(SUMIFS('Key inputs_Refineries'!AD$85:AD$164,'Key inputs_Refineries'!$C$85:$C$164,$C337:$C346,'Key inputs_Refineries'!$B$85:$B$164,"Boiler"))),0)</f>
        <v>0</v>
      </c>
      <c r="AK338" s="173" cm="1">
        <f t="array" ref="AK338">IFERROR(IF(AND(SUMIFS('Key inputs_Refineries'!AE$85:AE$164,'Key inputs_Refineries'!$C$85:$C$164,$C338,'Key inputs_Refineries'!$B$85:$B$164,"Boiler")/SUM(SUMIFS('Key inputs_Refineries'!AE$85:AE$164,'Key inputs_Refineries'!$C$85:$C$164,$C337:$C346,'Key inputs_Refineries'!$B$85:$B$164,"Boiler"))&gt;0,SUMIFS('Key inputs_Refineries'!AE$85:AE$164,'Key inputs_Refineries'!$C$85:$C$164,$C338,'Key inputs_Refineries'!$B$85:$B$164,"Boiler")/SUM(SUMIFS('Key inputs_Refineries'!AE$85:AE$164,'Key inputs_Refineries'!$C$85:$C$164,$C337:$C346,'Key inputs_Refineries'!$B$85:$B$164,"Boiler"))&lt;0.001),0.001,SUMIFS('Key inputs_Refineries'!AE$85:AE$164,'Key inputs_Refineries'!$C$85:$C$164,$C338,'Key inputs_Refineries'!$B$85:$B$164,"Boiler")/SUM(SUMIFS('Key inputs_Refineries'!AE$85:AE$164,'Key inputs_Refineries'!$C$85:$C$164,$C337:$C346,'Key inputs_Refineries'!$B$85:$B$164,"Boiler"))),0)</f>
        <v>1E-3</v>
      </c>
      <c r="AL338" s="173" cm="1">
        <f t="array" ref="AL338">IFERROR(IF(AND(SUMIFS('Key inputs_Refineries'!AF$85:AF$164,'Key inputs_Refineries'!$C$85:$C$164,$C338,'Key inputs_Refineries'!$B$85:$B$164,"Boiler")/SUM(SUMIFS('Key inputs_Refineries'!AF$85:AF$164,'Key inputs_Refineries'!$C$85:$C$164,$C337:$C346,'Key inputs_Refineries'!$B$85:$B$164,"Boiler"))&gt;0,SUMIFS('Key inputs_Refineries'!AF$85:AF$164,'Key inputs_Refineries'!$C$85:$C$164,$C338,'Key inputs_Refineries'!$B$85:$B$164,"Boiler")/SUM(SUMIFS('Key inputs_Refineries'!AF$85:AF$164,'Key inputs_Refineries'!$C$85:$C$164,$C337:$C346,'Key inputs_Refineries'!$B$85:$B$164,"Boiler"))&lt;0.001),0.001,SUMIFS('Key inputs_Refineries'!AF$85:AF$164,'Key inputs_Refineries'!$C$85:$C$164,$C338,'Key inputs_Refineries'!$B$85:$B$164,"Boiler")/SUM(SUMIFS('Key inputs_Refineries'!AF$85:AF$164,'Key inputs_Refineries'!$C$85:$C$164,$C337:$C346,'Key inputs_Refineries'!$B$85:$B$164,"Boiler"))),0)</f>
        <v>1.1727367954192493E-2</v>
      </c>
    </row>
    <row r="339" spans="1:38">
      <c r="C339" t="s">
        <v>517</v>
      </c>
      <c r="G339" s="4" t="s">
        <v>702</v>
      </c>
      <c r="H339" t="s">
        <v>661</v>
      </c>
      <c r="I339">
        <v>2019</v>
      </c>
      <c r="J339" t="s">
        <v>650</v>
      </c>
      <c r="K339" s="426">
        <v>0</v>
      </c>
      <c r="L339" s="426">
        <v>0</v>
      </c>
      <c r="M339" s="426">
        <v>0</v>
      </c>
      <c r="N339" s="426">
        <v>0</v>
      </c>
      <c r="O339" s="426">
        <v>0</v>
      </c>
      <c r="P339" s="426">
        <v>0</v>
      </c>
      <c r="Q339" s="426">
        <v>0</v>
      </c>
      <c r="R339" s="426">
        <v>0</v>
      </c>
      <c r="S339" s="426">
        <v>0</v>
      </c>
      <c r="T339" s="426">
        <v>0</v>
      </c>
      <c r="U339" s="426">
        <v>0</v>
      </c>
      <c r="V339" s="426">
        <v>0</v>
      </c>
      <c r="W339" s="426">
        <v>0</v>
      </c>
      <c r="X339" s="426">
        <v>0</v>
      </c>
      <c r="Y339" s="426">
        <v>0</v>
      </c>
      <c r="Z339" s="426">
        <v>0</v>
      </c>
      <c r="AA339" s="426">
        <v>0</v>
      </c>
      <c r="AB339" s="426">
        <v>0</v>
      </c>
      <c r="AC339" s="426">
        <v>0</v>
      </c>
      <c r="AD339" s="426">
        <v>0</v>
      </c>
      <c r="AE339" s="426">
        <v>0</v>
      </c>
      <c r="AF339" s="426">
        <v>0</v>
      </c>
      <c r="AG339" s="426">
        <v>0</v>
      </c>
      <c r="AH339" s="426">
        <v>0</v>
      </c>
      <c r="AI339" s="426">
        <v>0</v>
      </c>
      <c r="AJ339" s="426">
        <v>0</v>
      </c>
      <c r="AK339" s="426">
        <v>0</v>
      </c>
      <c r="AL339" s="426">
        <v>0</v>
      </c>
    </row>
    <row r="340" spans="1:38">
      <c r="C340" t="str">
        <f>Commodities!$C$93</f>
        <v>UPSGSL</v>
      </c>
      <c r="G340" s="4" t="s">
        <v>702</v>
      </c>
      <c r="H340" t="s">
        <v>661</v>
      </c>
      <c r="I340">
        <v>2019</v>
      </c>
      <c r="J340" t="s">
        <v>650</v>
      </c>
      <c r="K340" s="173" cm="1">
        <f t="array" ref="K340">IFERROR(IF(AND(SUMIFS('Key inputs_Refineries'!E$85:E$164,'Key inputs_Refineries'!$C$85:$C$164,$C340,'Key inputs_Refineries'!$B$85:$B$164,"Boiler")/SUM(SUMIFS('Key inputs_Refineries'!E$85:E$164,'Key inputs_Refineries'!$C$85:$C$164,$C337:$C346,'Key inputs_Refineries'!$B$85:$B$164,"Boiler"))&gt;0,SUMIFS('Key inputs_Refineries'!E$85:E$164,'Key inputs_Refineries'!$C$85:$C$164,$C340,'Key inputs_Refineries'!$B$85:$B$164,"Boiler")/SUM(SUMIFS('Key inputs_Refineries'!E$85:E$164,'Key inputs_Refineries'!$C$85:$C$164,$C337:$C346,'Key inputs_Refineries'!$B$85:$B$164,"Boiler"))&lt;0.001),0.001,SUMIFS('Key inputs_Refineries'!E$85:E$164,'Key inputs_Refineries'!$C$85:$C$164,$C340,'Key inputs_Refineries'!$B$85:$B$164,"Boiler")/SUM(SUMIFS('Key inputs_Refineries'!E$85:E$164,'Key inputs_Refineries'!$C$85:$C$164,$C337:$C346,'Key inputs_Refineries'!$B$85:$B$164,"Boiler"))),0)</f>
        <v>0</v>
      </c>
      <c r="L340" s="173" cm="1">
        <f t="array" ref="L340">IFERROR(IF(AND(SUMIFS('Key inputs_Refineries'!F$85:F$164,'Key inputs_Refineries'!$C$85:$C$164,$C340,'Key inputs_Refineries'!$B$85:$B$164,"Boiler")/SUM(SUMIFS('Key inputs_Refineries'!F$85:F$164,'Key inputs_Refineries'!$C$85:$C$164,$C337:$C346,'Key inputs_Refineries'!$B$85:$B$164,"Boiler"))&gt;0,SUMIFS('Key inputs_Refineries'!F$85:F$164,'Key inputs_Refineries'!$C$85:$C$164,$C340,'Key inputs_Refineries'!$B$85:$B$164,"Boiler")/SUM(SUMIFS('Key inputs_Refineries'!F$85:F$164,'Key inputs_Refineries'!$C$85:$C$164,$C337:$C346,'Key inputs_Refineries'!$B$85:$B$164,"Boiler"))&lt;0.001),0.001,SUMIFS('Key inputs_Refineries'!F$85:F$164,'Key inputs_Refineries'!$C$85:$C$164,$C340,'Key inputs_Refineries'!$B$85:$B$164,"Boiler")/SUM(SUMIFS('Key inputs_Refineries'!F$85:F$164,'Key inputs_Refineries'!$C$85:$C$164,$C337:$C346,'Key inputs_Refineries'!$B$85:$B$164,"Boiler"))),0)</f>
        <v>0</v>
      </c>
      <c r="M340" s="173" cm="1">
        <f t="array" ref="M340">IFERROR(IF(AND(SUMIFS('Key inputs_Refineries'!G$85:G$164,'Key inputs_Refineries'!$C$85:$C$164,$C340,'Key inputs_Refineries'!$B$85:$B$164,"Boiler")/SUM(SUMIFS('Key inputs_Refineries'!G$85:G$164,'Key inputs_Refineries'!$C$85:$C$164,$C337:$C346,'Key inputs_Refineries'!$B$85:$B$164,"Boiler"))&gt;0,SUMIFS('Key inputs_Refineries'!G$85:G$164,'Key inputs_Refineries'!$C$85:$C$164,$C340,'Key inputs_Refineries'!$B$85:$B$164,"Boiler")/SUM(SUMIFS('Key inputs_Refineries'!G$85:G$164,'Key inputs_Refineries'!$C$85:$C$164,$C337:$C346,'Key inputs_Refineries'!$B$85:$B$164,"Boiler"))&lt;0.001),0.001,SUMIFS('Key inputs_Refineries'!G$85:G$164,'Key inputs_Refineries'!$C$85:$C$164,$C340,'Key inputs_Refineries'!$B$85:$B$164,"Boiler")/SUM(SUMIFS('Key inputs_Refineries'!G$85:G$164,'Key inputs_Refineries'!$C$85:$C$164,$C337:$C346,'Key inputs_Refineries'!$B$85:$B$164,"Boiler"))),0)</f>
        <v>0</v>
      </c>
      <c r="N340" s="173" cm="1">
        <f t="array" ref="N340">IFERROR(IF(AND(SUMIFS('Key inputs_Refineries'!H$85:H$164,'Key inputs_Refineries'!$C$85:$C$164,$C340,'Key inputs_Refineries'!$B$85:$B$164,"Boiler")/SUM(SUMIFS('Key inputs_Refineries'!H$85:H$164,'Key inputs_Refineries'!$C$85:$C$164,$C337:$C346,'Key inputs_Refineries'!$B$85:$B$164,"Boiler"))&gt;0,SUMIFS('Key inputs_Refineries'!H$85:H$164,'Key inputs_Refineries'!$C$85:$C$164,$C340,'Key inputs_Refineries'!$B$85:$B$164,"Boiler")/SUM(SUMIFS('Key inputs_Refineries'!H$85:H$164,'Key inputs_Refineries'!$C$85:$C$164,$C337:$C346,'Key inputs_Refineries'!$B$85:$B$164,"Boiler"))&lt;0.001),0.001,SUMIFS('Key inputs_Refineries'!H$85:H$164,'Key inputs_Refineries'!$C$85:$C$164,$C340,'Key inputs_Refineries'!$B$85:$B$164,"Boiler")/SUM(SUMIFS('Key inputs_Refineries'!H$85:H$164,'Key inputs_Refineries'!$C$85:$C$164,$C337:$C346,'Key inputs_Refineries'!$B$85:$B$164,"Boiler"))),0)</f>
        <v>0</v>
      </c>
      <c r="O340" s="173" cm="1">
        <f t="array" ref="O340">IFERROR(IF(AND(SUMIFS('Key inputs_Refineries'!I$85:I$164,'Key inputs_Refineries'!$C$85:$C$164,$C340,'Key inputs_Refineries'!$B$85:$B$164,"Boiler")/SUM(SUMIFS('Key inputs_Refineries'!I$85:I$164,'Key inputs_Refineries'!$C$85:$C$164,$C337:$C346,'Key inputs_Refineries'!$B$85:$B$164,"Boiler"))&gt;0,SUMIFS('Key inputs_Refineries'!I$85:I$164,'Key inputs_Refineries'!$C$85:$C$164,$C340,'Key inputs_Refineries'!$B$85:$B$164,"Boiler")/SUM(SUMIFS('Key inputs_Refineries'!I$85:I$164,'Key inputs_Refineries'!$C$85:$C$164,$C337:$C346,'Key inputs_Refineries'!$B$85:$B$164,"Boiler"))&lt;0.001),0.001,SUMIFS('Key inputs_Refineries'!I$85:I$164,'Key inputs_Refineries'!$C$85:$C$164,$C340,'Key inputs_Refineries'!$B$85:$B$164,"Boiler")/SUM(SUMIFS('Key inputs_Refineries'!I$85:I$164,'Key inputs_Refineries'!$C$85:$C$164,$C337:$C346,'Key inputs_Refineries'!$B$85:$B$164,"Boiler"))),0)</f>
        <v>0</v>
      </c>
      <c r="P340" s="173" cm="1">
        <f t="array" ref="P340">IFERROR(IF(AND(SUMIFS('Key inputs_Refineries'!J$85:J$164,'Key inputs_Refineries'!$C$85:$C$164,$C340,'Key inputs_Refineries'!$B$85:$B$164,"Boiler")/SUM(SUMIFS('Key inputs_Refineries'!J$85:J$164,'Key inputs_Refineries'!$C$85:$C$164,$C337:$C346,'Key inputs_Refineries'!$B$85:$B$164,"Boiler"))&gt;0,SUMIFS('Key inputs_Refineries'!J$85:J$164,'Key inputs_Refineries'!$C$85:$C$164,$C340,'Key inputs_Refineries'!$B$85:$B$164,"Boiler")/SUM(SUMIFS('Key inputs_Refineries'!J$85:J$164,'Key inputs_Refineries'!$C$85:$C$164,$C337:$C346,'Key inputs_Refineries'!$B$85:$B$164,"Boiler"))&lt;0.001),0.001,SUMIFS('Key inputs_Refineries'!J$85:J$164,'Key inputs_Refineries'!$C$85:$C$164,$C340,'Key inputs_Refineries'!$B$85:$B$164,"Boiler")/SUM(SUMIFS('Key inputs_Refineries'!J$85:J$164,'Key inputs_Refineries'!$C$85:$C$164,$C337:$C346,'Key inputs_Refineries'!$B$85:$B$164,"Boiler"))),0)</f>
        <v>0</v>
      </c>
      <c r="Q340" s="173" cm="1">
        <f t="array" ref="Q340">IFERROR(IF(AND(SUMIFS('Key inputs_Refineries'!K$85:K$164,'Key inputs_Refineries'!$C$85:$C$164,$C340,'Key inputs_Refineries'!$B$85:$B$164,"Boiler")/SUM(SUMIFS('Key inputs_Refineries'!K$85:K$164,'Key inputs_Refineries'!$C$85:$C$164,$C337:$C346,'Key inputs_Refineries'!$B$85:$B$164,"Boiler"))&gt;0,SUMIFS('Key inputs_Refineries'!K$85:K$164,'Key inputs_Refineries'!$C$85:$C$164,$C340,'Key inputs_Refineries'!$B$85:$B$164,"Boiler")/SUM(SUMIFS('Key inputs_Refineries'!K$85:K$164,'Key inputs_Refineries'!$C$85:$C$164,$C337:$C346,'Key inputs_Refineries'!$B$85:$B$164,"Boiler"))&lt;0.001),0.001,SUMIFS('Key inputs_Refineries'!K$85:K$164,'Key inputs_Refineries'!$C$85:$C$164,$C340,'Key inputs_Refineries'!$B$85:$B$164,"Boiler")/SUM(SUMIFS('Key inputs_Refineries'!K$85:K$164,'Key inputs_Refineries'!$C$85:$C$164,$C337:$C346,'Key inputs_Refineries'!$B$85:$B$164,"Boiler"))),0)</f>
        <v>0</v>
      </c>
      <c r="R340" s="173" cm="1">
        <f t="array" ref="R340">IFERROR(IF(AND(SUMIFS('Key inputs_Refineries'!L$85:L$164,'Key inputs_Refineries'!$C$85:$C$164,$C340,'Key inputs_Refineries'!$B$85:$B$164,"Boiler")/SUM(SUMIFS('Key inputs_Refineries'!L$85:L$164,'Key inputs_Refineries'!$C$85:$C$164,$C337:$C346,'Key inputs_Refineries'!$B$85:$B$164,"Boiler"))&gt;0,SUMIFS('Key inputs_Refineries'!L$85:L$164,'Key inputs_Refineries'!$C$85:$C$164,$C340,'Key inputs_Refineries'!$B$85:$B$164,"Boiler")/SUM(SUMIFS('Key inputs_Refineries'!L$85:L$164,'Key inputs_Refineries'!$C$85:$C$164,$C337:$C346,'Key inputs_Refineries'!$B$85:$B$164,"Boiler"))&lt;0.001),0.001,SUMIFS('Key inputs_Refineries'!L$85:L$164,'Key inputs_Refineries'!$C$85:$C$164,$C340,'Key inputs_Refineries'!$B$85:$B$164,"Boiler")/SUM(SUMIFS('Key inputs_Refineries'!L$85:L$164,'Key inputs_Refineries'!$C$85:$C$164,$C337:$C346,'Key inputs_Refineries'!$B$85:$B$164,"Boiler"))),0)</f>
        <v>0</v>
      </c>
      <c r="S340" s="173" cm="1">
        <f t="array" ref="S340">IFERROR(IF(AND(SUMIFS('Key inputs_Refineries'!M$85:M$164,'Key inputs_Refineries'!$C$85:$C$164,$C340,'Key inputs_Refineries'!$B$85:$B$164,"Boiler")/SUM(SUMIFS('Key inputs_Refineries'!M$85:M$164,'Key inputs_Refineries'!$C$85:$C$164,$C337:$C346,'Key inputs_Refineries'!$B$85:$B$164,"Boiler"))&gt;0,SUMIFS('Key inputs_Refineries'!M$85:M$164,'Key inputs_Refineries'!$C$85:$C$164,$C340,'Key inputs_Refineries'!$B$85:$B$164,"Boiler")/SUM(SUMIFS('Key inputs_Refineries'!M$85:M$164,'Key inputs_Refineries'!$C$85:$C$164,$C337:$C346,'Key inputs_Refineries'!$B$85:$B$164,"Boiler"))&lt;0.001),0.001,SUMIFS('Key inputs_Refineries'!M$85:M$164,'Key inputs_Refineries'!$C$85:$C$164,$C340,'Key inputs_Refineries'!$B$85:$B$164,"Boiler")/SUM(SUMIFS('Key inputs_Refineries'!M$85:M$164,'Key inputs_Refineries'!$C$85:$C$164,$C337:$C346,'Key inputs_Refineries'!$B$85:$B$164,"Boiler"))),0)</f>
        <v>0</v>
      </c>
      <c r="T340" s="173" cm="1">
        <f t="array" ref="T340">IFERROR(IF(AND(SUMIFS('Key inputs_Refineries'!N$85:N$164,'Key inputs_Refineries'!$C$85:$C$164,$C340,'Key inputs_Refineries'!$B$85:$B$164,"Boiler")/SUM(SUMIFS('Key inputs_Refineries'!N$85:N$164,'Key inputs_Refineries'!$C$85:$C$164,$C337:$C346,'Key inputs_Refineries'!$B$85:$B$164,"Boiler"))&gt;0,SUMIFS('Key inputs_Refineries'!N$85:N$164,'Key inputs_Refineries'!$C$85:$C$164,$C340,'Key inputs_Refineries'!$B$85:$B$164,"Boiler")/SUM(SUMIFS('Key inputs_Refineries'!N$85:N$164,'Key inputs_Refineries'!$C$85:$C$164,$C337:$C346,'Key inputs_Refineries'!$B$85:$B$164,"Boiler"))&lt;0.001),0.001,SUMIFS('Key inputs_Refineries'!N$85:N$164,'Key inputs_Refineries'!$C$85:$C$164,$C340,'Key inputs_Refineries'!$B$85:$B$164,"Boiler")/SUM(SUMIFS('Key inputs_Refineries'!N$85:N$164,'Key inputs_Refineries'!$C$85:$C$164,$C337:$C346,'Key inputs_Refineries'!$B$85:$B$164,"Boiler"))),0)</f>
        <v>2.7912331012078389E-2</v>
      </c>
      <c r="U340" s="173" cm="1">
        <f t="array" ref="U340">IFERROR(IF(AND(SUMIFS('Key inputs_Refineries'!O$85:O$164,'Key inputs_Refineries'!$C$85:$C$164,$C340,'Key inputs_Refineries'!$B$85:$B$164,"Boiler")/SUM(SUMIFS('Key inputs_Refineries'!O$85:O$164,'Key inputs_Refineries'!$C$85:$C$164,$C337:$C346,'Key inputs_Refineries'!$B$85:$B$164,"Boiler"))&gt;0,SUMIFS('Key inputs_Refineries'!O$85:O$164,'Key inputs_Refineries'!$C$85:$C$164,$C340,'Key inputs_Refineries'!$B$85:$B$164,"Boiler")/SUM(SUMIFS('Key inputs_Refineries'!O$85:O$164,'Key inputs_Refineries'!$C$85:$C$164,$C337:$C346,'Key inputs_Refineries'!$B$85:$B$164,"Boiler"))&lt;0.001),0.001,SUMIFS('Key inputs_Refineries'!O$85:O$164,'Key inputs_Refineries'!$C$85:$C$164,$C340,'Key inputs_Refineries'!$B$85:$B$164,"Boiler")/SUM(SUMIFS('Key inputs_Refineries'!O$85:O$164,'Key inputs_Refineries'!$C$85:$C$164,$C337:$C346,'Key inputs_Refineries'!$B$85:$B$164,"Boiler"))),0)</f>
        <v>0</v>
      </c>
      <c r="V340" s="173" cm="1">
        <f t="array" ref="V340">IFERROR(IF(AND(SUMIFS('Key inputs_Refineries'!P$85:P$164,'Key inputs_Refineries'!$C$85:$C$164,$C340,'Key inputs_Refineries'!$B$85:$B$164,"Boiler")/SUM(SUMIFS('Key inputs_Refineries'!P$85:P$164,'Key inputs_Refineries'!$C$85:$C$164,$C337:$C346,'Key inputs_Refineries'!$B$85:$B$164,"Boiler"))&gt;0,SUMIFS('Key inputs_Refineries'!P$85:P$164,'Key inputs_Refineries'!$C$85:$C$164,$C340,'Key inputs_Refineries'!$B$85:$B$164,"Boiler")/SUM(SUMIFS('Key inputs_Refineries'!P$85:P$164,'Key inputs_Refineries'!$C$85:$C$164,$C337:$C346,'Key inputs_Refineries'!$B$85:$B$164,"Boiler"))&lt;0.001),0.001,SUMIFS('Key inputs_Refineries'!P$85:P$164,'Key inputs_Refineries'!$C$85:$C$164,$C340,'Key inputs_Refineries'!$B$85:$B$164,"Boiler")/SUM(SUMIFS('Key inputs_Refineries'!P$85:P$164,'Key inputs_Refineries'!$C$85:$C$164,$C337:$C346,'Key inputs_Refineries'!$B$85:$B$164,"Boiler"))),0)</f>
        <v>1E-3</v>
      </c>
      <c r="W340" s="173" cm="1">
        <f t="array" ref="W340">IFERROR(IF(AND(SUMIFS('Key inputs_Refineries'!Q$85:Q$164,'Key inputs_Refineries'!$C$85:$C$164,$C340,'Key inputs_Refineries'!$B$85:$B$164,"Boiler")/SUM(SUMIFS('Key inputs_Refineries'!Q$85:Q$164,'Key inputs_Refineries'!$C$85:$C$164,$C337:$C346,'Key inputs_Refineries'!$B$85:$B$164,"Boiler"))&gt;0,SUMIFS('Key inputs_Refineries'!Q$85:Q$164,'Key inputs_Refineries'!$C$85:$C$164,$C340,'Key inputs_Refineries'!$B$85:$B$164,"Boiler")/SUM(SUMIFS('Key inputs_Refineries'!Q$85:Q$164,'Key inputs_Refineries'!$C$85:$C$164,$C337:$C346,'Key inputs_Refineries'!$B$85:$B$164,"Boiler"))&lt;0.001),0.001,SUMIFS('Key inputs_Refineries'!Q$85:Q$164,'Key inputs_Refineries'!$C$85:$C$164,$C340,'Key inputs_Refineries'!$B$85:$B$164,"Boiler")/SUM(SUMIFS('Key inputs_Refineries'!Q$85:Q$164,'Key inputs_Refineries'!$C$85:$C$164,$C337:$C346,'Key inputs_Refineries'!$B$85:$B$164,"Boiler"))),0)</f>
        <v>0</v>
      </c>
      <c r="X340" s="173" cm="1">
        <f t="array" ref="X340">IFERROR(IF(AND(SUMIFS('Key inputs_Refineries'!R$85:R$164,'Key inputs_Refineries'!$C$85:$C$164,$C340,'Key inputs_Refineries'!$B$85:$B$164,"Boiler")/SUM(SUMIFS('Key inputs_Refineries'!R$85:R$164,'Key inputs_Refineries'!$C$85:$C$164,$C337:$C346,'Key inputs_Refineries'!$B$85:$B$164,"Boiler"))&gt;0,SUMIFS('Key inputs_Refineries'!R$85:R$164,'Key inputs_Refineries'!$C$85:$C$164,$C340,'Key inputs_Refineries'!$B$85:$B$164,"Boiler")/SUM(SUMIFS('Key inputs_Refineries'!R$85:R$164,'Key inputs_Refineries'!$C$85:$C$164,$C337:$C346,'Key inputs_Refineries'!$B$85:$B$164,"Boiler"))&lt;0.001),0.001,SUMIFS('Key inputs_Refineries'!R$85:R$164,'Key inputs_Refineries'!$C$85:$C$164,$C340,'Key inputs_Refineries'!$B$85:$B$164,"Boiler")/SUM(SUMIFS('Key inputs_Refineries'!R$85:R$164,'Key inputs_Refineries'!$C$85:$C$164,$C337:$C346,'Key inputs_Refineries'!$B$85:$B$164,"Boiler"))),0)</f>
        <v>0</v>
      </c>
      <c r="Y340" s="173" cm="1">
        <f t="array" ref="Y340">IFERROR(IF(AND(SUMIFS('Key inputs_Refineries'!S$85:S$164,'Key inputs_Refineries'!$C$85:$C$164,$C340,'Key inputs_Refineries'!$B$85:$B$164,"Boiler")/SUM(SUMIFS('Key inputs_Refineries'!S$85:S$164,'Key inputs_Refineries'!$C$85:$C$164,$C337:$C346,'Key inputs_Refineries'!$B$85:$B$164,"Boiler"))&gt;0,SUMIFS('Key inputs_Refineries'!S$85:S$164,'Key inputs_Refineries'!$C$85:$C$164,$C340,'Key inputs_Refineries'!$B$85:$B$164,"Boiler")/SUM(SUMIFS('Key inputs_Refineries'!S$85:S$164,'Key inputs_Refineries'!$C$85:$C$164,$C337:$C346,'Key inputs_Refineries'!$B$85:$B$164,"Boiler"))&lt;0.001),0.001,SUMIFS('Key inputs_Refineries'!S$85:S$164,'Key inputs_Refineries'!$C$85:$C$164,$C340,'Key inputs_Refineries'!$B$85:$B$164,"Boiler")/SUM(SUMIFS('Key inputs_Refineries'!S$85:S$164,'Key inputs_Refineries'!$C$85:$C$164,$C337:$C346,'Key inputs_Refineries'!$B$85:$B$164,"Boiler"))),0)</f>
        <v>0</v>
      </c>
      <c r="Z340" s="173" cm="1">
        <f t="array" ref="Z340">IFERROR(IF(AND(SUMIFS('Key inputs_Refineries'!T$85:T$164,'Key inputs_Refineries'!$C$85:$C$164,$C340,'Key inputs_Refineries'!$B$85:$B$164,"Boiler")/SUM(SUMIFS('Key inputs_Refineries'!T$85:T$164,'Key inputs_Refineries'!$C$85:$C$164,$C337:$C346,'Key inputs_Refineries'!$B$85:$B$164,"Boiler"))&gt;0,SUMIFS('Key inputs_Refineries'!T$85:T$164,'Key inputs_Refineries'!$C$85:$C$164,$C340,'Key inputs_Refineries'!$B$85:$B$164,"Boiler")/SUM(SUMIFS('Key inputs_Refineries'!T$85:T$164,'Key inputs_Refineries'!$C$85:$C$164,$C337:$C346,'Key inputs_Refineries'!$B$85:$B$164,"Boiler"))&lt;0.001),0.001,SUMIFS('Key inputs_Refineries'!T$85:T$164,'Key inputs_Refineries'!$C$85:$C$164,$C340,'Key inputs_Refineries'!$B$85:$B$164,"Boiler")/SUM(SUMIFS('Key inputs_Refineries'!T$85:T$164,'Key inputs_Refineries'!$C$85:$C$164,$C337:$C346,'Key inputs_Refineries'!$B$85:$B$164,"Boiler"))),0)</f>
        <v>0</v>
      </c>
      <c r="AA340" s="173" cm="1">
        <f t="array" ref="AA340">IFERROR(IF(AND(SUMIFS('Key inputs_Refineries'!U$85:U$164,'Key inputs_Refineries'!$C$85:$C$164,$C340,'Key inputs_Refineries'!$B$85:$B$164,"Boiler")/SUM(SUMIFS('Key inputs_Refineries'!U$85:U$164,'Key inputs_Refineries'!$C$85:$C$164,$C337:$C346,'Key inputs_Refineries'!$B$85:$B$164,"Boiler"))&gt;0,SUMIFS('Key inputs_Refineries'!U$85:U$164,'Key inputs_Refineries'!$C$85:$C$164,$C340,'Key inputs_Refineries'!$B$85:$B$164,"Boiler")/SUM(SUMIFS('Key inputs_Refineries'!U$85:U$164,'Key inputs_Refineries'!$C$85:$C$164,$C337:$C346,'Key inputs_Refineries'!$B$85:$B$164,"Boiler"))&lt;0.001),0.001,SUMIFS('Key inputs_Refineries'!U$85:U$164,'Key inputs_Refineries'!$C$85:$C$164,$C340,'Key inputs_Refineries'!$B$85:$B$164,"Boiler")/SUM(SUMIFS('Key inputs_Refineries'!U$85:U$164,'Key inputs_Refineries'!$C$85:$C$164,$C337:$C346,'Key inputs_Refineries'!$B$85:$B$164,"Boiler"))),0)</f>
        <v>0</v>
      </c>
      <c r="AB340" s="173" cm="1">
        <f t="array" ref="AB340">IFERROR(IF(AND(SUMIFS('Key inputs_Refineries'!V$85:V$164,'Key inputs_Refineries'!$C$85:$C$164,$C340,'Key inputs_Refineries'!$B$85:$B$164,"Boiler")/SUM(SUMIFS('Key inputs_Refineries'!V$85:V$164,'Key inputs_Refineries'!$C$85:$C$164,$C337:$C346,'Key inputs_Refineries'!$B$85:$B$164,"Boiler"))&gt;0,SUMIFS('Key inputs_Refineries'!V$85:V$164,'Key inputs_Refineries'!$C$85:$C$164,$C340,'Key inputs_Refineries'!$B$85:$B$164,"Boiler")/SUM(SUMIFS('Key inputs_Refineries'!V$85:V$164,'Key inputs_Refineries'!$C$85:$C$164,$C337:$C346,'Key inputs_Refineries'!$B$85:$B$164,"Boiler"))&lt;0.001),0.001,SUMIFS('Key inputs_Refineries'!V$85:V$164,'Key inputs_Refineries'!$C$85:$C$164,$C340,'Key inputs_Refineries'!$B$85:$B$164,"Boiler")/SUM(SUMIFS('Key inputs_Refineries'!V$85:V$164,'Key inputs_Refineries'!$C$85:$C$164,$C337:$C346,'Key inputs_Refineries'!$B$85:$B$164,"Boiler"))),0)</f>
        <v>0</v>
      </c>
      <c r="AC340" s="173" cm="1">
        <f t="array" ref="AC340">IFERROR(IF(AND(SUMIFS('Key inputs_Refineries'!W$85:W$164,'Key inputs_Refineries'!$C$85:$C$164,$C340,'Key inputs_Refineries'!$B$85:$B$164,"Boiler")/SUM(SUMIFS('Key inputs_Refineries'!W$85:W$164,'Key inputs_Refineries'!$C$85:$C$164,$C337:$C346,'Key inputs_Refineries'!$B$85:$B$164,"Boiler"))&gt;0,SUMIFS('Key inputs_Refineries'!W$85:W$164,'Key inputs_Refineries'!$C$85:$C$164,$C340,'Key inputs_Refineries'!$B$85:$B$164,"Boiler")/SUM(SUMIFS('Key inputs_Refineries'!W$85:W$164,'Key inputs_Refineries'!$C$85:$C$164,$C337:$C346,'Key inputs_Refineries'!$B$85:$B$164,"Boiler"))&lt;0.001),0.001,SUMIFS('Key inputs_Refineries'!W$85:W$164,'Key inputs_Refineries'!$C$85:$C$164,$C340,'Key inputs_Refineries'!$B$85:$B$164,"Boiler")/SUM(SUMIFS('Key inputs_Refineries'!W$85:W$164,'Key inputs_Refineries'!$C$85:$C$164,$C337:$C346,'Key inputs_Refineries'!$B$85:$B$164,"Boiler"))),0)</f>
        <v>0</v>
      </c>
      <c r="AD340" s="173" cm="1">
        <f t="array" ref="AD340">IFERROR(IF(AND(SUMIFS('Key inputs_Refineries'!X$85:X$164,'Key inputs_Refineries'!$C$85:$C$164,$C340,'Key inputs_Refineries'!$B$85:$B$164,"Boiler")/SUM(SUMIFS('Key inputs_Refineries'!X$85:X$164,'Key inputs_Refineries'!$C$85:$C$164,$C337:$C346,'Key inputs_Refineries'!$B$85:$B$164,"Boiler"))&gt;0,SUMIFS('Key inputs_Refineries'!X$85:X$164,'Key inputs_Refineries'!$C$85:$C$164,$C340,'Key inputs_Refineries'!$B$85:$B$164,"Boiler")/SUM(SUMIFS('Key inputs_Refineries'!X$85:X$164,'Key inputs_Refineries'!$C$85:$C$164,$C337:$C346,'Key inputs_Refineries'!$B$85:$B$164,"Boiler"))&lt;0.001),0.001,SUMIFS('Key inputs_Refineries'!X$85:X$164,'Key inputs_Refineries'!$C$85:$C$164,$C340,'Key inputs_Refineries'!$B$85:$B$164,"Boiler")/SUM(SUMIFS('Key inputs_Refineries'!X$85:X$164,'Key inputs_Refineries'!$C$85:$C$164,$C337:$C346,'Key inputs_Refineries'!$B$85:$B$164,"Boiler"))),0)</f>
        <v>1E-3</v>
      </c>
      <c r="AE340" s="173" cm="1">
        <f t="array" ref="AE340">IFERROR(IF(AND(SUMIFS('Key inputs_Refineries'!Y$85:Y$164,'Key inputs_Refineries'!$C$85:$C$164,$C340,'Key inputs_Refineries'!$B$85:$B$164,"Boiler")/SUM(SUMIFS('Key inputs_Refineries'!Y$85:Y$164,'Key inputs_Refineries'!$C$85:$C$164,$C337:$C346,'Key inputs_Refineries'!$B$85:$B$164,"Boiler"))&gt;0,SUMIFS('Key inputs_Refineries'!Y$85:Y$164,'Key inputs_Refineries'!$C$85:$C$164,$C340,'Key inputs_Refineries'!$B$85:$B$164,"Boiler")/SUM(SUMIFS('Key inputs_Refineries'!Y$85:Y$164,'Key inputs_Refineries'!$C$85:$C$164,$C337:$C346,'Key inputs_Refineries'!$B$85:$B$164,"Boiler"))&lt;0.001),0.001,SUMIFS('Key inputs_Refineries'!Y$85:Y$164,'Key inputs_Refineries'!$C$85:$C$164,$C340,'Key inputs_Refineries'!$B$85:$B$164,"Boiler")/SUM(SUMIFS('Key inputs_Refineries'!Y$85:Y$164,'Key inputs_Refineries'!$C$85:$C$164,$C337:$C346,'Key inputs_Refineries'!$B$85:$B$164,"Boiler"))),0)</f>
        <v>2.0134433337153691E-2</v>
      </c>
      <c r="AF340" s="173" cm="1">
        <f t="array" ref="AF340">IFERROR(IF(AND(SUMIFS('Key inputs_Refineries'!Z$85:Z$164,'Key inputs_Refineries'!$C$85:$C$164,$C340,'Key inputs_Refineries'!$B$85:$B$164,"Boiler")/SUM(SUMIFS('Key inputs_Refineries'!Z$85:Z$164,'Key inputs_Refineries'!$C$85:$C$164,$C337:$C346,'Key inputs_Refineries'!$B$85:$B$164,"Boiler"))&gt;0,SUMIFS('Key inputs_Refineries'!Z$85:Z$164,'Key inputs_Refineries'!$C$85:$C$164,$C340,'Key inputs_Refineries'!$B$85:$B$164,"Boiler")/SUM(SUMIFS('Key inputs_Refineries'!Z$85:Z$164,'Key inputs_Refineries'!$C$85:$C$164,$C337:$C346,'Key inputs_Refineries'!$B$85:$B$164,"Boiler"))&lt;0.001),0.001,SUMIFS('Key inputs_Refineries'!Z$85:Z$164,'Key inputs_Refineries'!$C$85:$C$164,$C340,'Key inputs_Refineries'!$B$85:$B$164,"Boiler")/SUM(SUMIFS('Key inputs_Refineries'!Z$85:Z$164,'Key inputs_Refineries'!$C$85:$C$164,$C337:$C346,'Key inputs_Refineries'!$B$85:$B$164,"Boiler"))),0)</f>
        <v>0</v>
      </c>
      <c r="AG340" s="173" cm="1">
        <f t="array" ref="AG340">IFERROR(IF(AND(SUMIFS('Key inputs_Refineries'!AA$85:AA$164,'Key inputs_Refineries'!$C$85:$C$164,$C340,'Key inputs_Refineries'!$B$85:$B$164,"Boiler")/SUM(SUMIFS('Key inputs_Refineries'!AA$85:AA$164,'Key inputs_Refineries'!$C$85:$C$164,$C337:$C346,'Key inputs_Refineries'!$B$85:$B$164,"Boiler"))&gt;0,SUMIFS('Key inputs_Refineries'!AA$85:AA$164,'Key inputs_Refineries'!$C$85:$C$164,$C340,'Key inputs_Refineries'!$B$85:$B$164,"Boiler")/SUM(SUMIFS('Key inputs_Refineries'!AA$85:AA$164,'Key inputs_Refineries'!$C$85:$C$164,$C337:$C346,'Key inputs_Refineries'!$B$85:$B$164,"Boiler"))&lt;0.001),0.001,SUMIFS('Key inputs_Refineries'!AA$85:AA$164,'Key inputs_Refineries'!$C$85:$C$164,$C340,'Key inputs_Refineries'!$B$85:$B$164,"Boiler")/SUM(SUMIFS('Key inputs_Refineries'!AA$85:AA$164,'Key inputs_Refineries'!$C$85:$C$164,$C337:$C346,'Key inputs_Refineries'!$B$85:$B$164,"Boiler"))),0)</f>
        <v>0</v>
      </c>
      <c r="AH340" s="173" cm="1">
        <f t="array" ref="AH340">IFERROR(IF(AND(SUMIFS('Key inputs_Refineries'!AB$85:AB$164,'Key inputs_Refineries'!$C$85:$C$164,$C340,'Key inputs_Refineries'!$B$85:$B$164,"Boiler")/SUM(SUMIFS('Key inputs_Refineries'!AB$85:AB$164,'Key inputs_Refineries'!$C$85:$C$164,$C337:$C346,'Key inputs_Refineries'!$B$85:$B$164,"Boiler"))&gt;0,SUMIFS('Key inputs_Refineries'!AB$85:AB$164,'Key inputs_Refineries'!$C$85:$C$164,$C340,'Key inputs_Refineries'!$B$85:$B$164,"Boiler")/SUM(SUMIFS('Key inputs_Refineries'!AB$85:AB$164,'Key inputs_Refineries'!$C$85:$C$164,$C337:$C346,'Key inputs_Refineries'!$B$85:$B$164,"Boiler"))&lt;0.001),0.001,SUMIFS('Key inputs_Refineries'!AB$85:AB$164,'Key inputs_Refineries'!$C$85:$C$164,$C340,'Key inputs_Refineries'!$B$85:$B$164,"Boiler")/SUM(SUMIFS('Key inputs_Refineries'!AB$85:AB$164,'Key inputs_Refineries'!$C$85:$C$164,$C337:$C346,'Key inputs_Refineries'!$B$85:$B$164,"Boiler"))),0)</f>
        <v>0</v>
      </c>
      <c r="AI340" s="173" cm="1">
        <f t="array" ref="AI340">IFERROR(IF(AND(SUMIFS('Key inputs_Refineries'!AC$85:AC$164,'Key inputs_Refineries'!$C$85:$C$164,$C340,'Key inputs_Refineries'!$B$85:$B$164,"Boiler")/SUM(SUMIFS('Key inputs_Refineries'!AC$85:AC$164,'Key inputs_Refineries'!$C$85:$C$164,$C337:$C346,'Key inputs_Refineries'!$B$85:$B$164,"Boiler"))&gt;0,SUMIFS('Key inputs_Refineries'!AC$85:AC$164,'Key inputs_Refineries'!$C$85:$C$164,$C340,'Key inputs_Refineries'!$B$85:$B$164,"Boiler")/SUM(SUMIFS('Key inputs_Refineries'!AC$85:AC$164,'Key inputs_Refineries'!$C$85:$C$164,$C337:$C346,'Key inputs_Refineries'!$B$85:$B$164,"Boiler"))&lt;0.001),0.001,SUMIFS('Key inputs_Refineries'!AC$85:AC$164,'Key inputs_Refineries'!$C$85:$C$164,$C340,'Key inputs_Refineries'!$B$85:$B$164,"Boiler")/SUM(SUMIFS('Key inputs_Refineries'!AC$85:AC$164,'Key inputs_Refineries'!$C$85:$C$164,$C337:$C346,'Key inputs_Refineries'!$B$85:$B$164,"Boiler"))),0)</f>
        <v>0</v>
      </c>
      <c r="AJ340" s="173" cm="1">
        <f t="array" ref="AJ340">IFERROR(IF(AND(SUMIFS('Key inputs_Refineries'!AD$85:AD$164,'Key inputs_Refineries'!$C$85:$C$164,$C340,'Key inputs_Refineries'!$B$85:$B$164,"Boiler")/SUM(SUMIFS('Key inputs_Refineries'!AD$85:AD$164,'Key inputs_Refineries'!$C$85:$C$164,$C337:$C346,'Key inputs_Refineries'!$B$85:$B$164,"Boiler"))&gt;0,SUMIFS('Key inputs_Refineries'!AD$85:AD$164,'Key inputs_Refineries'!$C$85:$C$164,$C340,'Key inputs_Refineries'!$B$85:$B$164,"Boiler")/SUM(SUMIFS('Key inputs_Refineries'!AD$85:AD$164,'Key inputs_Refineries'!$C$85:$C$164,$C337:$C346,'Key inputs_Refineries'!$B$85:$B$164,"Boiler"))&lt;0.001),0.001,SUMIFS('Key inputs_Refineries'!AD$85:AD$164,'Key inputs_Refineries'!$C$85:$C$164,$C340,'Key inputs_Refineries'!$B$85:$B$164,"Boiler")/SUM(SUMIFS('Key inputs_Refineries'!AD$85:AD$164,'Key inputs_Refineries'!$C$85:$C$164,$C337:$C346,'Key inputs_Refineries'!$B$85:$B$164,"Boiler"))),0)</f>
        <v>0</v>
      </c>
      <c r="AK340" s="173" cm="1">
        <f t="array" ref="AK340">IFERROR(IF(AND(SUMIFS('Key inputs_Refineries'!AE$85:AE$164,'Key inputs_Refineries'!$C$85:$C$164,$C340,'Key inputs_Refineries'!$B$85:$B$164,"Boiler")/SUM(SUMIFS('Key inputs_Refineries'!AE$85:AE$164,'Key inputs_Refineries'!$C$85:$C$164,$C337:$C346,'Key inputs_Refineries'!$B$85:$B$164,"Boiler"))&gt;0,SUMIFS('Key inputs_Refineries'!AE$85:AE$164,'Key inputs_Refineries'!$C$85:$C$164,$C340,'Key inputs_Refineries'!$B$85:$B$164,"Boiler")/SUM(SUMIFS('Key inputs_Refineries'!AE$85:AE$164,'Key inputs_Refineries'!$C$85:$C$164,$C337:$C346,'Key inputs_Refineries'!$B$85:$B$164,"Boiler"))&lt;0.001),0.001,SUMIFS('Key inputs_Refineries'!AE$85:AE$164,'Key inputs_Refineries'!$C$85:$C$164,$C340,'Key inputs_Refineries'!$B$85:$B$164,"Boiler")/SUM(SUMIFS('Key inputs_Refineries'!AE$85:AE$164,'Key inputs_Refineries'!$C$85:$C$164,$C337:$C346,'Key inputs_Refineries'!$B$85:$B$164,"Boiler"))),0)</f>
        <v>0</v>
      </c>
      <c r="AL340" s="173" cm="1">
        <f t="array" ref="AL340">IFERROR(IF(AND(SUMIFS('Key inputs_Refineries'!AF$85:AF$164,'Key inputs_Refineries'!$C$85:$C$164,$C340,'Key inputs_Refineries'!$B$85:$B$164,"Boiler")/SUM(SUMIFS('Key inputs_Refineries'!AF$85:AF$164,'Key inputs_Refineries'!$C$85:$C$164,$C337:$C346,'Key inputs_Refineries'!$B$85:$B$164,"Boiler"))&gt;0,SUMIFS('Key inputs_Refineries'!AF$85:AF$164,'Key inputs_Refineries'!$C$85:$C$164,$C340,'Key inputs_Refineries'!$B$85:$B$164,"Boiler")/SUM(SUMIFS('Key inputs_Refineries'!AF$85:AF$164,'Key inputs_Refineries'!$C$85:$C$164,$C337:$C346,'Key inputs_Refineries'!$B$85:$B$164,"Boiler"))&lt;0.001),0.001,SUMIFS('Key inputs_Refineries'!AF$85:AF$164,'Key inputs_Refineries'!$C$85:$C$164,$C340,'Key inputs_Refineries'!$B$85:$B$164,"Boiler")/SUM(SUMIFS('Key inputs_Refineries'!AF$85:AF$164,'Key inputs_Refineries'!$C$85:$C$164,$C337:$C346,'Key inputs_Refineries'!$B$85:$B$164,"Boiler"))),0)</f>
        <v>2.4176673865044865E-3</v>
      </c>
    </row>
    <row r="341" spans="1:38">
      <c r="C341" t="str">
        <f>Commodities!$C$95</f>
        <v>UPSHFO</v>
      </c>
      <c r="G341" s="4" t="s">
        <v>702</v>
      </c>
      <c r="H341" t="s">
        <v>661</v>
      </c>
      <c r="I341">
        <v>2019</v>
      </c>
      <c r="J341" t="s">
        <v>650</v>
      </c>
      <c r="K341" s="173" cm="1">
        <f t="array" ref="K341">IFERROR(IF(AND(SUMIFS('Key inputs_Refineries'!E$85:E$164,'Key inputs_Refineries'!$C$85:$C$164,$C341,'Key inputs_Refineries'!$B$85:$B$164,"Boiler")/SUM(SUMIFS('Key inputs_Refineries'!E$85:E$164,'Key inputs_Refineries'!$C$85:$C$164,$C337:$C346,'Key inputs_Refineries'!$B$85:$B$164,"Boiler"))&gt;0,SUMIFS('Key inputs_Refineries'!E$85:E$164,'Key inputs_Refineries'!$C$85:$C$164,$C341,'Key inputs_Refineries'!$B$85:$B$164,"Boiler")/SUM(SUMIFS('Key inputs_Refineries'!E$85:E$164,'Key inputs_Refineries'!$C$85:$C$164,$C337:$C346,'Key inputs_Refineries'!$B$85:$B$164,"Boiler"))&lt;0.001),0.001,SUMIFS('Key inputs_Refineries'!E$85:E$164,'Key inputs_Refineries'!$C$85:$C$164,$C341,'Key inputs_Refineries'!$B$85:$B$164,"Boiler")/SUM(SUMIFS('Key inputs_Refineries'!E$85:E$164,'Key inputs_Refineries'!$C$85:$C$164,$C337:$C346,'Key inputs_Refineries'!$B$85:$B$164,"Boiler"))),0)</f>
        <v>0</v>
      </c>
      <c r="L341" s="173" cm="1">
        <f t="array" ref="L341">IFERROR(IF(AND(SUMIFS('Key inputs_Refineries'!F$85:F$164,'Key inputs_Refineries'!$C$85:$C$164,$C341,'Key inputs_Refineries'!$B$85:$B$164,"Boiler")/SUM(SUMIFS('Key inputs_Refineries'!F$85:F$164,'Key inputs_Refineries'!$C$85:$C$164,$C337:$C346,'Key inputs_Refineries'!$B$85:$B$164,"Boiler"))&gt;0,SUMIFS('Key inputs_Refineries'!F$85:F$164,'Key inputs_Refineries'!$C$85:$C$164,$C341,'Key inputs_Refineries'!$B$85:$B$164,"Boiler")/SUM(SUMIFS('Key inputs_Refineries'!F$85:F$164,'Key inputs_Refineries'!$C$85:$C$164,$C337:$C346,'Key inputs_Refineries'!$B$85:$B$164,"Boiler"))&lt;0.001),0.001,SUMIFS('Key inputs_Refineries'!F$85:F$164,'Key inputs_Refineries'!$C$85:$C$164,$C341,'Key inputs_Refineries'!$B$85:$B$164,"Boiler")/SUM(SUMIFS('Key inputs_Refineries'!F$85:F$164,'Key inputs_Refineries'!$C$85:$C$164,$C337:$C346,'Key inputs_Refineries'!$B$85:$B$164,"Boiler"))),0)</f>
        <v>0.37465171294428523</v>
      </c>
      <c r="M341" s="173" cm="1">
        <f t="array" ref="M341">IFERROR(IF(AND(SUMIFS('Key inputs_Refineries'!G$85:G$164,'Key inputs_Refineries'!$C$85:$C$164,$C341,'Key inputs_Refineries'!$B$85:$B$164,"Boiler")/SUM(SUMIFS('Key inputs_Refineries'!G$85:G$164,'Key inputs_Refineries'!$C$85:$C$164,$C337:$C346,'Key inputs_Refineries'!$B$85:$B$164,"Boiler"))&gt;0,SUMIFS('Key inputs_Refineries'!G$85:G$164,'Key inputs_Refineries'!$C$85:$C$164,$C341,'Key inputs_Refineries'!$B$85:$B$164,"Boiler")/SUM(SUMIFS('Key inputs_Refineries'!G$85:G$164,'Key inputs_Refineries'!$C$85:$C$164,$C337:$C346,'Key inputs_Refineries'!$B$85:$B$164,"Boiler"))&lt;0.001),0.001,SUMIFS('Key inputs_Refineries'!G$85:G$164,'Key inputs_Refineries'!$C$85:$C$164,$C341,'Key inputs_Refineries'!$B$85:$B$164,"Boiler")/SUM(SUMIFS('Key inputs_Refineries'!G$85:G$164,'Key inputs_Refineries'!$C$85:$C$164,$C337:$C346,'Key inputs_Refineries'!$B$85:$B$164,"Boiler"))),0)</f>
        <v>0.51919100635285487</v>
      </c>
      <c r="N341" s="173" cm="1">
        <f t="array" ref="N341">IFERROR(IF(AND(SUMIFS('Key inputs_Refineries'!H$85:H$164,'Key inputs_Refineries'!$C$85:$C$164,$C341,'Key inputs_Refineries'!$B$85:$B$164,"Boiler")/SUM(SUMIFS('Key inputs_Refineries'!H$85:H$164,'Key inputs_Refineries'!$C$85:$C$164,$C337:$C346,'Key inputs_Refineries'!$B$85:$B$164,"Boiler"))&gt;0,SUMIFS('Key inputs_Refineries'!H$85:H$164,'Key inputs_Refineries'!$C$85:$C$164,$C341,'Key inputs_Refineries'!$B$85:$B$164,"Boiler")/SUM(SUMIFS('Key inputs_Refineries'!H$85:H$164,'Key inputs_Refineries'!$C$85:$C$164,$C337:$C346,'Key inputs_Refineries'!$B$85:$B$164,"Boiler"))&lt;0.001),0.001,SUMIFS('Key inputs_Refineries'!H$85:H$164,'Key inputs_Refineries'!$C$85:$C$164,$C341,'Key inputs_Refineries'!$B$85:$B$164,"Boiler")/SUM(SUMIFS('Key inputs_Refineries'!H$85:H$164,'Key inputs_Refineries'!$C$85:$C$164,$C337:$C346,'Key inputs_Refineries'!$B$85:$B$164,"Boiler"))),0)</f>
        <v>0</v>
      </c>
      <c r="O341" s="173" cm="1">
        <f t="array" ref="O341">IFERROR(IF(AND(SUMIFS('Key inputs_Refineries'!I$85:I$164,'Key inputs_Refineries'!$C$85:$C$164,$C341,'Key inputs_Refineries'!$B$85:$B$164,"Boiler")/SUM(SUMIFS('Key inputs_Refineries'!I$85:I$164,'Key inputs_Refineries'!$C$85:$C$164,$C337:$C346,'Key inputs_Refineries'!$B$85:$B$164,"Boiler"))&gt;0,SUMIFS('Key inputs_Refineries'!I$85:I$164,'Key inputs_Refineries'!$C$85:$C$164,$C341,'Key inputs_Refineries'!$B$85:$B$164,"Boiler")/SUM(SUMIFS('Key inputs_Refineries'!I$85:I$164,'Key inputs_Refineries'!$C$85:$C$164,$C337:$C346,'Key inputs_Refineries'!$B$85:$B$164,"Boiler"))&lt;0.001),0.001,SUMIFS('Key inputs_Refineries'!I$85:I$164,'Key inputs_Refineries'!$C$85:$C$164,$C341,'Key inputs_Refineries'!$B$85:$B$164,"Boiler")/SUM(SUMIFS('Key inputs_Refineries'!I$85:I$164,'Key inputs_Refineries'!$C$85:$C$164,$C337:$C346,'Key inputs_Refineries'!$B$85:$B$164,"Boiler"))),0)</f>
        <v>9.1734191639610982E-2</v>
      </c>
      <c r="P341" s="173" cm="1">
        <f t="array" ref="P341">IFERROR(IF(AND(SUMIFS('Key inputs_Refineries'!J$85:J$164,'Key inputs_Refineries'!$C$85:$C$164,$C341,'Key inputs_Refineries'!$B$85:$B$164,"Boiler")/SUM(SUMIFS('Key inputs_Refineries'!J$85:J$164,'Key inputs_Refineries'!$C$85:$C$164,$C337:$C346,'Key inputs_Refineries'!$B$85:$B$164,"Boiler"))&gt;0,SUMIFS('Key inputs_Refineries'!J$85:J$164,'Key inputs_Refineries'!$C$85:$C$164,$C341,'Key inputs_Refineries'!$B$85:$B$164,"Boiler")/SUM(SUMIFS('Key inputs_Refineries'!J$85:J$164,'Key inputs_Refineries'!$C$85:$C$164,$C337:$C346,'Key inputs_Refineries'!$B$85:$B$164,"Boiler"))&lt;0.001),0.001,SUMIFS('Key inputs_Refineries'!J$85:J$164,'Key inputs_Refineries'!$C$85:$C$164,$C341,'Key inputs_Refineries'!$B$85:$B$164,"Boiler")/SUM(SUMIFS('Key inputs_Refineries'!J$85:J$164,'Key inputs_Refineries'!$C$85:$C$164,$C337:$C346,'Key inputs_Refineries'!$B$85:$B$164,"Boiler"))),0)</f>
        <v>0.10352194303840895</v>
      </c>
      <c r="Q341" s="173" cm="1">
        <f t="array" ref="Q341">IFERROR(IF(AND(SUMIFS('Key inputs_Refineries'!K$85:K$164,'Key inputs_Refineries'!$C$85:$C$164,$C341,'Key inputs_Refineries'!$B$85:$B$164,"Boiler")/SUM(SUMIFS('Key inputs_Refineries'!K$85:K$164,'Key inputs_Refineries'!$C$85:$C$164,$C337:$C346,'Key inputs_Refineries'!$B$85:$B$164,"Boiler"))&gt;0,SUMIFS('Key inputs_Refineries'!K$85:K$164,'Key inputs_Refineries'!$C$85:$C$164,$C341,'Key inputs_Refineries'!$B$85:$B$164,"Boiler")/SUM(SUMIFS('Key inputs_Refineries'!K$85:K$164,'Key inputs_Refineries'!$C$85:$C$164,$C337:$C346,'Key inputs_Refineries'!$B$85:$B$164,"Boiler"))&lt;0.001),0.001,SUMIFS('Key inputs_Refineries'!K$85:K$164,'Key inputs_Refineries'!$C$85:$C$164,$C341,'Key inputs_Refineries'!$B$85:$B$164,"Boiler")/SUM(SUMIFS('Key inputs_Refineries'!K$85:K$164,'Key inputs_Refineries'!$C$85:$C$164,$C337:$C346,'Key inputs_Refineries'!$B$85:$B$164,"Boiler"))),0)</f>
        <v>0.91831941777916681</v>
      </c>
      <c r="R341" s="173" cm="1">
        <f t="array" ref="R341">IFERROR(IF(AND(SUMIFS('Key inputs_Refineries'!L$85:L$164,'Key inputs_Refineries'!$C$85:$C$164,$C341,'Key inputs_Refineries'!$B$85:$B$164,"Boiler")/SUM(SUMIFS('Key inputs_Refineries'!L$85:L$164,'Key inputs_Refineries'!$C$85:$C$164,$C337:$C346,'Key inputs_Refineries'!$B$85:$B$164,"Boiler"))&gt;0,SUMIFS('Key inputs_Refineries'!L$85:L$164,'Key inputs_Refineries'!$C$85:$C$164,$C341,'Key inputs_Refineries'!$B$85:$B$164,"Boiler")/SUM(SUMIFS('Key inputs_Refineries'!L$85:L$164,'Key inputs_Refineries'!$C$85:$C$164,$C337:$C346,'Key inputs_Refineries'!$B$85:$B$164,"Boiler"))&lt;0.001),0.001,SUMIFS('Key inputs_Refineries'!L$85:L$164,'Key inputs_Refineries'!$C$85:$C$164,$C341,'Key inputs_Refineries'!$B$85:$B$164,"Boiler")/SUM(SUMIFS('Key inputs_Refineries'!L$85:L$164,'Key inputs_Refineries'!$C$85:$C$164,$C337:$C346,'Key inputs_Refineries'!$B$85:$B$164,"Boiler"))),0)</f>
        <v>1</v>
      </c>
      <c r="S341" s="173" cm="1">
        <f t="array" ref="S341">IFERROR(IF(AND(SUMIFS('Key inputs_Refineries'!M$85:M$164,'Key inputs_Refineries'!$C$85:$C$164,$C341,'Key inputs_Refineries'!$B$85:$B$164,"Boiler")/SUM(SUMIFS('Key inputs_Refineries'!M$85:M$164,'Key inputs_Refineries'!$C$85:$C$164,$C337:$C346,'Key inputs_Refineries'!$B$85:$B$164,"Boiler"))&gt;0,SUMIFS('Key inputs_Refineries'!M$85:M$164,'Key inputs_Refineries'!$C$85:$C$164,$C341,'Key inputs_Refineries'!$B$85:$B$164,"Boiler")/SUM(SUMIFS('Key inputs_Refineries'!M$85:M$164,'Key inputs_Refineries'!$C$85:$C$164,$C337:$C346,'Key inputs_Refineries'!$B$85:$B$164,"Boiler"))&lt;0.001),0.001,SUMIFS('Key inputs_Refineries'!M$85:M$164,'Key inputs_Refineries'!$C$85:$C$164,$C341,'Key inputs_Refineries'!$B$85:$B$164,"Boiler")/SUM(SUMIFS('Key inputs_Refineries'!M$85:M$164,'Key inputs_Refineries'!$C$85:$C$164,$C337:$C346,'Key inputs_Refineries'!$B$85:$B$164,"Boiler"))),0)</f>
        <v>0.96494826723174043</v>
      </c>
      <c r="T341" s="173" cm="1">
        <f t="array" ref="T341">IFERROR(IF(AND(SUMIFS('Key inputs_Refineries'!N$85:N$164,'Key inputs_Refineries'!$C$85:$C$164,$C341,'Key inputs_Refineries'!$B$85:$B$164,"Boiler")/SUM(SUMIFS('Key inputs_Refineries'!N$85:N$164,'Key inputs_Refineries'!$C$85:$C$164,$C337:$C346,'Key inputs_Refineries'!$B$85:$B$164,"Boiler"))&gt;0,SUMIFS('Key inputs_Refineries'!N$85:N$164,'Key inputs_Refineries'!$C$85:$C$164,$C341,'Key inputs_Refineries'!$B$85:$B$164,"Boiler")/SUM(SUMIFS('Key inputs_Refineries'!N$85:N$164,'Key inputs_Refineries'!$C$85:$C$164,$C337:$C346,'Key inputs_Refineries'!$B$85:$B$164,"Boiler"))&lt;0.001),0.001,SUMIFS('Key inputs_Refineries'!N$85:N$164,'Key inputs_Refineries'!$C$85:$C$164,$C341,'Key inputs_Refineries'!$B$85:$B$164,"Boiler")/SUM(SUMIFS('Key inputs_Refineries'!N$85:N$164,'Key inputs_Refineries'!$C$85:$C$164,$C337:$C346,'Key inputs_Refineries'!$B$85:$B$164,"Boiler"))),0)</f>
        <v>6.3476982152369937E-3</v>
      </c>
      <c r="U341" s="173" cm="1">
        <f t="array" ref="U341">IFERROR(IF(AND(SUMIFS('Key inputs_Refineries'!O$85:O$164,'Key inputs_Refineries'!$C$85:$C$164,$C341,'Key inputs_Refineries'!$B$85:$B$164,"Boiler")/SUM(SUMIFS('Key inputs_Refineries'!O$85:O$164,'Key inputs_Refineries'!$C$85:$C$164,$C337:$C346,'Key inputs_Refineries'!$B$85:$B$164,"Boiler"))&gt;0,SUMIFS('Key inputs_Refineries'!O$85:O$164,'Key inputs_Refineries'!$C$85:$C$164,$C341,'Key inputs_Refineries'!$B$85:$B$164,"Boiler")/SUM(SUMIFS('Key inputs_Refineries'!O$85:O$164,'Key inputs_Refineries'!$C$85:$C$164,$C337:$C346,'Key inputs_Refineries'!$B$85:$B$164,"Boiler"))&lt;0.001),0.001,SUMIFS('Key inputs_Refineries'!O$85:O$164,'Key inputs_Refineries'!$C$85:$C$164,$C341,'Key inputs_Refineries'!$B$85:$B$164,"Boiler")/SUM(SUMIFS('Key inputs_Refineries'!O$85:O$164,'Key inputs_Refineries'!$C$85:$C$164,$C337:$C346,'Key inputs_Refineries'!$B$85:$B$164,"Boiler"))),0)</f>
        <v>0.61457033647315606</v>
      </c>
      <c r="V341" s="173" cm="1">
        <f t="array" ref="V341">IFERROR(IF(AND(SUMIFS('Key inputs_Refineries'!P$85:P$164,'Key inputs_Refineries'!$C$85:$C$164,$C341,'Key inputs_Refineries'!$B$85:$B$164,"Boiler")/SUM(SUMIFS('Key inputs_Refineries'!P$85:P$164,'Key inputs_Refineries'!$C$85:$C$164,$C337:$C346,'Key inputs_Refineries'!$B$85:$B$164,"Boiler"))&gt;0,SUMIFS('Key inputs_Refineries'!P$85:P$164,'Key inputs_Refineries'!$C$85:$C$164,$C341,'Key inputs_Refineries'!$B$85:$B$164,"Boiler")/SUM(SUMIFS('Key inputs_Refineries'!P$85:P$164,'Key inputs_Refineries'!$C$85:$C$164,$C337:$C346,'Key inputs_Refineries'!$B$85:$B$164,"Boiler"))&lt;0.001),0.001,SUMIFS('Key inputs_Refineries'!P$85:P$164,'Key inputs_Refineries'!$C$85:$C$164,$C341,'Key inputs_Refineries'!$B$85:$B$164,"Boiler")/SUM(SUMIFS('Key inputs_Refineries'!P$85:P$164,'Key inputs_Refineries'!$C$85:$C$164,$C337:$C346,'Key inputs_Refineries'!$B$85:$B$164,"Boiler"))),0)</f>
        <v>6.3407167375633859E-3</v>
      </c>
      <c r="W341" s="173" cm="1">
        <f t="array" ref="W341">IFERROR(IF(AND(SUMIFS('Key inputs_Refineries'!Q$85:Q$164,'Key inputs_Refineries'!$C$85:$C$164,$C341,'Key inputs_Refineries'!$B$85:$B$164,"Boiler")/SUM(SUMIFS('Key inputs_Refineries'!Q$85:Q$164,'Key inputs_Refineries'!$C$85:$C$164,$C337:$C346,'Key inputs_Refineries'!$B$85:$B$164,"Boiler"))&gt;0,SUMIFS('Key inputs_Refineries'!Q$85:Q$164,'Key inputs_Refineries'!$C$85:$C$164,$C341,'Key inputs_Refineries'!$B$85:$B$164,"Boiler")/SUM(SUMIFS('Key inputs_Refineries'!Q$85:Q$164,'Key inputs_Refineries'!$C$85:$C$164,$C337:$C346,'Key inputs_Refineries'!$B$85:$B$164,"Boiler"))&lt;0.001),0.001,SUMIFS('Key inputs_Refineries'!Q$85:Q$164,'Key inputs_Refineries'!$C$85:$C$164,$C341,'Key inputs_Refineries'!$B$85:$B$164,"Boiler")/SUM(SUMIFS('Key inputs_Refineries'!Q$85:Q$164,'Key inputs_Refineries'!$C$85:$C$164,$C337:$C346,'Key inputs_Refineries'!$B$85:$B$164,"Boiler"))),0)</f>
        <v>0.94164147828318123</v>
      </c>
      <c r="X341" s="173" cm="1">
        <f t="array" ref="X341">IFERROR(IF(AND(SUMIFS('Key inputs_Refineries'!R$85:R$164,'Key inputs_Refineries'!$C$85:$C$164,$C341,'Key inputs_Refineries'!$B$85:$B$164,"Boiler")/SUM(SUMIFS('Key inputs_Refineries'!R$85:R$164,'Key inputs_Refineries'!$C$85:$C$164,$C337:$C346,'Key inputs_Refineries'!$B$85:$B$164,"Boiler"))&gt;0,SUMIFS('Key inputs_Refineries'!R$85:R$164,'Key inputs_Refineries'!$C$85:$C$164,$C341,'Key inputs_Refineries'!$B$85:$B$164,"Boiler")/SUM(SUMIFS('Key inputs_Refineries'!R$85:R$164,'Key inputs_Refineries'!$C$85:$C$164,$C337:$C346,'Key inputs_Refineries'!$B$85:$B$164,"Boiler"))&lt;0.001),0.001,SUMIFS('Key inputs_Refineries'!R$85:R$164,'Key inputs_Refineries'!$C$85:$C$164,$C341,'Key inputs_Refineries'!$B$85:$B$164,"Boiler")/SUM(SUMIFS('Key inputs_Refineries'!R$85:R$164,'Key inputs_Refineries'!$C$85:$C$164,$C337:$C346,'Key inputs_Refineries'!$B$85:$B$164,"Boiler"))),0)</f>
        <v>0.1905876476082399</v>
      </c>
      <c r="Y341" s="173" cm="1">
        <f t="array" ref="Y341">IFERROR(IF(AND(SUMIFS('Key inputs_Refineries'!S$85:S$164,'Key inputs_Refineries'!$C$85:$C$164,$C341,'Key inputs_Refineries'!$B$85:$B$164,"Boiler")/SUM(SUMIFS('Key inputs_Refineries'!S$85:S$164,'Key inputs_Refineries'!$C$85:$C$164,$C337:$C346,'Key inputs_Refineries'!$B$85:$B$164,"Boiler"))&gt;0,SUMIFS('Key inputs_Refineries'!S$85:S$164,'Key inputs_Refineries'!$C$85:$C$164,$C341,'Key inputs_Refineries'!$B$85:$B$164,"Boiler")/SUM(SUMIFS('Key inputs_Refineries'!S$85:S$164,'Key inputs_Refineries'!$C$85:$C$164,$C337:$C346,'Key inputs_Refineries'!$B$85:$B$164,"Boiler"))&lt;0.001),0.001,SUMIFS('Key inputs_Refineries'!S$85:S$164,'Key inputs_Refineries'!$C$85:$C$164,$C341,'Key inputs_Refineries'!$B$85:$B$164,"Boiler")/SUM(SUMIFS('Key inputs_Refineries'!S$85:S$164,'Key inputs_Refineries'!$C$85:$C$164,$C337:$C346,'Key inputs_Refineries'!$B$85:$B$164,"Boiler"))),0)</f>
        <v>0.42885543845730389</v>
      </c>
      <c r="Z341" s="173" cm="1">
        <f t="array" ref="Z341">IFERROR(IF(AND(SUMIFS('Key inputs_Refineries'!T$85:T$164,'Key inputs_Refineries'!$C$85:$C$164,$C341,'Key inputs_Refineries'!$B$85:$B$164,"Boiler")/SUM(SUMIFS('Key inputs_Refineries'!T$85:T$164,'Key inputs_Refineries'!$C$85:$C$164,$C337:$C346,'Key inputs_Refineries'!$B$85:$B$164,"Boiler"))&gt;0,SUMIFS('Key inputs_Refineries'!T$85:T$164,'Key inputs_Refineries'!$C$85:$C$164,$C341,'Key inputs_Refineries'!$B$85:$B$164,"Boiler")/SUM(SUMIFS('Key inputs_Refineries'!T$85:T$164,'Key inputs_Refineries'!$C$85:$C$164,$C337:$C346,'Key inputs_Refineries'!$B$85:$B$164,"Boiler"))&lt;0.001),0.001,SUMIFS('Key inputs_Refineries'!T$85:T$164,'Key inputs_Refineries'!$C$85:$C$164,$C341,'Key inputs_Refineries'!$B$85:$B$164,"Boiler")/SUM(SUMIFS('Key inputs_Refineries'!T$85:T$164,'Key inputs_Refineries'!$C$85:$C$164,$C337:$C346,'Key inputs_Refineries'!$B$85:$B$164,"Boiler"))),0)</f>
        <v>0.25806013116659293</v>
      </c>
      <c r="AA341" s="173" cm="1">
        <f t="array" ref="AA341">IFERROR(IF(AND(SUMIFS('Key inputs_Refineries'!U$85:U$164,'Key inputs_Refineries'!$C$85:$C$164,$C341,'Key inputs_Refineries'!$B$85:$B$164,"Boiler")/SUM(SUMIFS('Key inputs_Refineries'!U$85:U$164,'Key inputs_Refineries'!$C$85:$C$164,$C337:$C346,'Key inputs_Refineries'!$B$85:$B$164,"Boiler"))&gt;0,SUMIFS('Key inputs_Refineries'!U$85:U$164,'Key inputs_Refineries'!$C$85:$C$164,$C341,'Key inputs_Refineries'!$B$85:$B$164,"Boiler")/SUM(SUMIFS('Key inputs_Refineries'!U$85:U$164,'Key inputs_Refineries'!$C$85:$C$164,$C337:$C346,'Key inputs_Refineries'!$B$85:$B$164,"Boiler"))&lt;0.001),0.001,SUMIFS('Key inputs_Refineries'!U$85:U$164,'Key inputs_Refineries'!$C$85:$C$164,$C341,'Key inputs_Refineries'!$B$85:$B$164,"Boiler")/SUM(SUMIFS('Key inputs_Refineries'!U$85:U$164,'Key inputs_Refineries'!$C$85:$C$164,$C337:$C346,'Key inputs_Refineries'!$B$85:$B$164,"Boiler"))),0)</f>
        <v>0.39154120435237949</v>
      </c>
      <c r="AB341" s="173" cm="1">
        <f t="array" ref="AB341">IFERROR(IF(AND(SUMIFS('Key inputs_Refineries'!V$85:V$164,'Key inputs_Refineries'!$C$85:$C$164,$C341,'Key inputs_Refineries'!$B$85:$B$164,"Boiler")/SUM(SUMIFS('Key inputs_Refineries'!V$85:V$164,'Key inputs_Refineries'!$C$85:$C$164,$C337:$C346,'Key inputs_Refineries'!$B$85:$B$164,"Boiler"))&gt;0,SUMIFS('Key inputs_Refineries'!V$85:V$164,'Key inputs_Refineries'!$C$85:$C$164,$C341,'Key inputs_Refineries'!$B$85:$B$164,"Boiler")/SUM(SUMIFS('Key inputs_Refineries'!V$85:V$164,'Key inputs_Refineries'!$C$85:$C$164,$C337:$C346,'Key inputs_Refineries'!$B$85:$B$164,"Boiler"))&lt;0.001),0.001,SUMIFS('Key inputs_Refineries'!V$85:V$164,'Key inputs_Refineries'!$C$85:$C$164,$C341,'Key inputs_Refineries'!$B$85:$B$164,"Boiler")/SUM(SUMIFS('Key inputs_Refineries'!V$85:V$164,'Key inputs_Refineries'!$C$85:$C$164,$C337:$C346,'Key inputs_Refineries'!$B$85:$B$164,"Boiler"))),0)</f>
        <v>0</v>
      </c>
      <c r="AC341" s="173" cm="1">
        <f t="array" ref="AC341">IFERROR(IF(AND(SUMIFS('Key inputs_Refineries'!W$85:W$164,'Key inputs_Refineries'!$C$85:$C$164,$C341,'Key inputs_Refineries'!$B$85:$B$164,"Boiler")/SUM(SUMIFS('Key inputs_Refineries'!W$85:W$164,'Key inputs_Refineries'!$C$85:$C$164,$C337:$C346,'Key inputs_Refineries'!$B$85:$B$164,"Boiler"))&gt;0,SUMIFS('Key inputs_Refineries'!W$85:W$164,'Key inputs_Refineries'!$C$85:$C$164,$C341,'Key inputs_Refineries'!$B$85:$B$164,"Boiler")/SUM(SUMIFS('Key inputs_Refineries'!W$85:W$164,'Key inputs_Refineries'!$C$85:$C$164,$C337:$C346,'Key inputs_Refineries'!$B$85:$B$164,"Boiler"))&lt;0.001),0.001,SUMIFS('Key inputs_Refineries'!W$85:W$164,'Key inputs_Refineries'!$C$85:$C$164,$C341,'Key inputs_Refineries'!$B$85:$B$164,"Boiler")/SUM(SUMIFS('Key inputs_Refineries'!W$85:W$164,'Key inputs_Refineries'!$C$85:$C$164,$C337:$C346,'Key inputs_Refineries'!$B$85:$B$164,"Boiler"))),0)</f>
        <v>0</v>
      </c>
      <c r="AD341" s="173" cm="1">
        <f t="array" ref="AD341">IFERROR(IF(AND(SUMIFS('Key inputs_Refineries'!X$85:X$164,'Key inputs_Refineries'!$C$85:$C$164,$C341,'Key inputs_Refineries'!$B$85:$B$164,"Boiler")/SUM(SUMIFS('Key inputs_Refineries'!X$85:X$164,'Key inputs_Refineries'!$C$85:$C$164,$C337:$C346,'Key inputs_Refineries'!$B$85:$B$164,"Boiler"))&gt;0,SUMIFS('Key inputs_Refineries'!X$85:X$164,'Key inputs_Refineries'!$C$85:$C$164,$C341,'Key inputs_Refineries'!$B$85:$B$164,"Boiler")/SUM(SUMIFS('Key inputs_Refineries'!X$85:X$164,'Key inputs_Refineries'!$C$85:$C$164,$C337:$C346,'Key inputs_Refineries'!$B$85:$B$164,"Boiler"))&lt;0.001),0.001,SUMIFS('Key inputs_Refineries'!X$85:X$164,'Key inputs_Refineries'!$C$85:$C$164,$C341,'Key inputs_Refineries'!$B$85:$B$164,"Boiler")/SUM(SUMIFS('Key inputs_Refineries'!X$85:X$164,'Key inputs_Refineries'!$C$85:$C$164,$C337:$C346,'Key inputs_Refineries'!$B$85:$B$164,"Boiler"))),0)</f>
        <v>0.4756383948623702</v>
      </c>
      <c r="AE341" s="173" cm="1">
        <f t="array" ref="AE341">IFERROR(IF(AND(SUMIFS('Key inputs_Refineries'!Y$85:Y$164,'Key inputs_Refineries'!$C$85:$C$164,$C341,'Key inputs_Refineries'!$B$85:$B$164,"Boiler")/SUM(SUMIFS('Key inputs_Refineries'!Y$85:Y$164,'Key inputs_Refineries'!$C$85:$C$164,$C337:$C346,'Key inputs_Refineries'!$B$85:$B$164,"Boiler"))&gt;0,SUMIFS('Key inputs_Refineries'!Y$85:Y$164,'Key inputs_Refineries'!$C$85:$C$164,$C341,'Key inputs_Refineries'!$B$85:$B$164,"Boiler")/SUM(SUMIFS('Key inputs_Refineries'!Y$85:Y$164,'Key inputs_Refineries'!$C$85:$C$164,$C337:$C346,'Key inputs_Refineries'!$B$85:$B$164,"Boiler"))&lt;0.001),0.001,SUMIFS('Key inputs_Refineries'!Y$85:Y$164,'Key inputs_Refineries'!$C$85:$C$164,$C341,'Key inputs_Refineries'!$B$85:$B$164,"Boiler")/SUM(SUMIFS('Key inputs_Refineries'!Y$85:Y$164,'Key inputs_Refineries'!$C$85:$C$164,$C337:$C346,'Key inputs_Refineries'!$B$85:$B$164,"Boiler"))),0)</f>
        <v>0.73286575508212493</v>
      </c>
      <c r="AF341" s="173" cm="1">
        <f t="array" ref="AF341">IFERROR(IF(AND(SUMIFS('Key inputs_Refineries'!Z$85:Z$164,'Key inputs_Refineries'!$C$85:$C$164,$C341,'Key inputs_Refineries'!$B$85:$B$164,"Boiler")/SUM(SUMIFS('Key inputs_Refineries'!Z$85:Z$164,'Key inputs_Refineries'!$C$85:$C$164,$C337:$C346,'Key inputs_Refineries'!$B$85:$B$164,"Boiler"))&gt;0,SUMIFS('Key inputs_Refineries'!Z$85:Z$164,'Key inputs_Refineries'!$C$85:$C$164,$C341,'Key inputs_Refineries'!$B$85:$B$164,"Boiler")/SUM(SUMIFS('Key inputs_Refineries'!Z$85:Z$164,'Key inputs_Refineries'!$C$85:$C$164,$C337:$C346,'Key inputs_Refineries'!$B$85:$B$164,"Boiler"))&lt;0.001),0.001,SUMIFS('Key inputs_Refineries'!Z$85:Z$164,'Key inputs_Refineries'!$C$85:$C$164,$C341,'Key inputs_Refineries'!$B$85:$B$164,"Boiler")/SUM(SUMIFS('Key inputs_Refineries'!Z$85:Z$164,'Key inputs_Refineries'!$C$85:$C$164,$C337:$C346,'Key inputs_Refineries'!$B$85:$B$164,"Boiler"))),0)</f>
        <v>0.95711367572637651</v>
      </c>
      <c r="AG341" s="173" cm="1">
        <f t="array" ref="AG341">IFERROR(IF(AND(SUMIFS('Key inputs_Refineries'!AA$85:AA$164,'Key inputs_Refineries'!$C$85:$C$164,$C341,'Key inputs_Refineries'!$B$85:$B$164,"Boiler")/SUM(SUMIFS('Key inputs_Refineries'!AA$85:AA$164,'Key inputs_Refineries'!$C$85:$C$164,$C337:$C346,'Key inputs_Refineries'!$B$85:$B$164,"Boiler"))&gt;0,SUMIFS('Key inputs_Refineries'!AA$85:AA$164,'Key inputs_Refineries'!$C$85:$C$164,$C341,'Key inputs_Refineries'!$B$85:$B$164,"Boiler")/SUM(SUMIFS('Key inputs_Refineries'!AA$85:AA$164,'Key inputs_Refineries'!$C$85:$C$164,$C337:$C346,'Key inputs_Refineries'!$B$85:$B$164,"Boiler"))&lt;0.001),0.001,SUMIFS('Key inputs_Refineries'!AA$85:AA$164,'Key inputs_Refineries'!$C$85:$C$164,$C341,'Key inputs_Refineries'!$B$85:$B$164,"Boiler")/SUM(SUMIFS('Key inputs_Refineries'!AA$85:AA$164,'Key inputs_Refineries'!$C$85:$C$164,$C337:$C346,'Key inputs_Refineries'!$B$85:$B$164,"Boiler"))),0)</f>
        <v>0.75702598609266325</v>
      </c>
      <c r="AH341" s="173" cm="1">
        <f t="array" ref="AH341">IFERROR(IF(AND(SUMIFS('Key inputs_Refineries'!AB$85:AB$164,'Key inputs_Refineries'!$C$85:$C$164,$C341,'Key inputs_Refineries'!$B$85:$B$164,"Boiler")/SUM(SUMIFS('Key inputs_Refineries'!AB$85:AB$164,'Key inputs_Refineries'!$C$85:$C$164,$C337:$C346,'Key inputs_Refineries'!$B$85:$B$164,"Boiler"))&gt;0,SUMIFS('Key inputs_Refineries'!AB$85:AB$164,'Key inputs_Refineries'!$C$85:$C$164,$C341,'Key inputs_Refineries'!$B$85:$B$164,"Boiler")/SUM(SUMIFS('Key inputs_Refineries'!AB$85:AB$164,'Key inputs_Refineries'!$C$85:$C$164,$C337:$C346,'Key inputs_Refineries'!$B$85:$B$164,"Boiler"))&lt;0.001),0.001,SUMIFS('Key inputs_Refineries'!AB$85:AB$164,'Key inputs_Refineries'!$C$85:$C$164,$C341,'Key inputs_Refineries'!$B$85:$B$164,"Boiler")/SUM(SUMIFS('Key inputs_Refineries'!AB$85:AB$164,'Key inputs_Refineries'!$C$85:$C$164,$C337:$C346,'Key inputs_Refineries'!$B$85:$B$164,"Boiler"))),0)</f>
        <v>0.90502590262726645</v>
      </c>
      <c r="AI341" s="173" cm="1">
        <f t="array" ref="AI341">IFERROR(IF(AND(SUMIFS('Key inputs_Refineries'!AC$85:AC$164,'Key inputs_Refineries'!$C$85:$C$164,$C341,'Key inputs_Refineries'!$B$85:$B$164,"Boiler")/SUM(SUMIFS('Key inputs_Refineries'!AC$85:AC$164,'Key inputs_Refineries'!$C$85:$C$164,$C337:$C346,'Key inputs_Refineries'!$B$85:$B$164,"Boiler"))&gt;0,SUMIFS('Key inputs_Refineries'!AC$85:AC$164,'Key inputs_Refineries'!$C$85:$C$164,$C341,'Key inputs_Refineries'!$B$85:$B$164,"Boiler")/SUM(SUMIFS('Key inputs_Refineries'!AC$85:AC$164,'Key inputs_Refineries'!$C$85:$C$164,$C337:$C346,'Key inputs_Refineries'!$B$85:$B$164,"Boiler"))&lt;0.001),0.001,SUMIFS('Key inputs_Refineries'!AC$85:AC$164,'Key inputs_Refineries'!$C$85:$C$164,$C341,'Key inputs_Refineries'!$B$85:$B$164,"Boiler")/SUM(SUMIFS('Key inputs_Refineries'!AC$85:AC$164,'Key inputs_Refineries'!$C$85:$C$164,$C337:$C346,'Key inputs_Refineries'!$B$85:$B$164,"Boiler"))),0)</f>
        <v>0.80267724343083791</v>
      </c>
      <c r="AJ341" s="173" cm="1">
        <f t="array" ref="AJ341">IFERROR(IF(AND(SUMIFS('Key inputs_Refineries'!AD$85:AD$164,'Key inputs_Refineries'!$C$85:$C$164,$C341,'Key inputs_Refineries'!$B$85:$B$164,"Boiler")/SUM(SUMIFS('Key inputs_Refineries'!AD$85:AD$164,'Key inputs_Refineries'!$C$85:$C$164,$C337:$C346,'Key inputs_Refineries'!$B$85:$B$164,"Boiler"))&gt;0,SUMIFS('Key inputs_Refineries'!AD$85:AD$164,'Key inputs_Refineries'!$C$85:$C$164,$C341,'Key inputs_Refineries'!$B$85:$B$164,"Boiler")/SUM(SUMIFS('Key inputs_Refineries'!AD$85:AD$164,'Key inputs_Refineries'!$C$85:$C$164,$C337:$C346,'Key inputs_Refineries'!$B$85:$B$164,"Boiler"))&lt;0.001),0.001,SUMIFS('Key inputs_Refineries'!AD$85:AD$164,'Key inputs_Refineries'!$C$85:$C$164,$C341,'Key inputs_Refineries'!$B$85:$B$164,"Boiler")/SUM(SUMIFS('Key inputs_Refineries'!AD$85:AD$164,'Key inputs_Refineries'!$C$85:$C$164,$C337:$C346,'Key inputs_Refineries'!$B$85:$B$164,"Boiler"))),0)</f>
        <v>0</v>
      </c>
      <c r="AK341" s="173" cm="1">
        <f t="array" ref="AK341">IFERROR(IF(AND(SUMIFS('Key inputs_Refineries'!AE$85:AE$164,'Key inputs_Refineries'!$C$85:$C$164,$C341,'Key inputs_Refineries'!$B$85:$B$164,"Boiler")/SUM(SUMIFS('Key inputs_Refineries'!AE$85:AE$164,'Key inputs_Refineries'!$C$85:$C$164,$C337:$C346,'Key inputs_Refineries'!$B$85:$B$164,"Boiler"))&gt;0,SUMIFS('Key inputs_Refineries'!AE$85:AE$164,'Key inputs_Refineries'!$C$85:$C$164,$C341,'Key inputs_Refineries'!$B$85:$B$164,"Boiler")/SUM(SUMIFS('Key inputs_Refineries'!AE$85:AE$164,'Key inputs_Refineries'!$C$85:$C$164,$C337:$C346,'Key inputs_Refineries'!$B$85:$B$164,"Boiler"))&lt;0.001),0.001,SUMIFS('Key inputs_Refineries'!AE$85:AE$164,'Key inputs_Refineries'!$C$85:$C$164,$C341,'Key inputs_Refineries'!$B$85:$B$164,"Boiler")/SUM(SUMIFS('Key inputs_Refineries'!AE$85:AE$164,'Key inputs_Refineries'!$C$85:$C$164,$C337:$C346,'Key inputs_Refineries'!$B$85:$B$164,"Boiler"))),0)</f>
        <v>0.5386618718173517</v>
      </c>
      <c r="AL341" s="173" cm="1">
        <f t="array" ref="AL341">IFERROR(IF(AND(SUMIFS('Key inputs_Refineries'!AF$85:AF$164,'Key inputs_Refineries'!$C$85:$C$164,$C341,'Key inputs_Refineries'!$B$85:$B$164,"Boiler")/SUM(SUMIFS('Key inputs_Refineries'!AF$85:AF$164,'Key inputs_Refineries'!$C$85:$C$164,$C337:$C346,'Key inputs_Refineries'!$B$85:$B$164,"Boiler"))&gt;0,SUMIFS('Key inputs_Refineries'!AF$85:AF$164,'Key inputs_Refineries'!$C$85:$C$164,$C341,'Key inputs_Refineries'!$B$85:$B$164,"Boiler")/SUM(SUMIFS('Key inputs_Refineries'!AF$85:AF$164,'Key inputs_Refineries'!$C$85:$C$164,$C337:$C346,'Key inputs_Refineries'!$B$85:$B$164,"Boiler"))&lt;0.001),0.001,SUMIFS('Key inputs_Refineries'!AF$85:AF$164,'Key inputs_Refineries'!$C$85:$C$164,$C341,'Key inputs_Refineries'!$B$85:$B$164,"Boiler")/SUM(SUMIFS('Key inputs_Refineries'!AF$85:AF$164,'Key inputs_Refineries'!$C$85:$C$164,$C337:$C346,'Key inputs_Refineries'!$B$85:$B$164,"Boiler"))),0)</f>
        <v>1E-3</v>
      </c>
    </row>
    <row r="342" spans="1:38">
      <c r="C342" t="str">
        <f>Commodities!$C$96</f>
        <v>UPSKER</v>
      </c>
      <c r="G342" s="4" t="s">
        <v>702</v>
      </c>
      <c r="H342" t="s">
        <v>661</v>
      </c>
      <c r="I342">
        <v>2019</v>
      </c>
      <c r="J342" t="s">
        <v>650</v>
      </c>
      <c r="K342" s="173" cm="1">
        <f t="array" ref="K342">IFERROR(IF(AND(SUMIFS('Key inputs_Refineries'!E$85:E$164,'Key inputs_Refineries'!$C$85:$C$164,$C342,'Key inputs_Refineries'!$B$85:$B$164,"Boiler")/SUM(SUMIFS('Key inputs_Refineries'!E$85:E$164,'Key inputs_Refineries'!$C$85:$C$164,$C337:$C346,'Key inputs_Refineries'!$B$85:$B$164,"Boiler"))&gt;0,SUMIFS('Key inputs_Refineries'!E$85:E$164,'Key inputs_Refineries'!$C$85:$C$164,$C342,'Key inputs_Refineries'!$B$85:$B$164,"Boiler")/SUM(SUMIFS('Key inputs_Refineries'!E$85:E$164,'Key inputs_Refineries'!$C$85:$C$164,$C337:$C346,'Key inputs_Refineries'!$B$85:$B$164,"Boiler"))&lt;0.001),0.001,SUMIFS('Key inputs_Refineries'!E$85:E$164,'Key inputs_Refineries'!$C$85:$C$164,$C342,'Key inputs_Refineries'!$B$85:$B$164,"Boiler")/SUM(SUMIFS('Key inputs_Refineries'!E$85:E$164,'Key inputs_Refineries'!$C$85:$C$164,$C337:$C346,'Key inputs_Refineries'!$B$85:$B$164,"Boiler"))),0)</f>
        <v>0</v>
      </c>
      <c r="L342" s="173" cm="1">
        <f t="array" ref="L342">IFERROR(IF(AND(SUMIFS('Key inputs_Refineries'!F$85:F$164,'Key inputs_Refineries'!$C$85:$C$164,$C342,'Key inputs_Refineries'!$B$85:$B$164,"Boiler")/SUM(SUMIFS('Key inputs_Refineries'!F$85:F$164,'Key inputs_Refineries'!$C$85:$C$164,$C337:$C346,'Key inputs_Refineries'!$B$85:$B$164,"Boiler"))&gt;0,SUMIFS('Key inputs_Refineries'!F$85:F$164,'Key inputs_Refineries'!$C$85:$C$164,$C342,'Key inputs_Refineries'!$B$85:$B$164,"Boiler")/SUM(SUMIFS('Key inputs_Refineries'!F$85:F$164,'Key inputs_Refineries'!$C$85:$C$164,$C337:$C346,'Key inputs_Refineries'!$B$85:$B$164,"Boiler"))&lt;0.001),0.001,SUMIFS('Key inputs_Refineries'!F$85:F$164,'Key inputs_Refineries'!$C$85:$C$164,$C342,'Key inputs_Refineries'!$B$85:$B$164,"Boiler")/SUM(SUMIFS('Key inputs_Refineries'!F$85:F$164,'Key inputs_Refineries'!$C$85:$C$164,$C337:$C346,'Key inputs_Refineries'!$B$85:$B$164,"Boiler"))),0)</f>
        <v>0</v>
      </c>
      <c r="M342" s="173" cm="1">
        <f t="array" ref="M342">IFERROR(IF(AND(SUMIFS('Key inputs_Refineries'!G$85:G$164,'Key inputs_Refineries'!$C$85:$C$164,$C342,'Key inputs_Refineries'!$B$85:$B$164,"Boiler")/SUM(SUMIFS('Key inputs_Refineries'!G$85:G$164,'Key inputs_Refineries'!$C$85:$C$164,$C337:$C346,'Key inputs_Refineries'!$B$85:$B$164,"Boiler"))&gt;0,SUMIFS('Key inputs_Refineries'!G$85:G$164,'Key inputs_Refineries'!$C$85:$C$164,$C342,'Key inputs_Refineries'!$B$85:$B$164,"Boiler")/SUM(SUMIFS('Key inputs_Refineries'!G$85:G$164,'Key inputs_Refineries'!$C$85:$C$164,$C337:$C346,'Key inputs_Refineries'!$B$85:$B$164,"Boiler"))&lt;0.001),0.001,SUMIFS('Key inputs_Refineries'!G$85:G$164,'Key inputs_Refineries'!$C$85:$C$164,$C342,'Key inputs_Refineries'!$B$85:$B$164,"Boiler")/SUM(SUMIFS('Key inputs_Refineries'!G$85:G$164,'Key inputs_Refineries'!$C$85:$C$164,$C337:$C346,'Key inputs_Refineries'!$B$85:$B$164,"Boiler"))),0)</f>
        <v>0</v>
      </c>
      <c r="N342" s="173" cm="1">
        <f t="array" ref="N342">IFERROR(IF(AND(SUMIFS('Key inputs_Refineries'!H$85:H$164,'Key inputs_Refineries'!$C$85:$C$164,$C342,'Key inputs_Refineries'!$B$85:$B$164,"Boiler")/SUM(SUMIFS('Key inputs_Refineries'!H$85:H$164,'Key inputs_Refineries'!$C$85:$C$164,$C337:$C346,'Key inputs_Refineries'!$B$85:$B$164,"Boiler"))&gt;0,SUMIFS('Key inputs_Refineries'!H$85:H$164,'Key inputs_Refineries'!$C$85:$C$164,$C342,'Key inputs_Refineries'!$B$85:$B$164,"Boiler")/SUM(SUMIFS('Key inputs_Refineries'!H$85:H$164,'Key inputs_Refineries'!$C$85:$C$164,$C337:$C346,'Key inputs_Refineries'!$B$85:$B$164,"Boiler"))&lt;0.001),0.001,SUMIFS('Key inputs_Refineries'!H$85:H$164,'Key inputs_Refineries'!$C$85:$C$164,$C342,'Key inputs_Refineries'!$B$85:$B$164,"Boiler")/SUM(SUMIFS('Key inputs_Refineries'!H$85:H$164,'Key inputs_Refineries'!$C$85:$C$164,$C337:$C346,'Key inputs_Refineries'!$B$85:$B$164,"Boiler"))),0)</f>
        <v>0</v>
      </c>
      <c r="O342" s="173" cm="1">
        <f t="array" ref="O342">IFERROR(IF(AND(SUMIFS('Key inputs_Refineries'!I$85:I$164,'Key inputs_Refineries'!$C$85:$C$164,$C342,'Key inputs_Refineries'!$B$85:$B$164,"Boiler")/SUM(SUMIFS('Key inputs_Refineries'!I$85:I$164,'Key inputs_Refineries'!$C$85:$C$164,$C337:$C346,'Key inputs_Refineries'!$B$85:$B$164,"Boiler"))&gt;0,SUMIFS('Key inputs_Refineries'!I$85:I$164,'Key inputs_Refineries'!$C$85:$C$164,$C342,'Key inputs_Refineries'!$B$85:$B$164,"Boiler")/SUM(SUMIFS('Key inputs_Refineries'!I$85:I$164,'Key inputs_Refineries'!$C$85:$C$164,$C337:$C346,'Key inputs_Refineries'!$B$85:$B$164,"Boiler"))&lt;0.001),0.001,SUMIFS('Key inputs_Refineries'!I$85:I$164,'Key inputs_Refineries'!$C$85:$C$164,$C342,'Key inputs_Refineries'!$B$85:$B$164,"Boiler")/SUM(SUMIFS('Key inputs_Refineries'!I$85:I$164,'Key inputs_Refineries'!$C$85:$C$164,$C337:$C346,'Key inputs_Refineries'!$B$85:$B$164,"Boiler"))),0)</f>
        <v>0</v>
      </c>
      <c r="P342" s="173" cm="1">
        <f t="array" ref="P342">IFERROR(IF(AND(SUMIFS('Key inputs_Refineries'!J$85:J$164,'Key inputs_Refineries'!$C$85:$C$164,$C342,'Key inputs_Refineries'!$B$85:$B$164,"Boiler")/SUM(SUMIFS('Key inputs_Refineries'!J$85:J$164,'Key inputs_Refineries'!$C$85:$C$164,$C337:$C346,'Key inputs_Refineries'!$B$85:$B$164,"Boiler"))&gt;0,SUMIFS('Key inputs_Refineries'!J$85:J$164,'Key inputs_Refineries'!$C$85:$C$164,$C342,'Key inputs_Refineries'!$B$85:$B$164,"Boiler")/SUM(SUMIFS('Key inputs_Refineries'!J$85:J$164,'Key inputs_Refineries'!$C$85:$C$164,$C337:$C346,'Key inputs_Refineries'!$B$85:$B$164,"Boiler"))&lt;0.001),0.001,SUMIFS('Key inputs_Refineries'!J$85:J$164,'Key inputs_Refineries'!$C$85:$C$164,$C342,'Key inputs_Refineries'!$B$85:$B$164,"Boiler")/SUM(SUMIFS('Key inputs_Refineries'!J$85:J$164,'Key inputs_Refineries'!$C$85:$C$164,$C337:$C346,'Key inputs_Refineries'!$B$85:$B$164,"Boiler"))),0)</f>
        <v>0</v>
      </c>
      <c r="Q342" s="173" cm="1">
        <f t="array" ref="Q342">IFERROR(IF(AND(SUMIFS('Key inputs_Refineries'!K$85:K$164,'Key inputs_Refineries'!$C$85:$C$164,$C342,'Key inputs_Refineries'!$B$85:$B$164,"Boiler")/SUM(SUMIFS('Key inputs_Refineries'!K$85:K$164,'Key inputs_Refineries'!$C$85:$C$164,$C337:$C346,'Key inputs_Refineries'!$B$85:$B$164,"Boiler"))&gt;0,SUMIFS('Key inputs_Refineries'!K$85:K$164,'Key inputs_Refineries'!$C$85:$C$164,$C342,'Key inputs_Refineries'!$B$85:$B$164,"Boiler")/SUM(SUMIFS('Key inputs_Refineries'!K$85:K$164,'Key inputs_Refineries'!$C$85:$C$164,$C337:$C346,'Key inputs_Refineries'!$B$85:$B$164,"Boiler"))&lt;0.001),0.001,SUMIFS('Key inputs_Refineries'!K$85:K$164,'Key inputs_Refineries'!$C$85:$C$164,$C342,'Key inputs_Refineries'!$B$85:$B$164,"Boiler")/SUM(SUMIFS('Key inputs_Refineries'!K$85:K$164,'Key inputs_Refineries'!$C$85:$C$164,$C337:$C346,'Key inputs_Refineries'!$B$85:$B$164,"Boiler"))),0)</f>
        <v>0</v>
      </c>
      <c r="R342" s="173" cm="1">
        <f t="array" ref="R342">IFERROR(IF(AND(SUMIFS('Key inputs_Refineries'!L$85:L$164,'Key inputs_Refineries'!$C$85:$C$164,$C342,'Key inputs_Refineries'!$B$85:$B$164,"Boiler")/SUM(SUMIFS('Key inputs_Refineries'!L$85:L$164,'Key inputs_Refineries'!$C$85:$C$164,$C337:$C346,'Key inputs_Refineries'!$B$85:$B$164,"Boiler"))&gt;0,SUMIFS('Key inputs_Refineries'!L$85:L$164,'Key inputs_Refineries'!$C$85:$C$164,$C342,'Key inputs_Refineries'!$B$85:$B$164,"Boiler")/SUM(SUMIFS('Key inputs_Refineries'!L$85:L$164,'Key inputs_Refineries'!$C$85:$C$164,$C337:$C346,'Key inputs_Refineries'!$B$85:$B$164,"Boiler"))&lt;0.001),0.001,SUMIFS('Key inputs_Refineries'!L$85:L$164,'Key inputs_Refineries'!$C$85:$C$164,$C342,'Key inputs_Refineries'!$B$85:$B$164,"Boiler")/SUM(SUMIFS('Key inputs_Refineries'!L$85:L$164,'Key inputs_Refineries'!$C$85:$C$164,$C337:$C346,'Key inputs_Refineries'!$B$85:$B$164,"Boiler"))),0)</f>
        <v>0</v>
      </c>
      <c r="S342" s="173" cm="1">
        <f t="array" ref="S342">IFERROR(IF(AND(SUMIFS('Key inputs_Refineries'!M$85:M$164,'Key inputs_Refineries'!$C$85:$C$164,$C342,'Key inputs_Refineries'!$B$85:$B$164,"Boiler")/SUM(SUMIFS('Key inputs_Refineries'!M$85:M$164,'Key inputs_Refineries'!$C$85:$C$164,$C337:$C346,'Key inputs_Refineries'!$B$85:$B$164,"Boiler"))&gt;0,SUMIFS('Key inputs_Refineries'!M$85:M$164,'Key inputs_Refineries'!$C$85:$C$164,$C342,'Key inputs_Refineries'!$B$85:$B$164,"Boiler")/SUM(SUMIFS('Key inputs_Refineries'!M$85:M$164,'Key inputs_Refineries'!$C$85:$C$164,$C337:$C346,'Key inputs_Refineries'!$B$85:$B$164,"Boiler"))&lt;0.001),0.001,SUMIFS('Key inputs_Refineries'!M$85:M$164,'Key inputs_Refineries'!$C$85:$C$164,$C342,'Key inputs_Refineries'!$B$85:$B$164,"Boiler")/SUM(SUMIFS('Key inputs_Refineries'!M$85:M$164,'Key inputs_Refineries'!$C$85:$C$164,$C337:$C346,'Key inputs_Refineries'!$B$85:$B$164,"Boiler"))),0)</f>
        <v>0</v>
      </c>
      <c r="T342" s="173" cm="1">
        <f t="array" ref="T342">IFERROR(IF(AND(SUMIFS('Key inputs_Refineries'!N$85:N$164,'Key inputs_Refineries'!$C$85:$C$164,$C342,'Key inputs_Refineries'!$B$85:$B$164,"Boiler")/SUM(SUMIFS('Key inputs_Refineries'!N$85:N$164,'Key inputs_Refineries'!$C$85:$C$164,$C337:$C346,'Key inputs_Refineries'!$B$85:$B$164,"Boiler"))&gt;0,SUMIFS('Key inputs_Refineries'!N$85:N$164,'Key inputs_Refineries'!$C$85:$C$164,$C342,'Key inputs_Refineries'!$B$85:$B$164,"Boiler")/SUM(SUMIFS('Key inputs_Refineries'!N$85:N$164,'Key inputs_Refineries'!$C$85:$C$164,$C337:$C346,'Key inputs_Refineries'!$B$85:$B$164,"Boiler"))&lt;0.001),0.001,SUMIFS('Key inputs_Refineries'!N$85:N$164,'Key inputs_Refineries'!$C$85:$C$164,$C342,'Key inputs_Refineries'!$B$85:$B$164,"Boiler")/SUM(SUMIFS('Key inputs_Refineries'!N$85:N$164,'Key inputs_Refineries'!$C$85:$C$164,$C337:$C346,'Key inputs_Refineries'!$B$85:$B$164,"Boiler"))),0)</f>
        <v>0</v>
      </c>
      <c r="U342" s="173" cm="1">
        <f t="array" ref="U342">IFERROR(IF(AND(SUMIFS('Key inputs_Refineries'!O$85:O$164,'Key inputs_Refineries'!$C$85:$C$164,$C342,'Key inputs_Refineries'!$B$85:$B$164,"Boiler")/SUM(SUMIFS('Key inputs_Refineries'!O$85:O$164,'Key inputs_Refineries'!$C$85:$C$164,$C337:$C346,'Key inputs_Refineries'!$B$85:$B$164,"Boiler"))&gt;0,SUMIFS('Key inputs_Refineries'!O$85:O$164,'Key inputs_Refineries'!$C$85:$C$164,$C342,'Key inputs_Refineries'!$B$85:$B$164,"Boiler")/SUM(SUMIFS('Key inputs_Refineries'!O$85:O$164,'Key inputs_Refineries'!$C$85:$C$164,$C337:$C346,'Key inputs_Refineries'!$B$85:$B$164,"Boiler"))&lt;0.001),0.001,SUMIFS('Key inputs_Refineries'!O$85:O$164,'Key inputs_Refineries'!$C$85:$C$164,$C342,'Key inputs_Refineries'!$B$85:$B$164,"Boiler")/SUM(SUMIFS('Key inputs_Refineries'!O$85:O$164,'Key inputs_Refineries'!$C$85:$C$164,$C337:$C346,'Key inputs_Refineries'!$B$85:$B$164,"Boiler"))),0)</f>
        <v>0</v>
      </c>
      <c r="V342" s="173" cm="1">
        <f t="array" ref="V342">IFERROR(IF(AND(SUMIFS('Key inputs_Refineries'!P$85:P$164,'Key inputs_Refineries'!$C$85:$C$164,$C342,'Key inputs_Refineries'!$B$85:$B$164,"Boiler")/SUM(SUMIFS('Key inputs_Refineries'!P$85:P$164,'Key inputs_Refineries'!$C$85:$C$164,$C337:$C346,'Key inputs_Refineries'!$B$85:$B$164,"Boiler"))&gt;0,SUMIFS('Key inputs_Refineries'!P$85:P$164,'Key inputs_Refineries'!$C$85:$C$164,$C342,'Key inputs_Refineries'!$B$85:$B$164,"Boiler")/SUM(SUMIFS('Key inputs_Refineries'!P$85:P$164,'Key inputs_Refineries'!$C$85:$C$164,$C337:$C346,'Key inputs_Refineries'!$B$85:$B$164,"Boiler"))&lt;0.001),0.001,SUMIFS('Key inputs_Refineries'!P$85:P$164,'Key inputs_Refineries'!$C$85:$C$164,$C342,'Key inputs_Refineries'!$B$85:$B$164,"Boiler")/SUM(SUMIFS('Key inputs_Refineries'!P$85:P$164,'Key inputs_Refineries'!$C$85:$C$164,$C337:$C346,'Key inputs_Refineries'!$B$85:$B$164,"Boiler"))),0)</f>
        <v>1E-3</v>
      </c>
      <c r="W342" s="173" cm="1">
        <f t="array" ref="W342">IFERROR(IF(AND(SUMIFS('Key inputs_Refineries'!Q$85:Q$164,'Key inputs_Refineries'!$C$85:$C$164,$C342,'Key inputs_Refineries'!$B$85:$B$164,"Boiler")/SUM(SUMIFS('Key inputs_Refineries'!Q$85:Q$164,'Key inputs_Refineries'!$C$85:$C$164,$C337:$C346,'Key inputs_Refineries'!$B$85:$B$164,"Boiler"))&gt;0,SUMIFS('Key inputs_Refineries'!Q$85:Q$164,'Key inputs_Refineries'!$C$85:$C$164,$C342,'Key inputs_Refineries'!$B$85:$B$164,"Boiler")/SUM(SUMIFS('Key inputs_Refineries'!Q$85:Q$164,'Key inputs_Refineries'!$C$85:$C$164,$C337:$C346,'Key inputs_Refineries'!$B$85:$B$164,"Boiler"))&lt;0.001),0.001,SUMIFS('Key inputs_Refineries'!Q$85:Q$164,'Key inputs_Refineries'!$C$85:$C$164,$C342,'Key inputs_Refineries'!$B$85:$B$164,"Boiler")/SUM(SUMIFS('Key inputs_Refineries'!Q$85:Q$164,'Key inputs_Refineries'!$C$85:$C$164,$C337:$C346,'Key inputs_Refineries'!$B$85:$B$164,"Boiler"))),0)</f>
        <v>0</v>
      </c>
      <c r="X342" s="173" cm="1">
        <f t="array" ref="X342">IFERROR(IF(AND(SUMIFS('Key inputs_Refineries'!R$85:R$164,'Key inputs_Refineries'!$C$85:$C$164,$C342,'Key inputs_Refineries'!$B$85:$B$164,"Boiler")/SUM(SUMIFS('Key inputs_Refineries'!R$85:R$164,'Key inputs_Refineries'!$C$85:$C$164,$C337:$C346,'Key inputs_Refineries'!$B$85:$B$164,"Boiler"))&gt;0,SUMIFS('Key inputs_Refineries'!R$85:R$164,'Key inputs_Refineries'!$C$85:$C$164,$C342,'Key inputs_Refineries'!$B$85:$B$164,"Boiler")/SUM(SUMIFS('Key inputs_Refineries'!R$85:R$164,'Key inputs_Refineries'!$C$85:$C$164,$C337:$C346,'Key inputs_Refineries'!$B$85:$B$164,"Boiler"))&lt;0.001),0.001,SUMIFS('Key inputs_Refineries'!R$85:R$164,'Key inputs_Refineries'!$C$85:$C$164,$C342,'Key inputs_Refineries'!$B$85:$B$164,"Boiler")/SUM(SUMIFS('Key inputs_Refineries'!R$85:R$164,'Key inputs_Refineries'!$C$85:$C$164,$C337:$C346,'Key inputs_Refineries'!$B$85:$B$164,"Boiler"))),0)</f>
        <v>0</v>
      </c>
      <c r="Y342" s="173" cm="1">
        <f t="array" ref="Y342">IFERROR(IF(AND(SUMIFS('Key inputs_Refineries'!S$85:S$164,'Key inputs_Refineries'!$C$85:$C$164,$C342,'Key inputs_Refineries'!$B$85:$B$164,"Boiler")/SUM(SUMIFS('Key inputs_Refineries'!S$85:S$164,'Key inputs_Refineries'!$C$85:$C$164,$C337:$C346,'Key inputs_Refineries'!$B$85:$B$164,"Boiler"))&gt;0,SUMIFS('Key inputs_Refineries'!S$85:S$164,'Key inputs_Refineries'!$C$85:$C$164,$C342,'Key inputs_Refineries'!$B$85:$B$164,"Boiler")/SUM(SUMIFS('Key inputs_Refineries'!S$85:S$164,'Key inputs_Refineries'!$C$85:$C$164,$C337:$C346,'Key inputs_Refineries'!$B$85:$B$164,"Boiler"))&lt;0.001),0.001,SUMIFS('Key inputs_Refineries'!S$85:S$164,'Key inputs_Refineries'!$C$85:$C$164,$C342,'Key inputs_Refineries'!$B$85:$B$164,"Boiler")/SUM(SUMIFS('Key inputs_Refineries'!S$85:S$164,'Key inputs_Refineries'!$C$85:$C$164,$C337:$C346,'Key inputs_Refineries'!$B$85:$B$164,"Boiler"))),0)</f>
        <v>0</v>
      </c>
      <c r="Z342" s="173" cm="1">
        <f t="array" ref="Z342">IFERROR(IF(AND(SUMIFS('Key inputs_Refineries'!T$85:T$164,'Key inputs_Refineries'!$C$85:$C$164,$C342,'Key inputs_Refineries'!$B$85:$B$164,"Boiler")/SUM(SUMIFS('Key inputs_Refineries'!T$85:T$164,'Key inputs_Refineries'!$C$85:$C$164,$C337:$C346,'Key inputs_Refineries'!$B$85:$B$164,"Boiler"))&gt;0,SUMIFS('Key inputs_Refineries'!T$85:T$164,'Key inputs_Refineries'!$C$85:$C$164,$C342,'Key inputs_Refineries'!$B$85:$B$164,"Boiler")/SUM(SUMIFS('Key inputs_Refineries'!T$85:T$164,'Key inputs_Refineries'!$C$85:$C$164,$C337:$C346,'Key inputs_Refineries'!$B$85:$B$164,"Boiler"))&lt;0.001),0.001,SUMIFS('Key inputs_Refineries'!T$85:T$164,'Key inputs_Refineries'!$C$85:$C$164,$C342,'Key inputs_Refineries'!$B$85:$B$164,"Boiler")/SUM(SUMIFS('Key inputs_Refineries'!T$85:T$164,'Key inputs_Refineries'!$C$85:$C$164,$C337:$C346,'Key inputs_Refineries'!$B$85:$B$164,"Boiler"))),0)</f>
        <v>0</v>
      </c>
      <c r="AA342" s="173" cm="1">
        <f t="array" ref="AA342">IFERROR(IF(AND(SUMIFS('Key inputs_Refineries'!U$85:U$164,'Key inputs_Refineries'!$C$85:$C$164,$C342,'Key inputs_Refineries'!$B$85:$B$164,"Boiler")/SUM(SUMIFS('Key inputs_Refineries'!U$85:U$164,'Key inputs_Refineries'!$C$85:$C$164,$C337:$C346,'Key inputs_Refineries'!$B$85:$B$164,"Boiler"))&gt;0,SUMIFS('Key inputs_Refineries'!U$85:U$164,'Key inputs_Refineries'!$C$85:$C$164,$C342,'Key inputs_Refineries'!$B$85:$B$164,"Boiler")/SUM(SUMIFS('Key inputs_Refineries'!U$85:U$164,'Key inputs_Refineries'!$C$85:$C$164,$C337:$C346,'Key inputs_Refineries'!$B$85:$B$164,"Boiler"))&lt;0.001),0.001,SUMIFS('Key inputs_Refineries'!U$85:U$164,'Key inputs_Refineries'!$C$85:$C$164,$C342,'Key inputs_Refineries'!$B$85:$B$164,"Boiler")/SUM(SUMIFS('Key inputs_Refineries'!U$85:U$164,'Key inputs_Refineries'!$C$85:$C$164,$C337:$C346,'Key inputs_Refineries'!$B$85:$B$164,"Boiler"))),0)</f>
        <v>0</v>
      </c>
      <c r="AB342" s="173" cm="1">
        <f t="array" ref="AB342">IFERROR(IF(AND(SUMIFS('Key inputs_Refineries'!V$85:V$164,'Key inputs_Refineries'!$C$85:$C$164,$C342,'Key inputs_Refineries'!$B$85:$B$164,"Boiler")/SUM(SUMIFS('Key inputs_Refineries'!V$85:V$164,'Key inputs_Refineries'!$C$85:$C$164,$C337:$C346,'Key inputs_Refineries'!$B$85:$B$164,"Boiler"))&gt;0,SUMIFS('Key inputs_Refineries'!V$85:V$164,'Key inputs_Refineries'!$C$85:$C$164,$C342,'Key inputs_Refineries'!$B$85:$B$164,"Boiler")/SUM(SUMIFS('Key inputs_Refineries'!V$85:V$164,'Key inputs_Refineries'!$C$85:$C$164,$C337:$C346,'Key inputs_Refineries'!$B$85:$B$164,"Boiler"))&lt;0.001),0.001,SUMIFS('Key inputs_Refineries'!V$85:V$164,'Key inputs_Refineries'!$C$85:$C$164,$C342,'Key inputs_Refineries'!$B$85:$B$164,"Boiler")/SUM(SUMIFS('Key inputs_Refineries'!V$85:V$164,'Key inputs_Refineries'!$C$85:$C$164,$C337:$C346,'Key inputs_Refineries'!$B$85:$B$164,"Boiler"))),0)</f>
        <v>0</v>
      </c>
      <c r="AC342" s="173" cm="1">
        <f t="array" ref="AC342">IFERROR(IF(AND(SUMIFS('Key inputs_Refineries'!W$85:W$164,'Key inputs_Refineries'!$C$85:$C$164,$C342,'Key inputs_Refineries'!$B$85:$B$164,"Boiler")/SUM(SUMIFS('Key inputs_Refineries'!W$85:W$164,'Key inputs_Refineries'!$C$85:$C$164,$C337:$C346,'Key inputs_Refineries'!$B$85:$B$164,"Boiler"))&gt;0,SUMIFS('Key inputs_Refineries'!W$85:W$164,'Key inputs_Refineries'!$C$85:$C$164,$C342,'Key inputs_Refineries'!$B$85:$B$164,"Boiler")/SUM(SUMIFS('Key inputs_Refineries'!W$85:W$164,'Key inputs_Refineries'!$C$85:$C$164,$C337:$C346,'Key inputs_Refineries'!$B$85:$B$164,"Boiler"))&lt;0.001),0.001,SUMIFS('Key inputs_Refineries'!W$85:W$164,'Key inputs_Refineries'!$C$85:$C$164,$C342,'Key inputs_Refineries'!$B$85:$B$164,"Boiler")/SUM(SUMIFS('Key inputs_Refineries'!W$85:W$164,'Key inputs_Refineries'!$C$85:$C$164,$C337:$C346,'Key inputs_Refineries'!$B$85:$B$164,"Boiler"))),0)</f>
        <v>0</v>
      </c>
      <c r="AD342" s="173" cm="1">
        <f t="array" ref="AD342">IFERROR(IF(AND(SUMIFS('Key inputs_Refineries'!X$85:X$164,'Key inputs_Refineries'!$C$85:$C$164,$C342,'Key inputs_Refineries'!$B$85:$B$164,"Boiler")/SUM(SUMIFS('Key inputs_Refineries'!X$85:X$164,'Key inputs_Refineries'!$C$85:$C$164,$C337:$C346,'Key inputs_Refineries'!$B$85:$B$164,"Boiler"))&gt;0,SUMIFS('Key inputs_Refineries'!X$85:X$164,'Key inputs_Refineries'!$C$85:$C$164,$C342,'Key inputs_Refineries'!$B$85:$B$164,"Boiler")/SUM(SUMIFS('Key inputs_Refineries'!X$85:X$164,'Key inputs_Refineries'!$C$85:$C$164,$C337:$C346,'Key inputs_Refineries'!$B$85:$B$164,"Boiler"))&lt;0.001),0.001,SUMIFS('Key inputs_Refineries'!X$85:X$164,'Key inputs_Refineries'!$C$85:$C$164,$C342,'Key inputs_Refineries'!$B$85:$B$164,"Boiler")/SUM(SUMIFS('Key inputs_Refineries'!X$85:X$164,'Key inputs_Refineries'!$C$85:$C$164,$C337:$C346,'Key inputs_Refineries'!$B$85:$B$164,"Boiler"))),0)</f>
        <v>1.164397526383067E-2</v>
      </c>
      <c r="AE342" s="173" cm="1">
        <f t="array" ref="AE342">IFERROR(IF(AND(SUMIFS('Key inputs_Refineries'!Y$85:Y$164,'Key inputs_Refineries'!$C$85:$C$164,$C342,'Key inputs_Refineries'!$B$85:$B$164,"Boiler")/SUM(SUMIFS('Key inputs_Refineries'!Y$85:Y$164,'Key inputs_Refineries'!$C$85:$C$164,$C337:$C346,'Key inputs_Refineries'!$B$85:$B$164,"Boiler"))&gt;0,SUMIFS('Key inputs_Refineries'!Y$85:Y$164,'Key inputs_Refineries'!$C$85:$C$164,$C342,'Key inputs_Refineries'!$B$85:$B$164,"Boiler")/SUM(SUMIFS('Key inputs_Refineries'!Y$85:Y$164,'Key inputs_Refineries'!$C$85:$C$164,$C337:$C346,'Key inputs_Refineries'!$B$85:$B$164,"Boiler"))&lt;0.001),0.001,SUMIFS('Key inputs_Refineries'!Y$85:Y$164,'Key inputs_Refineries'!$C$85:$C$164,$C342,'Key inputs_Refineries'!$B$85:$B$164,"Boiler")/SUM(SUMIFS('Key inputs_Refineries'!Y$85:Y$164,'Key inputs_Refineries'!$C$85:$C$164,$C337:$C346,'Key inputs_Refineries'!$B$85:$B$164,"Boiler"))),0)</f>
        <v>2.1601592972530496E-2</v>
      </c>
      <c r="AF342" s="173" cm="1">
        <f t="array" ref="AF342">IFERROR(IF(AND(SUMIFS('Key inputs_Refineries'!Z$85:Z$164,'Key inputs_Refineries'!$C$85:$C$164,$C342,'Key inputs_Refineries'!$B$85:$B$164,"Boiler")/SUM(SUMIFS('Key inputs_Refineries'!Z$85:Z$164,'Key inputs_Refineries'!$C$85:$C$164,$C337:$C346,'Key inputs_Refineries'!$B$85:$B$164,"Boiler"))&gt;0,SUMIFS('Key inputs_Refineries'!Z$85:Z$164,'Key inputs_Refineries'!$C$85:$C$164,$C342,'Key inputs_Refineries'!$B$85:$B$164,"Boiler")/SUM(SUMIFS('Key inputs_Refineries'!Z$85:Z$164,'Key inputs_Refineries'!$C$85:$C$164,$C337:$C346,'Key inputs_Refineries'!$B$85:$B$164,"Boiler"))&lt;0.001),0.001,SUMIFS('Key inputs_Refineries'!Z$85:Z$164,'Key inputs_Refineries'!$C$85:$C$164,$C342,'Key inputs_Refineries'!$B$85:$B$164,"Boiler")/SUM(SUMIFS('Key inputs_Refineries'!Z$85:Z$164,'Key inputs_Refineries'!$C$85:$C$164,$C337:$C346,'Key inputs_Refineries'!$B$85:$B$164,"Boiler"))),0)</f>
        <v>0</v>
      </c>
      <c r="AG342" s="173" cm="1">
        <f t="array" ref="AG342">IFERROR(IF(AND(SUMIFS('Key inputs_Refineries'!AA$85:AA$164,'Key inputs_Refineries'!$C$85:$C$164,$C342,'Key inputs_Refineries'!$B$85:$B$164,"Boiler")/SUM(SUMIFS('Key inputs_Refineries'!AA$85:AA$164,'Key inputs_Refineries'!$C$85:$C$164,$C337:$C346,'Key inputs_Refineries'!$B$85:$B$164,"Boiler"))&gt;0,SUMIFS('Key inputs_Refineries'!AA$85:AA$164,'Key inputs_Refineries'!$C$85:$C$164,$C342,'Key inputs_Refineries'!$B$85:$B$164,"Boiler")/SUM(SUMIFS('Key inputs_Refineries'!AA$85:AA$164,'Key inputs_Refineries'!$C$85:$C$164,$C337:$C346,'Key inputs_Refineries'!$B$85:$B$164,"Boiler"))&lt;0.001),0.001,SUMIFS('Key inputs_Refineries'!AA$85:AA$164,'Key inputs_Refineries'!$C$85:$C$164,$C342,'Key inputs_Refineries'!$B$85:$B$164,"Boiler")/SUM(SUMIFS('Key inputs_Refineries'!AA$85:AA$164,'Key inputs_Refineries'!$C$85:$C$164,$C337:$C346,'Key inputs_Refineries'!$B$85:$B$164,"Boiler"))),0)</f>
        <v>0</v>
      </c>
      <c r="AH342" s="173" cm="1">
        <f t="array" ref="AH342">IFERROR(IF(AND(SUMIFS('Key inputs_Refineries'!AB$85:AB$164,'Key inputs_Refineries'!$C$85:$C$164,$C342,'Key inputs_Refineries'!$B$85:$B$164,"Boiler")/SUM(SUMIFS('Key inputs_Refineries'!AB$85:AB$164,'Key inputs_Refineries'!$C$85:$C$164,$C337:$C346,'Key inputs_Refineries'!$B$85:$B$164,"Boiler"))&gt;0,SUMIFS('Key inputs_Refineries'!AB$85:AB$164,'Key inputs_Refineries'!$C$85:$C$164,$C342,'Key inputs_Refineries'!$B$85:$B$164,"Boiler")/SUM(SUMIFS('Key inputs_Refineries'!AB$85:AB$164,'Key inputs_Refineries'!$C$85:$C$164,$C337:$C346,'Key inputs_Refineries'!$B$85:$B$164,"Boiler"))&lt;0.001),0.001,SUMIFS('Key inputs_Refineries'!AB$85:AB$164,'Key inputs_Refineries'!$C$85:$C$164,$C342,'Key inputs_Refineries'!$B$85:$B$164,"Boiler")/SUM(SUMIFS('Key inputs_Refineries'!AB$85:AB$164,'Key inputs_Refineries'!$C$85:$C$164,$C337:$C346,'Key inputs_Refineries'!$B$85:$B$164,"Boiler"))),0)</f>
        <v>0</v>
      </c>
      <c r="AI342" s="173" cm="1">
        <f t="array" ref="AI342">IFERROR(IF(AND(SUMIFS('Key inputs_Refineries'!AC$85:AC$164,'Key inputs_Refineries'!$C$85:$C$164,$C342,'Key inputs_Refineries'!$B$85:$B$164,"Boiler")/SUM(SUMIFS('Key inputs_Refineries'!AC$85:AC$164,'Key inputs_Refineries'!$C$85:$C$164,$C337:$C346,'Key inputs_Refineries'!$B$85:$B$164,"Boiler"))&gt;0,SUMIFS('Key inputs_Refineries'!AC$85:AC$164,'Key inputs_Refineries'!$C$85:$C$164,$C342,'Key inputs_Refineries'!$B$85:$B$164,"Boiler")/SUM(SUMIFS('Key inputs_Refineries'!AC$85:AC$164,'Key inputs_Refineries'!$C$85:$C$164,$C337:$C346,'Key inputs_Refineries'!$B$85:$B$164,"Boiler"))&lt;0.001),0.001,SUMIFS('Key inputs_Refineries'!AC$85:AC$164,'Key inputs_Refineries'!$C$85:$C$164,$C342,'Key inputs_Refineries'!$B$85:$B$164,"Boiler")/SUM(SUMIFS('Key inputs_Refineries'!AC$85:AC$164,'Key inputs_Refineries'!$C$85:$C$164,$C337:$C346,'Key inputs_Refineries'!$B$85:$B$164,"Boiler"))),0)</f>
        <v>0</v>
      </c>
      <c r="AJ342" s="173" cm="1">
        <f t="array" ref="AJ342">IFERROR(IF(AND(SUMIFS('Key inputs_Refineries'!AD$85:AD$164,'Key inputs_Refineries'!$C$85:$C$164,$C342,'Key inputs_Refineries'!$B$85:$B$164,"Boiler")/SUM(SUMIFS('Key inputs_Refineries'!AD$85:AD$164,'Key inputs_Refineries'!$C$85:$C$164,$C337:$C346,'Key inputs_Refineries'!$B$85:$B$164,"Boiler"))&gt;0,SUMIFS('Key inputs_Refineries'!AD$85:AD$164,'Key inputs_Refineries'!$C$85:$C$164,$C342,'Key inputs_Refineries'!$B$85:$B$164,"Boiler")/SUM(SUMIFS('Key inputs_Refineries'!AD$85:AD$164,'Key inputs_Refineries'!$C$85:$C$164,$C337:$C346,'Key inputs_Refineries'!$B$85:$B$164,"Boiler"))&lt;0.001),0.001,SUMIFS('Key inputs_Refineries'!AD$85:AD$164,'Key inputs_Refineries'!$C$85:$C$164,$C342,'Key inputs_Refineries'!$B$85:$B$164,"Boiler")/SUM(SUMIFS('Key inputs_Refineries'!AD$85:AD$164,'Key inputs_Refineries'!$C$85:$C$164,$C337:$C346,'Key inputs_Refineries'!$B$85:$B$164,"Boiler"))),0)</f>
        <v>0</v>
      </c>
      <c r="AK342" s="173" cm="1">
        <f t="array" ref="AK342">IFERROR(IF(AND(SUMIFS('Key inputs_Refineries'!AE$85:AE$164,'Key inputs_Refineries'!$C$85:$C$164,$C342,'Key inputs_Refineries'!$B$85:$B$164,"Boiler")/SUM(SUMIFS('Key inputs_Refineries'!AE$85:AE$164,'Key inputs_Refineries'!$C$85:$C$164,$C337:$C346,'Key inputs_Refineries'!$B$85:$B$164,"Boiler"))&gt;0,SUMIFS('Key inputs_Refineries'!AE$85:AE$164,'Key inputs_Refineries'!$C$85:$C$164,$C342,'Key inputs_Refineries'!$B$85:$B$164,"Boiler")/SUM(SUMIFS('Key inputs_Refineries'!AE$85:AE$164,'Key inputs_Refineries'!$C$85:$C$164,$C337:$C346,'Key inputs_Refineries'!$B$85:$B$164,"Boiler"))&lt;0.001),0.001,SUMIFS('Key inputs_Refineries'!AE$85:AE$164,'Key inputs_Refineries'!$C$85:$C$164,$C342,'Key inputs_Refineries'!$B$85:$B$164,"Boiler")/SUM(SUMIFS('Key inputs_Refineries'!AE$85:AE$164,'Key inputs_Refineries'!$C$85:$C$164,$C337:$C346,'Key inputs_Refineries'!$B$85:$B$164,"Boiler"))),0)</f>
        <v>0</v>
      </c>
      <c r="AL342" s="173" cm="1">
        <f t="array" ref="AL342">IFERROR(IF(AND(SUMIFS('Key inputs_Refineries'!AF$85:AF$164,'Key inputs_Refineries'!$C$85:$C$164,$C342,'Key inputs_Refineries'!$B$85:$B$164,"Boiler")/SUM(SUMIFS('Key inputs_Refineries'!AF$85:AF$164,'Key inputs_Refineries'!$C$85:$C$164,$C337:$C346,'Key inputs_Refineries'!$B$85:$B$164,"Boiler"))&gt;0,SUMIFS('Key inputs_Refineries'!AF$85:AF$164,'Key inputs_Refineries'!$C$85:$C$164,$C342,'Key inputs_Refineries'!$B$85:$B$164,"Boiler")/SUM(SUMIFS('Key inputs_Refineries'!AF$85:AF$164,'Key inputs_Refineries'!$C$85:$C$164,$C337:$C346,'Key inputs_Refineries'!$B$85:$B$164,"Boiler"))&lt;0.001),0.001,SUMIFS('Key inputs_Refineries'!AF$85:AF$164,'Key inputs_Refineries'!$C$85:$C$164,$C342,'Key inputs_Refineries'!$B$85:$B$164,"Boiler")/SUM(SUMIFS('Key inputs_Refineries'!AF$85:AF$164,'Key inputs_Refineries'!$C$85:$C$164,$C337:$C346,'Key inputs_Refineries'!$B$85:$B$164,"Boiler"))),0)</f>
        <v>7.2725742976555516E-3</v>
      </c>
    </row>
    <row r="343" spans="1:38">
      <c r="C343" t="str">
        <f>Commodities!$C$97</f>
        <v>UPSLPG</v>
      </c>
      <c r="G343" s="4" t="s">
        <v>702</v>
      </c>
      <c r="H343" t="s">
        <v>661</v>
      </c>
      <c r="I343">
        <v>2019</v>
      </c>
      <c r="J343" t="s">
        <v>650</v>
      </c>
      <c r="K343" s="173" cm="1">
        <f t="array" ref="K343">IFERROR(IF(AND(SUMIFS('Key inputs_Refineries'!E$85:E$164,'Key inputs_Refineries'!$C$85:$C$164,$C343,'Key inputs_Refineries'!$B$85:$B$164,"Boiler")/SUM(SUMIFS('Key inputs_Refineries'!E$85:E$164,'Key inputs_Refineries'!$C$85:$C$164,$C337:$C346,'Key inputs_Refineries'!$B$85:$B$164,"Boiler"))&gt;0,SUMIFS('Key inputs_Refineries'!E$85:E$164,'Key inputs_Refineries'!$C$85:$C$164,$C343,'Key inputs_Refineries'!$B$85:$B$164,"Boiler")/SUM(SUMIFS('Key inputs_Refineries'!E$85:E$164,'Key inputs_Refineries'!$C$85:$C$164,$C337:$C346,'Key inputs_Refineries'!$B$85:$B$164,"Boiler"))&lt;0.001),0.001,SUMIFS('Key inputs_Refineries'!E$85:E$164,'Key inputs_Refineries'!$C$85:$C$164,$C343,'Key inputs_Refineries'!$B$85:$B$164,"Boiler")/SUM(SUMIFS('Key inputs_Refineries'!E$85:E$164,'Key inputs_Refineries'!$C$85:$C$164,$C337:$C346,'Key inputs_Refineries'!$B$85:$B$164,"Boiler"))),0)</f>
        <v>0</v>
      </c>
      <c r="L343" s="173" cm="1">
        <f t="array" ref="L343">IFERROR(IF(AND(SUMIFS('Key inputs_Refineries'!F$85:F$164,'Key inputs_Refineries'!$C$85:$C$164,$C343,'Key inputs_Refineries'!$B$85:$B$164,"Boiler")/SUM(SUMIFS('Key inputs_Refineries'!F$85:F$164,'Key inputs_Refineries'!$C$85:$C$164,$C337:$C346,'Key inputs_Refineries'!$B$85:$B$164,"Boiler"))&gt;0,SUMIFS('Key inputs_Refineries'!F$85:F$164,'Key inputs_Refineries'!$C$85:$C$164,$C343,'Key inputs_Refineries'!$B$85:$B$164,"Boiler")/SUM(SUMIFS('Key inputs_Refineries'!F$85:F$164,'Key inputs_Refineries'!$C$85:$C$164,$C337:$C346,'Key inputs_Refineries'!$B$85:$B$164,"Boiler"))&lt;0.001),0.001,SUMIFS('Key inputs_Refineries'!F$85:F$164,'Key inputs_Refineries'!$C$85:$C$164,$C343,'Key inputs_Refineries'!$B$85:$B$164,"Boiler")/SUM(SUMIFS('Key inputs_Refineries'!F$85:F$164,'Key inputs_Refineries'!$C$85:$C$164,$C337:$C346,'Key inputs_Refineries'!$B$85:$B$164,"Boiler"))),0)</f>
        <v>0</v>
      </c>
      <c r="M343" s="173" cm="1">
        <f t="array" ref="M343">IFERROR(IF(AND(SUMIFS('Key inputs_Refineries'!G$85:G$164,'Key inputs_Refineries'!$C$85:$C$164,$C343,'Key inputs_Refineries'!$B$85:$B$164,"Boiler")/SUM(SUMIFS('Key inputs_Refineries'!G$85:G$164,'Key inputs_Refineries'!$C$85:$C$164,$C337:$C346,'Key inputs_Refineries'!$B$85:$B$164,"Boiler"))&gt;0,SUMIFS('Key inputs_Refineries'!G$85:G$164,'Key inputs_Refineries'!$C$85:$C$164,$C343,'Key inputs_Refineries'!$B$85:$B$164,"Boiler")/SUM(SUMIFS('Key inputs_Refineries'!G$85:G$164,'Key inputs_Refineries'!$C$85:$C$164,$C337:$C346,'Key inputs_Refineries'!$B$85:$B$164,"Boiler"))&lt;0.001),0.001,SUMIFS('Key inputs_Refineries'!G$85:G$164,'Key inputs_Refineries'!$C$85:$C$164,$C343,'Key inputs_Refineries'!$B$85:$B$164,"Boiler")/SUM(SUMIFS('Key inputs_Refineries'!G$85:G$164,'Key inputs_Refineries'!$C$85:$C$164,$C337:$C346,'Key inputs_Refineries'!$B$85:$B$164,"Boiler"))),0)</f>
        <v>0.11449728272014652</v>
      </c>
      <c r="N343" s="173" cm="1">
        <f t="array" ref="N343">IFERROR(IF(AND(SUMIFS('Key inputs_Refineries'!H$85:H$164,'Key inputs_Refineries'!$C$85:$C$164,$C343,'Key inputs_Refineries'!$B$85:$B$164,"Boiler")/SUM(SUMIFS('Key inputs_Refineries'!H$85:H$164,'Key inputs_Refineries'!$C$85:$C$164,$C337:$C346,'Key inputs_Refineries'!$B$85:$B$164,"Boiler"))&gt;0,SUMIFS('Key inputs_Refineries'!H$85:H$164,'Key inputs_Refineries'!$C$85:$C$164,$C343,'Key inputs_Refineries'!$B$85:$B$164,"Boiler")/SUM(SUMIFS('Key inputs_Refineries'!H$85:H$164,'Key inputs_Refineries'!$C$85:$C$164,$C337:$C346,'Key inputs_Refineries'!$B$85:$B$164,"Boiler"))&lt;0.001),0.001,SUMIFS('Key inputs_Refineries'!H$85:H$164,'Key inputs_Refineries'!$C$85:$C$164,$C343,'Key inputs_Refineries'!$B$85:$B$164,"Boiler")/SUM(SUMIFS('Key inputs_Refineries'!H$85:H$164,'Key inputs_Refineries'!$C$85:$C$164,$C337:$C346,'Key inputs_Refineries'!$B$85:$B$164,"Boiler"))),0)</f>
        <v>0</v>
      </c>
      <c r="O343" s="173" cm="1">
        <f t="array" ref="O343">IFERROR(IF(AND(SUMIFS('Key inputs_Refineries'!I$85:I$164,'Key inputs_Refineries'!$C$85:$C$164,$C343,'Key inputs_Refineries'!$B$85:$B$164,"Boiler")/SUM(SUMIFS('Key inputs_Refineries'!I$85:I$164,'Key inputs_Refineries'!$C$85:$C$164,$C337:$C346,'Key inputs_Refineries'!$B$85:$B$164,"Boiler"))&gt;0,SUMIFS('Key inputs_Refineries'!I$85:I$164,'Key inputs_Refineries'!$C$85:$C$164,$C343,'Key inputs_Refineries'!$B$85:$B$164,"Boiler")/SUM(SUMIFS('Key inputs_Refineries'!I$85:I$164,'Key inputs_Refineries'!$C$85:$C$164,$C337:$C346,'Key inputs_Refineries'!$B$85:$B$164,"Boiler"))&lt;0.001),0.001,SUMIFS('Key inputs_Refineries'!I$85:I$164,'Key inputs_Refineries'!$C$85:$C$164,$C343,'Key inputs_Refineries'!$B$85:$B$164,"Boiler")/SUM(SUMIFS('Key inputs_Refineries'!I$85:I$164,'Key inputs_Refineries'!$C$85:$C$164,$C337:$C346,'Key inputs_Refineries'!$B$85:$B$164,"Boiler"))),0)</f>
        <v>0</v>
      </c>
      <c r="P343" s="173" cm="1">
        <f t="array" ref="P343">IFERROR(IF(AND(SUMIFS('Key inputs_Refineries'!J$85:J$164,'Key inputs_Refineries'!$C$85:$C$164,$C343,'Key inputs_Refineries'!$B$85:$B$164,"Boiler")/SUM(SUMIFS('Key inputs_Refineries'!J$85:J$164,'Key inputs_Refineries'!$C$85:$C$164,$C337:$C346,'Key inputs_Refineries'!$B$85:$B$164,"Boiler"))&gt;0,SUMIFS('Key inputs_Refineries'!J$85:J$164,'Key inputs_Refineries'!$C$85:$C$164,$C343,'Key inputs_Refineries'!$B$85:$B$164,"Boiler")/SUM(SUMIFS('Key inputs_Refineries'!J$85:J$164,'Key inputs_Refineries'!$C$85:$C$164,$C337:$C346,'Key inputs_Refineries'!$B$85:$B$164,"Boiler"))&lt;0.001),0.001,SUMIFS('Key inputs_Refineries'!J$85:J$164,'Key inputs_Refineries'!$C$85:$C$164,$C343,'Key inputs_Refineries'!$B$85:$B$164,"Boiler")/SUM(SUMIFS('Key inputs_Refineries'!J$85:J$164,'Key inputs_Refineries'!$C$85:$C$164,$C337:$C346,'Key inputs_Refineries'!$B$85:$B$164,"Boiler"))),0)</f>
        <v>1.8429074047040168E-3</v>
      </c>
      <c r="Q343" s="173" cm="1">
        <f t="array" ref="Q343">IFERROR(IF(AND(SUMIFS('Key inputs_Refineries'!K$85:K$164,'Key inputs_Refineries'!$C$85:$C$164,$C343,'Key inputs_Refineries'!$B$85:$B$164,"Boiler")/SUM(SUMIFS('Key inputs_Refineries'!K$85:K$164,'Key inputs_Refineries'!$C$85:$C$164,$C337:$C346,'Key inputs_Refineries'!$B$85:$B$164,"Boiler"))&gt;0,SUMIFS('Key inputs_Refineries'!K$85:K$164,'Key inputs_Refineries'!$C$85:$C$164,$C343,'Key inputs_Refineries'!$B$85:$B$164,"Boiler")/SUM(SUMIFS('Key inputs_Refineries'!K$85:K$164,'Key inputs_Refineries'!$C$85:$C$164,$C337:$C346,'Key inputs_Refineries'!$B$85:$B$164,"Boiler"))&lt;0.001),0.001,SUMIFS('Key inputs_Refineries'!K$85:K$164,'Key inputs_Refineries'!$C$85:$C$164,$C343,'Key inputs_Refineries'!$B$85:$B$164,"Boiler")/SUM(SUMIFS('Key inputs_Refineries'!K$85:K$164,'Key inputs_Refineries'!$C$85:$C$164,$C337:$C346,'Key inputs_Refineries'!$B$85:$B$164,"Boiler"))),0)</f>
        <v>0</v>
      </c>
      <c r="R343" s="173" cm="1">
        <f t="array" ref="R343">IFERROR(IF(AND(SUMIFS('Key inputs_Refineries'!L$85:L$164,'Key inputs_Refineries'!$C$85:$C$164,$C343,'Key inputs_Refineries'!$B$85:$B$164,"Boiler")/SUM(SUMIFS('Key inputs_Refineries'!L$85:L$164,'Key inputs_Refineries'!$C$85:$C$164,$C337:$C346,'Key inputs_Refineries'!$B$85:$B$164,"Boiler"))&gt;0,SUMIFS('Key inputs_Refineries'!L$85:L$164,'Key inputs_Refineries'!$C$85:$C$164,$C343,'Key inputs_Refineries'!$B$85:$B$164,"Boiler")/SUM(SUMIFS('Key inputs_Refineries'!L$85:L$164,'Key inputs_Refineries'!$C$85:$C$164,$C337:$C346,'Key inputs_Refineries'!$B$85:$B$164,"Boiler"))&lt;0.001),0.001,SUMIFS('Key inputs_Refineries'!L$85:L$164,'Key inputs_Refineries'!$C$85:$C$164,$C343,'Key inputs_Refineries'!$B$85:$B$164,"Boiler")/SUM(SUMIFS('Key inputs_Refineries'!L$85:L$164,'Key inputs_Refineries'!$C$85:$C$164,$C337:$C346,'Key inputs_Refineries'!$B$85:$B$164,"Boiler"))),0)</f>
        <v>0</v>
      </c>
      <c r="S343" s="173" cm="1">
        <f t="array" ref="S343">IFERROR(IF(AND(SUMIFS('Key inputs_Refineries'!M$85:M$164,'Key inputs_Refineries'!$C$85:$C$164,$C343,'Key inputs_Refineries'!$B$85:$B$164,"Boiler")/SUM(SUMIFS('Key inputs_Refineries'!M$85:M$164,'Key inputs_Refineries'!$C$85:$C$164,$C337:$C346,'Key inputs_Refineries'!$B$85:$B$164,"Boiler"))&gt;0,SUMIFS('Key inputs_Refineries'!M$85:M$164,'Key inputs_Refineries'!$C$85:$C$164,$C343,'Key inputs_Refineries'!$B$85:$B$164,"Boiler")/SUM(SUMIFS('Key inputs_Refineries'!M$85:M$164,'Key inputs_Refineries'!$C$85:$C$164,$C337:$C346,'Key inputs_Refineries'!$B$85:$B$164,"Boiler"))&lt;0.001),0.001,SUMIFS('Key inputs_Refineries'!M$85:M$164,'Key inputs_Refineries'!$C$85:$C$164,$C343,'Key inputs_Refineries'!$B$85:$B$164,"Boiler")/SUM(SUMIFS('Key inputs_Refineries'!M$85:M$164,'Key inputs_Refineries'!$C$85:$C$164,$C337:$C346,'Key inputs_Refineries'!$B$85:$B$164,"Boiler"))),0)</f>
        <v>0</v>
      </c>
      <c r="T343" s="173" cm="1">
        <f t="array" ref="T343">IFERROR(IF(AND(SUMIFS('Key inputs_Refineries'!N$85:N$164,'Key inputs_Refineries'!$C$85:$C$164,$C343,'Key inputs_Refineries'!$B$85:$B$164,"Boiler")/SUM(SUMIFS('Key inputs_Refineries'!N$85:N$164,'Key inputs_Refineries'!$C$85:$C$164,$C337:$C346,'Key inputs_Refineries'!$B$85:$B$164,"Boiler"))&gt;0,SUMIFS('Key inputs_Refineries'!N$85:N$164,'Key inputs_Refineries'!$C$85:$C$164,$C343,'Key inputs_Refineries'!$B$85:$B$164,"Boiler")/SUM(SUMIFS('Key inputs_Refineries'!N$85:N$164,'Key inputs_Refineries'!$C$85:$C$164,$C337:$C346,'Key inputs_Refineries'!$B$85:$B$164,"Boiler"))&lt;0.001),0.001,SUMIFS('Key inputs_Refineries'!N$85:N$164,'Key inputs_Refineries'!$C$85:$C$164,$C343,'Key inputs_Refineries'!$B$85:$B$164,"Boiler")/SUM(SUMIFS('Key inputs_Refineries'!N$85:N$164,'Key inputs_Refineries'!$C$85:$C$164,$C337:$C346,'Key inputs_Refineries'!$B$85:$B$164,"Boiler"))),0)</f>
        <v>4.0866396011492612E-2</v>
      </c>
      <c r="U343" s="173" cm="1">
        <f t="array" ref="U343">IFERROR(IF(AND(SUMIFS('Key inputs_Refineries'!O$85:O$164,'Key inputs_Refineries'!$C$85:$C$164,$C343,'Key inputs_Refineries'!$B$85:$B$164,"Boiler")/SUM(SUMIFS('Key inputs_Refineries'!O$85:O$164,'Key inputs_Refineries'!$C$85:$C$164,$C337:$C346,'Key inputs_Refineries'!$B$85:$B$164,"Boiler"))&gt;0,SUMIFS('Key inputs_Refineries'!O$85:O$164,'Key inputs_Refineries'!$C$85:$C$164,$C343,'Key inputs_Refineries'!$B$85:$B$164,"Boiler")/SUM(SUMIFS('Key inputs_Refineries'!O$85:O$164,'Key inputs_Refineries'!$C$85:$C$164,$C337:$C346,'Key inputs_Refineries'!$B$85:$B$164,"Boiler"))&lt;0.001),0.001,SUMIFS('Key inputs_Refineries'!O$85:O$164,'Key inputs_Refineries'!$C$85:$C$164,$C343,'Key inputs_Refineries'!$B$85:$B$164,"Boiler")/SUM(SUMIFS('Key inputs_Refineries'!O$85:O$164,'Key inputs_Refineries'!$C$85:$C$164,$C337:$C346,'Key inputs_Refineries'!$B$85:$B$164,"Boiler"))),0)</f>
        <v>0.38542966352684382</v>
      </c>
      <c r="V343" s="173" cm="1">
        <f t="array" ref="V343">IFERROR(IF(AND(SUMIFS('Key inputs_Refineries'!P$85:P$164,'Key inputs_Refineries'!$C$85:$C$164,$C343,'Key inputs_Refineries'!$B$85:$B$164,"Boiler")/SUM(SUMIFS('Key inputs_Refineries'!P$85:P$164,'Key inputs_Refineries'!$C$85:$C$164,$C337:$C346,'Key inputs_Refineries'!$B$85:$B$164,"Boiler"))&gt;0,SUMIFS('Key inputs_Refineries'!P$85:P$164,'Key inputs_Refineries'!$C$85:$C$164,$C343,'Key inputs_Refineries'!$B$85:$B$164,"Boiler")/SUM(SUMIFS('Key inputs_Refineries'!P$85:P$164,'Key inputs_Refineries'!$C$85:$C$164,$C337:$C346,'Key inputs_Refineries'!$B$85:$B$164,"Boiler"))&lt;0.001),0.001,SUMIFS('Key inputs_Refineries'!P$85:P$164,'Key inputs_Refineries'!$C$85:$C$164,$C343,'Key inputs_Refineries'!$B$85:$B$164,"Boiler")/SUM(SUMIFS('Key inputs_Refineries'!P$85:P$164,'Key inputs_Refineries'!$C$85:$C$164,$C337:$C346,'Key inputs_Refineries'!$B$85:$B$164,"Boiler"))),0)</f>
        <v>0.20400018354543314</v>
      </c>
      <c r="W343" s="173" cm="1">
        <f t="array" ref="W343">IFERROR(IF(AND(SUMIFS('Key inputs_Refineries'!Q$85:Q$164,'Key inputs_Refineries'!$C$85:$C$164,$C343,'Key inputs_Refineries'!$B$85:$B$164,"Boiler")/SUM(SUMIFS('Key inputs_Refineries'!Q$85:Q$164,'Key inputs_Refineries'!$C$85:$C$164,$C337:$C346,'Key inputs_Refineries'!$B$85:$B$164,"Boiler"))&gt;0,SUMIFS('Key inputs_Refineries'!Q$85:Q$164,'Key inputs_Refineries'!$C$85:$C$164,$C343,'Key inputs_Refineries'!$B$85:$B$164,"Boiler")/SUM(SUMIFS('Key inputs_Refineries'!Q$85:Q$164,'Key inputs_Refineries'!$C$85:$C$164,$C337:$C346,'Key inputs_Refineries'!$B$85:$B$164,"Boiler"))&lt;0.001),0.001,SUMIFS('Key inputs_Refineries'!Q$85:Q$164,'Key inputs_Refineries'!$C$85:$C$164,$C343,'Key inputs_Refineries'!$B$85:$B$164,"Boiler")/SUM(SUMIFS('Key inputs_Refineries'!Q$85:Q$164,'Key inputs_Refineries'!$C$85:$C$164,$C337:$C346,'Key inputs_Refineries'!$B$85:$B$164,"Boiler"))),0)</f>
        <v>0</v>
      </c>
      <c r="X343" s="173" cm="1">
        <f t="array" ref="X343">IFERROR(IF(AND(SUMIFS('Key inputs_Refineries'!R$85:R$164,'Key inputs_Refineries'!$C$85:$C$164,$C343,'Key inputs_Refineries'!$B$85:$B$164,"Boiler")/SUM(SUMIFS('Key inputs_Refineries'!R$85:R$164,'Key inputs_Refineries'!$C$85:$C$164,$C337:$C346,'Key inputs_Refineries'!$B$85:$B$164,"Boiler"))&gt;0,SUMIFS('Key inputs_Refineries'!R$85:R$164,'Key inputs_Refineries'!$C$85:$C$164,$C343,'Key inputs_Refineries'!$B$85:$B$164,"Boiler")/SUM(SUMIFS('Key inputs_Refineries'!R$85:R$164,'Key inputs_Refineries'!$C$85:$C$164,$C337:$C346,'Key inputs_Refineries'!$B$85:$B$164,"Boiler"))&lt;0.001),0.001,SUMIFS('Key inputs_Refineries'!R$85:R$164,'Key inputs_Refineries'!$C$85:$C$164,$C343,'Key inputs_Refineries'!$B$85:$B$164,"Boiler")/SUM(SUMIFS('Key inputs_Refineries'!R$85:R$164,'Key inputs_Refineries'!$C$85:$C$164,$C337:$C346,'Key inputs_Refineries'!$B$85:$B$164,"Boiler"))),0)</f>
        <v>0</v>
      </c>
      <c r="Y343" s="173" cm="1">
        <f t="array" ref="Y343">IFERROR(IF(AND(SUMIFS('Key inputs_Refineries'!S$85:S$164,'Key inputs_Refineries'!$C$85:$C$164,$C343,'Key inputs_Refineries'!$B$85:$B$164,"Boiler")/SUM(SUMIFS('Key inputs_Refineries'!S$85:S$164,'Key inputs_Refineries'!$C$85:$C$164,$C337:$C346,'Key inputs_Refineries'!$B$85:$B$164,"Boiler"))&gt;0,SUMIFS('Key inputs_Refineries'!S$85:S$164,'Key inputs_Refineries'!$C$85:$C$164,$C343,'Key inputs_Refineries'!$B$85:$B$164,"Boiler")/SUM(SUMIFS('Key inputs_Refineries'!S$85:S$164,'Key inputs_Refineries'!$C$85:$C$164,$C337:$C346,'Key inputs_Refineries'!$B$85:$B$164,"Boiler"))&lt;0.001),0.001,SUMIFS('Key inputs_Refineries'!S$85:S$164,'Key inputs_Refineries'!$C$85:$C$164,$C343,'Key inputs_Refineries'!$B$85:$B$164,"Boiler")/SUM(SUMIFS('Key inputs_Refineries'!S$85:S$164,'Key inputs_Refineries'!$C$85:$C$164,$C337:$C346,'Key inputs_Refineries'!$B$85:$B$164,"Boiler"))),0)</f>
        <v>8.2373108109728369E-3</v>
      </c>
      <c r="Z343" s="173" cm="1">
        <f t="array" ref="Z343">IFERROR(IF(AND(SUMIFS('Key inputs_Refineries'!T$85:T$164,'Key inputs_Refineries'!$C$85:$C$164,$C343,'Key inputs_Refineries'!$B$85:$B$164,"Boiler")/SUM(SUMIFS('Key inputs_Refineries'!T$85:T$164,'Key inputs_Refineries'!$C$85:$C$164,$C337:$C346,'Key inputs_Refineries'!$B$85:$B$164,"Boiler"))&gt;0,SUMIFS('Key inputs_Refineries'!T$85:T$164,'Key inputs_Refineries'!$C$85:$C$164,$C343,'Key inputs_Refineries'!$B$85:$B$164,"Boiler")/SUM(SUMIFS('Key inputs_Refineries'!T$85:T$164,'Key inputs_Refineries'!$C$85:$C$164,$C337:$C346,'Key inputs_Refineries'!$B$85:$B$164,"Boiler"))&lt;0.001),0.001,SUMIFS('Key inputs_Refineries'!T$85:T$164,'Key inputs_Refineries'!$C$85:$C$164,$C343,'Key inputs_Refineries'!$B$85:$B$164,"Boiler")/SUM(SUMIFS('Key inputs_Refineries'!T$85:T$164,'Key inputs_Refineries'!$C$85:$C$164,$C337:$C346,'Key inputs_Refineries'!$B$85:$B$164,"Boiler"))),0)</f>
        <v>7.8067049163062063E-2</v>
      </c>
      <c r="AA343" s="173" cm="1">
        <f t="array" ref="AA343">IFERROR(IF(AND(SUMIFS('Key inputs_Refineries'!U$85:U$164,'Key inputs_Refineries'!$C$85:$C$164,$C343,'Key inputs_Refineries'!$B$85:$B$164,"Boiler")/SUM(SUMIFS('Key inputs_Refineries'!U$85:U$164,'Key inputs_Refineries'!$C$85:$C$164,$C337:$C346,'Key inputs_Refineries'!$B$85:$B$164,"Boiler"))&gt;0,SUMIFS('Key inputs_Refineries'!U$85:U$164,'Key inputs_Refineries'!$C$85:$C$164,$C343,'Key inputs_Refineries'!$B$85:$B$164,"Boiler")/SUM(SUMIFS('Key inputs_Refineries'!U$85:U$164,'Key inputs_Refineries'!$C$85:$C$164,$C337:$C346,'Key inputs_Refineries'!$B$85:$B$164,"Boiler"))&lt;0.001),0.001,SUMIFS('Key inputs_Refineries'!U$85:U$164,'Key inputs_Refineries'!$C$85:$C$164,$C343,'Key inputs_Refineries'!$B$85:$B$164,"Boiler")/SUM(SUMIFS('Key inputs_Refineries'!U$85:U$164,'Key inputs_Refineries'!$C$85:$C$164,$C337:$C346,'Key inputs_Refineries'!$B$85:$B$164,"Boiler"))),0)</f>
        <v>0.12670134629223898</v>
      </c>
      <c r="AB343" s="173" cm="1">
        <f t="array" ref="AB343">IFERROR(IF(AND(SUMIFS('Key inputs_Refineries'!V$85:V$164,'Key inputs_Refineries'!$C$85:$C$164,$C343,'Key inputs_Refineries'!$B$85:$B$164,"Boiler")/SUM(SUMIFS('Key inputs_Refineries'!V$85:V$164,'Key inputs_Refineries'!$C$85:$C$164,$C337:$C346,'Key inputs_Refineries'!$B$85:$B$164,"Boiler"))&gt;0,SUMIFS('Key inputs_Refineries'!V$85:V$164,'Key inputs_Refineries'!$C$85:$C$164,$C343,'Key inputs_Refineries'!$B$85:$B$164,"Boiler")/SUM(SUMIFS('Key inputs_Refineries'!V$85:V$164,'Key inputs_Refineries'!$C$85:$C$164,$C337:$C346,'Key inputs_Refineries'!$B$85:$B$164,"Boiler"))&lt;0.001),0.001,SUMIFS('Key inputs_Refineries'!V$85:V$164,'Key inputs_Refineries'!$C$85:$C$164,$C343,'Key inputs_Refineries'!$B$85:$B$164,"Boiler")/SUM(SUMIFS('Key inputs_Refineries'!V$85:V$164,'Key inputs_Refineries'!$C$85:$C$164,$C337:$C346,'Key inputs_Refineries'!$B$85:$B$164,"Boiler"))),0)</f>
        <v>0</v>
      </c>
      <c r="AC343" s="173" cm="1">
        <f t="array" ref="AC343">IFERROR(IF(AND(SUMIFS('Key inputs_Refineries'!W$85:W$164,'Key inputs_Refineries'!$C$85:$C$164,$C343,'Key inputs_Refineries'!$B$85:$B$164,"Boiler")/SUM(SUMIFS('Key inputs_Refineries'!W$85:W$164,'Key inputs_Refineries'!$C$85:$C$164,$C337:$C346,'Key inputs_Refineries'!$B$85:$B$164,"Boiler"))&gt;0,SUMIFS('Key inputs_Refineries'!W$85:W$164,'Key inputs_Refineries'!$C$85:$C$164,$C343,'Key inputs_Refineries'!$B$85:$B$164,"Boiler")/SUM(SUMIFS('Key inputs_Refineries'!W$85:W$164,'Key inputs_Refineries'!$C$85:$C$164,$C337:$C346,'Key inputs_Refineries'!$B$85:$B$164,"Boiler"))&lt;0.001),0.001,SUMIFS('Key inputs_Refineries'!W$85:W$164,'Key inputs_Refineries'!$C$85:$C$164,$C343,'Key inputs_Refineries'!$B$85:$B$164,"Boiler")/SUM(SUMIFS('Key inputs_Refineries'!W$85:W$164,'Key inputs_Refineries'!$C$85:$C$164,$C337:$C346,'Key inputs_Refineries'!$B$85:$B$164,"Boiler"))),0)</f>
        <v>0</v>
      </c>
      <c r="AD343" s="173" cm="1">
        <f t="array" ref="AD343">IFERROR(IF(AND(SUMIFS('Key inputs_Refineries'!X$85:X$164,'Key inputs_Refineries'!$C$85:$C$164,$C343,'Key inputs_Refineries'!$B$85:$B$164,"Boiler")/SUM(SUMIFS('Key inputs_Refineries'!X$85:X$164,'Key inputs_Refineries'!$C$85:$C$164,$C337:$C346,'Key inputs_Refineries'!$B$85:$B$164,"Boiler"))&gt;0,SUMIFS('Key inputs_Refineries'!X$85:X$164,'Key inputs_Refineries'!$C$85:$C$164,$C343,'Key inputs_Refineries'!$B$85:$B$164,"Boiler")/SUM(SUMIFS('Key inputs_Refineries'!X$85:X$164,'Key inputs_Refineries'!$C$85:$C$164,$C337:$C346,'Key inputs_Refineries'!$B$85:$B$164,"Boiler"))&lt;0.001),0.001,SUMIFS('Key inputs_Refineries'!X$85:X$164,'Key inputs_Refineries'!$C$85:$C$164,$C343,'Key inputs_Refineries'!$B$85:$B$164,"Boiler")/SUM(SUMIFS('Key inputs_Refineries'!X$85:X$164,'Key inputs_Refineries'!$C$85:$C$164,$C337:$C346,'Key inputs_Refineries'!$B$85:$B$164,"Boiler"))),0)</f>
        <v>5.9809032201112659E-2</v>
      </c>
      <c r="AE343" s="173" cm="1">
        <f t="array" ref="AE343">IFERROR(IF(AND(SUMIFS('Key inputs_Refineries'!Y$85:Y$164,'Key inputs_Refineries'!$C$85:$C$164,$C343,'Key inputs_Refineries'!$B$85:$B$164,"Boiler")/SUM(SUMIFS('Key inputs_Refineries'!Y$85:Y$164,'Key inputs_Refineries'!$C$85:$C$164,$C337:$C346,'Key inputs_Refineries'!$B$85:$B$164,"Boiler"))&gt;0,SUMIFS('Key inputs_Refineries'!Y$85:Y$164,'Key inputs_Refineries'!$C$85:$C$164,$C343,'Key inputs_Refineries'!$B$85:$B$164,"Boiler")/SUM(SUMIFS('Key inputs_Refineries'!Y$85:Y$164,'Key inputs_Refineries'!$C$85:$C$164,$C337:$C346,'Key inputs_Refineries'!$B$85:$B$164,"Boiler"))&lt;0.001),0.001,SUMIFS('Key inputs_Refineries'!Y$85:Y$164,'Key inputs_Refineries'!$C$85:$C$164,$C343,'Key inputs_Refineries'!$B$85:$B$164,"Boiler")/SUM(SUMIFS('Key inputs_Refineries'!Y$85:Y$164,'Key inputs_Refineries'!$C$85:$C$164,$C337:$C346,'Key inputs_Refineries'!$B$85:$B$164,"Boiler"))),0)</f>
        <v>0.15964808720573298</v>
      </c>
      <c r="AF343" s="173" cm="1">
        <f t="array" ref="AF343">IFERROR(IF(AND(SUMIFS('Key inputs_Refineries'!Z$85:Z$164,'Key inputs_Refineries'!$C$85:$C$164,$C343,'Key inputs_Refineries'!$B$85:$B$164,"Boiler")/SUM(SUMIFS('Key inputs_Refineries'!Z$85:Z$164,'Key inputs_Refineries'!$C$85:$C$164,$C337:$C346,'Key inputs_Refineries'!$B$85:$B$164,"Boiler"))&gt;0,SUMIFS('Key inputs_Refineries'!Z$85:Z$164,'Key inputs_Refineries'!$C$85:$C$164,$C343,'Key inputs_Refineries'!$B$85:$B$164,"Boiler")/SUM(SUMIFS('Key inputs_Refineries'!Z$85:Z$164,'Key inputs_Refineries'!$C$85:$C$164,$C337:$C346,'Key inputs_Refineries'!$B$85:$B$164,"Boiler"))&lt;0.001),0.001,SUMIFS('Key inputs_Refineries'!Z$85:Z$164,'Key inputs_Refineries'!$C$85:$C$164,$C343,'Key inputs_Refineries'!$B$85:$B$164,"Boiler")/SUM(SUMIFS('Key inputs_Refineries'!Z$85:Z$164,'Key inputs_Refineries'!$C$85:$C$164,$C337:$C346,'Key inputs_Refineries'!$B$85:$B$164,"Boiler"))),0)</f>
        <v>0</v>
      </c>
      <c r="AG343" s="173" cm="1">
        <f t="array" ref="AG343">IFERROR(IF(AND(SUMIFS('Key inputs_Refineries'!AA$85:AA$164,'Key inputs_Refineries'!$C$85:$C$164,$C343,'Key inputs_Refineries'!$B$85:$B$164,"Boiler")/SUM(SUMIFS('Key inputs_Refineries'!AA$85:AA$164,'Key inputs_Refineries'!$C$85:$C$164,$C337:$C346,'Key inputs_Refineries'!$B$85:$B$164,"Boiler"))&gt;0,SUMIFS('Key inputs_Refineries'!AA$85:AA$164,'Key inputs_Refineries'!$C$85:$C$164,$C343,'Key inputs_Refineries'!$B$85:$B$164,"Boiler")/SUM(SUMIFS('Key inputs_Refineries'!AA$85:AA$164,'Key inputs_Refineries'!$C$85:$C$164,$C337:$C346,'Key inputs_Refineries'!$B$85:$B$164,"Boiler"))&lt;0.001),0.001,SUMIFS('Key inputs_Refineries'!AA$85:AA$164,'Key inputs_Refineries'!$C$85:$C$164,$C343,'Key inputs_Refineries'!$B$85:$B$164,"Boiler")/SUM(SUMIFS('Key inputs_Refineries'!AA$85:AA$164,'Key inputs_Refineries'!$C$85:$C$164,$C337:$C346,'Key inputs_Refineries'!$B$85:$B$164,"Boiler"))),0)</f>
        <v>0.14701351118428413</v>
      </c>
      <c r="AH343" s="173" cm="1">
        <f t="array" ref="AH343">IFERROR(IF(AND(SUMIFS('Key inputs_Refineries'!AB$85:AB$164,'Key inputs_Refineries'!$C$85:$C$164,$C343,'Key inputs_Refineries'!$B$85:$B$164,"Boiler")/SUM(SUMIFS('Key inputs_Refineries'!AB$85:AB$164,'Key inputs_Refineries'!$C$85:$C$164,$C337:$C346,'Key inputs_Refineries'!$B$85:$B$164,"Boiler"))&gt;0,SUMIFS('Key inputs_Refineries'!AB$85:AB$164,'Key inputs_Refineries'!$C$85:$C$164,$C343,'Key inputs_Refineries'!$B$85:$B$164,"Boiler")/SUM(SUMIFS('Key inputs_Refineries'!AB$85:AB$164,'Key inputs_Refineries'!$C$85:$C$164,$C337:$C346,'Key inputs_Refineries'!$B$85:$B$164,"Boiler"))&lt;0.001),0.001,SUMIFS('Key inputs_Refineries'!AB$85:AB$164,'Key inputs_Refineries'!$C$85:$C$164,$C343,'Key inputs_Refineries'!$B$85:$B$164,"Boiler")/SUM(SUMIFS('Key inputs_Refineries'!AB$85:AB$164,'Key inputs_Refineries'!$C$85:$C$164,$C337:$C346,'Key inputs_Refineries'!$B$85:$B$164,"Boiler"))),0)</f>
        <v>0</v>
      </c>
      <c r="AI343" s="173" cm="1">
        <f t="array" ref="AI343">IFERROR(IF(AND(SUMIFS('Key inputs_Refineries'!AC$85:AC$164,'Key inputs_Refineries'!$C$85:$C$164,$C343,'Key inputs_Refineries'!$B$85:$B$164,"Boiler")/SUM(SUMIFS('Key inputs_Refineries'!AC$85:AC$164,'Key inputs_Refineries'!$C$85:$C$164,$C337:$C346,'Key inputs_Refineries'!$B$85:$B$164,"Boiler"))&gt;0,SUMIFS('Key inputs_Refineries'!AC$85:AC$164,'Key inputs_Refineries'!$C$85:$C$164,$C343,'Key inputs_Refineries'!$B$85:$B$164,"Boiler")/SUM(SUMIFS('Key inputs_Refineries'!AC$85:AC$164,'Key inputs_Refineries'!$C$85:$C$164,$C337:$C346,'Key inputs_Refineries'!$B$85:$B$164,"Boiler"))&lt;0.001),0.001,SUMIFS('Key inputs_Refineries'!AC$85:AC$164,'Key inputs_Refineries'!$C$85:$C$164,$C343,'Key inputs_Refineries'!$B$85:$B$164,"Boiler")/SUM(SUMIFS('Key inputs_Refineries'!AC$85:AC$164,'Key inputs_Refineries'!$C$85:$C$164,$C337:$C346,'Key inputs_Refineries'!$B$85:$B$164,"Boiler"))),0)</f>
        <v>8.2300446207238476E-2</v>
      </c>
      <c r="AJ343" s="173" cm="1">
        <f t="array" ref="AJ343">IFERROR(IF(AND(SUMIFS('Key inputs_Refineries'!AD$85:AD$164,'Key inputs_Refineries'!$C$85:$C$164,$C343,'Key inputs_Refineries'!$B$85:$B$164,"Boiler")/SUM(SUMIFS('Key inputs_Refineries'!AD$85:AD$164,'Key inputs_Refineries'!$C$85:$C$164,$C337:$C346,'Key inputs_Refineries'!$B$85:$B$164,"Boiler"))&gt;0,SUMIFS('Key inputs_Refineries'!AD$85:AD$164,'Key inputs_Refineries'!$C$85:$C$164,$C343,'Key inputs_Refineries'!$B$85:$B$164,"Boiler")/SUM(SUMIFS('Key inputs_Refineries'!AD$85:AD$164,'Key inputs_Refineries'!$C$85:$C$164,$C337:$C346,'Key inputs_Refineries'!$B$85:$B$164,"Boiler"))&lt;0.001),0.001,SUMIFS('Key inputs_Refineries'!AD$85:AD$164,'Key inputs_Refineries'!$C$85:$C$164,$C343,'Key inputs_Refineries'!$B$85:$B$164,"Boiler")/SUM(SUMIFS('Key inputs_Refineries'!AD$85:AD$164,'Key inputs_Refineries'!$C$85:$C$164,$C337:$C346,'Key inputs_Refineries'!$B$85:$B$164,"Boiler"))),0)</f>
        <v>0</v>
      </c>
      <c r="AK343" s="173" cm="1">
        <f t="array" ref="AK343">IFERROR(IF(AND(SUMIFS('Key inputs_Refineries'!AE$85:AE$164,'Key inputs_Refineries'!$C$85:$C$164,$C343,'Key inputs_Refineries'!$B$85:$B$164,"Boiler")/SUM(SUMIFS('Key inputs_Refineries'!AE$85:AE$164,'Key inputs_Refineries'!$C$85:$C$164,$C337:$C346,'Key inputs_Refineries'!$B$85:$B$164,"Boiler"))&gt;0,SUMIFS('Key inputs_Refineries'!AE$85:AE$164,'Key inputs_Refineries'!$C$85:$C$164,$C343,'Key inputs_Refineries'!$B$85:$B$164,"Boiler")/SUM(SUMIFS('Key inputs_Refineries'!AE$85:AE$164,'Key inputs_Refineries'!$C$85:$C$164,$C337:$C346,'Key inputs_Refineries'!$B$85:$B$164,"Boiler"))&lt;0.001),0.001,SUMIFS('Key inputs_Refineries'!AE$85:AE$164,'Key inputs_Refineries'!$C$85:$C$164,$C343,'Key inputs_Refineries'!$B$85:$B$164,"Boiler")/SUM(SUMIFS('Key inputs_Refineries'!AE$85:AE$164,'Key inputs_Refineries'!$C$85:$C$164,$C337:$C346,'Key inputs_Refineries'!$B$85:$B$164,"Boiler"))),0)</f>
        <v>0.19642918031687168</v>
      </c>
      <c r="AL343" s="173" cm="1">
        <f t="array" ref="AL343">IFERROR(IF(AND(SUMIFS('Key inputs_Refineries'!AF$85:AF$164,'Key inputs_Refineries'!$C$85:$C$164,$C343,'Key inputs_Refineries'!$B$85:$B$164,"Boiler")/SUM(SUMIFS('Key inputs_Refineries'!AF$85:AF$164,'Key inputs_Refineries'!$C$85:$C$164,$C337:$C346,'Key inputs_Refineries'!$B$85:$B$164,"Boiler"))&gt;0,SUMIFS('Key inputs_Refineries'!AF$85:AF$164,'Key inputs_Refineries'!$C$85:$C$164,$C343,'Key inputs_Refineries'!$B$85:$B$164,"Boiler")/SUM(SUMIFS('Key inputs_Refineries'!AF$85:AF$164,'Key inputs_Refineries'!$C$85:$C$164,$C337:$C346,'Key inputs_Refineries'!$B$85:$B$164,"Boiler"))&lt;0.001),0.001,SUMIFS('Key inputs_Refineries'!AF$85:AF$164,'Key inputs_Refineries'!$C$85:$C$164,$C343,'Key inputs_Refineries'!$B$85:$B$164,"Boiler")/SUM(SUMIFS('Key inputs_Refineries'!AF$85:AF$164,'Key inputs_Refineries'!$C$85:$C$164,$C337:$C346,'Key inputs_Refineries'!$B$85:$B$164,"Boiler"))),0)</f>
        <v>3.7520915854909229E-2</v>
      </c>
    </row>
    <row r="344" spans="1:38">
      <c r="C344" t="str">
        <f>Commodities!$C$98</f>
        <v>UPSNAP</v>
      </c>
      <c r="G344" s="4" t="s">
        <v>702</v>
      </c>
      <c r="H344" t="s">
        <v>661</v>
      </c>
      <c r="I344">
        <v>2019</v>
      </c>
      <c r="J344" t="s">
        <v>650</v>
      </c>
      <c r="K344" s="173" cm="1">
        <f t="array" ref="K344">IFERROR(IF(AND(SUMIFS('Key inputs_Refineries'!E$85:E$164,'Key inputs_Refineries'!$C$85:$C$164,$C344,'Key inputs_Refineries'!$B$85:$B$164,"Boiler")/SUM(SUMIFS('Key inputs_Refineries'!E$85:E$164,'Key inputs_Refineries'!$C$85:$C$164,$C337:$C346,'Key inputs_Refineries'!$B$85:$B$164,"Boiler"))&gt;0,SUMIFS('Key inputs_Refineries'!E$85:E$164,'Key inputs_Refineries'!$C$85:$C$164,$C344,'Key inputs_Refineries'!$B$85:$B$164,"Boiler")/SUM(SUMIFS('Key inputs_Refineries'!E$85:E$164,'Key inputs_Refineries'!$C$85:$C$164,$C337:$C346,'Key inputs_Refineries'!$B$85:$B$164,"Boiler"))&lt;0.001),0.001,SUMIFS('Key inputs_Refineries'!E$85:E$164,'Key inputs_Refineries'!$C$85:$C$164,$C344,'Key inputs_Refineries'!$B$85:$B$164,"Boiler")/SUM(SUMIFS('Key inputs_Refineries'!E$85:E$164,'Key inputs_Refineries'!$C$85:$C$164,$C337:$C346,'Key inputs_Refineries'!$B$85:$B$164,"Boiler"))),0)</f>
        <v>0</v>
      </c>
      <c r="L344" s="173" cm="1">
        <f t="array" ref="L344">IFERROR(IF(AND(SUMIFS('Key inputs_Refineries'!F$85:F$164,'Key inputs_Refineries'!$C$85:$C$164,$C344,'Key inputs_Refineries'!$B$85:$B$164,"Boiler")/SUM(SUMIFS('Key inputs_Refineries'!F$85:F$164,'Key inputs_Refineries'!$C$85:$C$164,$C337:$C346,'Key inputs_Refineries'!$B$85:$B$164,"Boiler"))&gt;0,SUMIFS('Key inputs_Refineries'!F$85:F$164,'Key inputs_Refineries'!$C$85:$C$164,$C344,'Key inputs_Refineries'!$B$85:$B$164,"Boiler")/SUM(SUMIFS('Key inputs_Refineries'!F$85:F$164,'Key inputs_Refineries'!$C$85:$C$164,$C337:$C346,'Key inputs_Refineries'!$B$85:$B$164,"Boiler"))&lt;0.001),0.001,SUMIFS('Key inputs_Refineries'!F$85:F$164,'Key inputs_Refineries'!$C$85:$C$164,$C344,'Key inputs_Refineries'!$B$85:$B$164,"Boiler")/SUM(SUMIFS('Key inputs_Refineries'!F$85:F$164,'Key inputs_Refineries'!$C$85:$C$164,$C337:$C346,'Key inputs_Refineries'!$B$85:$B$164,"Boiler"))),0)</f>
        <v>0</v>
      </c>
      <c r="M344" s="173" cm="1">
        <f t="array" ref="M344">IFERROR(IF(AND(SUMIFS('Key inputs_Refineries'!G$85:G$164,'Key inputs_Refineries'!$C$85:$C$164,$C344,'Key inputs_Refineries'!$B$85:$B$164,"Boiler")/SUM(SUMIFS('Key inputs_Refineries'!G$85:G$164,'Key inputs_Refineries'!$C$85:$C$164,$C337:$C346,'Key inputs_Refineries'!$B$85:$B$164,"Boiler"))&gt;0,SUMIFS('Key inputs_Refineries'!G$85:G$164,'Key inputs_Refineries'!$C$85:$C$164,$C344,'Key inputs_Refineries'!$B$85:$B$164,"Boiler")/SUM(SUMIFS('Key inputs_Refineries'!G$85:G$164,'Key inputs_Refineries'!$C$85:$C$164,$C337:$C346,'Key inputs_Refineries'!$B$85:$B$164,"Boiler"))&lt;0.001),0.001,SUMIFS('Key inputs_Refineries'!G$85:G$164,'Key inputs_Refineries'!$C$85:$C$164,$C344,'Key inputs_Refineries'!$B$85:$B$164,"Boiler")/SUM(SUMIFS('Key inputs_Refineries'!G$85:G$164,'Key inputs_Refineries'!$C$85:$C$164,$C337:$C346,'Key inputs_Refineries'!$B$85:$B$164,"Boiler"))),0)</f>
        <v>0</v>
      </c>
      <c r="N344" s="173" cm="1">
        <f t="array" ref="N344">IFERROR(IF(AND(SUMIFS('Key inputs_Refineries'!H$85:H$164,'Key inputs_Refineries'!$C$85:$C$164,$C344,'Key inputs_Refineries'!$B$85:$B$164,"Boiler")/SUM(SUMIFS('Key inputs_Refineries'!H$85:H$164,'Key inputs_Refineries'!$C$85:$C$164,$C337:$C346,'Key inputs_Refineries'!$B$85:$B$164,"Boiler"))&gt;0,SUMIFS('Key inputs_Refineries'!H$85:H$164,'Key inputs_Refineries'!$C$85:$C$164,$C344,'Key inputs_Refineries'!$B$85:$B$164,"Boiler")/SUM(SUMIFS('Key inputs_Refineries'!H$85:H$164,'Key inputs_Refineries'!$C$85:$C$164,$C337:$C346,'Key inputs_Refineries'!$B$85:$B$164,"Boiler"))&lt;0.001),0.001,SUMIFS('Key inputs_Refineries'!H$85:H$164,'Key inputs_Refineries'!$C$85:$C$164,$C344,'Key inputs_Refineries'!$B$85:$B$164,"Boiler")/SUM(SUMIFS('Key inputs_Refineries'!H$85:H$164,'Key inputs_Refineries'!$C$85:$C$164,$C337:$C346,'Key inputs_Refineries'!$B$85:$B$164,"Boiler"))),0)</f>
        <v>0</v>
      </c>
      <c r="O344" s="173" cm="1">
        <f t="array" ref="O344">IFERROR(IF(AND(SUMIFS('Key inputs_Refineries'!I$85:I$164,'Key inputs_Refineries'!$C$85:$C$164,$C344,'Key inputs_Refineries'!$B$85:$B$164,"Boiler")/SUM(SUMIFS('Key inputs_Refineries'!I$85:I$164,'Key inputs_Refineries'!$C$85:$C$164,$C337:$C346,'Key inputs_Refineries'!$B$85:$B$164,"Boiler"))&gt;0,SUMIFS('Key inputs_Refineries'!I$85:I$164,'Key inputs_Refineries'!$C$85:$C$164,$C344,'Key inputs_Refineries'!$B$85:$B$164,"Boiler")/SUM(SUMIFS('Key inputs_Refineries'!I$85:I$164,'Key inputs_Refineries'!$C$85:$C$164,$C337:$C346,'Key inputs_Refineries'!$B$85:$B$164,"Boiler"))&lt;0.001),0.001,SUMIFS('Key inputs_Refineries'!I$85:I$164,'Key inputs_Refineries'!$C$85:$C$164,$C344,'Key inputs_Refineries'!$B$85:$B$164,"Boiler")/SUM(SUMIFS('Key inputs_Refineries'!I$85:I$164,'Key inputs_Refineries'!$C$85:$C$164,$C337:$C346,'Key inputs_Refineries'!$B$85:$B$164,"Boiler"))),0)</f>
        <v>0</v>
      </c>
      <c r="P344" s="173" cm="1">
        <f t="array" ref="P344">IFERROR(IF(AND(SUMIFS('Key inputs_Refineries'!J$85:J$164,'Key inputs_Refineries'!$C$85:$C$164,$C344,'Key inputs_Refineries'!$B$85:$B$164,"Boiler")/SUM(SUMIFS('Key inputs_Refineries'!J$85:J$164,'Key inputs_Refineries'!$C$85:$C$164,$C337:$C346,'Key inputs_Refineries'!$B$85:$B$164,"Boiler"))&gt;0,SUMIFS('Key inputs_Refineries'!J$85:J$164,'Key inputs_Refineries'!$C$85:$C$164,$C344,'Key inputs_Refineries'!$B$85:$B$164,"Boiler")/SUM(SUMIFS('Key inputs_Refineries'!J$85:J$164,'Key inputs_Refineries'!$C$85:$C$164,$C337:$C346,'Key inputs_Refineries'!$B$85:$B$164,"Boiler"))&lt;0.001),0.001,SUMIFS('Key inputs_Refineries'!J$85:J$164,'Key inputs_Refineries'!$C$85:$C$164,$C344,'Key inputs_Refineries'!$B$85:$B$164,"Boiler")/SUM(SUMIFS('Key inputs_Refineries'!J$85:J$164,'Key inputs_Refineries'!$C$85:$C$164,$C337:$C346,'Key inputs_Refineries'!$B$85:$B$164,"Boiler"))),0)</f>
        <v>0</v>
      </c>
      <c r="Q344" s="173" cm="1">
        <f t="array" ref="Q344">IFERROR(IF(AND(SUMIFS('Key inputs_Refineries'!K$85:K$164,'Key inputs_Refineries'!$C$85:$C$164,$C344,'Key inputs_Refineries'!$B$85:$B$164,"Boiler")/SUM(SUMIFS('Key inputs_Refineries'!K$85:K$164,'Key inputs_Refineries'!$C$85:$C$164,$C337:$C346,'Key inputs_Refineries'!$B$85:$B$164,"Boiler"))&gt;0,SUMIFS('Key inputs_Refineries'!K$85:K$164,'Key inputs_Refineries'!$C$85:$C$164,$C344,'Key inputs_Refineries'!$B$85:$B$164,"Boiler")/SUM(SUMIFS('Key inputs_Refineries'!K$85:K$164,'Key inputs_Refineries'!$C$85:$C$164,$C337:$C346,'Key inputs_Refineries'!$B$85:$B$164,"Boiler"))&lt;0.001),0.001,SUMIFS('Key inputs_Refineries'!K$85:K$164,'Key inputs_Refineries'!$C$85:$C$164,$C344,'Key inputs_Refineries'!$B$85:$B$164,"Boiler")/SUM(SUMIFS('Key inputs_Refineries'!K$85:K$164,'Key inputs_Refineries'!$C$85:$C$164,$C337:$C346,'Key inputs_Refineries'!$B$85:$B$164,"Boiler"))),0)</f>
        <v>0</v>
      </c>
      <c r="R344" s="173" cm="1">
        <f t="array" ref="R344">IFERROR(IF(AND(SUMIFS('Key inputs_Refineries'!L$85:L$164,'Key inputs_Refineries'!$C$85:$C$164,$C344,'Key inputs_Refineries'!$B$85:$B$164,"Boiler")/SUM(SUMIFS('Key inputs_Refineries'!L$85:L$164,'Key inputs_Refineries'!$C$85:$C$164,$C337:$C346,'Key inputs_Refineries'!$B$85:$B$164,"Boiler"))&gt;0,SUMIFS('Key inputs_Refineries'!L$85:L$164,'Key inputs_Refineries'!$C$85:$C$164,$C344,'Key inputs_Refineries'!$B$85:$B$164,"Boiler")/SUM(SUMIFS('Key inputs_Refineries'!L$85:L$164,'Key inputs_Refineries'!$C$85:$C$164,$C337:$C346,'Key inputs_Refineries'!$B$85:$B$164,"Boiler"))&lt;0.001),0.001,SUMIFS('Key inputs_Refineries'!L$85:L$164,'Key inputs_Refineries'!$C$85:$C$164,$C344,'Key inputs_Refineries'!$B$85:$B$164,"Boiler")/SUM(SUMIFS('Key inputs_Refineries'!L$85:L$164,'Key inputs_Refineries'!$C$85:$C$164,$C337:$C346,'Key inputs_Refineries'!$B$85:$B$164,"Boiler"))),0)</f>
        <v>0</v>
      </c>
      <c r="S344" s="173" cm="1">
        <f t="array" ref="S344">IFERROR(IF(AND(SUMIFS('Key inputs_Refineries'!M$85:M$164,'Key inputs_Refineries'!$C$85:$C$164,$C344,'Key inputs_Refineries'!$B$85:$B$164,"Boiler")/SUM(SUMIFS('Key inputs_Refineries'!M$85:M$164,'Key inputs_Refineries'!$C$85:$C$164,$C337:$C346,'Key inputs_Refineries'!$B$85:$B$164,"Boiler"))&gt;0,SUMIFS('Key inputs_Refineries'!M$85:M$164,'Key inputs_Refineries'!$C$85:$C$164,$C344,'Key inputs_Refineries'!$B$85:$B$164,"Boiler")/SUM(SUMIFS('Key inputs_Refineries'!M$85:M$164,'Key inputs_Refineries'!$C$85:$C$164,$C337:$C346,'Key inputs_Refineries'!$B$85:$B$164,"Boiler"))&lt;0.001),0.001,SUMIFS('Key inputs_Refineries'!M$85:M$164,'Key inputs_Refineries'!$C$85:$C$164,$C344,'Key inputs_Refineries'!$B$85:$B$164,"Boiler")/SUM(SUMIFS('Key inputs_Refineries'!M$85:M$164,'Key inputs_Refineries'!$C$85:$C$164,$C337:$C346,'Key inputs_Refineries'!$B$85:$B$164,"Boiler"))),0)</f>
        <v>0</v>
      </c>
      <c r="T344" s="173" cm="1">
        <f t="array" ref="T344">IFERROR(IF(AND(SUMIFS('Key inputs_Refineries'!N$85:N$164,'Key inputs_Refineries'!$C$85:$C$164,$C344,'Key inputs_Refineries'!$B$85:$B$164,"Boiler")/SUM(SUMIFS('Key inputs_Refineries'!N$85:N$164,'Key inputs_Refineries'!$C$85:$C$164,$C337:$C346,'Key inputs_Refineries'!$B$85:$B$164,"Boiler"))&gt;0,SUMIFS('Key inputs_Refineries'!N$85:N$164,'Key inputs_Refineries'!$C$85:$C$164,$C344,'Key inputs_Refineries'!$B$85:$B$164,"Boiler")/SUM(SUMIFS('Key inputs_Refineries'!N$85:N$164,'Key inputs_Refineries'!$C$85:$C$164,$C337:$C346,'Key inputs_Refineries'!$B$85:$B$164,"Boiler"))&lt;0.001),0.001,SUMIFS('Key inputs_Refineries'!N$85:N$164,'Key inputs_Refineries'!$C$85:$C$164,$C344,'Key inputs_Refineries'!$B$85:$B$164,"Boiler")/SUM(SUMIFS('Key inputs_Refineries'!N$85:N$164,'Key inputs_Refineries'!$C$85:$C$164,$C337:$C346,'Key inputs_Refineries'!$B$85:$B$164,"Boiler"))),0)</f>
        <v>0</v>
      </c>
      <c r="U344" s="173" cm="1">
        <f t="array" ref="U344">IFERROR(IF(AND(SUMIFS('Key inputs_Refineries'!O$85:O$164,'Key inputs_Refineries'!$C$85:$C$164,$C344,'Key inputs_Refineries'!$B$85:$B$164,"Boiler")/SUM(SUMIFS('Key inputs_Refineries'!O$85:O$164,'Key inputs_Refineries'!$C$85:$C$164,$C337:$C346,'Key inputs_Refineries'!$B$85:$B$164,"Boiler"))&gt;0,SUMIFS('Key inputs_Refineries'!O$85:O$164,'Key inputs_Refineries'!$C$85:$C$164,$C344,'Key inputs_Refineries'!$B$85:$B$164,"Boiler")/SUM(SUMIFS('Key inputs_Refineries'!O$85:O$164,'Key inputs_Refineries'!$C$85:$C$164,$C337:$C346,'Key inputs_Refineries'!$B$85:$B$164,"Boiler"))&lt;0.001),0.001,SUMIFS('Key inputs_Refineries'!O$85:O$164,'Key inputs_Refineries'!$C$85:$C$164,$C344,'Key inputs_Refineries'!$B$85:$B$164,"Boiler")/SUM(SUMIFS('Key inputs_Refineries'!O$85:O$164,'Key inputs_Refineries'!$C$85:$C$164,$C337:$C346,'Key inputs_Refineries'!$B$85:$B$164,"Boiler"))),0)</f>
        <v>0</v>
      </c>
      <c r="V344" s="173" cm="1">
        <f t="array" ref="V344">IFERROR(IF(AND(SUMIFS('Key inputs_Refineries'!P$85:P$164,'Key inputs_Refineries'!$C$85:$C$164,$C344,'Key inputs_Refineries'!$B$85:$B$164,"Boiler")/SUM(SUMIFS('Key inputs_Refineries'!P$85:P$164,'Key inputs_Refineries'!$C$85:$C$164,$C337:$C346,'Key inputs_Refineries'!$B$85:$B$164,"Boiler"))&gt;0,SUMIFS('Key inputs_Refineries'!P$85:P$164,'Key inputs_Refineries'!$C$85:$C$164,$C344,'Key inputs_Refineries'!$B$85:$B$164,"Boiler")/SUM(SUMIFS('Key inputs_Refineries'!P$85:P$164,'Key inputs_Refineries'!$C$85:$C$164,$C337:$C346,'Key inputs_Refineries'!$B$85:$B$164,"Boiler"))&lt;0.001),0.001,SUMIFS('Key inputs_Refineries'!P$85:P$164,'Key inputs_Refineries'!$C$85:$C$164,$C344,'Key inputs_Refineries'!$B$85:$B$164,"Boiler")/SUM(SUMIFS('Key inputs_Refineries'!P$85:P$164,'Key inputs_Refineries'!$C$85:$C$164,$C337:$C346,'Key inputs_Refineries'!$B$85:$B$164,"Boiler"))),0)</f>
        <v>8.1634477464035786E-3</v>
      </c>
      <c r="W344" s="173" cm="1">
        <f t="array" ref="W344">IFERROR(IF(AND(SUMIFS('Key inputs_Refineries'!Q$85:Q$164,'Key inputs_Refineries'!$C$85:$C$164,$C344,'Key inputs_Refineries'!$B$85:$B$164,"Boiler")/SUM(SUMIFS('Key inputs_Refineries'!Q$85:Q$164,'Key inputs_Refineries'!$C$85:$C$164,$C337:$C346,'Key inputs_Refineries'!$B$85:$B$164,"Boiler"))&gt;0,SUMIFS('Key inputs_Refineries'!Q$85:Q$164,'Key inputs_Refineries'!$C$85:$C$164,$C344,'Key inputs_Refineries'!$B$85:$B$164,"Boiler")/SUM(SUMIFS('Key inputs_Refineries'!Q$85:Q$164,'Key inputs_Refineries'!$C$85:$C$164,$C337:$C346,'Key inputs_Refineries'!$B$85:$B$164,"Boiler"))&lt;0.001),0.001,SUMIFS('Key inputs_Refineries'!Q$85:Q$164,'Key inputs_Refineries'!$C$85:$C$164,$C344,'Key inputs_Refineries'!$B$85:$B$164,"Boiler")/SUM(SUMIFS('Key inputs_Refineries'!Q$85:Q$164,'Key inputs_Refineries'!$C$85:$C$164,$C337:$C346,'Key inputs_Refineries'!$B$85:$B$164,"Boiler"))),0)</f>
        <v>0</v>
      </c>
      <c r="X344" s="173" cm="1">
        <f t="array" ref="X344">IFERROR(IF(AND(SUMIFS('Key inputs_Refineries'!R$85:R$164,'Key inputs_Refineries'!$C$85:$C$164,$C344,'Key inputs_Refineries'!$B$85:$B$164,"Boiler")/SUM(SUMIFS('Key inputs_Refineries'!R$85:R$164,'Key inputs_Refineries'!$C$85:$C$164,$C337:$C346,'Key inputs_Refineries'!$B$85:$B$164,"Boiler"))&gt;0,SUMIFS('Key inputs_Refineries'!R$85:R$164,'Key inputs_Refineries'!$C$85:$C$164,$C344,'Key inputs_Refineries'!$B$85:$B$164,"Boiler")/SUM(SUMIFS('Key inputs_Refineries'!R$85:R$164,'Key inputs_Refineries'!$C$85:$C$164,$C337:$C346,'Key inputs_Refineries'!$B$85:$B$164,"Boiler"))&lt;0.001),0.001,SUMIFS('Key inputs_Refineries'!R$85:R$164,'Key inputs_Refineries'!$C$85:$C$164,$C344,'Key inputs_Refineries'!$B$85:$B$164,"Boiler")/SUM(SUMIFS('Key inputs_Refineries'!R$85:R$164,'Key inputs_Refineries'!$C$85:$C$164,$C337:$C346,'Key inputs_Refineries'!$B$85:$B$164,"Boiler"))),0)</f>
        <v>0</v>
      </c>
      <c r="Y344" s="173" cm="1">
        <f t="array" ref="Y344">IFERROR(IF(AND(SUMIFS('Key inputs_Refineries'!S$85:S$164,'Key inputs_Refineries'!$C$85:$C$164,$C344,'Key inputs_Refineries'!$B$85:$B$164,"Boiler")/SUM(SUMIFS('Key inputs_Refineries'!S$85:S$164,'Key inputs_Refineries'!$C$85:$C$164,$C337:$C346,'Key inputs_Refineries'!$B$85:$B$164,"Boiler"))&gt;0,SUMIFS('Key inputs_Refineries'!S$85:S$164,'Key inputs_Refineries'!$C$85:$C$164,$C344,'Key inputs_Refineries'!$B$85:$B$164,"Boiler")/SUM(SUMIFS('Key inputs_Refineries'!S$85:S$164,'Key inputs_Refineries'!$C$85:$C$164,$C337:$C346,'Key inputs_Refineries'!$B$85:$B$164,"Boiler"))&lt;0.001),0.001,SUMIFS('Key inputs_Refineries'!S$85:S$164,'Key inputs_Refineries'!$C$85:$C$164,$C344,'Key inputs_Refineries'!$B$85:$B$164,"Boiler")/SUM(SUMIFS('Key inputs_Refineries'!S$85:S$164,'Key inputs_Refineries'!$C$85:$C$164,$C337:$C346,'Key inputs_Refineries'!$B$85:$B$164,"Boiler"))),0)</f>
        <v>0</v>
      </c>
      <c r="Z344" s="173" cm="1">
        <f t="array" ref="Z344">IFERROR(IF(AND(SUMIFS('Key inputs_Refineries'!T$85:T$164,'Key inputs_Refineries'!$C$85:$C$164,$C344,'Key inputs_Refineries'!$B$85:$B$164,"Boiler")/SUM(SUMIFS('Key inputs_Refineries'!T$85:T$164,'Key inputs_Refineries'!$C$85:$C$164,$C337:$C346,'Key inputs_Refineries'!$B$85:$B$164,"Boiler"))&gt;0,SUMIFS('Key inputs_Refineries'!T$85:T$164,'Key inputs_Refineries'!$C$85:$C$164,$C344,'Key inputs_Refineries'!$B$85:$B$164,"Boiler")/SUM(SUMIFS('Key inputs_Refineries'!T$85:T$164,'Key inputs_Refineries'!$C$85:$C$164,$C337:$C346,'Key inputs_Refineries'!$B$85:$B$164,"Boiler"))&lt;0.001),0.001,SUMIFS('Key inputs_Refineries'!T$85:T$164,'Key inputs_Refineries'!$C$85:$C$164,$C344,'Key inputs_Refineries'!$B$85:$B$164,"Boiler")/SUM(SUMIFS('Key inputs_Refineries'!T$85:T$164,'Key inputs_Refineries'!$C$85:$C$164,$C337:$C346,'Key inputs_Refineries'!$B$85:$B$164,"Boiler"))),0)</f>
        <v>0</v>
      </c>
      <c r="AA344" s="173" cm="1">
        <f t="array" ref="AA344">IFERROR(IF(AND(SUMIFS('Key inputs_Refineries'!U$85:U$164,'Key inputs_Refineries'!$C$85:$C$164,$C344,'Key inputs_Refineries'!$B$85:$B$164,"Boiler")/SUM(SUMIFS('Key inputs_Refineries'!U$85:U$164,'Key inputs_Refineries'!$C$85:$C$164,$C337:$C346,'Key inputs_Refineries'!$B$85:$B$164,"Boiler"))&gt;0,SUMIFS('Key inputs_Refineries'!U$85:U$164,'Key inputs_Refineries'!$C$85:$C$164,$C344,'Key inputs_Refineries'!$B$85:$B$164,"Boiler")/SUM(SUMIFS('Key inputs_Refineries'!U$85:U$164,'Key inputs_Refineries'!$C$85:$C$164,$C337:$C346,'Key inputs_Refineries'!$B$85:$B$164,"Boiler"))&lt;0.001),0.001,SUMIFS('Key inputs_Refineries'!U$85:U$164,'Key inputs_Refineries'!$C$85:$C$164,$C344,'Key inputs_Refineries'!$B$85:$B$164,"Boiler")/SUM(SUMIFS('Key inputs_Refineries'!U$85:U$164,'Key inputs_Refineries'!$C$85:$C$164,$C337:$C346,'Key inputs_Refineries'!$B$85:$B$164,"Boiler"))),0)</f>
        <v>0</v>
      </c>
      <c r="AB344" s="173" cm="1">
        <f t="array" ref="AB344">IFERROR(IF(AND(SUMIFS('Key inputs_Refineries'!V$85:V$164,'Key inputs_Refineries'!$C$85:$C$164,$C344,'Key inputs_Refineries'!$B$85:$B$164,"Boiler")/SUM(SUMIFS('Key inputs_Refineries'!V$85:V$164,'Key inputs_Refineries'!$C$85:$C$164,$C337:$C346,'Key inputs_Refineries'!$B$85:$B$164,"Boiler"))&gt;0,SUMIFS('Key inputs_Refineries'!V$85:V$164,'Key inputs_Refineries'!$C$85:$C$164,$C344,'Key inputs_Refineries'!$B$85:$B$164,"Boiler")/SUM(SUMIFS('Key inputs_Refineries'!V$85:V$164,'Key inputs_Refineries'!$C$85:$C$164,$C337:$C346,'Key inputs_Refineries'!$B$85:$B$164,"Boiler"))&lt;0.001),0.001,SUMIFS('Key inputs_Refineries'!V$85:V$164,'Key inputs_Refineries'!$C$85:$C$164,$C344,'Key inputs_Refineries'!$B$85:$B$164,"Boiler")/SUM(SUMIFS('Key inputs_Refineries'!V$85:V$164,'Key inputs_Refineries'!$C$85:$C$164,$C337:$C346,'Key inputs_Refineries'!$B$85:$B$164,"Boiler"))),0)</f>
        <v>0</v>
      </c>
      <c r="AC344" s="173" cm="1">
        <f t="array" ref="AC344">IFERROR(IF(AND(SUMIFS('Key inputs_Refineries'!W$85:W$164,'Key inputs_Refineries'!$C$85:$C$164,$C344,'Key inputs_Refineries'!$B$85:$B$164,"Boiler")/SUM(SUMIFS('Key inputs_Refineries'!W$85:W$164,'Key inputs_Refineries'!$C$85:$C$164,$C337:$C346,'Key inputs_Refineries'!$B$85:$B$164,"Boiler"))&gt;0,SUMIFS('Key inputs_Refineries'!W$85:W$164,'Key inputs_Refineries'!$C$85:$C$164,$C344,'Key inputs_Refineries'!$B$85:$B$164,"Boiler")/SUM(SUMIFS('Key inputs_Refineries'!W$85:W$164,'Key inputs_Refineries'!$C$85:$C$164,$C337:$C346,'Key inputs_Refineries'!$B$85:$B$164,"Boiler"))&lt;0.001),0.001,SUMIFS('Key inputs_Refineries'!W$85:W$164,'Key inputs_Refineries'!$C$85:$C$164,$C344,'Key inputs_Refineries'!$B$85:$B$164,"Boiler")/SUM(SUMIFS('Key inputs_Refineries'!W$85:W$164,'Key inputs_Refineries'!$C$85:$C$164,$C337:$C346,'Key inputs_Refineries'!$B$85:$B$164,"Boiler"))),0)</f>
        <v>0</v>
      </c>
      <c r="AD344" s="173" cm="1">
        <f t="array" ref="AD344">IFERROR(IF(AND(SUMIFS('Key inputs_Refineries'!X$85:X$164,'Key inputs_Refineries'!$C$85:$C$164,$C344,'Key inputs_Refineries'!$B$85:$B$164,"Boiler")/SUM(SUMIFS('Key inputs_Refineries'!X$85:X$164,'Key inputs_Refineries'!$C$85:$C$164,$C337:$C346,'Key inputs_Refineries'!$B$85:$B$164,"Boiler"))&gt;0,SUMIFS('Key inputs_Refineries'!X$85:X$164,'Key inputs_Refineries'!$C$85:$C$164,$C344,'Key inputs_Refineries'!$B$85:$B$164,"Boiler")/SUM(SUMIFS('Key inputs_Refineries'!X$85:X$164,'Key inputs_Refineries'!$C$85:$C$164,$C337:$C346,'Key inputs_Refineries'!$B$85:$B$164,"Boiler"))&lt;0.001),0.001,SUMIFS('Key inputs_Refineries'!X$85:X$164,'Key inputs_Refineries'!$C$85:$C$164,$C344,'Key inputs_Refineries'!$B$85:$B$164,"Boiler")/SUM(SUMIFS('Key inputs_Refineries'!X$85:X$164,'Key inputs_Refineries'!$C$85:$C$164,$C337:$C346,'Key inputs_Refineries'!$B$85:$B$164,"Boiler"))),0)</f>
        <v>4.2432215423606054E-3</v>
      </c>
      <c r="AE344" s="173" cm="1">
        <f t="array" ref="AE344">IFERROR(IF(AND(SUMIFS('Key inputs_Refineries'!Y$85:Y$164,'Key inputs_Refineries'!$C$85:$C$164,$C344,'Key inputs_Refineries'!$B$85:$B$164,"Boiler")/SUM(SUMIFS('Key inputs_Refineries'!Y$85:Y$164,'Key inputs_Refineries'!$C$85:$C$164,$C337:$C346,'Key inputs_Refineries'!$B$85:$B$164,"Boiler"))&gt;0,SUMIFS('Key inputs_Refineries'!Y$85:Y$164,'Key inputs_Refineries'!$C$85:$C$164,$C344,'Key inputs_Refineries'!$B$85:$B$164,"Boiler")/SUM(SUMIFS('Key inputs_Refineries'!Y$85:Y$164,'Key inputs_Refineries'!$C$85:$C$164,$C337:$C346,'Key inputs_Refineries'!$B$85:$B$164,"Boiler"))&lt;0.001),0.001,SUMIFS('Key inputs_Refineries'!Y$85:Y$164,'Key inputs_Refineries'!$C$85:$C$164,$C344,'Key inputs_Refineries'!$B$85:$B$164,"Boiler")/SUM(SUMIFS('Key inputs_Refineries'!Y$85:Y$164,'Key inputs_Refineries'!$C$85:$C$164,$C337:$C346,'Key inputs_Refineries'!$B$85:$B$164,"Boiler"))),0)</f>
        <v>1E-3</v>
      </c>
      <c r="AF344" s="173" cm="1">
        <f t="array" ref="AF344">IFERROR(IF(AND(SUMIFS('Key inputs_Refineries'!Z$85:Z$164,'Key inputs_Refineries'!$C$85:$C$164,$C344,'Key inputs_Refineries'!$B$85:$B$164,"Boiler")/SUM(SUMIFS('Key inputs_Refineries'!Z$85:Z$164,'Key inputs_Refineries'!$C$85:$C$164,$C337:$C346,'Key inputs_Refineries'!$B$85:$B$164,"Boiler"))&gt;0,SUMIFS('Key inputs_Refineries'!Z$85:Z$164,'Key inputs_Refineries'!$C$85:$C$164,$C344,'Key inputs_Refineries'!$B$85:$B$164,"Boiler")/SUM(SUMIFS('Key inputs_Refineries'!Z$85:Z$164,'Key inputs_Refineries'!$C$85:$C$164,$C337:$C346,'Key inputs_Refineries'!$B$85:$B$164,"Boiler"))&lt;0.001),0.001,SUMIFS('Key inputs_Refineries'!Z$85:Z$164,'Key inputs_Refineries'!$C$85:$C$164,$C344,'Key inputs_Refineries'!$B$85:$B$164,"Boiler")/SUM(SUMIFS('Key inputs_Refineries'!Z$85:Z$164,'Key inputs_Refineries'!$C$85:$C$164,$C337:$C346,'Key inputs_Refineries'!$B$85:$B$164,"Boiler"))),0)</f>
        <v>0</v>
      </c>
      <c r="AG344" s="173" cm="1">
        <f t="array" ref="AG344">IFERROR(IF(AND(SUMIFS('Key inputs_Refineries'!AA$85:AA$164,'Key inputs_Refineries'!$C$85:$C$164,$C344,'Key inputs_Refineries'!$B$85:$B$164,"Boiler")/SUM(SUMIFS('Key inputs_Refineries'!AA$85:AA$164,'Key inputs_Refineries'!$C$85:$C$164,$C337:$C346,'Key inputs_Refineries'!$B$85:$B$164,"Boiler"))&gt;0,SUMIFS('Key inputs_Refineries'!AA$85:AA$164,'Key inputs_Refineries'!$C$85:$C$164,$C344,'Key inputs_Refineries'!$B$85:$B$164,"Boiler")/SUM(SUMIFS('Key inputs_Refineries'!AA$85:AA$164,'Key inputs_Refineries'!$C$85:$C$164,$C337:$C346,'Key inputs_Refineries'!$B$85:$B$164,"Boiler"))&lt;0.001),0.001,SUMIFS('Key inputs_Refineries'!AA$85:AA$164,'Key inputs_Refineries'!$C$85:$C$164,$C344,'Key inputs_Refineries'!$B$85:$B$164,"Boiler")/SUM(SUMIFS('Key inputs_Refineries'!AA$85:AA$164,'Key inputs_Refineries'!$C$85:$C$164,$C337:$C346,'Key inputs_Refineries'!$B$85:$B$164,"Boiler"))),0)</f>
        <v>1.2999285657333546E-2</v>
      </c>
      <c r="AH344" s="173" cm="1">
        <f t="array" ref="AH344">IFERROR(IF(AND(SUMIFS('Key inputs_Refineries'!AB$85:AB$164,'Key inputs_Refineries'!$C$85:$C$164,$C344,'Key inputs_Refineries'!$B$85:$B$164,"Boiler")/SUM(SUMIFS('Key inputs_Refineries'!AB$85:AB$164,'Key inputs_Refineries'!$C$85:$C$164,$C337:$C346,'Key inputs_Refineries'!$B$85:$B$164,"Boiler"))&gt;0,SUMIFS('Key inputs_Refineries'!AB$85:AB$164,'Key inputs_Refineries'!$C$85:$C$164,$C344,'Key inputs_Refineries'!$B$85:$B$164,"Boiler")/SUM(SUMIFS('Key inputs_Refineries'!AB$85:AB$164,'Key inputs_Refineries'!$C$85:$C$164,$C337:$C346,'Key inputs_Refineries'!$B$85:$B$164,"Boiler"))&lt;0.001),0.001,SUMIFS('Key inputs_Refineries'!AB$85:AB$164,'Key inputs_Refineries'!$C$85:$C$164,$C344,'Key inputs_Refineries'!$B$85:$B$164,"Boiler")/SUM(SUMIFS('Key inputs_Refineries'!AB$85:AB$164,'Key inputs_Refineries'!$C$85:$C$164,$C337:$C346,'Key inputs_Refineries'!$B$85:$B$164,"Boiler"))),0)</f>
        <v>0</v>
      </c>
      <c r="AI344" s="173" cm="1">
        <f t="array" ref="AI344">IFERROR(IF(AND(SUMIFS('Key inputs_Refineries'!AC$85:AC$164,'Key inputs_Refineries'!$C$85:$C$164,$C344,'Key inputs_Refineries'!$B$85:$B$164,"Boiler")/SUM(SUMIFS('Key inputs_Refineries'!AC$85:AC$164,'Key inputs_Refineries'!$C$85:$C$164,$C337:$C346,'Key inputs_Refineries'!$B$85:$B$164,"Boiler"))&gt;0,SUMIFS('Key inputs_Refineries'!AC$85:AC$164,'Key inputs_Refineries'!$C$85:$C$164,$C344,'Key inputs_Refineries'!$B$85:$B$164,"Boiler")/SUM(SUMIFS('Key inputs_Refineries'!AC$85:AC$164,'Key inputs_Refineries'!$C$85:$C$164,$C337:$C346,'Key inputs_Refineries'!$B$85:$B$164,"Boiler"))&lt;0.001),0.001,SUMIFS('Key inputs_Refineries'!AC$85:AC$164,'Key inputs_Refineries'!$C$85:$C$164,$C344,'Key inputs_Refineries'!$B$85:$B$164,"Boiler")/SUM(SUMIFS('Key inputs_Refineries'!AC$85:AC$164,'Key inputs_Refineries'!$C$85:$C$164,$C337:$C346,'Key inputs_Refineries'!$B$85:$B$164,"Boiler"))),0)</f>
        <v>0</v>
      </c>
      <c r="AJ344" s="173" cm="1">
        <f t="array" ref="AJ344">IFERROR(IF(AND(SUMIFS('Key inputs_Refineries'!AD$85:AD$164,'Key inputs_Refineries'!$C$85:$C$164,$C344,'Key inputs_Refineries'!$B$85:$B$164,"Boiler")/SUM(SUMIFS('Key inputs_Refineries'!AD$85:AD$164,'Key inputs_Refineries'!$C$85:$C$164,$C337:$C346,'Key inputs_Refineries'!$B$85:$B$164,"Boiler"))&gt;0,SUMIFS('Key inputs_Refineries'!AD$85:AD$164,'Key inputs_Refineries'!$C$85:$C$164,$C344,'Key inputs_Refineries'!$B$85:$B$164,"Boiler")/SUM(SUMIFS('Key inputs_Refineries'!AD$85:AD$164,'Key inputs_Refineries'!$C$85:$C$164,$C337:$C346,'Key inputs_Refineries'!$B$85:$B$164,"Boiler"))&lt;0.001),0.001,SUMIFS('Key inputs_Refineries'!AD$85:AD$164,'Key inputs_Refineries'!$C$85:$C$164,$C344,'Key inputs_Refineries'!$B$85:$B$164,"Boiler")/SUM(SUMIFS('Key inputs_Refineries'!AD$85:AD$164,'Key inputs_Refineries'!$C$85:$C$164,$C337:$C346,'Key inputs_Refineries'!$B$85:$B$164,"Boiler"))),0)</f>
        <v>0</v>
      </c>
      <c r="AK344" s="173" cm="1">
        <f t="array" ref="AK344">IFERROR(IF(AND(SUMIFS('Key inputs_Refineries'!AE$85:AE$164,'Key inputs_Refineries'!$C$85:$C$164,$C344,'Key inputs_Refineries'!$B$85:$B$164,"Boiler")/SUM(SUMIFS('Key inputs_Refineries'!AE$85:AE$164,'Key inputs_Refineries'!$C$85:$C$164,$C337:$C346,'Key inputs_Refineries'!$B$85:$B$164,"Boiler"))&gt;0,SUMIFS('Key inputs_Refineries'!AE$85:AE$164,'Key inputs_Refineries'!$C$85:$C$164,$C344,'Key inputs_Refineries'!$B$85:$B$164,"Boiler")/SUM(SUMIFS('Key inputs_Refineries'!AE$85:AE$164,'Key inputs_Refineries'!$C$85:$C$164,$C337:$C346,'Key inputs_Refineries'!$B$85:$B$164,"Boiler"))&lt;0.001),0.001,SUMIFS('Key inputs_Refineries'!AE$85:AE$164,'Key inputs_Refineries'!$C$85:$C$164,$C344,'Key inputs_Refineries'!$B$85:$B$164,"Boiler")/SUM(SUMIFS('Key inputs_Refineries'!AE$85:AE$164,'Key inputs_Refineries'!$C$85:$C$164,$C337:$C346,'Key inputs_Refineries'!$B$85:$B$164,"Boiler"))),0)</f>
        <v>0</v>
      </c>
      <c r="AL344" s="173" cm="1">
        <f t="array" ref="AL344">IFERROR(IF(AND(SUMIFS('Key inputs_Refineries'!AF$85:AF$164,'Key inputs_Refineries'!$C$85:$C$164,$C344,'Key inputs_Refineries'!$B$85:$B$164,"Boiler")/SUM(SUMIFS('Key inputs_Refineries'!AF$85:AF$164,'Key inputs_Refineries'!$C$85:$C$164,$C337:$C346,'Key inputs_Refineries'!$B$85:$B$164,"Boiler"))&gt;0,SUMIFS('Key inputs_Refineries'!AF$85:AF$164,'Key inputs_Refineries'!$C$85:$C$164,$C344,'Key inputs_Refineries'!$B$85:$B$164,"Boiler")/SUM(SUMIFS('Key inputs_Refineries'!AF$85:AF$164,'Key inputs_Refineries'!$C$85:$C$164,$C337:$C346,'Key inputs_Refineries'!$B$85:$B$164,"Boiler"))&lt;0.001),0.001,SUMIFS('Key inputs_Refineries'!AF$85:AF$164,'Key inputs_Refineries'!$C$85:$C$164,$C344,'Key inputs_Refineries'!$B$85:$B$164,"Boiler")/SUM(SUMIFS('Key inputs_Refineries'!AF$85:AF$164,'Key inputs_Refineries'!$C$85:$C$164,$C337:$C346,'Key inputs_Refineries'!$B$85:$B$164,"Boiler"))),0)</f>
        <v>1E-3</v>
      </c>
    </row>
    <row r="345" spans="1:38">
      <c r="C345" t="str">
        <f>Commodities!$C$99</f>
        <v>UPSOIL</v>
      </c>
      <c r="G345" s="4" t="s">
        <v>702</v>
      </c>
      <c r="H345" t="s">
        <v>661</v>
      </c>
      <c r="I345">
        <v>2019</v>
      </c>
      <c r="J345" t="s">
        <v>650</v>
      </c>
      <c r="K345" s="173" cm="1">
        <f t="array" ref="K345">IFERROR(IF(AND(SUMIFS('Key inputs_Refineries'!E$85:E$164,'Key inputs_Refineries'!$C$85:$C$164,$C345,'Key inputs_Refineries'!$B$85:$B$164,"Boiler")/SUM(SUMIFS('Key inputs_Refineries'!E$85:E$164,'Key inputs_Refineries'!$C$85:$C$164,$C337:$C346,'Key inputs_Refineries'!$B$85:$B$164,"Boiler"))&gt;0,SUMIFS('Key inputs_Refineries'!E$85:E$164,'Key inputs_Refineries'!$C$85:$C$164,$C345,'Key inputs_Refineries'!$B$85:$B$164,"Boiler")/SUM(SUMIFS('Key inputs_Refineries'!E$85:E$164,'Key inputs_Refineries'!$C$85:$C$164,$C337:$C346,'Key inputs_Refineries'!$B$85:$B$164,"Boiler"))&lt;0.001),0.001,SUMIFS('Key inputs_Refineries'!E$85:E$164,'Key inputs_Refineries'!$C$85:$C$164,$C345,'Key inputs_Refineries'!$B$85:$B$164,"Boiler")/SUM(SUMIFS('Key inputs_Refineries'!E$85:E$164,'Key inputs_Refineries'!$C$85:$C$164,$C337:$C346,'Key inputs_Refineries'!$B$85:$B$164,"Boiler"))),0)</f>
        <v>0</v>
      </c>
      <c r="L345" s="173" cm="1">
        <f t="array" ref="L345">IFERROR(IF(AND(SUMIFS('Key inputs_Refineries'!F$85:F$164,'Key inputs_Refineries'!$C$85:$C$164,$C345,'Key inputs_Refineries'!$B$85:$B$164,"Boiler")/SUM(SUMIFS('Key inputs_Refineries'!F$85:F$164,'Key inputs_Refineries'!$C$85:$C$164,$C337:$C346,'Key inputs_Refineries'!$B$85:$B$164,"Boiler"))&gt;0,SUMIFS('Key inputs_Refineries'!F$85:F$164,'Key inputs_Refineries'!$C$85:$C$164,$C345,'Key inputs_Refineries'!$B$85:$B$164,"Boiler")/SUM(SUMIFS('Key inputs_Refineries'!F$85:F$164,'Key inputs_Refineries'!$C$85:$C$164,$C337:$C346,'Key inputs_Refineries'!$B$85:$B$164,"Boiler"))&lt;0.001),0.001,SUMIFS('Key inputs_Refineries'!F$85:F$164,'Key inputs_Refineries'!$C$85:$C$164,$C345,'Key inputs_Refineries'!$B$85:$B$164,"Boiler")/SUM(SUMIFS('Key inputs_Refineries'!F$85:F$164,'Key inputs_Refineries'!$C$85:$C$164,$C337:$C346,'Key inputs_Refineries'!$B$85:$B$164,"Boiler"))),0)</f>
        <v>0.62534828705571477</v>
      </c>
      <c r="M345" s="173" cm="1">
        <f t="array" ref="M345">IFERROR(IF(AND(SUMIFS('Key inputs_Refineries'!G$85:G$164,'Key inputs_Refineries'!$C$85:$C$164,$C345,'Key inputs_Refineries'!$B$85:$B$164,"Boiler")/SUM(SUMIFS('Key inputs_Refineries'!G$85:G$164,'Key inputs_Refineries'!$C$85:$C$164,$C337:$C346,'Key inputs_Refineries'!$B$85:$B$164,"Boiler"))&gt;0,SUMIFS('Key inputs_Refineries'!G$85:G$164,'Key inputs_Refineries'!$C$85:$C$164,$C345,'Key inputs_Refineries'!$B$85:$B$164,"Boiler")/SUM(SUMIFS('Key inputs_Refineries'!G$85:G$164,'Key inputs_Refineries'!$C$85:$C$164,$C337:$C346,'Key inputs_Refineries'!$B$85:$B$164,"Boiler"))&lt;0.001),0.001,SUMIFS('Key inputs_Refineries'!G$85:G$164,'Key inputs_Refineries'!$C$85:$C$164,$C345,'Key inputs_Refineries'!$B$85:$B$164,"Boiler")/SUM(SUMIFS('Key inputs_Refineries'!G$85:G$164,'Key inputs_Refineries'!$C$85:$C$164,$C337:$C346,'Key inputs_Refineries'!$B$85:$B$164,"Boiler"))),0)</f>
        <v>0.31134470367789346</v>
      </c>
      <c r="N345" s="173" cm="1">
        <f t="array" ref="N345">IFERROR(IF(AND(SUMIFS('Key inputs_Refineries'!H$85:H$164,'Key inputs_Refineries'!$C$85:$C$164,$C345,'Key inputs_Refineries'!$B$85:$B$164,"Boiler")/SUM(SUMIFS('Key inputs_Refineries'!H$85:H$164,'Key inputs_Refineries'!$C$85:$C$164,$C337:$C346,'Key inputs_Refineries'!$B$85:$B$164,"Boiler"))&gt;0,SUMIFS('Key inputs_Refineries'!H$85:H$164,'Key inputs_Refineries'!$C$85:$C$164,$C345,'Key inputs_Refineries'!$B$85:$B$164,"Boiler")/SUM(SUMIFS('Key inputs_Refineries'!H$85:H$164,'Key inputs_Refineries'!$C$85:$C$164,$C337:$C346,'Key inputs_Refineries'!$B$85:$B$164,"Boiler"))&lt;0.001),0.001,SUMIFS('Key inputs_Refineries'!H$85:H$164,'Key inputs_Refineries'!$C$85:$C$164,$C345,'Key inputs_Refineries'!$B$85:$B$164,"Boiler")/SUM(SUMIFS('Key inputs_Refineries'!H$85:H$164,'Key inputs_Refineries'!$C$85:$C$164,$C337:$C346,'Key inputs_Refineries'!$B$85:$B$164,"Boiler"))),0)</f>
        <v>0</v>
      </c>
      <c r="O345" s="173" cm="1">
        <f t="array" ref="O345">IFERROR(IF(AND(SUMIFS('Key inputs_Refineries'!I$85:I$164,'Key inputs_Refineries'!$C$85:$C$164,$C345,'Key inputs_Refineries'!$B$85:$B$164,"Boiler")/SUM(SUMIFS('Key inputs_Refineries'!I$85:I$164,'Key inputs_Refineries'!$C$85:$C$164,$C337:$C346,'Key inputs_Refineries'!$B$85:$B$164,"Boiler"))&gt;0,SUMIFS('Key inputs_Refineries'!I$85:I$164,'Key inputs_Refineries'!$C$85:$C$164,$C345,'Key inputs_Refineries'!$B$85:$B$164,"Boiler")/SUM(SUMIFS('Key inputs_Refineries'!I$85:I$164,'Key inputs_Refineries'!$C$85:$C$164,$C337:$C346,'Key inputs_Refineries'!$B$85:$B$164,"Boiler"))&lt;0.001),0.001,SUMIFS('Key inputs_Refineries'!I$85:I$164,'Key inputs_Refineries'!$C$85:$C$164,$C345,'Key inputs_Refineries'!$B$85:$B$164,"Boiler")/SUM(SUMIFS('Key inputs_Refineries'!I$85:I$164,'Key inputs_Refineries'!$C$85:$C$164,$C337:$C346,'Key inputs_Refineries'!$B$85:$B$164,"Boiler"))),0)</f>
        <v>0</v>
      </c>
      <c r="P345" s="173" cm="1">
        <f t="array" ref="P345">IFERROR(IF(AND(SUMIFS('Key inputs_Refineries'!J$85:J$164,'Key inputs_Refineries'!$C$85:$C$164,$C345,'Key inputs_Refineries'!$B$85:$B$164,"Boiler")/SUM(SUMIFS('Key inputs_Refineries'!J$85:J$164,'Key inputs_Refineries'!$C$85:$C$164,$C337:$C346,'Key inputs_Refineries'!$B$85:$B$164,"Boiler"))&gt;0,SUMIFS('Key inputs_Refineries'!J$85:J$164,'Key inputs_Refineries'!$C$85:$C$164,$C345,'Key inputs_Refineries'!$B$85:$B$164,"Boiler")/SUM(SUMIFS('Key inputs_Refineries'!J$85:J$164,'Key inputs_Refineries'!$C$85:$C$164,$C337:$C346,'Key inputs_Refineries'!$B$85:$B$164,"Boiler"))&lt;0.001),0.001,SUMIFS('Key inputs_Refineries'!J$85:J$164,'Key inputs_Refineries'!$C$85:$C$164,$C345,'Key inputs_Refineries'!$B$85:$B$164,"Boiler")/SUM(SUMIFS('Key inputs_Refineries'!J$85:J$164,'Key inputs_Refineries'!$C$85:$C$164,$C337:$C346,'Key inputs_Refineries'!$B$85:$B$164,"Boiler"))),0)</f>
        <v>6.7577884287611982E-3</v>
      </c>
      <c r="Q345" s="173" cm="1">
        <f t="array" ref="Q345">IFERROR(IF(AND(SUMIFS('Key inputs_Refineries'!K$85:K$164,'Key inputs_Refineries'!$C$85:$C$164,$C345,'Key inputs_Refineries'!$B$85:$B$164,"Boiler")/SUM(SUMIFS('Key inputs_Refineries'!K$85:K$164,'Key inputs_Refineries'!$C$85:$C$164,$C337:$C346,'Key inputs_Refineries'!$B$85:$B$164,"Boiler"))&gt;0,SUMIFS('Key inputs_Refineries'!K$85:K$164,'Key inputs_Refineries'!$C$85:$C$164,$C345,'Key inputs_Refineries'!$B$85:$B$164,"Boiler")/SUM(SUMIFS('Key inputs_Refineries'!K$85:K$164,'Key inputs_Refineries'!$C$85:$C$164,$C337:$C346,'Key inputs_Refineries'!$B$85:$B$164,"Boiler"))&lt;0.001),0.001,SUMIFS('Key inputs_Refineries'!K$85:K$164,'Key inputs_Refineries'!$C$85:$C$164,$C345,'Key inputs_Refineries'!$B$85:$B$164,"Boiler")/SUM(SUMIFS('Key inputs_Refineries'!K$85:K$164,'Key inputs_Refineries'!$C$85:$C$164,$C337:$C346,'Key inputs_Refineries'!$B$85:$B$164,"Boiler"))),0)</f>
        <v>6.2820913515202928E-2</v>
      </c>
      <c r="R345" s="173" cm="1">
        <f t="array" ref="R345">IFERROR(IF(AND(SUMIFS('Key inputs_Refineries'!L$85:L$164,'Key inputs_Refineries'!$C$85:$C$164,$C345,'Key inputs_Refineries'!$B$85:$B$164,"Boiler")/SUM(SUMIFS('Key inputs_Refineries'!L$85:L$164,'Key inputs_Refineries'!$C$85:$C$164,$C337:$C346,'Key inputs_Refineries'!$B$85:$B$164,"Boiler"))&gt;0,SUMIFS('Key inputs_Refineries'!L$85:L$164,'Key inputs_Refineries'!$C$85:$C$164,$C345,'Key inputs_Refineries'!$B$85:$B$164,"Boiler")/SUM(SUMIFS('Key inputs_Refineries'!L$85:L$164,'Key inputs_Refineries'!$C$85:$C$164,$C337:$C346,'Key inputs_Refineries'!$B$85:$B$164,"Boiler"))&lt;0.001),0.001,SUMIFS('Key inputs_Refineries'!L$85:L$164,'Key inputs_Refineries'!$C$85:$C$164,$C345,'Key inputs_Refineries'!$B$85:$B$164,"Boiler")/SUM(SUMIFS('Key inputs_Refineries'!L$85:L$164,'Key inputs_Refineries'!$C$85:$C$164,$C337:$C346,'Key inputs_Refineries'!$B$85:$B$164,"Boiler"))),0)</f>
        <v>0</v>
      </c>
      <c r="S345" s="173" cm="1">
        <f t="array" ref="S345">IFERROR(IF(AND(SUMIFS('Key inputs_Refineries'!M$85:M$164,'Key inputs_Refineries'!$C$85:$C$164,$C345,'Key inputs_Refineries'!$B$85:$B$164,"Boiler")/SUM(SUMIFS('Key inputs_Refineries'!M$85:M$164,'Key inputs_Refineries'!$C$85:$C$164,$C337:$C346,'Key inputs_Refineries'!$B$85:$B$164,"Boiler"))&gt;0,SUMIFS('Key inputs_Refineries'!M$85:M$164,'Key inputs_Refineries'!$C$85:$C$164,$C345,'Key inputs_Refineries'!$B$85:$B$164,"Boiler")/SUM(SUMIFS('Key inputs_Refineries'!M$85:M$164,'Key inputs_Refineries'!$C$85:$C$164,$C337:$C346,'Key inputs_Refineries'!$B$85:$B$164,"Boiler"))&lt;0.001),0.001,SUMIFS('Key inputs_Refineries'!M$85:M$164,'Key inputs_Refineries'!$C$85:$C$164,$C345,'Key inputs_Refineries'!$B$85:$B$164,"Boiler")/SUM(SUMIFS('Key inputs_Refineries'!M$85:M$164,'Key inputs_Refineries'!$C$85:$C$164,$C337:$C346,'Key inputs_Refineries'!$B$85:$B$164,"Boiler"))),0)</f>
        <v>0</v>
      </c>
      <c r="T345" s="173" cm="1">
        <f t="array" ref="T345">IFERROR(IF(AND(SUMIFS('Key inputs_Refineries'!N$85:N$164,'Key inputs_Refineries'!$C$85:$C$164,$C345,'Key inputs_Refineries'!$B$85:$B$164,"Boiler")/SUM(SUMIFS('Key inputs_Refineries'!N$85:N$164,'Key inputs_Refineries'!$C$85:$C$164,$C337:$C346,'Key inputs_Refineries'!$B$85:$B$164,"Boiler"))&gt;0,SUMIFS('Key inputs_Refineries'!N$85:N$164,'Key inputs_Refineries'!$C$85:$C$164,$C345,'Key inputs_Refineries'!$B$85:$B$164,"Boiler")/SUM(SUMIFS('Key inputs_Refineries'!N$85:N$164,'Key inputs_Refineries'!$C$85:$C$164,$C337:$C346,'Key inputs_Refineries'!$B$85:$B$164,"Boiler"))&lt;0.001),0.001,SUMIFS('Key inputs_Refineries'!N$85:N$164,'Key inputs_Refineries'!$C$85:$C$164,$C345,'Key inputs_Refineries'!$B$85:$B$164,"Boiler")/SUM(SUMIFS('Key inputs_Refineries'!N$85:N$164,'Key inputs_Refineries'!$C$85:$C$164,$C337:$C346,'Key inputs_Refineries'!$B$85:$B$164,"Boiler"))),0)</f>
        <v>0</v>
      </c>
      <c r="U345" s="173" cm="1">
        <f t="array" ref="U345">IFERROR(IF(AND(SUMIFS('Key inputs_Refineries'!O$85:O$164,'Key inputs_Refineries'!$C$85:$C$164,$C345,'Key inputs_Refineries'!$B$85:$B$164,"Boiler")/SUM(SUMIFS('Key inputs_Refineries'!O$85:O$164,'Key inputs_Refineries'!$C$85:$C$164,$C337:$C346,'Key inputs_Refineries'!$B$85:$B$164,"Boiler"))&gt;0,SUMIFS('Key inputs_Refineries'!O$85:O$164,'Key inputs_Refineries'!$C$85:$C$164,$C345,'Key inputs_Refineries'!$B$85:$B$164,"Boiler")/SUM(SUMIFS('Key inputs_Refineries'!O$85:O$164,'Key inputs_Refineries'!$C$85:$C$164,$C337:$C346,'Key inputs_Refineries'!$B$85:$B$164,"Boiler"))&lt;0.001),0.001,SUMIFS('Key inputs_Refineries'!O$85:O$164,'Key inputs_Refineries'!$C$85:$C$164,$C345,'Key inputs_Refineries'!$B$85:$B$164,"Boiler")/SUM(SUMIFS('Key inputs_Refineries'!O$85:O$164,'Key inputs_Refineries'!$C$85:$C$164,$C337:$C346,'Key inputs_Refineries'!$B$85:$B$164,"Boiler"))),0)</f>
        <v>0</v>
      </c>
      <c r="V345" s="173" cm="1">
        <f t="array" ref="V345">IFERROR(IF(AND(SUMIFS('Key inputs_Refineries'!P$85:P$164,'Key inputs_Refineries'!$C$85:$C$164,$C345,'Key inputs_Refineries'!$B$85:$B$164,"Boiler")/SUM(SUMIFS('Key inputs_Refineries'!P$85:P$164,'Key inputs_Refineries'!$C$85:$C$164,$C337:$C346,'Key inputs_Refineries'!$B$85:$B$164,"Boiler"))&gt;0,SUMIFS('Key inputs_Refineries'!P$85:P$164,'Key inputs_Refineries'!$C$85:$C$164,$C345,'Key inputs_Refineries'!$B$85:$B$164,"Boiler")/SUM(SUMIFS('Key inputs_Refineries'!P$85:P$164,'Key inputs_Refineries'!$C$85:$C$164,$C337:$C346,'Key inputs_Refineries'!$B$85:$B$164,"Boiler"))&lt;0.001),0.001,SUMIFS('Key inputs_Refineries'!P$85:P$164,'Key inputs_Refineries'!$C$85:$C$164,$C345,'Key inputs_Refineries'!$B$85:$B$164,"Boiler")/SUM(SUMIFS('Key inputs_Refineries'!P$85:P$164,'Key inputs_Refineries'!$C$85:$C$164,$C337:$C346,'Key inputs_Refineries'!$B$85:$B$164,"Boiler"))),0)</f>
        <v>0</v>
      </c>
      <c r="W345" s="173" cm="1">
        <f t="array" ref="W345">IFERROR(IF(AND(SUMIFS('Key inputs_Refineries'!Q$85:Q$164,'Key inputs_Refineries'!$C$85:$C$164,$C345,'Key inputs_Refineries'!$B$85:$B$164,"Boiler")/SUM(SUMIFS('Key inputs_Refineries'!Q$85:Q$164,'Key inputs_Refineries'!$C$85:$C$164,$C337:$C346,'Key inputs_Refineries'!$B$85:$B$164,"Boiler"))&gt;0,SUMIFS('Key inputs_Refineries'!Q$85:Q$164,'Key inputs_Refineries'!$C$85:$C$164,$C345,'Key inputs_Refineries'!$B$85:$B$164,"Boiler")/SUM(SUMIFS('Key inputs_Refineries'!Q$85:Q$164,'Key inputs_Refineries'!$C$85:$C$164,$C337:$C346,'Key inputs_Refineries'!$B$85:$B$164,"Boiler"))&lt;0.001),0.001,SUMIFS('Key inputs_Refineries'!Q$85:Q$164,'Key inputs_Refineries'!$C$85:$C$164,$C345,'Key inputs_Refineries'!$B$85:$B$164,"Boiler")/SUM(SUMIFS('Key inputs_Refineries'!Q$85:Q$164,'Key inputs_Refineries'!$C$85:$C$164,$C337:$C346,'Key inputs_Refineries'!$B$85:$B$164,"Boiler"))),0)</f>
        <v>0</v>
      </c>
      <c r="X345" s="173" cm="1">
        <f t="array" ref="X345">IFERROR(IF(AND(SUMIFS('Key inputs_Refineries'!R$85:R$164,'Key inputs_Refineries'!$C$85:$C$164,$C345,'Key inputs_Refineries'!$B$85:$B$164,"Boiler")/SUM(SUMIFS('Key inputs_Refineries'!R$85:R$164,'Key inputs_Refineries'!$C$85:$C$164,$C337:$C346,'Key inputs_Refineries'!$B$85:$B$164,"Boiler"))&gt;0,SUMIFS('Key inputs_Refineries'!R$85:R$164,'Key inputs_Refineries'!$C$85:$C$164,$C345,'Key inputs_Refineries'!$B$85:$B$164,"Boiler")/SUM(SUMIFS('Key inputs_Refineries'!R$85:R$164,'Key inputs_Refineries'!$C$85:$C$164,$C337:$C346,'Key inputs_Refineries'!$B$85:$B$164,"Boiler"))&lt;0.001),0.001,SUMIFS('Key inputs_Refineries'!R$85:R$164,'Key inputs_Refineries'!$C$85:$C$164,$C345,'Key inputs_Refineries'!$B$85:$B$164,"Boiler")/SUM(SUMIFS('Key inputs_Refineries'!R$85:R$164,'Key inputs_Refineries'!$C$85:$C$164,$C337:$C346,'Key inputs_Refineries'!$B$85:$B$164,"Boiler"))),0)</f>
        <v>0</v>
      </c>
      <c r="Y345" s="173" cm="1">
        <f t="array" ref="Y345">IFERROR(IF(AND(SUMIFS('Key inputs_Refineries'!S$85:S$164,'Key inputs_Refineries'!$C$85:$C$164,$C345,'Key inputs_Refineries'!$B$85:$B$164,"Boiler")/SUM(SUMIFS('Key inputs_Refineries'!S$85:S$164,'Key inputs_Refineries'!$C$85:$C$164,$C337:$C346,'Key inputs_Refineries'!$B$85:$B$164,"Boiler"))&gt;0,SUMIFS('Key inputs_Refineries'!S$85:S$164,'Key inputs_Refineries'!$C$85:$C$164,$C345,'Key inputs_Refineries'!$B$85:$B$164,"Boiler")/SUM(SUMIFS('Key inputs_Refineries'!S$85:S$164,'Key inputs_Refineries'!$C$85:$C$164,$C337:$C346,'Key inputs_Refineries'!$B$85:$B$164,"Boiler"))&lt;0.001),0.001,SUMIFS('Key inputs_Refineries'!S$85:S$164,'Key inputs_Refineries'!$C$85:$C$164,$C345,'Key inputs_Refineries'!$B$85:$B$164,"Boiler")/SUM(SUMIFS('Key inputs_Refineries'!S$85:S$164,'Key inputs_Refineries'!$C$85:$C$164,$C337:$C346,'Key inputs_Refineries'!$B$85:$B$164,"Boiler"))),0)</f>
        <v>0</v>
      </c>
      <c r="Z345" s="173" cm="1">
        <f t="array" ref="Z345">IFERROR(IF(AND(SUMIFS('Key inputs_Refineries'!T$85:T$164,'Key inputs_Refineries'!$C$85:$C$164,$C345,'Key inputs_Refineries'!$B$85:$B$164,"Boiler")/SUM(SUMIFS('Key inputs_Refineries'!T$85:T$164,'Key inputs_Refineries'!$C$85:$C$164,$C337:$C346,'Key inputs_Refineries'!$B$85:$B$164,"Boiler"))&gt;0,SUMIFS('Key inputs_Refineries'!T$85:T$164,'Key inputs_Refineries'!$C$85:$C$164,$C345,'Key inputs_Refineries'!$B$85:$B$164,"Boiler")/SUM(SUMIFS('Key inputs_Refineries'!T$85:T$164,'Key inputs_Refineries'!$C$85:$C$164,$C337:$C346,'Key inputs_Refineries'!$B$85:$B$164,"Boiler"))&lt;0.001),0.001,SUMIFS('Key inputs_Refineries'!T$85:T$164,'Key inputs_Refineries'!$C$85:$C$164,$C345,'Key inputs_Refineries'!$B$85:$B$164,"Boiler")/SUM(SUMIFS('Key inputs_Refineries'!T$85:T$164,'Key inputs_Refineries'!$C$85:$C$164,$C337:$C346,'Key inputs_Refineries'!$B$85:$B$164,"Boiler"))),0)</f>
        <v>0</v>
      </c>
      <c r="AA345" s="173" cm="1">
        <f t="array" ref="AA345">IFERROR(IF(AND(SUMIFS('Key inputs_Refineries'!U$85:U$164,'Key inputs_Refineries'!$C$85:$C$164,$C345,'Key inputs_Refineries'!$B$85:$B$164,"Boiler")/SUM(SUMIFS('Key inputs_Refineries'!U$85:U$164,'Key inputs_Refineries'!$C$85:$C$164,$C337:$C346,'Key inputs_Refineries'!$B$85:$B$164,"Boiler"))&gt;0,SUMIFS('Key inputs_Refineries'!U$85:U$164,'Key inputs_Refineries'!$C$85:$C$164,$C345,'Key inputs_Refineries'!$B$85:$B$164,"Boiler")/SUM(SUMIFS('Key inputs_Refineries'!U$85:U$164,'Key inputs_Refineries'!$C$85:$C$164,$C337:$C346,'Key inputs_Refineries'!$B$85:$B$164,"Boiler"))&lt;0.001),0.001,SUMIFS('Key inputs_Refineries'!U$85:U$164,'Key inputs_Refineries'!$C$85:$C$164,$C345,'Key inputs_Refineries'!$B$85:$B$164,"Boiler")/SUM(SUMIFS('Key inputs_Refineries'!U$85:U$164,'Key inputs_Refineries'!$C$85:$C$164,$C337:$C346,'Key inputs_Refineries'!$B$85:$B$164,"Boiler"))),0)</f>
        <v>0</v>
      </c>
      <c r="AB345" s="173" cm="1">
        <f t="array" ref="AB345">IFERROR(IF(AND(SUMIFS('Key inputs_Refineries'!V$85:V$164,'Key inputs_Refineries'!$C$85:$C$164,$C345,'Key inputs_Refineries'!$B$85:$B$164,"Boiler")/SUM(SUMIFS('Key inputs_Refineries'!V$85:V$164,'Key inputs_Refineries'!$C$85:$C$164,$C337:$C346,'Key inputs_Refineries'!$B$85:$B$164,"Boiler"))&gt;0,SUMIFS('Key inputs_Refineries'!V$85:V$164,'Key inputs_Refineries'!$C$85:$C$164,$C345,'Key inputs_Refineries'!$B$85:$B$164,"Boiler")/SUM(SUMIFS('Key inputs_Refineries'!V$85:V$164,'Key inputs_Refineries'!$C$85:$C$164,$C337:$C346,'Key inputs_Refineries'!$B$85:$B$164,"Boiler"))&lt;0.001),0.001,SUMIFS('Key inputs_Refineries'!V$85:V$164,'Key inputs_Refineries'!$C$85:$C$164,$C345,'Key inputs_Refineries'!$B$85:$B$164,"Boiler")/SUM(SUMIFS('Key inputs_Refineries'!V$85:V$164,'Key inputs_Refineries'!$C$85:$C$164,$C337:$C346,'Key inputs_Refineries'!$B$85:$B$164,"Boiler"))),0)</f>
        <v>0.37267710844695157</v>
      </c>
      <c r="AC345" s="173" cm="1">
        <f t="array" ref="AC345">IFERROR(IF(AND(SUMIFS('Key inputs_Refineries'!W$85:W$164,'Key inputs_Refineries'!$C$85:$C$164,$C345,'Key inputs_Refineries'!$B$85:$B$164,"Boiler")/SUM(SUMIFS('Key inputs_Refineries'!W$85:W$164,'Key inputs_Refineries'!$C$85:$C$164,$C337:$C346,'Key inputs_Refineries'!$B$85:$B$164,"Boiler"))&gt;0,SUMIFS('Key inputs_Refineries'!W$85:W$164,'Key inputs_Refineries'!$C$85:$C$164,$C345,'Key inputs_Refineries'!$B$85:$B$164,"Boiler")/SUM(SUMIFS('Key inputs_Refineries'!W$85:W$164,'Key inputs_Refineries'!$C$85:$C$164,$C337:$C346,'Key inputs_Refineries'!$B$85:$B$164,"Boiler"))&lt;0.001),0.001,SUMIFS('Key inputs_Refineries'!W$85:W$164,'Key inputs_Refineries'!$C$85:$C$164,$C345,'Key inputs_Refineries'!$B$85:$B$164,"Boiler")/SUM(SUMIFS('Key inputs_Refineries'!W$85:W$164,'Key inputs_Refineries'!$C$85:$C$164,$C337:$C346,'Key inputs_Refineries'!$B$85:$B$164,"Boiler"))),0)</f>
        <v>0</v>
      </c>
      <c r="AD345" s="173" cm="1">
        <f t="array" ref="AD345">IFERROR(IF(AND(SUMIFS('Key inputs_Refineries'!X$85:X$164,'Key inputs_Refineries'!$C$85:$C$164,$C345,'Key inputs_Refineries'!$B$85:$B$164,"Boiler")/SUM(SUMIFS('Key inputs_Refineries'!X$85:X$164,'Key inputs_Refineries'!$C$85:$C$164,$C337:$C346,'Key inputs_Refineries'!$B$85:$B$164,"Boiler"))&gt;0,SUMIFS('Key inputs_Refineries'!X$85:X$164,'Key inputs_Refineries'!$C$85:$C$164,$C345,'Key inputs_Refineries'!$B$85:$B$164,"Boiler")/SUM(SUMIFS('Key inputs_Refineries'!X$85:X$164,'Key inputs_Refineries'!$C$85:$C$164,$C337:$C346,'Key inputs_Refineries'!$B$85:$B$164,"Boiler"))&lt;0.001),0.001,SUMIFS('Key inputs_Refineries'!X$85:X$164,'Key inputs_Refineries'!$C$85:$C$164,$C345,'Key inputs_Refineries'!$B$85:$B$164,"Boiler")/SUM(SUMIFS('Key inputs_Refineries'!X$85:X$164,'Key inputs_Refineries'!$C$85:$C$164,$C337:$C346,'Key inputs_Refineries'!$B$85:$B$164,"Boiler"))),0)</f>
        <v>0</v>
      </c>
      <c r="AE345" s="173" cm="1">
        <f t="array" ref="AE345">IFERROR(IF(AND(SUMIFS('Key inputs_Refineries'!Y$85:Y$164,'Key inputs_Refineries'!$C$85:$C$164,$C345,'Key inputs_Refineries'!$B$85:$B$164,"Boiler")/SUM(SUMIFS('Key inputs_Refineries'!Y$85:Y$164,'Key inputs_Refineries'!$C$85:$C$164,$C337:$C346,'Key inputs_Refineries'!$B$85:$B$164,"Boiler"))&gt;0,SUMIFS('Key inputs_Refineries'!Y$85:Y$164,'Key inputs_Refineries'!$C$85:$C$164,$C345,'Key inputs_Refineries'!$B$85:$B$164,"Boiler")/SUM(SUMIFS('Key inputs_Refineries'!Y$85:Y$164,'Key inputs_Refineries'!$C$85:$C$164,$C337:$C346,'Key inputs_Refineries'!$B$85:$B$164,"Boiler"))&lt;0.001),0.001,SUMIFS('Key inputs_Refineries'!Y$85:Y$164,'Key inputs_Refineries'!$C$85:$C$164,$C345,'Key inputs_Refineries'!$B$85:$B$164,"Boiler")/SUM(SUMIFS('Key inputs_Refineries'!Y$85:Y$164,'Key inputs_Refineries'!$C$85:$C$164,$C337:$C346,'Key inputs_Refineries'!$B$85:$B$164,"Boiler"))),0)</f>
        <v>3.8240414082870593E-2</v>
      </c>
      <c r="AF345" s="173" cm="1">
        <f t="array" ref="AF345">IFERROR(IF(AND(SUMIFS('Key inputs_Refineries'!Z$85:Z$164,'Key inputs_Refineries'!$C$85:$C$164,$C345,'Key inputs_Refineries'!$B$85:$B$164,"Boiler")/SUM(SUMIFS('Key inputs_Refineries'!Z$85:Z$164,'Key inputs_Refineries'!$C$85:$C$164,$C337:$C346,'Key inputs_Refineries'!$B$85:$B$164,"Boiler"))&gt;0,SUMIFS('Key inputs_Refineries'!Z$85:Z$164,'Key inputs_Refineries'!$C$85:$C$164,$C345,'Key inputs_Refineries'!$B$85:$B$164,"Boiler")/SUM(SUMIFS('Key inputs_Refineries'!Z$85:Z$164,'Key inputs_Refineries'!$C$85:$C$164,$C337:$C346,'Key inputs_Refineries'!$B$85:$B$164,"Boiler"))&lt;0.001),0.001,SUMIFS('Key inputs_Refineries'!Z$85:Z$164,'Key inputs_Refineries'!$C$85:$C$164,$C345,'Key inputs_Refineries'!$B$85:$B$164,"Boiler")/SUM(SUMIFS('Key inputs_Refineries'!Z$85:Z$164,'Key inputs_Refineries'!$C$85:$C$164,$C337:$C346,'Key inputs_Refineries'!$B$85:$B$164,"Boiler"))),0)</f>
        <v>0</v>
      </c>
      <c r="AG345" s="173" cm="1">
        <f t="array" ref="AG345">IFERROR(IF(AND(SUMIFS('Key inputs_Refineries'!AA$85:AA$164,'Key inputs_Refineries'!$C$85:$C$164,$C345,'Key inputs_Refineries'!$B$85:$B$164,"Boiler")/SUM(SUMIFS('Key inputs_Refineries'!AA$85:AA$164,'Key inputs_Refineries'!$C$85:$C$164,$C337:$C346,'Key inputs_Refineries'!$B$85:$B$164,"Boiler"))&gt;0,SUMIFS('Key inputs_Refineries'!AA$85:AA$164,'Key inputs_Refineries'!$C$85:$C$164,$C345,'Key inputs_Refineries'!$B$85:$B$164,"Boiler")/SUM(SUMIFS('Key inputs_Refineries'!AA$85:AA$164,'Key inputs_Refineries'!$C$85:$C$164,$C337:$C346,'Key inputs_Refineries'!$B$85:$B$164,"Boiler"))&lt;0.001),0.001,SUMIFS('Key inputs_Refineries'!AA$85:AA$164,'Key inputs_Refineries'!$C$85:$C$164,$C345,'Key inputs_Refineries'!$B$85:$B$164,"Boiler")/SUM(SUMIFS('Key inputs_Refineries'!AA$85:AA$164,'Key inputs_Refineries'!$C$85:$C$164,$C337:$C346,'Key inputs_Refineries'!$B$85:$B$164,"Boiler"))),0)</f>
        <v>0</v>
      </c>
      <c r="AH345" s="173" cm="1">
        <f t="array" ref="AH345">IFERROR(IF(AND(SUMIFS('Key inputs_Refineries'!AB$85:AB$164,'Key inputs_Refineries'!$C$85:$C$164,$C345,'Key inputs_Refineries'!$B$85:$B$164,"Boiler")/SUM(SUMIFS('Key inputs_Refineries'!AB$85:AB$164,'Key inputs_Refineries'!$C$85:$C$164,$C337:$C346,'Key inputs_Refineries'!$B$85:$B$164,"Boiler"))&gt;0,SUMIFS('Key inputs_Refineries'!AB$85:AB$164,'Key inputs_Refineries'!$C$85:$C$164,$C345,'Key inputs_Refineries'!$B$85:$B$164,"Boiler")/SUM(SUMIFS('Key inputs_Refineries'!AB$85:AB$164,'Key inputs_Refineries'!$C$85:$C$164,$C337:$C346,'Key inputs_Refineries'!$B$85:$B$164,"Boiler"))&lt;0.001),0.001,SUMIFS('Key inputs_Refineries'!AB$85:AB$164,'Key inputs_Refineries'!$C$85:$C$164,$C345,'Key inputs_Refineries'!$B$85:$B$164,"Boiler")/SUM(SUMIFS('Key inputs_Refineries'!AB$85:AB$164,'Key inputs_Refineries'!$C$85:$C$164,$C337:$C346,'Key inputs_Refineries'!$B$85:$B$164,"Boiler"))),0)</f>
        <v>0</v>
      </c>
      <c r="AI345" s="173" cm="1">
        <f t="array" ref="AI345">IFERROR(IF(AND(SUMIFS('Key inputs_Refineries'!AC$85:AC$164,'Key inputs_Refineries'!$C$85:$C$164,$C345,'Key inputs_Refineries'!$B$85:$B$164,"Boiler")/SUM(SUMIFS('Key inputs_Refineries'!AC$85:AC$164,'Key inputs_Refineries'!$C$85:$C$164,$C337:$C346,'Key inputs_Refineries'!$B$85:$B$164,"Boiler"))&gt;0,SUMIFS('Key inputs_Refineries'!AC$85:AC$164,'Key inputs_Refineries'!$C$85:$C$164,$C345,'Key inputs_Refineries'!$B$85:$B$164,"Boiler")/SUM(SUMIFS('Key inputs_Refineries'!AC$85:AC$164,'Key inputs_Refineries'!$C$85:$C$164,$C337:$C346,'Key inputs_Refineries'!$B$85:$B$164,"Boiler"))&lt;0.001),0.001,SUMIFS('Key inputs_Refineries'!AC$85:AC$164,'Key inputs_Refineries'!$C$85:$C$164,$C345,'Key inputs_Refineries'!$B$85:$B$164,"Boiler")/SUM(SUMIFS('Key inputs_Refineries'!AC$85:AC$164,'Key inputs_Refineries'!$C$85:$C$164,$C337:$C346,'Key inputs_Refineries'!$B$85:$B$164,"Boiler"))),0)</f>
        <v>0</v>
      </c>
      <c r="AJ345" s="173" cm="1">
        <f t="array" ref="AJ345">IFERROR(IF(AND(SUMIFS('Key inputs_Refineries'!AD$85:AD$164,'Key inputs_Refineries'!$C$85:$C$164,$C345,'Key inputs_Refineries'!$B$85:$B$164,"Boiler")/SUM(SUMIFS('Key inputs_Refineries'!AD$85:AD$164,'Key inputs_Refineries'!$C$85:$C$164,$C337:$C346,'Key inputs_Refineries'!$B$85:$B$164,"Boiler"))&gt;0,SUMIFS('Key inputs_Refineries'!AD$85:AD$164,'Key inputs_Refineries'!$C$85:$C$164,$C345,'Key inputs_Refineries'!$B$85:$B$164,"Boiler")/SUM(SUMIFS('Key inputs_Refineries'!AD$85:AD$164,'Key inputs_Refineries'!$C$85:$C$164,$C337:$C346,'Key inputs_Refineries'!$B$85:$B$164,"Boiler"))&lt;0.001),0.001,SUMIFS('Key inputs_Refineries'!AD$85:AD$164,'Key inputs_Refineries'!$C$85:$C$164,$C345,'Key inputs_Refineries'!$B$85:$B$164,"Boiler")/SUM(SUMIFS('Key inputs_Refineries'!AD$85:AD$164,'Key inputs_Refineries'!$C$85:$C$164,$C337:$C346,'Key inputs_Refineries'!$B$85:$B$164,"Boiler"))),0)</f>
        <v>0</v>
      </c>
      <c r="AK345" s="173" cm="1">
        <f t="array" ref="AK345">IFERROR(IF(AND(SUMIFS('Key inputs_Refineries'!AE$85:AE$164,'Key inputs_Refineries'!$C$85:$C$164,$C345,'Key inputs_Refineries'!$B$85:$B$164,"Boiler")/SUM(SUMIFS('Key inputs_Refineries'!AE$85:AE$164,'Key inputs_Refineries'!$C$85:$C$164,$C337:$C346,'Key inputs_Refineries'!$B$85:$B$164,"Boiler"))&gt;0,SUMIFS('Key inputs_Refineries'!AE$85:AE$164,'Key inputs_Refineries'!$C$85:$C$164,$C345,'Key inputs_Refineries'!$B$85:$B$164,"Boiler")/SUM(SUMIFS('Key inputs_Refineries'!AE$85:AE$164,'Key inputs_Refineries'!$C$85:$C$164,$C337:$C346,'Key inputs_Refineries'!$B$85:$B$164,"Boiler"))&lt;0.001),0.001,SUMIFS('Key inputs_Refineries'!AE$85:AE$164,'Key inputs_Refineries'!$C$85:$C$164,$C345,'Key inputs_Refineries'!$B$85:$B$164,"Boiler")/SUM(SUMIFS('Key inputs_Refineries'!AE$85:AE$164,'Key inputs_Refineries'!$C$85:$C$164,$C337:$C346,'Key inputs_Refineries'!$B$85:$B$164,"Boiler"))),0)</f>
        <v>0</v>
      </c>
      <c r="AL345" s="173" cm="1">
        <f t="array" ref="AL345">IFERROR(IF(AND(SUMIFS('Key inputs_Refineries'!AF$85:AF$164,'Key inputs_Refineries'!$C$85:$C$164,$C345,'Key inputs_Refineries'!$B$85:$B$164,"Boiler")/SUM(SUMIFS('Key inputs_Refineries'!AF$85:AF$164,'Key inputs_Refineries'!$C$85:$C$164,$C337:$C346,'Key inputs_Refineries'!$B$85:$B$164,"Boiler"))&gt;0,SUMIFS('Key inputs_Refineries'!AF$85:AF$164,'Key inputs_Refineries'!$C$85:$C$164,$C345,'Key inputs_Refineries'!$B$85:$B$164,"Boiler")/SUM(SUMIFS('Key inputs_Refineries'!AF$85:AF$164,'Key inputs_Refineries'!$C$85:$C$164,$C337:$C346,'Key inputs_Refineries'!$B$85:$B$164,"Boiler"))&lt;0.001),0.001,SUMIFS('Key inputs_Refineries'!AF$85:AF$164,'Key inputs_Refineries'!$C$85:$C$164,$C345,'Key inputs_Refineries'!$B$85:$B$164,"Boiler")/SUM(SUMIFS('Key inputs_Refineries'!AF$85:AF$164,'Key inputs_Refineries'!$C$85:$C$164,$C337:$C346,'Key inputs_Refineries'!$B$85:$B$164,"Boiler"))),0)</f>
        <v>0</v>
      </c>
    </row>
    <row r="346" spans="1:38">
      <c r="C346" t="str">
        <f>Commodities!$C$100</f>
        <v>UPSOIL2</v>
      </c>
      <c r="G346" s="4" t="s">
        <v>702</v>
      </c>
      <c r="H346" t="s">
        <v>661</v>
      </c>
      <c r="I346">
        <v>2019</v>
      </c>
      <c r="J346" t="s">
        <v>650</v>
      </c>
      <c r="K346" s="173" cm="1">
        <f t="array" ref="K346">IFERROR(IF(AND(SUMIFS('Key inputs_Refineries'!E$85:E$164,'Key inputs_Refineries'!$C$85:$C$164,$C346,'Key inputs_Refineries'!$B$85:$B$164,"Boiler")/SUM(SUMIFS('Key inputs_Refineries'!E$85:E$164,'Key inputs_Refineries'!$C$85:$C$164,$C337:$C346,'Key inputs_Refineries'!$B$85:$B$164,"Boiler"))&gt;0,SUMIFS('Key inputs_Refineries'!E$85:E$164,'Key inputs_Refineries'!$C$85:$C$164,$C346,'Key inputs_Refineries'!$B$85:$B$164,"Boiler")/SUM(SUMIFS('Key inputs_Refineries'!E$85:E$164,'Key inputs_Refineries'!$C$85:$C$164,$C337:$C346,'Key inputs_Refineries'!$B$85:$B$164,"Boiler"))&lt;0.001),0.001,SUMIFS('Key inputs_Refineries'!E$85:E$164,'Key inputs_Refineries'!$C$85:$C$164,$C346,'Key inputs_Refineries'!$B$85:$B$164,"Boiler")/SUM(SUMIFS('Key inputs_Refineries'!E$85:E$164,'Key inputs_Refineries'!$C$85:$C$164,$C337:$C346,'Key inputs_Refineries'!$B$85:$B$164,"Boiler"))),1)</f>
        <v>1</v>
      </c>
      <c r="L346" s="173" cm="1">
        <f t="array" ref="L346">IFERROR(IF(AND(SUMIFS('Key inputs_Refineries'!F$85:F$164,'Key inputs_Refineries'!$C$85:$C$164,$C346,'Key inputs_Refineries'!$B$85:$B$164,"Boiler")/SUM(SUMIFS('Key inputs_Refineries'!F$85:F$164,'Key inputs_Refineries'!$C$85:$C$164,$C337:$C346,'Key inputs_Refineries'!$B$85:$B$164,"Boiler"))&gt;0,SUMIFS('Key inputs_Refineries'!F$85:F$164,'Key inputs_Refineries'!$C$85:$C$164,$C346,'Key inputs_Refineries'!$B$85:$B$164,"Boiler")/SUM(SUMIFS('Key inputs_Refineries'!F$85:F$164,'Key inputs_Refineries'!$C$85:$C$164,$C337:$C346,'Key inputs_Refineries'!$B$85:$B$164,"Boiler"))&lt;0.001),0.001,SUMIFS('Key inputs_Refineries'!F$85:F$164,'Key inputs_Refineries'!$C$85:$C$164,$C346,'Key inputs_Refineries'!$B$85:$B$164,"Boiler")/SUM(SUMIFS('Key inputs_Refineries'!F$85:F$164,'Key inputs_Refineries'!$C$85:$C$164,$C337:$C346,'Key inputs_Refineries'!$B$85:$B$164,"Boiler"))),1)</f>
        <v>0</v>
      </c>
      <c r="M346" s="173" cm="1">
        <f t="array" ref="M346">IFERROR(IF(AND(SUMIFS('Key inputs_Refineries'!G$85:G$164,'Key inputs_Refineries'!$C$85:$C$164,$C346,'Key inputs_Refineries'!$B$85:$B$164,"Boiler")/SUM(SUMIFS('Key inputs_Refineries'!G$85:G$164,'Key inputs_Refineries'!$C$85:$C$164,$C337:$C346,'Key inputs_Refineries'!$B$85:$B$164,"Boiler"))&gt;0,SUMIFS('Key inputs_Refineries'!G$85:G$164,'Key inputs_Refineries'!$C$85:$C$164,$C346,'Key inputs_Refineries'!$B$85:$B$164,"Boiler")/SUM(SUMIFS('Key inputs_Refineries'!G$85:G$164,'Key inputs_Refineries'!$C$85:$C$164,$C337:$C346,'Key inputs_Refineries'!$B$85:$B$164,"Boiler"))&lt;0.001),0.001,SUMIFS('Key inputs_Refineries'!G$85:G$164,'Key inputs_Refineries'!$C$85:$C$164,$C346,'Key inputs_Refineries'!$B$85:$B$164,"Boiler")/SUM(SUMIFS('Key inputs_Refineries'!G$85:G$164,'Key inputs_Refineries'!$C$85:$C$164,$C337:$C346,'Key inputs_Refineries'!$B$85:$B$164,"Boiler"))),1)</f>
        <v>0</v>
      </c>
      <c r="N346" s="173" cm="1">
        <f t="array" ref="N346">IFERROR(IF(AND(SUMIFS('Key inputs_Refineries'!H$85:H$164,'Key inputs_Refineries'!$C$85:$C$164,$C346,'Key inputs_Refineries'!$B$85:$B$164,"Boiler")/SUM(SUMIFS('Key inputs_Refineries'!H$85:H$164,'Key inputs_Refineries'!$C$85:$C$164,$C337:$C346,'Key inputs_Refineries'!$B$85:$B$164,"Boiler"))&gt;0,SUMIFS('Key inputs_Refineries'!H$85:H$164,'Key inputs_Refineries'!$C$85:$C$164,$C346,'Key inputs_Refineries'!$B$85:$B$164,"Boiler")/SUM(SUMIFS('Key inputs_Refineries'!H$85:H$164,'Key inputs_Refineries'!$C$85:$C$164,$C337:$C346,'Key inputs_Refineries'!$B$85:$B$164,"Boiler"))&lt;0.001),0.001,SUMIFS('Key inputs_Refineries'!H$85:H$164,'Key inputs_Refineries'!$C$85:$C$164,$C346,'Key inputs_Refineries'!$B$85:$B$164,"Boiler")/SUM(SUMIFS('Key inputs_Refineries'!H$85:H$164,'Key inputs_Refineries'!$C$85:$C$164,$C337:$C346,'Key inputs_Refineries'!$B$85:$B$164,"Boiler"))),1)</f>
        <v>1</v>
      </c>
      <c r="O346" s="173" cm="1">
        <f t="array" ref="O346">IFERROR(IF(AND(SUMIFS('Key inputs_Refineries'!I$85:I$164,'Key inputs_Refineries'!$C$85:$C$164,$C346,'Key inputs_Refineries'!$B$85:$B$164,"Boiler")/SUM(SUMIFS('Key inputs_Refineries'!I$85:I$164,'Key inputs_Refineries'!$C$85:$C$164,$C337:$C346,'Key inputs_Refineries'!$B$85:$B$164,"Boiler"))&gt;0,SUMIFS('Key inputs_Refineries'!I$85:I$164,'Key inputs_Refineries'!$C$85:$C$164,$C346,'Key inputs_Refineries'!$B$85:$B$164,"Boiler")/SUM(SUMIFS('Key inputs_Refineries'!I$85:I$164,'Key inputs_Refineries'!$C$85:$C$164,$C337:$C346,'Key inputs_Refineries'!$B$85:$B$164,"Boiler"))&lt;0.001),0.001,SUMIFS('Key inputs_Refineries'!I$85:I$164,'Key inputs_Refineries'!$C$85:$C$164,$C346,'Key inputs_Refineries'!$B$85:$B$164,"Boiler")/SUM(SUMIFS('Key inputs_Refineries'!I$85:I$164,'Key inputs_Refineries'!$C$85:$C$164,$C337:$C346,'Key inputs_Refineries'!$B$85:$B$164,"Boiler"))),1)</f>
        <v>0.90826580836038906</v>
      </c>
      <c r="P346" s="173" cm="1">
        <f t="array" ref="P346">IFERROR(IF(AND(SUMIFS('Key inputs_Refineries'!J$85:J$164,'Key inputs_Refineries'!$C$85:$C$164,$C346,'Key inputs_Refineries'!$B$85:$B$164,"Boiler")/SUM(SUMIFS('Key inputs_Refineries'!J$85:J$164,'Key inputs_Refineries'!$C$85:$C$164,$C337:$C346,'Key inputs_Refineries'!$B$85:$B$164,"Boiler"))&gt;0,SUMIFS('Key inputs_Refineries'!J$85:J$164,'Key inputs_Refineries'!$C$85:$C$164,$C346,'Key inputs_Refineries'!$B$85:$B$164,"Boiler")/SUM(SUMIFS('Key inputs_Refineries'!J$85:J$164,'Key inputs_Refineries'!$C$85:$C$164,$C337:$C346,'Key inputs_Refineries'!$B$85:$B$164,"Boiler"))&lt;0.001),0.001,SUMIFS('Key inputs_Refineries'!J$85:J$164,'Key inputs_Refineries'!$C$85:$C$164,$C346,'Key inputs_Refineries'!$B$85:$B$164,"Boiler")/SUM(SUMIFS('Key inputs_Refineries'!J$85:J$164,'Key inputs_Refineries'!$C$85:$C$164,$C337:$C346,'Key inputs_Refineries'!$B$85:$B$164,"Boiler"))),1)</f>
        <v>0.88036613124332841</v>
      </c>
      <c r="Q346" s="173" cm="1">
        <f t="array" ref="Q346">IFERROR(IF(AND(SUMIFS('Key inputs_Refineries'!K$85:K$164,'Key inputs_Refineries'!$C$85:$C$164,$C346,'Key inputs_Refineries'!$B$85:$B$164,"Boiler")/SUM(SUMIFS('Key inputs_Refineries'!K$85:K$164,'Key inputs_Refineries'!$C$85:$C$164,$C337:$C346,'Key inputs_Refineries'!$B$85:$B$164,"Boiler"))&gt;0,SUMIFS('Key inputs_Refineries'!K$85:K$164,'Key inputs_Refineries'!$C$85:$C$164,$C346,'Key inputs_Refineries'!$B$85:$B$164,"Boiler")/SUM(SUMIFS('Key inputs_Refineries'!K$85:K$164,'Key inputs_Refineries'!$C$85:$C$164,$C337:$C346,'Key inputs_Refineries'!$B$85:$B$164,"Boiler"))&lt;0.001),0.001,SUMIFS('Key inputs_Refineries'!K$85:K$164,'Key inputs_Refineries'!$C$85:$C$164,$C346,'Key inputs_Refineries'!$B$85:$B$164,"Boiler")/SUM(SUMIFS('Key inputs_Refineries'!K$85:K$164,'Key inputs_Refineries'!$C$85:$C$164,$C337:$C346,'Key inputs_Refineries'!$B$85:$B$164,"Boiler"))),1)</f>
        <v>5.2685627539402593E-3</v>
      </c>
      <c r="R346" s="173" cm="1">
        <f t="array" ref="R346">IFERROR(IF(AND(SUMIFS('Key inputs_Refineries'!L$85:L$164,'Key inputs_Refineries'!$C$85:$C$164,$C346,'Key inputs_Refineries'!$B$85:$B$164,"Boiler")/SUM(SUMIFS('Key inputs_Refineries'!L$85:L$164,'Key inputs_Refineries'!$C$85:$C$164,$C337:$C346,'Key inputs_Refineries'!$B$85:$B$164,"Boiler"))&gt;0,SUMIFS('Key inputs_Refineries'!L$85:L$164,'Key inputs_Refineries'!$C$85:$C$164,$C346,'Key inputs_Refineries'!$B$85:$B$164,"Boiler")/SUM(SUMIFS('Key inputs_Refineries'!L$85:L$164,'Key inputs_Refineries'!$C$85:$C$164,$C337:$C346,'Key inputs_Refineries'!$B$85:$B$164,"Boiler"))&lt;0.001),0.001,SUMIFS('Key inputs_Refineries'!L$85:L$164,'Key inputs_Refineries'!$C$85:$C$164,$C346,'Key inputs_Refineries'!$B$85:$B$164,"Boiler")/SUM(SUMIFS('Key inputs_Refineries'!L$85:L$164,'Key inputs_Refineries'!$C$85:$C$164,$C337:$C346,'Key inputs_Refineries'!$B$85:$B$164,"Boiler"))),1)</f>
        <v>0</v>
      </c>
      <c r="S346" s="173" cm="1">
        <f t="array" ref="S346">IFERROR(IF(AND(SUMIFS('Key inputs_Refineries'!M$85:M$164,'Key inputs_Refineries'!$C$85:$C$164,$C346,'Key inputs_Refineries'!$B$85:$B$164,"Boiler")/SUM(SUMIFS('Key inputs_Refineries'!M$85:M$164,'Key inputs_Refineries'!$C$85:$C$164,$C337:$C346,'Key inputs_Refineries'!$B$85:$B$164,"Boiler"))&gt;0,SUMIFS('Key inputs_Refineries'!M$85:M$164,'Key inputs_Refineries'!$C$85:$C$164,$C346,'Key inputs_Refineries'!$B$85:$B$164,"Boiler")/SUM(SUMIFS('Key inputs_Refineries'!M$85:M$164,'Key inputs_Refineries'!$C$85:$C$164,$C337:$C346,'Key inputs_Refineries'!$B$85:$B$164,"Boiler"))&lt;0.001),0.001,SUMIFS('Key inputs_Refineries'!M$85:M$164,'Key inputs_Refineries'!$C$85:$C$164,$C346,'Key inputs_Refineries'!$B$85:$B$164,"Boiler")/SUM(SUMIFS('Key inputs_Refineries'!M$85:M$164,'Key inputs_Refineries'!$C$85:$C$164,$C337:$C346,'Key inputs_Refineries'!$B$85:$B$164,"Boiler"))),1)</f>
        <v>0</v>
      </c>
      <c r="T346" s="173" cm="1">
        <f t="array" ref="T346">IFERROR(IF(AND(SUMIFS('Key inputs_Refineries'!N$85:N$164,'Key inputs_Refineries'!$C$85:$C$164,$C346,'Key inputs_Refineries'!$B$85:$B$164,"Boiler")/SUM(SUMIFS('Key inputs_Refineries'!N$85:N$164,'Key inputs_Refineries'!$C$85:$C$164,$C337:$C346,'Key inputs_Refineries'!$B$85:$B$164,"Boiler"))&gt;0,SUMIFS('Key inputs_Refineries'!N$85:N$164,'Key inputs_Refineries'!$C$85:$C$164,$C346,'Key inputs_Refineries'!$B$85:$B$164,"Boiler")/SUM(SUMIFS('Key inputs_Refineries'!N$85:N$164,'Key inputs_Refineries'!$C$85:$C$164,$C337:$C346,'Key inputs_Refineries'!$B$85:$B$164,"Boiler"))&lt;0.001),0.001,SUMIFS('Key inputs_Refineries'!N$85:N$164,'Key inputs_Refineries'!$C$85:$C$164,$C346,'Key inputs_Refineries'!$B$85:$B$164,"Boiler")/SUM(SUMIFS('Key inputs_Refineries'!N$85:N$164,'Key inputs_Refineries'!$C$85:$C$164,$C337:$C346,'Key inputs_Refineries'!$B$85:$B$164,"Boiler"))),1)</f>
        <v>0.91624021930485366</v>
      </c>
      <c r="U346" s="173" cm="1">
        <f t="array" ref="U346">IFERROR(IF(AND(SUMIFS('Key inputs_Refineries'!O$85:O$164,'Key inputs_Refineries'!$C$85:$C$164,$C346,'Key inputs_Refineries'!$B$85:$B$164,"Boiler")/SUM(SUMIFS('Key inputs_Refineries'!O$85:O$164,'Key inputs_Refineries'!$C$85:$C$164,$C337:$C346,'Key inputs_Refineries'!$B$85:$B$164,"Boiler"))&gt;0,SUMIFS('Key inputs_Refineries'!O$85:O$164,'Key inputs_Refineries'!$C$85:$C$164,$C346,'Key inputs_Refineries'!$B$85:$B$164,"Boiler")/SUM(SUMIFS('Key inputs_Refineries'!O$85:O$164,'Key inputs_Refineries'!$C$85:$C$164,$C337:$C346,'Key inputs_Refineries'!$B$85:$B$164,"Boiler"))&lt;0.001),0.001,SUMIFS('Key inputs_Refineries'!O$85:O$164,'Key inputs_Refineries'!$C$85:$C$164,$C346,'Key inputs_Refineries'!$B$85:$B$164,"Boiler")/SUM(SUMIFS('Key inputs_Refineries'!O$85:O$164,'Key inputs_Refineries'!$C$85:$C$164,$C337:$C346,'Key inputs_Refineries'!$B$85:$B$164,"Boiler"))),1)</f>
        <v>0</v>
      </c>
      <c r="V346" s="173" cm="1">
        <f t="array" ref="V346">IFERROR(IF(AND(SUMIFS('Key inputs_Refineries'!P$85:P$164,'Key inputs_Refineries'!$C$85:$C$164,$C346,'Key inputs_Refineries'!$B$85:$B$164,"Boiler")/SUM(SUMIFS('Key inputs_Refineries'!P$85:P$164,'Key inputs_Refineries'!$C$85:$C$164,$C337:$C346,'Key inputs_Refineries'!$B$85:$B$164,"Boiler"))&gt;0,SUMIFS('Key inputs_Refineries'!P$85:P$164,'Key inputs_Refineries'!$C$85:$C$164,$C346,'Key inputs_Refineries'!$B$85:$B$164,"Boiler")/SUM(SUMIFS('Key inputs_Refineries'!P$85:P$164,'Key inputs_Refineries'!$C$85:$C$164,$C337:$C346,'Key inputs_Refineries'!$B$85:$B$164,"Boiler"))&lt;0.001),0.001,SUMIFS('Key inputs_Refineries'!P$85:P$164,'Key inputs_Refineries'!$C$85:$C$164,$C346,'Key inputs_Refineries'!$B$85:$B$164,"Boiler")/SUM(SUMIFS('Key inputs_Refineries'!P$85:P$164,'Key inputs_Refineries'!$C$85:$C$164,$C337:$C346,'Key inputs_Refineries'!$B$85:$B$164,"Boiler"))),1)</f>
        <v>0.77545242046249629</v>
      </c>
      <c r="W346" s="173" cm="1">
        <f t="array" ref="W346">IFERROR(IF(AND(SUMIFS('Key inputs_Refineries'!Q$85:Q$164,'Key inputs_Refineries'!$C$85:$C$164,$C346,'Key inputs_Refineries'!$B$85:$B$164,"Boiler")/SUM(SUMIFS('Key inputs_Refineries'!Q$85:Q$164,'Key inputs_Refineries'!$C$85:$C$164,$C337:$C346,'Key inputs_Refineries'!$B$85:$B$164,"Boiler"))&gt;0,SUMIFS('Key inputs_Refineries'!Q$85:Q$164,'Key inputs_Refineries'!$C$85:$C$164,$C346,'Key inputs_Refineries'!$B$85:$B$164,"Boiler")/SUM(SUMIFS('Key inputs_Refineries'!Q$85:Q$164,'Key inputs_Refineries'!$C$85:$C$164,$C337:$C346,'Key inputs_Refineries'!$B$85:$B$164,"Boiler"))&lt;0.001),0.001,SUMIFS('Key inputs_Refineries'!Q$85:Q$164,'Key inputs_Refineries'!$C$85:$C$164,$C346,'Key inputs_Refineries'!$B$85:$B$164,"Boiler")/SUM(SUMIFS('Key inputs_Refineries'!Q$85:Q$164,'Key inputs_Refineries'!$C$85:$C$164,$C337:$C346,'Key inputs_Refineries'!$B$85:$B$164,"Boiler"))),1)</f>
        <v>5.8358521716818726E-2</v>
      </c>
      <c r="X346" s="173" cm="1">
        <f t="array" ref="X346">IFERROR(IF(AND(SUMIFS('Key inputs_Refineries'!R$85:R$164,'Key inputs_Refineries'!$C$85:$C$164,$C346,'Key inputs_Refineries'!$B$85:$B$164,"Boiler")/SUM(SUMIFS('Key inputs_Refineries'!R$85:R$164,'Key inputs_Refineries'!$C$85:$C$164,$C337:$C346,'Key inputs_Refineries'!$B$85:$B$164,"Boiler"))&gt;0,SUMIFS('Key inputs_Refineries'!R$85:R$164,'Key inputs_Refineries'!$C$85:$C$164,$C346,'Key inputs_Refineries'!$B$85:$B$164,"Boiler")/SUM(SUMIFS('Key inputs_Refineries'!R$85:R$164,'Key inputs_Refineries'!$C$85:$C$164,$C337:$C346,'Key inputs_Refineries'!$B$85:$B$164,"Boiler"))&lt;0.001),0.001,SUMIFS('Key inputs_Refineries'!R$85:R$164,'Key inputs_Refineries'!$C$85:$C$164,$C346,'Key inputs_Refineries'!$B$85:$B$164,"Boiler")/SUM(SUMIFS('Key inputs_Refineries'!R$85:R$164,'Key inputs_Refineries'!$C$85:$C$164,$C337:$C346,'Key inputs_Refineries'!$B$85:$B$164,"Boiler"))),1)</f>
        <v>0.80941235239176013</v>
      </c>
      <c r="Y346" s="173" cm="1">
        <f t="array" ref="Y346">IFERROR(IF(AND(SUMIFS('Key inputs_Refineries'!S$85:S$164,'Key inputs_Refineries'!$C$85:$C$164,$C346,'Key inputs_Refineries'!$B$85:$B$164,"Boiler")/SUM(SUMIFS('Key inputs_Refineries'!S$85:S$164,'Key inputs_Refineries'!$C$85:$C$164,$C337:$C346,'Key inputs_Refineries'!$B$85:$B$164,"Boiler"))&gt;0,SUMIFS('Key inputs_Refineries'!S$85:S$164,'Key inputs_Refineries'!$C$85:$C$164,$C346,'Key inputs_Refineries'!$B$85:$B$164,"Boiler")/SUM(SUMIFS('Key inputs_Refineries'!S$85:S$164,'Key inputs_Refineries'!$C$85:$C$164,$C337:$C346,'Key inputs_Refineries'!$B$85:$B$164,"Boiler"))&lt;0.001),0.001,SUMIFS('Key inputs_Refineries'!S$85:S$164,'Key inputs_Refineries'!$C$85:$C$164,$C346,'Key inputs_Refineries'!$B$85:$B$164,"Boiler")/SUM(SUMIFS('Key inputs_Refineries'!S$85:S$164,'Key inputs_Refineries'!$C$85:$C$164,$C337:$C346,'Key inputs_Refineries'!$B$85:$B$164,"Boiler"))),1)</f>
        <v>0.56012845130970601</v>
      </c>
      <c r="Z346" s="173" cm="1">
        <f t="array" ref="Z346">IFERROR(IF(AND(SUMIFS('Key inputs_Refineries'!T$85:T$164,'Key inputs_Refineries'!$C$85:$C$164,$C346,'Key inputs_Refineries'!$B$85:$B$164,"Boiler")/SUM(SUMIFS('Key inputs_Refineries'!T$85:T$164,'Key inputs_Refineries'!$C$85:$C$164,$C337:$C346,'Key inputs_Refineries'!$B$85:$B$164,"Boiler"))&gt;0,SUMIFS('Key inputs_Refineries'!T$85:T$164,'Key inputs_Refineries'!$C$85:$C$164,$C346,'Key inputs_Refineries'!$B$85:$B$164,"Boiler")/SUM(SUMIFS('Key inputs_Refineries'!T$85:T$164,'Key inputs_Refineries'!$C$85:$C$164,$C337:$C346,'Key inputs_Refineries'!$B$85:$B$164,"Boiler"))&lt;0.001),0.001,SUMIFS('Key inputs_Refineries'!T$85:T$164,'Key inputs_Refineries'!$C$85:$C$164,$C346,'Key inputs_Refineries'!$B$85:$B$164,"Boiler")/SUM(SUMIFS('Key inputs_Refineries'!T$85:T$164,'Key inputs_Refineries'!$C$85:$C$164,$C337:$C346,'Key inputs_Refineries'!$B$85:$B$164,"Boiler"))),1)</f>
        <v>0.65636065153933998</v>
      </c>
      <c r="AA346" s="173" cm="1">
        <f t="array" ref="AA346">IFERROR(IF(AND(SUMIFS('Key inputs_Refineries'!U$85:U$164,'Key inputs_Refineries'!$C$85:$C$164,$C346,'Key inputs_Refineries'!$B$85:$B$164,"Boiler")/SUM(SUMIFS('Key inputs_Refineries'!U$85:U$164,'Key inputs_Refineries'!$C$85:$C$164,$C337:$C346,'Key inputs_Refineries'!$B$85:$B$164,"Boiler"))&gt;0,SUMIFS('Key inputs_Refineries'!U$85:U$164,'Key inputs_Refineries'!$C$85:$C$164,$C346,'Key inputs_Refineries'!$B$85:$B$164,"Boiler")/SUM(SUMIFS('Key inputs_Refineries'!U$85:U$164,'Key inputs_Refineries'!$C$85:$C$164,$C337:$C346,'Key inputs_Refineries'!$B$85:$B$164,"Boiler"))&lt;0.001),0.001,SUMIFS('Key inputs_Refineries'!U$85:U$164,'Key inputs_Refineries'!$C$85:$C$164,$C346,'Key inputs_Refineries'!$B$85:$B$164,"Boiler")/SUM(SUMIFS('Key inputs_Refineries'!U$85:U$164,'Key inputs_Refineries'!$C$85:$C$164,$C337:$C346,'Key inputs_Refineries'!$B$85:$B$164,"Boiler"))),1)</f>
        <v>0.46733479677810208</v>
      </c>
      <c r="AB346" s="173" cm="1">
        <f t="array" ref="AB346">IFERROR(IF(AND(SUMIFS('Key inputs_Refineries'!V$85:V$164,'Key inputs_Refineries'!$C$85:$C$164,$C346,'Key inputs_Refineries'!$B$85:$B$164,"Boiler")/SUM(SUMIFS('Key inputs_Refineries'!V$85:V$164,'Key inputs_Refineries'!$C$85:$C$164,$C337:$C346,'Key inputs_Refineries'!$B$85:$B$164,"Boiler"))&gt;0,SUMIFS('Key inputs_Refineries'!V$85:V$164,'Key inputs_Refineries'!$C$85:$C$164,$C346,'Key inputs_Refineries'!$B$85:$B$164,"Boiler")/SUM(SUMIFS('Key inputs_Refineries'!V$85:V$164,'Key inputs_Refineries'!$C$85:$C$164,$C337:$C346,'Key inputs_Refineries'!$B$85:$B$164,"Boiler"))&lt;0.001),0.001,SUMIFS('Key inputs_Refineries'!V$85:V$164,'Key inputs_Refineries'!$C$85:$C$164,$C346,'Key inputs_Refineries'!$B$85:$B$164,"Boiler")/SUM(SUMIFS('Key inputs_Refineries'!V$85:V$164,'Key inputs_Refineries'!$C$85:$C$164,$C337:$C346,'Key inputs_Refineries'!$B$85:$B$164,"Boiler"))),1)</f>
        <v>0</v>
      </c>
      <c r="AC346" s="173" cm="1">
        <f t="array" ref="AC346">IFERROR(IF(AND(SUMIFS('Key inputs_Refineries'!W$85:W$164,'Key inputs_Refineries'!$C$85:$C$164,$C346,'Key inputs_Refineries'!$B$85:$B$164,"Boiler")/SUM(SUMIFS('Key inputs_Refineries'!W$85:W$164,'Key inputs_Refineries'!$C$85:$C$164,$C337:$C346,'Key inputs_Refineries'!$B$85:$B$164,"Boiler"))&gt;0,SUMIFS('Key inputs_Refineries'!W$85:W$164,'Key inputs_Refineries'!$C$85:$C$164,$C346,'Key inputs_Refineries'!$B$85:$B$164,"Boiler")/SUM(SUMIFS('Key inputs_Refineries'!W$85:W$164,'Key inputs_Refineries'!$C$85:$C$164,$C337:$C346,'Key inputs_Refineries'!$B$85:$B$164,"Boiler"))&lt;0.001),0.001,SUMIFS('Key inputs_Refineries'!W$85:W$164,'Key inputs_Refineries'!$C$85:$C$164,$C346,'Key inputs_Refineries'!$B$85:$B$164,"Boiler")/SUM(SUMIFS('Key inputs_Refineries'!W$85:W$164,'Key inputs_Refineries'!$C$85:$C$164,$C337:$C346,'Key inputs_Refineries'!$B$85:$B$164,"Boiler"))),1)</f>
        <v>1</v>
      </c>
      <c r="AD346" s="173" cm="1">
        <f t="array" ref="AD346">IFERROR(IF(AND(SUMIFS('Key inputs_Refineries'!X$85:X$164,'Key inputs_Refineries'!$C$85:$C$164,$C346,'Key inputs_Refineries'!$B$85:$B$164,"Boiler")/SUM(SUMIFS('Key inputs_Refineries'!X$85:X$164,'Key inputs_Refineries'!$C$85:$C$164,$C337:$C346,'Key inputs_Refineries'!$B$85:$B$164,"Boiler"))&gt;0,SUMIFS('Key inputs_Refineries'!X$85:X$164,'Key inputs_Refineries'!$C$85:$C$164,$C346,'Key inputs_Refineries'!$B$85:$B$164,"Boiler")/SUM(SUMIFS('Key inputs_Refineries'!X$85:X$164,'Key inputs_Refineries'!$C$85:$C$164,$C337:$C346,'Key inputs_Refineries'!$B$85:$B$164,"Boiler"))&lt;0.001),0.001,SUMIFS('Key inputs_Refineries'!X$85:X$164,'Key inputs_Refineries'!$C$85:$C$164,$C346,'Key inputs_Refineries'!$B$85:$B$164,"Boiler")/SUM(SUMIFS('Key inputs_Refineries'!X$85:X$164,'Key inputs_Refineries'!$C$85:$C$164,$C337:$C346,'Key inputs_Refineries'!$B$85:$B$164,"Boiler"))),1)</f>
        <v>0.43903269260140848</v>
      </c>
      <c r="AE346" s="173" cm="1">
        <f t="array" ref="AE346">IFERROR(IF(AND(SUMIFS('Key inputs_Refineries'!Y$85:Y$164,'Key inputs_Refineries'!$C$85:$C$164,$C346,'Key inputs_Refineries'!$B$85:$B$164,"Boiler")/SUM(SUMIFS('Key inputs_Refineries'!Y$85:Y$164,'Key inputs_Refineries'!$C$85:$C$164,$C337:$C346,'Key inputs_Refineries'!$B$85:$B$164,"Boiler"))&gt;0,SUMIFS('Key inputs_Refineries'!Y$85:Y$164,'Key inputs_Refineries'!$C$85:$C$164,$C346,'Key inputs_Refineries'!$B$85:$B$164,"Boiler")/SUM(SUMIFS('Key inputs_Refineries'!Y$85:Y$164,'Key inputs_Refineries'!$C$85:$C$164,$C337:$C346,'Key inputs_Refineries'!$B$85:$B$164,"Boiler"))&lt;0.001),0.001,SUMIFS('Key inputs_Refineries'!Y$85:Y$164,'Key inputs_Refineries'!$C$85:$C$164,$C346,'Key inputs_Refineries'!$B$85:$B$164,"Boiler")/SUM(SUMIFS('Key inputs_Refineries'!Y$85:Y$164,'Key inputs_Refineries'!$C$85:$C$164,$C337:$C346,'Key inputs_Refineries'!$B$85:$B$164,"Boiler"))),1)</f>
        <v>1.2468981492366695E-2</v>
      </c>
      <c r="AF346" s="173" cm="1">
        <f t="array" ref="AF346">IFERROR(IF(AND(SUMIFS('Key inputs_Refineries'!Z$85:Z$164,'Key inputs_Refineries'!$C$85:$C$164,$C346,'Key inputs_Refineries'!$B$85:$B$164,"Boiler")/SUM(SUMIFS('Key inputs_Refineries'!Z$85:Z$164,'Key inputs_Refineries'!$C$85:$C$164,$C337:$C346,'Key inputs_Refineries'!$B$85:$B$164,"Boiler"))&gt;0,SUMIFS('Key inputs_Refineries'!Z$85:Z$164,'Key inputs_Refineries'!$C$85:$C$164,$C346,'Key inputs_Refineries'!$B$85:$B$164,"Boiler")/SUM(SUMIFS('Key inputs_Refineries'!Z$85:Z$164,'Key inputs_Refineries'!$C$85:$C$164,$C337:$C346,'Key inputs_Refineries'!$B$85:$B$164,"Boiler"))&lt;0.001),0.001,SUMIFS('Key inputs_Refineries'!Z$85:Z$164,'Key inputs_Refineries'!$C$85:$C$164,$C346,'Key inputs_Refineries'!$B$85:$B$164,"Boiler")/SUM(SUMIFS('Key inputs_Refineries'!Z$85:Z$164,'Key inputs_Refineries'!$C$85:$C$164,$C337:$C346,'Key inputs_Refineries'!$B$85:$B$164,"Boiler"))),1)</f>
        <v>3.9834048690817444E-3</v>
      </c>
      <c r="AG346" s="173" cm="1">
        <f t="array" ref="AG346">IFERROR(IF(AND(SUMIFS('Key inputs_Refineries'!AA$85:AA$164,'Key inputs_Refineries'!$C$85:$C$164,$C346,'Key inputs_Refineries'!$B$85:$B$164,"Boiler")/SUM(SUMIFS('Key inputs_Refineries'!AA$85:AA$164,'Key inputs_Refineries'!$C$85:$C$164,$C337:$C346,'Key inputs_Refineries'!$B$85:$B$164,"Boiler"))&gt;0,SUMIFS('Key inputs_Refineries'!AA$85:AA$164,'Key inputs_Refineries'!$C$85:$C$164,$C346,'Key inputs_Refineries'!$B$85:$B$164,"Boiler")/SUM(SUMIFS('Key inputs_Refineries'!AA$85:AA$164,'Key inputs_Refineries'!$C$85:$C$164,$C337:$C346,'Key inputs_Refineries'!$B$85:$B$164,"Boiler"))&lt;0.001),0.001,SUMIFS('Key inputs_Refineries'!AA$85:AA$164,'Key inputs_Refineries'!$C$85:$C$164,$C346,'Key inputs_Refineries'!$B$85:$B$164,"Boiler")/SUM(SUMIFS('Key inputs_Refineries'!AA$85:AA$164,'Key inputs_Refineries'!$C$85:$C$164,$C337:$C346,'Key inputs_Refineries'!$B$85:$B$164,"Boiler"))),1)</f>
        <v>5.2506838942529173E-2</v>
      </c>
      <c r="AH346" s="173" cm="1">
        <f t="array" ref="AH346">IFERROR(IF(AND(SUMIFS('Key inputs_Refineries'!AB$85:AB$164,'Key inputs_Refineries'!$C$85:$C$164,$C346,'Key inputs_Refineries'!$B$85:$B$164,"Boiler")/SUM(SUMIFS('Key inputs_Refineries'!AB$85:AB$164,'Key inputs_Refineries'!$C$85:$C$164,$C337:$C346,'Key inputs_Refineries'!$B$85:$B$164,"Boiler"))&gt;0,SUMIFS('Key inputs_Refineries'!AB$85:AB$164,'Key inputs_Refineries'!$C$85:$C$164,$C346,'Key inputs_Refineries'!$B$85:$B$164,"Boiler")/SUM(SUMIFS('Key inputs_Refineries'!AB$85:AB$164,'Key inputs_Refineries'!$C$85:$C$164,$C337:$C346,'Key inputs_Refineries'!$B$85:$B$164,"Boiler"))&lt;0.001),0.001,SUMIFS('Key inputs_Refineries'!AB$85:AB$164,'Key inputs_Refineries'!$C$85:$C$164,$C346,'Key inputs_Refineries'!$B$85:$B$164,"Boiler")/SUM(SUMIFS('Key inputs_Refineries'!AB$85:AB$164,'Key inputs_Refineries'!$C$85:$C$164,$C337:$C346,'Key inputs_Refineries'!$B$85:$B$164,"Boiler"))),1)</f>
        <v>9.4974097372733504E-2</v>
      </c>
      <c r="AI346" s="173" cm="1">
        <f t="array" ref="AI346">IFERROR(IF(AND(SUMIFS('Key inputs_Refineries'!AC$85:AC$164,'Key inputs_Refineries'!$C$85:$C$164,$C346,'Key inputs_Refineries'!$B$85:$B$164,"Boiler")/SUM(SUMIFS('Key inputs_Refineries'!AC$85:AC$164,'Key inputs_Refineries'!$C$85:$C$164,$C337:$C346,'Key inputs_Refineries'!$B$85:$B$164,"Boiler"))&gt;0,SUMIFS('Key inputs_Refineries'!AC$85:AC$164,'Key inputs_Refineries'!$C$85:$C$164,$C346,'Key inputs_Refineries'!$B$85:$B$164,"Boiler")/SUM(SUMIFS('Key inputs_Refineries'!AC$85:AC$164,'Key inputs_Refineries'!$C$85:$C$164,$C337:$C346,'Key inputs_Refineries'!$B$85:$B$164,"Boiler"))&lt;0.001),0.001,SUMIFS('Key inputs_Refineries'!AC$85:AC$164,'Key inputs_Refineries'!$C$85:$C$164,$C346,'Key inputs_Refineries'!$B$85:$B$164,"Boiler")/SUM(SUMIFS('Key inputs_Refineries'!AC$85:AC$164,'Key inputs_Refineries'!$C$85:$C$164,$C337:$C346,'Key inputs_Refineries'!$B$85:$B$164,"Boiler"))),1)</f>
        <v>1.2394645513138323E-2</v>
      </c>
      <c r="AJ346" s="173" cm="1">
        <f t="array" ref="AJ346">IFERROR(IF(AND(SUMIFS('Key inputs_Refineries'!AD$85:AD$164,'Key inputs_Refineries'!$C$85:$C$164,$C346,'Key inputs_Refineries'!$B$85:$B$164,"Boiler")/SUM(SUMIFS('Key inputs_Refineries'!AD$85:AD$164,'Key inputs_Refineries'!$C$85:$C$164,$C337:$C346,'Key inputs_Refineries'!$B$85:$B$164,"Boiler"))&gt;0,SUMIFS('Key inputs_Refineries'!AD$85:AD$164,'Key inputs_Refineries'!$C$85:$C$164,$C346,'Key inputs_Refineries'!$B$85:$B$164,"Boiler")/SUM(SUMIFS('Key inputs_Refineries'!AD$85:AD$164,'Key inputs_Refineries'!$C$85:$C$164,$C337:$C346,'Key inputs_Refineries'!$B$85:$B$164,"Boiler"))&lt;0.001),0.001,SUMIFS('Key inputs_Refineries'!AD$85:AD$164,'Key inputs_Refineries'!$C$85:$C$164,$C346,'Key inputs_Refineries'!$B$85:$B$164,"Boiler")/SUM(SUMIFS('Key inputs_Refineries'!AD$85:AD$164,'Key inputs_Refineries'!$C$85:$C$164,$C337:$C346,'Key inputs_Refineries'!$B$85:$B$164,"Boiler"))),1)</f>
        <v>1</v>
      </c>
      <c r="AK346" s="173" cm="1">
        <f t="array" ref="AK346">IFERROR(IF(AND(SUMIFS('Key inputs_Refineries'!AE$85:AE$164,'Key inputs_Refineries'!$C$85:$C$164,$C346,'Key inputs_Refineries'!$B$85:$B$164,"Boiler")/SUM(SUMIFS('Key inputs_Refineries'!AE$85:AE$164,'Key inputs_Refineries'!$C$85:$C$164,$C337:$C346,'Key inputs_Refineries'!$B$85:$B$164,"Boiler"))&gt;0,SUMIFS('Key inputs_Refineries'!AE$85:AE$164,'Key inputs_Refineries'!$C$85:$C$164,$C346,'Key inputs_Refineries'!$B$85:$B$164,"Boiler")/SUM(SUMIFS('Key inputs_Refineries'!AE$85:AE$164,'Key inputs_Refineries'!$C$85:$C$164,$C337:$C346,'Key inputs_Refineries'!$B$85:$B$164,"Boiler"))&lt;0.001),0.001,SUMIFS('Key inputs_Refineries'!AE$85:AE$164,'Key inputs_Refineries'!$C$85:$C$164,$C346,'Key inputs_Refineries'!$B$85:$B$164,"Boiler")/SUM(SUMIFS('Key inputs_Refineries'!AE$85:AE$164,'Key inputs_Refineries'!$C$85:$C$164,$C337:$C346,'Key inputs_Refineries'!$B$85:$B$164,"Boiler"))),1)</f>
        <v>0.26396698362328047</v>
      </c>
      <c r="AL346" s="173" cm="1">
        <f t="array" ref="AL346">IFERROR(IF(AND(SUMIFS('Key inputs_Refineries'!AF$85:AF$164,'Key inputs_Refineries'!$C$85:$C$164,$C346,'Key inputs_Refineries'!$B$85:$B$164,"Boiler")/SUM(SUMIFS('Key inputs_Refineries'!AF$85:AF$164,'Key inputs_Refineries'!$C$85:$C$164,$C337:$C346,'Key inputs_Refineries'!$B$85:$B$164,"Boiler"))&gt;0,SUMIFS('Key inputs_Refineries'!AF$85:AF$164,'Key inputs_Refineries'!$C$85:$C$164,$C346,'Key inputs_Refineries'!$B$85:$B$164,"Boiler")/SUM(SUMIFS('Key inputs_Refineries'!AF$85:AF$164,'Key inputs_Refineries'!$C$85:$C$164,$C337:$C346,'Key inputs_Refineries'!$B$85:$B$164,"Boiler"))&lt;0.001),0.001,SUMIFS('Key inputs_Refineries'!AF$85:AF$164,'Key inputs_Refineries'!$C$85:$C$164,$C346,'Key inputs_Refineries'!$B$85:$B$164,"Boiler")/SUM(SUMIFS('Key inputs_Refineries'!AF$85:AF$164,'Key inputs_Refineries'!$C$85:$C$164,$C337:$C346,'Key inputs_Refineries'!$B$85:$B$164,"Boiler"))),1)</f>
        <v>0.94020675648239993</v>
      </c>
    </row>
    <row r="347" spans="1:38">
      <c r="C347" t="s">
        <v>515</v>
      </c>
      <c r="G347" s="4" t="s">
        <v>702</v>
      </c>
      <c r="H347" t="s">
        <v>661</v>
      </c>
      <c r="I347">
        <v>2025</v>
      </c>
      <c r="J347" t="s">
        <v>650</v>
      </c>
      <c r="K347" s="426">
        <f>K338</f>
        <v>0</v>
      </c>
      <c r="L347" s="426">
        <f t="shared" ref="L347:AL347" si="22">L338</f>
        <v>0</v>
      </c>
      <c r="M347" s="426">
        <f t="shared" si="22"/>
        <v>5.4967007249105165E-2</v>
      </c>
      <c r="N347" s="426">
        <f t="shared" si="22"/>
        <v>0</v>
      </c>
      <c r="O347" s="426">
        <f t="shared" si="22"/>
        <v>0</v>
      </c>
      <c r="P347" s="426">
        <f t="shared" si="22"/>
        <v>7.5112298847973434E-3</v>
      </c>
      <c r="Q347" s="426">
        <f t="shared" si="22"/>
        <v>1.3591105951689957E-2</v>
      </c>
      <c r="R347" s="426">
        <f t="shared" si="22"/>
        <v>0</v>
      </c>
      <c r="S347" s="426">
        <f t="shared" si="22"/>
        <v>3.5051732768259555E-2</v>
      </c>
      <c r="T347" s="426">
        <f t="shared" si="22"/>
        <v>8.6333554563383288E-3</v>
      </c>
      <c r="U347" s="426">
        <f t="shared" si="22"/>
        <v>0</v>
      </c>
      <c r="V347" s="426">
        <f t="shared" si="22"/>
        <v>5.6882967399520768E-3</v>
      </c>
      <c r="W347" s="426">
        <f t="shared" si="22"/>
        <v>0</v>
      </c>
      <c r="X347" s="426">
        <f t="shared" si="22"/>
        <v>0</v>
      </c>
      <c r="Y347" s="426">
        <f t="shared" si="22"/>
        <v>2.7787994220171155E-3</v>
      </c>
      <c r="Z347" s="426">
        <f t="shared" si="22"/>
        <v>7.5121681310049548E-3</v>
      </c>
      <c r="AA347" s="426">
        <f t="shared" si="22"/>
        <v>1.3171639290390735E-2</v>
      </c>
      <c r="AB347" s="426">
        <f t="shared" si="22"/>
        <v>0.62732289155304854</v>
      </c>
      <c r="AC347" s="426">
        <f t="shared" si="22"/>
        <v>0</v>
      </c>
      <c r="AD347" s="426">
        <f t="shared" si="22"/>
        <v>9.5552781608146987E-3</v>
      </c>
      <c r="AE347" s="426">
        <f t="shared" si="22"/>
        <v>1.5014083212701699E-2</v>
      </c>
      <c r="AF347" s="426">
        <f t="shared" si="22"/>
        <v>3.8902919404541575E-2</v>
      </c>
      <c r="AG347" s="426">
        <f t="shared" si="22"/>
        <v>3.0454378123189886E-2</v>
      </c>
      <c r="AH347" s="426">
        <f t="shared" si="22"/>
        <v>0</v>
      </c>
      <c r="AI347" s="426">
        <f t="shared" si="22"/>
        <v>0.10262766484878531</v>
      </c>
      <c r="AJ347" s="426">
        <f t="shared" si="22"/>
        <v>0</v>
      </c>
      <c r="AK347" s="426">
        <f t="shared" si="22"/>
        <v>1E-3</v>
      </c>
      <c r="AL347" s="426">
        <f t="shared" si="22"/>
        <v>1.1727367954192493E-2</v>
      </c>
    </row>
    <row r="348" spans="1:38">
      <c r="C348" t="s">
        <v>517</v>
      </c>
      <c r="G348" s="4" t="s">
        <v>702</v>
      </c>
      <c r="H348" t="s">
        <v>661</v>
      </c>
      <c r="I348">
        <v>2025</v>
      </c>
      <c r="J348" t="s">
        <v>650</v>
      </c>
      <c r="K348" s="426">
        <f>K340</f>
        <v>0</v>
      </c>
      <c r="L348" s="426">
        <f t="shared" ref="L348:AL348" si="23">L340</f>
        <v>0</v>
      </c>
      <c r="M348" s="426">
        <f t="shared" si="23"/>
        <v>0</v>
      </c>
      <c r="N348" s="426">
        <f t="shared" si="23"/>
        <v>0</v>
      </c>
      <c r="O348" s="426">
        <f t="shared" si="23"/>
        <v>0</v>
      </c>
      <c r="P348" s="426">
        <f t="shared" si="23"/>
        <v>0</v>
      </c>
      <c r="Q348" s="426">
        <f t="shared" si="23"/>
        <v>0</v>
      </c>
      <c r="R348" s="426">
        <f t="shared" si="23"/>
        <v>0</v>
      </c>
      <c r="S348" s="426">
        <f t="shared" si="23"/>
        <v>0</v>
      </c>
      <c r="T348" s="426">
        <f t="shared" si="23"/>
        <v>2.7912331012078389E-2</v>
      </c>
      <c r="U348" s="426">
        <f t="shared" si="23"/>
        <v>0</v>
      </c>
      <c r="V348" s="426">
        <f t="shared" si="23"/>
        <v>1E-3</v>
      </c>
      <c r="W348" s="426">
        <f t="shared" si="23"/>
        <v>0</v>
      </c>
      <c r="X348" s="426">
        <f t="shared" si="23"/>
        <v>0</v>
      </c>
      <c r="Y348" s="426">
        <f t="shared" si="23"/>
        <v>0</v>
      </c>
      <c r="Z348" s="426">
        <f t="shared" si="23"/>
        <v>0</v>
      </c>
      <c r="AA348" s="426">
        <f t="shared" si="23"/>
        <v>0</v>
      </c>
      <c r="AB348" s="426">
        <f t="shared" si="23"/>
        <v>0</v>
      </c>
      <c r="AC348" s="426">
        <f t="shared" si="23"/>
        <v>0</v>
      </c>
      <c r="AD348" s="426">
        <f t="shared" si="23"/>
        <v>1E-3</v>
      </c>
      <c r="AE348" s="426">
        <f t="shared" si="23"/>
        <v>2.0134433337153691E-2</v>
      </c>
      <c r="AF348" s="426">
        <f t="shared" si="23"/>
        <v>0</v>
      </c>
      <c r="AG348" s="426">
        <f t="shared" si="23"/>
        <v>0</v>
      </c>
      <c r="AH348" s="426">
        <f t="shared" si="23"/>
        <v>0</v>
      </c>
      <c r="AI348" s="426">
        <f t="shared" si="23"/>
        <v>0</v>
      </c>
      <c r="AJ348" s="426">
        <f t="shared" si="23"/>
        <v>0</v>
      </c>
      <c r="AK348" s="426">
        <f t="shared" si="23"/>
        <v>0</v>
      </c>
      <c r="AL348" s="426">
        <f t="shared" si="23"/>
        <v>2.4176673865044865E-3</v>
      </c>
    </row>
    <row r="349" spans="1:38">
      <c r="C349" t="s">
        <v>515</v>
      </c>
      <c r="G349" s="4" t="s">
        <v>702</v>
      </c>
      <c r="H349" t="s">
        <v>661</v>
      </c>
      <c r="I349">
        <v>2050</v>
      </c>
      <c r="J349" t="s">
        <v>650</v>
      </c>
      <c r="K349" s="426">
        <f>K347</f>
        <v>0</v>
      </c>
      <c r="L349" s="426">
        <f t="shared" ref="L349:AL349" si="24">L347</f>
        <v>0</v>
      </c>
      <c r="M349" s="426">
        <f t="shared" si="24"/>
        <v>5.4967007249105165E-2</v>
      </c>
      <c r="N349" s="426">
        <f t="shared" si="24"/>
        <v>0</v>
      </c>
      <c r="O349" s="426">
        <f t="shared" si="24"/>
        <v>0</v>
      </c>
      <c r="P349" s="426">
        <f t="shared" si="24"/>
        <v>7.5112298847973434E-3</v>
      </c>
      <c r="Q349" s="426">
        <f t="shared" si="24"/>
        <v>1.3591105951689957E-2</v>
      </c>
      <c r="R349" s="426">
        <f t="shared" si="24"/>
        <v>0</v>
      </c>
      <c r="S349" s="426">
        <f t="shared" si="24"/>
        <v>3.5051732768259555E-2</v>
      </c>
      <c r="T349" s="426">
        <f t="shared" si="24"/>
        <v>8.6333554563383288E-3</v>
      </c>
      <c r="U349" s="426">
        <f t="shared" si="24"/>
        <v>0</v>
      </c>
      <c r="V349" s="426">
        <f t="shared" si="24"/>
        <v>5.6882967399520768E-3</v>
      </c>
      <c r="W349" s="426">
        <f t="shared" si="24"/>
        <v>0</v>
      </c>
      <c r="X349" s="426">
        <f t="shared" si="24"/>
        <v>0</v>
      </c>
      <c r="Y349" s="426">
        <f t="shared" si="24"/>
        <v>2.7787994220171155E-3</v>
      </c>
      <c r="Z349" s="426">
        <f t="shared" si="24"/>
        <v>7.5121681310049548E-3</v>
      </c>
      <c r="AA349" s="426">
        <f t="shared" si="24"/>
        <v>1.3171639290390735E-2</v>
      </c>
      <c r="AB349" s="426">
        <f t="shared" si="24"/>
        <v>0.62732289155304854</v>
      </c>
      <c r="AC349" s="426">
        <f t="shared" si="24"/>
        <v>0</v>
      </c>
      <c r="AD349" s="426">
        <f t="shared" si="24"/>
        <v>9.5552781608146987E-3</v>
      </c>
      <c r="AE349" s="426">
        <f t="shared" si="24"/>
        <v>1.5014083212701699E-2</v>
      </c>
      <c r="AF349" s="426">
        <f t="shared" si="24"/>
        <v>3.8902919404541575E-2</v>
      </c>
      <c r="AG349" s="426">
        <f t="shared" si="24"/>
        <v>3.0454378123189886E-2</v>
      </c>
      <c r="AH349" s="426">
        <f t="shared" si="24"/>
        <v>0</v>
      </c>
      <c r="AI349" s="426">
        <f t="shared" si="24"/>
        <v>0.10262766484878531</v>
      </c>
      <c r="AJ349" s="426">
        <f t="shared" si="24"/>
        <v>0</v>
      </c>
      <c r="AK349" s="426">
        <f t="shared" si="24"/>
        <v>1E-3</v>
      </c>
      <c r="AL349" s="426">
        <f t="shared" si="24"/>
        <v>1.1727367954192493E-2</v>
      </c>
    </row>
    <row r="350" spans="1:38">
      <c r="C350" t="s">
        <v>517</v>
      </c>
      <c r="G350" s="4" t="s">
        <v>702</v>
      </c>
      <c r="H350" t="s">
        <v>661</v>
      </c>
      <c r="I350">
        <v>2050</v>
      </c>
      <c r="J350" t="s">
        <v>650</v>
      </c>
      <c r="K350" s="426">
        <f>K348</f>
        <v>0</v>
      </c>
      <c r="L350" s="426">
        <f t="shared" ref="L350:AL350" si="25">L348</f>
        <v>0</v>
      </c>
      <c r="M350" s="426">
        <f t="shared" si="25"/>
        <v>0</v>
      </c>
      <c r="N350" s="426">
        <f t="shared" si="25"/>
        <v>0</v>
      </c>
      <c r="O350" s="426">
        <f t="shared" si="25"/>
        <v>0</v>
      </c>
      <c r="P350" s="426">
        <f t="shared" si="25"/>
        <v>0</v>
      </c>
      <c r="Q350" s="426">
        <f t="shared" si="25"/>
        <v>0</v>
      </c>
      <c r="R350" s="426">
        <f t="shared" si="25"/>
        <v>0</v>
      </c>
      <c r="S350" s="426">
        <f t="shared" si="25"/>
        <v>0</v>
      </c>
      <c r="T350" s="426">
        <f t="shared" si="25"/>
        <v>2.7912331012078389E-2</v>
      </c>
      <c r="U350" s="426">
        <f t="shared" si="25"/>
        <v>0</v>
      </c>
      <c r="V350" s="426">
        <f t="shared" si="25"/>
        <v>1E-3</v>
      </c>
      <c r="W350" s="426">
        <f t="shared" si="25"/>
        <v>0</v>
      </c>
      <c r="X350" s="426">
        <f t="shared" si="25"/>
        <v>0</v>
      </c>
      <c r="Y350" s="426">
        <f t="shared" si="25"/>
        <v>0</v>
      </c>
      <c r="Z350" s="426">
        <f t="shared" si="25"/>
        <v>0</v>
      </c>
      <c r="AA350" s="426">
        <f t="shared" si="25"/>
        <v>0</v>
      </c>
      <c r="AB350" s="426">
        <f t="shared" si="25"/>
        <v>0</v>
      </c>
      <c r="AC350" s="426">
        <f t="shared" si="25"/>
        <v>0</v>
      </c>
      <c r="AD350" s="426">
        <f t="shared" si="25"/>
        <v>1E-3</v>
      </c>
      <c r="AE350" s="426">
        <f t="shared" si="25"/>
        <v>2.0134433337153691E-2</v>
      </c>
      <c r="AF350" s="426">
        <f t="shared" si="25"/>
        <v>0</v>
      </c>
      <c r="AG350" s="426">
        <f t="shared" si="25"/>
        <v>0</v>
      </c>
      <c r="AH350" s="426">
        <f t="shared" si="25"/>
        <v>0</v>
      </c>
      <c r="AI350" s="426">
        <f t="shared" si="25"/>
        <v>0</v>
      </c>
      <c r="AJ350" s="426">
        <f t="shared" si="25"/>
        <v>0</v>
      </c>
      <c r="AK350" s="426">
        <f t="shared" si="25"/>
        <v>0</v>
      </c>
      <c r="AL350" s="426">
        <f t="shared" si="25"/>
        <v>2.4176673865044865E-3</v>
      </c>
    </row>
    <row r="351" spans="1:38">
      <c r="D351" t="str">
        <f>Commodities!$C$107</f>
        <v>UREFHVA</v>
      </c>
    </row>
    <row r="352" spans="1:38">
      <c r="A352" s="4" t="str">
        <f>AO30</f>
        <v>U-TRF-OILREFHVA_BIO00</v>
      </c>
      <c r="B352" s="4" t="str">
        <f>AP30</f>
        <v>UPS Transformation: Oil refinery HVAC Biomass - Existing</v>
      </c>
      <c r="C352" s="4"/>
      <c r="D352" s="4"/>
      <c r="E352" s="4"/>
      <c r="F352" s="4"/>
      <c r="G352" s="4" t="s">
        <v>695</v>
      </c>
      <c r="H352" s="4"/>
      <c r="I352" s="4"/>
      <c r="J352" s="4" t="s">
        <v>2665</v>
      </c>
      <c r="K352" s="333">
        <v>1</v>
      </c>
      <c r="L352" s="333">
        <v>1</v>
      </c>
      <c r="M352" s="333">
        <v>1</v>
      </c>
      <c r="N352" s="333">
        <v>1</v>
      </c>
      <c r="O352" s="333">
        <v>1</v>
      </c>
      <c r="P352" s="333">
        <v>1</v>
      </c>
      <c r="Q352" s="333">
        <v>1</v>
      </c>
      <c r="R352" s="333">
        <v>1</v>
      </c>
      <c r="S352" s="333">
        <v>1</v>
      </c>
      <c r="T352" s="333">
        <v>1</v>
      </c>
      <c r="U352" s="333">
        <v>1</v>
      </c>
      <c r="V352" s="333">
        <v>1</v>
      </c>
      <c r="W352" s="333">
        <v>1</v>
      </c>
      <c r="X352" s="333">
        <v>1</v>
      </c>
      <c r="Y352" s="333">
        <v>1</v>
      </c>
      <c r="Z352" s="333">
        <v>1</v>
      </c>
      <c r="AA352" s="333">
        <v>1</v>
      </c>
      <c r="AB352" s="333">
        <v>1</v>
      </c>
      <c r="AC352" s="333">
        <v>1</v>
      </c>
      <c r="AD352" s="333">
        <v>1</v>
      </c>
      <c r="AE352" s="333">
        <v>1</v>
      </c>
      <c r="AF352" s="333">
        <v>1</v>
      </c>
      <c r="AG352" s="333">
        <v>1</v>
      </c>
      <c r="AH352" s="333">
        <v>1</v>
      </c>
      <c r="AI352" s="333">
        <v>1</v>
      </c>
      <c r="AJ352" s="333">
        <v>1</v>
      </c>
      <c r="AK352" s="333">
        <v>1</v>
      </c>
      <c r="AL352" s="333">
        <v>1</v>
      </c>
    </row>
    <row r="353" spans="3:38">
      <c r="C353" s="4"/>
      <c r="D353" s="4"/>
      <c r="E353" s="4"/>
      <c r="F353" s="4"/>
      <c r="G353" s="4" t="s">
        <v>697</v>
      </c>
      <c r="H353" s="4"/>
      <c r="I353" s="4"/>
      <c r="J353" s="4" t="s">
        <v>698</v>
      </c>
      <c r="K353" s="424">
        <f>'Key inputs_Refineries'!$F$192</f>
        <v>15</v>
      </c>
      <c r="L353" s="424">
        <f>'Key inputs_Refineries'!$F$192</f>
        <v>15</v>
      </c>
      <c r="M353" s="424">
        <f>'Key inputs_Refineries'!$F$192</f>
        <v>15</v>
      </c>
      <c r="N353" s="424">
        <f>'Key inputs_Refineries'!$F$192</f>
        <v>15</v>
      </c>
      <c r="O353" s="424">
        <f>'Key inputs_Refineries'!$F$192</f>
        <v>15</v>
      </c>
      <c r="P353" s="424">
        <f>'Key inputs_Refineries'!$F$192</f>
        <v>15</v>
      </c>
      <c r="Q353" s="424">
        <f>'Key inputs_Refineries'!$F$192</f>
        <v>15</v>
      </c>
      <c r="R353" s="424">
        <f>'Key inputs_Refineries'!$F$192</f>
        <v>15</v>
      </c>
      <c r="S353" s="424">
        <f>'Key inputs_Refineries'!$F$192</f>
        <v>15</v>
      </c>
      <c r="T353" s="424">
        <f>'Key inputs_Refineries'!$F$192</f>
        <v>15</v>
      </c>
      <c r="U353" s="424">
        <f>'Key inputs_Refineries'!$F$192</f>
        <v>15</v>
      </c>
      <c r="V353" s="424">
        <f>'Key inputs_Refineries'!$F$192</f>
        <v>15</v>
      </c>
      <c r="W353" s="424">
        <f>'Key inputs_Refineries'!$F$192</f>
        <v>15</v>
      </c>
      <c r="X353" s="424">
        <f>'Key inputs_Refineries'!$F$192</f>
        <v>15</v>
      </c>
      <c r="Y353" s="424">
        <f>'Key inputs_Refineries'!$F$192</f>
        <v>15</v>
      </c>
      <c r="Z353" s="424">
        <f>'Key inputs_Refineries'!$F$192</f>
        <v>15</v>
      </c>
      <c r="AA353" s="424">
        <f>'Key inputs_Refineries'!$F$192</f>
        <v>15</v>
      </c>
      <c r="AB353" s="424">
        <f>'Key inputs_Refineries'!$F$192</f>
        <v>15</v>
      </c>
      <c r="AC353" s="424">
        <f>'Key inputs_Refineries'!$F$192</f>
        <v>15</v>
      </c>
      <c r="AD353" s="424">
        <f>'Key inputs_Refineries'!$F$192</f>
        <v>15</v>
      </c>
      <c r="AE353" s="424">
        <f>'Key inputs_Refineries'!$F$192</f>
        <v>15</v>
      </c>
      <c r="AF353" s="424">
        <f>'Key inputs_Refineries'!$F$192</f>
        <v>15</v>
      </c>
      <c r="AG353" s="424">
        <f>'Key inputs_Refineries'!$F$192</f>
        <v>15</v>
      </c>
      <c r="AH353" s="424">
        <f>'Key inputs_Refineries'!$F$192</f>
        <v>15</v>
      </c>
      <c r="AI353" s="424">
        <f>'Key inputs_Refineries'!$F$192</f>
        <v>15</v>
      </c>
      <c r="AJ353" s="424">
        <f>'Key inputs_Refineries'!$F$192</f>
        <v>15</v>
      </c>
      <c r="AK353" s="424">
        <f>'Key inputs_Refineries'!$F$192</f>
        <v>15</v>
      </c>
      <c r="AL353" s="424">
        <f>'Key inputs_Refineries'!$F$192</f>
        <v>15</v>
      </c>
    </row>
    <row r="354" spans="3:38">
      <c r="C354" s="4"/>
      <c r="D354" s="4"/>
      <c r="E354" s="4"/>
      <c r="F354" s="4"/>
      <c r="G354" s="4" t="s">
        <v>699</v>
      </c>
      <c r="H354" s="4"/>
      <c r="I354" s="4">
        <v>2019</v>
      </c>
      <c r="J354" s="4" t="s">
        <v>112</v>
      </c>
      <c r="K354" s="347" cm="1">
        <f t="array" ref="K354">-SUM(SUMIFS('Key inputs_Refineries'!E$85:E$164,'Key inputs_Refineries'!$C$85:$C$164,$C362:$C363,'Key inputs_Refineries'!$B$85:$B$164,"HVAC"))*K361/10^3</f>
        <v>0</v>
      </c>
      <c r="L354" s="347" cm="1">
        <f t="array" ref="L354">-SUM(SUMIFS('Key inputs_Refineries'!F$85:F$164,'Key inputs_Refineries'!$C$85:$C$164,$C362:$C363,'Key inputs_Refineries'!$B$85:$B$164,"HVAC"))*L361/10^3</f>
        <v>0</v>
      </c>
      <c r="M354" s="347" cm="1">
        <f t="array" ref="M354">-SUM(SUMIFS('Key inputs_Refineries'!G$85:G$164,'Key inputs_Refineries'!$C$85:$C$164,$C362:$C363,'Key inputs_Refineries'!$B$85:$B$164,"HVAC"))*M361/10^3</f>
        <v>0</v>
      </c>
      <c r="N354" s="347" cm="1">
        <f t="array" ref="N354">-SUM(SUMIFS('Key inputs_Refineries'!H$85:H$164,'Key inputs_Refineries'!$C$85:$C$164,$C362:$C363,'Key inputs_Refineries'!$B$85:$B$164,"HVAC"))*N361/10^3</f>
        <v>0</v>
      </c>
      <c r="O354" s="347" cm="1">
        <f t="array" ref="O354">-SUM(SUMIFS('Key inputs_Refineries'!I$85:I$164,'Key inputs_Refineries'!$C$85:$C$164,$C362:$C363,'Key inputs_Refineries'!$B$85:$B$164,"HVAC"))*O361/10^3</f>
        <v>0</v>
      </c>
      <c r="P354" s="347" cm="1">
        <f t="array" ref="P354">-SUM(SUMIFS('Key inputs_Refineries'!J$85:J$164,'Key inputs_Refineries'!$C$85:$C$164,$C362:$C363,'Key inputs_Refineries'!$B$85:$B$164,"HVAC"))*P361/10^3</f>
        <v>0</v>
      </c>
      <c r="Q354" s="347" cm="1">
        <f t="array" ref="Q354">-SUM(SUMIFS('Key inputs_Refineries'!K$85:K$164,'Key inputs_Refineries'!$C$85:$C$164,$C362:$C363,'Key inputs_Refineries'!$B$85:$B$164,"HVAC"))*Q361/10^3</f>
        <v>0</v>
      </c>
      <c r="R354" s="347" cm="1">
        <f t="array" ref="R354">-SUM(SUMIFS('Key inputs_Refineries'!L$85:L$164,'Key inputs_Refineries'!$C$85:$C$164,$C362:$C363,'Key inputs_Refineries'!$B$85:$B$164,"HVAC"))*R361/10^3</f>
        <v>0</v>
      </c>
      <c r="S354" s="347" cm="1">
        <f t="array" ref="S354">-SUM(SUMIFS('Key inputs_Refineries'!M$85:M$164,'Key inputs_Refineries'!$C$85:$C$164,$C362:$C363,'Key inputs_Refineries'!$B$85:$B$164,"HVAC"))*S361/10^3</f>
        <v>0</v>
      </c>
      <c r="T354" s="347" cm="1">
        <f t="array" ref="T354">-SUM(SUMIFS('Key inputs_Refineries'!N$85:N$164,'Key inputs_Refineries'!$C$85:$C$164,$C362:$C363,'Key inputs_Refineries'!$B$85:$B$164,"HVAC"))*T361/10^3</f>
        <v>0</v>
      </c>
      <c r="U354" s="347" cm="1">
        <f t="array" ref="U354">-SUM(SUMIFS('Key inputs_Refineries'!O$85:O$164,'Key inputs_Refineries'!$C$85:$C$164,$C362:$C363,'Key inputs_Refineries'!$B$85:$B$164,"HVAC"))*U361/10^3</f>
        <v>0</v>
      </c>
      <c r="V354" s="347" cm="1">
        <f t="array" ref="V354">-SUM(SUMIFS('Key inputs_Refineries'!P$85:P$164,'Key inputs_Refineries'!$C$85:$C$164,$C362:$C363,'Key inputs_Refineries'!$B$85:$B$164,"HVAC"))*V361/10^3</f>
        <v>0</v>
      </c>
      <c r="W354" s="347" cm="1">
        <f t="array" ref="W354">-SUM(SUMIFS('Key inputs_Refineries'!Q$85:Q$164,'Key inputs_Refineries'!$C$85:$C$164,$C362:$C363,'Key inputs_Refineries'!$B$85:$B$164,"HVAC"))*W361/10^3</f>
        <v>0</v>
      </c>
      <c r="X354" s="347" cm="1">
        <f t="array" ref="X354">-SUM(SUMIFS('Key inputs_Refineries'!R$85:R$164,'Key inputs_Refineries'!$C$85:$C$164,$C362:$C363,'Key inputs_Refineries'!$B$85:$B$164,"HVAC"))*X361/10^3</f>
        <v>0</v>
      </c>
      <c r="Y354" s="347" cm="1">
        <f t="array" ref="Y354">-SUM(SUMIFS('Key inputs_Refineries'!S$85:S$164,'Key inputs_Refineries'!$C$85:$C$164,$C362:$C363,'Key inputs_Refineries'!$B$85:$B$164,"HVAC"))*Y361/10^3</f>
        <v>5.7295578771080803E-6</v>
      </c>
      <c r="Z354" s="347" cm="1">
        <f t="array" ref="Z354">-SUM(SUMIFS('Key inputs_Refineries'!T$85:T$164,'Key inputs_Refineries'!$C$85:$C$164,$C362:$C363,'Key inputs_Refineries'!$B$85:$B$164,"HVAC"))*Z361/10^3</f>
        <v>0</v>
      </c>
      <c r="AA354" s="347" cm="1">
        <f t="array" ref="AA354">-SUM(SUMIFS('Key inputs_Refineries'!U$85:U$164,'Key inputs_Refineries'!$C$85:$C$164,$C362:$C363,'Key inputs_Refineries'!$B$85:$B$164,"HVAC"))*AA361/10^3</f>
        <v>1.707658964739706E-3</v>
      </c>
      <c r="AB354" s="347" cm="1">
        <f t="array" ref="AB354">-SUM(SUMIFS('Key inputs_Refineries'!V$85:V$164,'Key inputs_Refineries'!$C$85:$C$164,$C362:$C363,'Key inputs_Refineries'!$B$85:$B$164,"HVAC"))*AB361/10^3</f>
        <v>0</v>
      </c>
      <c r="AC354" s="347" cm="1">
        <f t="array" ref="AC354">-SUM(SUMIFS('Key inputs_Refineries'!W$85:W$164,'Key inputs_Refineries'!$C$85:$C$164,$C362:$C363,'Key inputs_Refineries'!$B$85:$B$164,"HVAC"))*AC361/10^3</f>
        <v>0</v>
      </c>
      <c r="AD354" s="347" cm="1">
        <f t="array" ref="AD354">-SUM(SUMIFS('Key inputs_Refineries'!X$85:X$164,'Key inputs_Refineries'!$C$85:$C$164,$C362:$C363,'Key inputs_Refineries'!$B$85:$B$164,"HVAC"))*AD361/10^3</f>
        <v>0</v>
      </c>
      <c r="AE354" s="347" cm="1">
        <f t="array" ref="AE354">-SUM(SUMIFS('Key inputs_Refineries'!Y$85:Y$164,'Key inputs_Refineries'!$C$85:$C$164,$C362:$C363,'Key inputs_Refineries'!$B$85:$B$164,"HVAC"))*AE361/10^3</f>
        <v>0</v>
      </c>
      <c r="AF354" s="347" cm="1">
        <f t="array" ref="AF354">-SUM(SUMIFS('Key inputs_Refineries'!Z$85:Z$164,'Key inputs_Refineries'!$C$85:$C$164,$C362:$C363,'Key inputs_Refineries'!$B$85:$B$164,"HVAC"))*AF361/10^3</f>
        <v>0</v>
      </c>
      <c r="AG354" s="347" cm="1">
        <f t="array" ref="AG354">-SUM(SUMIFS('Key inputs_Refineries'!AA$85:AA$164,'Key inputs_Refineries'!$C$85:$C$164,$C362:$C363,'Key inputs_Refineries'!$B$85:$B$164,"HVAC"))*AG361/10^3</f>
        <v>0</v>
      </c>
      <c r="AH354" s="347" cm="1">
        <f t="array" ref="AH354">-SUM(SUMIFS('Key inputs_Refineries'!AB$85:AB$164,'Key inputs_Refineries'!$C$85:$C$164,$C362:$C363,'Key inputs_Refineries'!$B$85:$B$164,"HVAC"))*AH361/10^3</f>
        <v>0</v>
      </c>
      <c r="AI354" s="347" cm="1">
        <f t="array" ref="AI354">-SUM(SUMIFS('Key inputs_Refineries'!AC$85:AC$164,'Key inputs_Refineries'!$C$85:$C$164,$C362:$C363,'Key inputs_Refineries'!$B$85:$B$164,"HVAC"))*AI361/10^3</f>
        <v>0</v>
      </c>
      <c r="AJ354" s="347" cm="1">
        <f t="array" ref="AJ354">-SUM(SUMIFS('Key inputs_Refineries'!AD$85:AD$164,'Key inputs_Refineries'!$C$85:$C$164,$C362:$C363,'Key inputs_Refineries'!$B$85:$B$164,"HVAC"))*AJ361/10^3</f>
        <v>3.4097999999999996E-2</v>
      </c>
      <c r="AK354" s="347" cm="1">
        <f t="array" ref="AK354">-SUM(SUMIFS('Key inputs_Refineries'!AE$85:AE$164,'Key inputs_Refineries'!$C$85:$C$164,$C362:$C363,'Key inputs_Refineries'!$B$85:$B$164,"HVAC"))*AK361/10^3</f>
        <v>0</v>
      </c>
      <c r="AL354" s="347" cm="1">
        <f t="array" ref="AL354">-SUM(SUMIFS('Key inputs_Refineries'!AF$85:AF$164,'Key inputs_Refineries'!$C$85:$C$164,$C362:$C363,'Key inputs_Refineries'!$B$85:$B$164,"HVAC"))*AL361/10^3</f>
        <v>0</v>
      </c>
    </row>
    <row r="355" spans="3:38">
      <c r="G355" s="4" t="s">
        <v>701</v>
      </c>
      <c r="H355" s="4" t="s">
        <v>661</v>
      </c>
      <c r="I355" s="4">
        <v>2019</v>
      </c>
      <c r="J355" s="4" t="s">
        <v>112</v>
      </c>
      <c r="K355" s="333">
        <v>0</v>
      </c>
      <c r="L355" s="333">
        <v>0</v>
      </c>
      <c r="M355" s="333">
        <v>0</v>
      </c>
      <c r="N355" s="333">
        <v>0</v>
      </c>
      <c r="O355" s="333">
        <v>0</v>
      </c>
      <c r="P355" s="333">
        <v>0</v>
      </c>
      <c r="Q355" s="333">
        <v>0</v>
      </c>
      <c r="R355" s="333">
        <v>0</v>
      </c>
      <c r="S355" s="333">
        <v>0</v>
      </c>
      <c r="T355" s="333">
        <v>0</v>
      </c>
      <c r="U355" s="333">
        <v>0</v>
      </c>
      <c r="V355" s="333">
        <v>0</v>
      </c>
      <c r="W355" s="333">
        <v>0</v>
      </c>
      <c r="X355" s="333">
        <v>0</v>
      </c>
      <c r="Y355" s="333">
        <v>0</v>
      </c>
      <c r="Z355" s="333">
        <v>0</v>
      </c>
      <c r="AA355" s="333">
        <v>0</v>
      </c>
      <c r="AB355" s="333">
        <v>0</v>
      </c>
      <c r="AC355" s="333">
        <v>0</v>
      </c>
      <c r="AD355" s="333">
        <v>0</v>
      </c>
      <c r="AE355" s="333">
        <v>0</v>
      </c>
      <c r="AF355" s="333">
        <v>0</v>
      </c>
      <c r="AG355" s="333">
        <v>0</v>
      </c>
      <c r="AH355" s="333">
        <v>0</v>
      </c>
      <c r="AI355" s="333">
        <v>0</v>
      </c>
      <c r="AJ355" s="333">
        <v>0</v>
      </c>
      <c r="AK355" s="333">
        <v>0</v>
      </c>
      <c r="AL355" s="333">
        <v>0</v>
      </c>
    </row>
    <row r="356" spans="3:38">
      <c r="G356" s="4" t="s">
        <v>701</v>
      </c>
      <c r="H356" s="4" t="s">
        <v>661</v>
      </c>
      <c r="I356" s="4">
        <v>2060</v>
      </c>
      <c r="J356" s="4" t="s">
        <v>112</v>
      </c>
      <c r="K356" s="333">
        <v>0</v>
      </c>
      <c r="L356" s="333">
        <v>0</v>
      </c>
      <c r="M356" s="333">
        <v>0</v>
      </c>
      <c r="N356" s="333">
        <v>0</v>
      </c>
      <c r="O356" s="333">
        <v>0</v>
      </c>
      <c r="P356" s="333">
        <v>0</v>
      </c>
      <c r="Q356" s="333">
        <v>0</v>
      </c>
      <c r="R356" s="333">
        <v>0</v>
      </c>
      <c r="S356" s="333">
        <v>0</v>
      </c>
      <c r="T356" s="333">
        <v>0</v>
      </c>
      <c r="U356" s="333">
        <v>0</v>
      </c>
      <c r="V356" s="333">
        <v>0</v>
      </c>
      <c r="W356" s="333">
        <v>0</v>
      </c>
      <c r="X356" s="333">
        <v>0</v>
      </c>
      <c r="Y356" s="333">
        <v>0</v>
      </c>
      <c r="Z356" s="333">
        <v>0</v>
      </c>
      <c r="AA356" s="333">
        <v>0</v>
      </c>
      <c r="AB356" s="333">
        <v>0</v>
      </c>
      <c r="AC356" s="333">
        <v>0</v>
      </c>
      <c r="AD356" s="333">
        <v>0</v>
      </c>
      <c r="AE356" s="333">
        <v>0</v>
      </c>
      <c r="AF356" s="333">
        <v>0</v>
      </c>
      <c r="AG356" s="333">
        <v>0</v>
      </c>
      <c r="AH356" s="333">
        <v>0</v>
      </c>
      <c r="AI356" s="333">
        <v>0</v>
      </c>
      <c r="AJ356" s="333">
        <v>0</v>
      </c>
      <c r="AK356" s="333">
        <v>0</v>
      </c>
      <c r="AL356" s="333">
        <v>0</v>
      </c>
    </row>
    <row r="357" spans="3:38">
      <c r="G357" s="4" t="s">
        <v>701</v>
      </c>
      <c r="H357" s="4" t="s">
        <v>661</v>
      </c>
      <c r="I357" s="4">
        <v>0</v>
      </c>
      <c r="J357" s="4"/>
      <c r="K357" s="333">
        <v>5</v>
      </c>
      <c r="L357" s="333">
        <v>5</v>
      </c>
      <c r="M357" s="333">
        <v>5</v>
      </c>
      <c r="N357" s="333">
        <v>5</v>
      </c>
      <c r="O357" s="333">
        <v>5</v>
      </c>
      <c r="P357" s="333">
        <v>5</v>
      </c>
      <c r="Q357" s="333">
        <v>5</v>
      </c>
      <c r="R357" s="333">
        <v>5</v>
      </c>
      <c r="S357" s="333">
        <v>5</v>
      </c>
      <c r="T357" s="333">
        <v>5</v>
      </c>
      <c r="U357" s="333">
        <v>5</v>
      </c>
      <c r="V357" s="333">
        <v>5</v>
      </c>
      <c r="W357" s="333">
        <v>5</v>
      </c>
      <c r="X357" s="333">
        <v>5</v>
      </c>
      <c r="Y357" s="333">
        <v>5</v>
      </c>
      <c r="Z357" s="333">
        <v>5</v>
      </c>
      <c r="AA357" s="333">
        <v>5</v>
      </c>
      <c r="AB357" s="333">
        <v>5</v>
      </c>
      <c r="AC357" s="333">
        <v>5</v>
      </c>
      <c r="AD357" s="333">
        <v>5</v>
      </c>
      <c r="AE357" s="333">
        <v>5</v>
      </c>
      <c r="AF357" s="333">
        <v>5</v>
      </c>
      <c r="AG357" s="333">
        <v>5</v>
      </c>
      <c r="AH357" s="333">
        <v>5</v>
      </c>
      <c r="AI357" s="333">
        <v>5</v>
      </c>
      <c r="AJ357" s="333">
        <v>5</v>
      </c>
      <c r="AK357" s="333">
        <v>5</v>
      </c>
      <c r="AL357" s="333">
        <v>5</v>
      </c>
    </row>
    <row r="358" spans="3:38">
      <c r="G358" s="4" t="s">
        <v>687</v>
      </c>
      <c r="H358" s="4"/>
      <c r="I358" s="4"/>
      <c r="J358" s="4" t="s">
        <v>2663</v>
      </c>
      <c r="K358" s="425">
        <f>'Key inputs_Refineries'!$C$192*10^3</f>
        <v>230.21279999999999</v>
      </c>
      <c r="L358" s="425">
        <f>'Key inputs_Refineries'!$C$192*10^3</f>
        <v>230.21279999999999</v>
      </c>
      <c r="M358" s="425">
        <f>'Key inputs_Refineries'!$C$192*10^3</f>
        <v>230.21279999999999</v>
      </c>
      <c r="N358" s="425">
        <f>'Key inputs_Refineries'!$C$192*10^3</f>
        <v>230.21279999999999</v>
      </c>
      <c r="O358" s="425">
        <f>'Key inputs_Refineries'!$C$192*10^3</f>
        <v>230.21279999999999</v>
      </c>
      <c r="P358" s="425">
        <f>'Key inputs_Refineries'!$C$192*10^3</f>
        <v>230.21279999999999</v>
      </c>
      <c r="Q358" s="425">
        <f>'Key inputs_Refineries'!$C$192*10^3</f>
        <v>230.21279999999999</v>
      </c>
      <c r="R358" s="425">
        <f>'Key inputs_Refineries'!$C$192*10^3</f>
        <v>230.21279999999999</v>
      </c>
      <c r="S358" s="425">
        <f>'Key inputs_Refineries'!$C$192*10^3</f>
        <v>230.21279999999999</v>
      </c>
      <c r="T358" s="425">
        <f>'Key inputs_Refineries'!$C$192*10^3</f>
        <v>230.21279999999999</v>
      </c>
      <c r="U358" s="425">
        <f>'Key inputs_Refineries'!$C$192*10^3</f>
        <v>230.21279999999999</v>
      </c>
      <c r="V358" s="425">
        <f>'Key inputs_Refineries'!$C$192*10^3</f>
        <v>230.21279999999999</v>
      </c>
      <c r="W358" s="425">
        <f>'Key inputs_Refineries'!$C$192*10^3</f>
        <v>230.21279999999999</v>
      </c>
      <c r="X358" s="425">
        <f>'Key inputs_Refineries'!$C$192*10^3</f>
        <v>230.21279999999999</v>
      </c>
      <c r="Y358" s="425">
        <f>'Key inputs_Refineries'!$C$192*10^3</f>
        <v>230.21279999999999</v>
      </c>
      <c r="Z358" s="425">
        <f>'Key inputs_Refineries'!$C$192*10^3</f>
        <v>230.21279999999999</v>
      </c>
      <c r="AA358" s="425">
        <f>'Key inputs_Refineries'!$C$192*10^3</f>
        <v>230.21279999999999</v>
      </c>
      <c r="AB358" s="425">
        <f>'Key inputs_Refineries'!$C$192*10^3</f>
        <v>230.21279999999999</v>
      </c>
      <c r="AC358" s="425">
        <f>'Key inputs_Refineries'!$C$192*10^3</f>
        <v>230.21279999999999</v>
      </c>
      <c r="AD358" s="425">
        <f>'Key inputs_Refineries'!$C$192*10^3</f>
        <v>230.21279999999999</v>
      </c>
      <c r="AE358" s="425">
        <f>'Key inputs_Refineries'!$C$192*10^3</f>
        <v>230.21279999999999</v>
      </c>
      <c r="AF358" s="425">
        <f>'Key inputs_Refineries'!$C$192*10^3</f>
        <v>230.21279999999999</v>
      </c>
      <c r="AG358" s="425">
        <f>'Key inputs_Refineries'!$C$192*10^3</f>
        <v>230.21279999999999</v>
      </c>
      <c r="AH358" s="425">
        <f>'Key inputs_Refineries'!$C$192*10^3</f>
        <v>230.21279999999999</v>
      </c>
      <c r="AI358" s="425">
        <f>'Key inputs_Refineries'!$C$192*10^3</f>
        <v>230.21279999999999</v>
      </c>
      <c r="AJ358" s="425">
        <f>'Key inputs_Refineries'!$C$192*10^3</f>
        <v>230.21279999999999</v>
      </c>
      <c r="AK358" s="425">
        <f>'Key inputs_Refineries'!$C$192*10^3</f>
        <v>230.21279999999999</v>
      </c>
      <c r="AL358" s="425">
        <f>'Key inputs_Refineries'!$C$192*10^3</f>
        <v>230.21279999999999</v>
      </c>
    </row>
    <row r="359" spans="3:38">
      <c r="G359" s="4" t="s">
        <v>689</v>
      </c>
      <c r="H359" s="4"/>
      <c r="I359" s="4"/>
      <c r="J359" s="4" t="s">
        <v>2663</v>
      </c>
      <c r="K359" s="425">
        <f>'Key inputs_Refineries'!$D$192*10^3</f>
        <v>1.8921600000000001</v>
      </c>
      <c r="L359" s="425">
        <f>'Key inputs_Refineries'!$D$192*10^3</f>
        <v>1.8921600000000001</v>
      </c>
      <c r="M359" s="425">
        <f>'Key inputs_Refineries'!$D$192*10^3</f>
        <v>1.8921600000000001</v>
      </c>
      <c r="N359" s="425">
        <f>'Key inputs_Refineries'!$D$192*10^3</f>
        <v>1.8921600000000001</v>
      </c>
      <c r="O359" s="425">
        <f>'Key inputs_Refineries'!$D$192*10^3</f>
        <v>1.8921600000000001</v>
      </c>
      <c r="P359" s="425">
        <f>'Key inputs_Refineries'!$D$192*10^3</f>
        <v>1.8921600000000001</v>
      </c>
      <c r="Q359" s="425">
        <f>'Key inputs_Refineries'!$D$192*10^3</f>
        <v>1.8921600000000001</v>
      </c>
      <c r="R359" s="425">
        <f>'Key inputs_Refineries'!$D$192*10^3</f>
        <v>1.8921600000000001</v>
      </c>
      <c r="S359" s="425">
        <f>'Key inputs_Refineries'!$D$192*10^3</f>
        <v>1.8921600000000001</v>
      </c>
      <c r="T359" s="425">
        <f>'Key inputs_Refineries'!$D$192*10^3</f>
        <v>1.8921600000000001</v>
      </c>
      <c r="U359" s="425">
        <f>'Key inputs_Refineries'!$D$192*10^3</f>
        <v>1.8921600000000001</v>
      </c>
      <c r="V359" s="425">
        <f>'Key inputs_Refineries'!$D$192*10^3</f>
        <v>1.8921600000000001</v>
      </c>
      <c r="W359" s="425">
        <f>'Key inputs_Refineries'!$D$192*10^3</f>
        <v>1.8921600000000001</v>
      </c>
      <c r="X359" s="425">
        <f>'Key inputs_Refineries'!$D$192*10^3</f>
        <v>1.8921600000000001</v>
      </c>
      <c r="Y359" s="425">
        <f>'Key inputs_Refineries'!$D$192*10^3</f>
        <v>1.8921600000000001</v>
      </c>
      <c r="Z359" s="425">
        <f>'Key inputs_Refineries'!$D$192*10^3</f>
        <v>1.8921600000000001</v>
      </c>
      <c r="AA359" s="425">
        <f>'Key inputs_Refineries'!$D$192*10^3</f>
        <v>1.8921600000000001</v>
      </c>
      <c r="AB359" s="425">
        <f>'Key inputs_Refineries'!$D$192*10^3</f>
        <v>1.8921600000000001</v>
      </c>
      <c r="AC359" s="425">
        <f>'Key inputs_Refineries'!$D$192*10^3</f>
        <v>1.8921600000000001</v>
      </c>
      <c r="AD359" s="425">
        <f>'Key inputs_Refineries'!$D$192*10^3</f>
        <v>1.8921600000000001</v>
      </c>
      <c r="AE359" s="425">
        <f>'Key inputs_Refineries'!$D$192*10^3</f>
        <v>1.8921600000000001</v>
      </c>
      <c r="AF359" s="425">
        <f>'Key inputs_Refineries'!$D$192*10^3</f>
        <v>1.8921600000000001</v>
      </c>
      <c r="AG359" s="425">
        <f>'Key inputs_Refineries'!$D$192*10^3</f>
        <v>1.8921600000000001</v>
      </c>
      <c r="AH359" s="425">
        <f>'Key inputs_Refineries'!$D$192*10^3</f>
        <v>1.8921600000000001</v>
      </c>
      <c r="AI359" s="425">
        <f>'Key inputs_Refineries'!$D$192*10^3</f>
        <v>1.8921600000000001</v>
      </c>
      <c r="AJ359" s="425">
        <f>'Key inputs_Refineries'!$D$192*10^3</f>
        <v>1.8921600000000001</v>
      </c>
      <c r="AK359" s="425">
        <f>'Key inputs_Refineries'!$D$192*10^3</f>
        <v>1.8921600000000001</v>
      </c>
      <c r="AL359" s="425">
        <f>'Key inputs_Refineries'!$D$192*10^3</f>
        <v>1.8921600000000001</v>
      </c>
    </row>
    <row r="360" spans="3:38">
      <c r="G360" s="4" t="s">
        <v>675</v>
      </c>
      <c r="H360" s="4"/>
      <c r="I360" s="4"/>
      <c r="J360" s="4" t="s">
        <v>2662</v>
      </c>
      <c r="K360" s="338"/>
      <c r="L360" s="338"/>
      <c r="M360" s="338"/>
      <c r="N360" s="338"/>
      <c r="O360" s="338"/>
      <c r="P360" s="338"/>
      <c r="Q360" s="338"/>
      <c r="R360" s="338"/>
      <c r="S360" s="338"/>
      <c r="T360" s="338"/>
      <c r="U360" s="338"/>
      <c r="V360" s="338"/>
      <c r="W360" s="338"/>
      <c r="X360" s="338"/>
      <c r="Y360" s="338"/>
      <c r="Z360" s="338"/>
      <c r="AA360" s="338"/>
      <c r="AB360" s="338"/>
      <c r="AC360" s="338"/>
      <c r="AD360" s="338"/>
      <c r="AE360" s="338"/>
      <c r="AF360" s="338"/>
      <c r="AG360" s="338"/>
      <c r="AH360" s="338"/>
      <c r="AI360" s="338"/>
      <c r="AJ360" s="338"/>
      <c r="AK360" s="338"/>
      <c r="AL360" s="338"/>
    </row>
    <row r="361" spans="3:38">
      <c r="G361" s="4" t="s">
        <v>630</v>
      </c>
      <c r="H361" s="4"/>
      <c r="I361" s="4"/>
      <c r="J361" s="4" t="s">
        <v>2666</v>
      </c>
      <c r="K361" s="425">
        <f>'Key inputs_Refineries'!$H$192</f>
        <v>0.6</v>
      </c>
      <c r="L361" s="425">
        <f>'Key inputs_Refineries'!$H$192</f>
        <v>0.6</v>
      </c>
      <c r="M361" s="425">
        <f>'Key inputs_Refineries'!$H$192</f>
        <v>0.6</v>
      </c>
      <c r="N361" s="425">
        <f>'Key inputs_Refineries'!$H$192</f>
        <v>0.6</v>
      </c>
      <c r="O361" s="425">
        <f>'Key inputs_Refineries'!$H$192</f>
        <v>0.6</v>
      </c>
      <c r="P361" s="425">
        <f>'Key inputs_Refineries'!$H$192</f>
        <v>0.6</v>
      </c>
      <c r="Q361" s="425">
        <f>'Key inputs_Refineries'!$H$192</f>
        <v>0.6</v>
      </c>
      <c r="R361" s="425">
        <f>'Key inputs_Refineries'!$H$192</f>
        <v>0.6</v>
      </c>
      <c r="S361" s="425">
        <f>'Key inputs_Refineries'!$H$192</f>
        <v>0.6</v>
      </c>
      <c r="T361" s="425">
        <f>'Key inputs_Refineries'!$H$192</f>
        <v>0.6</v>
      </c>
      <c r="U361" s="425">
        <f>'Key inputs_Refineries'!$H$192</f>
        <v>0.6</v>
      </c>
      <c r="V361" s="425">
        <f>'Key inputs_Refineries'!$H$192</f>
        <v>0.6</v>
      </c>
      <c r="W361" s="425">
        <f>'Key inputs_Refineries'!$H$192</f>
        <v>0.6</v>
      </c>
      <c r="X361" s="425">
        <f>'Key inputs_Refineries'!$H$192</f>
        <v>0.6</v>
      </c>
      <c r="Y361" s="425">
        <f>'Key inputs_Refineries'!$H$192</f>
        <v>0.6</v>
      </c>
      <c r="Z361" s="425">
        <f>'Key inputs_Refineries'!$H$192</f>
        <v>0.6</v>
      </c>
      <c r="AA361" s="425">
        <f>'Key inputs_Refineries'!$H$192</f>
        <v>0.6</v>
      </c>
      <c r="AB361" s="425">
        <f>'Key inputs_Refineries'!$H$192</f>
        <v>0.6</v>
      </c>
      <c r="AC361" s="425">
        <f>'Key inputs_Refineries'!$H$192</f>
        <v>0.6</v>
      </c>
      <c r="AD361" s="425">
        <f>'Key inputs_Refineries'!$H$192</f>
        <v>0.6</v>
      </c>
      <c r="AE361" s="425">
        <f>'Key inputs_Refineries'!$H$192</f>
        <v>0.6</v>
      </c>
      <c r="AF361" s="425">
        <f>'Key inputs_Refineries'!$H$192</f>
        <v>0.6</v>
      </c>
      <c r="AG361" s="425">
        <f>'Key inputs_Refineries'!$H$192</f>
        <v>0.6</v>
      </c>
      <c r="AH361" s="425">
        <f>'Key inputs_Refineries'!$H$192</f>
        <v>0.6</v>
      </c>
      <c r="AI361" s="425">
        <f>'Key inputs_Refineries'!$H$192</f>
        <v>0.6</v>
      </c>
      <c r="AJ361" s="425">
        <f>'Key inputs_Refineries'!$H$192</f>
        <v>0.6</v>
      </c>
      <c r="AK361" s="425">
        <f>'Key inputs_Refineries'!$H$192</f>
        <v>0.6</v>
      </c>
      <c r="AL361" s="425">
        <f>'Key inputs_Refineries'!$H$192</f>
        <v>0.6</v>
      </c>
    </row>
    <row r="362" spans="3:38">
      <c r="C362" t="str">
        <f>Commodities!$C$85</f>
        <v>UPSBIO</v>
      </c>
      <c r="G362" s="4" t="s">
        <v>702</v>
      </c>
      <c r="H362" t="s">
        <v>661</v>
      </c>
      <c r="I362">
        <v>2019</v>
      </c>
      <c r="J362" t="s">
        <v>650</v>
      </c>
      <c r="K362" s="173" cm="1">
        <f t="array" ref="K362">IFERROR(SUMIFS('Key inputs_Refineries'!E$85:E$164,'Key inputs_Refineries'!$C$85:$C$164,$C362,'Key inputs_Refineries'!$B$85:$B$164,"HVAC")/SUM(SUMIFS('Key inputs_Refineries'!E$85:E$164,'Key inputs_Refineries'!$C$85:$C$164,$C362:$C363,'Key inputs_Refineries'!$B$85:$B$164,"HVAC")),0)</f>
        <v>0</v>
      </c>
      <c r="L362" s="173" cm="1">
        <f t="array" ref="L362">IFERROR(SUMIFS('Key inputs_Refineries'!F$85:F$164,'Key inputs_Refineries'!$C$85:$C$164,$C362,'Key inputs_Refineries'!$B$85:$B$164,"HVAC")/SUM(SUMIFS('Key inputs_Refineries'!F$85:F$164,'Key inputs_Refineries'!$C$85:$C$164,$C362:$C363,'Key inputs_Refineries'!$B$85:$B$164,"HVAC")),0)</f>
        <v>0</v>
      </c>
      <c r="M362" s="173" cm="1">
        <f t="array" ref="M362">IFERROR(SUMIFS('Key inputs_Refineries'!G$85:G$164,'Key inputs_Refineries'!$C$85:$C$164,$C362,'Key inputs_Refineries'!$B$85:$B$164,"HVAC")/SUM(SUMIFS('Key inputs_Refineries'!G$85:G$164,'Key inputs_Refineries'!$C$85:$C$164,$C362:$C363,'Key inputs_Refineries'!$B$85:$B$164,"HVAC")),0)</f>
        <v>0</v>
      </c>
      <c r="N362" s="173" cm="1">
        <f t="array" ref="N362">IFERROR(SUMIFS('Key inputs_Refineries'!H$85:H$164,'Key inputs_Refineries'!$C$85:$C$164,$C362,'Key inputs_Refineries'!$B$85:$B$164,"HVAC")/SUM(SUMIFS('Key inputs_Refineries'!H$85:H$164,'Key inputs_Refineries'!$C$85:$C$164,$C362:$C363,'Key inputs_Refineries'!$B$85:$B$164,"HVAC")),0)</f>
        <v>0</v>
      </c>
      <c r="O362" s="173" cm="1">
        <f t="array" ref="O362">IFERROR(SUMIFS('Key inputs_Refineries'!I$85:I$164,'Key inputs_Refineries'!$C$85:$C$164,$C362,'Key inputs_Refineries'!$B$85:$B$164,"HVAC")/SUM(SUMIFS('Key inputs_Refineries'!I$85:I$164,'Key inputs_Refineries'!$C$85:$C$164,$C362:$C363,'Key inputs_Refineries'!$B$85:$B$164,"HVAC")),0)</f>
        <v>0</v>
      </c>
      <c r="P362" s="173" cm="1">
        <f t="array" ref="P362">IFERROR(SUMIFS('Key inputs_Refineries'!J$85:J$164,'Key inputs_Refineries'!$C$85:$C$164,$C362,'Key inputs_Refineries'!$B$85:$B$164,"HVAC")/SUM(SUMIFS('Key inputs_Refineries'!J$85:J$164,'Key inputs_Refineries'!$C$85:$C$164,$C362:$C363,'Key inputs_Refineries'!$B$85:$B$164,"HVAC")),0)</f>
        <v>0</v>
      </c>
      <c r="Q362" s="173" cm="1">
        <f t="array" ref="Q362">IFERROR(SUMIFS('Key inputs_Refineries'!K$85:K$164,'Key inputs_Refineries'!$C$85:$C$164,$C362,'Key inputs_Refineries'!$B$85:$B$164,"HVAC")/SUM(SUMIFS('Key inputs_Refineries'!K$85:K$164,'Key inputs_Refineries'!$C$85:$C$164,$C362:$C363,'Key inputs_Refineries'!$B$85:$B$164,"HVAC")),0)</f>
        <v>0</v>
      </c>
      <c r="R362" s="173" cm="1">
        <f t="array" ref="R362">IFERROR(SUMIFS('Key inputs_Refineries'!L$85:L$164,'Key inputs_Refineries'!$C$85:$C$164,$C362,'Key inputs_Refineries'!$B$85:$B$164,"HVAC")/SUM(SUMIFS('Key inputs_Refineries'!L$85:L$164,'Key inputs_Refineries'!$C$85:$C$164,$C362:$C363,'Key inputs_Refineries'!$B$85:$B$164,"HVAC")),0)</f>
        <v>0</v>
      </c>
      <c r="S362" s="173" cm="1">
        <f t="array" ref="S362">IFERROR(SUMIFS('Key inputs_Refineries'!M$85:M$164,'Key inputs_Refineries'!$C$85:$C$164,$C362,'Key inputs_Refineries'!$B$85:$B$164,"HVAC")/SUM(SUMIFS('Key inputs_Refineries'!M$85:M$164,'Key inputs_Refineries'!$C$85:$C$164,$C362:$C363,'Key inputs_Refineries'!$B$85:$B$164,"HVAC")),0)</f>
        <v>0</v>
      </c>
      <c r="T362" s="173" cm="1">
        <f t="array" ref="T362">IFERROR(SUMIFS('Key inputs_Refineries'!N$85:N$164,'Key inputs_Refineries'!$C$85:$C$164,$C362,'Key inputs_Refineries'!$B$85:$B$164,"HVAC")/SUM(SUMIFS('Key inputs_Refineries'!N$85:N$164,'Key inputs_Refineries'!$C$85:$C$164,$C362:$C363,'Key inputs_Refineries'!$B$85:$B$164,"HVAC")),0)</f>
        <v>0</v>
      </c>
      <c r="U362" s="173" cm="1">
        <f t="array" ref="U362">IFERROR(SUMIFS('Key inputs_Refineries'!O$85:O$164,'Key inputs_Refineries'!$C$85:$C$164,$C362,'Key inputs_Refineries'!$B$85:$B$164,"HVAC")/SUM(SUMIFS('Key inputs_Refineries'!O$85:O$164,'Key inputs_Refineries'!$C$85:$C$164,$C362:$C363,'Key inputs_Refineries'!$B$85:$B$164,"HVAC")),0)</f>
        <v>0</v>
      </c>
      <c r="V362" s="173" cm="1">
        <f t="array" ref="V362">IFERROR(SUMIFS('Key inputs_Refineries'!P$85:P$164,'Key inputs_Refineries'!$C$85:$C$164,$C362,'Key inputs_Refineries'!$B$85:$B$164,"HVAC")/SUM(SUMIFS('Key inputs_Refineries'!P$85:P$164,'Key inputs_Refineries'!$C$85:$C$164,$C362:$C363,'Key inputs_Refineries'!$B$85:$B$164,"HVAC")),0)</f>
        <v>0</v>
      </c>
      <c r="W362" s="173" cm="1">
        <f t="array" ref="W362">IFERROR(SUMIFS('Key inputs_Refineries'!Q$85:Q$164,'Key inputs_Refineries'!$C$85:$C$164,$C362,'Key inputs_Refineries'!$B$85:$B$164,"HVAC")/SUM(SUMIFS('Key inputs_Refineries'!Q$85:Q$164,'Key inputs_Refineries'!$C$85:$C$164,$C362:$C363,'Key inputs_Refineries'!$B$85:$B$164,"HVAC")),0)</f>
        <v>0</v>
      </c>
      <c r="X362" s="173" cm="1">
        <f t="array" ref="X362">IFERROR(SUMIFS('Key inputs_Refineries'!R$85:R$164,'Key inputs_Refineries'!$C$85:$C$164,$C362,'Key inputs_Refineries'!$B$85:$B$164,"HVAC")/SUM(SUMIFS('Key inputs_Refineries'!R$85:R$164,'Key inputs_Refineries'!$C$85:$C$164,$C362:$C363,'Key inputs_Refineries'!$B$85:$B$164,"HVAC")),0)</f>
        <v>0</v>
      </c>
      <c r="Y362" s="173" cm="1">
        <f t="array" ref="Y362">IFERROR(SUMIFS('Key inputs_Refineries'!S$85:S$164,'Key inputs_Refineries'!$C$85:$C$164,$C362,'Key inputs_Refineries'!$B$85:$B$164,"HVAC")/SUM(SUMIFS('Key inputs_Refineries'!S$85:S$164,'Key inputs_Refineries'!$C$85:$C$164,$C362:$C363,'Key inputs_Refineries'!$B$85:$B$164,"HVAC")),0)</f>
        <v>1</v>
      </c>
      <c r="Z362" s="173" cm="1">
        <f t="array" ref="Z362">IFERROR(SUMIFS('Key inputs_Refineries'!T$85:T$164,'Key inputs_Refineries'!$C$85:$C$164,$C362,'Key inputs_Refineries'!$B$85:$B$164,"HVAC")/SUM(SUMIFS('Key inputs_Refineries'!T$85:T$164,'Key inputs_Refineries'!$C$85:$C$164,$C362:$C363,'Key inputs_Refineries'!$B$85:$B$164,"HVAC")),0)</f>
        <v>0</v>
      </c>
      <c r="AA362" s="173" cm="1">
        <f t="array" ref="AA362">IFERROR(SUMIFS('Key inputs_Refineries'!U$85:U$164,'Key inputs_Refineries'!$C$85:$C$164,$C362,'Key inputs_Refineries'!$B$85:$B$164,"HVAC")/SUM(SUMIFS('Key inputs_Refineries'!U$85:U$164,'Key inputs_Refineries'!$C$85:$C$164,$C362:$C363,'Key inputs_Refineries'!$B$85:$B$164,"HVAC")),0)</f>
        <v>1</v>
      </c>
      <c r="AB362" s="173" cm="1">
        <f t="array" ref="AB362">IFERROR(SUMIFS('Key inputs_Refineries'!V$85:V$164,'Key inputs_Refineries'!$C$85:$C$164,$C362,'Key inputs_Refineries'!$B$85:$B$164,"HVAC")/SUM(SUMIFS('Key inputs_Refineries'!V$85:V$164,'Key inputs_Refineries'!$C$85:$C$164,$C362:$C363,'Key inputs_Refineries'!$B$85:$B$164,"HVAC")),0)</f>
        <v>0</v>
      </c>
      <c r="AC362" s="173" cm="1">
        <f t="array" ref="AC362">IFERROR(SUMIFS('Key inputs_Refineries'!W$85:W$164,'Key inputs_Refineries'!$C$85:$C$164,$C362,'Key inputs_Refineries'!$B$85:$B$164,"HVAC")/SUM(SUMIFS('Key inputs_Refineries'!W$85:W$164,'Key inputs_Refineries'!$C$85:$C$164,$C362:$C363,'Key inputs_Refineries'!$B$85:$B$164,"HVAC")),0)</f>
        <v>0</v>
      </c>
      <c r="AD362" s="173" cm="1">
        <f t="array" ref="AD362">IFERROR(SUMIFS('Key inputs_Refineries'!X$85:X$164,'Key inputs_Refineries'!$C$85:$C$164,$C362,'Key inputs_Refineries'!$B$85:$B$164,"HVAC")/SUM(SUMIFS('Key inputs_Refineries'!X$85:X$164,'Key inputs_Refineries'!$C$85:$C$164,$C362:$C363,'Key inputs_Refineries'!$B$85:$B$164,"HVAC")),0)</f>
        <v>0</v>
      </c>
      <c r="AE362" s="173" cm="1">
        <f t="array" ref="AE362">IFERROR(SUMIFS('Key inputs_Refineries'!Y$85:Y$164,'Key inputs_Refineries'!$C$85:$C$164,$C362,'Key inputs_Refineries'!$B$85:$B$164,"HVAC")/SUM(SUMIFS('Key inputs_Refineries'!Y$85:Y$164,'Key inputs_Refineries'!$C$85:$C$164,$C362:$C363,'Key inputs_Refineries'!$B$85:$B$164,"HVAC")),0)</f>
        <v>0</v>
      </c>
      <c r="AF362" s="173" cm="1">
        <f t="array" ref="AF362">IFERROR(SUMIFS('Key inputs_Refineries'!Z$85:Z$164,'Key inputs_Refineries'!$C$85:$C$164,$C362,'Key inputs_Refineries'!$B$85:$B$164,"HVAC")/SUM(SUMIFS('Key inputs_Refineries'!Z$85:Z$164,'Key inputs_Refineries'!$C$85:$C$164,$C362:$C363,'Key inputs_Refineries'!$B$85:$B$164,"HVAC")),0)</f>
        <v>0</v>
      </c>
      <c r="AG362" s="173" cm="1">
        <f t="array" ref="AG362">IFERROR(SUMIFS('Key inputs_Refineries'!AA$85:AA$164,'Key inputs_Refineries'!$C$85:$C$164,$C362,'Key inputs_Refineries'!$B$85:$B$164,"HVAC")/SUM(SUMIFS('Key inputs_Refineries'!AA$85:AA$164,'Key inputs_Refineries'!$C$85:$C$164,$C362:$C363,'Key inputs_Refineries'!$B$85:$B$164,"HVAC")),0)</f>
        <v>0</v>
      </c>
      <c r="AH362" s="173" cm="1">
        <f t="array" ref="AH362">IFERROR(SUMIFS('Key inputs_Refineries'!AB$85:AB$164,'Key inputs_Refineries'!$C$85:$C$164,$C362,'Key inputs_Refineries'!$B$85:$B$164,"HVAC")/SUM(SUMIFS('Key inputs_Refineries'!AB$85:AB$164,'Key inputs_Refineries'!$C$85:$C$164,$C362:$C363,'Key inputs_Refineries'!$B$85:$B$164,"HVAC")),0)</f>
        <v>0</v>
      </c>
      <c r="AI362" s="173" cm="1">
        <f t="array" ref="AI362">IFERROR(SUMIFS('Key inputs_Refineries'!AC$85:AC$164,'Key inputs_Refineries'!$C$85:$C$164,$C362,'Key inputs_Refineries'!$B$85:$B$164,"HVAC")/SUM(SUMIFS('Key inputs_Refineries'!AC$85:AC$164,'Key inputs_Refineries'!$C$85:$C$164,$C362:$C363,'Key inputs_Refineries'!$B$85:$B$164,"HVAC")),0)</f>
        <v>0</v>
      </c>
      <c r="AJ362" s="173" cm="1">
        <f t="array" ref="AJ362">IFERROR(SUMIFS('Key inputs_Refineries'!AD$85:AD$164,'Key inputs_Refineries'!$C$85:$C$164,$C362,'Key inputs_Refineries'!$B$85:$B$164,"HVAC")/SUM(SUMIFS('Key inputs_Refineries'!AD$85:AD$164,'Key inputs_Refineries'!$C$85:$C$164,$C362:$C363,'Key inputs_Refineries'!$B$85:$B$164,"HVAC")),0)</f>
        <v>0</v>
      </c>
      <c r="AK362" s="173" cm="1">
        <f t="array" ref="AK362">IFERROR(SUMIFS('Key inputs_Refineries'!AE$85:AE$164,'Key inputs_Refineries'!$C$85:$C$164,$C362,'Key inputs_Refineries'!$B$85:$B$164,"HVAC")/SUM(SUMIFS('Key inputs_Refineries'!AE$85:AE$164,'Key inputs_Refineries'!$C$85:$C$164,$C362:$C363,'Key inputs_Refineries'!$B$85:$B$164,"HVAC")),0)</f>
        <v>0</v>
      </c>
      <c r="AL362" s="173" cm="1">
        <f t="array" ref="AL362">IFERROR(SUMIFS('Key inputs_Refineries'!AF$85:AF$164,'Key inputs_Refineries'!$C$85:$C$164,$C362,'Key inputs_Refineries'!$B$85:$B$164,"HVAC")/SUM(SUMIFS('Key inputs_Refineries'!AF$85:AF$164,'Key inputs_Refineries'!$C$85:$C$164,$C362:$C363,'Key inputs_Refineries'!$B$85:$B$164,"HVAC")),0)</f>
        <v>0</v>
      </c>
    </row>
    <row r="363" spans="3:38">
      <c r="C363" t="str">
        <f>Commodities!$C$101</f>
        <v>UPSWAS</v>
      </c>
      <c r="G363" s="4" t="s">
        <v>702</v>
      </c>
      <c r="H363" t="s">
        <v>661</v>
      </c>
      <c r="I363">
        <v>2019</v>
      </c>
      <c r="J363" t="s">
        <v>650</v>
      </c>
      <c r="K363" s="173">
        <f t="shared" ref="K363:AL363" si="26">1-K362</f>
        <v>1</v>
      </c>
      <c r="L363" s="173">
        <f t="shared" si="26"/>
        <v>1</v>
      </c>
      <c r="M363" s="173">
        <f t="shared" si="26"/>
        <v>1</v>
      </c>
      <c r="N363" s="173">
        <f t="shared" si="26"/>
        <v>1</v>
      </c>
      <c r="O363" s="173">
        <f t="shared" si="26"/>
        <v>1</v>
      </c>
      <c r="P363" s="173">
        <f t="shared" si="26"/>
        <v>1</v>
      </c>
      <c r="Q363" s="173">
        <f t="shared" si="26"/>
        <v>1</v>
      </c>
      <c r="R363" s="173">
        <f t="shared" si="26"/>
        <v>1</v>
      </c>
      <c r="S363" s="173">
        <f t="shared" si="26"/>
        <v>1</v>
      </c>
      <c r="T363" s="173">
        <f t="shared" si="26"/>
        <v>1</v>
      </c>
      <c r="U363" s="173">
        <f t="shared" si="26"/>
        <v>1</v>
      </c>
      <c r="V363" s="173">
        <f t="shared" si="26"/>
        <v>1</v>
      </c>
      <c r="W363" s="173">
        <f t="shared" si="26"/>
        <v>1</v>
      </c>
      <c r="X363" s="173">
        <f t="shared" si="26"/>
        <v>1</v>
      </c>
      <c r="Y363" s="173">
        <f t="shared" si="26"/>
        <v>0</v>
      </c>
      <c r="Z363" s="173">
        <f t="shared" si="26"/>
        <v>1</v>
      </c>
      <c r="AA363" s="173">
        <f t="shared" si="26"/>
        <v>0</v>
      </c>
      <c r="AB363" s="173">
        <f t="shared" si="26"/>
        <v>1</v>
      </c>
      <c r="AC363" s="173">
        <f t="shared" si="26"/>
        <v>1</v>
      </c>
      <c r="AD363" s="173">
        <f t="shared" si="26"/>
        <v>1</v>
      </c>
      <c r="AE363" s="173">
        <f t="shared" si="26"/>
        <v>1</v>
      </c>
      <c r="AF363" s="173">
        <f t="shared" si="26"/>
        <v>1</v>
      </c>
      <c r="AG363" s="173">
        <f t="shared" si="26"/>
        <v>1</v>
      </c>
      <c r="AH363" s="173">
        <f t="shared" si="26"/>
        <v>1</v>
      </c>
      <c r="AI363" s="173">
        <f t="shared" si="26"/>
        <v>1</v>
      </c>
      <c r="AJ363" s="173">
        <f t="shared" si="26"/>
        <v>1</v>
      </c>
      <c r="AK363" s="173">
        <f t="shared" si="26"/>
        <v>1</v>
      </c>
      <c r="AL363" s="173">
        <f t="shared" si="26"/>
        <v>1</v>
      </c>
    </row>
    <row r="364" spans="3:38">
      <c r="C364" t="str">
        <f>Commodities!$C$85</f>
        <v>UPSBIO</v>
      </c>
      <c r="G364" s="4" t="s">
        <v>702</v>
      </c>
      <c r="H364" t="s">
        <v>661</v>
      </c>
      <c r="I364">
        <v>2025</v>
      </c>
      <c r="J364" t="s">
        <v>650</v>
      </c>
      <c r="K364" s="426">
        <v>1</v>
      </c>
      <c r="L364" s="426">
        <v>1</v>
      </c>
      <c r="M364" s="426">
        <v>1</v>
      </c>
      <c r="N364" s="426">
        <v>1</v>
      </c>
      <c r="O364" s="426">
        <v>1</v>
      </c>
      <c r="P364" s="426">
        <v>1</v>
      </c>
      <c r="Q364" s="426">
        <v>1</v>
      </c>
      <c r="R364" s="426">
        <v>1</v>
      </c>
      <c r="S364" s="426">
        <v>1</v>
      </c>
      <c r="T364" s="426">
        <v>1</v>
      </c>
      <c r="U364" s="426">
        <v>1</v>
      </c>
      <c r="V364" s="426">
        <v>1</v>
      </c>
      <c r="W364" s="426">
        <v>1</v>
      </c>
      <c r="X364" s="426">
        <v>1</v>
      </c>
      <c r="Y364" s="426">
        <v>1</v>
      </c>
      <c r="Z364" s="426">
        <v>1</v>
      </c>
      <c r="AA364" s="426">
        <v>1</v>
      </c>
      <c r="AB364" s="426">
        <v>1</v>
      </c>
      <c r="AC364" s="426">
        <v>1</v>
      </c>
      <c r="AD364" s="426">
        <v>1</v>
      </c>
      <c r="AE364" s="426">
        <v>1</v>
      </c>
      <c r="AF364" s="426">
        <v>1</v>
      </c>
      <c r="AG364" s="426">
        <v>1</v>
      </c>
      <c r="AH364" s="426">
        <v>1</v>
      </c>
      <c r="AI364" s="426">
        <v>1</v>
      </c>
      <c r="AJ364" s="426">
        <v>1</v>
      </c>
      <c r="AK364" s="426">
        <v>1</v>
      </c>
      <c r="AL364" s="426">
        <v>1</v>
      </c>
    </row>
    <row r="365" spans="3:38">
      <c r="C365" t="str">
        <f>Commodities!$C$101</f>
        <v>UPSWAS</v>
      </c>
      <c r="G365" s="4" t="s">
        <v>702</v>
      </c>
      <c r="H365" t="s">
        <v>661</v>
      </c>
      <c r="I365">
        <v>2025</v>
      </c>
      <c r="J365" t="s">
        <v>650</v>
      </c>
      <c r="K365" s="426">
        <v>1</v>
      </c>
      <c r="L365" s="426">
        <v>1</v>
      </c>
      <c r="M365" s="426">
        <v>1</v>
      </c>
      <c r="N365" s="426">
        <v>1</v>
      </c>
      <c r="O365" s="426">
        <v>1</v>
      </c>
      <c r="P365" s="426">
        <v>1</v>
      </c>
      <c r="Q365" s="426">
        <v>1</v>
      </c>
      <c r="R365" s="426">
        <v>1</v>
      </c>
      <c r="S365" s="426">
        <v>1</v>
      </c>
      <c r="T365" s="426">
        <v>1</v>
      </c>
      <c r="U365" s="426">
        <v>1</v>
      </c>
      <c r="V365" s="426">
        <v>1</v>
      </c>
      <c r="W365" s="426">
        <v>1</v>
      </c>
      <c r="X365" s="426">
        <v>1</v>
      </c>
      <c r="Y365" s="426">
        <v>1</v>
      </c>
      <c r="Z365" s="426">
        <v>1</v>
      </c>
      <c r="AA365" s="426">
        <v>1</v>
      </c>
      <c r="AB365" s="426">
        <v>1</v>
      </c>
      <c r="AC365" s="426">
        <v>1</v>
      </c>
      <c r="AD365" s="426">
        <v>1</v>
      </c>
      <c r="AE365" s="426">
        <v>1</v>
      </c>
      <c r="AF365" s="426">
        <v>1</v>
      </c>
      <c r="AG365" s="426">
        <v>1</v>
      </c>
      <c r="AH365" s="426">
        <v>1</v>
      </c>
      <c r="AI365" s="426">
        <v>1</v>
      </c>
      <c r="AJ365" s="426">
        <v>1</v>
      </c>
      <c r="AK365" s="426">
        <v>1</v>
      </c>
      <c r="AL365" s="426">
        <v>1</v>
      </c>
    </row>
    <row r="366" spans="3:38">
      <c r="C366" t="str">
        <f>Commodities!$C$85</f>
        <v>UPSBIO</v>
      </c>
      <c r="G366" s="4" t="s">
        <v>702</v>
      </c>
      <c r="H366" t="s">
        <v>661</v>
      </c>
      <c r="I366">
        <v>2050</v>
      </c>
      <c r="J366" t="s">
        <v>650</v>
      </c>
      <c r="K366" s="426">
        <v>1</v>
      </c>
      <c r="L366" s="426">
        <v>1</v>
      </c>
      <c r="M366" s="426">
        <v>1</v>
      </c>
      <c r="N366" s="426">
        <v>1</v>
      </c>
      <c r="O366" s="426">
        <v>1</v>
      </c>
      <c r="P366" s="426">
        <v>1</v>
      </c>
      <c r="Q366" s="426">
        <v>1</v>
      </c>
      <c r="R366" s="426">
        <v>1</v>
      </c>
      <c r="S366" s="426">
        <v>1</v>
      </c>
      <c r="T366" s="426">
        <v>1</v>
      </c>
      <c r="U366" s="426">
        <v>1</v>
      </c>
      <c r="V366" s="426">
        <v>1</v>
      </c>
      <c r="W366" s="426">
        <v>1</v>
      </c>
      <c r="X366" s="426">
        <v>1</v>
      </c>
      <c r="Y366" s="426">
        <v>1</v>
      </c>
      <c r="Z366" s="426">
        <v>1</v>
      </c>
      <c r="AA366" s="426">
        <v>1</v>
      </c>
      <c r="AB366" s="426">
        <v>1</v>
      </c>
      <c r="AC366" s="426">
        <v>1</v>
      </c>
      <c r="AD366" s="426">
        <v>1</v>
      </c>
      <c r="AE366" s="426">
        <v>1</v>
      </c>
      <c r="AF366" s="426">
        <v>1</v>
      </c>
      <c r="AG366" s="426">
        <v>1</v>
      </c>
      <c r="AH366" s="426">
        <v>1</v>
      </c>
      <c r="AI366" s="426">
        <v>1</v>
      </c>
      <c r="AJ366" s="426">
        <v>1</v>
      </c>
      <c r="AK366" s="426">
        <v>1</v>
      </c>
      <c r="AL366" s="426">
        <v>1</v>
      </c>
    </row>
    <row r="367" spans="3:38">
      <c r="C367" t="str">
        <f>Commodities!$C$101</f>
        <v>UPSWAS</v>
      </c>
      <c r="G367" s="4" t="s">
        <v>702</v>
      </c>
      <c r="H367" t="s">
        <v>661</v>
      </c>
      <c r="I367">
        <v>2050</v>
      </c>
      <c r="J367" t="s">
        <v>650</v>
      </c>
      <c r="K367" s="426">
        <v>1</v>
      </c>
      <c r="L367" s="426">
        <v>1</v>
      </c>
      <c r="M367" s="426">
        <v>1</v>
      </c>
      <c r="N367" s="426">
        <v>1</v>
      </c>
      <c r="O367" s="426">
        <v>1</v>
      </c>
      <c r="P367" s="426">
        <v>1</v>
      </c>
      <c r="Q367" s="426">
        <v>1</v>
      </c>
      <c r="R367" s="426">
        <v>1</v>
      </c>
      <c r="S367" s="426">
        <v>1</v>
      </c>
      <c r="T367" s="426">
        <v>1</v>
      </c>
      <c r="U367" s="426">
        <v>1</v>
      </c>
      <c r="V367" s="426">
        <v>1</v>
      </c>
      <c r="W367" s="426">
        <v>1</v>
      </c>
      <c r="X367" s="426">
        <v>1</v>
      </c>
      <c r="Y367" s="426">
        <v>1</v>
      </c>
      <c r="Z367" s="426">
        <v>1</v>
      </c>
      <c r="AA367" s="426">
        <v>1</v>
      </c>
      <c r="AB367" s="426">
        <v>1</v>
      </c>
      <c r="AC367" s="426">
        <v>1</v>
      </c>
      <c r="AD367" s="426">
        <v>1</v>
      </c>
      <c r="AE367" s="426">
        <v>1</v>
      </c>
      <c r="AF367" s="426">
        <v>1</v>
      </c>
      <c r="AG367" s="426">
        <v>1</v>
      </c>
      <c r="AH367" s="426">
        <v>1</v>
      </c>
      <c r="AI367" s="426">
        <v>1</v>
      </c>
      <c r="AJ367" s="426">
        <v>1</v>
      </c>
      <c r="AK367" s="426">
        <v>1</v>
      </c>
      <c r="AL367" s="426">
        <v>1</v>
      </c>
    </row>
    <row r="368" spans="3:38">
      <c r="D368" t="str">
        <f>Commodities!$C$107</f>
        <v>UREFHVA</v>
      </c>
    </row>
    <row r="369" spans="1:38">
      <c r="A369" s="4" t="str">
        <f>AO31</f>
        <v>U-TRF-OILREFHVA_COA00</v>
      </c>
      <c r="B369" s="4" t="str">
        <f>AP31</f>
        <v>UPS Transformation: Oil refinery HVAC Coal - Existing</v>
      </c>
      <c r="C369" s="4"/>
      <c r="D369" s="4"/>
      <c r="E369" s="4"/>
      <c r="F369" s="4"/>
      <c r="G369" s="4" t="s">
        <v>695</v>
      </c>
      <c r="H369" s="4"/>
      <c r="I369" s="4"/>
      <c r="J369" s="4" t="s">
        <v>2665</v>
      </c>
      <c r="K369" s="333">
        <v>1</v>
      </c>
      <c r="L369" s="333">
        <v>1</v>
      </c>
      <c r="M369" s="333">
        <v>1</v>
      </c>
      <c r="N369" s="333">
        <v>1</v>
      </c>
      <c r="O369" s="333">
        <v>1</v>
      </c>
      <c r="P369" s="333">
        <v>1</v>
      </c>
      <c r="Q369" s="333">
        <v>1</v>
      </c>
      <c r="R369" s="333">
        <v>1</v>
      </c>
      <c r="S369" s="333">
        <v>1</v>
      </c>
      <c r="T369" s="333">
        <v>1</v>
      </c>
      <c r="U369" s="333">
        <v>1</v>
      </c>
      <c r="V369" s="333">
        <v>1</v>
      </c>
      <c r="W369" s="333">
        <v>1</v>
      </c>
      <c r="X369" s="333">
        <v>1</v>
      </c>
      <c r="Y369" s="333">
        <v>1</v>
      </c>
      <c r="Z369" s="333">
        <v>1</v>
      </c>
      <c r="AA369" s="333">
        <v>1</v>
      </c>
      <c r="AB369" s="333">
        <v>1</v>
      </c>
      <c r="AC369" s="333">
        <v>1</v>
      </c>
      <c r="AD369" s="333">
        <v>1</v>
      </c>
      <c r="AE369" s="333">
        <v>1</v>
      </c>
      <c r="AF369" s="333">
        <v>1</v>
      </c>
      <c r="AG369" s="333">
        <v>1</v>
      </c>
      <c r="AH369" s="333">
        <v>1</v>
      </c>
      <c r="AI369" s="333">
        <v>1</v>
      </c>
      <c r="AJ369" s="333">
        <v>1</v>
      </c>
      <c r="AK369" s="333">
        <v>1</v>
      </c>
      <c r="AL369" s="333">
        <v>1</v>
      </c>
    </row>
    <row r="370" spans="1:38">
      <c r="C370" s="4"/>
      <c r="D370" s="4"/>
      <c r="E370" s="4"/>
      <c r="F370" s="4"/>
      <c r="G370" s="4" t="s">
        <v>697</v>
      </c>
      <c r="H370" s="4"/>
      <c r="I370" s="4"/>
      <c r="J370" s="4" t="s">
        <v>698</v>
      </c>
      <c r="K370" s="424">
        <f>'Key inputs_Refineries'!$F$193</f>
        <v>15</v>
      </c>
      <c r="L370" s="424">
        <f>'Key inputs_Refineries'!$F$193</f>
        <v>15</v>
      </c>
      <c r="M370" s="424">
        <f>'Key inputs_Refineries'!$F$193</f>
        <v>15</v>
      </c>
      <c r="N370" s="424">
        <f>'Key inputs_Refineries'!$F$193</f>
        <v>15</v>
      </c>
      <c r="O370" s="424">
        <f>'Key inputs_Refineries'!$F$193</f>
        <v>15</v>
      </c>
      <c r="P370" s="424">
        <f>'Key inputs_Refineries'!$F$193</f>
        <v>15</v>
      </c>
      <c r="Q370" s="424">
        <f>'Key inputs_Refineries'!$F$193</f>
        <v>15</v>
      </c>
      <c r="R370" s="424">
        <f>'Key inputs_Refineries'!$F$193</f>
        <v>15</v>
      </c>
      <c r="S370" s="424">
        <f>'Key inputs_Refineries'!$F$193</f>
        <v>15</v>
      </c>
      <c r="T370" s="424">
        <f>'Key inputs_Refineries'!$F$193</f>
        <v>15</v>
      </c>
      <c r="U370" s="424">
        <f>'Key inputs_Refineries'!$F$193</f>
        <v>15</v>
      </c>
      <c r="V370" s="424">
        <f>'Key inputs_Refineries'!$F$193</f>
        <v>15</v>
      </c>
      <c r="W370" s="424">
        <f>'Key inputs_Refineries'!$F$193</f>
        <v>15</v>
      </c>
      <c r="X370" s="424">
        <f>'Key inputs_Refineries'!$F$193</f>
        <v>15</v>
      </c>
      <c r="Y370" s="424">
        <f>'Key inputs_Refineries'!$F$193</f>
        <v>15</v>
      </c>
      <c r="Z370" s="424">
        <f>'Key inputs_Refineries'!$F$193</f>
        <v>15</v>
      </c>
      <c r="AA370" s="424">
        <f>'Key inputs_Refineries'!$F$193</f>
        <v>15</v>
      </c>
      <c r="AB370" s="424">
        <f>'Key inputs_Refineries'!$F$193</f>
        <v>15</v>
      </c>
      <c r="AC370" s="424">
        <f>'Key inputs_Refineries'!$F$193</f>
        <v>15</v>
      </c>
      <c r="AD370" s="424">
        <f>'Key inputs_Refineries'!$F$193</f>
        <v>15</v>
      </c>
      <c r="AE370" s="424">
        <f>'Key inputs_Refineries'!$F$193</f>
        <v>15</v>
      </c>
      <c r="AF370" s="424">
        <f>'Key inputs_Refineries'!$F$193</f>
        <v>15</v>
      </c>
      <c r="AG370" s="424">
        <f>'Key inputs_Refineries'!$F$193</f>
        <v>15</v>
      </c>
      <c r="AH370" s="424">
        <f>'Key inputs_Refineries'!$F$193</f>
        <v>15</v>
      </c>
      <c r="AI370" s="424">
        <f>'Key inputs_Refineries'!$F$193</f>
        <v>15</v>
      </c>
      <c r="AJ370" s="424">
        <f>'Key inputs_Refineries'!$F$193</f>
        <v>15</v>
      </c>
      <c r="AK370" s="424">
        <f>'Key inputs_Refineries'!$F$193</f>
        <v>15</v>
      </c>
      <c r="AL370" s="424">
        <f>'Key inputs_Refineries'!$F$193</f>
        <v>15</v>
      </c>
    </row>
    <row r="371" spans="1:38">
      <c r="C371" s="4"/>
      <c r="D371" s="4"/>
      <c r="E371" s="4"/>
      <c r="F371" s="4"/>
      <c r="G371" s="4" t="s">
        <v>699</v>
      </c>
      <c r="H371" s="4"/>
      <c r="I371" s="4">
        <v>2019</v>
      </c>
      <c r="J371" s="4" t="s">
        <v>112</v>
      </c>
      <c r="K371" s="347">
        <f>-SUM(SUMIFS('Key inputs_Refineries'!E$85:E$164,'Key inputs_Refineries'!$C$85:$C$164,$C379,'Key inputs_Refineries'!$B$85:$B$164,"HVAC"))*K378/10^3</f>
        <v>0</v>
      </c>
      <c r="L371" s="347">
        <f>-SUM(SUMIFS('Key inputs_Refineries'!F$85:F$164,'Key inputs_Refineries'!$C$85:$C$164,$C379,'Key inputs_Refineries'!$B$85:$B$164,"HVAC"))*L378/10^3</f>
        <v>0</v>
      </c>
      <c r="M371" s="347">
        <f>-SUM(SUMIFS('Key inputs_Refineries'!G$85:G$164,'Key inputs_Refineries'!$C$85:$C$164,$C379,'Key inputs_Refineries'!$B$85:$B$164,"HVAC"))*M378/10^3</f>
        <v>0</v>
      </c>
      <c r="N371" s="347">
        <f>-SUM(SUMIFS('Key inputs_Refineries'!H$85:H$164,'Key inputs_Refineries'!$C$85:$C$164,$C379,'Key inputs_Refineries'!$B$85:$B$164,"HVAC"))*N378/10^3</f>
        <v>0</v>
      </c>
      <c r="O371" s="347">
        <f>-SUM(SUMIFS('Key inputs_Refineries'!I$85:I$164,'Key inputs_Refineries'!$C$85:$C$164,$C379,'Key inputs_Refineries'!$B$85:$B$164,"HVAC"))*O378/10^3</f>
        <v>0</v>
      </c>
      <c r="P371" s="347">
        <f>-SUM(SUMIFS('Key inputs_Refineries'!J$85:J$164,'Key inputs_Refineries'!$C$85:$C$164,$C379,'Key inputs_Refineries'!$B$85:$B$164,"HVAC"))*P378/10^3</f>
        <v>0</v>
      </c>
      <c r="Q371" s="347">
        <f>-SUM(SUMIFS('Key inputs_Refineries'!K$85:K$164,'Key inputs_Refineries'!$C$85:$C$164,$C379,'Key inputs_Refineries'!$B$85:$B$164,"HVAC"))*Q378/10^3</f>
        <v>0</v>
      </c>
      <c r="R371" s="347">
        <f>-SUM(SUMIFS('Key inputs_Refineries'!L$85:L$164,'Key inputs_Refineries'!$C$85:$C$164,$C379,'Key inputs_Refineries'!$B$85:$B$164,"HVAC"))*R378/10^3</f>
        <v>0</v>
      </c>
      <c r="S371" s="347">
        <f>-SUM(SUMIFS('Key inputs_Refineries'!M$85:M$164,'Key inputs_Refineries'!$C$85:$C$164,$C379,'Key inputs_Refineries'!$B$85:$B$164,"HVAC"))*S378/10^3</f>
        <v>0</v>
      </c>
      <c r="T371" s="347">
        <f>-SUM(SUMIFS('Key inputs_Refineries'!N$85:N$164,'Key inputs_Refineries'!$C$85:$C$164,$C379,'Key inputs_Refineries'!$B$85:$B$164,"HVAC"))*T378/10^3</f>
        <v>0</v>
      </c>
      <c r="U371" s="347">
        <f>-SUM(SUMIFS('Key inputs_Refineries'!O$85:O$164,'Key inputs_Refineries'!$C$85:$C$164,$C379,'Key inputs_Refineries'!$B$85:$B$164,"HVAC"))*U378/10^3</f>
        <v>0</v>
      </c>
      <c r="V371" s="347">
        <f>-SUM(SUMIFS('Key inputs_Refineries'!P$85:P$164,'Key inputs_Refineries'!$C$85:$C$164,$C379,'Key inputs_Refineries'!$B$85:$B$164,"HVAC"))*V378/10^3</f>
        <v>0</v>
      </c>
      <c r="W371" s="347">
        <f>-SUM(SUMIFS('Key inputs_Refineries'!Q$85:Q$164,'Key inputs_Refineries'!$C$85:$C$164,$C379,'Key inputs_Refineries'!$B$85:$B$164,"HVAC"))*W378/10^3</f>
        <v>0</v>
      </c>
      <c r="X371" s="347">
        <f>-SUM(SUMIFS('Key inputs_Refineries'!R$85:R$164,'Key inputs_Refineries'!$C$85:$C$164,$C379,'Key inputs_Refineries'!$B$85:$B$164,"HVAC"))*X378/10^3</f>
        <v>0</v>
      </c>
      <c r="Y371" s="347">
        <f>-SUM(SUMIFS('Key inputs_Refineries'!S$85:S$164,'Key inputs_Refineries'!$C$85:$C$164,$C379,'Key inputs_Refineries'!$B$85:$B$164,"HVAC"))*Y378/10^3</f>
        <v>5.2050075082617662E-3</v>
      </c>
      <c r="Z371" s="347">
        <f>-SUM(SUMIFS('Key inputs_Refineries'!T$85:T$164,'Key inputs_Refineries'!$C$85:$C$164,$C379,'Key inputs_Refineries'!$B$85:$B$164,"HVAC"))*Z378/10^3</f>
        <v>0</v>
      </c>
      <c r="AA371" s="347">
        <f>-SUM(SUMIFS('Key inputs_Refineries'!U$85:U$164,'Key inputs_Refineries'!$C$85:$C$164,$C379,'Key inputs_Refineries'!$B$85:$B$164,"HVAC"))*AA378/10^3</f>
        <v>0</v>
      </c>
      <c r="AB371" s="347">
        <f>-SUM(SUMIFS('Key inputs_Refineries'!V$85:V$164,'Key inputs_Refineries'!$C$85:$C$164,$C379,'Key inputs_Refineries'!$B$85:$B$164,"HVAC"))*AB378/10^3</f>
        <v>0</v>
      </c>
      <c r="AC371" s="347">
        <f>-SUM(SUMIFS('Key inputs_Refineries'!W$85:W$164,'Key inputs_Refineries'!$C$85:$C$164,$C379,'Key inputs_Refineries'!$B$85:$B$164,"HVAC"))*AC378/10^3</f>
        <v>0</v>
      </c>
      <c r="AD371" s="347">
        <f>-SUM(SUMIFS('Key inputs_Refineries'!X$85:X$164,'Key inputs_Refineries'!$C$85:$C$164,$C379,'Key inputs_Refineries'!$B$85:$B$164,"HVAC"))*AD378/10^3</f>
        <v>1.5018261741726029E-2</v>
      </c>
      <c r="AE371" s="347">
        <f>-SUM(SUMIFS('Key inputs_Refineries'!Y$85:Y$164,'Key inputs_Refineries'!$C$85:$C$164,$C379,'Key inputs_Refineries'!$B$85:$B$164,"HVAC"))*AE378/10^3</f>
        <v>0</v>
      </c>
      <c r="AF371" s="347">
        <f>-SUM(SUMIFS('Key inputs_Refineries'!Z$85:Z$164,'Key inputs_Refineries'!$C$85:$C$164,$C379,'Key inputs_Refineries'!$B$85:$B$164,"HVAC"))*AF378/10^3</f>
        <v>0</v>
      </c>
      <c r="AG371" s="347">
        <f>-SUM(SUMIFS('Key inputs_Refineries'!AA$85:AA$164,'Key inputs_Refineries'!$C$85:$C$164,$C379,'Key inputs_Refineries'!$B$85:$B$164,"HVAC"))*AG378/10^3</f>
        <v>0</v>
      </c>
      <c r="AH371" s="347">
        <f>-SUM(SUMIFS('Key inputs_Refineries'!AB$85:AB$164,'Key inputs_Refineries'!$C$85:$C$164,$C379,'Key inputs_Refineries'!$B$85:$B$164,"HVAC"))*AH378/10^3</f>
        <v>0</v>
      </c>
      <c r="AI371" s="347">
        <f>-SUM(SUMIFS('Key inputs_Refineries'!AC$85:AC$164,'Key inputs_Refineries'!$C$85:$C$164,$C379,'Key inputs_Refineries'!$B$85:$B$164,"HVAC"))*AI378/10^3</f>
        <v>0</v>
      </c>
      <c r="AJ371" s="347">
        <f>-SUM(SUMIFS('Key inputs_Refineries'!AD$85:AD$164,'Key inputs_Refineries'!$C$85:$C$164,$C379,'Key inputs_Refineries'!$B$85:$B$164,"HVAC"))*AJ378/10^3</f>
        <v>0</v>
      </c>
      <c r="AK371" s="347">
        <f>-SUM(SUMIFS('Key inputs_Refineries'!AE$85:AE$164,'Key inputs_Refineries'!$C$85:$C$164,$C379,'Key inputs_Refineries'!$B$85:$B$164,"HVAC"))*AK378/10^3</f>
        <v>0</v>
      </c>
      <c r="AL371" s="347">
        <f>-SUM(SUMIFS('Key inputs_Refineries'!AF$85:AF$164,'Key inputs_Refineries'!$C$85:$C$164,$C379,'Key inputs_Refineries'!$B$85:$B$164,"HVAC"))*AL378/10^3</f>
        <v>0</v>
      </c>
    </row>
    <row r="372" spans="1:38">
      <c r="G372" s="4" t="s">
        <v>701</v>
      </c>
      <c r="H372" s="4" t="s">
        <v>661</v>
      </c>
      <c r="I372" s="4">
        <v>2019</v>
      </c>
      <c r="J372" s="4" t="s">
        <v>112</v>
      </c>
      <c r="K372" s="333">
        <v>0</v>
      </c>
      <c r="L372" s="333">
        <v>0</v>
      </c>
      <c r="M372" s="333">
        <v>0</v>
      </c>
      <c r="N372" s="333">
        <v>0</v>
      </c>
      <c r="O372" s="333">
        <v>0</v>
      </c>
      <c r="P372" s="333">
        <v>0</v>
      </c>
      <c r="Q372" s="333">
        <v>0</v>
      </c>
      <c r="R372" s="333">
        <v>0</v>
      </c>
      <c r="S372" s="333">
        <v>0</v>
      </c>
      <c r="T372" s="333">
        <v>0</v>
      </c>
      <c r="U372" s="333">
        <v>0</v>
      </c>
      <c r="V372" s="333">
        <v>0</v>
      </c>
      <c r="W372" s="333">
        <v>0</v>
      </c>
      <c r="X372" s="333">
        <v>0</v>
      </c>
      <c r="Y372" s="333">
        <v>0</v>
      </c>
      <c r="Z372" s="333">
        <v>0</v>
      </c>
      <c r="AA372" s="333">
        <v>0</v>
      </c>
      <c r="AB372" s="333">
        <v>0</v>
      </c>
      <c r="AC372" s="333">
        <v>0</v>
      </c>
      <c r="AD372" s="333">
        <v>0</v>
      </c>
      <c r="AE372" s="333">
        <v>0</v>
      </c>
      <c r="AF372" s="333">
        <v>0</v>
      </c>
      <c r="AG372" s="333">
        <v>0</v>
      </c>
      <c r="AH372" s="333">
        <v>0</v>
      </c>
      <c r="AI372" s="333">
        <v>0</v>
      </c>
      <c r="AJ372" s="333">
        <v>0</v>
      </c>
      <c r="AK372" s="333">
        <v>0</v>
      </c>
      <c r="AL372" s="333">
        <v>0</v>
      </c>
    </row>
    <row r="373" spans="1:38">
      <c r="G373" s="4" t="s">
        <v>701</v>
      </c>
      <c r="H373" s="4" t="s">
        <v>661</v>
      </c>
      <c r="I373" s="4">
        <v>2060</v>
      </c>
      <c r="J373" s="4" t="s">
        <v>112</v>
      </c>
      <c r="K373" s="333">
        <v>0</v>
      </c>
      <c r="L373" s="333">
        <v>0</v>
      </c>
      <c r="M373" s="333">
        <v>0</v>
      </c>
      <c r="N373" s="333">
        <v>0</v>
      </c>
      <c r="O373" s="333">
        <v>0</v>
      </c>
      <c r="P373" s="333">
        <v>0</v>
      </c>
      <c r="Q373" s="333">
        <v>0</v>
      </c>
      <c r="R373" s="333">
        <v>0</v>
      </c>
      <c r="S373" s="333">
        <v>0</v>
      </c>
      <c r="T373" s="333">
        <v>0</v>
      </c>
      <c r="U373" s="333">
        <v>0</v>
      </c>
      <c r="V373" s="333">
        <v>0</v>
      </c>
      <c r="W373" s="333">
        <v>0</v>
      </c>
      <c r="X373" s="333">
        <v>0</v>
      </c>
      <c r="Y373" s="333">
        <v>0</v>
      </c>
      <c r="Z373" s="333">
        <v>0</v>
      </c>
      <c r="AA373" s="333">
        <v>0</v>
      </c>
      <c r="AB373" s="333">
        <v>0</v>
      </c>
      <c r="AC373" s="333">
        <v>0</v>
      </c>
      <c r="AD373" s="333">
        <v>0</v>
      </c>
      <c r="AE373" s="333">
        <v>0</v>
      </c>
      <c r="AF373" s="333">
        <v>0</v>
      </c>
      <c r="AG373" s="333">
        <v>0</v>
      </c>
      <c r="AH373" s="333">
        <v>0</v>
      </c>
      <c r="AI373" s="333">
        <v>0</v>
      </c>
      <c r="AJ373" s="333">
        <v>0</v>
      </c>
      <c r="AK373" s="333">
        <v>0</v>
      </c>
      <c r="AL373" s="333">
        <v>0</v>
      </c>
    </row>
    <row r="374" spans="1:38">
      <c r="G374" s="4" t="s">
        <v>701</v>
      </c>
      <c r="H374" s="4" t="s">
        <v>661</v>
      </c>
      <c r="I374" s="4">
        <v>0</v>
      </c>
      <c r="J374" s="4"/>
      <c r="K374" s="333">
        <v>5</v>
      </c>
      <c r="L374" s="333">
        <v>5</v>
      </c>
      <c r="M374" s="333">
        <v>5</v>
      </c>
      <c r="N374" s="333">
        <v>5</v>
      </c>
      <c r="O374" s="333">
        <v>5</v>
      </c>
      <c r="P374" s="333">
        <v>5</v>
      </c>
      <c r="Q374" s="333">
        <v>5</v>
      </c>
      <c r="R374" s="333">
        <v>5</v>
      </c>
      <c r="S374" s="333">
        <v>5</v>
      </c>
      <c r="T374" s="333">
        <v>5</v>
      </c>
      <c r="U374" s="333">
        <v>5</v>
      </c>
      <c r="V374" s="333">
        <v>5</v>
      </c>
      <c r="W374" s="333">
        <v>5</v>
      </c>
      <c r="X374" s="333">
        <v>5</v>
      </c>
      <c r="Y374" s="333">
        <v>5</v>
      </c>
      <c r="Z374" s="333">
        <v>5</v>
      </c>
      <c r="AA374" s="333">
        <v>5</v>
      </c>
      <c r="AB374" s="333">
        <v>5</v>
      </c>
      <c r="AC374" s="333">
        <v>5</v>
      </c>
      <c r="AD374" s="333">
        <v>5</v>
      </c>
      <c r="AE374" s="333">
        <v>5</v>
      </c>
      <c r="AF374" s="333">
        <v>5</v>
      </c>
      <c r="AG374" s="333">
        <v>5</v>
      </c>
      <c r="AH374" s="333">
        <v>5</v>
      </c>
      <c r="AI374" s="333">
        <v>5</v>
      </c>
      <c r="AJ374" s="333">
        <v>5</v>
      </c>
      <c r="AK374" s="333">
        <v>5</v>
      </c>
      <c r="AL374" s="333">
        <v>5</v>
      </c>
    </row>
    <row r="375" spans="1:38">
      <c r="G375" s="4" t="s">
        <v>687</v>
      </c>
      <c r="H375" s="4"/>
      <c r="I375" s="4"/>
      <c r="J375" s="4" t="s">
        <v>2663</v>
      </c>
      <c r="K375" s="425">
        <f>'Key inputs_Refineries'!$C$193*10^3</f>
        <v>182.90880000000001</v>
      </c>
      <c r="L375" s="425">
        <f>'Key inputs_Refineries'!$C$193*10^3</f>
        <v>182.90880000000001</v>
      </c>
      <c r="M375" s="425">
        <f>'Key inputs_Refineries'!$C$193*10^3</f>
        <v>182.90880000000001</v>
      </c>
      <c r="N375" s="425">
        <f>'Key inputs_Refineries'!$C$193*10^3</f>
        <v>182.90880000000001</v>
      </c>
      <c r="O375" s="425">
        <f>'Key inputs_Refineries'!$C$193*10^3</f>
        <v>182.90880000000001</v>
      </c>
      <c r="P375" s="425">
        <f>'Key inputs_Refineries'!$C$193*10^3</f>
        <v>182.90880000000001</v>
      </c>
      <c r="Q375" s="425">
        <f>'Key inputs_Refineries'!$C$193*10^3</f>
        <v>182.90880000000001</v>
      </c>
      <c r="R375" s="425">
        <f>'Key inputs_Refineries'!$C$193*10^3</f>
        <v>182.90880000000001</v>
      </c>
      <c r="S375" s="425">
        <f>'Key inputs_Refineries'!$C$193*10^3</f>
        <v>182.90880000000001</v>
      </c>
      <c r="T375" s="425">
        <f>'Key inputs_Refineries'!$C$193*10^3</f>
        <v>182.90880000000001</v>
      </c>
      <c r="U375" s="425">
        <f>'Key inputs_Refineries'!$C$193*10^3</f>
        <v>182.90880000000001</v>
      </c>
      <c r="V375" s="425">
        <f>'Key inputs_Refineries'!$C$193*10^3</f>
        <v>182.90880000000001</v>
      </c>
      <c r="W375" s="425">
        <f>'Key inputs_Refineries'!$C$193*10^3</f>
        <v>182.90880000000001</v>
      </c>
      <c r="X375" s="425">
        <f>'Key inputs_Refineries'!$C$193*10^3</f>
        <v>182.90880000000001</v>
      </c>
      <c r="Y375" s="425">
        <f>'Key inputs_Refineries'!$C$193*10^3</f>
        <v>182.90880000000001</v>
      </c>
      <c r="Z375" s="425">
        <f>'Key inputs_Refineries'!$C$193*10^3</f>
        <v>182.90880000000001</v>
      </c>
      <c r="AA375" s="425">
        <f>'Key inputs_Refineries'!$C$193*10^3</f>
        <v>182.90880000000001</v>
      </c>
      <c r="AB375" s="425">
        <f>'Key inputs_Refineries'!$C$193*10^3</f>
        <v>182.90880000000001</v>
      </c>
      <c r="AC375" s="425">
        <f>'Key inputs_Refineries'!$C$193*10^3</f>
        <v>182.90880000000001</v>
      </c>
      <c r="AD375" s="425">
        <f>'Key inputs_Refineries'!$C$193*10^3</f>
        <v>182.90880000000001</v>
      </c>
      <c r="AE375" s="425">
        <f>'Key inputs_Refineries'!$C$193*10^3</f>
        <v>182.90880000000001</v>
      </c>
      <c r="AF375" s="425">
        <f>'Key inputs_Refineries'!$C$193*10^3</f>
        <v>182.90880000000001</v>
      </c>
      <c r="AG375" s="425">
        <f>'Key inputs_Refineries'!$C$193*10^3</f>
        <v>182.90880000000001</v>
      </c>
      <c r="AH375" s="425">
        <f>'Key inputs_Refineries'!$C$193*10^3</f>
        <v>182.90880000000001</v>
      </c>
      <c r="AI375" s="425">
        <f>'Key inputs_Refineries'!$C$193*10^3</f>
        <v>182.90880000000001</v>
      </c>
      <c r="AJ375" s="425">
        <f>'Key inputs_Refineries'!$C$193*10^3</f>
        <v>182.90880000000001</v>
      </c>
      <c r="AK375" s="425">
        <f>'Key inputs_Refineries'!$C$193*10^3</f>
        <v>182.90880000000001</v>
      </c>
      <c r="AL375" s="425">
        <f>'Key inputs_Refineries'!$C$193*10^3</f>
        <v>182.90880000000001</v>
      </c>
    </row>
    <row r="376" spans="1:38">
      <c r="G376" s="4" t="s">
        <v>689</v>
      </c>
      <c r="H376" s="4"/>
      <c r="I376" s="4"/>
      <c r="J376" s="4" t="s">
        <v>2663</v>
      </c>
      <c r="K376" s="425">
        <f>'Key inputs_Refineries'!$D$193*10^3</f>
        <v>1.5768000000000002</v>
      </c>
      <c r="L376" s="425">
        <f>'Key inputs_Refineries'!$D$193*10^3</f>
        <v>1.5768000000000002</v>
      </c>
      <c r="M376" s="425">
        <f>'Key inputs_Refineries'!$D$193*10^3</f>
        <v>1.5768000000000002</v>
      </c>
      <c r="N376" s="425">
        <f>'Key inputs_Refineries'!$D$193*10^3</f>
        <v>1.5768000000000002</v>
      </c>
      <c r="O376" s="425">
        <f>'Key inputs_Refineries'!$D$193*10^3</f>
        <v>1.5768000000000002</v>
      </c>
      <c r="P376" s="425">
        <f>'Key inputs_Refineries'!$D$193*10^3</f>
        <v>1.5768000000000002</v>
      </c>
      <c r="Q376" s="425">
        <f>'Key inputs_Refineries'!$D$193*10^3</f>
        <v>1.5768000000000002</v>
      </c>
      <c r="R376" s="425">
        <f>'Key inputs_Refineries'!$D$193*10^3</f>
        <v>1.5768000000000002</v>
      </c>
      <c r="S376" s="425">
        <f>'Key inputs_Refineries'!$D$193*10^3</f>
        <v>1.5768000000000002</v>
      </c>
      <c r="T376" s="425">
        <f>'Key inputs_Refineries'!$D$193*10^3</f>
        <v>1.5768000000000002</v>
      </c>
      <c r="U376" s="425">
        <f>'Key inputs_Refineries'!$D$193*10^3</f>
        <v>1.5768000000000002</v>
      </c>
      <c r="V376" s="425">
        <f>'Key inputs_Refineries'!$D$193*10^3</f>
        <v>1.5768000000000002</v>
      </c>
      <c r="W376" s="425">
        <f>'Key inputs_Refineries'!$D$193*10^3</f>
        <v>1.5768000000000002</v>
      </c>
      <c r="X376" s="425">
        <f>'Key inputs_Refineries'!$D$193*10^3</f>
        <v>1.5768000000000002</v>
      </c>
      <c r="Y376" s="425">
        <f>'Key inputs_Refineries'!$D$193*10^3</f>
        <v>1.5768000000000002</v>
      </c>
      <c r="Z376" s="425">
        <f>'Key inputs_Refineries'!$D$193*10^3</f>
        <v>1.5768000000000002</v>
      </c>
      <c r="AA376" s="425">
        <f>'Key inputs_Refineries'!$D$193*10^3</f>
        <v>1.5768000000000002</v>
      </c>
      <c r="AB376" s="425">
        <f>'Key inputs_Refineries'!$D$193*10^3</f>
        <v>1.5768000000000002</v>
      </c>
      <c r="AC376" s="425">
        <f>'Key inputs_Refineries'!$D$193*10^3</f>
        <v>1.5768000000000002</v>
      </c>
      <c r="AD376" s="425">
        <f>'Key inputs_Refineries'!$D$193*10^3</f>
        <v>1.5768000000000002</v>
      </c>
      <c r="AE376" s="425">
        <f>'Key inputs_Refineries'!$D$193*10^3</f>
        <v>1.5768000000000002</v>
      </c>
      <c r="AF376" s="425">
        <f>'Key inputs_Refineries'!$D$193*10^3</f>
        <v>1.5768000000000002</v>
      </c>
      <c r="AG376" s="425">
        <f>'Key inputs_Refineries'!$D$193*10^3</f>
        <v>1.5768000000000002</v>
      </c>
      <c r="AH376" s="425">
        <f>'Key inputs_Refineries'!$D$193*10^3</f>
        <v>1.5768000000000002</v>
      </c>
      <c r="AI376" s="425">
        <f>'Key inputs_Refineries'!$D$193*10^3</f>
        <v>1.5768000000000002</v>
      </c>
      <c r="AJ376" s="425">
        <f>'Key inputs_Refineries'!$D$193*10^3</f>
        <v>1.5768000000000002</v>
      </c>
      <c r="AK376" s="425">
        <f>'Key inputs_Refineries'!$D$193*10^3</f>
        <v>1.5768000000000002</v>
      </c>
      <c r="AL376" s="425">
        <f>'Key inputs_Refineries'!$D$193*10^3</f>
        <v>1.5768000000000002</v>
      </c>
    </row>
    <row r="377" spans="1:38">
      <c r="G377" s="4" t="s">
        <v>675</v>
      </c>
      <c r="H377" s="4"/>
      <c r="I377" s="4"/>
      <c r="J377" s="4" t="s">
        <v>2662</v>
      </c>
      <c r="K377" s="338"/>
      <c r="L377" s="338"/>
      <c r="M377" s="338"/>
      <c r="N377" s="338"/>
      <c r="O377" s="338"/>
      <c r="P377" s="338"/>
      <c r="Q377" s="338"/>
      <c r="R377" s="338"/>
      <c r="S377" s="338"/>
      <c r="T377" s="338"/>
      <c r="U377" s="338"/>
      <c r="V377" s="338"/>
      <c r="W377" s="338"/>
      <c r="X377" s="338"/>
      <c r="Y377" s="338"/>
      <c r="Z377" s="338"/>
      <c r="AA377" s="338"/>
      <c r="AB377" s="338"/>
      <c r="AC377" s="338"/>
      <c r="AD377" s="338"/>
      <c r="AE377" s="338"/>
      <c r="AF377" s="338"/>
      <c r="AG377" s="338"/>
      <c r="AH377" s="338"/>
      <c r="AI377" s="338"/>
      <c r="AJ377" s="338"/>
      <c r="AK377" s="338"/>
      <c r="AL377" s="338"/>
    </row>
    <row r="378" spans="1:38">
      <c r="G378" s="4" t="s">
        <v>630</v>
      </c>
      <c r="H378" s="4"/>
      <c r="I378" s="4"/>
      <c r="J378" s="4" t="s">
        <v>2666</v>
      </c>
      <c r="K378" s="425">
        <f>'Key inputs_Refineries'!$H$193</f>
        <v>0.68</v>
      </c>
      <c r="L378" s="425">
        <f>'Key inputs_Refineries'!$H$193</f>
        <v>0.68</v>
      </c>
      <c r="M378" s="425">
        <f>'Key inputs_Refineries'!$H$193</f>
        <v>0.68</v>
      </c>
      <c r="N378" s="425">
        <f>'Key inputs_Refineries'!$H$193</f>
        <v>0.68</v>
      </c>
      <c r="O378" s="425">
        <f>'Key inputs_Refineries'!$H$193</f>
        <v>0.68</v>
      </c>
      <c r="P378" s="425">
        <f>'Key inputs_Refineries'!$H$193</f>
        <v>0.68</v>
      </c>
      <c r="Q378" s="425">
        <f>'Key inputs_Refineries'!$H$193</f>
        <v>0.68</v>
      </c>
      <c r="R378" s="425">
        <f>'Key inputs_Refineries'!$H$193</f>
        <v>0.68</v>
      </c>
      <c r="S378" s="425">
        <f>'Key inputs_Refineries'!$H$193</f>
        <v>0.68</v>
      </c>
      <c r="T378" s="425">
        <f>'Key inputs_Refineries'!$H$193</f>
        <v>0.68</v>
      </c>
      <c r="U378" s="425">
        <f>'Key inputs_Refineries'!$H$193</f>
        <v>0.68</v>
      </c>
      <c r="V378" s="425">
        <f>'Key inputs_Refineries'!$H$193</f>
        <v>0.68</v>
      </c>
      <c r="W378" s="425">
        <f>'Key inputs_Refineries'!$H$193</f>
        <v>0.68</v>
      </c>
      <c r="X378" s="425">
        <f>'Key inputs_Refineries'!$H$193</f>
        <v>0.68</v>
      </c>
      <c r="Y378" s="425">
        <f>'Key inputs_Refineries'!$H$193</f>
        <v>0.68</v>
      </c>
      <c r="Z378" s="425">
        <f>'Key inputs_Refineries'!$H$193</f>
        <v>0.68</v>
      </c>
      <c r="AA378" s="425">
        <f>'Key inputs_Refineries'!$H$193</f>
        <v>0.68</v>
      </c>
      <c r="AB378" s="425">
        <f>'Key inputs_Refineries'!$H$193</f>
        <v>0.68</v>
      </c>
      <c r="AC378" s="425">
        <f>'Key inputs_Refineries'!$H$193</f>
        <v>0.68</v>
      </c>
      <c r="AD378" s="425">
        <f>'Key inputs_Refineries'!$H$193</f>
        <v>0.68</v>
      </c>
      <c r="AE378" s="425">
        <f>'Key inputs_Refineries'!$H$193</f>
        <v>0.68</v>
      </c>
      <c r="AF378" s="425">
        <f>'Key inputs_Refineries'!$H$193</f>
        <v>0.68</v>
      </c>
      <c r="AG378" s="425">
        <f>'Key inputs_Refineries'!$H$193</f>
        <v>0.68</v>
      </c>
      <c r="AH378" s="425">
        <f>'Key inputs_Refineries'!$H$193</f>
        <v>0.68</v>
      </c>
      <c r="AI378" s="425">
        <f>'Key inputs_Refineries'!$H$193</f>
        <v>0.68</v>
      </c>
      <c r="AJ378" s="425">
        <f>'Key inputs_Refineries'!$H$193</f>
        <v>0.68</v>
      </c>
      <c r="AK378" s="425">
        <f>'Key inputs_Refineries'!$H$193</f>
        <v>0.68</v>
      </c>
      <c r="AL378" s="425">
        <f>'Key inputs_Refineries'!$H$193</f>
        <v>0.68</v>
      </c>
    </row>
    <row r="379" spans="1:38">
      <c r="C379" t="str">
        <f>Commodities!$C$86</f>
        <v>UPSCOA</v>
      </c>
      <c r="G379" s="4" t="s">
        <v>702</v>
      </c>
      <c r="H379" t="s">
        <v>661</v>
      </c>
      <c r="I379">
        <v>2019</v>
      </c>
      <c r="J379" t="s">
        <v>650</v>
      </c>
      <c r="K379" s="173">
        <v>1</v>
      </c>
      <c r="L379" s="173">
        <v>1</v>
      </c>
      <c r="M379" s="173">
        <v>1</v>
      </c>
      <c r="N379" s="173">
        <v>1</v>
      </c>
      <c r="O379" s="173">
        <v>1</v>
      </c>
      <c r="P379" s="173">
        <v>1</v>
      </c>
      <c r="Q379" s="173">
        <v>1</v>
      </c>
      <c r="R379" s="173">
        <v>1</v>
      </c>
      <c r="S379" s="173">
        <v>1</v>
      </c>
      <c r="T379" s="173">
        <v>1</v>
      </c>
      <c r="U379" s="173">
        <v>1</v>
      </c>
      <c r="V379" s="173">
        <v>1</v>
      </c>
      <c r="W379" s="173">
        <v>1</v>
      </c>
      <c r="X379" s="173">
        <v>1</v>
      </c>
      <c r="Y379" s="173">
        <v>1</v>
      </c>
      <c r="Z379" s="173">
        <v>1</v>
      </c>
      <c r="AA379" s="173">
        <v>1</v>
      </c>
      <c r="AB379" s="173">
        <v>1</v>
      </c>
      <c r="AC379" s="173">
        <v>1</v>
      </c>
      <c r="AD379" s="173">
        <v>1</v>
      </c>
      <c r="AE379" s="173">
        <v>1</v>
      </c>
      <c r="AF379" s="173">
        <v>1</v>
      </c>
      <c r="AG379" s="173">
        <v>1</v>
      </c>
      <c r="AH379" s="173">
        <v>1</v>
      </c>
      <c r="AI379" s="173">
        <v>1</v>
      </c>
      <c r="AJ379" s="173">
        <v>1</v>
      </c>
      <c r="AK379" s="173">
        <v>1</v>
      </c>
      <c r="AL379" s="173">
        <v>1</v>
      </c>
    </row>
    <row r="380" spans="1:38">
      <c r="D380" t="str">
        <f>Commodities!$C$107</f>
        <v>UREFHVA</v>
      </c>
    </row>
    <row r="381" spans="1:38">
      <c r="A381" s="4" t="str">
        <f>AO32</f>
        <v>U-TRF-OILREFHVA_ELC00</v>
      </c>
      <c r="B381" s="4" t="str">
        <f>AP32</f>
        <v>UPS Transformation: Oil refinery HVAC Electricity - Existing</v>
      </c>
      <c r="C381" s="4"/>
      <c r="D381" s="4"/>
      <c r="E381" s="4"/>
      <c r="F381" s="4"/>
      <c r="G381" s="4" t="s">
        <v>695</v>
      </c>
      <c r="H381" s="4"/>
      <c r="I381" s="4"/>
      <c r="J381" s="4" t="s">
        <v>2665</v>
      </c>
      <c r="K381" s="333">
        <v>1</v>
      </c>
      <c r="L381" s="333">
        <v>1</v>
      </c>
      <c r="M381" s="333">
        <v>1</v>
      </c>
      <c r="N381" s="333">
        <v>1</v>
      </c>
      <c r="O381" s="333">
        <v>1</v>
      </c>
      <c r="P381" s="333">
        <v>1</v>
      </c>
      <c r="Q381" s="333">
        <v>1</v>
      </c>
      <c r="R381" s="333">
        <v>1</v>
      </c>
      <c r="S381" s="333">
        <v>1</v>
      </c>
      <c r="T381" s="333">
        <v>1</v>
      </c>
      <c r="U381" s="333">
        <v>1</v>
      </c>
      <c r="V381" s="333">
        <v>1</v>
      </c>
      <c r="W381" s="333">
        <v>1</v>
      </c>
      <c r="X381" s="333">
        <v>1</v>
      </c>
      <c r="Y381" s="333">
        <v>1</v>
      </c>
      <c r="Z381" s="333">
        <v>1</v>
      </c>
      <c r="AA381" s="333">
        <v>1</v>
      </c>
      <c r="AB381" s="333">
        <v>1</v>
      </c>
      <c r="AC381" s="333">
        <v>1</v>
      </c>
      <c r="AD381" s="333">
        <v>1</v>
      </c>
      <c r="AE381" s="333">
        <v>1</v>
      </c>
      <c r="AF381" s="333">
        <v>1</v>
      </c>
      <c r="AG381" s="333">
        <v>1</v>
      </c>
      <c r="AH381" s="333">
        <v>1</v>
      </c>
      <c r="AI381" s="333">
        <v>1</v>
      </c>
      <c r="AJ381" s="333">
        <v>1</v>
      </c>
      <c r="AK381" s="333">
        <v>1</v>
      </c>
      <c r="AL381" s="333">
        <v>1</v>
      </c>
    </row>
    <row r="382" spans="1:38">
      <c r="C382" s="4"/>
      <c r="D382" s="4"/>
      <c r="E382" s="4"/>
      <c r="F382" s="4"/>
      <c r="G382" s="4" t="s">
        <v>697</v>
      </c>
      <c r="H382" s="4"/>
      <c r="I382" s="4"/>
      <c r="J382" s="4" t="s">
        <v>698</v>
      </c>
      <c r="K382" s="424">
        <f>'Key inputs_Refineries'!$F$194</f>
        <v>15</v>
      </c>
      <c r="L382" s="424">
        <f>'Key inputs_Refineries'!$F$194</f>
        <v>15</v>
      </c>
      <c r="M382" s="424">
        <f>'Key inputs_Refineries'!$F$194</f>
        <v>15</v>
      </c>
      <c r="N382" s="424">
        <f>'Key inputs_Refineries'!$F$194</f>
        <v>15</v>
      </c>
      <c r="O382" s="424">
        <f>'Key inputs_Refineries'!$F$194</f>
        <v>15</v>
      </c>
      <c r="P382" s="424">
        <f>'Key inputs_Refineries'!$F$194</f>
        <v>15</v>
      </c>
      <c r="Q382" s="424">
        <f>'Key inputs_Refineries'!$F$194</f>
        <v>15</v>
      </c>
      <c r="R382" s="424">
        <f>'Key inputs_Refineries'!$F$194</f>
        <v>15</v>
      </c>
      <c r="S382" s="424">
        <f>'Key inputs_Refineries'!$F$194</f>
        <v>15</v>
      </c>
      <c r="T382" s="424">
        <f>'Key inputs_Refineries'!$F$194</f>
        <v>15</v>
      </c>
      <c r="U382" s="424">
        <f>'Key inputs_Refineries'!$F$194</f>
        <v>15</v>
      </c>
      <c r="V382" s="424">
        <f>'Key inputs_Refineries'!$F$194</f>
        <v>15</v>
      </c>
      <c r="W382" s="424">
        <f>'Key inputs_Refineries'!$F$194</f>
        <v>15</v>
      </c>
      <c r="X382" s="424">
        <f>'Key inputs_Refineries'!$F$194</f>
        <v>15</v>
      </c>
      <c r="Y382" s="424">
        <f>'Key inputs_Refineries'!$F$194</f>
        <v>15</v>
      </c>
      <c r="Z382" s="424">
        <f>'Key inputs_Refineries'!$F$194</f>
        <v>15</v>
      </c>
      <c r="AA382" s="424">
        <f>'Key inputs_Refineries'!$F$194</f>
        <v>15</v>
      </c>
      <c r="AB382" s="424">
        <f>'Key inputs_Refineries'!$F$194</f>
        <v>15</v>
      </c>
      <c r="AC382" s="424">
        <f>'Key inputs_Refineries'!$F$194</f>
        <v>15</v>
      </c>
      <c r="AD382" s="424">
        <f>'Key inputs_Refineries'!$F$194</f>
        <v>15</v>
      </c>
      <c r="AE382" s="424">
        <f>'Key inputs_Refineries'!$F$194</f>
        <v>15</v>
      </c>
      <c r="AF382" s="424">
        <f>'Key inputs_Refineries'!$F$194</f>
        <v>15</v>
      </c>
      <c r="AG382" s="424">
        <f>'Key inputs_Refineries'!$F$194</f>
        <v>15</v>
      </c>
      <c r="AH382" s="424">
        <f>'Key inputs_Refineries'!$F$194</f>
        <v>15</v>
      </c>
      <c r="AI382" s="424">
        <f>'Key inputs_Refineries'!$F$194</f>
        <v>15</v>
      </c>
      <c r="AJ382" s="424">
        <f>'Key inputs_Refineries'!$F$194</f>
        <v>15</v>
      </c>
      <c r="AK382" s="424">
        <f>'Key inputs_Refineries'!$F$194</f>
        <v>15</v>
      </c>
      <c r="AL382" s="424">
        <f>'Key inputs_Refineries'!$F$194</f>
        <v>15</v>
      </c>
    </row>
    <row r="383" spans="1:38">
      <c r="A383" s="4"/>
      <c r="B383" s="4"/>
      <c r="C383" s="4"/>
      <c r="D383" s="4"/>
      <c r="E383" s="4"/>
      <c r="F383" s="4"/>
      <c r="G383" s="4" t="s">
        <v>699</v>
      </c>
      <c r="H383" s="4"/>
      <c r="I383" s="4">
        <v>2019</v>
      </c>
      <c r="J383" s="4" t="s">
        <v>112</v>
      </c>
      <c r="K383" s="347">
        <f>-SUM(SUMIFS('Key inputs_Refineries'!E$85:E$164,'Key inputs_Refineries'!$C$85:$C$164,$C391,'Key inputs_Refineries'!$B$85:$B$164,"HVAC"))*K390/10^3</f>
        <v>0</v>
      </c>
      <c r="L383" s="347">
        <f>-SUM(SUMIFS('Key inputs_Refineries'!F$85:F$164,'Key inputs_Refineries'!$C$85:$C$164,$C391,'Key inputs_Refineries'!$B$85:$B$164,"HVAC"))*L390/10^3</f>
        <v>0.11055920330048448</v>
      </c>
      <c r="M383" s="347">
        <f>-SUM(SUMIFS('Key inputs_Refineries'!G$85:G$164,'Key inputs_Refineries'!$C$85:$C$164,$C391,'Key inputs_Refineries'!$B$85:$B$164,"HVAC"))*M390/10^3</f>
        <v>3.0466268320388618E-4</v>
      </c>
      <c r="N383" s="347">
        <f>-SUM(SUMIFS('Key inputs_Refineries'!H$85:H$164,'Key inputs_Refineries'!$C$85:$C$164,$C391,'Key inputs_Refineries'!$B$85:$B$164,"HVAC"))*N390/10^3</f>
        <v>1.6423769262932628</v>
      </c>
      <c r="O383" s="347">
        <f>-SUM(SUMIFS('Key inputs_Refineries'!I$85:I$164,'Key inputs_Refineries'!$C$85:$C$164,$C391,'Key inputs_Refineries'!$B$85:$B$164,"HVAC"))*O390/10^3</f>
        <v>0.30091286035202169</v>
      </c>
      <c r="P383" s="347">
        <f>-SUM(SUMIFS('Key inputs_Refineries'!J$85:J$164,'Key inputs_Refineries'!$C$85:$C$164,$C391,'Key inputs_Refineries'!$B$85:$B$164,"HVAC"))*P390/10^3</f>
        <v>0.19766383820216479</v>
      </c>
      <c r="Q383" s="347">
        <f>-SUM(SUMIFS('Key inputs_Refineries'!K$85:K$164,'Key inputs_Refineries'!$C$85:$C$164,$C391,'Key inputs_Refineries'!$B$85:$B$164,"HVAC"))*Q390/10^3</f>
        <v>0</v>
      </c>
      <c r="R383" s="347">
        <f>-SUM(SUMIFS('Key inputs_Refineries'!L$85:L$164,'Key inputs_Refineries'!$C$85:$C$164,$C391,'Key inputs_Refineries'!$B$85:$B$164,"HVAC"))*R390/10^3</f>
        <v>0</v>
      </c>
      <c r="S383" s="347">
        <f>-SUM(SUMIFS('Key inputs_Refineries'!M$85:M$164,'Key inputs_Refineries'!$C$85:$C$164,$C391,'Key inputs_Refineries'!$B$85:$B$164,"HVAC"))*S390/10^3</f>
        <v>0.89471339999999999</v>
      </c>
      <c r="T383" s="347">
        <f>-SUM(SUMIFS('Key inputs_Refineries'!N$85:N$164,'Key inputs_Refineries'!$C$85:$C$164,$C391,'Key inputs_Refineries'!$B$85:$B$164,"HVAC"))*T390/10^3</f>
        <v>1.7697046034169943</v>
      </c>
      <c r="U383" s="347">
        <f>-SUM(SUMIFS('Key inputs_Refineries'!O$85:O$164,'Key inputs_Refineries'!$C$85:$C$164,$C391,'Key inputs_Refineries'!$B$85:$B$164,"HVAC"))*U390/10^3</f>
        <v>0.12581793576811517</v>
      </c>
      <c r="V383" s="347">
        <f>-SUM(SUMIFS('Key inputs_Refineries'!P$85:P$164,'Key inputs_Refineries'!$C$85:$C$164,$C391,'Key inputs_Refineries'!$B$85:$B$164,"HVAC"))*V390/10^3</f>
        <v>24.722850927462598</v>
      </c>
      <c r="W383" s="347">
        <f>-SUM(SUMIFS('Key inputs_Refineries'!Q$85:Q$164,'Key inputs_Refineries'!$C$85:$C$164,$C391,'Key inputs_Refineries'!$B$85:$B$164,"HVAC"))*W390/10^3</f>
        <v>0.53112162108647065</v>
      </c>
      <c r="X383" s="347">
        <f>-SUM(SUMIFS('Key inputs_Refineries'!R$85:R$164,'Key inputs_Refineries'!$C$85:$C$164,$C391,'Key inputs_Refineries'!$B$85:$B$164,"HVAC"))*X390/10^3</f>
        <v>0.91873975507708661</v>
      </c>
      <c r="Y383" s="347">
        <f>-SUM(SUMIFS('Key inputs_Refineries'!S$85:S$164,'Key inputs_Refineries'!$C$85:$C$164,$C391,'Key inputs_Refineries'!$B$85:$B$164,"HVAC"))*Y390/10^3</f>
        <v>1.2285393287589883</v>
      </c>
      <c r="Z383" s="347">
        <f>-SUM(SUMIFS('Key inputs_Refineries'!T$85:T$164,'Key inputs_Refineries'!$C$85:$C$164,$C391,'Key inputs_Refineries'!$B$85:$B$164,"HVAC"))*Z390/10^3</f>
        <v>2.7055078319859809</v>
      </c>
      <c r="AA383" s="347">
        <f>-SUM(SUMIFS('Key inputs_Refineries'!U$85:U$164,'Key inputs_Refineries'!$C$85:$C$164,$C391,'Key inputs_Refineries'!$B$85:$B$164,"HVAC"))*AA390/10^3</f>
        <v>2.6075573962125764</v>
      </c>
      <c r="AB383" s="347">
        <f>-SUM(SUMIFS('Key inputs_Refineries'!V$85:V$164,'Key inputs_Refineries'!$C$85:$C$164,$C391,'Key inputs_Refineries'!$B$85:$B$164,"HVAC"))*AB390/10^3</f>
        <v>0</v>
      </c>
      <c r="AC383" s="347">
        <f>-SUM(SUMIFS('Key inputs_Refineries'!W$85:W$164,'Key inputs_Refineries'!$C$85:$C$164,$C391,'Key inputs_Refineries'!$B$85:$B$164,"HVAC"))*AC390/10^3</f>
        <v>1.137402</v>
      </c>
      <c r="AD383" s="347">
        <f>-SUM(SUMIFS('Key inputs_Refineries'!X$85:X$164,'Key inputs_Refineries'!$C$85:$C$164,$C391,'Key inputs_Refineries'!$B$85:$B$164,"HVAC"))*AD390/10^3</f>
        <v>1.997102251052691</v>
      </c>
      <c r="AE383" s="347">
        <f>-SUM(SUMIFS('Key inputs_Refineries'!Y$85:Y$164,'Key inputs_Refineries'!$C$85:$C$164,$C391,'Key inputs_Refineries'!$B$85:$B$164,"HVAC"))*AE390/10^3</f>
        <v>0.59368079990683165</v>
      </c>
      <c r="AF383" s="347">
        <f>-SUM(SUMIFS('Key inputs_Refineries'!Z$85:Z$164,'Key inputs_Refineries'!$C$85:$C$164,$C391,'Key inputs_Refineries'!$B$85:$B$164,"HVAC"))*AF390/10^3</f>
        <v>0.70367388712142009</v>
      </c>
      <c r="AG383" s="347">
        <f>-SUM(SUMIFS('Key inputs_Refineries'!AA$85:AA$164,'Key inputs_Refineries'!$C$85:$C$164,$C391,'Key inputs_Refineries'!$B$85:$B$164,"HVAC"))*AG390/10^3</f>
        <v>2.4289853885337913</v>
      </c>
      <c r="AH383" s="347">
        <f>-SUM(SUMIFS('Key inputs_Refineries'!AB$85:AB$164,'Key inputs_Refineries'!$C$85:$C$164,$C391,'Key inputs_Refineries'!$B$85:$B$164,"HVAC"))*AH390/10^3</f>
        <v>0.29820456928999145</v>
      </c>
      <c r="AI383" s="347">
        <f>-SUM(SUMIFS('Key inputs_Refineries'!AC$85:AC$164,'Key inputs_Refineries'!$C$85:$C$164,$C391,'Key inputs_Refineries'!$B$85:$B$164,"HVAC"))*AI390/10^3</f>
        <v>0</v>
      </c>
      <c r="AJ383" s="347">
        <f>-SUM(SUMIFS('Key inputs_Refineries'!AD$85:AD$164,'Key inputs_Refineries'!$C$85:$C$164,$C391,'Key inputs_Refineries'!$B$85:$B$164,"HVAC"))*AJ390/10^3</f>
        <v>6.4290807662226541</v>
      </c>
      <c r="AK383" s="347">
        <f>-SUM(SUMIFS('Key inputs_Refineries'!AE$85:AE$164,'Key inputs_Refineries'!$C$85:$C$164,$C391,'Key inputs_Refineries'!$B$85:$B$164,"HVAC"))*AK390/10^3</f>
        <v>2.8333090927685531</v>
      </c>
      <c r="AL383" s="347">
        <f>-SUM(SUMIFS('Key inputs_Refineries'!AF$85:AF$164,'Key inputs_Refineries'!$C$85:$C$164,$C391,'Key inputs_Refineries'!$B$85:$B$164,"HVAC"))*AL390/10^3</f>
        <v>11.887604138811813</v>
      </c>
    </row>
    <row r="384" spans="1:38">
      <c r="G384" s="4" t="s">
        <v>701</v>
      </c>
      <c r="H384" s="4" t="s">
        <v>661</v>
      </c>
      <c r="I384" s="4">
        <v>2019</v>
      </c>
      <c r="J384" s="4" t="s">
        <v>112</v>
      </c>
      <c r="K384" s="333">
        <v>0</v>
      </c>
      <c r="L384" s="333">
        <v>0</v>
      </c>
      <c r="M384" s="333">
        <v>0</v>
      </c>
      <c r="N384" s="333">
        <v>0</v>
      </c>
      <c r="O384" s="333">
        <v>0</v>
      </c>
      <c r="P384" s="333">
        <v>0</v>
      </c>
      <c r="Q384" s="333">
        <v>0</v>
      </c>
      <c r="R384" s="333">
        <v>0</v>
      </c>
      <c r="S384" s="333">
        <v>0</v>
      </c>
      <c r="T384" s="333">
        <v>0</v>
      </c>
      <c r="U384" s="333">
        <v>0</v>
      </c>
      <c r="V384" s="333">
        <v>0</v>
      </c>
      <c r="W384" s="333">
        <v>0</v>
      </c>
      <c r="X384" s="333">
        <v>0</v>
      </c>
      <c r="Y384" s="333">
        <v>0</v>
      </c>
      <c r="Z384" s="333">
        <v>0</v>
      </c>
      <c r="AA384" s="333">
        <v>0</v>
      </c>
      <c r="AB384" s="333">
        <v>0</v>
      </c>
      <c r="AC384" s="333">
        <v>0</v>
      </c>
      <c r="AD384" s="333">
        <v>0</v>
      </c>
      <c r="AE384" s="333">
        <v>0</v>
      </c>
      <c r="AF384" s="333">
        <v>0</v>
      </c>
      <c r="AG384" s="333">
        <v>0</v>
      </c>
      <c r="AH384" s="333">
        <v>0</v>
      </c>
      <c r="AI384" s="333">
        <v>0</v>
      </c>
      <c r="AJ384" s="333">
        <v>0</v>
      </c>
      <c r="AK384" s="333">
        <v>0</v>
      </c>
      <c r="AL384" s="333">
        <v>0</v>
      </c>
    </row>
    <row r="385" spans="1:38">
      <c r="G385" s="4" t="s">
        <v>701</v>
      </c>
      <c r="H385" s="4" t="s">
        <v>661</v>
      </c>
      <c r="I385" s="4">
        <v>2060</v>
      </c>
      <c r="J385" s="4" t="s">
        <v>112</v>
      </c>
      <c r="K385" s="333">
        <v>0</v>
      </c>
      <c r="L385" s="333">
        <v>0</v>
      </c>
      <c r="M385" s="333">
        <v>0</v>
      </c>
      <c r="N385" s="333">
        <v>0</v>
      </c>
      <c r="O385" s="333">
        <v>0</v>
      </c>
      <c r="P385" s="333">
        <v>0</v>
      </c>
      <c r="Q385" s="333">
        <v>0</v>
      </c>
      <c r="R385" s="333">
        <v>0</v>
      </c>
      <c r="S385" s="333">
        <v>0</v>
      </c>
      <c r="T385" s="333">
        <v>0</v>
      </c>
      <c r="U385" s="333">
        <v>0</v>
      </c>
      <c r="V385" s="333">
        <v>0</v>
      </c>
      <c r="W385" s="333">
        <v>0</v>
      </c>
      <c r="X385" s="333">
        <v>0</v>
      </c>
      <c r="Y385" s="333">
        <v>0</v>
      </c>
      <c r="Z385" s="333">
        <v>0</v>
      </c>
      <c r="AA385" s="333">
        <v>0</v>
      </c>
      <c r="AB385" s="333">
        <v>0</v>
      </c>
      <c r="AC385" s="333">
        <v>0</v>
      </c>
      <c r="AD385" s="333">
        <v>0</v>
      </c>
      <c r="AE385" s="333">
        <v>0</v>
      </c>
      <c r="AF385" s="333">
        <v>0</v>
      </c>
      <c r="AG385" s="333">
        <v>0</v>
      </c>
      <c r="AH385" s="333">
        <v>0</v>
      </c>
      <c r="AI385" s="333">
        <v>0</v>
      </c>
      <c r="AJ385" s="333">
        <v>0</v>
      </c>
      <c r="AK385" s="333">
        <v>0</v>
      </c>
      <c r="AL385" s="333">
        <v>0</v>
      </c>
    </row>
    <row r="386" spans="1:38">
      <c r="G386" s="4" t="s">
        <v>701</v>
      </c>
      <c r="H386" s="4" t="s">
        <v>661</v>
      </c>
      <c r="I386" s="4">
        <v>0</v>
      </c>
      <c r="J386" s="4"/>
      <c r="K386" s="333">
        <v>5</v>
      </c>
      <c r="L386" s="333">
        <v>5</v>
      </c>
      <c r="M386" s="333">
        <v>5</v>
      </c>
      <c r="N386" s="333">
        <v>5</v>
      </c>
      <c r="O386" s="333">
        <v>5</v>
      </c>
      <c r="P386" s="333">
        <v>5</v>
      </c>
      <c r="Q386" s="333">
        <v>5</v>
      </c>
      <c r="R386" s="333">
        <v>5</v>
      </c>
      <c r="S386" s="333">
        <v>5</v>
      </c>
      <c r="T386" s="333">
        <v>5</v>
      </c>
      <c r="U386" s="333">
        <v>5</v>
      </c>
      <c r="V386" s="333">
        <v>5</v>
      </c>
      <c r="W386" s="333">
        <v>5</v>
      </c>
      <c r="X386" s="333">
        <v>5</v>
      </c>
      <c r="Y386" s="333">
        <v>5</v>
      </c>
      <c r="Z386" s="333">
        <v>5</v>
      </c>
      <c r="AA386" s="333">
        <v>5</v>
      </c>
      <c r="AB386" s="333">
        <v>5</v>
      </c>
      <c r="AC386" s="333">
        <v>5</v>
      </c>
      <c r="AD386" s="333">
        <v>5</v>
      </c>
      <c r="AE386" s="333">
        <v>5</v>
      </c>
      <c r="AF386" s="333">
        <v>5</v>
      </c>
      <c r="AG386" s="333">
        <v>5</v>
      </c>
      <c r="AH386" s="333">
        <v>5</v>
      </c>
      <c r="AI386" s="333">
        <v>5</v>
      </c>
      <c r="AJ386" s="333">
        <v>5</v>
      </c>
      <c r="AK386" s="333">
        <v>5</v>
      </c>
      <c r="AL386" s="333">
        <v>5</v>
      </c>
    </row>
    <row r="387" spans="1:38">
      <c r="G387" s="4" t="s">
        <v>687</v>
      </c>
      <c r="H387" s="4"/>
      <c r="I387" s="4"/>
      <c r="J387" s="4" t="s">
        <v>2663</v>
      </c>
      <c r="K387" s="425">
        <f>'Key inputs_Refineries'!$C$194*10^3</f>
        <v>94.608000000000018</v>
      </c>
      <c r="L387" s="425">
        <f>'Key inputs_Refineries'!$C$194*10^3</f>
        <v>94.608000000000018</v>
      </c>
      <c r="M387" s="425">
        <f>'Key inputs_Refineries'!$C$194*10^3</f>
        <v>94.608000000000018</v>
      </c>
      <c r="N387" s="425">
        <f>'Key inputs_Refineries'!$C$194*10^3</f>
        <v>94.608000000000018</v>
      </c>
      <c r="O387" s="425">
        <f>'Key inputs_Refineries'!$C$194*10^3</f>
        <v>94.608000000000018</v>
      </c>
      <c r="P387" s="425">
        <f>'Key inputs_Refineries'!$C$194*10^3</f>
        <v>94.608000000000018</v>
      </c>
      <c r="Q387" s="425">
        <f>'Key inputs_Refineries'!$C$194*10^3</f>
        <v>94.608000000000018</v>
      </c>
      <c r="R387" s="425">
        <f>'Key inputs_Refineries'!$C$194*10^3</f>
        <v>94.608000000000018</v>
      </c>
      <c r="S387" s="425">
        <f>'Key inputs_Refineries'!$C$194*10^3</f>
        <v>94.608000000000018</v>
      </c>
      <c r="T387" s="425">
        <f>'Key inputs_Refineries'!$C$194*10^3</f>
        <v>94.608000000000018</v>
      </c>
      <c r="U387" s="425">
        <f>'Key inputs_Refineries'!$C$194*10^3</f>
        <v>94.608000000000018</v>
      </c>
      <c r="V387" s="425">
        <f>'Key inputs_Refineries'!$C$194*10^3</f>
        <v>94.608000000000018</v>
      </c>
      <c r="W387" s="425">
        <f>'Key inputs_Refineries'!$C$194*10^3</f>
        <v>94.608000000000018</v>
      </c>
      <c r="X387" s="425">
        <f>'Key inputs_Refineries'!$C$194*10^3</f>
        <v>94.608000000000018</v>
      </c>
      <c r="Y387" s="425">
        <f>'Key inputs_Refineries'!$C$194*10^3</f>
        <v>94.608000000000018</v>
      </c>
      <c r="Z387" s="425">
        <f>'Key inputs_Refineries'!$C$194*10^3</f>
        <v>94.608000000000018</v>
      </c>
      <c r="AA387" s="425">
        <f>'Key inputs_Refineries'!$C$194*10^3</f>
        <v>94.608000000000018</v>
      </c>
      <c r="AB387" s="425">
        <f>'Key inputs_Refineries'!$C$194*10^3</f>
        <v>94.608000000000018</v>
      </c>
      <c r="AC387" s="425">
        <f>'Key inputs_Refineries'!$C$194*10^3</f>
        <v>94.608000000000018</v>
      </c>
      <c r="AD387" s="425">
        <f>'Key inputs_Refineries'!$C$194*10^3</f>
        <v>94.608000000000018</v>
      </c>
      <c r="AE387" s="425">
        <f>'Key inputs_Refineries'!$C$194*10^3</f>
        <v>94.608000000000018</v>
      </c>
      <c r="AF387" s="425">
        <f>'Key inputs_Refineries'!$C$194*10^3</f>
        <v>94.608000000000018</v>
      </c>
      <c r="AG387" s="425">
        <f>'Key inputs_Refineries'!$C$194*10^3</f>
        <v>94.608000000000018</v>
      </c>
      <c r="AH387" s="425">
        <f>'Key inputs_Refineries'!$C$194*10^3</f>
        <v>94.608000000000018</v>
      </c>
      <c r="AI387" s="425">
        <f>'Key inputs_Refineries'!$C$194*10^3</f>
        <v>94.608000000000018</v>
      </c>
      <c r="AJ387" s="425">
        <f>'Key inputs_Refineries'!$C$194*10^3</f>
        <v>94.608000000000018</v>
      </c>
      <c r="AK387" s="425">
        <f>'Key inputs_Refineries'!$C$194*10^3</f>
        <v>94.608000000000018</v>
      </c>
      <c r="AL387" s="425">
        <f>'Key inputs_Refineries'!$C$194*10^3</f>
        <v>94.608000000000018</v>
      </c>
    </row>
    <row r="388" spans="1:38">
      <c r="G388" s="4" t="s">
        <v>689</v>
      </c>
      <c r="H388" s="4"/>
      <c r="I388" s="4"/>
      <c r="J388" s="4" t="s">
        <v>2663</v>
      </c>
      <c r="K388" s="425">
        <f>'Key inputs_Refineries'!$D$194*10^3</f>
        <v>0.94608000000000003</v>
      </c>
      <c r="L388" s="425">
        <f>'Key inputs_Refineries'!$D$194*10^3</f>
        <v>0.94608000000000003</v>
      </c>
      <c r="M388" s="425">
        <f>'Key inputs_Refineries'!$D$194*10^3</f>
        <v>0.94608000000000003</v>
      </c>
      <c r="N388" s="425">
        <f>'Key inputs_Refineries'!$D$194*10^3</f>
        <v>0.94608000000000003</v>
      </c>
      <c r="O388" s="425">
        <f>'Key inputs_Refineries'!$D$194*10^3</f>
        <v>0.94608000000000003</v>
      </c>
      <c r="P388" s="425">
        <f>'Key inputs_Refineries'!$D$194*10^3</f>
        <v>0.94608000000000003</v>
      </c>
      <c r="Q388" s="425">
        <f>'Key inputs_Refineries'!$D$194*10^3</f>
        <v>0.94608000000000003</v>
      </c>
      <c r="R388" s="425">
        <f>'Key inputs_Refineries'!$D$194*10^3</f>
        <v>0.94608000000000003</v>
      </c>
      <c r="S388" s="425">
        <f>'Key inputs_Refineries'!$D$194*10^3</f>
        <v>0.94608000000000003</v>
      </c>
      <c r="T388" s="425">
        <f>'Key inputs_Refineries'!$D$194*10^3</f>
        <v>0.94608000000000003</v>
      </c>
      <c r="U388" s="425">
        <f>'Key inputs_Refineries'!$D$194*10^3</f>
        <v>0.94608000000000003</v>
      </c>
      <c r="V388" s="425">
        <f>'Key inputs_Refineries'!$D$194*10^3</f>
        <v>0.94608000000000003</v>
      </c>
      <c r="W388" s="425">
        <f>'Key inputs_Refineries'!$D$194*10^3</f>
        <v>0.94608000000000003</v>
      </c>
      <c r="X388" s="425">
        <f>'Key inputs_Refineries'!$D$194*10^3</f>
        <v>0.94608000000000003</v>
      </c>
      <c r="Y388" s="425">
        <f>'Key inputs_Refineries'!$D$194*10^3</f>
        <v>0.94608000000000003</v>
      </c>
      <c r="Z388" s="425">
        <f>'Key inputs_Refineries'!$D$194*10^3</f>
        <v>0.94608000000000003</v>
      </c>
      <c r="AA388" s="425">
        <f>'Key inputs_Refineries'!$D$194*10^3</f>
        <v>0.94608000000000003</v>
      </c>
      <c r="AB388" s="425">
        <f>'Key inputs_Refineries'!$D$194*10^3</f>
        <v>0.94608000000000003</v>
      </c>
      <c r="AC388" s="425">
        <f>'Key inputs_Refineries'!$D$194*10^3</f>
        <v>0.94608000000000003</v>
      </c>
      <c r="AD388" s="425">
        <f>'Key inputs_Refineries'!$D$194*10^3</f>
        <v>0.94608000000000003</v>
      </c>
      <c r="AE388" s="425">
        <f>'Key inputs_Refineries'!$D$194*10^3</f>
        <v>0.94608000000000003</v>
      </c>
      <c r="AF388" s="425">
        <f>'Key inputs_Refineries'!$D$194*10^3</f>
        <v>0.94608000000000003</v>
      </c>
      <c r="AG388" s="425">
        <f>'Key inputs_Refineries'!$D$194*10^3</f>
        <v>0.94608000000000003</v>
      </c>
      <c r="AH388" s="425">
        <f>'Key inputs_Refineries'!$D$194*10^3</f>
        <v>0.94608000000000003</v>
      </c>
      <c r="AI388" s="425">
        <f>'Key inputs_Refineries'!$D$194*10^3</f>
        <v>0.94608000000000003</v>
      </c>
      <c r="AJ388" s="425">
        <f>'Key inputs_Refineries'!$D$194*10^3</f>
        <v>0.94608000000000003</v>
      </c>
      <c r="AK388" s="425">
        <f>'Key inputs_Refineries'!$D$194*10^3</f>
        <v>0.94608000000000003</v>
      </c>
      <c r="AL388" s="425">
        <f>'Key inputs_Refineries'!$D$194*10^3</f>
        <v>0.94608000000000003</v>
      </c>
    </row>
    <row r="389" spans="1:38">
      <c r="G389" s="4" t="s">
        <v>675</v>
      </c>
      <c r="H389" s="4"/>
      <c r="I389" s="4"/>
      <c r="J389" s="4" t="s">
        <v>2662</v>
      </c>
      <c r="K389" s="338"/>
      <c r="L389" s="338"/>
      <c r="M389" s="338"/>
      <c r="N389" s="338"/>
      <c r="O389" s="338"/>
      <c r="P389" s="338"/>
      <c r="Q389" s="338"/>
      <c r="R389" s="338"/>
      <c r="S389" s="338"/>
      <c r="T389" s="338"/>
      <c r="U389" s="338"/>
      <c r="V389" s="338"/>
      <c r="W389" s="338"/>
      <c r="X389" s="338"/>
      <c r="Y389" s="338"/>
      <c r="Z389" s="338"/>
      <c r="AA389" s="338"/>
      <c r="AB389" s="338"/>
      <c r="AC389" s="338"/>
      <c r="AD389" s="338"/>
      <c r="AE389" s="338"/>
      <c r="AF389" s="338"/>
      <c r="AG389" s="338"/>
      <c r="AH389" s="338"/>
      <c r="AI389" s="338"/>
      <c r="AJ389" s="338"/>
      <c r="AK389" s="338"/>
      <c r="AL389" s="338"/>
    </row>
    <row r="390" spans="1:38">
      <c r="G390" s="4" t="s">
        <v>630</v>
      </c>
      <c r="H390" s="4"/>
      <c r="I390" s="4"/>
      <c r="J390" s="4" t="s">
        <v>2666</v>
      </c>
      <c r="K390" s="425">
        <f>'Key inputs_Refineries'!$H$194</f>
        <v>0.85</v>
      </c>
      <c r="L390" s="425">
        <f>'Key inputs_Refineries'!$H$194</f>
        <v>0.85</v>
      </c>
      <c r="M390" s="425">
        <f>'Key inputs_Refineries'!$H$194</f>
        <v>0.85</v>
      </c>
      <c r="N390" s="425">
        <f>'Key inputs_Refineries'!$H$194</f>
        <v>0.85</v>
      </c>
      <c r="O390" s="425">
        <f>'Key inputs_Refineries'!$H$194</f>
        <v>0.85</v>
      </c>
      <c r="P390" s="425">
        <f>'Key inputs_Refineries'!$H$194</f>
        <v>0.85</v>
      </c>
      <c r="Q390" s="425">
        <f>'Key inputs_Refineries'!$H$194</f>
        <v>0.85</v>
      </c>
      <c r="R390" s="425">
        <f>'Key inputs_Refineries'!$H$194</f>
        <v>0.85</v>
      </c>
      <c r="S390" s="425">
        <f>'Key inputs_Refineries'!$H$194</f>
        <v>0.85</v>
      </c>
      <c r="T390" s="425">
        <f>'Key inputs_Refineries'!$H$194</f>
        <v>0.85</v>
      </c>
      <c r="U390" s="425">
        <f>'Key inputs_Refineries'!$H$194</f>
        <v>0.85</v>
      </c>
      <c r="V390" s="425">
        <f>'Key inputs_Refineries'!$H$194</f>
        <v>0.85</v>
      </c>
      <c r="W390" s="425">
        <f>'Key inputs_Refineries'!$H$194</f>
        <v>0.85</v>
      </c>
      <c r="X390" s="425">
        <f>'Key inputs_Refineries'!$H$194</f>
        <v>0.85</v>
      </c>
      <c r="Y390" s="425">
        <f>'Key inputs_Refineries'!$H$194</f>
        <v>0.85</v>
      </c>
      <c r="Z390" s="425">
        <f>'Key inputs_Refineries'!$H$194</f>
        <v>0.85</v>
      </c>
      <c r="AA390" s="425">
        <f>'Key inputs_Refineries'!$H$194</f>
        <v>0.85</v>
      </c>
      <c r="AB390" s="425">
        <f>'Key inputs_Refineries'!$H$194</f>
        <v>0.85</v>
      </c>
      <c r="AC390" s="425">
        <f>'Key inputs_Refineries'!$H$194</f>
        <v>0.85</v>
      </c>
      <c r="AD390" s="425">
        <f>'Key inputs_Refineries'!$H$194</f>
        <v>0.85</v>
      </c>
      <c r="AE390" s="425">
        <f>'Key inputs_Refineries'!$H$194</f>
        <v>0.85</v>
      </c>
      <c r="AF390" s="425">
        <f>'Key inputs_Refineries'!$H$194</f>
        <v>0.85</v>
      </c>
      <c r="AG390" s="425">
        <f>'Key inputs_Refineries'!$H$194</f>
        <v>0.85</v>
      </c>
      <c r="AH390" s="425">
        <f>'Key inputs_Refineries'!$H$194</f>
        <v>0.85</v>
      </c>
      <c r="AI390" s="425">
        <f>'Key inputs_Refineries'!$H$194</f>
        <v>0.85</v>
      </c>
      <c r="AJ390" s="425">
        <f>'Key inputs_Refineries'!$H$194</f>
        <v>0.85</v>
      </c>
      <c r="AK390" s="425">
        <f>'Key inputs_Refineries'!$H$194</f>
        <v>0.85</v>
      </c>
      <c r="AL390" s="425">
        <f>'Key inputs_Refineries'!$H$194</f>
        <v>0.85</v>
      </c>
    </row>
    <row r="391" spans="1:38">
      <c r="C391" t="str">
        <f>Commodities!$C$91</f>
        <v>UPSELC</v>
      </c>
      <c r="G391" s="4" t="s">
        <v>702</v>
      </c>
      <c r="H391" t="s">
        <v>661</v>
      </c>
      <c r="I391">
        <v>2019</v>
      </c>
      <c r="J391" t="s">
        <v>650</v>
      </c>
      <c r="K391" s="173">
        <v>1</v>
      </c>
      <c r="L391" s="173">
        <v>1</v>
      </c>
      <c r="M391" s="173">
        <v>1</v>
      </c>
      <c r="N391" s="173">
        <v>1</v>
      </c>
      <c r="O391" s="173">
        <v>1</v>
      </c>
      <c r="P391" s="173">
        <v>1</v>
      </c>
      <c r="Q391" s="173">
        <v>1</v>
      </c>
      <c r="R391" s="173">
        <v>1</v>
      </c>
      <c r="S391" s="173">
        <v>1</v>
      </c>
      <c r="T391" s="173">
        <v>1</v>
      </c>
      <c r="U391" s="173">
        <v>1</v>
      </c>
      <c r="V391" s="173">
        <v>1</v>
      </c>
      <c r="W391" s="173">
        <v>1</v>
      </c>
      <c r="X391" s="173">
        <v>1</v>
      </c>
      <c r="Y391" s="173">
        <v>1</v>
      </c>
      <c r="Z391" s="173">
        <v>1</v>
      </c>
      <c r="AA391" s="173">
        <v>1</v>
      </c>
      <c r="AB391" s="173">
        <v>1</v>
      </c>
      <c r="AC391" s="173">
        <v>1</v>
      </c>
      <c r="AD391" s="173">
        <v>1</v>
      </c>
      <c r="AE391" s="173">
        <v>1</v>
      </c>
      <c r="AF391" s="173">
        <v>1</v>
      </c>
      <c r="AG391" s="173">
        <v>1</v>
      </c>
      <c r="AH391" s="173">
        <v>1</v>
      </c>
      <c r="AI391" s="173">
        <v>1</v>
      </c>
      <c r="AJ391" s="173">
        <v>1</v>
      </c>
      <c r="AK391" s="173">
        <v>1</v>
      </c>
      <c r="AL391" s="173">
        <v>1</v>
      </c>
    </row>
    <row r="392" spans="1:38">
      <c r="D392" t="str">
        <f>Commodities!$C$107</f>
        <v>UREFHVA</v>
      </c>
    </row>
    <row r="393" spans="1:38">
      <c r="A393" s="4" t="str">
        <f>AO33</f>
        <v>U-TRF-OILREFHVA_HET00</v>
      </c>
      <c r="B393" s="4" t="str">
        <f>AP33</f>
        <v>UPS Transformation: Oil refinery HVAC Heat - Existing</v>
      </c>
      <c r="C393" s="4"/>
      <c r="D393" s="4"/>
      <c r="E393" s="4"/>
      <c r="F393" s="4"/>
      <c r="G393" s="4" t="s">
        <v>695</v>
      </c>
      <c r="H393" s="4"/>
      <c r="I393" s="4"/>
      <c r="J393" s="4" t="s">
        <v>2665</v>
      </c>
      <c r="K393" s="333">
        <v>1</v>
      </c>
      <c r="L393" s="333">
        <v>1</v>
      </c>
      <c r="M393" s="333">
        <v>1</v>
      </c>
      <c r="N393" s="333">
        <v>1</v>
      </c>
      <c r="O393" s="333">
        <v>1</v>
      </c>
      <c r="P393" s="333">
        <v>1</v>
      </c>
      <c r="Q393" s="333">
        <v>1</v>
      </c>
      <c r="R393" s="333">
        <v>1</v>
      </c>
      <c r="S393" s="333">
        <v>1</v>
      </c>
      <c r="T393" s="333">
        <v>1</v>
      </c>
      <c r="U393" s="333">
        <v>1</v>
      </c>
      <c r="V393" s="333">
        <v>1</v>
      </c>
      <c r="W393" s="333">
        <v>1</v>
      </c>
      <c r="X393" s="333">
        <v>1</v>
      </c>
      <c r="Y393" s="333">
        <v>1</v>
      </c>
      <c r="Z393" s="333">
        <v>1</v>
      </c>
      <c r="AA393" s="333">
        <v>1</v>
      </c>
      <c r="AB393" s="333">
        <v>1</v>
      </c>
      <c r="AC393" s="333">
        <v>1</v>
      </c>
      <c r="AD393" s="333">
        <v>1</v>
      </c>
      <c r="AE393" s="333">
        <v>1</v>
      </c>
      <c r="AF393" s="333">
        <v>1</v>
      </c>
      <c r="AG393" s="333">
        <v>1</v>
      </c>
      <c r="AH393" s="333">
        <v>1</v>
      </c>
      <c r="AI393" s="333">
        <v>1</v>
      </c>
      <c r="AJ393" s="333">
        <v>1</v>
      </c>
      <c r="AK393" s="333">
        <v>1</v>
      </c>
      <c r="AL393" s="333">
        <v>1</v>
      </c>
    </row>
    <row r="394" spans="1:38">
      <c r="A394" s="4"/>
      <c r="B394" s="4"/>
      <c r="C394" s="4"/>
      <c r="D394" s="4"/>
      <c r="E394" s="4"/>
      <c r="F394" s="4"/>
      <c r="G394" s="4" t="s">
        <v>697</v>
      </c>
      <c r="H394" s="4"/>
      <c r="I394" s="4"/>
      <c r="J394" s="4" t="s">
        <v>698</v>
      </c>
      <c r="K394" s="424">
        <f>'Key inputs_Refineries'!$F$195</f>
        <v>15</v>
      </c>
      <c r="L394" s="424">
        <f>'Key inputs_Refineries'!$F$195</f>
        <v>15</v>
      </c>
      <c r="M394" s="424">
        <f>'Key inputs_Refineries'!$F$195</f>
        <v>15</v>
      </c>
      <c r="N394" s="424">
        <f>'Key inputs_Refineries'!$F$195</f>
        <v>15</v>
      </c>
      <c r="O394" s="424">
        <f>'Key inputs_Refineries'!$F$195</f>
        <v>15</v>
      </c>
      <c r="P394" s="424">
        <f>'Key inputs_Refineries'!$F$195</f>
        <v>15</v>
      </c>
      <c r="Q394" s="424">
        <f>'Key inputs_Refineries'!$F$195</f>
        <v>15</v>
      </c>
      <c r="R394" s="424">
        <f>'Key inputs_Refineries'!$F$195</f>
        <v>15</v>
      </c>
      <c r="S394" s="424">
        <f>'Key inputs_Refineries'!$F$195</f>
        <v>15</v>
      </c>
      <c r="T394" s="424">
        <f>'Key inputs_Refineries'!$F$195</f>
        <v>15</v>
      </c>
      <c r="U394" s="424">
        <f>'Key inputs_Refineries'!$F$195</f>
        <v>15</v>
      </c>
      <c r="V394" s="424">
        <f>'Key inputs_Refineries'!$F$195</f>
        <v>15</v>
      </c>
      <c r="W394" s="424">
        <f>'Key inputs_Refineries'!$F$195</f>
        <v>15</v>
      </c>
      <c r="X394" s="424">
        <f>'Key inputs_Refineries'!$F$195</f>
        <v>15</v>
      </c>
      <c r="Y394" s="424">
        <f>'Key inputs_Refineries'!$F$195</f>
        <v>15</v>
      </c>
      <c r="Z394" s="424">
        <f>'Key inputs_Refineries'!$F$195</f>
        <v>15</v>
      </c>
      <c r="AA394" s="424">
        <f>'Key inputs_Refineries'!$F$195</f>
        <v>15</v>
      </c>
      <c r="AB394" s="424">
        <f>'Key inputs_Refineries'!$F$195</f>
        <v>15</v>
      </c>
      <c r="AC394" s="424">
        <f>'Key inputs_Refineries'!$F$195</f>
        <v>15</v>
      </c>
      <c r="AD394" s="424">
        <f>'Key inputs_Refineries'!$F$195</f>
        <v>15</v>
      </c>
      <c r="AE394" s="424">
        <f>'Key inputs_Refineries'!$F$195</f>
        <v>15</v>
      </c>
      <c r="AF394" s="424">
        <f>'Key inputs_Refineries'!$F$195</f>
        <v>15</v>
      </c>
      <c r="AG394" s="424">
        <f>'Key inputs_Refineries'!$F$195</f>
        <v>15</v>
      </c>
      <c r="AH394" s="424">
        <f>'Key inputs_Refineries'!$F$195</f>
        <v>15</v>
      </c>
      <c r="AI394" s="424">
        <f>'Key inputs_Refineries'!$F$195</f>
        <v>15</v>
      </c>
      <c r="AJ394" s="424">
        <f>'Key inputs_Refineries'!$F$195</f>
        <v>15</v>
      </c>
      <c r="AK394" s="424">
        <f>'Key inputs_Refineries'!$F$195</f>
        <v>15</v>
      </c>
      <c r="AL394" s="424">
        <f>'Key inputs_Refineries'!$F$195</f>
        <v>15</v>
      </c>
    </row>
    <row r="395" spans="1:38">
      <c r="A395" s="4"/>
      <c r="B395" s="4"/>
      <c r="C395" s="4"/>
      <c r="D395" s="4"/>
      <c r="E395" s="4"/>
      <c r="F395" s="4"/>
      <c r="G395" s="4" t="s">
        <v>699</v>
      </c>
      <c r="H395" s="4"/>
      <c r="I395" s="4">
        <v>2019</v>
      </c>
      <c r="J395" s="4" t="s">
        <v>112</v>
      </c>
      <c r="K395" s="347">
        <f>-SUM(SUMIFS('Key inputs_Refineries'!E$85:E$164,'Key inputs_Refineries'!$C$85:$C$164,$C403,'Key inputs_Refineries'!$B$85:$B$164,"HVAC"))*K402/10^3</f>
        <v>0</v>
      </c>
      <c r="L395" s="347">
        <f>-SUM(SUMIFS('Key inputs_Refineries'!F$85:F$164,'Key inputs_Refineries'!$C$85:$C$164,$C403,'Key inputs_Refineries'!$B$85:$B$164,"HVAC"))*L402/10^3</f>
        <v>0</v>
      </c>
      <c r="M395" s="347">
        <f>-SUM(SUMIFS('Key inputs_Refineries'!G$85:G$164,'Key inputs_Refineries'!$C$85:$C$164,$C403,'Key inputs_Refineries'!$B$85:$B$164,"HVAC"))*M402/10^3</f>
        <v>0</v>
      </c>
      <c r="N395" s="347">
        <f>-SUM(SUMIFS('Key inputs_Refineries'!H$85:H$164,'Key inputs_Refineries'!$C$85:$C$164,$C403,'Key inputs_Refineries'!$B$85:$B$164,"HVAC"))*N402/10^3</f>
        <v>0</v>
      </c>
      <c r="O395" s="347">
        <f>-SUM(SUMIFS('Key inputs_Refineries'!I$85:I$164,'Key inputs_Refineries'!$C$85:$C$164,$C403,'Key inputs_Refineries'!$B$85:$B$164,"HVAC"))*O402/10^3</f>
        <v>0</v>
      </c>
      <c r="P395" s="347">
        <f>-SUM(SUMIFS('Key inputs_Refineries'!J$85:J$164,'Key inputs_Refineries'!$C$85:$C$164,$C403,'Key inputs_Refineries'!$B$85:$B$164,"HVAC"))*P402/10^3</f>
        <v>0</v>
      </c>
      <c r="Q395" s="347">
        <f>-SUM(SUMIFS('Key inputs_Refineries'!K$85:K$164,'Key inputs_Refineries'!$C$85:$C$164,$C403,'Key inputs_Refineries'!$B$85:$B$164,"HVAC"))*Q402/10^3</f>
        <v>0</v>
      </c>
      <c r="R395" s="347">
        <f>-SUM(SUMIFS('Key inputs_Refineries'!L$85:L$164,'Key inputs_Refineries'!$C$85:$C$164,$C403,'Key inputs_Refineries'!$B$85:$B$164,"HVAC"))*R402/10^3</f>
        <v>0</v>
      </c>
      <c r="S395" s="347">
        <f>-SUM(SUMIFS('Key inputs_Refineries'!M$85:M$164,'Key inputs_Refineries'!$C$85:$C$164,$C403,'Key inputs_Refineries'!$B$85:$B$164,"HVAC"))*S402/10^3</f>
        <v>0</v>
      </c>
      <c r="T395" s="347">
        <f>-SUM(SUMIFS('Key inputs_Refineries'!N$85:N$164,'Key inputs_Refineries'!$C$85:$C$164,$C403,'Key inputs_Refineries'!$B$85:$B$164,"HVAC"))*T402/10^3</f>
        <v>0</v>
      </c>
      <c r="U395" s="347">
        <f>-SUM(SUMIFS('Key inputs_Refineries'!O$85:O$164,'Key inputs_Refineries'!$C$85:$C$164,$C403,'Key inputs_Refineries'!$B$85:$B$164,"HVAC"))*U402/10^3</f>
        <v>0</v>
      </c>
      <c r="V395" s="347">
        <f>-SUM(SUMIFS('Key inputs_Refineries'!P$85:P$164,'Key inputs_Refineries'!$C$85:$C$164,$C403,'Key inputs_Refineries'!$B$85:$B$164,"HVAC"))*V402/10^3</f>
        <v>6.2806459671614299</v>
      </c>
      <c r="W395" s="347">
        <f>-SUM(SUMIFS('Key inputs_Refineries'!Q$85:Q$164,'Key inputs_Refineries'!$C$85:$C$164,$C403,'Key inputs_Refineries'!$B$85:$B$164,"HVAC"))*W402/10^3</f>
        <v>0.22480179957826735</v>
      </c>
      <c r="X395" s="347">
        <f>-SUM(SUMIFS('Key inputs_Refineries'!R$85:R$164,'Key inputs_Refineries'!$C$85:$C$164,$C403,'Key inputs_Refineries'!$B$85:$B$164,"HVAC"))*X402/10^3</f>
        <v>0.13214519999999999</v>
      </c>
      <c r="Y395" s="347">
        <f>-SUM(SUMIFS('Key inputs_Refineries'!S$85:S$164,'Key inputs_Refineries'!$C$85:$C$164,$C403,'Key inputs_Refineries'!$B$85:$B$164,"HVAC"))*Y402/10^3</f>
        <v>2.3079371797924901E-2</v>
      </c>
      <c r="Z395" s="347">
        <f>-SUM(SUMIFS('Key inputs_Refineries'!T$85:T$164,'Key inputs_Refineries'!$C$85:$C$164,$C403,'Key inputs_Refineries'!$B$85:$B$164,"HVAC"))*Z402/10^3</f>
        <v>0.45889612420930159</v>
      </c>
      <c r="AA395" s="347">
        <f>-SUM(SUMIFS('Key inputs_Refineries'!U$85:U$164,'Key inputs_Refineries'!$C$85:$C$164,$C403,'Key inputs_Refineries'!$B$85:$B$164,"HVAC"))*AA402/10^3</f>
        <v>0.19385532893210758</v>
      </c>
      <c r="AB395" s="347">
        <f>-SUM(SUMIFS('Key inputs_Refineries'!V$85:V$164,'Key inputs_Refineries'!$C$85:$C$164,$C403,'Key inputs_Refineries'!$B$85:$B$164,"HVAC"))*AB402/10^3</f>
        <v>0</v>
      </c>
      <c r="AC395" s="347">
        <f>-SUM(SUMIFS('Key inputs_Refineries'!W$85:W$164,'Key inputs_Refineries'!$C$85:$C$164,$C403,'Key inputs_Refineries'!$B$85:$B$164,"HVAC"))*AC402/10^3</f>
        <v>0</v>
      </c>
      <c r="AD395" s="347">
        <f>-SUM(SUMIFS('Key inputs_Refineries'!X$85:X$164,'Key inputs_Refineries'!$C$85:$C$164,$C403,'Key inputs_Refineries'!$B$85:$B$164,"HVAC"))*AD402/10^3</f>
        <v>0</v>
      </c>
      <c r="AE395" s="347">
        <f>-SUM(SUMIFS('Key inputs_Refineries'!Y$85:Y$164,'Key inputs_Refineries'!$C$85:$C$164,$C403,'Key inputs_Refineries'!$B$85:$B$164,"HVAC"))*AE402/10^3</f>
        <v>0</v>
      </c>
      <c r="AF395" s="347">
        <f>-SUM(SUMIFS('Key inputs_Refineries'!Z$85:Z$164,'Key inputs_Refineries'!$C$85:$C$164,$C403,'Key inputs_Refineries'!$B$85:$B$164,"HVAC"))*AF402/10^3</f>
        <v>0</v>
      </c>
      <c r="AG395" s="347">
        <f>-SUM(SUMIFS('Key inputs_Refineries'!AA$85:AA$164,'Key inputs_Refineries'!$C$85:$C$164,$C403,'Key inputs_Refineries'!$B$85:$B$164,"HVAC"))*AG402/10^3</f>
        <v>0</v>
      </c>
      <c r="AH395" s="347">
        <f>-SUM(SUMIFS('Key inputs_Refineries'!AB$85:AB$164,'Key inputs_Refineries'!$C$85:$C$164,$C403,'Key inputs_Refineries'!$B$85:$B$164,"HVAC"))*AH402/10^3</f>
        <v>0</v>
      </c>
      <c r="AI395" s="347">
        <f>-SUM(SUMIFS('Key inputs_Refineries'!AC$85:AC$164,'Key inputs_Refineries'!$C$85:$C$164,$C403,'Key inputs_Refineries'!$B$85:$B$164,"HVAC"))*AI402/10^3</f>
        <v>0</v>
      </c>
      <c r="AJ395" s="347">
        <f>-SUM(SUMIFS('Key inputs_Refineries'!AD$85:AD$164,'Key inputs_Refineries'!$C$85:$C$164,$C403,'Key inputs_Refineries'!$B$85:$B$164,"HVAC"))*AJ402/10^3</f>
        <v>3.8074470931288129</v>
      </c>
      <c r="AK395" s="347">
        <f>-SUM(SUMIFS('Key inputs_Refineries'!AE$85:AE$164,'Key inputs_Refineries'!$C$85:$C$164,$C403,'Key inputs_Refineries'!$B$85:$B$164,"HVAC"))*AK402/10^3</f>
        <v>1.2206699999999999E-2</v>
      </c>
      <c r="AL395" s="347">
        <f>-SUM(SUMIFS('Key inputs_Refineries'!AF$85:AF$164,'Key inputs_Refineries'!$C$85:$C$164,$C403,'Key inputs_Refineries'!$B$85:$B$164,"HVAC"))*AL402/10^3</f>
        <v>0.6113151</v>
      </c>
    </row>
    <row r="396" spans="1:38">
      <c r="G396" s="4" t="s">
        <v>701</v>
      </c>
      <c r="H396" s="4" t="s">
        <v>661</v>
      </c>
      <c r="I396" s="4">
        <v>2019</v>
      </c>
      <c r="J396" s="4" t="s">
        <v>112</v>
      </c>
      <c r="K396" s="333">
        <v>0</v>
      </c>
      <c r="L396" s="333">
        <v>0</v>
      </c>
      <c r="M396" s="333">
        <v>0</v>
      </c>
      <c r="N396" s="333">
        <v>0</v>
      </c>
      <c r="O396" s="333">
        <v>0</v>
      </c>
      <c r="P396" s="333">
        <v>0</v>
      </c>
      <c r="Q396" s="333">
        <v>0</v>
      </c>
      <c r="R396" s="333">
        <v>0</v>
      </c>
      <c r="S396" s="333">
        <v>0</v>
      </c>
      <c r="T396" s="333">
        <v>0</v>
      </c>
      <c r="U396" s="333">
        <v>0</v>
      </c>
      <c r="V396" s="333">
        <v>0</v>
      </c>
      <c r="W396" s="333">
        <v>0</v>
      </c>
      <c r="X396" s="333">
        <v>0</v>
      </c>
      <c r="Y396" s="333">
        <v>0</v>
      </c>
      <c r="Z396" s="333">
        <v>0</v>
      </c>
      <c r="AA396" s="333">
        <v>0</v>
      </c>
      <c r="AB396" s="333">
        <v>0</v>
      </c>
      <c r="AC396" s="333">
        <v>0</v>
      </c>
      <c r="AD396" s="333">
        <v>0</v>
      </c>
      <c r="AE396" s="333">
        <v>0</v>
      </c>
      <c r="AF396" s="333">
        <v>0</v>
      </c>
      <c r="AG396" s="333">
        <v>0</v>
      </c>
      <c r="AH396" s="333">
        <v>0</v>
      </c>
      <c r="AI396" s="333">
        <v>0</v>
      </c>
      <c r="AJ396" s="333">
        <v>0</v>
      </c>
      <c r="AK396" s="333">
        <v>0</v>
      </c>
      <c r="AL396" s="333">
        <v>0</v>
      </c>
    </row>
    <row r="397" spans="1:38">
      <c r="G397" s="4" t="s">
        <v>701</v>
      </c>
      <c r="H397" s="4" t="s">
        <v>661</v>
      </c>
      <c r="I397" s="4">
        <v>2060</v>
      </c>
      <c r="J397" s="4" t="s">
        <v>112</v>
      </c>
      <c r="K397" s="333">
        <v>0</v>
      </c>
      <c r="L397" s="333">
        <v>0</v>
      </c>
      <c r="M397" s="333">
        <v>0</v>
      </c>
      <c r="N397" s="333">
        <v>0</v>
      </c>
      <c r="O397" s="333">
        <v>0</v>
      </c>
      <c r="P397" s="333">
        <v>0</v>
      </c>
      <c r="Q397" s="333">
        <v>0</v>
      </c>
      <c r="R397" s="333">
        <v>0</v>
      </c>
      <c r="S397" s="333">
        <v>0</v>
      </c>
      <c r="T397" s="333">
        <v>0</v>
      </c>
      <c r="U397" s="333">
        <v>0</v>
      </c>
      <c r="V397" s="333">
        <v>0</v>
      </c>
      <c r="W397" s="333">
        <v>0</v>
      </c>
      <c r="X397" s="333">
        <v>0</v>
      </c>
      <c r="Y397" s="333">
        <v>0</v>
      </c>
      <c r="Z397" s="333">
        <v>0</v>
      </c>
      <c r="AA397" s="333">
        <v>0</v>
      </c>
      <c r="AB397" s="333">
        <v>0</v>
      </c>
      <c r="AC397" s="333">
        <v>0</v>
      </c>
      <c r="AD397" s="333">
        <v>0</v>
      </c>
      <c r="AE397" s="333">
        <v>0</v>
      </c>
      <c r="AF397" s="333">
        <v>0</v>
      </c>
      <c r="AG397" s="333">
        <v>0</v>
      </c>
      <c r="AH397" s="333">
        <v>0</v>
      </c>
      <c r="AI397" s="333">
        <v>0</v>
      </c>
      <c r="AJ397" s="333">
        <v>0</v>
      </c>
      <c r="AK397" s="333">
        <v>0</v>
      </c>
      <c r="AL397" s="333">
        <v>0</v>
      </c>
    </row>
    <row r="398" spans="1:38">
      <c r="G398" s="4" t="s">
        <v>701</v>
      </c>
      <c r="H398" s="4" t="s">
        <v>661</v>
      </c>
      <c r="I398" s="4">
        <v>0</v>
      </c>
      <c r="J398" s="4"/>
      <c r="K398" s="333">
        <v>5</v>
      </c>
      <c r="L398" s="333">
        <v>5</v>
      </c>
      <c r="M398" s="333">
        <v>5</v>
      </c>
      <c r="N398" s="333">
        <v>5</v>
      </c>
      <c r="O398" s="333">
        <v>5</v>
      </c>
      <c r="P398" s="333">
        <v>5</v>
      </c>
      <c r="Q398" s="333">
        <v>5</v>
      </c>
      <c r="R398" s="333">
        <v>5</v>
      </c>
      <c r="S398" s="333">
        <v>5</v>
      </c>
      <c r="T398" s="333">
        <v>5</v>
      </c>
      <c r="U398" s="333">
        <v>5</v>
      </c>
      <c r="V398" s="333">
        <v>5</v>
      </c>
      <c r="W398" s="333">
        <v>5</v>
      </c>
      <c r="X398" s="333">
        <v>5</v>
      </c>
      <c r="Y398" s="333">
        <v>5</v>
      </c>
      <c r="Z398" s="333">
        <v>5</v>
      </c>
      <c r="AA398" s="333">
        <v>5</v>
      </c>
      <c r="AB398" s="333">
        <v>5</v>
      </c>
      <c r="AC398" s="333">
        <v>5</v>
      </c>
      <c r="AD398" s="333">
        <v>5</v>
      </c>
      <c r="AE398" s="333">
        <v>5</v>
      </c>
      <c r="AF398" s="333">
        <v>5</v>
      </c>
      <c r="AG398" s="333">
        <v>5</v>
      </c>
      <c r="AH398" s="333">
        <v>5</v>
      </c>
      <c r="AI398" s="333">
        <v>5</v>
      </c>
      <c r="AJ398" s="333">
        <v>5</v>
      </c>
      <c r="AK398" s="333">
        <v>5</v>
      </c>
      <c r="AL398" s="333">
        <v>5</v>
      </c>
    </row>
    <row r="399" spans="1:38">
      <c r="G399" s="4" t="s">
        <v>687</v>
      </c>
      <c r="H399" s="4"/>
      <c r="I399" s="4"/>
      <c r="J399" s="4" t="s">
        <v>2663</v>
      </c>
      <c r="K399" s="425">
        <f>'Key inputs_Refineries'!$C$195*10^3</f>
        <v>94.608000000000018</v>
      </c>
      <c r="L399" s="425">
        <f>'Key inputs_Refineries'!$C$195*10^3</f>
        <v>94.608000000000018</v>
      </c>
      <c r="M399" s="425">
        <f>'Key inputs_Refineries'!$C$195*10^3</f>
        <v>94.608000000000018</v>
      </c>
      <c r="N399" s="425">
        <f>'Key inputs_Refineries'!$C$195*10^3</f>
        <v>94.608000000000018</v>
      </c>
      <c r="O399" s="425">
        <f>'Key inputs_Refineries'!$C$195*10^3</f>
        <v>94.608000000000018</v>
      </c>
      <c r="P399" s="425">
        <f>'Key inputs_Refineries'!$C$195*10^3</f>
        <v>94.608000000000018</v>
      </c>
      <c r="Q399" s="425">
        <f>'Key inputs_Refineries'!$C$195*10^3</f>
        <v>94.608000000000018</v>
      </c>
      <c r="R399" s="425">
        <f>'Key inputs_Refineries'!$C$195*10^3</f>
        <v>94.608000000000018</v>
      </c>
      <c r="S399" s="425">
        <f>'Key inputs_Refineries'!$C$195*10^3</f>
        <v>94.608000000000018</v>
      </c>
      <c r="T399" s="425">
        <f>'Key inputs_Refineries'!$C$195*10^3</f>
        <v>94.608000000000018</v>
      </c>
      <c r="U399" s="425">
        <f>'Key inputs_Refineries'!$C$195*10^3</f>
        <v>94.608000000000018</v>
      </c>
      <c r="V399" s="425">
        <f>'Key inputs_Refineries'!$C$195*10^3</f>
        <v>94.608000000000018</v>
      </c>
      <c r="W399" s="425">
        <f>'Key inputs_Refineries'!$C$195*10^3</f>
        <v>94.608000000000018</v>
      </c>
      <c r="X399" s="425">
        <f>'Key inputs_Refineries'!$C$195*10^3</f>
        <v>94.608000000000018</v>
      </c>
      <c r="Y399" s="425">
        <f>'Key inputs_Refineries'!$C$195*10^3</f>
        <v>94.608000000000018</v>
      </c>
      <c r="Z399" s="425">
        <f>'Key inputs_Refineries'!$C$195*10^3</f>
        <v>94.608000000000018</v>
      </c>
      <c r="AA399" s="425">
        <f>'Key inputs_Refineries'!$C$195*10^3</f>
        <v>94.608000000000018</v>
      </c>
      <c r="AB399" s="425">
        <f>'Key inputs_Refineries'!$C$195*10^3</f>
        <v>94.608000000000018</v>
      </c>
      <c r="AC399" s="425">
        <f>'Key inputs_Refineries'!$C$195*10^3</f>
        <v>94.608000000000018</v>
      </c>
      <c r="AD399" s="425">
        <f>'Key inputs_Refineries'!$C$195*10^3</f>
        <v>94.608000000000018</v>
      </c>
      <c r="AE399" s="425">
        <f>'Key inputs_Refineries'!$C$195*10^3</f>
        <v>94.608000000000018</v>
      </c>
      <c r="AF399" s="425">
        <f>'Key inputs_Refineries'!$C$195*10^3</f>
        <v>94.608000000000018</v>
      </c>
      <c r="AG399" s="425">
        <f>'Key inputs_Refineries'!$C$195*10^3</f>
        <v>94.608000000000018</v>
      </c>
      <c r="AH399" s="425">
        <f>'Key inputs_Refineries'!$C$195*10^3</f>
        <v>94.608000000000018</v>
      </c>
      <c r="AI399" s="425">
        <f>'Key inputs_Refineries'!$C$195*10^3</f>
        <v>94.608000000000018</v>
      </c>
      <c r="AJ399" s="425">
        <f>'Key inputs_Refineries'!$C$195*10^3</f>
        <v>94.608000000000018</v>
      </c>
      <c r="AK399" s="425">
        <f>'Key inputs_Refineries'!$C$195*10^3</f>
        <v>94.608000000000018</v>
      </c>
      <c r="AL399" s="425">
        <f>'Key inputs_Refineries'!$C$195*10^3</f>
        <v>94.608000000000018</v>
      </c>
    </row>
    <row r="400" spans="1:38">
      <c r="G400" s="4" t="s">
        <v>689</v>
      </c>
      <c r="H400" s="4"/>
      <c r="I400" s="4"/>
      <c r="J400" s="4" t="s">
        <v>2663</v>
      </c>
      <c r="K400" s="425">
        <f>'Key inputs_Refineries'!$D$195*10^3</f>
        <v>0.94608000000000003</v>
      </c>
      <c r="L400" s="425">
        <f>'Key inputs_Refineries'!$D$195*10^3</f>
        <v>0.94608000000000003</v>
      </c>
      <c r="M400" s="425">
        <f>'Key inputs_Refineries'!$D$195*10^3</f>
        <v>0.94608000000000003</v>
      </c>
      <c r="N400" s="425">
        <f>'Key inputs_Refineries'!$D$195*10^3</f>
        <v>0.94608000000000003</v>
      </c>
      <c r="O400" s="425">
        <f>'Key inputs_Refineries'!$D$195*10^3</f>
        <v>0.94608000000000003</v>
      </c>
      <c r="P400" s="425">
        <f>'Key inputs_Refineries'!$D$195*10^3</f>
        <v>0.94608000000000003</v>
      </c>
      <c r="Q400" s="425">
        <f>'Key inputs_Refineries'!$D$195*10^3</f>
        <v>0.94608000000000003</v>
      </c>
      <c r="R400" s="425">
        <f>'Key inputs_Refineries'!$D$195*10^3</f>
        <v>0.94608000000000003</v>
      </c>
      <c r="S400" s="425">
        <f>'Key inputs_Refineries'!$D$195*10^3</f>
        <v>0.94608000000000003</v>
      </c>
      <c r="T400" s="425">
        <f>'Key inputs_Refineries'!$D$195*10^3</f>
        <v>0.94608000000000003</v>
      </c>
      <c r="U400" s="425">
        <f>'Key inputs_Refineries'!$D$195*10^3</f>
        <v>0.94608000000000003</v>
      </c>
      <c r="V400" s="425">
        <f>'Key inputs_Refineries'!$D$195*10^3</f>
        <v>0.94608000000000003</v>
      </c>
      <c r="W400" s="425">
        <f>'Key inputs_Refineries'!$D$195*10^3</f>
        <v>0.94608000000000003</v>
      </c>
      <c r="X400" s="425">
        <f>'Key inputs_Refineries'!$D$195*10^3</f>
        <v>0.94608000000000003</v>
      </c>
      <c r="Y400" s="425">
        <f>'Key inputs_Refineries'!$D$195*10^3</f>
        <v>0.94608000000000003</v>
      </c>
      <c r="Z400" s="425">
        <f>'Key inputs_Refineries'!$D$195*10^3</f>
        <v>0.94608000000000003</v>
      </c>
      <c r="AA400" s="425">
        <f>'Key inputs_Refineries'!$D$195*10^3</f>
        <v>0.94608000000000003</v>
      </c>
      <c r="AB400" s="425">
        <f>'Key inputs_Refineries'!$D$195*10^3</f>
        <v>0.94608000000000003</v>
      </c>
      <c r="AC400" s="425">
        <f>'Key inputs_Refineries'!$D$195*10^3</f>
        <v>0.94608000000000003</v>
      </c>
      <c r="AD400" s="425">
        <f>'Key inputs_Refineries'!$D$195*10^3</f>
        <v>0.94608000000000003</v>
      </c>
      <c r="AE400" s="425">
        <f>'Key inputs_Refineries'!$D$195*10^3</f>
        <v>0.94608000000000003</v>
      </c>
      <c r="AF400" s="425">
        <f>'Key inputs_Refineries'!$D$195*10^3</f>
        <v>0.94608000000000003</v>
      </c>
      <c r="AG400" s="425">
        <f>'Key inputs_Refineries'!$D$195*10^3</f>
        <v>0.94608000000000003</v>
      </c>
      <c r="AH400" s="425">
        <f>'Key inputs_Refineries'!$D$195*10^3</f>
        <v>0.94608000000000003</v>
      </c>
      <c r="AI400" s="425">
        <f>'Key inputs_Refineries'!$D$195*10^3</f>
        <v>0.94608000000000003</v>
      </c>
      <c r="AJ400" s="425">
        <f>'Key inputs_Refineries'!$D$195*10^3</f>
        <v>0.94608000000000003</v>
      </c>
      <c r="AK400" s="425">
        <f>'Key inputs_Refineries'!$D$195*10^3</f>
        <v>0.94608000000000003</v>
      </c>
      <c r="AL400" s="425">
        <f>'Key inputs_Refineries'!$D$195*10^3</f>
        <v>0.94608000000000003</v>
      </c>
    </row>
    <row r="401" spans="1:47">
      <c r="G401" s="4" t="s">
        <v>675</v>
      </c>
      <c r="H401" s="4"/>
      <c r="I401" s="4"/>
      <c r="J401" s="4" t="s">
        <v>2662</v>
      </c>
      <c r="K401" s="338"/>
      <c r="L401" s="338"/>
      <c r="M401" s="338"/>
      <c r="N401" s="338"/>
      <c r="O401" s="338"/>
      <c r="P401" s="338"/>
      <c r="Q401" s="338"/>
      <c r="R401" s="338"/>
      <c r="S401" s="338"/>
      <c r="T401" s="338"/>
      <c r="U401" s="338"/>
      <c r="V401" s="338"/>
      <c r="W401" s="338"/>
      <c r="X401" s="338"/>
      <c r="Y401" s="338"/>
      <c r="Z401" s="338"/>
      <c r="AA401" s="338"/>
      <c r="AB401" s="338"/>
      <c r="AC401" s="338"/>
      <c r="AD401" s="338"/>
      <c r="AE401" s="338"/>
      <c r="AF401" s="338"/>
      <c r="AG401" s="338"/>
      <c r="AH401" s="338"/>
      <c r="AI401" s="338"/>
      <c r="AJ401" s="338"/>
      <c r="AK401" s="338"/>
      <c r="AL401" s="338"/>
    </row>
    <row r="402" spans="1:47">
      <c r="G402" s="4" t="s">
        <v>630</v>
      </c>
      <c r="H402" s="4"/>
      <c r="I402" s="4"/>
      <c r="J402" s="4" t="s">
        <v>2666</v>
      </c>
      <c r="K402" s="425">
        <f>'Key inputs_Refineries'!$H$195</f>
        <v>0.99</v>
      </c>
      <c r="L402" s="425">
        <f>'Key inputs_Refineries'!$H$195</f>
        <v>0.99</v>
      </c>
      <c r="M402" s="425">
        <f>'Key inputs_Refineries'!$H$195</f>
        <v>0.99</v>
      </c>
      <c r="N402" s="425">
        <f>'Key inputs_Refineries'!$H$195</f>
        <v>0.99</v>
      </c>
      <c r="O402" s="425">
        <f>'Key inputs_Refineries'!$H$195</f>
        <v>0.99</v>
      </c>
      <c r="P402" s="425">
        <f>'Key inputs_Refineries'!$H$195</f>
        <v>0.99</v>
      </c>
      <c r="Q402" s="425">
        <f>'Key inputs_Refineries'!$H$195</f>
        <v>0.99</v>
      </c>
      <c r="R402" s="425">
        <f>'Key inputs_Refineries'!$H$195</f>
        <v>0.99</v>
      </c>
      <c r="S402" s="425">
        <f>'Key inputs_Refineries'!$H$195</f>
        <v>0.99</v>
      </c>
      <c r="T402" s="425">
        <f>'Key inputs_Refineries'!$H$195</f>
        <v>0.99</v>
      </c>
      <c r="U402" s="425">
        <f>'Key inputs_Refineries'!$H$195</f>
        <v>0.99</v>
      </c>
      <c r="V402" s="425">
        <f>'Key inputs_Refineries'!$H$195</f>
        <v>0.99</v>
      </c>
      <c r="W402" s="425">
        <f>'Key inputs_Refineries'!$H$195</f>
        <v>0.99</v>
      </c>
      <c r="X402" s="425">
        <f>'Key inputs_Refineries'!$H$195</f>
        <v>0.99</v>
      </c>
      <c r="Y402" s="425">
        <f>'Key inputs_Refineries'!$H$195</f>
        <v>0.99</v>
      </c>
      <c r="Z402" s="425">
        <f>'Key inputs_Refineries'!$H$195</f>
        <v>0.99</v>
      </c>
      <c r="AA402" s="425">
        <f>'Key inputs_Refineries'!$H$195</f>
        <v>0.99</v>
      </c>
      <c r="AB402" s="425">
        <f>'Key inputs_Refineries'!$H$195</f>
        <v>0.99</v>
      </c>
      <c r="AC402" s="425">
        <f>'Key inputs_Refineries'!$H$195</f>
        <v>0.99</v>
      </c>
      <c r="AD402" s="425">
        <f>'Key inputs_Refineries'!$H$195</f>
        <v>0.99</v>
      </c>
      <c r="AE402" s="425">
        <f>'Key inputs_Refineries'!$H$195</f>
        <v>0.99</v>
      </c>
      <c r="AF402" s="425">
        <f>'Key inputs_Refineries'!$H$195</f>
        <v>0.99</v>
      </c>
      <c r="AG402" s="425">
        <f>'Key inputs_Refineries'!$H$195</f>
        <v>0.99</v>
      </c>
      <c r="AH402" s="425">
        <f>'Key inputs_Refineries'!$H$195</f>
        <v>0.99</v>
      </c>
      <c r="AI402" s="425">
        <f>'Key inputs_Refineries'!$H$195</f>
        <v>0.99</v>
      </c>
      <c r="AJ402" s="425">
        <f>'Key inputs_Refineries'!$H$195</f>
        <v>0.99</v>
      </c>
      <c r="AK402" s="425">
        <f>'Key inputs_Refineries'!$H$195</f>
        <v>0.99</v>
      </c>
      <c r="AL402" s="425">
        <f>'Key inputs_Refineries'!$H$195</f>
        <v>0.99</v>
      </c>
      <c r="AN402" s="353"/>
      <c r="AO402" s="353"/>
      <c r="AP402" s="353"/>
      <c r="AQ402" s="353"/>
      <c r="AR402" s="353"/>
      <c r="AS402" s="353"/>
      <c r="AT402" s="353"/>
      <c r="AU402" s="353"/>
    </row>
    <row r="403" spans="1:47">
      <c r="C403" t="str">
        <f>Commodities!$C$94</f>
        <v>UPSHET</v>
      </c>
      <c r="G403" s="4" t="s">
        <v>702</v>
      </c>
      <c r="H403" t="s">
        <v>661</v>
      </c>
      <c r="I403">
        <v>2019</v>
      </c>
      <c r="J403" t="s">
        <v>650</v>
      </c>
      <c r="K403" s="173">
        <v>1</v>
      </c>
      <c r="L403" s="173">
        <v>1</v>
      </c>
      <c r="M403" s="173">
        <v>1</v>
      </c>
      <c r="N403" s="173">
        <v>1</v>
      </c>
      <c r="O403" s="173">
        <v>1</v>
      </c>
      <c r="P403" s="173">
        <v>1</v>
      </c>
      <c r="Q403" s="173">
        <v>1</v>
      </c>
      <c r="R403" s="173">
        <v>1</v>
      </c>
      <c r="S403" s="173">
        <v>1</v>
      </c>
      <c r="T403" s="173">
        <v>1</v>
      </c>
      <c r="U403" s="173">
        <v>1</v>
      </c>
      <c r="V403" s="173">
        <v>1</v>
      </c>
      <c r="W403" s="173">
        <v>1</v>
      </c>
      <c r="X403" s="173">
        <v>1</v>
      </c>
      <c r="Y403" s="173">
        <v>1</v>
      </c>
      <c r="Z403" s="173">
        <v>1</v>
      </c>
      <c r="AA403" s="173">
        <v>1</v>
      </c>
      <c r="AB403" s="173">
        <v>1</v>
      </c>
      <c r="AC403" s="173">
        <v>1</v>
      </c>
      <c r="AD403" s="173">
        <v>1</v>
      </c>
      <c r="AE403" s="173">
        <v>1</v>
      </c>
      <c r="AF403" s="173">
        <v>1</v>
      </c>
      <c r="AG403" s="173">
        <v>1</v>
      </c>
      <c r="AH403" s="173">
        <v>1</v>
      </c>
      <c r="AI403" s="173">
        <v>1</v>
      </c>
      <c r="AJ403" s="173">
        <v>1</v>
      </c>
      <c r="AK403" s="173">
        <v>1</v>
      </c>
      <c r="AL403" s="173">
        <v>1</v>
      </c>
    </row>
    <row r="404" spans="1:47" s="4" customFormat="1">
      <c r="A404" s="236"/>
      <c r="B404" s="236"/>
      <c r="C404" s="236"/>
      <c r="D404" s="236" t="str">
        <f>Commodities!$C$107</f>
        <v>UREFHVA</v>
      </c>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c r="AE404" s="236"/>
      <c r="AF404" s="236"/>
      <c r="AG404" s="236"/>
      <c r="AH404" s="236"/>
      <c r="AI404" s="236"/>
      <c r="AJ404" s="236"/>
      <c r="AK404" s="236"/>
      <c r="AL404" s="236"/>
      <c r="AN404"/>
      <c r="AO404"/>
      <c r="AP404"/>
      <c r="AQ404"/>
      <c r="AR404"/>
      <c r="AS404"/>
      <c r="AT404"/>
      <c r="AU404"/>
    </row>
    <row r="405" spans="1:47">
      <c r="A405" s="257" t="s">
        <v>709</v>
      </c>
      <c r="B405" s="257"/>
      <c r="C405" s="257"/>
      <c r="D405" s="257"/>
      <c r="E405" s="257"/>
      <c r="F405" s="257"/>
      <c r="G405" s="257"/>
      <c r="H405" s="257"/>
      <c r="I405" s="257"/>
      <c r="J405" s="257"/>
      <c r="K405" s="352">
        <f>SUM(K309+K329+K354+K371+K383+K395)</f>
        <v>7.92E-3</v>
      </c>
      <c r="L405" s="352">
        <f t="shared" ref="L405:AL405" si="27">SUM(L309+L329+L354+L371+L383+L395)</f>
        <v>0.37984127640768889</v>
      </c>
      <c r="M405" s="352">
        <f t="shared" si="27"/>
        <v>3.4115161113310477E-2</v>
      </c>
      <c r="N405" s="352">
        <f t="shared" si="27"/>
        <v>1.6423769262932628</v>
      </c>
      <c r="O405" s="352">
        <f t="shared" si="27"/>
        <v>0.61487615154554442</v>
      </c>
      <c r="P405" s="352">
        <f t="shared" si="27"/>
        <v>0.37434914485853443</v>
      </c>
      <c r="Q405" s="352">
        <f t="shared" si="27"/>
        <v>0.90019850576670513</v>
      </c>
      <c r="R405" s="352">
        <f t="shared" si="27"/>
        <v>3.6344000000000001E-2</v>
      </c>
      <c r="S405" s="352">
        <f t="shared" si="27"/>
        <v>1.5048949288261828</v>
      </c>
      <c r="T405" s="352">
        <f t="shared" si="27"/>
        <v>2.6118748799156042</v>
      </c>
      <c r="U405" s="352">
        <f t="shared" si="27"/>
        <v>0.2605047720229185</v>
      </c>
      <c r="V405" s="352">
        <f t="shared" si="27"/>
        <v>52.318236250741791</v>
      </c>
      <c r="W405" s="352">
        <f t="shared" si="27"/>
        <v>1.0893845682717331</v>
      </c>
      <c r="X405" s="352">
        <f t="shared" si="27"/>
        <v>1.7721663862501775</v>
      </c>
      <c r="Y405" s="352">
        <f t="shared" si="27"/>
        <v>2.4089782669559878</v>
      </c>
      <c r="Z405" s="352">
        <f t="shared" si="27"/>
        <v>7.1650119821547307</v>
      </c>
      <c r="AA405" s="352">
        <f t="shared" si="27"/>
        <v>6.6771395157535016</v>
      </c>
      <c r="AB405" s="352">
        <f t="shared" si="27"/>
        <v>1.3698209910681247</v>
      </c>
      <c r="AC405" s="352">
        <f t="shared" si="27"/>
        <v>8.0655589322177583</v>
      </c>
      <c r="AD405" s="352">
        <f t="shared" si="27"/>
        <v>4.3507224087599061</v>
      </c>
      <c r="AE405" s="352">
        <f t="shared" si="27"/>
        <v>2.5289748546567461</v>
      </c>
      <c r="AF405" s="352">
        <f t="shared" si="27"/>
        <v>1.7506819258585646</v>
      </c>
      <c r="AG405" s="352">
        <f t="shared" si="27"/>
        <v>5.6825687464809391</v>
      </c>
      <c r="AH405" s="352">
        <f t="shared" si="27"/>
        <v>2.5346484890389958</v>
      </c>
      <c r="AI405" s="352">
        <f t="shared" si="27"/>
        <v>3.7840462875930653E-2</v>
      </c>
      <c r="AJ405" s="352">
        <f t="shared" si="27"/>
        <v>10.270625859351467</v>
      </c>
      <c r="AK405" s="352">
        <f t="shared" si="27"/>
        <v>4.5418569256210484</v>
      </c>
      <c r="AL405" s="352">
        <f t="shared" si="27"/>
        <v>20.229410126946721</v>
      </c>
    </row>
    <row r="407" spans="1:47" s="4" customForma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s="493"/>
      <c r="AN407"/>
      <c r="AO407"/>
      <c r="AP407"/>
      <c r="AQ407"/>
      <c r="AR407"/>
      <c r="AS407"/>
      <c r="AT407"/>
      <c r="AU407"/>
    </row>
    <row r="408" spans="1:47" s="4" customFormat="1">
      <c r="A408" s="255" t="s">
        <v>625</v>
      </c>
      <c r="B408" s="255"/>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N408" s="256" t="s">
        <v>626</v>
      </c>
      <c r="AO408" s="493"/>
      <c r="AP408" s="493"/>
      <c r="AQ408" s="493"/>
      <c r="AR408" s="493"/>
    </row>
    <row r="409" spans="1:47" s="4" customFormat="1" ht="16.2" thickBot="1">
      <c r="A409" s="11" t="s">
        <v>627</v>
      </c>
      <c r="B409" s="11" t="s">
        <v>666</v>
      </c>
      <c r="C409" s="240" t="s">
        <v>652</v>
      </c>
      <c r="D409" s="240" t="s">
        <v>653</v>
      </c>
      <c r="E409" s="240" t="s">
        <v>373</v>
      </c>
      <c r="F409" s="240" t="s">
        <v>684</v>
      </c>
      <c r="G409" s="10" t="s">
        <v>654</v>
      </c>
      <c r="H409" s="10" t="s">
        <v>376</v>
      </c>
      <c r="I409" s="10" t="s">
        <v>655</v>
      </c>
      <c r="J409" s="10" t="s">
        <v>685</v>
      </c>
      <c r="K409" s="10" t="s">
        <v>172</v>
      </c>
      <c r="L409" s="10" t="s">
        <v>175</v>
      </c>
      <c r="M409" s="10" t="s">
        <v>178</v>
      </c>
      <c r="N409" s="10" t="s">
        <v>181</v>
      </c>
      <c r="O409" s="10" t="s">
        <v>184</v>
      </c>
      <c r="P409" s="10" t="s">
        <v>187</v>
      </c>
      <c r="Q409" s="10" t="s">
        <v>190</v>
      </c>
      <c r="R409" s="10" t="s">
        <v>193</v>
      </c>
      <c r="S409" s="10" t="s">
        <v>196</v>
      </c>
      <c r="T409" s="10" t="s">
        <v>198</v>
      </c>
      <c r="U409" s="10" t="s">
        <v>200</v>
      </c>
      <c r="V409" s="10" t="s">
        <v>202</v>
      </c>
      <c r="W409" s="10" t="s">
        <v>205</v>
      </c>
      <c r="X409" s="10" t="s">
        <v>208</v>
      </c>
      <c r="Y409" s="10" t="s">
        <v>211</v>
      </c>
      <c r="Z409" s="10" t="s">
        <v>214</v>
      </c>
      <c r="AA409" s="10" t="s">
        <v>217</v>
      </c>
      <c r="AB409" s="10" t="s">
        <v>220</v>
      </c>
      <c r="AC409" s="10" t="s">
        <v>223</v>
      </c>
      <c r="AD409" s="10" t="s">
        <v>225</v>
      </c>
      <c r="AE409" s="10" t="s">
        <v>227</v>
      </c>
      <c r="AF409" s="10" t="s">
        <v>230</v>
      </c>
      <c r="AG409" s="10" t="s">
        <v>233</v>
      </c>
      <c r="AH409" s="10" t="s">
        <v>236</v>
      </c>
      <c r="AI409" s="10" t="s">
        <v>238</v>
      </c>
      <c r="AJ409" s="10" t="s">
        <v>240</v>
      </c>
      <c r="AK409" s="10" t="s">
        <v>243</v>
      </c>
      <c r="AL409" s="10" t="s">
        <v>245</v>
      </c>
      <c r="AN409" s="10" t="s">
        <v>633</v>
      </c>
      <c r="AO409" s="10" t="s">
        <v>627</v>
      </c>
      <c r="AP409" s="10" t="s">
        <v>634</v>
      </c>
      <c r="AQ409" s="10" t="s">
        <v>635</v>
      </c>
      <c r="AR409" s="10" t="s">
        <v>636</v>
      </c>
      <c r="AS409" s="10" t="s">
        <v>637</v>
      </c>
      <c r="AT409" s="10" t="s">
        <v>638</v>
      </c>
      <c r="AU409" s="10" t="s">
        <v>667</v>
      </c>
    </row>
    <row r="410" spans="1:47" s="4" customFormat="1" ht="55.2">
      <c r="A410" s="241" t="s">
        <v>639</v>
      </c>
      <c r="B410" s="241" t="s">
        <v>668</v>
      </c>
      <c r="C410" s="241" t="s">
        <v>656</v>
      </c>
      <c r="D410" s="241" t="s">
        <v>657</v>
      </c>
      <c r="E410" s="241"/>
      <c r="F410" s="241"/>
      <c r="G410" s="241"/>
      <c r="H410" s="241"/>
      <c r="I410" s="241"/>
      <c r="J410" s="241"/>
      <c r="K410" s="241" t="s">
        <v>173</v>
      </c>
      <c r="L410" s="241" t="s">
        <v>176</v>
      </c>
      <c r="M410" s="241" t="s">
        <v>179</v>
      </c>
      <c r="N410" s="241" t="s">
        <v>182</v>
      </c>
      <c r="O410" s="241" t="s">
        <v>185</v>
      </c>
      <c r="P410" s="241" t="s">
        <v>188</v>
      </c>
      <c r="Q410" s="241" t="s">
        <v>191</v>
      </c>
      <c r="R410" s="241" t="s">
        <v>194</v>
      </c>
      <c r="S410" s="241" t="s">
        <v>197</v>
      </c>
      <c r="T410" s="241" t="s">
        <v>199</v>
      </c>
      <c r="U410" s="241" t="s">
        <v>201</v>
      </c>
      <c r="V410" s="241" t="s">
        <v>203</v>
      </c>
      <c r="W410" s="241" t="s">
        <v>206</v>
      </c>
      <c r="X410" s="241" t="s">
        <v>209</v>
      </c>
      <c r="Y410" s="241" t="s">
        <v>212</v>
      </c>
      <c r="Z410" s="241" t="s">
        <v>215</v>
      </c>
      <c r="AA410" s="241" t="s">
        <v>218</v>
      </c>
      <c r="AB410" s="241" t="s">
        <v>221</v>
      </c>
      <c r="AC410" s="241" t="s">
        <v>224</v>
      </c>
      <c r="AD410" s="241" t="s">
        <v>226</v>
      </c>
      <c r="AE410" s="241" t="s">
        <v>228</v>
      </c>
      <c r="AF410" s="241" t="s">
        <v>231</v>
      </c>
      <c r="AG410" s="241" t="s">
        <v>234</v>
      </c>
      <c r="AH410" s="241" t="s">
        <v>237</v>
      </c>
      <c r="AI410" s="241" t="s">
        <v>239</v>
      </c>
      <c r="AJ410" s="241" t="s">
        <v>241</v>
      </c>
      <c r="AK410" s="241" t="s">
        <v>244</v>
      </c>
      <c r="AL410" s="241" t="s">
        <v>246</v>
      </c>
      <c r="AN410" s="242" t="s">
        <v>670</v>
      </c>
      <c r="AO410" s="242" t="s">
        <v>644</v>
      </c>
      <c r="AP410" s="242" t="s">
        <v>23</v>
      </c>
      <c r="AQ410" s="242" t="s">
        <v>645</v>
      </c>
      <c r="AR410" s="242" t="s">
        <v>646</v>
      </c>
      <c r="AS410" s="242" t="s">
        <v>647</v>
      </c>
      <c r="AT410" s="241" t="s">
        <v>648</v>
      </c>
      <c r="AU410" s="241" t="s">
        <v>671</v>
      </c>
    </row>
    <row r="411" spans="1:47" s="4" customFormat="1">
      <c r="A411" s="257" t="s">
        <v>649</v>
      </c>
      <c r="B411" s="257"/>
      <c r="C411" s="257"/>
      <c r="D411" s="257"/>
      <c r="E411" s="257"/>
      <c r="F411" s="257"/>
      <c r="G411" s="257"/>
      <c r="H411" s="257"/>
      <c r="I411" s="257"/>
      <c r="J411" s="257"/>
      <c r="K411" s="257" t="s">
        <v>387</v>
      </c>
      <c r="L411" s="257" t="s">
        <v>387</v>
      </c>
      <c r="M411" s="257" t="s">
        <v>387</v>
      </c>
      <c r="N411" s="257" t="s">
        <v>387</v>
      </c>
      <c r="O411" s="257" t="s">
        <v>387</v>
      </c>
      <c r="P411" s="257" t="s">
        <v>387</v>
      </c>
      <c r="Q411" s="257" t="s">
        <v>387</v>
      </c>
      <c r="R411" s="257" t="s">
        <v>387</v>
      </c>
      <c r="S411" s="257" t="s">
        <v>387</v>
      </c>
      <c r="T411" s="257" t="s">
        <v>387</v>
      </c>
      <c r="U411" s="257" t="s">
        <v>387</v>
      </c>
      <c r="V411" s="257" t="s">
        <v>387</v>
      </c>
      <c r="W411" s="257" t="s">
        <v>387</v>
      </c>
      <c r="X411" s="257" t="s">
        <v>387</v>
      </c>
      <c r="Y411" s="257" t="s">
        <v>387</v>
      </c>
      <c r="Z411" s="257" t="s">
        <v>387</v>
      </c>
      <c r="AA411" s="257" t="s">
        <v>387</v>
      </c>
      <c r="AB411" s="257" t="s">
        <v>387</v>
      </c>
      <c r="AC411" s="257" t="s">
        <v>387</v>
      </c>
      <c r="AD411" s="257" t="s">
        <v>387</v>
      </c>
      <c r="AE411" s="257" t="s">
        <v>387</v>
      </c>
      <c r="AF411" s="257" t="s">
        <v>387</v>
      </c>
      <c r="AG411" s="257" t="s">
        <v>387</v>
      </c>
      <c r="AH411" s="257" t="s">
        <v>387</v>
      </c>
      <c r="AI411" s="257" t="s">
        <v>387</v>
      </c>
      <c r="AJ411" s="257" t="s">
        <v>387</v>
      </c>
      <c r="AK411" s="257" t="s">
        <v>387</v>
      </c>
      <c r="AL411" s="257" t="s">
        <v>387</v>
      </c>
      <c r="AN411" s="257" t="s">
        <v>629</v>
      </c>
      <c r="AO411" s="257"/>
      <c r="AP411" s="257"/>
      <c r="AQ411" s="257"/>
      <c r="AR411" s="257"/>
      <c r="AS411" s="257"/>
      <c r="AT411" s="257"/>
      <c r="AU411" s="257"/>
    </row>
    <row r="412" spans="1:47" s="4" customFormat="1">
      <c r="A412" s="4" t="str">
        <f>AO412</f>
        <v>U-TRF-OILREFBOI_GAS01</v>
      </c>
      <c r="B412" s="4" t="str">
        <f>AP412</f>
        <v>UPS Transformation: Oil refinery boilers Gas - New</v>
      </c>
      <c r="G412" s="4" t="s">
        <v>695</v>
      </c>
      <c r="J412" s="4" t="s">
        <v>2665</v>
      </c>
      <c r="K412" s="333">
        <v>1</v>
      </c>
      <c r="L412" s="333">
        <v>1</v>
      </c>
      <c r="M412" s="333">
        <v>1</v>
      </c>
      <c r="N412" s="333">
        <v>1</v>
      </c>
      <c r="O412" s="333">
        <v>1</v>
      </c>
      <c r="P412" s="333">
        <v>1</v>
      </c>
      <c r="Q412" s="333">
        <v>1</v>
      </c>
      <c r="R412" s="333">
        <v>1</v>
      </c>
      <c r="S412" s="333">
        <v>1</v>
      </c>
      <c r="T412" s="333">
        <v>1</v>
      </c>
      <c r="U412" s="333">
        <v>1</v>
      </c>
      <c r="V412" s="333">
        <v>1</v>
      </c>
      <c r="W412" s="333">
        <v>1</v>
      </c>
      <c r="X412" s="333">
        <v>1</v>
      </c>
      <c r="Y412" s="333">
        <v>1</v>
      </c>
      <c r="Z412" s="333">
        <v>1</v>
      </c>
      <c r="AA412" s="333">
        <v>1</v>
      </c>
      <c r="AB412" s="333">
        <v>1</v>
      </c>
      <c r="AC412" s="333">
        <v>1</v>
      </c>
      <c r="AD412" s="333">
        <v>1</v>
      </c>
      <c r="AE412" s="333">
        <v>1</v>
      </c>
      <c r="AF412" s="333">
        <v>1</v>
      </c>
      <c r="AG412" s="333">
        <v>1</v>
      </c>
      <c r="AH412" s="333">
        <v>1</v>
      </c>
      <c r="AI412" s="333">
        <v>1</v>
      </c>
      <c r="AJ412" s="333">
        <v>1</v>
      </c>
      <c r="AK412" s="333">
        <v>1</v>
      </c>
      <c r="AL412" s="333">
        <v>1</v>
      </c>
      <c r="AN412" s="4" t="s">
        <v>651</v>
      </c>
      <c r="AO412" t="str">
        <f>"U-TRF-OILREFBOI_GAS01"</f>
        <v>U-TRF-OILREFBOI_GAS01</v>
      </c>
      <c r="AP412" t="str">
        <f>"UPS Transformation: Oil refinery boilers Gas - New"</f>
        <v>UPS Transformation: Oil refinery boilers Gas - New</v>
      </c>
      <c r="AQ412" s="4" t="s">
        <v>387</v>
      </c>
      <c r="AR412" s="4" t="s">
        <v>696</v>
      </c>
    </row>
    <row r="413" spans="1:47" s="4" customFormat="1">
      <c r="G413" s="4" t="s">
        <v>697</v>
      </c>
      <c r="J413" s="4" t="s">
        <v>698</v>
      </c>
      <c r="K413" s="424">
        <f>'Key inputs_Refineries'!$F$172</f>
        <v>15</v>
      </c>
      <c r="L413" s="424">
        <f>'Key inputs_Refineries'!$F$172</f>
        <v>15</v>
      </c>
      <c r="M413" s="424">
        <f>'Key inputs_Refineries'!$F$172</f>
        <v>15</v>
      </c>
      <c r="N413" s="424">
        <f>'Key inputs_Refineries'!$F$172</f>
        <v>15</v>
      </c>
      <c r="O413" s="424">
        <f>'Key inputs_Refineries'!$F$172</f>
        <v>15</v>
      </c>
      <c r="P413" s="424">
        <f>'Key inputs_Refineries'!$F$172</f>
        <v>15</v>
      </c>
      <c r="Q413" s="424">
        <f>'Key inputs_Refineries'!$F$172</f>
        <v>15</v>
      </c>
      <c r="R413" s="424">
        <f>'Key inputs_Refineries'!$F$172</f>
        <v>15</v>
      </c>
      <c r="S413" s="424">
        <f>'Key inputs_Refineries'!$F$172</f>
        <v>15</v>
      </c>
      <c r="T413" s="424">
        <f>'Key inputs_Refineries'!$F$172</f>
        <v>15</v>
      </c>
      <c r="U413" s="424">
        <f>'Key inputs_Refineries'!$F$172</f>
        <v>15</v>
      </c>
      <c r="V413" s="424">
        <f>'Key inputs_Refineries'!$F$172</f>
        <v>15</v>
      </c>
      <c r="W413" s="424">
        <f>'Key inputs_Refineries'!$F$172</f>
        <v>15</v>
      </c>
      <c r="X413" s="424">
        <f>'Key inputs_Refineries'!$F$172</f>
        <v>15</v>
      </c>
      <c r="Y413" s="424">
        <f>'Key inputs_Refineries'!$F$172</f>
        <v>15</v>
      </c>
      <c r="Z413" s="424">
        <f>'Key inputs_Refineries'!$F$172</f>
        <v>15</v>
      </c>
      <c r="AA413" s="424">
        <f>'Key inputs_Refineries'!$F$172</f>
        <v>15</v>
      </c>
      <c r="AB413" s="424">
        <f>'Key inputs_Refineries'!$F$172</f>
        <v>15</v>
      </c>
      <c r="AC413" s="424">
        <f>'Key inputs_Refineries'!$F$172</f>
        <v>15</v>
      </c>
      <c r="AD413" s="424">
        <f>'Key inputs_Refineries'!$F$172</f>
        <v>15</v>
      </c>
      <c r="AE413" s="424">
        <f>'Key inputs_Refineries'!$F$172</f>
        <v>15</v>
      </c>
      <c r="AF413" s="424">
        <f>'Key inputs_Refineries'!$F$172</f>
        <v>15</v>
      </c>
      <c r="AG413" s="424">
        <f>'Key inputs_Refineries'!$F$172</f>
        <v>15</v>
      </c>
      <c r="AH413" s="424">
        <f>'Key inputs_Refineries'!$F$172</f>
        <v>15</v>
      </c>
      <c r="AI413" s="424">
        <f>'Key inputs_Refineries'!$F$172</f>
        <v>15</v>
      </c>
      <c r="AJ413" s="424">
        <f>'Key inputs_Refineries'!$F$172</f>
        <v>15</v>
      </c>
      <c r="AK413" s="424">
        <f>'Key inputs_Refineries'!$F$172</f>
        <v>15</v>
      </c>
      <c r="AL413" s="424">
        <f>'Key inputs_Refineries'!$F$172</f>
        <v>15</v>
      </c>
      <c r="AN413" s="4" t="s">
        <v>651</v>
      </c>
      <c r="AO413" t="str">
        <f>"U-TRF-OILREFBOI_OIL01"</f>
        <v>U-TRF-OILREFBOI_OIL01</v>
      </c>
      <c r="AP413" t="str">
        <f>"UPS Transformation: Oil refinery boilers Petroleum product - New"</f>
        <v>UPS Transformation: Oil refinery boilers Petroleum product - New</v>
      </c>
      <c r="AQ413" s="4" t="s">
        <v>387</v>
      </c>
      <c r="AR413" s="4" t="s">
        <v>696</v>
      </c>
    </row>
    <row r="414" spans="1:47">
      <c r="A414" s="4"/>
      <c r="B414" s="4"/>
      <c r="C414" s="4"/>
      <c r="D414" s="4"/>
      <c r="E414" s="4"/>
      <c r="F414" s="4"/>
      <c r="G414" s="4" t="s">
        <v>707</v>
      </c>
      <c r="H414" s="4"/>
      <c r="I414" s="4"/>
      <c r="J414" s="4" t="s">
        <v>2669</v>
      </c>
      <c r="K414" s="347">
        <v>2020</v>
      </c>
      <c r="L414" s="347">
        <v>2020</v>
      </c>
      <c r="M414" s="347">
        <v>2020</v>
      </c>
      <c r="N414" s="347">
        <v>2020</v>
      </c>
      <c r="O414" s="347">
        <v>2020</v>
      </c>
      <c r="P414" s="347">
        <v>2020</v>
      </c>
      <c r="Q414" s="347">
        <v>2020</v>
      </c>
      <c r="R414" s="347">
        <v>2020</v>
      </c>
      <c r="S414" s="347">
        <v>2020</v>
      </c>
      <c r="T414" s="347">
        <v>2020</v>
      </c>
      <c r="U414" s="347">
        <v>2020</v>
      </c>
      <c r="V414" s="347">
        <v>2020</v>
      </c>
      <c r="W414" s="347">
        <v>2020</v>
      </c>
      <c r="X414" s="347">
        <v>2020</v>
      </c>
      <c r="Y414" s="347">
        <v>2020</v>
      </c>
      <c r="Z414" s="347">
        <v>2020</v>
      </c>
      <c r="AA414" s="347">
        <v>2020</v>
      </c>
      <c r="AB414" s="347">
        <v>2020</v>
      </c>
      <c r="AC414" s="347">
        <v>2020</v>
      </c>
      <c r="AD414" s="347">
        <v>2020</v>
      </c>
      <c r="AE414" s="347">
        <v>2020</v>
      </c>
      <c r="AF414" s="347">
        <v>2020</v>
      </c>
      <c r="AG414" s="347">
        <v>2020</v>
      </c>
      <c r="AH414" s="347">
        <v>2020</v>
      </c>
      <c r="AI414" s="347">
        <v>2020</v>
      </c>
      <c r="AJ414" s="347">
        <v>2020</v>
      </c>
      <c r="AK414" s="347">
        <v>2020</v>
      </c>
      <c r="AL414" s="347">
        <v>2020</v>
      </c>
      <c r="AN414" s="4" t="s">
        <v>651</v>
      </c>
      <c r="AO414" t="str">
        <f>"U-TRF-OILREFBOI_BIO01"</f>
        <v>U-TRF-OILREFBOI_BIO01</v>
      </c>
      <c r="AP414" t="str">
        <f>"UPS Transformation: Oil refinery boilers Biomass - New"</f>
        <v>UPS Transformation: Oil refinery boilers Biomass - New</v>
      </c>
      <c r="AQ414" s="4" t="s">
        <v>387</v>
      </c>
      <c r="AR414" s="4" t="s">
        <v>696</v>
      </c>
      <c r="AS414" s="4"/>
      <c r="AT414" s="4"/>
      <c r="AU414" s="4"/>
    </row>
    <row r="415" spans="1:47">
      <c r="G415" s="4" t="s">
        <v>701</v>
      </c>
      <c r="H415" s="4" t="s">
        <v>661</v>
      </c>
      <c r="I415" s="4">
        <v>2019</v>
      </c>
      <c r="J415" s="4" t="s">
        <v>112</v>
      </c>
      <c r="K415" s="333"/>
      <c r="L415" s="333"/>
      <c r="M415" s="333"/>
      <c r="N415" s="333"/>
      <c r="O415" s="333"/>
      <c r="P415" s="333"/>
      <c r="Q415" s="333"/>
      <c r="R415" s="333"/>
      <c r="S415" s="333"/>
      <c r="T415" s="333"/>
      <c r="U415" s="333"/>
      <c r="V415" s="333"/>
      <c r="W415" s="333"/>
      <c r="X415" s="333"/>
      <c r="Y415" s="333"/>
      <c r="Z415" s="333"/>
      <c r="AA415" s="333"/>
      <c r="AB415" s="333"/>
      <c r="AC415" s="333"/>
      <c r="AD415" s="333"/>
      <c r="AE415" s="333"/>
      <c r="AF415" s="333"/>
      <c r="AG415" s="333"/>
      <c r="AH415" s="333"/>
      <c r="AI415" s="333"/>
      <c r="AJ415" s="333"/>
      <c r="AK415" s="333"/>
      <c r="AL415" s="333"/>
      <c r="AN415" s="4" t="s">
        <v>651</v>
      </c>
      <c r="AO415" t="str">
        <f>"U-TRF-OILREFBOI_COA01"</f>
        <v>U-TRF-OILREFBOI_COA01</v>
      </c>
      <c r="AP415" t="str">
        <f>"UPS Transformation: Oil refinery boilers Coal - New"</f>
        <v>UPS Transformation: Oil refinery boilers Coal - New</v>
      </c>
      <c r="AQ415" s="4" t="s">
        <v>387</v>
      </c>
      <c r="AR415" s="4" t="s">
        <v>696</v>
      </c>
      <c r="AS415" s="4"/>
      <c r="AT415" s="4"/>
      <c r="AU415" s="4"/>
    </row>
    <row r="416" spans="1:47">
      <c r="G416" s="4" t="s">
        <v>701</v>
      </c>
      <c r="H416" s="4" t="s">
        <v>661</v>
      </c>
      <c r="I416" s="4">
        <v>2060</v>
      </c>
      <c r="J416" s="4" t="s">
        <v>112</v>
      </c>
      <c r="K416" s="333"/>
      <c r="L416" s="333"/>
      <c r="M416" s="333"/>
      <c r="N416" s="333"/>
      <c r="O416" s="333"/>
      <c r="P416" s="333"/>
      <c r="Q416" s="333"/>
      <c r="R416" s="333"/>
      <c r="S416" s="333"/>
      <c r="T416" s="333"/>
      <c r="U416" s="333"/>
      <c r="V416" s="333"/>
      <c r="W416" s="333"/>
      <c r="X416" s="333"/>
      <c r="Y416" s="333"/>
      <c r="Z416" s="333"/>
      <c r="AA416" s="333"/>
      <c r="AB416" s="333"/>
      <c r="AC416" s="333"/>
      <c r="AD416" s="333"/>
      <c r="AE416" s="333"/>
      <c r="AF416" s="333"/>
      <c r="AG416" s="333"/>
      <c r="AH416" s="333"/>
      <c r="AI416" s="333"/>
      <c r="AJ416" s="333"/>
      <c r="AK416" s="333"/>
      <c r="AL416" s="333"/>
      <c r="AN416" s="4" t="s">
        <v>651</v>
      </c>
      <c r="AO416" t="str">
        <f>"U-TRF-OILREFBOI_ELC01"</f>
        <v>U-TRF-OILREFBOI_ELC01</v>
      </c>
      <c r="AP416" t="str">
        <f>"UPS Transformation: Oil refinery boilers Electricity - New"</f>
        <v>UPS Transformation: Oil refinery boilers Electricity - New</v>
      </c>
      <c r="AQ416" s="4" t="s">
        <v>387</v>
      </c>
      <c r="AR416" s="4" t="s">
        <v>696</v>
      </c>
      <c r="AS416" s="4"/>
      <c r="AT416" s="4"/>
      <c r="AU416" s="4"/>
    </row>
    <row r="417" spans="1:47">
      <c r="G417" s="4" t="s">
        <v>701</v>
      </c>
      <c r="H417" s="4" t="s">
        <v>661</v>
      </c>
      <c r="I417" s="4">
        <v>0</v>
      </c>
      <c r="J417" s="4"/>
      <c r="K417" s="333"/>
      <c r="L417" s="333"/>
      <c r="M417" s="333"/>
      <c r="N417" s="333"/>
      <c r="O417" s="333"/>
      <c r="P417" s="333"/>
      <c r="Q417" s="333"/>
      <c r="R417" s="333"/>
      <c r="S417" s="333"/>
      <c r="T417" s="333"/>
      <c r="U417" s="333"/>
      <c r="V417" s="333"/>
      <c r="W417" s="333"/>
      <c r="X417" s="333"/>
      <c r="Y417" s="333"/>
      <c r="Z417" s="333"/>
      <c r="AA417" s="333"/>
      <c r="AB417" s="333"/>
      <c r="AC417" s="333"/>
      <c r="AD417" s="333"/>
      <c r="AE417" s="333"/>
      <c r="AF417" s="333"/>
      <c r="AG417" s="333"/>
      <c r="AH417" s="333"/>
      <c r="AI417" s="333"/>
      <c r="AJ417" s="333"/>
      <c r="AK417" s="333"/>
      <c r="AL417" s="333"/>
      <c r="AN417" s="4" t="s">
        <v>651</v>
      </c>
      <c r="AO417" t="str">
        <f>"U-TRF-OILREFBOI_HET01"</f>
        <v>U-TRF-OILREFBOI_HET01</v>
      </c>
      <c r="AP417" t="str">
        <f>"UPS Transformation: Oil refinery boilers Heat - New"</f>
        <v>UPS Transformation: Oil refinery boilers Heat - New</v>
      </c>
      <c r="AQ417" s="4" t="s">
        <v>387</v>
      </c>
      <c r="AR417" s="4" t="s">
        <v>696</v>
      </c>
      <c r="AS417" s="4"/>
      <c r="AT417" s="4"/>
      <c r="AU417" s="4"/>
    </row>
    <row r="418" spans="1:47">
      <c r="G418" s="4" t="s">
        <v>687</v>
      </c>
      <c r="H418" s="4"/>
      <c r="I418" s="4"/>
      <c r="J418" s="4" t="s">
        <v>2663</v>
      </c>
      <c r="K418" s="174">
        <f>'Key inputs_Refineries'!$C$172*10^3</f>
        <v>1387.5840000000001</v>
      </c>
      <c r="L418" s="174">
        <f>'Key inputs_Refineries'!$C$172*10^3</f>
        <v>1387.5840000000001</v>
      </c>
      <c r="M418" s="174">
        <f>'Key inputs_Refineries'!$C$172*10^3</f>
        <v>1387.5840000000001</v>
      </c>
      <c r="N418" s="174">
        <f>'Key inputs_Refineries'!$C$172*10^3</f>
        <v>1387.5840000000001</v>
      </c>
      <c r="O418" s="174">
        <f>'Key inputs_Refineries'!$C$172*10^3</f>
        <v>1387.5840000000001</v>
      </c>
      <c r="P418" s="174">
        <f>'Key inputs_Refineries'!$C$172*10^3</f>
        <v>1387.5840000000001</v>
      </c>
      <c r="Q418" s="174">
        <f>'Key inputs_Refineries'!$C$172*10^3</f>
        <v>1387.5840000000001</v>
      </c>
      <c r="R418" s="174">
        <f>'Key inputs_Refineries'!$C$172*10^3</f>
        <v>1387.5840000000001</v>
      </c>
      <c r="S418" s="174">
        <f>'Key inputs_Refineries'!$C$172*10^3</f>
        <v>1387.5840000000001</v>
      </c>
      <c r="T418" s="174">
        <f>'Key inputs_Refineries'!$C$172*10^3</f>
        <v>1387.5840000000001</v>
      </c>
      <c r="U418" s="174">
        <f>'Key inputs_Refineries'!$C$172*10^3</f>
        <v>1387.5840000000001</v>
      </c>
      <c r="V418" s="174">
        <f>'Key inputs_Refineries'!$C$172*10^3</f>
        <v>1387.5840000000001</v>
      </c>
      <c r="W418" s="174">
        <f>'Key inputs_Refineries'!$C$172*10^3</f>
        <v>1387.5840000000001</v>
      </c>
      <c r="X418" s="174">
        <f>'Key inputs_Refineries'!$C$172*10^3</f>
        <v>1387.5840000000001</v>
      </c>
      <c r="Y418" s="174">
        <f>'Key inputs_Refineries'!$C$172*10^3</f>
        <v>1387.5840000000001</v>
      </c>
      <c r="Z418" s="174">
        <f>'Key inputs_Refineries'!$C$172*10^3</f>
        <v>1387.5840000000001</v>
      </c>
      <c r="AA418" s="174">
        <f>'Key inputs_Refineries'!$C$172*10^3</f>
        <v>1387.5840000000001</v>
      </c>
      <c r="AB418" s="174">
        <f>'Key inputs_Refineries'!$C$172*10^3</f>
        <v>1387.5840000000001</v>
      </c>
      <c r="AC418" s="174">
        <f>'Key inputs_Refineries'!$C$172*10^3</f>
        <v>1387.5840000000001</v>
      </c>
      <c r="AD418" s="174">
        <f>'Key inputs_Refineries'!$C$172*10^3</f>
        <v>1387.5840000000001</v>
      </c>
      <c r="AE418" s="174">
        <f>'Key inputs_Refineries'!$C$172*10^3</f>
        <v>1387.5840000000001</v>
      </c>
      <c r="AF418" s="174">
        <f>'Key inputs_Refineries'!$C$172*10^3</f>
        <v>1387.5840000000001</v>
      </c>
      <c r="AG418" s="174">
        <f>'Key inputs_Refineries'!$C$172*10^3</f>
        <v>1387.5840000000001</v>
      </c>
      <c r="AH418" s="174">
        <f>'Key inputs_Refineries'!$C$172*10^3</f>
        <v>1387.5840000000001</v>
      </c>
      <c r="AI418" s="174">
        <f>'Key inputs_Refineries'!$C$172*10^3</f>
        <v>1387.5840000000001</v>
      </c>
      <c r="AJ418" s="174">
        <f>'Key inputs_Refineries'!$C$172*10^3</f>
        <v>1387.5840000000001</v>
      </c>
      <c r="AK418" s="174">
        <f>'Key inputs_Refineries'!$C$172*10^3</f>
        <v>1387.5840000000001</v>
      </c>
      <c r="AL418" s="174">
        <f>'Key inputs_Refineries'!$C$172*10^3</f>
        <v>1387.5840000000001</v>
      </c>
      <c r="AN418" s="4" t="s">
        <v>651</v>
      </c>
      <c r="AO418" t="str">
        <f>"U-TRF-OILREFHET_GAS01"</f>
        <v>U-TRF-OILREFHET_GAS01</v>
      </c>
      <c r="AP418" t="str">
        <f>"UPS Transformation: Oil refinery process heat Gas - New"</f>
        <v>UPS Transformation: Oil refinery process heat Gas - New</v>
      </c>
      <c r="AQ418" s="4" t="s">
        <v>387</v>
      </c>
      <c r="AR418" s="4" t="s">
        <v>696</v>
      </c>
      <c r="AS418" s="4"/>
      <c r="AT418" s="4"/>
      <c r="AU418" s="4"/>
    </row>
    <row r="419" spans="1:47">
      <c r="G419" s="4" t="s">
        <v>689</v>
      </c>
      <c r="H419" s="4"/>
      <c r="I419" s="4"/>
      <c r="J419" s="4" t="s">
        <v>2663</v>
      </c>
      <c r="K419" s="174">
        <f>'Key inputs_Refineries'!$D$172*10^3</f>
        <v>12.614400000000002</v>
      </c>
      <c r="L419" s="174">
        <f>'Key inputs_Refineries'!$D$172*10^3</f>
        <v>12.614400000000002</v>
      </c>
      <c r="M419" s="174">
        <f>'Key inputs_Refineries'!$D$172*10^3</f>
        <v>12.614400000000002</v>
      </c>
      <c r="N419" s="174">
        <f>'Key inputs_Refineries'!$D$172*10^3</f>
        <v>12.614400000000002</v>
      </c>
      <c r="O419" s="174">
        <f>'Key inputs_Refineries'!$D$172*10^3</f>
        <v>12.614400000000002</v>
      </c>
      <c r="P419" s="174">
        <f>'Key inputs_Refineries'!$D$172*10^3</f>
        <v>12.614400000000002</v>
      </c>
      <c r="Q419" s="174">
        <f>'Key inputs_Refineries'!$D$172*10^3</f>
        <v>12.614400000000002</v>
      </c>
      <c r="R419" s="174">
        <f>'Key inputs_Refineries'!$D$172*10^3</f>
        <v>12.614400000000002</v>
      </c>
      <c r="S419" s="174">
        <f>'Key inputs_Refineries'!$D$172*10^3</f>
        <v>12.614400000000002</v>
      </c>
      <c r="T419" s="174">
        <f>'Key inputs_Refineries'!$D$172*10^3</f>
        <v>12.614400000000002</v>
      </c>
      <c r="U419" s="174">
        <f>'Key inputs_Refineries'!$D$172*10^3</f>
        <v>12.614400000000002</v>
      </c>
      <c r="V419" s="174">
        <f>'Key inputs_Refineries'!$D$172*10^3</f>
        <v>12.614400000000002</v>
      </c>
      <c r="W419" s="174">
        <f>'Key inputs_Refineries'!$D$172*10^3</f>
        <v>12.614400000000002</v>
      </c>
      <c r="X419" s="174">
        <f>'Key inputs_Refineries'!$D$172*10^3</f>
        <v>12.614400000000002</v>
      </c>
      <c r="Y419" s="174">
        <f>'Key inputs_Refineries'!$D$172*10^3</f>
        <v>12.614400000000002</v>
      </c>
      <c r="Z419" s="174">
        <f>'Key inputs_Refineries'!$D$172*10^3</f>
        <v>12.614400000000002</v>
      </c>
      <c r="AA419" s="174">
        <f>'Key inputs_Refineries'!$D$172*10^3</f>
        <v>12.614400000000002</v>
      </c>
      <c r="AB419" s="174">
        <f>'Key inputs_Refineries'!$D$172*10^3</f>
        <v>12.614400000000002</v>
      </c>
      <c r="AC419" s="174">
        <f>'Key inputs_Refineries'!$D$172*10^3</f>
        <v>12.614400000000002</v>
      </c>
      <c r="AD419" s="174">
        <f>'Key inputs_Refineries'!$D$172*10^3</f>
        <v>12.614400000000002</v>
      </c>
      <c r="AE419" s="174">
        <f>'Key inputs_Refineries'!$D$172*10^3</f>
        <v>12.614400000000002</v>
      </c>
      <c r="AF419" s="174">
        <f>'Key inputs_Refineries'!$D$172*10^3</f>
        <v>12.614400000000002</v>
      </c>
      <c r="AG419" s="174">
        <f>'Key inputs_Refineries'!$D$172*10^3</f>
        <v>12.614400000000002</v>
      </c>
      <c r="AH419" s="174">
        <f>'Key inputs_Refineries'!$D$172*10^3</f>
        <v>12.614400000000002</v>
      </c>
      <c r="AI419" s="174">
        <f>'Key inputs_Refineries'!$D$172*10^3</f>
        <v>12.614400000000002</v>
      </c>
      <c r="AJ419" s="174">
        <f>'Key inputs_Refineries'!$D$172*10^3</f>
        <v>12.614400000000002</v>
      </c>
      <c r="AK419" s="174">
        <f>'Key inputs_Refineries'!$D$172*10^3</f>
        <v>12.614400000000002</v>
      </c>
      <c r="AL419" s="174">
        <f>'Key inputs_Refineries'!$D$172*10^3</f>
        <v>12.614400000000002</v>
      </c>
      <c r="AN419" s="4" t="s">
        <v>651</v>
      </c>
      <c r="AO419" t="str">
        <f>"U-TRF-OILREFHET_OIL01"</f>
        <v>U-TRF-OILREFHET_OIL01</v>
      </c>
      <c r="AP419" t="str">
        <f>"UPS Transformation: Oil refinery process heat Petroleum product - New"</f>
        <v>UPS Transformation: Oil refinery process heat Petroleum product - New</v>
      </c>
      <c r="AQ419" s="4" t="s">
        <v>387</v>
      </c>
      <c r="AR419" s="4" t="s">
        <v>696</v>
      </c>
      <c r="AS419" s="4"/>
      <c r="AT419" s="4"/>
      <c r="AU419" s="4"/>
    </row>
    <row r="420" spans="1:47">
      <c r="G420" s="4" t="s">
        <v>675</v>
      </c>
      <c r="H420" s="4"/>
      <c r="I420" s="4"/>
      <c r="J420" s="4" t="s">
        <v>2662</v>
      </c>
      <c r="AN420" s="4" t="s">
        <v>651</v>
      </c>
      <c r="AO420" t="str">
        <f>"U-TRF-OILREFHET_BIO01"</f>
        <v>U-TRF-OILREFHET_BIO01</v>
      </c>
      <c r="AP420" t="str">
        <f>"UPS Transformation: Oil refinery process heat Biomass - New"</f>
        <v>UPS Transformation: Oil refinery process heat Biomass - New</v>
      </c>
      <c r="AQ420" s="4" t="s">
        <v>387</v>
      </c>
      <c r="AR420" s="4" t="s">
        <v>696</v>
      </c>
      <c r="AS420" s="4"/>
      <c r="AT420" s="4"/>
      <c r="AU420" s="4"/>
    </row>
    <row r="421" spans="1:47">
      <c r="G421" s="4" t="s">
        <v>630</v>
      </c>
      <c r="H421" s="4"/>
      <c r="I421" s="4"/>
      <c r="J421" s="4" t="s">
        <v>2666</v>
      </c>
      <c r="K421" s="419">
        <f>'Key inputs_Refineries'!$H$172</f>
        <v>0.82</v>
      </c>
      <c r="L421" s="419">
        <f>'Key inputs_Refineries'!$H$172</f>
        <v>0.82</v>
      </c>
      <c r="M421" s="419">
        <f>'Key inputs_Refineries'!$H$172</f>
        <v>0.82</v>
      </c>
      <c r="N421" s="419">
        <f>'Key inputs_Refineries'!$H$172</f>
        <v>0.82</v>
      </c>
      <c r="O421" s="419">
        <f>'Key inputs_Refineries'!$H$172</f>
        <v>0.82</v>
      </c>
      <c r="P421" s="419">
        <f>'Key inputs_Refineries'!$H$172</f>
        <v>0.82</v>
      </c>
      <c r="Q421" s="419">
        <f>'Key inputs_Refineries'!$H$172</f>
        <v>0.82</v>
      </c>
      <c r="R421" s="419">
        <f>'Key inputs_Refineries'!$H$172</f>
        <v>0.82</v>
      </c>
      <c r="S421" s="419">
        <f>'Key inputs_Refineries'!$H$172</f>
        <v>0.82</v>
      </c>
      <c r="T421" s="419">
        <f>'Key inputs_Refineries'!$H$172</f>
        <v>0.82</v>
      </c>
      <c r="U421" s="419">
        <f>'Key inputs_Refineries'!$H$172</f>
        <v>0.82</v>
      </c>
      <c r="V421" s="419">
        <f>'Key inputs_Refineries'!$H$172</f>
        <v>0.82</v>
      </c>
      <c r="W421" s="419">
        <f>'Key inputs_Refineries'!$H$172</f>
        <v>0.82</v>
      </c>
      <c r="X421" s="419">
        <f>'Key inputs_Refineries'!$H$172</f>
        <v>0.82</v>
      </c>
      <c r="Y421" s="419">
        <f>'Key inputs_Refineries'!$H$172</f>
        <v>0.82</v>
      </c>
      <c r="Z421" s="419">
        <f>'Key inputs_Refineries'!$H$172</f>
        <v>0.82</v>
      </c>
      <c r="AA421" s="419">
        <f>'Key inputs_Refineries'!$H$172</f>
        <v>0.82</v>
      </c>
      <c r="AB421" s="419">
        <f>'Key inputs_Refineries'!$H$172</f>
        <v>0.82</v>
      </c>
      <c r="AC421" s="419">
        <f>'Key inputs_Refineries'!$H$172</f>
        <v>0.82</v>
      </c>
      <c r="AD421" s="419">
        <f>'Key inputs_Refineries'!$H$172</f>
        <v>0.82</v>
      </c>
      <c r="AE421" s="419">
        <f>'Key inputs_Refineries'!$H$172</f>
        <v>0.82</v>
      </c>
      <c r="AF421" s="419">
        <f>'Key inputs_Refineries'!$H$172</f>
        <v>0.82</v>
      </c>
      <c r="AG421" s="419">
        <f>'Key inputs_Refineries'!$H$172</f>
        <v>0.82</v>
      </c>
      <c r="AH421" s="419">
        <f>'Key inputs_Refineries'!$H$172</f>
        <v>0.82</v>
      </c>
      <c r="AI421" s="419">
        <f>'Key inputs_Refineries'!$H$172</f>
        <v>0.82</v>
      </c>
      <c r="AJ421" s="419">
        <f>'Key inputs_Refineries'!$H$172</f>
        <v>0.82</v>
      </c>
      <c r="AK421" s="419">
        <f>'Key inputs_Refineries'!$H$172</f>
        <v>0.82</v>
      </c>
      <c r="AL421" s="419">
        <f>'Key inputs_Refineries'!$H$172</f>
        <v>0.82</v>
      </c>
      <c r="AN421" s="4" t="s">
        <v>651</v>
      </c>
      <c r="AO421" t="str">
        <f>"U-TRF-OILREFHET_COA01"</f>
        <v>U-TRF-OILREFHET_COA01</v>
      </c>
      <c r="AP421" t="str">
        <f>"UPS Transformation: Oil refinery process heat Coal - New"</f>
        <v>UPS Transformation: Oil refinery process heat Coal - New</v>
      </c>
      <c r="AQ421" s="4" t="s">
        <v>387</v>
      </c>
      <c r="AR421" s="4" t="s">
        <v>696</v>
      </c>
      <c r="AS421" s="4"/>
      <c r="AT421" s="4"/>
      <c r="AU421" s="4"/>
    </row>
    <row r="422" spans="1:47">
      <c r="C422" t="str">
        <f>Commodities!$C$92</f>
        <v>UPSGAS</v>
      </c>
      <c r="G422" s="4" t="s">
        <v>702</v>
      </c>
      <c r="H422" t="s">
        <v>661</v>
      </c>
      <c r="I422">
        <v>2019</v>
      </c>
      <c r="J422" t="s">
        <v>650</v>
      </c>
      <c r="K422" s="426">
        <v>1</v>
      </c>
      <c r="L422" s="426">
        <v>1</v>
      </c>
      <c r="M422" s="426">
        <v>1</v>
      </c>
      <c r="N422" s="426">
        <v>1</v>
      </c>
      <c r="O422" s="426">
        <v>1</v>
      </c>
      <c r="P422" s="426">
        <v>1</v>
      </c>
      <c r="Q422" s="426">
        <v>1</v>
      </c>
      <c r="R422" s="426">
        <v>1</v>
      </c>
      <c r="S422" s="426">
        <v>1</v>
      </c>
      <c r="T422" s="426">
        <v>1</v>
      </c>
      <c r="U422" s="426">
        <v>1</v>
      </c>
      <c r="V422" s="426">
        <v>1</v>
      </c>
      <c r="W422" s="426">
        <v>1</v>
      </c>
      <c r="X422" s="426">
        <v>1</v>
      </c>
      <c r="Y422" s="426">
        <v>1</v>
      </c>
      <c r="Z422" s="426">
        <v>1</v>
      </c>
      <c r="AA422" s="426">
        <v>1</v>
      </c>
      <c r="AB422" s="426">
        <v>1</v>
      </c>
      <c r="AC422" s="426">
        <v>1</v>
      </c>
      <c r="AD422" s="426">
        <v>1</v>
      </c>
      <c r="AE422" s="426">
        <v>1</v>
      </c>
      <c r="AF422" s="426">
        <v>1</v>
      </c>
      <c r="AG422" s="426">
        <v>1</v>
      </c>
      <c r="AH422" s="426">
        <v>1</v>
      </c>
      <c r="AI422" s="426">
        <v>1</v>
      </c>
      <c r="AJ422" s="426">
        <v>1</v>
      </c>
      <c r="AK422" s="426">
        <v>1</v>
      </c>
      <c r="AL422" s="426">
        <v>1</v>
      </c>
      <c r="AN422" s="4" t="s">
        <v>651</v>
      </c>
      <c r="AO422" t="str">
        <f>"U-TRF-OILREFHET_ELC01"</f>
        <v>U-TRF-OILREFHET_ELC01</v>
      </c>
      <c r="AP422" t="str">
        <f>"UPS Transformation: Oil refinery process heat Electricity - New"</f>
        <v>UPS Transformation: Oil refinery process heat Electricity - New</v>
      </c>
      <c r="AQ422" s="4" t="s">
        <v>387</v>
      </c>
      <c r="AR422" s="4" t="s">
        <v>696</v>
      </c>
      <c r="AS422" s="4"/>
      <c r="AT422" s="4"/>
      <c r="AU422" s="4"/>
    </row>
    <row r="423" spans="1:47">
      <c r="C423" t="str">
        <f>Commodities!$C$88</f>
        <v>UPSCOG</v>
      </c>
      <c r="G423" s="4" t="s">
        <v>702</v>
      </c>
      <c r="H423" t="s">
        <v>661</v>
      </c>
      <c r="I423">
        <v>2019</v>
      </c>
      <c r="J423" t="s">
        <v>650</v>
      </c>
      <c r="K423" s="426">
        <v>1</v>
      </c>
      <c r="L423" s="426">
        <v>1</v>
      </c>
      <c r="M423" s="426">
        <v>1</v>
      </c>
      <c r="N423" s="426">
        <v>1</v>
      </c>
      <c r="O423" s="426">
        <v>1</v>
      </c>
      <c r="P423" s="426">
        <v>1</v>
      </c>
      <c r="Q423" s="426">
        <v>1</v>
      </c>
      <c r="R423" s="426">
        <v>1</v>
      </c>
      <c r="S423" s="426">
        <v>1</v>
      </c>
      <c r="T423" s="426">
        <v>1</v>
      </c>
      <c r="U423" s="426">
        <v>1</v>
      </c>
      <c r="V423" s="426">
        <v>1</v>
      </c>
      <c r="W423" s="426">
        <v>1</v>
      </c>
      <c r="X423" s="426">
        <v>1</v>
      </c>
      <c r="Y423" s="426">
        <v>1</v>
      </c>
      <c r="Z423" s="426">
        <v>1</v>
      </c>
      <c r="AA423" s="426">
        <v>1</v>
      </c>
      <c r="AB423" s="426">
        <v>1</v>
      </c>
      <c r="AC423" s="426">
        <v>1</v>
      </c>
      <c r="AD423" s="426">
        <v>1</v>
      </c>
      <c r="AE423" s="426">
        <v>1</v>
      </c>
      <c r="AF423" s="426">
        <v>1</v>
      </c>
      <c r="AG423" s="426">
        <v>1</v>
      </c>
      <c r="AH423" s="426">
        <v>1</v>
      </c>
      <c r="AI423" s="426">
        <v>1</v>
      </c>
      <c r="AJ423" s="426">
        <v>1</v>
      </c>
      <c r="AK423" s="426">
        <v>1</v>
      </c>
      <c r="AL423" s="426">
        <v>1</v>
      </c>
      <c r="AN423" s="4" t="s">
        <v>651</v>
      </c>
      <c r="AO423" t="str">
        <f>"U-TRF-OILREFHET_HET01"</f>
        <v>U-TRF-OILREFHET_HET01</v>
      </c>
      <c r="AP423" t="str">
        <f>"UPS Transformation: Oil refinery process heat Heat - New"</f>
        <v>UPS Transformation: Oil refinery process heat Heat - New</v>
      </c>
      <c r="AQ423" s="4" t="s">
        <v>387</v>
      </c>
      <c r="AR423" s="4" t="s">
        <v>696</v>
      </c>
      <c r="AS423" s="4"/>
      <c r="AT423" s="4"/>
      <c r="AU423" s="4"/>
    </row>
    <row r="424" spans="1:47">
      <c r="C424" t="str">
        <f>Commodities!$C$84</f>
        <v>UPSBGS</v>
      </c>
      <c r="G424" s="4" t="s">
        <v>702</v>
      </c>
      <c r="H424" t="s">
        <v>661</v>
      </c>
      <c r="I424">
        <v>2019</v>
      </c>
      <c r="J424" t="s">
        <v>650</v>
      </c>
      <c r="K424" s="426">
        <v>0</v>
      </c>
      <c r="L424" s="426">
        <v>0</v>
      </c>
      <c r="M424" s="426">
        <v>0</v>
      </c>
      <c r="N424" s="426">
        <v>0</v>
      </c>
      <c r="O424" s="426">
        <v>0</v>
      </c>
      <c r="P424" s="426">
        <v>0</v>
      </c>
      <c r="Q424" s="426">
        <v>0</v>
      </c>
      <c r="R424" s="426">
        <v>0</v>
      </c>
      <c r="S424" s="426">
        <v>0</v>
      </c>
      <c r="T424" s="426">
        <v>0</v>
      </c>
      <c r="U424" s="426">
        <v>0</v>
      </c>
      <c r="V424" s="426">
        <v>0</v>
      </c>
      <c r="W424" s="426">
        <v>0</v>
      </c>
      <c r="X424" s="426">
        <v>0</v>
      </c>
      <c r="Y424" s="426">
        <v>0</v>
      </c>
      <c r="Z424" s="426">
        <v>0</v>
      </c>
      <c r="AA424" s="426">
        <v>0</v>
      </c>
      <c r="AB424" s="426">
        <v>0</v>
      </c>
      <c r="AC424" s="426">
        <v>0</v>
      </c>
      <c r="AD424" s="426">
        <v>0</v>
      </c>
      <c r="AE424" s="426">
        <v>0</v>
      </c>
      <c r="AF424" s="426">
        <v>0</v>
      </c>
      <c r="AG424" s="426">
        <v>0</v>
      </c>
      <c r="AH424" s="426">
        <v>0</v>
      </c>
      <c r="AI424" s="426">
        <v>0</v>
      </c>
      <c r="AJ424" s="426">
        <v>0</v>
      </c>
      <c r="AK424" s="426">
        <v>0</v>
      </c>
      <c r="AL424" s="426">
        <v>0</v>
      </c>
      <c r="AN424" s="4" t="s">
        <v>651</v>
      </c>
      <c r="AO424" t="str">
        <f>"U-TRF-OILREFOTH_GAS01"</f>
        <v>U-TRF-OILREFOTH_GAS01</v>
      </c>
      <c r="AP424" t="str">
        <f>"UPS Transformation: Oil refinery other processes Gas - New"</f>
        <v>UPS Transformation: Oil refinery other processes Gas - New</v>
      </c>
      <c r="AQ424" s="4" t="s">
        <v>387</v>
      </c>
      <c r="AR424" s="4" t="s">
        <v>696</v>
      </c>
      <c r="AS424" s="4"/>
      <c r="AT424" s="4"/>
      <c r="AU424" s="4"/>
    </row>
    <row r="425" spans="1:47">
      <c r="C425" t="str">
        <f>Commodities!$C$92</f>
        <v>UPSGAS</v>
      </c>
      <c r="G425" s="4" t="s">
        <v>702</v>
      </c>
      <c r="H425" t="s">
        <v>661</v>
      </c>
      <c r="I425">
        <v>2025</v>
      </c>
      <c r="J425" t="s">
        <v>650</v>
      </c>
      <c r="K425" s="426">
        <v>1</v>
      </c>
      <c r="L425" s="426">
        <v>1</v>
      </c>
      <c r="M425" s="426">
        <v>1</v>
      </c>
      <c r="N425" s="426">
        <v>1</v>
      </c>
      <c r="O425" s="426">
        <v>1</v>
      </c>
      <c r="P425" s="426">
        <v>1</v>
      </c>
      <c r="Q425" s="426">
        <v>1</v>
      </c>
      <c r="R425" s="426">
        <v>1</v>
      </c>
      <c r="S425" s="426">
        <v>1</v>
      </c>
      <c r="T425" s="426">
        <v>1</v>
      </c>
      <c r="U425" s="426">
        <v>1</v>
      </c>
      <c r="V425" s="426">
        <v>1</v>
      </c>
      <c r="W425" s="426">
        <v>1</v>
      </c>
      <c r="X425" s="426">
        <v>1</v>
      </c>
      <c r="Y425" s="426">
        <v>1</v>
      </c>
      <c r="Z425" s="426">
        <v>1</v>
      </c>
      <c r="AA425" s="426">
        <v>1</v>
      </c>
      <c r="AB425" s="426">
        <v>1</v>
      </c>
      <c r="AC425" s="426">
        <v>1</v>
      </c>
      <c r="AD425" s="426">
        <v>1</v>
      </c>
      <c r="AE425" s="426">
        <v>1</v>
      </c>
      <c r="AF425" s="426">
        <v>1</v>
      </c>
      <c r="AG425" s="426">
        <v>1</v>
      </c>
      <c r="AH425" s="426">
        <v>1</v>
      </c>
      <c r="AI425" s="426">
        <v>1</v>
      </c>
      <c r="AJ425" s="426">
        <v>1</v>
      </c>
      <c r="AK425" s="426">
        <v>1</v>
      </c>
      <c r="AL425" s="426">
        <v>1</v>
      </c>
      <c r="AN425" s="4" t="s">
        <v>651</v>
      </c>
      <c r="AO425" t="str">
        <f>"U-TRF-OILREFOTH_OIL01"</f>
        <v>U-TRF-OILREFOTH_OIL01</v>
      </c>
      <c r="AP425" t="str">
        <f>"UPS Transformation: Oil refinery other processes Petroleum product - New"</f>
        <v>UPS Transformation: Oil refinery other processes Petroleum product - New</v>
      </c>
      <c r="AQ425" s="4" t="s">
        <v>387</v>
      </c>
      <c r="AR425" s="4" t="s">
        <v>696</v>
      </c>
      <c r="AS425" s="4"/>
      <c r="AT425" s="4"/>
      <c r="AU425" s="4"/>
    </row>
    <row r="426" spans="1:47">
      <c r="C426" t="str">
        <f>Commodities!$C$88</f>
        <v>UPSCOG</v>
      </c>
      <c r="G426" s="4" t="s">
        <v>702</v>
      </c>
      <c r="H426" t="s">
        <v>661</v>
      </c>
      <c r="I426">
        <v>2025</v>
      </c>
      <c r="J426" t="s">
        <v>650</v>
      </c>
      <c r="K426" s="426">
        <v>1</v>
      </c>
      <c r="L426" s="426">
        <v>1</v>
      </c>
      <c r="M426" s="426">
        <v>1</v>
      </c>
      <c r="N426" s="426">
        <v>1</v>
      </c>
      <c r="O426" s="426">
        <v>1</v>
      </c>
      <c r="P426" s="426">
        <v>1</v>
      </c>
      <c r="Q426" s="426">
        <v>1</v>
      </c>
      <c r="R426" s="426">
        <v>1</v>
      </c>
      <c r="S426" s="426">
        <v>1</v>
      </c>
      <c r="T426" s="426">
        <v>1</v>
      </c>
      <c r="U426" s="426">
        <v>1</v>
      </c>
      <c r="V426" s="426">
        <v>1</v>
      </c>
      <c r="W426" s="426">
        <v>1</v>
      </c>
      <c r="X426" s="426">
        <v>1</v>
      </c>
      <c r="Y426" s="426">
        <v>1</v>
      </c>
      <c r="Z426" s="426">
        <v>1</v>
      </c>
      <c r="AA426" s="426">
        <v>1</v>
      </c>
      <c r="AB426" s="426">
        <v>1</v>
      </c>
      <c r="AC426" s="426">
        <v>1</v>
      </c>
      <c r="AD426" s="426">
        <v>1</v>
      </c>
      <c r="AE426" s="426">
        <v>1</v>
      </c>
      <c r="AF426" s="426">
        <v>1</v>
      </c>
      <c r="AG426" s="426">
        <v>1</v>
      </c>
      <c r="AH426" s="426">
        <v>1</v>
      </c>
      <c r="AI426" s="426">
        <v>1</v>
      </c>
      <c r="AJ426" s="426">
        <v>1</v>
      </c>
      <c r="AK426" s="426">
        <v>1</v>
      </c>
      <c r="AL426" s="426">
        <v>1</v>
      </c>
      <c r="AN426" s="4" t="s">
        <v>651</v>
      </c>
      <c r="AO426" t="str">
        <f>"U-TRF-OILREFOTH_BIO01"</f>
        <v>U-TRF-OILREFOTH_BIO01</v>
      </c>
      <c r="AP426" t="str">
        <f>"UPS Transformation: Oil refinery other processes Biomass - New"</f>
        <v>UPS Transformation: Oil refinery other processes Biomass - New</v>
      </c>
      <c r="AQ426" s="4" t="s">
        <v>387</v>
      </c>
      <c r="AR426" s="4" t="s">
        <v>696</v>
      </c>
      <c r="AS426" s="4"/>
      <c r="AT426" s="4"/>
      <c r="AU426" s="4"/>
    </row>
    <row r="427" spans="1:47">
      <c r="C427" t="str">
        <f>Commodities!$C$84</f>
        <v>UPSBGS</v>
      </c>
      <c r="G427" s="4" t="s">
        <v>702</v>
      </c>
      <c r="H427" t="s">
        <v>661</v>
      </c>
      <c r="I427">
        <v>2025</v>
      </c>
      <c r="J427" t="s">
        <v>650</v>
      </c>
      <c r="K427" s="426">
        <v>1</v>
      </c>
      <c r="L427" s="426">
        <v>1</v>
      </c>
      <c r="M427" s="426">
        <v>1</v>
      </c>
      <c r="N427" s="426">
        <v>1</v>
      </c>
      <c r="O427" s="426">
        <v>1</v>
      </c>
      <c r="P427" s="426">
        <v>1</v>
      </c>
      <c r="Q427" s="426">
        <v>1</v>
      </c>
      <c r="R427" s="426">
        <v>1</v>
      </c>
      <c r="S427" s="426">
        <v>1</v>
      </c>
      <c r="T427" s="426">
        <v>1</v>
      </c>
      <c r="U427" s="426">
        <v>1</v>
      </c>
      <c r="V427" s="426">
        <v>1</v>
      </c>
      <c r="W427" s="426">
        <v>1</v>
      </c>
      <c r="X427" s="426">
        <v>1</v>
      </c>
      <c r="Y427" s="426">
        <v>1</v>
      </c>
      <c r="Z427" s="426">
        <v>1</v>
      </c>
      <c r="AA427" s="426">
        <v>1</v>
      </c>
      <c r="AB427" s="426">
        <v>1</v>
      </c>
      <c r="AC427" s="426">
        <v>1</v>
      </c>
      <c r="AD427" s="426">
        <v>1</v>
      </c>
      <c r="AE427" s="426">
        <v>1</v>
      </c>
      <c r="AF427" s="426">
        <v>1</v>
      </c>
      <c r="AG427" s="426">
        <v>1</v>
      </c>
      <c r="AH427" s="426">
        <v>1</v>
      </c>
      <c r="AI427" s="426">
        <v>1</v>
      </c>
      <c r="AJ427" s="426">
        <v>1</v>
      </c>
      <c r="AK427" s="426">
        <v>1</v>
      </c>
      <c r="AL427" s="426">
        <v>1</v>
      </c>
      <c r="AN427" s="4" t="s">
        <v>651</v>
      </c>
      <c r="AO427" t="str">
        <f>"U-TRF-OILREFOTH_COA01"</f>
        <v>U-TRF-OILREFOTH_COA01</v>
      </c>
      <c r="AP427" t="str">
        <f>"UPS Transformation: Oil refinery other processes Coal - New"</f>
        <v>UPS Transformation: Oil refinery other processes Coal - New</v>
      </c>
      <c r="AQ427" s="4" t="s">
        <v>387</v>
      </c>
      <c r="AR427" s="4" t="s">
        <v>696</v>
      </c>
      <c r="AS427" s="4"/>
      <c r="AT427" s="4"/>
      <c r="AU427" s="4"/>
    </row>
    <row r="428" spans="1:47">
      <c r="C428" t="str">
        <f>Commodities!$C$92</f>
        <v>UPSGAS</v>
      </c>
      <c r="G428" s="4" t="s">
        <v>702</v>
      </c>
      <c r="H428" t="s">
        <v>661</v>
      </c>
      <c r="I428">
        <v>2050</v>
      </c>
      <c r="J428" t="s">
        <v>650</v>
      </c>
      <c r="K428" s="426">
        <v>1</v>
      </c>
      <c r="L428" s="426">
        <v>1</v>
      </c>
      <c r="M428" s="426">
        <v>1</v>
      </c>
      <c r="N428" s="426">
        <v>1</v>
      </c>
      <c r="O428" s="426">
        <v>1</v>
      </c>
      <c r="P428" s="426">
        <v>1</v>
      </c>
      <c r="Q428" s="426">
        <v>1</v>
      </c>
      <c r="R428" s="426">
        <v>1</v>
      </c>
      <c r="S428" s="426">
        <v>1</v>
      </c>
      <c r="T428" s="426">
        <v>1</v>
      </c>
      <c r="U428" s="426">
        <v>1</v>
      </c>
      <c r="V428" s="426">
        <v>1</v>
      </c>
      <c r="W428" s="426">
        <v>1</v>
      </c>
      <c r="X428" s="426">
        <v>1</v>
      </c>
      <c r="Y428" s="426">
        <v>1</v>
      </c>
      <c r="Z428" s="426">
        <v>1</v>
      </c>
      <c r="AA428" s="426">
        <v>1</v>
      </c>
      <c r="AB428" s="426">
        <v>1</v>
      </c>
      <c r="AC428" s="426">
        <v>1</v>
      </c>
      <c r="AD428" s="426">
        <v>1</v>
      </c>
      <c r="AE428" s="426">
        <v>1</v>
      </c>
      <c r="AF428" s="426">
        <v>1</v>
      </c>
      <c r="AG428" s="426">
        <v>1</v>
      </c>
      <c r="AH428" s="426">
        <v>1</v>
      </c>
      <c r="AI428" s="426">
        <v>1</v>
      </c>
      <c r="AJ428" s="426">
        <v>1</v>
      </c>
      <c r="AK428" s="426">
        <v>1</v>
      </c>
      <c r="AL428" s="426">
        <v>1</v>
      </c>
      <c r="AN428" s="4" t="s">
        <v>651</v>
      </c>
      <c r="AO428" t="str">
        <f>"U-TRF-OILREFOTH_ELC01"</f>
        <v>U-TRF-OILREFOTH_ELC01</v>
      </c>
      <c r="AP428" t="str">
        <f>"UPS Transformation: Oil refinery other processes Electricity - New"</f>
        <v>UPS Transformation: Oil refinery other processes Electricity - New</v>
      </c>
      <c r="AQ428" s="4" t="s">
        <v>387</v>
      </c>
      <c r="AR428" s="4" t="s">
        <v>696</v>
      </c>
      <c r="AS428" s="4"/>
      <c r="AT428" s="4"/>
      <c r="AU428" s="4"/>
    </row>
    <row r="429" spans="1:47">
      <c r="C429" t="str">
        <f>Commodities!$C$88</f>
        <v>UPSCOG</v>
      </c>
      <c r="G429" s="4" t="s">
        <v>702</v>
      </c>
      <c r="H429" t="s">
        <v>661</v>
      </c>
      <c r="I429">
        <v>2050</v>
      </c>
      <c r="J429" t="s">
        <v>650</v>
      </c>
      <c r="K429" s="426">
        <v>1</v>
      </c>
      <c r="L429" s="426">
        <v>1</v>
      </c>
      <c r="M429" s="426">
        <v>1</v>
      </c>
      <c r="N429" s="426">
        <v>1</v>
      </c>
      <c r="O429" s="426">
        <v>1</v>
      </c>
      <c r="P429" s="426">
        <v>1</v>
      </c>
      <c r="Q429" s="426">
        <v>1</v>
      </c>
      <c r="R429" s="426">
        <v>1</v>
      </c>
      <c r="S429" s="426">
        <v>1</v>
      </c>
      <c r="T429" s="426">
        <v>1</v>
      </c>
      <c r="U429" s="426">
        <v>1</v>
      </c>
      <c r="V429" s="426">
        <v>1</v>
      </c>
      <c r="W429" s="426">
        <v>1</v>
      </c>
      <c r="X429" s="426">
        <v>1</v>
      </c>
      <c r="Y429" s="426">
        <v>1</v>
      </c>
      <c r="Z429" s="426">
        <v>1</v>
      </c>
      <c r="AA429" s="426">
        <v>1</v>
      </c>
      <c r="AB429" s="426">
        <v>1</v>
      </c>
      <c r="AC429" s="426">
        <v>1</v>
      </c>
      <c r="AD429" s="426">
        <v>1</v>
      </c>
      <c r="AE429" s="426">
        <v>1</v>
      </c>
      <c r="AF429" s="426">
        <v>1</v>
      </c>
      <c r="AG429" s="426">
        <v>1</v>
      </c>
      <c r="AH429" s="426">
        <v>1</v>
      </c>
      <c r="AI429" s="426">
        <v>1</v>
      </c>
      <c r="AJ429" s="426">
        <v>1</v>
      </c>
      <c r="AK429" s="426">
        <v>1</v>
      </c>
      <c r="AL429" s="426">
        <v>1</v>
      </c>
      <c r="AN429" s="4" t="s">
        <v>651</v>
      </c>
      <c r="AO429" t="str">
        <f>"U-TRF-OILREFOTH_HET01"</f>
        <v>U-TRF-OILREFOTH_HET01</v>
      </c>
      <c r="AP429" t="str">
        <f>"UPS Transformation: Oil refinery other processes Heat - New"</f>
        <v>UPS Transformation: Oil refinery other processes Heat - New</v>
      </c>
      <c r="AQ429" s="4" t="s">
        <v>387</v>
      </c>
      <c r="AR429" s="4" t="s">
        <v>696</v>
      </c>
      <c r="AS429" s="4"/>
      <c r="AT429" s="4"/>
      <c r="AU429" s="4"/>
    </row>
    <row r="430" spans="1:47">
      <c r="C430" t="str">
        <f>Commodities!$C$84</f>
        <v>UPSBGS</v>
      </c>
      <c r="G430" s="4" t="s">
        <v>702</v>
      </c>
      <c r="H430" t="s">
        <v>661</v>
      </c>
      <c r="I430">
        <v>2050</v>
      </c>
      <c r="J430" t="s">
        <v>650</v>
      </c>
      <c r="K430" s="426">
        <v>1</v>
      </c>
      <c r="L430" s="426">
        <v>1</v>
      </c>
      <c r="M430" s="426">
        <v>1</v>
      </c>
      <c r="N430" s="426">
        <v>1</v>
      </c>
      <c r="O430" s="426">
        <v>1</v>
      </c>
      <c r="P430" s="426">
        <v>1</v>
      </c>
      <c r="Q430" s="426">
        <v>1</v>
      </c>
      <c r="R430" s="426">
        <v>1</v>
      </c>
      <c r="S430" s="426">
        <v>1</v>
      </c>
      <c r="T430" s="426">
        <v>1</v>
      </c>
      <c r="U430" s="426">
        <v>1</v>
      </c>
      <c r="V430" s="426">
        <v>1</v>
      </c>
      <c r="W430" s="426">
        <v>1</v>
      </c>
      <c r="X430" s="426">
        <v>1</v>
      </c>
      <c r="Y430" s="426">
        <v>1</v>
      </c>
      <c r="Z430" s="426">
        <v>1</v>
      </c>
      <c r="AA430" s="426">
        <v>1</v>
      </c>
      <c r="AB430" s="426">
        <v>1</v>
      </c>
      <c r="AC430" s="426">
        <v>1</v>
      </c>
      <c r="AD430" s="426">
        <v>1</v>
      </c>
      <c r="AE430" s="426">
        <v>1</v>
      </c>
      <c r="AF430" s="426">
        <v>1</v>
      </c>
      <c r="AG430" s="426">
        <v>1</v>
      </c>
      <c r="AH430" s="426">
        <v>1</v>
      </c>
      <c r="AI430" s="426">
        <v>1</v>
      </c>
      <c r="AJ430" s="426">
        <v>1</v>
      </c>
      <c r="AK430" s="426">
        <v>1</v>
      </c>
      <c r="AL430" s="426">
        <v>1</v>
      </c>
      <c r="AN430" s="4" t="s">
        <v>651</v>
      </c>
      <c r="AO430" t="str">
        <f>"U-TRF-OILREFHVA_GAS01"</f>
        <v>U-TRF-OILREFHVA_GAS01</v>
      </c>
      <c r="AP430" t="str">
        <f>"UPS Transformation: Oil refinery HVAC Gas - New"</f>
        <v>UPS Transformation: Oil refinery HVAC Gas - New</v>
      </c>
      <c r="AQ430" s="4" t="s">
        <v>387</v>
      </c>
      <c r="AR430" s="4" t="s">
        <v>696</v>
      </c>
      <c r="AS430" s="4"/>
      <c r="AT430" s="4"/>
      <c r="AU430" s="4"/>
    </row>
    <row r="431" spans="1:47">
      <c r="D431" t="str">
        <f>Commodities!$C$104</f>
        <v>UREFBOI</v>
      </c>
      <c r="AN431" s="4" t="s">
        <v>651</v>
      </c>
      <c r="AO431" t="str">
        <f>"U-TRF-OILREFHVA_OIL01"</f>
        <v>U-TRF-OILREFHVA_OIL01</v>
      </c>
      <c r="AP431" t="str">
        <f>"UPS Transformation: Oil refinery HVAC Petroleum product - New"</f>
        <v>UPS Transformation: Oil refinery HVAC Petroleum product - New</v>
      </c>
      <c r="AQ431" s="4" t="s">
        <v>387</v>
      </c>
      <c r="AR431" s="4" t="s">
        <v>696</v>
      </c>
      <c r="AS431" s="4"/>
      <c r="AT431" s="4"/>
      <c r="AU431" s="4"/>
    </row>
    <row r="432" spans="1:47">
      <c r="A432" s="4" t="str">
        <f>AO413</f>
        <v>U-TRF-OILREFBOI_OIL01</v>
      </c>
      <c r="B432" s="4" t="str">
        <f>AP413</f>
        <v>UPS Transformation: Oil refinery boilers Petroleum product - New</v>
      </c>
      <c r="C432" s="4"/>
      <c r="D432" s="4"/>
      <c r="E432" s="4"/>
      <c r="F432" s="4"/>
      <c r="G432" s="4" t="s">
        <v>695</v>
      </c>
      <c r="H432" s="4"/>
      <c r="I432" s="4"/>
      <c r="J432" s="4" t="s">
        <v>2665</v>
      </c>
      <c r="K432" s="333">
        <v>1</v>
      </c>
      <c r="L432" s="333">
        <v>1</v>
      </c>
      <c r="M432" s="333">
        <v>1</v>
      </c>
      <c r="N432" s="333">
        <v>1</v>
      </c>
      <c r="O432" s="333">
        <v>1</v>
      </c>
      <c r="P432" s="333">
        <v>1</v>
      </c>
      <c r="Q432" s="333">
        <v>1</v>
      </c>
      <c r="R432" s="333">
        <v>1</v>
      </c>
      <c r="S432" s="333">
        <v>1</v>
      </c>
      <c r="T432" s="333">
        <v>1</v>
      </c>
      <c r="U432" s="333">
        <v>1</v>
      </c>
      <c r="V432" s="333">
        <v>1</v>
      </c>
      <c r="W432" s="333">
        <v>1</v>
      </c>
      <c r="X432" s="333">
        <v>1</v>
      </c>
      <c r="Y432" s="333">
        <v>1</v>
      </c>
      <c r="Z432" s="333">
        <v>1</v>
      </c>
      <c r="AA432" s="333">
        <v>1</v>
      </c>
      <c r="AB432" s="333">
        <v>1</v>
      </c>
      <c r="AC432" s="333">
        <v>1</v>
      </c>
      <c r="AD432" s="333">
        <v>1</v>
      </c>
      <c r="AE432" s="333">
        <v>1</v>
      </c>
      <c r="AF432" s="333">
        <v>1</v>
      </c>
      <c r="AG432" s="333">
        <v>1</v>
      </c>
      <c r="AH432" s="333">
        <v>1</v>
      </c>
      <c r="AI432" s="333">
        <v>1</v>
      </c>
      <c r="AJ432" s="333">
        <v>1</v>
      </c>
      <c r="AK432" s="333">
        <v>1</v>
      </c>
      <c r="AL432" s="333">
        <v>1</v>
      </c>
      <c r="AN432" s="4" t="s">
        <v>651</v>
      </c>
      <c r="AO432" t="str">
        <f>"U-TRF-OILREFHVA_BIO01"</f>
        <v>U-TRF-OILREFHVA_BIO01</v>
      </c>
      <c r="AP432" t="str">
        <f>"UPS Transformation: Oil refinery HVAC Biomass - New"</f>
        <v>UPS Transformation: Oil refinery HVAC Biomass - New</v>
      </c>
      <c r="AQ432" s="4" t="s">
        <v>387</v>
      </c>
      <c r="AR432" s="4" t="s">
        <v>696</v>
      </c>
      <c r="AS432" s="4"/>
      <c r="AT432" s="4"/>
      <c r="AU432" s="4"/>
    </row>
    <row r="433" spans="1:47">
      <c r="A433" s="4"/>
      <c r="B433" s="4"/>
      <c r="C433" s="4"/>
      <c r="D433" s="4"/>
      <c r="E433" s="4"/>
      <c r="F433" s="4"/>
      <c r="G433" s="4" t="s">
        <v>697</v>
      </c>
      <c r="H433" s="4"/>
      <c r="I433" s="4"/>
      <c r="J433" s="4" t="s">
        <v>698</v>
      </c>
      <c r="K433" s="424">
        <f>'Key inputs_Refineries'!$F$173</f>
        <v>15</v>
      </c>
      <c r="L433" s="424">
        <f>'Key inputs_Refineries'!$F$173</f>
        <v>15</v>
      </c>
      <c r="M433" s="424">
        <f>'Key inputs_Refineries'!$F$173</f>
        <v>15</v>
      </c>
      <c r="N433" s="424">
        <f>'Key inputs_Refineries'!$F$173</f>
        <v>15</v>
      </c>
      <c r="O433" s="424">
        <f>'Key inputs_Refineries'!$F$173</f>
        <v>15</v>
      </c>
      <c r="P433" s="424">
        <f>'Key inputs_Refineries'!$F$173</f>
        <v>15</v>
      </c>
      <c r="Q433" s="424">
        <f>'Key inputs_Refineries'!$F$173</f>
        <v>15</v>
      </c>
      <c r="R433" s="424">
        <f>'Key inputs_Refineries'!$F$173</f>
        <v>15</v>
      </c>
      <c r="S433" s="424">
        <f>'Key inputs_Refineries'!$F$173</f>
        <v>15</v>
      </c>
      <c r="T433" s="424">
        <f>'Key inputs_Refineries'!$F$173</f>
        <v>15</v>
      </c>
      <c r="U433" s="424">
        <f>'Key inputs_Refineries'!$F$173</f>
        <v>15</v>
      </c>
      <c r="V433" s="424">
        <f>'Key inputs_Refineries'!$F$173</f>
        <v>15</v>
      </c>
      <c r="W433" s="424">
        <f>'Key inputs_Refineries'!$F$173</f>
        <v>15</v>
      </c>
      <c r="X433" s="424">
        <f>'Key inputs_Refineries'!$F$173</f>
        <v>15</v>
      </c>
      <c r="Y433" s="424">
        <f>'Key inputs_Refineries'!$F$173</f>
        <v>15</v>
      </c>
      <c r="Z433" s="424">
        <f>'Key inputs_Refineries'!$F$173</f>
        <v>15</v>
      </c>
      <c r="AA433" s="424">
        <f>'Key inputs_Refineries'!$F$173</f>
        <v>15</v>
      </c>
      <c r="AB433" s="424">
        <f>'Key inputs_Refineries'!$F$173</f>
        <v>15</v>
      </c>
      <c r="AC433" s="424">
        <f>'Key inputs_Refineries'!$F$173</f>
        <v>15</v>
      </c>
      <c r="AD433" s="424">
        <f>'Key inputs_Refineries'!$F$173</f>
        <v>15</v>
      </c>
      <c r="AE433" s="424">
        <f>'Key inputs_Refineries'!$F$173</f>
        <v>15</v>
      </c>
      <c r="AF433" s="424">
        <f>'Key inputs_Refineries'!$F$173</f>
        <v>15</v>
      </c>
      <c r="AG433" s="424">
        <f>'Key inputs_Refineries'!$F$173</f>
        <v>15</v>
      </c>
      <c r="AH433" s="424">
        <f>'Key inputs_Refineries'!$F$173</f>
        <v>15</v>
      </c>
      <c r="AI433" s="424">
        <f>'Key inputs_Refineries'!$F$173</f>
        <v>15</v>
      </c>
      <c r="AJ433" s="424">
        <f>'Key inputs_Refineries'!$F$173</f>
        <v>15</v>
      </c>
      <c r="AK433" s="424">
        <f>'Key inputs_Refineries'!$F$173</f>
        <v>15</v>
      </c>
      <c r="AL433" s="424">
        <f>'Key inputs_Refineries'!$F$173</f>
        <v>15</v>
      </c>
      <c r="AN433" s="4" t="s">
        <v>651</v>
      </c>
      <c r="AO433" t="str">
        <f>"U-TRF-OILREFHVA_COA01"</f>
        <v>U-TRF-OILREFHVA_COA01</v>
      </c>
      <c r="AP433" t="str">
        <f>"UPS Transformation: Oil refinery HVAC Coal - New"</f>
        <v>UPS Transformation: Oil refinery HVAC Coal - New</v>
      </c>
      <c r="AQ433" s="4" t="s">
        <v>387</v>
      </c>
      <c r="AR433" s="4" t="s">
        <v>696</v>
      </c>
      <c r="AS433" s="4"/>
      <c r="AT433" s="4"/>
      <c r="AU433" s="4"/>
    </row>
    <row r="434" spans="1:47">
      <c r="A434" s="4"/>
      <c r="B434" s="4"/>
      <c r="C434" s="4"/>
      <c r="D434" s="4"/>
      <c r="E434" s="4"/>
      <c r="F434" s="4"/>
      <c r="G434" s="4" t="s">
        <v>707</v>
      </c>
      <c r="H434" s="4"/>
      <c r="I434" s="4"/>
      <c r="J434" s="4" t="s">
        <v>2669</v>
      </c>
      <c r="K434" s="347">
        <v>2020</v>
      </c>
      <c r="L434" s="347">
        <v>2020</v>
      </c>
      <c r="M434" s="347">
        <v>2020</v>
      </c>
      <c r="N434" s="347">
        <v>2020</v>
      </c>
      <c r="O434" s="347">
        <v>2020</v>
      </c>
      <c r="P434" s="347">
        <v>2020</v>
      </c>
      <c r="Q434" s="347">
        <v>2020</v>
      </c>
      <c r="R434" s="347">
        <v>2020</v>
      </c>
      <c r="S434" s="347">
        <v>2020</v>
      </c>
      <c r="T434" s="347">
        <v>2020</v>
      </c>
      <c r="U434" s="347">
        <v>2020</v>
      </c>
      <c r="V434" s="347">
        <v>2020</v>
      </c>
      <c r="W434" s="347">
        <v>2020</v>
      </c>
      <c r="X434" s="347">
        <v>2020</v>
      </c>
      <c r="Y434" s="347">
        <v>2020</v>
      </c>
      <c r="Z434" s="347">
        <v>2020</v>
      </c>
      <c r="AA434" s="347">
        <v>2020</v>
      </c>
      <c r="AB434" s="347">
        <v>2020</v>
      </c>
      <c r="AC434" s="347">
        <v>2020</v>
      </c>
      <c r="AD434" s="347">
        <v>2020</v>
      </c>
      <c r="AE434" s="347">
        <v>2020</v>
      </c>
      <c r="AF434" s="347">
        <v>2020</v>
      </c>
      <c r="AG434" s="347">
        <v>2020</v>
      </c>
      <c r="AH434" s="347">
        <v>2020</v>
      </c>
      <c r="AI434" s="347">
        <v>2020</v>
      </c>
      <c r="AJ434" s="347">
        <v>2020</v>
      </c>
      <c r="AK434" s="347">
        <v>2020</v>
      </c>
      <c r="AL434" s="347">
        <v>2020</v>
      </c>
      <c r="AN434" s="4" t="s">
        <v>651</v>
      </c>
      <c r="AO434" t="str">
        <f>"U-TRF-OILREFHVA_ELC01"</f>
        <v>U-TRF-OILREFHVA_ELC01</v>
      </c>
      <c r="AP434" t="str">
        <f>"UPS Transformation: Oil refinery HVAC Electricity - New"</f>
        <v>UPS Transformation: Oil refinery HVAC Electricity - New</v>
      </c>
      <c r="AQ434" s="4" t="s">
        <v>387</v>
      </c>
      <c r="AR434" s="4" t="s">
        <v>696</v>
      </c>
      <c r="AS434" s="4"/>
      <c r="AT434" s="4"/>
      <c r="AU434" s="4"/>
    </row>
    <row r="435" spans="1:47">
      <c r="G435" s="4" t="s">
        <v>701</v>
      </c>
      <c r="H435" s="4" t="s">
        <v>661</v>
      </c>
      <c r="I435" s="4">
        <v>2019</v>
      </c>
      <c r="J435" s="4" t="s">
        <v>112</v>
      </c>
      <c r="K435" s="333"/>
      <c r="L435" s="333"/>
      <c r="M435" s="333"/>
      <c r="N435" s="333"/>
      <c r="O435" s="333"/>
      <c r="P435" s="333"/>
      <c r="Q435" s="333"/>
      <c r="R435" s="333"/>
      <c r="S435" s="333"/>
      <c r="T435" s="333"/>
      <c r="U435" s="333"/>
      <c r="V435" s="333"/>
      <c r="W435" s="333"/>
      <c r="X435" s="333"/>
      <c r="Y435" s="333"/>
      <c r="Z435" s="333"/>
      <c r="AA435" s="333"/>
      <c r="AB435" s="333"/>
      <c r="AC435" s="333"/>
      <c r="AD435" s="333"/>
      <c r="AE435" s="333"/>
      <c r="AF435" s="333"/>
      <c r="AG435" s="333"/>
      <c r="AH435" s="333"/>
      <c r="AI435" s="333"/>
      <c r="AJ435" s="333"/>
      <c r="AK435" s="333"/>
      <c r="AL435" s="333"/>
      <c r="AN435" s="4" t="s">
        <v>651</v>
      </c>
      <c r="AO435" t="str">
        <f>"U-TRF-OILREFHVA_HET01"</f>
        <v>U-TRF-OILREFHVA_HET01</v>
      </c>
      <c r="AP435" t="str">
        <f>"UPS Transformation: Oil refinery HVAC Heat - New"</f>
        <v>UPS Transformation: Oil refinery HVAC Heat - New</v>
      </c>
      <c r="AQ435" s="4" t="s">
        <v>387</v>
      </c>
      <c r="AR435" s="4" t="s">
        <v>696</v>
      </c>
      <c r="AS435" s="4"/>
      <c r="AT435" s="4"/>
      <c r="AU435" s="4"/>
    </row>
    <row r="436" spans="1:47">
      <c r="G436" s="4" t="s">
        <v>701</v>
      </c>
      <c r="H436" s="4" t="s">
        <v>661</v>
      </c>
      <c r="I436" s="4">
        <v>2060</v>
      </c>
      <c r="J436" s="4" t="s">
        <v>112</v>
      </c>
      <c r="K436" s="333"/>
      <c r="L436" s="333"/>
      <c r="M436" s="333"/>
      <c r="N436" s="333"/>
      <c r="O436" s="333"/>
      <c r="P436" s="333"/>
      <c r="Q436" s="333"/>
      <c r="R436" s="333"/>
      <c r="S436" s="333"/>
      <c r="T436" s="333"/>
      <c r="U436" s="333"/>
      <c r="V436" s="333"/>
      <c r="W436" s="333"/>
      <c r="X436" s="333"/>
      <c r="Y436" s="333"/>
      <c r="Z436" s="333"/>
      <c r="AA436" s="333"/>
      <c r="AB436" s="333"/>
      <c r="AC436" s="333"/>
      <c r="AD436" s="333"/>
      <c r="AE436" s="333"/>
      <c r="AF436" s="333"/>
      <c r="AG436" s="333"/>
      <c r="AH436" s="333"/>
      <c r="AI436" s="333"/>
      <c r="AJ436" s="333"/>
      <c r="AK436" s="333"/>
      <c r="AL436" s="333"/>
      <c r="AT436" s="4"/>
      <c r="AU436" s="4"/>
    </row>
    <row r="437" spans="1:47">
      <c r="G437" s="4" t="s">
        <v>701</v>
      </c>
      <c r="H437" s="4" t="s">
        <v>661</v>
      </c>
      <c r="I437" s="4">
        <v>0</v>
      </c>
      <c r="J437" s="4"/>
      <c r="K437" s="333"/>
      <c r="L437" s="333"/>
      <c r="M437" s="333"/>
      <c r="N437" s="333"/>
      <c r="O437" s="333"/>
      <c r="P437" s="333"/>
      <c r="Q437" s="333"/>
      <c r="R437" s="333"/>
      <c r="S437" s="333"/>
      <c r="T437" s="333"/>
      <c r="U437" s="333"/>
      <c r="V437" s="333"/>
      <c r="W437" s="333"/>
      <c r="X437" s="333"/>
      <c r="Y437" s="333"/>
      <c r="Z437" s="333"/>
      <c r="AA437" s="333"/>
      <c r="AB437" s="333"/>
      <c r="AC437" s="333"/>
      <c r="AD437" s="333"/>
      <c r="AE437" s="333"/>
      <c r="AF437" s="333"/>
      <c r="AG437" s="333"/>
      <c r="AH437" s="333"/>
      <c r="AI437" s="333"/>
      <c r="AJ437" s="333"/>
      <c r="AK437" s="333"/>
      <c r="AL437" s="333"/>
      <c r="AT437" s="4"/>
      <c r="AU437" s="4"/>
    </row>
    <row r="438" spans="1:47">
      <c r="G438" s="4" t="s">
        <v>687</v>
      </c>
      <c r="H438" s="4"/>
      <c r="I438" s="4"/>
      <c r="J438" s="4" t="s">
        <v>2663</v>
      </c>
      <c r="K438" s="174">
        <f>'Key inputs_Refineries'!$C$173*10^3</f>
        <v>1040.6880000000001</v>
      </c>
      <c r="L438" s="174">
        <f>'Key inputs_Refineries'!$C$173*10^3</f>
        <v>1040.6880000000001</v>
      </c>
      <c r="M438" s="174">
        <f>'Key inputs_Refineries'!$C$173*10^3</f>
        <v>1040.6880000000001</v>
      </c>
      <c r="N438" s="174">
        <f>'Key inputs_Refineries'!$C$173*10^3</f>
        <v>1040.6880000000001</v>
      </c>
      <c r="O438" s="174">
        <f>'Key inputs_Refineries'!$C$173*10^3</f>
        <v>1040.6880000000001</v>
      </c>
      <c r="P438" s="174">
        <f>'Key inputs_Refineries'!$C$173*10^3</f>
        <v>1040.6880000000001</v>
      </c>
      <c r="Q438" s="174">
        <f>'Key inputs_Refineries'!$C$173*10^3</f>
        <v>1040.6880000000001</v>
      </c>
      <c r="R438" s="174">
        <f>'Key inputs_Refineries'!$C$173*10^3</f>
        <v>1040.6880000000001</v>
      </c>
      <c r="S438" s="174">
        <f>'Key inputs_Refineries'!$C$173*10^3</f>
        <v>1040.6880000000001</v>
      </c>
      <c r="T438" s="174">
        <f>'Key inputs_Refineries'!$C$173*10^3</f>
        <v>1040.6880000000001</v>
      </c>
      <c r="U438" s="174">
        <f>'Key inputs_Refineries'!$C$173*10^3</f>
        <v>1040.6880000000001</v>
      </c>
      <c r="V438" s="174">
        <f>'Key inputs_Refineries'!$C$173*10^3</f>
        <v>1040.6880000000001</v>
      </c>
      <c r="W438" s="174">
        <f>'Key inputs_Refineries'!$C$173*10^3</f>
        <v>1040.6880000000001</v>
      </c>
      <c r="X438" s="174">
        <f>'Key inputs_Refineries'!$C$173*10^3</f>
        <v>1040.6880000000001</v>
      </c>
      <c r="Y438" s="174">
        <f>'Key inputs_Refineries'!$C$173*10^3</f>
        <v>1040.6880000000001</v>
      </c>
      <c r="Z438" s="174">
        <f>'Key inputs_Refineries'!$C$173*10^3</f>
        <v>1040.6880000000001</v>
      </c>
      <c r="AA438" s="174">
        <f>'Key inputs_Refineries'!$C$173*10^3</f>
        <v>1040.6880000000001</v>
      </c>
      <c r="AB438" s="174">
        <f>'Key inputs_Refineries'!$C$173*10^3</f>
        <v>1040.6880000000001</v>
      </c>
      <c r="AC438" s="174">
        <f>'Key inputs_Refineries'!$C$173*10^3</f>
        <v>1040.6880000000001</v>
      </c>
      <c r="AD438" s="174">
        <f>'Key inputs_Refineries'!$C$173*10^3</f>
        <v>1040.6880000000001</v>
      </c>
      <c r="AE438" s="174">
        <f>'Key inputs_Refineries'!$C$173*10^3</f>
        <v>1040.6880000000001</v>
      </c>
      <c r="AF438" s="174">
        <f>'Key inputs_Refineries'!$C$173*10^3</f>
        <v>1040.6880000000001</v>
      </c>
      <c r="AG438" s="174">
        <f>'Key inputs_Refineries'!$C$173*10^3</f>
        <v>1040.6880000000001</v>
      </c>
      <c r="AH438" s="174">
        <f>'Key inputs_Refineries'!$C$173*10^3</f>
        <v>1040.6880000000001</v>
      </c>
      <c r="AI438" s="174">
        <f>'Key inputs_Refineries'!$C$173*10^3</f>
        <v>1040.6880000000001</v>
      </c>
      <c r="AJ438" s="174">
        <f>'Key inputs_Refineries'!$C$173*10^3</f>
        <v>1040.6880000000001</v>
      </c>
      <c r="AK438" s="174">
        <f>'Key inputs_Refineries'!$C$173*10^3</f>
        <v>1040.6880000000001</v>
      </c>
      <c r="AL438" s="174">
        <f>'Key inputs_Refineries'!$C$173*10^3</f>
        <v>1040.6880000000001</v>
      </c>
      <c r="AT438" s="4"/>
      <c r="AU438" s="4"/>
    </row>
    <row r="439" spans="1:47">
      <c r="G439" s="4" t="s">
        <v>689</v>
      </c>
      <c r="H439" s="4"/>
      <c r="I439" s="4"/>
      <c r="J439" s="4" t="s">
        <v>2663</v>
      </c>
      <c r="K439" s="174">
        <f>'Key inputs_Refineries'!$D$173*10^3</f>
        <v>9.4608000000000008</v>
      </c>
      <c r="L439" s="174">
        <f>'Key inputs_Refineries'!$D$173*10^3</f>
        <v>9.4608000000000008</v>
      </c>
      <c r="M439" s="174">
        <f>'Key inputs_Refineries'!$D$173*10^3</f>
        <v>9.4608000000000008</v>
      </c>
      <c r="N439" s="174">
        <f>'Key inputs_Refineries'!$D$173*10^3</f>
        <v>9.4608000000000008</v>
      </c>
      <c r="O439" s="174">
        <f>'Key inputs_Refineries'!$D$173*10^3</f>
        <v>9.4608000000000008</v>
      </c>
      <c r="P439" s="174">
        <f>'Key inputs_Refineries'!$D$173*10^3</f>
        <v>9.4608000000000008</v>
      </c>
      <c r="Q439" s="174">
        <f>'Key inputs_Refineries'!$D$173*10^3</f>
        <v>9.4608000000000008</v>
      </c>
      <c r="R439" s="174">
        <f>'Key inputs_Refineries'!$D$173*10^3</f>
        <v>9.4608000000000008</v>
      </c>
      <c r="S439" s="174">
        <f>'Key inputs_Refineries'!$D$173*10^3</f>
        <v>9.4608000000000008</v>
      </c>
      <c r="T439" s="174">
        <f>'Key inputs_Refineries'!$D$173*10^3</f>
        <v>9.4608000000000008</v>
      </c>
      <c r="U439" s="174">
        <f>'Key inputs_Refineries'!$D$173*10^3</f>
        <v>9.4608000000000008</v>
      </c>
      <c r="V439" s="174">
        <f>'Key inputs_Refineries'!$D$173*10^3</f>
        <v>9.4608000000000008</v>
      </c>
      <c r="W439" s="174">
        <f>'Key inputs_Refineries'!$D$173*10^3</f>
        <v>9.4608000000000008</v>
      </c>
      <c r="X439" s="174">
        <f>'Key inputs_Refineries'!$D$173*10^3</f>
        <v>9.4608000000000008</v>
      </c>
      <c r="Y439" s="174">
        <f>'Key inputs_Refineries'!$D$173*10^3</f>
        <v>9.4608000000000008</v>
      </c>
      <c r="Z439" s="174">
        <f>'Key inputs_Refineries'!$D$173*10^3</f>
        <v>9.4608000000000008</v>
      </c>
      <c r="AA439" s="174">
        <f>'Key inputs_Refineries'!$D$173*10^3</f>
        <v>9.4608000000000008</v>
      </c>
      <c r="AB439" s="174">
        <f>'Key inputs_Refineries'!$D$173*10^3</f>
        <v>9.4608000000000008</v>
      </c>
      <c r="AC439" s="174">
        <f>'Key inputs_Refineries'!$D$173*10^3</f>
        <v>9.4608000000000008</v>
      </c>
      <c r="AD439" s="174">
        <f>'Key inputs_Refineries'!$D$173*10^3</f>
        <v>9.4608000000000008</v>
      </c>
      <c r="AE439" s="174">
        <f>'Key inputs_Refineries'!$D$173*10^3</f>
        <v>9.4608000000000008</v>
      </c>
      <c r="AF439" s="174">
        <f>'Key inputs_Refineries'!$D$173*10^3</f>
        <v>9.4608000000000008</v>
      </c>
      <c r="AG439" s="174">
        <f>'Key inputs_Refineries'!$D$173*10^3</f>
        <v>9.4608000000000008</v>
      </c>
      <c r="AH439" s="174">
        <f>'Key inputs_Refineries'!$D$173*10^3</f>
        <v>9.4608000000000008</v>
      </c>
      <c r="AI439" s="174">
        <f>'Key inputs_Refineries'!$D$173*10^3</f>
        <v>9.4608000000000008</v>
      </c>
      <c r="AJ439" s="174">
        <f>'Key inputs_Refineries'!$D$173*10^3</f>
        <v>9.4608000000000008</v>
      </c>
      <c r="AK439" s="174">
        <f>'Key inputs_Refineries'!$D$173*10^3</f>
        <v>9.4608000000000008</v>
      </c>
      <c r="AL439" s="174">
        <f>'Key inputs_Refineries'!$D$173*10^3</f>
        <v>9.4608000000000008</v>
      </c>
      <c r="AT439" s="4"/>
      <c r="AU439" s="4"/>
    </row>
    <row r="440" spans="1:47">
      <c r="G440" s="4" t="s">
        <v>675</v>
      </c>
      <c r="H440" s="4"/>
      <c r="I440" s="4"/>
      <c r="J440" s="4" t="s">
        <v>2662</v>
      </c>
      <c r="AT440" s="4"/>
      <c r="AU440" s="4"/>
    </row>
    <row r="441" spans="1:47">
      <c r="G441" s="4" t="s">
        <v>630</v>
      </c>
      <c r="H441" s="4"/>
      <c r="I441" s="4"/>
      <c r="J441" s="4" t="s">
        <v>2666</v>
      </c>
      <c r="K441" s="419">
        <f>'Key inputs_Refineries'!$H$173</f>
        <v>0.8</v>
      </c>
      <c r="L441" s="419">
        <f>'Key inputs_Refineries'!$H$173</f>
        <v>0.8</v>
      </c>
      <c r="M441" s="419">
        <f>'Key inputs_Refineries'!$H$173</f>
        <v>0.8</v>
      </c>
      <c r="N441" s="419">
        <f>'Key inputs_Refineries'!$H$173</f>
        <v>0.8</v>
      </c>
      <c r="O441" s="419">
        <f>'Key inputs_Refineries'!$H$173</f>
        <v>0.8</v>
      </c>
      <c r="P441" s="419">
        <f>'Key inputs_Refineries'!$H$173</f>
        <v>0.8</v>
      </c>
      <c r="Q441" s="419">
        <f>'Key inputs_Refineries'!$H$173</f>
        <v>0.8</v>
      </c>
      <c r="R441" s="419">
        <f>'Key inputs_Refineries'!$H$173</f>
        <v>0.8</v>
      </c>
      <c r="S441" s="419">
        <f>'Key inputs_Refineries'!$H$173</f>
        <v>0.8</v>
      </c>
      <c r="T441" s="419">
        <f>'Key inputs_Refineries'!$H$173</f>
        <v>0.8</v>
      </c>
      <c r="U441" s="419">
        <f>'Key inputs_Refineries'!$H$173</f>
        <v>0.8</v>
      </c>
      <c r="V441" s="419">
        <f>'Key inputs_Refineries'!$H$173</f>
        <v>0.8</v>
      </c>
      <c r="W441" s="419">
        <f>'Key inputs_Refineries'!$H$173</f>
        <v>0.8</v>
      </c>
      <c r="X441" s="419">
        <f>'Key inputs_Refineries'!$H$173</f>
        <v>0.8</v>
      </c>
      <c r="Y441" s="419">
        <f>'Key inputs_Refineries'!$H$173</f>
        <v>0.8</v>
      </c>
      <c r="Z441" s="419">
        <f>'Key inputs_Refineries'!$H$173</f>
        <v>0.8</v>
      </c>
      <c r="AA441" s="419">
        <f>'Key inputs_Refineries'!$H$173</f>
        <v>0.8</v>
      </c>
      <c r="AB441" s="419">
        <f>'Key inputs_Refineries'!$H$173</f>
        <v>0.8</v>
      </c>
      <c r="AC441" s="419">
        <f>'Key inputs_Refineries'!$H$173</f>
        <v>0.8</v>
      </c>
      <c r="AD441" s="419">
        <f>'Key inputs_Refineries'!$H$173</f>
        <v>0.8</v>
      </c>
      <c r="AE441" s="419">
        <f>'Key inputs_Refineries'!$H$173</f>
        <v>0.8</v>
      </c>
      <c r="AF441" s="419">
        <f>'Key inputs_Refineries'!$H$173</f>
        <v>0.8</v>
      </c>
      <c r="AG441" s="419">
        <f>'Key inputs_Refineries'!$H$173</f>
        <v>0.8</v>
      </c>
      <c r="AH441" s="419">
        <f>'Key inputs_Refineries'!$H$173</f>
        <v>0.8</v>
      </c>
      <c r="AI441" s="419">
        <f>'Key inputs_Refineries'!$H$173</f>
        <v>0.8</v>
      </c>
      <c r="AJ441" s="419">
        <f>'Key inputs_Refineries'!$H$173</f>
        <v>0.8</v>
      </c>
      <c r="AK441" s="419">
        <f>'Key inputs_Refineries'!$H$173</f>
        <v>0.8</v>
      </c>
      <c r="AL441" s="419">
        <f>'Key inputs_Refineries'!$H$173</f>
        <v>0.8</v>
      </c>
      <c r="AT441" s="4"/>
      <c r="AU441" s="4"/>
    </row>
    <row r="442" spans="1:47">
      <c r="C442" t="str">
        <f>Commodities!$C$80</f>
        <v>UPSBDL</v>
      </c>
      <c r="G442" s="4" t="s">
        <v>702</v>
      </c>
      <c r="H442" t="s">
        <v>661</v>
      </c>
      <c r="I442">
        <v>2019</v>
      </c>
      <c r="J442" t="s">
        <v>650</v>
      </c>
      <c r="K442" s="173" cm="1">
        <f t="array" ref="K442">IFERROR(IF(AND(SUMIFS('Key inputs_Refineries'!E$85:E$164,'Key inputs_Refineries'!$C$85:$C$164,$C442,'Key inputs_Refineries'!$B$85:$B$164,"Boiler")/SUM(SUMIFS('Key inputs_Refineries'!E$85:E$164,'Key inputs_Refineries'!$C$85:$C$164,$C442:$C451,'Key inputs_Refineries'!$B$85:$B$164,"Boiler"))&gt;0,SUMIFS('Key inputs_Refineries'!E$85:E$164,'Key inputs_Refineries'!$C$85:$C$164,$C442,'Key inputs_Refineries'!$B$85:$B$164,"Boiler")/SUM(SUMIFS('Key inputs_Refineries'!E$85:E$164,'Key inputs_Refineries'!$C$85:$C$164,$C442:$C451,'Key inputs_Refineries'!$B$85:$B$164,"Boiler"))&lt;0.001),0.001,SUMIFS('Key inputs_Refineries'!E$85:E$164,'Key inputs_Refineries'!$C$85:$C$164,$C442,'Key inputs_Refineries'!$B$85:$B$164,"Boiler")/SUM(SUMIFS('Key inputs_Refineries'!E$85:E$164,'Key inputs_Refineries'!$C$85:$C$164,$C442:$C451,'Key inputs_Refineries'!$B$85:$B$164,"Boiler"))),0)</f>
        <v>0</v>
      </c>
      <c r="L442" s="173" cm="1">
        <f t="array" ref="L442">IFERROR(IF(AND(SUMIFS('Key inputs_Refineries'!F$85:F$164,'Key inputs_Refineries'!$C$85:$C$164,$C442,'Key inputs_Refineries'!$B$85:$B$164,"Boiler")/SUM(SUMIFS('Key inputs_Refineries'!F$85:F$164,'Key inputs_Refineries'!$C$85:$C$164,$C442:$C451,'Key inputs_Refineries'!$B$85:$B$164,"Boiler"))&gt;0,SUMIFS('Key inputs_Refineries'!F$85:F$164,'Key inputs_Refineries'!$C$85:$C$164,$C442,'Key inputs_Refineries'!$B$85:$B$164,"Boiler")/SUM(SUMIFS('Key inputs_Refineries'!F$85:F$164,'Key inputs_Refineries'!$C$85:$C$164,$C442:$C451,'Key inputs_Refineries'!$B$85:$B$164,"Boiler"))&lt;0.001),0.001,SUMIFS('Key inputs_Refineries'!F$85:F$164,'Key inputs_Refineries'!$C$85:$C$164,$C442,'Key inputs_Refineries'!$B$85:$B$164,"Boiler")/SUM(SUMIFS('Key inputs_Refineries'!F$85:F$164,'Key inputs_Refineries'!$C$85:$C$164,$C442:$C451,'Key inputs_Refineries'!$B$85:$B$164,"Boiler"))),0)</f>
        <v>0</v>
      </c>
      <c r="M442" s="173" cm="1">
        <f t="array" ref="M442">IFERROR(IF(AND(SUMIFS('Key inputs_Refineries'!G$85:G$164,'Key inputs_Refineries'!$C$85:$C$164,$C442,'Key inputs_Refineries'!$B$85:$B$164,"Boiler")/SUM(SUMIFS('Key inputs_Refineries'!G$85:G$164,'Key inputs_Refineries'!$C$85:$C$164,$C442:$C451,'Key inputs_Refineries'!$B$85:$B$164,"Boiler"))&gt;0,SUMIFS('Key inputs_Refineries'!G$85:G$164,'Key inputs_Refineries'!$C$85:$C$164,$C442,'Key inputs_Refineries'!$B$85:$B$164,"Boiler")/SUM(SUMIFS('Key inputs_Refineries'!G$85:G$164,'Key inputs_Refineries'!$C$85:$C$164,$C442:$C451,'Key inputs_Refineries'!$B$85:$B$164,"Boiler"))&lt;0.001),0.001,SUMIFS('Key inputs_Refineries'!G$85:G$164,'Key inputs_Refineries'!$C$85:$C$164,$C442,'Key inputs_Refineries'!$B$85:$B$164,"Boiler")/SUM(SUMIFS('Key inputs_Refineries'!G$85:G$164,'Key inputs_Refineries'!$C$85:$C$164,$C442:$C451,'Key inputs_Refineries'!$B$85:$B$164,"Boiler"))),0)</f>
        <v>0</v>
      </c>
      <c r="N442" s="173" cm="1">
        <f t="array" ref="N442">IFERROR(IF(AND(SUMIFS('Key inputs_Refineries'!H$85:H$164,'Key inputs_Refineries'!$C$85:$C$164,$C442,'Key inputs_Refineries'!$B$85:$B$164,"Boiler")/SUM(SUMIFS('Key inputs_Refineries'!H$85:H$164,'Key inputs_Refineries'!$C$85:$C$164,$C442:$C451,'Key inputs_Refineries'!$B$85:$B$164,"Boiler"))&gt;0,SUMIFS('Key inputs_Refineries'!H$85:H$164,'Key inputs_Refineries'!$C$85:$C$164,$C442,'Key inputs_Refineries'!$B$85:$B$164,"Boiler")/SUM(SUMIFS('Key inputs_Refineries'!H$85:H$164,'Key inputs_Refineries'!$C$85:$C$164,$C442:$C451,'Key inputs_Refineries'!$B$85:$B$164,"Boiler"))&lt;0.001),0.001,SUMIFS('Key inputs_Refineries'!H$85:H$164,'Key inputs_Refineries'!$C$85:$C$164,$C442,'Key inputs_Refineries'!$B$85:$B$164,"Boiler")/SUM(SUMIFS('Key inputs_Refineries'!H$85:H$164,'Key inputs_Refineries'!$C$85:$C$164,$C442:$C451,'Key inputs_Refineries'!$B$85:$B$164,"Boiler"))),0)</f>
        <v>0</v>
      </c>
      <c r="O442" s="173" cm="1">
        <f t="array" ref="O442">IFERROR(IF(AND(SUMIFS('Key inputs_Refineries'!I$85:I$164,'Key inputs_Refineries'!$C$85:$C$164,$C442,'Key inputs_Refineries'!$B$85:$B$164,"Boiler")/SUM(SUMIFS('Key inputs_Refineries'!I$85:I$164,'Key inputs_Refineries'!$C$85:$C$164,$C442:$C451,'Key inputs_Refineries'!$B$85:$B$164,"Boiler"))&gt;0,SUMIFS('Key inputs_Refineries'!I$85:I$164,'Key inputs_Refineries'!$C$85:$C$164,$C442,'Key inputs_Refineries'!$B$85:$B$164,"Boiler")/SUM(SUMIFS('Key inputs_Refineries'!I$85:I$164,'Key inputs_Refineries'!$C$85:$C$164,$C442:$C451,'Key inputs_Refineries'!$B$85:$B$164,"Boiler"))&lt;0.001),0.001,SUMIFS('Key inputs_Refineries'!I$85:I$164,'Key inputs_Refineries'!$C$85:$C$164,$C442,'Key inputs_Refineries'!$B$85:$B$164,"Boiler")/SUM(SUMIFS('Key inputs_Refineries'!I$85:I$164,'Key inputs_Refineries'!$C$85:$C$164,$C442:$C451,'Key inputs_Refineries'!$B$85:$B$164,"Boiler"))),0)</f>
        <v>0</v>
      </c>
      <c r="P442" s="173" cm="1">
        <f t="array" ref="P442">IFERROR(IF(AND(SUMIFS('Key inputs_Refineries'!J$85:J$164,'Key inputs_Refineries'!$C$85:$C$164,$C442,'Key inputs_Refineries'!$B$85:$B$164,"Boiler")/SUM(SUMIFS('Key inputs_Refineries'!J$85:J$164,'Key inputs_Refineries'!$C$85:$C$164,$C442:$C451,'Key inputs_Refineries'!$B$85:$B$164,"Boiler"))&gt;0,SUMIFS('Key inputs_Refineries'!J$85:J$164,'Key inputs_Refineries'!$C$85:$C$164,$C442,'Key inputs_Refineries'!$B$85:$B$164,"Boiler")/SUM(SUMIFS('Key inputs_Refineries'!J$85:J$164,'Key inputs_Refineries'!$C$85:$C$164,$C442:$C451,'Key inputs_Refineries'!$B$85:$B$164,"Boiler"))&lt;0.001),0.001,SUMIFS('Key inputs_Refineries'!J$85:J$164,'Key inputs_Refineries'!$C$85:$C$164,$C442,'Key inputs_Refineries'!$B$85:$B$164,"Boiler")/SUM(SUMIFS('Key inputs_Refineries'!J$85:J$164,'Key inputs_Refineries'!$C$85:$C$164,$C442:$C451,'Key inputs_Refineries'!$B$85:$B$164,"Boiler"))),0)</f>
        <v>0</v>
      </c>
      <c r="Q442" s="173" cm="1">
        <f t="array" ref="Q442">IFERROR(IF(AND(SUMIFS('Key inputs_Refineries'!K$85:K$164,'Key inputs_Refineries'!$C$85:$C$164,$C442,'Key inputs_Refineries'!$B$85:$B$164,"Boiler")/SUM(SUMIFS('Key inputs_Refineries'!K$85:K$164,'Key inputs_Refineries'!$C$85:$C$164,$C442:$C451,'Key inputs_Refineries'!$B$85:$B$164,"Boiler"))&gt;0,SUMIFS('Key inputs_Refineries'!K$85:K$164,'Key inputs_Refineries'!$C$85:$C$164,$C442,'Key inputs_Refineries'!$B$85:$B$164,"Boiler")/SUM(SUMIFS('Key inputs_Refineries'!K$85:K$164,'Key inputs_Refineries'!$C$85:$C$164,$C442:$C451,'Key inputs_Refineries'!$B$85:$B$164,"Boiler"))&lt;0.001),0.001,SUMIFS('Key inputs_Refineries'!K$85:K$164,'Key inputs_Refineries'!$C$85:$C$164,$C442,'Key inputs_Refineries'!$B$85:$B$164,"Boiler")/SUM(SUMIFS('Key inputs_Refineries'!K$85:K$164,'Key inputs_Refineries'!$C$85:$C$164,$C442:$C451,'Key inputs_Refineries'!$B$85:$B$164,"Boiler"))),0)</f>
        <v>0</v>
      </c>
      <c r="R442" s="173" cm="1">
        <f t="array" ref="R442">IFERROR(IF(AND(SUMIFS('Key inputs_Refineries'!L$85:L$164,'Key inputs_Refineries'!$C$85:$C$164,$C442,'Key inputs_Refineries'!$B$85:$B$164,"Boiler")/SUM(SUMIFS('Key inputs_Refineries'!L$85:L$164,'Key inputs_Refineries'!$C$85:$C$164,$C442:$C451,'Key inputs_Refineries'!$B$85:$B$164,"Boiler"))&gt;0,SUMIFS('Key inputs_Refineries'!L$85:L$164,'Key inputs_Refineries'!$C$85:$C$164,$C442,'Key inputs_Refineries'!$B$85:$B$164,"Boiler")/SUM(SUMIFS('Key inputs_Refineries'!L$85:L$164,'Key inputs_Refineries'!$C$85:$C$164,$C442:$C451,'Key inputs_Refineries'!$B$85:$B$164,"Boiler"))&lt;0.001),0.001,SUMIFS('Key inputs_Refineries'!L$85:L$164,'Key inputs_Refineries'!$C$85:$C$164,$C442,'Key inputs_Refineries'!$B$85:$B$164,"Boiler")/SUM(SUMIFS('Key inputs_Refineries'!L$85:L$164,'Key inputs_Refineries'!$C$85:$C$164,$C442:$C451,'Key inputs_Refineries'!$B$85:$B$164,"Boiler"))),0)</f>
        <v>0</v>
      </c>
      <c r="S442" s="173" cm="1">
        <f t="array" ref="S442">IFERROR(IF(AND(SUMIFS('Key inputs_Refineries'!M$85:M$164,'Key inputs_Refineries'!$C$85:$C$164,$C442,'Key inputs_Refineries'!$B$85:$B$164,"Boiler")/SUM(SUMIFS('Key inputs_Refineries'!M$85:M$164,'Key inputs_Refineries'!$C$85:$C$164,$C442:$C451,'Key inputs_Refineries'!$B$85:$B$164,"Boiler"))&gt;0,SUMIFS('Key inputs_Refineries'!M$85:M$164,'Key inputs_Refineries'!$C$85:$C$164,$C442,'Key inputs_Refineries'!$B$85:$B$164,"Boiler")/SUM(SUMIFS('Key inputs_Refineries'!M$85:M$164,'Key inputs_Refineries'!$C$85:$C$164,$C442:$C451,'Key inputs_Refineries'!$B$85:$B$164,"Boiler"))&lt;0.001),0.001,SUMIFS('Key inputs_Refineries'!M$85:M$164,'Key inputs_Refineries'!$C$85:$C$164,$C442,'Key inputs_Refineries'!$B$85:$B$164,"Boiler")/SUM(SUMIFS('Key inputs_Refineries'!M$85:M$164,'Key inputs_Refineries'!$C$85:$C$164,$C442:$C451,'Key inputs_Refineries'!$B$85:$B$164,"Boiler"))),0)</f>
        <v>0</v>
      </c>
      <c r="T442" s="173" cm="1">
        <f t="array" ref="T442">IFERROR(IF(AND(SUMIFS('Key inputs_Refineries'!N$85:N$164,'Key inputs_Refineries'!$C$85:$C$164,$C442,'Key inputs_Refineries'!$B$85:$B$164,"Boiler")/SUM(SUMIFS('Key inputs_Refineries'!N$85:N$164,'Key inputs_Refineries'!$C$85:$C$164,$C442:$C451,'Key inputs_Refineries'!$B$85:$B$164,"Boiler"))&gt;0,SUMIFS('Key inputs_Refineries'!N$85:N$164,'Key inputs_Refineries'!$C$85:$C$164,$C442,'Key inputs_Refineries'!$B$85:$B$164,"Boiler")/SUM(SUMIFS('Key inputs_Refineries'!N$85:N$164,'Key inputs_Refineries'!$C$85:$C$164,$C442:$C451,'Key inputs_Refineries'!$B$85:$B$164,"Boiler"))&lt;0.001),0.001,SUMIFS('Key inputs_Refineries'!N$85:N$164,'Key inputs_Refineries'!$C$85:$C$164,$C442,'Key inputs_Refineries'!$B$85:$B$164,"Boiler")/SUM(SUMIFS('Key inputs_Refineries'!N$85:N$164,'Key inputs_Refineries'!$C$85:$C$164,$C442:$C451,'Key inputs_Refineries'!$B$85:$B$164,"Boiler"))),0)</f>
        <v>0</v>
      </c>
      <c r="U442" s="173" cm="1">
        <f t="array" ref="U442">IFERROR(IF(AND(SUMIFS('Key inputs_Refineries'!O$85:O$164,'Key inputs_Refineries'!$C$85:$C$164,$C442,'Key inputs_Refineries'!$B$85:$B$164,"Boiler")/SUM(SUMIFS('Key inputs_Refineries'!O$85:O$164,'Key inputs_Refineries'!$C$85:$C$164,$C442:$C451,'Key inputs_Refineries'!$B$85:$B$164,"Boiler"))&gt;0,SUMIFS('Key inputs_Refineries'!O$85:O$164,'Key inputs_Refineries'!$C$85:$C$164,$C442,'Key inputs_Refineries'!$B$85:$B$164,"Boiler")/SUM(SUMIFS('Key inputs_Refineries'!O$85:O$164,'Key inputs_Refineries'!$C$85:$C$164,$C442:$C451,'Key inputs_Refineries'!$B$85:$B$164,"Boiler"))&lt;0.001),0.001,SUMIFS('Key inputs_Refineries'!O$85:O$164,'Key inputs_Refineries'!$C$85:$C$164,$C442,'Key inputs_Refineries'!$B$85:$B$164,"Boiler")/SUM(SUMIFS('Key inputs_Refineries'!O$85:O$164,'Key inputs_Refineries'!$C$85:$C$164,$C442:$C451,'Key inputs_Refineries'!$B$85:$B$164,"Boiler"))),0)</f>
        <v>0</v>
      </c>
      <c r="V442" s="173" cm="1">
        <f t="array" ref="V442">IFERROR(IF(AND(SUMIFS('Key inputs_Refineries'!P$85:P$164,'Key inputs_Refineries'!$C$85:$C$164,$C442,'Key inputs_Refineries'!$B$85:$B$164,"Boiler")/SUM(SUMIFS('Key inputs_Refineries'!P$85:P$164,'Key inputs_Refineries'!$C$85:$C$164,$C442:$C451,'Key inputs_Refineries'!$B$85:$B$164,"Boiler"))&gt;0,SUMIFS('Key inputs_Refineries'!P$85:P$164,'Key inputs_Refineries'!$C$85:$C$164,$C442,'Key inputs_Refineries'!$B$85:$B$164,"Boiler")/SUM(SUMIFS('Key inputs_Refineries'!P$85:P$164,'Key inputs_Refineries'!$C$85:$C$164,$C442:$C451,'Key inputs_Refineries'!$B$85:$B$164,"Boiler"))&lt;0.001),0.001,SUMIFS('Key inputs_Refineries'!P$85:P$164,'Key inputs_Refineries'!$C$85:$C$164,$C442,'Key inputs_Refineries'!$B$85:$B$164,"Boiler")/SUM(SUMIFS('Key inputs_Refineries'!P$85:P$164,'Key inputs_Refineries'!$C$85:$C$164,$C442:$C451,'Key inputs_Refineries'!$B$85:$B$164,"Boiler"))),0)</f>
        <v>0</v>
      </c>
      <c r="W442" s="173" cm="1">
        <f t="array" ref="W442">IFERROR(IF(AND(SUMIFS('Key inputs_Refineries'!Q$85:Q$164,'Key inputs_Refineries'!$C$85:$C$164,$C442,'Key inputs_Refineries'!$B$85:$B$164,"Boiler")/SUM(SUMIFS('Key inputs_Refineries'!Q$85:Q$164,'Key inputs_Refineries'!$C$85:$C$164,$C442:$C451,'Key inputs_Refineries'!$B$85:$B$164,"Boiler"))&gt;0,SUMIFS('Key inputs_Refineries'!Q$85:Q$164,'Key inputs_Refineries'!$C$85:$C$164,$C442,'Key inputs_Refineries'!$B$85:$B$164,"Boiler")/SUM(SUMIFS('Key inputs_Refineries'!Q$85:Q$164,'Key inputs_Refineries'!$C$85:$C$164,$C442:$C451,'Key inputs_Refineries'!$B$85:$B$164,"Boiler"))&lt;0.001),0.001,SUMIFS('Key inputs_Refineries'!Q$85:Q$164,'Key inputs_Refineries'!$C$85:$C$164,$C442,'Key inputs_Refineries'!$B$85:$B$164,"Boiler")/SUM(SUMIFS('Key inputs_Refineries'!Q$85:Q$164,'Key inputs_Refineries'!$C$85:$C$164,$C442:$C451,'Key inputs_Refineries'!$B$85:$B$164,"Boiler"))),0)</f>
        <v>0</v>
      </c>
      <c r="X442" s="173" cm="1">
        <f t="array" ref="X442">IFERROR(IF(AND(SUMIFS('Key inputs_Refineries'!R$85:R$164,'Key inputs_Refineries'!$C$85:$C$164,$C442,'Key inputs_Refineries'!$B$85:$B$164,"Boiler")/SUM(SUMIFS('Key inputs_Refineries'!R$85:R$164,'Key inputs_Refineries'!$C$85:$C$164,$C442:$C451,'Key inputs_Refineries'!$B$85:$B$164,"Boiler"))&gt;0,SUMIFS('Key inputs_Refineries'!R$85:R$164,'Key inputs_Refineries'!$C$85:$C$164,$C442,'Key inputs_Refineries'!$B$85:$B$164,"Boiler")/SUM(SUMIFS('Key inputs_Refineries'!R$85:R$164,'Key inputs_Refineries'!$C$85:$C$164,$C442:$C451,'Key inputs_Refineries'!$B$85:$B$164,"Boiler"))&lt;0.001),0.001,SUMIFS('Key inputs_Refineries'!R$85:R$164,'Key inputs_Refineries'!$C$85:$C$164,$C442,'Key inputs_Refineries'!$B$85:$B$164,"Boiler")/SUM(SUMIFS('Key inputs_Refineries'!R$85:R$164,'Key inputs_Refineries'!$C$85:$C$164,$C442:$C451,'Key inputs_Refineries'!$B$85:$B$164,"Boiler"))),0)</f>
        <v>0</v>
      </c>
      <c r="Y442" s="173" cm="1">
        <f t="array" ref="Y442">IFERROR(IF(AND(SUMIFS('Key inputs_Refineries'!S$85:S$164,'Key inputs_Refineries'!$C$85:$C$164,$C442,'Key inputs_Refineries'!$B$85:$B$164,"Boiler")/SUM(SUMIFS('Key inputs_Refineries'!S$85:S$164,'Key inputs_Refineries'!$C$85:$C$164,$C442:$C451,'Key inputs_Refineries'!$B$85:$B$164,"Boiler"))&gt;0,SUMIFS('Key inputs_Refineries'!S$85:S$164,'Key inputs_Refineries'!$C$85:$C$164,$C442,'Key inputs_Refineries'!$B$85:$B$164,"Boiler")/SUM(SUMIFS('Key inputs_Refineries'!S$85:S$164,'Key inputs_Refineries'!$C$85:$C$164,$C442:$C451,'Key inputs_Refineries'!$B$85:$B$164,"Boiler"))&lt;0.001),0.001,SUMIFS('Key inputs_Refineries'!S$85:S$164,'Key inputs_Refineries'!$C$85:$C$164,$C442,'Key inputs_Refineries'!$B$85:$B$164,"Boiler")/SUM(SUMIFS('Key inputs_Refineries'!S$85:S$164,'Key inputs_Refineries'!$C$85:$C$164,$C442:$C451,'Key inputs_Refineries'!$B$85:$B$164,"Boiler"))),0)</f>
        <v>0</v>
      </c>
      <c r="Z442" s="173" cm="1">
        <f t="array" ref="Z442">IFERROR(IF(AND(SUMIFS('Key inputs_Refineries'!T$85:T$164,'Key inputs_Refineries'!$C$85:$C$164,$C442,'Key inputs_Refineries'!$B$85:$B$164,"Boiler")/SUM(SUMIFS('Key inputs_Refineries'!T$85:T$164,'Key inputs_Refineries'!$C$85:$C$164,$C442:$C451,'Key inputs_Refineries'!$B$85:$B$164,"Boiler"))&gt;0,SUMIFS('Key inputs_Refineries'!T$85:T$164,'Key inputs_Refineries'!$C$85:$C$164,$C442,'Key inputs_Refineries'!$B$85:$B$164,"Boiler")/SUM(SUMIFS('Key inputs_Refineries'!T$85:T$164,'Key inputs_Refineries'!$C$85:$C$164,$C442:$C451,'Key inputs_Refineries'!$B$85:$B$164,"Boiler"))&lt;0.001),0.001,SUMIFS('Key inputs_Refineries'!T$85:T$164,'Key inputs_Refineries'!$C$85:$C$164,$C442,'Key inputs_Refineries'!$B$85:$B$164,"Boiler")/SUM(SUMIFS('Key inputs_Refineries'!T$85:T$164,'Key inputs_Refineries'!$C$85:$C$164,$C442:$C451,'Key inputs_Refineries'!$B$85:$B$164,"Boiler"))),0)</f>
        <v>0</v>
      </c>
      <c r="AA442" s="173" cm="1">
        <f t="array" ref="AA442">IFERROR(IF(AND(SUMIFS('Key inputs_Refineries'!U$85:U$164,'Key inputs_Refineries'!$C$85:$C$164,$C442,'Key inputs_Refineries'!$B$85:$B$164,"Boiler")/SUM(SUMIFS('Key inputs_Refineries'!U$85:U$164,'Key inputs_Refineries'!$C$85:$C$164,$C442:$C451,'Key inputs_Refineries'!$B$85:$B$164,"Boiler"))&gt;0,SUMIFS('Key inputs_Refineries'!U$85:U$164,'Key inputs_Refineries'!$C$85:$C$164,$C442,'Key inputs_Refineries'!$B$85:$B$164,"Boiler")/SUM(SUMIFS('Key inputs_Refineries'!U$85:U$164,'Key inputs_Refineries'!$C$85:$C$164,$C442:$C451,'Key inputs_Refineries'!$B$85:$B$164,"Boiler"))&lt;0.001),0.001,SUMIFS('Key inputs_Refineries'!U$85:U$164,'Key inputs_Refineries'!$C$85:$C$164,$C442,'Key inputs_Refineries'!$B$85:$B$164,"Boiler")/SUM(SUMIFS('Key inputs_Refineries'!U$85:U$164,'Key inputs_Refineries'!$C$85:$C$164,$C442:$C451,'Key inputs_Refineries'!$B$85:$B$164,"Boiler"))),0)</f>
        <v>1.2510132868886106E-3</v>
      </c>
      <c r="AB442" s="173" cm="1">
        <f t="array" ref="AB442">IFERROR(IF(AND(SUMIFS('Key inputs_Refineries'!V$85:V$164,'Key inputs_Refineries'!$C$85:$C$164,$C442,'Key inputs_Refineries'!$B$85:$B$164,"Boiler")/SUM(SUMIFS('Key inputs_Refineries'!V$85:V$164,'Key inputs_Refineries'!$C$85:$C$164,$C442:$C451,'Key inputs_Refineries'!$B$85:$B$164,"Boiler"))&gt;0,SUMIFS('Key inputs_Refineries'!V$85:V$164,'Key inputs_Refineries'!$C$85:$C$164,$C442,'Key inputs_Refineries'!$B$85:$B$164,"Boiler")/SUM(SUMIFS('Key inputs_Refineries'!V$85:V$164,'Key inputs_Refineries'!$C$85:$C$164,$C442:$C451,'Key inputs_Refineries'!$B$85:$B$164,"Boiler"))&lt;0.001),0.001,SUMIFS('Key inputs_Refineries'!V$85:V$164,'Key inputs_Refineries'!$C$85:$C$164,$C442,'Key inputs_Refineries'!$B$85:$B$164,"Boiler")/SUM(SUMIFS('Key inputs_Refineries'!V$85:V$164,'Key inputs_Refineries'!$C$85:$C$164,$C442:$C451,'Key inputs_Refineries'!$B$85:$B$164,"Boiler"))),0)</f>
        <v>0</v>
      </c>
      <c r="AC442" s="173" cm="1">
        <f t="array" ref="AC442">IFERROR(IF(AND(SUMIFS('Key inputs_Refineries'!W$85:W$164,'Key inputs_Refineries'!$C$85:$C$164,$C442,'Key inputs_Refineries'!$B$85:$B$164,"Boiler")/SUM(SUMIFS('Key inputs_Refineries'!W$85:W$164,'Key inputs_Refineries'!$C$85:$C$164,$C442:$C451,'Key inputs_Refineries'!$B$85:$B$164,"Boiler"))&gt;0,SUMIFS('Key inputs_Refineries'!W$85:W$164,'Key inputs_Refineries'!$C$85:$C$164,$C442,'Key inputs_Refineries'!$B$85:$B$164,"Boiler")/SUM(SUMIFS('Key inputs_Refineries'!W$85:W$164,'Key inputs_Refineries'!$C$85:$C$164,$C442:$C451,'Key inputs_Refineries'!$B$85:$B$164,"Boiler"))&lt;0.001),0.001,SUMIFS('Key inputs_Refineries'!W$85:W$164,'Key inputs_Refineries'!$C$85:$C$164,$C442,'Key inputs_Refineries'!$B$85:$B$164,"Boiler")/SUM(SUMIFS('Key inputs_Refineries'!W$85:W$164,'Key inputs_Refineries'!$C$85:$C$164,$C442:$C451,'Key inputs_Refineries'!$B$85:$B$164,"Boiler"))),0)</f>
        <v>0</v>
      </c>
      <c r="AD442" s="173" cm="1">
        <f t="array" ref="AD442">IFERROR(IF(AND(SUMIFS('Key inputs_Refineries'!X$85:X$164,'Key inputs_Refineries'!$C$85:$C$164,$C442,'Key inputs_Refineries'!$B$85:$B$164,"Boiler")/SUM(SUMIFS('Key inputs_Refineries'!X$85:X$164,'Key inputs_Refineries'!$C$85:$C$164,$C442:$C451,'Key inputs_Refineries'!$B$85:$B$164,"Boiler"))&gt;0,SUMIFS('Key inputs_Refineries'!X$85:X$164,'Key inputs_Refineries'!$C$85:$C$164,$C442,'Key inputs_Refineries'!$B$85:$B$164,"Boiler")/SUM(SUMIFS('Key inputs_Refineries'!X$85:X$164,'Key inputs_Refineries'!$C$85:$C$164,$C442:$C451,'Key inputs_Refineries'!$B$85:$B$164,"Boiler"))&lt;0.001),0.001,SUMIFS('Key inputs_Refineries'!X$85:X$164,'Key inputs_Refineries'!$C$85:$C$164,$C442,'Key inputs_Refineries'!$B$85:$B$164,"Boiler")/SUM(SUMIFS('Key inputs_Refineries'!X$85:X$164,'Key inputs_Refineries'!$C$85:$C$164,$C442:$C451,'Key inputs_Refineries'!$B$85:$B$164,"Boiler"))),0)</f>
        <v>0</v>
      </c>
      <c r="AE442" s="173" cm="1">
        <f t="array" ref="AE442">IFERROR(IF(AND(SUMIFS('Key inputs_Refineries'!Y$85:Y$164,'Key inputs_Refineries'!$C$85:$C$164,$C442,'Key inputs_Refineries'!$B$85:$B$164,"Boiler")/SUM(SUMIFS('Key inputs_Refineries'!Y$85:Y$164,'Key inputs_Refineries'!$C$85:$C$164,$C442:$C451,'Key inputs_Refineries'!$B$85:$B$164,"Boiler"))&gt;0,SUMIFS('Key inputs_Refineries'!Y$85:Y$164,'Key inputs_Refineries'!$C$85:$C$164,$C442,'Key inputs_Refineries'!$B$85:$B$164,"Boiler")/SUM(SUMIFS('Key inputs_Refineries'!Y$85:Y$164,'Key inputs_Refineries'!$C$85:$C$164,$C442:$C451,'Key inputs_Refineries'!$B$85:$B$164,"Boiler"))&lt;0.001),0.001,SUMIFS('Key inputs_Refineries'!Y$85:Y$164,'Key inputs_Refineries'!$C$85:$C$164,$C442,'Key inputs_Refineries'!$B$85:$B$164,"Boiler")/SUM(SUMIFS('Key inputs_Refineries'!Y$85:Y$164,'Key inputs_Refineries'!$C$85:$C$164,$C442:$C451,'Key inputs_Refineries'!$B$85:$B$164,"Boiler"))),0)</f>
        <v>1E-3</v>
      </c>
      <c r="AF442" s="173" cm="1">
        <f t="array" ref="AF442">IFERROR(IF(AND(SUMIFS('Key inputs_Refineries'!Z$85:Z$164,'Key inputs_Refineries'!$C$85:$C$164,$C442,'Key inputs_Refineries'!$B$85:$B$164,"Boiler")/SUM(SUMIFS('Key inputs_Refineries'!Z$85:Z$164,'Key inputs_Refineries'!$C$85:$C$164,$C442:$C451,'Key inputs_Refineries'!$B$85:$B$164,"Boiler"))&gt;0,SUMIFS('Key inputs_Refineries'!Z$85:Z$164,'Key inputs_Refineries'!$C$85:$C$164,$C442,'Key inputs_Refineries'!$B$85:$B$164,"Boiler")/SUM(SUMIFS('Key inputs_Refineries'!Z$85:Z$164,'Key inputs_Refineries'!$C$85:$C$164,$C442:$C451,'Key inputs_Refineries'!$B$85:$B$164,"Boiler"))&lt;0.001),0.001,SUMIFS('Key inputs_Refineries'!Z$85:Z$164,'Key inputs_Refineries'!$C$85:$C$164,$C442,'Key inputs_Refineries'!$B$85:$B$164,"Boiler")/SUM(SUMIFS('Key inputs_Refineries'!Z$85:Z$164,'Key inputs_Refineries'!$C$85:$C$164,$C442:$C451,'Key inputs_Refineries'!$B$85:$B$164,"Boiler"))),0)</f>
        <v>0</v>
      </c>
      <c r="AG442" s="173" cm="1">
        <f t="array" ref="AG442">IFERROR(IF(AND(SUMIFS('Key inputs_Refineries'!AA$85:AA$164,'Key inputs_Refineries'!$C$85:$C$164,$C442,'Key inputs_Refineries'!$B$85:$B$164,"Boiler")/SUM(SUMIFS('Key inputs_Refineries'!AA$85:AA$164,'Key inputs_Refineries'!$C$85:$C$164,$C442:$C451,'Key inputs_Refineries'!$B$85:$B$164,"Boiler"))&gt;0,SUMIFS('Key inputs_Refineries'!AA$85:AA$164,'Key inputs_Refineries'!$C$85:$C$164,$C442,'Key inputs_Refineries'!$B$85:$B$164,"Boiler")/SUM(SUMIFS('Key inputs_Refineries'!AA$85:AA$164,'Key inputs_Refineries'!$C$85:$C$164,$C442:$C451,'Key inputs_Refineries'!$B$85:$B$164,"Boiler"))&lt;0.001),0.001,SUMIFS('Key inputs_Refineries'!AA$85:AA$164,'Key inputs_Refineries'!$C$85:$C$164,$C442,'Key inputs_Refineries'!$B$85:$B$164,"Boiler")/SUM(SUMIFS('Key inputs_Refineries'!AA$85:AA$164,'Key inputs_Refineries'!$C$85:$C$164,$C442:$C451,'Key inputs_Refineries'!$B$85:$B$164,"Boiler"))),0)</f>
        <v>0</v>
      </c>
      <c r="AH442" s="173" cm="1">
        <f t="array" ref="AH442">IFERROR(IF(AND(SUMIFS('Key inputs_Refineries'!AB$85:AB$164,'Key inputs_Refineries'!$C$85:$C$164,$C442,'Key inputs_Refineries'!$B$85:$B$164,"Boiler")/SUM(SUMIFS('Key inputs_Refineries'!AB$85:AB$164,'Key inputs_Refineries'!$C$85:$C$164,$C442:$C451,'Key inputs_Refineries'!$B$85:$B$164,"Boiler"))&gt;0,SUMIFS('Key inputs_Refineries'!AB$85:AB$164,'Key inputs_Refineries'!$C$85:$C$164,$C442,'Key inputs_Refineries'!$B$85:$B$164,"Boiler")/SUM(SUMIFS('Key inputs_Refineries'!AB$85:AB$164,'Key inputs_Refineries'!$C$85:$C$164,$C442:$C451,'Key inputs_Refineries'!$B$85:$B$164,"Boiler"))&lt;0.001),0.001,SUMIFS('Key inputs_Refineries'!AB$85:AB$164,'Key inputs_Refineries'!$C$85:$C$164,$C442,'Key inputs_Refineries'!$B$85:$B$164,"Boiler")/SUM(SUMIFS('Key inputs_Refineries'!AB$85:AB$164,'Key inputs_Refineries'!$C$85:$C$164,$C442:$C451,'Key inputs_Refineries'!$B$85:$B$164,"Boiler"))),0)</f>
        <v>0</v>
      </c>
      <c r="AI442" s="173" cm="1">
        <f t="array" ref="AI442">IFERROR(IF(AND(SUMIFS('Key inputs_Refineries'!AC$85:AC$164,'Key inputs_Refineries'!$C$85:$C$164,$C442,'Key inputs_Refineries'!$B$85:$B$164,"Boiler")/SUM(SUMIFS('Key inputs_Refineries'!AC$85:AC$164,'Key inputs_Refineries'!$C$85:$C$164,$C442:$C451,'Key inputs_Refineries'!$B$85:$B$164,"Boiler"))&gt;0,SUMIFS('Key inputs_Refineries'!AC$85:AC$164,'Key inputs_Refineries'!$C$85:$C$164,$C442,'Key inputs_Refineries'!$B$85:$B$164,"Boiler")/SUM(SUMIFS('Key inputs_Refineries'!AC$85:AC$164,'Key inputs_Refineries'!$C$85:$C$164,$C442:$C451,'Key inputs_Refineries'!$B$85:$B$164,"Boiler"))&lt;0.001),0.001,SUMIFS('Key inputs_Refineries'!AC$85:AC$164,'Key inputs_Refineries'!$C$85:$C$164,$C442,'Key inputs_Refineries'!$B$85:$B$164,"Boiler")/SUM(SUMIFS('Key inputs_Refineries'!AC$85:AC$164,'Key inputs_Refineries'!$C$85:$C$164,$C442:$C451,'Key inputs_Refineries'!$B$85:$B$164,"Boiler"))),0)</f>
        <v>0</v>
      </c>
      <c r="AJ442" s="173" cm="1">
        <f t="array" ref="AJ442">IFERROR(IF(AND(SUMIFS('Key inputs_Refineries'!AD$85:AD$164,'Key inputs_Refineries'!$C$85:$C$164,$C442,'Key inputs_Refineries'!$B$85:$B$164,"Boiler")/SUM(SUMIFS('Key inputs_Refineries'!AD$85:AD$164,'Key inputs_Refineries'!$C$85:$C$164,$C442:$C451,'Key inputs_Refineries'!$B$85:$B$164,"Boiler"))&gt;0,SUMIFS('Key inputs_Refineries'!AD$85:AD$164,'Key inputs_Refineries'!$C$85:$C$164,$C442,'Key inputs_Refineries'!$B$85:$B$164,"Boiler")/SUM(SUMIFS('Key inputs_Refineries'!AD$85:AD$164,'Key inputs_Refineries'!$C$85:$C$164,$C442:$C451,'Key inputs_Refineries'!$B$85:$B$164,"Boiler"))&lt;0.001),0.001,SUMIFS('Key inputs_Refineries'!AD$85:AD$164,'Key inputs_Refineries'!$C$85:$C$164,$C442,'Key inputs_Refineries'!$B$85:$B$164,"Boiler")/SUM(SUMIFS('Key inputs_Refineries'!AD$85:AD$164,'Key inputs_Refineries'!$C$85:$C$164,$C442:$C451,'Key inputs_Refineries'!$B$85:$B$164,"Boiler"))),0)</f>
        <v>0</v>
      </c>
      <c r="AK442" s="173" cm="1">
        <f t="array" ref="AK442">IFERROR(IF(AND(SUMIFS('Key inputs_Refineries'!AE$85:AE$164,'Key inputs_Refineries'!$C$85:$C$164,$C442,'Key inputs_Refineries'!$B$85:$B$164,"Boiler")/SUM(SUMIFS('Key inputs_Refineries'!AE$85:AE$164,'Key inputs_Refineries'!$C$85:$C$164,$C442:$C451,'Key inputs_Refineries'!$B$85:$B$164,"Boiler"))&gt;0,SUMIFS('Key inputs_Refineries'!AE$85:AE$164,'Key inputs_Refineries'!$C$85:$C$164,$C442,'Key inputs_Refineries'!$B$85:$B$164,"Boiler")/SUM(SUMIFS('Key inputs_Refineries'!AE$85:AE$164,'Key inputs_Refineries'!$C$85:$C$164,$C442:$C451,'Key inputs_Refineries'!$B$85:$B$164,"Boiler"))&lt;0.001),0.001,SUMIFS('Key inputs_Refineries'!AE$85:AE$164,'Key inputs_Refineries'!$C$85:$C$164,$C442,'Key inputs_Refineries'!$B$85:$B$164,"Boiler")/SUM(SUMIFS('Key inputs_Refineries'!AE$85:AE$164,'Key inputs_Refineries'!$C$85:$C$164,$C442:$C451,'Key inputs_Refineries'!$B$85:$B$164,"Boiler"))),0)</f>
        <v>0</v>
      </c>
      <c r="AL442" s="173" cm="1">
        <f t="array" ref="AL442">IFERROR(IF(AND(SUMIFS('Key inputs_Refineries'!AF$85:AF$164,'Key inputs_Refineries'!$C$85:$C$164,$C442,'Key inputs_Refineries'!$B$85:$B$164,"Boiler")/SUM(SUMIFS('Key inputs_Refineries'!AF$85:AF$164,'Key inputs_Refineries'!$C$85:$C$164,$C442:$C451,'Key inputs_Refineries'!$B$85:$B$164,"Boiler"))&gt;0,SUMIFS('Key inputs_Refineries'!AF$85:AF$164,'Key inputs_Refineries'!$C$85:$C$164,$C442,'Key inputs_Refineries'!$B$85:$B$164,"Boiler")/SUM(SUMIFS('Key inputs_Refineries'!AF$85:AF$164,'Key inputs_Refineries'!$C$85:$C$164,$C442:$C451,'Key inputs_Refineries'!$B$85:$B$164,"Boiler"))&lt;0.001),0.001,SUMIFS('Key inputs_Refineries'!AF$85:AF$164,'Key inputs_Refineries'!$C$85:$C$164,$C442,'Key inputs_Refineries'!$B$85:$B$164,"Boiler")/SUM(SUMIFS('Key inputs_Refineries'!AF$85:AF$164,'Key inputs_Refineries'!$C$85:$C$164,$C442:$C451,'Key inputs_Refineries'!$B$85:$B$164,"Boiler"))),0)</f>
        <v>0</v>
      </c>
      <c r="AT442" s="4"/>
      <c r="AU442" s="4"/>
    </row>
    <row r="443" spans="1:47">
      <c r="C443" t="str">
        <f>Commodities!$C$90</f>
        <v>UPSDSL</v>
      </c>
      <c r="G443" s="4" t="s">
        <v>702</v>
      </c>
      <c r="H443" t="s">
        <v>661</v>
      </c>
      <c r="I443">
        <v>2019</v>
      </c>
      <c r="J443" t="s">
        <v>650</v>
      </c>
      <c r="K443" s="173" cm="1">
        <f t="array" ref="K443">IFERROR(IF(AND(SUMIFS('Key inputs_Refineries'!E$85:E$164,'Key inputs_Refineries'!$C$85:$C$164,$C443,'Key inputs_Refineries'!$B$85:$B$164,"Boiler")/SUM(SUMIFS('Key inputs_Refineries'!E$85:E$164,'Key inputs_Refineries'!$C$85:$C$164,$C442:$C451,'Key inputs_Refineries'!$B$85:$B$164,"Boiler"))&gt;0,SUMIFS('Key inputs_Refineries'!E$85:E$164,'Key inputs_Refineries'!$C$85:$C$164,$C443,'Key inputs_Refineries'!$B$85:$B$164,"Boiler")/SUM(SUMIFS('Key inputs_Refineries'!E$85:E$164,'Key inputs_Refineries'!$C$85:$C$164,$C442:$C451,'Key inputs_Refineries'!$B$85:$B$164,"Boiler"))&lt;0.001),0.001,SUMIFS('Key inputs_Refineries'!E$85:E$164,'Key inputs_Refineries'!$C$85:$C$164,$C443,'Key inputs_Refineries'!$B$85:$B$164,"Boiler")/SUM(SUMIFS('Key inputs_Refineries'!E$85:E$164,'Key inputs_Refineries'!$C$85:$C$164,$C442:$C451,'Key inputs_Refineries'!$B$85:$B$164,"Boiler"))),0)</f>
        <v>0</v>
      </c>
      <c r="L443" s="173" cm="1">
        <f t="array" ref="L443">IFERROR(IF(AND(SUMIFS('Key inputs_Refineries'!F$85:F$164,'Key inputs_Refineries'!$C$85:$C$164,$C443,'Key inputs_Refineries'!$B$85:$B$164,"Boiler")/SUM(SUMIFS('Key inputs_Refineries'!F$85:F$164,'Key inputs_Refineries'!$C$85:$C$164,$C442:$C451,'Key inputs_Refineries'!$B$85:$B$164,"Boiler"))&gt;0,SUMIFS('Key inputs_Refineries'!F$85:F$164,'Key inputs_Refineries'!$C$85:$C$164,$C443,'Key inputs_Refineries'!$B$85:$B$164,"Boiler")/SUM(SUMIFS('Key inputs_Refineries'!F$85:F$164,'Key inputs_Refineries'!$C$85:$C$164,$C442:$C451,'Key inputs_Refineries'!$B$85:$B$164,"Boiler"))&lt;0.001),0.001,SUMIFS('Key inputs_Refineries'!F$85:F$164,'Key inputs_Refineries'!$C$85:$C$164,$C443,'Key inputs_Refineries'!$B$85:$B$164,"Boiler")/SUM(SUMIFS('Key inputs_Refineries'!F$85:F$164,'Key inputs_Refineries'!$C$85:$C$164,$C442:$C451,'Key inputs_Refineries'!$B$85:$B$164,"Boiler"))),0)</f>
        <v>0</v>
      </c>
      <c r="M443" s="173" cm="1">
        <f t="array" ref="M443">IFERROR(IF(AND(SUMIFS('Key inputs_Refineries'!G$85:G$164,'Key inputs_Refineries'!$C$85:$C$164,$C443,'Key inputs_Refineries'!$B$85:$B$164,"Boiler")/SUM(SUMIFS('Key inputs_Refineries'!G$85:G$164,'Key inputs_Refineries'!$C$85:$C$164,$C442:$C451,'Key inputs_Refineries'!$B$85:$B$164,"Boiler"))&gt;0,SUMIFS('Key inputs_Refineries'!G$85:G$164,'Key inputs_Refineries'!$C$85:$C$164,$C443,'Key inputs_Refineries'!$B$85:$B$164,"Boiler")/SUM(SUMIFS('Key inputs_Refineries'!G$85:G$164,'Key inputs_Refineries'!$C$85:$C$164,$C442:$C451,'Key inputs_Refineries'!$B$85:$B$164,"Boiler"))&lt;0.001),0.001,SUMIFS('Key inputs_Refineries'!G$85:G$164,'Key inputs_Refineries'!$C$85:$C$164,$C443,'Key inputs_Refineries'!$B$85:$B$164,"Boiler")/SUM(SUMIFS('Key inputs_Refineries'!G$85:G$164,'Key inputs_Refineries'!$C$85:$C$164,$C442:$C451,'Key inputs_Refineries'!$B$85:$B$164,"Boiler"))),0)</f>
        <v>5.4967007249105165E-2</v>
      </c>
      <c r="N443" s="173" cm="1">
        <f t="array" ref="N443">IFERROR(IF(AND(SUMIFS('Key inputs_Refineries'!H$85:H$164,'Key inputs_Refineries'!$C$85:$C$164,$C443,'Key inputs_Refineries'!$B$85:$B$164,"Boiler")/SUM(SUMIFS('Key inputs_Refineries'!H$85:H$164,'Key inputs_Refineries'!$C$85:$C$164,$C442:$C451,'Key inputs_Refineries'!$B$85:$B$164,"Boiler"))&gt;0,SUMIFS('Key inputs_Refineries'!H$85:H$164,'Key inputs_Refineries'!$C$85:$C$164,$C443,'Key inputs_Refineries'!$B$85:$B$164,"Boiler")/SUM(SUMIFS('Key inputs_Refineries'!H$85:H$164,'Key inputs_Refineries'!$C$85:$C$164,$C442:$C451,'Key inputs_Refineries'!$B$85:$B$164,"Boiler"))&lt;0.001),0.001,SUMIFS('Key inputs_Refineries'!H$85:H$164,'Key inputs_Refineries'!$C$85:$C$164,$C443,'Key inputs_Refineries'!$B$85:$B$164,"Boiler")/SUM(SUMIFS('Key inputs_Refineries'!H$85:H$164,'Key inputs_Refineries'!$C$85:$C$164,$C442:$C451,'Key inputs_Refineries'!$B$85:$B$164,"Boiler"))),0)</f>
        <v>0</v>
      </c>
      <c r="O443" s="173" cm="1">
        <f t="array" ref="O443">IFERROR(IF(AND(SUMIFS('Key inputs_Refineries'!I$85:I$164,'Key inputs_Refineries'!$C$85:$C$164,$C443,'Key inputs_Refineries'!$B$85:$B$164,"Boiler")/SUM(SUMIFS('Key inputs_Refineries'!I$85:I$164,'Key inputs_Refineries'!$C$85:$C$164,$C442:$C451,'Key inputs_Refineries'!$B$85:$B$164,"Boiler"))&gt;0,SUMIFS('Key inputs_Refineries'!I$85:I$164,'Key inputs_Refineries'!$C$85:$C$164,$C443,'Key inputs_Refineries'!$B$85:$B$164,"Boiler")/SUM(SUMIFS('Key inputs_Refineries'!I$85:I$164,'Key inputs_Refineries'!$C$85:$C$164,$C442:$C451,'Key inputs_Refineries'!$B$85:$B$164,"Boiler"))&lt;0.001),0.001,SUMIFS('Key inputs_Refineries'!I$85:I$164,'Key inputs_Refineries'!$C$85:$C$164,$C443,'Key inputs_Refineries'!$B$85:$B$164,"Boiler")/SUM(SUMIFS('Key inputs_Refineries'!I$85:I$164,'Key inputs_Refineries'!$C$85:$C$164,$C442:$C451,'Key inputs_Refineries'!$B$85:$B$164,"Boiler"))),0)</f>
        <v>0</v>
      </c>
      <c r="P443" s="173" cm="1">
        <f t="array" ref="P443">IFERROR(IF(AND(SUMIFS('Key inputs_Refineries'!J$85:J$164,'Key inputs_Refineries'!$C$85:$C$164,$C443,'Key inputs_Refineries'!$B$85:$B$164,"Boiler")/SUM(SUMIFS('Key inputs_Refineries'!J$85:J$164,'Key inputs_Refineries'!$C$85:$C$164,$C442:$C451,'Key inputs_Refineries'!$B$85:$B$164,"Boiler"))&gt;0,SUMIFS('Key inputs_Refineries'!J$85:J$164,'Key inputs_Refineries'!$C$85:$C$164,$C443,'Key inputs_Refineries'!$B$85:$B$164,"Boiler")/SUM(SUMIFS('Key inputs_Refineries'!J$85:J$164,'Key inputs_Refineries'!$C$85:$C$164,$C442:$C451,'Key inputs_Refineries'!$B$85:$B$164,"Boiler"))&lt;0.001),0.001,SUMIFS('Key inputs_Refineries'!J$85:J$164,'Key inputs_Refineries'!$C$85:$C$164,$C443,'Key inputs_Refineries'!$B$85:$B$164,"Boiler")/SUM(SUMIFS('Key inputs_Refineries'!J$85:J$164,'Key inputs_Refineries'!$C$85:$C$164,$C442:$C451,'Key inputs_Refineries'!$B$85:$B$164,"Boiler"))),0)</f>
        <v>7.5112298847973434E-3</v>
      </c>
      <c r="Q443" s="173" cm="1">
        <f t="array" ref="Q443">IFERROR(IF(AND(SUMIFS('Key inputs_Refineries'!K$85:K$164,'Key inputs_Refineries'!$C$85:$C$164,$C443,'Key inputs_Refineries'!$B$85:$B$164,"Boiler")/SUM(SUMIFS('Key inputs_Refineries'!K$85:K$164,'Key inputs_Refineries'!$C$85:$C$164,$C442:$C451,'Key inputs_Refineries'!$B$85:$B$164,"Boiler"))&gt;0,SUMIFS('Key inputs_Refineries'!K$85:K$164,'Key inputs_Refineries'!$C$85:$C$164,$C443,'Key inputs_Refineries'!$B$85:$B$164,"Boiler")/SUM(SUMIFS('Key inputs_Refineries'!K$85:K$164,'Key inputs_Refineries'!$C$85:$C$164,$C442:$C451,'Key inputs_Refineries'!$B$85:$B$164,"Boiler"))&lt;0.001),0.001,SUMIFS('Key inputs_Refineries'!K$85:K$164,'Key inputs_Refineries'!$C$85:$C$164,$C443,'Key inputs_Refineries'!$B$85:$B$164,"Boiler")/SUM(SUMIFS('Key inputs_Refineries'!K$85:K$164,'Key inputs_Refineries'!$C$85:$C$164,$C442:$C451,'Key inputs_Refineries'!$B$85:$B$164,"Boiler"))),0)</f>
        <v>1.3591105951689957E-2</v>
      </c>
      <c r="R443" s="173" cm="1">
        <f t="array" ref="R443">IFERROR(IF(AND(SUMIFS('Key inputs_Refineries'!L$85:L$164,'Key inputs_Refineries'!$C$85:$C$164,$C443,'Key inputs_Refineries'!$B$85:$B$164,"Boiler")/SUM(SUMIFS('Key inputs_Refineries'!L$85:L$164,'Key inputs_Refineries'!$C$85:$C$164,$C442:$C451,'Key inputs_Refineries'!$B$85:$B$164,"Boiler"))&gt;0,SUMIFS('Key inputs_Refineries'!L$85:L$164,'Key inputs_Refineries'!$C$85:$C$164,$C443,'Key inputs_Refineries'!$B$85:$B$164,"Boiler")/SUM(SUMIFS('Key inputs_Refineries'!L$85:L$164,'Key inputs_Refineries'!$C$85:$C$164,$C442:$C451,'Key inputs_Refineries'!$B$85:$B$164,"Boiler"))&lt;0.001),0.001,SUMIFS('Key inputs_Refineries'!L$85:L$164,'Key inputs_Refineries'!$C$85:$C$164,$C443,'Key inputs_Refineries'!$B$85:$B$164,"Boiler")/SUM(SUMIFS('Key inputs_Refineries'!L$85:L$164,'Key inputs_Refineries'!$C$85:$C$164,$C442:$C451,'Key inputs_Refineries'!$B$85:$B$164,"Boiler"))),0)</f>
        <v>0</v>
      </c>
      <c r="S443" s="173" cm="1">
        <f t="array" ref="S443">IFERROR(IF(AND(SUMIFS('Key inputs_Refineries'!M$85:M$164,'Key inputs_Refineries'!$C$85:$C$164,$C443,'Key inputs_Refineries'!$B$85:$B$164,"Boiler")/SUM(SUMIFS('Key inputs_Refineries'!M$85:M$164,'Key inputs_Refineries'!$C$85:$C$164,$C442:$C451,'Key inputs_Refineries'!$B$85:$B$164,"Boiler"))&gt;0,SUMIFS('Key inputs_Refineries'!M$85:M$164,'Key inputs_Refineries'!$C$85:$C$164,$C443,'Key inputs_Refineries'!$B$85:$B$164,"Boiler")/SUM(SUMIFS('Key inputs_Refineries'!M$85:M$164,'Key inputs_Refineries'!$C$85:$C$164,$C442:$C451,'Key inputs_Refineries'!$B$85:$B$164,"Boiler"))&lt;0.001),0.001,SUMIFS('Key inputs_Refineries'!M$85:M$164,'Key inputs_Refineries'!$C$85:$C$164,$C443,'Key inputs_Refineries'!$B$85:$B$164,"Boiler")/SUM(SUMIFS('Key inputs_Refineries'!M$85:M$164,'Key inputs_Refineries'!$C$85:$C$164,$C442:$C451,'Key inputs_Refineries'!$B$85:$B$164,"Boiler"))),0)</f>
        <v>3.5051732768259555E-2</v>
      </c>
      <c r="T443" s="173" cm="1">
        <f t="array" ref="T443">IFERROR(IF(AND(SUMIFS('Key inputs_Refineries'!N$85:N$164,'Key inputs_Refineries'!$C$85:$C$164,$C443,'Key inputs_Refineries'!$B$85:$B$164,"Boiler")/SUM(SUMIFS('Key inputs_Refineries'!N$85:N$164,'Key inputs_Refineries'!$C$85:$C$164,$C442:$C451,'Key inputs_Refineries'!$B$85:$B$164,"Boiler"))&gt;0,SUMIFS('Key inputs_Refineries'!N$85:N$164,'Key inputs_Refineries'!$C$85:$C$164,$C443,'Key inputs_Refineries'!$B$85:$B$164,"Boiler")/SUM(SUMIFS('Key inputs_Refineries'!N$85:N$164,'Key inputs_Refineries'!$C$85:$C$164,$C442:$C451,'Key inputs_Refineries'!$B$85:$B$164,"Boiler"))&lt;0.001),0.001,SUMIFS('Key inputs_Refineries'!N$85:N$164,'Key inputs_Refineries'!$C$85:$C$164,$C443,'Key inputs_Refineries'!$B$85:$B$164,"Boiler")/SUM(SUMIFS('Key inputs_Refineries'!N$85:N$164,'Key inputs_Refineries'!$C$85:$C$164,$C442:$C451,'Key inputs_Refineries'!$B$85:$B$164,"Boiler"))),0)</f>
        <v>8.6333554563383288E-3</v>
      </c>
      <c r="U443" s="173" cm="1">
        <f t="array" ref="U443">IFERROR(IF(AND(SUMIFS('Key inputs_Refineries'!O$85:O$164,'Key inputs_Refineries'!$C$85:$C$164,$C443,'Key inputs_Refineries'!$B$85:$B$164,"Boiler")/SUM(SUMIFS('Key inputs_Refineries'!O$85:O$164,'Key inputs_Refineries'!$C$85:$C$164,$C442:$C451,'Key inputs_Refineries'!$B$85:$B$164,"Boiler"))&gt;0,SUMIFS('Key inputs_Refineries'!O$85:O$164,'Key inputs_Refineries'!$C$85:$C$164,$C443,'Key inputs_Refineries'!$B$85:$B$164,"Boiler")/SUM(SUMIFS('Key inputs_Refineries'!O$85:O$164,'Key inputs_Refineries'!$C$85:$C$164,$C442:$C451,'Key inputs_Refineries'!$B$85:$B$164,"Boiler"))&lt;0.001),0.001,SUMIFS('Key inputs_Refineries'!O$85:O$164,'Key inputs_Refineries'!$C$85:$C$164,$C443,'Key inputs_Refineries'!$B$85:$B$164,"Boiler")/SUM(SUMIFS('Key inputs_Refineries'!O$85:O$164,'Key inputs_Refineries'!$C$85:$C$164,$C442:$C451,'Key inputs_Refineries'!$B$85:$B$164,"Boiler"))),0)</f>
        <v>0</v>
      </c>
      <c r="V443" s="173" cm="1">
        <f t="array" ref="V443">IFERROR(IF(AND(SUMIFS('Key inputs_Refineries'!P$85:P$164,'Key inputs_Refineries'!$C$85:$C$164,$C443,'Key inputs_Refineries'!$B$85:$B$164,"Boiler")/SUM(SUMIFS('Key inputs_Refineries'!P$85:P$164,'Key inputs_Refineries'!$C$85:$C$164,$C442:$C451,'Key inputs_Refineries'!$B$85:$B$164,"Boiler"))&gt;0,SUMIFS('Key inputs_Refineries'!P$85:P$164,'Key inputs_Refineries'!$C$85:$C$164,$C443,'Key inputs_Refineries'!$B$85:$B$164,"Boiler")/SUM(SUMIFS('Key inputs_Refineries'!P$85:P$164,'Key inputs_Refineries'!$C$85:$C$164,$C442:$C451,'Key inputs_Refineries'!$B$85:$B$164,"Boiler"))&lt;0.001),0.001,SUMIFS('Key inputs_Refineries'!P$85:P$164,'Key inputs_Refineries'!$C$85:$C$164,$C443,'Key inputs_Refineries'!$B$85:$B$164,"Boiler")/SUM(SUMIFS('Key inputs_Refineries'!P$85:P$164,'Key inputs_Refineries'!$C$85:$C$164,$C442:$C451,'Key inputs_Refineries'!$B$85:$B$164,"Boiler"))),0)</f>
        <v>5.6882967399520768E-3</v>
      </c>
      <c r="W443" s="173" cm="1">
        <f t="array" ref="W443">IFERROR(IF(AND(SUMIFS('Key inputs_Refineries'!Q$85:Q$164,'Key inputs_Refineries'!$C$85:$C$164,$C443,'Key inputs_Refineries'!$B$85:$B$164,"Boiler")/SUM(SUMIFS('Key inputs_Refineries'!Q$85:Q$164,'Key inputs_Refineries'!$C$85:$C$164,$C442:$C451,'Key inputs_Refineries'!$B$85:$B$164,"Boiler"))&gt;0,SUMIFS('Key inputs_Refineries'!Q$85:Q$164,'Key inputs_Refineries'!$C$85:$C$164,$C443,'Key inputs_Refineries'!$B$85:$B$164,"Boiler")/SUM(SUMIFS('Key inputs_Refineries'!Q$85:Q$164,'Key inputs_Refineries'!$C$85:$C$164,$C442:$C451,'Key inputs_Refineries'!$B$85:$B$164,"Boiler"))&lt;0.001),0.001,SUMIFS('Key inputs_Refineries'!Q$85:Q$164,'Key inputs_Refineries'!$C$85:$C$164,$C443,'Key inputs_Refineries'!$B$85:$B$164,"Boiler")/SUM(SUMIFS('Key inputs_Refineries'!Q$85:Q$164,'Key inputs_Refineries'!$C$85:$C$164,$C442:$C451,'Key inputs_Refineries'!$B$85:$B$164,"Boiler"))),0)</f>
        <v>0</v>
      </c>
      <c r="X443" s="173" cm="1">
        <f t="array" ref="X443">IFERROR(IF(AND(SUMIFS('Key inputs_Refineries'!R$85:R$164,'Key inputs_Refineries'!$C$85:$C$164,$C443,'Key inputs_Refineries'!$B$85:$B$164,"Boiler")/SUM(SUMIFS('Key inputs_Refineries'!R$85:R$164,'Key inputs_Refineries'!$C$85:$C$164,$C442:$C451,'Key inputs_Refineries'!$B$85:$B$164,"Boiler"))&gt;0,SUMIFS('Key inputs_Refineries'!R$85:R$164,'Key inputs_Refineries'!$C$85:$C$164,$C443,'Key inputs_Refineries'!$B$85:$B$164,"Boiler")/SUM(SUMIFS('Key inputs_Refineries'!R$85:R$164,'Key inputs_Refineries'!$C$85:$C$164,$C442:$C451,'Key inputs_Refineries'!$B$85:$B$164,"Boiler"))&lt;0.001),0.001,SUMIFS('Key inputs_Refineries'!R$85:R$164,'Key inputs_Refineries'!$C$85:$C$164,$C443,'Key inputs_Refineries'!$B$85:$B$164,"Boiler")/SUM(SUMIFS('Key inputs_Refineries'!R$85:R$164,'Key inputs_Refineries'!$C$85:$C$164,$C442:$C451,'Key inputs_Refineries'!$B$85:$B$164,"Boiler"))),0)</f>
        <v>0</v>
      </c>
      <c r="Y443" s="173" cm="1">
        <f t="array" ref="Y443">IFERROR(IF(AND(SUMIFS('Key inputs_Refineries'!S$85:S$164,'Key inputs_Refineries'!$C$85:$C$164,$C443,'Key inputs_Refineries'!$B$85:$B$164,"Boiler")/SUM(SUMIFS('Key inputs_Refineries'!S$85:S$164,'Key inputs_Refineries'!$C$85:$C$164,$C442:$C451,'Key inputs_Refineries'!$B$85:$B$164,"Boiler"))&gt;0,SUMIFS('Key inputs_Refineries'!S$85:S$164,'Key inputs_Refineries'!$C$85:$C$164,$C443,'Key inputs_Refineries'!$B$85:$B$164,"Boiler")/SUM(SUMIFS('Key inputs_Refineries'!S$85:S$164,'Key inputs_Refineries'!$C$85:$C$164,$C442:$C451,'Key inputs_Refineries'!$B$85:$B$164,"Boiler"))&lt;0.001),0.001,SUMIFS('Key inputs_Refineries'!S$85:S$164,'Key inputs_Refineries'!$C$85:$C$164,$C443,'Key inputs_Refineries'!$B$85:$B$164,"Boiler")/SUM(SUMIFS('Key inputs_Refineries'!S$85:S$164,'Key inputs_Refineries'!$C$85:$C$164,$C442:$C451,'Key inputs_Refineries'!$B$85:$B$164,"Boiler"))),0)</f>
        <v>2.7787994220171155E-3</v>
      </c>
      <c r="Z443" s="173" cm="1">
        <f t="array" ref="Z443">IFERROR(IF(AND(SUMIFS('Key inputs_Refineries'!T$85:T$164,'Key inputs_Refineries'!$C$85:$C$164,$C443,'Key inputs_Refineries'!$B$85:$B$164,"Boiler")/SUM(SUMIFS('Key inputs_Refineries'!T$85:T$164,'Key inputs_Refineries'!$C$85:$C$164,$C442:$C451,'Key inputs_Refineries'!$B$85:$B$164,"Boiler"))&gt;0,SUMIFS('Key inputs_Refineries'!T$85:T$164,'Key inputs_Refineries'!$C$85:$C$164,$C443,'Key inputs_Refineries'!$B$85:$B$164,"Boiler")/SUM(SUMIFS('Key inputs_Refineries'!T$85:T$164,'Key inputs_Refineries'!$C$85:$C$164,$C442:$C451,'Key inputs_Refineries'!$B$85:$B$164,"Boiler"))&lt;0.001),0.001,SUMIFS('Key inputs_Refineries'!T$85:T$164,'Key inputs_Refineries'!$C$85:$C$164,$C443,'Key inputs_Refineries'!$B$85:$B$164,"Boiler")/SUM(SUMIFS('Key inputs_Refineries'!T$85:T$164,'Key inputs_Refineries'!$C$85:$C$164,$C442:$C451,'Key inputs_Refineries'!$B$85:$B$164,"Boiler"))),0)</f>
        <v>7.5121681310049548E-3</v>
      </c>
      <c r="AA443" s="173" cm="1">
        <f t="array" ref="AA443">IFERROR(IF(AND(SUMIFS('Key inputs_Refineries'!U$85:U$164,'Key inputs_Refineries'!$C$85:$C$164,$C443,'Key inputs_Refineries'!$B$85:$B$164,"Boiler")/SUM(SUMIFS('Key inputs_Refineries'!U$85:U$164,'Key inputs_Refineries'!$C$85:$C$164,$C442:$C451,'Key inputs_Refineries'!$B$85:$B$164,"Boiler"))&gt;0,SUMIFS('Key inputs_Refineries'!U$85:U$164,'Key inputs_Refineries'!$C$85:$C$164,$C443,'Key inputs_Refineries'!$B$85:$B$164,"Boiler")/SUM(SUMIFS('Key inputs_Refineries'!U$85:U$164,'Key inputs_Refineries'!$C$85:$C$164,$C442:$C451,'Key inputs_Refineries'!$B$85:$B$164,"Boiler"))&lt;0.001),0.001,SUMIFS('Key inputs_Refineries'!U$85:U$164,'Key inputs_Refineries'!$C$85:$C$164,$C443,'Key inputs_Refineries'!$B$85:$B$164,"Boiler")/SUM(SUMIFS('Key inputs_Refineries'!U$85:U$164,'Key inputs_Refineries'!$C$85:$C$164,$C442:$C451,'Key inputs_Refineries'!$B$85:$B$164,"Boiler"))),0)</f>
        <v>1.3171639290390735E-2</v>
      </c>
      <c r="AB443" s="173" cm="1">
        <f t="array" ref="AB443">IFERROR(IF(AND(SUMIFS('Key inputs_Refineries'!V$85:V$164,'Key inputs_Refineries'!$C$85:$C$164,$C443,'Key inputs_Refineries'!$B$85:$B$164,"Boiler")/SUM(SUMIFS('Key inputs_Refineries'!V$85:V$164,'Key inputs_Refineries'!$C$85:$C$164,$C442:$C451,'Key inputs_Refineries'!$B$85:$B$164,"Boiler"))&gt;0,SUMIFS('Key inputs_Refineries'!V$85:V$164,'Key inputs_Refineries'!$C$85:$C$164,$C443,'Key inputs_Refineries'!$B$85:$B$164,"Boiler")/SUM(SUMIFS('Key inputs_Refineries'!V$85:V$164,'Key inputs_Refineries'!$C$85:$C$164,$C442:$C451,'Key inputs_Refineries'!$B$85:$B$164,"Boiler"))&lt;0.001),0.001,SUMIFS('Key inputs_Refineries'!V$85:V$164,'Key inputs_Refineries'!$C$85:$C$164,$C443,'Key inputs_Refineries'!$B$85:$B$164,"Boiler")/SUM(SUMIFS('Key inputs_Refineries'!V$85:V$164,'Key inputs_Refineries'!$C$85:$C$164,$C442:$C451,'Key inputs_Refineries'!$B$85:$B$164,"Boiler"))),0)</f>
        <v>0.62732289155304854</v>
      </c>
      <c r="AC443" s="173" cm="1">
        <f t="array" ref="AC443">IFERROR(IF(AND(SUMIFS('Key inputs_Refineries'!W$85:W$164,'Key inputs_Refineries'!$C$85:$C$164,$C443,'Key inputs_Refineries'!$B$85:$B$164,"Boiler")/SUM(SUMIFS('Key inputs_Refineries'!W$85:W$164,'Key inputs_Refineries'!$C$85:$C$164,$C442:$C451,'Key inputs_Refineries'!$B$85:$B$164,"Boiler"))&gt;0,SUMIFS('Key inputs_Refineries'!W$85:W$164,'Key inputs_Refineries'!$C$85:$C$164,$C443,'Key inputs_Refineries'!$B$85:$B$164,"Boiler")/SUM(SUMIFS('Key inputs_Refineries'!W$85:W$164,'Key inputs_Refineries'!$C$85:$C$164,$C442:$C451,'Key inputs_Refineries'!$B$85:$B$164,"Boiler"))&lt;0.001),0.001,SUMIFS('Key inputs_Refineries'!W$85:W$164,'Key inputs_Refineries'!$C$85:$C$164,$C443,'Key inputs_Refineries'!$B$85:$B$164,"Boiler")/SUM(SUMIFS('Key inputs_Refineries'!W$85:W$164,'Key inputs_Refineries'!$C$85:$C$164,$C442:$C451,'Key inputs_Refineries'!$B$85:$B$164,"Boiler"))),0)</f>
        <v>0</v>
      </c>
      <c r="AD443" s="173" cm="1">
        <f t="array" ref="AD443">IFERROR(IF(AND(SUMIFS('Key inputs_Refineries'!X$85:X$164,'Key inputs_Refineries'!$C$85:$C$164,$C443,'Key inputs_Refineries'!$B$85:$B$164,"Boiler")/SUM(SUMIFS('Key inputs_Refineries'!X$85:X$164,'Key inputs_Refineries'!$C$85:$C$164,$C442:$C451,'Key inputs_Refineries'!$B$85:$B$164,"Boiler"))&gt;0,SUMIFS('Key inputs_Refineries'!X$85:X$164,'Key inputs_Refineries'!$C$85:$C$164,$C443,'Key inputs_Refineries'!$B$85:$B$164,"Boiler")/SUM(SUMIFS('Key inputs_Refineries'!X$85:X$164,'Key inputs_Refineries'!$C$85:$C$164,$C442:$C451,'Key inputs_Refineries'!$B$85:$B$164,"Boiler"))&lt;0.001),0.001,SUMIFS('Key inputs_Refineries'!X$85:X$164,'Key inputs_Refineries'!$C$85:$C$164,$C443,'Key inputs_Refineries'!$B$85:$B$164,"Boiler")/SUM(SUMIFS('Key inputs_Refineries'!X$85:X$164,'Key inputs_Refineries'!$C$85:$C$164,$C442:$C451,'Key inputs_Refineries'!$B$85:$B$164,"Boiler"))),0)</f>
        <v>9.5552781608146987E-3</v>
      </c>
      <c r="AE443" s="173" cm="1">
        <f t="array" ref="AE443">IFERROR(IF(AND(SUMIFS('Key inputs_Refineries'!Y$85:Y$164,'Key inputs_Refineries'!$C$85:$C$164,$C443,'Key inputs_Refineries'!$B$85:$B$164,"Boiler")/SUM(SUMIFS('Key inputs_Refineries'!Y$85:Y$164,'Key inputs_Refineries'!$C$85:$C$164,$C442:$C451,'Key inputs_Refineries'!$B$85:$B$164,"Boiler"))&gt;0,SUMIFS('Key inputs_Refineries'!Y$85:Y$164,'Key inputs_Refineries'!$C$85:$C$164,$C443,'Key inputs_Refineries'!$B$85:$B$164,"Boiler")/SUM(SUMIFS('Key inputs_Refineries'!Y$85:Y$164,'Key inputs_Refineries'!$C$85:$C$164,$C442:$C451,'Key inputs_Refineries'!$B$85:$B$164,"Boiler"))&lt;0.001),0.001,SUMIFS('Key inputs_Refineries'!Y$85:Y$164,'Key inputs_Refineries'!$C$85:$C$164,$C443,'Key inputs_Refineries'!$B$85:$B$164,"Boiler")/SUM(SUMIFS('Key inputs_Refineries'!Y$85:Y$164,'Key inputs_Refineries'!$C$85:$C$164,$C442:$C451,'Key inputs_Refineries'!$B$85:$B$164,"Boiler"))),0)</f>
        <v>1.5014083212701699E-2</v>
      </c>
      <c r="AF443" s="173" cm="1">
        <f t="array" ref="AF443">IFERROR(IF(AND(SUMIFS('Key inputs_Refineries'!Z$85:Z$164,'Key inputs_Refineries'!$C$85:$C$164,$C443,'Key inputs_Refineries'!$B$85:$B$164,"Boiler")/SUM(SUMIFS('Key inputs_Refineries'!Z$85:Z$164,'Key inputs_Refineries'!$C$85:$C$164,$C442:$C451,'Key inputs_Refineries'!$B$85:$B$164,"Boiler"))&gt;0,SUMIFS('Key inputs_Refineries'!Z$85:Z$164,'Key inputs_Refineries'!$C$85:$C$164,$C443,'Key inputs_Refineries'!$B$85:$B$164,"Boiler")/SUM(SUMIFS('Key inputs_Refineries'!Z$85:Z$164,'Key inputs_Refineries'!$C$85:$C$164,$C442:$C451,'Key inputs_Refineries'!$B$85:$B$164,"Boiler"))&lt;0.001),0.001,SUMIFS('Key inputs_Refineries'!Z$85:Z$164,'Key inputs_Refineries'!$C$85:$C$164,$C443,'Key inputs_Refineries'!$B$85:$B$164,"Boiler")/SUM(SUMIFS('Key inputs_Refineries'!Z$85:Z$164,'Key inputs_Refineries'!$C$85:$C$164,$C442:$C451,'Key inputs_Refineries'!$B$85:$B$164,"Boiler"))),0)</f>
        <v>3.8902919404541575E-2</v>
      </c>
      <c r="AG443" s="173" cm="1">
        <f t="array" ref="AG443">IFERROR(IF(AND(SUMIFS('Key inputs_Refineries'!AA$85:AA$164,'Key inputs_Refineries'!$C$85:$C$164,$C443,'Key inputs_Refineries'!$B$85:$B$164,"Boiler")/SUM(SUMIFS('Key inputs_Refineries'!AA$85:AA$164,'Key inputs_Refineries'!$C$85:$C$164,$C442:$C451,'Key inputs_Refineries'!$B$85:$B$164,"Boiler"))&gt;0,SUMIFS('Key inputs_Refineries'!AA$85:AA$164,'Key inputs_Refineries'!$C$85:$C$164,$C443,'Key inputs_Refineries'!$B$85:$B$164,"Boiler")/SUM(SUMIFS('Key inputs_Refineries'!AA$85:AA$164,'Key inputs_Refineries'!$C$85:$C$164,$C442:$C451,'Key inputs_Refineries'!$B$85:$B$164,"Boiler"))&lt;0.001),0.001,SUMIFS('Key inputs_Refineries'!AA$85:AA$164,'Key inputs_Refineries'!$C$85:$C$164,$C443,'Key inputs_Refineries'!$B$85:$B$164,"Boiler")/SUM(SUMIFS('Key inputs_Refineries'!AA$85:AA$164,'Key inputs_Refineries'!$C$85:$C$164,$C442:$C451,'Key inputs_Refineries'!$B$85:$B$164,"Boiler"))),0)</f>
        <v>3.0454378123189886E-2</v>
      </c>
      <c r="AH443" s="173" cm="1">
        <f t="array" ref="AH443">IFERROR(IF(AND(SUMIFS('Key inputs_Refineries'!AB$85:AB$164,'Key inputs_Refineries'!$C$85:$C$164,$C443,'Key inputs_Refineries'!$B$85:$B$164,"Boiler")/SUM(SUMIFS('Key inputs_Refineries'!AB$85:AB$164,'Key inputs_Refineries'!$C$85:$C$164,$C442:$C451,'Key inputs_Refineries'!$B$85:$B$164,"Boiler"))&gt;0,SUMIFS('Key inputs_Refineries'!AB$85:AB$164,'Key inputs_Refineries'!$C$85:$C$164,$C443,'Key inputs_Refineries'!$B$85:$B$164,"Boiler")/SUM(SUMIFS('Key inputs_Refineries'!AB$85:AB$164,'Key inputs_Refineries'!$C$85:$C$164,$C442:$C451,'Key inputs_Refineries'!$B$85:$B$164,"Boiler"))&lt;0.001),0.001,SUMIFS('Key inputs_Refineries'!AB$85:AB$164,'Key inputs_Refineries'!$C$85:$C$164,$C443,'Key inputs_Refineries'!$B$85:$B$164,"Boiler")/SUM(SUMIFS('Key inputs_Refineries'!AB$85:AB$164,'Key inputs_Refineries'!$C$85:$C$164,$C442:$C451,'Key inputs_Refineries'!$B$85:$B$164,"Boiler"))),0)</f>
        <v>0</v>
      </c>
      <c r="AI443" s="173" cm="1">
        <f t="array" ref="AI443">IFERROR(IF(AND(SUMIFS('Key inputs_Refineries'!AC$85:AC$164,'Key inputs_Refineries'!$C$85:$C$164,$C443,'Key inputs_Refineries'!$B$85:$B$164,"Boiler")/SUM(SUMIFS('Key inputs_Refineries'!AC$85:AC$164,'Key inputs_Refineries'!$C$85:$C$164,$C442:$C451,'Key inputs_Refineries'!$B$85:$B$164,"Boiler"))&gt;0,SUMIFS('Key inputs_Refineries'!AC$85:AC$164,'Key inputs_Refineries'!$C$85:$C$164,$C443,'Key inputs_Refineries'!$B$85:$B$164,"Boiler")/SUM(SUMIFS('Key inputs_Refineries'!AC$85:AC$164,'Key inputs_Refineries'!$C$85:$C$164,$C442:$C451,'Key inputs_Refineries'!$B$85:$B$164,"Boiler"))&lt;0.001),0.001,SUMIFS('Key inputs_Refineries'!AC$85:AC$164,'Key inputs_Refineries'!$C$85:$C$164,$C443,'Key inputs_Refineries'!$B$85:$B$164,"Boiler")/SUM(SUMIFS('Key inputs_Refineries'!AC$85:AC$164,'Key inputs_Refineries'!$C$85:$C$164,$C442:$C451,'Key inputs_Refineries'!$B$85:$B$164,"Boiler"))),0)</f>
        <v>0.10262766484878531</v>
      </c>
      <c r="AJ443" s="173" cm="1">
        <f t="array" ref="AJ443">IFERROR(IF(AND(SUMIFS('Key inputs_Refineries'!AD$85:AD$164,'Key inputs_Refineries'!$C$85:$C$164,$C443,'Key inputs_Refineries'!$B$85:$B$164,"Boiler")/SUM(SUMIFS('Key inputs_Refineries'!AD$85:AD$164,'Key inputs_Refineries'!$C$85:$C$164,$C442:$C451,'Key inputs_Refineries'!$B$85:$B$164,"Boiler"))&gt;0,SUMIFS('Key inputs_Refineries'!AD$85:AD$164,'Key inputs_Refineries'!$C$85:$C$164,$C443,'Key inputs_Refineries'!$B$85:$B$164,"Boiler")/SUM(SUMIFS('Key inputs_Refineries'!AD$85:AD$164,'Key inputs_Refineries'!$C$85:$C$164,$C442:$C451,'Key inputs_Refineries'!$B$85:$B$164,"Boiler"))&lt;0.001),0.001,SUMIFS('Key inputs_Refineries'!AD$85:AD$164,'Key inputs_Refineries'!$C$85:$C$164,$C443,'Key inputs_Refineries'!$B$85:$B$164,"Boiler")/SUM(SUMIFS('Key inputs_Refineries'!AD$85:AD$164,'Key inputs_Refineries'!$C$85:$C$164,$C442:$C451,'Key inputs_Refineries'!$B$85:$B$164,"Boiler"))),0)</f>
        <v>0</v>
      </c>
      <c r="AK443" s="173" cm="1">
        <f t="array" ref="AK443">IFERROR(IF(AND(SUMIFS('Key inputs_Refineries'!AE$85:AE$164,'Key inputs_Refineries'!$C$85:$C$164,$C443,'Key inputs_Refineries'!$B$85:$B$164,"Boiler")/SUM(SUMIFS('Key inputs_Refineries'!AE$85:AE$164,'Key inputs_Refineries'!$C$85:$C$164,$C442:$C451,'Key inputs_Refineries'!$B$85:$B$164,"Boiler"))&gt;0,SUMIFS('Key inputs_Refineries'!AE$85:AE$164,'Key inputs_Refineries'!$C$85:$C$164,$C443,'Key inputs_Refineries'!$B$85:$B$164,"Boiler")/SUM(SUMIFS('Key inputs_Refineries'!AE$85:AE$164,'Key inputs_Refineries'!$C$85:$C$164,$C442:$C451,'Key inputs_Refineries'!$B$85:$B$164,"Boiler"))&lt;0.001),0.001,SUMIFS('Key inputs_Refineries'!AE$85:AE$164,'Key inputs_Refineries'!$C$85:$C$164,$C443,'Key inputs_Refineries'!$B$85:$B$164,"Boiler")/SUM(SUMIFS('Key inputs_Refineries'!AE$85:AE$164,'Key inputs_Refineries'!$C$85:$C$164,$C442:$C451,'Key inputs_Refineries'!$B$85:$B$164,"Boiler"))),0)</f>
        <v>1E-3</v>
      </c>
      <c r="AL443" s="173" cm="1">
        <f t="array" ref="AL443">IFERROR(IF(AND(SUMIFS('Key inputs_Refineries'!AF$85:AF$164,'Key inputs_Refineries'!$C$85:$C$164,$C443,'Key inputs_Refineries'!$B$85:$B$164,"Boiler")/SUM(SUMIFS('Key inputs_Refineries'!AF$85:AF$164,'Key inputs_Refineries'!$C$85:$C$164,$C442:$C451,'Key inputs_Refineries'!$B$85:$B$164,"Boiler"))&gt;0,SUMIFS('Key inputs_Refineries'!AF$85:AF$164,'Key inputs_Refineries'!$C$85:$C$164,$C443,'Key inputs_Refineries'!$B$85:$B$164,"Boiler")/SUM(SUMIFS('Key inputs_Refineries'!AF$85:AF$164,'Key inputs_Refineries'!$C$85:$C$164,$C442:$C451,'Key inputs_Refineries'!$B$85:$B$164,"Boiler"))&lt;0.001),0.001,SUMIFS('Key inputs_Refineries'!AF$85:AF$164,'Key inputs_Refineries'!$C$85:$C$164,$C443,'Key inputs_Refineries'!$B$85:$B$164,"Boiler")/SUM(SUMIFS('Key inputs_Refineries'!AF$85:AF$164,'Key inputs_Refineries'!$C$85:$C$164,$C442:$C451,'Key inputs_Refineries'!$B$85:$B$164,"Boiler"))),0)</f>
        <v>1.1727367954192493E-2</v>
      </c>
    </row>
    <row r="444" spans="1:47">
      <c r="C444" t="str">
        <f>Commodities!$C$81</f>
        <v>UPSBGL</v>
      </c>
      <c r="G444" s="4" t="s">
        <v>702</v>
      </c>
      <c r="H444" t="s">
        <v>661</v>
      </c>
      <c r="I444">
        <v>2019</v>
      </c>
      <c r="J444" t="s">
        <v>650</v>
      </c>
      <c r="K444" s="426">
        <v>0</v>
      </c>
      <c r="L444" s="426">
        <v>0</v>
      </c>
      <c r="M444" s="426">
        <v>0</v>
      </c>
      <c r="N444" s="426">
        <v>0</v>
      </c>
      <c r="O444" s="426">
        <v>0</v>
      </c>
      <c r="P444" s="426">
        <v>0</v>
      </c>
      <c r="Q444" s="426">
        <v>0</v>
      </c>
      <c r="R444" s="426">
        <v>0</v>
      </c>
      <c r="S444" s="426">
        <v>0</v>
      </c>
      <c r="T444" s="426">
        <v>0</v>
      </c>
      <c r="U444" s="426">
        <v>0</v>
      </c>
      <c r="V444" s="426">
        <v>0</v>
      </c>
      <c r="W444" s="426">
        <v>0</v>
      </c>
      <c r="X444" s="426">
        <v>0</v>
      </c>
      <c r="Y444" s="426">
        <v>0</v>
      </c>
      <c r="Z444" s="426">
        <v>0</v>
      </c>
      <c r="AA444" s="426">
        <v>0</v>
      </c>
      <c r="AB444" s="426">
        <v>0</v>
      </c>
      <c r="AC444" s="426">
        <v>0</v>
      </c>
      <c r="AD444" s="426">
        <v>0</v>
      </c>
      <c r="AE444" s="426">
        <v>0</v>
      </c>
      <c r="AF444" s="426">
        <v>0</v>
      </c>
      <c r="AG444" s="426">
        <v>0</v>
      </c>
      <c r="AH444" s="426">
        <v>0</v>
      </c>
      <c r="AI444" s="426">
        <v>0</v>
      </c>
      <c r="AJ444" s="426">
        <v>0</v>
      </c>
      <c r="AK444" s="426">
        <v>0</v>
      </c>
      <c r="AL444" s="426">
        <v>0</v>
      </c>
    </row>
    <row r="445" spans="1:47">
      <c r="C445" t="str">
        <f>Commodities!$C$93</f>
        <v>UPSGSL</v>
      </c>
      <c r="G445" s="4" t="s">
        <v>702</v>
      </c>
      <c r="H445" t="s">
        <v>661</v>
      </c>
      <c r="I445">
        <v>2019</v>
      </c>
      <c r="J445" t="s">
        <v>650</v>
      </c>
      <c r="K445" s="173" cm="1">
        <f t="array" ref="K445">IFERROR(IF(AND(SUMIFS('Key inputs_Refineries'!E$85:E$164,'Key inputs_Refineries'!$C$85:$C$164,$C445,'Key inputs_Refineries'!$B$85:$B$164,"Boiler")/SUM(SUMIFS('Key inputs_Refineries'!E$85:E$164,'Key inputs_Refineries'!$C$85:$C$164,$C442:$C451,'Key inputs_Refineries'!$B$85:$B$164,"Boiler"))&gt;0,SUMIFS('Key inputs_Refineries'!E$85:E$164,'Key inputs_Refineries'!$C$85:$C$164,$C445,'Key inputs_Refineries'!$B$85:$B$164,"Boiler")/SUM(SUMIFS('Key inputs_Refineries'!E$85:E$164,'Key inputs_Refineries'!$C$85:$C$164,$C442:$C451,'Key inputs_Refineries'!$B$85:$B$164,"Boiler"))&lt;0.001),0.001,SUMIFS('Key inputs_Refineries'!E$85:E$164,'Key inputs_Refineries'!$C$85:$C$164,$C445,'Key inputs_Refineries'!$B$85:$B$164,"Boiler")/SUM(SUMIFS('Key inputs_Refineries'!E$85:E$164,'Key inputs_Refineries'!$C$85:$C$164,$C442:$C451,'Key inputs_Refineries'!$B$85:$B$164,"Boiler"))),0)</f>
        <v>0</v>
      </c>
      <c r="L445" s="173" cm="1">
        <f t="array" ref="L445">IFERROR(IF(AND(SUMIFS('Key inputs_Refineries'!F$85:F$164,'Key inputs_Refineries'!$C$85:$C$164,$C445,'Key inputs_Refineries'!$B$85:$B$164,"Boiler")/SUM(SUMIFS('Key inputs_Refineries'!F$85:F$164,'Key inputs_Refineries'!$C$85:$C$164,$C442:$C451,'Key inputs_Refineries'!$B$85:$B$164,"Boiler"))&gt;0,SUMIFS('Key inputs_Refineries'!F$85:F$164,'Key inputs_Refineries'!$C$85:$C$164,$C445,'Key inputs_Refineries'!$B$85:$B$164,"Boiler")/SUM(SUMIFS('Key inputs_Refineries'!F$85:F$164,'Key inputs_Refineries'!$C$85:$C$164,$C442:$C451,'Key inputs_Refineries'!$B$85:$B$164,"Boiler"))&lt;0.001),0.001,SUMIFS('Key inputs_Refineries'!F$85:F$164,'Key inputs_Refineries'!$C$85:$C$164,$C445,'Key inputs_Refineries'!$B$85:$B$164,"Boiler")/SUM(SUMIFS('Key inputs_Refineries'!F$85:F$164,'Key inputs_Refineries'!$C$85:$C$164,$C442:$C451,'Key inputs_Refineries'!$B$85:$B$164,"Boiler"))),0)</f>
        <v>0</v>
      </c>
      <c r="M445" s="173" cm="1">
        <f t="array" ref="M445">IFERROR(IF(AND(SUMIFS('Key inputs_Refineries'!G$85:G$164,'Key inputs_Refineries'!$C$85:$C$164,$C445,'Key inputs_Refineries'!$B$85:$B$164,"Boiler")/SUM(SUMIFS('Key inputs_Refineries'!G$85:G$164,'Key inputs_Refineries'!$C$85:$C$164,$C442:$C451,'Key inputs_Refineries'!$B$85:$B$164,"Boiler"))&gt;0,SUMIFS('Key inputs_Refineries'!G$85:G$164,'Key inputs_Refineries'!$C$85:$C$164,$C445,'Key inputs_Refineries'!$B$85:$B$164,"Boiler")/SUM(SUMIFS('Key inputs_Refineries'!G$85:G$164,'Key inputs_Refineries'!$C$85:$C$164,$C442:$C451,'Key inputs_Refineries'!$B$85:$B$164,"Boiler"))&lt;0.001),0.001,SUMIFS('Key inputs_Refineries'!G$85:G$164,'Key inputs_Refineries'!$C$85:$C$164,$C445,'Key inputs_Refineries'!$B$85:$B$164,"Boiler")/SUM(SUMIFS('Key inputs_Refineries'!G$85:G$164,'Key inputs_Refineries'!$C$85:$C$164,$C442:$C451,'Key inputs_Refineries'!$B$85:$B$164,"Boiler"))),0)</f>
        <v>0</v>
      </c>
      <c r="N445" s="173" cm="1">
        <f t="array" ref="N445">IFERROR(IF(AND(SUMIFS('Key inputs_Refineries'!H$85:H$164,'Key inputs_Refineries'!$C$85:$C$164,$C445,'Key inputs_Refineries'!$B$85:$B$164,"Boiler")/SUM(SUMIFS('Key inputs_Refineries'!H$85:H$164,'Key inputs_Refineries'!$C$85:$C$164,$C442:$C451,'Key inputs_Refineries'!$B$85:$B$164,"Boiler"))&gt;0,SUMIFS('Key inputs_Refineries'!H$85:H$164,'Key inputs_Refineries'!$C$85:$C$164,$C445,'Key inputs_Refineries'!$B$85:$B$164,"Boiler")/SUM(SUMIFS('Key inputs_Refineries'!H$85:H$164,'Key inputs_Refineries'!$C$85:$C$164,$C442:$C451,'Key inputs_Refineries'!$B$85:$B$164,"Boiler"))&lt;0.001),0.001,SUMIFS('Key inputs_Refineries'!H$85:H$164,'Key inputs_Refineries'!$C$85:$C$164,$C445,'Key inputs_Refineries'!$B$85:$B$164,"Boiler")/SUM(SUMIFS('Key inputs_Refineries'!H$85:H$164,'Key inputs_Refineries'!$C$85:$C$164,$C442:$C451,'Key inputs_Refineries'!$B$85:$B$164,"Boiler"))),0)</f>
        <v>0</v>
      </c>
      <c r="O445" s="173" cm="1">
        <f t="array" ref="O445">IFERROR(IF(AND(SUMIFS('Key inputs_Refineries'!I$85:I$164,'Key inputs_Refineries'!$C$85:$C$164,$C445,'Key inputs_Refineries'!$B$85:$B$164,"Boiler")/SUM(SUMIFS('Key inputs_Refineries'!I$85:I$164,'Key inputs_Refineries'!$C$85:$C$164,$C442:$C451,'Key inputs_Refineries'!$B$85:$B$164,"Boiler"))&gt;0,SUMIFS('Key inputs_Refineries'!I$85:I$164,'Key inputs_Refineries'!$C$85:$C$164,$C445,'Key inputs_Refineries'!$B$85:$B$164,"Boiler")/SUM(SUMIFS('Key inputs_Refineries'!I$85:I$164,'Key inputs_Refineries'!$C$85:$C$164,$C442:$C451,'Key inputs_Refineries'!$B$85:$B$164,"Boiler"))&lt;0.001),0.001,SUMIFS('Key inputs_Refineries'!I$85:I$164,'Key inputs_Refineries'!$C$85:$C$164,$C445,'Key inputs_Refineries'!$B$85:$B$164,"Boiler")/SUM(SUMIFS('Key inputs_Refineries'!I$85:I$164,'Key inputs_Refineries'!$C$85:$C$164,$C442:$C451,'Key inputs_Refineries'!$B$85:$B$164,"Boiler"))),0)</f>
        <v>0</v>
      </c>
      <c r="P445" s="173" cm="1">
        <f t="array" ref="P445">IFERROR(IF(AND(SUMIFS('Key inputs_Refineries'!J$85:J$164,'Key inputs_Refineries'!$C$85:$C$164,$C445,'Key inputs_Refineries'!$B$85:$B$164,"Boiler")/SUM(SUMIFS('Key inputs_Refineries'!J$85:J$164,'Key inputs_Refineries'!$C$85:$C$164,$C442:$C451,'Key inputs_Refineries'!$B$85:$B$164,"Boiler"))&gt;0,SUMIFS('Key inputs_Refineries'!J$85:J$164,'Key inputs_Refineries'!$C$85:$C$164,$C445,'Key inputs_Refineries'!$B$85:$B$164,"Boiler")/SUM(SUMIFS('Key inputs_Refineries'!J$85:J$164,'Key inputs_Refineries'!$C$85:$C$164,$C442:$C451,'Key inputs_Refineries'!$B$85:$B$164,"Boiler"))&lt;0.001),0.001,SUMIFS('Key inputs_Refineries'!J$85:J$164,'Key inputs_Refineries'!$C$85:$C$164,$C445,'Key inputs_Refineries'!$B$85:$B$164,"Boiler")/SUM(SUMIFS('Key inputs_Refineries'!J$85:J$164,'Key inputs_Refineries'!$C$85:$C$164,$C442:$C451,'Key inputs_Refineries'!$B$85:$B$164,"Boiler"))),0)</f>
        <v>0</v>
      </c>
      <c r="Q445" s="173" cm="1">
        <f t="array" ref="Q445">IFERROR(IF(AND(SUMIFS('Key inputs_Refineries'!K$85:K$164,'Key inputs_Refineries'!$C$85:$C$164,$C445,'Key inputs_Refineries'!$B$85:$B$164,"Boiler")/SUM(SUMIFS('Key inputs_Refineries'!K$85:K$164,'Key inputs_Refineries'!$C$85:$C$164,$C442:$C451,'Key inputs_Refineries'!$B$85:$B$164,"Boiler"))&gt;0,SUMIFS('Key inputs_Refineries'!K$85:K$164,'Key inputs_Refineries'!$C$85:$C$164,$C445,'Key inputs_Refineries'!$B$85:$B$164,"Boiler")/SUM(SUMIFS('Key inputs_Refineries'!K$85:K$164,'Key inputs_Refineries'!$C$85:$C$164,$C442:$C451,'Key inputs_Refineries'!$B$85:$B$164,"Boiler"))&lt;0.001),0.001,SUMIFS('Key inputs_Refineries'!K$85:K$164,'Key inputs_Refineries'!$C$85:$C$164,$C445,'Key inputs_Refineries'!$B$85:$B$164,"Boiler")/SUM(SUMIFS('Key inputs_Refineries'!K$85:K$164,'Key inputs_Refineries'!$C$85:$C$164,$C442:$C451,'Key inputs_Refineries'!$B$85:$B$164,"Boiler"))),0)</f>
        <v>0</v>
      </c>
      <c r="R445" s="173" cm="1">
        <f t="array" ref="R445">IFERROR(IF(AND(SUMIFS('Key inputs_Refineries'!L$85:L$164,'Key inputs_Refineries'!$C$85:$C$164,$C445,'Key inputs_Refineries'!$B$85:$B$164,"Boiler")/SUM(SUMIFS('Key inputs_Refineries'!L$85:L$164,'Key inputs_Refineries'!$C$85:$C$164,$C442:$C451,'Key inputs_Refineries'!$B$85:$B$164,"Boiler"))&gt;0,SUMIFS('Key inputs_Refineries'!L$85:L$164,'Key inputs_Refineries'!$C$85:$C$164,$C445,'Key inputs_Refineries'!$B$85:$B$164,"Boiler")/SUM(SUMIFS('Key inputs_Refineries'!L$85:L$164,'Key inputs_Refineries'!$C$85:$C$164,$C442:$C451,'Key inputs_Refineries'!$B$85:$B$164,"Boiler"))&lt;0.001),0.001,SUMIFS('Key inputs_Refineries'!L$85:L$164,'Key inputs_Refineries'!$C$85:$C$164,$C445,'Key inputs_Refineries'!$B$85:$B$164,"Boiler")/SUM(SUMIFS('Key inputs_Refineries'!L$85:L$164,'Key inputs_Refineries'!$C$85:$C$164,$C442:$C451,'Key inputs_Refineries'!$B$85:$B$164,"Boiler"))),0)</f>
        <v>0</v>
      </c>
      <c r="S445" s="173" cm="1">
        <f t="array" ref="S445">IFERROR(IF(AND(SUMIFS('Key inputs_Refineries'!M$85:M$164,'Key inputs_Refineries'!$C$85:$C$164,$C445,'Key inputs_Refineries'!$B$85:$B$164,"Boiler")/SUM(SUMIFS('Key inputs_Refineries'!M$85:M$164,'Key inputs_Refineries'!$C$85:$C$164,$C442:$C451,'Key inputs_Refineries'!$B$85:$B$164,"Boiler"))&gt;0,SUMIFS('Key inputs_Refineries'!M$85:M$164,'Key inputs_Refineries'!$C$85:$C$164,$C445,'Key inputs_Refineries'!$B$85:$B$164,"Boiler")/SUM(SUMIFS('Key inputs_Refineries'!M$85:M$164,'Key inputs_Refineries'!$C$85:$C$164,$C442:$C451,'Key inputs_Refineries'!$B$85:$B$164,"Boiler"))&lt;0.001),0.001,SUMIFS('Key inputs_Refineries'!M$85:M$164,'Key inputs_Refineries'!$C$85:$C$164,$C445,'Key inputs_Refineries'!$B$85:$B$164,"Boiler")/SUM(SUMIFS('Key inputs_Refineries'!M$85:M$164,'Key inputs_Refineries'!$C$85:$C$164,$C442:$C451,'Key inputs_Refineries'!$B$85:$B$164,"Boiler"))),0)</f>
        <v>0</v>
      </c>
      <c r="T445" s="173" cm="1">
        <f t="array" ref="T445">IFERROR(IF(AND(SUMIFS('Key inputs_Refineries'!N$85:N$164,'Key inputs_Refineries'!$C$85:$C$164,$C445,'Key inputs_Refineries'!$B$85:$B$164,"Boiler")/SUM(SUMIFS('Key inputs_Refineries'!N$85:N$164,'Key inputs_Refineries'!$C$85:$C$164,$C442:$C451,'Key inputs_Refineries'!$B$85:$B$164,"Boiler"))&gt;0,SUMIFS('Key inputs_Refineries'!N$85:N$164,'Key inputs_Refineries'!$C$85:$C$164,$C445,'Key inputs_Refineries'!$B$85:$B$164,"Boiler")/SUM(SUMIFS('Key inputs_Refineries'!N$85:N$164,'Key inputs_Refineries'!$C$85:$C$164,$C442:$C451,'Key inputs_Refineries'!$B$85:$B$164,"Boiler"))&lt;0.001),0.001,SUMIFS('Key inputs_Refineries'!N$85:N$164,'Key inputs_Refineries'!$C$85:$C$164,$C445,'Key inputs_Refineries'!$B$85:$B$164,"Boiler")/SUM(SUMIFS('Key inputs_Refineries'!N$85:N$164,'Key inputs_Refineries'!$C$85:$C$164,$C442:$C451,'Key inputs_Refineries'!$B$85:$B$164,"Boiler"))),0)</f>
        <v>2.7912331012078389E-2</v>
      </c>
      <c r="U445" s="173" cm="1">
        <f t="array" ref="U445">IFERROR(IF(AND(SUMIFS('Key inputs_Refineries'!O$85:O$164,'Key inputs_Refineries'!$C$85:$C$164,$C445,'Key inputs_Refineries'!$B$85:$B$164,"Boiler")/SUM(SUMIFS('Key inputs_Refineries'!O$85:O$164,'Key inputs_Refineries'!$C$85:$C$164,$C442:$C451,'Key inputs_Refineries'!$B$85:$B$164,"Boiler"))&gt;0,SUMIFS('Key inputs_Refineries'!O$85:O$164,'Key inputs_Refineries'!$C$85:$C$164,$C445,'Key inputs_Refineries'!$B$85:$B$164,"Boiler")/SUM(SUMIFS('Key inputs_Refineries'!O$85:O$164,'Key inputs_Refineries'!$C$85:$C$164,$C442:$C451,'Key inputs_Refineries'!$B$85:$B$164,"Boiler"))&lt;0.001),0.001,SUMIFS('Key inputs_Refineries'!O$85:O$164,'Key inputs_Refineries'!$C$85:$C$164,$C445,'Key inputs_Refineries'!$B$85:$B$164,"Boiler")/SUM(SUMIFS('Key inputs_Refineries'!O$85:O$164,'Key inputs_Refineries'!$C$85:$C$164,$C442:$C451,'Key inputs_Refineries'!$B$85:$B$164,"Boiler"))),0)</f>
        <v>0</v>
      </c>
      <c r="V445" s="173" cm="1">
        <f t="array" ref="V445">IFERROR(IF(AND(SUMIFS('Key inputs_Refineries'!P$85:P$164,'Key inputs_Refineries'!$C$85:$C$164,$C445,'Key inputs_Refineries'!$B$85:$B$164,"Boiler")/SUM(SUMIFS('Key inputs_Refineries'!P$85:P$164,'Key inputs_Refineries'!$C$85:$C$164,$C442:$C451,'Key inputs_Refineries'!$B$85:$B$164,"Boiler"))&gt;0,SUMIFS('Key inputs_Refineries'!P$85:P$164,'Key inputs_Refineries'!$C$85:$C$164,$C445,'Key inputs_Refineries'!$B$85:$B$164,"Boiler")/SUM(SUMIFS('Key inputs_Refineries'!P$85:P$164,'Key inputs_Refineries'!$C$85:$C$164,$C442:$C451,'Key inputs_Refineries'!$B$85:$B$164,"Boiler"))&lt;0.001),0.001,SUMIFS('Key inputs_Refineries'!P$85:P$164,'Key inputs_Refineries'!$C$85:$C$164,$C445,'Key inputs_Refineries'!$B$85:$B$164,"Boiler")/SUM(SUMIFS('Key inputs_Refineries'!P$85:P$164,'Key inputs_Refineries'!$C$85:$C$164,$C442:$C451,'Key inputs_Refineries'!$B$85:$B$164,"Boiler"))),0)</f>
        <v>1E-3</v>
      </c>
      <c r="W445" s="173" cm="1">
        <f t="array" ref="W445">IFERROR(IF(AND(SUMIFS('Key inputs_Refineries'!Q$85:Q$164,'Key inputs_Refineries'!$C$85:$C$164,$C445,'Key inputs_Refineries'!$B$85:$B$164,"Boiler")/SUM(SUMIFS('Key inputs_Refineries'!Q$85:Q$164,'Key inputs_Refineries'!$C$85:$C$164,$C442:$C451,'Key inputs_Refineries'!$B$85:$B$164,"Boiler"))&gt;0,SUMIFS('Key inputs_Refineries'!Q$85:Q$164,'Key inputs_Refineries'!$C$85:$C$164,$C445,'Key inputs_Refineries'!$B$85:$B$164,"Boiler")/SUM(SUMIFS('Key inputs_Refineries'!Q$85:Q$164,'Key inputs_Refineries'!$C$85:$C$164,$C442:$C451,'Key inputs_Refineries'!$B$85:$B$164,"Boiler"))&lt;0.001),0.001,SUMIFS('Key inputs_Refineries'!Q$85:Q$164,'Key inputs_Refineries'!$C$85:$C$164,$C445,'Key inputs_Refineries'!$B$85:$B$164,"Boiler")/SUM(SUMIFS('Key inputs_Refineries'!Q$85:Q$164,'Key inputs_Refineries'!$C$85:$C$164,$C442:$C451,'Key inputs_Refineries'!$B$85:$B$164,"Boiler"))),0)</f>
        <v>0</v>
      </c>
      <c r="X445" s="173" cm="1">
        <f t="array" ref="X445">IFERROR(IF(AND(SUMIFS('Key inputs_Refineries'!R$85:R$164,'Key inputs_Refineries'!$C$85:$C$164,$C445,'Key inputs_Refineries'!$B$85:$B$164,"Boiler")/SUM(SUMIFS('Key inputs_Refineries'!R$85:R$164,'Key inputs_Refineries'!$C$85:$C$164,$C442:$C451,'Key inputs_Refineries'!$B$85:$B$164,"Boiler"))&gt;0,SUMIFS('Key inputs_Refineries'!R$85:R$164,'Key inputs_Refineries'!$C$85:$C$164,$C445,'Key inputs_Refineries'!$B$85:$B$164,"Boiler")/SUM(SUMIFS('Key inputs_Refineries'!R$85:R$164,'Key inputs_Refineries'!$C$85:$C$164,$C442:$C451,'Key inputs_Refineries'!$B$85:$B$164,"Boiler"))&lt;0.001),0.001,SUMIFS('Key inputs_Refineries'!R$85:R$164,'Key inputs_Refineries'!$C$85:$C$164,$C445,'Key inputs_Refineries'!$B$85:$B$164,"Boiler")/SUM(SUMIFS('Key inputs_Refineries'!R$85:R$164,'Key inputs_Refineries'!$C$85:$C$164,$C442:$C451,'Key inputs_Refineries'!$B$85:$B$164,"Boiler"))),0)</f>
        <v>0</v>
      </c>
      <c r="Y445" s="173" cm="1">
        <f t="array" ref="Y445">IFERROR(IF(AND(SUMIFS('Key inputs_Refineries'!S$85:S$164,'Key inputs_Refineries'!$C$85:$C$164,$C445,'Key inputs_Refineries'!$B$85:$B$164,"Boiler")/SUM(SUMIFS('Key inputs_Refineries'!S$85:S$164,'Key inputs_Refineries'!$C$85:$C$164,$C442:$C451,'Key inputs_Refineries'!$B$85:$B$164,"Boiler"))&gt;0,SUMIFS('Key inputs_Refineries'!S$85:S$164,'Key inputs_Refineries'!$C$85:$C$164,$C445,'Key inputs_Refineries'!$B$85:$B$164,"Boiler")/SUM(SUMIFS('Key inputs_Refineries'!S$85:S$164,'Key inputs_Refineries'!$C$85:$C$164,$C442:$C451,'Key inputs_Refineries'!$B$85:$B$164,"Boiler"))&lt;0.001),0.001,SUMIFS('Key inputs_Refineries'!S$85:S$164,'Key inputs_Refineries'!$C$85:$C$164,$C445,'Key inputs_Refineries'!$B$85:$B$164,"Boiler")/SUM(SUMIFS('Key inputs_Refineries'!S$85:S$164,'Key inputs_Refineries'!$C$85:$C$164,$C442:$C451,'Key inputs_Refineries'!$B$85:$B$164,"Boiler"))),0)</f>
        <v>0</v>
      </c>
      <c r="Z445" s="173" cm="1">
        <f t="array" ref="Z445">IFERROR(IF(AND(SUMIFS('Key inputs_Refineries'!T$85:T$164,'Key inputs_Refineries'!$C$85:$C$164,$C445,'Key inputs_Refineries'!$B$85:$B$164,"Boiler")/SUM(SUMIFS('Key inputs_Refineries'!T$85:T$164,'Key inputs_Refineries'!$C$85:$C$164,$C442:$C451,'Key inputs_Refineries'!$B$85:$B$164,"Boiler"))&gt;0,SUMIFS('Key inputs_Refineries'!T$85:T$164,'Key inputs_Refineries'!$C$85:$C$164,$C445,'Key inputs_Refineries'!$B$85:$B$164,"Boiler")/SUM(SUMIFS('Key inputs_Refineries'!T$85:T$164,'Key inputs_Refineries'!$C$85:$C$164,$C442:$C451,'Key inputs_Refineries'!$B$85:$B$164,"Boiler"))&lt;0.001),0.001,SUMIFS('Key inputs_Refineries'!T$85:T$164,'Key inputs_Refineries'!$C$85:$C$164,$C445,'Key inputs_Refineries'!$B$85:$B$164,"Boiler")/SUM(SUMIFS('Key inputs_Refineries'!T$85:T$164,'Key inputs_Refineries'!$C$85:$C$164,$C442:$C451,'Key inputs_Refineries'!$B$85:$B$164,"Boiler"))),0)</f>
        <v>0</v>
      </c>
      <c r="AA445" s="173" cm="1">
        <f t="array" ref="AA445">IFERROR(IF(AND(SUMIFS('Key inputs_Refineries'!U$85:U$164,'Key inputs_Refineries'!$C$85:$C$164,$C445,'Key inputs_Refineries'!$B$85:$B$164,"Boiler")/SUM(SUMIFS('Key inputs_Refineries'!U$85:U$164,'Key inputs_Refineries'!$C$85:$C$164,$C442:$C451,'Key inputs_Refineries'!$B$85:$B$164,"Boiler"))&gt;0,SUMIFS('Key inputs_Refineries'!U$85:U$164,'Key inputs_Refineries'!$C$85:$C$164,$C445,'Key inputs_Refineries'!$B$85:$B$164,"Boiler")/SUM(SUMIFS('Key inputs_Refineries'!U$85:U$164,'Key inputs_Refineries'!$C$85:$C$164,$C442:$C451,'Key inputs_Refineries'!$B$85:$B$164,"Boiler"))&lt;0.001),0.001,SUMIFS('Key inputs_Refineries'!U$85:U$164,'Key inputs_Refineries'!$C$85:$C$164,$C445,'Key inputs_Refineries'!$B$85:$B$164,"Boiler")/SUM(SUMIFS('Key inputs_Refineries'!U$85:U$164,'Key inputs_Refineries'!$C$85:$C$164,$C442:$C451,'Key inputs_Refineries'!$B$85:$B$164,"Boiler"))),0)</f>
        <v>0</v>
      </c>
      <c r="AB445" s="173" cm="1">
        <f t="array" ref="AB445">IFERROR(IF(AND(SUMIFS('Key inputs_Refineries'!V$85:V$164,'Key inputs_Refineries'!$C$85:$C$164,$C445,'Key inputs_Refineries'!$B$85:$B$164,"Boiler")/SUM(SUMIFS('Key inputs_Refineries'!V$85:V$164,'Key inputs_Refineries'!$C$85:$C$164,$C442:$C451,'Key inputs_Refineries'!$B$85:$B$164,"Boiler"))&gt;0,SUMIFS('Key inputs_Refineries'!V$85:V$164,'Key inputs_Refineries'!$C$85:$C$164,$C445,'Key inputs_Refineries'!$B$85:$B$164,"Boiler")/SUM(SUMIFS('Key inputs_Refineries'!V$85:V$164,'Key inputs_Refineries'!$C$85:$C$164,$C442:$C451,'Key inputs_Refineries'!$B$85:$B$164,"Boiler"))&lt;0.001),0.001,SUMIFS('Key inputs_Refineries'!V$85:V$164,'Key inputs_Refineries'!$C$85:$C$164,$C445,'Key inputs_Refineries'!$B$85:$B$164,"Boiler")/SUM(SUMIFS('Key inputs_Refineries'!V$85:V$164,'Key inputs_Refineries'!$C$85:$C$164,$C442:$C451,'Key inputs_Refineries'!$B$85:$B$164,"Boiler"))),0)</f>
        <v>0</v>
      </c>
      <c r="AC445" s="173" cm="1">
        <f t="array" ref="AC445">IFERROR(IF(AND(SUMIFS('Key inputs_Refineries'!W$85:W$164,'Key inputs_Refineries'!$C$85:$C$164,$C445,'Key inputs_Refineries'!$B$85:$B$164,"Boiler")/SUM(SUMIFS('Key inputs_Refineries'!W$85:W$164,'Key inputs_Refineries'!$C$85:$C$164,$C442:$C451,'Key inputs_Refineries'!$B$85:$B$164,"Boiler"))&gt;0,SUMIFS('Key inputs_Refineries'!W$85:W$164,'Key inputs_Refineries'!$C$85:$C$164,$C445,'Key inputs_Refineries'!$B$85:$B$164,"Boiler")/SUM(SUMIFS('Key inputs_Refineries'!W$85:W$164,'Key inputs_Refineries'!$C$85:$C$164,$C442:$C451,'Key inputs_Refineries'!$B$85:$B$164,"Boiler"))&lt;0.001),0.001,SUMIFS('Key inputs_Refineries'!W$85:W$164,'Key inputs_Refineries'!$C$85:$C$164,$C445,'Key inputs_Refineries'!$B$85:$B$164,"Boiler")/SUM(SUMIFS('Key inputs_Refineries'!W$85:W$164,'Key inputs_Refineries'!$C$85:$C$164,$C442:$C451,'Key inputs_Refineries'!$B$85:$B$164,"Boiler"))),0)</f>
        <v>0</v>
      </c>
      <c r="AD445" s="173" cm="1">
        <f t="array" ref="AD445">IFERROR(IF(AND(SUMIFS('Key inputs_Refineries'!X$85:X$164,'Key inputs_Refineries'!$C$85:$C$164,$C445,'Key inputs_Refineries'!$B$85:$B$164,"Boiler")/SUM(SUMIFS('Key inputs_Refineries'!X$85:X$164,'Key inputs_Refineries'!$C$85:$C$164,$C442:$C451,'Key inputs_Refineries'!$B$85:$B$164,"Boiler"))&gt;0,SUMIFS('Key inputs_Refineries'!X$85:X$164,'Key inputs_Refineries'!$C$85:$C$164,$C445,'Key inputs_Refineries'!$B$85:$B$164,"Boiler")/SUM(SUMIFS('Key inputs_Refineries'!X$85:X$164,'Key inputs_Refineries'!$C$85:$C$164,$C442:$C451,'Key inputs_Refineries'!$B$85:$B$164,"Boiler"))&lt;0.001),0.001,SUMIFS('Key inputs_Refineries'!X$85:X$164,'Key inputs_Refineries'!$C$85:$C$164,$C445,'Key inputs_Refineries'!$B$85:$B$164,"Boiler")/SUM(SUMIFS('Key inputs_Refineries'!X$85:X$164,'Key inputs_Refineries'!$C$85:$C$164,$C442:$C451,'Key inputs_Refineries'!$B$85:$B$164,"Boiler"))),0)</f>
        <v>1E-3</v>
      </c>
      <c r="AE445" s="173" cm="1">
        <f t="array" ref="AE445">IFERROR(IF(AND(SUMIFS('Key inputs_Refineries'!Y$85:Y$164,'Key inputs_Refineries'!$C$85:$C$164,$C445,'Key inputs_Refineries'!$B$85:$B$164,"Boiler")/SUM(SUMIFS('Key inputs_Refineries'!Y$85:Y$164,'Key inputs_Refineries'!$C$85:$C$164,$C442:$C451,'Key inputs_Refineries'!$B$85:$B$164,"Boiler"))&gt;0,SUMIFS('Key inputs_Refineries'!Y$85:Y$164,'Key inputs_Refineries'!$C$85:$C$164,$C445,'Key inputs_Refineries'!$B$85:$B$164,"Boiler")/SUM(SUMIFS('Key inputs_Refineries'!Y$85:Y$164,'Key inputs_Refineries'!$C$85:$C$164,$C442:$C451,'Key inputs_Refineries'!$B$85:$B$164,"Boiler"))&lt;0.001),0.001,SUMIFS('Key inputs_Refineries'!Y$85:Y$164,'Key inputs_Refineries'!$C$85:$C$164,$C445,'Key inputs_Refineries'!$B$85:$B$164,"Boiler")/SUM(SUMIFS('Key inputs_Refineries'!Y$85:Y$164,'Key inputs_Refineries'!$C$85:$C$164,$C442:$C451,'Key inputs_Refineries'!$B$85:$B$164,"Boiler"))),0)</f>
        <v>2.0134433337153691E-2</v>
      </c>
      <c r="AF445" s="173" cm="1">
        <f t="array" ref="AF445">IFERROR(IF(AND(SUMIFS('Key inputs_Refineries'!Z$85:Z$164,'Key inputs_Refineries'!$C$85:$C$164,$C445,'Key inputs_Refineries'!$B$85:$B$164,"Boiler")/SUM(SUMIFS('Key inputs_Refineries'!Z$85:Z$164,'Key inputs_Refineries'!$C$85:$C$164,$C442:$C451,'Key inputs_Refineries'!$B$85:$B$164,"Boiler"))&gt;0,SUMIFS('Key inputs_Refineries'!Z$85:Z$164,'Key inputs_Refineries'!$C$85:$C$164,$C445,'Key inputs_Refineries'!$B$85:$B$164,"Boiler")/SUM(SUMIFS('Key inputs_Refineries'!Z$85:Z$164,'Key inputs_Refineries'!$C$85:$C$164,$C442:$C451,'Key inputs_Refineries'!$B$85:$B$164,"Boiler"))&lt;0.001),0.001,SUMIFS('Key inputs_Refineries'!Z$85:Z$164,'Key inputs_Refineries'!$C$85:$C$164,$C445,'Key inputs_Refineries'!$B$85:$B$164,"Boiler")/SUM(SUMIFS('Key inputs_Refineries'!Z$85:Z$164,'Key inputs_Refineries'!$C$85:$C$164,$C442:$C451,'Key inputs_Refineries'!$B$85:$B$164,"Boiler"))),0)</f>
        <v>0</v>
      </c>
      <c r="AG445" s="173" cm="1">
        <f t="array" ref="AG445">IFERROR(IF(AND(SUMIFS('Key inputs_Refineries'!AA$85:AA$164,'Key inputs_Refineries'!$C$85:$C$164,$C445,'Key inputs_Refineries'!$B$85:$B$164,"Boiler")/SUM(SUMIFS('Key inputs_Refineries'!AA$85:AA$164,'Key inputs_Refineries'!$C$85:$C$164,$C442:$C451,'Key inputs_Refineries'!$B$85:$B$164,"Boiler"))&gt;0,SUMIFS('Key inputs_Refineries'!AA$85:AA$164,'Key inputs_Refineries'!$C$85:$C$164,$C445,'Key inputs_Refineries'!$B$85:$B$164,"Boiler")/SUM(SUMIFS('Key inputs_Refineries'!AA$85:AA$164,'Key inputs_Refineries'!$C$85:$C$164,$C442:$C451,'Key inputs_Refineries'!$B$85:$B$164,"Boiler"))&lt;0.001),0.001,SUMIFS('Key inputs_Refineries'!AA$85:AA$164,'Key inputs_Refineries'!$C$85:$C$164,$C445,'Key inputs_Refineries'!$B$85:$B$164,"Boiler")/SUM(SUMIFS('Key inputs_Refineries'!AA$85:AA$164,'Key inputs_Refineries'!$C$85:$C$164,$C442:$C451,'Key inputs_Refineries'!$B$85:$B$164,"Boiler"))),0)</f>
        <v>0</v>
      </c>
      <c r="AH445" s="173" cm="1">
        <f t="array" ref="AH445">IFERROR(IF(AND(SUMIFS('Key inputs_Refineries'!AB$85:AB$164,'Key inputs_Refineries'!$C$85:$C$164,$C445,'Key inputs_Refineries'!$B$85:$B$164,"Boiler")/SUM(SUMIFS('Key inputs_Refineries'!AB$85:AB$164,'Key inputs_Refineries'!$C$85:$C$164,$C442:$C451,'Key inputs_Refineries'!$B$85:$B$164,"Boiler"))&gt;0,SUMIFS('Key inputs_Refineries'!AB$85:AB$164,'Key inputs_Refineries'!$C$85:$C$164,$C445,'Key inputs_Refineries'!$B$85:$B$164,"Boiler")/SUM(SUMIFS('Key inputs_Refineries'!AB$85:AB$164,'Key inputs_Refineries'!$C$85:$C$164,$C442:$C451,'Key inputs_Refineries'!$B$85:$B$164,"Boiler"))&lt;0.001),0.001,SUMIFS('Key inputs_Refineries'!AB$85:AB$164,'Key inputs_Refineries'!$C$85:$C$164,$C445,'Key inputs_Refineries'!$B$85:$B$164,"Boiler")/SUM(SUMIFS('Key inputs_Refineries'!AB$85:AB$164,'Key inputs_Refineries'!$C$85:$C$164,$C442:$C451,'Key inputs_Refineries'!$B$85:$B$164,"Boiler"))),0)</f>
        <v>0</v>
      </c>
      <c r="AI445" s="173" cm="1">
        <f t="array" ref="AI445">IFERROR(IF(AND(SUMIFS('Key inputs_Refineries'!AC$85:AC$164,'Key inputs_Refineries'!$C$85:$C$164,$C445,'Key inputs_Refineries'!$B$85:$B$164,"Boiler")/SUM(SUMIFS('Key inputs_Refineries'!AC$85:AC$164,'Key inputs_Refineries'!$C$85:$C$164,$C442:$C451,'Key inputs_Refineries'!$B$85:$B$164,"Boiler"))&gt;0,SUMIFS('Key inputs_Refineries'!AC$85:AC$164,'Key inputs_Refineries'!$C$85:$C$164,$C445,'Key inputs_Refineries'!$B$85:$B$164,"Boiler")/SUM(SUMIFS('Key inputs_Refineries'!AC$85:AC$164,'Key inputs_Refineries'!$C$85:$C$164,$C442:$C451,'Key inputs_Refineries'!$B$85:$B$164,"Boiler"))&lt;0.001),0.001,SUMIFS('Key inputs_Refineries'!AC$85:AC$164,'Key inputs_Refineries'!$C$85:$C$164,$C445,'Key inputs_Refineries'!$B$85:$B$164,"Boiler")/SUM(SUMIFS('Key inputs_Refineries'!AC$85:AC$164,'Key inputs_Refineries'!$C$85:$C$164,$C442:$C451,'Key inputs_Refineries'!$B$85:$B$164,"Boiler"))),0)</f>
        <v>0</v>
      </c>
      <c r="AJ445" s="173" cm="1">
        <f t="array" ref="AJ445">IFERROR(IF(AND(SUMIFS('Key inputs_Refineries'!AD$85:AD$164,'Key inputs_Refineries'!$C$85:$C$164,$C445,'Key inputs_Refineries'!$B$85:$B$164,"Boiler")/SUM(SUMIFS('Key inputs_Refineries'!AD$85:AD$164,'Key inputs_Refineries'!$C$85:$C$164,$C442:$C451,'Key inputs_Refineries'!$B$85:$B$164,"Boiler"))&gt;0,SUMIFS('Key inputs_Refineries'!AD$85:AD$164,'Key inputs_Refineries'!$C$85:$C$164,$C445,'Key inputs_Refineries'!$B$85:$B$164,"Boiler")/SUM(SUMIFS('Key inputs_Refineries'!AD$85:AD$164,'Key inputs_Refineries'!$C$85:$C$164,$C442:$C451,'Key inputs_Refineries'!$B$85:$B$164,"Boiler"))&lt;0.001),0.001,SUMIFS('Key inputs_Refineries'!AD$85:AD$164,'Key inputs_Refineries'!$C$85:$C$164,$C445,'Key inputs_Refineries'!$B$85:$B$164,"Boiler")/SUM(SUMIFS('Key inputs_Refineries'!AD$85:AD$164,'Key inputs_Refineries'!$C$85:$C$164,$C442:$C451,'Key inputs_Refineries'!$B$85:$B$164,"Boiler"))),0)</f>
        <v>0</v>
      </c>
      <c r="AK445" s="173" cm="1">
        <f t="array" ref="AK445">IFERROR(IF(AND(SUMIFS('Key inputs_Refineries'!AE$85:AE$164,'Key inputs_Refineries'!$C$85:$C$164,$C445,'Key inputs_Refineries'!$B$85:$B$164,"Boiler")/SUM(SUMIFS('Key inputs_Refineries'!AE$85:AE$164,'Key inputs_Refineries'!$C$85:$C$164,$C442:$C451,'Key inputs_Refineries'!$B$85:$B$164,"Boiler"))&gt;0,SUMIFS('Key inputs_Refineries'!AE$85:AE$164,'Key inputs_Refineries'!$C$85:$C$164,$C445,'Key inputs_Refineries'!$B$85:$B$164,"Boiler")/SUM(SUMIFS('Key inputs_Refineries'!AE$85:AE$164,'Key inputs_Refineries'!$C$85:$C$164,$C442:$C451,'Key inputs_Refineries'!$B$85:$B$164,"Boiler"))&lt;0.001),0.001,SUMIFS('Key inputs_Refineries'!AE$85:AE$164,'Key inputs_Refineries'!$C$85:$C$164,$C445,'Key inputs_Refineries'!$B$85:$B$164,"Boiler")/SUM(SUMIFS('Key inputs_Refineries'!AE$85:AE$164,'Key inputs_Refineries'!$C$85:$C$164,$C442:$C451,'Key inputs_Refineries'!$B$85:$B$164,"Boiler"))),0)</f>
        <v>0</v>
      </c>
      <c r="AL445" s="173" cm="1">
        <f t="array" ref="AL445">IFERROR(IF(AND(SUMIFS('Key inputs_Refineries'!AF$85:AF$164,'Key inputs_Refineries'!$C$85:$C$164,$C445,'Key inputs_Refineries'!$B$85:$B$164,"Boiler")/SUM(SUMIFS('Key inputs_Refineries'!AF$85:AF$164,'Key inputs_Refineries'!$C$85:$C$164,$C442:$C451,'Key inputs_Refineries'!$B$85:$B$164,"Boiler"))&gt;0,SUMIFS('Key inputs_Refineries'!AF$85:AF$164,'Key inputs_Refineries'!$C$85:$C$164,$C445,'Key inputs_Refineries'!$B$85:$B$164,"Boiler")/SUM(SUMIFS('Key inputs_Refineries'!AF$85:AF$164,'Key inputs_Refineries'!$C$85:$C$164,$C442:$C451,'Key inputs_Refineries'!$B$85:$B$164,"Boiler"))&lt;0.001),0.001,SUMIFS('Key inputs_Refineries'!AF$85:AF$164,'Key inputs_Refineries'!$C$85:$C$164,$C445,'Key inputs_Refineries'!$B$85:$B$164,"Boiler")/SUM(SUMIFS('Key inputs_Refineries'!AF$85:AF$164,'Key inputs_Refineries'!$C$85:$C$164,$C442:$C451,'Key inputs_Refineries'!$B$85:$B$164,"Boiler"))),0)</f>
        <v>2.4176673865044865E-3</v>
      </c>
    </row>
    <row r="446" spans="1:47">
      <c r="C446" t="str">
        <f>Commodities!$C$95</f>
        <v>UPSHFO</v>
      </c>
      <c r="G446" s="4" t="s">
        <v>702</v>
      </c>
      <c r="H446" t="s">
        <v>661</v>
      </c>
      <c r="I446">
        <v>2019</v>
      </c>
      <c r="J446" t="s">
        <v>650</v>
      </c>
      <c r="K446" s="173" cm="1">
        <f t="array" ref="K446">IFERROR(IF(AND(SUMIFS('Key inputs_Refineries'!E$85:E$164,'Key inputs_Refineries'!$C$85:$C$164,$C446,'Key inputs_Refineries'!$B$85:$B$164,"Boiler")/SUM(SUMIFS('Key inputs_Refineries'!E$85:E$164,'Key inputs_Refineries'!$C$85:$C$164,$C442:$C451,'Key inputs_Refineries'!$B$85:$B$164,"Boiler"))&gt;0,SUMIFS('Key inputs_Refineries'!E$85:E$164,'Key inputs_Refineries'!$C$85:$C$164,$C446,'Key inputs_Refineries'!$B$85:$B$164,"Boiler")/SUM(SUMIFS('Key inputs_Refineries'!E$85:E$164,'Key inputs_Refineries'!$C$85:$C$164,$C442:$C451,'Key inputs_Refineries'!$B$85:$B$164,"Boiler"))&lt;0.001),0.001,SUMIFS('Key inputs_Refineries'!E$85:E$164,'Key inputs_Refineries'!$C$85:$C$164,$C446,'Key inputs_Refineries'!$B$85:$B$164,"Boiler")/SUM(SUMIFS('Key inputs_Refineries'!E$85:E$164,'Key inputs_Refineries'!$C$85:$C$164,$C442:$C451,'Key inputs_Refineries'!$B$85:$B$164,"Boiler"))),0)</f>
        <v>0</v>
      </c>
      <c r="L446" s="173" cm="1">
        <f t="array" ref="L446">IFERROR(IF(AND(SUMIFS('Key inputs_Refineries'!F$85:F$164,'Key inputs_Refineries'!$C$85:$C$164,$C446,'Key inputs_Refineries'!$B$85:$B$164,"Boiler")/SUM(SUMIFS('Key inputs_Refineries'!F$85:F$164,'Key inputs_Refineries'!$C$85:$C$164,$C442:$C451,'Key inputs_Refineries'!$B$85:$B$164,"Boiler"))&gt;0,SUMIFS('Key inputs_Refineries'!F$85:F$164,'Key inputs_Refineries'!$C$85:$C$164,$C446,'Key inputs_Refineries'!$B$85:$B$164,"Boiler")/SUM(SUMIFS('Key inputs_Refineries'!F$85:F$164,'Key inputs_Refineries'!$C$85:$C$164,$C442:$C451,'Key inputs_Refineries'!$B$85:$B$164,"Boiler"))&lt;0.001),0.001,SUMIFS('Key inputs_Refineries'!F$85:F$164,'Key inputs_Refineries'!$C$85:$C$164,$C446,'Key inputs_Refineries'!$B$85:$B$164,"Boiler")/SUM(SUMIFS('Key inputs_Refineries'!F$85:F$164,'Key inputs_Refineries'!$C$85:$C$164,$C442:$C451,'Key inputs_Refineries'!$B$85:$B$164,"Boiler"))),0)</f>
        <v>0.37465171294428523</v>
      </c>
      <c r="M446" s="173" cm="1">
        <f t="array" ref="M446">IFERROR(IF(AND(SUMIFS('Key inputs_Refineries'!G$85:G$164,'Key inputs_Refineries'!$C$85:$C$164,$C446,'Key inputs_Refineries'!$B$85:$B$164,"Boiler")/SUM(SUMIFS('Key inputs_Refineries'!G$85:G$164,'Key inputs_Refineries'!$C$85:$C$164,$C442:$C451,'Key inputs_Refineries'!$B$85:$B$164,"Boiler"))&gt;0,SUMIFS('Key inputs_Refineries'!G$85:G$164,'Key inputs_Refineries'!$C$85:$C$164,$C446,'Key inputs_Refineries'!$B$85:$B$164,"Boiler")/SUM(SUMIFS('Key inputs_Refineries'!G$85:G$164,'Key inputs_Refineries'!$C$85:$C$164,$C442:$C451,'Key inputs_Refineries'!$B$85:$B$164,"Boiler"))&lt;0.001),0.001,SUMIFS('Key inputs_Refineries'!G$85:G$164,'Key inputs_Refineries'!$C$85:$C$164,$C446,'Key inputs_Refineries'!$B$85:$B$164,"Boiler")/SUM(SUMIFS('Key inputs_Refineries'!G$85:G$164,'Key inputs_Refineries'!$C$85:$C$164,$C442:$C451,'Key inputs_Refineries'!$B$85:$B$164,"Boiler"))),0)</f>
        <v>0.51919100635285487</v>
      </c>
      <c r="N446" s="173" cm="1">
        <f t="array" ref="N446">IFERROR(IF(AND(SUMIFS('Key inputs_Refineries'!H$85:H$164,'Key inputs_Refineries'!$C$85:$C$164,$C446,'Key inputs_Refineries'!$B$85:$B$164,"Boiler")/SUM(SUMIFS('Key inputs_Refineries'!H$85:H$164,'Key inputs_Refineries'!$C$85:$C$164,$C442:$C451,'Key inputs_Refineries'!$B$85:$B$164,"Boiler"))&gt;0,SUMIFS('Key inputs_Refineries'!H$85:H$164,'Key inputs_Refineries'!$C$85:$C$164,$C446,'Key inputs_Refineries'!$B$85:$B$164,"Boiler")/SUM(SUMIFS('Key inputs_Refineries'!H$85:H$164,'Key inputs_Refineries'!$C$85:$C$164,$C442:$C451,'Key inputs_Refineries'!$B$85:$B$164,"Boiler"))&lt;0.001),0.001,SUMIFS('Key inputs_Refineries'!H$85:H$164,'Key inputs_Refineries'!$C$85:$C$164,$C446,'Key inputs_Refineries'!$B$85:$B$164,"Boiler")/SUM(SUMIFS('Key inputs_Refineries'!H$85:H$164,'Key inputs_Refineries'!$C$85:$C$164,$C442:$C451,'Key inputs_Refineries'!$B$85:$B$164,"Boiler"))),0)</f>
        <v>0</v>
      </c>
      <c r="O446" s="173" cm="1">
        <f t="array" ref="O446">IFERROR(IF(AND(SUMIFS('Key inputs_Refineries'!I$85:I$164,'Key inputs_Refineries'!$C$85:$C$164,$C446,'Key inputs_Refineries'!$B$85:$B$164,"Boiler")/SUM(SUMIFS('Key inputs_Refineries'!I$85:I$164,'Key inputs_Refineries'!$C$85:$C$164,$C442:$C451,'Key inputs_Refineries'!$B$85:$B$164,"Boiler"))&gt;0,SUMIFS('Key inputs_Refineries'!I$85:I$164,'Key inputs_Refineries'!$C$85:$C$164,$C446,'Key inputs_Refineries'!$B$85:$B$164,"Boiler")/SUM(SUMIFS('Key inputs_Refineries'!I$85:I$164,'Key inputs_Refineries'!$C$85:$C$164,$C442:$C451,'Key inputs_Refineries'!$B$85:$B$164,"Boiler"))&lt;0.001),0.001,SUMIFS('Key inputs_Refineries'!I$85:I$164,'Key inputs_Refineries'!$C$85:$C$164,$C446,'Key inputs_Refineries'!$B$85:$B$164,"Boiler")/SUM(SUMIFS('Key inputs_Refineries'!I$85:I$164,'Key inputs_Refineries'!$C$85:$C$164,$C442:$C451,'Key inputs_Refineries'!$B$85:$B$164,"Boiler"))),0)</f>
        <v>9.1734191639610982E-2</v>
      </c>
      <c r="P446" s="173" cm="1">
        <f t="array" ref="P446">IFERROR(IF(AND(SUMIFS('Key inputs_Refineries'!J$85:J$164,'Key inputs_Refineries'!$C$85:$C$164,$C446,'Key inputs_Refineries'!$B$85:$B$164,"Boiler")/SUM(SUMIFS('Key inputs_Refineries'!J$85:J$164,'Key inputs_Refineries'!$C$85:$C$164,$C442:$C451,'Key inputs_Refineries'!$B$85:$B$164,"Boiler"))&gt;0,SUMIFS('Key inputs_Refineries'!J$85:J$164,'Key inputs_Refineries'!$C$85:$C$164,$C446,'Key inputs_Refineries'!$B$85:$B$164,"Boiler")/SUM(SUMIFS('Key inputs_Refineries'!J$85:J$164,'Key inputs_Refineries'!$C$85:$C$164,$C442:$C451,'Key inputs_Refineries'!$B$85:$B$164,"Boiler"))&lt;0.001),0.001,SUMIFS('Key inputs_Refineries'!J$85:J$164,'Key inputs_Refineries'!$C$85:$C$164,$C446,'Key inputs_Refineries'!$B$85:$B$164,"Boiler")/SUM(SUMIFS('Key inputs_Refineries'!J$85:J$164,'Key inputs_Refineries'!$C$85:$C$164,$C442:$C451,'Key inputs_Refineries'!$B$85:$B$164,"Boiler"))),0)</f>
        <v>0.10352194303840895</v>
      </c>
      <c r="Q446" s="173" cm="1">
        <f t="array" ref="Q446">IFERROR(IF(AND(SUMIFS('Key inputs_Refineries'!K$85:K$164,'Key inputs_Refineries'!$C$85:$C$164,$C446,'Key inputs_Refineries'!$B$85:$B$164,"Boiler")/SUM(SUMIFS('Key inputs_Refineries'!K$85:K$164,'Key inputs_Refineries'!$C$85:$C$164,$C442:$C451,'Key inputs_Refineries'!$B$85:$B$164,"Boiler"))&gt;0,SUMIFS('Key inputs_Refineries'!K$85:K$164,'Key inputs_Refineries'!$C$85:$C$164,$C446,'Key inputs_Refineries'!$B$85:$B$164,"Boiler")/SUM(SUMIFS('Key inputs_Refineries'!K$85:K$164,'Key inputs_Refineries'!$C$85:$C$164,$C442:$C451,'Key inputs_Refineries'!$B$85:$B$164,"Boiler"))&lt;0.001),0.001,SUMIFS('Key inputs_Refineries'!K$85:K$164,'Key inputs_Refineries'!$C$85:$C$164,$C446,'Key inputs_Refineries'!$B$85:$B$164,"Boiler")/SUM(SUMIFS('Key inputs_Refineries'!K$85:K$164,'Key inputs_Refineries'!$C$85:$C$164,$C442:$C451,'Key inputs_Refineries'!$B$85:$B$164,"Boiler"))),0)</f>
        <v>0.91831941777916681</v>
      </c>
      <c r="R446" s="173" cm="1">
        <f t="array" ref="R446">IFERROR(IF(AND(SUMIFS('Key inputs_Refineries'!L$85:L$164,'Key inputs_Refineries'!$C$85:$C$164,$C446,'Key inputs_Refineries'!$B$85:$B$164,"Boiler")/SUM(SUMIFS('Key inputs_Refineries'!L$85:L$164,'Key inputs_Refineries'!$C$85:$C$164,$C442:$C451,'Key inputs_Refineries'!$B$85:$B$164,"Boiler"))&gt;0,SUMIFS('Key inputs_Refineries'!L$85:L$164,'Key inputs_Refineries'!$C$85:$C$164,$C446,'Key inputs_Refineries'!$B$85:$B$164,"Boiler")/SUM(SUMIFS('Key inputs_Refineries'!L$85:L$164,'Key inputs_Refineries'!$C$85:$C$164,$C442:$C451,'Key inputs_Refineries'!$B$85:$B$164,"Boiler"))&lt;0.001),0.001,SUMIFS('Key inputs_Refineries'!L$85:L$164,'Key inputs_Refineries'!$C$85:$C$164,$C446,'Key inputs_Refineries'!$B$85:$B$164,"Boiler")/SUM(SUMIFS('Key inputs_Refineries'!L$85:L$164,'Key inputs_Refineries'!$C$85:$C$164,$C442:$C451,'Key inputs_Refineries'!$B$85:$B$164,"Boiler"))),0)</f>
        <v>1</v>
      </c>
      <c r="S446" s="173" cm="1">
        <f t="array" ref="S446">IFERROR(IF(AND(SUMIFS('Key inputs_Refineries'!M$85:M$164,'Key inputs_Refineries'!$C$85:$C$164,$C446,'Key inputs_Refineries'!$B$85:$B$164,"Boiler")/SUM(SUMIFS('Key inputs_Refineries'!M$85:M$164,'Key inputs_Refineries'!$C$85:$C$164,$C442:$C451,'Key inputs_Refineries'!$B$85:$B$164,"Boiler"))&gt;0,SUMIFS('Key inputs_Refineries'!M$85:M$164,'Key inputs_Refineries'!$C$85:$C$164,$C446,'Key inputs_Refineries'!$B$85:$B$164,"Boiler")/SUM(SUMIFS('Key inputs_Refineries'!M$85:M$164,'Key inputs_Refineries'!$C$85:$C$164,$C442:$C451,'Key inputs_Refineries'!$B$85:$B$164,"Boiler"))&lt;0.001),0.001,SUMIFS('Key inputs_Refineries'!M$85:M$164,'Key inputs_Refineries'!$C$85:$C$164,$C446,'Key inputs_Refineries'!$B$85:$B$164,"Boiler")/SUM(SUMIFS('Key inputs_Refineries'!M$85:M$164,'Key inputs_Refineries'!$C$85:$C$164,$C442:$C451,'Key inputs_Refineries'!$B$85:$B$164,"Boiler"))),0)</f>
        <v>0.96494826723174043</v>
      </c>
      <c r="T446" s="173" cm="1">
        <f t="array" ref="T446">IFERROR(IF(AND(SUMIFS('Key inputs_Refineries'!N$85:N$164,'Key inputs_Refineries'!$C$85:$C$164,$C446,'Key inputs_Refineries'!$B$85:$B$164,"Boiler")/SUM(SUMIFS('Key inputs_Refineries'!N$85:N$164,'Key inputs_Refineries'!$C$85:$C$164,$C442:$C451,'Key inputs_Refineries'!$B$85:$B$164,"Boiler"))&gt;0,SUMIFS('Key inputs_Refineries'!N$85:N$164,'Key inputs_Refineries'!$C$85:$C$164,$C446,'Key inputs_Refineries'!$B$85:$B$164,"Boiler")/SUM(SUMIFS('Key inputs_Refineries'!N$85:N$164,'Key inputs_Refineries'!$C$85:$C$164,$C442:$C451,'Key inputs_Refineries'!$B$85:$B$164,"Boiler"))&lt;0.001),0.001,SUMIFS('Key inputs_Refineries'!N$85:N$164,'Key inputs_Refineries'!$C$85:$C$164,$C446,'Key inputs_Refineries'!$B$85:$B$164,"Boiler")/SUM(SUMIFS('Key inputs_Refineries'!N$85:N$164,'Key inputs_Refineries'!$C$85:$C$164,$C442:$C451,'Key inputs_Refineries'!$B$85:$B$164,"Boiler"))),0)</f>
        <v>6.3476982152369937E-3</v>
      </c>
      <c r="U446" s="173" cm="1">
        <f t="array" ref="U446">IFERROR(IF(AND(SUMIFS('Key inputs_Refineries'!O$85:O$164,'Key inputs_Refineries'!$C$85:$C$164,$C446,'Key inputs_Refineries'!$B$85:$B$164,"Boiler")/SUM(SUMIFS('Key inputs_Refineries'!O$85:O$164,'Key inputs_Refineries'!$C$85:$C$164,$C442:$C451,'Key inputs_Refineries'!$B$85:$B$164,"Boiler"))&gt;0,SUMIFS('Key inputs_Refineries'!O$85:O$164,'Key inputs_Refineries'!$C$85:$C$164,$C446,'Key inputs_Refineries'!$B$85:$B$164,"Boiler")/SUM(SUMIFS('Key inputs_Refineries'!O$85:O$164,'Key inputs_Refineries'!$C$85:$C$164,$C442:$C451,'Key inputs_Refineries'!$B$85:$B$164,"Boiler"))&lt;0.001),0.001,SUMIFS('Key inputs_Refineries'!O$85:O$164,'Key inputs_Refineries'!$C$85:$C$164,$C446,'Key inputs_Refineries'!$B$85:$B$164,"Boiler")/SUM(SUMIFS('Key inputs_Refineries'!O$85:O$164,'Key inputs_Refineries'!$C$85:$C$164,$C442:$C451,'Key inputs_Refineries'!$B$85:$B$164,"Boiler"))),0)</f>
        <v>0.61457033647315606</v>
      </c>
      <c r="V446" s="173" cm="1">
        <f t="array" ref="V446">IFERROR(IF(AND(SUMIFS('Key inputs_Refineries'!P$85:P$164,'Key inputs_Refineries'!$C$85:$C$164,$C446,'Key inputs_Refineries'!$B$85:$B$164,"Boiler")/SUM(SUMIFS('Key inputs_Refineries'!P$85:P$164,'Key inputs_Refineries'!$C$85:$C$164,$C442:$C451,'Key inputs_Refineries'!$B$85:$B$164,"Boiler"))&gt;0,SUMIFS('Key inputs_Refineries'!P$85:P$164,'Key inputs_Refineries'!$C$85:$C$164,$C446,'Key inputs_Refineries'!$B$85:$B$164,"Boiler")/SUM(SUMIFS('Key inputs_Refineries'!P$85:P$164,'Key inputs_Refineries'!$C$85:$C$164,$C442:$C451,'Key inputs_Refineries'!$B$85:$B$164,"Boiler"))&lt;0.001),0.001,SUMIFS('Key inputs_Refineries'!P$85:P$164,'Key inputs_Refineries'!$C$85:$C$164,$C446,'Key inputs_Refineries'!$B$85:$B$164,"Boiler")/SUM(SUMIFS('Key inputs_Refineries'!P$85:P$164,'Key inputs_Refineries'!$C$85:$C$164,$C442:$C451,'Key inputs_Refineries'!$B$85:$B$164,"Boiler"))),0)</f>
        <v>6.3407167375633859E-3</v>
      </c>
      <c r="W446" s="173" cm="1">
        <f t="array" ref="W446">IFERROR(IF(AND(SUMIFS('Key inputs_Refineries'!Q$85:Q$164,'Key inputs_Refineries'!$C$85:$C$164,$C446,'Key inputs_Refineries'!$B$85:$B$164,"Boiler")/SUM(SUMIFS('Key inputs_Refineries'!Q$85:Q$164,'Key inputs_Refineries'!$C$85:$C$164,$C442:$C451,'Key inputs_Refineries'!$B$85:$B$164,"Boiler"))&gt;0,SUMIFS('Key inputs_Refineries'!Q$85:Q$164,'Key inputs_Refineries'!$C$85:$C$164,$C446,'Key inputs_Refineries'!$B$85:$B$164,"Boiler")/SUM(SUMIFS('Key inputs_Refineries'!Q$85:Q$164,'Key inputs_Refineries'!$C$85:$C$164,$C442:$C451,'Key inputs_Refineries'!$B$85:$B$164,"Boiler"))&lt;0.001),0.001,SUMIFS('Key inputs_Refineries'!Q$85:Q$164,'Key inputs_Refineries'!$C$85:$C$164,$C446,'Key inputs_Refineries'!$B$85:$B$164,"Boiler")/SUM(SUMIFS('Key inputs_Refineries'!Q$85:Q$164,'Key inputs_Refineries'!$C$85:$C$164,$C442:$C451,'Key inputs_Refineries'!$B$85:$B$164,"Boiler"))),0)</f>
        <v>0.94164147828318123</v>
      </c>
      <c r="X446" s="173" cm="1">
        <f t="array" ref="X446">IFERROR(IF(AND(SUMIFS('Key inputs_Refineries'!R$85:R$164,'Key inputs_Refineries'!$C$85:$C$164,$C446,'Key inputs_Refineries'!$B$85:$B$164,"Boiler")/SUM(SUMIFS('Key inputs_Refineries'!R$85:R$164,'Key inputs_Refineries'!$C$85:$C$164,$C442:$C451,'Key inputs_Refineries'!$B$85:$B$164,"Boiler"))&gt;0,SUMIFS('Key inputs_Refineries'!R$85:R$164,'Key inputs_Refineries'!$C$85:$C$164,$C446,'Key inputs_Refineries'!$B$85:$B$164,"Boiler")/SUM(SUMIFS('Key inputs_Refineries'!R$85:R$164,'Key inputs_Refineries'!$C$85:$C$164,$C442:$C451,'Key inputs_Refineries'!$B$85:$B$164,"Boiler"))&lt;0.001),0.001,SUMIFS('Key inputs_Refineries'!R$85:R$164,'Key inputs_Refineries'!$C$85:$C$164,$C446,'Key inputs_Refineries'!$B$85:$B$164,"Boiler")/SUM(SUMIFS('Key inputs_Refineries'!R$85:R$164,'Key inputs_Refineries'!$C$85:$C$164,$C442:$C451,'Key inputs_Refineries'!$B$85:$B$164,"Boiler"))),0)</f>
        <v>0.1905876476082399</v>
      </c>
      <c r="Y446" s="173" cm="1">
        <f t="array" ref="Y446">IFERROR(IF(AND(SUMIFS('Key inputs_Refineries'!S$85:S$164,'Key inputs_Refineries'!$C$85:$C$164,$C446,'Key inputs_Refineries'!$B$85:$B$164,"Boiler")/SUM(SUMIFS('Key inputs_Refineries'!S$85:S$164,'Key inputs_Refineries'!$C$85:$C$164,$C442:$C451,'Key inputs_Refineries'!$B$85:$B$164,"Boiler"))&gt;0,SUMIFS('Key inputs_Refineries'!S$85:S$164,'Key inputs_Refineries'!$C$85:$C$164,$C446,'Key inputs_Refineries'!$B$85:$B$164,"Boiler")/SUM(SUMIFS('Key inputs_Refineries'!S$85:S$164,'Key inputs_Refineries'!$C$85:$C$164,$C442:$C451,'Key inputs_Refineries'!$B$85:$B$164,"Boiler"))&lt;0.001),0.001,SUMIFS('Key inputs_Refineries'!S$85:S$164,'Key inputs_Refineries'!$C$85:$C$164,$C446,'Key inputs_Refineries'!$B$85:$B$164,"Boiler")/SUM(SUMIFS('Key inputs_Refineries'!S$85:S$164,'Key inputs_Refineries'!$C$85:$C$164,$C442:$C451,'Key inputs_Refineries'!$B$85:$B$164,"Boiler"))),0)</f>
        <v>0.42885543845730389</v>
      </c>
      <c r="Z446" s="173" cm="1">
        <f t="array" ref="Z446">IFERROR(IF(AND(SUMIFS('Key inputs_Refineries'!T$85:T$164,'Key inputs_Refineries'!$C$85:$C$164,$C446,'Key inputs_Refineries'!$B$85:$B$164,"Boiler")/SUM(SUMIFS('Key inputs_Refineries'!T$85:T$164,'Key inputs_Refineries'!$C$85:$C$164,$C442:$C451,'Key inputs_Refineries'!$B$85:$B$164,"Boiler"))&gt;0,SUMIFS('Key inputs_Refineries'!T$85:T$164,'Key inputs_Refineries'!$C$85:$C$164,$C446,'Key inputs_Refineries'!$B$85:$B$164,"Boiler")/SUM(SUMIFS('Key inputs_Refineries'!T$85:T$164,'Key inputs_Refineries'!$C$85:$C$164,$C442:$C451,'Key inputs_Refineries'!$B$85:$B$164,"Boiler"))&lt;0.001),0.001,SUMIFS('Key inputs_Refineries'!T$85:T$164,'Key inputs_Refineries'!$C$85:$C$164,$C446,'Key inputs_Refineries'!$B$85:$B$164,"Boiler")/SUM(SUMIFS('Key inputs_Refineries'!T$85:T$164,'Key inputs_Refineries'!$C$85:$C$164,$C442:$C451,'Key inputs_Refineries'!$B$85:$B$164,"Boiler"))),0)</f>
        <v>0.25806013116659293</v>
      </c>
      <c r="AA446" s="173" cm="1">
        <f t="array" ref="AA446">IFERROR(IF(AND(SUMIFS('Key inputs_Refineries'!U$85:U$164,'Key inputs_Refineries'!$C$85:$C$164,$C446,'Key inputs_Refineries'!$B$85:$B$164,"Boiler")/SUM(SUMIFS('Key inputs_Refineries'!U$85:U$164,'Key inputs_Refineries'!$C$85:$C$164,$C442:$C451,'Key inputs_Refineries'!$B$85:$B$164,"Boiler"))&gt;0,SUMIFS('Key inputs_Refineries'!U$85:U$164,'Key inputs_Refineries'!$C$85:$C$164,$C446,'Key inputs_Refineries'!$B$85:$B$164,"Boiler")/SUM(SUMIFS('Key inputs_Refineries'!U$85:U$164,'Key inputs_Refineries'!$C$85:$C$164,$C442:$C451,'Key inputs_Refineries'!$B$85:$B$164,"Boiler"))&lt;0.001),0.001,SUMIFS('Key inputs_Refineries'!U$85:U$164,'Key inputs_Refineries'!$C$85:$C$164,$C446,'Key inputs_Refineries'!$B$85:$B$164,"Boiler")/SUM(SUMIFS('Key inputs_Refineries'!U$85:U$164,'Key inputs_Refineries'!$C$85:$C$164,$C442:$C451,'Key inputs_Refineries'!$B$85:$B$164,"Boiler"))),0)</f>
        <v>0.39154120435237949</v>
      </c>
      <c r="AB446" s="173" cm="1">
        <f t="array" ref="AB446">IFERROR(IF(AND(SUMIFS('Key inputs_Refineries'!V$85:V$164,'Key inputs_Refineries'!$C$85:$C$164,$C446,'Key inputs_Refineries'!$B$85:$B$164,"Boiler")/SUM(SUMIFS('Key inputs_Refineries'!V$85:V$164,'Key inputs_Refineries'!$C$85:$C$164,$C442:$C451,'Key inputs_Refineries'!$B$85:$B$164,"Boiler"))&gt;0,SUMIFS('Key inputs_Refineries'!V$85:V$164,'Key inputs_Refineries'!$C$85:$C$164,$C446,'Key inputs_Refineries'!$B$85:$B$164,"Boiler")/SUM(SUMIFS('Key inputs_Refineries'!V$85:V$164,'Key inputs_Refineries'!$C$85:$C$164,$C442:$C451,'Key inputs_Refineries'!$B$85:$B$164,"Boiler"))&lt;0.001),0.001,SUMIFS('Key inputs_Refineries'!V$85:V$164,'Key inputs_Refineries'!$C$85:$C$164,$C446,'Key inputs_Refineries'!$B$85:$B$164,"Boiler")/SUM(SUMIFS('Key inputs_Refineries'!V$85:V$164,'Key inputs_Refineries'!$C$85:$C$164,$C442:$C451,'Key inputs_Refineries'!$B$85:$B$164,"Boiler"))),0)</f>
        <v>0</v>
      </c>
      <c r="AC446" s="173" cm="1">
        <f t="array" ref="AC446">IFERROR(IF(AND(SUMIFS('Key inputs_Refineries'!W$85:W$164,'Key inputs_Refineries'!$C$85:$C$164,$C446,'Key inputs_Refineries'!$B$85:$B$164,"Boiler")/SUM(SUMIFS('Key inputs_Refineries'!W$85:W$164,'Key inputs_Refineries'!$C$85:$C$164,$C442:$C451,'Key inputs_Refineries'!$B$85:$B$164,"Boiler"))&gt;0,SUMIFS('Key inputs_Refineries'!W$85:W$164,'Key inputs_Refineries'!$C$85:$C$164,$C446,'Key inputs_Refineries'!$B$85:$B$164,"Boiler")/SUM(SUMIFS('Key inputs_Refineries'!W$85:W$164,'Key inputs_Refineries'!$C$85:$C$164,$C442:$C451,'Key inputs_Refineries'!$B$85:$B$164,"Boiler"))&lt;0.001),0.001,SUMIFS('Key inputs_Refineries'!W$85:W$164,'Key inputs_Refineries'!$C$85:$C$164,$C446,'Key inputs_Refineries'!$B$85:$B$164,"Boiler")/SUM(SUMIFS('Key inputs_Refineries'!W$85:W$164,'Key inputs_Refineries'!$C$85:$C$164,$C442:$C451,'Key inputs_Refineries'!$B$85:$B$164,"Boiler"))),0)</f>
        <v>0</v>
      </c>
      <c r="AD446" s="173" cm="1">
        <f t="array" ref="AD446">IFERROR(IF(AND(SUMIFS('Key inputs_Refineries'!X$85:X$164,'Key inputs_Refineries'!$C$85:$C$164,$C446,'Key inputs_Refineries'!$B$85:$B$164,"Boiler")/SUM(SUMIFS('Key inputs_Refineries'!X$85:X$164,'Key inputs_Refineries'!$C$85:$C$164,$C442:$C451,'Key inputs_Refineries'!$B$85:$B$164,"Boiler"))&gt;0,SUMIFS('Key inputs_Refineries'!X$85:X$164,'Key inputs_Refineries'!$C$85:$C$164,$C446,'Key inputs_Refineries'!$B$85:$B$164,"Boiler")/SUM(SUMIFS('Key inputs_Refineries'!X$85:X$164,'Key inputs_Refineries'!$C$85:$C$164,$C442:$C451,'Key inputs_Refineries'!$B$85:$B$164,"Boiler"))&lt;0.001),0.001,SUMIFS('Key inputs_Refineries'!X$85:X$164,'Key inputs_Refineries'!$C$85:$C$164,$C446,'Key inputs_Refineries'!$B$85:$B$164,"Boiler")/SUM(SUMIFS('Key inputs_Refineries'!X$85:X$164,'Key inputs_Refineries'!$C$85:$C$164,$C442:$C451,'Key inputs_Refineries'!$B$85:$B$164,"Boiler"))),0)</f>
        <v>0.4756383948623702</v>
      </c>
      <c r="AE446" s="173" cm="1">
        <f t="array" ref="AE446">IFERROR(IF(AND(SUMIFS('Key inputs_Refineries'!Y$85:Y$164,'Key inputs_Refineries'!$C$85:$C$164,$C446,'Key inputs_Refineries'!$B$85:$B$164,"Boiler")/SUM(SUMIFS('Key inputs_Refineries'!Y$85:Y$164,'Key inputs_Refineries'!$C$85:$C$164,$C442:$C451,'Key inputs_Refineries'!$B$85:$B$164,"Boiler"))&gt;0,SUMIFS('Key inputs_Refineries'!Y$85:Y$164,'Key inputs_Refineries'!$C$85:$C$164,$C446,'Key inputs_Refineries'!$B$85:$B$164,"Boiler")/SUM(SUMIFS('Key inputs_Refineries'!Y$85:Y$164,'Key inputs_Refineries'!$C$85:$C$164,$C442:$C451,'Key inputs_Refineries'!$B$85:$B$164,"Boiler"))&lt;0.001),0.001,SUMIFS('Key inputs_Refineries'!Y$85:Y$164,'Key inputs_Refineries'!$C$85:$C$164,$C446,'Key inputs_Refineries'!$B$85:$B$164,"Boiler")/SUM(SUMIFS('Key inputs_Refineries'!Y$85:Y$164,'Key inputs_Refineries'!$C$85:$C$164,$C442:$C451,'Key inputs_Refineries'!$B$85:$B$164,"Boiler"))),0)</f>
        <v>0.73286575508212493</v>
      </c>
      <c r="AF446" s="173" cm="1">
        <f t="array" ref="AF446">IFERROR(IF(AND(SUMIFS('Key inputs_Refineries'!Z$85:Z$164,'Key inputs_Refineries'!$C$85:$C$164,$C446,'Key inputs_Refineries'!$B$85:$B$164,"Boiler")/SUM(SUMIFS('Key inputs_Refineries'!Z$85:Z$164,'Key inputs_Refineries'!$C$85:$C$164,$C442:$C451,'Key inputs_Refineries'!$B$85:$B$164,"Boiler"))&gt;0,SUMIFS('Key inputs_Refineries'!Z$85:Z$164,'Key inputs_Refineries'!$C$85:$C$164,$C446,'Key inputs_Refineries'!$B$85:$B$164,"Boiler")/SUM(SUMIFS('Key inputs_Refineries'!Z$85:Z$164,'Key inputs_Refineries'!$C$85:$C$164,$C442:$C451,'Key inputs_Refineries'!$B$85:$B$164,"Boiler"))&lt;0.001),0.001,SUMIFS('Key inputs_Refineries'!Z$85:Z$164,'Key inputs_Refineries'!$C$85:$C$164,$C446,'Key inputs_Refineries'!$B$85:$B$164,"Boiler")/SUM(SUMIFS('Key inputs_Refineries'!Z$85:Z$164,'Key inputs_Refineries'!$C$85:$C$164,$C442:$C451,'Key inputs_Refineries'!$B$85:$B$164,"Boiler"))),0)</f>
        <v>0.95711367572637651</v>
      </c>
      <c r="AG446" s="173" cm="1">
        <f t="array" ref="AG446">IFERROR(IF(AND(SUMIFS('Key inputs_Refineries'!AA$85:AA$164,'Key inputs_Refineries'!$C$85:$C$164,$C446,'Key inputs_Refineries'!$B$85:$B$164,"Boiler")/SUM(SUMIFS('Key inputs_Refineries'!AA$85:AA$164,'Key inputs_Refineries'!$C$85:$C$164,$C442:$C451,'Key inputs_Refineries'!$B$85:$B$164,"Boiler"))&gt;0,SUMIFS('Key inputs_Refineries'!AA$85:AA$164,'Key inputs_Refineries'!$C$85:$C$164,$C446,'Key inputs_Refineries'!$B$85:$B$164,"Boiler")/SUM(SUMIFS('Key inputs_Refineries'!AA$85:AA$164,'Key inputs_Refineries'!$C$85:$C$164,$C442:$C451,'Key inputs_Refineries'!$B$85:$B$164,"Boiler"))&lt;0.001),0.001,SUMIFS('Key inputs_Refineries'!AA$85:AA$164,'Key inputs_Refineries'!$C$85:$C$164,$C446,'Key inputs_Refineries'!$B$85:$B$164,"Boiler")/SUM(SUMIFS('Key inputs_Refineries'!AA$85:AA$164,'Key inputs_Refineries'!$C$85:$C$164,$C442:$C451,'Key inputs_Refineries'!$B$85:$B$164,"Boiler"))),0)</f>
        <v>0.75702598609266325</v>
      </c>
      <c r="AH446" s="173" cm="1">
        <f t="array" ref="AH446">IFERROR(IF(AND(SUMIFS('Key inputs_Refineries'!AB$85:AB$164,'Key inputs_Refineries'!$C$85:$C$164,$C446,'Key inputs_Refineries'!$B$85:$B$164,"Boiler")/SUM(SUMIFS('Key inputs_Refineries'!AB$85:AB$164,'Key inputs_Refineries'!$C$85:$C$164,$C442:$C451,'Key inputs_Refineries'!$B$85:$B$164,"Boiler"))&gt;0,SUMIFS('Key inputs_Refineries'!AB$85:AB$164,'Key inputs_Refineries'!$C$85:$C$164,$C446,'Key inputs_Refineries'!$B$85:$B$164,"Boiler")/SUM(SUMIFS('Key inputs_Refineries'!AB$85:AB$164,'Key inputs_Refineries'!$C$85:$C$164,$C442:$C451,'Key inputs_Refineries'!$B$85:$B$164,"Boiler"))&lt;0.001),0.001,SUMIFS('Key inputs_Refineries'!AB$85:AB$164,'Key inputs_Refineries'!$C$85:$C$164,$C446,'Key inputs_Refineries'!$B$85:$B$164,"Boiler")/SUM(SUMIFS('Key inputs_Refineries'!AB$85:AB$164,'Key inputs_Refineries'!$C$85:$C$164,$C442:$C451,'Key inputs_Refineries'!$B$85:$B$164,"Boiler"))),0)</f>
        <v>0.90502590262726645</v>
      </c>
      <c r="AI446" s="173" cm="1">
        <f t="array" ref="AI446">IFERROR(IF(AND(SUMIFS('Key inputs_Refineries'!AC$85:AC$164,'Key inputs_Refineries'!$C$85:$C$164,$C446,'Key inputs_Refineries'!$B$85:$B$164,"Boiler")/SUM(SUMIFS('Key inputs_Refineries'!AC$85:AC$164,'Key inputs_Refineries'!$C$85:$C$164,$C442:$C451,'Key inputs_Refineries'!$B$85:$B$164,"Boiler"))&gt;0,SUMIFS('Key inputs_Refineries'!AC$85:AC$164,'Key inputs_Refineries'!$C$85:$C$164,$C446,'Key inputs_Refineries'!$B$85:$B$164,"Boiler")/SUM(SUMIFS('Key inputs_Refineries'!AC$85:AC$164,'Key inputs_Refineries'!$C$85:$C$164,$C442:$C451,'Key inputs_Refineries'!$B$85:$B$164,"Boiler"))&lt;0.001),0.001,SUMIFS('Key inputs_Refineries'!AC$85:AC$164,'Key inputs_Refineries'!$C$85:$C$164,$C446,'Key inputs_Refineries'!$B$85:$B$164,"Boiler")/SUM(SUMIFS('Key inputs_Refineries'!AC$85:AC$164,'Key inputs_Refineries'!$C$85:$C$164,$C442:$C451,'Key inputs_Refineries'!$B$85:$B$164,"Boiler"))),0)</f>
        <v>0.80267724343083791</v>
      </c>
      <c r="AJ446" s="173" cm="1">
        <f t="array" ref="AJ446">IFERROR(IF(AND(SUMIFS('Key inputs_Refineries'!AD$85:AD$164,'Key inputs_Refineries'!$C$85:$C$164,$C446,'Key inputs_Refineries'!$B$85:$B$164,"Boiler")/SUM(SUMIFS('Key inputs_Refineries'!AD$85:AD$164,'Key inputs_Refineries'!$C$85:$C$164,$C442:$C451,'Key inputs_Refineries'!$B$85:$B$164,"Boiler"))&gt;0,SUMIFS('Key inputs_Refineries'!AD$85:AD$164,'Key inputs_Refineries'!$C$85:$C$164,$C446,'Key inputs_Refineries'!$B$85:$B$164,"Boiler")/SUM(SUMIFS('Key inputs_Refineries'!AD$85:AD$164,'Key inputs_Refineries'!$C$85:$C$164,$C442:$C451,'Key inputs_Refineries'!$B$85:$B$164,"Boiler"))&lt;0.001),0.001,SUMIFS('Key inputs_Refineries'!AD$85:AD$164,'Key inputs_Refineries'!$C$85:$C$164,$C446,'Key inputs_Refineries'!$B$85:$B$164,"Boiler")/SUM(SUMIFS('Key inputs_Refineries'!AD$85:AD$164,'Key inputs_Refineries'!$C$85:$C$164,$C442:$C451,'Key inputs_Refineries'!$B$85:$B$164,"Boiler"))),0)</f>
        <v>0</v>
      </c>
      <c r="AK446" s="173" cm="1">
        <f t="array" ref="AK446">IFERROR(IF(AND(SUMIFS('Key inputs_Refineries'!AE$85:AE$164,'Key inputs_Refineries'!$C$85:$C$164,$C446,'Key inputs_Refineries'!$B$85:$B$164,"Boiler")/SUM(SUMIFS('Key inputs_Refineries'!AE$85:AE$164,'Key inputs_Refineries'!$C$85:$C$164,$C442:$C451,'Key inputs_Refineries'!$B$85:$B$164,"Boiler"))&gt;0,SUMIFS('Key inputs_Refineries'!AE$85:AE$164,'Key inputs_Refineries'!$C$85:$C$164,$C446,'Key inputs_Refineries'!$B$85:$B$164,"Boiler")/SUM(SUMIFS('Key inputs_Refineries'!AE$85:AE$164,'Key inputs_Refineries'!$C$85:$C$164,$C442:$C451,'Key inputs_Refineries'!$B$85:$B$164,"Boiler"))&lt;0.001),0.001,SUMIFS('Key inputs_Refineries'!AE$85:AE$164,'Key inputs_Refineries'!$C$85:$C$164,$C446,'Key inputs_Refineries'!$B$85:$B$164,"Boiler")/SUM(SUMIFS('Key inputs_Refineries'!AE$85:AE$164,'Key inputs_Refineries'!$C$85:$C$164,$C442:$C451,'Key inputs_Refineries'!$B$85:$B$164,"Boiler"))),0)</f>
        <v>0.5386618718173517</v>
      </c>
      <c r="AL446" s="173" cm="1">
        <f t="array" ref="AL446">IFERROR(IF(AND(SUMIFS('Key inputs_Refineries'!AF$85:AF$164,'Key inputs_Refineries'!$C$85:$C$164,$C446,'Key inputs_Refineries'!$B$85:$B$164,"Boiler")/SUM(SUMIFS('Key inputs_Refineries'!AF$85:AF$164,'Key inputs_Refineries'!$C$85:$C$164,$C442:$C451,'Key inputs_Refineries'!$B$85:$B$164,"Boiler"))&gt;0,SUMIFS('Key inputs_Refineries'!AF$85:AF$164,'Key inputs_Refineries'!$C$85:$C$164,$C446,'Key inputs_Refineries'!$B$85:$B$164,"Boiler")/SUM(SUMIFS('Key inputs_Refineries'!AF$85:AF$164,'Key inputs_Refineries'!$C$85:$C$164,$C442:$C451,'Key inputs_Refineries'!$B$85:$B$164,"Boiler"))&lt;0.001),0.001,SUMIFS('Key inputs_Refineries'!AF$85:AF$164,'Key inputs_Refineries'!$C$85:$C$164,$C446,'Key inputs_Refineries'!$B$85:$B$164,"Boiler")/SUM(SUMIFS('Key inputs_Refineries'!AF$85:AF$164,'Key inputs_Refineries'!$C$85:$C$164,$C442:$C451,'Key inputs_Refineries'!$B$85:$B$164,"Boiler"))),0)</f>
        <v>1E-3</v>
      </c>
    </row>
    <row r="447" spans="1:47">
      <c r="C447" t="str">
        <f>Commodities!$C$96</f>
        <v>UPSKER</v>
      </c>
      <c r="G447" s="4" t="s">
        <v>702</v>
      </c>
      <c r="H447" t="s">
        <v>661</v>
      </c>
      <c r="I447">
        <v>2019</v>
      </c>
      <c r="J447" t="s">
        <v>650</v>
      </c>
      <c r="K447" s="173" cm="1">
        <f t="array" ref="K447">IFERROR(IF(AND(SUMIFS('Key inputs_Refineries'!E$85:E$164,'Key inputs_Refineries'!$C$85:$C$164,$C447,'Key inputs_Refineries'!$B$85:$B$164,"Boiler")/SUM(SUMIFS('Key inputs_Refineries'!E$85:E$164,'Key inputs_Refineries'!$C$85:$C$164,$C442:$C451,'Key inputs_Refineries'!$B$85:$B$164,"Boiler"))&gt;0,SUMIFS('Key inputs_Refineries'!E$85:E$164,'Key inputs_Refineries'!$C$85:$C$164,$C447,'Key inputs_Refineries'!$B$85:$B$164,"Boiler")/SUM(SUMIFS('Key inputs_Refineries'!E$85:E$164,'Key inputs_Refineries'!$C$85:$C$164,$C442:$C451,'Key inputs_Refineries'!$B$85:$B$164,"Boiler"))&lt;0.001),0.001,SUMIFS('Key inputs_Refineries'!E$85:E$164,'Key inputs_Refineries'!$C$85:$C$164,$C447,'Key inputs_Refineries'!$B$85:$B$164,"Boiler")/SUM(SUMIFS('Key inputs_Refineries'!E$85:E$164,'Key inputs_Refineries'!$C$85:$C$164,$C442:$C451,'Key inputs_Refineries'!$B$85:$B$164,"Boiler"))),0)</f>
        <v>0</v>
      </c>
      <c r="L447" s="173" cm="1">
        <f t="array" ref="L447">IFERROR(IF(AND(SUMIFS('Key inputs_Refineries'!F$85:F$164,'Key inputs_Refineries'!$C$85:$C$164,$C447,'Key inputs_Refineries'!$B$85:$B$164,"Boiler")/SUM(SUMIFS('Key inputs_Refineries'!F$85:F$164,'Key inputs_Refineries'!$C$85:$C$164,$C442:$C451,'Key inputs_Refineries'!$B$85:$B$164,"Boiler"))&gt;0,SUMIFS('Key inputs_Refineries'!F$85:F$164,'Key inputs_Refineries'!$C$85:$C$164,$C447,'Key inputs_Refineries'!$B$85:$B$164,"Boiler")/SUM(SUMIFS('Key inputs_Refineries'!F$85:F$164,'Key inputs_Refineries'!$C$85:$C$164,$C442:$C451,'Key inputs_Refineries'!$B$85:$B$164,"Boiler"))&lt;0.001),0.001,SUMIFS('Key inputs_Refineries'!F$85:F$164,'Key inputs_Refineries'!$C$85:$C$164,$C447,'Key inputs_Refineries'!$B$85:$B$164,"Boiler")/SUM(SUMIFS('Key inputs_Refineries'!F$85:F$164,'Key inputs_Refineries'!$C$85:$C$164,$C442:$C451,'Key inputs_Refineries'!$B$85:$B$164,"Boiler"))),0)</f>
        <v>0</v>
      </c>
      <c r="M447" s="173" cm="1">
        <f t="array" ref="M447">IFERROR(IF(AND(SUMIFS('Key inputs_Refineries'!G$85:G$164,'Key inputs_Refineries'!$C$85:$C$164,$C447,'Key inputs_Refineries'!$B$85:$B$164,"Boiler")/SUM(SUMIFS('Key inputs_Refineries'!G$85:G$164,'Key inputs_Refineries'!$C$85:$C$164,$C442:$C451,'Key inputs_Refineries'!$B$85:$B$164,"Boiler"))&gt;0,SUMIFS('Key inputs_Refineries'!G$85:G$164,'Key inputs_Refineries'!$C$85:$C$164,$C447,'Key inputs_Refineries'!$B$85:$B$164,"Boiler")/SUM(SUMIFS('Key inputs_Refineries'!G$85:G$164,'Key inputs_Refineries'!$C$85:$C$164,$C442:$C451,'Key inputs_Refineries'!$B$85:$B$164,"Boiler"))&lt;0.001),0.001,SUMIFS('Key inputs_Refineries'!G$85:G$164,'Key inputs_Refineries'!$C$85:$C$164,$C447,'Key inputs_Refineries'!$B$85:$B$164,"Boiler")/SUM(SUMIFS('Key inputs_Refineries'!G$85:G$164,'Key inputs_Refineries'!$C$85:$C$164,$C442:$C451,'Key inputs_Refineries'!$B$85:$B$164,"Boiler"))),0)</f>
        <v>0</v>
      </c>
      <c r="N447" s="173" cm="1">
        <f t="array" ref="N447">IFERROR(IF(AND(SUMIFS('Key inputs_Refineries'!H$85:H$164,'Key inputs_Refineries'!$C$85:$C$164,$C447,'Key inputs_Refineries'!$B$85:$B$164,"Boiler")/SUM(SUMIFS('Key inputs_Refineries'!H$85:H$164,'Key inputs_Refineries'!$C$85:$C$164,$C442:$C451,'Key inputs_Refineries'!$B$85:$B$164,"Boiler"))&gt;0,SUMIFS('Key inputs_Refineries'!H$85:H$164,'Key inputs_Refineries'!$C$85:$C$164,$C447,'Key inputs_Refineries'!$B$85:$B$164,"Boiler")/SUM(SUMIFS('Key inputs_Refineries'!H$85:H$164,'Key inputs_Refineries'!$C$85:$C$164,$C442:$C451,'Key inputs_Refineries'!$B$85:$B$164,"Boiler"))&lt;0.001),0.001,SUMIFS('Key inputs_Refineries'!H$85:H$164,'Key inputs_Refineries'!$C$85:$C$164,$C447,'Key inputs_Refineries'!$B$85:$B$164,"Boiler")/SUM(SUMIFS('Key inputs_Refineries'!H$85:H$164,'Key inputs_Refineries'!$C$85:$C$164,$C442:$C451,'Key inputs_Refineries'!$B$85:$B$164,"Boiler"))),0)</f>
        <v>0</v>
      </c>
      <c r="O447" s="173" cm="1">
        <f t="array" ref="O447">IFERROR(IF(AND(SUMIFS('Key inputs_Refineries'!I$85:I$164,'Key inputs_Refineries'!$C$85:$C$164,$C447,'Key inputs_Refineries'!$B$85:$B$164,"Boiler")/SUM(SUMIFS('Key inputs_Refineries'!I$85:I$164,'Key inputs_Refineries'!$C$85:$C$164,$C442:$C451,'Key inputs_Refineries'!$B$85:$B$164,"Boiler"))&gt;0,SUMIFS('Key inputs_Refineries'!I$85:I$164,'Key inputs_Refineries'!$C$85:$C$164,$C447,'Key inputs_Refineries'!$B$85:$B$164,"Boiler")/SUM(SUMIFS('Key inputs_Refineries'!I$85:I$164,'Key inputs_Refineries'!$C$85:$C$164,$C442:$C451,'Key inputs_Refineries'!$B$85:$B$164,"Boiler"))&lt;0.001),0.001,SUMIFS('Key inputs_Refineries'!I$85:I$164,'Key inputs_Refineries'!$C$85:$C$164,$C447,'Key inputs_Refineries'!$B$85:$B$164,"Boiler")/SUM(SUMIFS('Key inputs_Refineries'!I$85:I$164,'Key inputs_Refineries'!$C$85:$C$164,$C442:$C451,'Key inputs_Refineries'!$B$85:$B$164,"Boiler"))),0)</f>
        <v>0</v>
      </c>
      <c r="P447" s="173" cm="1">
        <f t="array" ref="P447">IFERROR(IF(AND(SUMIFS('Key inputs_Refineries'!J$85:J$164,'Key inputs_Refineries'!$C$85:$C$164,$C447,'Key inputs_Refineries'!$B$85:$B$164,"Boiler")/SUM(SUMIFS('Key inputs_Refineries'!J$85:J$164,'Key inputs_Refineries'!$C$85:$C$164,$C442:$C451,'Key inputs_Refineries'!$B$85:$B$164,"Boiler"))&gt;0,SUMIFS('Key inputs_Refineries'!J$85:J$164,'Key inputs_Refineries'!$C$85:$C$164,$C447,'Key inputs_Refineries'!$B$85:$B$164,"Boiler")/SUM(SUMIFS('Key inputs_Refineries'!J$85:J$164,'Key inputs_Refineries'!$C$85:$C$164,$C442:$C451,'Key inputs_Refineries'!$B$85:$B$164,"Boiler"))&lt;0.001),0.001,SUMIFS('Key inputs_Refineries'!J$85:J$164,'Key inputs_Refineries'!$C$85:$C$164,$C447,'Key inputs_Refineries'!$B$85:$B$164,"Boiler")/SUM(SUMIFS('Key inputs_Refineries'!J$85:J$164,'Key inputs_Refineries'!$C$85:$C$164,$C442:$C451,'Key inputs_Refineries'!$B$85:$B$164,"Boiler"))),0)</f>
        <v>0</v>
      </c>
      <c r="Q447" s="173" cm="1">
        <f t="array" ref="Q447">IFERROR(IF(AND(SUMIFS('Key inputs_Refineries'!K$85:K$164,'Key inputs_Refineries'!$C$85:$C$164,$C447,'Key inputs_Refineries'!$B$85:$B$164,"Boiler")/SUM(SUMIFS('Key inputs_Refineries'!K$85:K$164,'Key inputs_Refineries'!$C$85:$C$164,$C442:$C451,'Key inputs_Refineries'!$B$85:$B$164,"Boiler"))&gt;0,SUMIFS('Key inputs_Refineries'!K$85:K$164,'Key inputs_Refineries'!$C$85:$C$164,$C447,'Key inputs_Refineries'!$B$85:$B$164,"Boiler")/SUM(SUMIFS('Key inputs_Refineries'!K$85:K$164,'Key inputs_Refineries'!$C$85:$C$164,$C442:$C451,'Key inputs_Refineries'!$B$85:$B$164,"Boiler"))&lt;0.001),0.001,SUMIFS('Key inputs_Refineries'!K$85:K$164,'Key inputs_Refineries'!$C$85:$C$164,$C447,'Key inputs_Refineries'!$B$85:$B$164,"Boiler")/SUM(SUMIFS('Key inputs_Refineries'!K$85:K$164,'Key inputs_Refineries'!$C$85:$C$164,$C442:$C451,'Key inputs_Refineries'!$B$85:$B$164,"Boiler"))),0)</f>
        <v>0</v>
      </c>
      <c r="R447" s="173" cm="1">
        <f t="array" ref="R447">IFERROR(IF(AND(SUMIFS('Key inputs_Refineries'!L$85:L$164,'Key inputs_Refineries'!$C$85:$C$164,$C447,'Key inputs_Refineries'!$B$85:$B$164,"Boiler")/SUM(SUMIFS('Key inputs_Refineries'!L$85:L$164,'Key inputs_Refineries'!$C$85:$C$164,$C442:$C451,'Key inputs_Refineries'!$B$85:$B$164,"Boiler"))&gt;0,SUMIFS('Key inputs_Refineries'!L$85:L$164,'Key inputs_Refineries'!$C$85:$C$164,$C447,'Key inputs_Refineries'!$B$85:$B$164,"Boiler")/SUM(SUMIFS('Key inputs_Refineries'!L$85:L$164,'Key inputs_Refineries'!$C$85:$C$164,$C442:$C451,'Key inputs_Refineries'!$B$85:$B$164,"Boiler"))&lt;0.001),0.001,SUMIFS('Key inputs_Refineries'!L$85:L$164,'Key inputs_Refineries'!$C$85:$C$164,$C447,'Key inputs_Refineries'!$B$85:$B$164,"Boiler")/SUM(SUMIFS('Key inputs_Refineries'!L$85:L$164,'Key inputs_Refineries'!$C$85:$C$164,$C442:$C451,'Key inputs_Refineries'!$B$85:$B$164,"Boiler"))),0)</f>
        <v>0</v>
      </c>
      <c r="S447" s="173" cm="1">
        <f t="array" ref="S447">IFERROR(IF(AND(SUMIFS('Key inputs_Refineries'!M$85:M$164,'Key inputs_Refineries'!$C$85:$C$164,$C447,'Key inputs_Refineries'!$B$85:$B$164,"Boiler")/SUM(SUMIFS('Key inputs_Refineries'!M$85:M$164,'Key inputs_Refineries'!$C$85:$C$164,$C442:$C451,'Key inputs_Refineries'!$B$85:$B$164,"Boiler"))&gt;0,SUMIFS('Key inputs_Refineries'!M$85:M$164,'Key inputs_Refineries'!$C$85:$C$164,$C447,'Key inputs_Refineries'!$B$85:$B$164,"Boiler")/SUM(SUMIFS('Key inputs_Refineries'!M$85:M$164,'Key inputs_Refineries'!$C$85:$C$164,$C442:$C451,'Key inputs_Refineries'!$B$85:$B$164,"Boiler"))&lt;0.001),0.001,SUMIFS('Key inputs_Refineries'!M$85:M$164,'Key inputs_Refineries'!$C$85:$C$164,$C447,'Key inputs_Refineries'!$B$85:$B$164,"Boiler")/SUM(SUMIFS('Key inputs_Refineries'!M$85:M$164,'Key inputs_Refineries'!$C$85:$C$164,$C442:$C451,'Key inputs_Refineries'!$B$85:$B$164,"Boiler"))),0)</f>
        <v>0</v>
      </c>
      <c r="T447" s="173" cm="1">
        <f t="array" ref="T447">IFERROR(IF(AND(SUMIFS('Key inputs_Refineries'!N$85:N$164,'Key inputs_Refineries'!$C$85:$C$164,$C447,'Key inputs_Refineries'!$B$85:$B$164,"Boiler")/SUM(SUMIFS('Key inputs_Refineries'!N$85:N$164,'Key inputs_Refineries'!$C$85:$C$164,$C442:$C451,'Key inputs_Refineries'!$B$85:$B$164,"Boiler"))&gt;0,SUMIFS('Key inputs_Refineries'!N$85:N$164,'Key inputs_Refineries'!$C$85:$C$164,$C447,'Key inputs_Refineries'!$B$85:$B$164,"Boiler")/SUM(SUMIFS('Key inputs_Refineries'!N$85:N$164,'Key inputs_Refineries'!$C$85:$C$164,$C442:$C451,'Key inputs_Refineries'!$B$85:$B$164,"Boiler"))&lt;0.001),0.001,SUMIFS('Key inputs_Refineries'!N$85:N$164,'Key inputs_Refineries'!$C$85:$C$164,$C447,'Key inputs_Refineries'!$B$85:$B$164,"Boiler")/SUM(SUMIFS('Key inputs_Refineries'!N$85:N$164,'Key inputs_Refineries'!$C$85:$C$164,$C442:$C451,'Key inputs_Refineries'!$B$85:$B$164,"Boiler"))),0)</f>
        <v>0</v>
      </c>
      <c r="U447" s="173" cm="1">
        <f t="array" ref="U447">IFERROR(IF(AND(SUMIFS('Key inputs_Refineries'!O$85:O$164,'Key inputs_Refineries'!$C$85:$C$164,$C447,'Key inputs_Refineries'!$B$85:$B$164,"Boiler")/SUM(SUMIFS('Key inputs_Refineries'!O$85:O$164,'Key inputs_Refineries'!$C$85:$C$164,$C442:$C451,'Key inputs_Refineries'!$B$85:$B$164,"Boiler"))&gt;0,SUMIFS('Key inputs_Refineries'!O$85:O$164,'Key inputs_Refineries'!$C$85:$C$164,$C447,'Key inputs_Refineries'!$B$85:$B$164,"Boiler")/SUM(SUMIFS('Key inputs_Refineries'!O$85:O$164,'Key inputs_Refineries'!$C$85:$C$164,$C442:$C451,'Key inputs_Refineries'!$B$85:$B$164,"Boiler"))&lt;0.001),0.001,SUMIFS('Key inputs_Refineries'!O$85:O$164,'Key inputs_Refineries'!$C$85:$C$164,$C447,'Key inputs_Refineries'!$B$85:$B$164,"Boiler")/SUM(SUMIFS('Key inputs_Refineries'!O$85:O$164,'Key inputs_Refineries'!$C$85:$C$164,$C442:$C451,'Key inputs_Refineries'!$B$85:$B$164,"Boiler"))),0)</f>
        <v>0</v>
      </c>
      <c r="V447" s="173" cm="1">
        <f t="array" ref="V447">IFERROR(IF(AND(SUMIFS('Key inputs_Refineries'!P$85:P$164,'Key inputs_Refineries'!$C$85:$C$164,$C447,'Key inputs_Refineries'!$B$85:$B$164,"Boiler")/SUM(SUMIFS('Key inputs_Refineries'!P$85:P$164,'Key inputs_Refineries'!$C$85:$C$164,$C442:$C451,'Key inputs_Refineries'!$B$85:$B$164,"Boiler"))&gt;0,SUMIFS('Key inputs_Refineries'!P$85:P$164,'Key inputs_Refineries'!$C$85:$C$164,$C447,'Key inputs_Refineries'!$B$85:$B$164,"Boiler")/SUM(SUMIFS('Key inputs_Refineries'!P$85:P$164,'Key inputs_Refineries'!$C$85:$C$164,$C442:$C451,'Key inputs_Refineries'!$B$85:$B$164,"Boiler"))&lt;0.001),0.001,SUMIFS('Key inputs_Refineries'!P$85:P$164,'Key inputs_Refineries'!$C$85:$C$164,$C447,'Key inputs_Refineries'!$B$85:$B$164,"Boiler")/SUM(SUMIFS('Key inputs_Refineries'!P$85:P$164,'Key inputs_Refineries'!$C$85:$C$164,$C442:$C451,'Key inputs_Refineries'!$B$85:$B$164,"Boiler"))),0)</f>
        <v>1E-3</v>
      </c>
      <c r="W447" s="173" cm="1">
        <f t="array" ref="W447">IFERROR(IF(AND(SUMIFS('Key inputs_Refineries'!Q$85:Q$164,'Key inputs_Refineries'!$C$85:$C$164,$C447,'Key inputs_Refineries'!$B$85:$B$164,"Boiler")/SUM(SUMIFS('Key inputs_Refineries'!Q$85:Q$164,'Key inputs_Refineries'!$C$85:$C$164,$C442:$C451,'Key inputs_Refineries'!$B$85:$B$164,"Boiler"))&gt;0,SUMIFS('Key inputs_Refineries'!Q$85:Q$164,'Key inputs_Refineries'!$C$85:$C$164,$C447,'Key inputs_Refineries'!$B$85:$B$164,"Boiler")/SUM(SUMIFS('Key inputs_Refineries'!Q$85:Q$164,'Key inputs_Refineries'!$C$85:$C$164,$C442:$C451,'Key inputs_Refineries'!$B$85:$B$164,"Boiler"))&lt;0.001),0.001,SUMIFS('Key inputs_Refineries'!Q$85:Q$164,'Key inputs_Refineries'!$C$85:$C$164,$C447,'Key inputs_Refineries'!$B$85:$B$164,"Boiler")/SUM(SUMIFS('Key inputs_Refineries'!Q$85:Q$164,'Key inputs_Refineries'!$C$85:$C$164,$C442:$C451,'Key inputs_Refineries'!$B$85:$B$164,"Boiler"))),0)</f>
        <v>0</v>
      </c>
      <c r="X447" s="173" cm="1">
        <f t="array" ref="X447">IFERROR(IF(AND(SUMIFS('Key inputs_Refineries'!R$85:R$164,'Key inputs_Refineries'!$C$85:$C$164,$C447,'Key inputs_Refineries'!$B$85:$B$164,"Boiler")/SUM(SUMIFS('Key inputs_Refineries'!R$85:R$164,'Key inputs_Refineries'!$C$85:$C$164,$C442:$C451,'Key inputs_Refineries'!$B$85:$B$164,"Boiler"))&gt;0,SUMIFS('Key inputs_Refineries'!R$85:R$164,'Key inputs_Refineries'!$C$85:$C$164,$C447,'Key inputs_Refineries'!$B$85:$B$164,"Boiler")/SUM(SUMIFS('Key inputs_Refineries'!R$85:R$164,'Key inputs_Refineries'!$C$85:$C$164,$C442:$C451,'Key inputs_Refineries'!$B$85:$B$164,"Boiler"))&lt;0.001),0.001,SUMIFS('Key inputs_Refineries'!R$85:R$164,'Key inputs_Refineries'!$C$85:$C$164,$C447,'Key inputs_Refineries'!$B$85:$B$164,"Boiler")/SUM(SUMIFS('Key inputs_Refineries'!R$85:R$164,'Key inputs_Refineries'!$C$85:$C$164,$C442:$C451,'Key inputs_Refineries'!$B$85:$B$164,"Boiler"))),0)</f>
        <v>0</v>
      </c>
      <c r="Y447" s="173" cm="1">
        <f t="array" ref="Y447">IFERROR(IF(AND(SUMIFS('Key inputs_Refineries'!S$85:S$164,'Key inputs_Refineries'!$C$85:$C$164,$C447,'Key inputs_Refineries'!$B$85:$B$164,"Boiler")/SUM(SUMIFS('Key inputs_Refineries'!S$85:S$164,'Key inputs_Refineries'!$C$85:$C$164,$C442:$C451,'Key inputs_Refineries'!$B$85:$B$164,"Boiler"))&gt;0,SUMIFS('Key inputs_Refineries'!S$85:S$164,'Key inputs_Refineries'!$C$85:$C$164,$C447,'Key inputs_Refineries'!$B$85:$B$164,"Boiler")/SUM(SUMIFS('Key inputs_Refineries'!S$85:S$164,'Key inputs_Refineries'!$C$85:$C$164,$C442:$C451,'Key inputs_Refineries'!$B$85:$B$164,"Boiler"))&lt;0.001),0.001,SUMIFS('Key inputs_Refineries'!S$85:S$164,'Key inputs_Refineries'!$C$85:$C$164,$C447,'Key inputs_Refineries'!$B$85:$B$164,"Boiler")/SUM(SUMIFS('Key inputs_Refineries'!S$85:S$164,'Key inputs_Refineries'!$C$85:$C$164,$C442:$C451,'Key inputs_Refineries'!$B$85:$B$164,"Boiler"))),0)</f>
        <v>0</v>
      </c>
      <c r="Z447" s="173" cm="1">
        <f t="array" ref="Z447">IFERROR(IF(AND(SUMIFS('Key inputs_Refineries'!T$85:T$164,'Key inputs_Refineries'!$C$85:$C$164,$C447,'Key inputs_Refineries'!$B$85:$B$164,"Boiler")/SUM(SUMIFS('Key inputs_Refineries'!T$85:T$164,'Key inputs_Refineries'!$C$85:$C$164,$C442:$C451,'Key inputs_Refineries'!$B$85:$B$164,"Boiler"))&gt;0,SUMIFS('Key inputs_Refineries'!T$85:T$164,'Key inputs_Refineries'!$C$85:$C$164,$C447,'Key inputs_Refineries'!$B$85:$B$164,"Boiler")/SUM(SUMIFS('Key inputs_Refineries'!T$85:T$164,'Key inputs_Refineries'!$C$85:$C$164,$C442:$C451,'Key inputs_Refineries'!$B$85:$B$164,"Boiler"))&lt;0.001),0.001,SUMIFS('Key inputs_Refineries'!T$85:T$164,'Key inputs_Refineries'!$C$85:$C$164,$C447,'Key inputs_Refineries'!$B$85:$B$164,"Boiler")/SUM(SUMIFS('Key inputs_Refineries'!T$85:T$164,'Key inputs_Refineries'!$C$85:$C$164,$C442:$C451,'Key inputs_Refineries'!$B$85:$B$164,"Boiler"))),0)</f>
        <v>0</v>
      </c>
      <c r="AA447" s="173" cm="1">
        <f t="array" ref="AA447">IFERROR(IF(AND(SUMIFS('Key inputs_Refineries'!U$85:U$164,'Key inputs_Refineries'!$C$85:$C$164,$C447,'Key inputs_Refineries'!$B$85:$B$164,"Boiler")/SUM(SUMIFS('Key inputs_Refineries'!U$85:U$164,'Key inputs_Refineries'!$C$85:$C$164,$C442:$C451,'Key inputs_Refineries'!$B$85:$B$164,"Boiler"))&gt;0,SUMIFS('Key inputs_Refineries'!U$85:U$164,'Key inputs_Refineries'!$C$85:$C$164,$C447,'Key inputs_Refineries'!$B$85:$B$164,"Boiler")/SUM(SUMIFS('Key inputs_Refineries'!U$85:U$164,'Key inputs_Refineries'!$C$85:$C$164,$C442:$C451,'Key inputs_Refineries'!$B$85:$B$164,"Boiler"))&lt;0.001),0.001,SUMIFS('Key inputs_Refineries'!U$85:U$164,'Key inputs_Refineries'!$C$85:$C$164,$C447,'Key inputs_Refineries'!$B$85:$B$164,"Boiler")/SUM(SUMIFS('Key inputs_Refineries'!U$85:U$164,'Key inputs_Refineries'!$C$85:$C$164,$C442:$C451,'Key inputs_Refineries'!$B$85:$B$164,"Boiler"))),0)</f>
        <v>0</v>
      </c>
      <c r="AB447" s="173" cm="1">
        <f t="array" ref="AB447">IFERROR(IF(AND(SUMIFS('Key inputs_Refineries'!V$85:V$164,'Key inputs_Refineries'!$C$85:$C$164,$C447,'Key inputs_Refineries'!$B$85:$B$164,"Boiler")/SUM(SUMIFS('Key inputs_Refineries'!V$85:V$164,'Key inputs_Refineries'!$C$85:$C$164,$C442:$C451,'Key inputs_Refineries'!$B$85:$B$164,"Boiler"))&gt;0,SUMIFS('Key inputs_Refineries'!V$85:V$164,'Key inputs_Refineries'!$C$85:$C$164,$C447,'Key inputs_Refineries'!$B$85:$B$164,"Boiler")/SUM(SUMIFS('Key inputs_Refineries'!V$85:V$164,'Key inputs_Refineries'!$C$85:$C$164,$C442:$C451,'Key inputs_Refineries'!$B$85:$B$164,"Boiler"))&lt;0.001),0.001,SUMIFS('Key inputs_Refineries'!V$85:V$164,'Key inputs_Refineries'!$C$85:$C$164,$C447,'Key inputs_Refineries'!$B$85:$B$164,"Boiler")/SUM(SUMIFS('Key inputs_Refineries'!V$85:V$164,'Key inputs_Refineries'!$C$85:$C$164,$C442:$C451,'Key inputs_Refineries'!$B$85:$B$164,"Boiler"))),0)</f>
        <v>0</v>
      </c>
      <c r="AC447" s="173" cm="1">
        <f t="array" ref="AC447">IFERROR(IF(AND(SUMIFS('Key inputs_Refineries'!W$85:W$164,'Key inputs_Refineries'!$C$85:$C$164,$C447,'Key inputs_Refineries'!$B$85:$B$164,"Boiler")/SUM(SUMIFS('Key inputs_Refineries'!W$85:W$164,'Key inputs_Refineries'!$C$85:$C$164,$C442:$C451,'Key inputs_Refineries'!$B$85:$B$164,"Boiler"))&gt;0,SUMIFS('Key inputs_Refineries'!W$85:W$164,'Key inputs_Refineries'!$C$85:$C$164,$C447,'Key inputs_Refineries'!$B$85:$B$164,"Boiler")/SUM(SUMIFS('Key inputs_Refineries'!W$85:W$164,'Key inputs_Refineries'!$C$85:$C$164,$C442:$C451,'Key inputs_Refineries'!$B$85:$B$164,"Boiler"))&lt;0.001),0.001,SUMIFS('Key inputs_Refineries'!W$85:W$164,'Key inputs_Refineries'!$C$85:$C$164,$C447,'Key inputs_Refineries'!$B$85:$B$164,"Boiler")/SUM(SUMIFS('Key inputs_Refineries'!W$85:W$164,'Key inputs_Refineries'!$C$85:$C$164,$C442:$C451,'Key inputs_Refineries'!$B$85:$B$164,"Boiler"))),0)</f>
        <v>0</v>
      </c>
      <c r="AD447" s="173" cm="1">
        <f t="array" ref="AD447">IFERROR(IF(AND(SUMIFS('Key inputs_Refineries'!X$85:X$164,'Key inputs_Refineries'!$C$85:$C$164,$C447,'Key inputs_Refineries'!$B$85:$B$164,"Boiler")/SUM(SUMIFS('Key inputs_Refineries'!X$85:X$164,'Key inputs_Refineries'!$C$85:$C$164,$C442:$C451,'Key inputs_Refineries'!$B$85:$B$164,"Boiler"))&gt;0,SUMIFS('Key inputs_Refineries'!X$85:X$164,'Key inputs_Refineries'!$C$85:$C$164,$C447,'Key inputs_Refineries'!$B$85:$B$164,"Boiler")/SUM(SUMIFS('Key inputs_Refineries'!X$85:X$164,'Key inputs_Refineries'!$C$85:$C$164,$C442:$C451,'Key inputs_Refineries'!$B$85:$B$164,"Boiler"))&lt;0.001),0.001,SUMIFS('Key inputs_Refineries'!X$85:X$164,'Key inputs_Refineries'!$C$85:$C$164,$C447,'Key inputs_Refineries'!$B$85:$B$164,"Boiler")/SUM(SUMIFS('Key inputs_Refineries'!X$85:X$164,'Key inputs_Refineries'!$C$85:$C$164,$C442:$C451,'Key inputs_Refineries'!$B$85:$B$164,"Boiler"))),0)</f>
        <v>1.164397526383067E-2</v>
      </c>
      <c r="AE447" s="173" cm="1">
        <f t="array" ref="AE447">IFERROR(IF(AND(SUMIFS('Key inputs_Refineries'!Y$85:Y$164,'Key inputs_Refineries'!$C$85:$C$164,$C447,'Key inputs_Refineries'!$B$85:$B$164,"Boiler")/SUM(SUMIFS('Key inputs_Refineries'!Y$85:Y$164,'Key inputs_Refineries'!$C$85:$C$164,$C442:$C451,'Key inputs_Refineries'!$B$85:$B$164,"Boiler"))&gt;0,SUMIFS('Key inputs_Refineries'!Y$85:Y$164,'Key inputs_Refineries'!$C$85:$C$164,$C447,'Key inputs_Refineries'!$B$85:$B$164,"Boiler")/SUM(SUMIFS('Key inputs_Refineries'!Y$85:Y$164,'Key inputs_Refineries'!$C$85:$C$164,$C442:$C451,'Key inputs_Refineries'!$B$85:$B$164,"Boiler"))&lt;0.001),0.001,SUMIFS('Key inputs_Refineries'!Y$85:Y$164,'Key inputs_Refineries'!$C$85:$C$164,$C447,'Key inputs_Refineries'!$B$85:$B$164,"Boiler")/SUM(SUMIFS('Key inputs_Refineries'!Y$85:Y$164,'Key inputs_Refineries'!$C$85:$C$164,$C442:$C451,'Key inputs_Refineries'!$B$85:$B$164,"Boiler"))),0)</f>
        <v>2.1601592972530496E-2</v>
      </c>
      <c r="AF447" s="173" cm="1">
        <f t="array" ref="AF447">IFERROR(IF(AND(SUMIFS('Key inputs_Refineries'!Z$85:Z$164,'Key inputs_Refineries'!$C$85:$C$164,$C447,'Key inputs_Refineries'!$B$85:$B$164,"Boiler")/SUM(SUMIFS('Key inputs_Refineries'!Z$85:Z$164,'Key inputs_Refineries'!$C$85:$C$164,$C442:$C451,'Key inputs_Refineries'!$B$85:$B$164,"Boiler"))&gt;0,SUMIFS('Key inputs_Refineries'!Z$85:Z$164,'Key inputs_Refineries'!$C$85:$C$164,$C447,'Key inputs_Refineries'!$B$85:$B$164,"Boiler")/SUM(SUMIFS('Key inputs_Refineries'!Z$85:Z$164,'Key inputs_Refineries'!$C$85:$C$164,$C442:$C451,'Key inputs_Refineries'!$B$85:$B$164,"Boiler"))&lt;0.001),0.001,SUMIFS('Key inputs_Refineries'!Z$85:Z$164,'Key inputs_Refineries'!$C$85:$C$164,$C447,'Key inputs_Refineries'!$B$85:$B$164,"Boiler")/SUM(SUMIFS('Key inputs_Refineries'!Z$85:Z$164,'Key inputs_Refineries'!$C$85:$C$164,$C442:$C451,'Key inputs_Refineries'!$B$85:$B$164,"Boiler"))),0)</f>
        <v>0</v>
      </c>
      <c r="AG447" s="173" cm="1">
        <f t="array" ref="AG447">IFERROR(IF(AND(SUMIFS('Key inputs_Refineries'!AA$85:AA$164,'Key inputs_Refineries'!$C$85:$C$164,$C447,'Key inputs_Refineries'!$B$85:$B$164,"Boiler")/SUM(SUMIFS('Key inputs_Refineries'!AA$85:AA$164,'Key inputs_Refineries'!$C$85:$C$164,$C442:$C451,'Key inputs_Refineries'!$B$85:$B$164,"Boiler"))&gt;0,SUMIFS('Key inputs_Refineries'!AA$85:AA$164,'Key inputs_Refineries'!$C$85:$C$164,$C447,'Key inputs_Refineries'!$B$85:$B$164,"Boiler")/SUM(SUMIFS('Key inputs_Refineries'!AA$85:AA$164,'Key inputs_Refineries'!$C$85:$C$164,$C442:$C451,'Key inputs_Refineries'!$B$85:$B$164,"Boiler"))&lt;0.001),0.001,SUMIFS('Key inputs_Refineries'!AA$85:AA$164,'Key inputs_Refineries'!$C$85:$C$164,$C447,'Key inputs_Refineries'!$B$85:$B$164,"Boiler")/SUM(SUMIFS('Key inputs_Refineries'!AA$85:AA$164,'Key inputs_Refineries'!$C$85:$C$164,$C442:$C451,'Key inputs_Refineries'!$B$85:$B$164,"Boiler"))),0)</f>
        <v>0</v>
      </c>
      <c r="AH447" s="173" cm="1">
        <f t="array" ref="AH447">IFERROR(IF(AND(SUMIFS('Key inputs_Refineries'!AB$85:AB$164,'Key inputs_Refineries'!$C$85:$C$164,$C447,'Key inputs_Refineries'!$B$85:$B$164,"Boiler")/SUM(SUMIFS('Key inputs_Refineries'!AB$85:AB$164,'Key inputs_Refineries'!$C$85:$C$164,$C442:$C451,'Key inputs_Refineries'!$B$85:$B$164,"Boiler"))&gt;0,SUMIFS('Key inputs_Refineries'!AB$85:AB$164,'Key inputs_Refineries'!$C$85:$C$164,$C447,'Key inputs_Refineries'!$B$85:$B$164,"Boiler")/SUM(SUMIFS('Key inputs_Refineries'!AB$85:AB$164,'Key inputs_Refineries'!$C$85:$C$164,$C442:$C451,'Key inputs_Refineries'!$B$85:$B$164,"Boiler"))&lt;0.001),0.001,SUMIFS('Key inputs_Refineries'!AB$85:AB$164,'Key inputs_Refineries'!$C$85:$C$164,$C447,'Key inputs_Refineries'!$B$85:$B$164,"Boiler")/SUM(SUMIFS('Key inputs_Refineries'!AB$85:AB$164,'Key inputs_Refineries'!$C$85:$C$164,$C442:$C451,'Key inputs_Refineries'!$B$85:$B$164,"Boiler"))),0)</f>
        <v>0</v>
      </c>
      <c r="AI447" s="173" cm="1">
        <f t="array" ref="AI447">IFERROR(IF(AND(SUMIFS('Key inputs_Refineries'!AC$85:AC$164,'Key inputs_Refineries'!$C$85:$C$164,$C447,'Key inputs_Refineries'!$B$85:$B$164,"Boiler")/SUM(SUMIFS('Key inputs_Refineries'!AC$85:AC$164,'Key inputs_Refineries'!$C$85:$C$164,$C442:$C451,'Key inputs_Refineries'!$B$85:$B$164,"Boiler"))&gt;0,SUMIFS('Key inputs_Refineries'!AC$85:AC$164,'Key inputs_Refineries'!$C$85:$C$164,$C447,'Key inputs_Refineries'!$B$85:$B$164,"Boiler")/SUM(SUMIFS('Key inputs_Refineries'!AC$85:AC$164,'Key inputs_Refineries'!$C$85:$C$164,$C442:$C451,'Key inputs_Refineries'!$B$85:$B$164,"Boiler"))&lt;0.001),0.001,SUMIFS('Key inputs_Refineries'!AC$85:AC$164,'Key inputs_Refineries'!$C$85:$C$164,$C447,'Key inputs_Refineries'!$B$85:$B$164,"Boiler")/SUM(SUMIFS('Key inputs_Refineries'!AC$85:AC$164,'Key inputs_Refineries'!$C$85:$C$164,$C442:$C451,'Key inputs_Refineries'!$B$85:$B$164,"Boiler"))),0)</f>
        <v>0</v>
      </c>
      <c r="AJ447" s="173" cm="1">
        <f t="array" ref="AJ447">IFERROR(IF(AND(SUMIFS('Key inputs_Refineries'!AD$85:AD$164,'Key inputs_Refineries'!$C$85:$C$164,$C447,'Key inputs_Refineries'!$B$85:$B$164,"Boiler")/SUM(SUMIFS('Key inputs_Refineries'!AD$85:AD$164,'Key inputs_Refineries'!$C$85:$C$164,$C442:$C451,'Key inputs_Refineries'!$B$85:$B$164,"Boiler"))&gt;0,SUMIFS('Key inputs_Refineries'!AD$85:AD$164,'Key inputs_Refineries'!$C$85:$C$164,$C447,'Key inputs_Refineries'!$B$85:$B$164,"Boiler")/SUM(SUMIFS('Key inputs_Refineries'!AD$85:AD$164,'Key inputs_Refineries'!$C$85:$C$164,$C442:$C451,'Key inputs_Refineries'!$B$85:$B$164,"Boiler"))&lt;0.001),0.001,SUMIFS('Key inputs_Refineries'!AD$85:AD$164,'Key inputs_Refineries'!$C$85:$C$164,$C447,'Key inputs_Refineries'!$B$85:$B$164,"Boiler")/SUM(SUMIFS('Key inputs_Refineries'!AD$85:AD$164,'Key inputs_Refineries'!$C$85:$C$164,$C442:$C451,'Key inputs_Refineries'!$B$85:$B$164,"Boiler"))),0)</f>
        <v>0</v>
      </c>
      <c r="AK447" s="173" cm="1">
        <f t="array" ref="AK447">IFERROR(IF(AND(SUMIFS('Key inputs_Refineries'!AE$85:AE$164,'Key inputs_Refineries'!$C$85:$C$164,$C447,'Key inputs_Refineries'!$B$85:$B$164,"Boiler")/SUM(SUMIFS('Key inputs_Refineries'!AE$85:AE$164,'Key inputs_Refineries'!$C$85:$C$164,$C442:$C451,'Key inputs_Refineries'!$B$85:$B$164,"Boiler"))&gt;0,SUMIFS('Key inputs_Refineries'!AE$85:AE$164,'Key inputs_Refineries'!$C$85:$C$164,$C447,'Key inputs_Refineries'!$B$85:$B$164,"Boiler")/SUM(SUMIFS('Key inputs_Refineries'!AE$85:AE$164,'Key inputs_Refineries'!$C$85:$C$164,$C442:$C451,'Key inputs_Refineries'!$B$85:$B$164,"Boiler"))&lt;0.001),0.001,SUMIFS('Key inputs_Refineries'!AE$85:AE$164,'Key inputs_Refineries'!$C$85:$C$164,$C447,'Key inputs_Refineries'!$B$85:$B$164,"Boiler")/SUM(SUMIFS('Key inputs_Refineries'!AE$85:AE$164,'Key inputs_Refineries'!$C$85:$C$164,$C442:$C451,'Key inputs_Refineries'!$B$85:$B$164,"Boiler"))),0)</f>
        <v>0</v>
      </c>
      <c r="AL447" s="173" cm="1">
        <f t="array" ref="AL447">IFERROR(IF(AND(SUMIFS('Key inputs_Refineries'!AF$85:AF$164,'Key inputs_Refineries'!$C$85:$C$164,$C447,'Key inputs_Refineries'!$B$85:$B$164,"Boiler")/SUM(SUMIFS('Key inputs_Refineries'!AF$85:AF$164,'Key inputs_Refineries'!$C$85:$C$164,$C442:$C451,'Key inputs_Refineries'!$B$85:$B$164,"Boiler"))&gt;0,SUMIFS('Key inputs_Refineries'!AF$85:AF$164,'Key inputs_Refineries'!$C$85:$C$164,$C447,'Key inputs_Refineries'!$B$85:$B$164,"Boiler")/SUM(SUMIFS('Key inputs_Refineries'!AF$85:AF$164,'Key inputs_Refineries'!$C$85:$C$164,$C442:$C451,'Key inputs_Refineries'!$B$85:$B$164,"Boiler"))&lt;0.001),0.001,SUMIFS('Key inputs_Refineries'!AF$85:AF$164,'Key inputs_Refineries'!$C$85:$C$164,$C447,'Key inputs_Refineries'!$B$85:$B$164,"Boiler")/SUM(SUMIFS('Key inputs_Refineries'!AF$85:AF$164,'Key inputs_Refineries'!$C$85:$C$164,$C442:$C451,'Key inputs_Refineries'!$B$85:$B$164,"Boiler"))),0)</f>
        <v>7.2725742976555516E-3</v>
      </c>
    </row>
    <row r="448" spans="1:47">
      <c r="C448" t="str">
        <f>Commodities!$C$97</f>
        <v>UPSLPG</v>
      </c>
      <c r="G448" s="4" t="s">
        <v>702</v>
      </c>
      <c r="H448" t="s">
        <v>661</v>
      </c>
      <c r="I448">
        <v>2019</v>
      </c>
      <c r="J448" t="s">
        <v>650</v>
      </c>
      <c r="K448" s="173" cm="1">
        <f t="array" ref="K448">IFERROR(IF(AND(SUMIFS('Key inputs_Refineries'!E$85:E$164,'Key inputs_Refineries'!$C$85:$C$164,$C448,'Key inputs_Refineries'!$B$85:$B$164,"Boiler")/SUM(SUMIFS('Key inputs_Refineries'!E$85:E$164,'Key inputs_Refineries'!$C$85:$C$164,$C442:$C451,'Key inputs_Refineries'!$B$85:$B$164,"Boiler"))&gt;0,SUMIFS('Key inputs_Refineries'!E$85:E$164,'Key inputs_Refineries'!$C$85:$C$164,$C448,'Key inputs_Refineries'!$B$85:$B$164,"Boiler")/SUM(SUMIFS('Key inputs_Refineries'!E$85:E$164,'Key inputs_Refineries'!$C$85:$C$164,$C442:$C451,'Key inputs_Refineries'!$B$85:$B$164,"Boiler"))&lt;0.001),0.001,SUMIFS('Key inputs_Refineries'!E$85:E$164,'Key inputs_Refineries'!$C$85:$C$164,$C448,'Key inputs_Refineries'!$B$85:$B$164,"Boiler")/SUM(SUMIFS('Key inputs_Refineries'!E$85:E$164,'Key inputs_Refineries'!$C$85:$C$164,$C442:$C451,'Key inputs_Refineries'!$B$85:$B$164,"Boiler"))),0)</f>
        <v>0</v>
      </c>
      <c r="L448" s="173" cm="1">
        <f t="array" ref="L448">IFERROR(IF(AND(SUMIFS('Key inputs_Refineries'!F$85:F$164,'Key inputs_Refineries'!$C$85:$C$164,$C448,'Key inputs_Refineries'!$B$85:$B$164,"Boiler")/SUM(SUMIFS('Key inputs_Refineries'!F$85:F$164,'Key inputs_Refineries'!$C$85:$C$164,$C442:$C451,'Key inputs_Refineries'!$B$85:$B$164,"Boiler"))&gt;0,SUMIFS('Key inputs_Refineries'!F$85:F$164,'Key inputs_Refineries'!$C$85:$C$164,$C448,'Key inputs_Refineries'!$B$85:$B$164,"Boiler")/SUM(SUMIFS('Key inputs_Refineries'!F$85:F$164,'Key inputs_Refineries'!$C$85:$C$164,$C442:$C451,'Key inputs_Refineries'!$B$85:$B$164,"Boiler"))&lt;0.001),0.001,SUMIFS('Key inputs_Refineries'!F$85:F$164,'Key inputs_Refineries'!$C$85:$C$164,$C448,'Key inputs_Refineries'!$B$85:$B$164,"Boiler")/SUM(SUMIFS('Key inputs_Refineries'!F$85:F$164,'Key inputs_Refineries'!$C$85:$C$164,$C442:$C451,'Key inputs_Refineries'!$B$85:$B$164,"Boiler"))),0)</f>
        <v>0</v>
      </c>
      <c r="M448" s="173" cm="1">
        <f t="array" ref="M448">IFERROR(IF(AND(SUMIFS('Key inputs_Refineries'!G$85:G$164,'Key inputs_Refineries'!$C$85:$C$164,$C448,'Key inputs_Refineries'!$B$85:$B$164,"Boiler")/SUM(SUMIFS('Key inputs_Refineries'!G$85:G$164,'Key inputs_Refineries'!$C$85:$C$164,$C442:$C451,'Key inputs_Refineries'!$B$85:$B$164,"Boiler"))&gt;0,SUMIFS('Key inputs_Refineries'!G$85:G$164,'Key inputs_Refineries'!$C$85:$C$164,$C448,'Key inputs_Refineries'!$B$85:$B$164,"Boiler")/SUM(SUMIFS('Key inputs_Refineries'!G$85:G$164,'Key inputs_Refineries'!$C$85:$C$164,$C442:$C451,'Key inputs_Refineries'!$B$85:$B$164,"Boiler"))&lt;0.001),0.001,SUMIFS('Key inputs_Refineries'!G$85:G$164,'Key inputs_Refineries'!$C$85:$C$164,$C448,'Key inputs_Refineries'!$B$85:$B$164,"Boiler")/SUM(SUMIFS('Key inputs_Refineries'!G$85:G$164,'Key inputs_Refineries'!$C$85:$C$164,$C442:$C451,'Key inputs_Refineries'!$B$85:$B$164,"Boiler"))),0)</f>
        <v>0.11449728272014652</v>
      </c>
      <c r="N448" s="173" cm="1">
        <f t="array" ref="N448">IFERROR(IF(AND(SUMIFS('Key inputs_Refineries'!H$85:H$164,'Key inputs_Refineries'!$C$85:$C$164,$C448,'Key inputs_Refineries'!$B$85:$B$164,"Boiler")/SUM(SUMIFS('Key inputs_Refineries'!H$85:H$164,'Key inputs_Refineries'!$C$85:$C$164,$C442:$C451,'Key inputs_Refineries'!$B$85:$B$164,"Boiler"))&gt;0,SUMIFS('Key inputs_Refineries'!H$85:H$164,'Key inputs_Refineries'!$C$85:$C$164,$C448,'Key inputs_Refineries'!$B$85:$B$164,"Boiler")/SUM(SUMIFS('Key inputs_Refineries'!H$85:H$164,'Key inputs_Refineries'!$C$85:$C$164,$C442:$C451,'Key inputs_Refineries'!$B$85:$B$164,"Boiler"))&lt;0.001),0.001,SUMIFS('Key inputs_Refineries'!H$85:H$164,'Key inputs_Refineries'!$C$85:$C$164,$C448,'Key inputs_Refineries'!$B$85:$B$164,"Boiler")/SUM(SUMIFS('Key inputs_Refineries'!H$85:H$164,'Key inputs_Refineries'!$C$85:$C$164,$C442:$C451,'Key inputs_Refineries'!$B$85:$B$164,"Boiler"))),0)</f>
        <v>0</v>
      </c>
      <c r="O448" s="173" cm="1">
        <f t="array" ref="O448">IFERROR(IF(AND(SUMIFS('Key inputs_Refineries'!I$85:I$164,'Key inputs_Refineries'!$C$85:$C$164,$C448,'Key inputs_Refineries'!$B$85:$B$164,"Boiler")/SUM(SUMIFS('Key inputs_Refineries'!I$85:I$164,'Key inputs_Refineries'!$C$85:$C$164,$C442:$C451,'Key inputs_Refineries'!$B$85:$B$164,"Boiler"))&gt;0,SUMIFS('Key inputs_Refineries'!I$85:I$164,'Key inputs_Refineries'!$C$85:$C$164,$C448,'Key inputs_Refineries'!$B$85:$B$164,"Boiler")/SUM(SUMIFS('Key inputs_Refineries'!I$85:I$164,'Key inputs_Refineries'!$C$85:$C$164,$C442:$C451,'Key inputs_Refineries'!$B$85:$B$164,"Boiler"))&lt;0.001),0.001,SUMIFS('Key inputs_Refineries'!I$85:I$164,'Key inputs_Refineries'!$C$85:$C$164,$C448,'Key inputs_Refineries'!$B$85:$B$164,"Boiler")/SUM(SUMIFS('Key inputs_Refineries'!I$85:I$164,'Key inputs_Refineries'!$C$85:$C$164,$C442:$C451,'Key inputs_Refineries'!$B$85:$B$164,"Boiler"))),0)</f>
        <v>0</v>
      </c>
      <c r="P448" s="173" cm="1">
        <f t="array" ref="P448">IFERROR(IF(AND(SUMIFS('Key inputs_Refineries'!J$85:J$164,'Key inputs_Refineries'!$C$85:$C$164,$C448,'Key inputs_Refineries'!$B$85:$B$164,"Boiler")/SUM(SUMIFS('Key inputs_Refineries'!J$85:J$164,'Key inputs_Refineries'!$C$85:$C$164,$C442:$C451,'Key inputs_Refineries'!$B$85:$B$164,"Boiler"))&gt;0,SUMIFS('Key inputs_Refineries'!J$85:J$164,'Key inputs_Refineries'!$C$85:$C$164,$C448,'Key inputs_Refineries'!$B$85:$B$164,"Boiler")/SUM(SUMIFS('Key inputs_Refineries'!J$85:J$164,'Key inputs_Refineries'!$C$85:$C$164,$C442:$C451,'Key inputs_Refineries'!$B$85:$B$164,"Boiler"))&lt;0.001),0.001,SUMIFS('Key inputs_Refineries'!J$85:J$164,'Key inputs_Refineries'!$C$85:$C$164,$C448,'Key inputs_Refineries'!$B$85:$B$164,"Boiler")/SUM(SUMIFS('Key inputs_Refineries'!J$85:J$164,'Key inputs_Refineries'!$C$85:$C$164,$C442:$C451,'Key inputs_Refineries'!$B$85:$B$164,"Boiler"))),0)</f>
        <v>1.8429074047040168E-3</v>
      </c>
      <c r="Q448" s="173" cm="1">
        <f t="array" ref="Q448">IFERROR(IF(AND(SUMIFS('Key inputs_Refineries'!K$85:K$164,'Key inputs_Refineries'!$C$85:$C$164,$C448,'Key inputs_Refineries'!$B$85:$B$164,"Boiler")/SUM(SUMIFS('Key inputs_Refineries'!K$85:K$164,'Key inputs_Refineries'!$C$85:$C$164,$C442:$C451,'Key inputs_Refineries'!$B$85:$B$164,"Boiler"))&gt;0,SUMIFS('Key inputs_Refineries'!K$85:K$164,'Key inputs_Refineries'!$C$85:$C$164,$C448,'Key inputs_Refineries'!$B$85:$B$164,"Boiler")/SUM(SUMIFS('Key inputs_Refineries'!K$85:K$164,'Key inputs_Refineries'!$C$85:$C$164,$C442:$C451,'Key inputs_Refineries'!$B$85:$B$164,"Boiler"))&lt;0.001),0.001,SUMIFS('Key inputs_Refineries'!K$85:K$164,'Key inputs_Refineries'!$C$85:$C$164,$C448,'Key inputs_Refineries'!$B$85:$B$164,"Boiler")/SUM(SUMIFS('Key inputs_Refineries'!K$85:K$164,'Key inputs_Refineries'!$C$85:$C$164,$C442:$C451,'Key inputs_Refineries'!$B$85:$B$164,"Boiler"))),0)</f>
        <v>0</v>
      </c>
      <c r="R448" s="173" cm="1">
        <f t="array" ref="R448">IFERROR(IF(AND(SUMIFS('Key inputs_Refineries'!L$85:L$164,'Key inputs_Refineries'!$C$85:$C$164,$C448,'Key inputs_Refineries'!$B$85:$B$164,"Boiler")/SUM(SUMIFS('Key inputs_Refineries'!L$85:L$164,'Key inputs_Refineries'!$C$85:$C$164,$C442:$C451,'Key inputs_Refineries'!$B$85:$B$164,"Boiler"))&gt;0,SUMIFS('Key inputs_Refineries'!L$85:L$164,'Key inputs_Refineries'!$C$85:$C$164,$C448,'Key inputs_Refineries'!$B$85:$B$164,"Boiler")/SUM(SUMIFS('Key inputs_Refineries'!L$85:L$164,'Key inputs_Refineries'!$C$85:$C$164,$C442:$C451,'Key inputs_Refineries'!$B$85:$B$164,"Boiler"))&lt;0.001),0.001,SUMIFS('Key inputs_Refineries'!L$85:L$164,'Key inputs_Refineries'!$C$85:$C$164,$C448,'Key inputs_Refineries'!$B$85:$B$164,"Boiler")/SUM(SUMIFS('Key inputs_Refineries'!L$85:L$164,'Key inputs_Refineries'!$C$85:$C$164,$C442:$C451,'Key inputs_Refineries'!$B$85:$B$164,"Boiler"))),0)</f>
        <v>0</v>
      </c>
      <c r="S448" s="173" cm="1">
        <f t="array" ref="S448">IFERROR(IF(AND(SUMIFS('Key inputs_Refineries'!M$85:M$164,'Key inputs_Refineries'!$C$85:$C$164,$C448,'Key inputs_Refineries'!$B$85:$B$164,"Boiler")/SUM(SUMIFS('Key inputs_Refineries'!M$85:M$164,'Key inputs_Refineries'!$C$85:$C$164,$C442:$C451,'Key inputs_Refineries'!$B$85:$B$164,"Boiler"))&gt;0,SUMIFS('Key inputs_Refineries'!M$85:M$164,'Key inputs_Refineries'!$C$85:$C$164,$C448,'Key inputs_Refineries'!$B$85:$B$164,"Boiler")/SUM(SUMIFS('Key inputs_Refineries'!M$85:M$164,'Key inputs_Refineries'!$C$85:$C$164,$C442:$C451,'Key inputs_Refineries'!$B$85:$B$164,"Boiler"))&lt;0.001),0.001,SUMIFS('Key inputs_Refineries'!M$85:M$164,'Key inputs_Refineries'!$C$85:$C$164,$C448,'Key inputs_Refineries'!$B$85:$B$164,"Boiler")/SUM(SUMIFS('Key inputs_Refineries'!M$85:M$164,'Key inputs_Refineries'!$C$85:$C$164,$C442:$C451,'Key inputs_Refineries'!$B$85:$B$164,"Boiler"))),0)</f>
        <v>0</v>
      </c>
      <c r="T448" s="173" cm="1">
        <f t="array" ref="T448">IFERROR(IF(AND(SUMIFS('Key inputs_Refineries'!N$85:N$164,'Key inputs_Refineries'!$C$85:$C$164,$C448,'Key inputs_Refineries'!$B$85:$B$164,"Boiler")/SUM(SUMIFS('Key inputs_Refineries'!N$85:N$164,'Key inputs_Refineries'!$C$85:$C$164,$C442:$C451,'Key inputs_Refineries'!$B$85:$B$164,"Boiler"))&gt;0,SUMIFS('Key inputs_Refineries'!N$85:N$164,'Key inputs_Refineries'!$C$85:$C$164,$C448,'Key inputs_Refineries'!$B$85:$B$164,"Boiler")/SUM(SUMIFS('Key inputs_Refineries'!N$85:N$164,'Key inputs_Refineries'!$C$85:$C$164,$C442:$C451,'Key inputs_Refineries'!$B$85:$B$164,"Boiler"))&lt;0.001),0.001,SUMIFS('Key inputs_Refineries'!N$85:N$164,'Key inputs_Refineries'!$C$85:$C$164,$C448,'Key inputs_Refineries'!$B$85:$B$164,"Boiler")/SUM(SUMIFS('Key inputs_Refineries'!N$85:N$164,'Key inputs_Refineries'!$C$85:$C$164,$C442:$C451,'Key inputs_Refineries'!$B$85:$B$164,"Boiler"))),0)</f>
        <v>4.0866396011492612E-2</v>
      </c>
      <c r="U448" s="173" cm="1">
        <f t="array" ref="U448">IFERROR(IF(AND(SUMIFS('Key inputs_Refineries'!O$85:O$164,'Key inputs_Refineries'!$C$85:$C$164,$C448,'Key inputs_Refineries'!$B$85:$B$164,"Boiler")/SUM(SUMIFS('Key inputs_Refineries'!O$85:O$164,'Key inputs_Refineries'!$C$85:$C$164,$C442:$C451,'Key inputs_Refineries'!$B$85:$B$164,"Boiler"))&gt;0,SUMIFS('Key inputs_Refineries'!O$85:O$164,'Key inputs_Refineries'!$C$85:$C$164,$C448,'Key inputs_Refineries'!$B$85:$B$164,"Boiler")/SUM(SUMIFS('Key inputs_Refineries'!O$85:O$164,'Key inputs_Refineries'!$C$85:$C$164,$C442:$C451,'Key inputs_Refineries'!$B$85:$B$164,"Boiler"))&lt;0.001),0.001,SUMIFS('Key inputs_Refineries'!O$85:O$164,'Key inputs_Refineries'!$C$85:$C$164,$C448,'Key inputs_Refineries'!$B$85:$B$164,"Boiler")/SUM(SUMIFS('Key inputs_Refineries'!O$85:O$164,'Key inputs_Refineries'!$C$85:$C$164,$C442:$C451,'Key inputs_Refineries'!$B$85:$B$164,"Boiler"))),0)</f>
        <v>0.38542966352684382</v>
      </c>
      <c r="V448" s="173" cm="1">
        <f t="array" ref="V448">IFERROR(IF(AND(SUMIFS('Key inputs_Refineries'!P$85:P$164,'Key inputs_Refineries'!$C$85:$C$164,$C448,'Key inputs_Refineries'!$B$85:$B$164,"Boiler")/SUM(SUMIFS('Key inputs_Refineries'!P$85:P$164,'Key inputs_Refineries'!$C$85:$C$164,$C442:$C451,'Key inputs_Refineries'!$B$85:$B$164,"Boiler"))&gt;0,SUMIFS('Key inputs_Refineries'!P$85:P$164,'Key inputs_Refineries'!$C$85:$C$164,$C448,'Key inputs_Refineries'!$B$85:$B$164,"Boiler")/SUM(SUMIFS('Key inputs_Refineries'!P$85:P$164,'Key inputs_Refineries'!$C$85:$C$164,$C442:$C451,'Key inputs_Refineries'!$B$85:$B$164,"Boiler"))&lt;0.001),0.001,SUMIFS('Key inputs_Refineries'!P$85:P$164,'Key inputs_Refineries'!$C$85:$C$164,$C448,'Key inputs_Refineries'!$B$85:$B$164,"Boiler")/SUM(SUMIFS('Key inputs_Refineries'!P$85:P$164,'Key inputs_Refineries'!$C$85:$C$164,$C442:$C451,'Key inputs_Refineries'!$B$85:$B$164,"Boiler"))),0)</f>
        <v>0.20400018354543314</v>
      </c>
      <c r="W448" s="173" cm="1">
        <f t="array" ref="W448">IFERROR(IF(AND(SUMIFS('Key inputs_Refineries'!Q$85:Q$164,'Key inputs_Refineries'!$C$85:$C$164,$C448,'Key inputs_Refineries'!$B$85:$B$164,"Boiler")/SUM(SUMIFS('Key inputs_Refineries'!Q$85:Q$164,'Key inputs_Refineries'!$C$85:$C$164,$C442:$C451,'Key inputs_Refineries'!$B$85:$B$164,"Boiler"))&gt;0,SUMIFS('Key inputs_Refineries'!Q$85:Q$164,'Key inputs_Refineries'!$C$85:$C$164,$C448,'Key inputs_Refineries'!$B$85:$B$164,"Boiler")/SUM(SUMIFS('Key inputs_Refineries'!Q$85:Q$164,'Key inputs_Refineries'!$C$85:$C$164,$C442:$C451,'Key inputs_Refineries'!$B$85:$B$164,"Boiler"))&lt;0.001),0.001,SUMIFS('Key inputs_Refineries'!Q$85:Q$164,'Key inputs_Refineries'!$C$85:$C$164,$C448,'Key inputs_Refineries'!$B$85:$B$164,"Boiler")/SUM(SUMIFS('Key inputs_Refineries'!Q$85:Q$164,'Key inputs_Refineries'!$C$85:$C$164,$C442:$C451,'Key inputs_Refineries'!$B$85:$B$164,"Boiler"))),0)</f>
        <v>0</v>
      </c>
      <c r="X448" s="173" cm="1">
        <f t="array" ref="X448">IFERROR(IF(AND(SUMIFS('Key inputs_Refineries'!R$85:R$164,'Key inputs_Refineries'!$C$85:$C$164,$C448,'Key inputs_Refineries'!$B$85:$B$164,"Boiler")/SUM(SUMIFS('Key inputs_Refineries'!R$85:R$164,'Key inputs_Refineries'!$C$85:$C$164,$C442:$C451,'Key inputs_Refineries'!$B$85:$B$164,"Boiler"))&gt;0,SUMIFS('Key inputs_Refineries'!R$85:R$164,'Key inputs_Refineries'!$C$85:$C$164,$C448,'Key inputs_Refineries'!$B$85:$B$164,"Boiler")/SUM(SUMIFS('Key inputs_Refineries'!R$85:R$164,'Key inputs_Refineries'!$C$85:$C$164,$C442:$C451,'Key inputs_Refineries'!$B$85:$B$164,"Boiler"))&lt;0.001),0.001,SUMIFS('Key inputs_Refineries'!R$85:R$164,'Key inputs_Refineries'!$C$85:$C$164,$C448,'Key inputs_Refineries'!$B$85:$B$164,"Boiler")/SUM(SUMIFS('Key inputs_Refineries'!R$85:R$164,'Key inputs_Refineries'!$C$85:$C$164,$C442:$C451,'Key inputs_Refineries'!$B$85:$B$164,"Boiler"))),0)</f>
        <v>0</v>
      </c>
      <c r="Y448" s="173" cm="1">
        <f t="array" ref="Y448">IFERROR(IF(AND(SUMIFS('Key inputs_Refineries'!S$85:S$164,'Key inputs_Refineries'!$C$85:$C$164,$C448,'Key inputs_Refineries'!$B$85:$B$164,"Boiler")/SUM(SUMIFS('Key inputs_Refineries'!S$85:S$164,'Key inputs_Refineries'!$C$85:$C$164,$C442:$C451,'Key inputs_Refineries'!$B$85:$B$164,"Boiler"))&gt;0,SUMIFS('Key inputs_Refineries'!S$85:S$164,'Key inputs_Refineries'!$C$85:$C$164,$C448,'Key inputs_Refineries'!$B$85:$B$164,"Boiler")/SUM(SUMIFS('Key inputs_Refineries'!S$85:S$164,'Key inputs_Refineries'!$C$85:$C$164,$C442:$C451,'Key inputs_Refineries'!$B$85:$B$164,"Boiler"))&lt;0.001),0.001,SUMIFS('Key inputs_Refineries'!S$85:S$164,'Key inputs_Refineries'!$C$85:$C$164,$C448,'Key inputs_Refineries'!$B$85:$B$164,"Boiler")/SUM(SUMIFS('Key inputs_Refineries'!S$85:S$164,'Key inputs_Refineries'!$C$85:$C$164,$C442:$C451,'Key inputs_Refineries'!$B$85:$B$164,"Boiler"))),0)</f>
        <v>8.2373108109728369E-3</v>
      </c>
      <c r="Z448" s="173" cm="1">
        <f t="array" ref="Z448">IFERROR(IF(AND(SUMIFS('Key inputs_Refineries'!T$85:T$164,'Key inputs_Refineries'!$C$85:$C$164,$C448,'Key inputs_Refineries'!$B$85:$B$164,"Boiler")/SUM(SUMIFS('Key inputs_Refineries'!T$85:T$164,'Key inputs_Refineries'!$C$85:$C$164,$C442:$C451,'Key inputs_Refineries'!$B$85:$B$164,"Boiler"))&gt;0,SUMIFS('Key inputs_Refineries'!T$85:T$164,'Key inputs_Refineries'!$C$85:$C$164,$C448,'Key inputs_Refineries'!$B$85:$B$164,"Boiler")/SUM(SUMIFS('Key inputs_Refineries'!T$85:T$164,'Key inputs_Refineries'!$C$85:$C$164,$C442:$C451,'Key inputs_Refineries'!$B$85:$B$164,"Boiler"))&lt;0.001),0.001,SUMIFS('Key inputs_Refineries'!T$85:T$164,'Key inputs_Refineries'!$C$85:$C$164,$C448,'Key inputs_Refineries'!$B$85:$B$164,"Boiler")/SUM(SUMIFS('Key inputs_Refineries'!T$85:T$164,'Key inputs_Refineries'!$C$85:$C$164,$C442:$C451,'Key inputs_Refineries'!$B$85:$B$164,"Boiler"))),0)</f>
        <v>7.8067049163062063E-2</v>
      </c>
      <c r="AA448" s="173" cm="1">
        <f t="array" ref="AA448">IFERROR(IF(AND(SUMIFS('Key inputs_Refineries'!U$85:U$164,'Key inputs_Refineries'!$C$85:$C$164,$C448,'Key inputs_Refineries'!$B$85:$B$164,"Boiler")/SUM(SUMIFS('Key inputs_Refineries'!U$85:U$164,'Key inputs_Refineries'!$C$85:$C$164,$C442:$C451,'Key inputs_Refineries'!$B$85:$B$164,"Boiler"))&gt;0,SUMIFS('Key inputs_Refineries'!U$85:U$164,'Key inputs_Refineries'!$C$85:$C$164,$C448,'Key inputs_Refineries'!$B$85:$B$164,"Boiler")/SUM(SUMIFS('Key inputs_Refineries'!U$85:U$164,'Key inputs_Refineries'!$C$85:$C$164,$C442:$C451,'Key inputs_Refineries'!$B$85:$B$164,"Boiler"))&lt;0.001),0.001,SUMIFS('Key inputs_Refineries'!U$85:U$164,'Key inputs_Refineries'!$C$85:$C$164,$C448,'Key inputs_Refineries'!$B$85:$B$164,"Boiler")/SUM(SUMIFS('Key inputs_Refineries'!U$85:U$164,'Key inputs_Refineries'!$C$85:$C$164,$C442:$C451,'Key inputs_Refineries'!$B$85:$B$164,"Boiler"))),0)</f>
        <v>0.12670134629223898</v>
      </c>
      <c r="AB448" s="173" cm="1">
        <f t="array" ref="AB448">IFERROR(IF(AND(SUMIFS('Key inputs_Refineries'!V$85:V$164,'Key inputs_Refineries'!$C$85:$C$164,$C448,'Key inputs_Refineries'!$B$85:$B$164,"Boiler")/SUM(SUMIFS('Key inputs_Refineries'!V$85:V$164,'Key inputs_Refineries'!$C$85:$C$164,$C442:$C451,'Key inputs_Refineries'!$B$85:$B$164,"Boiler"))&gt;0,SUMIFS('Key inputs_Refineries'!V$85:V$164,'Key inputs_Refineries'!$C$85:$C$164,$C448,'Key inputs_Refineries'!$B$85:$B$164,"Boiler")/SUM(SUMIFS('Key inputs_Refineries'!V$85:V$164,'Key inputs_Refineries'!$C$85:$C$164,$C442:$C451,'Key inputs_Refineries'!$B$85:$B$164,"Boiler"))&lt;0.001),0.001,SUMIFS('Key inputs_Refineries'!V$85:V$164,'Key inputs_Refineries'!$C$85:$C$164,$C448,'Key inputs_Refineries'!$B$85:$B$164,"Boiler")/SUM(SUMIFS('Key inputs_Refineries'!V$85:V$164,'Key inputs_Refineries'!$C$85:$C$164,$C442:$C451,'Key inputs_Refineries'!$B$85:$B$164,"Boiler"))),0)</f>
        <v>0</v>
      </c>
      <c r="AC448" s="173" cm="1">
        <f t="array" ref="AC448">IFERROR(IF(AND(SUMIFS('Key inputs_Refineries'!W$85:W$164,'Key inputs_Refineries'!$C$85:$C$164,$C448,'Key inputs_Refineries'!$B$85:$B$164,"Boiler")/SUM(SUMIFS('Key inputs_Refineries'!W$85:W$164,'Key inputs_Refineries'!$C$85:$C$164,$C442:$C451,'Key inputs_Refineries'!$B$85:$B$164,"Boiler"))&gt;0,SUMIFS('Key inputs_Refineries'!W$85:W$164,'Key inputs_Refineries'!$C$85:$C$164,$C448,'Key inputs_Refineries'!$B$85:$B$164,"Boiler")/SUM(SUMIFS('Key inputs_Refineries'!W$85:W$164,'Key inputs_Refineries'!$C$85:$C$164,$C442:$C451,'Key inputs_Refineries'!$B$85:$B$164,"Boiler"))&lt;0.001),0.001,SUMIFS('Key inputs_Refineries'!W$85:W$164,'Key inputs_Refineries'!$C$85:$C$164,$C448,'Key inputs_Refineries'!$B$85:$B$164,"Boiler")/SUM(SUMIFS('Key inputs_Refineries'!W$85:W$164,'Key inputs_Refineries'!$C$85:$C$164,$C442:$C451,'Key inputs_Refineries'!$B$85:$B$164,"Boiler"))),0)</f>
        <v>0</v>
      </c>
      <c r="AD448" s="173" cm="1">
        <f t="array" ref="AD448">IFERROR(IF(AND(SUMIFS('Key inputs_Refineries'!X$85:X$164,'Key inputs_Refineries'!$C$85:$C$164,$C448,'Key inputs_Refineries'!$B$85:$B$164,"Boiler")/SUM(SUMIFS('Key inputs_Refineries'!X$85:X$164,'Key inputs_Refineries'!$C$85:$C$164,$C442:$C451,'Key inputs_Refineries'!$B$85:$B$164,"Boiler"))&gt;0,SUMIFS('Key inputs_Refineries'!X$85:X$164,'Key inputs_Refineries'!$C$85:$C$164,$C448,'Key inputs_Refineries'!$B$85:$B$164,"Boiler")/SUM(SUMIFS('Key inputs_Refineries'!X$85:X$164,'Key inputs_Refineries'!$C$85:$C$164,$C442:$C451,'Key inputs_Refineries'!$B$85:$B$164,"Boiler"))&lt;0.001),0.001,SUMIFS('Key inputs_Refineries'!X$85:X$164,'Key inputs_Refineries'!$C$85:$C$164,$C448,'Key inputs_Refineries'!$B$85:$B$164,"Boiler")/SUM(SUMIFS('Key inputs_Refineries'!X$85:X$164,'Key inputs_Refineries'!$C$85:$C$164,$C442:$C451,'Key inputs_Refineries'!$B$85:$B$164,"Boiler"))),0)</f>
        <v>5.9809032201112659E-2</v>
      </c>
      <c r="AE448" s="173" cm="1">
        <f t="array" ref="AE448">IFERROR(IF(AND(SUMIFS('Key inputs_Refineries'!Y$85:Y$164,'Key inputs_Refineries'!$C$85:$C$164,$C448,'Key inputs_Refineries'!$B$85:$B$164,"Boiler")/SUM(SUMIFS('Key inputs_Refineries'!Y$85:Y$164,'Key inputs_Refineries'!$C$85:$C$164,$C442:$C451,'Key inputs_Refineries'!$B$85:$B$164,"Boiler"))&gt;0,SUMIFS('Key inputs_Refineries'!Y$85:Y$164,'Key inputs_Refineries'!$C$85:$C$164,$C448,'Key inputs_Refineries'!$B$85:$B$164,"Boiler")/SUM(SUMIFS('Key inputs_Refineries'!Y$85:Y$164,'Key inputs_Refineries'!$C$85:$C$164,$C442:$C451,'Key inputs_Refineries'!$B$85:$B$164,"Boiler"))&lt;0.001),0.001,SUMIFS('Key inputs_Refineries'!Y$85:Y$164,'Key inputs_Refineries'!$C$85:$C$164,$C448,'Key inputs_Refineries'!$B$85:$B$164,"Boiler")/SUM(SUMIFS('Key inputs_Refineries'!Y$85:Y$164,'Key inputs_Refineries'!$C$85:$C$164,$C442:$C451,'Key inputs_Refineries'!$B$85:$B$164,"Boiler"))),0)</f>
        <v>0.15964808720573298</v>
      </c>
      <c r="AF448" s="173" cm="1">
        <f t="array" ref="AF448">IFERROR(IF(AND(SUMIFS('Key inputs_Refineries'!Z$85:Z$164,'Key inputs_Refineries'!$C$85:$C$164,$C448,'Key inputs_Refineries'!$B$85:$B$164,"Boiler")/SUM(SUMIFS('Key inputs_Refineries'!Z$85:Z$164,'Key inputs_Refineries'!$C$85:$C$164,$C442:$C451,'Key inputs_Refineries'!$B$85:$B$164,"Boiler"))&gt;0,SUMIFS('Key inputs_Refineries'!Z$85:Z$164,'Key inputs_Refineries'!$C$85:$C$164,$C448,'Key inputs_Refineries'!$B$85:$B$164,"Boiler")/SUM(SUMIFS('Key inputs_Refineries'!Z$85:Z$164,'Key inputs_Refineries'!$C$85:$C$164,$C442:$C451,'Key inputs_Refineries'!$B$85:$B$164,"Boiler"))&lt;0.001),0.001,SUMIFS('Key inputs_Refineries'!Z$85:Z$164,'Key inputs_Refineries'!$C$85:$C$164,$C448,'Key inputs_Refineries'!$B$85:$B$164,"Boiler")/SUM(SUMIFS('Key inputs_Refineries'!Z$85:Z$164,'Key inputs_Refineries'!$C$85:$C$164,$C442:$C451,'Key inputs_Refineries'!$B$85:$B$164,"Boiler"))),0)</f>
        <v>0</v>
      </c>
      <c r="AG448" s="173" cm="1">
        <f t="array" ref="AG448">IFERROR(IF(AND(SUMIFS('Key inputs_Refineries'!AA$85:AA$164,'Key inputs_Refineries'!$C$85:$C$164,$C448,'Key inputs_Refineries'!$B$85:$B$164,"Boiler")/SUM(SUMIFS('Key inputs_Refineries'!AA$85:AA$164,'Key inputs_Refineries'!$C$85:$C$164,$C442:$C451,'Key inputs_Refineries'!$B$85:$B$164,"Boiler"))&gt;0,SUMIFS('Key inputs_Refineries'!AA$85:AA$164,'Key inputs_Refineries'!$C$85:$C$164,$C448,'Key inputs_Refineries'!$B$85:$B$164,"Boiler")/SUM(SUMIFS('Key inputs_Refineries'!AA$85:AA$164,'Key inputs_Refineries'!$C$85:$C$164,$C442:$C451,'Key inputs_Refineries'!$B$85:$B$164,"Boiler"))&lt;0.001),0.001,SUMIFS('Key inputs_Refineries'!AA$85:AA$164,'Key inputs_Refineries'!$C$85:$C$164,$C448,'Key inputs_Refineries'!$B$85:$B$164,"Boiler")/SUM(SUMIFS('Key inputs_Refineries'!AA$85:AA$164,'Key inputs_Refineries'!$C$85:$C$164,$C442:$C451,'Key inputs_Refineries'!$B$85:$B$164,"Boiler"))),0)</f>
        <v>0.14701351118428413</v>
      </c>
      <c r="AH448" s="173" cm="1">
        <f t="array" ref="AH448">IFERROR(IF(AND(SUMIFS('Key inputs_Refineries'!AB$85:AB$164,'Key inputs_Refineries'!$C$85:$C$164,$C448,'Key inputs_Refineries'!$B$85:$B$164,"Boiler")/SUM(SUMIFS('Key inputs_Refineries'!AB$85:AB$164,'Key inputs_Refineries'!$C$85:$C$164,$C442:$C451,'Key inputs_Refineries'!$B$85:$B$164,"Boiler"))&gt;0,SUMIFS('Key inputs_Refineries'!AB$85:AB$164,'Key inputs_Refineries'!$C$85:$C$164,$C448,'Key inputs_Refineries'!$B$85:$B$164,"Boiler")/SUM(SUMIFS('Key inputs_Refineries'!AB$85:AB$164,'Key inputs_Refineries'!$C$85:$C$164,$C442:$C451,'Key inputs_Refineries'!$B$85:$B$164,"Boiler"))&lt;0.001),0.001,SUMIFS('Key inputs_Refineries'!AB$85:AB$164,'Key inputs_Refineries'!$C$85:$C$164,$C448,'Key inputs_Refineries'!$B$85:$B$164,"Boiler")/SUM(SUMIFS('Key inputs_Refineries'!AB$85:AB$164,'Key inputs_Refineries'!$C$85:$C$164,$C442:$C451,'Key inputs_Refineries'!$B$85:$B$164,"Boiler"))),0)</f>
        <v>0</v>
      </c>
      <c r="AI448" s="173" cm="1">
        <f t="array" ref="AI448">IFERROR(IF(AND(SUMIFS('Key inputs_Refineries'!AC$85:AC$164,'Key inputs_Refineries'!$C$85:$C$164,$C448,'Key inputs_Refineries'!$B$85:$B$164,"Boiler")/SUM(SUMIFS('Key inputs_Refineries'!AC$85:AC$164,'Key inputs_Refineries'!$C$85:$C$164,$C442:$C451,'Key inputs_Refineries'!$B$85:$B$164,"Boiler"))&gt;0,SUMIFS('Key inputs_Refineries'!AC$85:AC$164,'Key inputs_Refineries'!$C$85:$C$164,$C448,'Key inputs_Refineries'!$B$85:$B$164,"Boiler")/SUM(SUMIFS('Key inputs_Refineries'!AC$85:AC$164,'Key inputs_Refineries'!$C$85:$C$164,$C442:$C451,'Key inputs_Refineries'!$B$85:$B$164,"Boiler"))&lt;0.001),0.001,SUMIFS('Key inputs_Refineries'!AC$85:AC$164,'Key inputs_Refineries'!$C$85:$C$164,$C448,'Key inputs_Refineries'!$B$85:$B$164,"Boiler")/SUM(SUMIFS('Key inputs_Refineries'!AC$85:AC$164,'Key inputs_Refineries'!$C$85:$C$164,$C442:$C451,'Key inputs_Refineries'!$B$85:$B$164,"Boiler"))),0)</f>
        <v>8.2300446207238476E-2</v>
      </c>
      <c r="AJ448" s="173" cm="1">
        <f t="array" ref="AJ448">IFERROR(IF(AND(SUMIFS('Key inputs_Refineries'!AD$85:AD$164,'Key inputs_Refineries'!$C$85:$C$164,$C448,'Key inputs_Refineries'!$B$85:$B$164,"Boiler")/SUM(SUMIFS('Key inputs_Refineries'!AD$85:AD$164,'Key inputs_Refineries'!$C$85:$C$164,$C442:$C451,'Key inputs_Refineries'!$B$85:$B$164,"Boiler"))&gt;0,SUMIFS('Key inputs_Refineries'!AD$85:AD$164,'Key inputs_Refineries'!$C$85:$C$164,$C448,'Key inputs_Refineries'!$B$85:$B$164,"Boiler")/SUM(SUMIFS('Key inputs_Refineries'!AD$85:AD$164,'Key inputs_Refineries'!$C$85:$C$164,$C442:$C451,'Key inputs_Refineries'!$B$85:$B$164,"Boiler"))&lt;0.001),0.001,SUMIFS('Key inputs_Refineries'!AD$85:AD$164,'Key inputs_Refineries'!$C$85:$C$164,$C448,'Key inputs_Refineries'!$B$85:$B$164,"Boiler")/SUM(SUMIFS('Key inputs_Refineries'!AD$85:AD$164,'Key inputs_Refineries'!$C$85:$C$164,$C442:$C451,'Key inputs_Refineries'!$B$85:$B$164,"Boiler"))),0)</f>
        <v>0</v>
      </c>
      <c r="AK448" s="173" cm="1">
        <f t="array" ref="AK448">IFERROR(IF(AND(SUMIFS('Key inputs_Refineries'!AE$85:AE$164,'Key inputs_Refineries'!$C$85:$C$164,$C448,'Key inputs_Refineries'!$B$85:$B$164,"Boiler")/SUM(SUMIFS('Key inputs_Refineries'!AE$85:AE$164,'Key inputs_Refineries'!$C$85:$C$164,$C442:$C451,'Key inputs_Refineries'!$B$85:$B$164,"Boiler"))&gt;0,SUMIFS('Key inputs_Refineries'!AE$85:AE$164,'Key inputs_Refineries'!$C$85:$C$164,$C448,'Key inputs_Refineries'!$B$85:$B$164,"Boiler")/SUM(SUMIFS('Key inputs_Refineries'!AE$85:AE$164,'Key inputs_Refineries'!$C$85:$C$164,$C442:$C451,'Key inputs_Refineries'!$B$85:$B$164,"Boiler"))&lt;0.001),0.001,SUMIFS('Key inputs_Refineries'!AE$85:AE$164,'Key inputs_Refineries'!$C$85:$C$164,$C448,'Key inputs_Refineries'!$B$85:$B$164,"Boiler")/SUM(SUMIFS('Key inputs_Refineries'!AE$85:AE$164,'Key inputs_Refineries'!$C$85:$C$164,$C442:$C451,'Key inputs_Refineries'!$B$85:$B$164,"Boiler"))),0)</f>
        <v>0.19642918031687168</v>
      </c>
      <c r="AL448" s="173" cm="1">
        <f t="array" ref="AL448">IFERROR(IF(AND(SUMIFS('Key inputs_Refineries'!AF$85:AF$164,'Key inputs_Refineries'!$C$85:$C$164,$C448,'Key inputs_Refineries'!$B$85:$B$164,"Boiler")/SUM(SUMIFS('Key inputs_Refineries'!AF$85:AF$164,'Key inputs_Refineries'!$C$85:$C$164,$C442:$C451,'Key inputs_Refineries'!$B$85:$B$164,"Boiler"))&gt;0,SUMIFS('Key inputs_Refineries'!AF$85:AF$164,'Key inputs_Refineries'!$C$85:$C$164,$C448,'Key inputs_Refineries'!$B$85:$B$164,"Boiler")/SUM(SUMIFS('Key inputs_Refineries'!AF$85:AF$164,'Key inputs_Refineries'!$C$85:$C$164,$C442:$C451,'Key inputs_Refineries'!$B$85:$B$164,"Boiler"))&lt;0.001),0.001,SUMIFS('Key inputs_Refineries'!AF$85:AF$164,'Key inputs_Refineries'!$C$85:$C$164,$C448,'Key inputs_Refineries'!$B$85:$B$164,"Boiler")/SUM(SUMIFS('Key inputs_Refineries'!AF$85:AF$164,'Key inputs_Refineries'!$C$85:$C$164,$C442:$C451,'Key inputs_Refineries'!$B$85:$B$164,"Boiler"))),0)</f>
        <v>3.7520915854909229E-2</v>
      </c>
    </row>
    <row r="449" spans="1:38">
      <c r="C449" t="str">
        <f>Commodities!$C$98</f>
        <v>UPSNAP</v>
      </c>
      <c r="G449" s="4" t="s">
        <v>702</v>
      </c>
      <c r="H449" t="s">
        <v>661</v>
      </c>
      <c r="I449">
        <v>2019</v>
      </c>
      <c r="J449" t="s">
        <v>650</v>
      </c>
      <c r="K449" s="173" cm="1">
        <f t="array" ref="K449">IFERROR(IF(AND(SUMIFS('Key inputs_Refineries'!E$85:E$164,'Key inputs_Refineries'!$C$85:$C$164,$C449,'Key inputs_Refineries'!$B$85:$B$164,"Boiler")/SUM(SUMIFS('Key inputs_Refineries'!E$85:E$164,'Key inputs_Refineries'!$C$85:$C$164,$C442:$C451,'Key inputs_Refineries'!$B$85:$B$164,"Boiler"))&gt;0,SUMIFS('Key inputs_Refineries'!E$85:E$164,'Key inputs_Refineries'!$C$85:$C$164,$C449,'Key inputs_Refineries'!$B$85:$B$164,"Boiler")/SUM(SUMIFS('Key inputs_Refineries'!E$85:E$164,'Key inputs_Refineries'!$C$85:$C$164,$C442:$C451,'Key inputs_Refineries'!$B$85:$B$164,"Boiler"))&lt;0.001),0.001,SUMIFS('Key inputs_Refineries'!E$85:E$164,'Key inputs_Refineries'!$C$85:$C$164,$C449,'Key inputs_Refineries'!$B$85:$B$164,"Boiler")/SUM(SUMIFS('Key inputs_Refineries'!E$85:E$164,'Key inputs_Refineries'!$C$85:$C$164,$C442:$C451,'Key inputs_Refineries'!$B$85:$B$164,"Boiler"))),0)</f>
        <v>0</v>
      </c>
      <c r="L449" s="173" cm="1">
        <f t="array" ref="L449">IFERROR(IF(AND(SUMIFS('Key inputs_Refineries'!F$85:F$164,'Key inputs_Refineries'!$C$85:$C$164,$C449,'Key inputs_Refineries'!$B$85:$B$164,"Boiler")/SUM(SUMIFS('Key inputs_Refineries'!F$85:F$164,'Key inputs_Refineries'!$C$85:$C$164,$C442:$C451,'Key inputs_Refineries'!$B$85:$B$164,"Boiler"))&gt;0,SUMIFS('Key inputs_Refineries'!F$85:F$164,'Key inputs_Refineries'!$C$85:$C$164,$C449,'Key inputs_Refineries'!$B$85:$B$164,"Boiler")/SUM(SUMIFS('Key inputs_Refineries'!F$85:F$164,'Key inputs_Refineries'!$C$85:$C$164,$C442:$C451,'Key inputs_Refineries'!$B$85:$B$164,"Boiler"))&lt;0.001),0.001,SUMIFS('Key inputs_Refineries'!F$85:F$164,'Key inputs_Refineries'!$C$85:$C$164,$C449,'Key inputs_Refineries'!$B$85:$B$164,"Boiler")/SUM(SUMIFS('Key inputs_Refineries'!F$85:F$164,'Key inputs_Refineries'!$C$85:$C$164,$C442:$C451,'Key inputs_Refineries'!$B$85:$B$164,"Boiler"))),0)</f>
        <v>0</v>
      </c>
      <c r="M449" s="173" cm="1">
        <f t="array" ref="M449">IFERROR(IF(AND(SUMIFS('Key inputs_Refineries'!G$85:G$164,'Key inputs_Refineries'!$C$85:$C$164,$C449,'Key inputs_Refineries'!$B$85:$B$164,"Boiler")/SUM(SUMIFS('Key inputs_Refineries'!G$85:G$164,'Key inputs_Refineries'!$C$85:$C$164,$C442:$C451,'Key inputs_Refineries'!$B$85:$B$164,"Boiler"))&gt;0,SUMIFS('Key inputs_Refineries'!G$85:G$164,'Key inputs_Refineries'!$C$85:$C$164,$C449,'Key inputs_Refineries'!$B$85:$B$164,"Boiler")/SUM(SUMIFS('Key inputs_Refineries'!G$85:G$164,'Key inputs_Refineries'!$C$85:$C$164,$C442:$C451,'Key inputs_Refineries'!$B$85:$B$164,"Boiler"))&lt;0.001),0.001,SUMIFS('Key inputs_Refineries'!G$85:G$164,'Key inputs_Refineries'!$C$85:$C$164,$C449,'Key inputs_Refineries'!$B$85:$B$164,"Boiler")/SUM(SUMIFS('Key inputs_Refineries'!G$85:G$164,'Key inputs_Refineries'!$C$85:$C$164,$C442:$C451,'Key inputs_Refineries'!$B$85:$B$164,"Boiler"))),0)</f>
        <v>0</v>
      </c>
      <c r="N449" s="173" cm="1">
        <f t="array" ref="N449">IFERROR(IF(AND(SUMIFS('Key inputs_Refineries'!H$85:H$164,'Key inputs_Refineries'!$C$85:$C$164,$C449,'Key inputs_Refineries'!$B$85:$B$164,"Boiler")/SUM(SUMIFS('Key inputs_Refineries'!H$85:H$164,'Key inputs_Refineries'!$C$85:$C$164,$C442:$C451,'Key inputs_Refineries'!$B$85:$B$164,"Boiler"))&gt;0,SUMIFS('Key inputs_Refineries'!H$85:H$164,'Key inputs_Refineries'!$C$85:$C$164,$C449,'Key inputs_Refineries'!$B$85:$B$164,"Boiler")/SUM(SUMIFS('Key inputs_Refineries'!H$85:H$164,'Key inputs_Refineries'!$C$85:$C$164,$C442:$C451,'Key inputs_Refineries'!$B$85:$B$164,"Boiler"))&lt;0.001),0.001,SUMIFS('Key inputs_Refineries'!H$85:H$164,'Key inputs_Refineries'!$C$85:$C$164,$C449,'Key inputs_Refineries'!$B$85:$B$164,"Boiler")/SUM(SUMIFS('Key inputs_Refineries'!H$85:H$164,'Key inputs_Refineries'!$C$85:$C$164,$C442:$C451,'Key inputs_Refineries'!$B$85:$B$164,"Boiler"))),0)</f>
        <v>0</v>
      </c>
      <c r="O449" s="173" cm="1">
        <f t="array" ref="O449">IFERROR(IF(AND(SUMIFS('Key inputs_Refineries'!I$85:I$164,'Key inputs_Refineries'!$C$85:$C$164,$C449,'Key inputs_Refineries'!$B$85:$B$164,"Boiler")/SUM(SUMIFS('Key inputs_Refineries'!I$85:I$164,'Key inputs_Refineries'!$C$85:$C$164,$C442:$C451,'Key inputs_Refineries'!$B$85:$B$164,"Boiler"))&gt;0,SUMIFS('Key inputs_Refineries'!I$85:I$164,'Key inputs_Refineries'!$C$85:$C$164,$C449,'Key inputs_Refineries'!$B$85:$B$164,"Boiler")/SUM(SUMIFS('Key inputs_Refineries'!I$85:I$164,'Key inputs_Refineries'!$C$85:$C$164,$C442:$C451,'Key inputs_Refineries'!$B$85:$B$164,"Boiler"))&lt;0.001),0.001,SUMIFS('Key inputs_Refineries'!I$85:I$164,'Key inputs_Refineries'!$C$85:$C$164,$C449,'Key inputs_Refineries'!$B$85:$B$164,"Boiler")/SUM(SUMIFS('Key inputs_Refineries'!I$85:I$164,'Key inputs_Refineries'!$C$85:$C$164,$C442:$C451,'Key inputs_Refineries'!$B$85:$B$164,"Boiler"))),0)</f>
        <v>0</v>
      </c>
      <c r="P449" s="173" cm="1">
        <f t="array" ref="P449">IFERROR(IF(AND(SUMIFS('Key inputs_Refineries'!J$85:J$164,'Key inputs_Refineries'!$C$85:$C$164,$C449,'Key inputs_Refineries'!$B$85:$B$164,"Boiler")/SUM(SUMIFS('Key inputs_Refineries'!J$85:J$164,'Key inputs_Refineries'!$C$85:$C$164,$C442:$C451,'Key inputs_Refineries'!$B$85:$B$164,"Boiler"))&gt;0,SUMIFS('Key inputs_Refineries'!J$85:J$164,'Key inputs_Refineries'!$C$85:$C$164,$C449,'Key inputs_Refineries'!$B$85:$B$164,"Boiler")/SUM(SUMIFS('Key inputs_Refineries'!J$85:J$164,'Key inputs_Refineries'!$C$85:$C$164,$C442:$C451,'Key inputs_Refineries'!$B$85:$B$164,"Boiler"))&lt;0.001),0.001,SUMIFS('Key inputs_Refineries'!J$85:J$164,'Key inputs_Refineries'!$C$85:$C$164,$C449,'Key inputs_Refineries'!$B$85:$B$164,"Boiler")/SUM(SUMIFS('Key inputs_Refineries'!J$85:J$164,'Key inputs_Refineries'!$C$85:$C$164,$C442:$C451,'Key inputs_Refineries'!$B$85:$B$164,"Boiler"))),0)</f>
        <v>0</v>
      </c>
      <c r="Q449" s="173" cm="1">
        <f t="array" ref="Q449">IFERROR(IF(AND(SUMIFS('Key inputs_Refineries'!K$85:K$164,'Key inputs_Refineries'!$C$85:$C$164,$C449,'Key inputs_Refineries'!$B$85:$B$164,"Boiler")/SUM(SUMIFS('Key inputs_Refineries'!K$85:K$164,'Key inputs_Refineries'!$C$85:$C$164,$C442:$C451,'Key inputs_Refineries'!$B$85:$B$164,"Boiler"))&gt;0,SUMIFS('Key inputs_Refineries'!K$85:K$164,'Key inputs_Refineries'!$C$85:$C$164,$C449,'Key inputs_Refineries'!$B$85:$B$164,"Boiler")/SUM(SUMIFS('Key inputs_Refineries'!K$85:K$164,'Key inputs_Refineries'!$C$85:$C$164,$C442:$C451,'Key inputs_Refineries'!$B$85:$B$164,"Boiler"))&lt;0.001),0.001,SUMIFS('Key inputs_Refineries'!K$85:K$164,'Key inputs_Refineries'!$C$85:$C$164,$C449,'Key inputs_Refineries'!$B$85:$B$164,"Boiler")/SUM(SUMIFS('Key inputs_Refineries'!K$85:K$164,'Key inputs_Refineries'!$C$85:$C$164,$C442:$C451,'Key inputs_Refineries'!$B$85:$B$164,"Boiler"))),0)</f>
        <v>0</v>
      </c>
      <c r="R449" s="173" cm="1">
        <f t="array" ref="R449">IFERROR(IF(AND(SUMIFS('Key inputs_Refineries'!L$85:L$164,'Key inputs_Refineries'!$C$85:$C$164,$C449,'Key inputs_Refineries'!$B$85:$B$164,"Boiler")/SUM(SUMIFS('Key inputs_Refineries'!L$85:L$164,'Key inputs_Refineries'!$C$85:$C$164,$C442:$C451,'Key inputs_Refineries'!$B$85:$B$164,"Boiler"))&gt;0,SUMIFS('Key inputs_Refineries'!L$85:L$164,'Key inputs_Refineries'!$C$85:$C$164,$C449,'Key inputs_Refineries'!$B$85:$B$164,"Boiler")/SUM(SUMIFS('Key inputs_Refineries'!L$85:L$164,'Key inputs_Refineries'!$C$85:$C$164,$C442:$C451,'Key inputs_Refineries'!$B$85:$B$164,"Boiler"))&lt;0.001),0.001,SUMIFS('Key inputs_Refineries'!L$85:L$164,'Key inputs_Refineries'!$C$85:$C$164,$C449,'Key inputs_Refineries'!$B$85:$B$164,"Boiler")/SUM(SUMIFS('Key inputs_Refineries'!L$85:L$164,'Key inputs_Refineries'!$C$85:$C$164,$C442:$C451,'Key inputs_Refineries'!$B$85:$B$164,"Boiler"))),0)</f>
        <v>0</v>
      </c>
      <c r="S449" s="173" cm="1">
        <f t="array" ref="S449">IFERROR(IF(AND(SUMIFS('Key inputs_Refineries'!M$85:M$164,'Key inputs_Refineries'!$C$85:$C$164,$C449,'Key inputs_Refineries'!$B$85:$B$164,"Boiler")/SUM(SUMIFS('Key inputs_Refineries'!M$85:M$164,'Key inputs_Refineries'!$C$85:$C$164,$C442:$C451,'Key inputs_Refineries'!$B$85:$B$164,"Boiler"))&gt;0,SUMIFS('Key inputs_Refineries'!M$85:M$164,'Key inputs_Refineries'!$C$85:$C$164,$C449,'Key inputs_Refineries'!$B$85:$B$164,"Boiler")/SUM(SUMIFS('Key inputs_Refineries'!M$85:M$164,'Key inputs_Refineries'!$C$85:$C$164,$C442:$C451,'Key inputs_Refineries'!$B$85:$B$164,"Boiler"))&lt;0.001),0.001,SUMIFS('Key inputs_Refineries'!M$85:M$164,'Key inputs_Refineries'!$C$85:$C$164,$C449,'Key inputs_Refineries'!$B$85:$B$164,"Boiler")/SUM(SUMIFS('Key inputs_Refineries'!M$85:M$164,'Key inputs_Refineries'!$C$85:$C$164,$C442:$C451,'Key inputs_Refineries'!$B$85:$B$164,"Boiler"))),0)</f>
        <v>0</v>
      </c>
      <c r="T449" s="173" cm="1">
        <f t="array" ref="T449">IFERROR(IF(AND(SUMIFS('Key inputs_Refineries'!N$85:N$164,'Key inputs_Refineries'!$C$85:$C$164,$C449,'Key inputs_Refineries'!$B$85:$B$164,"Boiler")/SUM(SUMIFS('Key inputs_Refineries'!N$85:N$164,'Key inputs_Refineries'!$C$85:$C$164,$C442:$C451,'Key inputs_Refineries'!$B$85:$B$164,"Boiler"))&gt;0,SUMIFS('Key inputs_Refineries'!N$85:N$164,'Key inputs_Refineries'!$C$85:$C$164,$C449,'Key inputs_Refineries'!$B$85:$B$164,"Boiler")/SUM(SUMIFS('Key inputs_Refineries'!N$85:N$164,'Key inputs_Refineries'!$C$85:$C$164,$C442:$C451,'Key inputs_Refineries'!$B$85:$B$164,"Boiler"))&lt;0.001),0.001,SUMIFS('Key inputs_Refineries'!N$85:N$164,'Key inputs_Refineries'!$C$85:$C$164,$C449,'Key inputs_Refineries'!$B$85:$B$164,"Boiler")/SUM(SUMIFS('Key inputs_Refineries'!N$85:N$164,'Key inputs_Refineries'!$C$85:$C$164,$C442:$C451,'Key inputs_Refineries'!$B$85:$B$164,"Boiler"))),0)</f>
        <v>0</v>
      </c>
      <c r="U449" s="173" cm="1">
        <f t="array" ref="U449">IFERROR(IF(AND(SUMIFS('Key inputs_Refineries'!O$85:O$164,'Key inputs_Refineries'!$C$85:$C$164,$C449,'Key inputs_Refineries'!$B$85:$B$164,"Boiler")/SUM(SUMIFS('Key inputs_Refineries'!O$85:O$164,'Key inputs_Refineries'!$C$85:$C$164,$C442:$C451,'Key inputs_Refineries'!$B$85:$B$164,"Boiler"))&gt;0,SUMIFS('Key inputs_Refineries'!O$85:O$164,'Key inputs_Refineries'!$C$85:$C$164,$C449,'Key inputs_Refineries'!$B$85:$B$164,"Boiler")/SUM(SUMIFS('Key inputs_Refineries'!O$85:O$164,'Key inputs_Refineries'!$C$85:$C$164,$C442:$C451,'Key inputs_Refineries'!$B$85:$B$164,"Boiler"))&lt;0.001),0.001,SUMIFS('Key inputs_Refineries'!O$85:O$164,'Key inputs_Refineries'!$C$85:$C$164,$C449,'Key inputs_Refineries'!$B$85:$B$164,"Boiler")/SUM(SUMIFS('Key inputs_Refineries'!O$85:O$164,'Key inputs_Refineries'!$C$85:$C$164,$C442:$C451,'Key inputs_Refineries'!$B$85:$B$164,"Boiler"))),0)</f>
        <v>0</v>
      </c>
      <c r="V449" s="173" cm="1">
        <f t="array" ref="V449">IFERROR(IF(AND(SUMIFS('Key inputs_Refineries'!P$85:P$164,'Key inputs_Refineries'!$C$85:$C$164,$C449,'Key inputs_Refineries'!$B$85:$B$164,"Boiler")/SUM(SUMIFS('Key inputs_Refineries'!P$85:P$164,'Key inputs_Refineries'!$C$85:$C$164,$C442:$C451,'Key inputs_Refineries'!$B$85:$B$164,"Boiler"))&gt;0,SUMIFS('Key inputs_Refineries'!P$85:P$164,'Key inputs_Refineries'!$C$85:$C$164,$C449,'Key inputs_Refineries'!$B$85:$B$164,"Boiler")/SUM(SUMIFS('Key inputs_Refineries'!P$85:P$164,'Key inputs_Refineries'!$C$85:$C$164,$C442:$C451,'Key inputs_Refineries'!$B$85:$B$164,"Boiler"))&lt;0.001),0.001,SUMIFS('Key inputs_Refineries'!P$85:P$164,'Key inputs_Refineries'!$C$85:$C$164,$C449,'Key inputs_Refineries'!$B$85:$B$164,"Boiler")/SUM(SUMIFS('Key inputs_Refineries'!P$85:P$164,'Key inputs_Refineries'!$C$85:$C$164,$C442:$C451,'Key inputs_Refineries'!$B$85:$B$164,"Boiler"))),0)</f>
        <v>8.1634477464035786E-3</v>
      </c>
      <c r="W449" s="173" cm="1">
        <f t="array" ref="W449">IFERROR(IF(AND(SUMIFS('Key inputs_Refineries'!Q$85:Q$164,'Key inputs_Refineries'!$C$85:$C$164,$C449,'Key inputs_Refineries'!$B$85:$B$164,"Boiler")/SUM(SUMIFS('Key inputs_Refineries'!Q$85:Q$164,'Key inputs_Refineries'!$C$85:$C$164,$C442:$C451,'Key inputs_Refineries'!$B$85:$B$164,"Boiler"))&gt;0,SUMIFS('Key inputs_Refineries'!Q$85:Q$164,'Key inputs_Refineries'!$C$85:$C$164,$C449,'Key inputs_Refineries'!$B$85:$B$164,"Boiler")/SUM(SUMIFS('Key inputs_Refineries'!Q$85:Q$164,'Key inputs_Refineries'!$C$85:$C$164,$C442:$C451,'Key inputs_Refineries'!$B$85:$B$164,"Boiler"))&lt;0.001),0.001,SUMIFS('Key inputs_Refineries'!Q$85:Q$164,'Key inputs_Refineries'!$C$85:$C$164,$C449,'Key inputs_Refineries'!$B$85:$B$164,"Boiler")/SUM(SUMIFS('Key inputs_Refineries'!Q$85:Q$164,'Key inputs_Refineries'!$C$85:$C$164,$C442:$C451,'Key inputs_Refineries'!$B$85:$B$164,"Boiler"))),0)</f>
        <v>0</v>
      </c>
      <c r="X449" s="173" cm="1">
        <f t="array" ref="X449">IFERROR(IF(AND(SUMIFS('Key inputs_Refineries'!R$85:R$164,'Key inputs_Refineries'!$C$85:$C$164,$C449,'Key inputs_Refineries'!$B$85:$B$164,"Boiler")/SUM(SUMIFS('Key inputs_Refineries'!R$85:R$164,'Key inputs_Refineries'!$C$85:$C$164,$C442:$C451,'Key inputs_Refineries'!$B$85:$B$164,"Boiler"))&gt;0,SUMIFS('Key inputs_Refineries'!R$85:R$164,'Key inputs_Refineries'!$C$85:$C$164,$C449,'Key inputs_Refineries'!$B$85:$B$164,"Boiler")/SUM(SUMIFS('Key inputs_Refineries'!R$85:R$164,'Key inputs_Refineries'!$C$85:$C$164,$C442:$C451,'Key inputs_Refineries'!$B$85:$B$164,"Boiler"))&lt;0.001),0.001,SUMIFS('Key inputs_Refineries'!R$85:R$164,'Key inputs_Refineries'!$C$85:$C$164,$C449,'Key inputs_Refineries'!$B$85:$B$164,"Boiler")/SUM(SUMIFS('Key inputs_Refineries'!R$85:R$164,'Key inputs_Refineries'!$C$85:$C$164,$C442:$C451,'Key inputs_Refineries'!$B$85:$B$164,"Boiler"))),0)</f>
        <v>0</v>
      </c>
      <c r="Y449" s="173" cm="1">
        <f t="array" ref="Y449">IFERROR(IF(AND(SUMIFS('Key inputs_Refineries'!S$85:S$164,'Key inputs_Refineries'!$C$85:$C$164,$C449,'Key inputs_Refineries'!$B$85:$B$164,"Boiler")/SUM(SUMIFS('Key inputs_Refineries'!S$85:S$164,'Key inputs_Refineries'!$C$85:$C$164,$C442:$C451,'Key inputs_Refineries'!$B$85:$B$164,"Boiler"))&gt;0,SUMIFS('Key inputs_Refineries'!S$85:S$164,'Key inputs_Refineries'!$C$85:$C$164,$C449,'Key inputs_Refineries'!$B$85:$B$164,"Boiler")/SUM(SUMIFS('Key inputs_Refineries'!S$85:S$164,'Key inputs_Refineries'!$C$85:$C$164,$C442:$C451,'Key inputs_Refineries'!$B$85:$B$164,"Boiler"))&lt;0.001),0.001,SUMIFS('Key inputs_Refineries'!S$85:S$164,'Key inputs_Refineries'!$C$85:$C$164,$C449,'Key inputs_Refineries'!$B$85:$B$164,"Boiler")/SUM(SUMIFS('Key inputs_Refineries'!S$85:S$164,'Key inputs_Refineries'!$C$85:$C$164,$C442:$C451,'Key inputs_Refineries'!$B$85:$B$164,"Boiler"))),0)</f>
        <v>0</v>
      </c>
      <c r="Z449" s="173" cm="1">
        <f t="array" ref="Z449">IFERROR(IF(AND(SUMIFS('Key inputs_Refineries'!T$85:T$164,'Key inputs_Refineries'!$C$85:$C$164,$C449,'Key inputs_Refineries'!$B$85:$B$164,"Boiler")/SUM(SUMIFS('Key inputs_Refineries'!T$85:T$164,'Key inputs_Refineries'!$C$85:$C$164,$C442:$C451,'Key inputs_Refineries'!$B$85:$B$164,"Boiler"))&gt;0,SUMIFS('Key inputs_Refineries'!T$85:T$164,'Key inputs_Refineries'!$C$85:$C$164,$C449,'Key inputs_Refineries'!$B$85:$B$164,"Boiler")/SUM(SUMIFS('Key inputs_Refineries'!T$85:T$164,'Key inputs_Refineries'!$C$85:$C$164,$C442:$C451,'Key inputs_Refineries'!$B$85:$B$164,"Boiler"))&lt;0.001),0.001,SUMIFS('Key inputs_Refineries'!T$85:T$164,'Key inputs_Refineries'!$C$85:$C$164,$C449,'Key inputs_Refineries'!$B$85:$B$164,"Boiler")/SUM(SUMIFS('Key inputs_Refineries'!T$85:T$164,'Key inputs_Refineries'!$C$85:$C$164,$C442:$C451,'Key inputs_Refineries'!$B$85:$B$164,"Boiler"))),0)</f>
        <v>0</v>
      </c>
      <c r="AA449" s="173" cm="1">
        <f t="array" ref="AA449">IFERROR(IF(AND(SUMIFS('Key inputs_Refineries'!U$85:U$164,'Key inputs_Refineries'!$C$85:$C$164,$C449,'Key inputs_Refineries'!$B$85:$B$164,"Boiler")/SUM(SUMIFS('Key inputs_Refineries'!U$85:U$164,'Key inputs_Refineries'!$C$85:$C$164,$C442:$C451,'Key inputs_Refineries'!$B$85:$B$164,"Boiler"))&gt;0,SUMIFS('Key inputs_Refineries'!U$85:U$164,'Key inputs_Refineries'!$C$85:$C$164,$C449,'Key inputs_Refineries'!$B$85:$B$164,"Boiler")/SUM(SUMIFS('Key inputs_Refineries'!U$85:U$164,'Key inputs_Refineries'!$C$85:$C$164,$C442:$C451,'Key inputs_Refineries'!$B$85:$B$164,"Boiler"))&lt;0.001),0.001,SUMIFS('Key inputs_Refineries'!U$85:U$164,'Key inputs_Refineries'!$C$85:$C$164,$C449,'Key inputs_Refineries'!$B$85:$B$164,"Boiler")/SUM(SUMIFS('Key inputs_Refineries'!U$85:U$164,'Key inputs_Refineries'!$C$85:$C$164,$C442:$C451,'Key inputs_Refineries'!$B$85:$B$164,"Boiler"))),0)</f>
        <v>0</v>
      </c>
      <c r="AB449" s="173" cm="1">
        <f t="array" ref="AB449">IFERROR(IF(AND(SUMIFS('Key inputs_Refineries'!V$85:V$164,'Key inputs_Refineries'!$C$85:$C$164,$C449,'Key inputs_Refineries'!$B$85:$B$164,"Boiler")/SUM(SUMIFS('Key inputs_Refineries'!V$85:V$164,'Key inputs_Refineries'!$C$85:$C$164,$C442:$C451,'Key inputs_Refineries'!$B$85:$B$164,"Boiler"))&gt;0,SUMIFS('Key inputs_Refineries'!V$85:V$164,'Key inputs_Refineries'!$C$85:$C$164,$C449,'Key inputs_Refineries'!$B$85:$B$164,"Boiler")/SUM(SUMIFS('Key inputs_Refineries'!V$85:V$164,'Key inputs_Refineries'!$C$85:$C$164,$C442:$C451,'Key inputs_Refineries'!$B$85:$B$164,"Boiler"))&lt;0.001),0.001,SUMIFS('Key inputs_Refineries'!V$85:V$164,'Key inputs_Refineries'!$C$85:$C$164,$C449,'Key inputs_Refineries'!$B$85:$B$164,"Boiler")/SUM(SUMIFS('Key inputs_Refineries'!V$85:V$164,'Key inputs_Refineries'!$C$85:$C$164,$C442:$C451,'Key inputs_Refineries'!$B$85:$B$164,"Boiler"))),0)</f>
        <v>0</v>
      </c>
      <c r="AC449" s="173" cm="1">
        <f t="array" ref="AC449">IFERROR(IF(AND(SUMIFS('Key inputs_Refineries'!W$85:W$164,'Key inputs_Refineries'!$C$85:$C$164,$C449,'Key inputs_Refineries'!$B$85:$B$164,"Boiler")/SUM(SUMIFS('Key inputs_Refineries'!W$85:W$164,'Key inputs_Refineries'!$C$85:$C$164,$C442:$C451,'Key inputs_Refineries'!$B$85:$B$164,"Boiler"))&gt;0,SUMIFS('Key inputs_Refineries'!W$85:W$164,'Key inputs_Refineries'!$C$85:$C$164,$C449,'Key inputs_Refineries'!$B$85:$B$164,"Boiler")/SUM(SUMIFS('Key inputs_Refineries'!W$85:W$164,'Key inputs_Refineries'!$C$85:$C$164,$C442:$C451,'Key inputs_Refineries'!$B$85:$B$164,"Boiler"))&lt;0.001),0.001,SUMIFS('Key inputs_Refineries'!W$85:W$164,'Key inputs_Refineries'!$C$85:$C$164,$C449,'Key inputs_Refineries'!$B$85:$B$164,"Boiler")/SUM(SUMIFS('Key inputs_Refineries'!W$85:W$164,'Key inputs_Refineries'!$C$85:$C$164,$C442:$C451,'Key inputs_Refineries'!$B$85:$B$164,"Boiler"))),0)</f>
        <v>0</v>
      </c>
      <c r="AD449" s="173" cm="1">
        <f t="array" ref="AD449">IFERROR(IF(AND(SUMIFS('Key inputs_Refineries'!X$85:X$164,'Key inputs_Refineries'!$C$85:$C$164,$C449,'Key inputs_Refineries'!$B$85:$B$164,"Boiler")/SUM(SUMIFS('Key inputs_Refineries'!X$85:X$164,'Key inputs_Refineries'!$C$85:$C$164,$C442:$C451,'Key inputs_Refineries'!$B$85:$B$164,"Boiler"))&gt;0,SUMIFS('Key inputs_Refineries'!X$85:X$164,'Key inputs_Refineries'!$C$85:$C$164,$C449,'Key inputs_Refineries'!$B$85:$B$164,"Boiler")/SUM(SUMIFS('Key inputs_Refineries'!X$85:X$164,'Key inputs_Refineries'!$C$85:$C$164,$C442:$C451,'Key inputs_Refineries'!$B$85:$B$164,"Boiler"))&lt;0.001),0.001,SUMIFS('Key inputs_Refineries'!X$85:X$164,'Key inputs_Refineries'!$C$85:$C$164,$C449,'Key inputs_Refineries'!$B$85:$B$164,"Boiler")/SUM(SUMIFS('Key inputs_Refineries'!X$85:X$164,'Key inputs_Refineries'!$C$85:$C$164,$C442:$C451,'Key inputs_Refineries'!$B$85:$B$164,"Boiler"))),0)</f>
        <v>4.2432215423606054E-3</v>
      </c>
      <c r="AE449" s="173" cm="1">
        <f t="array" ref="AE449">IFERROR(IF(AND(SUMIFS('Key inputs_Refineries'!Y$85:Y$164,'Key inputs_Refineries'!$C$85:$C$164,$C449,'Key inputs_Refineries'!$B$85:$B$164,"Boiler")/SUM(SUMIFS('Key inputs_Refineries'!Y$85:Y$164,'Key inputs_Refineries'!$C$85:$C$164,$C442:$C451,'Key inputs_Refineries'!$B$85:$B$164,"Boiler"))&gt;0,SUMIFS('Key inputs_Refineries'!Y$85:Y$164,'Key inputs_Refineries'!$C$85:$C$164,$C449,'Key inputs_Refineries'!$B$85:$B$164,"Boiler")/SUM(SUMIFS('Key inputs_Refineries'!Y$85:Y$164,'Key inputs_Refineries'!$C$85:$C$164,$C442:$C451,'Key inputs_Refineries'!$B$85:$B$164,"Boiler"))&lt;0.001),0.001,SUMIFS('Key inputs_Refineries'!Y$85:Y$164,'Key inputs_Refineries'!$C$85:$C$164,$C449,'Key inputs_Refineries'!$B$85:$B$164,"Boiler")/SUM(SUMIFS('Key inputs_Refineries'!Y$85:Y$164,'Key inputs_Refineries'!$C$85:$C$164,$C442:$C451,'Key inputs_Refineries'!$B$85:$B$164,"Boiler"))),0)</f>
        <v>1E-3</v>
      </c>
      <c r="AF449" s="173" cm="1">
        <f t="array" ref="AF449">IFERROR(IF(AND(SUMIFS('Key inputs_Refineries'!Z$85:Z$164,'Key inputs_Refineries'!$C$85:$C$164,$C449,'Key inputs_Refineries'!$B$85:$B$164,"Boiler")/SUM(SUMIFS('Key inputs_Refineries'!Z$85:Z$164,'Key inputs_Refineries'!$C$85:$C$164,$C442:$C451,'Key inputs_Refineries'!$B$85:$B$164,"Boiler"))&gt;0,SUMIFS('Key inputs_Refineries'!Z$85:Z$164,'Key inputs_Refineries'!$C$85:$C$164,$C449,'Key inputs_Refineries'!$B$85:$B$164,"Boiler")/SUM(SUMIFS('Key inputs_Refineries'!Z$85:Z$164,'Key inputs_Refineries'!$C$85:$C$164,$C442:$C451,'Key inputs_Refineries'!$B$85:$B$164,"Boiler"))&lt;0.001),0.001,SUMIFS('Key inputs_Refineries'!Z$85:Z$164,'Key inputs_Refineries'!$C$85:$C$164,$C449,'Key inputs_Refineries'!$B$85:$B$164,"Boiler")/SUM(SUMIFS('Key inputs_Refineries'!Z$85:Z$164,'Key inputs_Refineries'!$C$85:$C$164,$C442:$C451,'Key inputs_Refineries'!$B$85:$B$164,"Boiler"))),0)</f>
        <v>0</v>
      </c>
      <c r="AG449" s="173" cm="1">
        <f t="array" ref="AG449">IFERROR(IF(AND(SUMIFS('Key inputs_Refineries'!AA$85:AA$164,'Key inputs_Refineries'!$C$85:$C$164,$C449,'Key inputs_Refineries'!$B$85:$B$164,"Boiler")/SUM(SUMIFS('Key inputs_Refineries'!AA$85:AA$164,'Key inputs_Refineries'!$C$85:$C$164,$C442:$C451,'Key inputs_Refineries'!$B$85:$B$164,"Boiler"))&gt;0,SUMIFS('Key inputs_Refineries'!AA$85:AA$164,'Key inputs_Refineries'!$C$85:$C$164,$C449,'Key inputs_Refineries'!$B$85:$B$164,"Boiler")/SUM(SUMIFS('Key inputs_Refineries'!AA$85:AA$164,'Key inputs_Refineries'!$C$85:$C$164,$C442:$C451,'Key inputs_Refineries'!$B$85:$B$164,"Boiler"))&lt;0.001),0.001,SUMIFS('Key inputs_Refineries'!AA$85:AA$164,'Key inputs_Refineries'!$C$85:$C$164,$C449,'Key inputs_Refineries'!$B$85:$B$164,"Boiler")/SUM(SUMIFS('Key inputs_Refineries'!AA$85:AA$164,'Key inputs_Refineries'!$C$85:$C$164,$C442:$C451,'Key inputs_Refineries'!$B$85:$B$164,"Boiler"))),0)</f>
        <v>1.2999285657333546E-2</v>
      </c>
      <c r="AH449" s="173" cm="1">
        <f t="array" ref="AH449">IFERROR(IF(AND(SUMIFS('Key inputs_Refineries'!AB$85:AB$164,'Key inputs_Refineries'!$C$85:$C$164,$C449,'Key inputs_Refineries'!$B$85:$B$164,"Boiler")/SUM(SUMIFS('Key inputs_Refineries'!AB$85:AB$164,'Key inputs_Refineries'!$C$85:$C$164,$C442:$C451,'Key inputs_Refineries'!$B$85:$B$164,"Boiler"))&gt;0,SUMIFS('Key inputs_Refineries'!AB$85:AB$164,'Key inputs_Refineries'!$C$85:$C$164,$C449,'Key inputs_Refineries'!$B$85:$B$164,"Boiler")/SUM(SUMIFS('Key inputs_Refineries'!AB$85:AB$164,'Key inputs_Refineries'!$C$85:$C$164,$C442:$C451,'Key inputs_Refineries'!$B$85:$B$164,"Boiler"))&lt;0.001),0.001,SUMIFS('Key inputs_Refineries'!AB$85:AB$164,'Key inputs_Refineries'!$C$85:$C$164,$C449,'Key inputs_Refineries'!$B$85:$B$164,"Boiler")/SUM(SUMIFS('Key inputs_Refineries'!AB$85:AB$164,'Key inputs_Refineries'!$C$85:$C$164,$C442:$C451,'Key inputs_Refineries'!$B$85:$B$164,"Boiler"))),0)</f>
        <v>0</v>
      </c>
      <c r="AI449" s="173" cm="1">
        <f t="array" ref="AI449">IFERROR(IF(AND(SUMIFS('Key inputs_Refineries'!AC$85:AC$164,'Key inputs_Refineries'!$C$85:$C$164,$C449,'Key inputs_Refineries'!$B$85:$B$164,"Boiler")/SUM(SUMIFS('Key inputs_Refineries'!AC$85:AC$164,'Key inputs_Refineries'!$C$85:$C$164,$C442:$C451,'Key inputs_Refineries'!$B$85:$B$164,"Boiler"))&gt;0,SUMIFS('Key inputs_Refineries'!AC$85:AC$164,'Key inputs_Refineries'!$C$85:$C$164,$C449,'Key inputs_Refineries'!$B$85:$B$164,"Boiler")/SUM(SUMIFS('Key inputs_Refineries'!AC$85:AC$164,'Key inputs_Refineries'!$C$85:$C$164,$C442:$C451,'Key inputs_Refineries'!$B$85:$B$164,"Boiler"))&lt;0.001),0.001,SUMIFS('Key inputs_Refineries'!AC$85:AC$164,'Key inputs_Refineries'!$C$85:$C$164,$C449,'Key inputs_Refineries'!$B$85:$B$164,"Boiler")/SUM(SUMIFS('Key inputs_Refineries'!AC$85:AC$164,'Key inputs_Refineries'!$C$85:$C$164,$C442:$C451,'Key inputs_Refineries'!$B$85:$B$164,"Boiler"))),0)</f>
        <v>0</v>
      </c>
      <c r="AJ449" s="173" cm="1">
        <f t="array" ref="AJ449">IFERROR(IF(AND(SUMIFS('Key inputs_Refineries'!AD$85:AD$164,'Key inputs_Refineries'!$C$85:$C$164,$C449,'Key inputs_Refineries'!$B$85:$B$164,"Boiler")/SUM(SUMIFS('Key inputs_Refineries'!AD$85:AD$164,'Key inputs_Refineries'!$C$85:$C$164,$C442:$C451,'Key inputs_Refineries'!$B$85:$B$164,"Boiler"))&gt;0,SUMIFS('Key inputs_Refineries'!AD$85:AD$164,'Key inputs_Refineries'!$C$85:$C$164,$C449,'Key inputs_Refineries'!$B$85:$B$164,"Boiler")/SUM(SUMIFS('Key inputs_Refineries'!AD$85:AD$164,'Key inputs_Refineries'!$C$85:$C$164,$C442:$C451,'Key inputs_Refineries'!$B$85:$B$164,"Boiler"))&lt;0.001),0.001,SUMIFS('Key inputs_Refineries'!AD$85:AD$164,'Key inputs_Refineries'!$C$85:$C$164,$C449,'Key inputs_Refineries'!$B$85:$B$164,"Boiler")/SUM(SUMIFS('Key inputs_Refineries'!AD$85:AD$164,'Key inputs_Refineries'!$C$85:$C$164,$C442:$C451,'Key inputs_Refineries'!$B$85:$B$164,"Boiler"))),0)</f>
        <v>0</v>
      </c>
      <c r="AK449" s="173" cm="1">
        <f t="array" ref="AK449">IFERROR(IF(AND(SUMIFS('Key inputs_Refineries'!AE$85:AE$164,'Key inputs_Refineries'!$C$85:$C$164,$C449,'Key inputs_Refineries'!$B$85:$B$164,"Boiler")/SUM(SUMIFS('Key inputs_Refineries'!AE$85:AE$164,'Key inputs_Refineries'!$C$85:$C$164,$C442:$C451,'Key inputs_Refineries'!$B$85:$B$164,"Boiler"))&gt;0,SUMIFS('Key inputs_Refineries'!AE$85:AE$164,'Key inputs_Refineries'!$C$85:$C$164,$C449,'Key inputs_Refineries'!$B$85:$B$164,"Boiler")/SUM(SUMIFS('Key inputs_Refineries'!AE$85:AE$164,'Key inputs_Refineries'!$C$85:$C$164,$C442:$C451,'Key inputs_Refineries'!$B$85:$B$164,"Boiler"))&lt;0.001),0.001,SUMIFS('Key inputs_Refineries'!AE$85:AE$164,'Key inputs_Refineries'!$C$85:$C$164,$C449,'Key inputs_Refineries'!$B$85:$B$164,"Boiler")/SUM(SUMIFS('Key inputs_Refineries'!AE$85:AE$164,'Key inputs_Refineries'!$C$85:$C$164,$C442:$C451,'Key inputs_Refineries'!$B$85:$B$164,"Boiler"))),0)</f>
        <v>0</v>
      </c>
      <c r="AL449" s="173" cm="1">
        <f t="array" ref="AL449">IFERROR(IF(AND(SUMIFS('Key inputs_Refineries'!AF$85:AF$164,'Key inputs_Refineries'!$C$85:$C$164,$C449,'Key inputs_Refineries'!$B$85:$B$164,"Boiler")/SUM(SUMIFS('Key inputs_Refineries'!AF$85:AF$164,'Key inputs_Refineries'!$C$85:$C$164,$C442:$C451,'Key inputs_Refineries'!$B$85:$B$164,"Boiler"))&gt;0,SUMIFS('Key inputs_Refineries'!AF$85:AF$164,'Key inputs_Refineries'!$C$85:$C$164,$C449,'Key inputs_Refineries'!$B$85:$B$164,"Boiler")/SUM(SUMIFS('Key inputs_Refineries'!AF$85:AF$164,'Key inputs_Refineries'!$C$85:$C$164,$C442:$C451,'Key inputs_Refineries'!$B$85:$B$164,"Boiler"))&lt;0.001),0.001,SUMIFS('Key inputs_Refineries'!AF$85:AF$164,'Key inputs_Refineries'!$C$85:$C$164,$C449,'Key inputs_Refineries'!$B$85:$B$164,"Boiler")/SUM(SUMIFS('Key inputs_Refineries'!AF$85:AF$164,'Key inputs_Refineries'!$C$85:$C$164,$C442:$C451,'Key inputs_Refineries'!$B$85:$B$164,"Boiler"))),0)</f>
        <v>1E-3</v>
      </c>
    </row>
    <row r="450" spans="1:38">
      <c r="C450" t="str">
        <f>Commodities!$C$99</f>
        <v>UPSOIL</v>
      </c>
      <c r="G450" s="4" t="s">
        <v>702</v>
      </c>
      <c r="H450" t="s">
        <v>661</v>
      </c>
      <c r="I450">
        <v>2019</v>
      </c>
      <c r="J450" t="s">
        <v>650</v>
      </c>
      <c r="K450" s="173" cm="1">
        <f t="array" ref="K450">IFERROR(IF(AND(SUMIFS('Key inputs_Refineries'!E$85:E$164,'Key inputs_Refineries'!$C$85:$C$164,$C450,'Key inputs_Refineries'!$B$85:$B$164,"Boiler")/SUM(SUMIFS('Key inputs_Refineries'!E$85:E$164,'Key inputs_Refineries'!$C$85:$C$164,$C442:$C451,'Key inputs_Refineries'!$B$85:$B$164,"Boiler"))&gt;0,SUMIFS('Key inputs_Refineries'!E$85:E$164,'Key inputs_Refineries'!$C$85:$C$164,$C450,'Key inputs_Refineries'!$B$85:$B$164,"Boiler")/SUM(SUMIFS('Key inputs_Refineries'!E$85:E$164,'Key inputs_Refineries'!$C$85:$C$164,$C442:$C451,'Key inputs_Refineries'!$B$85:$B$164,"Boiler"))&lt;0.001),0.001,SUMIFS('Key inputs_Refineries'!E$85:E$164,'Key inputs_Refineries'!$C$85:$C$164,$C450,'Key inputs_Refineries'!$B$85:$B$164,"Boiler")/SUM(SUMIFS('Key inputs_Refineries'!E$85:E$164,'Key inputs_Refineries'!$C$85:$C$164,$C442:$C451,'Key inputs_Refineries'!$B$85:$B$164,"Boiler"))),0)</f>
        <v>0</v>
      </c>
      <c r="L450" s="173" cm="1">
        <f t="array" ref="L450">IFERROR(IF(AND(SUMIFS('Key inputs_Refineries'!F$85:F$164,'Key inputs_Refineries'!$C$85:$C$164,$C450,'Key inputs_Refineries'!$B$85:$B$164,"Boiler")/SUM(SUMIFS('Key inputs_Refineries'!F$85:F$164,'Key inputs_Refineries'!$C$85:$C$164,$C442:$C451,'Key inputs_Refineries'!$B$85:$B$164,"Boiler"))&gt;0,SUMIFS('Key inputs_Refineries'!F$85:F$164,'Key inputs_Refineries'!$C$85:$C$164,$C450,'Key inputs_Refineries'!$B$85:$B$164,"Boiler")/SUM(SUMIFS('Key inputs_Refineries'!F$85:F$164,'Key inputs_Refineries'!$C$85:$C$164,$C442:$C451,'Key inputs_Refineries'!$B$85:$B$164,"Boiler"))&lt;0.001),0.001,SUMIFS('Key inputs_Refineries'!F$85:F$164,'Key inputs_Refineries'!$C$85:$C$164,$C450,'Key inputs_Refineries'!$B$85:$B$164,"Boiler")/SUM(SUMIFS('Key inputs_Refineries'!F$85:F$164,'Key inputs_Refineries'!$C$85:$C$164,$C442:$C451,'Key inputs_Refineries'!$B$85:$B$164,"Boiler"))),0)</f>
        <v>0.62534828705571477</v>
      </c>
      <c r="M450" s="173" cm="1">
        <f t="array" ref="M450">IFERROR(IF(AND(SUMIFS('Key inputs_Refineries'!G$85:G$164,'Key inputs_Refineries'!$C$85:$C$164,$C450,'Key inputs_Refineries'!$B$85:$B$164,"Boiler")/SUM(SUMIFS('Key inputs_Refineries'!G$85:G$164,'Key inputs_Refineries'!$C$85:$C$164,$C442:$C451,'Key inputs_Refineries'!$B$85:$B$164,"Boiler"))&gt;0,SUMIFS('Key inputs_Refineries'!G$85:G$164,'Key inputs_Refineries'!$C$85:$C$164,$C450,'Key inputs_Refineries'!$B$85:$B$164,"Boiler")/SUM(SUMIFS('Key inputs_Refineries'!G$85:G$164,'Key inputs_Refineries'!$C$85:$C$164,$C442:$C451,'Key inputs_Refineries'!$B$85:$B$164,"Boiler"))&lt;0.001),0.001,SUMIFS('Key inputs_Refineries'!G$85:G$164,'Key inputs_Refineries'!$C$85:$C$164,$C450,'Key inputs_Refineries'!$B$85:$B$164,"Boiler")/SUM(SUMIFS('Key inputs_Refineries'!G$85:G$164,'Key inputs_Refineries'!$C$85:$C$164,$C442:$C451,'Key inputs_Refineries'!$B$85:$B$164,"Boiler"))),0)</f>
        <v>0.31134470367789346</v>
      </c>
      <c r="N450" s="173" cm="1">
        <f t="array" ref="N450">IFERROR(IF(AND(SUMIFS('Key inputs_Refineries'!H$85:H$164,'Key inputs_Refineries'!$C$85:$C$164,$C450,'Key inputs_Refineries'!$B$85:$B$164,"Boiler")/SUM(SUMIFS('Key inputs_Refineries'!H$85:H$164,'Key inputs_Refineries'!$C$85:$C$164,$C442:$C451,'Key inputs_Refineries'!$B$85:$B$164,"Boiler"))&gt;0,SUMIFS('Key inputs_Refineries'!H$85:H$164,'Key inputs_Refineries'!$C$85:$C$164,$C450,'Key inputs_Refineries'!$B$85:$B$164,"Boiler")/SUM(SUMIFS('Key inputs_Refineries'!H$85:H$164,'Key inputs_Refineries'!$C$85:$C$164,$C442:$C451,'Key inputs_Refineries'!$B$85:$B$164,"Boiler"))&lt;0.001),0.001,SUMIFS('Key inputs_Refineries'!H$85:H$164,'Key inputs_Refineries'!$C$85:$C$164,$C450,'Key inputs_Refineries'!$B$85:$B$164,"Boiler")/SUM(SUMIFS('Key inputs_Refineries'!H$85:H$164,'Key inputs_Refineries'!$C$85:$C$164,$C442:$C451,'Key inputs_Refineries'!$B$85:$B$164,"Boiler"))),0)</f>
        <v>0</v>
      </c>
      <c r="O450" s="173" cm="1">
        <f t="array" ref="O450">IFERROR(IF(AND(SUMIFS('Key inputs_Refineries'!I$85:I$164,'Key inputs_Refineries'!$C$85:$C$164,$C450,'Key inputs_Refineries'!$B$85:$B$164,"Boiler")/SUM(SUMIFS('Key inputs_Refineries'!I$85:I$164,'Key inputs_Refineries'!$C$85:$C$164,$C442:$C451,'Key inputs_Refineries'!$B$85:$B$164,"Boiler"))&gt;0,SUMIFS('Key inputs_Refineries'!I$85:I$164,'Key inputs_Refineries'!$C$85:$C$164,$C450,'Key inputs_Refineries'!$B$85:$B$164,"Boiler")/SUM(SUMIFS('Key inputs_Refineries'!I$85:I$164,'Key inputs_Refineries'!$C$85:$C$164,$C442:$C451,'Key inputs_Refineries'!$B$85:$B$164,"Boiler"))&lt;0.001),0.001,SUMIFS('Key inputs_Refineries'!I$85:I$164,'Key inputs_Refineries'!$C$85:$C$164,$C450,'Key inputs_Refineries'!$B$85:$B$164,"Boiler")/SUM(SUMIFS('Key inputs_Refineries'!I$85:I$164,'Key inputs_Refineries'!$C$85:$C$164,$C442:$C451,'Key inputs_Refineries'!$B$85:$B$164,"Boiler"))),0)</f>
        <v>0</v>
      </c>
      <c r="P450" s="173" cm="1">
        <f t="array" ref="P450">IFERROR(IF(AND(SUMIFS('Key inputs_Refineries'!J$85:J$164,'Key inputs_Refineries'!$C$85:$C$164,$C450,'Key inputs_Refineries'!$B$85:$B$164,"Boiler")/SUM(SUMIFS('Key inputs_Refineries'!J$85:J$164,'Key inputs_Refineries'!$C$85:$C$164,$C442:$C451,'Key inputs_Refineries'!$B$85:$B$164,"Boiler"))&gt;0,SUMIFS('Key inputs_Refineries'!J$85:J$164,'Key inputs_Refineries'!$C$85:$C$164,$C450,'Key inputs_Refineries'!$B$85:$B$164,"Boiler")/SUM(SUMIFS('Key inputs_Refineries'!J$85:J$164,'Key inputs_Refineries'!$C$85:$C$164,$C442:$C451,'Key inputs_Refineries'!$B$85:$B$164,"Boiler"))&lt;0.001),0.001,SUMIFS('Key inputs_Refineries'!J$85:J$164,'Key inputs_Refineries'!$C$85:$C$164,$C450,'Key inputs_Refineries'!$B$85:$B$164,"Boiler")/SUM(SUMIFS('Key inputs_Refineries'!J$85:J$164,'Key inputs_Refineries'!$C$85:$C$164,$C442:$C451,'Key inputs_Refineries'!$B$85:$B$164,"Boiler"))),0)</f>
        <v>6.7577884287611982E-3</v>
      </c>
      <c r="Q450" s="173" cm="1">
        <f t="array" ref="Q450">IFERROR(IF(AND(SUMIFS('Key inputs_Refineries'!K$85:K$164,'Key inputs_Refineries'!$C$85:$C$164,$C450,'Key inputs_Refineries'!$B$85:$B$164,"Boiler")/SUM(SUMIFS('Key inputs_Refineries'!K$85:K$164,'Key inputs_Refineries'!$C$85:$C$164,$C442:$C451,'Key inputs_Refineries'!$B$85:$B$164,"Boiler"))&gt;0,SUMIFS('Key inputs_Refineries'!K$85:K$164,'Key inputs_Refineries'!$C$85:$C$164,$C450,'Key inputs_Refineries'!$B$85:$B$164,"Boiler")/SUM(SUMIFS('Key inputs_Refineries'!K$85:K$164,'Key inputs_Refineries'!$C$85:$C$164,$C442:$C451,'Key inputs_Refineries'!$B$85:$B$164,"Boiler"))&lt;0.001),0.001,SUMIFS('Key inputs_Refineries'!K$85:K$164,'Key inputs_Refineries'!$C$85:$C$164,$C450,'Key inputs_Refineries'!$B$85:$B$164,"Boiler")/SUM(SUMIFS('Key inputs_Refineries'!K$85:K$164,'Key inputs_Refineries'!$C$85:$C$164,$C442:$C451,'Key inputs_Refineries'!$B$85:$B$164,"Boiler"))),0)</f>
        <v>6.2820913515202928E-2</v>
      </c>
      <c r="R450" s="173" cm="1">
        <f t="array" ref="R450">IFERROR(IF(AND(SUMIFS('Key inputs_Refineries'!L$85:L$164,'Key inputs_Refineries'!$C$85:$C$164,$C450,'Key inputs_Refineries'!$B$85:$B$164,"Boiler")/SUM(SUMIFS('Key inputs_Refineries'!L$85:L$164,'Key inputs_Refineries'!$C$85:$C$164,$C442:$C451,'Key inputs_Refineries'!$B$85:$B$164,"Boiler"))&gt;0,SUMIFS('Key inputs_Refineries'!L$85:L$164,'Key inputs_Refineries'!$C$85:$C$164,$C450,'Key inputs_Refineries'!$B$85:$B$164,"Boiler")/SUM(SUMIFS('Key inputs_Refineries'!L$85:L$164,'Key inputs_Refineries'!$C$85:$C$164,$C442:$C451,'Key inputs_Refineries'!$B$85:$B$164,"Boiler"))&lt;0.001),0.001,SUMIFS('Key inputs_Refineries'!L$85:L$164,'Key inputs_Refineries'!$C$85:$C$164,$C450,'Key inputs_Refineries'!$B$85:$B$164,"Boiler")/SUM(SUMIFS('Key inputs_Refineries'!L$85:L$164,'Key inputs_Refineries'!$C$85:$C$164,$C442:$C451,'Key inputs_Refineries'!$B$85:$B$164,"Boiler"))),0)</f>
        <v>0</v>
      </c>
      <c r="S450" s="173" cm="1">
        <f t="array" ref="S450">IFERROR(IF(AND(SUMIFS('Key inputs_Refineries'!M$85:M$164,'Key inputs_Refineries'!$C$85:$C$164,$C450,'Key inputs_Refineries'!$B$85:$B$164,"Boiler")/SUM(SUMIFS('Key inputs_Refineries'!M$85:M$164,'Key inputs_Refineries'!$C$85:$C$164,$C442:$C451,'Key inputs_Refineries'!$B$85:$B$164,"Boiler"))&gt;0,SUMIFS('Key inputs_Refineries'!M$85:M$164,'Key inputs_Refineries'!$C$85:$C$164,$C450,'Key inputs_Refineries'!$B$85:$B$164,"Boiler")/SUM(SUMIFS('Key inputs_Refineries'!M$85:M$164,'Key inputs_Refineries'!$C$85:$C$164,$C442:$C451,'Key inputs_Refineries'!$B$85:$B$164,"Boiler"))&lt;0.001),0.001,SUMIFS('Key inputs_Refineries'!M$85:M$164,'Key inputs_Refineries'!$C$85:$C$164,$C450,'Key inputs_Refineries'!$B$85:$B$164,"Boiler")/SUM(SUMIFS('Key inputs_Refineries'!M$85:M$164,'Key inputs_Refineries'!$C$85:$C$164,$C442:$C451,'Key inputs_Refineries'!$B$85:$B$164,"Boiler"))),0)</f>
        <v>0</v>
      </c>
      <c r="T450" s="173" cm="1">
        <f t="array" ref="T450">IFERROR(IF(AND(SUMIFS('Key inputs_Refineries'!N$85:N$164,'Key inputs_Refineries'!$C$85:$C$164,$C450,'Key inputs_Refineries'!$B$85:$B$164,"Boiler")/SUM(SUMIFS('Key inputs_Refineries'!N$85:N$164,'Key inputs_Refineries'!$C$85:$C$164,$C442:$C451,'Key inputs_Refineries'!$B$85:$B$164,"Boiler"))&gt;0,SUMIFS('Key inputs_Refineries'!N$85:N$164,'Key inputs_Refineries'!$C$85:$C$164,$C450,'Key inputs_Refineries'!$B$85:$B$164,"Boiler")/SUM(SUMIFS('Key inputs_Refineries'!N$85:N$164,'Key inputs_Refineries'!$C$85:$C$164,$C442:$C451,'Key inputs_Refineries'!$B$85:$B$164,"Boiler"))&lt;0.001),0.001,SUMIFS('Key inputs_Refineries'!N$85:N$164,'Key inputs_Refineries'!$C$85:$C$164,$C450,'Key inputs_Refineries'!$B$85:$B$164,"Boiler")/SUM(SUMIFS('Key inputs_Refineries'!N$85:N$164,'Key inputs_Refineries'!$C$85:$C$164,$C442:$C451,'Key inputs_Refineries'!$B$85:$B$164,"Boiler"))),0)</f>
        <v>0</v>
      </c>
      <c r="U450" s="173" cm="1">
        <f t="array" ref="U450">IFERROR(IF(AND(SUMIFS('Key inputs_Refineries'!O$85:O$164,'Key inputs_Refineries'!$C$85:$C$164,$C450,'Key inputs_Refineries'!$B$85:$B$164,"Boiler")/SUM(SUMIFS('Key inputs_Refineries'!O$85:O$164,'Key inputs_Refineries'!$C$85:$C$164,$C442:$C451,'Key inputs_Refineries'!$B$85:$B$164,"Boiler"))&gt;0,SUMIFS('Key inputs_Refineries'!O$85:O$164,'Key inputs_Refineries'!$C$85:$C$164,$C450,'Key inputs_Refineries'!$B$85:$B$164,"Boiler")/SUM(SUMIFS('Key inputs_Refineries'!O$85:O$164,'Key inputs_Refineries'!$C$85:$C$164,$C442:$C451,'Key inputs_Refineries'!$B$85:$B$164,"Boiler"))&lt;0.001),0.001,SUMIFS('Key inputs_Refineries'!O$85:O$164,'Key inputs_Refineries'!$C$85:$C$164,$C450,'Key inputs_Refineries'!$B$85:$B$164,"Boiler")/SUM(SUMIFS('Key inputs_Refineries'!O$85:O$164,'Key inputs_Refineries'!$C$85:$C$164,$C442:$C451,'Key inputs_Refineries'!$B$85:$B$164,"Boiler"))),0)</f>
        <v>0</v>
      </c>
      <c r="V450" s="173" cm="1">
        <f t="array" ref="V450">IFERROR(IF(AND(SUMIFS('Key inputs_Refineries'!P$85:P$164,'Key inputs_Refineries'!$C$85:$C$164,$C450,'Key inputs_Refineries'!$B$85:$B$164,"Boiler")/SUM(SUMIFS('Key inputs_Refineries'!P$85:P$164,'Key inputs_Refineries'!$C$85:$C$164,$C442:$C451,'Key inputs_Refineries'!$B$85:$B$164,"Boiler"))&gt;0,SUMIFS('Key inputs_Refineries'!P$85:P$164,'Key inputs_Refineries'!$C$85:$C$164,$C450,'Key inputs_Refineries'!$B$85:$B$164,"Boiler")/SUM(SUMIFS('Key inputs_Refineries'!P$85:P$164,'Key inputs_Refineries'!$C$85:$C$164,$C442:$C451,'Key inputs_Refineries'!$B$85:$B$164,"Boiler"))&lt;0.001),0.001,SUMIFS('Key inputs_Refineries'!P$85:P$164,'Key inputs_Refineries'!$C$85:$C$164,$C450,'Key inputs_Refineries'!$B$85:$B$164,"Boiler")/SUM(SUMIFS('Key inputs_Refineries'!P$85:P$164,'Key inputs_Refineries'!$C$85:$C$164,$C442:$C451,'Key inputs_Refineries'!$B$85:$B$164,"Boiler"))),0)</f>
        <v>0</v>
      </c>
      <c r="W450" s="173" cm="1">
        <f t="array" ref="W450">IFERROR(IF(AND(SUMIFS('Key inputs_Refineries'!Q$85:Q$164,'Key inputs_Refineries'!$C$85:$C$164,$C450,'Key inputs_Refineries'!$B$85:$B$164,"Boiler")/SUM(SUMIFS('Key inputs_Refineries'!Q$85:Q$164,'Key inputs_Refineries'!$C$85:$C$164,$C442:$C451,'Key inputs_Refineries'!$B$85:$B$164,"Boiler"))&gt;0,SUMIFS('Key inputs_Refineries'!Q$85:Q$164,'Key inputs_Refineries'!$C$85:$C$164,$C450,'Key inputs_Refineries'!$B$85:$B$164,"Boiler")/SUM(SUMIFS('Key inputs_Refineries'!Q$85:Q$164,'Key inputs_Refineries'!$C$85:$C$164,$C442:$C451,'Key inputs_Refineries'!$B$85:$B$164,"Boiler"))&lt;0.001),0.001,SUMIFS('Key inputs_Refineries'!Q$85:Q$164,'Key inputs_Refineries'!$C$85:$C$164,$C450,'Key inputs_Refineries'!$B$85:$B$164,"Boiler")/SUM(SUMIFS('Key inputs_Refineries'!Q$85:Q$164,'Key inputs_Refineries'!$C$85:$C$164,$C442:$C451,'Key inputs_Refineries'!$B$85:$B$164,"Boiler"))),0)</f>
        <v>0</v>
      </c>
      <c r="X450" s="173" cm="1">
        <f t="array" ref="X450">IFERROR(IF(AND(SUMIFS('Key inputs_Refineries'!R$85:R$164,'Key inputs_Refineries'!$C$85:$C$164,$C450,'Key inputs_Refineries'!$B$85:$B$164,"Boiler")/SUM(SUMIFS('Key inputs_Refineries'!R$85:R$164,'Key inputs_Refineries'!$C$85:$C$164,$C442:$C451,'Key inputs_Refineries'!$B$85:$B$164,"Boiler"))&gt;0,SUMIFS('Key inputs_Refineries'!R$85:R$164,'Key inputs_Refineries'!$C$85:$C$164,$C450,'Key inputs_Refineries'!$B$85:$B$164,"Boiler")/SUM(SUMIFS('Key inputs_Refineries'!R$85:R$164,'Key inputs_Refineries'!$C$85:$C$164,$C442:$C451,'Key inputs_Refineries'!$B$85:$B$164,"Boiler"))&lt;0.001),0.001,SUMIFS('Key inputs_Refineries'!R$85:R$164,'Key inputs_Refineries'!$C$85:$C$164,$C450,'Key inputs_Refineries'!$B$85:$B$164,"Boiler")/SUM(SUMIFS('Key inputs_Refineries'!R$85:R$164,'Key inputs_Refineries'!$C$85:$C$164,$C442:$C451,'Key inputs_Refineries'!$B$85:$B$164,"Boiler"))),0)</f>
        <v>0</v>
      </c>
      <c r="Y450" s="173" cm="1">
        <f t="array" ref="Y450">IFERROR(IF(AND(SUMIFS('Key inputs_Refineries'!S$85:S$164,'Key inputs_Refineries'!$C$85:$C$164,$C450,'Key inputs_Refineries'!$B$85:$B$164,"Boiler")/SUM(SUMIFS('Key inputs_Refineries'!S$85:S$164,'Key inputs_Refineries'!$C$85:$C$164,$C442:$C451,'Key inputs_Refineries'!$B$85:$B$164,"Boiler"))&gt;0,SUMIFS('Key inputs_Refineries'!S$85:S$164,'Key inputs_Refineries'!$C$85:$C$164,$C450,'Key inputs_Refineries'!$B$85:$B$164,"Boiler")/SUM(SUMIFS('Key inputs_Refineries'!S$85:S$164,'Key inputs_Refineries'!$C$85:$C$164,$C442:$C451,'Key inputs_Refineries'!$B$85:$B$164,"Boiler"))&lt;0.001),0.001,SUMIFS('Key inputs_Refineries'!S$85:S$164,'Key inputs_Refineries'!$C$85:$C$164,$C450,'Key inputs_Refineries'!$B$85:$B$164,"Boiler")/SUM(SUMIFS('Key inputs_Refineries'!S$85:S$164,'Key inputs_Refineries'!$C$85:$C$164,$C442:$C451,'Key inputs_Refineries'!$B$85:$B$164,"Boiler"))),0)</f>
        <v>0</v>
      </c>
      <c r="Z450" s="173" cm="1">
        <f t="array" ref="Z450">IFERROR(IF(AND(SUMIFS('Key inputs_Refineries'!T$85:T$164,'Key inputs_Refineries'!$C$85:$C$164,$C450,'Key inputs_Refineries'!$B$85:$B$164,"Boiler")/SUM(SUMIFS('Key inputs_Refineries'!T$85:T$164,'Key inputs_Refineries'!$C$85:$C$164,$C442:$C451,'Key inputs_Refineries'!$B$85:$B$164,"Boiler"))&gt;0,SUMIFS('Key inputs_Refineries'!T$85:T$164,'Key inputs_Refineries'!$C$85:$C$164,$C450,'Key inputs_Refineries'!$B$85:$B$164,"Boiler")/SUM(SUMIFS('Key inputs_Refineries'!T$85:T$164,'Key inputs_Refineries'!$C$85:$C$164,$C442:$C451,'Key inputs_Refineries'!$B$85:$B$164,"Boiler"))&lt;0.001),0.001,SUMIFS('Key inputs_Refineries'!T$85:T$164,'Key inputs_Refineries'!$C$85:$C$164,$C450,'Key inputs_Refineries'!$B$85:$B$164,"Boiler")/SUM(SUMIFS('Key inputs_Refineries'!T$85:T$164,'Key inputs_Refineries'!$C$85:$C$164,$C442:$C451,'Key inputs_Refineries'!$B$85:$B$164,"Boiler"))),0)</f>
        <v>0</v>
      </c>
      <c r="AA450" s="173" cm="1">
        <f t="array" ref="AA450">IFERROR(IF(AND(SUMIFS('Key inputs_Refineries'!U$85:U$164,'Key inputs_Refineries'!$C$85:$C$164,$C450,'Key inputs_Refineries'!$B$85:$B$164,"Boiler")/SUM(SUMIFS('Key inputs_Refineries'!U$85:U$164,'Key inputs_Refineries'!$C$85:$C$164,$C442:$C451,'Key inputs_Refineries'!$B$85:$B$164,"Boiler"))&gt;0,SUMIFS('Key inputs_Refineries'!U$85:U$164,'Key inputs_Refineries'!$C$85:$C$164,$C450,'Key inputs_Refineries'!$B$85:$B$164,"Boiler")/SUM(SUMIFS('Key inputs_Refineries'!U$85:U$164,'Key inputs_Refineries'!$C$85:$C$164,$C442:$C451,'Key inputs_Refineries'!$B$85:$B$164,"Boiler"))&lt;0.001),0.001,SUMIFS('Key inputs_Refineries'!U$85:U$164,'Key inputs_Refineries'!$C$85:$C$164,$C450,'Key inputs_Refineries'!$B$85:$B$164,"Boiler")/SUM(SUMIFS('Key inputs_Refineries'!U$85:U$164,'Key inputs_Refineries'!$C$85:$C$164,$C442:$C451,'Key inputs_Refineries'!$B$85:$B$164,"Boiler"))),0)</f>
        <v>0</v>
      </c>
      <c r="AB450" s="173" cm="1">
        <f t="array" ref="AB450">IFERROR(IF(AND(SUMIFS('Key inputs_Refineries'!V$85:V$164,'Key inputs_Refineries'!$C$85:$C$164,$C450,'Key inputs_Refineries'!$B$85:$B$164,"Boiler")/SUM(SUMIFS('Key inputs_Refineries'!V$85:V$164,'Key inputs_Refineries'!$C$85:$C$164,$C442:$C451,'Key inputs_Refineries'!$B$85:$B$164,"Boiler"))&gt;0,SUMIFS('Key inputs_Refineries'!V$85:V$164,'Key inputs_Refineries'!$C$85:$C$164,$C450,'Key inputs_Refineries'!$B$85:$B$164,"Boiler")/SUM(SUMIFS('Key inputs_Refineries'!V$85:V$164,'Key inputs_Refineries'!$C$85:$C$164,$C442:$C451,'Key inputs_Refineries'!$B$85:$B$164,"Boiler"))&lt;0.001),0.001,SUMIFS('Key inputs_Refineries'!V$85:V$164,'Key inputs_Refineries'!$C$85:$C$164,$C450,'Key inputs_Refineries'!$B$85:$B$164,"Boiler")/SUM(SUMIFS('Key inputs_Refineries'!V$85:V$164,'Key inputs_Refineries'!$C$85:$C$164,$C442:$C451,'Key inputs_Refineries'!$B$85:$B$164,"Boiler"))),0)</f>
        <v>0.37267710844695157</v>
      </c>
      <c r="AC450" s="173" cm="1">
        <f t="array" ref="AC450">IFERROR(IF(AND(SUMIFS('Key inputs_Refineries'!W$85:W$164,'Key inputs_Refineries'!$C$85:$C$164,$C450,'Key inputs_Refineries'!$B$85:$B$164,"Boiler")/SUM(SUMIFS('Key inputs_Refineries'!W$85:W$164,'Key inputs_Refineries'!$C$85:$C$164,$C442:$C451,'Key inputs_Refineries'!$B$85:$B$164,"Boiler"))&gt;0,SUMIFS('Key inputs_Refineries'!W$85:W$164,'Key inputs_Refineries'!$C$85:$C$164,$C450,'Key inputs_Refineries'!$B$85:$B$164,"Boiler")/SUM(SUMIFS('Key inputs_Refineries'!W$85:W$164,'Key inputs_Refineries'!$C$85:$C$164,$C442:$C451,'Key inputs_Refineries'!$B$85:$B$164,"Boiler"))&lt;0.001),0.001,SUMIFS('Key inputs_Refineries'!W$85:W$164,'Key inputs_Refineries'!$C$85:$C$164,$C450,'Key inputs_Refineries'!$B$85:$B$164,"Boiler")/SUM(SUMIFS('Key inputs_Refineries'!W$85:W$164,'Key inputs_Refineries'!$C$85:$C$164,$C442:$C451,'Key inputs_Refineries'!$B$85:$B$164,"Boiler"))),0)</f>
        <v>0</v>
      </c>
      <c r="AD450" s="173" cm="1">
        <f t="array" ref="AD450">IFERROR(IF(AND(SUMIFS('Key inputs_Refineries'!X$85:X$164,'Key inputs_Refineries'!$C$85:$C$164,$C450,'Key inputs_Refineries'!$B$85:$B$164,"Boiler")/SUM(SUMIFS('Key inputs_Refineries'!X$85:X$164,'Key inputs_Refineries'!$C$85:$C$164,$C442:$C451,'Key inputs_Refineries'!$B$85:$B$164,"Boiler"))&gt;0,SUMIFS('Key inputs_Refineries'!X$85:X$164,'Key inputs_Refineries'!$C$85:$C$164,$C450,'Key inputs_Refineries'!$B$85:$B$164,"Boiler")/SUM(SUMIFS('Key inputs_Refineries'!X$85:X$164,'Key inputs_Refineries'!$C$85:$C$164,$C442:$C451,'Key inputs_Refineries'!$B$85:$B$164,"Boiler"))&lt;0.001),0.001,SUMIFS('Key inputs_Refineries'!X$85:X$164,'Key inputs_Refineries'!$C$85:$C$164,$C450,'Key inputs_Refineries'!$B$85:$B$164,"Boiler")/SUM(SUMIFS('Key inputs_Refineries'!X$85:X$164,'Key inputs_Refineries'!$C$85:$C$164,$C442:$C451,'Key inputs_Refineries'!$B$85:$B$164,"Boiler"))),0)</f>
        <v>0</v>
      </c>
      <c r="AE450" s="173" cm="1">
        <f t="array" ref="AE450">IFERROR(IF(AND(SUMIFS('Key inputs_Refineries'!Y$85:Y$164,'Key inputs_Refineries'!$C$85:$C$164,$C450,'Key inputs_Refineries'!$B$85:$B$164,"Boiler")/SUM(SUMIFS('Key inputs_Refineries'!Y$85:Y$164,'Key inputs_Refineries'!$C$85:$C$164,$C442:$C451,'Key inputs_Refineries'!$B$85:$B$164,"Boiler"))&gt;0,SUMIFS('Key inputs_Refineries'!Y$85:Y$164,'Key inputs_Refineries'!$C$85:$C$164,$C450,'Key inputs_Refineries'!$B$85:$B$164,"Boiler")/SUM(SUMIFS('Key inputs_Refineries'!Y$85:Y$164,'Key inputs_Refineries'!$C$85:$C$164,$C442:$C451,'Key inputs_Refineries'!$B$85:$B$164,"Boiler"))&lt;0.001),0.001,SUMIFS('Key inputs_Refineries'!Y$85:Y$164,'Key inputs_Refineries'!$C$85:$C$164,$C450,'Key inputs_Refineries'!$B$85:$B$164,"Boiler")/SUM(SUMIFS('Key inputs_Refineries'!Y$85:Y$164,'Key inputs_Refineries'!$C$85:$C$164,$C442:$C451,'Key inputs_Refineries'!$B$85:$B$164,"Boiler"))),0)</f>
        <v>3.8240414082870593E-2</v>
      </c>
      <c r="AF450" s="173" cm="1">
        <f t="array" ref="AF450">IFERROR(IF(AND(SUMIFS('Key inputs_Refineries'!Z$85:Z$164,'Key inputs_Refineries'!$C$85:$C$164,$C450,'Key inputs_Refineries'!$B$85:$B$164,"Boiler")/SUM(SUMIFS('Key inputs_Refineries'!Z$85:Z$164,'Key inputs_Refineries'!$C$85:$C$164,$C442:$C451,'Key inputs_Refineries'!$B$85:$B$164,"Boiler"))&gt;0,SUMIFS('Key inputs_Refineries'!Z$85:Z$164,'Key inputs_Refineries'!$C$85:$C$164,$C450,'Key inputs_Refineries'!$B$85:$B$164,"Boiler")/SUM(SUMIFS('Key inputs_Refineries'!Z$85:Z$164,'Key inputs_Refineries'!$C$85:$C$164,$C442:$C451,'Key inputs_Refineries'!$B$85:$B$164,"Boiler"))&lt;0.001),0.001,SUMIFS('Key inputs_Refineries'!Z$85:Z$164,'Key inputs_Refineries'!$C$85:$C$164,$C450,'Key inputs_Refineries'!$B$85:$B$164,"Boiler")/SUM(SUMIFS('Key inputs_Refineries'!Z$85:Z$164,'Key inputs_Refineries'!$C$85:$C$164,$C442:$C451,'Key inputs_Refineries'!$B$85:$B$164,"Boiler"))),0)</f>
        <v>0</v>
      </c>
      <c r="AG450" s="173" cm="1">
        <f t="array" ref="AG450">IFERROR(IF(AND(SUMIFS('Key inputs_Refineries'!AA$85:AA$164,'Key inputs_Refineries'!$C$85:$C$164,$C450,'Key inputs_Refineries'!$B$85:$B$164,"Boiler")/SUM(SUMIFS('Key inputs_Refineries'!AA$85:AA$164,'Key inputs_Refineries'!$C$85:$C$164,$C442:$C451,'Key inputs_Refineries'!$B$85:$B$164,"Boiler"))&gt;0,SUMIFS('Key inputs_Refineries'!AA$85:AA$164,'Key inputs_Refineries'!$C$85:$C$164,$C450,'Key inputs_Refineries'!$B$85:$B$164,"Boiler")/SUM(SUMIFS('Key inputs_Refineries'!AA$85:AA$164,'Key inputs_Refineries'!$C$85:$C$164,$C442:$C451,'Key inputs_Refineries'!$B$85:$B$164,"Boiler"))&lt;0.001),0.001,SUMIFS('Key inputs_Refineries'!AA$85:AA$164,'Key inputs_Refineries'!$C$85:$C$164,$C450,'Key inputs_Refineries'!$B$85:$B$164,"Boiler")/SUM(SUMIFS('Key inputs_Refineries'!AA$85:AA$164,'Key inputs_Refineries'!$C$85:$C$164,$C442:$C451,'Key inputs_Refineries'!$B$85:$B$164,"Boiler"))),0)</f>
        <v>0</v>
      </c>
      <c r="AH450" s="173" cm="1">
        <f t="array" ref="AH450">IFERROR(IF(AND(SUMIFS('Key inputs_Refineries'!AB$85:AB$164,'Key inputs_Refineries'!$C$85:$C$164,$C450,'Key inputs_Refineries'!$B$85:$B$164,"Boiler")/SUM(SUMIFS('Key inputs_Refineries'!AB$85:AB$164,'Key inputs_Refineries'!$C$85:$C$164,$C442:$C451,'Key inputs_Refineries'!$B$85:$B$164,"Boiler"))&gt;0,SUMIFS('Key inputs_Refineries'!AB$85:AB$164,'Key inputs_Refineries'!$C$85:$C$164,$C450,'Key inputs_Refineries'!$B$85:$B$164,"Boiler")/SUM(SUMIFS('Key inputs_Refineries'!AB$85:AB$164,'Key inputs_Refineries'!$C$85:$C$164,$C442:$C451,'Key inputs_Refineries'!$B$85:$B$164,"Boiler"))&lt;0.001),0.001,SUMIFS('Key inputs_Refineries'!AB$85:AB$164,'Key inputs_Refineries'!$C$85:$C$164,$C450,'Key inputs_Refineries'!$B$85:$B$164,"Boiler")/SUM(SUMIFS('Key inputs_Refineries'!AB$85:AB$164,'Key inputs_Refineries'!$C$85:$C$164,$C442:$C451,'Key inputs_Refineries'!$B$85:$B$164,"Boiler"))),0)</f>
        <v>0</v>
      </c>
      <c r="AI450" s="173" cm="1">
        <f t="array" ref="AI450">IFERROR(IF(AND(SUMIFS('Key inputs_Refineries'!AC$85:AC$164,'Key inputs_Refineries'!$C$85:$C$164,$C450,'Key inputs_Refineries'!$B$85:$B$164,"Boiler")/SUM(SUMIFS('Key inputs_Refineries'!AC$85:AC$164,'Key inputs_Refineries'!$C$85:$C$164,$C442:$C451,'Key inputs_Refineries'!$B$85:$B$164,"Boiler"))&gt;0,SUMIFS('Key inputs_Refineries'!AC$85:AC$164,'Key inputs_Refineries'!$C$85:$C$164,$C450,'Key inputs_Refineries'!$B$85:$B$164,"Boiler")/SUM(SUMIFS('Key inputs_Refineries'!AC$85:AC$164,'Key inputs_Refineries'!$C$85:$C$164,$C442:$C451,'Key inputs_Refineries'!$B$85:$B$164,"Boiler"))&lt;0.001),0.001,SUMIFS('Key inputs_Refineries'!AC$85:AC$164,'Key inputs_Refineries'!$C$85:$C$164,$C450,'Key inputs_Refineries'!$B$85:$B$164,"Boiler")/SUM(SUMIFS('Key inputs_Refineries'!AC$85:AC$164,'Key inputs_Refineries'!$C$85:$C$164,$C442:$C451,'Key inputs_Refineries'!$B$85:$B$164,"Boiler"))),0)</f>
        <v>0</v>
      </c>
      <c r="AJ450" s="173" cm="1">
        <f t="array" ref="AJ450">IFERROR(IF(AND(SUMIFS('Key inputs_Refineries'!AD$85:AD$164,'Key inputs_Refineries'!$C$85:$C$164,$C450,'Key inputs_Refineries'!$B$85:$B$164,"Boiler")/SUM(SUMIFS('Key inputs_Refineries'!AD$85:AD$164,'Key inputs_Refineries'!$C$85:$C$164,$C442:$C451,'Key inputs_Refineries'!$B$85:$B$164,"Boiler"))&gt;0,SUMIFS('Key inputs_Refineries'!AD$85:AD$164,'Key inputs_Refineries'!$C$85:$C$164,$C450,'Key inputs_Refineries'!$B$85:$B$164,"Boiler")/SUM(SUMIFS('Key inputs_Refineries'!AD$85:AD$164,'Key inputs_Refineries'!$C$85:$C$164,$C442:$C451,'Key inputs_Refineries'!$B$85:$B$164,"Boiler"))&lt;0.001),0.001,SUMIFS('Key inputs_Refineries'!AD$85:AD$164,'Key inputs_Refineries'!$C$85:$C$164,$C450,'Key inputs_Refineries'!$B$85:$B$164,"Boiler")/SUM(SUMIFS('Key inputs_Refineries'!AD$85:AD$164,'Key inputs_Refineries'!$C$85:$C$164,$C442:$C451,'Key inputs_Refineries'!$B$85:$B$164,"Boiler"))),0)</f>
        <v>0</v>
      </c>
      <c r="AK450" s="173" cm="1">
        <f t="array" ref="AK450">IFERROR(IF(AND(SUMIFS('Key inputs_Refineries'!AE$85:AE$164,'Key inputs_Refineries'!$C$85:$C$164,$C450,'Key inputs_Refineries'!$B$85:$B$164,"Boiler")/SUM(SUMIFS('Key inputs_Refineries'!AE$85:AE$164,'Key inputs_Refineries'!$C$85:$C$164,$C442:$C451,'Key inputs_Refineries'!$B$85:$B$164,"Boiler"))&gt;0,SUMIFS('Key inputs_Refineries'!AE$85:AE$164,'Key inputs_Refineries'!$C$85:$C$164,$C450,'Key inputs_Refineries'!$B$85:$B$164,"Boiler")/SUM(SUMIFS('Key inputs_Refineries'!AE$85:AE$164,'Key inputs_Refineries'!$C$85:$C$164,$C442:$C451,'Key inputs_Refineries'!$B$85:$B$164,"Boiler"))&lt;0.001),0.001,SUMIFS('Key inputs_Refineries'!AE$85:AE$164,'Key inputs_Refineries'!$C$85:$C$164,$C450,'Key inputs_Refineries'!$B$85:$B$164,"Boiler")/SUM(SUMIFS('Key inputs_Refineries'!AE$85:AE$164,'Key inputs_Refineries'!$C$85:$C$164,$C442:$C451,'Key inputs_Refineries'!$B$85:$B$164,"Boiler"))),0)</f>
        <v>0</v>
      </c>
      <c r="AL450" s="173" cm="1">
        <f t="array" ref="AL450">IFERROR(IF(AND(SUMIFS('Key inputs_Refineries'!AF$85:AF$164,'Key inputs_Refineries'!$C$85:$C$164,$C450,'Key inputs_Refineries'!$B$85:$B$164,"Boiler")/SUM(SUMIFS('Key inputs_Refineries'!AF$85:AF$164,'Key inputs_Refineries'!$C$85:$C$164,$C442:$C451,'Key inputs_Refineries'!$B$85:$B$164,"Boiler"))&gt;0,SUMIFS('Key inputs_Refineries'!AF$85:AF$164,'Key inputs_Refineries'!$C$85:$C$164,$C450,'Key inputs_Refineries'!$B$85:$B$164,"Boiler")/SUM(SUMIFS('Key inputs_Refineries'!AF$85:AF$164,'Key inputs_Refineries'!$C$85:$C$164,$C442:$C451,'Key inputs_Refineries'!$B$85:$B$164,"Boiler"))&lt;0.001),0.001,SUMIFS('Key inputs_Refineries'!AF$85:AF$164,'Key inputs_Refineries'!$C$85:$C$164,$C450,'Key inputs_Refineries'!$B$85:$B$164,"Boiler")/SUM(SUMIFS('Key inputs_Refineries'!AF$85:AF$164,'Key inputs_Refineries'!$C$85:$C$164,$C442:$C451,'Key inputs_Refineries'!$B$85:$B$164,"Boiler"))),0)</f>
        <v>0</v>
      </c>
    </row>
    <row r="451" spans="1:38">
      <c r="C451" t="str">
        <f>Commodities!$C$100</f>
        <v>UPSOIL2</v>
      </c>
      <c r="G451" s="4" t="s">
        <v>702</v>
      </c>
      <c r="H451" t="s">
        <v>661</v>
      </c>
      <c r="I451">
        <v>2019</v>
      </c>
      <c r="J451" t="s">
        <v>650</v>
      </c>
      <c r="K451" s="173" cm="1">
        <f t="array" ref="K451">IFERROR(IF(AND(SUMIFS('Key inputs_Refineries'!E$85:E$164,'Key inputs_Refineries'!$C$85:$C$164,$C451,'Key inputs_Refineries'!$B$85:$B$164,"Boiler")/SUM(SUMIFS('Key inputs_Refineries'!E$85:E$164,'Key inputs_Refineries'!$C$85:$C$164,$C442:$C451,'Key inputs_Refineries'!$B$85:$B$164,"Boiler"))&gt;0,SUMIFS('Key inputs_Refineries'!E$85:E$164,'Key inputs_Refineries'!$C$85:$C$164,$C451,'Key inputs_Refineries'!$B$85:$B$164,"Boiler")/SUM(SUMIFS('Key inputs_Refineries'!E$85:E$164,'Key inputs_Refineries'!$C$85:$C$164,$C442:$C451,'Key inputs_Refineries'!$B$85:$B$164,"Boiler"))&lt;0.001),0.001,SUMIFS('Key inputs_Refineries'!E$85:E$164,'Key inputs_Refineries'!$C$85:$C$164,$C451,'Key inputs_Refineries'!$B$85:$B$164,"Boiler")/SUM(SUMIFS('Key inputs_Refineries'!E$85:E$164,'Key inputs_Refineries'!$C$85:$C$164,$C442:$C451,'Key inputs_Refineries'!$B$85:$B$164,"Boiler"))),1)</f>
        <v>1</v>
      </c>
      <c r="L451" s="173" cm="1">
        <f t="array" ref="L451">IFERROR(IF(AND(SUMIFS('Key inputs_Refineries'!F$85:F$164,'Key inputs_Refineries'!$C$85:$C$164,$C451,'Key inputs_Refineries'!$B$85:$B$164,"Boiler")/SUM(SUMIFS('Key inputs_Refineries'!F$85:F$164,'Key inputs_Refineries'!$C$85:$C$164,$C442:$C451,'Key inputs_Refineries'!$B$85:$B$164,"Boiler"))&gt;0,SUMIFS('Key inputs_Refineries'!F$85:F$164,'Key inputs_Refineries'!$C$85:$C$164,$C451,'Key inputs_Refineries'!$B$85:$B$164,"Boiler")/SUM(SUMIFS('Key inputs_Refineries'!F$85:F$164,'Key inputs_Refineries'!$C$85:$C$164,$C442:$C451,'Key inputs_Refineries'!$B$85:$B$164,"Boiler"))&lt;0.001),0.001,SUMIFS('Key inputs_Refineries'!F$85:F$164,'Key inputs_Refineries'!$C$85:$C$164,$C451,'Key inputs_Refineries'!$B$85:$B$164,"Boiler")/SUM(SUMIFS('Key inputs_Refineries'!F$85:F$164,'Key inputs_Refineries'!$C$85:$C$164,$C442:$C451,'Key inputs_Refineries'!$B$85:$B$164,"Boiler"))),1)</f>
        <v>0</v>
      </c>
      <c r="M451" s="173" cm="1">
        <f t="array" ref="M451">IFERROR(IF(AND(SUMIFS('Key inputs_Refineries'!G$85:G$164,'Key inputs_Refineries'!$C$85:$C$164,$C451,'Key inputs_Refineries'!$B$85:$B$164,"Boiler")/SUM(SUMIFS('Key inputs_Refineries'!G$85:G$164,'Key inputs_Refineries'!$C$85:$C$164,$C442:$C451,'Key inputs_Refineries'!$B$85:$B$164,"Boiler"))&gt;0,SUMIFS('Key inputs_Refineries'!G$85:G$164,'Key inputs_Refineries'!$C$85:$C$164,$C451,'Key inputs_Refineries'!$B$85:$B$164,"Boiler")/SUM(SUMIFS('Key inputs_Refineries'!G$85:G$164,'Key inputs_Refineries'!$C$85:$C$164,$C442:$C451,'Key inputs_Refineries'!$B$85:$B$164,"Boiler"))&lt;0.001),0.001,SUMIFS('Key inputs_Refineries'!G$85:G$164,'Key inputs_Refineries'!$C$85:$C$164,$C451,'Key inputs_Refineries'!$B$85:$B$164,"Boiler")/SUM(SUMIFS('Key inputs_Refineries'!G$85:G$164,'Key inputs_Refineries'!$C$85:$C$164,$C442:$C451,'Key inputs_Refineries'!$B$85:$B$164,"Boiler"))),1)</f>
        <v>0</v>
      </c>
      <c r="N451" s="173" cm="1">
        <f t="array" ref="N451">IFERROR(IF(AND(SUMIFS('Key inputs_Refineries'!H$85:H$164,'Key inputs_Refineries'!$C$85:$C$164,$C451,'Key inputs_Refineries'!$B$85:$B$164,"Boiler")/SUM(SUMIFS('Key inputs_Refineries'!H$85:H$164,'Key inputs_Refineries'!$C$85:$C$164,$C442:$C451,'Key inputs_Refineries'!$B$85:$B$164,"Boiler"))&gt;0,SUMIFS('Key inputs_Refineries'!H$85:H$164,'Key inputs_Refineries'!$C$85:$C$164,$C451,'Key inputs_Refineries'!$B$85:$B$164,"Boiler")/SUM(SUMIFS('Key inputs_Refineries'!H$85:H$164,'Key inputs_Refineries'!$C$85:$C$164,$C442:$C451,'Key inputs_Refineries'!$B$85:$B$164,"Boiler"))&lt;0.001),0.001,SUMIFS('Key inputs_Refineries'!H$85:H$164,'Key inputs_Refineries'!$C$85:$C$164,$C451,'Key inputs_Refineries'!$B$85:$B$164,"Boiler")/SUM(SUMIFS('Key inputs_Refineries'!H$85:H$164,'Key inputs_Refineries'!$C$85:$C$164,$C442:$C451,'Key inputs_Refineries'!$B$85:$B$164,"Boiler"))),1)</f>
        <v>1</v>
      </c>
      <c r="O451" s="173" cm="1">
        <f t="array" ref="O451">IFERROR(IF(AND(SUMIFS('Key inputs_Refineries'!I$85:I$164,'Key inputs_Refineries'!$C$85:$C$164,$C451,'Key inputs_Refineries'!$B$85:$B$164,"Boiler")/SUM(SUMIFS('Key inputs_Refineries'!I$85:I$164,'Key inputs_Refineries'!$C$85:$C$164,$C442:$C451,'Key inputs_Refineries'!$B$85:$B$164,"Boiler"))&gt;0,SUMIFS('Key inputs_Refineries'!I$85:I$164,'Key inputs_Refineries'!$C$85:$C$164,$C451,'Key inputs_Refineries'!$B$85:$B$164,"Boiler")/SUM(SUMIFS('Key inputs_Refineries'!I$85:I$164,'Key inputs_Refineries'!$C$85:$C$164,$C442:$C451,'Key inputs_Refineries'!$B$85:$B$164,"Boiler"))&lt;0.001),0.001,SUMIFS('Key inputs_Refineries'!I$85:I$164,'Key inputs_Refineries'!$C$85:$C$164,$C451,'Key inputs_Refineries'!$B$85:$B$164,"Boiler")/SUM(SUMIFS('Key inputs_Refineries'!I$85:I$164,'Key inputs_Refineries'!$C$85:$C$164,$C442:$C451,'Key inputs_Refineries'!$B$85:$B$164,"Boiler"))),1)</f>
        <v>0.90826580836038906</v>
      </c>
      <c r="P451" s="173" cm="1">
        <f t="array" ref="P451">IFERROR(IF(AND(SUMIFS('Key inputs_Refineries'!J$85:J$164,'Key inputs_Refineries'!$C$85:$C$164,$C451,'Key inputs_Refineries'!$B$85:$B$164,"Boiler")/SUM(SUMIFS('Key inputs_Refineries'!J$85:J$164,'Key inputs_Refineries'!$C$85:$C$164,$C442:$C451,'Key inputs_Refineries'!$B$85:$B$164,"Boiler"))&gt;0,SUMIFS('Key inputs_Refineries'!J$85:J$164,'Key inputs_Refineries'!$C$85:$C$164,$C451,'Key inputs_Refineries'!$B$85:$B$164,"Boiler")/SUM(SUMIFS('Key inputs_Refineries'!J$85:J$164,'Key inputs_Refineries'!$C$85:$C$164,$C442:$C451,'Key inputs_Refineries'!$B$85:$B$164,"Boiler"))&lt;0.001),0.001,SUMIFS('Key inputs_Refineries'!J$85:J$164,'Key inputs_Refineries'!$C$85:$C$164,$C451,'Key inputs_Refineries'!$B$85:$B$164,"Boiler")/SUM(SUMIFS('Key inputs_Refineries'!J$85:J$164,'Key inputs_Refineries'!$C$85:$C$164,$C442:$C451,'Key inputs_Refineries'!$B$85:$B$164,"Boiler"))),1)</f>
        <v>0.88036613124332841</v>
      </c>
      <c r="Q451" s="173" cm="1">
        <f t="array" ref="Q451">IFERROR(IF(AND(SUMIFS('Key inputs_Refineries'!K$85:K$164,'Key inputs_Refineries'!$C$85:$C$164,$C451,'Key inputs_Refineries'!$B$85:$B$164,"Boiler")/SUM(SUMIFS('Key inputs_Refineries'!K$85:K$164,'Key inputs_Refineries'!$C$85:$C$164,$C442:$C451,'Key inputs_Refineries'!$B$85:$B$164,"Boiler"))&gt;0,SUMIFS('Key inputs_Refineries'!K$85:K$164,'Key inputs_Refineries'!$C$85:$C$164,$C451,'Key inputs_Refineries'!$B$85:$B$164,"Boiler")/SUM(SUMIFS('Key inputs_Refineries'!K$85:K$164,'Key inputs_Refineries'!$C$85:$C$164,$C442:$C451,'Key inputs_Refineries'!$B$85:$B$164,"Boiler"))&lt;0.001),0.001,SUMIFS('Key inputs_Refineries'!K$85:K$164,'Key inputs_Refineries'!$C$85:$C$164,$C451,'Key inputs_Refineries'!$B$85:$B$164,"Boiler")/SUM(SUMIFS('Key inputs_Refineries'!K$85:K$164,'Key inputs_Refineries'!$C$85:$C$164,$C442:$C451,'Key inputs_Refineries'!$B$85:$B$164,"Boiler"))),1)</f>
        <v>5.2685627539402593E-3</v>
      </c>
      <c r="R451" s="173" cm="1">
        <f t="array" ref="R451">IFERROR(IF(AND(SUMIFS('Key inputs_Refineries'!L$85:L$164,'Key inputs_Refineries'!$C$85:$C$164,$C451,'Key inputs_Refineries'!$B$85:$B$164,"Boiler")/SUM(SUMIFS('Key inputs_Refineries'!L$85:L$164,'Key inputs_Refineries'!$C$85:$C$164,$C442:$C451,'Key inputs_Refineries'!$B$85:$B$164,"Boiler"))&gt;0,SUMIFS('Key inputs_Refineries'!L$85:L$164,'Key inputs_Refineries'!$C$85:$C$164,$C451,'Key inputs_Refineries'!$B$85:$B$164,"Boiler")/SUM(SUMIFS('Key inputs_Refineries'!L$85:L$164,'Key inputs_Refineries'!$C$85:$C$164,$C442:$C451,'Key inputs_Refineries'!$B$85:$B$164,"Boiler"))&lt;0.001),0.001,SUMIFS('Key inputs_Refineries'!L$85:L$164,'Key inputs_Refineries'!$C$85:$C$164,$C451,'Key inputs_Refineries'!$B$85:$B$164,"Boiler")/SUM(SUMIFS('Key inputs_Refineries'!L$85:L$164,'Key inputs_Refineries'!$C$85:$C$164,$C442:$C451,'Key inputs_Refineries'!$B$85:$B$164,"Boiler"))),1)</f>
        <v>0</v>
      </c>
      <c r="S451" s="173" cm="1">
        <f t="array" ref="S451">IFERROR(IF(AND(SUMIFS('Key inputs_Refineries'!M$85:M$164,'Key inputs_Refineries'!$C$85:$C$164,$C451,'Key inputs_Refineries'!$B$85:$B$164,"Boiler")/SUM(SUMIFS('Key inputs_Refineries'!M$85:M$164,'Key inputs_Refineries'!$C$85:$C$164,$C442:$C451,'Key inputs_Refineries'!$B$85:$B$164,"Boiler"))&gt;0,SUMIFS('Key inputs_Refineries'!M$85:M$164,'Key inputs_Refineries'!$C$85:$C$164,$C451,'Key inputs_Refineries'!$B$85:$B$164,"Boiler")/SUM(SUMIFS('Key inputs_Refineries'!M$85:M$164,'Key inputs_Refineries'!$C$85:$C$164,$C442:$C451,'Key inputs_Refineries'!$B$85:$B$164,"Boiler"))&lt;0.001),0.001,SUMIFS('Key inputs_Refineries'!M$85:M$164,'Key inputs_Refineries'!$C$85:$C$164,$C451,'Key inputs_Refineries'!$B$85:$B$164,"Boiler")/SUM(SUMIFS('Key inputs_Refineries'!M$85:M$164,'Key inputs_Refineries'!$C$85:$C$164,$C442:$C451,'Key inputs_Refineries'!$B$85:$B$164,"Boiler"))),1)</f>
        <v>0</v>
      </c>
      <c r="T451" s="173" cm="1">
        <f t="array" ref="T451">IFERROR(IF(AND(SUMIFS('Key inputs_Refineries'!N$85:N$164,'Key inputs_Refineries'!$C$85:$C$164,$C451,'Key inputs_Refineries'!$B$85:$B$164,"Boiler")/SUM(SUMIFS('Key inputs_Refineries'!N$85:N$164,'Key inputs_Refineries'!$C$85:$C$164,$C442:$C451,'Key inputs_Refineries'!$B$85:$B$164,"Boiler"))&gt;0,SUMIFS('Key inputs_Refineries'!N$85:N$164,'Key inputs_Refineries'!$C$85:$C$164,$C451,'Key inputs_Refineries'!$B$85:$B$164,"Boiler")/SUM(SUMIFS('Key inputs_Refineries'!N$85:N$164,'Key inputs_Refineries'!$C$85:$C$164,$C442:$C451,'Key inputs_Refineries'!$B$85:$B$164,"Boiler"))&lt;0.001),0.001,SUMIFS('Key inputs_Refineries'!N$85:N$164,'Key inputs_Refineries'!$C$85:$C$164,$C451,'Key inputs_Refineries'!$B$85:$B$164,"Boiler")/SUM(SUMIFS('Key inputs_Refineries'!N$85:N$164,'Key inputs_Refineries'!$C$85:$C$164,$C442:$C451,'Key inputs_Refineries'!$B$85:$B$164,"Boiler"))),1)</f>
        <v>0.91624021930485366</v>
      </c>
      <c r="U451" s="173" cm="1">
        <f t="array" ref="U451">IFERROR(IF(AND(SUMIFS('Key inputs_Refineries'!O$85:O$164,'Key inputs_Refineries'!$C$85:$C$164,$C451,'Key inputs_Refineries'!$B$85:$B$164,"Boiler")/SUM(SUMIFS('Key inputs_Refineries'!O$85:O$164,'Key inputs_Refineries'!$C$85:$C$164,$C442:$C451,'Key inputs_Refineries'!$B$85:$B$164,"Boiler"))&gt;0,SUMIFS('Key inputs_Refineries'!O$85:O$164,'Key inputs_Refineries'!$C$85:$C$164,$C451,'Key inputs_Refineries'!$B$85:$B$164,"Boiler")/SUM(SUMIFS('Key inputs_Refineries'!O$85:O$164,'Key inputs_Refineries'!$C$85:$C$164,$C442:$C451,'Key inputs_Refineries'!$B$85:$B$164,"Boiler"))&lt;0.001),0.001,SUMIFS('Key inputs_Refineries'!O$85:O$164,'Key inputs_Refineries'!$C$85:$C$164,$C451,'Key inputs_Refineries'!$B$85:$B$164,"Boiler")/SUM(SUMIFS('Key inputs_Refineries'!O$85:O$164,'Key inputs_Refineries'!$C$85:$C$164,$C442:$C451,'Key inputs_Refineries'!$B$85:$B$164,"Boiler"))),1)</f>
        <v>0</v>
      </c>
      <c r="V451" s="173" cm="1">
        <f t="array" ref="V451">IFERROR(IF(AND(SUMIFS('Key inputs_Refineries'!P$85:P$164,'Key inputs_Refineries'!$C$85:$C$164,$C451,'Key inputs_Refineries'!$B$85:$B$164,"Boiler")/SUM(SUMIFS('Key inputs_Refineries'!P$85:P$164,'Key inputs_Refineries'!$C$85:$C$164,$C442:$C451,'Key inputs_Refineries'!$B$85:$B$164,"Boiler"))&gt;0,SUMIFS('Key inputs_Refineries'!P$85:P$164,'Key inputs_Refineries'!$C$85:$C$164,$C451,'Key inputs_Refineries'!$B$85:$B$164,"Boiler")/SUM(SUMIFS('Key inputs_Refineries'!P$85:P$164,'Key inputs_Refineries'!$C$85:$C$164,$C442:$C451,'Key inputs_Refineries'!$B$85:$B$164,"Boiler"))&lt;0.001),0.001,SUMIFS('Key inputs_Refineries'!P$85:P$164,'Key inputs_Refineries'!$C$85:$C$164,$C451,'Key inputs_Refineries'!$B$85:$B$164,"Boiler")/SUM(SUMIFS('Key inputs_Refineries'!P$85:P$164,'Key inputs_Refineries'!$C$85:$C$164,$C442:$C451,'Key inputs_Refineries'!$B$85:$B$164,"Boiler"))),1)</f>
        <v>0.77545242046249629</v>
      </c>
      <c r="W451" s="173" cm="1">
        <f t="array" ref="W451">IFERROR(IF(AND(SUMIFS('Key inputs_Refineries'!Q$85:Q$164,'Key inputs_Refineries'!$C$85:$C$164,$C451,'Key inputs_Refineries'!$B$85:$B$164,"Boiler")/SUM(SUMIFS('Key inputs_Refineries'!Q$85:Q$164,'Key inputs_Refineries'!$C$85:$C$164,$C442:$C451,'Key inputs_Refineries'!$B$85:$B$164,"Boiler"))&gt;0,SUMIFS('Key inputs_Refineries'!Q$85:Q$164,'Key inputs_Refineries'!$C$85:$C$164,$C451,'Key inputs_Refineries'!$B$85:$B$164,"Boiler")/SUM(SUMIFS('Key inputs_Refineries'!Q$85:Q$164,'Key inputs_Refineries'!$C$85:$C$164,$C442:$C451,'Key inputs_Refineries'!$B$85:$B$164,"Boiler"))&lt;0.001),0.001,SUMIFS('Key inputs_Refineries'!Q$85:Q$164,'Key inputs_Refineries'!$C$85:$C$164,$C451,'Key inputs_Refineries'!$B$85:$B$164,"Boiler")/SUM(SUMIFS('Key inputs_Refineries'!Q$85:Q$164,'Key inputs_Refineries'!$C$85:$C$164,$C442:$C451,'Key inputs_Refineries'!$B$85:$B$164,"Boiler"))),1)</f>
        <v>5.8358521716818726E-2</v>
      </c>
      <c r="X451" s="173" cm="1">
        <f t="array" ref="X451">IFERROR(IF(AND(SUMIFS('Key inputs_Refineries'!R$85:R$164,'Key inputs_Refineries'!$C$85:$C$164,$C451,'Key inputs_Refineries'!$B$85:$B$164,"Boiler")/SUM(SUMIFS('Key inputs_Refineries'!R$85:R$164,'Key inputs_Refineries'!$C$85:$C$164,$C442:$C451,'Key inputs_Refineries'!$B$85:$B$164,"Boiler"))&gt;0,SUMIFS('Key inputs_Refineries'!R$85:R$164,'Key inputs_Refineries'!$C$85:$C$164,$C451,'Key inputs_Refineries'!$B$85:$B$164,"Boiler")/SUM(SUMIFS('Key inputs_Refineries'!R$85:R$164,'Key inputs_Refineries'!$C$85:$C$164,$C442:$C451,'Key inputs_Refineries'!$B$85:$B$164,"Boiler"))&lt;0.001),0.001,SUMIFS('Key inputs_Refineries'!R$85:R$164,'Key inputs_Refineries'!$C$85:$C$164,$C451,'Key inputs_Refineries'!$B$85:$B$164,"Boiler")/SUM(SUMIFS('Key inputs_Refineries'!R$85:R$164,'Key inputs_Refineries'!$C$85:$C$164,$C442:$C451,'Key inputs_Refineries'!$B$85:$B$164,"Boiler"))),1)</f>
        <v>0.80941235239176013</v>
      </c>
      <c r="Y451" s="173" cm="1">
        <f t="array" ref="Y451">IFERROR(IF(AND(SUMIFS('Key inputs_Refineries'!S$85:S$164,'Key inputs_Refineries'!$C$85:$C$164,$C451,'Key inputs_Refineries'!$B$85:$B$164,"Boiler")/SUM(SUMIFS('Key inputs_Refineries'!S$85:S$164,'Key inputs_Refineries'!$C$85:$C$164,$C442:$C451,'Key inputs_Refineries'!$B$85:$B$164,"Boiler"))&gt;0,SUMIFS('Key inputs_Refineries'!S$85:S$164,'Key inputs_Refineries'!$C$85:$C$164,$C451,'Key inputs_Refineries'!$B$85:$B$164,"Boiler")/SUM(SUMIFS('Key inputs_Refineries'!S$85:S$164,'Key inputs_Refineries'!$C$85:$C$164,$C442:$C451,'Key inputs_Refineries'!$B$85:$B$164,"Boiler"))&lt;0.001),0.001,SUMIFS('Key inputs_Refineries'!S$85:S$164,'Key inputs_Refineries'!$C$85:$C$164,$C451,'Key inputs_Refineries'!$B$85:$B$164,"Boiler")/SUM(SUMIFS('Key inputs_Refineries'!S$85:S$164,'Key inputs_Refineries'!$C$85:$C$164,$C442:$C451,'Key inputs_Refineries'!$B$85:$B$164,"Boiler"))),1)</f>
        <v>0.56012845130970601</v>
      </c>
      <c r="Z451" s="173" cm="1">
        <f t="array" ref="Z451">IFERROR(IF(AND(SUMIFS('Key inputs_Refineries'!T$85:T$164,'Key inputs_Refineries'!$C$85:$C$164,$C451,'Key inputs_Refineries'!$B$85:$B$164,"Boiler")/SUM(SUMIFS('Key inputs_Refineries'!T$85:T$164,'Key inputs_Refineries'!$C$85:$C$164,$C442:$C451,'Key inputs_Refineries'!$B$85:$B$164,"Boiler"))&gt;0,SUMIFS('Key inputs_Refineries'!T$85:T$164,'Key inputs_Refineries'!$C$85:$C$164,$C451,'Key inputs_Refineries'!$B$85:$B$164,"Boiler")/SUM(SUMIFS('Key inputs_Refineries'!T$85:T$164,'Key inputs_Refineries'!$C$85:$C$164,$C442:$C451,'Key inputs_Refineries'!$B$85:$B$164,"Boiler"))&lt;0.001),0.001,SUMIFS('Key inputs_Refineries'!T$85:T$164,'Key inputs_Refineries'!$C$85:$C$164,$C451,'Key inputs_Refineries'!$B$85:$B$164,"Boiler")/SUM(SUMIFS('Key inputs_Refineries'!T$85:T$164,'Key inputs_Refineries'!$C$85:$C$164,$C442:$C451,'Key inputs_Refineries'!$B$85:$B$164,"Boiler"))),1)</f>
        <v>0.65636065153933998</v>
      </c>
      <c r="AA451" s="173" cm="1">
        <f t="array" ref="AA451">IFERROR(IF(AND(SUMIFS('Key inputs_Refineries'!U$85:U$164,'Key inputs_Refineries'!$C$85:$C$164,$C451,'Key inputs_Refineries'!$B$85:$B$164,"Boiler")/SUM(SUMIFS('Key inputs_Refineries'!U$85:U$164,'Key inputs_Refineries'!$C$85:$C$164,$C442:$C451,'Key inputs_Refineries'!$B$85:$B$164,"Boiler"))&gt;0,SUMIFS('Key inputs_Refineries'!U$85:U$164,'Key inputs_Refineries'!$C$85:$C$164,$C451,'Key inputs_Refineries'!$B$85:$B$164,"Boiler")/SUM(SUMIFS('Key inputs_Refineries'!U$85:U$164,'Key inputs_Refineries'!$C$85:$C$164,$C442:$C451,'Key inputs_Refineries'!$B$85:$B$164,"Boiler"))&lt;0.001),0.001,SUMIFS('Key inputs_Refineries'!U$85:U$164,'Key inputs_Refineries'!$C$85:$C$164,$C451,'Key inputs_Refineries'!$B$85:$B$164,"Boiler")/SUM(SUMIFS('Key inputs_Refineries'!U$85:U$164,'Key inputs_Refineries'!$C$85:$C$164,$C442:$C451,'Key inputs_Refineries'!$B$85:$B$164,"Boiler"))),1)</f>
        <v>0.46733479677810208</v>
      </c>
      <c r="AB451" s="173" cm="1">
        <f t="array" ref="AB451">IFERROR(IF(AND(SUMIFS('Key inputs_Refineries'!V$85:V$164,'Key inputs_Refineries'!$C$85:$C$164,$C451,'Key inputs_Refineries'!$B$85:$B$164,"Boiler")/SUM(SUMIFS('Key inputs_Refineries'!V$85:V$164,'Key inputs_Refineries'!$C$85:$C$164,$C442:$C451,'Key inputs_Refineries'!$B$85:$B$164,"Boiler"))&gt;0,SUMIFS('Key inputs_Refineries'!V$85:V$164,'Key inputs_Refineries'!$C$85:$C$164,$C451,'Key inputs_Refineries'!$B$85:$B$164,"Boiler")/SUM(SUMIFS('Key inputs_Refineries'!V$85:V$164,'Key inputs_Refineries'!$C$85:$C$164,$C442:$C451,'Key inputs_Refineries'!$B$85:$B$164,"Boiler"))&lt;0.001),0.001,SUMIFS('Key inputs_Refineries'!V$85:V$164,'Key inputs_Refineries'!$C$85:$C$164,$C451,'Key inputs_Refineries'!$B$85:$B$164,"Boiler")/SUM(SUMIFS('Key inputs_Refineries'!V$85:V$164,'Key inputs_Refineries'!$C$85:$C$164,$C442:$C451,'Key inputs_Refineries'!$B$85:$B$164,"Boiler"))),1)</f>
        <v>0</v>
      </c>
      <c r="AC451" s="173" cm="1">
        <f t="array" ref="AC451">IFERROR(IF(AND(SUMIFS('Key inputs_Refineries'!W$85:W$164,'Key inputs_Refineries'!$C$85:$C$164,$C451,'Key inputs_Refineries'!$B$85:$B$164,"Boiler")/SUM(SUMIFS('Key inputs_Refineries'!W$85:W$164,'Key inputs_Refineries'!$C$85:$C$164,$C442:$C451,'Key inputs_Refineries'!$B$85:$B$164,"Boiler"))&gt;0,SUMIFS('Key inputs_Refineries'!W$85:W$164,'Key inputs_Refineries'!$C$85:$C$164,$C451,'Key inputs_Refineries'!$B$85:$B$164,"Boiler")/SUM(SUMIFS('Key inputs_Refineries'!W$85:W$164,'Key inputs_Refineries'!$C$85:$C$164,$C442:$C451,'Key inputs_Refineries'!$B$85:$B$164,"Boiler"))&lt;0.001),0.001,SUMIFS('Key inputs_Refineries'!W$85:W$164,'Key inputs_Refineries'!$C$85:$C$164,$C451,'Key inputs_Refineries'!$B$85:$B$164,"Boiler")/SUM(SUMIFS('Key inputs_Refineries'!W$85:W$164,'Key inputs_Refineries'!$C$85:$C$164,$C442:$C451,'Key inputs_Refineries'!$B$85:$B$164,"Boiler"))),1)</f>
        <v>1</v>
      </c>
      <c r="AD451" s="173" cm="1">
        <f t="array" ref="AD451">IFERROR(IF(AND(SUMIFS('Key inputs_Refineries'!X$85:X$164,'Key inputs_Refineries'!$C$85:$C$164,$C451,'Key inputs_Refineries'!$B$85:$B$164,"Boiler")/SUM(SUMIFS('Key inputs_Refineries'!X$85:X$164,'Key inputs_Refineries'!$C$85:$C$164,$C442:$C451,'Key inputs_Refineries'!$B$85:$B$164,"Boiler"))&gt;0,SUMIFS('Key inputs_Refineries'!X$85:X$164,'Key inputs_Refineries'!$C$85:$C$164,$C451,'Key inputs_Refineries'!$B$85:$B$164,"Boiler")/SUM(SUMIFS('Key inputs_Refineries'!X$85:X$164,'Key inputs_Refineries'!$C$85:$C$164,$C442:$C451,'Key inputs_Refineries'!$B$85:$B$164,"Boiler"))&lt;0.001),0.001,SUMIFS('Key inputs_Refineries'!X$85:X$164,'Key inputs_Refineries'!$C$85:$C$164,$C451,'Key inputs_Refineries'!$B$85:$B$164,"Boiler")/SUM(SUMIFS('Key inputs_Refineries'!X$85:X$164,'Key inputs_Refineries'!$C$85:$C$164,$C442:$C451,'Key inputs_Refineries'!$B$85:$B$164,"Boiler"))),1)</f>
        <v>0.43903269260140848</v>
      </c>
      <c r="AE451" s="173" cm="1">
        <f t="array" ref="AE451">IFERROR(IF(AND(SUMIFS('Key inputs_Refineries'!Y$85:Y$164,'Key inputs_Refineries'!$C$85:$C$164,$C451,'Key inputs_Refineries'!$B$85:$B$164,"Boiler")/SUM(SUMIFS('Key inputs_Refineries'!Y$85:Y$164,'Key inputs_Refineries'!$C$85:$C$164,$C442:$C451,'Key inputs_Refineries'!$B$85:$B$164,"Boiler"))&gt;0,SUMIFS('Key inputs_Refineries'!Y$85:Y$164,'Key inputs_Refineries'!$C$85:$C$164,$C451,'Key inputs_Refineries'!$B$85:$B$164,"Boiler")/SUM(SUMIFS('Key inputs_Refineries'!Y$85:Y$164,'Key inputs_Refineries'!$C$85:$C$164,$C442:$C451,'Key inputs_Refineries'!$B$85:$B$164,"Boiler"))&lt;0.001),0.001,SUMIFS('Key inputs_Refineries'!Y$85:Y$164,'Key inputs_Refineries'!$C$85:$C$164,$C451,'Key inputs_Refineries'!$B$85:$B$164,"Boiler")/SUM(SUMIFS('Key inputs_Refineries'!Y$85:Y$164,'Key inputs_Refineries'!$C$85:$C$164,$C442:$C451,'Key inputs_Refineries'!$B$85:$B$164,"Boiler"))),1)</f>
        <v>1.2468981492366695E-2</v>
      </c>
      <c r="AF451" s="173" cm="1">
        <f t="array" ref="AF451">IFERROR(IF(AND(SUMIFS('Key inputs_Refineries'!Z$85:Z$164,'Key inputs_Refineries'!$C$85:$C$164,$C451,'Key inputs_Refineries'!$B$85:$B$164,"Boiler")/SUM(SUMIFS('Key inputs_Refineries'!Z$85:Z$164,'Key inputs_Refineries'!$C$85:$C$164,$C442:$C451,'Key inputs_Refineries'!$B$85:$B$164,"Boiler"))&gt;0,SUMIFS('Key inputs_Refineries'!Z$85:Z$164,'Key inputs_Refineries'!$C$85:$C$164,$C451,'Key inputs_Refineries'!$B$85:$B$164,"Boiler")/SUM(SUMIFS('Key inputs_Refineries'!Z$85:Z$164,'Key inputs_Refineries'!$C$85:$C$164,$C442:$C451,'Key inputs_Refineries'!$B$85:$B$164,"Boiler"))&lt;0.001),0.001,SUMIFS('Key inputs_Refineries'!Z$85:Z$164,'Key inputs_Refineries'!$C$85:$C$164,$C451,'Key inputs_Refineries'!$B$85:$B$164,"Boiler")/SUM(SUMIFS('Key inputs_Refineries'!Z$85:Z$164,'Key inputs_Refineries'!$C$85:$C$164,$C442:$C451,'Key inputs_Refineries'!$B$85:$B$164,"Boiler"))),1)</f>
        <v>3.9834048690817444E-3</v>
      </c>
      <c r="AG451" s="173" cm="1">
        <f t="array" ref="AG451">IFERROR(IF(AND(SUMIFS('Key inputs_Refineries'!AA$85:AA$164,'Key inputs_Refineries'!$C$85:$C$164,$C451,'Key inputs_Refineries'!$B$85:$B$164,"Boiler")/SUM(SUMIFS('Key inputs_Refineries'!AA$85:AA$164,'Key inputs_Refineries'!$C$85:$C$164,$C442:$C451,'Key inputs_Refineries'!$B$85:$B$164,"Boiler"))&gt;0,SUMIFS('Key inputs_Refineries'!AA$85:AA$164,'Key inputs_Refineries'!$C$85:$C$164,$C451,'Key inputs_Refineries'!$B$85:$B$164,"Boiler")/SUM(SUMIFS('Key inputs_Refineries'!AA$85:AA$164,'Key inputs_Refineries'!$C$85:$C$164,$C442:$C451,'Key inputs_Refineries'!$B$85:$B$164,"Boiler"))&lt;0.001),0.001,SUMIFS('Key inputs_Refineries'!AA$85:AA$164,'Key inputs_Refineries'!$C$85:$C$164,$C451,'Key inputs_Refineries'!$B$85:$B$164,"Boiler")/SUM(SUMIFS('Key inputs_Refineries'!AA$85:AA$164,'Key inputs_Refineries'!$C$85:$C$164,$C442:$C451,'Key inputs_Refineries'!$B$85:$B$164,"Boiler"))),1)</f>
        <v>5.2506838942529173E-2</v>
      </c>
      <c r="AH451" s="173" cm="1">
        <f t="array" ref="AH451">IFERROR(IF(AND(SUMIFS('Key inputs_Refineries'!AB$85:AB$164,'Key inputs_Refineries'!$C$85:$C$164,$C451,'Key inputs_Refineries'!$B$85:$B$164,"Boiler")/SUM(SUMIFS('Key inputs_Refineries'!AB$85:AB$164,'Key inputs_Refineries'!$C$85:$C$164,$C442:$C451,'Key inputs_Refineries'!$B$85:$B$164,"Boiler"))&gt;0,SUMIFS('Key inputs_Refineries'!AB$85:AB$164,'Key inputs_Refineries'!$C$85:$C$164,$C451,'Key inputs_Refineries'!$B$85:$B$164,"Boiler")/SUM(SUMIFS('Key inputs_Refineries'!AB$85:AB$164,'Key inputs_Refineries'!$C$85:$C$164,$C442:$C451,'Key inputs_Refineries'!$B$85:$B$164,"Boiler"))&lt;0.001),0.001,SUMIFS('Key inputs_Refineries'!AB$85:AB$164,'Key inputs_Refineries'!$C$85:$C$164,$C451,'Key inputs_Refineries'!$B$85:$B$164,"Boiler")/SUM(SUMIFS('Key inputs_Refineries'!AB$85:AB$164,'Key inputs_Refineries'!$C$85:$C$164,$C442:$C451,'Key inputs_Refineries'!$B$85:$B$164,"Boiler"))),1)</f>
        <v>9.4974097372733504E-2</v>
      </c>
      <c r="AI451" s="173" cm="1">
        <f t="array" ref="AI451">IFERROR(IF(AND(SUMIFS('Key inputs_Refineries'!AC$85:AC$164,'Key inputs_Refineries'!$C$85:$C$164,$C451,'Key inputs_Refineries'!$B$85:$B$164,"Boiler")/SUM(SUMIFS('Key inputs_Refineries'!AC$85:AC$164,'Key inputs_Refineries'!$C$85:$C$164,$C442:$C451,'Key inputs_Refineries'!$B$85:$B$164,"Boiler"))&gt;0,SUMIFS('Key inputs_Refineries'!AC$85:AC$164,'Key inputs_Refineries'!$C$85:$C$164,$C451,'Key inputs_Refineries'!$B$85:$B$164,"Boiler")/SUM(SUMIFS('Key inputs_Refineries'!AC$85:AC$164,'Key inputs_Refineries'!$C$85:$C$164,$C442:$C451,'Key inputs_Refineries'!$B$85:$B$164,"Boiler"))&lt;0.001),0.001,SUMIFS('Key inputs_Refineries'!AC$85:AC$164,'Key inputs_Refineries'!$C$85:$C$164,$C451,'Key inputs_Refineries'!$B$85:$B$164,"Boiler")/SUM(SUMIFS('Key inputs_Refineries'!AC$85:AC$164,'Key inputs_Refineries'!$C$85:$C$164,$C442:$C451,'Key inputs_Refineries'!$B$85:$B$164,"Boiler"))),1)</f>
        <v>1.2394645513138323E-2</v>
      </c>
      <c r="AJ451" s="173" cm="1">
        <f t="array" ref="AJ451">IFERROR(IF(AND(SUMIFS('Key inputs_Refineries'!AD$85:AD$164,'Key inputs_Refineries'!$C$85:$C$164,$C451,'Key inputs_Refineries'!$B$85:$B$164,"Boiler")/SUM(SUMIFS('Key inputs_Refineries'!AD$85:AD$164,'Key inputs_Refineries'!$C$85:$C$164,$C442:$C451,'Key inputs_Refineries'!$B$85:$B$164,"Boiler"))&gt;0,SUMIFS('Key inputs_Refineries'!AD$85:AD$164,'Key inputs_Refineries'!$C$85:$C$164,$C451,'Key inputs_Refineries'!$B$85:$B$164,"Boiler")/SUM(SUMIFS('Key inputs_Refineries'!AD$85:AD$164,'Key inputs_Refineries'!$C$85:$C$164,$C442:$C451,'Key inputs_Refineries'!$B$85:$B$164,"Boiler"))&lt;0.001),0.001,SUMIFS('Key inputs_Refineries'!AD$85:AD$164,'Key inputs_Refineries'!$C$85:$C$164,$C451,'Key inputs_Refineries'!$B$85:$B$164,"Boiler")/SUM(SUMIFS('Key inputs_Refineries'!AD$85:AD$164,'Key inputs_Refineries'!$C$85:$C$164,$C442:$C451,'Key inputs_Refineries'!$B$85:$B$164,"Boiler"))),1)</f>
        <v>1</v>
      </c>
      <c r="AK451" s="173" cm="1">
        <f t="array" ref="AK451">IFERROR(IF(AND(SUMIFS('Key inputs_Refineries'!AE$85:AE$164,'Key inputs_Refineries'!$C$85:$C$164,$C451,'Key inputs_Refineries'!$B$85:$B$164,"Boiler")/SUM(SUMIFS('Key inputs_Refineries'!AE$85:AE$164,'Key inputs_Refineries'!$C$85:$C$164,$C442:$C451,'Key inputs_Refineries'!$B$85:$B$164,"Boiler"))&gt;0,SUMIFS('Key inputs_Refineries'!AE$85:AE$164,'Key inputs_Refineries'!$C$85:$C$164,$C451,'Key inputs_Refineries'!$B$85:$B$164,"Boiler")/SUM(SUMIFS('Key inputs_Refineries'!AE$85:AE$164,'Key inputs_Refineries'!$C$85:$C$164,$C442:$C451,'Key inputs_Refineries'!$B$85:$B$164,"Boiler"))&lt;0.001),0.001,SUMIFS('Key inputs_Refineries'!AE$85:AE$164,'Key inputs_Refineries'!$C$85:$C$164,$C451,'Key inputs_Refineries'!$B$85:$B$164,"Boiler")/SUM(SUMIFS('Key inputs_Refineries'!AE$85:AE$164,'Key inputs_Refineries'!$C$85:$C$164,$C442:$C451,'Key inputs_Refineries'!$B$85:$B$164,"Boiler"))),1)</f>
        <v>0.26396698362328047</v>
      </c>
      <c r="AL451" s="173" cm="1">
        <f t="array" ref="AL451">IFERROR(IF(AND(SUMIFS('Key inputs_Refineries'!AF$85:AF$164,'Key inputs_Refineries'!$C$85:$C$164,$C451,'Key inputs_Refineries'!$B$85:$B$164,"Boiler")/SUM(SUMIFS('Key inputs_Refineries'!AF$85:AF$164,'Key inputs_Refineries'!$C$85:$C$164,$C442:$C451,'Key inputs_Refineries'!$B$85:$B$164,"Boiler"))&gt;0,SUMIFS('Key inputs_Refineries'!AF$85:AF$164,'Key inputs_Refineries'!$C$85:$C$164,$C451,'Key inputs_Refineries'!$B$85:$B$164,"Boiler")/SUM(SUMIFS('Key inputs_Refineries'!AF$85:AF$164,'Key inputs_Refineries'!$C$85:$C$164,$C442:$C451,'Key inputs_Refineries'!$B$85:$B$164,"Boiler"))&lt;0.001),0.001,SUMIFS('Key inputs_Refineries'!AF$85:AF$164,'Key inputs_Refineries'!$C$85:$C$164,$C451,'Key inputs_Refineries'!$B$85:$B$164,"Boiler")/SUM(SUMIFS('Key inputs_Refineries'!AF$85:AF$164,'Key inputs_Refineries'!$C$85:$C$164,$C442:$C451,'Key inputs_Refineries'!$B$85:$B$164,"Boiler"))),1)</f>
        <v>0.94020675648239993</v>
      </c>
    </row>
    <row r="452" spans="1:38">
      <c r="C452" t="s">
        <v>515</v>
      </c>
      <c r="G452" s="4" t="s">
        <v>702</v>
      </c>
      <c r="H452" t="s">
        <v>661</v>
      </c>
      <c r="I452">
        <v>2025</v>
      </c>
      <c r="J452" t="s">
        <v>650</v>
      </c>
      <c r="K452" s="426">
        <f>K443</f>
        <v>0</v>
      </c>
      <c r="L452" s="426">
        <f t="shared" ref="L452:AL452" si="28">L443</f>
        <v>0</v>
      </c>
      <c r="M452" s="426">
        <f t="shared" si="28"/>
        <v>5.4967007249105165E-2</v>
      </c>
      <c r="N452" s="426">
        <f t="shared" si="28"/>
        <v>0</v>
      </c>
      <c r="O452" s="426">
        <f t="shared" si="28"/>
        <v>0</v>
      </c>
      <c r="P452" s="426">
        <f t="shared" si="28"/>
        <v>7.5112298847973434E-3</v>
      </c>
      <c r="Q452" s="426">
        <f t="shared" si="28"/>
        <v>1.3591105951689957E-2</v>
      </c>
      <c r="R452" s="426">
        <f t="shared" si="28"/>
        <v>0</v>
      </c>
      <c r="S452" s="426">
        <f t="shared" si="28"/>
        <v>3.5051732768259555E-2</v>
      </c>
      <c r="T452" s="426">
        <f t="shared" si="28"/>
        <v>8.6333554563383288E-3</v>
      </c>
      <c r="U452" s="426">
        <f t="shared" si="28"/>
        <v>0</v>
      </c>
      <c r="V452" s="426">
        <f t="shared" si="28"/>
        <v>5.6882967399520768E-3</v>
      </c>
      <c r="W452" s="426">
        <f t="shared" si="28"/>
        <v>0</v>
      </c>
      <c r="X452" s="426">
        <f t="shared" si="28"/>
        <v>0</v>
      </c>
      <c r="Y452" s="426">
        <f t="shared" si="28"/>
        <v>2.7787994220171155E-3</v>
      </c>
      <c r="Z452" s="426">
        <f t="shared" si="28"/>
        <v>7.5121681310049548E-3</v>
      </c>
      <c r="AA452" s="426">
        <f t="shared" si="28"/>
        <v>1.3171639290390735E-2</v>
      </c>
      <c r="AB452" s="426">
        <f t="shared" si="28"/>
        <v>0.62732289155304854</v>
      </c>
      <c r="AC452" s="426">
        <f t="shared" si="28"/>
        <v>0</v>
      </c>
      <c r="AD452" s="426">
        <f t="shared" si="28"/>
        <v>9.5552781608146987E-3</v>
      </c>
      <c r="AE452" s="426">
        <f t="shared" si="28"/>
        <v>1.5014083212701699E-2</v>
      </c>
      <c r="AF452" s="426">
        <f t="shared" si="28"/>
        <v>3.8902919404541575E-2</v>
      </c>
      <c r="AG452" s="426">
        <f t="shared" si="28"/>
        <v>3.0454378123189886E-2</v>
      </c>
      <c r="AH452" s="426">
        <f t="shared" si="28"/>
        <v>0</v>
      </c>
      <c r="AI452" s="426">
        <f t="shared" si="28"/>
        <v>0.10262766484878531</v>
      </c>
      <c r="AJ452" s="426">
        <f t="shared" si="28"/>
        <v>0</v>
      </c>
      <c r="AK452" s="426">
        <f t="shared" si="28"/>
        <v>1E-3</v>
      </c>
      <c r="AL452" s="426">
        <f t="shared" si="28"/>
        <v>1.1727367954192493E-2</v>
      </c>
    </row>
    <row r="453" spans="1:38">
      <c r="C453" t="s">
        <v>517</v>
      </c>
      <c r="G453" s="4" t="s">
        <v>702</v>
      </c>
      <c r="H453" t="s">
        <v>661</v>
      </c>
      <c r="I453">
        <v>2025</v>
      </c>
      <c r="J453" t="s">
        <v>650</v>
      </c>
      <c r="K453" s="426">
        <f>K445</f>
        <v>0</v>
      </c>
      <c r="L453" s="426">
        <f t="shared" ref="L453:AL453" si="29">L445</f>
        <v>0</v>
      </c>
      <c r="M453" s="426">
        <f t="shared" si="29"/>
        <v>0</v>
      </c>
      <c r="N453" s="426">
        <f t="shared" si="29"/>
        <v>0</v>
      </c>
      <c r="O453" s="426">
        <f t="shared" si="29"/>
        <v>0</v>
      </c>
      <c r="P453" s="426">
        <f t="shared" si="29"/>
        <v>0</v>
      </c>
      <c r="Q453" s="426">
        <f t="shared" si="29"/>
        <v>0</v>
      </c>
      <c r="R453" s="426">
        <f t="shared" si="29"/>
        <v>0</v>
      </c>
      <c r="S453" s="426">
        <f t="shared" si="29"/>
        <v>0</v>
      </c>
      <c r="T453" s="426">
        <f t="shared" si="29"/>
        <v>2.7912331012078389E-2</v>
      </c>
      <c r="U453" s="426">
        <f t="shared" si="29"/>
        <v>0</v>
      </c>
      <c r="V453" s="426">
        <f t="shared" si="29"/>
        <v>1E-3</v>
      </c>
      <c r="W453" s="426">
        <f t="shared" si="29"/>
        <v>0</v>
      </c>
      <c r="X453" s="426">
        <f t="shared" si="29"/>
        <v>0</v>
      </c>
      <c r="Y453" s="426">
        <f t="shared" si="29"/>
        <v>0</v>
      </c>
      <c r="Z453" s="426">
        <f t="shared" si="29"/>
        <v>0</v>
      </c>
      <c r="AA453" s="426">
        <f t="shared" si="29"/>
        <v>0</v>
      </c>
      <c r="AB453" s="426">
        <f t="shared" si="29"/>
        <v>0</v>
      </c>
      <c r="AC453" s="426">
        <f t="shared" si="29"/>
        <v>0</v>
      </c>
      <c r="AD453" s="426">
        <f t="shared" si="29"/>
        <v>1E-3</v>
      </c>
      <c r="AE453" s="426">
        <f t="shared" si="29"/>
        <v>2.0134433337153691E-2</v>
      </c>
      <c r="AF453" s="426">
        <f t="shared" si="29"/>
        <v>0</v>
      </c>
      <c r="AG453" s="426">
        <f t="shared" si="29"/>
        <v>0</v>
      </c>
      <c r="AH453" s="426">
        <f t="shared" si="29"/>
        <v>0</v>
      </c>
      <c r="AI453" s="426">
        <f t="shared" si="29"/>
        <v>0</v>
      </c>
      <c r="AJ453" s="426">
        <f t="shared" si="29"/>
        <v>0</v>
      </c>
      <c r="AK453" s="426">
        <f t="shared" si="29"/>
        <v>0</v>
      </c>
      <c r="AL453" s="426">
        <f t="shared" si="29"/>
        <v>2.4176673865044865E-3</v>
      </c>
    </row>
    <row r="454" spans="1:38">
      <c r="C454" t="s">
        <v>515</v>
      </c>
      <c r="G454" s="4" t="s">
        <v>702</v>
      </c>
      <c r="H454" t="s">
        <v>661</v>
      </c>
      <c r="I454">
        <v>2050</v>
      </c>
      <c r="J454" t="s">
        <v>650</v>
      </c>
      <c r="K454" s="426">
        <f>K452</f>
        <v>0</v>
      </c>
      <c r="L454" s="426">
        <f t="shared" ref="L454:AL454" si="30">L452</f>
        <v>0</v>
      </c>
      <c r="M454" s="426">
        <f t="shared" si="30"/>
        <v>5.4967007249105165E-2</v>
      </c>
      <c r="N454" s="426">
        <f t="shared" si="30"/>
        <v>0</v>
      </c>
      <c r="O454" s="426">
        <f t="shared" si="30"/>
        <v>0</v>
      </c>
      <c r="P454" s="426">
        <f t="shared" si="30"/>
        <v>7.5112298847973434E-3</v>
      </c>
      <c r="Q454" s="426">
        <f t="shared" si="30"/>
        <v>1.3591105951689957E-2</v>
      </c>
      <c r="R454" s="426">
        <f t="shared" si="30"/>
        <v>0</v>
      </c>
      <c r="S454" s="426">
        <f t="shared" si="30"/>
        <v>3.5051732768259555E-2</v>
      </c>
      <c r="T454" s="426">
        <f t="shared" si="30"/>
        <v>8.6333554563383288E-3</v>
      </c>
      <c r="U454" s="426">
        <f t="shared" si="30"/>
        <v>0</v>
      </c>
      <c r="V454" s="426">
        <f t="shared" si="30"/>
        <v>5.6882967399520768E-3</v>
      </c>
      <c r="W454" s="426">
        <f t="shared" si="30"/>
        <v>0</v>
      </c>
      <c r="X454" s="426">
        <f t="shared" si="30"/>
        <v>0</v>
      </c>
      <c r="Y454" s="426">
        <f t="shared" si="30"/>
        <v>2.7787994220171155E-3</v>
      </c>
      <c r="Z454" s="426">
        <f t="shared" si="30"/>
        <v>7.5121681310049548E-3</v>
      </c>
      <c r="AA454" s="426">
        <f t="shared" si="30"/>
        <v>1.3171639290390735E-2</v>
      </c>
      <c r="AB454" s="426">
        <f t="shared" si="30"/>
        <v>0.62732289155304854</v>
      </c>
      <c r="AC454" s="426">
        <f t="shared" si="30"/>
        <v>0</v>
      </c>
      <c r="AD454" s="426">
        <f t="shared" si="30"/>
        <v>9.5552781608146987E-3</v>
      </c>
      <c r="AE454" s="426">
        <f t="shared" si="30"/>
        <v>1.5014083212701699E-2</v>
      </c>
      <c r="AF454" s="426">
        <f t="shared" si="30"/>
        <v>3.8902919404541575E-2</v>
      </c>
      <c r="AG454" s="426">
        <f t="shared" si="30"/>
        <v>3.0454378123189886E-2</v>
      </c>
      <c r="AH454" s="426">
        <f t="shared" si="30"/>
        <v>0</v>
      </c>
      <c r="AI454" s="426">
        <f t="shared" si="30"/>
        <v>0.10262766484878531</v>
      </c>
      <c r="AJ454" s="426">
        <f t="shared" si="30"/>
        <v>0</v>
      </c>
      <c r="AK454" s="426">
        <f t="shared" si="30"/>
        <v>1E-3</v>
      </c>
      <c r="AL454" s="426">
        <f t="shared" si="30"/>
        <v>1.1727367954192493E-2</v>
      </c>
    </row>
    <row r="455" spans="1:38">
      <c r="C455" t="s">
        <v>517</v>
      </c>
      <c r="G455" s="4" t="s">
        <v>702</v>
      </c>
      <c r="H455" t="s">
        <v>661</v>
      </c>
      <c r="I455">
        <v>2050</v>
      </c>
      <c r="J455" t="s">
        <v>650</v>
      </c>
      <c r="K455" s="426">
        <f>K453</f>
        <v>0</v>
      </c>
      <c r="L455" s="426">
        <f t="shared" ref="L455:AL455" si="31">L453</f>
        <v>0</v>
      </c>
      <c r="M455" s="426">
        <f t="shared" si="31"/>
        <v>0</v>
      </c>
      <c r="N455" s="426">
        <f t="shared" si="31"/>
        <v>0</v>
      </c>
      <c r="O455" s="426">
        <f t="shared" si="31"/>
        <v>0</v>
      </c>
      <c r="P455" s="426">
        <f t="shared" si="31"/>
        <v>0</v>
      </c>
      <c r="Q455" s="426">
        <f t="shared" si="31"/>
        <v>0</v>
      </c>
      <c r="R455" s="426">
        <f t="shared" si="31"/>
        <v>0</v>
      </c>
      <c r="S455" s="426">
        <f t="shared" si="31"/>
        <v>0</v>
      </c>
      <c r="T455" s="426">
        <f t="shared" si="31"/>
        <v>2.7912331012078389E-2</v>
      </c>
      <c r="U455" s="426">
        <f t="shared" si="31"/>
        <v>0</v>
      </c>
      <c r="V455" s="426">
        <f t="shared" si="31"/>
        <v>1E-3</v>
      </c>
      <c r="W455" s="426">
        <f t="shared" si="31"/>
        <v>0</v>
      </c>
      <c r="X455" s="426">
        <f t="shared" si="31"/>
        <v>0</v>
      </c>
      <c r="Y455" s="426">
        <f t="shared" si="31"/>
        <v>0</v>
      </c>
      <c r="Z455" s="426">
        <f t="shared" si="31"/>
        <v>0</v>
      </c>
      <c r="AA455" s="426">
        <f t="shared" si="31"/>
        <v>0</v>
      </c>
      <c r="AB455" s="426">
        <f t="shared" si="31"/>
        <v>0</v>
      </c>
      <c r="AC455" s="426">
        <f t="shared" si="31"/>
        <v>0</v>
      </c>
      <c r="AD455" s="426">
        <f t="shared" si="31"/>
        <v>1E-3</v>
      </c>
      <c r="AE455" s="426">
        <f t="shared" si="31"/>
        <v>2.0134433337153691E-2</v>
      </c>
      <c r="AF455" s="426">
        <f t="shared" si="31"/>
        <v>0</v>
      </c>
      <c r="AG455" s="426">
        <f t="shared" si="31"/>
        <v>0</v>
      </c>
      <c r="AH455" s="426">
        <f t="shared" si="31"/>
        <v>0</v>
      </c>
      <c r="AI455" s="426">
        <f t="shared" si="31"/>
        <v>0</v>
      </c>
      <c r="AJ455" s="426">
        <f t="shared" si="31"/>
        <v>0</v>
      </c>
      <c r="AK455" s="426">
        <f t="shared" si="31"/>
        <v>0</v>
      </c>
      <c r="AL455" s="426">
        <f t="shared" si="31"/>
        <v>2.4176673865044865E-3</v>
      </c>
    </row>
    <row r="456" spans="1:38">
      <c r="D456" t="str">
        <f>Commodities!$C$104</f>
        <v>UREFBOI</v>
      </c>
    </row>
    <row r="457" spans="1:38">
      <c r="A457" s="4" t="str">
        <f>AO414</f>
        <v>U-TRF-OILREFBOI_BIO01</v>
      </c>
      <c r="B457" s="4" t="str">
        <f>AP414</f>
        <v>UPS Transformation: Oil refinery boilers Biomass - New</v>
      </c>
      <c r="C457" s="4"/>
      <c r="D457" s="4"/>
      <c r="E457" s="4"/>
      <c r="F457" s="4"/>
      <c r="G457" s="4" t="s">
        <v>695</v>
      </c>
      <c r="H457" s="4"/>
      <c r="I457" s="4"/>
      <c r="J457" s="4" t="s">
        <v>2665</v>
      </c>
      <c r="K457" s="333">
        <v>1</v>
      </c>
      <c r="L457" s="333">
        <v>1</v>
      </c>
      <c r="M457" s="333">
        <v>1</v>
      </c>
      <c r="N457" s="333">
        <v>1</v>
      </c>
      <c r="O457" s="333">
        <v>1</v>
      </c>
      <c r="P457" s="333">
        <v>1</v>
      </c>
      <c r="Q457" s="333">
        <v>1</v>
      </c>
      <c r="R457" s="333">
        <v>1</v>
      </c>
      <c r="S457" s="333">
        <v>1</v>
      </c>
      <c r="T457" s="333">
        <v>1</v>
      </c>
      <c r="U457" s="333">
        <v>1</v>
      </c>
      <c r="V457" s="333">
        <v>1</v>
      </c>
      <c r="W457" s="333">
        <v>1</v>
      </c>
      <c r="X457" s="333">
        <v>1</v>
      </c>
      <c r="Y457" s="333">
        <v>1</v>
      </c>
      <c r="Z457" s="333">
        <v>1</v>
      </c>
      <c r="AA457" s="333">
        <v>1</v>
      </c>
      <c r="AB457" s="333">
        <v>1</v>
      </c>
      <c r="AC457" s="333">
        <v>1</v>
      </c>
      <c r="AD457" s="333">
        <v>1</v>
      </c>
      <c r="AE457" s="333">
        <v>1</v>
      </c>
      <c r="AF457" s="333">
        <v>1</v>
      </c>
      <c r="AG457" s="333">
        <v>1</v>
      </c>
      <c r="AH457" s="333">
        <v>1</v>
      </c>
      <c r="AI457" s="333">
        <v>1</v>
      </c>
      <c r="AJ457" s="333">
        <v>1</v>
      </c>
      <c r="AK457" s="333">
        <v>1</v>
      </c>
      <c r="AL457" s="333">
        <v>1</v>
      </c>
    </row>
    <row r="458" spans="1:38">
      <c r="A458" s="4"/>
      <c r="B458" s="4"/>
      <c r="C458" s="4"/>
      <c r="D458" s="4"/>
      <c r="E458" s="4"/>
      <c r="F458" s="4"/>
      <c r="G458" s="4" t="s">
        <v>697</v>
      </c>
      <c r="H458" s="4"/>
      <c r="I458" s="4"/>
      <c r="J458" s="4" t="s">
        <v>698</v>
      </c>
      <c r="K458" s="424">
        <f>'Key inputs_Refineries'!$F$174</f>
        <v>15</v>
      </c>
      <c r="L458" s="424">
        <f>'Key inputs_Refineries'!$F$174</f>
        <v>15</v>
      </c>
      <c r="M458" s="424">
        <f>'Key inputs_Refineries'!$F$174</f>
        <v>15</v>
      </c>
      <c r="N458" s="424">
        <f>'Key inputs_Refineries'!$F$174</f>
        <v>15</v>
      </c>
      <c r="O458" s="424">
        <f>'Key inputs_Refineries'!$F$174</f>
        <v>15</v>
      </c>
      <c r="P458" s="424">
        <f>'Key inputs_Refineries'!$F$174</f>
        <v>15</v>
      </c>
      <c r="Q458" s="424">
        <f>'Key inputs_Refineries'!$F$174</f>
        <v>15</v>
      </c>
      <c r="R458" s="424">
        <f>'Key inputs_Refineries'!$F$174</f>
        <v>15</v>
      </c>
      <c r="S458" s="424">
        <f>'Key inputs_Refineries'!$F$174</f>
        <v>15</v>
      </c>
      <c r="T458" s="424">
        <f>'Key inputs_Refineries'!$F$174</f>
        <v>15</v>
      </c>
      <c r="U458" s="424">
        <f>'Key inputs_Refineries'!$F$174</f>
        <v>15</v>
      </c>
      <c r="V458" s="424">
        <f>'Key inputs_Refineries'!$F$174</f>
        <v>15</v>
      </c>
      <c r="W458" s="424">
        <f>'Key inputs_Refineries'!$F$174</f>
        <v>15</v>
      </c>
      <c r="X458" s="424">
        <f>'Key inputs_Refineries'!$F$174</f>
        <v>15</v>
      </c>
      <c r="Y458" s="424">
        <f>'Key inputs_Refineries'!$F$174</f>
        <v>15</v>
      </c>
      <c r="Z458" s="424">
        <f>'Key inputs_Refineries'!$F$174</f>
        <v>15</v>
      </c>
      <c r="AA458" s="424">
        <f>'Key inputs_Refineries'!$F$174</f>
        <v>15</v>
      </c>
      <c r="AB458" s="424">
        <f>'Key inputs_Refineries'!$F$174</f>
        <v>15</v>
      </c>
      <c r="AC458" s="424">
        <f>'Key inputs_Refineries'!$F$174</f>
        <v>15</v>
      </c>
      <c r="AD458" s="424">
        <f>'Key inputs_Refineries'!$F$174</f>
        <v>15</v>
      </c>
      <c r="AE458" s="424">
        <f>'Key inputs_Refineries'!$F$174</f>
        <v>15</v>
      </c>
      <c r="AF458" s="424">
        <f>'Key inputs_Refineries'!$F$174</f>
        <v>15</v>
      </c>
      <c r="AG458" s="424">
        <f>'Key inputs_Refineries'!$F$174</f>
        <v>15</v>
      </c>
      <c r="AH458" s="424">
        <f>'Key inputs_Refineries'!$F$174</f>
        <v>15</v>
      </c>
      <c r="AI458" s="424">
        <f>'Key inputs_Refineries'!$F$174</f>
        <v>15</v>
      </c>
      <c r="AJ458" s="424">
        <f>'Key inputs_Refineries'!$F$174</f>
        <v>15</v>
      </c>
      <c r="AK458" s="424">
        <f>'Key inputs_Refineries'!$F$174</f>
        <v>15</v>
      </c>
      <c r="AL458" s="424">
        <f>'Key inputs_Refineries'!$F$174</f>
        <v>15</v>
      </c>
    </row>
    <row r="459" spans="1:38">
      <c r="A459" s="4"/>
      <c r="B459" s="4"/>
      <c r="C459" s="4"/>
      <c r="D459" s="4"/>
      <c r="E459" s="4"/>
      <c r="F459" s="4"/>
      <c r="G459" s="4" t="s">
        <v>707</v>
      </c>
      <c r="H459" s="4"/>
      <c r="I459" s="4"/>
      <c r="J459" s="4" t="s">
        <v>2669</v>
      </c>
      <c r="K459" s="347">
        <v>2020</v>
      </c>
      <c r="L459" s="347">
        <v>2020</v>
      </c>
      <c r="M459" s="347">
        <v>2020</v>
      </c>
      <c r="N459" s="347">
        <v>2020</v>
      </c>
      <c r="O459" s="347">
        <v>2020</v>
      </c>
      <c r="P459" s="347">
        <v>2020</v>
      </c>
      <c r="Q459" s="347">
        <v>2020</v>
      </c>
      <c r="R459" s="347">
        <v>2020</v>
      </c>
      <c r="S459" s="347">
        <v>2020</v>
      </c>
      <c r="T459" s="347">
        <v>2020</v>
      </c>
      <c r="U459" s="347">
        <v>2020</v>
      </c>
      <c r="V459" s="347">
        <v>2020</v>
      </c>
      <c r="W459" s="347">
        <v>2020</v>
      </c>
      <c r="X459" s="347">
        <v>2020</v>
      </c>
      <c r="Y459" s="347">
        <v>2020</v>
      </c>
      <c r="Z459" s="347">
        <v>2020</v>
      </c>
      <c r="AA459" s="347">
        <v>2020</v>
      </c>
      <c r="AB459" s="347">
        <v>2020</v>
      </c>
      <c r="AC459" s="347">
        <v>2020</v>
      </c>
      <c r="AD459" s="347">
        <v>2020</v>
      </c>
      <c r="AE459" s="347">
        <v>2020</v>
      </c>
      <c r="AF459" s="347">
        <v>2020</v>
      </c>
      <c r="AG459" s="347">
        <v>2020</v>
      </c>
      <c r="AH459" s="347">
        <v>2020</v>
      </c>
      <c r="AI459" s="347">
        <v>2020</v>
      </c>
      <c r="AJ459" s="347">
        <v>2020</v>
      </c>
      <c r="AK459" s="347">
        <v>2020</v>
      </c>
      <c r="AL459" s="347">
        <v>2020</v>
      </c>
    </row>
    <row r="460" spans="1:38">
      <c r="G460" s="4" t="s">
        <v>701</v>
      </c>
      <c r="H460" s="4" t="s">
        <v>661</v>
      </c>
      <c r="I460" s="4">
        <v>2019</v>
      </c>
      <c r="J460" s="4" t="s">
        <v>112</v>
      </c>
      <c r="K460" s="333"/>
      <c r="L460" s="333"/>
      <c r="M460" s="333"/>
      <c r="N460" s="333"/>
      <c r="O460" s="333"/>
      <c r="P460" s="333"/>
      <c r="Q460" s="333"/>
      <c r="R460" s="333"/>
      <c r="S460" s="333"/>
      <c r="T460" s="333"/>
      <c r="U460" s="333"/>
      <c r="V460" s="333"/>
      <c r="W460" s="333"/>
      <c r="X460" s="333"/>
      <c r="Y460" s="333"/>
      <c r="Z460" s="333"/>
      <c r="AA460" s="333"/>
      <c r="AB460" s="333"/>
      <c r="AC460" s="333"/>
      <c r="AD460" s="333"/>
      <c r="AE460" s="333"/>
      <c r="AF460" s="333"/>
      <c r="AG460" s="333"/>
      <c r="AH460" s="333"/>
      <c r="AI460" s="333"/>
      <c r="AJ460" s="333"/>
      <c r="AK460" s="333"/>
      <c r="AL460" s="333"/>
    </row>
    <row r="461" spans="1:38">
      <c r="G461" s="4" t="s">
        <v>701</v>
      </c>
      <c r="H461" s="4" t="s">
        <v>661</v>
      </c>
      <c r="I461" s="4">
        <v>2060</v>
      </c>
      <c r="J461" s="4" t="s">
        <v>112</v>
      </c>
      <c r="K461" s="333"/>
      <c r="L461" s="333"/>
      <c r="M461" s="333"/>
      <c r="N461" s="333"/>
      <c r="O461" s="333"/>
      <c r="P461" s="333"/>
      <c r="Q461" s="333"/>
      <c r="R461" s="333"/>
      <c r="S461" s="333"/>
      <c r="T461" s="333"/>
      <c r="U461" s="333"/>
      <c r="V461" s="333"/>
      <c r="W461" s="333"/>
      <c r="X461" s="333"/>
      <c r="Y461" s="333"/>
      <c r="Z461" s="333"/>
      <c r="AA461" s="333"/>
      <c r="AB461" s="333"/>
      <c r="AC461" s="333"/>
      <c r="AD461" s="333"/>
      <c r="AE461" s="333"/>
      <c r="AF461" s="333"/>
      <c r="AG461" s="333"/>
      <c r="AH461" s="333"/>
      <c r="AI461" s="333"/>
      <c r="AJ461" s="333"/>
      <c r="AK461" s="333"/>
      <c r="AL461" s="333"/>
    </row>
    <row r="462" spans="1:38">
      <c r="G462" s="4" t="s">
        <v>701</v>
      </c>
      <c r="H462" s="4" t="s">
        <v>661</v>
      </c>
      <c r="I462" s="4">
        <v>0</v>
      </c>
      <c r="J462" s="4"/>
      <c r="K462" s="333"/>
      <c r="L462" s="333"/>
      <c r="M462" s="333"/>
      <c r="N462" s="333"/>
      <c r="O462" s="333"/>
      <c r="P462" s="333"/>
      <c r="Q462" s="333"/>
      <c r="R462" s="333"/>
      <c r="S462" s="333"/>
      <c r="T462" s="333"/>
      <c r="U462" s="333"/>
      <c r="V462" s="333"/>
      <c r="W462" s="333"/>
      <c r="X462" s="333"/>
      <c r="Y462" s="333"/>
      <c r="Z462" s="333"/>
      <c r="AA462" s="333"/>
      <c r="AB462" s="333"/>
      <c r="AC462" s="333"/>
      <c r="AD462" s="333"/>
      <c r="AE462" s="333"/>
      <c r="AF462" s="333"/>
      <c r="AG462" s="333"/>
      <c r="AH462" s="333"/>
      <c r="AI462" s="333"/>
      <c r="AJ462" s="333"/>
      <c r="AK462" s="333"/>
      <c r="AL462" s="333"/>
    </row>
    <row r="463" spans="1:38">
      <c r="G463" s="4" t="s">
        <v>687</v>
      </c>
      <c r="H463" s="4"/>
      <c r="I463" s="4"/>
      <c r="J463" s="4" t="s">
        <v>2663</v>
      </c>
      <c r="K463" s="174">
        <f>'Key inputs_Refineries'!$C$174*10^3</f>
        <v>2302.1279999999997</v>
      </c>
      <c r="L463" s="174">
        <f>'Key inputs_Refineries'!$C$174*10^3</f>
        <v>2302.1279999999997</v>
      </c>
      <c r="M463" s="174">
        <f>'Key inputs_Refineries'!$C$174*10^3</f>
        <v>2302.1279999999997</v>
      </c>
      <c r="N463" s="174">
        <f>'Key inputs_Refineries'!$C$174*10^3</f>
        <v>2302.1279999999997</v>
      </c>
      <c r="O463" s="174">
        <f>'Key inputs_Refineries'!$C$174*10^3</f>
        <v>2302.1279999999997</v>
      </c>
      <c r="P463" s="174">
        <f>'Key inputs_Refineries'!$C$174*10^3</f>
        <v>2302.1279999999997</v>
      </c>
      <c r="Q463" s="174">
        <f>'Key inputs_Refineries'!$C$174*10^3</f>
        <v>2302.1279999999997</v>
      </c>
      <c r="R463" s="174">
        <f>'Key inputs_Refineries'!$C$174*10^3</f>
        <v>2302.1279999999997</v>
      </c>
      <c r="S463" s="174">
        <f>'Key inputs_Refineries'!$C$174*10^3</f>
        <v>2302.1279999999997</v>
      </c>
      <c r="T463" s="174">
        <f>'Key inputs_Refineries'!$C$174*10^3</f>
        <v>2302.1279999999997</v>
      </c>
      <c r="U463" s="174">
        <f>'Key inputs_Refineries'!$C$174*10^3</f>
        <v>2302.1279999999997</v>
      </c>
      <c r="V463" s="174">
        <f>'Key inputs_Refineries'!$C$174*10^3</f>
        <v>2302.1279999999997</v>
      </c>
      <c r="W463" s="174">
        <f>'Key inputs_Refineries'!$C$174*10^3</f>
        <v>2302.1279999999997</v>
      </c>
      <c r="X463" s="174">
        <f>'Key inputs_Refineries'!$C$174*10^3</f>
        <v>2302.1279999999997</v>
      </c>
      <c r="Y463" s="174">
        <f>'Key inputs_Refineries'!$C$174*10^3</f>
        <v>2302.1279999999997</v>
      </c>
      <c r="Z463" s="174">
        <f>'Key inputs_Refineries'!$C$174*10^3</f>
        <v>2302.1279999999997</v>
      </c>
      <c r="AA463" s="174">
        <f>'Key inputs_Refineries'!$C$174*10^3</f>
        <v>2302.1279999999997</v>
      </c>
      <c r="AB463" s="174">
        <f>'Key inputs_Refineries'!$C$174*10^3</f>
        <v>2302.1279999999997</v>
      </c>
      <c r="AC463" s="174">
        <f>'Key inputs_Refineries'!$C$174*10^3</f>
        <v>2302.1279999999997</v>
      </c>
      <c r="AD463" s="174">
        <f>'Key inputs_Refineries'!$C$174*10^3</f>
        <v>2302.1279999999997</v>
      </c>
      <c r="AE463" s="174">
        <f>'Key inputs_Refineries'!$C$174*10^3</f>
        <v>2302.1279999999997</v>
      </c>
      <c r="AF463" s="174">
        <f>'Key inputs_Refineries'!$C$174*10^3</f>
        <v>2302.1279999999997</v>
      </c>
      <c r="AG463" s="174">
        <f>'Key inputs_Refineries'!$C$174*10^3</f>
        <v>2302.1279999999997</v>
      </c>
      <c r="AH463" s="174">
        <f>'Key inputs_Refineries'!$C$174*10^3</f>
        <v>2302.1279999999997</v>
      </c>
      <c r="AI463" s="174">
        <f>'Key inputs_Refineries'!$C$174*10^3</f>
        <v>2302.1279999999997</v>
      </c>
      <c r="AJ463" s="174">
        <f>'Key inputs_Refineries'!$C$174*10^3</f>
        <v>2302.1279999999997</v>
      </c>
      <c r="AK463" s="174">
        <f>'Key inputs_Refineries'!$C$174*10^3</f>
        <v>2302.1279999999997</v>
      </c>
      <c r="AL463" s="174">
        <f>'Key inputs_Refineries'!$C$174*10^3</f>
        <v>2302.1279999999997</v>
      </c>
    </row>
    <row r="464" spans="1:38">
      <c r="G464" s="4" t="s">
        <v>689</v>
      </c>
      <c r="H464" s="4"/>
      <c r="I464" s="4"/>
      <c r="J464" s="4" t="s">
        <v>2663</v>
      </c>
      <c r="K464" s="174">
        <f>'Key inputs_Refineries'!$D$174*10^3</f>
        <v>18.921600000000002</v>
      </c>
      <c r="L464" s="174">
        <f>'Key inputs_Refineries'!$D$174*10^3</f>
        <v>18.921600000000002</v>
      </c>
      <c r="M464" s="174">
        <f>'Key inputs_Refineries'!$D$174*10^3</f>
        <v>18.921600000000002</v>
      </c>
      <c r="N464" s="174">
        <f>'Key inputs_Refineries'!$D$174*10^3</f>
        <v>18.921600000000002</v>
      </c>
      <c r="O464" s="174">
        <f>'Key inputs_Refineries'!$D$174*10^3</f>
        <v>18.921600000000002</v>
      </c>
      <c r="P464" s="174">
        <f>'Key inputs_Refineries'!$D$174*10^3</f>
        <v>18.921600000000002</v>
      </c>
      <c r="Q464" s="174">
        <f>'Key inputs_Refineries'!$D$174*10^3</f>
        <v>18.921600000000002</v>
      </c>
      <c r="R464" s="174">
        <f>'Key inputs_Refineries'!$D$174*10^3</f>
        <v>18.921600000000002</v>
      </c>
      <c r="S464" s="174">
        <f>'Key inputs_Refineries'!$D$174*10^3</f>
        <v>18.921600000000002</v>
      </c>
      <c r="T464" s="174">
        <f>'Key inputs_Refineries'!$D$174*10^3</f>
        <v>18.921600000000002</v>
      </c>
      <c r="U464" s="174">
        <f>'Key inputs_Refineries'!$D$174*10^3</f>
        <v>18.921600000000002</v>
      </c>
      <c r="V464" s="174">
        <f>'Key inputs_Refineries'!$D$174*10^3</f>
        <v>18.921600000000002</v>
      </c>
      <c r="W464" s="174">
        <f>'Key inputs_Refineries'!$D$174*10^3</f>
        <v>18.921600000000002</v>
      </c>
      <c r="X464" s="174">
        <f>'Key inputs_Refineries'!$D$174*10^3</f>
        <v>18.921600000000002</v>
      </c>
      <c r="Y464" s="174">
        <f>'Key inputs_Refineries'!$D$174*10^3</f>
        <v>18.921600000000002</v>
      </c>
      <c r="Z464" s="174">
        <f>'Key inputs_Refineries'!$D$174*10^3</f>
        <v>18.921600000000002</v>
      </c>
      <c r="AA464" s="174">
        <f>'Key inputs_Refineries'!$D$174*10^3</f>
        <v>18.921600000000002</v>
      </c>
      <c r="AB464" s="174">
        <f>'Key inputs_Refineries'!$D$174*10^3</f>
        <v>18.921600000000002</v>
      </c>
      <c r="AC464" s="174">
        <f>'Key inputs_Refineries'!$D$174*10^3</f>
        <v>18.921600000000002</v>
      </c>
      <c r="AD464" s="174">
        <f>'Key inputs_Refineries'!$D$174*10^3</f>
        <v>18.921600000000002</v>
      </c>
      <c r="AE464" s="174">
        <f>'Key inputs_Refineries'!$D$174*10^3</f>
        <v>18.921600000000002</v>
      </c>
      <c r="AF464" s="174">
        <f>'Key inputs_Refineries'!$D$174*10^3</f>
        <v>18.921600000000002</v>
      </c>
      <c r="AG464" s="174">
        <f>'Key inputs_Refineries'!$D$174*10^3</f>
        <v>18.921600000000002</v>
      </c>
      <c r="AH464" s="174">
        <f>'Key inputs_Refineries'!$D$174*10^3</f>
        <v>18.921600000000002</v>
      </c>
      <c r="AI464" s="174">
        <f>'Key inputs_Refineries'!$D$174*10^3</f>
        <v>18.921600000000002</v>
      </c>
      <c r="AJ464" s="174">
        <f>'Key inputs_Refineries'!$D$174*10^3</f>
        <v>18.921600000000002</v>
      </c>
      <c r="AK464" s="174">
        <f>'Key inputs_Refineries'!$D$174*10^3</f>
        <v>18.921600000000002</v>
      </c>
      <c r="AL464" s="174">
        <f>'Key inputs_Refineries'!$D$174*10^3</f>
        <v>18.921600000000002</v>
      </c>
    </row>
    <row r="465" spans="1:38">
      <c r="G465" s="4" t="s">
        <v>675</v>
      </c>
      <c r="H465" s="4"/>
      <c r="I465" s="4"/>
      <c r="J465" s="4" t="s">
        <v>2662</v>
      </c>
    </row>
    <row r="466" spans="1:38">
      <c r="G466" s="4" t="s">
        <v>630</v>
      </c>
      <c r="H466" s="4"/>
      <c r="I466" s="4"/>
      <c r="J466" s="4" t="s">
        <v>2666</v>
      </c>
      <c r="K466" s="419">
        <f>'Key inputs_Refineries'!$H$174</f>
        <v>0.6</v>
      </c>
      <c r="L466" s="419">
        <f>'Key inputs_Refineries'!$H$174</f>
        <v>0.6</v>
      </c>
      <c r="M466" s="419">
        <f>'Key inputs_Refineries'!$H$174</f>
        <v>0.6</v>
      </c>
      <c r="N466" s="419">
        <f>'Key inputs_Refineries'!$H$174</f>
        <v>0.6</v>
      </c>
      <c r="O466" s="419">
        <f>'Key inputs_Refineries'!$H$174</f>
        <v>0.6</v>
      </c>
      <c r="P466" s="419">
        <f>'Key inputs_Refineries'!$H$174</f>
        <v>0.6</v>
      </c>
      <c r="Q466" s="419">
        <f>'Key inputs_Refineries'!$H$174</f>
        <v>0.6</v>
      </c>
      <c r="R466" s="419">
        <f>'Key inputs_Refineries'!$H$174</f>
        <v>0.6</v>
      </c>
      <c r="S466" s="419">
        <f>'Key inputs_Refineries'!$H$174</f>
        <v>0.6</v>
      </c>
      <c r="T466" s="419">
        <f>'Key inputs_Refineries'!$H$174</f>
        <v>0.6</v>
      </c>
      <c r="U466" s="419">
        <f>'Key inputs_Refineries'!$H$174</f>
        <v>0.6</v>
      </c>
      <c r="V466" s="419">
        <f>'Key inputs_Refineries'!$H$174</f>
        <v>0.6</v>
      </c>
      <c r="W466" s="419">
        <f>'Key inputs_Refineries'!$H$174</f>
        <v>0.6</v>
      </c>
      <c r="X466" s="419">
        <f>'Key inputs_Refineries'!$H$174</f>
        <v>0.6</v>
      </c>
      <c r="Y466" s="419">
        <f>'Key inputs_Refineries'!$H$174</f>
        <v>0.6</v>
      </c>
      <c r="Z466" s="419">
        <f>'Key inputs_Refineries'!$H$174</f>
        <v>0.6</v>
      </c>
      <c r="AA466" s="419">
        <f>'Key inputs_Refineries'!$H$174</f>
        <v>0.6</v>
      </c>
      <c r="AB466" s="419">
        <f>'Key inputs_Refineries'!$H$174</f>
        <v>0.6</v>
      </c>
      <c r="AC466" s="419">
        <f>'Key inputs_Refineries'!$H$174</f>
        <v>0.6</v>
      </c>
      <c r="AD466" s="419">
        <f>'Key inputs_Refineries'!$H$174</f>
        <v>0.6</v>
      </c>
      <c r="AE466" s="419">
        <f>'Key inputs_Refineries'!$H$174</f>
        <v>0.6</v>
      </c>
      <c r="AF466" s="419">
        <f>'Key inputs_Refineries'!$H$174</f>
        <v>0.6</v>
      </c>
      <c r="AG466" s="419">
        <f>'Key inputs_Refineries'!$H$174</f>
        <v>0.6</v>
      </c>
      <c r="AH466" s="419">
        <f>'Key inputs_Refineries'!$H$174</f>
        <v>0.6</v>
      </c>
      <c r="AI466" s="419">
        <f>'Key inputs_Refineries'!$H$174</f>
        <v>0.6</v>
      </c>
      <c r="AJ466" s="419">
        <f>'Key inputs_Refineries'!$H$174</f>
        <v>0.6</v>
      </c>
      <c r="AK466" s="419">
        <f>'Key inputs_Refineries'!$H$174</f>
        <v>0.6</v>
      </c>
      <c r="AL466" s="419">
        <f>'Key inputs_Refineries'!$H$174</f>
        <v>0.6</v>
      </c>
    </row>
    <row r="467" spans="1:38">
      <c r="C467" t="str">
        <f>Commodities!$C$85</f>
        <v>UPSBIO</v>
      </c>
      <c r="G467" s="4" t="s">
        <v>702</v>
      </c>
      <c r="H467" t="s">
        <v>661</v>
      </c>
      <c r="I467">
        <v>2019</v>
      </c>
      <c r="J467" t="s">
        <v>650</v>
      </c>
      <c r="K467" s="426">
        <v>1</v>
      </c>
      <c r="L467" s="426">
        <v>1</v>
      </c>
      <c r="M467" s="426">
        <v>1</v>
      </c>
      <c r="N467" s="426">
        <v>1</v>
      </c>
      <c r="O467" s="426">
        <v>1</v>
      </c>
      <c r="P467" s="426">
        <v>1</v>
      </c>
      <c r="Q467" s="426">
        <v>1</v>
      </c>
      <c r="R467" s="426">
        <v>1</v>
      </c>
      <c r="S467" s="426">
        <v>1</v>
      </c>
      <c r="T467" s="426">
        <v>1</v>
      </c>
      <c r="U467" s="426">
        <v>1</v>
      </c>
      <c r="V467" s="426">
        <v>1</v>
      </c>
      <c r="W467" s="426">
        <v>1</v>
      </c>
      <c r="X467" s="426">
        <v>1</v>
      </c>
      <c r="Y467" s="426">
        <v>1</v>
      </c>
      <c r="Z467" s="426">
        <v>1</v>
      </c>
      <c r="AA467" s="426">
        <v>1</v>
      </c>
      <c r="AB467" s="426">
        <v>1</v>
      </c>
      <c r="AC467" s="426">
        <v>1</v>
      </c>
      <c r="AD467" s="426">
        <v>1</v>
      </c>
      <c r="AE467" s="426">
        <v>1</v>
      </c>
      <c r="AF467" s="426">
        <v>1</v>
      </c>
      <c r="AG467" s="426">
        <v>1</v>
      </c>
      <c r="AH467" s="426">
        <v>1</v>
      </c>
      <c r="AI467" s="426">
        <v>1</v>
      </c>
      <c r="AJ467" s="426">
        <v>1</v>
      </c>
      <c r="AK467" s="426">
        <v>1</v>
      </c>
      <c r="AL467" s="426">
        <v>1</v>
      </c>
    </row>
    <row r="468" spans="1:38">
      <c r="C468" t="str">
        <f>Commodities!$C$101</f>
        <v>UPSWAS</v>
      </c>
      <c r="G468" s="4" t="s">
        <v>702</v>
      </c>
      <c r="H468" t="s">
        <v>661</v>
      </c>
      <c r="I468">
        <v>2019</v>
      </c>
      <c r="J468" t="s">
        <v>650</v>
      </c>
      <c r="K468" s="426">
        <v>1</v>
      </c>
      <c r="L468" s="426">
        <v>1</v>
      </c>
      <c r="M468" s="426">
        <v>1</v>
      </c>
      <c r="N468" s="426">
        <v>1</v>
      </c>
      <c r="O468" s="426">
        <v>1</v>
      </c>
      <c r="P468" s="426">
        <v>1</v>
      </c>
      <c r="Q468" s="426">
        <v>1</v>
      </c>
      <c r="R468" s="426">
        <v>1</v>
      </c>
      <c r="S468" s="426">
        <v>1</v>
      </c>
      <c r="T468" s="426">
        <v>1</v>
      </c>
      <c r="U468" s="426">
        <v>1</v>
      </c>
      <c r="V468" s="426">
        <v>1</v>
      </c>
      <c r="W468" s="426">
        <v>1</v>
      </c>
      <c r="X468" s="426">
        <v>1</v>
      </c>
      <c r="Y468" s="426">
        <v>1</v>
      </c>
      <c r="Z468" s="426">
        <v>1</v>
      </c>
      <c r="AA468" s="426">
        <v>1</v>
      </c>
      <c r="AB468" s="426">
        <v>1</v>
      </c>
      <c r="AC468" s="426">
        <v>1</v>
      </c>
      <c r="AD468" s="426">
        <v>1</v>
      </c>
      <c r="AE468" s="426">
        <v>1</v>
      </c>
      <c r="AF468" s="426">
        <v>1</v>
      </c>
      <c r="AG468" s="426">
        <v>1</v>
      </c>
      <c r="AH468" s="426">
        <v>1</v>
      </c>
      <c r="AI468" s="426">
        <v>1</v>
      </c>
      <c r="AJ468" s="426">
        <v>1</v>
      </c>
      <c r="AK468" s="426">
        <v>1</v>
      </c>
      <c r="AL468" s="426">
        <v>1</v>
      </c>
    </row>
    <row r="469" spans="1:38">
      <c r="C469" t="str">
        <f>Commodities!$C$85</f>
        <v>UPSBIO</v>
      </c>
      <c r="G469" s="4" t="s">
        <v>702</v>
      </c>
      <c r="H469" t="s">
        <v>661</v>
      </c>
      <c r="I469">
        <v>2025</v>
      </c>
      <c r="J469" t="s">
        <v>650</v>
      </c>
      <c r="K469" s="426">
        <v>1</v>
      </c>
      <c r="L469" s="426">
        <v>1</v>
      </c>
      <c r="M469" s="426">
        <v>1</v>
      </c>
      <c r="N469" s="426">
        <v>1</v>
      </c>
      <c r="O469" s="426">
        <v>1</v>
      </c>
      <c r="P469" s="426">
        <v>1</v>
      </c>
      <c r="Q469" s="426">
        <v>1</v>
      </c>
      <c r="R469" s="426">
        <v>1</v>
      </c>
      <c r="S469" s="426">
        <v>1</v>
      </c>
      <c r="T469" s="426">
        <v>1</v>
      </c>
      <c r="U469" s="426">
        <v>1</v>
      </c>
      <c r="V469" s="426">
        <v>1</v>
      </c>
      <c r="W469" s="426">
        <v>1</v>
      </c>
      <c r="X469" s="426">
        <v>1</v>
      </c>
      <c r="Y469" s="426">
        <v>1</v>
      </c>
      <c r="Z469" s="426">
        <v>1</v>
      </c>
      <c r="AA469" s="426">
        <v>1</v>
      </c>
      <c r="AB469" s="426">
        <v>1</v>
      </c>
      <c r="AC469" s="426">
        <v>1</v>
      </c>
      <c r="AD469" s="426">
        <v>1</v>
      </c>
      <c r="AE469" s="426">
        <v>1</v>
      </c>
      <c r="AF469" s="426">
        <v>1</v>
      </c>
      <c r="AG469" s="426">
        <v>1</v>
      </c>
      <c r="AH469" s="426">
        <v>1</v>
      </c>
      <c r="AI469" s="426">
        <v>1</v>
      </c>
      <c r="AJ469" s="426">
        <v>1</v>
      </c>
      <c r="AK469" s="426">
        <v>1</v>
      </c>
      <c r="AL469" s="426">
        <v>1</v>
      </c>
    </row>
    <row r="470" spans="1:38">
      <c r="C470" t="str">
        <f>Commodities!$C$101</f>
        <v>UPSWAS</v>
      </c>
      <c r="G470" s="4" t="s">
        <v>702</v>
      </c>
      <c r="H470" t="s">
        <v>661</v>
      </c>
      <c r="I470">
        <v>2025</v>
      </c>
      <c r="J470" t="s">
        <v>650</v>
      </c>
      <c r="K470" s="426">
        <v>1</v>
      </c>
      <c r="L470" s="426">
        <v>1</v>
      </c>
      <c r="M470" s="426">
        <v>1</v>
      </c>
      <c r="N470" s="426">
        <v>1</v>
      </c>
      <c r="O470" s="426">
        <v>1</v>
      </c>
      <c r="P470" s="426">
        <v>1</v>
      </c>
      <c r="Q470" s="426">
        <v>1</v>
      </c>
      <c r="R470" s="426">
        <v>1</v>
      </c>
      <c r="S470" s="426">
        <v>1</v>
      </c>
      <c r="T470" s="426">
        <v>1</v>
      </c>
      <c r="U470" s="426">
        <v>1</v>
      </c>
      <c r="V470" s="426">
        <v>1</v>
      </c>
      <c r="W470" s="426">
        <v>1</v>
      </c>
      <c r="X470" s="426">
        <v>1</v>
      </c>
      <c r="Y470" s="426">
        <v>1</v>
      </c>
      <c r="Z470" s="426">
        <v>1</v>
      </c>
      <c r="AA470" s="426">
        <v>1</v>
      </c>
      <c r="AB470" s="426">
        <v>1</v>
      </c>
      <c r="AC470" s="426">
        <v>1</v>
      </c>
      <c r="AD470" s="426">
        <v>1</v>
      </c>
      <c r="AE470" s="426">
        <v>1</v>
      </c>
      <c r="AF470" s="426">
        <v>1</v>
      </c>
      <c r="AG470" s="426">
        <v>1</v>
      </c>
      <c r="AH470" s="426">
        <v>1</v>
      </c>
      <c r="AI470" s="426">
        <v>1</v>
      </c>
      <c r="AJ470" s="426">
        <v>1</v>
      </c>
      <c r="AK470" s="426">
        <v>1</v>
      </c>
      <c r="AL470" s="426">
        <v>1</v>
      </c>
    </row>
    <row r="471" spans="1:38">
      <c r="C471" t="str">
        <f>Commodities!$C$85</f>
        <v>UPSBIO</v>
      </c>
      <c r="G471" s="4" t="s">
        <v>702</v>
      </c>
      <c r="H471" t="s">
        <v>661</v>
      </c>
      <c r="I471">
        <v>2050</v>
      </c>
      <c r="J471" t="s">
        <v>650</v>
      </c>
      <c r="K471" s="426">
        <v>1</v>
      </c>
      <c r="L471" s="426">
        <v>1</v>
      </c>
      <c r="M471" s="426">
        <v>1</v>
      </c>
      <c r="N471" s="426">
        <v>1</v>
      </c>
      <c r="O471" s="426">
        <v>1</v>
      </c>
      <c r="P471" s="426">
        <v>1</v>
      </c>
      <c r="Q471" s="426">
        <v>1</v>
      </c>
      <c r="R471" s="426">
        <v>1</v>
      </c>
      <c r="S471" s="426">
        <v>1</v>
      </c>
      <c r="T471" s="426">
        <v>1</v>
      </c>
      <c r="U471" s="426">
        <v>1</v>
      </c>
      <c r="V471" s="426">
        <v>1</v>
      </c>
      <c r="W471" s="426">
        <v>1</v>
      </c>
      <c r="X471" s="426">
        <v>1</v>
      </c>
      <c r="Y471" s="426">
        <v>1</v>
      </c>
      <c r="Z471" s="426">
        <v>1</v>
      </c>
      <c r="AA471" s="426">
        <v>1</v>
      </c>
      <c r="AB471" s="426">
        <v>1</v>
      </c>
      <c r="AC471" s="426">
        <v>1</v>
      </c>
      <c r="AD471" s="426">
        <v>1</v>
      </c>
      <c r="AE471" s="426">
        <v>1</v>
      </c>
      <c r="AF471" s="426">
        <v>1</v>
      </c>
      <c r="AG471" s="426">
        <v>1</v>
      </c>
      <c r="AH471" s="426">
        <v>1</v>
      </c>
      <c r="AI471" s="426">
        <v>1</v>
      </c>
      <c r="AJ471" s="426">
        <v>1</v>
      </c>
      <c r="AK471" s="426">
        <v>1</v>
      </c>
      <c r="AL471" s="426">
        <v>1</v>
      </c>
    </row>
    <row r="472" spans="1:38">
      <c r="C472" t="str">
        <f>Commodities!$C$101</f>
        <v>UPSWAS</v>
      </c>
      <c r="G472" s="4" t="s">
        <v>702</v>
      </c>
      <c r="H472" t="s">
        <v>661</v>
      </c>
      <c r="I472">
        <v>2050</v>
      </c>
      <c r="J472" t="s">
        <v>650</v>
      </c>
      <c r="K472" s="426">
        <v>1</v>
      </c>
      <c r="L472" s="426">
        <v>1</v>
      </c>
      <c r="M472" s="426">
        <v>1</v>
      </c>
      <c r="N472" s="426">
        <v>1</v>
      </c>
      <c r="O472" s="426">
        <v>1</v>
      </c>
      <c r="P472" s="426">
        <v>1</v>
      </c>
      <c r="Q472" s="426">
        <v>1</v>
      </c>
      <c r="R472" s="426">
        <v>1</v>
      </c>
      <c r="S472" s="426">
        <v>1</v>
      </c>
      <c r="T472" s="426">
        <v>1</v>
      </c>
      <c r="U472" s="426">
        <v>1</v>
      </c>
      <c r="V472" s="426">
        <v>1</v>
      </c>
      <c r="W472" s="426">
        <v>1</v>
      </c>
      <c r="X472" s="426">
        <v>1</v>
      </c>
      <c r="Y472" s="426">
        <v>1</v>
      </c>
      <c r="Z472" s="426">
        <v>1</v>
      </c>
      <c r="AA472" s="426">
        <v>1</v>
      </c>
      <c r="AB472" s="426">
        <v>1</v>
      </c>
      <c r="AC472" s="426">
        <v>1</v>
      </c>
      <c r="AD472" s="426">
        <v>1</v>
      </c>
      <c r="AE472" s="426">
        <v>1</v>
      </c>
      <c r="AF472" s="426">
        <v>1</v>
      </c>
      <c r="AG472" s="426">
        <v>1</v>
      </c>
      <c r="AH472" s="426">
        <v>1</v>
      </c>
      <c r="AI472" s="426">
        <v>1</v>
      </c>
      <c r="AJ472" s="426">
        <v>1</v>
      </c>
      <c r="AK472" s="426">
        <v>1</v>
      </c>
      <c r="AL472" s="426">
        <v>1</v>
      </c>
    </row>
    <row r="473" spans="1:38">
      <c r="D473" t="str">
        <f>Commodities!$C$104</f>
        <v>UREFBOI</v>
      </c>
    </row>
    <row r="474" spans="1:38">
      <c r="A474" s="4" t="str">
        <f>AO415</f>
        <v>U-TRF-OILREFBOI_COA01</v>
      </c>
      <c r="B474" s="4" t="str">
        <f>AP415</f>
        <v>UPS Transformation: Oil refinery boilers Coal - New</v>
      </c>
      <c r="C474" s="4"/>
      <c r="D474" s="4"/>
      <c r="E474" s="4"/>
      <c r="F474" s="4"/>
      <c r="G474" s="4" t="s">
        <v>695</v>
      </c>
      <c r="H474" s="4"/>
      <c r="I474" s="4"/>
      <c r="J474" s="4" t="s">
        <v>2665</v>
      </c>
      <c r="K474" s="333">
        <v>1</v>
      </c>
      <c r="L474" s="333">
        <v>1</v>
      </c>
      <c r="M474" s="333">
        <v>1</v>
      </c>
      <c r="N474" s="333">
        <v>1</v>
      </c>
      <c r="O474" s="333">
        <v>1</v>
      </c>
      <c r="P474" s="333">
        <v>1</v>
      </c>
      <c r="Q474" s="333">
        <v>1</v>
      </c>
      <c r="R474" s="333">
        <v>1</v>
      </c>
      <c r="S474" s="333">
        <v>1</v>
      </c>
      <c r="T474" s="333">
        <v>1</v>
      </c>
      <c r="U474" s="333">
        <v>1</v>
      </c>
      <c r="V474" s="333">
        <v>1</v>
      </c>
      <c r="W474" s="333">
        <v>1</v>
      </c>
      <c r="X474" s="333">
        <v>1</v>
      </c>
      <c r="Y474" s="333">
        <v>1</v>
      </c>
      <c r="Z474" s="333">
        <v>1</v>
      </c>
      <c r="AA474" s="333">
        <v>1</v>
      </c>
      <c r="AB474" s="333">
        <v>1</v>
      </c>
      <c r="AC474" s="333">
        <v>1</v>
      </c>
      <c r="AD474" s="333">
        <v>1</v>
      </c>
      <c r="AE474" s="333">
        <v>1</v>
      </c>
      <c r="AF474" s="333">
        <v>1</v>
      </c>
      <c r="AG474" s="333">
        <v>1</v>
      </c>
      <c r="AH474" s="333">
        <v>1</v>
      </c>
      <c r="AI474" s="333">
        <v>1</v>
      </c>
      <c r="AJ474" s="333">
        <v>1</v>
      </c>
      <c r="AK474" s="333">
        <v>1</v>
      </c>
      <c r="AL474" s="333">
        <v>1</v>
      </c>
    </row>
    <row r="475" spans="1:38">
      <c r="A475" s="4"/>
      <c r="B475" s="4"/>
      <c r="C475" s="4"/>
      <c r="D475" s="4"/>
      <c r="E475" s="4"/>
      <c r="F475" s="4"/>
      <c r="G475" s="4" t="s">
        <v>697</v>
      </c>
      <c r="H475" s="4"/>
      <c r="I475" s="4"/>
      <c r="J475" s="4" t="s">
        <v>698</v>
      </c>
      <c r="K475" s="424">
        <f>'Key inputs_Refineries'!$F$175</f>
        <v>15</v>
      </c>
      <c r="L475" s="424">
        <f>'Key inputs_Refineries'!$F$175</f>
        <v>15</v>
      </c>
      <c r="M475" s="424">
        <f>'Key inputs_Refineries'!$F$175</f>
        <v>15</v>
      </c>
      <c r="N475" s="424">
        <f>'Key inputs_Refineries'!$F$175</f>
        <v>15</v>
      </c>
      <c r="O475" s="424">
        <f>'Key inputs_Refineries'!$F$175</f>
        <v>15</v>
      </c>
      <c r="P475" s="424">
        <f>'Key inputs_Refineries'!$F$175</f>
        <v>15</v>
      </c>
      <c r="Q475" s="424">
        <f>'Key inputs_Refineries'!$F$175</f>
        <v>15</v>
      </c>
      <c r="R475" s="424">
        <f>'Key inputs_Refineries'!$F$175</f>
        <v>15</v>
      </c>
      <c r="S475" s="424">
        <f>'Key inputs_Refineries'!$F$175</f>
        <v>15</v>
      </c>
      <c r="T475" s="424">
        <f>'Key inputs_Refineries'!$F$175</f>
        <v>15</v>
      </c>
      <c r="U475" s="424">
        <f>'Key inputs_Refineries'!$F$175</f>
        <v>15</v>
      </c>
      <c r="V475" s="424">
        <f>'Key inputs_Refineries'!$F$175</f>
        <v>15</v>
      </c>
      <c r="W475" s="424">
        <f>'Key inputs_Refineries'!$F$175</f>
        <v>15</v>
      </c>
      <c r="X475" s="424">
        <f>'Key inputs_Refineries'!$F$175</f>
        <v>15</v>
      </c>
      <c r="Y475" s="424">
        <f>'Key inputs_Refineries'!$F$175</f>
        <v>15</v>
      </c>
      <c r="Z475" s="424">
        <f>'Key inputs_Refineries'!$F$175</f>
        <v>15</v>
      </c>
      <c r="AA475" s="424">
        <f>'Key inputs_Refineries'!$F$175</f>
        <v>15</v>
      </c>
      <c r="AB475" s="424">
        <f>'Key inputs_Refineries'!$F$175</f>
        <v>15</v>
      </c>
      <c r="AC475" s="424">
        <f>'Key inputs_Refineries'!$F$175</f>
        <v>15</v>
      </c>
      <c r="AD475" s="424">
        <f>'Key inputs_Refineries'!$F$175</f>
        <v>15</v>
      </c>
      <c r="AE475" s="424">
        <f>'Key inputs_Refineries'!$F$175</f>
        <v>15</v>
      </c>
      <c r="AF475" s="424">
        <f>'Key inputs_Refineries'!$F$175</f>
        <v>15</v>
      </c>
      <c r="AG475" s="424">
        <f>'Key inputs_Refineries'!$F$175</f>
        <v>15</v>
      </c>
      <c r="AH475" s="424">
        <f>'Key inputs_Refineries'!$F$175</f>
        <v>15</v>
      </c>
      <c r="AI475" s="424">
        <f>'Key inputs_Refineries'!$F$175</f>
        <v>15</v>
      </c>
      <c r="AJ475" s="424">
        <f>'Key inputs_Refineries'!$F$175</f>
        <v>15</v>
      </c>
      <c r="AK475" s="424">
        <f>'Key inputs_Refineries'!$F$175</f>
        <v>15</v>
      </c>
      <c r="AL475" s="424">
        <f>'Key inputs_Refineries'!$F$175</f>
        <v>15</v>
      </c>
    </row>
    <row r="476" spans="1:38">
      <c r="A476" s="4"/>
      <c r="B476" s="4"/>
      <c r="C476" s="4"/>
      <c r="D476" s="4"/>
      <c r="E476" s="4"/>
      <c r="F476" s="4"/>
      <c r="G476" s="4" t="s">
        <v>707</v>
      </c>
      <c r="H476" s="4"/>
      <c r="I476" s="4"/>
      <c r="J476" s="4" t="s">
        <v>2669</v>
      </c>
      <c r="K476" s="347">
        <v>2020</v>
      </c>
      <c r="L476" s="347">
        <v>2020</v>
      </c>
      <c r="M476" s="347">
        <v>2020</v>
      </c>
      <c r="N476" s="347">
        <v>2020</v>
      </c>
      <c r="O476" s="347">
        <v>2020</v>
      </c>
      <c r="P476" s="347">
        <v>2020</v>
      </c>
      <c r="Q476" s="347">
        <v>2020</v>
      </c>
      <c r="R476" s="347">
        <v>2020</v>
      </c>
      <c r="S476" s="347">
        <v>2020</v>
      </c>
      <c r="T476" s="347">
        <v>2020</v>
      </c>
      <c r="U476" s="347">
        <v>2020</v>
      </c>
      <c r="V476" s="347">
        <v>2020</v>
      </c>
      <c r="W476" s="347">
        <v>2020</v>
      </c>
      <c r="X476" s="347">
        <v>2020</v>
      </c>
      <c r="Y476" s="347">
        <v>2020</v>
      </c>
      <c r="Z476" s="347">
        <v>2020</v>
      </c>
      <c r="AA476" s="347">
        <v>2020</v>
      </c>
      <c r="AB476" s="347">
        <v>2020</v>
      </c>
      <c r="AC476" s="347">
        <v>2020</v>
      </c>
      <c r="AD476" s="347">
        <v>2020</v>
      </c>
      <c r="AE476" s="347">
        <v>2020</v>
      </c>
      <c r="AF476" s="347">
        <v>2020</v>
      </c>
      <c r="AG476" s="347">
        <v>2020</v>
      </c>
      <c r="AH476" s="347">
        <v>2020</v>
      </c>
      <c r="AI476" s="347">
        <v>2020</v>
      </c>
      <c r="AJ476" s="347">
        <v>2020</v>
      </c>
      <c r="AK476" s="347">
        <v>2020</v>
      </c>
      <c r="AL476" s="347">
        <v>2020</v>
      </c>
    </row>
    <row r="477" spans="1:38">
      <c r="G477" s="4" t="s">
        <v>701</v>
      </c>
      <c r="H477" s="4" t="s">
        <v>661</v>
      </c>
      <c r="I477" s="4">
        <v>2019</v>
      </c>
      <c r="J477" s="4" t="s">
        <v>112</v>
      </c>
      <c r="K477" s="333"/>
      <c r="L477" s="333"/>
      <c r="M477" s="333"/>
      <c r="N477" s="333"/>
      <c r="O477" s="333"/>
      <c r="P477" s="333"/>
      <c r="Q477" s="333"/>
      <c r="R477" s="333"/>
      <c r="S477" s="333"/>
      <c r="T477" s="333"/>
      <c r="U477" s="333"/>
      <c r="V477" s="333"/>
      <c r="W477" s="333"/>
      <c r="X477" s="333"/>
      <c r="Y477" s="333"/>
      <c r="Z477" s="333"/>
      <c r="AA477" s="333"/>
      <c r="AB477" s="333"/>
      <c r="AC477" s="333"/>
      <c r="AD477" s="333"/>
      <c r="AE477" s="333"/>
      <c r="AF477" s="333"/>
      <c r="AG477" s="333"/>
      <c r="AH477" s="333"/>
      <c r="AI477" s="333"/>
      <c r="AJ477" s="333"/>
      <c r="AK477" s="333"/>
      <c r="AL477" s="333"/>
    </row>
    <row r="478" spans="1:38">
      <c r="G478" s="4" t="s">
        <v>701</v>
      </c>
      <c r="H478" s="4" t="s">
        <v>661</v>
      </c>
      <c r="I478" s="4">
        <v>2060</v>
      </c>
      <c r="J478" s="4" t="s">
        <v>112</v>
      </c>
      <c r="K478" s="333"/>
      <c r="L478" s="333"/>
      <c r="M478" s="333"/>
      <c r="N478" s="333"/>
      <c r="O478" s="333"/>
      <c r="P478" s="333"/>
      <c r="Q478" s="333"/>
      <c r="R478" s="333"/>
      <c r="S478" s="333"/>
      <c r="T478" s="333"/>
      <c r="U478" s="333"/>
      <c r="V478" s="333"/>
      <c r="W478" s="333"/>
      <c r="X478" s="333"/>
      <c r="Y478" s="333"/>
      <c r="Z478" s="333"/>
      <c r="AA478" s="333"/>
      <c r="AB478" s="333"/>
      <c r="AC478" s="333"/>
      <c r="AD478" s="333"/>
      <c r="AE478" s="333"/>
      <c r="AF478" s="333"/>
      <c r="AG478" s="333"/>
      <c r="AH478" s="333"/>
      <c r="AI478" s="333"/>
      <c r="AJ478" s="333"/>
      <c r="AK478" s="333"/>
      <c r="AL478" s="333"/>
    </row>
    <row r="479" spans="1:38">
      <c r="G479" s="4" t="s">
        <v>701</v>
      </c>
      <c r="H479" s="4" t="s">
        <v>661</v>
      </c>
      <c r="I479" s="4">
        <v>0</v>
      </c>
      <c r="J479" s="4"/>
      <c r="K479" s="333"/>
      <c r="L479" s="333"/>
      <c r="M479" s="333"/>
      <c r="N479" s="333"/>
      <c r="O479" s="333"/>
      <c r="P479" s="333"/>
      <c r="Q479" s="333"/>
      <c r="R479" s="333"/>
      <c r="S479" s="333"/>
      <c r="T479" s="333"/>
      <c r="U479" s="333"/>
      <c r="V479" s="333"/>
      <c r="W479" s="333"/>
      <c r="X479" s="333"/>
      <c r="Y479" s="333"/>
      <c r="Z479" s="333"/>
      <c r="AA479" s="333"/>
      <c r="AB479" s="333"/>
      <c r="AC479" s="333"/>
      <c r="AD479" s="333"/>
      <c r="AE479" s="333"/>
      <c r="AF479" s="333"/>
      <c r="AG479" s="333"/>
      <c r="AH479" s="333"/>
      <c r="AI479" s="333"/>
      <c r="AJ479" s="333"/>
      <c r="AK479" s="333"/>
      <c r="AL479" s="333"/>
    </row>
    <row r="480" spans="1:38">
      <c r="G480" s="4" t="s">
        <v>687</v>
      </c>
      <c r="H480" s="4"/>
      <c r="I480" s="4"/>
      <c r="J480" s="4" t="s">
        <v>2663</v>
      </c>
      <c r="K480" s="174">
        <f>'Key inputs_Refineries'!$C$175*10^3</f>
        <v>1829.088</v>
      </c>
      <c r="L480" s="174">
        <f>'Key inputs_Refineries'!$C$175*10^3</f>
        <v>1829.088</v>
      </c>
      <c r="M480" s="174">
        <f>'Key inputs_Refineries'!$C$175*10^3</f>
        <v>1829.088</v>
      </c>
      <c r="N480" s="174">
        <f>'Key inputs_Refineries'!$C$175*10^3</f>
        <v>1829.088</v>
      </c>
      <c r="O480" s="174">
        <f>'Key inputs_Refineries'!$C$175*10^3</f>
        <v>1829.088</v>
      </c>
      <c r="P480" s="174">
        <f>'Key inputs_Refineries'!$C$175*10^3</f>
        <v>1829.088</v>
      </c>
      <c r="Q480" s="174">
        <f>'Key inputs_Refineries'!$C$175*10^3</f>
        <v>1829.088</v>
      </c>
      <c r="R480" s="174">
        <f>'Key inputs_Refineries'!$C$175*10^3</f>
        <v>1829.088</v>
      </c>
      <c r="S480" s="174">
        <f>'Key inputs_Refineries'!$C$175*10^3</f>
        <v>1829.088</v>
      </c>
      <c r="T480" s="174">
        <f>'Key inputs_Refineries'!$C$175*10^3</f>
        <v>1829.088</v>
      </c>
      <c r="U480" s="174">
        <f>'Key inputs_Refineries'!$C$175*10^3</f>
        <v>1829.088</v>
      </c>
      <c r="V480" s="174">
        <f>'Key inputs_Refineries'!$C$175*10^3</f>
        <v>1829.088</v>
      </c>
      <c r="W480" s="174">
        <f>'Key inputs_Refineries'!$C$175*10^3</f>
        <v>1829.088</v>
      </c>
      <c r="X480" s="174">
        <f>'Key inputs_Refineries'!$C$175*10^3</f>
        <v>1829.088</v>
      </c>
      <c r="Y480" s="174">
        <f>'Key inputs_Refineries'!$C$175*10^3</f>
        <v>1829.088</v>
      </c>
      <c r="Z480" s="174">
        <f>'Key inputs_Refineries'!$C$175*10^3</f>
        <v>1829.088</v>
      </c>
      <c r="AA480" s="174">
        <f>'Key inputs_Refineries'!$C$175*10^3</f>
        <v>1829.088</v>
      </c>
      <c r="AB480" s="174">
        <f>'Key inputs_Refineries'!$C$175*10^3</f>
        <v>1829.088</v>
      </c>
      <c r="AC480" s="174">
        <f>'Key inputs_Refineries'!$C$175*10^3</f>
        <v>1829.088</v>
      </c>
      <c r="AD480" s="174">
        <f>'Key inputs_Refineries'!$C$175*10^3</f>
        <v>1829.088</v>
      </c>
      <c r="AE480" s="174">
        <f>'Key inputs_Refineries'!$C$175*10^3</f>
        <v>1829.088</v>
      </c>
      <c r="AF480" s="174">
        <f>'Key inputs_Refineries'!$C$175*10^3</f>
        <v>1829.088</v>
      </c>
      <c r="AG480" s="174">
        <f>'Key inputs_Refineries'!$C$175*10^3</f>
        <v>1829.088</v>
      </c>
      <c r="AH480" s="174">
        <f>'Key inputs_Refineries'!$C$175*10^3</f>
        <v>1829.088</v>
      </c>
      <c r="AI480" s="174">
        <f>'Key inputs_Refineries'!$C$175*10^3</f>
        <v>1829.088</v>
      </c>
      <c r="AJ480" s="174">
        <f>'Key inputs_Refineries'!$C$175*10^3</f>
        <v>1829.088</v>
      </c>
      <c r="AK480" s="174">
        <f>'Key inputs_Refineries'!$C$175*10^3</f>
        <v>1829.088</v>
      </c>
      <c r="AL480" s="174">
        <f>'Key inputs_Refineries'!$C$175*10^3</f>
        <v>1829.088</v>
      </c>
    </row>
    <row r="481" spans="1:38">
      <c r="G481" s="4" t="s">
        <v>689</v>
      </c>
      <c r="H481" s="4"/>
      <c r="I481" s="4"/>
      <c r="J481" s="4" t="s">
        <v>2663</v>
      </c>
      <c r="K481" s="174">
        <f>'Key inputs_Refineries'!$D$175*10^3</f>
        <v>15.768000000000001</v>
      </c>
      <c r="L481" s="174">
        <f>'Key inputs_Refineries'!$D$175*10^3</f>
        <v>15.768000000000001</v>
      </c>
      <c r="M481" s="174">
        <f>'Key inputs_Refineries'!$D$175*10^3</f>
        <v>15.768000000000001</v>
      </c>
      <c r="N481" s="174">
        <f>'Key inputs_Refineries'!$D$175*10^3</f>
        <v>15.768000000000001</v>
      </c>
      <c r="O481" s="174">
        <f>'Key inputs_Refineries'!$D$175*10^3</f>
        <v>15.768000000000001</v>
      </c>
      <c r="P481" s="174">
        <f>'Key inputs_Refineries'!$D$175*10^3</f>
        <v>15.768000000000001</v>
      </c>
      <c r="Q481" s="174">
        <f>'Key inputs_Refineries'!$D$175*10^3</f>
        <v>15.768000000000001</v>
      </c>
      <c r="R481" s="174">
        <f>'Key inputs_Refineries'!$D$175*10^3</f>
        <v>15.768000000000001</v>
      </c>
      <c r="S481" s="174">
        <f>'Key inputs_Refineries'!$D$175*10^3</f>
        <v>15.768000000000001</v>
      </c>
      <c r="T481" s="174">
        <f>'Key inputs_Refineries'!$D$175*10^3</f>
        <v>15.768000000000001</v>
      </c>
      <c r="U481" s="174">
        <f>'Key inputs_Refineries'!$D$175*10^3</f>
        <v>15.768000000000001</v>
      </c>
      <c r="V481" s="174">
        <f>'Key inputs_Refineries'!$D$175*10^3</f>
        <v>15.768000000000001</v>
      </c>
      <c r="W481" s="174">
        <f>'Key inputs_Refineries'!$D$175*10^3</f>
        <v>15.768000000000001</v>
      </c>
      <c r="X481" s="174">
        <f>'Key inputs_Refineries'!$D$175*10^3</f>
        <v>15.768000000000001</v>
      </c>
      <c r="Y481" s="174">
        <f>'Key inputs_Refineries'!$D$175*10^3</f>
        <v>15.768000000000001</v>
      </c>
      <c r="Z481" s="174">
        <f>'Key inputs_Refineries'!$D$175*10^3</f>
        <v>15.768000000000001</v>
      </c>
      <c r="AA481" s="174">
        <f>'Key inputs_Refineries'!$D$175*10^3</f>
        <v>15.768000000000001</v>
      </c>
      <c r="AB481" s="174">
        <f>'Key inputs_Refineries'!$D$175*10^3</f>
        <v>15.768000000000001</v>
      </c>
      <c r="AC481" s="174">
        <f>'Key inputs_Refineries'!$D$175*10^3</f>
        <v>15.768000000000001</v>
      </c>
      <c r="AD481" s="174">
        <f>'Key inputs_Refineries'!$D$175*10^3</f>
        <v>15.768000000000001</v>
      </c>
      <c r="AE481" s="174">
        <f>'Key inputs_Refineries'!$D$175*10^3</f>
        <v>15.768000000000001</v>
      </c>
      <c r="AF481" s="174">
        <f>'Key inputs_Refineries'!$D$175*10^3</f>
        <v>15.768000000000001</v>
      </c>
      <c r="AG481" s="174">
        <f>'Key inputs_Refineries'!$D$175*10^3</f>
        <v>15.768000000000001</v>
      </c>
      <c r="AH481" s="174">
        <f>'Key inputs_Refineries'!$D$175*10^3</f>
        <v>15.768000000000001</v>
      </c>
      <c r="AI481" s="174">
        <f>'Key inputs_Refineries'!$D$175*10^3</f>
        <v>15.768000000000001</v>
      </c>
      <c r="AJ481" s="174">
        <f>'Key inputs_Refineries'!$D$175*10^3</f>
        <v>15.768000000000001</v>
      </c>
      <c r="AK481" s="174">
        <f>'Key inputs_Refineries'!$D$175*10^3</f>
        <v>15.768000000000001</v>
      </c>
      <c r="AL481" s="174">
        <f>'Key inputs_Refineries'!$D$175*10^3</f>
        <v>15.768000000000001</v>
      </c>
    </row>
    <row r="482" spans="1:38">
      <c r="G482" s="4" t="s">
        <v>675</v>
      </c>
      <c r="H482" s="4"/>
      <c r="I482" s="4"/>
      <c r="J482" s="4" t="s">
        <v>2662</v>
      </c>
    </row>
    <row r="483" spans="1:38">
      <c r="G483" s="4" t="s">
        <v>630</v>
      </c>
      <c r="H483" s="4"/>
      <c r="I483" s="4"/>
      <c r="J483" s="4" t="s">
        <v>2666</v>
      </c>
      <c r="K483" s="419">
        <f>'Key inputs_Refineries'!$H$175</f>
        <v>0.68</v>
      </c>
      <c r="L483" s="419">
        <f>'Key inputs_Refineries'!$H$175</f>
        <v>0.68</v>
      </c>
      <c r="M483" s="419">
        <f>'Key inputs_Refineries'!$H$175</f>
        <v>0.68</v>
      </c>
      <c r="N483" s="419">
        <f>'Key inputs_Refineries'!$H$175</f>
        <v>0.68</v>
      </c>
      <c r="O483" s="419">
        <f>'Key inputs_Refineries'!$H$175</f>
        <v>0.68</v>
      </c>
      <c r="P483" s="419">
        <f>'Key inputs_Refineries'!$H$175</f>
        <v>0.68</v>
      </c>
      <c r="Q483" s="419">
        <f>'Key inputs_Refineries'!$H$175</f>
        <v>0.68</v>
      </c>
      <c r="R483" s="419">
        <f>'Key inputs_Refineries'!$H$175</f>
        <v>0.68</v>
      </c>
      <c r="S483" s="419">
        <f>'Key inputs_Refineries'!$H$175</f>
        <v>0.68</v>
      </c>
      <c r="T483" s="419">
        <f>'Key inputs_Refineries'!$H$175</f>
        <v>0.68</v>
      </c>
      <c r="U483" s="419">
        <f>'Key inputs_Refineries'!$H$175</f>
        <v>0.68</v>
      </c>
      <c r="V483" s="419">
        <f>'Key inputs_Refineries'!$H$175</f>
        <v>0.68</v>
      </c>
      <c r="W483" s="419">
        <f>'Key inputs_Refineries'!$H$175</f>
        <v>0.68</v>
      </c>
      <c r="X483" s="419">
        <f>'Key inputs_Refineries'!$H$175</f>
        <v>0.68</v>
      </c>
      <c r="Y483" s="419">
        <f>'Key inputs_Refineries'!$H$175</f>
        <v>0.68</v>
      </c>
      <c r="Z483" s="419">
        <f>'Key inputs_Refineries'!$H$175</f>
        <v>0.68</v>
      </c>
      <c r="AA483" s="419">
        <f>'Key inputs_Refineries'!$H$175</f>
        <v>0.68</v>
      </c>
      <c r="AB483" s="419">
        <f>'Key inputs_Refineries'!$H$175</f>
        <v>0.68</v>
      </c>
      <c r="AC483" s="419">
        <f>'Key inputs_Refineries'!$H$175</f>
        <v>0.68</v>
      </c>
      <c r="AD483" s="419">
        <f>'Key inputs_Refineries'!$H$175</f>
        <v>0.68</v>
      </c>
      <c r="AE483" s="419">
        <f>'Key inputs_Refineries'!$H$175</f>
        <v>0.68</v>
      </c>
      <c r="AF483" s="419">
        <f>'Key inputs_Refineries'!$H$175</f>
        <v>0.68</v>
      </c>
      <c r="AG483" s="419">
        <f>'Key inputs_Refineries'!$H$175</f>
        <v>0.68</v>
      </c>
      <c r="AH483" s="419">
        <f>'Key inputs_Refineries'!$H$175</f>
        <v>0.68</v>
      </c>
      <c r="AI483" s="419">
        <f>'Key inputs_Refineries'!$H$175</f>
        <v>0.68</v>
      </c>
      <c r="AJ483" s="419">
        <f>'Key inputs_Refineries'!$H$175</f>
        <v>0.68</v>
      </c>
      <c r="AK483" s="419">
        <f>'Key inputs_Refineries'!$H$175</f>
        <v>0.68</v>
      </c>
      <c r="AL483" s="419">
        <f>'Key inputs_Refineries'!$H$175</f>
        <v>0.68</v>
      </c>
    </row>
    <row r="484" spans="1:38">
      <c r="C484" t="str">
        <f>Commodities!$C$86</f>
        <v>UPSCOA</v>
      </c>
      <c r="G484" s="4" t="s">
        <v>702</v>
      </c>
      <c r="H484" t="s">
        <v>661</v>
      </c>
      <c r="I484">
        <v>2019</v>
      </c>
      <c r="J484" t="s">
        <v>650</v>
      </c>
      <c r="K484" s="173">
        <v>1</v>
      </c>
      <c r="L484" s="173">
        <v>1</v>
      </c>
      <c r="M484" s="173">
        <v>1</v>
      </c>
      <c r="N484" s="173">
        <v>1</v>
      </c>
      <c r="O484" s="173">
        <v>1</v>
      </c>
      <c r="P484" s="173">
        <v>1</v>
      </c>
      <c r="Q484" s="173">
        <v>1</v>
      </c>
      <c r="R484" s="173">
        <v>1</v>
      </c>
      <c r="S484" s="173">
        <v>1</v>
      </c>
      <c r="T484" s="173">
        <v>1</v>
      </c>
      <c r="U484" s="173">
        <v>1</v>
      </c>
      <c r="V484" s="173">
        <v>1</v>
      </c>
      <c r="W484" s="173">
        <v>1</v>
      </c>
      <c r="X484" s="173">
        <v>1</v>
      </c>
      <c r="Y484" s="173">
        <v>1</v>
      </c>
      <c r="Z484" s="173">
        <v>1</v>
      </c>
      <c r="AA484" s="173">
        <v>1</v>
      </c>
      <c r="AB484" s="173">
        <v>1</v>
      </c>
      <c r="AC484" s="173">
        <v>1</v>
      </c>
      <c r="AD484" s="173">
        <v>1</v>
      </c>
      <c r="AE484" s="173">
        <v>1</v>
      </c>
      <c r="AF484" s="173">
        <v>1</v>
      </c>
      <c r="AG484" s="173">
        <v>1</v>
      </c>
      <c r="AH484" s="173">
        <v>1</v>
      </c>
      <c r="AI484" s="173">
        <v>1</v>
      </c>
      <c r="AJ484" s="173">
        <v>1</v>
      </c>
      <c r="AK484" s="173">
        <v>1</v>
      </c>
      <c r="AL484" s="173">
        <v>1</v>
      </c>
    </row>
    <row r="485" spans="1:38">
      <c r="D485" t="str">
        <f>Commodities!$C$104</f>
        <v>UREFBOI</v>
      </c>
    </row>
    <row r="486" spans="1:38">
      <c r="A486" s="4" t="str">
        <f>AO416</f>
        <v>U-TRF-OILREFBOI_ELC01</v>
      </c>
      <c r="B486" s="4" t="str">
        <f>AP416</f>
        <v>UPS Transformation: Oil refinery boilers Electricity - New</v>
      </c>
      <c r="C486" s="4"/>
      <c r="D486" s="4"/>
      <c r="E486" s="4"/>
      <c r="F486" s="4"/>
      <c r="G486" s="4" t="s">
        <v>695</v>
      </c>
      <c r="H486" s="4"/>
      <c r="I486" s="4"/>
      <c r="J486" s="4" t="s">
        <v>2665</v>
      </c>
      <c r="K486" s="333">
        <v>1</v>
      </c>
      <c r="L486" s="333">
        <v>1</v>
      </c>
      <c r="M486" s="333">
        <v>1</v>
      </c>
      <c r="N486" s="333">
        <v>1</v>
      </c>
      <c r="O486" s="333">
        <v>1</v>
      </c>
      <c r="P486" s="333">
        <v>1</v>
      </c>
      <c r="Q486" s="333">
        <v>1</v>
      </c>
      <c r="R486" s="333">
        <v>1</v>
      </c>
      <c r="S486" s="333">
        <v>1</v>
      </c>
      <c r="T486" s="333">
        <v>1</v>
      </c>
      <c r="U486" s="333">
        <v>1</v>
      </c>
      <c r="V486" s="333">
        <v>1</v>
      </c>
      <c r="W486" s="333">
        <v>1</v>
      </c>
      <c r="X486" s="333">
        <v>1</v>
      </c>
      <c r="Y486" s="333">
        <v>1</v>
      </c>
      <c r="Z486" s="333">
        <v>1</v>
      </c>
      <c r="AA486" s="333">
        <v>1</v>
      </c>
      <c r="AB486" s="333">
        <v>1</v>
      </c>
      <c r="AC486" s="333">
        <v>1</v>
      </c>
      <c r="AD486" s="333">
        <v>1</v>
      </c>
      <c r="AE486" s="333">
        <v>1</v>
      </c>
      <c r="AF486" s="333">
        <v>1</v>
      </c>
      <c r="AG486" s="333">
        <v>1</v>
      </c>
      <c r="AH486" s="333">
        <v>1</v>
      </c>
      <c r="AI486" s="333">
        <v>1</v>
      </c>
      <c r="AJ486" s="333">
        <v>1</v>
      </c>
      <c r="AK486" s="333">
        <v>1</v>
      </c>
      <c r="AL486" s="333">
        <v>1</v>
      </c>
    </row>
    <row r="487" spans="1:38">
      <c r="A487" s="4"/>
      <c r="B487" s="4"/>
      <c r="C487" s="4"/>
      <c r="D487" s="4"/>
      <c r="E487" s="4"/>
      <c r="F487" s="4"/>
      <c r="G487" s="4" t="s">
        <v>697</v>
      </c>
      <c r="H487" s="4"/>
      <c r="I487" s="4"/>
      <c r="J487" s="4" t="s">
        <v>698</v>
      </c>
      <c r="K487" s="424">
        <f>'Key inputs_Refineries'!$F$176</f>
        <v>15</v>
      </c>
      <c r="L487" s="424">
        <f>'Key inputs_Refineries'!$F$176</f>
        <v>15</v>
      </c>
      <c r="M487" s="424">
        <f>'Key inputs_Refineries'!$F$176</f>
        <v>15</v>
      </c>
      <c r="N487" s="424">
        <f>'Key inputs_Refineries'!$F$176</f>
        <v>15</v>
      </c>
      <c r="O487" s="424">
        <f>'Key inputs_Refineries'!$F$176</f>
        <v>15</v>
      </c>
      <c r="P487" s="424">
        <f>'Key inputs_Refineries'!$F$176</f>
        <v>15</v>
      </c>
      <c r="Q487" s="424">
        <f>'Key inputs_Refineries'!$F$176</f>
        <v>15</v>
      </c>
      <c r="R487" s="424">
        <f>'Key inputs_Refineries'!$F$176</f>
        <v>15</v>
      </c>
      <c r="S487" s="424">
        <f>'Key inputs_Refineries'!$F$176</f>
        <v>15</v>
      </c>
      <c r="T487" s="424">
        <f>'Key inputs_Refineries'!$F$176</f>
        <v>15</v>
      </c>
      <c r="U487" s="424">
        <f>'Key inputs_Refineries'!$F$176</f>
        <v>15</v>
      </c>
      <c r="V487" s="424">
        <f>'Key inputs_Refineries'!$F$176</f>
        <v>15</v>
      </c>
      <c r="W487" s="424">
        <f>'Key inputs_Refineries'!$F$176</f>
        <v>15</v>
      </c>
      <c r="X487" s="424">
        <f>'Key inputs_Refineries'!$F$176</f>
        <v>15</v>
      </c>
      <c r="Y487" s="424">
        <f>'Key inputs_Refineries'!$F$176</f>
        <v>15</v>
      </c>
      <c r="Z487" s="424">
        <f>'Key inputs_Refineries'!$F$176</f>
        <v>15</v>
      </c>
      <c r="AA487" s="424">
        <f>'Key inputs_Refineries'!$F$176</f>
        <v>15</v>
      </c>
      <c r="AB487" s="424">
        <f>'Key inputs_Refineries'!$F$176</f>
        <v>15</v>
      </c>
      <c r="AC487" s="424">
        <f>'Key inputs_Refineries'!$F$176</f>
        <v>15</v>
      </c>
      <c r="AD487" s="424">
        <f>'Key inputs_Refineries'!$F$176</f>
        <v>15</v>
      </c>
      <c r="AE487" s="424">
        <f>'Key inputs_Refineries'!$F$176</f>
        <v>15</v>
      </c>
      <c r="AF487" s="424">
        <f>'Key inputs_Refineries'!$F$176</f>
        <v>15</v>
      </c>
      <c r="AG487" s="424">
        <f>'Key inputs_Refineries'!$F$176</f>
        <v>15</v>
      </c>
      <c r="AH487" s="424">
        <f>'Key inputs_Refineries'!$F$176</f>
        <v>15</v>
      </c>
      <c r="AI487" s="424">
        <f>'Key inputs_Refineries'!$F$176</f>
        <v>15</v>
      </c>
      <c r="AJ487" s="424">
        <f>'Key inputs_Refineries'!$F$176</f>
        <v>15</v>
      </c>
      <c r="AK487" s="424">
        <f>'Key inputs_Refineries'!$F$176</f>
        <v>15</v>
      </c>
      <c r="AL487" s="424">
        <f>'Key inputs_Refineries'!$F$176</f>
        <v>15</v>
      </c>
    </row>
    <row r="488" spans="1:38">
      <c r="A488" s="4"/>
      <c r="B488" s="4"/>
      <c r="C488" s="4"/>
      <c r="D488" s="4"/>
      <c r="E488" s="4"/>
      <c r="F488" s="4"/>
      <c r="G488" s="4" t="s">
        <v>707</v>
      </c>
      <c r="H488" s="4"/>
      <c r="I488" s="4"/>
      <c r="J488" s="4" t="s">
        <v>2669</v>
      </c>
      <c r="K488" s="347">
        <v>2020</v>
      </c>
      <c r="L488" s="347">
        <v>2020</v>
      </c>
      <c r="M488" s="347">
        <v>2020</v>
      </c>
      <c r="N488" s="347">
        <v>2020</v>
      </c>
      <c r="O488" s="347">
        <v>2020</v>
      </c>
      <c r="P488" s="347">
        <v>2020</v>
      </c>
      <c r="Q488" s="347">
        <v>2020</v>
      </c>
      <c r="R488" s="347">
        <v>2020</v>
      </c>
      <c r="S488" s="347">
        <v>2020</v>
      </c>
      <c r="T488" s="347">
        <v>2020</v>
      </c>
      <c r="U488" s="347">
        <v>2020</v>
      </c>
      <c r="V488" s="347">
        <v>2020</v>
      </c>
      <c r="W488" s="347">
        <v>2020</v>
      </c>
      <c r="X488" s="347">
        <v>2020</v>
      </c>
      <c r="Y488" s="347">
        <v>2020</v>
      </c>
      <c r="Z488" s="347">
        <v>2020</v>
      </c>
      <c r="AA488" s="347">
        <v>2020</v>
      </c>
      <c r="AB488" s="347">
        <v>2020</v>
      </c>
      <c r="AC488" s="347">
        <v>2020</v>
      </c>
      <c r="AD488" s="347">
        <v>2020</v>
      </c>
      <c r="AE488" s="347">
        <v>2020</v>
      </c>
      <c r="AF488" s="347">
        <v>2020</v>
      </c>
      <c r="AG488" s="347">
        <v>2020</v>
      </c>
      <c r="AH488" s="347">
        <v>2020</v>
      </c>
      <c r="AI488" s="347">
        <v>2020</v>
      </c>
      <c r="AJ488" s="347">
        <v>2020</v>
      </c>
      <c r="AK488" s="347">
        <v>2020</v>
      </c>
      <c r="AL488" s="347">
        <v>2020</v>
      </c>
    </row>
    <row r="489" spans="1:38">
      <c r="G489" s="4" t="s">
        <v>701</v>
      </c>
      <c r="H489" s="4" t="s">
        <v>661</v>
      </c>
      <c r="I489" s="4">
        <v>2019</v>
      </c>
      <c r="J489" s="4" t="s">
        <v>112</v>
      </c>
      <c r="K489" s="333"/>
      <c r="L489" s="333"/>
      <c r="M489" s="333"/>
      <c r="N489" s="333"/>
      <c r="O489" s="333"/>
      <c r="P489" s="333"/>
      <c r="Q489" s="333"/>
      <c r="R489" s="333"/>
      <c r="S489" s="333"/>
      <c r="T489" s="333"/>
      <c r="U489" s="333"/>
      <c r="V489" s="333"/>
      <c r="W489" s="333"/>
      <c r="X489" s="333"/>
      <c r="Y489" s="333"/>
      <c r="Z489" s="333"/>
      <c r="AA489" s="333"/>
      <c r="AB489" s="333"/>
      <c r="AC489" s="333"/>
      <c r="AD489" s="333"/>
      <c r="AE489" s="333"/>
      <c r="AF489" s="333"/>
      <c r="AG489" s="333"/>
      <c r="AH489" s="333"/>
      <c r="AI489" s="333"/>
      <c r="AJ489" s="333"/>
      <c r="AK489" s="333"/>
      <c r="AL489" s="333"/>
    </row>
    <row r="490" spans="1:38">
      <c r="G490" s="4" t="s">
        <v>701</v>
      </c>
      <c r="H490" s="4" t="s">
        <v>661</v>
      </c>
      <c r="I490" s="4">
        <v>2060</v>
      </c>
      <c r="J490" s="4" t="s">
        <v>112</v>
      </c>
      <c r="K490" s="333"/>
      <c r="L490" s="333"/>
      <c r="M490" s="333"/>
      <c r="N490" s="333"/>
      <c r="O490" s="333"/>
      <c r="P490" s="333"/>
      <c r="Q490" s="333"/>
      <c r="R490" s="333"/>
      <c r="S490" s="333"/>
      <c r="T490" s="333"/>
      <c r="U490" s="333"/>
      <c r="V490" s="333"/>
      <c r="W490" s="333"/>
      <c r="X490" s="333"/>
      <c r="Y490" s="333"/>
      <c r="Z490" s="333"/>
      <c r="AA490" s="333"/>
      <c r="AB490" s="333"/>
      <c r="AC490" s="333"/>
      <c r="AD490" s="333"/>
      <c r="AE490" s="333"/>
      <c r="AF490" s="333"/>
      <c r="AG490" s="333"/>
      <c r="AH490" s="333"/>
      <c r="AI490" s="333"/>
      <c r="AJ490" s="333"/>
      <c r="AK490" s="333"/>
      <c r="AL490" s="333"/>
    </row>
    <row r="491" spans="1:38">
      <c r="G491" s="4" t="s">
        <v>701</v>
      </c>
      <c r="H491" s="4" t="s">
        <v>661</v>
      </c>
      <c r="I491" s="4">
        <v>0</v>
      </c>
      <c r="J491" s="4"/>
      <c r="K491" s="333"/>
      <c r="L491" s="333"/>
      <c r="M491" s="333"/>
      <c r="N491" s="333"/>
      <c r="O491" s="333"/>
      <c r="P491" s="333"/>
      <c r="Q491" s="333"/>
      <c r="R491" s="333"/>
      <c r="S491" s="333"/>
      <c r="T491" s="333"/>
      <c r="U491" s="333"/>
      <c r="V491" s="333"/>
      <c r="W491" s="333"/>
      <c r="X491" s="333"/>
      <c r="Y491" s="333"/>
      <c r="Z491" s="333"/>
      <c r="AA491" s="333"/>
      <c r="AB491" s="333"/>
      <c r="AC491" s="333"/>
      <c r="AD491" s="333"/>
      <c r="AE491" s="333"/>
      <c r="AF491" s="333"/>
      <c r="AG491" s="333"/>
      <c r="AH491" s="333"/>
      <c r="AI491" s="333"/>
      <c r="AJ491" s="333"/>
      <c r="AK491" s="333"/>
      <c r="AL491" s="333"/>
    </row>
    <row r="492" spans="1:38">
      <c r="G492" s="4" t="s">
        <v>687</v>
      </c>
      <c r="H492" s="4"/>
      <c r="I492" s="4"/>
      <c r="J492" s="4" t="s">
        <v>2663</v>
      </c>
      <c r="K492" s="174">
        <f>'Key inputs_Refineries'!$C$176*10^3</f>
        <v>946.08</v>
      </c>
      <c r="L492" s="174">
        <f>'Key inputs_Refineries'!$C$176*10^3</f>
        <v>946.08</v>
      </c>
      <c r="M492" s="174">
        <f>'Key inputs_Refineries'!$C$176*10^3</f>
        <v>946.08</v>
      </c>
      <c r="N492" s="174">
        <f>'Key inputs_Refineries'!$C$176*10^3</f>
        <v>946.08</v>
      </c>
      <c r="O492" s="174">
        <f>'Key inputs_Refineries'!$C$176*10^3</f>
        <v>946.08</v>
      </c>
      <c r="P492" s="174">
        <f>'Key inputs_Refineries'!$C$176*10^3</f>
        <v>946.08</v>
      </c>
      <c r="Q492" s="174">
        <f>'Key inputs_Refineries'!$C$176*10^3</f>
        <v>946.08</v>
      </c>
      <c r="R492" s="174">
        <f>'Key inputs_Refineries'!$C$176*10^3</f>
        <v>946.08</v>
      </c>
      <c r="S492" s="174">
        <f>'Key inputs_Refineries'!$C$176*10^3</f>
        <v>946.08</v>
      </c>
      <c r="T492" s="174">
        <f>'Key inputs_Refineries'!$C$176*10^3</f>
        <v>946.08</v>
      </c>
      <c r="U492" s="174">
        <f>'Key inputs_Refineries'!$C$176*10^3</f>
        <v>946.08</v>
      </c>
      <c r="V492" s="174">
        <f>'Key inputs_Refineries'!$C$176*10^3</f>
        <v>946.08</v>
      </c>
      <c r="W492" s="174">
        <f>'Key inputs_Refineries'!$C$176*10^3</f>
        <v>946.08</v>
      </c>
      <c r="X492" s="174">
        <f>'Key inputs_Refineries'!$C$176*10^3</f>
        <v>946.08</v>
      </c>
      <c r="Y492" s="174">
        <f>'Key inputs_Refineries'!$C$176*10^3</f>
        <v>946.08</v>
      </c>
      <c r="Z492" s="174">
        <f>'Key inputs_Refineries'!$C$176*10^3</f>
        <v>946.08</v>
      </c>
      <c r="AA492" s="174">
        <f>'Key inputs_Refineries'!$C$176*10^3</f>
        <v>946.08</v>
      </c>
      <c r="AB492" s="174">
        <f>'Key inputs_Refineries'!$C$176*10^3</f>
        <v>946.08</v>
      </c>
      <c r="AC492" s="174">
        <f>'Key inputs_Refineries'!$C$176*10^3</f>
        <v>946.08</v>
      </c>
      <c r="AD492" s="174">
        <f>'Key inputs_Refineries'!$C$176*10^3</f>
        <v>946.08</v>
      </c>
      <c r="AE492" s="174">
        <f>'Key inputs_Refineries'!$C$176*10^3</f>
        <v>946.08</v>
      </c>
      <c r="AF492" s="174">
        <f>'Key inputs_Refineries'!$C$176*10^3</f>
        <v>946.08</v>
      </c>
      <c r="AG492" s="174">
        <f>'Key inputs_Refineries'!$C$176*10^3</f>
        <v>946.08</v>
      </c>
      <c r="AH492" s="174">
        <f>'Key inputs_Refineries'!$C$176*10^3</f>
        <v>946.08</v>
      </c>
      <c r="AI492" s="174">
        <f>'Key inputs_Refineries'!$C$176*10^3</f>
        <v>946.08</v>
      </c>
      <c r="AJ492" s="174">
        <f>'Key inputs_Refineries'!$C$176*10^3</f>
        <v>946.08</v>
      </c>
      <c r="AK492" s="174">
        <f>'Key inputs_Refineries'!$C$176*10^3</f>
        <v>946.08</v>
      </c>
      <c r="AL492" s="174">
        <f>'Key inputs_Refineries'!$C$176*10^3</f>
        <v>946.08</v>
      </c>
    </row>
    <row r="493" spans="1:38">
      <c r="G493" s="4" t="s">
        <v>689</v>
      </c>
      <c r="H493" s="4"/>
      <c r="I493" s="4"/>
      <c r="J493" s="4" t="s">
        <v>2663</v>
      </c>
      <c r="K493" s="174">
        <f>'Key inputs_Refineries'!$D$176*10^3</f>
        <v>9.4608000000000008</v>
      </c>
      <c r="L493" s="174">
        <f>'Key inputs_Refineries'!$D$176*10^3</f>
        <v>9.4608000000000008</v>
      </c>
      <c r="M493" s="174">
        <f>'Key inputs_Refineries'!$D$176*10^3</f>
        <v>9.4608000000000008</v>
      </c>
      <c r="N493" s="174">
        <f>'Key inputs_Refineries'!$D$176*10^3</f>
        <v>9.4608000000000008</v>
      </c>
      <c r="O493" s="174">
        <f>'Key inputs_Refineries'!$D$176*10^3</f>
        <v>9.4608000000000008</v>
      </c>
      <c r="P493" s="174">
        <f>'Key inputs_Refineries'!$D$176*10^3</f>
        <v>9.4608000000000008</v>
      </c>
      <c r="Q493" s="174">
        <f>'Key inputs_Refineries'!$D$176*10^3</f>
        <v>9.4608000000000008</v>
      </c>
      <c r="R493" s="174">
        <f>'Key inputs_Refineries'!$D$176*10^3</f>
        <v>9.4608000000000008</v>
      </c>
      <c r="S493" s="174">
        <f>'Key inputs_Refineries'!$D$176*10^3</f>
        <v>9.4608000000000008</v>
      </c>
      <c r="T493" s="174">
        <f>'Key inputs_Refineries'!$D$176*10^3</f>
        <v>9.4608000000000008</v>
      </c>
      <c r="U493" s="174">
        <f>'Key inputs_Refineries'!$D$176*10^3</f>
        <v>9.4608000000000008</v>
      </c>
      <c r="V493" s="174">
        <f>'Key inputs_Refineries'!$D$176*10^3</f>
        <v>9.4608000000000008</v>
      </c>
      <c r="W493" s="174">
        <f>'Key inputs_Refineries'!$D$176*10^3</f>
        <v>9.4608000000000008</v>
      </c>
      <c r="X493" s="174">
        <f>'Key inputs_Refineries'!$D$176*10^3</f>
        <v>9.4608000000000008</v>
      </c>
      <c r="Y493" s="174">
        <f>'Key inputs_Refineries'!$D$176*10^3</f>
        <v>9.4608000000000008</v>
      </c>
      <c r="Z493" s="174">
        <f>'Key inputs_Refineries'!$D$176*10^3</f>
        <v>9.4608000000000008</v>
      </c>
      <c r="AA493" s="174">
        <f>'Key inputs_Refineries'!$D$176*10^3</f>
        <v>9.4608000000000008</v>
      </c>
      <c r="AB493" s="174">
        <f>'Key inputs_Refineries'!$D$176*10^3</f>
        <v>9.4608000000000008</v>
      </c>
      <c r="AC493" s="174">
        <f>'Key inputs_Refineries'!$D$176*10^3</f>
        <v>9.4608000000000008</v>
      </c>
      <c r="AD493" s="174">
        <f>'Key inputs_Refineries'!$D$176*10^3</f>
        <v>9.4608000000000008</v>
      </c>
      <c r="AE493" s="174">
        <f>'Key inputs_Refineries'!$D$176*10^3</f>
        <v>9.4608000000000008</v>
      </c>
      <c r="AF493" s="174">
        <f>'Key inputs_Refineries'!$D$176*10^3</f>
        <v>9.4608000000000008</v>
      </c>
      <c r="AG493" s="174">
        <f>'Key inputs_Refineries'!$D$176*10^3</f>
        <v>9.4608000000000008</v>
      </c>
      <c r="AH493" s="174">
        <f>'Key inputs_Refineries'!$D$176*10^3</f>
        <v>9.4608000000000008</v>
      </c>
      <c r="AI493" s="174">
        <f>'Key inputs_Refineries'!$D$176*10^3</f>
        <v>9.4608000000000008</v>
      </c>
      <c r="AJ493" s="174">
        <f>'Key inputs_Refineries'!$D$176*10^3</f>
        <v>9.4608000000000008</v>
      </c>
      <c r="AK493" s="174">
        <f>'Key inputs_Refineries'!$D$176*10^3</f>
        <v>9.4608000000000008</v>
      </c>
      <c r="AL493" s="174">
        <f>'Key inputs_Refineries'!$D$176*10^3</f>
        <v>9.4608000000000008</v>
      </c>
    </row>
    <row r="494" spans="1:38">
      <c r="G494" s="4" t="s">
        <v>675</v>
      </c>
      <c r="H494" s="4"/>
      <c r="I494" s="4"/>
      <c r="J494" s="4" t="s">
        <v>2662</v>
      </c>
    </row>
    <row r="495" spans="1:38">
      <c r="G495" s="4" t="s">
        <v>630</v>
      </c>
      <c r="H495" s="4"/>
      <c r="I495" s="4"/>
      <c r="J495" s="4" t="s">
        <v>2666</v>
      </c>
      <c r="K495" s="419">
        <f>'Key inputs_Refineries'!$H$176</f>
        <v>0.85</v>
      </c>
      <c r="L495" s="419">
        <f>'Key inputs_Refineries'!$H$176</f>
        <v>0.85</v>
      </c>
      <c r="M495" s="419">
        <f>'Key inputs_Refineries'!$H$176</f>
        <v>0.85</v>
      </c>
      <c r="N495" s="419">
        <f>'Key inputs_Refineries'!$H$176</f>
        <v>0.85</v>
      </c>
      <c r="O495" s="419">
        <f>'Key inputs_Refineries'!$H$176</f>
        <v>0.85</v>
      </c>
      <c r="P495" s="419">
        <f>'Key inputs_Refineries'!$H$176</f>
        <v>0.85</v>
      </c>
      <c r="Q495" s="419">
        <f>'Key inputs_Refineries'!$H$176</f>
        <v>0.85</v>
      </c>
      <c r="R495" s="419">
        <f>'Key inputs_Refineries'!$H$176</f>
        <v>0.85</v>
      </c>
      <c r="S495" s="419">
        <f>'Key inputs_Refineries'!$H$176</f>
        <v>0.85</v>
      </c>
      <c r="T495" s="419">
        <f>'Key inputs_Refineries'!$H$176</f>
        <v>0.85</v>
      </c>
      <c r="U495" s="419">
        <f>'Key inputs_Refineries'!$H$176</f>
        <v>0.85</v>
      </c>
      <c r="V495" s="419">
        <f>'Key inputs_Refineries'!$H$176</f>
        <v>0.85</v>
      </c>
      <c r="W495" s="419">
        <f>'Key inputs_Refineries'!$H$176</f>
        <v>0.85</v>
      </c>
      <c r="X495" s="419">
        <f>'Key inputs_Refineries'!$H$176</f>
        <v>0.85</v>
      </c>
      <c r="Y495" s="419">
        <f>'Key inputs_Refineries'!$H$176</f>
        <v>0.85</v>
      </c>
      <c r="Z495" s="419">
        <f>'Key inputs_Refineries'!$H$176</f>
        <v>0.85</v>
      </c>
      <c r="AA495" s="419">
        <f>'Key inputs_Refineries'!$H$176</f>
        <v>0.85</v>
      </c>
      <c r="AB495" s="419">
        <f>'Key inputs_Refineries'!$H$176</f>
        <v>0.85</v>
      </c>
      <c r="AC495" s="419">
        <f>'Key inputs_Refineries'!$H$176</f>
        <v>0.85</v>
      </c>
      <c r="AD495" s="419">
        <f>'Key inputs_Refineries'!$H$176</f>
        <v>0.85</v>
      </c>
      <c r="AE495" s="419">
        <f>'Key inputs_Refineries'!$H$176</f>
        <v>0.85</v>
      </c>
      <c r="AF495" s="419">
        <f>'Key inputs_Refineries'!$H$176</f>
        <v>0.85</v>
      </c>
      <c r="AG495" s="419">
        <f>'Key inputs_Refineries'!$H$176</f>
        <v>0.85</v>
      </c>
      <c r="AH495" s="419">
        <f>'Key inputs_Refineries'!$H$176</f>
        <v>0.85</v>
      </c>
      <c r="AI495" s="419">
        <f>'Key inputs_Refineries'!$H$176</f>
        <v>0.85</v>
      </c>
      <c r="AJ495" s="419">
        <f>'Key inputs_Refineries'!$H$176</f>
        <v>0.85</v>
      </c>
      <c r="AK495" s="419">
        <f>'Key inputs_Refineries'!$H$176</f>
        <v>0.85</v>
      </c>
      <c r="AL495" s="419">
        <f>'Key inputs_Refineries'!$H$176</f>
        <v>0.85</v>
      </c>
    </row>
    <row r="496" spans="1:38">
      <c r="C496" t="str">
        <f>Commodities!$C$91</f>
        <v>UPSELC</v>
      </c>
      <c r="G496" s="4" t="s">
        <v>702</v>
      </c>
      <c r="H496" t="s">
        <v>661</v>
      </c>
      <c r="I496">
        <v>2019</v>
      </c>
      <c r="J496" t="s">
        <v>650</v>
      </c>
      <c r="K496" s="173">
        <v>1</v>
      </c>
      <c r="L496" s="173">
        <v>1</v>
      </c>
      <c r="M496" s="173">
        <v>1</v>
      </c>
      <c r="N496" s="173">
        <v>1</v>
      </c>
      <c r="O496" s="173">
        <v>1</v>
      </c>
      <c r="P496" s="173">
        <v>1</v>
      </c>
      <c r="Q496" s="173">
        <v>1</v>
      </c>
      <c r="R496" s="173">
        <v>1</v>
      </c>
      <c r="S496" s="173">
        <v>1</v>
      </c>
      <c r="T496" s="173">
        <v>1</v>
      </c>
      <c r="U496" s="173">
        <v>1</v>
      </c>
      <c r="V496" s="173">
        <v>1</v>
      </c>
      <c r="W496" s="173">
        <v>1</v>
      </c>
      <c r="X496" s="173">
        <v>1</v>
      </c>
      <c r="Y496" s="173">
        <v>1</v>
      </c>
      <c r="Z496" s="173">
        <v>1</v>
      </c>
      <c r="AA496" s="173">
        <v>1</v>
      </c>
      <c r="AB496" s="173">
        <v>1</v>
      </c>
      <c r="AC496" s="173">
        <v>1</v>
      </c>
      <c r="AD496" s="173">
        <v>1</v>
      </c>
      <c r="AE496" s="173">
        <v>1</v>
      </c>
      <c r="AF496" s="173">
        <v>1</v>
      </c>
      <c r="AG496" s="173">
        <v>1</v>
      </c>
      <c r="AH496" s="173">
        <v>1</v>
      </c>
      <c r="AI496" s="173">
        <v>1</v>
      </c>
      <c r="AJ496" s="173">
        <v>1</v>
      </c>
      <c r="AK496" s="173">
        <v>1</v>
      </c>
      <c r="AL496" s="173">
        <v>1</v>
      </c>
    </row>
    <row r="497" spans="1:47">
      <c r="D497" t="str">
        <f>Commodities!$C$104</f>
        <v>UREFBOI</v>
      </c>
    </row>
    <row r="498" spans="1:47">
      <c r="A498" s="4" t="str">
        <f>AO417</f>
        <v>U-TRF-OILREFBOI_HET01</v>
      </c>
      <c r="B498" s="4" t="str">
        <f>AP417</f>
        <v>UPS Transformation: Oil refinery boilers Heat - New</v>
      </c>
      <c r="C498" s="4"/>
      <c r="D498" s="4"/>
      <c r="E498" s="4"/>
      <c r="F498" s="4"/>
      <c r="G498" s="4" t="s">
        <v>695</v>
      </c>
      <c r="H498" s="4"/>
      <c r="I498" s="4"/>
      <c r="J498" s="4" t="s">
        <v>2665</v>
      </c>
      <c r="K498" s="333">
        <v>1</v>
      </c>
      <c r="L498" s="333">
        <v>1</v>
      </c>
      <c r="M498" s="333">
        <v>1</v>
      </c>
      <c r="N498" s="333">
        <v>1</v>
      </c>
      <c r="O498" s="333">
        <v>1</v>
      </c>
      <c r="P498" s="333">
        <v>1</v>
      </c>
      <c r="Q498" s="333">
        <v>1</v>
      </c>
      <c r="R498" s="333">
        <v>1</v>
      </c>
      <c r="S498" s="333">
        <v>1</v>
      </c>
      <c r="T498" s="333">
        <v>1</v>
      </c>
      <c r="U498" s="333">
        <v>1</v>
      </c>
      <c r="V498" s="333">
        <v>1</v>
      </c>
      <c r="W498" s="333">
        <v>1</v>
      </c>
      <c r="X498" s="333">
        <v>1</v>
      </c>
      <c r="Y498" s="333">
        <v>1</v>
      </c>
      <c r="Z498" s="333">
        <v>1</v>
      </c>
      <c r="AA498" s="333">
        <v>1</v>
      </c>
      <c r="AB498" s="333">
        <v>1</v>
      </c>
      <c r="AC498" s="333">
        <v>1</v>
      </c>
      <c r="AD498" s="333">
        <v>1</v>
      </c>
      <c r="AE498" s="333">
        <v>1</v>
      </c>
      <c r="AF498" s="333">
        <v>1</v>
      </c>
      <c r="AG498" s="333">
        <v>1</v>
      </c>
      <c r="AH498" s="333">
        <v>1</v>
      </c>
      <c r="AI498" s="333">
        <v>1</v>
      </c>
      <c r="AJ498" s="333">
        <v>1</v>
      </c>
      <c r="AK498" s="333">
        <v>1</v>
      </c>
      <c r="AL498" s="333">
        <v>1</v>
      </c>
    </row>
    <row r="499" spans="1:47">
      <c r="A499" s="4"/>
      <c r="B499" s="4"/>
      <c r="C499" s="4"/>
      <c r="D499" s="4"/>
      <c r="E499" s="4"/>
      <c r="F499" s="4"/>
      <c r="G499" s="4" t="s">
        <v>697</v>
      </c>
      <c r="H499" s="4"/>
      <c r="I499" s="4"/>
      <c r="J499" s="4" t="s">
        <v>698</v>
      </c>
      <c r="K499" s="424">
        <f>'Key inputs_Refineries'!$F$177</f>
        <v>15</v>
      </c>
      <c r="L499" s="424">
        <f>'Key inputs_Refineries'!$F$177</f>
        <v>15</v>
      </c>
      <c r="M499" s="424">
        <f>'Key inputs_Refineries'!$F$177</f>
        <v>15</v>
      </c>
      <c r="N499" s="424">
        <f>'Key inputs_Refineries'!$F$177</f>
        <v>15</v>
      </c>
      <c r="O499" s="424">
        <f>'Key inputs_Refineries'!$F$177</f>
        <v>15</v>
      </c>
      <c r="P499" s="424">
        <f>'Key inputs_Refineries'!$F$177</f>
        <v>15</v>
      </c>
      <c r="Q499" s="424">
        <f>'Key inputs_Refineries'!$F$177</f>
        <v>15</v>
      </c>
      <c r="R499" s="424">
        <f>'Key inputs_Refineries'!$F$177</f>
        <v>15</v>
      </c>
      <c r="S499" s="424">
        <f>'Key inputs_Refineries'!$F$177</f>
        <v>15</v>
      </c>
      <c r="T499" s="424">
        <f>'Key inputs_Refineries'!$F$177</f>
        <v>15</v>
      </c>
      <c r="U499" s="424">
        <f>'Key inputs_Refineries'!$F$177</f>
        <v>15</v>
      </c>
      <c r="V499" s="424">
        <f>'Key inputs_Refineries'!$F$177</f>
        <v>15</v>
      </c>
      <c r="W499" s="424">
        <f>'Key inputs_Refineries'!$F$177</f>
        <v>15</v>
      </c>
      <c r="X499" s="424">
        <f>'Key inputs_Refineries'!$F$177</f>
        <v>15</v>
      </c>
      <c r="Y499" s="424">
        <f>'Key inputs_Refineries'!$F$177</f>
        <v>15</v>
      </c>
      <c r="Z499" s="424">
        <f>'Key inputs_Refineries'!$F$177</f>
        <v>15</v>
      </c>
      <c r="AA499" s="424">
        <f>'Key inputs_Refineries'!$F$177</f>
        <v>15</v>
      </c>
      <c r="AB499" s="424">
        <f>'Key inputs_Refineries'!$F$177</f>
        <v>15</v>
      </c>
      <c r="AC499" s="424">
        <f>'Key inputs_Refineries'!$F$177</f>
        <v>15</v>
      </c>
      <c r="AD499" s="424">
        <f>'Key inputs_Refineries'!$F$177</f>
        <v>15</v>
      </c>
      <c r="AE499" s="424">
        <f>'Key inputs_Refineries'!$F$177</f>
        <v>15</v>
      </c>
      <c r="AF499" s="424">
        <f>'Key inputs_Refineries'!$F$177</f>
        <v>15</v>
      </c>
      <c r="AG499" s="424">
        <f>'Key inputs_Refineries'!$F$177</f>
        <v>15</v>
      </c>
      <c r="AH499" s="424">
        <f>'Key inputs_Refineries'!$F$177</f>
        <v>15</v>
      </c>
      <c r="AI499" s="424">
        <f>'Key inputs_Refineries'!$F$177</f>
        <v>15</v>
      </c>
      <c r="AJ499" s="424">
        <f>'Key inputs_Refineries'!$F$177</f>
        <v>15</v>
      </c>
      <c r="AK499" s="424">
        <f>'Key inputs_Refineries'!$F$177</f>
        <v>15</v>
      </c>
      <c r="AL499" s="424">
        <f>'Key inputs_Refineries'!$F$177</f>
        <v>15</v>
      </c>
    </row>
    <row r="500" spans="1:47">
      <c r="A500" s="4"/>
      <c r="B500" s="4"/>
      <c r="C500" s="4"/>
      <c r="D500" s="4"/>
      <c r="E500" s="4"/>
      <c r="F500" s="4"/>
      <c r="G500" s="4" t="s">
        <v>707</v>
      </c>
      <c r="H500" s="4"/>
      <c r="I500" s="4"/>
      <c r="J500" s="4" t="s">
        <v>2669</v>
      </c>
      <c r="K500" s="347">
        <v>2020</v>
      </c>
      <c r="L500" s="347">
        <v>2020</v>
      </c>
      <c r="M500" s="347">
        <v>2020</v>
      </c>
      <c r="N500" s="347">
        <v>2020</v>
      </c>
      <c r="O500" s="347">
        <v>2020</v>
      </c>
      <c r="P500" s="347">
        <v>2020</v>
      </c>
      <c r="Q500" s="347">
        <v>2020</v>
      </c>
      <c r="R500" s="347">
        <v>2020</v>
      </c>
      <c r="S500" s="347">
        <v>2020</v>
      </c>
      <c r="T500" s="347">
        <v>2020</v>
      </c>
      <c r="U500" s="347">
        <v>2020</v>
      </c>
      <c r="V500" s="347">
        <v>2020</v>
      </c>
      <c r="W500" s="347">
        <v>2020</v>
      </c>
      <c r="X500" s="347">
        <v>2020</v>
      </c>
      <c r="Y500" s="347">
        <v>2020</v>
      </c>
      <c r="Z500" s="347">
        <v>2020</v>
      </c>
      <c r="AA500" s="347">
        <v>2020</v>
      </c>
      <c r="AB500" s="347">
        <v>2020</v>
      </c>
      <c r="AC500" s="347">
        <v>2020</v>
      </c>
      <c r="AD500" s="347">
        <v>2020</v>
      </c>
      <c r="AE500" s="347">
        <v>2020</v>
      </c>
      <c r="AF500" s="347">
        <v>2020</v>
      </c>
      <c r="AG500" s="347">
        <v>2020</v>
      </c>
      <c r="AH500" s="347">
        <v>2020</v>
      </c>
      <c r="AI500" s="347">
        <v>2020</v>
      </c>
      <c r="AJ500" s="347">
        <v>2020</v>
      </c>
      <c r="AK500" s="347">
        <v>2020</v>
      </c>
      <c r="AL500" s="347">
        <v>2020</v>
      </c>
    </row>
    <row r="501" spans="1:47">
      <c r="G501" s="4" t="s">
        <v>701</v>
      </c>
      <c r="H501" s="4" t="s">
        <v>661</v>
      </c>
      <c r="I501" s="4">
        <v>2019</v>
      </c>
      <c r="J501" s="4" t="s">
        <v>112</v>
      </c>
      <c r="K501" s="333"/>
      <c r="L501" s="333"/>
      <c r="M501" s="333"/>
      <c r="N501" s="333"/>
      <c r="O501" s="333"/>
      <c r="P501" s="333"/>
      <c r="Q501" s="333"/>
      <c r="R501" s="333"/>
      <c r="S501" s="333"/>
      <c r="T501" s="333"/>
      <c r="U501" s="333"/>
      <c r="V501" s="333"/>
      <c r="W501" s="333"/>
      <c r="X501" s="333"/>
      <c r="Y501" s="333"/>
      <c r="Z501" s="333"/>
      <c r="AA501" s="333"/>
      <c r="AB501" s="333"/>
      <c r="AC501" s="333"/>
      <c r="AD501" s="333"/>
      <c r="AE501" s="333"/>
      <c r="AF501" s="333"/>
      <c r="AG501" s="333"/>
      <c r="AH501" s="333"/>
      <c r="AI501" s="333"/>
      <c r="AJ501" s="333"/>
      <c r="AK501" s="333"/>
      <c r="AL501" s="333"/>
      <c r="AN501" s="353"/>
      <c r="AO501" s="353"/>
      <c r="AP501" s="353"/>
      <c r="AQ501" s="353"/>
      <c r="AR501" s="353"/>
      <c r="AS501" s="353"/>
    </row>
    <row r="502" spans="1:47">
      <c r="G502" s="4" t="s">
        <v>701</v>
      </c>
      <c r="H502" s="4" t="s">
        <v>661</v>
      </c>
      <c r="I502" s="4">
        <v>2060</v>
      </c>
      <c r="J502" s="4" t="s">
        <v>112</v>
      </c>
      <c r="K502" s="333"/>
      <c r="L502" s="333"/>
      <c r="M502" s="333"/>
      <c r="N502" s="333"/>
      <c r="O502" s="333"/>
      <c r="P502" s="333"/>
      <c r="Q502" s="333"/>
      <c r="R502" s="333"/>
      <c r="S502" s="333"/>
      <c r="T502" s="333"/>
      <c r="U502" s="333"/>
      <c r="V502" s="333"/>
      <c r="W502" s="333"/>
      <c r="X502" s="333"/>
      <c r="Y502" s="333"/>
      <c r="Z502" s="333"/>
      <c r="AA502" s="333"/>
      <c r="AB502" s="333"/>
      <c r="AC502" s="333"/>
      <c r="AD502" s="333"/>
      <c r="AE502" s="333"/>
      <c r="AF502" s="333"/>
      <c r="AG502" s="333"/>
      <c r="AH502" s="333"/>
      <c r="AI502" s="333"/>
      <c r="AJ502" s="333"/>
      <c r="AK502" s="333"/>
      <c r="AL502" s="333"/>
    </row>
    <row r="503" spans="1:47">
      <c r="G503" s="4" t="s">
        <v>701</v>
      </c>
      <c r="H503" s="4" t="s">
        <v>661</v>
      </c>
      <c r="I503" s="4">
        <v>0</v>
      </c>
      <c r="J503" s="4"/>
      <c r="K503" s="333"/>
      <c r="L503" s="333"/>
      <c r="M503" s="333"/>
      <c r="N503" s="333"/>
      <c r="O503" s="333"/>
      <c r="P503" s="333"/>
      <c r="Q503" s="333"/>
      <c r="R503" s="333"/>
      <c r="S503" s="333"/>
      <c r="T503" s="333"/>
      <c r="U503" s="333"/>
      <c r="V503" s="333"/>
      <c r="W503" s="333"/>
      <c r="X503" s="333"/>
      <c r="Y503" s="333"/>
      <c r="Z503" s="333"/>
      <c r="AA503" s="333"/>
      <c r="AB503" s="333"/>
      <c r="AC503" s="333"/>
      <c r="AD503" s="333"/>
      <c r="AE503" s="333"/>
      <c r="AF503" s="333"/>
      <c r="AG503" s="333"/>
      <c r="AH503" s="333"/>
      <c r="AI503" s="333"/>
      <c r="AJ503" s="333"/>
      <c r="AK503" s="333"/>
      <c r="AL503" s="333"/>
    </row>
    <row r="504" spans="1:47">
      <c r="G504" s="4" t="s">
        <v>687</v>
      </c>
      <c r="H504" s="4"/>
      <c r="I504" s="4"/>
      <c r="J504" s="4" t="s">
        <v>2663</v>
      </c>
      <c r="K504" s="174">
        <f>'Key inputs_Refineries'!$C$177*10^3</f>
        <v>946.08</v>
      </c>
      <c r="L504" s="174">
        <f>'Key inputs_Refineries'!$C$177*10^3</f>
        <v>946.08</v>
      </c>
      <c r="M504" s="174">
        <f>'Key inputs_Refineries'!$C$177*10^3</f>
        <v>946.08</v>
      </c>
      <c r="N504" s="174">
        <f>'Key inputs_Refineries'!$C$177*10^3</f>
        <v>946.08</v>
      </c>
      <c r="O504" s="174">
        <f>'Key inputs_Refineries'!$C$177*10^3</f>
        <v>946.08</v>
      </c>
      <c r="P504" s="174">
        <f>'Key inputs_Refineries'!$C$177*10^3</f>
        <v>946.08</v>
      </c>
      <c r="Q504" s="174">
        <f>'Key inputs_Refineries'!$C$177*10^3</f>
        <v>946.08</v>
      </c>
      <c r="R504" s="174">
        <f>'Key inputs_Refineries'!$C$177*10^3</f>
        <v>946.08</v>
      </c>
      <c r="S504" s="174">
        <f>'Key inputs_Refineries'!$C$177*10^3</f>
        <v>946.08</v>
      </c>
      <c r="T504" s="174">
        <f>'Key inputs_Refineries'!$C$177*10^3</f>
        <v>946.08</v>
      </c>
      <c r="U504" s="174">
        <f>'Key inputs_Refineries'!$C$177*10^3</f>
        <v>946.08</v>
      </c>
      <c r="V504" s="174">
        <f>'Key inputs_Refineries'!$C$177*10^3</f>
        <v>946.08</v>
      </c>
      <c r="W504" s="174">
        <f>'Key inputs_Refineries'!$C$177*10^3</f>
        <v>946.08</v>
      </c>
      <c r="X504" s="174">
        <f>'Key inputs_Refineries'!$C$177*10^3</f>
        <v>946.08</v>
      </c>
      <c r="Y504" s="174">
        <f>'Key inputs_Refineries'!$C$177*10^3</f>
        <v>946.08</v>
      </c>
      <c r="Z504" s="174">
        <f>'Key inputs_Refineries'!$C$177*10^3</f>
        <v>946.08</v>
      </c>
      <c r="AA504" s="174">
        <f>'Key inputs_Refineries'!$C$177*10^3</f>
        <v>946.08</v>
      </c>
      <c r="AB504" s="174">
        <f>'Key inputs_Refineries'!$C$177*10^3</f>
        <v>946.08</v>
      </c>
      <c r="AC504" s="174">
        <f>'Key inputs_Refineries'!$C$177*10^3</f>
        <v>946.08</v>
      </c>
      <c r="AD504" s="174">
        <f>'Key inputs_Refineries'!$C$177*10^3</f>
        <v>946.08</v>
      </c>
      <c r="AE504" s="174">
        <f>'Key inputs_Refineries'!$C$177*10^3</f>
        <v>946.08</v>
      </c>
      <c r="AF504" s="174">
        <f>'Key inputs_Refineries'!$C$177*10^3</f>
        <v>946.08</v>
      </c>
      <c r="AG504" s="174">
        <f>'Key inputs_Refineries'!$C$177*10^3</f>
        <v>946.08</v>
      </c>
      <c r="AH504" s="174">
        <f>'Key inputs_Refineries'!$C$177*10^3</f>
        <v>946.08</v>
      </c>
      <c r="AI504" s="174">
        <f>'Key inputs_Refineries'!$C$177*10^3</f>
        <v>946.08</v>
      </c>
      <c r="AJ504" s="174">
        <f>'Key inputs_Refineries'!$C$177*10^3</f>
        <v>946.08</v>
      </c>
      <c r="AK504" s="174">
        <f>'Key inputs_Refineries'!$C$177*10^3</f>
        <v>946.08</v>
      </c>
      <c r="AL504" s="174">
        <f>'Key inputs_Refineries'!$C$177*10^3</f>
        <v>946.08</v>
      </c>
    </row>
    <row r="505" spans="1:47">
      <c r="G505" s="4" t="s">
        <v>689</v>
      </c>
      <c r="H505" s="4"/>
      <c r="I505" s="4"/>
      <c r="J505" s="4" t="s">
        <v>2663</v>
      </c>
      <c r="K505" s="174">
        <f>'Key inputs_Refineries'!$D$177*10^3</f>
        <v>9.4608000000000008</v>
      </c>
      <c r="L505" s="174">
        <f>'Key inputs_Refineries'!$D$177*10^3</f>
        <v>9.4608000000000008</v>
      </c>
      <c r="M505" s="174">
        <f>'Key inputs_Refineries'!$D$177*10^3</f>
        <v>9.4608000000000008</v>
      </c>
      <c r="N505" s="174">
        <f>'Key inputs_Refineries'!$D$177*10^3</f>
        <v>9.4608000000000008</v>
      </c>
      <c r="O505" s="174">
        <f>'Key inputs_Refineries'!$D$177*10^3</f>
        <v>9.4608000000000008</v>
      </c>
      <c r="P505" s="174">
        <f>'Key inputs_Refineries'!$D$177*10^3</f>
        <v>9.4608000000000008</v>
      </c>
      <c r="Q505" s="174">
        <f>'Key inputs_Refineries'!$D$177*10^3</f>
        <v>9.4608000000000008</v>
      </c>
      <c r="R505" s="174">
        <f>'Key inputs_Refineries'!$D$177*10^3</f>
        <v>9.4608000000000008</v>
      </c>
      <c r="S505" s="174">
        <f>'Key inputs_Refineries'!$D$177*10^3</f>
        <v>9.4608000000000008</v>
      </c>
      <c r="T505" s="174">
        <f>'Key inputs_Refineries'!$D$177*10^3</f>
        <v>9.4608000000000008</v>
      </c>
      <c r="U505" s="174">
        <f>'Key inputs_Refineries'!$D$177*10^3</f>
        <v>9.4608000000000008</v>
      </c>
      <c r="V505" s="174">
        <f>'Key inputs_Refineries'!$D$177*10^3</f>
        <v>9.4608000000000008</v>
      </c>
      <c r="W505" s="174">
        <f>'Key inputs_Refineries'!$D$177*10^3</f>
        <v>9.4608000000000008</v>
      </c>
      <c r="X505" s="174">
        <f>'Key inputs_Refineries'!$D$177*10^3</f>
        <v>9.4608000000000008</v>
      </c>
      <c r="Y505" s="174">
        <f>'Key inputs_Refineries'!$D$177*10^3</f>
        <v>9.4608000000000008</v>
      </c>
      <c r="Z505" s="174">
        <f>'Key inputs_Refineries'!$D$177*10^3</f>
        <v>9.4608000000000008</v>
      </c>
      <c r="AA505" s="174">
        <f>'Key inputs_Refineries'!$D$177*10^3</f>
        <v>9.4608000000000008</v>
      </c>
      <c r="AB505" s="174">
        <f>'Key inputs_Refineries'!$D$177*10^3</f>
        <v>9.4608000000000008</v>
      </c>
      <c r="AC505" s="174">
        <f>'Key inputs_Refineries'!$D$177*10^3</f>
        <v>9.4608000000000008</v>
      </c>
      <c r="AD505" s="174">
        <f>'Key inputs_Refineries'!$D$177*10^3</f>
        <v>9.4608000000000008</v>
      </c>
      <c r="AE505" s="174">
        <f>'Key inputs_Refineries'!$D$177*10^3</f>
        <v>9.4608000000000008</v>
      </c>
      <c r="AF505" s="174">
        <f>'Key inputs_Refineries'!$D$177*10^3</f>
        <v>9.4608000000000008</v>
      </c>
      <c r="AG505" s="174">
        <f>'Key inputs_Refineries'!$D$177*10^3</f>
        <v>9.4608000000000008</v>
      </c>
      <c r="AH505" s="174">
        <f>'Key inputs_Refineries'!$D$177*10^3</f>
        <v>9.4608000000000008</v>
      </c>
      <c r="AI505" s="174">
        <f>'Key inputs_Refineries'!$D$177*10^3</f>
        <v>9.4608000000000008</v>
      </c>
      <c r="AJ505" s="174">
        <f>'Key inputs_Refineries'!$D$177*10^3</f>
        <v>9.4608000000000008</v>
      </c>
      <c r="AK505" s="174">
        <f>'Key inputs_Refineries'!$D$177*10^3</f>
        <v>9.4608000000000008</v>
      </c>
      <c r="AL505" s="174">
        <f>'Key inputs_Refineries'!$D$177*10^3</f>
        <v>9.4608000000000008</v>
      </c>
    </row>
    <row r="506" spans="1:47">
      <c r="G506" s="4" t="s">
        <v>675</v>
      </c>
      <c r="H506" s="4"/>
      <c r="I506" s="4"/>
      <c r="J506" s="4" t="s">
        <v>2662</v>
      </c>
    </row>
    <row r="507" spans="1:47">
      <c r="G507" s="4" t="s">
        <v>630</v>
      </c>
      <c r="H507" s="4"/>
      <c r="I507" s="4"/>
      <c r="J507" s="4" t="s">
        <v>2666</v>
      </c>
      <c r="K507" s="338">
        <f>'Key inputs_Refineries'!$H$177</f>
        <v>0.99</v>
      </c>
      <c r="L507" s="338">
        <f>'Key inputs_Refineries'!$H$177</f>
        <v>0.99</v>
      </c>
      <c r="M507" s="338">
        <f>'Key inputs_Refineries'!$H$177</f>
        <v>0.99</v>
      </c>
      <c r="N507" s="338">
        <f>'Key inputs_Refineries'!$H$177</f>
        <v>0.99</v>
      </c>
      <c r="O507" s="338">
        <f>'Key inputs_Refineries'!$H$177</f>
        <v>0.99</v>
      </c>
      <c r="P507" s="338">
        <f>'Key inputs_Refineries'!$H$177</f>
        <v>0.99</v>
      </c>
      <c r="Q507" s="338">
        <f>'Key inputs_Refineries'!$H$177</f>
        <v>0.99</v>
      </c>
      <c r="R507" s="338">
        <f>'Key inputs_Refineries'!$H$177</f>
        <v>0.99</v>
      </c>
      <c r="S507" s="338">
        <f>'Key inputs_Refineries'!$H$177</f>
        <v>0.99</v>
      </c>
      <c r="T507" s="338">
        <f>'Key inputs_Refineries'!$H$177</f>
        <v>0.99</v>
      </c>
      <c r="U507" s="338">
        <f>'Key inputs_Refineries'!$H$177</f>
        <v>0.99</v>
      </c>
      <c r="V507" s="338">
        <f>'Key inputs_Refineries'!$H$177</f>
        <v>0.99</v>
      </c>
      <c r="W507" s="338">
        <f>'Key inputs_Refineries'!$H$177</f>
        <v>0.99</v>
      </c>
      <c r="X507" s="338">
        <f>'Key inputs_Refineries'!$H$177</f>
        <v>0.99</v>
      </c>
      <c r="Y507" s="338">
        <f>'Key inputs_Refineries'!$H$177</f>
        <v>0.99</v>
      </c>
      <c r="Z507" s="338">
        <f>'Key inputs_Refineries'!$H$177</f>
        <v>0.99</v>
      </c>
      <c r="AA507" s="338">
        <f>'Key inputs_Refineries'!$H$177</f>
        <v>0.99</v>
      </c>
      <c r="AB507" s="338">
        <f>'Key inputs_Refineries'!$H$177</f>
        <v>0.99</v>
      </c>
      <c r="AC507" s="338">
        <f>'Key inputs_Refineries'!$H$177</f>
        <v>0.99</v>
      </c>
      <c r="AD507" s="338">
        <f>'Key inputs_Refineries'!$H$177</f>
        <v>0.99</v>
      </c>
      <c r="AE507" s="338">
        <f>'Key inputs_Refineries'!$H$177</f>
        <v>0.99</v>
      </c>
      <c r="AF507" s="338">
        <f>'Key inputs_Refineries'!$H$177</f>
        <v>0.99</v>
      </c>
      <c r="AG507" s="338">
        <f>'Key inputs_Refineries'!$H$177</f>
        <v>0.99</v>
      </c>
      <c r="AH507" s="338">
        <f>'Key inputs_Refineries'!$H$177</f>
        <v>0.99</v>
      </c>
      <c r="AI507" s="338">
        <f>'Key inputs_Refineries'!$H$177</f>
        <v>0.99</v>
      </c>
      <c r="AJ507" s="338">
        <f>'Key inputs_Refineries'!$H$177</f>
        <v>0.99</v>
      </c>
      <c r="AK507" s="338">
        <f>'Key inputs_Refineries'!$H$177</f>
        <v>0.99</v>
      </c>
      <c r="AL507" s="338">
        <f>'Key inputs_Refineries'!$H$177</f>
        <v>0.99</v>
      </c>
    </row>
    <row r="508" spans="1:47">
      <c r="C508" t="str">
        <f>Commodities!$C$94</f>
        <v>UPSHET</v>
      </c>
      <c r="G508" s="4" t="s">
        <v>702</v>
      </c>
      <c r="H508" t="s">
        <v>661</v>
      </c>
      <c r="I508">
        <v>2019</v>
      </c>
      <c r="J508" t="s">
        <v>650</v>
      </c>
      <c r="K508" s="173">
        <v>1</v>
      </c>
      <c r="L508" s="173">
        <v>1</v>
      </c>
      <c r="M508" s="173">
        <v>1</v>
      </c>
      <c r="N508" s="173">
        <v>1</v>
      </c>
      <c r="O508" s="173">
        <v>1</v>
      </c>
      <c r="P508" s="173">
        <v>1</v>
      </c>
      <c r="Q508" s="173">
        <v>1</v>
      </c>
      <c r="R508" s="173">
        <v>1</v>
      </c>
      <c r="S508" s="173">
        <v>1</v>
      </c>
      <c r="T508" s="173">
        <v>1</v>
      </c>
      <c r="U508" s="173">
        <v>1</v>
      </c>
      <c r="V508" s="173">
        <v>1</v>
      </c>
      <c r="W508" s="173">
        <v>1</v>
      </c>
      <c r="X508" s="173">
        <v>1</v>
      </c>
      <c r="Y508" s="173">
        <v>1</v>
      </c>
      <c r="Z508" s="173">
        <v>1</v>
      </c>
      <c r="AA508" s="173">
        <v>1</v>
      </c>
      <c r="AB508" s="173">
        <v>1</v>
      </c>
      <c r="AC508" s="173">
        <v>1</v>
      </c>
      <c r="AD508" s="173">
        <v>1</v>
      </c>
      <c r="AE508" s="173">
        <v>1</v>
      </c>
      <c r="AF508" s="173">
        <v>1</v>
      </c>
      <c r="AG508" s="173">
        <v>1</v>
      </c>
      <c r="AH508" s="173">
        <v>1</v>
      </c>
      <c r="AI508" s="173">
        <v>1</v>
      </c>
      <c r="AJ508" s="173">
        <v>1</v>
      </c>
      <c r="AK508" s="173">
        <v>1</v>
      </c>
      <c r="AL508" s="173">
        <v>1</v>
      </c>
      <c r="AT508" s="353"/>
      <c r="AU508" s="353"/>
    </row>
    <row r="509" spans="1:47" s="4" customFormat="1">
      <c r="A509" s="236"/>
      <c r="B509" s="236"/>
      <c r="C509" s="236"/>
      <c r="D509" s="236" t="str">
        <f>Commodities!$C$104</f>
        <v>UREFBOI</v>
      </c>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c r="AE509" s="236"/>
      <c r="AF509" s="236"/>
      <c r="AG509" s="236"/>
      <c r="AH509" s="236"/>
      <c r="AI509" s="236"/>
      <c r="AJ509" s="236"/>
      <c r="AK509" s="236"/>
      <c r="AL509" s="236"/>
      <c r="AN509"/>
      <c r="AO509"/>
      <c r="AP509"/>
      <c r="AQ509"/>
      <c r="AR509"/>
      <c r="AS509"/>
      <c r="AT509"/>
      <c r="AU509"/>
    </row>
    <row r="510" spans="1:47">
      <c r="A510" s="257" t="s">
        <v>709</v>
      </c>
      <c r="B510" s="257"/>
      <c r="C510" s="257"/>
      <c r="D510" s="257"/>
      <c r="E510" s="257"/>
      <c r="F510" s="257"/>
      <c r="G510" s="257"/>
      <c r="H510" s="257"/>
      <c r="I510" s="257"/>
      <c r="J510" s="257"/>
      <c r="K510" s="352"/>
      <c r="L510" s="352"/>
      <c r="M510" s="352"/>
      <c r="N510" s="352"/>
      <c r="O510" s="352"/>
      <c r="P510" s="352"/>
      <c r="Q510" s="352"/>
      <c r="R510" s="352"/>
      <c r="S510" s="352"/>
      <c r="T510" s="352"/>
      <c r="U510" s="352"/>
      <c r="V510" s="352"/>
      <c r="W510" s="352"/>
      <c r="X510" s="352"/>
      <c r="Y510" s="352"/>
      <c r="Z510" s="352"/>
      <c r="AA510" s="352"/>
      <c r="AB510" s="352"/>
      <c r="AC510" s="352"/>
      <c r="AD510" s="352"/>
      <c r="AE510" s="352"/>
      <c r="AF510" s="352"/>
      <c r="AG510" s="352"/>
      <c r="AH510" s="352"/>
      <c r="AI510" s="352"/>
      <c r="AJ510" s="352"/>
      <c r="AK510" s="352"/>
      <c r="AL510" s="352"/>
    </row>
    <row r="511" spans="1:47">
      <c r="A511" s="4" t="str">
        <f>AO418</f>
        <v>U-TRF-OILREFHET_GAS01</v>
      </c>
      <c r="B511" s="4" t="str">
        <f>AP418</f>
        <v>UPS Transformation: Oil refinery process heat Gas - New</v>
      </c>
      <c r="C511" s="4"/>
      <c r="D511" s="4"/>
      <c r="E511" s="4"/>
      <c r="F511" s="4"/>
      <c r="G511" s="4" t="s">
        <v>695</v>
      </c>
      <c r="H511" s="4"/>
      <c r="I511" s="4"/>
      <c r="J511" s="4" t="s">
        <v>2665</v>
      </c>
      <c r="K511" s="333">
        <v>1</v>
      </c>
      <c r="L511" s="333">
        <v>1</v>
      </c>
      <c r="M511" s="333">
        <v>1</v>
      </c>
      <c r="N511" s="333">
        <v>1</v>
      </c>
      <c r="O511" s="333">
        <v>1</v>
      </c>
      <c r="P511" s="333">
        <v>1</v>
      </c>
      <c r="Q511" s="333">
        <v>1</v>
      </c>
      <c r="R511" s="333">
        <v>1</v>
      </c>
      <c r="S511" s="333">
        <v>1</v>
      </c>
      <c r="T511" s="333">
        <v>1</v>
      </c>
      <c r="U511" s="333">
        <v>1</v>
      </c>
      <c r="V511" s="333">
        <v>1</v>
      </c>
      <c r="W511" s="333">
        <v>1</v>
      </c>
      <c r="X511" s="333">
        <v>1</v>
      </c>
      <c r="Y511" s="333">
        <v>1</v>
      </c>
      <c r="Z511" s="333">
        <v>1</v>
      </c>
      <c r="AA511" s="333">
        <v>1</v>
      </c>
      <c r="AB511" s="333">
        <v>1</v>
      </c>
      <c r="AC511" s="333">
        <v>1</v>
      </c>
      <c r="AD511" s="333">
        <v>1</v>
      </c>
      <c r="AE511" s="333">
        <v>1</v>
      </c>
      <c r="AF511" s="333">
        <v>1</v>
      </c>
      <c r="AG511" s="333">
        <v>1</v>
      </c>
      <c r="AH511" s="333">
        <v>1</v>
      </c>
      <c r="AI511" s="333">
        <v>1</v>
      </c>
      <c r="AJ511" s="333">
        <v>1</v>
      </c>
      <c r="AK511" s="333">
        <v>1</v>
      </c>
      <c r="AL511" s="333">
        <v>1</v>
      </c>
    </row>
    <row r="512" spans="1:47">
      <c r="C512" s="4"/>
      <c r="D512" s="4"/>
      <c r="E512" s="4"/>
      <c r="F512" s="4"/>
      <c r="G512" s="4" t="s">
        <v>697</v>
      </c>
      <c r="H512" s="4"/>
      <c r="I512" s="4"/>
      <c r="J512" s="4" t="s">
        <v>698</v>
      </c>
      <c r="K512" s="424">
        <f>'Key inputs_Refineries'!$F$178</f>
        <v>15</v>
      </c>
      <c r="L512" s="424">
        <f>'Key inputs_Refineries'!$F$178</f>
        <v>15</v>
      </c>
      <c r="M512" s="424">
        <f>'Key inputs_Refineries'!$F$178</f>
        <v>15</v>
      </c>
      <c r="N512" s="424">
        <f>'Key inputs_Refineries'!$F$178</f>
        <v>15</v>
      </c>
      <c r="O512" s="424">
        <f>'Key inputs_Refineries'!$F$178</f>
        <v>15</v>
      </c>
      <c r="P512" s="424">
        <f>'Key inputs_Refineries'!$F$178</f>
        <v>15</v>
      </c>
      <c r="Q512" s="424">
        <f>'Key inputs_Refineries'!$F$178</f>
        <v>15</v>
      </c>
      <c r="R512" s="424">
        <f>'Key inputs_Refineries'!$F$178</f>
        <v>15</v>
      </c>
      <c r="S512" s="424">
        <f>'Key inputs_Refineries'!$F$178</f>
        <v>15</v>
      </c>
      <c r="T512" s="424">
        <f>'Key inputs_Refineries'!$F$178</f>
        <v>15</v>
      </c>
      <c r="U512" s="424">
        <f>'Key inputs_Refineries'!$F$178</f>
        <v>15</v>
      </c>
      <c r="V512" s="424">
        <f>'Key inputs_Refineries'!$F$178</f>
        <v>15</v>
      </c>
      <c r="W512" s="424">
        <f>'Key inputs_Refineries'!$F$178</f>
        <v>15</v>
      </c>
      <c r="X512" s="424">
        <f>'Key inputs_Refineries'!$F$178</f>
        <v>15</v>
      </c>
      <c r="Y512" s="424">
        <f>'Key inputs_Refineries'!$F$178</f>
        <v>15</v>
      </c>
      <c r="Z512" s="424">
        <f>'Key inputs_Refineries'!$F$178</f>
        <v>15</v>
      </c>
      <c r="AA512" s="424">
        <f>'Key inputs_Refineries'!$F$178</f>
        <v>15</v>
      </c>
      <c r="AB512" s="424">
        <f>'Key inputs_Refineries'!$F$178</f>
        <v>15</v>
      </c>
      <c r="AC512" s="424">
        <f>'Key inputs_Refineries'!$F$178</f>
        <v>15</v>
      </c>
      <c r="AD512" s="424">
        <f>'Key inputs_Refineries'!$F$178</f>
        <v>15</v>
      </c>
      <c r="AE512" s="424">
        <f>'Key inputs_Refineries'!$F$178</f>
        <v>15</v>
      </c>
      <c r="AF512" s="424">
        <f>'Key inputs_Refineries'!$F$178</f>
        <v>15</v>
      </c>
      <c r="AG512" s="424">
        <f>'Key inputs_Refineries'!$F$178</f>
        <v>15</v>
      </c>
      <c r="AH512" s="424">
        <f>'Key inputs_Refineries'!$F$178</f>
        <v>15</v>
      </c>
      <c r="AI512" s="424">
        <f>'Key inputs_Refineries'!$F$178</f>
        <v>15</v>
      </c>
      <c r="AJ512" s="424">
        <f>'Key inputs_Refineries'!$F$178</f>
        <v>15</v>
      </c>
      <c r="AK512" s="424">
        <f>'Key inputs_Refineries'!$F$178</f>
        <v>15</v>
      </c>
      <c r="AL512" s="424">
        <f>'Key inputs_Refineries'!$F$178</f>
        <v>15</v>
      </c>
    </row>
    <row r="513" spans="3:38">
      <c r="C513" s="4"/>
      <c r="D513" s="4"/>
      <c r="E513" s="4"/>
      <c r="F513" s="4"/>
      <c r="G513" s="4" t="s">
        <v>707</v>
      </c>
      <c r="H513" s="4"/>
      <c r="I513" s="4"/>
      <c r="J513" s="4" t="s">
        <v>2669</v>
      </c>
      <c r="K513" s="347">
        <v>2020</v>
      </c>
      <c r="L513" s="347">
        <v>2020</v>
      </c>
      <c r="M513" s="347">
        <v>2020</v>
      </c>
      <c r="N513" s="347">
        <v>2020</v>
      </c>
      <c r="O513" s="347">
        <v>2020</v>
      </c>
      <c r="P513" s="347">
        <v>2020</v>
      </c>
      <c r="Q513" s="347">
        <v>2020</v>
      </c>
      <c r="R513" s="347">
        <v>2020</v>
      </c>
      <c r="S513" s="347">
        <v>2020</v>
      </c>
      <c r="T513" s="347">
        <v>2020</v>
      </c>
      <c r="U513" s="347">
        <v>2020</v>
      </c>
      <c r="V513" s="347">
        <v>2020</v>
      </c>
      <c r="W513" s="347">
        <v>2020</v>
      </c>
      <c r="X513" s="347">
        <v>2020</v>
      </c>
      <c r="Y513" s="347">
        <v>2020</v>
      </c>
      <c r="Z513" s="347">
        <v>2020</v>
      </c>
      <c r="AA513" s="347">
        <v>2020</v>
      </c>
      <c r="AB513" s="347">
        <v>2020</v>
      </c>
      <c r="AC513" s="347">
        <v>2020</v>
      </c>
      <c r="AD513" s="347">
        <v>2020</v>
      </c>
      <c r="AE513" s="347">
        <v>2020</v>
      </c>
      <c r="AF513" s="347">
        <v>2020</v>
      </c>
      <c r="AG513" s="347">
        <v>2020</v>
      </c>
      <c r="AH513" s="347">
        <v>2020</v>
      </c>
      <c r="AI513" s="347">
        <v>2020</v>
      </c>
      <c r="AJ513" s="347">
        <v>2020</v>
      </c>
      <c r="AK513" s="347">
        <v>2020</v>
      </c>
      <c r="AL513" s="347">
        <v>2020</v>
      </c>
    </row>
    <row r="514" spans="3:38">
      <c r="G514" s="4" t="s">
        <v>701</v>
      </c>
      <c r="H514" s="4" t="s">
        <v>661</v>
      </c>
      <c r="I514" s="4">
        <v>2019</v>
      </c>
      <c r="J514" s="4" t="s">
        <v>112</v>
      </c>
      <c r="K514" s="333"/>
      <c r="L514" s="333"/>
      <c r="M514" s="333"/>
      <c r="N514" s="333"/>
      <c r="O514" s="333"/>
      <c r="P514" s="333"/>
      <c r="Q514" s="333"/>
      <c r="R514" s="333"/>
      <c r="S514" s="333"/>
      <c r="T514" s="333"/>
      <c r="U514" s="333"/>
      <c r="V514" s="333"/>
      <c r="W514" s="333"/>
      <c r="X514" s="333"/>
      <c r="Y514" s="333"/>
      <c r="Z514" s="333"/>
      <c r="AA514" s="333"/>
      <c r="AB514" s="333"/>
      <c r="AC514" s="333"/>
      <c r="AD514" s="333"/>
      <c r="AE514" s="333"/>
      <c r="AF514" s="333"/>
      <c r="AG514" s="333"/>
      <c r="AH514" s="333"/>
      <c r="AI514" s="333"/>
      <c r="AJ514" s="333"/>
      <c r="AK514" s="333"/>
      <c r="AL514" s="333"/>
    </row>
    <row r="515" spans="3:38">
      <c r="G515" s="4" t="s">
        <v>701</v>
      </c>
      <c r="H515" s="4" t="s">
        <v>661</v>
      </c>
      <c r="I515" s="4">
        <v>2060</v>
      </c>
      <c r="J515" s="4" t="s">
        <v>112</v>
      </c>
      <c r="K515" s="333"/>
      <c r="L515" s="333"/>
      <c r="M515" s="333"/>
      <c r="N515" s="333"/>
      <c r="O515" s="333"/>
      <c r="P515" s="333"/>
      <c r="Q515" s="333"/>
      <c r="R515" s="333"/>
      <c r="S515" s="333"/>
      <c r="T515" s="333"/>
      <c r="U515" s="333"/>
      <c r="V515" s="333"/>
      <c r="W515" s="333"/>
      <c r="X515" s="333"/>
      <c r="Y515" s="333"/>
      <c r="Z515" s="333"/>
      <c r="AA515" s="333"/>
      <c r="AB515" s="333"/>
      <c r="AC515" s="333"/>
      <c r="AD515" s="333"/>
      <c r="AE515" s="333"/>
      <c r="AF515" s="333"/>
      <c r="AG515" s="333"/>
      <c r="AH515" s="333"/>
      <c r="AI515" s="333"/>
      <c r="AJ515" s="333"/>
      <c r="AK515" s="333"/>
      <c r="AL515" s="333"/>
    </row>
    <row r="516" spans="3:38">
      <c r="G516" s="4" t="s">
        <v>701</v>
      </c>
      <c r="H516" s="4" t="s">
        <v>661</v>
      </c>
      <c r="I516" s="4">
        <v>0</v>
      </c>
      <c r="J516" s="4"/>
      <c r="K516" s="333"/>
      <c r="L516" s="333"/>
      <c r="M516" s="333"/>
      <c r="N516" s="333"/>
      <c r="O516" s="333"/>
      <c r="P516" s="333"/>
      <c r="Q516" s="333"/>
      <c r="R516" s="333"/>
      <c r="S516" s="333"/>
      <c r="T516" s="333"/>
      <c r="U516" s="333"/>
      <c r="V516" s="333"/>
      <c r="W516" s="333"/>
      <c r="X516" s="333"/>
      <c r="Y516" s="333"/>
      <c r="Z516" s="333"/>
      <c r="AA516" s="333"/>
      <c r="AB516" s="333"/>
      <c r="AC516" s="333"/>
      <c r="AD516" s="333"/>
      <c r="AE516" s="333"/>
      <c r="AF516" s="333"/>
      <c r="AG516" s="333"/>
      <c r="AH516" s="333"/>
      <c r="AI516" s="333"/>
      <c r="AJ516" s="333"/>
      <c r="AK516" s="333"/>
      <c r="AL516" s="333"/>
    </row>
    <row r="517" spans="3:38">
      <c r="G517" s="4" t="s">
        <v>687</v>
      </c>
      <c r="H517" s="4"/>
      <c r="I517" s="4"/>
      <c r="J517" s="4" t="s">
        <v>2663</v>
      </c>
      <c r="K517" s="425">
        <f>'Key inputs_Refineries'!$C$178*10^3</f>
        <v>138.75840000000002</v>
      </c>
      <c r="L517" s="425">
        <f>'Key inputs_Refineries'!$C$178*10^3</f>
        <v>138.75840000000002</v>
      </c>
      <c r="M517" s="425">
        <f>'Key inputs_Refineries'!$C$178*10^3</f>
        <v>138.75840000000002</v>
      </c>
      <c r="N517" s="425">
        <f>'Key inputs_Refineries'!$C$178*10^3</f>
        <v>138.75840000000002</v>
      </c>
      <c r="O517" s="425">
        <f>'Key inputs_Refineries'!$C$178*10^3</f>
        <v>138.75840000000002</v>
      </c>
      <c r="P517" s="425">
        <f>'Key inputs_Refineries'!$C$178*10^3</f>
        <v>138.75840000000002</v>
      </c>
      <c r="Q517" s="425">
        <f>'Key inputs_Refineries'!$C$178*10^3</f>
        <v>138.75840000000002</v>
      </c>
      <c r="R517" s="425">
        <f>'Key inputs_Refineries'!$C$178*10^3</f>
        <v>138.75840000000002</v>
      </c>
      <c r="S517" s="425">
        <f>'Key inputs_Refineries'!$C$178*10^3</f>
        <v>138.75840000000002</v>
      </c>
      <c r="T517" s="425">
        <f>'Key inputs_Refineries'!$C$178*10^3</f>
        <v>138.75840000000002</v>
      </c>
      <c r="U517" s="425">
        <f>'Key inputs_Refineries'!$C$178*10^3</f>
        <v>138.75840000000002</v>
      </c>
      <c r="V517" s="425">
        <f>'Key inputs_Refineries'!$C$178*10^3</f>
        <v>138.75840000000002</v>
      </c>
      <c r="W517" s="425">
        <f>'Key inputs_Refineries'!$C$178*10^3</f>
        <v>138.75840000000002</v>
      </c>
      <c r="X517" s="425">
        <f>'Key inputs_Refineries'!$C$178*10^3</f>
        <v>138.75840000000002</v>
      </c>
      <c r="Y517" s="425">
        <f>'Key inputs_Refineries'!$C$178*10^3</f>
        <v>138.75840000000002</v>
      </c>
      <c r="Z517" s="425">
        <f>'Key inputs_Refineries'!$C$178*10^3</f>
        <v>138.75840000000002</v>
      </c>
      <c r="AA517" s="425">
        <f>'Key inputs_Refineries'!$C$178*10^3</f>
        <v>138.75840000000002</v>
      </c>
      <c r="AB517" s="425">
        <f>'Key inputs_Refineries'!$C$178*10^3</f>
        <v>138.75840000000002</v>
      </c>
      <c r="AC517" s="425">
        <f>'Key inputs_Refineries'!$C$178*10^3</f>
        <v>138.75840000000002</v>
      </c>
      <c r="AD517" s="425">
        <f>'Key inputs_Refineries'!$C$178*10^3</f>
        <v>138.75840000000002</v>
      </c>
      <c r="AE517" s="425">
        <f>'Key inputs_Refineries'!$C$178*10^3</f>
        <v>138.75840000000002</v>
      </c>
      <c r="AF517" s="425">
        <f>'Key inputs_Refineries'!$C$178*10^3</f>
        <v>138.75840000000002</v>
      </c>
      <c r="AG517" s="425">
        <f>'Key inputs_Refineries'!$C$178*10^3</f>
        <v>138.75840000000002</v>
      </c>
      <c r="AH517" s="425">
        <f>'Key inputs_Refineries'!$C$178*10^3</f>
        <v>138.75840000000002</v>
      </c>
      <c r="AI517" s="425">
        <f>'Key inputs_Refineries'!$C$178*10^3</f>
        <v>138.75840000000002</v>
      </c>
      <c r="AJ517" s="425">
        <f>'Key inputs_Refineries'!$C$178*10^3</f>
        <v>138.75840000000002</v>
      </c>
      <c r="AK517" s="425">
        <f>'Key inputs_Refineries'!$C$178*10^3</f>
        <v>138.75840000000002</v>
      </c>
      <c r="AL517" s="425">
        <f>'Key inputs_Refineries'!$C$178*10^3</f>
        <v>138.75840000000002</v>
      </c>
    </row>
    <row r="518" spans="3:38">
      <c r="G518" s="4" t="s">
        <v>689</v>
      </c>
      <c r="H518" s="4"/>
      <c r="I518" s="4"/>
      <c r="J518" s="4" t="s">
        <v>2663</v>
      </c>
      <c r="K518" s="425">
        <f>'Key inputs_Refineries'!$D$178*10^3</f>
        <v>1.2614400000000001</v>
      </c>
      <c r="L518" s="425">
        <f>'Key inputs_Refineries'!$D$178*10^3</f>
        <v>1.2614400000000001</v>
      </c>
      <c r="M518" s="425">
        <f>'Key inputs_Refineries'!$D$178*10^3</f>
        <v>1.2614400000000001</v>
      </c>
      <c r="N518" s="425">
        <f>'Key inputs_Refineries'!$D$178*10^3</f>
        <v>1.2614400000000001</v>
      </c>
      <c r="O518" s="425">
        <f>'Key inputs_Refineries'!$D$178*10^3</f>
        <v>1.2614400000000001</v>
      </c>
      <c r="P518" s="425">
        <f>'Key inputs_Refineries'!$D$178*10^3</f>
        <v>1.2614400000000001</v>
      </c>
      <c r="Q518" s="425">
        <f>'Key inputs_Refineries'!$D$178*10^3</f>
        <v>1.2614400000000001</v>
      </c>
      <c r="R518" s="425">
        <f>'Key inputs_Refineries'!$D$178*10^3</f>
        <v>1.2614400000000001</v>
      </c>
      <c r="S518" s="425">
        <f>'Key inputs_Refineries'!$D$178*10^3</f>
        <v>1.2614400000000001</v>
      </c>
      <c r="T518" s="425">
        <f>'Key inputs_Refineries'!$D$178*10^3</f>
        <v>1.2614400000000001</v>
      </c>
      <c r="U518" s="425">
        <f>'Key inputs_Refineries'!$D$178*10^3</f>
        <v>1.2614400000000001</v>
      </c>
      <c r="V518" s="425">
        <f>'Key inputs_Refineries'!$D$178*10^3</f>
        <v>1.2614400000000001</v>
      </c>
      <c r="W518" s="425">
        <f>'Key inputs_Refineries'!$D$178*10^3</f>
        <v>1.2614400000000001</v>
      </c>
      <c r="X518" s="425">
        <f>'Key inputs_Refineries'!$D$178*10^3</f>
        <v>1.2614400000000001</v>
      </c>
      <c r="Y518" s="425">
        <f>'Key inputs_Refineries'!$D$178*10^3</f>
        <v>1.2614400000000001</v>
      </c>
      <c r="Z518" s="425">
        <f>'Key inputs_Refineries'!$D$178*10^3</f>
        <v>1.2614400000000001</v>
      </c>
      <c r="AA518" s="425">
        <f>'Key inputs_Refineries'!$D$178*10^3</f>
        <v>1.2614400000000001</v>
      </c>
      <c r="AB518" s="425">
        <f>'Key inputs_Refineries'!$D$178*10^3</f>
        <v>1.2614400000000001</v>
      </c>
      <c r="AC518" s="425">
        <f>'Key inputs_Refineries'!$D$178*10^3</f>
        <v>1.2614400000000001</v>
      </c>
      <c r="AD518" s="425">
        <f>'Key inputs_Refineries'!$D$178*10^3</f>
        <v>1.2614400000000001</v>
      </c>
      <c r="AE518" s="425">
        <f>'Key inputs_Refineries'!$D$178*10^3</f>
        <v>1.2614400000000001</v>
      </c>
      <c r="AF518" s="425">
        <f>'Key inputs_Refineries'!$D$178*10^3</f>
        <v>1.2614400000000001</v>
      </c>
      <c r="AG518" s="425">
        <f>'Key inputs_Refineries'!$D$178*10^3</f>
        <v>1.2614400000000001</v>
      </c>
      <c r="AH518" s="425">
        <f>'Key inputs_Refineries'!$D$178*10^3</f>
        <v>1.2614400000000001</v>
      </c>
      <c r="AI518" s="425">
        <f>'Key inputs_Refineries'!$D$178*10^3</f>
        <v>1.2614400000000001</v>
      </c>
      <c r="AJ518" s="425">
        <f>'Key inputs_Refineries'!$D$178*10^3</f>
        <v>1.2614400000000001</v>
      </c>
      <c r="AK518" s="425">
        <f>'Key inputs_Refineries'!$D$178*10^3</f>
        <v>1.2614400000000001</v>
      </c>
      <c r="AL518" s="425">
        <f>'Key inputs_Refineries'!$D$178*10^3</f>
        <v>1.2614400000000001</v>
      </c>
    </row>
    <row r="519" spans="3:38">
      <c r="G519" s="4" t="s">
        <v>675</v>
      </c>
      <c r="H519" s="4"/>
      <c r="I519" s="4"/>
      <c r="J519" s="4" t="s">
        <v>2662</v>
      </c>
      <c r="K519" s="338"/>
      <c r="L519" s="338"/>
      <c r="M519" s="338"/>
      <c r="N519" s="338"/>
      <c r="O519" s="338"/>
      <c r="P519" s="338"/>
      <c r="Q519" s="338"/>
      <c r="R519" s="338"/>
      <c r="S519" s="338"/>
      <c r="T519" s="338"/>
      <c r="U519" s="338"/>
      <c r="V519" s="338"/>
      <c r="W519" s="338"/>
      <c r="X519" s="338"/>
      <c r="Y519" s="338"/>
      <c r="Z519" s="338"/>
      <c r="AA519" s="338"/>
      <c r="AB519" s="338"/>
      <c r="AC519" s="338"/>
      <c r="AD519" s="338"/>
      <c r="AE519" s="338"/>
      <c r="AF519" s="338"/>
      <c r="AG519" s="338"/>
      <c r="AH519" s="338"/>
      <c r="AI519" s="338"/>
      <c r="AJ519" s="338"/>
      <c r="AK519" s="338"/>
      <c r="AL519" s="338"/>
    </row>
    <row r="520" spans="3:38">
      <c r="G520" s="4" t="s">
        <v>630</v>
      </c>
      <c r="H520" s="4"/>
      <c r="I520" s="4"/>
      <c r="J520" s="4" t="s">
        <v>2666</v>
      </c>
      <c r="K520" s="425">
        <f>'Key inputs_Refineries'!$H$178</f>
        <v>0.82</v>
      </c>
      <c r="L520" s="425">
        <f>'Key inputs_Refineries'!$H$178</f>
        <v>0.82</v>
      </c>
      <c r="M520" s="425">
        <f>'Key inputs_Refineries'!$H$178</f>
        <v>0.82</v>
      </c>
      <c r="N520" s="425">
        <f>'Key inputs_Refineries'!$H$178</f>
        <v>0.82</v>
      </c>
      <c r="O520" s="425">
        <f>'Key inputs_Refineries'!$H$178</f>
        <v>0.82</v>
      </c>
      <c r="P520" s="425">
        <f>'Key inputs_Refineries'!$H$178</f>
        <v>0.82</v>
      </c>
      <c r="Q520" s="425">
        <f>'Key inputs_Refineries'!$H$178</f>
        <v>0.82</v>
      </c>
      <c r="R520" s="425">
        <f>'Key inputs_Refineries'!$H$178</f>
        <v>0.82</v>
      </c>
      <c r="S520" s="425">
        <f>'Key inputs_Refineries'!$H$178</f>
        <v>0.82</v>
      </c>
      <c r="T520" s="425">
        <f>'Key inputs_Refineries'!$H$178</f>
        <v>0.82</v>
      </c>
      <c r="U520" s="425">
        <f>'Key inputs_Refineries'!$H$178</f>
        <v>0.82</v>
      </c>
      <c r="V520" s="425">
        <f>'Key inputs_Refineries'!$H$178</f>
        <v>0.82</v>
      </c>
      <c r="W520" s="425">
        <f>'Key inputs_Refineries'!$H$178</f>
        <v>0.82</v>
      </c>
      <c r="X520" s="425">
        <f>'Key inputs_Refineries'!$H$178</f>
        <v>0.82</v>
      </c>
      <c r="Y520" s="425">
        <f>'Key inputs_Refineries'!$H$178</f>
        <v>0.82</v>
      </c>
      <c r="Z520" s="425">
        <f>'Key inputs_Refineries'!$H$178</f>
        <v>0.82</v>
      </c>
      <c r="AA520" s="425">
        <f>'Key inputs_Refineries'!$H$178</f>
        <v>0.82</v>
      </c>
      <c r="AB520" s="425">
        <f>'Key inputs_Refineries'!$H$178</f>
        <v>0.82</v>
      </c>
      <c r="AC520" s="425">
        <f>'Key inputs_Refineries'!$H$178</f>
        <v>0.82</v>
      </c>
      <c r="AD520" s="425">
        <f>'Key inputs_Refineries'!$H$178</f>
        <v>0.82</v>
      </c>
      <c r="AE520" s="425">
        <f>'Key inputs_Refineries'!$H$178</f>
        <v>0.82</v>
      </c>
      <c r="AF520" s="425">
        <f>'Key inputs_Refineries'!$H$178</f>
        <v>0.82</v>
      </c>
      <c r="AG520" s="425">
        <f>'Key inputs_Refineries'!$H$178</f>
        <v>0.82</v>
      </c>
      <c r="AH520" s="425">
        <f>'Key inputs_Refineries'!$H$178</f>
        <v>0.82</v>
      </c>
      <c r="AI520" s="425">
        <f>'Key inputs_Refineries'!$H$178</f>
        <v>0.82</v>
      </c>
      <c r="AJ520" s="425">
        <f>'Key inputs_Refineries'!$H$178</f>
        <v>0.82</v>
      </c>
      <c r="AK520" s="425">
        <f>'Key inputs_Refineries'!$H$178</f>
        <v>0.82</v>
      </c>
      <c r="AL520" s="425">
        <f>'Key inputs_Refineries'!$H$178</f>
        <v>0.82</v>
      </c>
    </row>
    <row r="521" spans="3:38">
      <c r="C521" t="str">
        <f>Commodities!$C$92</f>
        <v>UPSGAS</v>
      </c>
      <c r="G521" s="4" t="s">
        <v>702</v>
      </c>
      <c r="H521" t="s">
        <v>661</v>
      </c>
      <c r="I521">
        <v>2019</v>
      </c>
      <c r="J521" t="s">
        <v>650</v>
      </c>
      <c r="K521" s="426">
        <v>1</v>
      </c>
      <c r="L521" s="426">
        <v>1</v>
      </c>
      <c r="M521" s="426">
        <v>1</v>
      </c>
      <c r="N521" s="426">
        <v>1</v>
      </c>
      <c r="O521" s="426">
        <v>1</v>
      </c>
      <c r="P521" s="426">
        <v>1</v>
      </c>
      <c r="Q521" s="426">
        <v>1</v>
      </c>
      <c r="R521" s="426">
        <v>1</v>
      </c>
      <c r="S521" s="426">
        <v>1</v>
      </c>
      <c r="T521" s="426">
        <v>1</v>
      </c>
      <c r="U521" s="426">
        <v>1</v>
      </c>
      <c r="V521" s="426">
        <v>1</v>
      </c>
      <c r="W521" s="426">
        <v>1</v>
      </c>
      <c r="X521" s="426">
        <v>1</v>
      </c>
      <c r="Y521" s="426">
        <v>1</v>
      </c>
      <c r="Z521" s="426">
        <v>1</v>
      </c>
      <c r="AA521" s="426">
        <v>1</v>
      </c>
      <c r="AB521" s="426">
        <v>1</v>
      </c>
      <c r="AC521" s="426">
        <v>1</v>
      </c>
      <c r="AD521" s="426">
        <v>1</v>
      </c>
      <c r="AE521" s="426">
        <v>1</v>
      </c>
      <c r="AF521" s="426">
        <v>1</v>
      </c>
      <c r="AG521" s="426">
        <v>1</v>
      </c>
      <c r="AH521" s="426">
        <v>1</v>
      </c>
      <c r="AI521" s="426">
        <v>1</v>
      </c>
      <c r="AJ521" s="426">
        <v>1</v>
      </c>
      <c r="AK521" s="426">
        <v>1</v>
      </c>
      <c r="AL521" s="426">
        <v>1</v>
      </c>
    </row>
    <row r="522" spans="3:38">
      <c r="C522" t="str">
        <f>Commodities!$C$88</f>
        <v>UPSCOG</v>
      </c>
      <c r="G522" s="4" t="s">
        <v>702</v>
      </c>
      <c r="H522" t="s">
        <v>661</v>
      </c>
      <c r="I522">
        <v>2019</v>
      </c>
      <c r="J522" t="s">
        <v>650</v>
      </c>
      <c r="K522" s="426">
        <v>1</v>
      </c>
      <c r="L522" s="426">
        <v>1</v>
      </c>
      <c r="M522" s="426">
        <v>1</v>
      </c>
      <c r="N522" s="426">
        <v>1</v>
      </c>
      <c r="O522" s="426">
        <v>1</v>
      </c>
      <c r="P522" s="426">
        <v>1</v>
      </c>
      <c r="Q522" s="426">
        <v>1</v>
      </c>
      <c r="R522" s="426">
        <v>1</v>
      </c>
      <c r="S522" s="426">
        <v>1</v>
      </c>
      <c r="T522" s="426">
        <v>1</v>
      </c>
      <c r="U522" s="426">
        <v>1</v>
      </c>
      <c r="V522" s="426">
        <v>1</v>
      </c>
      <c r="W522" s="426">
        <v>1</v>
      </c>
      <c r="X522" s="426">
        <v>1</v>
      </c>
      <c r="Y522" s="426">
        <v>1</v>
      </c>
      <c r="Z522" s="426">
        <v>1</v>
      </c>
      <c r="AA522" s="426">
        <v>1</v>
      </c>
      <c r="AB522" s="426">
        <v>1</v>
      </c>
      <c r="AC522" s="426">
        <v>1</v>
      </c>
      <c r="AD522" s="426">
        <v>1</v>
      </c>
      <c r="AE522" s="426">
        <v>1</v>
      </c>
      <c r="AF522" s="426">
        <v>1</v>
      </c>
      <c r="AG522" s="426">
        <v>1</v>
      </c>
      <c r="AH522" s="426">
        <v>1</v>
      </c>
      <c r="AI522" s="426">
        <v>1</v>
      </c>
      <c r="AJ522" s="426">
        <v>1</v>
      </c>
      <c r="AK522" s="426">
        <v>1</v>
      </c>
      <c r="AL522" s="426">
        <v>1</v>
      </c>
    </row>
    <row r="523" spans="3:38">
      <c r="C523" t="str">
        <f>Commodities!$C$84</f>
        <v>UPSBGS</v>
      </c>
      <c r="G523" s="4" t="s">
        <v>702</v>
      </c>
      <c r="H523" t="s">
        <v>661</v>
      </c>
      <c r="I523">
        <v>2019</v>
      </c>
      <c r="J523" t="s">
        <v>650</v>
      </c>
      <c r="K523" s="426">
        <v>0</v>
      </c>
      <c r="L523" s="426">
        <v>0</v>
      </c>
      <c r="M523" s="426">
        <v>0</v>
      </c>
      <c r="N523" s="426">
        <v>0</v>
      </c>
      <c r="O523" s="426">
        <v>0</v>
      </c>
      <c r="P523" s="426">
        <v>0</v>
      </c>
      <c r="Q523" s="426">
        <v>0</v>
      </c>
      <c r="R523" s="426">
        <v>0</v>
      </c>
      <c r="S523" s="426">
        <v>0</v>
      </c>
      <c r="T523" s="426">
        <v>0</v>
      </c>
      <c r="U523" s="426">
        <v>0</v>
      </c>
      <c r="V523" s="426">
        <v>0</v>
      </c>
      <c r="W523" s="426">
        <v>0</v>
      </c>
      <c r="X523" s="426">
        <v>0</v>
      </c>
      <c r="Y523" s="426">
        <v>0</v>
      </c>
      <c r="Z523" s="426">
        <v>0</v>
      </c>
      <c r="AA523" s="426">
        <v>0</v>
      </c>
      <c r="AB523" s="426">
        <v>0</v>
      </c>
      <c r="AC523" s="426">
        <v>0</v>
      </c>
      <c r="AD523" s="426">
        <v>0</v>
      </c>
      <c r="AE523" s="426">
        <v>0</v>
      </c>
      <c r="AF523" s="426">
        <v>0</v>
      </c>
      <c r="AG523" s="426">
        <v>0</v>
      </c>
      <c r="AH523" s="426">
        <v>0</v>
      </c>
      <c r="AI523" s="426">
        <v>0</v>
      </c>
      <c r="AJ523" s="426">
        <v>0</v>
      </c>
      <c r="AK523" s="426">
        <v>0</v>
      </c>
      <c r="AL523" s="426">
        <v>0</v>
      </c>
    </row>
    <row r="524" spans="3:38">
      <c r="C524" t="str">
        <f>Commodities!$C$92</f>
        <v>UPSGAS</v>
      </c>
      <c r="G524" s="4" t="s">
        <v>702</v>
      </c>
      <c r="H524" t="s">
        <v>661</v>
      </c>
      <c r="I524">
        <v>2025</v>
      </c>
      <c r="J524" t="s">
        <v>650</v>
      </c>
      <c r="K524" s="426">
        <v>1</v>
      </c>
      <c r="L524" s="426">
        <v>1</v>
      </c>
      <c r="M524" s="426">
        <v>1</v>
      </c>
      <c r="N524" s="426">
        <v>1</v>
      </c>
      <c r="O524" s="426">
        <v>1</v>
      </c>
      <c r="P524" s="426">
        <v>1</v>
      </c>
      <c r="Q524" s="426">
        <v>1</v>
      </c>
      <c r="R524" s="426">
        <v>1</v>
      </c>
      <c r="S524" s="426">
        <v>1</v>
      </c>
      <c r="T524" s="426">
        <v>1</v>
      </c>
      <c r="U524" s="426">
        <v>1</v>
      </c>
      <c r="V524" s="426">
        <v>1</v>
      </c>
      <c r="W524" s="426">
        <v>1</v>
      </c>
      <c r="X524" s="426">
        <v>1</v>
      </c>
      <c r="Y524" s="426">
        <v>1</v>
      </c>
      <c r="Z524" s="426">
        <v>1</v>
      </c>
      <c r="AA524" s="426">
        <v>1</v>
      </c>
      <c r="AB524" s="426">
        <v>1</v>
      </c>
      <c r="AC524" s="426">
        <v>1</v>
      </c>
      <c r="AD524" s="426">
        <v>1</v>
      </c>
      <c r="AE524" s="426">
        <v>1</v>
      </c>
      <c r="AF524" s="426">
        <v>1</v>
      </c>
      <c r="AG524" s="426">
        <v>1</v>
      </c>
      <c r="AH524" s="426">
        <v>1</v>
      </c>
      <c r="AI524" s="426">
        <v>1</v>
      </c>
      <c r="AJ524" s="426">
        <v>1</v>
      </c>
      <c r="AK524" s="426">
        <v>1</v>
      </c>
      <c r="AL524" s="426">
        <v>1</v>
      </c>
    </row>
    <row r="525" spans="3:38">
      <c r="C525" t="str">
        <f>Commodities!$C$88</f>
        <v>UPSCOG</v>
      </c>
      <c r="G525" s="4" t="s">
        <v>702</v>
      </c>
      <c r="H525" t="s">
        <v>661</v>
      </c>
      <c r="I525">
        <v>2025</v>
      </c>
      <c r="J525" t="s">
        <v>650</v>
      </c>
      <c r="K525" s="426">
        <v>1</v>
      </c>
      <c r="L525" s="426">
        <v>1</v>
      </c>
      <c r="M525" s="426">
        <v>1</v>
      </c>
      <c r="N525" s="426">
        <v>1</v>
      </c>
      <c r="O525" s="426">
        <v>1</v>
      </c>
      <c r="P525" s="426">
        <v>1</v>
      </c>
      <c r="Q525" s="426">
        <v>1</v>
      </c>
      <c r="R525" s="426">
        <v>1</v>
      </c>
      <c r="S525" s="426">
        <v>1</v>
      </c>
      <c r="T525" s="426">
        <v>1</v>
      </c>
      <c r="U525" s="426">
        <v>1</v>
      </c>
      <c r="V525" s="426">
        <v>1</v>
      </c>
      <c r="W525" s="426">
        <v>1</v>
      </c>
      <c r="X525" s="426">
        <v>1</v>
      </c>
      <c r="Y525" s="426">
        <v>1</v>
      </c>
      <c r="Z525" s="426">
        <v>1</v>
      </c>
      <c r="AA525" s="426">
        <v>1</v>
      </c>
      <c r="AB525" s="426">
        <v>1</v>
      </c>
      <c r="AC525" s="426">
        <v>1</v>
      </c>
      <c r="AD525" s="426">
        <v>1</v>
      </c>
      <c r="AE525" s="426">
        <v>1</v>
      </c>
      <c r="AF525" s="426">
        <v>1</v>
      </c>
      <c r="AG525" s="426">
        <v>1</v>
      </c>
      <c r="AH525" s="426">
        <v>1</v>
      </c>
      <c r="AI525" s="426">
        <v>1</v>
      </c>
      <c r="AJ525" s="426">
        <v>1</v>
      </c>
      <c r="AK525" s="426">
        <v>1</v>
      </c>
      <c r="AL525" s="426">
        <v>1</v>
      </c>
    </row>
    <row r="526" spans="3:38">
      <c r="C526" t="str">
        <f>Commodities!$C$84</f>
        <v>UPSBGS</v>
      </c>
      <c r="G526" s="4" t="s">
        <v>702</v>
      </c>
      <c r="H526" t="s">
        <v>661</v>
      </c>
      <c r="I526">
        <v>2025</v>
      </c>
      <c r="J526" t="s">
        <v>650</v>
      </c>
      <c r="K526" s="426">
        <v>1</v>
      </c>
      <c r="L526" s="426">
        <v>1</v>
      </c>
      <c r="M526" s="426">
        <v>1</v>
      </c>
      <c r="N526" s="426">
        <v>1</v>
      </c>
      <c r="O526" s="426">
        <v>1</v>
      </c>
      <c r="P526" s="426">
        <v>1</v>
      </c>
      <c r="Q526" s="426">
        <v>1</v>
      </c>
      <c r="R526" s="426">
        <v>1</v>
      </c>
      <c r="S526" s="426">
        <v>1</v>
      </c>
      <c r="T526" s="426">
        <v>1</v>
      </c>
      <c r="U526" s="426">
        <v>1</v>
      </c>
      <c r="V526" s="426">
        <v>1</v>
      </c>
      <c r="W526" s="426">
        <v>1</v>
      </c>
      <c r="X526" s="426">
        <v>1</v>
      </c>
      <c r="Y526" s="426">
        <v>1</v>
      </c>
      <c r="Z526" s="426">
        <v>1</v>
      </c>
      <c r="AA526" s="426">
        <v>1</v>
      </c>
      <c r="AB526" s="426">
        <v>1</v>
      </c>
      <c r="AC526" s="426">
        <v>1</v>
      </c>
      <c r="AD526" s="426">
        <v>1</v>
      </c>
      <c r="AE526" s="426">
        <v>1</v>
      </c>
      <c r="AF526" s="426">
        <v>1</v>
      </c>
      <c r="AG526" s="426">
        <v>1</v>
      </c>
      <c r="AH526" s="426">
        <v>1</v>
      </c>
      <c r="AI526" s="426">
        <v>1</v>
      </c>
      <c r="AJ526" s="426">
        <v>1</v>
      </c>
      <c r="AK526" s="426">
        <v>1</v>
      </c>
      <c r="AL526" s="426">
        <v>1</v>
      </c>
    </row>
    <row r="527" spans="3:38">
      <c r="C527" t="str">
        <f>Commodities!$C$92</f>
        <v>UPSGAS</v>
      </c>
      <c r="G527" s="4" t="s">
        <v>702</v>
      </c>
      <c r="H527" t="s">
        <v>661</v>
      </c>
      <c r="I527">
        <v>2050</v>
      </c>
      <c r="J527" t="s">
        <v>650</v>
      </c>
      <c r="K527" s="426">
        <v>1</v>
      </c>
      <c r="L527" s="426">
        <v>1</v>
      </c>
      <c r="M527" s="426">
        <v>1</v>
      </c>
      <c r="N527" s="426">
        <v>1</v>
      </c>
      <c r="O527" s="426">
        <v>1</v>
      </c>
      <c r="P527" s="426">
        <v>1</v>
      </c>
      <c r="Q527" s="426">
        <v>1</v>
      </c>
      <c r="R527" s="426">
        <v>1</v>
      </c>
      <c r="S527" s="426">
        <v>1</v>
      </c>
      <c r="T527" s="426">
        <v>1</v>
      </c>
      <c r="U527" s="426">
        <v>1</v>
      </c>
      <c r="V527" s="426">
        <v>1</v>
      </c>
      <c r="W527" s="426">
        <v>1</v>
      </c>
      <c r="X527" s="426">
        <v>1</v>
      </c>
      <c r="Y527" s="426">
        <v>1</v>
      </c>
      <c r="Z527" s="426">
        <v>1</v>
      </c>
      <c r="AA527" s="426">
        <v>1</v>
      </c>
      <c r="AB527" s="426">
        <v>1</v>
      </c>
      <c r="AC527" s="426">
        <v>1</v>
      </c>
      <c r="AD527" s="426">
        <v>1</v>
      </c>
      <c r="AE527" s="426">
        <v>1</v>
      </c>
      <c r="AF527" s="426">
        <v>1</v>
      </c>
      <c r="AG527" s="426">
        <v>1</v>
      </c>
      <c r="AH527" s="426">
        <v>1</v>
      </c>
      <c r="AI527" s="426">
        <v>1</v>
      </c>
      <c r="AJ527" s="426">
        <v>1</v>
      </c>
      <c r="AK527" s="426">
        <v>1</v>
      </c>
      <c r="AL527" s="426">
        <v>1</v>
      </c>
    </row>
    <row r="528" spans="3:38">
      <c r="C528" t="str">
        <f>Commodities!$C$88</f>
        <v>UPSCOG</v>
      </c>
      <c r="G528" s="4" t="s">
        <v>702</v>
      </c>
      <c r="H528" t="s">
        <v>661</v>
      </c>
      <c r="I528">
        <v>2050</v>
      </c>
      <c r="J528" t="s">
        <v>650</v>
      </c>
      <c r="K528" s="426">
        <v>1</v>
      </c>
      <c r="L528" s="426">
        <v>1</v>
      </c>
      <c r="M528" s="426">
        <v>1</v>
      </c>
      <c r="N528" s="426">
        <v>1</v>
      </c>
      <c r="O528" s="426">
        <v>1</v>
      </c>
      <c r="P528" s="426">
        <v>1</v>
      </c>
      <c r="Q528" s="426">
        <v>1</v>
      </c>
      <c r="R528" s="426">
        <v>1</v>
      </c>
      <c r="S528" s="426">
        <v>1</v>
      </c>
      <c r="T528" s="426">
        <v>1</v>
      </c>
      <c r="U528" s="426">
        <v>1</v>
      </c>
      <c r="V528" s="426">
        <v>1</v>
      </c>
      <c r="W528" s="426">
        <v>1</v>
      </c>
      <c r="X528" s="426">
        <v>1</v>
      </c>
      <c r="Y528" s="426">
        <v>1</v>
      </c>
      <c r="Z528" s="426">
        <v>1</v>
      </c>
      <c r="AA528" s="426">
        <v>1</v>
      </c>
      <c r="AB528" s="426">
        <v>1</v>
      </c>
      <c r="AC528" s="426">
        <v>1</v>
      </c>
      <c r="AD528" s="426">
        <v>1</v>
      </c>
      <c r="AE528" s="426">
        <v>1</v>
      </c>
      <c r="AF528" s="426">
        <v>1</v>
      </c>
      <c r="AG528" s="426">
        <v>1</v>
      </c>
      <c r="AH528" s="426">
        <v>1</v>
      </c>
      <c r="AI528" s="426">
        <v>1</v>
      </c>
      <c r="AJ528" s="426">
        <v>1</v>
      </c>
      <c r="AK528" s="426">
        <v>1</v>
      </c>
      <c r="AL528" s="426">
        <v>1</v>
      </c>
    </row>
    <row r="529" spans="1:38">
      <c r="C529" t="str">
        <f>Commodities!$C$84</f>
        <v>UPSBGS</v>
      </c>
      <c r="G529" s="4" t="s">
        <v>702</v>
      </c>
      <c r="H529" t="s">
        <v>661</v>
      </c>
      <c r="I529">
        <v>2050</v>
      </c>
      <c r="J529" t="s">
        <v>650</v>
      </c>
      <c r="K529" s="426">
        <v>1</v>
      </c>
      <c r="L529" s="426">
        <v>1</v>
      </c>
      <c r="M529" s="426">
        <v>1</v>
      </c>
      <c r="N529" s="426">
        <v>1</v>
      </c>
      <c r="O529" s="426">
        <v>1</v>
      </c>
      <c r="P529" s="426">
        <v>1</v>
      </c>
      <c r="Q529" s="426">
        <v>1</v>
      </c>
      <c r="R529" s="426">
        <v>1</v>
      </c>
      <c r="S529" s="426">
        <v>1</v>
      </c>
      <c r="T529" s="426">
        <v>1</v>
      </c>
      <c r="U529" s="426">
        <v>1</v>
      </c>
      <c r="V529" s="426">
        <v>1</v>
      </c>
      <c r="W529" s="426">
        <v>1</v>
      </c>
      <c r="X529" s="426">
        <v>1</v>
      </c>
      <c r="Y529" s="426">
        <v>1</v>
      </c>
      <c r="Z529" s="426">
        <v>1</v>
      </c>
      <c r="AA529" s="426">
        <v>1</v>
      </c>
      <c r="AB529" s="426">
        <v>1</v>
      </c>
      <c r="AC529" s="426">
        <v>1</v>
      </c>
      <c r="AD529" s="426">
        <v>1</v>
      </c>
      <c r="AE529" s="426">
        <v>1</v>
      </c>
      <c r="AF529" s="426">
        <v>1</v>
      </c>
      <c r="AG529" s="426">
        <v>1</v>
      </c>
      <c r="AH529" s="426">
        <v>1</v>
      </c>
      <c r="AI529" s="426">
        <v>1</v>
      </c>
      <c r="AJ529" s="426">
        <v>1</v>
      </c>
      <c r="AK529" s="426">
        <v>1</v>
      </c>
      <c r="AL529" s="426">
        <v>1</v>
      </c>
    </row>
    <row r="530" spans="1:38">
      <c r="D530" t="str">
        <f>Commodities!$C$105</f>
        <v>UREFHET</v>
      </c>
    </row>
    <row r="531" spans="1:38">
      <c r="A531" s="4" t="str">
        <f>AO419</f>
        <v>U-TRF-OILREFHET_OIL01</v>
      </c>
      <c r="B531" s="4" t="str">
        <f>AP419</f>
        <v>UPS Transformation: Oil refinery process heat Petroleum product - New</v>
      </c>
      <c r="C531" s="4"/>
      <c r="D531" s="4"/>
      <c r="E531" s="4"/>
      <c r="F531" s="4"/>
      <c r="G531" s="4" t="s">
        <v>695</v>
      </c>
      <c r="H531" s="4"/>
      <c r="I531" s="4"/>
      <c r="J531" s="4" t="s">
        <v>2665</v>
      </c>
      <c r="K531" s="333">
        <v>1</v>
      </c>
      <c r="L531" s="333">
        <v>1</v>
      </c>
      <c r="M531" s="333">
        <v>1</v>
      </c>
      <c r="N531" s="333">
        <v>1</v>
      </c>
      <c r="O531" s="333">
        <v>1</v>
      </c>
      <c r="P531" s="333">
        <v>1</v>
      </c>
      <c r="Q531" s="333">
        <v>1</v>
      </c>
      <c r="R531" s="333">
        <v>1</v>
      </c>
      <c r="S531" s="333">
        <v>1</v>
      </c>
      <c r="T531" s="333">
        <v>1</v>
      </c>
      <c r="U531" s="333">
        <v>1</v>
      </c>
      <c r="V531" s="333">
        <v>1</v>
      </c>
      <c r="W531" s="333">
        <v>1</v>
      </c>
      <c r="X531" s="333">
        <v>1</v>
      </c>
      <c r="Y531" s="333">
        <v>1</v>
      </c>
      <c r="Z531" s="333">
        <v>1</v>
      </c>
      <c r="AA531" s="333">
        <v>1</v>
      </c>
      <c r="AB531" s="333">
        <v>1</v>
      </c>
      <c r="AC531" s="333">
        <v>1</v>
      </c>
      <c r="AD531" s="333">
        <v>1</v>
      </c>
      <c r="AE531" s="333">
        <v>1</v>
      </c>
      <c r="AF531" s="333">
        <v>1</v>
      </c>
      <c r="AG531" s="333">
        <v>1</v>
      </c>
      <c r="AH531" s="333">
        <v>1</v>
      </c>
      <c r="AI531" s="333">
        <v>1</v>
      </c>
      <c r="AJ531" s="333">
        <v>1</v>
      </c>
      <c r="AK531" s="333">
        <v>1</v>
      </c>
      <c r="AL531" s="333">
        <v>1</v>
      </c>
    </row>
    <row r="532" spans="1:38">
      <c r="C532" s="4"/>
      <c r="D532" s="4"/>
      <c r="E532" s="4"/>
      <c r="F532" s="4"/>
      <c r="G532" s="4" t="s">
        <v>697</v>
      </c>
      <c r="H532" s="4"/>
      <c r="I532" s="4"/>
      <c r="J532" s="4" t="s">
        <v>698</v>
      </c>
      <c r="K532" s="424">
        <f>'Key inputs_Refineries'!$F$179</f>
        <v>15</v>
      </c>
      <c r="L532" s="424">
        <f>'Key inputs_Refineries'!$F$179</f>
        <v>15</v>
      </c>
      <c r="M532" s="424">
        <f>'Key inputs_Refineries'!$F$179</f>
        <v>15</v>
      </c>
      <c r="N532" s="424">
        <f>'Key inputs_Refineries'!$F$179</f>
        <v>15</v>
      </c>
      <c r="O532" s="424">
        <f>'Key inputs_Refineries'!$F$179</f>
        <v>15</v>
      </c>
      <c r="P532" s="424">
        <f>'Key inputs_Refineries'!$F$179</f>
        <v>15</v>
      </c>
      <c r="Q532" s="424">
        <f>'Key inputs_Refineries'!$F$179</f>
        <v>15</v>
      </c>
      <c r="R532" s="424">
        <f>'Key inputs_Refineries'!$F$179</f>
        <v>15</v>
      </c>
      <c r="S532" s="424">
        <f>'Key inputs_Refineries'!$F$179</f>
        <v>15</v>
      </c>
      <c r="T532" s="424">
        <f>'Key inputs_Refineries'!$F$179</f>
        <v>15</v>
      </c>
      <c r="U532" s="424">
        <f>'Key inputs_Refineries'!$F$179</f>
        <v>15</v>
      </c>
      <c r="V532" s="424">
        <f>'Key inputs_Refineries'!$F$179</f>
        <v>15</v>
      </c>
      <c r="W532" s="424">
        <f>'Key inputs_Refineries'!$F$179</f>
        <v>15</v>
      </c>
      <c r="X532" s="424">
        <f>'Key inputs_Refineries'!$F$179</f>
        <v>15</v>
      </c>
      <c r="Y532" s="424">
        <f>'Key inputs_Refineries'!$F$179</f>
        <v>15</v>
      </c>
      <c r="Z532" s="424">
        <f>'Key inputs_Refineries'!$F$179</f>
        <v>15</v>
      </c>
      <c r="AA532" s="424">
        <f>'Key inputs_Refineries'!$F$179</f>
        <v>15</v>
      </c>
      <c r="AB532" s="424">
        <f>'Key inputs_Refineries'!$F$179</f>
        <v>15</v>
      </c>
      <c r="AC532" s="424">
        <f>'Key inputs_Refineries'!$F$179</f>
        <v>15</v>
      </c>
      <c r="AD532" s="424">
        <f>'Key inputs_Refineries'!$F$179</f>
        <v>15</v>
      </c>
      <c r="AE532" s="424">
        <f>'Key inputs_Refineries'!$F$179</f>
        <v>15</v>
      </c>
      <c r="AF532" s="424">
        <f>'Key inputs_Refineries'!$F$179</f>
        <v>15</v>
      </c>
      <c r="AG532" s="424">
        <f>'Key inputs_Refineries'!$F$179</f>
        <v>15</v>
      </c>
      <c r="AH532" s="424">
        <f>'Key inputs_Refineries'!$F$179</f>
        <v>15</v>
      </c>
      <c r="AI532" s="424">
        <f>'Key inputs_Refineries'!$F$179</f>
        <v>15</v>
      </c>
      <c r="AJ532" s="424">
        <f>'Key inputs_Refineries'!$F$179</f>
        <v>15</v>
      </c>
      <c r="AK532" s="424">
        <f>'Key inputs_Refineries'!$F$179</f>
        <v>15</v>
      </c>
      <c r="AL532" s="424">
        <f>'Key inputs_Refineries'!$F$179</f>
        <v>15</v>
      </c>
    </row>
    <row r="533" spans="1:38">
      <c r="C533" s="4"/>
      <c r="D533" s="4"/>
      <c r="E533" s="4"/>
      <c r="F533" s="4"/>
      <c r="G533" s="4" t="s">
        <v>707</v>
      </c>
      <c r="H533" s="4"/>
      <c r="I533" s="4"/>
      <c r="J533" s="4" t="s">
        <v>2669</v>
      </c>
      <c r="K533" s="347">
        <v>2020</v>
      </c>
      <c r="L533" s="347">
        <v>2020</v>
      </c>
      <c r="M533" s="347">
        <v>2020</v>
      </c>
      <c r="N533" s="347">
        <v>2020</v>
      </c>
      <c r="O533" s="347">
        <v>2020</v>
      </c>
      <c r="P533" s="347">
        <v>2020</v>
      </c>
      <c r="Q533" s="347">
        <v>2020</v>
      </c>
      <c r="R533" s="347">
        <v>2020</v>
      </c>
      <c r="S533" s="347">
        <v>2020</v>
      </c>
      <c r="T533" s="347">
        <v>2020</v>
      </c>
      <c r="U533" s="347">
        <v>2020</v>
      </c>
      <c r="V533" s="347">
        <v>2020</v>
      </c>
      <c r="W533" s="347">
        <v>2020</v>
      </c>
      <c r="X533" s="347">
        <v>2020</v>
      </c>
      <c r="Y533" s="347">
        <v>2020</v>
      </c>
      <c r="Z533" s="347">
        <v>2020</v>
      </c>
      <c r="AA533" s="347">
        <v>2020</v>
      </c>
      <c r="AB533" s="347">
        <v>2020</v>
      </c>
      <c r="AC533" s="347">
        <v>2020</v>
      </c>
      <c r="AD533" s="347">
        <v>2020</v>
      </c>
      <c r="AE533" s="347">
        <v>2020</v>
      </c>
      <c r="AF533" s="347">
        <v>2020</v>
      </c>
      <c r="AG533" s="347">
        <v>2020</v>
      </c>
      <c r="AH533" s="347">
        <v>2020</v>
      </c>
      <c r="AI533" s="347">
        <v>2020</v>
      </c>
      <c r="AJ533" s="347">
        <v>2020</v>
      </c>
      <c r="AK533" s="347">
        <v>2020</v>
      </c>
      <c r="AL533" s="347">
        <v>2020</v>
      </c>
    </row>
    <row r="534" spans="1:38">
      <c r="G534" s="4" t="s">
        <v>701</v>
      </c>
      <c r="H534" s="4" t="s">
        <v>661</v>
      </c>
      <c r="I534" s="4">
        <v>2019</v>
      </c>
      <c r="J534" s="4" t="s">
        <v>112</v>
      </c>
      <c r="K534" s="333"/>
      <c r="L534" s="333"/>
      <c r="M534" s="333"/>
      <c r="N534" s="333"/>
      <c r="O534" s="333"/>
      <c r="P534" s="333"/>
      <c r="Q534" s="333"/>
      <c r="R534" s="333"/>
      <c r="S534" s="333"/>
      <c r="T534" s="333"/>
      <c r="U534" s="333"/>
      <c r="V534" s="333"/>
      <c r="W534" s="333"/>
      <c r="X534" s="333"/>
      <c r="Y534" s="333"/>
      <c r="Z534" s="333"/>
      <c r="AA534" s="333"/>
      <c r="AB534" s="333"/>
      <c r="AC534" s="333"/>
      <c r="AD534" s="333"/>
      <c r="AE534" s="333"/>
      <c r="AF534" s="333"/>
      <c r="AG534" s="333"/>
      <c r="AH534" s="333"/>
      <c r="AI534" s="333"/>
      <c r="AJ534" s="333"/>
      <c r="AK534" s="333"/>
      <c r="AL534" s="333"/>
    </row>
    <row r="535" spans="1:38">
      <c r="G535" s="4" t="s">
        <v>701</v>
      </c>
      <c r="H535" s="4" t="s">
        <v>661</v>
      </c>
      <c r="I535" s="4">
        <v>2060</v>
      </c>
      <c r="J535" s="4" t="s">
        <v>112</v>
      </c>
      <c r="K535" s="333"/>
      <c r="L535" s="333"/>
      <c r="M535" s="333"/>
      <c r="N535" s="333"/>
      <c r="O535" s="333"/>
      <c r="P535" s="333"/>
      <c r="Q535" s="333"/>
      <c r="R535" s="333"/>
      <c r="S535" s="333"/>
      <c r="T535" s="333"/>
      <c r="U535" s="333"/>
      <c r="V535" s="333"/>
      <c r="W535" s="333"/>
      <c r="X535" s="333"/>
      <c r="Y535" s="333"/>
      <c r="Z535" s="333"/>
      <c r="AA535" s="333"/>
      <c r="AB535" s="333"/>
      <c r="AC535" s="333"/>
      <c r="AD535" s="333"/>
      <c r="AE535" s="333"/>
      <c r="AF535" s="333"/>
      <c r="AG535" s="333"/>
      <c r="AH535" s="333"/>
      <c r="AI535" s="333"/>
      <c r="AJ535" s="333"/>
      <c r="AK535" s="333"/>
      <c r="AL535" s="333"/>
    </row>
    <row r="536" spans="1:38">
      <c r="G536" s="4" t="s">
        <v>701</v>
      </c>
      <c r="H536" s="4" t="s">
        <v>661</v>
      </c>
      <c r="I536" s="4">
        <v>0</v>
      </c>
      <c r="J536" s="4"/>
      <c r="K536" s="333"/>
      <c r="L536" s="333"/>
      <c r="M536" s="333"/>
      <c r="N536" s="333"/>
      <c r="O536" s="333"/>
      <c r="P536" s="333"/>
      <c r="Q536" s="333"/>
      <c r="R536" s="333"/>
      <c r="S536" s="333"/>
      <c r="T536" s="333"/>
      <c r="U536" s="333"/>
      <c r="V536" s="333"/>
      <c r="W536" s="333"/>
      <c r="X536" s="333"/>
      <c r="Y536" s="333"/>
      <c r="Z536" s="333"/>
      <c r="AA536" s="333"/>
      <c r="AB536" s="333"/>
      <c r="AC536" s="333"/>
      <c r="AD536" s="333"/>
      <c r="AE536" s="333"/>
      <c r="AF536" s="333"/>
      <c r="AG536" s="333"/>
      <c r="AH536" s="333"/>
      <c r="AI536" s="333"/>
      <c r="AJ536" s="333"/>
      <c r="AK536" s="333"/>
      <c r="AL536" s="333"/>
    </row>
    <row r="537" spans="1:38">
      <c r="G537" s="4" t="s">
        <v>687</v>
      </c>
      <c r="H537" s="4"/>
      <c r="I537" s="4"/>
      <c r="J537" s="4" t="s">
        <v>2663</v>
      </c>
      <c r="K537" s="425">
        <f>'Key inputs_Refineries'!$C$179*10^3</f>
        <v>104.06880000000001</v>
      </c>
      <c r="L537" s="425">
        <f>'Key inputs_Refineries'!$C$179*10^3</f>
        <v>104.06880000000001</v>
      </c>
      <c r="M537" s="425">
        <f>'Key inputs_Refineries'!$C$179*10^3</f>
        <v>104.06880000000001</v>
      </c>
      <c r="N537" s="425">
        <f>'Key inputs_Refineries'!$C$179*10^3</f>
        <v>104.06880000000001</v>
      </c>
      <c r="O537" s="425">
        <f>'Key inputs_Refineries'!$C$179*10^3</f>
        <v>104.06880000000001</v>
      </c>
      <c r="P537" s="425">
        <f>'Key inputs_Refineries'!$C$179*10^3</f>
        <v>104.06880000000001</v>
      </c>
      <c r="Q537" s="425">
        <f>'Key inputs_Refineries'!$C$179*10^3</f>
        <v>104.06880000000001</v>
      </c>
      <c r="R537" s="425">
        <f>'Key inputs_Refineries'!$C$179*10^3</f>
        <v>104.06880000000001</v>
      </c>
      <c r="S537" s="425">
        <f>'Key inputs_Refineries'!$C$179*10^3</f>
        <v>104.06880000000001</v>
      </c>
      <c r="T537" s="425">
        <f>'Key inputs_Refineries'!$C$179*10^3</f>
        <v>104.06880000000001</v>
      </c>
      <c r="U537" s="425">
        <f>'Key inputs_Refineries'!$C$179*10^3</f>
        <v>104.06880000000001</v>
      </c>
      <c r="V537" s="425">
        <f>'Key inputs_Refineries'!$C$179*10^3</f>
        <v>104.06880000000001</v>
      </c>
      <c r="W537" s="425">
        <f>'Key inputs_Refineries'!$C$179*10^3</f>
        <v>104.06880000000001</v>
      </c>
      <c r="X537" s="425">
        <f>'Key inputs_Refineries'!$C$179*10^3</f>
        <v>104.06880000000001</v>
      </c>
      <c r="Y537" s="425">
        <f>'Key inputs_Refineries'!$C$179*10^3</f>
        <v>104.06880000000001</v>
      </c>
      <c r="Z537" s="425">
        <f>'Key inputs_Refineries'!$C$179*10^3</f>
        <v>104.06880000000001</v>
      </c>
      <c r="AA537" s="425">
        <f>'Key inputs_Refineries'!$C$179*10^3</f>
        <v>104.06880000000001</v>
      </c>
      <c r="AB537" s="425">
        <f>'Key inputs_Refineries'!$C$179*10^3</f>
        <v>104.06880000000001</v>
      </c>
      <c r="AC537" s="425">
        <f>'Key inputs_Refineries'!$C$179*10^3</f>
        <v>104.06880000000001</v>
      </c>
      <c r="AD537" s="425">
        <f>'Key inputs_Refineries'!$C$179*10^3</f>
        <v>104.06880000000001</v>
      </c>
      <c r="AE537" s="425">
        <f>'Key inputs_Refineries'!$C$179*10^3</f>
        <v>104.06880000000001</v>
      </c>
      <c r="AF537" s="425">
        <f>'Key inputs_Refineries'!$C$179*10^3</f>
        <v>104.06880000000001</v>
      </c>
      <c r="AG537" s="425">
        <f>'Key inputs_Refineries'!$C$179*10^3</f>
        <v>104.06880000000001</v>
      </c>
      <c r="AH537" s="425">
        <f>'Key inputs_Refineries'!$C$179*10^3</f>
        <v>104.06880000000001</v>
      </c>
      <c r="AI537" s="425">
        <f>'Key inputs_Refineries'!$C$179*10^3</f>
        <v>104.06880000000001</v>
      </c>
      <c r="AJ537" s="425">
        <f>'Key inputs_Refineries'!$C$179*10^3</f>
        <v>104.06880000000001</v>
      </c>
      <c r="AK537" s="425">
        <f>'Key inputs_Refineries'!$C$179*10^3</f>
        <v>104.06880000000001</v>
      </c>
      <c r="AL537" s="425">
        <f>'Key inputs_Refineries'!$C$179*10^3</f>
        <v>104.06880000000001</v>
      </c>
    </row>
    <row r="538" spans="1:38">
      <c r="G538" s="4" t="s">
        <v>689</v>
      </c>
      <c r="H538" s="4"/>
      <c r="I538" s="4"/>
      <c r="J538" s="4" t="s">
        <v>2663</v>
      </c>
      <c r="K538" s="425">
        <f>'Key inputs_Refineries'!$D$179*10^3</f>
        <v>0.94608000000000003</v>
      </c>
      <c r="L538" s="425">
        <f>'Key inputs_Refineries'!$D$179*10^3</f>
        <v>0.94608000000000003</v>
      </c>
      <c r="M538" s="425">
        <f>'Key inputs_Refineries'!$D$179*10^3</f>
        <v>0.94608000000000003</v>
      </c>
      <c r="N538" s="425">
        <f>'Key inputs_Refineries'!$D$179*10^3</f>
        <v>0.94608000000000003</v>
      </c>
      <c r="O538" s="425">
        <f>'Key inputs_Refineries'!$D$179*10^3</f>
        <v>0.94608000000000003</v>
      </c>
      <c r="P538" s="425">
        <f>'Key inputs_Refineries'!$D$179*10^3</f>
        <v>0.94608000000000003</v>
      </c>
      <c r="Q538" s="425">
        <f>'Key inputs_Refineries'!$D$179*10^3</f>
        <v>0.94608000000000003</v>
      </c>
      <c r="R538" s="425">
        <f>'Key inputs_Refineries'!$D$179*10^3</f>
        <v>0.94608000000000003</v>
      </c>
      <c r="S538" s="425">
        <f>'Key inputs_Refineries'!$D$179*10^3</f>
        <v>0.94608000000000003</v>
      </c>
      <c r="T538" s="425">
        <f>'Key inputs_Refineries'!$D$179*10^3</f>
        <v>0.94608000000000003</v>
      </c>
      <c r="U538" s="425">
        <f>'Key inputs_Refineries'!$D$179*10^3</f>
        <v>0.94608000000000003</v>
      </c>
      <c r="V538" s="425">
        <f>'Key inputs_Refineries'!$D$179*10^3</f>
        <v>0.94608000000000003</v>
      </c>
      <c r="W538" s="425">
        <f>'Key inputs_Refineries'!$D$179*10^3</f>
        <v>0.94608000000000003</v>
      </c>
      <c r="X538" s="425">
        <f>'Key inputs_Refineries'!$D$179*10^3</f>
        <v>0.94608000000000003</v>
      </c>
      <c r="Y538" s="425">
        <f>'Key inputs_Refineries'!$D$179*10^3</f>
        <v>0.94608000000000003</v>
      </c>
      <c r="Z538" s="425">
        <f>'Key inputs_Refineries'!$D$179*10^3</f>
        <v>0.94608000000000003</v>
      </c>
      <c r="AA538" s="425">
        <f>'Key inputs_Refineries'!$D$179*10^3</f>
        <v>0.94608000000000003</v>
      </c>
      <c r="AB538" s="425">
        <f>'Key inputs_Refineries'!$D$179*10^3</f>
        <v>0.94608000000000003</v>
      </c>
      <c r="AC538" s="425">
        <f>'Key inputs_Refineries'!$D$179*10^3</f>
        <v>0.94608000000000003</v>
      </c>
      <c r="AD538" s="425">
        <f>'Key inputs_Refineries'!$D$179*10^3</f>
        <v>0.94608000000000003</v>
      </c>
      <c r="AE538" s="425">
        <f>'Key inputs_Refineries'!$D$179*10^3</f>
        <v>0.94608000000000003</v>
      </c>
      <c r="AF538" s="425">
        <f>'Key inputs_Refineries'!$D$179*10^3</f>
        <v>0.94608000000000003</v>
      </c>
      <c r="AG538" s="425">
        <f>'Key inputs_Refineries'!$D$179*10^3</f>
        <v>0.94608000000000003</v>
      </c>
      <c r="AH538" s="425">
        <f>'Key inputs_Refineries'!$D$179*10^3</f>
        <v>0.94608000000000003</v>
      </c>
      <c r="AI538" s="425">
        <f>'Key inputs_Refineries'!$D$179*10^3</f>
        <v>0.94608000000000003</v>
      </c>
      <c r="AJ538" s="425">
        <f>'Key inputs_Refineries'!$D$179*10^3</f>
        <v>0.94608000000000003</v>
      </c>
      <c r="AK538" s="425">
        <f>'Key inputs_Refineries'!$D$179*10^3</f>
        <v>0.94608000000000003</v>
      </c>
      <c r="AL538" s="425">
        <f>'Key inputs_Refineries'!$D$179*10^3</f>
        <v>0.94608000000000003</v>
      </c>
    </row>
    <row r="539" spans="1:38">
      <c r="G539" s="4" t="s">
        <v>675</v>
      </c>
      <c r="H539" s="4"/>
      <c r="I539" s="4"/>
      <c r="J539" s="4" t="s">
        <v>2662</v>
      </c>
      <c r="K539" s="338"/>
      <c r="L539" s="338"/>
      <c r="M539" s="338"/>
      <c r="N539" s="338"/>
      <c r="O539" s="338"/>
      <c r="P539" s="338"/>
      <c r="Q539" s="338"/>
      <c r="R539" s="338"/>
      <c r="S539" s="338"/>
      <c r="T539" s="338"/>
      <c r="U539" s="338"/>
      <c r="V539" s="338"/>
      <c r="W539" s="338"/>
      <c r="X539" s="338"/>
      <c r="Y539" s="338"/>
      <c r="Z539" s="338"/>
      <c r="AA539" s="338"/>
      <c r="AB539" s="338"/>
      <c r="AC539" s="338"/>
      <c r="AD539" s="338"/>
      <c r="AE539" s="338"/>
      <c r="AF539" s="338"/>
      <c r="AG539" s="338"/>
      <c r="AH539" s="338"/>
      <c r="AI539" s="338"/>
      <c r="AJ539" s="338"/>
      <c r="AK539" s="338"/>
      <c r="AL539" s="338"/>
    </row>
    <row r="540" spans="1:38">
      <c r="G540" s="4" t="s">
        <v>630</v>
      </c>
      <c r="H540" s="4"/>
      <c r="I540" s="4"/>
      <c r="J540" s="4" t="s">
        <v>2666</v>
      </c>
      <c r="K540" s="425">
        <f>'Key inputs_Refineries'!$H$179</f>
        <v>0.8</v>
      </c>
      <c r="L540" s="425">
        <f>'Key inputs_Refineries'!$H$179</f>
        <v>0.8</v>
      </c>
      <c r="M540" s="425">
        <f>'Key inputs_Refineries'!$H$179</f>
        <v>0.8</v>
      </c>
      <c r="N540" s="425">
        <f>'Key inputs_Refineries'!$H$179</f>
        <v>0.8</v>
      </c>
      <c r="O540" s="425">
        <f>'Key inputs_Refineries'!$H$179</f>
        <v>0.8</v>
      </c>
      <c r="P540" s="425">
        <f>'Key inputs_Refineries'!$H$179</f>
        <v>0.8</v>
      </c>
      <c r="Q540" s="425">
        <f>'Key inputs_Refineries'!$H$179</f>
        <v>0.8</v>
      </c>
      <c r="R540" s="425">
        <f>'Key inputs_Refineries'!$H$179</f>
        <v>0.8</v>
      </c>
      <c r="S540" s="425">
        <f>'Key inputs_Refineries'!$H$179</f>
        <v>0.8</v>
      </c>
      <c r="T540" s="425">
        <f>'Key inputs_Refineries'!$H$179</f>
        <v>0.8</v>
      </c>
      <c r="U540" s="425">
        <f>'Key inputs_Refineries'!$H$179</f>
        <v>0.8</v>
      </c>
      <c r="V540" s="425">
        <f>'Key inputs_Refineries'!$H$179</f>
        <v>0.8</v>
      </c>
      <c r="W540" s="425">
        <f>'Key inputs_Refineries'!$H$179</f>
        <v>0.8</v>
      </c>
      <c r="X540" s="425">
        <f>'Key inputs_Refineries'!$H$179</f>
        <v>0.8</v>
      </c>
      <c r="Y540" s="425">
        <f>'Key inputs_Refineries'!$H$179</f>
        <v>0.8</v>
      </c>
      <c r="Z540" s="425">
        <f>'Key inputs_Refineries'!$H$179</f>
        <v>0.8</v>
      </c>
      <c r="AA540" s="425">
        <f>'Key inputs_Refineries'!$H$179</f>
        <v>0.8</v>
      </c>
      <c r="AB540" s="425">
        <f>'Key inputs_Refineries'!$H$179</f>
        <v>0.8</v>
      </c>
      <c r="AC540" s="425">
        <f>'Key inputs_Refineries'!$H$179</f>
        <v>0.8</v>
      </c>
      <c r="AD540" s="425">
        <f>'Key inputs_Refineries'!$H$179</f>
        <v>0.8</v>
      </c>
      <c r="AE540" s="425">
        <f>'Key inputs_Refineries'!$H$179</f>
        <v>0.8</v>
      </c>
      <c r="AF540" s="425">
        <f>'Key inputs_Refineries'!$H$179</f>
        <v>0.8</v>
      </c>
      <c r="AG540" s="425">
        <f>'Key inputs_Refineries'!$H$179</f>
        <v>0.8</v>
      </c>
      <c r="AH540" s="425">
        <f>'Key inputs_Refineries'!$H$179</f>
        <v>0.8</v>
      </c>
      <c r="AI540" s="425">
        <f>'Key inputs_Refineries'!$H$179</f>
        <v>0.8</v>
      </c>
      <c r="AJ540" s="425">
        <f>'Key inputs_Refineries'!$H$179</f>
        <v>0.8</v>
      </c>
      <c r="AK540" s="425">
        <f>'Key inputs_Refineries'!$H$179</f>
        <v>0.8</v>
      </c>
      <c r="AL540" s="425">
        <f>'Key inputs_Refineries'!$H$179</f>
        <v>0.8</v>
      </c>
    </row>
    <row r="541" spans="1:38">
      <c r="C541" t="str">
        <f>Commodities!$C$80</f>
        <v>UPSBDL</v>
      </c>
      <c r="G541" s="4" t="s">
        <v>702</v>
      </c>
      <c r="H541" t="s">
        <v>661</v>
      </c>
      <c r="I541">
        <v>2019</v>
      </c>
      <c r="J541" t="s">
        <v>650</v>
      </c>
      <c r="K541" s="173" cm="1">
        <f t="array" ref="K541">IFERROR(IF(AND(SUMIFS('Key inputs_Refineries'!E$85:E$164,'Key inputs_Refineries'!$C$85:$C$164,$C541,'Key inputs_Refineries'!$B$85:$B$164,"Boiler")/SUM(SUMIFS('Key inputs_Refineries'!E$85:E$164,'Key inputs_Refineries'!$C$85:$C$164,$C541:$C550,'Key inputs_Refineries'!$B$85:$B$164,"Boiler"))&gt;0,SUMIFS('Key inputs_Refineries'!E$85:E$164,'Key inputs_Refineries'!$C$85:$C$164,$C541,'Key inputs_Refineries'!$B$85:$B$164,"Boiler")/SUM(SUMIFS('Key inputs_Refineries'!E$85:E$164,'Key inputs_Refineries'!$C$85:$C$164,$C541:$C550,'Key inputs_Refineries'!$B$85:$B$164,"Boiler"))&lt;0.001),0.001,SUMIFS('Key inputs_Refineries'!E$85:E$164,'Key inputs_Refineries'!$C$85:$C$164,$C541,'Key inputs_Refineries'!$B$85:$B$164,"Boiler")/SUM(SUMIFS('Key inputs_Refineries'!E$85:E$164,'Key inputs_Refineries'!$C$85:$C$164,$C541:$C550,'Key inputs_Refineries'!$B$85:$B$164,"Boiler"))),0)</f>
        <v>0</v>
      </c>
      <c r="L541" s="173" cm="1">
        <f t="array" ref="L541">IFERROR(IF(AND(SUMIFS('Key inputs_Refineries'!F$85:F$164,'Key inputs_Refineries'!$C$85:$C$164,$C541,'Key inputs_Refineries'!$B$85:$B$164,"Boiler")/SUM(SUMIFS('Key inputs_Refineries'!F$85:F$164,'Key inputs_Refineries'!$C$85:$C$164,$C541:$C550,'Key inputs_Refineries'!$B$85:$B$164,"Boiler"))&gt;0,SUMIFS('Key inputs_Refineries'!F$85:F$164,'Key inputs_Refineries'!$C$85:$C$164,$C541,'Key inputs_Refineries'!$B$85:$B$164,"Boiler")/SUM(SUMIFS('Key inputs_Refineries'!F$85:F$164,'Key inputs_Refineries'!$C$85:$C$164,$C541:$C550,'Key inputs_Refineries'!$B$85:$B$164,"Boiler"))&lt;0.001),0.001,SUMIFS('Key inputs_Refineries'!F$85:F$164,'Key inputs_Refineries'!$C$85:$C$164,$C541,'Key inputs_Refineries'!$B$85:$B$164,"Boiler")/SUM(SUMIFS('Key inputs_Refineries'!F$85:F$164,'Key inputs_Refineries'!$C$85:$C$164,$C541:$C550,'Key inputs_Refineries'!$B$85:$B$164,"Boiler"))),0)</f>
        <v>0</v>
      </c>
      <c r="M541" s="173" cm="1">
        <f t="array" ref="M541">IFERROR(IF(AND(SUMIFS('Key inputs_Refineries'!G$85:G$164,'Key inputs_Refineries'!$C$85:$C$164,$C541,'Key inputs_Refineries'!$B$85:$B$164,"Boiler")/SUM(SUMIFS('Key inputs_Refineries'!G$85:G$164,'Key inputs_Refineries'!$C$85:$C$164,$C541:$C550,'Key inputs_Refineries'!$B$85:$B$164,"Boiler"))&gt;0,SUMIFS('Key inputs_Refineries'!G$85:G$164,'Key inputs_Refineries'!$C$85:$C$164,$C541,'Key inputs_Refineries'!$B$85:$B$164,"Boiler")/SUM(SUMIFS('Key inputs_Refineries'!G$85:G$164,'Key inputs_Refineries'!$C$85:$C$164,$C541:$C550,'Key inputs_Refineries'!$B$85:$B$164,"Boiler"))&lt;0.001),0.001,SUMIFS('Key inputs_Refineries'!G$85:G$164,'Key inputs_Refineries'!$C$85:$C$164,$C541,'Key inputs_Refineries'!$B$85:$B$164,"Boiler")/SUM(SUMIFS('Key inputs_Refineries'!G$85:G$164,'Key inputs_Refineries'!$C$85:$C$164,$C541:$C550,'Key inputs_Refineries'!$B$85:$B$164,"Boiler"))),0)</f>
        <v>0</v>
      </c>
      <c r="N541" s="173" cm="1">
        <f t="array" ref="N541">IFERROR(IF(AND(SUMIFS('Key inputs_Refineries'!H$85:H$164,'Key inputs_Refineries'!$C$85:$C$164,$C541,'Key inputs_Refineries'!$B$85:$B$164,"Boiler")/SUM(SUMIFS('Key inputs_Refineries'!H$85:H$164,'Key inputs_Refineries'!$C$85:$C$164,$C541:$C550,'Key inputs_Refineries'!$B$85:$B$164,"Boiler"))&gt;0,SUMIFS('Key inputs_Refineries'!H$85:H$164,'Key inputs_Refineries'!$C$85:$C$164,$C541,'Key inputs_Refineries'!$B$85:$B$164,"Boiler")/SUM(SUMIFS('Key inputs_Refineries'!H$85:H$164,'Key inputs_Refineries'!$C$85:$C$164,$C541:$C550,'Key inputs_Refineries'!$B$85:$B$164,"Boiler"))&lt;0.001),0.001,SUMIFS('Key inputs_Refineries'!H$85:H$164,'Key inputs_Refineries'!$C$85:$C$164,$C541,'Key inputs_Refineries'!$B$85:$B$164,"Boiler")/SUM(SUMIFS('Key inputs_Refineries'!H$85:H$164,'Key inputs_Refineries'!$C$85:$C$164,$C541:$C550,'Key inputs_Refineries'!$B$85:$B$164,"Boiler"))),0)</f>
        <v>0</v>
      </c>
      <c r="O541" s="173" cm="1">
        <f t="array" ref="O541">IFERROR(IF(AND(SUMIFS('Key inputs_Refineries'!I$85:I$164,'Key inputs_Refineries'!$C$85:$C$164,$C541,'Key inputs_Refineries'!$B$85:$B$164,"Boiler")/SUM(SUMIFS('Key inputs_Refineries'!I$85:I$164,'Key inputs_Refineries'!$C$85:$C$164,$C541:$C550,'Key inputs_Refineries'!$B$85:$B$164,"Boiler"))&gt;0,SUMIFS('Key inputs_Refineries'!I$85:I$164,'Key inputs_Refineries'!$C$85:$C$164,$C541,'Key inputs_Refineries'!$B$85:$B$164,"Boiler")/SUM(SUMIFS('Key inputs_Refineries'!I$85:I$164,'Key inputs_Refineries'!$C$85:$C$164,$C541:$C550,'Key inputs_Refineries'!$B$85:$B$164,"Boiler"))&lt;0.001),0.001,SUMIFS('Key inputs_Refineries'!I$85:I$164,'Key inputs_Refineries'!$C$85:$C$164,$C541,'Key inputs_Refineries'!$B$85:$B$164,"Boiler")/SUM(SUMIFS('Key inputs_Refineries'!I$85:I$164,'Key inputs_Refineries'!$C$85:$C$164,$C541:$C550,'Key inputs_Refineries'!$B$85:$B$164,"Boiler"))),0)</f>
        <v>0</v>
      </c>
      <c r="P541" s="173" cm="1">
        <f t="array" ref="P541">IFERROR(IF(AND(SUMIFS('Key inputs_Refineries'!J$85:J$164,'Key inputs_Refineries'!$C$85:$C$164,$C541,'Key inputs_Refineries'!$B$85:$B$164,"Boiler")/SUM(SUMIFS('Key inputs_Refineries'!J$85:J$164,'Key inputs_Refineries'!$C$85:$C$164,$C541:$C550,'Key inputs_Refineries'!$B$85:$B$164,"Boiler"))&gt;0,SUMIFS('Key inputs_Refineries'!J$85:J$164,'Key inputs_Refineries'!$C$85:$C$164,$C541,'Key inputs_Refineries'!$B$85:$B$164,"Boiler")/SUM(SUMIFS('Key inputs_Refineries'!J$85:J$164,'Key inputs_Refineries'!$C$85:$C$164,$C541:$C550,'Key inputs_Refineries'!$B$85:$B$164,"Boiler"))&lt;0.001),0.001,SUMIFS('Key inputs_Refineries'!J$85:J$164,'Key inputs_Refineries'!$C$85:$C$164,$C541,'Key inputs_Refineries'!$B$85:$B$164,"Boiler")/SUM(SUMIFS('Key inputs_Refineries'!J$85:J$164,'Key inputs_Refineries'!$C$85:$C$164,$C541:$C550,'Key inputs_Refineries'!$B$85:$B$164,"Boiler"))),0)</f>
        <v>0</v>
      </c>
      <c r="Q541" s="173" cm="1">
        <f t="array" ref="Q541">IFERROR(IF(AND(SUMIFS('Key inputs_Refineries'!K$85:K$164,'Key inputs_Refineries'!$C$85:$C$164,$C541,'Key inputs_Refineries'!$B$85:$B$164,"Boiler")/SUM(SUMIFS('Key inputs_Refineries'!K$85:K$164,'Key inputs_Refineries'!$C$85:$C$164,$C541:$C550,'Key inputs_Refineries'!$B$85:$B$164,"Boiler"))&gt;0,SUMIFS('Key inputs_Refineries'!K$85:K$164,'Key inputs_Refineries'!$C$85:$C$164,$C541,'Key inputs_Refineries'!$B$85:$B$164,"Boiler")/SUM(SUMIFS('Key inputs_Refineries'!K$85:K$164,'Key inputs_Refineries'!$C$85:$C$164,$C541:$C550,'Key inputs_Refineries'!$B$85:$B$164,"Boiler"))&lt;0.001),0.001,SUMIFS('Key inputs_Refineries'!K$85:K$164,'Key inputs_Refineries'!$C$85:$C$164,$C541,'Key inputs_Refineries'!$B$85:$B$164,"Boiler")/SUM(SUMIFS('Key inputs_Refineries'!K$85:K$164,'Key inputs_Refineries'!$C$85:$C$164,$C541:$C550,'Key inputs_Refineries'!$B$85:$B$164,"Boiler"))),0)</f>
        <v>0</v>
      </c>
      <c r="R541" s="173" cm="1">
        <f t="array" ref="R541">IFERROR(IF(AND(SUMIFS('Key inputs_Refineries'!L$85:L$164,'Key inputs_Refineries'!$C$85:$C$164,$C541,'Key inputs_Refineries'!$B$85:$B$164,"Boiler")/SUM(SUMIFS('Key inputs_Refineries'!L$85:L$164,'Key inputs_Refineries'!$C$85:$C$164,$C541:$C550,'Key inputs_Refineries'!$B$85:$B$164,"Boiler"))&gt;0,SUMIFS('Key inputs_Refineries'!L$85:L$164,'Key inputs_Refineries'!$C$85:$C$164,$C541,'Key inputs_Refineries'!$B$85:$B$164,"Boiler")/SUM(SUMIFS('Key inputs_Refineries'!L$85:L$164,'Key inputs_Refineries'!$C$85:$C$164,$C541:$C550,'Key inputs_Refineries'!$B$85:$B$164,"Boiler"))&lt;0.001),0.001,SUMIFS('Key inputs_Refineries'!L$85:L$164,'Key inputs_Refineries'!$C$85:$C$164,$C541,'Key inputs_Refineries'!$B$85:$B$164,"Boiler")/SUM(SUMIFS('Key inputs_Refineries'!L$85:L$164,'Key inputs_Refineries'!$C$85:$C$164,$C541:$C550,'Key inputs_Refineries'!$B$85:$B$164,"Boiler"))),0)</f>
        <v>0</v>
      </c>
      <c r="S541" s="173" cm="1">
        <f t="array" ref="S541">IFERROR(IF(AND(SUMIFS('Key inputs_Refineries'!M$85:M$164,'Key inputs_Refineries'!$C$85:$C$164,$C541,'Key inputs_Refineries'!$B$85:$B$164,"Boiler")/SUM(SUMIFS('Key inputs_Refineries'!M$85:M$164,'Key inputs_Refineries'!$C$85:$C$164,$C541:$C550,'Key inputs_Refineries'!$B$85:$B$164,"Boiler"))&gt;0,SUMIFS('Key inputs_Refineries'!M$85:M$164,'Key inputs_Refineries'!$C$85:$C$164,$C541,'Key inputs_Refineries'!$B$85:$B$164,"Boiler")/SUM(SUMIFS('Key inputs_Refineries'!M$85:M$164,'Key inputs_Refineries'!$C$85:$C$164,$C541:$C550,'Key inputs_Refineries'!$B$85:$B$164,"Boiler"))&lt;0.001),0.001,SUMIFS('Key inputs_Refineries'!M$85:M$164,'Key inputs_Refineries'!$C$85:$C$164,$C541,'Key inputs_Refineries'!$B$85:$B$164,"Boiler")/SUM(SUMIFS('Key inputs_Refineries'!M$85:M$164,'Key inputs_Refineries'!$C$85:$C$164,$C541:$C550,'Key inputs_Refineries'!$B$85:$B$164,"Boiler"))),0)</f>
        <v>0</v>
      </c>
      <c r="T541" s="173" cm="1">
        <f t="array" ref="T541">IFERROR(IF(AND(SUMIFS('Key inputs_Refineries'!N$85:N$164,'Key inputs_Refineries'!$C$85:$C$164,$C541,'Key inputs_Refineries'!$B$85:$B$164,"Boiler")/SUM(SUMIFS('Key inputs_Refineries'!N$85:N$164,'Key inputs_Refineries'!$C$85:$C$164,$C541:$C550,'Key inputs_Refineries'!$B$85:$B$164,"Boiler"))&gt;0,SUMIFS('Key inputs_Refineries'!N$85:N$164,'Key inputs_Refineries'!$C$85:$C$164,$C541,'Key inputs_Refineries'!$B$85:$B$164,"Boiler")/SUM(SUMIFS('Key inputs_Refineries'!N$85:N$164,'Key inputs_Refineries'!$C$85:$C$164,$C541:$C550,'Key inputs_Refineries'!$B$85:$B$164,"Boiler"))&lt;0.001),0.001,SUMIFS('Key inputs_Refineries'!N$85:N$164,'Key inputs_Refineries'!$C$85:$C$164,$C541,'Key inputs_Refineries'!$B$85:$B$164,"Boiler")/SUM(SUMIFS('Key inputs_Refineries'!N$85:N$164,'Key inputs_Refineries'!$C$85:$C$164,$C541:$C550,'Key inputs_Refineries'!$B$85:$B$164,"Boiler"))),0)</f>
        <v>0</v>
      </c>
      <c r="U541" s="173" cm="1">
        <f t="array" ref="U541">IFERROR(IF(AND(SUMIFS('Key inputs_Refineries'!O$85:O$164,'Key inputs_Refineries'!$C$85:$C$164,$C541,'Key inputs_Refineries'!$B$85:$B$164,"Boiler")/SUM(SUMIFS('Key inputs_Refineries'!O$85:O$164,'Key inputs_Refineries'!$C$85:$C$164,$C541:$C550,'Key inputs_Refineries'!$B$85:$B$164,"Boiler"))&gt;0,SUMIFS('Key inputs_Refineries'!O$85:O$164,'Key inputs_Refineries'!$C$85:$C$164,$C541,'Key inputs_Refineries'!$B$85:$B$164,"Boiler")/SUM(SUMIFS('Key inputs_Refineries'!O$85:O$164,'Key inputs_Refineries'!$C$85:$C$164,$C541:$C550,'Key inputs_Refineries'!$B$85:$B$164,"Boiler"))&lt;0.001),0.001,SUMIFS('Key inputs_Refineries'!O$85:O$164,'Key inputs_Refineries'!$C$85:$C$164,$C541,'Key inputs_Refineries'!$B$85:$B$164,"Boiler")/SUM(SUMIFS('Key inputs_Refineries'!O$85:O$164,'Key inputs_Refineries'!$C$85:$C$164,$C541:$C550,'Key inputs_Refineries'!$B$85:$B$164,"Boiler"))),0)</f>
        <v>0</v>
      </c>
      <c r="V541" s="173" cm="1">
        <f t="array" ref="V541">IFERROR(IF(AND(SUMIFS('Key inputs_Refineries'!P$85:P$164,'Key inputs_Refineries'!$C$85:$C$164,$C541,'Key inputs_Refineries'!$B$85:$B$164,"Boiler")/SUM(SUMIFS('Key inputs_Refineries'!P$85:P$164,'Key inputs_Refineries'!$C$85:$C$164,$C541:$C550,'Key inputs_Refineries'!$B$85:$B$164,"Boiler"))&gt;0,SUMIFS('Key inputs_Refineries'!P$85:P$164,'Key inputs_Refineries'!$C$85:$C$164,$C541,'Key inputs_Refineries'!$B$85:$B$164,"Boiler")/SUM(SUMIFS('Key inputs_Refineries'!P$85:P$164,'Key inputs_Refineries'!$C$85:$C$164,$C541:$C550,'Key inputs_Refineries'!$B$85:$B$164,"Boiler"))&lt;0.001),0.001,SUMIFS('Key inputs_Refineries'!P$85:P$164,'Key inputs_Refineries'!$C$85:$C$164,$C541,'Key inputs_Refineries'!$B$85:$B$164,"Boiler")/SUM(SUMIFS('Key inputs_Refineries'!P$85:P$164,'Key inputs_Refineries'!$C$85:$C$164,$C541:$C550,'Key inputs_Refineries'!$B$85:$B$164,"Boiler"))),0)</f>
        <v>0</v>
      </c>
      <c r="W541" s="173" cm="1">
        <f t="array" ref="W541">IFERROR(IF(AND(SUMIFS('Key inputs_Refineries'!Q$85:Q$164,'Key inputs_Refineries'!$C$85:$C$164,$C541,'Key inputs_Refineries'!$B$85:$B$164,"Boiler")/SUM(SUMIFS('Key inputs_Refineries'!Q$85:Q$164,'Key inputs_Refineries'!$C$85:$C$164,$C541:$C550,'Key inputs_Refineries'!$B$85:$B$164,"Boiler"))&gt;0,SUMIFS('Key inputs_Refineries'!Q$85:Q$164,'Key inputs_Refineries'!$C$85:$C$164,$C541,'Key inputs_Refineries'!$B$85:$B$164,"Boiler")/SUM(SUMIFS('Key inputs_Refineries'!Q$85:Q$164,'Key inputs_Refineries'!$C$85:$C$164,$C541:$C550,'Key inputs_Refineries'!$B$85:$B$164,"Boiler"))&lt;0.001),0.001,SUMIFS('Key inputs_Refineries'!Q$85:Q$164,'Key inputs_Refineries'!$C$85:$C$164,$C541,'Key inputs_Refineries'!$B$85:$B$164,"Boiler")/SUM(SUMIFS('Key inputs_Refineries'!Q$85:Q$164,'Key inputs_Refineries'!$C$85:$C$164,$C541:$C550,'Key inputs_Refineries'!$B$85:$B$164,"Boiler"))),0)</f>
        <v>0</v>
      </c>
      <c r="X541" s="173" cm="1">
        <f t="array" ref="X541">IFERROR(IF(AND(SUMIFS('Key inputs_Refineries'!R$85:R$164,'Key inputs_Refineries'!$C$85:$C$164,$C541,'Key inputs_Refineries'!$B$85:$B$164,"Boiler")/SUM(SUMIFS('Key inputs_Refineries'!R$85:R$164,'Key inputs_Refineries'!$C$85:$C$164,$C541:$C550,'Key inputs_Refineries'!$B$85:$B$164,"Boiler"))&gt;0,SUMIFS('Key inputs_Refineries'!R$85:R$164,'Key inputs_Refineries'!$C$85:$C$164,$C541,'Key inputs_Refineries'!$B$85:$B$164,"Boiler")/SUM(SUMIFS('Key inputs_Refineries'!R$85:R$164,'Key inputs_Refineries'!$C$85:$C$164,$C541:$C550,'Key inputs_Refineries'!$B$85:$B$164,"Boiler"))&lt;0.001),0.001,SUMIFS('Key inputs_Refineries'!R$85:R$164,'Key inputs_Refineries'!$C$85:$C$164,$C541,'Key inputs_Refineries'!$B$85:$B$164,"Boiler")/SUM(SUMIFS('Key inputs_Refineries'!R$85:R$164,'Key inputs_Refineries'!$C$85:$C$164,$C541:$C550,'Key inputs_Refineries'!$B$85:$B$164,"Boiler"))),0)</f>
        <v>0</v>
      </c>
      <c r="Y541" s="173" cm="1">
        <f t="array" ref="Y541">IFERROR(IF(AND(SUMIFS('Key inputs_Refineries'!S$85:S$164,'Key inputs_Refineries'!$C$85:$C$164,$C541,'Key inputs_Refineries'!$B$85:$B$164,"Boiler")/SUM(SUMIFS('Key inputs_Refineries'!S$85:S$164,'Key inputs_Refineries'!$C$85:$C$164,$C541:$C550,'Key inputs_Refineries'!$B$85:$B$164,"Boiler"))&gt;0,SUMIFS('Key inputs_Refineries'!S$85:S$164,'Key inputs_Refineries'!$C$85:$C$164,$C541,'Key inputs_Refineries'!$B$85:$B$164,"Boiler")/SUM(SUMIFS('Key inputs_Refineries'!S$85:S$164,'Key inputs_Refineries'!$C$85:$C$164,$C541:$C550,'Key inputs_Refineries'!$B$85:$B$164,"Boiler"))&lt;0.001),0.001,SUMIFS('Key inputs_Refineries'!S$85:S$164,'Key inputs_Refineries'!$C$85:$C$164,$C541,'Key inputs_Refineries'!$B$85:$B$164,"Boiler")/SUM(SUMIFS('Key inputs_Refineries'!S$85:S$164,'Key inputs_Refineries'!$C$85:$C$164,$C541:$C550,'Key inputs_Refineries'!$B$85:$B$164,"Boiler"))),0)</f>
        <v>0</v>
      </c>
      <c r="Z541" s="173" cm="1">
        <f t="array" ref="Z541">IFERROR(IF(AND(SUMIFS('Key inputs_Refineries'!T$85:T$164,'Key inputs_Refineries'!$C$85:$C$164,$C541,'Key inputs_Refineries'!$B$85:$B$164,"Boiler")/SUM(SUMIFS('Key inputs_Refineries'!T$85:T$164,'Key inputs_Refineries'!$C$85:$C$164,$C541:$C550,'Key inputs_Refineries'!$B$85:$B$164,"Boiler"))&gt;0,SUMIFS('Key inputs_Refineries'!T$85:T$164,'Key inputs_Refineries'!$C$85:$C$164,$C541,'Key inputs_Refineries'!$B$85:$B$164,"Boiler")/SUM(SUMIFS('Key inputs_Refineries'!T$85:T$164,'Key inputs_Refineries'!$C$85:$C$164,$C541:$C550,'Key inputs_Refineries'!$B$85:$B$164,"Boiler"))&lt;0.001),0.001,SUMIFS('Key inputs_Refineries'!T$85:T$164,'Key inputs_Refineries'!$C$85:$C$164,$C541,'Key inputs_Refineries'!$B$85:$B$164,"Boiler")/SUM(SUMIFS('Key inputs_Refineries'!T$85:T$164,'Key inputs_Refineries'!$C$85:$C$164,$C541:$C550,'Key inputs_Refineries'!$B$85:$B$164,"Boiler"))),0)</f>
        <v>0</v>
      </c>
      <c r="AA541" s="173" cm="1">
        <f t="array" ref="AA541">IFERROR(IF(AND(SUMIFS('Key inputs_Refineries'!U$85:U$164,'Key inputs_Refineries'!$C$85:$C$164,$C541,'Key inputs_Refineries'!$B$85:$B$164,"Boiler")/SUM(SUMIFS('Key inputs_Refineries'!U$85:U$164,'Key inputs_Refineries'!$C$85:$C$164,$C541:$C550,'Key inputs_Refineries'!$B$85:$B$164,"Boiler"))&gt;0,SUMIFS('Key inputs_Refineries'!U$85:U$164,'Key inputs_Refineries'!$C$85:$C$164,$C541,'Key inputs_Refineries'!$B$85:$B$164,"Boiler")/SUM(SUMIFS('Key inputs_Refineries'!U$85:U$164,'Key inputs_Refineries'!$C$85:$C$164,$C541:$C550,'Key inputs_Refineries'!$B$85:$B$164,"Boiler"))&lt;0.001),0.001,SUMIFS('Key inputs_Refineries'!U$85:U$164,'Key inputs_Refineries'!$C$85:$C$164,$C541,'Key inputs_Refineries'!$B$85:$B$164,"Boiler")/SUM(SUMIFS('Key inputs_Refineries'!U$85:U$164,'Key inputs_Refineries'!$C$85:$C$164,$C541:$C550,'Key inputs_Refineries'!$B$85:$B$164,"Boiler"))),0)</f>
        <v>1.2510132868886106E-3</v>
      </c>
      <c r="AB541" s="173" cm="1">
        <f t="array" ref="AB541">IFERROR(IF(AND(SUMIFS('Key inputs_Refineries'!V$85:V$164,'Key inputs_Refineries'!$C$85:$C$164,$C541,'Key inputs_Refineries'!$B$85:$B$164,"Boiler")/SUM(SUMIFS('Key inputs_Refineries'!V$85:V$164,'Key inputs_Refineries'!$C$85:$C$164,$C541:$C550,'Key inputs_Refineries'!$B$85:$B$164,"Boiler"))&gt;0,SUMIFS('Key inputs_Refineries'!V$85:V$164,'Key inputs_Refineries'!$C$85:$C$164,$C541,'Key inputs_Refineries'!$B$85:$B$164,"Boiler")/SUM(SUMIFS('Key inputs_Refineries'!V$85:V$164,'Key inputs_Refineries'!$C$85:$C$164,$C541:$C550,'Key inputs_Refineries'!$B$85:$B$164,"Boiler"))&lt;0.001),0.001,SUMIFS('Key inputs_Refineries'!V$85:V$164,'Key inputs_Refineries'!$C$85:$C$164,$C541,'Key inputs_Refineries'!$B$85:$B$164,"Boiler")/SUM(SUMIFS('Key inputs_Refineries'!V$85:V$164,'Key inputs_Refineries'!$C$85:$C$164,$C541:$C550,'Key inputs_Refineries'!$B$85:$B$164,"Boiler"))),0)</f>
        <v>0</v>
      </c>
      <c r="AC541" s="173" cm="1">
        <f t="array" ref="AC541">IFERROR(IF(AND(SUMIFS('Key inputs_Refineries'!W$85:W$164,'Key inputs_Refineries'!$C$85:$C$164,$C541,'Key inputs_Refineries'!$B$85:$B$164,"Boiler")/SUM(SUMIFS('Key inputs_Refineries'!W$85:W$164,'Key inputs_Refineries'!$C$85:$C$164,$C541:$C550,'Key inputs_Refineries'!$B$85:$B$164,"Boiler"))&gt;0,SUMIFS('Key inputs_Refineries'!W$85:W$164,'Key inputs_Refineries'!$C$85:$C$164,$C541,'Key inputs_Refineries'!$B$85:$B$164,"Boiler")/SUM(SUMIFS('Key inputs_Refineries'!W$85:W$164,'Key inputs_Refineries'!$C$85:$C$164,$C541:$C550,'Key inputs_Refineries'!$B$85:$B$164,"Boiler"))&lt;0.001),0.001,SUMIFS('Key inputs_Refineries'!W$85:W$164,'Key inputs_Refineries'!$C$85:$C$164,$C541,'Key inputs_Refineries'!$B$85:$B$164,"Boiler")/SUM(SUMIFS('Key inputs_Refineries'!W$85:W$164,'Key inputs_Refineries'!$C$85:$C$164,$C541:$C550,'Key inputs_Refineries'!$B$85:$B$164,"Boiler"))),0)</f>
        <v>0</v>
      </c>
      <c r="AD541" s="173" cm="1">
        <f t="array" ref="AD541">IFERROR(IF(AND(SUMIFS('Key inputs_Refineries'!X$85:X$164,'Key inputs_Refineries'!$C$85:$C$164,$C541,'Key inputs_Refineries'!$B$85:$B$164,"Boiler")/SUM(SUMIFS('Key inputs_Refineries'!X$85:X$164,'Key inputs_Refineries'!$C$85:$C$164,$C541:$C550,'Key inputs_Refineries'!$B$85:$B$164,"Boiler"))&gt;0,SUMIFS('Key inputs_Refineries'!X$85:X$164,'Key inputs_Refineries'!$C$85:$C$164,$C541,'Key inputs_Refineries'!$B$85:$B$164,"Boiler")/SUM(SUMIFS('Key inputs_Refineries'!X$85:X$164,'Key inputs_Refineries'!$C$85:$C$164,$C541:$C550,'Key inputs_Refineries'!$B$85:$B$164,"Boiler"))&lt;0.001),0.001,SUMIFS('Key inputs_Refineries'!X$85:X$164,'Key inputs_Refineries'!$C$85:$C$164,$C541,'Key inputs_Refineries'!$B$85:$B$164,"Boiler")/SUM(SUMIFS('Key inputs_Refineries'!X$85:X$164,'Key inputs_Refineries'!$C$85:$C$164,$C541:$C550,'Key inputs_Refineries'!$B$85:$B$164,"Boiler"))),0)</f>
        <v>0</v>
      </c>
      <c r="AE541" s="173" cm="1">
        <f t="array" ref="AE541">IFERROR(IF(AND(SUMIFS('Key inputs_Refineries'!Y$85:Y$164,'Key inputs_Refineries'!$C$85:$C$164,$C541,'Key inputs_Refineries'!$B$85:$B$164,"Boiler")/SUM(SUMIFS('Key inputs_Refineries'!Y$85:Y$164,'Key inputs_Refineries'!$C$85:$C$164,$C541:$C550,'Key inputs_Refineries'!$B$85:$B$164,"Boiler"))&gt;0,SUMIFS('Key inputs_Refineries'!Y$85:Y$164,'Key inputs_Refineries'!$C$85:$C$164,$C541,'Key inputs_Refineries'!$B$85:$B$164,"Boiler")/SUM(SUMIFS('Key inputs_Refineries'!Y$85:Y$164,'Key inputs_Refineries'!$C$85:$C$164,$C541:$C550,'Key inputs_Refineries'!$B$85:$B$164,"Boiler"))&lt;0.001),0.001,SUMIFS('Key inputs_Refineries'!Y$85:Y$164,'Key inputs_Refineries'!$C$85:$C$164,$C541,'Key inputs_Refineries'!$B$85:$B$164,"Boiler")/SUM(SUMIFS('Key inputs_Refineries'!Y$85:Y$164,'Key inputs_Refineries'!$C$85:$C$164,$C541:$C550,'Key inputs_Refineries'!$B$85:$B$164,"Boiler"))),0)</f>
        <v>1E-3</v>
      </c>
      <c r="AF541" s="173" cm="1">
        <f t="array" ref="AF541">IFERROR(IF(AND(SUMIFS('Key inputs_Refineries'!Z$85:Z$164,'Key inputs_Refineries'!$C$85:$C$164,$C541,'Key inputs_Refineries'!$B$85:$B$164,"Boiler")/SUM(SUMIFS('Key inputs_Refineries'!Z$85:Z$164,'Key inputs_Refineries'!$C$85:$C$164,$C541:$C550,'Key inputs_Refineries'!$B$85:$B$164,"Boiler"))&gt;0,SUMIFS('Key inputs_Refineries'!Z$85:Z$164,'Key inputs_Refineries'!$C$85:$C$164,$C541,'Key inputs_Refineries'!$B$85:$B$164,"Boiler")/SUM(SUMIFS('Key inputs_Refineries'!Z$85:Z$164,'Key inputs_Refineries'!$C$85:$C$164,$C541:$C550,'Key inputs_Refineries'!$B$85:$B$164,"Boiler"))&lt;0.001),0.001,SUMIFS('Key inputs_Refineries'!Z$85:Z$164,'Key inputs_Refineries'!$C$85:$C$164,$C541,'Key inputs_Refineries'!$B$85:$B$164,"Boiler")/SUM(SUMIFS('Key inputs_Refineries'!Z$85:Z$164,'Key inputs_Refineries'!$C$85:$C$164,$C541:$C550,'Key inputs_Refineries'!$B$85:$B$164,"Boiler"))),0)</f>
        <v>0</v>
      </c>
      <c r="AG541" s="173" cm="1">
        <f t="array" ref="AG541">IFERROR(IF(AND(SUMIFS('Key inputs_Refineries'!AA$85:AA$164,'Key inputs_Refineries'!$C$85:$C$164,$C541,'Key inputs_Refineries'!$B$85:$B$164,"Boiler")/SUM(SUMIFS('Key inputs_Refineries'!AA$85:AA$164,'Key inputs_Refineries'!$C$85:$C$164,$C541:$C550,'Key inputs_Refineries'!$B$85:$B$164,"Boiler"))&gt;0,SUMIFS('Key inputs_Refineries'!AA$85:AA$164,'Key inputs_Refineries'!$C$85:$C$164,$C541,'Key inputs_Refineries'!$B$85:$B$164,"Boiler")/SUM(SUMIFS('Key inputs_Refineries'!AA$85:AA$164,'Key inputs_Refineries'!$C$85:$C$164,$C541:$C550,'Key inputs_Refineries'!$B$85:$B$164,"Boiler"))&lt;0.001),0.001,SUMIFS('Key inputs_Refineries'!AA$85:AA$164,'Key inputs_Refineries'!$C$85:$C$164,$C541,'Key inputs_Refineries'!$B$85:$B$164,"Boiler")/SUM(SUMIFS('Key inputs_Refineries'!AA$85:AA$164,'Key inputs_Refineries'!$C$85:$C$164,$C541:$C550,'Key inputs_Refineries'!$B$85:$B$164,"Boiler"))),0)</f>
        <v>0</v>
      </c>
      <c r="AH541" s="173" cm="1">
        <f t="array" ref="AH541">IFERROR(IF(AND(SUMIFS('Key inputs_Refineries'!AB$85:AB$164,'Key inputs_Refineries'!$C$85:$C$164,$C541,'Key inputs_Refineries'!$B$85:$B$164,"Boiler")/SUM(SUMIFS('Key inputs_Refineries'!AB$85:AB$164,'Key inputs_Refineries'!$C$85:$C$164,$C541:$C550,'Key inputs_Refineries'!$B$85:$B$164,"Boiler"))&gt;0,SUMIFS('Key inputs_Refineries'!AB$85:AB$164,'Key inputs_Refineries'!$C$85:$C$164,$C541,'Key inputs_Refineries'!$B$85:$B$164,"Boiler")/SUM(SUMIFS('Key inputs_Refineries'!AB$85:AB$164,'Key inputs_Refineries'!$C$85:$C$164,$C541:$C550,'Key inputs_Refineries'!$B$85:$B$164,"Boiler"))&lt;0.001),0.001,SUMIFS('Key inputs_Refineries'!AB$85:AB$164,'Key inputs_Refineries'!$C$85:$C$164,$C541,'Key inputs_Refineries'!$B$85:$B$164,"Boiler")/SUM(SUMIFS('Key inputs_Refineries'!AB$85:AB$164,'Key inputs_Refineries'!$C$85:$C$164,$C541:$C550,'Key inputs_Refineries'!$B$85:$B$164,"Boiler"))),0)</f>
        <v>0</v>
      </c>
      <c r="AI541" s="173" cm="1">
        <f t="array" ref="AI541">IFERROR(IF(AND(SUMIFS('Key inputs_Refineries'!AC$85:AC$164,'Key inputs_Refineries'!$C$85:$C$164,$C541,'Key inputs_Refineries'!$B$85:$B$164,"Boiler")/SUM(SUMIFS('Key inputs_Refineries'!AC$85:AC$164,'Key inputs_Refineries'!$C$85:$C$164,$C541:$C550,'Key inputs_Refineries'!$B$85:$B$164,"Boiler"))&gt;0,SUMIFS('Key inputs_Refineries'!AC$85:AC$164,'Key inputs_Refineries'!$C$85:$C$164,$C541,'Key inputs_Refineries'!$B$85:$B$164,"Boiler")/SUM(SUMIFS('Key inputs_Refineries'!AC$85:AC$164,'Key inputs_Refineries'!$C$85:$C$164,$C541:$C550,'Key inputs_Refineries'!$B$85:$B$164,"Boiler"))&lt;0.001),0.001,SUMIFS('Key inputs_Refineries'!AC$85:AC$164,'Key inputs_Refineries'!$C$85:$C$164,$C541,'Key inputs_Refineries'!$B$85:$B$164,"Boiler")/SUM(SUMIFS('Key inputs_Refineries'!AC$85:AC$164,'Key inputs_Refineries'!$C$85:$C$164,$C541:$C550,'Key inputs_Refineries'!$B$85:$B$164,"Boiler"))),0)</f>
        <v>0</v>
      </c>
      <c r="AJ541" s="173" cm="1">
        <f t="array" ref="AJ541">IFERROR(IF(AND(SUMIFS('Key inputs_Refineries'!AD$85:AD$164,'Key inputs_Refineries'!$C$85:$C$164,$C541,'Key inputs_Refineries'!$B$85:$B$164,"Boiler")/SUM(SUMIFS('Key inputs_Refineries'!AD$85:AD$164,'Key inputs_Refineries'!$C$85:$C$164,$C541:$C550,'Key inputs_Refineries'!$B$85:$B$164,"Boiler"))&gt;0,SUMIFS('Key inputs_Refineries'!AD$85:AD$164,'Key inputs_Refineries'!$C$85:$C$164,$C541,'Key inputs_Refineries'!$B$85:$B$164,"Boiler")/SUM(SUMIFS('Key inputs_Refineries'!AD$85:AD$164,'Key inputs_Refineries'!$C$85:$C$164,$C541:$C550,'Key inputs_Refineries'!$B$85:$B$164,"Boiler"))&lt;0.001),0.001,SUMIFS('Key inputs_Refineries'!AD$85:AD$164,'Key inputs_Refineries'!$C$85:$C$164,$C541,'Key inputs_Refineries'!$B$85:$B$164,"Boiler")/SUM(SUMIFS('Key inputs_Refineries'!AD$85:AD$164,'Key inputs_Refineries'!$C$85:$C$164,$C541:$C550,'Key inputs_Refineries'!$B$85:$B$164,"Boiler"))),0)</f>
        <v>0</v>
      </c>
      <c r="AK541" s="173" cm="1">
        <f t="array" ref="AK541">IFERROR(IF(AND(SUMIFS('Key inputs_Refineries'!AE$85:AE$164,'Key inputs_Refineries'!$C$85:$C$164,$C541,'Key inputs_Refineries'!$B$85:$B$164,"Boiler")/SUM(SUMIFS('Key inputs_Refineries'!AE$85:AE$164,'Key inputs_Refineries'!$C$85:$C$164,$C541:$C550,'Key inputs_Refineries'!$B$85:$B$164,"Boiler"))&gt;0,SUMIFS('Key inputs_Refineries'!AE$85:AE$164,'Key inputs_Refineries'!$C$85:$C$164,$C541,'Key inputs_Refineries'!$B$85:$B$164,"Boiler")/SUM(SUMIFS('Key inputs_Refineries'!AE$85:AE$164,'Key inputs_Refineries'!$C$85:$C$164,$C541:$C550,'Key inputs_Refineries'!$B$85:$B$164,"Boiler"))&lt;0.001),0.001,SUMIFS('Key inputs_Refineries'!AE$85:AE$164,'Key inputs_Refineries'!$C$85:$C$164,$C541,'Key inputs_Refineries'!$B$85:$B$164,"Boiler")/SUM(SUMIFS('Key inputs_Refineries'!AE$85:AE$164,'Key inputs_Refineries'!$C$85:$C$164,$C541:$C550,'Key inputs_Refineries'!$B$85:$B$164,"Boiler"))),0)</f>
        <v>0</v>
      </c>
      <c r="AL541" s="173" cm="1">
        <f t="array" ref="AL541">IFERROR(IF(AND(SUMIFS('Key inputs_Refineries'!AF$85:AF$164,'Key inputs_Refineries'!$C$85:$C$164,$C541,'Key inputs_Refineries'!$B$85:$B$164,"Boiler")/SUM(SUMIFS('Key inputs_Refineries'!AF$85:AF$164,'Key inputs_Refineries'!$C$85:$C$164,$C541:$C550,'Key inputs_Refineries'!$B$85:$B$164,"Boiler"))&gt;0,SUMIFS('Key inputs_Refineries'!AF$85:AF$164,'Key inputs_Refineries'!$C$85:$C$164,$C541,'Key inputs_Refineries'!$B$85:$B$164,"Boiler")/SUM(SUMIFS('Key inputs_Refineries'!AF$85:AF$164,'Key inputs_Refineries'!$C$85:$C$164,$C541:$C550,'Key inputs_Refineries'!$B$85:$B$164,"Boiler"))&lt;0.001),0.001,SUMIFS('Key inputs_Refineries'!AF$85:AF$164,'Key inputs_Refineries'!$C$85:$C$164,$C541,'Key inputs_Refineries'!$B$85:$B$164,"Boiler")/SUM(SUMIFS('Key inputs_Refineries'!AF$85:AF$164,'Key inputs_Refineries'!$C$85:$C$164,$C541:$C550,'Key inputs_Refineries'!$B$85:$B$164,"Boiler"))),0)</f>
        <v>0</v>
      </c>
    </row>
    <row r="542" spans="1:38">
      <c r="C542" t="str">
        <f>Commodities!$C$90</f>
        <v>UPSDSL</v>
      </c>
      <c r="G542" s="4" t="s">
        <v>702</v>
      </c>
      <c r="H542" t="s">
        <v>661</v>
      </c>
      <c r="I542">
        <v>2019</v>
      </c>
      <c r="J542" t="s">
        <v>650</v>
      </c>
      <c r="K542" s="173" cm="1">
        <f t="array" ref="K542">IFERROR(IF(AND(SUMIFS('Key inputs_Refineries'!E$85:E$164,'Key inputs_Refineries'!$C$85:$C$164,$C542,'Key inputs_Refineries'!$B$85:$B$164,"Boiler")/SUM(SUMIFS('Key inputs_Refineries'!E$85:E$164,'Key inputs_Refineries'!$C$85:$C$164,$C541:$C550,'Key inputs_Refineries'!$B$85:$B$164,"Boiler"))&gt;0,SUMIFS('Key inputs_Refineries'!E$85:E$164,'Key inputs_Refineries'!$C$85:$C$164,$C542,'Key inputs_Refineries'!$B$85:$B$164,"Boiler")/SUM(SUMIFS('Key inputs_Refineries'!E$85:E$164,'Key inputs_Refineries'!$C$85:$C$164,$C541:$C550,'Key inputs_Refineries'!$B$85:$B$164,"Boiler"))&lt;0.001),0.001,SUMIFS('Key inputs_Refineries'!E$85:E$164,'Key inputs_Refineries'!$C$85:$C$164,$C542,'Key inputs_Refineries'!$B$85:$B$164,"Boiler")/SUM(SUMIFS('Key inputs_Refineries'!E$85:E$164,'Key inputs_Refineries'!$C$85:$C$164,$C541:$C550,'Key inputs_Refineries'!$B$85:$B$164,"Boiler"))),0)</f>
        <v>0</v>
      </c>
      <c r="L542" s="173" cm="1">
        <f t="array" ref="L542">IFERROR(IF(AND(SUMIFS('Key inputs_Refineries'!F$85:F$164,'Key inputs_Refineries'!$C$85:$C$164,$C542,'Key inputs_Refineries'!$B$85:$B$164,"Boiler")/SUM(SUMIFS('Key inputs_Refineries'!F$85:F$164,'Key inputs_Refineries'!$C$85:$C$164,$C541:$C550,'Key inputs_Refineries'!$B$85:$B$164,"Boiler"))&gt;0,SUMIFS('Key inputs_Refineries'!F$85:F$164,'Key inputs_Refineries'!$C$85:$C$164,$C542,'Key inputs_Refineries'!$B$85:$B$164,"Boiler")/SUM(SUMIFS('Key inputs_Refineries'!F$85:F$164,'Key inputs_Refineries'!$C$85:$C$164,$C541:$C550,'Key inputs_Refineries'!$B$85:$B$164,"Boiler"))&lt;0.001),0.001,SUMIFS('Key inputs_Refineries'!F$85:F$164,'Key inputs_Refineries'!$C$85:$C$164,$C542,'Key inputs_Refineries'!$B$85:$B$164,"Boiler")/SUM(SUMIFS('Key inputs_Refineries'!F$85:F$164,'Key inputs_Refineries'!$C$85:$C$164,$C541:$C550,'Key inputs_Refineries'!$B$85:$B$164,"Boiler"))),0)</f>
        <v>0</v>
      </c>
      <c r="M542" s="173" cm="1">
        <f t="array" ref="M542">IFERROR(IF(AND(SUMIFS('Key inputs_Refineries'!G$85:G$164,'Key inputs_Refineries'!$C$85:$C$164,$C542,'Key inputs_Refineries'!$B$85:$B$164,"Boiler")/SUM(SUMIFS('Key inputs_Refineries'!G$85:G$164,'Key inputs_Refineries'!$C$85:$C$164,$C541:$C550,'Key inputs_Refineries'!$B$85:$B$164,"Boiler"))&gt;0,SUMIFS('Key inputs_Refineries'!G$85:G$164,'Key inputs_Refineries'!$C$85:$C$164,$C542,'Key inputs_Refineries'!$B$85:$B$164,"Boiler")/SUM(SUMIFS('Key inputs_Refineries'!G$85:G$164,'Key inputs_Refineries'!$C$85:$C$164,$C541:$C550,'Key inputs_Refineries'!$B$85:$B$164,"Boiler"))&lt;0.001),0.001,SUMIFS('Key inputs_Refineries'!G$85:G$164,'Key inputs_Refineries'!$C$85:$C$164,$C542,'Key inputs_Refineries'!$B$85:$B$164,"Boiler")/SUM(SUMIFS('Key inputs_Refineries'!G$85:G$164,'Key inputs_Refineries'!$C$85:$C$164,$C541:$C550,'Key inputs_Refineries'!$B$85:$B$164,"Boiler"))),0)</f>
        <v>5.4967007249105165E-2</v>
      </c>
      <c r="N542" s="173" cm="1">
        <f t="array" ref="N542">IFERROR(IF(AND(SUMIFS('Key inputs_Refineries'!H$85:H$164,'Key inputs_Refineries'!$C$85:$C$164,$C542,'Key inputs_Refineries'!$B$85:$B$164,"Boiler")/SUM(SUMIFS('Key inputs_Refineries'!H$85:H$164,'Key inputs_Refineries'!$C$85:$C$164,$C541:$C550,'Key inputs_Refineries'!$B$85:$B$164,"Boiler"))&gt;0,SUMIFS('Key inputs_Refineries'!H$85:H$164,'Key inputs_Refineries'!$C$85:$C$164,$C542,'Key inputs_Refineries'!$B$85:$B$164,"Boiler")/SUM(SUMIFS('Key inputs_Refineries'!H$85:H$164,'Key inputs_Refineries'!$C$85:$C$164,$C541:$C550,'Key inputs_Refineries'!$B$85:$B$164,"Boiler"))&lt;0.001),0.001,SUMIFS('Key inputs_Refineries'!H$85:H$164,'Key inputs_Refineries'!$C$85:$C$164,$C542,'Key inputs_Refineries'!$B$85:$B$164,"Boiler")/SUM(SUMIFS('Key inputs_Refineries'!H$85:H$164,'Key inputs_Refineries'!$C$85:$C$164,$C541:$C550,'Key inputs_Refineries'!$B$85:$B$164,"Boiler"))),0)</f>
        <v>0</v>
      </c>
      <c r="O542" s="173" cm="1">
        <f t="array" ref="O542">IFERROR(IF(AND(SUMIFS('Key inputs_Refineries'!I$85:I$164,'Key inputs_Refineries'!$C$85:$C$164,$C542,'Key inputs_Refineries'!$B$85:$B$164,"Boiler")/SUM(SUMIFS('Key inputs_Refineries'!I$85:I$164,'Key inputs_Refineries'!$C$85:$C$164,$C541:$C550,'Key inputs_Refineries'!$B$85:$B$164,"Boiler"))&gt;0,SUMIFS('Key inputs_Refineries'!I$85:I$164,'Key inputs_Refineries'!$C$85:$C$164,$C542,'Key inputs_Refineries'!$B$85:$B$164,"Boiler")/SUM(SUMIFS('Key inputs_Refineries'!I$85:I$164,'Key inputs_Refineries'!$C$85:$C$164,$C541:$C550,'Key inputs_Refineries'!$B$85:$B$164,"Boiler"))&lt;0.001),0.001,SUMIFS('Key inputs_Refineries'!I$85:I$164,'Key inputs_Refineries'!$C$85:$C$164,$C542,'Key inputs_Refineries'!$B$85:$B$164,"Boiler")/SUM(SUMIFS('Key inputs_Refineries'!I$85:I$164,'Key inputs_Refineries'!$C$85:$C$164,$C541:$C550,'Key inputs_Refineries'!$B$85:$B$164,"Boiler"))),0)</f>
        <v>0</v>
      </c>
      <c r="P542" s="173" cm="1">
        <f t="array" ref="P542">IFERROR(IF(AND(SUMIFS('Key inputs_Refineries'!J$85:J$164,'Key inputs_Refineries'!$C$85:$C$164,$C542,'Key inputs_Refineries'!$B$85:$B$164,"Boiler")/SUM(SUMIFS('Key inputs_Refineries'!J$85:J$164,'Key inputs_Refineries'!$C$85:$C$164,$C541:$C550,'Key inputs_Refineries'!$B$85:$B$164,"Boiler"))&gt;0,SUMIFS('Key inputs_Refineries'!J$85:J$164,'Key inputs_Refineries'!$C$85:$C$164,$C542,'Key inputs_Refineries'!$B$85:$B$164,"Boiler")/SUM(SUMIFS('Key inputs_Refineries'!J$85:J$164,'Key inputs_Refineries'!$C$85:$C$164,$C541:$C550,'Key inputs_Refineries'!$B$85:$B$164,"Boiler"))&lt;0.001),0.001,SUMIFS('Key inputs_Refineries'!J$85:J$164,'Key inputs_Refineries'!$C$85:$C$164,$C542,'Key inputs_Refineries'!$B$85:$B$164,"Boiler")/SUM(SUMIFS('Key inputs_Refineries'!J$85:J$164,'Key inputs_Refineries'!$C$85:$C$164,$C541:$C550,'Key inputs_Refineries'!$B$85:$B$164,"Boiler"))),0)</f>
        <v>7.5112298847973434E-3</v>
      </c>
      <c r="Q542" s="173" cm="1">
        <f t="array" ref="Q542">IFERROR(IF(AND(SUMIFS('Key inputs_Refineries'!K$85:K$164,'Key inputs_Refineries'!$C$85:$C$164,$C542,'Key inputs_Refineries'!$B$85:$B$164,"Boiler")/SUM(SUMIFS('Key inputs_Refineries'!K$85:K$164,'Key inputs_Refineries'!$C$85:$C$164,$C541:$C550,'Key inputs_Refineries'!$B$85:$B$164,"Boiler"))&gt;0,SUMIFS('Key inputs_Refineries'!K$85:K$164,'Key inputs_Refineries'!$C$85:$C$164,$C542,'Key inputs_Refineries'!$B$85:$B$164,"Boiler")/SUM(SUMIFS('Key inputs_Refineries'!K$85:K$164,'Key inputs_Refineries'!$C$85:$C$164,$C541:$C550,'Key inputs_Refineries'!$B$85:$B$164,"Boiler"))&lt;0.001),0.001,SUMIFS('Key inputs_Refineries'!K$85:K$164,'Key inputs_Refineries'!$C$85:$C$164,$C542,'Key inputs_Refineries'!$B$85:$B$164,"Boiler")/SUM(SUMIFS('Key inputs_Refineries'!K$85:K$164,'Key inputs_Refineries'!$C$85:$C$164,$C541:$C550,'Key inputs_Refineries'!$B$85:$B$164,"Boiler"))),0)</f>
        <v>1.3591105951689957E-2</v>
      </c>
      <c r="R542" s="173" cm="1">
        <f t="array" ref="R542">IFERROR(IF(AND(SUMIFS('Key inputs_Refineries'!L$85:L$164,'Key inputs_Refineries'!$C$85:$C$164,$C542,'Key inputs_Refineries'!$B$85:$B$164,"Boiler")/SUM(SUMIFS('Key inputs_Refineries'!L$85:L$164,'Key inputs_Refineries'!$C$85:$C$164,$C541:$C550,'Key inputs_Refineries'!$B$85:$B$164,"Boiler"))&gt;0,SUMIFS('Key inputs_Refineries'!L$85:L$164,'Key inputs_Refineries'!$C$85:$C$164,$C542,'Key inputs_Refineries'!$B$85:$B$164,"Boiler")/SUM(SUMIFS('Key inputs_Refineries'!L$85:L$164,'Key inputs_Refineries'!$C$85:$C$164,$C541:$C550,'Key inputs_Refineries'!$B$85:$B$164,"Boiler"))&lt;0.001),0.001,SUMIFS('Key inputs_Refineries'!L$85:L$164,'Key inputs_Refineries'!$C$85:$C$164,$C542,'Key inputs_Refineries'!$B$85:$B$164,"Boiler")/SUM(SUMIFS('Key inputs_Refineries'!L$85:L$164,'Key inputs_Refineries'!$C$85:$C$164,$C541:$C550,'Key inputs_Refineries'!$B$85:$B$164,"Boiler"))),0)</f>
        <v>0</v>
      </c>
      <c r="S542" s="173" cm="1">
        <f t="array" ref="S542">IFERROR(IF(AND(SUMIFS('Key inputs_Refineries'!M$85:M$164,'Key inputs_Refineries'!$C$85:$C$164,$C542,'Key inputs_Refineries'!$B$85:$B$164,"Boiler")/SUM(SUMIFS('Key inputs_Refineries'!M$85:M$164,'Key inputs_Refineries'!$C$85:$C$164,$C541:$C550,'Key inputs_Refineries'!$B$85:$B$164,"Boiler"))&gt;0,SUMIFS('Key inputs_Refineries'!M$85:M$164,'Key inputs_Refineries'!$C$85:$C$164,$C542,'Key inputs_Refineries'!$B$85:$B$164,"Boiler")/SUM(SUMIFS('Key inputs_Refineries'!M$85:M$164,'Key inputs_Refineries'!$C$85:$C$164,$C541:$C550,'Key inputs_Refineries'!$B$85:$B$164,"Boiler"))&lt;0.001),0.001,SUMIFS('Key inputs_Refineries'!M$85:M$164,'Key inputs_Refineries'!$C$85:$C$164,$C542,'Key inputs_Refineries'!$B$85:$B$164,"Boiler")/SUM(SUMIFS('Key inputs_Refineries'!M$85:M$164,'Key inputs_Refineries'!$C$85:$C$164,$C541:$C550,'Key inputs_Refineries'!$B$85:$B$164,"Boiler"))),0)</f>
        <v>3.5051732768259555E-2</v>
      </c>
      <c r="T542" s="173" cm="1">
        <f t="array" ref="T542">IFERROR(IF(AND(SUMIFS('Key inputs_Refineries'!N$85:N$164,'Key inputs_Refineries'!$C$85:$C$164,$C542,'Key inputs_Refineries'!$B$85:$B$164,"Boiler")/SUM(SUMIFS('Key inputs_Refineries'!N$85:N$164,'Key inputs_Refineries'!$C$85:$C$164,$C541:$C550,'Key inputs_Refineries'!$B$85:$B$164,"Boiler"))&gt;0,SUMIFS('Key inputs_Refineries'!N$85:N$164,'Key inputs_Refineries'!$C$85:$C$164,$C542,'Key inputs_Refineries'!$B$85:$B$164,"Boiler")/SUM(SUMIFS('Key inputs_Refineries'!N$85:N$164,'Key inputs_Refineries'!$C$85:$C$164,$C541:$C550,'Key inputs_Refineries'!$B$85:$B$164,"Boiler"))&lt;0.001),0.001,SUMIFS('Key inputs_Refineries'!N$85:N$164,'Key inputs_Refineries'!$C$85:$C$164,$C542,'Key inputs_Refineries'!$B$85:$B$164,"Boiler")/SUM(SUMIFS('Key inputs_Refineries'!N$85:N$164,'Key inputs_Refineries'!$C$85:$C$164,$C541:$C550,'Key inputs_Refineries'!$B$85:$B$164,"Boiler"))),0)</f>
        <v>8.6333554563383288E-3</v>
      </c>
      <c r="U542" s="173" cm="1">
        <f t="array" ref="U542">IFERROR(IF(AND(SUMIFS('Key inputs_Refineries'!O$85:O$164,'Key inputs_Refineries'!$C$85:$C$164,$C542,'Key inputs_Refineries'!$B$85:$B$164,"Boiler")/SUM(SUMIFS('Key inputs_Refineries'!O$85:O$164,'Key inputs_Refineries'!$C$85:$C$164,$C541:$C550,'Key inputs_Refineries'!$B$85:$B$164,"Boiler"))&gt;0,SUMIFS('Key inputs_Refineries'!O$85:O$164,'Key inputs_Refineries'!$C$85:$C$164,$C542,'Key inputs_Refineries'!$B$85:$B$164,"Boiler")/SUM(SUMIFS('Key inputs_Refineries'!O$85:O$164,'Key inputs_Refineries'!$C$85:$C$164,$C541:$C550,'Key inputs_Refineries'!$B$85:$B$164,"Boiler"))&lt;0.001),0.001,SUMIFS('Key inputs_Refineries'!O$85:O$164,'Key inputs_Refineries'!$C$85:$C$164,$C542,'Key inputs_Refineries'!$B$85:$B$164,"Boiler")/SUM(SUMIFS('Key inputs_Refineries'!O$85:O$164,'Key inputs_Refineries'!$C$85:$C$164,$C541:$C550,'Key inputs_Refineries'!$B$85:$B$164,"Boiler"))),0)</f>
        <v>0</v>
      </c>
      <c r="V542" s="173" cm="1">
        <f t="array" ref="V542">IFERROR(IF(AND(SUMIFS('Key inputs_Refineries'!P$85:P$164,'Key inputs_Refineries'!$C$85:$C$164,$C542,'Key inputs_Refineries'!$B$85:$B$164,"Boiler")/SUM(SUMIFS('Key inputs_Refineries'!P$85:P$164,'Key inputs_Refineries'!$C$85:$C$164,$C541:$C550,'Key inputs_Refineries'!$B$85:$B$164,"Boiler"))&gt;0,SUMIFS('Key inputs_Refineries'!P$85:P$164,'Key inputs_Refineries'!$C$85:$C$164,$C542,'Key inputs_Refineries'!$B$85:$B$164,"Boiler")/SUM(SUMIFS('Key inputs_Refineries'!P$85:P$164,'Key inputs_Refineries'!$C$85:$C$164,$C541:$C550,'Key inputs_Refineries'!$B$85:$B$164,"Boiler"))&lt;0.001),0.001,SUMIFS('Key inputs_Refineries'!P$85:P$164,'Key inputs_Refineries'!$C$85:$C$164,$C542,'Key inputs_Refineries'!$B$85:$B$164,"Boiler")/SUM(SUMIFS('Key inputs_Refineries'!P$85:P$164,'Key inputs_Refineries'!$C$85:$C$164,$C541:$C550,'Key inputs_Refineries'!$B$85:$B$164,"Boiler"))),0)</f>
        <v>5.6882967399520768E-3</v>
      </c>
      <c r="W542" s="173" cm="1">
        <f t="array" ref="W542">IFERROR(IF(AND(SUMIFS('Key inputs_Refineries'!Q$85:Q$164,'Key inputs_Refineries'!$C$85:$C$164,$C542,'Key inputs_Refineries'!$B$85:$B$164,"Boiler")/SUM(SUMIFS('Key inputs_Refineries'!Q$85:Q$164,'Key inputs_Refineries'!$C$85:$C$164,$C541:$C550,'Key inputs_Refineries'!$B$85:$B$164,"Boiler"))&gt;0,SUMIFS('Key inputs_Refineries'!Q$85:Q$164,'Key inputs_Refineries'!$C$85:$C$164,$C542,'Key inputs_Refineries'!$B$85:$B$164,"Boiler")/SUM(SUMIFS('Key inputs_Refineries'!Q$85:Q$164,'Key inputs_Refineries'!$C$85:$C$164,$C541:$C550,'Key inputs_Refineries'!$B$85:$B$164,"Boiler"))&lt;0.001),0.001,SUMIFS('Key inputs_Refineries'!Q$85:Q$164,'Key inputs_Refineries'!$C$85:$C$164,$C542,'Key inputs_Refineries'!$B$85:$B$164,"Boiler")/SUM(SUMIFS('Key inputs_Refineries'!Q$85:Q$164,'Key inputs_Refineries'!$C$85:$C$164,$C541:$C550,'Key inputs_Refineries'!$B$85:$B$164,"Boiler"))),0)</f>
        <v>0</v>
      </c>
      <c r="X542" s="173" cm="1">
        <f t="array" ref="X542">IFERROR(IF(AND(SUMIFS('Key inputs_Refineries'!R$85:R$164,'Key inputs_Refineries'!$C$85:$C$164,$C542,'Key inputs_Refineries'!$B$85:$B$164,"Boiler")/SUM(SUMIFS('Key inputs_Refineries'!R$85:R$164,'Key inputs_Refineries'!$C$85:$C$164,$C541:$C550,'Key inputs_Refineries'!$B$85:$B$164,"Boiler"))&gt;0,SUMIFS('Key inputs_Refineries'!R$85:R$164,'Key inputs_Refineries'!$C$85:$C$164,$C542,'Key inputs_Refineries'!$B$85:$B$164,"Boiler")/SUM(SUMIFS('Key inputs_Refineries'!R$85:R$164,'Key inputs_Refineries'!$C$85:$C$164,$C541:$C550,'Key inputs_Refineries'!$B$85:$B$164,"Boiler"))&lt;0.001),0.001,SUMIFS('Key inputs_Refineries'!R$85:R$164,'Key inputs_Refineries'!$C$85:$C$164,$C542,'Key inputs_Refineries'!$B$85:$B$164,"Boiler")/SUM(SUMIFS('Key inputs_Refineries'!R$85:R$164,'Key inputs_Refineries'!$C$85:$C$164,$C541:$C550,'Key inputs_Refineries'!$B$85:$B$164,"Boiler"))),0)</f>
        <v>0</v>
      </c>
      <c r="Y542" s="173" cm="1">
        <f t="array" ref="Y542">IFERROR(IF(AND(SUMIFS('Key inputs_Refineries'!S$85:S$164,'Key inputs_Refineries'!$C$85:$C$164,$C542,'Key inputs_Refineries'!$B$85:$B$164,"Boiler")/SUM(SUMIFS('Key inputs_Refineries'!S$85:S$164,'Key inputs_Refineries'!$C$85:$C$164,$C541:$C550,'Key inputs_Refineries'!$B$85:$B$164,"Boiler"))&gt;0,SUMIFS('Key inputs_Refineries'!S$85:S$164,'Key inputs_Refineries'!$C$85:$C$164,$C542,'Key inputs_Refineries'!$B$85:$B$164,"Boiler")/SUM(SUMIFS('Key inputs_Refineries'!S$85:S$164,'Key inputs_Refineries'!$C$85:$C$164,$C541:$C550,'Key inputs_Refineries'!$B$85:$B$164,"Boiler"))&lt;0.001),0.001,SUMIFS('Key inputs_Refineries'!S$85:S$164,'Key inputs_Refineries'!$C$85:$C$164,$C542,'Key inputs_Refineries'!$B$85:$B$164,"Boiler")/SUM(SUMIFS('Key inputs_Refineries'!S$85:S$164,'Key inputs_Refineries'!$C$85:$C$164,$C541:$C550,'Key inputs_Refineries'!$B$85:$B$164,"Boiler"))),0)</f>
        <v>2.7787994220171155E-3</v>
      </c>
      <c r="Z542" s="173" cm="1">
        <f t="array" ref="Z542">IFERROR(IF(AND(SUMIFS('Key inputs_Refineries'!T$85:T$164,'Key inputs_Refineries'!$C$85:$C$164,$C542,'Key inputs_Refineries'!$B$85:$B$164,"Boiler")/SUM(SUMIFS('Key inputs_Refineries'!T$85:T$164,'Key inputs_Refineries'!$C$85:$C$164,$C541:$C550,'Key inputs_Refineries'!$B$85:$B$164,"Boiler"))&gt;0,SUMIFS('Key inputs_Refineries'!T$85:T$164,'Key inputs_Refineries'!$C$85:$C$164,$C542,'Key inputs_Refineries'!$B$85:$B$164,"Boiler")/SUM(SUMIFS('Key inputs_Refineries'!T$85:T$164,'Key inputs_Refineries'!$C$85:$C$164,$C541:$C550,'Key inputs_Refineries'!$B$85:$B$164,"Boiler"))&lt;0.001),0.001,SUMIFS('Key inputs_Refineries'!T$85:T$164,'Key inputs_Refineries'!$C$85:$C$164,$C542,'Key inputs_Refineries'!$B$85:$B$164,"Boiler")/SUM(SUMIFS('Key inputs_Refineries'!T$85:T$164,'Key inputs_Refineries'!$C$85:$C$164,$C541:$C550,'Key inputs_Refineries'!$B$85:$B$164,"Boiler"))),0)</f>
        <v>7.5121681310049548E-3</v>
      </c>
      <c r="AA542" s="173" cm="1">
        <f t="array" ref="AA542">IFERROR(IF(AND(SUMIFS('Key inputs_Refineries'!U$85:U$164,'Key inputs_Refineries'!$C$85:$C$164,$C542,'Key inputs_Refineries'!$B$85:$B$164,"Boiler")/SUM(SUMIFS('Key inputs_Refineries'!U$85:U$164,'Key inputs_Refineries'!$C$85:$C$164,$C541:$C550,'Key inputs_Refineries'!$B$85:$B$164,"Boiler"))&gt;0,SUMIFS('Key inputs_Refineries'!U$85:U$164,'Key inputs_Refineries'!$C$85:$C$164,$C542,'Key inputs_Refineries'!$B$85:$B$164,"Boiler")/SUM(SUMIFS('Key inputs_Refineries'!U$85:U$164,'Key inputs_Refineries'!$C$85:$C$164,$C541:$C550,'Key inputs_Refineries'!$B$85:$B$164,"Boiler"))&lt;0.001),0.001,SUMIFS('Key inputs_Refineries'!U$85:U$164,'Key inputs_Refineries'!$C$85:$C$164,$C542,'Key inputs_Refineries'!$B$85:$B$164,"Boiler")/SUM(SUMIFS('Key inputs_Refineries'!U$85:U$164,'Key inputs_Refineries'!$C$85:$C$164,$C541:$C550,'Key inputs_Refineries'!$B$85:$B$164,"Boiler"))),0)</f>
        <v>1.3171639290390735E-2</v>
      </c>
      <c r="AB542" s="173" cm="1">
        <f t="array" ref="AB542">IFERROR(IF(AND(SUMIFS('Key inputs_Refineries'!V$85:V$164,'Key inputs_Refineries'!$C$85:$C$164,$C542,'Key inputs_Refineries'!$B$85:$B$164,"Boiler")/SUM(SUMIFS('Key inputs_Refineries'!V$85:V$164,'Key inputs_Refineries'!$C$85:$C$164,$C541:$C550,'Key inputs_Refineries'!$B$85:$B$164,"Boiler"))&gt;0,SUMIFS('Key inputs_Refineries'!V$85:V$164,'Key inputs_Refineries'!$C$85:$C$164,$C542,'Key inputs_Refineries'!$B$85:$B$164,"Boiler")/SUM(SUMIFS('Key inputs_Refineries'!V$85:V$164,'Key inputs_Refineries'!$C$85:$C$164,$C541:$C550,'Key inputs_Refineries'!$B$85:$B$164,"Boiler"))&lt;0.001),0.001,SUMIFS('Key inputs_Refineries'!V$85:V$164,'Key inputs_Refineries'!$C$85:$C$164,$C542,'Key inputs_Refineries'!$B$85:$B$164,"Boiler")/SUM(SUMIFS('Key inputs_Refineries'!V$85:V$164,'Key inputs_Refineries'!$C$85:$C$164,$C541:$C550,'Key inputs_Refineries'!$B$85:$B$164,"Boiler"))),0)</f>
        <v>0.62732289155304854</v>
      </c>
      <c r="AC542" s="173" cm="1">
        <f t="array" ref="AC542">IFERROR(IF(AND(SUMIFS('Key inputs_Refineries'!W$85:W$164,'Key inputs_Refineries'!$C$85:$C$164,$C542,'Key inputs_Refineries'!$B$85:$B$164,"Boiler")/SUM(SUMIFS('Key inputs_Refineries'!W$85:W$164,'Key inputs_Refineries'!$C$85:$C$164,$C541:$C550,'Key inputs_Refineries'!$B$85:$B$164,"Boiler"))&gt;0,SUMIFS('Key inputs_Refineries'!W$85:W$164,'Key inputs_Refineries'!$C$85:$C$164,$C542,'Key inputs_Refineries'!$B$85:$B$164,"Boiler")/SUM(SUMIFS('Key inputs_Refineries'!W$85:W$164,'Key inputs_Refineries'!$C$85:$C$164,$C541:$C550,'Key inputs_Refineries'!$B$85:$B$164,"Boiler"))&lt;0.001),0.001,SUMIFS('Key inputs_Refineries'!W$85:W$164,'Key inputs_Refineries'!$C$85:$C$164,$C542,'Key inputs_Refineries'!$B$85:$B$164,"Boiler")/SUM(SUMIFS('Key inputs_Refineries'!W$85:W$164,'Key inputs_Refineries'!$C$85:$C$164,$C541:$C550,'Key inputs_Refineries'!$B$85:$B$164,"Boiler"))),0)</f>
        <v>0</v>
      </c>
      <c r="AD542" s="173" cm="1">
        <f t="array" ref="AD542">IFERROR(IF(AND(SUMIFS('Key inputs_Refineries'!X$85:X$164,'Key inputs_Refineries'!$C$85:$C$164,$C542,'Key inputs_Refineries'!$B$85:$B$164,"Boiler")/SUM(SUMIFS('Key inputs_Refineries'!X$85:X$164,'Key inputs_Refineries'!$C$85:$C$164,$C541:$C550,'Key inputs_Refineries'!$B$85:$B$164,"Boiler"))&gt;0,SUMIFS('Key inputs_Refineries'!X$85:X$164,'Key inputs_Refineries'!$C$85:$C$164,$C542,'Key inputs_Refineries'!$B$85:$B$164,"Boiler")/SUM(SUMIFS('Key inputs_Refineries'!X$85:X$164,'Key inputs_Refineries'!$C$85:$C$164,$C541:$C550,'Key inputs_Refineries'!$B$85:$B$164,"Boiler"))&lt;0.001),0.001,SUMIFS('Key inputs_Refineries'!X$85:X$164,'Key inputs_Refineries'!$C$85:$C$164,$C542,'Key inputs_Refineries'!$B$85:$B$164,"Boiler")/SUM(SUMIFS('Key inputs_Refineries'!X$85:X$164,'Key inputs_Refineries'!$C$85:$C$164,$C541:$C550,'Key inputs_Refineries'!$B$85:$B$164,"Boiler"))),0)</f>
        <v>9.5552781608146987E-3</v>
      </c>
      <c r="AE542" s="173" cm="1">
        <f t="array" ref="AE542">IFERROR(IF(AND(SUMIFS('Key inputs_Refineries'!Y$85:Y$164,'Key inputs_Refineries'!$C$85:$C$164,$C542,'Key inputs_Refineries'!$B$85:$B$164,"Boiler")/SUM(SUMIFS('Key inputs_Refineries'!Y$85:Y$164,'Key inputs_Refineries'!$C$85:$C$164,$C541:$C550,'Key inputs_Refineries'!$B$85:$B$164,"Boiler"))&gt;0,SUMIFS('Key inputs_Refineries'!Y$85:Y$164,'Key inputs_Refineries'!$C$85:$C$164,$C542,'Key inputs_Refineries'!$B$85:$B$164,"Boiler")/SUM(SUMIFS('Key inputs_Refineries'!Y$85:Y$164,'Key inputs_Refineries'!$C$85:$C$164,$C541:$C550,'Key inputs_Refineries'!$B$85:$B$164,"Boiler"))&lt;0.001),0.001,SUMIFS('Key inputs_Refineries'!Y$85:Y$164,'Key inputs_Refineries'!$C$85:$C$164,$C542,'Key inputs_Refineries'!$B$85:$B$164,"Boiler")/SUM(SUMIFS('Key inputs_Refineries'!Y$85:Y$164,'Key inputs_Refineries'!$C$85:$C$164,$C541:$C550,'Key inputs_Refineries'!$B$85:$B$164,"Boiler"))),0)</f>
        <v>1.5014083212701699E-2</v>
      </c>
      <c r="AF542" s="173" cm="1">
        <f t="array" ref="AF542">IFERROR(IF(AND(SUMIFS('Key inputs_Refineries'!Z$85:Z$164,'Key inputs_Refineries'!$C$85:$C$164,$C542,'Key inputs_Refineries'!$B$85:$B$164,"Boiler")/SUM(SUMIFS('Key inputs_Refineries'!Z$85:Z$164,'Key inputs_Refineries'!$C$85:$C$164,$C541:$C550,'Key inputs_Refineries'!$B$85:$B$164,"Boiler"))&gt;0,SUMIFS('Key inputs_Refineries'!Z$85:Z$164,'Key inputs_Refineries'!$C$85:$C$164,$C542,'Key inputs_Refineries'!$B$85:$B$164,"Boiler")/SUM(SUMIFS('Key inputs_Refineries'!Z$85:Z$164,'Key inputs_Refineries'!$C$85:$C$164,$C541:$C550,'Key inputs_Refineries'!$B$85:$B$164,"Boiler"))&lt;0.001),0.001,SUMIFS('Key inputs_Refineries'!Z$85:Z$164,'Key inputs_Refineries'!$C$85:$C$164,$C542,'Key inputs_Refineries'!$B$85:$B$164,"Boiler")/SUM(SUMIFS('Key inputs_Refineries'!Z$85:Z$164,'Key inputs_Refineries'!$C$85:$C$164,$C541:$C550,'Key inputs_Refineries'!$B$85:$B$164,"Boiler"))),0)</f>
        <v>3.8902919404541575E-2</v>
      </c>
      <c r="AG542" s="173" cm="1">
        <f t="array" ref="AG542">IFERROR(IF(AND(SUMIFS('Key inputs_Refineries'!AA$85:AA$164,'Key inputs_Refineries'!$C$85:$C$164,$C542,'Key inputs_Refineries'!$B$85:$B$164,"Boiler")/SUM(SUMIFS('Key inputs_Refineries'!AA$85:AA$164,'Key inputs_Refineries'!$C$85:$C$164,$C541:$C550,'Key inputs_Refineries'!$B$85:$B$164,"Boiler"))&gt;0,SUMIFS('Key inputs_Refineries'!AA$85:AA$164,'Key inputs_Refineries'!$C$85:$C$164,$C542,'Key inputs_Refineries'!$B$85:$B$164,"Boiler")/SUM(SUMIFS('Key inputs_Refineries'!AA$85:AA$164,'Key inputs_Refineries'!$C$85:$C$164,$C541:$C550,'Key inputs_Refineries'!$B$85:$B$164,"Boiler"))&lt;0.001),0.001,SUMIFS('Key inputs_Refineries'!AA$85:AA$164,'Key inputs_Refineries'!$C$85:$C$164,$C542,'Key inputs_Refineries'!$B$85:$B$164,"Boiler")/SUM(SUMIFS('Key inputs_Refineries'!AA$85:AA$164,'Key inputs_Refineries'!$C$85:$C$164,$C541:$C550,'Key inputs_Refineries'!$B$85:$B$164,"Boiler"))),0)</f>
        <v>3.0454378123189886E-2</v>
      </c>
      <c r="AH542" s="173" cm="1">
        <f t="array" ref="AH542">IFERROR(IF(AND(SUMIFS('Key inputs_Refineries'!AB$85:AB$164,'Key inputs_Refineries'!$C$85:$C$164,$C542,'Key inputs_Refineries'!$B$85:$B$164,"Boiler")/SUM(SUMIFS('Key inputs_Refineries'!AB$85:AB$164,'Key inputs_Refineries'!$C$85:$C$164,$C541:$C550,'Key inputs_Refineries'!$B$85:$B$164,"Boiler"))&gt;0,SUMIFS('Key inputs_Refineries'!AB$85:AB$164,'Key inputs_Refineries'!$C$85:$C$164,$C542,'Key inputs_Refineries'!$B$85:$B$164,"Boiler")/SUM(SUMIFS('Key inputs_Refineries'!AB$85:AB$164,'Key inputs_Refineries'!$C$85:$C$164,$C541:$C550,'Key inputs_Refineries'!$B$85:$B$164,"Boiler"))&lt;0.001),0.001,SUMIFS('Key inputs_Refineries'!AB$85:AB$164,'Key inputs_Refineries'!$C$85:$C$164,$C542,'Key inputs_Refineries'!$B$85:$B$164,"Boiler")/SUM(SUMIFS('Key inputs_Refineries'!AB$85:AB$164,'Key inputs_Refineries'!$C$85:$C$164,$C541:$C550,'Key inputs_Refineries'!$B$85:$B$164,"Boiler"))),0)</f>
        <v>0</v>
      </c>
      <c r="AI542" s="173" cm="1">
        <f t="array" ref="AI542">IFERROR(IF(AND(SUMIFS('Key inputs_Refineries'!AC$85:AC$164,'Key inputs_Refineries'!$C$85:$C$164,$C542,'Key inputs_Refineries'!$B$85:$B$164,"Boiler")/SUM(SUMIFS('Key inputs_Refineries'!AC$85:AC$164,'Key inputs_Refineries'!$C$85:$C$164,$C541:$C550,'Key inputs_Refineries'!$B$85:$B$164,"Boiler"))&gt;0,SUMIFS('Key inputs_Refineries'!AC$85:AC$164,'Key inputs_Refineries'!$C$85:$C$164,$C542,'Key inputs_Refineries'!$B$85:$B$164,"Boiler")/SUM(SUMIFS('Key inputs_Refineries'!AC$85:AC$164,'Key inputs_Refineries'!$C$85:$C$164,$C541:$C550,'Key inputs_Refineries'!$B$85:$B$164,"Boiler"))&lt;0.001),0.001,SUMIFS('Key inputs_Refineries'!AC$85:AC$164,'Key inputs_Refineries'!$C$85:$C$164,$C542,'Key inputs_Refineries'!$B$85:$B$164,"Boiler")/SUM(SUMIFS('Key inputs_Refineries'!AC$85:AC$164,'Key inputs_Refineries'!$C$85:$C$164,$C541:$C550,'Key inputs_Refineries'!$B$85:$B$164,"Boiler"))),0)</f>
        <v>0.10262766484878531</v>
      </c>
      <c r="AJ542" s="173" cm="1">
        <f t="array" ref="AJ542">IFERROR(IF(AND(SUMIFS('Key inputs_Refineries'!AD$85:AD$164,'Key inputs_Refineries'!$C$85:$C$164,$C542,'Key inputs_Refineries'!$B$85:$B$164,"Boiler")/SUM(SUMIFS('Key inputs_Refineries'!AD$85:AD$164,'Key inputs_Refineries'!$C$85:$C$164,$C541:$C550,'Key inputs_Refineries'!$B$85:$B$164,"Boiler"))&gt;0,SUMIFS('Key inputs_Refineries'!AD$85:AD$164,'Key inputs_Refineries'!$C$85:$C$164,$C542,'Key inputs_Refineries'!$B$85:$B$164,"Boiler")/SUM(SUMIFS('Key inputs_Refineries'!AD$85:AD$164,'Key inputs_Refineries'!$C$85:$C$164,$C541:$C550,'Key inputs_Refineries'!$B$85:$B$164,"Boiler"))&lt;0.001),0.001,SUMIFS('Key inputs_Refineries'!AD$85:AD$164,'Key inputs_Refineries'!$C$85:$C$164,$C542,'Key inputs_Refineries'!$B$85:$B$164,"Boiler")/SUM(SUMIFS('Key inputs_Refineries'!AD$85:AD$164,'Key inputs_Refineries'!$C$85:$C$164,$C541:$C550,'Key inputs_Refineries'!$B$85:$B$164,"Boiler"))),0)</f>
        <v>0</v>
      </c>
      <c r="AK542" s="173" cm="1">
        <f t="array" ref="AK542">IFERROR(IF(AND(SUMIFS('Key inputs_Refineries'!AE$85:AE$164,'Key inputs_Refineries'!$C$85:$C$164,$C542,'Key inputs_Refineries'!$B$85:$B$164,"Boiler")/SUM(SUMIFS('Key inputs_Refineries'!AE$85:AE$164,'Key inputs_Refineries'!$C$85:$C$164,$C541:$C550,'Key inputs_Refineries'!$B$85:$B$164,"Boiler"))&gt;0,SUMIFS('Key inputs_Refineries'!AE$85:AE$164,'Key inputs_Refineries'!$C$85:$C$164,$C542,'Key inputs_Refineries'!$B$85:$B$164,"Boiler")/SUM(SUMIFS('Key inputs_Refineries'!AE$85:AE$164,'Key inputs_Refineries'!$C$85:$C$164,$C541:$C550,'Key inputs_Refineries'!$B$85:$B$164,"Boiler"))&lt;0.001),0.001,SUMIFS('Key inputs_Refineries'!AE$85:AE$164,'Key inputs_Refineries'!$C$85:$C$164,$C542,'Key inputs_Refineries'!$B$85:$B$164,"Boiler")/SUM(SUMIFS('Key inputs_Refineries'!AE$85:AE$164,'Key inputs_Refineries'!$C$85:$C$164,$C541:$C550,'Key inputs_Refineries'!$B$85:$B$164,"Boiler"))),0)</f>
        <v>1E-3</v>
      </c>
      <c r="AL542" s="173" cm="1">
        <f t="array" ref="AL542">IFERROR(IF(AND(SUMIFS('Key inputs_Refineries'!AF$85:AF$164,'Key inputs_Refineries'!$C$85:$C$164,$C542,'Key inputs_Refineries'!$B$85:$B$164,"Boiler")/SUM(SUMIFS('Key inputs_Refineries'!AF$85:AF$164,'Key inputs_Refineries'!$C$85:$C$164,$C541:$C550,'Key inputs_Refineries'!$B$85:$B$164,"Boiler"))&gt;0,SUMIFS('Key inputs_Refineries'!AF$85:AF$164,'Key inputs_Refineries'!$C$85:$C$164,$C542,'Key inputs_Refineries'!$B$85:$B$164,"Boiler")/SUM(SUMIFS('Key inputs_Refineries'!AF$85:AF$164,'Key inputs_Refineries'!$C$85:$C$164,$C541:$C550,'Key inputs_Refineries'!$B$85:$B$164,"Boiler"))&lt;0.001),0.001,SUMIFS('Key inputs_Refineries'!AF$85:AF$164,'Key inputs_Refineries'!$C$85:$C$164,$C542,'Key inputs_Refineries'!$B$85:$B$164,"Boiler")/SUM(SUMIFS('Key inputs_Refineries'!AF$85:AF$164,'Key inputs_Refineries'!$C$85:$C$164,$C541:$C550,'Key inputs_Refineries'!$B$85:$B$164,"Boiler"))),0)</f>
        <v>1.1727367954192493E-2</v>
      </c>
    </row>
    <row r="543" spans="1:38">
      <c r="C543" t="str">
        <f>Commodities!$C$81</f>
        <v>UPSBGL</v>
      </c>
      <c r="G543" s="4" t="s">
        <v>702</v>
      </c>
      <c r="H543" t="s">
        <v>661</v>
      </c>
      <c r="I543">
        <v>2019</v>
      </c>
      <c r="J543" t="s">
        <v>650</v>
      </c>
      <c r="K543" s="426">
        <v>0</v>
      </c>
      <c r="L543" s="426">
        <v>0</v>
      </c>
      <c r="M543" s="426">
        <v>0</v>
      </c>
      <c r="N543" s="426">
        <v>0</v>
      </c>
      <c r="O543" s="426">
        <v>0</v>
      </c>
      <c r="P543" s="426">
        <v>0</v>
      </c>
      <c r="Q543" s="426">
        <v>0</v>
      </c>
      <c r="R543" s="426">
        <v>0</v>
      </c>
      <c r="S543" s="426">
        <v>0</v>
      </c>
      <c r="T543" s="426">
        <v>0</v>
      </c>
      <c r="U543" s="426">
        <v>0</v>
      </c>
      <c r="V543" s="426">
        <v>0</v>
      </c>
      <c r="W543" s="426">
        <v>0</v>
      </c>
      <c r="X543" s="426">
        <v>0</v>
      </c>
      <c r="Y543" s="426">
        <v>0</v>
      </c>
      <c r="Z543" s="426">
        <v>0</v>
      </c>
      <c r="AA543" s="426">
        <v>0</v>
      </c>
      <c r="AB543" s="426">
        <v>0</v>
      </c>
      <c r="AC543" s="426">
        <v>0</v>
      </c>
      <c r="AD543" s="426">
        <v>0</v>
      </c>
      <c r="AE543" s="426">
        <v>0</v>
      </c>
      <c r="AF543" s="426">
        <v>0</v>
      </c>
      <c r="AG543" s="426">
        <v>0</v>
      </c>
      <c r="AH543" s="426">
        <v>0</v>
      </c>
      <c r="AI543" s="426">
        <v>0</v>
      </c>
      <c r="AJ543" s="426">
        <v>0</v>
      </c>
      <c r="AK543" s="426">
        <v>0</v>
      </c>
      <c r="AL543" s="426">
        <v>0</v>
      </c>
    </row>
    <row r="544" spans="1:38">
      <c r="C544" t="str">
        <f>Commodities!$C$93</f>
        <v>UPSGSL</v>
      </c>
      <c r="G544" s="4" t="s">
        <v>702</v>
      </c>
      <c r="H544" t="s">
        <v>661</v>
      </c>
      <c r="I544">
        <v>2019</v>
      </c>
      <c r="J544" t="s">
        <v>650</v>
      </c>
      <c r="K544" s="173" cm="1">
        <f t="array" ref="K544">IFERROR(IF(AND(SUMIFS('Key inputs_Refineries'!E$85:E$164,'Key inputs_Refineries'!$C$85:$C$164,$C544,'Key inputs_Refineries'!$B$85:$B$164,"Boiler")/SUM(SUMIFS('Key inputs_Refineries'!E$85:E$164,'Key inputs_Refineries'!$C$85:$C$164,$C541:$C550,'Key inputs_Refineries'!$B$85:$B$164,"Boiler"))&gt;0,SUMIFS('Key inputs_Refineries'!E$85:E$164,'Key inputs_Refineries'!$C$85:$C$164,$C544,'Key inputs_Refineries'!$B$85:$B$164,"Boiler")/SUM(SUMIFS('Key inputs_Refineries'!E$85:E$164,'Key inputs_Refineries'!$C$85:$C$164,$C541:$C550,'Key inputs_Refineries'!$B$85:$B$164,"Boiler"))&lt;0.001),0.001,SUMIFS('Key inputs_Refineries'!E$85:E$164,'Key inputs_Refineries'!$C$85:$C$164,$C544,'Key inputs_Refineries'!$B$85:$B$164,"Boiler")/SUM(SUMIFS('Key inputs_Refineries'!E$85:E$164,'Key inputs_Refineries'!$C$85:$C$164,$C541:$C550,'Key inputs_Refineries'!$B$85:$B$164,"Boiler"))),0)</f>
        <v>0</v>
      </c>
      <c r="L544" s="173" cm="1">
        <f t="array" ref="L544">IFERROR(IF(AND(SUMIFS('Key inputs_Refineries'!F$85:F$164,'Key inputs_Refineries'!$C$85:$C$164,$C544,'Key inputs_Refineries'!$B$85:$B$164,"Boiler")/SUM(SUMIFS('Key inputs_Refineries'!F$85:F$164,'Key inputs_Refineries'!$C$85:$C$164,$C541:$C550,'Key inputs_Refineries'!$B$85:$B$164,"Boiler"))&gt;0,SUMIFS('Key inputs_Refineries'!F$85:F$164,'Key inputs_Refineries'!$C$85:$C$164,$C544,'Key inputs_Refineries'!$B$85:$B$164,"Boiler")/SUM(SUMIFS('Key inputs_Refineries'!F$85:F$164,'Key inputs_Refineries'!$C$85:$C$164,$C541:$C550,'Key inputs_Refineries'!$B$85:$B$164,"Boiler"))&lt;0.001),0.001,SUMIFS('Key inputs_Refineries'!F$85:F$164,'Key inputs_Refineries'!$C$85:$C$164,$C544,'Key inputs_Refineries'!$B$85:$B$164,"Boiler")/SUM(SUMIFS('Key inputs_Refineries'!F$85:F$164,'Key inputs_Refineries'!$C$85:$C$164,$C541:$C550,'Key inputs_Refineries'!$B$85:$B$164,"Boiler"))),0)</f>
        <v>0</v>
      </c>
      <c r="M544" s="173" cm="1">
        <f t="array" ref="M544">IFERROR(IF(AND(SUMIFS('Key inputs_Refineries'!G$85:G$164,'Key inputs_Refineries'!$C$85:$C$164,$C544,'Key inputs_Refineries'!$B$85:$B$164,"Boiler")/SUM(SUMIFS('Key inputs_Refineries'!G$85:G$164,'Key inputs_Refineries'!$C$85:$C$164,$C541:$C550,'Key inputs_Refineries'!$B$85:$B$164,"Boiler"))&gt;0,SUMIFS('Key inputs_Refineries'!G$85:G$164,'Key inputs_Refineries'!$C$85:$C$164,$C544,'Key inputs_Refineries'!$B$85:$B$164,"Boiler")/SUM(SUMIFS('Key inputs_Refineries'!G$85:G$164,'Key inputs_Refineries'!$C$85:$C$164,$C541:$C550,'Key inputs_Refineries'!$B$85:$B$164,"Boiler"))&lt;0.001),0.001,SUMIFS('Key inputs_Refineries'!G$85:G$164,'Key inputs_Refineries'!$C$85:$C$164,$C544,'Key inputs_Refineries'!$B$85:$B$164,"Boiler")/SUM(SUMIFS('Key inputs_Refineries'!G$85:G$164,'Key inputs_Refineries'!$C$85:$C$164,$C541:$C550,'Key inputs_Refineries'!$B$85:$B$164,"Boiler"))),0)</f>
        <v>0</v>
      </c>
      <c r="N544" s="173" cm="1">
        <f t="array" ref="N544">IFERROR(IF(AND(SUMIFS('Key inputs_Refineries'!H$85:H$164,'Key inputs_Refineries'!$C$85:$C$164,$C544,'Key inputs_Refineries'!$B$85:$B$164,"Boiler")/SUM(SUMIFS('Key inputs_Refineries'!H$85:H$164,'Key inputs_Refineries'!$C$85:$C$164,$C541:$C550,'Key inputs_Refineries'!$B$85:$B$164,"Boiler"))&gt;0,SUMIFS('Key inputs_Refineries'!H$85:H$164,'Key inputs_Refineries'!$C$85:$C$164,$C544,'Key inputs_Refineries'!$B$85:$B$164,"Boiler")/SUM(SUMIFS('Key inputs_Refineries'!H$85:H$164,'Key inputs_Refineries'!$C$85:$C$164,$C541:$C550,'Key inputs_Refineries'!$B$85:$B$164,"Boiler"))&lt;0.001),0.001,SUMIFS('Key inputs_Refineries'!H$85:H$164,'Key inputs_Refineries'!$C$85:$C$164,$C544,'Key inputs_Refineries'!$B$85:$B$164,"Boiler")/SUM(SUMIFS('Key inputs_Refineries'!H$85:H$164,'Key inputs_Refineries'!$C$85:$C$164,$C541:$C550,'Key inputs_Refineries'!$B$85:$B$164,"Boiler"))),0)</f>
        <v>0</v>
      </c>
      <c r="O544" s="173" cm="1">
        <f t="array" ref="O544">IFERROR(IF(AND(SUMIFS('Key inputs_Refineries'!I$85:I$164,'Key inputs_Refineries'!$C$85:$C$164,$C544,'Key inputs_Refineries'!$B$85:$B$164,"Boiler")/SUM(SUMIFS('Key inputs_Refineries'!I$85:I$164,'Key inputs_Refineries'!$C$85:$C$164,$C541:$C550,'Key inputs_Refineries'!$B$85:$B$164,"Boiler"))&gt;0,SUMIFS('Key inputs_Refineries'!I$85:I$164,'Key inputs_Refineries'!$C$85:$C$164,$C544,'Key inputs_Refineries'!$B$85:$B$164,"Boiler")/SUM(SUMIFS('Key inputs_Refineries'!I$85:I$164,'Key inputs_Refineries'!$C$85:$C$164,$C541:$C550,'Key inputs_Refineries'!$B$85:$B$164,"Boiler"))&lt;0.001),0.001,SUMIFS('Key inputs_Refineries'!I$85:I$164,'Key inputs_Refineries'!$C$85:$C$164,$C544,'Key inputs_Refineries'!$B$85:$B$164,"Boiler")/SUM(SUMIFS('Key inputs_Refineries'!I$85:I$164,'Key inputs_Refineries'!$C$85:$C$164,$C541:$C550,'Key inputs_Refineries'!$B$85:$B$164,"Boiler"))),0)</f>
        <v>0</v>
      </c>
      <c r="P544" s="173" cm="1">
        <f t="array" ref="P544">IFERROR(IF(AND(SUMIFS('Key inputs_Refineries'!J$85:J$164,'Key inputs_Refineries'!$C$85:$C$164,$C544,'Key inputs_Refineries'!$B$85:$B$164,"Boiler")/SUM(SUMIFS('Key inputs_Refineries'!J$85:J$164,'Key inputs_Refineries'!$C$85:$C$164,$C541:$C550,'Key inputs_Refineries'!$B$85:$B$164,"Boiler"))&gt;0,SUMIFS('Key inputs_Refineries'!J$85:J$164,'Key inputs_Refineries'!$C$85:$C$164,$C544,'Key inputs_Refineries'!$B$85:$B$164,"Boiler")/SUM(SUMIFS('Key inputs_Refineries'!J$85:J$164,'Key inputs_Refineries'!$C$85:$C$164,$C541:$C550,'Key inputs_Refineries'!$B$85:$B$164,"Boiler"))&lt;0.001),0.001,SUMIFS('Key inputs_Refineries'!J$85:J$164,'Key inputs_Refineries'!$C$85:$C$164,$C544,'Key inputs_Refineries'!$B$85:$B$164,"Boiler")/SUM(SUMIFS('Key inputs_Refineries'!J$85:J$164,'Key inputs_Refineries'!$C$85:$C$164,$C541:$C550,'Key inputs_Refineries'!$B$85:$B$164,"Boiler"))),0)</f>
        <v>0</v>
      </c>
      <c r="Q544" s="173" cm="1">
        <f t="array" ref="Q544">IFERROR(IF(AND(SUMIFS('Key inputs_Refineries'!K$85:K$164,'Key inputs_Refineries'!$C$85:$C$164,$C544,'Key inputs_Refineries'!$B$85:$B$164,"Boiler")/SUM(SUMIFS('Key inputs_Refineries'!K$85:K$164,'Key inputs_Refineries'!$C$85:$C$164,$C541:$C550,'Key inputs_Refineries'!$B$85:$B$164,"Boiler"))&gt;0,SUMIFS('Key inputs_Refineries'!K$85:K$164,'Key inputs_Refineries'!$C$85:$C$164,$C544,'Key inputs_Refineries'!$B$85:$B$164,"Boiler")/SUM(SUMIFS('Key inputs_Refineries'!K$85:K$164,'Key inputs_Refineries'!$C$85:$C$164,$C541:$C550,'Key inputs_Refineries'!$B$85:$B$164,"Boiler"))&lt;0.001),0.001,SUMIFS('Key inputs_Refineries'!K$85:K$164,'Key inputs_Refineries'!$C$85:$C$164,$C544,'Key inputs_Refineries'!$B$85:$B$164,"Boiler")/SUM(SUMIFS('Key inputs_Refineries'!K$85:K$164,'Key inputs_Refineries'!$C$85:$C$164,$C541:$C550,'Key inputs_Refineries'!$B$85:$B$164,"Boiler"))),0)</f>
        <v>0</v>
      </c>
      <c r="R544" s="173" cm="1">
        <f t="array" ref="R544">IFERROR(IF(AND(SUMIFS('Key inputs_Refineries'!L$85:L$164,'Key inputs_Refineries'!$C$85:$C$164,$C544,'Key inputs_Refineries'!$B$85:$B$164,"Boiler")/SUM(SUMIFS('Key inputs_Refineries'!L$85:L$164,'Key inputs_Refineries'!$C$85:$C$164,$C541:$C550,'Key inputs_Refineries'!$B$85:$B$164,"Boiler"))&gt;0,SUMIFS('Key inputs_Refineries'!L$85:L$164,'Key inputs_Refineries'!$C$85:$C$164,$C544,'Key inputs_Refineries'!$B$85:$B$164,"Boiler")/SUM(SUMIFS('Key inputs_Refineries'!L$85:L$164,'Key inputs_Refineries'!$C$85:$C$164,$C541:$C550,'Key inputs_Refineries'!$B$85:$B$164,"Boiler"))&lt;0.001),0.001,SUMIFS('Key inputs_Refineries'!L$85:L$164,'Key inputs_Refineries'!$C$85:$C$164,$C544,'Key inputs_Refineries'!$B$85:$B$164,"Boiler")/SUM(SUMIFS('Key inputs_Refineries'!L$85:L$164,'Key inputs_Refineries'!$C$85:$C$164,$C541:$C550,'Key inputs_Refineries'!$B$85:$B$164,"Boiler"))),0)</f>
        <v>0</v>
      </c>
      <c r="S544" s="173" cm="1">
        <f t="array" ref="S544">IFERROR(IF(AND(SUMIFS('Key inputs_Refineries'!M$85:M$164,'Key inputs_Refineries'!$C$85:$C$164,$C544,'Key inputs_Refineries'!$B$85:$B$164,"Boiler")/SUM(SUMIFS('Key inputs_Refineries'!M$85:M$164,'Key inputs_Refineries'!$C$85:$C$164,$C541:$C550,'Key inputs_Refineries'!$B$85:$B$164,"Boiler"))&gt;0,SUMIFS('Key inputs_Refineries'!M$85:M$164,'Key inputs_Refineries'!$C$85:$C$164,$C544,'Key inputs_Refineries'!$B$85:$B$164,"Boiler")/SUM(SUMIFS('Key inputs_Refineries'!M$85:M$164,'Key inputs_Refineries'!$C$85:$C$164,$C541:$C550,'Key inputs_Refineries'!$B$85:$B$164,"Boiler"))&lt;0.001),0.001,SUMIFS('Key inputs_Refineries'!M$85:M$164,'Key inputs_Refineries'!$C$85:$C$164,$C544,'Key inputs_Refineries'!$B$85:$B$164,"Boiler")/SUM(SUMIFS('Key inputs_Refineries'!M$85:M$164,'Key inputs_Refineries'!$C$85:$C$164,$C541:$C550,'Key inputs_Refineries'!$B$85:$B$164,"Boiler"))),0)</f>
        <v>0</v>
      </c>
      <c r="T544" s="173" cm="1">
        <f t="array" ref="T544">IFERROR(IF(AND(SUMIFS('Key inputs_Refineries'!N$85:N$164,'Key inputs_Refineries'!$C$85:$C$164,$C544,'Key inputs_Refineries'!$B$85:$B$164,"Boiler")/SUM(SUMIFS('Key inputs_Refineries'!N$85:N$164,'Key inputs_Refineries'!$C$85:$C$164,$C541:$C550,'Key inputs_Refineries'!$B$85:$B$164,"Boiler"))&gt;0,SUMIFS('Key inputs_Refineries'!N$85:N$164,'Key inputs_Refineries'!$C$85:$C$164,$C544,'Key inputs_Refineries'!$B$85:$B$164,"Boiler")/SUM(SUMIFS('Key inputs_Refineries'!N$85:N$164,'Key inputs_Refineries'!$C$85:$C$164,$C541:$C550,'Key inputs_Refineries'!$B$85:$B$164,"Boiler"))&lt;0.001),0.001,SUMIFS('Key inputs_Refineries'!N$85:N$164,'Key inputs_Refineries'!$C$85:$C$164,$C544,'Key inputs_Refineries'!$B$85:$B$164,"Boiler")/SUM(SUMIFS('Key inputs_Refineries'!N$85:N$164,'Key inputs_Refineries'!$C$85:$C$164,$C541:$C550,'Key inputs_Refineries'!$B$85:$B$164,"Boiler"))),0)</f>
        <v>2.7912331012078389E-2</v>
      </c>
      <c r="U544" s="173" cm="1">
        <f t="array" ref="U544">IFERROR(IF(AND(SUMIFS('Key inputs_Refineries'!O$85:O$164,'Key inputs_Refineries'!$C$85:$C$164,$C544,'Key inputs_Refineries'!$B$85:$B$164,"Boiler")/SUM(SUMIFS('Key inputs_Refineries'!O$85:O$164,'Key inputs_Refineries'!$C$85:$C$164,$C541:$C550,'Key inputs_Refineries'!$B$85:$B$164,"Boiler"))&gt;0,SUMIFS('Key inputs_Refineries'!O$85:O$164,'Key inputs_Refineries'!$C$85:$C$164,$C544,'Key inputs_Refineries'!$B$85:$B$164,"Boiler")/SUM(SUMIFS('Key inputs_Refineries'!O$85:O$164,'Key inputs_Refineries'!$C$85:$C$164,$C541:$C550,'Key inputs_Refineries'!$B$85:$B$164,"Boiler"))&lt;0.001),0.001,SUMIFS('Key inputs_Refineries'!O$85:O$164,'Key inputs_Refineries'!$C$85:$C$164,$C544,'Key inputs_Refineries'!$B$85:$B$164,"Boiler")/SUM(SUMIFS('Key inputs_Refineries'!O$85:O$164,'Key inputs_Refineries'!$C$85:$C$164,$C541:$C550,'Key inputs_Refineries'!$B$85:$B$164,"Boiler"))),0)</f>
        <v>0</v>
      </c>
      <c r="V544" s="173" cm="1">
        <f t="array" ref="V544">IFERROR(IF(AND(SUMIFS('Key inputs_Refineries'!P$85:P$164,'Key inputs_Refineries'!$C$85:$C$164,$C544,'Key inputs_Refineries'!$B$85:$B$164,"Boiler")/SUM(SUMIFS('Key inputs_Refineries'!P$85:P$164,'Key inputs_Refineries'!$C$85:$C$164,$C541:$C550,'Key inputs_Refineries'!$B$85:$B$164,"Boiler"))&gt;0,SUMIFS('Key inputs_Refineries'!P$85:P$164,'Key inputs_Refineries'!$C$85:$C$164,$C544,'Key inputs_Refineries'!$B$85:$B$164,"Boiler")/SUM(SUMIFS('Key inputs_Refineries'!P$85:P$164,'Key inputs_Refineries'!$C$85:$C$164,$C541:$C550,'Key inputs_Refineries'!$B$85:$B$164,"Boiler"))&lt;0.001),0.001,SUMIFS('Key inputs_Refineries'!P$85:P$164,'Key inputs_Refineries'!$C$85:$C$164,$C544,'Key inputs_Refineries'!$B$85:$B$164,"Boiler")/SUM(SUMIFS('Key inputs_Refineries'!P$85:P$164,'Key inputs_Refineries'!$C$85:$C$164,$C541:$C550,'Key inputs_Refineries'!$B$85:$B$164,"Boiler"))),0)</f>
        <v>1E-3</v>
      </c>
      <c r="W544" s="173" cm="1">
        <f t="array" ref="W544">IFERROR(IF(AND(SUMIFS('Key inputs_Refineries'!Q$85:Q$164,'Key inputs_Refineries'!$C$85:$C$164,$C544,'Key inputs_Refineries'!$B$85:$B$164,"Boiler")/SUM(SUMIFS('Key inputs_Refineries'!Q$85:Q$164,'Key inputs_Refineries'!$C$85:$C$164,$C541:$C550,'Key inputs_Refineries'!$B$85:$B$164,"Boiler"))&gt;0,SUMIFS('Key inputs_Refineries'!Q$85:Q$164,'Key inputs_Refineries'!$C$85:$C$164,$C544,'Key inputs_Refineries'!$B$85:$B$164,"Boiler")/SUM(SUMIFS('Key inputs_Refineries'!Q$85:Q$164,'Key inputs_Refineries'!$C$85:$C$164,$C541:$C550,'Key inputs_Refineries'!$B$85:$B$164,"Boiler"))&lt;0.001),0.001,SUMIFS('Key inputs_Refineries'!Q$85:Q$164,'Key inputs_Refineries'!$C$85:$C$164,$C544,'Key inputs_Refineries'!$B$85:$B$164,"Boiler")/SUM(SUMIFS('Key inputs_Refineries'!Q$85:Q$164,'Key inputs_Refineries'!$C$85:$C$164,$C541:$C550,'Key inputs_Refineries'!$B$85:$B$164,"Boiler"))),0)</f>
        <v>0</v>
      </c>
      <c r="X544" s="173" cm="1">
        <f t="array" ref="X544">IFERROR(IF(AND(SUMIFS('Key inputs_Refineries'!R$85:R$164,'Key inputs_Refineries'!$C$85:$C$164,$C544,'Key inputs_Refineries'!$B$85:$B$164,"Boiler")/SUM(SUMIFS('Key inputs_Refineries'!R$85:R$164,'Key inputs_Refineries'!$C$85:$C$164,$C541:$C550,'Key inputs_Refineries'!$B$85:$B$164,"Boiler"))&gt;0,SUMIFS('Key inputs_Refineries'!R$85:R$164,'Key inputs_Refineries'!$C$85:$C$164,$C544,'Key inputs_Refineries'!$B$85:$B$164,"Boiler")/SUM(SUMIFS('Key inputs_Refineries'!R$85:R$164,'Key inputs_Refineries'!$C$85:$C$164,$C541:$C550,'Key inputs_Refineries'!$B$85:$B$164,"Boiler"))&lt;0.001),0.001,SUMIFS('Key inputs_Refineries'!R$85:R$164,'Key inputs_Refineries'!$C$85:$C$164,$C544,'Key inputs_Refineries'!$B$85:$B$164,"Boiler")/SUM(SUMIFS('Key inputs_Refineries'!R$85:R$164,'Key inputs_Refineries'!$C$85:$C$164,$C541:$C550,'Key inputs_Refineries'!$B$85:$B$164,"Boiler"))),0)</f>
        <v>0</v>
      </c>
      <c r="Y544" s="173" cm="1">
        <f t="array" ref="Y544">IFERROR(IF(AND(SUMIFS('Key inputs_Refineries'!S$85:S$164,'Key inputs_Refineries'!$C$85:$C$164,$C544,'Key inputs_Refineries'!$B$85:$B$164,"Boiler")/SUM(SUMIFS('Key inputs_Refineries'!S$85:S$164,'Key inputs_Refineries'!$C$85:$C$164,$C541:$C550,'Key inputs_Refineries'!$B$85:$B$164,"Boiler"))&gt;0,SUMIFS('Key inputs_Refineries'!S$85:S$164,'Key inputs_Refineries'!$C$85:$C$164,$C544,'Key inputs_Refineries'!$B$85:$B$164,"Boiler")/SUM(SUMIFS('Key inputs_Refineries'!S$85:S$164,'Key inputs_Refineries'!$C$85:$C$164,$C541:$C550,'Key inputs_Refineries'!$B$85:$B$164,"Boiler"))&lt;0.001),0.001,SUMIFS('Key inputs_Refineries'!S$85:S$164,'Key inputs_Refineries'!$C$85:$C$164,$C544,'Key inputs_Refineries'!$B$85:$B$164,"Boiler")/SUM(SUMIFS('Key inputs_Refineries'!S$85:S$164,'Key inputs_Refineries'!$C$85:$C$164,$C541:$C550,'Key inputs_Refineries'!$B$85:$B$164,"Boiler"))),0)</f>
        <v>0</v>
      </c>
      <c r="Z544" s="173" cm="1">
        <f t="array" ref="Z544">IFERROR(IF(AND(SUMIFS('Key inputs_Refineries'!T$85:T$164,'Key inputs_Refineries'!$C$85:$C$164,$C544,'Key inputs_Refineries'!$B$85:$B$164,"Boiler")/SUM(SUMIFS('Key inputs_Refineries'!T$85:T$164,'Key inputs_Refineries'!$C$85:$C$164,$C541:$C550,'Key inputs_Refineries'!$B$85:$B$164,"Boiler"))&gt;0,SUMIFS('Key inputs_Refineries'!T$85:T$164,'Key inputs_Refineries'!$C$85:$C$164,$C544,'Key inputs_Refineries'!$B$85:$B$164,"Boiler")/SUM(SUMIFS('Key inputs_Refineries'!T$85:T$164,'Key inputs_Refineries'!$C$85:$C$164,$C541:$C550,'Key inputs_Refineries'!$B$85:$B$164,"Boiler"))&lt;0.001),0.001,SUMIFS('Key inputs_Refineries'!T$85:T$164,'Key inputs_Refineries'!$C$85:$C$164,$C544,'Key inputs_Refineries'!$B$85:$B$164,"Boiler")/SUM(SUMIFS('Key inputs_Refineries'!T$85:T$164,'Key inputs_Refineries'!$C$85:$C$164,$C541:$C550,'Key inputs_Refineries'!$B$85:$B$164,"Boiler"))),0)</f>
        <v>0</v>
      </c>
      <c r="AA544" s="173" cm="1">
        <f t="array" ref="AA544">IFERROR(IF(AND(SUMIFS('Key inputs_Refineries'!U$85:U$164,'Key inputs_Refineries'!$C$85:$C$164,$C544,'Key inputs_Refineries'!$B$85:$B$164,"Boiler")/SUM(SUMIFS('Key inputs_Refineries'!U$85:U$164,'Key inputs_Refineries'!$C$85:$C$164,$C541:$C550,'Key inputs_Refineries'!$B$85:$B$164,"Boiler"))&gt;0,SUMIFS('Key inputs_Refineries'!U$85:U$164,'Key inputs_Refineries'!$C$85:$C$164,$C544,'Key inputs_Refineries'!$B$85:$B$164,"Boiler")/SUM(SUMIFS('Key inputs_Refineries'!U$85:U$164,'Key inputs_Refineries'!$C$85:$C$164,$C541:$C550,'Key inputs_Refineries'!$B$85:$B$164,"Boiler"))&lt;0.001),0.001,SUMIFS('Key inputs_Refineries'!U$85:U$164,'Key inputs_Refineries'!$C$85:$C$164,$C544,'Key inputs_Refineries'!$B$85:$B$164,"Boiler")/SUM(SUMIFS('Key inputs_Refineries'!U$85:U$164,'Key inputs_Refineries'!$C$85:$C$164,$C541:$C550,'Key inputs_Refineries'!$B$85:$B$164,"Boiler"))),0)</f>
        <v>0</v>
      </c>
      <c r="AB544" s="173" cm="1">
        <f t="array" ref="AB544">IFERROR(IF(AND(SUMIFS('Key inputs_Refineries'!V$85:V$164,'Key inputs_Refineries'!$C$85:$C$164,$C544,'Key inputs_Refineries'!$B$85:$B$164,"Boiler")/SUM(SUMIFS('Key inputs_Refineries'!V$85:V$164,'Key inputs_Refineries'!$C$85:$C$164,$C541:$C550,'Key inputs_Refineries'!$B$85:$B$164,"Boiler"))&gt;0,SUMIFS('Key inputs_Refineries'!V$85:V$164,'Key inputs_Refineries'!$C$85:$C$164,$C544,'Key inputs_Refineries'!$B$85:$B$164,"Boiler")/SUM(SUMIFS('Key inputs_Refineries'!V$85:V$164,'Key inputs_Refineries'!$C$85:$C$164,$C541:$C550,'Key inputs_Refineries'!$B$85:$B$164,"Boiler"))&lt;0.001),0.001,SUMIFS('Key inputs_Refineries'!V$85:V$164,'Key inputs_Refineries'!$C$85:$C$164,$C544,'Key inputs_Refineries'!$B$85:$B$164,"Boiler")/SUM(SUMIFS('Key inputs_Refineries'!V$85:V$164,'Key inputs_Refineries'!$C$85:$C$164,$C541:$C550,'Key inputs_Refineries'!$B$85:$B$164,"Boiler"))),0)</f>
        <v>0</v>
      </c>
      <c r="AC544" s="173" cm="1">
        <f t="array" ref="AC544">IFERROR(IF(AND(SUMIFS('Key inputs_Refineries'!W$85:W$164,'Key inputs_Refineries'!$C$85:$C$164,$C544,'Key inputs_Refineries'!$B$85:$B$164,"Boiler")/SUM(SUMIFS('Key inputs_Refineries'!W$85:W$164,'Key inputs_Refineries'!$C$85:$C$164,$C541:$C550,'Key inputs_Refineries'!$B$85:$B$164,"Boiler"))&gt;0,SUMIFS('Key inputs_Refineries'!W$85:W$164,'Key inputs_Refineries'!$C$85:$C$164,$C544,'Key inputs_Refineries'!$B$85:$B$164,"Boiler")/SUM(SUMIFS('Key inputs_Refineries'!W$85:W$164,'Key inputs_Refineries'!$C$85:$C$164,$C541:$C550,'Key inputs_Refineries'!$B$85:$B$164,"Boiler"))&lt;0.001),0.001,SUMIFS('Key inputs_Refineries'!W$85:W$164,'Key inputs_Refineries'!$C$85:$C$164,$C544,'Key inputs_Refineries'!$B$85:$B$164,"Boiler")/SUM(SUMIFS('Key inputs_Refineries'!W$85:W$164,'Key inputs_Refineries'!$C$85:$C$164,$C541:$C550,'Key inputs_Refineries'!$B$85:$B$164,"Boiler"))),0)</f>
        <v>0</v>
      </c>
      <c r="AD544" s="173" cm="1">
        <f t="array" ref="AD544">IFERROR(IF(AND(SUMIFS('Key inputs_Refineries'!X$85:X$164,'Key inputs_Refineries'!$C$85:$C$164,$C544,'Key inputs_Refineries'!$B$85:$B$164,"Boiler")/SUM(SUMIFS('Key inputs_Refineries'!X$85:X$164,'Key inputs_Refineries'!$C$85:$C$164,$C541:$C550,'Key inputs_Refineries'!$B$85:$B$164,"Boiler"))&gt;0,SUMIFS('Key inputs_Refineries'!X$85:X$164,'Key inputs_Refineries'!$C$85:$C$164,$C544,'Key inputs_Refineries'!$B$85:$B$164,"Boiler")/SUM(SUMIFS('Key inputs_Refineries'!X$85:X$164,'Key inputs_Refineries'!$C$85:$C$164,$C541:$C550,'Key inputs_Refineries'!$B$85:$B$164,"Boiler"))&lt;0.001),0.001,SUMIFS('Key inputs_Refineries'!X$85:X$164,'Key inputs_Refineries'!$C$85:$C$164,$C544,'Key inputs_Refineries'!$B$85:$B$164,"Boiler")/SUM(SUMIFS('Key inputs_Refineries'!X$85:X$164,'Key inputs_Refineries'!$C$85:$C$164,$C541:$C550,'Key inputs_Refineries'!$B$85:$B$164,"Boiler"))),0)</f>
        <v>1E-3</v>
      </c>
      <c r="AE544" s="173" cm="1">
        <f t="array" ref="AE544">IFERROR(IF(AND(SUMIFS('Key inputs_Refineries'!Y$85:Y$164,'Key inputs_Refineries'!$C$85:$C$164,$C544,'Key inputs_Refineries'!$B$85:$B$164,"Boiler")/SUM(SUMIFS('Key inputs_Refineries'!Y$85:Y$164,'Key inputs_Refineries'!$C$85:$C$164,$C541:$C550,'Key inputs_Refineries'!$B$85:$B$164,"Boiler"))&gt;0,SUMIFS('Key inputs_Refineries'!Y$85:Y$164,'Key inputs_Refineries'!$C$85:$C$164,$C544,'Key inputs_Refineries'!$B$85:$B$164,"Boiler")/SUM(SUMIFS('Key inputs_Refineries'!Y$85:Y$164,'Key inputs_Refineries'!$C$85:$C$164,$C541:$C550,'Key inputs_Refineries'!$B$85:$B$164,"Boiler"))&lt;0.001),0.001,SUMIFS('Key inputs_Refineries'!Y$85:Y$164,'Key inputs_Refineries'!$C$85:$C$164,$C544,'Key inputs_Refineries'!$B$85:$B$164,"Boiler")/SUM(SUMIFS('Key inputs_Refineries'!Y$85:Y$164,'Key inputs_Refineries'!$C$85:$C$164,$C541:$C550,'Key inputs_Refineries'!$B$85:$B$164,"Boiler"))),0)</f>
        <v>2.0134433337153691E-2</v>
      </c>
      <c r="AF544" s="173" cm="1">
        <f t="array" ref="AF544">IFERROR(IF(AND(SUMIFS('Key inputs_Refineries'!Z$85:Z$164,'Key inputs_Refineries'!$C$85:$C$164,$C544,'Key inputs_Refineries'!$B$85:$B$164,"Boiler")/SUM(SUMIFS('Key inputs_Refineries'!Z$85:Z$164,'Key inputs_Refineries'!$C$85:$C$164,$C541:$C550,'Key inputs_Refineries'!$B$85:$B$164,"Boiler"))&gt;0,SUMIFS('Key inputs_Refineries'!Z$85:Z$164,'Key inputs_Refineries'!$C$85:$C$164,$C544,'Key inputs_Refineries'!$B$85:$B$164,"Boiler")/SUM(SUMIFS('Key inputs_Refineries'!Z$85:Z$164,'Key inputs_Refineries'!$C$85:$C$164,$C541:$C550,'Key inputs_Refineries'!$B$85:$B$164,"Boiler"))&lt;0.001),0.001,SUMIFS('Key inputs_Refineries'!Z$85:Z$164,'Key inputs_Refineries'!$C$85:$C$164,$C544,'Key inputs_Refineries'!$B$85:$B$164,"Boiler")/SUM(SUMIFS('Key inputs_Refineries'!Z$85:Z$164,'Key inputs_Refineries'!$C$85:$C$164,$C541:$C550,'Key inputs_Refineries'!$B$85:$B$164,"Boiler"))),0)</f>
        <v>0</v>
      </c>
      <c r="AG544" s="173" cm="1">
        <f t="array" ref="AG544">IFERROR(IF(AND(SUMIFS('Key inputs_Refineries'!AA$85:AA$164,'Key inputs_Refineries'!$C$85:$C$164,$C544,'Key inputs_Refineries'!$B$85:$B$164,"Boiler")/SUM(SUMIFS('Key inputs_Refineries'!AA$85:AA$164,'Key inputs_Refineries'!$C$85:$C$164,$C541:$C550,'Key inputs_Refineries'!$B$85:$B$164,"Boiler"))&gt;0,SUMIFS('Key inputs_Refineries'!AA$85:AA$164,'Key inputs_Refineries'!$C$85:$C$164,$C544,'Key inputs_Refineries'!$B$85:$B$164,"Boiler")/SUM(SUMIFS('Key inputs_Refineries'!AA$85:AA$164,'Key inputs_Refineries'!$C$85:$C$164,$C541:$C550,'Key inputs_Refineries'!$B$85:$B$164,"Boiler"))&lt;0.001),0.001,SUMIFS('Key inputs_Refineries'!AA$85:AA$164,'Key inputs_Refineries'!$C$85:$C$164,$C544,'Key inputs_Refineries'!$B$85:$B$164,"Boiler")/SUM(SUMIFS('Key inputs_Refineries'!AA$85:AA$164,'Key inputs_Refineries'!$C$85:$C$164,$C541:$C550,'Key inputs_Refineries'!$B$85:$B$164,"Boiler"))),0)</f>
        <v>0</v>
      </c>
      <c r="AH544" s="173" cm="1">
        <f t="array" ref="AH544">IFERROR(IF(AND(SUMIFS('Key inputs_Refineries'!AB$85:AB$164,'Key inputs_Refineries'!$C$85:$C$164,$C544,'Key inputs_Refineries'!$B$85:$B$164,"Boiler")/SUM(SUMIFS('Key inputs_Refineries'!AB$85:AB$164,'Key inputs_Refineries'!$C$85:$C$164,$C541:$C550,'Key inputs_Refineries'!$B$85:$B$164,"Boiler"))&gt;0,SUMIFS('Key inputs_Refineries'!AB$85:AB$164,'Key inputs_Refineries'!$C$85:$C$164,$C544,'Key inputs_Refineries'!$B$85:$B$164,"Boiler")/SUM(SUMIFS('Key inputs_Refineries'!AB$85:AB$164,'Key inputs_Refineries'!$C$85:$C$164,$C541:$C550,'Key inputs_Refineries'!$B$85:$B$164,"Boiler"))&lt;0.001),0.001,SUMIFS('Key inputs_Refineries'!AB$85:AB$164,'Key inputs_Refineries'!$C$85:$C$164,$C544,'Key inputs_Refineries'!$B$85:$B$164,"Boiler")/SUM(SUMIFS('Key inputs_Refineries'!AB$85:AB$164,'Key inputs_Refineries'!$C$85:$C$164,$C541:$C550,'Key inputs_Refineries'!$B$85:$B$164,"Boiler"))),0)</f>
        <v>0</v>
      </c>
      <c r="AI544" s="173" cm="1">
        <f t="array" ref="AI544">IFERROR(IF(AND(SUMIFS('Key inputs_Refineries'!AC$85:AC$164,'Key inputs_Refineries'!$C$85:$C$164,$C544,'Key inputs_Refineries'!$B$85:$B$164,"Boiler")/SUM(SUMIFS('Key inputs_Refineries'!AC$85:AC$164,'Key inputs_Refineries'!$C$85:$C$164,$C541:$C550,'Key inputs_Refineries'!$B$85:$B$164,"Boiler"))&gt;0,SUMIFS('Key inputs_Refineries'!AC$85:AC$164,'Key inputs_Refineries'!$C$85:$C$164,$C544,'Key inputs_Refineries'!$B$85:$B$164,"Boiler")/SUM(SUMIFS('Key inputs_Refineries'!AC$85:AC$164,'Key inputs_Refineries'!$C$85:$C$164,$C541:$C550,'Key inputs_Refineries'!$B$85:$B$164,"Boiler"))&lt;0.001),0.001,SUMIFS('Key inputs_Refineries'!AC$85:AC$164,'Key inputs_Refineries'!$C$85:$C$164,$C544,'Key inputs_Refineries'!$B$85:$B$164,"Boiler")/SUM(SUMIFS('Key inputs_Refineries'!AC$85:AC$164,'Key inputs_Refineries'!$C$85:$C$164,$C541:$C550,'Key inputs_Refineries'!$B$85:$B$164,"Boiler"))),0)</f>
        <v>0</v>
      </c>
      <c r="AJ544" s="173" cm="1">
        <f t="array" ref="AJ544">IFERROR(IF(AND(SUMIFS('Key inputs_Refineries'!AD$85:AD$164,'Key inputs_Refineries'!$C$85:$C$164,$C544,'Key inputs_Refineries'!$B$85:$B$164,"Boiler")/SUM(SUMIFS('Key inputs_Refineries'!AD$85:AD$164,'Key inputs_Refineries'!$C$85:$C$164,$C541:$C550,'Key inputs_Refineries'!$B$85:$B$164,"Boiler"))&gt;0,SUMIFS('Key inputs_Refineries'!AD$85:AD$164,'Key inputs_Refineries'!$C$85:$C$164,$C544,'Key inputs_Refineries'!$B$85:$B$164,"Boiler")/SUM(SUMIFS('Key inputs_Refineries'!AD$85:AD$164,'Key inputs_Refineries'!$C$85:$C$164,$C541:$C550,'Key inputs_Refineries'!$B$85:$B$164,"Boiler"))&lt;0.001),0.001,SUMIFS('Key inputs_Refineries'!AD$85:AD$164,'Key inputs_Refineries'!$C$85:$C$164,$C544,'Key inputs_Refineries'!$B$85:$B$164,"Boiler")/SUM(SUMIFS('Key inputs_Refineries'!AD$85:AD$164,'Key inputs_Refineries'!$C$85:$C$164,$C541:$C550,'Key inputs_Refineries'!$B$85:$B$164,"Boiler"))),0)</f>
        <v>0</v>
      </c>
      <c r="AK544" s="173" cm="1">
        <f t="array" ref="AK544">IFERROR(IF(AND(SUMIFS('Key inputs_Refineries'!AE$85:AE$164,'Key inputs_Refineries'!$C$85:$C$164,$C544,'Key inputs_Refineries'!$B$85:$B$164,"Boiler")/SUM(SUMIFS('Key inputs_Refineries'!AE$85:AE$164,'Key inputs_Refineries'!$C$85:$C$164,$C541:$C550,'Key inputs_Refineries'!$B$85:$B$164,"Boiler"))&gt;0,SUMIFS('Key inputs_Refineries'!AE$85:AE$164,'Key inputs_Refineries'!$C$85:$C$164,$C544,'Key inputs_Refineries'!$B$85:$B$164,"Boiler")/SUM(SUMIFS('Key inputs_Refineries'!AE$85:AE$164,'Key inputs_Refineries'!$C$85:$C$164,$C541:$C550,'Key inputs_Refineries'!$B$85:$B$164,"Boiler"))&lt;0.001),0.001,SUMIFS('Key inputs_Refineries'!AE$85:AE$164,'Key inputs_Refineries'!$C$85:$C$164,$C544,'Key inputs_Refineries'!$B$85:$B$164,"Boiler")/SUM(SUMIFS('Key inputs_Refineries'!AE$85:AE$164,'Key inputs_Refineries'!$C$85:$C$164,$C541:$C550,'Key inputs_Refineries'!$B$85:$B$164,"Boiler"))),0)</f>
        <v>0</v>
      </c>
      <c r="AL544" s="173" cm="1">
        <f t="array" ref="AL544">IFERROR(IF(AND(SUMIFS('Key inputs_Refineries'!AF$85:AF$164,'Key inputs_Refineries'!$C$85:$C$164,$C544,'Key inputs_Refineries'!$B$85:$B$164,"Boiler")/SUM(SUMIFS('Key inputs_Refineries'!AF$85:AF$164,'Key inputs_Refineries'!$C$85:$C$164,$C541:$C550,'Key inputs_Refineries'!$B$85:$B$164,"Boiler"))&gt;0,SUMIFS('Key inputs_Refineries'!AF$85:AF$164,'Key inputs_Refineries'!$C$85:$C$164,$C544,'Key inputs_Refineries'!$B$85:$B$164,"Boiler")/SUM(SUMIFS('Key inputs_Refineries'!AF$85:AF$164,'Key inputs_Refineries'!$C$85:$C$164,$C541:$C550,'Key inputs_Refineries'!$B$85:$B$164,"Boiler"))&lt;0.001),0.001,SUMIFS('Key inputs_Refineries'!AF$85:AF$164,'Key inputs_Refineries'!$C$85:$C$164,$C544,'Key inputs_Refineries'!$B$85:$B$164,"Boiler")/SUM(SUMIFS('Key inputs_Refineries'!AF$85:AF$164,'Key inputs_Refineries'!$C$85:$C$164,$C541:$C550,'Key inputs_Refineries'!$B$85:$B$164,"Boiler"))),0)</f>
        <v>2.4176673865044865E-3</v>
      </c>
    </row>
    <row r="545" spans="1:38">
      <c r="C545" t="str">
        <f>Commodities!$C$95</f>
        <v>UPSHFO</v>
      </c>
      <c r="G545" s="4" t="s">
        <v>702</v>
      </c>
      <c r="H545" t="s">
        <v>661</v>
      </c>
      <c r="I545">
        <v>2019</v>
      </c>
      <c r="J545" t="s">
        <v>650</v>
      </c>
      <c r="K545" s="173" cm="1">
        <f t="array" ref="K545">IFERROR(IF(AND(SUMIFS('Key inputs_Refineries'!E$85:E$164,'Key inputs_Refineries'!$C$85:$C$164,$C545,'Key inputs_Refineries'!$B$85:$B$164,"Boiler")/SUM(SUMIFS('Key inputs_Refineries'!E$85:E$164,'Key inputs_Refineries'!$C$85:$C$164,$C541:$C550,'Key inputs_Refineries'!$B$85:$B$164,"Boiler"))&gt;0,SUMIFS('Key inputs_Refineries'!E$85:E$164,'Key inputs_Refineries'!$C$85:$C$164,$C545,'Key inputs_Refineries'!$B$85:$B$164,"Boiler")/SUM(SUMIFS('Key inputs_Refineries'!E$85:E$164,'Key inputs_Refineries'!$C$85:$C$164,$C541:$C550,'Key inputs_Refineries'!$B$85:$B$164,"Boiler"))&lt;0.001),0.001,SUMIFS('Key inputs_Refineries'!E$85:E$164,'Key inputs_Refineries'!$C$85:$C$164,$C545,'Key inputs_Refineries'!$B$85:$B$164,"Boiler")/SUM(SUMIFS('Key inputs_Refineries'!E$85:E$164,'Key inputs_Refineries'!$C$85:$C$164,$C541:$C550,'Key inputs_Refineries'!$B$85:$B$164,"Boiler"))),0)</f>
        <v>0</v>
      </c>
      <c r="L545" s="173" cm="1">
        <f t="array" ref="L545">IFERROR(IF(AND(SUMIFS('Key inputs_Refineries'!F$85:F$164,'Key inputs_Refineries'!$C$85:$C$164,$C545,'Key inputs_Refineries'!$B$85:$B$164,"Boiler")/SUM(SUMIFS('Key inputs_Refineries'!F$85:F$164,'Key inputs_Refineries'!$C$85:$C$164,$C541:$C550,'Key inputs_Refineries'!$B$85:$B$164,"Boiler"))&gt;0,SUMIFS('Key inputs_Refineries'!F$85:F$164,'Key inputs_Refineries'!$C$85:$C$164,$C545,'Key inputs_Refineries'!$B$85:$B$164,"Boiler")/SUM(SUMIFS('Key inputs_Refineries'!F$85:F$164,'Key inputs_Refineries'!$C$85:$C$164,$C541:$C550,'Key inputs_Refineries'!$B$85:$B$164,"Boiler"))&lt;0.001),0.001,SUMIFS('Key inputs_Refineries'!F$85:F$164,'Key inputs_Refineries'!$C$85:$C$164,$C545,'Key inputs_Refineries'!$B$85:$B$164,"Boiler")/SUM(SUMIFS('Key inputs_Refineries'!F$85:F$164,'Key inputs_Refineries'!$C$85:$C$164,$C541:$C550,'Key inputs_Refineries'!$B$85:$B$164,"Boiler"))),0)</f>
        <v>0.37465171294428523</v>
      </c>
      <c r="M545" s="173" cm="1">
        <f t="array" ref="M545">IFERROR(IF(AND(SUMIFS('Key inputs_Refineries'!G$85:G$164,'Key inputs_Refineries'!$C$85:$C$164,$C545,'Key inputs_Refineries'!$B$85:$B$164,"Boiler")/SUM(SUMIFS('Key inputs_Refineries'!G$85:G$164,'Key inputs_Refineries'!$C$85:$C$164,$C541:$C550,'Key inputs_Refineries'!$B$85:$B$164,"Boiler"))&gt;0,SUMIFS('Key inputs_Refineries'!G$85:G$164,'Key inputs_Refineries'!$C$85:$C$164,$C545,'Key inputs_Refineries'!$B$85:$B$164,"Boiler")/SUM(SUMIFS('Key inputs_Refineries'!G$85:G$164,'Key inputs_Refineries'!$C$85:$C$164,$C541:$C550,'Key inputs_Refineries'!$B$85:$B$164,"Boiler"))&lt;0.001),0.001,SUMIFS('Key inputs_Refineries'!G$85:G$164,'Key inputs_Refineries'!$C$85:$C$164,$C545,'Key inputs_Refineries'!$B$85:$B$164,"Boiler")/SUM(SUMIFS('Key inputs_Refineries'!G$85:G$164,'Key inputs_Refineries'!$C$85:$C$164,$C541:$C550,'Key inputs_Refineries'!$B$85:$B$164,"Boiler"))),0)</f>
        <v>0.51919100635285487</v>
      </c>
      <c r="N545" s="173" cm="1">
        <f t="array" ref="N545">IFERROR(IF(AND(SUMIFS('Key inputs_Refineries'!H$85:H$164,'Key inputs_Refineries'!$C$85:$C$164,$C545,'Key inputs_Refineries'!$B$85:$B$164,"Boiler")/SUM(SUMIFS('Key inputs_Refineries'!H$85:H$164,'Key inputs_Refineries'!$C$85:$C$164,$C541:$C550,'Key inputs_Refineries'!$B$85:$B$164,"Boiler"))&gt;0,SUMIFS('Key inputs_Refineries'!H$85:H$164,'Key inputs_Refineries'!$C$85:$C$164,$C545,'Key inputs_Refineries'!$B$85:$B$164,"Boiler")/SUM(SUMIFS('Key inputs_Refineries'!H$85:H$164,'Key inputs_Refineries'!$C$85:$C$164,$C541:$C550,'Key inputs_Refineries'!$B$85:$B$164,"Boiler"))&lt;0.001),0.001,SUMIFS('Key inputs_Refineries'!H$85:H$164,'Key inputs_Refineries'!$C$85:$C$164,$C545,'Key inputs_Refineries'!$B$85:$B$164,"Boiler")/SUM(SUMIFS('Key inputs_Refineries'!H$85:H$164,'Key inputs_Refineries'!$C$85:$C$164,$C541:$C550,'Key inputs_Refineries'!$B$85:$B$164,"Boiler"))),0)</f>
        <v>0</v>
      </c>
      <c r="O545" s="173" cm="1">
        <f t="array" ref="O545">IFERROR(IF(AND(SUMIFS('Key inputs_Refineries'!I$85:I$164,'Key inputs_Refineries'!$C$85:$C$164,$C545,'Key inputs_Refineries'!$B$85:$B$164,"Boiler")/SUM(SUMIFS('Key inputs_Refineries'!I$85:I$164,'Key inputs_Refineries'!$C$85:$C$164,$C541:$C550,'Key inputs_Refineries'!$B$85:$B$164,"Boiler"))&gt;0,SUMIFS('Key inputs_Refineries'!I$85:I$164,'Key inputs_Refineries'!$C$85:$C$164,$C545,'Key inputs_Refineries'!$B$85:$B$164,"Boiler")/SUM(SUMIFS('Key inputs_Refineries'!I$85:I$164,'Key inputs_Refineries'!$C$85:$C$164,$C541:$C550,'Key inputs_Refineries'!$B$85:$B$164,"Boiler"))&lt;0.001),0.001,SUMIFS('Key inputs_Refineries'!I$85:I$164,'Key inputs_Refineries'!$C$85:$C$164,$C545,'Key inputs_Refineries'!$B$85:$B$164,"Boiler")/SUM(SUMIFS('Key inputs_Refineries'!I$85:I$164,'Key inputs_Refineries'!$C$85:$C$164,$C541:$C550,'Key inputs_Refineries'!$B$85:$B$164,"Boiler"))),0)</f>
        <v>9.1734191639610982E-2</v>
      </c>
      <c r="P545" s="173" cm="1">
        <f t="array" ref="P545">IFERROR(IF(AND(SUMIFS('Key inputs_Refineries'!J$85:J$164,'Key inputs_Refineries'!$C$85:$C$164,$C545,'Key inputs_Refineries'!$B$85:$B$164,"Boiler")/SUM(SUMIFS('Key inputs_Refineries'!J$85:J$164,'Key inputs_Refineries'!$C$85:$C$164,$C541:$C550,'Key inputs_Refineries'!$B$85:$B$164,"Boiler"))&gt;0,SUMIFS('Key inputs_Refineries'!J$85:J$164,'Key inputs_Refineries'!$C$85:$C$164,$C545,'Key inputs_Refineries'!$B$85:$B$164,"Boiler")/SUM(SUMIFS('Key inputs_Refineries'!J$85:J$164,'Key inputs_Refineries'!$C$85:$C$164,$C541:$C550,'Key inputs_Refineries'!$B$85:$B$164,"Boiler"))&lt;0.001),0.001,SUMIFS('Key inputs_Refineries'!J$85:J$164,'Key inputs_Refineries'!$C$85:$C$164,$C545,'Key inputs_Refineries'!$B$85:$B$164,"Boiler")/SUM(SUMIFS('Key inputs_Refineries'!J$85:J$164,'Key inputs_Refineries'!$C$85:$C$164,$C541:$C550,'Key inputs_Refineries'!$B$85:$B$164,"Boiler"))),0)</f>
        <v>0.10352194303840895</v>
      </c>
      <c r="Q545" s="173" cm="1">
        <f t="array" ref="Q545">IFERROR(IF(AND(SUMIFS('Key inputs_Refineries'!K$85:K$164,'Key inputs_Refineries'!$C$85:$C$164,$C545,'Key inputs_Refineries'!$B$85:$B$164,"Boiler")/SUM(SUMIFS('Key inputs_Refineries'!K$85:K$164,'Key inputs_Refineries'!$C$85:$C$164,$C541:$C550,'Key inputs_Refineries'!$B$85:$B$164,"Boiler"))&gt;0,SUMIFS('Key inputs_Refineries'!K$85:K$164,'Key inputs_Refineries'!$C$85:$C$164,$C545,'Key inputs_Refineries'!$B$85:$B$164,"Boiler")/SUM(SUMIFS('Key inputs_Refineries'!K$85:K$164,'Key inputs_Refineries'!$C$85:$C$164,$C541:$C550,'Key inputs_Refineries'!$B$85:$B$164,"Boiler"))&lt;0.001),0.001,SUMIFS('Key inputs_Refineries'!K$85:K$164,'Key inputs_Refineries'!$C$85:$C$164,$C545,'Key inputs_Refineries'!$B$85:$B$164,"Boiler")/SUM(SUMIFS('Key inputs_Refineries'!K$85:K$164,'Key inputs_Refineries'!$C$85:$C$164,$C541:$C550,'Key inputs_Refineries'!$B$85:$B$164,"Boiler"))),0)</f>
        <v>0.91831941777916681</v>
      </c>
      <c r="R545" s="173" cm="1">
        <f t="array" ref="R545">IFERROR(IF(AND(SUMIFS('Key inputs_Refineries'!L$85:L$164,'Key inputs_Refineries'!$C$85:$C$164,$C545,'Key inputs_Refineries'!$B$85:$B$164,"Boiler")/SUM(SUMIFS('Key inputs_Refineries'!L$85:L$164,'Key inputs_Refineries'!$C$85:$C$164,$C541:$C550,'Key inputs_Refineries'!$B$85:$B$164,"Boiler"))&gt;0,SUMIFS('Key inputs_Refineries'!L$85:L$164,'Key inputs_Refineries'!$C$85:$C$164,$C545,'Key inputs_Refineries'!$B$85:$B$164,"Boiler")/SUM(SUMIFS('Key inputs_Refineries'!L$85:L$164,'Key inputs_Refineries'!$C$85:$C$164,$C541:$C550,'Key inputs_Refineries'!$B$85:$B$164,"Boiler"))&lt;0.001),0.001,SUMIFS('Key inputs_Refineries'!L$85:L$164,'Key inputs_Refineries'!$C$85:$C$164,$C545,'Key inputs_Refineries'!$B$85:$B$164,"Boiler")/SUM(SUMIFS('Key inputs_Refineries'!L$85:L$164,'Key inputs_Refineries'!$C$85:$C$164,$C541:$C550,'Key inputs_Refineries'!$B$85:$B$164,"Boiler"))),0)</f>
        <v>1</v>
      </c>
      <c r="S545" s="173" cm="1">
        <f t="array" ref="S545">IFERROR(IF(AND(SUMIFS('Key inputs_Refineries'!M$85:M$164,'Key inputs_Refineries'!$C$85:$C$164,$C545,'Key inputs_Refineries'!$B$85:$B$164,"Boiler")/SUM(SUMIFS('Key inputs_Refineries'!M$85:M$164,'Key inputs_Refineries'!$C$85:$C$164,$C541:$C550,'Key inputs_Refineries'!$B$85:$B$164,"Boiler"))&gt;0,SUMIFS('Key inputs_Refineries'!M$85:M$164,'Key inputs_Refineries'!$C$85:$C$164,$C545,'Key inputs_Refineries'!$B$85:$B$164,"Boiler")/SUM(SUMIFS('Key inputs_Refineries'!M$85:M$164,'Key inputs_Refineries'!$C$85:$C$164,$C541:$C550,'Key inputs_Refineries'!$B$85:$B$164,"Boiler"))&lt;0.001),0.001,SUMIFS('Key inputs_Refineries'!M$85:M$164,'Key inputs_Refineries'!$C$85:$C$164,$C545,'Key inputs_Refineries'!$B$85:$B$164,"Boiler")/SUM(SUMIFS('Key inputs_Refineries'!M$85:M$164,'Key inputs_Refineries'!$C$85:$C$164,$C541:$C550,'Key inputs_Refineries'!$B$85:$B$164,"Boiler"))),0)</f>
        <v>0.96494826723174043</v>
      </c>
      <c r="T545" s="173" cm="1">
        <f t="array" ref="T545">IFERROR(IF(AND(SUMIFS('Key inputs_Refineries'!N$85:N$164,'Key inputs_Refineries'!$C$85:$C$164,$C545,'Key inputs_Refineries'!$B$85:$B$164,"Boiler")/SUM(SUMIFS('Key inputs_Refineries'!N$85:N$164,'Key inputs_Refineries'!$C$85:$C$164,$C541:$C550,'Key inputs_Refineries'!$B$85:$B$164,"Boiler"))&gt;0,SUMIFS('Key inputs_Refineries'!N$85:N$164,'Key inputs_Refineries'!$C$85:$C$164,$C545,'Key inputs_Refineries'!$B$85:$B$164,"Boiler")/SUM(SUMIFS('Key inputs_Refineries'!N$85:N$164,'Key inputs_Refineries'!$C$85:$C$164,$C541:$C550,'Key inputs_Refineries'!$B$85:$B$164,"Boiler"))&lt;0.001),0.001,SUMIFS('Key inputs_Refineries'!N$85:N$164,'Key inputs_Refineries'!$C$85:$C$164,$C545,'Key inputs_Refineries'!$B$85:$B$164,"Boiler")/SUM(SUMIFS('Key inputs_Refineries'!N$85:N$164,'Key inputs_Refineries'!$C$85:$C$164,$C541:$C550,'Key inputs_Refineries'!$B$85:$B$164,"Boiler"))),0)</f>
        <v>6.3476982152369937E-3</v>
      </c>
      <c r="U545" s="173" cm="1">
        <f t="array" ref="U545">IFERROR(IF(AND(SUMIFS('Key inputs_Refineries'!O$85:O$164,'Key inputs_Refineries'!$C$85:$C$164,$C545,'Key inputs_Refineries'!$B$85:$B$164,"Boiler")/SUM(SUMIFS('Key inputs_Refineries'!O$85:O$164,'Key inputs_Refineries'!$C$85:$C$164,$C541:$C550,'Key inputs_Refineries'!$B$85:$B$164,"Boiler"))&gt;0,SUMIFS('Key inputs_Refineries'!O$85:O$164,'Key inputs_Refineries'!$C$85:$C$164,$C545,'Key inputs_Refineries'!$B$85:$B$164,"Boiler")/SUM(SUMIFS('Key inputs_Refineries'!O$85:O$164,'Key inputs_Refineries'!$C$85:$C$164,$C541:$C550,'Key inputs_Refineries'!$B$85:$B$164,"Boiler"))&lt;0.001),0.001,SUMIFS('Key inputs_Refineries'!O$85:O$164,'Key inputs_Refineries'!$C$85:$C$164,$C545,'Key inputs_Refineries'!$B$85:$B$164,"Boiler")/SUM(SUMIFS('Key inputs_Refineries'!O$85:O$164,'Key inputs_Refineries'!$C$85:$C$164,$C541:$C550,'Key inputs_Refineries'!$B$85:$B$164,"Boiler"))),0)</f>
        <v>0.61457033647315606</v>
      </c>
      <c r="V545" s="173" cm="1">
        <f t="array" ref="V545">IFERROR(IF(AND(SUMIFS('Key inputs_Refineries'!P$85:P$164,'Key inputs_Refineries'!$C$85:$C$164,$C545,'Key inputs_Refineries'!$B$85:$B$164,"Boiler")/SUM(SUMIFS('Key inputs_Refineries'!P$85:P$164,'Key inputs_Refineries'!$C$85:$C$164,$C541:$C550,'Key inputs_Refineries'!$B$85:$B$164,"Boiler"))&gt;0,SUMIFS('Key inputs_Refineries'!P$85:P$164,'Key inputs_Refineries'!$C$85:$C$164,$C545,'Key inputs_Refineries'!$B$85:$B$164,"Boiler")/SUM(SUMIFS('Key inputs_Refineries'!P$85:P$164,'Key inputs_Refineries'!$C$85:$C$164,$C541:$C550,'Key inputs_Refineries'!$B$85:$B$164,"Boiler"))&lt;0.001),0.001,SUMIFS('Key inputs_Refineries'!P$85:P$164,'Key inputs_Refineries'!$C$85:$C$164,$C545,'Key inputs_Refineries'!$B$85:$B$164,"Boiler")/SUM(SUMIFS('Key inputs_Refineries'!P$85:P$164,'Key inputs_Refineries'!$C$85:$C$164,$C541:$C550,'Key inputs_Refineries'!$B$85:$B$164,"Boiler"))),0)</f>
        <v>6.3407167375633859E-3</v>
      </c>
      <c r="W545" s="173" cm="1">
        <f t="array" ref="W545">IFERROR(IF(AND(SUMIFS('Key inputs_Refineries'!Q$85:Q$164,'Key inputs_Refineries'!$C$85:$C$164,$C545,'Key inputs_Refineries'!$B$85:$B$164,"Boiler")/SUM(SUMIFS('Key inputs_Refineries'!Q$85:Q$164,'Key inputs_Refineries'!$C$85:$C$164,$C541:$C550,'Key inputs_Refineries'!$B$85:$B$164,"Boiler"))&gt;0,SUMIFS('Key inputs_Refineries'!Q$85:Q$164,'Key inputs_Refineries'!$C$85:$C$164,$C545,'Key inputs_Refineries'!$B$85:$B$164,"Boiler")/SUM(SUMIFS('Key inputs_Refineries'!Q$85:Q$164,'Key inputs_Refineries'!$C$85:$C$164,$C541:$C550,'Key inputs_Refineries'!$B$85:$B$164,"Boiler"))&lt;0.001),0.001,SUMIFS('Key inputs_Refineries'!Q$85:Q$164,'Key inputs_Refineries'!$C$85:$C$164,$C545,'Key inputs_Refineries'!$B$85:$B$164,"Boiler")/SUM(SUMIFS('Key inputs_Refineries'!Q$85:Q$164,'Key inputs_Refineries'!$C$85:$C$164,$C541:$C550,'Key inputs_Refineries'!$B$85:$B$164,"Boiler"))),0)</f>
        <v>0.94164147828318123</v>
      </c>
      <c r="X545" s="173" cm="1">
        <f t="array" ref="X545">IFERROR(IF(AND(SUMIFS('Key inputs_Refineries'!R$85:R$164,'Key inputs_Refineries'!$C$85:$C$164,$C545,'Key inputs_Refineries'!$B$85:$B$164,"Boiler")/SUM(SUMIFS('Key inputs_Refineries'!R$85:R$164,'Key inputs_Refineries'!$C$85:$C$164,$C541:$C550,'Key inputs_Refineries'!$B$85:$B$164,"Boiler"))&gt;0,SUMIFS('Key inputs_Refineries'!R$85:R$164,'Key inputs_Refineries'!$C$85:$C$164,$C545,'Key inputs_Refineries'!$B$85:$B$164,"Boiler")/SUM(SUMIFS('Key inputs_Refineries'!R$85:R$164,'Key inputs_Refineries'!$C$85:$C$164,$C541:$C550,'Key inputs_Refineries'!$B$85:$B$164,"Boiler"))&lt;0.001),0.001,SUMIFS('Key inputs_Refineries'!R$85:R$164,'Key inputs_Refineries'!$C$85:$C$164,$C545,'Key inputs_Refineries'!$B$85:$B$164,"Boiler")/SUM(SUMIFS('Key inputs_Refineries'!R$85:R$164,'Key inputs_Refineries'!$C$85:$C$164,$C541:$C550,'Key inputs_Refineries'!$B$85:$B$164,"Boiler"))),0)</f>
        <v>0.1905876476082399</v>
      </c>
      <c r="Y545" s="173" cm="1">
        <f t="array" ref="Y545">IFERROR(IF(AND(SUMIFS('Key inputs_Refineries'!S$85:S$164,'Key inputs_Refineries'!$C$85:$C$164,$C545,'Key inputs_Refineries'!$B$85:$B$164,"Boiler")/SUM(SUMIFS('Key inputs_Refineries'!S$85:S$164,'Key inputs_Refineries'!$C$85:$C$164,$C541:$C550,'Key inputs_Refineries'!$B$85:$B$164,"Boiler"))&gt;0,SUMIFS('Key inputs_Refineries'!S$85:S$164,'Key inputs_Refineries'!$C$85:$C$164,$C545,'Key inputs_Refineries'!$B$85:$B$164,"Boiler")/SUM(SUMIFS('Key inputs_Refineries'!S$85:S$164,'Key inputs_Refineries'!$C$85:$C$164,$C541:$C550,'Key inputs_Refineries'!$B$85:$B$164,"Boiler"))&lt;0.001),0.001,SUMIFS('Key inputs_Refineries'!S$85:S$164,'Key inputs_Refineries'!$C$85:$C$164,$C545,'Key inputs_Refineries'!$B$85:$B$164,"Boiler")/SUM(SUMIFS('Key inputs_Refineries'!S$85:S$164,'Key inputs_Refineries'!$C$85:$C$164,$C541:$C550,'Key inputs_Refineries'!$B$85:$B$164,"Boiler"))),0)</f>
        <v>0.42885543845730389</v>
      </c>
      <c r="Z545" s="173" cm="1">
        <f t="array" ref="Z545">IFERROR(IF(AND(SUMIFS('Key inputs_Refineries'!T$85:T$164,'Key inputs_Refineries'!$C$85:$C$164,$C545,'Key inputs_Refineries'!$B$85:$B$164,"Boiler")/SUM(SUMIFS('Key inputs_Refineries'!T$85:T$164,'Key inputs_Refineries'!$C$85:$C$164,$C541:$C550,'Key inputs_Refineries'!$B$85:$B$164,"Boiler"))&gt;0,SUMIFS('Key inputs_Refineries'!T$85:T$164,'Key inputs_Refineries'!$C$85:$C$164,$C545,'Key inputs_Refineries'!$B$85:$B$164,"Boiler")/SUM(SUMIFS('Key inputs_Refineries'!T$85:T$164,'Key inputs_Refineries'!$C$85:$C$164,$C541:$C550,'Key inputs_Refineries'!$B$85:$B$164,"Boiler"))&lt;0.001),0.001,SUMIFS('Key inputs_Refineries'!T$85:T$164,'Key inputs_Refineries'!$C$85:$C$164,$C545,'Key inputs_Refineries'!$B$85:$B$164,"Boiler")/SUM(SUMIFS('Key inputs_Refineries'!T$85:T$164,'Key inputs_Refineries'!$C$85:$C$164,$C541:$C550,'Key inputs_Refineries'!$B$85:$B$164,"Boiler"))),0)</f>
        <v>0.25806013116659293</v>
      </c>
      <c r="AA545" s="173" cm="1">
        <f t="array" ref="AA545">IFERROR(IF(AND(SUMIFS('Key inputs_Refineries'!U$85:U$164,'Key inputs_Refineries'!$C$85:$C$164,$C545,'Key inputs_Refineries'!$B$85:$B$164,"Boiler")/SUM(SUMIFS('Key inputs_Refineries'!U$85:U$164,'Key inputs_Refineries'!$C$85:$C$164,$C541:$C550,'Key inputs_Refineries'!$B$85:$B$164,"Boiler"))&gt;0,SUMIFS('Key inputs_Refineries'!U$85:U$164,'Key inputs_Refineries'!$C$85:$C$164,$C545,'Key inputs_Refineries'!$B$85:$B$164,"Boiler")/SUM(SUMIFS('Key inputs_Refineries'!U$85:U$164,'Key inputs_Refineries'!$C$85:$C$164,$C541:$C550,'Key inputs_Refineries'!$B$85:$B$164,"Boiler"))&lt;0.001),0.001,SUMIFS('Key inputs_Refineries'!U$85:U$164,'Key inputs_Refineries'!$C$85:$C$164,$C545,'Key inputs_Refineries'!$B$85:$B$164,"Boiler")/SUM(SUMIFS('Key inputs_Refineries'!U$85:U$164,'Key inputs_Refineries'!$C$85:$C$164,$C541:$C550,'Key inputs_Refineries'!$B$85:$B$164,"Boiler"))),0)</f>
        <v>0.39154120435237949</v>
      </c>
      <c r="AB545" s="173" cm="1">
        <f t="array" ref="AB545">IFERROR(IF(AND(SUMIFS('Key inputs_Refineries'!V$85:V$164,'Key inputs_Refineries'!$C$85:$C$164,$C545,'Key inputs_Refineries'!$B$85:$B$164,"Boiler")/SUM(SUMIFS('Key inputs_Refineries'!V$85:V$164,'Key inputs_Refineries'!$C$85:$C$164,$C541:$C550,'Key inputs_Refineries'!$B$85:$B$164,"Boiler"))&gt;0,SUMIFS('Key inputs_Refineries'!V$85:V$164,'Key inputs_Refineries'!$C$85:$C$164,$C545,'Key inputs_Refineries'!$B$85:$B$164,"Boiler")/SUM(SUMIFS('Key inputs_Refineries'!V$85:V$164,'Key inputs_Refineries'!$C$85:$C$164,$C541:$C550,'Key inputs_Refineries'!$B$85:$B$164,"Boiler"))&lt;0.001),0.001,SUMIFS('Key inputs_Refineries'!V$85:V$164,'Key inputs_Refineries'!$C$85:$C$164,$C545,'Key inputs_Refineries'!$B$85:$B$164,"Boiler")/SUM(SUMIFS('Key inputs_Refineries'!V$85:V$164,'Key inputs_Refineries'!$C$85:$C$164,$C541:$C550,'Key inputs_Refineries'!$B$85:$B$164,"Boiler"))),0)</f>
        <v>0</v>
      </c>
      <c r="AC545" s="173" cm="1">
        <f t="array" ref="AC545">IFERROR(IF(AND(SUMIFS('Key inputs_Refineries'!W$85:W$164,'Key inputs_Refineries'!$C$85:$C$164,$C545,'Key inputs_Refineries'!$B$85:$B$164,"Boiler")/SUM(SUMIFS('Key inputs_Refineries'!W$85:W$164,'Key inputs_Refineries'!$C$85:$C$164,$C541:$C550,'Key inputs_Refineries'!$B$85:$B$164,"Boiler"))&gt;0,SUMIFS('Key inputs_Refineries'!W$85:W$164,'Key inputs_Refineries'!$C$85:$C$164,$C545,'Key inputs_Refineries'!$B$85:$B$164,"Boiler")/SUM(SUMIFS('Key inputs_Refineries'!W$85:W$164,'Key inputs_Refineries'!$C$85:$C$164,$C541:$C550,'Key inputs_Refineries'!$B$85:$B$164,"Boiler"))&lt;0.001),0.001,SUMIFS('Key inputs_Refineries'!W$85:W$164,'Key inputs_Refineries'!$C$85:$C$164,$C545,'Key inputs_Refineries'!$B$85:$B$164,"Boiler")/SUM(SUMIFS('Key inputs_Refineries'!W$85:W$164,'Key inputs_Refineries'!$C$85:$C$164,$C541:$C550,'Key inputs_Refineries'!$B$85:$B$164,"Boiler"))),0)</f>
        <v>0</v>
      </c>
      <c r="AD545" s="173" cm="1">
        <f t="array" ref="AD545">IFERROR(IF(AND(SUMIFS('Key inputs_Refineries'!X$85:X$164,'Key inputs_Refineries'!$C$85:$C$164,$C545,'Key inputs_Refineries'!$B$85:$B$164,"Boiler")/SUM(SUMIFS('Key inputs_Refineries'!X$85:X$164,'Key inputs_Refineries'!$C$85:$C$164,$C541:$C550,'Key inputs_Refineries'!$B$85:$B$164,"Boiler"))&gt;0,SUMIFS('Key inputs_Refineries'!X$85:X$164,'Key inputs_Refineries'!$C$85:$C$164,$C545,'Key inputs_Refineries'!$B$85:$B$164,"Boiler")/SUM(SUMIFS('Key inputs_Refineries'!X$85:X$164,'Key inputs_Refineries'!$C$85:$C$164,$C541:$C550,'Key inputs_Refineries'!$B$85:$B$164,"Boiler"))&lt;0.001),0.001,SUMIFS('Key inputs_Refineries'!X$85:X$164,'Key inputs_Refineries'!$C$85:$C$164,$C545,'Key inputs_Refineries'!$B$85:$B$164,"Boiler")/SUM(SUMIFS('Key inputs_Refineries'!X$85:X$164,'Key inputs_Refineries'!$C$85:$C$164,$C541:$C550,'Key inputs_Refineries'!$B$85:$B$164,"Boiler"))),0)</f>
        <v>0.4756383948623702</v>
      </c>
      <c r="AE545" s="173" cm="1">
        <f t="array" ref="AE545">IFERROR(IF(AND(SUMIFS('Key inputs_Refineries'!Y$85:Y$164,'Key inputs_Refineries'!$C$85:$C$164,$C545,'Key inputs_Refineries'!$B$85:$B$164,"Boiler")/SUM(SUMIFS('Key inputs_Refineries'!Y$85:Y$164,'Key inputs_Refineries'!$C$85:$C$164,$C541:$C550,'Key inputs_Refineries'!$B$85:$B$164,"Boiler"))&gt;0,SUMIFS('Key inputs_Refineries'!Y$85:Y$164,'Key inputs_Refineries'!$C$85:$C$164,$C545,'Key inputs_Refineries'!$B$85:$B$164,"Boiler")/SUM(SUMIFS('Key inputs_Refineries'!Y$85:Y$164,'Key inputs_Refineries'!$C$85:$C$164,$C541:$C550,'Key inputs_Refineries'!$B$85:$B$164,"Boiler"))&lt;0.001),0.001,SUMIFS('Key inputs_Refineries'!Y$85:Y$164,'Key inputs_Refineries'!$C$85:$C$164,$C545,'Key inputs_Refineries'!$B$85:$B$164,"Boiler")/SUM(SUMIFS('Key inputs_Refineries'!Y$85:Y$164,'Key inputs_Refineries'!$C$85:$C$164,$C541:$C550,'Key inputs_Refineries'!$B$85:$B$164,"Boiler"))),0)</f>
        <v>0.73286575508212493</v>
      </c>
      <c r="AF545" s="173" cm="1">
        <f t="array" ref="AF545">IFERROR(IF(AND(SUMIFS('Key inputs_Refineries'!Z$85:Z$164,'Key inputs_Refineries'!$C$85:$C$164,$C545,'Key inputs_Refineries'!$B$85:$B$164,"Boiler")/SUM(SUMIFS('Key inputs_Refineries'!Z$85:Z$164,'Key inputs_Refineries'!$C$85:$C$164,$C541:$C550,'Key inputs_Refineries'!$B$85:$B$164,"Boiler"))&gt;0,SUMIFS('Key inputs_Refineries'!Z$85:Z$164,'Key inputs_Refineries'!$C$85:$C$164,$C545,'Key inputs_Refineries'!$B$85:$B$164,"Boiler")/SUM(SUMIFS('Key inputs_Refineries'!Z$85:Z$164,'Key inputs_Refineries'!$C$85:$C$164,$C541:$C550,'Key inputs_Refineries'!$B$85:$B$164,"Boiler"))&lt;0.001),0.001,SUMIFS('Key inputs_Refineries'!Z$85:Z$164,'Key inputs_Refineries'!$C$85:$C$164,$C545,'Key inputs_Refineries'!$B$85:$B$164,"Boiler")/SUM(SUMIFS('Key inputs_Refineries'!Z$85:Z$164,'Key inputs_Refineries'!$C$85:$C$164,$C541:$C550,'Key inputs_Refineries'!$B$85:$B$164,"Boiler"))),0)</f>
        <v>0.95711367572637651</v>
      </c>
      <c r="AG545" s="173" cm="1">
        <f t="array" ref="AG545">IFERROR(IF(AND(SUMIFS('Key inputs_Refineries'!AA$85:AA$164,'Key inputs_Refineries'!$C$85:$C$164,$C545,'Key inputs_Refineries'!$B$85:$B$164,"Boiler")/SUM(SUMIFS('Key inputs_Refineries'!AA$85:AA$164,'Key inputs_Refineries'!$C$85:$C$164,$C541:$C550,'Key inputs_Refineries'!$B$85:$B$164,"Boiler"))&gt;0,SUMIFS('Key inputs_Refineries'!AA$85:AA$164,'Key inputs_Refineries'!$C$85:$C$164,$C545,'Key inputs_Refineries'!$B$85:$B$164,"Boiler")/SUM(SUMIFS('Key inputs_Refineries'!AA$85:AA$164,'Key inputs_Refineries'!$C$85:$C$164,$C541:$C550,'Key inputs_Refineries'!$B$85:$B$164,"Boiler"))&lt;0.001),0.001,SUMIFS('Key inputs_Refineries'!AA$85:AA$164,'Key inputs_Refineries'!$C$85:$C$164,$C545,'Key inputs_Refineries'!$B$85:$B$164,"Boiler")/SUM(SUMIFS('Key inputs_Refineries'!AA$85:AA$164,'Key inputs_Refineries'!$C$85:$C$164,$C541:$C550,'Key inputs_Refineries'!$B$85:$B$164,"Boiler"))),0)</f>
        <v>0.75702598609266325</v>
      </c>
      <c r="AH545" s="173" cm="1">
        <f t="array" ref="AH545">IFERROR(IF(AND(SUMIFS('Key inputs_Refineries'!AB$85:AB$164,'Key inputs_Refineries'!$C$85:$C$164,$C545,'Key inputs_Refineries'!$B$85:$B$164,"Boiler")/SUM(SUMIFS('Key inputs_Refineries'!AB$85:AB$164,'Key inputs_Refineries'!$C$85:$C$164,$C541:$C550,'Key inputs_Refineries'!$B$85:$B$164,"Boiler"))&gt;0,SUMIFS('Key inputs_Refineries'!AB$85:AB$164,'Key inputs_Refineries'!$C$85:$C$164,$C545,'Key inputs_Refineries'!$B$85:$B$164,"Boiler")/SUM(SUMIFS('Key inputs_Refineries'!AB$85:AB$164,'Key inputs_Refineries'!$C$85:$C$164,$C541:$C550,'Key inputs_Refineries'!$B$85:$B$164,"Boiler"))&lt;0.001),0.001,SUMIFS('Key inputs_Refineries'!AB$85:AB$164,'Key inputs_Refineries'!$C$85:$C$164,$C545,'Key inputs_Refineries'!$B$85:$B$164,"Boiler")/SUM(SUMIFS('Key inputs_Refineries'!AB$85:AB$164,'Key inputs_Refineries'!$C$85:$C$164,$C541:$C550,'Key inputs_Refineries'!$B$85:$B$164,"Boiler"))),0)</f>
        <v>0.90502590262726645</v>
      </c>
      <c r="AI545" s="173" cm="1">
        <f t="array" ref="AI545">IFERROR(IF(AND(SUMIFS('Key inputs_Refineries'!AC$85:AC$164,'Key inputs_Refineries'!$C$85:$C$164,$C545,'Key inputs_Refineries'!$B$85:$B$164,"Boiler")/SUM(SUMIFS('Key inputs_Refineries'!AC$85:AC$164,'Key inputs_Refineries'!$C$85:$C$164,$C541:$C550,'Key inputs_Refineries'!$B$85:$B$164,"Boiler"))&gt;0,SUMIFS('Key inputs_Refineries'!AC$85:AC$164,'Key inputs_Refineries'!$C$85:$C$164,$C545,'Key inputs_Refineries'!$B$85:$B$164,"Boiler")/SUM(SUMIFS('Key inputs_Refineries'!AC$85:AC$164,'Key inputs_Refineries'!$C$85:$C$164,$C541:$C550,'Key inputs_Refineries'!$B$85:$B$164,"Boiler"))&lt;0.001),0.001,SUMIFS('Key inputs_Refineries'!AC$85:AC$164,'Key inputs_Refineries'!$C$85:$C$164,$C545,'Key inputs_Refineries'!$B$85:$B$164,"Boiler")/SUM(SUMIFS('Key inputs_Refineries'!AC$85:AC$164,'Key inputs_Refineries'!$C$85:$C$164,$C541:$C550,'Key inputs_Refineries'!$B$85:$B$164,"Boiler"))),0)</f>
        <v>0.80267724343083791</v>
      </c>
      <c r="AJ545" s="173" cm="1">
        <f t="array" ref="AJ545">IFERROR(IF(AND(SUMIFS('Key inputs_Refineries'!AD$85:AD$164,'Key inputs_Refineries'!$C$85:$C$164,$C545,'Key inputs_Refineries'!$B$85:$B$164,"Boiler")/SUM(SUMIFS('Key inputs_Refineries'!AD$85:AD$164,'Key inputs_Refineries'!$C$85:$C$164,$C541:$C550,'Key inputs_Refineries'!$B$85:$B$164,"Boiler"))&gt;0,SUMIFS('Key inputs_Refineries'!AD$85:AD$164,'Key inputs_Refineries'!$C$85:$C$164,$C545,'Key inputs_Refineries'!$B$85:$B$164,"Boiler")/SUM(SUMIFS('Key inputs_Refineries'!AD$85:AD$164,'Key inputs_Refineries'!$C$85:$C$164,$C541:$C550,'Key inputs_Refineries'!$B$85:$B$164,"Boiler"))&lt;0.001),0.001,SUMIFS('Key inputs_Refineries'!AD$85:AD$164,'Key inputs_Refineries'!$C$85:$C$164,$C545,'Key inputs_Refineries'!$B$85:$B$164,"Boiler")/SUM(SUMIFS('Key inputs_Refineries'!AD$85:AD$164,'Key inputs_Refineries'!$C$85:$C$164,$C541:$C550,'Key inputs_Refineries'!$B$85:$B$164,"Boiler"))),0)</f>
        <v>0</v>
      </c>
      <c r="AK545" s="173" cm="1">
        <f t="array" ref="AK545">IFERROR(IF(AND(SUMIFS('Key inputs_Refineries'!AE$85:AE$164,'Key inputs_Refineries'!$C$85:$C$164,$C545,'Key inputs_Refineries'!$B$85:$B$164,"Boiler")/SUM(SUMIFS('Key inputs_Refineries'!AE$85:AE$164,'Key inputs_Refineries'!$C$85:$C$164,$C541:$C550,'Key inputs_Refineries'!$B$85:$B$164,"Boiler"))&gt;0,SUMIFS('Key inputs_Refineries'!AE$85:AE$164,'Key inputs_Refineries'!$C$85:$C$164,$C545,'Key inputs_Refineries'!$B$85:$B$164,"Boiler")/SUM(SUMIFS('Key inputs_Refineries'!AE$85:AE$164,'Key inputs_Refineries'!$C$85:$C$164,$C541:$C550,'Key inputs_Refineries'!$B$85:$B$164,"Boiler"))&lt;0.001),0.001,SUMIFS('Key inputs_Refineries'!AE$85:AE$164,'Key inputs_Refineries'!$C$85:$C$164,$C545,'Key inputs_Refineries'!$B$85:$B$164,"Boiler")/SUM(SUMIFS('Key inputs_Refineries'!AE$85:AE$164,'Key inputs_Refineries'!$C$85:$C$164,$C541:$C550,'Key inputs_Refineries'!$B$85:$B$164,"Boiler"))),0)</f>
        <v>0.5386618718173517</v>
      </c>
      <c r="AL545" s="173" cm="1">
        <f t="array" ref="AL545">IFERROR(IF(AND(SUMIFS('Key inputs_Refineries'!AF$85:AF$164,'Key inputs_Refineries'!$C$85:$C$164,$C545,'Key inputs_Refineries'!$B$85:$B$164,"Boiler")/SUM(SUMIFS('Key inputs_Refineries'!AF$85:AF$164,'Key inputs_Refineries'!$C$85:$C$164,$C541:$C550,'Key inputs_Refineries'!$B$85:$B$164,"Boiler"))&gt;0,SUMIFS('Key inputs_Refineries'!AF$85:AF$164,'Key inputs_Refineries'!$C$85:$C$164,$C545,'Key inputs_Refineries'!$B$85:$B$164,"Boiler")/SUM(SUMIFS('Key inputs_Refineries'!AF$85:AF$164,'Key inputs_Refineries'!$C$85:$C$164,$C541:$C550,'Key inputs_Refineries'!$B$85:$B$164,"Boiler"))&lt;0.001),0.001,SUMIFS('Key inputs_Refineries'!AF$85:AF$164,'Key inputs_Refineries'!$C$85:$C$164,$C545,'Key inputs_Refineries'!$B$85:$B$164,"Boiler")/SUM(SUMIFS('Key inputs_Refineries'!AF$85:AF$164,'Key inputs_Refineries'!$C$85:$C$164,$C541:$C550,'Key inputs_Refineries'!$B$85:$B$164,"Boiler"))),0)</f>
        <v>1E-3</v>
      </c>
    </row>
    <row r="546" spans="1:38">
      <c r="C546" t="str">
        <f>Commodities!$C$96</f>
        <v>UPSKER</v>
      </c>
      <c r="G546" s="4" t="s">
        <v>702</v>
      </c>
      <c r="H546" t="s">
        <v>661</v>
      </c>
      <c r="I546">
        <v>2019</v>
      </c>
      <c r="J546" t="s">
        <v>650</v>
      </c>
      <c r="K546" s="173" cm="1">
        <f t="array" ref="K546">IFERROR(IF(AND(SUMIFS('Key inputs_Refineries'!E$85:E$164,'Key inputs_Refineries'!$C$85:$C$164,$C546,'Key inputs_Refineries'!$B$85:$B$164,"Boiler")/SUM(SUMIFS('Key inputs_Refineries'!E$85:E$164,'Key inputs_Refineries'!$C$85:$C$164,$C541:$C550,'Key inputs_Refineries'!$B$85:$B$164,"Boiler"))&gt;0,SUMIFS('Key inputs_Refineries'!E$85:E$164,'Key inputs_Refineries'!$C$85:$C$164,$C546,'Key inputs_Refineries'!$B$85:$B$164,"Boiler")/SUM(SUMIFS('Key inputs_Refineries'!E$85:E$164,'Key inputs_Refineries'!$C$85:$C$164,$C541:$C550,'Key inputs_Refineries'!$B$85:$B$164,"Boiler"))&lt;0.001),0.001,SUMIFS('Key inputs_Refineries'!E$85:E$164,'Key inputs_Refineries'!$C$85:$C$164,$C546,'Key inputs_Refineries'!$B$85:$B$164,"Boiler")/SUM(SUMIFS('Key inputs_Refineries'!E$85:E$164,'Key inputs_Refineries'!$C$85:$C$164,$C541:$C550,'Key inputs_Refineries'!$B$85:$B$164,"Boiler"))),0)</f>
        <v>0</v>
      </c>
      <c r="L546" s="173" cm="1">
        <f t="array" ref="L546">IFERROR(IF(AND(SUMIFS('Key inputs_Refineries'!F$85:F$164,'Key inputs_Refineries'!$C$85:$C$164,$C546,'Key inputs_Refineries'!$B$85:$B$164,"Boiler")/SUM(SUMIFS('Key inputs_Refineries'!F$85:F$164,'Key inputs_Refineries'!$C$85:$C$164,$C541:$C550,'Key inputs_Refineries'!$B$85:$B$164,"Boiler"))&gt;0,SUMIFS('Key inputs_Refineries'!F$85:F$164,'Key inputs_Refineries'!$C$85:$C$164,$C546,'Key inputs_Refineries'!$B$85:$B$164,"Boiler")/SUM(SUMIFS('Key inputs_Refineries'!F$85:F$164,'Key inputs_Refineries'!$C$85:$C$164,$C541:$C550,'Key inputs_Refineries'!$B$85:$B$164,"Boiler"))&lt;0.001),0.001,SUMIFS('Key inputs_Refineries'!F$85:F$164,'Key inputs_Refineries'!$C$85:$C$164,$C546,'Key inputs_Refineries'!$B$85:$B$164,"Boiler")/SUM(SUMIFS('Key inputs_Refineries'!F$85:F$164,'Key inputs_Refineries'!$C$85:$C$164,$C541:$C550,'Key inputs_Refineries'!$B$85:$B$164,"Boiler"))),0)</f>
        <v>0</v>
      </c>
      <c r="M546" s="173" cm="1">
        <f t="array" ref="M546">IFERROR(IF(AND(SUMIFS('Key inputs_Refineries'!G$85:G$164,'Key inputs_Refineries'!$C$85:$C$164,$C546,'Key inputs_Refineries'!$B$85:$B$164,"Boiler")/SUM(SUMIFS('Key inputs_Refineries'!G$85:G$164,'Key inputs_Refineries'!$C$85:$C$164,$C541:$C550,'Key inputs_Refineries'!$B$85:$B$164,"Boiler"))&gt;0,SUMIFS('Key inputs_Refineries'!G$85:G$164,'Key inputs_Refineries'!$C$85:$C$164,$C546,'Key inputs_Refineries'!$B$85:$B$164,"Boiler")/SUM(SUMIFS('Key inputs_Refineries'!G$85:G$164,'Key inputs_Refineries'!$C$85:$C$164,$C541:$C550,'Key inputs_Refineries'!$B$85:$B$164,"Boiler"))&lt;0.001),0.001,SUMIFS('Key inputs_Refineries'!G$85:G$164,'Key inputs_Refineries'!$C$85:$C$164,$C546,'Key inputs_Refineries'!$B$85:$B$164,"Boiler")/SUM(SUMIFS('Key inputs_Refineries'!G$85:G$164,'Key inputs_Refineries'!$C$85:$C$164,$C541:$C550,'Key inputs_Refineries'!$B$85:$B$164,"Boiler"))),0)</f>
        <v>0</v>
      </c>
      <c r="N546" s="173" cm="1">
        <f t="array" ref="N546">IFERROR(IF(AND(SUMIFS('Key inputs_Refineries'!H$85:H$164,'Key inputs_Refineries'!$C$85:$C$164,$C546,'Key inputs_Refineries'!$B$85:$B$164,"Boiler")/SUM(SUMIFS('Key inputs_Refineries'!H$85:H$164,'Key inputs_Refineries'!$C$85:$C$164,$C541:$C550,'Key inputs_Refineries'!$B$85:$B$164,"Boiler"))&gt;0,SUMIFS('Key inputs_Refineries'!H$85:H$164,'Key inputs_Refineries'!$C$85:$C$164,$C546,'Key inputs_Refineries'!$B$85:$B$164,"Boiler")/SUM(SUMIFS('Key inputs_Refineries'!H$85:H$164,'Key inputs_Refineries'!$C$85:$C$164,$C541:$C550,'Key inputs_Refineries'!$B$85:$B$164,"Boiler"))&lt;0.001),0.001,SUMIFS('Key inputs_Refineries'!H$85:H$164,'Key inputs_Refineries'!$C$85:$C$164,$C546,'Key inputs_Refineries'!$B$85:$B$164,"Boiler")/SUM(SUMIFS('Key inputs_Refineries'!H$85:H$164,'Key inputs_Refineries'!$C$85:$C$164,$C541:$C550,'Key inputs_Refineries'!$B$85:$B$164,"Boiler"))),0)</f>
        <v>0</v>
      </c>
      <c r="O546" s="173" cm="1">
        <f t="array" ref="O546">IFERROR(IF(AND(SUMIFS('Key inputs_Refineries'!I$85:I$164,'Key inputs_Refineries'!$C$85:$C$164,$C546,'Key inputs_Refineries'!$B$85:$B$164,"Boiler")/SUM(SUMIFS('Key inputs_Refineries'!I$85:I$164,'Key inputs_Refineries'!$C$85:$C$164,$C541:$C550,'Key inputs_Refineries'!$B$85:$B$164,"Boiler"))&gt;0,SUMIFS('Key inputs_Refineries'!I$85:I$164,'Key inputs_Refineries'!$C$85:$C$164,$C546,'Key inputs_Refineries'!$B$85:$B$164,"Boiler")/SUM(SUMIFS('Key inputs_Refineries'!I$85:I$164,'Key inputs_Refineries'!$C$85:$C$164,$C541:$C550,'Key inputs_Refineries'!$B$85:$B$164,"Boiler"))&lt;0.001),0.001,SUMIFS('Key inputs_Refineries'!I$85:I$164,'Key inputs_Refineries'!$C$85:$C$164,$C546,'Key inputs_Refineries'!$B$85:$B$164,"Boiler")/SUM(SUMIFS('Key inputs_Refineries'!I$85:I$164,'Key inputs_Refineries'!$C$85:$C$164,$C541:$C550,'Key inputs_Refineries'!$B$85:$B$164,"Boiler"))),0)</f>
        <v>0</v>
      </c>
      <c r="P546" s="173" cm="1">
        <f t="array" ref="P546">IFERROR(IF(AND(SUMIFS('Key inputs_Refineries'!J$85:J$164,'Key inputs_Refineries'!$C$85:$C$164,$C546,'Key inputs_Refineries'!$B$85:$B$164,"Boiler")/SUM(SUMIFS('Key inputs_Refineries'!J$85:J$164,'Key inputs_Refineries'!$C$85:$C$164,$C541:$C550,'Key inputs_Refineries'!$B$85:$B$164,"Boiler"))&gt;0,SUMIFS('Key inputs_Refineries'!J$85:J$164,'Key inputs_Refineries'!$C$85:$C$164,$C546,'Key inputs_Refineries'!$B$85:$B$164,"Boiler")/SUM(SUMIFS('Key inputs_Refineries'!J$85:J$164,'Key inputs_Refineries'!$C$85:$C$164,$C541:$C550,'Key inputs_Refineries'!$B$85:$B$164,"Boiler"))&lt;0.001),0.001,SUMIFS('Key inputs_Refineries'!J$85:J$164,'Key inputs_Refineries'!$C$85:$C$164,$C546,'Key inputs_Refineries'!$B$85:$B$164,"Boiler")/SUM(SUMIFS('Key inputs_Refineries'!J$85:J$164,'Key inputs_Refineries'!$C$85:$C$164,$C541:$C550,'Key inputs_Refineries'!$B$85:$B$164,"Boiler"))),0)</f>
        <v>0</v>
      </c>
      <c r="Q546" s="173" cm="1">
        <f t="array" ref="Q546">IFERROR(IF(AND(SUMIFS('Key inputs_Refineries'!K$85:K$164,'Key inputs_Refineries'!$C$85:$C$164,$C546,'Key inputs_Refineries'!$B$85:$B$164,"Boiler")/SUM(SUMIFS('Key inputs_Refineries'!K$85:K$164,'Key inputs_Refineries'!$C$85:$C$164,$C541:$C550,'Key inputs_Refineries'!$B$85:$B$164,"Boiler"))&gt;0,SUMIFS('Key inputs_Refineries'!K$85:K$164,'Key inputs_Refineries'!$C$85:$C$164,$C546,'Key inputs_Refineries'!$B$85:$B$164,"Boiler")/SUM(SUMIFS('Key inputs_Refineries'!K$85:K$164,'Key inputs_Refineries'!$C$85:$C$164,$C541:$C550,'Key inputs_Refineries'!$B$85:$B$164,"Boiler"))&lt;0.001),0.001,SUMIFS('Key inputs_Refineries'!K$85:K$164,'Key inputs_Refineries'!$C$85:$C$164,$C546,'Key inputs_Refineries'!$B$85:$B$164,"Boiler")/SUM(SUMIFS('Key inputs_Refineries'!K$85:K$164,'Key inputs_Refineries'!$C$85:$C$164,$C541:$C550,'Key inputs_Refineries'!$B$85:$B$164,"Boiler"))),0)</f>
        <v>0</v>
      </c>
      <c r="R546" s="173" cm="1">
        <f t="array" ref="R546">IFERROR(IF(AND(SUMIFS('Key inputs_Refineries'!L$85:L$164,'Key inputs_Refineries'!$C$85:$C$164,$C546,'Key inputs_Refineries'!$B$85:$B$164,"Boiler")/SUM(SUMIFS('Key inputs_Refineries'!L$85:L$164,'Key inputs_Refineries'!$C$85:$C$164,$C541:$C550,'Key inputs_Refineries'!$B$85:$B$164,"Boiler"))&gt;0,SUMIFS('Key inputs_Refineries'!L$85:L$164,'Key inputs_Refineries'!$C$85:$C$164,$C546,'Key inputs_Refineries'!$B$85:$B$164,"Boiler")/SUM(SUMIFS('Key inputs_Refineries'!L$85:L$164,'Key inputs_Refineries'!$C$85:$C$164,$C541:$C550,'Key inputs_Refineries'!$B$85:$B$164,"Boiler"))&lt;0.001),0.001,SUMIFS('Key inputs_Refineries'!L$85:L$164,'Key inputs_Refineries'!$C$85:$C$164,$C546,'Key inputs_Refineries'!$B$85:$B$164,"Boiler")/SUM(SUMIFS('Key inputs_Refineries'!L$85:L$164,'Key inputs_Refineries'!$C$85:$C$164,$C541:$C550,'Key inputs_Refineries'!$B$85:$B$164,"Boiler"))),0)</f>
        <v>0</v>
      </c>
      <c r="S546" s="173" cm="1">
        <f t="array" ref="S546">IFERROR(IF(AND(SUMIFS('Key inputs_Refineries'!M$85:M$164,'Key inputs_Refineries'!$C$85:$C$164,$C546,'Key inputs_Refineries'!$B$85:$B$164,"Boiler")/SUM(SUMIFS('Key inputs_Refineries'!M$85:M$164,'Key inputs_Refineries'!$C$85:$C$164,$C541:$C550,'Key inputs_Refineries'!$B$85:$B$164,"Boiler"))&gt;0,SUMIFS('Key inputs_Refineries'!M$85:M$164,'Key inputs_Refineries'!$C$85:$C$164,$C546,'Key inputs_Refineries'!$B$85:$B$164,"Boiler")/SUM(SUMIFS('Key inputs_Refineries'!M$85:M$164,'Key inputs_Refineries'!$C$85:$C$164,$C541:$C550,'Key inputs_Refineries'!$B$85:$B$164,"Boiler"))&lt;0.001),0.001,SUMIFS('Key inputs_Refineries'!M$85:M$164,'Key inputs_Refineries'!$C$85:$C$164,$C546,'Key inputs_Refineries'!$B$85:$B$164,"Boiler")/SUM(SUMIFS('Key inputs_Refineries'!M$85:M$164,'Key inputs_Refineries'!$C$85:$C$164,$C541:$C550,'Key inputs_Refineries'!$B$85:$B$164,"Boiler"))),0)</f>
        <v>0</v>
      </c>
      <c r="T546" s="173" cm="1">
        <f t="array" ref="T546">IFERROR(IF(AND(SUMIFS('Key inputs_Refineries'!N$85:N$164,'Key inputs_Refineries'!$C$85:$C$164,$C546,'Key inputs_Refineries'!$B$85:$B$164,"Boiler")/SUM(SUMIFS('Key inputs_Refineries'!N$85:N$164,'Key inputs_Refineries'!$C$85:$C$164,$C541:$C550,'Key inputs_Refineries'!$B$85:$B$164,"Boiler"))&gt;0,SUMIFS('Key inputs_Refineries'!N$85:N$164,'Key inputs_Refineries'!$C$85:$C$164,$C546,'Key inputs_Refineries'!$B$85:$B$164,"Boiler")/SUM(SUMIFS('Key inputs_Refineries'!N$85:N$164,'Key inputs_Refineries'!$C$85:$C$164,$C541:$C550,'Key inputs_Refineries'!$B$85:$B$164,"Boiler"))&lt;0.001),0.001,SUMIFS('Key inputs_Refineries'!N$85:N$164,'Key inputs_Refineries'!$C$85:$C$164,$C546,'Key inputs_Refineries'!$B$85:$B$164,"Boiler")/SUM(SUMIFS('Key inputs_Refineries'!N$85:N$164,'Key inputs_Refineries'!$C$85:$C$164,$C541:$C550,'Key inputs_Refineries'!$B$85:$B$164,"Boiler"))),0)</f>
        <v>0</v>
      </c>
      <c r="U546" s="173" cm="1">
        <f t="array" ref="U546">IFERROR(IF(AND(SUMIFS('Key inputs_Refineries'!O$85:O$164,'Key inputs_Refineries'!$C$85:$C$164,$C546,'Key inputs_Refineries'!$B$85:$B$164,"Boiler")/SUM(SUMIFS('Key inputs_Refineries'!O$85:O$164,'Key inputs_Refineries'!$C$85:$C$164,$C541:$C550,'Key inputs_Refineries'!$B$85:$B$164,"Boiler"))&gt;0,SUMIFS('Key inputs_Refineries'!O$85:O$164,'Key inputs_Refineries'!$C$85:$C$164,$C546,'Key inputs_Refineries'!$B$85:$B$164,"Boiler")/SUM(SUMIFS('Key inputs_Refineries'!O$85:O$164,'Key inputs_Refineries'!$C$85:$C$164,$C541:$C550,'Key inputs_Refineries'!$B$85:$B$164,"Boiler"))&lt;0.001),0.001,SUMIFS('Key inputs_Refineries'!O$85:O$164,'Key inputs_Refineries'!$C$85:$C$164,$C546,'Key inputs_Refineries'!$B$85:$B$164,"Boiler")/SUM(SUMIFS('Key inputs_Refineries'!O$85:O$164,'Key inputs_Refineries'!$C$85:$C$164,$C541:$C550,'Key inputs_Refineries'!$B$85:$B$164,"Boiler"))),0)</f>
        <v>0</v>
      </c>
      <c r="V546" s="173" cm="1">
        <f t="array" ref="V546">IFERROR(IF(AND(SUMIFS('Key inputs_Refineries'!P$85:P$164,'Key inputs_Refineries'!$C$85:$C$164,$C546,'Key inputs_Refineries'!$B$85:$B$164,"Boiler")/SUM(SUMIFS('Key inputs_Refineries'!P$85:P$164,'Key inputs_Refineries'!$C$85:$C$164,$C541:$C550,'Key inputs_Refineries'!$B$85:$B$164,"Boiler"))&gt;0,SUMIFS('Key inputs_Refineries'!P$85:P$164,'Key inputs_Refineries'!$C$85:$C$164,$C546,'Key inputs_Refineries'!$B$85:$B$164,"Boiler")/SUM(SUMIFS('Key inputs_Refineries'!P$85:P$164,'Key inputs_Refineries'!$C$85:$C$164,$C541:$C550,'Key inputs_Refineries'!$B$85:$B$164,"Boiler"))&lt;0.001),0.001,SUMIFS('Key inputs_Refineries'!P$85:P$164,'Key inputs_Refineries'!$C$85:$C$164,$C546,'Key inputs_Refineries'!$B$85:$B$164,"Boiler")/SUM(SUMIFS('Key inputs_Refineries'!P$85:P$164,'Key inputs_Refineries'!$C$85:$C$164,$C541:$C550,'Key inputs_Refineries'!$B$85:$B$164,"Boiler"))),0)</f>
        <v>1E-3</v>
      </c>
      <c r="W546" s="173" cm="1">
        <f t="array" ref="W546">IFERROR(IF(AND(SUMIFS('Key inputs_Refineries'!Q$85:Q$164,'Key inputs_Refineries'!$C$85:$C$164,$C546,'Key inputs_Refineries'!$B$85:$B$164,"Boiler")/SUM(SUMIFS('Key inputs_Refineries'!Q$85:Q$164,'Key inputs_Refineries'!$C$85:$C$164,$C541:$C550,'Key inputs_Refineries'!$B$85:$B$164,"Boiler"))&gt;0,SUMIFS('Key inputs_Refineries'!Q$85:Q$164,'Key inputs_Refineries'!$C$85:$C$164,$C546,'Key inputs_Refineries'!$B$85:$B$164,"Boiler")/SUM(SUMIFS('Key inputs_Refineries'!Q$85:Q$164,'Key inputs_Refineries'!$C$85:$C$164,$C541:$C550,'Key inputs_Refineries'!$B$85:$B$164,"Boiler"))&lt;0.001),0.001,SUMIFS('Key inputs_Refineries'!Q$85:Q$164,'Key inputs_Refineries'!$C$85:$C$164,$C546,'Key inputs_Refineries'!$B$85:$B$164,"Boiler")/SUM(SUMIFS('Key inputs_Refineries'!Q$85:Q$164,'Key inputs_Refineries'!$C$85:$C$164,$C541:$C550,'Key inputs_Refineries'!$B$85:$B$164,"Boiler"))),0)</f>
        <v>0</v>
      </c>
      <c r="X546" s="173" cm="1">
        <f t="array" ref="X546">IFERROR(IF(AND(SUMIFS('Key inputs_Refineries'!R$85:R$164,'Key inputs_Refineries'!$C$85:$C$164,$C546,'Key inputs_Refineries'!$B$85:$B$164,"Boiler")/SUM(SUMIFS('Key inputs_Refineries'!R$85:R$164,'Key inputs_Refineries'!$C$85:$C$164,$C541:$C550,'Key inputs_Refineries'!$B$85:$B$164,"Boiler"))&gt;0,SUMIFS('Key inputs_Refineries'!R$85:R$164,'Key inputs_Refineries'!$C$85:$C$164,$C546,'Key inputs_Refineries'!$B$85:$B$164,"Boiler")/SUM(SUMIFS('Key inputs_Refineries'!R$85:R$164,'Key inputs_Refineries'!$C$85:$C$164,$C541:$C550,'Key inputs_Refineries'!$B$85:$B$164,"Boiler"))&lt;0.001),0.001,SUMIFS('Key inputs_Refineries'!R$85:R$164,'Key inputs_Refineries'!$C$85:$C$164,$C546,'Key inputs_Refineries'!$B$85:$B$164,"Boiler")/SUM(SUMIFS('Key inputs_Refineries'!R$85:R$164,'Key inputs_Refineries'!$C$85:$C$164,$C541:$C550,'Key inputs_Refineries'!$B$85:$B$164,"Boiler"))),0)</f>
        <v>0</v>
      </c>
      <c r="Y546" s="173" cm="1">
        <f t="array" ref="Y546">IFERROR(IF(AND(SUMIFS('Key inputs_Refineries'!S$85:S$164,'Key inputs_Refineries'!$C$85:$C$164,$C546,'Key inputs_Refineries'!$B$85:$B$164,"Boiler")/SUM(SUMIFS('Key inputs_Refineries'!S$85:S$164,'Key inputs_Refineries'!$C$85:$C$164,$C541:$C550,'Key inputs_Refineries'!$B$85:$B$164,"Boiler"))&gt;0,SUMIFS('Key inputs_Refineries'!S$85:S$164,'Key inputs_Refineries'!$C$85:$C$164,$C546,'Key inputs_Refineries'!$B$85:$B$164,"Boiler")/SUM(SUMIFS('Key inputs_Refineries'!S$85:S$164,'Key inputs_Refineries'!$C$85:$C$164,$C541:$C550,'Key inputs_Refineries'!$B$85:$B$164,"Boiler"))&lt;0.001),0.001,SUMIFS('Key inputs_Refineries'!S$85:S$164,'Key inputs_Refineries'!$C$85:$C$164,$C546,'Key inputs_Refineries'!$B$85:$B$164,"Boiler")/SUM(SUMIFS('Key inputs_Refineries'!S$85:S$164,'Key inputs_Refineries'!$C$85:$C$164,$C541:$C550,'Key inputs_Refineries'!$B$85:$B$164,"Boiler"))),0)</f>
        <v>0</v>
      </c>
      <c r="Z546" s="173" cm="1">
        <f t="array" ref="Z546">IFERROR(IF(AND(SUMIFS('Key inputs_Refineries'!T$85:T$164,'Key inputs_Refineries'!$C$85:$C$164,$C546,'Key inputs_Refineries'!$B$85:$B$164,"Boiler")/SUM(SUMIFS('Key inputs_Refineries'!T$85:T$164,'Key inputs_Refineries'!$C$85:$C$164,$C541:$C550,'Key inputs_Refineries'!$B$85:$B$164,"Boiler"))&gt;0,SUMIFS('Key inputs_Refineries'!T$85:T$164,'Key inputs_Refineries'!$C$85:$C$164,$C546,'Key inputs_Refineries'!$B$85:$B$164,"Boiler")/SUM(SUMIFS('Key inputs_Refineries'!T$85:T$164,'Key inputs_Refineries'!$C$85:$C$164,$C541:$C550,'Key inputs_Refineries'!$B$85:$B$164,"Boiler"))&lt;0.001),0.001,SUMIFS('Key inputs_Refineries'!T$85:T$164,'Key inputs_Refineries'!$C$85:$C$164,$C546,'Key inputs_Refineries'!$B$85:$B$164,"Boiler")/SUM(SUMIFS('Key inputs_Refineries'!T$85:T$164,'Key inputs_Refineries'!$C$85:$C$164,$C541:$C550,'Key inputs_Refineries'!$B$85:$B$164,"Boiler"))),0)</f>
        <v>0</v>
      </c>
      <c r="AA546" s="173" cm="1">
        <f t="array" ref="AA546">IFERROR(IF(AND(SUMIFS('Key inputs_Refineries'!U$85:U$164,'Key inputs_Refineries'!$C$85:$C$164,$C546,'Key inputs_Refineries'!$B$85:$B$164,"Boiler")/SUM(SUMIFS('Key inputs_Refineries'!U$85:U$164,'Key inputs_Refineries'!$C$85:$C$164,$C541:$C550,'Key inputs_Refineries'!$B$85:$B$164,"Boiler"))&gt;0,SUMIFS('Key inputs_Refineries'!U$85:U$164,'Key inputs_Refineries'!$C$85:$C$164,$C546,'Key inputs_Refineries'!$B$85:$B$164,"Boiler")/SUM(SUMIFS('Key inputs_Refineries'!U$85:U$164,'Key inputs_Refineries'!$C$85:$C$164,$C541:$C550,'Key inputs_Refineries'!$B$85:$B$164,"Boiler"))&lt;0.001),0.001,SUMIFS('Key inputs_Refineries'!U$85:U$164,'Key inputs_Refineries'!$C$85:$C$164,$C546,'Key inputs_Refineries'!$B$85:$B$164,"Boiler")/SUM(SUMIFS('Key inputs_Refineries'!U$85:U$164,'Key inputs_Refineries'!$C$85:$C$164,$C541:$C550,'Key inputs_Refineries'!$B$85:$B$164,"Boiler"))),0)</f>
        <v>0</v>
      </c>
      <c r="AB546" s="173" cm="1">
        <f t="array" ref="AB546">IFERROR(IF(AND(SUMIFS('Key inputs_Refineries'!V$85:V$164,'Key inputs_Refineries'!$C$85:$C$164,$C546,'Key inputs_Refineries'!$B$85:$B$164,"Boiler")/SUM(SUMIFS('Key inputs_Refineries'!V$85:V$164,'Key inputs_Refineries'!$C$85:$C$164,$C541:$C550,'Key inputs_Refineries'!$B$85:$B$164,"Boiler"))&gt;0,SUMIFS('Key inputs_Refineries'!V$85:V$164,'Key inputs_Refineries'!$C$85:$C$164,$C546,'Key inputs_Refineries'!$B$85:$B$164,"Boiler")/SUM(SUMIFS('Key inputs_Refineries'!V$85:V$164,'Key inputs_Refineries'!$C$85:$C$164,$C541:$C550,'Key inputs_Refineries'!$B$85:$B$164,"Boiler"))&lt;0.001),0.001,SUMIFS('Key inputs_Refineries'!V$85:V$164,'Key inputs_Refineries'!$C$85:$C$164,$C546,'Key inputs_Refineries'!$B$85:$B$164,"Boiler")/SUM(SUMIFS('Key inputs_Refineries'!V$85:V$164,'Key inputs_Refineries'!$C$85:$C$164,$C541:$C550,'Key inputs_Refineries'!$B$85:$B$164,"Boiler"))),0)</f>
        <v>0</v>
      </c>
      <c r="AC546" s="173" cm="1">
        <f t="array" ref="AC546">IFERROR(IF(AND(SUMIFS('Key inputs_Refineries'!W$85:W$164,'Key inputs_Refineries'!$C$85:$C$164,$C546,'Key inputs_Refineries'!$B$85:$B$164,"Boiler")/SUM(SUMIFS('Key inputs_Refineries'!W$85:W$164,'Key inputs_Refineries'!$C$85:$C$164,$C541:$C550,'Key inputs_Refineries'!$B$85:$B$164,"Boiler"))&gt;0,SUMIFS('Key inputs_Refineries'!W$85:W$164,'Key inputs_Refineries'!$C$85:$C$164,$C546,'Key inputs_Refineries'!$B$85:$B$164,"Boiler")/SUM(SUMIFS('Key inputs_Refineries'!W$85:W$164,'Key inputs_Refineries'!$C$85:$C$164,$C541:$C550,'Key inputs_Refineries'!$B$85:$B$164,"Boiler"))&lt;0.001),0.001,SUMIFS('Key inputs_Refineries'!W$85:W$164,'Key inputs_Refineries'!$C$85:$C$164,$C546,'Key inputs_Refineries'!$B$85:$B$164,"Boiler")/SUM(SUMIFS('Key inputs_Refineries'!W$85:W$164,'Key inputs_Refineries'!$C$85:$C$164,$C541:$C550,'Key inputs_Refineries'!$B$85:$B$164,"Boiler"))),0)</f>
        <v>0</v>
      </c>
      <c r="AD546" s="173" cm="1">
        <f t="array" ref="AD546">IFERROR(IF(AND(SUMIFS('Key inputs_Refineries'!X$85:X$164,'Key inputs_Refineries'!$C$85:$C$164,$C546,'Key inputs_Refineries'!$B$85:$B$164,"Boiler")/SUM(SUMIFS('Key inputs_Refineries'!X$85:X$164,'Key inputs_Refineries'!$C$85:$C$164,$C541:$C550,'Key inputs_Refineries'!$B$85:$B$164,"Boiler"))&gt;0,SUMIFS('Key inputs_Refineries'!X$85:X$164,'Key inputs_Refineries'!$C$85:$C$164,$C546,'Key inputs_Refineries'!$B$85:$B$164,"Boiler")/SUM(SUMIFS('Key inputs_Refineries'!X$85:X$164,'Key inputs_Refineries'!$C$85:$C$164,$C541:$C550,'Key inputs_Refineries'!$B$85:$B$164,"Boiler"))&lt;0.001),0.001,SUMIFS('Key inputs_Refineries'!X$85:X$164,'Key inputs_Refineries'!$C$85:$C$164,$C546,'Key inputs_Refineries'!$B$85:$B$164,"Boiler")/SUM(SUMIFS('Key inputs_Refineries'!X$85:X$164,'Key inputs_Refineries'!$C$85:$C$164,$C541:$C550,'Key inputs_Refineries'!$B$85:$B$164,"Boiler"))),0)</f>
        <v>1.164397526383067E-2</v>
      </c>
      <c r="AE546" s="173" cm="1">
        <f t="array" ref="AE546">IFERROR(IF(AND(SUMIFS('Key inputs_Refineries'!Y$85:Y$164,'Key inputs_Refineries'!$C$85:$C$164,$C546,'Key inputs_Refineries'!$B$85:$B$164,"Boiler")/SUM(SUMIFS('Key inputs_Refineries'!Y$85:Y$164,'Key inputs_Refineries'!$C$85:$C$164,$C541:$C550,'Key inputs_Refineries'!$B$85:$B$164,"Boiler"))&gt;0,SUMIFS('Key inputs_Refineries'!Y$85:Y$164,'Key inputs_Refineries'!$C$85:$C$164,$C546,'Key inputs_Refineries'!$B$85:$B$164,"Boiler")/SUM(SUMIFS('Key inputs_Refineries'!Y$85:Y$164,'Key inputs_Refineries'!$C$85:$C$164,$C541:$C550,'Key inputs_Refineries'!$B$85:$B$164,"Boiler"))&lt;0.001),0.001,SUMIFS('Key inputs_Refineries'!Y$85:Y$164,'Key inputs_Refineries'!$C$85:$C$164,$C546,'Key inputs_Refineries'!$B$85:$B$164,"Boiler")/SUM(SUMIFS('Key inputs_Refineries'!Y$85:Y$164,'Key inputs_Refineries'!$C$85:$C$164,$C541:$C550,'Key inputs_Refineries'!$B$85:$B$164,"Boiler"))),0)</f>
        <v>2.1601592972530496E-2</v>
      </c>
      <c r="AF546" s="173" cm="1">
        <f t="array" ref="AF546">IFERROR(IF(AND(SUMIFS('Key inputs_Refineries'!Z$85:Z$164,'Key inputs_Refineries'!$C$85:$C$164,$C546,'Key inputs_Refineries'!$B$85:$B$164,"Boiler")/SUM(SUMIFS('Key inputs_Refineries'!Z$85:Z$164,'Key inputs_Refineries'!$C$85:$C$164,$C541:$C550,'Key inputs_Refineries'!$B$85:$B$164,"Boiler"))&gt;0,SUMIFS('Key inputs_Refineries'!Z$85:Z$164,'Key inputs_Refineries'!$C$85:$C$164,$C546,'Key inputs_Refineries'!$B$85:$B$164,"Boiler")/SUM(SUMIFS('Key inputs_Refineries'!Z$85:Z$164,'Key inputs_Refineries'!$C$85:$C$164,$C541:$C550,'Key inputs_Refineries'!$B$85:$B$164,"Boiler"))&lt;0.001),0.001,SUMIFS('Key inputs_Refineries'!Z$85:Z$164,'Key inputs_Refineries'!$C$85:$C$164,$C546,'Key inputs_Refineries'!$B$85:$B$164,"Boiler")/SUM(SUMIFS('Key inputs_Refineries'!Z$85:Z$164,'Key inputs_Refineries'!$C$85:$C$164,$C541:$C550,'Key inputs_Refineries'!$B$85:$B$164,"Boiler"))),0)</f>
        <v>0</v>
      </c>
      <c r="AG546" s="173" cm="1">
        <f t="array" ref="AG546">IFERROR(IF(AND(SUMIFS('Key inputs_Refineries'!AA$85:AA$164,'Key inputs_Refineries'!$C$85:$C$164,$C546,'Key inputs_Refineries'!$B$85:$B$164,"Boiler")/SUM(SUMIFS('Key inputs_Refineries'!AA$85:AA$164,'Key inputs_Refineries'!$C$85:$C$164,$C541:$C550,'Key inputs_Refineries'!$B$85:$B$164,"Boiler"))&gt;0,SUMIFS('Key inputs_Refineries'!AA$85:AA$164,'Key inputs_Refineries'!$C$85:$C$164,$C546,'Key inputs_Refineries'!$B$85:$B$164,"Boiler")/SUM(SUMIFS('Key inputs_Refineries'!AA$85:AA$164,'Key inputs_Refineries'!$C$85:$C$164,$C541:$C550,'Key inputs_Refineries'!$B$85:$B$164,"Boiler"))&lt;0.001),0.001,SUMIFS('Key inputs_Refineries'!AA$85:AA$164,'Key inputs_Refineries'!$C$85:$C$164,$C546,'Key inputs_Refineries'!$B$85:$B$164,"Boiler")/SUM(SUMIFS('Key inputs_Refineries'!AA$85:AA$164,'Key inputs_Refineries'!$C$85:$C$164,$C541:$C550,'Key inputs_Refineries'!$B$85:$B$164,"Boiler"))),0)</f>
        <v>0</v>
      </c>
      <c r="AH546" s="173" cm="1">
        <f t="array" ref="AH546">IFERROR(IF(AND(SUMIFS('Key inputs_Refineries'!AB$85:AB$164,'Key inputs_Refineries'!$C$85:$C$164,$C546,'Key inputs_Refineries'!$B$85:$B$164,"Boiler")/SUM(SUMIFS('Key inputs_Refineries'!AB$85:AB$164,'Key inputs_Refineries'!$C$85:$C$164,$C541:$C550,'Key inputs_Refineries'!$B$85:$B$164,"Boiler"))&gt;0,SUMIFS('Key inputs_Refineries'!AB$85:AB$164,'Key inputs_Refineries'!$C$85:$C$164,$C546,'Key inputs_Refineries'!$B$85:$B$164,"Boiler")/SUM(SUMIFS('Key inputs_Refineries'!AB$85:AB$164,'Key inputs_Refineries'!$C$85:$C$164,$C541:$C550,'Key inputs_Refineries'!$B$85:$B$164,"Boiler"))&lt;0.001),0.001,SUMIFS('Key inputs_Refineries'!AB$85:AB$164,'Key inputs_Refineries'!$C$85:$C$164,$C546,'Key inputs_Refineries'!$B$85:$B$164,"Boiler")/SUM(SUMIFS('Key inputs_Refineries'!AB$85:AB$164,'Key inputs_Refineries'!$C$85:$C$164,$C541:$C550,'Key inputs_Refineries'!$B$85:$B$164,"Boiler"))),0)</f>
        <v>0</v>
      </c>
      <c r="AI546" s="173" cm="1">
        <f t="array" ref="AI546">IFERROR(IF(AND(SUMIFS('Key inputs_Refineries'!AC$85:AC$164,'Key inputs_Refineries'!$C$85:$C$164,$C546,'Key inputs_Refineries'!$B$85:$B$164,"Boiler")/SUM(SUMIFS('Key inputs_Refineries'!AC$85:AC$164,'Key inputs_Refineries'!$C$85:$C$164,$C541:$C550,'Key inputs_Refineries'!$B$85:$B$164,"Boiler"))&gt;0,SUMIFS('Key inputs_Refineries'!AC$85:AC$164,'Key inputs_Refineries'!$C$85:$C$164,$C546,'Key inputs_Refineries'!$B$85:$B$164,"Boiler")/SUM(SUMIFS('Key inputs_Refineries'!AC$85:AC$164,'Key inputs_Refineries'!$C$85:$C$164,$C541:$C550,'Key inputs_Refineries'!$B$85:$B$164,"Boiler"))&lt;0.001),0.001,SUMIFS('Key inputs_Refineries'!AC$85:AC$164,'Key inputs_Refineries'!$C$85:$C$164,$C546,'Key inputs_Refineries'!$B$85:$B$164,"Boiler")/SUM(SUMIFS('Key inputs_Refineries'!AC$85:AC$164,'Key inputs_Refineries'!$C$85:$C$164,$C541:$C550,'Key inputs_Refineries'!$B$85:$B$164,"Boiler"))),0)</f>
        <v>0</v>
      </c>
      <c r="AJ546" s="173" cm="1">
        <f t="array" ref="AJ546">IFERROR(IF(AND(SUMIFS('Key inputs_Refineries'!AD$85:AD$164,'Key inputs_Refineries'!$C$85:$C$164,$C546,'Key inputs_Refineries'!$B$85:$B$164,"Boiler")/SUM(SUMIFS('Key inputs_Refineries'!AD$85:AD$164,'Key inputs_Refineries'!$C$85:$C$164,$C541:$C550,'Key inputs_Refineries'!$B$85:$B$164,"Boiler"))&gt;0,SUMIFS('Key inputs_Refineries'!AD$85:AD$164,'Key inputs_Refineries'!$C$85:$C$164,$C546,'Key inputs_Refineries'!$B$85:$B$164,"Boiler")/SUM(SUMIFS('Key inputs_Refineries'!AD$85:AD$164,'Key inputs_Refineries'!$C$85:$C$164,$C541:$C550,'Key inputs_Refineries'!$B$85:$B$164,"Boiler"))&lt;0.001),0.001,SUMIFS('Key inputs_Refineries'!AD$85:AD$164,'Key inputs_Refineries'!$C$85:$C$164,$C546,'Key inputs_Refineries'!$B$85:$B$164,"Boiler")/SUM(SUMIFS('Key inputs_Refineries'!AD$85:AD$164,'Key inputs_Refineries'!$C$85:$C$164,$C541:$C550,'Key inputs_Refineries'!$B$85:$B$164,"Boiler"))),0)</f>
        <v>0</v>
      </c>
      <c r="AK546" s="173" cm="1">
        <f t="array" ref="AK546">IFERROR(IF(AND(SUMIFS('Key inputs_Refineries'!AE$85:AE$164,'Key inputs_Refineries'!$C$85:$C$164,$C546,'Key inputs_Refineries'!$B$85:$B$164,"Boiler")/SUM(SUMIFS('Key inputs_Refineries'!AE$85:AE$164,'Key inputs_Refineries'!$C$85:$C$164,$C541:$C550,'Key inputs_Refineries'!$B$85:$B$164,"Boiler"))&gt;0,SUMIFS('Key inputs_Refineries'!AE$85:AE$164,'Key inputs_Refineries'!$C$85:$C$164,$C546,'Key inputs_Refineries'!$B$85:$B$164,"Boiler")/SUM(SUMIFS('Key inputs_Refineries'!AE$85:AE$164,'Key inputs_Refineries'!$C$85:$C$164,$C541:$C550,'Key inputs_Refineries'!$B$85:$B$164,"Boiler"))&lt;0.001),0.001,SUMIFS('Key inputs_Refineries'!AE$85:AE$164,'Key inputs_Refineries'!$C$85:$C$164,$C546,'Key inputs_Refineries'!$B$85:$B$164,"Boiler")/SUM(SUMIFS('Key inputs_Refineries'!AE$85:AE$164,'Key inputs_Refineries'!$C$85:$C$164,$C541:$C550,'Key inputs_Refineries'!$B$85:$B$164,"Boiler"))),0)</f>
        <v>0</v>
      </c>
      <c r="AL546" s="173" cm="1">
        <f t="array" ref="AL546">IFERROR(IF(AND(SUMIFS('Key inputs_Refineries'!AF$85:AF$164,'Key inputs_Refineries'!$C$85:$C$164,$C546,'Key inputs_Refineries'!$B$85:$B$164,"Boiler")/SUM(SUMIFS('Key inputs_Refineries'!AF$85:AF$164,'Key inputs_Refineries'!$C$85:$C$164,$C541:$C550,'Key inputs_Refineries'!$B$85:$B$164,"Boiler"))&gt;0,SUMIFS('Key inputs_Refineries'!AF$85:AF$164,'Key inputs_Refineries'!$C$85:$C$164,$C546,'Key inputs_Refineries'!$B$85:$B$164,"Boiler")/SUM(SUMIFS('Key inputs_Refineries'!AF$85:AF$164,'Key inputs_Refineries'!$C$85:$C$164,$C541:$C550,'Key inputs_Refineries'!$B$85:$B$164,"Boiler"))&lt;0.001),0.001,SUMIFS('Key inputs_Refineries'!AF$85:AF$164,'Key inputs_Refineries'!$C$85:$C$164,$C546,'Key inputs_Refineries'!$B$85:$B$164,"Boiler")/SUM(SUMIFS('Key inputs_Refineries'!AF$85:AF$164,'Key inputs_Refineries'!$C$85:$C$164,$C541:$C550,'Key inputs_Refineries'!$B$85:$B$164,"Boiler"))),0)</f>
        <v>7.2725742976555516E-3</v>
      </c>
    </row>
    <row r="547" spans="1:38">
      <c r="C547" t="str">
        <f>Commodities!$C$97</f>
        <v>UPSLPG</v>
      </c>
      <c r="G547" s="4" t="s">
        <v>702</v>
      </c>
      <c r="H547" t="s">
        <v>661</v>
      </c>
      <c r="I547">
        <v>2019</v>
      </c>
      <c r="J547" t="s">
        <v>650</v>
      </c>
      <c r="K547" s="173" cm="1">
        <f t="array" ref="K547">IFERROR(IF(AND(SUMIFS('Key inputs_Refineries'!E$85:E$164,'Key inputs_Refineries'!$C$85:$C$164,$C547,'Key inputs_Refineries'!$B$85:$B$164,"Boiler")/SUM(SUMIFS('Key inputs_Refineries'!E$85:E$164,'Key inputs_Refineries'!$C$85:$C$164,$C541:$C550,'Key inputs_Refineries'!$B$85:$B$164,"Boiler"))&gt;0,SUMIFS('Key inputs_Refineries'!E$85:E$164,'Key inputs_Refineries'!$C$85:$C$164,$C547,'Key inputs_Refineries'!$B$85:$B$164,"Boiler")/SUM(SUMIFS('Key inputs_Refineries'!E$85:E$164,'Key inputs_Refineries'!$C$85:$C$164,$C541:$C550,'Key inputs_Refineries'!$B$85:$B$164,"Boiler"))&lt;0.001),0.001,SUMIFS('Key inputs_Refineries'!E$85:E$164,'Key inputs_Refineries'!$C$85:$C$164,$C547,'Key inputs_Refineries'!$B$85:$B$164,"Boiler")/SUM(SUMIFS('Key inputs_Refineries'!E$85:E$164,'Key inputs_Refineries'!$C$85:$C$164,$C541:$C550,'Key inputs_Refineries'!$B$85:$B$164,"Boiler"))),0)</f>
        <v>0</v>
      </c>
      <c r="L547" s="173" cm="1">
        <f t="array" ref="L547">IFERROR(IF(AND(SUMIFS('Key inputs_Refineries'!F$85:F$164,'Key inputs_Refineries'!$C$85:$C$164,$C547,'Key inputs_Refineries'!$B$85:$B$164,"Boiler")/SUM(SUMIFS('Key inputs_Refineries'!F$85:F$164,'Key inputs_Refineries'!$C$85:$C$164,$C541:$C550,'Key inputs_Refineries'!$B$85:$B$164,"Boiler"))&gt;0,SUMIFS('Key inputs_Refineries'!F$85:F$164,'Key inputs_Refineries'!$C$85:$C$164,$C547,'Key inputs_Refineries'!$B$85:$B$164,"Boiler")/SUM(SUMIFS('Key inputs_Refineries'!F$85:F$164,'Key inputs_Refineries'!$C$85:$C$164,$C541:$C550,'Key inputs_Refineries'!$B$85:$B$164,"Boiler"))&lt;0.001),0.001,SUMIFS('Key inputs_Refineries'!F$85:F$164,'Key inputs_Refineries'!$C$85:$C$164,$C547,'Key inputs_Refineries'!$B$85:$B$164,"Boiler")/SUM(SUMIFS('Key inputs_Refineries'!F$85:F$164,'Key inputs_Refineries'!$C$85:$C$164,$C541:$C550,'Key inputs_Refineries'!$B$85:$B$164,"Boiler"))),0)</f>
        <v>0</v>
      </c>
      <c r="M547" s="173" cm="1">
        <f t="array" ref="M547">IFERROR(IF(AND(SUMIFS('Key inputs_Refineries'!G$85:G$164,'Key inputs_Refineries'!$C$85:$C$164,$C547,'Key inputs_Refineries'!$B$85:$B$164,"Boiler")/SUM(SUMIFS('Key inputs_Refineries'!G$85:G$164,'Key inputs_Refineries'!$C$85:$C$164,$C541:$C550,'Key inputs_Refineries'!$B$85:$B$164,"Boiler"))&gt;0,SUMIFS('Key inputs_Refineries'!G$85:G$164,'Key inputs_Refineries'!$C$85:$C$164,$C547,'Key inputs_Refineries'!$B$85:$B$164,"Boiler")/SUM(SUMIFS('Key inputs_Refineries'!G$85:G$164,'Key inputs_Refineries'!$C$85:$C$164,$C541:$C550,'Key inputs_Refineries'!$B$85:$B$164,"Boiler"))&lt;0.001),0.001,SUMIFS('Key inputs_Refineries'!G$85:G$164,'Key inputs_Refineries'!$C$85:$C$164,$C547,'Key inputs_Refineries'!$B$85:$B$164,"Boiler")/SUM(SUMIFS('Key inputs_Refineries'!G$85:G$164,'Key inputs_Refineries'!$C$85:$C$164,$C541:$C550,'Key inputs_Refineries'!$B$85:$B$164,"Boiler"))),0)</f>
        <v>0.11449728272014652</v>
      </c>
      <c r="N547" s="173" cm="1">
        <f t="array" ref="N547">IFERROR(IF(AND(SUMIFS('Key inputs_Refineries'!H$85:H$164,'Key inputs_Refineries'!$C$85:$C$164,$C547,'Key inputs_Refineries'!$B$85:$B$164,"Boiler")/SUM(SUMIFS('Key inputs_Refineries'!H$85:H$164,'Key inputs_Refineries'!$C$85:$C$164,$C541:$C550,'Key inputs_Refineries'!$B$85:$B$164,"Boiler"))&gt;0,SUMIFS('Key inputs_Refineries'!H$85:H$164,'Key inputs_Refineries'!$C$85:$C$164,$C547,'Key inputs_Refineries'!$B$85:$B$164,"Boiler")/SUM(SUMIFS('Key inputs_Refineries'!H$85:H$164,'Key inputs_Refineries'!$C$85:$C$164,$C541:$C550,'Key inputs_Refineries'!$B$85:$B$164,"Boiler"))&lt;0.001),0.001,SUMIFS('Key inputs_Refineries'!H$85:H$164,'Key inputs_Refineries'!$C$85:$C$164,$C547,'Key inputs_Refineries'!$B$85:$B$164,"Boiler")/SUM(SUMIFS('Key inputs_Refineries'!H$85:H$164,'Key inputs_Refineries'!$C$85:$C$164,$C541:$C550,'Key inputs_Refineries'!$B$85:$B$164,"Boiler"))),0)</f>
        <v>0</v>
      </c>
      <c r="O547" s="173" cm="1">
        <f t="array" ref="O547">IFERROR(IF(AND(SUMIFS('Key inputs_Refineries'!I$85:I$164,'Key inputs_Refineries'!$C$85:$C$164,$C547,'Key inputs_Refineries'!$B$85:$B$164,"Boiler")/SUM(SUMIFS('Key inputs_Refineries'!I$85:I$164,'Key inputs_Refineries'!$C$85:$C$164,$C541:$C550,'Key inputs_Refineries'!$B$85:$B$164,"Boiler"))&gt;0,SUMIFS('Key inputs_Refineries'!I$85:I$164,'Key inputs_Refineries'!$C$85:$C$164,$C547,'Key inputs_Refineries'!$B$85:$B$164,"Boiler")/SUM(SUMIFS('Key inputs_Refineries'!I$85:I$164,'Key inputs_Refineries'!$C$85:$C$164,$C541:$C550,'Key inputs_Refineries'!$B$85:$B$164,"Boiler"))&lt;0.001),0.001,SUMIFS('Key inputs_Refineries'!I$85:I$164,'Key inputs_Refineries'!$C$85:$C$164,$C547,'Key inputs_Refineries'!$B$85:$B$164,"Boiler")/SUM(SUMIFS('Key inputs_Refineries'!I$85:I$164,'Key inputs_Refineries'!$C$85:$C$164,$C541:$C550,'Key inputs_Refineries'!$B$85:$B$164,"Boiler"))),0)</f>
        <v>0</v>
      </c>
      <c r="P547" s="173" cm="1">
        <f t="array" ref="P547">IFERROR(IF(AND(SUMIFS('Key inputs_Refineries'!J$85:J$164,'Key inputs_Refineries'!$C$85:$C$164,$C547,'Key inputs_Refineries'!$B$85:$B$164,"Boiler")/SUM(SUMIFS('Key inputs_Refineries'!J$85:J$164,'Key inputs_Refineries'!$C$85:$C$164,$C541:$C550,'Key inputs_Refineries'!$B$85:$B$164,"Boiler"))&gt;0,SUMIFS('Key inputs_Refineries'!J$85:J$164,'Key inputs_Refineries'!$C$85:$C$164,$C547,'Key inputs_Refineries'!$B$85:$B$164,"Boiler")/SUM(SUMIFS('Key inputs_Refineries'!J$85:J$164,'Key inputs_Refineries'!$C$85:$C$164,$C541:$C550,'Key inputs_Refineries'!$B$85:$B$164,"Boiler"))&lt;0.001),0.001,SUMIFS('Key inputs_Refineries'!J$85:J$164,'Key inputs_Refineries'!$C$85:$C$164,$C547,'Key inputs_Refineries'!$B$85:$B$164,"Boiler")/SUM(SUMIFS('Key inputs_Refineries'!J$85:J$164,'Key inputs_Refineries'!$C$85:$C$164,$C541:$C550,'Key inputs_Refineries'!$B$85:$B$164,"Boiler"))),0)</f>
        <v>1.8429074047040168E-3</v>
      </c>
      <c r="Q547" s="173" cm="1">
        <f t="array" ref="Q547">IFERROR(IF(AND(SUMIFS('Key inputs_Refineries'!K$85:K$164,'Key inputs_Refineries'!$C$85:$C$164,$C547,'Key inputs_Refineries'!$B$85:$B$164,"Boiler")/SUM(SUMIFS('Key inputs_Refineries'!K$85:K$164,'Key inputs_Refineries'!$C$85:$C$164,$C541:$C550,'Key inputs_Refineries'!$B$85:$B$164,"Boiler"))&gt;0,SUMIFS('Key inputs_Refineries'!K$85:K$164,'Key inputs_Refineries'!$C$85:$C$164,$C547,'Key inputs_Refineries'!$B$85:$B$164,"Boiler")/SUM(SUMIFS('Key inputs_Refineries'!K$85:K$164,'Key inputs_Refineries'!$C$85:$C$164,$C541:$C550,'Key inputs_Refineries'!$B$85:$B$164,"Boiler"))&lt;0.001),0.001,SUMIFS('Key inputs_Refineries'!K$85:K$164,'Key inputs_Refineries'!$C$85:$C$164,$C547,'Key inputs_Refineries'!$B$85:$B$164,"Boiler")/SUM(SUMIFS('Key inputs_Refineries'!K$85:K$164,'Key inputs_Refineries'!$C$85:$C$164,$C541:$C550,'Key inputs_Refineries'!$B$85:$B$164,"Boiler"))),0)</f>
        <v>0</v>
      </c>
      <c r="R547" s="173" cm="1">
        <f t="array" ref="R547">IFERROR(IF(AND(SUMIFS('Key inputs_Refineries'!L$85:L$164,'Key inputs_Refineries'!$C$85:$C$164,$C547,'Key inputs_Refineries'!$B$85:$B$164,"Boiler")/SUM(SUMIFS('Key inputs_Refineries'!L$85:L$164,'Key inputs_Refineries'!$C$85:$C$164,$C541:$C550,'Key inputs_Refineries'!$B$85:$B$164,"Boiler"))&gt;0,SUMIFS('Key inputs_Refineries'!L$85:L$164,'Key inputs_Refineries'!$C$85:$C$164,$C547,'Key inputs_Refineries'!$B$85:$B$164,"Boiler")/SUM(SUMIFS('Key inputs_Refineries'!L$85:L$164,'Key inputs_Refineries'!$C$85:$C$164,$C541:$C550,'Key inputs_Refineries'!$B$85:$B$164,"Boiler"))&lt;0.001),0.001,SUMIFS('Key inputs_Refineries'!L$85:L$164,'Key inputs_Refineries'!$C$85:$C$164,$C547,'Key inputs_Refineries'!$B$85:$B$164,"Boiler")/SUM(SUMIFS('Key inputs_Refineries'!L$85:L$164,'Key inputs_Refineries'!$C$85:$C$164,$C541:$C550,'Key inputs_Refineries'!$B$85:$B$164,"Boiler"))),0)</f>
        <v>0</v>
      </c>
      <c r="S547" s="173" cm="1">
        <f t="array" ref="S547">IFERROR(IF(AND(SUMIFS('Key inputs_Refineries'!M$85:M$164,'Key inputs_Refineries'!$C$85:$C$164,$C547,'Key inputs_Refineries'!$B$85:$B$164,"Boiler")/SUM(SUMIFS('Key inputs_Refineries'!M$85:M$164,'Key inputs_Refineries'!$C$85:$C$164,$C541:$C550,'Key inputs_Refineries'!$B$85:$B$164,"Boiler"))&gt;0,SUMIFS('Key inputs_Refineries'!M$85:M$164,'Key inputs_Refineries'!$C$85:$C$164,$C547,'Key inputs_Refineries'!$B$85:$B$164,"Boiler")/SUM(SUMIFS('Key inputs_Refineries'!M$85:M$164,'Key inputs_Refineries'!$C$85:$C$164,$C541:$C550,'Key inputs_Refineries'!$B$85:$B$164,"Boiler"))&lt;0.001),0.001,SUMIFS('Key inputs_Refineries'!M$85:M$164,'Key inputs_Refineries'!$C$85:$C$164,$C547,'Key inputs_Refineries'!$B$85:$B$164,"Boiler")/SUM(SUMIFS('Key inputs_Refineries'!M$85:M$164,'Key inputs_Refineries'!$C$85:$C$164,$C541:$C550,'Key inputs_Refineries'!$B$85:$B$164,"Boiler"))),0)</f>
        <v>0</v>
      </c>
      <c r="T547" s="173" cm="1">
        <f t="array" ref="T547">IFERROR(IF(AND(SUMIFS('Key inputs_Refineries'!N$85:N$164,'Key inputs_Refineries'!$C$85:$C$164,$C547,'Key inputs_Refineries'!$B$85:$B$164,"Boiler")/SUM(SUMIFS('Key inputs_Refineries'!N$85:N$164,'Key inputs_Refineries'!$C$85:$C$164,$C541:$C550,'Key inputs_Refineries'!$B$85:$B$164,"Boiler"))&gt;0,SUMIFS('Key inputs_Refineries'!N$85:N$164,'Key inputs_Refineries'!$C$85:$C$164,$C547,'Key inputs_Refineries'!$B$85:$B$164,"Boiler")/SUM(SUMIFS('Key inputs_Refineries'!N$85:N$164,'Key inputs_Refineries'!$C$85:$C$164,$C541:$C550,'Key inputs_Refineries'!$B$85:$B$164,"Boiler"))&lt;0.001),0.001,SUMIFS('Key inputs_Refineries'!N$85:N$164,'Key inputs_Refineries'!$C$85:$C$164,$C547,'Key inputs_Refineries'!$B$85:$B$164,"Boiler")/SUM(SUMIFS('Key inputs_Refineries'!N$85:N$164,'Key inputs_Refineries'!$C$85:$C$164,$C541:$C550,'Key inputs_Refineries'!$B$85:$B$164,"Boiler"))),0)</f>
        <v>4.0866396011492612E-2</v>
      </c>
      <c r="U547" s="173" cm="1">
        <f t="array" ref="U547">IFERROR(IF(AND(SUMIFS('Key inputs_Refineries'!O$85:O$164,'Key inputs_Refineries'!$C$85:$C$164,$C547,'Key inputs_Refineries'!$B$85:$B$164,"Boiler")/SUM(SUMIFS('Key inputs_Refineries'!O$85:O$164,'Key inputs_Refineries'!$C$85:$C$164,$C541:$C550,'Key inputs_Refineries'!$B$85:$B$164,"Boiler"))&gt;0,SUMIFS('Key inputs_Refineries'!O$85:O$164,'Key inputs_Refineries'!$C$85:$C$164,$C547,'Key inputs_Refineries'!$B$85:$B$164,"Boiler")/SUM(SUMIFS('Key inputs_Refineries'!O$85:O$164,'Key inputs_Refineries'!$C$85:$C$164,$C541:$C550,'Key inputs_Refineries'!$B$85:$B$164,"Boiler"))&lt;0.001),0.001,SUMIFS('Key inputs_Refineries'!O$85:O$164,'Key inputs_Refineries'!$C$85:$C$164,$C547,'Key inputs_Refineries'!$B$85:$B$164,"Boiler")/SUM(SUMIFS('Key inputs_Refineries'!O$85:O$164,'Key inputs_Refineries'!$C$85:$C$164,$C541:$C550,'Key inputs_Refineries'!$B$85:$B$164,"Boiler"))),0)</f>
        <v>0.38542966352684382</v>
      </c>
      <c r="V547" s="173" cm="1">
        <f t="array" ref="V547">IFERROR(IF(AND(SUMIFS('Key inputs_Refineries'!P$85:P$164,'Key inputs_Refineries'!$C$85:$C$164,$C547,'Key inputs_Refineries'!$B$85:$B$164,"Boiler")/SUM(SUMIFS('Key inputs_Refineries'!P$85:P$164,'Key inputs_Refineries'!$C$85:$C$164,$C541:$C550,'Key inputs_Refineries'!$B$85:$B$164,"Boiler"))&gt;0,SUMIFS('Key inputs_Refineries'!P$85:P$164,'Key inputs_Refineries'!$C$85:$C$164,$C547,'Key inputs_Refineries'!$B$85:$B$164,"Boiler")/SUM(SUMIFS('Key inputs_Refineries'!P$85:P$164,'Key inputs_Refineries'!$C$85:$C$164,$C541:$C550,'Key inputs_Refineries'!$B$85:$B$164,"Boiler"))&lt;0.001),0.001,SUMIFS('Key inputs_Refineries'!P$85:P$164,'Key inputs_Refineries'!$C$85:$C$164,$C547,'Key inputs_Refineries'!$B$85:$B$164,"Boiler")/SUM(SUMIFS('Key inputs_Refineries'!P$85:P$164,'Key inputs_Refineries'!$C$85:$C$164,$C541:$C550,'Key inputs_Refineries'!$B$85:$B$164,"Boiler"))),0)</f>
        <v>0.20400018354543314</v>
      </c>
      <c r="W547" s="173" cm="1">
        <f t="array" ref="W547">IFERROR(IF(AND(SUMIFS('Key inputs_Refineries'!Q$85:Q$164,'Key inputs_Refineries'!$C$85:$C$164,$C547,'Key inputs_Refineries'!$B$85:$B$164,"Boiler")/SUM(SUMIFS('Key inputs_Refineries'!Q$85:Q$164,'Key inputs_Refineries'!$C$85:$C$164,$C541:$C550,'Key inputs_Refineries'!$B$85:$B$164,"Boiler"))&gt;0,SUMIFS('Key inputs_Refineries'!Q$85:Q$164,'Key inputs_Refineries'!$C$85:$C$164,$C547,'Key inputs_Refineries'!$B$85:$B$164,"Boiler")/SUM(SUMIFS('Key inputs_Refineries'!Q$85:Q$164,'Key inputs_Refineries'!$C$85:$C$164,$C541:$C550,'Key inputs_Refineries'!$B$85:$B$164,"Boiler"))&lt;0.001),0.001,SUMIFS('Key inputs_Refineries'!Q$85:Q$164,'Key inputs_Refineries'!$C$85:$C$164,$C547,'Key inputs_Refineries'!$B$85:$B$164,"Boiler")/SUM(SUMIFS('Key inputs_Refineries'!Q$85:Q$164,'Key inputs_Refineries'!$C$85:$C$164,$C541:$C550,'Key inputs_Refineries'!$B$85:$B$164,"Boiler"))),0)</f>
        <v>0</v>
      </c>
      <c r="X547" s="173" cm="1">
        <f t="array" ref="X547">IFERROR(IF(AND(SUMIFS('Key inputs_Refineries'!R$85:R$164,'Key inputs_Refineries'!$C$85:$C$164,$C547,'Key inputs_Refineries'!$B$85:$B$164,"Boiler")/SUM(SUMIFS('Key inputs_Refineries'!R$85:R$164,'Key inputs_Refineries'!$C$85:$C$164,$C541:$C550,'Key inputs_Refineries'!$B$85:$B$164,"Boiler"))&gt;0,SUMIFS('Key inputs_Refineries'!R$85:R$164,'Key inputs_Refineries'!$C$85:$C$164,$C547,'Key inputs_Refineries'!$B$85:$B$164,"Boiler")/SUM(SUMIFS('Key inputs_Refineries'!R$85:R$164,'Key inputs_Refineries'!$C$85:$C$164,$C541:$C550,'Key inputs_Refineries'!$B$85:$B$164,"Boiler"))&lt;0.001),0.001,SUMIFS('Key inputs_Refineries'!R$85:R$164,'Key inputs_Refineries'!$C$85:$C$164,$C547,'Key inputs_Refineries'!$B$85:$B$164,"Boiler")/SUM(SUMIFS('Key inputs_Refineries'!R$85:R$164,'Key inputs_Refineries'!$C$85:$C$164,$C541:$C550,'Key inputs_Refineries'!$B$85:$B$164,"Boiler"))),0)</f>
        <v>0</v>
      </c>
      <c r="Y547" s="173" cm="1">
        <f t="array" ref="Y547">IFERROR(IF(AND(SUMIFS('Key inputs_Refineries'!S$85:S$164,'Key inputs_Refineries'!$C$85:$C$164,$C547,'Key inputs_Refineries'!$B$85:$B$164,"Boiler")/SUM(SUMIFS('Key inputs_Refineries'!S$85:S$164,'Key inputs_Refineries'!$C$85:$C$164,$C541:$C550,'Key inputs_Refineries'!$B$85:$B$164,"Boiler"))&gt;0,SUMIFS('Key inputs_Refineries'!S$85:S$164,'Key inputs_Refineries'!$C$85:$C$164,$C547,'Key inputs_Refineries'!$B$85:$B$164,"Boiler")/SUM(SUMIFS('Key inputs_Refineries'!S$85:S$164,'Key inputs_Refineries'!$C$85:$C$164,$C541:$C550,'Key inputs_Refineries'!$B$85:$B$164,"Boiler"))&lt;0.001),0.001,SUMIFS('Key inputs_Refineries'!S$85:S$164,'Key inputs_Refineries'!$C$85:$C$164,$C547,'Key inputs_Refineries'!$B$85:$B$164,"Boiler")/SUM(SUMIFS('Key inputs_Refineries'!S$85:S$164,'Key inputs_Refineries'!$C$85:$C$164,$C541:$C550,'Key inputs_Refineries'!$B$85:$B$164,"Boiler"))),0)</f>
        <v>8.2373108109728369E-3</v>
      </c>
      <c r="Z547" s="173" cm="1">
        <f t="array" ref="Z547">IFERROR(IF(AND(SUMIFS('Key inputs_Refineries'!T$85:T$164,'Key inputs_Refineries'!$C$85:$C$164,$C547,'Key inputs_Refineries'!$B$85:$B$164,"Boiler")/SUM(SUMIFS('Key inputs_Refineries'!T$85:T$164,'Key inputs_Refineries'!$C$85:$C$164,$C541:$C550,'Key inputs_Refineries'!$B$85:$B$164,"Boiler"))&gt;0,SUMIFS('Key inputs_Refineries'!T$85:T$164,'Key inputs_Refineries'!$C$85:$C$164,$C547,'Key inputs_Refineries'!$B$85:$B$164,"Boiler")/SUM(SUMIFS('Key inputs_Refineries'!T$85:T$164,'Key inputs_Refineries'!$C$85:$C$164,$C541:$C550,'Key inputs_Refineries'!$B$85:$B$164,"Boiler"))&lt;0.001),0.001,SUMIFS('Key inputs_Refineries'!T$85:T$164,'Key inputs_Refineries'!$C$85:$C$164,$C547,'Key inputs_Refineries'!$B$85:$B$164,"Boiler")/SUM(SUMIFS('Key inputs_Refineries'!T$85:T$164,'Key inputs_Refineries'!$C$85:$C$164,$C541:$C550,'Key inputs_Refineries'!$B$85:$B$164,"Boiler"))),0)</f>
        <v>7.8067049163062063E-2</v>
      </c>
      <c r="AA547" s="173" cm="1">
        <f t="array" ref="AA547">IFERROR(IF(AND(SUMIFS('Key inputs_Refineries'!U$85:U$164,'Key inputs_Refineries'!$C$85:$C$164,$C547,'Key inputs_Refineries'!$B$85:$B$164,"Boiler")/SUM(SUMIFS('Key inputs_Refineries'!U$85:U$164,'Key inputs_Refineries'!$C$85:$C$164,$C541:$C550,'Key inputs_Refineries'!$B$85:$B$164,"Boiler"))&gt;0,SUMIFS('Key inputs_Refineries'!U$85:U$164,'Key inputs_Refineries'!$C$85:$C$164,$C547,'Key inputs_Refineries'!$B$85:$B$164,"Boiler")/SUM(SUMIFS('Key inputs_Refineries'!U$85:U$164,'Key inputs_Refineries'!$C$85:$C$164,$C541:$C550,'Key inputs_Refineries'!$B$85:$B$164,"Boiler"))&lt;0.001),0.001,SUMIFS('Key inputs_Refineries'!U$85:U$164,'Key inputs_Refineries'!$C$85:$C$164,$C547,'Key inputs_Refineries'!$B$85:$B$164,"Boiler")/SUM(SUMIFS('Key inputs_Refineries'!U$85:U$164,'Key inputs_Refineries'!$C$85:$C$164,$C541:$C550,'Key inputs_Refineries'!$B$85:$B$164,"Boiler"))),0)</f>
        <v>0.12670134629223898</v>
      </c>
      <c r="AB547" s="173" cm="1">
        <f t="array" ref="AB547">IFERROR(IF(AND(SUMIFS('Key inputs_Refineries'!V$85:V$164,'Key inputs_Refineries'!$C$85:$C$164,$C547,'Key inputs_Refineries'!$B$85:$B$164,"Boiler")/SUM(SUMIFS('Key inputs_Refineries'!V$85:V$164,'Key inputs_Refineries'!$C$85:$C$164,$C541:$C550,'Key inputs_Refineries'!$B$85:$B$164,"Boiler"))&gt;0,SUMIFS('Key inputs_Refineries'!V$85:V$164,'Key inputs_Refineries'!$C$85:$C$164,$C547,'Key inputs_Refineries'!$B$85:$B$164,"Boiler")/SUM(SUMIFS('Key inputs_Refineries'!V$85:V$164,'Key inputs_Refineries'!$C$85:$C$164,$C541:$C550,'Key inputs_Refineries'!$B$85:$B$164,"Boiler"))&lt;0.001),0.001,SUMIFS('Key inputs_Refineries'!V$85:V$164,'Key inputs_Refineries'!$C$85:$C$164,$C547,'Key inputs_Refineries'!$B$85:$B$164,"Boiler")/SUM(SUMIFS('Key inputs_Refineries'!V$85:V$164,'Key inputs_Refineries'!$C$85:$C$164,$C541:$C550,'Key inputs_Refineries'!$B$85:$B$164,"Boiler"))),0)</f>
        <v>0</v>
      </c>
      <c r="AC547" s="173" cm="1">
        <f t="array" ref="AC547">IFERROR(IF(AND(SUMIFS('Key inputs_Refineries'!W$85:W$164,'Key inputs_Refineries'!$C$85:$C$164,$C547,'Key inputs_Refineries'!$B$85:$B$164,"Boiler")/SUM(SUMIFS('Key inputs_Refineries'!W$85:W$164,'Key inputs_Refineries'!$C$85:$C$164,$C541:$C550,'Key inputs_Refineries'!$B$85:$B$164,"Boiler"))&gt;0,SUMIFS('Key inputs_Refineries'!W$85:W$164,'Key inputs_Refineries'!$C$85:$C$164,$C547,'Key inputs_Refineries'!$B$85:$B$164,"Boiler")/SUM(SUMIFS('Key inputs_Refineries'!W$85:W$164,'Key inputs_Refineries'!$C$85:$C$164,$C541:$C550,'Key inputs_Refineries'!$B$85:$B$164,"Boiler"))&lt;0.001),0.001,SUMIFS('Key inputs_Refineries'!W$85:W$164,'Key inputs_Refineries'!$C$85:$C$164,$C547,'Key inputs_Refineries'!$B$85:$B$164,"Boiler")/SUM(SUMIFS('Key inputs_Refineries'!W$85:W$164,'Key inputs_Refineries'!$C$85:$C$164,$C541:$C550,'Key inputs_Refineries'!$B$85:$B$164,"Boiler"))),0)</f>
        <v>0</v>
      </c>
      <c r="AD547" s="173" cm="1">
        <f t="array" ref="AD547">IFERROR(IF(AND(SUMIFS('Key inputs_Refineries'!X$85:X$164,'Key inputs_Refineries'!$C$85:$C$164,$C547,'Key inputs_Refineries'!$B$85:$B$164,"Boiler")/SUM(SUMIFS('Key inputs_Refineries'!X$85:X$164,'Key inputs_Refineries'!$C$85:$C$164,$C541:$C550,'Key inputs_Refineries'!$B$85:$B$164,"Boiler"))&gt;0,SUMIFS('Key inputs_Refineries'!X$85:X$164,'Key inputs_Refineries'!$C$85:$C$164,$C547,'Key inputs_Refineries'!$B$85:$B$164,"Boiler")/SUM(SUMIFS('Key inputs_Refineries'!X$85:X$164,'Key inputs_Refineries'!$C$85:$C$164,$C541:$C550,'Key inputs_Refineries'!$B$85:$B$164,"Boiler"))&lt;0.001),0.001,SUMIFS('Key inputs_Refineries'!X$85:X$164,'Key inputs_Refineries'!$C$85:$C$164,$C547,'Key inputs_Refineries'!$B$85:$B$164,"Boiler")/SUM(SUMIFS('Key inputs_Refineries'!X$85:X$164,'Key inputs_Refineries'!$C$85:$C$164,$C541:$C550,'Key inputs_Refineries'!$B$85:$B$164,"Boiler"))),0)</f>
        <v>5.9809032201112659E-2</v>
      </c>
      <c r="AE547" s="173" cm="1">
        <f t="array" ref="AE547">IFERROR(IF(AND(SUMIFS('Key inputs_Refineries'!Y$85:Y$164,'Key inputs_Refineries'!$C$85:$C$164,$C547,'Key inputs_Refineries'!$B$85:$B$164,"Boiler")/SUM(SUMIFS('Key inputs_Refineries'!Y$85:Y$164,'Key inputs_Refineries'!$C$85:$C$164,$C541:$C550,'Key inputs_Refineries'!$B$85:$B$164,"Boiler"))&gt;0,SUMIFS('Key inputs_Refineries'!Y$85:Y$164,'Key inputs_Refineries'!$C$85:$C$164,$C547,'Key inputs_Refineries'!$B$85:$B$164,"Boiler")/SUM(SUMIFS('Key inputs_Refineries'!Y$85:Y$164,'Key inputs_Refineries'!$C$85:$C$164,$C541:$C550,'Key inputs_Refineries'!$B$85:$B$164,"Boiler"))&lt;0.001),0.001,SUMIFS('Key inputs_Refineries'!Y$85:Y$164,'Key inputs_Refineries'!$C$85:$C$164,$C547,'Key inputs_Refineries'!$B$85:$B$164,"Boiler")/SUM(SUMIFS('Key inputs_Refineries'!Y$85:Y$164,'Key inputs_Refineries'!$C$85:$C$164,$C541:$C550,'Key inputs_Refineries'!$B$85:$B$164,"Boiler"))),0)</f>
        <v>0.15964808720573298</v>
      </c>
      <c r="AF547" s="173" cm="1">
        <f t="array" ref="AF547">IFERROR(IF(AND(SUMIFS('Key inputs_Refineries'!Z$85:Z$164,'Key inputs_Refineries'!$C$85:$C$164,$C547,'Key inputs_Refineries'!$B$85:$B$164,"Boiler")/SUM(SUMIFS('Key inputs_Refineries'!Z$85:Z$164,'Key inputs_Refineries'!$C$85:$C$164,$C541:$C550,'Key inputs_Refineries'!$B$85:$B$164,"Boiler"))&gt;0,SUMIFS('Key inputs_Refineries'!Z$85:Z$164,'Key inputs_Refineries'!$C$85:$C$164,$C547,'Key inputs_Refineries'!$B$85:$B$164,"Boiler")/SUM(SUMIFS('Key inputs_Refineries'!Z$85:Z$164,'Key inputs_Refineries'!$C$85:$C$164,$C541:$C550,'Key inputs_Refineries'!$B$85:$B$164,"Boiler"))&lt;0.001),0.001,SUMIFS('Key inputs_Refineries'!Z$85:Z$164,'Key inputs_Refineries'!$C$85:$C$164,$C547,'Key inputs_Refineries'!$B$85:$B$164,"Boiler")/SUM(SUMIFS('Key inputs_Refineries'!Z$85:Z$164,'Key inputs_Refineries'!$C$85:$C$164,$C541:$C550,'Key inputs_Refineries'!$B$85:$B$164,"Boiler"))),0)</f>
        <v>0</v>
      </c>
      <c r="AG547" s="173" cm="1">
        <f t="array" ref="AG547">IFERROR(IF(AND(SUMIFS('Key inputs_Refineries'!AA$85:AA$164,'Key inputs_Refineries'!$C$85:$C$164,$C547,'Key inputs_Refineries'!$B$85:$B$164,"Boiler")/SUM(SUMIFS('Key inputs_Refineries'!AA$85:AA$164,'Key inputs_Refineries'!$C$85:$C$164,$C541:$C550,'Key inputs_Refineries'!$B$85:$B$164,"Boiler"))&gt;0,SUMIFS('Key inputs_Refineries'!AA$85:AA$164,'Key inputs_Refineries'!$C$85:$C$164,$C547,'Key inputs_Refineries'!$B$85:$B$164,"Boiler")/SUM(SUMIFS('Key inputs_Refineries'!AA$85:AA$164,'Key inputs_Refineries'!$C$85:$C$164,$C541:$C550,'Key inputs_Refineries'!$B$85:$B$164,"Boiler"))&lt;0.001),0.001,SUMIFS('Key inputs_Refineries'!AA$85:AA$164,'Key inputs_Refineries'!$C$85:$C$164,$C547,'Key inputs_Refineries'!$B$85:$B$164,"Boiler")/SUM(SUMIFS('Key inputs_Refineries'!AA$85:AA$164,'Key inputs_Refineries'!$C$85:$C$164,$C541:$C550,'Key inputs_Refineries'!$B$85:$B$164,"Boiler"))),0)</f>
        <v>0.14701351118428413</v>
      </c>
      <c r="AH547" s="173" cm="1">
        <f t="array" ref="AH547">IFERROR(IF(AND(SUMIFS('Key inputs_Refineries'!AB$85:AB$164,'Key inputs_Refineries'!$C$85:$C$164,$C547,'Key inputs_Refineries'!$B$85:$B$164,"Boiler")/SUM(SUMIFS('Key inputs_Refineries'!AB$85:AB$164,'Key inputs_Refineries'!$C$85:$C$164,$C541:$C550,'Key inputs_Refineries'!$B$85:$B$164,"Boiler"))&gt;0,SUMIFS('Key inputs_Refineries'!AB$85:AB$164,'Key inputs_Refineries'!$C$85:$C$164,$C547,'Key inputs_Refineries'!$B$85:$B$164,"Boiler")/SUM(SUMIFS('Key inputs_Refineries'!AB$85:AB$164,'Key inputs_Refineries'!$C$85:$C$164,$C541:$C550,'Key inputs_Refineries'!$B$85:$B$164,"Boiler"))&lt;0.001),0.001,SUMIFS('Key inputs_Refineries'!AB$85:AB$164,'Key inputs_Refineries'!$C$85:$C$164,$C547,'Key inputs_Refineries'!$B$85:$B$164,"Boiler")/SUM(SUMIFS('Key inputs_Refineries'!AB$85:AB$164,'Key inputs_Refineries'!$C$85:$C$164,$C541:$C550,'Key inputs_Refineries'!$B$85:$B$164,"Boiler"))),0)</f>
        <v>0</v>
      </c>
      <c r="AI547" s="173" cm="1">
        <f t="array" ref="AI547">IFERROR(IF(AND(SUMIFS('Key inputs_Refineries'!AC$85:AC$164,'Key inputs_Refineries'!$C$85:$C$164,$C547,'Key inputs_Refineries'!$B$85:$B$164,"Boiler")/SUM(SUMIFS('Key inputs_Refineries'!AC$85:AC$164,'Key inputs_Refineries'!$C$85:$C$164,$C541:$C550,'Key inputs_Refineries'!$B$85:$B$164,"Boiler"))&gt;0,SUMIFS('Key inputs_Refineries'!AC$85:AC$164,'Key inputs_Refineries'!$C$85:$C$164,$C547,'Key inputs_Refineries'!$B$85:$B$164,"Boiler")/SUM(SUMIFS('Key inputs_Refineries'!AC$85:AC$164,'Key inputs_Refineries'!$C$85:$C$164,$C541:$C550,'Key inputs_Refineries'!$B$85:$B$164,"Boiler"))&lt;0.001),0.001,SUMIFS('Key inputs_Refineries'!AC$85:AC$164,'Key inputs_Refineries'!$C$85:$C$164,$C547,'Key inputs_Refineries'!$B$85:$B$164,"Boiler")/SUM(SUMIFS('Key inputs_Refineries'!AC$85:AC$164,'Key inputs_Refineries'!$C$85:$C$164,$C541:$C550,'Key inputs_Refineries'!$B$85:$B$164,"Boiler"))),0)</f>
        <v>8.2300446207238476E-2</v>
      </c>
      <c r="AJ547" s="173" cm="1">
        <f t="array" ref="AJ547">IFERROR(IF(AND(SUMIFS('Key inputs_Refineries'!AD$85:AD$164,'Key inputs_Refineries'!$C$85:$C$164,$C547,'Key inputs_Refineries'!$B$85:$B$164,"Boiler")/SUM(SUMIFS('Key inputs_Refineries'!AD$85:AD$164,'Key inputs_Refineries'!$C$85:$C$164,$C541:$C550,'Key inputs_Refineries'!$B$85:$B$164,"Boiler"))&gt;0,SUMIFS('Key inputs_Refineries'!AD$85:AD$164,'Key inputs_Refineries'!$C$85:$C$164,$C547,'Key inputs_Refineries'!$B$85:$B$164,"Boiler")/SUM(SUMIFS('Key inputs_Refineries'!AD$85:AD$164,'Key inputs_Refineries'!$C$85:$C$164,$C541:$C550,'Key inputs_Refineries'!$B$85:$B$164,"Boiler"))&lt;0.001),0.001,SUMIFS('Key inputs_Refineries'!AD$85:AD$164,'Key inputs_Refineries'!$C$85:$C$164,$C547,'Key inputs_Refineries'!$B$85:$B$164,"Boiler")/SUM(SUMIFS('Key inputs_Refineries'!AD$85:AD$164,'Key inputs_Refineries'!$C$85:$C$164,$C541:$C550,'Key inputs_Refineries'!$B$85:$B$164,"Boiler"))),0)</f>
        <v>0</v>
      </c>
      <c r="AK547" s="173" cm="1">
        <f t="array" ref="AK547">IFERROR(IF(AND(SUMIFS('Key inputs_Refineries'!AE$85:AE$164,'Key inputs_Refineries'!$C$85:$C$164,$C547,'Key inputs_Refineries'!$B$85:$B$164,"Boiler")/SUM(SUMIFS('Key inputs_Refineries'!AE$85:AE$164,'Key inputs_Refineries'!$C$85:$C$164,$C541:$C550,'Key inputs_Refineries'!$B$85:$B$164,"Boiler"))&gt;0,SUMIFS('Key inputs_Refineries'!AE$85:AE$164,'Key inputs_Refineries'!$C$85:$C$164,$C547,'Key inputs_Refineries'!$B$85:$B$164,"Boiler")/SUM(SUMIFS('Key inputs_Refineries'!AE$85:AE$164,'Key inputs_Refineries'!$C$85:$C$164,$C541:$C550,'Key inputs_Refineries'!$B$85:$B$164,"Boiler"))&lt;0.001),0.001,SUMIFS('Key inputs_Refineries'!AE$85:AE$164,'Key inputs_Refineries'!$C$85:$C$164,$C547,'Key inputs_Refineries'!$B$85:$B$164,"Boiler")/SUM(SUMIFS('Key inputs_Refineries'!AE$85:AE$164,'Key inputs_Refineries'!$C$85:$C$164,$C541:$C550,'Key inputs_Refineries'!$B$85:$B$164,"Boiler"))),0)</f>
        <v>0.19642918031687168</v>
      </c>
      <c r="AL547" s="173" cm="1">
        <f t="array" ref="AL547">IFERROR(IF(AND(SUMIFS('Key inputs_Refineries'!AF$85:AF$164,'Key inputs_Refineries'!$C$85:$C$164,$C547,'Key inputs_Refineries'!$B$85:$B$164,"Boiler")/SUM(SUMIFS('Key inputs_Refineries'!AF$85:AF$164,'Key inputs_Refineries'!$C$85:$C$164,$C541:$C550,'Key inputs_Refineries'!$B$85:$B$164,"Boiler"))&gt;0,SUMIFS('Key inputs_Refineries'!AF$85:AF$164,'Key inputs_Refineries'!$C$85:$C$164,$C547,'Key inputs_Refineries'!$B$85:$B$164,"Boiler")/SUM(SUMIFS('Key inputs_Refineries'!AF$85:AF$164,'Key inputs_Refineries'!$C$85:$C$164,$C541:$C550,'Key inputs_Refineries'!$B$85:$B$164,"Boiler"))&lt;0.001),0.001,SUMIFS('Key inputs_Refineries'!AF$85:AF$164,'Key inputs_Refineries'!$C$85:$C$164,$C547,'Key inputs_Refineries'!$B$85:$B$164,"Boiler")/SUM(SUMIFS('Key inputs_Refineries'!AF$85:AF$164,'Key inputs_Refineries'!$C$85:$C$164,$C541:$C550,'Key inputs_Refineries'!$B$85:$B$164,"Boiler"))),0)</f>
        <v>3.7520915854909229E-2</v>
      </c>
    </row>
    <row r="548" spans="1:38">
      <c r="C548" t="str">
        <f>Commodities!$C$98</f>
        <v>UPSNAP</v>
      </c>
      <c r="G548" s="4" t="s">
        <v>702</v>
      </c>
      <c r="H548" t="s">
        <v>661</v>
      </c>
      <c r="I548">
        <v>2019</v>
      </c>
      <c r="J548" t="s">
        <v>650</v>
      </c>
      <c r="K548" s="173" cm="1">
        <f t="array" ref="K548">IFERROR(IF(AND(SUMIFS('Key inputs_Refineries'!E$85:E$164,'Key inputs_Refineries'!$C$85:$C$164,$C548,'Key inputs_Refineries'!$B$85:$B$164,"Boiler")/SUM(SUMIFS('Key inputs_Refineries'!E$85:E$164,'Key inputs_Refineries'!$C$85:$C$164,$C541:$C550,'Key inputs_Refineries'!$B$85:$B$164,"Boiler"))&gt;0,SUMIFS('Key inputs_Refineries'!E$85:E$164,'Key inputs_Refineries'!$C$85:$C$164,$C548,'Key inputs_Refineries'!$B$85:$B$164,"Boiler")/SUM(SUMIFS('Key inputs_Refineries'!E$85:E$164,'Key inputs_Refineries'!$C$85:$C$164,$C541:$C550,'Key inputs_Refineries'!$B$85:$B$164,"Boiler"))&lt;0.001),0.001,SUMIFS('Key inputs_Refineries'!E$85:E$164,'Key inputs_Refineries'!$C$85:$C$164,$C548,'Key inputs_Refineries'!$B$85:$B$164,"Boiler")/SUM(SUMIFS('Key inputs_Refineries'!E$85:E$164,'Key inputs_Refineries'!$C$85:$C$164,$C541:$C550,'Key inputs_Refineries'!$B$85:$B$164,"Boiler"))),0)</f>
        <v>0</v>
      </c>
      <c r="L548" s="173" cm="1">
        <f t="array" ref="L548">IFERROR(IF(AND(SUMIFS('Key inputs_Refineries'!F$85:F$164,'Key inputs_Refineries'!$C$85:$C$164,$C548,'Key inputs_Refineries'!$B$85:$B$164,"Boiler")/SUM(SUMIFS('Key inputs_Refineries'!F$85:F$164,'Key inputs_Refineries'!$C$85:$C$164,$C541:$C550,'Key inputs_Refineries'!$B$85:$B$164,"Boiler"))&gt;0,SUMIFS('Key inputs_Refineries'!F$85:F$164,'Key inputs_Refineries'!$C$85:$C$164,$C548,'Key inputs_Refineries'!$B$85:$B$164,"Boiler")/SUM(SUMIFS('Key inputs_Refineries'!F$85:F$164,'Key inputs_Refineries'!$C$85:$C$164,$C541:$C550,'Key inputs_Refineries'!$B$85:$B$164,"Boiler"))&lt;0.001),0.001,SUMIFS('Key inputs_Refineries'!F$85:F$164,'Key inputs_Refineries'!$C$85:$C$164,$C548,'Key inputs_Refineries'!$B$85:$B$164,"Boiler")/SUM(SUMIFS('Key inputs_Refineries'!F$85:F$164,'Key inputs_Refineries'!$C$85:$C$164,$C541:$C550,'Key inputs_Refineries'!$B$85:$B$164,"Boiler"))),0)</f>
        <v>0</v>
      </c>
      <c r="M548" s="173" cm="1">
        <f t="array" ref="M548">IFERROR(IF(AND(SUMIFS('Key inputs_Refineries'!G$85:G$164,'Key inputs_Refineries'!$C$85:$C$164,$C548,'Key inputs_Refineries'!$B$85:$B$164,"Boiler")/SUM(SUMIFS('Key inputs_Refineries'!G$85:G$164,'Key inputs_Refineries'!$C$85:$C$164,$C541:$C550,'Key inputs_Refineries'!$B$85:$B$164,"Boiler"))&gt;0,SUMIFS('Key inputs_Refineries'!G$85:G$164,'Key inputs_Refineries'!$C$85:$C$164,$C548,'Key inputs_Refineries'!$B$85:$B$164,"Boiler")/SUM(SUMIFS('Key inputs_Refineries'!G$85:G$164,'Key inputs_Refineries'!$C$85:$C$164,$C541:$C550,'Key inputs_Refineries'!$B$85:$B$164,"Boiler"))&lt;0.001),0.001,SUMIFS('Key inputs_Refineries'!G$85:G$164,'Key inputs_Refineries'!$C$85:$C$164,$C548,'Key inputs_Refineries'!$B$85:$B$164,"Boiler")/SUM(SUMIFS('Key inputs_Refineries'!G$85:G$164,'Key inputs_Refineries'!$C$85:$C$164,$C541:$C550,'Key inputs_Refineries'!$B$85:$B$164,"Boiler"))),0)</f>
        <v>0</v>
      </c>
      <c r="N548" s="173" cm="1">
        <f t="array" ref="N548">IFERROR(IF(AND(SUMIFS('Key inputs_Refineries'!H$85:H$164,'Key inputs_Refineries'!$C$85:$C$164,$C548,'Key inputs_Refineries'!$B$85:$B$164,"Boiler")/SUM(SUMIFS('Key inputs_Refineries'!H$85:H$164,'Key inputs_Refineries'!$C$85:$C$164,$C541:$C550,'Key inputs_Refineries'!$B$85:$B$164,"Boiler"))&gt;0,SUMIFS('Key inputs_Refineries'!H$85:H$164,'Key inputs_Refineries'!$C$85:$C$164,$C548,'Key inputs_Refineries'!$B$85:$B$164,"Boiler")/SUM(SUMIFS('Key inputs_Refineries'!H$85:H$164,'Key inputs_Refineries'!$C$85:$C$164,$C541:$C550,'Key inputs_Refineries'!$B$85:$B$164,"Boiler"))&lt;0.001),0.001,SUMIFS('Key inputs_Refineries'!H$85:H$164,'Key inputs_Refineries'!$C$85:$C$164,$C548,'Key inputs_Refineries'!$B$85:$B$164,"Boiler")/SUM(SUMIFS('Key inputs_Refineries'!H$85:H$164,'Key inputs_Refineries'!$C$85:$C$164,$C541:$C550,'Key inputs_Refineries'!$B$85:$B$164,"Boiler"))),0)</f>
        <v>0</v>
      </c>
      <c r="O548" s="173" cm="1">
        <f t="array" ref="O548">IFERROR(IF(AND(SUMIFS('Key inputs_Refineries'!I$85:I$164,'Key inputs_Refineries'!$C$85:$C$164,$C548,'Key inputs_Refineries'!$B$85:$B$164,"Boiler")/SUM(SUMIFS('Key inputs_Refineries'!I$85:I$164,'Key inputs_Refineries'!$C$85:$C$164,$C541:$C550,'Key inputs_Refineries'!$B$85:$B$164,"Boiler"))&gt;0,SUMIFS('Key inputs_Refineries'!I$85:I$164,'Key inputs_Refineries'!$C$85:$C$164,$C548,'Key inputs_Refineries'!$B$85:$B$164,"Boiler")/SUM(SUMIFS('Key inputs_Refineries'!I$85:I$164,'Key inputs_Refineries'!$C$85:$C$164,$C541:$C550,'Key inputs_Refineries'!$B$85:$B$164,"Boiler"))&lt;0.001),0.001,SUMIFS('Key inputs_Refineries'!I$85:I$164,'Key inputs_Refineries'!$C$85:$C$164,$C548,'Key inputs_Refineries'!$B$85:$B$164,"Boiler")/SUM(SUMIFS('Key inputs_Refineries'!I$85:I$164,'Key inputs_Refineries'!$C$85:$C$164,$C541:$C550,'Key inputs_Refineries'!$B$85:$B$164,"Boiler"))),0)</f>
        <v>0</v>
      </c>
      <c r="P548" s="173" cm="1">
        <f t="array" ref="P548">IFERROR(IF(AND(SUMIFS('Key inputs_Refineries'!J$85:J$164,'Key inputs_Refineries'!$C$85:$C$164,$C548,'Key inputs_Refineries'!$B$85:$B$164,"Boiler")/SUM(SUMIFS('Key inputs_Refineries'!J$85:J$164,'Key inputs_Refineries'!$C$85:$C$164,$C541:$C550,'Key inputs_Refineries'!$B$85:$B$164,"Boiler"))&gt;0,SUMIFS('Key inputs_Refineries'!J$85:J$164,'Key inputs_Refineries'!$C$85:$C$164,$C548,'Key inputs_Refineries'!$B$85:$B$164,"Boiler")/SUM(SUMIFS('Key inputs_Refineries'!J$85:J$164,'Key inputs_Refineries'!$C$85:$C$164,$C541:$C550,'Key inputs_Refineries'!$B$85:$B$164,"Boiler"))&lt;0.001),0.001,SUMIFS('Key inputs_Refineries'!J$85:J$164,'Key inputs_Refineries'!$C$85:$C$164,$C548,'Key inputs_Refineries'!$B$85:$B$164,"Boiler")/SUM(SUMIFS('Key inputs_Refineries'!J$85:J$164,'Key inputs_Refineries'!$C$85:$C$164,$C541:$C550,'Key inputs_Refineries'!$B$85:$B$164,"Boiler"))),0)</f>
        <v>0</v>
      </c>
      <c r="Q548" s="173" cm="1">
        <f t="array" ref="Q548">IFERROR(IF(AND(SUMIFS('Key inputs_Refineries'!K$85:K$164,'Key inputs_Refineries'!$C$85:$C$164,$C548,'Key inputs_Refineries'!$B$85:$B$164,"Boiler")/SUM(SUMIFS('Key inputs_Refineries'!K$85:K$164,'Key inputs_Refineries'!$C$85:$C$164,$C541:$C550,'Key inputs_Refineries'!$B$85:$B$164,"Boiler"))&gt;0,SUMIFS('Key inputs_Refineries'!K$85:K$164,'Key inputs_Refineries'!$C$85:$C$164,$C548,'Key inputs_Refineries'!$B$85:$B$164,"Boiler")/SUM(SUMIFS('Key inputs_Refineries'!K$85:K$164,'Key inputs_Refineries'!$C$85:$C$164,$C541:$C550,'Key inputs_Refineries'!$B$85:$B$164,"Boiler"))&lt;0.001),0.001,SUMIFS('Key inputs_Refineries'!K$85:K$164,'Key inputs_Refineries'!$C$85:$C$164,$C548,'Key inputs_Refineries'!$B$85:$B$164,"Boiler")/SUM(SUMIFS('Key inputs_Refineries'!K$85:K$164,'Key inputs_Refineries'!$C$85:$C$164,$C541:$C550,'Key inputs_Refineries'!$B$85:$B$164,"Boiler"))),0)</f>
        <v>0</v>
      </c>
      <c r="R548" s="173" cm="1">
        <f t="array" ref="R548">IFERROR(IF(AND(SUMIFS('Key inputs_Refineries'!L$85:L$164,'Key inputs_Refineries'!$C$85:$C$164,$C548,'Key inputs_Refineries'!$B$85:$B$164,"Boiler")/SUM(SUMIFS('Key inputs_Refineries'!L$85:L$164,'Key inputs_Refineries'!$C$85:$C$164,$C541:$C550,'Key inputs_Refineries'!$B$85:$B$164,"Boiler"))&gt;0,SUMIFS('Key inputs_Refineries'!L$85:L$164,'Key inputs_Refineries'!$C$85:$C$164,$C548,'Key inputs_Refineries'!$B$85:$B$164,"Boiler")/SUM(SUMIFS('Key inputs_Refineries'!L$85:L$164,'Key inputs_Refineries'!$C$85:$C$164,$C541:$C550,'Key inputs_Refineries'!$B$85:$B$164,"Boiler"))&lt;0.001),0.001,SUMIFS('Key inputs_Refineries'!L$85:L$164,'Key inputs_Refineries'!$C$85:$C$164,$C548,'Key inputs_Refineries'!$B$85:$B$164,"Boiler")/SUM(SUMIFS('Key inputs_Refineries'!L$85:L$164,'Key inputs_Refineries'!$C$85:$C$164,$C541:$C550,'Key inputs_Refineries'!$B$85:$B$164,"Boiler"))),0)</f>
        <v>0</v>
      </c>
      <c r="S548" s="173" cm="1">
        <f t="array" ref="S548">IFERROR(IF(AND(SUMIFS('Key inputs_Refineries'!M$85:M$164,'Key inputs_Refineries'!$C$85:$C$164,$C548,'Key inputs_Refineries'!$B$85:$B$164,"Boiler")/SUM(SUMIFS('Key inputs_Refineries'!M$85:M$164,'Key inputs_Refineries'!$C$85:$C$164,$C541:$C550,'Key inputs_Refineries'!$B$85:$B$164,"Boiler"))&gt;0,SUMIFS('Key inputs_Refineries'!M$85:M$164,'Key inputs_Refineries'!$C$85:$C$164,$C548,'Key inputs_Refineries'!$B$85:$B$164,"Boiler")/SUM(SUMIFS('Key inputs_Refineries'!M$85:M$164,'Key inputs_Refineries'!$C$85:$C$164,$C541:$C550,'Key inputs_Refineries'!$B$85:$B$164,"Boiler"))&lt;0.001),0.001,SUMIFS('Key inputs_Refineries'!M$85:M$164,'Key inputs_Refineries'!$C$85:$C$164,$C548,'Key inputs_Refineries'!$B$85:$B$164,"Boiler")/SUM(SUMIFS('Key inputs_Refineries'!M$85:M$164,'Key inputs_Refineries'!$C$85:$C$164,$C541:$C550,'Key inputs_Refineries'!$B$85:$B$164,"Boiler"))),0)</f>
        <v>0</v>
      </c>
      <c r="T548" s="173" cm="1">
        <f t="array" ref="T548">IFERROR(IF(AND(SUMIFS('Key inputs_Refineries'!N$85:N$164,'Key inputs_Refineries'!$C$85:$C$164,$C548,'Key inputs_Refineries'!$B$85:$B$164,"Boiler")/SUM(SUMIFS('Key inputs_Refineries'!N$85:N$164,'Key inputs_Refineries'!$C$85:$C$164,$C541:$C550,'Key inputs_Refineries'!$B$85:$B$164,"Boiler"))&gt;0,SUMIFS('Key inputs_Refineries'!N$85:N$164,'Key inputs_Refineries'!$C$85:$C$164,$C548,'Key inputs_Refineries'!$B$85:$B$164,"Boiler")/SUM(SUMIFS('Key inputs_Refineries'!N$85:N$164,'Key inputs_Refineries'!$C$85:$C$164,$C541:$C550,'Key inputs_Refineries'!$B$85:$B$164,"Boiler"))&lt;0.001),0.001,SUMIFS('Key inputs_Refineries'!N$85:N$164,'Key inputs_Refineries'!$C$85:$C$164,$C548,'Key inputs_Refineries'!$B$85:$B$164,"Boiler")/SUM(SUMIFS('Key inputs_Refineries'!N$85:N$164,'Key inputs_Refineries'!$C$85:$C$164,$C541:$C550,'Key inputs_Refineries'!$B$85:$B$164,"Boiler"))),0)</f>
        <v>0</v>
      </c>
      <c r="U548" s="173" cm="1">
        <f t="array" ref="U548">IFERROR(IF(AND(SUMIFS('Key inputs_Refineries'!O$85:O$164,'Key inputs_Refineries'!$C$85:$C$164,$C548,'Key inputs_Refineries'!$B$85:$B$164,"Boiler")/SUM(SUMIFS('Key inputs_Refineries'!O$85:O$164,'Key inputs_Refineries'!$C$85:$C$164,$C541:$C550,'Key inputs_Refineries'!$B$85:$B$164,"Boiler"))&gt;0,SUMIFS('Key inputs_Refineries'!O$85:O$164,'Key inputs_Refineries'!$C$85:$C$164,$C548,'Key inputs_Refineries'!$B$85:$B$164,"Boiler")/SUM(SUMIFS('Key inputs_Refineries'!O$85:O$164,'Key inputs_Refineries'!$C$85:$C$164,$C541:$C550,'Key inputs_Refineries'!$B$85:$B$164,"Boiler"))&lt;0.001),0.001,SUMIFS('Key inputs_Refineries'!O$85:O$164,'Key inputs_Refineries'!$C$85:$C$164,$C548,'Key inputs_Refineries'!$B$85:$B$164,"Boiler")/SUM(SUMIFS('Key inputs_Refineries'!O$85:O$164,'Key inputs_Refineries'!$C$85:$C$164,$C541:$C550,'Key inputs_Refineries'!$B$85:$B$164,"Boiler"))),0)</f>
        <v>0</v>
      </c>
      <c r="V548" s="173" cm="1">
        <f t="array" ref="V548">IFERROR(IF(AND(SUMIFS('Key inputs_Refineries'!P$85:P$164,'Key inputs_Refineries'!$C$85:$C$164,$C548,'Key inputs_Refineries'!$B$85:$B$164,"Boiler")/SUM(SUMIFS('Key inputs_Refineries'!P$85:P$164,'Key inputs_Refineries'!$C$85:$C$164,$C541:$C550,'Key inputs_Refineries'!$B$85:$B$164,"Boiler"))&gt;0,SUMIFS('Key inputs_Refineries'!P$85:P$164,'Key inputs_Refineries'!$C$85:$C$164,$C548,'Key inputs_Refineries'!$B$85:$B$164,"Boiler")/SUM(SUMIFS('Key inputs_Refineries'!P$85:P$164,'Key inputs_Refineries'!$C$85:$C$164,$C541:$C550,'Key inputs_Refineries'!$B$85:$B$164,"Boiler"))&lt;0.001),0.001,SUMIFS('Key inputs_Refineries'!P$85:P$164,'Key inputs_Refineries'!$C$85:$C$164,$C548,'Key inputs_Refineries'!$B$85:$B$164,"Boiler")/SUM(SUMIFS('Key inputs_Refineries'!P$85:P$164,'Key inputs_Refineries'!$C$85:$C$164,$C541:$C550,'Key inputs_Refineries'!$B$85:$B$164,"Boiler"))),0)</f>
        <v>8.1634477464035786E-3</v>
      </c>
      <c r="W548" s="173" cm="1">
        <f t="array" ref="W548">IFERROR(IF(AND(SUMIFS('Key inputs_Refineries'!Q$85:Q$164,'Key inputs_Refineries'!$C$85:$C$164,$C548,'Key inputs_Refineries'!$B$85:$B$164,"Boiler")/SUM(SUMIFS('Key inputs_Refineries'!Q$85:Q$164,'Key inputs_Refineries'!$C$85:$C$164,$C541:$C550,'Key inputs_Refineries'!$B$85:$B$164,"Boiler"))&gt;0,SUMIFS('Key inputs_Refineries'!Q$85:Q$164,'Key inputs_Refineries'!$C$85:$C$164,$C548,'Key inputs_Refineries'!$B$85:$B$164,"Boiler")/SUM(SUMIFS('Key inputs_Refineries'!Q$85:Q$164,'Key inputs_Refineries'!$C$85:$C$164,$C541:$C550,'Key inputs_Refineries'!$B$85:$B$164,"Boiler"))&lt;0.001),0.001,SUMIFS('Key inputs_Refineries'!Q$85:Q$164,'Key inputs_Refineries'!$C$85:$C$164,$C548,'Key inputs_Refineries'!$B$85:$B$164,"Boiler")/SUM(SUMIFS('Key inputs_Refineries'!Q$85:Q$164,'Key inputs_Refineries'!$C$85:$C$164,$C541:$C550,'Key inputs_Refineries'!$B$85:$B$164,"Boiler"))),0)</f>
        <v>0</v>
      </c>
      <c r="X548" s="173" cm="1">
        <f t="array" ref="X548">IFERROR(IF(AND(SUMIFS('Key inputs_Refineries'!R$85:R$164,'Key inputs_Refineries'!$C$85:$C$164,$C548,'Key inputs_Refineries'!$B$85:$B$164,"Boiler")/SUM(SUMIFS('Key inputs_Refineries'!R$85:R$164,'Key inputs_Refineries'!$C$85:$C$164,$C541:$C550,'Key inputs_Refineries'!$B$85:$B$164,"Boiler"))&gt;0,SUMIFS('Key inputs_Refineries'!R$85:R$164,'Key inputs_Refineries'!$C$85:$C$164,$C548,'Key inputs_Refineries'!$B$85:$B$164,"Boiler")/SUM(SUMIFS('Key inputs_Refineries'!R$85:R$164,'Key inputs_Refineries'!$C$85:$C$164,$C541:$C550,'Key inputs_Refineries'!$B$85:$B$164,"Boiler"))&lt;0.001),0.001,SUMIFS('Key inputs_Refineries'!R$85:R$164,'Key inputs_Refineries'!$C$85:$C$164,$C548,'Key inputs_Refineries'!$B$85:$B$164,"Boiler")/SUM(SUMIFS('Key inputs_Refineries'!R$85:R$164,'Key inputs_Refineries'!$C$85:$C$164,$C541:$C550,'Key inputs_Refineries'!$B$85:$B$164,"Boiler"))),0)</f>
        <v>0</v>
      </c>
      <c r="Y548" s="173" cm="1">
        <f t="array" ref="Y548">IFERROR(IF(AND(SUMIFS('Key inputs_Refineries'!S$85:S$164,'Key inputs_Refineries'!$C$85:$C$164,$C548,'Key inputs_Refineries'!$B$85:$B$164,"Boiler")/SUM(SUMIFS('Key inputs_Refineries'!S$85:S$164,'Key inputs_Refineries'!$C$85:$C$164,$C541:$C550,'Key inputs_Refineries'!$B$85:$B$164,"Boiler"))&gt;0,SUMIFS('Key inputs_Refineries'!S$85:S$164,'Key inputs_Refineries'!$C$85:$C$164,$C548,'Key inputs_Refineries'!$B$85:$B$164,"Boiler")/SUM(SUMIFS('Key inputs_Refineries'!S$85:S$164,'Key inputs_Refineries'!$C$85:$C$164,$C541:$C550,'Key inputs_Refineries'!$B$85:$B$164,"Boiler"))&lt;0.001),0.001,SUMIFS('Key inputs_Refineries'!S$85:S$164,'Key inputs_Refineries'!$C$85:$C$164,$C548,'Key inputs_Refineries'!$B$85:$B$164,"Boiler")/SUM(SUMIFS('Key inputs_Refineries'!S$85:S$164,'Key inputs_Refineries'!$C$85:$C$164,$C541:$C550,'Key inputs_Refineries'!$B$85:$B$164,"Boiler"))),0)</f>
        <v>0</v>
      </c>
      <c r="Z548" s="173" cm="1">
        <f t="array" ref="Z548">IFERROR(IF(AND(SUMIFS('Key inputs_Refineries'!T$85:T$164,'Key inputs_Refineries'!$C$85:$C$164,$C548,'Key inputs_Refineries'!$B$85:$B$164,"Boiler")/SUM(SUMIFS('Key inputs_Refineries'!T$85:T$164,'Key inputs_Refineries'!$C$85:$C$164,$C541:$C550,'Key inputs_Refineries'!$B$85:$B$164,"Boiler"))&gt;0,SUMIFS('Key inputs_Refineries'!T$85:T$164,'Key inputs_Refineries'!$C$85:$C$164,$C548,'Key inputs_Refineries'!$B$85:$B$164,"Boiler")/SUM(SUMIFS('Key inputs_Refineries'!T$85:T$164,'Key inputs_Refineries'!$C$85:$C$164,$C541:$C550,'Key inputs_Refineries'!$B$85:$B$164,"Boiler"))&lt;0.001),0.001,SUMIFS('Key inputs_Refineries'!T$85:T$164,'Key inputs_Refineries'!$C$85:$C$164,$C548,'Key inputs_Refineries'!$B$85:$B$164,"Boiler")/SUM(SUMIFS('Key inputs_Refineries'!T$85:T$164,'Key inputs_Refineries'!$C$85:$C$164,$C541:$C550,'Key inputs_Refineries'!$B$85:$B$164,"Boiler"))),0)</f>
        <v>0</v>
      </c>
      <c r="AA548" s="173" cm="1">
        <f t="array" ref="AA548">IFERROR(IF(AND(SUMIFS('Key inputs_Refineries'!U$85:U$164,'Key inputs_Refineries'!$C$85:$C$164,$C548,'Key inputs_Refineries'!$B$85:$B$164,"Boiler")/SUM(SUMIFS('Key inputs_Refineries'!U$85:U$164,'Key inputs_Refineries'!$C$85:$C$164,$C541:$C550,'Key inputs_Refineries'!$B$85:$B$164,"Boiler"))&gt;0,SUMIFS('Key inputs_Refineries'!U$85:U$164,'Key inputs_Refineries'!$C$85:$C$164,$C548,'Key inputs_Refineries'!$B$85:$B$164,"Boiler")/SUM(SUMIFS('Key inputs_Refineries'!U$85:U$164,'Key inputs_Refineries'!$C$85:$C$164,$C541:$C550,'Key inputs_Refineries'!$B$85:$B$164,"Boiler"))&lt;0.001),0.001,SUMIFS('Key inputs_Refineries'!U$85:U$164,'Key inputs_Refineries'!$C$85:$C$164,$C548,'Key inputs_Refineries'!$B$85:$B$164,"Boiler")/SUM(SUMIFS('Key inputs_Refineries'!U$85:U$164,'Key inputs_Refineries'!$C$85:$C$164,$C541:$C550,'Key inputs_Refineries'!$B$85:$B$164,"Boiler"))),0)</f>
        <v>0</v>
      </c>
      <c r="AB548" s="173" cm="1">
        <f t="array" ref="AB548">IFERROR(IF(AND(SUMIFS('Key inputs_Refineries'!V$85:V$164,'Key inputs_Refineries'!$C$85:$C$164,$C548,'Key inputs_Refineries'!$B$85:$B$164,"Boiler")/SUM(SUMIFS('Key inputs_Refineries'!V$85:V$164,'Key inputs_Refineries'!$C$85:$C$164,$C541:$C550,'Key inputs_Refineries'!$B$85:$B$164,"Boiler"))&gt;0,SUMIFS('Key inputs_Refineries'!V$85:V$164,'Key inputs_Refineries'!$C$85:$C$164,$C548,'Key inputs_Refineries'!$B$85:$B$164,"Boiler")/SUM(SUMIFS('Key inputs_Refineries'!V$85:V$164,'Key inputs_Refineries'!$C$85:$C$164,$C541:$C550,'Key inputs_Refineries'!$B$85:$B$164,"Boiler"))&lt;0.001),0.001,SUMIFS('Key inputs_Refineries'!V$85:V$164,'Key inputs_Refineries'!$C$85:$C$164,$C548,'Key inputs_Refineries'!$B$85:$B$164,"Boiler")/SUM(SUMIFS('Key inputs_Refineries'!V$85:V$164,'Key inputs_Refineries'!$C$85:$C$164,$C541:$C550,'Key inputs_Refineries'!$B$85:$B$164,"Boiler"))),0)</f>
        <v>0</v>
      </c>
      <c r="AC548" s="173" cm="1">
        <f t="array" ref="AC548">IFERROR(IF(AND(SUMIFS('Key inputs_Refineries'!W$85:W$164,'Key inputs_Refineries'!$C$85:$C$164,$C548,'Key inputs_Refineries'!$B$85:$B$164,"Boiler")/SUM(SUMIFS('Key inputs_Refineries'!W$85:W$164,'Key inputs_Refineries'!$C$85:$C$164,$C541:$C550,'Key inputs_Refineries'!$B$85:$B$164,"Boiler"))&gt;0,SUMIFS('Key inputs_Refineries'!W$85:W$164,'Key inputs_Refineries'!$C$85:$C$164,$C548,'Key inputs_Refineries'!$B$85:$B$164,"Boiler")/SUM(SUMIFS('Key inputs_Refineries'!W$85:W$164,'Key inputs_Refineries'!$C$85:$C$164,$C541:$C550,'Key inputs_Refineries'!$B$85:$B$164,"Boiler"))&lt;0.001),0.001,SUMIFS('Key inputs_Refineries'!W$85:W$164,'Key inputs_Refineries'!$C$85:$C$164,$C548,'Key inputs_Refineries'!$B$85:$B$164,"Boiler")/SUM(SUMIFS('Key inputs_Refineries'!W$85:W$164,'Key inputs_Refineries'!$C$85:$C$164,$C541:$C550,'Key inputs_Refineries'!$B$85:$B$164,"Boiler"))),0)</f>
        <v>0</v>
      </c>
      <c r="AD548" s="173" cm="1">
        <f t="array" ref="AD548">IFERROR(IF(AND(SUMIFS('Key inputs_Refineries'!X$85:X$164,'Key inputs_Refineries'!$C$85:$C$164,$C548,'Key inputs_Refineries'!$B$85:$B$164,"Boiler")/SUM(SUMIFS('Key inputs_Refineries'!X$85:X$164,'Key inputs_Refineries'!$C$85:$C$164,$C541:$C550,'Key inputs_Refineries'!$B$85:$B$164,"Boiler"))&gt;0,SUMIFS('Key inputs_Refineries'!X$85:X$164,'Key inputs_Refineries'!$C$85:$C$164,$C548,'Key inputs_Refineries'!$B$85:$B$164,"Boiler")/SUM(SUMIFS('Key inputs_Refineries'!X$85:X$164,'Key inputs_Refineries'!$C$85:$C$164,$C541:$C550,'Key inputs_Refineries'!$B$85:$B$164,"Boiler"))&lt;0.001),0.001,SUMIFS('Key inputs_Refineries'!X$85:X$164,'Key inputs_Refineries'!$C$85:$C$164,$C548,'Key inputs_Refineries'!$B$85:$B$164,"Boiler")/SUM(SUMIFS('Key inputs_Refineries'!X$85:X$164,'Key inputs_Refineries'!$C$85:$C$164,$C541:$C550,'Key inputs_Refineries'!$B$85:$B$164,"Boiler"))),0)</f>
        <v>4.2432215423606054E-3</v>
      </c>
      <c r="AE548" s="173" cm="1">
        <f t="array" ref="AE548">IFERROR(IF(AND(SUMIFS('Key inputs_Refineries'!Y$85:Y$164,'Key inputs_Refineries'!$C$85:$C$164,$C548,'Key inputs_Refineries'!$B$85:$B$164,"Boiler")/SUM(SUMIFS('Key inputs_Refineries'!Y$85:Y$164,'Key inputs_Refineries'!$C$85:$C$164,$C541:$C550,'Key inputs_Refineries'!$B$85:$B$164,"Boiler"))&gt;0,SUMIFS('Key inputs_Refineries'!Y$85:Y$164,'Key inputs_Refineries'!$C$85:$C$164,$C548,'Key inputs_Refineries'!$B$85:$B$164,"Boiler")/SUM(SUMIFS('Key inputs_Refineries'!Y$85:Y$164,'Key inputs_Refineries'!$C$85:$C$164,$C541:$C550,'Key inputs_Refineries'!$B$85:$B$164,"Boiler"))&lt;0.001),0.001,SUMIFS('Key inputs_Refineries'!Y$85:Y$164,'Key inputs_Refineries'!$C$85:$C$164,$C548,'Key inputs_Refineries'!$B$85:$B$164,"Boiler")/SUM(SUMIFS('Key inputs_Refineries'!Y$85:Y$164,'Key inputs_Refineries'!$C$85:$C$164,$C541:$C550,'Key inputs_Refineries'!$B$85:$B$164,"Boiler"))),0)</f>
        <v>1E-3</v>
      </c>
      <c r="AF548" s="173" cm="1">
        <f t="array" ref="AF548">IFERROR(IF(AND(SUMIFS('Key inputs_Refineries'!Z$85:Z$164,'Key inputs_Refineries'!$C$85:$C$164,$C548,'Key inputs_Refineries'!$B$85:$B$164,"Boiler")/SUM(SUMIFS('Key inputs_Refineries'!Z$85:Z$164,'Key inputs_Refineries'!$C$85:$C$164,$C541:$C550,'Key inputs_Refineries'!$B$85:$B$164,"Boiler"))&gt;0,SUMIFS('Key inputs_Refineries'!Z$85:Z$164,'Key inputs_Refineries'!$C$85:$C$164,$C548,'Key inputs_Refineries'!$B$85:$B$164,"Boiler")/SUM(SUMIFS('Key inputs_Refineries'!Z$85:Z$164,'Key inputs_Refineries'!$C$85:$C$164,$C541:$C550,'Key inputs_Refineries'!$B$85:$B$164,"Boiler"))&lt;0.001),0.001,SUMIFS('Key inputs_Refineries'!Z$85:Z$164,'Key inputs_Refineries'!$C$85:$C$164,$C548,'Key inputs_Refineries'!$B$85:$B$164,"Boiler")/SUM(SUMIFS('Key inputs_Refineries'!Z$85:Z$164,'Key inputs_Refineries'!$C$85:$C$164,$C541:$C550,'Key inputs_Refineries'!$B$85:$B$164,"Boiler"))),0)</f>
        <v>0</v>
      </c>
      <c r="AG548" s="173" cm="1">
        <f t="array" ref="AG548">IFERROR(IF(AND(SUMIFS('Key inputs_Refineries'!AA$85:AA$164,'Key inputs_Refineries'!$C$85:$C$164,$C548,'Key inputs_Refineries'!$B$85:$B$164,"Boiler")/SUM(SUMIFS('Key inputs_Refineries'!AA$85:AA$164,'Key inputs_Refineries'!$C$85:$C$164,$C541:$C550,'Key inputs_Refineries'!$B$85:$B$164,"Boiler"))&gt;0,SUMIFS('Key inputs_Refineries'!AA$85:AA$164,'Key inputs_Refineries'!$C$85:$C$164,$C548,'Key inputs_Refineries'!$B$85:$B$164,"Boiler")/SUM(SUMIFS('Key inputs_Refineries'!AA$85:AA$164,'Key inputs_Refineries'!$C$85:$C$164,$C541:$C550,'Key inputs_Refineries'!$B$85:$B$164,"Boiler"))&lt;0.001),0.001,SUMIFS('Key inputs_Refineries'!AA$85:AA$164,'Key inputs_Refineries'!$C$85:$C$164,$C548,'Key inputs_Refineries'!$B$85:$B$164,"Boiler")/SUM(SUMIFS('Key inputs_Refineries'!AA$85:AA$164,'Key inputs_Refineries'!$C$85:$C$164,$C541:$C550,'Key inputs_Refineries'!$B$85:$B$164,"Boiler"))),0)</f>
        <v>1.2999285657333546E-2</v>
      </c>
      <c r="AH548" s="173" cm="1">
        <f t="array" ref="AH548">IFERROR(IF(AND(SUMIFS('Key inputs_Refineries'!AB$85:AB$164,'Key inputs_Refineries'!$C$85:$C$164,$C548,'Key inputs_Refineries'!$B$85:$B$164,"Boiler")/SUM(SUMIFS('Key inputs_Refineries'!AB$85:AB$164,'Key inputs_Refineries'!$C$85:$C$164,$C541:$C550,'Key inputs_Refineries'!$B$85:$B$164,"Boiler"))&gt;0,SUMIFS('Key inputs_Refineries'!AB$85:AB$164,'Key inputs_Refineries'!$C$85:$C$164,$C548,'Key inputs_Refineries'!$B$85:$B$164,"Boiler")/SUM(SUMIFS('Key inputs_Refineries'!AB$85:AB$164,'Key inputs_Refineries'!$C$85:$C$164,$C541:$C550,'Key inputs_Refineries'!$B$85:$B$164,"Boiler"))&lt;0.001),0.001,SUMIFS('Key inputs_Refineries'!AB$85:AB$164,'Key inputs_Refineries'!$C$85:$C$164,$C548,'Key inputs_Refineries'!$B$85:$B$164,"Boiler")/SUM(SUMIFS('Key inputs_Refineries'!AB$85:AB$164,'Key inputs_Refineries'!$C$85:$C$164,$C541:$C550,'Key inputs_Refineries'!$B$85:$B$164,"Boiler"))),0)</f>
        <v>0</v>
      </c>
      <c r="AI548" s="173" cm="1">
        <f t="array" ref="AI548">IFERROR(IF(AND(SUMIFS('Key inputs_Refineries'!AC$85:AC$164,'Key inputs_Refineries'!$C$85:$C$164,$C548,'Key inputs_Refineries'!$B$85:$B$164,"Boiler")/SUM(SUMIFS('Key inputs_Refineries'!AC$85:AC$164,'Key inputs_Refineries'!$C$85:$C$164,$C541:$C550,'Key inputs_Refineries'!$B$85:$B$164,"Boiler"))&gt;0,SUMIFS('Key inputs_Refineries'!AC$85:AC$164,'Key inputs_Refineries'!$C$85:$C$164,$C548,'Key inputs_Refineries'!$B$85:$B$164,"Boiler")/SUM(SUMIFS('Key inputs_Refineries'!AC$85:AC$164,'Key inputs_Refineries'!$C$85:$C$164,$C541:$C550,'Key inputs_Refineries'!$B$85:$B$164,"Boiler"))&lt;0.001),0.001,SUMIFS('Key inputs_Refineries'!AC$85:AC$164,'Key inputs_Refineries'!$C$85:$C$164,$C548,'Key inputs_Refineries'!$B$85:$B$164,"Boiler")/SUM(SUMIFS('Key inputs_Refineries'!AC$85:AC$164,'Key inputs_Refineries'!$C$85:$C$164,$C541:$C550,'Key inputs_Refineries'!$B$85:$B$164,"Boiler"))),0)</f>
        <v>0</v>
      </c>
      <c r="AJ548" s="173" cm="1">
        <f t="array" ref="AJ548">IFERROR(IF(AND(SUMIFS('Key inputs_Refineries'!AD$85:AD$164,'Key inputs_Refineries'!$C$85:$C$164,$C548,'Key inputs_Refineries'!$B$85:$B$164,"Boiler")/SUM(SUMIFS('Key inputs_Refineries'!AD$85:AD$164,'Key inputs_Refineries'!$C$85:$C$164,$C541:$C550,'Key inputs_Refineries'!$B$85:$B$164,"Boiler"))&gt;0,SUMIFS('Key inputs_Refineries'!AD$85:AD$164,'Key inputs_Refineries'!$C$85:$C$164,$C548,'Key inputs_Refineries'!$B$85:$B$164,"Boiler")/SUM(SUMIFS('Key inputs_Refineries'!AD$85:AD$164,'Key inputs_Refineries'!$C$85:$C$164,$C541:$C550,'Key inputs_Refineries'!$B$85:$B$164,"Boiler"))&lt;0.001),0.001,SUMIFS('Key inputs_Refineries'!AD$85:AD$164,'Key inputs_Refineries'!$C$85:$C$164,$C548,'Key inputs_Refineries'!$B$85:$B$164,"Boiler")/SUM(SUMIFS('Key inputs_Refineries'!AD$85:AD$164,'Key inputs_Refineries'!$C$85:$C$164,$C541:$C550,'Key inputs_Refineries'!$B$85:$B$164,"Boiler"))),0)</f>
        <v>0</v>
      </c>
      <c r="AK548" s="173" cm="1">
        <f t="array" ref="AK548">IFERROR(IF(AND(SUMIFS('Key inputs_Refineries'!AE$85:AE$164,'Key inputs_Refineries'!$C$85:$C$164,$C548,'Key inputs_Refineries'!$B$85:$B$164,"Boiler")/SUM(SUMIFS('Key inputs_Refineries'!AE$85:AE$164,'Key inputs_Refineries'!$C$85:$C$164,$C541:$C550,'Key inputs_Refineries'!$B$85:$B$164,"Boiler"))&gt;0,SUMIFS('Key inputs_Refineries'!AE$85:AE$164,'Key inputs_Refineries'!$C$85:$C$164,$C548,'Key inputs_Refineries'!$B$85:$B$164,"Boiler")/SUM(SUMIFS('Key inputs_Refineries'!AE$85:AE$164,'Key inputs_Refineries'!$C$85:$C$164,$C541:$C550,'Key inputs_Refineries'!$B$85:$B$164,"Boiler"))&lt;0.001),0.001,SUMIFS('Key inputs_Refineries'!AE$85:AE$164,'Key inputs_Refineries'!$C$85:$C$164,$C548,'Key inputs_Refineries'!$B$85:$B$164,"Boiler")/SUM(SUMIFS('Key inputs_Refineries'!AE$85:AE$164,'Key inputs_Refineries'!$C$85:$C$164,$C541:$C550,'Key inputs_Refineries'!$B$85:$B$164,"Boiler"))),0)</f>
        <v>0</v>
      </c>
      <c r="AL548" s="173" cm="1">
        <f t="array" ref="AL548">IFERROR(IF(AND(SUMIFS('Key inputs_Refineries'!AF$85:AF$164,'Key inputs_Refineries'!$C$85:$C$164,$C548,'Key inputs_Refineries'!$B$85:$B$164,"Boiler")/SUM(SUMIFS('Key inputs_Refineries'!AF$85:AF$164,'Key inputs_Refineries'!$C$85:$C$164,$C541:$C550,'Key inputs_Refineries'!$B$85:$B$164,"Boiler"))&gt;0,SUMIFS('Key inputs_Refineries'!AF$85:AF$164,'Key inputs_Refineries'!$C$85:$C$164,$C548,'Key inputs_Refineries'!$B$85:$B$164,"Boiler")/SUM(SUMIFS('Key inputs_Refineries'!AF$85:AF$164,'Key inputs_Refineries'!$C$85:$C$164,$C541:$C550,'Key inputs_Refineries'!$B$85:$B$164,"Boiler"))&lt;0.001),0.001,SUMIFS('Key inputs_Refineries'!AF$85:AF$164,'Key inputs_Refineries'!$C$85:$C$164,$C548,'Key inputs_Refineries'!$B$85:$B$164,"Boiler")/SUM(SUMIFS('Key inputs_Refineries'!AF$85:AF$164,'Key inputs_Refineries'!$C$85:$C$164,$C541:$C550,'Key inputs_Refineries'!$B$85:$B$164,"Boiler"))),0)</f>
        <v>1E-3</v>
      </c>
    </row>
    <row r="549" spans="1:38">
      <c r="C549" t="str">
        <f>Commodities!$C$99</f>
        <v>UPSOIL</v>
      </c>
      <c r="G549" s="4" t="s">
        <v>702</v>
      </c>
      <c r="H549" t="s">
        <v>661</v>
      </c>
      <c r="I549">
        <v>2019</v>
      </c>
      <c r="J549" t="s">
        <v>650</v>
      </c>
      <c r="K549" s="173" cm="1">
        <f t="array" ref="K549">IFERROR(IF(AND(SUMIFS('Key inputs_Refineries'!E$85:E$164,'Key inputs_Refineries'!$C$85:$C$164,$C549,'Key inputs_Refineries'!$B$85:$B$164,"Boiler")/SUM(SUMIFS('Key inputs_Refineries'!E$85:E$164,'Key inputs_Refineries'!$C$85:$C$164,$C541:$C550,'Key inputs_Refineries'!$B$85:$B$164,"Boiler"))&gt;0,SUMIFS('Key inputs_Refineries'!E$85:E$164,'Key inputs_Refineries'!$C$85:$C$164,$C549,'Key inputs_Refineries'!$B$85:$B$164,"Boiler")/SUM(SUMIFS('Key inputs_Refineries'!E$85:E$164,'Key inputs_Refineries'!$C$85:$C$164,$C541:$C550,'Key inputs_Refineries'!$B$85:$B$164,"Boiler"))&lt;0.001),0.001,SUMIFS('Key inputs_Refineries'!E$85:E$164,'Key inputs_Refineries'!$C$85:$C$164,$C549,'Key inputs_Refineries'!$B$85:$B$164,"Boiler")/SUM(SUMIFS('Key inputs_Refineries'!E$85:E$164,'Key inputs_Refineries'!$C$85:$C$164,$C541:$C550,'Key inputs_Refineries'!$B$85:$B$164,"Boiler"))),0)</f>
        <v>0</v>
      </c>
      <c r="L549" s="173" cm="1">
        <f t="array" ref="L549">IFERROR(IF(AND(SUMIFS('Key inputs_Refineries'!F$85:F$164,'Key inputs_Refineries'!$C$85:$C$164,$C549,'Key inputs_Refineries'!$B$85:$B$164,"Boiler")/SUM(SUMIFS('Key inputs_Refineries'!F$85:F$164,'Key inputs_Refineries'!$C$85:$C$164,$C541:$C550,'Key inputs_Refineries'!$B$85:$B$164,"Boiler"))&gt;0,SUMIFS('Key inputs_Refineries'!F$85:F$164,'Key inputs_Refineries'!$C$85:$C$164,$C549,'Key inputs_Refineries'!$B$85:$B$164,"Boiler")/SUM(SUMIFS('Key inputs_Refineries'!F$85:F$164,'Key inputs_Refineries'!$C$85:$C$164,$C541:$C550,'Key inputs_Refineries'!$B$85:$B$164,"Boiler"))&lt;0.001),0.001,SUMIFS('Key inputs_Refineries'!F$85:F$164,'Key inputs_Refineries'!$C$85:$C$164,$C549,'Key inputs_Refineries'!$B$85:$B$164,"Boiler")/SUM(SUMIFS('Key inputs_Refineries'!F$85:F$164,'Key inputs_Refineries'!$C$85:$C$164,$C541:$C550,'Key inputs_Refineries'!$B$85:$B$164,"Boiler"))),0)</f>
        <v>0.62534828705571477</v>
      </c>
      <c r="M549" s="173" cm="1">
        <f t="array" ref="M549">IFERROR(IF(AND(SUMIFS('Key inputs_Refineries'!G$85:G$164,'Key inputs_Refineries'!$C$85:$C$164,$C549,'Key inputs_Refineries'!$B$85:$B$164,"Boiler")/SUM(SUMIFS('Key inputs_Refineries'!G$85:G$164,'Key inputs_Refineries'!$C$85:$C$164,$C541:$C550,'Key inputs_Refineries'!$B$85:$B$164,"Boiler"))&gt;0,SUMIFS('Key inputs_Refineries'!G$85:G$164,'Key inputs_Refineries'!$C$85:$C$164,$C549,'Key inputs_Refineries'!$B$85:$B$164,"Boiler")/SUM(SUMIFS('Key inputs_Refineries'!G$85:G$164,'Key inputs_Refineries'!$C$85:$C$164,$C541:$C550,'Key inputs_Refineries'!$B$85:$B$164,"Boiler"))&lt;0.001),0.001,SUMIFS('Key inputs_Refineries'!G$85:G$164,'Key inputs_Refineries'!$C$85:$C$164,$C549,'Key inputs_Refineries'!$B$85:$B$164,"Boiler")/SUM(SUMIFS('Key inputs_Refineries'!G$85:G$164,'Key inputs_Refineries'!$C$85:$C$164,$C541:$C550,'Key inputs_Refineries'!$B$85:$B$164,"Boiler"))),0)</f>
        <v>0.31134470367789346</v>
      </c>
      <c r="N549" s="173" cm="1">
        <f t="array" ref="N549">IFERROR(IF(AND(SUMIFS('Key inputs_Refineries'!H$85:H$164,'Key inputs_Refineries'!$C$85:$C$164,$C549,'Key inputs_Refineries'!$B$85:$B$164,"Boiler")/SUM(SUMIFS('Key inputs_Refineries'!H$85:H$164,'Key inputs_Refineries'!$C$85:$C$164,$C541:$C550,'Key inputs_Refineries'!$B$85:$B$164,"Boiler"))&gt;0,SUMIFS('Key inputs_Refineries'!H$85:H$164,'Key inputs_Refineries'!$C$85:$C$164,$C549,'Key inputs_Refineries'!$B$85:$B$164,"Boiler")/SUM(SUMIFS('Key inputs_Refineries'!H$85:H$164,'Key inputs_Refineries'!$C$85:$C$164,$C541:$C550,'Key inputs_Refineries'!$B$85:$B$164,"Boiler"))&lt;0.001),0.001,SUMIFS('Key inputs_Refineries'!H$85:H$164,'Key inputs_Refineries'!$C$85:$C$164,$C549,'Key inputs_Refineries'!$B$85:$B$164,"Boiler")/SUM(SUMIFS('Key inputs_Refineries'!H$85:H$164,'Key inputs_Refineries'!$C$85:$C$164,$C541:$C550,'Key inputs_Refineries'!$B$85:$B$164,"Boiler"))),0)</f>
        <v>0</v>
      </c>
      <c r="O549" s="173" cm="1">
        <f t="array" ref="O549">IFERROR(IF(AND(SUMIFS('Key inputs_Refineries'!I$85:I$164,'Key inputs_Refineries'!$C$85:$C$164,$C549,'Key inputs_Refineries'!$B$85:$B$164,"Boiler")/SUM(SUMIFS('Key inputs_Refineries'!I$85:I$164,'Key inputs_Refineries'!$C$85:$C$164,$C541:$C550,'Key inputs_Refineries'!$B$85:$B$164,"Boiler"))&gt;0,SUMIFS('Key inputs_Refineries'!I$85:I$164,'Key inputs_Refineries'!$C$85:$C$164,$C549,'Key inputs_Refineries'!$B$85:$B$164,"Boiler")/SUM(SUMIFS('Key inputs_Refineries'!I$85:I$164,'Key inputs_Refineries'!$C$85:$C$164,$C541:$C550,'Key inputs_Refineries'!$B$85:$B$164,"Boiler"))&lt;0.001),0.001,SUMIFS('Key inputs_Refineries'!I$85:I$164,'Key inputs_Refineries'!$C$85:$C$164,$C549,'Key inputs_Refineries'!$B$85:$B$164,"Boiler")/SUM(SUMIFS('Key inputs_Refineries'!I$85:I$164,'Key inputs_Refineries'!$C$85:$C$164,$C541:$C550,'Key inputs_Refineries'!$B$85:$B$164,"Boiler"))),0)</f>
        <v>0</v>
      </c>
      <c r="P549" s="173" cm="1">
        <f t="array" ref="P549">IFERROR(IF(AND(SUMIFS('Key inputs_Refineries'!J$85:J$164,'Key inputs_Refineries'!$C$85:$C$164,$C549,'Key inputs_Refineries'!$B$85:$B$164,"Boiler")/SUM(SUMIFS('Key inputs_Refineries'!J$85:J$164,'Key inputs_Refineries'!$C$85:$C$164,$C541:$C550,'Key inputs_Refineries'!$B$85:$B$164,"Boiler"))&gt;0,SUMIFS('Key inputs_Refineries'!J$85:J$164,'Key inputs_Refineries'!$C$85:$C$164,$C549,'Key inputs_Refineries'!$B$85:$B$164,"Boiler")/SUM(SUMIFS('Key inputs_Refineries'!J$85:J$164,'Key inputs_Refineries'!$C$85:$C$164,$C541:$C550,'Key inputs_Refineries'!$B$85:$B$164,"Boiler"))&lt;0.001),0.001,SUMIFS('Key inputs_Refineries'!J$85:J$164,'Key inputs_Refineries'!$C$85:$C$164,$C549,'Key inputs_Refineries'!$B$85:$B$164,"Boiler")/SUM(SUMIFS('Key inputs_Refineries'!J$85:J$164,'Key inputs_Refineries'!$C$85:$C$164,$C541:$C550,'Key inputs_Refineries'!$B$85:$B$164,"Boiler"))),0)</f>
        <v>6.7577884287611982E-3</v>
      </c>
      <c r="Q549" s="173" cm="1">
        <f t="array" ref="Q549">IFERROR(IF(AND(SUMIFS('Key inputs_Refineries'!K$85:K$164,'Key inputs_Refineries'!$C$85:$C$164,$C549,'Key inputs_Refineries'!$B$85:$B$164,"Boiler")/SUM(SUMIFS('Key inputs_Refineries'!K$85:K$164,'Key inputs_Refineries'!$C$85:$C$164,$C541:$C550,'Key inputs_Refineries'!$B$85:$B$164,"Boiler"))&gt;0,SUMIFS('Key inputs_Refineries'!K$85:K$164,'Key inputs_Refineries'!$C$85:$C$164,$C549,'Key inputs_Refineries'!$B$85:$B$164,"Boiler")/SUM(SUMIFS('Key inputs_Refineries'!K$85:K$164,'Key inputs_Refineries'!$C$85:$C$164,$C541:$C550,'Key inputs_Refineries'!$B$85:$B$164,"Boiler"))&lt;0.001),0.001,SUMIFS('Key inputs_Refineries'!K$85:K$164,'Key inputs_Refineries'!$C$85:$C$164,$C549,'Key inputs_Refineries'!$B$85:$B$164,"Boiler")/SUM(SUMIFS('Key inputs_Refineries'!K$85:K$164,'Key inputs_Refineries'!$C$85:$C$164,$C541:$C550,'Key inputs_Refineries'!$B$85:$B$164,"Boiler"))),0)</f>
        <v>6.2820913515202928E-2</v>
      </c>
      <c r="R549" s="173" cm="1">
        <f t="array" ref="R549">IFERROR(IF(AND(SUMIFS('Key inputs_Refineries'!L$85:L$164,'Key inputs_Refineries'!$C$85:$C$164,$C549,'Key inputs_Refineries'!$B$85:$B$164,"Boiler")/SUM(SUMIFS('Key inputs_Refineries'!L$85:L$164,'Key inputs_Refineries'!$C$85:$C$164,$C541:$C550,'Key inputs_Refineries'!$B$85:$B$164,"Boiler"))&gt;0,SUMIFS('Key inputs_Refineries'!L$85:L$164,'Key inputs_Refineries'!$C$85:$C$164,$C549,'Key inputs_Refineries'!$B$85:$B$164,"Boiler")/SUM(SUMIFS('Key inputs_Refineries'!L$85:L$164,'Key inputs_Refineries'!$C$85:$C$164,$C541:$C550,'Key inputs_Refineries'!$B$85:$B$164,"Boiler"))&lt;0.001),0.001,SUMIFS('Key inputs_Refineries'!L$85:L$164,'Key inputs_Refineries'!$C$85:$C$164,$C549,'Key inputs_Refineries'!$B$85:$B$164,"Boiler")/SUM(SUMIFS('Key inputs_Refineries'!L$85:L$164,'Key inputs_Refineries'!$C$85:$C$164,$C541:$C550,'Key inputs_Refineries'!$B$85:$B$164,"Boiler"))),0)</f>
        <v>0</v>
      </c>
      <c r="S549" s="173" cm="1">
        <f t="array" ref="S549">IFERROR(IF(AND(SUMIFS('Key inputs_Refineries'!M$85:M$164,'Key inputs_Refineries'!$C$85:$C$164,$C549,'Key inputs_Refineries'!$B$85:$B$164,"Boiler")/SUM(SUMIFS('Key inputs_Refineries'!M$85:M$164,'Key inputs_Refineries'!$C$85:$C$164,$C541:$C550,'Key inputs_Refineries'!$B$85:$B$164,"Boiler"))&gt;0,SUMIFS('Key inputs_Refineries'!M$85:M$164,'Key inputs_Refineries'!$C$85:$C$164,$C549,'Key inputs_Refineries'!$B$85:$B$164,"Boiler")/SUM(SUMIFS('Key inputs_Refineries'!M$85:M$164,'Key inputs_Refineries'!$C$85:$C$164,$C541:$C550,'Key inputs_Refineries'!$B$85:$B$164,"Boiler"))&lt;0.001),0.001,SUMIFS('Key inputs_Refineries'!M$85:M$164,'Key inputs_Refineries'!$C$85:$C$164,$C549,'Key inputs_Refineries'!$B$85:$B$164,"Boiler")/SUM(SUMIFS('Key inputs_Refineries'!M$85:M$164,'Key inputs_Refineries'!$C$85:$C$164,$C541:$C550,'Key inputs_Refineries'!$B$85:$B$164,"Boiler"))),0)</f>
        <v>0</v>
      </c>
      <c r="T549" s="173" cm="1">
        <f t="array" ref="T549">IFERROR(IF(AND(SUMIFS('Key inputs_Refineries'!N$85:N$164,'Key inputs_Refineries'!$C$85:$C$164,$C549,'Key inputs_Refineries'!$B$85:$B$164,"Boiler")/SUM(SUMIFS('Key inputs_Refineries'!N$85:N$164,'Key inputs_Refineries'!$C$85:$C$164,$C541:$C550,'Key inputs_Refineries'!$B$85:$B$164,"Boiler"))&gt;0,SUMIFS('Key inputs_Refineries'!N$85:N$164,'Key inputs_Refineries'!$C$85:$C$164,$C549,'Key inputs_Refineries'!$B$85:$B$164,"Boiler")/SUM(SUMIFS('Key inputs_Refineries'!N$85:N$164,'Key inputs_Refineries'!$C$85:$C$164,$C541:$C550,'Key inputs_Refineries'!$B$85:$B$164,"Boiler"))&lt;0.001),0.001,SUMIFS('Key inputs_Refineries'!N$85:N$164,'Key inputs_Refineries'!$C$85:$C$164,$C549,'Key inputs_Refineries'!$B$85:$B$164,"Boiler")/SUM(SUMIFS('Key inputs_Refineries'!N$85:N$164,'Key inputs_Refineries'!$C$85:$C$164,$C541:$C550,'Key inputs_Refineries'!$B$85:$B$164,"Boiler"))),0)</f>
        <v>0</v>
      </c>
      <c r="U549" s="173" cm="1">
        <f t="array" ref="U549">IFERROR(IF(AND(SUMIFS('Key inputs_Refineries'!O$85:O$164,'Key inputs_Refineries'!$C$85:$C$164,$C549,'Key inputs_Refineries'!$B$85:$B$164,"Boiler")/SUM(SUMIFS('Key inputs_Refineries'!O$85:O$164,'Key inputs_Refineries'!$C$85:$C$164,$C541:$C550,'Key inputs_Refineries'!$B$85:$B$164,"Boiler"))&gt;0,SUMIFS('Key inputs_Refineries'!O$85:O$164,'Key inputs_Refineries'!$C$85:$C$164,$C549,'Key inputs_Refineries'!$B$85:$B$164,"Boiler")/SUM(SUMIFS('Key inputs_Refineries'!O$85:O$164,'Key inputs_Refineries'!$C$85:$C$164,$C541:$C550,'Key inputs_Refineries'!$B$85:$B$164,"Boiler"))&lt;0.001),0.001,SUMIFS('Key inputs_Refineries'!O$85:O$164,'Key inputs_Refineries'!$C$85:$C$164,$C549,'Key inputs_Refineries'!$B$85:$B$164,"Boiler")/SUM(SUMIFS('Key inputs_Refineries'!O$85:O$164,'Key inputs_Refineries'!$C$85:$C$164,$C541:$C550,'Key inputs_Refineries'!$B$85:$B$164,"Boiler"))),0)</f>
        <v>0</v>
      </c>
      <c r="V549" s="173" cm="1">
        <f t="array" ref="V549">IFERROR(IF(AND(SUMIFS('Key inputs_Refineries'!P$85:P$164,'Key inputs_Refineries'!$C$85:$C$164,$C549,'Key inputs_Refineries'!$B$85:$B$164,"Boiler")/SUM(SUMIFS('Key inputs_Refineries'!P$85:P$164,'Key inputs_Refineries'!$C$85:$C$164,$C541:$C550,'Key inputs_Refineries'!$B$85:$B$164,"Boiler"))&gt;0,SUMIFS('Key inputs_Refineries'!P$85:P$164,'Key inputs_Refineries'!$C$85:$C$164,$C549,'Key inputs_Refineries'!$B$85:$B$164,"Boiler")/SUM(SUMIFS('Key inputs_Refineries'!P$85:P$164,'Key inputs_Refineries'!$C$85:$C$164,$C541:$C550,'Key inputs_Refineries'!$B$85:$B$164,"Boiler"))&lt;0.001),0.001,SUMIFS('Key inputs_Refineries'!P$85:P$164,'Key inputs_Refineries'!$C$85:$C$164,$C549,'Key inputs_Refineries'!$B$85:$B$164,"Boiler")/SUM(SUMIFS('Key inputs_Refineries'!P$85:P$164,'Key inputs_Refineries'!$C$85:$C$164,$C541:$C550,'Key inputs_Refineries'!$B$85:$B$164,"Boiler"))),0)</f>
        <v>0</v>
      </c>
      <c r="W549" s="173" cm="1">
        <f t="array" ref="W549">IFERROR(IF(AND(SUMIFS('Key inputs_Refineries'!Q$85:Q$164,'Key inputs_Refineries'!$C$85:$C$164,$C549,'Key inputs_Refineries'!$B$85:$B$164,"Boiler")/SUM(SUMIFS('Key inputs_Refineries'!Q$85:Q$164,'Key inputs_Refineries'!$C$85:$C$164,$C541:$C550,'Key inputs_Refineries'!$B$85:$B$164,"Boiler"))&gt;0,SUMIFS('Key inputs_Refineries'!Q$85:Q$164,'Key inputs_Refineries'!$C$85:$C$164,$C549,'Key inputs_Refineries'!$B$85:$B$164,"Boiler")/SUM(SUMIFS('Key inputs_Refineries'!Q$85:Q$164,'Key inputs_Refineries'!$C$85:$C$164,$C541:$C550,'Key inputs_Refineries'!$B$85:$B$164,"Boiler"))&lt;0.001),0.001,SUMIFS('Key inputs_Refineries'!Q$85:Q$164,'Key inputs_Refineries'!$C$85:$C$164,$C549,'Key inputs_Refineries'!$B$85:$B$164,"Boiler")/SUM(SUMIFS('Key inputs_Refineries'!Q$85:Q$164,'Key inputs_Refineries'!$C$85:$C$164,$C541:$C550,'Key inputs_Refineries'!$B$85:$B$164,"Boiler"))),0)</f>
        <v>0</v>
      </c>
      <c r="X549" s="173" cm="1">
        <f t="array" ref="X549">IFERROR(IF(AND(SUMIFS('Key inputs_Refineries'!R$85:R$164,'Key inputs_Refineries'!$C$85:$C$164,$C549,'Key inputs_Refineries'!$B$85:$B$164,"Boiler")/SUM(SUMIFS('Key inputs_Refineries'!R$85:R$164,'Key inputs_Refineries'!$C$85:$C$164,$C541:$C550,'Key inputs_Refineries'!$B$85:$B$164,"Boiler"))&gt;0,SUMIFS('Key inputs_Refineries'!R$85:R$164,'Key inputs_Refineries'!$C$85:$C$164,$C549,'Key inputs_Refineries'!$B$85:$B$164,"Boiler")/SUM(SUMIFS('Key inputs_Refineries'!R$85:R$164,'Key inputs_Refineries'!$C$85:$C$164,$C541:$C550,'Key inputs_Refineries'!$B$85:$B$164,"Boiler"))&lt;0.001),0.001,SUMIFS('Key inputs_Refineries'!R$85:R$164,'Key inputs_Refineries'!$C$85:$C$164,$C549,'Key inputs_Refineries'!$B$85:$B$164,"Boiler")/SUM(SUMIFS('Key inputs_Refineries'!R$85:R$164,'Key inputs_Refineries'!$C$85:$C$164,$C541:$C550,'Key inputs_Refineries'!$B$85:$B$164,"Boiler"))),0)</f>
        <v>0</v>
      </c>
      <c r="Y549" s="173" cm="1">
        <f t="array" ref="Y549">IFERROR(IF(AND(SUMIFS('Key inputs_Refineries'!S$85:S$164,'Key inputs_Refineries'!$C$85:$C$164,$C549,'Key inputs_Refineries'!$B$85:$B$164,"Boiler")/SUM(SUMIFS('Key inputs_Refineries'!S$85:S$164,'Key inputs_Refineries'!$C$85:$C$164,$C541:$C550,'Key inputs_Refineries'!$B$85:$B$164,"Boiler"))&gt;0,SUMIFS('Key inputs_Refineries'!S$85:S$164,'Key inputs_Refineries'!$C$85:$C$164,$C549,'Key inputs_Refineries'!$B$85:$B$164,"Boiler")/SUM(SUMIFS('Key inputs_Refineries'!S$85:S$164,'Key inputs_Refineries'!$C$85:$C$164,$C541:$C550,'Key inputs_Refineries'!$B$85:$B$164,"Boiler"))&lt;0.001),0.001,SUMIFS('Key inputs_Refineries'!S$85:S$164,'Key inputs_Refineries'!$C$85:$C$164,$C549,'Key inputs_Refineries'!$B$85:$B$164,"Boiler")/SUM(SUMIFS('Key inputs_Refineries'!S$85:S$164,'Key inputs_Refineries'!$C$85:$C$164,$C541:$C550,'Key inputs_Refineries'!$B$85:$B$164,"Boiler"))),0)</f>
        <v>0</v>
      </c>
      <c r="Z549" s="173" cm="1">
        <f t="array" ref="Z549">IFERROR(IF(AND(SUMIFS('Key inputs_Refineries'!T$85:T$164,'Key inputs_Refineries'!$C$85:$C$164,$C549,'Key inputs_Refineries'!$B$85:$B$164,"Boiler")/SUM(SUMIFS('Key inputs_Refineries'!T$85:T$164,'Key inputs_Refineries'!$C$85:$C$164,$C541:$C550,'Key inputs_Refineries'!$B$85:$B$164,"Boiler"))&gt;0,SUMIFS('Key inputs_Refineries'!T$85:T$164,'Key inputs_Refineries'!$C$85:$C$164,$C549,'Key inputs_Refineries'!$B$85:$B$164,"Boiler")/SUM(SUMIFS('Key inputs_Refineries'!T$85:T$164,'Key inputs_Refineries'!$C$85:$C$164,$C541:$C550,'Key inputs_Refineries'!$B$85:$B$164,"Boiler"))&lt;0.001),0.001,SUMIFS('Key inputs_Refineries'!T$85:T$164,'Key inputs_Refineries'!$C$85:$C$164,$C549,'Key inputs_Refineries'!$B$85:$B$164,"Boiler")/SUM(SUMIFS('Key inputs_Refineries'!T$85:T$164,'Key inputs_Refineries'!$C$85:$C$164,$C541:$C550,'Key inputs_Refineries'!$B$85:$B$164,"Boiler"))),0)</f>
        <v>0</v>
      </c>
      <c r="AA549" s="173" cm="1">
        <f t="array" ref="AA549">IFERROR(IF(AND(SUMIFS('Key inputs_Refineries'!U$85:U$164,'Key inputs_Refineries'!$C$85:$C$164,$C549,'Key inputs_Refineries'!$B$85:$B$164,"Boiler")/SUM(SUMIFS('Key inputs_Refineries'!U$85:U$164,'Key inputs_Refineries'!$C$85:$C$164,$C541:$C550,'Key inputs_Refineries'!$B$85:$B$164,"Boiler"))&gt;0,SUMIFS('Key inputs_Refineries'!U$85:U$164,'Key inputs_Refineries'!$C$85:$C$164,$C549,'Key inputs_Refineries'!$B$85:$B$164,"Boiler")/SUM(SUMIFS('Key inputs_Refineries'!U$85:U$164,'Key inputs_Refineries'!$C$85:$C$164,$C541:$C550,'Key inputs_Refineries'!$B$85:$B$164,"Boiler"))&lt;0.001),0.001,SUMIFS('Key inputs_Refineries'!U$85:U$164,'Key inputs_Refineries'!$C$85:$C$164,$C549,'Key inputs_Refineries'!$B$85:$B$164,"Boiler")/SUM(SUMIFS('Key inputs_Refineries'!U$85:U$164,'Key inputs_Refineries'!$C$85:$C$164,$C541:$C550,'Key inputs_Refineries'!$B$85:$B$164,"Boiler"))),0)</f>
        <v>0</v>
      </c>
      <c r="AB549" s="173" cm="1">
        <f t="array" ref="AB549">IFERROR(IF(AND(SUMIFS('Key inputs_Refineries'!V$85:V$164,'Key inputs_Refineries'!$C$85:$C$164,$C549,'Key inputs_Refineries'!$B$85:$B$164,"Boiler")/SUM(SUMIFS('Key inputs_Refineries'!V$85:V$164,'Key inputs_Refineries'!$C$85:$C$164,$C541:$C550,'Key inputs_Refineries'!$B$85:$B$164,"Boiler"))&gt;0,SUMIFS('Key inputs_Refineries'!V$85:V$164,'Key inputs_Refineries'!$C$85:$C$164,$C549,'Key inputs_Refineries'!$B$85:$B$164,"Boiler")/SUM(SUMIFS('Key inputs_Refineries'!V$85:V$164,'Key inputs_Refineries'!$C$85:$C$164,$C541:$C550,'Key inputs_Refineries'!$B$85:$B$164,"Boiler"))&lt;0.001),0.001,SUMIFS('Key inputs_Refineries'!V$85:V$164,'Key inputs_Refineries'!$C$85:$C$164,$C549,'Key inputs_Refineries'!$B$85:$B$164,"Boiler")/SUM(SUMIFS('Key inputs_Refineries'!V$85:V$164,'Key inputs_Refineries'!$C$85:$C$164,$C541:$C550,'Key inputs_Refineries'!$B$85:$B$164,"Boiler"))),0)</f>
        <v>0.37267710844695157</v>
      </c>
      <c r="AC549" s="173" cm="1">
        <f t="array" ref="AC549">IFERROR(IF(AND(SUMIFS('Key inputs_Refineries'!W$85:W$164,'Key inputs_Refineries'!$C$85:$C$164,$C549,'Key inputs_Refineries'!$B$85:$B$164,"Boiler")/SUM(SUMIFS('Key inputs_Refineries'!W$85:W$164,'Key inputs_Refineries'!$C$85:$C$164,$C541:$C550,'Key inputs_Refineries'!$B$85:$B$164,"Boiler"))&gt;0,SUMIFS('Key inputs_Refineries'!W$85:W$164,'Key inputs_Refineries'!$C$85:$C$164,$C549,'Key inputs_Refineries'!$B$85:$B$164,"Boiler")/SUM(SUMIFS('Key inputs_Refineries'!W$85:W$164,'Key inputs_Refineries'!$C$85:$C$164,$C541:$C550,'Key inputs_Refineries'!$B$85:$B$164,"Boiler"))&lt;0.001),0.001,SUMIFS('Key inputs_Refineries'!W$85:W$164,'Key inputs_Refineries'!$C$85:$C$164,$C549,'Key inputs_Refineries'!$B$85:$B$164,"Boiler")/SUM(SUMIFS('Key inputs_Refineries'!W$85:W$164,'Key inputs_Refineries'!$C$85:$C$164,$C541:$C550,'Key inputs_Refineries'!$B$85:$B$164,"Boiler"))),0)</f>
        <v>0</v>
      </c>
      <c r="AD549" s="173" cm="1">
        <f t="array" ref="AD549">IFERROR(IF(AND(SUMIFS('Key inputs_Refineries'!X$85:X$164,'Key inputs_Refineries'!$C$85:$C$164,$C549,'Key inputs_Refineries'!$B$85:$B$164,"Boiler")/SUM(SUMIFS('Key inputs_Refineries'!X$85:X$164,'Key inputs_Refineries'!$C$85:$C$164,$C541:$C550,'Key inputs_Refineries'!$B$85:$B$164,"Boiler"))&gt;0,SUMIFS('Key inputs_Refineries'!X$85:X$164,'Key inputs_Refineries'!$C$85:$C$164,$C549,'Key inputs_Refineries'!$B$85:$B$164,"Boiler")/SUM(SUMIFS('Key inputs_Refineries'!X$85:X$164,'Key inputs_Refineries'!$C$85:$C$164,$C541:$C550,'Key inputs_Refineries'!$B$85:$B$164,"Boiler"))&lt;0.001),0.001,SUMIFS('Key inputs_Refineries'!X$85:X$164,'Key inputs_Refineries'!$C$85:$C$164,$C549,'Key inputs_Refineries'!$B$85:$B$164,"Boiler")/SUM(SUMIFS('Key inputs_Refineries'!X$85:X$164,'Key inputs_Refineries'!$C$85:$C$164,$C541:$C550,'Key inputs_Refineries'!$B$85:$B$164,"Boiler"))),0)</f>
        <v>0</v>
      </c>
      <c r="AE549" s="173" cm="1">
        <f t="array" ref="AE549">IFERROR(IF(AND(SUMIFS('Key inputs_Refineries'!Y$85:Y$164,'Key inputs_Refineries'!$C$85:$C$164,$C549,'Key inputs_Refineries'!$B$85:$B$164,"Boiler")/SUM(SUMIFS('Key inputs_Refineries'!Y$85:Y$164,'Key inputs_Refineries'!$C$85:$C$164,$C541:$C550,'Key inputs_Refineries'!$B$85:$B$164,"Boiler"))&gt;0,SUMIFS('Key inputs_Refineries'!Y$85:Y$164,'Key inputs_Refineries'!$C$85:$C$164,$C549,'Key inputs_Refineries'!$B$85:$B$164,"Boiler")/SUM(SUMIFS('Key inputs_Refineries'!Y$85:Y$164,'Key inputs_Refineries'!$C$85:$C$164,$C541:$C550,'Key inputs_Refineries'!$B$85:$B$164,"Boiler"))&lt;0.001),0.001,SUMIFS('Key inputs_Refineries'!Y$85:Y$164,'Key inputs_Refineries'!$C$85:$C$164,$C549,'Key inputs_Refineries'!$B$85:$B$164,"Boiler")/SUM(SUMIFS('Key inputs_Refineries'!Y$85:Y$164,'Key inputs_Refineries'!$C$85:$C$164,$C541:$C550,'Key inputs_Refineries'!$B$85:$B$164,"Boiler"))),0)</f>
        <v>3.8240414082870593E-2</v>
      </c>
      <c r="AF549" s="173" cm="1">
        <f t="array" ref="AF549">IFERROR(IF(AND(SUMIFS('Key inputs_Refineries'!Z$85:Z$164,'Key inputs_Refineries'!$C$85:$C$164,$C549,'Key inputs_Refineries'!$B$85:$B$164,"Boiler")/SUM(SUMIFS('Key inputs_Refineries'!Z$85:Z$164,'Key inputs_Refineries'!$C$85:$C$164,$C541:$C550,'Key inputs_Refineries'!$B$85:$B$164,"Boiler"))&gt;0,SUMIFS('Key inputs_Refineries'!Z$85:Z$164,'Key inputs_Refineries'!$C$85:$C$164,$C549,'Key inputs_Refineries'!$B$85:$B$164,"Boiler")/SUM(SUMIFS('Key inputs_Refineries'!Z$85:Z$164,'Key inputs_Refineries'!$C$85:$C$164,$C541:$C550,'Key inputs_Refineries'!$B$85:$B$164,"Boiler"))&lt;0.001),0.001,SUMIFS('Key inputs_Refineries'!Z$85:Z$164,'Key inputs_Refineries'!$C$85:$C$164,$C549,'Key inputs_Refineries'!$B$85:$B$164,"Boiler")/SUM(SUMIFS('Key inputs_Refineries'!Z$85:Z$164,'Key inputs_Refineries'!$C$85:$C$164,$C541:$C550,'Key inputs_Refineries'!$B$85:$B$164,"Boiler"))),0)</f>
        <v>0</v>
      </c>
      <c r="AG549" s="173" cm="1">
        <f t="array" ref="AG549">IFERROR(IF(AND(SUMIFS('Key inputs_Refineries'!AA$85:AA$164,'Key inputs_Refineries'!$C$85:$C$164,$C549,'Key inputs_Refineries'!$B$85:$B$164,"Boiler")/SUM(SUMIFS('Key inputs_Refineries'!AA$85:AA$164,'Key inputs_Refineries'!$C$85:$C$164,$C541:$C550,'Key inputs_Refineries'!$B$85:$B$164,"Boiler"))&gt;0,SUMIFS('Key inputs_Refineries'!AA$85:AA$164,'Key inputs_Refineries'!$C$85:$C$164,$C549,'Key inputs_Refineries'!$B$85:$B$164,"Boiler")/SUM(SUMIFS('Key inputs_Refineries'!AA$85:AA$164,'Key inputs_Refineries'!$C$85:$C$164,$C541:$C550,'Key inputs_Refineries'!$B$85:$B$164,"Boiler"))&lt;0.001),0.001,SUMIFS('Key inputs_Refineries'!AA$85:AA$164,'Key inputs_Refineries'!$C$85:$C$164,$C549,'Key inputs_Refineries'!$B$85:$B$164,"Boiler")/SUM(SUMIFS('Key inputs_Refineries'!AA$85:AA$164,'Key inputs_Refineries'!$C$85:$C$164,$C541:$C550,'Key inputs_Refineries'!$B$85:$B$164,"Boiler"))),0)</f>
        <v>0</v>
      </c>
      <c r="AH549" s="173" cm="1">
        <f t="array" ref="AH549">IFERROR(IF(AND(SUMIFS('Key inputs_Refineries'!AB$85:AB$164,'Key inputs_Refineries'!$C$85:$C$164,$C549,'Key inputs_Refineries'!$B$85:$B$164,"Boiler")/SUM(SUMIFS('Key inputs_Refineries'!AB$85:AB$164,'Key inputs_Refineries'!$C$85:$C$164,$C541:$C550,'Key inputs_Refineries'!$B$85:$B$164,"Boiler"))&gt;0,SUMIFS('Key inputs_Refineries'!AB$85:AB$164,'Key inputs_Refineries'!$C$85:$C$164,$C549,'Key inputs_Refineries'!$B$85:$B$164,"Boiler")/SUM(SUMIFS('Key inputs_Refineries'!AB$85:AB$164,'Key inputs_Refineries'!$C$85:$C$164,$C541:$C550,'Key inputs_Refineries'!$B$85:$B$164,"Boiler"))&lt;0.001),0.001,SUMIFS('Key inputs_Refineries'!AB$85:AB$164,'Key inputs_Refineries'!$C$85:$C$164,$C549,'Key inputs_Refineries'!$B$85:$B$164,"Boiler")/SUM(SUMIFS('Key inputs_Refineries'!AB$85:AB$164,'Key inputs_Refineries'!$C$85:$C$164,$C541:$C550,'Key inputs_Refineries'!$B$85:$B$164,"Boiler"))),0)</f>
        <v>0</v>
      </c>
      <c r="AI549" s="173" cm="1">
        <f t="array" ref="AI549">IFERROR(IF(AND(SUMIFS('Key inputs_Refineries'!AC$85:AC$164,'Key inputs_Refineries'!$C$85:$C$164,$C549,'Key inputs_Refineries'!$B$85:$B$164,"Boiler")/SUM(SUMIFS('Key inputs_Refineries'!AC$85:AC$164,'Key inputs_Refineries'!$C$85:$C$164,$C541:$C550,'Key inputs_Refineries'!$B$85:$B$164,"Boiler"))&gt;0,SUMIFS('Key inputs_Refineries'!AC$85:AC$164,'Key inputs_Refineries'!$C$85:$C$164,$C549,'Key inputs_Refineries'!$B$85:$B$164,"Boiler")/SUM(SUMIFS('Key inputs_Refineries'!AC$85:AC$164,'Key inputs_Refineries'!$C$85:$C$164,$C541:$C550,'Key inputs_Refineries'!$B$85:$B$164,"Boiler"))&lt;0.001),0.001,SUMIFS('Key inputs_Refineries'!AC$85:AC$164,'Key inputs_Refineries'!$C$85:$C$164,$C549,'Key inputs_Refineries'!$B$85:$B$164,"Boiler")/SUM(SUMIFS('Key inputs_Refineries'!AC$85:AC$164,'Key inputs_Refineries'!$C$85:$C$164,$C541:$C550,'Key inputs_Refineries'!$B$85:$B$164,"Boiler"))),0)</f>
        <v>0</v>
      </c>
      <c r="AJ549" s="173" cm="1">
        <f t="array" ref="AJ549">IFERROR(IF(AND(SUMIFS('Key inputs_Refineries'!AD$85:AD$164,'Key inputs_Refineries'!$C$85:$C$164,$C549,'Key inputs_Refineries'!$B$85:$B$164,"Boiler")/SUM(SUMIFS('Key inputs_Refineries'!AD$85:AD$164,'Key inputs_Refineries'!$C$85:$C$164,$C541:$C550,'Key inputs_Refineries'!$B$85:$B$164,"Boiler"))&gt;0,SUMIFS('Key inputs_Refineries'!AD$85:AD$164,'Key inputs_Refineries'!$C$85:$C$164,$C549,'Key inputs_Refineries'!$B$85:$B$164,"Boiler")/SUM(SUMIFS('Key inputs_Refineries'!AD$85:AD$164,'Key inputs_Refineries'!$C$85:$C$164,$C541:$C550,'Key inputs_Refineries'!$B$85:$B$164,"Boiler"))&lt;0.001),0.001,SUMIFS('Key inputs_Refineries'!AD$85:AD$164,'Key inputs_Refineries'!$C$85:$C$164,$C549,'Key inputs_Refineries'!$B$85:$B$164,"Boiler")/SUM(SUMIFS('Key inputs_Refineries'!AD$85:AD$164,'Key inputs_Refineries'!$C$85:$C$164,$C541:$C550,'Key inputs_Refineries'!$B$85:$B$164,"Boiler"))),0)</f>
        <v>0</v>
      </c>
      <c r="AK549" s="173" cm="1">
        <f t="array" ref="AK549">IFERROR(IF(AND(SUMIFS('Key inputs_Refineries'!AE$85:AE$164,'Key inputs_Refineries'!$C$85:$C$164,$C549,'Key inputs_Refineries'!$B$85:$B$164,"Boiler")/SUM(SUMIFS('Key inputs_Refineries'!AE$85:AE$164,'Key inputs_Refineries'!$C$85:$C$164,$C541:$C550,'Key inputs_Refineries'!$B$85:$B$164,"Boiler"))&gt;0,SUMIFS('Key inputs_Refineries'!AE$85:AE$164,'Key inputs_Refineries'!$C$85:$C$164,$C549,'Key inputs_Refineries'!$B$85:$B$164,"Boiler")/SUM(SUMIFS('Key inputs_Refineries'!AE$85:AE$164,'Key inputs_Refineries'!$C$85:$C$164,$C541:$C550,'Key inputs_Refineries'!$B$85:$B$164,"Boiler"))&lt;0.001),0.001,SUMIFS('Key inputs_Refineries'!AE$85:AE$164,'Key inputs_Refineries'!$C$85:$C$164,$C549,'Key inputs_Refineries'!$B$85:$B$164,"Boiler")/SUM(SUMIFS('Key inputs_Refineries'!AE$85:AE$164,'Key inputs_Refineries'!$C$85:$C$164,$C541:$C550,'Key inputs_Refineries'!$B$85:$B$164,"Boiler"))),0)</f>
        <v>0</v>
      </c>
      <c r="AL549" s="173" cm="1">
        <f t="array" ref="AL549">IFERROR(IF(AND(SUMIFS('Key inputs_Refineries'!AF$85:AF$164,'Key inputs_Refineries'!$C$85:$C$164,$C549,'Key inputs_Refineries'!$B$85:$B$164,"Boiler")/SUM(SUMIFS('Key inputs_Refineries'!AF$85:AF$164,'Key inputs_Refineries'!$C$85:$C$164,$C541:$C550,'Key inputs_Refineries'!$B$85:$B$164,"Boiler"))&gt;0,SUMIFS('Key inputs_Refineries'!AF$85:AF$164,'Key inputs_Refineries'!$C$85:$C$164,$C549,'Key inputs_Refineries'!$B$85:$B$164,"Boiler")/SUM(SUMIFS('Key inputs_Refineries'!AF$85:AF$164,'Key inputs_Refineries'!$C$85:$C$164,$C541:$C550,'Key inputs_Refineries'!$B$85:$B$164,"Boiler"))&lt;0.001),0.001,SUMIFS('Key inputs_Refineries'!AF$85:AF$164,'Key inputs_Refineries'!$C$85:$C$164,$C549,'Key inputs_Refineries'!$B$85:$B$164,"Boiler")/SUM(SUMIFS('Key inputs_Refineries'!AF$85:AF$164,'Key inputs_Refineries'!$C$85:$C$164,$C541:$C550,'Key inputs_Refineries'!$B$85:$B$164,"Boiler"))),0)</f>
        <v>0</v>
      </c>
    </row>
    <row r="550" spans="1:38">
      <c r="C550" t="str">
        <f>Commodities!$C$100</f>
        <v>UPSOIL2</v>
      </c>
      <c r="G550" s="4" t="s">
        <v>702</v>
      </c>
      <c r="H550" t="s">
        <v>661</v>
      </c>
      <c r="I550">
        <v>2019</v>
      </c>
      <c r="J550" t="s">
        <v>650</v>
      </c>
      <c r="K550" s="173" cm="1">
        <f t="array" ref="K550">IFERROR(IF(AND(SUMIFS('Key inputs_Refineries'!E$85:E$164,'Key inputs_Refineries'!$C$85:$C$164,$C550,'Key inputs_Refineries'!$B$85:$B$164,"Boiler")/SUM(SUMIFS('Key inputs_Refineries'!E$85:E$164,'Key inputs_Refineries'!$C$85:$C$164,$C541:$C550,'Key inputs_Refineries'!$B$85:$B$164,"Boiler"))&gt;0,SUMIFS('Key inputs_Refineries'!E$85:E$164,'Key inputs_Refineries'!$C$85:$C$164,$C550,'Key inputs_Refineries'!$B$85:$B$164,"Boiler")/SUM(SUMIFS('Key inputs_Refineries'!E$85:E$164,'Key inputs_Refineries'!$C$85:$C$164,$C541:$C550,'Key inputs_Refineries'!$B$85:$B$164,"Boiler"))&lt;0.001),0.001,SUMIFS('Key inputs_Refineries'!E$85:E$164,'Key inputs_Refineries'!$C$85:$C$164,$C550,'Key inputs_Refineries'!$B$85:$B$164,"Boiler")/SUM(SUMIFS('Key inputs_Refineries'!E$85:E$164,'Key inputs_Refineries'!$C$85:$C$164,$C541:$C550,'Key inputs_Refineries'!$B$85:$B$164,"Boiler"))),1)</f>
        <v>1</v>
      </c>
      <c r="L550" s="173" cm="1">
        <f t="array" ref="L550">IFERROR(IF(AND(SUMIFS('Key inputs_Refineries'!F$85:F$164,'Key inputs_Refineries'!$C$85:$C$164,$C550,'Key inputs_Refineries'!$B$85:$B$164,"Boiler")/SUM(SUMIFS('Key inputs_Refineries'!F$85:F$164,'Key inputs_Refineries'!$C$85:$C$164,$C541:$C550,'Key inputs_Refineries'!$B$85:$B$164,"Boiler"))&gt;0,SUMIFS('Key inputs_Refineries'!F$85:F$164,'Key inputs_Refineries'!$C$85:$C$164,$C550,'Key inputs_Refineries'!$B$85:$B$164,"Boiler")/SUM(SUMIFS('Key inputs_Refineries'!F$85:F$164,'Key inputs_Refineries'!$C$85:$C$164,$C541:$C550,'Key inputs_Refineries'!$B$85:$B$164,"Boiler"))&lt;0.001),0.001,SUMIFS('Key inputs_Refineries'!F$85:F$164,'Key inputs_Refineries'!$C$85:$C$164,$C550,'Key inputs_Refineries'!$B$85:$B$164,"Boiler")/SUM(SUMIFS('Key inputs_Refineries'!F$85:F$164,'Key inputs_Refineries'!$C$85:$C$164,$C541:$C550,'Key inputs_Refineries'!$B$85:$B$164,"Boiler"))),1)</f>
        <v>0</v>
      </c>
      <c r="M550" s="173" cm="1">
        <f t="array" ref="M550">IFERROR(IF(AND(SUMIFS('Key inputs_Refineries'!G$85:G$164,'Key inputs_Refineries'!$C$85:$C$164,$C550,'Key inputs_Refineries'!$B$85:$B$164,"Boiler")/SUM(SUMIFS('Key inputs_Refineries'!G$85:G$164,'Key inputs_Refineries'!$C$85:$C$164,$C541:$C550,'Key inputs_Refineries'!$B$85:$B$164,"Boiler"))&gt;0,SUMIFS('Key inputs_Refineries'!G$85:G$164,'Key inputs_Refineries'!$C$85:$C$164,$C550,'Key inputs_Refineries'!$B$85:$B$164,"Boiler")/SUM(SUMIFS('Key inputs_Refineries'!G$85:G$164,'Key inputs_Refineries'!$C$85:$C$164,$C541:$C550,'Key inputs_Refineries'!$B$85:$B$164,"Boiler"))&lt;0.001),0.001,SUMIFS('Key inputs_Refineries'!G$85:G$164,'Key inputs_Refineries'!$C$85:$C$164,$C550,'Key inputs_Refineries'!$B$85:$B$164,"Boiler")/SUM(SUMIFS('Key inputs_Refineries'!G$85:G$164,'Key inputs_Refineries'!$C$85:$C$164,$C541:$C550,'Key inputs_Refineries'!$B$85:$B$164,"Boiler"))),1)</f>
        <v>0</v>
      </c>
      <c r="N550" s="173" cm="1">
        <f t="array" ref="N550">IFERROR(IF(AND(SUMIFS('Key inputs_Refineries'!H$85:H$164,'Key inputs_Refineries'!$C$85:$C$164,$C550,'Key inputs_Refineries'!$B$85:$B$164,"Boiler")/SUM(SUMIFS('Key inputs_Refineries'!H$85:H$164,'Key inputs_Refineries'!$C$85:$C$164,$C541:$C550,'Key inputs_Refineries'!$B$85:$B$164,"Boiler"))&gt;0,SUMIFS('Key inputs_Refineries'!H$85:H$164,'Key inputs_Refineries'!$C$85:$C$164,$C550,'Key inputs_Refineries'!$B$85:$B$164,"Boiler")/SUM(SUMIFS('Key inputs_Refineries'!H$85:H$164,'Key inputs_Refineries'!$C$85:$C$164,$C541:$C550,'Key inputs_Refineries'!$B$85:$B$164,"Boiler"))&lt;0.001),0.001,SUMIFS('Key inputs_Refineries'!H$85:H$164,'Key inputs_Refineries'!$C$85:$C$164,$C550,'Key inputs_Refineries'!$B$85:$B$164,"Boiler")/SUM(SUMIFS('Key inputs_Refineries'!H$85:H$164,'Key inputs_Refineries'!$C$85:$C$164,$C541:$C550,'Key inputs_Refineries'!$B$85:$B$164,"Boiler"))),1)</f>
        <v>1</v>
      </c>
      <c r="O550" s="173" cm="1">
        <f t="array" ref="O550">IFERROR(IF(AND(SUMIFS('Key inputs_Refineries'!I$85:I$164,'Key inputs_Refineries'!$C$85:$C$164,$C550,'Key inputs_Refineries'!$B$85:$B$164,"Boiler")/SUM(SUMIFS('Key inputs_Refineries'!I$85:I$164,'Key inputs_Refineries'!$C$85:$C$164,$C541:$C550,'Key inputs_Refineries'!$B$85:$B$164,"Boiler"))&gt;0,SUMIFS('Key inputs_Refineries'!I$85:I$164,'Key inputs_Refineries'!$C$85:$C$164,$C550,'Key inputs_Refineries'!$B$85:$B$164,"Boiler")/SUM(SUMIFS('Key inputs_Refineries'!I$85:I$164,'Key inputs_Refineries'!$C$85:$C$164,$C541:$C550,'Key inputs_Refineries'!$B$85:$B$164,"Boiler"))&lt;0.001),0.001,SUMIFS('Key inputs_Refineries'!I$85:I$164,'Key inputs_Refineries'!$C$85:$C$164,$C550,'Key inputs_Refineries'!$B$85:$B$164,"Boiler")/SUM(SUMIFS('Key inputs_Refineries'!I$85:I$164,'Key inputs_Refineries'!$C$85:$C$164,$C541:$C550,'Key inputs_Refineries'!$B$85:$B$164,"Boiler"))),1)</f>
        <v>0.90826580836038906</v>
      </c>
      <c r="P550" s="173" cm="1">
        <f t="array" ref="P550">IFERROR(IF(AND(SUMIFS('Key inputs_Refineries'!J$85:J$164,'Key inputs_Refineries'!$C$85:$C$164,$C550,'Key inputs_Refineries'!$B$85:$B$164,"Boiler")/SUM(SUMIFS('Key inputs_Refineries'!J$85:J$164,'Key inputs_Refineries'!$C$85:$C$164,$C541:$C550,'Key inputs_Refineries'!$B$85:$B$164,"Boiler"))&gt;0,SUMIFS('Key inputs_Refineries'!J$85:J$164,'Key inputs_Refineries'!$C$85:$C$164,$C550,'Key inputs_Refineries'!$B$85:$B$164,"Boiler")/SUM(SUMIFS('Key inputs_Refineries'!J$85:J$164,'Key inputs_Refineries'!$C$85:$C$164,$C541:$C550,'Key inputs_Refineries'!$B$85:$B$164,"Boiler"))&lt;0.001),0.001,SUMIFS('Key inputs_Refineries'!J$85:J$164,'Key inputs_Refineries'!$C$85:$C$164,$C550,'Key inputs_Refineries'!$B$85:$B$164,"Boiler")/SUM(SUMIFS('Key inputs_Refineries'!J$85:J$164,'Key inputs_Refineries'!$C$85:$C$164,$C541:$C550,'Key inputs_Refineries'!$B$85:$B$164,"Boiler"))),1)</f>
        <v>0.88036613124332841</v>
      </c>
      <c r="Q550" s="173" cm="1">
        <f t="array" ref="Q550">IFERROR(IF(AND(SUMIFS('Key inputs_Refineries'!K$85:K$164,'Key inputs_Refineries'!$C$85:$C$164,$C550,'Key inputs_Refineries'!$B$85:$B$164,"Boiler")/SUM(SUMIFS('Key inputs_Refineries'!K$85:K$164,'Key inputs_Refineries'!$C$85:$C$164,$C541:$C550,'Key inputs_Refineries'!$B$85:$B$164,"Boiler"))&gt;0,SUMIFS('Key inputs_Refineries'!K$85:K$164,'Key inputs_Refineries'!$C$85:$C$164,$C550,'Key inputs_Refineries'!$B$85:$B$164,"Boiler")/SUM(SUMIFS('Key inputs_Refineries'!K$85:K$164,'Key inputs_Refineries'!$C$85:$C$164,$C541:$C550,'Key inputs_Refineries'!$B$85:$B$164,"Boiler"))&lt;0.001),0.001,SUMIFS('Key inputs_Refineries'!K$85:K$164,'Key inputs_Refineries'!$C$85:$C$164,$C550,'Key inputs_Refineries'!$B$85:$B$164,"Boiler")/SUM(SUMIFS('Key inputs_Refineries'!K$85:K$164,'Key inputs_Refineries'!$C$85:$C$164,$C541:$C550,'Key inputs_Refineries'!$B$85:$B$164,"Boiler"))),1)</f>
        <v>5.2685627539402593E-3</v>
      </c>
      <c r="R550" s="173" cm="1">
        <f t="array" ref="R550">IFERROR(IF(AND(SUMIFS('Key inputs_Refineries'!L$85:L$164,'Key inputs_Refineries'!$C$85:$C$164,$C550,'Key inputs_Refineries'!$B$85:$B$164,"Boiler")/SUM(SUMIFS('Key inputs_Refineries'!L$85:L$164,'Key inputs_Refineries'!$C$85:$C$164,$C541:$C550,'Key inputs_Refineries'!$B$85:$B$164,"Boiler"))&gt;0,SUMIFS('Key inputs_Refineries'!L$85:L$164,'Key inputs_Refineries'!$C$85:$C$164,$C550,'Key inputs_Refineries'!$B$85:$B$164,"Boiler")/SUM(SUMIFS('Key inputs_Refineries'!L$85:L$164,'Key inputs_Refineries'!$C$85:$C$164,$C541:$C550,'Key inputs_Refineries'!$B$85:$B$164,"Boiler"))&lt;0.001),0.001,SUMIFS('Key inputs_Refineries'!L$85:L$164,'Key inputs_Refineries'!$C$85:$C$164,$C550,'Key inputs_Refineries'!$B$85:$B$164,"Boiler")/SUM(SUMIFS('Key inputs_Refineries'!L$85:L$164,'Key inputs_Refineries'!$C$85:$C$164,$C541:$C550,'Key inputs_Refineries'!$B$85:$B$164,"Boiler"))),1)</f>
        <v>0</v>
      </c>
      <c r="S550" s="173" cm="1">
        <f t="array" ref="S550">IFERROR(IF(AND(SUMIFS('Key inputs_Refineries'!M$85:M$164,'Key inputs_Refineries'!$C$85:$C$164,$C550,'Key inputs_Refineries'!$B$85:$B$164,"Boiler")/SUM(SUMIFS('Key inputs_Refineries'!M$85:M$164,'Key inputs_Refineries'!$C$85:$C$164,$C541:$C550,'Key inputs_Refineries'!$B$85:$B$164,"Boiler"))&gt;0,SUMIFS('Key inputs_Refineries'!M$85:M$164,'Key inputs_Refineries'!$C$85:$C$164,$C550,'Key inputs_Refineries'!$B$85:$B$164,"Boiler")/SUM(SUMIFS('Key inputs_Refineries'!M$85:M$164,'Key inputs_Refineries'!$C$85:$C$164,$C541:$C550,'Key inputs_Refineries'!$B$85:$B$164,"Boiler"))&lt;0.001),0.001,SUMIFS('Key inputs_Refineries'!M$85:M$164,'Key inputs_Refineries'!$C$85:$C$164,$C550,'Key inputs_Refineries'!$B$85:$B$164,"Boiler")/SUM(SUMIFS('Key inputs_Refineries'!M$85:M$164,'Key inputs_Refineries'!$C$85:$C$164,$C541:$C550,'Key inputs_Refineries'!$B$85:$B$164,"Boiler"))),1)</f>
        <v>0</v>
      </c>
      <c r="T550" s="173" cm="1">
        <f t="array" ref="T550">IFERROR(IF(AND(SUMIFS('Key inputs_Refineries'!N$85:N$164,'Key inputs_Refineries'!$C$85:$C$164,$C550,'Key inputs_Refineries'!$B$85:$B$164,"Boiler")/SUM(SUMIFS('Key inputs_Refineries'!N$85:N$164,'Key inputs_Refineries'!$C$85:$C$164,$C541:$C550,'Key inputs_Refineries'!$B$85:$B$164,"Boiler"))&gt;0,SUMIFS('Key inputs_Refineries'!N$85:N$164,'Key inputs_Refineries'!$C$85:$C$164,$C550,'Key inputs_Refineries'!$B$85:$B$164,"Boiler")/SUM(SUMIFS('Key inputs_Refineries'!N$85:N$164,'Key inputs_Refineries'!$C$85:$C$164,$C541:$C550,'Key inputs_Refineries'!$B$85:$B$164,"Boiler"))&lt;0.001),0.001,SUMIFS('Key inputs_Refineries'!N$85:N$164,'Key inputs_Refineries'!$C$85:$C$164,$C550,'Key inputs_Refineries'!$B$85:$B$164,"Boiler")/SUM(SUMIFS('Key inputs_Refineries'!N$85:N$164,'Key inputs_Refineries'!$C$85:$C$164,$C541:$C550,'Key inputs_Refineries'!$B$85:$B$164,"Boiler"))),1)</f>
        <v>0.91624021930485366</v>
      </c>
      <c r="U550" s="173" cm="1">
        <f t="array" ref="U550">IFERROR(IF(AND(SUMIFS('Key inputs_Refineries'!O$85:O$164,'Key inputs_Refineries'!$C$85:$C$164,$C550,'Key inputs_Refineries'!$B$85:$B$164,"Boiler")/SUM(SUMIFS('Key inputs_Refineries'!O$85:O$164,'Key inputs_Refineries'!$C$85:$C$164,$C541:$C550,'Key inputs_Refineries'!$B$85:$B$164,"Boiler"))&gt;0,SUMIFS('Key inputs_Refineries'!O$85:O$164,'Key inputs_Refineries'!$C$85:$C$164,$C550,'Key inputs_Refineries'!$B$85:$B$164,"Boiler")/SUM(SUMIFS('Key inputs_Refineries'!O$85:O$164,'Key inputs_Refineries'!$C$85:$C$164,$C541:$C550,'Key inputs_Refineries'!$B$85:$B$164,"Boiler"))&lt;0.001),0.001,SUMIFS('Key inputs_Refineries'!O$85:O$164,'Key inputs_Refineries'!$C$85:$C$164,$C550,'Key inputs_Refineries'!$B$85:$B$164,"Boiler")/SUM(SUMIFS('Key inputs_Refineries'!O$85:O$164,'Key inputs_Refineries'!$C$85:$C$164,$C541:$C550,'Key inputs_Refineries'!$B$85:$B$164,"Boiler"))),1)</f>
        <v>0</v>
      </c>
      <c r="V550" s="173" cm="1">
        <f t="array" ref="V550">IFERROR(IF(AND(SUMIFS('Key inputs_Refineries'!P$85:P$164,'Key inputs_Refineries'!$C$85:$C$164,$C550,'Key inputs_Refineries'!$B$85:$B$164,"Boiler")/SUM(SUMIFS('Key inputs_Refineries'!P$85:P$164,'Key inputs_Refineries'!$C$85:$C$164,$C541:$C550,'Key inputs_Refineries'!$B$85:$B$164,"Boiler"))&gt;0,SUMIFS('Key inputs_Refineries'!P$85:P$164,'Key inputs_Refineries'!$C$85:$C$164,$C550,'Key inputs_Refineries'!$B$85:$B$164,"Boiler")/SUM(SUMIFS('Key inputs_Refineries'!P$85:P$164,'Key inputs_Refineries'!$C$85:$C$164,$C541:$C550,'Key inputs_Refineries'!$B$85:$B$164,"Boiler"))&lt;0.001),0.001,SUMIFS('Key inputs_Refineries'!P$85:P$164,'Key inputs_Refineries'!$C$85:$C$164,$C550,'Key inputs_Refineries'!$B$85:$B$164,"Boiler")/SUM(SUMIFS('Key inputs_Refineries'!P$85:P$164,'Key inputs_Refineries'!$C$85:$C$164,$C541:$C550,'Key inputs_Refineries'!$B$85:$B$164,"Boiler"))),1)</f>
        <v>0.77545242046249629</v>
      </c>
      <c r="W550" s="173" cm="1">
        <f t="array" ref="W550">IFERROR(IF(AND(SUMIFS('Key inputs_Refineries'!Q$85:Q$164,'Key inputs_Refineries'!$C$85:$C$164,$C550,'Key inputs_Refineries'!$B$85:$B$164,"Boiler")/SUM(SUMIFS('Key inputs_Refineries'!Q$85:Q$164,'Key inputs_Refineries'!$C$85:$C$164,$C541:$C550,'Key inputs_Refineries'!$B$85:$B$164,"Boiler"))&gt;0,SUMIFS('Key inputs_Refineries'!Q$85:Q$164,'Key inputs_Refineries'!$C$85:$C$164,$C550,'Key inputs_Refineries'!$B$85:$B$164,"Boiler")/SUM(SUMIFS('Key inputs_Refineries'!Q$85:Q$164,'Key inputs_Refineries'!$C$85:$C$164,$C541:$C550,'Key inputs_Refineries'!$B$85:$B$164,"Boiler"))&lt;0.001),0.001,SUMIFS('Key inputs_Refineries'!Q$85:Q$164,'Key inputs_Refineries'!$C$85:$C$164,$C550,'Key inputs_Refineries'!$B$85:$B$164,"Boiler")/SUM(SUMIFS('Key inputs_Refineries'!Q$85:Q$164,'Key inputs_Refineries'!$C$85:$C$164,$C541:$C550,'Key inputs_Refineries'!$B$85:$B$164,"Boiler"))),1)</f>
        <v>5.8358521716818726E-2</v>
      </c>
      <c r="X550" s="173" cm="1">
        <f t="array" ref="X550">IFERROR(IF(AND(SUMIFS('Key inputs_Refineries'!R$85:R$164,'Key inputs_Refineries'!$C$85:$C$164,$C550,'Key inputs_Refineries'!$B$85:$B$164,"Boiler")/SUM(SUMIFS('Key inputs_Refineries'!R$85:R$164,'Key inputs_Refineries'!$C$85:$C$164,$C541:$C550,'Key inputs_Refineries'!$B$85:$B$164,"Boiler"))&gt;0,SUMIFS('Key inputs_Refineries'!R$85:R$164,'Key inputs_Refineries'!$C$85:$C$164,$C550,'Key inputs_Refineries'!$B$85:$B$164,"Boiler")/SUM(SUMIFS('Key inputs_Refineries'!R$85:R$164,'Key inputs_Refineries'!$C$85:$C$164,$C541:$C550,'Key inputs_Refineries'!$B$85:$B$164,"Boiler"))&lt;0.001),0.001,SUMIFS('Key inputs_Refineries'!R$85:R$164,'Key inputs_Refineries'!$C$85:$C$164,$C550,'Key inputs_Refineries'!$B$85:$B$164,"Boiler")/SUM(SUMIFS('Key inputs_Refineries'!R$85:R$164,'Key inputs_Refineries'!$C$85:$C$164,$C541:$C550,'Key inputs_Refineries'!$B$85:$B$164,"Boiler"))),1)</f>
        <v>0.80941235239176013</v>
      </c>
      <c r="Y550" s="173" cm="1">
        <f t="array" ref="Y550">IFERROR(IF(AND(SUMIFS('Key inputs_Refineries'!S$85:S$164,'Key inputs_Refineries'!$C$85:$C$164,$C550,'Key inputs_Refineries'!$B$85:$B$164,"Boiler")/SUM(SUMIFS('Key inputs_Refineries'!S$85:S$164,'Key inputs_Refineries'!$C$85:$C$164,$C541:$C550,'Key inputs_Refineries'!$B$85:$B$164,"Boiler"))&gt;0,SUMIFS('Key inputs_Refineries'!S$85:S$164,'Key inputs_Refineries'!$C$85:$C$164,$C550,'Key inputs_Refineries'!$B$85:$B$164,"Boiler")/SUM(SUMIFS('Key inputs_Refineries'!S$85:S$164,'Key inputs_Refineries'!$C$85:$C$164,$C541:$C550,'Key inputs_Refineries'!$B$85:$B$164,"Boiler"))&lt;0.001),0.001,SUMIFS('Key inputs_Refineries'!S$85:S$164,'Key inputs_Refineries'!$C$85:$C$164,$C550,'Key inputs_Refineries'!$B$85:$B$164,"Boiler")/SUM(SUMIFS('Key inputs_Refineries'!S$85:S$164,'Key inputs_Refineries'!$C$85:$C$164,$C541:$C550,'Key inputs_Refineries'!$B$85:$B$164,"Boiler"))),1)</f>
        <v>0.56012845130970601</v>
      </c>
      <c r="Z550" s="173" cm="1">
        <f t="array" ref="Z550">IFERROR(IF(AND(SUMIFS('Key inputs_Refineries'!T$85:T$164,'Key inputs_Refineries'!$C$85:$C$164,$C550,'Key inputs_Refineries'!$B$85:$B$164,"Boiler")/SUM(SUMIFS('Key inputs_Refineries'!T$85:T$164,'Key inputs_Refineries'!$C$85:$C$164,$C541:$C550,'Key inputs_Refineries'!$B$85:$B$164,"Boiler"))&gt;0,SUMIFS('Key inputs_Refineries'!T$85:T$164,'Key inputs_Refineries'!$C$85:$C$164,$C550,'Key inputs_Refineries'!$B$85:$B$164,"Boiler")/SUM(SUMIFS('Key inputs_Refineries'!T$85:T$164,'Key inputs_Refineries'!$C$85:$C$164,$C541:$C550,'Key inputs_Refineries'!$B$85:$B$164,"Boiler"))&lt;0.001),0.001,SUMIFS('Key inputs_Refineries'!T$85:T$164,'Key inputs_Refineries'!$C$85:$C$164,$C550,'Key inputs_Refineries'!$B$85:$B$164,"Boiler")/SUM(SUMIFS('Key inputs_Refineries'!T$85:T$164,'Key inputs_Refineries'!$C$85:$C$164,$C541:$C550,'Key inputs_Refineries'!$B$85:$B$164,"Boiler"))),1)</f>
        <v>0.65636065153933998</v>
      </c>
      <c r="AA550" s="173" cm="1">
        <f t="array" ref="AA550">IFERROR(IF(AND(SUMIFS('Key inputs_Refineries'!U$85:U$164,'Key inputs_Refineries'!$C$85:$C$164,$C550,'Key inputs_Refineries'!$B$85:$B$164,"Boiler")/SUM(SUMIFS('Key inputs_Refineries'!U$85:U$164,'Key inputs_Refineries'!$C$85:$C$164,$C541:$C550,'Key inputs_Refineries'!$B$85:$B$164,"Boiler"))&gt;0,SUMIFS('Key inputs_Refineries'!U$85:U$164,'Key inputs_Refineries'!$C$85:$C$164,$C550,'Key inputs_Refineries'!$B$85:$B$164,"Boiler")/SUM(SUMIFS('Key inputs_Refineries'!U$85:U$164,'Key inputs_Refineries'!$C$85:$C$164,$C541:$C550,'Key inputs_Refineries'!$B$85:$B$164,"Boiler"))&lt;0.001),0.001,SUMIFS('Key inputs_Refineries'!U$85:U$164,'Key inputs_Refineries'!$C$85:$C$164,$C550,'Key inputs_Refineries'!$B$85:$B$164,"Boiler")/SUM(SUMIFS('Key inputs_Refineries'!U$85:U$164,'Key inputs_Refineries'!$C$85:$C$164,$C541:$C550,'Key inputs_Refineries'!$B$85:$B$164,"Boiler"))),1)</f>
        <v>0.46733479677810208</v>
      </c>
      <c r="AB550" s="173" cm="1">
        <f t="array" ref="AB550">IFERROR(IF(AND(SUMIFS('Key inputs_Refineries'!V$85:V$164,'Key inputs_Refineries'!$C$85:$C$164,$C550,'Key inputs_Refineries'!$B$85:$B$164,"Boiler")/SUM(SUMIFS('Key inputs_Refineries'!V$85:V$164,'Key inputs_Refineries'!$C$85:$C$164,$C541:$C550,'Key inputs_Refineries'!$B$85:$B$164,"Boiler"))&gt;0,SUMIFS('Key inputs_Refineries'!V$85:V$164,'Key inputs_Refineries'!$C$85:$C$164,$C550,'Key inputs_Refineries'!$B$85:$B$164,"Boiler")/SUM(SUMIFS('Key inputs_Refineries'!V$85:V$164,'Key inputs_Refineries'!$C$85:$C$164,$C541:$C550,'Key inputs_Refineries'!$B$85:$B$164,"Boiler"))&lt;0.001),0.001,SUMIFS('Key inputs_Refineries'!V$85:V$164,'Key inputs_Refineries'!$C$85:$C$164,$C550,'Key inputs_Refineries'!$B$85:$B$164,"Boiler")/SUM(SUMIFS('Key inputs_Refineries'!V$85:V$164,'Key inputs_Refineries'!$C$85:$C$164,$C541:$C550,'Key inputs_Refineries'!$B$85:$B$164,"Boiler"))),1)</f>
        <v>0</v>
      </c>
      <c r="AC550" s="173" cm="1">
        <f t="array" ref="AC550">IFERROR(IF(AND(SUMIFS('Key inputs_Refineries'!W$85:W$164,'Key inputs_Refineries'!$C$85:$C$164,$C550,'Key inputs_Refineries'!$B$85:$B$164,"Boiler")/SUM(SUMIFS('Key inputs_Refineries'!W$85:W$164,'Key inputs_Refineries'!$C$85:$C$164,$C541:$C550,'Key inputs_Refineries'!$B$85:$B$164,"Boiler"))&gt;0,SUMIFS('Key inputs_Refineries'!W$85:W$164,'Key inputs_Refineries'!$C$85:$C$164,$C550,'Key inputs_Refineries'!$B$85:$B$164,"Boiler")/SUM(SUMIFS('Key inputs_Refineries'!W$85:W$164,'Key inputs_Refineries'!$C$85:$C$164,$C541:$C550,'Key inputs_Refineries'!$B$85:$B$164,"Boiler"))&lt;0.001),0.001,SUMIFS('Key inputs_Refineries'!W$85:W$164,'Key inputs_Refineries'!$C$85:$C$164,$C550,'Key inputs_Refineries'!$B$85:$B$164,"Boiler")/SUM(SUMIFS('Key inputs_Refineries'!W$85:W$164,'Key inputs_Refineries'!$C$85:$C$164,$C541:$C550,'Key inputs_Refineries'!$B$85:$B$164,"Boiler"))),1)</f>
        <v>1</v>
      </c>
      <c r="AD550" s="173" cm="1">
        <f t="array" ref="AD550">IFERROR(IF(AND(SUMIFS('Key inputs_Refineries'!X$85:X$164,'Key inputs_Refineries'!$C$85:$C$164,$C550,'Key inputs_Refineries'!$B$85:$B$164,"Boiler")/SUM(SUMIFS('Key inputs_Refineries'!X$85:X$164,'Key inputs_Refineries'!$C$85:$C$164,$C541:$C550,'Key inputs_Refineries'!$B$85:$B$164,"Boiler"))&gt;0,SUMIFS('Key inputs_Refineries'!X$85:X$164,'Key inputs_Refineries'!$C$85:$C$164,$C550,'Key inputs_Refineries'!$B$85:$B$164,"Boiler")/SUM(SUMIFS('Key inputs_Refineries'!X$85:X$164,'Key inputs_Refineries'!$C$85:$C$164,$C541:$C550,'Key inputs_Refineries'!$B$85:$B$164,"Boiler"))&lt;0.001),0.001,SUMIFS('Key inputs_Refineries'!X$85:X$164,'Key inputs_Refineries'!$C$85:$C$164,$C550,'Key inputs_Refineries'!$B$85:$B$164,"Boiler")/SUM(SUMIFS('Key inputs_Refineries'!X$85:X$164,'Key inputs_Refineries'!$C$85:$C$164,$C541:$C550,'Key inputs_Refineries'!$B$85:$B$164,"Boiler"))),1)</f>
        <v>0.43903269260140848</v>
      </c>
      <c r="AE550" s="173" cm="1">
        <f t="array" ref="AE550">IFERROR(IF(AND(SUMIFS('Key inputs_Refineries'!Y$85:Y$164,'Key inputs_Refineries'!$C$85:$C$164,$C550,'Key inputs_Refineries'!$B$85:$B$164,"Boiler")/SUM(SUMIFS('Key inputs_Refineries'!Y$85:Y$164,'Key inputs_Refineries'!$C$85:$C$164,$C541:$C550,'Key inputs_Refineries'!$B$85:$B$164,"Boiler"))&gt;0,SUMIFS('Key inputs_Refineries'!Y$85:Y$164,'Key inputs_Refineries'!$C$85:$C$164,$C550,'Key inputs_Refineries'!$B$85:$B$164,"Boiler")/SUM(SUMIFS('Key inputs_Refineries'!Y$85:Y$164,'Key inputs_Refineries'!$C$85:$C$164,$C541:$C550,'Key inputs_Refineries'!$B$85:$B$164,"Boiler"))&lt;0.001),0.001,SUMIFS('Key inputs_Refineries'!Y$85:Y$164,'Key inputs_Refineries'!$C$85:$C$164,$C550,'Key inputs_Refineries'!$B$85:$B$164,"Boiler")/SUM(SUMIFS('Key inputs_Refineries'!Y$85:Y$164,'Key inputs_Refineries'!$C$85:$C$164,$C541:$C550,'Key inputs_Refineries'!$B$85:$B$164,"Boiler"))),1)</f>
        <v>1.2468981492366695E-2</v>
      </c>
      <c r="AF550" s="173" cm="1">
        <f t="array" ref="AF550">IFERROR(IF(AND(SUMIFS('Key inputs_Refineries'!Z$85:Z$164,'Key inputs_Refineries'!$C$85:$C$164,$C550,'Key inputs_Refineries'!$B$85:$B$164,"Boiler")/SUM(SUMIFS('Key inputs_Refineries'!Z$85:Z$164,'Key inputs_Refineries'!$C$85:$C$164,$C541:$C550,'Key inputs_Refineries'!$B$85:$B$164,"Boiler"))&gt;0,SUMIFS('Key inputs_Refineries'!Z$85:Z$164,'Key inputs_Refineries'!$C$85:$C$164,$C550,'Key inputs_Refineries'!$B$85:$B$164,"Boiler")/SUM(SUMIFS('Key inputs_Refineries'!Z$85:Z$164,'Key inputs_Refineries'!$C$85:$C$164,$C541:$C550,'Key inputs_Refineries'!$B$85:$B$164,"Boiler"))&lt;0.001),0.001,SUMIFS('Key inputs_Refineries'!Z$85:Z$164,'Key inputs_Refineries'!$C$85:$C$164,$C550,'Key inputs_Refineries'!$B$85:$B$164,"Boiler")/SUM(SUMIFS('Key inputs_Refineries'!Z$85:Z$164,'Key inputs_Refineries'!$C$85:$C$164,$C541:$C550,'Key inputs_Refineries'!$B$85:$B$164,"Boiler"))),1)</f>
        <v>3.9834048690817444E-3</v>
      </c>
      <c r="AG550" s="173" cm="1">
        <f t="array" ref="AG550">IFERROR(IF(AND(SUMIFS('Key inputs_Refineries'!AA$85:AA$164,'Key inputs_Refineries'!$C$85:$C$164,$C550,'Key inputs_Refineries'!$B$85:$B$164,"Boiler")/SUM(SUMIFS('Key inputs_Refineries'!AA$85:AA$164,'Key inputs_Refineries'!$C$85:$C$164,$C541:$C550,'Key inputs_Refineries'!$B$85:$B$164,"Boiler"))&gt;0,SUMIFS('Key inputs_Refineries'!AA$85:AA$164,'Key inputs_Refineries'!$C$85:$C$164,$C550,'Key inputs_Refineries'!$B$85:$B$164,"Boiler")/SUM(SUMIFS('Key inputs_Refineries'!AA$85:AA$164,'Key inputs_Refineries'!$C$85:$C$164,$C541:$C550,'Key inputs_Refineries'!$B$85:$B$164,"Boiler"))&lt;0.001),0.001,SUMIFS('Key inputs_Refineries'!AA$85:AA$164,'Key inputs_Refineries'!$C$85:$C$164,$C550,'Key inputs_Refineries'!$B$85:$B$164,"Boiler")/SUM(SUMIFS('Key inputs_Refineries'!AA$85:AA$164,'Key inputs_Refineries'!$C$85:$C$164,$C541:$C550,'Key inputs_Refineries'!$B$85:$B$164,"Boiler"))),1)</f>
        <v>5.2506838942529173E-2</v>
      </c>
      <c r="AH550" s="173" cm="1">
        <f t="array" ref="AH550">IFERROR(IF(AND(SUMIFS('Key inputs_Refineries'!AB$85:AB$164,'Key inputs_Refineries'!$C$85:$C$164,$C550,'Key inputs_Refineries'!$B$85:$B$164,"Boiler")/SUM(SUMIFS('Key inputs_Refineries'!AB$85:AB$164,'Key inputs_Refineries'!$C$85:$C$164,$C541:$C550,'Key inputs_Refineries'!$B$85:$B$164,"Boiler"))&gt;0,SUMIFS('Key inputs_Refineries'!AB$85:AB$164,'Key inputs_Refineries'!$C$85:$C$164,$C550,'Key inputs_Refineries'!$B$85:$B$164,"Boiler")/SUM(SUMIFS('Key inputs_Refineries'!AB$85:AB$164,'Key inputs_Refineries'!$C$85:$C$164,$C541:$C550,'Key inputs_Refineries'!$B$85:$B$164,"Boiler"))&lt;0.001),0.001,SUMIFS('Key inputs_Refineries'!AB$85:AB$164,'Key inputs_Refineries'!$C$85:$C$164,$C550,'Key inputs_Refineries'!$B$85:$B$164,"Boiler")/SUM(SUMIFS('Key inputs_Refineries'!AB$85:AB$164,'Key inputs_Refineries'!$C$85:$C$164,$C541:$C550,'Key inputs_Refineries'!$B$85:$B$164,"Boiler"))),1)</f>
        <v>9.4974097372733504E-2</v>
      </c>
      <c r="AI550" s="173" cm="1">
        <f t="array" ref="AI550">IFERROR(IF(AND(SUMIFS('Key inputs_Refineries'!AC$85:AC$164,'Key inputs_Refineries'!$C$85:$C$164,$C550,'Key inputs_Refineries'!$B$85:$B$164,"Boiler")/SUM(SUMIFS('Key inputs_Refineries'!AC$85:AC$164,'Key inputs_Refineries'!$C$85:$C$164,$C541:$C550,'Key inputs_Refineries'!$B$85:$B$164,"Boiler"))&gt;0,SUMIFS('Key inputs_Refineries'!AC$85:AC$164,'Key inputs_Refineries'!$C$85:$C$164,$C550,'Key inputs_Refineries'!$B$85:$B$164,"Boiler")/SUM(SUMIFS('Key inputs_Refineries'!AC$85:AC$164,'Key inputs_Refineries'!$C$85:$C$164,$C541:$C550,'Key inputs_Refineries'!$B$85:$B$164,"Boiler"))&lt;0.001),0.001,SUMIFS('Key inputs_Refineries'!AC$85:AC$164,'Key inputs_Refineries'!$C$85:$C$164,$C550,'Key inputs_Refineries'!$B$85:$B$164,"Boiler")/SUM(SUMIFS('Key inputs_Refineries'!AC$85:AC$164,'Key inputs_Refineries'!$C$85:$C$164,$C541:$C550,'Key inputs_Refineries'!$B$85:$B$164,"Boiler"))),1)</f>
        <v>1.2394645513138323E-2</v>
      </c>
      <c r="AJ550" s="173" cm="1">
        <f t="array" ref="AJ550">IFERROR(IF(AND(SUMIFS('Key inputs_Refineries'!AD$85:AD$164,'Key inputs_Refineries'!$C$85:$C$164,$C550,'Key inputs_Refineries'!$B$85:$B$164,"Boiler")/SUM(SUMIFS('Key inputs_Refineries'!AD$85:AD$164,'Key inputs_Refineries'!$C$85:$C$164,$C541:$C550,'Key inputs_Refineries'!$B$85:$B$164,"Boiler"))&gt;0,SUMIFS('Key inputs_Refineries'!AD$85:AD$164,'Key inputs_Refineries'!$C$85:$C$164,$C550,'Key inputs_Refineries'!$B$85:$B$164,"Boiler")/SUM(SUMIFS('Key inputs_Refineries'!AD$85:AD$164,'Key inputs_Refineries'!$C$85:$C$164,$C541:$C550,'Key inputs_Refineries'!$B$85:$B$164,"Boiler"))&lt;0.001),0.001,SUMIFS('Key inputs_Refineries'!AD$85:AD$164,'Key inputs_Refineries'!$C$85:$C$164,$C550,'Key inputs_Refineries'!$B$85:$B$164,"Boiler")/SUM(SUMIFS('Key inputs_Refineries'!AD$85:AD$164,'Key inputs_Refineries'!$C$85:$C$164,$C541:$C550,'Key inputs_Refineries'!$B$85:$B$164,"Boiler"))),1)</f>
        <v>1</v>
      </c>
      <c r="AK550" s="173" cm="1">
        <f t="array" ref="AK550">IFERROR(IF(AND(SUMIFS('Key inputs_Refineries'!AE$85:AE$164,'Key inputs_Refineries'!$C$85:$C$164,$C550,'Key inputs_Refineries'!$B$85:$B$164,"Boiler")/SUM(SUMIFS('Key inputs_Refineries'!AE$85:AE$164,'Key inputs_Refineries'!$C$85:$C$164,$C541:$C550,'Key inputs_Refineries'!$B$85:$B$164,"Boiler"))&gt;0,SUMIFS('Key inputs_Refineries'!AE$85:AE$164,'Key inputs_Refineries'!$C$85:$C$164,$C550,'Key inputs_Refineries'!$B$85:$B$164,"Boiler")/SUM(SUMIFS('Key inputs_Refineries'!AE$85:AE$164,'Key inputs_Refineries'!$C$85:$C$164,$C541:$C550,'Key inputs_Refineries'!$B$85:$B$164,"Boiler"))&lt;0.001),0.001,SUMIFS('Key inputs_Refineries'!AE$85:AE$164,'Key inputs_Refineries'!$C$85:$C$164,$C550,'Key inputs_Refineries'!$B$85:$B$164,"Boiler")/SUM(SUMIFS('Key inputs_Refineries'!AE$85:AE$164,'Key inputs_Refineries'!$C$85:$C$164,$C541:$C550,'Key inputs_Refineries'!$B$85:$B$164,"Boiler"))),1)</f>
        <v>0.26396698362328047</v>
      </c>
      <c r="AL550" s="173" cm="1">
        <f t="array" ref="AL550">IFERROR(IF(AND(SUMIFS('Key inputs_Refineries'!AF$85:AF$164,'Key inputs_Refineries'!$C$85:$C$164,$C550,'Key inputs_Refineries'!$B$85:$B$164,"Boiler")/SUM(SUMIFS('Key inputs_Refineries'!AF$85:AF$164,'Key inputs_Refineries'!$C$85:$C$164,$C541:$C550,'Key inputs_Refineries'!$B$85:$B$164,"Boiler"))&gt;0,SUMIFS('Key inputs_Refineries'!AF$85:AF$164,'Key inputs_Refineries'!$C$85:$C$164,$C550,'Key inputs_Refineries'!$B$85:$B$164,"Boiler")/SUM(SUMIFS('Key inputs_Refineries'!AF$85:AF$164,'Key inputs_Refineries'!$C$85:$C$164,$C541:$C550,'Key inputs_Refineries'!$B$85:$B$164,"Boiler"))&lt;0.001),0.001,SUMIFS('Key inputs_Refineries'!AF$85:AF$164,'Key inputs_Refineries'!$C$85:$C$164,$C550,'Key inputs_Refineries'!$B$85:$B$164,"Boiler")/SUM(SUMIFS('Key inputs_Refineries'!AF$85:AF$164,'Key inputs_Refineries'!$C$85:$C$164,$C541:$C550,'Key inputs_Refineries'!$B$85:$B$164,"Boiler"))),1)</f>
        <v>0.94020675648239993</v>
      </c>
    </row>
    <row r="551" spans="1:38">
      <c r="C551" t="s">
        <v>515</v>
      </c>
      <c r="G551" s="4" t="s">
        <v>702</v>
      </c>
      <c r="H551" t="s">
        <v>661</v>
      </c>
      <c r="I551">
        <v>2025</v>
      </c>
      <c r="J551" t="s">
        <v>650</v>
      </c>
      <c r="K551" s="173">
        <f>K542</f>
        <v>0</v>
      </c>
      <c r="L551" s="173">
        <f t="shared" ref="L551:AL551" si="32">L542</f>
        <v>0</v>
      </c>
      <c r="M551" s="173">
        <f t="shared" si="32"/>
        <v>5.4967007249105165E-2</v>
      </c>
      <c r="N551" s="173">
        <f t="shared" si="32"/>
        <v>0</v>
      </c>
      <c r="O551" s="173">
        <f t="shared" si="32"/>
        <v>0</v>
      </c>
      <c r="P551" s="173">
        <f t="shared" si="32"/>
        <v>7.5112298847973434E-3</v>
      </c>
      <c r="Q551" s="173">
        <f t="shared" si="32"/>
        <v>1.3591105951689957E-2</v>
      </c>
      <c r="R551" s="173">
        <f t="shared" si="32"/>
        <v>0</v>
      </c>
      <c r="S551" s="173">
        <f t="shared" si="32"/>
        <v>3.5051732768259555E-2</v>
      </c>
      <c r="T551" s="173">
        <f t="shared" si="32"/>
        <v>8.6333554563383288E-3</v>
      </c>
      <c r="U551" s="173">
        <f t="shared" si="32"/>
        <v>0</v>
      </c>
      <c r="V551" s="173">
        <f t="shared" si="32"/>
        <v>5.6882967399520768E-3</v>
      </c>
      <c r="W551" s="173">
        <f t="shared" si="32"/>
        <v>0</v>
      </c>
      <c r="X551" s="173">
        <f t="shared" si="32"/>
        <v>0</v>
      </c>
      <c r="Y551" s="173">
        <f t="shared" si="32"/>
        <v>2.7787994220171155E-3</v>
      </c>
      <c r="Z551" s="173">
        <f t="shared" si="32"/>
        <v>7.5121681310049548E-3</v>
      </c>
      <c r="AA551" s="173">
        <f t="shared" si="32"/>
        <v>1.3171639290390735E-2</v>
      </c>
      <c r="AB551" s="173">
        <f t="shared" si="32"/>
        <v>0.62732289155304854</v>
      </c>
      <c r="AC551" s="173">
        <f t="shared" si="32"/>
        <v>0</v>
      </c>
      <c r="AD551" s="173">
        <f t="shared" si="32"/>
        <v>9.5552781608146987E-3</v>
      </c>
      <c r="AE551" s="173">
        <f t="shared" si="32"/>
        <v>1.5014083212701699E-2</v>
      </c>
      <c r="AF551" s="173">
        <f t="shared" si="32"/>
        <v>3.8902919404541575E-2</v>
      </c>
      <c r="AG551" s="173">
        <f t="shared" si="32"/>
        <v>3.0454378123189886E-2</v>
      </c>
      <c r="AH551" s="173">
        <f t="shared" si="32"/>
        <v>0</v>
      </c>
      <c r="AI551" s="173">
        <f t="shared" si="32"/>
        <v>0.10262766484878531</v>
      </c>
      <c r="AJ551" s="173">
        <f t="shared" si="32"/>
        <v>0</v>
      </c>
      <c r="AK551" s="173">
        <f t="shared" si="32"/>
        <v>1E-3</v>
      </c>
      <c r="AL551" s="173">
        <f t="shared" si="32"/>
        <v>1.1727367954192493E-2</v>
      </c>
    </row>
    <row r="552" spans="1:38">
      <c r="C552" t="s">
        <v>517</v>
      </c>
      <c r="G552" s="4" t="s">
        <v>702</v>
      </c>
      <c r="H552" t="s">
        <v>661</v>
      </c>
      <c r="I552">
        <v>2025</v>
      </c>
      <c r="J552" t="s">
        <v>650</v>
      </c>
      <c r="K552" s="173">
        <f>K544</f>
        <v>0</v>
      </c>
      <c r="L552" s="173">
        <f t="shared" ref="L552:AL552" si="33">L544</f>
        <v>0</v>
      </c>
      <c r="M552" s="173">
        <f t="shared" si="33"/>
        <v>0</v>
      </c>
      <c r="N552" s="173">
        <f t="shared" si="33"/>
        <v>0</v>
      </c>
      <c r="O552" s="173">
        <f t="shared" si="33"/>
        <v>0</v>
      </c>
      <c r="P552" s="173">
        <f t="shared" si="33"/>
        <v>0</v>
      </c>
      <c r="Q552" s="173">
        <f t="shared" si="33"/>
        <v>0</v>
      </c>
      <c r="R552" s="173">
        <f t="shared" si="33"/>
        <v>0</v>
      </c>
      <c r="S552" s="173">
        <f t="shared" si="33"/>
        <v>0</v>
      </c>
      <c r="T552" s="173">
        <f t="shared" si="33"/>
        <v>2.7912331012078389E-2</v>
      </c>
      <c r="U552" s="173">
        <f t="shared" si="33"/>
        <v>0</v>
      </c>
      <c r="V552" s="173">
        <f t="shared" si="33"/>
        <v>1E-3</v>
      </c>
      <c r="W552" s="173">
        <f t="shared" si="33"/>
        <v>0</v>
      </c>
      <c r="X552" s="173">
        <f t="shared" si="33"/>
        <v>0</v>
      </c>
      <c r="Y552" s="173">
        <f t="shared" si="33"/>
        <v>0</v>
      </c>
      <c r="Z552" s="173">
        <f t="shared" si="33"/>
        <v>0</v>
      </c>
      <c r="AA552" s="173">
        <f t="shared" si="33"/>
        <v>0</v>
      </c>
      <c r="AB552" s="173">
        <f t="shared" si="33"/>
        <v>0</v>
      </c>
      <c r="AC552" s="173">
        <f t="shared" si="33"/>
        <v>0</v>
      </c>
      <c r="AD552" s="173">
        <f t="shared" si="33"/>
        <v>1E-3</v>
      </c>
      <c r="AE552" s="173">
        <f t="shared" si="33"/>
        <v>2.0134433337153691E-2</v>
      </c>
      <c r="AF552" s="173">
        <f t="shared" si="33"/>
        <v>0</v>
      </c>
      <c r="AG552" s="173">
        <f t="shared" si="33"/>
        <v>0</v>
      </c>
      <c r="AH552" s="173">
        <f t="shared" si="33"/>
        <v>0</v>
      </c>
      <c r="AI552" s="173">
        <f t="shared" si="33"/>
        <v>0</v>
      </c>
      <c r="AJ552" s="173">
        <f t="shared" si="33"/>
        <v>0</v>
      </c>
      <c r="AK552" s="173">
        <f t="shared" si="33"/>
        <v>0</v>
      </c>
      <c r="AL552" s="173">
        <f t="shared" si="33"/>
        <v>2.4176673865044865E-3</v>
      </c>
    </row>
    <row r="553" spans="1:38">
      <c r="C553" t="s">
        <v>515</v>
      </c>
      <c r="G553" s="4" t="s">
        <v>702</v>
      </c>
      <c r="H553" t="s">
        <v>661</v>
      </c>
      <c r="I553">
        <v>2050</v>
      </c>
      <c r="J553" t="s">
        <v>650</v>
      </c>
      <c r="K553" s="173">
        <f>K551</f>
        <v>0</v>
      </c>
      <c r="L553" s="173">
        <f t="shared" ref="L553:AL553" si="34">L551</f>
        <v>0</v>
      </c>
      <c r="M553" s="173">
        <f t="shared" si="34"/>
        <v>5.4967007249105165E-2</v>
      </c>
      <c r="N553" s="173">
        <f t="shared" si="34"/>
        <v>0</v>
      </c>
      <c r="O553" s="173">
        <f t="shared" si="34"/>
        <v>0</v>
      </c>
      <c r="P553" s="173">
        <f t="shared" si="34"/>
        <v>7.5112298847973434E-3</v>
      </c>
      <c r="Q553" s="173">
        <f t="shared" si="34"/>
        <v>1.3591105951689957E-2</v>
      </c>
      <c r="R553" s="173">
        <f t="shared" si="34"/>
        <v>0</v>
      </c>
      <c r="S553" s="173">
        <f t="shared" si="34"/>
        <v>3.5051732768259555E-2</v>
      </c>
      <c r="T553" s="173">
        <f t="shared" si="34"/>
        <v>8.6333554563383288E-3</v>
      </c>
      <c r="U553" s="173">
        <f t="shared" si="34"/>
        <v>0</v>
      </c>
      <c r="V553" s="173">
        <f t="shared" si="34"/>
        <v>5.6882967399520768E-3</v>
      </c>
      <c r="W553" s="173">
        <f t="shared" si="34"/>
        <v>0</v>
      </c>
      <c r="X553" s="173">
        <f t="shared" si="34"/>
        <v>0</v>
      </c>
      <c r="Y553" s="173">
        <f t="shared" si="34"/>
        <v>2.7787994220171155E-3</v>
      </c>
      <c r="Z553" s="173">
        <f t="shared" si="34"/>
        <v>7.5121681310049548E-3</v>
      </c>
      <c r="AA553" s="173">
        <f t="shared" si="34"/>
        <v>1.3171639290390735E-2</v>
      </c>
      <c r="AB553" s="173">
        <f t="shared" si="34"/>
        <v>0.62732289155304854</v>
      </c>
      <c r="AC553" s="173">
        <f t="shared" si="34"/>
        <v>0</v>
      </c>
      <c r="AD553" s="173">
        <f t="shared" si="34"/>
        <v>9.5552781608146987E-3</v>
      </c>
      <c r="AE553" s="173">
        <f t="shared" si="34"/>
        <v>1.5014083212701699E-2</v>
      </c>
      <c r="AF553" s="173">
        <f t="shared" si="34"/>
        <v>3.8902919404541575E-2</v>
      </c>
      <c r="AG553" s="173">
        <f t="shared" si="34"/>
        <v>3.0454378123189886E-2</v>
      </c>
      <c r="AH553" s="173">
        <f t="shared" si="34"/>
        <v>0</v>
      </c>
      <c r="AI553" s="173">
        <f t="shared" si="34"/>
        <v>0.10262766484878531</v>
      </c>
      <c r="AJ553" s="173">
        <f t="shared" si="34"/>
        <v>0</v>
      </c>
      <c r="AK553" s="173">
        <f t="shared" si="34"/>
        <v>1E-3</v>
      </c>
      <c r="AL553" s="173">
        <f t="shared" si="34"/>
        <v>1.1727367954192493E-2</v>
      </c>
    </row>
    <row r="554" spans="1:38">
      <c r="C554" t="s">
        <v>517</v>
      </c>
      <c r="G554" s="4" t="s">
        <v>702</v>
      </c>
      <c r="H554" t="s">
        <v>661</v>
      </c>
      <c r="I554">
        <v>2050</v>
      </c>
      <c r="J554" t="s">
        <v>650</v>
      </c>
      <c r="K554" s="173">
        <f>K552</f>
        <v>0</v>
      </c>
      <c r="L554" s="173">
        <f t="shared" ref="L554:AL554" si="35">L552</f>
        <v>0</v>
      </c>
      <c r="M554" s="173">
        <f t="shared" si="35"/>
        <v>0</v>
      </c>
      <c r="N554" s="173">
        <f t="shared" si="35"/>
        <v>0</v>
      </c>
      <c r="O554" s="173">
        <f t="shared" si="35"/>
        <v>0</v>
      </c>
      <c r="P554" s="173">
        <f t="shared" si="35"/>
        <v>0</v>
      </c>
      <c r="Q554" s="173">
        <f t="shared" si="35"/>
        <v>0</v>
      </c>
      <c r="R554" s="173">
        <f t="shared" si="35"/>
        <v>0</v>
      </c>
      <c r="S554" s="173">
        <f t="shared" si="35"/>
        <v>0</v>
      </c>
      <c r="T554" s="173">
        <f t="shared" si="35"/>
        <v>2.7912331012078389E-2</v>
      </c>
      <c r="U554" s="173">
        <f t="shared" si="35"/>
        <v>0</v>
      </c>
      <c r="V554" s="173">
        <f t="shared" si="35"/>
        <v>1E-3</v>
      </c>
      <c r="W554" s="173">
        <f t="shared" si="35"/>
        <v>0</v>
      </c>
      <c r="X554" s="173">
        <f t="shared" si="35"/>
        <v>0</v>
      </c>
      <c r="Y554" s="173">
        <f t="shared" si="35"/>
        <v>0</v>
      </c>
      <c r="Z554" s="173">
        <f t="shared" si="35"/>
        <v>0</v>
      </c>
      <c r="AA554" s="173">
        <f t="shared" si="35"/>
        <v>0</v>
      </c>
      <c r="AB554" s="173">
        <f t="shared" si="35"/>
        <v>0</v>
      </c>
      <c r="AC554" s="173">
        <f t="shared" si="35"/>
        <v>0</v>
      </c>
      <c r="AD554" s="173">
        <f t="shared" si="35"/>
        <v>1E-3</v>
      </c>
      <c r="AE554" s="173">
        <f t="shared" si="35"/>
        <v>2.0134433337153691E-2</v>
      </c>
      <c r="AF554" s="173">
        <f t="shared" si="35"/>
        <v>0</v>
      </c>
      <c r="AG554" s="173">
        <f t="shared" si="35"/>
        <v>0</v>
      </c>
      <c r="AH554" s="173">
        <f t="shared" si="35"/>
        <v>0</v>
      </c>
      <c r="AI554" s="173">
        <f t="shared" si="35"/>
        <v>0</v>
      </c>
      <c r="AJ554" s="173">
        <f t="shared" si="35"/>
        <v>0</v>
      </c>
      <c r="AK554" s="173">
        <f t="shared" si="35"/>
        <v>0</v>
      </c>
      <c r="AL554" s="173">
        <f t="shared" si="35"/>
        <v>2.4176673865044865E-3</v>
      </c>
    </row>
    <row r="555" spans="1:38">
      <c r="D555" t="str">
        <f>Commodities!$C$105</f>
        <v>UREFHET</v>
      </c>
    </row>
    <row r="556" spans="1:38">
      <c r="A556" s="4" t="str">
        <f>AO420</f>
        <v>U-TRF-OILREFHET_BIO01</v>
      </c>
      <c r="B556" s="4" t="str">
        <f>AP420</f>
        <v>UPS Transformation: Oil refinery process heat Biomass - New</v>
      </c>
      <c r="C556" s="4"/>
      <c r="D556" s="4"/>
      <c r="E556" s="4"/>
      <c r="F556" s="4"/>
      <c r="G556" s="4" t="s">
        <v>695</v>
      </c>
      <c r="H556" s="4"/>
      <c r="I556" s="4"/>
      <c r="J556" s="4" t="s">
        <v>2665</v>
      </c>
      <c r="K556" s="333">
        <v>1</v>
      </c>
      <c r="L556" s="333">
        <v>1</v>
      </c>
      <c r="M556" s="333">
        <v>1</v>
      </c>
      <c r="N556" s="333">
        <v>1</v>
      </c>
      <c r="O556" s="333">
        <v>1</v>
      </c>
      <c r="P556" s="333">
        <v>1</v>
      </c>
      <c r="Q556" s="333">
        <v>1</v>
      </c>
      <c r="R556" s="333">
        <v>1</v>
      </c>
      <c r="S556" s="333">
        <v>1</v>
      </c>
      <c r="T556" s="333">
        <v>1</v>
      </c>
      <c r="U556" s="333">
        <v>1</v>
      </c>
      <c r="V556" s="333">
        <v>1</v>
      </c>
      <c r="W556" s="333">
        <v>1</v>
      </c>
      <c r="X556" s="333">
        <v>1</v>
      </c>
      <c r="Y556" s="333">
        <v>1</v>
      </c>
      <c r="Z556" s="333">
        <v>1</v>
      </c>
      <c r="AA556" s="333">
        <v>1</v>
      </c>
      <c r="AB556" s="333">
        <v>1</v>
      </c>
      <c r="AC556" s="333">
        <v>1</v>
      </c>
      <c r="AD556" s="333">
        <v>1</v>
      </c>
      <c r="AE556" s="333">
        <v>1</v>
      </c>
      <c r="AF556" s="333">
        <v>1</v>
      </c>
      <c r="AG556" s="333">
        <v>1</v>
      </c>
      <c r="AH556" s="333">
        <v>1</v>
      </c>
      <c r="AI556" s="333">
        <v>1</v>
      </c>
      <c r="AJ556" s="333">
        <v>1</v>
      </c>
      <c r="AK556" s="333">
        <v>1</v>
      </c>
      <c r="AL556" s="333">
        <v>1</v>
      </c>
    </row>
    <row r="557" spans="1:38">
      <c r="C557" s="4"/>
      <c r="D557" s="4"/>
      <c r="E557" s="4"/>
      <c r="F557" s="4"/>
      <c r="G557" s="4" t="s">
        <v>697</v>
      </c>
      <c r="H557" s="4"/>
      <c r="I557" s="4"/>
      <c r="J557" s="4" t="s">
        <v>698</v>
      </c>
      <c r="K557" s="424">
        <f>'Key inputs_Refineries'!$F$180</f>
        <v>15</v>
      </c>
      <c r="L557" s="424">
        <f>'Key inputs_Refineries'!$F$180</f>
        <v>15</v>
      </c>
      <c r="M557" s="424">
        <f>'Key inputs_Refineries'!$F$180</f>
        <v>15</v>
      </c>
      <c r="N557" s="424">
        <f>'Key inputs_Refineries'!$F$180</f>
        <v>15</v>
      </c>
      <c r="O557" s="424">
        <f>'Key inputs_Refineries'!$F$180</f>
        <v>15</v>
      </c>
      <c r="P557" s="424">
        <f>'Key inputs_Refineries'!$F$180</f>
        <v>15</v>
      </c>
      <c r="Q557" s="424">
        <f>'Key inputs_Refineries'!$F$180</f>
        <v>15</v>
      </c>
      <c r="R557" s="424">
        <f>'Key inputs_Refineries'!$F$180</f>
        <v>15</v>
      </c>
      <c r="S557" s="424">
        <f>'Key inputs_Refineries'!$F$180</f>
        <v>15</v>
      </c>
      <c r="T557" s="424">
        <f>'Key inputs_Refineries'!$F$180</f>
        <v>15</v>
      </c>
      <c r="U557" s="424">
        <f>'Key inputs_Refineries'!$F$180</f>
        <v>15</v>
      </c>
      <c r="V557" s="424">
        <f>'Key inputs_Refineries'!$F$180</f>
        <v>15</v>
      </c>
      <c r="W557" s="424">
        <f>'Key inputs_Refineries'!$F$180</f>
        <v>15</v>
      </c>
      <c r="X557" s="424">
        <f>'Key inputs_Refineries'!$F$180</f>
        <v>15</v>
      </c>
      <c r="Y557" s="424">
        <f>'Key inputs_Refineries'!$F$180</f>
        <v>15</v>
      </c>
      <c r="Z557" s="424">
        <f>'Key inputs_Refineries'!$F$180</f>
        <v>15</v>
      </c>
      <c r="AA557" s="424">
        <f>'Key inputs_Refineries'!$F$180</f>
        <v>15</v>
      </c>
      <c r="AB557" s="424">
        <f>'Key inputs_Refineries'!$F$180</f>
        <v>15</v>
      </c>
      <c r="AC557" s="424">
        <f>'Key inputs_Refineries'!$F$180</f>
        <v>15</v>
      </c>
      <c r="AD557" s="424">
        <f>'Key inputs_Refineries'!$F$180</f>
        <v>15</v>
      </c>
      <c r="AE557" s="424">
        <f>'Key inputs_Refineries'!$F$180</f>
        <v>15</v>
      </c>
      <c r="AF557" s="424">
        <f>'Key inputs_Refineries'!$F$180</f>
        <v>15</v>
      </c>
      <c r="AG557" s="424">
        <f>'Key inputs_Refineries'!$F$180</f>
        <v>15</v>
      </c>
      <c r="AH557" s="424">
        <f>'Key inputs_Refineries'!$F$180</f>
        <v>15</v>
      </c>
      <c r="AI557" s="424">
        <f>'Key inputs_Refineries'!$F$180</f>
        <v>15</v>
      </c>
      <c r="AJ557" s="424">
        <f>'Key inputs_Refineries'!$F$180</f>
        <v>15</v>
      </c>
      <c r="AK557" s="424">
        <f>'Key inputs_Refineries'!$F$180</f>
        <v>15</v>
      </c>
      <c r="AL557" s="424">
        <f>'Key inputs_Refineries'!$F$180</f>
        <v>15</v>
      </c>
    </row>
    <row r="558" spans="1:38">
      <c r="C558" s="4"/>
      <c r="D558" s="4"/>
      <c r="E558" s="4"/>
      <c r="F558" s="4"/>
      <c r="G558" s="4" t="s">
        <v>707</v>
      </c>
      <c r="H558" s="4"/>
      <c r="I558" s="4"/>
      <c r="J558" s="4" t="s">
        <v>2669</v>
      </c>
      <c r="K558" s="347">
        <v>2020</v>
      </c>
      <c r="L558" s="347">
        <v>2020</v>
      </c>
      <c r="M558" s="347">
        <v>2020</v>
      </c>
      <c r="N558" s="347">
        <v>2020</v>
      </c>
      <c r="O558" s="347">
        <v>2020</v>
      </c>
      <c r="P558" s="347">
        <v>2020</v>
      </c>
      <c r="Q558" s="347">
        <v>2020</v>
      </c>
      <c r="R558" s="347">
        <v>2020</v>
      </c>
      <c r="S558" s="347">
        <v>2020</v>
      </c>
      <c r="T558" s="347">
        <v>2020</v>
      </c>
      <c r="U558" s="347">
        <v>2020</v>
      </c>
      <c r="V558" s="347">
        <v>2020</v>
      </c>
      <c r="W558" s="347">
        <v>2020</v>
      </c>
      <c r="X558" s="347">
        <v>2020</v>
      </c>
      <c r="Y558" s="347">
        <v>2020</v>
      </c>
      <c r="Z558" s="347">
        <v>2020</v>
      </c>
      <c r="AA558" s="347">
        <v>2020</v>
      </c>
      <c r="AB558" s="347">
        <v>2020</v>
      </c>
      <c r="AC558" s="347">
        <v>2020</v>
      </c>
      <c r="AD558" s="347">
        <v>2020</v>
      </c>
      <c r="AE558" s="347">
        <v>2020</v>
      </c>
      <c r="AF558" s="347">
        <v>2020</v>
      </c>
      <c r="AG558" s="347">
        <v>2020</v>
      </c>
      <c r="AH558" s="347">
        <v>2020</v>
      </c>
      <c r="AI558" s="347">
        <v>2020</v>
      </c>
      <c r="AJ558" s="347">
        <v>2020</v>
      </c>
      <c r="AK558" s="347">
        <v>2020</v>
      </c>
      <c r="AL558" s="347">
        <v>2020</v>
      </c>
    </row>
    <row r="559" spans="1:38">
      <c r="G559" s="4" t="s">
        <v>701</v>
      </c>
      <c r="H559" s="4" t="s">
        <v>661</v>
      </c>
      <c r="I559" s="4">
        <v>2019</v>
      </c>
      <c r="J559" s="4" t="s">
        <v>112</v>
      </c>
      <c r="K559" s="333"/>
      <c r="L559" s="333"/>
      <c r="M559" s="333"/>
      <c r="N559" s="333"/>
      <c r="O559" s="333"/>
      <c r="P559" s="333"/>
      <c r="Q559" s="333"/>
      <c r="R559" s="333"/>
      <c r="S559" s="333"/>
      <c r="T559" s="333"/>
      <c r="U559" s="333"/>
      <c r="V559" s="333"/>
      <c r="W559" s="333"/>
      <c r="X559" s="333"/>
      <c r="Y559" s="333"/>
      <c r="Z559" s="333"/>
      <c r="AA559" s="333"/>
      <c r="AB559" s="333"/>
      <c r="AC559" s="333"/>
      <c r="AD559" s="333"/>
      <c r="AE559" s="333"/>
      <c r="AF559" s="333"/>
      <c r="AG559" s="333"/>
      <c r="AH559" s="333"/>
      <c r="AI559" s="333"/>
      <c r="AJ559" s="333"/>
      <c r="AK559" s="333"/>
      <c r="AL559" s="333"/>
    </row>
    <row r="560" spans="1:38">
      <c r="G560" s="4" t="s">
        <v>701</v>
      </c>
      <c r="H560" s="4" t="s">
        <v>661</v>
      </c>
      <c r="I560" s="4">
        <v>2060</v>
      </c>
      <c r="J560" s="4" t="s">
        <v>112</v>
      </c>
      <c r="K560" s="333"/>
      <c r="L560" s="333"/>
      <c r="M560" s="333"/>
      <c r="N560" s="333"/>
      <c r="O560" s="333"/>
      <c r="P560" s="333"/>
      <c r="Q560" s="333"/>
      <c r="R560" s="333"/>
      <c r="S560" s="333"/>
      <c r="T560" s="333"/>
      <c r="U560" s="333"/>
      <c r="V560" s="333"/>
      <c r="W560" s="333"/>
      <c r="X560" s="333"/>
      <c r="Y560" s="333"/>
      <c r="Z560" s="333"/>
      <c r="AA560" s="333"/>
      <c r="AB560" s="333"/>
      <c r="AC560" s="333"/>
      <c r="AD560" s="333"/>
      <c r="AE560" s="333"/>
      <c r="AF560" s="333"/>
      <c r="AG560" s="333"/>
      <c r="AH560" s="333"/>
      <c r="AI560" s="333"/>
      <c r="AJ560" s="333"/>
      <c r="AK560" s="333"/>
      <c r="AL560" s="333"/>
    </row>
    <row r="561" spans="1:38">
      <c r="G561" s="4" t="s">
        <v>701</v>
      </c>
      <c r="H561" s="4" t="s">
        <v>661</v>
      </c>
      <c r="I561" s="4">
        <v>0</v>
      </c>
      <c r="J561" s="4"/>
      <c r="K561" s="333"/>
      <c r="L561" s="333"/>
      <c r="M561" s="333"/>
      <c r="N561" s="333"/>
      <c r="O561" s="333"/>
      <c r="P561" s="333"/>
      <c r="Q561" s="333"/>
      <c r="R561" s="333"/>
      <c r="S561" s="333"/>
      <c r="T561" s="333"/>
      <c r="U561" s="333"/>
      <c r="V561" s="333"/>
      <c r="W561" s="333"/>
      <c r="X561" s="333"/>
      <c r="Y561" s="333"/>
      <c r="Z561" s="333"/>
      <c r="AA561" s="333"/>
      <c r="AB561" s="333"/>
      <c r="AC561" s="333"/>
      <c r="AD561" s="333"/>
      <c r="AE561" s="333"/>
      <c r="AF561" s="333"/>
      <c r="AG561" s="333"/>
      <c r="AH561" s="333"/>
      <c r="AI561" s="333"/>
      <c r="AJ561" s="333"/>
      <c r="AK561" s="333"/>
      <c r="AL561" s="333"/>
    </row>
    <row r="562" spans="1:38">
      <c r="G562" s="4" t="s">
        <v>687</v>
      </c>
      <c r="H562" s="4"/>
      <c r="I562" s="4"/>
      <c r="J562" s="4" t="s">
        <v>2663</v>
      </c>
      <c r="K562" s="425">
        <f>'Key inputs_Refineries'!$C$180*10^3</f>
        <v>230.21279999999999</v>
      </c>
      <c r="L562" s="425">
        <f>'Key inputs_Refineries'!$C$180*10^3</f>
        <v>230.21279999999999</v>
      </c>
      <c r="M562" s="425">
        <f>'Key inputs_Refineries'!$C$180*10^3</f>
        <v>230.21279999999999</v>
      </c>
      <c r="N562" s="425">
        <f>'Key inputs_Refineries'!$C$180*10^3</f>
        <v>230.21279999999999</v>
      </c>
      <c r="O562" s="425">
        <f>'Key inputs_Refineries'!$C$180*10^3</f>
        <v>230.21279999999999</v>
      </c>
      <c r="P562" s="425">
        <f>'Key inputs_Refineries'!$C$180*10^3</f>
        <v>230.21279999999999</v>
      </c>
      <c r="Q562" s="425">
        <f>'Key inputs_Refineries'!$C$180*10^3</f>
        <v>230.21279999999999</v>
      </c>
      <c r="R562" s="425">
        <f>'Key inputs_Refineries'!$C$180*10^3</f>
        <v>230.21279999999999</v>
      </c>
      <c r="S562" s="425">
        <f>'Key inputs_Refineries'!$C$180*10^3</f>
        <v>230.21279999999999</v>
      </c>
      <c r="T562" s="425">
        <f>'Key inputs_Refineries'!$C$180*10^3</f>
        <v>230.21279999999999</v>
      </c>
      <c r="U562" s="425">
        <f>'Key inputs_Refineries'!$C$180*10^3</f>
        <v>230.21279999999999</v>
      </c>
      <c r="V562" s="425">
        <f>'Key inputs_Refineries'!$C$180*10^3</f>
        <v>230.21279999999999</v>
      </c>
      <c r="W562" s="425">
        <f>'Key inputs_Refineries'!$C$180*10^3</f>
        <v>230.21279999999999</v>
      </c>
      <c r="X562" s="425">
        <f>'Key inputs_Refineries'!$C$180*10^3</f>
        <v>230.21279999999999</v>
      </c>
      <c r="Y562" s="425">
        <f>'Key inputs_Refineries'!$C$180*10^3</f>
        <v>230.21279999999999</v>
      </c>
      <c r="Z562" s="425">
        <f>'Key inputs_Refineries'!$C$180*10^3</f>
        <v>230.21279999999999</v>
      </c>
      <c r="AA562" s="425">
        <f>'Key inputs_Refineries'!$C$180*10^3</f>
        <v>230.21279999999999</v>
      </c>
      <c r="AB562" s="425">
        <f>'Key inputs_Refineries'!$C$180*10^3</f>
        <v>230.21279999999999</v>
      </c>
      <c r="AC562" s="425">
        <f>'Key inputs_Refineries'!$C$180*10^3</f>
        <v>230.21279999999999</v>
      </c>
      <c r="AD562" s="425">
        <f>'Key inputs_Refineries'!$C$180*10^3</f>
        <v>230.21279999999999</v>
      </c>
      <c r="AE562" s="425">
        <f>'Key inputs_Refineries'!$C$180*10^3</f>
        <v>230.21279999999999</v>
      </c>
      <c r="AF562" s="425">
        <f>'Key inputs_Refineries'!$C$180*10^3</f>
        <v>230.21279999999999</v>
      </c>
      <c r="AG562" s="425">
        <f>'Key inputs_Refineries'!$C$180*10^3</f>
        <v>230.21279999999999</v>
      </c>
      <c r="AH562" s="425">
        <f>'Key inputs_Refineries'!$C$180*10^3</f>
        <v>230.21279999999999</v>
      </c>
      <c r="AI562" s="425">
        <f>'Key inputs_Refineries'!$C$180*10^3</f>
        <v>230.21279999999999</v>
      </c>
      <c r="AJ562" s="425">
        <f>'Key inputs_Refineries'!$C$180*10^3</f>
        <v>230.21279999999999</v>
      </c>
      <c r="AK562" s="425">
        <f>'Key inputs_Refineries'!$C$180*10^3</f>
        <v>230.21279999999999</v>
      </c>
      <c r="AL562" s="425">
        <f>'Key inputs_Refineries'!$C$180*10^3</f>
        <v>230.21279999999999</v>
      </c>
    </row>
    <row r="563" spans="1:38">
      <c r="G563" s="4" t="s">
        <v>689</v>
      </c>
      <c r="H563" s="4"/>
      <c r="I563" s="4"/>
      <c r="J563" s="4" t="s">
        <v>2663</v>
      </c>
      <c r="K563" s="425">
        <f>'Key inputs_Refineries'!$D$180*10^3</f>
        <v>1.8921600000000001</v>
      </c>
      <c r="L563" s="425">
        <f>'Key inputs_Refineries'!$D$180*10^3</f>
        <v>1.8921600000000001</v>
      </c>
      <c r="M563" s="425">
        <f>'Key inputs_Refineries'!$D$180*10^3</f>
        <v>1.8921600000000001</v>
      </c>
      <c r="N563" s="425">
        <f>'Key inputs_Refineries'!$D$180*10^3</f>
        <v>1.8921600000000001</v>
      </c>
      <c r="O563" s="425">
        <f>'Key inputs_Refineries'!$D$180*10^3</f>
        <v>1.8921600000000001</v>
      </c>
      <c r="P563" s="425">
        <f>'Key inputs_Refineries'!$D$180*10^3</f>
        <v>1.8921600000000001</v>
      </c>
      <c r="Q563" s="425">
        <f>'Key inputs_Refineries'!$D$180*10^3</f>
        <v>1.8921600000000001</v>
      </c>
      <c r="R563" s="425">
        <f>'Key inputs_Refineries'!$D$180*10^3</f>
        <v>1.8921600000000001</v>
      </c>
      <c r="S563" s="425">
        <f>'Key inputs_Refineries'!$D$180*10^3</f>
        <v>1.8921600000000001</v>
      </c>
      <c r="T563" s="425">
        <f>'Key inputs_Refineries'!$D$180*10^3</f>
        <v>1.8921600000000001</v>
      </c>
      <c r="U563" s="425">
        <f>'Key inputs_Refineries'!$D$180*10^3</f>
        <v>1.8921600000000001</v>
      </c>
      <c r="V563" s="425">
        <f>'Key inputs_Refineries'!$D$180*10^3</f>
        <v>1.8921600000000001</v>
      </c>
      <c r="W563" s="425">
        <f>'Key inputs_Refineries'!$D$180*10^3</f>
        <v>1.8921600000000001</v>
      </c>
      <c r="X563" s="425">
        <f>'Key inputs_Refineries'!$D$180*10^3</f>
        <v>1.8921600000000001</v>
      </c>
      <c r="Y563" s="425">
        <f>'Key inputs_Refineries'!$D$180*10^3</f>
        <v>1.8921600000000001</v>
      </c>
      <c r="Z563" s="425">
        <f>'Key inputs_Refineries'!$D$180*10^3</f>
        <v>1.8921600000000001</v>
      </c>
      <c r="AA563" s="425">
        <f>'Key inputs_Refineries'!$D$180*10^3</f>
        <v>1.8921600000000001</v>
      </c>
      <c r="AB563" s="425">
        <f>'Key inputs_Refineries'!$D$180*10^3</f>
        <v>1.8921600000000001</v>
      </c>
      <c r="AC563" s="425">
        <f>'Key inputs_Refineries'!$D$180*10^3</f>
        <v>1.8921600000000001</v>
      </c>
      <c r="AD563" s="425">
        <f>'Key inputs_Refineries'!$D$180*10^3</f>
        <v>1.8921600000000001</v>
      </c>
      <c r="AE563" s="425">
        <f>'Key inputs_Refineries'!$D$180*10^3</f>
        <v>1.8921600000000001</v>
      </c>
      <c r="AF563" s="425">
        <f>'Key inputs_Refineries'!$D$180*10^3</f>
        <v>1.8921600000000001</v>
      </c>
      <c r="AG563" s="425">
        <f>'Key inputs_Refineries'!$D$180*10^3</f>
        <v>1.8921600000000001</v>
      </c>
      <c r="AH563" s="425">
        <f>'Key inputs_Refineries'!$D$180*10^3</f>
        <v>1.8921600000000001</v>
      </c>
      <c r="AI563" s="425">
        <f>'Key inputs_Refineries'!$D$180*10^3</f>
        <v>1.8921600000000001</v>
      </c>
      <c r="AJ563" s="425">
        <f>'Key inputs_Refineries'!$D$180*10^3</f>
        <v>1.8921600000000001</v>
      </c>
      <c r="AK563" s="425">
        <f>'Key inputs_Refineries'!$D$180*10^3</f>
        <v>1.8921600000000001</v>
      </c>
      <c r="AL563" s="425">
        <f>'Key inputs_Refineries'!$D$180*10^3</f>
        <v>1.8921600000000001</v>
      </c>
    </row>
    <row r="564" spans="1:38">
      <c r="G564" s="4" t="s">
        <v>675</v>
      </c>
      <c r="H564" s="4"/>
      <c r="I564" s="4"/>
      <c r="J564" s="4" t="s">
        <v>2662</v>
      </c>
      <c r="K564" s="338"/>
      <c r="L564" s="338"/>
      <c r="M564" s="338"/>
      <c r="N564" s="338"/>
      <c r="O564" s="338"/>
      <c r="P564" s="338"/>
      <c r="Q564" s="338"/>
      <c r="R564" s="338"/>
      <c r="S564" s="338"/>
      <c r="T564" s="338"/>
      <c r="U564" s="338"/>
      <c r="V564" s="338"/>
      <c r="W564" s="338"/>
      <c r="X564" s="338"/>
      <c r="Y564" s="338"/>
      <c r="Z564" s="338"/>
      <c r="AA564" s="338"/>
      <c r="AB564" s="338"/>
      <c r="AC564" s="338"/>
      <c r="AD564" s="338"/>
      <c r="AE564" s="338"/>
      <c r="AF564" s="338"/>
      <c r="AG564" s="338"/>
      <c r="AH564" s="338"/>
      <c r="AI564" s="338"/>
      <c r="AJ564" s="338"/>
      <c r="AK564" s="338"/>
      <c r="AL564" s="338"/>
    </row>
    <row r="565" spans="1:38">
      <c r="G565" s="4" t="s">
        <v>630</v>
      </c>
      <c r="H565" s="4"/>
      <c r="I565" s="4"/>
      <c r="J565" s="4" t="s">
        <v>2666</v>
      </c>
      <c r="K565" s="425">
        <f>'Key inputs_Refineries'!$H$180</f>
        <v>0.6</v>
      </c>
      <c r="L565" s="425">
        <f>'Key inputs_Refineries'!$H$180</f>
        <v>0.6</v>
      </c>
      <c r="M565" s="425">
        <f>'Key inputs_Refineries'!$H$180</f>
        <v>0.6</v>
      </c>
      <c r="N565" s="425">
        <f>'Key inputs_Refineries'!$H$180</f>
        <v>0.6</v>
      </c>
      <c r="O565" s="425">
        <f>'Key inputs_Refineries'!$H$180</f>
        <v>0.6</v>
      </c>
      <c r="P565" s="425">
        <f>'Key inputs_Refineries'!$H$180</f>
        <v>0.6</v>
      </c>
      <c r="Q565" s="425">
        <f>'Key inputs_Refineries'!$H$180</f>
        <v>0.6</v>
      </c>
      <c r="R565" s="425">
        <f>'Key inputs_Refineries'!$H$180</f>
        <v>0.6</v>
      </c>
      <c r="S565" s="425">
        <f>'Key inputs_Refineries'!$H$180</f>
        <v>0.6</v>
      </c>
      <c r="T565" s="425">
        <f>'Key inputs_Refineries'!$H$180</f>
        <v>0.6</v>
      </c>
      <c r="U565" s="425">
        <f>'Key inputs_Refineries'!$H$180</f>
        <v>0.6</v>
      </c>
      <c r="V565" s="425">
        <f>'Key inputs_Refineries'!$H$180</f>
        <v>0.6</v>
      </c>
      <c r="W565" s="425">
        <f>'Key inputs_Refineries'!$H$180</f>
        <v>0.6</v>
      </c>
      <c r="X565" s="425">
        <f>'Key inputs_Refineries'!$H$180</f>
        <v>0.6</v>
      </c>
      <c r="Y565" s="425">
        <f>'Key inputs_Refineries'!$H$180</f>
        <v>0.6</v>
      </c>
      <c r="Z565" s="425">
        <f>'Key inputs_Refineries'!$H$180</f>
        <v>0.6</v>
      </c>
      <c r="AA565" s="425">
        <f>'Key inputs_Refineries'!$H$180</f>
        <v>0.6</v>
      </c>
      <c r="AB565" s="425">
        <f>'Key inputs_Refineries'!$H$180</f>
        <v>0.6</v>
      </c>
      <c r="AC565" s="425">
        <f>'Key inputs_Refineries'!$H$180</f>
        <v>0.6</v>
      </c>
      <c r="AD565" s="425">
        <f>'Key inputs_Refineries'!$H$180</f>
        <v>0.6</v>
      </c>
      <c r="AE565" s="425">
        <f>'Key inputs_Refineries'!$H$180</f>
        <v>0.6</v>
      </c>
      <c r="AF565" s="425">
        <f>'Key inputs_Refineries'!$H$180</f>
        <v>0.6</v>
      </c>
      <c r="AG565" s="425">
        <f>'Key inputs_Refineries'!$H$180</f>
        <v>0.6</v>
      </c>
      <c r="AH565" s="425">
        <f>'Key inputs_Refineries'!$H$180</f>
        <v>0.6</v>
      </c>
      <c r="AI565" s="425">
        <f>'Key inputs_Refineries'!$H$180</f>
        <v>0.6</v>
      </c>
      <c r="AJ565" s="425">
        <f>'Key inputs_Refineries'!$H$180</f>
        <v>0.6</v>
      </c>
      <c r="AK565" s="425">
        <f>'Key inputs_Refineries'!$H$180</f>
        <v>0.6</v>
      </c>
      <c r="AL565" s="425">
        <f>'Key inputs_Refineries'!$H$180</f>
        <v>0.6</v>
      </c>
    </row>
    <row r="566" spans="1:38">
      <c r="C566" t="str">
        <f>Commodities!$C$85</f>
        <v>UPSBIO</v>
      </c>
      <c r="G566" s="4" t="s">
        <v>702</v>
      </c>
      <c r="H566" t="s">
        <v>661</v>
      </c>
      <c r="I566">
        <v>2019</v>
      </c>
      <c r="J566" t="s">
        <v>650</v>
      </c>
      <c r="K566" s="426">
        <v>1</v>
      </c>
      <c r="L566" s="426">
        <v>1</v>
      </c>
      <c r="M566" s="426">
        <v>1</v>
      </c>
      <c r="N566" s="426">
        <v>1</v>
      </c>
      <c r="O566" s="426">
        <v>1</v>
      </c>
      <c r="P566" s="426">
        <v>1</v>
      </c>
      <c r="Q566" s="426">
        <v>1</v>
      </c>
      <c r="R566" s="426">
        <v>1</v>
      </c>
      <c r="S566" s="426">
        <v>1</v>
      </c>
      <c r="T566" s="426">
        <v>1</v>
      </c>
      <c r="U566" s="426">
        <v>1</v>
      </c>
      <c r="V566" s="426">
        <v>1</v>
      </c>
      <c r="W566" s="426">
        <v>1</v>
      </c>
      <c r="X566" s="426">
        <v>1</v>
      </c>
      <c r="Y566" s="426">
        <v>1</v>
      </c>
      <c r="Z566" s="426">
        <v>1</v>
      </c>
      <c r="AA566" s="426">
        <v>1</v>
      </c>
      <c r="AB566" s="426">
        <v>1</v>
      </c>
      <c r="AC566" s="426">
        <v>1</v>
      </c>
      <c r="AD566" s="426">
        <v>1</v>
      </c>
      <c r="AE566" s="426">
        <v>1</v>
      </c>
      <c r="AF566" s="426">
        <v>1</v>
      </c>
      <c r="AG566" s="426">
        <v>1</v>
      </c>
      <c r="AH566" s="426">
        <v>1</v>
      </c>
      <c r="AI566" s="426">
        <v>1</v>
      </c>
      <c r="AJ566" s="426">
        <v>1</v>
      </c>
      <c r="AK566" s="426">
        <v>1</v>
      </c>
      <c r="AL566" s="426">
        <v>1</v>
      </c>
    </row>
    <row r="567" spans="1:38">
      <c r="C567" t="str">
        <f>Commodities!$C$101</f>
        <v>UPSWAS</v>
      </c>
      <c r="G567" s="4" t="s">
        <v>702</v>
      </c>
      <c r="H567" t="s">
        <v>661</v>
      </c>
      <c r="I567">
        <v>2019</v>
      </c>
      <c r="J567" t="s">
        <v>650</v>
      </c>
      <c r="K567" s="426">
        <v>1</v>
      </c>
      <c r="L567" s="426">
        <v>1</v>
      </c>
      <c r="M567" s="426">
        <v>1</v>
      </c>
      <c r="N567" s="426">
        <v>1</v>
      </c>
      <c r="O567" s="426">
        <v>1</v>
      </c>
      <c r="P567" s="426">
        <v>1</v>
      </c>
      <c r="Q567" s="426">
        <v>1</v>
      </c>
      <c r="R567" s="426">
        <v>1</v>
      </c>
      <c r="S567" s="426">
        <v>1</v>
      </c>
      <c r="T567" s="426">
        <v>1</v>
      </c>
      <c r="U567" s="426">
        <v>1</v>
      </c>
      <c r="V567" s="426">
        <v>1</v>
      </c>
      <c r="W567" s="426">
        <v>1</v>
      </c>
      <c r="X567" s="426">
        <v>1</v>
      </c>
      <c r="Y567" s="426">
        <v>1</v>
      </c>
      <c r="Z567" s="426">
        <v>1</v>
      </c>
      <c r="AA567" s="426">
        <v>1</v>
      </c>
      <c r="AB567" s="426">
        <v>1</v>
      </c>
      <c r="AC567" s="426">
        <v>1</v>
      </c>
      <c r="AD567" s="426">
        <v>1</v>
      </c>
      <c r="AE567" s="426">
        <v>1</v>
      </c>
      <c r="AF567" s="426">
        <v>1</v>
      </c>
      <c r="AG567" s="426">
        <v>1</v>
      </c>
      <c r="AH567" s="426">
        <v>1</v>
      </c>
      <c r="AI567" s="426">
        <v>1</v>
      </c>
      <c r="AJ567" s="426">
        <v>1</v>
      </c>
      <c r="AK567" s="426">
        <v>1</v>
      </c>
      <c r="AL567" s="426">
        <v>1</v>
      </c>
    </row>
    <row r="568" spans="1:38">
      <c r="C568" t="str">
        <f>Commodities!$C$85</f>
        <v>UPSBIO</v>
      </c>
      <c r="G568" s="4" t="s">
        <v>702</v>
      </c>
      <c r="H568" t="s">
        <v>661</v>
      </c>
      <c r="I568">
        <v>2025</v>
      </c>
      <c r="J568" t="s">
        <v>650</v>
      </c>
      <c r="K568" s="426">
        <v>1</v>
      </c>
      <c r="L568" s="426">
        <v>1</v>
      </c>
      <c r="M568" s="426">
        <v>1</v>
      </c>
      <c r="N568" s="426">
        <v>1</v>
      </c>
      <c r="O568" s="426">
        <v>1</v>
      </c>
      <c r="P568" s="426">
        <v>1</v>
      </c>
      <c r="Q568" s="426">
        <v>1</v>
      </c>
      <c r="R568" s="426">
        <v>1</v>
      </c>
      <c r="S568" s="426">
        <v>1</v>
      </c>
      <c r="T568" s="426">
        <v>1</v>
      </c>
      <c r="U568" s="426">
        <v>1</v>
      </c>
      <c r="V568" s="426">
        <v>1</v>
      </c>
      <c r="W568" s="426">
        <v>1</v>
      </c>
      <c r="X568" s="426">
        <v>1</v>
      </c>
      <c r="Y568" s="426">
        <v>1</v>
      </c>
      <c r="Z568" s="426">
        <v>1</v>
      </c>
      <c r="AA568" s="426">
        <v>1</v>
      </c>
      <c r="AB568" s="426">
        <v>1</v>
      </c>
      <c r="AC568" s="426">
        <v>1</v>
      </c>
      <c r="AD568" s="426">
        <v>1</v>
      </c>
      <c r="AE568" s="426">
        <v>1</v>
      </c>
      <c r="AF568" s="426">
        <v>1</v>
      </c>
      <c r="AG568" s="426">
        <v>1</v>
      </c>
      <c r="AH568" s="426">
        <v>1</v>
      </c>
      <c r="AI568" s="426">
        <v>1</v>
      </c>
      <c r="AJ568" s="426">
        <v>1</v>
      </c>
      <c r="AK568" s="426">
        <v>1</v>
      </c>
      <c r="AL568" s="426">
        <v>1</v>
      </c>
    </row>
    <row r="569" spans="1:38">
      <c r="C569" t="str">
        <f>Commodities!$C$101</f>
        <v>UPSWAS</v>
      </c>
      <c r="G569" s="4" t="s">
        <v>702</v>
      </c>
      <c r="H569" t="s">
        <v>661</v>
      </c>
      <c r="I569">
        <v>2025</v>
      </c>
      <c r="J569" t="s">
        <v>650</v>
      </c>
      <c r="K569" s="426">
        <v>1</v>
      </c>
      <c r="L569" s="426">
        <v>1</v>
      </c>
      <c r="M569" s="426">
        <v>1</v>
      </c>
      <c r="N569" s="426">
        <v>1</v>
      </c>
      <c r="O569" s="426">
        <v>1</v>
      </c>
      <c r="P569" s="426">
        <v>1</v>
      </c>
      <c r="Q569" s="426">
        <v>1</v>
      </c>
      <c r="R569" s="426">
        <v>1</v>
      </c>
      <c r="S569" s="426">
        <v>1</v>
      </c>
      <c r="T569" s="426">
        <v>1</v>
      </c>
      <c r="U569" s="426">
        <v>1</v>
      </c>
      <c r="V569" s="426">
        <v>1</v>
      </c>
      <c r="W569" s="426">
        <v>1</v>
      </c>
      <c r="X569" s="426">
        <v>1</v>
      </c>
      <c r="Y569" s="426">
        <v>1</v>
      </c>
      <c r="Z569" s="426">
        <v>1</v>
      </c>
      <c r="AA569" s="426">
        <v>1</v>
      </c>
      <c r="AB569" s="426">
        <v>1</v>
      </c>
      <c r="AC569" s="426">
        <v>1</v>
      </c>
      <c r="AD569" s="426">
        <v>1</v>
      </c>
      <c r="AE569" s="426">
        <v>1</v>
      </c>
      <c r="AF569" s="426">
        <v>1</v>
      </c>
      <c r="AG569" s="426">
        <v>1</v>
      </c>
      <c r="AH569" s="426">
        <v>1</v>
      </c>
      <c r="AI569" s="426">
        <v>1</v>
      </c>
      <c r="AJ569" s="426">
        <v>1</v>
      </c>
      <c r="AK569" s="426">
        <v>1</v>
      </c>
      <c r="AL569" s="426">
        <v>1</v>
      </c>
    </row>
    <row r="570" spans="1:38">
      <c r="C570" t="str">
        <f>Commodities!$C$85</f>
        <v>UPSBIO</v>
      </c>
      <c r="G570" s="4" t="s">
        <v>702</v>
      </c>
      <c r="H570" t="s">
        <v>661</v>
      </c>
      <c r="I570">
        <v>2050</v>
      </c>
      <c r="J570" t="s">
        <v>650</v>
      </c>
      <c r="K570" s="426">
        <v>1</v>
      </c>
      <c r="L570" s="426">
        <v>1</v>
      </c>
      <c r="M570" s="426">
        <v>1</v>
      </c>
      <c r="N570" s="426">
        <v>1</v>
      </c>
      <c r="O570" s="426">
        <v>1</v>
      </c>
      <c r="P570" s="426">
        <v>1</v>
      </c>
      <c r="Q570" s="426">
        <v>1</v>
      </c>
      <c r="R570" s="426">
        <v>1</v>
      </c>
      <c r="S570" s="426">
        <v>1</v>
      </c>
      <c r="T570" s="426">
        <v>1</v>
      </c>
      <c r="U570" s="426">
        <v>1</v>
      </c>
      <c r="V570" s="426">
        <v>1</v>
      </c>
      <c r="W570" s="426">
        <v>1</v>
      </c>
      <c r="X570" s="426">
        <v>1</v>
      </c>
      <c r="Y570" s="426">
        <v>1</v>
      </c>
      <c r="Z570" s="426">
        <v>1</v>
      </c>
      <c r="AA570" s="426">
        <v>1</v>
      </c>
      <c r="AB570" s="426">
        <v>1</v>
      </c>
      <c r="AC570" s="426">
        <v>1</v>
      </c>
      <c r="AD570" s="426">
        <v>1</v>
      </c>
      <c r="AE570" s="426">
        <v>1</v>
      </c>
      <c r="AF570" s="426">
        <v>1</v>
      </c>
      <c r="AG570" s="426">
        <v>1</v>
      </c>
      <c r="AH570" s="426">
        <v>1</v>
      </c>
      <c r="AI570" s="426">
        <v>1</v>
      </c>
      <c r="AJ570" s="426">
        <v>1</v>
      </c>
      <c r="AK570" s="426">
        <v>1</v>
      </c>
      <c r="AL570" s="426">
        <v>1</v>
      </c>
    </row>
    <row r="571" spans="1:38">
      <c r="C571" t="str">
        <f>Commodities!$C$101</f>
        <v>UPSWAS</v>
      </c>
      <c r="G571" s="4" t="s">
        <v>702</v>
      </c>
      <c r="H571" t="s">
        <v>661</v>
      </c>
      <c r="I571">
        <v>2050</v>
      </c>
      <c r="J571" t="s">
        <v>650</v>
      </c>
      <c r="K571" s="426">
        <v>1</v>
      </c>
      <c r="L571" s="426">
        <v>1</v>
      </c>
      <c r="M571" s="426">
        <v>1</v>
      </c>
      <c r="N571" s="426">
        <v>1</v>
      </c>
      <c r="O571" s="426">
        <v>1</v>
      </c>
      <c r="P571" s="426">
        <v>1</v>
      </c>
      <c r="Q571" s="426">
        <v>1</v>
      </c>
      <c r="R571" s="426">
        <v>1</v>
      </c>
      <c r="S571" s="426">
        <v>1</v>
      </c>
      <c r="T571" s="426">
        <v>1</v>
      </c>
      <c r="U571" s="426">
        <v>1</v>
      </c>
      <c r="V571" s="426">
        <v>1</v>
      </c>
      <c r="W571" s="426">
        <v>1</v>
      </c>
      <c r="X571" s="426">
        <v>1</v>
      </c>
      <c r="Y571" s="426">
        <v>1</v>
      </c>
      <c r="Z571" s="426">
        <v>1</v>
      </c>
      <c r="AA571" s="426">
        <v>1</v>
      </c>
      <c r="AB571" s="426">
        <v>1</v>
      </c>
      <c r="AC571" s="426">
        <v>1</v>
      </c>
      <c r="AD571" s="426">
        <v>1</v>
      </c>
      <c r="AE571" s="426">
        <v>1</v>
      </c>
      <c r="AF571" s="426">
        <v>1</v>
      </c>
      <c r="AG571" s="426">
        <v>1</v>
      </c>
      <c r="AH571" s="426">
        <v>1</v>
      </c>
      <c r="AI571" s="426">
        <v>1</v>
      </c>
      <c r="AJ571" s="426">
        <v>1</v>
      </c>
      <c r="AK571" s="426">
        <v>1</v>
      </c>
      <c r="AL571" s="426">
        <v>1</v>
      </c>
    </row>
    <row r="572" spans="1:38">
      <c r="D572" t="str">
        <f>Commodities!$C$105</f>
        <v>UREFHET</v>
      </c>
    </row>
    <row r="573" spans="1:38">
      <c r="A573" s="4" t="str">
        <f>AO421</f>
        <v>U-TRF-OILREFHET_COA01</v>
      </c>
      <c r="B573" s="4" t="str">
        <f>AP421</f>
        <v>UPS Transformation: Oil refinery process heat Coal - New</v>
      </c>
      <c r="C573" s="4"/>
      <c r="D573" s="4"/>
      <c r="E573" s="4"/>
      <c r="F573" s="4"/>
      <c r="G573" s="4" t="s">
        <v>695</v>
      </c>
      <c r="H573" s="4"/>
      <c r="I573" s="4"/>
      <c r="J573" s="4" t="s">
        <v>2665</v>
      </c>
      <c r="K573" s="333">
        <v>1</v>
      </c>
      <c r="L573" s="333">
        <v>1</v>
      </c>
      <c r="M573" s="333">
        <v>1</v>
      </c>
      <c r="N573" s="333">
        <v>1</v>
      </c>
      <c r="O573" s="333">
        <v>1</v>
      </c>
      <c r="P573" s="333">
        <v>1</v>
      </c>
      <c r="Q573" s="333">
        <v>1</v>
      </c>
      <c r="R573" s="333">
        <v>1</v>
      </c>
      <c r="S573" s="333">
        <v>1</v>
      </c>
      <c r="T573" s="333">
        <v>1</v>
      </c>
      <c r="U573" s="333">
        <v>1</v>
      </c>
      <c r="V573" s="333">
        <v>1</v>
      </c>
      <c r="W573" s="333">
        <v>1</v>
      </c>
      <c r="X573" s="333">
        <v>1</v>
      </c>
      <c r="Y573" s="333">
        <v>1</v>
      </c>
      <c r="Z573" s="333">
        <v>1</v>
      </c>
      <c r="AA573" s="333">
        <v>1</v>
      </c>
      <c r="AB573" s="333">
        <v>1</v>
      </c>
      <c r="AC573" s="333">
        <v>1</v>
      </c>
      <c r="AD573" s="333">
        <v>1</v>
      </c>
      <c r="AE573" s="333">
        <v>1</v>
      </c>
      <c r="AF573" s="333">
        <v>1</v>
      </c>
      <c r="AG573" s="333">
        <v>1</v>
      </c>
      <c r="AH573" s="333">
        <v>1</v>
      </c>
      <c r="AI573" s="333">
        <v>1</v>
      </c>
      <c r="AJ573" s="333">
        <v>1</v>
      </c>
      <c r="AK573" s="333">
        <v>1</v>
      </c>
      <c r="AL573" s="333">
        <v>1</v>
      </c>
    </row>
    <row r="574" spans="1:38">
      <c r="C574" s="4"/>
      <c r="D574" s="4"/>
      <c r="E574" s="4"/>
      <c r="F574" s="4"/>
      <c r="G574" s="4" t="s">
        <v>697</v>
      </c>
      <c r="H574" s="4"/>
      <c r="I574" s="4"/>
      <c r="J574" s="4" t="s">
        <v>698</v>
      </c>
      <c r="K574" s="424">
        <f>'Key inputs_Refineries'!$F$181</f>
        <v>15</v>
      </c>
      <c r="L574" s="424">
        <f>'Key inputs_Refineries'!$F$181</f>
        <v>15</v>
      </c>
      <c r="M574" s="424">
        <f>'Key inputs_Refineries'!$F$181</f>
        <v>15</v>
      </c>
      <c r="N574" s="424">
        <f>'Key inputs_Refineries'!$F$181</f>
        <v>15</v>
      </c>
      <c r="O574" s="424">
        <f>'Key inputs_Refineries'!$F$181</f>
        <v>15</v>
      </c>
      <c r="P574" s="424">
        <f>'Key inputs_Refineries'!$F$181</f>
        <v>15</v>
      </c>
      <c r="Q574" s="424">
        <f>'Key inputs_Refineries'!$F$181</f>
        <v>15</v>
      </c>
      <c r="R574" s="424">
        <f>'Key inputs_Refineries'!$F$181</f>
        <v>15</v>
      </c>
      <c r="S574" s="424">
        <f>'Key inputs_Refineries'!$F$181</f>
        <v>15</v>
      </c>
      <c r="T574" s="424">
        <f>'Key inputs_Refineries'!$F$181</f>
        <v>15</v>
      </c>
      <c r="U574" s="424">
        <f>'Key inputs_Refineries'!$F$181</f>
        <v>15</v>
      </c>
      <c r="V574" s="424">
        <f>'Key inputs_Refineries'!$F$181</f>
        <v>15</v>
      </c>
      <c r="W574" s="424">
        <f>'Key inputs_Refineries'!$F$181</f>
        <v>15</v>
      </c>
      <c r="X574" s="424">
        <f>'Key inputs_Refineries'!$F$181</f>
        <v>15</v>
      </c>
      <c r="Y574" s="424">
        <f>'Key inputs_Refineries'!$F$181</f>
        <v>15</v>
      </c>
      <c r="Z574" s="424">
        <f>'Key inputs_Refineries'!$F$181</f>
        <v>15</v>
      </c>
      <c r="AA574" s="424">
        <f>'Key inputs_Refineries'!$F$181</f>
        <v>15</v>
      </c>
      <c r="AB574" s="424">
        <f>'Key inputs_Refineries'!$F$181</f>
        <v>15</v>
      </c>
      <c r="AC574" s="424">
        <f>'Key inputs_Refineries'!$F$181</f>
        <v>15</v>
      </c>
      <c r="AD574" s="424">
        <f>'Key inputs_Refineries'!$F$181</f>
        <v>15</v>
      </c>
      <c r="AE574" s="424">
        <f>'Key inputs_Refineries'!$F$181</f>
        <v>15</v>
      </c>
      <c r="AF574" s="424">
        <f>'Key inputs_Refineries'!$F$181</f>
        <v>15</v>
      </c>
      <c r="AG574" s="424">
        <f>'Key inputs_Refineries'!$F$181</f>
        <v>15</v>
      </c>
      <c r="AH574" s="424">
        <f>'Key inputs_Refineries'!$F$181</f>
        <v>15</v>
      </c>
      <c r="AI574" s="424">
        <f>'Key inputs_Refineries'!$F$181</f>
        <v>15</v>
      </c>
      <c r="AJ574" s="424">
        <f>'Key inputs_Refineries'!$F$181</f>
        <v>15</v>
      </c>
      <c r="AK574" s="424">
        <f>'Key inputs_Refineries'!$F$181</f>
        <v>15</v>
      </c>
      <c r="AL574" s="424">
        <f>'Key inputs_Refineries'!$F$181</f>
        <v>15</v>
      </c>
    </row>
    <row r="575" spans="1:38">
      <c r="C575" s="4"/>
      <c r="D575" s="4"/>
      <c r="E575" s="4"/>
      <c r="F575" s="4"/>
      <c r="G575" s="4" t="s">
        <v>707</v>
      </c>
      <c r="H575" s="4"/>
      <c r="I575" s="4"/>
      <c r="J575" s="4" t="s">
        <v>2669</v>
      </c>
      <c r="K575" s="347">
        <v>2020</v>
      </c>
      <c r="L575" s="347">
        <v>2020</v>
      </c>
      <c r="M575" s="347">
        <v>2020</v>
      </c>
      <c r="N575" s="347">
        <v>2020</v>
      </c>
      <c r="O575" s="347">
        <v>2020</v>
      </c>
      <c r="P575" s="347">
        <v>2020</v>
      </c>
      <c r="Q575" s="347">
        <v>2020</v>
      </c>
      <c r="R575" s="347">
        <v>2020</v>
      </c>
      <c r="S575" s="347">
        <v>2020</v>
      </c>
      <c r="T575" s="347">
        <v>2020</v>
      </c>
      <c r="U575" s="347">
        <v>2020</v>
      </c>
      <c r="V575" s="347">
        <v>2020</v>
      </c>
      <c r="W575" s="347">
        <v>2020</v>
      </c>
      <c r="X575" s="347">
        <v>2020</v>
      </c>
      <c r="Y575" s="347">
        <v>2020</v>
      </c>
      <c r="Z575" s="347">
        <v>2020</v>
      </c>
      <c r="AA575" s="347">
        <v>2020</v>
      </c>
      <c r="AB575" s="347">
        <v>2020</v>
      </c>
      <c r="AC575" s="347">
        <v>2020</v>
      </c>
      <c r="AD575" s="347">
        <v>2020</v>
      </c>
      <c r="AE575" s="347">
        <v>2020</v>
      </c>
      <c r="AF575" s="347">
        <v>2020</v>
      </c>
      <c r="AG575" s="347">
        <v>2020</v>
      </c>
      <c r="AH575" s="347">
        <v>2020</v>
      </c>
      <c r="AI575" s="347">
        <v>2020</v>
      </c>
      <c r="AJ575" s="347">
        <v>2020</v>
      </c>
      <c r="AK575" s="347">
        <v>2020</v>
      </c>
      <c r="AL575" s="347">
        <v>2020</v>
      </c>
    </row>
    <row r="576" spans="1:38">
      <c r="G576" s="4" t="s">
        <v>701</v>
      </c>
      <c r="H576" s="4" t="s">
        <v>661</v>
      </c>
      <c r="I576" s="4">
        <v>2019</v>
      </c>
      <c r="J576" s="4" t="s">
        <v>112</v>
      </c>
      <c r="K576" s="333"/>
      <c r="L576" s="333"/>
      <c r="M576" s="333"/>
      <c r="N576" s="333"/>
      <c r="O576" s="333"/>
      <c r="P576" s="333"/>
      <c r="Q576" s="333"/>
      <c r="R576" s="333"/>
      <c r="S576" s="333"/>
      <c r="T576" s="333"/>
      <c r="U576" s="333"/>
      <c r="V576" s="333"/>
      <c r="W576" s="333"/>
      <c r="X576" s="333"/>
      <c r="Y576" s="333"/>
      <c r="Z576" s="333"/>
      <c r="AA576" s="333"/>
      <c r="AB576" s="333"/>
      <c r="AC576" s="333"/>
      <c r="AD576" s="333"/>
      <c r="AE576" s="333"/>
      <c r="AF576" s="333"/>
      <c r="AG576" s="333"/>
      <c r="AH576" s="333"/>
      <c r="AI576" s="333"/>
      <c r="AJ576" s="333"/>
      <c r="AK576" s="333"/>
      <c r="AL576" s="333"/>
    </row>
    <row r="577" spans="1:38">
      <c r="G577" s="4" t="s">
        <v>701</v>
      </c>
      <c r="H577" s="4" t="s">
        <v>661</v>
      </c>
      <c r="I577" s="4">
        <v>2060</v>
      </c>
      <c r="J577" s="4" t="s">
        <v>112</v>
      </c>
      <c r="K577" s="333"/>
      <c r="L577" s="333"/>
      <c r="M577" s="333"/>
      <c r="N577" s="333"/>
      <c r="O577" s="333"/>
      <c r="P577" s="333"/>
      <c r="Q577" s="333"/>
      <c r="R577" s="333"/>
      <c r="S577" s="333"/>
      <c r="T577" s="333"/>
      <c r="U577" s="333"/>
      <c r="V577" s="333"/>
      <c r="W577" s="333"/>
      <c r="X577" s="333"/>
      <c r="Y577" s="333"/>
      <c r="Z577" s="333"/>
      <c r="AA577" s="333"/>
      <c r="AB577" s="333"/>
      <c r="AC577" s="333"/>
      <c r="AD577" s="333"/>
      <c r="AE577" s="333"/>
      <c r="AF577" s="333"/>
      <c r="AG577" s="333"/>
      <c r="AH577" s="333"/>
      <c r="AI577" s="333"/>
      <c r="AJ577" s="333"/>
      <c r="AK577" s="333"/>
      <c r="AL577" s="333"/>
    </row>
    <row r="578" spans="1:38">
      <c r="G578" s="4" t="s">
        <v>701</v>
      </c>
      <c r="H578" s="4" t="s">
        <v>661</v>
      </c>
      <c r="I578" s="4">
        <v>0</v>
      </c>
      <c r="J578" s="4"/>
      <c r="K578" s="333"/>
      <c r="L578" s="333"/>
      <c r="M578" s="333"/>
      <c r="N578" s="333"/>
      <c r="O578" s="333"/>
      <c r="P578" s="333"/>
      <c r="Q578" s="333"/>
      <c r="R578" s="333"/>
      <c r="S578" s="333"/>
      <c r="T578" s="333"/>
      <c r="U578" s="333"/>
      <c r="V578" s="333"/>
      <c r="W578" s="333"/>
      <c r="X578" s="333"/>
      <c r="Y578" s="333"/>
      <c r="Z578" s="333"/>
      <c r="AA578" s="333"/>
      <c r="AB578" s="333"/>
      <c r="AC578" s="333"/>
      <c r="AD578" s="333"/>
      <c r="AE578" s="333"/>
      <c r="AF578" s="333"/>
      <c r="AG578" s="333"/>
      <c r="AH578" s="333"/>
      <c r="AI578" s="333"/>
      <c r="AJ578" s="333"/>
      <c r="AK578" s="333"/>
      <c r="AL578" s="333"/>
    </row>
    <row r="579" spans="1:38">
      <c r="G579" s="4" t="s">
        <v>687</v>
      </c>
      <c r="H579" s="4"/>
      <c r="I579" s="4"/>
      <c r="J579" s="4" t="s">
        <v>2663</v>
      </c>
      <c r="K579" s="425">
        <f>'Key inputs_Refineries'!$C$181*10^3</f>
        <v>182.90880000000001</v>
      </c>
      <c r="L579" s="425">
        <f>'Key inputs_Refineries'!$C$181*10^3</f>
        <v>182.90880000000001</v>
      </c>
      <c r="M579" s="425">
        <f>'Key inputs_Refineries'!$C$181*10^3</f>
        <v>182.90880000000001</v>
      </c>
      <c r="N579" s="425">
        <f>'Key inputs_Refineries'!$C$181*10^3</f>
        <v>182.90880000000001</v>
      </c>
      <c r="O579" s="425">
        <f>'Key inputs_Refineries'!$C$181*10^3</f>
        <v>182.90880000000001</v>
      </c>
      <c r="P579" s="425">
        <f>'Key inputs_Refineries'!$C$181*10^3</f>
        <v>182.90880000000001</v>
      </c>
      <c r="Q579" s="425">
        <f>'Key inputs_Refineries'!$C$181*10^3</f>
        <v>182.90880000000001</v>
      </c>
      <c r="R579" s="425">
        <f>'Key inputs_Refineries'!$C$181*10^3</f>
        <v>182.90880000000001</v>
      </c>
      <c r="S579" s="425">
        <f>'Key inputs_Refineries'!$C$181*10^3</f>
        <v>182.90880000000001</v>
      </c>
      <c r="T579" s="425">
        <f>'Key inputs_Refineries'!$C$181*10^3</f>
        <v>182.90880000000001</v>
      </c>
      <c r="U579" s="425">
        <f>'Key inputs_Refineries'!$C$181*10^3</f>
        <v>182.90880000000001</v>
      </c>
      <c r="V579" s="425">
        <f>'Key inputs_Refineries'!$C$181*10^3</f>
        <v>182.90880000000001</v>
      </c>
      <c r="W579" s="425">
        <f>'Key inputs_Refineries'!$C$181*10^3</f>
        <v>182.90880000000001</v>
      </c>
      <c r="X579" s="425">
        <f>'Key inputs_Refineries'!$C$181*10^3</f>
        <v>182.90880000000001</v>
      </c>
      <c r="Y579" s="425">
        <f>'Key inputs_Refineries'!$C$181*10^3</f>
        <v>182.90880000000001</v>
      </c>
      <c r="Z579" s="425">
        <f>'Key inputs_Refineries'!$C$181*10^3</f>
        <v>182.90880000000001</v>
      </c>
      <c r="AA579" s="425">
        <f>'Key inputs_Refineries'!$C$181*10^3</f>
        <v>182.90880000000001</v>
      </c>
      <c r="AB579" s="425">
        <f>'Key inputs_Refineries'!$C$181*10^3</f>
        <v>182.90880000000001</v>
      </c>
      <c r="AC579" s="425">
        <f>'Key inputs_Refineries'!$C$181*10^3</f>
        <v>182.90880000000001</v>
      </c>
      <c r="AD579" s="425">
        <f>'Key inputs_Refineries'!$C$181*10^3</f>
        <v>182.90880000000001</v>
      </c>
      <c r="AE579" s="425">
        <f>'Key inputs_Refineries'!$C$181*10^3</f>
        <v>182.90880000000001</v>
      </c>
      <c r="AF579" s="425">
        <f>'Key inputs_Refineries'!$C$181*10^3</f>
        <v>182.90880000000001</v>
      </c>
      <c r="AG579" s="425">
        <f>'Key inputs_Refineries'!$C$181*10^3</f>
        <v>182.90880000000001</v>
      </c>
      <c r="AH579" s="425">
        <f>'Key inputs_Refineries'!$C$181*10^3</f>
        <v>182.90880000000001</v>
      </c>
      <c r="AI579" s="425">
        <f>'Key inputs_Refineries'!$C$181*10^3</f>
        <v>182.90880000000001</v>
      </c>
      <c r="AJ579" s="425">
        <f>'Key inputs_Refineries'!$C$181*10^3</f>
        <v>182.90880000000001</v>
      </c>
      <c r="AK579" s="425">
        <f>'Key inputs_Refineries'!$C$181*10^3</f>
        <v>182.90880000000001</v>
      </c>
      <c r="AL579" s="425">
        <f>'Key inputs_Refineries'!$C$181*10^3</f>
        <v>182.90880000000001</v>
      </c>
    </row>
    <row r="580" spans="1:38">
      <c r="G580" s="4" t="s">
        <v>689</v>
      </c>
      <c r="H580" s="4"/>
      <c r="I580" s="4"/>
      <c r="J580" s="4" t="s">
        <v>2663</v>
      </c>
      <c r="K580" s="425">
        <f>'Key inputs_Refineries'!$D$181*10^3</f>
        <v>1.5768000000000002</v>
      </c>
      <c r="L580" s="425">
        <f>'Key inputs_Refineries'!$D$181*10^3</f>
        <v>1.5768000000000002</v>
      </c>
      <c r="M580" s="425">
        <f>'Key inputs_Refineries'!$D$181*10^3</f>
        <v>1.5768000000000002</v>
      </c>
      <c r="N580" s="425">
        <f>'Key inputs_Refineries'!$D$181*10^3</f>
        <v>1.5768000000000002</v>
      </c>
      <c r="O580" s="425">
        <f>'Key inputs_Refineries'!$D$181*10^3</f>
        <v>1.5768000000000002</v>
      </c>
      <c r="P580" s="425">
        <f>'Key inputs_Refineries'!$D$181*10^3</f>
        <v>1.5768000000000002</v>
      </c>
      <c r="Q580" s="425">
        <f>'Key inputs_Refineries'!$D$181*10^3</f>
        <v>1.5768000000000002</v>
      </c>
      <c r="R580" s="425">
        <f>'Key inputs_Refineries'!$D$181*10^3</f>
        <v>1.5768000000000002</v>
      </c>
      <c r="S580" s="425">
        <f>'Key inputs_Refineries'!$D$181*10^3</f>
        <v>1.5768000000000002</v>
      </c>
      <c r="T580" s="425">
        <f>'Key inputs_Refineries'!$D$181*10^3</f>
        <v>1.5768000000000002</v>
      </c>
      <c r="U580" s="425">
        <f>'Key inputs_Refineries'!$D$181*10^3</f>
        <v>1.5768000000000002</v>
      </c>
      <c r="V580" s="425">
        <f>'Key inputs_Refineries'!$D$181*10^3</f>
        <v>1.5768000000000002</v>
      </c>
      <c r="W580" s="425">
        <f>'Key inputs_Refineries'!$D$181*10^3</f>
        <v>1.5768000000000002</v>
      </c>
      <c r="X580" s="425">
        <f>'Key inputs_Refineries'!$D$181*10^3</f>
        <v>1.5768000000000002</v>
      </c>
      <c r="Y580" s="425">
        <f>'Key inputs_Refineries'!$D$181*10^3</f>
        <v>1.5768000000000002</v>
      </c>
      <c r="Z580" s="425">
        <f>'Key inputs_Refineries'!$D$181*10^3</f>
        <v>1.5768000000000002</v>
      </c>
      <c r="AA580" s="425">
        <f>'Key inputs_Refineries'!$D$181*10^3</f>
        <v>1.5768000000000002</v>
      </c>
      <c r="AB580" s="425">
        <f>'Key inputs_Refineries'!$D$181*10^3</f>
        <v>1.5768000000000002</v>
      </c>
      <c r="AC580" s="425">
        <f>'Key inputs_Refineries'!$D$181*10^3</f>
        <v>1.5768000000000002</v>
      </c>
      <c r="AD580" s="425">
        <f>'Key inputs_Refineries'!$D$181*10^3</f>
        <v>1.5768000000000002</v>
      </c>
      <c r="AE580" s="425">
        <f>'Key inputs_Refineries'!$D$181*10^3</f>
        <v>1.5768000000000002</v>
      </c>
      <c r="AF580" s="425">
        <f>'Key inputs_Refineries'!$D$181*10^3</f>
        <v>1.5768000000000002</v>
      </c>
      <c r="AG580" s="425">
        <f>'Key inputs_Refineries'!$D$181*10^3</f>
        <v>1.5768000000000002</v>
      </c>
      <c r="AH580" s="425">
        <f>'Key inputs_Refineries'!$D$181*10^3</f>
        <v>1.5768000000000002</v>
      </c>
      <c r="AI580" s="425">
        <f>'Key inputs_Refineries'!$D$181*10^3</f>
        <v>1.5768000000000002</v>
      </c>
      <c r="AJ580" s="425">
        <f>'Key inputs_Refineries'!$D$181*10^3</f>
        <v>1.5768000000000002</v>
      </c>
      <c r="AK580" s="425">
        <f>'Key inputs_Refineries'!$D$181*10^3</f>
        <v>1.5768000000000002</v>
      </c>
      <c r="AL580" s="425">
        <f>'Key inputs_Refineries'!$D$181*10^3</f>
        <v>1.5768000000000002</v>
      </c>
    </row>
    <row r="581" spans="1:38">
      <c r="G581" s="4" t="s">
        <v>675</v>
      </c>
      <c r="H581" s="4"/>
      <c r="I581" s="4"/>
      <c r="J581" s="4" t="s">
        <v>2662</v>
      </c>
      <c r="K581" s="338"/>
      <c r="L581" s="338"/>
      <c r="M581" s="338"/>
      <c r="N581" s="338"/>
      <c r="O581" s="338"/>
      <c r="P581" s="338"/>
      <c r="Q581" s="338"/>
      <c r="R581" s="338"/>
      <c r="S581" s="338"/>
      <c r="T581" s="338"/>
      <c r="U581" s="338"/>
      <c r="V581" s="338"/>
      <c r="W581" s="338"/>
      <c r="X581" s="338"/>
      <c r="Y581" s="338"/>
      <c r="Z581" s="338"/>
      <c r="AA581" s="338"/>
      <c r="AB581" s="338"/>
      <c r="AC581" s="338"/>
      <c r="AD581" s="338"/>
      <c r="AE581" s="338"/>
      <c r="AF581" s="338"/>
      <c r="AG581" s="338"/>
      <c r="AH581" s="338"/>
      <c r="AI581" s="338"/>
      <c r="AJ581" s="338"/>
      <c r="AK581" s="338"/>
      <c r="AL581" s="338"/>
    </row>
    <row r="582" spans="1:38">
      <c r="G582" s="4" t="s">
        <v>630</v>
      </c>
      <c r="H582" s="4"/>
      <c r="I582" s="4"/>
      <c r="J582" s="4" t="s">
        <v>2666</v>
      </c>
      <c r="K582" s="425">
        <f>'Key inputs_Refineries'!$H$181</f>
        <v>0.68</v>
      </c>
      <c r="L582" s="425">
        <f>'Key inputs_Refineries'!$H$181</f>
        <v>0.68</v>
      </c>
      <c r="M582" s="425">
        <f>'Key inputs_Refineries'!$H$181</f>
        <v>0.68</v>
      </c>
      <c r="N582" s="425">
        <f>'Key inputs_Refineries'!$H$181</f>
        <v>0.68</v>
      </c>
      <c r="O582" s="425">
        <f>'Key inputs_Refineries'!$H$181</f>
        <v>0.68</v>
      </c>
      <c r="P582" s="425">
        <f>'Key inputs_Refineries'!$H$181</f>
        <v>0.68</v>
      </c>
      <c r="Q582" s="425">
        <f>'Key inputs_Refineries'!$H$181</f>
        <v>0.68</v>
      </c>
      <c r="R582" s="425">
        <f>'Key inputs_Refineries'!$H$181</f>
        <v>0.68</v>
      </c>
      <c r="S582" s="425">
        <f>'Key inputs_Refineries'!$H$181</f>
        <v>0.68</v>
      </c>
      <c r="T582" s="425">
        <f>'Key inputs_Refineries'!$H$181</f>
        <v>0.68</v>
      </c>
      <c r="U582" s="425">
        <f>'Key inputs_Refineries'!$H$181</f>
        <v>0.68</v>
      </c>
      <c r="V582" s="425">
        <f>'Key inputs_Refineries'!$H$181</f>
        <v>0.68</v>
      </c>
      <c r="W582" s="425">
        <f>'Key inputs_Refineries'!$H$181</f>
        <v>0.68</v>
      </c>
      <c r="X582" s="425">
        <f>'Key inputs_Refineries'!$H$181</f>
        <v>0.68</v>
      </c>
      <c r="Y582" s="425">
        <f>'Key inputs_Refineries'!$H$181</f>
        <v>0.68</v>
      </c>
      <c r="Z582" s="425">
        <f>'Key inputs_Refineries'!$H$181</f>
        <v>0.68</v>
      </c>
      <c r="AA582" s="425">
        <f>'Key inputs_Refineries'!$H$181</f>
        <v>0.68</v>
      </c>
      <c r="AB582" s="425">
        <f>'Key inputs_Refineries'!$H$181</f>
        <v>0.68</v>
      </c>
      <c r="AC582" s="425">
        <f>'Key inputs_Refineries'!$H$181</f>
        <v>0.68</v>
      </c>
      <c r="AD582" s="425">
        <f>'Key inputs_Refineries'!$H$181</f>
        <v>0.68</v>
      </c>
      <c r="AE582" s="425">
        <f>'Key inputs_Refineries'!$H$181</f>
        <v>0.68</v>
      </c>
      <c r="AF582" s="425">
        <f>'Key inputs_Refineries'!$H$181</f>
        <v>0.68</v>
      </c>
      <c r="AG582" s="425">
        <f>'Key inputs_Refineries'!$H$181</f>
        <v>0.68</v>
      </c>
      <c r="AH582" s="425">
        <f>'Key inputs_Refineries'!$H$181</f>
        <v>0.68</v>
      </c>
      <c r="AI582" s="425">
        <f>'Key inputs_Refineries'!$H$181</f>
        <v>0.68</v>
      </c>
      <c r="AJ582" s="425">
        <f>'Key inputs_Refineries'!$H$181</f>
        <v>0.68</v>
      </c>
      <c r="AK582" s="425">
        <f>'Key inputs_Refineries'!$H$181</f>
        <v>0.68</v>
      </c>
      <c r="AL582" s="425">
        <f>'Key inputs_Refineries'!$H$181</f>
        <v>0.68</v>
      </c>
    </row>
    <row r="583" spans="1:38">
      <c r="C583" t="str">
        <f>Commodities!$C$86</f>
        <v>UPSCOA</v>
      </c>
      <c r="G583" s="4" t="s">
        <v>702</v>
      </c>
      <c r="H583" t="s">
        <v>661</v>
      </c>
      <c r="I583">
        <v>2019</v>
      </c>
      <c r="J583" t="s">
        <v>650</v>
      </c>
      <c r="K583" s="173">
        <v>1</v>
      </c>
      <c r="L583" s="173">
        <v>1</v>
      </c>
      <c r="M583" s="173">
        <v>1</v>
      </c>
      <c r="N583" s="173">
        <v>1</v>
      </c>
      <c r="O583" s="173">
        <v>1</v>
      </c>
      <c r="P583" s="173">
        <v>1</v>
      </c>
      <c r="Q583" s="173">
        <v>1</v>
      </c>
      <c r="R583" s="173">
        <v>1</v>
      </c>
      <c r="S583" s="173">
        <v>1</v>
      </c>
      <c r="T583" s="173">
        <v>1</v>
      </c>
      <c r="U583" s="173">
        <v>1</v>
      </c>
      <c r="V583" s="173">
        <v>1</v>
      </c>
      <c r="W583" s="173">
        <v>1</v>
      </c>
      <c r="X583" s="173">
        <v>1</v>
      </c>
      <c r="Y583" s="173">
        <v>1</v>
      </c>
      <c r="Z583" s="173">
        <v>1</v>
      </c>
      <c r="AA583" s="173">
        <v>1</v>
      </c>
      <c r="AB583" s="173">
        <v>1</v>
      </c>
      <c r="AC583" s="173">
        <v>1</v>
      </c>
      <c r="AD583" s="173">
        <v>1</v>
      </c>
      <c r="AE583" s="173">
        <v>1</v>
      </c>
      <c r="AF583" s="173">
        <v>1</v>
      </c>
      <c r="AG583" s="173">
        <v>1</v>
      </c>
      <c r="AH583" s="173">
        <v>1</v>
      </c>
      <c r="AI583" s="173">
        <v>1</v>
      </c>
      <c r="AJ583" s="173">
        <v>1</v>
      </c>
      <c r="AK583" s="173">
        <v>1</v>
      </c>
      <c r="AL583" s="173">
        <v>1</v>
      </c>
    </row>
    <row r="584" spans="1:38">
      <c r="D584" t="str">
        <f>Commodities!$C$105</f>
        <v>UREFHET</v>
      </c>
    </row>
    <row r="585" spans="1:38">
      <c r="A585" s="4" t="str">
        <f>AO422</f>
        <v>U-TRF-OILREFHET_ELC01</v>
      </c>
      <c r="B585" s="4" t="str">
        <f>AP422</f>
        <v>UPS Transformation: Oil refinery process heat Electricity - New</v>
      </c>
      <c r="C585" s="4"/>
      <c r="D585" s="4"/>
      <c r="E585" s="4"/>
      <c r="F585" s="4"/>
      <c r="G585" s="4" t="s">
        <v>695</v>
      </c>
      <c r="H585" s="4"/>
      <c r="I585" s="4"/>
      <c r="J585" s="4" t="s">
        <v>2665</v>
      </c>
      <c r="K585" s="333">
        <v>1</v>
      </c>
      <c r="L585" s="333">
        <v>1</v>
      </c>
      <c r="M585" s="333">
        <v>1</v>
      </c>
      <c r="N585" s="333">
        <v>1</v>
      </c>
      <c r="O585" s="333">
        <v>1</v>
      </c>
      <c r="P585" s="333">
        <v>1</v>
      </c>
      <c r="Q585" s="333">
        <v>1</v>
      </c>
      <c r="R585" s="333">
        <v>1</v>
      </c>
      <c r="S585" s="333">
        <v>1</v>
      </c>
      <c r="T585" s="333">
        <v>1</v>
      </c>
      <c r="U585" s="333">
        <v>1</v>
      </c>
      <c r="V585" s="333">
        <v>1</v>
      </c>
      <c r="W585" s="333">
        <v>1</v>
      </c>
      <c r="X585" s="333">
        <v>1</v>
      </c>
      <c r="Y585" s="333">
        <v>1</v>
      </c>
      <c r="Z585" s="333">
        <v>1</v>
      </c>
      <c r="AA585" s="333">
        <v>1</v>
      </c>
      <c r="AB585" s="333">
        <v>1</v>
      </c>
      <c r="AC585" s="333">
        <v>1</v>
      </c>
      <c r="AD585" s="333">
        <v>1</v>
      </c>
      <c r="AE585" s="333">
        <v>1</v>
      </c>
      <c r="AF585" s="333">
        <v>1</v>
      </c>
      <c r="AG585" s="333">
        <v>1</v>
      </c>
      <c r="AH585" s="333">
        <v>1</v>
      </c>
      <c r="AI585" s="333">
        <v>1</v>
      </c>
      <c r="AJ585" s="333">
        <v>1</v>
      </c>
      <c r="AK585" s="333">
        <v>1</v>
      </c>
      <c r="AL585" s="333">
        <v>1</v>
      </c>
    </row>
    <row r="586" spans="1:38">
      <c r="C586" s="4"/>
      <c r="D586" s="4"/>
      <c r="E586" s="4"/>
      <c r="F586" s="4"/>
      <c r="G586" s="4" t="s">
        <v>697</v>
      </c>
      <c r="H586" s="4"/>
      <c r="I586" s="4"/>
      <c r="J586" s="4" t="s">
        <v>698</v>
      </c>
      <c r="K586" s="424">
        <f>'Key inputs_Refineries'!$F$182</f>
        <v>15</v>
      </c>
      <c r="L586" s="424">
        <f>'Key inputs_Refineries'!$F$182</f>
        <v>15</v>
      </c>
      <c r="M586" s="424">
        <f>'Key inputs_Refineries'!$F$182</f>
        <v>15</v>
      </c>
      <c r="N586" s="424">
        <f>'Key inputs_Refineries'!$F$182</f>
        <v>15</v>
      </c>
      <c r="O586" s="424">
        <f>'Key inputs_Refineries'!$F$182</f>
        <v>15</v>
      </c>
      <c r="P586" s="424">
        <f>'Key inputs_Refineries'!$F$182</f>
        <v>15</v>
      </c>
      <c r="Q586" s="424">
        <f>'Key inputs_Refineries'!$F$182</f>
        <v>15</v>
      </c>
      <c r="R586" s="424">
        <f>'Key inputs_Refineries'!$F$182</f>
        <v>15</v>
      </c>
      <c r="S586" s="424">
        <f>'Key inputs_Refineries'!$F$182</f>
        <v>15</v>
      </c>
      <c r="T586" s="424">
        <f>'Key inputs_Refineries'!$F$182</f>
        <v>15</v>
      </c>
      <c r="U586" s="424">
        <f>'Key inputs_Refineries'!$F$182</f>
        <v>15</v>
      </c>
      <c r="V586" s="424">
        <f>'Key inputs_Refineries'!$F$182</f>
        <v>15</v>
      </c>
      <c r="W586" s="424">
        <f>'Key inputs_Refineries'!$F$182</f>
        <v>15</v>
      </c>
      <c r="X586" s="424">
        <f>'Key inputs_Refineries'!$F$182</f>
        <v>15</v>
      </c>
      <c r="Y586" s="424">
        <f>'Key inputs_Refineries'!$F$182</f>
        <v>15</v>
      </c>
      <c r="Z586" s="424">
        <f>'Key inputs_Refineries'!$F$182</f>
        <v>15</v>
      </c>
      <c r="AA586" s="424">
        <f>'Key inputs_Refineries'!$F$182</f>
        <v>15</v>
      </c>
      <c r="AB586" s="424">
        <f>'Key inputs_Refineries'!$F$182</f>
        <v>15</v>
      </c>
      <c r="AC586" s="424">
        <f>'Key inputs_Refineries'!$F$182</f>
        <v>15</v>
      </c>
      <c r="AD586" s="424">
        <f>'Key inputs_Refineries'!$F$182</f>
        <v>15</v>
      </c>
      <c r="AE586" s="424">
        <f>'Key inputs_Refineries'!$F$182</f>
        <v>15</v>
      </c>
      <c r="AF586" s="424">
        <f>'Key inputs_Refineries'!$F$182</f>
        <v>15</v>
      </c>
      <c r="AG586" s="424">
        <f>'Key inputs_Refineries'!$F$182</f>
        <v>15</v>
      </c>
      <c r="AH586" s="424">
        <f>'Key inputs_Refineries'!$F$182</f>
        <v>15</v>
      </c>
      <c r="AI586" s="424">
        <f>'Key inputs_Refineries'!$F$182</f>
        <v>15</v>
      </c>
      <c r="AJ586" s="424">
        <f>'Key inputs_Refineries'!$F$182</f>
        <v>15</v>
      </c>
      <c r="AK586" s="424">
        <f>'Key inputs_Refineries'!$F$182</f>
        <v>15</v>
      </c>
      <c r="AL586" s="424">
        <f>'Key inputs_Refineries'!$F$182</f>
        <v>15</v>
      </c>
    </row>
    <row r="587" spans="1:38">
      <c r="A587" s="4"/>
      <c r="B587" s="4"/>
      <c r="C587" s="4"/>
      <c r="D587" s="4"/>
      <c r="E587" s="4"/>
      <c r="F587" s="4"/>
      <c r="G587" s="4" t="s">
        <v>707</v>
      </c>
      <c r="H587" s="4"/>
      <c r="I587" s="4"/>
      <c r="J587" s="4" t="s">
        <v>2669</v>
      </c>
      <c r="K587" s="347">
        <v>2020</v>
      </c>
      <c r="L587" s="347">
        <v>2020</v>
      </c>
      <c r="M587" s="347">
        <v>2020</v>
      </c>
      <c r="N587" s="347">
        <v>2020</v>
      </c>
      <c r="O587" s="347">
        <v>2020</v>
      </c>
      <c r="P587" s="347">
        <v>2020</v>
      </c>
      <c r="Q587" s="347">
        <v>2020</v>
      </c>
      <c r="R587" s="347">
        <v>2020</v>
      </c>
      <c r="S587" s="347">
        <v>2020</v>
      </c>
      <c r="T587" s="347">
        <v>2020</v>
      </c>
      <c r="U587" s="347">
        <v>2020</v>
      </c>
      <c r="V587" s="347">
        <v>2020</v>
      </c>
      <c r="W587" s="347">
        <v>2020</v>
      </c>
      <c r="X587" s="347">
        <v>2020</v>
      </c>
      <c r="Y587" s="347">
        <v>2020</v>
      </c>
      <c r="Z587" s="347">
        <v>2020</v>
      </c>
      <c r="AA587" s="347">
        <v>2020</v>
      </c>
      <c r="AB587" s="347">
        <v>2020</v>
      </c>
      <c r="AC587" s="347">
        <v>2020</v>
      </c>
      <c r="AD587" s="347">
        <v>2020</v>
      </c>
      <c r="AE587" s="347">
        <v>2020</v>
      </c>
      <c r="AF587" s="347">
        <v>2020</v>
      </c>
      <c r="AG587" s="347">
        <v>2020</v>
      </c>
      <c r="AH587" s="347">
        <v>2020</v>
      </c>
      <c r="AI587" s="347">
        <v>2020</v>
      </c>
      <c r="AJ587" s="347">
        <v>2020</v>
      </c>
      <c r="AK587" s="347">
        <v>2020</v>
      </c>
      <c r="AL587" s="347">
        <v>2020</v>
      </c>
    </row>
    <row r="588" spans="1:38">
      <c r="G588" s="4" t="s">
        <v>701</v>
      </c>
      <c r="H588" s="4" t="s">
        <v>661</v>
      </c>
      <c r="I588" s="4">
        <v>2019</v>
      </c>
      <c r="J588" s="4" t="s">
        <v>112</v>
      </c>
      <c r="K588" s="333"/>
      <c r="L588" s="333"/>
      <c r="M588" s="333"/>
      <c r="N588" s="333"/>
      <c r="O588" s="333"/>
      <c r="P588" s="333"/>
      <c r="Q588" s="333"/>
      <c r="R588" s="333"/>
      <c r="S588" s="333"/>
      <c r="T588" s="333"/>
      <c r="U588" s="333"/>
      <c r="V588" s="333"/>
      <c r="W588" s="333"/>
      <c r="X588" s="333"/>
      <c r="Y588" s="333"/>
      <c r="Z588" s="333"/>
      <c r="AA588" s="333"/>
      <c r="AB588" s="333"/>
      <c r="AC588" s="333"/>
      <c r="AD588" s="333"/>
      <c r="AE588" s="333"/>
      <c r="AF588" s="333"/>
      <c r="AG588" s="333"/>
      <c r="AH588" s="333"/>
      <c r="AI588" s="333"/>
      <c r="AJ588" s="333"/>
      <c r="AK588" s="333"/>
      <c r="AL588" s="333"/>
    </row>
    <row r="589" spans="1:38">
      <c r="G589" s="4" t="s">
        <v>701</v>
      </c>
      <c r="H589" s="4" t="s">
        <v>661</v>
      </c>
      <c r="I589" s="4">
        <v>2060</v>
      </c>
      <c r="J589" s="4" t="s">
        <v>112</v>
      </c>
      <c r="K589" s="333"/>
      <c r="L589" s="333"/>
      <c r="M589" s="333"/>
      <c r="N589" s="333"/>
      <c r="O589" s="333"/>
      <c r="P589" s="333"/>
      <c r="Q589" s="333"/>
      <c r="R589" s="333"/>
      <c r="S589" s="333"/>
      <c r="T589" s="333"/>
      <c r="U589" s="333"/>
      <c r="V589" s="333"/>
      <c r="W589" s="333"/>
      <c r="X589" s="333"/>
      <c r="Y589" s="333"/>
      <c r="Z589" s="333"/>
      <c r="AA589" s="333"/>
      <c r="AB589" s="333"/>
      <c r="AC589" s="333"/>
      <c r="AD589" s="333"/>
      <c r="AE589" s="333"/>
      <c r="AF589" s="333"/>
      <c r="AG589" s="333"/>
      <c r="AH589" s="333"/>
      <c r="AI589" s="333"/>
      <c r="AJ589" s="333"/>
      <c r="AK589" s="333"/>
      <c r="AL589" s="333"/>
    </row>
    <row r="590" spans="1:38">
      <c r="G590" s="4" t="s">
        <v>701</v>
      </c>
      <c r="H590" s="4" t="s">
        <v>661</v>
      </c>
      <c r="I590" s="4">
        <v>0</v>
      </c>
      <c r="J590" s="4"/>
      <c r="K590" s="333"/>
      <c r="L590" s="333"/>
      <c r="M590" s="333"/>
      <c r="N590" s="333"/>
      <c r="O590" s="333"/>
      <c r="P590" s="333"/>
      <c r="Q590" s="333"/>
      <c r="R590" s="333"/>
      <c r="S590" s="333"/>
      <c r="T590" s="333"/>
      <c r="U590" s="333"/>
      <c r="V590" s="333"/>
      <c r="W590" s="333"/>
      <c r="X590" s="333"/>
      <c r="Y590" s="333"/>
      <c r="Z590" s="333"/>
      <c r="AA590" s="333"/>
      <c r="AB590" s="333"/>
      <c r="AC590" s="333"/>
      <c r="AD590" s="333"/>
      <c r="AE590" s="333"/>
      <c r="AF590" s="333"/>
      <c r="AG590" s="333"/>
      <c r="AH590" s="333"/>
      <c r="AI590" s="333"/>
      <c r="AJ590" s="333"/>
      <c r="AK590" s="333"/>
      <c r="AL590" s="333"/>
    </row>
    <row r="591" spans="1:38">
      <c r="G591" s="4" t="s">
        <v>687</v>
      </c>
      <c r="H591" s="4"/>
      <c r="I591" s="4"/>
      <c r="J591" s="4" t="s">
        <v>2663</v>
      </c>
      <c r="K591" s="425">
        <f>'Key inputs_Refineries'!$C$182*10^3</f>
        <v>94.608000000000018</v>
      </c>
      <c r="L591" s="425">
        <f>'Key inputs_Refineries'!$C$182*10^3</f>
        <v>94.608000000000018</v>
      </c>
      <c r="M591" s="425">
        <f>'Key inputs_Refineries'!$C$182*10^3</f>
        <v>94.608000000000018</v>
      </c>
      <c r="N591" s="425">
        <f>'Key inputs_Refineries'!$C$182*10^3</f>
        <v>94.608000000000018</v>
      </c>
      <c r="O591" s="425">
        <f>'Key inputs_Refineries'!$C$182*10^3</f>
        <v>94.608000000000018</v>
      </c>
      <c r="P591" s="425">
        <f>'Key inputs_Refineries'!$C$182*10^3</f>
        <v>94.608000000000018</v>
      </c>
      <c r="Q591" s="425">
        <f>'Key inputs_Refineries'!$C$182*10^3</f>
        <v>94.608000000000018</v>
      </c>
      <c r="R591" s="425">
        <f>'Key inputs_Refineries'!$C$182*10^3</f>
        <v>94.608000000000018</v>
      </c>
      <c r="S591" s="425">
        <f>'Key inputs_Refineries'!$C$182*10^3</f>
        <v>94.608000000000018</v>
      </c>
      <c r="T591" s="425">
        <f>'Key inputs_Refineries'!$C$182*10^3</f>
        <v>94.608000000000018</v>
      </c>
      <c r="U591" s="425">
        <f>'Key inputs_Refineries'!$C$182*10^3</f>
        <v>94.608000000000018</v>
      </c>
      <c r="V591" s="425">
        <f>'Key inputs_Refineries'!$C$182*10^3</f>
        <v>94.608000000000018</v>
      </c>
      <c r="W591" s="425">
        <f>'Key inputs_Refineries'!$C$182*10^3</f>
        <v>94.608000000000018</v>
      </c>
      <c r="X591" s="425">
        <f>'Key inputs_Refineries'!$C$182*10^3</f>
        <v>94.608000000000018</v>
      </c>
      <c r="Y591" s="425">
        <f>'Key inputs_Refineries'!$C$182*10^3</f>
        <v>94.608000000000018</v>
      </c>
      <c r="Z591" s="425">
        <f>'Key inputs_Refineries'!$C$182*10^3</f>
        <v>94.608000000000018</v>
      </c>
      <c r="AA591" s="425">
        <f>'Key inputs_Refineries'!$C$182*10^3</f>
        <v>94.608000000000018</v>
      </c>
      <c r="AB591" s="425">
        <f>'Key inputs_Refineries'!$C$182*10^3</f>
        <v>94.608000000000018</v>
      </c>
      <c r="AC591" s="425">
        <f>'Key inputs_Refineries'!$C$182*10^3</f>
        <v>94.608000000000018</v>
      </c>
      <c r="AD591" s="425">
        <f>'Key inputs_Refineries'!$C$182*10^3</f>
        <v>94.608000000000018</v>
      </c>
      <c r="AE591" s="425">
        <f>'Key inputs_Refineries'!$C$182*10^3</f>
        <v>94.608000000000018</v>
      </c>
      <c r="AF591" s="425">
        <f>'Key inputs_Refineries'!$C$182*10^3</f>
        <v>94.608000000000018</v>
      </c>
      <c r="AG591" s="425">
        <f>'Key inputs_Refineries'!$C$182*10^3</f>
        <v>94.608000000000018</v>
      </c>
      <c r="AH591" s="425">
        <f>'Key inputs_Refineries'!$C$182*10^3</f>
        <v>94.608000000000018</v>
      </c>
      <c r="AI591" s="425">
        <f>'Key inputs_Refineries'!$C$182*10^3</f>
        <v>94.608000000000018</v>
      </c>
      <c r="AJ591" s="425">
        <f>'Key inputs_Refineries'!$C$182*10^3</f>
        <v>94.608000000000018</v>
      </c>
      <c r="AK591" s="425">
        <f>'Key inputs_Refineries'!$C$182*10^3</f>
        <v>94.608000000000018</v>
      </c>
      <c r="AL591" s="425">
        <f>'Key inputs_Refineries'!$C$182*10^3</f>
        <v>94.608000000000018</v>
      </c>
    </row>
    <row r="592" spans="1:38">
      <c r="G592" s="4" t="s">
        <v>689</v>
      </c>
      <c r="H592" s="4"/>
      <c r="I592" s="4"/>
      <c r="J592" s="4" t="s">
        <v>2663</v>
      </c>
      <c r="K592" s="425">
        <f>'Key inputs_Refineries'!$D$182*10^3</f>
        <v>0.94608000000000003</v>
      </c>
      <c r="L592" s="425">
        <f>'Key inputs_Refineries'!$D$182*10^3</f>
        <v>0.94608000000000003</v>
      </c>
      <c r="M592" s="425">
        <f>'Key inputs_Refineries'!$D$182*10^3</f>
        <v>0.94608000000000003</v>
      </c>
      <c r="N592" s="425">
        <f>'Key inputs_Refineries'!$D$182*10^3</f>
        <v>0.94608000000000003</v>
      </c>
      <c r="O592" s="425">
        <f>'Key inputs_Refineries'!$D$182*10^3</f>
        <v>0.94608000000000003</v>
      </c>
      <c r="P592" s="425">
        <f>'Key inputs_Refineries'!$D$182*10^3</f>
        <v>0.94608000000000003</v>
      </c>
      <c r="Q592" s="425">
        <f>'Key inputs_Refineries'!$D$182*10^3</f>
        <v>0.94608000000000003</v>
      </c>
      <c r="R592" s="425">
        <f>'Key inputs_Refineries'!$D$182*10^3</f>
        <v>0.94608000000000003</v>
      </c>
      <c r="S592" s="425">
        <f>'Key inputs_Refineries'!$D$182*10^3</f>
        <v>0.94608000000000003</v>
      </c>
      <c r="T592" s="425">
        <f>'Key inputs_Refineries'!$D$182*10^3</f>
        <v>0.94608000000000003</v>
      </c>
      <c r="U592" s="425">
        <f>'Key inputs_Refineries'!$D$182*10^3</f>
        <v>0.94608000000000003</v>
      </c>
      <c r="V592" s="425">
        <f>'Key inputs_Refineries'!$D$182*10^3</f>
        <v>0.94608000000000003</v>
      </c>
      <c r="W592" s="425">
        <f>'Key inputs_Refineries'!$D$182*10^3</f>
        <v>0.94608000000000003</v>
      </c>
      <c r="X592" s="425">
        <f>'Key inputs_Refineries'!$D$182*10^3</f>
        <v>0.94608000000000003</v>
      </c>
      <c r="Y592" s="425">
        <f>'Key inputs_Refineries'!$D$182*10^3</f>
        <v>0.94608000000000003</v>
      </c>
      <c r="Z592" s="425">
        <f>'Key inputs_Refineries'!$D$182*10^3</f>
        <v>0.94608000000000003</v>
      </c>
      <c r="AA592" s="425">
        <f>'Key inputs_Refineries'!$D$182*10^3</f>
        <v>0.94608000000000003</v>
      </c>
      <c r="AB592" s="425">
        <f>'Key inputs_Refineries'!$D$182*10^3</f>
        <v>0.94608000000000003</v>
      </c>
      <c r="AC592" s="425">
        <f>'Key inputs_Refineries'!$D$182*10^3</f>
        <v>0.94608000000000003</v>
      </c>
      <c r="AD592" s="425">
        <f>'Key inputs_Refineries'!$D$182*10^3</f>
        <v>0.94608000000000003</v>
      </c>
      <c r="AE592" s="425">
        <f>'Key inputs_Refineries'!$D$182*10^3</f>
        <v>0.94608000000000003</v>
      </c>
      <c r="AF592" s="425">
        <f>'Key inputs_Refineries'!$D$182*10^3</f>
        <v>0.94608000000000003</v>
      </c>
      <c r="AG592" s="425">
        <f>'Key inputs_Refineries'!$D$182*10^3</f>
        <v>0.94608000000000003</v>
      </c>
      <c r="AH592" s="425">
        <f>'Key inputs_Refineries'!$D$182*10^3</f>
        <v>0.94608000000000003</v>
      </c>
      <c r="AI592" s="425">
        <f>'Key inputs_Refineries'!$D$182*10^3</f>
        <v>0.94608000000000003</v>
      </c>
      <c r="AJ592" s="425">
        <f>'Key inputs_Refineries'!$D$182*10^3</f>
        <v>0.94608000000000003</v>
      </c>
      <c r="AK592" s="425">
        <f>'Key inputs_Refineries'!$D$182*10^3</f>
        <v>0.94608000000000003</v>
      </c>
      <c r="AL592" s="425">
        <f>'Key inputs_Refineries'!$D$182*10^3</f>
        <v>0.94608000000000003</v>
      </c>
    </row>
    <row r="593" spans="1:47">
      <c r="G593" s="4" t="s">
        <v>675</v>
      </c>
      <c r="H593" s="4"/>
      <c r="I593" s="4"/>
      <c r="J593" s="4" t="s">
        <v>2662</v>
      </c>
      <c r="K593" s="338"/>
      <c r="L593" s="338"/>
      <c r="M593" s="338"/>
      <c r="N593" s="338"/>
      <c r="O593" s="338"/>
      <c r="P593" s="338"/>
      <c r="Q593" s="338"/>
      <c r="R593" s="338"/>
      <c r="S593" s="338"/>
      <c r="T593" s="338"/>
      <c r="U593" s="338"/>
      <c r="V593" s="338"/>
      <c r="W593" s="338"/>
      <c r="X593" s="338"/>
      <c r="Y593" s="338"/>
      <c r="Z593" s="338"/>
      <c r="AA593" s="338"/>
      <c r="AB593" s="338"/>
      <c r="AC593" s="338"/>
      <c r="AD593" s="338"/>
      <c r="AE593" s="338"/>
      <c r="AF593" s="338"/>
      <c r="AG593" s="338"/>
      <c r="AH593" s="338"/>
      <c r="AI593" s="338"/>
      <c r="AJ593" s="338"/>
      <c r="AK593" s="338"/>
      <c r="AL593" s="338"/>
    </row>
    <row r="594" spans="1:47">
      <c r="G594" s="4" t="s">
        <v>630</v>
      </c>
      <c r="H594" s="4"/>
      <c r="I594" s="4"/>
      <c r="J594" s="4" t="s">
        <v>2666</v>
      </c>
      <c r="K594" s="425">
        <f>'Key inputs_Refineries'!$H$182</f>
        <v>0.85</v>
      </c>
      <c r="L594" s="425">
        <f>'Key inputs_Refineries'!$H$182</f>
        <v>0.85</v>
      </c>
      <c r="M594" s="425">
        <f>'Key inputs_Refineries'!$H$182</f>
        <v>0.85</v>
      </c>
      <c r="N594" s="425">
        <f>'Key inputs_Refineries'!$H$182</f>
        <v>0.85</v>
      </c>
      <c r="O594" s="425">
        <f>'Key inputs_Refineries'!$H$182</f>
        <v>0.85</v>
      </c>
      <c r="P594" s="425">
        <f>'Key inputs_Refineries'!$H$182</f>
        <v>0.85</v>
      </c>
      <c r="Q594" s="425">
        <f>'Key inputs_Refineries'!$H$182</f>
        <v>0.85</v>
      </c>
      <c r="R594" s="425">
        <f>'Key inputs_Refineries'!$H$182</f>
        <v>0.85</v>
      </c>
      <c r="S594" s="425">
        <f>'Key inputs_Refineries'!$H$182</f>
        <v>0.85</v>
      </c>
      <c r="T594" s="425">
        <f>'Key inputs_Refineries'!$H$182</f>
        <v>0.85</v>
      </c>
      <c r="U594" s="425">
        <f>'Key inputs_Refineries'!$H$182</f>
        <v>0.85</v>
      </c>
      <c r="V594" s="425">
        <f>'Key inputs_Refineries'!$H$182</f>
        <v>0.85</v>
      </c>
      <c r="W594" s="425">
        <f>'Key inputs_Refineries'!$H$182</f>
        <v>0.85</v>
      </c>
      <c r="X594" s="425">
        <f>'Key inputs_Refineries'!$H$182</f>
        <v>0.85</v>
      </c>
      <c r="Y594" s="425">
        <f>'Key inputs_Refineries'!$H$182</f>
        <v>0.85</v>
      </c>
      <c r="Z594" s="425">
        <f>'Key inputs_Refineries'!$H$182</f>
        <v>0.85</v>
      </c>
      <c r="AA594" s="425">
        <f>'Key inputs_Refineries'!$H$182</f>
        <v>0.85</v>
      </c>
      <c r="AB594" s="425">
        <f>'Key inputs_Refineries'!$H$182</f>
        <v>0.85</v>
      </c>
      <c r="AC594" s="425">
        <f>'Key inputs_Refineries'!$H$182</f>
        <v>0.85</v>
      </c>
      <c r="AD594" s="425">
        <f>'Key inputs_Refineries'!$H$182</f>
        <v>0.85</v>
      </c>
      <c r="AE594" s="425">
        <f>'Key inputs_Refineries'!$H$182</f>
        <v>0.85</v>
      </c>
      <c r="AF594" s="425">
        <f>'Key inputs_Refineries'!$H$182</f>
        <v>0.85</v>
      </c>
      <c r="AG594" s="425">
        <f>'Key inputs_Refineries'!$H$182</f>
        <v>0.85</v>
      </c>
      <c r="AH594" s="425">
        <f>'Key inputs_Refineries'!$H$182</f>
        <v>0.85</v>
      </c>
      <c r="AI594" s="425">
        <f>'Key inputs_Refineries'!$H$182</f>
        <v>0.85</v>
      </c>
      <c r="AJ594" s="425">
        <f>'Key inputs_Refineries'!$H$182</f>
        <v>0.85</v>
      </c>
      <c r="AK594" s="425">
        <f>'Key inputs_Refineries'!$H$182</f>
        <v>0.85</v>
      </c>
      <c r="AL594" s="425">
        <f>'Key inputs_Refineries'!$H$182</f>
        <v>0.85</v>
      </c>
    </row>
    <row r="595" spans="1:47">
      <c r="C595" t="str">
        <f>Commodities!$C$91</f>
        <v>UPSELC</v>
      </c>
      <c r="G595" s="4" t="s">
        <v>702</v>
      </c>
      <c r="H595" t="s">
        <v>661</v>
      </c>
      <c r="I595">
        <v>2019</v>
      </c>
      <c r="J595" t="s">
        <v>650</v>
      </c>
      <c r="K595" s="173">
        <v>1</v>
      </c>
      <c r="L595" s="173">
        <v>1</v>
      </c>
      <c r="M595" s="173">
        <v>1</v>
      </c>
      <c r="N595" s="173">
        <v>1</v>
      </c>
      <c r="O595" s="173">
        <v>1</v>
      </c>
      <c r="P595" s="173">
        <v>1</v>
      </c>
      <c r="Q595" s="173">
        <v>1</v>
      </c>
      <c r="R595" s="173">
        <v>1</v>
      </c>
      <c r="S595" s="173">
        <v>1</v>
      </c>
      <c r="T595" s="173">
        <v>1</v>
      </c>
      <c r="U595" s="173">
        <v>1</v>
      </c>
      <c r="V595" s="173">
        <v>1</v>
      </c>
      <c r="W595" s="173">
        <v>1</v>
      </c>
      <c r="X595" s="173">
        <v>1</v>
      </c>
      <c r="Y595" s="173">
        <v>1</v>
      </c>
      <c r="Z595" s="173">
        <v>1</v>
      </c>
      <c r="AA595" s="173">
        <v>1</v>
      </c>
      <c r="AB595" s="173">
        <v>1</v>
      </c>
      <c r="AC595" s="173">
        <v>1</v>
      </c>
      <c r="AD595" s="173">
        <v>1</v>
      </c>
      <c r="AE595" s="173">
        <v>1</v>
      </c>
      <c r="AF595" s="173">
        <v>1</v>
      </c>
      <c r="AG595" s="173">
        <v>1</v>
      </c>
      <c r="AH595" s="173">
        <v>1</v>
      </c>
      <c r="AI595" s="173">
        <v>1</v>
      </c>
      <c r="AJ595" s="173">
        <v>1</v>
      </c>
      <c r="AK595" s="173">
        <v>1</v>
      </c>
      <c r="AL595" s="173">
        <v>1</v>
      </c>
    </row>
    <row r="596" spans="1:47">
      <c r="D596" t="str">
        <f>Commodities!$C$105</f>
        <v>UREFHET</v>
      </c>
    </row>
    <row r="597" spans="1:47">
      <c r="A597" s="4" t="str">
        <f>AO423</f>
        <v>U-TRF-OILREFHET_HET01</v>
      </c>
      <c r="B597" s="4" t="str">
        <f>AP423</f>
        <v>UPS Transformation: Oil refinery process heat Heat - New</v>
      </c>
      <c r="C597" s="4"/>
      <c r="D597" s="4"/>
      <c r="E597" s="4"/>
      <c r="F597" s="4"/>
      <c r="G597" s="4" t="s">
        <v>695</v>
      </c>
      <c r="H597" s="4"/>
      <c r="I597" s="4"/>
      <c r="J597" s="4" t="s">
        <v>2665</v>
      </c>
      <c r="K597" s="333">
        <v>1</v>
      </c>
      <c r="L597" s="333">
        <v>1</v>
      </c>
      <c r="M597" s="333">
        <v>1</v>
      </c>
      <c r="N597" s="333">
        <v>1</v>
      </c>
      <c r="O597" s="333">
        <v>1</v>
      </c>
      <c r="P597" s="333">
        <v>1</v>
      </c>
      <c r="Q597" s="333">
        <v>1</v>
      </c>
      <c r="R597" s="333">
        <v>1</v>
      </c>
      <c r="S597" s="333">
        <v>1</v>
      </c>
      <c r="T597" s="333">
        <v>1</v>
      </c>
      <c r="U597" s="333">
        <v>1</v>
      </c>
      <c r="V597" s="333">
        <v>1</v>
      </c>
      <c r="W597" s="333">
        <v>1</v>
      </c>
      <c r="X597" s="333">
        <v>1</v>
      </c>
      <c r="Y597" s="333">
        <v>1</v>
      </c>
      <c r="Z597" s="333">
        <v>1</v>
      </c>
      <c r="AA597" s="333">
        <v>1</v>
      </c>
      <c r="AB597" s="333">
        <v>1</v>
      </c>
      <c r="AC597" s="333">
        <v>1</v>
      </c>
      <c r="AD597" s="333">
        <v>1</v>
      </c>
      <c r="AE597" s="333">
        <v>1</v>
      </c>
      <c r="AF597" s="333">
        <v>1</v>
      </c>
      <c r="AG597" s="333">
        <v>1</v>
      </c>
      <c r="AH597" s="333">
        <v>1</v>
      </c>
      <c r="AI597" s="333">
        <v>1</v>
      </c>
      <c r="AJ597" s="333">
        <v>1</v>
      </c>
      <c r="AK597" s="333">
        <v>1</v>
      </c>
      <c r="AL597" s="333">
        <v>1</v>
      </c>
    </row>
    <row r="598" spans="1:47">
      <c r="A598" s="4"/>
      <c r="B598" s="4"/>
      <c r="C598" s="4"/>
      <c r="D598" s="4"/>
      <c r="E598" s="4"/>
      <c r="F598" s="4"/>
      <c r="G598" s="4" t="s">
        <v>697</v>
      </c>
      <c r="H598" s="4"/>
      <c r="I598" s="4"/>
      <c r="J598" s="4" t="s">
        <v>698</v>
      </c>
      <c r="K598" s="424">
        <f>'Key inputs_Refineries'!$F$183</f>
        <v>15</v>
      </c>
      <c r="L598" s="424">
        <f>'Key inputs_Refineries'!$F$183</f>
        <v>15</v>
      </c>
      <c r="M598" s="424">
        <f>'Key inputs_Refineries'!$F$183</f>
        <v>15</v>
      </c>
      <c r="N598" s="424">
        <f>'Key inputs_Refineries'!$F$183</f>
        <v>15</v>
      </c>
      <c r="O598" s="424">
        <f>'Key inputs_Refineries'!$F$183</f>
        <v>15</v>
      </c>
      <c r="P598" s="424">
        <f>'Key inputs_Refineries'!$F$183</f>
        <v>15</v>
      </c>
      <c r="Q598" s="424">
        <f>'Key inputs_Refineries'!$F$183</f>
        <v>15</v>
      </c>
      <c r="R598" s="424">
        <f>'Key inputs_Refineries'!$F$183</f>
        <v>15</v>
      </c>
      <c r="S598" s="424">
        <f>'Key inputs_Refineries'!$F$183</f>
        <v>15</v>
      </c>
      <c r="T598" s="424">
        <f>'Key inputs_Refineries'!$F$183</f>
        <v>15</v>
      </c>
      <c r="U598" s="424">
        <f>'Key inputs_Refineries'!$F$183</f>
        <v>15</v>
      </c>
      <c r="V598" s="424">
        <f>'Key inputs_Refineries'!$F$183</f>
        <v>15</v>
      </c>
      <c r="W598" s="424">
        <f>'Key inputs_Refineries'!$F$183</f>
        <v>15</v>
      </c>
      <c r="X598" s="424">
        <f>'Key inputs_Refineries'!$F$183</f>
        <v>15</v>
      </c>
      <c r="Y598" s="424">
        <f>'Key inputs_Refineries'!$F$183</f>
        <v>15</v>
      </c>
      <c r="Z598" s="424">
        <f>'Key inputs_Refineries'!$F$183</f>
        <v>15</v>
      </c>
      <c r="AA598" s="424">
        <f>'Key inputs_Refineries'!$F$183</f>
        <v>15</v>
      </c>
      <c r="AB598" s="424">
        <f>'Key inputs_Refineries'!$F$183</f>
        <v>15</v>
      </c>
      <c r="AC598" s="424">
        <f>'Key inputs_Refineries'!$F$183</f>
        <v>15</v>
      </c>
      <c r="AD598" s="424">
        <f>'Key inputs_Refineries'!$F$183</f>
        <v>15</v>
      </c>
      <c r="AE598" s="424">
        <f>'Key inputs_Refineries'!$F$183</f>
        <v>15</v>
      </c>
      <c r="AF598" s="424">
        <f>'Key inputs_Refineries'!$F$183</f>
        <v>15</v>
      </c>
      <c r="AG598" s="424">
        <f>'Key inputs_Refineries'!$F$183</f>
        <v>15</v>
      </c>
      <c r="AH598" s="424">
        <f>'Key inputs_Refineries'!$F$183</f>
        <v>15</v>
      </c>
      <c r="AI598" s="424">
        <f>'Key inputs_Refineries'!$F$183</f>
        <v>15</v>
      </c>
      <c r="AJ598" s="424">
        <f>'Key inputs_Refineries'!$F$183</f>
        <v>15</v>
      </c>
      <c r="AK598" s="424">
        <f>'Key inputs_Refineries'!$F$183</f>
        <v>15</v>
      </c>
      <c r="AL598" s="424">
        <f>'Key inputs_Refineries'!$F$183</f>
        <v>15</v>
      </c>
    </row>
    <row r="599" spans="1:47">
      <c r="A599" s="4"/>
      <c r="B599" s="4"/>
      <c r="C599" s="4"/>
      <c r="D599" s="4"/>
      <c r="E599" s="4"/>
      <c r="F599" s="4"/>
      <c r="G599" s="4" t="s">
        <v>707</v>
      </c>
      <c r="H599" s="4"/>
      <c r="I599" s="4"/>
      <c r="J599" s="4" t="s">
        <v>2669</v>
      </c>
      <c r="K599" s="347">
        <v>2020</v>
      </c>
      <c r="L599" s="347">
        <v>2020</v>
      </c>
      <c r="M599" s="347">
        <v>2020</v>
      </c>
      <c r="N599" s="347">
        <v>2020</v>
      </c>
      <c r="O599" s="347">
        <v>2020</v>
      </c>
      <c r="P599" s="347">
        <v>2020</v>
      </c>
      <c r="Q599" s="347">
        <v>2020</v>
      </c>
      <c r="R599" s="347">
        <v>2020</v>
      </c>
      <c r="S599" s="347">
        <v>2020</v>
      </c>
      <c r="T599" s="347">
        <v>2020</v>
      </c>
      <c r="U599" s="347">
        <v>2020</v>
      </c>
      <c r="V599" s="347">
        <v>2020</v>
      </c>
      <c r="W599" s="347">
        <v>2020</v>
      </c>
      <c r="X599" s="347">
        <v>2020</v>
      </c>
      <c r="Y599" s="347">
        <v>2020</v>
      </c>
      <c r="Z599" s="347">
        <v>2020</v>
      </c>
      <c r="AA599" s="347">
        <v>2020</v>
      </c>
      <c r="AB599" s="347">
        <v>2020</v>
      </c>
      <c r="AC599" s="347">
        <v>2020</v>
      </c>
      <c r="AD599" s="347">
        <v>2020</v>
      </c>
      <c r="AE599" s="347">
        <v>2020</v>
      </c>
      <c r="AF599" s="347">
        <v>2020</v>
      </c>
      <c r="AG599" s="347">
        <v>2020</v>
      </c>
      <c r="AH599" s="347">
        <v>2020</v>
      </c>
      <c r="AI599" s="347">
        <v>2020</v>
      </c>
      <c r="AJ599" s="347">
        <v>2020</v>
      </c>
      <c r="AK599" s="347">
        <v>2020</v>
      </c>
      <c r="AL599" s="347">
        <v>2020</v>
      </c>
      <c r="AN599" s="353"/>
      <c r="AO599" s="353"/>
      <c r="AP599" s="353"/>
      <c r="AQ599" s="353"/>
      <c r="AR599" s="353"/>
      <c r="AS599" s="353"/>
    </row>
    <row r="600" spans="1:47">
      <c r="G600" s="4" t="s">
        <v>701</v>
      </c>
      <c r="H600" s="4" t="s">
        <v>661</v>
      </c>
      <c r="I600" s="4">
        <v>2019</v>
      </c>
      <c r="J600" s="4" t="s">
        <v>112</v>
      </c>
      <c r="K600" s="333"/>
      <c r="L600" s="333"/>
      <c r="M600" s="333"/>
      <c r="N600" s="333"/>
      <c r="O600" s="333"/>
      <c r="P600" s="333"/>
      <c r="Q600" s="333"/>
      <c r="R600" s="333"/>
      <c r="S600" s="333"/>
      <c r="T600" s="333"/>
      <c r="U600" s="333"/>
      <c r="V600" s="333"/>
      <c r="W600" s="333"/>
      <c r="X600" s="333"/>
      <c r="Y600" s="333"/>
      <c r="Z600" s="333"/>
      <c r="AA600" s="333"/>
      <c r="AB600" s="333"/>
      <c r="AC600" s="333"/>
      <c r="AD600" s="333"/>
      <c r="AE600" s="333"/>
      <c r="AF600" s="333"/>
      <c r="AG600" s="333"/>
      <c r="AH600" s="333"/>
      <c r="AI600" s="333"/>
      <c r="AJ600" s="333"/>
      <c r="AK600" s="333"/>
      <c r="AL600" s="333"/>
      <c r="AN600" s="4"/>
      <c r="AQ600" s="4"/>
      <c r="AR600" s="4"/>
      <c r="AS600" s="4"/>
    </row>
    <row r="601" spans="1:47">
      <c r="G601" s="4" t="s">
        <v>701</v>
      </c>
      <c r="H601" s="4" t="s">
        <v>661</v>
      </c>
      <c r="I601" s="4">
        <v>2060</v>
      </c>
      <c r="J601" s="4" t="s">
        <v>112</v>
      </c>
      <c r="K601" s="333"/>
      <c r="L601" s="333"/>
      <c r="M601" s="333"/>
      <c r="N601" s="333"/>
      <c r="O601" s="333"/>
      <c r="P601" s="333"/>
      <c r="Q601" s="333"/>
      <c r="R601" s="333"/>
      <c r="S601" s="333"/>
      <c r="T601" s="333"/>
      <c r="U601" s="333"/>
      <c r="V601" s="333"/>
      <c r="W601" s="333"/>
      <c r="X601" s="333"/>
      <c r="Y601" s="333"/>
      <c r="Z601" s="333"/>
      <c r="AA601" s="333"/>
      <c r="AB601" s="333"/>
      <c r="AC601" s="333"/>
      <c r="AD601" s="333"/>
      <c r="AE601" s="333"/>
      <c r="AF601" s="333"/>
      <c r="AG601" s="333"/>
      <c r="AH601" s="333"/>
      <c r="AI601" s="333"/>
      <c r="AJ601" s="333"/>
      <c r="AK601" s="333"/>
      <c r="AL601" s="333"/>
      <c r="AN601" s="4"/>
      <c r="AQ601" s="4"/>
      <c r="AR601" s="4"/>
      <c r="AS601" s="4"/>
    </row>
    <row r="602" spans="1:47">
      <c r="G602" s="4" t="s">
        <v>701</v>
      </c>
      <c r="H602" s="4" t="s">
        <v>661</v>
      </c>
      <c r="I602" s="4">
        <v>0</v>
      </c>
      <c r="J602" s="4"/>
      <c r="K602" s="333"/>
      <c r="L602" s="333"/>
      <c r="M602" s="333"/>
      <c r="N602" s="333"/>
      <c r="O602" s="333"/>
      <c r="P602" s="333"/>
      <c r="Q602" s="333"/>
      <c r="R602" s="333"/>
      <c r="S602" s="333"/>
      <c r="T602" s="333"/>
      <c r="U602" s="333"/>
      <c r="V602" s="333"/>
      <c r="W602" s="333"/>
      <c r="X602" s="333"/>
      <c r="Y602" s="333"/>
      <c r="Z602" s="333"/>
      <c r="AA602" s="333"/>
      <c r="AB602" s="333"/>
      <c r="AC602" s="333"/>
      <c r="AD602" s="333"/>
      <c r="AE602" s="333"/>
      <c r="AF602" s="333"/>
      <c r="AG602" s="333"/>
      <c r="AH602" s="333"/>
      <c r="AI602" s="333"/>
      <c r="AJ602" s="333"/>
      <c r="AK602" s="333"/>
      <c r="AL602" s="333"/>
      <c r="AN602" s="4"/>
      <c r="AQ602" s="4"/>
      <c r="AR602" s="4"/>
      <c r="AS602" s="4"/>
    </row>
    <row r="603" spans="1:47">
      <c r="G603" s="4" t="s">
        <v>687</v>
      </c>
      <c r="H603" s="4"/>
      <c r="I603" s="4"/>
      <c r="J603" s="4" t="s">
        <v>2663</v>
      </c>
      <c r="K603" s="425">
        <f>'Key inputs_Refineries'!$C$183*10^3</f>
        <v>94.608000000000018</v>
      </c>
      <c r="L603" s="425">
        <f>'Key inputs_Refineries'!$C$183*10^3</f>
        <v>94.608000000000018</v>
      </c>
      <c r="M603" s="425">
        <f>'Key inputs_Refineries'!$C$183*10^3</f>
        <v>94.608000000000018</v>
      </c>
      <c r="N603" s="425">
        <f>'Key inputs_Refineries'!$C$183*10^3</f>
        <v>94.608000000000018</v>
      </c>
      <c r="O603" s="425">
        <f>'Key inputs_Refineries'!$C$183*10^3</f>
        <v>94.608000000000018</v>
      </c>
      <c r="P603" s="425">
        <f>'Key inputs_Refineries'!$C$183*10^3</f>
        <v>94.608000000000018</v>
      </c>
      <c r="Q603" s="425">
        <f>'Key inputs_Refineries'!$C$183*10^3</f>
        <v>94.608000000000018</v>
      </c>
      <c r="R603" s="425">
        <f>'Key inputs_Refineries'!$C$183*10^3</f>
        <v>94.608000000000018</v>
      </c>
      <c r="S603" s="425">
        <f>'Key inputs_Refineries'!$C$183*10^3</f>
        <v>94.608000000000018</v>
      </c>
      <c r="T603" s="425">
        <f>'Key inputs_Refineries'!$C$183*10^3</f>
        <v>94.608000000000018</v>
      </c>
      <c r="U603" s="425">
        <f>'Key inputs_Refineries'!$C$183*10^3</f>
        <v>94.608000000000018</v>
      </c>
      <c r="V603" s="425">
        <f>'Key inputs_Refineries'!$C$183*10^3</f>
        <v>94.608000000000018</v>
      </c>
      <c r="W603" s="425">
        <f>'Key inputs_Refineries'!$C$183*10^3</f>
        <v>94.608000000000018</v>
      </c>
      <c r="X603" s="425">
        <f>'Key inputs_Refineries'!$C$183*10^3</f>
        <v>94.608000000000018</v>
      </c>
      <c r="Y603" s="425">
        <f>'Key inputs_Refineries'!$C$183*10^3</f>
        <v>94.608000000000018</v>
      </c>
      <c r="Z603" s="425">
        <f>'Key inputs_Refineries'!$C$183*10^3</f>
        <v>94.608000000000018</v>
      </c>
      <c r="AA603" s="425">
        <f>'Key inputs_Refineries'!$C$183*10^3</f>
        <v>94.608000000000018</v>
      </c>
      <c r="AB603" s="425">
        <f>'Key inputs_Refineries'!$C$183*10^3</f>
        <v>94.608000000000018</v>
      </c>
      <c r="AC603" s="425">
        <f>'Key inputs_Refineries'!$C$183*10^3</f>
        <v>94.608000000000018</v>
      </c>
      <c r="AD603" s="425">
        <f>'Key inputs_Refineries'!$C$183*10^3</f>
        <v>94.608000000000018</v>
      </c>
      <c r="AE603" s="425">
        <f>'Key inputs_Refineries'!$C$183*10^3</f>
        <v>94.608000000000018</v>
      </c>
      <c r="AF603" s="425">
        <f>'Key inputs_Refineries'!$C$183*10^3</f>
        <v>94.608000000000018</v>
      </c>
      <c r="AG603" s="425">
        <f>'Key inputs_Refineries'!$C$183*10^3</f>
        <v>94.608000000000018</v>
      </c>
      <c r="AH603" s="425">
        <f>'Key inputs_Refineries'!$C$183*10^3</f>
        <v>94.608000000000018</v>
      </c>
      <c r="AI603" s="425">
        <f>'Key inputs_Refineries'!$C$183*10^3</f>
        <v>94.608000000000018</v>
      </c>
      <c r="AJ603" s="425">
        <f>'Key inputs_Refineries'!$C$183*10^3</f>
        <v>94.608000000000018</v>
      </c>
      <c r="AK603" s="425">
        <f>'Key inputs_Refineries'!$C$183*10^3</f>
        <v>94.608000000000018</v>
      </c>
      <c r="AL603" s="425">
        <f>'Key inputs_Refineries'!$C$183*10^3</f>
        <v>94.608000000000018</v>
      </c>
      <c r="AN603" s="4"/>
      <c r="AQ603" s="4"/>
      <c r="AR603" s="4"/>
      <c r="AS603" s="4"/>
    </row>
    <row r="604" spans="1:47">
      <c r="G604" s="4" t="s">
        <v>689</v>
      </c>
      <c r="H604" s="4"/>
      <c r="I604" s="4"/>
      <c r="J604" s="4" t="s">
        <v>2663</v>
      </c>
      <c r="K604" s="425">
        <f>'Key inputs_Refineries'!$D$183*10^3</f>
        <v>0.94608000000000003</v>
      </c>
      <c r="L604" s="425">
        <f>'Key inputs_Refineries'!$D$183*10^3</f>
        <v>0.94608000000000003</v>
      </c>
      <c r="M604" s="425">
        <f>'Key inputs_Refineries'!$D$183*10^3</f>
        <v>0.94608000000000003</v>
      </c>
      <c r="N604" s="425">
        <f>'Key inputs_Refineries'!$D$183*10^3</f>
        <v>0.94608000000000003</v>
      </c>
      <c r="O604" s="425">
        <f>'Key inputs_Refineries'!$D$183*10^3</f>
        <v>0.94608000000000003</v>
      </c>
      <c r="P604" s="425">
        <f>'Key inputs_Refineries'!$D$183*10^3</f>
        <v>0.94608000000000003</v>
      </c>
      <c r="Q604" s="425">
        <f>'Key inputs_Refineries'!$D$183*10^3</f>
        <v>0.94608000000000003</v>
      </c>
      <c r="R604" s="425">
        <f>'Key inputs_Refineries'!$D$183*10^3</f>
        <v>0.94608000000000003</v>
      </c>
      <c r="S604" s="425">
        <f>'Key inputs_Refineries'!$D$183*10^3</f>
        <v>0.94608000000000003</v>
      </c>
      <c r="T604" s="425">
        <f>'Key inputs_Refineries'!$D$183*10^3</f>
        <v>0.94608000000000003</v>
      </c>
      <c r="U604" s="425">
        <f>'Key inputs_Refineries'!$D$183*10^3</f>
        <v>0.94608000000000003</v>
      </c>
      <c r="V604" s="425">
        <f>'Key inputs_Refineries'!$D$183*10^3</f>
        <v>0.94608000000000003</v>
      </c>
      <c r="W604" s="425">
        <f>'Key inputs_Refineries'!$D$183*10^3</f>
        <v>0.94608000000000003</v>
      </c>
      <c r="X604" s="425">
        <f>'Key inputs_Refineries'!$D$183*10^3</f>
        <v>0.94608000000000003</v>
      </c>
      <c r="Y604" s="425">
        <f>'Key inputs_Refineries'!$D$183*10^3</f>
        <v>0.94608000000000003</v>
      </c>
      <c r="Z604" s="425">
        <f>'Key inputs_Refineries'!$D$183*10^3</f>
        <v>0.94608000000000003</v>
      </c>
      <c r="AA604" s="425">
        <f>'Key inputs_Refineries'!$D$183*10^3</f>
        <v>0.94608000000000003</v>
      </c>
      <c r="AB604" s="425">
        <f>'Key inputs_Refineries'!$D$183*10^3</f>
        <v>0.94608000000000003</v>
      </c>
      <c r="AC604" s="425">
        <f>'Key inputs_Refineries'!$D$183*10^3</f>
        <v>0.94608000000000003</v>
      </c>
      <c r="AD604" s="425">
        <f>'Key inputs_Refineries'!$D$183*10^3</f>
        <v>0.94608000000000003</v>
      </c>
      <c r="AE604" s="425">
        <f>'Key inputs_Refineries'!$D$183*10^3</f>
        <v>0.94608000000000003</v>
      </c>
      <c r="AF604" s="425">
        <f>'Key inputs_Refineries'!$D$183*10^3</f>
        <v>0.94608000000000003</v>
      </c>
      <c r="AG604" s="425">
        <f>'Key inputs_Refineries'!$D$183*10^3</f>
        <v>0.94608000000000003</v>
      </c>
      <c r="AH604" s="425">
        <f>'Key inputs_Refineries'!$D$183*10^3</f>
        <v>0.94608000000000003</v>
      </c>
      <c r="AI604" s="425">
        <f>'Key inputs_Refineries'!$D$183*10^3</f>
        <v>0.94608000000000003</v>
      </c>
      <c r="AJ604" s="425">
        <f>'Key inputs_Refineries'!$D$183*10^3</f>
        <v>0.94608000000000003</v>
      </c>
      <c r="AK604" s="425">
        <f>'Key inputs_Refineries'!$D$183*10^3</f>
        <v>0.94608000000000003</v>
      </c>
      <c r="AL604" s="425">
        <f>'Key inputs_Refineries'!$D$183*10^3</f>
        <v>0.94608000000000003</v>
      </c>
      <c r="AN604" s="4"/>
      <c r="AQ604" s="4"/>
      <c r="AR604" s="4"/>
      <c r="AS604" s="4"/>
    </row>
    <row r="605" spans="1:47">
      <c r="G605" s="4" t="s">
        <v>675</v>
      </c>
      <c r="H605" s="4"/>
      <c r="I605" s="4"/>
      <c r="J605" s="4" t="s">
        <v>2662</v>
      </c>
      <c r="K605" s="338"/>
      <c r="L605" s="338"/>
      <c r="M605" s="338"/>
      <c r="N605" s="338"/>
      <c r="O605" s="338"/>
      <c r="P605" s="338"/>
      <c r="Q605" s="338"/>
      <c r="R605" s="338"/>
      <c r="S605" s="338"/>
      <c r="T605" s="338"/>
      <c r="U605" s="338"/>
      <c r="V605" s="338"/>
      <c r="W605" s="338"/>
      <c r="X605" s="338"/>
      <c r="Y605" s="338"/>
      <c r="Z605" s="338"/>
      <c r="AA605" s="338"/>
      <c r="AB605" s="338"/>
      <c r="AC605" s="338"/>
      <c r="AD605" s="338"/>
      <c r="AE605" s="338"/>
      <c r="AF605" s="338"/>
      <c r="AG605" s="338"/>
      <c r="AH605" s="338"/>
      <c r="AI605" s="338"/>
      <c r="AJ605" s="338"/>
      <c r="AK605" s="338"/>
      <c r="AL605" s="338"/>
      <c r="AN605" s="4"/>
      <c r="AQ605" s="4"/>
      <c r="AR605" s="4"/>
      <c r="AS605" s="4"/>
    </row>
    <row r="606" spans="1:47">
      <c r="G606" s="4" t="s">
        <v>630</v>
      </c>
      <c r="H606" s="4"/>
      <c r="I606" s="4"/>
      <c r="J606" s="4" t="s">
        <v>2666</v>
      </c>
      <c r="K606" s="425">
        <f>'Key inputs_Refineries'!$H$183</f>
        <v>0.99</v>
      </c>
      <c r="L606" s="425">
        <f>'Key inputs_Refineries'!$H$183</f>
        <v>0.99</v>
      </c>
      <c r="M606" s="425">
        <f>'Key inputs_Refineries'!$H$183</f>
        <v>0.99</v>
      </c>
      <c r="N606" s="425">
        <f>'Key inputs_Refineries'!$H$183</f>
        <v>0.99</v>
      </c>
      <c r="O606" s="425">
        <f>'Key inputs_Refineries'!$H$183</f>
        <v>0.99</v>
      </c>
      <c r="P606" s="425">
        <f>'Key inputs_Refineries'!$H$183</f>
        <v>0.99</v>
      </c>
      <c r="Q606" s="425">
        <f>'Key inputs_Refineries'!$H$183</f>
        <v>0.99</v>
      </c>
      <c r="R606" s="425">
        <f>'Key inputs_Refineries'!$H$183</f>
        <v>0.99</v>
      </c>
      <c r="S606" s="425">
        <f>'Key inputs_Refineries'!$H$183</f>
        <v>0.99</v>
      </c>
      <c r="T606" s="425">
        <f>'Key inputs_Refineries'!$H$183</f>
        <v>0.99</v>
      </c>
      <c r="U606" s="425">
        <f>'Key inputs_Refineries'!$H$183</f>
        <v>0.99</v>
      </c>
      <c r="V606" s="425">
        <f>'Key inputs_Refineries'!$H$183</f>
        <v>0.99</v>
      </c>
      <c r="W606" s="425">
        <f>'Key inputs_Refineries'!$H$183</f>
        <v>0.99</v>
      </c>
      <c r="X606" s="425">
        <f>'Key inputs_Refineries'!$H$183</f>
        <v>0.99</v>
      </c>
      <c r="Y606" s="425">
        <f>'Key inputs_Refineries'!$H$183</f>
        <v>0.99</v>
      </c>
      <c r="Z606" s="425">
        <f>'Key inputs_Refineries'!$H$183</f>
        <v>0.99</v>
      </c>
      <c r="AA606" s="425">
        <f>'Key inputs_Refineries'!$H$183</f>
        <v>0.99</v>
      </c>
      <c r="AB606" s="425">
        <f>'Key inputs_Refineries'!$H$183</f>
        <v>0.99</v>
      </c>
      <c r="AC606" s="425">
        <f>'Key inputs_Refineries'!$H$183</f>
        <v>0.99</v>
      </c>
      <c r="AD606" s="425">
        <f>'Key inputs_Refineries'!$H$183</f>
        <v>0.99</v>
      </c>
      <c r="AE606" s="425">
        <f>'Key inputs_Refineries'!$H$183</f>
        <v>0.99</v>
      </c>
      <c r="AF606" s="425">
        <f>'Key inputs_Refineries'!$H$183</f>
        <v>0.99</v>
      </c>
      <c r="AG606" s="425">
        <f>'Key inputs_Refineries'!$H$183</f>
        <v>0.99</v>
      </c>
      <c r="AH606" s="425">
        <f>'Key inputs_Refineries'!$H$183</f>
        <v>0.99</v>
      </c>
      <c r="AI606" s="425">
        <f>'Key inputs_Refineries'!$H$183</f>
        <v>0.99</v>
      </c>
      <c r="AJ606" s="425">
        <f>'Key inputs_Refineries'!$H$183</f>
        <v>0.99</v>
      </c>
      <c r="AK606" s="425">
        <f>'Key inputs_Refineries'!$H$183</f>
        <v>0.99</v>
      </c>
      <c r="AL606" s="425">
        <f>'Key inputs_Refineries'!$H$183</f>
        <v>0.99</v>
      </c>
      <c r="AN606" s="4"/>
      <c r="AQ606" s="4"/>
      <c r="AR606" s="4"/>
      <c r="AS606" s="4"/>
      <c r="AT606" s="353"/>
      <c r="AU606" s="353"/>
    </row>
    <row r="607" spans="1:47">
      <c r="C607" t="str">
        <f>Commodities!$C$94</f>
        <v>UPSHET</v>
      </c>
      <c r="G607" s="4" t="s">
        <v>702</v>
      </c>
      <c r="H607" t="s">
        <v>661</v>
      </c>
      <c r="I607">
        <v>2019</v>
      </c>
      <c r="J607" t="s">
        <v>650</v>
      </c>
      <c r="K607" s="173">
        <v>1</v>
      </c>
      <c r="L607" s="173">
        <v>1</v>
      </c>
      <c r="M607" s="173">
        <v>1</v>
      </c>
      <c r="N607" s="173">
        <v>1</v>
      </c>
      <c r="O607" s="173">
        <v>1</v>
      </c>
      <c r="P607" s="173">
        <v>1</v>
      </c>
      <c r="Q607" s="173">
        <v>1</v>
      </c>
      <c r="R607" s="173">
        <v>1</v>
      </c>
      <c r="S607" s="173">
        <v>1</v>
      </c>
      <c r="T607" s="173">
        <v>1</v>
      </c>
      <c r="U607" s="173">
        <v>1</v>
      </c>
      <c r="V607" s="173">
        <v>1</v>
      </c>
      <c r="W607" s="173">
        <v>1</v>
      </c>
      <c r="X607" s="173">
        <v>1</v>
      </c>
      <c r="Y607" s="173">
        <v>1</v>
      </c>
      <c r="Z607" s="173">
        <v>1</v>
      </c>
      <c r="AA607" s="173">
        <v>1</v>
      </c>
      <c r="AB607" s="173">
        <v>1</v>
      </c>
      <c r="AC607" s="173">
        <v>1</v>
      </c>
      <c r="AD607" s="173">
        <v>1</v>
      </c>
      <c r="AE607" s="173">
        <v>1</v>
      </c>
      <c r="AF607" s="173">
        <v>1</v>
      </c>
      <c r="AG607" s="173">
        <v>1</v>
      </c>
      <c r="AH607" s="173">
        <v>1</v>
      </c>
      <c r="AI607" s="173">
        <v>1</v>
      </c>
      <c r="AJ607" s="173">
        <v>1</v>
      </c>
      <c r="AK607" s="173">
        <v>1</v>
      </c>
      <c r="AL607" s="173">
        <v>1</v>
      </c>
      <c r="AN607" s="4"/>
      <c r="AQ607" s="4"/>
      <c r="AR607" s="4"/>
      <c r="AS607" s="4"/>
      <c r="AT607" s="4"/>
      <c r="AU607" s="4"/>
    </row>
    <row r="608" spans="1:47" s="4" customFormat="1">
      <c r="A608" s="236"/>
      <c r="B608" s="236"/>
      <c r="C608" s="236"/>
      <c r="D608" s="236" t="str">
        <f>Commodities!$C$105</f>
        <v>UREFHET</v>
      </c>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c r="AE608" s="236"/>
      <c r="AF608" s="236"/>
      <c r="AG608" s="236"/>
      <c r="AH608" s="236"/>
      <c r="AI608" s="236"/>
      <c r="AJ608" s="236"/>
      <c r="AK608" s="236"/>
      <c r="AL608" s="236"/>
      <c r="AO608"/>
      <c r="AP608"/>
    </row>
    <row r="609" spans="1:47">
      <c r="A609" s="257" t="s">
        <v>709</v>
      </c>
      <c r="B609" s="257"/>
      <c r="C609" s="257"/>
      <c r="D609" s="257"/>
      <c r="E609" s="257"/>
      <c r="F609" s="257"/>
      <c r="G609" s="257"/>
      <c r="H609" s="257"/>
      <c r="I609" s="257"/>
      <c r="J609" s="257"/>
      <c r="K609" s="352"/>
      <c r="L609" s="352"/>
      <c r="M609" s="352"/>
      <c r="N609" s="352"/>
      <c r="O609" s="352"/>
      <c r="P609" s="352"/>
      <c r="Q609" s="352"/>
      <c r="R609" s="352"/>
      <c r="S609" s="352"/>
      <c r="T609" s="352"/>
      <c r="U609" s="352"/>
      <c r="V609" s="352"/>
      <c r="W609" s="352"/>
      <c r="X609" s="352"/>
      <c r="Y609" s="352"/>
      <c r="Z609" s="352"/>
      <c r="AA609" s="352"/>
      <c r="AB609" s="352"/>
      <c r="AC609" s="352"/>
      <c r="AD609" s="352"/>
      <c r="AE609" s="352"/>
      <c r="AF609" s="352"/>
      <c r="AG609" s="352"/>
      <c r="AH609" s="352"/>
      <c r="AI609" s="352"/>
      <c r="AJ609" s="352"/>
      <c r="AK609" s="352"/>
      <c r="AL609" s="352"/>
    </row>
    <row r="610" spans="1:47" s="4" customFormat="1">
      <c r="A610" s="4" t="str">
        <f>AO424</f>
        <v>U-TRF-OILREFOTH_GAS01</v>
      </c>
      <c r="B610" s="4" t="str">
        <f>AP424</f>
        <v>UPS Transformation: Oil refinery other processes Gas - New</v>
      </c>
      <c r="G610" s="4" t="s">
        <v>695</v>
      </c>
      <c r="J610" s="4" t="s">
        <v>2665</v>
      </c>
      <c r="K610" s="333">
        <v>1</v>
      </c>
      <c r="L610" s="333">
        <v>1</v>
      </c>
      <c r="M610" s="333">
        <v>1</v>
      </c>
      <c r="N610" s="333">
        <v>1</v>
      </c>
      <c r="O610" s="333">
        <v>1</v>
      </c>
      <c r="P610" s="333">
        <v>1</v>
      </c>
      <c r="Q610" s="333">
        <v>1</v>
      </c>
      <c r="R610" s="333">
        <v>1</v>
      </c>
      <c r="S610" s="333">
        <v>1</v>
      </c>
      <c r="T610" s="333">
        <v>1</v>
      </c>
      <c r="U610" s="333">
        <v>1</v>
      </c>
      <c r="V610" s="333">
        <v>1</v>
      </c>
      <c r="W610" s="333">
        <v>1</v>
      </c>
      <c r="X610" s="333">
        <v>1</v>
      </c>
      <c r="Y610" s="333">
        <v>1</v>
      </c>
      <c r="Z610" s="333">
        <v>1</v>
      </c>
      <c r="AA610" s="333">
        <v>1</v>
      </c>
      <c r="AB610" s="333">
        <v>1</v>
      </c>
      <c r="AC610" s="333">
        <v>1</v>
      </c>
      <c r="AD610" s="333">
        <v>1</v>
      </c>
      <c r="AE610" s="333">
        <v>1</v>
      </c>
      <c r="AF610" s="333">
        <v>1</v>
      </c>
      <c r="AG610" s="333">
        <v>1</v>
      </c>
      <c r="AH610" s="333">
        <v>1</v>
      </c>
      <c r="AI610" s="333">
        <v>1</v>
      </c>
      <c r="AJ610" s="333">
        <v>1</v>
      </c>
      <c r="AK610" s="333">
        <v>1</v>
      </c>
      <c r="AL610" s="333">
        <v>1</v>
      </c>
      <c r="AO610"/>
      <c r="AP610"/>
    </row>
    <row r="611" spans="1:47" s="4" customFormat="1">
      <c r="G611" s="4" t="s">
        <v>697</v>
      </c>
      <c r="J611" s="4" t="s">
        <v>698</v>
      </c>
      <c r="K611" s="424">
        <f>'Key inputs_Refineries'!$F$184</f>
        <v>15</v>
      </c>
      <c r="L611" s="424">
        <f>'Key inputs_Refineries'!$F$184</f>
        <v>15</v>
      </c>
      <c r="M611" s="424">
        <f>'Key inputs_Refineries'!$F$184</f>
        <v>15</v>
      </c>
      <c r="N611" s="424">
        <f>'Key inputs_Refineries'!$F$184</f>
        <v>15</v>
      </c>
      <c r="O611" s="424">
        <f>'Key inputs_Refineries'!$F$184</f>
        <v>15</v>
      </c>
      <c r="P611" s="424">
        <f>'Key inputs_Refineries'!$F$184</f>
        <v>15</v>
      </c>
      <c r="Q611" s="424">
        <f>'Key inputs_Refineries'!$F$184</f>
        <v>15</v>
      </c>
      <c r="R611" s="424">
        <f>'Key inputs_Refineries'!$F$184</f>
        <v>15</v>
      </c>
      <c r="S611" s="424">
        <f>'Key inputs_Refineries'!$F$184</f>
        <v>15</v>
      </c>
      <c r="T611" s="424">
        <f>'Key inputs_Refineries'!$F$184</f>
        <v>15</v>
      </c>
      <c r="U611" s="424">
        <f>'Key inputs_Refineries'!$F$184</f>
        <v>15</v>
      </c>
      <c r="V611" s="424">
        <f>'Key inputs_Refineries'!$F$184</f>
        <v>15</v>
      </c>
      <c r="W611" s="424">
        <f>'Key inputs_Refineries'!$F$184</f>
        <v>15</v>
      </c>
      <c r="X611" s="424">
        <f>'Key inputs_Refineries'!$F$184</f>
        <v>15</v>
      </c>
      <c r="Y611" s="424">
        <f>'Key inputs_Refineries'!$F$184</f>
        <v>15</v>
      </c>
      <c r="Z611" s="424">
        <f>'Key inputs_Refineries'!$F$184</f>
        <v>15</v>
      </c>
      <c r="AA611" s="424">
        <f>'Key inputs_Refineries'!$F$184</f>
        <v>15</v>
      </c>
      <c r="AB611" s="424">
        <f>'Key inputs_Refineries'!$F$184</f>
        <v>15</v>
      </c>
      <c r="AC611" s="424">
        <f>'Key inputs_Refineries'!$F$184</f>
        <v>15</v>
      </c>
      <c r="AD611" s="424">
        <f>'Key inputs_Refineries'!$F$184</f>
        <v>15</v>
      </c>
      <c r="AE611" s="424">
        <f>'Key inputs_Refineries'!$F$184</f>
        <v>15</v>
      </c>
      <c r="AF611" s="424">
        <f>'Key inputs_Refineries'!$F$184</f>
        <v>15</v>
      </c>
      <c r="AG611" s="424">
        <f>'Key inputs_Refineries'!$F$184</f>
        <v>15</v>
      </c>
      <c r="AH611" s="424">
        <f>'Key inputs_Refineries'!$F$184</f>
        <v>15</v>
      </c>
      <c r="AI611" s="424">
        <f>'Key inputs_Refineries'!$F$184</f>
        <v>15</v>
      </c>
      <c r="AJ611" s="424">
        <f>'Key inputs_Refineries'!$F$184</f>
        <v>15</v>
      </c>
      <c r="AK611" s="424">
        <f>'Key inputs_Refineries'!$F$184</f>
        <v>15</v>
      </c>
      <c r="AL611" s="424">
        <f>'Key inputs_Refineries'!$F$184</f>
        <v>15</v>
      </c>
      <c r="AO611"/>
      <c r="AP611"/>
    </row>
    <row r="612" spans="1:47">
      <c r="A612" s="4"/>
      <c r="B612" s="4"/>
      <c r="C612" s="4"/>
      <c r="D612" s="4"/>
      <c r="E612" s="4"/>
      <c r="F612" s="4"/>
      <c r="G612" s="4" t="s">
        <v>707</v>
      </c>
      <c r="H612" s="4"/>
      <c r="I612" s="4"/>
      <c r="J612" s="4" t="s">
        <v>2669</v>
      </c>
      <c r="K612" s="347">
        <v>2020</v>
      </c>
      <c r="L612" s="347">
        <v>2020</v>
      </c>
      <c r="M612" s="347">
        <v>2020</v>
      </c>
      <c r="N612" s="347">
        <v>2020</v>
      </c>
      <c r="O612" s="347">
        <v>2020</v>
      </c>
      <c r="P612" s="347">
        <v>2020</v>
      </c>
      <c r="Q612" s="347">
        <v>2020</v>
      </c>
      <c r="R612" s="347">
        <v>2020</v>
      </c>
      <c r="S612" s="347">
        <v>2020</v>
      </c>
      <c r="T612" s="347">
        <v>2020</v>
      </c>
      <c r="U612" s="347">
        <v>2020</v>
      </c>
      <c r="V612" s="347">
        <v>2020</v>
      </c>
      <c r="W612" s="347">
        <v>2020</v>
      </c>
      <c r="X612" s="347">
        <v>2020</v>
      </c>
      <c r="Y612" s="347">
        <v>2020</v>
      </c>
      <c r="Z612" s="347">
        <v>2020</v>
      </c>
      <c r="AA612" s="347">
        <v>2020</v>
      </c>
      <c r="AB612" s="347">
        <v>2020</v>
      </c>
      <c r="AC612" s="347">
        <v>2020</v>
      </c>
      <c r="AD612" s="347">
        <v>2020</v>
      </c>
      <c r="AE612" s="347">
        <v>2020</v>
      </c>
      <c r="AF612" s="347">
        <v>2020</v>
      </c>
      <c r="AG612" s="347">
        <v>2020</v>
      </c>
      <c r="AH612" s="347">
        <v>2020</v>
      </c>
      <c r="AI612" s="347">
        <v>2020</v>
      </c>
      <c r="AJ612" s="347">
        <v>2020</v>
      </c>
      <c r="AK612" s="347">
        <v>2020</v>
      </c>
      <c r="AL612" s="347">
        <v>2020</v>
      </c>
      <c r="AN612" s="4"/>
      <c r="AQ612" s="4"/>
      <c r="AR612" s="4"/>
      <c r="AS612" s="4"/>
      <c r="AT612" s="4"/>
      <c r="AU612" s="4"/>
    </row>
    <row r="613" spans="1:47">
      <c r="G613" s="4" t="s">
        <v>701</v>
      </c>
      <c r="H613" s="4" t="s">
        <v>661</v>
      </c>
      <c r="I613" s="4">
        <v>2019</v>
      </c>
      <c r="J613" s="4" t="s">
        <v>112</v>
      </c>
      <c r="K613" s="333"/>
      <c r="L613" s="333"/>
      <c r="M613" s="333"/>
      <c r="N613" s="333"/>
      <c r="O613" s="333"/>
      <c r="P613" s="333"/>
      <c r="Q613" s="333"/>
      <c r="R613" s="333"/>
      <c r="S613" s="333"/>
      <c r="T613" s="333"/>
      <c r="U613" s="333"/>
      <c r="V613" s="333"/>
      <c r="W613" s="333"/>
      <c r="X613" s="333"/>
      <c r="Y613" s="333"/>
      <c r="Z613" s="333"/>
      <c r="AA613" s="333"/>
      <c r="AB613" s="333"/>
      <c r="AC613" s="333"/>
      <c r="AD613" s="333"/>
      <c r="AE613" s="333"/>
      <c r="AF613" s="333"/>
      <c r="AG613" s="333"/>
      <c r="AH613" s="333"/>
      <c r="AI613" s="333"/>
      <c r="AJ613" s="333"/>
      <c r="AK613" s="333"/>
      <c r="AL613" s="333"/>
      <c r="AN613" s="4"/>
      <c r="AQ613" s="4"/>
      <c r="AR613" s="4"/>
      <c r="AS613" s="4"/>
      <c r="AT613" s="4"/>
      <c r="AU613" s="4"/>
    </row>
    <row r="614" spans="1:47">
      <c r="G614" s="4" t="s">
        <v>701</v>
      </c>
      <c r="H614" s="4" t="s">
        <v>661</v>
      </c>
      <c r="I614" s="4">
        <v>2060</v>
      </c>
      <c r="J614" s="4" t="s">
        <v>112</v>
      </c>
      <c r="K614" s="333"/>
      <c r="L614" s="333"/>
      <c r="M614" s="333"/>
      <c r="N614" s="333"/>
      <c r="O614" s="333"/>
      <c r="P614" s="333"/>
      <c r="Q614" s="333"/>
      <c r="R614" s="333"/>
      <c r="S614" s="333"/>
      <c r="T614" s="333"/>
      <c r="U614" s="333"/>
      <c r="V614" s="333"/>
      <c r="W614" s="333"/>
      <c r="X614" s="333"/>
      <c r="Y614" s="333"/>
      <c r="Z614" s="333"/>
      <c r="AA614" s="333"/>
      <c r="AB614" s="333"/>
      <c r="AC614" s="333"/>
      <c r="AD614" s="333"/>
      <c r="AE614" s="333"/>
      <c r="AF614" s="333"/>
      <c r="AG614" s="333"/>
      <c r="AH614" s="333"/>
      <c r="AI614" s="333"/>
      <c r="AJ614" s="333"/>
      <c r="AK614" s="333"/>
      <c r="AL614" s="333"/>
      <c r="AN614" s="4"/>
      <c r="AQ614" s="4"/>
      <c r="AR614" s="4"/>
      <c r="AS614" s="4"/>
      <c r="AT614" s="4"/>
      <c r="AU614" s="4"/>
    </row>
    <row r="615" spans="1:47">
      <c r="G615" s="4" t="s">
        <v>701</v>
      </c>
      <c r="H615" s="4" t="s">
        <v>661</v>
      </c>
      <c r="I615" s="4">
        <v>0</v>
      </c>
      <c r="J615" s="4"/>
      <c r="K615" s="333"/>
      <c r="L615" s="333"/>
      <c r="M615" s="333"/>
      <c r="N615" s="333"/>
      <c r="O615" s="333"/>
      <c r="P615" s="333"/>
      <c r="Q615" s="333"/>
      <c r="R615" s="333"/>
      <c r="S615" s="333"/>
      <c r="T615" s="333"/>
      <c r="U615" s="333"/>
      <c r="V615" s="333"/>
      <c r="W615" s="333"/>
      <c r="X615" s="333"/>
      <c r="Y615" s="333"/>
      <c r="Z615" s="333"/>
      <c r="AA615" s="333"/>
      <c r="AB615" s="333"/>
      <c r="AC615" s="333"/>
      <c r="AD615" s="333"/>
      <c r="AE615" s="333"/>
      <c r="AF615" s="333"/>
      <c r="AG615" s="333"/>
      <c r="AH615" s="333"/>
      <c r="AI615" s="333"/>
      <c r="AJ615" s="333"/>
      <c r="AK615" s="333"/>
      <c r="AL615" s="333"/>
      <c r="AN615" s="4"/>
      <c r="AQ615" s="4"/>
      <c r="AR615" s="4"/>
      <c r="AS615" s="4"/>
      <c r="AT615" s="4"/>
      <c r="AU615" s="4"/>
    </row>
    <row r="616" spans="1:47">
      <c r="G616" s="4" t="s">
        <v>687</v>
      </c>
      <c r="H616" s="4"/>
      <c r="I616" s="4"/>
      <c r="J616" s="4" t="s">
        <v>2663</v>
      </c>
      <c r="K616" s="425">
        <f>'Key inputs_Refineries'!$C$184*10^3</f>
        <v>138.75840000000002</v>
      </c>
      <c r="L616" s="425">
        <f>'Key inputs_Refineries'!$C$184*10^3</f>
        <v>138.75840000000002</v>
      </c>
      <c r="M616" s="425">
        <f>'Key inputs_Refineries'!$C$184*10^3</f>
        <v>138.75840000000002</v>
      </c>
      <c r="N616" s="425">
        <f>'Key inputs_Refineries'!$C$184*10^3</f>
        <v>138.75840000000002</v>
      </c>
      <c r="O616" s="425">
        <f>'Key inputs_Refineries'!$C$184*10^3</f>
        <v>138.75840000000002</v>
      </c>
      <c r="P616" s="425">
        <f>'Key inputs_Refineries'!$C$184*10^3</f>
        <v>138.75840000000002</v>
      </c>
      <c r="Q616" s="425">
        <f>'Key inputs_Refineries'!$C$184*10^3</f>
        <v>138.75840000000002</v>
      </c>
      <c r="R616" s="425">
        <f>'Key inputs_Refineries'!$C$184*10^3</f>
        <v>138.75840000000002</v>
      </c>
      <c r="S616" s="425">
        <f>'Key inputs_Refineries'!$C$184*10^3</f>
        <v>138.75840000000002</v>
      </c>
      <c r="T616" s="425">
        <f>'Key inputs_Refineries'!$C$184*10^3</f>
        <v>138.75840000000002</v>
      </c>
      <c r="U616" s="425">
        <f>'Key inputs_Refineries'!$C$184*10^3</f>
        <v>138.75840000000002</v>
      </c>
      <c r="V616" s="425">
        <f>'Key inputs_Refineries'!$C$184*10^3</f>
        <v>138.75840000000002</v>
      </c>
      <c r="W616" s="425">
        <f>'Key inputs_Refineries'!$C$184*10^3</f>
        <v>138.75840000000002</v>
      </c>
      <c r="X616" s="425">
        <f>'Key inputs_Refineries'!$C$184*10^3</f>
        <v>138.75840000000002</v>
      </c>
      <c r="Y616" s="425">
        <f>'Key inputs_Refineries'!$C$184*10^3</f>
        <v>138.75840000000002</v>
      </c>
      <c r="Z616" s="425">
        <f>'Key inputs_Refineries'!$C$184*10^3</f>
        <v>138.75840000000002</v>
      </c>
      <c r="AA616" s="425">
        <f>'Key inputs_Refineries'!$C$184*10^3</f>
        <v>138.75840000000002</v>
      </c>
      <c r="AB616" s="425">
        <f>'Key inputs_Refineries'!$C$184*10^3</f>
        <v>138.75840000000002</v>
      </c>
      <c r="AC616" s="425">
        <f>'Key inputs_Refineries'!$C$184*10^3</f>
        <v>138.75840000000002</v>
      </c>
      <c r="AD616" s="425">
        <f>'Key inputs_Refineries'!$C$184*10^3</f>
        <v>138.75840000000002</v>
      </c>
      <c r="AE616" s="425">
        <f>'Key inputs_Refineries'!$C$184*10^3</f>
        <v>138.75840000000002</v>
      </c>
      <c r="AF616" s="425">
        <f>'Key inputs_Refineries'!$C$184*10^3</f>
        <v>138.75840000000002</v>
      </c>
      <c r="AG616" s="425">
        <f>'Key inputs_Refineries'!$C$184*10^3</f>
        <v>138.75840000000002</v>
      </c>
      <c r="AH616" s="425">
        <f>'Key inputs_Refineries'!$C$184*10^3</f>
        <v>138.75840000000002</v>
      </c>
      <c r="AI616" s="425">
        <f>'Key inputs_Refineries'!$C$184*10^3</f>
        <v>138.75840000000002</v>
      </c>
      <c r="AJ616" s="425">
        <f>'Key inputs_Refineries'!$C$184*10^3</f>
        <v>138.75840000000002</v>
      </c>
      <c r="AK616" s="425">
        <f>'Key inputs_Refineries'!$C$184*10^3</f>
        <v>138.75840000000002</v>
      </c>
      <c r="AL616" s="425">
        <f>'Key inputs_Refineries'!$C$184*10^3</f>
        <v>138.75840000000002</v>
      </c>
      <c r="AN616" s="4"/>
      <c r="AQ616" s="4"/>
      <c r="AR616" s="4"/>
      <c r="AS616" s="4"/>
      <c r="AT616" s="4"/>
      <c r="AU616" s="4"/>
    </row>
    <row r="617" spans="1:47">
      <c r="G617" s="4" t="s">
        <v>689</v>
      </c>
      <c r="H617" s="4"/>
      <c r="I617" s="4"/>
      <c r="J617" s="4" t="s">
        <v>2663</v>
      </c>
      <c r="K617" s="425">
        <f>'Key inputs_Refineries'!$D$184*10^3</f>
        <v>1.2614400000000001</v>
      </c>
      <c r="L617" s="425">
        <f>'Key inputs_Refineries'!$D$184*10^3</f>
        <v>1.2614400000000001</v>
      </c>
      <c r="M617" s="425">
        <f>'Key inputs_Refineries'!$D$184*10^3</f>
        <v>1.2614400000000001</v>
      </c>
      <c r="N617" s="425">
        <f>'Key inputs_Refineries'!$D$184*10^3</f>
        <v>1.2614400000000001</v>
      </c>
      <c r="O617" s="425">
        <f>'Key inputs_Refineries'!$D$184*10^3</f>
        <v>1.2614400000000001</v>
      </c>
      <c r="P617" s="425">
        <f>'Key inputs_Refineries'!$D$184*10^3</f>
        <v>1.2614400000000001</v>
      </c>
      <c r="Q617" s="425">
        <f>'Key inputs_Refineries'!$D$184*10^3</f>
        <v>1.2614400000000001</v>
      </c>
      <c r="R617" s="425">
        <f>'Key inputs_Refineries'!$D$184*10^3</f>
        <v>1.2614400000000001</v>
      </c>
      <c r="S617" s="425">
        <f>'Key inputs_Refineries'!$D$184*10^3</f>
        <v>1.2614400000000001</v>
      </c>
      <c r="T617" s="425">
        <f>'Key inputs_Refineries'!$D$184*10^3</f>
        <v>1.2614400000000001</v>
      </c>
      <c r="U617" s="425">
        <f>'Key inputs_Refineries'!$D$184*10^3</f>
        <v>1.2614400000000001</v>
      </c>
      <c r="V617" s="425">
        <f>'Key inputs_Refineries'!$D$184*10^3</f>
        <v>1.2614400000000001</v>
      </c>
      <c r="W617" s="425">
        <f>'Key inputs_Refineries'!$D$184*10^3</f>
        <v>1.2614400000000001</v>
      </c>
      <c r="X617" s="425">
        <f>'Key inputs_Refineries'!$D$184*10^3</f>
        <v>1.2614400000000001</v>
      </c>
      <c r="Y617" s="425">
        <f>'Key inputs_Refineries'!$D$184*10^3</f>
        <v>1.2614400000000001</v>
      </c>
      <c r="Z617" s="425">
        <f>'Key inputs_Refineries'!$D$184*10^3</f>
        <v>1.2614400000000001</v>
      </c>
      <c r="AA617" s="425">
        <f>'Key inputs_Refineries'!$D$184*10^3</f>
        <v>1.2614400000000001</v>
      </c>
      <c r="AB617" s="425">
        <f>'Key inputs_Refineries'!$D$184*10^3</f>
        <v>1.2614400000000001</v>
      </c>
      <c r="AC617" s="425">
        <f>'Key inputs_Refineries'!$D$184*10^3</f>
        <v>1.2614400000000001</v>
      </c>
      <c r="AD617" s="425">
        <f>'Key inputs_Refineries'!$D$184*10^3</f>
        <v>1.2614400000000001</v>
      </c>
      <c r="AE617" s="425">
        <f>'Key inputs_Refineries'!$D$184*10^3</f>
        <v>1.2614400000000001</v>
      </c>
      <c r="AF617" s="425">
        <f>'Key inputs_Refineries'!$D$184*10^3</f>
        <v>1.2614400000000001</v>
      </c>
      <c r="AG617" s="425">
        <f>'Key inputs_Refineries'!$D$184*10^3</f>
        <v>1.2614400000000001</v>
      </c>
      <c r="AH617" s="425">
        <f>'Key inputs_Refineries'!$D$184*10^3</f>
        <v>1.2614400000000001</v>
      </c>
      <c r="AI617" s="425">
        <f>'Key inputs_Refineries'!$D$184*10^3</f>
        <v>1.2614400000000001</v>
      </c>
      <c r="AJ617" s="425">
        <f>'Key inputs_Refineries'!$D$184*10^3</f>
        <v>1.2614400000000001</v>
      </c>
      <c r="AK617" s="425">
        <f>'Key inputs_Refineries'!$D$184*10^3</f>
        <v>1.2614400000000001</v>
      </c>
      <c r="AL617" s="425">
        <f>'Key inputs_Refineries'!$D$184*10^3</f>
        <v>1.2614400000000001</v>
      </c>
      <c r="AN617" s="4"/>
      <c r="AQ617" s="4"/>
      <c r="AR617" s="4"/>
      <c r="AS617" s="4"/>
      <c r="AT617" s="4"/>
      <c r="AU617" s="4"/>
    </row>
    <row r="618" spans="1:47">
      <c r="G618" s="4" t="s">
        <v>675</v>
      </c>
      <c r="H618" s="4"/>
      <c r="I618" s="4"/>
      <c r="J618" s="4" t="s">
        <v>2662</v>
      </c>
      <c r="K618" s="338"/>
      <c r="L618" s="338"/>
      <c r="M618" s="338"/>
      <c r="N618" s="338"/>
      <c r="O618" s="338"/>
      <c r="P618" s="338"/>
      <c r="Q618" s="338"/>
      <c r="R618" s="338"/>
      <c r="S618" s="338"/>
      <c r="T618" s="338"/>
      <c r="U618" s="338"/>
      <c r="V618" s="338"/>
      <c r="W618" s="338"/>
      <c r="X618" s="338"/>
      <c r="Y618" s="338"/>
      <c r="Z618" s="338"/>
      <c r="AA618" s="338"/>
      <c r="AB618" s="338"/>
      <c r="AC618" s="338"/>
      <c r="AD618" s="338"/>
      <c r="AE618" s="338"/>
      <c r="AF618" s="338"/>
      <c r="AG618" s="338"/>
      <c r="AH618" s="338"/>
      <c r="AI618" s="338"/>
      <c r="AJ618" s="338"/>
      <c r="AK618" s="338"/>
      <c r="AL618" s="338"/>
      <c r="AN618" s="4"/>
      <c r="AQ618" s="4"/>
      <c r="AR618" s="4"/>
      <c r="AS618" s="4"/>
      <c r="AT618" s="4"/>
      <c r="AU618" s="4"/>
    </row>
    <row r="619" spans="1:47">
      <c r="G619" s="4" t="s">
        <v>630</v>
      </c>
      <c r="H619" s="4"/>
      <c r="I619" s="4"/>
      <c r="J619" s="4" t="s">
        <v>2666</v>
      </c>
      <c r="K619" s="425">
        <f>'Key inputs_Refineries'!$H$184</f>
        <v>0.82</v>
      </c>
      <c r="L619" s="425">
        <f>'Key inputs_Refineries'!$H$184</f>
        <v>0.82</v>
      </c>
      <c r="M619" s="425">
        <f>'Key inputs_Refineries'!$H$184</f>
        <v>0.82</v>
      </c>
      <c r="N619" s="425">
        <f>'Key inputs_Refineries'!$H$184</f>
        <v>0.82</v>
      </c>
      <c r="O619" s="425">
        <f>'Key inputs_Refineries'!$H$184</f>
        <v>0.82</v>
      </c>
      <c r="P619" s="425">
        <f>'Key inputs_Refineries'!$H$184</f>
        <v>0.82</v>
      </c>
      <c r="Q619" s="425">
        <f>'Key inputs_Refineries'!$H$184</f>
        <v>0.82</v>
      </c>
      <c r="R619" s="425">
        <f>'Key inputs_Refineries'!$H$184</f>
        <v>0.82</v>
      </c>
      <c r="S619" s="425">
        <f>'Key inputs_Refineries'!$H$184</f>
        <v>0.82</v>
      </c>
      <c r="T619" s="425">
        <f>'Key inputs_Refineries'!$H$184</f>
        <v>0.82</v>
      </c>
      <c r="U619" s="425">
        <f>'Key inputs_Refineries'!$H$184</f>
        <v>0.82</v>
      </c>
      <c r="V619" s="425">
        <f>'Key inputs_Refineries'!$H$184</f>
        <v>0.82</v>
      </c>
      <c r="W619" s="425">
        <f>'Key inputs_Refineries'!$H$184</f>
        <v>0.82</v>
      </c>
      <c r="X619" s="425">
        <f>'Key inputs_Refineries'!$H$184</f>
        <v>0.82</v>
      </c>
      <c r="Y619" s="425">
        <f>'Key inputs_Refineries'!$H$184</f>
        <v>0.82</v>
      </c>
      <c r="Z619" s="425">
        <f>'Key inputs_Refineries'!$H$184</f>
        <v>0.82</v>
      </c>
      <c r="AA619" s="425">
        <f>'Key inputs_Refineries'!$H$184</f>
        <v>0.82</v>
      </c>
      <c r="AB619" s="425">
        <f>'Key inputs_Refineries'!$H$184</f>
        <v>0.82</v>
      </c>
      <c r="AC619" s="425">
        <f>'Key inputs_Refineries'!$H$184</f>
        <v>0.82</v>
      </c>
      <c r="AD619" s="425">
        <f>'Key inputs_Refineries'!$H$184</f>
        <v>0.82</v>
      </c>
      <c r="AE619" s="425">
        <f>'Key inputs_Refineries'!$H$184</f>
        <v>0.82</v>
      </c>
      <c r="AF619" s="425">
        <f>'Key inputs_Refineries'!$H$184</f>
        <v>0.82</v>
      </c>
      <c r="AG619" s="425">
        <f>'Key inputs_Refineries'!$H$184</f>
        <v>0.82</v>
      </c>
      <c r="AH619" s="425">
        <f>'Key inputs_Refineries'!$H$184</f>
        <v>0.82</v>
      </c>
      <c r="AI619" s="425">
        <f>'Key inputs_Refineries'!$H$184</f>
        <v>0.82</v>
      </c>
      <c r="AJ619" s="425">
        <f>'Key inputs_Refineries'!$H$184</f>
        <v>0.82</v>
      </c>
      <c r="AK619" s="425">
        <f>'Key inputs_Refineries'!$H$184</f>
        <v>0.82</v>
      </c>
      <c r="AL619" s="425">
        <f>'Key inputs_Refineries'!$H$184</f>
        <v>0.82</v>
      </c>
      <c r="AN619" s="4"/>
      <c r="AQ619" s="4"/>
      <c r="AR619" s="4"/>
      <c r="AS619" s="4"/>
      <c r="AT619" s="4"/>
      <c r="AU619" s="4"/>
    </row>
    <row r="620" spans="1:47">
      <c r="C620" t="str">
        <f>Commodities!$C$92</f>
        <v>UPSGAS</v>
      </c>
      <c r="G620" s="4" t="s">
        <v>702</v>
      </c>
      <c r="H620" t="s">
        <v>661</v>
      </c>
      <c r="I620">
        <v>2019</v>
      </c>
      <c r="J620" t="s">
        <v>650</v>
      </c>
      <c r="K620" s="426">
        <v>1</v>
      </c>
      <c r="L620" s="426">
        <v>1</v>
      </c>
      <c r="M620" s="426">
        <v>1</v>
      </c>
      <c r="N620" s="426">
        <v>1</v>
      </c>
      <c r="O620" s="426">
        <v>1</v>
      </c>
      <c r="P620" s="426">
        <v>1</v>
      </c>
      <c r="Q620" s="426">
        <v>1</v>
      </c>
      <c r="R620" s="426">
        <v>1</v>
      </c>
      <c r="S620" s="426">
        <v>1</v>
      </c>
      <c r="T620" s="426">
        <v>1</v>
      </c>
      <c r="U620" s="426">
        <v>1</v>
      </c>
      <c r="V620" s="426">
        <v>1</v>
      </c>
      <c r="W620" s="426">
        <v>1</v>
      </c>
      <c r="X620" s="426">
        <v>1</v>
      </c>
      <c r="Y620" s="426">
        <v>1</v>
      </c>
      <c r="Z620" s="426">
        <v>1</v>
      </c>
      <c r="AA620" s="426">
        <v>1</v>
      </c>
      <c r="AB620" s="426">
        <v>1</v>
      </c>
      <c r="AC620" s="426">
        <v>1</v>
      </c>
      <c r="AD620" s="426">
        <v>1</v>
      </c>
      <c r="AE620" s="426">
        <v>1</v>
      </c>
      <c r="AF620" s="426">
        <v>1</v>
      </c>
      <c r="AG620" s="426">
        <v>1</v>
      </c>
      <c r="AH620" s="426">
        <v>1</v>
      </c>
      <c r="AI620" s="426">
        <v>1</v>
      </c>
      <c r="AJ620" s="426">
        <v>1</v>
      </c>
      <c r="AK620" s="426">
        <v>1</v>
      </c>
      <c r="AL620" s="426">
        <v>1</v>
      </c>
      <c r="AN620" s="4"/>
      <c r="AQ620" s="4"/>
      <c r="AR620" s="4"/>
      <c r="AS620" s="4"/>
      <c r="AT620" s="4"/>
      <c r="AU620" s="4"/>
    </row>
    <row r="621" spans="1:47">
      <c r="C621" t="str">
        <f>Commodities!$C$88</f>
        <v>UPSCOG</v>
      </c>
      <c r="G621" s="4" t="s">
        <v>702</v>
      </c>
      <c r="H621" t="s">
        <v>661</v>
      </c>
      <c r="I621">
        <v>2019</v>
      </c>
      <c r="J621" t="s">
        <v>650</v>
      </c>
      <c r="K621" s="426">
        <v>1</v>
      </c>
      <c r="L621" s="426">
        <v>1</v>
      </c>
      <c r="M621" s="426">
        <v>1</v>
      </c>
      <c r="N621" s="426">
        <v>1</v>
      </c>
      <c r="O621" s="426">
        <v>1</v>
      </c>
      <c r="P621" s="426">
        <v>1</v>
      </c>
      <c r="Q621" s="426">
        <v>1</v>
      </c>
      <c r="R621" s="426">
        <v>1</v>
      </c>
      <c r="S621" s="426">
        <v>1</v>
      </c>
      <c r="T621" s="426">
        <v>1</v>
      </c>
      <c r="U621" s="426">
        <v>1</v>
      </c>
      <c r="V621" s="426">
        <v>1</v>
      </c>
      <c r="W621" s="426">
        <v>1</v>
      </c>
      <c r="X621" s="426">
        <v>1</v>
      </c>
      <c r="Y621" s="426">
        <v>1</v>
      </c>
      <c r="Z621" s="426">
        <v>1</v>
      </c>
      <c r="AA621" s="426">
        <v>1</v>
      </c>
      <c r="AB621" s="426">
        <v>1</v>
      </c>
      <c r="AC621" s="426">
        <v>1</v>
      </c>
      <c r="AD621" s="426">
        <v>1</v>
      </c>
      <c r="AE621" s="426">
        <v>1</v>
      </c>
      <c r="AF621" s="426">
        <v>1</v>
      </c>
      <c r="AG621" s="426">
        <v>1</v>
      </c>
      <c r="AH621" s="426">
        <v>1</v>
      </c>
      <c r="AI621" s="426">
        <v>1</v>
      </c>
      <c r="AJ621" s="426">
        <v>1</v>
      </c>
      <c r="AK621" s="426">
        <v>1</v>
      </c>
      <c r="AL621" s="426">
        <v>1</v>
      </c>
      <c r="AN621" s="4"/>
      <c r="AQ621" s="4"/>
      <c r="AR621" s="4"/>
      <c r="AS621" s="4"/>
      <c r="AT621" s="4"/>
      <c r="AU621" s="4"/>
    </row>
    <row r="622" spans="1:47">
      <c r="C622" t="str">
        <f>Commodities!$C$84</f>
        <v>UPSBGS</v>
      </c>
      <c r="G622" s="4" t="s">
        <v>702</v>
      </c>
      <c r="H622" t="s">
        <v>661</v>
      </c>
      <c r="I622">
        <v>2019</v>
      </c>
      <c r="J622" t="s">
        <v>650</v>
      </c>
      <c r="K622" s="426">
        <v>0</v>
      </c>
      <c r="L622" s="426">
        <v>0</v>
      </c>
      <c r="M622" s="426">
        <v>0</v>
      </c>
      <c r="N622" s="426">
        <v>0</v>
      </c>
      <c r="O622" s="426">
        <v>0</v>
      </c>
      <c r="P622" s="426">
        <v>0</v>
      </c>
      <c r="Q622" s="426">
        <v>0</v>
      </c>
      <c r="R622" s="426">
        <v>0</v>
      </c>
      <c r="S622" s="426">
        <v>0</v>
      </c>
      <c r="T622" s="426">
        <v>0</v>
      </c>
      <c r="U622" s="426">
        <v>0</v>
      </c>
      <c r="V622" s="426">
        <v>0</v>
      </c>
      <c r="W622" s="426">
        <v>0</v>
      </c>
      <c r="X622" s="426">
        <v>0</v>
      </c>
      <c r="Y622" s="426">
        <v>0</v>
      </c>
      <c r="Z622" s="426">
        <v>0</v>
      </c>
      <c r="AA622" s="426">
        <v>0</v>
      </c>
      <c r="AB622" s="426">
        <v>0</v>
      </c>
      <c r="AC622" s="426">
        <v>0</v>
      </c>
      <c r="AD622" s="426">
        <v>0</v>
      </c>
      <c r="AE622" s="426">
        <v>0</v>
      </c>
      <c r="AF622" s="426">
        <v>0</v>
      </c>
      <c r="AG622" s="426">
        <v>0</v>
      </c>
      <c r="AH622" s="426">
        <v>0</v>
      </c>
      <c r="AI622" s="426">
        <v>0</v>
      </c>
      <c r="AJ622" s="426">
        <v>0</v>
      </c>
      <c r="AK622" s="426">
        <v>0</v>
      </c>
      <c r="AL622" s="426">
        <v>0</v>
      </c>
      <c r="AN622" s="4"/>
      <c r="AQ622" s="4"/>
      <c r="AR622" s="4"/>
      <c r="AS622" s="4"/>
      <c r="AT622" s="4"/>
      <c r="AU622" s="4"/>
    </row>
    <row r="623" spans="1:47">
      <c r="C623" t="str">
        <f>Commodities!$C$92</f>
        <v>UPSGAS</v>
      </c>
      <c r="G623" s="4" t="s">
        <v>702</v>
      </c>
      <c r="H623" t="s">
        <v>661</v>
      </c>
      <c r="I623">
        <v>2025</v>
      </c>
      <c r="J623" t="s">
        <v>650</v>
      </c>
      <c r="K623" s="426">
        <v>1</v>
      </c>
      <c r="L623" s="426">
        <v>1</v>
      </c>
      <c r="M623" s="426">
        <v>1</v>
      </c>
      <c r="N623" s="426">
        <v>1</v>
      </c>
      <c r="O623" s="426">
        <v>1</v>
      </c>
      <c r="P623" s="426">
        <v>1</v>
      </c>
      <c r="Q623" s="426">
        <v>1</v>
      </c>
      <c r="R623" s="426">
        <v>1</v>
      </c>
      <c r="S623" s="426">
        <v>1</v>
      </c>
      <c r="T623" s="426">
        <v>1</v>
      </c>
      <c r="U623" s="426">
        <v>1</v>
      </c>
      <c r="V623" s="426">
        <v>1</v>
      </c>
      <c r="W623" s="426">
        <v>1</v>
      </c>
      <c r="X623" s="426">
        <v>1</v>
      </c>
      <c r="Y623" s="426">
        <v>1</v>
      </c>
      <c r="Z623" s="426">
        <v>1</v>
      </c>
      <c r="AA623" s="426">
        <v>1</v>
      </c>
      <c r="AB623" s="426">
        <v>1</v>
      </c>
      <c r="AC623" s="426">
        <v>1</v>
      </c>
      <c r="AD623" s="426">
        <v>1</v>
      </c>
      <c r="AE623" s="426">
        <v>1</v>
      </c>
      <c r="AF623" s="426">
        <v>1</v>
      </c>
      <c r="AG623" s="426">
        <v>1</v>
      </c>
      <c r="AH623" s="426">
        <v>1</v>
      </c>
      <c r="AI623" s="426">
        <v>1</v>
      </c>
      <c r="AJ623" s="426">
        <v>1</v>
      </c>
      <c r="AK623" s="426">
        <v>1</v>
      </c>
      <c r="AL623" s="426">
        <v>1</v>
      </c>
      <c r="AN623" s="4"/>
      <c r="AQ623" s="4"/>
      <c r="AR623" s="4"/>
      <c r="AS623" s="4"/>
      <c r="AT623" s="4"/>
      <c r="AU623" s="4"/>
    </row>
    <row r="624" spans="1:47">
      <c r="C624" t="str">
        <f>Commodities!$C$88</f>
        <v>UPSCOG</v>
      </c>
      <c r="G624" s="4" t="s">
        <v>702</v>
      </c>
      <c r="H624" t="s">
        <v>661</v>
      </c>
      <c r="I624">
        <v>2025</v>
      </c>
      <c r="J624" t="s">
        <v>650</v>
      </c>
      <c r="K624" s="426">
        <v>1</v>
      </c>
      <c r="L624" s="426">
        <v>1</v>
      </c>
      <c r="M624" s="426">
        <v>1</v>
      </c>
      <c r="N624" s="426">
        <v>1</v>
      </c>
      <c r="O624" s="426">
        <v>1</v>
      </c>
      <c r="P624" s="426">
        <v>1</v>
      </c>
      <c r="Q624" s="426">
        <v>1</v>
      </c>
      <c r="R624" s="426">
        <v>1</v>
      </c>
      <c r="S624" s="426">
        <v>1</v>
      </c>
      <c r="T624" s="426">
        <v>1</v>
      </c>
      <c r="U624" s="426">
        <v>1</v>
      </c>
      <c r="V624" s="426">
        <v>1</v>
      </c>
      <c r="W624" s="426">
        <v>1</v>
      </c>
      <c r="X624" s="426">
        <v>1</v>
      </c>
      <c r="Y624" s="426">
        <v>1</v>
      </c>
      <c r="Z624" s="426">
        <v>1</v>
      </c>
      <c r="AA624" s="426">
        <v>1</v>
      </c>
      <c r="AB624" s="426">
        <v>1</v>
      </c>
      <c r="AC624" s="426">
        <v>1</v>
      </c>
      <c r="AD624" s="426">
        <v>1</v>
      </c>
      <c r="AE624" s="426">
        <v>1</v>
      </c>
      <c r="AF624" s="426">
        <v>1</v>
      </c>
      <c r="AG624" s="426">
        <v>1</v>
      </c>
      <c r="AH624" s="426">
        <v>1</v>
      </c>
      <c r="AI624" s="426">
        <v>1</v>
      </c>
      <c r="AJ624" s="426">
        <v>1</v>
      </c>
      <c r="AK624" s="426">
        <v>1</v>
      </c>
      <c r="AL624" s="426">
        <v>1</v>
      </c>
      <c r="AN624" s="4"/>
      <c r="AQ624" s="4"/>
      <c r="AR624" s="4"/>
      <c r="AS624" s="4"/>
      <c r="AT624" s="4"/>
      <c r="AU624" s="4"/>
    </row>
    <row r="625" spans="1:47">
      <c r="C625" t="str">
        <f>Commodities!$C$84</f>
        <v>UPSBGS</v>
      </c>
      <c r="G625" s="4" t="s">
        <v>702</v>
      </c>
      <c r="H625" t="s">
        <v>661</v>
      </c>
      <c r="I625">
        <v>2025</v>
      </c>
      <c r="J625" t="s">
        <v>650</v>
      </c>
      <c r="K625" s="426">
        <v>1</v>
      </c>
      <c r="L625" s="426">
        <v>1</v>
      </c>
      <c r="M625" s="426">
        <v>1</v>
      </c>
      <c r="N625" s="426">
        <v>1</v>
      </c>
      <c r="O625" s="426">
        <v>1</v>
      </c>
      <c r="P625" s="426">
        <v>1</v>
      </c>
      <c r="Q625" s="426">
        <v>1</v>
      </c>
      <c r="R625" s="426">
        <v>1</v>
      </c>
      <c r="S625" s="426">
        <v>1</v>
      </c>
      <c r="T625" s="426">
        <v>1</v>
      </c>
      <c r="U625" s="426">
        <v>1</v>
      </c>
      <c r="V625" s="426">
        <v>1</v>
      </c>
      <c r="W625" s="426">
        <v>1</v>
      </c>
      <c r="X625" s="426">
        <v>1</v>
      </c>
      <c r="Y625" s="426">
        <v>1</v>
      </c>
      <c r="Z625" s="426">
        <v>1</v>
      </c>
      <c r="AA625" s="426">
        <v>1</v>
      </c>
      <c r="AB625" s="426">
        <v>1</v>
      </c>
      <c r="AC625" s="426">
        <v>1</v>
      </c>
      <c r="AD625" s="426">
        <v>1</v>
      </c>
      <c r="AE625" s="426">
        <v>1</v>
      </c>
      <c r="AF625" s="426">
        <v>1</v>
      </c>
      <c r="AG625" s="426">
        <v>1</v>
      </c>
      <c r="AH625" s="426">
        <v>1</v>
      </c>
      <c r="AI625" s="426">
        <v>1</v>
      </c>
      <c r="AJ625" s="426">
        <v>1</v>
      </c>
      <c r="AK625" s="426">
        <v>1</v>
      </c>
      <c r="AL625" s="426">
        <v>1</v>
      </c>
      <c r="AN625" s="4"/>
      <c r="AQ625" s="4"/>
      <c r="AR625" s="4"/>
      <c r="AS625" s="4"/>
      <c r="AT625" s="4"/>
      <c r="AU625" s="4"/>
    </row>
    <row r="626" spans="1:47">
      <c r="C626" t="str">
        <f>Commodities!$C$92</f>
        <v>UPSGAS</v>
      </c>
      <c r="G626" s="4" t="s">
        <v>702</v>
      </c>
      <c r="H626" t="s">
        <v>661</v>
      </c>
      <c r="I626">
        <v>2050</v>
      </c>
      <c r="J626" t="s">
        <v>650</v>
      </c>
      <c r="K626" s="426">
        <v>1</v>
      </c>
      <c r="L626" s="426">
        <v>1</v>
      </c>
      <c r="M626" s="426">
        <v>1</v>
      </c>
      <c r="N626" s="426">
        <v>1</v>
      </c>
      <c r="O626" s="426">
        <v>1</v>
      </c>
      <c r="P626" s="426">
        <v>1</v>
      </c>
      <c r="Q626" s="426">
        <v>1</v>
      </c>
      <c r="R626" s="426">
        <v>1</v>
      </c>
      <c r="S626" s="426">
        <v>1</v>
      </c>
      <c r="T626" s="426">
        <v>1</v>
      </c>
      <c r="U626" s="426">
        <v>1</v>
      </c>
      <c r="V626" s="426">
        <v>1</v>
      </c>
      <c r="W626" s="426">
        <v>1</v>
      </c>
      <c r="X626" s="426">
        <v>1</v>
      </c>
      <c r="Y626" s="426">
        <v>1</v>
      </c>
      <c r="Z626" s="426">
        <v>1</v>
      </c>
      <c r="AA626" s="426">
        <v>1</v>
      </c>
      <c r="AB626" s="426">
        <v>1</v>
      </c>
      <c r="AC626" s="426">
        <v>1</v>
      </c>
      <c r="AD626" s="426">
        <v>1</v>
      </c>
      <c r="AE626" s="426">
        <v>1</v>
      </c>
      <c r="AF626" s="426">
        <v>1</v>
      </c>
      <c r="AG626" s="426">
        <v>1</v>
      </c>
      <c r="AH626" s="426">
        <v>1</v>
      </c>
      <c r="AI626" s="426">
        <v>1</v>
      </c>
      <c r="AJ626" s="426">
        <v>1</v>
      </c>
      <c r="AK626" s="426">
        <v>1</v>
      </c>
      <c r="AL626" s="426">
        <v>1</v>
      </c>
      <c r="AN626" s="4"/>
      <c r="AQ626" s="4"/>
      <c r="AR626" s="4"/>
      <c r="AS626" s="4"/>
      <c r="AT626" s="4"/>
      <c r="AU626" s="4"/>
    </row>
    <row r="627" spans="1:47">
      <c r="C627" t="str">
        <f>Commodities!$C$88</f>
        <v>UPSCOG</v>
      </c>
      <c r="G627" s="4" t="s">
        <v>702</v>
      </c>
      <c r="H627" t="s">
        <v>661</v>
      </c>
      <c r="I627">
        <v>2050</v>
      </c>
      <c r="J627" t="s">
        <v>650</v>
      </c>
      <c r="K627" s="426">
        <v>1</v>
      </c>
      <c r="L627" s="426">
        <v>1</v>
      </c>
      <c r="M627" s="426">
        <v>1</v>
      </c>
      <c r="N627" s="426">
        <v>1</v>
      </c>
      <c r="O627" s="426">
        <v>1</v>
      </c>
      <c r="P627" s="426">
        <v>1</v>
      </c>
      <c r="Q627" s="426">
        <v>1</v>
      </c>
      <c r="R627" s="426">
        <v>1</v>
      </c>
      <c r="S627" s="426">
        <v>1</v>
      </c>
      <c r="T627" s="426">
        <v>1</v>
      </c>
      <c r="U627" s="426">
        <v>1</v>
      </c>
      <c r="V627" s="426">
        <v>1</v>
      </c>
      <c r="W627" s="426">
        <v>1</v>
      </c>
      <c r="X627" s="426">
        <v>1</v>
      </c>
      <c r="Y627" s="426">
        <v>1</v>
      </c>
      <c r="Z627" s="426">
        <v>1</v>
      </c>
      <c r="AA627" s="426">
        <v>1</v>
      </c>
      <c r="AB627" s="426">
        <v>1</v>
      </c>
      <c r="AC627" s="426">
        <v>1</v>
      </c>
      <c r="AD627" s="426">
        <v>1</v>
      </c>
      <c r="AE627" s="426">
        <v>1</v>
      </c>
      <c r="AF627" s="426">
        <v>1</v>
      </c>
      <c r="AG627" s="426">
        <v>1</v>
      </c>
      <c r="AH627" s="426">
        <v>1</v>
      </c>
      <c r="AI627" s="426">
        <v>1</v>
      </c>
      <c r="AJ627" s="426">
        <v>1</v>
      </c>
      <c r="AK627" s="426">
        <v>1</v>
      </c>
      <c r="AL627" s="426">
        <v>1</v>
      </c>
      <c r="AN627" s="4"/>
      <c r="AQ627" s="4"/>
      <c r="AR627" s="4"/>
      <c r="AS627" s="4"/>
      <c r="AT627" s="4"/>
      <c r="AU627" s="4"/>
    </row>
    <row r="628" spans="1:47">
      <c r="C628" t="str">
        <f>Commodities!$C$84</f>
        <v>UPSBGS</v>
      </c>
      <c r="G628" s="4" t="s">
        <v>702</v>
      </c>
      <c r="H628" t="s">
        <v>661</v>
      </c>
      <c r="I628">
        <v>2050</v>
      </c>
      <c r="J628" t="s">
        <v>650</v>
      </c>
      <c r="K628" s="426">
        <v>1</v>
      </c>
      <c r="L628" s="426">
        <v>1</v>
      </c>
      <c r="M628" s="426">
        <v>1</v>
      </c>
      <c r="N628" s="426">
        <v>1</v>
      </c>
      <c r="O628" s="426">
        <v>1</v>
      </c>
      <c r="P628" s="426">
        <v>1</v>
      </c>
      <c r="Q628" s="426">
        <v>1</v>
      </c>
      <c r="R628" s="426">
        <v>1</v>
      </c>
      <c r="S628" s="426">
        <v>1</v>
      </c>
      <c r="T628" s="426">
        <v>1</v>
      </c>
      <c r="U628" s="426">
        <v>1</v>
      </c>
      <c r="V628" s="426">
        <v>1</v>
      </c>
      <c r="W628" s="426">
        <v>1</v>
      </c>
      <c r="X628" s="426">
        <v>1</v>
      </c>
      <c r="Y628" s="426">
        <v>1</v>
      </c>
      <c r="Z628" s="426">
        <v>1</v>
      </c>
      <c r="AA628" s="426">
        <v>1</v>
      </c>
      <c r="AB628" s="426">
        <v>1</v>
      </c>
      <c r="AC628" s="426">
        <v>1</v>
      </c>
      <c r="AD628" s="426">
        <v>1</v>
      </c>
      <c r="AE628" s="426">
        <v>1</v>
      </c>
      <c r="AF628" s="426">
        <v>1</v>
      </c>
      <c r="AG628" s="426">
        <v>1</v>
      </c>
      <c r="AH628" s="426">
        <v>1</v>
      </c>
      <c r="AI628" s="426">
        <v>1</v>
      </c>
      <c r="AJ628" s="426">
        <v>1</v>
      </c>
      <c r="AK628" s="426">
        <v>1</v>
      </c>
      <c r="AL628" s="426">
        <v>1</v>
      </c>
      <c r="AN628" s="4"/>
      <c r="AQ628" s="4"/>
      <c r="AR628" s="4"/>
      <c r="AS628" s="4"/>
      <c r="AT628" s="4"/>
      <c r="AU628" s="4"/>
    </row>
    <row r="629" spans="1:47">
      <c r="D629" t="str">
        <f>Commodities!$C$106</f>
        <v>UREFOTH</v>
      </c>
      <c r="AN629" s="4"/>
      <c r="AQ629" s="4"/>
      <c r="AR629" s="4"/>
      <c r="AS629" s="4"/>
      <c r="AT629" s="4"/>
      <c r="AU629" s="4"/>
    </row>
    <row r="630" spans="1:47">
      <c r="A630" s="4" t="str">
        <f>AO425</f>
        <v>U-TRF-OILREFOTH_OIL01</v>
      </c>
      <c r="B630" s="4" t="str">
        <f>AP425</f>
        <v>UPS Transformation: Oil refinery other processes Petroleum product - New</v>
      </c>
      <c r="C630" s="4"/>
      <c r="D630" s="4"/>
      <c r="E630" s="4"/>
      <c r="F630" s="4"/>
      <c r="G630" s="4" t="s">
        <v>695</v>
      </c>
      <c r="H630" s="4"/>
      <c r="I630" s="4"/>
      <c r="J630" s="4" t="s">
        <v>2665</v>
      </c>
      <c r="K630" s="333">
        <v>1</v>
      </c>
      <c r="L630" s="333">
        <v>1</v>
      </c>
      <c r="M630" s="333">
        <v>1</v>
      </c>
      <c r="N630" s="333">
        <v>1</v>
      </c>
      <c r="O630" s="333">
        <v>1</v>
      </c>
      <c r="P630" s="333">
        <v>1</v>
      </c>
      <c r="Q630" s="333">
        <v>1</v>
      </c>
      <c r="R630" s="333">
        <v>1</v>
      </c>
      <c r="S630" s="333">
        <v>1</v>
      </c>
      <c r="T630" s="333">
        <v>1</v>
      </c>
      <c r="U630" s="333">
        <v>1</v>
      </c>
      <c r="V630" s="333">
        <v>1</v>
      </c>
      <c r="W630" s="333">
        <v>1</v>
      </c>
      <c r="X630" s="333">
        <v>1</v>
      </c>
      <c r="Y630" s="333">
        <v>1</v>
      </c>
      <c r="Z630" s="333">
        <v>1</v>
      </c>
      <c r="AA630" s="333">
        <v>1</v>
      </c>
      <c r="AB630" s="333">
        <v>1</v>
      </c>
      <c r="AC630" s="333">
        <v>1</v>
      </c>
      <c r="AD630" s="333">
        <v>1</v>
      </c>
      <c r="AE630" s="333">
        <v>1</v>
      </c>
      <c r="AF630" s="333">
        <v>1</v>
      </c>
      <c r="AG630" s="333">
        <v>1</v>
      </c>
      <c r="AH630" s="333">
        <v>1</v>
      </c>
      <c r="AI630" s="333">
        <v>1</v>
      </c>
      <c r="AJ630" s="333">
        <v>1</v>
      </c>
      <c r="AK630" s="333">
        <v>1</v>
      </c>
      <c r="AL630" s="333">
        <v>1</v>
      </c>
      <c r="AN630" s="4"/>
      <c r="AQ630" s="4"/>
      <c r="AR630" s="4"/>
      <c r="AS630" s="4"/>
      <c r="AT630" s="4"/>
      <c r="AU630" s="4"/>
    </row>
    <row r="631" spans="1:47">
      <c r="C631" s="4"/>
      <c r="D631" s="4"/>
      <c r="E631" s="4"/>
      <c r="F631" s="4"/>
      <c r="G631" s="4" t="s">
        <v>697</v>
      </c>
      <c r="H631" s="4"/>
      <c r="I631" s="4"/>
      <c r="J631" s="4" t="s">
        <v>698</v>
      </c>
      <c r="K631" s="424">
        <f>'Key inputs_Refineries'!$F$185</f>
        <v>15</v>
      </c>
      <c r="L631" s="424">
        <f>'Key inputs_Refineries'!$F$185</f>
        <v>15</v>
      </c>
      <c r="M631" s="424">
        <f>'Key inputs_Refineries'!$F$185</f>
        <v>15</v>
      </c>
      <c r="N631" s="424">
        <f>'Key inputs_Refineries'!$F$185</f>
        <v>15</v>
      </c>
      <c r="O631" s="424">
        <f>'Key inputs_Refineries'!$F$185</f>
        <v>15</v>
      </c>
      <c r="P631" s="424">
        <f>'Key inputs_Refineries'!$F$185</f>
        <v>15</v>
      </c>
      <c r="Q631" s="424">
        <f>'Key inputs_Refineries'!$F$185</f>
        <v>15</v>
      </c>
      <c r="R631" s="424">
        <f>'Key inputs_Refineries'!$F$185</f>
        <v>15</v>
      </c>
      <c r="S631" s="424">
        <f>'Key inputs_Refineries'!$F$185</f>
        <v>15</v>
      </c>
      <c r="T631" s="424">
        <f>'Key inputs_Refineries'!$F$185</f>
        <v>15</v>
      </c>
      <c r="U631" s="424">
        <f>'Key inputs_Refineries'!$F$185</f>
        <v>15</v>
      </c>
      <c r="V631" s="424">
        <f>'Key inputs_Refineries'!$F$185</f>
        <v>15</v>
      </c>
      <c r="W631" s="424">
        <f>'Key inputs_Refineries'!$F$185</f>
        <v>15</v>
      </c>
      <c r="X631" s="424">
        <f>'Key inputs_Refineries'!$F$185</f>
        <v>15</v>
      </c>
      <c r="Y631" s="424">
        <f>'Key inputs_Refineries'!$F$185</f>
        <v>15</v>
      </c>
      <c r="Z631" s="424">
        <f>'Key inputs_Refineries'!$F$185</f>
        <v>15</v>
      </c>
      <c r="AA631" s="424">
        <f>'Key inputs_Refineries'!$F$185</f>
        <v>15</v>
      </c>
      <c r="AB631" s="424">
        <f>'Key inputs_Refineries'!$F$185</f>
        <v>15</v>
      </c>
      <c r="AC631" s="424">
        <f>'Key inputs_Refineries'!$F$185</f>
        <v>15</v>
      </c>
      <c r="AD631" s="424">
        <f>'Key inputs_Refineries'!$F$185</f>
        <v>15</v>
      </c>
      <c r="AE631" s="424">
        <f>'Key inputs_Refineries'!$F$185</f>
        <v>15</v>
      </c>
      <c r="AF631" s="424">
        <f>'Key inputs_Refineries'!$F$185</f>
        <v>15</v>
      </c>
      <c r="AG631" s="424">
        <f>'Key inputs_Refineries'!$F$185</f>
        <v>15</v>
      </c>
      <c r="AH631" s="424">
        <f>'Key inputs_Refineries'!$F$185</f>
        <v>15</v>
      </c>
      <c r="AI631" s="424">
        <f>'Key inputs_Refineries'!$F$185</f>
        <v>15</v>
      </c>
      <c r="AJ631" s="424">
        <f>'Key inputs_Refineries'!$F$185</f>
        <v>15</v>
      </c>
      <c r="AK631" s="424">
        <f>'Key inputs_Refineries'!$F$185</f>
        <v>15</v>
      </c>
      <c r="AL631" s="424">
        <f>'Key inputs_Refineries'!$F$185</f>
        <v>15</v>
      </c>
      <c r="AN631" s="4"/>
      <c r="AQ631" s="4"/>
      <c r="AR631" s="4"/>
      <c r="AS631" s="4"/>
      <c r="AT631" s="4"/>
      <c r="AU631" s="4"/>
    </row>
    <row r="632" spans="1:47">
      <c r="C632" s="4"/>
      <c r="D632" s="4"/>
      <c r="E632" s="4"/>
      <c r="F632" s="4"/>
      <c r="G632" s="4" t="s">
        <v>707</v>
      </c>
      <c r="H632" s="4"/>
      <c r="I632" s="4"/>
      <c r="J632" s="4" t="s">
        <v>2669</v>
      </c>
      <c r="K632" s="347">
        <v>2020</v>
      </c>
      <c r="L632" s="347">
        <v>2020</v>
      </c>
      <c r="M632" s="347">
        <v>2020</v>
      </c>
      <c r="N632" s="347">
        <v>2020</v>
      </c>
      <c r="O632" s="347">
        <v>2020</v>
      </c>
      <c r="P632" s="347">
        <v>2020</v>
      </c>
      <c r="Q632" s="347">
        <v>2020</v>
      </c>
      <c r="R632" s="347">
        <v>2020</v>
      </c>
      <c r="S632" s="347">
        <v>2020</v>
      </c>
      <c r="T632" s="347">
        <v>2020</v>
      </c>
      <c r="U632" s="347">
        <v>2020</v>
      </c>
      <c r="V632" s="347">
        <v>2020</v>
      </c>
      <c r="W632" s="347">
        <v>2020</v>
      </c>
      <c r="X632" s="347">
        <v>2020</v>
      </c>
      <c r="Y632" s="347">
        <v>2020</v>
      </c>
      <c r="Z632" s="347">
        <v>2020</v>
      </c>
      <c r="AA632" s="347">
        <v>2020</v>
      </c>
      <c r="AB632" s="347">
        <v>2020</v>
      </c>
      <c r="AC632" s="347">
        <v>2020</v>
      </c>
      <c r="AD632" s="347">
        <v>2020</v>
      </c>
      <c r="AE632" s="347">
        <v>2020</v>
      </c>
      <c r="AF632" s="347">
        <v>2020</v>
      </c>
      <c r="AG632" s="347">
        <v>2020</v>
      </c>
      <c r="AH632" s="347">
        <v>2020</v>
      </c>
      <c r="AI632" s="347">
        <v>2020</v>
      </c>
      <c r="AJ632" s="347">
        <v>2020</v>
      </c>
      <c r="AK632" s="347">
        <v>2020</v>
      </c>
      <c r="AL632" s="347">
        <v>2020</v>
      </c>
      <c r="AN632" s="4"/>
      <c r="AQ632" s="4"/>
      <c r="AR632" s="4"/>
      <c r="AS632" s="4"/>
      <c r="AT632" s="4"/>
      <c r="AU632" s="4"/>
    </row>
    <row r="633" spans="1:47">
      <c r="G633" s="4" t="s">
        <v>701</v>
      </c>
      <c r="H633" s="4" t="s">
        <v>661</v>
      </c>
      <c r="I633" s="4">
        <v>2019</v>
      </c>
      <c r="J633" s="4" t="s">
        <v>112</v>
      </c>
      <c r="K633" s="333"/>
      <c r="L633" s="333"/>
      <c r="M633" s="333"/>
      <c r="N633" s="333"/>
      <c r="O633" s="333"/>
      <c r="P633" s="333"/>
      <c r="Q633" s="333"/>
      <c r="R633" s="333"/>
      <c r="S633" s="333"/>
      <c r="T633" s="333"/>
      <c r="U633" s="333"/>
      <c r="V633" s="333"/>
      <c r="W633" s="333"/>
      <c r="X633" s="333"/>
      <c r="Y633" s="333"/>
      <c r="Z633" s="333"/>
      <c r="AA633" s="333"/>
      <c r="AB633" s="333"/>
      <c r="AC633" s="333"/>
      <c r="AD633" s="333"/>
      <c r="AE633" s="333"/>
      <c r="AF633" s="333"/>
      <c r="AG633" s="333"/>
      <c r="AH633" s="333"/>
      <c r="AI633" s="333"/>
      <c r="AJ633" s="333"/>
      <c r="AK633" s="333"/>
      <c r="AL633" s="333"/>
      <c r="AT633" s="4"/>
      <c r="AU633" s="4"/>
    </row>
    <row r="634" spans="1:47">
      <c r="G634" s="4" t="s">
        <v>701</v>
      </c>
      <c r="H634" s="4" t="s">
        <v>661</v>
      </c>
      <c r="I634" s="4">
        <v>2060</v>
      </c>
      <c r="J634" s="4" t="s">
        <v>112</v>
      </c>
      <c r="K634" s="333"/>
      <c r="L634" s="333"/>
      <c r="M634" s="333"/>
      <c r="N634" s="333"/>
      <c r="O634" s="333"/>
      <c r="P634" s="333"/>
      <c r="Q634" s="333"/>
      <c r="R634" s="333"/>
      <c r="S634" s="333"/>
      <c r="T634" s="333"/>
      <c r="U634" s="333"/>
      <c r="V634" s="333"/>
      <c r="W634" s="333"/>
      <c r="X634" s="333"/>
      <c r="Y634" s="333"/>
      <c r="Z634" s="333"/>
      <c r="AA634" s="333"/>
      <c r="AB634" s="333"/>
      <c r="AC634" s="333"/>
      <c r="AD634" s="333"/>
      <c r="AE634" s="333"/>
      <c r="AF634" s="333"/>
      <c r="AG634" s="333"/>
      <c r="AH634" s="333"/>
      <c r="AI634" s="333"/>
      <c r="AJ634" s="333"/>
      <c r="AK634" s="333"/>
      <c r="AL634" s="333"/>
      <c r="AT634" s="4"/>
      <c r="AU634" s="4"/>
    </row>
    <row r="635" spans="1:47">
      <c r="G635" s="4" t="s">
        <v>701</v>
      </c>
      <c r="H635" s="4" t="s">
        <v>661</v>
      </c>
      <c r="I635" s="4">
        <v>0</v>
      </c>
      <c r="J635" s="4"/>
      <c r="K635" s="333"/>
      <c r="L635" s="333"/>
      <c r="M635" s="333"/>
      <c r="N635" s="333"/>
      <c r="O635" s="333"/>
      <c r="P635" s="333"/>
      <c r="Q635" s="333"/>
      <c r="R635" s="333"/>
      <c r="S635" s="333"/>
      <c r="T635" s="333"/>
      <c r="U635" s="333"/>
      <c r="V635" s="333"/>
      <c r="W635" s="333"/>
      <c r="X635" s="333"/>
      <c r="Y635" s="333"/>
      <c r="Z635" s="333"/>
      <c r="AA635" s="333"/>
      <c r="AB635" s="333"/>
      <c r="AC635" s="333"/>
      <c r="AD635" s="333"/>
      <c r="AE635" s="333"/>
      <c r="AF635" s="333"/>
      <c r="AG635" s="333"/>
      <c r="AH635" s="333"/>
      <c r="AI635" s="333"/>
      <c r="AJ635" s="333"/>
      <c r="AK635" s="333"/>
      <c r="AL635" s="333"/>
      <c r="AT635" s="4"/>
      <c r="AU635" s="4"/>
    </row>
    <row r="636" spans="1:47">
      <c r="G636" s="4" t="s">
        <v>687</v>
      </c>
      <c r="H636" s="4"/>
      <c r="I636" s="4"/>
      <c r="J636" s="4" t="s">
        <v>2663</v>
      </c>
      <c r="K636" s="425">
        <f>'Key inputs_Refineries'!$C$185*10^3</f>
        <v>104.06880000000001</v>
      </c>
      <c r="L636" s="425">
        <f>'Key inputs_Refineries'!$C$185*10^3</f>
        <v>104.06880000000001</v>
      </c>
      <c r="M636" s="425">
        <f>'Key inputs_Refineries'!$C$185*10^3</f>
        <v>104.06880000000001</v>
      </c>
      <c r="N636" s="425">
        <f>'Key inputs_Refineries'!$C$185*10^3</f>
        <v>104.06880000000001</v>
      </c>
      <c r="O636" s="425">
        <f>'Key inputs_Refineries'!$C$185*10^3</f>
        <v>104.06880000000001</v>
      </c>
      <c r="P636" s="425">
        <f>'Key inputs_Refineries'!$C$185*10^3</f>
        <v>104.06880000000001</v>
      </c>
      <c r="Q636" s="425">
        <f>'Key inputs_Refineries'!$C$185*10^3</f>
        <v>104.06880000000001</v>
      </c>
      <c r="R636" s="425">
        <f>'Key inputs_Refineries'!$C$185*10^3</f>
        <v>104.06880000000001</v>
      </c>
      <c r="S636" s="425">
        <f>'Key inputs_Refineries'!$C$185*10^3</f>
        <v>104.06880000000001</v>
      </c>
      <c r="T636" s="425">
        <f>'Key inputs_Refineries'!$C$185*10^3</f>
        <v>104.06880000000001</v>
      </c>
      <c r="U636" s="425">
        <f>'Key inputs_Refineries'!$C$185*10^3</f>
        <v>104.06880000000001</v>
      </c>
      <c r="V636" s="425">
        <f>'Key inputs_Refineries'!$C$185*10^3</f>
        <v>104.06880000000001</v>
      </c>
      <c r="W636" s="425">
        <f>'Key inputs_Refineries'!$C$185*10^3</f>
        <v>104.06880000000001</v>
      </c>
      <c r="X636" s="425">
        <f>'Key inputs_Refineries'!$C$185*10^3</f>
        <v>104.06880000000001</v>
      </c>
      <c r="Y636" s="425">
        <f>'Key inputs_Refineries'!$C$185*10^3</f>
        <v>104.06880000000001</v>
      </c>
      <c r="Z636" s="425">
        <f>'Key inputs_Refineries'!$C$185*10^3</f>
        <v>104.06880000000001</v>
      </c>
      <c r="AA636" s="425">
        <f>'Key inputs_Refineries'!$C$185*10^3</f>
        <v>104.06880000000001</v>
      </c>
      <c r="AB636" s="425">
        <f>'Key inputs_Refineries'!$C$185*10^3</f>
        <v>104.06880000000001</v>
      </c>
      <c r="AC636" s="425">
        <f>'Key inputs_Refineries'!$C$185*10^3</f>
        <v>104.06880000000001</v>
      </c>
      <c r="AD636" s="425">
        <f>'Key inputs_Refineries'!$C$185*10^3</f>
        <v>104.06880000000001</v>
      </c>
      <c r="AE636" s="425">
        <f>'Key inputs_Refineries'!$C$185*10^3</f>
        <v>104.06880000000001</v>
      </c>
      <c r="AF636" s="425">
        <f>'Key inputs_Refineries'!$C$185*10^3</f>
        <v>104.06880000000001</v>
      </c>
      <c r="AG636" s="425">
        <f>'Key inputs_Refineries'!$C$185*10^3</f>
        <v>104.06880000000001</v>
      </c>
      <c r="AH636" s="425">
        <f>'Key inputs_Refineries'!$C$185*10^3</f>
        <v>104.06880000000001</v>
      </c>
      <c r="AI636" s="425">
        <f>'Key inputs_Refineries'!$C$185*10^3</f>
        <v>104.06880000000001</v>
      </c>
      <c r="AJ636" s="425">
        <f>'Key inputs_Refineries'!$C$185*10^3</f>
        <v>104.06880000000001</v>
      </c>
      <c r="AK636" s="425">
        <f>'Key inputs_Refineries'!$C$185*10^3</f>
        <v>104.06880000000001</v>
      </c>
      <c r="AL636" s="425">
        <f>'Key inputs_Refineries'!$C$185*10^3</f>
        <v>104.06880000000001</v>
      </c>
      <c r="AT636" s="4"/>
      <c r="AU636" s="4"/>
    </row>
    <row r="637" spans="1:47">
      <c r="G637" s="4" t="s">
        <v>689</v>
      </c>
      <c r="H637" s="4"/>
      <c r="I637" s="4"/>
      <c r="J637" s="4" t="s">
        <v>2663</v>
      </c>
      <c r="K637" s="425">
        <f>'Key inputs_Refineries'!$D$185*10^3</f>
        <v>0.94608000000000003</v>
      </c>
      <c r="L637" s="425">
        <f>'Key inputs_Refineries'!$D$185*10^3</f>
        <v>0.94608000000000003</v>
      </c>
      <c r="M637" s="425">
        <f>'Key inputs_Refineries'!$D$185*10^3</f>
        <v>0.94608000000000003</v>
      </c>
      <c r="N637" s="425">
        <f>'Key inputs_Refineries'!$D$185*10^3</f>
        <v>0.94608000000000003</v>
      </c>
      <c r="O637" s="425">
        <f>'Key inputs_Refineries'!$D$185*10^3</f>
        <v>0.94608000000000003</v>
      </c>
      <c r="P637" s="425">
        <f>'Key inputs_Refineries'!$D$185*10^3</f>
        <v>0.94608000000000003</v>
      </c>
      <c r="Q637" s="425">
        <f>'Key inputs_Refineries'!$D$185*10^3</f>
        <v>0.94608000000000003</v>
      </c>
      <c r="R637" s="425">
        <f>'Key inputs_Refineries'!$D$185*10^3</f>
        <v>0.94608000000000003</v>
      </c>
      <c r="S637" s="425">
        <f>'Key inputs_Refineries'!$D$185*10^3</f>
        <v>0.94608000000000003</v>
      </c>
      <c r="T637" s="425">
        <f>'Key inputs_Refineries'!$D$185*10^3</f>
        <v>0.94608000000000003</v>
      </c>
      <c r="U637" s="425">
        <f>'Key inputs_Refineries'!$D$185*10^3</f>
        <v>0.94608000000000003</v>
      </c>
      <c r="V637" s="425">
        <f>'Key inputs_Refineries'!$D$185*10^3</f>
        <v>0.94608000000000003</v>
      </c>
      <c r="W637" s="425">
        <f>'Key inputs_Refineries'!$D$185*10^3</f>
        <v>0.94608000000000003</v>
      </c>
      <c r="X637" s="425">
        <f>'Key inputs_Refineries'!$D$185*10^3</f>
        <v>0.94608000000000003</v>
      </c>
      <c r="Y637" s="425">
        <f>'Key inputs_Refineries'!$D$185*10^3</f>
        <v>0.94608000000000003</v>
      </c>
      <c r="Z637" s="425">
        <f>'Key inputs_Refineries'!$D$185*10^3</f>
        <v>0.94608000000000003</v>
      </c>
      <c r="AA637" s="425">
        <f>'Key inputs_Refineries'!$D$185*10^3</f>
        <v>0.94608000000000003</v>
      </c>
      <c r="AB637" s="425">
        <f>'Key inputs_Refineries'!$D$185*10^3</f>
        <v>0.94608000000000003</v>
      </c>
      <c r="AC637" s="425">
        <f>'Key inputs_Refineries'!$D$185*10^3</f>
        <v>0.94608000000000003</v>
      </c>
      <c r="AD637" s="425">
        <f>'Key inputs_Refineries'!$D$185*10^3</f>
        <v>0.94608000000000003</v>
      </c>
      <c r="AE637" s="425">
        <f>'Key inputs_Refineries'!$D$185*10^3</f>
        <v>0.94608000000000003</v>
      </c>
      <c r="AF637" s="425">
        <f>'Key inputs_Refineries'!$D$185*10^3</f>
        <v>0.94608000000000003</v>
      </c>
      <c r="AG637" s="425">
        <f>'Key inputs_Refineries'!$D$185*10^3</f>
        <v>0.94608000000000003</v>
      </c>
      <c r="AH637" s="425">
        <f>'Key inputs_Refineries'!$D$185*10^3</f>
        <v>0.94608000000000003</v>
      </c>
      <c r="AI637" s="425">
        <f>'Key inputs_Refineries'!$D$185*10^3</f>
        <v>0.94608000000000003</v>
      </c>
      <c r="AJ637" s="425">
        <f>'Key inputs_Refineries'!$D$185*10^3</f>
        <v>0.94608000000000003</v>
      </c>
      <c r="AK637" s="425">
        <f>'Key inputs_Refineries'!$D$185*10^3</f>
        <v>0.94608000000000003</v>
      </c>
      <c r="AL637" s="425">
        <f>'Key inputs_Refineries'!$D$185*10^3</f>
        <v>0.94608000000000003</v>
      </c>
      <c r="AT637" s="4"/>
      <c r="AU637" s="4"/>
    </row>
    <row r="638" spans="1:47">
      <c r="G638" s="4" t="s">
        <v>675</v>
      </c>
      <c r="H638" s="4"/>
      <c r="I638" s="4"/>
      <c r="J638" s="4" t="s">
        <v>2662</v>
      </c>
      <c r="K638" s="338"/>
      <c r="L638" s="338"/>
      <c r="M638" s="338"/>
      <c r="N638" s="338"/>
      <c r="O638" s="338"/>
      <c r="P638" s="338"/>
      <c r="Q638" s="338"/>
      <c r="R638" s="338"/>
      <c r="S638" s="338"/>
      <c r="T638" s="338"/>
      <c r="U638" s="338"/>
      <c r="V638" s="338"/>
      <c r="W638" s="338"/>
      <c r="X638" s="338"/>
      <c r="Y638" s="338"/>
      <c r="Z638" s="338"/>
      <c r="AA638" s="338"/>
      <c r="AB638" s="338"/>
      <c r="AC638" s="338"/>
      <c r="AD638" s="338"/>
      <c r="AE638" s="338"/>
      <c r="AF638" s="338"/>
      <c r="AG638" s="338"/>
      <c r="AH638" s="338"/>
      <c r="AI638" s="338"/>
      <c r="AJ638" s="338"/>
      <c r="AK638" s="338"/>
      <c r="AL638" s="338"/>
      <c r="AT638" s="4"/>
      <c r="AU638" s="4"/>
    </row>
    <row r="639" spans="1:47">
      <c r="G639" s="4" t="s">
        <v>630</v>
      </c>
      <c r="H639" s="4"/>
      <c r="I639" s="4"/>
      <c r="J639" s="4" t="s">
        <v>2666</v>
      </c>
      <c r="K639" s="425">
        <f>'Key inputs_Refineries'!$H$185</f>
        <v>0.8</v>
      </c>
      <c r="L639" s="425">
        <f>'Key inputs_Refineries'!$H$185</f>
        <v>0.8</v>
      </c>
      <c r="M639" s="425">
        <f>'Key inputs_Refineries'!$H$185</f>
        <v>0.8</v>
      </c>
      <c r="N639" s="425">
        <f>'Key inputs_Refineries'!$H$185</f>
        <v>0.8</v>
      </c>
      <c r="O639" s="425">
        <f>'Key inputs_Refineries'!$H$185</f>
        <v>0.8</v>
      </c>
      <c r="P639" s="425">
        <f>'Key inputs_Refineries'!$H$185</f>
        <v>0.8</v>
      </c>
      <c r="Q639" s="425">
        <f>'Key inputs_Refineries'!$H$185</f>
        <v>0.8</v>
      </c>
      <c r="R639" s="425">
        <f>'Key inputs_Refineries'!$H$185</f>
        <v>0.8</v>
      </c>
      <c r="S639" s="425">
        <f>'Key inputs_Refineries'!$H$185</f>
        <v>0.8</v>
      </c>
      <c r="T639" s="425">
        <f>'Key inputs_Refineries'!$H$185</f>
        <v>0.8</v>
      </c>
      <c r="U639" s="425">
        <f>'Key inputs_Refineries'!$H$185</f>
        <v>0.8</v>
      </c>
      <c r="V639" s="425">
        <f>'Key inputs_Refineries'!$H$185</f>
        <v>0.8</v>
      </c>
      <c r="W639" s="425">
        <f>'Key inputs_Refineries'!$H$185</f>
        <v>0.8</v>
      </c>
      <c r="X639" s="425">
        <f>'Key inputs_Refineries'!$H$185</f>
        <v>0.8</v>
      </c>
      <c r="Y639" s="425">
        <f>'Key inputs_Refineries'!$H$185</f>
        <v>0.8</v>
      </c>
      <c r="Z639" s="425">
        <f>'Key inputs_Refineries'!$H$185</f>
        <v>0.8</v>
      </c>
      <c r="AA639" s="425">
        <f>'Key inputs_Refineries'!$H$185</f>
        <v>0.8</v>
      </c>
      <c r="AB639" s="425">
        <f>'Key inputs_Refineries'!$H$185</f>
        <v>0.8</v>
      </c>
      <c r="AC639" s="425">
        <f>'Key inputs_Refineries'!$H$185</f>
        <v>0.8</v>
      </c>
      <c r="AD639" s="425">
        <f>'Key inputs_Refineries'!$H$185</f>
        <v>0.8</v>
      </c>
      <c r="AE639" s="425">
        <f>'Key inputs_Refineries'!$H$185</f>
        <v>0.8</v>
      </c>
      <c r="AF639" s="425">
        <f>'Key inputs_Refineries'!$H$185</f>
        <v>0.8</v>
      </c>
      <c r="AG639" s="425">
        <f>'Key inputs_Refineries'!$H$185</f>
        <v>0.8</v>
      </c>
      <c r="AH639" s="425">
        <f>'Key inputs_Refineries'!$H$185</f>
        <v>0.8</v>
      </c>
      <c r="AI639" s="425">
        <f>'Key inputs_Refineries'!$H$185</f>
        <v>0.8</v>
      </c>
      <c r="AJ639" s="425">
        <f>'Key inputs_Refineries'!$H$185</f>
        <v>0.8</v>
      </c>
      <c r="AK639" s="425">
        <f>'Key inputs_Refineries'!$H$185</f>
        <v>0.8</v>
      </c>
      <c r="AL639" s="425">
        <f>'Key inputs_Refineries'!$H$185</f>
        <v>0.8</v>
      </c>
      <c r="AT639" s="4"/>
      <c r="AU639" s="4"/>
    </row>
    <row r="640" spans="1:47">
      <c r="C640" t="str">
        <f>Commodities!$C$80</f>
        <v>UPSBDL</v>
      </c>
      <c r="G640" s="4" t="s">
        <v>702</v>
      </c>
      <c r="H640" t="s">
        <v>661</v>
      </c>
      <c r="I640">
        <v>2019</v>
      </c>
      <c r="J640" t="s">
        <v>650</v>
      </c>
      <c r="K640" s="173" cm="1">
        <f t="array" ref="K640">IFERROR(IF(AND(SUMIFS('Key inputs_Refineries'!E$85:E$164,'Key inputs_Refineries'!$C$85:$C$164,$C640,'Key inputs_Refineries'!$B$85:$B$164,"Boiler")/SUM(SUMIFS('Key inputs_Refineries'!E$85:E$164,'Key inputs_Refineries'!$C$85:$C$164,$C640:$C649,'Key inputs_Refineries'!$B$85:$B$164,"Boiler"))&gt;0,SUMIFS('Key inputs_Refineries'!E$85:E$164,'Key inputs_Refineries'!$C$85:$C$164,$C640,'Key inputs_Refineries'!$B$85:$B$164,"Boiler")/SUM(SUMIFS('Key inputs_Refineries'!E$85:E$164,'Key inputs_Refineries'!$C$85:$C$164,$C640:$C649,'Key inputs_Refineries'!$B$85:$B$164,"Boiler"))&lt;0.001),0.001,SUMIFS('Key inputs_Refineries'!E$85:E$164,'Key inputs_Refineries'!$C$85:$C$164,$C640,'Key inputs_Refineries'!$B$85:$B$164,"Boiler")/SUM(SUMIFS('Key inputs_Refineries'!E$85:E$164,'Key inputs_Refineries'!$C$85:$C$164,$C640:$C649,'Key inputs_Refineries'!$B$85:$B$164,"Boiler"))),0)</f>
        <v>0</v>
      </c>
      <c r="L640" s="173" cm="1">
        <f t="array" ref="L640">IFERROR(IF(AND(SUMIFS('Key inputs_Refineries'!F$85:F$164,'Key inputs_Refineries'!$C$85:$C$164,$C640,'Key inputs_Refineries'!$B$85:$B$164,"Boiler")/SUM(SUMIFS('Key inputs_Refineries'!F$85:F$164,'Key inputs_Refineries'!$C$85:$C$164,$C640:$C649,'Key inputs_Refineries'!$B$85:$B$164,"Boiler"))&gt;0,SUMIFS('Key inputs_Refineries'!F$85:F$164,'Key inputs_Refineries'!$C$85:$C$164,$C640,'Key inputs_Refineries'!$B$85:$B$164,"Boiler")/SUM(SUMIFS('Key inputs_Refineries'!F$85:F$164,'Key inputs_Refineries'!$C$85:$C$164,$C640:$C649,'Key inputs_Refineries'!$B$85:$B$164,"Boiler"))&lt;0.001),0.001,SUMIFS('Key inputs_Refineries'!F$85:F$164,'Key inputs_Refineries'!$C$85:$C$164,$C640,'Key inputs_Refineries'!$B$85:$B$164,"Boiler")/SUM(SUMIFS('Key inputs_Refineries'!F$85:F$164,'Key inputs_Refineries'!$C$85:$C$164,$C640:$C649,'Key inputs_Refineries'!$B$85:$B$164,"Boiler"))),0)</f>
        <v>0</v>
      </c>
      <c r="M640" s="173" cm="1">
        <f t="array" ref="M640">IFERROR(IF(AND(SUMIFS('Key inputs_Refineries'!G$85:G$164,'Key inputs_Refineries'!$C$85:$C$164,$C640,'Key inputs_Refineries'!$B$85:$B$164,"Boiler")/SUM(SUMIFS('Key inputs_Refineries'!G$85:G$164,'Key inputs_Refineries'!$C$85:$C$164,$C640:$C649,'Key inputs_Refineries'!$B$85:$B$164,"Boiler"))&gt;0,SUMIFS('Key inputs_Refineries'!G$85:G$164,'Key inputs_Refineries'!$C$85:$C$164,$C640,'Key inputs_Refineries'!$B$85:$B$164,"Boiler")/SUM(SUMIFS('Key inputs_Refineries'!G$85:G$164,'Key inputs_Refineries'!$C$85:$C$164,$C640:$C649,'Key inputs_Refineries'!$B$85:$B$164,"Boiler"))&lt;0.001),0.001,SUMIFS('Key inputs_Refineries'!G$85:G$164,'Key inputs_Refineries'!$C$85:$C$164,$C640,'Key inputs_Refineries'!$B$85:$B$164,"Boiler")/SUM(SUMIFS('Key inputs_Refineries'!G$85:G$164,'Key inputs_Refineries'!$C$85:$C$164,$C640:$C649,'Key inputs_Refineries'!$B$85:$B$164,"Boiler"))),0)</f>
        <v>0</v>
      </c>
      <c r="N640" s="173" cm="1">
        <f t="array" ref="N640">IFERROR(IF(AND(SUMIFS('Key inputs_Refineries'!H$85:H$164,'Key inputs_Refineries'!$C$85:$C$164,$C640,'Key inputs_Refineries'!$B$85:$B$164,"Boiler")/SUM(SUMIFS('Key inputs_Refineries'!H$85:H$164,'Key inputs_Refineries'!$C$85:$C$164,$C640:$C649,'Key inputs_Refineries'!$B$85:$B$164,"Boiler"))&gt;0,SUMIFS('Key inputs_Refineries'!H$85:H$164,'Key inputs_Refineries'!$C$85:$C$164,$C640,'Key inputs_Refineries'!$B$85:$B$164,"Boiler")/SUM(SUMIFS('Key inputs_Refineries'!H$85:H$164,'Key inputs_Refineries'!$C$85:$C$164,$C640:$C649,'Key inputs_Refineries'!$B$85:$B$164,"Boiler"))&lt;0.001),0.001,SUMIFS('Key inputs_Refineries'!H$85:H$164,'Key inputs_Refineries'!$C$85:$C$164,$C640,'Key inputs_Refineries'!$B$85:$B$164,"Boiler")/SUM(SUMIFS('Key inputs_Refineries'!H$85:H$164,'Key inputs_Refineries'!$C$85:$C$164,$C640:$C649,'Key inputs_Refineries'!$B$85:$B$164,"Boiler"))),0)</f>
        <v>0</v>
      </c>
      <c r="O640" s="173" cm="1">
        <f t="array" ref="O640">IFERROR(IF(AND(SUMIFS('Key inputs_Refineries'!I$85:I$164,'Key inputs_Refineries'!$C$85:$C$164,$C640,'Key inputs_Refineries'!$B$85:$B$164,"Boiler")/SUM(SUMIFS('Key inputs_Refineries'!I$85:I$164,'Key inputs_Refineries'!$C$85:$C$164,$C640:$C649,'Key inputs_Refineries'!$B$85:$B$164,"Boiler"))&gt;0,SUMIFS('Key inputs_Refineries'!I$85:I$164,'Key inputs_Refineries'!$C$85:$C$164,$C640,'Key inputs_Refineries'!$B$85:$B$164,"Boiler")/SUM(SUMIFS('Key inputs_Refineries'!I$85:I$164,'Key inputs_Refineries'!$C$85:$C$164,$C640:$C649,'Key inputs_Refineries'!$B$85:$B$164,"Boiler"))&lt;0.001),0.001,SUMIFS('Key inputs_Refineries'!I$85:I$164,'Key inputs_Refineries'!$C$85:$C$164,$C640,'Key inputs_Refineries'!$B$85:$B$164,"Boiler")/SUM(SUMIFS('Key inputs_Refineries'!I$85:I$164,'Key inputs_Refineries'!$C$85:$C$164,$C640:$C649,'Key inputs_Refineries'!$B$85:$B$164,"Boiler"))),0)</f>
        <v>0</v>
      </c>
      <c r="P640" s="173" cm="1">
        <f t="array" ref="P640">IFERROR(IF(AND(SUMIFS('Key inputs_Refineries'!J$85:J$164,'Key inputs_Refineries'!$C$85:$C$164,$C640,'Key inputs_Refineries'!$B$85:$B$164,"Boiler")/SUM(SUMIFS('Key inputs_Refineries'!J$85:J$164,'Key inputs_Refineries'!$C$85:$C$164,$C640:$C649,'Key inputs_Refineries'!$B$85:$B$164,"Boiler"))&gt;0,SUMIFS('Key inputs_Refineries'!J$85:J$164,'Key inputs_Refineries'!$C$85:$C$164,$C640,'Key inputs_Refineries'!$B$85:$B$164,"Boiler")/SUM(SUMIFS('Key inputs_Refineries'!J$85:J$164,'Key inputs_Refineries'!$C$85:$C$164,$C640:$C649,'Key inputs_Refineries'!$B$85:$B$164,"Boiler"))&lt;0.001),0.001,SUMIFS('Key inputs_Refineries'!J$85:J$164,'Key inputs_Refineries'!$C$85:$C$164,$C640,'Key inputs_Refineries'!$B$85:$B$164,"Boiler")/SUM(SUMIFS('Key inputs_Refineries'!J$85:J$164,'Key inputs_Refineries'!$C$85:$C$164,$C640:$C649,'Key inputs_Refineries'!$B$85:$B$164,"Boiler"))),0)</f>
        <v>0</v>
      </c>
      <c r="Q640" s="173" cm="1">
        <f t="array" ref="Q640">IFERROR(IF(AND(SUMIFS('Key inputs_Refineries'!K$85:K$164,'Key inputs_Refineries'!$C$85:$C$164,$C640,'Key inputs_Refineries'!$B$85:$B$164,"Boiler")/SUM(SUMIFS('Key inputs_Refineries'!K$85:K$164,'Key inputs_Refineries'!$C$85:$C$164,$C640:$C649,'Key inputs_Refineries'!$B$85:$B$164,"Boiler"))&gt;0,SUMIFS('Key inputs_Refineries'!K$85:K$164,'Key inputs_Refineries'!$C$85:$C$164,$C640,'Key inputs_Refineries'!$B$85:$B$164,"Boiler")/SUM(SUMIFS('Key inputs_Refineries'!K$85:K$164,'Key inputs_Refineries'!$C$85:$C$164,$C640:$C649,'Key inputs_Refineries'!$B$85:$B$164,"Boiler"))&lt;0.001),0.001,SUMIFS('Key inputs_Refineries'!K$85:K$164,'Key inputs_Refineries'!$C$85:$C$164,$C640,'Key inputs_Refineries'!$B$85:$B$164,"Boiler")/SUM(SUMIFS('Key inputs_Refineries'!K$85:K$164,'Key inputs_Refineries'!$C$85:$C$164,$C640:$C649,'Key inputs_Refineries'!$B$85:$B$164,"Boiler"))),0)</f>
        <v>0</v>
      </c>
      <c r="R640" s="173" cm="1">
        <f t="array" ref="R640">IFERROR(IF(AND(SUMIFS('Key inputs_Refineries'!L$85:L$164,'Key inputs_Refineries'!$C$85:$C$164,$C640,'Key inputs_Refineries'!$B$85:$B$164,"Boiler")/SUM(SUMIFS('Key inputs_Refineries'!L$85:L$164,'Key inputs_Refineries'!$C$85:$C$164,$C640:$C649,'Key inputs_Refineries'!$B$85:$B$164,"Boiler"))&gt;0,SUMIFS('Key inputs_Refineries'!L$85:L$164,'Key inputs_Refineries'!$C$85:$C$164,$C640,'Key inputs_Refineries'!$B$85:$B$164,"Boiler")/SUM(SUMIFS('Key inputs_Refineries'!L$85:L$164,'Key inputs_Refineries'!$C$85:$C$164,$C640:$C649,'Key inputs_Refineries'!$B$85:$B$164,"Boiler"))&lt;0.001),0.001,SUMIFS('Key inputs_Refineries'!L$85:L$164,'Key inputs_Refineries'!$C$85:$C$164,$C640,'Key inputs_Refineries'!$B$85:$B$164,"Boiler")/SUM(SUMIFS('Key inputs_Refineries'!L$85:L$164,'Key inputs_Refineries'!$C$85:$C$164,$C640:$C649,'Key inputs_Refineries'!$B$85:$B$164,"Boiler"))),0)</f>
        <v>0</v>
      </c>
      <c r="S640" s="173" cm="1">
        <f t="array" ref="S640">IFERROR(IF(AND(SUMIFS('Key inputs_Refineries'!M$85:M$164,'Key inputs_Refineries'!$C$85:$C$164,$C640,'Key inputs_Refineries'!$B$85:$B$164,"Boiler")/SUM(SUMIFS('Key inputs_Refineries'!M$85:M$164,'Key inputs_Refineries'!$C$85:$C$164,$C640:$C649,'Key inputs_Refineries'!$B$85:$B$164,"Boiler"))&gt;0,SUMIFS('Key inputs_Refineries'!M$85:M$164,'Key inputs_Refineries'!$C$85:$C$164,$C640,'Key inputs_Refineries'!$B$85:$B$164,"Boiler")/SUM(SUMIFS('Key inputs_Refineries'!M$85:M$164,'Key inputs_Refineries'!$C$85:$C$164,$C640:$C649,'Key inputs_Refineries'!$B$85:$B$164,"Boiler"))&lt;0.001),0.001,SUMIFS('Key inputs_Refineries'!M$85:M$164,'Key inputs_Refineries'!$C$85:$C$164,$C640,'Key inputs_Refineries'!$B$85:$B$164,"Boiler")/SUM(SUMIFS('Key inputs_Refineries'!M$85:M$164,'Key inputs_Refineries'!$C$85:$C$164,$C640:$C649,'Key inputs_Refineries'!$B$85:$B$164,"Boiler"))),0)</f>
        <v>0</v>
      </c>
      <c r="T640" s="173" cm="1">
        <f t="array" ref="T640">IFERROR(IF(AND(SUMIFS('Key inputs_Refineries'!N$85:N$164,'Key inputs_Refineries'!$C$85:$C$164,$C640,'Key inputs_Refineries'!$B$85:$B$164,"Boiler")/SUM(SUMIFS('Key inputs_Refineries'!N$85:N$164,'Key inputs_Refineries'!$C$85:$C$164,$C640:$C649,'Key inputs_Refineries'!$B$85:$B$164,"Boiler"))&gt;0,SUMIFS('Key inputs_Refineries'!N$85:N$164,'Key inputs_Refineries'!$C$85:$C$164,$C640,'Key inputs_Refineries'!$B$85:$B$164,"Boiler")/SUM(SUMIFS('Key inputs_Refineries'!N$85:N$164,'Key inputs_Refineries'!$C$85:$C$164,$C640:$C649,'Key inputs_Refineries'!$B$85:$B$164,"Boiler"))&lt;0.001),0.001,SUMIFS('Key inputs_Refineries'!N$85:N$164,'Key inputs_Refineries'!$C$85:$C$164,$C640,'Key inputs_Refineries'!$B$85:$B$164,"Boiler")/SUM(SUMIFS('Key inputs_Refineries'!N$85:N$164,'Key inputs_Refineries'!$C$85:$C$164,$C640:$C649,'Key inputs_Refineries'!$B$85:$B$164,"Boiler"))),0)</f>
        <v>0</v>
      </c>
      <c r="U640" s="173" cm="1">
        <f t="array" ref="U640">IFERROR(IF(AND(SUMIFS('Key inputs_Refineries'!O$85:O$164,'Key inputs_Refineries'!$C$85:$C$164,$C640,'Key inputs_Refineries'!$B$85:$B$164,"Boiler")/SUM(SUMIFS('Key inputs_Refineries'!O$85:O$164,'Key inputs_Refineries'!$C$85:$C$164,$C640:$C649,'Key inputs_Refineries'!$B$85:$B$164,"Boiler"))&gt;0,SUMIFS('Key inputs_Refineries'!O$85:O$164,'Key inputs_Refineries'!$C$85:$C$164,$C640,'Key inputs_Refineries'!$B$85:$B$164,"Boiler")/SUM(SUMIFS('Key inputs_Refineries'!O$85:O$164,'Key inputs_Refineries'!$C$85:$C$164,$C640:$C649,'Key inputs_Refineries'!$B$85:$B$164,"Boiler"))&lt;0.001),0.001,SUMIFS('Key inputs_Refineries'!O$85:O$164,'Key inputs_Refineries'!$C$85:$C$164,$C640,'Key inputs_Refineries'!$B$85:$B$164,"Boiler")/SUM(SUMIFS('Key inputs_Refineries'!O$85:O$164,'Key inputs_Refineries'!$C$85:$C$164,$C640:$C649,'Key inputs_Refineries'!$B$85:$B$164,"Boiler"))),0)</f>
        <v>0</v>
      </c>
      <c r="V640" s="173" cm="1">
        <f t="array" ref="V640">IFERROR(IF(AND(SUMIFS('Key inputs_Refineries'!P$85:P$164,'Key inputs_Refineries'!$C$85:$C$164,$C640,'Key inputs_Refineries'!$B$85:$B$164,"Boiler")/SUM(SUMIFS('Key inputs_Refineries'!P$85:P$164,'Key inputs_Refineries'!$C$85:$C$164,$C640:$C649,'Key inputs_Refineries'!$B$85:$B$164,"Boiler"))&gt;0,SUMIFS('Key inputs_Refineries'!P$85:P$164,'Key inputs_Refineries'!$C$85:$C$164,$C640,'Key inputs_Refineries'!$B$85:$B$164,"Boiler")/SUM(SUMIFS('Key inputs_Refineries'!P$85:P$164,'Key inputs_Refineries'!$C$85:$C$164,$C640:$C649,'Key inputs_Refineries'!$B$85:$B$164,"Boiler"))&lt;0.001),0.001,SUMIFS('Key inputs_Refineries'!P$85:P$164,'Key inputs_Refineries'!$C$85:$C$164,$C640,'Key inputs_Refineries'!$B$85:$B$164,"Boiler")/SUM(SUMIFS('Key inputs_Refineries'!P$85:P$164,'Key inputs_Refineries'!$C$85:$C$164,$C640:$C649,'Key inputs_Refineries'!$B$85:$B$164,"Boiler"))),0)</f>
        <v>0</v>
      </c>
      <c r="W640" s="173" cm="1">
        <f t="array" ref="W640">IFERROR(IF(AND(SUMIFS('Key inputs_Refineries'!Q$85:Q$164,'Key inputs_Refineries'!$C$85:$C$164,$C640,'Key inputs_Refineries'!$B$85:$B$164,"Boiler")/SUM(SUMIFS('Key inputs_Refineries'!Q$85:Q$164,'Key inputs_Refineries'!$C$85:$C$164,$C640:$C649,'Key inputs_Refineries'!$B$85:$B$164,"Boiler"))&gt;0,SUMIFS('Key inputs_Refineries'!Q$85:Q$164,'Key inputs_Refineries'!$C$85:$C$164,$C640,'Key inputs_Refineries'!$B$85:$B$164,"Boiler")/SUM(SUMIFS('Key inputs_Refineries'!Q$85:Q$164,'Key inputs_Refineries'!$C$85:$C$164,$C640:$C649,'Key inputs_Refineries'!$B$85:$B$164,"Boiler"))&lt;0.001),0.001,SUMIFS('Key inputs_Refineries'!Q$85:Q$164,'Key inputs_Refineries'!$C$85:$C$164,$C640,'Key inputs_Refineries'!$B$85:$B$164,"Boiler")/SUM(SUMIFS('Key inputs_Refineries'!Q$85:Q$164,'Key inputs_Refineries'!$C$85:$C$164,$C640:$C649,'Key inputs_Refineries'!$B$85:$B$164,"Boiler"))),0)</f>
        <v>0</v>
      </c>
      <c r="X640" s="173" cm="1">
        <f t="array" ref="X640">IFERROR(IF(AND(SUMIFS('Key inputs_Refineries'!R$85:R$164,'Key inputs_Refineries'!$C$85:$C$164,$C640,'Key inputs_Refineries'!$B$85:$B$164,"Boiler")/SUM(SUMIFS('Key inputs_Refineries'!R$85:R$164,'Key inputs_Refineries'!$C$85:$C$164,$C640:$C649,'Key inputs_Refineries'!$B$85:$B$164,"Boiler"))&gt;0,SUMIFS('Key inputs_Refineries'!R$85:R$164,'Key inputs_Refineries'!$C$85:$C$164,$C640,'Key inputs_Refineries'!$B$85:$B$164,"Boiler")/SUM(SUMIFS('Key inputs_Refineries'!R$85:R$164,'Key inputs_Refineries'!$C$85:$C$164,$C640:$C649,'Key inputs_Refineries'!$B$85:$B$164,"Boiler"))&lt;0.001),0.001,SUMIFS('Key inputs_Refineries'!R$85:R$164,'Key inputs_Refineries'!$C$85:$C$164,$C640,'Key inputs_Refineries'!$B$85:$B$164,"Boiler")/SUM(SUMIFS('Key inputs_Refineries'!R$85:R$164,'Key inputs_Refineries'!$C$85:$C$164,$C640:$C649,'Key inputs_Refineries'!$B$85:$B$164,"Boiler"))),0)</f>
        <v>0</v>
      </c>
      <c r="Y640" s="173" cm="1">
        <f t="array" ref="Y640">IFERROR(IF(AND(SUMIFS('Key inputs_Refineries'!S$85:S$164,'Key inputs_Refineries'!$C$85:$C$164,$C640,'Key inputs_Refineries'!$B$85:$B$164,"Boiler")/SUM(SUMIFS('Key inputs_Refineries'!S$85:S$164,'Key inputs_Refineries'!$C$85:$C$164,$C640:$C649,'Key inputs_Refineries'!$B$85:$B$164,"Boiler"))&gt;0,SUMIFS('Key inputs_Refineries'!S$85:S$164,'Key inputs_Refineries'!$C$85:$C$164,$C640,'Key inputs_Refineries'!$B$85:$B$164,"Boiler")/SUM(SUMIFS('Key inputs_Refineries'!S$85:S$164,'Key inputs_Refineries'!$C$85:$C$164,$C640:$C649,'Key inputs_Refineries'!$B$85:$B$164,"Boiler"))&lt;0.001),0.001,SUMIFS('Key inputs_Refineries'!S$85:S$164,'Key inputs_Refineries'!$C$85:$C$164,$C640,'Key inputs_Refineries'!$B$85:$B$164,"Boiler")/SUM(SUMIFS('Key inputs_Refineries'!S$85:S$164,'Key inputs_Refineries'!$C$85:$C$164,$C640:$C649,'Key inputs_Refineries'!$B$85:$B$164,"Boiler"))),0)</f>
        <v>0</v>
      </c>
      <c r="Z640" s="173" cm="1">
        <f t="array" ref="Z640">IFERROR(IF(AND(SUMIFS('Key inputs_Refineries'!T$85:T$164,'Key inputs_Refineries'!$C$85:$C$164,$C640,'Key inputs_Refineries'!$B$85:$B$164,"Boiler")/SUM(SUMIFS('Key inputs_Refineries'!T$85:T$164,'Key inputs_Refineries'!$C$85:$C$164,$C640:$C649,'Key inputs_Refineries'!$B$85:$B$164,"Boiler"))&gt;0,SUMIFS('Key inputs_Refineries'!T$85:T$164,'Key inputs_Refineries'!$C$85:$C$164,$C640,'Key inputs_Refineries'!$B$85:$B$164,"Boiler")/SUM(SUMIFS('Key inputs_Refineries'!T$85:T$164,'Key inputs_Refineries'!$C$85:$C$164,$C640:$C649,'Key inputs_Refineries'!$B$85:$B$164,"Boiler"))&lt;0.001),0.001,SUMIFS('Key inputs_Refineries'!T$85:T$164,'Key inputs_Refineries'!$C$85:$C$164,$C640,'Key inputs_Refineries'!$B$85:$B$164,"Boiler")/SUM(SUMIFS('Key inputs_Refineries'!T$85:T$164,'Key inputs_Refineries'!$C$85:$C$164,$C640:$C649,'Key inputs_Refineries'!$B$85:$B$164,"Boiler"))),0)</f>
        <v>0</v>
      </c>
      <c r="AA640" s="173" cm="1">
        <f t="array" ref="AA640">IFERROR(IF(AND(SUMIFS('Key inputs_Refineries'!U$85:U$164,'Key inputs_Refineries'!$C$85:$C$164,$C640,'Key inputs_Refineries'!$B$85:$B$164,"Boiler")/SUM(SUMIFS('Key inputs_Refineries'!U$85:U$164,'Key inputs_Refineries'!$C$85:$C$164,$C640:$C649,'Key inputs_Refineries'!$B$85:$B$164,"Boiler"))&gt;0,SUMIFS('Key inputs_Refineries'!U$85:U$164,'Key inputs_Refineries'!$C$85:$C$164,$C640,'Key inputs_Refineries'!$B$85:$B$164,"Boiler")/SUM(SUMIFS('Key inputs_Refineries'!U$85:U$164,'Key inputs_Refineries'!$C$85:$C$164,$C640:$C649,'Key inputs_Refineries'!$B$85:$B$164,"Boiler"))&lt;0.001),0.001,SUMIFS('Key inputs_Refineries'!U$85:U$164,'Key inputs_Refineries'!$C$85:$C$164,$C640,'Key inputs_Refineries'!$B$85:$B$164,"Boiler")/SUM(SUMIFS('Key inputs_Refineries'!U$85:U$164,'Key inputs_Refineries'!$C$85:$C$164,$C640:$C649,'Key inputs_Refineries'!$B$85:$B$164,"Boiler"))),0)</f>
        <v>1.2510132868886106E-3</v>
      </c>
      <c r="AB640" s="173" cm="1">
        <f t="array" ref="AB640">IFERROR(IF(AND(SUMIFS('Key inputs_Refineries'!V$85:V$164,'Key inputs_Refineries'!$C$85:$C$164,$C640,'Key inputs_Refineries'!$B$85:$B$164,"Boiler")/SUM(SUMIFS('Key inputs_Refineries'!V$85:V$164,'Key inputs_Refineries'!$C$85:$C$164,$C640:$C649,'Key inputs_Refineries'!$B$85:$B$164,"Boiler"))&gt;0,SUMIFS('Key inputs_Refineries'!V$85:V$164,'Key inputs_Refineries'!$C$85:$C$164,$C640,'Key inputs_Refineries'!$B$85:$B$164,"Boiler")/SUM(SUMIFS('Key inputs_Refineries'!V$85:V$164,'Key inputs_Refineries'!$C$85:$C$164,$C640:$C649,'Key inputs_Refineries'!$B$85:$B$164,"Boiler"))&lt;0.001),0.001,SUMIFS('Key inputs_Refineries'!V$85:V$164,'Key inputs_Refineries'!$C$85:$C$164,$C640,'Key inputs_Refineries'!$B$85:$B$164,"Boiler")/SUM(SUMIFS('Key inputs_Refineries'!V$85:V$164,'Key inputs_Refineries'!$C$85:$C$164,$C640:$C649,'Key inputs_Refineries'!$B$85:$B$164,"Boiler"))),0)</f>
        <v>0</v>
      </c>
      <c r="AC640" s="173" cm="1">
        <f t="array" ref="AC640">IFERROR(IF(AND(SUMIFS('Key inputs_Refineries'!W$85:W$164,'Key inputs_Refineries'!$C$85:$C$164,$C640,'Key inputs_Refineries'!$B$85:$B$164,"Boiler")/SUM(SUMIFS('Key inputs_Refineries'!W$85:W$164,'Key inputs_Refineries'!$C$85:$C$164,$C640:$C649,'Key inputs_Refineries'!$B$85:$B$164,"Boiler"))&gt;0,SUMIFS('Key inputs_Refineries'!W$85:W$164,'Key inputs_Refineries'!$C$85:$C$164,$C640,'Key inputs_Refineries'!$B$85:$B$164,"Boiler")/SUM(SUMIFS('Key inputs_Refineries'!W$85:W$164,'Key inputs_Refineries'!$C$85:$C$164,$C640:$C649,'Key inputs_Refineries'!$B$85:$B$164,"Boiler"))&lt;0.001),0.001,SUMIFS('Key inputs_Refineries'!W$85:W$164,'Key inputs_Refineries'!$C$85:$C$164,$C640,'Key inputs_Refineries'!$B$85:$B$164,"Boiler")/SUM(SUMIFS('Key inputs_Refineries'!W$85:W$164,'Key inputs_Refineries'!$C$85:$C$164,$C640:$C649,'Key inputs_Refineries'!$B$85:$B$164,"Boiler"))),0)</f>
        <v>0</v>
      </c>
      <c r="AD640" s="173" cm="1">
        <f t="array" ref="AD640">IFERROR(IF(AND(SUMIFS('Key inputs_Refineries'!X$85:X$164,'Key inputs_Refineries'!$C$85:$C$164,$C640,'Key inputs_Refineries'!$B$85:$B$164,"Boiler")/SUM(SUMIFS('Key inputs_Refineries'!X$85:X$164,'Key inputs_Refineries'!$C$85:$C$164,$C640:$C649,'Key inputs_Refineries'!$B$85:$B$164,"Boiler"))&gt;0,SUMIFS('Key inputs_Refineries'!X$85:X$164,'Key inputs_Refineries'!$C$85:$C$164,$C640,'Key inputs_Refineries'!$B$85:$B$164,"Boiler")/SUM(SUMIFS('Key inputs_Refineries'!X$85:X$164,'Key inputs_Refineries'!$C$85:$C$164,$C640:$C649,'Key inputs_Refineries'!$B$85:$B$164,"Boiler"))&lt;0.001),0.001,SUMIFS('Key inputs_Refineries'!X$85:X$164,'Key inputs_Refineries'!$C$85:$C$164,$C640,'Key inputs_Refineries'!$B$85:$B$164,"Boiler")/SUM(SUMIFS('Key inputs_Refineries'!X$85:X$164,'Key inputs_Refineries'!$C$85:$C$164,$C640:$C649,'Key inputs_Refineries'!$B$85:$B$164,"Boiler"))),0)</f>
        <v>0</v>
      </c>
      <c r="AE640" s="173" cm="1">
        <f t="array" ref="AE640">IFERROR(IF(AND(SUMIFS('Key inputs_Refineries'!Y$85:Y$164,'Key inputs_Refineries'!$C$85:$C$164,$C640,'Key inputs_Refineries'!$B$85:$B$164,"Boiler")/SUM(SUMIFS('Key inputs_Refineries'!Y$85:Y$164,'Key inputs_Refineries'!$C$85:$C$164,$C640:$C649,'Key inputs_Refineries'!$B$85:$B$164,"Boiler"))&gt;0,SUMIFS('Key inputs_Refineries'!Y$85:Y$164,'Key inputs_Refineries'!$C$85:$C$164,$C640,'Key inputs_Refineries'!$B$85:$B$164,"Boiler")/SUM(SUMIFS('Key inputs_Refineries'!Y$85:Y$164,'Key inputs_Refineries'!$C$85:$C$164,$C640:$C649,'Key inputs_Refineries'!$B$85:$B$164,"Boiler"))&lt;0.001),0.001,SUMIFS('Key inputs_Refineries'!Y$85:Y$164,'Key inputs_Refineries'!$C$85:$C$164,$C640,'Key inputs_Refineries'!$B$85:$B$164,"Boiler")/SUM(SUMIFS('Key inputs_Refineries'!Y$85:Y$164,'Key inputs_Refineries'!$C$85:$C$164,$C640:$C649,'Key inputs_Refineries'!$B$85:$B$164,"Boiler"))),0)</f>
        <v>1E-3</v>
      </c>
      <c r="AF640" s="173" cm="1">
        <f t="array" ref="AF640">IFERROR(IF(AND(SUMIFS('Key inputs_Refineries'!Z$85:Z$164,'Key inputs_Refineries'!$C$85:$C$164,$C640,'Key inputs_Refineries'!$B$85:$B$164,"Boiler")/SUM(SUMIFS('Key inputs_Refineries'!Z$85:Z$164,'Key inputs_Refineries'!$C$85:$C$164,$C640:$C649,'Key inputs_Refineries'!$B$85:$B$164,"Boiler"))&gt;0,SUMIFS('Key inputs_Refineries'!Z$85:Z$164,'Key inputs_Refineries'!$C$85:$C$164,$C640,'Key inputs_Refineries'!$B$85:$B$164,"Boiler")/SUM(SUMIFS('Key inputs_Refineries'!Z$85:Z$164,'Key inputs_Refineries'!$C$85:$C$164,$C640:$C649,'Key inputs_Refineries'!$B$85:$B$164,"Boiler"))&lt;0.001),0.001,SUMIFS('Key inputs_Refineries'!Z$85:Z$164,'Key inputs_Refineries'!$C$85:$C$164,$C640,'Key inputs_Refineries'!$B$85:$B$164,"Boiler")/SUM(SUMIFS('Key inputs_Refineries'!Z$85:Z$164,'Key inputs_Refineries'!$C$85:$C$164,$C640:$C649,'Key inputs_Refineries'!$B$85:$B$164,"Boiler"))),0)</f>
        <v>0</v>
      </c>
      <c r="AG640" s="173" cm="1">
        <f t="array" ref="AG640">IFERROR(IF(AND(SUMIFS('Key inputs_Refineries'!AA$85:AA$164,'Key inputs_Refineries'!$C$85:$C$164,$C640,'Key inputs_Refineries'!$B$85:$B$164,"Boiler")/SUM(SUMIFS('Key inputs_Refineries'!AA$85:AA$164,'Key inputs_Refineries'!$C$85:$C$164,$C640:$C649,'Key inputs_Refineries'!$B$85:$B$164,"Boiler"))&gt;0,SUMIFS('Key inputs_Refineries'!AA$85:AA$164,'Key inputs_Refineries'!$C$85:$C$164,$C640,'Key inputs_Refineries'!$B$85:$B$164,"Boiler")/SUM(SUMIFS('Key inputs_Refineries'!AA$85:AA$164,'Key inputs_Refineries'!$C$85:$C$164,$C640:$C649,'Key inputs_Refineries'!$B$85:$B$164,"Boiler"))&lt;0.001),0.001,SUMIFS('Key inputs_Refineries'!AA$85:AA$164,'Key inputs_Refineries'!$C$85:$C$164,$C640,'Key inputs_Refineries'!$B$85:$B$164,"Boiler")/SUM(SUMIFS('Key inputs_Refineries'!AA$85:AA$164,'Key inputs_Refineries'!$C$85:$C$164,$C640:$C649,'Key inputs_Refineries'!$B$85:$B$164,"Boiler"))),0)</f>
        <v>0</v>
      </c>
      <c r="AH640" s="173" cm="1">
        <f t="array" ref="AH640">IFERROR(IF(AND(SUMIFS('Key inputs_Refineries'!AB$85:AB$164,'Key inputs_Refineries'!$C$85:$C$164,$C640,'Key inputs_Refineries'!$B$85:$B$164,"Boiler")/SUM(SUMIFS('Key inputs_Refineries'!AB$85:AB$164,'Key inputs_Refineries'!$C$85:$C$164,$C640:$C649,'Key inputs_Refineries'!$B$85:$B$164,"Boiler"))&gt;0,SUMIFS('Key inputs_Refineries'!AB$85:AB$164,'Key inputs_Refineries'!$C$85:$C$164,$C640,'Key inputs_Refineries'!$B$85:$B$164,"Boiler")/SUM(SUMIFS('Key inputs_Refineries'!AB$85:AB$164,'Key inputs_Refineries'!$C$85:$C$164,$C640:$C649,'Key inputs_Refineries'!$B$85:$B$164,"Boiler"))&lt;0.001),0.001,SUMIFS('Key inputs_Refineries'!AB$85:AB$164,'Key inputs_Refineries'!$C$85:$C$164,$C640,'Key inputs_Refineries'!$B$85:$B$164,"Boiler")/SUM(SUMIFS('Key inputs_Refineries'!AB$85:AB$164,'Key inputs_Refineries'!$C$85:$C$164,$C640:$C649,'Key inputs_Refineries'!$B$85:$B$164,"Boiler"))),0)</f>
        <v>0</v>
      </c>
      <c r="AI640" s="173" cm="1">
        <f t="array" ref="AI640">IFERROR(IF(AND(SUMIFS('Key inputs_Refineries'!AC$85:AC$164,'Key inputs_Refineries'!$C$85:$C$164,$C640,'Key inputs_Refineries'!$B$85:$B$164,"Boiler")/SUM(SUMIFS('Key inputs_Refineries'!AC$85:AC$164,'Key inputs_Refineries'!$C$85:$C$164,$C640:$C649,'Key inputs_Refineries'!$B$85:$B$164,"Boiler"))&gt;0,SUMIFS('Key inputs_Refineries'!AC$85:AC$164,'Key inputs_Refineries'!$C$85:$C$164,$C640,'Key inputs_Refineries'!$B$85:$B$164,"Boiler")/SUM(SUMIFS('Key inputs_Refineries'!AC$85:AC$164,'Key inputs_Refineries'!$C$85:$C$164,$C640:$C649,'Key inputs_Refineries'!$B$85:$B$164,"Boiler"))&lt;0.001),0.001,SUMIFS('Key inputs_Refineries'!AC$85:AC$164,'Key inputs_Refineries'!$C$85:$C$164,$C640,'Key inputs_Refineries'!$B$85:$B$164,"Boiler")/SUM(SUMIFS('Key inputs_Refineries'!AC$85:AC$164,'Key inputs_Refineries'!$C$85:$C$164,$C640:$C649,'Key inputs_Refineries'!$B$85:$B$164,"Boiler"))),0)</f>
        <v>0</v>
      </c>
      <c r="AJ640" s="173" cm="1">
        <f t="array" ref="AJ640">IFERROR(IF(AND(SUMIFS('Key inputs_Refineries'!AD$85:AD$164,'Key inputs_Refineries'!$C$85:$C$164,$C640,'Key inputs_Refineries'!$B$85:$B$164,"Boiler")/SUM(SUMIFS('Key inputs_Refineries'!AD$85:AD$164,'Key inputs_Refineries'!$C$85:$C$164,$C640:$C649,'Key inputs_Refineries'!$B$85:$B$164,"Boiler"))&gt;0,SUMIFS('Key inputs_Refineries'!AD$85:AD$164,'Key inputs_Refineries'!$C$85:$C$164,$C640,'Key inputs_Refineries'!$B$85:$B$164,"Boiler")/SUM(SUMIFS('Key inputs_Refineries'!AD$85:AD$164,'Key inputs_Refineries'!$C$85:$C$164,$C640:$C649,'Key inputs_Refineries'!$B$85:$B$164,"Boiler"))&lt;0.001),0.001,SUMIFS('Key inputs_Refineries'!AD$85:AD$164,'Key inputs_Refineries'!$C$85:$C$164,$C640,'Key inputs_Refineries'!$B$85:$B$164,"Boiler")/SUM(SUMIFS('Key inputs_Refineries'!AD$85:AD$164,'Key inputs_Refineries'!$C$85:$C$164,$C640:$C649,'Key inputs_Refineries'!$B$85:$B$164,"Boiler"))),0)</f>
        <v>0</v>
      </c>
      <c r="AK640" s="173" cm="1">
        <f t="array" ref="AK640">IFERROR(IF(AND(SUMIFS('Key inputs_Refineries'!AE$85:AE$164,'Key inputs_Refineries'!$C$85:$C$164,$C640,'Key inputs_Refineries'!$B$85:$B$164,"Boiler")/SUM(SUMIFS('Key inputs_Refineries'!AE$85:AE$164,'Key inputs_Refineries'!$C$85:$C$164,$C640:$C649,'Key inputs_Refineries'!$B$85:$B$164,"Boiler"))&gt;0,SUMIFS('Key inputs_Refineries'!AE$85:AE$164,'Key inputs_Refineries'!$C$85:$C$164,$C640,'Key inputs_Refineries'!$B$85:$B$164,"Boiler")/SUM(SUMIFS('Key inputs_Refineries'!AE$85:AE$164,'Key inputs_Refineries'!$C$85:$C$164,$C640:$C649,'Key inputs_Refineries'!$B$85:$B$164,"Boiler"))&lt;0.001),0.001,SUMIFS('Key inputs_Refineries'!AE$85:AE$164,'Key inputs_Refineries'!$C$85:$C$164,$C640,'Key inputs_Refineries'!$B$85:$B$164,"Boiler")/SUM(SUMIFS('Key inputs_Refineries'!AE$85:AE$164,'Key inputs_Refineries'!$C$85:$C$164,$C640:$C649,'Key inputs_Refineries'!$B$85:$B$164,"Boiler"))),0)</f>
        <v>0</v>
      </c>
      <c r="AL640" s="173" cm="1">
        <f t="array" ref="AL640">IFERROR(IF(AND(SUMIFS('Key inputs_Refineries'!AF$85:AF$164,'Key inputs_Refineries'!$C$85:$C$164,$C640,'Key inputs_Refineries'!$B$85:$B$164,"Boiler")/SUM(SUMIFS('Key inputs_Refineries'!AF$85:AF$164,'Key inputs_Refineries'!$C$85:$C$164,$C640:$C649,'Key inputs_Refineries'!$B$85:$B$164,"Boiler"))&gt;0,SUMIFS('Key inputs_Refineries'!AF$85:AF$164,'Key inputs_Refineries'!$C$85:$C$164,$C640,'Key inputs_Refineries'!$B$85:$B$164,"Boiler")/SUM(SUMIFS('Key inputs_Refineries'!AF$85:AF$164,'Key inputs_Refineries'!$C$85:$C$164,$C640:$C649,'Key inputs_Refineries'!$B$85:$B$164,"Boiler"))&lt;0.001),0.001,SUMIFS('Key inputs_Refineries'!AF$85:AF$164,'Key inputs_Refineries'!$C$85:$C$164,$C640,'Key inputs_Refineries'!$B$85:$B$164,"Boiler")/SUM(SUMIFS('Key inputs_Refineries'!AF$85:AF$164,'Key inputs_Refineries'!$C$85:$C$164,$C640:$C649,'Key inputs_Refineries'!$B$85:$B$164,"Boiler"))),0)</f>
        <v>0</v>
      </c>
    </row>
    <row r="641" spans="1:38">
      <c r="C641" t="str">
        <f>Commodities!$C$90</f>
        <v>UPSDSL</v>
      </c>
      <c r="G641" s="4" t="s">
        <v>702</v>
      </c>
      <c r="H641" t="s">
        <v>661</v>
      </c>
      <c r="I641">
        <v>2019</v>
      </c>
      <c r="J641" t="s">
        <v>650</v>
      </c>
      <c r="K641" s="173" cm="1">
        <f t="array" ref="K641">IFERROR(IF(AND(SUMIFS('Key inputs_Refineries'!E$85:E$164,'Key inputs_Refineries'!$C$85:$C$164,$C641,'Key inputs_Refineries'!$B$85:$B$164,"Boiler")/SUM(SUMIFS('Key inputs_Refineries'!E$85:E$164,'Key inputs_Refineries'!$C$85:$C$164,$C640:$C649,'Key inputs_Refineries'!$B$85:$B$164,"Boiler"))&gt;0,SUMIFS('Key inputs_Refineries'!E$85:E$164,'Key inputs_Refineries'!$C$85:$C$164,$C641,'Key inputs_Refineries'!$B$85:$B$164,"Boiler")/SUM(SUMIFS('Key inputs_Refineries'!E$85:E$164,'Key inputs_Refineries'!$C$85:$C$164,$C640:$C649,'Key inputs_Refineries'!$B$85:$B$164,"Boiler"))&lt;0.001),0.001,SUMIFS('Key inputs_Refineries'!E$85:E$164,'Key inputs_Refineries'!$C$85:$C$164,$C641,'Key inputs_Refineries'!$B$85:$B$164,"Boiler")/SUM(SUMIFS('Key inputs_Refineries'!E$85:E$164,'Key inputs_Refineries'!$C$85:$C$164,$C640:$C649,'Key inputs_Refineries'!$B$85:$B$164,"Boiler"))),0)</f>
        <v>0</v>
      </c>
      <c r="L641" s="173" cm="1">
        <f t="array" ref="L641">IFERROR(IF(AND(SUMIFS('Key inputs_Refineries'!F$85:F$164,'Key inputs_Refineries'!$C$85:$C$164,$C641,'Key inputs_Refineries'!$B$85:$B$164,"Boiler")/SUM(SUMIFS('Key inputs_Refineries'!F$85:F$164,'Key inputs_Refineries'!$C$85:$C$164,$C640:$C649,'Key inputs_Refineries'!$B$85:$B$164,"Boiler"))&gt;0,SUMIFS('Key inputs_Refineries'!F$85:F$164,'Key inputs_Refineries'!$C$85:$C$164,$C641,'Key inputs_Refineries'!$B$85:$B$164,"Boiler")/SUM(SUMIFS('Key inputs_Refineries'!F$85:F$164,'Key inputs_Refineries'!$C$85:$C$164,$C640:$C649,'Key inputs_Refineries'!$B$85:$B$164,"Boiler"))&lt;0.001),0.001,SUMIFS('Key inputs_Refineries'!F$85:F$164,'Key inputs_Refineries'!$C$85:$C$164,$C641,'Key inputs_Refineries'!$B$85:$B$164,"Boiler")/SUM(SUMIFS('Key inputs_Refineries'!F$85:F$164,'Key inputs_Refineries'!$C$85:$C$164,$C640:$C649,'Key inputs_Refineries'!$B$85:$B$164,"Boiler"))),0)</f>
        <v>0</v>
      </c>
      <c r="M641" s="173" cm="1">
        <f t="array" ref="M641">IFERROR(IF(AND(SUMIFS('Key inputs_Refineries'!G$85:G$164,'Key inputs_Refineries'!$C$85:$C$164,$C641,'Key inputs_Refineries'!$B$85:$B$164,"Boiler")/SUM(SUMIFS('Key inputs_Refineries'!G$85:G$164,'Key inputs_Refineries'!$C$85:$C$164,$C640:$C649,'Key inputs_Refineries'!$B$85:$B$164,"Boiler"))&gt;0,SUMIFS('Key inputs_Refineries'!G$85:G$164,'Key inputs_Refineries'!$C$85:$C$164,$C641,'Key inputs_Refineries'!$B$85:$B$164,"Boiler")/SUM(SUMIFS('Key inputs_Refineries'!G$85:G$164,'Key inputs_Refineries'!$C$85:$C$164,$C640:$C649,'Key inputs_Refineries'!$B$85:$B$164,"Boiler"))&lt;0.001),0.001,SUMIFS('Key inputs_Refineries'!G$85:G$164,'Key inputs_Refineries'!$C$85:$C$164,$C641,'Key inputs_Refineries'!$B$85:$B$164,"Boiler")/SUM(SUMIFS('Key inputs_Refineries'!G$85:G$164,'Key inputs_Refineries'!$C$85:$C$164,$C640:$C649,'Key inputs_Refineries'!$B$85:$B$164,"Boiler"))),0)</f>
        <v>5.4967007249105165E-2</v>
      </c>
      <c r="N641" s="173" cm="1">
        <f t="array" ref="N641">IFERROR(IF(AND(SUMIFS('Key inputs_Refineries'!H$85:H$164,'Key inputs_Refineries'!$C$85:$C$164,$C641,'Key inputs_Refineries'!$B$85:$B$164,"Boiler")/SUM(SUMIFS('Key inputs_Refineries'!H$85:H$164,'Key inputs_Refineries'!$C$85:$C$164,$C640:$C649,'Key inputs_Refineries'!$B$85:$B$164,"Boiler"))&gt;0,SUMIFS('Key inputs_Refineries'!H$85:H$164,'Key inputs_Refineries'!$C$85:$C$164,$C641,'Key inputs_Refineries'!$B$85:$B$164,"Boiler")/SUM(SUMIFS('Key inputs_Refineries'!H$85:H$164,'Key inputs_Refineries'!$C$85:$C$164,$C640:$C649,'Key inputs_Refineries'!$B$85:$B$164,"Boiler"))&lt;0.001),0.001,SUMIFS('Key inputs_Refineries'!H$85:H$164,'Key inputs_Refineries'!$C$85:$C$164,$C641,'Key inputs_Refineries'!$B$85:$B$164,"Boiler")/SUM(SUMIFS('Key inputs_Refineries'!H$85:H$164,'Key inputs_Refineries'!$C$85:$C$164,$C640:$C649,'Key inputs_Refineries'!$B$85:$B$164,"Boiler"))),0)</f>
        <v>0</v>
      </c>
      <c r="O641" s="173" cm="1">
        <f t="array" ref="O641">IFERROR(IF(AND(SUMIFS('Key inputs_Refineries'!I$85:I$164,'Key inputs_Refineries'!$C$85:$C$164,$C641,'Key inputs_Refineries'!$B$85:$B$164,"Boiler")/SUM(SUMIFS('Key inputs_Refineries'!I$85:I$164,'Key inputs_Refineries'!$C$85:$C$164,$C640:$C649,'Key inputs_Refineries'!$B$85:$B$164,"Boiler"))&gt;0,SUMIFS('Key inputs_Refineries'!I$85:I$164,'Key inputs_Refineries'!$C$85:$C$164,$C641,'Key inputs_Refineries'!$B$85:$B$164,"Boiler")/SUM(SUMIFS('Key inputs_Refineries'!I$85:I$164,'Key inputs_Refineries'!$C$85:$C$164,$C640:$C649,'Key inputs_Refineries'!$B$85:$B$164,"Boiler"))&lt;0.001),0.001,SUMIFS('Key inputs_Refineries'!I$85:I$164,'Key inputs_Refineries'!$C$85:$C$164,$C641,'Key inputs_Refineries'!$B$85:$B$164,"Boiler")/SUM(SUMIFS('Key inputs_Refineries'!I$85:I$164,'Key inputs_Refineries'!$C$85:$C$164,$C640:$C649,'Key inputs_Refineries'!$B$85:$B$164,"Boiler"))),0)</f>
        <v>0</v>
      </c>
      <c r="P641" s="173" cm="1">
        <f t="array" ref="P641">IFERROR(IF(AND(SUMIFS('Key inputs_Refineries'!J$85:J$164,'Key inputs_Refineries'!$C$85:$C$164,$C641,'Key inputs_Refineries'!$B$85:$B$164,"Boiler")/SUM(SUMIFS('Key inputs_Refineries'!J$85:J$164,'Key inputs_Refineries'!$C$85:$C$164,$C640:$C649,'Key inputs_Refineries'!$B$85:$B$164,"Boiler"))&gt;0,SUMIFS('Key inputs_Refineries'!J$85:J$164,'Key inputs_Refineries'!$C$85:$C$164,$C641,'Key inputs_Refineries'!$B$85:$B$164,"Boiler")/SUM(SUMIFS('Key inputs_Refineries'!J$85:J$164,'Key inputs_Refineries'!$C$85:$C$164,$C640:$C649,'Key inputs_Refineries'!$B$85:$B$164,"Boiler"))&lt;0.001),0.001,SUMIFS('Key inputs_Refineries'!J$85:J$164,'Key inputs_Refineries'!$C$85:$C$164,$C641,'Key inputs_Refineries'!$B$85:$B$164,"Boiler")/SUM(SUMIFS('Key inputs_Refineries'!J$85:J$164,'Key inputs_Refineries'!$C$85:$C$164,$C640:$C649,'Key inputs_Refineries'!$B$85:$B$164,"Boiler"))),0)</f>
        <v>7.5112298847973434E-3</v>
      </c>
      <c r="Q641" s="173" cm="1">
        <f t="array" ref="Q641">IFERROR(IF(AND(SUMIFS('Key inputs_Refineries'!K$85:K$164,'Key inputs_Refineries'!$C$85:$C$164,$C641,'Key inputs_Refineries'!$B$85:$B$164,"Boiler")/SUM(SUMIFS('Key inputs_Refineries'!K$85:K$164,'Key inputs_Refineries'!$C$85:$C$164,$C640:$C649,'Key inputs_Refineries'!$B$85:$B$164,"Boiler"))&gt;0,SUMIFS('Key inputs_Refineries'!K$85:K$164,'Key inputs_Refineries'!$C$85:$C$164,$C641,'Key inputs_Refineries'!$B$85:$B$164,"Boiler")/SUM(SUMIFS('Key inputs_Refineries'!K$85:K$164,'Key inputs_Refineries'!$C$85:$C$164,$C640:$C649,'Key inputs_Refineries'!$B$85:$B$164,"Boiler"))&lt;0.001),0.001,SUMIFS('Key inputs_Refineries'!K$85:K$164,'Key inputs_Refineries'!$C$85:$C$164,$C641,'Key inputs_Refineries'!$B$85:$B$164,"Boiler")/SUM(SUMIFS('Key inputs_Refineries'!K$85:K$164,'Key inputs_Refineries'!$C$85:$C$164,$C640:$C649,'Key inputs_Refineries'!$B$85:$B$164,"Boiler"))),0)</f>
        <v>1.3591105951689957E-2</v>
      </c>
      <c r="R641" s="173" cm="1">
        <f t="array" ref="R641">IFERROR(IF(AND(SUMIFS('Key inputs_Refineries'!L$85:L$164,'Key inputs_Refineries'!$C$85:$C$164,$C641,'Key inputs_Refineries'!$B$85:$B$164,"Boiler")/SUM(SUMIFS('Key inputs_Refineries'!L$85:L$164,'Key inputs_Refineries'!$C$85:$C$164,$C640:$C649,'Key inputs_Refineries'!$B$85:$B$164,"Boiler"))&gt;0,SUMIFS('Key inputs_Refineries'!L$85:L$164,'Key inputs_Refineries'!$C$85:$C$164,$C641,'Key inputs_Refineries'!$B$85:$B$164,"Boiler")/SUM(SUMIFS('Key inputs_Refineries'!L$85:L$164,'Key inputs_Refineries'!$C$85:$C$164,$C640:$C649,'Key inputs_Refineries'!$B$85:$B$164,"Boiler"))&lt;0.001),0.001,SUMIFS('Key inputs_Refineries'!L$85:L$164,'Key inputs_Refineries'!$C$85:$C$164,$C641,'Key inputs_Refineries'!$B$85:$B$164,"Boiler")/SUM(SUMIFS('Key inputs_Refineries'!L$85:L$164,'Key inputs_Refineries'!$C$85:$C$164,$C640:$C649,'Key inputs_Refineries'!$B$85:$B$164,"Boiler"))),0)</f>
        <v>0</v>
      </c>
      <c r="S641" s="173" cm="1">
        <f t="array" ref="S641">IFERROR(IF(AND(SUMIFS('Key inputs_Refineries'!M$85:M$164,'Key inputs_Refineries'!$C$85:$C$164,$C641,'Key inputs_Refineries'!$B$85:$B$164,"Boiler")/SUM(SUMIFS('Key inputs_Refineries'!M$85:M$164,'Key inputs_Refineries'!$C$85:$C$164,$C640:$C649,'Key inputs_Refineries'!$B$85:$B$164,"Boiler"))&gt;0,SUMIFS('Key inputs_Refineries'!M$85:M$164,'Key inputs_Refineries'!$C$85:$C$164,$C641,'Key inputs_Refineries'!$B$85:$B$164,"Boiler")/SUM(SUMIFS('Key inputs_Refineries'!M$85:M$164,'Key inputs_Refineries'!$C$85:$C$164,$C640:$C649,'Key inputs_Refineries'!$B$85:$B$164,"Boiler"))&lt;0.001),0.001,SUMIFS('Key inputs_Refineries'!M$85:M$164,'Key inputs_Refineries'!$C$85:$C$164,$C641,'Key inputs_Refineries'!$B$85:$B$164,"Boiler")/SUM(SUMIFS('Key inputs_Refineries'!M$85:M$164,'Key inputs_Refineries'!$C$85:$C$164,$C640:$C649,'Key inputs_Refineries'!$B$85:$B$164,"Boiler"))),0)</f>
        <v>3.5051732768259555E-2</v>
      </c>
      <c r="T641" s="173" cm="1">
        <f t="array" ref="T641">IFERROR(IF(AND(SUMIFS('Key inputs_Refineries'!N$85:N$164,'Key inputs_Refineries'!$C$85:$C$164,$C641,'Key inputs_Refineries'!$B$85:$B$164,"Boiler")/SUM(SUMIFS('Key inputs_Refineries'!N$85:N$164,'Key inputs_Refineries'!$C$85:$C$164,$C640:$C649,'Key inputs_Refineries'!$B$85:$B$164,"Boiler"))&gt;0,SUMIFS('Key inputs_Refineries'!N$85:N$164,'Key inputs_Refineries'!$C$85:$C$164,$C641,'Key inputs_Refineries'!$B$85:$B$164,"Boiler")/SUM(SUMIFS('Key inputs_Refineries'!N$85:N$164,'Key inputs_Refineries'!$C$85:$C$164,$C640:$C649,'Key inputs_Refineries'!$B$85:$B$164,"Boiler"))&lt;0.001),0.001,SUMIFS('Key inputs_Refineries'!N$85:N$164,'Key inputs_Refineries'!$C$85:$C$164,$C641,'Key inputs_Refineries'!$B$85:$B$164,"Boiler")/SUM(SUMIFS('Key inputs_Refineries'!N$85:N$164,'Key inputs_Refineries'!$C$85:$C$164,$C640:$C649,'Key inputs_Refineries'!$B$85:$B$164,"Boiler"))),0)</f>
        <v>8.6333554563383288E-3</v>
      </c>
      <c r="U641" s="173" cm="1">
        <f t="array" ref="U641">IFERROR(IF(AND(SUMIFS('Key inputs_Refineries'!O$85:O$164,'Key inputs_Refineries'!$C$85:$C$164,$C641,'Key inputs_Refineries'!$B$85:$B$164,"Boiler")/SUM(SUMIFS('Key inputs_Refineries'!O$85:O$164,'Key inputs_Refineries'!$C$85:$C$164,$C640:$C649,'Key inputs_Refineries'!$B$85:$B$164,"Boiler"))&gt;0,SUMIFS('Key inputs_Refineries'!O$85:O$164,'Key inputs_Refineries'!$C$85:$C$164,$C641,'Key inputs_Refineries'!$B$85:$B$164,"Boiler")/SUM(SUMIFS('Key inputs_Refineries'!O$85:O$164,'Key inputs_Refineries'!$C$85:$C$164,$C640:$C649,'Key inputs_Refineries'!$B$85:$B$164,"Boiler"))&lt;0.001),0.001,SUMIFS('Key inputs_Refineries'!O$85:O$164,'Key inputs_Refineries'!$C$85:$C$164,$C641,'Key inputs_Refineries'!$B$85:$B$164,"Boiler")/SUM(SUMIFS('Key inputs_Refineries'!O$85:O$164,'Key inputs_Refineries'!$C$85:$C$164,$C640:$C649,'Key inputs_Refineries'!$B$85:$B$164,"Boiler"))),0)</f>
        <v>0</v>
      </c>
      <c r="V641" s="173" cm="1">
        <f t="array" ref="V641">IFERROR(IF(AND(SUMIFS('Key inputs_Refineries'!P$85:P$164,'Key inputs_Refineries'!$C$85:$C$164,$C641,'Key inputs_Refineries'!$B$85:$B$164,"Boiler")/SUM(SUMIFS('Key inputs_Refineries'!P$85:P$164,'Key inputs_Refineries'!$C$85:$C$164,$C640:$C649,'Key inputs_Refineries'!$B$85:$B$164,"Boiler"))&gt;0,SUMIFS('Key inputs_Refineries'!P$85:P$164,'Key inputs_Refineries'!$C$85:$C$164,$C641,'Key inputs_Refineries'!$B$85:$B$164,"Boiler")/SUM(SUMIFS('Key inputs_Refineries'!P$85:P$164,'Key inputs_Refineries'!$C$85:$C$164,$C640:$C649,'Key inputs_Refineries'!$B$85:$B$164,"Boiler"))&lt;0.001),0.001,SUMIFS('Key inputs_Refineries'!P$85:P$164,'Key inputs_Refineries'!$C$85:$C$164,$C641,'Key inputs_Refineries'!$B$85:$B$164,"Boiler")/SUM(SUMIFS('Key inputs_Refineries'!P$85:P$164,'Key inputs_Refineries'!$C$85:$C$164,$C640:$C649,'Key inputs_Refineries'!$B$85:$B$164,"Boiler"))),0)</f>
        <v>5.6882967399520768E-3</v>
      </c>
      <c r="W641" s="173" cm="1">
        <f t="array" ref="W641">IFERROR(IF(AND(SUMIFS('Key inputs_Refineries'!Q$85:Q$164,'Key inputs_Refineries'!$C$85:$C$164,$C641,'Key inputs_Refineries'!$B$85:$B$164,"Boiler")/SUM(SUMIFS('Key inputs_Refineries'!Q$85:Q$164,'Key inputs_Refineries'!$C$85:$C$164,$C640:$C649,'Key inputs_Refineries'!$B$85:$B$164,"Boiler"))&gt;0,SUMIFS('Key inputs_Refineries'!Q$85:Q$164,'Key inputs_Refineries'!$C$85:$C$164,$C641,'Key inputs_Refineries'!$B$85:$B$164,"Boiler")/SUM(SUMIFS('Key inputs_Refineries'!Q$85:Q$164,'Key inputs_Refineries'!$C$85:$C$164,$C640:$C649,'Key inputs_Refineries'!$B$85:$B$164,"Boiler"))&lt;0.001),0.001,SUMIFS('Key inputs_Refineries'!Q$85:Q$164,'Key inputs_Refineries'!$C$85:$C$164,$C641,'Key inputs_Refineries'!$B$85:$B$164,"Boiler")/SUM(SUMIFS('Key inputs_Refineries'!Q$85:Q$164,'Key inputs_Refineries'!$C$85:$C$164,$C640:$C649,'Key inputs_Refineries'!$B$85:$B$164,"Boiler"))),0)</f>
        <v>0</v>
      </c>
      <c r="X641" s="173" cm="1">
        <f t="array" ref="X641">IFERROR(IF(AND(SUMIFS('Key inputs_Refineries'!R$85:R$164,'Key inputs_Refineries'!$C$85:$C$164,$C641,'Key inputs_Refineries'!$B$85:$B$164,"Boiler")/SUM(SUMIFS('Key inputs_Refineries'!R$85:R$164,'Key inputs_Refineries'!$C$85:$C$164,$C640:$C649,'Key inputs_Refineries'!$B$85:$B$164,"Boiler"))&gt;0,SUMIFS('Key inputs_Refineries'!R$85:R$164,'Key inputs_Refineries'!$C$85:$C$164,$C641,'Key inputs_Refineries'!$B$85:$B$164,"Boiler")/SUM(SUMIFS('Key inputs_Refineries'!R$85:R$164,'Key inputs_Refineries'!$C$85:$C$164,$C640:$C649,'Key inputs_Refineries'!$B$85:$B$164,"Boiler"))&lt;0.001),0.001,SUMIFS('Key inputs_Refineries'!R$85:R$164,'Key inputs_Refineries'!$C$85:$C$164,$C641,'Key inputs_Refineries'!$B$85:$B$164,"Boiler")/SUM(SUMIFS('Key inputs_Refineries'!R$85:R$164,'Key inputs_Refineries'!$C$85:$C$164,$C640:$C649,'Key inputs_Refineries'!$B$85:$B$164,"Boiler"))),0)</f>
        <v>0</v>
      </c>
      <c r="Y641" s="173" cm="1">
        <f t="array" ref="Y641">IFERROR(IF(AND(SUMIFS('Key inputs_Refineries'!S$85:S$164,'Key inputs_Refineries'!$C$85:$C$164,$C641,'Key inputs_Refineries'!$B$85:$B$164,"Boiler")/SUM(SUMIFS('Key inputs_Refineries'!S$85:S$164,'Key inputs_Refineries'!$C$85:$C$164,$C640:$C649,'Key inputs_Refineries'!$B$85:$B$164,"Boiler"))&gt;0,SUMIFS('Key inputs_Refineries'!S$85:S$164,'Key inputs_Refineries'!$C$85:$C$164,$C641,'Key inputs_Refineries'!$B$85:$B$164,"Boiler")/SUM(SUMIFS('Key inputs_Refineries'!S$85:S$164,'Key inputs_Refineries'!$C$85:$C$164,$C640:$C649,'Key inputs_Refineries'!$B$85:$B$164,"Boiler"))&lt;0.001),0.001,SUMIFS('Key inputs_Refineries'!S$85:S$164,'Key inputs_Refineries'!$C$85:$C$164,$C641,'Key inputs_Refineries'!$B$85:$B$164,"Boiler")/SUM(SUMIFS('Key inputs_Refineries'!S$85:S$164,'Key inputs_Refineries'!$C$85:$C$164,$C640:$C649,'Key inputs_Refineries'!$B$85:$B$164,"Boiler"))),0)</f>
        <v>2.7787994220171155E-3</v>
      </c>
      <c r="Z641" s="173" cm="1">
        <f t="array" ref="Z641">IFERROR(IF(AND(SUMIFS('Key inputs_Refineries'!T$85:T$164,'Key inputs_Refineries'!$C$85:$C$164,$C641,'Key inputs_Refineries'!$B$85:$B$164,"Boiler")/SUM(SUMIFS('Key inputs_Refineries'!T$85:T$164,'Key inputs_Refineries'!$C$85:$C$164,$C640:$C649,'Key inputs_Refineries'!$B$85:$B$164,"Boiler"))&gt;0,SUMIFS('Key inputs_Refineries'!T$85:T$164,'Key inputs_Refineries'!$C$85:$C$164,$C641,'Key inputs_Refineries'!$B$85:$B$164,"Boiler")/SUM(SUMIFS('Key inputs_Refineries'!T$85:T$164,'Key inputs_Refineries'!$C$85:$C$164,$C640:$C649,'Key inputs_Refineries'!$B$85:$B$164,"Boiler"))&lt;0.001),0.001,SUMIFS('Key inputs_Refineries'!T$85:T$164,'Key inputs_Refineries'!$C$85:$C$164,$C641,'Key inputs_Refineries'!$B$85:$B$164,"Boiler")/SUM(SUMIFS('Key inputs_Refineries'!T$85:T$164,'Key inputs_Refineries'!$C$85:$C$164,$C640:$C649,'Key inputs_Refineries'!$B$85:$B$164,"Boiler"))),0)</f>
        <v>7.5121681310049548E-3</v>
      </c>
      <c r="AA641" s="173" cm="1">
        <f t="array" ref="AA641">IFERROR(IF(AND(SUMIFS('Key inputs_Refineries'!U$85:U$164,'Key inputs_Refineries'!$C$85:$C$164,$C641,'Key inputs_Refineries'!$B$85:$B$164,"Boiler")/SUM(SUMIFS('Key inputs_Refineries'!U$85:U$164,'Key inputs_Refineries'!$C$85:$C$164,$C640:$C649,'Key inputs_Refineries'!$B$85:$B$164,"Boiler"))&gt;0,SUMIFS('Key inputs_Refineries'!U$85:U$164,'Key inputs_Refineries'!$C$85:$C$164,$C641,'Key inputs_Refineries'!$B$85:$B$164,"Boiler")/SUM(SUMIFS('Key inputs_Refineries'!U$85:U$164,'Key inputs_Refineries'!$C$85:$C$164,$C640:$C649,'Key inputs_Refineries'!$B$85:$B$164,"Boiler"))&lt;0.001),0.001,SUMIFS('Key inputs_Refineries'!U$85:U$164,'Key inputs_Refineries'!$C$85:$C$164,$C641,'Key inputs_Refineries'!$B$85:$B$164,"Boiler")/SUM(SUMIFS('Key inputs_Refineries'!U$85:U$164,'Key inputs_Refineries'!$C$85:$C$164,$C640:$C649,'Key inputs_Refineries'!$B$85:$B$164,"Boiler"))),0)</f>
        <v>1.3171639290390735E-2</v>
      </c>
      <c r="AB641" s="173" cm="1">
        <f t="array" ref="AB641">IFERROR(IF(AND(SUMIFS('Key inputs_Refineries'!V$85:V$164,'Key inputs_Refineries'!$C$85:$C$164,$C641,'Key inputs_Refineries'!$B$85:$B$164,"Boiler")/SUM(SUMIFS('Key inputs_Refineries'!V$85:V$164,'Key inputs_Refineries'!$C$85:$C$164,$C640:$C649,'Key inputs_Refineries'!$B$85:$B$164,"Boiler"))&gt;0,SUMIFS('Key inputs_Refineries'!V$85:V$164,'Key inputs_Refineries'!$C$85:$C$164,$C641,'Key inputs_Refineries'!$B$85:$B$164,"Boiler")/SUM(SUMIFS('Key inputs_Refineries'!V$85:V$164,'Key inputs_Refineries'!$C$85:$C$164,$C640:$C649,'Key inputs_Refineries'!$B$85:$B$164,"Boiler"))&lt;0.001),0.001,SUMIFS('Key inputs_Refineries'!V$85:V$164,'Key inputs_Refineries'!$C$85:$C$164,$C641,'Key inputs_Refineries'!$B$85:$B$164,"Boiler")/SUM(SUMIFS('Key inputs_Refineries'!V$85:V$164,'Key inputs_Refineries'!$C$85:$C$164,$C640:$C649,'Key inputs_Refineries'!$B$85:$B$164,"Boiler"))),0)</f>
        <v>0.62732289155304854</v>
      </c>
      <c r="AC641" s="173" cm="1">
        <f t="array" ref="AC641">IFERROR(IF(AND(SUMIFS('Key inputs_Refineries'!W$85:W$164,'Key inputs_Refineries'!$C$85:$C$164,$C641,'Key inputs_Refineries'!$B$85:$B$164,"Boiler")/SUM(SUMIFS('Key inputs_Refineries'!W$85:W$164,'Key inputs_Refineries'!$C$85:$C$164,$C640:$C649,'Key inputs_Refineries'!$B$85:$B$164,"Boiler"))&gt;0,SUMIFS('Key inputs_Refineries'!W$85:W$164,'Key inputs_Refineries'!$C$85:$C$164,$C641,'Key inputs_Refineries'!$B$85:$B$164,"Boiler")/SUM(SUMIFS('Key inputs_Refineries'!W$85:W$164,'Key inputs_Refineries'!$C$85:$C$164,$C640:$C649,'Key inputs_Refineries'!$B$85:$B$164,"Boiler"))&lt;0.001),0.001,SUMIFS('Key inputs_Refineries'!W$85:W$164,'Key inputs_Refineries'!$C$85:$C$164,$C641,'Key inputs_Refineries'!$B$85:$B$164,"Boiler")/SUM(SUMIFS('Key inputs_Refineries'!W$85:W$164,'Key inputs_Refineries'!$C$85:$C$164,$C640:$C649,'Key inputs_Refineries'!$B$85:$B$164,"Boiler"))),0)</f>
        <v>0</v>
      </c>
      <c r="AD641" s="173" cm="1">
        <f t="array" ref="AD641">IFERROR(IF(AND(SUMIFS('Key inputs_Refineries'!X$85:X$164,'Key inputs_Refineries'!$C$85:$C$164,$C641,'Key inputs_Refineries'!$B$85:$B$164,"Boiler")/SUM(SUMIFS('Key inputs_Refineries'!X$85:X$164,'Key inputs_Refineries'!$C$85:$C$164,$C640:$C649,'Key inputs_Refineries'!$B$85:$B$164,"Boiler"))&gt;0,SUMIFS('Key inputs_Refineries'!X$85:X$164,'Key inputs_Refineries'!$C$85:$C$164,$C641,'Key inputs_Refineries'!$B$85:$B$164,"Boiler")/SUM(SUMIFS('Key inputs_Refineries'!X$85:X$164,'Key inputs_Refineries'!$C$85:$C$164,$C640:$C649,'Key inputs_Refineries'!$B$85:$B$164,"Boiler"))&lt;0.001),0.001,SUMIFS('Key inputs_Refineries'!X$85:X$164,'Key inputs_Refineries'!$C$85:$C$164,$C641,'Key inputs_Refineries'!$B$85:$B$164,"Boiler")/SUM(SUMIFS('Key inputs_Refineries'!X$85:X$164,'Key inputs_Refineries'!$C$85:$C$164,$C640:$C649,'Key inputs_Refineries'!$B$85:$B$164,"Boiler"))),0)</f>
        <v>9.5552781608146987E-3</v>
      </c>
      <c r="AE641" s="173" cm="1">
        <f t="array" ref="AE641">IFERROR(IF(AND(SUMIFS('Key inputs_Refineries'!Y$85:Y$164,'Key inputs_Refineries'!$C$85:$C$164,$C641,'Key inputs_Refineries'!$B$85:$B$164,"Boiler")/SUM(SUMIFS('Key inputs_Refineries'!Y$85:Y$164,'Key inputs_Refineries'!$C$85:$C$164,$C640:$C649,'Key inputs_Refineries'!$B$85:$B$164,"Boiler"))&gt;0,SUMIFS('Key inputs_Refineries'!Y$85:Y$164,'Key inputs_Refineries'!$C$85:$C$164,$C641,'Key inputs_Refineries'!$B$85:$B$164,"Boiler")/SUM(SUMIFS('Key inputs_Refineries'!Y$85:Y$164,'Key inputs_Refineries'!$C$85:$C$164,$C640:$C649,'Key inputs_Refineries'!$B$85:$B$164,"Boiler"))&lt;0.001),0.001,SUMIFS('Key inputs_Refineries'!Y$85:Y$164,'Key inputs_Refineries'!$C$85:$C$164,$C641,'Key inputs_Refineries'!$B$85:$B$164,"Boiler")/SUM(SUMIFS('Key inputs_Refineries'!Y$85:Y$164,'Key inputs_Refineries'!$C$85:$C$164,$C640:$C649,'Key inputs_Refineries'!$B$85:$B$164,"Boiler"))),0)</f>
        <v>1.5014083212701699E-2</v>
      </c>
      <c r="AF641" s="173" cm="1">
        <f t="array" ref="AF641">IFERROR(IF(AND(SUMIFS('Key inputs_Refineries'!Z$85:Z$164,'Key inputs_Refineries'!$C$85:$C$164,$C641,'Key inputs_Refineries'!$B$85:$B$164,"Boiler")/SUM(SUMIFS('Key inputs_Refineries'!Z$85:Z$164,'Key inputs_Refineries'!$C$85:$C$164,$C640:$C649,'Key inputs_Refineries'!$B$85:$B$164,"Boiler"))&gt;0,SUMIFS('Key inputs_Refineries'!Z$85:Z$164,'Key inputs_Refineries'!$C$85:$C$164,$C641,'Key inputs_Refineries'!$B$85:$B$164,"Boiler")/SUM(SUMIFS('Key inputs_Refineries'!Z$85:Z$164,'Key inputs_Refineries'!$C$85:$C$164,$C640:$C649,'Key inputs_Refineries'!$B$85:$B$164,"Boiler"))&lt;0.001),0.001,SUMIFS('Key inputs_Refineries'!Z$85:Z$164,'Key inputs_Refineries'!$C$85:$C$164,$C641,'Key inputs_Refineries'!$B$85:$B$164,"Boiler")/SUM(SUMIFS('Key inputs_Refineries'!Z$85:Z$164,'Key inputs_Refineries'!$C$85:$C$164,$C640:$C649,'Key inputs_Refineries'!$B$85:$B$164,"Boiler"))),0)</f>
        <v>3.8902919404541575E-2</v>
      </c>
      <c r="AG641" s="173" cm="1">
        <f t="array" ref="AG641">IFERROR(IF(AND(SUMIFS('Key inputs_Refineries'!AA$85:AA$164,'Key inputs_Refineries'!$C$85:$C$164,$C641,'Key inputs_Refineries'!$B$85:$B$164,"Boiler")/SUM(SUMIFS('Key inputs_Refineries'!AA$85:AA$164,'Key inputs_Refineries'!$C$85:$C$164,$C640:$C649,'Key inputs_Refineries'!$B$85:$B$164,"Boiler"))&gt;0,SUMIFS('Key inputs_Refineries'!AA$85:AA$164,'Key inputs_Refineries'!$C$85:$C$164,$C641,'Key inputs_Refineries'!$B$85:$B$164,"Boiler")/SUM(SUMIFS('Key inputs_Refineries'!AA$85:AA$164,'Key inputs_Refineries'!$C$85:$C$164,$C640:$C649,'Key inputs_Refineries'!$B$85:$B$164,"Boiler"))&lt;0.001),0.001,SUMIFS('Key inputs_Refineries'!AA$85:AA$164,'Key inputs_Refineries'!$C$85:$C$164,$C641,'Key inputs_Refineries'!$B$85:$B$164,"Boiler")/SUM(SUMIFS('Key inputs_Refineries'!AA$85:AA$164,'Key inputs_Refineries'!$C$85:$C$164,$C640:$C649,'Key inputs_Refineries'!$B$85:$B$164,"Boiler"))),0)</f>
        <v>3.0454378123189886E-2</v>
      </c>
      <c r="AH641" s="173" cm="1">
        <f t="array" ref="AH641">IFERROR(IF(AND(SUMIFS('Key inputs_Refineries'!AB$85:AB$164,'Key inputs_Refineries'!$C$85:$C$164,$C641,'Key inputs_Refineries'!$B$85:$B$164,"Boiler")/SUM(SUMIFS('Key inputs_Refineries'!AB$85:AB$164,'Key inputs_Refineries'!$C$85:$C$164,$C640:$C649,'Key inputs_Refineries'!$B$85:$B$164,"Boiler"))&gt;0,SUMIFS('Key inputs_Refineries'!AB$85:AB$164,'Key inputs_Refineries'!$C$85:$C$164,$C641,'Key inputs_Refineries'!$B$85:$B$164,"Boiler")/SUM(SUMIFS('Key inputs_Refineries'!AB$85:AB$164,'Key inputs_Refineries'!$C$85:$C$164,$C640:$C649,'Key inputs_Refineries'!$B$85:$B$164,"Boiler"))&lt;0.001),0.001,SUMIFS('Key inputs_Refineries'!AB$85:AB$164,'Key inputs_Refineries'!$C$85:$C$164,$C641,'Key inputs_Refineries'!$B$85:$B$164,"Boiler")/SUM(SUMIFS('Key inputs_Refineries'!AB$85:AB$164,'Key inputs_Refineries'!$C$85:$C$164,$C640:$C649,'Key inputs_Refineries'!$B$85:$B$164,"Boiler"))),0)</f>
        <v>0</v>
      </c>
      <c r="AI641" s="173" cm="1">
        <f t="array" ref="AI641">IFERROR(IF(AND(SUMIFS('Key inputs_Refineries'!AC$85:AC$164,'Key inputs_Refineries'!$C$85:$C$164,$C641,'Key inputs_Refineries'!$B$85:$B$164,"Boiler")/SUM(SUMIFS('Key inputs_Refineries'!AC$85:AC$164,'Key inputs_Refineries'!$C$85:$C$164,$C640:$C649,'Key inputs_Refineries'!$B$85:$B$164,"Boiler"))&gt;0,SUMIFS('Key inputs_Refineries'!AC$85:AC$164,'Key inputs_Refineries'!$C$85:$C$164,$C641,'Key inputs_Refineries'!$B$85:$B$164,"Boiler")/SUM(SUMIFS('Key inputs_Refineries'!AC$85:AC$164,'Key inputs_Refineries'!$C$85:$C$164,$C640:$C649,'Key inputs_Refineries'!$B$85:$B$164,"Boiler"))&lt;0.001),0.001,SUMIFS('Key inputs_Refineries'!AC$85:AC$164,'Key inputs_Refineries'!$C$85:$C$164,$C641,'Key inputs_Refineries'!$B$85:$B$164,"Boiler")/SUM(SUMIFS('Key inputs_Refineries'!AC$85:AC$164,'Key inputs_Refineries'!$C$85:$C$164,$C640:$C649,'Key inputs_Refineries'!$B$85:$B$164,"Boiler"))),0)</f>
        <v>0.10262766484878531</v>
      </c>
      <c r="AJ641" s="173" cm="1">
        <f t="array" ref="AJ641">IFERROR(IF(AND(SUMIFS('Key inputs_Refineries'!AD$85:AD$164,'Key inputs_Refineries'!$C$85:$C$164,$C641,'Key inputs_Refineries'!$B$85:$B$164,"Boiler")/SUM(SUMIFS('Key inputs_Refineries'!AD$85:AD$164,'Key inputs_Refineries'!$C$85:$C$164,$C640:$C649,'Key inputs_Refineries'!$B$85:$B$164,"Boiler"))&gt;0,SUMIFS('Key inputs_Refineries'!AD$85:AD$164,'Key inputs_Refineries'!$C$85:$C$164,$C641,'Key inputs_Refineries'!$B$85:$B$164,"Boiler")/SUM(SUMIFS('Key inputs_Refineries'!AD$85:AD$164,'Key inputs_Refineries'!$C$85:$C$164,$C640:$C649,'Key inputs_Refineries'!$B$85:$B$164,"Boiler"))&lt;0.001),0.001,SUMIFS('Key inputs_Refineries'!AD$85:AD$164,'Key inputs_Refineries'!$C$85:$C$164,$C641,'Key inputs_Refineries'!$B$85:$B$164,"Boiler")/SUM(SUMIFS('Key inputs_Refineries'!AD$85:AD$164,'Key inputs_Refineries'!$C$85:$C$164,$C640:$C649,'Key inputs_Refineries'!$B$85:$B$164,"Boiler"))),0)</f>
        <v>0</v>
      </c>
      <c r="AK641" s="173" cm="1">
        <f t="array" ref="AK641">IFERROR(IF(AND(SUMIFS('Key inputs_Refineries'!AE$85:AE$164,'Key inputs_Refineries'!$C$85:$C$164,$C641,'Key inputs_Refineries'!$B$85:$B$164,"Boiler")/SUM(SUMIFS('Key inputs_Refineries'!AE$85:AE$164,'Key inputs_Refineries'!$C$85:$C$164,$C640:$C649,'Key inputs_Refineries'!$B$85:$B$164,"Boiler"))&gt;0,SUMIFS('Key inputs_Refineries'!AE$85:AE$164,'Key inputs_Refineries'!$C$85:$C$164,$C641,'Key inputs_Refineries'!$B$85:$B$164,"Boiler")/SUM(SUMIFS('Key inputs_Refineries'!AE$85:AE$164,'Key inputs_Refineries'!$C$85:$C$164,$C640:$C649,'Key inputs_Refineries'!$B$85:$B$164,"Boiler"))&lt;0.001),0.001,SUMIFS('Key inputs_Refineries'!AE$85:AE$164,'Key inputs_Refineries'!$C$85:$C$164,$C641,'Key inputs_Refineries'!$B$85:$B$164,"Boiler")/SUM(SUMIFS('Key inputs_Refineries'!AE$85:AE$164,'Key inputs_Refineries'!$C$85:$C$164,$C640:$C649,'Key inputs_Refineries'!$B$85:$B$164,"Boiler"))),0)</f>
        <v>1E-3</v>
      </c>
      <c r="AL641" s="173" cm="1">
        <f t="array" ref="AL641">IFERROR(IF(AND(SUMIFS('Key inputs_Refineries'!AF$85:AF$164,'Key inputs_Refineries'!$C$85:$C$164,$C641,'Key inputs_Refineries'!$B$85:$B$164,"Boiler")/SUM(SUMIFS('Key inputs_Refineries'!AF$85:AF$164,'Key inputs_Refineries'!$C$85:$C$164,$C640:$C649,'Key inputs_Refineries'!$B$85:$B$164,"Boiler"))&gt;0,SUMIFS('Key inputs_Refineries'!AF$85:AF$164,'Key inputs_Refineries'!$C$85:$C$164,$C641,'Key inputs_Refineries'!$B$85:$B$164,"Boiler")/SUM(SUMIFS('Key inputs_Refineries'!AF$85:AF$164,'Key inputs_Refineries'!$C$85:$C$164,$C640:$C649,'Key inputs_Refineries'!$B$85:$B$164,"Boiler"))&lt;0.001),0.001,SUMIFS('Key inputs_Refineries'!AF$85:AF$164,'Key inputs_Refineries'!$C$85:$C$164,$C641,'Key inputs_Refineries'!$B$85:$B$164,"Boiler")/SUM(SUMIFS('Key inputs_Refineries'!AF$85:AF$164,'Key inputs_Refineries'!$C$85:$C$164,$C640:$C649,'Key inputs_Refineries'!$B$85:$B$164,"Boiler"))),0)</f>
        <v>1.1727367954192493E-2</v>
      </c>
    </row>
    <row r="642" spans="1:38">
      <c r="C642" t="str">
        <f>Commodities!$C$81</f>
        <v>UPSBGL</v>
      </c>
      <c r="G642" s="4" t="s">
        <v>702</v>
      </c>
      <c r="H642" t="s">
        <v>661</v>
      </c>
      <c r="I642">
        <v>2019</v>
      </c>
      <c r="J642" t="s">
        <v>650</v>
      </c>
      <c r="K642" s="426">
        <v>0</v>
      </c>
      <c r="L642" s="426">
        <v>0</v>
      </c>
      <c r="M642" s="426">
        <v>0</v>
      </c>
      <c r="N642" s="426">
        <v>0</v>
      </c>
      <c r="O642" s="426">
        <v>0</v>
      </c>
      <c r="P642" s="426">
        <v>0</v>
      </c>
      <c r="Q642" s="426">
        <v>0</v>
      </c>
      <c r="R642" s="426">
        <v>0</v>
      </c>
      <c r="S642" s="426">
        <v>0</v>
      </c>
      <c r="T642" s="426">
        <v>0</v>
      </c>
      <c r="U642" s="426">
        <v>0</v>
      </c>
      <c r="V642" s="426">
        <v>0</v>
      </c>
      <c r="W642" s="426">
        <v>0</v>
      </c>
      <c r="X642" s="426">
        <v>0</v>
      </c>
      <c r="Y642" s="426">
        <v>0</v>
      </c>
      <c r="Z642" s="426">
        <v>0</v>
      </c>
      <c r="AA642" s="426">
        <v>0</v>
      </c>
      <c r="AB642" s="426">
        <v>0</v>
      </c>
      <c r="AC642" s="426">
        <v>0</v>
      </c>
      <c r="AD642" s="426">
        <v>0</v>
      </c>
      <c r="AE642" s="426">
        <v>0</v>
      </c>
      <c r="AF642" s="426">
        <v>0</v>
      </c>
      <c r="AG642" s="426">
        <v>0</v>
      </c>
      <c r="AH642" s="426">
        <v>0</v>
      </c>
      <c r="AI642" s="426">
        <v>0</v>
      </c>
      <c r="AJ642" s="426">
        <v>0</v>
      </c>
      <c r="AK642" s="426">
        <v>0</v>
      </c>
      <c r="AL642" s="426">
        <v>0</v>
      </c>
    </row>
    <row r="643" spans="1:38">
      <c r="C643" t="str">
        <f>Commodities!$C$93</f>
        <v>UPSGSL</v>
      </c>
      <c r="G643" s="4" t="s">
        <v>702</v>
      </c>
      <c r="H643" t="s">
        <v>661</v>
      </c>
      <c r="I643">
        <v>2019</v>
      </c>
      <c r="J643" t="s">
        <v>650</v>
      </c>
      <c r="K643" s="173" cm="1">
        <f t="array" ref="K643">IFERROR(IF(AND(SUMIFS('Key inputs_Refineries'!E$85:E$164,'Key inputs_Refineries'!$C$85:$C$164,$C643,'Key inputs_Refineries'!$B$85:$B$164,"Boiler")/SUM(SUMIFS('Key inputs_Refineries'!E$85:E$164,'Key inputs_Refineries'!$C$85:$C$164,$C640:$C649,'Key inputs_Refineries'!$B$85:$B$164,"Boiler"))&gt;0,SUMIFS('Key inputs_Refineries'!E$85:E$164,'Key inputs_Refineries'!$C$85:$C$164,$C643,'Key inputs_Refineries'!$B$85:$B$164,"Boiler")/SUM(SUMIFS('Key inputs_Refineries'!E$85:E$164,'Key inputs_Refineries'!$C$85:$C$164,$C640:$C649,'Key inputs_Refineries'!$B$85:$B$164,"Boiler"))&lt;0.001),0.001,SUMIFS('Key inputs_Refineries'!E$85:E$164,'Key inputs_Refineries'!$C$85:$C$164,$C643,'Key inputs_Refineries'!$B$85:$B$164,"Boiler")/SUM(SUMIFS('Key inputs_Refineries'!E$85:E$164,'Key inputs_Refineries'!$C$85:$C$164,$C640:$C649,'Key inputs_Refineries'!$B$85:$B$164,"Boiler"))),0)</f>
        <v>0</v>
      </c>
      <c r="L643" s="173" cm="1">
        <f t="array" ref="L643">IFERROR(IF(AND(SUMIFS('Key inputs_Refineries'!F$85:F$164,'Key inputs_Refineries'!$C$85:$C$164,$C643,'Key inputs_Refineries'!$B$85:$B$164,"Boiler")/SUM(SUMIFS('Key inputs_Refineries'!F$85:F$164,'Key inputs_Refineries'!$C$85:$C$164,$C640:$C649,'Key inputs_Refineries'!$B$85:$B$164,"Boiler"))&gt;0,SUMIFS('Key inputs_Refineries'!F$85:F$164,'Key inputs_Refineries'!$C$85:$C$164,$C643,'Key inputs_Refineries'!$B$85:$B$164,"Boiler")/SUM(SUMIFS('Key inputs_Refineries'!F$85:F$164,'Key inputs_Refineries'!$C$85:$C$164,$C640:$C649,'Key inputs_Refineries'!$B$85:$B$164,"Boiler"))&lt;0.001),0.001,SUMIFS('Key inputs_Refineries'!F$85:F$164,'Key inputs_Refineries'!$C$85:$C$164,$C643,'Key inputs_Refineries'!$B$85:$B$164,"Boiler")/SUM(SUMIFS('Key inputs_Refineries'!F$85:F$164,'Key inputs_Refineries'!$C$85:$C$164,$C640:$C649,'Key inputs_Refineries'!$B$85:$B$164,"Boiler"))),0)</f>
        <v>0</v>
      </c>
      <c r="M643" s="173" cm="1">
        <f t="array" ref="M643">IFERROR(IF(AND(SUMIFS('Key inputs_Refineries'!G$85:G$164,'Key inputs_Refineries'!$C$85:$C$164,$C643,'Key inputs_Refineries'!$B$85:$B$164,"Boiler")/SUM(SUMIFS('Key inputs_Refineries'!G$85:G$164,'Key inputs_Refineries'!$C$85:$C$164,$C640:$C649,'Key inputs_Refineries'!$B$85:$B$164,"Boiler"))&gt;0,SUMIFS('Key inputs_Refineries'!G$85:G$164,'Key inputs_Refineries'!$C$85:$C$164,$C643,'Key inputs_Refineries'!$B$85:$B$164,"Boiler")/SUM(SUMIFS('Key inputs_Refineries'!G$85:G$164,'Key inputs_Refineries'!$C$85:$C$164,$C640:$C649,'Key inputs_Refineries'!$B$85:$B$164,"Boiler"))&lt;0.001),0.001,SUMIFS('Key inputs_Refineries'!G$85:G$164,'Key inputs_Refineries'!$C$85:$C$164,$C643,'Key inputs_Refineries'!$B$85:$B$164,"Boiler")/SUM(SUMIFS('Key inputs_Refineries'!G$85:G$164,'Key inputs_Refineries'!$C$85:$C$164,$C640:$C649,'Key inputs_Refineries'!$B$85:$B$164,"Boiler"))),0)</f>
        <v>0</v>
      </c>
      <c r="N643" s="173" cm="1">
        <f t="array" ref="N643">IFERROR(IF(AND(SUMIFS('Key inputs_Refineries'!H$85:H$164,'Key inputs_Refineries'!$C$85:$C$164,$C643,'Key inputs_Refineries'!$B$85:$B$164,"Boiler")/SUM(SUMIFS('Key inputs_Refineries'!H$85:H$164,'Key inputs_Refineries'!$C$85:$C$164,$C640:$C649,'Key inputs_Refineries'!$B$85:$B$164,"Boiler"))&gt;0,SUMIFS('Key inputs_Refineries'!H$85:H$164,'Key inputs_Refineries'!$C$85:$C$164,$C643,'Key inputs_Refineries'!$B$85:$B$164,"Boiler")/SUM(SUMIFS('Key inputs_Refineries'!H$85:H$164,'Key inputs_Refineries'!$C$85:$C$164,$C640:$C649,'Key inputs_Refineries'!$B$85:$B$164,"Boiler"))&lt;0.001),0.001,SUMIFS('Key inputs_Refineries'!H$85:H$164,'Key inputs_Refineries'!$C$85:$C$164,$C643,'Key inputs_Refineries'!$B$85:$B$164,"Boiler")/SUM(SUMIFS('Key inputs_Refineries'!H$85:H$164,'Key inputs_Refineries'!$C$85:$C$164,$C640:$C649,'Key inputs_Refineries'!$B$85:$B$164,"Boiler"))),0)</f>
        <v>0</v>
      </c>
      <c r="O643" s="173" cm="1">
        <f t="array" ref="O643">IFERROR(IF(AND(SUMIFS('Key inputs_Refineries'!I$85:I$164,'Key inputs_Refineries'!$C$85:$C$164,$C643,'Key inputs_Refineries'!$B$85:$B$164,"Boiler")/SUM(SUMIFS('Key inputs_Refineries'!I$85:I$164,'Key inputs_Refineries'!$C$85:$C$164,$C640:$C649,'Key inputs_Refineries'!$B$85:$B$164,"Boiler"))&gt;0,SUMIFS('Key inputs_Refineries'!I$85:I$164,'Key inputs_Refineries'!$C$85:$C$164,$C643,'Key inputs_Refineries'!$B$85:$B$164,"Boiler")/SUM(SUMIFS('Key inputs_Refineries'!I$85:I$164,'Key inputs_Refineries'!$C$85:$C$164,$C640:$C649,'Key inputs_Refineries'!$B$85:$B$164,"Boiler"))&lt;0.001),0.001,SUMIFS('Key inputs_Refineries'!I$85:I$164,'Key inputs_Refineries'!$C$85:$C$164,$C643,'Key inputs_Refineries'!$B$85:$B$164,"Boiler")/SUM(SUMIFS('Key inputs_Refineries'!I$85:I$164,'Key inputs_Refineries'!$C$85:$C$164,$C640:$C649,'Key inputs_Refineries'!$B$85:$B$164,"Boiler"))),0)</f>
        <v>0</v>
      </c>
      <c r="P643" s="173" cm="1">
        <f t="array" ref="P643">IFERROR(IF(AND(SUMIFS('Key inputs_Refineries'!J$85:J$164,'Key inputs_Refineries'!$C$85:$C$164,$C643,'Key inputs_Refineries'!$B$85:$B$164,"Boiler")/SUM(SUMIFS('Key inputs_Refineries'!J$85:J$164,'Key inputs_Refineries'!$C$85:$C$164,$C640:$C649,'Key inputs_Refineries'!$B$85:$B$164,"Boiler"))&gt;0,SUMIFS('Key inputs_Refineries'!J$85:J$164,'Key inputs_Refineries'!$C$85:$C$164,$C643,'Key inputs_Refineries'!$B$85:$B$164,"Boiler")/SUM(SUMIFS('Key inputs_Refineries'!J$85:J$164,'Key inputs_Refineries'!$C$85:$C$164,$C640:$C649,'Key inputs_Refineries'!$B$85:$B$164,"Boiler"))&lt;0.001),0.001,SUMIFS('Key inputs_Refineries'!J$85:J$164,'Key inputs_Refineries'!$C$85:$C$164,$C643,'Key inputs_Refineries'!$B$85:$B$164,"Boiler")/SUM(SUMIFS('Key inputs_Refineries'!J$85:J$164,'Key inputs_Refineries'!$C$85:$C$164,$C640:$C649,'Key inputs_Refineries'!$B$85:$B$164,"Boiler"))),0)</f>
        <v>0</v>
      </c>
      <c r="Q643" s="173" cm="1">
        <f t="array" ref="Q643">IFERROR(IF(AND(SUMIFS('Key inputs_Refineries'!K$85:K$164,'Key inputs_Refineries'!$C$85:$C$164,$C643,'Key inputs_Refineries'!$B$85:$B$164,"Boiler")/SUM(SUMIFS('Key inputs_Refineries'!K$85:K$164,'Key inputs_Refineries'!$C$85:$C$164,$C640:$C649,'Key inputs_Refineries'!$B$85:$B$164,"Boiler"))&gt;0,SUMIFS('Key inputs_Refineries'!K$85:K$164,'Key inputs_Refineries'!$C$85:$C$164,$C643,'Key inputs_Refineries'!$B$85:$B$164,"Boiler")/SUM(SUMIFS('Key inputs_Refineries'!K$85:K$164,'Key inputs_Refineries'!$C$85:$C$164,$C640:$C649,'Key inputs_Refineries'!$B$85:$B$164,"Boiler"))&lt;0.001),0.001,SUMIFS('Key inputs_Refineries'!K$85:K$164,'Key inputs_Refineries'!$C$85:$C$164,$C643,'Key inputs_Refineries'!$B$85:$B$164,"Boiler")/SUM(SUMIFS('Key inputs_Refineries'!K$85:K$164,'Key inputs_Refineries'!$C$85:$C$164,$C640:$C649,'Key inputs_Refineries'!$B$85:$B$164,"Boiler"))),0)</f>
        <v>0</v>
      </c>
      <c r="R643" s="173" cm="1">
        <f t="array" ref="R643">IFERROR(IF(AND(SUMIFS('Key inputs_Refineries'!L$85:L$164,'Key inputs_Refineries'!$C$85:$C$164,$C643,'Key inputs_Refineries'!$B$85:$B$164,"Boiler")/SUM(SUMIFS('Key inputs_Refineries'!L$85:L$164,'Key inputs_Refineries'!$C$85:$C$164,$C640:$C649,'Key inputs_Refineries'!$B$85:$B$164,"Boiler"))&gt;0,SUMIFS('Key inputs_Refineries'!L$85:L$164,'Key inputs_Refineries'!$C$85:$C$164,$C643,'Key inputs_Refineries'!$B$85:$B$164,"Boiler")/SUM(SUMIFS('Key inputs_Refineries'!L$85:L$164,'Key inputs_Refineries'!$C$85:$C$164,$C640:$C649,'Key inputs_Refineries'!$B$85:$B$164,"Boiler"))&lt;0.001),0.001,SUMIFS('Key inputs_Refineries'!L$85:L$164,'Key inputs_Refineries'!$C$85:$C$164,$C643,'Key inputs_Refineries'!$B$85:$B$164,"Boiler")/SUM(SUMIFS('Key inputs_Refineries'!L$85:L$164,'Key inputs_Refineries'!$C$85:$C$164,$C640:$C649,'Key inputs_Refineries'!$B$85:$B$164,"Boiler"))),0)</f>
        <v>0</v>
      </c>
      <c r="S643" s="173" cm="1">
        <f t="array" ref="S643">IFERROR(IF(AND(SUMIFS('Key inputs_Refineries'!M$85:M$164,'Key inputs_Refineries'!$C$85:$C$164,$C643,'Key inputs_Refineries'!$B$85:$B$164,"Boiler")/SUM(SUMIFS('Key inputs_Refineries'!M$85:M$164,'Key inputs_Refineries'!$C$85:$C$164,$C640:$C649,'Key inputs_Refineries'!$B$85:$B$164,"Boiler"))&gt;0,SUMIFS('Key inputs_Refineries'!M$85:M$164,'Key inputs_Refineries'!$C$85:$C$164,$C643,'Key inputs_Refineries'!$B$85:$B$164,"Boiler")/SUM(SUMIFS('Key inputs_Refineries'!M$85:M$164,'Key inputs_Refineries'!$C$85:$C$164,$C640:$C649,'Key inputs_Refineries'!$B$85:$B$164,"Boiler"))&lt;0.001),0.001,SUMIFS('Key inputs_Refineries'!M$85:M$164,'Key inputs_Refineries'!$C$85:$C$164,$C643,'Key inputs_Refineries'!$B$85:$B$164,"Boiler")/SUM(SUMIFS('Key inputs_Refineries'!M$85:M$164,'Key inputs_Refineries'!$C$85:$C$164,$C640:$C649,'Key inputs_Refineries'!$B$85:$B$164,"Boiler"))),0)</f>
        <v>0</v>
      </c>
      <c r="T643" s="173" cm="1">
        <f t="array" ref="T643">IFERROR(IF(AND(SUMIFS('Key inputs_Refineries'!N$85:N$164,'Key inputs_Refineries'!$C$85:$C$164,$C643,'Key inputs_Refineries'!$B$85:$B$164,"Boiler")/SUM(SUMIFS('Key inputs_Refineries'!N$85:N$164,'Key inputs_Refineries'!$C$85:$C$164,$C640:$C649,'Key inputs_Refineries'!$B$85:$B$164,"Boiler"))&gt;0,SUMIFS('Key inputs_Refineries'!N$85:N$164,'Key inputs_Refineries'!$C$85:$C$164,$C643,'Key inputs_Refineries'!$B$85:$B$164,"Boiler")/SUM(SUMIFS('Key inputs_Refineries'!N$85:N$164,'Key inputs_Refineries'!$C$85:$C$164,$C640:$C649,'Key inputs_Refineries'!$B$85:$B$164,"Boiler"))&lt;0.001),0.001,SUMIFS('Key inputs_Refineries'!N$85:N$164,'Key inputs_Refineries'!$C$85:$C$164,$C643,'Key inputs_Refineries'!$B$85:$B$164,"Boiler")/SUM(SUMIFS('Key inputs_Refineries'!N$85:N$164,'Key inputs_Refineries'!$C$85:$C$164,$C640:$C649,'Key inputs_Refineries'!$B$85:$B$164,"Boiler"))),0)</f>
        <v>2.7912331012078389E-2</v>
      </c>
      <c r="U643" s="173" cm="1">
        <f t="array" ref="U643">IFERROR(IF(AND(SUMIFS('Key inputs_Refineries'!O$85:O$164,'Key inputs_Refineries'!$C$85:$C$164,$C643,'Key inputs_Refineries'!$B$85:$B$164,"Boiler")/SUM(SUMIFS('Key inputs_Refineries'!O$85:O$164,'Key inputs_Refineries'!$C$85:$C$164,$C640:$C649,'Key inputs_Refineries'!$B$85:$B$164,"Boiler"))&gt;0,SUMIFS('Key inputs_Refineries'!O$85:O$164,'Key inputs_Refineries'!$C$85:$C$164,$C643,'Key inputs_Refineries'!$B$85:$B$164,"Boiler")/SUM(SUMIFS('Key inputs_Refineries'!O$85:O$164,'Key inputs_Refineries'!$C$85:$C$164,$C640:$C649,'Key inputs_Refineries'!$B$85:$B$164,"Boiler"))&lt;0.001),0.001,SUMIFS('Key inputs_Refineries'!O$85:O$164,'Key inputs_Refineries'!$C$85:$C$164,$C643,'Key inputs_Refineries'!$B$85:$B$164,"Boiler")/SUM(SUMIFS('Key inputs_Refineries'!O$85:O$164,'Key inputs_Refineries'!$C$85:$C$164,$C640:$C649,'Key inputs_Refineries'!$B$85:$B$164,"Boiler"))),0)</f>
        <v>0</v>
      </c>
      <c r="V643" s="173" cm="1">
        <f t="array" ref="V643">IFERROR(IF(AND(SUMIFS('Key inputs_Refineries'!P$85:P$164,'Key inputs_Refineries'!$C$85:$C$164,$C643,'Key inputs_Refineries'!$B$85:$B$164,"Boiler")/SUM(SUMIFS('Key inputs_Refineries'!P$85:P$164,'Key inputs_Refineries'!$C$85:$C$164,$C640:$C649,'Key inputs_Refineries'!$B$85:$B$164,"Boiler"))&gt;0,SUMIFS('Key inputs_Refineries'!P$85:P$164,'Key inputs_Refineries'!$C$85:$C$164,$C643,'Key inputs_Refineries'!$B$85:$B$164,"Boiler")/SUM(SUMIFS('Key inputs_Refineries'!P$85:P$164,'Key inputs_Refineries'!$C$85:$C$164,$C640:$C649,'Key inputs_Refineries'!$B$85:$B$164,"Boiler"))&lt;0.001),0.001,SUMIFS('Key inputs_Refineries'!P$85:P$164,'Key inputs_Refineries'!$C$85:$C$164,$C643,'Key inputs_Refineries'!$B$85:$B$164,"Boiler")/SUM(SUMIFS('Key inputs_Refineries'!P$85:P$164,'Key inputs_Refineries'!$C$85:$C$164,$C640:$C649,'Key inputs_Refineries'!$B$85:$B$164,"Boiler"))),0)</f>
        <v>1E-3</v>
      </c>
      <c r="W643" s="173" cm="1">
        <f t="array" ref="W643">IFERROR(IF(AND(SUMIFS('Key inputs_Refineries'!Q$85:Q$164,'Key inputs_Refineries'!$C$85:$C$164,$C643,'Key inputs_Refineries'!$B$85:$B$164,"Boiler")/SUM(SUMIFS('Key inputs_Refineries'!Q$85:Q$164,'Key inputs_Refineries'!$C$85:$C$164,$C640:$C649,'Key inputs_Refineries'!$B$85:$B$164,"Boiler"))&gt;0,SUMIFS('Key inputs_Refineries'!Q$85:Q$164,'Key inputs_Refineries'!$C$85:$C$164,$C643,'Key inputs_Refineries'!$B$85:$B$164,"Boiler")/SUM(SUMIFS('Key inputs_Refineries'!Q$85:Q$164,'Key inputs_Refineries'!$C$85:$C$164,$C640:$C649,'Key inputs_Refineries'!$B$85:$B$164,"Boiler"))&lt;0.001),0.001,SUMIFS('Key inputs_Refineries'!Q$85:Q$164,'Key inputs_Refineries'!$C$85:$C$164,$C643,'Key inputs_Refineries'!$B$85:$B$164,"Boiler")/SUM(SUMIFS('Key inputs_Refineries'!Q$85:Q$164,'Key inputs_Refineries'!$C$85:$C$164,$C640:$C649,'Key inputs_Refineries'!$B$85:$B$164,"Boiler"))),0)</f>
        <v>0</v>
      </c>
      <c r="X643" s="173" cm="1">
        <f t="array" ref="X643">IFERROR(IF(AND(SUMIFS('Key inputs_Refineries'!R$85:R$164,'Key inputs_Refineries'!$C$85:$C$164,$C643,'Key inputs_Refineries'!$B$85:$B$164,"Boiler")/SUM(SUMIFS('Key inputs_Refineries'!R$85:R$164,'Key inputs_Refineries'!$C$85:$C$164,$C640:$C649,'Key inputs_Refineries'!$B$85:$B$164,"Boiler"))&gt;0,SUMIFS('Key inputs_Refineries'!R$85:R$164,'Key inputs_Refineries'!$C$85:$C$164,$C643,'Key inputs_Refineries'!$B$85:$B$164,"Boiler")/SUM(SUMIFS('Key inputs_Refineries'!R$85:R$164,'Key inputs_Refineries'!$C$85:$C$164,$C640:$C649,'Key inputs_Refineries'!$B$85:$B$164,"Boiler"))&lt;0.001),0.001,SUMIFS('Key inputs_Refineries'!R$85:R$164,'Key inputs_Refineries'!$C$85:$C$164,$C643,'Key inputs_Refineries'!$B$85:$B$164,"Boiler")/SUM(SUMIFS('Key inputs_Refineries'!R$85:R$164,'Key inputs_Refineries'!$C$85:$C$164,$C640:$C649,'Key inputs_Refineries'!$B$85:$B$164,"Boiler"))),0)</f>
        <v>0</v>
      </c>
      <c r="Y643" s="173" cm="1">
        <f t="array" ref="Y643">IFERROR(IF(AND(SUMIFS('Key inputs_Refineries'!S$85:S$164,'Key inputs_Refineries'!$C$85:$C$164,$C643,'Key inputs_Refineries'!$B$85:$B$164,"Boiler")/SUM(SUMIFS('Key inputs_Refineries'!S$85:S$164,'Key inputs_Refineries'!$C$85:$C$164,$C640:$C649,'Key inputs_Refineries'!$B$85:$B$164,"Boiler"))&gt;0,SUMIFS('Key inputs_Refineries'!S$85:S$164,'Key inputs_Refineries'!$C$85:$C$164,$C643,'Key inputs_Refineries'!$B$85:$B$164,"Boiler")/SUM(SUMIFS('Key inputs_Refineries'!S$85:S$164,'Key inputs_Refineries'!$C$85:$C$164,$C640:$C649,'Key inputs_Refineries'!$B$85:$B$164,"Boiler"))&lt;0.001),0.001,SUMIFS('Key inputs_Refineries'!S$85:S$164,'Key inputs_Refineries'!$C$85:$C$164,$C643,'Key inputs_Refineries'!$B$85:$B$164,"Boiler")/SUM(SUMIFS('Key inputs_Refineries'!S$85:S$164,'Key inputs_Refineries'!$C$85:$C$164,$C640:$C649,'Key inputs_Refineries'!$B$85:$B$164,"Boiler"))),0)</f>
        <v>0</v>
      </c>
      <c r="Z643" s="173" cm="1">
        <f t="array" ref="Z643">IFERROR(IF(AND(SUMIFS('Key inputs_Refineries'!T$85:T$164,'Key inputs_Refineries'!$C$85:$C$164,$C643,'Key inputs_Refineries'!$B$85:$B$164,"Boiler")/SUM(SUMIFS('Key inputs_Refineries'!T$85:T$164,'Key inputs_Refineries'!$C$85:$C$164,$C640:$C649,'Key inputs_Refineries'!$B$85:$B$164,"Boiler"))&gt;0,SUMIFS('Key inputs_Refineries'!T$85:T$164,'Key inputs_Refineries'!$C$85:$C$164,$C643,'Key inputs_Refineries'!$B$85:$B$164,"Boiler")/SUM(SUMIFS('Key inputs_Refineries'!T$85:T$164,'Key inputs_Refineries'!$C$85:$C$164,$C640:$C649,'Key inputs_Refineries'!$B$85:$B$164,"Boiler"))&lt;0.001),0.001,SUMIFS('Key inputs_Refineries'!T$85:T$164,'Key inputs_Refineries'!$C$85:$C$164,$C643,'Key inputs_Refineries'!$B$85:$B$164,"Boiler")/SUM(SUMIFS('Key inputs_Refineries'!T$85:T$164,'Key inputs_Refineries'!$C$85:$C$164,$C640:$C649,'Key inputs_Refineries'!$B$85:$B$164,"Boiler"))),0)</f>
        <v>0</v>
      </c>
      <c r="AA643" s="173" cm="1">
        <f t="array" ref="AA643">IFERROR(IF(AND(SUMIFS('Key inputs_Refineries'!U$85:U$164,'Key inputs_Refineries'!$C$85:$C$164,$C643,'Key inputs_Refineries'!$B$85:$B$164,"Boiler")/SUM(SUMIFS('Key inputs_Refineries'!U$85:U$164,'Key inputs_Refineries'!$C$85:$C$164,$C640:$C649,'Key inputs_Refineries'!$B$85:$B$164,"Boiler"))&gt;0,SUMIFS('Key inputs_Refineries'!U$85:U$164,'Key inputs_Refineries'!$C$85:$C$164,$C643,'Key inputs_Refineries'!$B$85:$B$164,"Boiler")/SUM(SUMIFS('Key inputs_Refineries'!U$85:U$164,'Key inputs_Refineries'!$C$85:$C$164,$C640:$C649,'Key inputs_Refineries'!$B$85:$B$164,"Boiler"))&lt;0.001),0.001,SUMIFS('Key inputs_Refineries'!U$85:U$164,'Key inputs_Refineries'!$C$85:$C$164,$C643,'Key inputs_Refineries'!$B$85:$B$164,"Boiler")/SUM(SUMIFS('Key inputs_Refineries'!U$85:U$164,'Key inputs_Refineries'!$C$85:$C$164,$C640:$C649,'Key inputs_Refineries'!$B$85:$B$164,"Boiler"))),0)</f>
        <v>0</v>
      </c>
      <c r="AB643" s="173" cm="1">
        <f t="array" ref="AB643">IFERROR(IF(AND(SUMIFS('Key inputs_Refineries'!V$85:V$164,'Key inputs_Refineries'!$C$85:$C$164,$C643,'Key inputs_Refineries'!$B$85:$B$164,"Boiler")/SUM(SUMIFS('Key inputs_Refineries'!V$85:V$164,'Key inputs_Refineries'!$C$85:$C$164,$C640:$C649,'Key inputs_Refineries'!$B$85:$B$164,"Boiler"))&gt;0,SUMIFS('Key inputs_Refineries'!V$85:V$164,'Key inputs_Refineries'!$C$85:$C$164,$C643,'Key inputs_Refineries'!$B$85:$B$164,"Boiler")/SUM(SUMIFS('Key inputs_Refineries'!V$85:V$164,'Key inputs_Refineries'!$C$85:$C$164,$C640:$C649,'Key inputs_Refineries'!$B$85:$B$164,"Boiler"))&lt;0.001),0.001,SUMIFS('Key inputs_Refineries'!V$85:V$164,'Key inputs_Refineries'!$C$85:$C$164,$C643,'Key inputs_Refineries'!$B$85:$B$164,"Boiler")/SUM(SUMIFS('Key inputs_Refineries'!V$85:V$164,'Key inputs_Refineries'!$C$85:$C$164,$C640:$C649,'Key inputs_Refineries'!$B$85:$B$164,"Boiler"))),0)</f>
        <v>0</v>
      </c>
      <c r="AC643" s="173" cm="1">
        <f t="array" ref="AC643">IFERROR(IF(AND(SUMIFS('Key inputs_Refineries'!W$85:W$164,'Key inputs_Refineries'!$C$85:$C$164,$C643,'Key inputs_Refineries'!$B$85:$B$164,"Boiler")/SUM(SUMIFS('Key inputs_Refineries'!W$85:W$164,'Key inputs_Refineries'!$C$85:$C$164,$C640:$C649,'Key inputs_Refineries'!$B$85:$B$164,"Boiler"))&gt;0,SUMIFS('Key inputs_Refineries'!W$85:W$164,'Key inputs_Refineries'!$C$85:$C$164,$C643,'Key inputs_Refineries'!$B$85:$B$164,"Boiler")/SUM(SUMIFS('Key inputs_Refineries'!W$85:W$164,'Key inputs_Refineries'!$C$85:$C$164,$C640:$C649,'Key inputs_Refineries'!$B$85:$B$164,"Boiler"))&lt;0.001),0.001,SUMIFS('Key inputs_Refineries'!W$85:W$164,'Key inputs_Refineries'!$C$85:$C$164,$C643,'Key inputs_Refineries'!$B$85:$B$164,"Boiler")/SUM(SUMIFS('Key inputs_Refineries'!W$85:W$164,'Key inputs_Refineries'!$C$85:$C$164,$C640:$C649,'Key inputs_Refineries'!$B$85:$B$164,"Boiler"))),0)</f>
        <v>0</v>
      </c>
      <c r="AD643" s="173" cm="1">
        <f t="array" ref="AD643">IFERROR(IF(AND(SUMIFS('Key inputs_Refineries'!X$85:X$164,'Key inputs_Refineries'!$C$85:$C$164,$C643,'Key inputs_Refineries'!$B$85:$B$164,"Boiler")/SUM(SUMIFS('Key inputs_Refineries'!X$85:X$164,'Key inputs_Refineries'!$C$85:$C$164,$C640:$C649,'Key inputs_Refineries'!$B$85:$B$164,"Boiler"))&gt;0,SUMIFS('Key inputs_Refineries'!X$85:X$164,'Key inputs_Refineries'!$C$85:$C$164,$C643,'Key inputs_Refineries'!$B$85:$B$164,"Boiler")/SUM(SUMIFS('Key inputs_Refineries'!X$85:X$164,'Key inputs_Refineries'!$C$85:$C$164,$C640:$C649,'Key inputs_Refineries'!$B$85:$B$164,"Boiler"))&lt;0.001),0.001,SUMIFS('Key inputs_Refineries'!X$85:X$164,'Key inputs_Refineries'!$C$85:$C$164,$C643,'Key inputs_Refineries'!$B$85:$B$164,"Boiler")/SUM(SUMIFS('Key inputs_Refineries'!X$85:X$164,'Key inputs_Refineries'!$C$85:$C$164,$C640:$C649,'Key inputs_Refineries'!$B$85:$B$164,"Boiler"))),0)</f>
        <v>1E-3</v>
      </c>
      <c r="AE643" s="173" cm="1">
        <f t="array" ref="AE643">IFERROR(IF(AND(SUMIFS('Key inputs_Refineries'!Y$85:Y$164,'Key inputs_Refineries'!$C$85:$C$164,$C643,'Key inputs_Refineries'!$B$85:$B$164,"Boiler")/SUM(SUMIFS('Key inputs_Refineries'!Y$85:Y$164,'Key inputs_Refineries'!$C$85:$C$164,$C640:$C649,'Key inputs_Refineries'!$B$85:$B$164,"Boiler"))&gt;0,SUMIFS('Key inputs_Refineries'!Y$85:Y$164,'Key inputs_Refineries'!$C$85:$C$164,$C643,'Key inputs_Refineries'!$B$85:$B$164,"Boiler")/SUM(SUMIFS('Key inputs_Refineries'!Y$85:Y$164,'Key inputs_Refineries'!$C$85:$C$164,$C640:$C649,'Key inputs_Refineries'!$B$85:$B$164,"Boiler"))&lt;0.001),0.001,SUMIFS('Key inputs_Refineries'!Y$85:Y$164,'Key inputs_Refineries'!$C$85:$C$164,$C643,'Key inputs_Refineries'!$B$85:$B$164,"Boiler")/SUM(SUMIFS('Key inputs_Refineries'!Y$85:Y$164,'Key inputs_Refineries'!$C$85:$C$164,$C640:$C649,'Key inputs_Refineries'!$B$85:$B$164,"Boiler"))),0)</f>
        <v>2.0134433337153691E-2</v>
      </c>
      <c r="AF643" s="173" cm="1">
        <f t="array" ref="AF643">IFERROR(IF(AND(SUMIFS('Key inputs_Refineries'!Z$85:Z$164,'Key inputs_Refineries'!$C$85:$C$164,$C643,'Key inputs_Refineries'!$B$85:$B$164,"Boiler")/SUM(SUMIFS('Key inputs_Refineries'!Z$85:Z$164,'Key inputs_Refineries'!$C$85:$C$164,$C640:$C649,'Key inputs_Refineries'!$B$85:$B$164,"Boiler"))&gt;0,SUMIFS('Key inputs_Refineries'!Z$85:Z$164,'Key inputs_Refineries'!$C$85:$C$164,$C643,'Key inputs_Refineries'!$B$85:$B$164,"Boiler")/SUM(SUMIFS('Key inputs_Refineries'!Z$85:Z$164,'Key inputs_Refineries'!$C$85:$C$164,$C640:$C649,'Key inputs_Refineries'!$B$85:$B$164,"Boiler"))&lt;0.001),0.001,SUMIFS('Key inputs_Refineries'!Z$85:Z$164,'Key inputs_Refineries'!$C$85:$C$164,$C643,'Key inputs_Refineries'!$B$85:$B$164,"Boiler")/SUM(SUMIFS('Key inputs_Refineries'!Z$85:Z$164,'Key inputs_Refineries'!$C$85:$C$164,$C640:$C649,'Key inputs_Refineries'!$B$85:$B$164,"Boiler"))),0)</f>
        <v>0</v>
      </c>
      <c r="AG643" s="173" cm="1">
        <f t="array" ref="AG643">IFERROR(IF(AND(SUMIFS('Key inputs_Refineries'!AA$85:AA$164,'Key inputs_Refineries'!$C$85:$C$164,$C643,'Key inputs_Refineries'!$B$85:$B$164,"Boiler")/SUM(SUMIFS('Key inputs_Refineries'!AA$85:AA$164,'Key inputs_Refineries'!$C$85:$C$164,$C640:$C649,'Key inputs_Refineries'!$B$85:$B$164,"Boiler"))&gt;0,SUMIFS('Key inputs_Refineries'!AA$85:AA$164,'Key inputs_Refineries'!$C$85:$C$164,$C643,'Key inputs_Refineries'!$B$85:$B$164,"Boiler")/SUM(SUMIFS('Key inputs_Refineries'!AA$85:AA$164,'Key inputs_Refineries'!$C$85:$C$164,$C640:$C649,'Key inputs_Refineries'!$B$85:$B$164,"Boiler"))&lt;0.001),0.001,SUMIFS('Key inputs_Refineries'!AA$85:AA$164,'Key inputs_Refineries'!$C$85:$C$164,$C643,'Key inputs_Refineries'!$B$85:$B$164,"Boiler")/SUM(SUMIFS('Key inputs_Refineries'!AA$85:AA$164,'Key inputs_Refineries'!$C$85:$C$164,$C640:$C649,'Key inputs_Refineries'!$B$85:$B$164,"Boiler"))),0)</f>
        <v>0</v>
      </c>
      <c r="AH643" s="173" cm="1">
        <f t="array" ref="AH643">IFERROR(IF(AND(SUMIFS('Key inputs_Refineries'!AB$85:AB$164,'Key inputs_Refineries'!$C$85:$C$164,$C643,'Key inputs_Refineries'!$B$85:$B$164,"Boiler")/SUM(SUMIFS('Key inputs_Refineries'!AB$85:AB$164,'Key inputs_Refineries'!$C$85:$C$164,$C640:$C649,'Key inputs_Refineries'!$B$85:$B$164,"Boiler"))&gt;0,SUMIFS('Key inputs_Refineries'!AB$85:AB$164,'Key inputs_Refineries'!$C$85:$C$164,$C643,'Key inputs_Refineries'!$B$85:$B$164,"Boiler")/SUM(SUMIFS('Key inputs_Refineries'!AB$85:AB$164,'Key inputs_Refineries'!$C$85:$C$164,$C640:$C649,'Key inputs_Refineries'!$B$85:$B$164,"Boiler"))&lt;0.001),0.001,SUMIFS('Key inputs_Refineries'!AB$85:AB$164,'Key inputs_Refineries'!$C$85:$C$164,$C643,'Key inputs_Refineries'!$B$85:$B$164,"Boiler")/SUM(SUMIFS('Key inputs_Refineries'!AB$85:AB$164,'Key inputs_Refineries'!$C$85:$C$164,$C640:$C649,'Key inputs_Refineries'!$B$85:$B$164,"Boiler"))),0)</f>
        <v>0</v>
      </c>
      <c r="AI643" s="173" cm="1">
        <f t="array" ref="AI643">IFERROR(IF(AND(SUMIFS('Key inputs_Refineries'!AC$85:AC$164,'Key inputs_Refineries'!$C$85:$C$164,$C643,'Key inputs_Refineries'!$B$85:$B$164,"Boiler")/SUM(SUMIFS('Key inputs_Refineries'!AC$85:AC$164,'Key inputs_Refineries'!$C$85:$C$164,$C640:$C649,'Key inputs_Refineries'!$B$85:$B$164,"Boiler"))&gt;0,SUMIFS('Key inputs_Refineries'!AC$85:AC$164,'Key inputs_Refineries'!$C$85:$C$164,$C643,'Key inputs_Refineries'!$B$85:$B$164,"Boiler")/SUM(SUMIFS('Key inputs_Refineries'!AC$85:AC$164,'Key inputs_Refineries'!$C$85:$C$164,$C640:$C649,'Key inputs_Refineries'!$B$85:$B$164,"Boiler"))&lt;0.001),0.001,SUMIFS('Key inputs_Refineries'!AC$85:AC$164,'Key inputs_Refineries'!$C$85:$C$164,$C643,'Key inputs_Refineries'!$B$85:$B$164,"Boiler")/SUM(SUMIFS('Key inputs_Refineries'!AC$85:AC$164,'Key inputs_Refineries'!$C$85:$C$164,$C640:$C649,'Key inputs_Refineries'!$B$85:$B$164,"Boiler"))),0)</f>
        <v>0</v>
      </c>
      <c r="AJ643" s="173" cm="1">
        <f t="array" ref="AJ643">IFERROR(IF(AND(SUMIFS('Key inputs_Refineries'!AD$85:AD$164,'Key inputs_Refineries'!$C$85:$C$164,$C643,'Key inputs_Refineries'!$B$85:$B$164,"Boiler")/SUM(SUMIFS('Key inputs_Refineries'!AD$85:AD$164,'Key inputs_Refineries'!$C$85:$C$164,$C640:$C649,'Key inputs_Refineries'!$B$85:$B$164,"Boiler"))&gt;0,SUMIFS('Key inputs_Refineries'!AD$85:AD$164,'Key inputs_Refineries'!$C$85:$C$164,$C643,'Key inputs_Refineries'!$B$85:$B$164,"Boiler")/SUM(SUMIFS('Key inputs_Refineries'!AD$85:AD$164,'Key inputs_Refineries'!$C$85:$C$164,$C640:$C649,'Key inputs_Refineries'!$B$85:$B$164,"Boiler"))&lt;0.001),0.001,SUMIFS('Key inputs_Refineries'!AD$85:AD$164,'Key inputs_Refineries'!$C$85:$C$164,$C643,'Key inputs_Refineries'!$B$85:$B$164,"Boiler")/SUM(SUMIFS('Key inputs_Refineries'!AD$85:AD$164,'Key inputs_Refineries'!$C$85:$C$164,$C640:$C649,'Key inputs_Refineries'!$B$85:$B$164,"Boiler"))),0)</f>
        <v>0</v>
      </c>
      <c r="AK643" s="173" cm="1">
        <f t="array" ref="AK643">IFERROR(IF(AND(SUMIFS('Key inputs_Refineries'!AE$85:AE$164,'Key inputs_Refineries'!$C$85:$C$164,$C643,'Key inputs_Refineries'!$B$85:$B$164,"Boiler")/SUM(SUMIFS('Key inputs_Refineries'!AE$85:AE$164,'Key inputs_Refineries'!$C$85:$C$164,$C640:$C649,'Key inputs_Refineries'!$B$85:$B$164,"Boiler"))&gt;0,SUMIFS('Key inputs_Refineries'!AE$85:AE$164,'Key inputs_Refineries'!$C$85:$C$164,$C643,'Key inputs_Refineries'!$B$85:$B$164,"Boiler")/SUM(SUMIFS('Key inputs_Refineries'!AE$85:AE$164,'Key inputs_Refineries'!$C$85:$C$164,$C640:$C649,'Key inputs_Refineries'!$B$85:$B$164,"Boiler"))&lt;0.001),0.001,SUMIFS('Key inputs_Refineries'!AE$85:AE$164,'Key inputs_Refineries'!$C$85:$C$164,$C643,'Key inputs_Refineries'!$B$85:$B$164,"Boiler")/SUM(SUMIFS('Key inputs_Refineries'!AE$85:AE$164,'Key inputs_Refineries'!$C$85:$C$164,$C640:$C649,'Key inputs_Refineries'!$B$85:$B$164,"Boiler"))),0)</f>
        <v>0</v>
      </c>
      <c r="AL643" s="173" cm="1">
        <f t="array" ref="AL643">IFERROR(IF(AND(SUMIFS('Key inputs_Refineries'!AF$85:AF$164,'Key inputs_Refineries'!$C$85:$C$164,$C643,'Key inputs_Refineries'!$B$85:$B$164,"Boiler")/SUM(SUMIFS('Key inputs_Refineries'!AF$85:AF$164,'Key inputs_Refineries'!$C$85:$C$164,$C640:$C649,'Key inputs_Refineries'!$B$85:$B$164,"Boiler"))&gt;0,SUMIFS('Key inputs_Refineries'!AF$85:AF$164,'Key inputs_Refineries'!$C$85:$C$164,$C643,'Key inputs_Refineries'!$B$85:$B$164,"Boiler")/SUM(SUMIFS('Key inputs_Refineries'!AF$85:AF$164,'Key inputs_Refineries'!$C$85:$C$164,$C640:$C649,'Key inputs_Refineries'!$B$85:$B$164,"Boiler"))&lt;0.001),0.001,SUMIFS('Key inputs_Refineries'!AF$85:AF$164,'Key inputs_Refineries'!$C$85:$C$164,$C643,'Key inputs_Refineries'!$B$85:$B$164,"Boiler")/SUM(SUMIFS('Key inputs_Refineries'!AF$85:AF$164,'Key inputs_Refineries'!$C$85:$C$164,$C640:$C649,'Key inputs_Refineries'!$B$85:$B$164,"Boiler"))),0)</f>
        <v>2.4176673865044865E-3</v>
      </c>
    </row>
    <row r="644" spans="1:38">
      <c r="C644" t="str">
        <f>Commodities!$C$95</f>
        <v>UPSHFO</v>
      </c>
      <c r="G644" s="4" t="s">
        <v>702</v>
      </c>
      <c r="H644" t="s">
        <v>661</v>
      </c>
      <c r="I644">
        <v>2019</v>
      </c>
      <c r="J644" t="s">
        <v>650</v>
      </c>
      <c r="K644" s="173" cm="1">
        <f t="array" ref="K644">IFERROR(IF(AND(SUMIFS('Key inputs_Refineries'!E$85:E$164,'Key inputs_Refineries'!$C$85:$C$164,$C644,'Key inputs_Refineries'!$B$85:$B$164,"Boiler")/SUM(SUMIFS('Key inputs_Refineries'!E$85:E$164,'Key inputs_Refineries'!$C$85:$C$164,$C640:$C649,'Key inputs_Refineries'!$B$85:$B$164,"Boiler"))&gt;0,SUMIFS('Key inputs_Refineries'!E$85:E$164,'Key inputs_Refineries'!$C$85:$C$164,$C644,'Key inputs_Refineries'!$B$85:$B$164,"Boiler")/SUM(SUMIFS('Key inputs_Refineries'!E$85:E$164,'Key inputs_Refineries'!$C$85:$C$164,$C640:$C649,'Key inputs_Refineries'!$B$85:$B$164,"Boiler"))&lt;0.001),0.001,SUMIFS('Key inputs_Refineries'!E$85:E$164,'Key inputs_Refineries'!$C$85:$C$164,$C644,'Key inputs_Refineries'!$B$85:$B$164,"Boiler")/SUM(SUMIFS('Key inputs_Refineries'!E$85:E$164,'Key inputs_Refineries'!$C$85:$C$164,$C640:$C649,'Key inputs_Refineries'!$B$85:$B$164,"Boiler"))),0)</f>
        <v>0</v>
      </c>
      <c r="L644" s="173" cm="1">
        <f t="array" ref="L644">IFERROR(IF(AND(SUMIFS('Key inputs_Refineries'!F$85:F$164,'Key inputs_Refineries'!$C$85:$C$164,$C644,'Key inputs_Refineries'!$B$85:$B$164,"Boiler")/SUM(SUMIFS('Key inputs_Refineries'!F$85:F$164,'Key inputs_Refineries'!$C$85:$C$164,$C640:$C649,'Key inputs_Refineries'!$B$85:$B$164,"Boiler"))&gt;0,SUMIFS('Key inputs_Refineries'!F$85:F$164,'Key inputs_Refineries'!$C$85:$C$164,$C644,'Key inputs_Refineries'!$B$85:$B$164,"Boiler")/SUM(SUMIFS('Key inputs_Refineries'!F$85:F$164,'Key inputs_Refineries'!$C$85:$C$164,$C640:$C649,'Key inputs_Refineries'!$B$85:$B$164,"Boiler"))&lt;0.001),0.001,SUMIFS('Key inputs_Refineries'!F$85:F$164,'Key inputs_Refineries'!$C$85:$C$164,$C644,'Key inputs_Refineries'!$B$85:$B$164,"Boiler")/SUM(SUMIFS('Key inputs_Refineries'!F$85:F$164,'Key inputs_Refineries'!$C$85:$C$164,$C640:$C649,'Key inputs_Refineries'!$B$85:$B$164,"Boiler"))),0)</f>
        <v>0.37465171294428523</v>
      </c>
      <c r="M644" s="173" cm="1">
        <f t="array" ref="M644">IFERROR(IF(AND(SUMIFS('Key inputs_Refineries'!G$85:G$164,'Key inputs_Refineries'!$C$85:$C$164,$C644,'Key inputs_Refineries'!$B$85:$B$164,"Boiler")/SUM(SUMIFS('Key inputs_Refineries'!G$85:G$164,'Key inputs_Refineries'!$C$85:$C$164,$C640:$C649,'Key inputs_Refineries'!$B$85:$B$164,"Boiler"))&gt;0,SUMIFS('Key inputs_Refineries'!G$85:G$164,'Key inputs_Refineries'!$C$85:$C$164,$C644,'Key inputs_Refineries'!$B$85:$B$164,"Boiler")/SUM(SUMIFS('Key inputs_Refineries'!G$85:G$164,'Key inputs_Refineries'!$C$85:$C$164,$C640:$C649,'Key inputs_Refineries'!$B$85:$B$164,"Boiler"))&lt;0.001),0.001,SUMIFS('Key inputs_Refineries'!G$85:G$164,'Key inputs_Refineries'!$C$85:$C$164,$C644,'Key inputs_Refineries'!$B$85:$B$164,"Boiler")/SUM(SUMIFS('Key inputs_Refineries'!G$85:G$164,'Key inputs_Refineries'!$C$85:$C$164,$C640:$C649,'Key inputs_Refineries'!$B$85:$B$164,"Boiler"))),0)</f>
        <v>0.51919100635285487</v>
      </c>
      <c r="N644" s="173" cm="1">
        <f t="array" ref="N644">IFERROR(IF(AND(SUMIFS('Key inputs_Refineries'!H$85:H$164,'Key inputs_Refineries'!$C$85:$C$164,$C644,'Key inputs_Refineries'!$B$85:$B$164,"Boiler")/SUM(SUMIFS('Key inputs_Refineries'!H$85:H$164,'Key inputs_Refineries'!$C$85:$C$164,$C640:$C649,'Key inputs_Refineries'!$B$85:$B$164,"Boiler"))&gt;0,SUMIFS('Key inputs_Refineries'!H$85:H$164,'Key inputs_Refineries'!$C$85:$C$164,$C644,'Key inputs_Refineries'!$B$85:$B$164,"Boiler")/SUM(SUMIFS('Key inputs_Refineries'!H$85:H$164,'Key inputs_Refineries'!$C$85:$C$164,$C640:$C649,'Key inputs_Refineries'!$B$85:$B$164,"Boiler"))&lt;0.001),0.001,SUMIFS('Key inputs_Refineries'!H$85:H$164,'Key inputs_Refineries'!$C$85:$C$164,$C644,'Key inputs_Refineries'!$B$85:$B$164,"Boiler")/SUM(SUMIFS('Key inputs_Refineries'!H$85:H$164,'Key inputs_Refineries'!$C$85:$C$164,$C640:$C649,'Key inputs_Refineries'!$B$85:$B$164,"Boiler"))),0)</f>
        <v>0</v>
      </c>
      <c r="O644" s="173" cm="1">
        <f t="array" ref="O644">IFERROR(IF(AND(SUMIFS('Key inputs_Refineries'!I$85:I$164,'Key inputs_Refineries'!$C$85:$C$164,$C644,'Key inputs_Refineries'!$B$85:$B$164,"Boiler")/SUM(SUMIFS('Key inputs_Refineries'!I$85:I$164,'Key inputs_Refineries'!$C$85:$C$164,$C640:$C649,'Key inputs_Refineries'!$B$85:$B$164,"Boiler"))&gt;0,SUMIFS('Key inputs_Refineries'!I$85:I$164,'Key inputs_Refineries'!$C$85:$C$164,$C644,'Key inputs_Refineries'!$B$85:$B$164,"Boiler")/SUM(SUMIFS('Key inputs_Refineries'!I$85:I$164,'Key inputs_Refineries'!$C$85:$C$164,$C640:$C649,'Key inputs_Refineries'!$B$85:$B$164,"Boiler"))&lt;0.001),0.001,SUMIFS('Key inputs_Refineries'!I$85:I$164,'Key inputs_Refineries'!$C$85:$C$164,$C644,'Key inputs_Refineries'!$B$85:$B$164,"Boiler")/SUM(SUMIFS('Key inputs_Refineries'!I$85:I$164,'Key inputs_Refineries'!$C$85:$C$164,$C640:$C649,'Key inputs_Refineries'!$B$85:$B$164,"Boiler"))),0)</f>
        <v>9.1734191639610982E-2</v>
      </c>
      <c r="P644" s="173" cm="1">
        <f t="array" ref="P644">IFERROR(IF(AND(SUMIFS('Key inputs_Refineries'!J$85:J$164,'Key inputs_Refineries'!$C$85:$C$164,$C644,'Key inputs_Refineries'!$B$85:$B$164,"Boiler")/SUM(SUMIFS('Key inputs_Refineries'!J$85:J$164,'Key inputs_Refineries'!$C$85:$C$164,$C640:$C649,'Key inputs_Refineries'!$B$85:$B$164,"Boiler"))&gt;0,SUMIFS('Key inputs_Refineries'!J$85:J$164,'Key inputs_Refineries'!$C$85:$C$164,$C644,'Key inputs_Refineries'!$B$85:$B$164,"Boiler")/SUM(SUMIFS('Key inputs_Refineries'!J$85:J$164,'Key inputs_Refineries'!$C$85:$C$164,$C640:$C649,'Key inputs_Refineries'!$B$85:$B$164,"Boiler"))&lt;0.001),0.001,SUMIFS('Key inputs_Refineries'!J$85:J$164,'Key inputs_Refineries'!$C$85:$C$164,$C644,'Key inputs_Refineries'!$B$85:$B$164,"Boiler")/SUM(SUMIFS('Key inputs_Refineries'!J$85:J$164,'Key inputs_Refineries'!$C$85:$C$164,$C640:$C649,'Key inputs_Refineries'!$B$85:$B$164,"Boiler"))),0)</f>
        <v>0.10352194303840895</v>
      </c>
      <c r="Q644" s="173" cm="1">
        <f t="array" ref="Q644">IFERROR(IF(AND(SUMIFS('Key inputs_Refineries'!K$85:K$164,'Key inputs_Refineries'!$C$85:$C$164,$C644,'Key inputs_Refineries'!$B$85:$B$164,"Boiler")/SUM(SUMIFS('Key inputs_Refineries'!K$85:K$164,'Key inputs_Refineries'!$C$85:$C$164,$C640:$C649,'Key inputs_Refineries'!$B$85:$B$164,"Boiler"))&gt;0,SUMIFS('Key inputs_Refineries'!K$85:K$164,'Key inputs_Refineries'!$C$85:$C$164,$C644,'Key inputs_Refineries'!$B$85:$B$164,"Boiler")/SUM(SUMIFS('Key inputs_Refineries'!K$85:K$164,'Key inputs_Refineries'!$C$85:$C$164,$C640:$C649,'Key inputs_Refineries'!$B$85:$B$164,"Boiler"))&lt;0.001),0.001,SUMIFS('Key inputs_Refineries'!K$85:K$164,'Key inputs_Refineries'!$C$85:$C$164,$C644,'Key inputs_Refineries'!$B$85:$B$164,"Boiler")/SUM(SUMIFS('Key inputs_Refineries'!K$85:K$164,'Key inputs_Refineries'!$C$85:$C$164,$C640:$C649,'Key inputs_Refineries'!$B$85:$B$164,"Boiler"))),0)</f>
        <v>0.91831941777916681</v>
      </c>
      <c r="R644" s="173" cm="1">
        <f t="array" ref="R644">IFERROR(IF(AND(SUMIFS('Key inputs_Refineries'!L$85:L$164,'Key inputs_Refineries'!$C$85:$C$164,$C644,'Key inputs_Refineries'!$B$85:$B$164,"Boiler")/SUM(SUMIFS('Key inputs_Refineries'!L$85:L$164,'Key inputs_Refineries'!$C$85:$C$164,$C640:$C649,'Key inputs_Refineries'!$B$85:$B$164,"Boiler"))&gt;0,SUMIFS('Key inputs_Refineries'!L$85:L$164,'Key inputs_Refineries'!$C$85:$C$164,$C644,'Key inputs_Refineries'!$B$85:$B$164,"Boiler")/SUM(SUMIFS('Key inputs_Refineries'!L$85:L$164,'Key inputs_Refineries'!$C$85:$C$164,$C640:$C649,'Key inputs_Refineries'!$B$85:$B$164,"Boiler"))&lt;0.001),0.001,SUMIFS('Key inputs_Refineries'!L$85:L$164,'Key inputs_Refineries'!$C$85:$C$164,$C644,'Key inputs_Refineries'!$B$85:$B$164,"Boiler")/SUM(SUMIFS('Key inputs_Refineries'!L$85:L$164,'Key inputs_Refineries'!$C$85:$C$164,$C640:$C649,'Key inputs_Refineries'!$B$85:$B$164,"Boiler"))),0)</f>
        <v>1</v>
      </c>
      <c r="S644" s="173" cm="1">
        <f t="array" ref="S644">IFERROR(IF(AND(SUMIFS('Key inputs_Refineries'!M$85:M$164,'Key inputs_Refineries'!$C$85:$C$164,$C644,'Key inputs_Refineries'!$B$85:$B$164,"Boiler")/SUM(SUMIFS('Key inputs_Refineries'!M$85:M$164,'Key inputs_Refineries'!$C$85:$C$164,$C640:$C649,'Key inputs_Refineries'!$B$85:$B$164,"Boiler"))&gt;0,SUMIFS('Key inputs_Refineries'!M$85:M$164,'Key inputs_Refineries'!$C$85:$C$164,$C644,'Key inputs_Refineries'!$B$85:$B$164,"Boiler")/SUM(SUMIFS('Key inputs_Refineries'!M$85:M$164,'Key inputs_Refineries'!$C$85:$C$164,$C640:$C649,'Key inputs_Refineries'!$B$85:$B$164,"Boiler"))&lt;0.001),0.001,SUMIFS('Key inputs_Refineries'!M$85:M$164,'Key inputs_Refineries'!$C$85:$C$164,$C644,'Key inputs_Refineries'!$B$85:$B$164,"Boiler")/SUM(SUMIFS('Key inputs_Refineries'!M$85:M$164,'Key inputs_Refineries'!$C$85:$C$164,$C640:$C649,'Key inputs_Refineries'!$B$85:$B$164,"Boiler"))),0)</f>
        <v>0.96494826723174043</v>
      </c>
      <c r="T644" s="173" cm="1">
        <f t="array" ref="T644">IFERROR(IF(AND(SUMIFS('Key inputs_Refineries'!N$85:N$164,'Key inputs_Refineries'!$C$85:$C$164,$C644,'Key inputs_Refineries'!$B$85:$B$164,"Boiler")/SUM(SUMIFS('Key inputs_Refineries'!N$85:N$164,'Key inputs_Refineries'!$C$85:$C$164,$C640:$C649,'Key inputs_Refineries'!$B$85:$B$164,"Boiler"))&gt;0,SUMIFS('Key inputs_Refineries'!N$85:N$164,'Key inputs_Refineries'!$C$85:$C$164,$C644,'Key inputs_Refineries'!$B$85:$B$164,"Boiler")/SUM(SUMIFS('Key inputs_Refineries'!N$85:N$164,'Key inputs_Refineries'!$C$85:$C$164,$C640:$C649,'Key inputs_Refineries'!$B$85:$B$164,"Boiler"))&lt;0.001),0.001,SUMIFS('Key inputs_Refineries'!N$85:N$164,'Key inputs_Refineries'!$C$85:$C$164,$C644,'Key inputs_Refineries'!$B$85:$B$164,"Boiler")/SUM(SUMIFS('Key inputs_Refineries'!N$85:N$164,'Key inputs_Refineries'!$C$85:$C$164,$C640:$C649,'Key inputs_Refineries'!$B$85:$B$164,"Boiler"))),0)</f>
        <v>6.3476982152369937E-3</v>
      </c>
      <c r="U644" s="173" cm="1">
        <f t="array" ref="U644">IFERROR(IF(AND(SUMIFS('Key inputs_Refineries'!O$85:O$164,'Key inputs_Refineries'!$C$85:$C$164,$C644,'Key inputs_Refineries'!$B$85:$B$164,"Boiler")/SUM(SUMIFS('Key inputs_Refineries'!O$85:O$164,'Key inputs_Refineries'!$C$85:$C$164,$C640:$C649,'Key inputs_Refineries'!$B$85:$B$164,"Boiler"))&gt;0,SUMIFS('Key inputs_Refineries'!O$85:O$164,'Key inputs_Refineries'!$C$85:$C$164,$C644,'Key inputs_Refineries'!$B$85:$B$164,"Boiler")/SUM(SUMIFS('Key inputs_Refineries'!O$85:O$164,'Key inputs_Refineries'!$C$85:$C$164,$C640:$C649,'Key inputs_Refineries'!$B$85:$B$164,"Boiler"))&lt;0.001),0.001,SUMIFS('Key inputs_Refineries'!O$85:O$164,'Key inputs_Refineries'!$C$85:$C$164,$C644,'Key inputs_Refineries'!$B$85:$B$164,"Boiler")/SUM(SUMIFS('Key inputs_Refineries'!O$85:O$164,'Key inputs_Refineries'!$C$85:$C$164,$C640:$C649,'Key inputs_Refineries'!$B$85:$B$164,"Boiler"))),0)</f>
        <v>0.61457033647315606</v>
      </c>
      <c r="V644" s="173" cm="1">
        <f t="array" ref="V644">IFERROR(IF(AND(SUMIFS('Key inputs_Refineries'!P$85:P$164,'Key inputs_Refineries'!$C$85:$C$164,$C644,'Key inputs_Refineries'!$B$85:$B$164,"Boiler")/SUM(SUMIFS('Key inputs_Refineries'!P$85:P$164,'Key inputs_Refineries'!$C$85:$C$164,$C640:$C649,'Key inputs_Refineries'!$B$85:$B$164,"Boiler"))&gt;0,SUMIFS('Key inputs_Refineries'!P$85:P$164,'Key inputs_Refineries'!$C$85:$C$164,$C644,'Key inputs_Refineries'!$B$85:$B$164,"Boiler")/SUM(SUMIFS('Key inputs_Refineries'!P$85:P$164,'Key inputs_Refineries'!$C$85:$C$164,$C640:$C649,'Key inputs_Refineries'!$B$85:$B$164,"Boiler"))&lt;0.001),0.001,SUMIFS('Key inputs_Refineries'!P$85:P$164,'Key inputs_Refineries'!$C$85:$C$164,$C644,'Key inputs_Refineries'!$B$85:$B$164,"Boiler")/SUM(SUMIFS('Key inputs_Refineries'!P$85:P$164,'Key inputs_Refineries'!$C$85:$C$164,$C640:$C649,'Key inputs_Refineries'!$B$85:$B$164,"Boiler"))),0)</f>
        <v>6.3407167375633859E-3</v>
      </c>
      <c r="W644" s="173" cm="1">
        <f t="array" ref="W644">IFERROR(IF(AND(SUMIFS('Key inputs_Refineries'!Q$85:Q$164,'Key inputs_Refineries'!$C$85:$C$164,$C644,'Key inputs_Refineries'!$B$85:$B$164,"Boiler")/SUM(SUMIFS('Key inputs_Refineries'!Q$85:Q$164,'Key inputs_Refineries'!$C$85:$C$164,$C640:$C649,'Key inputs_Refineries'!$B$85:$B$164,"Boiler"))&gt;0,SUMIFS('Key inputs_Refineries'!Q$85:Q$164,'Key inputs_Refineries'!$C$85:$C$164,$C644,'Key inputs_Refineries'!$B$85:$B$164,"Boiler")/SUM(SUMIFS('Key inputs_Refineries'!Q$85:Q$164,'Key inputs_Refineries'!$C$85:$C$164,$C640:$C649,'Key inputs_Refineries'!$B$85:$B$164,"Boiler"))&lt;0.001),0.001,SUMIFS('Key inputs_Refineries'!Q$85:Q$164,'Key inputs_Refineries'!$C$85:$C$164,$C644,'Key inputs_Refineries'!$B$85:$B$164,"Boiler")/SUM(SUMIFS('Key inputs_Refineries'!Q$85:Q$164,'Key inputs_Refineries'!$C$85:$C$164,$C640:$C649,'Key inputs_Refineries'!$B$85:$B$164,"Boiler"))),0)</f>
        <v>0.94164147828318123</v>
      </c>
      <c r="X644" s="173" cm="1">
        <f t="array" ref="X644">IFERROR(IF(AND(SUMIFS('Key inputs_Refineries'!R$85:R$164,'Key inputs_Refineries'!$C$85:$C$164,$C644,'Key inputs_Refineries'!$B$85:$B$164,"Boiler")/SUM(SUMIFS('Key inputs_Refineries'!R$85:R$164,'Key inputs_Refineries'!$C$85:$C$164,$C640:$C649,'Key inputs_Refineries'!$B$85:$B$164,"Boiler"))&gt;0,SUMIFS('Key inputs_Refineries'!R$85:R$164,'Key inputs_Refineries'!$C$85:$C$164,$C644,'Key inputs_Refineries'!$B$85:$B$164,"Boiler")/SUM(SUMIFS('Key inputs_Refineries'!R$85:R$164,'Key inputs_Refineries'!$C$85:$C$164,$C640:$C649,'Key inputs_Refineries'!$B$85:$B$164,"Boiler"))&lt;0.001),0.001,SUMIFS('Key inputs_Refineries'!R$85:R$164,'Key inputs_Refineries'!$C$85:$C$164,$C644,'Key inputs_Refineries'!$B$85:$B$164,"Boiler")/SUM(SUMIFS('Key inputs_Refineries'!R$85:R$164,'Key inputs_Refineries'!$C$85:$C$164,$C640:$C649,'Key inputs_Refineries'!$B$85:$B$164,"Boiler"))),0)</f>
        <v>0.1905876476082399</v>
      </c>
      <c r="Y644" s="173" cm="1">
        <f t="array" ref="Y644">IFERROR(IF(AND(SUMIFS('Key inputs_Refineries'!S$85:S$164,'Key inputs_Refineries'!$C$85:$C$164,$C644,'Key inputs_Refineries'!$B$85:$B$164,"Boiler")/SUM(SUMIFS('Key inputs_Refineries'!S$85:S$164,'Key inputs_Refineries'!$C$85:$C$164,$C640:$C649,'Key inputs_Refineries'!$B$85:$B$164,"Boiler"))&gt;0,SUMIFS('Key inputs_Refineries'!S$85:S$164,'Key inputs_Refineries'!$C$85:$C$164,$C644,'Key inputs_Refineries'!$B$85:$B$164,"Boiler")/SUM(SUMIFS('Key inputs_Refineries'!S$85:S$164,'Key inputs_Refineries'!$C$85:$C$164,$C640:$C649,'Key inputs_Refineries'!$B$85:$B$164,"Boiler"))&lt;0.001),0.001,SUMIFS('Key inputs_Refineries'!S$85:S$164,'Key inputs_Refineries'!$C$85:$C$164,$C644,'Key inputs_Refineries'!$B$85:$B$164,"Boiler")/SUM(SUMIFS('Key inputs_Refineries'!S$85:S$164,'Key inputs_Refineries'!$C$85:$C$164,$C640:$C649,'Key inputs_Refineries'!$B$85:$B$164,"Boiler"))),0)</f>
        <v>0.42885543845730389</v>
      </c>
      <c r="Z644" s="173" cm="1">
        <f t="array" ref="Z644">IFERROR(IF(AND(SUMIFS('Key inputs_Refineries'!T$85:T$164,'Key inputs_Refineries'!$C$85:$C$164,$C644,'Key inputs_Refineries'!$B$85:$B$164,"Boiler")/SUM(SUMIFS('Key inputs_Refineries'!T$85:T$164,'Key inputs_Refineries'!$C$85:$C$164,$C640:$C649,'Key inputs_Refineries'!$B$85:$B$164,"Boiler"))&gt;0,SUMIFS('Key inputs_Refineries'!T$85:T$164,'Key inputs_Refineries'!$C$85:$C$164,$C644,'Key inputs_Refineries'!$B$85:$B$164,"Boiler")/SUM(SUMIFS('Key inputs_Refineries'!T$85:T$164,'Key inputs_Refineries'!$C$85:$C$164,$C640:$C649,'Key inputs_Refineries'!$B$85:$B$164,"Boiler"))&lt;0.001),0.001,SUMIFS('Key inputs_Refineries'!T$85:T$164,'Key inputs_Refineries'!$C$85:$C$164,$C644,'Key inputs_Refineries'!$B$85:$B$164,"Boiler")/SUM(SUMIFS('Key inputs_Refineries'!T$85:T$164,'Key inputs_Refineries'!$C$85:$C$164,$C640:$C649,'Key inputs_Refineries'!$B$85:$B$164,"Boiler"))),0)</f>
        <v>0.25806013116659293</v>
      </c>
      <c r="AA644" s="173" cm="1">
        <f t="array" ref="AA644">IFERROR(IF(AND(SUMIFS('Key inputs_Refineries'!U$85:U$164,'Key inputs_Refineries'!$C$85:$C$164,$C644,'Key inputs_Refineries'!$B$85:$B$164,"Boiler")/SUM(SUMIFS('Key inputs_Refineries'!U$85:U$164,'Key inputs_Refineries'!$C$85:$C$164,$C640:$C649,'Key inputs_Refineries'!$B$85:$B$164,"Boiler"))&gt;0,SUMIFS('Key inputs_Refineries'!U$85:U$164,'Key inputs_Refineries'!$C$85:$C$164,$C644,'Key inputs_Refineries'!$B$85:$B$164,"Boiler")/SUM(SUMIFS('Key inputs_Refineries'!U$85:U$164,'Key inputs_Refineries'!$C$85:$C$164,$C640:$C649,'Key inputs_Refineries'!$B$85:$B$164,"Boiler"))&lt;0.001),0.001,SUMIFS('Key inputs_Refineries'!U$85:U$164,'Key inputs_Refineries'!$C$85:$C$164,$C644,'Key inputs_Refineries'!$B$85:$B$164,"Boiler")/SUM(SUMIFS('Key inputs_Refineries'!U$85:U$164,'Key inputs_Refineries'!$C$85:$C$164,$C640:$C649,'Key inputs_Refineries'!$B$85:$B$164,"Boiler"))),0)</f>
        <v>0.39154120435237949</v>
      </c>
      <c r="AB644" s="173" cm="1">
        <f t="array" ref="AB644">IFERROR(IF(AND(SUMIFS('Key inputs_Refineries'!V$85:V$164,'Key inputs_Refineries'!$C$85:$C$164,$C644,'Key inputs_Refineries'!$B$85:$B$164,"Boiler")/SUM(SUMIFS('Key inputs_Refineries'!V$85:V$164,'Key inputs_Refineries'!$C$85:$C$164,$C640:$C649,'Key inputs_Refineries'!$B$85:$B$164,"Boiler"))&gt;0,SUMIFS('Key inputs_Refineries'!V$85:V$164,'Key inputs_Refineries'!$C$85:$C$164,$C644,'Key inputs_Refineries'!$B$85:$B$164,"Boiler")/SUM(SUMIFS('Key inputs_Refineries'!V$85:V$164,'Key inputs_Refineries'!$C$85:$C$164,$C640:$C649,'Key inputs_Refineries'!$B$85:$B$164,"Boiler"))&lt;0.001),0.001,SUMIFS('Key inputs_Refineries'!V$85:V$164,'Key inputs_Refineries'!$C$85:$C$164,$C644,'Key inputs_Refineries'!$B$85:$B$164,"Boiler")/SUM(SUMIFS('Key inputs_Refineries'!V$85:V$164,'Key inputs_Refineries'!$C$85:$C$164,$C640:$C649,'Key inputs_Refineries'!$B$85:$B$164,"Boiler"))),0)</f>
        <v>0</v>
      </c>
      <c r="AC644" s="173" cm="1">
        <f t="array" ref="AC644">IFERROR(IF(AND(SUMIFS('Key inputs_Refineries'!W$85:W$164,'Key inputs_Refineries'!$C$85:$C$164,$C644,'Key inputs_Refineries'!$B$85:$B$164,"Boiler")/SUM(SUMIFS('Key inputs_Refineries'!W$85:W$164,'Key inputs_Refineries'!$C$85:$C$164,$C640:$C649,'Key inputs_Refineries'!$B$85:$B$164,"Boiler"))&gt;0,SUMIFS('Key inputs_Refineries'!W$85:W$164,'Key inputs_Refineries'!$C$85:$C$164,$C644,'Key inputs_Refineries'!$B$85:$B$164,"Boiler")/SUM(SUMIFS('Key inputs_Refineries'!W$85:W$164,'Key inputs_Refineries'!$C$85:$C$164,$C640:$C649,'Key inputs_Refineries'!$B$85:$B$164,"Boiler"))&lt;0.001),0.001,SUMIFS('Key inputs_Refineries'!W$85:W$164,'Key inputs_Refineries'!$C$85:$C$164,$C644,'Key inputs_Refineries'!$B$85:$B$164,"Boiler")/SUM(SUMIFS('Key inputs_Refineries'!W$85:W$164,'Key inputs_Refineries'!$C$85:$C$164,$C640:$C649,'Key inputs_Refineries'!$B$85:$B$164,"Boiler"))),0)</f>
        <v>0</v>
      </c>
      <c r="AD644" s="173" cm="1">
        <f t="array" ref="AD644">IFERROR(IF(AND(SUMIFS('Key inputs_Refineries'!X$85:X$164,'Key inputs_Refineries'!$C$85:$C$164,$C644,'Key inputs_Refineries'!$B$85:$B$164,"Boiler")/SUM(SUMIFS('Key inputs_Refineries'!X$85:X$164,'Key inputs_Refineries'!$C$85:$C$164,$C640:$C649,'Key inputs_Refineries'!$B$85:$B$164,"Boiler"))&gt;0,SUMIFS('Key inputs_Refineries'!X$85:X$164,'Key inputs_Refineries'!$C$85:$C$164,$C644,'Key inputs_Refineries'!$B$85:$B$164,"Boiler")/SUM(SUMIFS('Key inputs_Refineries'!X$85:X$164,'Key inputs_Refineries'!$C$85:$C$164,$C640:$C649,'Key inputs_Refineries'!$B$85:$B$164,"Boiler"))&lt;0.001),0.001,SUMIFS('Key inputs_Refineries'!X$85:X$164,'Key inputs_Refineries'!$C$85:$C$164,$C644,'Key inputs_Refineries'!$B$85:$B$164,"Boiler")/SUM(SUMIFS('Key inputs_Refineries'!X$85:X$164,'Key inputs_Refineries'!$C$85:$C$164,$C640:$C649,'Key inputs_Refineries'!$B$85:$B$164,"Boiler"))),0)</f>
        <v>0.4756383948623702</v>
      </c>
      <c r="AE644" s="173" cm="1">
        <f t="array" ref="AE644">IFERROR(IF(AND(SUMIFS('Key inputs_Refineries'!Y$85:Y$164,'Key inputs_Refineries'!$C$85:$C$164,$C644,'Key inputs_Refineries'!$B$85:$B$164,"Boiler")/SUM(SUMIFS('Key inputs_Refineries'!Y$85:Y$164,'Key inputs_Refineries'!$C$85:$C$164,$C640:$C649,'Key inputs_Refineries'!$B$85:$B$164,"Boiler"))&gt;0,SUMIFS('Key inputs_Refineries'!Y$85:Y$164,'Key inputs_Refineries'!$C$85:$C$164,$C644,'Key inputs_Refineries'!$B$85:$B$164,"Boiler")/SUM(SUMIFS('Key inputs_Refineries'!Y$85:Y$164,'Key inputs_Refineries'!$C$85:$C$164,$C640:$C649,'Key inputs_Refineries'!$B$85:$B$164,"Boiler"))&lt;0.001),0.001,SUMIFS('Key inputs_Refineries'!Y$85:Y$164,'Key inputs_Refineries'!$C$85:$C$164,$C644,'Key inputs_Refineries'!$B$85:$B$164,"Boiler")/SUM(SUMIFS('Key inputs_Refineries'!Y$85:Y$164,'Key inputs_Refineries'!$C$85:$C$164,$C640:$C649,'Key inputs_Refineries'!$B$85:$B$164,"Boiler"))),0)</f>
        <v>0.73286575508212493</v>
      </c>
      <c r="AF644" s="173" cm="1">
        <f t="array" ref="AF644">IFERROR(IF(AND(SUMIFS('Key inputs_Refineries'!Z$85:Z$164,'Key inputs_Refineries'!$C$85:$C$164,$C644,'Key inputs_Refineries'!$B$85:$B$164,"Boiler")/SUM(SUMIFS('Key inputs_Refineries'!Z$85:Z$164,'Key inputs_Refineries'!$C$85:$C$164,$C640:$C649,'Key inputs_Refineries'!$B$85:$B$164,"Boiler"))&gt;0,SUMIFS('Key inputs_Refineries'!Z$85:Z$164,'Key inputs_Refineries'!$C$85:$C$164,$C644,'Key inputs_Refineries'!$B$85:$B$164,"Boiler")/SUM(SUMIFS('Key inputs_Refineries'!Z$85:Z$164,'Key inputs_Refineries'!$C$85:$C$164,$C640:$C649,'Key inputs_Refineries'!$B$85:$B$164,"Boiler"))&lt;0.001),0.001,SUMIFS('Key inputs_Refineries'!Z$85:Z$164,'Key inputs_Refineries'!$C$85:$C$164,$C644,'Key inputs_Refineries'!$B$85:$B$164,"Boiler")/SUM(SUMIFS('Key inputs_Refineries'!Z$85:Z$164,'Key inputs_Refineries'!$C$85:$C$164,$C640:$C649,'Key inputs_Refineries'!$B$85:$B$164,"Boiler"))),0)</f>
        <v>0.95711367572637651</v>
      </c>
      <c r="AG644" s="173" cm="1">
        <f t="array" ref="AG644">IFERROR(IF(AND(SUMIFS('Key inputs_Refineries'!AA$85:AA$164,'Key inputs_Refineries'!$C$85:$C$164,$C644,'Key inputs_Refineries'!$B$85:$B$164,"Boiler")/SUM(SUMIFS('Key inputs_Refineries'!AA$85:AA$164,'Key inputs_Refineries'!$C$85:$C$164,$C640:$C649,'Key inputs_Refineries'!$B$85:$B$164,"Boiler"))&gt;0,SUMIFS('Key inputs_Refineries'!AA$85:AA$164,'Key inputs_Refineries'!$C$85:$C$164,$C644,'Key inputs_Refineries'!$B$85:$B$164,"Boiler")/SUM(SUMIFS('Key inputs_Refineries'!AA$85:AA$164,'Key inputs_Refineries'!$C$85:$C$164,$C640:$C649,'Key inputs_Refineries'!$B$85:$B$164,"Boiler"))&lt;0.001),0.001,SUMIFS('Key inputs_Refineries'!AA$85:AA$164,'Key inputs_Refineries'!$C$85:$C$164,$C644,'Key inputs_Refineries'!$B$85:$B$164,"Boiler")/SUM(SUMIFS('Key inputs_Refineries'!AA$85:AA$164,'Key inputs_Refineries'!$C$85:$C$164,$C640:$C649,'Key inputs_Refineries'!$B$85:$B$164,"Boiler"))),0)</f>
        <v>0.75702598609266325</v>
      </c>
      <c r="AH644" s="173" cm="1">
        <f t="array" ref="AH644">IFERROR(IF(AND(SUMIFS('Key inputs_Refineries'!AB$85:AB$164,'Key inputs_Refineries'!$C$85:$C$164,$C644,'Key inputs_Refineries'!$B$85:$B$164,"Boiler")/SUM(SUMIFS('Key inputs_Refineries'!AB$85:AB$164,'Key inputs_Refineries'!$C$85:$C$164,$C640:$C649,'Key inputs_Refineries'!$B$85:$B$164,"Boiler"))&gt;0,SUMIFS('Key inputs_Refineries'!AB$85:AB$164,'Key inputs_Refineries'!$C$85:$C$164,$C644,'Key inputs_Refineries'!$B$85:$B$164,"Boiler")/SUM(SUMIFS('Key inputs_Refineries'!AB$85:AB$164,'Key inputs_Refineries'!$C$85:$C$164,$C640:$C649,'Key inputs_Refineries'!$B$85:$B$164,"Boiler"))&lt;0.001),0.001,SUMIFS('Key inputs_Refineries'!AB$85:AB$164,'Key inputs_Refineries'!$C$85:$C$164,$C644,'Key inputs_Refineries'!$B$85:$B$164,"Boiler")/SUM(SUMIFS('Key inputs_Refineries'!AB$85:AB$164,'Key inputs_Refineries'!$C$85:$C$164,$C640:$C649,'Key inputs_Refineries'!$B$85:$B$164,"Boiler"))),0)</f>
        <v>0.90502590262726645</v>
      </c>
      <c r="AI644" s="173" cm="1">
        <f t="array" ref="AI644">IFERROR(IF(AND(SUMIFS('Key inputs_Refineries'!AC$85:AC$164,'Key inputs_Refineries'!$C$85:$C$164,$C644,'Key inputs_Refineries'!$B$85:$B$164,"Boiler")/SUM(SUMIFS('Key inputs_Refineries'!AC$85:AC$164,'Key inputs_Refineries'!$C$85:$C$164,$C640:$C649,'Key inputs_Refineries'!$B$85:$B$164,"Boiler"))&gt;0,SUMIFS('Key inputs_Refineries'!AC$85:AC$164,'Key inputs_Refineries'!$C$85:$C$164,$C644,'Key inputs_Refineries'!$B$85:$B$164,"Boiler")/SUM(SUMIFS('Key inputs_Refineries'!AC$85:AC$164,'Key inputs_Refineries'!$C$85:$C$164,$C640:$C649,'Key inputs_Refineries'!$B$85:$B$164,"Boiler"))&lt;0.001),0.001,SUMIFS('Key inputs_Refineries'!AC$85:AC$164,'Key inputs_Refineries'!$C$85:$C$164,$C644,'Key inputs_Refineries'!$B$85:$B$164,"Boiler")/SUM(SUMIFS('Key inputs_Refineries'!AC$85:AC$164,'Key inputs_Refineries'!$C$85:$C$164,$C640:$C649,'Key inputs_Refineries'!$B$85:$B$164,"Boiler"))),0)</f>
        <v>0.80267724343083791</v>
      </c>
      <c r="AJ644" s="173" cm="1">
        <f t="array" ref="AJ644">IFERROR(IF(AND(SUMIFS('Key inputs_Refineries'!AD$85:AD$164,'Key inputs_Refineries'!$C$85:$C$164,$C644,'Key inputs_Refineries'!$B$85:$B$164,"Boiler")/SUM(SUMIFS('Key inputs_Refineries'!AD$85:AD$164,'Key inputs_Refineries'!$C$85:$C$164,$C640:$C649,'Key inputs_Refineries'!$B$85:$B$164,"Boiler"))&gt;0,SUMIFS('Key inputs_Refineries'!AD$85:AD$164,'Key inputs_Refineries'!$C$85:$C$164,$C644,'Key inputs_Refineries'!$B$85:$B$164,"Boiler")/SUM(SUMIFS('Key inputs_Refineries'!AD$85:AD$164,'Key inputs_Refineries'!$C$85:$C$164,$C640:$C649,'Key inputs_Refineries'!$B$85:$B$164,"Boiler"))&lt;0.001),0.001,SUMIFS('Key inputs_Refineries'!AD$85:AD$164,'Key inputs_Refineries'!$C$85:$C$164,$C644,'Key inputs_Refineries'!$B$85:$B$164,"Boiler")/SUM(SUMIFS('Key inputs_Refineries'!AD$85:AD$164,'Key inputs_Refineries'!$C$85:$C$164,$C640:$C649,'Key inputs_Refineries'!$B$85:$B$164,"Boiler"))),0)</f>
        <v>0</v>
      </c>
      <c r="AK644" s="173" cm="1">
        <f t="array" ref="AK644">IFERROR(IF(AND(SUMIFS('Key inputs_Refineries'!AE$85:AE$164,'Key inputs_Refineries'!$C$85:$C$164,$C644,'Key inputs_Refineries'!$B$85:$B$164,"Boiler")/SUM(SUMIFS('Key inputs_Refineries'!AE$85:AE$164,'Key inputs_Refineries'!$C$85:$C$164,$C640:$C649,'Key inputs_Refineries'!$B$85:$B$164,"Boiler"))&gt;0,SUMIFS('Key inputs_Refineries'!AE$85:AE$164,'Key inputs_Refineries'!$C$85:$C$164,$C644,'Key inputs_Refineries'!$B$85:$B$164,"Boiler")/SUM(SUMIFS('Key inputs_Refineries'!AE$85:AE$164,'Key inputs_Refineries'!$C$85:$C$164,$C640:$C649,'Key inputs_Refineries'!$B$85:$B$164,"Boiler"))&lt;0.001),0.001,SUMIFS('Key inputs_Refineries'!AE$85:AE$164,'Key inputs_Refineries'!$C$85:$C$164,$C644,'Key inputs_Refineries'!$B$85:$B$164,"Boiler")/SUM(SUMIFS('Key inputs_Refineries'!AE$85:AE$164,'Key inputs_Refineries'!$C$85:$C$164,$C640:$C649,'Key inputs_Refineries'!$B$85:$B$164,"Boiler"))),0)</f>
        <v>0.5386618718173517</v>
      </c>
      <c r="AL644" s="173" cm="1">
        <f t="array" ref="AL644">IFERROR(IF(AND(SUMIFS('Key inputs_Refineries'!AF$85:AF$164,'Key inputs_Refineries'!$C$85:$C$164,$C644,'Key inputs_Refineries'!$B$85:$B$164,"Boiler")/SUM(SUMIFS('Key inputs_Refineries'!AF$85:AF$164,'Key inputs_Refineries'!$C$85:$C$164,$C640:$C649,'Key inputs_Refineries'!$B$85:$B$164,"Boiler"))&gt;0,SUMIFS('Key inputs_Refineries'!AF$85:AF$164,'Key inputs_Refineries'!$C$85:$C$164,$C644,'Key inputs_Refineries'!$B$85:$B$164,"Boiler")/SUM(SUMIFS('Key inputs_Refineries'!AF$85:AF$164,'Key inputs_Refineries'!$C$85:$C$164,$C640:$C649,'Key inputs_Refineries'!$B$85:$B$164,"Boiler"))&lt;0.001),0.001,SUMIFS('Key inputs_Refineries'!AF$85:AF$164,'Key inputs_Refineries'!$C$85:$C$164,$C644,'Key inputs_Refineries'!$B$85:$B$164,"Boiler")/SUM(SUMIFS('Key inputs_Refineries'!AF$85:AF$164,'Key inputs_Refineries'!$C$85:$C$164,$C640:$C649,'Key inputs_Refineries'!$B$85:$B$164,"Boiler"))),0)</f>
        <v>1E-3</v>
      </c>
    </row>
    <row r="645" spans="1:38">
      <c r="C645" t="str">
        <f>Commodities!$C$96</f>
        <v>UPSKER</v>
      </c>
      <c r="G645" s="4" t="s">
        <v>702</v>
      </c>
      <c r="H645" t="s">
        <v>661</v>
      </c>
      <c r="I645">
        <v>2019</v>
      </c>
      <c r="J645" t="s">
        <v>650</v>
      </c>
      <c r="K645" s="173" cm="1">
        <f t="array" ref="K645">IFERROR(IF(AND(SUMIFS('Key inputs_Refineries'!E$85:E$164,'Key inputs_Refineries'!$C$85:$C$164,$C645,'Key inputs_Refineries'!$B$85:$B$164,"Boiler")/SUM(SUMIFS('Key inputs_Refineries'!E$85:E$164,'Key inputs_Refineries'!$C$85:$C$164,$C640:$C649,'Key inputs_Refineries'!$B$85:$B$164,"Boiler"))&gt;0,SUMIFS('Key inputs_Refineries'!E$85:E$164,'Key inputs_Refineries'!$C$85:$C$164,$C645,'Key inputs_Refineries'!$B$85:$B$164,"Boiler")/SUM(SUMIFS('Key inputs_Refineries'!E$85:E$164,'Key inputs_Refineries'!$C$85:$C$164,$C640:$C649,'Key inputs_Refineries'!$B$85:$B$164,"Boiler"))&lt;0.001),0.001,SUMIFS('Key inputs_Refineries'!E$85:E$164,'Key inputs_Refineries'!$C$85:$C$164,$C645,'Key inputs_Refineries'!$B$85:$B$164,"Boiler")/SUM(SUMIFS('Key inputs_Refineries'!E$85:E$164,'Key inputs_Refineries'!$C$85:$C$164,$C640:$C649,'Key inputs_Refineries'!$B$85:$B$164,"Boiler"))),0)</f>
        <v>0</v>
      </c>
      <c r="L645" s="173" cm="1">
        <f t="array" ref="L645">IFERROR(IF(AND(SUMIFS('Key inputs_Refineries'!F$85:F$164,'Key inputs_Refineries'!$C$85:$C$164,$C645,'Key inputs_Refineries'!$B$85:$B$164,"Boiler")/SUM(SUMIFS('Key inputs_Refineries'!F$85:F$164,'Key inputs_Refineries'!$C$85:$C$164,$C640:$C649,'Key inputs_Refineries'!$B$85:$B$164,"Boiler"))&gt;0,SUMIFS('Key inputs_Refineries'!F$85:F$164,'Key inputs_Refineries'!$C$85:$C$164,$C645,'Key inputs_Refineries'!$B$85:$B$164,"Boiler")/SUM(SUMIFS('Key inputs_Refineries'!F$85:F$164,'Key inputs_Refineries'!$C$85:$C$164,$C640:$C649,'Key inputs_Refineries'!$B$85:$B$164,"Boiler"))&lt;0.001),0.001,SUMIFS('Key inputs_Refineries'!F$85:F$164,'Key inputs_Refineries'!$C$85:$C$164,$C645,'Key inputs_Refineries'!$B$85:$B$164,"Boiler")/SUM(SUMIFS('Key inputs_Refineries'!F$85:F$164,'Key inputs_Refineries'!$C$85:$C$164,$C640:$C649,'Key inputs_Refineries'!$B$85:$B$164,"Boiler"))),0)</f>
        <v>0</v>
      </c>
      <c r="M645" s="173" cm="1">
        <f t="array" ref="M645">IFERROR(IF(AND(SUMIFS('Key inputs_Refineries'!G$85:G$164,'Key inputs_Refineries'!$C$85:$C$164,$C645,'Key inputs_Refineries'!$B$85:$B$164,"Boiler")/SUM(SUMIFS('Key inputs_Refineries'!G$85:G$164,'Key inputs_Refineries'!$C$85:$C$164,$C640:$C649,'Key inputs_Refineries'!$B$85:$B$164,"Boiler"))&gt;0,SUMIFS('Key inputs_Refineries'!G$85:G$164,'Key inputs_Refineries'!$C$85:$C$164,$C645,'Key inputs_Refineries'!$B$85:$B$164,"Boiler")/SUM(SUMIFS('Key inputs_Refineries'!G$85:G$164,'Key inputs_Refineries'!$C$85:$C$164,$C640:$C649,'Key inputs_Refineries'!$B$85:$B$164,"Boiler"))&lt;0.001),0.001,SUMIFS('Key inputs_Refineries'!G$85:G$164,'Key inputs_Refineries'!$C$85:$C$164,$C645,'Key inputs_Refineries'!$B$85:$B$164,"Boiler")/SUM(SUMIFS('Key inputs_Refineries'!G$85:G$164,'Key inputs_Refineries'!$C$85:$C$164,$C640:$C649,'Key inputs_Refineries'!$B$85:$B$164,"Boiler"))),0)</f>
        <v>0</v>
      </c>
      <c r="N645" s="173" cm="1">
        <f t="array" ref="N645">IFERROR(IF(AND(SUMIFS('Key inputs_Refineries'!H$85:H$164,'Key inputs_Refineries'!$C$85:$C$164,$C645,'Key inputs_Refineries'!$B$85:$B$164,"Boiler")/SUM(SUMIFS('Key inputs_Refineries'!H$85:H$164,'Key inputs_Refineries'!$C$85:$C$164,$C640:$C649,'Key inputs_Refineries'!$B$85:$B$164,"Boiler"))&gt;0,SUMIFS('Key inputs_Refineries'!H$85:H$164,'Key inputs_Refineries'!$C$85:$C$164,$C645,'Key inputs_Refineries'!$B$85:$B$164,"Boiler")/SUM(SUMIFS('Key inputs_Refineries'!H$85:H$164,'Key inputs_Refineries'!$C$85:$C$164,$C640:$C649,'Key inputs_Refineries'!$B$85:$B$164,"Boiler"))&lt;0.001),0.001,SUMIFS('Key inputs_Refineries'!H$85:H$164,'Key inputs_Refineries'!$C$85:$C$164,$C645,'Key inputs_Refineries'!$B$85:$B$164,"Boiler")/SUM(SUMIFS('Key inputs_Refineries'!H$85:H$164,'Key inputs_Refineries'!$C$85:$C$164,$C640:$C649,'Key inputs_Refineries'!$B$85:$B$164,"Boiler"))),0)</f>
        <v>0</v>
      </c>
      <c r="O645" s="173" cm="1">
        <f t="array" ref="O645">IFERROR(IF(AND(SUMIFS('Key inputs_Refineries'!I$85:I$164,'Key inputs_Refineries'!$C$85:$C$164,$C645,'Key inputs_Refineries'!$B$85:$B$164,"Boiler")/SUM(SUMIFS('Key inputs_Refineries'!I$85:I$164,'Key inputs_Refineries'!$C$85:$C$164,$C640:$C649,'Key inputs_Refineries'!$B$85:$B$164,"Boiler"))&gt;0,SUMIFS('Key inputs_Refineries'!I$85:I$164,'Key inputs_Refineries'!$C$85:$C$164,$C645,'Key inputs_Refineries'!$B$85:$B$164,"Boiler")/SUM(SUMIFS('Key inputs_Refineries'!I$85:I$164,'Key inputs_Refineries'!$C$85:$C$164,$C640:$C649,'Key inputs_Refineries'!$B$85:$B$164,"Boiler"))&lt;0.001),0.001,SUMIFS('Key inputs_Refineries'!I$85:I$164,'Key inputs_Refineries'!$C$85:$C$164,$C645,'Key inputs_Refineries'!$B$85:$B$164,"Boiler")/SUM(SUMIFS('Key inputs_Refineries'!I$85:I$164,'Key inputs_Refineries'!$C$85:$C$164,$C640:$C649,'Key inputs_Refineries'!$B$85:$B$164,"Boiler"))),0)</f>
        <v>0</v>
      </c>
      <c r="P645" s="173" cm="1">
        <f t="array" ref="P645">IFERROR(IF(AND(SUMIFS('Key inputs_Refineries'!J$85:J$164,'Key inputs_Refineries'!$C$85:$C$164,$C645,'Key inputs_Refineries'!$B$85:$B$164,"Boiler")/SUM(SUMIFS('Key inputs_Refineries'!J$85:J$164,'Key inputs_Refineries'!$C$85:$C$164,$C640:$C649,'Key inputs_Refineries'!$B$85:$B$164,"Boiler"))&gt;0,SUMIFS('Key inputs_Refineries'!J$85:J$164,'Key inputs_Refineries'!$C$85:$C$164,$C645,'Key inputs_Refineries'!$B$85:$B$164,"Boiler")/SUM(SUMIFS('Key inputs_Refineries'!J$85:J$164,'Key inputs_Refineries'!$C$85:$C$164,$C640:$C649,'Key inputs_Refineries'!$B$85:$B$164,"Boiler"))&lt;0.001),0.001,SUMIFS('Key inputs_Refineries'!J$85:J$164,'Key inputs_Refineries'!$C$85:$C$164,$C645,'Key inputs_Refineries'!$B$85:$B$164,"Boiler")/SUM(SUMIFS('Key inputs_Refineries'!J$85:J$164,'Key inputs_Refineries'!$C$85:$C$164,$C640:$C649,'Key inputs_Refineries'!$B$85:$B$164,"Boiler"))),0)</f>
        <v>0</v>
      </c>
      <c r="Q645" s="173" cm="1">
        <f t="array" ref="Q645">IFERROR(IF(AND(SUMIFS('Key inputs_Refineries'!K$85:K$164,'Key inputs_Refineries'!$C$85:$C$164,$C645,'Key inputs_Refineries'!$B$85:$B$164,"Boiler")/SUM(SUMIFS('Key inputs_Refineries'!K$85:K$164,'Key inputs_Refineries'!$C$85:$C$164,$C640:$C649,'Key inputs_Refineries'!$B$85:$B$164,"Boiler"))&gt;0,SUMIFS('Key inputs_Refineries'!K$85:K$164,'Key inputs_Refineries'!$C$85:$C$164,$C645,'Key inputs_Refineries'!$B$85:$B$164,"Boiler")/SUM(SUMIFS('Key inputs_Refineries'!K$85:K$164,'Key inputs_Refineries'!$C$85:$C$164,$C640:$C649,'Key inputs_Refineries'!$B$85:$B$164,"Boiler"))&lt;0.001),0.001,SUMIFS('Key inputs_Refineries'!K$85:K$164,'Key inputs_Refineries'!$C$85:$C$164,$C645,'Key inputs_Refineries'!$B$85:$B$164,"Boiler")/SUM(SUMIFS('Key inputs_Refineries'!K$85:K$164,'Key inputs_Refineries'!$C$85:$C$164,$C640:$C649,'Key inputs_Refineries'!$B$85:$B$164,"Boiler"))),0)</f>
        <v>0</v>
      </c>
      <c r="R645" s="173" cm="1">
        <f t="array" ref="R645">IFERROR(IF(AND(SUMIFS('Key inputs_Refineries'!L$85:L$164,'Key inputs_Refineries'!$C$85:$C$164,$C645,'Key inputs_Refineries'!$B$85:$B$164,"Boiler")/SUM(SUMIFS('Key inputs_Refineries'!L$85:L$164,'Key inputs_Refineries'!$C$85:$C$164,$C640:$C649,'Key inputs_Refineries'!$B$85:$B$164,"Boiler"))&gt;0,SUMIFS('Key inputs_Refineries'!L$85:L$164,'Key inputs_Refineries'!$C$85:$C$164,$C645,'Key inputs_Refineries'!$B$85:$B$164,"Boiler")/SUM(SUMIFS('Key inputs_Refineries'!L$85:L$164,'Key inputs_Refineries'!$C$85:$C$164,$C640:$C649,'Key inputs_Refineries'!$B$85:$B$164,"Boiler"))&lt;0.001),0.001,SUMIFS('Key inputs_Refineries'!L$85:L$164,'Key inputs_Refineries'!$C$85:$C$164,$C645,'Key inputs_Refineries'!$B$85:$B$164,"Boiler")/SUM(SUMIFS('Key inputs_Refineries'!L$85:L$164,'Key inputs_Refineries'!$C$85:$C$164,$C640:$C649,'Key inputs_Refineries'!$B$85:$B$164,"Boiler"))),0)</f>
        <v>0</v>
      </c>
      <c r="S645" s="173" cm="1">
        <f t="array" ref="S645">IFERROR(IF(AND(SUMIFS('Key inputs_Refineries'!M$85:M$164,'Key inputs_Refineries'!$C$85:$C$164,$C645,'Key inputs_Refineries'!$B$85:$B$164,"Boiler")/SUM(SUMIFS('Key inputs_Refineries'!M$85:M$164,'Key inputs_Refineries'!$C$85:$C$164,$C640:$C649,'Key inputs_Refineries'!$B$85:$B$164,"Boiler"))&gt;0,SUMIFS('Key inputs_Refineries'!M$85:M$164,'Key inputs_Refineries'!$C$85:$C$164,$C645,'Key inputs_Refineries'!$B$85:$B$164,"Boiler")/SUM(SUMIFS('Key inputs_Refineries'!M$85:M$164,'Key inputs_Refineries'!$C$85:$C$164,$C640:$C649,'Key inputs_Refineries'!$B$85:$B$164,"Boiler"))&lt;0.001),0.001,SUMIFS('Key inputs_Refineries'!M$85:M$164,'Key inputs_Refineries'!$C$85:$C$164,$C645,'Key inputs_Refineries'!$B$85:$B$164,"Boiler")/SUM(SUMIFS('Key inputs_Refineries'!M$85:M$164,'Key inputs_Refineries'!$C$85:$C$164,$C640:$C649,'Key inputs_Refineries'!$B$85:$B$164,"Boiler"))),0)</f>
        <v>0</v>
      </c>
      <c r="T645" s="173" cm="1">
        <f t="array" ref="T645">IFERROR(IF(AND(SUMIFS('Key inputs_Refineries'!N$85:N$164,'Key inputs_Refineries'!$C$85:$C$164,$C645,'Key inputs_Refineries'!$B$85:$B$164,"Boiler")/SUM(SUMIFS('Key inputs_Refineries'!N$85:N$164,'Key inputs_Refineries'!$C$85:$C$164,$C640:$C649,'Key inputs_Refineries'!$B$85:$B$164,"Boiler"))&gt;0,SUMIFS('Key inputs_Refineries'!N$85:N$164,'Key inputs_Refineries'!$C$85:$C$164,$C645,'Key inputs_Refineries'!$B$85:$B$164,"Boiler")/SUM(SUMIFS('Key inputs_Refineries'!N$85:N$164,'Key inputs_Refineries'!$C$85:$C$164,$C640:$C649,'Key inputs_Refineries'!$B$85:$B$164,"Boiler"))&lt;0.001),0.001,SUMIFS('Key inputs_Refineries'!N$85:N$164,'Key inputs_Refineries'!$C$85:$C$164,$C645,'Key inputs_Refineries'!$B$85:$B$164,"Boiler")/SUM(SUMIFS('Key inputs_Refineries'!N$85:N$164,'Key inputs_Refineries'!$C$85:$C$164,$C640:$C649,'Key inputs_Refineries'!$B$85:$B$164,"Boiler"))),0)</f>
        <v>0</v>
      </c>
      <c r="U645" s="173" cm="1">
        <f t="array" ref="U645">IFERROR(IF(AND(SUMIFS('Key inputs_Refineries'!O$85:O$164,'Key inputs_Refineries'!$C$85:$C$164,$C645,'Key inputs_Refineries'!$B$85:$B$164,"Boiler")/SUM(SUMIFS('Key inputs_Refineries'!O$85:O$164,'Key inputs_Refineries'!$C$85:$C$164,$C640:$C649,'Key inputs_Refineries'!$B$85:$B$164,"Boiler"))&gt;0,SUMIFS('Key inputs_Refineries'!O$85:O$164,'Key inputs_Refineries'!$C$85:$C$164,$C645,'Key inputs_Refineries'!$B$85:$B$164,"Boiler")/SUM(SUMIFS('Key inputs_Refineries'!O$85:O$164,'Key inputs_Refineries'!$C$85:$C$164,$C640:$C649,'Key inputs_Refineries'!$B$85:$B$164,"Boiler"))&lt;0.001),0.001,SUMIFS('Key inputs_Refineries'!O$85:O$164,'Key inputs_Refineries'!$C$85:$C$164,$C645,'Key inputs_Refineries'!$B$85:$B$164,"Boiler")/SUM(SUMIFS('Key inputs_Refineries'!O$85:O$164,'Key inputs_Refineries'!$C$85:$C$164,$C640:$C649,'Key inputs_Refineries'!$B$85:$B$164,"Boiler"))),0)</f>
        <v>0</v>
      </c>
      <c r="V645" s="173" cm="1">
        <f t="array" ref="V645">IFERROR(IF(AND(SUMIFS('Key inputs_Refineries'!P$85:P$164,'Key inputs_Refineries'!$C$85:$C$164,$C645,'Key inputs_Refineries'!$B$85:$B$164,"Boiler")/SUM(SUMIFS('Key inputs_Refineries'!P$85:P$164,'Key inputs_Refineries'!$C$85:$C$164,$C640:$C649,'Key inputs_Refineries'!$B$85:$B$164,"Boiler"))&gt;0,SUMIFS('Key inputs_Refineries'!P$85:P$164,'Key inputs_Refineries'!$C$85:$C$164,$C645,'Key inputs_Refineries'!$B$85:$B$164,"Boiler")/SUM(SUMIFS('Key inputs_Refineries'!P$85:P$164,'Key inputs_Refineries'!$C$85:$C$164,$C640:$C649,'Key inputs_Refineries'!$B$85:$B$164,"Boiler"))&lt;0.001),0.001,SUMIFS('Key inputs_Refineries'!P$85:P$164,'Key inputs_Refineries'!$C$85:$C$164,$C645,'Key inputs_Refineries'!$B$85:$B$164,"Boiler")/SUM(SUMIFS('Key inputs_Refineries'!P$85:P$164,'Key inputs_Refineries'!$C$85:$C$164,$C640:$C649,'Key inputs_Refineries'!$B$85:$B$164,"Boiler"))),0)</f>
        <v>1E-3</v>
      </c>
      <c r="W645" s="173" cm="1">
        <f t="array" ref="W645">IFERROR(IF(AND(SUMIFS('Key inputs_Refineries'!Q$85:Q$164,'Key inputs_Refineries'!$C$85:$C$164,$C645,'Key inputs_Refineries'!$B$85:$B$164,"Boiler")/SUM(SUMIFS('Key inputs_Refineries'!Q$85:Q$164,'Key inputs_Refineries'!$C$85:$C$164,$C640:$C649,'Key inputs_Refineries'!$B$85:$B$164,"Boiler"))&gt;0,SUMIFS('Key inputs_Refineries'!Q$85:Q$164,'Key inputs_Refineries'!$C$85:$C$164,$C645,'Key inputs_Refineries'!$B$85:$B$164,"Boiler")/SUM(SUMIFS('Key inputs_Refineries'!Q$85:Q$164,'Key inputs_Refineries'!$C$85:$C$164,$C640:$C649,'Key inputs_Refineries'!$B$85:$B$164,"Boiler"))&lt;0.001),0.001,SUMIFS('Key inputs_Refineries'!Q$85:Q$164,'Key inputs_Refineries'!$C$85:$C$164,$C645,'Key inputs_Refineries'!$B$85:$B$164,"Boiler")/SUM(SUMIFS('Key inputs_Refineries'!Q$85:Q$164,'Key inputs_Refineries'!$C$85:$C$164,$C640:$C649,'Key inputs_Refineries'!$B$85:$B$164,"Boiler"))),0)</f>
        <v>0</v>
      </c>
      <c r="X645" s="173" cm="1">
        <f t="array" ref="X645">IFERROR(IF(AND(SUMIFS('Key inputs_Refineries'!R$85:R$164,'Key inputs_Refineries'!$C$85:$C$164,$C645,'Key inputs_Refineries'!$B$85:$B$164,"Boiler")/SUM(SUMIFS('Key inputs_Refineries'!R$85:R$164,'Key inputs_Refineries'!$C$85:$C$164,$C640:$C649,'Key inputs_Refineries'!$B$85:$B$164,"Boiler"))&gt;0,SUMIFS('Key inputs_Refineries'!R$85:R$164,'Key inputs_Refineries'!$C$85:$C$164,$C645,'Key inputs_Refineries'!$B$85:$B$164,"Boiler")/SUM(SUMIFS('Key inputs_Refineries'!R$85:R$164,'Key inputs_Refineries'!$C$85:$C$164,$C640:$C649,'Key inputs_Refineries'!$B$85:$B$164,"Boiler"))&lt;0.001),0.001,SUMIFS('Key inputs_Refineries'!R$85:R$164,'Key inputs_Refineries'!$C$85:$C$164,$C645,'Key inputs_Refineries'!$B$85:$B$164,"Boiler")/SUM(SUMIFS('Key inputs_Refineries'!R$85:R$164,'Key inputs_Refineries'!$C$85:$C$164,$C640:$C649,'Key inputs_Refineries'!$B$85:$B$164,"Boiler"))),0)</f>
        <v>0</v>
      </c>
      <c r="Y645" s="173" cm="1">
        <f t="array" ref="Y645">IFERROR(IF(AND(SUMIFS('Key inputs_Refineries'!S$85:S$164,'Key inputs_Refineries'!$C$85:$C$164,$C645,'Key inputs_Refineries'!$B$85:$B$164,"Boiler")/SUM(SUMIFS('Key inputs_Refineries'!S$85:S$164,'Key inputs_Refineries'!$C$85:$C$164,$C640:$C649,'Key inputs_Refineries'!$B$85:$B$164,"Boiler"))&gt;0,SUMIFS('Key inputs_Refineries'!S$85:S$164,'Key inputs_Refineries'!$C$85:$C$164,$C645,'Key inputs_Refineries'!$B$85:$B$164,"Boiler")/SUM(SUMIFS('Key inputs_Refineries'!S$85:S$164,'Key inputs_Refineries'!$C$85:$C$164,$C640:$C649,'Key inputs_Refineries'!$B$85:$B$164,"Boiler"))&lt;0.001),0.001,SUMIFS('Key inputs_Refineries'!S$85:S$164,'Key inputs_Refineries'!$C$85:$C$164,$C645,'Key inputs_Refineries'!$B$85:$B$164,"Boiler")/SUM(SUMIFS('Key inputs_Refineries'!S$85:S$164,'Key inputs_Refineries'!$C$85:$C$164,$C640:$C649,'Key inputs_Refineries'!$B$85:$B$164,"Boiler"))),0)</f>
        <v>0</v>
      </c>
      <c r="Z645" s="173" cm="1">
        <f t="array" ref="Z645">IFERROR(IF(AND(SUMIFS('Key inputs_Refineries'!T$85:T$164,'Key inputs_Refineries'!$C$85:$C$164,$C645,'Key inputs_Refineries'!$B$85:$B$164,"Boiler")/SUM(SUMIFS('Key inputs_Refineries'!T$85:T$164,'Key inputs_Refineries'!$C$85:$C$164,$C640:$C649,'Key inputs_Refineries'!$B$85:$B$164,"Boiler"))&gt;0,SUMIFS('Key inputs_Refineries'!T$85:T$164,'Key inputs_Refineries'!$C$85:$C$164,$C645,'Key inputs_Refineries'!$B$85:$B$164,"Boiler")/SUM(SUMIFS('Key inputs_Refineries'!T$85:T$164,'Key inputs_Refineries'!$C$85:$C$164,$C640:$C649,'Key inputs_Refineries'!$B$85:$B$164,"Boiler"))&lt;0.001),0.001,SUMIFS('Key inputs_Refineries'!T$85:T$164,'Key inputs_Refineries'!$C$85:$C$164,$C645,'Key inputs_Refineries'!$B$85:$B$164,"Boiler")/SUM(SUMIFS('Key inputs_Refineries'!T$85:T$164,'Key inputs_Refineries'!$C$85:$C$164,$C640:$C649,'Key inputs_Refineries'!$B$85:$B$164,"Boiler"))),0)</f>
        <v>0</v>
      </c>
      <c r="AA645" s="173" cm="1">
        <f t="array" ref="AA645">IFERROR(IF(AND(SUMIFS('Key inputs_Refineries'!U$85:U$164,'Key inputs_Refineries'!$C$85:$C$164,$C645,'Key inputs_Refineries'!$B$85:$B$164,"Boiler")/SUM(SUMIFS('Key inputs_Refineries'!U$85:U$164,'Key inputs_Refineries'!$C$85:$C$164,$C640:$C649,'Key inputs_Refineries'!$B$85:$B$164,"Boiler"))&gt;0,SUMIFS('Key inputs_Refineries'!U$85:U$164,'Key inputs_Refineries'!$C$85:$C$164,$C645,'Key inputs_Refineries'!$B$85:$B$164,"Boiler")/SUM(SUMIFS('Key inputs_Refineries'!U$85:U$164,'Key inputs_Refineries'!$C$85:$C$164,$C640:$C649,'Key inputs_Refineries'!$B$85:$B$164,"Boiler"))&lt;0.001),0.001,SUMIFS('Key inputs_Refineries'!U$85:U$164,'Key inputs_Refineries'!$C$85:$C$164,$C645,'Key inputs_Refineries'!$B$85:$B$164,"Boiler")/SUM(SUMIFS('Key inputs_Refineries'!U$85:U$164,'Key inputs_Refineries'!$C$85:$C$164,$C640:$C649,'Key inputs_Refineries'!$B$85:$B$164,"Boiler"))),0)</f>
        <v>0</v>
      </c>
      <c r="AB645" s="173" cm="1">
        <f t="array" ref="AB645">IFERROR(IF(AND(SUMIFS('Key inputs_Refineries'!V$85:V$164,'Key inputs_Refineries'!$C$85:$C$164,$C645,'Key inputs_Refineries'!$B$85:$B$164,"Boiler")/SUM(SUMIFS('Key inputs_Refineries'!V$85:V$164,'Key inputs_Refineries'!$C$85:$C$164,$C640:$C649,'Key inputs_Refineries'!$B$85:$B$164,"Boiler"))&gt;0,SUMIFS('Key inputs_Refineries'!V$85:V$164,'Key inputs_Refineries'!$C$85:$C$164,$C645,'Key inputs_Refineries'!$B$85:$B$164,"Boiler")/SUM(SUMIFS('Key inputs_Refineries'!V$85:V$164,'Key inputs_Refineries'!$C$85:$C$164,$C640:$C649,'Key inputs_Refineries'!$B$85:$B$164,"Boiler"))&lt;0.001),0.001,SUMIFS('Key inputs_Refineries'!V$85:V$164,'Key inputs_Refineries'!$C$85:$C$164,$C645,'Key inputs_Refineries'!$B$85:$B$164,"Boiler")/SUM(SUMIFS('Key inputs_Refineries'!V$85:V$164,'Key inputs_Refineries'!$C$85:$C$164,$C640:$C649,'Key inputs_Refineries'!$B$85:$B$164,"Boiler"))),0)</f>
        <v>0</v>
      </c>
      <c r="AC645" s="173" cm="1">
        <f t="array" ref="AC645">IFERROR(IF(AND(SUMIFS('Key inputs_Refineries'!W$85:W$164,'Key inputs_Refineries'!$C$85:$C$164,$C645,'Key inputs_Refineries'!$B$85:$B$164,"Boiler")/SUM(SUMIFS('Key inputs_Refineries'!W$85:W$164,'Key inputs_Refineries'!$C$85:$C$164,$C640:$C649,'Key inputs_Refineries'!$B$85:$B$164,"Boiler"))&gt;0,SUMIFS('Key inputs_Refineries'!W$85:W$164,'Key inputs_Refineries'!$C$85:$C$164,$C645,'Key inputs_Refineries'!$B$85:$B$164,"Boiler")/SUM(SUMIFS('Key inputs_Refineries'!W$85:W$164,'Key inputs_Refineries'!$C$85:$C$164,$C640:$C649,'Key inputs_Refineries'!$B$85:$B$164,"Boiler"))&lt;0.001),0.001,SUMIFS('Key inputs_Refineries'!W$85:W$164,'Key inputs_Refineries'!$C$85:$C$164,$C645,'Key inputs_Refineries'!$B$85:$B$164,"Boiler")/SUM(SUMIFS('Key inputs_Refineries'!W$85:W$164,'Key inputs_Refineries'!$C$85:$C$164,$C640:$C649,'Key inputs_Refineries'!$B$85:$B$164,"Boiler"))),0)</f>
        <v>0</v>
      </c>
      <c r="AD645" s="173" cm="1">
        <f t="array" ref="AD645">IFERROR(IF(AND(SUMIFS('Key inputs_Refineries'!X$85:X$164,'Key inputs_Refineries'!$C$85:$C$164,$C645,'Key inputs_Refineries'!$B$85:$B$164,"Boiler")/SUM(SUMIFS('Key inputs_Refineries'!X$85:X$164,'Key inputs_Refineries'!$C$85:$C$164,$C640:$C649,'Key inputs_Refineries'!$B$85:$B$164,"Boiler"))&gt;0,SUMIFS('Key inputs_Refineries'!X$85:X$164,'Key inputs_Refineries'!$C$85:$C$164,$C645,'Key inputs_Refineries'!$B$85:$B$164,"Boiler")/SUM(SUMIFS('Key inputs_Refineries'!X$85:X$164,'Key inputs_Refineries'!$C$85:$C$164,$C640:$C649,'Key inputs_Refineries'!$B$85:$B$164,"Boiler"))&lt;0.001),0.001,SUMIFS('Key inputs_Refineries'!X$85:X$164,'Key inputs_Refineries'!$C$85:$C$164,$C645,'Key inputs_Refineries'!$B$85:$B$164,"Boiler")/SUM(SUMIFS('Key inputs_Refineries'!X$85:X$164,'Key inputs_Refineries'!$C$85:$C$164,$C640:$C649,'Key inputs_Refineries'!$B$85:$B$164,"Boiler"))),0)</f>
        <v>1.164397526383067E-2</v>
      </c>
      <c r="AE645" s="173" cm="1">
        <f t="array" ref="AE645">IFERROR(IF(AND(SUMIFS('Key inputs_Refineries'!Y$85:Y$164,'Key inputs_Refineries'!$C$85:$C$164,$C645,'Key inputs_Refineries'!$B$85:$B$164,"Boiler")/SUM(SUMIFS('Key inputs_Refineries'!Y$85:Y$164,'Key inputs_Refineries'!$C$85:$C$164,$C640:$C649,'Key inputs_Refineries'!$B$85:$B$164,"Boiler"))&gt;0,SUMIFS('Key inputs_Refineries'!Y$85:Y$164,'Key inputs_Refineries'!$C$85:$C$164,$C645,'Key inputs_Refineries'!$B$85:$B$164,"Boiler")/SUM(SUMIFS('Key inputs_Refineries'!Y$85:Y$164,'Key inputs_Refineries'!$C$85:$C$164,$C640:$C649,'Key inputs_Refineries'!$B$85:$B$164,"Boiler"))&lt;0.001),0.001,SUMIFS('Key inputs_Refineries'!Y$85:Y$164,'Key inputs_Refineries'!$C$85:$C$164,$C645,'Key inputs_Refineries'!$B$85:$B$164,"Boiler")/SUM(SUMIFS('Key inputs_Refineries'!Y$85:Y$164,'Key inputs_Refineries'!$C$85:$C$164,$C640:$C649,'Key inputs_Refineries'!$B$85:$B$164,"Boiler"))),0)</f>
        <v>2.1601592972530496E-2</v>
      </c>
      <c r="AF645" s="173" cm="1">
        <f t="array" ref="AF645">IFERROR(IF(AND(SUMIFS('Key inputs_Refineries'!Z$85:Z$164,'Key inputs_Refineries'!$C$85:$C$164,$C645,'Key inputs_Refineries'!$B$85:$B$164,"Boiler")/SUM(SUMIFS('Key inputs_Refineries'!Z$85:Z$164,'Key inputs_Refineries'!$C$85:$C$164,$C640:$C649,'Key inputs_Refineries'!$B$85:$B$164,"Boiler"))&gt;0,SUMIFS('Key inputs_Refineries'!Z$85:Z$164,'Key inputs_Refineries'!$C$85:$C$164,$C645,'Key inputs_Refineries'!$B$85:$B$164,"Boiler")/SUM(SUMIFS('Key inputs_Refineries'!Z$85:Z$164,'Key inputs_Refineries'!$C$85:$C$164,$C640:$C649,'Key inputs_Refineries'!$B$85:$B$164,"Boiler"))&lt;0.001),0.001,SUMIFS('Key inputs_Refineries'!Z$85:Z$164,'Key inputs_Refineries'!$C$85:$C$164,$C645,'Key inputs_Refineries'!$B$85:$B$164,"Boiler")/SUM(SUMIFS('Key inputs_Refineries'!Z$85:Z$164,'Key inputs_Refineries'!$C$85:$C$164,$C640:$C649,'Key inputs_Refineries'!$B$85:$B$164,"Boiler"))),0)</f>
        <v>0</v>
      </c>
      <c r="AG645" s="173" cm="1">
        <f t="array" ref="AG645">IFERROR(IF(AND(SUMIFS('Key inputs_Refineries'!AA$85:AA$164,'Key inputs_Refineries'!$C$85:$C$164,$C645,'Key inputs_Refineries'!$B$85:$B$164,"Boiler")/SUM(SUMIFS('Key inputs_Refineries'!AA$85:AA$164,'Key inputs_Refineries'!$C$85:$C$164,$C640:$C649,'Key inputs_Refineries'!$B$85:$B$164,"Boiler"))&gt;0,SUMIFS('Key inputs_Refineries'!AA$85:AA$164,'Key inputs_Refineries'!$C$85:$C$164,$C645,'Key inputs_Refineries'!$B$85:$B$164,"Boiler")/SUM(SUMIFS('Key inputs_Refineries'!AA$85:AA$164,'Key inputs_Refineries'!$C$85:$C$164,$C640:$C649,'Key inputs_Refineries'!$B$85:$B$164,"Boiler"))&lt;0.001),0.001,SUMIFS('Key inputs_Refineries'!AA$85:AA$164,'Key inputs_Refineries'!$C$85:$C$164,$C645,'Key inputs_Refineries'!$B$85:$B$164,"Boiler")/SUM(SUMIFS('Key inputs_Refineries'!AA$85:AA$164,'Key inputs_Refineries'!$C$85:$C$164,$C640:$C649,'Key inputs_Refineries'!$B$85:$B$164,"Boiler"))),0)</f>
        <v>0</v>
      </c>
      <c r="AH645" s="173" cm="1">
        <f t="array" ref="AH645">IFERROR(IF(AND(SUMIFS('Key inputs_Refineries'!AB$85:AB$164,'Key inputs_Refineries'!$C$85:$C$164,$C645,'Key inputs_Refineries'!$B$85:$B$164,"Boiler")/SUM(SUMIFS('Key inputs_Refineries'!AB$85:AB$164,'Key inputs_Refineries'!$C$85:$C$164,$C640:$C649,'Key inputs_Refineries'!$B$85:$B$164,"Boiler"))&gt;0,SUMIFS('Key inputs_Refineries'!AB$85:AB$164,'Key inputs_Refineries'!$C$85:$C$164,$C645,'Key inputs_Refineries'!$B$85:$B$164,"Boiler")/SUM(SUMIFS('Key inputs_Refineries'!AB$85:AB$164,'Key inputs_Refineries'!$C$85:$C$164,$C640:$C649,'Key inputs_Refineries'!$B$85:$B$164,"Boiler"))&lt;0.001),0.001,SUMIFS('Key inputs_Refineries'!AB$85:AB$164,'Key inputs_Refineries'!$C$85:$C$164,$C645,'Key inputs_Refineries'!$B$85:$B$164,"Boiler")/SUM(SUMIFS('Key inputs_Refineries'!AB$85:AB$164,'Key inputs_Refineries'!$C$85:$C$164,$C640:$C649,'Key inputs_Refineries'!$B$85:$B$164,"Boiler"))),0)</f>
        <v>0</v>
      </c>
      <c r="AI645" s="173" cm="1">
        <f t="array" ref="AI645">IFERROR(IF(AND(SUMIFS('Key inputs_Refineries'!AC$85:AC$164,'Key inputs_Refineries'!$C$85:$C$164,$C645,'Key inputs_Refineries'!$B$85:$B$164,"Boiler")/SUM(SUMIFS('Key inputs_Refineries'!AC$85:AC$164,'Key inputs_Refineries'!$C$85:$C$164,$C640:$C649,'Key inputs_Refineries'!$B$85:$B$164,"Boiler"))&gt;0,SUMIFS('Key inputs_Refineries'!AC$85:AC$164,'Key inputs_Refineries'!$C$85:$C$164,$C645,'Key inputs_Refineries'!$B$85:$B$164,"Boiler")/SUM(SUMIFS('Key inputs_Refineries'!AC$85:AC$164,'Key inputs_Refineries'!$C$85:$C$164,$C640:$C649,'Key inputs_Refineries'!$B$85:$B$164,"Boiler"))&lt;0.001),0.001,SUMIFS('Key inputs_Refineries'!AC$85:AC$164,'Key inputs_Refineries'!$C$85:$C$164,$C645,'Key inputs_Refineries'!$B$85:$B$164,"Boiler")/SUM(SUMIFS('Key inputs_Refineries'!AC$85:AC$164,'Key inputs_Refineries'!$C$85:$C$164,$C640:$C649,'Key inputs_Refineries'!$B$85:$B$164,"Boiler"))),0)</f>
        <v>0</v>
      </c>
      <c r="AJ645" s="173" cm="1">
        <f t="array" ref="AJ645">IFERROR(IF(AND(SUMIFS('Key inputs_Refineries'!AD$85:AD$164,'Key inputs_Refineries'!$C$85:$C$164,$C645,'Key inputs_Refineries'!$B$85:$B$164,"Boiler")/SUM(SUMIFS('Key inputs_Refineries'!AD$85:AD$164,'Key inputs_Refineries'!$C$85:$C$164,$C640:$C649,'Key inputs_Refineries'!$B$85:$B$164,"Boiler"))&gt;0,SUMIFS('Key inputs_Refineries'!AD$85:AD$164,'Key inputs_Refineries'!$C$85:$C$164,$C645,'Key inputs_Refineries'!$B$85:$B$164,"Boiler")/SUM(SUMIFS('Key inputs_Refineries'!AD$85:AD$164,'Key inputs_Refineries'!$C$85:$C$164,$C640:$C649,'Key inputs_Refineries'!$B$85:$B$164,"Boiler"))&lt;0.001),0.001,SUMIFS('Key inputs_Refineries'!AD$85:AD$164,'Key inputs_Refineries'!$C$85:$C$164,$C645,'Key inputs_Refineries'!$B$85:$B$164,"Boiler")/SUM(SUMIFS('Key inputs_Refineries'!AD$85:AD$164,'Key inputs_Refineries'!$C$85:$C$164,$C640:$C649,'Key inputs_Refineries'!$B$85:$B$164,"Boiler"))),0)</f>
        <v>0</v>
      </c>
      <c r="AK645" s="173" cm="1">
        <f t="array" ref="AK645">IFERROR(IF(AND(SUMIFS('Key inputs_Refineries'!AE$85:AE$164,'Key inputs_Refineries'!$C$85:$C$164,$C645,'Key inputs_Refineries'!$B$85:$B$164,"Boiler")/SUM(SUMIFS('Key inputs_Refineries'!AE$85:AE$164,'Key inputs_Refineries'!$C$85:$C$164,$C640:$C649,'Key inputs_Refineries'!$B$85:$B$164,"Boiler"))&gt;0,SUMIFS('Key inputs_Refineries'!AE$85:AE$164,'Key inputs_Refineries'!$C$85:$C$164,$C645,'Key inputs_Refineries'!$B$85:$B$164,"Boiler")/SUM(SUMIFS('Key inputs_Refineries'!AE$85:AE$164,'Key inputs_Refineries'!$C$85:$C$164,$C640:$C649,'Key inputs_Refineries'!$B$85:$B$164,"Boiler"))&lt;0.001),0.001,SUMIFS('Key inputs_Refineries'!AE$85:AE$164,'Key inputs_Refineries'!$C$85:$C$164,$C645,'Key inputs_Refineries'!$B$85:$B$164,"Boiler")/SUM(SUMIFS('Key inputs_Refineries'!AE$85:AE$164,'Key inputs_Refineries'!$C$85:$C$164,$C640:$C649,'Key inputs_Refineries'!$B$85:$B$164,"Boiler"))),0)</f>
        <v>0</v>
      </c>
      <c r="AL645" s="173" cm="1">
        <f t="array" ref="AL645">IFERROR(IF(AND(SUMIFS('Key inputs_Refineries'!AF$85:AF$164,'Key inputs_Refineries'!$C$85:$C$164,$C645,'Key inputs_Refineries'!$B$85:$B$164,"Boiler")/SUM(SUMIFS('Key inputs_Refineries'!AF$85:AF$164,'Key inputs_Refineries'!$C$85:$C$164,$C640:$C649,'Key inputs_Refineries'!$B$85:$B$164,"Boiler"))&gt;0,SUMIFS('Key inputs_Refineries'!AF$85:AF$164,'Key inputs_Refineries'!$C$85:$C$164,$C645,'Key inputs_Refineries'!$B$85:$B$164,"Boiler")/SUM(SUMIFS('Key inputs_Refineries'!AF$85:AF$164,'Key inputs_Refineries'!$C$85:$C$164,$C640:$C649,'Key inputs_Refineries'!$B$85:$B$164,"Boiler"))&lt;0.001),0.001,SUMIFS('Key inputs_Refineries'!AF$85:AF$164,'Key inputs_Refineries'!$C$85:$C$164,$C645,'Key inputs_Refineries'!$B$85:$B$164,"Boiler")/SUM(SUMIFS('Key inputs_Refineries'!AF$85:AF$164,'Key inputs_Refineries'!$C$85:$C$164,$C640:$C649,'Key inputs_Refineries'!$B$85:$B$164,"Boiler"))),0)</f>
        <v>7.2725742976555516E-3</v>
      </c>
    </row>
    <row r="646" spans="1:38">
      <c r="C646" t="str">
        <f>Commodities!$C$97</f>
        <v>UPSLPG</v>
      </c>
      <c r="G646" s="4" t="s">
        <v>702</v>
      </c>
      <c r="H646" t="s">
        <v>661</v>
      </c>
      <c r="I646">
        <v>2019</v>
      </c>
      <c r="J646" t="s">
        <v>650</v>
      </c>
      <c r="K646" s="173" cm="1">
        <f t="array" ref="K646">IFERROR(IF(AND(SUMIFS('Key inputs_Refineries'!E$85:E$164,'Key inputs_Refineries'!$C$85:$C$164,$C646,'Key inputs_Refineries'!$B$85:$B$164,"Boiler")/SUM(SUMIFS('Key inputs_Refineries'!E$85:E$164,'Key inputs_Refineries'!$C$85:$C$164,$C640:$C649,'Key inputs_Refineries'!$B$85:$B$164,"Boiler"))&gt;0,SUMIFS('Key inputs_Refineries'!E$85:E$164,'Key inputs_Refineries'!$C$85:$C$164,$C646,'Key inputs_Refineries'!$B$85:$B$164,"Boiler")/SUM(SUMIFS('Key inputs_Refineries'!E$85:E$164,'Key inputs_Refineries'!$C$85:$C$164,$C640:$C649,'Key inputs_Refineries'!$B$85:$B$164,"Boiler"))&lt;0.001),0.001,SUMIFS('Key inputs_Refineries'!E$85:E$164,'Key inputs_Refineries'!$C$85:$C$164,$C646,'Key inputs_Refineries'!$B$85:$B$164,"Boiler")/SUM(SUMIFS('Key inputs_Refineries'!E$85:E$164,'Key inputs_Refineries'!$C$85:$C$164,$C640:$C649,'Key inputs_Refineries'!$B$85:$B$164,"Boiler"))),0)</f>
        <v>0</v>
      </c>
      <c r="L646" s="173" cm="1">
        <f t="array" ref="L646">IFERROR(IF(AND(SUMIFS('Key inputs_Refineries'!F$85:F$164,'Key inputs_Refineries'!$C$85:$C$164,$C646,'Key inputs_Refineries'!$B$85:$B$164,"Boiler")/SUM(SUMIFS('Key inputs_Refineries'!F$85:F$164,'Key inputs_Refineries'!$C$85:$C$164,$C640:$C649,'Key inputs_Refineries'!$B$85:$B$164,"Boiler"))&gt;0,SUMIFS('Key inputs_Refineries'!F$85:F$164,'Key inputs_Refineries'!$C$85:$C$164,$C646,'Key inputs_Refineries'!$B$85:$B$164,"Boiler")/SUM(SUMIFS('Key inputs_Refineries'!F$85:F$164,'Key inputs_Refineries'!$C$85:$C$164,$C640:$C649,'Key inputs_Refineries'!$B$85:$B$164,"Boiler"))&lt;0.001),0.001,SUMIFS('Key inputs_Refineries'!F$85:F$164,'Key inputs_Refineries'!$C$85:$C$164,$C646,'Key inputs_Refineries'!$B$85:$B$164,"Boiler")/SUM(SUMIFS('Key inputs_Refineries'!F$85:F$164,'Key inputs_Refineries'!$C$85:$C$164,$C640:$C649,'Key inputs_Refineries'!$B$85:$B$164,"Boiler"))),0)</f>
        <v>0</v>
      </c>
      <c r="M646" s="173" cm="1">
        <f t="array" ref="M646">IFERROR(IF(AND(SUMIFS('Key inputs_Refineries'!G$85:G$164,'Key inputs_Refineries'!$C$85:$C$164,$C646,'Key inputs_Refineries'!$B$85:$B$164,"Boiler")/SUM(SUMIFS('Key inputs_Refineries'!G$85:G$164,'Key inputs_Refineries'!$C$85:$C$164,$C640:$C649,'Key inputs_Refineries'!$B$85:$B$164,"Boiler"))&gt;0,SUMIFS('Key inputs_Refineries'!G$85:G$164,'Key inputs_Refineries'!$C$85:$C$164,$C646,'Key inputs_Refineries'!$B$85:$B$164,"Boiler")/SUM(SUMIFS('Key inputs_Refineries'!G$85:G$164,'Key inputs_Refineries'!$C$85:$C$164,$C640:$C649,'Key inputs_Refineries'!$B$85:$B$164,"Boiler"))&lt;0.001),0.001,SUMIFS('Key inputs_Refineries'!G$85:G$164,'Key inputs_Refineries'!$C$85:$C$164,$C646,'Key inputs_Refineries'!$B$85:$B$164,"Boiler")/SUM(SUMIFS('Key inputs_Refineries'!G$85:G$164,'Key inputs_Refineries'!$C$85:$C$164,$C640:$C649,'Key inputs_Refineries'!$B$85:$B$164,"Boiler"))),0)</f>
        <v>0.11449728272014652</v>
      </c>
      <c r="N646" s="173" cm="1">
        <f t="array" ref="N646">IFERROR(IF(AND(SUMIFS('Key inputs_Refineries'!H$85:H$164,'Key inputs_Refineries'!$C$85:$C$164,$C646,'Key inputs_Refineries'!$B$85:$B$164,"Boiler")/SUM(SUMIFS('Key inputs_Refineries'!H$85:H$164,'Key inputs_Refineries'!$C$85:$C$164,$C640:$C649,'Key inputs_Refineries'!$B$85:$B$164,"Boiler"))&gt;0,SUMIFS('Key inputs_Refineries'!H$85:H$164,'Key inputs_Refineries'!$C$85:$C$164,$C646,'Key inputs_Refineries'!$B$85:$B$164,"Boiler")/SUM(SUMIFS('Key inputs_Refineries'!H$85:H$164,'Key inputs_Refineries'!$C$85:$C$164,$C640:$C649,'Key inputs_Refineries'!$B$85:$B$164,"Boiler"))&lt;0.001),0.001,SUMIFS('Key inputs_Refineries'!H$85:H$164,'Key inputs_Refineries'!$C$85:$C$164,$C646,'Key inputs_Refineries'!$B$85:$B$164,"Boiler")/SUM(SUMIFS('Key inputs_Refineries'!H$85:H$164,'Key inputs_Refineries'!$C$85:$C$164,$C640:$C649,'Key inputs_Refineries'!$B$85:$B$164,"Boiler"))),0)</f>
        <v>0</v>
      </c>
      <c r="O646" s="173" cm="1">
        <f t="array" ref="O646">IFERROR(IF(AND(SUMIFS('Key inputs_Refineries'!I$85:I$164,'Key inputs_Refineries'!$C$85:$C$164,$C646,'Key inputs_Refineries'!$B$85:$B$164,"Boiler")/SUM(SUMIFS('Key inputs_Refineries'!I$85:I$164,'Key inputs_Refineries'!$C$85:$C$164,$C640:$C649,'Key inputs_Refineries'!$B$85:$B$164,"Boiler"))&gt;0,SUMIFS('Key inputs_Refineries'!I$85:I$164,'Key inputs_Refineries'!$C$85:$C$164,$C646,'Key inputs_Refineries'!$B$85:$B$164,"Boiler")/SUM(SUMIFS('Key inputs_Refineries'!I$85:I$164,'Key inputs_Refineries'!$C$85:$C$164,$C640:$C649,'Key inputs_Refineries'!$B$85:$B$164,"Boiler"))&lt;0.001),0.001,SUMIFS('Key inputs_Refineries'!I$85:I$164,'Key inputs_Refineries'!$C$85:$C$164,$C646,'Key inputs_Refineries'!$B$85:$B$164,"Boiler")/SUM(SUMIFS('Key inputs_Refineries'!I$85:I$164,'Key inputs_Refineries'!$C$85:$C$164,$C640:$C649,'Key inputs_Refineries'!$B$85:$B$164,"Boiler"))),0)</f>
        <v>0</v>
      </c>
      <c r="P646" s="173" cm="1">
        <f t="array" ref="P646">IFERROR(IF(AND(SUMIFS('Key inputs_Refineries'!J$85:J$164,'Key inputs_Refineries'!$C$85:$C$164,$C646,'Key inputs_Refineries'!$B$85:$B$164,"Boiler")/SUM(SUMIFS('Key inputs_Refineries'!J$85:J$164,'Key inputs_Refineries'!$C$85:$C$164,$C640:$C649,'Key inputs_Refineries'!$B$85:$B$164,"Boiler"))&gt;0,SUMIFS('Key inputs_Refineries'!J$85:J$164,'Key inputs_Refineries'!$C$85:$C$164,$C646,'Key inputs_Refineries'!$B$85:$B$164,"Boiler")/SUM(SUMIFS('Key inputs_Refineries'!J$85:J$164,'Key inputs_Refineries'!$C$85:$C$164,$C640:$C649,'Key inputs_Refineries'!$B$85:$B$164,"Boiler"))&lt;0.001),0.001,SUMIFS('Key inputs_Refineries'!J$85:J$164,'Key inputs_Refineries'!$C$85:$C$164,$C646,'Key inputs_Refineries'!$B$85:$B$164,"Boiler")/SUM(SUMIFS('Key inputs_Refineries'!J$85:J$164,'Key inputs_Refineries'!$C$85:$C$164,$C640:$C649,'Key inputs_Refineries'!$B$85:$B$164,"Boiler"))),0)</f>
        <v>1.8429074047040168E-3</v>
      </c>
      <c r="Q646" s="173" cm="1">
        <f t="array" ref="Q646">IFERROR(IF(AND(SUMIFS('Key inputs_Refineries'!K$85:K$164,'Key inputs_Refineries'!$C$85:$C$164,$C646,'Key inputs_Refineries'!$B$85:$B$164,"Boiler")/SUM(SUMIFS('Key inputs_Refineries'!K$85:K$164,'Key inputs_Refineries'!$C$85:$C$164,$C640:$C649,'Key inputs_Refineries'!$B$85:$B$164,"Boiler"))&gt;0,SUMIFS('Key inputs_Refineries'!K$85:K$164,'Key inputs_Refineries'!$C$85:$C$164,$C646,'Key inputs_Refineries'!$B$85:$B$164,"Boiler")/SUM(SUMIFS('Key inputs_Refineries'!K$85:K$164,'Key inputs_Refineries'!$C$85:$C$164,$C640:$C649,'Key inputs_Refineries'!$B$85:$B$164,"Boiler"))&lt;0.001),0.001,SUMIFS('Key inputs_Refineries'!K$85:K$164,'Key inputs_Refineries'!$C$85:$C$164,$C646,'Key inputs_Refineries'!$B$85:$B$164,"Boiler")/SUM(SUMIFS('Key inputs_Refineries'!K$85:K$164,'Key inputs_Refineries'!$C$85:$C$164,$C640:$C649,'Key inputs_Refineries'!$B$85:$B$164,"Boiler"))),0)</f>
        <v>0</v>
      </c>
      <c r="R646" s="173" cm="1">
        <f t="array" ref="R646">IFERROR(IF(AND(SUMIFS('Key inputs_Refineries'!L$85:L$164,'Key inputs_Refineries'!$C$85:$C$164,$C646,'Key inputs_Refineries'!$B$85:$B$164,"Boiler")/SUM(SUMIFS('Key inputs_Refineries'!L$85:L$164,'Key inputs_Refineries'!$C$85:$C$164,$C640:$C649,'Key inputs_Refineries'!$B$85:$B$164,"Boiler"))&gt;0,SUMIFS('Key inputs_Refineries'!L$85:L$164,'Key inputs_Refineries'!$C$85:$C$164,$C646,'Key inputs_Refineries'!$B$85:$B$164,"Boiler")/SUM(SUMIFS('Key inputs_Refineries'!L$85:L$164,'Key inputs_Refineries'!$C$85:$C$164,$C640:$C649,'Key inputs_Refineries'!$B$85:$B$164,"Boiler"))&lt;0.001),0.001,SUMIFS('Key inputs_Refineries'!L$85:L$164,'Key inputs_Refineries'!$C$85:$C$164,$C646,'Key inputs_Refineries'!$B$85:$B$164,"Boiler")/SUM(SUMIFS('Key inputs_Refineries'!L$85:L$164,'Key inputs_Refineries'!$C$85:$C$164,$C640:$C649,'Key inputs_Refineries'!$B$85:$B$164,"Boiler"))),0)</f>
        <v>0</v>
      </c>
      <c r="S646" s="173" cm="1">
        <f t="array" ref="S646">IFERROR(IF(AND(SUMIFS('Key inputs_Refineries'!M$85:M$164,'Key inputs_Refineries'!$C$85:$C$164,$C646,'Key inputs_Refineries'!$B$85:$B$164,"Boiler")/SUM(SUMIFS('Key inputs_Refineries'!M$85:M$164,'Key inputs_Refineries'!$C$85:$C$164,$C640:$C649,'Key inputs_Refineries'!$B$85:$B$164,"Boiler"))&gt;0,SUMIFS('Key inputs_Refineries'!M$85:M$164,'Key inputs_Refineries'!$C$85:$C$164,$C646,'Key inputs_Refineries'!$B$85:$B$164,"Boiler")/SUM(SUMIFS('Key inputs_Refineries'!M$85:M$164,'Key inputs_Refineries'!$C$85:$C$164,$C640:$C649,'Key inputs_Refineries'!$B$85:$B$164,"Boiler"))&lt;0.001),0.001,SUMIFS('Key inputs_Refineries'!M$85:M$164,'Key inputs_Refineries'!$C$85:$C$164,$C646,'Key inputs_Refineries'!$B$85:$B$164,"Boiler")/SUM(SUMIFS('Key inputs_Refineries'!M$85:M$164,'Key inputs_Refineries'!$C$85:$C$164,$C640:$C649,'Key inputs_Refineries'!$B$85:$B$164,"Boiler"))),0)</f>
        <v>0</v>
      </c>
      <c r="T646" s="173" cm="1">
        <f t="array" ref="T646">IFERROR(IF(AND(SUMIFS('Key inputs_Refineries'!N$85:N$164,'Key inputs_Refineries'!$C$85:$C$164,$C646,'Key inputs_Refineries'!$B$85:$B$164,"Boiler")/SUM(SUMIFS('Key inputs_Refineries'!N$85:N$164,'Key inputs_Refineries'!$C$85:$C$164,$C640:$C649,'Key inputs_Refineries'!$B$85:$B$164,"Boiler"))&gt;0,SUMIFS('Key inputs_Refineries'!N$85:N$164,'Key inputs_Refineries'!$C$85:$C$164,$C646,'Key inputs_Refineries'!$B$85:$B$164,"Boiler")/SUM(SUMIFS('Key inputs_Refineries'!N$85:N$164,'Key inputs_Refineries'!$C$85:$C$164,$C640:$C649,'Key inputs_Refineries'!$B$85:$B$164,"Boiler"))&lt;0.001),0.001,SUMIFS('Key inputs_Refineries'!N$85:N$164,'Key inputs_Refineries'!$C$85:$C$164,$C646,'Key inputs_Refineries'!$B$85:$B$164,"Boiler")/SUM(SUMIFS('Key inputs_Refineries'!N$85:N$164,'Key inputs_Refineries'!$C$85:$C$164,$C640:$C649,'Key inputs_Refineries'!$B$85:$B$164,"Boiler"))),0)</f>
        <v>4.0866396011492612E-2</v>
      </c>
      <c r="U646" s="173" cm="1">
        <f t="array" ref="U646">IFERROR(IF(AND(SUMIFS('Key inputs_Refineries'!O$85:O$164,'Key inputs_Refineries'!$C$85:$C$164,$C646,'Key inputs_Refineries'!$B$85:$B$164,"Boiler")/SUM(SUMIFS('Key inputs_Refineries'!O$85:O$164,'Key inputs_Refineries'!$C$85:$C$164,$C640:$C649,'Key inputs_Refineries'!$B$85:$B$164,"Boiler"))&gt;0,SUMIFS('Key inputs_Refineries'!O$85:O$164,'Key inputs_Refineries'!$C$85:$C$164,$C646,'Key inputs_Refineries'!$B$85:$B$164,"Boiler")/SUM(SUMIFS('Key inputs_Refineries'!O$85:O$164,'Key inputs_Refineries'!$C$85:$C$164,$C640:$C649,'Key inputs_Refineries'!$B$85:$B$164,"Boiler"))&lt;0.001),0.001,SUMIFS('Key inputs_Refineries'!O$85:O$164,'Key inputs_Refineries'!$C$85:$C$164,$C646,'Key inputs_Refineries'!$B$85:$B$164,"Boiler")/SUM(SUMIFS('Key inputs_Refineries'!O$85:O$164,'Key inputs_Refineries'!$C$85:$C$164,$C640:$C649,'Key inputs_Refineries'!$B$85:$B$164,"Boiler"))),0)</f>
        <v>0.38542966352684382</v>
      </c>
      <c r="V646" s="173" cm="1">
        <f t="array" ref="V646">IFERROR(IF(AND(SUMIFS('Key inputs_Refineries'!P$85:P$164,'Key inputs_Refineries'!$C$85:$C$164,$C646,'Key inputs_Refineries'!$B$85:$B$164,"Boiler")/SUM(SUMIFS('Key inputs_Refineries'!P$85:P$164,'Key inputs_Refineries'!$C$85:$C$164,$C640:$C649,'Key inputs_Refineries'!$B$85:$B$164,"Boiler"))&gt;0,SUMIFS('Key inputs_Refineries'!P$85:P$164,'Key inputs_Refineries'!$C$85:$C$164,$C646,'Key inputs_Refineries'!$B$85:$B$164,"Boiler")/SUM(SUMIFS('Key inputs_Refineries'!P$85:P$164,'Key inputs_Refineries'!$C$85:$C$164,$C640:$C649,'Key inputs_Refineries'!$B$85:$B$164,"Boiler"))&lt;0.001),0.001,SUMIFS('Key inputs_Refineries'!P$85:P$164,'Key inputs_Refineries'!$C$85:$C$164,$C646,'Key inputs_Refineries'!$B$85:$B$164,"Boiler")/SUM(SUMIFS('Key inputs_Refineries'!P$85:P$164,'Key inputs_Refineries'!$C$85:$C$164,$C640:$C649,'Key inputs_Refineries'!$B$85:$B$164,"Boiler"))),0)</f>
        <v>0.20400018354543314</v>
      </c>
      <c r="W646" s="173" cm="1">
        <f t="array" ref="W646">IFERROR(IF(AND(SUMIFS('Key inputs_Refineries'!Q$85:Q$164,'Key inputs_Refineries'!$C$85:$C$164,$C646,'Key inputs_Refineries'!$B$85:$B$164,"Boiler")/SUM(SUMIFS('Key inputs_Refineries'!Q$85:Q$164,'Key inputs_Refineries'!$C$85:$C$164,$C640:$C649,'Key inputs_Refineries'!$B$85:$B$164,"Boiler"))&gt;0,SUMIFS('Key inputs_Refineries'!Q$85:Q$164,'Key inputs_Refineries'!$C$85:$C$164,$C646,'Key inputs_Refineries'!$B$85:$B$164,"Boiler")/SUM(SUMIFS('Key inputs_Refineries'!Q$85:Q$164,'Key inputs_Refineries'!$C$85:$C$164,$C640:$C649,'Key inputs_Refineries'!$B$85:$B$164,"Boiler"))&lt;0.001),0.001,SUMIFS('Key inputs_Refineries'!Q$85:Q$164,'Key inputs_Refineries'!$C$85:$C$164,$C646,'Key inputs_Refineries'!$B$85:$B$164,"Boiler")/SUM(SUMIFS('Key inputs_Refineries'!Q$85:Q$164,'Key inputs_Refineries'!$C$85:$C$164,$C640:$C649,'Key inputs_Refineries'!$B$85:$B$164,"Boiler"))),0)</f>
        <v>0</v>
      </c>
      <c r="X646" s="173" cm="1">
        <f t="array" ref="X646">IFERROR(IF(AND(SUMIFS('Key inputs_Refineries'!R$85:R$164,'Key inputs_Refineries'!$C$85:$C$164,$C646,'Key inputs_Refineries'!$B$85:$B$164,"Boiler")/SUM(SUMIFS('Key inputs_Refineries'!R$85:R$164,'Key inputs_Refineries'!$C$85:$C$164,$C640:$C649,'Key inputs_Refineries'!$B$85:$B$164,"Boiler"))&gt;0,SUMIFS('Key inputs_Refineries'!R$85:R$164,'Key inputs_Refineries'!$C$85:$C$164,$C646,'Key inputs_Refineries'!$B$85:$B$164,"Boiler")/SUM(SUMIFS('Key inputs_Refineries'!R$85:R$164,'Key inputs_Refineries'!$C$85:$C$164,$C640:$C649,'Key inputs_Refineries'!$B$85:$B$164,"Boiler"))&lt;0.001),0.001,SUMIFS('Key inputs_Refineries'!R$85:R$164,'Key inputs_Refineries'!$C$85:$C$164,$C646,'Key inputs_Refineries'!$B$85:$B$164,"Boiler")/SUM(SUMIFS('Key inputs_Refineries'!R$85:R$164,'Key inputs_Refineries'!$C$85:$C$164,$C640:$C649,'Key inputs_Refineries'!$B$85:$B$164,"Boiler"))),0)</f>
        <v>0</v>
      </c>
      <c r="Y646" s="173" cm="1">
        <f t="array" ref="Y646">IFERROR(IF(AND(SUMIFS('Key inputs_Refineries'!S$85:S$164,'Key inputs_Refineries'!$C$85:$C$164,$C646,'Key inputs_Refineries'!$B$85:$B$164,"Boiler")/SUM(SUMIFS('Key inputs_Refineries'!S$85:S$164,'Key inputs_Refineries'!$C$85:$C$164,$C640:$C649,'Key inputs_Refineries'!$B$85:$B$164,"Boiler"))&gt;0,SUMIFS('Key inputs_Refineries'!S$85:S$164,'Key inputs_Refineries'!$C$85:$C$164,$C646,'Key inputs_Refineries'!$B$85:$B$164,"Boiler")/SUM(SUMIFS('Key inputs_Refineries'!S$85:S$164,'Key inputs_Refineries'!$C$85:$C$164,$C640:$C649,'Key inputs_Refineries'!$B$85:$B$164,"Boiler"))&lt;0.001),0.001,SUMIFS('Key inputs_Refineries'!S$85:S$164,'Key inputs_Refineries'!$C$85:$C$164,$C646,'Key inputs_Refineries'!$B$85:$B$164,"Boiler")/SUM(SUMIFS('Key inputs_Refineries'!S$85:S$164,'Key inputs_Refineries'!$C$85:$C$164,$C640:$C649,'Key inputs_Refineries'!$B$85:$B$164,"Boiler"))),0)</f>
        <v>8.2373108109728369E-3</v>
      </c>
      <c r="Z646" s="173" cm="1">
        <f t="array" ref="Z646">IFERROR(IF(AND(SUMIFS('Key inputs_Refineries'!T$85:T$164,'Key inputs_Refineries'!$C$85:$C$164,$C646,'Key inputs_Refineries'!$B$85:$B$164,"Boiler")/SUM(SUMIFS('Key inputs_Refineries'!T$85:T$164,'Key inputs_Refineries'!$C$85:$C$164,$C640:$C649,'Key inputs_Refineries'!$B$85:$B$164,"Boiler"))&gt;0,SUMIFS('Key inputs_Refineries'!T$85:T$164,'Key inputs_Refineries'!$C$85:$C$164,$C646,'Key inputs_Refineries'!$B$85:$B$164,"Boiler")/SUM(SUMIFS('Key inputs_Refineries'!T$85:T$164,'Key inputs_Refineries'!$C$85:$C$164,$C640:$C649,'Key inputs_Refineries'!$B$85:$B$164,"Boiler"))&lt;0.001),0.001,SUMIFS('Key inputs_Refineries'!T$85:T$164,'Key inputs_Refineries'!$C$85:$C$164,$C646,'Key inputs_Refineries'!$B$85:$B$164,"Boiler")/SUM(SUMIFS('Key inputs_Refineries'!T$85:T$164,'Key inputs_Refineries'!$C$85:$C$164,$C640:$C649,'Key inputs_Refineries'!$B$85:$B$164,"Boiler"))),0)</f>
        <v>7.8067049163062063E-2</v>
      </c>
      <c r="AA646" s="173" cm="1">
        <f t="array" ref="AA646">IFERROR(IF(AND(SUMIFS('Key inputs_Refineries'!U$85:U$164,'Key inputs_Refineries'!$C$85:$C$164,$C646,'Key inputs_Refineries'!$B$85:$B$164,"Boiler")/SUM(SUMIFS('Key inputs_Refineries'!U$85:U$164,'Key inputs_Refineries'!$C$85:$C$164,$C640:$C649,'Key inputs_Refineries'!$B$85:$B$164,"Boiler"))&gt;0,SUMIFS('Key inputs_Refineries'!U$85:U$164,'Key inputs_Refineries'!$C$85:$C$164,$C646,'Key inputs_Refineries'!$B$85:$B$164,"Boiler")/SUM(SUMIFS('Key inputs_Refineries'!U$85:U$164,'Key inputs_Refineries'!$C$85:$C$164,$C640:$C649,'Key inputs_Refineries'!$B$85:$B$164,"Boiler"))&lt;0.001),0.001,SUMIFS('Key inputs_Refineries'!U$85:U$164,'Key inputs_Refineries'!$C$85:$C$164,$C646,'Key inputs_Refineries'!$B$85:$B$164,"Boiler")/SUM(SUMIFS('Key inputs_Refineries'!U$85:U$164,'Key inputs_Refineries'!$C$85:$C$164,$C640:$C649,'Key inputs_Refineries'!$B$85:$B$164,"Boiler"))),0)</f>
        <v>0.12670134629223898</v>
      </c>
      <c r="AB646" s="173" cm="1">
        <f t="array" ref="AB646">IFERROR(IF(AND(SUMIFS('Key inputs_Refineries'!V$85:V$164,'Key inputs_Refineries'!$C$85:$C$164,$C646,'Key inputs_Refineries'!$B$85:$B$164,"Boiler")/SUM(SUMIFS('Key inputs_Refineries'!V$85:V$164,'Key inputs_Refineries'!$C$85:$C$164,$C640:$C649,'Key inputs_Refineries'!$B$85:$B$164,"Boiler"))&gt;0,SUMIFS('Key inputs_Refineries'!V$85:V$164,'Key inputs_Refineries'!$C$85:$C$164,$C646,'Key inputs_Refineries'!$B$85:$B$164,"Boiler")/SUM(SUMIFS('Key inputs_Refineries'!V$85:V$164,'Key inputs_Refineries'!$C$85:$C$164,$C640:$C649,'Key inputs_Refineries'!$B$85:$B$164,"Boiler"))&lt;0.001),0.001,SUMIFS('Key inputs_Refineries'!V$85:V$164,'Key inputs_Refineries'!$C$85:$C$164,$C646,'Key inputs_Refineries'!$B$85:$B$164,"Boiler")/SUM(SUMIFS('Key inputs_Refineries'!V$85:V$164,'Key inputs_Refineries'!$C$85:$C$164,$C640:$C649,'Key inputs_Refineries'!$B$85:$B$164,"Boiler"))),0)</f>
        <v>0</v>
      </c>
      <c r="AC646" s="173" cm="1">
        <f t="array" ref="AC646">IFERROR(IF(AND(SUMIFS('Key inputs_Refineries'!W$85:W$164,'Key inputs_Refineries'!$C$85:$C$164,$C646,'Key inputs_Refineries'!$B$85:$B$164,"Boiler")/SUM(SUMIFS('Key inputs_Refineries'!W$85:W$164,'Key inputs_Refineries'!$C$85:$C$164,$C640:$C649,'Key inputs_Refineries'!$B$85:$B$164,"Boiler"))&gt;0,SUMIFS('Key inputs_Refineries'!W$85:W$164,'Key inputs_Refineries'!$C$85:$C$164,$C646,'Key inputs_Refineries'!$B$85:$B$164,"Boiler")/SUM(SUMIFS('Key inputs_Refineries'!W$85:W$164,'Key inputs_Refineries'!$C$85:$C$164,$C640:$C649,'Key inputs_Refineries'!$B$85:$B$164,"Boiler"))&lt;0.001),0.001,SUMIFS('Key inputs_Refineries'!W$85:W$164,'Key inputs_Refineries'!$C$85:$C$164,$C646,'Key inputs_Refineries'!$B$85:$B$164,"Boiler")/SUM(SUMIFS('Key inputs_Refineries'!W$85:W$164,'Key inputs_Refineries'!$C$85:$C$164,$C640:$C649,'Key inputs_Refineries'!$B$85:$B$164,"Boiler"))),0)</f>
        <v>0</v>
      </c>
      <c r="AD646" s="173" cm="1">
        <f t="array" ref="AD646">IFERROR(IF(AND(SUMIFS('Key inputs_Refineries'!X$85:X$164,'Key inputs_Refineries'!$C$85:$C$164,$C646,'Key inputs_Refineries'!$B$85:$B$164,"Boiler")/SUM(SUMIFS('Key inputs_Refineries'!X$85:X$164,'Key inputs_Refineries'!$C$85:$C$164,$C640:$C649,'Key inputs_Refineries'!$B$85:$B$164,"Boiler"))&gt;0,SUMIFS('Key inputs_Refineries'!X$85:X$164,'Key inputs_Refineries'!$C$85:$C$164,$C646,'Key inputs_Refineries'!$B$85:$B$164,"Boiler")/SUM(SUMIFS('Key inputs_Refineries'!X$85:X$164,'Key inputs_Refineries'!$C$85:$C$164,$C640:$C649,'Key inputs_Refineries'!$B$85:$B$164,"Boiler"))&lt;0.001),0.001,SUMIFS('Key inputs_Refineries'!X$85:X$164,'Key inputs_Refineries'!$C$85:$C$164,$C646,'Key inputs_Refineries'!$B$85:$B$164,"Boiler")/SUM(SUMIFS('Key inputs_Refineries'!X$85:X$164,'Key inputs_Refineries'!$C$85:$C$164,$C640:$C649,'Key inputs_Refineries'!$B$85:$B$164,"Boiler"))),0)</f>
        <v>5.9809032201112659E-2</v>
      </c>
      <c r="AE646" s="173" cm="1">
        <f t="array" ref="AE646">IFERROR(IF(AND(SUMIFS('Key inputs_Refineries'!Y$85:Y$164,'Key inputs_Refineries'!$C$85:$C$164,$C646,'Key inputs_Refineries'!$B$85:$B$164,"Boiler")/SUM(SUMIFS('Key inputs_Refineries'!Y$85:Y$164,'Key inputs_Refineries'!$C$85:$C$164,$C640:$C649,'Key inputs_Refineries'!$B$85:$B$164,"Boiler"))&gt;0,SUMIFS('Key inputs_Refineries'!Y$85:Y$164,'Key inputs_Refineries'!$C$85:$C$164,$C646,'Key inputs_Refineries'!$B$85:$B$164,"Boiler")/SUM(SUMIFS('Key inputs_Refineries'!Y$85:Y$164,'Key inputs_Refineries'!$C$85:$C$164,$C640:$C649,'Key inputs_Refineries'!$B$85:$B$164,"Boiler"))&lt;0.001),0.001,SUMIFS('Key inputs_Refineries'!Y$85:Y$164,'Key inputs_Refineries'!$C$85:$C$164,$C646,'Key inputs_Refineries'!$B$85:$B$164,"Boiler")/SUM(SUMIFS('Key inputs_Refineries'!Y$85:Y$164,'Key inputs_Refineries'!$C$85:$C$164,$C640:$C649,'Key inputs_Refineries'!$B$85:$B$164,"Boiler"))),0)</f>
        <v>0.15964808720573298</v>
      </c>
      <c r="AF646" s="173" cm="1">
        <f t="array" ref="AF646">IFERROR(IF(AND(SUMIFS('Key inputs_Refineries'!Z$85:Z$164,'Key inputs_Refineries'!$C$85:$C$164,$C646,'Key inputs_Refineries'!$B$85:$B$164,"Boiler")/SUM(SUMIFS('Key inputs_Refineries'!Z$85:Z$164,'Key inputs_Refineries'!$C$85:$C$164,$C640:$C649,'Key inputs_Refineries'!$B$85:$B$164,"Boiler"))&gt;0,SUMIFS('Key inputs_Refineries'!Z$85:Z$164,'Key inputs_Refineries'!$C$85:$C$164,$C646,'Key inputs_Refineries'!$B$85:$B$164,"Boiler")/SUM(SUMIFS('Key inputs_Refineries'!Z$85:Z$164,'Key inputs_Refineries'!$C$85:$C$164,$C640:$C649,'Key inputs_Refineries'!$B$85:$B$164,"Boiler"))&lt;0.001),0.001,SUMIFS('Key inputs_Refineries'!Z$85:Z$164,'Key inputs_Refineries'!$C$85:$C$164,$C646,'Key inputs_Refineries'!$B$85:$B$164,"Boiler")/SUM(SUMIFS('Key inputs_Refineries'!Z$85:Z$164,'Key inputs_Refineries'!$C$85:$C$164,$C640:$C649,'Key inputs_Refineries'!$B$85:$B$164,"Boiler"))),0)</f>
        <v>0</v>
      </c>
      <c r="AG646" s="173" cm="1">
        <f t="array" ref="AG646">IFERROR(IF(AND(SUMIFS('Key inputs_Refineries'!AA$85:AA$164,'Key inputs_Refineries'!$C$85:$C$164,$C646,'Key inputs_Refineries'!$B$85:$B$164,"Boiler")/SUM(SUMIFS('Key inputs_Refineries'!AA$85:AA$164,'Key inputs_Refineries'!$C$85:$C$164,$C640:$C649,'Key inputs_Refineries'!$B$85:$B$164,"Boiler"))&gt;0,SUMIFS('Key inputs_Refineries'!AA$85:AA$164,'Key inputs_Refineries'!$C$85:$C$164,$C646,'Key inputs_Refineries'!$B$85:$B$164,"Boiler")/SUM(SUMIFS('Key inputs_Refineries'!AA$85:AA$164,'Key inputs_Refineries'!$C$85:$C$164,$C640:$C649,'Key inputs_Refineries'!$B$85:$B$164,"Boiler"))&lt;0.001),0.001,SUMIFS('Key inputs_Refineries'!AA$85:AA$164,'Key inputs_Refineries'!$C$85:$C$164,$C646,'Key inputs_Refineries'!$B$85:$B$164,"Boiler")/SUM(SUMIFS('Key inputs_Refineries'!AA$85:AA$164,'Key inputs_Refineries'!$C$85:$C$164,$C640:$C649,'Key inputs_Refineries'!$B$85:$B$164,"Boiler"))),0)</f>
        <v>0.14701351118428413</v>
      </c>
      <c r="AH646" s="173" cm="1">
        <f t="array" ref="AH646">IFERROR(IF(AND(SUMIFS('Key inputs_Refineries'!AB$85:AB$164,'Key inputs_Refineries'!$C$85:$C$164,$C646,'Key inputs_Refineries'!$B$85:$B$164,"Boiler")/SUM(SUMIFS('Key inputs_Refineries'!AB$85:AB$164,'Key inputs_Refineries'!$C$85:$C$164,$C640:$C649,'Key inputs_Refineries'!$B$85:$B$164,"Boiler"))&gt;0,SUMIFS('Key inputs_Refineries'!AB$85:AB$164,'Key inputs_Refineries'!$C$85:$C$164,$C646,'Key inputs_Refineries'!$B$85:$B$164,"Boiler")/SUM(SUMIFS('Key inputs_Refineries'!AB$85:AB$164,'Key inputs_Refineries'!$C$85:$C$164,$C640:$C649,'Key inputs_Refineries'!$B$85:$B$164,"Boiler"))&lt;0.001),0.001,SUMIFS('Key inputs_Refineries'!AB$85:AB$164,'Key inputs_Refineries'!$C$85:$C$164,$C646,'Key inputs_Refineries'!$B$85:$B$164,"Boiler")/SUM(SUMIFS('Key inputs_Refineries'!AB$85:AB$164,'Key inputs_Refineries'!$C$85:$C$164,$C640:$C649,'Key inputs_Refineries'!$B$85:$B$164,"Boiler"))),0)</f>
        <v>0</v>
      </c>
      <c r="AI646" s="173" cm="1">
        <f t="array" ref="AI646">IFERROR(IF(AND(SUMIFS('Key inputs_Refineries'!AC$85:AC$164,'Key inputs_Refineries'!$C$85:$C$164,$C646,'Key inputs_Refineries'!$B$85:$B$164,"Boiler")/SUM(SUMIFS('Key inputs_Refineries'!AC$85:AC$164,'Key inputs_Refineries'!$C$85:$C$164,$C640:$C649,'Key inputs_Refineries'!$B$85:$B$164,"Boiler"))&gt;0,SUMIFS('Key inputs_Refineries'!AC$85:AC$164,'Key inputs_Refineries'!$C$85:$C$164,$C646,'Key inputs_Refineries'!$B$85:$B$164,"Boiler")/SUM(SUMIFS('Key inputs_Refineries'!AC$85:AC$164,'Key inputs_Refineries'!$C$85:$C$164,$C640:$C649,'Key inputs_Refineries'!$B$85:$B$164,"Boiler"))&lt;0.001),0.001,SUMIFS('Key inputs_Refineries'!AC$85:AC$164,'Key inputs_Refineries'!$C$85:$C$164,$C646,'Key inputs_Refineries'!$B$85:$B$164,"Boiler")/SUM(SUMIFS('Key inputs_Refineries'!AC$85:AC$164,'Key inputs_Refineries'!$C$85:$C$164,$C640:$C649,'Key inputs_Refineries'!$B$85:$B$164,"Boiler"))),0)</f>
        <v>8.2300446207238476E-2</v>
      </c>
      <c r="AJ646" s="173" cm="1">
        <f t="array" ref="AJ646">IFERROR(IF(AND(SUMIFS('Key inputs_Refineries'!AD$85:AD$164,'Key inputs_Refineries'!$C$85:$C$164,$C646,'Key inputs_Refineries'!$B$85:$B$164,"Boiler")/SUM(SUMIFS('Key inputs_Refineries'!AD$85:AD$164,'Key inputs_Refineries'!$C$85:$C$164,$C640:$C649,'Key inputs_Refineries'!$B$85:$B$164,"Boiler"))&gt;0,SUMIFS('Key inputs_Refineries'!AD$85:AD$164,'Key inputs_Refineries'!$C$85:$C$164,$C646,'Key inputs_Refineries'!$B$85:$B$164,"Boiler")/SUM(SUMIFS('Key inputs_Refineries'!AD$85:AD$164,'Key inputs_Refineries'!$C$85:$C$164,$C640:$C649,'Key inputs_Refineries'!$B$85:$B$164,"Boiler"))&lt;0.001),0.001,SUMIFS('Key inputs_Refineries'!AD$85:AD$164,'Key inputs_Refineries'!$C$85:$C$164,$C646,'Key inputs_Refineries'!$B$85:$B$164,"Boiler")/SUM(SUMIFS('Key inputs_Refineries'!AD$85:AD$164,'Key inputs_Refineries'!$C$85:$C$164,$C640:$C649,'Key inputs_Refineries'!$B$85:$B$164,"Boiler"))),0)</f>
        <v>0</v>
      </c>
      <c r="AK646" s="173" cm="1">
        <f t="array" ref="AK646">IFERROR(IF(AND(SUMIFS('Key inputs_Refineries'!AE$85:AE$164,'Key inputs_Refineries'!$C$85:$C$164,$C646,'Key inputs_Refineries'!$B$85:$B$164,"Boiler")/SUM(SUMIFS('Key inputs_Refineries'!AE$85:AE$164,'Key inputs_Refineries'!$C$85:$C$164,$C640:$C649,'Key inputs_Refineries'!$B$85:$B$164,"Boiler"))&gt;0,SUMIFS('Key inputs_Refineries'!AE$85:AE$164,'Key inputs_Refineries'!$C$85:$C$164,$C646,'Key inputs_Refineries'!$B$85:$B$164,"Boiler")/SUM(SUMIFS('Key inputs_Refineries'!AE$85:AE$164,'Key inputs_Refineries'!$C$85:$C$164,$C640:$C649,'Key inputs_Refineries'!$B$85:$B$164,"Boiler"))&lt;0.001),0.001,SUMIFS('Key inputs_Refineries'!AE$85:AE$164,'Key inputs_Refineries'!$C$85:$C$164,$C646,'Key inputs_Refineries'!$B$85:$B$164,"Boiler")/SUM(SUMIFS('Key inputs_Refineries'!AE$85:AE$164,'Key inputs_Refineries'!$C$85:$C$164,$C640:$C649,'Key inputs_Refineries'!$B$85:$B$164,"Boiler"))),0)</f>
        <v>0.19642918031687168</v>
      </c>
      <c r="AL646" s="173" cm="1">
        <f t="array" ref="AL646">IFERROR(IF(AND(SUMIFS('Key inputs_Refineries'!AF$85:AF$164,'Key inputs_Refineries'!$C$85:$C$164,$C646,'Key inputs_Refineries'!$B$85:$B$164,"Boiler")/SUM(SUMIFS('Key inputs_Refineries'!AF$85:AF$164,'Key inputs_Refineries'!$C$85:$C$164,$C640:$C649,'Key inputs_Refineries'!$B$85:$B$164,"Boiler"))&gt;0,SUMIFS('Key inputs_Refineries'!AF$85:AF$164,'Key inputs_Refineries'!$C$85:$C$164,$C646,'Key inputs_Refineries'!$B$85:$B$164,"Boiler")/SUM(SUMIFS('Key inputs_Refineries'!AF$85:AF$164,'Key inputs_Refineries'!$C$85:$C$164,$C640:$C649,'Key inputs_Refineries'!$B$85:$B$164,"Boiler"))&lt;0.001),0.001,SUMIFS('Key inputs_Refineries'!AF$85:AF$164,'Key inputs_Refineries'!$C$85:$C$164,$C646,'Key inputs_Refineries'!$B$85:$B$164,"Boiler")/SUM(SUMIFS('Key inputs_Refineries'!AF$85:AF$164,'Key inputs_Refineries'!$C$85:$C$164,$C640:$C649,'Key inputs_Refineries'!$B$85:$B$164,"Boiler"))),0)</f>
        <v>3.7520915854909229E-2</v>
      </c>
    </row>
    <row r="647" spans="1:38">
      <c r="C647" t="str">
        <f>Commodities!$C$98</f>
        <v>UPSNAP</v>
      </c>
      <c r="G647" s="4" t="s">
        <v>702</v>
      </c>
      <c r="H647" t="s">
        <v>661</v>
      </c>
      <c r="I647">
        <v>2019</v>
      </c>
      <c r="J647" t="s">
        <v>650</v>
      </c>
      <c r="K647" s="173" cm="1">
        <f t="array" ref="K647">IFERROR(IF(AND(SUMIFS('Key inputs_Refineries'!E$85:E$164,'Key inputs_Refineries'!$C$85:$C$164,$C647,'Key inputs_Refineries'!$B$85:$B$164,"Boiler")/SUM(SUMIFS('Key inputs_Refineries'!E$85:E$164,'Key inputs_Refineries'!$C$85:$C$164,$C640:$C649,'Key inputs_Refineries'!$B$85:$B$164,"Boiler"))&gt;0,SUMIFS('Key inputs_Refineries'!E$85:E$164,'Key inputs_Refineries'!$C$85:$C$164,$C647,'Key inputs_Refineries'!$B$85:$B$164,"Boiler")/SUM(SUMIFS('Key inputs_Refineries'!E$85:E$164,'Key inputs_Refineries'!$C$85:$C$164,$C640:$C649,'Key inputs_Refineries'!$B$85:$B$164,"Boiler"))&lt;0.001),0.001,SUMIFS('Key inputs_Refineries'!E$85:E$164,'Key inputs_Refineries'!$C$85:$C$164,$C647,'Key inputs_Refineries'!$B$85:$B$164,"Boiler")/SUM(SUMIFS('Key inputs_Refineries'!E$85:E$164,'Key inputs_Refineries'!$C$85:$C$164,$C640:$C649,'Key inputs_Refineries'!$B$85:$B$164,"Boiler"))),0)</f>
        <v>0</v>
      </c>
      <c r="L647" s="173" cm="1">
        <f t="array" ref="L647">IFERROR(IF(AND(SUMIFS('Key inputs_Refineries'!F$85:F$164,'Key inputs_Refineries'!$C$85:$C$164,$C647,'Key inputs_Refineries'!$B$85:$B$164,"Boiler")/SUM(SUMIFS('Key inputs_Refineries'!F$85:F$164,'Key inputs_Refineries'!$C$85:$C$164,$C640:$C649,'Key inputs_Refineries'!$B$85:$B$164,"Boiler"))&gt;0,SUMIFS('Key inputs_Refineries'!F$85:F$164,'Key inputs_Refineries'!$C$85:$C$164,$C647,'Key inputs_Refineries'!$B$85:$B$164,"Boiler")/SUM(SUMIFS('Key inputs_Refineries'!F$85:F$164,'Key inputs_Refineries'!$C$85:$C$164,$C640:$C649,'Key inputs_Refineries'!$B$85:$B$164,"Boiler"))&lt;0.001),0.001,SUMIFS('Key inputs_Refineries'!F$85:F$164,'Key inputs_Refineries'!$C$85:$C$164,$C647,'Key inputs_Refineries'!$B$85:$B$164,"Boiler")/SUM(SUMIFS('Key inputs_Refineries'!F$85:F$164,'Key inputs_Refineries'!$C$85:$C$164,$C640:$C649,'Key inputs_Refineries'!$B$85:$B$164,"Boiler"))),0)</f>
        <v>0</v>
      </c>
      <c r="M647" s="173" cm="1">
        <f t="array" ref="M647">IFERROR(IF(AND(SUMIFS('Key inputs_Refineries'!G$85:G$164,'Key inputs_Refineries'!$C$85:$C$164,$C647,'Key inputs_Refineries'!$B$85:$B$164,"Boiler")/SUM(SUMIFS('Key inputs_Refineries'!G$85:G$164,'Key inputs_Refineries'!$C$85:$C$164,$C640:$C649,'Key inputs_Refineries'!$B$85:$B$164,"Boiler"))&gt;0,SUMIFS('Key inputs_Refineries'!G$85:G$164,'Key inputs_Refineries'!$C$85:$C$164,$C647,'Key inputs_Refineries'!$B$85:$B$164,"Boiler")/SUM(SUMIFS('Key inputs_Refineries'!G$85:G$164,'Key inputs_Refineries'!$C$85:$C$164,$C640:$C649,'Key inputs_Refineries'!$B$85:$B$164,"Boiler"))&lt;0.001),0.001,SUMIFS('Key inputs_Refineries'!G$85:G$164,'Key inputs_Refineries'!$C$85:$C$164,$C647,'Key inputs_Refineries'!$B$85:$B$164,"Boiler")/SUM(SUMIFS('Key inputs_Refineries'!G$85:G$164,'Key inputs_Refineries'!$C$85:$C$164,$C640:$C649,'Key inputs_Refineries'!$B$85:$B$164,"Boiler"))),0)</f>
        <v>0</v>
      </c>
      <c r="N647" s="173" cm="1">
        <f t="array" ref="N647">IFERROR(IF(AND(SUMIFS('Key inputs_Refineries'!H$85:H$164,'Key inputs_Refineries'!$C$85:$C$164,$C647,'Key inputs_Refineries'!$B$85:$B$164,"Boiler")/SUM(SUMIFS('Key inputs_Refineries'!H$85:H$164,'Key inputs_Refineries'!$C$85:$C$164,$C640:$C649,'Key inputs_Refineries'!$B$85:$B$164,"Boiler"))&gt;0,SUMIFS('Key inputs_Refineries'!H$85:H$164,'Key inputs_Refineries'!$C$85:$C$164,$C647,'Key inputs_Refineries'!$B$85:$B$164,"Boiler")/SUM(SUMIFS('Key inputs_Refineries'!H$85:H$164,'Key inputs_Refineries'!$C$85:$C$164,$C640:$C649,'Key inputs_Refineries'!$B$85:$B$164,"Boiler"))&lt;0.001),0.001,SUMIFS('Key inputs_Refineries'!H$85:H$164,'Key inputs_Refineries'!$C$85:$C$164,$C647,'Key inputs_Refineries'!$B$85:$B$164,"Boiler")/SUM(SUMIFS('Key inputs_Refineries'!H$85:H$164,'Key inputs_Refineries'!$C$85:$C$164,$C640:$C649,'Key inputs_Refineries'!$B$85:$B$164,"Boiler"))),0)</f>
        <v>0</v>
      </c>
      <c r="O647" s="173" cm="1">
        <f t="array" ref="O647">IFERROR(IF(AND(SUMIFS('Key inputs_Refineries'!I$85:I$164,'Key inputs_Refineries'!$C$85:$C$164,$C647,'Key inputs_Refineries'!$B$85:$B$164,"Boiler")/SUM(SUMIFS('Key inputs_Refineries'!I$85:I$164,'Key inputs_Refineries'!$C$85:$C$164,$C640:$C649,'Key inputs_Refineries'!$B$85:$B$164,"Boiler"))&gt;0,SUMIFS('Key inputs_Refineries'!I$85:I$164,'Key inputs_Refineries'!$C$85:$C$164,$C647,'Key inputs_Refineries'!$B$85:$B$164,"Boiler")/SUM(SUMIFS('Key inputs_Refineries'!I$85:I$164,'Key inputs_Refineries'!$C$85:$C$164,$C640:$C649,'Key inputs_Refineries'!$B$85:$B$164,"Boiler"))&lt;0.001),0.001,SUMIFS('Key inputs_Refineries'!I$85:I$164,'Key inputs_Refineries'!$C$85:$C$164,$C647,'Key inputs_Refineries'!$B$85:$B$164,"Boiler")/SUM(SUMIFS('Key inputs_Refineries'!I$85:I$164,'Key inputs_Refineries'!$C$85:$C$164,$C640:$C649,'Key inputs_Refineries'!$B$85:$B$164,"Boiler"))),0)</f>
        <v>0</v>
      </c>
      <c r="P647" s="173" cm="1">
        <f t="array" ref="P647">IFERROR(IF(AND(SUMIFS('Key inputs_Refineries'!J$85:J$164,'Key inputs_Refineries'!$C$85:$C$164,$C647,'Key inputs_Refineries'!$B$85:$B$164,"Boiler")/SUM(SUMIFS('Key inputs_Refineries'!J$85:J$164,'Key inputs_Refineries'!$C$85:$C$164,$C640:$C649,'Key inputs_Refineries'!$B$85:$B$164,"Boiler"))&gt;0,SUMIFS('Key inputs_Refineries'!J$85:J$164,'Key inputs_Refineries'!$C$85:$C$164,$C647,'Key inputs_Refineries'!$B$85:$B$164,"Boiler")/SUM(SUMIFS('Key inputs_Refineries'!J$85:J$164,'Key inputs_Refineries'!$C$85:$C$164,$C640:$C649,'Key inputs_Refineries'!$B$85:$B$164,"Boiler"))&lt;0.001),0.001,SUMIFS('Key inputs_Refineries'!J$85:J$164,'Key inputs_Refineries'!$C$85:$C$164,$C647,'Key inputs_Refineries'!$B$85:$B$164,"Boiler")/SUM(SUMIFS('Key inputs_Refineries'!J$85:J$164,'Key inputs_Refineries'!$C$85:$C$164,$C640:$C649,'Key inputs_Refineries'!$B$85:$B$164,"Boiler"))),0)</f>
        <v>0</v>
      </c>
      <c r="Q647" s="173" cm="1">
        <f t="array" ref="Q647">IFERROR(IF(AND(SUMIFS('Key inputs_Refineries'!K$85:K$164,'Key inputs_Refineries'!$C$85:$C$164,$C647,'Key inputs_Refineries'!$B$85:$B$164,"Boiler")/SUM(SUMIFS('Key inputs_Refineries'!K$85:K$164,'Key inputs_Refineries'!$C$85:$C$164,$C640:$C649,'Key inputs_Refineries'!$B$85:$B$164,"Boiler"))&gt;0,SUMIFS('Key inputs_Refineries'!K$85:K$164,'Key inputs_Refineries'!$C$85:$C$164,$C647,'Key inputs_Refineries'!$B$85:$B$164,"Boiler")/SUM(SUMIFS('Key inputs_Refineries'!K$85:K$164,'Key inputs_Refineries'!$C$85:$C$164,$C640:$C649,'Key inputs_Refineries'!$B$85:$B$164,"Boiler"))&lt;0.001),0.001,SUMIFS('Key inputs_Refineries'!K$85:K$164,'Key inputs_Refineries'!$C$85:$C$164,$C647,'Key inputs_Refineries'!$B$85:$B$164,"Boiler")/SUM(SUMIFS('Key inputs_Refineries'!K$85:K$164,'Key inputs_Refineries'!$C$85:$C$164,$C640:$C649,'Key inputs_Refineries'!$B$85:$B$164,"Boiler"))),0)</f>
        <v>0</v>
      </c>
      <c r="R647" s="173" cm="1">
        <f t="array" ref="R647">IFERROR(IF(AND(SUMIFS('Key inputs_Refineries'!L$85:L$164,'Key inputs_Refineries'!$C$85:$C$164,$C647,'Key inputs_Refineries'!$B$85:$B$164,"Boiler")/SUM(SUMIFS('Key inputs_Refineries'!L$85:L$164,'Key inputs_Refineries'!$C$85:$C$164,$C640:$C649,'Key inputs_Refineries'!$B$85:$B$164,"Boiler"))&gt;0,SUMIFS('Key inputs_Refineries'!L$85:L$164,'Key inputs_Refineries'!$C$85:$C$164,$C647,'Key inputs_Refineries'!$B$85:$B$164,"Boiler")/SUM(SUMIFS('Key inputs_Refineries'!L$85:L$164,'Key inputs_Refineries'!$C$85:$C$164,$C640:$C649,'Key inputs_Refineries'!$B$85:$B$164,"Boiler"))&lt;0.001),0.001,SUMIFS('Key inputs_Refineries'!L$85:L$164,'Key inputs_Refineries'!$C$85:$C$164,$C647,'Key inputs_Refineries'!$B$85:$B$164,"Boiler")/SUM(SUMIFS('Key inputs_Refineries'!L$85:L$164,'Key inputs_Refineries'!$C$85:$C$164,$C640:$C649,'Key inputs_Refineries'!$B$85:$B$164,"Boiler"))),0)</f>
        <v>0</v>
      </c>
      <c r="S647" s="173" cm="1">
        <f t="array" ref="S647">IFERROR(IF(AND(SUMIFS('Key inputs_Refineries'!M$85:M$164,'Key inputs_Refineries'!$C$85:$C$164,$C647,'Key inputs_Refineries'!$B$85:$B$164,"Boiler")/SUM(SUMIFS('Key inputs_Refineries'!M$85:M$164,'Key inputs_Refineries'!$C$85:$C$164,$C640:$C649,'Key inputs_Refineries'!$B$85:$B$164,"Boiler"))&gt;0,SUMIFS('Key inputs_Refineries'!M$85:M$164,'Key inputs_Refineries'!$C$85:$C$164,$C647,'Key inputs_Refineries'!$B$85:$B$164,"Boiler")/SUM(SUMIFS('Key inputs_Refineries'!M$85:M$164,'Key inputs_Refineries'!$C$85:$C$164,$C640:$C649,'Key inputs_Refineries'!$B$85:$B$164,"Boiler"))&lt;0.001),0.001,SUMIFS('Key inputs_Refineries'!M$85:M$164,'Key inputs_Refineries'!$C$85:$C$164,$C647,'Key inputs_Refineries'!$B$85:$B$164,"Boiler")/SUM(SUMIFS('Key inputs_Refineries'!M$85:M$164,'Key inputs_Refineries'!$C$85:$C$164,$C640:$C649,'Key inputs_Refineries'!$B$85:$B$164,"Boiler"))),0)</f>
        <v>0</v>
      </c>
      <c r="T647" s="173" cm="1">
        <f t="array" ref="T647">IFERROR(IF(AND(SUMIFS('Key inputs_Refineries'!N$85:N$164,'Key inputs_Refineries'!$C$85:$C$164,$C647,'Key inputs_Refineries'!$B$85:$B$164,"Boiler")/SUM(SUMIFS('Key inputs_Refineries'!N$85:N$164,'Key inputs_Refineries'!$C$85:$C$164,$C640:$C649,'Key inputs_Refineries'!$B$85:$B$164,"Boiler"))&gt;0,SUMIFS('Key inputs_Refineries'!N$85:N$164,'Key inputs_Refineries'!$C$85:$C$164,$C647,'Key inputs_Refineries'!$B$85:$B$164,"Boiler")/SUM(SUMIFS('Key inputs_Refineries'!N$85:N$164,'Key inputs_Refineries'!$C$85:$C$164,$C640:$C649,'Key inputs_Refineries'!$B$85:$B$164,"Boiler"))&lt;0.001),0.001,SUMIFS('Key inputs_Refineries'!N$85:N$164,'Key inputs_Refineries'!$C$85:$C$164,$C647,'Key inputs_Refineries'!$B$85:$B$164,"Boiler")/SUM(SUMIFS('Key inputs_Refineries'!N$85:N$164,'Key inputs_Refineries'!$C$85:$C$164,$C640:$C649,'Key inputs_Refineries'!$B$85:$B$164,"Boiler"))),0)</f>
        <v>0</v>
      </c>
      <c r="U647" s="173" cm="1">
        <f t="array" ref="U647">IFERROR(IF(AND(SUMIFS('Key inputs_Refineries'!O$85:O$164,'Key inputs_Refineries'!$C$85:$C$164,$C647,'Key inputs_Refineries'!$B$85:$B$164,"Boiler")/SUM(SUMIFS('Key inputs_Refineries'!O$85:O$164,'Key inputs_Refineries'!$C$85:$C$164,$C640:$C649,'Key inputs_Refineries'!$B$85:$B$164,"Boiler"))&gt;0,SUMIFS('Key inputs_Refineries'!O$85:O$164,'Key inputs_Refineries'!$C$85:$C$164,$C647,'Key inputs_Refineries'!$B$85:$B$164,"Boiler")/SUM(SUMIFS('Key inputs_Refineries'!O$85:O$164,'Key inputs_Refineries'!$C$85:$C$164,$C640:$C649,'Key inputs_Refineries'!$B$85:$B$164,"Boiler"))&lt;0.001),0.001,SUMIFS('Key inputs_Refineries'!O$85:O$164,'Key inputs_Refineries'!$C$85:$C$164,$C647,'Key inputs_Refineries'!$B$85:$B$164,"Boiler")/SUM(SUMIFS('Key inputs_Refineries'!O$85:O$164,'Key inputs_Refineries'!$C$85:$C$164,$C640:$C649,'Key inputs_Refineries'!$B$85:$B$164,"Boiler"))),0)</f>
        <v>0</v>
      </c>
      <c r="V647" s="173" cm="1">
        <f t="array" ref="V647">IFERROR(IF(AND(SUMIFS('Key inputs_Refineries'!P$85:P$164,'Key inputs_Refineries'!$C$85:$C$164,$C647,'Key inputs_Refineries'!$B$85:$B$164,"Boiler")/SUM(SUMIFS('Key inputs_Refineries'!P$85:P$164,'Key inputs_Refineries'!$C$85:$C$164,$C640:$C649,'Key inputs_Refineries'!$B$85:$B$164,"Boiler"))&gt;0,SUMIFS('Key inputs_Refineries'!P$85:P$164,'Key inputs_Refineries'!$C$85:$C$164,$C647,'Key inputs_Refineries'!$B$85:$B$164,"Boiler")/SUM(SUMIFS('Key inputs_Refineries'!P$85:P$164,'Key inputs_Refineries'!$C$85:$C$164,$C640:$C649,'Key inputs_Refineries'!$B$85:$B$164,"Boiler"))&lt;0.001),0.001,SUMIFS('Key inputs_Refineries'!P$85:P$164,'Key inputs_Refineries'!$C$85:$C$164,$C647,'Key inputs_Refineries'!$B$85:$B$164,"Boiler")/SUM(SUMIFS('Key inputs_Refineries'!P$85:P$164,'Key inputs_Refineries'!$C$85:$C$164,$C640:$C649,'Key inputs_Refineries'!$B$85:$B$164,"Boiler"))),0)</f>
        <v>8.1634477464035786E-3</v>
      </c>
      <c r="W647" s="173" cm="1">
        <f t="array" ref="W647">IFERROR(IF(AND(SUMIFS('Key inputs_Refineries'!Q$85:Q$164,'Key inputs_Refineries'!$C$85:$C$164,$C647,'Key inputs_Refineries'!$B$85:$B$164,"Boiler")/SUM(SUMIFS('Key inputs_Refineries'!Q$85:Q$164,'Key inputs_Refineries'!$C$85:$C$164,$C640:$C649,'Key inputs_Refineries'!$B$85:$B$164,"Boiler"))&gt;0,SUMIFS('Key inputs_Refineries'!Q$85:Q$164,'Key inputs_Refineries'!$C$85:$C$164,$C647,'Key inputs_Refineries'!$B$85:$B$164,"Boiler")/SUM(SUMIFS('Key inputs_Refineries'!Q$85:Q$164,'Key inputs_Refineries'!$C$85:$C$164,$C640:$C649,'Key inputs_Refineries'!$B$85:$B$164,"Boiler"))&lt;0.001),0.001,SUMIFS('Key inputs_Refineries'!Q$85:Q$164,'Key inputs_Refineries'!$C$85:$C$164,$C647,'Key inputs_Refineries'!$B$85:$B$164,"Boiler")/SUM(SUMIFS('Key inputs_Refineries'!Q$85:Q$164,'Key inputs_Refineries'!$C$85:$C$164,$C640:$C649,'Key inputs_Refineries'!$B$85:$B$164,"Boiler"))),0)</f>
        <v>0</v>
      </c>
      <c r="X647" s="173" cm="1">
        <f t="array" ref="X647">IFERROR(IF(AND(SUMIFS('Key inputs_Refineries'!R$85:R$164,'Key inputs_Refineries'!$C$85:$C$164,$C647,'Key inputs_Refineries'!$B$85:$B$164,"Boiler")/SUM(SUMIFS('Key inputs_Refineries'!R$85:R$164,'Key inputs_Refineries'!$C$85:$C$164,$C640:$C649,'Key inputs_Refineries'!$B$85:$B$164,"Boiler"))&gt;0,SUMIFS('Key inputs_Refineries'!R$85:R$164,'Key inputs_Refineries'!$C$85:$C$164,$C647,'Key inputs_Refineries'!$B$85:$B$164,"Boiler")/SUM(SUMIFS('Key inputs_Refineries'!R$85:R$164,'Key inputs_Refineries'!$C$85:$C$164,$C640:$C649,'Key inputs_Refineries'!$B$85:$B$164,"Boiler"))&lt;0.001),0.001,SUMIFS('Key inputs_Refineries'!R$85:R$164,'Key inputs_Refineries'!$C$85:$C$164,$C647,'Key inputs_Refineries'!$B$85:$B$164,"Boiler")/SUM(SUMIFS('Key inputs_Refineries'!R$85:R$164,'Key inputs_Refineries'!$C$85:$C$164,$C640:$C649,'Key inputs_Refineries'!$B$85:$B$164,"Boiler"))),0)</f>
        <v>0</v>
      </c>
      <c r="Y647" s="173" cm="1">
        <f t="array" ref="Y647">IFERROR(IF(AND(SUMIFS('Key inputs_Refineries'!S$85:S$164,'Key inputs_Refineries'!$C$85:$C$164,$C647,'Key inputs_Refineries'!$B$85:$B$164,"Boiler")/SUM(SUMIFS('Key inputs_Refineries'!S$85:S$164,'Key inputs_Refineries'!$C$85:$C$164,$C640:$C649,'Key inputs_Refineries'!$B$85:$B$164,"Boiler"))&gt;0,SUMIFS('Key inputs_Refineries'!S$85:S$164,'Key inputs_Refineries'!$C$85:$C$164,$C647,'Key inputs_Refineries'!$B$85:$B$164,"Boiler")/SUM(SUMIFS('Key inputs_Refineries'!S$85:S$164,'Key inputs_Refineries'!$C$85:$C$164,$C640:$C649,'Key inputs_Refineries'!$B$85:$B$164,"Boiler"))&lt;0.001),0.001,SUMIFS('Key inputs_Refineries'!S$85:S$164,'Key inputs_Refineries'!$C$85:$C$164,$C647,'Key inputs_Refineries'!$B$85:$B$164,"Boiler")/SUM(SUMIFS('Key inputs_Refineries'!S$85:S$164,'Key inputs_Refineries'!$C$85:$C$164,$C640:$C649,'Key inputs_Refineries'!$B$85:$B$164,"Boiler"))),0)</f>
        <v>0</v>
      </c>
      <c r="Z647" s="173" cm="1">
        <f t="array" ref="Z647">IFERROR(IF(AND(SUMIFS('Key inputs_Refineries'!T$85:T$164,'Key inputs_Refineries'!$C$85:$C$164,$C647,'Key inputs_Refineries'!$B$85:$B$164,"Boiler")/SUM(SUMIFS('Key inputs_Refineries'!T$85:T$164,'Key inputs_Refineries'!$C$85:$C$164,$C640:$C649,'Key inputs_Refineries'!$B$85:$B$164,"Boiler"))&gt;0,SUMIFS('Key inputs_Refineries'!T$85:T$164,'Key inputs_Refineries'!$C$85:$C$164,$C647,'Key inputs_Refineries'!$B$85:$B$164,"Boiler")/SUM(SUMIFS('Key inputs_Refineries'!T$85:T$164,'Key inputs_Refineries'!$C$85:$C$164,$C640:$C649,'Key inputs_Refineries'!$B$85:$B$164,"Boiler"))&lt;0.001),0.001,SUMIFS('Key inputs_Refineries'!T$85:T$164,'Key inputs_Refineries'!$C$85:$C$164,$C647,'Key inputs_Refineries'!$B$85:$B$164,"Boiler")/SUM(SUMIFS('Key inputs_Refineries'!T$85:T$164,'Key inputs_Refineries'!$C$85:$C$164,$C640:$C649,'Key inputs_Refineries'!$B$85:$B$164,"Boiler"))),0)</f>
        <v>0</v>
      </c>
      <c r="AA647" s="173" cm="1">
        <f t="array" ref="AA647">IFERROR(IF(AND(SUMIFS('Key inputs_Refineries'!U$85:U$164,'Key inputs_Refineries'!$C$85:$C$164,$C647,'Key inputs_Refineries'!$B$85:$B$164,"Boiler")/SUM(SUMIFS('Key inputs_Refineries'!U$85:U$164,'Key inputs_Refineries'!$C$85:$C$164,$C640:$C649,'Key inputs_Refineries'!$B$85:$B$164,"Boiler"))&gt;0,SUMIFS('Key inputs_Refineries'!U$85:U$164,'Key inputs_Refineries'!$C$85:$C$164,$C647,'Key inputs_Refineries'!$B$85:$B$164,"Boiler")/SUM(SUMIFS('Key inputs_Refineries'!U$85:U$164,'Key inputs_Refineries'!$C$85:$C$164,$C640:$C649,'Key inputs_Refineries'!$B$85:$B$164,"Boiler"))&lt;0.001),0.001,SUMIFS('Key inputs_Refineries'!U$85:U$164,'Key inputs_Refineries'!$C$85:$C$164,$C647,'Key inputs_Refineries'!$B$85:$B$164,"Boiler")/SUM(SUMIFS('Key inputs_Refineries'!U$85:U$164,'Key inputs_Refineries'!$C$85:$C$164,$C640:$C649,'Key inputs_Refineries'!$B$85:$B$164,"Boiler"))),0)</f>
        <v>0</v>
      </c>
      <c r="AB647" s="173" cm="1">
        <f t="array" ref="AB647">IFERROR(IF(AND(SUMIFS('Key inputs_Refineries'!V$85:V$164,'Key inputs_Refineries'!$C$85:$C$164,$C647,'Key inputs_Refineries'!$B$85:$B$164,"Boiler")/SUM(SUMIFS('Key inputs_Refineries'!V$85:V$164,'Key inputs_Refineries'!$C$85:$C$164,$C640:$C649,'Key inputs_Refineries'!$B$85:$B$164,"Boiler"))&gt;0,SUMIFS('Key inputs_Refineries'!V$85:V$164,'Key inputs_Refineries'!$C$85:$C$164,$C647,'Key inputs_Refineries'!$B$85:$B$164,"Boiler")/SUM(SUMIFS('Key inputs_Refineries'!V$85:V$164,'Key inputs_Refineries'!$C$85:$C$164,$C640:$C649,'Key inputs_Refineries'!$B$85:$B$164,"Boiler"))&lt;0.001),0.001,SUMIFS('Key inputs_Refineries'!V$85:V$164,'Key inputs_Refineries'!$C$85:$C$164,$C647,'Key inputs_Refineries'!$B$85:$B$164,"Boiler")/SUM(SUMIFS('Key inputs_Refineries'!V$85:V$164,'Key inputs_Refineries'!$C$85:$C$164,$C640:$C649,'Key inputs_Refineries'!$B$85:$B$164,"Boiler"))),0)</f>
        <v>0</v>
      </c>
      <c r="AC647" s="173" cm="1">
        <f t="array" ref="AC647">IFERROR(IF(AND(SUMIFS('Key inputs_Refineries'!W$85:W$164,'Key inputs_Refineries'!$C$85:$C$164,$C647,'Key inputs_Refineries'!$B$85:$B$164,"Boiler")/SUM(SUMIFS('Key inputs_Refineries'!W$85:W$164,'Key inputs_Refineries'!$C$85:$C$164,$C640:$C649,'Key inputs_Refineries'!$B$85:$B$164,"Boiler"))&gt;0,SUMIFS('Key inputs_Refineries'!W$85:W$164,'Key inputs_Refineries'!$C$85:$C$164,$C647,'Key inputs_Refineries'!$B$85:$B$164,"Boiler")/SUM(SUMIFS('Key inputs_Refineries'!W$85:W$164,'Key inputs_Refineries'!$C$85:$C$164,$C640:$C649,'Key inputs_Refineries'!$B$85:$B$164,"Boiler"))&lt;0.001),0.001,SUMIFS('Key inputs_Refineries'!W$85:W$164,'Key inputs_Refineries'!$C$85:$C$164,$C647,'Key inputs_Refineries'!$B$85:$B$164,"Boiler")/SUM(SUMIFS('Key inputs_Refineries'!W$85:W$164,'Key inputs_Refineries'!$C$85:$C$164,$C640:$C649,'Key inputs_Refineries'!$B$85:$B$164,"Boiler"))),0)</f>
        <v>0</v>
      </c>
      <c r="AD647" s="173" cm="1">
        <f t="array" ref="AD647">IFERROR(IF(AND(SUMIFS('Key inputs_Refineries'!X$85:X$164,'Key inputs_Refineries'!$C$85:$C$164,$C647,'Key inputs_Refineries'!$B$85:$B$164,"Boiler")/SUM(SUMIFS('Key inputs_Refineries'!X$85:X$164,'Key inputs_Refineries'!$C$85:$C$164,$C640:$C649,'Key inputs_Refineries'!$B$85:$B$164,"Boiler"))&gt;0,SUMIFS('Key inputs_Refineries'!X$85:X$164,'Key inputs_Refineries'!$C$85:$C$164,$C647,'Key inputs_Refineries'!$B$85:$B$164,"Boiler")/SUM(SUMIFS('Key inputs_Refineries'!X$85:X$164,'Key inputs_Refineries'!$C$85:$C$164,$C640:$C649,'Key inputs_Refineries'!$B$85:$B$164,"Boiler"))&lt;0.001),0.001,SUMIFS('Key inputs_Refineries'!X$85:X$164,'Key inputs_Refineries'!$C$85:$C$164,$C647,'Key inputs_Refineries'!$B$85:$B$164,"Boiler")/SUM(SUMIFS('Key inputs_Refineries'!X$85:X$164,'Key inputs_Refineries'!$C$85:$C$164,$C640:$C649,'Key inputs_Refineries'!$B$85:$B$164,"Boiler"))),0)</f>
        <v>4.2432215423606054E-3</v>
      </c>
      <c r="AE647" s="173" cm="1">
        <f t="array" ref="AE647">IFERROR(IF(AND(SUMIFS('Key inputs_Refineries'!Y$85:Y$164,'Key inputs_Refineries'!$C$85:$C$164,$C647,'Key inputs_Refineries'!$B$85:$B$164,"Boiler")/SUM(SUMIFS('Key inputs_Refineries'!Y$85:Y$164,'Key inputs_Refineries'!$C$85:$C$164,$C640:$C649,'Key inputs_Refineries'!$B$85:$B$164,"Boiler"))&gt;0,SUMIFS('Key inputs_Refineries'!Y$85:Y$164,'Key inputs_Refineries'!$C$85:$C$164,$C647,'Key inputs_Refineries'!$B$85:$B$164,"Boiler")/SUM(SUMIFS('Key inputs_Refineries'!Y$85:Y$164,'Key inputs_Refineries'!$C$85:$C$164,$C640:$C649,'Key inputs_Refineries'!$B$85:$B$164,"Boiler"))&lt;0.001),0.001,SUMIFS('Key inputs_Refineries'!Y$85:Y$164,'Key inputs_Refineries'!$C$85:$C$164,$C647,'Key inputs_Refineries'!$B$85:$B$164,"Boiler")/SUM(SUMIFS('Key inputs_Refineries'!Y$85:Y$164,'Key inputs_Refineries'!$C$85:$C$164,$C640:$C649,'Key inputs_Refineries'!$B$85:$B$164,"Boiler"))),0)</f>
        <v>1E-3</v>
      </c>
      <c r="AF647" s="173" cm="1">
        <f t="array" ref="AF647">IFERROR(IF(AND(SUMIFS('Key inputs_Refineries'!Z$85:Z$164,'Key inputs_Refineries'!$C$85:$C$164,$C647,'Key inputs_Refineries'!$B$85:$B$164,"Boiler")/SUM(SUMIFS('Key inputs_Refineries'!Z$85:Z$164,'Key inputs_Refineries'!$C$85:$C$164,$C640:$C649,'Key inputs_Refineries'!$B$85:$B$164,"Boiler"))&gt;0,SUMIFS('Key inputs_Refineries'!Z$85:Z$164,'Key inputs_Refineries'!$C$85:$C$164,$C647,'Key inputs_Refineries'!$B$85:$B$164,"Boiler")/SUM(SUMIFS('Key inputs_Refineries'!Z$85:Z$164,'Key inputs_Refineries'!$C$85:$C$164,$C640:$C649,'Key inputs_Refineries'!$B$85:$B$164,"Boiler"))&lt;0.001),0.001,SUMIFS('Key inputs_Refineries'!Z$85:Z$164,'Key inputs_Refineries'!$C$85:$C$164,$C647,'Key inputs_Refineries'!$B$85:$B$164,"Boiler")/SUM(SUMIFS('Key inputs_Refineries'!Z$85:Z$164,'Key inputs_Refineries'!$C$85:$C$164,$C640:$C649,'Key inputs_Refineries'!$B$85:$B$164,"Boiler"))),0)</f>
        <v>0</v>
      </c>
      <c r="AG647" s="173" cm="1">
        <f t="array" ref="AG647">IFERROR(IF(AND(SUMIFS('Key inputs_Refineries'!AA$85:AA$164,'Key inputs_Refineries'!$C$85:$C$164,$C647,'Key inputs_Refineries'!$B$85:$B$164,"Boiler")/SUM(SUMIFS('Key inputs_Refineries'!AA$85:AA$164,'Key inputs_Refineries'!$C$85:$C$164,$C640:$C649,'Key inputs_Refineries'!$B$85:$B$164,"Boiler"))&gt;0,SUMIFS('Key inputs_Refineries'!AA$85:AA$164,'Key inputs_Refineries'!$C$85:$C$164,$C647,'Key inputs_Refineries'!$B$85:$B$164,"Boiler")/SUM(SUMIFS('Key inputs_Refineries'!AA$85:AA$164,'Key inputs_Refineries'!$C$85:$C$164,$C640:$C649,'Key inputs_Refineries'!$B$85:$B$164,"Boiler"))&lt;0.001),0.001,SUMIFS('Key inputs_Refineries'!AA$85:AA$164,'Key inputs_Refineries'!$C$85:$C$164,$C647,'Key inputs_Refineries'!$B$85:$B$164,"Boiler")/SUM(SUMIFS('Key inputs_Refineries'!AA$85:AA$164,'Key inputs_Refineries'!$C$85:$C$164,$C640:$C649,'Key inputs_Refineries'!$B$85:$B$164,"Boiler"))),0)</f>
        <v>1.2999285657333546E-2</v>
      </c>
      <c r="AH647" s="173" cm="1">
        <f t="array" ref="AH647">IFERROR(IF(AND(SUMIFS('Key inputs_Refineries'!AB$85:AB$164,'Key inputs_Refineries'!$C$85:$C$164,$C647,'Key inputs_Refineries'!$B$85:$B$164,"Boiler")/SUM(SUMIFS('Key inputs_Refineries'!AB$85:AB$164,'Key inputs_Refineries'!$C$85:$C$164,$C640:$C649,'Key inputs_Refineries'!$B$85:$B$164,"Boiler"))&gt;0,SUMIFS('Key inputs_Refineries'!AB$85:AB$164,'Key inputs_Refineries'!$C$85:$C$164,$C647,'Key inputs_Refineries'!$B$85:$B$164,"Boiler")/SUM(SUMIFS('Key inputs_Refineries'!AB$85:AB$164,'Key inputs_Refineries'!$C$85:$C$164,$C640:$C649,'Key inputs_Refineries'!$B$85:$B$164,"Boiler"))&lt;0.001),0.001,SUMIFS('Key inputs_Refineries'!AB$85:AB$164,'Key inputs_Refineries'!$C$85:$C$164,$C647,'Key inputs_Refineries'!$B$85:$B$164,"Boiler")/SUM(SUMIFS('Key inputs_Refineries'!AB$85:AB$164,'Key inputs_Refineries'!$C$85:$C$164,$C640:$C649,'Key inputs_Refineries'!$B$85:$B$164,"Boiler"))),0)</f>
        <v>0</v>
      </c>
      <c r="AI647" s="173" cm="1">
        <f t="array" ref="AI647">IFERROR(IF(AND(SUMIFS('Key inputs_Refineries'!AC$85:AC$164,'Key inputs_Refineries'!$C$85:$C$164,$C647,'Key inputs_Refineries'!$B$85:$B$164,"Boiler")/SUM(SUMIFS('Key inputs_Refineries'!AC$85:AC$164,'Key inputs_Refineries'!$C$85:$C$164,$C640:$C649,'Key inputs_Refineries'!$B$85:$B$164,"Boiler"))&gt;0,SUMIFS('Key inputs_Refineries'!AC$85:AC$164,'Key inputs_Refineries'!$C$85:$C$164,$C647,'Key inputs_Refineries'!$B$85:$B$164,"Boiler")/SUM(SUMIFS('Key inputs_Refineries'!AC$85:AC$164,'Key inputs_Refineries'!$C$85:$C$164,$C640:$C649,'Key inputs_Refineries'!$B$85:$B$164,"Boiler"))&lt;0.001),0.001,SUMIFS('Key inputs_Refineries'!AC$85:AC$164,'Key inputs_Refineries'!$C$85:$C$164,$C647,'Key inputs_Refineries'!$B$85:$B$164,"Boiler")/SUM(SUMIFS('Key inputs_Refineries'!AC$85:AC$164,'Key inputs_Refineries'!$C$85:$C$164,$C640:$C649,'Key inputs_Refineries'!$B$85:$B$164,"Boiler"))),0)</f>
        <v>0</v>
      </c>
      <c r="AJ647" s="173" cm="1">
        <f t="array" ref="AJ647">IFERROR(IF(AND(SUMIFS('Key inputs_Refineries'!AD$85:AD$164,'Key inputs_Refineries'!$C$85:$C$164,$C647,'Key inputs_Refineries'!$B$85:$B$164,"Boiler")/SUM(SUMIFS('Key inputs_Refineries'!AD$85:AD$164,'Key inputs_Refineries'!$C$85:$C$164,$C640:$C649,'Key inputs_Refineries'!$B$85:$B$164,"Boiler"))&gt;0,SUMIFS('Key inputs_Refineries'!AD$85:AD$164,'Key inputs_Refineries'!$C$85:$C$164,$C647,'Key inputs_Refineries'!$B$85:$B$164,"Boiler")/SUM(SUMIFS('Key inputs_Refineries'!AD$85:AD$164,'Key inputs_Refineries'!$C$85:$C$164,$C640:$C649,'Key inputs_Refineries'!$B$85:$B$164,"Boiler"))&lt;0.001),0.001,SUMIFS('Key inputs_Refineries'!AD$85:AD$164,'Key inputs_Refineries'!$C$85:$C$164,$C647,'Key inputs_Refineries'!$B$85:$B$164,"Boiler")/SUM(SUMIFS('Key inputs_Refineries'!AD$85:AD$164,'Key inputs_Refineries'!$C$85:$C$164,$C640:$C649,'Key inputs_Refineries'!$B$85:$B$164,"Boiler"))),0)</f>
        <v>0</v>
      </c>
      <c r="AK647" s="173" cm="1">
        <f t="array" ref="AK647">IFERROR(IF(AND(SUMIFS('Key inputs_Refineries'!AE$85:AE$164,'Key inputs_Refineries'!$C$85:$C$164,$C647,'Key inputs_Refineries'!$B$85:$B$164,"Boiler")/SUM(SUMIFS('Key inputs_Refineries'!AE$85:AE$164,'Key inputs_Refineries'!$C$85:$C$164,$C640:$C649,'Key inputs_Refineries'!$B$85:$B$164,"Boiler"))&gt;0,SUMIFS('Key inputs_Refineries'!AE$85:AE$164,'Key inputs_Refineries'!$C$85:$C$164,$C647,'Key inputs_Refineries'!$B$85:$B$164,"Boiler")/SUM(SUMIFS('Key inputs_Refineries'!AE$85:AE$164,'Key inputs_Refineries'!$C$85:$C$164,$C640:$C649,'Key inputs_Refineries'!$B$85:$B$164,"Boiler"))&lt;0.001),0.001,SUMIFS('Key inputs_Refineries'!AE$85:AE$164,'Key inputs_Refineries'!$C$85:$C$164,$C647,'Key inputs_Refineries'!$B$85:$B$164,"Boiler")/SUM(SUMIFS('Key inputs_Refineries'!AE$85:AE$164,'Key inputs_Refineries'!$C$85:$C$164,$C640:$C649,'Key inputs_Refineries'!$B$85:$B$164,"Boiler"))),0)</f>
        <v>0</v>
      </c>
      <c r="AL647" s="173" cm="1">
        <f t="array" ref="AL647">IFERROR(IF(AND(SUMIFS('Key inputs_Refineries'!AF$85:AF$164,'Key inputs_Refineries'!$C$85:$C$164,$C647,'Key inputs_Refineries'!$B$85:$B$164,"Boiler")/SUM(SUMIFS('Key inputs_Refineries'!AF$85:AF$164,'Key inputs_Refineries'!$C$85:$C$164,$C640:$C649,'Key inputs_Refineries'!$B$85:$B$164,"Boiler"))&gt;0,SUMIFS('Key inputs_Refineries'!AF$85:AF$164,'Key inputs_Refineries'!$C$85:$C$164,$C647,'Key inputs_Refineries'!$B$85:$B$164,"Boiler")/SUM(SUMIFS('Key inputs_Refineries'!AF$85:AF$164,'Key inputs_Refineries'!$C$85:$C$164,$C640:$C649,'Key inputs_Refineries'!$B$85:$B$164,"Boiler"))&lt;0.001),0.001,SUMIFS('Key inputs_Refineries'!AF$85:AF$164,'Key inputs_Refineries'!$C$85:$C$164,$C647,'Key inputs_Refineries'!$B$85:$B$164,"Boiler")/SUM(SUMIFS('Key inputs_Refineries'!AF$85:AF$164,'Key inputs_Refineries'!$C$85:$C$164,$C640:$C649,'Key inputs_Refineries'!$B$85:$B$164,"Boiler"))),0)</f>
        <v>1E-3</v>
      </c>
    </row>
    <row r="648" spans="1:38">
      <c r="C648" t="str">
        <f>Commodities!$C$99</f>
        <v>UPSOIL</v>
      </c>
      <c r="G648" s="4" t="s">
        <v>702</v>
      </c>
      <c r="H648" t="s">
        <v>661</v>
      </c>
      <c r="I648">
        <v>2019</v>
      </c>
      <c r="J648" t="s">
        <v>650</v>
      </c>
      <c r="K648" s="173" cm="1">
        <f t="array" ref="K648">IFERROR(IF(AND(SUMIFS('Key inputs_Refineries'!E$85:E$164,'Key inputs_Refineries'!$C$85:$C$164,$C648,'Key inputs_Refineries'!$B$85:$B$164,"Boiler")/SUM(SUMIFS('Key inputs_Refineries'!E$85:E$164,'Key inputs_Refineries'!$C$85:$C$164,$C640:$C649,'Key inputs_Refineries'!$B$85:$B$164,"Boiler"))&gt;0,SUMIFS('Key inputs_Refineries'!E$85:E$164,'Key inputs_Refineries'!$C$85:$C$164,$C648,'Key inputs_Refineries'!$B$85:$B$164,"Boiler")/SUM(SUMIFS('Key inputs_Refineries'!E$85:E$164,'Key inputs_Refineries'!$C$85:$C$164,$C640:$C649,'Key inputs_Refineries'!$B$85:$B$164,"Boiler"))&lt;0.001),0.001,SUMIFS('Key inputs_Refineries'!E$85:E$164,'Key inputs_Refineries'!$C$85:$C$164,$C648,'Key inputs_Refineries'!$B$85:$B$164,"Boiler")/SUM(SUMIFS('Key inputs_Refineries'!E$85:E$164,'Key inputs_Refineries'!$C$85:$C$164,$C640:$C649,'Key inputs_Refineries'!$B$85:$B$164,"Boiler"))),0)</f>
        <v>0</v>
      </c>
      <c r="L648" s="173" cm="1">
        <f t="array" ref="L648">IFERROR(IF(AND(SUMIFS('Key inputs_Refineries'!F$85:F$164,'Key inputs_Refineries'!$C$85:$C$164,$C648,'Key inputs_Refineries'!$B$85:$B$164,"Boiler")/SUM(SUMIFS('Key inputs_Refineries'!F$85:F$164,'Key inputs_Refineries'!$C$85:$C$164,$C640:$C649,'Key inputs_Refineries'!$B$85:$B$164,"Boiler"))&gt;0,SUMIFS('Key inputs_Refineries'!F$85:F$164,'Key inputs_Refineries'!$C$85:$C$164,$C648,'Key inputs_Refineries'!$B$85:$B$164,"Boiler")/SUM(SUMIFS('Key inputs_Refineries'!F$85:F$164,'Key inputs_Refineries'!$C$85:$C$164,$C640:$C649,'Key inputs_Refineries'!$B$85:$B$164,"Boiler"))&lt;0.001),0.001,SUMIFS('Key inputs_Refineries'!F$85:F$164,'Key inputs_Refineries'!$C$85:$C$164,$C648,'Key inputs_Refineries'!$B$85:$B$164,"Boiler")/SUM(SUMIFS('Key inputs_Refineries'!F$85:F$164,'Key inputs_Refineries'!$C$85:$C$164,$C640:$C649,'Key inputs_Refineries'!$B$85:$B$164,"Boiler"))),0)</f>
        <v>0.62534828705571477</v>
      </c>
      <c r="M648" s="173" cm="1">
        <f t="array" ref="M648">IFERROR(IF(AND(SUMIFS('Key inputs_Refineries'!G$85:G$164,'Key inputs_Refineries'!$C$85:$C$164,$C648,'Key inputs_Refineries'!$B$85:$B$164,"Boiler")/SUM(SUMIFS('Key inputs_Refineries'!G$85:G$164,'Key inputs_Refineries'!$C$85:$C$164,$C640:$C649,'Key inputs_Refineries'!$B$85:$B$164,"Boiler"))&gt;0,SUMIFS('Key inputs_Refineries'!G$85:G$164,'Key inputs_Refineries'!$C$85:$C$164,$C648,'Key inputs_Refineries'!$B$85:$B$164,"Boiler")/SUM(SUMIFS('Key inputs_Refineries'!G$85:G$164,'Key inputs_Refineries'!$C$85:$C$164,$C640:$C649,'Key inputs_Refineries'!$B$85:$B$164,"Boiler"))&lt;0.001),0.001,SUMIFS('Key inputs_Refineries'!G$85:G$164,'Key inputs_Refineries'!$C$85:$C$164,$C648,'Key inputs_Refineries'!$B$85:$B$164,"Boiler")/SUM(SUMIFS('Key inputs_Refineries'!G$85:G$164,'Key inputs_Refineries'!$C$85:$C$164,$C640:$C649,'Key inputs_Refineries'!$B$85:$B$164,"Boiler"))),0)</f>
        <v>0.31134470367789346</v>
      </c>
      <c r="N648" s="173" cm="1">
        <f t="array" ref="N648">IFERROR(IF(AND(SUMIFS('Key inputs_Refineries'!H$85:H$164,'Key inputs_Refineries'!$C$85:$C$164,$C648,'Key inputs_Refineries'!$B$85:$B$164,"Boiler")/SUM(SUMIFS('Key inputs_Refineries'!H$85:H$164,'Key inputs_Refineries'!$C$85:$C$164,$C640:$C649,'Key inputs_Refineries'!$B$85:$B$164,"Boiler"))&gt;0,SUMIFS('Key inputs_Refineries'!H$85:H$164,'Key inputs_Refineries'!$C$85:$C$164,$C648,'Key inputs_Refineries'!$B$85:$B$164,"Boiler")/SUM(SUMIFS('Key inputs_Refineries'!H$85:H$164,'Key inputs_Refineries'!$C$85:$C$164,$C640:$C649,'Key inputs_Refineries'!$B$85:$B$164,"Boiler"))&lt;0.001),0.001,SUMIFS('Key inputs_Refineries'!H$85:H$164,'Key inputs_Refineries'!$C$85:$C$164,$C648,'Key inputs_Refineries'!$B$85:$B$164,"Boiler")/SUM(SUMIFS('Key inputs_Refineries'!H$85:H$164,'Key inputs_Refineries'!$C$85:$C$164,$C640:$C649,'Key inputs_Refineries'!$B$85:$B$164,"Boiler"))),0)</f>
        <v>0</v>
      </c>
      <c r="O648" s="173" cm="1">
        <f t="array" ref="O648">IFERROR(IF(AND(SUMIFS('Key inputs_Refineries'!I$85:I$164,'Key inputs_Refineries'!$C$85:$C$164,$C648,'Key inputs_Refineries'!$B$85:$B$164,"Boiler")/SUM(SUMIFS('Key inputs_Refineries'!I$85:I$164,'Key inputs_Refineries'!$C$85:$C$164,$C640:$C649,'Key inputs_Refineries'!$B$85:$B$164,"Boiler"))&gt;0,SUMIFS('Key inputs_Refineries'!I$85:I$164,'Key inputs_Refineries'!$C$85:$C$164,$C648,'Key inputs_Refineries'!$B$85:$B$164,"Boiler")/SUM(SUMIFS('Key inputs_Refineries'!I$85:I$164,'Key inputs_Refineries'!$C$85:$C$164,$C640:$C649,'Key inputs_Refineries'!$B$85:$B$164,"Boiler"))&lt;0.001),0.001,SUMIFS('Key inputs_Refineries'!I$85:I$164,'Key inputs_Refineries'!$C$85:$C$164,$C648,'Key inputs_Refineries'!$B$85:$B$164,"Boiler")/SUM(SUMIFS('Key inputs_Refineries'!I$85:I$164,'Key inputs_Refineries'!$C$85:$C$164,$C640:$C649,'Key inputs_Refineries'!$B$85:$B$164,"Boiler"))),0)</f>
        <v>0</v>
      </c>
      <c r="P648" s="173" cm="1">
        <f t="array" ref="P648">IFERROR(IF(AND(SUMIFS('Key inputs_Refineries'!J$85:J$164,'Key inputs_Refineries'!$C$85:$C$164,$C648,'Key inputs_Refineries'!$B$85:$B$164,"Boiler")/SUM(SUMIFS('Key inputs_Refineries'!J$85:J$164,'Key inputs_Refineries'!$C$85:$C$164,$C640:$C649,'Key inputs_Refineries'!$B$85:$B$164,"Boiler"))&gt;0,SUMIFS('Key inputs_Refineries'!J$85:J$164,'Key inputs_Refineries'!$C$85:$C$164,$C648,'Key inputs_Refineries'!$B$85:$B$164,"Boiler")/SUM(SUMIFS('Key inputs_Refineries'!J$85:J$164,'Key inputs_Refineries'!$C$85:$C$164,$C640:$C649,'Key inputs_Refineries'!$B$85:$B$164,"Boiler"))&lt;0.001),0.001,SUMIFS('Key inputs_Refineries'!J$85:J$164,'Key inputs_Refineries'!$C$85:$C$164,$C648,'Key inputs_Refineries'!$B$85:$B$164,"Boiler")/SUM(SUMIFS('Key inputs_Refineries'!J$85:J$164,'Key inputs_Refineries'!$C$85:$C$164,$C640:$C649,'Key inputs_Refineries'!$B$85:$B$164,"Boiler"))),0)</f>
        <v>6.7577884287611982E-3</v>
      </c>
      <c r="Q648" s="173" cm="1">
        <f t="array" ref="Q648">IFERROR(IF(AND(SUMIFS('Key inputs_Refineries'!K$85:K$164,'Key inputs_Refineries'!$C$85:$C$164,$C648,'Key inputs_Refineries'!$B$85:$B$164,"Boiler")/SUM(SUMIFS('Key inputs_Refineries'!K$85:K$164,'Key inputs_Refineries'!$C$85:$C$164,$C640:$C649,'Key inputs_Refineries'!$B$85:$B$164,"Boiler"))&gt;0,SUMIFS('Key inputs_Refineries'!K$85:K$164,'Key inputs_Refineries'!$C$85:$C$164,$C648,'Key inputs_Refineries'!$B$85:$B$164,"Boiler")/SUM(SUMIFS('Key inputs_Refineries'!K$85:K$164,'Key inputs_Refineries'!$C$85:$C$164,$C640:$C649,'Key inputs_Refineries'!$B$85:$B$164,"Boiler"))&lt;0.001),0.001,SUMIFS('Key inputs_Refineries'!K$85:K$164,'Key inputs_Refineries'!$C$85:$C$164,$C648,'Key inputs_Refineries'!$B$85:$B$164,"Boiler")/SUM(SUMIFS('Key inputs_Refineries'!K$85:K$164,'Key inputs_Refineries'!$C$85:$C$164,$C640:$C649,'Key inputs_Refineries'!$B$85:$B$164,"Boiler"))),0)</f>
        <v>6.2820913515202928E-2</v>
      </c>
      <c r="R648" s="173" cm="1">
        <f t="array" ref="R648">IFERROR(IF(AND(SUMIFS('Key inputs_Refineries'!L$85:L$164,'Key inputs_Refineries'!$C$85:$C$164,$C648,'Key inputs_Refineries'!$B$85:$B$164,"Boiler")/SUM(SUMIFS('Key inputs_Refineries'!L$85:L$164,'Key inputs_Refineries'!$C$85:$C$164,$C640:$C649,'Key inputs_Refineries'!$B$85:$B$164,"Boiler"))&gt;0,SUMIFS('Key inputs_Refineries'!L$85:L$164,'Key inputs_Refineries'!$C$85:$C$164,$C648,'Key inputs_Refineries'!$B$85:$B$164,"Boiler")/SUM(SUMIFS('Key inputs_Refineries'!L$85:L$164,'Key inputs_Refineries'!$C$85:$C$164,$C640:$C649,'Key inputs_Refineries'!$B$85:$B$164,"Boiler"))&lt;0.001),0.001,SUMIFS('Key inputs_Refineries'!L$85:L$164,'Key inputs_Refineries'!$C$85:$C$164,$C648,'Key inputs_Refineries'!$B$85:$B$164,"Boiler")/SUM(SUMIFS('Key inputs_Refineries'!L$85:L$164,'Key inputs_Refineries'!$C$85:$C$164,$C640:$C649,'Key inputs_Refineries'!$B$85:$B$164,"Boiler"))),0)</f>
        <v>0</v>
      </c>
      <c r="S648" s="173" cm="1">
        <f t="array" ref="S648">IFERROR(IF(AND(SUMIFS('Key inputs_Refineries'!M$85:M$164,'Key inputs_Refineries'!$C$85:$C$164,$C648,'Key inputs_Refineries'!$B$85:$B$164,"Boiler")/SUM(SUMIFS('Key inputs_Refineries'!M$85:M$164,'Key inputs_Refineries'!$C$85:$C$164,$C640:$C649,'Key inputs_Refineries'!$B$85:$B$164,"Boiler"))&gt;0,SUMIFS('Key inputs_Refineries'!M$85:M$164,'Key inputs_Refineries'!$C$85:$C$164,$C648,'Key inputs_Refineries'!$B$85:$B$164,"Boiler")/SUM(SUMIFS('Key inputs_Refineries'!M$85:M$164,'Key inputs_Refineries'!$C$85:$C$164,$C640:$C649,'Key inputs_Refineries'!$B$85:$B$164,"Boiler"))&lt;0.001),0.001,SUMIFS('Key inputs_Refineries'!M$85:M$164,'Key inputs_Refineries'!$C$85:$C$164,$C648,'Key inputs_Refineries'!$B$85:$B$164,"Boiler")/SUM(SUMIFS('Key inputs_Refineries'!M$85:M$164,'Key inputs_Refineries'!$C$85:$C$164,$C640:$C649,'Key inputs_Refineries'!$B$85:$B$164,"Boiler"))),0)</f>
        <v>0</v>
      </c>
      <c r="T648" s="173" cm="1">
        <f t="array" ref="T648">IFERROR(IF(AND(SUMIFS('Key inputs_Refineries'!N$85:N$164,'Key inputs_Refineries'!$C$85:$C$164,$C648,'Key inputs_Refineries'!$B$85:$B$164,"Boiler")/SUM(SUMIFS('Key inputs_Refineries'!N$85:N$164,'Key inputs_Refineries'!$C$85:$C$164,$C640:$C649,'Key inputs_Refineries'!$B$85:$B$164,"Boiler"))&gt;0,SUMIFS('Key inputs_Refineries'!N$85:N$164,'Key inputs_Refineries'!$C$85:$C$164,$C648,'Key inputs_Refineries'!$B$85:$B$164,"Boiler")/SUM(SUMIFS('Key inputs_Refineries'!N$85:N$164,'Key inputs_Refineries'!$C$85:$C$164,$C640:$C649,'Key inputs_Refineries'!$B$85:$B$164,"Boiler"))&lt;0.001),0.001,SUMIFS('Key inputs_Refineries'!N$85:N$164,'Key inputs_Refineries'!$C$85:$C$164,$C648,'Key inputs_Refineries'!$B$85:$B$164,"Boiler")/SUM(SUMIFS('Key inputs_Refineries'!N$85:N$164,'Key inputs_Refineries'!$C$85:$C$164,$C640:$C649,'Key inputs_Refineries'!$B$85:$B$164,"Boiler"))),0)</f>
        <v>0</v>
      </c>
      <c r="U648" s="173" cm="1">
        <f t="array" ref="U648">IFERROR(IF(AND(SUMIFS('Key inputs_Refineries'!O$85:O$164,'Key inputs_Refineries'!$C$85:$C$164,$C648,'Key inputs_Refineries'!$B$85:$B$164,"Boiler")/SUM(SUMIFS('Key inputs_Refineries'!O$85:O$164,'Key inputs_Refineries'!$C$85:$C$164,$C640:$C649,'Key inputs_Refineries'!$B$85:$B$164,"Boiler"))&gt;0,SUMIFS('Key inputs_Refineries'!O$85:O$164,'Key inputs_Refineries'!$C$85:$C$164,$C648,'Key inputs_Refineries'!$B$85:$B$164,"Boiler")/SUM(SUMIFS('Key inputs_Refineries'!O$85:O$164,'Key inputs_Refineries'!$C$85:$C$164,$C640:$C649,'Key inputs_Refineries'!$B$85:$B$164,"Boiler"))&lt;0.001),0.001,SUMIFS('Key inputs_Refineries'!O$85:O$164,'Key inputs_Refineries'!$C$85:$C$164,$C648,'Key inputs_Refineries'!$B$85:$B$164,"Boiler")/SUM(SUMIFS('Key inputs_Refineries'!O$85:O$164,'Key inputs_Refineries'!$C$85:$C$164,$C640:$C649,'Key inputs_Refineries'!$B$85:$B$164,"Boiler"))),0)</f>
        <v>0</v>
      </c>
      <c r="V648" s="173" cm="1">
        <f t="array" ref="V648">IFERROR(IF(AND(SUMIFS('Key inputs_Refineries'!P$85:P$164,'Key inputs_Refineries'!$C$85:$C$164,$C648,'Key inputs_Refineries'!$B$85:$B$164,"Boiler")/SUM(SUMIFS('Key inputs_Refineries'!P$85:P$164,'Key inputs_Refineries'!$C$85:$C$164,$C640:$C649,'Key inputs_Refineries'!$B$85:$B$164,"Boiler"))&gt;0,SUMIFS('Key inputs_Refineries'!P$85:P$164,'Key inputs_Refineries'!$C$85:$C$164,$C648,'Key inputs_Refineries'!$B$85:$B$164,"Boiler")/SUM(SUMIFS('Key inputs_Refineries'!P$85:P$164,'Key inputs_Refineries'!$C$85:$C$164,$C640:$C649,'Key inputs_Refineries'!$B$85:$B$164,"Boiler"))&lt;0.001),0.001,SUMIFS('Key inputs_Refineries'!P$85:P$164,'Key inputs_Refineries'!$C$85:$C$164,$C648,'Key inputs_Refineries'!$B$85:$B$164,"Boiler")/SUM(SUMIFS('Key inputs_Refineries'!P$85:P$164,'Key inputs_Refineries'!$C$85:$C$164,$C640:$C649,'Key inputs_Refineries'!$B$85:$B$164,"Boiler"))),0)</f>
        <v>0</v>
      </c>
      <c r="W648" s="173" cm="1">
        <f t="array" ref="W648">IFERROR(IF(AND(SUMIFS('Key inputs_Refineries'!Q$85:Q$164,'Key inputs_Refineries'!$C$85:$C$164,$C648,'Key inputs_Refineries'!$B$85:$B$164,"Boiler")/SUM(SUMIFS('Key inputs_Refineries'!Q$85:Q$164,'Key inputs_Refineries'!$C$85:$C$164,$C640:$C649,'Key inputs_Refineries'!$B$85:$B$164,"Boiler"))&gt;0,SUMIFS('Key inputs_Refineries'!Q$85:Q$164,'Key inputs_Refineries'!$C$85:$C$164,$C648,'Key inputs_Refineries'!$B$85:$B$164,"Boiler")/SUM(SUMIFS('Key inputs_Refineries'!Q$85:Q$164,'Key inputs_Refineries'!$C$85:$C$164,$C640:$C649,'Key inputs_Refineries'!$B$85:$B$164,"Boiler"))&lt;0.001),0.001,SUMIFS('Key inputs_Refineries'!Q$85:Q$164,'Key inputs_Refineries'!$C$85:$C$164,$C648,'Key inputs_Refineries'!$B$85:$B$164,"Boiler")/SUM(SUMIFS('Key inputs_Refineries'!Q$85:Q$164,'Key inputs_Refineries'!$C$85:$C$164,$C640:$C649,'Key inputs_Refineries'!$B$85:$B$164,"Boiler"))),0)</f>
        <v>0</v>
      </c>
      <c r="X648" s="173" cm="1">
        <f t="array" ref="X648">IFERROR(IF(AND(SUMIFS('Key inputs_Refineries'!R$85:R$164,'Key inputs_Refineries'!$C$85:$C$164,$C648,'Key inputs_Refineries'!$B$85:$B$164,"Boiler")/SUM(SUMIFS('Key inputs_Refineries'!R$85:R$164,'Key inputs_Refineries'!$C$85:$C$164,$C640:$C649,'Key inputs_Refineries'!$B$85:$B$164,"Boiler"))&gt;0,SUMIFS('Key inputs_Refineries'!R$85:R$164,'Key inputs_Refineries'!$C$85:$C$164,$C648,'Key inputs_Refineries'!$B$85:$B$164,"Boiler")/SUM(SUMIFS('Key inputs_Refineries'!R$85:R$164,'Key inputs_Refineries'!$C$85:$C$164,$C640:$C649,'Key inputs_Refineries'!$B$85:$B$164,"Boiler"))&lt;0.001),0.001,SUMIFS('Key inputs_Refineries'!R$85:R$164,'Key inputs_Refineries'!$C$85:$C$164,$C648,'Key inputs_Refineries'!$B$85:$B$164,"Boiler")/SUM(SUMIFS('Key inputs_Refineries'!R$85:R$164,'Key inputs_Refineries'!$C$85:$C$164,$C640:$C649,'Key inputs_Refineries'!$B$85:$B$164,"Boiler"))),0)</f>
        <v>0</v>
      </c>
      <c r="Y648" s="173" cm="1">
        <f t="array" ref="Y648">IFERROR(IF(AND(SUMIFS('Key inputs_Refineries'!S$85:S$164,'Key inputs_Refineries'!$C$85:$C$164,$C648,'Key inputs_Refineries'!$B$85:$B$164,"Boiler")/SUM(SUMIFS('Key inputs_Refineries'!S$85:S$164,'Key inputs_Refineries'!$C$85:$C$164,$C640:$C649,'Key inputs_Refineries'!$B$85:$B$164,"Boiler"))&gt;0,SUMIFS('Key inputs_Refineries'!S$85:S$164,'Key inputs_Refineries'!$C$85:$C$164,$C648,'Key inputs_Refineries'!$B$85:$B$164,"Boiler")/SUM(SUMIFS('Key inputs_Refineries'!S$85:S$164,'Key inputs_Refineries'!$C$85:$C$164,$C640:$C649,'Key inputs_Refineries'!$B$85:$B$164,"Boiler"))&lt;0.001),0.001,SUMIFS('Key inputs_Refineries'!S$85:S$164,'Key inputs_Refineries'!$C$85:$C$164,$C648,'Key inputs_Refineries'!$B$85:$B$164,"Boiler")/SUM(SUMIFS('Key inputs_Refineries'!S$85:S$164,'Key inputs_Refineries'!$C$85:$C$164,$C640:$C649,'Key inputs_Refineries'!$B$85:$B$164,"Boiler"))),0)</f>
        <v>0</v>
      </c>
      <c r="Z648" s="173" cm="1">
        <f t="array" ref="Z648">IFERROR(IF(AND(SUMIFS('Key inputs_Refineries'!T$85:T$164,'Key inputs_Refineries'!$C$85:$C$164,$C648,'Key inputs_Refineries'!$B$85:$B$164,"Boiler")/SUM(SUMIFS('Key inputs_Refineries'!T$85:T$164,'Key inputs_Refineries'!$C$85:$C$164,$C640:$C649,'Key inputs_Refineries'!$B$85:$B$164,"Boiler"))&gt;0,SUMIFS('Key inputs_Refineries'!T$85:T$164,'Key inputs_Refineries'!$C$85:$C$164,$C648,'Key inputs_Refineries'!$B$85:$B$164,"Boiler")/SUM(SUMIFS('Key inputs_Refineries'!T$85:T$164,'Key inputs_Refineries'!$C$85:$C$164,$C640:$C649,'Key inputs_Refineries'!$B$85:$B$164,"Boiler"))&lt;0.001),0.001,SUMIFS('Key inputs_Refineries'!T$85:T$164,'Key inputs_Refineries'!$C$85:$C$164,$C648,'Key inputs_Refineries'!$B$85:$B$164,"Boiler")/SUM(SUMIFS('Key inputs_Refineries'!T$85:T$164,'Key inputs_Refineries'!$C$85:$C$164,$C640:$C649,'Key inputs_Refineries'!$B$85:$B$164,"Boiler"))),0)</f>
        <v>0</v>
      </c>
      <c r="AA648" s="173" cm="1">
        <f t="array" ref="AA648">IFERROR(IF(AND(SUMIFS('Key inputs_Refineries'!U$85:U$164,'Key inputs_Refineries'!$C$85:$C$164,$C648,'Key inputs_Refineries'!$B$85:$B$164,"Boiler")/SUM(SUMIFS('Key inputs_Refineries'!U$85:U$164,'Key inputs_Refineries'!$C$85:$C$164,$C640:$C649,'Key inputs_Refineries'!$B$85:$B$164,"Boiler"))&gt;0,SUMIFS('Key inputs_Refineries'!U$85:U$164,'Key inputs_Refineries'!$C$85:$C$164,$C648,'Key inputs_Refineries'!$B$85:$B$164,"Boiler")/SUM(SUMIFS('Key inputs_Refineries'!U$85:U$164,'Key inputs_Refineries'!$C$85:$C$164,$C640:$C649,'Key inputs_Refineries'!$B$85:$B$164,"Boiler"))&lt;0.001),0.001,SUMIFS('Key inputs_Refineries'!U$85:U$164,'Key inputs_Refineries'!$C$85:$C$164,$C648,'Key inputs_Refineries'!$B$85:$B$164,"Boiler")/SUM(SUMIFS('Key inputs_Refineries'!U$85:U$164,'Key inputs_Refineries'!$C$85:$C$164,$C640:$C649,'Key inputs_Refineries'!$B$85:$B$164,"Boiler"))),0)</f>
        <v>0</v>
      </c>
      <c r="AB648" s="173" cm="1">
        <f t="array" ref="AB648">IFERROR(IF(AND(SUMIFS('Key inputs_Refineries'!V$85:V$164,'Key inputs_Refineries'!$C$85:$C$164,$C648,'Key inputs_Refineries'!$B$85:$B$164,"Boiler")/SUM(SUMIFS('Key inputs_Refineries'!V$85:V$164,'Key inputs_Refineries'!$C$85:$C$164,$C640:$C649,'Key inputs_Refineries'!$B$85:$B$164,"Boiler"))&gt;0,SUMIFS('Key inputs_Refineries'!V$85:V$164,'Key inputs_Refineries'!$C$85:$C$164,$C648,'Key inputs_Refineries'!$B$85:$B$164,"Boiler")/SUM(SUMIFS('Key inputs_Refineries'!V$85:V$164,'Key inputs_Refineries'!$C$85:$C$164,$C640:$C649,'Key inputs_Refineries'!$B$85:$B$164,"Boiler"))&lt;0.001),0.001,SUMIFS('Key inputs_Refineries'!V$85:V$164,'Key inputs_Refineries'!$C$85:$C$164,$C648,'Key inputs_Refineries'!$B$85:$B$164,"Boiler")/SUM(SUMIFS('Key inputs_Refineries'!V$85:V$164,'Key inputs_Refineries'!$C$85:$C$164,$C640:$C649,'Key inputs_Refineries'!$B$85:$B$164,"Boiler"))),0)</f>
        <v>0.37267710844695157</v>
      </c>
      <c r="AC648" s="173" cm="1">
        <f t="array" ref="AC648">IFERROR(IF(AND(SUMIFS('Key inputs_Refineries'!W$85:W$164,'Key inputs_Refineries'!$C$85:$C$164,$C648,'Key inputs_Refineries'!$B$85:$B$164,"Boiler")/SUM(SUMIFS('Key inputs_Refineries'!W$85:W$164,'Key inputs_Refineries'!$C$85:$C$164,$C640:$C649,'Key inputs_Refineries'!$B$85:$B$164,"Boiler"))&gt;0,SUMIFS('Key inputs_Refineries'!W$85:W$164,'Key inputs_Refineries'!$C$85:$C$164,$C648,'Key inputs_Refineries'!$B$85:$B$164,"Boiler")/SUM(SUMIFS('Key inputs_Refineries'!W$85:W$164,'Key inputs_Refineries'!$C$85:$C$164,$C640:$C649,'Key inputs_Refineries'!$B$85:$B$164,"Boiler"))&lt;0.001),0.001,SUMIFS('Key inputs_Refineries'!W$85:W$164,'Key inputs_Refineries'!$C$85:$C$164,$C648,'Key inputs_Refineries'!$B$85:$B$164,"Boiler")/SUM(SUMIFS('Key inputs_Refineries'!W$85:W$164,'Key inputs_Refineries'!$C$85:$C$164,$C640:$C649,'Key inputs_Refineries'!$B$85:$B$164,"Boiler"))),0)</f>
        <v>0</v>
      </c>
      <c r="AD648" s="173" cm="1">
        <f t="array" ref="AD648">IFERROR(IF(AND(SUMIFS('Key inputs_Refineries'!X$85:X$164,'Key inputs_Refineries'!$C$85:$C$164,$C648,'Key inputs_Refineries'!$B$85:$B$164,"Boiler")/SUM(SUMIFS('Key inputs_Refineries'!X$85:X$164,'Key inputs_Refineries'!$C$85:$C$164,$C640:$C649,'Key inputs_Refineries'!$B$85:$B$164,"Boiler"))&gt;0,SUMIFS('Key inputs_Refineries'!X$85:X$164,'Key inputs_Refineries'!$C$85:$C$164,$C648,'Key inputs_Refineries'!$B$85:$B$164,"Boiler")/SUM(SUMIFS('Key inputs_Refineries'!X$85:X$164,'Key inputs_Refineries'!$C$85:$C$164,$C640:$C649,'Key inputs_Refineries'!$B$85:$B$164,"Boiler"))&lt;0.001),0.001,SUMIFS('Key inputs_Refineries'!X$85:X$164,'Key inputs_Refineries'!$C$85:$C$164,$C648,'Key inputs_Refineries'!$B$85:$B$164,"Boiler")/SUM(SUMIFS('Key inputs_Refineries'!X$85:X$164,'Key inputs_Refineries'!$C$85:$C$164,$C640:$C649,'Key inputs_Refineries'!$B$85:$B$164,"Boiler"))),0)</f>
        <v>0</v>
      </c>
      <c r="AE648" s="173" cm="1">
        <f t="array" ref="AE648">IFERROR(IF(AND(SUMIFS('Key inputs_Refineries'!Y$85:Y$164,'Key inputs_Refineries'!$C$85:$C$164,$C648,'Key inputs_Refineries'!$B$85:$B$164,"Boiler")/SUM(SUMIFS('Key inputs_Refineries'!Y$85:Y$164,'Key inputs_Refineries'!$C$85:$C$164,$C640:$C649,'Key inputs_Refineries'!$B$85:$B$164,"Boiler"))&gt;0,SUMIFS('Key inputs_Refineries'!Y$85:Y$164,'Key inputs_Refineries'!$C$85:$C$164,$C648,'Key inputs_Refineries'!$B$85:$B$164,"Boiler")/SUM(SUMIFS('Key inputs_Refineries'!Y$85:Y$164,'Key inputs_Refineries'!$C$85:$C$164,$C640:$C649,'Key inputs_Refineries'!$B$85:$B$164,"Boiler"))&lt;0.001),0.001,SUMIFS('Key inputs_Refineries'!Y$85:Y$164,'Key inputs_Refineries'!$C$85:$C$164,$C648,'Key inputs_Refineries'!$B$85:$B$164,"Boiler")/SUM(SUMIFS('Key inputs_Refineries'!Y$85:Y$164,'Key inputs_Refineries'!$C$85:$C$164,$C640:$C649,'Key inputs_Refineries'!$B$85:$B$164,"Boiler"))),0)</f>
        <v>3.8240414082870593E-2</v>
      </c>
      <c r="AF648" s="173" cm="1">
        <f t="array" ref="AF648">IFERROR(IF(AND(SUMIFS('Key inputs_Refineries'!Z$85:Z$164,'Key inputs_Refineries'!$C$85:$C$164,$C648,'Key inputs_Refineries'!$B$85:$B$164,"Boiler")/SUM(SUMIFS('Key inputs_Refineries'!Z$85:Z$164,'Key inputs_Refineries'!$C$85:$C$164,$C640:$C649,'Key inputs_Refineries'!$B$85:$B$164,"Boiler"))&gt;0,SUMIFS('Key inputs_Refineries'!Z$85:Z$164,'Key inputs_Refineries'!$C$85:$C$164,$C648,'Key inputs_Refineries'!$B$85:$B$164,"Boiler")/SUM(SUMIFS('Key inputs_Refineries'!Z$85:Z$164,'Key inputs_Refineries'!$C$85:$C$164,$C640:$C649,'Key inputs_Refineries'!$B$85:$B$164,"Boiler"))&lt;0.001),0.001,SUMIFS('Key inputs_Refineries'!Z$85:Z$164,'Key inputs_Refineries'!$C$85:$C$164,$C648,'Key inputs_Refineries'!$B$85:$B$164,"Boiler")/SUM(SUMIFS('Key inputs_Refineries'!Z$85:Z$164,'Key inputs_Refineries'!$C$85:$C$164,$C640:$C649,'Key inputs_Refineries'!$B$85:$B$164,"Boiler"))),0)</f>
        <v>0</v>
      </c>
      <c r="AG648" s="173" cm="1">
        <f t="array" ref="AG648">IFERROR(IF(AND(SUMIFS('Key inputs_Refineries'!AA$85:AA$164,'Key inputs_Refineries'!$C$85:$C$164,$C648,'Key inputs_Refineries'!$B$85:$B$164,"Boiler")/SUM(SUMIFS('Key inputs_Refineries'!AA$85:AA$164,'Key inputs_Refineries'!$C$85:$C$164,$C640:$C649,'Key inputs_Refineries'!$B$85:$B$164,"Boiler"))&gt;0,SUMIFS('Key inputs_Refineries'!AA$85:AA$164,'Key inputs_Refineries'!$C$85:$C$164,$C648,'Key inputs_Refineries'!$B$85:$B$164,"Boiler")/SUM(SUMIFS('Key inputs_Refineries'!AA$85:AA$164,'Key inputs_Refineries'!$C$85:$C$164,$C640:$C649,'Key inputs_Refineries'!$B$85:$B$164,"Boiler"))&lt;0.001),0.001,SUMIFS('Key inputs_Refineries'!AA$85:AA$164,'Key inputs_Refineries'!$C$85:$C$164,$C648,'Key inputs_Refineries'!$B$85:$B$164,"Boiler")/SUM(SUMIFS('Key inputs_Refineries'!AA$85:AA$164,'Key inputs_Refineries'!$C$85:$C$164,$C640:$C649,'Key inputs_Refineries'!$B$85:$B$164,"Boiler"))),0)</f>
        <v>0</v>
      </c>
      <c r="AH648" s="173" cm="1">
        <f t="array" ref="AH648">IFERROR(IF(AND(SUMIFS('Key inputs_Refineries'!AB$85:AB$164,'Key inputs_Refineries'!$C$85:$C$164,$C648,'Key inputs_Refineries'!$B$85:$B$164,"Boiler")/SUM(SUMIFS('Key inputs_Refineries'!AB$85:AB$164,'Key inputs_Refineries'!$C$85:$C$164,$C640:$C649,'Key inputs_Refineries'!$B$85:$B$164,"Boiler"))&gt;0,SUMIFS('Key inputs_Refineries'!AB$85:AB$164,'Key inputs_Refineries'!$C$85:$C$164,$C648,'Key inputs_Refineries'!$B$85:$B$164,"Boiler")/SUM(SUMIFS('Key inputs_Refineries'!AB$85:AB$164,'Key inputs_Refineries'!$C$85:$C$164,$C640:$C649,'Key inputs_Refineries'!$B$85:$B$164,"Boiler"))&lt;0.001),0.001,SUMIFS('Key inputs_Refineries'!AB$85:AB$164,'Key inputs_Refineries'!$C$85:$C$164,$C648,'Key inputs_Refineries'!$B$85:$B$164,"Boiler")/SUM(SUMIFS('Key inputs_Refineries'!AB$85:AB$164,'Key inputs_Refineries'!$C$85:$C$164,$C640:$C649,'Key inputs_Refineries'!$B$85:$B$164,"Boiler"))),0)</f>
        <v>0</v>
      </c>
      <c r="AI648" s="173" cm="1">
        <f t="array" ref="AI648">IFERROR(IF(AND(SUMIFS('Key inputs_Refineries'!AC$85:AC$164,'Key inputs_Refineries'!$C$85:$C$164,$C648,'Key inputs_Refineries'!$B$85:$B$164,"Boiler")/SUM(SUMIFS('Key inputs_Refineries'!AC$85:AC$164,'Key inputs_Refineries'!$C$85:$C$164,$C640:$C649,'Key inputs_Refineries'!$B$85:$B$164,"Boiler"))&gt;0,SUMIFS('Key inputs_Refineries'!AC$85:AC$164,'Key inputs_Refineries'!$C$85:$C$164,$C648,'Key inputs_Refineries'!$B$85:$B$164,"Boiler")/SUM(SUMIFS('Key inputs_Refineries'!AC$85:AC$164,'Key inputs_Refineries'!$C$85:$C$164,$C640:$C649,'Key inputs_Refineries'!$B$85:$B$164,"Boiler"))&lt;0.001),0.001,SUMIFS('Key inputs_Refineries'!AC$85:AC$164,'Key inputs_Refineries'!$C$85:$C$164,$C648,'Key inputs_Refineries'!$B$85:$B$164,"Boiler")/SUM(SUMIFS('Key inputs_Refineries'!AC$85:AC$164,'Key inputs_Refineries'!$C$85:$C$164,$C640:$C649,'Key inputs_Refineries'!$B$85:$B$164,"Boiler"))),0)</f>
        <v>0</v>
      </c>
      <c r="AJ648" s="173" cm="1">
        <f t="array" ref="AJ648">IFERROR(IF(AND(SUMIFS('Key inputs_Refineries'!AD$85:AD$164,'Key inputs_Refineries'!$C$85:$C$164,$C648,'Key inputs_Refineries'!$B$85:$B$164,"Boiler")/SUM(SUMIFS('Key inputs_Refineries'!AD$85:AD$164,'Key inputs_Refineries'!$C$85:$C$164,$C640:$C649,'Key inputs_Refineries'!$B$85:$B$164,"Boiler"))&gt;0,SUMIFS('Key inputs_Refineries'!AD$85:AD$164,'Key inputs_Refineries'!$C$85:$C$164,$C648,'Key inputs_Refineries'!$B$85:$B$164,"Boiler")/SUM(SUMIFS('Key inputs_Refineries'!AD$85:AD$164,'Key inputs_Refineries'!$C$85:$C$164,$C640:$C649,'Key inputs_Refineries'!$B$85:$B$164,"Boiler"))&lt;0.001),0.001,SUMIFS('Key inputs_Refineries'!AD$85:AD$164,'Key inputs_Refineries'!$C$85:$C$164,$C648,'Key inputs_Refineries'!$B$85:$B$164,"Boiler")/SUM(SUMIFS('Key inputs_Refineries'!AD$85:AD$164,'Key inputs_Refineries'!$C$85:$C$164,$C640:$C649,'Key inputs_Refineries'!$B$85:$B$164,"Boiler"))),0)</f>
        <v>0</v>
      </c>
      <c r="AK648" s="173" cm="1">
        <f t="array" ref="AK648">IFERROR(IF(AND(SUMIFS('Key inputs_Refineries'!AE$85:AE$164,'Key inputs_Refineries'!$C$85:$C$164,$C648,'Key inputs_Refineries'!$B$85:$B$164,"Boiler")/SUM(SUMIFS('Key inputs_Refineries'!AE$85:AE$164,'Key inputs_Refineries'!$C$85:$C$164,$C640:$C649,'Key inputs_Refineries'!$B$85:$B$164,"Boiler"))&gt;0,SUMIFS('Key inputs_Refineries'!AE$85:AE$164,'Key inputs_Refineries'!$C$85:$C$164,$C648,'Key inputs_Refineries'!$B$85:$B$164,"Boiler")/SUM(SUMIFS('Key inputs_Refineries'!AE$85:AE$164,'Key inputs_Refineries'!$C$85:$C$164,$C640:$C649,'Key inputs_Refineries'!$B$85:$B$164,"Boiler"))&lt;0.001),0.001,SUMIFS('Key inputs_Refineries'!AE$85:AE$164,'Key inputs_Refineries'!$C$85:$C$164,$C648,'Key inputs_Refineries'!$B$85:$B$164,"Boiler")/SUM(SUMIFS('Key inputs_Refineries'!AE$85:AE$164,'Key inputs_Refineries'!$C$85:$C$164,$C640:$C649,'Key inputs_Refineries'!$B$85:$B$164,"Boiler"))),0)</f>
        <v>0</v>
      </c>
      <c r="AL648" s="173" cm="1">
        <f t="array" ref="AL648">IFERROR(IF(AND(SUMIFS('Key inputs_Refineries'!AF$85:AF$164,'Key inputs_Refineries'!$C$85:$C$164,$C648,'Key inputs_Refineries'!$B$85:$B$164,"Boiler")/SUM(SUMIFS('Key inputs_Refineries'!AF$85:AF$164,'Key inputs_Refineries'!$C$85:$C$164,$C640:$C649,'Key inputs_Refineries'!$B$85:$B$164,"Boiler"))&gt;0,SUMIFS('Key inputs_Refineries'!AF$85:AF$164,'Key inputs_Refineries'!$C$85:$C$164,$C648,'Key inputs_Refineries'!$B$85:$B$164,"Boiler")/SUM(SUMIFS('Key inputs_Refineries'!AF$85:AF$164,'Key inputs_Refineries'!$C$85:$C$164,$C640:$C649,'Key inputs_Refineries'!$B$85:$B$164,"Boiler"))&lt;0.001),0.001,SUMIFS('Key inputs_Refineries'!AF$85:AF$164,'Key inputs_Refineries'!$C$85:$C$164,$C648,'Key inputs_Refineries'!$B$85:$B$164,"Boiler")/SUM(SUMIFS('Key inputs_Refineries'!AF$85:AF$164,'Key inputs_Refineries'!$C$85:$C$164,$C640:$C649,'Key inputs_Refineries'!$B$85:$B$164,"Boiler"))),0)</f>
        <v>0</v>
      </c>
    </row>
    <row r="649" spans="1:38">
      <c r="C649" t="str">
        <f>Commodities!$C$100</f>
        <v>UPSOIL2</v>
      </c>
      <c r="G649" s="4" t="s">
        <v>702</v>
      </c>
      <c r="H649" t="s">
        <v>661</v>
      </c>
      <c r="I649">
        <v>2019</v>
      </c>
      <c r="J649" t="s">
        <v>650</v>
      </c>
      <c r="K649" s="173" cm="1">
        <f t="array" ref="K649">IFERROR(IF(AND(SUMIFS('Key inputs_Refineries'!E$85:E$164,'Key inputs_Refineries'!$C$85:$C$164,$C649,'Key inputs_Refineries'!$B$85:$B$164,"Boiler")/SUM(SUMIFS('Key inputs_Refineries'!E$85:E$164,'Key inputs_Refineries'!$C$85:$C$164,$C640:$C649,'Key inputs_Refineries'!$B$85:$B$164,"Boiler"))&gt;0,SUMIFS('Key inputs_Refineries'!E$85:E$164,'Key inputs_Refineries'!$C$85:$C$164,$C649,'Key inputs_Refineries'!$B$85:$B$164,"Boiler")/SUM(SUMIFS('Key inputs_Refineries'!E$85:E$164,'Key inputs_Refineries'!$C$85:$C$164,$C640:$C649,'Key inputs_Refineries'!$B$85:$B$164,"Boiler"))&lt;0.001),0.001,SUMIFS('Key inputs_Refineries'!E$85:E$164,'Key inputs_Refineries'!$C$85:$C$164,$C649,'Key inputs_Refineries'!$B$85:$B$164,"Boiler")/SUM(SUMIFS('Key inputs_Refineries'!E$85:E$164,'Key inputs_Refineries'!$C$85:$C$164,$C640:$C649,'Key inputs_Refineries'!$B$85:$B$164,"Boiler"))),1)</f>
        <v>1</v>
      </c>
      <c r="L649" s="173" cm="1">
        <f t="array" ref="L649">IFERROR(IF(AND(SUMIFS('Key inputs_Refineries'!F$85:F$164,'Key inputs_Refineries'!$C$85:$C$164,$C649,'Key inputs_Refineries'!$B$85:$B$164,"Boiler")/SUM(SUMIFS('Key inputs_Refineries'!F$85:F$164,'Key inputs_Refineries'!$C$85:$C$164,$C640:$C649,'Key inputs_Refineries'!$B$85:$B$164,"Boiler"))&gt;0,SUMIFS('Key inputs_Refineries'!F$85:F$164,'Key inputs_Refineries'!$C$85:$C$164,$C649,'Key inputs_Refineries'!$B$85:$B$164,"Boiler")/SUM(SUMIFS('Key inputs_Refineries'!F$85:F$164,'Key inputs_Refineries'!$C$85:$C$164,$C640:$C649,'Key inputs_Refineries'!$B$85:$B$164,"Boiler"))&lt;0.001),0.001,SUMIFS('Key inputs_Refineries'!F$85:F$164,'Key inputs_Refineries'!$C$85:$C$164,$C649,'Key inputs_Refineries'!$B$85:$B$164,"Boiler")/SUM(SUMIFS('Key inputs_Refineries'!F$85:F$164,'Key inputs_Refineries'!$C$85:$C$164,$C640:$C649,'Key inputs_Refineries'!$B$85:$B$164,"Boiler"))),1)</f>
        <v>0</v>
      </c>
      <c r="M649" s="173" cm="1">
        <f t="array" ref="M649">IFERROR(IF(AND(SUMIFS('Key inputs_Refineries'!G$85:G$164,'Key inputs_Refineries'!$C$85:$C$164,$C649,'Key inputs_Refineries'!$B$85:$B$164,"Boiler")/SUM(SUMIFS('Key inputs_Refineries'!G$85:G$164,'Key inputs_Refineries'!$C$85:$C$164,$C640:$C649,'Key inputs_Refineries'!$B$85:$B$164,"Boiler"))&gt;0,SUMIFS('Key inputs_Refineries'!G$85:G$164,'Key inputs_Refineries'!$C$85:$C$164,$C649,'Key inputs_Refineries'!$B$85:$B$164,"Boiler")/SUM(SUMIFS('Key inputs_Refineries'!G$85:G$164,'Key inputs_Refineries'!$C$85:$C$164,$C640:$C649,'Key inputs_Refineries'!$B$85:$B$164,"Boiler"))&lt;0.001),0.001,SUMIFS('Key inputs_Refineries'!G$85:G$164,'Key inputs_Refineries'!$C$85:$C$164,$C649,'Key inputs_Refineries'!$B$85:$B$164,"Boiler")/SUM(SUMIFS('Key inputs_Refineries'!G$85:G$164,'Key inputs_Refineries'!$C$85:$C$164,$C640:$C649,'Key inputs_Refineries'!$B$85:$B$164,"Boiler"))),1)</f>
        <v>0</v>
      </c>
      <c r="N649" s="173" cm="1">
        <f t="array" ref="N649">IFERROR(IF(AND(SUMIFS('Key inputs_Refineries'!H$85:H$164,'Key inputs_Refineries'!$C$85:$C$164,$C649,'Key inputs_Refineries'!$B$85:$B$164,"Boiler")/SUM(SUMIFS('Key inputs_Refineries'!H$85:H$164,'Key inputs_Refineries'!$C$85:$C$164,$C640:$C649,'Key inputs_Refineries'!$B$85:$B$164,"Boiler"))&gt;0,SUMIFS('Key inputs_Refineries'!H$85:H$164,'Key inputs_Refineries'!$C$85:$C$164,$C649,'Key inputs_Refineries'!$B$85:$B$164,"Boiler")/SUM(SUMIFS('Key inputs_Refineries'!H$85:H$164,'Key inputs_Refineries'!$C$85:$C$164,$C640:$C649,'Key inputs_Refineries'!$B$85:$B$164,"Boiler"))&lt;0.001),0.001,SUMIFS('Key inputs_Refineries'!H$85:H$164,'Key inputs_Refineries'!$C$85:$C$164,$C649,'Key inputs_Refineries'!$B$85:$B$164,"Boiler")/SUM(SUMIFS('Key inputs_Refineries'!H$85:H$164,'Key inputs_Refineries'!$C$85:$C$164,$C640:$C649,'Key inputs_Refineries'!$B$85:$B$164,"Boiler"))),1)</f>
        <v>1</v>
      </c>
      <c r="O649" s="173" cm="1">
        <f t="array" ref="O649">IFERROR(IF(AND(SUMIFS('Key inputs_Refineries'!I$85:I$164,'Key inputs_Refineries'!$C$85:$C$164,$C649,'Key inputs_Refineries'!$B$85:$B$164,"Boiler")/SUM(SUMIFS('Key inputs_Refineries'!I$85:I$164,'Key inputs_Refineries'!$C$85:$C$164,$C640:$C649,'Key inputs_Refineries'!$B$85:$B$164,"Boiler"))&gt;0,SUMIFS('Key inputs_Refineries'!I$85:I$164,'Key inputs_Refineries'!$C$85:$C$164,$C649,'Key inputs_Refineries'!$B$85:$B$164,"Boiler")/SUM(SUMIFS('Key inputs_Refineries'!I$85:I$164,'Key inputs_Refineries'!$C$85:$C$164,$C640:$C649,'Key inputs_Refineries'!$B$85:$B$164,"Boiler"))&lt;0.001),0.001,SUMIFS('Key inputs_Refineries'!I$85:I$164,'Key inputs_Refineries'!$C$85:$C$164,$C649,'Key inputs_Refineries'!$B$85:$B$164,"Boiler")/SUM(SUMIFS('Key inputs_Refineries'!I$85:I$164,'Key inputs_Refineries'!$C$85:$C$164,$C640:$C649,'Key inputs_Refineries'!$B$85:$B$164,"Boiler"))),1)</f>
        <v>0.90826580836038906</v>
      </c>
      <c r="P649" s="173" cm="1">
        <f t="array" ref="P649">IFERROR(IF(AND(SUMIFS('Key inputs_Refineries'!J$85:J$164,'Key inputs_Refineries'!$C$85:$C$164,$C649,'Key inputs_Refineries'!$B$85:$B$164,"Boiler")/SUM(SUMIFS('Key inputs_Refineries'!J$85:J$164,'Key inputs_Refineries'!$C$85:$C$164,$C640:$C649,'Key inputs_Refineries'!$B$85:$B$164,"Boiler"))&gt;0,SUMIFS('Key inputs_Refineries'!J$85:J$164,'Key inputs_Refineries'!$C$85:$C$164,$C649,'Key inputs_Refineries'!$B$85:$B$164,"Boiler")/SUM(SUMIFS('Key inputs_Refineries'!J$85:J$164,'Key inputs_Refineries'!$C$85:$C$164,$C640:$C649,'Key inputs_Refineries'!$B$85:$B$164,"Boiler"))&lt;0.001),0.001,SUMIFS('Key inputs_Refineries'!J$85:J$164,'Key inputs_Refineries'!$C$85:$C$164,$C649,'Key inputs_Refineries'!$B$85:$B$164,"Boiler")/SUM(SUMIFS('Key inputs_Refineries'!J$85:J$164,'Key inputs_Refineries'!$C$85:$C$164,$C640:$C649,'Key inputs_Refineries'!$B$85:$B$164,"Boiler"))),1)</f>
        <v>0.88036613124332841</v>
      </c>
      <c r="Q649" s="173" cm="1">
        <f t="array" ref="Q649">IFERROR(IF(AND(SUMIFS('Key inputs_Refineries'!K$85:K$164,'Key inputs_Refineries'!$C$85:$C$164,$C649,'Key inputs_Refineries'!$B$85:$B$164,"Boiler")/SUM(SUMIFS('Key inputs_Refineries'!K$85:K$164,'Key inputs_Refineries'!$C$85:$C$164,$C640:$C649,'Key inputs_Refineries'!$B$85:$B$164,"Boiler"))&gt;0,SUMIFS('Key inputs_Refineries'!K$85:K$164,'Key inputs_Refineries'!$C$85:$C$164,$C649,'Key inputs_Refineries'!$B$85:$B$164,"Boiler")/SUM(SUMIFS('Key inputs_Refineries'!K$85:K$164,'Key inputs_Refineries'!$C$85:$C$164,$C640:$C649,'Key inputs_Refineries'!$B$85:$B$164,"Boiler"))&lt;0.001),0.001,SUMIFS('Key inputs_Refineries'!K$85:K$164,'Key inputs_Refineries'!$C$85:$C$164,$C649,'Key inputs_Refineries'!$B$85:$B$164,"Boiler")/SUM(SUMIFS('Key inputs_Refineries'!K$85:K$164,'Key inputs_Refineries'!$C$85:$C$164,$C640:$C649,'Key inputs_Refineries'!$B$85:$B$164,"Boiler"))),1)</f>
        <v>5.2685627539402593E-3</v>
      </c>
      <c r="R649" s="173" cm="1">
        <f t="array" ref="R649">IFERROR(IF(AND(SUMIFS('Key inputs_Refineries'!L$85:L$164,'Key inputs_Refineries'!$C$85:$C$164,$C649,'Key inputs_Refineries'!$B$85:$B$164,"Boiler")/SUM(SUMIFS('Key inputs_Refineries'!L$85:L$164,'Key inputs_Refineries'!$C$85:$C$164,$C640:$C649,'Key inputs_Refineries'!$B$85:$B$164,"Boiler"))&gt;0,SUMIFS('Key inputs_Refineries'!L$85:L$164,'Key inputs_Refineries'!$C$85:$C$164,$C649,'Key inputs_Refineries'!$B$85:$B$164,"Boiler")/SUM(SUMIFS('Key inputs_Refineries'!L$85:L$164,'Key inputs_Refineries'!$C$85:$C$164,$C640:$C649,'Key inputs_Refineries'!$B$85:$B$164,"Boiler"))&lt;0.001),0.001,SUMIFS('Key inputs_Refineries'!L$85:L$164,'Key inputs_Refineries'!$C$85:$C$164,$C649,'Key inputs_Refineries'!$B$85:$B$164,"Boiler")/SUM(SUMIFS('Key inputs_Refineries'!L$85:L$164,'Key inputs_Refineries'!$C$85:$C$164,$C640:$C649,'Key inputs_Refineries'!$B$85:$B$164,"Boiler"))),1)</f>
        <v>0</v>
      </c>
      <c r="S649" s="173" cm="1">
        <f t="array" ref="S649">IFERROR(IF(AND(SUMIFS('Key inputs_Refineries'!M$85:M$164,'Key inputs_Refineries'!$C$85:$C$164,$C649,'Key inputs_Refineries'!$B$85:$B$164,"Boiler")/SUM(SUMIFS('Key inputs_Refineries'!M$85:M$164,'Key inputs_Refineries'!$C$85:$C$164,$C640:$C649,'Key inputs_Refineries'!$B$85:$B$164,"Boiler"))&gt;0,SUMIFS('Key inputs_Refineries'!M$85:M$164,'Key inputs_Refineries'!$C$85:$C$164,$C649,'Key inputs_Refineries'!$B$85:$B$164,"Boiler")/SUM(SUMIFS('Key inputs_Refineries'!M$85:M$164,'Key inputs_Refineries'!$C$85:$C$164,$C640:$C649,'Key inputs_Refineries'!$B$85:$B$164,"Boiler"))&lt;0.001),0.001,SUMIFS('Key inputs_Refineries'!M$85:M$164,'Key inputs_Refineries'!$C$85:$C$164,$C649,'Key inputs_Refineries'!$B$85:$B$164,"Boiler")/SUM(SUMIFS('Key inputs_Refineries'!M$85:M$164,'Key inputs_Refineries'!$C$85:$C$164,$C640:$C649,'Key inputs_Refineries'!$B$85:$B$164,"Boiler"))),1)</f>
        <v>0</v>
      </c>
      <c r="T649" s="173" cm="1">
        <f t="array" ref="T649">IFERROR(IF(AND(SUMIFS('Key inputs_Refineries'!N$85:N$164,'Key inputs_Refineries'!$C$85:$C$164,$C649,'Key inputs_Refineries'!$B$85:$B$164,"Boiler")/SUM(SUMIFS('Key inputs_Refineries'!N$85:N$164,'Key inputs_Refineries'!$C$85:$C$164,$C640:$C649,'Key inputs_Refineries'!$B$85:$B$164,"Boiler"))&gt;0,SUMIFS('Key inputs_Refineries'!N$85:N$164,'Key inputs_Refineries'!$C$85:$C$164,$C649,'Key inputs_Refineries'!$B$85:$B$164,"Boiler")/SUM(SUMIFS('Key inputs_Refineries'!N$85:N$164,'Key inputs_Refineries'!$C$85:$C$164,$C640:$C649,'Key inputs_Refineries'!$B$85:$B$164,"Boiler"))&lt;0.001),0.001,SUMIFS('Key inputs_Refineries'!N$85:N$164,'Key inputs_Refineries'!$C$85:$C$164,$C649,'Key inputs_Refineries'!$B$85:$B$164,"Boiler")/SUM(SUMIFS('Key inputs_Refineries'!N$85:N$164,'Key inputs_Refineries'!$C$85:$C$164,$C640:$C649,'Key inputs_Refineries'!$B$85:$B$164,"Boiler"))),1)</f>
        <v>0.91624021930485366</v>
      </c>
      <c r="U649" s="173" cm="1">
        <f t="array" ref="U649">IFERROR(IF(AND(SUMIFS('Key inputs_Refineries'!O$85:O$164,'Key inputs_Refineries'!$C$85:$C$164,$C649,'Key inputs_Refineries'!$B$85:$B$164,"Boiler")/SUM(SUMIFS('Key inputs_Refineries'!O$85:O$164,'Key inputs_Refineries'!$C$85:$C$164,$C640:$C649,'Key inputs_Refineries'!$B$85:$B$164,"Boiler"))&gt;0,SUMIFS('Key inputs_Refineries'!O$85:O$164,'Key inputs_Refineries'!$C$85:$C$164,$C649,'Key inputs_Refineries'!$B$85:$B$164,"Boiler")/SUM(SUMIFS('Key inputs_Refineries'!O$85:O$164,'Key inputs_Refineries'!$C$85:$C$164,$C640:$C649,'Key inputs_Refineries'!$B$85:$B$164,"Boiler"))&lt;0.001),0.001,SUMIFS('Key inputs_Refineries'!O$85:O$164,'Key inputs_Refineries'!$C$85:$C$164,$C649,'Key inputs_Refineries'!$B$85:$B$164,"Boiler")/SUM(SUMIFS('Key inputs_Refineries'!O$85:O$164,'Key inputs_Refineries'!$C$85:$C$164,$C640:$C649,'Key inputs_Refineries'!$B$85:$B$164,"Boiler"))),1)</f>
        <v>0</v>
      </c>
      <c r="V649" s="173" cm="1">
        <f t="array" ref="V649">IFERROR(IF(AND(SUMIFS('Key inputs_Refineries'!P$85:P$164,'Key inputs_Refineries'!$C$85:$C$164,$C649,'Key inputs_Refineries'!$B$85:$B$164,"Boiler")/SUM(SUMIFS('Key inputs_Refineries'!P$85:P$164,'Key inputs_Refineries'!$C$85:$C$164,$C640:$C649,'Key inputs_Refineries'!$B$85:$B$164,"Boiler"))&gt;0,SUMIFS('Key inputs_Refineries'!P$85:P$164,'Key inputs_Refineries'!$C$85:$C$164,$C649,'Key inputs_Refineries'!$B$85:$B$164,"Boiler")/SUM(SUMIFS('Key inputs_Refineries'!P$85:P$164,'Key inputs_Refineries'!$C$85:$C$164,$C640:$C649,'Key inputs_Refineries'!$B$85:$B$164,"Boiler"))&lt;0.001),0.001,SUMIFS('Key inputs_Refineries'!P$85:P$164,'Key inputs_Refineries'!$C$85:$C$164,$C649,'Key inputs_Refineries'!$B$85:$B$164,"Boiler")/SUM(SUMIFS('Key inputs_Refineries'!P$85:P$164,'Key inputs_Refineries'!$C$85:$C$164,$C640:$C649,'Key inputs_Refineries'!$B$85:$B$164,"Boiler"))),1)</f>
        <v>0.77545242046249629</v>
      </c>
      <c r="W649" s="173" cm="1">
        <f t="array" ref="W649">IFERROR(IF(AND(SUMIFS('Key inputs_Refineries'!Q$85:Q$164,'Key inputs_Refineries'!$C$85:$C$164,$C649,'Key inputs_Refineries'!$B$85:$B$164,"Boiler")/SUM(SUMIFS('Key inputs_Refineries'!Q$85:Q$164,'Key inputs_Refineries'!$C$85:$C$164,$C640:$C649,'Key inputs_Refineries'!$B$85:$B$164,"Boiler"))&gt;0,SUMIFS('Key inputs_Refineries'!Q$85:Q$164,'Key inputs_Refineries'!$C$85:$C$164,$C649,'Key inputs_Refineries'!$B$85:$B$164,"Boiler")/SUM(SUMIFS('Key inputs_Refineries'!Q$85:Q$164,'Key inputs_Refineries'!$C$85:$C$164,$C640:$C649,'Key inputs_Refineries'!$B$85:$B$164,"Boiler"))&lt;0.001),0.001,SUMIFS('Key inputs_Refineries'!Q$85:Q$164,'Key inputs_Refineries'!$C$85:$C$164,$C649,'Key inputs_Refineries'!$B$85:$B$164,"Boiler")/SUM(SUMIFS('Key inputs_Refineries'!Q$85:Q$164,'Key inputs_Refineries'!$C$85:$C$164,$C640:$C649,'Key inputs_Refineries'!$B$85:$B$164,"Boiler"))),1)</f>
        <v>5.8358521716818726E-2</v>
      </c>
      <c r="X649" s="173" cm="1">
        <f t="array" ref="X649">IFERROR(IF(AND(SUMIFS('Key inputs_Refineries'!R$85:R$164,'Key inputs_Refineries'!$C$85:$C$164,$C649,'Key inputs_Refineries'!$B$85:$B$164,"Boiler")/SUM(SUMIFS('Key inputs_Refineries'!R$85:R$164,'Key inputs_Refineries'!$C$85:$C$164,$C640:$C649,'Key inputs_Refineries'!$B$85:$B$164,"Boiler"))&gt;0,SUMIFS('Key inputs_Refineries'!R$85:R$164,'Key inputs_Refineries'!$C$85:$C$164,$C649,'Key inputs_Refineries'!$B$85:$B$164,"Boiler")/SUM(SUMIFS('Key inputs_Refineries'!R$85:R$164,'Key inputs_Refineries'!$C$85:$C$164,$C640:$C649,'Key inputs_Refineries'!$B$85:$B$164,"Boiler"))&lt;0.001),0.001,SUMIFS('Key inputs_Refineries'!R$85:R$164,'Key inputs_Refineries'!$C$85:$C$164,$C649,'Key inputs_Refineries'!$B$85:$B$164,"Boiler")/SUM(SUMIFS('Key inputs_Refineries'!R$85:R$164,'Key inputs_Refineries'!$C$85:$C$164,$C640:$C649,'Key inputs_Refineries'!$B$85:$B$164,"Boiler"))),1)</f>
        <v>0.80941235239176013</v>
      </c>
      <c r="Y649" s="173" cm="1">
        <f t="array" ref="Y649">IFERROR(IF(AND(SUMIFS('Key inputs_Refineries'!S$85:S$164,'Key inputs_Refineries'!$C$85:$C$164,$C649,'Key inputs_Refineries'!$B$85:$B$164,"Boiler")/SUM(SUMIFS('Key inputs_Refineries'!S$85:S$164,'Key inputs_Refineries'!$C$85:$C$164,$C640:$C649,'Key inputs_Refineries'!$B$85:$B$164,"Boiler"))&gt;0,SUMIFS('Key inputs_Refineries'!S$85:S$164,'Key inputs_Refineries'!$C$85:$C$164,$C649,'Key inputs_Refineries'!$B$85:$B$164,"Boiler")/SUM(SUMIFS('Key inputs_Refineries'!S$85:S$164,'Key inputs_Refineries'!$C$85:$C$164,$C640:$C649,'Key inputs_Refineries'!$B$85:$B$164,"Boiler"))&lt;0.001),0.001,SUMIFS('Key inputs_Refineries'!S$85:S$164,'Key inputs_Refineries'!$C$85:$C$164,$C649,'Key inputs_Refineries'!$B$85:$B$164,"Boiler")/SUM(SUMIFS('Key inputs_Refineries'!S$85:S$164,'Key inputs_Refineries'!$C$85:$C$164,$C640:$C649,'Key inputs_Refineries'!$B$85:$B$164,"Boiler"))),1)</f>
        <v>0.56012845130970601</v>
      </c>
      <c r="Z649" s="173" cm="1">
        <f t="array" ref="Z649">IFERROR(IF(AND(SUMIFS('Key inputs_Refineries'!T$85:T$164,'Key inputs_Refineries'!$C$85:$C$164,$C649,'Key inputs_Refineries'!$B$85:$B$164,"Boiler")/SUM(SUMIFS('Key inputs_Refineries'!T$85:T$164,'Key inputs_Refineries'!$C$85:$C$164,$C640:$C649,'Key inputs_Refineries'!$B$85:$B$164,"Boiler"))&gt;0,SUMIFS('Key inputs_Refineries'!T$85:T$164,'Key inputs_Refineries'!$C$85:$C$164,$C649,'Key inputs_Refineries'!$B$85:$B$164,"Boiler")/SUM(SUMIFS('Key inputs_Refineries'!T$85:T$164,'Key inputs_Refineries'!$C$85:$C$164,$C640:$C649,'Key inputs_Refineries'!$B$85:$B$164,"Boiler"))&lt;0.001),0.001,SUMIFS('Key inputs_Refineries'!T$85:T$164,'Key inputs_Refineries'!$C$85:$C$164,$C649,'Key inputs_Refineries'!$B$85:$B$164,"Boiler")/SUM(SUMIFS('Key inputs_Refineries'!T$85:T$164,'Key inputs_Refineries'!$C$85:$C$164,$C640:$C649,'Key inputs_Refineries'!$B$85:$B$164,"Boiler"))),1)</f>
        <v>0.65636065153933998</v>
      </c>
      <c r="AA649" s="173" cm="1">
        <f t="array" ref="AA649">IFERROR(IF(AND(SUMIFS('Key inputs_Refineries'!U$85:U$164,'Key inputs_Refineries'!$C$85:$C$164,$C649,'Key inputs_Refineries'!$B$85:$B$164,"Boiler")/SUM(SUMIFS('Key inputs_Refineries'!U$85:U$164,'Key inputs_Refineries'!$C$85:$C$164,$C640:$C649,'Key inputs_Refineries'!$B$85:$B$164,"Boiler"))&gt;0,SUMIFS('Key inputs_Refineries'!U$85:U$164,'Key inputs_Refineries'!$C$85:$C$164,$C649,'Key inputs_Refineries'!$B$85:$B$164,"Boiler")/SUM(SUMIFS('Key inputs_Refineries'!U$85:U$164,'Key inputs_Refineries'!$C$85:$C$164,$C640:$C649,'Key inputs_Refineries'!$B$85:$B$164,"Boiler"))&lt;0.001),0.001,SUMIFS('Key inputs_Refineries'!U$85:U$164,'Key inputs_Refineries'!$C$85:$C$164,$C649,'Key inputs_Refineries'!$B$85:$B$164,"Boiler")/SUM(SUMIFS('Key inputs_Refineries'!U$85:U$164,'Key inputs_Refineries'!$C$85:$C$164,$C640:$C649,'Key inputs_Refineries'!$B$85:$B$164,"Boiler"))),1)</f>
        <v>0.46733479677810208</v>
      </c>
      <c r="AB649" s="173" cm="1">
        <f t="array" ref="AB649">IFERROR(IF(AND(SUMIFS('Key inputs_Refineries'!V$85:V$164,'Key inputs_Refineries'!$C$85:$C$164,$C649,'Key inputs_Refineries'!$B$85:$B$164,"Boiler")/SUM(SUMIFS('Key inputs_Refineries'!V$85:V$164,'Key inputs_Refineries'!$C$85:$C$164,$C640:$C649,'Key inputs_Refineries'!$B$85:$B$164,"Boiler"))&gt;0,SUMIFS('Key inputs_Refineries'!V$85:V$164,'Key inputs_Refineries'!$C$85:$C$164,$C649,'Key inputs_Refineries'!$B$85:$B$164,"Boiler")/SUM(SUMIFS('Key inputs_Refineries'!V$85:V$164,'Key inputs_Refineries'!$C$85:$C$164,$C640:$C649,'Key inputs_Refineries'!$B$85:$B$164,"Boiler"))&lt;0.001),0.001,SUMIFS('Key inputs_Refineries'!V$85:V$164,'Key inputs_Refineries'!$C$85:$C$164,$C649,'Key inputs_Refineries'!$B$85:$B$164,"Boiler")/SUM(SUMIFS('Key inputs_Refineries'!V$85:V$164,'Key inputs_Refineries'!$C$85:$C$164,$C640:$C649,'Key inputs_Refineries'!$B$85:$B$164,"Boiler"))),1)</f>
        <v>0</v>
      </c>
      <c r="AC649" s="173" cm="1">
        <f t="array" ref="AC649">IFERROR(IF(AND(SUMIFS('Key inputs_Refineries'!W$85:W$164,'Key inputs_Refineries'!$C$85:$C$164,$C649,'Key inputs_Refineries'!$B$85:$B$164,"Boiler")/SUM(SUMIFS('Key inputs_Refineries'!W$85:W$164,'Key inputs_Refineries'!$C$85:$C$164,$C640:$C649,'Key inputs_Refineries'!$B$85:$B$164,"Boiler"))&gt;0,SUMIFS('Key inputs_Refineries'!W$85:W$164,'Key inputs_Refineries'!$C$85:$C$164,$C649,'Key inputs_Refineries'!$B$85:$B$164,"Boiler")/SUM(SUMIFS('Key inputs_Refineries'!W$85:W$164,'Key inputs_Refineries'!$C$85:$C$164,$C640:$C649,'Key inputs_Refineries'!$B$85:$B$164,"Boiler"))&lt;0.001),0.001,SUMIFS('Key inputs_Refineries'!W$85:W$164,'Key inputs_Refineries'!$C$85:$C$164,$C649,'Key inputs_Refineries'!$B$85:$B$164,"Boiler")/SUM(SUMIFS('Key inputs_Refineries'!W$85:W$164,'Key inputs_Refineries'!$C$85:$C$164,$C640:$C649,'Key inputs_Refineries'!$B$85:$B$164,"Boiler"))),1)</f>
        <v>1</v>
      </c>
      <c r="AD649" s="173" cm="1">
        <f t="array" ref="AD649">IFERROR(IF(AND(SUMIFS('Key inputs_Refineries'!X$85:X$164,'Key inputs_Refineries'!$C$85:$C$164,$C649,'Key inputs_Refineries'!$B$85:$B$164,"Boiler")/SUM(SUMIFS('Key inputs_Refineries'!X$85:X$164,'Key inputs_Refineries'!$C$85:$C$164,$C640:$C649,'Key inputs_Refineries'!$B$85:$B$164,"Boiler"))&gt;0,SUMIFS('Key inputs_Refineries'!X$85:X$164,'Key inputs_Refineries'!$C$85:$C$164,$C649,'Key inputs_Refineries'!$B$85:$B$164,"Boiler")/SUM(SUMIFS('Key inputs_Refineries'!X$85:X$164,'Key inputs_Refineries'!$C$85:$C$164,$C640:$C649,'Key inputs_Refineries'!$B$85:$B$164,"Boiler"))&lt;0.001),0.001,SUMIFS('Key inputs_Refineries'!X$85:X$164,'Key inputs_Refineries'!$C$85:$C$164,$C649,'Key inputs_Refineries'!$B$85:$B$164,"Boiler")/SUM(SUMIFS('Key inputs_Refineries'!X$85:X$164,'Key inputs_Refineries'!$C$85:$C$164,$C640:$C649,'Key inputs_Refineries'!$B$85:$B$164,"Boiler"))),1)</f>
        <v>0.43903269260140848</v>
      </c>
      <c r="AE649" s="173" cm="1">
        <f t="array" ref="AE649">IFERROR(IF(AND(SUMIFS('Key inputs_Refineries'!Y$85:Y$164,'Key inputs_Refineries'!$C$85:$C$164,$C649,'Key inputs_Refineries'!$B$85:$B$164,"Boiler")/SUM(SUMIFS('Key inputs_Refineries'!Y$85:Y$164,'Key inputs_Refineries'!$C$85:$C$164,$C640:$C649,'Key inputs_Refineries'!$B$85:$B$164,"Boiler"))&gt;0,SUMIFS('Key inputs_Refineries'!Y$85:Y$164,'Key inputs_Refineries'!$C$85:$C$164,$C649,'Key inputs_Refineries'!$B$85:$B$164,"Boiler")/SUM(SUMIFS('Key inputs_Refineries'!Y$85:Y$164,'Key inputs_Refineries'!$C$85:$C$164,$C640:$C649,'Key inputs_Refineries'!$B$85:$B$164,"Boiler"))&lt;0.001),0.001,SUMIFS('Key inputs_Refineries'!Y$85:Y$164,'Key inputs_Refineries'!$C$85:$C$164,$C649,'Key inputs_Refineries'!$B$85:$B$164,"Boiler")/SUM(SUMIFS('Key inputs_Refineries'!Y$85:Y$164,'Key inputs_Refineries'!$C$85:$C$164,$C640:$C649,'Key inputs_Refineries'!$B$85:$B$164,"Boiler"))),1)</f>
        <v>1.2468981492366695E-2</v>
      </c>
      <c r="AF649" s="173" cm="1">
        <f t="array" ref="AF649">IFERROR(IF(AND(SUMIFS('Key inputs_Refineries'!Z$85:Z$164,'Key inputs_Refineries'!$C$85:$C$164,$C649,'Key inputs_Refineries'!$B$85:$B$164,"Boiler")/SUM(SUMIFS('Key inputs_Refineries'!Z$85:Z$164,'Key inputs_Refineries'!$C$85:$C$164,$C640:$C649,'Key inputs_Refineries'!$B$85:$B$164,"Boiler"))&gt;0,SUMIFS('Key inputs_Refineries'!Z$85:Z$164,'Key inputs_Refineries'!$C$85:$C$164,$C649,'Key inputs_Refineries'!$B$85:$B$164,"Boiler")/SUM(SUMIFS('Key inputs_Refineries'!Z$85:Z$164,'Key inputs_Refineries'!$C$85:$C$164,$C640:$C649,'Key inputs_Refineries'!$B$85:$B$164,"Boiler"))&lt;0.001),0.001,SUMIFS('Key inputs_Refineries'!Z$85:Z$164,'Key inputs_Refineries'!$C$85:$C$164,$C649,'Key inputs_Refineries'!$B$85:$B$164,"Boiler")/SUM(SUMIFS('Key inputs_Refineries'!Z$85:Z$164,'Key inputs_Refineries'!$C$85:$C$164,$C640:$C649,'Key inputs_Refineries'!$B$85:$B$164,"Boiler"))),1)</f>
        <v>3.9834048690817444E-3</v>
      </c>
      <c r="AG649" s="173" cm="1">
        <f t="array" ref="AG649">IFERROR(IF(AND(SUMIFS('Key inputs_Refineries'!AA$85:AA$164,'Key inputs_Refineries'!$C$85:$C$164,$C649,'Key inputs_Refineries'!$B$85:$B$164,"Boiler")/SUM(SUMIFS('Key inputs_Refineries'!AA$85:AA$164,'Key inputs_Refineries'!$C$85:$C$164,$C640:$C649,'Key inputs_Refineries'!$B$85:$B$164,"Boiler"))&gt;0,SUMIFS('Key inputs_Refineries'!AA$85:AA$164,'Key inputs_Refineries'!$C$85:$C$164,$C649,'Key inputs_Refineries'!$B$85:$B$164,"Boiler")/SUM(SUMIFS('Key inputs_Refineries'!AA$85:AA$164,'Key inputs_Refineries'!$C$85:$C$164,$C640:$C649,'Key inputs_Refineries'!$B$85:$B$164,"Boiler"))&lt;0.001),0.001,SUMIFS('Key inputs_Refineries'!AA$85:AA$164,'Key inputs_Refineries'!$C$85:$C$164,$C649,'Key inputs_Refineries'!$B$85:$B$164,"Boiler")/SUM(SUMIFS('Key inputs_Refineries'!AA$85:AA$164,'Key inputs_Refineries'!$C$85:$C$164,$C640:$C649,'Key inputs_Refineries'!$B$85:$B$164,"Boiler"))),1)</f>
        <v>5.2506838942529173E-2</v>
      </c>
      <c r="AH649" s="173" cm="1">
        <f t="array" ref="AH649">IFERROR(IF(AND(SUMIFS('Key inputs_Refineries'!AB$85:AB$164,'Key inputs_Refineries'!$C$85:$C$164,$C649,'Key inputs_Refineries'!$B$85:$B$164,"Boiler")/SUM(SUMIFS('Key inputs_Refineries'!AB$85:AB$164,'Key inputs_Refineries'!$C$85:$C$164,$C640:$C649,'Key inputs_Refineries'!$B$85:$B$164,"Boiler"))&gt;0,SUMIFS('Key inputs_Refineries'!AB$85:AB$164,'Key inputs_Refineries'!$C$85:$C$164,$C649,'Key inputs_Refineries'!$B$85:$B$164,"Boiler")/SUM(SUMIFS('Key inputs_Refineries'!AB$85:AB$164,'Key inputs_Refineries'!$C$85:$C$164,$C640:$C649,'Key inputs_Refineries'!$B$85:$B$164,"Boiler"))&lt;0.001),0.001,SUMIFS('Key inputs_Refineries'!AB$85:AB$164,'Key inputs_Refineries'!$C$85:$C$164,$C649,'Key inputs_Refineries'!$B$85:$B$164,"Boiler")/SUM(SUMIFS('Key inputs_Refineries'!AB$85:AB$164,'Key inputs_Refineries'!$C$85:$C$164,$C640:$C649,'Key inputs_Refineries'!$B$85:$B$164,"Boiler"))),1)</f>
        <v>9.4974097372733504E-2</v>
      </c>
      <c r="AI649" s="173" cm="1">
        <f t="array" ref="AI649">IFERROR(IF(AND(SUMIFS('Key inputs_Refineries'!AC$85:AC$164,'Key inputs_Refineries'!$C$85:$C$164,$C649,'Key inputs_Refineries'!$B$85:$B$164,"Boiler")/SUM(SUMIFS('Key inputs_Refineries'!AC$85:AC$164,'Key inputs_Refineries'!$C$85:$C$164,$C640:$C649,'Key inputs_Refineries'!$B$85:$B$164,"Boiler"))&gt;0,SUMIFS('Key inputs_Refineries'!AC$85:AC$164,'Key inputs_Refineries'!$C$85:$C$164,$C649,'Key inputs_Refineries'!$B$85:$B$164,"Boiler")/SUM(SUMIFS('Key inputs_Refineries'!AC$85:AC$164,'Key inputs_Refineries'!$C$85:$C$164,$C640:$C649,'Key inputs_Refineries'!$B$85:$B$164,"Boiler"))&lt;0.001),0.001,SUMIFS('Key inputs_Refineries'!AC$85:AC$164,'Key inputs_Refineries'!$C$85:$C$164,$C649,'Key inputs_Refineries'!$B$85:$B$164,"Boiler")/SUM(SUMIFS('Key inputs_Refineries'!AC$85:AC$164,'Key inputs_Refineries'!$C$85:$C$164,$C640:$C649,'Key inputs_Refineries'!$B$85:$B$164,"Boiler"))),1)</f>
        <v>1.2394645513138323E-2</v>
      </c>
      <c r="AJ649" s="173" cm="1">
        <f t="array" ref="AJ649">IFERROR(IF(AND(SUMIFS('Key inputs_Refineries'!AD$85:AD$164,'Key inputs_Refineries'!$C$85:$C$164,$C649,'Key inputs_Refineries'!$B$85:$B$164,"Boiler")/SUM(SUMIFS('Key inputs_Refineries'!AD$85:AD$164,'Key inputs_Refineries'!$C$85:$C$164,$C640:$C649,'Key inputs_Refineries'!$B$85:$B$164,"Boiler"))&gt;0,SUMIFS('Key inputs_Refineries'!AD$85:AD$164,'Key inputs_Refineries'!$C$85:$C$164,$C649,'Key inputs_Refineries'!$B$85:$B$164,"Boiler")/SUM(SUMIFS('Key inputs_Refineries'!AD$85:AD$164,'Key inputs_Refineries'!$C$85:$C$164,$C640:$C649,'Key inputs_Refineries'!$B$85:$B$164,"Boiler"))&lt;0.001),0.001,SUMIFS('Key inputs_Refineries'!AD$85:AD$164,'Key inputs_Refineries'!$C$85:$C$164,$C649,'Key inputs_Refineries'!$B$85:$B$164,"Boiler")/SUM(SUMIFS('Key inputs_Refineries'!AD$85:AD$164,'Key inputs_Refineries'!$C$85:$C$164,$C640:$C649,'Key inputs_Refineries'!$B$85:$B$164,"Boiler"))),1)</f>
        <v>1</v>
      </c>
      <c r="AK649" s="173" cm="1">
        <f t="array" ref="AK649">IFERROR(IF(AND(SUMIFS('Key inputs_Refineries'!AE$85:AE$164,'Key inputs_Refineries'!$C$85:$C$164,$C649,'Key inputs_Refineries'!$B$85:$B$164,"Boiler")/SUM(SUMIFS('Key inputs_Refineries'!AE$85:AE$164,'Key inputs_Refineries'!$C$85:$C$164,$C640:$C649,'Key inputs_Refineries'!$B$85:$B$164,"Boiler"))&gt;0,SUMIFS('Key inputs_Refineries'!AE$85:AE$164,'Key inputs_Refineries'!$C$85:$C$164,$C649,'Key inputs_Refineries'!$B$85:$B$164,"Boiler")/SUM(SUMIFS('Key inputs_Refineries'!AE$85:AE$164,'Key inputs_Refineries'!$C$85:$C$164,$C640:$C649,'Key inputs_Refineries'!$B$85:$B$164,"Boiler"))&lt;0.001),0.001,SUMIFS('Key inputs_Refineries'!AE$85:AE$164,'Key inputs_Refineries'!$C$85:$C$164,$C649,'Key inputs_Refineries'!$B$85:$B$164,"Boiler")/SUM(SUMIFS('Key inputs_Refineries'!AE$85:AE$164,'Key inputs_Refineries'!$C$85:$C$164,$C640:$C649,'Key inputs_Refineries'!$B$85:$B$164,"Boiler"))),1)</f>
        <v>0.26396698362328047</v>
      </c>
      <c r="AL649" s="173" cm="1">
        <f t="array" ref="AL649">IFERROR(IF(AND(SUMIFS('Key inputs_Refineries'!AF$85:AF$164,'Key inputs_Refineries'!$C$85:$C$164,$C649,'Key inputs_Refineries'!$B$85:$B$164,"Boiler")/SUM(SUMIFS('Key inputs_Refineries'!AF$85:AF$164,'Key inputs_Refineries'!$C$85:$C$164,$C640:$C649,'Key inputs_Refineries'!$B$85:$B$164,"Boiler"))&gt;0,SUMIFS('Key inputs_Refineries'!AF$85:AF$164,'Key inputs_Refineries'!$C$85:$C$164,$C649,'Key inputs_Refineries'!$B$85:$B$164,"Boiler")/SUM(SUMIFS('Key inputs_Refineries'!AF$85:AF$164,'Key inputs_Refineries'!$C$85:$C$164,$C640:$C649,'Key inputs_Refineries'!$B$85:$B$164,"Boiler"))&lt;0.001),0.001,SUMIFS('Key inputs_Refineries'!AF$85:AF$164,'Key inputs_Refineries'!$C$85:$C$164,$C649,'Key inputs_Refineries'!$B$85:$B$164,"Boiler")/SUM(SUMIFS('Key inputs_Refineries'!AF$85:AF$164,'Key inputs_Refineries'!$C$85:$C$164,$C640:$C649,'Key inputs_Refineries'!$B$85:$B$164,"Boiler"))),1)</f>
        <v>0.94020675648239993</v>
      </c>
    </row>
    <row r="650" spans="1:38">
      <c r="C650" t="s">
        <v>515</v>
      </c>
      <c r="G650" s="4" t="s">
        <v>702</v>
      </c>
      <c r="H650" t="s">
        <v>661</v>
      </c>
      <c r="I650">
        <v>2025</v>
      </c>
      <c r="J650" t="s">
        <v>650</v>
      </c>
      <c r="K650" s="426">
        <f>K641</f>
        <v>0</v>
      </c>
      <c r="L650" s="426">
        <f t="shared" ref="L650:AL650" si="36">L641</f>
        <v>0</v>
      </c>
      <c r="M650" s="426">
        <f t="shared" si="36"/>
        <v>5.4967007249105165E-2</v>
      </c>
      <c r="N650" s="426">
        <f t="shared" si="36"/>
        <v>0</v>
      </c>
      <c r="O650" s="426">
        <f t="shared" si="36"/>
        <v>0</v>
      </c>
      <c r="P650" s="426">
        <f t="shared" si="36"/>
        <v>7.5112298847973434E-3</v>
      </c>
      <c r="Q650" s="426">
        <f t="shared" si="36"/>
        <v>1.3591105951689957E-2</v>
      </c>
      <c r="R650" s="426">
        <f t="shared" si="36"/>
        <v>0</v>
      </c>
      <c r="S650" s="426">
        <f t="shared" si="36"/>
        <v>3.5051732768259555E-2</v>
      </c>
      <c r="T650" s="426">
        <f t="shared" si="36"/>
        <v>8.6333554563383288E-3</v>
      </c>
      <c r="U650" s="426">
        <f t="shared" si="36"/>
        <v>0</v>
      </c>
      <c r="V650" s="426">
        <f t="shared" si="36"/>
        <v>5.6882967399520768E-3</v>
      </c>
      <c r="W650" s="426">
        <f t="shared" si="36"/>
        <v>0</v>
      </c>
      <c r="X650" s="426">
        <f t="shared" si="36"/>
        <v>0</v>
      </c>
      <c r="Y650" s="426">
        <f t="shared" si="36"/>
        <v>2.7787994220171155E-3</v>
      </c>
      <c r="Z650" s="426">
        <f t="shared" si="36"/>
        <v>7.5121681310049548E-3</v>
      </c>
      <c r="AA650" s="426">
        <f t="shared" si="36"/>
        <v>1.3171639290390735E-2</v>
      </c>
      <c r="AB650" s="426">
        <f t="shared" si="36"/>
        <v>0.62732289155304854</v>
      </c>
      <c r="AC650" s="426">
        <f t="shared" si="36"/>
        <v>0</v>
      </c>
      <c r="AD650" s="426">
        <f t="shared" si="36"/>
        <v>9.5552781608146987E-3</v>
      </c>
      <c r="AE650" s="426">
        <f t="shared" si="36"/>
        <v>1.5014083212701699E-2</v>
      </c>
      <c r="AF650" s="426">
        <f t="shared" si="36"/>
        <v>3.8902919404541575E-2</v>
      </c>
      <c r="AG650" s="426">
        <f t="shared" si="36"/>
        <v>3.0454378123189886E-2</v>
      </c>
      <c r="AH650" s="426">
        <f t="shared" si="36"/>
        <v>0</v>
      </c>
      <c r="AI650" s="426">
        <f t="shared" si="36"/>
        <v>0.10262766484878531</v>
      </c>
      <c r="AJ650" s="426">
        <f t="shared" si="36"/>
        <v>0</v>
      </c>
      <c r="AK650" s="426">
        <f t="shared" si="36"/>
        <v>1E-3</v>
      </c>
      <c r="AL650" s="426">
        <f t="shared" si="36"/>
        <v>1.1727367954192493E-2</v>
      </c>
    </row>
    <row r="651" spans="1:38">
      <c r="C651" t="s">
        <v>517</v>
      </c>
      <c r="G651" s="4" t="s">
        <v>702</v>
      </c>
      <c r="H651" t="s">
        <v>661</v>
      </c>
      <c r="I651">
        <v>2025</v>
      </c>
      <c r="J651" t="s">
        <v>650</v>
      </c>
      <c r="K651" s="426">
        <f>K643</f>
        <v>0</v>
      </c>
      <c r="L651" s="426">
        <f t="shared" ref="L651:AL651" si="37">L643</f>
        <v>0</v>
      </c>
      <c r="M651" s="426">
        <f t="shared" si="37"/>
        <v>0</v>
      </c>
      <c r="N651" s="426">
        <f t="shared" si="37"/>
        <v>0</v>
      </c>
      <c r="O651" s="426">
        <f t="shared" si="37"/>
        <v>0</v>
      </c>
      <c r="P651" s="426">
        <f t="shared" si="37"/>
        <v>0</v>
      </c>
      <c r="Q651" s="426">
        <f t="shared" si="37"/>
        <v>0</v>
      </c>
      <c r="R651" s="426">
        <f t="shared" si="37"/>
        <v>0</v>
      </c>
      <c r="S651" s="426">
        <f t="shared" si="37"/>
        <v>0</v>
      </c>
      <c r="T651" s="426">
        <f t="shared" si="37"/>
        <v>2.7912331012078389E-2</v>
      </c>
      <c r="U651" s="426">
        <f t="shared" si="37"/>
        <v>0</v>
      </c>
      <c r="V651" s="426">
        <f t="shared" si="37"/>
        <v>1E-3</v>
      </c>
      <c r="W651" s="426">
        <f t="shared" si="37"/>
        <v>0</v>
      </c>
      <c r="X651" s="426">
        <f t="shared" si="37"/>
        <v>0</v>
      </c>
      <c r="Y651" s="426">
        <f t="shared" si="37"/>
        <v>0</v>
      </c>
      <c r="Z651" s="426">
        <f t="shared" si="37"/>
        <v>0</v>
      </c>
      <c r="AA651" s="426">
        <f t="shared" si="37"/>
        <v>0</v>
      </c>
      <c r="AB651" s="426">
        <f t="shared" si="37"/>
        <v>0</v>
      </c>
      <c r="AC651" s="426">
        <f t="shared" si="37"/>
        <v>0</v>
      </c>
      <c r="AD651" s="426">
        <f t="shared" si="37"/>
        <v>1E-3</v>
      </c>
      <c r="AE651" s="426">
        <f t="shared" si="37"/>
        <v>2.0134433337153691E-2</v>
      </c>
      <c r="AF651" s="426">
        <f t="shared" si="37"/>
        <v>0</v>
      </c>
      <c r="AG651" s="426">
        <f t="shared" si="37"/>
        <v>0</v>
      </c>
      <c r="AH651" s="426">
        <f t="shared" si="37"/>
        <v>0</v>
      </c>
      <c r="AI651" s="426">
        <f t="shared" si="37"/>
        <v>0</v>
      </c>
      <c r="AJ651" s="426">
        <f t="shared" si="37"/>
        <v>0</v>
      </c>
      <c r="AK651" s="426">
        <f t="shared" si="37"/>
        <v>0</v>
      </c>
      <c r="AL651" s="426">
        <f t="shared" si="37"/>
        <v>2.4176673865044865E-3</v>
      </c>
    </row>
    <row r="652" spans="1:38">
      <c r="C652" t="s">
        <v>515</v>
      </c>
      <c r="G652" s="4" t="s">
        <v>702</v>
      </c>
      <c r="H652" t="s">
        <v>661</v>
      </c>
      <c r="I652">
        <v>2050</v>
      </c>
      <c r="J652" t="s">
        <v>650</v>
      </c>
      <c r="K652" s="426">
        <f>K650</f>
        <v>0</v>
      </c>
      <c r="L652" s="426">
        <f t="shared" ref="L652:AL652" si="38">L650</f>
        <v>0</v>
      </c>
      <c r="M652" s="426">
        <f t="shared" si="38"/>
        <v>5.4967007249105165E-2</v>
      </c>
      <c r="N652" s="426">
        <f t="shared" si="38"/>
        <v>0</v>
      </c>
      <c r="O652" s="426">
        <f t="shared" si="38"/>
        <v>0</v>
      </c>
      <c r="P652" s="426">
        <f t="shared" si="38"/>
        <v>7.5112298847973434E-3</v>
      </c>
      <c r="Q652" s="426">
        <f t="shared" si="38"/>
        <v>1.3591105951689957E-2</v>
      </c>
      <c r="R652" s="426">
        <f t="shared" si="38"/>
        <v>0</v>
      </c>
      <c r="S652" s="426">
        <f t="shared" si="38"/>
        <v>3.5051732768259555E-2</v>
      </c>
      <c r="T652" s="426">
        <f t="shared" si="38"/>
        <v>8.6333554563383288E-3</v>
      </c>
      <c r="U652" s="426">
        <f t="shared" si="38"/>
        <v>0</v>
      </c>
      <c r="V652" s="426">
        <f t="shared" si="38"/>
        <v>5.6882967399520768E-3</v>
      </c>
      <c r="W652" s="426">
        <f t="shared" si="38"/>
        <v>0</v>
      </c>
      <c r="X652" s="426">
        <f t="shared" si="38"/>
        <v>0</v>
      </c>
      <c r="Y652" s="426">
        <f t="shared" si="38"/>
        <v>2.7787994220171155E-3</v>
      </c>
      <c r="Z652" s="426">
        <f t="shared" si="38"/>
        <v>7.5121681310049548E-3</v>
      </c>
      <c r="AA652" s="426">
        <f t="shared" si="38"/>
        <v>1.3171639290390735E-2</v>
      </c>
      <c r="AB652" s="426">
        <f t="shared" si="38"/>
        <v>0.62732289155304854</v>
      </c>
      <c r="AC652" s="426">
        <f t="shared" si="38"/>
        <v>0</v>
      </c>
      <c r="AD652" s="426">
        <f t="shared" si="38"/>
        <v>9.5552781608146987E-3</v>
      </c>
      <c r="AE652" s="426">
        <f t="shared" si="38"/>
        <v>1.5014083212701699E-2</v>
      </c>
      <c r="AF652" s="426">
        <f t="shared" si="38"/>
        <v>3.8902919404541575E-2</v>
      </c>
      <c r="AG652" s="426">
        <f t="shared" si="38"/>
        <v>3.0454378123189886E-2</v>
      </c>
      <c r="AH652" s="426">
        <f t="shared" si="38"/>
        <v>0</v>
      </c>
      <c r="AI652" s="426">
        <f t="shared" si="38"/>
        <v>0.10262766484878531</v>
      </c>
      <c r="AJ652" s="426">
        <f t="shared" si="38"/>
        <v>0</v>
      </c>
      <c r="AK652" s="426">
        <f t="shared" si="38"/>
        <v>1E-3</v>
      </c>
      <c r="AL652" s="426">
        <f t="shared" si="38"/>
        <v>1.1727367954192493E-2</v>
      </c>
    </row>
    <row r="653" spans="1:38">
      <c r="C653" t="s">
        <v>517</v>
      </c>
      <c r="G653" s="4" t="s">
        <v>702</v>
      </c>
      <c r="H653" t="s">
        <v>661</v>
      </c>
      <c r="I653">
        <v>2050</v>
      </c>
      <c r="J653" t="s">
        <v>650</v>
      </c>
      <c r="K653" s="426">
        <f>K651</f>
        <v>0</v>
      </c>
      <c r="L653" s="426">
        <f t="shared" ref="L653:AL653" si="39">L651</f>
        <v>0</v>
      </c>
      <c r="M653" s="426">
        <f t="shared" si="39"/>
        <v>0</v>
      </c>
      <c r="N653" s="426">
        <f t="shared" si="39"/>
        <v>0</v>
      </c>
      <c r="O653" s="426">
        <f t="shared" si="39"/>
        <v>0</v>
      </c>
      <c r="P653" s="426">
        <f t="shared" si="39"/>
        <v>0</v>
      </c>
      <c r="Q653" s="426">
        <f t="shared" si="39"/>
        <v>0</v>
      </c>
      <c r="R653" s="426">
        <f t="shared" si="39"/>
        <v>0</v>
      </c>
      <c r="S653" s="426">
        <f t="shared" si="39"/>
        <v>0</v>
      </c>
      <c r="T653" s="426">
        <f t="shared" si="39"/>
        <v>2.7912331012078389E-2</v>
      </c>
      <c r="U653" s="426">
        <f t="shared" si="39"/>
        <v>0</v>
      </c>
      <c r="V653" s="426">
        <f t="shared" si="39"/>
        <v>1E-3</v>
      </c>
      <c r="W653" s="426">
        <f t="shared" si="39"/>
        <v>0</v>
      </c>
      <c r="X653" s="426">
        <f t="shared" si="39"/>
        <v>0</v>
      </c>
      <c r="Y653" s="426">
        <f t="shared" si="39"/>
        <v>0</v>
      </c>
      <c r="Z653" s="426">
        <f t="shared" si="39"/>
        <v>0</v>
      </c>
      <c r="AA653" s="426">
        <f t="shared" si="39"/>
        <v>0</v>
      </c>
      <c r="AB653" s="426">
        <f t="shared" si="39"/>
        <v>0</v>
      </c>
      <c r="AC653" s="426">
        <f t="shared" si="39"/>
        <v>0</v>
      </c>
      <c r="AD653" s="426">
        <f t="shared" si="39"/>
        <v>1E-3</v>
      </c>
      <c r="AE653" s="426">
        <f t="shared" si="39"/>
        <v>2.0134433337153691E-2</v>
      </c>
      <c r="AF653" s="426">
        <f t="shared" si="39"/>
        <v>0</v>
      </c>
      <c r="AG653" s="426">
        <f t="shared" si="39"/>
        <v>0</v>
      </c>
      <c r="AH653" s="426">
        <f t="shared" si="39"/>
        <v>0</v>
      </c>
      <c r="AI653" s="426">
        <f t="shared" si="39"/>
        <v>0</v>
      </c>
      <c r="AJ653" s="426">
        <f t="shared" si="39"/>
        <v>0</v>
      </c>
      <c r="AK653" s="426">
        <f t="shared" si="39"/>
        <v>0</v>
      </c>
      <c r="AL653" s="426">
        <f t="shared" si="39"/>
        <v>2.4176673865044865E-3</v>
      </c>
    </row>
    <row r="654" spans="1:38">
      <c r="D654" t="str">
        <f>Commodities!$C$106</f>
        <v>UREFOTH</v>
      </c>
    </row>
    <row r="655" spans="1:38">
      <c r="A655" s="4" t="str">
        <f>AO426</f>
        <v>U-TRF-OILREFOTH_BIO01</v>
      </c>
      <c r="B655" s="4" t="str">
        <f>AP426</f>
        <v>UPS Transformation: Oil refinery other processes Biomass - New</v>
      </c>
      <c r="C655" s="4"/>
      <c r="D655" s="4"/>
      <c r="E655" s="4"/>
      <c r="F655" s="4"/>
      <c r="G655" s="4" t="s">
        <v>695</v>
      </c>
      <c r="H655" s="4"/>
      <c r="I655" s="4"/>
      <c r="J655" s="4" t="s">
        <v>2665</v>
      </c>
      <c r="K655" s="333">
        <v>1</v>
      </c>
      <c r="L655" s="333">
        <v>1</v>
      </c>
      <c r="M655" s="333">
        <v>1</v>
      </c>
      <c r="N655" s="333">
        <v>1</v>
      </c>
      <c r="O655" s="333">
        <v>1</v>
      </c>
      <c r="P655" s="333">
        <v>1</v>
      </c>
      <c r="Q655" s="333">
        <v>1</v>
      </c>
      <c r="R655" s="333">
        <v>1</v>
      </c>
      <c r="S655" s="333">
        <v>1</v>
      </c>
      <c r="T655" s="333">
        <v>1</v>
      </c>
      <c r="U655" s="333">
        <v>1</v>
      </c>
      <c r="V655" s="333">
        <v>1</v>
      </c>
      <c r="W655" s="333">
        <v>1</v>
      </c>
      <c r="X655" s="333">
        <v>1</v>
      </c>
      <c r="Y655" s="333">
        <v>1</v>
      </c>
      <c r="Z655" s="333">
        <v>1</v>
      </c>
      <c r="AA655" s="333">
        <v>1</v>
      </c>
      <c r="AB655" s="333">
        <v>1</v>
      </c>
      <c r="AC655" s="333">
        <v>1</v>
      </c>
      <c r="AD655" s="333">
        <v>1</v>
      </c>
      <c r="AE655" s="333">
        <v>1</v>
      </c>
      <c r="AF655" s="333">
        <v>1</v>
      </c>
      <c r="AG655" s="333">
        <v>1</v>
      </c>
      <c r="AH655" s="333">
        <v>1</v>
      </c>
      <c r="AI655" s="333">
        <v>1</v>
      </c>
      <c r="AJ655" s="333">
        <v>1</v>
      </c>
      <c r="AK655" s="333">
        <v>1</v>
      </c>
      <c r="AL655" s="333">
        <v>1</v>
      </c>
    </row>
    <row r="656" spans="1:38">
      <c r="C656" s="4"/>
      <c r="D656" s="4"/>
      <c r="E656" s="4"/>
      <c r="F656" s="4"/>
      <c r="G656" s="4" t="s">
        <v>697</v>
      </c>
      <c r="H656" s="4"/>
      <c r="I656" s="4"/>
      <c r="J656" s="4" t="s">
        <v>698</v>
      </c>
      <c r="K656" s="424">
        <f>'Key inputs_Refineries'!$F$186</f>
        <v>15</v>
      </c>
      <c r="L656" s="424">
        <f>'Key inputs_Refineries'!$F$186</f>
        <v>15</v>
      </c>
      <c r="M656" s="424">
        <f>'Key inputs_Refineries'!$F$186</f>
        <v>15</v>
      </c>
      <c r="N656" s="424">
        <f>'Key inputs_Refineries'!$F$186</f>
        <v>15</v>
      </c>
      <c r="O656" s="424">
        <f>'Key inputs_Refineries'!$F$186</f>
        <v>15</v>
      </c>
      <c r="P656" s="424">
        <f>'Key inputs_Refineries'!$F$186</f>
        <v>15</v>
      </c>
      <c r="Q656" s="424">
        <f>'Key inputs_Refineries'!$F$186</f>
        <v>15</v>
      </c>
      <c r="R656" s="424">
        <f>'Key inputs_Refineries'!$F$186</f>
        <v>15</v>
      </c>
      <c r="S656" s="424">
        <f>'Key inputs_Refineries'!$F$186</f>
        <v>15</v>
      </c>
      <c r="T656" s="424">
        <f>'Key inputs_Refineries'!$F$186</f>
        <v>15</v>
      </c>
      <c r="U656" s="424">
        <f>'Key inputs_Refineries'!$F$186</f>
        <v>15</v>
      </c>
      <c r="V656" s="424">
        <f>'Key inputs_Refineries'!$F$186</f>
        <v>15</v>
      </c>
      <c r="W656" s="424">
        <f>'Key inputs_Refineries'!$F$186</f>
        <v>15</v>
      </c>
      <c r="X656" s="424">
        <f>'Key inputs_Refineries'!$F$186</f>
        <v>15</v>
      </c>
      <c r="Y656" s="424">
        <f>'Key inputs_Refineries'!$F$186</f>
        <v>15</v>
      </c>
      <c r="Z656" s="424">
        <f>'Key inputs_Refineries'!$F$186</f>
        <v>15</v>
      </c>
      <c r="AA656" s="424">
        <f>'Key inputs_Refineries'!$F$186</f>
        <v>15</v>
      </c>
      <c r="AB656" s="424">
        <f>'Key inputs_Refineries'!$F$186</f>
        <v>15</v>
      </c>
      <c r="AC656" s="424">
        <f>'Key inputs_Refineries'!$F$186</f>
        <v>15</v>
      </c>
      <c r="AD656" s="424">
        <f>'Key inputs_Refineries'!$F$186</f>
        <v>15</v>
      </c>
      <c r="AE656" s="424">
        <f>'Key inputs_Refineries'!$F$186</f>
        <v>15</v>
      </c>
      <c r="AF656" s="424">
        <f>'Key inputs_Refineries'!$F$186</f>
        <v>15</v>
      </c>
      <c r="AG656" s="424">
        <f>'Key inputs_Refineries'!$F$186</f>
        <v>15</v>
      </c>
      <c r="AH656" s="424">
        <f>'Key inputs_Refineries'!$F$186</f>
        <v>15</v>
      </c>
      <c r="AI656" s="424">
        <f>'Key inputs_Refineries'!$F$186</f>
        <v>15</v>
      </c>
      <c r="AJ656" s="424">
        <f>'Key inputs_Refineries'!$F$186</f>
        <v>15</v>
      </c>
      <c r="AK656" s="424">
        <f>'Key inputs_Refineries'!$F$186</f>
        <v>15</v>
      </c>
      <c r="AL656" s="424">
        <f>'Key inputs_Refineries'!$F$186</f>
        <v>15</v>
      </c>
    </row>
    <row r="657" spans="1:38">
      <c r="C657" s="4"/>
      <c r="D657" s="4"/>
      <c r="E657" s="4"/>
      <c r="F657" s="4"/>
      <c r="G657" s="4" t="s">
        <v>707</v>
      </c>
      <c r="H657" s="4"/>
      <c r="I657" s="4"/>
      <c r="J657" s="4" t="s">
        <v>2669</v>
      </c>
      <c r="K657" s="347">
        <v>2020</v>
      </c>
      <c r="L657" s="347">
        <v>2020</v>
      </c>
      <c r="M657" s="347">
        <v>2020</v>
      </c>
      <c r="N657" s="347">
        <v>2020</v>
      </c>
      <c r="O657" s="347">
        <v>2020</v>
      </c>
      <c r="P657" s="347">
        <v>2020</v>
      </c>
      <c r="Q657" s="347">
        <v>2020</v>
      </c>
      <c r="R657" s="347">
        <v>2020</v>
      </c>
      <c r="S657" s="347">
        <v>2020</v>
      </c>
      <c r="T657" s="347">
        <v>2020</v>
      </c>
      <c r="U657" s="347">
        <v>2020</v>
      </c>
      <c r="V657" s="347">
        <v>2020</v>
      </c>
      <c r="W657" s="347">
        <v>2020</v>
      </c>
      <c r="X657" s="347">
        <v>2020</v>
      </c>
      <c r="Y657" s="347">
        <v>2020</v>
      </c>
      <c r="Z657" s="347">
        <v>2020</v>
      </c>
      <c r="AA657" s="347">
        <v>2020</v>
      </c>
      <c r="AB657" s="347">
        <v>2020</v>
      </c>
      <c r="AC657" s="347">
        <v>2020</v>
      </c>
      <c r="AD657" s="347">
        <v>2020</v>
      </c>
      <c r="AE657" s="347">
        <v>2020</v>
      </c>
      <c r="AF657" s="347">
        <v>2020</v>
      </c>
      <c r="AG657" s="347">
        <v>2020</v>
      </c>
      <c r="AH657" s="347">
        <v>2020</v>
      </c>
      <c r="AI657" s="347">
        <v>2020</v>
      </c>
      <c r="AJ657" s="347">
        <v>2020</v>
      </c>
      <c r="AK657" s="347">
        <v>2020</v>
      </c>
      <c r="AL657" s="347">
        <v>2020</v>
      </c>
    </row>
    <row r="658" spans="1:38">
      <c r="G658" s="4" t="s">
        <v>701</v>
      </c>
      <c r="H658" s="4" t="s">
        <v>661</v>
      </c>
      <c r="I658" s="4">
        <v>2019</v>
      </c>
      <c r="J658" s="4" t="s">
        <v>112</v>
      </c>
      <c r="K658" s="333"/>
      <c r="L658" s="333"/>
      <c r="M658" s="333"/>
      <c r="N658" s="333"/>
      <c r="O658" s="333"/>
      <c r="P658" s="333"/>
      <c r="Q658" s="333"/>
      <c r="R658" s="333"/>
      <c r="S658" s="333"/>
      <c r="T658" s="333"/>
      <c r="U658" s="333"/>
      <c r="V658" s="333"/>
      <c r="W658" s="333"/>
      <c r="X658" s="333"/>
      <c r="Y658" s="333"/>
      <c r="Z658" s="333"/>
      <c r="AA658" s="333"/>
      <c r="AB658" s="333"/>
      <c r="AC658" s="333"/>
      <c r="AD658" s="333"/>
      <c r="AE658" s="333"/>
      <c r="AF658" s="333"/>
      <c r="AG658" s="333"/>
      <c r="AH658" s="333"/>
      <c r="AI658" s="333"/>
      <c r="AJ658" s="333"/>
      <c r="AK658" s="333"/>
      <c r="AL658" s="333"/>
    </row>
    <row r="659" spans="1:38">
      <c r="G659" s="4" t="s">
        <v>701</v>
      </c>
      <c r="H659" s="4" t="s">
        <v>661</v>
      </c>
      <c r="I659" s="4">
        <v>2060</v>
      </c>
      <c r="J659" s="4" t="s">
        <v>112</v>
      </c>
      <c r="K659" s="333"/>
      <c r="L659" s="333"/>
      <c r="M659" s="333"/>
      <c r="N659" s="333"/>
      <c r="O659" s="333"/>
      <c r="P659" s="333"/>
      <c r="Q659" s="333"/>
      <c r="R659" s="333"/>
      <c r="S659" s="333"/>
      <c r="T659" s="333"/>
      <c r="U659" s="333"/>
      <c r="V659" s="333"/>
      <c r="W659" s="333"/>
      <c r="X659" s="333"/>
      <c r="Y659" s="333"/>
      <c r="Z659" s="333"/>
      <c r="AA659" s="333"/>
      <c r="AB659" s="333"/>
      <c r="AC659" s="333"/>
      <c r="AD659" s="333"/>
      <c r="AE659" s="333"/>
      <c r="AF659" s="333"/>
      <c r="AG659" s="333"/>
      <c r="AH659" s="333"/>
      <c r="AI659" s="333"/>
      <c r="AJ659" s="333"/>
      <c r="AK659" s="333"/>
      <c r="AL659" s="333"/>
    </row>
    <row r="660" spans="1:38">
      <c r="G660" s="4" t="s">
        <v>701</v>
      </c>
      <c r="H660" s="4" t="s">
        <v>661</v>
      </c>
      <c r="I660" s="4">
        <v>0</v>
      </c>
      <c r="J660" s="4"/>
      <c r="K660" s="333"/>
      <c r="L660" s="333"/>
      <c r="M660" s="333"/>
      <c r="N660" s="333"/>
      <c r="O660" s="333"/>
      <c r="P660" s="333"/>
      <c r="Q660" s="333"/>
      <c r="R660" s="333"/>
      <c r="S660" s="333"/>
      <c r="T660" s="333"/>
      <c r="U660" s="333"/>
      <c r="V660" s="333"/>
      <c r="W660" s="333"/>
      <c r="X660" s="333"/>
      <c r="Y660" s="333"/>
      <c r="Z660" s="333"/>
      <c r="AA660" s="333"/>
      <c r="AB660" s="333"/>
      <c r="AC660" s="333"/>
      <c r="AD660" s="333"/>
      <c r="AE660" s="333"/>
      <c r="AF660" s="333"/>
      <c r="AG660" s="333"/>
      <c r="AH660" s="333"/>
      <c r="AI660" s="333"/>
      <c r="AJ660" s="333"/>
      <c r="AK660" s="333"/>
      <c r="AL660" s="333"/>
    </row>
    <row r="661" spans="1:38">
      <c r="G661" s="4" t="s">
        <v>687</v>
      </c>
      <c r="H661" s="4"/>
      <c r="I661" s="4"/>
      <c r="J661" s="4" t="s">
        <v>2663</v>
      </c>
      <c r="K661" s="425">
        <f>'Key inputs_Refineries'!$C$186*10^3</f>
        <v>230.21279999999999</v>
      </c>
      <c r="L661" s="425">
        <f>'Key inputs_Refineries'!$C$186*10^3</f>
        <v>230.21279999999999</v>
      </c>
      <c r="M661" s="425">
        <f>'Key inputs_Refineries'!$C$186*10^3</f>
        <v>230.21279999999999</v>
      </c>
      <c r="N661" s="425">
        <f>'Key inputs_Refineries'!$C$186*10^3</f>
        <v>230.21279999999999</v>
      </c>
      <c r="O661" s="425">
        <f>'Key inputs_Refineries'!$C$186*10^3</f>
        <v>230.21279999999999</v>
      </c>
      <c r="P661" s="425">
        <f>'Key inputs_Refineries'!$C$186*10^3</f>
        <v>230.21279999999999</v>
      </c>
      <c r="Q661" s="425">
        <f>'Key inputs_Refineries'!$C$186*10^3</f>
        <v>230.21279999999999</v>
      </c>
      <c r="R661" s="425">
        <f>'Key inputs_Refineries'!$C$186*10^3</f>
        <v>230.21279999999999</v>
      </c>
      <c r="S661" s="425">
        <f>'Key inputs_Refineries'!$C$186*10^3</f>
        <v>230.21279999999999</v>
      </c>
      <c r="T661" s="425">
        <f>'Key inputs_Refineries'!$C$186*10^3</f>
        <v>230.21279999999999</v>
      </c>
      <c r="U661" s="425">
        <f>'Key inputs_Refineries'!$C$186*10^3</f>
        <v>230.21279999999999</v>
      </c>
      <c r="V661" s="425">
        <f>'Key inputs_Refineries'!$C$186*10^3</f>
        <v>230.21279999999999</v>
      </c>
      <c r="W661" s="425">
        <f>'Key inputs_Refineries'!$C$186*10^3</f>
        <v>230.21279999999999</v>
      </c>
      <c r="X661" s="425">
        <f>'Key inputs_Refineries'!$C$186*10^3</f>
        <v>230.21279999999999</v>
      </c>
      <c r="Y661" s="425">
        <f>'Key inputs_Refineries'!$C$186*10^3</f>
        <v>230.21279999999999</v>
      </c>
      <c r="Z661" s="425">
        <f>'Key inputs_Refineries'!$C$186*10^3</f>
        <v>230.21279999999999</v>
      </c>
      <c r="AA661" s="425">
        <f>'Key inputs_Refineries'!$C$186*10^3</f>
        <v>230.21279999999999</v>
      </c>
      <c r="AB661" s="425">
        <f>'Key inputs_Refineries'!$C$186*10^3</f>
        <v>230.21279999999999</v>
      </c>
      <c r="AC661" s="425">
        <f>'Key inputs_Refineries'!$C$186*10^3</f>
        <v>230.21279999999999</v>
      </c>
      <c r="AD661" s="425">
        <f>'Key inputs_Refineries'!$C$186*10^3</f>
        <v>230.21279999999999</v>
      </c>
      <c r="AE661" s="425">
        <f>'Key inputs_Refineries'!$C$186*10^3</f>
        <v>230.21279999999999</v>
      </c>
      <c r="AF661" s="425">
        <f>'Key inputs_Refineries'!$C$186*10^3</f>
        <v>230.21279999999999</v>
      </c>
      <c r="AG661" s="425">
        <f>'Key inputs_Refineries'!$C$186*10^3</f>
        <v>230.21279999999999</v>
      </c>
      <c r="AH661" s="425">
        <f>'Key inputs_Refineries'!$C$186*10^3</f>
        <v>230.21279999999999</v>
      </c>
      <c r="AI661" s="425">
        <f>'Key inputs_Refineries'!$C$186*10^3</f>
        <v>230.21279999999999</v>
      </c>
      <c r="AJ661" s="425">
        <f>'Key inputs_Refineries'!$C$186*10^3</f>
        <v>230.21279999999999</v>
      </c>
      <c r="AK661" s="425">
        <f>'Key inputs_Refineries'!$C$186*10^3</f>
        <v>230.21279999999999</v>
      </c>
      <c r="AL661" s="425">
        <f>'Key inputs_Refineries'!$C$186*10^3</f>
        <v>230.21279999999999</v>
      </c>
    </row>
    <row r="662" spans="1:38">
      <c r="G662" s="4" t="s">
        <v>689</v>
      </c>
      <c r="H662" s="4"/>
      <c r="I662" s="4"/>
      <c r="J662" s="4" t="s">
        <v>2663</v>
      </c>
      <c r="K662" s="425">
        <f>'Key inputs_Refineries'!$D$186*10^3</f>
        <v>1.8921600000000001</v>
      </c>
      <c r="L662" s="425">
        <f>'Key inputs_Refineries'!$D$186*10^3</f>
        <v>1.8921600000000001</v>
      </c>
      <c r="M662" s="425">
        <f>'Key inputs_Refineries'!$D$186*10^3</f>
        <v>1.8921600000000001</v>
      </c>
      <c r="N662" s="425">
        <f>'Key inputs_Refineries'!$D$186*10^3</f>
        <v>1.8921600000000001</v>
      </c>
      <c r="O662" s="425">
        <f>'Key inputs_Refineries'!$D$186*10^3</f>
        <v>1.8921600000000001</v>
      </c>
      <c r="P662" s="425">
        <f>'Key inputs_Refineries'!$D$186*10^3</f>
        <v>1.8921600000000001</v>
      </c>
      <c r="Q662" s="425">
        <f>'Key inputs_Refineries'!$D$186*10^3</f>
        <v>1.8921600000000001</v>
      </c>
      <c r="R662" s="425">
        <f>'Key inputs_Refineries'!$D$186*10^3</f>
        <v>1.8921600000000001</v>
      </c>
      <c r="S662" s="425">
        <f>'Key inputs_Refineries'!$D$186*10^3</f>
        <v>1.8921600000000001</v>
      </c>
      <c r="T662" s="425">
        <f>'Key inputs_Refineries'!$D$186*10^3</f>
        <v>1.8921600000000001</v>
      </c>
      <c r="U662" s="425">
        <f>'Key inputs_Refineries'!$D$186*10^3</f>
        <v>1.8921600000000001</v>
      </c>
      <c r="V662" s="425">
        <f>'Key inputs_Refineries'!$D$186*10^3</f>
        <v>1.8921600000000001</v>
      </c>
      <c r="W662" s="425">
        <f>'Key inputs_Refineries'!$D$186*10^3</f>
        <v>1.8921600000000001</v>
      </c>
      <c r="X662" s="425">
        <f>'Key inputs_Refineries'!$D$186*10^3</f>
        <v>1.8921600000000001</v>
      </c>
      <c r="Y662" s="425">
        <f>'Key inputs_Refineries'!$D$186*10^3</f>
        <v>1.8921600000000001</v>
      </c>
      <c r="Z662" s="425">
        <f>'Key inputs_Refineries'!$D$186*10^3</f>
        <v>1.8921600000000001</v>
      </c>
      <c r="AA662" s="425">
        <f>'Key inputs_Refineries'!$D$186*10^3</f>
        <v>1.8921600000000001</v>
      </c>
      <c r="AB662" s="425">
        <f>'Key inputs_Refineries'!$D$186*10^3</f>
        <v>1.8921600000000001</v>
      </c>
      <c r="AC662" s="425">
        <f>'Key inputs_Refineries'!$D$186*10^3</f>
        <v>1.8921600000000001</v>
      </c>
      <c r="AD662" s="425">
        <f>'Key inputs_Refineries'!$D$186*10^3</f>
        <v>1.8921600000000001</v>
      </c>
      <c r="AE662" s="425">
        <f>'Key inputs_Refineries'!$D$186*10^3</f>
        <v>1.8921600000000001</v>
      </c>
      <c r="AF662" s="425">
        <f>'Key inputs_Refineries'!$D$186*10^3</f>
        <v>1.8921600000000001</v>
      </c>
      <c r="AG662" s="425">
        <f>'Key inputs_Refineries'!$D$186*10^3</f>
        <v>1.8921600000000001</v>
      </c>
      <c r="AH662" s="425">
        <f>'Key inputs_Refineries'!$D$186*10^3</f>
        <v>1.8921600000000001</v>
      </c>
      <c r="AI662" s="425">
        <f>'Key inputs_Refineries'!$D$186*10^3</f>
        <v>1.8921600000000001</v>
      </c>
      <c r="AJ662" s="425">
        <f>'Key inputs_Refineries'!$D$186*10^3</f>
        <v>1.8921600000000001</v>
      </c>
      <c r="AK662" s="425">
        <f>'Key inputs_Refineries'!$D$186*10^3</f>
        <v>1.8921600000000001</v>
      </c>
      <c r="AL662" s="425">
        <f>'Key inputs_Refineries'!$D$186*10^3</f>
        <v>1.8921600000000001</v>
      </c>
    </row>
    <row r="663" spans="1:38">
      <c r="G663" s="4" t="s">
        <v>675</v>
      </c>
      <c r="H663" s="4"/>
      <c r="I663" s="4"/>
      <c r="J663" s="4" t="s">
        <v>2662</v>
      </c>
      <c r="K663" s="338"/>
      <c r="L663" s="338"/>
      <c r="M663" s="338"/>
      <c r="N663" s="338"/>
      <c r="O663" s="338"/>
      <c r="P663" s="338"/>
      <c r="Q663" s="338"/>
      <c r="R663" s="338"/>
      <c r="S663" s="338"/>
      <c r="T663" s="338"/>
      <c r="U663" s="338"/>
      <c r="V663" s="338"/>
      <c r="W663" s="338"/>
      <c r="X663" s="338"/>
      <c r="Y663" s="338"/>
      <c r="Z663" s="338"/>
      <c r="AA663" s="338"/>
      <c r="AB663" s="338"/>
      <c r="AC663" s="338"/>
      <c r="AD663" s="338"/>
      <c r="AE663" s="338"/>
      <c r="AF663" s="338"/>
      <c r="AG663" s="338"/>
      <c r="AH663" s="338"/>
      <c r="AI663" s="338"/>
      <c r="AJ663" s="338"/>
      <c r="AK663" s="338"/>
      <c r="AL663" s="338"/>
    </row>
    <row r="664" spans="1:38">
      <c r="G664" s="4" t="s">
        <v>630</v>
      </c>
      <c r="H664" s="4"/>
      <c r="I664" s="4"/>
      <c r="J664" s="4" t="s">
        <v>2666</v>
      </c>
      <c r="K664" s="425">
        <f>'Key inputs_Refineries'!$H$186</f>
        <v>0.6</v>
      </c>
      <c r="L664" s="425">
        <f>'Key inputs_Refineries'!$H$186</f>
        <v>0.6</v>
      </c>
      <c r="M664" s="425">
        <f>'Key inputs_Refineries'!$H$186</f>
        <v>0.6</v>
      </c>
      <c r="N664" s="425">
        <f>'Key inputs_Refineries'!$H$186</f>
        <v>0.6</v>
      </c>
      <c r="O664" s="425">
        <f>'Key inputs_Refineries'!$H$186</f>
        <v>0.6</v>
      </c>
      <c r="P664" s="425">
        <f>'Key inputs_Refineries'!$H$186</f>
        <v>0.6</v>
      </c>
      <c r="Q664" s="425">
        <f>'Key inputs_Refineries'!$H$186</f>
        <v>0.6</v>
      </c>
      <c r="R664" s="425">
        <f>'Key inputs_Refineries'!$H$186</f>
        <v>0.6</v>
      </c>
      <c r="S664" s="425">
        <f>'Key inputs_Refineries'!$H$186</f>
        <v>0.6</v>
      </c>
      <c r="T664" s="425">
        <f>'Key inputs_Refineries'!$H$186</f>
        <v>0.6</v>
      </c>
      <c r="U664" s="425">
        <f>'Key inputs_Refineries'!$H$186</f>
        <v>0.6</v>
      </c>
      <c r="V664" s="425">
        <f>'Key inputs_Refineries'!$H$186</f>
        <v>0.6</v>
      </c>
      <c r="W664" s="425">
        <f>'Key inputs_Refineries'!$H$186</f>
        <v>0.6</v>
      </c>
      <c r="X664" s="425">
        <f>'Key inputs_Refineries'!$H$186</f>
        <v>0.6</v>
      </c>
      <c r="Y664" s="425">
        <f>'Key inputs_Refineries'!$H$186</f>
        <v>0.6</v>
      </c>
      <c r="Z664" s="425">
        <f>'Key inputs_Refineries'!$H$186</f>
        <v>0.6</v>
      </c>
      <c r="AA664" s="425">
        <f>'Key inputs_Refineries'!$H$186</f>
        <v>0.6</v>
      </c>
      <c r="AB664" s="425">
        <f>'Key inputs_Refineries'!$H$186</f>
        <v>0.6</v>
      </c>
      <c r="AC664" s="425">
        <f>'Key inputs_Refineries'!$H$186</f>
        <v>0.6</v>
      </c>
      <c r="AD664" s="425">
        <f>'Key inputs_Refineries'!$H$186</f>
        <v>0.6</v>
      </c>
      <c r="AE664" s="425">
        <f>'Key inputs_Refineries'!$H$186</f>
        <v>0.6</v>
      </c>
      <c r="AF664" s="425">
        <f>'Key inputs_Refineries'!$H$186</f>
        <v>0.6</v>
      </c>
      <c r="AG664" s="425">
        <f>'Key inputs_Refineries'!$H$186</f>
        <v>0.6</v>
      </c>
      <c r="AH664" s="425">
        <f>'Key inputs_Refineries'!$H$186</f>
        <v>0.6</v>
      </c>
      <c r="AI664" s="425">
        <f>'Key inputs_Refineries'!$H$186</f>
        <v>0.6</v>
      </c>
      <c r="AJ664" s="425">
        <f>'Key inputs_Refineries'!$H$186</f>
        <v>0.6</v>
      </c>
      <c r="AK664" s="425">
        <f>'Key inputs_Refineries'!$H$186</f>
        <v>0.6</v>
      </c>
      <c r="AL664" s="425">
        <f>'Key inputs_Refineries'!$H$186</f>
        <v>0.6</v>
      </c>
    </row>
    <row r="665" spans="1:38">
      <c r="C665" t="str">
        <f>Commodities!$C$85</f>
        <v>UPSBIO</v>
      </c>
      <c r="G665" s="4" t="s">
        <v>702</v>
      </c>
      <c r="H665" t="s">
        <v>661</v>
      </c>
      <c r="I665">
        <v>2019</v>
      </c>
      <c r="J665" t="s">
        <v>650</v>
      </c>
      <c r="K665" s="426">
        <v>1</v>
      </c>
      <c r="L665" s="426">
        <v>1</v>
      </c>
      <c r="M665" s="426">
        <v>1</v>
      </c>
      <c r="N665" s="426">
        <v>1</v>
      </c>
      <c r="O665" s="426">
        <v>1</v>
      </c>
      <c r="P665" s="426">
        <v>1</v>
      </c>
      <c r="Q665" s="426">
        <v>1</v>
      </c>
      <c r="R665" s="426">
        <v>1</v>
      </c>
      <c r="S665" s="426">
        <v>1</v>
      </c>
      <c r="T665" s="426">
        <v>1</v>
      </c>
      <c r="U665" s="426">
        <v>1</v>
      </c>
      <c r="V665" s="426">
        <v>1</v>
      </c>
      <c r="W665" s="426">
        <v>1</v>
      </c>
      <c r="X665" s="426">
        <v>1</v>
      </c>
      <c r="Y665" s="426">
        <v>1</v>
      </c>
      <c r="Z665" s="426">
        <v>1</v>
      </c>
      <c r="AA665" s="426">
        <v>1</v>
      </c>
      <c r="AB665" s="426">
        <v>1</v>
      </c>
      <c r="AC665" s="426">
        <v>1</v>
      </c>
      <c r="AD665" s="426">
        <v>1</v>
      </c>
      <c r="AE665" s="426">
        <v>1</v>
      </c>
      <c r="AF665" s="426">
        <v>1</v>
      </c>
      <c r="AG665" s="426">
        <v>1</v>
      </c>
      <c r="AH665" s="426">
        <v>1</v>
      </c>
      <c r="AI665" s="426">
        <v>1</v>
      </c>
      <c r="AJ665" s="426">
        <v>1</v>
      </c>
      <c r="AK665" s="426">
        <v>1</v>
      </c>
      <c r="AL665" s="426">
        <v>1</v>
      </c>
    </row>
    <row r="666" spans="1:38">
      <c r="C666" t="str">
        <f>Commodities!$C$101</f>
        <v>UPSWAS</v>
      </c>
      <c r="G666" s="4" t="s">
        <v>702</v>
      </c>
      <c r="H666" t="s">
        <v>661</v>
      </c>
      <c r="I666">
        <v>2019</v>
      </c>
      <c r="J666" t="s">
        <v>650</v>
      </c>
      <c r="K666" s="426">
        <v>1</v>
      </c>
      <c r="L666" s="426">
        <v>1</v>
      </c>
      <c r="M666" s="426">
        <v>1</v>
      </c>
      <c r="N666" s="426">
        <v>1</v>
      </c>
      <c r="O666" s="426">
        <v>1</v>
      </c>
      <c r="P666" s="426">
        <v>1</v>
      </c>
      <c r="Q666" s="426">
        <v>1</v>
      </c>
      <c r="R666" s="426">
        <v>1</v>
      </c>
      <c r="S666" s="426">
        <v>1</v>
      </c>
      <c r="T666" s="426">
        <v>1</v>
      </c>
      <c r="U666" s="426">
        <v>1</v>
      </c>
      <c r="V666" s="426">
        <v>1</v>
      </c>
      <c r="W666" s="426">
        <v>1</v>
      </c>
      <c r="X666" s="426">
        <v>1</v>
      </c>
      <c r="Y666" s="426">
        <v>1</v>
      </c>
      <c r="Z666" s="426">
        <v>1</v>
      </c>
      <c r="AA666" s="426">
        <v>1</v>
      </c>
      <c r="AB666" s="426">
        <v>1</v>
      </c>
      <c r="AC666" s="426">
        <v>1</v>
      </c>
      <c r="AD666" s="426">
        <v>1</v>
      </c>
      <c r="AE666" s="426">
        <v>1</v>
      </c>
      <c r="AF666" s="426">
        <v>1</v>
      </c>
      <c r="AG666" s="426">
        <v>1</v>
      </c>
      <c r="AH666" s="426">
        <v>1</v>
      </c>
      <c r="AI666" s="426">
        <v>1</v>
      </c>
      <c r="AJ666" s="426">
        <v>1</v>
      </c>
      <c r="AK666" s="426">
        <v>1</v>
      </c>
      <c r="AL666" s="426">
        <v>1</v>
      </c>
    </row>
    <row r="667" spans="1:38">
      <c r="C667" t="str">
        <f>Commodities!$C$85</f>
        <v>UPSBIO</v>
      </c>
      <c r="G667" s="4" t="s">
        <v>702</v>
      </c>
      <c r="H667" t="s">
        <v>661</v>
      </c>
      <c r="I667">
        <v>2025</v>
      </c>
      <c r="J667" t="s">
        <v>650</v>
      </c>
      <c r="K667" s="426">
        <v>1</v>
      </c>
      <c r="L667" s="426">
        <v>1</v>
      </c>
      <c r="M667" s="426">
        <v>1</v>
      </c>
      <c r="N667" s="426">
        <v>1</v>
      </c>
      <c r="O667" s="426">
        <v>1</v>
      </c>
      <c r="P667" s="426">
        <v>1</v>
      </c>
      <c r="Q667" s="426">
        <v>1</v>
      </c>
      <c r="R667" s="426">
        <v>1</v>
      </c>
      <c r="S667" s="426">
        <v>1</v>
      </c>
      <c r="T667" s="426">
        <v>1</v>
      </c>
      <c r="U667" s="426">
        <v>1</v>
      </c>
      <c r="V667" s="426">
        <v>1</v>
      </c>
      <c r="W667" s="426">
        <v>1</v>
      </c>
      <c r="X667" s="426">
        <v>1</v>
      </c>
      <c r="Y667" s="426">
        <v>1</v>
      </c>
      <c r="Z667" s="426">
        <v>1</v>
      </c>
      <c r="AA667" s="426">
        <v>1</v>
      </c>
      <c r="AB667" s="426">
        <v>1</v>
      </c>
      <c r="AC667" s="426">
        <v>1</v>
      </c>
      <c r="AD667" s="426">
        <v>1</v>
      </c>
      <c r="AE667" s="426">
        <v>1</v>
      </c>
      <c r="AF667" s="426">
        <v>1</v>
      </c>
      <c r="AG667" s="426">
        <v>1</v>
      </c>
      <c r="AH667" s="426">
        <v>1</v>
      </c>
      <c r="AI667" s="426">
        <v>1</v>
      </c>
      <c r="AJ667" s="426">
        <v>1</v>
      </c>
      <c r="AK667" s="426">
        <v>1</v>
      </c>
      <c r="AL667" s="426">
        <v>1</v>
      </c>
    </row>
    <row r="668" spans="1:38">
      <c r="C668" t="str">
        <f>Commodities!$C$101</f>
        <v>UPSWAS</v>
      </c>
      <c r="G668" s="4" t="s">
        <v>702</v>
      </c>
      <c r="H668" t="s">
        <v>661</v>
      </c>
      <c r="I668">
        <v>2025</v>
      </c>
      <c r="J668" t="s">
        <v>650</v>
      </c>
      <c r="K668" s="426">
        <v>1</v>
      </c>
      <c r="L668" s="426">
        <v>1</v>
      </c>
      <c r="M668" s="426">
        <v>1</v>
      </c>
      <c r="N668" s="426">
        <v>1</v>
      </c>
      <c r="O668" s="426">
        <v>1</v>
      </c>
      <c r="P668" s="426">
        <v>1</v>
      </c>
      <c r="Q668" s="426">
        <v>1</v>
      </c>
      <c r="R668" s="426">
        <v>1</v>
      </c>
      <c r="S668" s="426">
        <v>1</v>
      </c>
      <c r="T668" s="426">
        <v>1</v>
      </c>
      <c r="U668" s="426">
        <v>1</v>
      </c>
      <c r="V668" s="426">
        <v>1</v>
      </c>
      <c r="W668" s="426">
        <v>1</v>
      </c>
      <c r="X668" s="426">
        <v>1</v>
      </c>
      <c r="Y668" s="426">
        <v>1</v>
      </c>
      <c r="Z668" s="426">
        <v>1</v>
      </c>
      <c r="AA668" s="426">
        <v>1</v>
      </c>
      <c r="AB668" s="426">
        <v>1</v>
      </c>
      <c r="AC668" s="426">
        <v>1</v>
      </c>
      <c r="AD668" s="426">
        <v>1</v>
      </c>
      <c r="AE668" s="426">
        <v>1</v>
      </c>
      <c r="AF668" s="426">
        <v>1</v>
      </c>
      <c r="AG668" s="426">
        <v>1</v>
      </c>
      <c r="AH668" s="426">
        <v>1</v>
      </c>
      <c r="AI668" s="426">
        <v>1</v>
      </c>
      <c r="AJ668" s="426">
        <v>1</v>
      </c>
      <c r="AK668" s="426">
        <v>1</v>
      </c>
      <c r="AL668" s="426">
        <v>1</v>
      </c>
    </row>
    <row r="669" spans="1:38">
      <c r="C669" t="str">
        <f>Commodities!$C$85</f>
        <v>UPSBIO</v>
      </c>
      <c r="G669" s="4" t="s">
        <v>702</v>
      </c>
      <c r="H669" t="s">
        <v>661</v>
      </c>
      <c r="I669">
        <v>2050</v>
      </c>
      <c r="J669" t="s">
        <v>650</v>
      </c>
      <c r="K669" s="426">
        <v>1</v>
      </c>
      <c r="L669" s="426">
        <v>1</v>
      </c>
      <c r="M669" s="426">
        <v>1</v>
      </c>
      <c r="N669" s="426">
        <v>1</v>
      </c>
      <c r="O669" s="426">
        <v>1</v>
      </c>
      <c r="P669" s="426">
        <v>1</v>
      </c>
      <c r="Q669" s="426">
        <v>1</v>
      </c>
      <c r="R669" s="426">
        <v>1</v>
      </c>
      <c r="S669" s="426">
        <v>1</v>
      </c>
      <c r="T669" s="426">
        <v>1</v>
      </c>
      <c r="U669" s="426">
        <v>1</v>
      </c>
      <c r="V669" s="426">
        <v>1</v>
      </c>
      <c r="W669" s="426">
        <v>1</v>
      </c>
      <c r="X669" s="426">
        <v>1</v>
      </c>
      <c r="Y669" s="426">
        <v>1</v>
      </c>
      <c r="Z669" s="426">
        <v>1</v>
      </c>
      <c r="AA669" s="426">
        <v>1</v>
      </c>
      <c r="AB669" s="426">
        <v>1</v>
      </c>
      <c r="AC669" s="426">
        <v>1</v>
      </c>
      <c r="AD669" s="426">
        <v>1</v>
      </c>
      <c r="AE669" s="426">
        <v>1</v>
      </c>
      <c r="AF669" s="426">
        <v>1</v>
      </c>
      <c r="AG669" s="426">
        <v>1</v>
      </c>
      <c r="AH669" s="426">
        <v>1</v>
      </c>
      <c r="AI669" s="426">
        <v>1</v>
      </c>
      <c r="AJ669" s="426">
        <v>1</v>
      </c>
      <c r="AK669" s="426">
        <v>1</v>
      </c>
      <c r="AL669" s="426">
        <v>1</v>
      </c>
    </row>
    <row r="670" spans="1:38">
      <c r="C670" t="str">
        <f>Commodities!$C$101</f>
        <v>UPSWAS</v>
      </c>
      <c r="G670" s="4" t="s">
        <v>702</v>
      </c>
      <c r="H670" t="s">
        <v>661</v>
      </c>
      <c r="I670">
        <v>2050</v>
      </c>
      <c r="J670" t="s">
        <v>650</v>
      </c>
      <c r="K670" s="426">
        <v>1</v>
      </c>
      <c r="L670" s="426">
        <v>1</v>
      </c>
      <c r="M670" s="426">
        <v>1</v>
      </c>
      <c r="N670" s="426">
        <v>1</v>
      </c>
      <c r="O670" s="426">
        <v>1</v>
      </c>
      <c r="P670" s="426">
        <v>1</v>
      </c>
      <c r="Q670" s="426">
        <v>1</v>
      </c>
      <c r="R670" s="426">
        <v>1</v>
      </c>
      <c r="S670" s="426">
        <v>1</v>
      </c>
      <c r="T670" s="426">
        <v>1</v>
      </c>
      <c r="U670" s="426">
        <v>1</v>
      </c>
      <c r="V670" s="426">
        <v>1</v>
      </c>
      <c r="W670" s="426">
        <v>1</v>
      </c>
      <c r="X670" s="426">
        <v>1</v>
      </c>
      <c r="Y670" s="426">
        <v>1</v>
      </c>
      <c r="Z670" s="426">
        <v>1</v>
      </c>
      <c r="AA670" s="426">
        <v>1</v>
      </c>
      <c r="AB670" s="426">
        <v>1</v>
      </c>
      <c r="AC670" s="426">
        <v>1</v>
      </c>
      <c r="AD670" s="426">
        <v>1</v>
      </c>
      <c r="AE670" s="426">
        <v>1</v>
      </c>
      <c r="AF670" s="426">
        <v>1</v>
      </c>
      <c r="AG670" s="426">
        <v>1</v>
      </c>
      <c r="AH670" s="426">
        <v>1</v>
      </c>
      <c r="AI670" s="426">
        <v>1</v>
      </c>
      <c r="AJ670" s="426">
        <v>1</v>
      </c>
      <c r="AK670" s="426">
        <v>1</v>
      </c>
      <c r="AL670" s="426">
        <v>1</v>
      </c>
    </row>
    <row r="671" spans="1:38">
      <c r="D671" t="str">
        <f>Commodities!$C$106</f>
        <v>UREFOTH</v>
      </c>
    </row>
    <row r="672" spans="1:38">
      <c r="A672" s="4" t="str">
        <f>AO427</f>
        <v>U-TRF-OILREFOTH_COA01</v>
      </c>
      <c r="B672" s="4" t="str">
        <f>AP427</f>
        <v>UPS Transformation: Oil refinery other processes Coal - New</v>
      </c>
      <c r="C672" s="4"/>
      <c r="D672" s="4"/>
      <c r="E672" s="4"/>
      <c r="F672" s="4"/>
      <c r="G672" s="4" t="s">
        <v>695</v>
      </c>
      <c r="H672" s="4"/>
      <c r="I672" s="4"/>
      <c r="J672" s="4" t="s">
        <v>2665</v>
      </c>
      <c r="K672" s="333">
        <v>1</v>
      </c>
      <c r="L672" s="333">
        <v>1</v>
      </c>
      <c r="M672" s="333">
        <v>1</v>
      </c>
      <c r="N672" s="333">
        <v>1</v>
      </c>
      <c r="O672" s="333">
        <v>1</v>
      </c>
      <c r="P672" s="333">
        <v>1</v>
      </c>
      <c r="Q672" s="333">
        <v>1</v>
      </c>
      <c r="R672" s="333">
        <v>1</v>
      </c>
      <c r="S672" s="333">
        <v>1</v>
      </c>
      <c r="T672" s="333">
        <v>1</v>
      </c>
      <c r="U672" s="333">
        <v>1</v>
      </c>
      <c r="V672" s="333">
        <v>1</v>
      </c>
      <c r="W672" s="333">
        <v>1</v>
      </c>
      <c r="X672" s="333">
        <v>1</v>
      </c>
      <c r="Y672" s="333">
        <v>1</v>
      </c>
      <c r="Z672" s="333">
        <v>1</v>
      </c>
      <c r="AA672" s="333">
        <v>1</v>
      </c>
      <c r="AB672" s="333">
        <v>1</v>
      </c>
      <c r="AC672" s="333">
        <v>1</v>
      </c>
      <c r="AD672" s="333">
        <v>1</v>
      </c>
      <c r="AE672" s="333">
        <v>1</v>
      </c>
      <c r="AF672" s="333">
        <v>1</v>
      </c>
      <c r="AG672" s="333">
        <v>1</v>
      </c>
      <c r="AH672" s="333">
        <v>1</v>
      </c>
      <c r="AI672" s="333">
        <v>1</v>
      </c>
      <c r="AJ672" s="333">
        <v>1</v>
      </c>
      <c r="AK672" s="333">
        <v>1</v>
      </c>
      <c r="AL672" s="333">
        <v>1</v>
      </c>
    </row>
    <row r="673" spans="1:38">
      <c r="C673" s="4"/>
      <c r="D673" s="4"/>
      <c r="E673" s="4"/>
      <c r="F673" s="4"/>
      <c r="G673" s="4" t="s">
        <v>697</v>
      </c>
      <c r="H673" s="4"/>
      <c r="I673" s="4"/>
      <c r="J673" s="4" t="s">
        <v>698</v>
      </c>
      <c r="K673" s="424">
        <f>'Key inputs_Refineries'!$F$187</f>
        <v>15</v>
      </c>
      <c r="L673" s="424">
        <f>'Key inputs_Refineries'!$F$187</f>
        <v>15</v>
      </c>
      <c r="M673" s="424">
        <f>'Key inputs_Refineries'!$F$187</f>
        <v>15</v>
      </c>
      <c r="N673" s="424">
        <f>'Key inputs_Refineries'!$F$187</f>
        <v>15</v>
      </c>
      <c r="O673" s="424">
        <f>'Key inputs_Refineries'!$F$187</f>
        <v>15</v>
      </c>
      <c r="P673" s="424">
        <f>'Key inputs_Refineries'!$F$187</f>
        <v>15</v>
      </c>
      <c r="Q673" s="424">
        <f>'Key inputs_Refineries'!$F$187</f>
        <v>15</v>
      </c>
      <c r="R673" s="424">
        <f>'Key inputs_Refineries'!$F$187</f>
        <v>15</v>
      </c>
      <c r="S673" s="424">
        <f>'Key inputs_Refineries'!$F$187</f>
        <v>15</v>
      </c>
      <c r="T673" s="424">
        <f>'Key inputs_Refineries'!$F$187</f>
        <v>15</v>
      </c>
      <c r="U673" s="424">
        <f>'Key inputs_Refineries'!$F$187</f>
        <v>15</v>
      </c>
      <c r="V673" s="424">
        <f>'Key inputs_Refineries'!$F$187</f>
        <v>15</v>
      </c>
      <c r="W673" s="424">
        <f>'Key inputs_Refineries'!$F$187</f>
        <v>15</v>
      </c>
      <c r="X673" s="424">
        <f>'Key inputs_Refineries'!$F$187</f>
        <v>15</v>
      </c>
      <c r="Y673" s="424">
        <f>'Key inputs_Refineries'!$F$187</f>
        <v>15</v>
      </c>
      <c r="Z673" s="424">
        <f>'Key inputs_Refineries'!$F$187</f>
        <v>15</v>
      </c>
      <c r="AA673" s="424">
        <f>'Key inputs_Refineries'!$F$187</f>
        <v>15</v>
      </c>
      <c r="AB673" s="424">
        <f>'Key inputs_Refineries'!$F$187</f>
        <v>15</v>
      </c>
      <c r="AC673" s="424">
        <f>'Key inputs_Refineries'!$F$187</f>
        <v>15</v>
      </c>
      <c r="AD673" s="424">
        <f>'Key inputs_Refineries'!$F$187</f>
        <v>15</v>
      </c>
      <c r="AE673" s="424">
        <f>'Key inputs_Refineries'!$F$187</f>
        <v>15</v>
      </c>
      <c r="AF673" s="424">
        <f>'Key inputs_Refineries'!$F$187</f>
        <v>15</v>
      </c>
      <c r="AG673" s="424">
        <f>'Key inputs_Refineries'!$F$187</f>
        <v>15</v>
      </c>
      <c r="AH673" s="424">
        <f>'Key inputs_Refineries'!$F$187</f>
        <v>15</v>
      </c>
      <c r="AI673" s="424">
        <f>'Key inputs_Refineries'!$F$187</f>
        <v>15</v>
      </c>
      <c r="AJ673" s="424">
        <f>'Key inputs_Refineries'!$F$187</f>
        <v>15</v>
      </c>
      <c r="AK673" s="424">
        <f>'Key inputs_Refineries'!$F$187</f>
        <v>15</v>
      </c>
      <c r="AL673" s="424">
        <f>'Key inputs_Refineries'!$F$187</f>
        <v>15</v>
      </c>
    </row>
    <row r="674" spans="1:38">
      <c r="C674" s="4"/>
      <c r="D674" s="4"/>
      <c r="E674" s="4"/>
      <c r="F674" s="4"/>
      <c r="G674" s="4" t="s">
        <v>707</v>
      </c>
      <c r="H674" s="4"/>
      <c r="I674" s="4"/>
      <c r="J674" s="4" t="s">
        <v>2669</v>
      </c>
      <c r="K674" s="347">
        <v>2020</v>
      </c>
      <c r="L674" s="347">
        <v>2020</v>
      </c>
      <c r="M674" s="347">
        <v>2020</v>
      </c>
      <c r="N674" s="347">
        <v>2020</v>
      </c>
      <c r="O674" s="347">
        <v>2020</v>
      </c>
      <c r="P674" s="347">
        <v>2020</v>
      </c>
      <c r="Q674" s="347">
        <v>2020</v>
      </c>
      <c r="R674" s="347">
        <v>2020</v>
      </c>
      <c r="S674" s="347">
        <v>2020</v>
      </c>
      <c r="T674" s="347">
        <v>2020</v>
      </c>
      <c r="U674" s="347">
        <v>2020</v>
      </c>
      <c r="V674" s="347">
        <v>2020</v>
      </c>
      <c r="W674" s="347">
        <v>2020</v>
      </c>
      <c r="X674" s="347">
        <v>2020</v>
      </c>
      <c r="Y674" s="347">
        <v>2020</v>
      </c>
      <c r="Z674" s="347">
        <v>2020</v>
      </c>
      <c r="AA674" s="347">
        <v>2020</v>
      </c>
      <c r="AB674" s="347">
        <v>2020</v>
      </c>
      <c r="AC674" s="347">
        <v>2020</v>
      </c>
      <c r="AD674" s="347">
        <v>2020</v>
      </c>
      <c r="AE674" s="347">
        <v>2020</v>
      </c>
      <c r="AF674" s="347">
        <v>2020</v>
      </c>
      <c r="AG674" s="347">
        <v>2020</v>
      </c>
      <c r="AH674" s="347">
        <v>2020</v>
      </c>
      <c r="AI674" s="347">
        <v>2020</v>
      </c>
      <c r="AJ674" s="347">
        <v>2020</v>
      </c>
      <c r="AK674" s="347">
        <v>2020</v>
      </c>
      <c r="AL674" s="347">
        <v>2020</v>
      </c>
    </row>
    <row r="675" spans="1:38">
      <c r="G675" s="4" t="s">
        <v>701</v>
      </c>
      <c r="H675" s="4" t="s">
        <v>661</v>
      </c>
      <c r="I675" s="4">
        <v>2019</v>
      </c>
      <c r="J675" s="4" t="s">
        <v>112</v>
      </c>
      <c r="K675" s="333"/>
      <c r="L675" s="333"/>
      <c r="M675" s="333"/>
      <c r="N675" s="333"/>
      <c r="O675" s="333"/>
      <c r="P675" s="333"/>
      <c r="Q675" s="333"/>
      <c r="R675" s="333"/>
      <c r="S675" s="333"/>
      <c r="T675" s="333"/>
      <c r="U675" s="333"/>
      <c r="V675" s="333"/>
      <c r="W675" s="333"/>
      <c r="X675" s="333"/>
      <c r="Y675" s="333"/>
      <c r="Z675" s="333"/>
      <c r="AA675" s="333"/>
      <c r="AB675" s="333"/>
      <c r="AC675" s="333"/>
      <c r="AD675" s="333"/>
      <c r="AE675" s="333"/>
      <c r="AF675" s="333"/>
      <c r="AG675" s="333"/>
      <c r="AH675" s="333"/>
      <c r="AI675" s="333"/>
      <c r="AJ675" s="333"/>
      <c r="AK675" s="333"/>
      <c r="AL675" s="333"/>
    </row>
    <row r="676" spans="1:38">
      <c r="G676" s="4" t="s">
        <v>701</v>
      </c>
      <c r="H676" s="4" t="s">
        <v>661</v>
      </c>
      <c r="I676" s="4">
        <v>2060</v>
      </c>
      <c r="J676" s="4" t="s">
        <v>112</v>
      </c>
      <c r="K676" s="333"/>
      <c r="L676" s="333"/>
      <c r="M676" s="333"/>
      <c r="N676" s="333"/>
      <c r="O676" s="333"/>
      <c r="P676" s="333"/>
      <c r="Q676" s="333"/>
      <c r="R676" s="333"/>
      <c r="S676" s="333"/>
      <c r="T676" s="333"/>
      <c r="U676" s="333"/>
      <c r="V676" s="333"/>
      <c r="W676" s="333"/>
      <c r="X676" s="333"/>
      <c r="Y676" s="333"/>
      <c r="Z676" s="333"/>
      <c r="AA676" s="333"/>
      <c r="AB676" s="333"/>
      <c r="AC676" s="333"/>
      <c r="AD676" s="333"/>
      <c r="AE676" s="333"/>
      <c r="AF676" s="333"/>
      <c r="AG676" s="333"/>
      <c r="AH676" s="333"/>
      <c r="AI676" s="333"/>
      <c r="AJ676" s="333"/>
      <c r="AK676" s="333"/>
      <c r="AL676" s="333"/>
    </row>
    <row r="677" spans="1:38">
      <c r="G677" s="4" t="s">
        <v>701</v>
      </c>
      <c r="H677" s="4" t="s">
        <v>661</v>
      </c>
      <c r="I677" s="4">
        <v>0</v>
      </c>
      <c r="J677" s="4"/>
      <c r="K677" s="333"/>
      <c r="L677" s="333"/>
      <c r="M677" s="333"/>
      <c r="N677" s="333"/>
      <c r="O677" s="333"/>
      <c r="P677" s="333"/>
      <c r="Q677" s="333"/>
      <c r="R677" s="333"/>
      <c r="S677" s="333"/>
      <c r="T677" s="333"/>
      <c r="U677" s="333"/>
      <c r="V677" s="333"/>
      <c r="W677" s="333"/>
      <c r="X677" s="333"/>
      <c r="Y677" s="333"/>
      <c r="Z677" s="333"/>
      <c r="AA677" s="333"/>
      <c r="AB677" s="333"/>
      <c r="AC677" s="333"/>
      <c r="AD677" s="333"/>
      <c r="AE677" s="333"/>
      <c r="AF677" s="333"/>
      <c r="AG677" s="333"/>
      <c r="AH677" s="333"/>
      <c r="AI677" s="333"/>
      <c r="AJ677" s="333"/>
      <c r="AK677" s="333"/>
      <c r="AL677" s="333"/>
    </row>
    <row r="678" spans="1:38">
      <c r="G678" s="4" t="s">
        <v>687</v>
      </c>
      <c r="H678" s="4"/>
      <c r="I678" s="4"/>
      <c r="J678" s="4" t="s">
        <v>2663</v>
      </c>
      <c r="K678" s="425">
        <f>'Key inputs_Refineries'!$C$187*10^3</f>
        <v>182.90880000000001</v>
      </c>
      <c r="L678" s="425">
        <f>'Key inputs_Refineries'!$C$187*10^3</f>
        <v>182.90880000000001</v>
      </c>
      <c r="M678" s="425">
        <f>'Key inputs_Refineries'!$C$187*10^3</f>
        <v>182.90880000000001</v>
      </c>
      <c r="N678" s="425">
        <f>'Key inputs_Refineries'!$C$187*10^3</f>
        <v>182.90880000000001</v>
      </c>
      <c r="O678" s="425">
        <f>'Key inputs_Refineries'!$C$187*10^3</f>
        <v>182.90880000000001</v>
      </c>
      <c r="P678" s="425">
        <f>'Key inputs_Refineries'!$C$187*10^3</f>
        <v>182.90880000000001</v>
      </c>
      <c r="Q678" s="425">
        <f>'Key inputs_Refineries'!$C$187*10^3</f>
        <v>182.90880000000001</v>
      </c>
      <c r="R678" s="425">
        <f>'Key inputs_Refineries'!$C$187*10^3</f>
        <v>182.90880000000001</v>
      </c>
      <c r="S678" s="425">
        <f>'Key inputs_Refineries'!$C$187*10^3</f>
        <v>182.90880000000001</v>
      </c>
      <c r="T678" s="425">
        <f>'Key inputs_Refineries'!$C$187*10^3</f>
        <v>182.90880000000001</v>
      </c>
      <c r="U678" s="425">
        <f>'Key inputs_Refineries'!$C$187*10^3</f>
        <v>182.90880000000001</v>
      </c>
      <c r="V678" s="425">
        <f>'Key inputs_Refineries'!$C$187*10^3</f>
        <v>182.90880000000001</v>
      </c>
      <c r="W678" s="425">
        <f>'Key inputs_Refineries'!$C$187*10^3</f>
        <v>182.90880000000001</v>
      </c>
      <c r="X678" s="425">
        <f>'Key inputs_Refineries'!$C$187*10^3</f>
        <v>182.90880000000001</v>
      </c>
      <c r="Y678" s="425">
        <f>'Key inputs_Refineries'!$C$187*10^3</f>
        <v>182.90880000000001</v>
      </c>
      <c r="Z678" s="425">
        <f>'Key inputs_Refineries'!$C$187*10^3</f>
        <v>182.90880000000001</v>
      </c>
      <c r="AA678" s="425">
        <f>'Key inputs_Refineries'!$C$187*10^3</f>
        <v>182.90880000000001</v>
      </c>
      <c r="AB678" s="425">
        <f>'Key inputs_Refineries'!$C$187*10^3</f>
        <v>182.90880000000001</v>
      </c>
      <c r="AC678" s="425">
        <f>'Key inputs_Refineries'!$C$187*10^3</f>
        <v>182.90880000000001</v>
      </c>
      <c r="AD678" s="425">
        <f>'Key inputs_Refineries'!$C$187*10^3</f>
        <v>182.90880000000001</v>
      </c>
      <c r="AE678" s="425">
        <f>'Key inputs_Refineries'!$C$187*10^3</f>
        <v>182.90880000000001</v>
      </c>
      <c r="AF678" s="425">
        <f>'Key inputs_Refineries'!$C$187*10^3</f>
        <v>182.90880000000001</v>
      </c>
      <c r="AG678" s="425">
        <f>'Key inputs_Refineries'!$C$187*10^3</f>
        <v>182.90880000000001</v>
      </c>
      <c r="AH678" s="425">
        <f>'Key inputs_Refineries'!$C$187*10^3</f>
        <v>182.90880000000001</v>
      </c>
      <c r="AI678" s="425">
        <f>'Key inputs_Refineries'!$C$187*10^3</f>
        <v>182.90880000000001</v>
      </c>
      <c r="AJ678" s="425">
        <f>'Key inputs_Refineries'!$C$187*10^3</f>
        <v>182.90880000000001</v>
      </c>
      <c r="AK678" s="425">
        <f>'Key inputs_Refineries'!$C$187*10^3</f>
        <v>182.90880000000001</v>
      </c>
      <c r="AL678" s="425">
        <f>'Key inputs_Refineries'!$C$187*10^3</f>
        <v>182.90880000000001</v>
      </c>
    </row>
    <row r="679" spans="1:38">
      <c r="G679" s="4" t="s">
        <v>689</v>
      </c>
      <c r="H679" s="4"/>
      <c r="I679" s="4"/>
      <c r="J679" s="4" t="s">
        <v>2663</v>
      </c>
      <c r="K679" s="425">
        <f>'Key inputs_Refineries'!$D$187*10^3</f>
        <v>1.5768000000000002</v>
      </c>
      <c r="L679" s="425">
        <f>'Key inputs_Refineries'!$D$187*10^3</f>
        <v>1.5768000000000002</v>
      </c>
      <c r="M679" s="425">
        <f>'Key inputs_Refineries'!$D$187*10^3</f>
        <v>1.5768000000000002</v>
      </c>
      <c r="N679" s="425">
        <f>'Key inputs_Refineries'!$D$187*10^3</f>
        <v>1.5768000000000002</v>
      </c>
      <c r="O679" s="425">
        <f>'Key inputs_Refineries'!$D$187*10^3</f>
        <v>1.5768000000000002</v>
      </c>
      <c r="P679" s="425">
        <f>'Key inputs_Refineries'!$D$187*10^3</f>
        <v>1.5768000000000002</v>
      </c>
      <c r="Q679" s="425">
        <f>'Key inputs_Refineries'!$D$187*10^3</f>
        <v>1.5768000000000002</v>
      </c>
      <c r="R679" s="425">
        <f>'Key inputs_Refineries'!$D$187*10^3</f>
        <v>1.5768000000000002</v>
      </c>
      <c r="S679" s="425">
        <f>'Key inputs_Refineries'!$D$187*10^3</f>
        <v>1.5768000000000002</v>
      </c>
      <c r="T679" s="425">
        <f>'Key inputs_Refineries'!$D$187*10^3</f>
        <v>1.5768000000000002</v>
      </c>
      <c r="U679" s="425">
        <f>'Key inputs_Refineries'!$D$187*10^3</f>
        <v>1.5768000000000002</v>
      </c>
      <c r="V679" s="425">
        <f>'Key inputs_Refineries'!$D$187*10^3</f>
        <v>1.5768000000000002</v>
      </c>
      <c r="W679" s="425">
        <f>'Key inputs_Refineries'!$D$187*10^3</f>
        <v>1.5768000000000002</v>
      </c>
      <c r="X679" s="425">
        <f>'Key inputs_Refineries'!$D$187*10^3</f>
        <v>1.5768000000000002</v>
      </c>
      <c r="Y679" s="425">
        <f>'Key inputs_Refineries'!$D$187*10^3</f>
        <v>1.5768000000000002</v>
      </c>
      <c r="Z679" s="425">
        <f>'Key inputs_Refineries'!$D$187*10^3</f>
        <v>1.5768000000000002</v>
      </c>
      <c r="AA679" s="425">
        <f>'Key inputs_Refineries'!$D$187*10^3</f>
        <v>1.5768000000000002</v>
      </c>
      <c r="AB679" s="425">
        <f>'Key inputs_Refineries'!$D$187*10^3</f>
        <v>1.5768000000000002</v>
      </c>
      <c r="AC679" s="425">
        <f>'Key inputs_Refineries'!$D$187*10^3</f>
        <v>1.5768000000000002</v>
      </c>
      <c r="AD679" s="425">
        <f>'Key inputs_Refineries'!$D$187*10^3</f>
        <v>1.5768000000000002</v>
      </c>
      <c r="AE679" s="425">
        <f>'Key inputs_Refineries'!$D$187*10^3</f>
        <v>1.5768000000000002</v>
      </c>
      <c r="AF679" s="425">
        <f>'Key inputs_Refineries'!$D$187*10^3</f>
        <v>1.5768000000000002</v>
      </c>
      <c r="AG679" s="425">
        <f>'Key inputs_Refineries'!$D$187*10^3</f>
        <v>1.5768000000000002</v>
      </c>
      <c r="AH679" s="425">
        <f>'Key inputs_Refineries'!$D$187*10^3</f>
        <v>1.5768000000000002</v>
      </c>
      <c r="AI679" s="425">
        <f>'Key inputs_Refineries'!$D$187*10^3</f>
        <v>1.5768000000000002</v>
      </c>
      <c r="AJ679" s="425">
        <f>'Key inputs_Refineries'!$D$187*10^3</f>
        <v>1.5768000000000002</v>
      </c>
      <c r="AK679" s="425">
        <f>'Key inputs_Refineries'!$D$187*10^3</f>
        <v>1.5768000000000002</v>
      </c>
      <c r="AL679" s="425">
        <f>'Key inputs_Refineries'!$D$187*10^3</f>
        <v>1.5768000000000002</v>
      </c>
    </row>
    <row r="680" spans="1:38">
      <c r="G680" s="4" t="s">
        <v>675</v>
      </c>
      <c r="H680" s="4"/>
      <c r="I680" s="4"/>
      <c r="J680" s="4" t="s">
        <v>2662</v>
      </c>
      <c r="K680" s="338"/>
      <c r="L680" s="338"/>
      <c r="M680" s="338"/>
      <c r="N680" s="338"/>
      <c r="O680" s="338"/>
      <c r="P680" s="338"/>
      <c r="Q680" s="338"/>
      <c r="R680" s="338"/>
      <c r="S680" s="338"/>
      <c r="T680" s="338"/>
      <c r="U680" s="338"/>
      <c r="V680" s="338"/>
      <c r="W680" s="338"/>
      <c r="X680" s="338"/>
      <c r="Y680" s="338"/>
      <c r="Z680" s="338"/>
      <c r="AA680" s="338"/>
      <c r="AB680" s="338"/>
      <c r="AC680" s="338"/>
      <c r="AD680" s="338"/>
      <c r="AE680" s="338"/>
      <c r="AF680" s="338"/>
      <c r="AG680" s="338"/>
      <c r="AH680" s="338"/>
      <c r="AI680" s="338"/>
      <c r="AJ680" s="338"/>
      <c r="AK680" s="338"/>
      <c r="AL680" s="338"/>
    </row>
    <row r="681" spans="1:38">
      <c r="G681" s="4" t="s">
        <v>630</v>
      </c>
      <c r="H681" s="4"/>
      <c r="I681" s="4"/>
      <c r="J681" s="4" t="s">
        <v>2666</v>
      </c>
      <c r="K681" s="425">
        <f>'Key inputs_Refineries'!$H$187</f>
        <v>0.68</v>
      </c>
      <c r="L681" s="425">
        <f>'Key inputs_Refineries'!$H$187</f>
        <v>0.68</v>
      </c>
      <c r="M681" s="425">
        <f>'Key inputs_Refineries'!$H$187</f>
        <v>0.68</v>
      </c>
      <c r="N681" s="425">
        <f>'Key inputs_Refineries'!$H$187</f>
        <v>0.68</v>
      </c>
      <c r="O681" s="425">
        <f>'Key inputs_Refineries'!$H$187</f>
        <v>0.68</v>
      </c>
      <c r="P681" s="425">
        <f>'Key inputs_Refineries'!$H$187</f>
        <v>0.68</v>
      </c>
      <c r="Q681" s="425">
        <f>'Key inputs_Refineries'!$H$187</f>
        <v>0.68</v>
      </c>
      <c r="R681" s="425">
        <f>'Key inputs_Refineries'!$H$187</f>
        <v>0.68</v>
      </c>
      <c r="S681" s="425">
        <f>'Key inputs_Refineries'!$H$187</f>
        <v>0.68</v>
      </c>
      <c r="T681" s="425">
        <f>'Key inputs_Refineries'!$H$187</f>
        <v>0.68</v>
      </c>
      <c r="U681" s="425">
        <f>'Key inputs_Refineries'!$H$187</f>
        <v>0.68</v>
      </c>
      <c r="V681" s="425">
        <f>'Key inputs_Refineries'!$H$187</f>
        <v>0.68</v>
      </c>
      <c r="W681" s="425">
        <f>'Key inputs_Refineries'!$H$187</f>
        <v>0.68</v>
      </c>
      <c r="X681" s="425">
        <f>'Key inputs_Refineries'!$H$187</f>
        <v>0.68</v>
      </c>
      <c r="Y681" s="425">
        <f>'Key inputs_Refineries'!$H$187</f>
        <v>0.68</v>
      </c>
      <c r="Z681" s="425">
        <f>'Key inputs_Refineries'!$H$187</f>
        <v>0.68</v>
      </c>
      <c r="AA681" s="425">
        <f>'Key inputs_Refineries'!$H$187</f>
        <v>0.68</v>
      </c>
      <c r="AB681" s="425">
        <f>'Key inputs_Refineries'!$H$187</f>
        <v>0.68</v>
      </c>
      <c r="AC681" s="425">
        <f>'Key inputs_Refineries'!$H$187</f>
        <v>0.68</v>
      </c>
      <c r="AD681" s="425">
        <f>'Key inputs_Refineries'!$H$187</f>
        <v>0.68</v>
      </c>
      <c r="AE681" s="425">
        <f>'Key inputs_Refineries'!$H$187</f>
        <v>0.68</v>
      </c>
      <c r="AF681" s="425">
        <f>'Key inputs_Refineries'!$H$187</f>
        <v>0.68</v>
      </c>
      <c r="AG681" s="425">
        <f>'Key inputs_Refineries'!$H$187</f>
        <v>0.68</v>
      </c>
      <c r="AH681" s="425">
        <f>'Key inputs_Refineries'!$H$187</f>
        <v>0.68</v>
      </c>
      <c r="AI681" s="425">
        <f>'Key inputs_Refineries'!$H$187</f>
        <v>0.68</v>
      </c>
      <c r="AJ681" s="425">
        <f>'Key inputs_Refineries'!$H$187</f>
        <v>0.68</v>
      </c>
      <c r="AK681" s="425">
        <f>'Key inputs_Refineries'!$H$187</f>
        <v>0.68</v>
      </c>
      <c r="AL681" s="425">
        <f>'Key inputs_Refineries'!$H$187</f>
        <v>0.68</v>
      </c>
    </row>
    <row r="682" spans="1:38">
      <c r="C682" t="str">
        <f>Commodities!$C$86</f>
        <v>UPSCOA</v>
      </c>
      <c r="G682" s="4" t="s">
        <v>702</v>
      </c>
      <c r="H682" t="s">
        <v>661</v>
      </c>
      <c r="I682">
        <v>2019</v>
      </c>
      <c r="J682" t="s">
        <v>650</v>
      </c>
      <c r="K682" s="173">
        <v>1</v>
      </c>
      <c r="L682" s="173">
        <v>1</v>
      </c>
      <c r="M682" s="173">
        <v>1</v>
      </c>
      <c r="N682" s="173">
        <v>1</v>
      </c>
      <c r="O682" s="173">
        <v>1</v>
      </c>
      <c r="P682" s="173">
        <v>1</v>
      </c>
      <c r="Q682" s="173">
        <v>1</v>
      </c>
      <c r="R682" s="173">
        <v>1</v>
      </c>
      <c r="S682" s="173">
        <v>1</v>
      </c>
      <c r="T682" s="173">
        <v>1</v>
      </c>
      <c r="U682" s="173">
        <v>1</v>
      </c>
      <c r="V682" s="173">
        <v>1</v>
      </c>
      <c r="W682" s="173">
        <v>1</v>
      </c>
      <c r="X682" s="173">
        <v>1</v>
      </c>
      <c r="Y682" s="173">
        <v>1</v>
      </c>
      <c r="Z682" s="173">
        <v>1</v>
      </c>
      <c r="AA682" s="173">
        <v>1</v>
      </c>
      <c r="AB682" s="173">
        <v>1</v>
      </c>
      <c r="AC682" s="173">
        <v>1</v>
      </c>
      <c r="AD682" s="173">
        <v>1</v>
      </c>
      <c r="AE682" s="173">
        <v>1</v>
      </c>
      <c r="AF682" s="173">
        <v>1</v>
      </c>
      <c r="AG682" s="173">
        <v>1</v>
      </c>
      <c r="AH682" s="173">
        <v>1</v>
      </c>
      <c r="AI682" s="173">
        <v>1</v>
      </c>
      <c r="AJ682" s="173">
        <v>1</v>
      </c>
      <c r="AK682" s="173">
        <v>1</v>
      </c>
      <c r="AL682" s="173">
        <v>1</v>
      </c>
    </row>
    <row r="683" spans="1:38">
      <c r="D683" t="str">
        <f>Commodities!$C$106</f>
        <v>UREFOTH</v>
      </c>
    </row>
    <row r="684" spans="1:38">
      <c r="A684" s="4" t="str">
        <f>AO428</f>
        <v>U-TRF-OILREFOTH_ELC01</v>
      </c>
      <c r="B684" s="4" t="str">
        <f>AP428</f>
        <v>UPS Transformation: Oil refinery other processes Electricity - New</v>
      </c>
      <c r="C684" s="4"/>
      <c r="D684" s="4"/>
      <c r="E684" s="4"/>
      <c r="F684" s="4"/>
      <c r="G684" s="4" t="s">
        <v>695</v>
      </c>
      <c r="H684" s="4"/>
      <c r="I684" s="4"/>
      <c r="J684" s="4" t="s">
        <v>2665</v>
      </c>
      <c r="K684" s="333">
        <v>1</v>
      </c>
      <c r="L684" s="333">
        <v>1</v>
      </c>
      <c r="M684" s="333">
        <v>1</v>
      </c>
      <c r="N684" s="333">
        <v>1</v>
      </c>
      <c r="O684" s="333">
        <v>1</v>
      </c>
      <c r="P684" s="333">
        <v>1</v>
      </c>
      <c r="Q684" s="333">
        <v>1</v>
      </c>
      <c r="R684" s="333">
        <v>1</v>
      </c>
      <c r="S684" s="333">
        <v>1</v>
      </c>
      <c r="T684" s="333">
        <v>1</v>
      </c>
      <c r="U684" s="333">
        <v>1</v>
      </c>
      <c r="V684" s="333">
        <v>1</v>
      </c>
      <c r="W684" s="333">
        <v>1</v>
      </c>
      <c r="X684" s="333">
        <v>1</v>
      </c>
      <c r="Y684" s="333">
        <v>1</v>
      </c>
      <c r="Z684" s="333">
        <v>1</v>
      </c>
      <c r="AA684" s="333">
        <v>1</v>
      </c>
      <c r="AB684" s="333">
        <v>1</v>
      </c>
      <c r="AC684" s="333">
        <v>1</v>
      </c>
      <c r="AD684" s="333">
        <v>1</v>
      </c>
      <c r="AE684" s="333">
        <v>1</v>
      </c>
      <c r="AF684" s="333">
        <v>1</v>
      </c>
      <c r="AG684" s="333">
        <v>1</v>
      </c>
      <c r="AH684" s="333">
        <v>1</v>
      </c>
      <c r="AI684" s="333">
        <v>1</v>
      </c>
      <c r="AJ684" s="333">
        <v>1</v>
      </c>
      <c r="AK684" s="333">
        <v>1</v>
      </c>
      <c r="AL684" s="333">
        <v>1</v>
      </c>
    </row>
    <row r="685" spans="1:38">
      <c r="C685" s="4"/>
      <c r="D685" s="4"/>
      <c r="E685" s="4"/>
      <c r="F685" s="4"/>
      <c r="G685" s="4" t="s">
        <v>697</v>
      </c>
      <c r="H685" s="4"/>
      <c r="I685" s="4"/>
      <c r="J685" s="4" t="s">
        <v>698</v>
      </c>
      <c r="K685" s="424">
        <f>'Key inputs_Refineries'!$F$188</f>
        <v>15</v>
      </c>
      <c r="L685" s="424">
        <f>'Key inputs_Refineries'!$F$188</f>
        <v>15</v>
      </c>
      <c r="M685" s="424">
        <f>'Key inputs_Refineries'!$F$188</f>
        <v>15</v>
      </c>
      <c r="N685" s="424">
        <f>'Key inputs_Refineries'!$F$188</f>
        <v>15</v>
      </c>
      <c r="O685" s="424">
        <f>'Key inputs_Refineries'!$F$188</f>
        <v>15</v>
      </c>
      <c r="P685" s="424">
        <f>'Key inputs_Refineries'!$F$188</f>
        <v>15</v>
      </c>
      <c r="Q685" s="424">
        <f>'Key inputs_Refineries'!$F$188</f>
        <v>15</v>
      </c>
      <c r="R685" s="424">
        <f>'Key inputs_Refineries'!$F$188</f>
        <v>15</v>
      </c>
      <c r="S685" s="424">
        <f>'Key inputs_Refineries'!$F$188</f>
        <v>15</v>
      </c>
      <c r="T685" s="424">
        <f>'Key inputs_Refineries'!$F$188</f>
        <v>15</v>
      </c>
      <c r="U685" s="424">
        <f>'Key inputs_Refineries'!$F$188</f>
        <v>15</v>
      </c>
      <c r="V685" s="424">
        <f>'Key inputs_Refineries'!$F$188</f>
        <v>15</v>
      </c>
      <c r="W685" s="424">
        <f>'Key inputs_Refineries'!$F$188</f>
        <v>15</v>
      </c>
      <c r="X685" s="424">
        <f>'Key inputs_Refineries'!$F$188</f>
        <v>15</v>
      </c>
      <c r="Y685" s="424">
        <f>'Key inputs_Refineries'!$F$188</f>
        <v>15</v>
      </c>
      <c r="Z685" s="424">
        <f>'Key inputs_Refineries'!$F$188</f>
        <v>15</v>
      </c>
      <c r="AA685" s="424">
        <f>'Key inputs_Refineries'!$F$188</f>
        <v>15</v>
      </c>
      <c r="AB685" s="424">
        <f>'Key inputs_Refineries'!$F$188</f>
        <v>15</v>
      </c>
      <c r="AC685" s="424">
        <f>'Key inputs_Refineries'!$F$188</f>
        <v>15</v>
      </c>
      <c r="AD685" s="424">
        <f>'Key inputs_Refineries'!$F$188</f>
        <v>15</v>
      </c>
      <c r="AE685" s="424">
        <f>'Key inputs_Refineries'!$F$188</f>
        <v>15</v>
      </c>
      <c r="AF685" s="424">
        <f>'Key inputs_Refineries'!$F$188</f>
        <v>15</v>
      </c>
      <c r="AG685" s="424">
        <f>'Key inputs_Refineries'!$F$188</f>
        <v>15</v>
      </c>
      <c r="AH685" s="424">
        <f>'Key inputs_Refineries'!$F$188</f>
        <v>15</v>
      </c>
      <c r="AI685" s="424">
        <f>'Key inputs_Refineries'!$F$188</f>
        <v>15</v>
      </c>
      <c r="AJ685" s="424">
        <f>'Key inputs_Refineries'!$F$188</f>
        <v>15</v>
      </c>
      <c r="AK685" s="424">
        <f>'Key inputs_Refineries'!$F$188</f>
        <v>15</v>
      </c>
      <c r="AL685" s="424">
        <f>'Key inputs_Refineries'!$F$188</f>
        <v>15</v>
      </c>
    </row>
    <row r="686" spans="1:38">
      <c r="C686" s="4"/>
      <c r="D686" s="4"/>
      <c r="E686" s="4"/>
      <c r="F686" s="4"/>
      <c r="G686" s="4" t="s">
        <v>707</v>
      </c>
      <c r="H686" s="4"/>
      <c r="I686" s="4"/>
      <c r="J686" s="4" t="s">
        <v>2669</v>
      </c>
      <c r="K686" s="347">
        <v>2020</v>
      </c>
      <c r="L686" s="347">
        <v>2020</v>
      </c>
      <c r="M686" s="347">
        <v>2020</v>
      </c>
      <c r="N686" s="347">
        <v>2020</v>
      </c>
      <c r="O686" s="347">
        <v>2020</v>
      </c>
      <c r="P686" s="347">
        <v>2020</v>
      </c>
      <c r="Q686" s="347">
        <v>2020</v>
      </c>
      <c r="R686" s="347">
        <v>2020</v>
      </c>
      <c r="S686" s="347">
        <v>2020</v>
      </c>
      <c r="T686" s="347">
        <v>2020</v>
      </c>
      <c r="U686" s="347">
        <v>2020</v>
      </c>
      <c r="V686" s="347">
        <v>2020</v>
      </c>
      <c r="W686" s="347">
        <v>2020</v>
      </c>
      <c r="X686" s="347">
        <v>2020</v>
      </c>
      <c r="Y686" s="347">
        <v>2020</v>
      </c>
      <c r="Z686" s="347">
        <v>2020</v>
      </c>
      <c r="AA686" s="347">
        <v>2020</v>
      </c>
      <c r="AB686" s="347">
        <v>2020</v>
      </c>
      <c r="AC686" s="347">
        <v>2020</v>
      </c>
      <c r="AD686" s="347">
        <v>2020</v>
      </c>
      <c r="AE686" s="347">
        <v>2020</v>
      </c>
      <c r="AF686" s="347">
        <v>2020</v>
      </c>
      <c r="AG686" s="347">
        <v>2020</v>
      </c>
      <c r="AH686" s="347">
        <v>2020</v>
      </c>
      <c r="AI686" s="347">
        <v>2020</v>
      </c>
      <c r="AJ686" s="347">
        <v>2020</v>
      </c>
      <c r="AK686" s="347">
        <v>2020</v>
      </c>
      <c r="AL686" s="347">
        <v>2020</v>
      </c>
    </row>
    <row r="687" spans="1:38">
      <c r="G687" s="4" t="s">
        <v>701</v>
      </c>
      <c r="H687" s="4" t="s">
        <v>661</v>
      </c>
      <c r="I687" s="4">
        <v>2019</v>
      </c>
      <c r="J687" s="4" t="s">
        <v>112</v>
      </c>
      <c r="K687" s="333"/>
      <c r="L687" s="333"/>
      <c r="M687" s="333"/>
      <c r="N687" s="333"/>
      <c r="O687" s="333"/>
      <c r="P687" s="333"/>
      <c r="Q687" s="333"/>
      <c r="R687" s="333"/>
      <c r="S687" s="333"/>
      <c r="T687" s="333"/>
      <c r="U687" s="333"/>
      <c r="V687" s="333"/>
      <c r="W687" s="333"/>
      <c r="X687" s="333"/>
      <c r="Y687" s="333"/>
      <c r="Z687" s="333"/>
      <c r="AA687" s="333"/>
      <c r="AB687" s="333"/>
      <c r="AC687" s="333"/>
      <c r="AD687" s="333"/>
      <c r="AE687" s="333"/>
      <c r="AF687" s="333"/>
      <c r="AG687" s="333"/>
      <c r="AH687" s="333"/>
      <c r="AI687" s="333"/>
      <c r="AJ687" s="333"/>
      <c r="AK687" s="333"/>
      <c r="AL687" s="333"/>
    </row>
    <row r="688" spans="1:38">
      <c r="G688" s="4" t="s">
        <v>701</v>
      </c>
      <c r="H688" s="4" t="s">
        <v>661</v>
      </c>
      <c r="I688" s="4">
        <v>2060</v>
      </c>
      <c r="J688" s="4" t="s">
        <v>112</v>
      </c>
      <c r="K688" s="333"/>
      <c r="L688" s="333"/>
      <c r="M688" s="333"/>
      <c r="N688" s="333"/>
      <c r="O688" s="333"/>
      <c r="P688" s="333"/>
      <c r="Q688" s="333"/>
      <c r="R688" s="333"/>
      <c r="S688" s="333"/>
      <c r="T688" s="333"/>
      <c r="U688" s="333"/>
      <c r="V688" s="333"/>
      <c r="W688" s="333"/>
      <c r="X688" s="333"/>
      <c r="Y688" s="333"/>
      <c r="Z688" s="333"/>
      <c r="AA688" s="333"/>
      <c r="AB688" s="333"/>
      <c r="AC688" s="333"/>
      <c r="AD688" s="333"/>
      <c r="AE688" s="333"/>
      <c r="AF688" s="333"/>
      <c r="AG688" s="333"/>
      <c r="AH688" s="333"/>
      <c r="AI688" s="333"/>
      <c r="AJ688" s="333"/>
      <c r="AK688" s="333"/>
      <c r="AL688" s="333"/>
    </row>
    <row r="689" spans="1:45">
      <c r="G689" s="4" t="s">
        <v>701</v>
      </c>
      <c r="H689" s="4" t="s">
        <v>661</v>
      </c>
      <c r="I689" s="4">
        <v>0</v>
      </c>
      <c r="J689" s="4"/>
      <c r="K689" s="333"/>
      <c r="L689" s="333"/>
      <c r="M689" s="333"/>
      <c r="N689" s="333"/>
      <c r="O689" s="333"/>
      <c r="P689" s="333"/>
      <c r="Q689" s="333"/>
      <c r="R689" s="333"/>
      <c r="S689" s="333"/>
      <c r="T689" s="333"/>
      <c r="U689" s="333"/>
      <c r="V689" s="333"/>
      <c r="W689" s="333"/>
      <c r="X689" s="333"/>
      <c r="Y689" s="333"/>
      <c r="Z689" s="333"/>
      <c r="AA689" s="333"/>
      <c r="AB689" s="333"/>
      <c r="AC689" s="333"/>
      <c r="AD689" s="333"/>
      <c r="AE689" s="333"/>
      <c r="AF689" s="333"/>
      <c r="AG689" s="333"/>
      <c r="AH689" s="333"/>
      <c r="AI689" s="333"/>
      <c r="AJ689" s="333"/>
      <c r="AK689" s="333"/>
      <c r="AL689" s="333"/>
    </row>
    <row r="690" spans="1:45">
      <c r="G690" s="4" t="s">
        <v>687</v>
      </c>
      <c r="H690" s="4"/>
      <c r="I690" s="4"/>
      <c r="J690" s="4" t="s">
        <v>2663</v>
      </c>
      <c r="K690" s="425">
        <f>'Key inputs_Refineries'!$C$188*10^3</f>
        <v>94.608000000000018</v>
      </c>
      <c r="L690" s="425">
        <f>'Key inputs_Refineries'!$C$188*10^3</f>
        <v>94.608000000000018</v>
      </c>
      <c r="M690" s="425">
        <f>'Key inputs_Refineries'!$C$188*10^3</f>
        <v>94.608000000000018</v>
      </c>
      <c r="N690" s="425">
        <f>'Key inputs_Refineries'!$C$188*10^3</f>
        <v>94.608000000000018</v>
      </c>
      <c r="O690" s="425">
        <f>'Key inputs_Refineries'!$C$188*10^3</f>
        <v>94.608000000000018</v>
      </c>
      <c r="P690" s="425">
        <f>'Key inputs_Refineries'!$C$188*10^3</f>
        <v>94.608000000000018</v>
      </c>
      <c r="Q690" s="425">
        <f>'Key inputs_Refineries'!$C$188*10^3</f>
        <v>94.608000000000018</v>
      </c>
      <c r="R690" s="425">
        <f>'Key inputs_Refineries'!$C$188*10^3</f>
        <v>94.608000000000018</v>
      </c>
      <c r="S690" s="425">
        <f>'Key inputs_Refineries'!$C$188*10^3</f>
        <v>94.608000000000018</v>
      </c>
      <c r="T690" s="425">
        <f>'Key inputs_Refineries'!$C$188*10^3</f>
        <v>94.608000000000018</v>
      </c>
      <c r="U690" s="425">
        <f>'Key inputs_Refineries'!$C$188*10^3</f>
        <v>94.608000000000018</v>
      </c>
      <c r="V690" s="425">
        <f>'Key inputs_Refineries'!$C$188*10^3</f>
        <v>94.608000000000018</v>
      </c>
      <c r="W690" s="425">
        <f>'Key inputs_Refineries'!$C$188*10^3</f>
        <v>94.608000000000018</v>
      </c>
      <c r="X690" s="425">
        <f>'Key inputs_Refineries'!$C$188*10^3</f>
        <v>94.608000000000018</v>
      </c>
      <c r="Y690" s="425">
        <f>'Key inputs_Refineries'!$C$188*10^3</f>
        <v>94.608000000000018</v>
      </c>
      <c r="Z690" s="425">
        <f>'Key inputs_Refineries'!$C$188*10^3</f>
        <v>94.608000000000018</v>
      </c>
      <c r="AA690" s="425">
        <f>'Key inputs_Refineries'!$C$188*10^3</f>
        <v>94.608000000000018</v>
      </c>
      <c r="AB690" s="425">
        <f>'Key inputs_Refineries'!$C$188*10^3</f>
        <v>94.608000000000018</v>
      </c>
      <c r="AC690" s="425">
        <f>'Key inputs_Refineries'!$C$188*10^3</f>
        <v>94.608000000000018</v>
      </c>
      <c r="AD690" s="425">
        <f>'Key inputs_Refineries'!$C$188*10^3</f>
        <v>94.608000000000018</v>
      </c>
      <c r="AE690" s="425">
        <f>'Key inputs_Refineries'!$C$188*10^3</f>
        <v>94.608000000000018</v>
      </c>
      <c r="AF690" s="425">
        <f>'Key inputs_Refineries'!$C$188*10^3</f>
        <v>94.608000000000018</v>
      </c>
      <c r="AG690" s="425">
        <f>'Key inputs_Refineries'!$C$188*10^3</f>
        <v>94.608000000000018</v>
      </c>
      <c r="AH690" s="425">
        <f>'Key inputs_Refineries'!$C$188*10^3</f>
        <v>94.608000000000018</v>
      </c>
      <c r="AI690" s="425">
        <f>'Key inputs_Refineries'!$C$188*10^3</f>
        <v>94.608000000000018</v>
      </c>
      <c r="AJ690" s="425">
        <f>'Key inputs_Refineries'!$C$188*10^3</f>
        <v>94.608000000000018</v>
      </c>
      <c r="AK690" s="425">
        <f>'Key inputs_Refineries'!$C$188*10^3</f>
        <v>94.608000000000018</v>
      </c>
      <c r="AL690" s="425">
        <f>'Key inputs_Refineries'!$C$188*10^3</f>
        <v>94.608000000000018</v>
      </c>
    </row>
    <row r="691" spans="1:45">
      <c r="G691" s="4" t="s">
        <v>689</v>
      </c>
      <c r="H691" s="4"/>
      <c r="I691" s="4"/>
      <c r="J691" s="4" t="s">
        <v>2663</v>
      </c>
      <c r="K691" s="425">
        <f>'Key inputs_Refineries'!$D$188*10^3</f>
        <v>0.94608000000000003</v>
      </c>
      <c r="L691" s="425">
        <f>'Key inputs_Refineries'!$D$188*10^3</f>
        <v>0.94608000000000003</v>
      </c>
      <c r="M691" s="425">
        <f>'Key inputs_Refineries'!$D$188*10^3</f>
        <v>0.94608000000000003</v>
      </c>
      <c r="N691" s="425">
        <f>'Key inputs_Refineries'!$D$188*10^3</f>
        <v>0.94608000000000003</v>
      </c>
      <c r="O691" s="425">
        <f>'Key inputs_Refineries'!$D$188*10^3</f>
        <v>0.94608000000000003</v>
      </c>
      <c r="P691" s="425">
        <f>'Key inputs_Refineries'!$D$188*10^3</f>
        <v>0.94608000000000003</v>
      </c>
      <c r="Q691" s="425">
        <f>'Key inputs_Refineries'!$D$188*10^3</f>
        <v>0.94608000000000003</v>
      </c>
      <c r="R691" s="425">
        <f>'Key inputs_Refineries'!$D$188*10^3</f>
        <v>0.94608000000000003</v>
      </c>
      <c r="S691" s="425">
        <f>'Key inputs_Refineries'!$D$188*10^3</f>
        <v>0.94608000000000003</v>
      </c>
      <c r="T691" s="425">
        <f>'Key inputs_Refineries'!$D$188*10^3</f>
        <v>0.94608000000000003</v>
      </c>
      <c r="U691" s="425">
        <f>'Key inputs_Refineries'!$D$188*10^3</f>
        <v>0.94608000000000003</v>
      </c>
      <c r="V691" s="425">
        <f>'Key inputs_Refineries'!$D$188*10^3</f>
        <v>0.94608000000000003</v>
      </c>
      <c r="W691" s="425">
        <f>'Key inputs_Refineries'!$D$188*10^3</f>
        <v>0.94608000000000003</v>
      </c>
      <c r="X691" s="425">
        <f>'Key inputs_Refineries'!$D$188*10^3</f>
        <v>0.94608000000000003</v>
      </c>
      <c r="Y691" s="425">
        <f>'Key inputs_Refineries'!$D$188*10^3</f>
        <v>0.94608000000000003</v>
      </c>
      <c r="Z691" s="425">
        <f>'Key inputs_Refineries'!$D$188*10^3</f>
        <v>0.94608000000000003</v>
      </c>
      <c r="AA691" s="425">
        <f>'Key inputs_Refineries'!$D$188*10^3</f>
        <v>0.94608000000000003</v>
      </c>
      <c r="AB691" s="425">
        <f>'Key inputs_Refineries'!$D$188*10^3</f>
        <v>0.94608000000000003</v>
      </c>
      <c r="AC691" s="425">
        <f>'Key inputs_Refineries'!$D$188*10^3</f>
        <v>0.94608000000000003</v>
      </c>
      <c r="AD691" s="425">
        <f>'Key inputs_Refineries'!$D$188*10^3</f>
        <v>0.94608000000000003</v>
      </c>
      <c r="AE691" s="425">
        <f>'Key inputs_Refineries'!$D$188*10^3</f>
        <v>0.94608000000000003</v>
      </c>
      <c r="AF691" s="425">
        <f>'Key inputs_Refineries'!$D$188*10^3</f>
        <v>0.94608000000000003</v>
      </c>
      <c r="AG691" s="425">
        <f>'Key inputs_Refineries'!$D$188*10^3</f>
        <v>0.94608000000000003</v>
      </c>
      <c r="AH691" s="425">
        <f>'Key inputs_Refineries'!$D$188*10^3</f>
        <v>0.94608000000000003</v>
      </c>
      <c r="AI691" s="425">
        <f>'Key inputs_Refineries'!$D$188*10^3</f>
        <v>0.94608000000000003</v>
      </c>
      <c r="AJ691" s="425">
        <f>'Key inputs_Refineries'!$D$188*10^3</f>
        <v>0.94608000000000003</v>
      </c>
      <c r="AK691" s="425">
        <f>'Key inputs_Refineries'!$D$188*10^3</f>
        <v>0.94608000000000003</v>
      </c>
      <c r="AL691" s="425">
        <f>'Key inputs_Refineries'!$D$188*10^3</f>
        <v>0.94608000000000003</v>
      </c>
    </row>
    <row r="692" spans="1:45">
      <c r="G692" s="4" t="s">
        <v>675</v>
      </c>
      <c r="H692" s="4"/>
      <c r="I692" s="4"/>
      <c r="J692" s="4" t="s">
        <v>2662</v>
      </c>
      <c r="K692" s="338"/>
      <c r="L692" s="338"/>
      <c r="M692" s="338"/>
      <c r="N692" s="338"/>
      <c r="O692" s="338"/>
      <c r="P692" s="338"/>
      <c r="Q692" s="338"/>
      <c r="R692" s="338"/>
      <c r="S692" s="338"/>
      <c r="T692" s="338"/>
      <c r="U692" s="338"/>
      <c r="V692" s="338"/>
      <c r="W692" s="338"/>
      <c r="X692" s="338"/>
      <c r="Y692" s="338"/>
      <c r="Z692" s="338"/>
      <c r="AA692" s="338"/>
      <c r="AB692" s="338"/>
      <c r="AC692" s="338"/>
      <c r="AD692" s="338"/>
      <c r="AE692" s="338"/>
      <c r="AF692" s="338"/>
      <c r="AG692" s="338"/>
      <c r="AH692" s="338"/>
      <c r="AI692" s="338"/>
      <c r="AJ692" s="338"/>
      <c r="AK692" s="338"/>
      <c r="AL692" s="338"/>
    </row>
    <row r="693" spans="1:45">
      <c r="G693" s="4" t="s">
        <v>630</v>
      </c>
      <c r="H693" s="4"/>
      <c r="I693" s="4"/>
      <c r="J693" s="4" t="s">
        <v>2666</v>
      </c>
      <c r="K693" s="425">
        <f>'Key inputs_Refineries'!$H$188</f>
        <v>0.85</v>
      </c>
      <c r="L693" s="425">
        <f>'Key inputs_Refineries'!$H$188</f>
        <v>0.85</v>
      </c>
      <c r="M693" s="425">
        <f>'Key inputs_Refineries'!$H$188</f>
        <v>0.85</v>
      </c>
      <c r="N693" s="425">
        <f>'Key inputs_Refineries'!$H$188</f>
        <v>0.85</v>
      </c>
      <c r="O693" s="425">
        <f>'Key inputs_Refineries'!$H$188</f>
        <v>0.85</v>
      </c>
      <c r="P693" s="425">
        <f>'Key inputs_Refineries'!$H$188</f>
        <v>0.85</v>
      </c>
      <c r="Q693" s="425">
        <f>'Key inputs_Refineries'!$H$188</f>
        <v>0.85</v>
      </c>
      <c r="R693" s="425">
        <f>'Key inputs_Refineries'!$H$188</f>
        <v>0.85</v>
      </c>
      <c r="S693" s="425">
        <f>'Key inputs_Refineries'!$H$188</f>
        <v>0.85</v>
      </c>
      <c r="T693" s="425">
        <f>'Key inputs_Refineries'!$H$188</f>
        <v>0.85</v>
      </c>
      <c r="U693" s="425">
        <f>'Key inputs_Refineries'!$H$188</f>
        <v>0.85</v>
      </c>
      <c r="V693" s="425">
        <f>'Key inputs_Refineries'!$H$188</f>
        <v>0.85</v>
      </c>
      <c r="W693" s="425">
        <f>'Key inputs_Refineries'!$H$188</f>
        <v>0.85</v>
      </c>
      <c r="X693" s="425">
        <f>'Key inputs_Refineries'!$H$188</f>
        <v>0.85</v>
      </c>
      <c r="Y693" s="425">
        <f>'Key inputs_Refineries'!$H$188</f>
        <v>0.85</v>
      </c>
      <c r="Z693" s="425">
        <f>'Key inputs_Refineries'!$H$188</f>
        <v>0.85</v>
      </c>
      <c r="AA693" s="425">
        <f>'Key inputs_Refineries'!$H$188</f>
        <v>0.85</v>
      </c>
      <c r="AB693" s="425">
        <f>'Key inputs_Refineries'!$H$188</f>
        <v>0.85</v>
      </c>
      <c r="AC693" s="425">
        <f>'Key inputs_Refineries'!$H$188</f>
        <v>0.85</v>
      </c>
      <c r="AD693" s="425">
        <f>'Key inputs_Refineries'!$H$188</f>
        <v>0.85</v>
      </c>
      <c r="AE693" s="425">
        <f>'Key inputs_Refineries'!$H$188</f>
        <v>0.85</v>
      </c>
      <c r="AF693" s="425">
        <f>'Key inputs_Refineries'!$H$188</f>
        <v>0.85</v>
      </c>
      <c r="AG693" s="425">
        <f>'Key inputs_Refineries'!$H$188</f>
        <v>0.85</v>
      </c>
      <c r="AH693" s="425">
        <f>'Key inputs_Refineries'!$H$188</f>
        <v>0.85</v>
      </c>
      <c r="AI693" s="425">
        <f>'Key inputs_Refineries'!$H$188</f>
        <v>0.85</v>
      </c>
      <c r="AJ693" s="425">
        <f>'Key inputs_Refineries'!$H$188</f>
        <v>0.85</v>
      </c>
      <c r="AK693" s="425">
        <f>'Key inputs_Refineries'!$H$188</f>
        <v>0.85</v>
      </c>
      <c r="AL693" s="425">
        <f>'Key inputs_Refineries'!$H$188</f>
        <v>0.85</v>
      </c>
    </row>
    <row r="694" spans="1:45">
      <c r="C694" t="str">
        <f>Commodities!$C$91</f>
        <v>UPSELC</v>
      </c>
      <c r="G694" s="4" t="s">
        <v>702</v>
      </c>
      <c r="H694" t="s">
        <v>661</v>
      </c>
      <c r="I694">
        <v>2019</v>
      </c>
      <c r="J694" t="s">
        <v>650</v>
      </c>
      <c r="K694" s="173">
        <v>1</v>
      </c>
      <c r="L694" s="173">
        <v>1</v>
      </c>
      <c r="M694" s="173">
        <v>1</v>
      </c>
      <c r="N694" s="173">
        <v>1</v>
      </c>
      <c r="O694" s="173">
        <v>1</v>
      </c>
      <c r="P694" s="173">
        <v>1</v>
      </c>
      <c r="Q694" s="173">
        <v>1</v>
      </c>
      <c r="R694" s="173">
        <v>1</v>
      </c>
      <c r="S694" s="173">
        <v>1</v>
      </c>
      <c r="T694" s="173">
        <v>1</v>
      </c>
      <c r="U694" s="173">
        <v>1</v>
      </c>
      <c r="V694" s="173">
        <v>1</v>
      </c>
      <c r="W694" s="173">
        <v>1</v>
      </c>
      <c r="X694" s="173">
        <v>1</v>
      </c>
      <c r="Y694" s="173">
        <v>1</v>
      </c>
      <c r="Z694" s="173">
        <v>1</v>
      </c>
      <c r="AA694" s="173">
        <v>1</v>
      </c>
      <c r="AB694" s="173">
        <v>1</v>
      </c>
      <c r="AC694" s="173">
        <v>1</v>
      </c>
      <c r="AD694" s="173">
        <v>1</v>
      </c>
      <c r="AE694" s="173">
        <v>1</v>
      </c>
      <c r="AF694" s="173">
        <v>1</v>
      </c>
      <c r="AG694" s="173">
        <v>1</v>
      </c>
      <c r="AH694" s="173">
        <v>1</v>
      </c>
      <c r="AI694" s="173">
        <v>1</v>
      </c>
      <c r="AJ694" s="173">
        <v>1</v>
      </c>
      <c r="AK694" s="173">
        <v>1</v>
      </c>
      <c r="AL694" s="173">
        <v>1</v>
      </c>
    </row>
    <row r="695" spans="1:45">
      <c r="D695" t="str">
        <f>Commodities!$C$106</f>
        <v>UREFOTH</v>
      </c>
    </row>
    <row r="696" spans="1:45">
      <c r="A696" s="4" t="str">
        <f>AO429</f>
        <v>U-TRF-OILREFOTH_HET01</v>
      </c>
      <c r="B696" s="4" t="str">
        <f>AP429</f>
        <v>UPS Transformation: Oil refinery other processes Heat - New</v>
      </c>
      <c r="C696" s="4"/>
      <c r="D696" s="4"/>
      <c r="E696" s="4"/>
      <c r="F696" s="4"/>
      <c r="G696" s="4" t="s">
        <v>695</v>
      </c>
      <c r="H696" s="4"/>
      <c r="I696" s="4"/>
      <c r="J696" s="4" t="s">
        <v>2665</v>
      </c>
      <c r="K696" s="333">
        <v>1</v>
      </c>
      <c r="L696" s="333">
        <v>1</v>
      </c>
      <c r="M696" s="333">
        <v>1</v>
      </c>
      <c r="N696" s="333">
        <v>1</v>
      </c>
      <c r="O696" s="333">
        <v>1</v>
      </c>
      <c r="P696" s="333">
        <v>1</v>
      </c>
      <c r="Q696" s="333">
        <v>1</v>
      </c>
      <c r="R696" s="333">
        <v>1</v>
      </c>
      <c r="S696" s="333">
        <v>1</v>
      </c>
      <c r="T696" s="333">
        <v>1</v>
      </c>
      <c r="U696" s="333">
        <v>1</v>
      </c>
      <c r="V696" s="333">
        <v>1</v>
      </c>
      <c r="W696" s="333">
        <v>1</v>
      </c>
      <c r="X696" s="333">
        <v>1</v>
      </c>
      <c r="Y696" s="333">
        <v>1</v>
      </c>
      <c r="Z696" s="333">
        <v>1</v>
      </c>
      <c r="AA696" s="333">
        <v>1</v>
      </c>
      <c r="AB696" s="333">
        <v>1</v>
      </c>
      <c r="AC696" s="333">
        <v>1</v>
      </c>
      <c r="AD696" s="333">
        <v>1</v>
      </c>
      <c r="AE696" s="333">
        <v>1</v>
      </c>
      <c r="AF696" s="333">
        <v>1</v>
      </c>
      <c r="AG696" s="333">
        <v>1</v>
      </c>
      <c r="AH696" s="333">
        <v>1</v>
      </c>
      <c r="AI696" s="333">
        <v>1</v>
      </c>
      <c r="AJ696" s="333">
        <v>1</v>
      </c>
      <c r="AK696" s="333">
        <v>1</v>
      </c>
      <c r="AL696" s="333">
        <v>1</v>
      </c>
    </row>
    <row r="697" spans="1:45">
      <c r="C697" s="4"/>
      <c r="D697" s="4"/>
      <c r="E697" s="4"/>
      <c r="F697" s="4"/>
      <c r="G697" s="4" t="s">
        <v>697</v>
      </c>
      <c r="H697" s="4"/>
      <c r="I697" s="4"/>
      <c r="J697" s="4" t="s">
        <v>698</v>
      </c>
      <c r="K697" s="424">
        <f>'Key inputs_Refineries'!$F$189</f>
        <v>15</v>
      </c>
      <c r="L697" s="424">
        <f>'Key inputs_Refineries'!$F$189</f>
        <v>15</v>
      </c>
      <c r="M697" s="424">
        <f>'Key inputs_Refineries'!$F$189</f>
        <v>15</v>
      </c>
      <c r="N697" s="424">
        <f>'Key inputs_Refineries'!$F$189</f>
        <v>15</v>
      </c>
      <c r="O697" s="424">
        <f>'Key inputs_Refineries'!$F$189</f>
        <v>15</v>
      </c>
      <c r="P697" s="424">
        <f>'Key inputs_Refineries'!$F$189</f>
        <v>15</v>
      </c>
      <c r="Q697" s="424">
        <f>'Key inputs_Refineries'!$F$189</f>
        <v>15</v>
      </c>
      <c r="R697" s="424">
        <f>'Key inputs_Refineries'!$F$189</f>
        <v>15</v>
      </c>
      <c r="S697" s="424">
        <f>'Key inputs_Refineries'!$F$189</f>
        <v>15</v>
      </c>
      <c r="T697" s="424">
        <f>'Key inputs_Refineries'!$F$189</f>
        <v>15</v>
      </c>
      <c r="U697" s="424">
        <f>'Key inputs_Refineries'!$F$189</f>
        <v>15</v>
      </c>
      <c r="V697" s="424">
        <f>'Key inputs_Refineries'!$F$189</f>
        <v>15</v>
      </c>
      <c r="W697" s="424">
        <f>'Key inputs_Refineries'!$F$189</f>
        <v>15</v>
      </c>
      <c r="X697" s="424">
        <f>'Key inputs_Refineries'!$F$189</f>
        <v>15</v>
      </c>
      <c r="Y697" s="424">
        <f>'Key inputs_Refineries'!$F$189</f>
        <v>15</v>
      </c>
      <c r="Z697" s="424">
        <f>'Key inputs_Refineries'!$F$189</f>
        <v>15</v>
      </c>
      <c r="AA697" s="424">
        <f>'Key inputs_Refineries'!$F$189</f>
        <v>15</v>
      </c>
      <c r="AB697" s="424">
        <f>'Key inputs_Refineries'!$F$189</f>
        <v>15</v>
      </c>
      <c r="AC697" s="424">
        <f>'Key inputs_Refineries'!$F$189</f>
        <v>15</v>
      </c>
      <c r="AD697" s="424">
        <f>'Key inputs_Refineries'!$F$189</f>
        <v>15</v>
      </c>
      <c r="AE697" s="424">
        <f>'Key inputs_Refineries'!$F$189</f>
        <v>15</v>
      </c>
      <c r="AF697" s="424">
        <f>'Key inputs_Refineries'!$F$189</f>
        <v>15</v>
      </c>
      <c r="AG697" s="424">
        <f>'Key inputs_Refineries'!$F$189</f>
        <v>15</v>
      </c>
      <c r="AH697" s="424">
        <f>'Key inputs_Refineries'!$F$189</f>
        <v>15</v>
      </c>
      <c r="AI697" s="424">
        <f>'Key inputs_Refineries'!$F$189</f>
        <v>15</v>
      </c>
      <c r="AJ697" s="424">
        <f>'Key inputs_Refineries'!$F$189</f>
        <v>15</v>
      </c>
      <c r="AK697" s="424">
        <f>'Key inputs_Refineries'!$F$189</f>
        <v>15</v>
      </c>
      <c r="AL697" s="424">
        <f>'Key inputs_Refineries'!$F$189</f>
        <v>15</v>
      </c>
    </row>
    <row r="698" spans="1:45">
      <c r="A698" s="4"/>
      <c r="B698" s="4"/>
      <c r="C698" s="4"/>
      <c r="D698" s="4"/>
      <c r="E698" s="4"/>
      <c r="F698" s="4"/>
      <c r="G698" s="4" t="s">
        <v>707</v>
      </c>
      <c r="H698" s="4"/>
      <c r="I698" s="4"/>
      <c r="J698" s="4" t="s">
        <v>2669</v>
      </c>
      <c r="K698" s="347">
        <v>2020</v>
      </c>
      <c r="L698" s="347">
        <v>2020</v>
      </c>
      <c r="M698" s="347">
        <v>2020</v>
      </c>
      <c r="N698" s="347">
        <v>2020</v>
      </c>
      <c r="O698" s="347">
        <v>2020</v>
      </c>
      <c r="P698" s="347">
        <v>2020</v>
      </c>
      <c r="Q698" s="347">
        <v>2020</v>
      </c>
      <c r="R698" s="347">
        <v>2020</v>
      </c>
      <c r="S698" s="347">
        <v>2020</v>
      </c>
      <c r="T698" s="347">
        <v>2020</v>
      </c>
      <c r="U698" s="347">
        <v>2020</v>
      </c>
      <c r="V698" s="347">
        <v>2020</v>
      </c>
      <c r="W698" s="347">
        <v>2020</v>
      </c>
      <c r="X698" s="347">
        <v>2020</v>
      </c>
      <c r="Y698" s="347">
        <v>2020</v>
      </c>
      <c r="Z698" s="347">
        <v>2020</v>
      </c>
      <c r="AA698" s="347">
        <v>2020</v>
      </c>
      <c r="AB698" s="347">
        <v>2020</v>
      </c>
      <c r="AC698" s="347">
        <v>2020</v>
      </c>
      <c r="AD698" s="347">
        <v>2020</v>
      </c>
      <c r="AE698" s="347">
        <v>2020</v>
      </c>
      <c r="AF698" s="347">
        <v>2020</v>
      </c>
      <c r="AG698" s="347">
        <v>2020</v>
      </c>
      <c r="AH698" s="347">
        <v>2020</v>
      </c>
      <c r="AI698" s="347">
        <v>2020</v>
      </c>
      <c r="AJ698" s="347">
        <v>2020</v>
      </c>
      <c r="AK698" s="347">
        <v>2020</v>
      </c>
      <c r="AL698" s="347">
        <v>2020</v>
      </c>
      <c r="AN698" s="353"/>
      <c r="AO698" s="353"/>
      <c r="AP698" s="353"/>
      <c r="AQ698" s="353"/>
      <c r="AR698" s="353"/>
      <c r="AS698" s="353"/>
    </row>
    <row r="699" spans="1:45">
      <c r="G699" s="4" t="s">
        <v>701</v>
      </c>
      <c r="H699" s="4" t="s">
        <v>661</v>
      </c>
      <c r="I699" s="4">
        <v>2019</v>
      </c>
      <c r="J699" s="4" t="s">
        <v>112</v>
      </c>
      <c r="K699" s="333"/>
      <c r="L699" s="333"/>
      <c r="M699" s="333"/>
      <c r="N699" s="333"/>
      <c r="O699" s="333"/>
      <c r="P699" s="333"/>
      <c r="Q699" s="333"/>
      <c r="R699" s="333"/>
      <c r="S699" s="333"/>
      <c r="T699" s="333"/>
      <c r="U699" s="333"/>
      <c r="V699" s="333"/>
      <c r="W699" s="333"/>
      <c r="X699" s="333"/>
      <c r="Y699" s="333"/>
      <c r="Z699" s="333"/>
      <c r="AA699" s="333"/>
      <c r="AB699" s="333"/>
      <c r="AC699" s="333"/>
      <c r="AD699" s="333"/>
      <c r="AE699" s="333"/>
      <c r="AF699" s="333"/>
      <c r="AG699" s="333"/>
      <c r="AH699" s="333"/>
      <c r="AI699" s="333"/>
      <c r="AJ699" s="333"/>
      <c r="AK699" s="333"/>
      <c r="AL699" s="333"/>
      <c r="AN699" s="4"/>
      <c r="AQ699" s="4"/>
      <c r="AR699" s="4"/>
      <c r="AS699" s="4"/>
    </row>
    <row r="700" spans="1:45">
      <c r="G700" s="4" t="s">
        <v>701</v>
      </c>
      <c r="H700" s="4" t="s">
        <v>661</v>
      </c>
      <c r="I700" s="4">
        <v>2060</v>
      </c>
      <c r="J700" s="4" t="s">
        <v>112</v>
      </c>
      <c r="K700" s="333"/>
      <c r="L700" s="333"/>
      <c r="M700" s="333"/>
      <c r="N700" s="333"/>
      <c r="O700" s="333"/>
      <c r="P700" s="333"/>
      <c r="Q700" s="333"/>
      <c r="R700" s="333"/>
      <c r="S700" s="333"/>
      <c r="T700" s="333"/>
      <c r="U700" s="333"/>
      <c r="V700" s="333"/>
      <c r="W700" s="333"/>
      <c r="X700" s="333"/>
      <c r="Y700" s="333"/>
      <c r="Z700" s="333"/>
      <c r="AA700" s="333"/>
      <c r="AB700" s="333"/>
      <c r="AC700" s="333"/>
      <c r="AD700" s="333"/>
      <c r="AE700" s="333"/>
      <c r="AF700" s="333"/>
      <c r="AG700" s="333"/>
      <c r="AH700" s="333"/>
      <c r="AI700" s="333"/>
      <c r="AJ700" s="333"/>
      <c r="AK700" s="333"/>
      <c r="AL700" s="333"/>
      <c r="AN700" s="4"/>
      <c r="AQ700" s="4"/>
      <c r="AR700" s="4"/>
      <c r="AS700" s="4"/>
    </row>
    <row r="701" spans="1:45">
      <c r="G701" s="4" t="s">
        <v>701</v>
      </c>
      <c r="H701" s="4" t="s">
        <v>661</v>
      </c>
      <c r="I701" s="4">
        <v>0</v>
      </c>
      <c r="J701" s="4"/>
      <c r="K701" s="333"/>
      <c r="L701" s="333"/>
      <c r="M701" s="333"/>
      <c r="N701" s="333"/>
      <c r="O701" s="333"/>
      <c r="P701" s="333"/>
      <c r="Q701" s="333"/>
      <c r="R701" s="333"/>
      <c r="S701" s="333"/>
      <c r="T701" s="333"/>
      <c r="U701" s="333"/>
      <c r="V701" s="333"/>
      <c r="W701" s="333"/>
      <c r="X701" s="333"/>
      <c r="Y701" s="333"/>
      <c r="Z701" s="333"/>
      <c r="AA701" s="333"/>
      <c r="AB701" s="333"/>
      <c r="AC701" s="333"/>
      <c r="AD701" s="333"/>
      <c r="AE701" s="333"/>
      <c r="AF701" s="333"/>
      <c r="AG701" s="333"/>
      <c r="AH701" s="333"/>
      <c r="AI701" s="333"/>
      <c r="AJ701" s="333"/>
      <c r="AK701" s="333"/>
      <c r="AL701" s="333"/>
      <c r="AN701" s="4"/>
      <c r="AQ701" s="4"/>
      <c r="AR701" s="4"/>
      <c r="AS701" s="4"/>
    </row>
    <row r="702" spans="1:45">
      <c r="G702" s="4" t="s">
        <v>687</v>
      </c>
      <c r="H702" s="4"/>
      <c r="I702" s="4"/>
      <c r="J702" s="4" t="s">
        <v>2663</v>
      </c>
      <c r="K702" s="425">
        <f>'Key inputs_Refineries'!$C$189*10^3</f>
        <v>94.608000000000018</v>
      </c>
      <c r="L702" s="425">
        <f>'Key inputs_Refineries'!$C$189*10^3</f>
        <v>94.608000000000018</v>
      </c>
      <c r="M702" s="425">
        <f>'Key inputs_Refineries'!$C$189*10^3</f>
        <v>94.608000000000018</v>
      </c>
      <c r="N702" s="425">
        <f>'Key inputs_Refineries'!$C$189*10^3</f>
        <v>94.608000000000018</v>
      </c>
      <c r="O702" s="425">
        <f>'Key inputs_Refineries'!$C$189*10^3</f>
        <v>94.608000000000018</v>
      </c>
      <c r="P702" s="425">
        <f>'Key inputs_Refineries'!$C$189*10^3</f>
        <v>94.608000000000018</v>
      </c>
      <c r="Q702" s="425">
        <f>'Key inputs_Refineries'!$C$189*10^3</f>
        <v>94.608000000000018</v>
      </c>
      <c r="R702" s="425">
        <f>'Key inputs_Refineries'!$C$189*10^3</f>
        <v>94.608000000000018</v>
      </c>
      <c r="S702" s="425">
        <f>'Key inputs_Refineries'!$C$189*10^3</f>
        <v>94.608000000000018</v>
      </c>
      <c r="T702" s="425">
        <f>'Key inputs_Refineries'!$C$189*10^3</f>
        <v>94.608000000000018</v>
      </c>
      <c r="U702" s="425">
        <f>'Key inputs_Refineries'!$C$189*10^3</f>
        <v>94.608000000000018</v>
      </c>
      <c r="V702" s="425">
        <f>'Key inputs_Refineries'!$C$189*10^3</f>
        <v>94.608000000000018</v>
      </c>
      <c r="W702" s="425">
        <f>'Key inputs_Refineries'!$C$189*10^3</f>
        <v>94.608000000000018</v>
      </c>
      <c r="X702" s="425">
        <f>'Key inputs_Refineries'!$C$189*10^3</f>
        <v>94.608000000000018</v>
      </c>
      <c r="Y702" s="425">
        <f>'Key inputs_Refineries'!$C$189*10^3</f>
        <v>94.608000000000018</v>
      </c>
      <c r="Z702" s="425">
        <f>'Key inputs_Refineries'!$C$189*10^3</f>
        <v>94.608000000000018</v>
      </c>
      <c r="AA702" s="425">
        <f>'Key inputs_Refineries'!$C$189*10^3</f>
        <v>94.608000000000018</v>
      </c>
      <c r="AB702" s="425">
        <f>'Key inputs_Refineries'!$C$189*10^3</f>
        <v>94.608000000000018</v>
      </c>
      <c r="AC702" s="425">
        <f>'Key inputs_Refineries'!$C$189*10^3</f>
        <v>94.608000000000018</v>
      </c>
      <c r="AD702" s="425">
        <f>'Key inputs_Refineries'!$C$189*10^3</f>
        <v>94.608000000000018</v>
      </c>
      <c r="AE702" s="425">
        <f>'Key inputs_Refineries'!$C$189*10^3</f>
        <v>94.608000000000018</v>
      </c>
      <c r="AF702" s="425">
        <f>'Key inputs_Refineries'!$C$189*10^3</f>
        <v>94.608000000000018</v>
      </c>
      <c r="AG702" s="425">
        <f>'Key inputs_Refineries'!$C$189*10^3</f>
        <v>94.608000000000018</v>
      </c>
      <c r="AH702" s="425">
        <f>'Key inputs_Refineries'!$C$189*10^3</f>
        <v>94.608000000000018</v>
      </c>
      <c r="AI702" s="425">
        <f>'Key inputs_Refineries'!$C$189*10^3</f>
        <v>94.608000000000018</v>
      </c>
      <c r="AJ702" s="425">
        <f>'Key inputs_Refineries'!$C$189*10^3</f>
        <v>94.608000000000018</v>
      </c>
      <c r="AK702" s="425">
        <f>'Key inputs_Refineries'!$C$189*10^3</f>
        <v>94.608000000000018</v>
      </c>
      <c r="AL702" s="425">
        <f>'Key inputs_Refineries'!$C$189*10^3</f>
        <v>94.608000000000018</v>
      </c>
      <c r="AN702" s="4"/>
      <c r="AQ702" s="4"/>
      <c r="AR702" s="4"/>
      <c r="AS702" s="4"/>
    </row>
    <row r="703" spans="1:45">
      <c r="G703" s="4" t="s">
        <v>689</v>
      </c>
      <c r="H703" s="4"/>
      <c r="I703" s="4"/>
      <c r="J703" s="4" t="s">
        <v>2663</v>
      </c>
      <c r="K703" s="425">
        <f>'Key inputs_Refineries'!$D$189*10^3</f>
        <v>0.94608000000000003</v>
      </c>
      <c r="L703" s="425">
        <f>'Key inputs_Refineries'!$D$189*10^3</f>
        <v>0.94608000000000003</v>
      </c>
      <c r="M703" s="425">
        <f>'Key inputs_Refineries'!$D$189*10^3</f>
        <v>0.94608000000000003</v>
      </c>
      <c r="N703" s="425">
        <f>'Key inputs_Refineries'!$D$189*10^3</f>
        <v>0.94608000000000003</v>
      </c>
      <c r="O703" s="425">
        <f>'Key inputs_Refineries'!$D$189*10^3</f>
        <v>0.94608000000000003</v>
      </c>
      <c r="P703" s="425">
        <f>'Key inputs_Refineries'!$D$189*10^3</f>
        <v>0.94608000000000003</v>
      </c>
      <c r="Q703" s="425">
        <f>'Key inputs_Refineries'!$D$189*10^3</f>
        <v>0.94608000000000003</v>
      </c>
      <c r="R703" s="425">
        <f>'Key inputs_Refineries'!$D$189*10^3</f>
        <v>0.94608000000000003</v>
      </c>
      <c r="S703" s="425">
        <f>'Key inputs_Refineries'!$D$189*10^3</f>
        <v>0.94608000000000003</v>
      </c>
      <c r="T703" s="425">
        <f>'Key inputs_Refineries'!$D$189*10^3</f>
        <v>0.94608000000000003</v>
      </c>
      <c r="U703" s="425">
        <f>'Key inputs_Refineries'!$D$189*10^3</f>
        <v>0.94608000000000003</v>
      </c>
      <c r="V703" s="425">
        <f>'Key inputs_Refineries'!$D$189*10^3</f>
        <v>0.94608000000000003</v>
      </c>
      <c r="W703" s="425">
        <f>'Key inputs_Refineries'!$D$189*10^3</f>
        <v>0.94608000000000003</v>
      </c>
      <c r="X703" s="425">
        <f>'Key inputs_Refineries'!$D$189*10^3</f>
        <v>0.94608000000000003</v>
      </c>
      <c r="Y703" s="425">
        <f>'Key inputs_Refineries'!$D$189*10^3</f>
        <v>0.94608000000000003</v>
      </c>
      <c r="Z703" s="425">
        <f>'Key inputs_Refineries'!$D$189*10^3</f>
        <v>0.94608000000000003</v>
      </c>
      <c r="AA703" s="425">
        <f>'Key inputs_Refineries'!$D$189*10^3</f>
        <v>0.94608000000000003</v>
      </c>
      <c r="AB703" s="425">
        <f>'Key inputs_Refineries'!$D$189*10^3</f>
        <v>0.94608000000000003</v>
      </c>
      <c r="AC703" s="425">
        <f>'Key inputs_Refineries'!$D$189*10^3</f>
        <v>0.94608000000000003</v>
      </c>
      <c r="AD703" s="425">
        <f>'Key inputs_Refineries'!$D$189*10^3</f>
        <v>0.94608000000000003</v>
      </c>
      <c r="AE703" s="425">
        <f>'Key inputs_Refineries'!$D$189*10^3</f>
        <v>0.94608000000000003</v>
      </c>
      <c r="AF703" s="425">
        <f>'Key inputs_Refineries'!$D$189*10^3</f>
        <v>0.94608000000000003</v>
      </c>
      <c r="AG703" s="425">
        <f>'Key inputs_Refineries'!$D$189*10^3</f>
        <v>0.94608000000000003</v>
      </c>
      <c r="AH703" s="425">
        <f>'Key inputs_Refineries'!$D$189*10^3</f>
        <v>0.94608000000000003</v>
      </c>
      <c r="AI703" s="425">
        <f>'Key inputs_Refineries'!$D$189*10^3</f>
        <v>0.94608000000000003</v>
      </c>
      <c r="AJ703" s="425">
        <f>'Key inputs_Refineries'!$D$189*10^3</f>
        <v>0.94608000000000003</v>
      </c>
      <c r="AK703" s="425">
        <f>'Key inputs_Refineries'!$D$189*10^3</f>
        <v>0.94608000000000003</v>
      </c>
      <c r="AL703" s="425">
        <f>'Key inputs_Refineries'!$D$189*10^3</f>
        <v>0.94608000000000003</v>
      </c>
      <c r="AN703" s="4"/>
      <c r="AQ703" s="4"/>
      <c r="AR703" s="4"/>
      <c r="AS703" s="4"/>
    </row>
    <row r="704" spans="1:45">
      <c r="G704" s="4" t="s">
        <v>675</v>
      </c>
      <c r="H704" s="4"/>
      <c r="I704" s="4"/>
      <c r="J704" s="4" t="s">
        <v>2662</v>
      </c>
      <c r="K704" s="338"/>
      <c r="L704" s="338"/>
      <c r="M704" s="338"/>
      <c r="N704" s="338"/>
      <c r="O704" s="338"/>
      <c r="P704" s="338"/>
      <c r="Q704" s="338"/>
      <c r="R704" s="338"/>
      <c r="S704" s="338"/>
      <c r="T704" s="338"/>
      <c r="U704" s="338"/>
      <c r="V704" s="338"/>
      <c r="W704" s="338"/>
      <c r="X704" s="338"/>
      <c r="Y704" s="338"/>
      <c r="Z704" s="338"/>
      <c r="AA704" s="338"/>
      <c r="AB704" s="338"/>
      <c r="AC704" s="338"/>
      <c r="AD704" s="338"/>
      <c r="AE704" s="338"/>
      <c r="AF704" s="338"/>
      <c r="AG704" s="338"/>
      <c r="AH704" s="338"/>
      <c r="AI704" s="338"/>
      <c r="AJ704" s="338"/>
      <c r="AK704" s="338"/>
      <c r="AL704" s="338"/>
      <c r="AN704" s="4"/>
      <c r="AQ704" s="4"/>
      <c r="AR704" s="4"/>
      <c r="AS704" s="4"/>
    </row>
    <row r="705" spans="1:47">
      <c r="G705" s="4" t="s">
        <v>630</v>
      </c>
      <c r="H705" s="4"/>
      <c r="I705" s="4"/>
      <c r="J705" s="4" t="s">
        <v>2666</v>
      </c>
      <c r="K705" s="425">
        <f>'Key inputs_Refineries'!$H$189</f>
        <v>0.99</v>
      </c>
      <c r="L705" s="425">
        <f>'Key inputs_Refineries'!$H$189</f>
        <v>0.99</v>
      </c>
      <c r="M705" s="425">
        <f>'Key inputs_Refineries'!$H$189</f>
        <v>0.99</v>
      </c>
      <c r="N705" s="425">
        <f>'Key inputs_Refineries'!$H$189</f>
        <v>0.99</v>
      </c>
      <c r="O705" s="425">
        <f>'Key inputs_Refineries'!$H$189</f>
        <v>0.99</v>
      </c>
      <c r="P705" s="425">
        <f>'Key inputs_Refineries'!$H$189</f>
        <v>0.99</v>
      </c>
      <c r="Q705" s="425">
        <f>'Key inputs_Refineries'!$H$189</f>
        <v>0.99</v>
      </c>
      <c r="R705" s="425">
        <f>'Key inputs_Refineries'!$H$189</f>
        <v>0.99</v>
      </c>
      <c r="S705" s="425">
        <f>'Key inputs_Refineries'!$H$189</f>
        <v>0.99</v>
      </c>
      <c r="T705" s="425">
        <f>'Key inputs_Refineries'!$H$189</f>
        <v>0.99</v>
      </c>
      <c r="U705" s="425">
        <f>'Key inputs_Refineries'!$H$189</f>
        <v>0.99</v>
      </c>
      <c r="V705" s="425">
        <f>'Key inputs_Refineries'!$H$189</f>
        <v>0.99</v>
      </c>
      <c r="W705" s="425">
        <f>'Key inputs_Refineries'!$H$189</f>
        <v>0.99</v>
      </c>
      <c r="X705" s="425">
        <f>'Key inputs_Refineries'!$H$189</f>
        <v>0.99</v>
      </c>
      <c r="Y705" s="425">
        <f>'Key inputs_Refineries'!$H$189</f>
        <v>0.99</v>
      </c>
      <c r="Z705" s="425">
        <f>'Key inputs_Refineries'!$H$189</f>
        <v>0.99</v>
      </c>
      <c r="AA705" s="425">
        <f>'Key inputs_Refineries'!$H$189</f>
        <v>0.99</v>
      </c>
      <c r="AB705" s="425">
        <f>'Key inputs_Refineries'!$H$189</f>
        <v>0.99</v>
      </c>
      <c r="AC705" s="425">
        <f>'Key inputs_Refineries'!$H$189</f>
        <v>0.99</v>
      </c>
      <c r="AD705" s="425">
        <f>'Key inputs_Refineries'!$H$189</f>
        <v>0.99</v>
      </c>
      <c r="AE705" s="425">
        <f>'Key inputs_Refineries'!$H$189</f>
        <v>0.99</v>
      </c>
      <c r="AF705" s="425">
        <f>'Key inputs_Refineries'!$H$189</f>
        <v>0.99</v>
      </c>
      <c r="AG705" s="425">
        <f>'Key inputs_Refineries'!$H$189</f>
        <v>0.99</v>
      </c>
      <c r="AH705" s="425">
        <f>'Key inputs_Refineries'!$H$189</f>
        <v>0.99</v>
      </c>
      <c r="AI705" s="425">
        <f>'Key inputs_Refineries'!$H$189</f>
        <v>0.99</v>
      </c>
      <c r="AJ705" s="425">
        <f>'Key inputs_Refineries'!$H$189</f>
        <v>0.99</v>
      </c>
      <c r="AK705" s="425">
        <f>'Key inputs_Refineries'!$H$189</f>
        <v>0.99</v>
      </c>
      <c r="AL705" s="425">
        <f>'Key inputs_Refineries'!$H$189</f>
        <v>0.99</v>
      </c>
      <c r="AN705" s="4"/>
      <c r="AQ705" s="4"/>
      <c r="AR705" s="4"/>
      <c r="AS705" s="4"/>
      <c r="AT705" s="353"/>
      <c r="AU705" s="353"/>
    </row>
    <row r="706" spans="1:47">
      <c r="C706" t="str">
        <f>Commodities!$C$94</f>
        <v>UPSHET</v>
      </c>
      <c r="G706" s="4" t="s">
        <v>702</v>
      </c>
      <c r="H706" t="s">
        <v>661</v>
      </c>
      <c r="I706">
        <v>2019</v>
      </c>
      <c r="J706" t="s">
        <v>650</v>
      </c>
      <c r="K706" s="173">
        <v>1</v>
      </c>
      <c r="L706" s="173">
        <v>1</v>
      </c>
      <c r="M706" s="173">
        <v>1</v>
      </c>
      <c r="N706" s="173">
        <v>1</v>
      </c>
      <c r="O706" s="173">
        <v>1</v>
      </c>
      <c r="P706" s="173">
        <v>1</v>
      </c>
      <c r="Q706" s="173">
        <v>1</v>
      </c>
      <c r="R706" s="173">
        <v>1</v>
      </c>
      <c r="S706" s="173">
        <v>1</v>
      </c>
      <c r="T706" s="173">
        <v>1</v>
      </c>
      <c r="U706" s="173">
        <v>1</v>
      </c>
      <c r="V706" s="173">
        <v>1</v>
      </c>
      <c r="W706" s="173">
        <v>1</v>
      </c>
      <c r="X706" s="173">
        <v>1</v>
      </c>
      <c r="Y706" s="173">
        <v>1</v>
      </c>
      <c r="Z706" s="173">
        <v>1</v>
      </c>
      <c r="AA706" s="173">
        <v>1</v>
      </c>
      <c r="AB706" s="173">
        <v>1</v>
      </c>
      <c r="AC706" s="173">
        <v>1</v>
      </c>
      <c r="AD706" s="173">
        <v>1</v>
      </c>
      <c r="AE706" s="173">
        <v>1</v>
      </c>
      <c r="AF706" s="173">
        <v>1</v>
      </c>
      <c r="AG706" s="173">
        <v>1</v>
      </c>
      <c r="AH706" s="173">
        <v>1</v>
      </c>
      <c r="AI706" s="173">
        <v>1</v>
      </c>
      <c r="AJ706" s="173">
        <v>1</v>
      </c>
      <c r="AK706" s="173">
        <v>1</v>
      </c>
      <c r="AL706" s="173">
        <v>1</v>
      </c>
      <c r="AN706" s="4"/>
      <c r="AQ706" s="4"/>
      <c r="AR706" s="4"/>
      <c r="AS706" s="4"/>
      <c r="AT706" s="4"/>
      <c r="AU706" s="4"/>
    </row>
    <row r="707" spans="1:47" s="4" customFormat="1">
      <c r="A707" s="236"/>
      <c r="B707" s="236"/>
      <c r="C707" s="236"/>
      <c r="D707" s="236" t="str">
        <f>Commodities!$C$106</f>
        <v>UREFOTH</v>
      </c>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c r="AE707" s="236"/>
      <c r="AF707" s="236"/>
      <c r="AG707" s="236"/>
      <c r="AH707" s="236"/>
      <c r="AI707" s="236"/>
      <c r="AJ707" s="236"/>
      <c r="AK707" s="236"/>
      <c r="AL707" s="236"/>
      <c r="AO707"/>
      <c r="AP707"/>
    </row>
    <row r="708" spans="1:47">
      <c r="A708" s="257" t="s">
        <v>709</v>
      </c>
      <c r="B708" s="257"/>
      <c r="C708" s="257"/>
      <c r="D708" s="257"/>
      <c r="E708" s="257"/>
      <c r="F708" s="257"/>
      <c r="G708" s="257"/>
      <c r="H708" s="257"/>
      <c r="I708" s="257"/>
      <c r="J708" s="257"/>
      <c r="K708" s="352"/>
      <c r="L708" s="352"/>
      <c r="M708" s="352"/>
      <c r="N708" s="352"/>
      <c r="O708" s="352"/>
      <c r="P708" s="352"/>
      <c r="Q708" s="352"/>
      <c r="R708" s="352"/>
      <c r="S708" s="352"/>
      <c r="T708" s="352"/>
      <c r="U708" s="352"/>
      <c r="V708" s="352"/>
      <c r="W708" s="352"/>
      <c r="X708" s="352"/>
      <c r="Y708" s="352"/>
      <c r="Z708" s="352"/>
      <c r="AA708" s="352"/>
      <c r="AB708" s="352"/>
      <c r="AC708" s="352"/>
      <c r="AD708" s="352"/>
      <c r="AE708" s="352"/>
      <c r="AF708" s="352"/>
      <c r="AG708" s="352"/>
      <c r="AH708" s="352"/>
      <c r="AI708" s="352"/>
      <c r="AJ708" s="352"/>
      <c r="AK708" s="352"/>
      <c r="AL708" s="352"/>
    </row>
    <row r="709" spans="1:47" s="4" customFormat="1">
      <c r="A709" s="4" t="str">
        <f>AO430</f>
        <v>U-TRF-OILREFHVA_GAS01</v>
      </c>
      <c r="B709" s="4" t="str">
        <f>AP430</f>
        <v>UPS Transformation: Oil refinery HVAC Gas - New</v>
      </c>
      <c r="G709" s="4" t="s">
        <v>695</v>
      </c>
      <c r="J709" s="4" t="s">
        <v>2665</v>
      </c>
      <c r="K709" s="333">
        <v>1</v>
      </c>
      <c r="L709" s="333">
        <v>1</v>
      </c>
      <c r="M709" s="333">
        <v>1</v>
      </c>
      <c r="N709" s="333">
        <v>1</v>
      </c>
      <c r="O709" s="333">
        <v>1</v>
      </c>
      <c r="P709" s="333">
        <v>1</v>
      </c>
      <c r="Q709" s="333">
        <v>1</v>
      </c>
      <c r="R709" s="333">
        <v>1</v>
      </c>
      <c r="S709" s="333">
        <v>1</v>
      </c>
      <c r="T709" s="333">
        <v>1</v>
      </c>
      <c r="U709" s="333">
        <v>1</v>
      </c>
      <c r="V709" s="333">
        <v>1</v>
      </c>
      <c r="W709" s="333">
        <v>1</v>
      </c>
      <c r="X709" s="333">
        <v>1</v>
      </c>
      <c r="Y709" s="333">
        <v>1</v>
      </c>
      <c r="Z709" s="333">
        <v>1</v>
      </c>
      <c r="AA709" s="333">
        <v>1</v>
      </c>
      <c r="AB709" s="333">
        <v>1</v>
      </c>
      <c r="AC709" s="333">
        <v>1</v>
      </c>
      <c r="AD709" s="333">
        <v>1</v>
      </c>
      <c r="AE709" s="333">
        <v>1</v>
      </c>
      <c r="AF709" s="333">
        <v>1</v>
      </c>
      <c r="AG709" s="333">
        <v>1</v>
      </c>
      <c r="AH709" s="333">
        <v>1</v>
      </c>
      <c r="AI709" s="333">
        <v>1</v>
      </c>
      <c r="AJ709" s="333">
        <v>1</v>
      </c>
      <c r="AK709" s="333">
        <v>1</v>
      </c>
      <c r="AL709" s="333">
        <v>1</v>
      </c>
      <c r="AO709"/>
      <c r="AP709"/>
    </row>
    <row r="710" spans="1:47" s="4" customFormat="1">
      <c r="G710" s="4" t="s">
        <v>697</v>
      </c>
      <c r="J710" s="4" t="s">
        <v>698</v>
      </c>
      <c r="K710" s="424">
        <f>'Key inputs_Refineries'!$F$190</f>
        <v>15</v>
      </c>
      <c r="L710" s="424">
        <f>'Key inputs_Refineries'!$F$190</f>
        <v>15</v>
      </c>
      <c r="M710" s="424">
        <f>'Key inputs_Refineries'!$F$190</f>
        <v>15</v>
      </c>
      <c r="N710" s="424">
        <f>'Key inputs_Refineries'!$F$190</f>
        <v>15</v>
      </c>
      <c r="O710" s="424">
        <f>'Key inputs_Refineries'!$F$190</f>
        <v>15</v>
      </c>
      <c r="P710" s="424">
        <f>'Key inputs_Refineries'!$F$190</f>
        <v>15</v>
      </c>
      <c r="Q710" s="424">
        <f>'Key inputs_Refineries'!$F$190</f>
        <v>15</v>
      </c>
      <c r="R710" s="424">
        <f>'Key inputs_Refineries'!$F$190</f>
        <v>15</v>
      </c>
      <c r="S710" s="424">
        <f>'Key inputs_Refineries'!$F$190</f>
        <v>15</v>
      </c>
      <c r="T710" s="424">
        <f>'Key inputs_Refineries'!$F$190</f>
        <v>15</v>
      </c>
      <c r="U710" s="424">
        <f>'Key inputs_Refineries'!$F$190</f>
        <v>15</v>
      </c>
      <c r="V710" s="424">
        <f>'Key inputs_Refineries'!$F$190</f>
        <v>15</v>
      </c>
      <c r="W710" s="424">
        <f>'Key inputs_Refineries'!$F$190</f>
        <v>15</v>
      </c>
      <c r="X710" s="424">
        <f>'Key inputs_Refineries'!$F$190</f>
        <v>15</v>
      </c>
      <c r="Y710" s="424">
        <f>'Key inputs_Refineries'!$F$190</f>
        <v>15</v>
      </c>
      <c r="Z710" s="424">
        <f>'Key inputs_Refineries'!$F$190</f>
        <v>15</v>
      </c>
      <c r="AA710" s="424">
        <f>'Key inputs_Refineries'!$F$190</f>
        <v>15</v>
      </c>
      <c r="AB710" s="424">
        <f>'Key inputs_Refineries'!$F$190</f>
        <v>15</v>
      </c>
      <c r="AC710" s="424">
        <f>'Key inputs_Refineries'!$F$190</f>
        <v>15</v>
      </c>
      <c r="AD710" s="424">
        <f>'Key inputs_Refineries'!$F$190</f>
        <v>15</v>
      </c>
      <c r="AE710" s="424">
        <f>'Key inputs_Refineries'!$F$190</f>
        <v>15</v>
      </c>
      <c r="AF710" s="424">
        <f>'Key inputs_Refineries'!$F$190</f>
        <v>15</v>
      </c>
      <c r="AG710" s="424">
        <f>'Key inputs_Refineries'!$F$190</f>
        <v>15</v>
      </c>
      <c r="AH710" s="424">
        <f>'Key inputs_Refineries'!$F$190</f>
        <v>15</v>
      </c>
      <c r="AI710" s="424">
        <f>'Key inputs_Refineries'!$F$190</f>
        <v>15</v>
      </c>
      <c r="AJ710" s="424">
        <f>'Key inputs_Refineries'!$F$190</f>
        <v>15</v>
      </c>
      <c r="AK710" s="424">
        <f>'Key inputs_Refineries'!$F$190</f>
        <v>15</v>
      </c>
      <c r="AL710" s="424">
        <f>'Key inputs_Refineries'!$F$190</f>
        <v>15</v>
      </c>
      <c r="AO710"/>
      <c r="AP710"/>
    </row>
    <row r="711" spans="1:47">
      <c r="A711" s="4"/>
      <c r="B711" s="4"/>
      <c r="C711" s="4"/>
      <c r="D711" s="4"/>
      <c r="E711" s="4"/>
      <c r="F711" s="4"/>
      <c r="G711" s="4" t="s">
        <v>707</v>
      </c>
      <c r="H711" s="4"/>
      <c r="I711" s="4"/>
      <c r="J711" s="4" t="s">
        <v>2669</v>
      </c>
      <c r="K711" s="347">
        <v>2020</v>
      </c>
      <c r="L711" s="347">
        <v>2020</v>
      </c>
      <c r="M711" s="347">
        <v>2020</v>
      </c>
      <c r="N711" s="347">
        <v>2020</v>
      </c>
      <c r="O711" s="347">
        <v>2020</v>
      </c>
      <c r="P711" s="347">
        <v>2020</v>
      </c>
      <c r="Q711" s="347">
        <v>2020</v>
      </c>
      <c r="R711" s="347">
        <v>2020</v>
      </c>
      <c r="S711" s="347">
        <v>2020</v>
      </c>
      <c r="T711" s="347">
        <v>2020</v>
      </c>
      <c r="U711" s="347">
        <v>2020</v>
      </c>
      <c r="V711" s="347">
        <v>2020</v>
      </c>
      <c r="W711" s="347">
        <v>2020</v>
      </c>
      <c r="X711" s="347">
        <v>2020</v>
      </c>
      <c r="Y711" s="347">
        <v>2020</v>
      </c>
      <c r="Z711" s="347">
        <v>2020</v>
      </c>
      <c r="AA711" s="347">
        <v>2020</v>
      </c>
      <c r="AB711" s="347">
        <v>2020</v>
      </c>
      <c r="AC711" s="347">
        <v>2020</v>
      </c>
      <c r="AD711" s="347">
        <v>2020</v>
      </c>
      <c r="AE711" s="347">
        <v>2020</v>
      </c>
      <c r="AF711" s="347">
        <v>2020</v>
      </c>
      <c r="AG711" s="347">
        <v>2020</v>
      </c>
      <c r="AH711" s="347">
        <v>2020</v>
      </c>
      <c r="AI711" s="347">
        <v>2020</v>
      </c>
      <c r="AJ711" s="347">
        <v>2020</v>
      </c>
      <c r="AK711" s="347">
        <v>2020</v>
      </c>
      <c r="AL711" s="347">
        <v>2020</v>
      </c>
      <c r="AN711" s="4"/>
      <c r="AQ711" s="4"/>
      <c r="AR711" s="4"/>
      <c r="AS711" s="4"/>
      <c r="AT711" s="4"/>
      <c r="AU711" s="4"/>
    </row>
    <row r="712" spans="1:47">
      <c r="G712" s="4" t="s">
        <v>701</v>
      </c>
      <c r="H712" s="4" t="s">
        <v>661</v>
      </c>
      <c r="I712" s="4">
        <v>2019</v>
      </c>
      <c r="J712" s="4" t="s">
        <v>112</v>
      </c>
      <c r="K712" s="333"/>
      <c r="L712" s="333"/>
      <c r="M712" s="333"/>
      <c r="N712" s="333"/>
      <c r="O712" s="333"/>
      <c r="P712" s="333"/>
      <c r="Q712" s="333"/>
      <c r="R712" s="333"/>
      <c r="S712" s="333"/>
      <c r="T712" s="333"/>
      <c r="U712" s="333"/>
      <c r="V712" s="333"/>
      <c r="W712" s="333"/>
      <c r="X712" s="333"/>
      <c r="Y712" s="333"/>
      <c r="Z712" s="333"/>
      <c r="AA712" s="333"/>
      <c r="AB712" s="333"/>
      <c r="AC712" s="333"/>
      <c r="AD712" s="333"/>
      <c r="AE712" s="333"/>
      <c r="AF712" s="333"/>
      <c r="AG712" s="333"/>
      <c r="AH712" s="333"/>
      <c r="AI712" s="333"/>
      <c r="AJ712" s="333"/>
      <c r="AK712" s="333"/>
      <c r="AL712" s="333"/>
      <c r="AN712" s="4"/>
      <c r="AQ712" s="4"/>
      <c r="AR712" s="4"/>
      <c r="AS712" s="4"/>
      <c r="AT712" s="4"/>
      <c r="AU712" s="4"/>
    </row>
    <row r="713" spans="1:47">
      <c r="G713" s="4" t="s">
        <v>701</v>
      </c>
      <c r="H713" s="4" t="s">
        <v>661</v>
      </c>
      <c r="I713" s="4">
        <v>2060</v>
      </c>
      <c r="J713" s="4" t="s">
        <v>112</v>
      </c>
      <c r="K713" s="333"/>
      <c r="L713" s="333"/>
      <c r="M713" s="333"/>
      <c r="N713" s="333"/>
      <c r="O713" s="333"/>
      <c r="P713" s="333"/>
      <c r="Q713" s="333"/>
      <c r="R713" s="333"/>
      <c r="S713" s="333"/>
      <c r="T713" s="333"/>
      <c r="U713" s="333"/>
      <c r="V713" s="333"/>
      <c r="W713" s="333"/>
      <c r="X713" s="333"/>
      <c r="Y713" s="333"/>
      <c r="Z713" s="333"/>
      <c r="AA713" s="333"/>
      <c r="AB713" s="333"/>
      <c r="AC713" s="333"/>
      <c r="AD713" s="333"/>
      <c r="AE713" s="333"/>
      <c r="AF713" s="333"/>
      <c r="AG713" s="333"/>
      <c r="AH713" s="333"/>
      <c r="AI713" s="333"/>
      <c r="AJ713" s="333"/>
      <c r="AK713" s="333"/>
      <c r="AL713" s="333"/>
      <c r="AN713" s="4"/>
      <c r="AQ713" s="4"/>
      <c r="AR713" s="4"/>
      <c r="AS713" s="4"/>
      <c r="AT713" s="4"/>
      <c r="AU713" s="4"/>
    </row>
    <row r="714" spans="1:47">
      <c r="G714" s="4" t="s">
        <v>701</v>
      </c>
      <c r="H714" s="4" t="s">
        <v>661</v>
      </c>
      <c r="I714" s="4">
        <v>0</v>
      </c>
      <c r="J714" s="4"/>
      <c r="K714" s="333"/>
      <c r="L714" s="333"/>
      <c r="M714" s="333"/>
      <c r="N714" s="333"/>
      <c r="O714" s="333"/>
      <c r="P714" s="333"/>
      <c r="Q714" s="333"/>
      <c r="R714" s="333"/>
      <c r="S714" s="333"/>
      <c r="T714" s="333"/>
      <c r="U714" s="333"/>
      <c r="V714" s="333"/>
      <c r="W714" s="333"/>
      <c r="X714" s="333"/>
      <c r="Y714" s="333"/>
      <c r="Z714" s="333"/>
      <c r="AA714" s="333"/>
      <c r="AB714" s="333"/>
      <c r="AC714" s="333"/>
      <c r="AD714" s="333"/>
      <c r="AE714" s="333"/>
      <c r="AF714" s="333"/>
      <c r="AG714" s="333"/>
      <c r="AH714" s="333"/>
      <c r="AI714" s="333"/>
      <c r="AJ714" s="333"/>
      <c r="AK714" s="333"/>
      <c r="AL714" s="333"/>
      <c r="AN714" s="4"/>
      <c r="AQ714" s="4"/>
      <c r="AR714" s="4"/>
      <c r="AS714" s="4"/>
      <c r="AT714" s="4"/>
      <c r="AU714" s="4"/>
    </row>
    <row r="715" spans="1:47">
      <c r="A715" s="4"/>
      <c r="B715" s="4"/>
      <c r="G715" s="4" t="s">
        <v>687</v>
      </c>
      <c r="H715" s="4"/>
      <c r="I715" s="4"/>
      <c r="J715" s="4" t="s">
        <v>2663</v>
      </c>
      <c r="K715" s="425">
        <f>'Key inputs_Refineries'!$C$190*10^3</f>
        <v>138.75840000000002</v>
      </c>
      <c r="L715" s="425">
        <f>'Key inputs_Refineries'!$C$190*10^3</f>
        <v>138.75840000000002</v>
      </c>
      <c r="M715" s="425">
        <f>'Key inputs_Refineries'!$C$190*10^3</f>
        <v>138.75840000000002</v>
      </c>
      <c r="N715" s="425">
        <f>'Key inputs_Refineries'!$C$190*10^3</f>
        <v>138.75840000000002</v>
      </c>
      <c r="O715" s="425">
        <f>'Key inputs_Refineries'!$C$190*10^3</f>
        <v>138.75840000000002</v>
      </c>
      <c r="P715" s="425">
        <f>'Key inputs_Refineries'!$C$190*10^3</f>
        <v>138.75840000000002</v>
      </c>
      <c r="Q715" s="425">
        <f>'Key inputs_Refineries'!$C$190*10^3</f>
        <v>138.75840000000002</v>
      </c>
      <c r="R715" s="425">
        <f>'Key inputs_Refineries'!$C$190*10^3</f>
        <v>138.75840000000002</v>
      </c>
      <c r="S715" s="425">
        <f>'Key inputs_Refineries'!$C$190*10^3</f>
        <v>138.75840000000002</v>
      </c>
      <c r="T715" s="425">
        <f>'Key inputs_Refineries'!$C$190*10^3</f>
        <v>138.75840000000002</v>
      </c>
      <c r="U715" s="425">
        <f>'Key inputs_Refineries'!$C$190*10^3</f>
        <v>138.75840000000002</v>
      </c>
      <c r="V715" s="425">
        <f>'Key inputs_Refineries'!$C$190*10^3</f>
        <v>138.75840000000002</v>
      </c>
      <c r="W715" s="425">
        <f>'Key inputs_Refineries'!$C$190*10^3</f>
        <v>138.75840000000002</v>
      </c>
      <c r="X715" s="425">
        <f>'Key inputs_Refineries'!$C$190*10^3</f>
        <v>138.75840000000002</v>
      </c>
      <c r="Y715" s="425">
        <f>'Key inputs_Refineries'!$C$190*10^3</f>
        <v>138.75840000000002</v>
      </c>
      <c r="Z715" s="425">
        <f>'Key inputs_Refineries'!$C$190*10^3</f>
        <v>138.75840000000002</v>
      </c>
      <c r="AA715" s="425">
        <f>'Key inputs_Refineries'!$C$190*10^3</f>
        <v>138.75840000000002</v>
      </c>
      <c r="AB715" s="425">
        <f>'Key inputs_Refineries'!$C$190*10^3</f>
        <v>138.75840000000002</v>
      </c>
      <c r="AC715" s="425">
        <f>'Key inputs_Refineries'!$C$190*10^3</f>
        <v>138.75840000000002</v>
      </c>
      <c r="AD715" s="425">
        <f>'Key inputs_Refineries'!$C$190*10^3</f>
        <v>138.75840000000002</v>
      </c>
      <c r="AE715" s="425">
        <f>'Key inputs_Refineries'!$C$190*10^3</f>
        <v>138.75840000000002</v>
      </c>
      <c r="AF715" s="425">
        <f>'Key inputs_Refineries'!$C$190*10^3</f>
        <v>138.75840000000002</v>
      </c>
      <c r="AG715" s="425">
        <f>'Key inputs_Refineries'!$C$190*10^3</f>
        <v>138.75840000000002</v>
      </c>
      <c r="AH715" s="425">
        <f>'Key inputs_Refineries'!$C$190*10^3</f>
        <v>138.75840000000002</v>
      </c>
      <c r="AI715" s="425">
        <f>'Key inputs_Refineries'!$C$190*10^3</f>
        <v>138.75840000000002</v>
      </c>
      <c r="AJ715" s="425">
        <f>'Key inputs_Refineries'!$C$190*10^3</f>
        <v>138.75840000000002</v>
      </c>
      <c r="AK715" s="425">
        <f>'Key inputs_Refineries'!$C$190*10^3</f>
        <v>138.75840000000002</v>
      </c>
      <c r="AL715" s="425">
        <f>'Key inputs_Refineries'!$C$190*10^3</f>
        <v>138.75840000000002</v>
      </c>
      <c r="AN715" s="4"/>
      <c r="AQ715" s="4"/>
      <c r="AR715" s="4"/>
      <c r="AS715" s="4"/>
      <c r="AT715" s="4"/>
      <c r="AU715" s="4"/>
    </row>
    <row r="716" spans="1:47">
      <c r="A716" s="4"/>
      <c r="B716" s="4"/>
      <c r="G716" s="4" t="s">
        <v>689</v>
      </c>
      <c r="H716" s="4"/>
      <c r="I716" s="4"/>
      <c r="J716" s="4" t="s">
        <v>2663</v>
      </c>
      <c r="K716" s="425">
        <f>'Key inputs_Refineries'!$D$190*10^3</f>
        <v>1.2614400000000001</v>
      </c>
      <c r="L716" s="425">
        <f>'Key inputs_Refineries'!$D$190*10^3</f>
        <v>1.2614400000000001</v>
      </c>
      <c r="M716" s="425">
        <f>'Key inputs_Refineries'!$D$190*10^3</f>
        <v>1.2614400000000001</v>
      </c>
      <c r="N716" s="425">
        <f>'Key inputs_Refineries'!$D$190*10^3</f>
        <v>1.2614400000000001</v>
      </c>
      <c r="O716" s="425">
        <f>'Key inputs_Refineries'!$D$190*10^3</f>
        <v>1.2614400000000001</v>
      </c>
      <c r="P716" s="425">
        <f>'Key inputs_Refineries'!$D$190*10^3</f>
        <v>1.2614400000000001</v>
      </c>
      <c r="Q716" s="425">
        <f>'Key inputs_Refineries'!$D$190*10^3</f>
        <v>1.2614400000000001</v>
      </c>
      <c r="R716" s="425">
        <f>'Key inputs_Refineries'!$D$190*10^3</f>
        <v>1.2614400000000001</v>
      </c>
      <c r="S716" s="425">
        <f>'Key inputs_Refineries'!$D$190*10^3</f>
        <v>1.2614400000000001</v>
      </c>
      <c r="T716" s="425">
        <f>'Key inputs_Refineries'!$D$190*10^3</f>
        <v>1.2614400000000001</v>
      </c>
      <c r="U716" s="425">
        <f>'Key inputs_Refineries'!$D$190*10^3</f>
        <v>1.2614400000000001</v>
      </c>
      <c r="V716" s="425">
        <f>'Key inputs_Refineries'!$D$190*10^3</f>
        <v>1.2614400000000001</v>
      </c>
      <c r="W716" s="425">
        <f>'Key inputs_Refineries'!$D$190*10^3</f>
        <v>1.2614400000000001</v>
      </c>
      <c r="X716" s="425">
        <f>'Key inputs_Refineries'!$D$190*10^3</f>
        <v>1.2614400000000001</v>
      </c>
      <c r="Y716" s="425">
        <f>'Key inputs_Refineries'!$D$190*10^3</f>
        <v>1.2614400000000001</v>
      </c>
      <c r="Z716" s="425">
        <f>'Key inputs_Refineries'!$D$190*10^3</f>
        <v>1.2614400000000001</v>
      </c>
      <c r="AA716" s="425">
        <f>'Key inputs_Refineries'!$D$190*10^3</f>
        <v>1.2614400000000001</v>
      </c>
      <c r="AB716" s="425">
        <f>'Key inputs_Refineries'!$D$190*10^3</f>
        <v>1.2614400000000001</v>
      </c>
      <c r="AC716" s="425">
        <f>'Key inputs_Refineries'!$D$190*10^3</f>
        <v>1.2614400000000001</v>
      </c>
      <c r="AD716" s="425">
        <f>'Key inputs_Refineries'!$D$190*10^3</f>
        <v>1.2614400000000001</v>
      </c>
      <c r="AE716" s="425">
        <f>'Key inputs_Refineries'!$D$190*10^3</f>
        <v>1.2614400000000001</v>
      </c>
      <c r="AF716" s="425">
        <f>'Key inputs_Refineries'!$D$190*10^3</f>
        <v>1.2614400000000001</v>
      </c>
      <c r="AG716" s="425">
        <f>'Key inputs_Refineries'!$D$190*10^3</f>
        <v>1.2614400000000001</v>
      </c>
      <c r="AH716" s="425">
        <f>'Key inputs_Refineries'!$D$190*10^3</f>
        <v>1.2614400000000001</v>
      </c>
      <c r="AI716" s="425">
        <f>'Key inputs_Refineries'!$D$190*10^3</f>
        <v>1.2614400000000001</v>
      </c>
      <c r="AJ716" s="425">
        <f>'Key inputs_Refineries'!$D$190*10^3</f>
        <v>1.2614400000000001</v>
      </c>
      <c r="AK716" s="425">
        <f>'Key inputs_Refineries'!$D$190*10^3</f>
        <v>1.2614400000000001</v>
      </c>
      <c r="AL716" s="425">
        <f>'Key inputs_Refineries'!$D$190*10^3</f>
        <v>1.2614400000000001</v>
      </c>
      <c r="AN716" s="4"/>
      <c r="AQ716" s="4"/>
      <c r="AR716" s="4"/>
      <c r="AS716" s="4"/>
      <c r="AT716" s="4"/>
      <c r="AU716" s="4"/>
    </row>
    <row r="717" spans="1:47">
      <c r="A717" s="4"/>
      <c r="B717" s="4"/>
      <c r="G717" s="4" t="s">
        <v>675</v>
      </c>
      <c r="H717" s="4"/>
      <c r="I717" s="4"/>
      <c r="J717" s="4" t="s">
        <v>2662</v>
      </c>
      <c r="K717" s="338"/>
      <c r="L717" s="338"/>
      <c r="M717" s="338"/>
      <c r="N717" s="338"/>
      <c r="O717" s="338"/>
      <c r="P717" s="338"/>
      <c r="Q717" s="338"/>
      <c r="R717" s="338"/>
      <c r="S717" s="338"/>
      <c r="T717" s="338"/>
      <c r="U717" s="338"/>
      <c r="V717" s="338"/>
      <c r="W717" s="338"/>
      <c r="X717" s="338"/>
      <c r="Y717" s="338"/>
      <c r="Z717" s="338"/>
      <c r="AA717" s="338"/>
      <c r="AB717" s="338"/>
      <c r="AC717" s="338"/>
      <c r="AD717" s="338"/>
      <c r="AE717" s="338"/>
      <c r="AF717" s="338"/>
      <c r="AG717" s="338"/>
      <c r="AH717" s="338"/>
      <c r="AI717" s="338"/>
      <c r="AJ717" s="338"/>
      <c r="AK717" s="338"/>
      <c r="AL717" s="338"/>
      <c r="AN717" s="4"/>
      <c r="AQ717" s="4"/>
      <c r="AR717" s="4"/>
      <c r="AS717" s="4"/>
      <c r="AT717" s="4"/>
      <c r="AU717" s="4"/>
    </row>
    <row r="718" spans="1:47">
      <c r="A718" s="4"/>
      <c r="B718" s="4"/>
      <c r="G718" s="4" t="s">
        <v>630</v>
      </c>
      <c r="H718" s="4"/>
      <c r="I718" s="4"/>
      <c r="J718" s="4" t="s">
        <v>2666</v>
      </c>
      <c r="K718" s="425">
        <f>'Key inputs_Refineries'!$H$190</f>
        <v>0.82</v>
      </c>
      <c r="L718" s="425">
        <f>'Key inputs_Refineries'!$H$190</f>
        <v>0.82</v>
      </c>
      <c r="M718" s="425">
        <f>'Key inputs_Refineries'!$H$190</f>
        <v>0.82</v>
      </c>
      <c r="N718" s="425">
        <f>'Key inputs_Refineries'!$H$190</f>
        <v>0.82</v>
      </c>
      <c r="O718" s="425">
        <f>'Key inputs_Refineries'!$H$190</f>
        <v>0.82</v>
      </c>
      <c r="P718" s="425">
        <f>'Key inputs_Refineries'!$H$190</f>
        <v>0.82</v>
      </c>
      <c r="Q718" s="425">
        <f>'Key inputs_Refineries'!$H$190</f>
        <v>0.82</v>
      </c>
      <c r="R718" s="425">
        <f>'Key inputs_Refineries'!$H$190</f>
        <v>0.82</v>
      </c>
      <c r="S718" s="425">
        <f>'Key inputs_Refineries'!$H$190</f>
        <v>0.82</v>
      </c>
      <c r="T718" s="425">
        <f>'Key inputs_Refineries'!$H$190</f>
        <v>0.82</v>
      </c>
      <c r="U718" s="425">
        <f>'Key inputs_Refineries'!$H$190</f>
        <v>0.82</v>
      </c>
      <c r="V718" s="425">
        <f>'Key inputs_Refineries'!$H$190</f>
        <v>0.82</v>
      </c>
      <c r="W718" s="425">
        <f>'Key inputs_Refineries'!$H$190</f>
        <v>0.82</v>
      </c>
      <c r="X718" s="425">
        <f>'Key inputs_Refineries'!$H$190</f>
        <v>0.82</v>
      </c>
      <c r="Y718" s="425">
        <f>'Key inputs_Refineries'!$H$190</f>
        <v>0.82</v>
      </c>
      <c r="Z718" s="425">
        <f>'Key inputs_Refineries'!$H$190</f>
        <v>0.82</v>
      </c>
      <c r="AA718" s="425">
        <f>'Key inputs_Refineries'!$H$190</f>
        <v>0.82</v>
      </c>
      <c r="AB718" s="425">
        <f>'Key inputs_Refineries'!$H$190</f>
        <v>0.82</v>
      </c>
      <c r="AC718" s="425">
        <f>'Key inputs_Refineries'!$H$190</f>
        <v>0.82</v>
      </c>
      <c r="AD718" s="425">
        <f>'Key inputs_Refineries'!$H$190</f>
        <v>0.82</v>
      </c>
      <c r="AE718" s="425">
        <f>'Key inputs_Refineries'!$H$190</f>
        <v>0.82</v>
      </c>
      <c r="AF718" s="425">
        <f>'Key inputs_Refineries'!$H$190</f>
        <v>0.82</v>
      </c>
      <c r="AG718" s="425">
        <f>'Key inputs_Refineries'!$H$190</f>
        <v>0.82</v>
      </c>
      <c r="AH718" s="425">
        <f>'Key inputs_Refineries'!$H$190</f>
        <v>0.82</v>
      </c>
      <c r="AI718" s="425">
        <f>'Key inputs_Refineries'!$H$190</f>
        <v>0.82</v>
      </c>
      <c r="AJ718" s="425">
        <f>'Key inputs_Refineries'!$H$190</f>
        <v>0.82</v>
      </c>
      <c r="AK718" s="425">
        <f>'Key inputs_Refineries'!$H$190</f>
        <v>0.82</v>
      </c>
      <c r="AL718" s="425">
        <f>'Key inputs_Refineries'!$H$190</f>
        <v>0.82</v>
      </c>
      <c r="AN718" s="4"/>
      <c r="AQ718" s="4"/>
      <c r="AR718" s="4"/>
      <c r="AS718" s="4"/>
      <c r="AT718" s="4"/>
      <c r="AU718" s="4"/>
    </row>
    <row r="719" spans="1:47">
      <c r="C719" t="str">
        <f>Commodities!$C$92</f>
        <v>UPSGAS</v>
      </c>
      <c r="G719" s="4" t="s">
        <v>702</v>
      </c>
      <c r="H719" t="s">
        <v>661</v>
      </c>
      <c r="I719">
        <v>2019</v>
      </c>
      <c r="J719" t="s">
        <v>650</v>
      </c>
      <c r="K719" s="426">
        <v>1</v>
      </c>
      <c r="L719" s="426">
        <v>1</v>
      </c>
      <c r="M719" s="426">
        <v>1</v>
      </c>
      <c r="N719" s="426">
        <v>1</v>
      </c>
      <c r="O719" s="426">
        <v>1</v>
      </c>
      <c r="P719" s="426">
        <v>1</v>
      </c>
      <c r="Q719" s="426">
        <v>1</v>
      </c>
      <c r="R719" s="426">
        <v>1</v>
      </c>
      <c r="S719" s="426">
        <v>1</v>
      </c>
      <c r="T719" s="426">
        <v>1</v>
      </c>
      <c r="U719" s="426">
        <v>1</v>
      </c>
      <c r="V719" s="426">
        <v>1</v>
      </c>
      <c r="W719" s="426">
        <v>1</v>
      </c>
      <c r="X719" s="426">
        <v>1</v>
      </c>
      <c r="Y719" s="426">
        <v>1</v>
      </c>
      <c r="Z719" s="426">
        <v>1</v>
      </c>
      <c r="AA719" s="426">
        <v>1</v>
      </c>
      <c r="AB719" s="426">
        <v>1</v>
      </c>
      <c r="AC719" s="426">
        <v>1</v>
      </c>
      <c r="AD719" s="426">
        <v>1</v>
      </c>
      <c r="AE719" s="426">
        <v>1</v>
      </c>
      <c r="AF719" s="426">
        <v>1</v>
      </c>
      <c r="AG719" s="426">
        <v>1</v>
      </c>
      <c r="AH719" s="426">
        <v>1</v>
      </c>
      <c r="AI719" s="426">
        <v>1</v>
      </c>
      <c r="AJ719" s="426">
        <v>1</v>
      </c>
      <c r="AK719" s="426">
        <v>1</v>
      </c>
      <c r="AL719" s="426">
        <v>1</v>
      </c>
      <c r="AN719" s="4"/>
      <c r="AQ719" s="4"/>
      <c r="AR719" s="4"/>
      <c r="AS719" s="4"/>
      <c r="AT719" s="4"/>
      <c r="AU719" s="4"/>
    </row>
    <row r="720" spans="1:47">
      <c r="C720" t="str">
        <f>Commodities!$C$88</f>
        <v>UPSCOG</v>
      </c>
      <c r="G720" s="4" t="s">
        <v>702</v>
      </c>
      <c r="H720" t="s">
        <v>661</v>
      </c>
      <c r="I720">
        <v>2019</v>
      </c>
      <c r="J720" t="s">
        <v>650</v>
      </c>
      <c r="K720" s="426">
        <v>1</v>
      </c>
      <c r="L720" s="426">
        <v>1</v>
      </c>
      <c r="M720" s="426">
        <v>1</v>
      </c>
      <c r="N720" s="426">
        <v>1</v>
      </c>
      <c r="O720" s="426">
        <v>1</v>
      </c>
      <c r="P720" s="426">
        <v>1</v>
      </c>
      <c r="Q720" s="426">
        <v>1</v>
      </c>
      <c r="R720" s="426">
        <v>1</v>
      </c>
      <c r="S720" s="426">
        <v>1</v>
      </c>
      <c r="T720" s="426">
        <v>1</v>
      </c>
      <c r="U720" s="426">
        <v>1</v>
      </c>
      <c r="V720" s="426">
        <v>1</v>
      </c>
      <c r="W720" s="426">
        <v>1</v>
      </c>
      <c r="X720" s="426">
        <v>1</v>
      </c>
      <c r="Y720" s="426">
        <v>1</v>
      </c>
      <c r="Z720" s="426">
        <v>1</v>
      </c>
      <c r="AA720" s="426">
        <v>1</v>
      </c>
      <c r="AB720" s="426">
        <v>1</v>
      </c>
      <c r="AC720" s="426">
        <v>1</v>
      </c>
      <c r="AD720" s="426">
        <v>1</v>
      </c>
      <c r="AE720" s="426">
        <v>1</v>
      </c>
      <c r="AF720" s="426">
        <v>1</v>
      </c>
      <c r="AG720" s="426">
        <v>1</v>
      </c>
      <c r="AH720" s="426">
        <v>1</v>
      </c>
      <c r="AI720" s="426">
        <v>1</v>
      </c>
      <c r="AJ720" s="426">
        <v>1</v>
      </c>
      <c r="AK720" s="426">
        <v>1</v>
      </c>
      <c r="AL720" s="426">
        <v>1</v>
      </c>
      <c r="AN720" s="4"/>
      <c r="AQ720" s="4"/>
      <c r="AR720" s="4"/>
      <c r="AS720" s="4"/>
      <c r="AT720" s="4"/>
      <c r="AU720" s="4"/>
    </row>
    <row r="721" spans="1:47">
      <c r="C721" t="str">
        <f>Commodities!$C$84</f>
        <v>UPSBGS</v>
      </c>
      <c r="G721" s="4" t="s">
        <v>702</v>
      </c>
      <c r="H721" t="s">
        <v>661</v>
      </c>
      <c r="I721">
        <v>2019</v>
      </c>
      <c r="J721" t="s">
        <v>650</v>
      </c>
      <c r="K721" s="426">
        <v>0</v>
      </c>
      <c r="L721" s="426">
        <v>0</v>
      </c>
      <c r="M721" s="426">
        <v>0</v>
      </c>
      <c r="N721" s="426">
        <v>0</v>
      </c>
      <c r="O721" s="426">
        <v>0</v>
      </c>
      <c r="P721" s="426">
        <v>0</v>
      </c>
      <c r="Q721" s="426">
        <v>0</v>
      </c>
      <c r="R721" s="426">
        <v>0</v>
      </c>
      <c r="S721" s="426">
        <v>0</v>
      </c>
      <c r="T721" s="426">
        <v>0</v>
      </c>
      <c r="U721" s="426">
        <v>0</v>
      </c>
      <c r="V721" s="426">
        <v>0</v>
      </c>
      <c r="W721" s="426">
        <v>0</v>
      </c>
      <c r="X721" s="426">
        <v>0</v>
      </c>
      <c r="Y721" s="426">
        <v>0</v>
      </c>
      <c r="Z721" s="426">
        <v>0</v>
      </c>
      <c r="AA721" s="426">
        <v>0</v>
      </c>
      <c r="AB721" s="426">
        <v>0</v>
      </c>
      <c r="AC721" s="426">
        <v>0</v>
      </c>
      <c r="AD721" s="426">
        <v>0</v>
      </c>
      <c r="AE721" s="426">
        <v>0</v>
      </c>
      <c r="AF721" s="426">
        <v>0</v>
      </c>
      <c r="AG721" s="426">
        <v>0</v>
      </c>
      <c r="AH721" s="426">
        <v>0</v>
      </c>
      <c r="AI721" s="426">
        <v>0</v>
      </c>
      <c r="AJ721" s="426">
        <v>0</v>
      </c>
      <c r="AK721" s="426">
        <v>0</v>
      </c>
      <c r="AL721" s="426">
        <v>0</v>
      </c>
      <c r="AN721" s="4"/>
      <c r="AQ721" s="4"/>
      <c r="AR721" s="4"/>
      <c r="AS721" s="4"/>
      <c r="AT721" s="4"/>
      <c r="AU721" s="4"/>
    </row>
    <row r="722" spans="1:47">
      <c r="C722" t="str">
        <f>Commodities!$C$92</f>
        <v>UPSGAS</v>
      </c>
      <c r="G722" s="4" t="s">
        <v>702</v>
      </c>
      <c r="H722" t="s">
        <v>661</v>
      </c>
      <c r="I722">
        <v>2025</v>
      </c>
      <c r="J722" t="s">
        <v>650</v>
      </c>
      <c r="K722" s="426">
        <v>1</v>
      </c>
      <c r="L722" s="426">
        <v>1</v>
      </c>
      <c r="M722" s="426">
        <v>1</v>
      </c>
      <c r="N722" s="426">
        <v>1</v>
      </c>
      <c r="O722" s="426">
        <v>1</v>
      </c>
      <c r="P722" s="426">
        <v>1</v>
      </c>
      <c r="Q722" s="426">
        <v>1</v>
      </c>
      <c r="R722" s="426">
        <v>1</v>
      </c>
      <c r="S722" s="426">
        <v>1</v>
      </c>
      <c r="T722" s="426">
        <v>1</v>
      </c>
      <c r="U722" s="426">
        <v>1</v>
      </c>
      <c r="V722" s="426">
        <v>1</v>
      </c>
      <c r="W722" s="426">
        <v>1</v>
      </c>
      <c r="X722" s="426">
        <v>1</v>
      </c>
      <c r="Y722" s="426">
        <v>1</v>
      </c>
      <c r="Z722" s="426">
        <v>1</v>
      </c>
      <c r="AA722" s="426">
        <v>1</v>
      </c>
      <c r="AB722" s="426">
        <v>1</v>
      </c>
      <c r="AC722" s="426">
        <v>1</v>
      </c>
      <c r="AD722" s="426">
        <v>1</v>
      </c>
      <c r="AE722" s="426">
        <v>1</v>
      </c>
      <c r="AF722" s="426">
        <v>1</v>
      </c>
      <c r="AG722" s="426">
        <v>1</v>
      </c>
      <c r="AH722" s="426">
        <v>1</v>
      </c>
      <c r="AI722" s="426">
        <v>1</v>
      </c>
      <c r="AJ722" s="426">
        <v>1</v>
      </c>
      <c r="AK722" s="426">
        <v>1</v>
      </c>
      <c r="AL722" s="426">
        <v>1</v>
      </c>
      <c r="AN722" s="4"/>
      <c r="AQ722" s="4"/>
      <c r="AR722" s="4"/>
      <c r="AS722" s="4"/>
      <c r="AT722" s="4"/>
      <c r="AU722" s="4"/>
    </row>
    <row r="723" spans="1:47">
      <c r="C723" t="str">
        <f>Commodities!$C$88</f>
        <v>UPSCOG</v>
      </c>
      <c r="G723" s="4" t="s">
        <v>702</v>
      </c>
      <c r="H723" t="s">
        <v>661</v>
      </c>
      <c r="I723">
        <v>2025</v>
      </c>
      <c r="J723" t="s">
        <v>650</v>
      </c>
      <c r="K723" s="426">
        <v>1</v>
      </c>
      <c r="L723" s="426">
        <v>1</v>
      </c>
      <c r="M723" s="426">
        <v>1</v>
      </c>
      <c r="N723" s="426">
        <v>1</v>
      </c>
      <c r="O723" s="426">
        <v>1</v>
      </c>
      <c r="P723" s="426">
        <v>1</v>
      </c>
      <c r="Q723" s="426">
        <v>1</v>
      </c>
      <c r="R723" s="426">
        <v>1</v>
      </c>
      <c r="S723" s="426">
        <v>1</v>
      </c>
      <c r="T723" s="426">
        <v>1</v>
      </c>
      <c r="U723" s="426">
        <v>1</v>
      </c>
      <c r="V723" s="426">
        <v>1</v>
      </c>
      <c r="W723" s="426">
        <v>1</v>
      </c>
      <c r="X723" s="426">
        <v>1</v>
      </c>
      <c r="Y723" s="426">
        <v>1</v>
      </c>
      <c r="Z723" s="426">
        <v>1</v>
      </c>
      <c r="AA723" s="426">
        <v>1</v>
      </c>
      <c r="AB723" s="426">
        <v>1</v>
      </c>
      <c r="AC723" s="426">
        <v>1</v>
      </c>
      <c r="AD723" s="426">
        <v>1</v>
      </c>
      <c r="AE723" s="426">
        <v>1</v>
      </c>
      <c r="AF723" s="426">
        <v>1</v>
      </c>
      <c r="AG723" s="426">
        <v>1</v>
      </c>
      <c r="AH723" s="426">
        <v>1</v>
      </c>
      <c r="AI723" s="426">
        <v>1</v>
      </c>
      <c r="AJ723" s="426">
        <v>1</v>
      </c>
      <c r="AK723" s="426">
        <v>1</v>
      </c>
      <c r="AL723" s="426">
        <v>1</v>
      </c>
      <c r="AN723" s="4"/>
      <c r="AQ723" s="4"/>
      <c r="AR723" s="4"/>
      <c r="AS723" s="4"/>
      <c r="AT723" s="4"/>
      <c r="AU723" s="4"/>
    </row>
    <row r="724" spans="1:47">
      <c r="C724" t="str">
        <f>Commodities!$C$84</f>
        <v>UPSBGS</v>
      </c>
      <c r="G724" s="4" t="s">
        <v>702</v>
      </c>
      <c r="H724" t="s">
        <v>661</v>
      </c>
      <c r="I724">
        <v>2025</v>
      </c>
      <c r="J724" t="s">
        <v>650</v>
      </c>
      <c r="K724" s="426">
        <v>1</v>
      </c>
      <c r="L724" s="426">
        <v>1</v>
      </c>
      <c r="M724" s="426">
        <v>1</v>
      </c>
      <c r="N724" s="426">
        <v>1</v>
      </c>
      <c r="O724" s="426">
        <v>1</v>
      </c>
      <c r="P724" s="426">
        <v>1</v>
      </c>
      <c r="Q724" s="426">
        <v>1</v>
      </c>
      <c r="R724" s="426">
        <v>1</v>
      </c>
      <c r="S724" s="426">
        <v>1</v>
      </c>
      <c r="T724" s="426">
        <v>1</v>
      </c>
      <c r="U724" s="426">
        <v>1</v>
      </c>
      <c r="V724" s="426">
        <v>1</v>
      </c>
      <c r="W724" s="426">
        <v>1</v>
      </c>
      <c r="X724" s="426">
        <v>1</v>
      </c>
      <c r="Y724" s="426">
        <v>1</v>
      </c>
      <c r="Z724" s="426">
        <v>1</v>
      </c>
      <c r="AA724" s="426">
        <v>1</v>
      </c>
      <c r="AB724" s="426">
        <v>1</v>
      </c>
      <c r="AC724" s="426">
        <v>1</v>
      </c>
      <c r="AD724" s="426">
        <v>1</v>
      </c>
      <c r="AE724" s="426">
        <v>1</v>
      </c>
      <c r="AF724" s="426">
        <v>1</v>
      </c>
      <c r="AG724" s="426">
        <v>1</v>
      </c>
      <c r="AH724" s="426">
        <v>1</v>
      </c>
      <c r="AI724" s="426">
        <v>1</v>
      </c>
      <c r="AJ724" s="426">
        <v>1</v>
      </c>
      <c r="AK724" s="426">
        <v>1</v>
      </c>
      <c r="AL724" s="426">
        <v>1</v>
      </c>
      <c r="AN724" s="4"/>
      <c r="AQ724" s="4"/>
      <c r="AR724" s="4"/>
      <c r="AS724" s="4"/>
      <c r="AT724" s="4"/>
      <c r="AU724" s="4"/>
    </row>
    <row r="725" spans="1:47">
      <c r="C725" t="str">
        <f>Commodities!$C$92</f>
        <v>UPSGAS</v>
      </c>
      <c r="G725" s="4" t="s">
        <v>702</v>
      </c>
      <c r="H725" t="s">
        <v>661</v>
      </c>
      <c r="I725">
        <v>2050</v>
      </c>
      <c r="J725" t="s">
        <v>650</v>
      </c>
      <c r="K725" s="426">
        <v>1</v>
      </c>
      <c r="L725" s="426">
        <v>1</v>
      </c>
      <c r="M725" s="426">
        <v>1</v>
      </c>
      <c r="N725" s="426">
        <v>1</v>
      </c>
      <c r="O725" s="426">
        <v>1</v>
      </c>
      <c r="P725" s="426">
        <v>1</v>
      </c>
      <c r="Q725" s="426">
        <v>1</v>
      </c>
      <c r="R725" s="426">
        <v>1</v>
      </c>
      <c r="S725" s="426">
        <v>1</v>
      </c>
      <c r="T725" s="426">
        <v>1</v>
      </c>
      <c r="U725" s="426">
        <v>1</v>
      </c>
      <c r="V725" s="426">
        <v>1</v>
      </c>
      <c r="W725" s="426">
        <v>1</v>
      </c>
      <c r="X725" s="426">
        <v>1</v>
      </c>
      <c r="Y725" s="426">
        <v>1</v>
      </c>
      <c r="Z725" s="426">
        <v>1</v>
      </c>
      <c r="AA725" s="426">
        <v>1</v>
      </c>
      <c r="AB725" s="426">
        <v>1</v>
      </c>
      <c r="AC725" s="426">
        <v>1</v>
      </c>
      <c r="AD725" s="426">
        <v>1</v>
      </c>
      <c r="AE725" s="426">
        <v>1</v>
      </c>
      <c r="AF725" s="426">
        <v>1</v>
      </c>
      <c r="AG725" s="426">
        <v>1</v>
      </c>
      <c r="AH725" s="426">
        <v>1</v>
      </c>
      <c r="AI725" s="426">
        <v>1</v>
      </c>
      <c r="AJ725" s="426">
        <v>1</v>
      </c>
      <c r="AK725" s="426">
        <v>1</v>
      </c>
      <c r="AL725" s="426">
        <v>1</v>
      </c>
      <c r="AN725" s="4"/>
      <c r="AQ725" s="4"/>
      <c r="AR725" s="4"/>
      <c r="AS725" s="4"/>
      <c r="AT725" s="4"/>
      <c r="AU725" s="4"/>
    </row>
    <row r="726" spans="1:47">
      <c r="C726" t="str">
        <f>Commodities!$C$88</f>
        <v>UPSCOG</v>
      </c>
      <c r="G726" s="4" t="s">
        <v>702</v>
      </c>
      <c r="H726" t="s">
        <v>661</v>
      </c>
      <c r="I726">
        <v>2050</v>
      </c>
      <c r="J726" t="s">
        <v>650</v>
      </c>
      <c r="K726" s="426">
        <v>1</v>
      </c>
      <c r="L726" s="426">
        <v>1</v>
      </c>
      <c r="M726" s="426">
        <v>1</v>
      </c>
      <c r="N726" s="426">
        <v>1</v>
      </c>
      <c r="O726" s="426">
        <v>1</v>
      </c>
      <c r="P726" s="426">
        <v>1</v>
      </c>
      <c r="Q726" s="426">
        <v>1</v>
      </c>
      <c r="R726" s="426">
        <v>1</v>
      </c>
      <c r="S726" s="426">
        <v>1</v>
      </c>
      <c r="T726" s="426">
        <v>1</v>
      </c>
      <c r="U726" s="426">
        <v>1</v>
      </c>
      <c r="V726" s="426">
        <v>1</v>
      </c>
      <c r="W726" s="426">
        <v>1</v>
      </c>
      <c r="X726" s="426">
        <v>1</v>
      </c>
      <c r="Y726" s="426">
        <v>1</v>
      </c>
      <c r="Z726" s="426">
        <v>1</v>
      </c>
      <c r="AA726" s="426">
        <v>1</v>
      </c>
      <c r="AB726" s="426">
        <v>1</v>
      </c>
      <c r="AC726" s="426">
        <v>1</v>
      </c>
      <c r="AD726" s="426">
        <v>1</v>
      </c>
      <c r="AE726" s="426">
        <v>1</v>
      </c>
      <c r="AF726" s="426">
        <v>1</v>
      </c>
      <c r="AG726" s="426">
        <v>1</v>
      </c>
      <c r="AH726" s="426">
        <v>1</v>
      </c>
      <c r="AI726" s="426">
        <v>1</v>
      </c>
      <c r="AJ726" s="426">
        <v>1</v>
      </c>
      <c r="AK726" s="426">
        <v>1</v>
      </c>
      <c r="AL726" s="426">
        <v>1</v>
      </c>
      <c r="AN726" s="4"/>
      <c r="AQ726" s="4"/>
      <c r="AR726" s="4"/>
      <c r="AS726" s="4"/>
      <c r="AT726" s="4"/>
      <c r="AU726" s="4"/>
    </row>
    <row r="727" spans="1:47">
      <c r="C727" t="str">
        <f>Commodities!$C$84</f>
        <v>UPSBGS</v>
      </c>
      <c r="G727" s="4" t="s">
        <v>702</v>
      </c>
      <c r="H727" t="s">
        <v>661</v>
      </c>
      <c r="I727">
        <v>2050</v>
      </c>
      <c r="J727" t="s">
        <v>650</v>
      </c>
      <c r="K727" s="426">
        <v>1</v>
      </c>
      <c r="L727" s="426">
        <v>1</v>
      </c>
      <c r="M727" s="426">
        <v>1</v>
      </c>
      <c r="N727" s="426">
        <v>1</v>
      </c>
      <c r="O727" s="426">
        <v>1</v>
      </c>
      <c r="P727" s="426">
        <v>1</v>
      </c>
      <c r="Q727" s="426">
        <v>1</v>
      </c>
      <c r="R727" s="426">
        <v>1</v>
      </c>
      <c r="S727" s="426">
        <v>1</v>
      </c>
      <c r="T727" s="426">
        <v>1</v>
      </c>
      <c r="U727" s="426">
        <v>1</v>
      </c>
      <c r="V727" s="426">
        <v>1</v>
      </c>
      <c r="W727" s="426">
        <v>1</v>
      </c>
      <c r="X727" s="426">
        <v>1</v>
      </c>
      <c r="Y727" s="426">
        <v>1</v>
      </c>
      <c r="Z727" s="426">
        <v>1</v>
      </c>
      <c r="AA727" s="426">
        <v>1</v>
      </c>
      <c r="AB727" s="426">
        <v>1</v>
      </c>
      <c r="AC727" s="426">
        <v>1</v>
      </c>
      <c r="AD727" s="426">
        <v>1</v>
      </c>
      <c r="AE727" s="426">
        <v>1</v>
      </c>
      <c r="AF727" s="426">
        <v>1</v>
      </c>
      <c r="AG727" s="426">
        <v>1</v>
      </c>
      <c r="AH727" s="426">
        <v>1</v>
      </c>
      <c r="AI727" s="426">
        <v>1</v>
      </c>
      <c r="AJ727" s="426">
        <v>1</v>
      </c>
      <c r="AK727" s="426">
        <v>1</v>
      </c>
      <c r="AL727" s="426">
        <v>1</v>
      </c>
      <c r="AN727" s="4"/>
      <c r="AQ727" s="4"/>
      <c r="AR727" s="4"/>
      <c r="AS727" s="4"/>
      <c r="AT727" s="4"/>
      <c r="AU727" s="4"/>
    </row>
    <row r="728" spans="1:47">
      <c r="D728" t="str">
        <f>Commodities!$C$107</f>
        <v>UREFHVA</v>
      </c>
      <c r="AN728" s="4"/>
      <c r="AQ728" s="4"/>
      <c r="AR728" s="4"/>
      <c r="AS728" s="4"/>
      <c r="AT728" s="4"/>
      <c r="AU728" s="4"/>
    </row>
    <row r="729" spans="1:47">
      <c r="A729" s="4" t="str">
        <f>AO431</f>
        <v>U-TRF-OILREFHVA_OIL01</v>
      </c>
      <c r="B729" s="4" t="str">
        <f>AP431</f>
        <v>UPS Transformation: Oil refinery HVAC Petroleum product - New</v>
      </c>
      <c r="C729" s="4"/>
      <c r="D729" s="4"/>
      <c r="E729" s="4"/>
      <c r="F729" s="4"/>
      <c r="G729" s="4" t="s">
        <v>695</v>
      </c>
      <c r="H729" s="4"/>
      <c r="I729" s="4"/>
      <c r="J729" s="4" t="s">
        <v>2665</v>
      </c>
      <c r="K729" s="333">
        <v>1</v>
      </c>
      <c r="L729" s="333">
        <v>1</v>
      </c>
      <c r="M729" s="333">
        <v>1</v>
      </c>
      <c r="N729" s="333">
        <v>1</v>
      </c>
      <c r="O729" s="333">
        <v>1</v>
      </c>
      <c r="P729" s="333">
        <v>1</v>
      </c>
      <c r="Q729" s="333">
        <v>1</v>
      </c>
      <c r="R729" s="333">
        <v>1</v>
      </c>
      <c r="S729" s="333">
        <v>1</v>
      </c>
      <c r="T729" s="333">
        <v>1</v>
      </c>
      <c r="U729" s="333">
        <v>1</v>
      </c>
      <c r="V729" s="333">
        <v>1</v>
      </c>
      <c r="W729" s="333">
        <v>1</v>
      </c>
      <c r="X729" s="333">
        <v>1</v>
      </c>
      <c r="Y729" s="333">
        <v>1</v>
      </c>
      <c r="Z729" s="333">
        <v>1</v>
      </c>
      <c r="AA729" s="333">
        <v>1</v>
      </c>
      <c r="AB729" s="333">
        <v>1</v>
      </c>
      <c r="AC729" s="333">
        <v>1</v>
      </c>
      <c r="AD729" s="333">
        <v>1</v>
      </c>
      <c r="AE729" s="333">
        <v>1</v>
      </c>
      <c r="AF729" s="333">
        <v>1</v>
      </c>
      <c r="AG729" s="333">
        <v>1</v>
      </c>
      <c r="AH729" s="333">
        <v>1</v>
      </c>
      <c r="AI729" s="333">
        <v>1</v>
      </c>
      <c r="AJ729" s="333">
        <v>1</v>
      </c>
      <c r="AK729" s="333">
        <v>1</v>
      </c>
      <c r="AL729" s="333">
        <v>1</v>
      </c>
      <c r="AN729" s="4"/>
      <c r="AQ729" s="4"/>
      <c r="AR729" s="4"/>
      <c r="AS729" s="4"/>
      <c r="AT729" s="4"/>
      <c r="AU729" s="4"/>
    </row>
    <row r="730" spans="1:47">
      <c r="C730" s="4"/>
      <c r="D730" s="4"/>
      <c r="E730" s="4"/>
      <c r="F730" s="4"/>
      <c r="G730" s="4" t="s">
        <v>697</v>
      </c>
      <c r="H730" s="4"/>
      <c r="I730" s="4"/>
      <c r="J730" s="4" t="s">
        <v>698</v>
      </c>
      <c r="K730" s="424">
        <f>'Key inputs_Refineries'!$F$191</f>
        <v>15</v>
      </c>
      <c r="L730" s="424">
        <f>'Key inputs_Refineries'!$F$191</f>
        <v>15</v>
      </c>
      <c r="M730" s="424">
        <f>'Key inputs_Refineries'!$F$191</f>
        <v>15</v>
      </c>
      <c r="N730" s="424">
        <f>'Key inputs_Refineries'!$F$191</f>
        <v>15</v>
      </c>
      <c r="O730" s="424">
        <f>'Key inputs_Refineries'!$F$191</f>
        <v>15</v>
      </c>
      <c r="P730" s="424">
        <f>'Key inputs_Refineries'!$F$191</f>
        <v>15</v>
      </c>
      <c r="Q730" s="424">
        <f>'Key inputs_Refineries'!$F$191</f>
        <v>15</v>
      </c>
      <c r="R730" s="424">
        <f>'Key inputs_Refineries'!$F$191</f>
        <v>15</v>
      </c>
      <c r="S730" s="424">
        <f>'Key inputs_Refineries'!$F$191</f>
        <v>15</v>
      </c>
      <c r="T730" s="424">
        <f>'Key inputs_Refineries'!$F$191</f>
        <v>15</v>
      </c>
      <c r="U730" s="424">
        <f>'Key inputs_Refineries'!$F$191</f>
        <v>15</v>
      </c>
      <c r="V730" s="424">
        <f>'Key inputs_Refineries'!$F$191</f>
        <v>15</v>
      </c>
      <c r="W730" s="424">
        <f>'Key inputs_Refineries'!$F$191</f>
        <v>15</v>
      </c>
      <c r="X730" s="424">
        <f>'Key inputs_Refineries'!$F$191</f>
        <v>15</v>
      </c>
      <c r="Y730" s="424">
        <f>'Key inputs_Refineries'!$F$191</f>
        <v>15</v>
      </c>
      <c r="Z730" s="424">
        <f>'Key inputs_Refineries'!$F$191</f>
        <v>15</v>
      </c>
      <c r="AA730" s="424">
        <f>'Key inputs_Refineries'!$F$191</f>
        <v>15</v>
      </c>
      <c r="AB730" s="424">
        <f>'Key inputs_Refineries'!$F$191</f>
        <v>15</v>
      </c>
      <c r="AC730" s="424">
        <f>'Key inputs_Refineries'!$F$191</f>
        <v>15</v>
      </c>
      <c r="AD730" s="424">
        <f>'Key inputs_Refineries'!$F$191</f>
        <v>15</v>
      </c>
      <c r="AE730" s="424">
        <f>'Key inputs_Refineries'!$F$191</f>
        <v>15</v>
      </c>
      <c r="AF730" s="424">
        <f>'Key inputs_Refineries'!$F$191</f>
        <v>15</v>
      </c>
      <c r="AG730" s="424">
        <f>'Key inputs_Refineries'!$F$191</f>
        <v>15</v>
      </c>
      <c r="AH730" s="424">
        <f>'Key inputs_Refineries'!$F$191</f>
        <v>15</v>
      </c>
      <c r="AI730" s="424">
        <f>'Key inputs_Refineries'!$F$191</f>
        <v>15</v>
      </c>
      <c r="AJ730" s="424">
        <f>'Key inputs_Refineries'!$F$191</f>
        <v>15</v>
      </c>
      <c r="AK730" s="424">
        <f>'Key inputs_Refineries'!$F$191</f>
        <v>15</v>
      </c>
      <c r="AL730" s="424">
        <f>'Key inputs_Refineries'!$F$191</f>
        <v>15</v>
      </c>
      <c r="AN730" s="4"/>
      <c r="AQ730" s="4"/>
      <c r="AR730" s="4"/>
      <c r="AS730" s="4"/>
      <c r="AT730" s="4"/>
      <c r="AU730" s="4"/>
    </row>
    <row r="731" spans="1:47">
      <c r="C731" s="4"/>
      <c r="D731" s="4"/>
      <c r="E731" s="4"/>
      <c r="F731" s="4"/>
      <c r="G731" s="4" t="s">
        <v>707</v>
      </c>
      <c r="H731" s="4"/>
      <c r="I731" s="4"/>
      <c r="J731" s="4" t="s">
        <v>2669</v>
      </c>
      <c r="K731" s="347">
        <v>2020</v>
      </c>
      <c r="L731" s="347">
        <v>2020</v>
      </c>
      <c r="M731" s="347">
        <v>2020</v>
      </c>
      <c r="N731" s="347">
        <v>2020</v>
      </c>
      <c r="O731" s="347">
        <v>2020</v>
      </c>
      <c r="P731" s="347">
        <v>2020</v>
      </c>
      <c r="Q731" s="347">
        <v>2020</v>
      </c>
      <c r="R731" s="347">
        <v>2020</v>
      </c>
      <c r="S731" s="347">
        <v>2020</v>
      </c>
      <c r="T731" s="347">
        <v>2020</v>
      </c>
      <c r="U731" s="347">
        <v>2020</v>
      </c>
      <c r="V731" s="347">
        <v>2020</v>
      </c>
      <c r="W731" s="347">
        <v>2020</v>
      </c>
      <c r="X731" s="347">
        <v>2020</v>
      </c>
      <c r="Y731" s="347">
        <v>2020</v>
      </c>
      <c r="Z731" s="347">
        <v>2020</v>
      </c>
      <c r="AA731" s="347">
        <v>2020</v>
      </c>
      <c r="AB731" s="347">
        <v>2020</v>
      </c>
      <c r="AC731" s="347">
        <v>2020</v>
      </c>
      <c r="AD731" s="347">
        <v>2020</v>
      </c>
      <c r="AE731" s="347">
        <v>2020</v>
      </c>
      <c r="AF731" s="347">
        <v>2020</v>
      </c>
      <c r="AG731" s="347">
        <v>2020</v>
      </c>
      <c r="AH731" s="347">
        <v>2020</v>
      </c>
      <c r="AI731" s="347">
        <v>2020</v>
      </c>
      <c r="AJ731" s="347">
        <v>2020</v>
      </c>
      <c r="AK731" s="347">
        <v>2020</v>
      </c>
      <c r="AL731" s="347">
        <v>2020</v>
      </c>
      <c r="AN731" s="4"/>
      <c r="AQ731" s="4"/>
      <c r="AR731" s="4"/>
      <c r="AS731" s="4"/>
      <c r="AT731" s="4"/>
      <c r="AU731" s="4"/>
    </row>
    <row r="732" spans="1:47">
      <c r="G732" s="4" t="s">
        <v>701</v>
      </c>
      <c r="H732" s="4" t="s">
        <v>661</v>
      </c>
      <c r="I732" s="4">
        <v>2019</v>
      </c>
      <c r="J732" s="4" t="s">
        <v>112</v>
      </c>
      <c r="K732" s="333"/>
      <c r="L732" s="333"/>
      <c r="M732" s="333"/>
      <c r="N732" s="333"/>
      <c r="O732" s="333"/>
      <c r="P732" s="333"/>
      <c r="Q732" s="333"/>
      <c r="R732" s="333"/>
      <c r="S732" s="333"/>
      <c r="T732" s="333"/>
      <c r="U732" s="333"/>
      <c r="V732" s="333"/>
      <c r="W732" s="333"/>
      <c r="X732" s="333"/>
      <c r="Y732" s="333"/>
      <c r="Z732" s="333"/>
      <c r="AA732" s="333"/>
      <c r="AB732" s="333"/>
      <c r="AC732" s="333"/>
      <c r="AD732" s="333"/>
      <c r="AE732" s="333"/>
      <c r="AF732" s="333"/>
      <c r="AG732" s="333"/>
      <c r="AH732" s="333"/>
      <c r="AI732" s="333"/>
      <c r="AJ732" s="333"/>
      <c r="AK732" s="333"/>
      <c r="AL732" s="333"/>
      <c r="AT732" s="4"/>
      <c r="AU732" s="4"/>
    </row>
    <row r="733" spans="1:47">
      <c r="G733" s="4" t="s">
        <v>701</v>
      </c>
      <c r="H733" s="4" t="s">
        <v>661</v>
      </c>
      <c r="I733" s="4">
        <v>2060</v>
      </c>
      <c r="J733" s="4" t="s">
        <v>112</v>
      </c>
      <c r="K733" s="333"/>
      <c r="L733" s="333"/>
      <c r="M733" s="333"/>
      <c r="N733" s="333"/>
      <c r="O733" s="333"/>
      <c r="P733" s="333"/>
      <c r="Q733" s="333"/>
      <c r="R733" s="333"/>
      <c r="S733" s="333"/>
      <c r="T733" s="333"/>
      <c r="U733" s="333"/>
      <c r="V733" s="333"/>
      <c r="W733" s="333"/>
      <c r="X733" s="333"/>
      <c r="Y733" s="333"/>
      <c r="Z733" s="333"/>
      <c r="AA733" s="333"/>
      <c r="AB733" s="333"/>
      <c r="AC733" s="333"/>
      <c r="AD733" s="333"/>
      <c r="AE733" s="333"/>
      <c r="AF733" s="333"/>
      <c r="AG733" s="333"/>
      <c r="AH733" s="333"/>
      <c r="AI733" s="333"/>
      <c r="AJ733" s="333"/>
      <c r="AK733" s="333"/>
      <c r="AL733" s="333"/>
      <c r="AT733" s="4"/>
      <c r="AU733" s="4"/>
    </row>
    <row r="734" spans="1:47">
      <c r="G734" s="4" t="s">
        <v>701</v>
      </c>
      <c r="H734" s="4" t="s">
        <v>661</v>
      </c>
      <c r="I734" s="4">
        <v>0</v>
      </c>
      <c r="J734" s="4"/>
      <c r="K734" s="333"/>
      <c r="L734" s="333"/>
      <c r="M734" s="333"/>
      <c r="N734" s="333"/>
      <c r="O734" s="333"/>
      <c r="P734" s="333"/>
      <c r="Q734" s="333"/>
      <c r="R734" s="333"/>
      <c r="S734" s="333"/>
      <c r="T734" s="333"/>
      <c r="U734" s="333"/>
      <c r="V734" s="333"/>
      <c r="W734" s="333"/>
      <c r="X734" s="333"/>
      <c r="Y734" s="333"/>
      <c r="Z734" s="333"/>
      <c r="AA734" s="333"/>
      <c r="AB734" s="333"/>
      <c r="AC734" s="333"/>
      <c r="AD734" s="333"/>
      <c r="AE734" s="333"/>
      <c r="AF734" s="333"/>
      <c r="AG734" s="333"/>
      <c r="AH734" s="333"/>
      <c r="AI734" s="333"/>
      <c r="AJ734" s="333"/>
      <c r="AK734" s="333"/>
      <c r="AL734" s="333"/>
      <c r="AT734" s="4"/>
      <c r="AU734" s="4"/>
    </row>
    <row r="735" spans="1:47">
      <c r="G735" s="4" t="s">
        <v>687</v>
      </c>
      <c r="H735" s="4"/>
      <c r="I735" s="4"/>
      <c r="J735" s="4" t="s">
        <v>2663</v>
      </c>
      <c r="K735" s="425">
        <f>'Key inputs_Refineries'!$C$191*10^3</f>
        <v>104.06880000000001</v>
      </c>
      <c r="L735" s="425">
        <f>'Key inputs_Refineries'!$C$191*10^3</f>
        <v>104.06880000000001</v>
      </c>
      <c r="M735" s="425">
        <f>'Key inputs_Refineries'!$C$191*10^3</f>
        <v>104.06880000000001</v>
      </c>
      <c r="N735" s="425">
        <f>'Key inputs_Refineries'!$C$191*10^3</f>
        <v>104.06880000000001</v>
      </c>
      <c r="O735" s="425">
        <f>'Key inputs_Refineries'!$C$191*10^3</f>
        <v>104.06880000000001</v>
      </c>
      <c r="P735" s="425">
        <f>'Key inputs_Refineries'!$C$191*10^3</f>
        <v>104.06880000000001</v>
      </c>
      <c r="Q735" s="425">
        <f>'Key inputs_Refineries'!$C$191*10^3</f>
        <v>104.06880000000001</v>
      </c>
      <c r="R735" s="425">
        <f>'Key inputs_Refineries'!$C$191*10^3</f>
        <v>104.06880000000001</v>
      </c>
      <c r="S735" s="425">
        <f>'Key inputs_Refineries'!$C$191*10^3</f>
        <v>104.06880000000001</v>
      </c>
      <c r="T735" s="425">
        <f>'Key inputs_Refineries'!$C$191*10^3</f>
        <v>104.06880000000001</v>
      </c>
      <c r="U735" s="425">
        <f>'Key inputs_Refineries'!$C$191*10^3</f>
        <v>104.06880000000001</v>
      </c>
      <c r="V735" s="425">
        <f>'Key inputs_Refineries'!$C$191*10^3</f>
        <v>104.06880000000001</v>
      </c>
      <c r="W735" s="425">
        <f>'Key inputs_Refineries'!$C$191*10^3</f>
        <v>104.06880000000001</v>
      </c>
      <c r="X735" s="425">
        <f>'Key inputs_Refineries'!$C$191*10^3</f>
        <v>104.06880000000001</v>
      </c>
      <c r="Y735" s="425">
        <f>'Key inputs_Refineries'!$C$191*10^3</f>
        <v>104.06880000000001</v>
      </c>
      <c r="Z735" s="425">
        <f>'Key inputs_Refineries'!$C$191*10^3</f>
        <v>104.06880000000001</v>
      </c>
      <c r="AA735" s="425">
        <f>'Key inputs_Refineries'!$C$191*10^3</f>
        <v>104.06880000000001</v>
      </c>
      <c r="AB735" s="425">
        <f>'Key inputs_Refineries'!$C$191*10^3</f>
        <v>104.06880000000001</v>
      </c>
      <c r="AC735" s="425">
        <f>'Key inputs_Refineries'!$C$191*10^3</f>
        <v>104.06880000000001</v>
      </c>
      <c r="AD735" s="425">
        <f>'Key inputs_Refineries'!$C$191*10^3</f>
        <v>104.06880000000001</v>
      </c>
      <c r="AE735" s="425">
        <f>'Key inputs_Refineries'!$C$191*10^3</f>
        <v>104.06880000000001</v>
      </c>
      <c r="AF735" s="425">
        <f>'Key inputs_Refineries'!$C$191*10^3</f>
        <v>104.06880000000001</v>
      </c>
      <c r="AG735" s="425">
        <f>'Key inputs_Refineries'!$C$191*10^3</f>
        <v>104.06880000000001</v>
      </c>
      <c r="AH735" s="425">
        <f>'Key inputs_Refineries'!$C$191*10^3</f>
        <v>104.06880000000001</v>
      </c>
      <c r="AI735" s="425">
        <f>'Key inputs_Refineries'!$C$191*10^3</f>
        <v>104.06880000000001</v>
      </c>
      <c r="AJ735" s="425">
        <f>'Key inputs_Refineries'!$C$191*10^3</f>
        <v>104.06880000000001</v>
      </c>
      <c r="AK735" s="425">
        <f>'Key inputs_Refineries'!$C$191*10^3</f>
        <v>104.06880000000001</v>
      </c>
      <c r="AL735" s="425">
        <f>'Key inputs_Refineries'!$C$191*10^3</f>
        <v>104.06880000000001</v>
      </c>
      <c r="AT735" s="4"/>
      <c r="AU735" s="4"/>
    </row>
    <row r="736" spans="1:47">
      <c r="G736" s="4" t="s">
        <v>689</v>
      </c>
      <c r="H736" s="4"/>
      <c r="I736" s="4"/>
      <c r="J736" s="4" t="s">
        <v>2663</v>
      </c>
      <c r="K736" s="425">
        <f>'Key inputs_Refineries'!$D$191*10^3</f>
        <v>0.94608000000000003</v>
      </c>
      <c r="L736" s="425">
        <f>'Key inputs_Refineries'!$D$191*10^3</f>
        <v>0.94608000000000003</v>
      </c>
      <c r="M736" s="425">
        <f>'Key inputs_Refineries'!$D$191*10^3</f>
        <v>0.94608000000000003</v>
      </c>
      <c r="N736" s="425">
        <f>'Key inputs_Refineries'!$D$191*10^3</f>
        <v>0.94608000000000003</v>
      </c>
      <c r="O736" s="425">
        <f>'Key inputs_Refineries'!$D$191*10^3</f>
        <v>0.94608000000000003</v>
      </c>
      <c r="P736" s="425">
        <f>'Key inputs_Refineries'!$D$191*10^3</f>
        <v>0.94608000000000003</v>
      </c>
      <c r="Q736" s="425">
        <f>'Key inputs_Refineries'!$D$191*10^3</f>
        <v>0.94608000000000003</v>
      </c>
      <c r="R736" s="425">
        <f>'Key inputs_Refineries'!$D$191*10^3</f>
        <v>0.94608000000000003</v>
      </c>
      <c r="S736" s="425">
        <f>'Key inputs_Refineries'!$D$191*10^3</f>
        <v>0.94608000000000003</v>
      </c>
      <c r="T736" s="425">
        <f>'Key inputs_Refineries'!$D$191*10^3</f>
        <v>0.94608000000000003</v>
      </c>
      <c r="U736" s="425">
        <f>'Key inputs_Refineries'!$D$191*10^3</f>
        <v>0.94608000000000003</v>
      </c>
      <c r="V736" s="425">
        <f>'Key inputs_Refineries'!$D$191*10^3</f>
        <v>0.94608000000000003</v>
      </c>
      <c r="W736" s="425">
        <f>'Key inputs_Refineries'!$D$191*10^3</f>
        <v>0.94608000000000003</v>
      </c>
      <c r="X736" s="425">
        <f>'Key inputs_Refineries'!$D$191*10^3</f>
        <v>0.94608000000000003</v>
      </c>
      <c r="Y736" s="425">
        <f>'Key inputs_Refineries'!$D$191*10^3</f>
        <v>0.94608000000000003</v>
      </c>
      <c r="Z736" s="425">
        <f>'Key inputs_Refineries'!$D$191*10^3</f>
        <v>0.94608000000000003</v>
      </c>
      <c r="AA736" s="425">
        <f>'Key inputs_Refineries'!$D$191*10^3</f>
        <v>0.94608000000000003</v>
      </c>
      <c r="AB736" s="425">
        <f>'Key inputs_Refineries'!$D$191*10^3</f>
        <v>0.94608000000000003</v>
      </c>
      <c r="AC736" s="425">
        <f>'Key inputs_Refineries'!$D$191*10^3</f>
        <v>0.94608000000000003</v>
      </c>
      <c r="AD736" s="425">
        <f>'Key inputs_Refineries'!$D$191*10^3</f>
        <v>0.94608000000000003</v>
      </c>
      <c r="AE736" s="425">
        <f>'Key inputs_Refineries'!$D$191*10^3</f>
        <v>0.94608000000000003</v>
      </c>
      <c r="AF736" s="425">
        <f>'Key inputs_Refineries'!$D$191*10^3</f>
        <v>0.94608000000000003</v>
      </c>
      <c r="AG736" s="425">
        <f>'Key inputs_Refineries'!$D$191*10^3</f>
        <v>0.94608000000000003</v>
      </c>
      <c r="AH736" s="425">
        <f>'Key inputs_Refineries'!$D$191*10^3</f>
        <v>0.94608000000000003</v>
      </c>
      <c r="AI736" s="425">
        <f>'Key inputs_Refineries'!$D$191*10^3</f>
        <v>0.94608000000000003</v>
      </c>
      <c r="AJ736" s="425">
        <f>'Key inputs_Refineries'!$D$191*10^3</f>
        <v>0.94608000000000003</v>
      </c>
      <c r="AK736" s="425">
        <f>'Key inputs_Refineries'!$D$191*10^3</f>
        <v>0.94608000000000003</v>
      </c>
      <c r="AL736" s="425">
        <f>'Key inputs_Refineries'!$D$191*10^3</f>
        <v>0.94608000000000003</v>
      </c>
      <c r="AT736" s="4"/>
      <c r="AU736" s="4"/>
    </row>
    <row r="737" spans="3:47">
      <c r="G737" s="4" t="s">
        <v>675</v>
      </c>
      <c r="H737" s="4"/>
      <c r="I737" s="4"/>
      <c r="J737" s="4" t="s">
        <v>2662</v>
      </c>
      <c r="K737" s="338"/>
      <c r="L737" s="338"/>
      <c r="M737" s="338"/>
      <c r="N737" s="338"/>
      <c r="O737" s="338"/>
      <c r="P737" s="338"/>
      <c r="Q737" s="338"/>
      <c r="R737" s="338"/>
      <c r="S737" s="338"/>
      <c r="T737" s="338"/>
      <c r="U737" s="338"/>
      <c r="V737" s="338"/>
      <c r="W737" s="338"/>
      <c r="X737" s="338"/>
      <c r="Y737" s="338"/>
      <c r="Z737" s="338"/>
      <c r="AA737" s="338"/>
      <c r="AB737" s="338"/>
      <c r="AC737" s="338"/>
      <c r="AD737" s="338"/>
      <c r="AE737" s="338"/>
      <c r="AF737" s="338"/>
      <c r="AG737" s="338"/>
      <c r="AH737" s="338"/>
      <c r="AI737" s="338"/>
      <c r="AJ737" s="338"/>
      <c r="AK737" s="338"/>
      <c r="AL737" s="338"/>
      <c r="AT737" s="4"/>
      <c r="AU737" s="4"/>
    </row>
    <row r="738" spans="3:47">
      <c r="G738" s="4" t="s">
        <v>630</v>
      </c>
      <c r="H738" s="4"/>
      <c r="I738" s="4"/>
      <c r="J738" s="4" t="s">
        <v>2666</v>
      </c>
      <c r="K738" s="425">
        <f>'Key inputs_Refineries'!$H$191</f>
        <v>0.8</v>
      </c>
      <c r="L738" s="425">
        <f>'Key inputs_Refineries'!$H$191</f>
        <v>0.8</v>
      </c>
      <c r="M738" s="425">
        <f>'Key inputs_Refineries'!$H$191</f>
        <v>0.8</v>
      </c>
      <c r="N738" s="425">
        <f>'Key inputs_Refineries'!$H$191</f>
        <v>0.8</v>
      </c>
      <c r="O738" s="425">
        <f>'Key inputs_Refineries'!$H$191</f>
        <v>0.8</v>
      </c>
      <c r="P738" s="425">
        <f>'Key inputs_Refineries'!$H$191</f>
        <v>0.8</v>
      </c>
      <c r="Q738" s="425">
        <f>'Key inputs_Refineries'!$H$191</f>
        <v>0.8</v>
      </c>
      <c r="R738" s="425">
        <f>'Key inputs_Refineries'!$H$191</f>
        <v>0.8</v>
      </c>
      <c r="S738" s="425">
        <f>'Key inputs_Refineries'!$H$191</f>
        <v>0.8</v>
      </c>
      <c r="T738" s="425">
        <f>'Key inputs_Refineries'!$H$191</f>
        <v>0.8</v>
      </c>
      <c r="U738" s="425">
        <f>'Key inputs_Refineries'!$H$191</f>
        <v>0.8</v>
      </c>
      <c r="V738" s="425">
        <f>'Key inputs_Refineries'!$H$191</f>
        <v>0.8</v>
      </c>
      <c r="W738" s="425">
        <f>'Key inputs_Refineries'!$H$191</f>
        <v>0.8</v>
      </c>
      <c r="X738" s="425">
        <f>'Key inputs_Refineries'!$H$191</f>
        <v>0.8</v>
      </c>
      <c r="Y738" s="425">
        <f>'Key inputs_Refineries'!$H$191</f>
        <v>0.8</v>
      </c>
      <c r="Z738" s="425">
        <f>'Key inputs_Refineries'!$H$191</f>
        <v>0.8</v>
      </c>
      <c r="AA738" s="425">
        <f>'Key inputs_Refineries'!$H$191</f>
        <v>0.8</v>
      </c>
      <c r="AB738" s="425">
        <f>'Key inputs_Refineries'!$H$191</f>
        <v>0.8</v>
      </c>
      <c r="AC738" s="425">
        <f>'Key inputs_Refineries'!$H$191</f>
        <v>0.8</v>
      </c>
      <c r="AD738" s="425">
        <f>'Key inputs_Refineries'!$H$191</f>
        <v>0.8</v>
      </c>
      <c r="AE738" s="425">
        <f>'Key inputs_Refineries'!$H$191</f>
        <v>0.8</v>
      </c>
      <c r="AF738" s="425">
        <f>'Key inputs_Refineries'!$H$191</f>
        <v>0.8</v>
      </c>
      <c r="AG738" s="425">
        <f>'Key inputs_Refineries'!$H$191</f>
        <v>0.8</v>
      </c>
      <c r="AH738" s="425">
        <f>'Key inputs_Refineries'!$H$191</f>
        <v>0.8</v>
      </c>
      <c r="AI738" s="425">
        <f>'Key inputs_Refineries'!$H$191</f>
        <v>0.8</v>
      </c>
      <c r="AJ738" s="425">
        <f>'Key inputs_Refineries'!$H$191</f>
        <v>0.8</v>
      </c>
      <c r="AK738" s="425">
        <f>'Key inputs_Refineries'!$H$191</f>
        <v>0.8</v>
      </c>
      <c r="AL738" s="425">
        <f>'Key inputs_Refineries'!$H$191</f>
        <v>0.8</v>
      </c>
      <c r="AT738" s="4"/>
      <c r="AU738" s="4"/>
    </row>
    <row r="739" spans="3:47">
      <c r="C739" t="str">
        <f>Commodities!$C$80</f>
        <v>UPSBDL</v>
      </c>
      <c r="G739" s="4" t="s">
        <v>702</v>
      </c>
      <c r="H739" t="s">
        <v>661</v>
      </c>
      <c r="I739">
        <v>2019</v>
      </c>
      <c r="J739" t="s">
        <v>650</v>
      </c>
      <c r="K739" s="173" cm="1">
        <f t="array" ref="K739">IFERROR(IF(AND(SUMIFS('Key inputs_Refineries'!E$85:E$164,'Key inputs_Refineries'!$C$85:$C$164,$C739,'Key inputs_Refineries'!$B$85:$B$164,"Boiler")/SUM(SUMIFS('Key inputs_Refineries'!E$85:E$164,'Key inputs_Refineries'!$C$85:$C$164,$C739:$C748,'Key inputs_Refineries'!$B$85:$B$164,"Boiler"))&gt;0,SUMIFS('Key inputs_Refineries'!E$85:E$164,'Key inputs_Refineries'!$C$85:$C$164,$C739,'Key inputs_Refineries'!$B$85:$B$164,"Boiler")/SUM(SUMIFS('Key inputs_Refineries'!E$85:E$164,'Key inputs_Refineries'!$C$85:$C$164,$C739:$C748,'Key inputs_Refineries'!$B$85:$B$164,"Boiler"))&lt;0.001),0.001,SUMIFS('Key inputs_Refineries'!E$85:E$164,'Key inputs_Refineries'!$C$85:$C$164,$C739,'Key inputs_Refineries'!$B$85:$B$164,"Boiler")/SUM(SUMIFS('Key inputs_Refineries'!E$85:E$164,'Key inputs_Refineries'!$C$85:$C$164,$C739:$C748,'Key inputs_Refineries'!$B$85:$B$164,"Boiler"))),0)</f>
        <v>0</v>
      </c>
      <c r="L739" s="173" cm="1">
        <f t="array" ref="L739">IFERROR(IF(AND(SUMIFS('Key inputs_Refineries'!F$85:F$164,'Key inputs_Refineries'!$C$85:$C$164,$C739,'Key inputs_Refineries'!$B$85:$B$164,"Boiler")/SUM(SUMIFS('Key inputs_Refineries'!F$85:F$164,'Key inputs_Refineries'!$C$85:$C$164,$C739:$C748,'Key inputs_Refineries'!$B$85:$B$164,"Boiler"))&gt;0,SUMIFS('Key inputs_Refineries'!F$85:F$164,'Key inputs_Refineries'!$C$85:$C$164,$C739,'Key inputs_Refineries'!$B$85:$B$164,"Boiler")/SUM(SUMIFS('Key inputs_Refineries'!F$85:F$164,'Key inputs_Refineries'!$C$85:$C$164,$C739:$C748,'Key inputs_Refineries'!$B$85:$B$164,"Boiler"))&lt;0.001),0.001,SUMIFS('Key inputs_Refineries'!F$85:F$164,'Key inputs_Refineries'!$C$85:$C$164,$C739,'Key inputs_Refineries'!$B$85:$B$164,"Boiler")/SUM(SUMIFS('Key inputs_Refineries'!F$85:F$164,'Key inputs_Refineries'!$C$85:$C$164,$C739:$C748,'Key inputs_Refineries'!$B$85:$B$164,"Boiler"))),0)</f>
        <v>0</v>
      </c>
      <c r="M739" s="173" cm="1">
        <f t="array" ref="M739">IFERROR(IF(AND(SUMIFS('Key inputs_Refineries'!G$85:G$164,'Key inputs_Refineries'!$C$85:$C$164,$C739,'Key inputs_Refineries'!$B$85:$B$164,"Boiler")/SUM(SUMIFS('Key inputs_Refineries'!G$85:G$164,'Key inputs_Refineries'!$C$85:$C$164,$C739:$C748,'Key inputs_Refineries'!$B$85:$B$164,"Boiler"))&gt;0,SUMIFS('Key inputs_Refineries'!G$85:G$164,'Key inputs_Refineries'!$C$85:$C$164,$C739,'Key inputs_Refineries'!$B$85:$B$164,"Boiler")/SUM(SUMIFS('Key inputs_Refineries'!G$85:G$164,'Key inputs_Refineries'!$C$85:$C$164,$C739:$C748,'Key inputs_Refineries'!$B$85:$B$164,"Boiler"))&lt;0.001),0.001,SUMIFS('Key inputs_Refineries'!G$85:G$164,'Key inputs_Refineries'!$C$85:$C$164,$C739,'Key inputs_Refineries'!$B$85:$B$164,"Boiler")/SUM(SUMIFS('Key inputs_Refineries'!G$85:G$164,'Key inputs_Refineries'!$C$85:$C$164,$C739:$C748,'Key inputs_Refineries'!$B$85:$B$164,"Boiler"))),0)</f>
        <v>0</v>
      </c>
      <c r="N739" s="173" cm="1">
        <f t="array" ref="N739">IFERROR(IF(AND(SUMIFS('Key inputs_Refineries'!H$85:H$164,'Key inputs_Refineries'!$C$85:$C$164,$C739,'Key inputs_Refineries'!$B$85:$B$164,"Boiler")/SUM(SUMIFS('Key inputs_Refineries'!H$85:H$164,'Key inputs_Refineries'!$C$85:$C$164,$C739:$C748,'Key inputs_Refineries'!$B$85:$B$164,"Boiler"))&gt;0,SUMIFS('Key inputs_Refineries'!H$85:H$164,'Key inputs_Refineries'!$C$85:$C$164,$C739,'Key inputs_Refineries'!$B$85:$B$164,"Boiler")/SUM(SUMIFS('Key inputs_Refineries'!H$85:H$164,'Key inputs_Refineries'!$C$85:$C$164,$C739:$C748,'Key inputs_Refineries'!$B$85:$B$164,"Boiler"))&lt;0.001),0.001,SUMIFS('Key inputs_Refineries'!H$85:H$164,'Key inputs_Refineries'!$C$85:$C$164,$C739,'Key inputs_Refineries'!$B$85:$B$164,"Boiler")/SUM(SUMIFS('Key inputs_Refineries'!H$85:H$164,'Key inputs_Refineries'!$C$85:$C$164,$C739:$C748,'Key inputs_Refineries'!$B$85:$B$164,"Boiler"))),0)</f>
        <v>0</v>
      </c>
      <c r="O739" s="173" cm="1">
        <f t="array" ref="O739">IFERROR(IF(AND(SUMIFS('Key inputs_Refineries'!I$85:I$164,'Key inputs_Refineries'!$C$85:$C$164,$C739,'Key inputs_Refineries'!$B$85:$B$164,"Boiler")/SUM(SUMIFS('Key inputs_Refineries'!I$85:I$164,'Key inputs_Refineries'!$C$85:$C$164,$C739:$C748,'Key inputs_Refineries'!$B$85:$B$164,"Boiler"))&gt;0,SUMIFS('Key inputs_Refineries'!I$85:I$164,'Key inputs_Refineries'!$C$85:$C$164,$C739,'Key inputs_Refineries'!$B$85:$B$164,"Boiler")/SUM(SUMIFS('Key inputs_Refineries'!I$85:I$164,'Key inputs_Refineries'!$C$85:$C$164,$C739:$C748,'Key inputs_Refineries'!$B$85:$B$164,"Boiler"))&lt;0.001),0.001,SUMIFS('Key inputs_Refineries'!I$85:I$164,'Key inputs_Refineries'!$C$85:$C$164,$C739,'Key inputs_Refineries'!$B$85:$B$164,"Boiler")/SUM(SUMIFS('Key inputs_Refineries'!I$85:I$164,'Key inputs_Refineries'!$C$85:$C$164,$C739:$C748,'Key inputs_Refineries'!$B$85:$B$164,"Boiler"))),0)</f>
        <v>0</v>
      </c>
      <c r="P739" s="173" cm="1">
        <f t="array" ref="P739">IFERROR(IF(AND(SUMIFS('Key inputs_Refineries'!J$85:J$164,'Key inputs_Refineries'!$C$85:$C$164,$C739,'Key inputs_Refineries'!$B$85:$B$164,"Boiler")/SUM(SUMIFS('Key inputs_Refineries'!J$85:J$164,'Key inputs_Refineries'!$C$85:$C$164,$C739:$C748,'Key inputs_Refineries'!$B$85:$B$164,"Boiler"))&gt;0,SUMIFS('Key inputs_Refineries'!J$85:J$164,'Key inputs_Refineries'!$C$85:$C$164,$C739,'Key inputs_Refineries'!$B$85:$B$164,"Boiler")/SUM(SUMIFS('Key inputs_Refineries'!J$85:J$164,'Key inputs_Refineries'!$C$85:$C$164,$C739:$C748,'Key inputs_Refineries'!$B$85:$B$164,"Boiler"))&lt;0.001),0.001,SUMIFS('Key inputs_Refineries'!J$85:J$164,'Key inputs_Refineries'!$C$85:$C$164,$C739,'Key inputs_Refineries'!$B$85:$B$164,"Boiler")/SUM(SUMIFS('Key inputs_Refineries'!J$85:J$164,'Key inputs_Refineries'!$C$85:$C$164,$C739:$C748,'Key inputs_Refineries'!$B$85:$B$164,"Boiler"))),0)</f>
        <v>0</v>
      </c>
      <c r="Q739" s="173" cm="1">
        <f t="array" ref="Q739">IFERROR(IF(AND(SUMIFS('Key inputs_Refineries'!K$85:K$164,'Key inputs_Refineries'!$C$85:$C$164,$C739,'Key inputs_Refineries'!$B$85:$B$164,"Boiler")/SUM(SUMIFS('Key inputs_Refineries'!K$85:K$164,'Key inputs_Refineries'!$C$85:$C$164,$C739:$C748,'Key inputs_Refineries'!$B$85:$B$164,"Boiler"))&gt;0,SUMIFS('Key inputs_Refineries'!K$85:K$164,'Key inputs_Refineries'!$C$85:$C$164,$C739,'Key inputs_Refineries'!$B$85:$B$164,"Boiler")/SUM(SUMIFS('Key inputs_Refineries'!K$85:K$164,'Key inputs_Refineries'!$C$85:$C$164,$C739:$C748,'Key inputs_Refineries'!$B$85:$B$164,"Boiler"))&lt;0.001),0.001,SUMIFS('Key inputs_Refineries'!K$85:K$164,'Key inputs_Refineries'!$C$85:$C$164,$C739,'Key inputs_Refineries'!$B$85:$B$164,"Boiler")/SUM(SUMIFS('Key inputs_Refineries'!K$85:K$164,'Key inputs_Refineries'!$C$85:$C$164,$C739:$C748,'Key inputs_Refineries'!$B$85:$B$164,"Boiler"))),0)</f>
        <v>0</v>
      </c>
      <c r="R739" s="173" cm="1">
        <f t="array" ref="R739">IFERROR(IF(AND(SUMIFS('Key inputs_Refineries'!L$85:L$164,'Key inputs_Refineries'!$C$85:$C$164,$C739,'Key inputs_Refineries'!$B$85:$B$164,"Boiler")/SUM(SUMIFS('Key inputs_Refineries'!L$85:L$164,'Key inputs_Refineries'!$C$85:$C$164,$C739:$C748,'Key inputs_Refineries'!$B$85:$B$164,"Boiler"))&gt;0,SUMIFS('Key inputs_Refineries'!L$85:L$164,'Key inputs_Refineries'!$C$85:$C$164,$C739,'Key inputs_Refineries'!$B$85:$B$164,"Boiler")/SUM(SUMIFS('Key inputs_Refineries'!L$85:L$164,'Key inputs_Refineries'!$C$85:$C$164,$C739:$C748,'Key inputs_Refineries'!$B$85:$B$164,"Boiler"))&lt;0.001),0.001,SUMIFS('Key inputs_Refineries'!L$85:L$164,'Key inputs_Refineries'!$C$85:$C$164,$C739,'Key inputs_Refineries'!$B$85:$B$164,"Boiler")/SUM(SUMIFS('Key inputs_Refineries'!L$85:L$164,'Key inputs_Refineries'!$C$85:$C$164,$C739:$C748,'Key inputs_Refineries'!$B$85:$B$164,"Boiler"))),0)</f>
        <v>0</v>
      </c>
      <c r="S739" s="173" cm="1">
        <f t="array" ref="S739">IFERROR(IF(AND(SUMIFS('Key inputs_Refineries'!M$85:M$164,'Key inputs_Refineries'!$C$85:$C$164,$C739,'Key inputs_Refineries'!$B$85:$B$164,"Boiler")/SUM(SUMIFS('Key inputs_Refineries'!M$85:M$164,'Key inputs_Refineries'!$C$85:$C$164,$C739:$C748,'Key inputs_Refineries'!$B$85:$B$164,"Boiler"))&gt;0,SUMIFS('Key inputs_Refineries'!M$85:M$164,'Key inputs_Refineries'!$C$85:$C$164,$C739,'Key inputs_Refineries'!$B$85:$B$164,"Boiler")/SUM(SUMIFS('Key inputs_Refineries'!M$85:M$164,'Key inputs_Refineries'!$C$85:$C$164,$C739:$C748,'Key inputs_Refineries'!$B$85:$B$164,"Boiler"))&lt;0.001),0.001,SUMIFS('Key inputs_Refineries'!M$85:M$164,'Key inputs_Refineries'!$C$85:$C$164,$C739,'Key inputs_Refineries'!$B$85:$B$164,"Boiler")/SUM(SUMIFS('Key inputs_Refineries'!M$85:M$164,'Key inputs_Refineries'!$C$85:$C$164,$C739:$C748,'Key inputs_Refineries'!$B$85:$B$164,"Boiler"))),0)</f>
        <v>0</v>
      </c>
      <c r="T739" s="173" cm="1">
        <f t="array" ref="T739">IFERROR(IF(AND(SUMIFS('Key inputs_Refineries'!N$85:N$164,'Key inputs_Refineries'!$C$85:$C$164,$C739,'Key inputs_Refineries'!$B$85:$B$164,"Boiler")/SUM(SUMIFS('Key inputs_Refineries'!N$85:N$164,'Key inputs_Refineries'!$C$85:$C$164,$C739:$C748,'Key inputs_Refineries'!$B$85:$B$164,"Boiler"))&gt;0,SUMIFS('Key inputs_Refineries'!N$85:N$164,'Key inputs_Refineries'!$C$85:$C$164,$C739,'Key inputs_Refineries'!$B$85:$B$164,"Boiler")/SUM(SUMIFS('Key inputs_Refineries'!N$85:N$164,'Key inputs_Refineries'!$C$85:$C$164,$C739:$C748,'Key inputs_Refineries'!$B$85:$B$164,"Boiler"))&lt;0.001),0.001,SUMIFS('Key inputs_Refineries'!N$85:N$164,'Key inputs_Refineries'!$C$85:$C$164,$C739,'Key inputs_Refineries'!$B$85:$B$164,"Boiler")/SUM(SUMIFS('Key inputs_Refineries'!N$85:N$164,'Key inputs_Refineries'!$C$85:$C$164,$C739:$C748,'Key inputs_Refineries'!$B$85:$B$164,"Boiler"))),0)</f>
        <v>0</v>
      </c>
      <c r="U739" s="173" cm="1">
        <f t="array" ref="U739">IFERROR(IF(AND(SUMIFS('Key inputs_Refineries'!O$85:O$164,'Key inputs_Refineries'!$C$85:$C$164,$C739,'Key inputs_Refineries'!$B$85:$B$164,"Boiler")/SUM(SUMIFS('Key inputs_Refineries'!O$85:O$164,'Key inputs_Refineries'!$C$85:$C$164,$C739:$C748,'Key inputs_Refineries'!$B$85:$B$164,"Boiler"))&gt;0,SUMIFS('Key inputs_Refineries'!O$85:O$164,'Key inputs_Refineries'!$C$85:$C$164,$C739,'Key inputs_Refineries'!$B$85:$B$164,"Boiler")/SUM(SUMIFS('Key inputs_Refineries'!O$85:O$164,'Key inputs_Refineries'!$C$85:$C$164,$C739:$C748,'Key inputs_Refineries'!$B$85:$B$164,"Boiler"))&lt;0.001),0.001,SUMIFS('Key inputs_Refineries'!O$85:O$164,'Key inputs_Refineries'!$C$85:$C$164,$C739,'Key inputs_Refineries'!$B$85:$B$164,"Boiler")/SUM(SUMIFS('Key inputs_Refineries'!O$85:O$164,'Key inputs_Refineries'!$C$85:$C$164,$C739:$C748,'Key inputs_Refineries'!$B$85:$B$164,"Boiler"))),0)</f>
        <v>0</v>
      </c>
      <c r="V739" s="173" cm="1">
        <f t="array" ref="V739">IFERROR(IF(AND(SUMIFS('Key inputs_Refineries'!P$85:P$164,'Key inputs_Refineries'!$C$85:$C$164,$C739,'Key inputs_Refineries'!$B$85:$B$164,"Boiler")/SUM(SUMIFS('Key inputs_Refineries'!P$85:P$164,'Key inputs_Refineries'!$C$85:$C$164,$C739:$C748,'Key inputs_Refineries'!$B$85:$B$164,"Boiler"))&gt;0,SUMIFS('Key inputs_Refineries'!P$85:P$164,'Key inputs_Refineries'!$C$85:$C$164,$C739,'Key inputs_Refineries'!$B$85:$B$164,"Boiler")/SUM(SUMIFS('Key inputs_Refineries'!P$85:P$164,'Key inputs_Refineries'!$C$85:$C$164,$C739:$C748,'Key inputs_Refineries'!$B$85:$B$164,"Boiler"))&lt;0.001),0.001,SUMIFS('Key inputs_Refineries'!P$85:P$164,'Key inputs_Refineries'!$C$85:$C$164,$C739,'Key inputs_Refineries'!$B$85:$B$164,"Boiler")/SUM(SUMIFS('Key inputs_Refineries'!P$85:P$164,'Key inputs_Refineries'!$C$85:$C$164,$C739:$C748,'Key inputs_Refineries'!$B$85:$B$164,"Boiler"))),0)</f>
        <v>0</v>
      </c>
      <c r="W739" s="173" cm="1">
        <f t="array" ref="W739">IFERROR(IF(AND(SUMIFS('Key inputs_Refineries'!Q$85:Q$164,'Key inputs_Refineries'!$C$85:$C$164,$C739,'Key inputs_Refineries'!$B$85:$B$164,"Boiler")/SUM(SUMIFS('Key inputs_Refineries'!Q$85:Q$164,'Key inputs_Refineries'!$C$85:$C$164,$C739:$C748,'Key inputs_Refineries'!$B$85:$B$164,"Boiler"))&gt;0,SUMIFS('Key inputs_Refineries'!Q$85:Q$164,'Key inputs_Refineries'!$C$85:$C$164,$C739,'Key inputs_Refineries'!$B$85:$B$164,"Boiler")/SUM(SUMIFS('Key inputs_Refineries'!Q$85:Q$164,'Key inputs_Refineries'!$C$85:$C$164,$C739:$C748,'Key inputs_Refineries'!$B$85:$B$164,"Boiler"))&lt;0.001),0.001,SUMIFS('Key inputs_Refineries'!Q$85:Q$164,'Key inputs_Refineries'!$C$85:$C$164,$C739,'Key inputs_Refineries'!$B$85:$B$164,"Boiler")/SUM(SUMIFS('Key inputs_Refineries'!Q$85:Q$164,'Key inputs_Refineries'!$C$85:$C$164,$C739:$C748,'Key inputs_Refineries'!$B$85:$B$164,"Boiler"))),0)</f>
        <v>0</v>
      </c>
      <c r="X739" s="173" cm="1">
        <f t="array" ref="X739">IFERROR(IF(AND(SUMIFS('Key inputs_Refineries'!R$85:R$164,'Key inputs_Refineries'!$C$85:$C$164,$C739,'Key inputs_Refineries'!$B$85:$B$164,"Boiler")/SUM(SUMIFS('Key inputs_Refineries'!R$85:R$164,'Key inputs_Refineries'!$C$85:$C$164,$C739:$C748,'Key inputs_Refineries'!$B$85:$B$164,"Boiler"))&gt;0,SUMIFS('Key inputs_Refineries'!R$85:R$164,'Key inputs_Refineries'!$C$85:$C$164,$C739,'Key inputs_Refineries'!$B$85:$B$164,"Boiler")/SUM(SUMIFS('Key inputs_Refineries'!R$85:R$164,'Key inputs_Refineries'!$C$85:$C$164,$C739:$C748,'Key inputs_Refineries'!$B$85:$B$164,"Boiler"))&lt;0.001),0.001,SUMIFS('Key inputs_Refineries'!R$85:R$164,'Key inputs_Refineries'!$C$85:$C$164,$C739,'Key inputs_Refineries'!$B$85:$B$164,"Boiler")/SUM(SUMIFS('Key inputs_Refineries'!R$85:R$164,'Key inputs_Refineries'!$C$85:$C$164,$C739:$C748,'Key inputs_Refineries'!$B$85:$B$164,"Boiler"))),0)</f>
        <v>0</v>
      </c>
      <c r="Y739" s="173" cm="1">
        <f t="array" ref="Y739">IFERROR(IF(AND(SUMIFS('Key inputs_Refineries'!S$85:S$164,'Key inputs_Refineries'!$C$85:$C$164,$C739,'Key inputs_Refineries'!$B$85:$B$164,"Boiler")/SUM(SUMIFS('Key inputs_Refineries'!S$85:S$164,'Key inputs_Refineries'!$C$85:$C$164,$C739:$C748,'Key inputs_Refineries'!$B$85:$B$164,"Boiler"))&gt;0,SUMIFS('Key inputs_Refineries'!S$85:S$164,'Key inputs_Refineries'!$C$85:$C$164,$C739,'Key inputs_Refineries'!$B$85:$B$164,"Boiler")/SUM(SUMIFS('Key inputs_Refineries'!S$85:S$164,'Key inputs_Refineries'!$C$85:$C$164,$C739:$C748,'Key inputs_Refineries'!$B$85:$B$164,"Boiler"))&lt;0.001),0.001,SUMIFS('Key inputs_Refineries'!S$85:S$164,'Key inputs_Refineries'!$C$85:$C$164,$C739,'Key inputs_Refineries'!$B$85:$B$164,"Boiler")/SUM(SUMIFS('Key inputs_Refineries'!S$85:S$164,'Key inputs_Refineries'!$C$85:$C$164,$C739:$C748,'Key inputs_Refineries'!$B$85:$B$164,"Boiler"))),0)</f>
        <v>0</v>
      </c>
      <c r="Z739" s="173" cm="1">
        <f t="array" ref="Z739">IFERROR(IF(AND(SUMIFS('Key inputs_Refineries'!T$85:T$164,'Key inputs_Refineries'!$C$85:$C$164,$C739,'Key inputs_Refineries'!$B$85:$B$164,"Boiler")/SUM(SUMIFS('Key inputs_Refineries'!T$85:T$164,'Key inputs_Refineries'!$C$85:$C$164,$C739:$C748,'Key inputs_Refineries'!$B$85:$B$164,"Boiler"))&gt;0,SUMIFS('Key inputs_Refineries'!T$85:T$164,'Key inputs_Refineries'!$C$85:$C$164,$C739,'Key inputs_Refineries'!$B$85:$B$164,"Boiler")/SUM(SUMIFS('Key inputs_Refineries'!T$85:T$164,'Key inputs_Refineries'!$C$85:$C$164,$C739:$C748,'Key inputs_Refineries'!$B$85:$B$164,"Boiler"))&lt;0.001),0.001,SUMIFS('Key inputs_Refineries'!T$85:T$164,'Key inputs_Refineries'!$C$85:$C$164,$C739,'Key inputs_Refineries'!$B$85:$B$164,"Boiler")/SUM(SUMIFS('Key inputs_Refineries'!T$85:T$164,'Key inputs_Refineries'!$C$85:$C$164,$C739:$C748,'Key inputs_Refineries'!$B$85:$B$164,"Boiler"))),0)</f>
        <v>0</v>
      </c>
      <c r="AA739" s="173" cm="1">
        <f t="array" ref="AA739">IFERROR(IF(AND(SUMIFS('Key inputs_Refineries'!U$85:U$164,'Key inputs_Refineries'!$C$85:$C$164,$C739,'Key inputs_Refineries'!$B$85:$B$164,"Boiler")/SUM(SUMIFS('Key inputs_Refineries'!U$85:U$164,'Key inputs_Refineries'!$C$85:$C$164,$C739:$C748,'Key inputs_Refineries'!$B$85:$B$164,"Boiler"))&gt;0,SUMIFS('Key inputs_Refineries'!U$85:U$164,'Key inputs_Refineries'!$C$85:$C$164,$C739,'Key inputs_Refineries'!$B$85:$B$164,"Boiler")/SUM(SUMIFS('Key inputs_Refineries'!U$85:U$164,'Key inputs_Refineries'!$C$85:$C$164,$C739:$C748,'Key inputs_Refineries'!$B$85:$B$164,"Boiler"))&lt;0.001),0.001,SUMIFS('Key inputs_Refineries'!U$85:U$164,'Key inputs_Refineries'!$C$85:$C$164,$C739,'Key inputs_Refineries'!$B$85:$B$164,"Boiler")/SUM(SUMIFS('Key inputs_Refineries'!U$85:U$164,'Key inputs_Refineries'!$C$85:$C$164,$C739:$C748,'Key inputs_Refineries'!$B$85:$B$164,"Boiler"))),0)</f>
        <v>1.2510132868886106E-3</v>
      </c>
      <c r="AB739" s="173" cm="1">
        <f t="array" ref="AB739">IFERROR(IF(AND(SUMIFS('Key inputs_Refineries'!V$85:V$164,'Key inputs_Refineries'!$C$85:$C$164,$C739,'Key inputs_Refineries'!$B$85:$B$164,"Boiler")/SUM(SUMIFS('Key inputs_Refineries'!V$85:V$164,'Key inputs_Refineries'!$C$85:$C$164,$C739:$C748,'Key inputs_Refineries'!$B$85:$B$164,"Boiler"))&gt;0,SUMIFS('Key inputs_Refineries'!V$85:V$164,'Key inputs_Refineries'!$C$85:$C$164,$C739,'Key inputs_Refineries'!$B$85:$B$164,"Boiler")/SUM(SUMIFS('Key inputs_Refineries'!V$85:V$164,'Key inputs_Refineries'!$C$85:$C$164,$C739:$C748,'Key inputs_Refineries'!$B$85:$B$164,"Boiler"))&lt;0.001),0.001,SUMIFS('Key inputs_Refineries'!V$85:V$164,'Key inputs_Refineries'!$C$85:$C$164,$C739,'Key inputs_Refineries'!$B$85:$B$164,"Boiler")/SUM(SUMIFS('Key inputs_Refineries'!V$85:V$164,'Key inputs_Refineries'!$C$85:$C$164,$C739:$C748,'Key inputs_Refineries'!$B$85:$B$164,"Boiler"))),0)</f>
        <v>0</v>
      </c>
      <c r="AC739" s="173" cm="1">
        <f t="array" ref="AC739">IFERROR(IF(AND(SUMIFS('Key inputs_Refineries'!W$85:W$164,'Key inputs_Refineries'!$C$85:$C$164,$C739,'Key inputs_Refineries'!$B$85:$B$164,"Boiler")/SUM(SUMIFS('Key inputs_Refineries'!W$85:W$164,'Key inputs_Refineries'!$C$85:$C$164,$C739:$C748,'Key inputs_Refineries'!$B$85:$B$164,"Boiler"))&gt;0,SUMIFS('Key inputs_Refineries'!W$85:W$164,'Key inputs_Refineries'!$C$85:$C$164,$C739,'Key inputs_Refineries'!$B$85:$B$164,"Boiler")/SUM(SUMIFS('Key inputs_Refineries'!W$85:W$164,'Key inputs_Refineries'!$C$85:$C$164,$C739:$C748,'Key inputs_Refineries'!$B$85:$B$164,"Boiler"))&lt;0.001),0.001,SUMIFS('Key inputs_Refineries'!W$85:W$164,'Key inputs_Refineries'!$C$85:$C$164,$C739,'Key inputs_Refineries'!$B$85:$B$164,"Boiler")/SUM(SUMIFS('Key inputs_Refineries'!W$85:W$164,'Key inputs_Refineries'!$C$85:$C$164,$C739:$C748,'Key inputs_Refineries'!$B$85:$B$164,"Boiler"))),0)</f>
        <v>0</v>
      </c>
      <c r="AD739" s="173" cm="1">
        <f t="array" ref="AD739">IFERROR(IF(AND(SUMIFS('Key inputs_Refineries'!X$85:X$164,'Key inputs_Refineries'!$C$85:$C$164,$C739,'Key inputs_Refineries'!$B$85:$B$164,"Boiler")/SUM(SUMIFS('Key inputs_Refineries'!X$85:X$164,'Key inputs_Refineries'!$C$85:$C$164,$C739:$C748,'Key inputs_Refineries'!$B$85:$B$164,"Boiler"))&gt;0,SUMIFS('Key inputs_Refineries'!X$85:X$164,'Key inputs_Refineries'!$C$85:$C$164,$C739,'Key inputs_Refineries'!$B$85:$B$164,"Boiler")/SUM(SUMIFS('Key inputs_Refineries'!X$85:X$164,'Key inputs_Refineries'!$C$85:$C$164,$C739:$C748,'Key inputs_Refineries'!$B$85:$B$164,"Boiler"))&lt;0.001),0.001,SUMIFS('Key inputs_Refineries'!X$85:X$164,'Key inputs_Refineries'!$C$85:$C$164,$C739,'Key inputs_Refineries'!$B$85:$B$164,"Boiler")/SUM(SUMIFS('Key inputs_Refineries'!X$85:X$164,'Key inputs_Refineries'!$C$85:$C$164,$C739:$C748,'Key inputs_Refineries'!$B$85:$B$164,"Boiler"))),0)</f>
        <v>0</v>
      </c>
      <c r="AE739" s="173" cm="1">
        <f t="array" ref="AE739">IFERROR(IF(AND(SUMIFS('Key inputs_Refineries'!Y$85:Y$164,'Key inputs_Refineries'!$C$85:$C$164,$C739,'Key inputs_Refineries'!$B$85:$B$164,"Boiler")/SUM(SUMIFS('Key inputs_Refineries'!Y$85:Y$164,'Key inputs_Refineries'!$C$85:$C$164,$C739:$C748,'Key inputs_Refineries'!$B$85:$B$164,"Boiler"))&gt;0,SUMIFS('Key inputs_Refineries'!Y$85:Y$164,'Key inputs_Refineries'!$C$85:$C$164,$C739,'Key inputs_Refineries'!$B$85:$B$164,"Boiler")/SUM(SUMIFS('Key inputs_Refineries'!Y$85:Y$164,'Key inputs_Refineries'!$C$85:$C$164,$C739:$C748,'Key inputs_Refineries'!$B$85:$B$164,"Boiler"))&lt;0.001),0.001,SUMIFS('Key inputs_Refineries'!Y$85:Y$164,'Key inputs_Refineries'!$C$85:$C$164,$C739,'Key inputs_Refineries'!$B$85:$B$164,"Boiler")/SUM(SUMIFS('Key inputs_Refineries'!Y$85:Y$164,'Key inputs_Refineries'!$C$85:$C$164,$C739:$C748,'Key inputs_Refineries'!$B$85:$B$164,"Boiler"))),0)</f>
        <v>1E-3</v>
      </c>
      <c r="AF739" s="173" cm="1">
        <f t="array" ref="AF739">IFERROR(IF(AND(SUMIFS('Key inputs_Refineries'!Z$85:Z$164,'Key inputs_Refineries'!$C$85:$C$164,$C739,'Key inputs_Refineries'!$B$85:$B$164,"Boiler")/SUM(SUMIFS('Key inputs_Refineries'!Z$85:Z$164,'Key inputs_Refineries'!$C$85:$C$164,$C739:$C748,'Key inputs_Refineries'!$B$85:$B$164,"Boiler"))&gt;0,SUMIFS('Key inputs_Refineries'!Z$85:Z$164,'Key inputs_Refineries'!$C$85:$C$164,$C739,'Key inputs_Refineries'!$B$85:$B$164,"Boiler")/SUM(SUMIFS('Key inputs_Refineries'!Z$85:Z$164,'Key inputs_Refineries'!$C$85:$C$164,$C739:$C748,'Key inputs_Refineries'!$B$85:$B$164,"Boiler"))&lt;0.001),0.001,SUMIFS('Key inputs_Refineries'!Z$85:Z$164,'Key inputs_Refineries'!$C$85:$C$164,$C739,'Key inputs_Refineries'!$B$85:$B$164,"Boiler")/SUM(SUMIFS('Key inputs_Refineries'!Z$85:Z$164,'Key inputs_Refineries'!$C$85:$C$164,$C739:$C748,'Key inputs_Refineries'!$B$85:$B$164,"Boiler"))),0)</f>
        <v>0</v>
      </c>
      <c r="AG739" s="173" cm="1">
        <f t="array" ref="AG739">IFERROR(IF(AND(SUMIFS('Key inputs_Refineries'!AA$85:AA$164,'Key inputs_Refineries'!$C$85:$C$164,$C739,'Key inputs_Refineries'!$B$85:$B$164,"Boiler")/SUM(SUMIFS('Key inputs_Refineries'!AA$85:AA$164,'Key inputs_Refineries'!$C$85:$C$164,$C739:$C748,'Key inputs_Refineries'!$B$85:$B$164,"Boiler"))&gt;0,SUMIFS('Key inputs_Refineries'!AA$85:AA$164,'Key inputs_Refineries'!$C$85:$C$164,$C739,'Key inputs_Refineries'!$B$85:$B$164,"Boiler")/SUM(SUMIFS('Key inputs_Refineries'!AA$85:AA$164,'Key inputs_Refineries'!$C$85:$C$164,$C739:$C748,'Key inputs_Refineries'!$B$85:$B$164,"Boiler"))&lt;0.001),0.001,SUMIFS('Key inputs_Refineries'!AA$85:AA$164,'Key inputs_Refineries'!$C$85:$C$164,$C739,'Key inputs_Refineries'!$B$85:$B$164,"Boiler")/SUM(SUMIFS('Key inputs_Refineries'!AA$85:AA$164,'Key inputs_Refineries'!$C$85:$C$164,$C739:$C748,'Key inputs_Refineries'!$B$85:$B$164,"Boiler"))),0)</f>
        <v>0</v>
      </c>
      <c r="AH739" s="173" cm="1">
        <f t="array" ref="AH739">IFERROR(IF(AND(SUMIFS('Key inputs_Refineries'!AB$85:AB$164,'Key inputs_Refineries'!$C$85:$C$164,$C739,'Key inputs_Refineries'!$B$85:$B$164,"Boiler")/SUM(SUMIFS('Key inputs_Refineries'!AB$85:AB$164,'Key inputs_Refineries'!$C$85:$C$164,$C739:$C748,'Key inputs_Refineries'!$B$85:$B$164,"Boiler"))&gt;0,SUMIFS('Key inputs_Refineries'!AB$85:AB$164,'Key inputs_Refineries'!$C$85:$C$164,$C739,'Key inputs_Refineries'!$B$85:$B$164,"Boiler")/SUM(SUMIFS('Key inputs_Refineries'!AB$85:AB$164,'Key inputs_Refineries'!$C$85:$C$164,$C739:$C748,'Key inputs_Refineries'!$B$85:$B$164,"Boiler"))&lt;0.001),0.001,SUMIFS('Key inputs_Refineries'!AB$85:AB$164,'Key inputs_Refineries'!$C$85:$C$164,$C739,'Key inputs_Refineries'!$B$85:$B$164,"Boiler")/SUM(SUMIFS('Key inputs_Refineries'!AB$85:AB$164,'Key inputs_Refineries'!$C$85:$C$164,$C739:$C748,'Key inputs_Refineries'!$B$85:$B$164,"Boiler"))),0)</f>
        <v>0</v>
      </c>
      <c r="AI739" s="173" cm="1">
        <f t="array" ref="AI739">IFERROR(IF(AND(SUMIFS('Key inputs_Refineries'!AC$85:AC$164,'Key inputs_Refineries'!$C$85:$C$164,$C739,'Key inputs_Refineries'!$B$85:$B$164,"Boiler")/SUM(SUMIFS('Key inputs_Refineries'!AC$85:AC$164,'Key inputs_Refineries'!$C$85:$C$164,$C739:$C748,'Key inputs_Refineries'!$B$85:$B$164,"Boiler"))&gt;0,SUMIFS('Key inputs_Refineries'!AC$85:AC$164,'Key inputs_Refineries'!$C$85:$C$164,$C739,'Key inputs_Refineries'!$B$85:$B$164,"Boiler")/SUM(SUMIFS('Key inputs_Refineries'!AC$85:AC$164,'Key inputs_Refineries'!$C$85:$C$164,$C739:$C748,'Key inputs_Refineries'!$B$85:$B$164,"Boiler"))&lt;0.001),0.001,SUMIFS('Key inputs_Refineries'!AC$85:AC$164,'Key inputs_Refineries'!$C$85:$C$164,$C739,'Key inputs_Refineries'!$B$85:$B$164,"Boiler")/SUM(SUMIFS('Key inputs_Refineries'!AC$85:AC$164,'Key inputs_Refineries'!$C$85:$C$164,$C739:$C748,'Key inputs_Refineries'!$B$85:$B$164,"Boiler"))),0)</f>
        <v>0</v>
      </c>
      <c r="AJ739" s="173" cm="1">
        <f t="array" ref="AJ739">IFERROR(IF(AND(SUMIFS('Key inputs_Refineries'!AD$85:AD$164,'Key inputs_Refineries'!$C$85:$C$164,$C739,'Key inputs_Refineries'!$B$85:$B$164,"Boiler")/SUM(SUMIFS('Key inputs_Refineries'!AD$85:AD$164,'Key inputs_Refineries'!$C$85:$C$164,$C739:$C748,'Key inputs_Refineries'!$B$85:$B$164,"Boiler"))&gt;0,SUMIFS('Key inputs_Refineries'!AD$85:AD$164,'Key inputs_Refineries'!$C$85:$C$164,$C739,'Key inputs_Refineries'!$B$85:$B$164,"Boiler")/SUM(SUMIFS('Key inputs_Refineries'!AD$85:AD$164,'Key inputs_Refineries'!$C$85:$C$164,$C739:$C748,'Key inputs_Refineries'!$B$85:$B$164,"Boiler"))&lt;0.001),0.001,SUMIFS('Key inputs_Refineries'!AD$85:AD$164,'Key inputs_Refineries'!$C$85:$C$164,$C739,'Key inputs_Refineries'!$B$85:$B$164,"Boiler")/SUM(SUMIFS('Key inputs_Refineries'!AD$85:AD$164,'Key inputs_Refineries'!$C$85:$C$164,$C739:$C748,'Key inputs_Refineries'!$B$85:$B$164,"Boiler"))),0)</f>
        <v>0</v>
      </c>
      <c r="AK739" s="173" cm="1">
        <f t="array" ref="AK739">IFERROR(IF(AND(SUMIFS('Key inputs_Refineries'!AE$85:AE$164,'Key inputs_Refineries'!$C$85:$C$164,$C739,'Key inputs_Refineries'!$B$85:$B$164,"Boiler")/SUM(SUMIFS('Key inputs_Refineries'!AE$85:AE$164,'Key inputs_Refineries'!$C$85:$C$164,$C739:$C748,'Key inputs_Refineries'!$B$85:$B$164,"Boiler"))&gt;0,SUMIFS('Key inputs_Refineries'!AE$85:AE$164,'Key inputs_Refineries'!$C$85:$C$164,$C739,'Key inputs_Refineries'!$B$85:$B$164,"Boiler")/SUM(SUMIFS('Key inputs_Refineries'!AE$85:AE$164,'Key inputs_Refineries'!$C$85:$C$164,$C739:$C748,'Key inputs_Refineries'!$B$85:$B$164,"Boiler"))&lt;0.001),0.001,SUMIFS('Key inputs_Refineries'!AE$85:AE$164,'Key inputs_Refineries'!$C$85:$C$164,$C739,'Key inputs_Refineries'!$B$85:$B$164,"Boiler")/SUM(SUMIFS('Key inputs_Refineries'!AE$85:AE$164,'Key inputs_Refineries'!$C$85:$C$164,$C739:$C748,'Key inputs_Refineries'!$B$85:$B$164,"Boiler"))),0)</f>
        <v>0</v>
      </c>
      <c r="AL739" s="173" cm="1">
        <f t="array" ref="AL739">IFERROR(IF(AND(SUMIFS('Key inputs_Refineries'!AF$85:AF$164,'Key inputs_Refineries'!$C$85:$C$164,$C739,'Key inputs_Refineries'!$B$85:$B$164,"Boiler")/SUM(SUMIFS('Key inputs_Refineries'!AF$85:AF$164,'Key inputs_Refineries'!$C$85:$C$164,$C739:$C748,'Key inputs_Refineries'!$B$85:$B$164,"Boiler"))&gt;0,SUMIFS('Key inputs_Refineries'!AF$85:AF$164,'Key inputs_Refineries'!$C$85:$C$164,$C739,'Key inputs_Refineries'!$B$85:$B$164,"Boiler")/SUM(SUMIFS('Key inputs_Refineries'!AF$85:AF$164,'Key inputs_Refineries'!$C$85:$C$164,$C739:$C748,'Key inputs_Refineries'!$B$85:$B$164,"Boiler"))&lt;0.001),0.001,SUMIFS('Key inputs_Refineries'!AF$85:AF$164,'Key inputs_Refineries'!$C$85:$C$164,$C739,'Key inputs_Refineries'!$B$85:$B$164,"Boiler")/SUM(SUMIFS('Key inputs_Refineries'!AF$85:AF$164,'Key inputs_Refineries'!$C$85:$C$164,$C739:$C748,'Key inputs_Refineries'!$B$85:$B$164,"Boiler"))),0)</f>
        <v>0</v>
      </c>
    </row>
    <row r="740" spans="3:47">
      <c r="C740" t="str">
        <f>Commodities!$C$90</f>
        <v>UPSDSL</v>
      </c>
      <c r="G740" s="4" t="s">
        <v>702</v>
      </c>
      <c r="H740" t="s">
        <v>661</v>
      </c>
      <c r="I740">
        <v>2019</v>
      </c>
      <c r="J740" t="s">
        <v>650</v>
      </c>
      <c r="K740" s="173" cm="1">
        <f t="array" ref="K740">IFERROR(IF(AND(SUMIFS('Key inputs_Refineries'!E$85:E$164,'Key inputs_Refineries'!$C$85:$C$164,$C740,'Key inputs_Refineries'!$B$85:$B$164,"Boiler")/SUM(SUMIFS('Key inputs_Refineries'!E$85:E$164,'Key inputs_Refineries'!$C$85:$C$164,$C739:$C748,'Key inputs_Refineries'!$B$85:$B$164,"Boiler"))&gt;0,SUMIFS('Key inputs_Refineries'!E$85:E$164,'Key inputs_Refineries'!$C$85:$C$164,$C740,'Key inputs_Refineries'!$B$85:$B$164,"Boiler")/SUM(SUMIFS('Key inputs_Refineries'!E$85:E$164,'Key inputs_Refineries'!$C$85:$C$164,$C739:$C748,'Key inputs_Refineries'!$B$85:$B$164,"Boiler"))&lt;0.001),0.001,SUMIFS('Key inputs_Refineries'!E$85:E$164,'Key inputs_Refineries'!$C$85:$C$164,$C740,'Key inputs_Refineries'!$B$85:$B$164,"Boiler")/SUM(SUMIFS('Key inputs_Refineries'!E$85:E$164,'Key inputs_Refineries'!$C$85:$C$164,$C739:$C748,'Key inputs_Refineries'!$B$85:$B$164,"Boiler"))),0)</f>
        <v>0</v>
      </c>
      <c r="L740" s="173" cm="1">
        <f t="array" ref="L740">IFERROR(IF(AND(SUMIFS('Key inputs_Refineries'!F$85:F$164,'Key inputs_Refineries'!$C$85:$C$164,$C740,'Key inputs_Refineries'!$B$85:$B$164,"Boiler")/SUM(SUMIFS('Key inputs_Refineries'!F$85:F$164,'Key inputs_Refineries'!$C$85:$C$164,$C739:$C748,'Key inputs_Refineries'!$B$85:$B$164,"Boiler"))&gt;0,SUMIFS('Key inputs_Refineries'!F$85:F$164,'Key inputs_Refineries'!$C$85:$C$164,$C740,'Key inputs_Refineries'!$B$85:$B$164,"Boiler")/SUM(SUMIFS('Key inputs_Refineries'!F$85:F$164,'Key inputs_Refineries'!$C$85:$C$164,$C739:$C748,'Key inputs_Refineries'!$B$85:$B$164,"Boiler"))&lt;0.001),0.001,SUMIFS('Key inputs_Refineries'!F$85:F$164,'Key inputs_Refineries'!$C$85:$C$164,$C740,'Key inputs_Refineries'!$B$85:$B$164,"Boiler")/SUM(SUMIFS('Key inputs_Refineries'!F$85:F$164,'Key inputs_Refineries'!$C$85:$C$164,$C739:$C748,'Key inputs_Refineries'!$B$85:$B$164,"Boiler"))),0)</f>
        <v>0</v>
      </c>
      <c r="M740" s="173" cm="1">
        <f t="array" ref="M740">IFERROR(IF(AND(SUMIFS('Key inputs_Refineries'!G$85:G$164,'Key inputs_Refineries'!$C$85:$C$164,$C740,'Key inputs_Refineries'!$B$85:$B$164,"Boiler")/SUM(SUMIFS('Key inputs_Refineries'!G$85:G$164,'Key inputs_Refineries'!$C$85:$C$164,$C739:$C748,'Key inputs_Refineries'!$B$85:$B$164,"Boiler"))&gt;0,SUMIFS('Key inputs_Refineries'!G$85:G$164,'Key inputs_Refineries'!$C$85:$C$164,$C740,'Key inputs_Refineries'!$B$85:$B$164,"Boiler")/SUM(SUMIFS('Key inputs_Refineries'!G$85:G$164,'Key inputs_Refineries'!$C$85:$C$164,$C739:$C748,'Key inputs_Refineries'!$B$85:$B$164,"Boiler"))&lt;0.001),0.001,SUMIFS('Key inputs_Refineries'!G$85:G$164,'Key inputs_Refineries'!$C$85:$C$164,$C740,'Key inputs_Refineries'!$B$85:$B$164,"Boiler")/SUM(SUMIFS('Key inputs_Refineries'!G$85:G$164,'Key inputs_Refineries'!$C$85:$C$164,$C739:$C748,'Key inputs_Refineries'!$B$85:$B$164,"Boiler"))),0)</f>
        <v>5.4967007249105165E-2</v>
      </c>
      <c r="N740" s="173" cm="1">
        <f t="array" ref="N740">IFERROR(IF(AND(SUMIFS('Key inputs_Refineries'!H$85:H$164,'Key inputs_Refineries'!$C$85:$C$164,$C740,'Key inputs_Refineries'!$B$85:$B$164,"Boiler")/SUM(SUMIFS('Key inputs_Refineries'!H$85:H$164,'Key inputs_Refineries'!$C$85:$C$164,$C739:$C748,'Key inputs_Refineries'!$B$85:$B$164,"Boiler"))&gt;0,SUMIFS('Key inputs_Refineries'!H$85:H$164,'Key inputs_Refineries'!$C$85:$C$164,$C740,'Key inputs_Refineries'!$B$85:$B$164,"Boiler")/SUM(SUMIFS('Key inputs_Refineries'!H$85:H$164,'Key inputs_Refineries'!$C$85:$C$164,$C739:$C748,'Key inputs_Refineries'!$B$85:$B$164,"Boiler"))&lt;0.001),0.001,SUMIFS('Key inputs_Refineries'!H$85:H$164,'Key inputs_Refineries'!$C$85:$C$164,$C740,'Key inputs_Refineries'!$B$85:$B$164,"Boiler")/SUM(SUMIFS('Key inputs_Refineries'!H$85:H$164,'Key inputs_Refineries'!$C$85:$C$164,$C739:$C748,'Key inputs_Refineries'!$B$85:$B$164,"Boiler"))),0)</f>
        <v>0</v>
      </c>
      <c r="O740" s="173" cm="1">
        <f t="array" ref="O740">IFERROR(IF(AND(SUMIFS('Key inputs_Refineries'!I$85:I$164,'Key inputs_Refineries'!$C$85:$C$164,$C740,'Key inputs_Refineries'!$B$85:$B$164,"Boiler")/SUM(SUMIFS('Key inputs_Refineries'!I$85:I$164,'Key inputs_Refineries'!$C$85:$C$164,$C739:$C748,'Key inputs_Refineries'!$B$85:$B$164,"Boiler"))&gt;0,SUMIFS('Key inputs_Refineries'!I$85:I$164,'Key inputs_Refineries'!$C$85:$C$164,$C740,'Key inputs_Refineries'!$B$85:$B$164,"Boiler")/SUM(SUMIFS('Key inputs_Refineries'!I$85:I$164,'Key inputs_Refineries'!$C$85:$C$164,$C739:$C748,'Key inputs_Refineries'!$B$85:$B$164,"Boiler"))&lt;0.001),0.001,SUMIFS('Key inputs_Refineries'!I$85:I$164,'Key inputs_Refineries'!$C$85:$C$164,$C740,'Key inputs_Refineries'!$B$85:$B$164,"Boiler")/SUM(SUMIFS('Key inputs_Refineries'!I$85:I$164,'Key inputs_Refineries'!$C$85:$C$164,$C739:$C748,'Key inputs_Refineries'!$B$85:$B$164,"Boiler"))),0)</f>
        <v>0</v>
      </c>
      <c r="P740" s="173" cm="1">
        <f t="array" ref="P740">IFERROR(IF(AND(SUMIFS('Key inputs_Refineries'!J$85:J$164,'Key inputs_Refineries'!$C$85:$C$164,$C740,'Key inputs_Refineries'!$B$85:$B$164,"Boiler")/SUM(SUMIFS('Key inputs_Refineries'!J$85:J$164,'Key inputs_Refineries'!$C$85:$C$164,$C739:$C748,'Key inputs_Refineries'!$B$85:$B$164,"Boiler"))&gt;0,SUMIFS('Key inputs_Refineries'!J$85:J$164,'Key inputs_Refineries'!$C$85:$C$164,$C740,'Key inputs_Refineries'!$B$85:$B$164,"Boiler")/SUM(SUMIFS('Key inputs_Refineries'!J$85:J$164,'Key inputs_Refineries'!$C$85:$C$164,$C739:$C748,'Key inputs_Refineries'!$B$85:$B$164,"Boiler"))&lt;0.001),0.001,SUMIFS('Key inputs_Refineries'!J$85:J$164,'Key inputs_Refineries'!$C$85:$C$164,$C740,'Key inputs_Refineries'!$B$85:$B$164,"Boiler")/SUM(SUMIFS('Key inputs_Refineries'!J$85:J$164,'Key inputs_Refineries'!$C$85:$C$164,$C739:$C748,'Key inputs_Refineries'!$B$85:$B$164,"Boiler"))),0)</f>
        <v>7.5112298847973434E-3</v>
      </c>
      <c r="Q740" s="173" cm="1">
        <f t="array" ref="Q740">IFERROR(IF(AND(SUMIFS('Key inputs_Refineries'!K$85:K$164,'Key inputs_Refineries'!$C$85:$C$164,$C740,'Key inputs_Refineries'!$B$85:$B$164,"Boiler")/SUM(SUMIFS('Key inputs_Refineries'!K$85:K$164,'Key inputs_Refineries'!$C$85:$C$164,$C739:$C748,'Key inputs_Refineries'!$B$85:$B$164,"Boiler"))&gt;0,SUMIFS('Key inputs_Refineries'!K$85:K$164,'Key inputs_Refineries'!$C$85:$C$164,$C740,'Key inputs_Refineries'!$B$85:$B$164,"Boiler")/SUM(SUMIFS('Key inputs_Refineries'!K$85:K$164,'Key inputs_Refineries'!$C$85:$C$164,$C739:$C748,'Key inputs_Refineries'!$B$85:$B$164,"Boiler"))&lt;0.001),0.001,SUMIFS('Key inputs_Refineries'!K$85:K$164,'Key inputs_Refineries'!$C$85:$C$164,$C740,'Key inputs_Refineries'!$B$85:$B$164,"Boiler")/SUM(SUMIFS('Key inputs_Refineries'!K$85:K$164,'Key inputs_Refineries'!$C$85:$C$164,$C739:$C748,'Key inputs_Refineries'!$B$85:$B$164,"Boiler"))),0)</f>
        <v>1.3591105951689957E-2</v>
      </c>
      <c r="R740" s="173" cm="1">
        <f t="array" ref="R740">IFERROR(IF(AND(SUMIFS('Key inputs_Refineries'!L$85:L$164,'Key inputs_Refineries'!$C$85:$C$164,$C740,'Key inputs_Refineries'!$B$85:$B$164,"Boiler")/SUM(SUMIFS('Key inputs_Refineries'!L$85:L$164,'Key inputs_Refineries'!$C$85:$C$164,$C739:$C748,'Key inputs_Refineries'!$B$85:$B$164,"Boiler"))&gt;0,SUMIFS('Key inputs_Refineries'!L$85:L$164,'Key inputs_Refineries'!$C$85:$C$164,$C740,'Key inputs_Refineries'!$B$85:$B$164,"Boiler")/SUM(SUMIFS('Key inputs_Refineries'!L$85:L$164,'Key inputs_Refineries'!$C$85:$C$164,$C739:$C748,'Key inputs_Refineries'!$B$85:$B$164,"Boiler"))&lt;0.001),0.001,SUMIFS('Key inputs_Refineries'!L$85:L$164,'Key inputs_Refineries'!$C$85:$C$164,$C740,'Key inputs_Refineries'!$B$85:$B$164,"Boiler")/SUM(SUMIFS('Key inputs_Refineries'!L$85:L$164,'Key inputs_Refineries'!$C$85:$C$164,$C739:$C748,'Key inputs_Refineries'!$B$85:$B$164,"Boiler"))),0)</f>
        <v>0</v>
      </c>
      <c r="S740" s="173" cm="1">
        <f t="array" ref="S740">IFERROR(IF(AND(SUMIFS('Key inputs_Refineries'!M$85:M$164,'Key inputs_Refineries'!$C$85:$C$164,$C740,'Key inputs_Refineries'!$B$85:$B$164,"Boiler")/SUM(SUMIFS('Key inputs_Refineries'!M$85:M$164,'Key inputs_Refineries'!$C$85:$C$164,$C739:$C748,'Key inputs_Refineries'!$B$85:$B$164,"Boiler"))&gt;0,SUMIFS('Key inputs_Refineries'!M$85:M$164,'Key inputs_Refineries'!$C$85:$C$164,$C740,'Key inputs_Refineries'!$B$85:$B$164,"Boiler")/SUM(SUMIFS('Key inputs_Refineries'!M$85:M$164,'Key inputs_Refineries'!$C$85:$C$164,$C739:$C748,'Key inputs_Refineries'!$B$85:$B$164,"Boiler"))&lt;0.001),0.001,SUMIFS('Key inputs_Refineries'!M$85:M$164,'Key inputs_Refineries'!$C$85:$C$164,$C740,'Key inputs_Refineries'!$B$85:$B$164,"Boiler")/SUM(SUMIFS('Key inputs_Refineries'!M$85:M$164,'Key inputs_Refineries'!$C$85:$C$164,$C739:$C748,'Key inputs_Refineries'!$B$85:$B$164,"Boiler"))),0)</f>
        <v>3.5051732768259555E-2</v>
      </c>
      <c r="T740" s="173" cm="1">
        <f t="array" ref="T740">IFERROR(IF(AND(SUMIFS('Key inputs_Refineries'!N$85:N$164,'Key inputs_Refineries'!$C$85:$C$164,$C740,'Key inputs_Refineries'!$B$85:$B$164,"Boiler")/SUM(SUMIFS('Key inputs_Refineries'!N$85:N$164,'Key inputs_Refineries'!$C$85:$C$164,$C739:$C748,'Key inputs_Refineries'!$B$85:$B$164,"Boiler"))&gt;0,SUMIFS('Key inputs_Refineries'!N$85:N$164,'Key inputs_Refineries'!$C$85:$C$164,$C740,'Key inputs_Refineries'!$B$85:$B$164,"Boiler")/SUM(SUMIFS('Key inputs_Refineries'!N$85:N$164,'Key inputs_Refineries'!$C$85:$C$164,$C739:$C748,'Key inputs_Refineries'!$B$85:$B$164,"Boiler"))&lt;0.001),0.001,SUMIFS('Key inputs_Refineries'!N$85:N$164,'Key inputs_Refineries'!$C$85:$C$164,$C740,'Key inputs_Refineries'!$B$85:$B$164,"Boiler")/SUM(SUMIFS('Key inputs_Refineries'!N$85:N$164,'Key inputs_Refineries'!$C$85:$C$164,$C739:$C748,'Key inputs_Refineries'!$B$85:$B$164,"Boiler"))),0)</f>
        <v>8.6333554563383288E-3</v>
      </c>
      <c r="U740" s="173" cm="1">
        <f t="array" ref="U740">IFERROR(IF(AND(SUMIFS('Key inputs_Refineries'!O$85:O$164,'Key inputs_Refineries'!$C$85:$C$164,$C740,'Key inputs_Refineries'!$B$85:$B$164,"Boiler")/SUM(SUMIFS('Key inputs_Refineries'!O$85:O$164,'Key inputs_Refineries'!$C$85:$C$164,$C739:$C748,'Key inputs_Refineries'!$B$85:$B$164,"Boiler"))&gt;0,SUMIFS('Key inputs_Refineries'!O$85:O$164,'Key inputs_Refineries'!$C$85:$C$164,$C740,'Key inputs_Refineries'!$B$85:$B$164,"Boiler")/SUM(SUMIFS('Key inputs_Refineries'!O$85:O$164,'Key inputs_Refineries'!$C$85:$C$164,$C739:$C748,'Key inputs_Refineries'!$B$85:$B$164,"Boiler"))&lt;0.001),0.001,SUMIFS('Key inputs_Refineries'!O$85:O$164,'Key inputs_Refineries'!$C$85:$C$164,$C740,'Key inputs_Refineries'!$B$85:$B$164,"Boiler")/SUM(SUMIFS('Key inputs_Refineries'!O$85:O$164,'Key inputs_Refineries'!$C$85:$C$164,$C739:$C748,'Key inputs_Refineries'!$B$85:$B$164,"Boiler"))),0)</f>
        <v>0</v>
      </c>
      <c r="V740" s="173" cm="1">
        <f t="array" ref="V740">IFERROR(IF(AND(SUMIFS('Key inputs_Refineries'!P$85:P$164,'Key inputs_Refineries'!$C$85:$C$164,$C740,'Key inputs_Refineries'!$B$85:$B$164,"Boiler")/SUM(SUMIFS('Key inputs_Refineries'!P$85:P$164,'Key inputs_Refineries'!$C$85:$C$164,$C739:$C748,'Key inputs_Refineries'!$B$85:$B$164,"Boiler"))&gt;0,SUMIFS('Key inputs_Refineries'!P$85:P$164,'Key inputs_Refineries'!$C$85:$C$164,$C740,'Key inputs_Refineries'!$B$85:$B$164,"Boiler")/SUM(SUMIFS('Key inputs_Refineries'!P$85:P$164,'Key inputs_Refineries'!$C$85:$C$164,$C739:$C748,'Key inputs_Refineries'!$B$85:$B$164,"Boiler"))&lt;0.001),0.001,SUMIFS('Key inputs_Refineries'!P$85:P$164,'Key inputs_Refineries'!$C$85:$C$164,$C740,'Key inputs_Refineries'!$B$85:$B$164,"Boiler")/SUM(SUMIFS('Key inputs_Refineries'!P$85:P$164,'Key inputs_Refineries'!$C$85:$C$164,$C739:$C748,'Key inputs_Refineries'!$B$85:$B$164,"Boiler"))),0)</f>
        <v>5.6882967399520768E-3</v>
      </c>
      <c r="W740" s="173" cm="1">
        <f t="array" ref="W740">IFERROR(IF(AND(SUMIFS('Key inputs_Refineries'!Q$85:Q$164,'Key inputs_Refineries'!$C$85:$C$164,$C740,'Key inputs_Refineries'!$B$85:$B$164,"Boiler")/SUM(SUMIFS('Key inputs_Refineries'!Q$85:Q$164,'Key inputs_Refineries'!$C$85:$C$164,$C739:$C748,'Key inputs_Refineries'!$B$85:$B$164,"Boiler"))&gt;0,SUMIFS('Key inputs_Refineries'!Q$85:Q$164,'Key inputs_Refineries'!$C$85:$C$164,$C740,'Key inputs_Refineries'!$B$85:$B$164,"Boiler")/SUM(SUMIFS('Key inputs_Refineries'!Q$85:Q$164,'Key inputs_Refineries'!$C$85:$C$164,$C739:$C748,'Key inputs_Refineries'!$B$85:$B$164,"Boiler"))&lt;0.001),0.001,SUMIFS('Key inputs_Refineries'!Q$85:Q$164,'Key inputs_Refineries'!$C$85:$C$164,$C740,'Key inputs_Refineries'!$B$85:$B$164,"Boiler")/SUM(SUMIFS('Key inputs_Refineries'!Q$85:Q$164,'Key inputs_Refineries'!$C$85:$C$164,$C739:$C748,'Key inputs_Refineries'!$B$85:$B$164,"Boiler"))),0)</f>
        <v>0</v>
      </c>
      <c r="X740" s="173" cm="1">
        <f t="array" ref="X740">IFERROR(IF(AND(SUMIFS('Key inputs_Refineries'!R$85:R$164,'Key inputs_Refineries'!$C$85:$C$164,$C740,'Key inputs_Refineries'!$B$85:$B$164,"Boiler")/SUM(SUMIFS('Key inputs_Refineries'!R$85:R$164,'Key inputs_Refineries'!$C$85:$C$164,$C739:$C748,'Key inputs_Refineries'!$B$85:$B$164,"Boiler"))&gt;0,SUMIFS('Key inputs_Refineries'!R$85:R$164,'Key inputs_Refineries'!$C$85:$C$164,$C740,'Key inputs_Refineries'!$B$85:$B$164,"Boiler")/SUM(SUMIFS('Key inputs_Refineries'!R$85:R$164,'Key inputs_Refineries'!$C$85:$C$164,$C739:$C748,'Key inputs_Refineries'!$B$85:$B$164,"Boiler"))&lt;0.001),0.001,SUMIFS('Key inputs_Refineries'!R$85:R$164,'Key inputs_Refineries'!$C$85:$C$164,$C740,'Key inputs_Refineries'!$B$85:$B$164,"Boiler")/SUM(SUMIFS('Key inputs_Refineries'!R$85:R$164,'Key inputs_Refineries'!$C$85:$C$164,$C739:$C748,'Key inputs_Refineries'!$B$85:$B$164,"Boiler"))),0)</f>
        <v>0</v>
      </c>
      <c r="Y740" s="173" cm="1">
        <f t="array" ref="Y740">IFERROR(IF(AND(SUMIFS('Key inputs_Refineries'!S$85:S$164,'Key inputs_Refineries'!$C$85:$C$164,$C740,'Key inputs_Refineries'!$B$85:$B$164,"Boiler")/SUM(SUMIFS('Key inputs_Refineries'!S$85:S$164,'Key inputs_Refineries'!$C$85:$C$164,$C739:$C748,'Key inputs_Refineries'!$B$85:$B$164,"Boiler"))&gt;0,SUMIFS('Key inputs_Refineries'!S$85:S$164,'Key inputs_Refineries'!$C$85:$C$164,$C740,'Key inputs_Refineries'!$B$85:$B$164,"Boiler")/SUM(SUMIFS('Key inputs_Refineries'!S$85:S$164,'Key inputs_Refineries'!$C$85:$C$164,$C739:$C748,'Key inputs_Refineries'!$B$85:$B$164,"Boiler"))&lt;0.001),0.001,SUMIFS('Key inputs_Refineries'!S$85:S$164,'Key inputs_Refineries'!$C$85:$C$164,$C740,'Key inputs_Refineries'!$B$85:$B$164,"Boiler")/SUM(SUMIFS('Key inputs_Refineries'!S$85:S$164,'Key inputs_Refineries'!$C$85:$C$164,$C739:$C748,'Key inputs_Refineries'!$B$85:$B$164,"Boiler"))),0)</f>
        <v>2.7787994220171155E-3</v>
      </c>
      <c r="Z740" s="173" cm="1">
        <f t="array" ref="Z740">IFERROR(IF(AND(SUMIFS('Key inputs_Refineries'!T$85:T$164,'Key inputs_Refineries'!$C$85:$C$164,$C740,'Key inputs_Refineries'!$B$85:$B$164,"Boiler")/SUM(SUMIFS('Key inputs_Refineries'!T$85:T$164,'Key inputs_Refineries'!$C$85:$C$164,$C739:$C748,'Key inputs_Refineries'!$B$85:$B$164,"Boiler"))&gt;0,SUMIFS('Key inputs_Refineries'!T$85:T$164,'Key inputs_Refineries'!$C$85:$C$164,$C740,'Key inputs_Refineries'!$B$85:$B$164,"Boiler")/SUM(SUMIFS('Key inputs_Refineries'!T$85:T$164,'Key inputs_Refineries'!$C$85:$C$164,$C739:$C748,'Key inputs_Refineries'!$B$85:$B$164,"Boiler"))&lt;0.001),0.001,SUMIFS('Key inputs_Refineries'!T$85:T$164,'Key inputs_Refineries'!$C$85:$C$164,$C740,'Key inputs_Refineries'!$B$85:$B$164,"Boiler")/SUM(SUMIFS('Key inputs_Refineries'!T$85:T$164,'Key inputs_Refineries'!$C$85:$C$164,$C739:$C748,'Key inputs_Refineries'!$B$85:$B$164,"Boiler"))),0)</f>
        <v>7.5121681310049548E-3</v>
      </c>
      <c r="AA740" s="173" cm="1">
        <f t="array" ref="AA740">IFERROR(IF(AND(SUMIFS('Key inputs_Refineries'!U$85:U$164,'Key inputs_Refineries'!$C$85:$C$164,$C740,'Key inputs_Refineries'!$B$85:$B$164,"Boiler")/SUM(SUMIFS('Key inputs_Refineries'!U$85:U$164,'Key inputs_Refineries'!$C$85:$C$164,$C739:$C748,'Key inputs_Refineries'!$B$85:$B$164,"Boiler"))&gt;0,SUMIFS('Key inputs_Refineries'!U$85:U$164,'Key inputs_Refineries'!$C$85:$C$164,$C740,'Key inputs_Refineries'!$B$85:$B$164,"Boiler")/SUM(SUMIFS('Key inputs_Refineries'!U$85:U$164,'Key inputs_Refineries'!$C$85:$C$164,$C739:$C748,'Key inputs_Refineries'!$B$85:$B$164,"Boiler"))&lt;0.001),0.001,SUMIFS('Key inputs_Refineries'!U$85:U$164,'Key inputs_Refineries'!$C$85:$C$164,$C740,'Key inputs_Refineries'!$B$85:$B$164,"Boiler")/SUM(SUMIFS('Key inputs_Refineries'!U$85:U$164,'Key inputs_Refineries'!$C$85:$C$164,$C739:$C748,'Key inputs_Refineries'!$B$85:$B$164,"Boiler"))),0)</f>
        <v>1.3171639290390735E-2</v>
      </c>
      <c r="AB740" s="173" cm="1">
        <f t="array" ref="AB740">IFERROR(IF(AND(SUMIFS('Key inputs_Refineries'!V$85:V$164,'Key inputs_Refineries'!$C$85:$C$164,$C740,'Key inputs_Refineries'!$B$85:$B$164,"Boiler")/SUM(SUMIFS('Key inputs_Refineries'!V$85:V$164,'Key inputs_Refineries'!$C$85:$C$164,$C739:$C748,'Key inputs_Refineries'!$B$85:$B$164,"Boiler"))&gt;0,SUMIFS('Key inputs_Refineries'!V$85:V$164,'Key inputs_Refineries'!$C$85:$C$164,$C740,'Key inputs_Refineries'!$B$85:$B$164,"Boiler")/SUM(SUMIFS('Key inputs_Refineries'!V$85:V$164,'Key inputs_Refineries'!$C$85:$C$164,$C739:$C748,'Key inputs_Refineries'!$B$85:$B$164,"Boiler"))&lt;0.001),0.001,SUMIFS('Key inputs_Refineries'!V$85:V$164,'Key inputs_Refineries'!$C$85:$C$164,$C740,'Key inputs_Refineries'!$B$85:$B$164,"Boiler")/SUM(SUMIFS('Key inputs_Refineries'!V$85:V$164,'Key inputs_Refineries'!$C$85:$C$164,$C739:$C748,'Key inputs_Refineries'!$B$85:$B$164,"Boiler"))),0)</f>
        <v>0.62732289155304854</v>
      </c>
      <c r="AC740" s="173" cm="1">
        <f t="array" ref="AC740">IFERROR(IF(AND(SUMIFS('Key inputs_Refineries'!W$85:W$164,'Key inputs_Refineries'!$C$85:$C$164,$C740,'Key inputs_Refineries'!$B$85:$B$164,"Boiler")/SUM(SUMIFS('Key inputs_Refineries'!W$85:W$164,'Key inputs_Refineries'!$C$85:$C$164,$C739:$C748,'Key inputs_Refineries'!$B$85:$B$164,"Boiler"))&gt;0,SUMIFS('Key inputs_Refineries'!W$85:W$164,'Key inputs_Refineries'!$C$85:$C$164,$C740,'Key inputs_Refineries'!$B$85:$B$164,"Boiler")/SUM(SUMIFS('Key inputs_Refineries'!W$85:W$164,'Key inputs_Refineries'!$C$85:$C$164,$C739:$C748,'Key inputs_Refineries'!$B$85:$B$164,"Boiler"))&lt;0.001),0.001,SUMIFS('Key inputs_Refineries'!W$85:W$164,'Key inputs_Refineries'!$C$85:$C$164,$C740,'Key inputs_Refineries'!$B$85:$B$164,"Boiler")/SUM(SUMIFS('Key inputs_Refineries'!W$85:W$164,'Key inputs_Refineries'!$C$85:$C$164,$C739:$C748,'Key inputs_Refineries'!$B$85:$B$164,"Boiler"))),0)</f>
        <v>0</v>
      </c>
      <c r="AD740" s="173" cm="1">
        <f t="array" ref="AD740">IFERROR(IF(AND(SUMIFS('Key inputs_Refineries'!X$85:X$164,'Key inputs_Refineries'!$C$85:$C$164,$C740,'Key inputs_Refineries'!$B$85:$B$164,"Boiler")/SUM(SUMIFS('Key inputs_Refineries'!X$85:X$164,'Key inputs_Refineries'!$C$85:$C$164,$C739:$C748,'Key inputs_Refineries'!$B$85:$B$164,"Boiler"))&gt;0,SUMIFS('Key inputs_Refineries'!X$85:X$164,'Key inputs_Refineries'!$C$85:$C$164,$C740,'Key inputs_Refineries'!$B$85:$B$164,"Boiler")/SUM(SUMIFS('Key inputs_Refineries'!X$85:X$164,'Key inputs_Refineries'!$C$85:$C$164,$C739:$C748,'Key inputs_Refineries'!$B$85:$B$164,"Boiler"))&lt;0.001),0.001,SUMIFS('Key inputs_Refineries'!X$85:X$164,'Key inputs_Refineries'!$C$85:$C$164,$C740,'Key inputs_Refineries'!$B$85:$B$164,"Boiler")/SUM(SUMIFS('Key inputs_Refineries'!X$85:X$164,'Key inputs_Refineries'!$C$85:$C$164,$C739:$C748,'Key inputs_Refineries'!$B$85:$B$164,"Boiler"))),0)</f>
        <v>9.5552781608146987E-3</v>
      </c>
      <c r="AE740" s="173" cm="1">
        <f t="array" ref="AE740">IFERROR(IF(AND(SUMIFS('Key inputs_Refineries'!Y$85:Y$164,'Key inputs_Refineries'!$C$85:$C$164,$C740,'Key inputs_Refineries'!$B$85:$B$164,"Boiler")/SUM(SUMIFS('Key inputs_Refineries'!Y$85:Y$164,'Key inputs_Refineries'!$C$85:$C$164,$C739:$C748,'Key inputs_Refineries'!$B$85:$B$164,"Boiler"))&gt;0,SUMIFS('Key inputs_Refineries'!Y$85:Y$164,'Key inputs_Refineries'!$C$85:$C$164,$C740,'Key inputs_Refineries'!$B$85:$B$164,"Boiler")/SUM(SUMIFS('Key inputs_Refineries'!Y$85:Y$164,'Key inputs_Refineries'!$C$85:$C$164,$C739:$C748,'Key inputs_Refineries'!$B$85:$B$164,"Boiler"))&lt;0.001),0.001,SUMIFS('Key inputs_Refineries'!Y$85:Y$164,'Key inputs_Refineries'!$C$85:$C$164,$C740,'Key inputs_Refineries'!$B$85:$B$164,"Boiler")/SUM(SUMIFS('Key inputs_Refineries'!Y$85:Y$164,'Key inputs_Refineries'!$C$85:$C$164,$C739:$C748,'Key inputs_Refineries'!$B$85:$B$164,"Boiler"))),0)</f>
        <v>1.5014083212701699E-2</v>
      </c>
      <c r="AF740" s="173" cm="1">
        <f t="array" ref="AF740">IFERROR(IF(AND(SUMIFS('Key inputs_Refineries'!Z$85:Z$164,'Key inputs_Refineries'!$C$85:$C$164,$C740,'Key inputs_Refineries'!$B$85:$B$164,"Boiler")/SUM(SUMIFS('Key inputs_Refineries'!Z$85:Z$164,'Key inputs_Refineries'!$C$85:$C$164,$C739:$C748,'Key inputs_Refineries'!$B$85:$B$164,"Boiler"))&gt;0,SUMIFS('Key inputs_Refineries'!Z$85:Z$164,'Key inputs_Refineries'!$C$85:$C$164,$C740,'Key inputs_Refineries'!$B$85:$B$164,"Boiler")/SUM(SUMIFS('Key inputs_Refineries'!Z$85:Z$164,'Key inputs_Refineries'!$C$85:$C$164,$C739:$C748,'Key inputs_Refineries'!$B$85:$B$164,"Boiler"))&lt;0.001),0.001,SUMIFS('Key inputs_Refineries'!Z$85:Z$164,'Key inputs_Refineries'!$C$85:$C$164,$C740,'Key inputs_Refineries'!$B$85:$B$164,"Boiler")/SUM(SUMIFS('Key inputs_Refineries'!Z$85:Z$164,'Key inputs_Refineries'!$C$85:$C$164,$C739:$C748,'Key inputs_Refineries'!$B$85:$B$164,"Boiler"))),0)</f>
        <v>3.8902919404541575E-2</v>
      </c>
      <c r="AG740" s="173" cm="1">
        <f t="array" ref="AG740">IFERROR(IF(AND(SUMIFS('Key inputs_Refineries'!AA$85:AA$164,'Key inputs_Refineries'!$C$85:$C$164,$C740,'Key inputs_Refineries'!$B$85:$B$164,"Boiler")/SUM(SUMIFS('Key inputs_Refineries'!AA$85:AA$164,'Key inputs_Refineries'!$C$85:$C$164,$C739:$C748,'Key inputs_Refineries'!$B$85:$B$164,"Boiler"))&gt;0,SUMIFS('Key inputs_Refineries'!AA$85:AA$164,'Key inputs_Refineries'!$C$85:$C$164,$C740,'Key inputs_Refineries'!$B$85:$B$164,"Boiler")/SUM(SUMIFS('Key inputs_Refineries'!AA$85:AA$164,'Key inputs_Refineries'!$C$85:$C$164,$C739:$C748,'Key inputs_Refineries'!$B$85:$B$164,"Boiler"))&lt;0.001),0.001,SUMIFS('Key inputs_Refineries'!AA$85:AA$164,'Key inputs_Refineries'!$C$85:$C$164,$C740,'Key inputs_Refineries'!$B$85:$B$164,"Boiler")/SUM(SUMIFS('Key inputs_Refineries'!AA$85:AA$164,'Key inputs_Refineries'!$C$85:$C$164,$C739:$C748,'Key inputs_Refineries'!$B$85:$B$164,"Boiler"))),0)</f>
        <v>3.0454378123189886E-2</v>
      </c>
      <c r="AH740" s="173" cm="1">
        <f t="array" ref="AH740">IFERROR(IF(AND(SUMIFS('Key inputs_Refineries'!AB$85:AB$164,'Key inputs_Refineries'!$C$85:$C$164,$C740,'Key inputs_Refineries'!$B$85:$B$164,"Boiler")/SUM(SUMIFS('Key inputs_Refineries'!AB$85:AB$164,'Key inputs_Refineries'!$C$85:$C$164,$C739:$C748,'Key inputs_Refineries'!$B$85:$B$164,"Boiler"))&gt;0,SUMIFS('Key inputs_Refineries'!AB$85:AB$164,'Key inputs_Refineries'!$C$85:$C$164,$C740,'Key inputs_Refineries'!$B$85:$B$164,"Boiler")/SUM(SUMIFS('Key inputs_Refineries'!AB$85:AB$164,'Key inputs_Refineries'!$C$85:$C$164,$C739:$C748,'Key inputs_Refineries'!$B$85:$B$164,"Boiler"))&lt;0.001),0.001,SUMIFS('Key inputs_Refineries'!AB$85:AB$164,'Key inputs_Refineries'!$C$85:$C$164,$C740,'Key inputs_Refineries'!$B$85:$B$164,"Boiler")/SUM(SUMIFS('Key inputs_Refineries'!AB$85:AB$164,'Key inputs_Refineries'!$C$85:$C$164,$C739:$C748,'Key inputs_Refineries'!$B$85:$B$164,"Boiler"))),0)</f>
        <v>0</v>
      </c>
      <c r="AI740" s="173" cm="1">
        <f t="array" ref="AI740">IFERROR(IF(AND(SUMIFS('Key inputs_Refineries'!AC$85:AC$164,'Key inputs_Refineries'!$C$85:$C$164,$C740,'Key inputs_Refineries'!$B$85:$B$164,"Boiler")/SUM(SUMIFS('Key inputs_Refineries'!AC$85:AC$164,'Key inputs_Refineries'!$C$85:$C$164,$C739:$C748,'Key inputs_Refineries'!$B$85:$B$164,"Boiler"))&gt;0,SUMIFS('Key inputs_Refineries'!AC$85:AC$164,'Key inputs_Refineries'!$C$85:$C$164,$C740,'Key inputs_Refineries'!$B$85:$B$164,"Boiler")/SUM(SUMIFS('Key inputs_Refineries'!AC$85:AC$164,'Key inputs_Refineries'!$C$85:$C$164,$C739:$C748,'Key inputs_Refineries'!$B$85:$B$164,"Boiler"))&lt;0.001),0.001,SUMIFS('Key inputs_Refineries'!AC$85:AC$164,'Key inputs_Refineries'!$C$85:$C$164,$C740,'Key inputs_Refineries'!$B$85:$B$164,"Boiler")/SUM(SUMIFS('Key inputs_Refineries'!AC$85:AC$164,'Key inputs_Refineries'!$C$85:$C$164,$C739:$C748,'Key inputs_Refineries'!$B$85:$B$164,"Boiler"))),0)</f>
        <v>0.10262766484878531</v>
      </c>
      <c r="AJ740" s="173" cm="1">
        <f t="array" ref="AJ740">IFERROR(IF(AND(SUMIFS('Key inputs_Refineries'!AD$85:AD$164,'Key inputs_Refineries'!$C$85:$C$164,$C740,'Key inputs_Refineries'!$B$85:$B$164,"Boiler")/SUM(SUMIFS('Key inputs_Refineries'!AD$85:AD$164,'Key inputs_Refineries'!$C$85:$C$164,$C739:$C748,'Key inputs_Refineries'!$B$85:$B$164,"Boiler"))&gt;0,SUMIFS('Key inputs_Refineries'!AD$85:AD$164,'Key inputs_Refineries'!$C$85:$C$164,$C740,'Key inputs_Refineries'!$B$85:$B$164,"Boiler")/SUM(SUMIFS('Key inputs_Refineries'!AD$85:AD$164,'Key inputs_Refineries'!$C$85:$C$164,$C739:$C748,'Key inputs_Refineries'!$B$85:$B$164,"Boiler"))&lt;0.001),0.001,SUMIFS('Key inputs_Refineries'!AD$85:AD$164,'Key inputs_Refineries'!$C$85:$C$164,$C740,'Key inputs_Refineries'!$B$85:$B$164,"Boiler")/SUM(SUMIFS('Key inputs_Refineries'!AD$85:AD$164,'Key inputs_Refineries'!$C$85:$C$164,$C739:$C748,'Key inputs_Refineries'!$B$85:$B$164,"Boiler"))),0)</f>
        <v>0</v>
      </c>
      <c r="AK740" s="173" cm="1">
        <f t="array" ref="AK740">IFERROR(IF(AND(SUMIFS('Key inputs_Refineries'!AE$85:AE$164,'Key inputs_Refineries'!$C$85:$C$164,$C740,'Key inputs_Refineries'!$B$85:$B$164,"Boiler")/SUM(SUMIFS('Key inputs_Refineries'!AE$85:AE$164,'Key inputs_Refineries'!$C$85:$C$164,$C739:$C748,'Key inputs_Refineries'!$B$85:$B$164,"Boiler"))&gt;0,SUMIFS('Key inputs_Refineries'!AE$85:AE$164,'Key inputs_Refineries'!$C$85:$C$164,$C740,'Key inputs_Refineries'!$B$85:$B$164,"Boiler")/SUM(SUMIFS('Key inputs_Refineries'!AE$85:AE$164,'Key inputs_Refineries'!$C$85:$C$164,$C739:$C748,'Key inputs_Refineries'!$B$85:$B$164,"Boiler"))&lt;0.001),0.001,SUMIFS('Key inputs_Refineries'!AE$85:AE$164,'Key inputs_Refineries'!$C$85:$C$164,$C740,'Key inputs_Refineries'!$B$85:$B$164,"Boiler")/SUM(SUMIFS('Key inputs_Refineries'!AE$85:AE$164,'Key inputs_Refineries'!$C$85:$C$164,$C739:$C748,'Key inputs_Refineries'!$B$85:$B$164,"Boiler"))),0)</f>
        <v>1E-3</v>
      </c>
      <c r="AL740" s="173" cm="1">
        <f t="array" ref="AL740">IFERROR(IF(AND(SUMIFS('Key inputs_Refineries'!AF$85:AF$164,'Key inputs_Refineries'!$C$85:$C$164,$C740,'Key inputs_Refineries'!$B$85:$B$164,"Boiler")/SUM(SUMIFS('Key inputs_Refineries'!AF$85:AF$164,'Key inputs_Refineries'!$C$85:$C$164,$C739:$C748,'Key inputs_Refineries'!$B$85:$B$164,"Boiler"))&gt;0,SUMIFS('Key inputs_Refineries'!AF$85:AF$164,'Key inputs_Refineries'!$C$85:$C$164,$C740,'Key inputs_Refineries'!$B$85:$B$164,"Boiler")/SUM(SUMIFS('Key inputs_Refineries'!AF$85:AF$164,'Key inputs_Refineries'!$C$85:$C$164,$C739:$C748,'Key inputs_Refineries'!$B$85:$B$164,"Boiler"))&lt;0.001),0.001,SUMIFS('Key inputs_Refineries'!AF$85:AF$164,'Key inputs_Refineries'!$C$85:$C$164,$C740,'Key inputs_Refineries'!$B$85:$B$164,"Boiler")/SUM(SUMIFS('Key inputs_Refineries'!AF$85:AF$164,'Key inputs_Refineries'!$C$85:$C$164,$C739:$C748,'Key inputs_Refineries'!$B$85:$B$164,"Boiler"))),0)</f>
        <v>1.1727367954192493E-2</v>
      </c>
    </row>
    <row r="741" spans="3:47">
      <c r="C741" t="s">
        <v>517</v>
      </c>
      <c r="G741" s="4" t="s">
        <v>702</v>
      </c>
      <c r="H741" t="s">
        <v>661</v>
      </c>
      <c r="I741">
        <v>2019</v>
      </c>
      <c r="J741" t="s">
        <v>650</v>
      </c>
      <c r="K741" s="426">
        <v>0</v>
      </c>
      <c r="L741" s="426">
        <v>0</v>
      </c>
      <c r="M741" s="426">
        <v>0</v>
      </c>
      <c r="N741" s="426">
        <v>0</v>
      </c>
      <c r="O741" s="426">
        <v>0</v>
      </c>
      <c r="P741" s="426">
        <v>0</v>
      </c>
      <c r="Q741" s="426">
        <v>0</v>
      </c>
      <c r="R741" s="426">
        <v>0</v>
      </c>
      <c r="S741" s="426">
        <v>0</v>
      </c>
      <c r="T741" s="426">
        <v>0</v>
      </c>
      <c r="U741" s="426">
        <v>0</v>
      </c>
      <c r="V741" s="426">
        <v>0</v>
      </c>
      <c r="W741" s="426">
        <v>0</v>
      </c>
      <c r="X741" s="426">
        <v>0</v>
      </c>
      <c r="Y741" s="426">
        <v>0</v>
      </c>
      <c r="Z741" s="426">
        <v>0</v>
      </c>
      <c r="AA741" s="426">
        <v>0</v>
      </c>
      <c r="AB741" s="426">
        <v>0</v>
      </c>
      <c r="AC741" s="426">
        <v>0</v>
      </c>
      <c r="AD741" s="426">
        <v>0</v>
      </c>
      <c r="AE741" s="426">
        <v>0</v>
      </c>
      <c r="AF741" s="426">
        <v>0</v>
      </c>
      <c r="AG741" s="426">
        <v>0</v>
      </c>
      <c r="AH741" s="426">
        <v>0</v>
      </c>
      <c r="AI741" s="426">
        <v>0</v>
      </c>
      <c r="AJ741" s="426">
        <v>0</v>
      </c>
      <c r="AK741" s="426">
        <v>0</v>
      </c>
      <c r="AL741" s="426">
        <v>0</v>
      </c>
    </row>
    <row r="742" spans="3:47">
      <c r="C742" t="str">
        <f>Commodities!$C$93</f>
        <v>UPSGSL</v>
      </c>
      <c r="G742" s="4" t="s">
        <v>702</v>
      </c>
      <c r="H742" t="s">
        <v>661</v>
      </c>
      <c r="I742">
        <v>2019</v>
      </c>
      <c r="J742" t="s">
        <v>650</v>
      </c>
      <c r="K742" s="173" cm="1">
        <f t="array" ref="K742">IFERROR(IF(AND(SUMIFS('Key inputs_Refineries'!E$85:E$164,'Key inputs_Refineries'!$C$85:$C$164,$C742,'Key inputs_Refineries'!$B$85:$B$164,"Boiler")/SUM(SUMIFS('Key inputs_Refineries'!E$85:E$164,'Key inputs_Refineries'!$C$85:$C$164,$C739:$C748,'Key inputs_Refineries'!$B$85:$B$164,"Boiler"))&gt;0,SUMIFS('Key inputs_Refineries'!E$85:E$164,'Key inputs_Refineries'!$C$85:$C$164,$C742,'Key inputs_Refineries'!$B$85:$B$164,"Boiler")/SUM(SUMIFS('Key inputs_Refineries'!E$85:E$164,'Key inputs_Refineries'!$C$85:$C$164,$C739:$C748,'Key inputs_Refineries'!$B$85:$B$164,"Boiler"))&lt;0.001),0.001,SUMIFS('Key inputs_Refineries'!E$85:E$164,'Key inputs_Refineries'!$C$85:$C$164,$C742,'Key inputs_Refineries'!$B$85:$B$164,"Boiler")/SUM(SUMIFS('Key inputs_Refineries'!E$85:E$164,'Key inputs_Refineries'!$C$85:$C$164,$C739:$C748,'Key inputs_Refineries'!$B$85:$B$164,"Boiler"))),0)</f>
        <v>0</v>
      </c>
      <c r="L742" s="173" cm="1">
        <f t="array" ref="L742">IFERROR(IF(AND(SUMIFS('Key inputs_Refineries'!F$85:F$164,'Key inputs_Refineries'!$C$85:$C$164,$C742,'Key inputs_Refineries'!$B$85:$B$164,"Boiler")/SUM(SUMIFS('Key inputs_Refineries'!F$85:F$164,'Key inputs_Refineries'!$C$85:$C$164,$C739:$C748,'Key inputs_Refineries'!$B$85:$B$164,"Boiler"))&gt;0,SUMIFS('Key inputs_Refineries'!F$85:F$164,'Key inputs_Refineries'!$C$85:$C$164,$C742,'Key inputs_Refineries'!$B$85:$B$164,"Boiler")/SUM(SUMIFS('Key inputs_Refineries'!F$85:F$164,'Key inputs_Refineries'!$C$85:$C$164,$C739:$C748,'Key inputs_Refineries'!$B$85:$B$164,"Boiler"))&lt;0.001),0.001,SUMIFS('Key inputs_Refineries'!F$85:F$164,'Key inputs_Refineries'!$C$85:$C$164,$C742,'Key inputs_Refineries'!$B$85:$B$164,"Boiler")/SUM(SUMIFS('Key inputs_Refineries'!F$85:F$164,'Key inputs_Refineries'!$C$85:$C$164,$C739:$C748,'Key inputs_Refineries'!$B$85:$B$164,"Boiler"))),0)</f>
        <v>0</v>
      </c>
      <c r="M742" s="173" cm="1">
        <f t="array" ref="M742">IFERROR(IF(AND(SUMIFS('Key inputs_Refineries'!G$85:G$164,'Key inputs_Refineries'!$C$85:$C$164,$C742,'Key inputs_Refineries'!$B$85:$B$164,"Boiler")/SUM(SUMIFS('Key inputs_Refineries'!G$85:G$164,'Key inputs_Refineries'!$C$85:$C$164,$C739:$C748,'Key inputs_Refineries'!$B$85:$B$164,"Boiler"))&gt;0,SUMIFS('Key inputs_Refineries'!G$85:G$164,'Key inputs_Refineries'!$C$85:$C$164,$C742,'Key inputs_Refineries'!$B$85:$B$164,"Boiler")/SUM(SUMIFS('Key inputs_Refineries'!G$85:G$164,'Key inputs_Refineries'!$C$85:$C$164,$C739:$C748,'Key inputs_Refineries'!$B$85:$B$164,"Boiler"))&lt;0.001),0.001,SUMIFS('Key inputs_Refineries'!G$85:G$164,'Key inputs_Refineries'!$C$85:$C$164,$C742,'Key inputs_Refineries'!$B$85:$B$164,"Boiler")/SUM(SUMIFS('Key inputs_Refineries'!G$85:G$164,'Key inputs_Refineries'!$C$85:$C$164,$C739:$C748,'Key inputs_Refineries'!$B$85:$B$164,"Boiler"))),0)</f>
        <v>0</v>
      </c>
      <c r="N742" s="173" cm="1">
        <f t="array" ref="N742">IFERROR(IF(AND(SUMIFS('Key inputs_Refineries'!H$85:H$164,'Key inputs_Refineries'!$C$85:$C$164,$C742,'Key inputs_Refineries'!$B$85:$B$164,"Boiler")/SUM(SUMIFS('Key inputs_Refineries'!H$85:H$164,'Key inputs_Refineries'!$C$85:$C$164,$C739:$C748,'Key inputs_Refineries'!$B$85:$B$164,"Boiler"))&gt;0,SUMIFS('Key inputs_Refineries'!H$85:H$164,'Key inputs_Refineries'!$C$85:$C$164,$C742,'Key inputs_Refineries'!$B$85:$B$164,"Boiler")/SUM(SUMIFS('Key inputs_Refineries'!H$85:H$164,'Key inputs_Refineries'!$C$85:$C$164,$C739:$C748,'Key inputs_Refineries'!$B$85:$B$164,"Boiler"))&lt;0.001),0.001,SUMIFS('Key inputs_Refineries'!H$85:H$164,'Key inputs_Refineries'!$C$85:$C$164,$C742,'Key inputs_Refineries'!$B$85:$B$164,"Boiler")/SUM(SUMIFS('Key inputs_Refineries'!H$85:H$164,'Key inputs_Refineries'!$C$85:$C$164,$C739:$C748,'Key inputs_Refineries'!$B$85:$B$164,"Boiler"))),0)</f>
        <v>0</v>
      </c>
      <c r="O742" s="173" cm="1">
        <f t="array" ref="O742">IFERROR(IF(AND(SUMIFS('Key inputs_Refineries'!I$85:I$164,'Key inputs_Refineries'!$C$85:$C$164,$C742,'Key inputs_Refineries'!$B$85:$B$164,"Boiler")/SUM(SUMIFS('Key inputs_Refineries'!I$85:I$164,'Key inputs_Refineries'!$C$85:$C$164,$C739:$C748,'Key inputs_Refineries'!$B$85:$B$164,"Boiler"))&gt;0,SUMIFS('Key inputs_Refineries'!I$85:I$164,'Key inputs_Refineries'!$C$85:$C$164,$C742,'Key inputs_Refineries'!$B$85:$B$164,"Boiler")/SUM(SUMIFS('Key inputs_Refineries'!I$85:I$164,'Key inputs_Refineries'!$C$85:$C$164,$C739:$C748,'Key inputs_Refineries'!$B$85:$B$164,"Boiler"))&lt;0.001),0.001,SUMIFS('Key inputs_Refineries'!I$85:I$164,'Key inputs_Refineries'!$C$85:$C$164,$C742,'Key inputs_Refineries'!$B$85:$B$164,"Boiler")/SUM(SUMIFS('Key inputs_Refineries'!I$85:I$164,'Key inputs_Refineries'!$C$85:$C$164,$C739:$C748,'Key inputs_Refineries'!$B$85:$B$164,"Boiler"))),0)</f>
        <v>0</v>
      </c>
      <c r="P742" s="173" cm="1">
        <f t="array" ref="P742">IFERROR(IF(AND(SUMIFS('Key inputs_Refineries'!J$85:J$164,'Key inputs_Refineries'!$C$85:$C$164,$C742,'Key inputs_Refineries'!$B$85:$B$164,"Boiler")/SUM(SUMIFS('Key inputs_Refineries'!J$85:J$164,'Key inputs_Refineries'!$C$85:$C$164,$C739:$C748,'Key inputs_Refineries'!$B$85:$B$164,"Boiler"))&gt;0,SUMIFS('Key inputs_Refineries'!J$85:J$164,'Key inputs_Refineries'!$C$85:$C$164,$C742,'Key inputs_Refineries'!$B$85:$B$164,"Boiler")/SUM(SUMIFS('Key inputs_Refineries'!J$85:J$164,'Key inputs_Refineries'!$C$85:$C$164,$C739:$C748,'Key inputs_Refineries'!$B$85:$B$164,"Boiler"))&lt;0.001),0.001,SUMIFS('Key inputs_Refineries'!J$85:J$164,'Key inputs_Refineries'!$C$85:$C$164,$C742,'Key inputs_Refineries'!$B$85:$B$164,"Boiler")/SUM(SUMIFS('Key inputs_Refineries'!J$85:J$164,'Key inputs_Refineries'!$C$85:$C$164,$C739:$C748,'Key inputs_Refineries'!$B$85:$B$164,"Boiler"))),0)</f>
        <v>0</v>
      </c>
      <c r="Q742" s="173" cm="1">
        <f t="array" ref="Q742">IFERROR(IF(AND(SUMIFS('Key inputs_Refineries'!K$85:K$164,'Key inputs_Refineries'!$C$85:$C$164,$C742,'Key inputs_Refineries'!$B$85:$B$164,"Boiler")/SUM(SUMIFS('Key inputs_Refineries'!K$85:K$164,'Key inputs_Refineries'!$C$85:$C$164,$C739:$C748,'Key inputs_Refineries'!$B$85:$B$164,"Boiler"))&gt;0,SUMIFS('Key inputs_Refineries'!K$85:K$164,'Key inputs_Refineries'!$C$85:$C$164,$C742,'Key inputs_Refineries'!$B$85:$B$164,"Boiler")/SUM(SUMIFS('Key inputs_Refineries'!K$85:K$164,'Key inputs_Refineries'!$C$85:$C$164,$C739:$C748,'Key inputs_Refineries'!$B$85:$B$164,"Boiler"))&lt;0.001),0.001,SUMIFS('Key inputs_Refineries'!K$85:K$164,'Key inputs_Refineries'!$C$85:$C$164,$C742,'Key inputs_Refineries'!$B$85:$B$164,"Boiler")/SUM(SUMIFS('Key inputs_Refineries'!K$85:K$164,'Key inputs_Refineries'!$C$85:$C$164,$C739:$C748,'Key inputs_Refineries'!$B$85:$B$164,"Boiler"))),0)</f>
        <v>0</v>
      </c>
      <c r="R742" s="173" cm="1">
        <f t="array" ref="R742">IFERROR(IF(AND(SUMIFS('Key inputs_Refineries'!L$85:L$164,'Key inputs_Refineries'!$C$85:$C$164,$C742,'Key inputs_Refineries'!$B$85:$B$164,"Boiler")/SUM(SUMIFS('Key inputs_Refineries'!L$85:L$164,'Key inputs_Refineries'!$C$85:$C$164,$C739:$C748,'Key inputs_Refineries'!$B$85:$B$164,"Boiler"))&gt;0,SUMIFS('Key inputs_Refineries'!L$85:L$164,'Key inputs_Refineries'!$C$85:$C$164,$C742,'Key inputs_Refineries'!$B$85:$B$164,"Boiler")/SUM(SUMIFS('Key inputs_Refineries'!L$85:L$164,'Key inputs_Refineries'!$C$85:$C$164,$C739:$C748,'Key inputs_Refineries'!$B$85:$B$164,"Boiler"))&lt;0.001),0.001,SUMIFS('Key inputs_Refineries'!L$85:L$164,'Key inputs_Refineries'!$C$85:$C$164,$C742,'Key inputs_Refineries'!$B$85:$B$164,"Boiler")/SUM(SUMIFS('Key inputs_Refineries'!L$85:L$164,'Key inputs_Refineries'!$C$85:$C$164,$C739:$C748,'Key inputs_Refineries'!$B$85:$B$164,"Boiler"))),0)</f>
        <v>0</v>
      </c>
      <c r="S742" s="173" cm="1">
        <f t="array" ref="S742">IFERROR(IF(AND(SUMIFS('Key inputs_Refineries'!M$85:M$164,'Key inputs_Refineries'!$C$85:$C$164,$C742,'Key inputs_Refineries'!$B$85:$B$164,"Boiler")/SUM(SUMIFS('Key inputs_Refineries'!M$85:M$164,'Key inputs_Refineries'!$C$85:$C$164,$C739:$C748,'Key inputs_Refineries'!$B$85:$B$164,"Boiler"))&gt;0,SUMIFS('Key inputs_Refineries'!M$85:M$164,'Key inputs_Refineries'!$C$85:$C$164,$C742,'Key inputs_Refineries'!$B$85:$B$164,"Boiler")/SUM(SUMIFS('Key inputs_Refineries'!M$85:M$164,'Key inputs_Refineries'!$C$85:$C$164,$C739:$C748,'Key inputs_Refineries'!$B$85:$B$164,"Boiler"))&lt;0.001),0.001,SUMIFS('Key inputs_Refineries'!M$85:M$164,'Key inputs_Refineries'!$C$85:$C$164,$C742,'Key inputs_Refineries'!$B$85:$B$164,"Boiler")/SUM(SUMIFS('Key inputs_Refineries'!M$85:M$164,'Key inputs_Refineries'!$C$85:$C$164,$C739:$C748,'Key inputs_Refineries'!$B$85:$B$164,"Boiler"))),0)</f>
        <v>0</v>
      </c>
      <c r="T742" s="173" cm="1">
        <f t="array" ref="T742">IFERROR(IF(AND(SUMIFS('Key inputs_Refineries'!N$85:N$164,'Key inputs_Refineries'!$C$85:$C$164,$C742,'Key inputs_Refineries'!$B$85:$B$164,"Boiler")/SUM(SUMIFS('Key inputs_Refineries'!N$85:N$164,'Key inputs_Refineries'!$C$85:$C$164,$C739:$C748,'Key inputs_Refineries'!$B$85:$B$164,"Boiler"))&gt;0,SUMIFS('Key inputs_Refineries'!N$85:N$164,'Key inputs_Refineries'!$C$85:$C$164,$C742,'Key inputs_Refineries'!$B$85:$B$164,"Boiler")/SUM(SUMIFS('Key inputs_Refineries'!N$85:N$164,'Key inputs_Refineries'!$C$85:$C$164,$C739:$C748,'Key inputs_Refineries'!$B$85:$B$164,"Boiler"))&lt;0.001),0.001,SUMIFS('Key inputs_Refineries'!N$85:N$164,'Key inputs_Refineries'!$C$85:$C$164,$C742,'Key inputs_Refineries'!$B$85:$B$164,"Boiler")/SUM(SUMIFS('Key inputs_Refineries'!N$85:N$164,'Key inputs_Refineries'!$C$85:$C$164,$C739:$C748,'Key inputs_Refineries'!$B$85:$B$164,"Boiler"))),0)</f>
        <v>2.7912331012078389E-2</v>
      </c>
      <c r="U742" s="173" cm="1">
        <f t="array" ref="U742">IFERROR(IF(AND(SUMIFS('Key inputs_Refineries'!O$85:O$164,'Key inputs_Refineries'!$C$85:$C$164,$C742,'Key inputs_Refineries'!$B$85:$B$164,"Boiler")/SUM(SUMIFS('Key inputs_Refineries'!O$85:O$164,'Key inputs_Refineries'!$C$85:$C$164,$C739:$C748,'Key inputs_Refineries'!$B$85:$B$164,"Boiler"))&gt;0,SUMIFS('Key inputs_Refineries'!O$85:O$164,'Key inputs_Refineries'!$C$85:$C$164,$C742,'Key inputs_Refineries'!$B$85:$B$164,"Boiler")/SUM(SUMIFS('Key inputs_Refineries'!O$85:O$164,'Key inputs_Refineries'!$C$85:$C$164,$C739:$C748,'Key inputs_Refineries'!$B$85:$B$164,"Boiler"))&lt;0.001),0.001,SUMIFS('Key inputs_Refineries'!O$85:O$164,'Key inputs_Refineries'!$C$85:$C$164,$C742,'Key inputs_Refineries'!$B$85:$B$164,"Boiler")/SUM(SUMIFS('Key inputs_Refineries'!O$85:O$164,'Key inputs_Refineries'!$C$85:$C$164,$C739:$C748,'Key inputs_Refineries'!$B$85:$B$164,"Boiler"))),0)</f>
        <v>0</v>
      </c>
      <c r="V742" s="173" cm="1">
        <f t="array" ref="V742">IFERROR(IF(AND(SUMIFS('Key inputs_Refineries'!P$85:P$164,'Key inputs_Refineries'!$C$85:$C$164,$C742,'Key inputs_Refineries'!$B$85:$B$164,"Boiler")/SUM(SUMIFS('Key inputs_Refineries'!P$85:P$164,'Key inputs_Refineries'!$C$85:$C$164,$C739:$C748,'Key inputs_Refineries'!$B$85:$B$164,"Boiler"))&gt;0,SUMIFS('Key inputs_Refineries'!P$85:P$164,'Key inputs_Refineries'!$C$85:$C$164,$C742,'Key inputs_Refineries'!$B$85:$B$164,"Boiler")/SUM(SUMIFS('Key inputs_Refineries'!P$85:P$164,'Key inputs_Refineries'!$C$85:$C$164,$C739:$C748,'Key inputs_Refineries'!$B$85:$B$164,"Boiler"))&lt;0.001),0.001,SUMIFS('Key inputs_Refineries'!P$85:P$164,'Key inputs_Refineries'!$C$85:$C$164,$C742,'Key inputs_Refineries'!$B$85:$B$164,"Boiler")/SUM(SUMIFS('Key inputs_Refineries'!P$85:P$164,'Key inputs_Refineries'!$C$85:$C$164,$C739:$C748,'Key inputs_Refineries'!$B$85:$B$164,"Boiler"))),0)</f>
        <v>1E-3</v>
      </c>
      <c r="W742" s="173" cm="1">
        <f t="array" ref="W742">IFERROR(IF(AND(SUMIFS('Key inputs_Refineries'!Q$85:Q$164,'Key inputs_Refineries'!$C$85:$C$164,$C742,'Key inputs_Refineries'!$B$85:$B$164,"Boiler")/SUM(SUMIFS('Key inputs_Refineries'!Q$85:Q$164,'Key inputs_Refineries'!$C$85:$C$164,$C739:$C748,'Key inputs_Refineries'!$B$85:$B$164,"Boiler"))&gt;0,SUMIFS('Key inputs_Refineries'!Q$85:Q$164,'Key inputs_Refineries'!$C$85:$C$164,$C742,'Key inputs_Refineries'!$B$85:$B$164,"Boiler")/SUM(SUMIFS('Key inputs_Refineries'!Q$85:Q$164,'Key inputs_Refineries'!$C$85:$C$164,$C739:$C748,'Key inputs_Refineries'!$B$85:$B$164,"Boiler"))&lt;0.001),0.001,SUMIFS('Key inputs_Refineries'!Q$85:Q$164,'Key inputs_Refineries'!$C$85:$C$164,$C742,'Key inputs_Refineries'!$B$85:$B$164,"Boiler")/SUM(SUMIFS('Key inputs_Refineries'!Q$85:Q$164,'Key inputs_Refineries'!$C$85:$C$164,$C739:$C748,'Key inputs_Refineries'!$B$85:$B$164,"Boiler"))),0)</f>
        <v>0</v>
      </c>
      <c r="X742" s="173" cm="1">
        <f t="array" ref="X742">IFERROR(IF(AND(SUMIFS('Key inputs_Refineries'!R$85:R$164,'Key inputs_Refineries'!$C$85:$C$164,$C742,'Key inputs_Refineries'!$B$85:$B$164,"Boiler")/SUM(SUMIFS('Key inputs_Refineries'!R$85:R$164,'Key inputs_Refineries'!$C$85:$C$164,$C739:$C748,'Key inputs_Refineries'!$B$85:$B$164,"Boiler"))&gt;0,SUMIFS('Key inputs_Refineries'!R$85:R$164,'Key inputs_Refineries'!$C$85:$C$164,$C742,'Key inputs_Refineries'!$B$85:$B$164,"Boiler")/SUM(SUMIFS('Key inputs_Refineries'!R$85:R$164,'Key inputs_Refineries'!$C$85:$C$164,$C739:$C748,'Key inputs_Refineries'!$B$85:$B$164,"Boiler"))&lt;0.001),0.001,SUMIFS('Key inputs_Refineries'!R$85:R$164,'Key inputs_Refineries'!$C$85:$C$164,$C742,'Key inputs_Refineries'!$B$85:$B$164,"Boiler")/SUM(SUMIFS('Key inputs_Refineries'!R$85:R$164,'Key inputs_Refineries'!$C$85:$C$164,$C739:$C748,'Key inputs_Refineries'!$B$85:$B$164,"Boiler"))),0)</f>
        <v>0</v>
      </c>
      <c r="Y742" s="173" cm="1">
        <f t="array" ref="Y742">IFERROR(IF(AND(SUMIFS('Key inputs_Refineries'!S$85:S$164,'Key inputs_Refineries'!$C$85:$C$164,$C742,'Key inputs_Refineries'!$B$85:$B$164,"Boiler")/SUM(SUMIFS('Key inputs_Refineries'!S$85:S$164,'Key inputs_Refineries'!$C$85:$C$164,$C739:$C748,'Key inputs_Refineries'!$B$85:$B$164,"Boiler"))&gt;0,SUMIFS('Key inputs_Refineries'!S$85:S$164,'Key inputs_Refineries'!$C$85:$C$164,$C742,'Key inputs_Refineries'!$B$85:$B$164,"Boiler")/SUM(SUMIFS('Key inputs_Refineries'!S$85:S$164,'Key inputs_Refineries'!$C$85:$C$164,$C739:$C748,'Key inputs_Refineries'!$B$85:$B$164,"Boiler"))&lt;0.001),0.001,SUMIFS('Key inputs_Refineries'!S$85:S$164,'Key inputs_Refineries'!$C$85:$C$164,$C742,'Key inputs_Refineries'!$B$85:$B$164,"Boiler")/SUM(SUMIFS('Key inputs_Refineries'!S$85:S$164,'Key inputs_Refineries'!$C$85:$C$164,$C739:$C748,'Key inputs_Refineries'!$B$85:$B$164,"Boiler"))),0)</f>
        <v>0</v>
      </c>
      <c r="Z742" s="173" cm="1">
        <f t="array" ref="Z742">IFERROR(IF(AND(SUMIFS('Key inputs_Refineries'!T$85:T$164,'Key inputs_Refineries'!$C$85:$C$164,$C742,'Key inputs_Refineries'!$B$85:$B$164,"Boiler")/SUM(SUMIFS('Key inputs_Refineries'!T$85:T$164,'Key inputs_Refineries'!$C$85:$C$164,$C739:$C748,'Key inputs_Refineries'!$B$85:$B$164,"Boiler"))&gt;0,SUMIFS('Key inputs_Refineries'!T$85:T$164,'Key inputs_Refineries'!$C$85:$C$164,$C742,'Key inputs_Refineries'!$B$85:$B$164,"Boiler")/SUM(SUMIFS('Key inputs_Refineries'!T$85:T$164,'Key inputs_Refineries'!$C$85:$C$164,$C739:$C748,'Key inputs_Refineries'!$B$85:$B$164,"Boiler"))&lt;0.001),0.001,SUMIFS('Key inputs_Refineries'!T$85:T$164,'Key inputs_Refineries'!$C$85:$C$164,$C742,'Key inputs_Refineries'!$B$85:$B$164,"Boiler")/SUM(SUMIFS('Key inputs_Refineries'!T$85:T$164,'Key inputs_Refineries'!$C$85:$C$164,$C739:$C748,'Key inputs_Refineries'!$B$85:$B$164,"Boiler"))),0)</f>
        <v>0</v>
      </c>
      <c r="AA742" s="173" cm="1">
        <f t="array" ref="AA742">IFERROR(IF(AND(SUMIFS('Key inputs_Refineries'!U$85:U$164,'Key inputs_Refineries'!$C$85:$C$164,$C742,'Key inputs_Refineries'!$B$85:$B$164,"Boiler")/SUM(SUMIFS('Key inputs_Refineries'!U$85:U$164,'Key inputs_Refineries'!$C$85:$C$164,$C739:$C748,'Key inputs_Refineries'!$B$85:$B$164,"Boiler"))&gt;0,SUMIFS('Key inputs_Refineries'!U$85:U$164,'Key inputs_Refineries'!$C$85:$C$164,$C742,'Key inputs_Refineries'!$B$85:$B$164,"Boiler")/SUM(SUMIFS('Key inputs_Refineries'!U$85:U$164,'Key inputs_Refineries'!$C$85:$C$164,$C739:$C748,'Key inputs_Refineries'!$B$85:$B$164,"Boiler"))&lt;0.001),0.001,SUMIFS('Key inputs_Refineries'!U$85:U$164,'Key inputs_Refineries'!$C$85:$C$164,$C742,'Key inputs_Refineries'!$B$85:$B$164,"Boiler")/SUM(SUMIFS('Key inputs_Refineries'!U$85:U$164,'Key inputs_Refineries'!$C$85:$C$164,$C739:$C748,'Key inputs_Refineries'!$B$85:$B$164,"Boiler"))),0)</f>
        <v>0</v>
      </c>
      <c r="AB742" s="173" cm="1">
        <f t="array" ref="AB742">IFERROR(IF(AND(SUMIFS('Key inputs_Refineries'!V$85:V$164,'Key inputs_Refineries'!$C$85:$C$164,$C742,'Key inputs_Refineries'!$B$85:$B$164,"Boiler")/SUM(SUMIFS('Key inputs_Refineries'!V$85:V$164,'Key inputs_Refineries'!$C$85:$C$164,$C739:$C748,'Key inputs_Refineries'!$B$85:$B$164,"Boiler"))&gt;0,SUMIFS('Key inputs_Refineries'!V$85:V$164,'Key inputs_Refineries'!$C$85:$C$164,$C742,'Key inputs_Refineries'!$B$85:$B$164,"Boiler")/SUM(SUMIFS('Key inputs_Refineries'!V$85:V$164,'Key inputs_Refineries'!$C$85:$C$164,$C739:$C748,'Key inputs_Refineries'!$B$85:$B$164,"Boiler"))&lt;0.001),0.001,SUMIFS('Key inputs_Refineries'!V$85:V$164,'Key inputs_Refineries'!$C$85:$C$164,$C742,'Key inputs_Refineries'!$B$85:$B$164,"Boiler")/SUM(SUMIFS('Key inputs_Refineries'!V$85:V$164,'Key inputs_Refineries'!$C$85:$C$164,$C739:$C748,'Key inputs_Refineries'!$B$85:$B$164,"Boiler"))),0)</f>
        <v>0</v>
      </c>
      <c r="AC742" s="173" cm="1">
        <f t="array" ref="AC742">IFERROR(IF(AND(SUMIFS('Key inputs_Refineries'!W$85:W$164,'Key inputs_Refineries'!$C$85:$C$164,$C742,'Key inputs_Refineries'!$B$85:$B$164,"Boiler")/SUM(SUMIFS('Key inputs_Refineries'!W$85:W$164,'Key inputs_Refineries'!$C$85:$C$164,$C739:$C748,'Key inputs_Refineries'!$B$85:$B$164,"Boiler"))&gt;0,SUMIFS('Key inputs_Refineries'!W$85:W$164,'Key inputs_Refineries'!$C$85:$C$164,$C742,'Key inputs_Refineries'!$B$85:$B$164,"Boiler")/SUM(SUMIFS('Key inputs_Refineries'!W$85:W$164,'Key inputs_Refineries'!$C$85:$C$164,$C739:$C748,'Key inputs_Refineries'!$B$85:$B$164,"Boiler"))&lt;0.001),0.001,SUMIFS('Key inputs_Refineries'!W$85:W$164,'Key inputs_Refineries'!$C$85:$C$164,$C742,'Key inputs_Refineries'!$B$85:$B$164,"Boiler")/SUM(SUMIFS('Key inputs_Refineries'!W$85:W$164,'Key inputs_Refineries'!$C$85:$C$164,$C739:$C748,'Key inputs_Refineries'!$B$85:$B$164,"Boiler"))),0)</f>
        <v>0</v>
      </c>
      <c r="AD742" s="173" cm="1">
        <f t="array" ref="AD742">IFERROR(IF(AND(SUMIFS('Key inputs_Refineries'!X$85:X$164,'Key inputs_Refineries'!$C$85:$C$164,$C742,'Key inputs_Refineries'!$B$85:$B$164,"Boiler")/SUM(SUMIFS('Key inputs_Refineries'!X$85:X$164,'Key inputs_Refineries'!$C$85:$C$164,$C739:$C748,'Key inputs_Refineries'!$B$85:$B$164,"Boiler"))&gt;0,SUMIFS('Key inputs_Refineries'!X$85:X$164,'Key inputs_Refineries'!$C$85:$C$164,$C742,'Key inputs_Refineries'!$B$85:$B$164,"Boiler")/SUM(SUMIFS('Key inputs_Refineries'!X$85:X$164,'Key inputs_Refineries'!$C$85:$C$164,$C739:$C748,'Key inputs_Refineries'!$B$85:$B$164,"Boiler"))&lt;0.001),0.001,SUMIFS('Key inputs_Refineries'!X$85:X$164,'Key inputs_Refineries'!$C$85:$C$164,$C742,'Key inputs_Refineries'!$B$85:$B$164,"Boiler")/SUM(SUMIFS('Key inputs_Refineries'!X$85:X$164,'Key inputs_Refineries'!$C$85:$C$164,$C739:$C748,'Key inputs_Refineries'!$B$85:$B$164,"Boiler"))),0)</f>
        <v>1E-3</v>
      </c>
      <c r="AE742" s="173" cm="1">
        <f t="array" ref="AE742">IFERROR(IF(AND(SUMIFS('Key inputs_Refineries'!Y$85:Y$164,'Key inputs_Refineries'!$C$85:$C$164,$C742,'Key inputs_Refineries'!$B$85:$B$164,"Boiler")/SUM(SUMIFS('Key inputs_Refineries'!Y$85:Y$164,'Key inputs_Refineries'!$C$85:$C$164,$C739:$C748,'Key inputs_Refineries'!$B$85:$B$164,"Boiler"))&gt;0,SUMIFS('Key inputs_Refineries'!Y$85:Y$164,'Key inputs_Refineries'!$C$85:$C$164,$C742,'Key inputs_Refineries'!$B$85:$B$164,"Boiler")/SUM(SUMIFS('Key inputs_Refineries'!Y$85:Y$164,'Key inputs_Refineries'!$C$85:$C$164,$C739:$C748,'Key inputs_Refineries'!$B$85:$B$164,"Boiler"))&lt;0.001),0.001,SUMIFS('Key inputs_Refineries'!Y$85:Y$164,'Key inputs_Refineries'!$C$85:$C$164,$C742,'Key inputs_Refineries'!$B$85:$B$164,"Boiler")/SUM(SUMIFS('Key inputs_Refineries'!Y$85:Y$164,'Key inputs_Refineries'!$C$85:$C$164,$C739:$C748,'Key inputs_Refineries'!$B$85:$B$164,"Boiler"))),0)</f>
        <v>2.0134433337153691E-2</v>
      </c>
      <c r="AF742" s="173" cm="1">
        <f t="array" ref="AF742">IFERROR(IF(AND(SUMIFS('Key inputs_Refineries'!Z$85:Z$164,'Key inputs_Refineries'!$C$85:$C$164,$C742,'Key inputs_Refineries'!$B$85:$B$164,"Boiler")/SUM(SUMIFS('Key inputs_Refineries'!Z$85:Z$164,'Key inputs_Refineries'!$C$85:$C$164,$C739:$C748,'Key inputs_Refineries'!$B$85:$B$164,"Boiler"))&gt;0,SUMIFS('Key inputs_Refineries'!Z$85:Z$164,'Key inputs_Refineries'!$C$85:$C$164,$C742,'Key inputs_Refineries'!$B$85:$B$164,"Boiler")/SUM(SUMIFS('Key inputs_Refineries'!Z$85:Z$164,'Key inputs_Refineries'!$C$85:$C$164,$C739:$C748,'Key inputs_Refineries'!$B$85:$B$164,"Boiler"))&lt;0.001),0.001,SUMIFS('Key inputs_Refineries'!Z$85:Z$164,'Key inputs_Refineries'!$C$85:$C$164,$C742,'Key inputs_Refineries'!$B$85:$B$164,"Boiler")/SUM(SUMIFS('Key inputs_Refineries'!Z$85:Z$164,'Key inputs_Refineries'!$C$85:$C$164,$C739:$C748,'Key inputs_Refineries'!$B$85:$B$164,"Boiler"))),0)</f>
        <v>0</v>
      </c>
      <c r="AG742" s="173" cm="1">
        <f t="array" ref="AG742">IFERROR(IF(AND(SUMIFS('Key inputs_Refineries'!AA$85:AA$164,'Key inputs_Refineries'!$C$85:$C$164,$C742,'Key inputs_Refineries'!$B$85:$B$164,"Boiler")/SUM(SUMIFS('Key inputs_Refineries'!AA$85:AA$164,'Key inputs_Refineries'!$C$85:$C$164,$C739:$C748,'Key inputs_Refineries'!$B$85:$B$164,"Boiler"))&gt;0,SUMIFS('Key inputs_Refineries'!AA$85:AA$164,'Key inputs_Refineries'!$C$85:$C$164,$C742,'Key inputs_Refineries'!$B$85:$B$164,"Boiler")/SUM(SUMIFS('Key inputs_Refineries'!AA$85:AA$164,'Key inputs_Refineries'!$C$85:$C$164,$C739:$C748,'Key inputs_Refineries'!$B$85:$B$164,"Boiler"))&lt;0.001),0.001,SUMIFS('Key inputs_Refineries'!AA$85:AA$164,'Key inputs_Refineries'!$C$85:$C$164,$C742,'Key inputs_Refineries'!$B$85:$B$164,"Boiler")/SUM(SUMIFS('Key inputs_Refineries'!AA$85:AA$164,'Key inputs_Refineries'!$C$85:$C$164,$C739:$C748,'Key inputs_Refineries'!$B$85:$B$164,"Boiler"))),0)</f>
        <v>0</v>
      </c>
      <c r="AH742" s="173" cm="1">
        <f t="array" ref="AH742">IFERROR(IF(AND(SUMIFS('Key inputs_Refineries'!AB$85:AB$164,'Key inputs_Refineries'!$C$85:$C$164,$C742,'Key inputs_Refineries'!$B$85:$B$164,"Boiler")/SUM(SUMIFS('Key inputs_Refineries'!AB$85:AB$164,'Key inputs_Refineries'!$C$85:$C$164,$C739:$C748,'Key inputs_Refineries'!$B$85:$B$164,"Boiler"))&gt;0,SUMIFS('Key inputs_Refineries'!AB$85:AB$164,'Key inputs_Refineries'!$C$85:$C$164,$C742,'Key inputs_Refineries'!$B$85:$B$164,"Boiler")/SUM(SUMIFS('Key inputs_Refineries'!AB$85:AB$164,'Key inputs_Refineries'!$C$85:$C$164,$C739:$C748,'Key inputs_Refineries'!$B$85:$B$164,"Boiler"))&lt;0.001),0.001,SUMIFS('Key inputs_Refineries'!AB$85:AB$164,'Key inputs_Refineries'!$C$85:$C$164,$C742,'Key inputs_Refineries'!$B$85:$B$164,"Boiler")/SUM(SUMIFS('Key inputs_Refineries'!AB$85:AB$164,'Key inputs_Refineries'!$C$85:$C$164,$C739:$C748,'Key inputs_Refineries'!$B$85:$B$164,"Boiler"))),0)</f>
        <v>0</v>
      </c>
      <c r="AI742" s="173" cm="1">
        <f t="array" ref="AI742">IFERROR(IF(AND(SUMIFS('Key inputs_Refineries'!AC$85:AC$164,'Key inputs_Refineries'!$C$85:$C$164,$C742,'Key inputs_Refineries'!$B$85:$B$164,"Boiler")/SUM(SUMIFS('Key inputs_Refineries'!AC$85:AC$164,'Key inputs_Refineries'!$C$85:$C$164,$C739:$C748,'Key inputs_Refineries'!$B$85:$B$164,"Boiler"))&gt;0,SUMIFS('Key inputs_Refineries'!AC$85:AC$164,'Key inputs_Refineries'!$C$85:$C$164,$C742,'Key inputs_Refineries'!$B$85:$B$164,"Boiler")/SUM(SUMIFS('Key inputs_Refineries'!AC$85:AC$164,'Key inputs_Refineries'!$C$85:$C$164,$C739:$C748,'Key inputs_Refineries'!$B$85:$B$164,"Boiler"))&lt;0.001),0.001,SUMIFS('Key inputs_Refineries'!AC$85:AC$164,'Key inputs_Refineries'!$C$85:$C$164,$C742,'Key inputs_Refineries'!$B$85:$B$164,"Boiler")/SUM(SUMIFS('Key inputs_Refineries'!AC$85:AC$164,'Key inputs_Refineries'!$C$85:$C$164,$C739:$C748,'Key inputs_Refineries'!$B$85:$B$164,"Boiler"))),0)</f>
        <v>0</v>
      </c>
      <c r="AJ742" s="173" cm="1">
        <f t="array" ref="AJ742">IFERROR(IF(AND(SUMIFS('Key inputs_Refineries'!AD$85:AD$164,'Key inputs_Refineries'!$C$85:$C$164,$C742,'Key inputs_Refineries'!$B$85:$B$164,"Boiler")/SUM(SUMIFS('Key inputs_Refineries'!AD$85:AD$164,'Key inputs_Refineries'!$C$85:$C$164,$C739:$C748,'Key inputs_Refineries'!$B$85:$B$164,"Boiler"))&gt;0,SUMIFS('Key inputs_Refineries'!AD$85:AD$164,'Key inputs_Refineries'!$C$85:$C$164,$C742,'Key inputs_Refineries'!$B$85:$B$164,"Boiler")/SUM(SUMIFS('Key inputs_Refineries'!AD$85:AD$164,'Key inputs_Refineries'!$C$85:$C$164,$C739:$C748,'Key inputs_Refineries'!$B$85:$B$164,"Boiler"))&lt;0.001),0.001,SUMIFS('Key inputs_Refineries'!AD$85:AD$164,'Key inputs_Refineries'!$C$85:$C$164,$C742,'Key inputs_Refineries'!$B$85:$B$164,"Boiler")/SUM(SUMIFS('Key inputs_Refineries'!AD$85:AD$164,'Key inputs_Refineries'!$C$85:$C$164,$C739:$C748,'Key inputs_Refineries'!$B$85:$B$164,"Boiler"))),0)</f>
        <v>0</v>
      </c>
      <c r="AK742" s="173" cm="1">
        <f t="array" ref="AK742">IFERROR(IF(AND(SUMIFS('Key inputs_Refineries'!AE$85:AE$164,'Key inputs_Refineries'!$C$85:$C$164,$C742,'Key inputs_Refineries'!$B$85:$B$164,"Boiler")/SUM(SUMIFS('Key inputs_Refineries'!AE$85:AE$164,'Key inputs_Refineries'!$C$85:$C$164,$C739:$C748,'Key inputs_Refineries'!$B$85:$B$164,"Boiler"))&gt;0,SUMIFS('Key inputs_Refineries'!AE$85:AE$164,'Key inputs_Refineries'!$C$85:$C$164,$C742,'Key inputs_Refineries'!$B$85:$B$164,"Boiler")/SUM(SUMIFS('Key inputs_Refineries'!AE$85:AE$164,'Key inputs_Refineries'!$C$85:$C$164,$C739:$C748,'Key inputs_Refineries'!$B$85:$B$164,"Boiler"))&lt;0.001),0.001,SUMIFS('Key inputs_Refineries'!AE$85:AE$164,'Key inputs_Refineries'!$C$85:$C$164,$C742,'Key inputs_Refineries'!$B$85:$B$164,"Boiler")/SUM(SUMIFS('Key inputs_Refineries'!AE$85:AE$164,'Key inputs_Refineries'!$C$85:$C$164,$C739:$C748,'Key inputs_Refineries'!$B$85:$B$164,"Boiler"))),0)</f>
        <v>0</v>
      </c>
      <c r="AL742" s="173" cm="1">
        <f t="array" ref="AL742">IFERROR(IF(AND(SUMIFS('Key inputs_Refineries'!AF$85:AF$164,'Key inputs_Refineries'!$C$85:$C$164,$C742,'Key inputs_Refineries'!$B$85:$B$164,"Boiler")/SUM(SUMIFS('Key inputs_Refineries'!AF$85:AF$164,'Key inputs_Refineries'!$C$85:$C$164,$C739:$C748,'Key inputs_Refineries'!$B$85:$B$164,"Boiler"))&gt;0,SUMIFS('Key inputs_Refineries'!AF$85:AF$164,'Key inputs_Refineries'!$C$85:$C$164,$C742,'Key inputs_Refineries'!$B$85:$B$164,"Boiler")/SUM(SUMIFS('Key inputs_Refineries'!AF$85:AF$164,'Key inputs_Refineries'!$C$85:$C$164,$C739:$C748,'Key inputs_Refineries'!$B$85:$B$164,"Boiler"))&lt;0.001),0.001,SUMIFS('Key inputs_Refineries'!AF$85:AF$164,'Key inputs_Refineries'!$C$85:$C$164,$C742,'Key inputs_Refineries'!$B$85:$B$164,"Boiler")/SUM(SUMIFS('Key inputs_Refineries'!AF$85:AF$164,'Key inputs_Refineries'!$C$85:$C$164,$C739:$C748,'Key inputs_Refineries'!$B$85:$B$164,"Boiler"))),0)</f>
        <v>2.4176673865044865E-3</v>
      </c>
    </row>
    <row r="743" spans="3:47">
      <c r="C743" t="str">
        <f>Commodities!$C$95</f>
        <v>UPSHFO</v>
      </c>
      <c r="G743" s="4" t="s">
        <v>702</v>
      </c>
      <c r="H743" t="s">
        <v>661</v>
      </c>
      <c r="I743">
        <v>2019</v>
      </c>
      <c r="J743" t="s">
        <v>650</v>
      </c>
      <c r="K743" s="173" cm="1">
        <f t="array" ref="K743">IFERROR(IF(AND(SUMIFS('Key inputs_Refineries'!E$85:E$164,'Key inputs_Refineries'!$C$85:$C$164,$C743,'Key inputs_Refineries'!$B$85:$B$164,"Boiler")/SUM(SUMIFS('Key inputs_Refineries'!E$85:E$164,'Key inputs_Refineries'!$C$85:$C$164,$C739:$C748,'Key inputs_Refineries'!$B$85:$B$164,"Boiler"))&gt;0,SUMIFS('Key inputs_Refineries'!E$85:E$164,'Key inputs_Refineries'!$C$85:$C$164,$C743,'Key inputs_Refineries'!$B$85:$B$164,"Boiler")/SUM(SUMIFS('Key inputs_Refineries'!E$85:E$164,'Key inputs_Refineries'!$C$85:$C$164,$C739:$C748,'Key inputs_Refineries'!$B$85:$B$164,"Boiler"))&lt;0.001),0.001,SUMIFS('Key inputs_Refineries'!E$85:E$164,'Key inputs_Refineries'!$C$85:$C$164,$C743,'Key inputs_Refineries'!$B$85:$B$164,"Boiler")/SUM(SUMIFS('Key inputs_Refineries'!E$85:E$164,'Key inputs_Refineries'!$C$85:$C$164,$C739:$C748,'Key inputs_Refineries'!$B$85:$B$164,"Boiler"))),0)</f>
        <v>0</v>
      </c>
      <c r="L743" s="173" cm="1">
        <f t="array" ref="L743">IFERROR(IF(AND(SUMIFS('Key inputs_Refineries'!F$85:F$164,'Key inputs_Refineries'!$C$85:$C$164,$C743,'Key inputs_Refineries'!$B$85:$B$164,"Boiler")/SUM(SUMIFS('Key inputs_Refineries'!F$85:F$164,'Key inputs_Refineries'!$C$85:$C$164,$C739:$C748,'Key inputs_Refineries'!$B$85:$B$164,"Boiler"))&gt;0,SUMIFS('Key inputs_Refineries'!F$85:F$164,'Key inputs_Refineries'!$C$85:$C$164,$C743,'Key inputs_Refineries'!$B$85:$B$164,"Boiler")/SUM(SUMIFS('Key inputs_Refineries'!F$85:F$164,'Key inputs_Refineries'!$C$85:$C$164,$C739:$C748,'Key inputs_Refineries'!$B$85:$B$164,"Boiler"))&lt;0.001),0.001,SUMIFS('Key inputs_Refineries'!F$85:F$164,'Key inputs_Refineries'!$C$85:$C$164,$C743,'Key inputs_Refineries'!$B$85:$B$164,"Boiler")/SUM(SUMIFS('Key inputs_Refineries'!F$85:F$164,'Key inputs_Refineries'!$C$85:$C$164,$C739:$C748,'Key inputs_Refineries'!$B$85:$B$164,"Boiler"))),0)</f>
        <v>0.37465171294428523</v>
      </c>
      <c r="M743" s="173" cm="1">
        <f t="array" ref="M743">IFERROR(IF(AND(SUMIFS('Key inputs_Refineries'!G$85:G$164,'Key inputs_Refineries'!$C$85:$C$164,$C743,'Key inputs_Refineries'!$B$85:$B$164,"Boiler")/SUM(SUMIFS('Key inputs_Refineries'!G$85:G$164,'Key inputs_Refineries'!$C$85:$C$164,$C739:$C748,'Key inputs_Refineries'!$B$85:$B$164,"Boiler"))&gt;0,SUMIFS('Key inputs_Refineries'!G$85:G$164,'Key inputs_Refineries'!$C$85:$C$164,$C743,'Key inputs_Refineries'!$B$85:$B$164,"Boiler")/SUM(SUMIFS('Key inputs_Refineries'!G$85:G$164,'Key inputs_Refineries'!$C$85:$C$164,$C739:$C748,'Key inputs_Refineries'!$B$85:$B$164,"Boiler"))&lt;0.001),0.001,SUMIFS('Key inputs_Refineries'!G$85:G$164,'Key inputs_Refineries'!$C$85:$C$164,$C743,'Key inputs_Refineries'!$B$85:$B$164,"Boiler")/SUM(SUMIFS('Key inputs_Refineries'!G$85:G$164,'Key inputs_Refineries'!$C$85:$C$164,$C739:$C748,'Key inputs_Refineries'!$B$85:$B$164,"Boiler"))),0)</f>
        <v>0.51919100635285487</v>
      </c>
      <c r="N743" s="173" cm="1">
        <f t="array" ref="N743">IFERROR(IF(AND(SUMIFS('Key inputs_Refineries'!H$85:H$164,'Key inputs_Refineries'!$C$85:$C$164,$C743,'Key inputs_Refineries'!$B$85:$B$164,"Boiler")/SUM(SUMIFS('Key inputs_Refineries'!H$85:H$164,'Key inputs_Refineries'!$C$85:$C$164,$C739:$C748,'Key inputs_Refineries'!$B$85:$B$164,"Boiler"))&gt;0,SUMIFS('Key inputs_Refineries'!H$85:H$164,'Key inputs_Refineries'!$C$85:$C$164,$C743,'Key inputs_Refineries'!$B$85:$B$164,"Boiler")/SUM(SUMIFS('Key inputs_Refineries'!H$85:H$164,'Key inputs_Refineries'!$C$85:$C$164,$C739:$C748,'Key inputs_Refineries'!$B$85:$B$164,"Boiler"))&lt;0.001),0.001,SUMIFS('Key inputs_Refineries'!H$85:H$164,'Key inputs_Refineries'!$C$85:$C$164,$C743,'Key inputs_Refineries'!$B$85:$B$164,"Boiler")/SUM(SUMIFS('Key inputs_Refineries'!H$85:H$164,'Key inputs_Refineries'!$C$85:$C$164,$C739:$C748,'Key inputs_Refineries'!$B$85:$B$164,"Boiler"))),0)</f>
        <v>0</v>
      </c>
      <c r="O743" s="173" cm="1">
        <f t="array" ref="O743">IFERROR(IF(AND(SUMIFS('Key inputs_Refineries'!I$85:I$164,'Key inputs_Refineries'!$C$85:$C$164,$C743,'Key inputs_Refineries'!$B$85:$B$164,"Boiler")/SUM(SUMIFS('Key inputs_Refineries'!I$85:I$164,'Key inputs_Refineries'!$C$85:$C$164,$C739:$C748,'Key inputs_Refineries'!$B$85:$B$164,"Boiler"))&gt;0,SUMIFS('Key inputs_Refineries'!I$85:I$164,'Key inputs_Refineries'!$C$85:$C$164,$C743,'Key inputs_Refineries'!$B$85:$B$164,"Boiler")/SUM(SUMIFS('Key inputs_Refineries'!I$85:I$164,'Key inputs_Refineries'!$C$85:$C$164,$C739:$C748,'Key inputs_Refineries'!$B$85:$B$164,"Boiler"))&lt;0.001),0.001,SUMIFS('Key inputs_Refineries'!I$85:I$164,'Key inputs_Refineries'!$C$85:$C$164,$C743,'Key inputs_Refineries'!$B$85:$B$164,"Boiler")/SUM(SUMIFS('Key inputs_Refineries'!I$85:I$164,'Key inputs_Refineries'!$C$85:$C$164,$C739:$C748,'Key inputs_Refineries'!$B$85:$B$164,"Boiler"))),0)</f>
        <v>9.1734191639610982E-2</v>
      </c>
      <c r="P743" s="173" cm="1">
        <f t="array" ref="P743">IFERROR(IF(AND(SUMIFS('Key inputs_Refineries'!J$85:J$164,'Key inputs_Refineries'!$C$85:$C$164,$C743,'Key inputs_Refineries'!$B$85:$B$164,"Boiler")/SUM(SUMIFS('Key inputs_Refineries'!J$85:J$164,'Key inputs_Refineries'!$C$85:$C$164,$C739:$C748,'Key inputs_Refineries'!$B$85:$B$164,"Boiler"))&gt;0,SUMIFS('Key inputs_Refineries'!J$85:J$164,'Key inputs_Refineries'!$C$85:$C$164,$C743,'Key inputs_Refineries'!$B$85:$B$164,"Boiler")/SUM(SUMIFS('Key inputs_Refineries'!J$85:J$164,'Key inputs_Refineries'!$C$85:$C$164,$C739:$C748,'Key inputs_Refineries'!$B$85:$B$164,"Boiler"))&lt;0.001),0.001,SUMIFS('Key inputs_Refineries'!J$85:J$164,'Key inputs_Refineries'!$C$85:$C$164,$C743,'Key inputs_Refineries'!$B$85:$B$164,"Boiler")/SUM(SUMIFS('Key inputs_Refineries'!J$85:J$164,'Key inputs_Refineries'!$C$85:$C$164,$C739:$C748,'Key inputs_Refineries'!$B$85:$B$164,"Boiler"))),0)</f>
        <v>0.10352194303840895</v>
      </c>
      <c r="Q743" s="173" cm="1">
        <f t="array" ref="Q743">IFERROR(IF(AND(SUMIFS('Key inputs_Refineries'!K$85:K$164,'Key inputs_Refineries'!$C$85:$C$164,$C743,'Key inputs_Refineries'!$B$85:$B$164,"Boiler")/SUM(SUMIFS('Key inputs_Refineries'!K$85:K$164,'Key inputs_Refineries'!$C$85:$C$164,$C739:$C748,'Key inputs_Refineries'!$B$85:$B$164,"Boiler"))&gt;0,SUMIFS('Key inputs_Refineries'!K$85:K$164,'Key inputs_Refineries'!$C$85:$C$164,$C743,'Key inputs_Refineries'!$B$85:$B$164,"Boiler")/SUM(SUMIFS('Key inputs_Refineries'!K$85:K$164,'Key inputs_Refineries'!$C$85:$C$164,$C739:$C748,'Key inputs_Refineries'!$B$85:$B$164,"Boiler"))&lt;0.001),0.001,SUMIFS('Key inputs_Refineries'!K$85:K$164,'Key inputs_Refineries'!$C$85:$C$164,$C743,'Key inputs_Refineries'!$B$85:$B$164,"Boiler")/SUM(SUMIFS('Key inputs_Refineries'!K$85:K$164,'Key inputs_Refineries'!$C$85:$C$164,$C739:$C748,'Key inputs_Refineries'!$B$85:$B$164,"Boiler"))),0)</f>
        <v>0.91831941777916681</v>
      </c>
      <c r="R743" s="173" cm="1">
        <f t="array" ref="R743">IFERROR(IF(AND(SUMIFS('Key inputs_Refineries'!L$85:L$164,'Key inputs_Refineries'!$C$85:$C$164,$C743,'Key inputs_Refineries'!$B$85:$B$164,"Boiler")/SUM(SUMIFS('Key inputs_Refineries'!L$85:L$164,'Key inputs_Refineries'!$C$85:$C$164,$C739:$C748,'Key inputs_Refineries'!$B$85:$B$164,"Boiler"))&gt;0,SUMIFS('Key inputs_Refineries'!L$85:L$164,'Key inputs_Refineries'!$C$85:$C$164,$C743,'Key inputs_Refineries'!$B$85:$B$164,"Boiler")/SUM(SUMIFS('Key inputs_Refineries'!L$85:L$164,'Key inputs_Refineries'!$C$85:$C$164,$C739:$C748,'Key inputs_Refineries'!$B$85:$B$164,"Boiler"))&lt;0.001),0.001,SUMIFS('Key inputs_Refineries'!L$85:L$164,'Key inputs_Refineries'!$C$85:$C$164,$C743,'Key inputs_Refineries'!$B$85:$B$164,"Boiler")/SUM(SUMIFS('Key inputs_Refineries'!L$85:L$164,'Key inputs_Refineries'!$C$85:$C$164,$C739:$C748,'Key inputs_Refineries'!$B$85:$B$164,"Boiler"))),0)</f>
        <v>1</v>
      </c>
      <c r="S743" s="173" cm="1">
        <f t="array" ref="S743">IFERROR(IF(AND(SUMIFS('Key inputs_Refineries'!M$85:M$164,'Key inputs_Refineries'!$C$85:$C$164,$C743,'Key inputs_Refineries'!$B$85:$B$164,"Boiler")/SUM(SUMIFS('Key inputs_Refineries'!M$85:M$164,'Key inputs_Refineries'!$C$85:$C$164,$C739:$C748,'Key inputs_Refineries'!$B$85:$B$164,"Boiler"))&gt;0,SUMIFS('Key inputs_Refineries'!M$85:M$164,'Key inputs_Refineries'!$C$85:$C$164,$C743,'Key inputs_Refineries'!$B$85:$B$164,"Boiler")/SUM(SUMIFS('Key inputs_Refineries'!M$85:M$164,'Key inputs_Refineries'!$C$85:$C$164,$C739:$C748,'Key inputs_Refineries'!$B$85:$B$164,"Boiler"))&lt;0.001),0.001,SUMIFS('Key inputs_Refineries'!M$85:M$164,'Key inputs_Refineries'!$C$85:$C$164,$C743,'Key inputs_Refineries'!$B$85:$B$164,"Boiler")/SUM(SUMIFS('Key inputs_Refineries'!M$85:M$164,'Key inputs_Refineries'!$C$85:$C$164,$C739:$C748,'Key inputs_Refineries'!$B$85:$B$164,"Boiler"))),0)</f>
        <v>0.96494826723174043</v>
      </c>
      <c r="T743" s="173" cm="1">
        <f t="array" ref="T743">IFERROR(IF(AND(SUMIFS('Key inputs_Refineries'!N$85:N$164,'Key inputs_Refineries'!$C$85:$C$164,$C743,'Key inputs_Refineries'!$B$85:$B$164,"Boiler")/SUM(SUMIFS('Key inputs_Refineries'!N$85:N$164,'Key inputs_Refineries'!$C$85:$C$164,$C739:$C748,'Key inputs_Refineries'!$B$85:$B$164,"Boiler"))&gt;0,SUMIFS('Key inputs_Refineries'!N$85:N$164,'Key inputs_Refineries'!$C$85:$C$164,$C743,'Key inputs_Refineries'!$B$85:$B$164,"Boiler")/SUM(SUMIFS('Key inputs_Refineries'!N$85:N$164,'Key inputs_Refineries'!$C$85:$C$164,$C739:$C748,'Key inputs_Refineries'!$B$85:$B$164,"Boiler"))&lt;0.001),0.001,SUMIFS('Key inputs_Refineries'!N$85:N$164,'Key inputs_Refineries'!$C$85:$C$164,$C743,'Key inputs_Refineries'!$B$85:$B$164,"Boiler")/SUM(SUMIFS('Key inputs_Refineries'!N$85:N$164,'Key inputs_Refineries'!$C$85:$C$164,$C739:$C748,'Key inputs_Refineries'!$B$85:$B$164,"Boiler"))),0)</f>
        <v>6.3476982152369937E-3</v>
      </c>
      <c r="U743" s="173" cm="1">
        <f t="array" ref="U743">IFERROR(IF(AND(SUMIFS('Key inputs_Refineries'!O$85:O$164,'Key inputs_Refineries'!$C$85:$C$164,$C743,'Key inputs_Refineries'!$B$85:$B$164,"Boiler")/SUM(SUMIFS('Key inputs_Refineries'!O$85:O$164,'Key inputs_Refineries'!$C$85:$C$164,$C739:$C748,'Key inputs_Refineries'!$B$85:$B$164,"Boiler"))&gt;0,SUMIFS('Key inputs_Refineries'!O$85:O$164,'Key inputs_Refineries'!$C$85:$C$164,$C743,'Key inputs_Refineries'!$B$85:$B$164,"Boiler")/SUM(SUMIFS('Key inputs_Refineries'!O$85:O$164,'Key inputs_Refineries'!$C$85:$C$164,$C739:$C748,'Key inputs_Refineries'!$B$85:$B$164,"Boiler"))&lt;0.001),0.001,SUMIFS('Key inputs_Refineries'!O$85:O$164,'Key inputs_Refineries'!$C$85:$C$164,$C743,'Key inputs_Refineries'!$B$85:$B$164,"Boiler")/SUM(SUMIFS('Key inputs_Refineries'!O$85:O$164,'Key inputs_Refineries'!$C$85:$C$164,$C739:$C748,'Key inputs_Refineries'!$B$85:$B$164,"Boiler"))),0)</f>
        <v>0.61457033647315606</v>
      </c>
      <c r="V743" s="173" cm="1">
        <f t="array" ref="V743">IFERROR(IF(AND(SUMIFS('Key inputs_Refineries'!P$85:P$164,'Key inputs_Refineries'!$C$85:$C$164,$C743,'Key inputs_Refineries'!$B$85:$B$164,"Boiler")/SUM(SUMIFS('Key inputs_Refineries'!P$85:P$164,'Key inputs_Refineries'!$C$85:$C$164,$C739:$C748,'Key inputs_Refineries'!$B$85:$B$164,"Boiler"))&gt;0,SUMIFS('Key inputs_Refineries'!P$85:P$164,'Key inputs_Refineries'!$C$85:$C$164,$C743,'Key inputs_Refineries'!$B$85:$B$164,"Boiler")/SUM(SUMIFS('Key inputs_Refineries'!P$85:P$164,'Key inputs_Refineries'!$C$85:$C$164,$C739:$C748,'Key inputs_Refineries'!$B$85:$B$164,"Boiler"))&lt;0.001),0.001,SUMIFS('Key inputs_Refineries'!P$85:P$164,'Key inputs_Refineries'!$C$85:$C$164,$C743,'Key inputs_Refineries'!$B$85:$B$164,"Boiler")/SUM(SUMIFS('Key inputs_Refineries'!P$85:P$164,'Key inputs_Refineries'!$C$85:$C$164,$C739:$C748,'Key inputs_Refineries'!$B$85:$B$164,"Boiler"))),0)</f>
        <v>6.3407167375633859E-3</v>
      </c>
      <c r="W743" s="173" cm="1">
        <f t="array" ref="W743">IFERROR(IF(AND(SUMIFS('Key inputs_Refineries'!Q$85:Q$164,'Key inputs_Refineries'!$C$85:$C$164,$C743,'Key inputs_Refineries'!$B$85:$B$164,"Boiler")/SUM(SUMIFS('Key inputs_Refineries'!Q$85:Q$164,'Key inputs_Refineries'!$C$85:$C$164,$C739:$C748,'Key inputs_Refineries'!$B$85:$B$164,"Boiler"))&gt;0,SUMIFS('Key inputs_Refineries'!Q$85:Q$164,'Key inputs_Refineries'!$C$85:$C$164,$C743,'Key inputs_Refineries'!$B$85:$B$164,"Boiler")/SUM(SUMIFS('Key inputs_Refineries'!Q$85:Q$164,'Key inputs_Refineries'!$C$85:$C$164,$C739:$C748,'Key inputs_Refineries'!$B$85:$B$164,"Boiler"))&lt;0.001),0.001,SUMIFS('Key inputs_Refineries'!Q$85:Q$164,'Key inputs_Refineries'!$C$85:$C$164,$C743,'Key inputs_Refineries'!$B$85:$B$164,"Boiler")/SUM(SUMIFS('Key inputs_Refineries'!Q$85:Q$164,'Key inputs_Refineries'!$C$85:$C$164,$C739:$C748,'Key inputs_Refineries'!$B$85:$B$164,"Boiler"))),0)</f>
        <v>0.94164147828318123</v>
      </c>
      <c r="X743" s="173" cm="1">
        <f t="array" ref="X743">IFERROR(IF(AND(SUMIFS('Key inputs_Refineries'!R$85:R$164,'Key inputs_Refineries'!$C$85:$C$164,$C743,'Key inputs_Refineries'!$B$85:$B$164,"Boiler")/SUM(SUMIFS('Key inputs_Refineries'!R$85:R$164,'Key inputs_Refineries'!$C$85:$C$164,$C739:$C748,'Key inputs_Refineries'!$B$85:$B$164,"Boiler"))&gt;0,SUMIFS('Key inputs_Refineries'!R$85:R$164,'Key inputs_Refineries'!$C$85:$C$164,$C743,'Key inputs_Refineries'!$B$85:$B$164,"Boiler")/SUM(SUMIFS('Key inputs_Refineries'!R$85:R$164,'Key inputs_Refineries'!$C$85:$C$164,$C739:$C748,'Key inputs_Refineries'!$B$85:$B$164,"Boiler"))&lt;0.001),0.001,SUMIFS('Key inputs_Refineries'!R$85:R$164,'Key inputs_Refineries'!$C$85:$C$164,$C743,'Key inputs_Refineries'!$B$85:$B$164,"Boiler")/SUM(SUMIFS('Key inputs_Refineries'!R$85:R$164,'Key inputs_Refineries'!$C$85:$C$164,$C739:$C748,'Key inputs_Refineries'!$B$85:$B$164,"Boiler"))),0)</f>
        <v>0.1905876476082399</v>
      </c>
      <c r="Y743" s="173" cm="1">
        <f t="array" ref="Y743">IFERROR(IF(AND(SUMIFS('Key inputs_Refineries'!S$85:S$164,'Key inputs_Refineries'!$C$85:$C$164,$C743,'Key inputs_Refineries'!$B$85:$B$164,"Boiler")/SUM(SUMIFS('Key inputs_Refineries'!S$85:S$164,'Key inputs_Refineries'!$C$85:$C$164,$C739:$C748,'Key inputs_Refineries'!$B$85:$B$164,"Boiler"))&gt;0,SUMIFS('Key inputs_Refineries'!S$85:S$164,'Key inputs_Refineries'!$C$85:$C$164,$C743,'Key inputs_Refineries'!$B$85:$B$164,"Boiler")/SUM(SUMIFS('Key inputs_Refineries'!S$85:S$164,'Key inputs_Refineries'!$C$85:$C$164,$C739:$C748,'Key inputs_Refineries'!$B$85:$B$164,"Boiler"))&lt;0.001),0.001,SUMIFS('Key inputs_Refineries'!S$85:S$164,'Key inputs_Refineries'!$C$85:$C$164,$C743,'Key inputs_Refineries'!$B$85:$B$164,"Boiler")/SUM(SUMIFS('Key inputs_Refineries'!S$85:S$164,'Key inputs_Refineries'!$C$85:$C$164,$C739:$C748,'Key inputs_Refineries'!$B$85:$B$164,"Boiler"))),0)</f>
        <v>0.42885543845730389</v>
      </c>
      <c r="Z743" s="173" cm="1">
        <f t="array" ref="Z743">IFERROR(IF(AND(SUMIFS('Key inputs_Refineries'!T$85:T$164,'Key inputs_Refineries'!$C$85:$C$164,$C743,'Key inputs_Refineries'!$B$85:$B$164,"Boiler")/SUM(SUMIFS('Key inputs_Refineries'!T$85:T$164,'Key inputs_Refineries'!$C$85:$C$164,$C739:$C748,'Key inputs_Refineries'!$B$85:$B$164,"Boiler"))&gt;0,SUMIFS('Key inputs_Refineries'!T$85:T$164,'Key inputs_Refineries'!$C$85:$C$164,$C743,'Key inputs_Refineries'!$B$85:$B$164,"Boiler")/SUM(SUMIFS('Key inputs_Refineries'!T$85:T$164,'Key inputs_Refineries'!$C$85:$C$164,$C739:$C748,'Key inputs_Refineries'!$B$85:$B$164,"Boiler"))&lt;0.001),0.001,SUMIFS('Key inputs_Refineries'!T$85:T$164,'Key inputs_Refineries'!$C$85:$C$164,$C743,'Key inputs_Refineries'!$B$85:$B$164,"Boiler")/SUM(SUMIFS('Key inputs_Refineries'!T$85:T$164,'Key inputs_Refineries'!$C$85:$C$164,$C739:$C748,'Key inputs_Refineries'!$B$85:$B$164,"Boiler"))),0)</f>
        <v>0.25806013116659293</v>
      </c>
      <c r="AA743" s="173" cm="1">
        <f t="array" ref="AA743">IFERROR(IF(AND(SUMIFS('Key inputs_Refineries'!U$85:U$164,'Key inputs_Refineries'!$C$85:$C$164,$C743,'Key inputs_Refineries'!$B$85:$B$164,"Boiler")/SUM(SUMIFS('Key inputs_Refineries'!U$85:U$164,'Key inputs_Refineries'!$C$85:$C$164,$C739:$C748,'Key inputs_Refineries'!$B$85:$B$164,"Boiler"))&gt;0,SUMIFS('Key inputs_Refineries'!U$85:U$164,'Key inputs_Refineries'!$C$85:$C$164,$C743,'Key inputs_Refineries'!$B$85:$B$164,"Boiler")/SUM(SUMIFS('Key inputs_Refineries'!U$85:U$164,'Key inputs_Refineries'!$C$85:$C$164,$C739:$C748,'Key inputs_Refineries'!$B$85:$B$164,"Boiler"))&lt;0.001),0.001,SUMIFS('Key inputs_Refineries'!U$85:U$164,'Key inputs_Refineries'!$C$85:$C$164,$C743,'Key inputs_Refineries'!$B$85:$B$164,"Boiler")/SUM(SUMIFS('Key inputs_Refineries'!U$85:U$164,'Key inputs_Refineries'!$C$85:$C$164,$C739:$C748,'Key inputs_Refineries'!$B$85:$B$164,"Boiler"))),0)</f>
        <v>0.39154120435237949</v>
      </c>
      <c r="AB743" s="173" cm="1">
        <f t="array" ref="AB743">IFERROR(IF(AND(SUMIFS('Key inputs_Refineries'!V$85:V$164,'Key inputs_Refineries'!$C$85:$C$164,$C743,'Key inputs_Refineries'!$B$85:$B$164,"Boiler")/SUM(SUMIFS('Key inputs_Refineries'!V$85:V$164,'Key inputs_Refineries'!$C$85:$C$164,$C739:$C748,'Key inputs_Refineries'!$B$85:$B$164,"Boiler"))&gt;0,SUMIFS('Key inputs_Refineries'!V$85:V$164,'Key inputs_Refineries'!$C$85:$C$164,$C743,'Key inputs_Refineries'!$B$85:$B$164,"Boiler")/SUM(SUMIFS('Key inputs_Refineries'!V$85:V$164,'Key inputs_Refineries'!$C$85:$C$164,$C739:$C748,'Key inputs_Refineries'!$B$85:$B$164,"Boiler"))&lt;0.001),0.001,SUMIFS('Key inputs_Refineries'!V$85:V$164,'Key inputs_Refineries'!$C$85:$C$164,$C743,'Key inputs_Refineries'!$B$85:$B$164,"Boiler")/SUM(SUMIFS('Key inputs_Refineries'!V$85:V$164,'Key inputs_Refineries'!$C$85:$C$164,$C739:$C748,'Key inputs_Refineries'!$B$85:$B$164,"Boiler"))),0)</f>
        <v>0</v>
      </c>
      <c r="AC743" s="173" cm="1">
        <f t="array" ref="AC743">IFERROR(IF(AND(SUMIFS('Key inputs_Refineries'!W$85:W$164,'Key inputs_Refineries'!$C$85:$C$164,$C743,'Key inputs_Refineries'!$B$85:$B$164,"Boiler")/SUM(SUMIFS('Key inputs_Refineries'!W$85:W$164,'Key inputs_Refineries'!$C$85:$C$164,$C739:$C748,'Key inputs_Refineries'!$B$85:$B$164,"Boiler"))&gt;0,SUMIFS('Key inputs_Refineries'!W$85:W$164,'Key inputs_Refineries'!$C$85:$C$164,$C743,'Key inputs_Refineries'!$B$85:$B$164,"Boiler")/SUM(SUMIFS('Key inputs_Refineries'!W$85:W$164,'Key inputs_Refineries'!$C$85:$C$164,$C739:$C748,'Key inputs_Refineries'!$B$85:$B$164,"Boiler"))&lt;0.001),0.001,SUMIFS('Key inputs_Refineries'!W$85:W$164,'Key inputs_Refineries'!$C$85:$C$164,$C743,'Key inputs_Refineries'!$B$85:$B$164,"Boiler")/SUM(SUMIFS('Key inputs_Refineries'!W$85:W$164,'Key inputs_Refineries'!$C$85:$C$164,$C739:$C748,'Key inputs_Refineries'!$B$85:$B$164,"Boiler"))),0)</f>
        <v>0</v>
      </c>
      <c r="AD743" s="173" cm="1">
        <f t="array" ref="AD743">IFERROR(IF(AND(SUMIFS('Key inputs_Refineries'!X$85:X$164,'Key inputs_Refineries'!$C$85:$C$164,$C743,'Key inputs_Refineries'!$B$85:$B$164,"Boiler")/SUM(SUMIFS('Key inputs_Refineries'!X$85:X$164,'Key inputs_Refineries'!$C$85:$C$164,$C739:$C748,'Key inputs_Refineries'!$B$85:$B$164,"Boiler"))&gt;0,SUMIFS('Key inputs_Refineries'!X$85:X$164,'Key inputs_Refineries'!$C$85:$C$164,$C743,'Key inputs_Refineries'!$B$85:$B$164,"Boiler")/SUM(SUMIFS('Key inputs_Refineries'!X$85:X$164,'Key inputs_Refineries'!$C$85:$C$164,$C739:$C748,'Key inputs_Refineries'!$B$85:$B$164,"Boiler"))&lt;0.001),0.001,SUMIFS('Key inputs_Refineries'!X$85:X$164,'Key inputs_Refineries'!$C$85:$C$164,$C743,'Key inputs_Refineries'!$B$85:$B$164,"Boiler")/SUM(SUMIFS('Key inputs_Refineries'!X$85:X$164,'Key inputs_Refineries'!$C$85:$C$164,$C739:$C748,'Key inputs_Refineries'!$B$85:$B$164,"Boiler"))),0)</f>
        <v>0.4756383948623702</v>
      </c>
      <c r="AE743" s="173" cm="1">
        <f t="array" ref="AE743">IFERROR(IF(AND(SUMIFS('Key inputs_Refineries'!Y$85:Y$164,'Key inputs_Refineries'!$C$85:$C$164,$C743,'Key inputs_Refineries'!$B$85:$B$164,"Boiler")/SUM(SUMIFS('Key inputs_Refineries'!Y$85:Y$164,'Key inputs_Refineries'!$C$85:$C$164,$C739:$C748,'Key inputs_Refineries'!$B$85:$B$164,"Boiler"))&gt;0,SUMIFS('Key inputs_Refineries'!Y$85:Y$164,'Key inputs_Refineries'!$C$85:$C$164,$C743,'Key inputs_Refineries'!$B$85:$B$164,"Boiler")/SUM(SUMIFS('Key inputs_Refineries'!Y$85:Y$164,'Key inputs_Refineries'!$C$85:$C$164,$C739:$C748,'Key inputs_Refineries'!$B$85:$B$164,"Boiler"))&lt;0.001),0.001,SUMIFS('Key inputs_Refineries'!Y$85:Y$164,'Key inputs_Refineries'!$C$85:$C$164,$C743,'Key inputs_Refineries'!$B$85:$B$164,"Boiler")/SUM(SUMIFS('Key inputs_Refineries'!Y$85:Y$164,'Key inputs_Refineries'!$C$85:$C$164,$C739:$C748,'Key inputs_Refineries'!$B$85:$B$164,"Boiler"))),0)</f>
        <v>0.73286575508212493</v>
      </c>
      <c r="AF743" s="173" cm="1">
        <f t="array" ref="AF743">IFERROR(IF(AND(SUMIFS('Key inputs_Refineries'!Z$85:Z$164,'Key inputs_Refineries'!$C$85:$C$164,$C743,'Key inputs_Refineries'!$B$85:$B$164,"Boiler")/SUM(SUMIFS('Key inputs_Refineries'!Z$85:Z$164,'Key inputs_Refineries'!$C$85:$C$164,$C739:$C748,'Key inputs_Refineries'!$B$85:$B$164,"Boiler"))&gt;0,SUMIFS('Key inputs_Refineries'!Z$85:Z$164,'Key inputs_Refineries'!$C$85:$C$164,$C743,'Key inputs_Refineries'!$B$85:$B$164,"Boiler")/SUM(SUMIFS('Key inputs_Refineries'!Z$85:Z$164,'Key inputs_Refineries'!$C$85:$C$164,$C739:$C748,'Key inputs_Refineries'!$B$85:$B$164,"Boiler"))&lt;0.001),0.001,SUMIFS('Key inputs_Refineries'!Z$85:Z$164,'Key inputs_Refineries'!$C$85:$C$164,$C743,'Key inputs_Refineries'!$B$85:$B$164,"Boiler")/SUM(SUMIFS('Key inputs_Refineries'!Z$85:Z$164,'Key inputs_Refineries'!$C$85:$C$164,$C739:$C748,'Key inputs_Refineries'!$B$85:$B$164,"Boiler"))),0)</f>
        <v>0.95711367572637651</v>
      </c>
      <c r="AG743" s="173" cm="1">
        <f t="array" ref="AG743">IFERROR(IF(AND(SUMIFS('Key inputs_Refineries'!AA$85:AA$164,'Key inputs_Refineries'!$C$85:$C$164,$C743,'Key inputs_Refineries'!$B$85:$B$164,"Boiler")/SUM(SUMIFS('Key inputs_Refineries'!AA$85:AA$164,'Key inputs_Refineries'!$C$85:$C$164,$C739:$C748,'Key inputs_Refineries'!$B$85:$B$164,"Boiler"))&gt;0,SUMIFS('Key inputs_Refineries'!AA$85:AA$164,'Key inputs_Refineries'!$C$85:$C$164,$C743,'Key inputs_Refineries'!$B$85:$B$164,"Boiler")/SUM(SUMIFS('Key inputs_Refineries'!AA$85:AA$164,'Key inputs_Refineries'!$C$85:$C$164,$C739:$C748,'Key inputs_Refineries'!$B$85:$B$164,"Boiler"))&lt;0.001),0.001,SUMIFS('Key inputs_Refineries'!AA$85:AA$164,'Key inputs_Refineries'!$C$85:$C$164,$C743,'Key inputs_Refineries'!$B$85:$B$164,"Boiler")/SUM(SUMIFS('Key inputs_Refineries'!AA$85:AA$164,'Key inputs_Refineries'!$C$85:$C$164,$C739:$C748,'Key inputs_Refineries'!$B$85:$B$164,"Boiler"))),0)</f>
        <v>0.75702598609266325</v>
      </c>
      <c r="AH743" s="173" cm="1">
        <f t="array" ref="AH743">IFERROR(IF(AND(SUMIFS('Key inputs_Refineries'!AB$85:AB$164,'Key inputs_Refineries'!$C$85:$C$164,$C743,'Key inputs_Refineries'!$B$85:$B$164,"Boiler")/SUM(SUMIFS('Key inputs_Refineries'!AB$85:AB$164,'Key inputs_Refineries'!$C$85:$C$164,$C739:$C748,'Key inputs_Refineries'!$B$85:$B$164,"Boiler"))&gt;0,SUMIFS('Key inputs_Refineries'!AB$85:AB$164,'Key inputs_Refineries'!$C$85:$C$164,$C743,'Key inputs_Refineries'!$B$85:$B$164,"Boiler")/SUM(SUMIFS('Key inputs_Refineries'!AB$85:AB$164,'Key inputs_Refineries'!$C$85:$C$164,$C739:$C748,'Key inputs_Refineries'!$B$85:$B$164,"Boiler"))&lt;0.001),0.001,SUMIFS('Key inputs_Refineries'!AB$85:AB$164,'Key inputs_Refineries'!$C$85:$C$164,$C743,'Key inputs_Refineries'!$B$85:$B$164,"Boiler")/SUM(SUMIFS('Key inputs_Refineries'!AB$85:AB$164,'Key inputs_Refineries'!$C$85:$C$164,$C739:$C748,'Key inputs_Refineries'!$B$85:$B$164,"Boiler"))),0)</f>
        <v>0.90502590262726645</v>
      </c>
      <c r="AI743" s="173" cm="1">
        <f t="array" ref="AI743">IFERROR(IF(AND(SUMIFS('Key inputs_Refineries'!AC$85:AC$164,'Key inputs_Refineries'!$C$85:$C$164,$C743,'Key inputs_Refineries'!$B$85:$B$164,"Boiler")/SUM(SUMIFS('Key inputs_Refineries'!AC$85:AC$164,'Key inputs_Refineries'!$C$85:$C$164,$C739:$C748,'Key inputs_Refineries'!$B$85:$B$164,"Boiler"))&gt;0,SUMIFS('Key inputs_Refineries'!AC$85:AC$164,'Key inputs_Refineries'!$C$85:$C$164,$C743,'Key inputs_Refineries'!$B$85:$B$164,"Boiler")/SUM(SUMIFS('Key inputs_Refineries'!AC$85:AC$164,'Key inputs_Refineries'!$C$85:$C$164,$C739:$C748,'Key inputs_Refineries'!$B$85:$B$164,"Boiler"))&lt;0.001),0.001,SUMIFS('Key inputs_Refineries'!AC$85:AC$164,'Key inputs_Refineries'!$C$85:$C$164,$C743,'Key inputs_Refineries'!$B$85:$B$164,"Boiler")/SUM(SUMIFS('Key inputs_Refineries'!AC$85:AC$164,'Key inputs_Refineries'!$C$85:$C$164,$C739:$C748,'Key inputs_Refineries'!$B$85:$B$164,"Boiler"))),0)</f>
        <v>0.80267724343083791</v>
      </c>
      <c r="AJ743" s="173" cm="1">
        <f t="array" ref="AJ743">IFERROR(IF(AND(SUMIFS('Key inputs_Refineries'!AD$85:AD$164,'Key inputs_Refineries'!$C$85:$C$164,$C743,'Key inputs_Refineries'!$B$85:$B$164,"Boiler")/SUM(SUMIFS('Key inputs_Refineries'!AD$85:AD$164,'Key inputs_Refineries'!$C$85:$C$164,$C739:$C748,'Key inputs_Refineries'!$B$85:$B$164,"Boiler"))&gt;0,SUMIFS('Key inputs_Refineries'!AD$85:AD$164,'Key inputs_Refineries'!$C$85:$C$164,$C743,'Key inputs_Refineries'!$B$85:$B$164,"Boiler")/SUM(SUMIFS('Key inputs_Refineries'!AD$85:AD$164,'Key inputs_Refineries'!$C$85:$C$164,$C739:$C748,'Key inputs_Refineries'!$B$85:$B$164,"Boiler"))&lt;0.001),0.001,SUMIFS('Key inputs_Refineries'!AD$85:AD$164,'Key inputs_Refineries'!$C$85:$C$164,$C743,'Key inputs_Refineries'!$B$85:$B$164,"Boiler")/SUM(SUMIFS('Key inputs_Refineries'!AD$85:AD$164,'Key inputs_Refineries'!$C$85:$C$164,$C739:$C748,'Key inputs_Refineries'!$B$85:$B$164,"Boiler"))),0)</f>
        <v>0</v>
      </c>
      <c r="AK743" s="173" cm="1">
        <f t="array" ref="AK743">IFERROR(IF(AND(SUMIFS('Key inputs_Refineries'!AE$85:AE$164,'Key inputs_Refineries'!$C$85:$C$164,$C743,'Key inputs_Refineries'!$B$85:$B$164,"Boiler")/SUM(SUMIFS('Key inputs_Refineries'!AE$85:AE$164,'Key inputs_Refineries'!$C$85:$C$164,$C739:$C748,'Key inputs_Refineries'!$B$85:$B$164,"Boiler"))&gt;0,SUMIFS('Key inputs_Refineries'!AE$85:AE$164,'Key inputs_Refineries'!$C$85:$C$164,$C743,'Key inputs_Refineries'!$B$85:$B$164,"Boiler")/SUM(SUMIFS('Key inputs_Refineries'!AE$85:AE$164,'Key inputs_Refineries'!$C$85:$C$164,$C739:$C748,'Key inputs_Refineries'!$B$85:$B$164,"Boiler"))&lt;0.001),0.001,SUMIFS('Key inputs_Refineries'!AE$85:AE$164,'Key inputs_Refineries'!$C$85:$C$164,$C743,'Key inputs_Refineries'!$B$85:$B$164,"Boiler")/SUM(SUMIFS('Key inputs_Refineries'!AE$85:AE$164,'Key inputs_Refineries'!$C$85:$C$164,$C739:$C748,'Key inputs_Refineries'!$B$85:$B$164,"Boiler"))),0)</f>
        <v>0.5386618718173517</v>
      </c>
      <c r="AL743" s="173" cm="1">
        <f t="array" ref="AL743">IFERROR(IF(AND(SUMIFS('Key inputs_Refineries'!AF$85:AF$164,'Key inputs_Refineries'!$C$85:$C$164,$C743,'Key inputs_Refineries'!$B$85:$B$164,"Boiler")/SUM(SUMIFS('Key inputs_Refineries'!AF$85:AF$164,'Key inputs_Refineries'!$C$85:$C$164,$C739:$C748,'Key inputs_Refineries'!$B$85:$B$164,"Boiler"))&gt;0,SUMIFS('Key inputs_Refineries'!AF$85:AF$164,'Key inputs_Refineries'!$C$85:$C$164,$C743,'Key inputs_Refineries'!$B$85:$B$164,"Boiler")/SUM(SUMIFS('Key inputs_Refineries'!AF$85:AF$164,'Key inputs_Refineries'!$C$85:$C$164,$C739:$C748,'Key inputs_Refineries'!$B$85:$B$164,"Boiler"))&lt;0.001),0.001,SUMIFS('Key inputs_Refineries'!AF$85:AF$164,'Key inputs_Refineries'!$C$85:$C$164,$C743,'Key inputs_Refineries'!$B$85:$B$164,"Boiler")/SUM(SUMIFS('Key inputs_Refineries'!AF$85:AF$164,'Key inputs_Refineries'!$C$85:$C$164,$C739:$C748,'Key inputs_Refineries'!$B$85:$B$164,"Boiler"))),0)</f>
        <v>1E-3</v>
      </c>
    </row>
    <row r="744" spans="3:47">
      <c r="C744" t="str">
        <f>Commodities!$C$96</f>
        <v>UPSKER</v>
      </c>
      <c r="G744" s="4" t="s">
        <v>702</v>
      </c>
      <c r="H744" t="s">
        <v>661</v>
      </c>
      <c r="I744">
        <v>2019</v>
      </c>
      <c r="J744" t="s">
        <v>650</v>
      </c>
      <c r="K744" s="173" cm="1">
        <f t="array" ref="K744">IFERROR(IF(AND(SUMIFS('Key inputs_Refineries'!E$85:E$164,'Key inputs_Refineries'!$C$85:$C$164,$C744,'Key inputs_Refineries'!$B$85:$B$164,"Boiler")/SUM(SUMIFS('Key inputs_Refineries'!E$85:E$164,'Key inputs_Refineries'!$C$85:$C$164,$C739:$C748,'Key inputs_Refineries'!$B$85:$B$164,"Boiler"))&gt;0,SUMIFS('Key inputs_Refineries'!E$85:E$164,'Key inputs_Refineries'!$C$85:$C$164,$C744,'Key inputs_Refineries'!$B$85:$B$164,"Boiler")/SUM(SUMIFS('Key inputs_Refineries'!E$85:E$164,'Key inputs_Refineries'!$C$85:$C$164,$C739:$C748,'Key inputs_Refineries'!$B$85:$B$164,"Boiler"))&lt;0.001),0.001,SUMIFS('Key inputs_Refineries'!E$85:E$164,'Key inputs_Refineries'!$C$85:$C$164,$C744,'Key inputs_Refineries'!$B$85:$B$164,"Boiler")/SUM(SUMIFS('Key inputs_Refineries'!E$85:E$164,'Key inputs_Refineries'!$C$85:$C$164,$C739:$C748,'Key inputs_Refineries'!$B$85:$B$164,"Boiler"))),0)</f>
        <v>0</v>
      </c>
      <c r="L744" s="173" cm="1">
        <f t="array" ref="L744">IFERROR(IF(AND(SUMIFS('Key inputs_Refineries'!F$85:F$164,'Key inputs_Refineries'!$C$85:$C$164,$C744,'Key inputs_Refineries'!$B$85:$B$164,"Boiler")/SUM(SUMIFS('Key inputs_Refineries'!F$85:F$164,'Key inputs_Refineries'!$C$85:$C$164,$C739:$C748,'Key inputs_Refineries'!$B$85:$B$164,"Boiler"))&gt;0,SUMIFS('Key inputs_Refineries'!F$85:F$164,'Key inputs_Refineries'!$C$85:$C$164,$C744,'Key inputs_Refineries'!$B$85:$B$164,"Boiler")/SUM(SUMIFS('Key inputs_Refineries'!F$85:F$164,'Key inputs_Refineries'!$C$85:$C$164,$C739:$C748,'Key inputs_Refineries'!$B$85:$B$164,"Boiler"))&lt;0.001),0.001,SUMIFS('Key inputs_Refineries'!F$85:F$164,'Key inputs_Refineries'!$C$85:$C$164,$C744,'Key inputs_Refineries'!$B$85:$B$164,"Boiler")/SUM(SUMIFS('Key inputs_Refineries'!F$85:F$164,'Key inputs_Refineries'!$C$85:$C$164,$C739:$C748,'Key inputs_Refineries'!$B$85:$B$164,"Boiler"))),0)</f>
        <v>0</v>
      </c>
      <c r="M744" s="173" cm="1">
        <f t="array" ref="M744">IFERROR(IF(AND(SUMIFS('Key inputs_Refineries'!G$85:G$164,'Key inputs_Refineries'!$C$85:$C$164,$C744,'Key inputs_Refineries'!$B$85:$B$164,"Boiler")/SUM(SUMIFS('Key inputs_Refineries'!G$85:G$164,'Key inputs_Refineries'!$C$85:$C$164,$C739:$C748,'Key inputs_Refineries'!$B$85:$B$164,"Boiler"))&gt;0,SUMIFS('Key inputs_Refineries'!G$85:G$164,'Key inputs_Refineries'!$C$85:$C$164,$C744,'Key inputs_Refineries'!$B$85:$B$164,"Boiler")/SUM(SUMIFS('Key inputs_Refineries'!G$85:G$164,'Key inputs_Refineries'!$C$85:$C$164,$C739:$C748,'Key inputs_Refineries'!$B$85:$B$164,"Boiler"))&lt;0.001),0.001,SUMIFS('Key inputs_Refineries'!G$85:G$164,'Key inputs_Refineries'!$C$85:$C$164,$C744,'Key inputs_Refineries'!$B$85:$B$164,"Boiler")/SUM(SUMIFS('Key inputs_Refineries'!G$85:G$164,'Key inputs_Refineries'!$C$85:$C$164,$C739:$C748,'Key inputs_Refineries'!$B$85:$B$164,"Boiler"))),0)</f>
        <v>0</v>
      </c>
      <c r="N744" s="173" cm="1">
        <f t="array" ref="N744">IFERROR(IF(AND(SUMIFS('Key inputs_Refineries'!H$85:H$164,'Key inputs_Refineries'!$C$85:$C$164,$C744,'Key inputs_Refineries'!$B$85:$B$164,"Boiler")/SUM(SUMIFS('Key inputs_Refineries'!H$85:H$164,'Key inputs_Refineries'!$C$85:$C$164,$C739:$C748,'Key inputs_Refineries'!$B$85:$B$164,"Boiler"))&gt;0,SUMIFS('Key inputs_Refineries'!H$85:H$164,'Key inputs_Refineries'!$C$85:$C$164,$C744,'Key inputs_Refineries'!$B$85:$B$164,"Boiler")/SUM(SUMIFS('Key inputs_Refineries'!H$85:H$164,'Key inputs_Refineries'!$C$85:$C$164,$C739:$C748,'Key inputs_Refineries'!$B$85:$B$164,"Boiler"))&lt;0.001),0.001,SUMIFS('Key inputs_Refineries'!H$85:H$164,'Key inputs_Refineries'!$C$85:$C$164,$C744,'Key inputs_Refineries'!$B$85:$B$164,"Boiler")/SUM(SUMIFS('Key inputs_Refineries'!H$85:H$164,'Key inputs_Refineries'!$C$85:$C$164,$C739:$C748,'Key inputs_Refineries'!$B$85:$B$164,"Boiler"))),0)</f>
        <v>0</v>
      </c>
      <c r="O744" s="173" cm="1">
        <f t="array" ref="O744">IFERROR(IF(AND(SUMIFS('Key inputs_Refineries'!I$85:I$164,'Key inputs_Refineries'!$C$85:$C$164,$C744,'Key inputs_Refineries'!$B$85:$B$164,"Boiler")/SUM(SUMIFS('Key inputs_Refineries'!I$85:I$164,'Key inputs_Refineries'!$C$85:$C$164,$C739:$C748,'Key inputs_Refineries'!$B$85:$B$164,"Boiler"))&gt;0,SUMIFS('Key inputs_Refineries'!I$85:I$164,'Key inputs_Refineries'!$C$85:$C$164,$C744,'Key inputs_Refineries'!$B$85:$B$164,"Boiler")/SUM(SUMIFS('Key inputs_Refineries'!I$85:I$164,'Key inputs_Refineries'!$C$85:$C$164,$C739:$C748,'Key inputs_Refineries'!$B$85:$B$164,"Boiler"))&lt;0.001),0.001,SUMIFS('Key inputs_Refineries'!I$85:I$164,'Key inputs_Refineries'!$C$85:$C$164,$C744,'Key inputs_Refineries'!$B$85:$B$164,"Boiler")/SUM(SUMIFS('Key inputs_Refineries'!I$85:I$164,'Key inputs_Refineries'!$C$85:$C$164,$C739:$C748,'Key inputs_Refineries'!$B$85:$B$164,"Boiler"))),0)</f>
        <v>0</v>
      </c>
      <c r="P744" s="173" cm="1">
        <f t="array" ref="P744">IFERROR(IF(AND(SUMIFS('Key inputs_Refineries'!J$85:J$164,'Key inputs_Refineries'!$C$85:$C$164,$C744,'Key inputs_Refineries'!$B$85:$B$164,"Boiler")/SUM(SUMIFS('Key inputs_Refineries'!J$85:J$164,'Key inputs_Refineries'!$C$85:$C$164,$C739:$C748,'Key inputs_Refineries'!$B$85:$B$164,"Boiler"))&gt;0,SUMIFS('Key inputs_Refineries'!J$85:J$164,'Key inputs_Refineries'!$C$85:$C$164,$C744,'Key inputs_Refineries'!$B$85:$B$164,"Boiler")/SUM(SUMIFS('Key inputs_Refineries'!J$85:J$164,'Key inputs_Refineries'!$C$85:$C$164,$C739:$C748,'Key inputs_Refineries'!$B$85:$B$164,"Boiler"))&lt;0.001),0.001,SUMIFS('Key inputs_Refineries'!J$85:J$164,'Key inputs_Refineries'!$C$85:$C$164,$C744,'Key inputs_Refineries'!$B$85:$B$164,"Boiler")/SUM(SUMIFS('Key inputs_Refineries'!J$85:J$164,'Key inputs_Refineries'!$C$85:$C$164,$C739:$C748,'Key inputs_Refineries'!$B$85:$B$164,"Boiler"))),0)</f>
        <v>0</v>
      </c>
      <c r="Q744" s="173" cm="1">
        <f t="array" ref="Q744">IFERROR(IF(AND(SUMIFS('Key inputs_Refineries'!K$85:K$164,'Key inputs_Refineries'!$C$85:$C$164,$C744,'Key inputs_Refineries'!$B$85:$B$164,"Boiler")/SUM(SUMIFS('Key inputs_Refineries'!K$85:K$164,'Key inputs_Refineries'!$C$85:$C$164,$C739:$C748,'Key inputs_Refineries'!$B$85:$B$164,"Boiler"))&gt;0,SUMIFS('Key inputs_Refineries'!K$85:K$164,'Key inputs_Refineries'!$C$85:$C$164,$C744,'Key inputs_Refineries'!$B$85:$B$164,"Boiler")/SUM(SUMIFS('Key inputs_Refineries'!K$85:K$164,'Key inputs_Refineries'!$C$85:$C$164,$C739:$C748,'Key inputs_Refineries'!$B$85:$B$164,"Boiler"))&lt;0.001),0.001,SUMIFS('Key inputs_Refineries'!K$85:K$164,'Key inputs_Refineries'!$C$85:$C$164,$C744,'Key inputs_Refineries'!$B$85:$B$164,"Boiler")/SUM(SUMIFS('Key inputs_Refineries'!K$85:K$164,'Key inputs_Refineries'!$C$85:$C$164,$C739:$C748,'Key inputs_Refineries'!$B$85:$B$164,"Boiler"))),0)</f>
        <v>0</v>
      </c>
      <c r="R744" s="173" cm="1">
        <f t="array" ref="R744">IFERROR(IF(AND(SUMIFS('Key inputs_Refineries'!L$85:L$164,'Key inputs_Refineries'!$C$85:$C$164,$C744,'Key inputs_Refineries'!$B$85:$B$164,"Boiler")/SUM(SUMIFS('Key inputs_Refineries'!L$85:L$164,'Key inputs_Refineries'!$C$85:$C$164,$C739:$C748,'Key inputs_Refineries'!$B$85:$B$164,"Boiler"))&gt;0,SUMIFS('Key inputs_Refineries'!L$85:L$164,'Key inputs_Refineries'!$C$85:$C$164,$C744,'Key inputs_Refineries'!$B$85:$B$164,"Boiler")/SUM(SUMIFS('Key inputs_Refineries'!L$85:L$164,'Key inputs_Refineries'!$C$85:$C$164,$C739:$C748,'Key inputs_Refineries'!$B$85:$B$164,"Boiler"))&lt;0.001),0.001,SUMIFS('Key inputs_Refineries'!L$85:L$164,'Key inputs_Refineries'!$C$85:$C$164,$C744,'Key inputs_Refineries'!$B$85:$B$164,"Boiler")/SUM(SUMIFS('Key inputs_Refineries'!L$85:L$164,'Key inputs_Refineries'!$C$85:$C$164,$C739:$C748,'Key inputs_Refineries'!$B$85:$B$164,"Boiler"))),0)</f>
        <v>0</v>
      </c>
      <c r="S744" s="173" cm="1">
        <f t="array" ref="S744">IFERROR(IF(AND(SUMIFS('Key inputs_Refineries'!M$85:M$164,'Key inputs_Refineries'!$C$85:$C$164,$C744,'Key inputs_Refineries'!$B$85:$B$164,"Boiler")/SUM(SUMIFS('Key inputs_Refineries'!M$85:M$164,'Key inputs_Refineries'!$C$85:$C$164,$C739:$C748,'Key inputs_Refineries'!$B$85:$B$164,"Boiler"))&gt;0,SUMIFS('Key inputs_Refineries'!M$85:M$164,'Key inputs_Refineries'!$C$85:$C$164,$C744,'Key inputs_Refineries'!$B$85:$B$164,"Boiler")/SUM(SUMIFS('Key inputs_Refineries'!M$85:M$164,'Key inputs_Refineries'!$C$85:$C$164,$C739:$C748,'Key inputs_Refineries'!$B$85:$B$164,"Boiler"))&lt;0.001),0.001,SUMIFS('Key inputs_Refineries'!M$85:M$164,'Key inputs_Refineries'!$C$85:$C$164,$C744,'Key inputs_Refineries'!$B$85:$B$164,"Boiler")/SUM(SUMIFS('Key inputs_Refineries'!M$85:M$164,'Key inputs_Refineries'!$C$85:$C$164,$C739:$C748,'Key inputs_Refineries'!$B$85:$B$164,"Boiler"))),0)</f>
        <v>0</v>
      </c>
      <c r="T744" s="173" cm="1">
        <f t="array" ref="T744">IFERROR(IF(AND(SUMIFS('Key inputs_Refineries'!N$85:N$164,'Key inputs_Refineries'!$C$85:$C$164,$C744,'Key inputs_Refineries'!$B$85:$B$164,"Boiler")/SUM(SUMIFS('Key inputs_Refineries'!N$85:N$164,'Key inputs_Refineries'!$C$85:$C$164,$C739:$C748,'Key inputs_Refineries'!$B$85:$B$164,"Boiler"))&gt;0,SUMIFS('Key inputs_Refineries'!N$85:N$164,'Key inputs_Refineries'!$C$85:$C$164,$C744,'Key inputs_Refineries'!$B$85:$B$164,"Boiler")/SUM(SUMIFS('Key inputs_Refineries'!N$85:N$164,'Key inputs_Refineries'!$C$85:$C$164,$C739:$C748,'Key inputs_Refineries'!$B$85:$B$164,"Boiler"))&lt;0.001),0.001,SUMIFS('Key inputs_Refineries'!N$85:N$164,'Key inputs_Refineries'!$C$85:$C$164,$C744,'Key inputs_Refineries'!$B$85:$B$164,"Boiler")/SUM(SUMIFS('Key inputs_Refineries'!N$85:N$164,'Key inputs_Refineries'!$C$85:$C$164,$C739:$C748,'Key inputs_Refineries'!$B$85:$B$164,"Boiler"))),0)</f>
        <v>0</v>
      </c>
      <c r="U744" s="173" cm="1">
        <f t="array" ref="U744">IFERROR(IF(AND(SUMIFS('Key inputs_Refineries'!O$85:O$164,'Key inputs_Refineries'!$C$85:$C$164,$C744,'Key inputs_Refineries'!$B$85:$B$164,"Boiler")/SUM(SUMIFS('Key inputs_Refineries'!O$85:O$164,'Key inputs_Refineries'!$C$85:$C$164,$C739:$C748,'Key inputs_Refineries'!$B$85:$B$164,"Boiler"))&gt;0,SUMIFS('Key inputs_Refineries'!O$85:O$164,'Key inputs_Refineries'!$C$85:$C$164,$C744,'Key inputs_Refineries'!$B$85:$B$164,"Boiler")/SUM(SUMIFS('Key inputs_Refineries'!O$85:O$164,'Key inputs_Refineries'!$C$85:$C$164,$C739:$C748,'Key inputs_Refineries'!$B$85:$B$164,"Boiler"))&lt;0.001),0.001,SUMIFS('Key inputs_Refineries'!O$85:O$164,'Key inputs_Refineries'!$C$85:$C$164,$C744,'Key inputs_Refineries'!$B$85:$B$164,"Boiler")/SUM(SUMIFS('Key inputs_Refineries'!O$85:O$164,'Key inputs_Refineries'!$C$85:$C$164,$C739:$C748,'Key inputs_Refineries'!$B$85:$B$164,"Boiler"))),0)</f>
        <v>0</v>
      </c>
      <c r="V744" s="173" cm="1">
        <f t="array" ref="V744">IFERROR(IF(AND(SUMIFS('Key inputs_Refineries'!P$85:P$164,'Key inputs_Refineries'!$C$85:$C$164,$C744,'Key inputs_Refineries'!$B$85:$B$164,"Boiler")/SUM(SUMIFS('Key inputs_Refineries'!P$85:P$164,'Key inputs_Refineries'!$C$85:$C$164,$C739:$C748,'Key inputs_Refineries'!$B$85:$B$164,"Boiler"))&gt;0,SUMIFS('Key inputs_Refineries'!P$85:P$164,'Key inputs_Refineries'!$C$85:$C$164,$C744,'Key inputs_Refineries'!$B$85:$B$164,"Boiler")/SUM(SUMIFS('Key inputs_Refineries'!P$85:P$164,'Key inputs_Refineries'!$C$85:$C$164,$C739:$C748,'Key inputs_Refineries'!$B$85:$B$164,"Boiler"))&lt;0.001),0.001,SUMIFS('Key inputs_Refineries'!P$85:P$164,'Key inputs_Refineries'!$C$85:$C$164,$C744,'Key inputs_Refineries'!$B$85:$B$164,"Boiler")/SUM(SUMIFS('Key inputs_Refineries'!P$85:P$164,'Key inputs_Refineries'!$C$85:$C$164,$C739:$C748,'Key inputs_Refineries'!$B$85:$B$164,"Boiler"))),0)</f>
        <v>1E-3</v>
      </c>
      <c r="W744" s="173" cm="1">
        <f t="array" ref="W744">IFERROR(IF(AND(SUMIFS('Key inputs_Refineries'!Q$85:Q$164,'Key inputs_Refineries'!$C$85:$C$164,$C744,'Key inputs_Refineries'!$B$85:$B$164,"Boiler")/SUM(SUMIFS('Key inputs_Refineries'!Q$85:Q$164,'Key inputs_Refineries'!$C$85:$C$164,$C739:$C748,'Key inputs_Refineries'!$B$85:$B$164,"Boiler"))&gt;0,SUMIFS('Key inputs_Refineries'!Q$85:Q$164,'Key inputs_Refineries'!$C$85:$C$164,$C744,'Key inputs_Refineries'!$B$85:$B$164,"Boiler")/SUM(SUMIFS('Key inputs_Refineries'!Q$85:Q$164,'Key inputs_Refineries'!$C$85:$C$164,$C739:$C748,'Key inputs_Refineries'!$B$85:$B$164,"Boiler"))&lt;0.001),0.001,SUMIFS('Key inputs_Refineries'!Q$85:Q$164,'Key inputs_Refineries'!$C$85:$C$164,$C744,'Key inputs_Refineries'!$B$85:$B$164,"Boiler")/SUM(SUMIFS('Key inputs_Refineries'!Q$85:Q$164,'Key inputs_Refineries'!$C$85:$C$164,$C739:$C748,'Key inputs_Refineries'!$B$85:$B$164,"Boiler"))),0)</f>
        <v>0</v>
      </c>
      <c r="X744" s="173" cm="1">
        <f t="array" ref="X744">IFERROR(IF(AND(SUMIFS('Key inputs_Refineries'!R$85:R$164,'Key inputs_Refineries'!$C$85:$C$164,$C744,'Key inputs_Refineries'!$B$85:$B$164,"Boiler")/SUM(SUMIFS('Key inputs_Refineries'!R$85:R$164,'Key inputs_Refineries'!$C$85:$C$164,$C739:$C748,'Key inputs_Refineries'!$B$85:$B$164,"Boiler"))&gt;0,SUMIFS('Key inputs_Refineries'!R$85:R$164,'Key inputs_Refineries'!$C$85:$C$164,$C744,'Key inputs_Refineries'!$B$85:$B$164,"Boiler")/SUM(SUMIFS('Key inputs_Refineries'!R$85:R$164,'Key inputs_Refineries'!$C$85:$C$164,$C739:$C748,'Key inputs_Refineries'!$B$85:$B$164,"Boiler"))&lt;0.001),0.001,SUMIFS('Key inputs_Refineries'!R$85:R$164,'Key inputs_Refineries'!$C$85:$C$164,$C744,'Key inputs_Refineries'!$B$85:$B$164,"Boiler")/SUM(SUMIFS('Key inputs_Refineries'!R$85:R$164,'Key inputs_Refineries'!$C$85:$C$164,$C739:$C748,'Key inputs_Refineries'!$B$85:$B$164,"Boiler"))),0)</f>
        <v>0</v>
      </c>
      <c r="Y744" s="173" cm="1">
        <f t="array" ref="Y744">IFERROR(IF(AND(SUMIFS('Key inputs_Refineries'!S$85:S$164,'Key inputs_Refineries'!$C$85:$C$164,$C744,'Key inputs_Refineries'!$B$85:$B$164,"Boiler")/SUM(SUMIFS('Key inputs_Refineries'!S$85:S$164,'Key inputs_Refineries'!$C$85:$C$164,$C739:$C748,'Key inputs_Refineries'!$B$85:$B$164,"Boiler"))&gt;0,SUMIFS('Key inputs_Refineries'!S$85:S$164,'Key inputs_Refineries'!$C$85:$C$164,$C744,'Key inputs_Refineries'!$B$85:$B$164,"Boiler")/SUM(SUMIFS('Key inputs_Refineries'!S$85:S$164,'Key inputs_Refineries'!$C$85:$C$164,$C739:$C748,'Key inputs_Refineries'!$B$85:$B$164,"Boiler"))&lt;0.001),0.001,SUMIFS('Key inputs_Refineries'!S$85:S$164,'Key inputs_Refineries'!$C$85:$C$164,$C744,'Key inputs_Refineries'!$B$85:$B$164,"Boiler")/SUM(SUMIFS('Key inputs_Refineries'!S$85:S$164,'Key inputs_Refineries'!$C$85:$C$164,$C739:$C748,'Key inputs_Refineries'!$B$85:$B$164,"Boiler"))),0)</f>
        <v>0</v>
      </c>
      <c r="Z744" s="173" cm="1">
        <f t="array" ref="Z744">IFERROR(IF(AND(SUMIFS('Key inputs_Refineries'!T$85:T$164,'Key inputs_Refineries'!$C$85:$C$164,$C744,'Key inputs_Refineries'!$B$85:$B$164,"Boiler")/SUM(SUMIFS('Key inputs_Refineries'!T$85:T$164,'Key inputs_Refineries'!$C$85:$C$164,$C739:$C748,'Key inputs_Refineries'!$B$85:$B$164,"Boiler"))&gt;0,SUMIFS('Key inputs_Refineries'!T$85:T$164,'Key inputs_Refineries'!$C$85:$C$164,$C744,'Key inputs_Refineries'!$B$85:$B$164,"Boiler")/SUM(SUMIFS('Key inputs_Refineries'!T$85:T$164,'Key inputs_Refineries'!$C$85:$C$164,$C739:$C748,'Key inputs_Refineries'!$B$85:$B$164,"Boiler"))&lt;0.001),0.001,SUMIFS('Key inputs_Refineries'!T$85:T$164,'Key inputs_Refineries'!$C$85:$C$164,$C744,'Key inputs_Refineries'!$B$85:$B$164,"Boiler")/SUM(SUMIFS('Key inputs_Refineries'!T$85:T$164,'Key inputs_Refineries'!$C$85:$C$164,$C739:$C748,'Key inputs_Refineries'!$B$85:$B$164,"Boiler"))),0)</f>
        <v>0</v>
      </c>
      <c r="AA744" s="173" cm="1">
        <f t="array" ref="AA744">IFERROR(IF(AND(SUMIFS('Key inputs_Refineries'!U$85:U$164,'Key inputs_Refineries'!$C$85:$C$164,$C744,'Key inputs_Refineries'!$B$85:$B$164,"Boiler")/SUM(SUMIFS('Key inputs_Refineries'!U$85:U$164,'Key inputs_Refineries'!$C$85:$C$164,$C739:$C748,'Key inputs_Refineries'!$B$85:$B$164,"Boiler"))&gt;0,SUMIFS('Key inputs_Refineries'!U$85:U$164,'Key inputs_Refineries'!$C$85:$C$164,$C744,'Key inputs_Refineries'!$B$85:$B$164,"Boiler")/SUM(SUMIFS('Key inputs_Refineries'!U$85:U$164,'Key inputs_Refineries'!$C$85:$C$164,$C739:$C748,'Key inputs_Refineries'!$B$85:$B$164,"Boiler"))&lt;0.001),0.001,SUMIFS('Key inputs_Refineries'!U$85:U$164,'Key inputs_Refineries'!$C$85:$C$164,$C744,'Key inputs_Refineries'!$B$85:$B$164,"Boiler")/SUM(SUMIFS('Key inputs_Refineries'!U$85:U$164,'Key inputs_Refineries'!$C$85:$C$164,$C739:$C748,'Key inputs_Refineries'!$B$85:$B$164,"Boiler"))),0)</f>
        <v>0</v>
      </c>
      <c r="AB744" s="173" cm="1">
        <f t="array" ref="AB744">IFERROR(IF(AND(SUMIFS('Key inputs_Refineries'!V$85:V$164,'Key inputs_Refineries'!$C$85:$C$164,$C744,'Key inputs_Refineries'!$B$85:$B$164,"Boiler")/SUM(SUMIFS('Key inputs_Refineries'!V$85:V$164,'Key inputs_Refineries'!$C$85:$C$164,$C739:$C748,'Key inputs_Refineries'!$B$85:$B$164,"Boiler"))&gt;0,SUMIFS('Key inputs_Refineries'!V$85:V$164,'Key inputs_Refineries'!$C$85:$C$164,$C744,'Key inputs_Refineries'!$B$85:$B$164,"Boiler")/SUM(SUMIFS('Key inputs_Refineries'!V$85:V$164,'Key inputs_Refineries'!$C$85:$C$164,$C739:$C748,'Key inputs_Refineries'!$B$85:$B$164,"Boiler"))&lt;0.001),0.001,SUMIFS('Key inputs_Refineries'!V$85:V$164,'Key inputs_Refineries'!$C$85:$C$164,$C744,'Key inputs_Refineries'!$B$85:$B$164,"Boiler")/SUM(SUMIFS('Key inputs_Refineries'!V$85:V$164,'Key inputs_Refineries'!$C$85:$C$164,$C739:$C748,'Key inputs_Refineries'!$B$85:$B$164,"Boiler"))),0)</f>
        <v>0</v>
      </c>
      <c r="AC744" s="173" cm="1">
        <f t="array" ref="AC744">IFERROR(IF(AND(SUMIFS('Key inputs_Refineries'!W$85:W$164,'Key inputs_Refineries'!$C$85:$C$164,$C744,'Key inputs_Refineries'!$B$85:$B$164,"Boiler")/SUM(SUMIFS('Key inputs_Refineries'!W$85:W$164,'Key inputs_Refineries'!$C$85:$C$164,$C739:$C748,'Key inputs_Refineries'!$B$85:$B$164,"Boiler"))&gt;0,SUMIFS('Key inputs_Refineries'!W$85:W$164,'Key inputs_Refineries'!$C$85:$C$164,$C744,'Key inputs_Refineries'!$B$85:$B$164,"Boiler")/SUM(SUMIFS('Key inputs_Refineries'!W$85:W$164,'Key inputs_Refineries'!$C$85:$C$164,$C739:$C748,'Key inputs_Refineries'!$B$85:$B$164,"Boiler"))&lt;0.001),0.001,SUMIFS('Key inputs_Refineries'!W$85:W$164,'Key inputs_Refineries'!$C$85:$C$164,$C744,'Key inputs_Refineries'!$B$85:$B$164,"Boiler")/SUM(SUMIFS('Key inputs_Refineries'!W$85:W$164,'Key inputs_Refineries'!$C$85:$C$164,$C739:$C748,'Key inputs_Refineries'!$B$85:$B$164,"Boiler"))),0)</f>
        <v>0</v>
      </c>
      <c r="AD744" s="173" cm="1">
        <f t="array" ref="AD744">IFERROR(IF(AND(SUMIFS('Key inputs_Refineries'!X$85:X$164,'Key inputs_Refineries'!$C$85:$C$164,$C744,'Key inputs_Refineries'!$B$85:$B$164,"Boiler")/SUM(SUMIFS('Key inputs_Refineries'!X$85:X$164,'Key inputs_Refineries'!$C$85:$C$164,$C739:$C748,'Key inputs_Refineries'!$B$85:$B$164,"Boiler"))&gt;0,SUMIFS('Key inputs_Refineries'!X$85:X$164,'Key inputs_Refineries'!$C$85:$C$164,$C744,'Key inputs_Refineries'!$B$85:$B$164,"Boiler")/SUM(SUMIFS('Key inputs_Refineries'!X$85:X$164,'Key inputs_Refineries'!$C$85:$C$164,$C739:$C748,'Key inputs_Refineries'!$B$85:$B$164,"Boiler"))&lt;0.001),0.001,SUMIFS('Key inputs_Refineries'!X$85:X$164,'Key inputs_Refineries'!$C$85:$C$164,$C744,'Key inputs_Refineries'!$B$85:$B$164,"Boiler")/SUM(SUMIFS('Key inputs_Refineries'!X$85:X$164,'Key inputs_Refineries'!$C$85:$C$164,$C739:$C748,'Key inputs_Refineries'!$B$85:$B$164,"Boiler"))),0)</f>
        <v>1.164397526383067E-2</v>
      </c>
      <c r="AE744" s="173" cm="1">
        <f t="array" ref="AE744">IFERROR(IF(AND(SUMIFS('Key inputs_Refineries'!Y$85:Y$164,'Key inputs_Refineries'!$C$85:$C$164,$C744,'Key inputs_Refineries'!$B$85:$B$164,"Boiler")/SUM(SUMIFS('Key inputs_Refineries'!Y$85:Y$164,'Key inputs_Refineries'!$C$85:$C$164,$C739:$C748,'Key inputs_Refineries'!$B$85:$B$164,"Boiler"))&gt;0,SUMIFS('Key inputs_Refineries'!Y$85:Y$164,'Key inputs_Refineries'!$C$85:$C$164,$C744,'Key inputs_Refineries'!$B$85:$B$164,"Boiler")/SUM(SUMIFS('Key inputs_Refineries'!Y$85:Y$164,'Key inputs_Refineries'!$C$85:$C$164,$C739:$C748,'Key inputs_Refineries'!$B$85:$B$164,"Boiler"))&lt;0.001),0.001,SUMIFS('Key inputs_Refineries'!Y$85:Y$164,'Key inputs_Refineries'!$C$85:$C$164,$C744,'Key inputs_Refineries'!$B$85:$B$164,"Boiler")/SUM(SUMIFS('Key inputs_Refineries'!Y$85:Y$164,'Key inputs_Refineries'!$C$85:$C$164,$C739:$C748,'Key inputs_Refineries'!$B$85:$B$164,"Boiler"))),0)</f>
        <v>2.1601592972530496E-2</v>
      </c>
      <c r="AF744" s="173" cm="1">
        <f t="array" ref="AF744">IFERROR(IF(AND(SUMIFS('Key inputs_Refineries'!Z$85:Z$164,'Key inputs_Refineries'!$C$85:$C$164,$C744,'Key inputs_Refineries'!$B$85:$B$164,"Boiler")/SUM(SUMIFS('Key inputs_Refineries'!Z$85:Z$164,'Key inputs_Refineries'!$C$85:$C$164,$C739:$C748,'Key inputs_Refineries'!$B$85:$B$164,"Boiler"))&gt;0,SUMIFS('Key inputs_Refineries'!Z$85:Z$164,'Key inputs_Refineries'!$C$85:$C$164,$C744,'Key inputs_Refineries'!$B$85:$B$164,"Boiler")/SUM(SUMIFS('Key inputs_Refineries'!Z$85:Z$164,'Key inputs_Refineries'!$C$85:$C$164,$C739:$C748,'Key inputs_Refineries'!$B$85:$B$164,"Boiler"))&lt;0.001),0.001,SUMIFS('Key inputs_Refineries'!Z$85:Z$164,'Key inputs_Refineries'!$C$85:$C$164,$C744,'Key inputs_Refineries'!$B$85:$B$164,"Boiler")/SUM(SUMIFS('Key inputs_Refineries'!Z$85:Z$164,'Key inputs_Refineries'!$C$85:$C$164,$C739:$C748,'Key inputs_Refineries'!$B$85:$B$164,"Boiler"))),0)</f>
        <v>0</v>
      </c>
      <c r="AG744" s="173" cm="1">
        <f t="array" ref="AG744">IFERROR(IF(AND(SUMIFS('Key inputs_Refineries'!AA$85:AA$164,'Key inputs_Refineries'!$C$85:$C$164,$C744,'Key inputs_Refineries'!$B$85:$B$164,"Boiler")/SUM(SUMIFS('Key inputs_Refineries'!AA$85:AA$164,'Key inputs_Refineries'!$C$85:$C$164,$C739:$C748,'Key inputs_Refineries'!$B$85:$B$164,"Boiler"))&gt;0,SUMIFS('Key inputs_Refineries'!AA$85:AA$164,'Key inputs_Refineries'!$C$85:$C$164,$C744,'Key inputs_Refineries'!$B$85:$B$164,"Boiler")/SUM(SUMIFS('Key inputs_Refineries'!AA$85:AA$164,'Key inputs_Refineries'!$C$85:$C$164,$C739:$C748,'Key inputs_Refineries'!$B$85:$B$164,"Boiler"))&lt;0.001),0.001,SUMIFS('Key inputs_Refineries'!AA$85:AA$164,'Key inputs_Refineries'!$C$85:$C$164,$C744,'Key inputs_Refineries'!$B$85:$B$164,"Boiler")/SUM(SUMIFS('Key inputs_Refineries'!AA$85:AA$164,'Key inputs_Refineries'!$C$85:$C$164,$C739:$C748,'Key inputs_Refineries'!$B$85:$B$164,"Boiler"))),0)</f>
        <v>0</v>
      </c>
      <c r="AH744" s="173" cm="1">
        <f t="array" ref="AH744">IFERROR(IF(AND(SUMIFS('Key inputs_Refineries'!AB$85:AB$164,'Key inputs_Refineries'!$C$85:$C$164,$C744,'Key inputs_Refineries'!$B$85:$B$164,"Boiler")/SUM(SUMIFS('Key inputs_Refineries'!AB$85:AB$164,'Key inputs_Refineries'!$C$85:$C$164,$C739:$C748,'Key inputs_Refineries'!$B$85:$B$164,"Boiler"))&gt;0,SUMIFS('Key inputs_Refineries'!AB$85:AB$164,'Key inputs_Refineries'!$C$85:$C$164,$C744,'Key inputs_Refineries'!$B$85:$B$164,"Boiler")/SUM(SUMIFS('Key inputs_Refineries'!AB$85:AB$164,'Key inputs_Refineries'!$C$85:$C$164,$C739:$C748,'Key inputs_Refineries'!$B$85:$B$164,"Boiler"))&lt;0.001),0.001,SUMIFS('Key inputs_Refineries'!AB$85:AB$164,'Key inputs_Refineries'!$C$85:$C$164,$C744,'Key inputs_Refineries'!$B$85:$B$164,"Boiler")/SUM(SUMIFS('Key inputs_Refineries'!AB$85:AB$164,'Key inputs_Refineries'!$C$85:$C$164,$C739:$C748,'Key inputs_Refineries'!$B$85:$B$164,"Boiler"))),0)</f>
        <v>0</v>
      </c>
      <c r="AI744" s="173" cm="1">
        <f t="array" ref="AI744">IFERROR(IF(AND(SUMIFS('Key inputs_Refineries'!AC$85:AC$164,'Key inputs_Refineries'!$C$85:$C$164,$C744,'Key inputs_Refineries'!$B$85:$B$164,"Boiler")/SUM(SUMIFS('Key inputs_Refineries'!AC$85:AC$164,'Key inputs_Refineries'!$C$85:$C$164,$C739:$C748,'Key inputs_Refineries'!$B$85:$B$164,"Boiler"))&gt;0,SUMIFS('Key inputs_Refineries'!AC$85:AC$164,'Key inputs_Refineries'!$C$85:$C$164,$C744,'Key inputs_Refineries'!$B$85:$B$164,"Boiler")/SUM(SUMIFS('Key inputs_Refineries'!AC$85:AC$164,'Key inputs_Refineries'!$C$85:$C$164,$C739:$C748,'Key inputs_Refineries'!$B$85:$B$164,"Boiler"))&lt;0.001),0.001,SUMIFS('Key inputs_Refineries'!AC$85:AC$164,'Key inputs_Refineries'!$C$85:$C$164,$C744,'Key inputs_Refineries'!$B$85:$B$164,"Boiler")/SUM(SUMIFS('Key inputs_Refineries'!AC$85:AC$164,'Key inputs_Refineries'!$C$85:$C$164,$C739:$C748,'Key inputs_Refineries'!$B$85:$B$164,"Boiler"))),0)</f>
        <v>0</v>
      </c>
      <c r="AJ744" s="173" cm="1">
        <f t="array" ref="AJ744">IFERROR(IF(AND(SUMIFS('Key inputs_Refineries'!AD$85:AD$164,'Key inputs_Refineries'!$C$85:$C$164,$C744,'Key inputs_Refineries'!$B$85:$B$164,"Boiler")/SUM(SUMIFS('Key inputs_Refineries'!AD$85:AD$164,'Key inputs_Refineries'!$C$85:$C$164,$C739:$C748,'Key inputs_Refineries'!$B$85:$B$164,"Boiler"))&gt;0,SUMIFS('Key inputs_Refineries'!AD$85:AD$164,'Key inputs_Refineries'!$C$85:$C$164,$C744,'Key inputs_Refineries'!$B$85:$B$164,"Boiler")/SUM(SUMIFS('Key inputs_Refineries'!AD$85:AD$164,'Key inputs_Refineries'!$C$85:$C$164,$C739:$C748,'Key inputs_Refineries'!$B$85:$B$164,"Boiler"))&lt;0.001),0.001,SUMIFS('Key inputs_Refineries'!AD$85:AD$164,'Key inputs_Refineries'!$C$85:$C$164,$C744,'Key inputs_Refineries'!$B$85:$B$164,"Boiler")/SUM(SUMIFS('Key inputs_Refineries'!AD$85:AD$164,'Key inputs_Refineries'!$C$85:$C$164,$C739:$C748,'Key inputs_Refineries'!$B$85:$B$164,"Boiler"))),0)</f>
        <v>0</v>
      </c>
      <c r="AK744" s="173" cm="1">
        <f t="array" ref="AK744">IFERROR(IF(AND(SUMIFS('Key inputs_Refineries'!AE$85:AE$164,'Key inputs_Refineries'!$C$85:$C$164,$C744,'Key inputs_Refineries'!$B$85:$B$164,"Boiler")/SUM(SUMIFS('Key inputs_Refineries'!AE$85:AE$164,'Key inputs_Refineries'!$C$85:$C$164,$C739:$C748,'Key inputs_Refineries'!$B$85:$B$164,"Boiler"))&gt;0,SUMIFS('Key inputs_Refineries'!AE$85:AE$164,'Key inputs_Refineries'!$C$85:$C$164,$C744,'Key inputs_Refineries'!$B$85:$B$164,"Boiler")/SUM(SUMIFS('Key inputs_Refineries'!AE$85:AE$164,'Key inputs_Refineries'!$C$85:$C$164,$C739:$C748,'Key inputs_Refineries'!$B$85:$B$164,"Boiler"))&lt;0.001),0.001,SUMIFS('Key inputs_Refineries'!AE$85:AE$164,'Key inputs_Refineries'!$C$85:$C$164,$C744,'Key inputs_Refineries'!$B$85:$B$164,"Boiler")/SUM(SUMIFS('Key inputs_Refineries'!AE$85:AE$164,'Key inputs_Refineries'!$C$85:$C$164,$C739:$C748,'Key inputs_Refineries'!$B$85:$B$164,"Boiler"))),0)</f>
        <v>0</v>
      </c>
      <c r="AL744" s="173" cm="1">
        <f t="array" ref="AL744">IFERROR(IF(AND(SUMIFS('Key inputs_Refineries'!AF$85:AF$164,'Key inputs_Refineries'!$C$85:$C$164,$C744,'Key inputs_Refineries'!$B$85:$B$164,"Boiler")/SUM(SUMIFS('Key inputs_Refineries'!AF$85:AF$164,'Key inputs_Refineries'!$C$85:$C$164,$C739:$C748,'Key inputs_Refineries'!$B$85:$B$164,"Boiler"))&gt;0,SUMIFS('Key inputs_Refineries'!AF$85:AF$164,'Key inputs_Refineries'!$C$85:$C$164,$C744,'Key inputs_Refineries'!$B$85:$B$164,"Boiler")/SUM(SUMIFS('Key inputs_Refineries'!AF$85:AF$164,'Key inputs_Refineries'!$C$85:$C$164,$C739:$C748,'Key inputs_Refineries'!$B$85:$B$164,"Boiler"))&lt;0.001),0.001,SUMIFS('Key inputs_Refineries'!AF$85:AF$164,'Key inputs_Refineries'!$C$85:$C$164,$C744,'Key inputs_Refineries'!$B$85:$B$164,"Boiler")/SUM(SUMIFS('Key inputs_Refineries'!AF$85:AF$164,'Key inputs_Refineries'!$C$85:$C$164,$C739:$C748,'Key inputs_Refineries'!$B$85:$B$164,"Boiler"))),0)</f>
        <v>7.2725742976555516E-3</v>
      </c>
    </row>
    <row r="745" spans="3:47">
      <c r="C745" t="str">
        <f>Commodities!$C$97</f>
        <v>UPSLPG</v>
      </c>
      <c r="G745" s="4" t="s">
        <v>702</v>
      </c>
      <c r="H745" t="s">
        <v>661</v>
      </c>
      <c r="I745">
        <v>2019</v>
      </c>
      <c r="J745" t="s">
        <v>650</v>
      </c>
      <c r="K745" s="173" cm="1">
        <f t="array" ref="K745">IFERROR(IF(AND(SUMIFS('Key inputs_Refineries'!E$85:E$164,'Key inputs_Refineries'!$C$85:$C$164,$C745,'Key inputs_Refineries'!$B$85:$B$164,"Boiler")/SUM(SUMIFS('Key inputs_Refineries'!E$85:E$164,'Key inputs_Refineries'!$C$85:$C$164,$C739:$C748,'Key inputs_Refineries'!$B$85:$B$164,"Boiler"))&gt;0,SUMIFS('Key inputs_Refineries'!E$85:E$164,'Key inputs_Refineries'!$C$85:$C$164,$C745,'Key inputs_Refineries'!$B$85:$B$164,"Boiler")/SUM(SUMIFS('Key inputs_Refineries'!E$85:E$164,'Key inputs_Refineries'!$C$85:$C$164,$C739:$C748,'Key inputs_Refineries'!$B$85:$B$164,"Boiler"))&lt;0.001),0.001,SUMIFS('Key inputs_Refineries'!E$85:E$164,'Key inputs_Refineries'!$C$85:$C$164,$C745,'Key inputs_Refineries'!$B$85:$B$164,"Boiler")/SUM(SUMIFS('Key inputs_Refineries'!E$85:E$164,'Key inputs_Refineries'!$C$85:$C$164,$C739:$C748,'Key inputs_Refineries'!$B$85:$B$164,"Boiler"))),0)</f>
        <v>0</v>
      </c>
      <c r="L745" s="173" cm="1">
        <f t="array" ref="L745">IFERROR(IF(AND(SUMIFS('Key inputs_Refineries'!F$85:F$164,'Key inputs_Refineries'!$C$85:$C$164,$C745,'Key inputs_Refineries'!$B$85:$B$164,"Boiler")/SUM(SUMIFS('Key inputs_Refineries'!F$85:F$164,'Key inputs_Refineries'!$C$85:$C$164,$C739:$C748,'Key inputs_Refineries'!$B$85:$B$164,"Boiler"))&gt;0,SUMIFS('Key inputs_Refineries'!F$85:F$164,'Key inputs_Refineries'!$C$85:$C$164,$C745,'Key inputs_Refineries'!$B$85:$B$164,"Boiler")/SUM(SUMIFS('Key inputs_Refineries'!F$85:F$164,'Key inputs_Refineries'!$C$85:$C$164,$C739:$C748,'Key inputs_Refineries'!$B$85:$B$164,"Boiler"))&lt;0.001),0.001,SUMIFS('Key inputs_Refineries'!F$85:F$164,'Key inputs_Refineries'!$C$85:$C$164,$C745,'Key inputs_Refineries'!$B$85:$B$164,"Boiler")/SUM(SUMIFS('Key inputs_Refineries'!F$85:F$164,'Key inputs_Refineries'!$C$85:$C$164,$C739:$C748,'Key inputs_Refineries'!$B$85:$B$164,"Boiler"))),0)</f>
        <v>0</v>
      </c>
      <c r="M745" s="173" cm="1">
        <f t="array" ref="M745">IFERROR(IF(AND(SUMIFS('Key inputs_Refineries'!G$85:G$164,'Key inputs_Refineries'!$C$85:$C$164,$C745,'Key inputs_Refineries'!$B$85:$B$164,"Boiler")/SUM(SUMIFS('Key inputs_Refineries'!G$85:G$164,'Key inputs_Refineries'!$C$85:$C$164,$C739:$C748,'Key inputs_Refineries'!$B$85:$B$164,"Boiler"))&gt;0,SUMIFS('Key inputs_Refineries'!G$85:G$164,'Key inputs_Refineries'!$C$85:$C$164,$C745,'Key inputs_Refineries'!$B$85:$B$164,"Boiler")/SUM(SUMIFS('Key inputs_Refineries'!G$85:G$164,'Key inputs_Refineries'!$C$85:$C$164,$C739:$C748,'Key inputs_Refineries'!$B$85:$B$164,"Boiler"))&lt;0.001),0.001,SUMIFS('Key inputs_Refineries'!G$85:G$164,'Key inputs_Refineries'!$C$85:$C$164,$C745,'Key inputs_Refineries'!$B$85:$B$164,"Boiler")/SUM(SUMIFS('Key inputs_Refineries'!G$85:G$164,'Key inputs_Refineries'!$C$85:$C$164,$C739:$C748,'Key inputs_Refineries'!$B$85:$B$164,"Boiler"))),0)</f>
        <v>0.11449728272014652</v>
      </c>
      <c r="N745" s="173" cm="1">
        <f t="array" ref="N745">IFERROR(IF(AND(SUMIFS('Key inputs_Refineries'!H$85:H$164,'Key inputs_Refineries'!$C$85:$C$164,$C745,'Key inputs_Refineries'!$B$85:$B$164,"Boiler")/SUM(SUMIFS('Key inputs_Refineries'!H$85:H$164,'Key inputs_Refineries'!$C$85:$C$164,$C739:$C748,'Key inputs_Refineries'!$B$85:$B$164,"Boiler"))&gt;0,SUMIFS('Key inputs_Refineries'!H$85:H$164,'Key inputs_Refineries'!$C$85:$C$164,$C745,'Key inputs_Refineries'!$B$85:$B$164,"Boiler")/SUM(SUMIFS('Key inputs_Refineries'!H$85:H$164,'Key inputs_Refineries'!$C$85:$C$164,$C739:$C748,'Key inputs_Refineries'!$B$85:$B$164,"Boiler"))&lt;0.001),0.001,SUMIFS('Key inputs_Refineries'!H$85:H$164,'Key inputs_Refineries'!$C$85:$C$164,$C745,'Key inputs_Refineries'!$B$85:$B$164,"Boiler")/SUM(SUMIFS('Key inputs_Refineries'!H$85:H$164,'Key inputs_Refineries'!$C$85:$C$164,$C739:$C748,'Key inputs_Refineries'!$B$85:$B$164,"Boiler"))),0)</f>
        <v>0</v>
      </c>
      <c r="O745" s="173" cm="1">
        <f t="array" ref="O745">IFERROR(IF(AND(SUMIFS('Key inputs_Refineries'!I$85:I$164,'Key inputs_Refineries'!$C$85:$C$164,$C745,'Key inputs_Refineries'!$B$85:$B$164,"Boiler")/SUM(SUMIFS('Key inputs_Refineries'!I$85:I$164,'Key inputs_Refineries'!$C$85:$C$164,$C739:$C748,'Key inputs_Refineries'!$B$85:$B$164,"Boiler"))&gt;0,SUMIFS('Key inputs_Refineries'!I$85:I$164,'Key inputs_Refineries'!$C$85:$C$164,$C745,'Key inputs_Refineries'!$B$85:$B$164,"Boiler")/SUM(SUMIFS('Key inputs_Refineries'!I$85:I$164,'Key inputs_Refineries'!$C$85:$C$164,$C739:$C748,'Key inputs_Refineries'!$B$85:$B$164,"Boiler"))&lt;0.001),0.001,SUMIFS('Key inputs_Refineries'!I$85:I$164,'Key inputs_Refineries'!$C$85:$C$164,$C745,'Key inputs_Refineries'!$B$85:$B$164,"Boiler")/SUM(SUMIFS('Key inputs_Refineries'!I$85:I$164,'Key inputs_Refineries'!$C$85:$C$164,$C739:$C748,'Key inputs_Refineries'!$B$85:$B$164,"Boiler"))),0)</f>
        <v>0</v>
      </c>
      <c r="P745" s="173" cm="1">
        <f t="array" ref="P745">IFERROR(IF(AND(SUMIFS('Key inputs_Refineries'!J$85:J$164,'Key inputs_Refineries'!$C$85:$C$164,$C745,'Key inputs_Refineries'!$B$85:$B$164,"Boiler")/SUM(SUMIFS('Key inputs_Refineries'!J$85:J$164,'Key inputs_Refineries'!$C$85:$C$164,$C739:$C748,'Key inputs_Refineries'!$B$85:$B$164,"Boiler"))&gt;0,SUMIFS('Key inputs_Refineries'!J$85:J$164,'Key inputs_Refineries'!$C$85:$C$164,$C745,'Key inputs_Refineries'!$B$85:$B$164,"Boiler")/SUM(SUMIFS('Key inputs_Refineries'!J$85:J$164,'Key inputs_Refineries'!$C$85:$C$164,$C739:$C748,'Key inputs_Refineries'!$B$85:$B$164,"Boiler"))&lt;0.001),0.001,SUMIFS('Key inputs_Refineries'!J$85:J$164,'Key inputs_Refineries'!$C$85:$C$164,$C745,'Key inputs_Refineries'!$B$85:$B$164,"Boiler")/SUM(SUMIFS('Key inputs_Refineries'!J$85:J$164,'Key inputs_Refineries'!$C$85:$C$164,$C739:$C748,'Key inputs_Refineries'!$B$85:$B$164,"Boiler"))),0)</f>
        <v>1.8429074047040168E-3</v>
      </c>
      <c r="Q745" s="173" cm="1">
        <f t="array" ref="Q745">IFERROR(IF(AND(SUMIFS('Key inputs_Refineries'!K$85:K$164,'Key inputs_Refineries'!$C$85:$C$164,$C745,'Key inputs_Refineries'!$B$85:$B$164,"Boiler")/SUM(SUMIFS('Key inputs_Refineries'!K$85:K$164,'Key inputs_Refineries'!$C$85:$C$164,$C739:$C748,'Key inputs_Refineries'!$B$85:$B$164,"Boiler"))&gt;0,SUMIFS('Key inputs_Refineries'!K$85:K$164,'Key inputs_Refineries'!$C$85:$C$164,$C745,'Key inputs_Refineries'!$B$85:$B$164,"Boiler")/SUM(SUMIFS('Key inputs_Refineries'!K$85:K$164,'Key inputs_Refineries'!$C$85:$C$164,$C739:$C748,'Key inputs_Refineries'!$B$85:$B$164,"Boiler"))&lt;0.001),0.001,SUMIFS('Key inputs_Refineries'!K$85:K$164,'Key inputs_Refineries'!$C$85:$C$164,$C745,'Key inputs_Refineries'!$B$85:$B$164,"Boiler")/SUM(SUMIFS('Key inputs_Refineries'!K$85:K$164,'Key inputs_Refineries'!$C$85:$C$164,$C739:$C748,'Key inputs_Refineries'!$B$85:$B$164,"Boiler"))),0)</f>
        <v>0</v>
      </c>
      <c r="R745" s="173" cm="1">
        <f t="array" ref="R745">IFERROR(IF(AND(SUMIFS('Key inputs_Refineries'!L$85:L$164,'Key inputs_Refineries'!$C$85:$C$164,$C745,'Key inputs_Refineries'!$B$85:$B$164,"Boiler")/SUM(SUMIFS('Key inputs_Refineries'!L$85:L$164,'Key inputs_Refineries'!$C$85:$C$164,$C739:$C748,'Key inputs_Refineries'!$B$85:$B$164,"Boiler"))&gt;0,SUMIFS('Key inputs_Refineries'!L$85:L$164,'Key inputs_Refineries'!$C$85:$C$164,$C745,'Key inputs_Refineries'!$B$85:$B$164,"Boiler")/SUM(SUMIFS('Key inputs_Refineries'!L$85:L$164,'Key inputs_Refineries'!$C$85:$C$164,$C739:$C748,'Key inputs_Refineries'!$B$85:$B$164,"Boiler"))&lt;0.001),0.001,SUMIFS('Key inputs_Refineries'!L$85:L$164,'Key inputs_Refineries'!$C$85:$C$164,$C745,'Key inputs_Refineries'!$B$85:$B$164,"Boiler")/SUM(SUMIFS('Key inputs_Refineries'!L$85:L$164,'Key inputs_Refineries'!$C$85:$C$164,$C739:$C748,'Key inputs_Refineries'!$B$85:$B$164,"Boiler"))),0)</f>
        <v>0</v>
      </c>
      <c r="S745" s="173" cm="1">
        <f t="array" ref="S745">IFERROR(IF(AND(SUMIFS('Key inputs_Refineries'!M$85:M$164,'Key inputs_Refineries'!$C$85:$C$164,$C745,'Key inputs_Refineries'!$B$85:$B$164,"Boiler")/SUM(SUMIFS('Key inputs_Refineries'!M$85:M$164,'Key inputs_Refineries'!$C$85:$C$164,$C739:$C748,'Key inputs_Refineries'!$B$85:$B$164,"Boiler"))&gt;0,SUMIFS('Key inputs_Refineries'!M$85:M$164,'Key inputs_Refineries'!$C$85:$C$164,$C745,'Key inputs_Refineries'!$B$85:$B$164,"Boiler")/SUM(SUMIFS('Key inputs_Refineries'!M$85:M$164,'Key inputs_Refineries'!$C$85:$C$164,$C739:$C748,'Key inputs_Refineries'!$B$85:$B$164,"Boiler"))&lt;0.001),0.001,SUMIFS('Key inputs_Refineries'!M$85:M$164,'Key inputs_Refineries'!$C$85:$C$164,$C745,'Key inputs_Refineries'!$B$85:$B$164,"Boiler")/SUM(SUMIFS('Key inputs_Refineries'!M$85:M$164,'Key inputs_Refineries'!$C$85:$C$164,$C739:$C748,'Key inputs_Refineries'!$B$85:$B$164,"Boiler"))),0)</f>
        <v>0</v>
      </c>
      <c r="T745" s="173" cm="1">
        <f t="array" ref="T745">IFERROR(IF(AND(SUMIFS('Key inputs_Refineries'!N$85:N$164,'Key inputs_Refineries'!$C$85:$C$164,$C745,'Key inputs_Refineries'!$B$85:$B$164,"Boiler")/SUM(SUMIFS('Key inputs_Refineries'!N$85:N$164,'Key inputs_Refineries'!$C$85:$C$164,$C739:$C748,'Key inputs_Refineries'!$B$85:$B$164,"Boiler"))&gt;0,SUMIFS('Key inputs_Refineries'!N$85:N$164,'Key inputs_Refineries'!$C$85:$C$164,$C745,'Key inputs_Refineries'!$B$85:$B$164,"Boiler")/SUM(SUMIFS('Key inputs_Refineries'!N$85:N$164,'Key inputs_Refineries'!$C$85:$C$164,$C739:$C748,'Key inputs_Refineries'!$B$85:$B$164,"Boiler"))&lt;0.001),0.001,SUMIFS('Key inputs_Refineries'!N$85:N$164,'Key inputs_Refineries'!$C$85:$C$164,$C745,'Key inputs_Refineries'!$B$85:$B$164,"Boiler")/SUM(SUMIFS('Key inputs_Refineries'!N$85:N$164,'Key inputs_Refineries'!$C$85:$C$164,$C739:$C748,'Key inputs_Refineries'!$B$85:$B$164,"Boiler"))),0)</f>
        <v>4.0866396011492612E-2</v>
      </c>
      <c r="U745" s="173" cm="1">
        <f t="array" ref="U745">IFERROR(IF(AND(SUMIFS('Key inputs_Refineries'!O$85:O$164,'Key inputs_Refineries'!$C$85:$C$164,$C745,'Key inputs_Refineries'!$B$85:$B$164,"Boiler")/SUM(SUMIFS('Key inputs_Refineries'!O$85:O$164,'Key inputs_Refineries'!$C$85:$C$164,$C739:$C748,'Key inputs_Refineries'!$B$85:$B$164,"Boiler"))&gt;0,SUMIFS('Key inputs_Refineries'!O$85:O$164,'Key inputs_Refineries'!$C$85:$C$164,$C745,'Key inputs_Refineries'!$B$85:$B$164,"Boiler")/SUM(SUMIFS('Key inputs_Refineries'!O$85:O$164,'Key inputs_Refineries'!$C$85:$C$164,$C739:$C748,'Key inputs_Refineries'!$B$85:$B$164,"Boiler"))&lt;0.001),0.001,SUMIFS('Key inputs_Refineries'!O$85:O$164,'Key inputs_Refineries'!$C$85:$C$164,$C745,'Key inputs_Refineries'!$B$85:$B$164,"Boiler")/SUM(SUMIFS('Key inputs_Refineries'!O$85:O$164,'Key inputs_Refineries'!$C$85:$C$164,$C739:$C748,'Key inputs_Refineries'!$B$85:$B$164,"Boiler"))),0)</f>
        <v>0.38542966352684382</v>
      </c>
      <c r="V745" s="173" cm="1">
        <f t="array" ref="V745">IFERROR(IF(AND(SUMIFS('Key inputs_Refineries'!P$85:P$164,'Key inputs_Refineries'!$C$85:$C$164,$C745,'Key inputs_Refineries'!$B$85:$B$164,"Boiler")/SUM(SUMIFS('Key inputs_Refineries'!P$85:P$164,'Key inputs_Refineries'!$C$85:$C$164,$C739:$C748,'Key inputs_Refineries'!$B$85:$B$164,"Boiler"))&gt;0,SUMIFS('Key inputs_Refineries'!P$85:P$164,'Key inputs_Refineries'!$C$85:$C$164,$C745,'Key inputs_Refineries'!$B$85:$B$164,"Boiler")/SUM(SUMIFS('Key inputs_Refineries'!P$85:P$164,'Key inputs_Refineries'!$C$85:$C$164,$C739:$C748,'Key inputs_Refineries'!$B$85:$B$164,"Boiler"))&lt;0.001),0.001,SUMIFS('Key inputs_Refineries'!P$85:P$164,'Key inputs_Refineries'!$C$85:$C$164,$C745,'Key inputs_Refineries'!$B$85:$B$164,"Boiler")/SUM(SUMIFS('Key inputs_Refineries'!P$85:P$164,'Key inputs_Refineries'!$C$85:$C$164,$C739:$C748,'Key inputs_Refineries'!$B$85:$B$164,"Boiler"))),0)</f>
        <v>0.20400018354543314</v>
      </c>
      <c r="W745" s="173" cm="1">
        <f t="array" ref="W745">IFERROR(IF(AND(SUMIFS('Key inputs_Refineries'!Q$85:Q$164,'Key inputs_Refineries'!$C$85:$C$164,$C745,'Key inputs_Refineries'!$B$85:$B$164,"Boiler")/SUM(SUMIFS('Key inputs_Refineries'!Q$85:Q$164,'Key inputs_Refineries'!$C$85:$C$164,$C739:$C748,'Key inputs_Refineries'!$B$85:$B$164,"Boiler"))&gt;0,SUMIFS('Key inputs_Refineries'!Q$85:Q$164,'Key inputs_Refineries'!$C$85:$C$164,$C745,'Key inputs_Refineries'!$B$85:$B$164,"Boiler")/SUM(SUMIFS('Key inputs_Refineries'!Q$85:Q$164,'Key inputs_Refineries'!$C$85:$C$164,$C739:$C748,'Key inputs_Refineries'!$B$85:$B$164,"Boiler"))&lt;0.001),0.001,SUMIFS('Key inputs_Refineries'!Q$85:Q$164,'Key inputs_Refineries'!$C$85:$C$164,$C745,'Key inputs_Refineries'!$B$85:$B$164,"Boiler")/SUM(SUMIFS('Key inputs_Refineries'!Q$85:Q$164,'Key inputs_Refineries'!$C$85:$C$164,$C739:$C748,'Key inputs_Refineries'!$B$85:$B$164,"Boiler"))),0)</f>
        <v>0</v>
      </c>
      <c r="X745" s="173" cm="1">
        <f t="array" ref="X745">IFERROR(IF(AND(SUMIFS('Key inputs_Refineries'!R$85:R$164,'Key inputs_Refineries'!$C$85:$C$164,$C745,'Key inputs_Refineries'!$B$85:$B$164,"Boiler")/SUM(SUMIFS('Key inputs_Refineries'!R$85:R$164,'Key inputs_Refineries'!$C$85:$C$164,$C739:$C748,'Key inputs_Refineries'!$B$85:$B$164,"Boiler"))&gt;0,SUMIFS('Key inputs_Refineries'!R$85:R$164,'Key inputs_Refineries'!$C$85:$C$164,$C745,'Key inputs_Refineries'!$B$85:$B$164,"Boiler")/SUM(SUMIFS('Key inputs_Refineries'!R$85:R$164,'Key inputs_Refineries'!$C$85:$C$164,$C739:$C748,'Key inputs_Refineries'!$B$85:$B$164,"Boiler"))&lt;0.001),0.001,SUMIFS('Key inputs_Refineries'!R$85:R$164,'Key inputs_Refineries'!$C$85:$C$164,$C745,'Key inputs_Refineries'!$B$85:$B$164,"Boiler")/SUM(SUMIFS('Key inputs_Refineries'!R$85:R$164,'Key inputs_Refineries'!$C$85:$C$164,$C739:$C748,'Key inputs_Refineries'!$B$85:$B$164,"Boiler"))),0)</f>
        <v>0</v>
      </c>
      <c r="Y745" s="173" cm="1">
        <f t="array" ref="Y745">IFERROR(IF(AND(SUMIFS('Key inputs_Refineries'!S$85:S$164,'Key inputs_Refineries'!$C$85:$C$164,$C745,'Key inputs_Refineries'!$B$85:$B$164,"Boiler")/SUM(SUMIFS('Key inputs_Refineries'!S$85:S$164,'Key inputs_Refineries'!$C$85:$C$164,$C739:$C748,'Key inputs_Refineries'!$B$85:$B$164,"Boiler"))&gt;0,SUMIFS('Key inputs_Refineries'!S$85:S$164,'Key inputs_Refineries'!$C$85:$C$164,$C745,'Key inputs_Refineries'!$B$85:$B$164,"Boiler")/SUM(SUMIFS('Key inputs_Refineries'!S$85:S$164,'Key inputs_Refineries'!$C$85:$C$164,$C739:$C748,'Key inputs_Refineries'!$B$85:$B$164,"Boiler"))&lt;0.001),0.001,SUMIFS('Key inputs_Refineries'!S$85:S$164,'Key inputs_Refineries'!$C$85:$C$164,$C745,'Key inputs_Refineries'!$B$85:$B$164,"Boiler")/SUM(SUMIFS('Key inputs_Refineries'!S$85:S$164,'Key inputs_Refineries'!$C$85:$C$164,$C739:$C748,'Key inputs_Refineries'!$B$85:$B$164,"Boiler"))),0)</f>
        <v>8.2373108109728369E-3</v>
      </c>
      <c r="Z745" s="173" cm="1">
        <f t="array" ref="Z745">IFERROR(IF(AND(SUMIFS('Key inputs_Refineries'!T$85:T$164,'Key inputs_Refineries'!$C$85:$C$164,$C745,'Key inputs_Refineries'!$B$85:$B$164,"Boiler")/SUM(SUMIFS('Key inputs_Refineries'!T$85:T$164,'Key inputs_Refineries'!$C$85:$C$164,$C739:$C748,'Key inputs_Refineries'!$B$85:$B$164,"Boiler"))&gt;0,SUMIFS('Key inputs_Refineries'!T$85:T$164,'Key inputs_Refineries'!$C$85:$C$164,$C745,'Key inputs_Refineries'!$B$85:$B$164,"Boiler")/SUM(SUMIFS('Key inputs_Refineries'!T$85:T$164,'Key inputs_Refineries'!$C$85:$C$164,$C739:$C748,'Key inputs_Refineries'!$B$85:$B$164,"Boiler"))&lt;0.001),0.001,SUMIFS('Key inputs_Refineries'!T$85:T$164,'Key inputs_Refineries'!$C$85:$C$164,$C745,'Key inputs_Refineries'!$B$85:$B$164,"Boiler")/SUM(SUMIFS('Key inputs_Refineries'!T$85:T$164,'Key inputs_Refineries'!$C$85:$C$164,$C739:$C748,'Key inputs_Refineries'!$B$85:$B$164,"Boiler"))),0)</f>
        <v>7.8067049163062063E-2</v>
      </c>
      <c r="AA745" s="173" cm="1">
        <f t="array" ref="AA745">IFERROR(IF(AND(SUMIFS('Key inputs_Refineries'!U$85:U$164,'Key inputs_Refineries'!$C$85:$C$164,$C745,'Key inputs_Refineries'!$B$85:$B$164,"Boiler")/SUM(SUMIFS('Key inputs_Refineries'!U$85:U$164,'Key inputs_Refineries'!$C$85:$C$164,$C739:$C748,'Key inputs_Refineries'!$B$85:$B$164,"Boiler"))&gt;0,SUMIFS('Key inputs_Refineries'!U$85:U$164,'Key inputs_Refineries'!$C$85:$C$164,$C745,'Key inputs_Refineries'!$B$85:$B$164,"Boiler")/SUM(SUMIFS('Key inputs_Refineries'!U$85:U$164,'Key inputs_Refineries'!$C$85:$C$164,$C739:$C748,'Key inputs_Refineries'!$B$85:$B$164,"Boiler"))&lt;0.001),0.001,SUMIFS('Key inputs_Refineries'!U$85:U$164,'Key inputs_Refineries'!$C$85:$C$164,$C745,'Key inputs_Refineries'!$B$85:$B$164,"Boiler")/SUM(SUMIFS('Key inputs_Refineries'!U$85:U$164,'Key inputs_Refineries'!$C$85:$C$164,$C739:$C748,'Key inputs_Refineries'!$B$85:$B$164,"Boiler"))),0)</f>
        <v>0.12670134629223898</v>
      </c>
      <c r="AB745" s="173" cm="1">
        <f t="array" ref="AB745">IFERROR(IF(AND(SUMIFS('Key inputs_Refineries'!V$85:V$164,'Key inputs_Refineries'!$C$85:$C$164,$C745,'Key inputs_Refineries'!$B$85:$B$164,"Boiler")/SUM(SUMIFS('Key inputs_Refineries'!V$85:V$164,'Key inputs_Refineries'!$C$85:$C$164,$C739:$C748,'Key inputs_Refineries'!$B$85:$B$164,"Boiler"))&gt;0,SUMIFS('Key inputs_Refineries'!V$85:V$164,'Key inputs_Refineries'!$C$85:$C$164,$C745,'Key inputs_Refineries'!$B$85:$B$164,"Boiler")/SUM(SUMIFS('Key inputs_Refineries'!V$85:V$164,'Key inputs_Refineries'!$C$85:$C$164,$C739:$C748,'Key inputs_Refineries'!$B$85:$B$164,"Boiler"))&lt;0.001),0.001,SUMIFS('Key inputs_Refineries'!V$85:V$164,'Key inputs_Refineries'!$C$85:$C$164,$C745,'Key inputs_Refineries'!$B$85:$B$164,"Boiler")/SUM(SUMIFS('Key inputs_Refineries'!V$85:V$164,'Key inputs_Refineries'!$C$85:$C$164,$C739:$C748,'Key inputs_Refineries'!$B$85:$B$164,"Boiler"))),0)</f>
        <v>0</v>
      </c>
      <c r="AC745" s="173" cm="1">
        <f t="array" ref="AC745">IFERROR(IF(AND(SUMIFS('Key inputs_Refineries'!W$85:W$164,'Key inputs_Refineries'!$C$85:$C$164,$C745,'Key inputs_Refineries'!$B$85:$B$164,"Boiler")/SUM(SUMIFS('Key inputs_Refineries'!W$85:W$164,'Key inputs_Refineries'!$C$85:$C$164,$C739:$C748,'Key inputs_Refineries'!$B$85:$B$164,"Boiler"))&gt;0,SUMIFS('Key inputs_Refineries'!W$85:W$164,'Key inputs_Refineries'!$C$85:$C$164,$C745,'Key inputs_Refineries'!$B$85:$B$164,"Boiler")/SUM(SUMIFS('Key inputs_Refineries'!W$85:W$164,'Key inputs_Refineries'!$C$85:$C$164,$C739:$C748,'Key inputs_Refineries'!$B$85:$B$164,"Boiler"))&lt;0.001),0.001,SUMIFS('Key inputs_Refineries'!W$85:W$164,'Key inputs_Refineries'!$C$85:$C$164,$C745,'Key inputs_Refineries'!$B$85:$B$164,"Boiler")/SUM(SUMIFS('Key inputs_Refineries'!W$85:W$164,'Key inputs_Refineries'!$C$85:$C$164,$C739:$C748,'Key inputs_Refineries'!$B$85:$B$164,"Boiler"))),0)</f>
        <v>0</v>
      </c>
      <c r="AD745" s="173" cm="1">
        <f t="array" ref="AD745">IFERROR(IF(AND(SUMIFS('Key inputs_Refineries'!X$85:X$164,'Key inputs_Refineries'!$C$85:$C$164,$C745,'Key inputs_Refineries'!$B$85:$B$164,"Boiler")/SUM(SUMIFS('Key inputs_Refineries'!X$85:X$164,'Key inputs_Refineries'!$C$85:$C$164,$C739:$C748,'Key inputs_Refineries'!$B$85:$B$164,"Boiler"))&gt;0,SUMIFS('Key inputs_Refineries'!X$85:X$164,'Key inputs_Refineries'!$C$85:$C$164,$C745,'Key inputs_Refineries'!$B$85:$B$164,"Boiler")/SUM(SUMIFS('Key inputs_Refineries'!X$85:X$164,'Key inputs_Refineries'!$C$85:$C$164,$C739:$C748,'Key inputs_Refineries'!$B$85:$B$164,"Boiler"))&lt;0.001),0.001,SUMIFS('Key inputs_Refineries'!X$85:X$164,'Key inputs_Refineries'!$C$85:$C$164,$C745,'Key inputs_Refineries'!$B$85:$B$164,"Boiler")/SUM(SUMIFS('Key inputs_Refineries'!X$85:X$164,'Key inputs_Refineries'!$C$85:$C$164,$C739:$C748,'Key inputs_Refineries'!$B$85:$B$164,"Boiler"))),0)</f>
        <v>5.9809032201112659E-2</v>
      </c>
      <c r="AE745" s="173" cm="1">
        <f t="array" ref="AE745">IFERROR(IF(AND(SUMIFS('Key inputs_Refineries'!Y$85:Y$164,'Key inputs_Refineries'!$C$85:$C$164,$C745,'Key inputs_Refineries'!$B$85:$B$164,"Boiler")/SUM(SUMIFS('Key inputs_Refineries'!Y$85:Y$164,'Key inputs_Refineries'!$C$85:$C$164,$C739:$C748,'Key inputs_Refineries'!$B$85:$B$164,"Boiler"))&gt;0,SUMIFS('Key inputs_Refineries'!Y$85:Y$164,'Key inputs_Refineries'!$C$85:$C$164,$C745,'Key inputs_Refineries'!$B$85:$B$164,"Boiler")/SUM(SUMIFS('Key inputs_Refineries'!Y$85:Y$164,'Key inputs_Refineries'!$C$85:$C$164,$C739:$C748,'Key inputs_Refineries'!$B$85:$B$164,"Boiler"))&lt;0.001),0.001,SUMIFS('Key inputs_Refineries'!Y$85:Y$164,'Key inputs_Refineries'!$C$85:$C$164,$C745,'Key inputs_Refineries'!$B$85:$B$164,"Boiler")/SUM(SUMIFS('Key inputs_Refineries'!Y$85:Y$164,'Key inputs_Refineries'!$C$85:$C$164,$C739:$C748,'Key inputs_Refineries'!$B$85:$B$164,"Boiler"))),0)</f>
        <v>0.15964808720573298</v>
      </c>
      <c r="AF745" s="173" cm="1">
        <f t="array" ref="AF745">IFERROR(IF(AND(SUMIFS('Key inputs_Refineries'!Z$85:Z$164,'Key inputs_Refineries'!$C$85:$C$164,$C745,'Key inputs_Refineries'!$B$85:$B$164,"Boiler")/SUM(SUMIFS('Key inputs_Refineries'!Z$85:Z$164,'Key inputs_Refineries'!$C$85:$C$164,$C739:$C748,'Key inputs_Refineries'!$B$85:$B$164,"Boiler"))&gt;0,SUMIFS('Key inputs_Refineries'!Z$85:Z$164,'Key inputs_Refineries'!$C$85:$C$164,$C745,'Key inputs_Refineries'!$B$85:$B$164,"Boiler")/SUM(SUMIFS('Key inputs_Refineries'!Z$85:Z$164,'Key inputs_Refineries'!$C$85:$C$164,$C739:$C748,'Key inputs_Refineries'!$B$85:$B$164,"Boiler"))&lt;0.001),0.001,SUMIFS('Key inputs_Refineries'!Z$85:Z$164,'Key inputs_Refineries'!$C$85:$C$164,$C745,'Key inputs_Refineries'!$B$85:$B$164,"Boiler")/SUM(SUMIFS('Key inputs_Refineries'!Z$85:Z$164,'Key inputs_Refineries'!$C$85:$C$164,$C739:$C748,'Key inputs_Refineries'!$B$85:$B$164,"Boiler"))),0)</f>
        <v>0</v>
      </c>
      <c r="AG745" s="173" cm="1">
        <f t="array" ref="AG745">IFERROR(IF(AND(SUMIFS('Key inputs_Refineries'!AA$85:AA$164,'Key inputs_Refineries'!$C$85:$C$164,$C745,'Key inputs_Refineries'!$B$85:$B$164,"Boiler")/SUM(SUMIFS('Key inputs_Refineries'!AA$85:AA$164,'Key inputs_Refineries'!$C$85:$C$164,$C739:$C748,'Key inputs_Refineries'!$B$85:$B$164,"Boiler"))&gt;0,SUMIFS('Key inputs_Refineries'!AA$85:AA$164,'Key inputs_Refineries'!$C$85:$C$164,$C745,'Key inputs_Refineries'!$B$85:$B$164,"Boiler")/SUM(SUMIFS('Key inputs_Refineries'!AA$85:AA$164,'Key inputs_Refineries'!$C$85:$C$164,$C739:$C748,'Key inputs_Refineries'!$B$85:$B$164,"Boiler"))&lt;0.001),0.001,SUMIFS('Key inputs_Refineries'!AA$85:AA$164,'Key inputs_Refineries'!$C$85:$C$164,$C745,'Key inputs_Refineries'!$B$85:$B$164,"Boiler")/SUM(SUMIFS('Key inputs_Refineries'!AA$85:AA$164,'Key inputs_Refineries'!$C$85:$C$164,$C739:$C748,'Key inputs_Refineries'!$B$85:$B$164,"Boiler"))),0)</f>
        <v>0.14701351118428413</v>
      </c>
      <c r="AH745" s="173" cm="1">
        <f t="array" ref="AH745">IFERROR(IF(AND(SUMIFS('Key inputs_Refineries'!AB$85:AB$164,'Key inputs_Refineries'!$C$85:$C$164,$C745,'Key inputs_Refineries'!$B$85:$B$164,"Boiler")/SUM(SUMIFS('Key inputs_Refineries'!AB$85:AB$164,'Key inputs_Refineries'!$C$85:$C$164,$C739:$C748,'Key inputs_Refineries'!$B$85:$B$164,"Boiler"))&gt;0,SUMIFS('Key inputs_Refineries'!AB$85:AB$164,'Key inputs_Refineries'!$C$85:$C$164,$C745,'Key inputs_Refineries'!$B$85:$B$164,"Boiler")/SUM(SUMIFS('Key inputs_Refineries'!AB$85:AB$164,'Key inputs_Refineries'!$C$85:$C$164,$C739:$C748,'Key inputs_Refineries'!$B$85:$B$164,"Boiler"))&lt;0.001),0.001,SUMIFS('Key inputs_Refineries'!AB$85:AB$164,'Key inputs_Refineries'!$C$85:$C$164,$C745,'Key inputs_Refineries'!$B$85:$B$164,"Boiler")/SUM(SUMIFS('Key inputs_Refineries'!AB$85:AB$164,'Key inputs_Refineries'!$C$85:$C$164,$C739:$C748,'Key inputs_Refineries'!$B$85:$B$164,"Boiler"))),0)</f>
        <v>0</v>
      </c>
      <c r="AI745" s="173" cm="1">
        <f t="array" ref="AI745">IFERROR(IF(AND(SUMIFS('Key inputs_Refineries'!AC$85:AC$164,'Key inputs_Refineries'!$C$85:$C$164,$C745,'Key inputs_Refineries'!$B$85:$B$164,"Boiler")/SUM(SUMIFS('Key inputs_Refineries'!AC$85:AC$164,'Key inputs_Refineries'!$C$85:$C$164,$C739:$C748,'Key inputs_Refineries'!$B$85:$B$164,"Boiler"))&gt;0,SUMIFS('Key inputs_Refineries'!AC$85:AC$164,'Key inputs_Refineries'!$C$85:$C$164,$C745,'Key inputs_Refineries'!$B$85:$B$164,"Boiler")/SUM(SUMIFS('Key inputs_Refineries'!AC$85:AC$164,'Key inputs_Refineries'!$C$85:$C$164,$C739:$C748,'Key inputs_Refineries'!$B$85:$B$164,"Boiler"))&lt;0.001),0.001,SUMIFS('Key inputs_Refineries'!AC$85:AC$164,'Key inputs_Refineries'!$C$85:$C$164,$C745,'Key inputs_Refineries'!$B$85:$B$164,"Boiler")/SUM(SUMIFS('Key inputs_Refineries'!AC$85:AC$164,'Key inputs_Refineries'!$C$85:$C$164,$C739:$C748,'Key inputs_Refineries'!$B$85:$B$164,"Boiler"))),0)</f>
        <v>8.2300446207238476E-2</v>
      </c>
      <c r="AJ745" s="173" cm="1">
        <f t="array" ref="AJ745">IFERROR(IF(AND(SUMIFS('Key inputs_Refineries'!AD$85:AD$164,'Key inputs_Refineries'!$C$85:$C$164,$C745,'Key inputs_Refineries'!$B$85:$B$164,"Boiler")/SUM(SUMIFS('Key inputs_Refineries'!AD$85:AD$164,'Key inputs_Refineries'!$C$85:$C$164,$C739:$C748,'Key inputs_Refineries'!$B$85:$B$164,"Boiler"))&gt;0,SUMIFS('Key inputs_Refineries'!AD$85:AD$164,'Key inputs_Refineries'!$C$85:$C$164,$C745,'Key inputs_Refineries'!$B$85:$B$164,"Boiler")/SUM(SUMIFS('Key inputs_Refineries'!AD$85:AD$164,'Key inputs_Refineries'!$C$85:$C$164,$C739:$C748,'Key inputs_Refineries'!$B$85:$B$164,"Boiler"))&lt;0.001),0.001,SUMIFS('Key inputs_Refineries'!AD$85:AD$164,'Key inputs_Refineries'!$C$85:$C$164,$C745,'Key inputs_Refineries'!$B$85:$B$164,"Boiler")/SUM(SUMIFS('Key inputs_Refineries'!AD$85:AD$164,'Key inputs_Refineries'!$C$85:$C$164,$C739:$C748,'Key inputs_Refineries'!$B$85:$B$164,"Boiler"))),0)</f>
        <v>0</v>
      </c>
      <c r="AK745" s="173" cm="1">
        <f t="array" ref="AK745">IFERROR(IF(AND(SUMIFS('Key inputs_Refineries'!AE$85:AE$164,'Key inputs_Refineries'!$C$85:$C$164,$C745,'Key inputs_Refineries'!$B$85:$B$164,"Boiler")/SUM(SUMIFS('Key inputs_Refineries'!AE$85:AE$164,'Key inputs_Refineries'!$C$85:$C$164,$C739:$C748,'Key inputs_Refineries'!$B$85:$B$164,"Boiler"))&gt;0,SUMIFS('Key inputs_Refineries'!AE$85:AE$164,'Key inputs_Refineries'!$C$85:$C$164,$C745,'Key inputs_Refineries'!$B$85:$B$164,"Boiler")/SUM(SUMIFS('Key inputs_Refineries'!AE$85:AE$164,'Key inputs_Refineries'!$C$85:$C$164,$C739:$C748,'Key inputs_Refineries'!$B$85:$B$164,"Boiler"))&lt;0.001),0.001,SUMIFS('Key inputs_Refineries'!AE$85:AE$164,'Key inputs_Refineries'!$C$85:$C$164,$C745,'Key inputs_Refineries'!$B$85:$B$164,"Boiler")/SUM(SUMIFS('Key inputs_Refineries'!AE$85:AE$164,'Key inputs_Refineries'!$C$85:$C$164,$C739:$C748,'Key inputs_Refineries'!$B$85:$B$164,"Boiler"))),0)</f>
        <v>0.19642918031687168</v>
      </c>
      <c r="AL745" s="173" cm="1">
        <f t="array" ref="AL745">IFERROR(IF(AND(SUMIFS('Key inputs_Refineries'!AF$85:AF$164,'Key inputs_Refineries'!$C$85:$C$164,$C745,'Key inputs_Refineries'!$B$85:$B$164,"Boiler")/SUM(SUMIFS('Key inputs_Refineries'!AF$85:AF$164,'Key inputs_Refineries'!$C$85:$C$164,$C739:$C748,'Key inputs_Refineries'!$B$85:$B$164,"Boiler"))&gt;0,SUMIFS('Key inputs_Refineries'!AF$85:AF$164,'Key inputs_Refineries'!$C$85:$C$164,$C745,'Key inputs_Refineries'!$B$85:$B$164,"Boiler")/SUM(SUMIFS('Key inputs_Refineries'!AF$85:AF$164,'Key inputs_Refineries'!$C$85:$C$164,$C739:$C748,'Key inputs_Refineries'!$B$85:$B$164,"Boiler"))&lt;0.001),0.001,SUMIFS('Key inputs_Refineries'!AF$85:AF$164,'Key inputs_Refineries'!$C$85:$C$164,$C745,'Key inputs_Refineries'!$B$85:$B$164,"Boiler")/SUM(SUMIFS('Key inputs_Refineries'!AF$85:AF$164,'Key inputs_Refineries'!$C$85:$C$164,$C739:$C748,'Key inputs_Refineries'!$B$85:$B$164,"Boiler"))),0)</f>
        <v>3.7520915854909229E-2</v>
      </c>
    </row>
    <row r="746" spans="3:47">
      <c r="C746" t="str">
        <f>Commodities!$C$98</f>
        <v>UPSNAP</v>
      </c>
      <c r="G746" s="4" t="s">
        <v>702</v>
      </c>
      <c r="H746" t="s">
        <v>661</v>
      </c>
      <c r="I746">
        <v>2019</v>
      </c>
      <c r="J746" t="s">
        <v>650</v>
      </c>
      <c r="K746" s="173" cm="1">
        <f t="array" ref="K746">IFERROR(IF(AND(SUMIFS('Key inputs_Refineries'!E$85:E$164,'Key inputs_Refineries'!$C$85:$C$164,$C746,'Key inputs_Refineries'!$B$85:$B$164,"Boiler")/SUM(SUMIFS('Key inputs_Refineries'!E$85:E$164,'Key inputs_Refineries'!$C$85:$C$164,$C739:$C748,'Key inputs_Refineries'!$B$85:$B$164,"Boiler"))&gt;0,SUMIFS('Key inputs_Refineries'!E$85:E$164,'Key inputs_Refineries'!$C$85:$C$164,$C746,'Key inputs_Refineries'!$B$85:$B$164,"Boiler")/SUM(SUMIFS('Key inputs_Refineries'!E$85:E$164,'Key inputs_Refineries'!$C$85:$C$164,$C739:$C748,'Key inputs_Refineries'!$B$85:$B$164,"Boiler"))&lt;0.001),0.001,SUMIFS('Key inputs_Refineries'!E$85:E$164,'Key inputs_Refineries'!$C$85:$C$164,$C746,'Key inputs_Refineries'!$B$85:$B$164,"Boiler")/SUM(SUMIFS('Key inputs_Refineries'!E$85:E$164,'Key inputs_Refineries'!$C$85:$C$164,$C739:$C748,'Key inputs_Refineries'!$B$85:$B$164,"Boiler"))),0)</f>
        <v>0</v>
      </c>
      <c r="L746" s="173" cm="1">
        <f t="array" ref="L746">IFERROR(IF(AND(SUMIFS('Key inputs_Refineries'!F$85:F$164,'Key inputs_Refineries'!$C$85:$C$164,$C746,'Key inputs_Refineries'!$B$85:$B$164,"Boiler")/SUM(SUMIFS('Key inputs_Refineries'!F$85:F$164,'Key inputs_Refineries'!$C$85:$C$164,$C739:$C748,'Key inputs_Refineries'!$B$85:$B$164,"Boiler"))&gt;0,SUMIFS('Key inputs_Refineries'!F$85:F$164,'Key inputs_Refineries'!$C$85:$C$164,$C746,'Key inputs_Refineries'!$B$85:$B$164,"Boiler")/SUM(SUMIFS('Key inputs_Refineries'!F$85:F$164,'Key inputs_Refineries'!$C$85:$C$164,$C739:$C748,'Key inputs_Refineries'!$B$85:$B$164,"Boiler"))&lt;0.001),0.001,SUMIFS('Key inputs_Refineries'!F$85:F$164,'Key inputs_Refineries'!$C$85:$C$164,$C746,'Key inputs_Refineries'!$B$85:$B$164,"Boiler")/SUM(SUMIFS('Key inputs_Refineries'!F$85:F$164,'Key inputs_Refineries'!$C$85:$C$164,$C739:$C748,'Key inputs_Refineries'!$B$85:$B$164,"Boiler"))),0)</f>
        <v>0</v>
      </c>
      <c r="M746" s="173" cm="1">
        <f t="array" ref="M746">IFERROR(IF(AND(SUMIFS('Key inputs_Refineries'!G$85:G$164,'Key inputs_Refineries'!$C$85:$C$164,$C746,'Key inputs_Refineries'!$B$85:$B$164,"Boiler")/SUM(SUMIFS('Key inputs_Refineries'!G$85:G$164,'Key inputs_Refineries'!$C$85:$C$164,$C739:$C748,'Key inputs_Refineries'!$B$85:$B$164,"Boiler"))&gt;0,SUMIFS('Key inputs_Refineries'!G$85:G$164,'Key inputs_Refineries'!$C$85:$C$164,$C746,'Key inputs_Refineries'!$B$85:$B$164,"Boiler")/SUM(SUMIFS('Key inputs_Refineries'!G$85:G$164,'Key inputs_Refineries'!$C$85:$C$164,$C739:$C748,'Key inputs_Refineries'!$B$85:$B$164,"Boiler"))&lt;0.001),0.001,SUMIFS('Key inputs_Refineries'!G$85:G$164,'Key inputs_Refineries'!$C$85:$C$164,$C746,'Key inputs_Refineries'!$B$85:$B$164,"Boiler")/SUM(SUMIFS('Key inputs_Refineries'!G$85:G$164,'Key inputs_Refineries'!$C$85:$C$164,$C739:$C748,'Key inputs_Refineries'!$B$85:$B$164,"Boiler"))),0)</f>
        <v>0</v>
      </c>
      <c r="N746" s="173" cm="1">
        <f t="array" ref="N746">IFERROR(IF(AND(SUMIFS('Key inputs_Refineries'!H$85:H$164,'Key inputs_Refineries'!$C$85:$C$164,$C746,'Key inputs_Refineries'!$B$85:$B$164,"Boiler")/SUM(SUMIFS('Key inputs_Refineries'!H$85:H$164,'Key inputs_Refineries'!$C$85:$C$164,$C739:$C748,'Key inputs_Refineries'!$B$85:$B$164,"Boiler"))&gt;0,SUMIFS('Key inputs_Refineries'!H$85:H$164,'Key inputs_Refineries'!$C$85:$C$164,$C746,'Key inputs_Refineries'!$B$85:$B$164,"Boiler")/SUM(SUMIFS('Key inputs_Refineries'!H$85:H$164,'Key inputs_Refineries'!$C$85:$C$164,$C739:$C748,'Key inputs_Refineries'!$B$85:$B$164,"Boiler"))&lt;0.001),0.001,SUMIFS('Key inputs_Refineries'!H$85:H$164,'Key inputs_Refineries'!$C$85:$C$164,$C746,'Key inputs_Refineries'!$B$85:$B$164,"Boiler")/SUM(SUMIFS('Key inputs_Refineries'!H$85:H$164,'Key inputs_Refineries'!$C$85:$C$164,$C739:$C748,'Key inputs_Refineries'!$B$85:$B$164,"Boiler"))),0)</f>
        <v>0</v>
      </c>
      <c r="O746" s="173" cm="1">
        <f t="array" ref="O746">IFERROR(IF(AND(SUMIFS('Key inputs_Refineries'!I$85:I$164,'Key inputs_Refineries'!$C$85:$C$164,$C746,'Key inputs_Refineries'!$B$85:$B$164,"Boiler")/SUM(SUMIFS('Key inputs_Refineries'!I$85:I$164,'Key inputs_Refineries'!$C$85:$C$164,$C739:$C748,'Key inputs_Refineries'!$B$85:$B$164,"Boiler"))&gt;0,SUMIFS('Key inputs_Refineries'!I$85:I$164,'Key inputs_Refineries'!$C$85:$C$164,$C746,'Key inputs_Refineries'!$B$85:$B$164,"Boiler")/SUM(SUMIFS('Key inputs_Refineries'!I$85:I$164,'Key inputs_Refineries'!$C$85:$C$164,$C739:$C748,'Key inputs_Refineries'!$B$85:$B$164,"Boiler"))&lt;0.001),0.001,SUMIFS('Key inputs_Refineries'!I$85:I$164,'Key inputs_Refineries'!$C$85:$C$164,$C746,'Key inputs_Refineries'!$B$85:$B$164,"Boiler")/SUM(SUMIFS('Key inputs_Refineries'!I$85:I$164,'Key inputs_Refineries'!$C$85:$C$164,$C739:$C748,'Key inputs_Refineries'!$B$85:$B$164,"Boiler"))),0)</f>
        <v>0</v>
      </c>
      <c r="P746" s="173" cm="1">
        <f t="array" ref="P746">IFERROR(IF(AND(SUMIFS('Key inputs_Refineries'!J$85:J$164,'Key inputs_Refineries'!$C$85:$C$164,$C746,'Key inputs_Refineries'!$B$85:$B$164,"Boiler")/SUM(SUMIFS('Key inputs_Refineries'!J$85:J$164,'Key inputs_Refineries'!$C$85:$C$164,$C739:$C748,'Key inputs_Refineries'!$B$85:$B$164,"Boiler"))&gt;0,SUMIFS('Key inputs_Refineries'!J$85:J$164,'Key inputs_Refineries'!$C$85:$C$164,$C746,'Key inputs_Refineries'!$B$85:$B$164,"Boiler")/SUM(SUMIFS('Key inputs_Refineries'!J$85:J$164,'Key inputs_Refineries'!$C$85:$C$164,$C739:$C748,'Key inputs_Refineries'!$B$85:$B$164,"Boiler"))&lt;0.001),0.001,SUMIFS('Key inputs_Refineries'!J$85:J$164,'Key inputs_Refineries'!$C$85:$C$164,$C746,'Key inputs_Refineries'!$B$85:$B$164,"Boiler")/SUM(SUMIFS('Key inputs_Refineries'!J$85:J$164,'Key inputs_Refineries'!$C$85:$C$164,$C739:$C748,'Key inputs_Refineries'!$B$85:$B$164,"Boiler"))),0)</f>
        <v>0</v>
      </c>
      <c r="Q746" s="173" cm="1">
        <f t="array" ref="Q746">IFERROR(IF(AND(SUMIFS('Key inputs_Refineries'!K$85:K$164,'Key inputs_Refineries'!$C$85:$C$164,$C746,'Key inputs_Refineries'!$B$85:$B$164,"Boiler")/SUM(SUMIFS('Key inputs_Refineries'!K$85:K$164,'Key inputs_Refineries'!$C$85:$C$164,$C739:$C748,'Key inputs_Refineries'!$B$85:$B$164,"Boiler"))&gt;0,SUMIFS('Key inputs_Refineries'!K$85:K$164,'Key inputs_Refineries'!$C$85:$C$164,$C746,'Key inputs_Refineries'!$B$85:$B$164,"Boiler")/SUM(SUMIFS('Key inputs_Refineries'!K$85:K$164,'Key inputs_Refineries'!$C$85:$C$164,$C739:$C748,'Key inputs_Refineries'!$B$85:$B$164,"Boiler"))&lt;0.001),0.001,SUMIFS('Key inputs_Refineries'!K$85:K$164,'Key inputs_Refineries'!$C$85:$C$164,$C746,'Key inputs_Refineries'!$B$85:$B$164,"Boiler")/SUM(SUMIFS('Key inputs_Refineries'!K$85:K$164,'Key inputs_Refineries'!$C$85:$C$164,$C739:$C748,'Key inputs_Refineries'!$B$85:$B$164,"Boiler"))),0)</f>
        <v>0</v>
      </c>
      <c r="R746" s="173" cm="1">
        <f t="array" ref="R746">IFERROR(IF(AND(SUMIFS('Key inputs_Refineries'!L$85:L$164,'Key inputs_Refineries'!$C$85:$C$164,$C746,'Key inputs_Refineries'!$B$85:$B$164,"Boiler")/SUM(SUMIFS('Key inputs_Refineries'!L$85:L$164,'Key inputs_Refineries'!$C$85:$C$164,$C739:$C748,'Key inputs_Refineries'!$B$85:$B$164,"Boiler"))&gt;0,SUMIFS('Key inputs_Refineries'!L$85:L$164,'Key inputs_Refineries'!$C$85:$C$164,$C746,'Key inputs_Refineries'!$B$85:$B$164,"Boiler")/SUM(SUMIFS('Key inputs_Refineries'!L$85:L$164,'Key inputs_Refineries'!$C$85:$C$164,$C739:$C748,'Key inputs_Refineries'!$B$85:$B$164,"Boiler"))&lt;0.001),0.001,SUMIFS('Key inputs_Refineries'!L$85:L$164,'Key inputs_Refineries'!$C$85:$C$164,$C746,'Key inputs_Refineries'!$B$85:$B$164,"Boiler")/SUM(SUMIFS('Key inputs_Refineries'!L$85:L$164,'Key inputs_Refineries'!$C$85:$C$164,$C739:$C748,'Key inputs_Refineries'!$B$85:$B$164,"Boiler"))),0)</f>
        <v>0</v>
      </c>
      <c r="S746" s="173" cm="1">
        <f t="array" ref="S746">IFERROR(IF(AND(SUMIFS('Key inputs_Refineries'!M$85:M$164,'Key inputs_Refineries'!$C$85:$C$164,$C746,'Key inputs_Refineries'!$B$85:$B$164,"Boiler")/SUM(SUMIFS('Key inputs_Refineries'!M$85:M$164,'Key inputs_Refineries'!$C$85:$C$164,$C739:$C748,'Key inputs_Refineries'!$B$85:$B$164,"Boiler"))&gt;0,SUMIFS('Key inputs_Refineries'!M$85:M$164,'Key inputs_Refineries'!$C$85:$C$164,$C746,'Key inputs_Refineries'!$B$85:$B$164,"Boiler")/SUM(SUMIFS('Key inputs_Refineries'!M$85:M$164,'Key inputs_Refineries'!$C$85:$C$164,$C739:$C748,'Key inputs_Refineries'!$B$85:$B$164,"Boiler"))&lt;0.001),0.001,SUMIFS('Key inputs_Refineries'!M$85:M$164,'Key inputs_Refineries'!$C$85:$C$164,$C746,'Key inputs_Refineries'!$B$85:$B$164,"Boiler")/SUM(SUMIFS('Key inputs_Refineries'!M$85:M$164,'Key inputs_Refineries'!$C$85:$C$164,$C739:$C748,'Key inputs_Refineries'!$B$85:$B$164,"Boiler"))),0)</f>
        <v>0</v>
      </c>
      <c r="T746" s="173" cm="1">
        <f t="array" ref="T746">IFERROR(IF(AND(SUMIFS('Key inputs_Refineries'!N$85:N$164,'Key inputs_Refineries'!$C$85:$C$164,$C746,'Key inputs_Refineries'!$B$85:$B$164,"Boiler")/SUM(SUMIFS('Key inputs_Refineries'!N$85:N$164,'Key inputs_Refineries'!$C$85:$C$164,$C739:$C748,'Key inputs_Refineries'!$B$85:$B$164,"Boiler"))&gt;0,SUMIFS('Key inputs_Refineries'!N$85:N$164,'Key inputs_Refineries'!$C$85:$C$164,$C746,'Key inputs_Refineries'!$B$85:$B$164,"Boiler")/SUM(SUMIFS('Key inputs_Refineries'!N$85:N$164,'Key inputs_Refineries'!$C$85:$C$164,$C739:$C748,'Key inputs_Refineries'!$B$85:$B$164,"Boiler"))&lt;0.001),0.001,SUMIFS('Key inputs_Refineries'!N$85:N$164,'Key inputs_Refineries'!$C$85:$C$164,$C746,'Key inputs_Refineries'!$B$85:$B$164,"Boiler")/SUM(SUMIFS('Key inputs_Refineries'!N$85:N$164,'Key inputs_Refineries'!$C$85:$C$164,$C739:$C748,'Key inputs_Refineries'!$B$85:$B$164,"Boiler"))),0)</f>
        <v>0</v>
      </c>
      <c r="U746" s="173" cm="1">
        <f t="array" ref="U746">IFERROR(IF(AND(SUMIFS('Key inputs_Refineries'!O$85:O$164,'Key inputs_Refineries'!$C$85:$C$164,$C746,'Key inputs_Refineries'!$B$85:$B$164,"Boiler")/SUM(SUMIFS('Key inputs_Refineries'!O$85:O$164,'Key inputs_Refineries'!$C$85:$C$164,$C739:$C748,'Key inputs_Refineries'!$B$85:$B$164,"Boiler"))&gt;0,SUMIFS('Key inputs_Refineries'!O$85:O$164,'Key inputs_Refineries'!$C$85:$C$164,$C746,'Key inputs_Refineries'!$B$85:$B$164,"Boiler")/SUM(SUMIFS('Key inputs_Refineries'!O$85:O$164,'Key inputs_Refineries'!$C$85:$C$164,$C739:$C748,'Key inputs_Refineries'!$B$85:$B$164,"Boiler"))&lt;0.001),0.001,SUMIFS('Key inputs_Refineries'!O$85:O$164,'Key inputs_Refineries'!$C$85:$C$164,$C746,'Key inputs_Refineries'!$B$85:$B$164,"Boiler")/SUM(SUMIFS('Key inputs_Refineries'!O$85:O$164,'Key inputs_Refineries'!$C$85:$C$164,$C739:$C748,'Key inputs_Refineries'!$B$85:$B$164,"Boiler"))),0)</f>
        <v>0</v>
      </c>
      <c r="V746" s="173" cm="1">
        <f t="array" ref="V746">IFERROR(IF(AND(SUMIFS('Key inputs_Refineries'!P$85:P$164,'Key inputs_Refineries'!$C$85:$C$164,$C746,'Key inputs_Refineries'!$B$85:$B$164,"Boiler")/SUM(SUMIFS('Key inputs_Refineries'!P$85:P$164,'Key inputs_Refineries'!$C$85:$C$164,$C739:$C748,'Key inputs_Refineries'!$B$85:$B$164,"Boiler"))&gt;0,SUMIFS('Key inputs_Refineries'!P$85:P$164,'Key inputs_Refineries'!$C$85:$C$164,$C746,'Key inputs_Refineries'!$B$85:$B$164,"Boiler")/SUM(SUMIFS('Key inputs_Refineries'!P$85:P$164,'Key inputs_Refineries'!$C$85:$C$164,$C739:$C748,'Key inputs_Refineries'!$B$85:$B$164,"Boiler"))&lt;0.001),0.001,SUMIFS('Key inputs_Refineries'!P$85:P$164,'Key inputs_Refineries'!$C$85:$C$164,$C746,'Key inputs_Refineries'!$B$85:$B$164,"Boiler")/SUM(SUMIFS('Key inputs_Refineries'!P$85:P$164,'Key inputs_Refineries'!$C$85:$C$164,$C739:$C748,'Key inputs_Refineries'!$B$85:$B$164,"Boiler"))),0)</f>
        <v>8.1634477464035786E-3</v>
      </c>
      <c r="W746" s="173" cm="1">
        <f t="array" ref="W746">IFERROR(IF(AND(SUMIFS('Key inputs_Refineries'!Q$85:Q$164,'Key inputs_Refineries'!$C$85:$C$164,$C746,'Key inputs_Refineries'!$B$85:$B$164,"Boiler")/SUM(SUMIFS('Key inputs_Refineries'!Q$85:Q$164,'Key inputs_Refineries'!$C$85:$C$164,$C739:$C748,'Key inputs_Refineries'!$B$85:$B$164,"Boiler"))&gt;0,SUMIFS('Key inputs_Refineries'!Q$85:Q$164,'Key inputs_Refineries'!$C$85:$C$164,$C746,'Key inputs_Refineries'!$B$85:$B$164,"Boiler")/SUM(SUMIFS('Key inputs_Refineries'!Q$85:Q$164,'Key inputs_Refineries'!$C$85:$C$164,$C739:$C748,'Key inputs_Refineries'!$B$85:$B$164,"Boiler"))&lt;0.001),0.001,SUMIFS('Key inputs_Refineries'!Q$85:Q$164,'Key inputs_Refineries'!$C$85:$C$164,$C746,'Key inputs_Refineries'!$B$85:$B$164,"Boiler")/SUM(SUMIFS('Key inputs_Refineries'!Q$85:Q$164,'Key inputs_Refineries'!$C$85:$C$164,$C739:$C748,'Key inputs_Refineries'!$B$85:$B$164,"Boiler"))),0)</f>
        <v>0</v>
      </c>
      <c r="X746" s="173" cm="1">
        <f t="array" ref="X746">IFERROR(IF(AND(SUMIFS('Key inputs_Refineries'!R$85:R$164,'Key inputs_Refineries'!$C$85:$C$164,$C746,'Key inputs_Refineries'!$B$85:$B$164,"Boiler")/SUM(SUMIFS('Key inputs_Refineries'!R$85:R$164,'Key inputs_Refineries'!$C$85:$C$164,$C739:$C748,'Key inputs_Refineries'!$B$85:$B$164,"Boiler"))&gt;0,SUMIFS('Key inputs_Refineries'!R$85:R$164,'Key inputs_Refineries'!$C$85:$C$164,$C746,'Key inputs_Refineries'!$B$85:$B$164,"Boiler")/SUM(SUMIFS('Key inputs_Refineries'!R$85:R$164,'Key inputs_Refineries'!$C$85:$C$164,$C739:$C748,'Key inputs_Refineries'!$B$85:$B$164,"Boiler"))&lt;0.001),0.001,SUMIFS('Key inputs_Refineries'!R$85:R$164,'Key inputs_Refineries'!$C$85:$C$164,$C746,'Key inputs_Refineries'!$B$85:$B$164,"Boiler")/SUM(SUMIFS('Key inputs_Refineries'!R$85:R$164,'Key inputs_Refineries'!$C$85:$C$164,$C739:$C748,'Key inputs_Refineries'!$B$85:$B$164,"Boiler"))),0)</f>
        <v>0</v>
      </c>
      <c r="Y746" s="173" cm="1">
        <f t="array" ref="Y746">IFERROR(IF(AND(SUMIFS('Key inputs_Refineries'!S$85:S$164,'Key inputs_Refineries'!$C$85:$C$164,$C746,'Key inputs_Refineries'!$B$85:$B$164,"Boiler")/SUM(SUMIFS('Key inputs_Refineries'!S$85:S$164,'Key inputs_Refineries'!$C$85:$C$164,$C739:$C748,'Key inputs_Refineries'!$B$85:$B$164,"Boiler"))&gt;0,SUMIFS('Key inputs_Refineries'!S$85:S$164,'Key inputs_Refineries'!$C$85:$C$164,$C746,'Key inputs_Refineries'!$B$85:$B$164,"Boiler")/SUM(SUMIFS('Key inputs_Refineries'!S$85:S$164,'Key inputs_Refineries'!$C$85:$C$164,$C739:$C748,'Key inputs_Refineries'!$B$85:$B$164,"Boiler"))&lt;0.001),0.001,SUMIFS('Key inputs_Refineries'!S$85:S$164,'Key inputs_Refineries'!$C$85:$C$164,$C746,'Key inputs_Refineries'!$B$85:$B$164,"Boiler")/SUM(SUMIFS('Key inputs_Refineries'!S$85:S$164,'Key inputs_Refineries'!$C$85:$C$164,$C739:$C748,'Key inputs_Refineries'!$B$85:$B$164,"Boiler"))),0)</f>
        <v>0</v>
      </c>
      <c r="Z746" s="173" cm="1">
        <f t="array" ref="Z746">IFERROR(IF(AND(SUMIFS('Key inputs_Refineries'!T$85:T$164,'Key inputs_Refineries'!$C$85:$C$164,$C746,'Key inputs_Refineries'!$B$85:$B$164,"Boiler")/SUM(SUMIFS('Key inputs_Refineries'!T$85:T$164,'Key inputs_Refineries'!$C$85:$C$164,$C739:$C748,'Key inputs_Refineries'!$B$85:$B$164,"Boiler"))&gt;0,SUMIFS('Key inputs_Refineries'!T$85:T$164,'Key inputs_Refineries'!$C$85:$C$164,$C746,'Key inputs_Refineries'!$B$85:$B$164,"Boiler")/SUM(SUMIFS('Key inputs_Refineries'!T$85:T$164,'Key inputs_Refineries'!$C$85:$C$164,$C739:$C748,'Key inputs_Refineries'!$B$85:$B$164,"Boiler"))&lt;0.001),0.001,SUMIFS('Key inputs_Refineries'!T$85:T$164,'Key inputs_Refineries'!$C$85:$C$164,$C746,'Key inputs_Refineries'!$B$85:$B$164,"Boiler")/SUM(SUMIFS('Key inputs_Refineries'!T$85:T$164,'Key inputs_Refineries'!$C$85:$C$164,$C739:$C748,'Key inputs_Refineries'!$B$85:$B$164,"Boiler"))),0)</f>
        <v>0</v>
      </c>
      <c r="AA746" s="173" cm="1">
        <f t="array" ref="AA746">IFERROR(IF(AND(SUMIFS('Key inputs_Refineries'!U$85:U$164,'Key inputs_Refineries'!$C$85:$C$164,$C746,'Key inputs_Refineries'!$B$85:$B$164,"Boiler")/SUM(SUMIFS('Key inputs_Refineries'!U$85:U$164,'Key inputs_Refineries'!$C$85:$C$164,$C739:$C748,'Key inputs_Refineries'!$B$85:$B$164,"Boiler"))&gt;0,SUMIFS('Key inputs_Refineries'!U$85:U$164,'Key inputs_Refineries'!$C$85:$C$164,$C746,'Key inputs_Refineries'!$B$85:$B$164,"Boiler")/SUM(SUMIFS('Key inputs_Refineries'!U$85:U$164,'Key inputs_Refineries'!$C$85:$C$164,$C739:$C748,'Key inputs_Refineries'!$B$85:$B$164,"Boiler"))&lt;0.001),0.001,SUMIFS('Key inputs_Refineries'!U$85:U$164,'Key inputs_Refineries'!$C$85:$C$164,$C746,'Key inputs_Refineries'!$B$85:$B$164,"Boiler")/SUM(SUMIFS('Key inputs_Refineries'!U$85:U$164,'Key inputs_Refineries'!$C$85:$C$164,$C739:$C748,'Key inputs_Refineries'!$B$85:$B$164,"Boiler"))),0)</f>
        <v>0</v>
      </c>
      <c r="AB746" s="173" cm="1">
        <f t="array" ref="AB746">IFERROR(IF(AND(SUMIFS('Key inputs_Refineries'!V$85:V$164,'Key inputs_Refineries'!$C$85:$C$164,$C746,'Key inputs_Refineries'!$B$85:$B$164,"Boiler")/SUM(SUMIFS('Key inputs_Refineries'!V$85:V$164,'Key inputs_Refineries'!$C$85:$C$164,$C739:$C748,'Key inputs_Refineries'!$B$85:$B$164,"Boiler"))&gt;0,SUMIFS('Key inputs_Refineries'!V$85:V$164,'Key inputs_Refineries'!$C$85:$C$164,$C746,'Key inputs_Refineries'!$B$85:$B$164,"Boiler")/SUM(SUMIFS('Key inputs_Refineries'!V$85:V$164,'Key inputs_Refineries'!$C$85:$C$164,$C739:$C748,'Key inputs_Refineries'!$B$85:$B$164,"Boiler"))&lt;0.001),0.001,SUMIFS('Key inputs_Refineries'!V$85:V$164,'Key inputs_Refineries'!$C$85:$C$164,$C746,'Key inputs_Refineries'!$B$85:$B$164,"Boiler")/SUM(SUMIFS('Key inputs_Refineries'!V$85:V$164,'Key inputs_Refineries'!$C$85:$C$164,$C739:$C748,'Key inputs_Refineries'!$B$85:$B$164,"Boiler"))),0)</f>
        <v>0</v>
      </c>
      <c r="AC746" s="173" cm="1">
        <f t="array" ref="AC746">IFERROR(IF(AND(SUMIFS('Key inputs_Refineries'!W$85:W$164,'Key inputs_Refineries'!$C$85:$C$164,$C746,'Key inputs_Refineries'!$B$85:$B$164,"Boiler")/SUM(SUMIFS('Key inputs_Refineries'!W$85:W$164,'Key inputs_Refineries'!$C$85:$C$164,$C739:$C748,'Key inputs_Refineries'!$B$85:$B$164,"Boiler"))&gt;0,SUMIFS('Key inputs_Refineries'!W$85:W$164,'Key inputs_Refineries'!$C$85:$C$164,$C746,'Key inputs_Refineries'!$B$85:$B$164,"Boiler")/SUM(SUMIFS('Key inputs_Refineries'!W$85:W$164,'Key inputs_Refineries'!$C$85:$C$164,$C739:$C748,'Key inputs_Refineries'!$B$85:$B$164,"Boiler"))&lt;0.001),0.001,SUMIFS('Key inputs_Refineries'!W$85:W$164,'Key inputs_Refineries'!$C$85:$C$164,$C746,'Key inputs_Refineries'!$B$85:$B$164,"Boiler")/SUM(SUMIFS('Key inputs_Refineries'!W$85:W$164,'Key inputs_Refineries'!$C$85:$C$164,$C739:$C748,'Key inputs_Refineries'!$B$85:$B$164,"Boiler"))),0)</f>
        <v>0</v>
      </c>
      <c r="AD746" s="173" cm="1">
        <f t="array" ref="AD746">IFERROR(IF(AND(SUMIFS('Key inputs_Refineries'!X$85:X$164,'Key inputs_Refineries'!$C$85:$C$164,$C746,'Key inputs_Refineries'!$B$85:$B$164,"Boiler")/SUM(SUMIFS('Key inputs_Refineries'!X$85:X$164,'Key inputs_Refineries'!$C$85:$C$164,$C739:$C748,'Key inputs_Refineries'!$B$85:$B$164,"Boiler"))&gt;0,SUMIFS('Key inputs_Refineries'!X$85:X$164,'Key inputs_Refineries'!$C$85:$C$164,$C746,'Key inputs_Refineries'!$B$85:$B$164,"Boiler")/SUM(SUMIFS('Key inputs_Refineries'!X$85:X$164,'Key inputs_Refineries'!$C$85:$C$164,$C739:$C748,'Key inputs_Refineries'!$B$85:$B$164,"Boiler"))&lt;0.001),0.001,SUMIFS('Key inputs_Refineries'!X$85:X$164,'Key inputs_Refineries'!$C$85:$C$164,$C746,'Key inputs_Refineries'!$B$85:$B$164,"Boiler")/SUM(SUMIFS('Key inputs_Refineries'!X$85:X$164,'Key inputs_Refineries'!$C$85:$C$164,$C739:$C748,'Key inputs_Refineries'!$B$85:$B$164,"Boiler"))),0)</f>
        <v>4.2432215423606054E-3</v>
      </c>
      <c r="AE746" s="173" cm="1">
        <f t="array" ref="AE746">IFERROR(IF(AND(SUMIFS('Key inputs_Refineries'!Y$85:Y$164,'Key inputs_Refineries'!$C$85:$C$164,$C746,'Key inputs_Refineries'!$B$85:$B$164,"Boiler")/SUM(SUMIFS('Key inputs_Refineries'!Y$85:Y$164,'Key inputs_Refineries'!$C$85:$C$164,$C739:$C748,'Key inputs_Refineries'!$B$85:$B$164,"Boiler"))&gt;0,SUMIFS('Key inputs_Refineries'!Y$85:Y$164,'Key inputs_Refineries'!$C$85:$C$164,$C746,'Key inputs_Refineries'!$B$85:$B$164,"Boiler")/SUM(SUMIFS('Key inputs_Refineries'!Y$85:Y$164,'Key inputs_Refineries'!$C$85:$C$164,$C739:$C748,'Key inputs_Refineries'!$B$85:$B$164,"Boiler"))&lt;0.001),0.001,SUMIFS('Key inputs_Refineries'!Y$85:Y$164,'Key inputs_Refineries'!$C$85:$C$164,$C746,'Key inputs_Refineries'!$B$85:$B$164,"Boiler")/SUM(SUMIFS('Key inputs_Refineries'!Y$85:Y$164,'Key inputs_Refineries'!$C$85:$C$164,$C739:$C748,'Key inputs_Refineries'!$B$85:$B$164,"Boiler"))),0)</f>
        <v>1E-3</v>
      </c>
      <c r="AF746" s="173" cm="1">
        <f t="array" ref="AF746">IFERROR(IF(AND(SUMIFS('Key inputs_Refineries'!Z$85:Z$164,'Key inputs_Refineries'!$C$85:$C$164,$C746,'Key inputs_Refineries'!$B$85:$B$164,"Boiler")/SUM(SUMIFS('Key inputs_Refineries'!Z$85:Z$164,'Key inputs_Refineries'!$C$85:$C$164,$C739:$C748,'Key inputs_Refineries'!$B$85:$B$164,"Boiler"))&gt;0,SUMIFS('Key inputs_Refineries'!Z$85:Z$164,'Key inputs_Refineries'!$C$85:$C$164,$C746,'Key inputs_Refineries'!$B$85:$B$164,"Boiler")/SUM(SUMIFS('Key inputs_Refineries'!Z$85:Z$164,'Key inputs_Refineries'!$C$85:$C$164,$C739:$C748,'Key inputs_Refineries'!$B$85:$B$164,"Boiler"))&lt;0.001),0.001,SUMIFS('Key inputs_Refineries'!Z$85:Z$164,'Key inputs_Refineries'!$C$85:$C$164,$C746,'Key inputs_Refineries'!$B$85:$B$164,"Boiler")/SUM(SUMIFS('Key inputs_Refineries'!Z$85:Z$164,'Key inputs_Refineries'!$C$85:$C$164,$C739:$C748,'Key inputs_Refineries'!$B$85:$B$164,"Boiler"))),0)</f>
        <v>0</v>
      </c>
      <c r="AG746" s="173" cm="1">
        <f t="array" ref="AG746">IFERROR(IF(AND(SUMIFS('Key inputs_Refineries'!AA$85:AA$164,'Key inputs_Refineries'!$C$85:$C$164,$C746,'Key inputs_Refineries'!$B$85:$B$164,"Boiler")/SUM(SUMIFS('Key inputs_Refineries'!AA$85:AA$164,'Key inputs_Refineries'!$C$85:$C$164,$C739:$C748,'Key inputs_Refineries'!$B$85:$B$164,"Boiler"))&gt;0,SUMIFS('Key inputs_Refineries'!AA$85:AA$164,'Key inputs_Refineries'!$C$85:$C$164,$C746,'Key inputs_Refineries'!$B$85:$B$164,"Boiler")/SUM(SUMIFS('Key inputs_Refineries'!AA$85:AA$164,'Key inputs_Refineries'!$C$85:$C$164,$C739:$C748,'Key inputs_Refineries'!$B$85:$B$164,"Boiler"))&lt;0.001),0.001,SUMIFS('Key inputs_Refineries'!AA$85:AA$164,'Key inputs_Refineries'!$C$85:$C$164,$C746,'Key inputs_Refineries'!$B$85:$B$164,"Boiler")/SUM(SUMIFS('Key inputs_Refineries'!AA$85:AA$164,'Key inputs_Refineries'!$C$85:$C$164,$C739:$C748,'Key inputs_Refineries'!$B$85:$B$164,"Boiler"))),0)</f>
        <v>1.2999285657333546E-2</v>
      </c>
      <c r="AH746" s="173" cm="1">
        <f t="array" ref="AH746">IFERROR(IF(AND(SUMIFS('Key inputs_Refineries'!AB$85:AB$164,'Key inputs_Refineries'!$C$85:$C$164,$C746,'Key inputs_Refineries'!$B$85:$B$164,"Boiler")/SUM(SUMIFS('Key inputs_Refineries'!AB$85:AB$164,'Key inputs_Refineries'!$C$85:$C$164,$C739:$C748,'Key inputs_Refineries'!$B$85:$B$164,"Boiler"))&gt;0,SUMIFS('Key inputs_Refineries'!AB$85:AB$164,'Key inputs_Refineries'!$C$85:$C$164,$C746,'Key inputs_Refineries'!$B$85:$B$164,"Boiler")/SUM(SUMIFS('Key inputs_Refineries'!AB$85:AB$164,'Key inputs_Refineries'!$C$85:$C$164,$C739:$C748,'Key inputs_Refineries'!$B$85:$B$164,"Boiler"))&lt;0.001),0.001,SUMIFS('Key inputs_Refineries'!AB$85:AB$164,'Key inputs_Refineries'!$C$85:$C$164,$C746,'Key inputs_Refineries'!$B$85:$B$164,"Boiler")/SUM(SUMIFS('Key inputs_Refineries'!AB$85:AB$164,'Key inputs_Refineries'!$C$85:$C$164,$C739:$C748,'Key inputs_Refineries'!$B$85:$B$164,"Boiler"))),0)</f>
        <v>0</v>
      </c>
      <c r="AI746" s="173" cm="1">
        <f t="array" ref="AI746">IFERROR(IF(AND(SUMIFS('Key inputs_Refineries'!AC$85:AC$164,'Key inputs_Refineries'!$C$85:$C$164,$C746,'Key inputs_Refineries'!$B$85:$B$164,"Boiler")/SUM(SUMIFS('Key inputs_Refineries'!AC$85:AC$164,'Key inputs_Refineries'!$C$85:$C$164,$C739:$C748,'Key inputs_Refineries'!$B$85:$B$164,"Boiler"))&gt;0,SUMIFS('Key inputs_Refineries'!AC$85:AC$164,'Key inputs_Refineries'!$C$85:$C$164,$C746,'Key inputs_Refineries'!$B$85:$B$164,"Boiler")/SUM(SUMIFS('Key inputs_Refineries'!AC$85:AC$164,'Key inputs_Refineries'!$C$85:$C$164,$C739:$C748,'Key inputs_Refineries'!$B$85:$B$164,"Boiler"))&lt;0.001),0.001,SUMIFS('Key inputs_Refineries'!AC$85:AC$164,'Key inputs_Refineries'!$C$85:$C$164,$C746,'Key inputs_Refineries'!$B$85:$B$164,"Boiler")/SUM(SUMIFS('Key inputs_Refineries'!AC$85:AC$164,'Key inputs_Refineries'!$C$85:$C$164,$C739:$C748,'Key inputs_Refineries'!$B$85:$B$164,"Boiler"))),0)</f>
        <v>0</v>
      </c>
      <c r="AJ746" s="173" cm="1">
        <f t="array" ref="AJ746">IFERROR(IF(AND(SUMIFS('Key inputs_Refineries'!AD$85:AD$164,'Key inputs_Refineries'!$C$85:$C$164,$C746,'Key inputs_Refineries'!$B$85:$B$164,"Boiler")/SUM(SUMIFS('Key inputs_Refineries'!AD$85:AD$164,'Key inputs_Refineries'!$C$85:$C$164,$C739:$C748,'Key inputs_Refineries'!$B$85:$B$164,"Boiler"))&gt;0,SUMIFS('Key inputs_Refineries'!AD$85:AD$164,'Key inputs_Refineries'!$C$85:$C$164,$C746,'Key inputs_Refineries'!$B$85:$B$164,"Boiler")/SUM(SUMIFS('Key inputs_Refineries'!AD$85:AD$164,'Key inputs_Refineries'!$C$85:$C$164,$C739:$C748,'Key inputs_Refineries'!$B$85:$B$164,"Boiler"))&lt;0.001),0.001,SUMIFS('Key inputs_Refineries'!AD$85:AD$164,'Key inputs_Refineries'!$C$85:$C$164,$C746,'Key inputs_Refineries'!$B$85:$B$164,"Boiler")/SUM(SUMIFS('Key inputs_Refineries'!AD$85:AD$164,'Key inputs_Refineries'!$C$85:$C$164,$C739:$C748,'Key inputs_Refineries'!$B$85:$B$164,"Boiler"))),0)</f>
        <v>0</v>
      </c>
      <c r="AK746" s="173" cm="1">
        <f t="array" ref="AK746">IFERROR(IF(AND(SUMIFS('Key inputs_Refineries'!AE$85:AE$164,'Key inputs_Refineries'!$C$85:$C$164,$C746,'Key inputs_Refineries'!$B$85:$B$164,"Boiler")/SUM(SUMIFS('Key inputs_Refineries'!AE$85:AE$164,'Key inputs_Refineries'!$C$85:$C$164,$C739:$C748,'Key inputs_Refineries'!$B$85:$B$164,"Boiler"))&gt;0,SUMIFS('Key inputs_Refineries'!AE$85:AE$164,'Key inputs_Refineries'!$C$85:$C$164,$C746,'Key inputs_Refineries'!$B$85:$B$164,"Boiler")/SUM(SUMIFS('Key inputs_Refineries'!AE$85:AE$164,'Key inputs_Refineries'!$C$85:$C$164,$C739:$C748,'Key inputs_Refineries'!$B$85:$B$164,"Boiler"))&lt;0.001),0.001,SUMIFS('Key inputs_Refineries'!AE$85:AE$164,'Key inputs_Refineries'!$C$85:$C$164,$C746,'Key inputs_Refineries'!$B$85:$B$164,"Boiler")/SUM(SUMIFS('Key inputs_Refineries'!AE$85:AE$164,'Key inputs_Refineries'!$C$85:$C$164,$C739:$C748,'Key inputs_Refineries'!$B$85:$B$164,"Boiler"))),0)</f>
        <v>0</v>
      </c>
      <c r="AL746" s="173" cm="1">
        <f t="array" ref="AL746">IFERROR(IF(AND(SUMIFS('Key inputs_Refineries'!AF$85:AF$164,'Key inputs_Refineries'!$C$85:$C$164,$C746,'Key inputs_Refineries'!$B$85:$B$164,"Boiler")/SUM(SUMIFS('Key inputs_Refineries'!AF$85:AF$164,'Key inputs_Refineries'!$C$85:$C$164,$C739:$C748,'Key inputs_Refineries'!$B$85:$B$164,"Boiler"))&gt;0,SUMIFS('Key inputs_Refineries'!AF$85:AF$164,'Key inputs_Refineries'!$C$85:$C$164,$C746,'Key inputs_Refineries'!$B$85:$B$164,"Boiler")/SUM(SUMIFS('Key inputs_Refineries'!AF$85:AF$164,'Key inputs_Refineries'!$C$85:$C$164,$C739:$C748,'Key inputs_Refineries'!$B$85:$B$164,"Boiler"))&lt;0.001),0.001,SUMIFS('Key inputs_Refineries'!AF$85:AF$164,'Key inputs_Refineries'!$C$85:$C$164,$C746,'Key inputs_Refineries'!$B$85:$B$164,"Boiler")/SUM(SUMIFS('Key inputs_Refineries'!AF$85:AF$164,'Key inputs_Refineries'!$C$85:$C$164,$C739:$C748,'Key inputs_Refineries'!$B$85:$B$164,"Boiler"))),0)</f>
        <v>1E-3</v>
      </c>
    </row>
    <row r="747" spans="3:47">
      <c r="C747" t="str">
        <f>Commodities!$C$99</f>
        <v>UPSOIL</v>
      </c>
      <c r="G747" s="4" t="s">
        <v>702</v>
      </c>
      <c r="H747" t="s">
        <v>661</v>
      </c>
      <c r="I747">
        <v>2019</v>
      </c>
      <c r="J747" t="s">
        <v>650</v>
      </c>
      <c r="K747" s="173" cm="1">
        <f t="array" ref="K747">IFERROR(IF(AND(SUMIFS('Key inputs_Refineries'!E$85:E$164,'Key inputs_Refineries'!$C$85:$C$164,$C747,'Key inputs_Refineries'!$B$85:$B$164,"Boiler")/SUM(SUMIFS('Key inputs_Refineries'!E$85:E$164,'Key inputs_Refineries'!$C$85:$C$164,$C739:$C748,'Key inputs_Refineries'!$B$85:$B$164,"Boiler"))&gt;0,SUMIFS('Key inputs_Refineries'!E$85:E$164,'Key inputs_Refineries'!$C$85:$C$164,$C747,'Key inputs_Refineries'!$B$85:$B$164,"Boiler")/SUM(SUMIFS('Key inputs_Refineries'!E$85:E$164,'Key inputs_Refineries'!$C$85:$C$164,$C739:$C748,'Key inputs_Refineries'!$B$85:$B$164,"Boiler"))&lt;0.001),0.001,SUMIFS('Key inputs_Refineries'!E$85:E$164,'Key inputs_Refineries'!$C$85:$C$164,$C747,'Key inputs_Refineries'!$B$85:$B$164,"Boiler")/SUM(SUMIFS('Key inputs_Refineries'!E$85:E$164,'Key inputs_Refineries'!$C$85:$C$164,$C739:$C748,'Key inputs_Refineries'!$B$85:$B$164,"Boiler"))),0)</f>
        <v>0</v>
      </c>
      <c r="L747" s="173" cm="1">
        <f t="array" ref="L747">IFERROR(IF(AND(SUMIFS('Key inputs_Refineries'!F$85:F$164,'Key inputs_Refineries'!$C$85:$C$164,$C747,'Key inputs_Refineries'!$B$85:$B$164,"Boiler")/SUM(SUMIFS('Key inputs_Refineries'!F$85:F$164,'Key inputs_Refineries'!$C$85:$C$164,$C739:$C748,'Key inputs_Refineries'!$B$85:$B$164,"Boiler"))&gt;0,SUMIFS('Key inputs_Refineries'!F$85:F$164,'Key inputs_Refineries'!$C$85:$C$164,$C747,'Key inputs_Refineries'!$B$85:$B$164,"Boiler")/SUM(SUMIFS('Key inputs_Refineries'!F$85:F$164,'Key inputs_Refineries'!$C$85:$C$164,$C739:$C748,'Key inputs_Refineries'!$B$85:$B$164,"Boiler"))&lt;0.001),0.001,SUMIFS('Key inputs_Refineries'!F$85:F$164,'Key inputs_Refineries'!$C$85:$C$164,$C747,'Key inputs_Refineries'!$B$85:$B$164,"Boiler")/SUM(SUMIFS('Key inputs_Refineries'!F$85:F$164,'Key inputs_Refineries'!$C$85:$C$164,$C739:$C748,'Key inputs_Refineries'!$B$85:$B$164,"Boiler"))),0)</f>
        <v>0.62534828705571477</v>
      </c>
      <c r="M747" s="173" cm="1">
        <f t="array" ref="M747">IFERROR(IF(AND(SUMIFS('Key inputs_Refineries'!G$85:G$164,'Key inputs_Refineries'!$C$85:$C$164,$C747,'Key inputs_Refineries'!$B$85:$B$164,"Boiler")/SUM(SUMIFS('Key inputs_Refineries'!G$85:G$164,'Key inputs_Refineries'!$C$85:$C$164,$C739:$C748,'Key inputs_Refineries'!$B$85:$B$164,"Boiler"))&gt;0,SUMIFS('Key inputs_Refineries'!G$85:G$164,'Key inputs_Refineries'!$C$85:$C$164,$C747,'Key inputs_Refineries'!$B$85:$B$164,"Boiler")/SUM(SUMIFS('Key inputs_Refineries'!G$85:G$164,'Key inputs_Refineries'!$C$85:$C$164,$C739:$C748,'Key inputs_Refineries'!$B$85:$B$164,"Boiler"))&lt;0.001),0.001,SUMIFS('Key inputs_Refineries'!G$85:G$164,'Key inputs_Refineries'!$C$85:$C$164,$C747,'Key inputs_Refineries'!$B$85:$B$164,"Boiler")/SUM(SUMIFS('Key inputs_Refineries'!G$85:G$164,'Key inputs_Refineries'!$C$85:$C$164,$C739:$C748,'Key inputs_Refineries'!$B$85:$B$164,"Boiler"))),0)</f>
        <v>0.31134470367789346</v>
      </c>
      <c r="N747" s="173" cm="1">
        <f t="array" ref="N747">IFERROR(IF(AND(SUMIFS('Key inputs_Refineries'!H$85:H$164,'Key inputs_Refineries'!$C$85:$C$164,$C747,'Key inputs_Refineries'!$B$85:$B$164,"Boiler")/SUM(SUMIFS('Key inputs_Refineries'!H$85:H$164,'Key inputs_Refineries'!$C$85:$C$164,$C739:$C748,'Key inputs_Refineries'!$B$85:$B$164,"Boiler"))&gt;0,SUMIFS('Key inputs_Refineries'!H$85:H$164,'Key inputs_Refineries'!$C$85:$C$164,$C747,'Key inputs_Refineries'!$B$85:$B$164,"Boiler")/SUM(SUMIFS('Key inputs_Refineries'!H$85:H$164,'Key inputs_Refineries'!$C$85:$C$164,$C739:$C748,'Key inputs_Refineries'!$B$85:$B$164,"Boiler"))&lt;0.001),0.001,SUMIFS('Key inputs_Refineries'!H$85:H$164,'Key inputs_Refineries'!$C$85:$C$164,$C747,'Key inputs_Refineries'!$B$85:$B$164,"Boiler")/SUM(SUMIFS('Key inputs_Refineries'!H$85:H$164,'Key inputs_Refineries'!$C$85:$C$164,$C739:$C748,'Key inputs_Refineries'!$B$85:$B$164,"Boiler"))),0)</f>
        <v>0</v>
      </c>
      <c r="O747" s="173" cm="1">
        <f t="array" ref="O747">IFERROR(IF(AND(SUMIFS('Key inputs_Refineries'!I$85:I$164,'Key inputs_Refineries'!$C$85:$C$164,$C747,'Key inputs_Refineries'!$B$85:$B$164,"Boiler")/SUM(SUMIFS('Key inputs_Refineries'!I$85:I$164,'Key inputs_Refineries'!$C$85:$C$164,$C739:$C748,'Key inputs_Refineries'!$B$85:$B$164,"Boiler"))&gt;0,SUMIFS('Key inputs_Refineries'!I$85:I$164,'Key inputs_Refineries'!$C$85:$C$164,$C747,'Key inputs_Refineries'!$B$85:$B$164,"Boiler")/SUM(SUMIFS('Key inputs_Refineries'!I$85:I$164,'Key inputs_Refineries'!$C$85:$C$164,$C739:$C748,'Key inputs_Refineries'!$B$85:$B$164,"Boiler"))&lt;0.001),0.001,SUMIFS('Key inputs_Refineries'!I$85:I$164,'Key inputs_Refineries'!$C$85:$C$164,$C747,'Key inputs_Refineries'!$B$85:$B$164,"Boiler")/SUM(SUMIFS('Key inputs_Refineries'!I$85:I$164,'Key inputs_Refineries'!$C$85:$C$164,$C739:$C748,'Key inputs_Refineries'!$B$85:$B$164,"Boiler"))),0)</f>
        <v>0</v>
      </c>
      <c r="P747" s="173" cm="1">
        <f t="array" ref="P747">IFERROR(IF(AND(SUMIFS('Key inputs_Refineries'!J$85:J$164,'Key inputs_Refineries'!$C$85:$C$164,$C747,'Key inputs_Refineries'!$B$85:$B$164,"Boiler")/SUM(SUMIFS('Key inputs_Refineries'!J$85:J$164,'Key inputs_Refineries'!$C$85:$C$164,$C739:$C748,'Key inputs_Refineries'!$B$85:$B$164,"Boiler"))&gt;0,SUMIFS('Key inputs_Refineries'!J$85:J$164,'Key inputs_Refineries'!$C$85:$C$164,$C747,'Key inputs_Refineries'!$B$85:$B$164,"Boiler")/SUM(SUMIFS('Key inputs_Refineries'!J$85:J$164,'Key inputs_Refineries'!$C$85:$C$164,$C739:$C748,'Key inputs_Refineries'!$B$85:$B$164,"Boiler"))&lt;0.001),0.001,SUMIFS('Key inputs_Refineries'!J$85:J$164,'Key inputs_Refineries'!$C$85:$C$164,$C747,'Key inputs_Refineries'!$B$85:$B$164,"Boiler")/SUM(SUMIFS('Key inputs_Refineries'!J$85:J$164,'Key inputs_Refineries'!$C$85:$C$164,$C739:$C748,'Key inputs_Refineries'!$B$85:$B$164,"Boiler"))),0)</f>
        <v>6.7577884287611982E-3</v>
      </c>
      <c r="Q747" s="173" cm="1">
        <f t="array" ref="Q747">IFERROR(IF(AND(SUMIFS('Key inputs_Refineries'!K$85:K$164,'Key inputs_Refineries'!$C$85:$C$164,$C747,'Key inputs_Refineries'!$B$85:$B$164,"Boiler")/SUM(SUMIFS('Key inputs_Refineries'!K$85:K$164,'Key inputs_Refineries'!$C$85:$C$164,$C739:$C748,'Key inputs_Refineries'!$B$85:$B$164,"Boiler"))&gt;0,SUMIFS('Key inputs_Refineries'!K$85:K$164,'Key inputs_Refineries'!$C$85:$C$164,$C747,'Key inputs_Refineries'!$B$85:$B$164,"Boiler")/SUM(SUMIFS('Key inputs_Refineries'!K$85:K$164,'Key inputs_Refineries'!$C$85:$C$164,$C739:$C748,'Key inputs_Refineries'!$B$85:$B$164,"Boiler"))&lt;0.001),0.001,SUMIFS('Key inputs_Refineries'!K$85:K$164,'Key inputs_Refineries'!$C$85:$C$164,$C747,'Key inputs_Refineries'!$B$85:$B$164,"Boiler")/SUM(SUMIFS('Key inputs_Refineries'!K$85:K$164,'Key inputs_Refineries'!$C$85:$C$164,$C739:$C748,'Key inputs_Refineries'!$B$85:$B$164,"Boiler"))),0)</f>
        <v>6.2820913515202928E-2</v>
      </c>
      <c r="R747" s="173" cm="1">
        <f t="array" ref="R747">IFERROR(IF(AND(SUMIFS('Key inputs_Refineries'!L$85:L$164,'Key inputs_Refineries'!$C$85:$C$164,$C747,'Key inputs_Refineries'!$B$85:$B$164,"Boiler")/SUM(SUMIFS('Key inputs_Refineries'!L$85:L$164,'Key inputs_Refineries'!$C$85:$C$164,$C739:$C748,'Key inputs_Refineries'!$B$85:$B$164,"Boiler"))&gt;0,SUMIFS('Key inputs_Refineries'!L$85:L$164,'Key inputs_Refineries'!$C$85:$C$164,$C747,'Key inputs_Refineries'!$B$85:$B$164,"Boiler")/SUM(SUMIFS('Key inputs_Refineries'!L$85:L$164,'Key inputs_Refineries'!$C$85:$C$164,$C739:$C748,'Key inputs_Refineries'!$B$85:$B$164,"Boiler"))&lt;0.001),0.001,SUMIFS('Key inputs_Refineries'!L$85:L$164,'Key inputs_Refineries'!$C$85:$C$164,$C747,'Key inputs_Refineries'!$B$85:$B$164,"Boiler")/SUM(SUMIFS('Key inputs_Refineries'!L$85:L$164,'Key inputs_Refineries'!$C$85:$C$164,$C739:$C748,'Key inputs_Refineries'!$B$85:$B$164,"Boiler"))),0)</f>
        <v>0</v>
      </c>
      <c r="S747" s="173" cm="1">
        <f t="array" ref="S747">IFERROR(IF(AND(SUMIFS('Key inputs_Refineries'!M$85:M$164,'Key inputs_Refineries'!$C$85:$C$164,$C747,'Key inputs_Refineries'!$B$85:$B$164,"Boiler")/SUM(SUMIFS('Key inputs_Refineries'!M$85:M$164,'Key inputs_Refineries'!$C$85:$C$164,$C739:$C748,'Key inputs_Refineries'!$B$85:$B$164,"Boiler"))&gt;0,SUMIFS('Key inputs_Refineries'!M$85:M$164,'Key inputs_Refineries'!$C$85:$C$164,$C747,'Key inputs_Refineries'!$B$85:$B$164,"Boiler")/SUM(SUMIFS('Key inputs_Refineries'!M$85:M$164,'Key inputs_Refineries'!$C$85:$C$164,$C739:$C748,'Key inputs_Refineries'!$B$85:$B$164,"Boiler"))&lt;0.001),0.001,SUMIFS('Key inputs_Refineries'!M$85:M$164,'Key inputs_Refineries'!$C$85:$C$164,$C747,'Key inputs_Refineries'!$B$85:$B$164,"Boiler")/SUM(SUMIFS('Key inputs_Refineries'!M$85:M$164,'Key inputs_Refineries'!$C$85:$C$164,$C739:$C748,'Key inputs_Refineries'!$B$85:$B$164,"Boiler"))),0)</f>
        <v>0</v>
      </c>
      <c r="T747" s="173" cm="1">
        <f t="array" ref="T747">IFERROR(IF(AND(SUMIFS('Key inputs_Refineries'!N$85:N$164,'Key inputs_Refineries'!$C$85:$C$164,$C747,'Key inputs_Refineries'!$B$85:$B$164,"Boiler")/SUM(SUMIFS('Key inputs_Refineries'!N$85:N$164,'Key inputs_Refineries'!$C$85:$C$164,$C739:$C748,'Key inputs_Refineries'!$B$85:$B$164,"Boiler"))&gt;0,SUMIFS('Key inputs_Refineries'!N$85:N$164,'Key inputs_Refineries'!$C$85:$C$164,$C747,'Key inputs_Refineries'!$B$85:$B$164,"Boiler")/SUM(SUMIFS('Key inputs_Refineries'!N$85:N$164,'Key inputs_Refineries'!$C$85:$C$164,$C739:$C748,'Key inputs_Refineries'!$B$85:$B$164,"Boiler"))&lt;0.001),0.001,SUMIFS('Key inputs_Refineries'!N$85:N$164,'Key inputs_Refineries'!$C$85:$C$164,$C747,'Key inputs_Refineries'!$B$85:$B$164,"Boiler")/SUM(SUMIFS('Key inputs_Refineries'!N$85:N$164,'Key inputs_Refineries'!$C$85:$C$164,$C739:$C748,'Key inputs_Refineries'!$B$85:$B$164,"Boiler"))),0)</f>
        <v>0</v>
      </c>
      <c r="U747" s="173" cm="1">
        <f t="array" ref="U747">IFERROR(IF(AND(SUMIFS('Key inputs_Refineries'!O$85:O$164,'Key inputs_Refineries'!$C$85:$C$164,$C747,'Key inputs_Refineries'!$B$85:$B$164,"Boiler")/SUM(SUMIFS('Key inputs_Refineries'!O$85:O$164,'Key inputs_Refineries'!$C$85:$C$164,$C739:$C748,'Key inputs_Refineries'!$B$85:$B$164,"Boiler"))&gt;0,SUMIFS('Key inputs_Refineries'!O$85:O$164,'Key inputs_Refineries'!$C$85:$C$164,$C747,'Key inputs_Refineries'!$B$85:$B$164,"Boiler")/SUM(SUMIFS('Key inputs_Refineries'!O$85:O$164,'Key inputs_Refineries'!$C$85:$C$164,$C739:$C748,'Key inputs_Refineries'!$B$85:$B$164,"Boiler"))&lt;0.001),0.001,SUMIFS('Key inputs_Refineries'!O$85:O$164,'Key inputs_Refineries'!$C$85:$C$164,$C747,'Key inputs_Refineries'!$B$85:$B$164,"Boiler")/SUM(SUMIFS('Key inputs_Refineries'!O$85:O$164,'Key inputs_Refineries'!$C$85:$C$164,$C739:$C748,'Key inputs_Refineries'!$B$85:$B$164,"Boiler"))),0)</f>
        <v>0</v>
      </c>
      <c r="V747" s="173" cm="1">
        <f t="array" ref="V747">IFERROR(IF(AND(SUMIFS('Key inputs_Refineries'!P$85:P$164,'Key inputs_Refineries'!$C$85:$C$164,$C747,'Key inputs_Refineries'!$B$85:$B$164,"Boiler")/SUM(SUMIFS('Key inputs_Refineries'!P$85:P$164,'Key inputs_Refineries'!$C$85:$C$164,$C739:$C748,'Key inputs_Refineries'!$B$85:$B$164,"Boiler"))&gt;0,SUMIFS('Key inputs_Refineries'!P$85:P$164,'Key inputs_Refineries'!$C$85:$C$164,$C747,'Key inputs_Refineries'!$B$85:$B$164,"Boiler")/SUM(SUMIFS('Key inputs_Refineries'!P$85:P$164,'Key inputs_Refineries'!$C$85:$C$164,$C739:$C748,'Key inputs_Refineries'!$B$85:$B$164,"Boiler"))&lt;0.001),0.001,SUMIFS('Key inputs_Refineries'!P$85:P$164,'Key inputs_Refineries'!$C$85:$C$164,$C747,'Key inputs_Refineries'!$B$85:$B$164,"Boiler")/SUM(SUMIFS('Key inputs_Refineries'!P$85:P$164,'Key inputs_Refineries'!$C$85:$C$164,$C739:$C748,'Key inputs_Refineries'!$B$85:$B$164,"Boiler"))),0)</f>
        <v>0</v>
      </c>
      <c r="W747" s="173" cm="1">
        <f t="array" ref="W747">IFERROR(IF(AND(SUMIFS('Key inputs_Refineries'!Q$85:Q$164,'Key inputs_Refineries'!$C$85:$C$164,$C747,'Key inputs_Refineries'!$B$85:$B$164,"Boiler")/SUM(SUMIFS('Key inputs_Refineries'!Q$85:Q$164,'Key inputs_Refineries'!$C$85:$C$164,$C739:$C748,'Key inputs_Refineries'!$B$85:$B$164,"Boiler"))&gt;0,SUMIFS('Key inputs_Refineries'!Q$85:Q$164,'Key inputs_Refineries'!$C$85:$C$164,$C747,'Key inputs_Refineries'!$B$85:$B$164,"Boiler")/SUM(SUMIFS('Key inputs_Refineries'!Q$85:Q$164,'Key inputs_Refineries'!$C$85:$C$164,$C739:$C748,'Key inputs_Refineries'!$B$85:$B$164,"Boiler"))&lt;0.001),0.001,SUMIFS('Key inputs_Refineries'!Q$85:Q$164,'Key inputs_Refineries'!$C$85:$C$164,$C747,'Key inputs_Refineries'!$B$85:$B$164,"Boiler")/SUM(SUMIFS('Key inputs_Refineries'!Q$85:Q$164,'Key inputs_Refineries'!$C$85:$C$164,$C739:$C748,'Key inputs_Refineries'!$B$85:$B$164,"Boiler"))),0)</f>
        <v>0</v>
      </c>
      <c r="X747" s="173" cm="1">
        <f t="array" ref="X747">IFERROR(IF(AND(SUMIFS('Key inputs_Refineries'!R$85:R$164,'Key inputs_Refineries'!$C$85:$C$164,$C747,'Key inputs_Refineries'!$B$85:$B$164,"Boiler")/SUM(SUMIFS('Key inputs_Refineries'!R$85:R$164,'Key inputs_Refineries'!$C$85:$C$164,$C739:$C748,'Key inputs_Refineries'!$B$85:$B$164,"Boiler"))&gt;0,SUMIFS('Key inputs_Refineries'!R$85:R$164,'Key inputs_Refineries'!$C$85:$C$164,$C747,'Key inputs_Refineries'!$B$85:$B$164,"Boiler")/SUM(SUMIFS('Key inputs_Refineries'!R$85:R$164,'Key inputs_Refineries'!$C$85:$C$164,$C739:$C748,'Key inputs_Refineries'!$B$85:$B$164,"Boiler"))&lt;0.001),0.001,SUMIFS('Key inputs_Refineries'!R$85:R$164,'Key inputs_Refineries'!$C$85:$C$164,$C747,'Key inputs_Refineries'!$B$85:$B$164,"Boiler")/SUM(SUMIFS('Key inputs_Refineries'!R$85:R$164,'Key inputs_Refineries'!$C$85:$C$164,$C739:$C748,'Key inputs_Refineries'!$B$85:$B$164,"Boiler"))),0)</f>
        <v>0</v>
      </c>
      <c r="Y747" s="173" cm="1">
        <f t="array" ref="Y747">IFERROR(IF(AND(SUMIFS('Key inputs_Refineries'!S$85:S$164,'Key inputs_Refineries'!$C$85:$C$164,$C747,'Key inputs_Refineries'!$B$85:$B$164,"Boiler")/SUM(SUMIFS('Key inputs_Refineries'!S$85:S$164,'Key inputs_Refineries'!$C$85:$C$164,$C739:$C748,'Key inputs_Refineries'!$B$85:$B$164,"Boiler"))&gt;0,SUMIFS('Key inputs_Refineries'!S$85:S$164,'Key inputs_Refineries'!$C$85:$C$164,$C747,'Key inputs_Refineries'!$B$85:$B$164,"Boiler")/SUM(SUMIFS('Key inputs_Refineries'!S$85:S$164,'Key inputs_Refineries'!$C$85:$C$164,$C739:$C748,'Key inputs_Refineries'!$B$85:$B$164,"Boiler"))&lt;0.001),0.001,SUMIFS('Key inputs_Refineries'!S$85:S$164,'Key inputs_Refineries'!$C$85:$C$164,$C747,'Key inputs_Refineries'!$B$85:$B$164,"Boiler")/SUM(SUMIFS('Key inputs_Refineries'!S$85:S$164,'Key inputs_Refineries'!$C$85:$C$164,$C739:$C748,'Key inputs_Refineries'!$B$85:$B$164,"Boiler"))),0)</f>
        <v>0</v>
      </c>
      <c r="Z747" s="173" cm="1">
        <f t="array" ref="Z747">IFERROR(IF(AND(SUMIFS('Key inputs_Refineries'!T$85:T$164,'Key inputs_Refineries'!$C$85:$C$164,$C747,'Key inputs_Refineries'!$B$85:$B$164,"Boiler")/SUM(SUMIFS('Key inputs_Refineries'!T$85:T$164,'Key inputs_Refineries'!$C$85:$C$164,$C739:$C748,'Key inputs_Refineries'!$B$85:$B$164,"Boiler"))&gt;0,SUMIFS('Key inputs_Refineries'!T$85:T$164,'Key inputs_Refineries'!$C$85:$C$164,$C747,'Key inputs_Refineries'!$B$85:$B$164,"Boiler")/SUM(SUMIFS('Key inputs_Refineries'!T$85:T$164,'Key inputs_Refineries'!$C$85:$C$164,$C739:$C748,'Key inputs_Refineries'!$B$85:$B$164,"Boiler"))&lt;0.001),0.001,SUMIFS('Key inputs_Refineries'!T$85:T$164,'Key inputs_Refineries'!$C$85:$C$164,$C747,'Key inputs_Refineries'!$B$85:$B$164,"Boiler")/SUM(SUMIFS('Key inputs_Refineries'!T$85:T$164,'Key inputs_Refineries'!$C$85:$C$164,$C739:$C748,'Key inputs_Refineries'!$B$85:$B$164,"Boiler"))),0)</f>
        <v>0</v>
      </c>
      <c r="AA747" s="173" cm="1">
        <f t="array" ref="AA747">IFERROR(IF(AND(SUMIFS('Key inputs_Refineries'!U$85:U$164,'Key inputs_Refineries'!$C$85:$C$164,$C747,'Key inputs_Refineries'!$B$85:$B$164,"Boiler")/SUM(SUMIFS('Key inputs_Refineries'!U$85:U$164,'Key inputs_Refineries'!$C$85:$C$164,$C739:$C748,'Key inputs_Refineries'!$B$85:$B$164,"Boiler"))&gt;0,SUMIFS('Key inputs_Refineries'!U$85:U$164,'Key inputs_Refineries'!$C$85:$C$164,$C747,'Key inputs_Refineries'!$B$85:$B$164,"Boiler")/SUM(SUMIFS('Key inputs_Refineries'!U$85:U$164,'Key inputs_Refineries'!$C$85:$C$164,$C739:$C748,'Key inputs_Refineries'!$B$85:$B$164,"Boiler"))&lt;0.001),0.001,SUMIFS('Key inputs_Refineries'!U$85:U$164,'Key inputs_Refineries'!$C$85:$C$164,$C747,'Key inputs_Refineries'!$B$85:$B$164,"Boiler")/SUM(SUMIFS('Key inputs_Refineries'!U$85:U$164,'Key inputs_Refineries'!$C$85:$C$164,$C739:$C748,'Key inputs_Refineries'!$B$85:$B$164,"Boiler"))),0)</f>
        <v>0</v>
      </c>
      <c r="AB747" s="173" cm="1">
        <f t="array" ref="AB747">IFERROR(IF(AND(SUMIFS('Key inputs_Refineries'!V$85:V$164,'Key inputs_Refineries'!$C$85:$C$164,$C747,'Key inputs_Refineries'!$B$85:$B$164,"Boiler")/SUM(SUMIFS('Key inputs_Refineries'!V$85:V$164,'Key inputs_Refineries'!$C$85:$C$164,$C739:$C748,'Key inputs_Refineries'!$B$85:$B$164,"Boiler"))&gt;0,SUMIFS('Key inputs_Refineries'!V$85:V$164,'Key inputs_Refineries'!$C$85:$C$164,$C747,'Key inputs_Refineries'!$B$85:$B$164,"Boiler")/SUM(SUMIFS('Key inputs_Refineries'!V$85:V$164,'Key inputs_Refineries'!$C$85:$C$164,$C739:$C748,'Key inputs_Refineries'!$B$85:$B$164,"Boiler"))&lt;0.001),0.001,SUMIFS('Key inputs_Refineries'!V$85:V$164,'Key inputs_Refineries'!$C$85:$C$164,$C747,'Key inputs_Refineries'!$B$85:$B$164,"Boiler")/SUM(SUMIFS('Key inputs_Refineries'!V$85:V$164,'Key inputs_Refineries'!$C$85:$C$164,$C739:$C748,'Key inputs_Refineries'!$B$85:$B$164,"Boiler"))),0)</f>
        <v>0.37267710844695157</v>
      </c>
      <c r="AC747" s="173" cm="1">
        <f t="array" ref="AC747">IFERROR(IF(AND(SUMIFS('Key inputs_Refineries'!W$85:W$164,'Key inputs_Refineries'!$C$85:$C$164,$C747,'Key inputs_Refineries'!$B$85:$B$164,"Boiler")/SUM(SUMIFS('Key inputs_Refineries'!W$85:W$164,'Key inputs_Refineries'!$C$85:$C$164,$C739:$C748,'Key inputs_Refineries'!$B$85:$B$164,"Boiler"))&gt;0,SUMIFS('Key inputs_Refineries'!W$85:W$164,'Key inputs_Refineries'!$C$85:$C$164,$C747,'Key inputs_Refineries'!$B$85:$B$164,"Boiler")/SUM(SUMIFS('Key inputs_Refineries'!W$85:W$164,'Key inputs_Refineries'!$C$85:$C$164,$C739:$C748,'Key inputs_Refineries'!$B$85:$B$164,"Boiler"))&lt;0.001),0.001,SUMIFS('Key inputs_Refineries'!W$85:W$164,'Key inputs_Refineries'!$C$85:$C$164,$C747,'Key inputs_Refineries'!$B$85:$B$164,"Boiler")/SUM(SUMIFS('Key inputs_Refineries'!W$85:W$164,'Key inputs_Refineries'!$C$85:$C$164,$C739:$C748,'Key inputs_Refineries'!$B$85:$B$164,"Boiler"))),0)</f>
        <v>0</v>
      </c>
      <c r="AD747" s="173" cm="1">
        <f t="array" ref="AD747">IFERROR(IF(AND(SUMIFS('Key inputs_Refineries'!X$85:X$164,'Key inputs_Refineries'!$C$85:$C$164,$C747,'Key inputs_Refineries'!$B$85:$B$164,"Boiler")/SUM(SUMIFS('Key inputs_Refineries'!X$85:X$164,'Key inputs_Refineries'!$C$85:$C$164,$C739:$C748,'Key inputs_Refineries'!$B$85:$B$164,"Boiler"))&gt;0,SUMIFS('Key inputs_Refineries'!X$85:X$164,'Key inputs_Refineries'!$C$85:$C$164,$C747,'Key inputs_Refineries'!$B$85:$B$164,"Boiler")/SUM(SUMIFS('Key inputs_Refineries'!X$85:X$164,'Key inputs_Refineries'!$C$85:$C$164,$C739:$C748,'Key inputs_Refineries'!$B$85:$B$164,"Boiler"))&lt;0.001),0.001,SUMIFS('Key inputs_Refineries'!X$85:X$164,'Key inputs_Refineries'!$C$85:$C$164,$C747,'Key inputs_Refineries'!$B$85:$B$164,"Boiler")/SUM(SUMIFS('Key inputs_Refineries'!X$85:X$164,'Key inputs_Refineries'!$C$85:$C$164,$C739:$C748,'Key inputs_Refineries'!$B$85:$B$164,"Boiler"))),0)</f>
        <v>0</v>
      </c>
      <c r="AE747" s="173" cm="1">
        <f t="array" ref="AE747">IFERROR(IF(AND(SUMIFS('Key inputs_Refineries'!Y$85:Y$164,'Key inputs_Refineries'!$C$85:$C$164,$C747,'Key inputs_Refineries'!$B$85:$B$164,"Boiler")/SUM(SUMIFS('Key inputs_Refineries'!Y$85:Y$164,'Key inputs_Refineries'!$C$85:$C$164,$C739:$C748,'Key inputs_Refineries'!$B$85:$B$164,"Boiler"))&gt;0,SUMIFS('Key inputs_Refineries'!Y$85:Y$164,'Key inputs_Refineries'!$C$85:$C$164,$C747,'Key inputs_Refineries'!$B$85:$B$164,"Boiler")/SUM(SUMIFS('Key inputs_Refineries'!Y$85:Y$164,'Key inputs_Refineries'!$C$85:$C$164,$C739:$C748,'Key inputs_Refineries'!$B$85:$B$164,"Boiler"))&lt;0.001),0.001,SUMIFS('Key inputs_Refineries'!Y$85:Y$164,'Key inputs_Refineries'!$C$85:$C$164,$C747,'Key inputs_Refineries'!$B$85:$B$164,"Boiler")/SUM(SUMIFS('Key inputs_Refineries'!Y$85:Y$164,'Key inputs_Refineries'!$C$85:$C$164,$C739:$C748,'Key inputs_Refineries'!$B$85:$B$164,"Boiler"))),0)</f>
        <v>3.8240414082870593E-2</v>
      </c>
      <c r="AF747" s="173" cm="1">
        <f t="array" ref="AF747">IFERROR(IF(AND(SUMIFS('Key inputs_Refineries'!Z$85:Z$164,'Key inputs_Refineries'!$C$85:$C$164,$C747,'Key inputs_Refineries'!$B$85:$B$164,"Boiler")/SUM(SUMIFS('Key inputs_Refineries'!Z$85:Z$164,'Key inputs_Refineries'!$C$85:$C$164,$C739:$C748,'Key inputs_Refineries'!$B$85:$B$164,"Boiler"))&gt;0,SUMIFS('Key inputs_Refineries'!Z$85:Z$164,'Key inputs_Refineries'!$C$85:$C$164,$C747,'Key inputs_Refineries'!$B$85:$B$164,"Boiler")/SUM(SUMIFS('Key inputs_Refineries'!Z$85:Z$164,'Key inputs_Refineries'!$C$85:$C$164,$C739:$C748,'Key inputs_Refineries'!$B$85:$B$164,"Boiler"))&lt;0.001),0.001,SUMIFS('Key inputs_Refineries'!Z$85:Z$164,'Key inputs_Refineries'!$C$85:$C$164,$C747,'Key inputs_Refineries'!$B$85:$B$164,"Boiler")/SUM(SUMIFS('Key inputs_Refineries'!Z$85:Z$164,'Key inputs_Refineries'!$C$85:$C$164,$C739:$C748,'Key inputs_Refineries'!$B$85:$B$164,"Boiler"))),0)</f>
        <v>0</v>
      </c>
      <c r="AG747" s="173" cm="1">
        <f t="array" ref="AG747">IFERROR(IF(AND(SUMIFS('Key inputs_Refineries'!AA$85:AA$164,'Key inputs_Refineries'!$C$85:$C$164,$C747,'Key inputs_Refineries'!$B$85:$B$164,"Boiler")/SUM(SUMIFS('Key inputs_Refineries'!AA$85:AA$164,'Key inputs_Refineries'!$C$85:$C$164,$C739:$C748,'Key inputs_Refineries'!$B$85:$B$164,"Boiler"))&gt;0,SUMIFS('Key inputs_Refineries'!AA$85:AA$164,'Key inputs_Refineries'!$C$85:$C$164,$C747,'Key inputs_Refineries'!$B$85:$B$164,"Boiler")/SUM(SUMIFS('Key inputs_Refineries'!AA$85:AA$164,'Key inputs_Refineries'!$C$85:$C$164,$C739:$C748,'Key inputs_Refineries'!$B$85:$B$164,"Boiler"))&lt;0.001),0.001,SUMIFS('Key inputs_Refineries'!AA$85:AA$164,'Key inputs_Refineries'!$C$85:$C$164,$C747,'Key inputs_Refineries'!$B$85:$B$164,"Boiler")/SUM(SUMIFS('Key inputs_Refineries'!AA$85:AA$164,'Key inputs_Refineries'!$C$85:$C$164,$C739:$C748,'Key inputs_Refineries'!$B$85:$B$164,"Boiler"))),0)</f>
        <v>0</v>
      </c>
      <c r="AH747" s="173" cm="1">
        <f t="array" ref="AH747">IFERROR(IF(AND(SUMIFS('Key inputs_Refineries'!AB$85:AB$164,'Key inputs_Refineries'!$C$85:$C$164,$C747,'Key inputs_Refineries'!$B$85:$B$164,"Boiler")/SUM(SUMIFS('Key inputs_Refineries'!AB$85:AB$164,'Key inputs_Refineries'!$C$85:$C$164,$C739:$C748,'Key inputs_Refineries'!$B$85:$B$164,"Boiler"))&gt;0,SUMIFS('Key inputs_Refineries'!AB$85:AB$164,'Key inputs_Refineries'!$C$85:$C$164,$C747,'Key inputs_Refineries'!$B$85:$B$164,"Boiler")/SUM(SUMIFS('Key inputs_Refineries'!AB$85:AB$164,'Key inputs_Refineries'!$C$85:$C$164,$C739:$C748,'Key inputs_Refineries'!$B$85:$B$164,"Boiler"))&lt;0.001),0.001,SUMIFS('Key inputs_Refineries'!AB$85:AB$164,'Key inputs_Refineries'!$C$85:$C$164,$C747,'Key inputs_Refineries'!$B$85:$B$164,"Boiler")/SUM(SUMIFS('Key inputs_Refineries'!AB$85:AB$164,'Key inputs_Refineries'!$C$85:$C$164,$C739:$C748,'Key inputs_Refineries'!$B$85:$B$164,"Boiler"))),0)</f>
        <v>0</v>
      </c>
      <c r="AI747" s="173" cm="1">
        <f t="array" ref="AI747">IFERROR(IF(AND(SUMIFS('Key inputs_Refineries'!AC$85:AC$164,'Key inputs_Refineries'!$C$85:$C$164,$C747,'Key inputs_Refineries'!$B$85:$B$164,"Boiler")/SUM(SUMIFS('Key inputs_Refineries'!AC$85:AC$164,'Key inputs_Refineries'!$C$85:$C$164,$C739:$C748,'Key inputs_Refineries'!$B$85:$B$164,"Boiler"))&gt;0,SUMIFS('Key inputs_Refineries'!AC$85:AC$164,'Key inputs_Refineries'!$C$85:$C$164,$C747,'Key inputs_Refineries'!$B$85:$B$164,"Boiler")/SUM(SUMIFS('Key inputs_Refineries'!AC$85:AC$164,'Key inputs_Refineries'!$C$85:$C$164,$C739:$C748,'Key inputs_Refineries'!$B$85:$B$164,"Boiler"))&lt;0.001),0.001,SUMIFS('Key inputs_Refineries'!AC$85:AC$164,'Key inputs_Refineries'!$C$85:$C$164,$C747,'Key inputs_Refineries'!$B$85:$B$164,"Boiler")/SUM(SUMIFS('Key inputs_Refineries'!AC$85:AC$164,'Key inputs_Refineries'!$C$85:$C$164,$C739:$C748,'Key inputs_Refineries'!$B$85:$B$164,"Boiler"))),0)</f>
        <v>0</v>
      </c>
      <c r="AJ747" s="173" cm="1">
        <f t="array" ref="AJ747">IFERROR(IF(AND(SUMIFS('Key inputs_Refineries'!AD$85:AD$164,'Key inputs_Refineries'!$C$85:$C$164,$C747,'Key inputs_Refineries'!$B$85:$B$164,"Boiler")/SUM(SUMIFS('Key inputs_Refineries'!AD$85:AD$164,'Key inputs_Refineries'!$C$85:$C$164,$C739:$C748,'Key inputs_Refineries'!$B$85:$B$164,"Boiler"))&gt;0,SUMIFS('Key inputs_Refineries'!AD$85:AD$164,'Key inputs_Refineries'!$C$85:$C$164,$C747,'Key inputs_Refineries'!$B$85:$B$164,"Boiler")/SUM(SUMIFS('Key inputs_Refineries'!AD$85:AD$164,'Key inputs_Refineries'!$C$85:$C$164,$C739:$C748,'Key inputs_Refineries'!$B$85:$B$164,"Boiler"))&lt;0.001),0.001,SUMIFS('Key inputs_Refineries'!AD$85:AD$164,'Key inputs_Refineries'!$C$85:$C$164,$C747,'Key inputs_Refineries'!$B$85:$B$164,"Boiler")/SUM(SUMIFS('Key inputs_Refineries'!AD$85:AD$164,'Key inputs_Refineries'!$C$85:$C$164,$C739:$C748,'Key inputs_Refineries'!$B$85:$B$164,"Boiler"))),0)</f>
        <v>0</v>
      </c>
      <c r="AK747" s="173" cm="1">
        <f t="array" ref="AK747">IFERROR(IF(AND(SUMIFS('Key inputs_Refineries'!AE$85:AE$164,'Key inputs_Refineries'!$C$85:$C$164,$C747,'Key inputs_Refineries'!$B$85:$B$164,"Boiler")/SUM(SUMIFS('Key inputs_Refineries'!AE$85:AE$164,'Key inputs_Refineries'!$C$85:$C$164,$C739:$C748,'Key inputs_Refineries'!$B$85:$B$164,"Boiler"))&gt;0,SUMIFS('Key inputs_Refineries'!AE$85:AE$164,'Key inputs_Refineries'!$C$85:$C$164,$C747,'Key inputs_Refineries'!$B$85:$B$164,"Boiler")/SUM(SUMIFS('Key inputs_Refineries'!AE$85:AE$164,'Key inputs_Refineries'!$C$85:$C$164,$C739:$C748,'Key inputs_Refineries'!$B$85:$B$164,"Boiler"))&lt;0.001),0.001,SUMIFS('Key inputs_Refineries'!AE$85:AE$164,'Key inputs_Refineries'!$C$85:$C$164,$C747,'Key inputs_Refineries'!$B$85:$B$164,"Boiler")/SUM(SUMIFS('Key inputs_Refineries'!AE$85:AE$164,'Key inputs_Refineries'!$C$85:$C$164,$C739:$C748,'Key inputs_Refineries'!$B$85:$B$164,"Boiler"))),0)</f>
        <v>0</v>
      </c>
      <c r="AL747" s="173" cm="1">
        <f t="array" ref="AL747">IFERROR(IF(AND(SUMIFS('Key inputs_Refineries'!AF$85:AF$164,'Key inputs_Refineries'!$C$85:$C$164,$C747,'Key inputs_Refineries'!$B$85:$B$164,"Boiler")/SUM(SUMIFS('Key inputs_Refineries'!AF$85:AF$164,'Key inputs_Refineries'!$C$85:$C$164,$C739:$C748,'Key inputs_Refineries'!$B$85:$B$164,"Boiler"))&gt;0,SUMIFS('Key inputs_Refineries'!AF$85:AF$164,'Key inputs_Refineries'!$C$85:$C$164,$C747,'Key inputs_Refineries'!$B$85:$B$164,"Boiler")/SUM(SUMIFS('Key inputs_Refineries'!AF$85:AF$164,'Key inputs_Refineries'!$C$85:$C$164,$C739:$C748,'Key inputs_Refineries'!$B$85:$B$164,"Boiler"))&lt;0.001),0.001,SUMIFS('Key inputs_Refineries'!AF$85:AF$164,'Key inputs_Refineries'!$C$85:$C$164,$C747,'Key inputs_Refineries'!$B$85:$B$164,"Boiler")/SUM(SUMIFS('Key inputs_Refineries'!AF$85:AF$164,'Key inputs_Refineries'!$C$85:$C$164,$C739:$C748,'Key inputs_Refineries'!$B$85:$B$164,"Boiler"))),0)</f>
        <v>0</v>
      </c>
    </row>
    <row r="748" spans="3:47">
      <c r="C748" t="str">
        <f>Commodities!$C$100</f>
        <v>UPSOIL2</v>
      </c>
      <c r="G748" s="4" t="s">
        <v>702</v>
      </c>
      <c r="H748" t="s">
        <v>661</v>
      </c>
      <c r="I748">
        <v>2019</v>
      </c>
      <c r="J748" t="s">
        <v>650</v>
      </c>
      <c r="K748" s="173" cm="1">
        <f t="array" ref="K748">IFERROR(IF(AND(SUMIFS('Key inputs_Refineries'!E$85:E$164,'Key inputs_Refineries'!$C$85:$C$164,$C748,'Key inputs_Refineries'!$B$85:$B$164,"Boiler")/SUM(SUMIFS('Key inputs_Refineries'!E$85:E$164,'Key inputs_Refineries'!$C$85:$C$164,$C739:$C748,'Key inputs_Refineries'!$B$85:$B$164,"Boiler"))&gt;0,SUMIFS('Key inputs_Refineries'!E$85:E$164,'Key inputs_Refineries'!$C$85:$C$164,$C748,'Key inputs_Refineries'!$B$85:$B$164,"Boiler")/SUM(SUMIFS('Key inputs_Refineries'!E$85:E$164,'Key inputs_Refineries'!$C$85:$C$164,$C739:$C748,'Key inputs_Refineries'!$B$85:$B$164,"Boiler"))&lt;0.001),0.001,SUMIFS('Key inputs_Refineries'!E$85:E$164,'Key inputs_Refineries'!$C$85:$C$164,$C748,'Key inputs_Refineries'!$B$85:$B$164,"Boiler")/SUM(SUMIFS('Key inputs_Refineries'!E$85:E$164,'Key inputs_Refineries'!$C$85:$C$164,$C739:$C748,'Key inputs_Refineries'!$B$85:$B$164,"Boiler"))),1)</f>
        <v>1</v>
      </c>
      <c r="L748" s="173" cm="1">
        <f t="array" ref="L748">IFERROR(IF(AND(SUMIFS('Key inputs_Refineries'!F$85:F$164,'Key inputs_Refineries'!$C$85:$C$164,$C748,'Key inputs_Refineries'!$B$85:$B$164,"Boiler")/SUM(SUMIFS('Key inputs_Refineries'!F$85:F$164,'Key inputs_Refineries'!$C$85:$C$164,$C739:$C748,'Key inputs_Refineries'!$B$85:$B$164,"Boiler"))&gt;0,SUMIFS('Key inputs_Refineries'!F$85:F$164,'Key inputs_Refineries'!$C$85:$C$164,$C748,'Key inputs_Refineries'!$B$85:$B$164,"Boiler")/SUM(SUMIFS('Key inputs_Refineries'!F$85:F$164,'Key inputs_Refineries'!$C$85:$C$164,$C739:$C748,'Key inputs_Refineries'!$B$85:$B$164,"Boiler"))&lt;0.001),0.001,SUMIFS('Key inputs_Refineries'!F$85:F$164,'Key inputs_Refineries'!$C$85:$C$164,$C748,'Key inputs_Refineries'!$B$85:$B$164,"Boiler")/SUM(SUMIFS('Key inputs_Refineries'!F$85:F$164,'Key inputs_Refineries'!$C$85:$C$164,$C739:$C748,'Key inputs_Refineries'!$B$85:$B$164,"Boiler"))),1)</f>
        <v>0</v>
      </c>
      <c r="M748" s="173" cm="1">
        <f t="array" ref="M748">IFERROR(IF(AND(SUMIFS('Key inputs_Refineries'!G$85:G$164,'Key inputs_Refineries'!$C$85:$C$164,$C748,'Key inputs_Refineries'!$B$85:$B$164,"Boiler")/SUM(SUMIFS('Key inputs_Refineries'!G$85:G$164,'Key inputs_Refineries'!$C$85:$C$164,$C739:$C748,'Key inputs_Refineries'!$B$85:$B$164,"Boiler"))&gt;0,SUMIFS('Key inputs_Refineries'!G$85:G$164,'Key inputs_Refineries'!$C$85:$C$164,$C748,'Key inputs_Refineries'!$B$85:$B$164,"Boiler")/SUM(SUMIFS('Key inputs_Refineries'!G$85:G$164,'Key inputs_Refineries'!$C$85:$C$164,$C739:$C748,'Key inputs_Refineries'!$B$85:$B$164,"Boiler"))&lt;0.001),0.001,SUMIFS('Key inputs_Refineries'!G$85:G$164,'Key inputs_Refineries'!$C$85:$C$164,$C748,'Key inputs_Refineries'!$B$85:$B$164,"Boiler")/SUM(SUMIFS('Key inputs_Refineries'!G$85:G$164,'Key inputs_Refineries'!$C$85:$C$164,$C739:$C748,'Key inputs_Refineries'!$B$85:$B$164,"Boiler"))),1)</f>
        <v>0</v>
      </c>
      <c r="N748" s="173" cm="1">
        <f t="array" ref="N748">IFERROR(IF(AND(SUMIFS('Key inputs_Refineries'!H$85:H$164,'Key inputs_Refineries'!$C$85:$C$164,$C748,'Key inputs_Refineries'!$B$85:$B$164,"Boiler")/SUM(SUMIFS('Key inputs_Refineries'!H$85:H$164,'Key inputs_Refineries'!$C$85:$C$164,$C739:$C748,'Key inputs_Refineries'!$B$85:$B$164,"Boiler"))&gt;0,SUMIFS('Key inputs_Refineries'!H$85:H$164,'Key inputs_Refineries'!$C$85:$C$164,$C748,'Key inputs_Refineries'!$B$85:$B$164,"Boiler")/SUM(SUMIFS('Key inputs_Refineries'!H$85:H$164,'Key inputs_Refineries'!$C$85:$C$164,$C739:$C748,'Key inputs_Refineries'!$B$85:$B$164,"Boiler"))&lt;0.001),0.001,SUMIFS('Key inputs_Refineries'!H$85:H$164,'Key inputs_Refineries'!$C$85:$C$164,$C748,'Key inputs_Refineries'!$B$85:$B$164,"Boiler")/SUM(SUMIFS('Key inputs_Refineries'!H$85:H$164,'Key inputs_Refineries'!$C$85:$C$164,$C739:$C748,'Key inputs_Refineries'!$B$85:$B$164,"Boiler"))),1)</f>
        <v>1</v>
      </c>
      <c r="O748" s="173" cm="1">
        <f t="array" ref="O748">IFERROR(IF(AND(SUMIFS('Key inputs_Refineries'!I$85:I$164,'Key inputs_Refineries'!$C$85:$C$164,$C748,'Key inputs_Refineries'!$B$85:$B$164,"Boiler")/SUM(SUMIFS('Key inputs_Refineries'!I$85:I$164,'Key inputs_Refineries'!$C$85:$C$164,$C739:$C748,'Key inputs_Refineries'!$B$85:$B$164,"Boiler"))&gt;0,SUMIFS('Key inputs_Refineries'!I$85:I$164,'Key inputs_Refineries'!$C$85:$C$164,$C748,'Key inputs_Refineries'!$B$85:$B$164,"Boiler")/SUM(SUMIFS('Key inputs_Refineries'!I$85:I$164,'Key inputs_Refineries'!$C$85:$C$164,$C739:$C748,'Key inputs_Refineries'!$B$85:$B$164,"Boiler"))&lt;0.001),0.001,SUMIFS('Key inputs_Refineries'!I$85:I$164,'Key inputs_Refineries'!$C$85:$C$164,$C748,'Key inputs_Refineries'!$B$85:$B$164,"Boiler")/SUM(SUMIFS('Key inputs_Refineries'!I$85:I$164,'Key inputs_Refineries'!$C$85:$C$164,$C739:$C748,'Key inputs_Refineries'!$B$85:$B$164,"Boiler"))),1)</f>
        <v>0.90826580836038906</v>
      </c>
      <c r="P748" s="173" cm="1">
        <f t="array" ref="P748">IFERROR(IF(AND(SUMIFS('Key inputs_Refineries'!J$85:J$164,'Key inputs_Refineries'!$C$85:$C$164,$C748,'Key inputs_Refineries'!$B$85:$B$164,"Boiler")/SUM(SUMIFS('Key inputs_Refineries'!J$85:J$164,'Key inputs_Refineries'!$C$85:$C$164,$C739:$C748,'Key inputs_Refineries'!$B$85:$B$164,"Boiler"))&gt;0,SUMIFS('Key inputs_Refineries'!J$85:J$164,'Key inputs_Refineries'!$C$85:$C$164,$C748,'Key inputs_Refineries'!$B$85:$B$164,"Boiler")/SUM(SUMIFS('Key inputs_Refineries'!J$85:J$164,'Key inputs_Refineries'!$C$85:$C$164,$C739:$C748,'Key inputs_Refineries'!$B$85:$B$164,"Boiler"))&lt;0.001),0.001,SUMIFS('Key inputs_Refineries'!J$85:J$164,'Key inputs_Refineries'!$C$85:$C$164,$C748,'Key inputs_Refineries'!$B$85:$B$164,"Boiler")/SUM(SUMIFS('Key inputs_Refineries'!J$85:J$164,'Key inputs_Refineries'!$C$85:$C$164,$C739:$C748,'Key inputs_Refineries'!$B$85:$B$164,"Boiler"))),1)</f>
        <v>0.88036613124332841</v>
      </c>
      <c r="Q748" s="173" cm="1">
        <f t="array" ref="Q748">IFERROR(IF(AND(SUMIFS('Key inputs_Refineries'!K$85:K$164,'Key inputs_Refineries'!$C$85:$C$164,$C748,'Key inputs_Refineries'!$B$85:$B$164,"Boiler")/SUM(SUMIFS('Key inputs_Refineries'!K$85:K$164,'Key inputs_Refineries'!$C$85:$C$164,$C739:$C748,'Key inputs_Refineries'!$B$85:$B$164,"Boiler"))&gt;0,SUMIFS('Key inputs_Refineries'!K$85:K$164,'Key inputs_Refineries'!$C$85:$C$164,$C748,'Key inputs_Refineries'!$B$85:$B$164,"Boiler")/SUM(SUMIFS('Key inputs_Refineries'!K$85:K$164,'Key inputs_Refineries'!$C$85:$C$164,$C739:$C748,'Key inputs_Refineries'!$B$85:$B$164,"Boiler"))&lt;0.001),0.001,SUMIFS('Key inputs_Refineries'!K$85:K$164,'Key inputs_Refineries'!$C$85:$C$164,$C748,'Key inputs_Refineries'!$B$85:$B$164,"Boiler")/SUM(SUMIFS('Key inputs_Refineries'!K$85:K$164,'Key inputs_Refineries'!$C$85:$C$164,$C739:$C748,'Key inputs_Refineries'!$B$85:$B$164,"Boiler"))),1)</f>
        <v>5.2685627539402593E-3</v>
      </c>
      <c r="R748" s="173" cm="1">
        <f t="array" ref="R748">IFERROR(IF(AND(SUMIFS('Key inputs_Refineries'!L$85:L$164,'Key inputs_Refineries'!$C$85:$C$164,$C748,'Key inputs_Refineries'!$B$85:$B$164,"Boiler")/SUM(SUMIFS('Key inputs_Refineries'!L$85:L$164,'Key inputs_Refineries'!$C$85:$C$164,$C739:$C748,'Key inputs_Refineries'!$B$85:$B$164,"Boiler"))&gt;0,SUMIFS('Key inputs_Refineries'!L$85:L$164,'Key inputs_Refineries'!$C$85:$C$164,$C748,'Key inputs_Refineries'!$B$85:$B$164,"Boiler")/SUM(SUMIFS('Key inputs_Refineries'!L$85:L$164,'Key inputs_Refineries'!$C$85:$C$164,$C739:$C748,'Key inputs_Refineries'!$B$85:$B$164,"Boiler"))&lt;0.001),0.001,SUMIFS('Key inputs_Refineries'!L$85:L$164,'Key inputs_Refineries'!$C$85:$C$164,$C748,'Key inputs_Refineries'!$B$85:$B$164,"Boiler")/SUM(SUMIFS('Key inputs_Refineries'!L$85:L$164,'Key inputs_Refineries'!$C$85:$C$164,$C739:$C748,'Key inputs_Refineries'!$B$85:$B$164,"Boiler"))),1)</f>
        <v>0</v>
      </c>
      <c r="S748" s="173" cm="1">
        <f t="array" ref="S748">IFERROR(IF(AND(SUMIFS('Key inputs_Refineries'!M$85:M$164,'Key inputs_Refineries'!$C$85:$C$164,$C748,'Key inputs_Refineries'!$B$85:$B$164,"Boiler")/SUM(SUMIFS('Key inputs_Refineries'!M$85:M$164,'Key inputs_Refineries'!$C$85:$C$164,$C739:$C748,'Key inputs_Refineries'!$B$85:$B$164,"Boiler"))&gt;0,SUMIFS('Key inputs_Refineries'!M$85:M$164,'Key inputs_Refineries'!$C$85:$C$164,$C748,'Key inputs_Refineries'!$B$85:$B$164,"Boiler")/SUM(SUMIFS('Key inputs_Refineries'!M$85:M$164,'Key inputs_Refineries'!$C$85:$C$164,$C739:$C748,'Key inputs_Refineries'!$B$85:$B$164,"Boiler"))&lt;0.001),0.001,SUMIFS('Key inputs_Refineries'!M$85:M$164,'Key inputs_Refineries'!$C$85:$C$164,$C748,'Key inputs_Refineries'!$B$85:$B$164,"Boiler")/SUM(SUMIFS('Key inputs_Refineries'!M$85:M$164,'Key inputs_Refineries'!$C$85:$C$164,$C739:$C748,'Key inputs_Refineries'!$B$85:$B$164,"Boiler"))),1)</f>
        <v>0</v>
      </c>
      <c r="T748" s="173" cm="1">
        <f t="array" ref="T748">IFERROR(IF(AND(SUMIFS('Key inputs_Refineries'!N$85:N$164,'Key inputs_Refineries'!$C$85:$C$164,$C748,'Key inputs_Refineries'!$B$85:$B$164,"Boiler")/SUM(SUMIFS('Key inputs_Refineries'!N$85:N$164,'Key inputs_Refineries'!$C$85:$C$164,$C739:$C748,'Key inputs_Refineries'!$B$85:$B$164,"Boiler"))&gt;0,SUMIFS('Key inputs_Refineries'!N$85:N$164,'Key inputs_Refineries'!$C$85:$C$164,$C748,'Key inputs_Refineries'!$B$85:$B$164,"Boiler")/SUM(SUMIFS('Key inputs_Refineries'!N$85:N$164,'Key inputs_Refineries'!$C$85:$C$164,$C739:$C748,'Key inputs_Refineries'!$B$85:$B$164,"Boiler"))&lt;0.001),0.001,SUMIFS('Key inputs_Refineries'!N$85:N$164,'Key inputs_Refineries'!$C$85:$C$164,$C748,'Key inputs_Refineries'!$B$85:$B$164,"Boiler")/SUM(SUMIFS('Key inputs_Refineries'!N$85:N$164,'Key inputs_Refineries'!$C$85:$C$164,$C739:$C748,'Key inputs_Refineries'!$B$85:$B$164,"Boiler"))),1)</f>
        <v>0.91624021930485366</v>
      </c>
      <c r="U748" s="173" cm="1">
        <f t="array" ref="U748">IFERROR(IF(AND(SUMIFS('Key inputs_Refineries'!O$85:O$164,'Key inputs_Refineries'!$C$85:$C$164,$C748,'Key inputs_Refineries'!$B$85:$B$164,"Boiler")/SUM(SUMIFS('Key inputs_Refineries'!O$85:O$164,'Key inputs_Refineries'!$C$85:$C$164,$C739:$C748,'Key inputs_Refineries'!$B$85:$B$164,"Boiler"))&gt;0,SUMIFS('Key inputs_Refineries'!O$85:O$164,'Key inputs_Refineries'!$C$85:$C$164,$C748,'Key inputs_Refineries'!$B$85:$B$164,"Boiler")/SUM(SUMIFS('Key inputs_Refineries'!O$85:O$164,'Key inputs_Refineries'!$C$85:$C$164,$C739:$C748,'Key inputs_Refineries'!$B$85:$B$164,"Boiler"))&lt;0.001),0.001,SUMIFS('Key inputs_Refineries'!O$85:O$164,'Key inputs_Refineries'!$C$85:$C$164,$C748,'Key inputs_Refineries'!$B$85:$B$164,"Boiler")/SUM(SUMIFS('Key inputs_Refineries'!O$85:O$164,'Key inputs_Refineries'!$C$85:$C$164,$C739:$C748,'Key inputs_Refineries'!$B$85:$B$164,"Boiler"))),1)</f>
        <v>0</v>
      </c>
      <c r="V748" s="173" cm="1">
        <f t="array" ref="V748">IFERROR(IF(AND(SUMIFS('Key inputs_Refineries'!P$85:P$164,'Key inputs_Refineries'!$C$85:$C$164,$C748,'Key inputs_Refineries'!$B$85:$B$164,"Boiler")/SUM(SUMIFS('Key inputs_Refineries'!P$85:P$164,'Key inputs_Refineries'!$C$85:$C$164,$C739:$C748,'Key inputs_Refineries'!$B$85:$B$164,"Boiler"))&gt;0,SUMIFS('Key inputs_Refineries'!P$85:P$164,'Key inputs_Refineries'!$C$85:$C$164,$C748,'Key inputs_Refineries'!$B$85:$B$164,"Boiler")/SUM(SUMIFS('Key inputs_Refineries'!P$85:P$164,'Key inputs_Refineries'!$C$85:$C$164,$C739:$C748,'Key inputs_Refineries'!$B$85:$B$164,"Boiler"))&lt;0.001),0.001,SUMIFS('Key inputs_Refineries'!P$85:P$164,'Key inputs_Refineries'!$C$85:$C$164,$C748,'Key inputs_Refineries'!$B$85:$B$164,"Boiler")/SUM(SUMIFS('Key inputs_Refineries'!P$85:P$164,'Key inputs_Refineries'!$C$85:$C$164,$C739:$C748,'Key inputs_Refineries'!$B$85:$B$164,"Boiler"))),1)</f>
        <v>0.77545242046249629</v>
      </c>
      <c r="W748" s="173" cm="1">
        <f t="array" ref="W748">IFERROR(IF(AND(SUMIFS('Key inputs_Refineries'!Q$85:Q$164,'Key inputs_Refineries'!$C$85:$C$164,$C748,'Key inputs_Refineries'!$B$85:$B$164,"Boiler")/SUM(SUMIFS('Key inputs_Refineries'!Q$85:Q$164,'Key inputs_Refineries'!$C$85:$C$164,$C739:$C748,'Key inputs_Refineries'!$B$85:$B$164,"Boiler"))&gt;0,SUMIFS('Key inputs_Refineries'!Q$85:Q$164,'Key inputs_Refineries'!$C$85:$C$164,$C748,'Key inputs_Refineries'!$B$85:$B$164,"Boiler")/SUM(SUMIFS('Key inputs_Refineries'!Q$85:Q$164,'Key inputs_Refineries'!$C$85:$C$164,$C739:$C748,'Key inputs_Refineries'!$B$85:$B$164,"Boiler"))&lt;0.001),0.001,SUMIFS('Key inputs_Refineries'!Q$85:Q$164,'Key inputs_Refineries'!$C$85:$C$164,$C748,'Key inputs_Refineries'!$B$85:$B$164,"Boiler")/SUM(SUMIFS('Key inputs_Refineries'!Q$85:Q$164,'Key inputs_Refineries'!$C$85:$C$164,$C739:$C748,'Key inputs_Refineries'!$B$85:$B$164,"Boiler"))),1)</f>
        <v>5.8358521716818726E-2</v>
      </c>
      <c r="X748" s="173" cm="1">
        <f t="array" ref="X748">IFERROR(IF(AND(SUMIFS('Key inputs_Refineries'!R$85:R$164,'Key inputs_Refineries'!$C$85:$C$164,$C748,'Key inputs_Refineries'!$B$85:$B$164,"Boiler")/SUM(SUMIFS('Key inputs_Refineries'!R$85:R$164,'Key inputs_Refineries'!$C$85:$C$164,$C739:$C748,'Key inputs_Refineries'!$B$85:$B$164,"Boiler"))&gt;0,SUMIFS('Key inputs_Refineries'!R$85:R$164,'Key inputs_Refineries'!$C$85:$C$164,$C748,'Key inputs_Refineries'!$B$85:$B$164,"Boiler")/SUM(SUMIFS('Key inputs_Refineries'!R$85:R$164,'Key inputs_Refineries'!$C$85:$C$164,$C739:$C748,'Key inputs_Refineries'!$B$85:$B$164,"Boiler"))&lt;0.001),0.001,SUMIFS('Key inputs_Refineries'!R$85:R$164,'Key inputs_Refineries'!$C$85:$C$164,$C748,'Key inputs_Refineries'!$B$85:$B$164,"Boiler")/SUM(SUMIFS('Key inputs_Refineries'!R$85:R$164,'Key inputs_Refineries'!$C$85:$C$164,$C739:$C748,'Key inputs_Refineries'!$B$85:$B$164,"Boiler"))),1)</f>
        <v>0.80941235239176013</v>
      </c>
      <c r="Y748" s="173" cm="1">
        <f t="array" ref="Y748">IFERROR(IF(AND(SUMIFS('Key inputs_Refineries'!S$85:S$164,'Key inputs_Refineries'!$C$85:$C$164,$C748,'Key inputs_Refineries'!$B$85:$B$164,"Boiler")/SUM(SUMIFS('Key inputs_Refineries'!S$85:S$164,'Key inputs_Refineries'!$C$85:$C$164,$C739:$C748,'Key inputs_Refineries'!$B$85:$B$164,"Boiler"))&gt;0,SUMIFS('Key inputs_Refineries'!S$85:S$164,'Key inputs_Refineries'!$C$85:$C$164,$C748,'Key inputs_Refineries'!$B$85:$B$164,"Boiler")/SUM(SUMIFS('Key inputs_Refineries'!S$85:S$164,'Key inputs_Refineries'!$C$85:$C$164,$C739:$C748,'Key inputs_Refineries'!$B$85:$B$164,"Boiler"))&lt;0.001),0.001,SUMIFS('Key inputs_Refineries'!S$85:S$164,'Key inputs_Refineries'!$C$85:$C$164,$C748,'Key inputs_Refineries'!$B$85:$B$164,"Boiler")/SUM(SUMIFS('Key inputs_Refineries'!S$85:S$164,'Key inputs_Refineries'!$C$85:$C$164,$C739:$C748,'Key inputs_Refineries'!$B$85:$B$164,"Boiler"))),1)</f>
        <v>0.56012845130970601</v>
      </c>
      <c r="Z748" s="173" cm="1">
        <f t="array" ref="Z748">IFERROR(IF(AND(SUMIFS('Key inputs_Refineries'!T$85:T$164,'Key inputs_Refineries'!$C$85:$C$164,$C748,'Key inputs_Refineries'!$B$85:$B$164,"Boiler")/SUM(SUMIFS('Key inputs_Refineries'!T$85:T$164,'Key inputs_Refineries'!$C$85:$C$164,$C739:$C748,'Key inputs_Refineries'!$B$85:$B$164,"Boiler"))&gt;0,SUMIFS('Key inputs_Refineries'!T$85:T$164,'Key inputs_Refineries'!$C$85:$C$164,$C748,'Key inputs_Refineries'!$B$85:$B$164,"Boiler")/SUM(SUMIFS('Key inputs_Refineries'!T$85:T$164,'Key inputs_Refineries'!$C$85:$C$164,$C739:$C748,'Key inputs_Refineries'!$B$85:$B$164,"Boiler"))&lt;0.001),0.001,SUMIFS('Key inputs_Refineries'!T$85:T$164,'Key inputs_Refineries'!$C$85:$C$164,$C748,'Key inputs_Refineries'!$B$85:$B$164,"Boiler")/SUM(SUMIFS('Key inputs_Refineries'!T$85:T$164,'Key inputs_Refineries'!$C$85:$C$164,$C739:$C748,'Key inputs_Refineries'!$B$85:$B$164,"Boiler"))),1)</f>
        <v>0.65636065153933998</v>
      </c>
      <c r="AA748" s="173" cm="1">
        <f t="array" ref="AA748">IFERROR(IF(AND(SUMIFS('Key inputs_Refineries'!U$85:U$164,'Key inputs_Refineries'!$C$85:$C$164,$C748,'Key inputs_Refineries'!$B$85:$B$164,"Boiler")/SUM(SUMIFS('Key inputs_Refineries'!U$85:U$164,'Key inputs_Refineries'!$C$85:$C$164,$C739:$C748,'Key inputs_Refineries'!$B$85:$B$164,"Boiler"))&gt;0,SUMIFS('Key inputs_Refineries'!U$85:U$164,'Key inputs_Refineries'!$C$85:$C$164,$C748,'Key inputs_Refineries'!$B$85:$B$164,"Boiler")/SUM(SUMIFS('Key inputs_Refineries'!U$85:U$164,'Key inputs_Refineries'!$C$85:$C$164,$C739:$C748,'Key inputs_Refineries'!$B$85:$B$164,"Boiler"))&lt;0.001),0.001,SUMIFS('Key inputs_Refineries'!U$85:U$164,'Key inputs_Refineries'!$C$85:$C$164,$C748,'Key inputs_Refineries'!$B$85:$B$164,"Boiler")/SUM(SUMIFS('Key inputs_Refineries'!U$85:U$164,'Key inputs_Refineries'!$C$85:$C$164,$C739:$C748,'Key inputs_Refineries'!$B$85:$B$164,"Boiler"))),1)</f>
        <v>0.46733479677810208</v>
      </c>
      <c r="AB748" s="173" cm="1">
        <f t="array" ref="AB748">IFERROR(IF(AND(SUMIFS('Key inputs_Refineries'!V$85:V$164,'Key inputs_Refineries'!$C$85:$C$164,$C748,'Key inputs_Refineries'!$B$85:$B$164,"Boiler")/SUM(SUMIFS('Key inputs_Refineries'!V$85:V$164,'Key inputs_Refineries'!$C$85:$C$164,$C739:$C748,'Key inputs_Refineries'!$B$85:$B$164,"Boiler"))&gt;0,SUMIFS('Key inputs_Refineries'!V$85:V$164,'Key inputs_Refineries'!$C$85:$C$164,$C748,'Key inputs_Refineries'!$B$85:$B$164,"Boiler")/SUM(SUMIFS('Key inputs_Refineries'!V$85:V$164,'Key inputs_Refineries'!$C$85:$C$164,$C739:$C748,'Key inputs_Refineries'!$B$85:$B$164,"Boiler"))&lt;0.001),0.001,SUMIFS('Key inputs_Refineries'!V$85:V$164,'Key inputs_Refineries'!$C$85:$C$164,$C748,'Key inputs_Refineries'!$B$85:$B$164,"Boiler")/SUM(SUMIFS('Key inputs_Refineries'!V$85:V$164,'Key inputs_Refineries'!$C$85:$C$164,$C739:$C748,'Key inputs_Refineries'!$B$85:$B$164,"Boiler"))),1)</f>
        <v>0</v>
      </c>
      <c r="AC748" s="173" cm="1">
        <f t="array" ref="AC748">IFERROR(IF(AND(SUMIFS('Key inputs_Refineries'!W$85:W$164,'Key inputs_Refineries'!$C$85:$C$164,$C748,'Key inputs_Refineries'!$B$85:$B$164,"Boiler")/SUM(SUMIFS('Key inputs_Refineries'!W$85:W$164,'Key inputs_Refineries'!$C$85:$C$164,$C739:$C748,'Key inputs_Refineries'!$B$85:$B$164,"Boiler"))&gt;0,SUMIFS('Key inputs_Refineries'!W$85:W$164,'Key inputs_Refineries'!$C$85:$C$164,$C748,'Key inputs_Refineries'!$B$85:$B$164,"Boiler")/SUM(SUMIFS('Key inputs_Refineries'!W$85:W$164,'Key inputs_Refineries'!$C$85:$C$164,$C739:$C748,'Key inputs_Refineries'!$B$85:$B$164,"Boiler"))&lt;0.001),0.001,SUMIFS('Key inputs_Refineries'!W$85:W$164,'Key inputs_Refineries'!$C$85:$C$164,$C748,'Key inputs_Refineries'!$B$85:$B$164,"Boiler")/SUM(SUMIFS('Key inputs_Refineries'!W$85:W$164,'Key inputs_Refineries'!$C$85:$C$164,$C739:$C748,'Key inputs_Refineries'!$B$85:$B$164,"Boiler"))),1)</f>
        <v>1</v>
      </c>
      <c r="AD748" s="173" cm="1">
        <f t="array" ref="AD748">IFERROR(IF(AND(SUMIFS('Key inputs_Refineries'!X$85:X$164,'Key inputs_Refineries'!$C$85:$C$164,$C748,'Key inputs_Refineries'!$B$85:$B$164,"Boiler")/SUM(SUMIFS('Key inputs_Refineries'!X$85:X$164,'Key inputs_Refineries'!$C$85:$C$164,$C739:$C748,'Key inputs_Refineries'!$B$85:$B$164,"Boiler"))&gt;0,SUMIFS('Key inputs_Refineries'!X$85:X$164,'Key inputs_Refineries'!$C$85:$C$164,$C748,'Key inputs_Refineries'!$B$85:$B$164,"Boiler")/SUM(SUMIFS('Key inputs_Refineries'!X$85:X$164,'Key inputs_Refineries'!$C$85:$C$164,$C739:$C748,'Key inputs_Refineries'!$B$85:$B$164,"Boiler"))&lt;0.001),0.001,SUMIFS('Key inputs_Refineries'!X$85:X$164,'Key inputs_Refineries'!$C$85:$C$164,$C748,'Key inputs_Refineries'!$B$85:$B$164,"Boiler")/SUM(SUMIFS('Key inputs_Refineries'!X$85:X$164,'Key inputs_Refineries'!$C$85:$C$164,$C739:$C748,'Key inputs_Refineries'!$B$85:$B$164,"Boiler"))),1)</f>
        <v>0.43903269260140848</v>
      </c>
      <c r="AE748" s="173" cm="1">
        <f t="array" ref="AE748">IFERROR(IF(AND(SUMIFS('Key inputs_Refineries'!Y$85:Y$164,'Key inputs_Refineries'!$C$85:$C$164,$C748,'Key inputs_Refineries'!$B$85:$B$164,"Boiler")/SUM(SUMIFS('Key inputs_Refineries'!Y$85:Y$164,'Key inputs_Refineries'!$C$85:$C$164,$C739:$C748,'Key inputs_Refineries'!$B$85:$B$164,"Boiler"))&gt;0,SUMIFS('Key inputs_Refineries'!Y$85:Y$164,'Key inputs_Refineries'!$C$85:$C$164,$C748,'Key inputs_Refineries'!$B$85:$B$164,"Boiler")/SUM(SUMIFS('Key inputs_Refineries'!Y$85:Y$164,'Key inputs_Refineries'!$C$85:$C$164,$C739:$C748,'Key inputs_Refineries'!$B$85:$B$164,"Boiler"))&lt;0.001),0.001,SUMIFS('Key inputs_Refineries'!Y$85:Y$164,'Key inputs_Refineries'!$C$85:$C$164,$C748,'Key inputs_Refineries'!$B$85:$B$164,"Boiler")/SUM(SUMIFS('Key inputs_Refineries'!Y$85:Y$164,'Key inputs_Refineries'!$C$85:$C$164,$C739:$C748,'Key inputs_Refineries'!$B$85:$B$164,"Boiler"))),1)</f>
        <v>1.2468981492366695E-2</v>
      </c>
      <c r="AF748" s="173" cm="1">
        <f t="array" ref="AF748">IFERROR(IF(AND(SUMIFS('Key inputs_Refineries'!Z$85:Z$164,'Key inputs_Refineries'!$C$85:$C$164,$C748,'Key inputs_Refineries'!$B$85:$B$164,"Boiler")/SUM(SUMIFS('Key inputs_Refineries'!Z$85:Z$164,'Key inputs_Refineries'!$C$85:$C$164,$C739:$C748,'Key inputs_Refineries'!$B$85:$B$164,"Boiler"))&gt;0,SUMIFS('Key inputs_Refineries'!Z$85:Z$164,'Key inputs_Refineries'!$C$85:$C$164,$C748,'Key inputs_Refineries'!$B$85:$B$164,"Boiler")/SUM(SUMIFS('Key inputs_Refineries'!Z$85:Z$164,'Key inputs_Refineries'!$C$85:$C$164,$C739:$C748,'Key inputs_Refineries'!$B$85:$B$164,"Boiler"))&lt;0.001),0.001,SUMIFS('Key inputs_Refineries'!Z$85:Z$164,'Key inputs_Refineries'!$C$85:$C$164,$C748,'Key inputs_Refineries'!$B$85:$B$164,"Boiler")/SUM(SUMIFS('Key inputs_Refineries'!Z$85:Z$164,'Key inputs_Refineries'!$C$85:$C$164,$C739:$C748,'Key inputs_Refineries'!$B$85:$B$164,"Boiler"))),1)</f>
        <v>3.9834048690817444E-3</v>
      </c>
      <c r="AG748" s="173" cm="1">
        <f t="array" ref="AG748">IFERROR(IF(AND(SUMIFS('Key inputs_Refineries'!AA$85:AA$164,'Key inputs_Refineries'!$C$85:$C$164,$C748,'Key inputs_Refineries'!$B$85:$B$164,"Boiler")/SUM(SUMIFS('Key inputs_Refineries'!AA$85:AA$164,'Key inputs_Refineries'!$C$85:$C$164,$C739:$C748,'Key inputs_Refineries'!$B$85:$B$164,"Boiler"))&gt;0,SUMIFS('Key inputs_Refineries'!AA$85:AA$164,'Key inputs_Refineries'!$C$85:$C$164,$C748,'Key inputs_Refineries'!$B$85:$B$164,"Boiler")/SUM(SUMIFS('Key inputs_Refineries'!AA$85:AA$164,'Key inputs_Refineries'!$C$85:$C$164,$C739:$C748,'Key inputs_Refineries'!$B$85:$B$164,"Boiler"))&lt;0.001),0.001,SUMIFS('Key inputs_Refineries'!AA$85:AA$164,'Key inputs_Refineries'!$C$85:$C$164,$C748,'Key inputs_Refineries'!$B$85:$B$164,"Boiler")/SUM(SUMIFS('Key inputs_Refineries'!AA$85:AA$164,'Key inputs_Refineries'!$C$85:$C$164,$C739:$C748,'Key inputs_Refineries'!$B$85:$B$164,"Boiler"))),1)</f>
        <v>5.2506838942529173E-2</v>
      </c>
      <c r="AH748" s="173" cm="1">
        <f t="array" ref="AH748">IFERROR(IF(AND(SUMIFS('Key inputs_Refineries'!AB$85:AB$164,'Key inputs_Refineries'!$C$85:$C$164,$C748,'Key inputs_Refineries'!$B$85:$B$164,"Boiler")/SUM(SUMIFS('Key inputs_Refineries'!AB$85:AB$164,'Key inputs_Refineries'!$C$85:$C$164,$C739:$C748,'Key inputs_Refineries'!$B$85:$B$164,"Boiler"))&gt;0,SUMIFS('Key inputs_Refineries'!AB$85:AB$164,'Key inputs_Refineries'!$C$85:$C$164,$C748,'Key inputs_Refineries'!$B$85:$B$164,"Boiler")/SUM(SUMIFS('Key inputs_Refineries'!AB$85:AB$164,'Key inputs_Refineries'!$C$85:$C$164,$C739:$C748,'Key inputs_Refineries'!$B$85:$B$164,"Boiler"))&lt;0.001),0.001,SUMIFS('Key inputs_Refineries'!AB$85:AB$164,'Key inputs_Refineries'!$C$85:$C$164,$C748,'Key inputs_Refineries'!$B$85:$B$164,"Boiler")/SUM(SUMIFS('Key inputs_Refineries'!AB$85:AB$164,'Key inputs_Refineries'!$C$85:$C$164,$C739:$C748,'Key inputs_Refineries'!$B$85:$B$164,"Boiler"))),1)</f>
        <v>9.4974097372733504E-2</v>
      </c>
      <c r="AI748" s="173" cm="1">
        <f t="array" ref="AI748">IFERROR(IF(AND(SUMIFS('Key inputs_Refineries'!AC$85:AC$164,'Key inputs_Refineries'!$C$85:$C$164,$C748,'Key inputs_Refineries'!$B$85:$B$164,"Boiler")/SUM(SUMIFS('Key inputs_Refineries'!AC$85:AC$164,'Key inputs_Refineries'!$C$85:$C$164,$C739:$C748,'Key inputs_Refineries'!$B$85:$B$164,"Boiler"))&gt;0,SUMIFS('Key inputs_Refineries'!AC$85:AC$164,'Key inputs_Refineries'!$C$85:$C$164,$C748,'Key inputs_Refineries'!$B$85:$B$164,"Boiler")/SUM(SUMIFS('Key inputs_Refineries'!AC$85:AC$164,'Key inputs_Refineries'!$C$85:$C$164,$C739:$C748,'Key inputs_Refineries'!$B$85:$B$164,"Boiler"))&lt;0.001),0.001,SUMIFS('Key inputs_Refineries'!AC$85:AC$164,'Key inputs_Refineries'!$C$85:$C$164,$C748,'Key inputs_Refineries'!$B$85:$B$164,"Boiler")/SUM(SUMIFS('Key inputs_Refineries'!AC$85:AC$164,'Key inputs_Refineries'!$C$85:$C$164,$C739:$C748,'Key inputs_Refineries'!$B$85:$B$164,"Boiler"))),1)</f>
        <v>1.2394645513138323E-2</v>
      </c>
      <c r="AJ748" s="173" cm="1">
        <f t="array" ref="AJ748">IFERROR(IF(AND(SUMIFS('Key inputs_Refineries'!AD$85:AD$164,'Key inputs_Refineries'!$C$85:$C$164,$C748,'Key inputs_Refineries'!$B$85:$B$164,"Boiler")/SUM(SUMIFS('Key inputs_Refineries'!AD$85:AD$164,'Key inputs_Refineries'!$C$85:$C$164,$C739:$C748,'Key inputs_Refineries'!$B$85:$B$164,"Boiler"))&gt;0,SUMIFS('Key inputs_Refineries'!AD$85:AD$164,'Key inputs_Refineries'!$C$85:$C$164,$C748,'Key inputs_Refineries'!$B$85:$B$164,"Boiler")/SUM(SUMIFS('Key inputs_Refineries'!AD$85:AD$164,'Key inputs_Refineries'!$C$85:$C$164,$C739:$C748,'Key inputs_Refineries'!$B$85:$B$164,"Boiler"))&lt;0.001),0.001,SUMIFS('Key inputs_Refineries'!AD$85:AD$164,'Key inputs_Refineries'!$C$85:$C$164,$C748,'Key inputs_Refineries'!$B$85:$B$164,"Boiler")/SUM(SUMIFS('Key inputs_Refineries'!AD$85:AD$164,'Key inputs_Refineries'!$C$85:$C$164,$C739:$C748,'Key inputs_Refineries'!$B$85:$B$164,"Boiler"))),1)</f>
        <v>1</v>
      </c>
      <c r="AK748" s="173" cm="1">
        <f t="array" ref="AK748">IFERROR(IF(AND(SUMIFS('Key inputs_Refineries'!AE$85:AE$164,'Key inputs_Refineries'!$C$85:$C$164,$C748,'Key inputs_Refineries'!$B$85:$B$164,"Boiler")/SUM(SUMIFS('Key inputs_Refineries'!AE$85:AE$164,'Key inputs_Refineries'!$C$85:$C$164,$C739:$C748,'Key inputs_Refineries'!$B$85:$B$164,"Boiler"))&gt;0,SUMIFS('Key inputs_Refineries'!AE$85:AE$164,'Key inputs_Refineries'!$C$85:$C$164,$C748,'Key inputs_Refineries'!$B$85:$B$164,"Boiler")/SUM(SUMIFS('Key inputs_Refineries'!AE$85:AE$164,'Key inputs_Refineries'!$C$85:$C$164,$C739:$C748,'Key inputs_Refineries'!$B$85:$B$164,"Boiler"))&lt;0.001),0.001,SUMIFS('Key inputs_Refineries'!AE$85:AE$164,'Key inputs_Refineries'!$C$85:$C$164,$C748,'Key inputs_Refineries'!$B$85:$B$164,"Boiler")/SUM(SUMIFS('Key inputs_Refineries'!AE$85:AE$164,'Key inputs_Refineries'!$C$85:$C$164,$C739:$C748,'Key inputs_Refineries'!$B$85:$B$164,"Boiler"))),1)</f>
        <v>0.26396698362328047</v>
      </c>
      <c r="AL748" s="173" cm="1">
        <f t="array" ref="AL748">IFERROR(IF(AND(SUMIFS('Key inputs_Refineries'!AF$85:AF$164,'Key inputs_Refineries'!$C$85:$C$164,$C748,'Key inputs_Refineries'!$B$85:$B$164,"Boiler")/SUM(SUMIFS('Key inputs_Refineries'!AF$85:AF$164,'Key inputs_Refineries'!$C$85:$C$164,$C739:$C748,'Key inputs_Refineries'!$B$85:$B$164,"Boiler"))&gt;0,SUMIFS('Key inputs_Refineries'!AF$85:AF$164,'Key inputs_Refineries'!$C$85:$C$164,$C748,'Key inputs_Refineries'!$B$85:$B$164,"Boiler")/SUM(SUMIFS('Key inputs_Refineries'!AF$85:AF$164,'Key inputs_Refineries'!$C$85:$C$164,$C739:$C748,'Key inputs_Refineries'!$B$85:$B$164,"Boiler"))&lt;0.001),0.001,SUMIFS('Key inputs_Refineries'!AF$85:AF$164,'Key inputs_Refineries'!$C$85:$C$164,$C748,'Key inputs_Refineries'!$B$85:$B$164,"Boiler")/SUM(SUMIFS('Key inputs_Refineries'!AF$85:AF$164,'Key inputs_Refineries'!$C$85:$C$164,$C739:$C748,'Key inputs_Refineries'!$B$85:$B$164,"Boiler"))),1)</f>
        <v>0.94020675648239993</v>
      </c>
    </row>
    <row r="749" spans="3:47">
      <c r="C749" t="s">
        <v>515</v>
      </c>
      <c r="G749" s="4" t="s">
        <v>702</v>
      </c>
      <c r="H749" t="s">
        <v>661</v>
      </c>
      <c r="I749">
        <v>2025</v>
      </c>
      <c r="J749" t="s">
        <v>650</v>
      </c>
      <c r="K749" s="426">
        <f>K740</f>
        <v>0</v>
      </c>
      <c r="L749" s="426">
        <f t="shared" ref="L749:AL749" si="40">L740</f>
        <v>0</v>
      </c>
      <c r="M749" s="426">
        <f t="shared" si="40"/>
        <v>5.4967007249105165E-2</v>
      </c>
      <c r="N749" s="426">
        <f t="shared" si="40"/>
        <v>0</v>
      </c>
      <c r="O749" s="426">
        <f t="shared" si="40"/>
        <v>0</v>
      </c>
      <c r="P749" s="426">
        <f t="shared" si="40"/>
        <v>7.5112298847973434E-3</v>
      </c>
      <c r="Q749" s="426">
        <f t="shared" si="40"/>
        <v>1.3591105951689957E-2</v>
      </c>
      <c r="R749" s="426">
        <f t="shared" si="40"/>
        <v>0</v>
      </c>
      <c r="S749" s="426">
        <f t="shared" si="40"/>
        <v>3.5051732768259555E-2</v>
      </c>
      <c r="T749" s="426">
        <f t="shared" si="40"/>
        <v>8.6333554563383288E-3</v>
      </c>
      <c r="U749" s="426">
        <f t="shared" si="40"/>
        <v>0</v>
      </c>
      <c r="V749" s="426">
        <f t="shared" si="40"/>
        <v>5.6882967399520768E-3</v>
      </c>
      <c r="W749" s="426">
        <f t="shared" si="40"/>
        <v>0</v>
      </c>
      <c r="X749" s="426">
        <f t="shared" si="40"/>
        <v>0</v>
      </c>
      <c r="Y749" s="426">
        <f t="shared" si="40"/>
        <v>2.7787994220171155E-3</v>
      </c>
      <c r="Z749" s="426">
        <f t="shared" si="40"/>
        <v>7.5121681310049548E-3</v>
      </c>
      <c r="AA749" s="426">
        <f t="shared" si="40"/>
        <v>1.3171639290390735E-2</v>
      </c>
      <c r="AB749" s="426">
        <f t="shared" si="40"/>
        <v>0.62732289155304854</v>
      </c>
      <c r="AC749" s="426">
        <f t="shared" si="40"/>
        <v>0</v>
      </c>
      <c r="AD749" s="426">
        <f t="shared" si="40"/>
        <v>9.5552781608146987E-3</v>
      </c>
      <c r="AE749" s="426">
        <f t="shared" si="40"/>
        <v>1.5014083212701699E-2</v>
      </c>
      <c r="AF749" s="426">
        <f t="shared" si="40"/>
        <v>3.8902919404541575E-2</v>
      </c>
      <c r="AG749" s="426">
        <f t="shared" si="40"/>
        <v>3.0454378123189886E-2</v>
      </c>
      <c r="AH749" s="426">
        <f t="shared" si="40"/>
        <v>0</v>
      </c>
      <c r="AI749" s="426">
        <f t="shared" si="40"/>
        <v>0.10262766484878531</v>
      </c>
      <c r="AJ749" s="426">
        <f t="shared" si="40"/>
        <v>0</v>
      </c>
      <c r="AK749" s="426">
        <f t="shared" si="40"/>
        <v>1E-3</v>
      </c>
      <c r="AL749" s="426">
        <f t="shared" si="40"/>
        <v>1.1727367954192493E-2</v>
      </c>
    </row>
    <row r="750" spans="3:47">
      <c r="C750" t="s">
        <v>517</v>
      </c>
      <c r="G750" s="4" t="s">
        <v>702</v>
      </c>
      <c r="H750" t="s">
        <v>661</v>
      </c>
      <c r="I750">
        <v>2025</v>
      </c>
      <c r="J750" t="s">
        <v>650</v>
      </c>
      <c r="K750" s="426">
        <f>K742</f>
        <v>0</v>
      </c>
      <c r="L750" s="426">
        <f t="shared" ref="L750:AL750" si="41">L742</f>
        <v>0</v>
      </c>
      <c r="M750" s="426">
        <f t="shared" si="41"/>
        <v>0</v>
      </c>
      <c r="N750" s="426">
        <f t="shared" si="41"/>
        <v>0</v>
      </c>
      <c r="O750" s="426">
        <f t="shared" si="41"/>
        <v>0</v>
      </c>
      <c r="P750" s="426">
        <f t="shared" si="41"/>
        <v>0</v>
      </c>
      <c r="Q750" s="426">
        <f t="shared" si="41"/>
        <v>0</v>
      </c>
      <c r="R750" s="426">
        <f t="shared" si="41"/>
        <v>0</v>
      </c>
      <c r="S750" s="426">
        <f t="shared" si="41"/>
        <v>0</v>
      </c>
      <c r="T750" s="426">
        <f t="shared" si="41"/>
        <v>2.7912331012078389E-2</v>
      </c>
      <c r="U750" s="426">
        <f t="shared" si="41"/>
        <v>0</v>
      </c>
      <c r="V750" s="426">
        <f t="shared" si="41"/>
        <v>1E-3</v>
      </c>
      <c r="W750" s="426">
        <f t="shared" si="41"/>
        <v>0</v>
      </c>
      <c r="X750" s="426">
        <f t="shared" si="41"/>
        <v>0</v>
      </c>
      <c r="Y750" s="426">
        <f t="shared" si="41"/>
        <v>0</v>
      </c>
      <c r="Z750" s="426">
        <f t="shared" si="41"/>
        <v>0</v>
      </c>
      <c r="AA750" s="426">
        <f t="shared" si="41"/>
        <v>0</v>
      </c>
      <c r="AB750" s="426">
        <f t="shared" si="41"/>
        <v>0</v>
      </c>
      <c r="AC750" s="426">
        <f t="shared" si="41"/>
        <v>0</v>
      </c>
      <c r="AD750" s="426">
        <f t="shared" si="41"/>
        <v>1E-3</v>
      </c>
      <c r="AE750" s="426">
        <f t="shared" si="41"/>
        <v>2.0134433337153691E-2</v>
      </c>
      <c r="AF750" s="426">
        <f t="shared" si="41"/>
        <v>0</v>
      </c>
      <c r="AG750" s="426">
        <f t="shared" si="41"/>
        <v>0</v>
      </c>
      <c r="AH750" s="426">
        <f t="shared" si="41"/>
        <v>0</v>
      </c>
      <c r="AI750" s="426">
        <f t="shared" si="41"/>
        <v>0</v>
      </c>
      <c r="AJ750" s="426">
        <f t="shared" si="41"/>
        <v>0</v>
      </c>
      <c r="AK750" s="426">
        <f t="shared" si="41"/>
        <v>0</v>
      </c>
      <c r="AL750" s="426">
        <f t="shared" si="41"/>
        <v>2.4176673865044865E-3</v>
      </c>
    </row>
    <row r="751" spans="3:47">
      <c r="C751" t="s">
        <v>515</v>
      </c>
      <c r="G751" s="4" t="s">
        <v>702</v>
      </c>
      <c r="H751" t="s">
        <v>661</v>
      </c>
      <c r="I751">
        <v>2050</v>
      </c>
      <c r="J751" t="s">
        <v>650</v>
      </c>
      <c r="K751" s="426">
        <f>K749</f>
        <v>0</v>
      </c>
      <c r="L751" s="426">
        <f t="shared" ref="L751:AL751" si="42">L749</f>
        <v>0</v>
      </c>
      <c r="M751" s="426">
        <f t="shared" si="42"/>
        <v>5.4967007249105165E-2</v>
      </c>
      <c r="N751" s="426">
        <f t="shared" si="42"/>
        <v>0</v>
      </c>
      <c r="O751" s="426">
        <f t="shared" si="42"/>
        <v>0</v>
      </c>
      <c r="P751" s="426">
        <f t="shared" si="42"/>
        <v>7.5112298847973434E-3</v>
      </c>
      <c r="Q751" s="426">
        <f t="shared" si="42"/>
        <v>1.3591105951689957E-2</v>
      </c>
      <c r="R751" s="426">
        <f t="shared" si="42"/>
        <v>0</v>
      </c>
      <c r="S751" s="426">
        <f t="shared" si="42"/>
        <v>3.5051732768259555E-2</v>
      </c>
      <c r="T751" s="426">
        <f t="shared" si="42"/>
        <v>8.6333554563383288E-3</v>
      </c>
      <c r="U751" s="426">
        <f t="shared" si="42"/>
        <v>0</v>
      </c>
      <c r="V751" s="426">
        <f t="shared" si="42"/>
        <v>5.6882967399520768E-3</v>
      </c>
      <c r="W751" s="426">
        <f t="shared" si="42"/>
        <v>0</v>
      </c>
      <c r="X751" s="426">
        <f t="shared" si="42"/>
        <v>0</v>
      </c>
      <c r="Y751" s="426">
        <f t="shared" si="42"/>
        <v>2.7787994220171155E-3</v>
      </c>
      <c r="Z751" s="426">
        <f t="shared" si="42"/>
        <v>7.5121681310049548E-3</v>
      </c>
      <c r="AA751" s="426">
        <f t="shared" si="42"/>
        <v>1.3171639290390735E-2</v>
      </c>
      <c r="AB751" s="426">
        <f t="shared" si="42"/>
        <v>0.62732289155304854</v>
      </c>
      <c r="AC751" s="426">
        <f t="shared" si="42"/>
        <v>0</v>
      </c>
      <c r="AD751" s="426">
        <f t="shared" si="42"/>
        <v>9.5552781608146987E-3</v>
      </c>
      <c r="AE751" s="426">
        <f t="shared" si="42"/>
        <v>1.5014083212701699E-2</v>
      </c>
      <c r="AF751" s="426">
        <f t="shared" si="42"/>
        <v>3.8902919404541575E-2</v>
      </c>
      <c r="AG751" s="426">
        <f t="shared" si="42"/>
        <v>3.0454378123189886E-2</v>
      </c>
      <c r="AH751" s="426">
        <f t="shared" si="42"/>
        <v>0</v>
      </c>
      <c r="AI751" s="426">
        <f t="shared" si="42"/>
        <v>0.10262766484878531</v>
      </c>
      <c r="AJ751" s="426">
        <f t="shared" si="42"/>
        <v>0</v>
      </c>
      <c r="AK751" s="426">
        <f t="shared" si="42"/>
        <v>1E-3</v>
      </c>
      <c r="AL751" s="426">
        <f t="shared" si="42"/>
        <v>1.1727367954192493E-2</v>
      </c>
    </row>
    <row r="752" spans="3:47">
      <c r="C752" t="s">
        <v>517</v>
      </c>
      <c r="G752" s="4" t="s">
        <v>702</v>
      </c>
      <c r="H752" t="s">
        <v>661</v>
      </c>
      <c r="I752">
        <v>2050</v>
      </c>
      <c r="J752" t="s">
        <v>650</v>
      </c>
      <c r="K752" s="426">
        <f>K750</f>
        <v>0</v>
      </c>
      <c r="L752" s="426">
        <f t="shared" ref="L752:AL752" si="43">L750</f>
        <v>0</v>
      </c>
      <c r="M752" s="426">
        <f t="shared" si="43"/>
        <v>0</v>
      </c>
      <c r="N752" s="426">
        <f t="shared" si="43"/>
        <v>0</v>
      </c>
      <c r="O752" s="426">
        <f t="shared" si="43"/>
        <v>0</v>
      </c>
      <c r="P752" s="426">
        <f t="shared" si="43"/>
        <v>0</v>
      </c>
      <c r="Q752" s="426">
        <f t="shared" si="43"/>
        <v>0</v>
      </c>
      <c r="R752" s="426">
        <f t="shared" si="43"/>
        <v>0</v>
      </c>
      <c r="S752" s="426">
        <f t="shared" si="43"/>
        <v>0</v>
      </c>
      <c r="T752" s="426">
        <f t="shared" si="43"/>
        <v>2.7912331012078389E-2</v>
      </c>
      <c r="U752" s="426">
        <f t="shared" si="43"/>
        <v>0</v>
      </c>
      <c r="V752" s="426">
        <f t="shared" si="43"/>
        <v>1E-3</v>
      </c>
      <c r="W752" s="426">
        <f t="shared" si="43"/>
        <v>0</v>
      </c>
      <c r="X752" s="426">
        <f t="shared" si="43"/>
        <v>0</v>
      </c>
      <c r="Y752" s="426">
        <f t="shared" si="43"/>
        <v>0</v>
      </c>
      <c r="Z752" s="426">
        <f t="shared" si="43"/>
        <v>0</v>
      </c>
      <c r="AA752" s="426">
        <f t="shared" si="43"/>
        <v>0</v>
      </c>
      <c r="AB752" s="426">
        <f t="shared" si="43"/>
        <v>0</v>
      </c>
      <c r="AC752" s="426">
        <f t="shared" si="43"/>
        <v>0</v>
      </c>
      <c r="AD752" s="426">
        <f t="shared" si="43"/>
        <v>1E-3</v>
      </c>
      <c r="AE752" s="426">
        <f t="shared" si="43"/>
        <v>2.0134433337153691E-2</v>
      </c>
      <c r="AF752" s="426">
        <f t="shared" si="43"/>
        <v>0</v>
      </c>
      <c r="AG752" s="426">
        <f t="shared" si="43"/>
        <v>0</v>
      </c>
      <c r="AH752" s="426">
        <f t="shared" si="43"/>
        <v>0</v>
      </c>
      <c r="AI752" s="426">
        <f t="shared" si="43"/>
        <v>0</v>
      </c>
      <c r="AJ752" s="426">
        <f t="shared" si="43"/>
        <v>0</v>
      </c>
      <c r="AK752" s="426">
        <f t="shared" si="43"/>
        <v>0</v>
      </c>
      <c r="AL752" s="426">
        <f t="shared" si="43"/>
        <v>2.4176673865044865E-3</v>
      </c>
    </row>
    <row r="753" spans="1:38">
      <c r="D753" t="str">
        <f>Commodities!$C$107</f>
        <v>UREFHVA</v>
      </c>
    </row>
    <row r="754" spans="1:38">
      <c r="A754" s="4" t="str">
        <f>AO432</f>
        <v>U-TRF-OILREFHVA_BIO01</v>
      </c>
      <c r="B754" s="4" t="str">
        <f>AP432</f>
        <v>UPS Transformation: Oil refinery HVAC Biomass - New</v>
      </c>
      <c r="C754" s="4"/>
      <c r="D754" s="4"/>
      <c r="E754" s="4"/>
      <c r="F754" s="4"/>
      <c r="G754" s="4" t="s">
        <v>695</v>
      </c>
      <c r="H754" s="4"/>
      <c r="I754" s="4"/>
      <c r="J754" s="4" t="s">
        <v>2665</v>
      </c>
      <c r="K754" s="333">
        <v>1</v>
      </c>
      <c r="L754" s="333">
        <v>1</v>
      </c>
      <c r="M754" s="333">
        <v>1</v>
      </c>
      <c r="N754" s="333">
        <v>1</v>
      </c>
      <c r="O754" s="333">
        <v>1</v>
      </c>
      <c r="P754" s="333">
        <v>1</v>
      </c>
      <c r="Q754" s="333">
        <v>1</v>
      </c>
      <c r="R754" s="333">
        <v>1</v>
      </c>
      <c r="S754" s="333">
        <v>1</v>
      </c>
      <c r="T754" s="333">
        <v>1</v>
      </c>
      <c r="U754" s="333">
        <v>1</v>
      </c>
      <c r="V754" s="333">
        <v>1</v>
      </c>
      <c r="W754" s="333">
        <v>1</v>
      </c>
      <c r="X754" s="333">
        <v>1</v>
      </c>
      <c r="Y754" s="333">
        <v>1</v>
      </c>
      <c r="Z754" s="333">
        <v>1</v>
      </c>
      <c r="AA754" s="333">
        <v>1</v>
      </c>
      <c r="AB754" s="333">
        <v>1</v>
      </c>
      <c r="AC754" s="333">
        <v>1</v>
      </c>
      <c r="AD754" s="333">
        <v>1</v>
      </c>
      <c r="AE754" s="333">
        <v>1</v>
      </c>
      <c r="AF754" s="333">
        <v>1</v>
      </c>
      <c r="AG754" s="333">
        <v>1</v>
      </c>
      <c r="AH754" s="333">
        <v>1</v>
      </c>
      <c r="AI754" s="333">
        <v>1</v>
      </c>
      <c r="AJ754" s="333">
        <v>1</v>
      </c>
      <c r="AK754" s="333">
        <v>1</v>
      </c>
      <c r="AL754" s="333">
        <v>1</v>
      </c>
    </row>
    <row r="755" spans="1:38">
      <c r="C755" s="4"/>
      <c r="D755" s="4"/>
      <c r="E755" s="4"/>
      <c r="F755" s="4"/>
      <c r="G755" s="4" t="s">
        <v>697</v>
      </c>
      <c r="H755" s="4"/>
      <c r="I755" s="4"/>
      <c r="J755" s="4" t="s">
        <v>698</v>
      </c>
      <c r="K755" s="424">
        <f>'Key inputs_Refineries'!$F$192</f>
        <v>15</v>
      </c>
      <c r="L755" s="424">
        <f>'Key inputs_Refineries'!$F$192</f>
        <v>15</v>
      </c>
      <c r="M755" s="424">
        <f>'Key inputs_Refineries'!$F$192</f>
        <v>15</v>
      </c>
      <c r="N755" s="424">
        <f>'Key inputs_Refineries'!$F$192</f>
        <v>15</v>
      </c>
      <c r="O755" s="424">
        <f>'Key inputs_Refineries'!$F$192</f>
        <v>15</v>
      </c>
      <c r="P755" s="424">
        <f>'Key inputs_Refineries'!$F$192</f>
        <v>15</v>
      </c>
      <c r="Q755" s="424">
        <f>'Key inputs_Refineries'!$F$192</f>
        <v>15</v>
      </c>
      <c r="R755" s="424">
        <f>'Key inputs_Refineries'!$F$192</f>
        <v>15</v>
      </c>
      <c r="S755" s="424">
        <f>'Key inputs_Refineries'!$F$192</f>
        <v>15</v>
      </c>
      <c r="T755" s="424">
        <f>'Key inputs_Refineries'!$F$192</f>
        <v>15</v>
      </c>
      <c r="U755" s="424">
        <f>'Key inputs_Refineries'!$F$192</f>
        <v>15</v>
      </c>
      <c r="V755" s="424">
        <f>'Key inputs_Refineries'!$F$192</f>
        <v>15</v>
      </c>
      <c r="W755" s="424">
        <f>'Key inputs_Refineries'!$F$192</f>
        <v>15</v>
      </c>
      <c r="X755" s="424">
        <f>'Key inputs_Refineries'!$F$192</f>
        <v>15</v>
      </c>
      <c r="Y755" s="424">
        <f>'Key inputs_Refineries'!$F$192</f>
        <v>15</v>
      </c>
      <c r="Z755" s="424">
        <f>'Key inputs_Refineries'!$F$192</f>
        <v>15</v>
      </c>
      <c r="AA755" s="424">
        <f>'Key inputs_Refineries'!$F$192</f>
        <v>15</v>
      </c>
      <c r="AB755" s="424">
        <f>'Key inputs_Refineries'!$F$192</f>
        <v>15</v>
      </c>
      <c r="AC755" s="424">
        <f>'Key inputs_Refineries'!$F$192</f>
        <v>15</v>
      </c>
      <c r="AD755" s="424">
        <f>'Key inputs_Refineries'!$F$192</f>
        <v>15</v>
      </c>
      <c r="AE755" s="424">
        <f>'Key inputs_Refineries'!$F$192</f>
        <v>15</v>
      </c>
      <c r="AF755" s="424">
        <f>'Key inputs_Refineries'!$F$192</f>
        <v>15</v>
      </c>
      <c r="AG755" s="424">
        <f>'Key inputs_Refineries'!$F$192</f>
        <v>15</v>
      </c>
      <c r="AH755" s="424">
        <f>'Key inputs_Refineries'!$F$192</f>
        <v>15</v>
      </c>
      <c r="AI755" s="424">
        <f>'Key inputs_Refineries'!$F$192</f>
        <v>15</v>
      </c>
      <c r="AJ755" s="424">
        <f>'Key inputs_Refineries'!$F$192</f>
        <v>15</v>
      </c>
      <c r="AK755" s="424">
        <f>'Key inputs_Refineries'!$F$192</f>
        <v>15</v>
      </c>
      <c r="AL755" s="424">
        <f>'Key inputs_Refineries'!$F$192</f>
        <v>15</v>
      </c>
    </row>
    <row r="756" spans="1:38">
      <c r="C756" s="4"/>
      <c r="D756" s="4"/>
      <c r="E756" s="4"/>
      <c r="F756" s="4"/>
      <c r="G756" s="4" t="s">
        <v>707</v>
      </c>
      <c r="H756" s="4"/>
      <c r="I756" s="4"/>
      <c r="J756" s="4" t="s">
        <v>2669</v>
      </c>
      <c r="K756" s="347">
        <v>2020</v>
      </c>
      <c r="L756" s="347">
        <v>2020</v>
      </c>
      <c r="M756" s="347">
        <v>2020</v>
      </c>
      <c r="N756" s="347">
        <v>2020</v>
      </c>
      <c r="O756" s="347">
        <v>2020</v>
      </c>
      <c r="P756" s="347">
        <v>2020</v>
      </c>
      <c r="Q756" s="347">
        <v>2020</v>
      </c>
      <c r="R756" s="347">
        <v>2020</v>
      </c>
      <c r="S756" s="347">
        <v>2020</v>
      </c>
      <c r="T756" s="347">
        <v>2020</v>
      </c>
      <c r="U756" s="347">
        <v>2020</v>
      </c>
      <c r="V756" s="347">
        <v>2020</v>
      </c>
      <c r="W756" s="347">
        <v>2020</v>
      </c>
      <c r="X756" s="347">
        <v>2020</v>
      </c>
      <c r="Y756" s="347">
        <v>2020</v>
      </c>
      <c r="Z756" s="347">
        <v>2020</v>
      </c>
      <c r="AA756" s="347">
        <v>2020</v>
      </c>
      <c r="AB756" s="347">
        <v>2020</v>
      </c>
      <c r="AC756" s="347">
        <v>2020</v>
      </c>
      <c r="AD756" s="347">
        <v>2020</v>
      </c>
      <c r="AE756" s="347">
        <v>2020</v>
      </c>
      <c r="AF756" s="347">
        <v>2020</v>
      </c>
      <c r="AG756" s="347">
        <v>2020</v>
      </c>
      <c r="AH756" s="347">
        <v>2020</v>
      </c>
      <c r="AI756" s="347">
        <v>2020</v>
      </c>
      <c r="AJ756" s="347">
        <v>2020</v>
      </c>
      <c r="AK756" s="347">
        <v>2020</v>
      </c>
      <c r="AL756" s="347">
        <v>2020</v>
      </c>
    </row>
    <row r="757" spans="1:38">
      <c r="G757" s="4" t="s">
        <v>701</v>
      </c>
      <c r="H757" s="4" t="s">
        <v>661</v>
      </c>
      <c r="I757" s="4">
        <v>2019</v>
      </c>
      <c r="J757" s="4" t="s">
        <v>112</v>
      </c>
      <c r="K757" s="333"/>
      <c r="L757" s="333"/>
      <c r="M757" s="333"/>
      <c r="N757" s="333"/>
      <c r="O757" s="333"/>
      <c r="P757" s="333"/>
      <c r="Q757" s="333"/>
      <c r="R757" s="333"/>
      <c r="S757" s="333"/>
      <c r="T757" s="333"/>
      <c r="U757" s="333"/>
      <c r="V757" s="333"/>
      <c r="W757" s="333"/>
      <c r="X757" s="333"/>
      <c r="Y757" s="333"/>
      <c r="Z757" s="333"/>
      <c r="AA757" s="333"/>
      <c r="AB757" s="333"/>
      <c r="AC757" s="333"/>
      <c r="AD757" s="333"/>
      <c r="AE757" s="333"/>
      <c r="AF757" s="333"/>
      <c r="AG757" s="333"/>
      <c r="AH757" s="333"/>
      <c r="AI757" s="333"/>
      <c r="AJ757" s="333"/>
      <c r="AK757" s="333"/>
      <c r="AL757" s="333"/>
    </row>
    <row r="758" spans="1:38">
      <c r="G758" s="4" t="s">
        <v>701</v>
      </c>
      <c r="H758" s="4" t="s">
        <v>661</v>
      </c>
      <c r="I758" s="4">
        <v>2060</v>
      </c>
      <c r="J758" s="4" t="s">
        <v>112</v>
      </c>
      <c r="K758" s="333"/>
      <c r="L758" s="333"/>
      <c r="M758" s="333"/>
      <c r="N758" s="333"/>
      <c r="O758" s="333"/>
      <c r="P758" s="333"/>
      <c r="Q758" s="333"/>
      <c r="R758" s="333"/>
      <c r="S758" s="333"/>
      <c r="T758" s="333"/>
      <c r="U758" s="333"/>
      <c r="V758" s="333"/>
      <c r="W758" s="333"/>
      <c r="X758" s="333"/>
      <c r="Y758" s="333"/>
      <c r="Z758" s="333"/>
      <c r="AA758" s="333"/>
      <c r="AB758" s="333"/>
      <c r="AC758" s="333"/>
      <c r="AD758" s="333"/>
      <c r="AE758" s="333"/>
      <c r="AF758" s="333"/>
      <c r="AG758" s="333"/>
      <c r="AH758" s="333"/>
      <c r="AI758" s="333"/>
      <c r="AJ758" s="333"/>
      <c r="AK758" s="333"/>
      <c r="AL758" s="333"/>
    </row>
    <row r="759" spans="1:38">
      <c r="G759" s="4" t="s">
        <v>701</v>
      </c>
      <c r="H759" s="4" t="s">
        <v>661</v>
      </c>
      <c r="I759" s="4">
        <v>0</v>
      </c>
      <c r="J759" s="4"/>
      <c r="K759" s="333"/>
      <c r="L759" s="333"/>
      <c r="M759" s="333"/>
      <c r="N759" s="333"/>
      <c r="O759" s="333"/>
      <c r="P759" s="333"/>
      <c r="Q759" s="333"/>
      <c r="R759" s="333"/>
      <c r="S759" s="333"/>
      <c r="T759" s="333"/>
      <c r="U759" s="333"/>
      <c r="V759" s="333"/>
      <c r="W759" s="333"/>
      <c r="X759" s="333"/>
      <c r="Y759" s="333"/>
      <c r="Z759" s="333"/>
      <c r="AA759" s="333"/>
      <c r="AB759" s="333"/>
      <c r="AC759" s="333"/>
      <c r="AD759" s="333"/>
      <c r="AE759" s="333"/>
      <c r="AF759" s="333"/>
      <c r="AG759" s="333"/>
      <c r="AH759" s="333"/>
      <c r="AI759" s="333"/>
      <c r="AJ759" s="333"/>
      <c r="AK759" s="333"/>
      <c r="AL759" s="333"/>
    </row>
    <row r="760" spans="1:38">
      <c r="G760" s="4" t="s">
        <v>687</v>
      </c>
      <c r="H760" s="4"/>
      <c r="I760" s="4"/>
      <c r="J760" s="4" t="s">
        <v>2663</v>
      </c>
      <c r="K760" s="425">
        <f>'Key inputs_Refineries'!$C$192*10^3</f>
        <v>230.21279999999999</v>
      </c>
      <c r="L760" s="425">
        <f>'Key inputs_Refineries'!$C$192*10^3</f>
        <v>230.21279999999999</v>
      </c>
      <c r="M760" s="425">
        <f>'Key inputs_Refineries'!$C$192*10^3</f>
        <v>230.21279999999999</v>
      </c>
      <c r="N760" s="425">
        <f>'Key inputs_Refineries'!$C$192*10^3</f>
        <v>230.21279999999999</v>
      </c>
      <c r="O760" s="425">
        <f>'Key inputs_Refineries'!$C$192*10^3</f>
        <v>230.21279999999999</v>
      </c>
      <c r="P760" s="425">
        <f>'Key inputs_Refineries'!$C$192*10^3</f>
        <v>230.21279999999999</v>
      </c>
      <c r="Q760" s="425">
        <f>'Key inputs_Refineries'!$C$192*10^3</f>
        <v>230.21279999999999</v>
      </c>
      <c r="R760" s="425">
        <f>'Key inputs_Refineries'!$C$192*10^3</f>
        <v>230.21279999999999</v>
      </c>
      <c r="S760" s="425">
        <f>'Key inputs_Refineries'!$C$192*10^3</f>
        <v>230.21279999999999</v>
      </c>
      <c r="T760" s="425">
        <f>'Key inputs_Refineries'!$C$192*10^3</f>
        <v>230.21279999999999</v>
      </c>
      <c r="U760" s="425">
        <f>'Key inputs_Refineries'!$C$192*10^3</f>
        <v>230.21279999999999</v>
      </c>
      <c r="V760" s="425">
        <f>'Key inputs_Refineries'!$C$192*10^3</f>
        <v>230.21279999999999</v>
      </c>
      <c r="W760" s="425">
        <f>'Key inputs_Refineries'!$C$192*10^3</f>
        <v>230.21279999999999</v>
      </c>
      <c r="X760" s="425">
        <f>'Key inputs_Refineries'!$C$192*10^3</f>
        <v>230.21279999999999</v>
      </c>
      <c r="Y760" s="425">
        <f>'Key inputs_Refineries'!$C$192*10^3</f>
        <v>230.21279999999999</v>
      </c>
      <c r="Z760" s="425">
        <f>'Key inputs_Refineries'!$C$192*10^3</f>
        <v>230.21279999999999</v>
      </c>
      <c r="AA760" s="425">
        <f>'Key inputs_Refineries'!$C$192*10^3</f>
        <v>230.21279999999999</v>
      </c>
      <c r="AB760" s="425">
        <f>'Key inputs_Refineries'!$C$192*10^3</f>
        <v>230.21279999999999</v>
      </c>
      <c r="AC760" s="425">
        <f>'Key inputs_Refineries'!$C$192*10^3</f>
        <v>230.21279999999999</v>
      </c>
      <c r="AD760" s="425">
        <f>'Key inputs_Refineries'!$C$192*10^3</f>
        <v>230.21279999999999</v>
      </c>
      <c r="AE760" s="425">
        <f>'Key inputs_Refineries'!$C$192*10^3</f>
        <v>230.21279999999999</v>
      </c>
      <c r="AF760" s="425">
        <f>'Key inputs_Refineries'!$C$192*10^3</f>
        <v>230.21279999999999</v>
      </c>
      <c r="AG760" s="425">
        <f>'Key inputs_Refineries'!$C$192*10^3</f>
        <v>230.21279999999999</v>
      </c>
      <c r="AH760" s="425">
        <f>'Key inputs_Refineries'!$C$192*10^3</f>
        <v>230.21279999999999</v>
      </c>
      <c r="AI760" s="425">
        <f>'Key inputs_Refineries'!$C$192*10^3</f>
        <v>230.21279999999999</v>
      </c>
      <c r="AJ760" s="425">
        <f>'Key inputs_Refineries'!$C$192*10^3</f>
        <v>230.21279999999999</v>
      </c>
      <c r="AK760" s="425">
        <f>'Key inputs_Refineries'!$C$192*10^3</f>
        <v>230.21279999999999</v>
      </c>
      <c r="AL760" s="425">
        <f>'Key inputs_Refineries'!$C$192*10^3</f>
        <v>230.21279999999999</v>
      </c>
    </row>
    <row r="761" spans="1:38">
      <c r="G761" s="4" t="s">
        <v>689</v>
      </c>
      <c r="H761" s="4"/>
      <c r="I761" s="4"/>
      <c r="J761" s="4" t="s">
        <v>2663</v>
      </c>
      <c r="K761" s="425">
        <f>'Key inputs_Refineries'!$D$192*10^3</f>
        <v>1.8921600000000001</v>
      </c>
      <c r="L761" s="425">
        <f>'Key inputs_Refineries'!$D$192*10^3</f>
        <v>1.8921600000000001</v>
      </c>
      <c r="M761" s="425">
        <f>'Key inputs_Refineries'!$D$192*10^3</f>
        <v>1.8921600000000001</v>
      </c>
      <c r="N761" s="425">
        <f>'Key inputs_Refineries'!$D$192*10^3</f>
        <v>1.8921600000000001</v>
      </c>
      <c r="O761" s="425">
        <f>'Key inputs_Refineries'!$D$192*10^3</f>
        <v>1.8921600000000001</v>
      </c>
      <c r="P761" s="425">
        <f>'Key inputs_Refineries'!$D$192*10^3</f>
        <v>1.8921600000000001</v>
      </c>
      <c r="Q761" s="425">
        <f>'Key inputs_Refineries'!$D$192*10^3</f>
        <v>1.8921600000000001</v>
      </c>
      <c r="R761" s="425">
        <f>'Key inputs_Refineries'!$D$192*10^3</f>
        <v>1.8921600000000001</v>
      </c>
      <c r="S761" s="425">
        <f>'Key inputs_Refineries'!$D$192*10^3</f>
        <v>1.8921600000000001</v>
      </c>
      <c r="T761" s="425">
        <f>'Key inputs_Refineries'!$D$192*10^3</f>
        <v>1.8921600000000001</v>
      </c>
      <c r="U761" s="425">
        <f>'Key inputs_Refineries'!$D$192*10^3</f>
        <v>1.8921600000000001</v>
      </c>
      <c r="V761" s="425">
        <f>'Key inputs_Refineries'!$D$192*10^3</f>
        <v>1.8921600000000001</v>
      </c>
      <c r="W761" s="425">
        <f>'Key inputs_Refineries'!$D$192*10^3</f>
        <v>1.8921600000000001</v>
      </c>
      <c r="X761" s="425">
        <f>'Key inputs_Refineries'!$D$192*10^3</f>
        <v>1.8921600000000001</v>
      </c>
      <c r="Y761" s="425">
        <f>'Key inputs_Refineries'!$D$192*10^3</f>
        <v>1.8921600000000001</v>
      </c>
      <c r="Z761" s="425">
        <f>'Key inputs_Refineries'!$D$192*10^3</f>
        <v>1.8921600000000001</v>
      </c>
      <c r="AA761" s="425">
        <f>'Key inputs_Refineries'!$D$192*10^3</f>
        <v>1.8921600000000001</v>
      </c>
      <c r="AB761" s="425">
        <f>'Key inputs_Refineries'!$D$192*10^3</f>
        <v>1.8921600000000001</v>
      </c>
      <c r="AC761" s="425">
        <f>'Key inputs_Refineries'!$D$192*10^3</f>
        <v>1.8921600000000001</v>
      </c>
      <c r="AD761" s="425">
        <f>'Key inputs_Refineries'!$D$192*10^3</f>
        <v>1.8921600000000001</v>
      </c>
      <c r="AE761" s="425">
        <f>'Key inputs_Refineries'!$D$192*10^3</f>
        <v>1.8921600000000001</v>
      </c>
      <c r="AF761" s="425">
        <f>'Key inputs_Refineries'!$D$192*10^3</f>
        <v>1.8921600000000001</v>
      </c>
      <c r="AG761" s="425">
        <f>'Key inputs_Refineries'!$D$192*10^3</f>
        <v>1.8921600000000001</v>
      </c>
      <c r="AH761" s="425">
        <f>'Key inputs_Refineries'!$D$192*10^3</f>
        <v>1.8921600000000001</v>
      </c>
      <c r="AI761" s="425">
        <f>'Key inputs_Refineries'!$D$192*10^3</f>
        <v>1.8921600000000001</v>
      </c>
      <c r="AJ761" s="425">
        <f>'Key inputs_Refineries'!$D$192*10^3</f>
        <v>1.8921600000000001</v>
      </c>
      <c r="AK761" s="425">
        <f>'Key inputs_Refineries'!$D$192*10^3</f>
        <v>1.8921600000000001</v>
      </c>
      <c r="AL761" s="425">
        <f>'Key inputs_Refineries'!$D$192*10^3</f>
        <v>1.8921600000000001</v>
      </c>
    </row>
    <row r="762" spans="1:38">
      <c r="G762" s="4" t="s">
        <v>675</v>
      </c>
      <c r="H762" s="4"/>
      <c r="I762" s="4"/>
      <c r="J762" s="4" t="s">
        <v>2662</v>
      </c>
      <c r="K762" s="338"/>
      <c r="L762" s="338"/>
      <c r="M762" s="338"/>
      <c r="N762" s="338"/>
      <c r="O762" s="338"/>
      <c r="P762" s="338"/>
      <c r="Q762" s="338"/>
      <c r="R762" s="338"/>
      <c r="S762" s="338"/>
      <c r="T762" s="338"/>
      <c r="U762" s="338"/>
      <c r="V762" s="338"/>
      <c r="W762" s="338"/>
      <c r="X762" s="338"/>
      <c r="Y762" s="338"/>
      <c r="Z762" s="338"/>
      <c r="AA762" s="338"/>
      <c r="AB762" s="338"/>
      <c r="AC762" s="338"/>
      <c r="AD762" s="338"/>
      <c r="AE762" s="338"/>
      <c r="AF762" s="338"/>
      <c r="AG762" s="338"/>
      <c r="AH762" s="338"/>
      <c r="AI762" s="338"/>
      <c r="AJ762" s="338"/>
      <c r="AK762" s="338"/>
      <c r="AL762" s="338"/>
    </row>
    <row r="763" spans="1:38">
      <c r="G763" s="4" t="s">
        <v>630</v>
      </c>
      <c r="H763" s="4"/>
      <c r="I763" s="4"/>
      <c r="J763" s="4" t="s">
        <v>2666</v>
      </c>
      <c r="K763" s="425">
        <f>'Key inputs_Refineries'!$H$192</f>
        <v>0.6</v>
      </c>
      <c r="L763" s="425">
        <f>'Key inputs_Refineries'!$H$192</f>
        <v>0.6</v>
      </c>
      <c r="M763" s="425">
        <f>'Key inputs_Refineries'!$H$192</f>
        <v>0.6</v>
      </c>
      <c r="N763" s="425">
        <f>'Key inputs_Refineries'!$H$192</f>
        <v>0.6</v>
      </c>
      <c r="O763" s="425">
        <f>'Key inputs_Refineries'!$H$192</f>
        <v>0.6</v>
      </c>
      <c r="P763" s="425">
        <f>'Key inputs_Refineries'!$H$192</f>
        <v>0.6</v>
      </c>
      <c r="Q763" s="425">
        <f>'Key inputs_Refineries'!$H$192</f>
        <v>0.6</v>
      </c>
      <c r="R763" s="425">
        <f>'Key inputs_Refineries'!$H$192</f>
        <v>0.6</v>
      </c>
      <c r="S763" s="425">
        <f>'Key inputs_Refineries'!$H$192</f>
        <v>0.6</v>
      </c>
      <c r="T763" s="425">
        <f>'Key inputs_Refineries'!$H$192</f>
        <v>0.6</v>
      </c>
      <c r="U763" s="425">
        <f>'Key inputs_Refineries'!$H$192</f>
        <v>0.6</v>
      </c>
      <c r="V763" s="425">
        <f>'Key inputs_Refineries'!$H$192</f>
        <v>0.6</v>
      </c>
      <c r="W763" s="425">
        <f>'Key inputs_Refineries'!$H$192</f>
        <v>0.6</v>
      </c>
      <c r="X763" s="425">
        <f>'Key inputs_Refineries'!$H$192</f>
        <v>0.6</v>
      </c>
      <c r="Y763" s="425">
        <f>'Key inputs_Refineries'!$H$192</f>
        <v>0.6</v>
      </c>
      <c r="Z763" s="425">
        <f>'Key inputs_Refineries'!$H$192</f>
        <v>0.6</v>
      </c>
      <c r="AA763" s="425">
        <f>'Key inputs_Refineries'!$H$192</f>
        <v>0.6</v>
      </c>
      <c r="AB763" s="425">
        <f>'Key inputs_Refineries'!$H$192</f>
        <v>0.6</v>
      </c>
      <c r="AC763" s="425">
        <f>'Key inputs_Refineries'!$H$192</f>
        <v>0.6</v>
      </c>
      <c r="AD763" s="425">
        <f>'Key inputs_Refineries'!$H$192</f>
        <v>0.6</v>
      </c>
      <c r="AE763" s="425">
        <f>'Key inputs_Refineries'!$H$192</f>
        <v>0.6</v>
      </c>
      <c r="AF763" s="425">
        <f>'Key inputs_Refineries'!$H$192</f>
        <v>0.6</v>
      </c>
      <c r="AG763" s="425">
        <f>'Key inputs_Refineries'!$H$192</f>
        <v>0.6</v>
      </c>
      <c r="AH763" s="425">
        <f>'Key inputs_Refineries'!$H$192</f>
        <v>0.6</v>
      </c>
      <c r="AI763" s="425">
        <f>'Key inputs_Refineries'!$H$192</f>
        <v>0.6</v>
      </c>
      <c r="AJ763" s="425">
        <f>'Key inputs_Refineries'!$H$192</f>
        <v>0.6</v>
      </c>
      <c r="AK763" s="425">
        <f>'Key inputs_Refineries'!$H$192</f>
        <v>0.6</v>
      </c>
      <c r="AL763" s="425">
        <f>'Key inputs_Refineries'!$H$192</f>
        <v>0.6</v>
      </c>
    </row>
    <row r="764" spans="1:38">
      <c r="C764" t="str">
        <f>Commodities!$C$85</f>
        <v>UPSBIO</v>
      </c>
      <c r="G764" s="4" t="s">
        <v>702</v>
      </c>
      <c r="H764" t="s">
        <v>661</v>
      </c>
      <c r="I764">
        <v>2019</v>
      </c>
      <c r="J764" t="s">
        <v>650</v>
      </c>
      <c r="K764" s="426">
        <v>1</v>
      </c>
      <c r="L764" s="426">
        <v>1</v>
      </c>
      <c r="M764" s="426">
        <v>1</v>
      </c>
      <c r="N764" s="426">
        <v>1</v>
      </c>
      <c r="O764" s="426">
        <v>1</v>
      </c>
      <c r="P764" s="426">
        <v>1</v>
      </c>
      <c r="Q764" s="426">
        <v>1</v>
      </c>
      <c r="R764" s="426">
        <v>1</v>
      </c>
      <c r="S764" s="426">
        <v>1</v>
      </c>
      <c r="T764" s="426">
        <v>1</v>
      </c>
      <c r="U764" s="426">
        <v>1</v>
      </c>
      <c r="V764" s="426">
        <v>1</v>
      </c>
      <c r="W764" s="426">
        <v>1</v>
      </c>
      <c r="X764" s="426">
        <v>1</v>
      </c>
      <c r="Y764" s="426">
        <v>1</v>
      </c>
      <c r="Z764" s="426">
        <v>1</v>
      </c>
      <c r="AA764" s="426">
        <v>1</v>
      </c>
      <c r="AB764" s="426">
        <v>1</v>
      </c>
      <c r="AC764" s="426">
        <v>1</v>
      </c>
      <c r="AD764" s="426">
        <v>1</v>
      </c>
      <c r="AE764" s="426">
        <v>1</v>
      </c>
      <c r="AF764" s="426">
        <v>1</v>
      </c>
      <c r="AG764" s="426">
        <v>1</v>
      </c>
      <c r="AH764" s="426">
        <v>1</v>
      </c>
      <c r="AI764" s="426">
        <v>1</v>
      </c>
      <c r="AJ764" s="426">
        <v>1</v>
      </c>
      <c r="AK764" s="426">
        <v>1</v>
      </c>
      <c r="AL764" s="426">
        <v>1</v>
      </c>
    </row>
    <row r="765" spans="1:38">
      <c r="C765" t="str">
        <f>Commodities!$C$101</f>
        <v>UPSWAS</v>
      </c>
      <c r="G765" s="4" t="s">
        <v>702</v>
      </c>
      <c r="H765" t="s">
        <v>661</v>
      </c>
      <c r="I765">
        <v>2019</v>
      </c>
      <c r="J765" t="s">
        <v>650</v>
      </c>
      <c r="K765" s="426">
        <v>1</v>
      </c>
      <c r="L765" s="426">
        <v>1</v>
      </c>
      <c r="M765" s="426">
        <v>1</v>
      </c>
      <c r="N765" s="426">
        <v>1</v>
      </c>
      <c r="O765" s="426">
        <v>1</v>
      </c>
      <c r="P765" s="426">
        <v>1</v>
      </c>
      <c r="Q765" s="426">
        <v>1</v>
      </c>
      <c r="R765" s="426">
        <v>1</v>
      </c>
      <c r="S765" s="426">
        <v>1</v>
      </c>
      <c r="T765" s="426">
        <v>1</v>
      </c>
      <c r="U765" s="426">
        <v>1</v>
      </c>
      <c r="V765" s="426">
        <v>1</v>
      </c>
      <c r="W765" s="426">
        <v>1</v>
      </c>
      <c r="X765" s="426">
        <v>1</v>
      </c>
      <c r="Y765" s="426">
        <v>1</v>
      </c>
      <c r="Z765" s="426">
        <v>1</v>
      </c>
      <c r="AA765" s="426">
        <v>1</v>
      </c>
      <c r="AB765" s="426">
        <v>1</v>
      </c>
      <c r="AC765" s="426">
        <v>1</v>
      </c>
      <c r="AD765" s="426">
        <v>1</v>
      </c>
      <c r="AE765" s="426">
        <v>1</v>
      </c>
      <c r="AF765" s="426">
        <v>1</v>
      </c>
      <c r="AG765" s="426">
        <v>1</v>
      </c>
      <c r="AH765" s="426">
        <v>1</v>
      </c>
      <c r="AI765" s="426">
        <v>1</v>
      </c>
      <c r="AJ765" s="426">
        <v>1</v>
      </c>
      <c r="AK765" s="426">
        <v>1</v>
      </c>
      <c r="AL765" s="426">
        <v>1</v>
      </c>
    </row>
    <row r="766" spans="1:38">
      <c r="C766" t="str">
        <f>Commodities!$C$85</f>
        <v>UPSBIO</v>
      </c>
      <c r="G766" s="4" t="s">
        <v>702</v>
      </c>
      <c r="H766" t="s">
        <v>661</v>
      </c>
      <c r="I766">
        <v>2025</v>
      </c>
      <c r="J766" t="s">
        <v>650</v>
      </c>
      <c r="K766" s="426">
        <v>1</v>
      </c>
      <c r="L766" s="426">
        <v>1</v>
      </c>
      <c r="M766" s="426">
        <v>1</v>
      </c>
      <c r="N766" s="426">
        <v>1</v>
      </c>
      <c r="O766" s="426">
        <v>1</v>
      </c>
      <c r="P766" s="426">
        <v>1</v>
      </c>
      <c r="Q766" s="426">
        <v>1</v>
      </c>
      <c r="R766" s="426">
        <v>1</v>
      </c>
      <c r="S766" s="426">
        <v>1</v>
      </c>
      <c r="T766" s="426">
        <v>1</v>
      </c>
      <c r="U766" s="426">
        <v>1</v>
      </c>
      <c r="V766" s="426">
        <v>1</v>
      </c>
      <c r="W766" s="426">
        <v>1</v>
      </c>
      <c r="X766" s="426">
        <v>1</v>
      </c>
      <c r="Y766" s="426">
        <v>1</v>
      </c>
      <c r="Z766" s="426">
        <v>1</v>
      </c>
      <c r="AA766" s="426">
        <v>1</v>
      </c>
      <c r="AB766" s="426">
        <v>1</v>
      </c>
      <c r="AC766" s="426">
        <v>1</v>
      </c>
      <c r="AD766" s="426">
        <v>1</v>
      </c>
      <c r="AE766" s="426">
        <v>1</v>
      </c>
      <c r="AF766" s="426">
        <v>1</v>
      </c>
      <c r="AG766" s="426">
        <v>1</v>
      </c>
      <c r="AH766" s="426">
        <v>1</v>
      </c>
      <c r="AI766" s="426">
        <v>1</v>
      </c>
      <c r="AJ766" s="426">
        <v>1</v>
      </c>
      <c r="AK766" s="426">
        <v>1</v>
      </c>
      <c r="AL766" s="426">
        <v>1</v>
      </c>
    </row>
    <row r="767" spans="1:38">
      <c r="C767" t="str">
        <f>Commodities!$C$101</f>
        <v>UPSWAS</v>
      </c>
      <c r="G767" s="4" t="s">
        <v>702</v>
      </c>
      <c r="H767" t="s">
        <v>661</v>
      </c>
      <c r="I767">
        <v>2025</v>
      </c>
      <c r="J767" t="s">
        <v>650</v>
      </c>
      <c r="K767" s="426">
        <v>1</v>
      </c>
      <c r="L767" s="426">
        <v>1</v>
      </c>
      <c r="M767" s="426">
        <v>1</v>
      </c>
      <c r="N767" s="426">
        <v>1</v>
      </c>
      <c r="O767" s="426">
        <v>1</v>
      </c>
      <c r="P767" s="426">
        <v>1</v>
      </c>
      <c r="Q767" s="426">
        <v>1</v>
      </c>
      <c r="R767" s="426">
        <v>1</v>
      </c>
      <c r="S767" s="426">
        <v>1</v>
      </c>
      <c r="T767" s="426">
        <v>1</v>
      </c>
      <c r="U767" s="426">
        <v>1</v>
      </c>
      <c r="V767" s="426">
        <v>1</v>
      </c>
      <c r="W767" s="426">
        <v>1</v>
      </c>
      <c r="X767" s="426">
        <v>1</v>
      </c>
      <c r="Y767" s="426">
        <v>1</v>
      </c>
      <c r="Z767" s="426">
        <v>1</v>
      </c>
      <c r="AA767" s="426">
        <v>1</v>
      </c>
      <c r="AB767" s="426">
        <v>1</v>
      </c>
      <c r="AC767" s="426">
        <v>1</v>
      </c>
      <c r="AD767" s="426">
        <v>1</v>
      </c>
      <c r="AE767" s="426">
        <v>1</v>
      </c>
      <c r="AF767" s="426">
        <v>1</v>
      </c>
      <c r="AG767" s="426">
        <v>1</v>
      </c>
      <c r="AH767" s="426">
        <v>1</v>
      </c>
      <c r="AI767" s="426">
        <v>1</v>
      </c>
      <c r="AJ767" s="426">
        <v>1</v>
      </c>
      <c r="AK767" s="426">
        <v>1</v>
      </c>
      <c r="AL767" s="426">
        <v>1</v>
      </c>
    </row>
    <row r="768" spans="1:38">
      <c r="C768" t="str">
        <f>Commodities!$C$85</f>
        <v>UPSBIO</v>
      </c>
      <c r="G768" s="4" t="s">
        <v>702</v>
      </c>
      <c r="H768" t="s">
        <v>661</v>
      </c>
      <c r="I768">
        <v>2050</v>
      </c>
      <c r="J768" t="s">
        <v>650</v>
      </c>
      <c r="K768" s="426">
        <v>1</v>
      </c>
      <c r="L768" s="426">
        <v>1</v>
      </c>
      <c r="M768" s="426">
        <v>1</v>
      </c>
      <c r="N768" s="426">
        <v>1</v>
      </c>
      <c r="O768" s="426">
        <v>1</v>
      </c>
      <c r="P768" s="426">
        <v>1</v>
      </c>
      <c r="Q768" s="426">
        <v>1</v>
      </c>
      <c r="R768" s="426">
        <v>1</v>
      </c>
      <c r="S768" s="426">
        <v>1</v>
      </c>
      <c r="T768" s="426">
        <v>1</v>
      </c>
      <c r="U768" s="426">
        <v>1</v>
      </c>
      <c r="V768" s="426">
        <v>1</v>
      </c>
      <c r="W768" s="426">
        <v>1</v>
      </c>
      <c r="X768" s="426">
        <v>1</v>
      </c>
      <c r="Y768" s="426">
        <v>1</v>
      </c>
      <c r="Z768" s="426">
        <v>1</v>
      </c>
      <c r="AA768" s="426">
        <v>1</v>
      </c>
      <c r="AB768" s="426">
        <v>1</v>
      </c>
      <c r="AC768" s="426">
        <v>1</v>
      </c>
      <c r="AD768" s="426">
        <v>1</v>
      </c>
      <c r="AE768" s="426">
        <v>1</v>
      </c>
      <c r="AF768" s="426">
        <v>1</v>
      </c>
      <c r="AG768" s="426">
        <v>1</v>
      </c>
      <c r="AH768" s="426">
        <v>1</v>
      </c>
      <c r="AI768" s="426">
        <v>1</v>
      </c>
      <c r="AJ768" s="426">
        <v>1</v>
      </c>
      <c r="AK768" s="426">
        <v>1</v>
      </c>
      <c r="AL768" s="426">
        <v>1</v>
      </c>
    </row>
    <row r="769" spans="1:38">
      <c r="C769" t="str">
        <f>Commodities!$C$101</f>
        <v>UPSWAS</v>
      </c>
      <c r="G769" s="4" t="s">
        <v>702</v>
      </c>
      <c r="H769" t="s">
        <v>661</v>
      </c>
      <c r="I769">
        <v>2050</v>
      </c>
      <c r="J769" t="s">
        <v>650</v>
      </c>
      <c r="K769" s="426">
        <v>1</v>
      </c>
      <c r="L769" s="426">
        <v>1</v>
      </c>
      <c r="M769" s="426">
        <v>1</v>
      </c>
      <c r="N769" s="426">
        <v>1</v>
      </c>
      <c r="O769" s="426">
        <v>1</v>
      </c>
      <c r="P769" s="426">
        <v>1</v>
      </c>
      <c r="Q769" s="426">
        <v>1</v>
      </c>
      <c r="R769" s="426">
        <v>1</v>
      </c>
      <c r="S769" s="426">
        <v>1</v>
      </c>
      <c r="T769" s="426">
        <v>1</v>
      </c>
      <c r="U769" s="426">
        <v>1</v>
      </c>
      <c r="V769" s="426">
        <v>1</v>
      </c>
      <c r="W769" s="426">
        <v>1</v>
      </c>
      <c r="X769" s="426">
        <v>1</v>
      </c>
      <c r="Y769" s="426">
        <v>1</v>
      </c>
      <c r="Z769" s="426">
        <v>1</v>
      </c>
      <c r="AA769" s="426">
        <v>1</v>
      </c>
      <c r="AB769" s="426">
        <v>1</v>
      </c>
      <c r="AC769" s="426">
        <v>1</v>
      </c>
      <c r="AD769" s="426">
        <v>1</v>
      </c>
      <c r="AE769" s="426">
        <v>1</v>
      </c>
      <c r="AF769" s="426">
        <v>1</v>
      </c>
      <c r="AG769" s="426">
        <v>1</v>
      </c>
      <c r="AH769" s="426">
        <v>1</v>
      </c>
      <c r="AI769" s="426">
        <v>1</v>
      </c>
      <c r="AJ769" s="426">
        <v>1</v>
      </c>
      <c r="AK769" s="426">
        <v>1</v>
      </c>
      <c r="AL769" s="426">
        <v>1</v>
      </c>
    </row>
    <row r="770" spans="1:38">
      <c r="D770" t="str">
        <f>Commodities!$C$107</f>
        <v>UREFHVA</v>
      </c>
    </row>
    <row r="771" spans="1:38">
      <c r="A771" s="4" t="str">
        <f>AO433</f>
        <v>U-TRF-OILREFHVA_COA01</v>
      </c>
      <c r="B771" s="4" t="str">
        <f>AP433</f>
        <v>UPS Transformation: Oil refinery HVAC Coal - New</v>
      </c>
      <c r="C771" s="4"/>
      <c r="D771" s="4"/>
      <c r="E771" s="4"/>
      <c r="F771" s="4"/>
      <c r="G771" s="4" t="s">
        <v>695</v>
      </c>
      <c r="H771" s="4"/>
      <c r="I771" s="4"/>
      <c r="J771" s="4" t="s">
        <v>2665</v>
      </c>
      <c r="K771" s="333">
        <v>1</v>
      </c>
      <c r="L771" s="333">
        <v>1</v>
      </c>
      <c r="M771" s="333">
        <v>1</v>
      </c>
      <c r="N771" s="333">
        <v>1</v>
      </c>
      <c r="O771" s="333">
        <v>1</v>
      </c>
      <c r="P771" s="333">
        <v>1</v>
      </c>
      <c r="Q771" s="333">
        <v>1</v>
      </c>
      <c r="R771" s="333">
        <v>1</v>
      </c>
      <c r="S771" s="333">
        <v>1</v>
      </c>
      <c r="T771" s="333">
        <v>1</v>
      </c>
      <c r="U771" s="333">
        <v>1</v>
      </c>
      <c r="V771" s="333">
        <v>1</v>
      </c>
      <c r="W771" s="333">
        <v>1</v>
      </c>
      <c r="X771" s="333">
        <v>1</v>
      </c>
      <c r="Y771" s="333">
        <v>1</v>
      </c>
      <c r="Z771" s="333">
        <v>1</v>
      </c>
      <c r="AA771" s="333">
        <v>1</v>
      </c>
      <c r="AB771" s="333">
        <v>1</v>
      </c>
      <c r="AC771" s="333">
        <v>1</v>
      </c>
      <c r="AD771" s="333">
        <v>1</v>
      </c>
      <c r="AE771" s="333">
        <v>1</v>
      </c>
      <c r="AF771" s="333">
        <v>1</v>
      </c>
      <c r="AG771" s="333">
        <v>1</v>
      </c>
      <c r="AH771" s="333">
        <v>1</v>
      </c>
      <c r="AI771" s="333">
        <v>1</v>
      </c>
      <c r="AJ771" s="333">
        <v>1</v>
      </c>
      <c r="AK771" s="333">
        <v>1</v>
      </c>
      <c r="AL771" s="333">
        <v>1</v>
      </c>
    </row>
    <row r="772" spans="1:38">
      <c r="C772" s="4"/>
      <c r="D772" s="4"/>
      <c r="E772" s="4"/>
      <c r="F772" s="4"/>
      <c r="G772" s="4" t="s">
        <v>697</v>
      </c>
      <c r="H772" s="4"/>
      <c r="I772" s="4"/>
      <c r="J772" s="4" t="s">
        <v>698</v>
      </c>
      <c r="K772" s="424">
        <f>'Key inputs_Refineries'!$F$193</f>
        <v>15</v>
      </c>
      <c r="L772" s="424">
        <f>'Key inputs_Refineries'!$F$193</f>
        <v>15</v>
      </c>
      <c r="M772" s="424">
        <f>'Key inputs_Refineries'!$F$193</f>
        <v>15</v>
      </c>
      <c r="N772" s="424">
        <f>'Key inputs_Refineries'!$F$193</f>
        <v>15</v>
      </c>
      <c r="O772" s="424">
        <f>'Key inputs_Refineries'!$F$193</f>
        <v>15</v>
      </c>
      <c r="P772" s="424">
        <f>'Key inputs_Refineries'!$F$193</f>
        <v>15</v>
      </c>
      <c r="Q772" s="424">
        <f>'Key inputs_Refineries'!$F$193</f>
        <v>15</v>
      </c>
      <c r="R772" s="424">
        <f>'Key inputs_Refineries'!$F$193</f>
        <v>15</v>
      </c>
      <c r="S772" s="424">
        <f>'Key inputs_Refineries'!$F$193</f>
        <v>15</v>
      </c>
      <c r="T772" s="424">
        <f>'Key inputs_Refineries'!$F$193</f>
        <v>15</v>
      </c>
      <c r="U772" s="424">
        <f>'Key inputs_Refineries'!$F$193</f>
        <v>15</v>
      </c>
      <c r="V772" s="424">
        <f>'Key inputs_Refineries'!$F$193</f>
        <v>15</v>
      </c>
      <c r="W772" s="424">
        <f>'Key inputs_Refineries'!$F$193</f>
        <v>15</v>
      </c>
      <c r="X772" s="424">
        <f>'Key inputs_Refineries'!$F$193</f>
        <v>15</v>
      </c>
      <c r="Y772" s="424">
        <f>'Key inputs_Refineries'!$F$193</f>
        <v>15</v>
      </c>
      <c r="Z772" s="424">
        <f>'Key inputs_Refineries'!$F$193</f>
        <v>15</v>
      </c>
      <c r="AA772" s="424">
        <f>'Key inputs_Refineries'!$F$193</f>
        <v>15</v>
      </c>
      <c r="AB772" s="424">
        <f>'Key inputs_Refineries'!$F$193</f>
        <v>15</v>
      </c>
      <c r="AC772" s="424">
        <f>'Key inputs_Refineries'!$F$193</f>
        <v>15</v>
      </c>
      <c r="AD772" s="424">
        <f>'Key inputs_Refineries'!$F$193</f>
        <v>15</v>
      </c>
      <c r="AE772" s="424">
        <f>'Key inputs_Refineries'!$F$193</f>
        <v>15</v>
      </c>
      <c r="AF772" s="424">
        <f>'Key inputs_Refineries'!$F$193</f>
        <v>15</v>
      </c>
      <c r="AG772" s="424">
        <f>'Key inputs_Refineries'!$F$193</f>
        <v>15</v>
      </c>
      <c r="AH772" s="424">
        <f>'Key inputs_Refineries'!$F$193</f>
        <v>15</v>
      </c>
      <c r="AI772" s="424">
        <f>'Key inputs_Refineries'!$F$193</f>
        <v>15</v>
      </c>
      <c r="AJ772" s="424">
        <f>'Key inputs_Refineries'!$F$193</f>
        <v>15</v>
      </c>
      <c r="AK772" s="424">
        <f>'Key inputs_Refineries'!$F$193</f>
        <v>15</v>
      </c>
      <c r="AL772" s="424">
        <f>'Key inputs_Refineries'!$F$193</f>
        <v>15</v>
      </c>
    </row>
    <row r="773" spans="1:38">
      <c r="C773" s="4"/>
      <c r="D773" s="4"/>
      <c r="E773" s="4"/>
      <c r="F773" s="4"/>
      <c r="G773" s="4" t="s">
        <v>707</v>
      </c>
      <c r="H773" s="4"/>
      <c r="I773" s="4"/>
      <c r="J773" s="4" t="s">
        <v>2669</v>
      </c>
      <c r="K773" s="347">
        <v>2020</v>
      </c>
      <c r="L773" s="347">
        <v>2020</v>
      </c>
      <c r="M773" s="347">
        <v>2020</v>
      </c>
      <c r="N773" s="347">
        <v>2020</v>
      </c>
      <c r="O773" s="347">
        <v>2020</v>
      </c>
      <c r="P773" s="347">
        <v>2020</v>
      </c>
      <c r="Q773" s="347">
        <v>2020</v>
      </c>
      <c r="R773" s="347">
        <v>2020</v>
      </c>
      <c r="S773" s="347">
        <v>2020</v>
      </c>
      <c r="T773" s="347">
        <v>2020</v>
      </c>
      <c r="U773" s="347">
        <v>2020</v>
      </c>
      <c r="V773" s="347">
        <v>2020</v>
      </c>
      <c r="W773" s="347">
        <v>2020</v>
      </c>
      <c r="X773" s="347">
        <v>2020</v>
      </c>
      <c r="Y773" s="347">
        <v>2020</v>
      </c>
      <c r="Z773" s="347">
        <v>2020</v>
      </c>
      <c r="AA773" s="347">
        <v>2020</v>
      </c>
      <c r="AB773" s="347">
        <v>2020</v>
      </c>
      <c r="AC773" s="347">
        <v>2020</v>
      </c>
      <c r="AD773" s="347">
        <v>2020</v>
      </c>
      <c r="AE773" s="347">
        <v>2020</v>
      </c>
      <c r="AF773" s="347">
        <v>2020</v>
      </c>
      <c r="AG773" s="347">
        <v>2020</v>
      </c>
      <c r="AH773" s="347">
        <v>2020</v>
      </c>
      <c r="AI773" s="347">
        <v>2020</v>
      </c>
      <c r="AJ773" s="347">
        <v>2020</v>
      </c>
      <c r="AK773" s="347">
        <v>2020</v>
      </c>
      <c r="AL773" s="347">
        <v>2020</v>
      </c>
    </row>
    <row r="774" spans="1:38">
      <c r="G774" s="4" t="s">
        <v>701</v>
      </c>
      <c r="H774" s="4" t="s">
        <v>661</v>
      </c>
      <c r="I774" s="4">
        <v>2019</v>
      </c>
      <c r="J774" s="4" t="s">
        <v>112</v>
      </c>
      <c r="K774" s="333"/>
      <c r="L774" s="333"/>
      <c r="M774" s="333"/>
      <c r="N774" s="333"/>
      <c r="O774" s="333"/>
      <c r="P774" s="333"/>
      <c r="Q774" s="333"/>
      <c r="R774" s="333"/>
      <c r="S774" s="333"/>
      <c r="T774" s="333"/>
      <c r="U774" s="333"/>
      <c r="V774" s="333"/>
      <c r="W774" s="333"/>
      <c r="X774" s="333"/>
      <c r="Y774" s="333"/>
      <c r="Z774" s="333"/>
      <c r="AA774" s="333"/>
      <c r="AB774" s="333"/>
      <c r="AC774" s="333"/>
      <c r="AD774" s="333"/>
      <c r="AE774" s="333"/>
      <c r="AF774" s="333"/>
      <c r="AG774" s="333"/>
      <c r="AH774" s="333"/>
      <c r="AI774" s="333"/>
      <c r="AJ774" s="333"/>
      <c r="AK774" s="333"/>
      <c r="AL774" s="333"/>
    </row>
    <row r="775" spans="1:38">
      <c r="G775" s="4" t="s">
        <v>701</v>
      </c>
      <c r="H775" s="4" t="s">
        <v>661</v>
      </c>
      <c r="I775" s="4">
        <v>2060</v>
      </c>
      <c r="J775" s="4" t="s">
        <v>112</v>
      </c>
      <c r="K775" s="333"/>
      <c r="L775" s="333"/>
      <c r="M775" s="333"/>
      <c r="N775" s="333"/>
      <c r="O775" s="333"/>
      <c r="P775" s="333"/>
      <c r="Q775" s="333"/>
      <c r="R775" s="333"/>
      <c r="S775" s="333"/>
      <c r="T775" s="333"/>
      <c r="U775" s="333"/>
      <c r="V775" s="333"/>
      <c r="W775" s="333"/>
      <c r="X775" s="333"/>
      <c r="Y775" s="333"/>
      <c r="Z775" s="333"/>
      <c r="AA775" s="333"/>
      <c r="AB775" s="333"/>
      <c r="AC775" s="333"/>
      <c r="AD775" s="333"/>
      <c r="AE775" s="333"/>
      <c r="AF775" s="333"/>
      <c r="AG775" s="333"/>
      <c r="AH775" s="333"/>
      <c r="AI775" s="333"/>
      <c r="AJ775" s="333"/>
      <c r="AK775" s="333"/>
      <c r="AL775" s="333"/>
    </row>
    <row r="776" spans="1:38">
      <c r="G776" s="4" t="s">
        <v>701</v>
      </c>
      <c r="H776" s="4" t="s">
        <v>661</v>
      </c>
      <c r="I776" s="4">
        <v>0</v>
      </c>
      <c r="J776" s="4"/>
      <c r="K776" s="333"/>
      <c r="L776" s="333"/>
      <c r="M776" s="333"/>
      <c r="N776" s="333"/>
      <c r="O776" s="333"/>
      <c r="P776" s="333"/>
      <c r="Q776" s="333"/>
      <c r="R776" s="333"/>
      <c r="S776" s="333"/>
      <c r="T776" s="333"/>
      <c r="U776" s="333"/>
      <c r="V776" s="333"/>
      <c r="W776" s="333"/>
      <c r="X776" s="333"/>
      <c r="Y776" s="333"/>
      <c r="Z776" s="333"/>
      <c r="AA776" s="333"/>
      <c r="AB776" s="333"/>
      <c r="AC776" s="333"/>
      <c r="AD776" s="333"/>
      <c r="AE776" s="333"/>
      <c r="AF776" s="333"/>
      <c r="AG776" s="333"/>
      <c r="AH776" s="333"/>
      <c r="AI776" s="333"/>
      <c r="AJ776" s="333"/>
      <c r="AK776" s="333"/>
      <c r="AL776" s="333"/>
    </row>
    <row r="777" spans="1:38">
      <c r="G777" s="4" t="s">
        <v>687</v>
      </c>
      <c r="H777" s="4"/>
      <c r="I777" s="4"/>
      <c r="J777" s="4" t="s">
        <v>2663</v>
      </c>
      <c r="K777" s="425">
        <f>'Key inputs_Refineries'!$C$193*10^3</f>
        <v>182.90880000000001</v>
      </c>
      <c r="L777" s="425">
        <f>'Key inputs_Refineries'!$C$193*10^3</f>
        <v>182.90880000000001</v>
      </c>
      <c r="M777" s="425">
        <f>'Key inputs_Refineries'!$C$193*10^3</f>
        <v>182.90880000000001</v>
      </c>
      <c r="N777" s="425">
        <f>'Key inputs_Refineries'!$C$193*10^3</f>
        <v>182.90880000000001</v>
      </c>
      <c r="O777" s="425">
        <f>'Key inputs_Refineries'!$C$193*10^3</f>
        <v>182.90880000000001</v>
      </c>
      <c r="P777" s="425">
        <f>'Key inputs_Refineries'!$C$193*10^3</f>
        <v>182.90880000000001</v>
      </c>
      <c r="Q777" s="425">
        <f>'Key inputs_Refineries'!$C$193*10^3</f>
        <v>182.90880000000001</v>
      </c>
      <c r="R777" s="425">
        <f>'Key inputs_Refineries'!$C$193*10^3</f>
        <v>182.90880000000001</v>
      </c>
      <c r="S777" s="425">
        <f>'Key inputs_Refineries'!$C$193*10^3</f>
        <v>182.90880000000001</v>
      </c>
      <c r="T777" s="425">
        <f>'Key inputs_Refineries'!$C$193*10^3</f>
        <v>182.90880000000001</v>
      </c>
      <c r="U777" s="425">
        <f>'Key inputs_Refineries'!$C$193*10^3</f>
        <v>182.90880000000001</v>
      </c>
      <c r="V777" s="425">
        <f>'Key inputs_Refineries'!$C$193*10^3</f>
        <v>182.90880000000001</v>
      </c>
      <c r="W777" s="425">
        <f>'Key inputs_Refineries'!$C$193*10^3</f>
        <v>182.90880000000001</v>
      </c>
      <c r="X777" s="425">
        <f>'Key inputs_Refineries'!$C$193*10^3</f>
        <v>182.90880000000001</v>
      </c>
      <c r="Y777" s="425">
        <f>'Key inputs_Refineries'!$C$193*10^3</f>
        <v>182.90880000000001</v>
      </c>
      <c r="Z777" s="425">
        <f>'Key inputs_Refineries'!$C$193*10^3</f>
        <v>182.90880000000001</v>
      </c>
      <c r="AA777" s="425">
        <f>'Key inputs_Refineries'!$C$193*10^3</f>
        <v>182.90880000000001</v>
      </c>
      <c r="AB777" s="425">
        <f>'Key inputs_Refineries'!$C$193*10^3</f>
        <v>182.90880000000001</v>
      </c>
      <c r="AC777" s="425">
        <f>'Key inputs_Refineries'!$C$193*10^3</f>
        <v>182.90880000000001</v>
      </c>
      <c r="AD777" s="425">
        <f>'Key inputs_Refineries'!$C$193*10^3</f>
        <v>182.90880000000001</v>
      </c>
      <c r="AE777" s="425">
        <f>'Key inputs_Refineries'!$C$193*10^3</f>
        <v>182.90880000000001</v>
      </c>
      <c r="AF777" s="425">
        <f>'Key inputs_Refineries'!$C$193*10^3</f>
        <v>182.90880000000001</v>
      </c>
      <c r="AG777" s="425">
        <f>'Key inputs_Refineries'!$C$193*10^3</f>
        <v>182.90880000000001</v>
      </c>
      <c r="AH777" s="425">
        <f>'Key inputs_Refineries'!$C$193*10^3</f>
        <v>182.90880000000001</v>
      </c>
      <c r="AI777" s="425">
        <f>'Key inputs_Refineries'!$C$193*10^3</f>
        <v>182.90880000000001</v>
      </c>
      <c r="AJ777" s="425">
        <f>'Key inputs_Refineries'!$C$193*10^3</f>
        <v>182.90880000000001</v>
      </c>
      <c r="AK777" s="425">
        <f>'Key inputs_Refineries'!$C$193*10^3</f>
        <v>182.90880000000001</v>
      </c>
      <c r="AL777" s="425">
        <f>'Key inputs_Refineries'!$C$193*10^3</f>
        <v>182.90880000000001</v>
      </c>
    </row>
    <row r="778" spans="1:38">
      <c r="G778" s="4" t="s">
        <v>689</v>
      </c>
      <c r="H778" s="4"/>
      <c r="I778" s="4"/>
      <c r="J778" s="4" t="s">
        <v>2663</v>
      </c>
      <c r="K778" s="425">
        <f>'Key inputs_Refineries'!$D$193*10^3</f>
        <v>1.5768000000000002</v>
      </c>
      <c r="L778" s="425">
        <f>'Key inputs_Refineries'!$D$193*10^3</f>
        <v>1.5768000000000002</v>
      </c>
      <c r="M778" s="425">
        <f>'Key inputs_Refineries'!$D$193*10^3</f>
        <v>1.5768000000000002</v>
      </c>
      <c r="N778" s="425">
        <f>'Key inputs_Refineries'!$D$193*10^3</f>
        <v>1.5768000000000002</v>
      </c>
      <c r="O778" s="425">
        <f>'Key inputs_Refineries'!$D$193*10^3</f>
        <v>1.5768000000000002</v>
      </c>
      <c r="P778" s="425">
        <f>'Key inputs_Refineries'!$D$193*10^3</f>
        <v>1.5768000000000002</v>
      </c>
      <c r="Q778" s="425">
        <f>'Key inputs_Refineries'!$D$193*10^3</f>
        <v>1.5768000000000002</v>
      </c>
      <c r="R778" s="425">
        <f>'Key inputs_Refineries'!$D$193*10^3</f>
        <v>1.5768000000000002</v>
      </c>
      <c r="S778" s="425">
        <f>'Key inputs_Refineries'!$D$193*10^3</f>
        <v>1.5768000000000002</v>
      </c>
      <c r="T778" s="425">
        <f>'Key inputs_Refineries'!$D$193*10^3</f>
        <v>1.5768000000000002</v>
      </c>
      <c r="U778" s="425">
        <f>'Key inputs_Refineries'!$D$193*10^3</f>
        <v>1.5768000000000002</v>
      </c>
      <c r="V778" s="425">
        <f>'Key inputs_Refineries'!$D$193*10^3</f>
        <v>1.5768000000000002</v>
      </c>
      <c r="W778" s="425">
        <f>'Key inputs_Refineries'!$D$193*10^3</f>
        <v>1.5768000000000002</v>
      </c>
      <c r="X778" s="425">
        <f>'Key inputs_Refineries'!$D$193*10^3</f>
        <v>1.5768000000000002</v>
      </c>
      <c r="Y778" s="425">
        <f>'Key inputs_Refineries'!$D$193*10^3</f>
        <v>1.5768000000000002</v>
      </c>
      <c r="Z778" s="425">
        <f>'Key inputs_Refineries'!$D$193*10^3</f>
        <v>1.5768000000000002</v>
      </c>
      <c r="AA778" s="425">
        <f>'Key inputs_Refineries'!$D$193*10^3</f>
        <v>1.5768000000000002</v>
      </c>
      <c r="AB778" s="425">
        <f>'Key inputs_Refineries'!$D$193*10^3</f>
        <v>1.5768000000000002</v>
      </c>
      <c r="AC778" s="425">
        <f>'Key inputs_Refineries'!$D$193*10^3</f>
        <v>1.5768000000000002</v>
      </c>
      <c r="AD778" s="425">
        <f>'Key inputs_Refineries'!$D$193*10^3</f>
        <v>1.5768000000000002</v>
      </c>
      <c r="AE778" s="425">
        <f>'Key inputs_Refineries'!$D$193*10^3</f>
        <v>1.5768000000000002</v>
      </c>
      <c r="AF778" s="425">
        <f>'Key inputs_Refineries'!$D$193*10^3</f>
        <v>1.5768000000000002</v>
      </c>
      <c r="AG778" s="425">
        <f>'Key inputs_Refineries'!$D$193*10^3</f>
        <v>1.5768000000000002</v>
      </c>
      <c r="AH778" s="425">
        <f>'Key inputs_Refineries'!$D$193*10^3</f>
        <v>1.5768000000000002</v>
      </c>
      <c r="AI778" s="425">
        <f>'Key inputs_Refineries'!$D$193*10^3</f>
        <v>1.5768000000000002</v>
      </c>
      <c r="AJ778" s="425">
        <f>'Key inputs_Refineries'!$D$193*10^3</f>
        <v>1.5768000000000002</v>
      </c>
      <c r="AK778" s="425">
        <f>'Key inputs_Refineries'!$D$193*10^3</f>
        <v>1.5768000000000002</v>
      </c>
      <c r="AL778" s="425">
        <f>'Key inputs_Refineries'!$D$193*10^3</f>
        <v>1.5768000000000002</v>
      </c>
    </row>
    <row r="779" spans="1:38">
      <c r="G779" s="4" t="s">
        <v>675</v>
      </c>
      <c r="H779" s="4"/>
      <c r="I779" s="4"/>
      <c r="J779" s="4" t="s">
        <v>2662</v>
      </c>
      <c r="K779" s="338"/>
      <c r="L779" s="338"/>
      <c r="M779" s="338"/>
      <c r="N779" s="338"/>
      <c r="O779" s="338"/>
      <c r="P779" s="338"/>
      <c r="Q779" s="338"/>
      <c r="R779" s="338"/>
      <c r="S779" s="338"/>
      <c r="T779" s="338"/>
      <c r="U779" s="338"/>
      <c r="V779" s="338"/>
      <c r="W779" s="338"/>
      <c r="X779" s="338"/>
      <c r="Y779" s="338"/>
      <c r="Z779" s="338"/>
      <c r="AA779" s="338"/>
      <c r="AB779" s="338"/>
      <c r="AC779" s="338"/>
      <c r="AD779" s="338"/>
      <c r="AE779" s="338"/>
      <c r="AF779" s="338"/>
      <c r="AG779" s="338"/>
      <c r="AH779" s="338"/>
      <c r="AI779" s="338"/>
      <c r="AJ779" s="338"/>
      <c r="AK779" s="338"/>
      <c r="AL779" s="338"/>
    </row>
    <row r="780" spans="1:38">
      <c r="G780" s="4" t="s">
        <v>630</v>
      </c>
      <c r="H780" s="4"/>
      <c r="I780" s="4"/>
      <c r="J780" s="4" t="s">
        <v>2666</v>
      </c>
      <c r="K780" s="425">
        <f>'Key inputs_Refineries'!$H$193</f>
        <v>0.68</v>
      </c>
      <c r="L780" s="425">
        <f>'Key inputs_Refineries'!$H$193</f>
        <v>0.68</v>
      </c>
      <c r="M780" s="425">
        <f>'Key inputs_Refineries'!$H$193</f>
        <v>0.68</v>
      </c>
      <c r="N780" s="425">
        <f>'Key inputs_Refineries'!$H$193</f>
        <v>0.68</v>
      </c>
      <c r="O780" s="425">
        <f>'Key inputs_Refineries'!$H$193</f>
        <v>0.68</v>
      </c>
      <c r="P780" s="425">
        <f>'Key inputs_Refineries'!$H$193</f>
        <v>0.68</v>
      </c>
      <c r="Q780" s="425">
        <f>'Key inputs_Refineries'!$H$193</f>
        <v>0.68</v>
      </c>
      <c r="R780" s="425">
        <f>'Key inputs_Refineries'!$H$193</f>
        <v>0.68</v>
      </c>
      <c r="S780" s="425">
        <f>'Key inputs_Refineries'!$H$193</f>
        <v>0.68</v>
      </c>
      <c r="T780" s="425">
        <f>'Key inputs_Refineries'!$H$193</f>
        <v>0.68</v>
      </c>
      <c r="U780" s="425">
        <f>'Key inputs_Refineries'!$H$193</f>
        <v>0.68</v>
      </c>
      <c r="V780" s="425">
        <f>'Key inputs_Refineries'!$H$193</f>
        <v>0.68</v>
      </c>
      <c r="W780" s="425">
        <f>'Key inputs_Refineries'!$H$193</f>
        <v>0.68</v>
      </c>
      <c r="X780" s="425">
        <f>'Key inputs_Refineries'!$H$193</f>
        <v>0.68</v>
      </c>
      <c r="Y780" s="425">
        <f>'Key inputs_Refineries'!$H$193</f>
        <v>0.68</v>
      </c>
      <c r="Z780" s="425">
        <f>'Key inputs_Refineries'!$H$193</f>
        <v>0.68</v>
      </c>
      <c r="AA780" s="425">
        <f>'Key inputs_Refineries'!$H$193</f>
        <v>0.68</v>
      </c>
      <c r="AB780" s="425">
        <f>'Key inputs_Refineries'!$H$193</f>
        <v>0.68</v>
      </c>
      <c r="AC780" s="425">
        <f>'Key inputs_Refineries'!$H$193</f>
        <v>0.68</v>
      </c>
      <c r="AD780" s="425">
        <f>'Key inputs_Refineries'!$H$193</f>
        <v>0.68</v>
      </c>
      <c r="AE780" s="425">
        <f>'Key inputs_Refineries'!$H$193</f>
        <v>0.68</v>
      </c>
      <c r="AF780" s="425">
        <f>'Key inputs_Refineries'!$H$193</f>
        <v>0.68</v>
      </c>
      <c r="AG780" s="425">
        <f>'Key inputs_Refineries'!$H$193</f>
        <v>0.68</v>
      </c>
      <c r="AH780" s="425">
        <f>'Key inputs_Refineries'!$H$193</f>
        <v>0.68</v>
      </c>
      <c r="AI780" s="425">
        <f>'Key inputs_Refineries'!$H$193</f>
        <v>0.68</v>
      </c>
      <c r="AJ780" s="425">
        <f>'Key inputs_Refineries'!$H$193</f>
        <v>0.68</v>
      </c>
      <c r="AK780" s="425">
        <f>'Key inputs_Refineries'!$H$193</f>
        <v>0.68</v>
      </c>
      <c r="AL780" s="425">
        <f>'Key inputs_Refineries'!$H$193</f>
        <v>0.68</v>
      </c>
    </row>
    <row r="781" spans="1:38">
      <c r="C781" t="str">
        <f>Commodities!$C$86</f>
        <v>UPSCOA</v>
      </c>
      <c r="G781" s="4" t="s">
        <v>702</v>
      </c>
      <c r="H781" t="s">
        <v>661</v>
      </c>
      <c r="I781">
        <v>2019</v>
      </c>
      <c r="J781" t="s">
        <v>650</v>
      </c>
      <c r="K781" s="173">
        <v>1</v>
      </c>
      <c r="L781" s="173">
        <v>1</v>
      </c>
      <c r="M781" s="173">
        <v>1</v>
      </c>
      <c r="N781" s="173">
        <v>1</v>
      </c>
      <c r="O781" s="173">
        <v>1</v>
      </c>
      <c r="P781" s="173">
        <v>1</v>
      </c>
      <c r="Q781" s="173">
        <v>1</v>
      </c>
      <c r="R781" s="173">
        <v>1</v>
      </c>
      <c r="S781" s="173">
        <v>1</v>
      </c>
      <c r="T781" s="173">
        <v>1</v>
      </c>
      <c r="U781" s="173">
        <v>1</v>
      </c>
      <c r="V781" s="173">
        <v>1</v>
      </c>
      <c r="W781" s="173">
        <v>1</v>
      </c>
      <c r="X781" s="173">
        <v>1</v>
      </c>
      <c r="Y781" s="173">
        <v>1</v>
      </c>
      <c r="Z781" s="173">
        <v>1</v>
      </c>
      <c r="AA781" s="173">
        <v>1</v>
      </c>
      <c r="AB781" s="173">
        <v>1</v>
      </c>
      <c r="AC781" s="173">
        <v>1</v>
      </c>
      <c r="AD781" s="173">
        <v>1</v>
      </c>
      <c r="AE781" s="173">
        <v>1</v>
      </c>
      <c r="AF781" s="173">
        <v>1</v>
      </c>
      <c r="AG781" s="173">
        <v>1</v>
      </c>
      <c r="AH781" s="173">
        <v>1</v>
      </c>
      <c r="AI781" s="173">
        <v>1</v>
      </c>
      <c r="AJ781" s="173">
        <v>1</v>
      </c>
      <c r="AK781" s="173">
        <v>1</v>
      </c>
      <c r="AL781" s="173">
        <v>1</v>
      </c>
    </row>
    <row r="782" spans="1:38">
      <c r="D782" t="str">
        <f>Commodities!$C$107</f>
        <v>UREFHVA</v>
      </c>
    </row>
    <row r="783" spans="1:38">
      <c r="A783" s="4" t="str">
        <f>AO434</f>
        <v>U-TRF-OILREFHVA_ELC01</v>
      </c>
      <c r="B783" s="4" t="str">
        <f>AP434</f>
        <v>UPS Transformation: Oil refinery HVAC Electricity - New</v>
      </c>
      <c r="C783" s="4"/>
      <c r="D783" s="4"/>
      <c r="E783" s="4"/>
      <c r="F783" s="4"/>
      <c r="G783" s="4" t="s">
        <v>695</v>
      </c>
      <c r="H783" s="4"/>
      <c r="I783" s="4"/>
      <c r="J783" s="4" t="s">
        <v>2665</v>
      </c>
      <c r="K783" s="333">
        <v>1</v>
      </c>
      <c r="L783" s="333">
        <v>1</v>
      </c>
      <c r="M783" s="333">
        <v>1</v>
      </c>
      <c r="N783" s="333">
        <v>1</v>
      </c>
      <c r="O783" s="333">
        <v>1</v>
      </c>
      <c r="P783" s="333">
        <v>1</v>
      </c>
      <c r="Q783" s="333">
        <v>1</v>
      </c>
      <c r="R783" s="333">
        <v>1</v>
      </c>
      <c r="S783" s="333">
        <v>1</v>
      </c>
      <c r="T783" s="333">
        <v>1</v>
      </c>
      <c r="U783" s="333">
        <v>1</v>
      </c>
      <c r="V783" s="333">
        <v>1</v>
      </c>
      <c r="W783" s="333">
        <v>1</v>
      </c>
      <c r="X783" s="333">
        <v>1</v>
      </c>
      <c r="Y783" s="333">
        <v>1</v>
      </c>
      <c r="Z783" s="333">
        <v>1</v>
      </c>
      <c r="AA783" s="333">
        <v>1</v>
      </c>
      <c r="AB783" s="333">
        <v>1</v>
      </c>
      <c r="AC783" s="333">
        <v>1</v>
      </c>
      <c r="AD783" s="333">
        <v>1</v>
      </c>
      <c r="AE783" s="333">
        <v>1</v>
      </c>
      <c r="AF783" s="333">
        <v>1</v>
      </c>
      <c r="AG783" s="333">
        <v>1</v>
      </c>
      <c r="AH783" s="333">
        <v>1</v>
      </c>
      <c r="AI783" s="333">
        <v>1</v>
      </c>
      <c r="AJ783" s="333">
        <v>1</v>
      </c>
      <c r="AK783" s="333">
        <v>1</v>
      </c>
      <c r="AL783" s="333">
        <v>1</v>
      </c>
    </row>
    <row r="784" spans="1:38">
      <c r="C784" s="4"/>
      <c r="D784" s="4"/>
      <c r="E784" s="4"/>
      <c r="F784" s="4"/>
      <c r="G784" s="4" t="s">
        <v>697</v>
      </c>
      <c r="H784" s="4"/>
      <c r="I784" s="4"/>
      <c r="J784" s="4" t="s">
        <v>698</v>
      </c>
      <c r="K784" s="424">
        <f>'Key inputs_Refineries'!$F$194</f>
        <v>15</v>
      </c>
      <c r="L784" s="424">
        <f>'Key inputs_Refineries'!$F$194</f>
        <v>15</v>
      </c>
      <c r="M784" s="424">
        <f>'Key inputs_Refineries'!$F$194</f>
        <v>15</v>
      </c>
      <c r="N784" s="424">
        <f>'Key inputs_Refineries'!$F$194</f>
        <v>15</v>
      </c>
      <c r="O784" s="424">
        <f>'Key inputs_Refineries'!$F$194</f>
        <v>15</v>
      </c>
      <c r="P784" s="424">
        <f>'Key inputs_Refineries'!$F$194</f>
        <v>15</v>
      </c>
      <c r="Q784" s="424">
        <f>'Key inputs_Refineries'!$F$194</f>
        <v>15</v>
      </c>
      <c r="R784" s="424">
        <f>'Key inputs_Refineries'!$F$194</f>
        <v>15</v>
      </c>
      <c r="S784" s="424">
        <f>'Key inputs_Refineries'!$F$194</f>
        <v>15</v>
      </c>
      <c r="T784" s="424">
        <f>'Key inputs_Refineries'!$F$194</f>
        <v>15</v>
      </c>
      <c r="U784" s="424">
        <f>'Key inputs_Refineries'!$F$194</f>
        <v>15</v>
      </c>
      <c r="V784" s="424">
        <f>'Key inputs_Refineries'!$F$194</f>
        <v>15</v>
      </c>
      <c r="W784" s="424">
        <f>'Key inputs_Refineries'!$F$194</f>
        <v>15</v>
      </c>
      <c r="X784" s="424">
        <f>'Key inputs_Refineries'!$F$194</f>
        <v>15</v>
      </c>
      <c r="Y784" s="424">
        <f>'Key inputs_Refineries'!$F$194</f>
        <v>15</v>
      </c>
      <c r="Z784" s="424">
        <f>'Key inputs_Refineries'!$F$194</f>
        <v>15</v>
      </c>
      <c r="AA784" s="424">
        <f>'Key inputs_Refineries'!$F$194</f>
        <v>15</v>
      </c>
      <c r="AB784" s="424">
        <f>'Key inputs_Refineries'!$F$194</f>
        <v>15</v>
      </c>
      <c r="AC784" s="424">
        <f>'Key inputs_Refineries'!$F$194</f>
        <v>15</v>
      </c>
      <c r="AD784" s="424">
        <f>'Key inputs_Refineries'!$F$194</f>
        <v>15</v>
      </c>
      <c r="AE784" s="424">
        <f>'Key inputs_Refineries'!$F$194</f>
        <v>15</v>
      </c>
      <c r="AF784" s="424">
        <f>'Key inputs_Refineries'!$F$194</f>
        <v>15</v>
      </c>
      <c r="AG784" s="424">
        <f>'Key inputs_Refineries'!$F$194</f>
        <v>15</v>
      </c>
      <c r="AH784" s="424">
        <f>'Key inputs_Refineries'!$F$194</f>
        <v>15</v>
      </c>
      <c r="AI784" s="424">
        <f>'Key inputs_Refineries'!$F$194</f>
        <v>15</v>
      </c>
      <c r="AJ784" s="424">
        <f>'Key inputs_Refineries'!$F$194</f>
        <v>15</v>
      </c>
      <c r="AK784" s="424">
        <f>'Key inputs_Refineries'!$F$194</f>
        <v>15</v>
      </c>
      <c r="AL784" s="424">
        <f>'Key inputs_Refineries'!$F$194</f>
        <v>15</v>
      </c>
    </row>
    <row r="785" spans="1:45">
      <c r="A785" s="4"/>
      <c r="B785" s="4"/>
      <c r="C785" s="4"/>
      <c r="D785" s="4"/>
      <c r="E785" s="4"/>
      <c r="F785" s="4"/>
      <c r="G785" s="4" t="s">
        <v>707</v>
      </c>
      <c r="H785" s="4"/>
      <c r="I785" s="4"/>
      <c r="J785" s="4" t="s">
        <v>2669</v>
      </c>
      <c r="K785" s="347">
        <v>2020</v>
      </c>
      <c r="L785" s="347">
        <v>2020</v>
      </c>
      <c r="M785" s="347">
        <v>2020</v>
      </c>
      <c r="N785" s="347">
        <v>2020</v>
      </c>
      <c r="O785" s="347">
        <v>2020</v>
      </c>
      <c r="P785" s="347">
        <v>2020</v>
      </c>
      <c r="Q785" s="347">
        <v>2020</v>
      </c>
      <c r="R785" s="347">
        <v>2020</v>
      </c>
      <c r="S785" s="347">
        <v>2020</v>
      </c>
      <c r="T785" s="347">
        <v>2020</v>
      </c>
      <c r="U785" s="347">
        <v>2020</v>
      </c>
      <c r="V785" s="347">
        <v>2020</v>
      </c>
      <c r="W785" s="347">
        <v>2020</v>
      </c>
      <c r="X785" s="347">
        <v>2020</v>
      </c>
      <c r="Y785" s="347">
        <v>2020</v>
      </c>
      <c r="Z785" s="347">
        <v>2020</v>
      </c>
      <c r="AA785" s="347">
        <v>2020</v>
      </c>
      <c r="AB785" s="347">
        <v>2020</v>
      </c>
      <c r="AC785" s="347">
        <v>2020</v>
      </c>
      <c r="AD785" s="347">
        <v>2020</v>
      </c>
      <c r="AE785" s="347">
        <v>2020</v>
      </c>
      <c r="AF785" s="347">
        <v>2020</v>
      </c>
      <c r="AG785" s="347">
        <v>2020</v>
      </c>
      <c r="AH785" s="347">
        <v>2020</v>
      </c>
      <c r="AI785" s="347">
        <v>2020</v>
      </c>
      <c r="AJ785" s="347">
        <v>2020</v>
      </c>
      <c r="AK785" s="347">
        <v>2020</v>
      </c>
      <c r="AL785" s="347">
        <v>2020</v>
      </c>
    </row>
    <row r="786" spans="1:45">
      <c r="G786" s="4" t="s">
        <v>701</v>
      </c>
      <c r="H786" s="4" t="s">
        <v>661</v>
      </c>
      <c r="I786" s="4">
        <v>2019</v>
      </c>
      <c r="J786" s="4" t="s">
        <v>112</v>
      </c>
      <c r="K786" s="333"/>
      <c r="L786" s="333"/>
      <c r="M786" s="333"/>
      <c r="N786" s="333"/>
      <c r="O786" s="333"/>
      <c r="P786" s="333"/>
      <c r="Q786" s="333"/>
      <c r="R786" s="333"/>
      <c r="S786" s="333"/>
      <c r="T786" s="333"/>
      <c r="U786" s="333"/>
      <c r="V786" s="333"/>
      <c r="W786" s="333"/>
      <c r="X786" s="333"/>
      <c r="Y786" s="333"/>
      <c r="Z786" s="333"/>
      <c r="AA786" s="333"/>
      <c r="AB786" s="333"/>
      <c r="AC786" s="333"/>
      <c r="AD786" s="333"/>
      <c r="AE786" s="333"/>
      <c r="AF786" s="333"/>
      <c r="AG786" s="333"/>
      <c r="AH786" s="333"/>
      <c r="AI786" s="333"/>
      <c r="AJ786" s="333"/>
      <c r="AK786" s="333"/>
      <c r="AL786" s="333"/>
    </row>
    <row r="787" spans="1:45">
      <c r="G787" s="4" t="s">
        <v>701</v>
      </c>
      <c r="H787" s="4" t="s">
        <v>661</v>
      </c>
      <c r="I787" s="4">
        <v>2060</v>
      </c>
      <c r="J787" s="4" t="s">
        <v>112</v>
      </c>
      <c r="K787" s="333"/>
      <c r="L787" s="333"/>
      <c r="M787" s="333"/>
      <c r="N787" s="333"/>
      <c r="O787" s="333"/>
      <c r="P787" s="333"/>
      <c r="Q787" s="333"/>
      <c r="R787" s="333"/>
      <c r="S787" s="333"/>
      <c r="T787" s="333"/>
      <c r="U787" s="333"/>
      <c r="V787" s="333"/>
      <c r="W787" s="333"/>
      <c r="X787" s="333"/>
      <c r="Y787" s="333"/>
      <c r="Z787" s="333"/>
      <c r="AA787" s="333"/>
      <c r="AB787" s="333"/>
      <c r="AC787" s="333"/>
      <c r="AD787" s="333"/>
      <c r="AE787" s="333"/>
      <c r="AF787" s="333"/>
      <c r="AG787" s="333"/>
      <c r="AH787" s="333"/>
      <c r="AI787" s="333"/>
      <c r="AJ787" s="333"/>
      <c r="AK787" s="333"/>
      <c r="AL787" s="333"/>
    </row>
    <row r="788" spans="1:45">
      <c r="G788" s="4" t="s">
        <v>701</v>
      </c>
      <c r="H788" s="4" t="s">
        <v>661</v>
      </c>
      <c r="I788" s="4">
        <v>0</v>
      </c>
      <c r="J788" s="4"/>
      <c r="K788" s="333"/>
      <c r="L788" s="333"/>
      <c r="M788" s="333"/>
      <c r="N788" s="333"/>
      <c r="O788" s="333"/>
      <c r="P788" s="333"/>
      <c r="Q788" s="333"/>
      <c r="R788" s="333"/>
      <c r="S788" s="333"/>
      <c r="T788" s="333"/>
      <c r="U788" s="333"/>
      <c r="V788" s="333"/>
      <c r="W788" s="333"/>
      <c r="X788" s="333"/>
      <c r="Y788" s="333"/>
      <c r="Z788" s="333"/>
      <c r="AA788" s="333"/>
      <c r="AB788" s="333"/>
      <c r="AC788" s="333"/>
      <c r="AD788" s="333"/>
      <c r="AE788" s="333"/>
      <c r="AF788" s="333"/>
      <c r="AG788" s="333"/>
      <c r="AH788" s="333"/>
      <c r="AI788" s="333"/>
      <c r="AJ788" s="333"/>
      <c r="AK788" s="333"/>
      <c r="AL788" s="333"/>
    </row>
    <row r="789" spans="1:45">
      <c r="G789" s="4" t="s">
        <v>687</v>
      </c>
      <c r="H789" s="4"/>
      <c r="I789" s="4"/>
      <c r="J789" s="4" t="s">
        <v>2663</v>
      </c>
      <c r="K789" s="425">
        <f>'Key inputs_Refineries'!$C$194*10^3</f>
        <v>94.608000000000018</v>
      </c>
      <c r="L789" s="425">
        <f>'Key inputs_Refineries'!$C$194*10^3</f>
        <v>94.608000000000018</v>
      </c>
      <c r="M789" s="425">
        <f>'Key inputs_Refineries'!$C$194*10^3</f>
        <v>94.608000000000018</v>
      </c>
      <c r="N789" s="425">
        <f>'Key inputs_Refineries'!$C$194*10^3</f>
        <v>94.608000000000018</v>
      </c>
      <c r="O789" s="425">
        <f>'Key inputs_Refineries'!$C$194*10^3</f>
        <v>94.608000000000018</v>
      </c>
      <c r="P789" s="425">
        <f>'Key inputs_Refineries'!$C$194*10^3</f>
        <v>94.608000000000018</v>
      </c>
      <c r="Q789" s="425">
        <f>'Key inputs_Refineries'!$C$194*10^3</f>
        <v>94.608000000000018</v>
      </c>
      <c r="R789" s="425">
        <f>'Key inputs_Refineries'!$C$194*10^3</f>
        <v>94.608000000000018</v>
      </c>
      <c r="S789" s="425">
        <f>'Key inputs_Refineries'!$C$194*10^3</f>
        <v>94.608000000000018</v>
      </c>
      <c r="T789" s="425">
        <f>'Key inputs_Refineries'!$C$194*10^3</f>
        <v>94.608000000000018</v>
      </c>
      <c r="U789" s="425">
        <f>'Key inputs_Refineries'!$C$194*10^3</f>
        <v>94.608000000000018</v>
      </c>
      <c r="V789" s="425">
        <f>'Key inputs_Refineries'!$C$194*10^3</f>
        <v>94.608000000000018</v>
      </c>
      <c r="W789" s="425">
        <f>'Key inputs_Refineries'!$C$194*10^3</f>
        <v>94.608000000000018</v>
      </c>
      <c r="X789" s="425">
        <f>'Key inputs_Refineries'!$C$194*10^3</f>
        <v>94.608000000000018</v>
      </c>
      <c r="Y789" s="425">
        <f>'Key inputs_Refineries'!$C$194*10^3</f>
        <v>94.608000000000018</v>
      </c>
      <c r="Z789" s="425">
        <f>'Key inputs_Refineries'!$C$194*10^3</f>
        <v>94.608000000000018</v>
      </c>
      <c r="AA789" s="425">
        <f>'Key inputs_Refineries'!$C$194*10^3</f>
        <v>94.608000000000018</v>
      </c>
      <c r="AB789" s="425">
        <f>'Key inputs_Refineries'!$C$194*10^3</f>
        <v>94.608000000000018</v>
      </c>
      <c r="AC789" s="425">
        <f>'Key inputs_Refineries'!$C$194*10^3</f>
        <v>94.608000000000018</v>
      </c>
      <c r="AD789" s="425">
        <f>'Key inputs_Refineries'!$C$194*10^3</f>
        <v>94.608000000000018</v>
      </c>
      <c r="AE789" s="425">
        <f>'Key inputs_Refineries'!$C$194*10^3</f>
        <v>94.608000000000018</v>
      </c>
      <c r="AF789" s="425">
        <f>'Key inputs_Refineries'!$C$194*10^3</f>
        <v>94.608000000000018</v>
      </c>
      <c r="AG789" s="425">
        <f>'Key inputs_Refineries'!$C$194*10^3</f>
        <v>94.608000000000018</v>
      </c>
      <c r="AH789" s="425">
        <f>'Key inputs_Refineries'!$C$194*10^3</f>
        <v>94.608000000000018</v>
      </c>
      <c r="AI789" s="425">
        <f>'Key inputs_Refineries'!$C$194*10^3</f>
        <v>94.608000000000018</v>
      </c>
      <c r="AJ789" s="425">
        <f>'Key inputs_Refineries'!$C$194*10^3</f>
        <v>94.608000000000018</v>
      </c>
      <c r="AK789" s="425">
        <f>'Key inputs_Refineries'!$C$194*10^3</f>
        <v>94.608000000000018</v>
      </c>
      <c r="AL789" s="425">
        <f>'Key inputs_Refineries'!$C$194*10^3</f>
        <v>94.608000000000018</v>
      </c>
    </row>
    <row r="790" spans="1:45">
      <c r="G790" s="4" t="s">
        <v>689</v>
      </c>
      <c r="H790" s="4"/>
      <c r="I790" s="4"/>
      <c r="J790" s="4" t="s">
        <v>2663</v>
      </c>
      <c r="K790" s="425">
        <f>'Key inputs_Refineries'!$D$194*10^3</f>
        <v>0.94608000000000003</v>
      </c>
      <c r="L790" s="425">
        <f>'Key inputs_Refineries'!$D$194*10^3</f>
        <v>0.94608000000000003</v>
      </c>
      <c r="M790" s="425">
        <f>'Key inputs_Refineries'!$D$194*10^3</f>
        <v>0.94608000000000003</v>
      </c>
      <c r="N790" s="425">
        <f>'Key inputs_Refineries'!$D$194*10^3</f>
        <v>0.94608000000000003</v>
      </c>
      <c r="O790" s="425">
        <f>'Key inputs_Refineries'!$D$194*10^3</f>
        <v>0.94608000000000003</v>
      </c>
      <c r="P790" s="425">
        <f>'Key inputs_Refineries'!$D$194*10^3</f>
        <v>0.94608000000000003</v>
      </c>
      <c r="Q790" s="425">
        <f>'Key inputs_Refineries'!$D$194*10^3</f>
        <v>0.94608000000000003</v>
      </c>
      <c r="R790" s="425">
        <f>'Key inputs_Refineries'!$D$194*10^3</f>
        <v>0.94608000000000003</v>
      </c>
      <c r="S790" s="425">
        <f>'Key inputs_Refineries'!$D$194*10^3</f>
        <v>0.94608000000000003</v>
      </c>
      <c r="T790" s="425">
        <f>'Key inputs_Refineries'!$D$194*10^3</f>
        <v>0.94608000000000003</v>
      </c>
      <c r="U790" s="425">
        <f>'Key inputs_Refineries'!$D$194*10^3</f>
        <v>0.94608000000000003</v>
      </c>
      <c r="V790" s="425">
        <f>'Key inputs_Refineries'!$D$194*10^3</f>
        <v>0.94608000000000003</v>
      </c>
      <c r="W790" s="425">
        <f>'Key inputs_Refineries'!$D$194*10^3</f>
        <v>0.94608000000000003</v>
      </c>
      <c r="X790" s="425">
        <f>'Key inputs_Refineries'!$D$194*10^3</f>
        <v>0.94608000000000003</v>
      </c>
      <c r="Y790" s="425">
        <f>'Key inputs_Refineries'!$D$194*10^3</f>
        <v>0.94608000000000003</v>
      </c>
      <c r="Z790" s="425">
        <f>'Key inputs_Refineries'!$D$194*10^3</f>
        <v>0.94608000000000003</v>
      </c>
      <c r="AA790" s="425">
        <f>'Key inputs_Refineries'!$D$194*10^3</f>
        <v>0.94608000000000003</v>
      </c>
      <c r="AB790" s="425">
        <f>'Key inputs_Refineries'!$D$194*10^3</f>
        <v>0.94608000000000003</v>
      </c>
      <c r="AC790" s="425">
        <f>'Key inputs_Refineries'!$D$194*10^3</f>
        <v>0.94608000000000003</v>
      </c>
      <c r="AD790" s="425">
        <f>'Key inputs_Refineries'!$D$194*10^3</f>
        <v>0.94608000000000003</v>
      </c>
      <c r="AE790" s="425">
        <f>'Key inputs_Refineries'!$D$194*10^3</f>
        <v>0.94608000000000003</v>
      </c>
      <c r="AF790" s="425">
        <f>'Key inputs_Refineries'!$D$194*10^3</f>
        <v>0.94608000000000003</v>
      </c>
      <c r="AG790" s="425">
        <f>'Key inputs_Refineries'!$D$194*10^3</f>
        <v>0.94608000000000003</v>
      </c>
      <c r="AH790" s="425">
        <f>'Key inputs_Refineries'!$D$194*10^3</f>
        <v>0.94608000000000003</v>
      </c>
      <c r="AI790" s="425">
        <f>'Key inputs_Refineries'!$D$194*10^3</f>
        <v>0.94608000000000003</v>
      </c>
      <c r="AJ790" s="425">
        <f>'Key inputs_Refineries'!$D$194*10^3</f>
        <v>0.94608000000000003</v>
      </c>
      <c r="AK790" s="425">
        <f>'Key inputs_Refineries'!$D$194*10^3</f>
        <v>0.94608000000000003</v>
      </c>
      <c r="AL790" s="425">
        <f>'Key inputs_Refineries'!$D$194*10^3</f>
        <v>0.94608000000000003</v>
      </c>
    </row>
    <row r="791" spans="1:45">
      <c r="G791" s="4" t="s">
        <v>675</v>
      </c>
      <c r="H791" s="4"/>
      <c r="I791" s="4"/>
      <c r="J791" s="4" t="s">
        <v>2662</v>
      </c>
      <c r="K791" s="338"/>
      <c r="L791" s="338"/>
      <c r="M791" s="338"/>
      <c r="N791" s="338"/>
      <c r="O791" s="338"/>
      <c r="P791" s="338"/>
      <c r="Q791" s="338"/>
      <c r="R791" s="338"/>
      <c r="S791" s="338"/>
      <c r="T791" s="338"/>
      <c r="U791" s="338"/>
      <c r="V791" s="338"/>
      <c r="W791" s="338"/>
      <c r="X791" s="338"/>
      <c r="Y791" s="338"/>
      <c r="Z791" s="338"/>
      <c r="AA791" s="338"/>
      <c r="AB791" s="338"/>
      <c r="AC791" s="338"/>
      <c r="AD791" s="338"/>
      <c r="AE791" s="338"/>
      <c r="AF791" s="338"/>
      <c r="AG791" s="338"/>
      <c r="AH791" s="338"/>
      <c r="AI791" s="338"/>
      <c r="AJ791" s="338"/>
      <c r="AK791" s="338"/>
      <c r="AL791" s="338"/>
    </row>
    <row r="792" spans="1:45">
      <c r="G792" s="4" t="s">
        <v>630</v>
      </c>
      <c r="H792" s="4"/>
      <c r="I792" s="4"/>
      <c r="J792" s="4" t="s">
        <v>2666</v>
      </c>
      <c r="K792" s="425">
        <f>'Key inputs_Refineries'!$H$194</f>
        <v>0.85</v>
      </c>
      <c r="L792" s="425">
        <f>'Key inputs_Refineries'!$H$194</f>
        <v>0.85</v>
      </c>
      <c r="M792" s="425">
        <f>'Key inputs_Refineries'!$H$194</f>
        <v>0.85</v>
      </c>
      <c r="N792" s="425">
        <f>'Key inputs_Refineries'!$H$194</f>
        <v>0.85</v>
      </c>
      <c r="O792" s="425">
        <f>'Key inputs_Refineries'!$H$194</f>
        <v>0.85</v>
      </c>
      <c r="P792" s="425">
        <f>'Key inputs_Refineries'!$H$194</f>
        <v>0.85</v>
      </c>
      <c r="Q792" s="425">
        <f>'Key inputs_Refineries'!$H$194</f>
        <v>0.85</v>
      </c>
      <c r="R792" s="425">
        <f>'Key inputs_Refineries'!$H$194</f>
        <v>0.85</v>
      </c>
      <c r="S792" s="425">
        <f>'Key inputs_Refineries'!$H$194</f>
        <v>0.85</v>
      </c>
      <c r="T792" s="425">
        <f>'Key inputs_Refineries'!$H$194</f>
        <v>0.85</v>
      </c>
      <c r="U792" s="425">
        <f>'Key inputs_Refineries'!$H$194</f>
        <v>0.85</v>
      </c>
      <c r="V792" s="425">
        <f>'Key inputs_Refineries'!$H$194</f>
        <v>0.85</v>
      </c>
      <c r="W792" s="425">
        <f>'Key inputs_Refineries'!$H$194</f>
        <v>0.85</v>
      </c>
      <c r="X792" s="425">
        <f>'Key inputs_Refineries'!$H$194</f>
        <v>0.85</v>
      </c>
      <c r="Y792" s="425">
        <f>'Key inputs_Refineries'!$H$194</f>
        <v>0.85</v>
      </c>
      <c r="Z792" s="425">
        <f>'Key inputs_Refineries'!$H$194</f>
        <v>0.85</v>
      </c>
      <c r="AA792" s="425">
        <f>'Key inputs_Refineries'!$H$194</f>
        <v>0.85</v>
      </c>
      <c r="AB792" s="425">
        <f>'Key inputs_Refineries'!$H$194</f>
        <v>0.85</v>
      </c>
      <c r="AC792" s="425">
        <f>'Key inputs_Refineries'!$H$194</f>
        <v>0.85</v>
      </c>
      <c r="AD792" s="425">
        <f>'Key inputs_Refineries'!$H$194</f>
        <v>0.85</v>
      </c>
      <c r="AE792" s="425">
        <f>'Key inputs_Refineries'!$H$194</f>
        <v>0.85</v>
      </c>
      <c r="AF792" s="425">
        <f>'Key inputs_Refineries'!$H$194</f>
        <v>0.85</v>
      </c>
      <c r="AG792" s="425">
        <f>'Key inputs_Refineries'!$H$194</f>
        <v>0.85</v>
      </c>
      <c r="AH792" s="425">
        <f>'Key inputs_Refineries'!$H$194</f>
        <v>0.85</v>
      </c>
      <c r="AI792" s="425">
        <f>'Key inputs_Refineries'!$H$194</f>
        <v>0.85</v>
      </c>
      <c r="AJ792" s="425">
        <f>'Key inputs_Refineries'!$H$194</f>
        <v>0.85</v>
      </c>
      <c r="AK792" s="425">
        <f>'Key inputs_Refineries'!$H$194</f>
        <v>0.85</v>
      </c>
      <c r="AL792" s="425">
        <f>'Key inputs_Refineries'!$H$194</f>
        <v>0.85</v>
      </c>
    </row>
    <row r="793" spans="1:45">
      <c r="C793" t="str">
        <f>Commodities!$C$91</f>
        <v>UPSELC</v>
      </c>
      <c r="G793" s="4" t="s">
        <v>702</v>
      </c>
      <c r="H793" t="s">
        <v>661</v>
      </c>
      <c r="I793">
        <v>2019</v>
      </c>
      <c r="J793" t="s">
        <v>650</v>
      </c>
      <c r="K793" s="173">
        <v>1</v>
      </c>
      <c r="L793" s="173">
        <v>1</v>
      </c>
      <c r="M793" s="173">
        <v>1</v>
      </c>
      <c r="N793" s="173">
        <v>1</v>
      </c>
      <c r="O793" s="173">
        <v>1</v>
      </c>
      <c r="P793" s="173">
        <v>1</v>
      </c>
      <c r="Q793" s="173">
        <v>1</v>
      </c>
      <c r="R793" s="173">
        <v>1</v>
      </c>
      <c r="S793" s="173">
        <v>1</v>
      </c>
      <c r="T793" s="173">
        <v>1</v>
      </c>
      <c r="U793" s="173">
        <v>1</v>
      </c>
      <c r="V793" s="173">
        <v>1</v>
      </c>
      <c r="W793" s="173">
        <v>1</v>
      </c>
      <c r="X793" s="173">
        <v>1</v>
      </c>
      <c r="Y793" s="173">
        <v>1</v>
      </c>
      <c r="Z793" s="173">
        <v>1</v>
      </c>
      <c r="AA793" s="173">
        <v>1</v>
      </c>
      <c r="AB793" s="173">
        <v>1</v>
      </c>
      <c r="AC793" s="173">
        <v>1</v>
      </c>
      <c r="AD793" s="173">
        <v>1</v>
      </c>
      <c r="AE793" s="173">
        <v>1</v>
      </c>
      <c r="AF793" s="173">
        <v>1</v>
      </c>
      <c r="AG793" s="173">
        <v>1</v>
      </c>
      <c r="AH793" s="173">
        <v>1</v>
      </c>
      <c r="AI793" s="173">
        <v>1</v>
      </c>
      <c r="AJ793" s="173">
        <v>1</v>
      </c>
      <c r="AK793" s="173">
        <v>1</v>
      </c>
      <c r="AL793" s="173">
        <v>1</v>
      </c>
    </row>
    <row r="794" spans="1:45">
      <c r="D794" t="str">
        <f>Commodities!$C$107</f>
        <v>UREFHVA</v>
      </c>
    </row>
    <row r="795" spans="1:45">
      <c r="A795" s="4" t="str">
        <f>AO435</f>
        <v>U-TRF-OILREFHVA_HET01</v>
      </c>
      <c r="B795" s="4" t="str">
        <f>AP435</f>
        <v>UPS Transformation: Oil refinery HVAC Heat - New</v>
      </c>
      <c r="C795" s="4"/>
      <c r="D795" s="4"/>
      <c r="E795" s="4"/>
      <c r="F795" s="4"/>
      <c r="G795" s="4" t="s">
        <v>695</v>
      </c>
      <c r="H795" s="4"/>
      <c r="I795" s="4"/>
      <c r="J795" s="4" t="s">
        <v>2665</v>
      </c>
      <c r="K795" s="333">
        <v>1</v>
      </c>
      <c r="L795" s="333">
        <v>1</v>
      </c>
      <c r="M795" s="333">
        <v>1</v>
      </c>
      <c r="N795" s="333">
        <v>1</v>
      </c>
      <c r="O795" s="333">
        <v>1</v>
      </c>
      <c r="P795" s="333">
        <v>1</v>
      </c>
      <c r="Q795" s="333">
        <v>1</v>
      </c>
      <c r="R795" s="333">
        <v>1</v>
      </c>
      <c r="S795" s="333">
        <v>1</v>
      </c>
      <c r="T795" s="333">
        <v>1</v>
      </c>
      <c r="U795" s="333">
        <v>1</v>
      </c>
      <c r="V795" s="333">
        <v>1</v>
      </c>
      <c r="W795" s="333">
        <v>1</v>
      </c>
      <c r="X795" s="333">
        <v>1</v>
      </c>
      <c r="Y795" s="333">
        <v>1</v>
      </c>
      <c r="Z795" s="333">
        <v>1</v>
      </c>
      <c r="AA795" s="333">
        <v>1</v>
      </c>
      <c r="AB795" s="333">
        <v>1</v>
      </c>
      <c r="AC795" s="333">
        <v>1</v>
      </c>
      <c r="AD795" s="333">
        <v>1</v>
      </c>
      <c r="AE795" s="333">
        <v>1</v>
      </c>
      <c r="AF795" s="333">
        <v>1</v>
      </c>
      <c r="AG795" s="333">
        <v>1</v>
      </c>
      <c r="AH795" s="333">
        <v>1</v>
      </c>
      <c r="AI795" s="333">
        <v>1</v>
      </c>
      <c r="AJ795" s="333">
        <v>1</v>
      </c>
      <c r="AK795" s="333">
        <v>1</v>
      </c>
      <c r="AL795" s="333">
        <v>1</v>
      </c>
    </row>
    <row r="796" spans="1:45">
      <c r="A796" s="4"/>
      <c r="B796" s="4"/>
      <c r="C796" s="4"/>
      <c r="D796" s="4"/>
      <c r="E796" s="4"/>
      <c r="F796" s="4"/>
      <c r="G796" s="4" t="s">
        <v>697</v>
      </c>
      <c r="H796" s="4"/>
      <c r="I796" s="4"/>
      <c r="J796" s="4" t="s">
        <v>698</v>
      </c>
      <c r="K796" s="424">
        <f>'Key inputs_Refineries'!$F$195</f>
        <v>15</v>
      </c>
      <c r="L796" s="424">
        <f>'Key inputs_Refineries'!$F$195</f>
        <v>15</v>
      </c>
      <c r="M796" s="424">
        <f>'Key inputs_Refineries'!$F$195</f>
        <v>15</v>
      </c>
      <c r="N796" s="424">
        <f>'Key inputs_Refineries'!$F$195</f>
        <v>15</v>
      </c>
      <c r="O796" s="424">
        <f>'Key inputs_Refineries'!$F$195</f>
        <v>15</v>
      </c>
      <c r="P796" s="424">
        <f>'Key inputs_Refineries'!$F$195</f>
        <v>15</v>
      </c>
      <c r="Q796" s="424">
        <f>'Key inputs_Refineries'!$F$195</f>
        <v>15</v>
      </c>
      <c r="R796" s="424">
        <f>'Key inputs_Refineries'!$F$195</f>
        <v>15</v>
      </c>
      <c r="S796" s="424">
        <f>'Key inputs_Refineries'!$F$195</f>
        <v>15</v>
      </c>
      <c r="T796" s="424">
        <f>'Key inputs_Refineries'!$F$195</f>
        <v>15</v>
      </c>
      <c r="U796" s="424">
        <f>'Key inputs_Refineries'!$F$195</f>
        <v>15</v>
      </c>
      <c r="V796" s="424">
        <f>'Key inputs_Refineries'!$F$195</f>
        <v>15</v>
      </c>
      <c r="W796" s="424">
        <f>'Key inputs_Refineries'!$F$195</f>
        <v>15</v>
      </c>
      <c r="X796" s="424">
        <f>'Key inputs_Refineries'!$F$195</f>
        <v>15</v>
      </c>
      <c r="Y796" s="424">
        <f>'Key inputs_Refineries'!$F$195</f>
        <v>15</v>
      </c>
      <c r="Z796" s="424">
        <f>'Key inputs_Refineries'!$F$195</f>
        <v>15</v>
      </c>
      <c r="AA796" s="424">
        <f>'Key inputs_Refineries'!$F$195</f>
        <v>15</v>
      </c>
      <c r="AB796" s="424">
        <f>'Key inputs_Refineries'!$F$195</f>
        <v>15</v>
      </c>
      <c r="AC796" s="424">
        <f>'Key inputs_Refineries'!$F$195</f>
        <v>15</v>
      </c>
      <c r="AD796" s="424">
        <f>'Key inputs_Refineries'!$F$195</f>
        <v>15</v>
      </c>
      <c r="AE796" s="424">
        <f>'Key inputs_Refineries'!$F$195</f>
        <v>15</v>
      </c>
      <c r="AF796" s="424">
        <f>'Key inputs_Refineries'!$F$195</f>
        <v>15</v>
      </c>
      <c r="AG796" s="424">
        <f>'Key inputs_Refineries'!$F$195</f>
        <v>15</v>
      </c>
      <c r="AH796" s="424">
        <f>'Key inputs_Refineries'!$F$195</f>
        <v>15</v>
      </c>
      <c r="AI796" s="424">
        <f>'Key inputs_Refineries'!$F$195</f>
        <v>15</v>
      </c>
      <c r="AJ796" s="424">
        <f>'Key inputs_Refineries'!$F$195</f>
        <v>15</v>
      </c>
      <c r="AK796" s="424">
        <f>'Key inputs_Refineries'!$F$195</f>
        <v>15</v>
      </c>
      <c r="AL796" s="424">
        <f>'Key inputs_Refineries'!$F$195</f>
        <v>15</v>
      </c>
    </row>
    <row r="797" spans="1:45">
      <c r="A797" s="4"/>
      <c r="B797" s="4"/>
      <c r="C797" s="4"/>
      <c r="D797" s="4"/>
      <c r="E797" s="4"/>
      <c r="F797" s="4"/>
      <c r="G797" s="4" t="s">
        <v>707</v>
      </c>
      <c r="H797" s="4"/>
      <c r="I797" s="4"/>
      <c r="J797" s="4" t="s">
        <v>2669</v>
      </c>
      <c r="K797" s="347">
        <v>2020</v>
      </c>
      <c r="L797" s="347">
        <v>2020</v>
      </c>
      <c r="M797" s="347">
        <v>2020</v>
      </c>
      <c r="N797" s="347">
        <v>2020</v>
      </c>
      <c r="O797" s="347">
        <v>2020</v>
      </c>
      <c r="P797" s="347">
        <v>2020</v>
      </c>
      <c r="Q797" s="347">
        <v>2020</v>
      </c>
      <c r="R797" s="347">
        <v>2020</v>
      </c>
      <c r="S797" s="347">
        <v>2020</v>
      </c>
      <c r="T797" s="347">
        <v>2020</v>
      </c>
      <c r="U797" s="347">
        <v>2020</v>
      </c>
      <c r="V797" s="347">
        <v>2020</v>
      </c>
      <c r="W797" s="347">
        <v>2020</v>
      </c>
      <c r="X797" s="347">
        <v>2020</v>
      </c>
      <c r="Y797" s="347">
        <v>2020</v>
      </c>
      <c r="Z797" s="347">
        <v>2020</v>
      </c>
      <c r="AA797" s="347">
        <v>2020</v>
      </c>
      <c r="AB797" s="347">
        <v>2020</v>
      </c>
      <c r="AC797" s="347">
        <v>2020</v>
      </c>
      <c r="AD797" s="347">
        <v>2020</v>
      </c>
      <c r="AE797" s="347">
        <v>2020</v>
      </c>
      <c r="AF797" s="347">
        <v>2020</v>
      </c>
      <c r="AG797" s="347">
        <v>2020</v>
      </c>
      <c r="AH797" s="347">
        <v>2020</v>
      </c>
      <c r="AI797" s="347">
        <v>2020</v>
      </c>
      <c r="AJ797" s="347">
        <v>2020</v>
      </c>
      <c r="AK797" s="347">
        <v>2020</v>
      </c>
      <c r="AL797" s="347">
        <v>2020</v>
      </c>
      <c r="AN797" s="353"/>
      <c r="AO797" s="353"/>
      <c r="AP797" s="353"/>
      <c r="AQ797" s="353"/>
      <c r="AR797" s="353"/>
      <c r="AS797" s="353"/>
    </row>
    <row r="798" spans="1:45">
      <c r="G798" s="4" t="s">
        <v>701</v>
      </c>
      <c r="H798" s="4" t="s">
        <v>661</v>
      </c>
      <c r="I798" s="4">
        <v>2019</v>
      </c>
      <c r="J798" s="4" t="s">
        <v>112</v>
      </c>
      <c r="K798" s="333"/>
      <c r="L798" s="333"/>
      <c r="M798" s="333"/>
      <c r="N798" s="333"/>
      <c r="O798" s="333"/>
      <c r="P798" s="333"/>
      <c r="Q798" s="333"/>
      <c r="R798" s="333"/>
      <c r="S798" s="333"/>
      <c r="T798" s="333"/>
      <c r="U798" s="333"/>
      <c r="V798" s="333"/>
      <c r="W798" s="333"/>
      <c r="X798" s="333"/>
      <c r="Y798" s="333"/>
      <c r="Z798" s="333"/>
      <c r="AA798" s="333"/>
      <c r="AB798" s="333"/>
      <c r="AC798" s="333"/>
      <c r="AD798" s="333"/>
      <c r="AE798" s="333"/>
      <c r="AF798" s="333"/>
      <c r="AG798" s="333"/>
      <c r="AH798" s="333"/>
      <c r="AI798" s="333"/>
      <c r="AJ798" s="333"/>
      <c r="AK798" s="333"/>
      <c r="AL798" s="333"/>
    </row>
    <row r="799" spans="1:45">
      <c r="G799" s="4" t="s">
        <v>701</v>
      </c>
      <c r="H799" s="4" t="s">
        <v>661</v>
      </c>
      <c r="I799" s="4">
        <v>2060</v>
      </c>
      <c r="J799" s="4" t="s">
        <v>112</v>
      </c>
      <c r="K799" s="333"/>
      <c r="L799" s="333"/>
      <c r="M799" s="333"/>
      <c r="N799" s="333"/>
      <c r="O799" s="333"/>
      <c r="P799" s="333"/>
      <c r="Q799" s="333"/>
      <c r="R799" s="333"/>
      <c r="S799" s="333"/>
      <c r="T799" s="333"/>
      <c r="U799" s="333"/>
      <c r="V799" s="333"/>
      <c r="W799" s="333"/>
      <c r="X799" s="333"/>
      <c r="Y799" s="333"/>
      <c r="Z799" s="333"/>
      <c r="AA799" s="333"/>
      <c r="AB799" s="333"/>
      <c r="AC799" s="333"/>
      <c r="AD799" s="333"/>
      <c r="AE799" s="333"/>
      <c r="AF799" s="333"/>
      <c r="AG799" s="333"/>
      <c r="AH799" s="333"/>
      <c r="AI799" s="333"/>
      <c r="AJ799" s="333"/>
      <c r="AK799" s="333"/>
      <c r="AL799" s="333"/>
    </row>
    <row r="800" spans="1:45">
      <c r="G800" s="4" t="s">
        <v>701</v>
      </c>
      <c r="H800" s="4" t="s">
        <v>661</v>
      </c>
      <c r="I800" s="4">
        <v>0</v>
      </c>
      <c r="J800" s="4"/>
      <c r="K800" s="333"/>
      <c r="L800" s="333"/>
      <c r="M800" s="333"/>
      <c r="N800" s="333"/>
      <c r="O800" s="333"/>
      <c r="P800" s="333"/>
      <c r="Q800" s="333"/>
      <c r="R800" s="333"/>
      <c r="S800" s="333"/>
      <c r="T800" s="333"/>
      <c r="U800" s="333"/>
      <c r="V800" s="333"/>
      <c r="W800" s="333"/>
      <c r="X800" s="333"/>
      <c r="Y800" s="333"/>
      <c r="Z800" s="333"/>
      <c r="AA800" s="333"/>
      <c r="AB800" s="333"/>
      <c r="AC800" s="333"/>
      <c r="AD800" s="333"/>
      <c r="AE800" s="333"/>
      <c r="AF800" s="333"/>
      <c r="AG800" s="333"/>
      <c r="AH800" s="333"/>
      <c r="AI800" s="333"/>
      <c r="AJ800" s="333"/>
      <c r="AK800" s="333"/>
      <c r="AL800" s="333"/>
    </row>
    <row r="801" spans="1:47">
      <c r="G801" s="4" t="s">
        <v>687</v>
      </c>
      <c r="H801" s="4"/>
      <c r="I801" s="4"/>
      <c r="J801" s="4" t="s">
        <v>2663</v>
      </c>
      <c r="K801" s="425">
        <f>'Key inputs_Refineries'!$C$195*10^3</f>
        <v>94.608000000000018</v>
      </c>
      <c r="L801" s="425">
        <f>'Key inputs_Refineries'!$C$195*10^3</f>
        <v>94.608000000000018</v>
      </c>
      <c r="M801" s="425">
        <f>'Key inputs_Refineries'!$C$195*10^3</f>
        <v>94.608000000000018</v>
      </c>
      <c r="N801" s="425">
        <f>'Key inputs_Refineries'!$C$195*10^3</f>
        <v>94.608000000000018</v>
      </c>
      <c r="O801" s="425">
        <f>'Key inputs_Refineries'!$C$195*10^3</f>
        <v>94.608000000000018</v>
      </c>
      <c r="P801" s="425">
        <f>'Key inputs_Refineries'!$C$195*10^3</f>
        <v>94.608000000000018</v>
      </c>
      <c r="Q801" s="425">
        <f>'Key inputs_Refineries'!$C$195*10^3</f>
        <v>94.608000000000018</v>
      </c>
      <c r="R801" s="425">
        <f>'Key inputs_Refineries'!$C$195*10^3</f>
        <v>94.608000000000018</v>
      </c>
      <c r="S801" s="425">
        <f>'Key inputs_Refineries'!$C$195*10^3</f>
        <v>94.608000000000018</v>
      </c>
      <c r="T801" s="425">
        <f>'Key inputs_Refineries'!$C$195*10^3</f>
        <v>94.608000000000018</v>
      </c>
      <c r="U801" s="425">
        <f>'Key inputs_Refineries'!$C$195*10^3</f>
        <v>94.608000000000018</v>
      </c>
      <c r="V801" s="425">
        <f>'Key inputs_Refineries'!$C$195*10^3</f>
        <v>94.608000000000018</v>
      </c>
      <c r="W801" s="425">
        <f>'Key inputs_Refineries'!$C$195*10^3</f>
        <v>94.608000000000018</v>
      </c>
      <c r="X801" s="425">
        <f>'Key inputs_Refineries'!$C$195*10^3</f>
        <v>94.608000000000018</v>
      </c>
      <c r="Y801" s="425">
        <f>'Key inputs_Refineries'!$C$195*10^3</f>
        <v>94.608000000000018</v>
      </c>
      <c r="Z801" s="425">
        <f>'Key inputs_Refineries'!$C$195*10^3</f>
        <v>94.608000000000018</v>
      </c>
      <c r="AA801" s="425">
        <f>'Key inputs_Refineries'!$C$195*10^3</f>
        <v>94.608000000000018</v>
      </c>
      <c r="AB801" s="425">
        <f>'Key inputs_Refineries'!$C$195*10^3</f>
        <v>94.608000000000018</v>
      </c>
      <c r="AC801" s="425">
        <f>'Key inputs_Refineries'!$C$195*10^3</f>
        <v>94.608000000000018</v>
      </c>
      <c r="AD801" s="425">
        <f>'Key inputs_Refineries'!$C$195*10^3</f>
        <v>94.608000000000018</v>
      </c>
      <c r="AE801" s="425">
        <f>'Key inputs_Refineries'!$C$195*10^3</f>
        <v>94.608000000000018</v>
      </c>
      <c r="AF801" s="425">
        <f>'Key inputs_Refineries'!$C$195*10^3</f>
        <v>94.608000000000018</v>
      </c>
      <c r="AG801" s="425">
        <f>'Key inputs_Refineries'!$C$195*10^3</f>
        <v>94.608000000000018</v>
      </c>
      <c r="AH801" s="425">
        <f>'Key inputs_Refineries'!$C$195*10^3</f>
        <v>94.608000000000018</v>
      </c>
      <c r="AI801" s="425">
        <f>'Key inputs_Refineries'!$C$195*10^3</f>
        <v>94.608000000000018</v>
      </c>
      <c r="AJ801" s="425">
        <f>'Key inputs_Refineries'!$C$195*10^3</f>
        <v>94.608000000000018</v>
      </c>
      <c r="AK801" s="425">
        <f>'Key inputs_Refineries'!$C$195*10^3</f>
        <v>94.608000000000018</v>
      </c>
      <c r="AL801" s="425">
        <f>'Key inputs_Refineries'!$C$195*10^3</f>
        <v>94.608000000000018</v>
      </c>
    </row>
    <row r="802" spans="1:47">
      <c r="G802" s="4" t="s">
        <v>689</v>
      </c>
      <c r="H802" s="4"/>
      <c r="I802" s="4"/>
      <c r="J802" s="4" t="s">
        <v>2663</v>
      </c>
      <c r="K802" s="425">
        <f>'Key inputs_Refineries'!$D$195*10^3</f>
        <v>0.94608000000000003</v>
      </c>
      <c r="L802" s="425">
        <f>'Key inputs_Refineries'!$D$195*10^3</f>
        <v>0.94608000000000003</v>
      </c>
      <c r="M802" s="425">
        <f>'Key inputs_Refineries'!$D$195*10^3</f>
        <v>0.94608000000000003</v>
      </c>
      <c r="N802" s="425">
        <f>'Key inputs_Refineries'!$D$195*10^3</f>
        <v>0.94608000000000003</v>
      </c>
      <c r="O802" s="425">
        <f>'Key inputs_Refineries'!$D$195*10^3</f>
        <v>0.94608000000000003</v>
      </c>
      <c r="P802" s="425">
        <f>'Key inputs_Refineries'!$D$195*10^3</f>
        <v>0.94608000000000003</v>
      </c>
      <c r="Q802" s="425">
        <f>'Key inputs_Refineries'!$D$195*10^3</f>
        <v>0.94608000000000003</v>
      </c>
      <c r="R802" s="425">
        <f>'Key inputs_Refineries'!$D$195*10^3</f>
        <v>0.94608000000000003</v>
      </c>
      <c r="S802" s="425">
        <f>'Key inputs_Refineries'!$D$195*10^3</f>
        <v>0.94608000000000003</v>
      </c>
      <c r="T802" s="425">
        <f>'Key inputs_Refineries'!$D$195*10^3</f>
        <v>0.94608000000000003</v>
      </c>
      <c r="U802" s="425">
        <f>'Key inputs_Refineries'!$D$195*10^3</f>
        <v>0.94608000000000003</v>
      </c>
      <c r="V802" s="425">
        <f>'Key inputs_Refineries'!$D$195*10^3</f>
        <v>0.94608000000000003</v>
      </c>
      <c r="W802" s="425">
        <f>'Key inputs_Refineries'!$D$195*10^3</f>
        <v>0.94608000000000003</v>
      </c>
      <c r="X802" s="425">
        <f>'Key inputs_Refineries'!$D$195*10^3</f>
        <v>0.94608000000000003</v>
      </c>
      <c r="Y802" s="425">
        <f>'Key inputs_Refineries'!$D$195*10^3</f>
        <v>0.94608000000000003</v>
      </c>
      <c r="Z802" s="425">
        <f>'Key inputs_Refineries'!$D$195*10^3</f>
        <v>0.94608000000000003</v>
      </c>
      <c r="AA802" s="425">
        <f>'Key inputs_Refineries'!$D$195*10^3</f>
        <v>0.94608000000000003</v>
      </c>
      <c r="AB802" s="425">
        <f>'Key inputs_Refineries'!$D$195*10^3</f>
        <v>0.94608000000000003</v>
      </c>
      <c r="AC802" s="425">
        <f>'Key inputs_Refineries'!$D$195*10^3</f>
        <v>0.94608000000000003</v>
      </c>
      <c r="AD802" s="425">
        <f>'Key inputs_Refineries'!$D$195*10^3</f>
        <v>0.94608000000000003</v>
      </c>
      <c r="AE802" s="425">
        <f>'Key inputs_Refineries'!$D$195*10^3</f>
        <v>0.94608000000000003</v>
      </c>
      <c r="AF802" s="425">
        <f>'Key inputs_Refineries'!$D$195*10^3</f>
        <v>0.94608000000000003</v>
      </c>
      <c r="AG802" s="425">
        <f>'Key inputs_Refineries'!$D$195*10^3</f>
        <v>0.94608000000000003</v>
      </c>
      <c r="AH802" s="425">
        <f>'Key inputs_Refineries'!$D$195*10^3</f>
        <v>0.94608000000000003</v>
      </c>
      <c r="AI802" s="425">
        <f>'Key inputs_Refineries'!$D$195*10^3</f>
        <v>0.94608000000000003</v>
      </c>
      <c r="AJ802" s="425">
        <f>'Key inputs_Refineries'!$D$195*10^3</f>
        <v>0.94608000000000003</v>
      </c>
      <c r="AK802" s="425">
        <f>'Key inputs_Refineries'!$D$195*10^3</f>
        <v>0.94608000000000003</v>
      </c>
      <c r="AL802" s="425">
        <f>'Key inputs_Refineries'!$D$195*10^3</f>
        <v>0.94608000000000003</v>
      </c>
    </row>
    <row r="803" spans="1:47">
      <c r="G803" s="4" t="s">
        <v>675</v>
      </c>
      <c r="H803" s="4"/>
      <c r="I803" s="4"/>
      <c r="J803" s="4" t="s">
        <v>2662</v>
      </c>
      <c r="K803" s="338"/>
      <c r="L803" s="338"/>
      <c r="M803" s="338"/>
      <c r="N803" s="338"/>
      <c r="O803" s="338"/>
      <c r="P803" s="338"/>
      <c r="Q803" s="338"/>
      <c r="R803" s="338"/>
      <c r="S803" s="338"/>
      <c r="T803" s="338"/>
      <c r="U803" s="338"/>
      <c r="V803" s="338"/>
      <c r="W803" s="338"/>
      <c r="X803" s="338"/>
      <c r="Y803" s="338"/>
      <c r="Z803" s="338"/>
      <c r="AA803" s="338"/>
      <c r="AB803" s="338"/>
      <c r="AC803" s="338"/>
      <c r="AD803" s="338"/>
      <c r="AE803" s="338"/>
      <c r="AF803" s="338"/>
      <c r="AG803" s="338"/>
      <c r="AH803" s="338"/>
      <c r="AI803" s="338"/>
      <c r="AJ803" s="338"/>
      <c r="AK803" s="338"/>
      <c r="AL803" s="338"/>
    </row>
    <row r="804" spans="1:47">
      <c r="G804" s="4" t="s">
        <v>630</v>
      </c>
      <c r="H804" s="4"/>
      <c r="I804" s="4"/>
      <c r="J804" s="4" t="s">
        <v>2666</v>
      </c>
      <c r="K804" s="425">
        <f>'Key inputs_Refineries'!$H$195</f>
        <v>0.99</v>
      </c>
      <c r="L804" s="425">
        <f>'Key inputs_Refineries'!$H$195</f>
        <v>0.99</v>
      </c>
      <c r="M804" s="425">
        <f>'Key inputs_Refineries'!$H$195</f>
        <v>0.99</v>
      </c>
      <c r="N804" s="425">
        <f>'Key inputs_Refineries'!$H$195</f>
        <v>0.99</v>
      </c>
      <c r="O804" s="425">
        <f>'Key inputs_Refineries'!$H$195</f>
        <v>0.99</v>
      </c>
      <c r="P804" s="425">
        <f>'Key inputs_Refineries'!$H$195</f>
        <v>0.99</v>
      </c>
      <c r="Q804" s="425">
        <f>'Key inputs_Refineries'!$H$195</f>
        <v>0.99</v>
      </c>
      <c r="R804" s="425">
        <f>'Key inputs_Refineries'!$H$195</f>
        <v>0.99</v>
      </c>
      <c r="S804" s="425">
        <f>'Key inputs_Refineries'!$H$195</f>
        <v>0.99</v>
      </c>
      <c r="T804" s="425">
        <f>'Key inputs_Refineries'!$H$195</f>
        <v>0.99</v>
      </c>
      <c r="U804" s="425">
        <f>'Key inputs_Refineries'!$H$195</f>
        <v>0.99</v>
      </c>
      <c r="V804" s="425">
        <f>'Key inputs_Refineries'!$H$195</f>
        <v>0.99</v>
      </c>
      <c r="W804" s="425">
        <f>'Key inputs_Refineries'!$H$195</f>
        <v>0.99</v>
      </c>
      <c r="X804" s="425">
        <f>'Key inputs_Refineries'!$H$195</f>
        <v>0.99</v>
      </c>
      <c r="Y804" s="425">
        <f>'Key inputs_Refineries'!$H$195</f>
        <v>0.99</v>
      </c>
      <c r="Z804" s="425">
        <f>'Key inputs_Refineries'!$H$195</f>
        <v>0.99</v>
      </c>
      <c r="AA804" s="425">
        <f>'Key inputs_Refineries'!$H$195</f>
        <v>0.99</v>
      </c>
      <c r="AB804" s="425">
        <f>'Key inputs_Refineries'!$H$195</f>
        <v>0.99</v>
      </c>
      <c r="AC804" s="425">
        <f>'Key inputs_Refineries'!$H$195</f>
        <v>0.99</v>
      </c>
      <c r="AD804" s="425">
        <f>'Key inputs_Refineries'!$H$195</f>
        <v>0.99</v>
      </c>
      <c r="AE804" s="425">
        <f>'Key inputs_Refineries'!$H$195</f>
        <v>0.99</v>
      </c>
      <c r="AF804" s="425">
        <f>'Key inputs_Refineries'!$H$195</f>
        <v>0.99</v>
      </c>
      <c r="AG804" s="425">
        <f>'Key inputs_Refineries'!$H$195</f>
        <v>0.99</v>
      </c>
      <c r="AH804" s="425">
        <f>'Key inputs_Refineries'!$H$195</f>
        <v>0.99</v>
      </c>
      <c r="AI804" s="425">
        <f>'Key inputs_Refineries'!$H$195</f>
        <v>0.99</v>
      </c>
      <c r="AJ804" s="425">
        <f>'Key inputs_Refineries'!$H$195</f>
        <v>0.99</v>
      </c>
      <c r="AK804" s="425">
        <f>'Key inputs_Refineries'!$H$195</f>
        <v>0.99</v>
      </c>
      <c r="AL804" s="425">
        <f>'Key inputs_Refineries'!$H$195</f>
        <v>0.99</v>
      </c>
      <c r="AT804" s="353"/>
      <c r="AU804" s="353"/>
    </row>
    <row r="805" spans="1:47">
      <c r="C805" t="str">
        <f>Commodities!$C$94</f>
        <v>UPSHET</v>
      </c>
      <c r="G805" s="4" t="s">
        <v>702</v>
      </c>
      <c r="H805" t="s">
        <v>661</v>
      </c>
      <c r="I805">
        <v>2019</v>
      </c>
      <c r="J805" t="s">
        <v>650</v>
      </c>
      <c r="K805" s="173">
        <v>1</v>
      </c>
      <c r="L805" s="173">
        <v>1</v>
      </c>
      <c r="M805" s="173">
        <v>1</v>
      </c>
      <c r="N805" s="173">
        <v>1</v>
      </c>
      <c r="O805" s="173">
        <v>1</v>
      </c>
      <c r="P805" s="173">
        <v>1</v>
      </c>
      <c r="Q805" s="173">
        <v>1</v>
      </c>
      <c r="R805" s="173">
        <v>1</v>
      </c>
      <c r="S805" s="173">
        <v>1</v>
      </c>
      <c r="T805" s="173">
        <v>1</v>
      </c>
      <c r="U805" s="173">
        <v>1</v>
      </c>
      <c r="V805" s="173">
        <v>1</v>
      </c>
      <c r="W805" s="173">
        <v>1</v>
      </c>
      <c r="X805" s="173">
        <v>1</v>
      </c>
      <c r="Y805" s="173">
        <v>1</v>
      </c>
      <c r="Z805" s="173">
        <v>1</v>
      </c>
      <c r="AA805" s="173">
        <v>1</v>
      </c>
      <c r="AB805" s="173">
        <v>1</v>
      </c>
      <c r="AC805" s="173">
        <v>1</v>
      </c>
      <c r="AD805" s="173">
        <v>1</v>
      </c>
      <c r="AE805" s="173">
        <v>1</v>
      </c>
      <c r="AF805" s="173">
        <v>1</v>
      </c>
      <c r="AG805" s="173">
        <v>1</v>
      </c>
      <c r="AH805" s="173">
        <v>1</v>
      </c>
      <c r="AI805" s="173">
        <v>1</v>
      </c>
      <c r="AJ805" s="173">
        <v>1</v>
      </c>
      <c r="AK805" s="173">
        <v>1</v>
      </c>
      <c r="AL805" s="173">
        <v>1</v>
      </c>
    </row>
    <row r="806" spans="1:47" s="4" customFormat="1">
      <c r="A806" s="236"/>
      <c r="B806" s="236"/>
      <c r="C806" s="236"/>
      <c r="D806" s="236" t="str">
        <f>Commodities!$C$107</f>
        <v>UREFHVA</v>
      </c>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c r="AE806" s="236"/>
      <c r="AF806" s="236"/>
      <c r="AG806" s="236"/>
      <c r="AH806" s="236"/>
      <c r="AI806" s="236"/>
      <c r="AJ806" s="236"/>
      <c r="AK806" s="236"/>
      <c r="AL806" s="236"/>
      <c r="AN806"/>
      <c r="AO806"/>
      <c r="AP806"/>
      <c r="AQ806"/>
      <c r="AR806"/>
      <c r="AS806"/>
      <c r="AT806"/>
      <c r="AU806"/>
    </row>
    <row r="807" spans="1:47">
      <c r="A807" s="257" t="s">
        <v>709</v>
      </c>
      <c r="B807" s="257"/>
      <c r="C807" s="257"/>
      <c r="D807" s="257"/>
      <c r="E807" s="257"/>
      <c r="F807" s="257"/>
      <c r="G807" s="257"/>
      <c r="H807" s="257"/>
      <c r="I807" s="257"/>
      <c r="J807" s="257"/>
      <c r="K807" s="352"/>
      <c r="L807" s="352"/>
      <c r="M807" s="352"/>
      <c r="N807" s="352"/>
      <c r="O807" s="352"/>
      <c r="P807" s="352"/>
      <c r="Q807" s="352"/>
      <c r="R807" s="352"/>
      <c r="S807" s="352"/>
      <c r="T807" s="352"/>
      <c r="U807" s="352"/>
      <c r="V807" s="352"/>
      <c r="W807" s="352"/>
      <c r="X807" s="352"/>
      <c r="Y807" s="352"/>
      <c r="Z807" s="352"/>
      <c r="AA807" s="352"/>
      <c r="AB807" s="352"/>
      <c r="AC807" s="352"/>
      <c r="AD807" s="352"/>
      <c r="AE807" s="352"/>
      <c r="AF807" s="352"/>
      <c r="AG807" s="352"/>
      <c r="AH807" s="352"/>
      <c r="AI807" s="352"/>
      <c r="AJ807" s="352"/>
      <c r="AK807" s="352"/>
      <c r="AL807" s="352"/>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A8BAD-384E-44D0-8A28-5A49C10E9CE7}">
  <sheetPr>
    <tabColor theme="9" tint="0.39997558519241921"/>
  </sheetPr>
  <dimension ref="A1:AU19"/>
  <sheetViews>
    <sheetView workbookViewId="0">
      <pane xSplit="9" ySplit="9" topLeftCell="AJ10" activePane="bottomRight" state="frozen"/>
      <selection pane="topRight" activeCell="J1" sqref="J1"/>
      <selection pane="bottomLeft" activeCell="A10" sqref="A10"/>
      <selection pane="bottomRight" activeCell="AK8" sqref="AK8"/>
    </sheetView>
  </sheetViews>
  <sheetFormatPr defaultRowHeight="15.6"/>
  <cols>
    <col min="1" max="1" width="28.19921875" bestFit="1" customWidth="1"/>
    <col min="2" max="2" width="65.59765625" bestFit="1" customWidth="1"/>
    <col min="3" max="3" width="8.5" bestFit="1" customWidth="1"/>
    <col min="4" max="4" width="10.69921875" bestFit="1" customWidth="1"/>
    <col min="5" max="5" width="10.5" bestFit="1" customWidth="1"/>
    <col min="6" max="6" width="8.69921875" bestFit="1" customWidth="1"/>
    <col min="7" max="7" width="10.8984375" bestFit="1" customWidth="1"/>
    <col min="8" max="8" width="7.3984375" bestFit="1" customWidth="1"/>
    <col min="9" max="9" width="4.8984375" bestFit="1" customWidth="1"/>
    <col min="10" max="10" width="16.3984375" bestFit="1" customWidth="1"/>
    <col min="11" max="11" width="9.09765625" bestFit="1" customWidth="1"/>
    <col min="12" max="12" width="10.09765625" bestFit="1" customWidth="1"/>
    <col min="13" max="13" width="9.09765625" bestFit="1" customWidth="1"/>
    <col min="14" max="16" width="10.09765625" bestFit="1" customWidth="1"/>
    <col min="17" max="17" width="11.09765625" bestFit="1" customWidth="1"/>
    <col min="18" max="19" width="10.09765625" bestFit="1" customWidth="1"/>
    <col min="20" max="20" width="11.09765625" bestFit="1" customWidth="1"/>
    <col min="21" max="21" width="9.09765625" bestFit="1" customWidth="1"/>
    <col min="22" max="22" width="12.59765625" bestFit="1" customWidth="1"/>
    <col min="23" max="25" width="10.09765625" bestFit="1" customWidth="1"/>
    <col min="26" max="27" width="11.09765625" bestFit="1" customWidth="1"/>
    <col min="28" max="28" width="10.09765625" bestFit="1" customWidth="1"/>
    <col min="29" max="30" width="11.09765625" bestFit="1" customWidth="1"/>
    <col min="31" max="32" width="10.09765625" bestFit="1" customWidth="1"/>
    <col min="33" max="33" width="11.09765625" bestFit="1" customWidth="1"/>
    <col min="34" max="34" width="10.09765625" bestFit="1" customWidth="1"/>
    <col min="35" max="35" width="7.59765625" bestFit="1" customWidth="1"/>
    <col min="36" max="37" width="11.09765625" bestFit="1" customWidth="1"/>
    <col min="38" max="38" width="12.59765625" bestFit="1" customWidth="1"/>
    <col min="40" max="40" width="21.59765625" bestFit="1" customWidth="1"/>
    <col min="41" max="41" width="16" bestFit="1" customWidth="1"/>
    <col min="42" max="42" width="65.59765625" bestFit="1" customWidth="1"/>
    <col min="43" max="43" width="6" bestFit="1" customWidth="1"/>
    <col min="44" max="44" width="6.8984375" bestFit="1" customWidth="1"/>
    <col min="45" max="45" width="7.3984375" bestFit="1" customWidth="1"/>
    <col min="46" max="46" width="9.09765625" bestFit="1" customWidth="1"/>
    <col min="47" max="47" width="6.8984375" bestFit="1" customWidth="1"/>
  </cols>
  <sheetData>
    <row r="1" spans="1:47" s="4" customFormat="1" ht="23.4">
      <c r="A1" s="253" t="s">
        <v>317</v>
      </c>
    </row>
    <row r="2" spans="1:47" s="4" customFormat="1" ht="18">
      <c r="A2" s="8" t="s">
        <v>663</v>
      </c>
      <c r="B2" s="4" t="str">
        <f>Legend!B163&amp;" &amp; "&amp;Legend!B166</f>
        <v>S1 &amp; S4</v>
      </c>
    </row>
    <row r="3" spans="1:47" s="4" customFormat="1"/>
    <row r="4" spans="1:47" s="4" customFormat="1" ht="18">
      <c r="A4" s="8"/>
      <c r="G4"/>
      <c r="H4"/>
      <c r="L4" s="254"/>
      <c r="AN4" s="8" t="s">
        <v>665</v>
      </c>
    </row>
    <row r="5" spans="1:47" s="4" customFormat="1" ht="18">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2"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5.2">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s="4" customFormat="1">
      <c r="A10" s="4" t="str">
        <f>IF(AO10="",AN10,AO10)</f>
        <v>U-TRF-H2-SMR_00</v>
      </c>
      <c r="B10" s="4" t="str">
        <f>IF($AO10="","",AP10)</f>
        <v>UPS Transformation: Hydrogen production - Steam methane reforming - Existing</v>
      </c>
      <c r="G10" s="4" t="s">
        <v>695</v>
      </c>
      <c r="J10" s="4" t="s">
        <v>2665</v>
      </c>
      <c r="K10" s="333">
        <v>1</v>
      </c>
      <c r="L10" s="333">
        <v>1</v>
      </c>
      <c r="M10" s="333">
        <v>1</v>
      </c>
      <c r="N10" s="333">
        <v>1</v>
      </c>
      <c r="O10" s="333">
        <v>1</v>
      </c>
      <c r="P10" s="333">
        <v>1</v>
      </c>
      <c r="Q10" s="333">
        <v>1</v>
      </c>
      <c r="R10" s="333">
        <v>1</v>
      </c>
      <c r="S10" s="333">
        <v>1</v>
      </c>
      <c r="T10" s="333">
        <v>1</v>
      </c>
      <c r="U10" s="333">
        <v>1</v>
      </c>
      <c r="V10" s="333">
        <v>1</v>
      </c>
      <c r="W10" s="333">
        <v>1</v>
      </c>
      <c r="X10" s="333">
        <v>1</v>
      </c>
      <c r="Y10" s="333">
        <v>1</v>
      </c>
      <c r="Z10" s="333">
        <v>1</v>
      </c>
      <c r="AA10" s="333">
        <v>1</v>
      </c>
      <c r="AB10" s="333">
        <v>1</v>
      </c>
      <c r="AC10" s="333">
        <v>1</v>
      </c>
      <c r="AD10" s="333">
        <v>1</v>
      </c>
      <c r="AE10" s="333">
        <v>1</v>
      </c>
      <c r="AF10" s="333">
        <v>1</v>
      </c>
      <c r="AG10" s="333">
        <v>1</v>
      </c>
      <c r="AH10" s="333">
        <v>1</v>
      </c>
      <c r="AI10" s="333">
        <v>1</v>
      </c>
      <c r="AJ10" s="333">
        <v>1</v>
      </c>
      <c r="AK10" s="333">
        <v>1</v>
      </c>
      <c r="AL10" s="333">
        <v>1</v>
      </c>
      <c r="AN10" s="4" t="s">
        <v>651</v>
      </c>
      <c r="AO10" t="str">
        <f>"U-TRF-H2-SMR_00"</f>
        <v>U-TRF-H2-SMR_00</v>
      </c>
      <c r="AP10" t="str">
        <f>"UPS Transformation: Hydrogen production - Steam methane reforming - Existing"</f>
        <v>UPS Transformation: Hydrogen production - Steam methane reforming - Existing</v>
      </c>
      <c r="AQ10" s="4" t="s">
        <v>112</v>
      </c>
      <c r="AR10" s="4" t="s">
        <v>2671</v>
      </c>
    </row>
    <row r="11" spans="1:47">
      <c r="G11" s="4" t="s">
        <v>697</v>
      </c>
      <c r="H11" s="4"/>
      <c r="I11" s="4"/>
      <c r="J11" s="4" t="s">
        <v>698</v>
      </c>
      <c r="K11" s="331">
        <v>30</v>
      </c>
      <c r="L11" s="331">
        <v>30</v>
      </c>
      <c r="M11" s="331">
        <v>30</v>
      </c>
      <c r="N11" s="331">
        <v>30</v>
      </c>
      <c r="O11" s="331">
        <v>30</v>
      </c>
      <c r="P11" s="331">
        <v>30</v>
      </c>
      <c r="Q11" s="331">
        <v>30</v>
      </c>
      <c r="R11" s="331">
        <v>30</v>
      </c>
      <c r="S11" s="331">
        <v>30</v>
      </c>
      <c r="T11" s="331">
        <v>30</v>
      </c>
      <c r="U11" s="331">
        <v>30</v>
      </c>
      <c r="V11" s="331">
        <v>30</v>
      </c>
      <c r="W11" s="331">
        <v>30</v>
      </c>
      <c r="X11" s="331">
        <v>30</v>
      </c>
      <c r="Y11" s="331">
        <v>30</v>
      </c>
      <c r="Z11" s="331">
        <v>30</v>
      </c>
      <c r="AA11" s="331">
        <v>30</v>
      </c>
      <c r="AB11" s="331">
        <v>30</v>
      </c>
      <c r="AC11" s="331">
        <v>30</v>
      </c>
      <c r="AD11" s="331">
        <v>30</v>
      </c>
      <c r="AE11" s="331">
        <v>30</v>
      </c>
      <c r="AF11" s="331">
        <v>30</v>
      </c>
      <c r="AG11" s="331">
        <v>30</v>
      </c>
      <c r="AH11" s="331">
        <v>30</v>
      </c>
      <c r="AI11" s="331">
        <v>30</v>
      </c>
      <c r="AJ11" s="331">
        <v>30</v>
      </c>
      <c r="AK11" s="331">
        <v>30</v>
      </c>
      <c r="AL11" s="331">
        <v>30</v>
      </c>
    </row>
    <row r="12" spans="1:47">
      <c r="G12" s="4" t="s">
        <v>699</v>
      </c>
      <c r="H12" s="4"/>
      <c r="I12" s="4">
        <v>2019</v>
      </c>
      <c r="J12" s="4" t="s">
        <v>112</v>
      </c>
      <c r="K12" s="347">
        <f>-'Key inputs_Refineries'!E57/10^3</f>
        <v>2.3203916094721944</v>
      </c>
      <c r="L12" s="347">
        <f>-'Key inputs_Refineries'!F57/10^3</f>
        <v>31.728431154784651</v>
      </c>
      <c r="M12" s="347">
        <f>-'Key inputs_Refineries'!G57/10^3</f>
        <v>4.7612344822195345</v>
      </c>
      <c r="N12" s="347">
        <f>-'Key inputs_Refineries'!H57/10^3</f>
        <v>18.118569766275819</v>
      </c>
      <c r="O12" s="347">
        <f>-'Key inputs_Refineries'!I57/10^3</f>
        <v>19.075283216254967</v>
      </c>
      <c r="P12" s="347">
        <f>-'Key inputs_Refineries'!J57/10^3</f>
        <v>37.804981155635133</v>
      </c>
      <c r="Q12" s="347">
        <f>-'Key inputs_Refineries'!K57/10^3</f>
        <v>142.73449960232472</v>
      </c>
      <c r="R12" s="347">
        <f>-'Key inputs_Refineries'!L57/10^3</f>
        <v>18.37287766781165</v>
      </c>
      <c r="S12" s="347">
        <f>-'Key inputs_Refineries'!M57/10^3</f>
        <v>62.690961514433646</v>
      </c>
      <c r="T12" s="347">
        <f>-'Key inputs_Refineries'!N57/10^3</f>
        <v>153.33377061017191</v>
      </c>
      <c r="U12" s="347">
        <f>-'Key inputs_Refineries'!O57/10^3</f>
        <v>6.668973578057658</v>
      </c>
      <c r="V12" s="347">
        <f>-'Key inputs_Refineries'!P57/10^3</f>
        <v>1044.5255474452547</v>
      </c>
      <c r="W12" s="347">
        <f>-'Key inputs_Refineries'!Q57/10^3</f>
        <v>21.846895320387752</v>
      </c>
      <c r="X12" s="347">
        <f>-'Key inputs_Refineries'!R57/10^3</f>
        <v>59.395426776315638</v>
      </c>
      <c r="Y12" s="347">
        <f>-'Key inputs_Refineries'!S57/10^3</f>
        <v>73.125414293219805</v>
      </c>
      <c r="Z12" s="347">
        <f>-'Key inputs_Refineries'!T57/10^3</f>
        <v>200.94504036864947</v>
      </c>
      <c r="AA12" s="347">
        <f>-'Key inputs_Refineries'!U57/10^3</f>
        <v>216.22006995675127</v>
      </c>
      <c r="AB12" s="347">
        <f>-'Key inputs_Refineries'!V57/10^3</f>
        <v>82.923954658924828</v>
      </c>
      <c r="AC12" s="347">
        <f>-'Key inputs_Refineries'!W57/10^3</f>
        <v>433.57664233576804</v>
      </c>
      <c r="AD12" s="347">
        <f>-'Key inputs_Refineries'!X57/10^3</f>
        <v>181.65488154648855</v>
      </c>
      <c r="AE12" s="347">
        <f>-'Key inputs_Refineries'!Y57/10^3</f>
        <v>51.757452185075792</v>
      </c>
      <c r="AF12" s="347">
        <f>-'Key inputs_Refineries'!Z57/10^3</f>
        <v>70.307709195285142</v>
      </c>
      <c r="AG12" s="347">
        <f>-'Key inputs_Refineries'!AA57/10^3</f>
        <v>512.4087591240841</v>
      </c>
      <c r="AH12" s="347">
        <f>-'Key inputs_Refineries'!AB57/10^3</f>
        <v>37.236239082652396</v>
      </c>
      <c r="AI12" s="347">
        <f>-'Key inputs_Refineries'!AC57/10^3</f>
        <v>1.4164647012731726</v>
      </c>
      <c r="AJ12" s="347">
        <f>-'Key inputs_Refineries'!AD57/10^3</f>
        <v>175.91479253668041</v>
      </c>
      <c r="AK12" s="347">
        <f>-'Key inputs_Refineries'!AE57/10^3</f>
        <v>175.69014726842215</v>
      </c>
      <c r="AL12" s="347">
        <f>-'Key inputs_Refineries'!AF57/10^3</f>
        <v>972.20371293491303</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row>
    <row r="16" spans="1:47">
      <c r="G16" s="4" t="s">
        <v>687</v>
      </c>
      <c r="H16" s="4"/>
      <c r="I16" s="4"/>
      <c r="J16" s="4" t="s">
        <v>2663</v>
      </c>
      <c r="K16" s="355"/>
      <c r="L16" s="355"/>
      <c r="M16" s="355"/>
      <c r="N16" s="355"/>
      <c r="O16" s="355"/>
      <c r="P16" s="355"/>
      <c r="Q16" s="355"/>
      <c r="R16" s="355"/>
      <c r="S16" s="355"/>
      <c r="T16" s="355"/>
      <c r="U16" s="355"/>
      <c r="V16" s="355"/>
      <c r="W16" s="355"/>
      <c r="X16" s="355"/>
      <c r="Y16" s="355"/>
      <c r="Z16" s="355"/>
      <c r="AA16" s="355"/>
      <c r="AB16" s="355"/>
      <c r="AC16" s="355"/>
      <c r="AD16" s="355"/>
      <c r="AE16" s="355"/>
      <c r="AF16" s="355"/>
      <c r="AG16" s="355"/>
      <c r="AH16" s="355"/>
      <c r="AI16" s="355"/>
      <c r="AJ16" s="355"/>
      <c r="AK16" s="355"/>
      <c r="AL16" s="355"/>
    </row>
    <row r="17" spans="3:38">
      <c r="G17" s="4" t="s">
        <v>689</v>
      </c>
      <c r="H17" s="4"/>
      <c r="I17" s="4"/>
      <c r="J17" s="4" t="s">
        <v>2663</v>
      </c>
      <c r="K17" s="355"/>
      <c r="L17" s="355"/>
      <c r="M17" s="355"/>
      <c r="N17" s="355"/>
      <c r="O17" s="355"/>
      <c r="P17" s="355"/>
      <c r="Q17" s="355"/>
      <c r="R17" s="355"/>
      <c r="S17" s="355"/>
      <c r="T17" s="355"/>
      <c r="U17" s="355"/>
      <c r="V17" s="355"/>
      <c r="W17" s="355"/>
      <c r="X17" s="355"/>
      <c r="Y17" s="355"/>
      <c r="Z17" s="355"/>
      <c r="AA17" s="355"/>
      <c r="AB17" s="355"/>
      <c r="AC17" s="355"/>
      <c r="AD17" s="355"/>
      <c r="AE17" s="355"/>
      <c r="AF17" s="355"/>
      <c r="AG17" s="355"/>
      <c r="AH17" s="355"/>
      <c r="AI17" s="355"/>
      <c r="AJ17" s="355"/>
      <c r="AK17" s="355"/>
      <c r="AL17" s="355"/>
    </row>
    <row r="18" spans="3:38">
      <c r="G18" s="4" t="s">
        <v>675</v>
      </c>
      <c r="H18" s="4"/>
      <c r="I18" s="4"/>
      <c r="J18" s="4" t="s">
        <v>2662</v>
      </c>
      <c r="K18" s="355"/>
      <c r="L18" s="355"/>
      <c r="M18" s="355"/>
      <c r="N18" s="355"/>
      <c r="O18" s="355"/>
      <c r="P18" s="355"/>
      <c r="Q18" s="355"/>
      <c r="R18" s="355"/>
      <c r="S18" s="355"/>
      <c r="T18" s="355"/>
      <c r="U18" s="355"/>
      <c r="V18" s="355"/>
      <c r="W18" s="355"/>
      <c r="X18" s="355"/>
      <c r="Y18" s="355"/>
      <c r="Z18" s="355"/>
      <c r="AA18" s="355"/>
      <c r="AB18" s="355"/>
      <c r="AC18" s="355"/>
      <c r="AD18" s="355"/>
      <c r="AE18" s="355"/>
      <c r="AF18" s="355"/>
      <c r="AG18" s="355"/>
      <c r="AH18" s="355"/>
      <c r="AI18" s="355"/>
      <c r="AJ18" s="355"/>
      <c r="AK18" s="355"/>
      <c r="AL18" s="355"/>
    </row>
    <row r="19" spans="3:38">
      <c r="C19" t="str">
        <f>Commodities!$C$25</f>
        <v>GASNAT</v>
      </c>
      <c r="D19" t="str">
        <f>Commodities!$C$57</f>
        <v>GASHH2UPS</v>
      </c>
      <c r="G19" s="4" t="s">
        <v>630</v>
      </c>
      <c r="J19" t="s">
        <v>2666</v>
      </c>
      <c r="K19">
        <f>'Key inputs_Refineries'!E$64</f>
        <v>0.71</v>
      </c>
      <c r="L19">
        <f>'Key inputs_Refineries'!F$64</f>
        <v>0.71</v>
      </c>
      <c r="M19">
        <f>'Key inputs_Refineries'!G$64</f>
        <v>0.71</v>
      </c>
      <c r="N19">
        <f>'Key inputs_Refineries'!H$64</f>
        <v>0.71</v>
      </c>
      <c r="O19">
        <f>'Key inputs_Refineries'!I$64</f>
        <v>0.71</v>
      </c>
      <c r="P19">
        <f>'Key inputs_Refineries'!J$64</f>
        <v>0.71</v>
      </c>
      <c r="Q19">
        <f>'Key inputs_Refineries'!K$64</f>
        <v>0.71</v>
      </c>
      <c r="R19">
        <f>'Key inputs_Refineries'!L$64</f>
        <v>0.71</v>
      </c>
      <c r="S19">
        <f>'Key inputs_Refineries'!M$64</f>
        <v>0.71</v>
      </c>
      <c r="T19">
        <f>'Key inputs_Refineries'!N$64</f>
        <v>0.71</v>
      </c>
      <c r="U19">
        <f>'Key inputs_Refineries'!O$64</f>
        <v>0.71</v>
      </c>
      <c r="V19">
        <f>'Key inputs_Refineries'!P$64</f>
        <v>0.71</v>
      </c>
      <c r="W19">
        <f>'Key inputs_Refineries'!Q$64</f>
        <v>0.71</v>
      </c>
      <c r="X19">
        <f>'Key inputs_Refineries'!R$64</f>
        <v>0.71</v>
      </c>
      <c r="Y19">
        <f>'Key inputs_Refineries'!S$64</f>
        <v>0.71</v>
      </c>
      <c r="Z19">
        <f>'Key inputs_Refineries'!T$64</f>
        <v>0.71</v>
      </c>
      <c r="AA19">
        <f>'Key inputs_Refineries'!U$64</f>
        <v>0.71</v>
      </c>
      <c r="AB19">
        <f>'Key inputs_Refineries'!V$64</f>
        <v>0.71</v>
      </c>
      <c r="AC19">
        <f>'Key inputs_Refineries'!W$64</f>
        <v>0.71</v>
      </c>
      <c r="AD19">
        <f>'Key inputs_Refineries'!X$64</f>
        <v>0.71</v>
      </c>
      <c r="AE19">
        <f>'Key inputs_Refineries'!Y$64</f>
        <v>0.71</v>
      </c>
      <c r="AF19">
        <f>'Key inputs_Refineries'!Z$64</f>
        <v>0.71</v>
      </c>
      <c r="AG19">
        <f>'Key inputs_Refineries'!AA$64</f>
        <v>0.71</v>
      </c>
      <c r="AH19">
        <f>'Key inputs_Refineries'!AB$64</f>
        <v>0.71</v>
      </c>
      <c r="AI19">
        <f>'Key inputs_Refineries'!AC$64</f>
        <v>0.71</v>
      </c>
      <c r="AJ19">
        <f>'Key inputs_Refineries'!AD$64</f>
        <v>0.71</v>
      </c>
      <c r="AK19">
        <f>'Key inputs_Refineries'!AE$64</f>
        <v>0.71</v>
      </c>
      <c r="AL19">
        <f>'Key inputs_Refineries'!AF$64</f>
        <v>0.71</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59A9D-6C92-4485-94A9-29C9E173A22F}">
  <sheetPr>
    <tabColor theme="9" tint="0.39997558519241921"/>
  </sheetPr>
  <dimension ref="A1:AU120"/>
  <sheetViews>
    <sheetView workbookViewId="0">
      <pane xSplit="9" ySplit="9" topLeftCell="AH10" activePane="bottomRight" state="frozen"/>
      <selection pane="topRight" activeCell="J1" sqref="J1"/>
      <selection pane="bottomLeft" activeCell="A10" sqref="A10"/>
      <selection pane="bottomRight" activeCell="AK8" sqref="AK8"/>
    </sheetView>
  </sheetViews>
  <sheetFormatPr defaultRowHeight="15.6"/>
  <cols>
    <col min="1" max="1" width="15.59765625" bestFit="1" customWidth="1"/>
    <col min="2" max="2" width="36.5" bestFit="1" customWidth="1"/>
    <col min="3" max="3" width="8.5" bestFit="1" customWidth="1"/>
    <col min="4" max="4" width="9.8984375" bestFit="1" customWidth="1"/>
    <col min="5" max="5" width="10.5" bestFit="1" customWidth="1"/>
    <col min="6" max="6" width="8.69921875" bestFit="1" customWidth="1"/>
    <col min="7" max="7" width="10.8984375" bestFit="1" customWidth="1"/>
    <col min="8" max="8" width="7.3984375" bestFit="1" customWidth="1"/>
    <col min="9" max="9" width="4.8984375" bestFit="1" customWidth="1"/>
    <col min="10" max="10" width="16.3984375" bestFit="1" customWidth="1"/>
    <col min="11" max="11" width="11.09765625" bestFit="1" customWidth="1"/>
    <col min="12" max="12" width="11.5" bestFit="1" customWidth="1"/>
    <col min="13" max="13" width="11.09765625" bestFit="1" customWidth="1"/>
    <col min="14" max="14" width="11.5" bestFit="1" customWidth="1"/>
    <col min="15" max="15" width="10.59765625" bestFit="1" customWidth="1"/>
    <col min="16" max="16" width="9.19921875" bestFit="1" customWidth="1"/>
    <col min="17" max="19" width="9.09765625" bestFit="1" customWidth="1"/>
    <col min="20" max="20" width="9.8984375" bestFit="1" customWidth="1"/>
    <col min="21" max="21" width="10.09765625" bestFit="1" customWidth="1"/>
    <col min="22" max="22" width="9.09765625" bestFit="1" customWidth="1"/>
    <col min="23" max="24" width="11.69921875" bestFit="1" customWidth="1"/>
    <col min="25" max="25" width="11.5" bestFit="1" customWidth="1"/>
    <col min="26" max="26" width="11.59765625" bestFit="1" customWidth="1"/>
    <col min="27" max="27" width="10.09765625" bestFit="1" customWidth="1"/>
    <col min="28" max="30" width="9.09765625" bestFit="1" customWidth="1"/>
    <col min="31" max="31" width="10.19921875" bestFit="1" customWidth="1"/>
    <col min="32" max="32" width="11.5" bestFit="1" customWidth="1"/>
    <col min="33" max="33" width="10.09765625" bestFit="1" customWidth="1"/>
    <col min="34" max="34" width="9.09765625" bestFit="1" customWidth="1"/>
    <col min="35" max="36" width="10.09765625" bestFit="1" customWidth="1"/>
    <col min="37" max="38" width="9.8984375" bestFit="1" customWidth="1"/>
    <col min="40" max="40" width="21.59765625" bestFit="1" customWidth="1"/>
    <col min="41" max="41" width="15.59765625" bestFit="1" customWidth="1"/>
    <col min="42" max="42" width="36.5" bestFit="1" customWidth="1"/>
    <col min="43" max="43" width="9.09765625" bestFit="1" customWidth="1"/>
    <col min="44" max="44" width="10" bestFit="1" customWidth="1"/>
    <col min="45" max="45" width="11.3984375" bestFit="1" customWidth="1"/>
    <col min="46" max="46" width="9.09765625" bestFit="1" customWidth="1"/>
    <col min="47" max="47" width="12.19921875" bestFit="1" customWidth="1"/>
  </cols>
  <sheetData>
    <row r="1" spans="1:47" s="4" customFormat="1" ht="23.4">
      <c r="A1" s="253" t="s">
        <v>710</v>
      </c>
    </row>
    <row r="2" spans="1:47" s="4" customFormat="1" ht="18">
      <c r="A2" s="8" t="s">
        <v>663</v>
      </c>
      <c r="B2" s="4" t="str">
        <f>Legend!B163&amp;" &amp; "&amp;Legend!B166</f>
        <v>S1 &amp; S4</v>
      </c>
    </row>
    <row r="3" spans="1:47" s="4" customFormat="1"/>
    <row r="4" spans="1:47" s="4" customFormat="1" ht="18">
      <c r="A4" s="8"/>
      <c r="G4"/>
      <c r="H4"/>
      <c r="L4" s="254"/>
      <c r="AN4" s="8" t="s">
        <v>665</v>
      </c>
    </row>
    <row r="5" spans="1:47" s="4" customFormat="1" ht="18">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2"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41.4">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112</v>
      </c>
      <c r="L9" s="257" t="s">
        <v>112</v>
      </c>
      <c r="M9" s="257" t="s">
        <v>112</v>
      </c>
      <c r="N9" s="257" t="s">
        <v>112</v>
      </c>
      <c r="O9" s="257" t="s">
        <v>112</v>
      </c>
      <c r="P9" s="257" t="s">
        <v>112</v>
      </c>
      <c r="Q9" s="257" t="s">
        <v>112</v>
      </c>
      <c r="R9" s="257" t="s">
        <v>112</v>
      </c>
      <c r="S9" s="257" t="s">
        <v>112</v>
      </c>
      <c r="T9" s="257" t="s">
        <v>112</v>
      </c>
      <c r="U9" s="257" t="s">
        <v>112</v>
      </c>
      <c r="V9" s="257" t="s">
        <v>112</v>
      </c>
      <c r="W9" s="257" t="s">
        <v>112</v>
      </c>
      <c r="X9" s="257" t="s">
        <v>112</v>
      </c>
      <c r="Y9" s="257" t="s">
        <v>112</v>
      </c>
      <c r="Z9" s="257" t="s">
        <v>112</v>
      </c>
      <c r="AA9" s="257" t="s">
        <v>112</v>
      </c>
      <c r="AB9" s="257" t="s">
        <v>112</v>
      </c>
      <c r="AC9" s="257" t="s">
        <v>112</v>
      </c>
      <c r="AD9" s="257" t="s">
        <v>112</v>
      </c>
      <c r="AE9" s="257" t="s">
        <v>112</v>
      </c>
      <c r="AF9" s="257" t="s">
        <v>112</v>
      </c>
      <c r="AG9" s="257" t="s">
        <v>112</v>
      </c>
      <c r="AH9" s="257" t="s">
        <v>112</v>
      </c>
      <c r="AI9" s="257" t="s">
        <v>112</v>
      </c>
      <c r="AJ9" s="257" t="s">
        <v>112</v>
      </c>
      <c r="AK9" s="257" t="s">
        <v>112</v>
      </c>
      <c r="AL9" s="257" t="s">
        <v>112</v>
      </c>
      <c r="AN9" s="257" t="s">
        <v>629</v>
      </c>
      <c r="AO9" s="257"/>
      <c r="AP9" s="257"/>
      <c r="AQ9" s="257"/>
      <c r="AR9" s="257"/>
      <c r="AS9" s="257"/>
      <c r="AT9" s="257"/>
      <c r="AU9" s="257"/>
    </row>
    <row r="10" spans="1:47">
      <c r="A10" t="str">
        <f>AO10</f>
        <v>U-PIP-GASNAT_00</v>
      </c>
      <c r="B10" t="str">
        <f>AP10</f>
        <v>UPS Pipeline : Natural gas - Existing</v>
      </c>
      <c r="G10" s="4" t="s">
        <v>695</v>
      </c>
      <c r="H10" s="4"/>
      <c r="I10" s="4"/>
      <c r="J10" s="4" t="s">
        <v>2665</v>
      </c>
      <c r="K10" s="355">
        <v>1</v>
      </c>
      <c r="L10" s="355">
        <v>1</v>
      </c>
      <c r="M10" s="355">
        <v>1</v>
      </c>
      <c r="N10" s="355">
        <v>1</v>
      </c>
      <c r="O10" s="355">
        <v>1</v>
      </c>
      <c r="P10" s="355">
        <v>1</v>
      </c>
      <c r="Q10" s="355">
        <v>1</v>
      </c>
      <c r="R10" s="355">
        <v>1</v>
      </c>
      <c r="S10" s="355">
        <v>1</v>
      </c>
      <c r="T10" s="355">
        <v>1</v>
      </c>
      <c r="U10" s="355">
        <v>1</v>
      </c>
      <c r="V10" s="355">
        <v>1</v>
      </c>
      <c r="W10" s="355">
        <v>1</v>
      </c>
      <c r="X10" s="355">
        <v>1</v>
      </c>
      <c r="Y10" s="355">
        <v>1</v>
      </c>
      <c r="Z10" s="355">
        <v>1</v>
      </c>
      <c r="AA10" s="355">
        <v>1</v>
      </c>
      <c r="AB10" s="355">
        <v>1</v>
      </c>
      <c r="AC10" s="355">
        <v>1</v>
      </c>
      <c r="AD10" s="355">
        <v>1</v>
      </c>
      <c r="AE10" s="355">
        <v>1</v>
      </c>
      <c r="AF10" s="355">
        <v>1</v>
      </c>
      <c r="AG10" s="355">
        <v>1</v>
      </c>
      <c r="AH10" s="355">
        <v>1</v>
      </c>
      <c r="AI10" s="355">
        <v>1</v>
      </c>
      <c r="AJ10" s="355">
        <v>1</v>
      </c>
      <c r="AK10" s="355">
        <v>1</v>
      </c>
      <c r="AL10" s="355">
        <v>1</v>
      </c>
      <c r="AN10" t="s">
        <v>651</v>
      </c>
      <c r="AO10" t="str">
        <f>"U-PIP-"&amp;Commodities!$C$25&amp;"_00"</f>
        <v>U-PIP-GASNAT_00</v>
      </c>
      <c r="AP10" t="str">
        <f>"UPS Pipeline : "&amp;Commodities!$D$25&amp;" - Existing"</f>
        <v>UPS Pipeline : Natural gas - Existing</v>
      </c>
      <c r="AQ10" t="s">
        <v>112</v>
      </c>
      <c r="AR10" t="s">
        <v>2671</v>
      </c>
    </row>
    <row r="11" spans="1:47">
      <c r="G11" s="4" t="s">
        <v>697</v>
      </c>
      <c r="H11" s="4"/>
      <c r="I11" s="4"/>
      <c r="J11" s="4" t="s">
        <v>698</v>
      </c>
      <c r="K11" s="331">
        <v>100</v>
      </c>
      <c r="L11" s="331">
        <v>100</v>
      </c>
      <c r="M11" s="331">
        <v>100</v>
      </c>
      <c r="N11" s="331">
        <v>100</v>
      </c>
      <c r="O11" s="331">
        <v>100</v>
      </c>
      <c r="P11" s="331">
        <v>100</v>
      </c>
      <c r="Q11" s="331">
        <v>100</v>
      </c>
      <c r="R11" s="331">
        <v>100</v>
      </c>
      <c r="S11" s="331">
        <v>100</v>
      </c>
      <c r="T11" s="331">
        <v>100</v>
      </c>
      <c r="U11" s="331">
        <v>100</v>
      </c>
      <c r="V11" s="331">
        <v>100</v>
      </c>
      <c r="W11" s="331">
        <v>100</v>
      </c>
      <c r="X11" s="331">
        <v>100</v>
      </c>
      <c r="Y11" s="331">
        <v>100</v>
      </c>
      <c r="Z11" s="331">
        <v>100</v>
      </c>
      <c r="AA11" s="331">
        <v>100</v>
      </c>
      <c r="AB11" s="331">
        <v>100</v>
      </c>
      <c r="AC11" s="331">
        <v>100</v>
      </c>
      <c r="AD11" s="331">
        <v>100</v>
      </c>
      <c r="AE11" s="331">
        <v>100</v>
      </c>
      <c r="AF11" s="331">
        <v>100</v>
      </c>
      <c r="AG11" s="331">
        <v>100</v>
      </c>
      <c r="AH11" s="331">
        <v>100</v>
      </c>
      <c r="AI11" s="331">
        <v>100</v>
      </c>
      <c r="AJ11" s="331">
        <v>100</v>
      </c>
      <c r="AK11" s="331">
        <v>100</v>
      </c>
      <c r="AL11" s="331">
        <v>100</v>
      </c>
      <c r="AN11" t="s">
        <v>651</v>
      </c>
      <c r="AO11" t="str">
        <f>"U-PIP-"&amp;Commodities!$C$26&amp;"_00"</f>
        <v>U-PIP-OILNGL_00</v>
      </c>
      <c r="AP11" t="str">
        <f>"UPS Pipeline : "&amp;Commodities!$D$26&amp;" - Existing"</f>
        <v>UPS Pipeline : Natural gas liquids - Existing</v>
      </c>
      <c r="AQ11" t="s">
        <v>112</v>
      </c>
      <c r="AR11" t="s">
        <v>2671</v>
      </c>
    </row>
    <row r="12" spans="1:47">
      <c r="G12" s="4" t="s">
        <v>699</v>
      </c>
      <c r="H12" s="4"/>
      <c r="I12" s="4">
        <v>2019</v>
      </c>
      <c r="J12" s="4" t="s">
        <v>112</v>
      </c>
      <c r="K12" s="176">
        <f>'Key inputs_Pipelines'!C4/10^3</f>
        <v>37.427</v>
      </c>
      <c r="L12" s="176">
        <f>'Key inputs_Pipelines'!D4/10^3</f>
        <v>6073.1750000000002</v>
      </c>
      <c r="M12" s="176">
        <f>'Key inputs_Pipelines'!E4/10^3</f>
        <v>477.72199999999998</v>
      </c>
      <c r="N12" s="176">
        <f>'Key inputs_Pipelines'!F4/10^3</f>
        <v>446.84800000000001</v>
      </c>
      <c r="O12" s="176">
        <f>'Key inputs_Pipelines'!G4/10^3</f>
        <v>5112.8050000000003</v>
      </c>
      <c r="P12" s="176">
        <f>'Key inputs_Pipelines'!H4/10^3</f>
        <v>6669.3320000000003</v>
      </c>
      <c r="Q12" s="176">
        <f>'Key inputs_Pipelines'!I4/10^3</f>
        <v>5338.06</v>
      </c>
      <c r="R12" s="176">
        <f>'Key inputs_Pipelines'!J4/10^3</f>
        <v>2014.395</v>
      </c>
      <c r="S12" s="176">
        <f>'Key inputs_Pipelines'!K4/10^3</f>
        <v>866.83</v>
      </c>
      <c r="T12" s="176">
        <f>'Key inputs_Pipelines'!L4/10^3</f>
        <v>6838.35</v>
      </c>
      <c r="U12" s="176">
        <f>'Key inputs_Pipelines'!M4/10^3</f>
        <v>53.722999999999999</v>
      </c>
      <c r="V12" s="176">
        <f>'Key inputs_Pipelines'!N4/10^3</f>
        <v>6986.5540000000001</v>
      </c>
      <c r="W12" s="176">
        <f>'Key inputs_Pipelines'!O4/10^3</f>
        <v>701.17</v>
      </c>
      <c r="X12" s="176">
        <f>'Key inputs_Pipelines'!P4/10^3</f>
        <v>5715.4250000000002</v>
      </c>
      <c r="Y12" s="176">
        <f>'Key inputs_Pipelines'!Q4/10^3</f>
        <v>587.68100000000004</v>
      </c>
      <c r="Z12" s="176">
        <f>'Key inputs_Pipelines'!R4/10^3</f>
        <v>170.316</v>
      </c>
      <c r="AA12" s="176">
        <f>'Key inputs_Pipelines'!S4/10^3</f>
        <v>1422.5509999999999</v>
      </c>
      <c r="AB12" s="176">
        <f>'Key inputs_Pipelines'!T4/10^3</f>
        <v>2647.9810000000002</v>
      </c>
      <c r="AC12" s="176">
        <f>'Key inputs_Pipelines'!U4/10^3</f>
        <v>1061.6980000000001</v>
      </c>
      <c r="AD12" s="176">
        <f>'Key inputs_Pipelines'!V4/10^3</f>
        <v>157.446</v>
      </c>
      <c r="AE12" s="176">
        <f>'Key inputs_Pipelines'!W4/10^3</f>
        <v>4671.3339999999998</v>
      </c>
      <c r="AF12" s="176">
        <f>'Key inputs_Pipelines'!X4/10^3</f>
        <v>444.31900000000002</v>
      </c>
      <c r="AG12" s="176">
        <f>'Key inputs_Pipelines'!Y4/10^3</f>
        <v>23692.214</v>
      </c>
      <c r="AH12" s="176">
        <f>'Key inputs_Pipelines'!Z4/10^3</f>
        <v>1011.928</v>
      </c>
      <c r="AI12" s="176">
        <f>'Key inputs_Pipelines'!AA4/10^3</f>
        <v>1562.518</v>
      </c>
      <c r="AJ12" s="176">
        <f>'Key inputs_Pipelines'!AB4/10^3</f>
        <v>26963.43</v>
      </c>
      <c r="AK12" s="176">
        <f>'Key inputs_Pipelines'!AC4/10^3</f>
        <v>31.521000000000001</v>
      </c>
      <c r="AL12" s="176">
        <f>'Key inputs_Pipelines'!AD4/10^3</f>
        <v>33385.194000000003</v>
      </c>
      <c r="AN12" t="s">
        <v>651</v>
      </c>
      <c r="AO12" t="str">
        <f>"U-PIP-"&amp;Commodities!$C$27&amp;"_00"</f>
        <v>U-PIP-OILCRD_00</v>
      </c>
      <c r="AP12" t="str">
        <f>"UPS Pipeline : "&amp;Commodities!$D$27&amp;" - Existing"</f>
        <v>UPS Pipeline : Crude oil - Existing</v>
      </c>
      <c r="AQ12" t="s">
        <v>112</v>
      </c>
      <c r="AR12" t="s">
        <v>2671</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c r="AN13" t="s">
        <v>651</v>
      </c>
      <c r="AO13" t="str">
        <f>"U-PIP-"&amp;Commodities!$C$25&amp;"_01"</f>
        <v>U-PIP-GASNAT_01</v>
      </c>
      <c r="AP13" t="str">
        <f>"UPS Pipeline : "&amp;Commodities!$D$25&amp;" - New"</f>
        <v>UPS Pipeline : Natural gas - New</v>
      </c>
      <c r="AQ13" t="s">
        <v>112</v>
      </c>
      <c r="AR13" t="s">
        <v>2671</v>
      </c>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c r="AN14" t="s">
        <v>651</v>
      </c>
      <c r="AO14" t="str">
        <f>"U-PIP-"&amp;Commodities!$C$26&amp;"_01"</f>
        <v>U-PIP-OILNGL_01</v>
      </c>
      <c r="AP14" t="str">
        <f>"UPS Pipeline : "&amp;Commodities!$D$26&amp;" - New"</f>
        <v>UPS Pipeline : Natural gas liquids - New</v>
      </c>
      <c r="AQ14" t="s">
        <v>112</v>
      </c>
      <c r="AR14" t="s">
        <v>2671</v>
      </c>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c r="AN15" t="s">
        <v>651</v>
      </c>
      <c r="AO15" t="str">
        <f>"U-PIP-"&amp;Commodities!$C$27&amp;"_01"</f>
        <v>U-PIP-OILCRD_01</v>
      </c>
      <c r="AP15" t="str">
        <f>"UPS Pipeline : "&amp;Commodities!$D$27&amp;" - New"</f>
        <v>UPS Pipeline : Crude oil - New</v>
      </c>
      <c r="AQ15" t="s">
        <v>112</v>
      </c>
      <c r="AR15" t="s">
        <v>2671</v>
      </c>
    </row>
    <row r="16" spans="1:47">
      <c r="G16" s="4" t="s">
        <v>687</v>
      </c>
      <c r="H16" s="4"/>
      <c r="I16" s="4"/>
      <c r="J16" s="4" t="s">
        <v>2663</v>
      </c>
      <c r="K16" s="174">
        <f>'Key inputs_Pipelines'!C12*10^3</f>
        <v>9.2592592592592595</v>
      </c>
      <c r="L16" s="174">
        <f>'Key inputs_Pipelines'!D12*10^3</f>
        <v>67.635073249187585</v>
      </c>
      <c r="M16" s="174">
        <f>'Key inputs_Pipelines'!E12*10^3</f>
        <v>1.7921146953405018</v>
      </c>
      <c r="N16" s="174">
        <f>'Key inputs_Pipelines'!F12*10^3</f>
        <v>7.9894013297060509</v>
      </c>
      <c r="O16" s="174">
        <f>'Key inputs_Pipelines'!G12*10^3</f>
        <v>7.0905163623297573</v>
      </c>
      <c r="P16" s="174">
        <f>'Key inputs_Pipelines'!H12*10^3</f>
        <v>3.6074459078597942</v>
      </c>
      <c r="Q16" s="174">
        <f>'Key inputs_Pipelines'!I12*10^3</f>
        <v>2.2222222222222223</v>
      </c>
      <c r="R16" s="174">
        <f>'Key inputs_Pipelines'!J12*10^3</f>
        <v>5.8303427728956798</v>
      </c>
      <c r="S16" s="174">
        <f>'Key inputs_Pipelines'!K12*10^3</f>
        <v>6.5679043841691653</v>
      </c>
      <c r="T16" s="174">
        <f>'Key inputs_Pipelines'!L12*10^3</f>
        <v>3.5056620754683645</v>
      </c>
      <c r="U16" s="174">
        <f>'Key inputs_Pipelines'!M12*10^3</f>
        <v>7.9894013297060509</v>
      </c>
      <c r="V16" s="174">
        <f>'Key inputs_Pipelines'!N12*10^3</f>
        <v>4.6439797913088663</v>
      </c>
      <c r="W16" s="174">
        <f>'Key inputs_Pipelines'!O12*10^3</f>
        <v>1.020879055327506</v>
      </c>
      <c r="X16" s="174">
        <f>'Key inputs_Pipelines'!P12*10^3</f>
        <v>6.3583333333333334</v>
      </c>
      <c r="Y16" s="174">
        <f>'Key inputs_Pipelines'!Q12*10^3</f>
        <v>1.7906497024849293</v>
      </c>
      <c r="Z16" s="174">
        <f>'Key inputs_Pipelines'!R12*10^3</f>
        <v>3.2379358270311567</v>
      </c>
      <c r="AA16" s="174">
        <f>'Key inputs_Pipelines'!S12*10^3</f>
        <v>1.2689442417549948</v>
      </c>
      <c r="AB16" s="174">
        <f>'Key inputs_Pipelines'!T12*10^3</f>
        <v>2.1491510853212978</v>
      </c>
      <c r="AC16" s="174">
        <f>'Key inputs_Pipelines'!U12*10^3</f>
        <v>3.5114028597159619</v>
      </c>
      <c r="AD16" s="174">
        <f>'Key inputs_Pipelines'!V12*10^3</f>
        <v>7.9894013297060509</v>
      </c>
      <c r="AE16" s="174">
        <f>'Key inputs_Pipelines'!W12*10^3</f>
        <v>9.3362485769430794</v>
      </c>
      <c r="AF16" s="174">
        <f>'Key inputs_Pipelines'!X12*10^3</f>
        <v>7.2930568359219441</v>
      </c>
      <c r="AG16" s="174">
        <f>'Key inputs_Pipelines'!Y12*10^3</f>
        <v>10.633730558689228</v>
      </c>
      <c r="AH16" s="174">
        <f>'Key inputs_Pipelines'!Z12*10^3</f>
        <v>6.0853146891578929</v>
      </c>
      <c r="AI16" s="174">
        <f>'Key inputs_Pipelines'!AA12*10^3</f>
        <v>12.467601118614009</v>
      </c>
      <c r="AJ16" s="174">
        <f>'Key inputs_Pipelines'!AB12*10^3</f>
        <v>11.559407080429374</v>
      </c>
      <c r="AK16" s="174">
        <f>'Key inputs_Pipelines'!AC12*10^3</f>
        <v>7.9894013297060509</v>
      </c>
      <c r="AL16" s="174">
        <f>'Key inputs_Pipelines'!AD12*10^3</f>
        <v>2.8784562281793065</v>
      </c>
    </row>
    <row r="17" spans="1:38">
      <c r="G17" s="4" t="s">
        <v>689</v>
      </c>
      <c r="H17" s="4"/>
      <c r="I17" s="4"/>
      <c r="J17" s="4" t="s">
        <v>2663</v>
      </c>
      <c r="K17" s="355"/>
      <c r="L17" s="355"/>
      <c r="M17" s="355"/>
      <c r="N17" s="355"/>
      <c r="O17" s="355"/>
      <c r="P17" s="355"/>
      <c r="Q17" s="355"/>
      <c r="R17" s="355"/>
      <c r="S17" s="355"/>
      <c r="T17" s="355"/>
      <c r="U17" s="355"/>
      <c r="V17" s="355"/>
      <c r="W17" s="355"/>
      <c r="X17" s="355"/>
      <c r="Y17" s="355"/>
      <c r="Z17" s="355"/>
      <c r="AA17" s="355"/>
      <c r="AB17" s="355"/>
      <c r="AC17" s="355"/>
      <c r="AD17" s="355"/>
      <c r="AE17" s="355"/>
      <c r="AF17" s="355"/>
      <c r="AG17" s="355"/>
      <c r="AH17" s="355"/>
      <c r="AI17" s="355"/>
      <c r="AJ17" s="355"/>
      <c r="AK17" s="355"/>
      <c r="AL17" s="355"/>
    </row>
    <row r="18" spans="1:38">
      <c r="G18" s="4" t="s">
        <v>675</v>
      </c>
      <c r="H18" s="4"/>
      <c r="I18" s="4"/>
      <c r="J18" s="4" t="s">
        <v>2662</v>
      </c>
      <c r="K18" s="355"/>
      <c r="L18" s="355"/>
      <c r="M18" s="355"/>
      <c r="N18" s="355"/>
      <c r="O18" s="355"/>
      <c r="P18" s="355"/>
      <c r="Q18" s="355"/>
      <c r="R18" s="355"/>
      <c r="S18" s="355"/>
      <c r="T18" s="355"/>
      <c r="U18" s="355"/>
      <c r="V18" s="355"/>
      <c r="W18" s="355"/>
      <c r="X18" s="355"/>
      <c r="Y18" s="355"/>
      <c r="Z18" s="355"/>
      <c r="AA18" s="355"/>
      <c r="AB18" s="355"/>
      <c r="AC18" s="355"/>
      <c r="AD18" s="355"/>
      <c r="AE18" s="355"/>
      <c r="AF18" s="355"/>
      <c r="AG18" s="355"/>
      <c r="AH18" s="355"/>
      <c r="AI18" s="355"/>
      <c r="AJ18" s="355"/>
      <c r="AK18" s="355"/>
      <c r="AL18" s="355"/>
    </row>
    <row r="19" spans="1:38">
      <c r="D19" t="str">
        <f>Commodities!$C$25</f>
        <v>GASNAT</v>
      </c>
      <c r="G19" s="4"/>
      <c r="H19" s="4"/>
      <c r="I19" s="4"/>
      <c r="J19" s="4"/>
    </row>
    <row r="20" spans="1:38">
      <c r="C20" t="str">
        <f>Commodities!$C$33</f>
        <v>GASPIP</v>
      </c>
      <c r="G20" s="4" t="s">
        <v>690</v>
      </c>
      <c r="H20" s="4"/>
      <c r="I20" s="4"/>
      <c r="J20" s="4" t="s">
        <v>112</v>
      </c>
      <c r="K20" s="355">
        <v>1</v>
      </c>
      <c r="L20" s="355">
        <v>1</v>
      </c>
      <c r="M20" s="355">
        <v>1</v>
      </c>
      <c r="N20" s="355">
        <v>1</v>
      </c>
      <c r="O20" s="355">
        <v>1</v>
      </c>
      <c r="P20" s="355">
        <v>1</v>
      </c>
      <c r="Q20" s="355">
        <v>1</v>
      </c>
      <c r="R20" s="355">
        <v>1</v>
      </c>
      <c r="S20" s="355">
        <v>1</v>
      </c>
      <c r="T20" s="355">
        <v>1</v>
      </c>
      <c r="U20" s="355">
        <v>1</v>
      </c>
      <c r="V20" s="355">
        <v>1</v>
      </c>
      <c r="W20" s="355">
        <v>1</v>
      </c>
      <c r="X20" s="355">
        <v>1</v>
      </c>
      <c r="Y20" s="355">
        <v>1</v>
      </c>
      <c r="Z20" s="355">
        <v>1</v>
      </c>
      <c r="AA20" s="355">
        <v>1</v>
      </c>
      <c r="AB20" s="355">
        <v>1</v>
      </c>
      <c r="AC20" s="355">
        <v>1</v>
      </c>
      <c r="AD20" s="355">
        <v>1</v>
      </c>
      <c r="AE20" s="355">
        <v>1</v>
      </c>
      <c r="AF20" s="355">
        <v>1</v>
      </c>
      <c r="AG20" s="355">
        <v>1</v>
      </c>
      <c r="AH20" s="355">
        <v>1</v>
      </c>
      <c r="AI20" s="355">
        <v>1</v>
      </c>
      <c r="AJ20" s="355">
        <v>1</v>
      </c>
      <c r="AK20" s="355">
        <v>1</v>
      </c>
      <c r="AL20" s="355">
        <v>1</v>
      </c>
    </row>
    <row r="21" spans="1:38">
      <c r="E21" s="4" t="s">
        <v>359</v>
      </c>
      <c r="F21" s="4" t="s">
        <v>691</v>
      </c>
      <c r="G21" s="4" t="s">
        <v>692</v>
      </c>
      <c r="J21" s="4" t="s">
        <v>2664</v>
      </c>
      <c r="K21" s="173" t="str">
        <f>IFERROR(K$12*K$10/(SUM('Key inputs_EB_TRA'!E$15:E$22)/10^3),"")</f>
        <v/>
      </c>
      <c r="L21" s="173">
        <f>IFERROR(L$12*L$10/(SUM('Key inputs_EB_TRA'!F$15:F$22)/10^3),"")</f>
        <v>3040.5285714285719</v>
      </c>
      <c r="M21" s="173">
        <f>IFERROR(M$12*M$10/(SUM('Key inputs_EB_TRA'!G$15:G$22)/10^3),"")</f>
        <v>80880.31578947368</v>
      </c>
      <c r="N21" s="173">
        <f>IFERROR(N$12*N$10/(SUM('Key inputs_EB_TRA'!H$15:H$22)/10^3),"")</f>
        <v>3171.3731473408898</v>
      </c>
      <c r="O21" s="173">
        <f>IFERROR(O$12*O$10/(SUM('Key inputs_EB_TRA'!I$15:I$22)/10^3),"")</f>
        <v>362.72268549516099</v>
      </c>
      <c r="P21" s="173">
        <f>IFERROR(P$12*P$10/(SUM('Key inputs_EB_TRA'!J$15:J$22)/10^3),"")</f>
        <v>130.91142329778506</v>
      </c>
      <c r="Q21" s="173" t="str">
        <f>IFERROR(Q$12*Q$10/(SUM('Key inputs_EB_TRA'!K$15:K$22)/10^3),"")</f>
        <v/>
      </c>
      <c r="R21" s="173" t="str">
        <f>IFERROR(R$12*R$10/(SUM('Key inputs_EB_TRA'!L$15:L$22)/10^3),"")</f>
        <v/>
      </c>
      <c r="S21" s="173" t="str">
        <f>IFERROR(S$12*S$10/(SUM('Key inputs_EB_TRA'!M$15:M$22)/10^3),"")</f>
        <v/>
      </c>
      <c r="T21" s="173">
        <f>IFERROR(T$12*T$10/(SUM('Key inputs_EB_TRA'!N$15:N$22)/10^3),"")</f>
        <v>108.35872307280951</v>
      </c>
      <c r="U21" s="173">
        <f>IFERROR(U$12*U$10/(SUM('Key inputs_EB_TRA'!O$15:O$22)/10^3),"")</f>
        <v>20244.666666666668</v>
      </c>
      <c r="V21" s="173">
        <f>IFERROR(V$12*V$10/(SUM('Key inputs_EB_TRA'!P$15:P$22)/10^3),"")</f>
        <v>727.61100355679616</v>
      </c>
      <c r="W21" s="173">
        <f>IFERROR(W$12*W$10/(SUM('Key inputs_EB_TRA'!Q$15:Q$22)/10^3),"")</f>
        <v>11.241340237587572</v>
      </c>
      <c r="X21" s="173">
        <f>IFERROR(X$12*X$10/(SUM('Key inputs_EB_TRA'!R$15:R$22)/10^3),"")</f>
        <v>19158.703642384105</v>
      </c>
      <c r="Y21" s="173">
        <f>IFERROR(Y$12*Y$10/(SUM('Key inputs_EB_TRA'!S$15:S$22)/10^3),"")</f>
        <v>30.145210009220698</v>
      </c>
      <c r="Z21" s="173">
        <f>IFERROR(Z$12*Z$10/(SUM('Key inputs_EB_TRA'!T$15:T$22)/10^3),"")</f>
        <v>28.253577213822894</v>
      </c>
      <c r="AA21" s="173">
        <f>IFERROR(AA$12*AA$10/(SUM('Key inputs_EB_TRA'!U$15:U$22)/10^3),"")</f>
        <v>47.550770866560335</v>
      </c>
      <c r="AB21" s="173" t="str">
        <f>IFERROR(AB$12*AB$10/(SUM('Key inputs_EB_TRA'!V$15:V$22)/10^3),"")</f>
        <v/>
      </c>
      <c r="AC21" s="173">
        <f>IFERROR(AC$12*AC$10/(SUM('Key inputs_EB_TRA'!W$15:W$22)/10^3),"")</f>
        <v>133.88564040318752</v>
      </c>
      <c r="AD21" s="173" t="str">
        <f>IFERROR(AD$12*AD$10/(SUM('Key inputs_EB_TRA'!X$15:X$22)/10^3),"")</f>
        <v/>
      </c>
      <c r="AE21" s="173">
        <f>IFERROR(AE$12*AE$10/(SUM('Key inputs_EB_TRA'!Y$15:Y$22)/10^3),"")</f>
        <v>357.74976159757671</v>
      </c>
      <c r="AF21" s="173">
        <f>IFERROR(AF$12*AF$10/(SUM('Key inputs_EB_TRA'!Z$15:Z$22)/10^3),"")</f>
        <v>58.017155412828536</v>
      </c>
      <c r="AG21" s="173">
        <f>IFERROR(AG$12*AG$10/(SUM('Key inputs_EB_TRA'!AA$15:AA$22)/10^3),"")</f>
        <v>4824.0470841578399</v>
      </c>
      <c r="AH21" s="173" t="str">
        <f>IFERROR(AH$12*AH$10/(SUM('Key inputs_EB_TRA'!AB$15:AB$22)/10^3),"")</f>
        <v/>
      </c>
      <c r="AI21" s="173" t="str">
        <f>IFERROR(AI$12*AI$10/(SUM('Key inputs_EB_TRA'!AC$15:AC$22)/10^3),"")</f>
        <v/>
      </c>
      <c r="AJ21" s="173">
        <f>IFERROR(AJ$12*AJ$10/(SUM('Key inputs_EB_TRA'!AD$15:AD$22)/10^3),"")</f>
        <v>41.467381794239898</v>
      </c>
      <c r="AK21" s="173">
        <f>IFERROR(AK$12*AK$10/(SUM('Key inputs_EB_TRA'!AE$15:AE$22)/10^3),"")</f>
        <v>1161.9642857142858</v>
      </c>
      <c r="AL21" s="173">
        <f>IFERROR(AL$12*AL$10/(SUM('Key inputs_EB_TRA'!AF$15:AF$22)/10^3),"")</f>
        <v>71.825246202475896</v>
      </c>
    </row>
    <row r="22" spans="1:38">
      <c r="C22" t="str">
        <f>Commodities!$C$90</f>
        <v>UPSDSL</v>
      </c>
      <c r="E22" s="4"/>
      <c r="F22" s="4" t="s">
        <v>359</v>
      </c>
      <c r="G22" s="4" t="s">
        <v>702</v>
      </c>
      <c r="H22" t="s">
        <v>661</v>
      </c>
      <c r="I22">
        <v>2019</v>
      </c>
      <c r="J22" s="4" t="s">
        <v>650</v>
      </c>
      <c r="K22" s="173" t="str">
        <f>IFERROR(IF(AND(SUMIFS('Key inputs_EB_TRA'!E$15:E$38,'Key inputs_EB_TRA'!$C$15:$C$38,$C22,'Key inputs_EB_TRA'!$B$15:$B$38,"Pipeline - Natural gas")/SUMIFS('Key inputs_EB_TRA'!E$15:E$38,'Key inputs_EB_TRA'!$B$15:$B$38,"Pipeline - Natural gas")&gt;0,SUMIFS('Key inputs_EB_TRA'!E$15:E$38,'Key inputs_EB_TRA'!$C$15:$C$38,$C22,'Key inputs_EB_TRA'!$B$15:$B$38,"Pipeline - Natural gas")/SUMIFS('Key inputs_EB_TRA'!E$15:E$38,'Key inputs_EB_TRA'!$B$15:$B$38,"Pipeline - Natural gas")&lt;0.001),0.001,SUMIFS('Key inputs_EB_TRA'!E$15:E$38,'Key inputs_EB_TRA'!$C$15:$C$38,$C22,'Key inputs_EB_TRA'!$B$15:$B$38,"Pipeline - Natural gas")/SUMIFS('Key inputs_EB_TRA'!E$15:E$38,'Key inputs_EB_TRA'!$B$15:$B$38,"Pipeline - Natural gas")),"")</f>
        <v/>
      </c>
      <c r="L22" s="173">
        <f>IFERROR(IF(AND(SUMIFS('Key inputs_EB_TRA'!F$15:F$38,'Key inputs_EB_TRA'!$C$15:$C$38,$C22,'Key inputs_EB_TRA'!$B$15:$B$38,"Pipeline - Natural gas")/SUMIFS('Key inputs_EB_TRA'!F$15:F$38,'Key inputs_EB_TRA'!$B$15:$B$38,"Pipeline - Natural gas")&gt;0,SUMIFS('Key inputs_EB_TRA'!F$15:F$38,'Key inputs_EB_TRA'!$C$15:$C$38,$C22,'Key inputs_EB_TRA'!$B$15:$B$38,"Pipeline - Natural gas")/SUMIFS('Key inputs_EB_TRA'!F$15:F$38,'Key inputs_EB_TRA'!$B$15:$B$38,"Pipeline - Natural gas")&lt;0.001),0.001,SUMIFS('Key inputs_EB_TRA'!F$15:F$38,'Key inputs_EB_TRA'!$C$15:$C$38,$C22,'Key inputs_EB_TRA'!$B$15:$B$38,"Pipeline - Natural gas")/SUMIFS('Key inputs_EB_TRA'!F$15:F$38,'Key inputs_EB_TRA'!$B$15:$B$38,"Pipeline - Natural gas")),"")</f>
        <v>0</v>
      </c>
      <c r="M22" s="173">
        <f>IFERROR(IF(AND(SUMIFS('Key inputs_EB_TRA'!G$15:G$38,'Key inputs_EB_TRA'!$C$15:$C$38,$C22,'Key inputs_EB_TRA'!$B$15:$B$38,"Pipeline - Natural gas")/SUMIFS('Key inputs_EB_TRA'!G$15:G$38,'Key inputs_EB_TRA'!$B$15:$B$38,"Pipeline - Natural gas")&gt;0,SUMIFS('Key inputs_EB_TRA'!G$15:G$38,'Key inputs_EB_TRA'!$C$15:$C$38,$C22,'Key inputs_EB_TRA'!$B$15:$B$38,"Pipeline - Natural gas")/SUMIFS('Key inputs_EB_TRA'!G$15:G$38,'Key inputs_EB_TRA'!$B$15:$B$38,"Pipeline - Natural gas")&lt;0.001),0.001,SUMIFS('Key inputs_EB_TRA'!G$15:G$38,'Key inputs_EB_TRA'!$C$15:$C$38,$C22,'Key inputs_EB_TRA'!$B$15:$B$38,"Pipeline - Natural gas")/SUMIFS('Key inputs_EB_TRA'!G$15:G$38,'Key inputs_EB_TRA'!$B$15:$B$38,"Pipeline - Natural gas")),"")</f>
        <v>0</v>
      </c>
      <c r="N22" s="173">
        <f>IFERROR(IF(AND(SUMIFS('Key inputs_EB_TRA'!H$15:H$38,'Key inputs_EB_TRA'!$C$15:$C$38,$C22,'Key inputs_EB_TRA'!$B$15:$B$38,"Pipeline - Natural gas")/SUMIFS('Key inputs_EB_TRA'!H$15:H$38,'Key inputs_EB_TRA'!$B$15:$B$38,"Pipeline - Natural gas")&gt;0,SUMIFS('Key inputs_EB_TRA'!H$15:H$38,'Key inputs_EB_TRA'!$C$15:$C$38,$C22,'Key inputs_EB_TRA'!$B$15:$B$38,"Pipeline - Natural gas")/SUMIFS('Key inputs_EB_TRA'!H$15:H$38,'Key inputs_EB_TRA'!$B$15:$B$38,"Pipeline - Natural gas")&lt;0.001),0.001,SUMIFS('Key inputs_EB_TRA'!H$15:H$38,'Key inputs_EB_TRA'!$C$15:$C$38,$C22,'Key inputs_EB_TRA'!$B$15:$B$38,"Pipeline - Natural gas")/SUMIFS('Key inputs_EB_TRA'!H$15:H$38,'Key inputs_EB_TRA'!$B$15:$B$38,"Pipeline - Natural gas")),"")</f>
        <v>0.74455100261551876</v>
      </c>
      <c r="O22" s="173">
        <f>IFERROR(IF(AND(SUMIFS('Key inputs_EB_TRA'!I$15:I$38,'Key inputs_EB_TRA'!$C$15:$C$38,$C22,'Key inputs_EB_TRA'!$B$15:$B$38,"Pipeline - Natural gas")/SUMIFS('Key inputs_EB_TRA'!I$15:I$38,'Key inputs_EB_TRA'!$B$15:$B$38,"Pipeline - Natural gas")&gt;0,SUMIFS('Key inputs_EB_TRA'!I$15:I$38,'Key inputs_EB_TRA'!$C$15:$C$38,$C22,'Key inputs_EB_TRA'!$B$15:$B$38,"Pipeline - Natural gas")/SUMIFS('Key inputs_EB_TRA'!I$15:I$38,'Key inputs_EB_TRA'!$B$15:$B$38,"Pipeline - Natural gas")&lt;0.001),0.001,SUMIFS('Key inputs_EB_TRA'!I$15:I$38,'Key inputs_EB_TRA'!$C$15:$C$38,$C22,'Key inputs_EB_TRA'!$B$15:$B$38,"Pipeline - Natural gas")/SUMIFS('Key inputs_EB_TRA'!I$15:I$38,'Key inputs_EB_TRA'!$B$15:$B$38,"Pipeline - Natural gas")),"")</f>
        <v>0</v>
      </c>
      <c r="P22" s="173">
        <f>IFERROR(IF(AND(SUMIFS('Key inputs_EB_TRA'!J$15:J$38,'Key inputs_EB_TRA'!$C$15:$C$38,$C22,'Key inputs_EB_TRA'!$B$15:$B$38,"Pipeline - Natural gas")/SUMIFS('Key inputs_EB_TRA'!J$15:J$38,'Key inputs_EB_TRA'!$B$15:$B$38,"Pipeline - Natural gas")&gt;0,SUMIFS('Key inputs_EB_TRA'!J$15:J$38,'Key inputs_EB_TRA'!$C$15:$C$38,$C22,'Key inputs_EB_TRA'!$B$15:$B$38,"Pipeline - Natural gas")/SUMIFS('Key inputs_EB_TRA'!J$15:J$38,'Key inputs_EB_TRA'!$B$15:$B$38,"Pipeline - Natural gas")&lt;0.001),0.001,SUMIFS('Key inputs_EB_TRA'!J$15:J$38,'Key inputs_EB_TRA'!$C$15:$C$38,$C22,'Key inputs_EB_TRA'!$B$15:$B$38,"Pipeline - Natural gas")/SUMIFS('Key inputs_EB_TRA'!J$15:J$38,'Key inputs_EB_TRA'!$B$15:$B$38,"Pipeline - Natural gas")),"")</f>
        <v>2.645611156685808E-3</v>
      </c>
      <c r="Q22" s="173" t="str">
        <f>IFERROR(IF(AND(SUMIFS('Key inputs_EB_TRA'!K$15:K$38,'Key inputs_EB_TRA'!$C$15:$C$38,$C22,'Key inputs_EB_TRA'!$B$15:$B$38,"Pipeline - Natural gas")/SUMIFS('Key inputs_EB_TRA'!K$15:K$38,'Key inputs_EB_TRA'!$B$15:$B$38,"Pipeline - Natural gas")&gt;0,SUMIFS('Key inputs_EB_TRA'!K$15:K$38,'Key inputs_EB_TRA'!$C$15:$C$38,$C22,'Key inputs_EB_TRA'!$B$15:$B$38,"Pipeline - Natural gas")/SUMIFS('Key inputs_EB_TRA'!K$15:K$38,'Key inputs_EB_TRA'!$B$15:$B$38,"Pipeline - Natural gas")&lt;0.001),0.001,SUMIFS('Key inputs_EB_TRA'!K$15:K$38,'Key inputs_EB_TRA'!$C$15:$C$38,$C22,'Key inputs_EB_TRA'!$B$15:$B$38,"Pipeline - Natural gas")/SUMIFS('Key inputs_EB_TRA'!K$15:K$38,'Key inputs_EB_TRA'!$B$15:$B$38,"Pipeline - Natural gas")),"")</f>
        <v/>
      </c>
      <c r="R22" s="173" t="str">
        <f>IFERROR(IF(AND(SUMIFS('Key inputs_EB_TRA'!L$15:L$38,'Key inputs_EB_TRA'!$C$15:$C$38,$C22,'Key inputs_EB_TRA'!$B$15:$B$38,"Pipeline - Natural gas")/SUMIFS('Key inputs_EB_TRA'!L$15:L$38,'Key inputs_EB_TRA'!$B$15:$B$38,"Pipeline - Natural gas")&gt;0,SUMIFS('Key inputs_EB_TRA'!L$15:L$38,'Key inputs_EB_TRA'!$C$15:$C$38,$C22,'Key inputs_EB_TRA'!$B$15:$B$38,"Pipeline - Natural gas")/SUMIFS('Key inputs_EB_TRA'!L$15:L$38,'Key inputs_EB_TRA'!$B$15:$B$38,"Pipeline - Natural gas")&lt;0.001),0.001,SUMIFS('Key inputs_EB_TRA'!L$15:L$38,'Key inputs_EB_TRA'!$C$15:$C$38,$C22,'Key inputs_EB_TRA'!$B$15:$B$38,"Pipeline - Natural gas")/SUMIFS('Key inputs_EB_TRA'!L$15:L$38,'Key inputs_EB_TRA'!$B$15:$B$38,"Pipeline - Natural gas")),"")</f>
        <v/>
      </c>
      <c r="S22" s="173" t="str">
        <f>IFERROR(IF(AND(SUMIFS('Key inputs_EB_TRA'!M$15:M$38,'Key inputs_EB_TRA'!$C$15:$C$38,$C22,'Key inputs_EB_TRA'!$B$15:$B$38,"Pipeline - Natural gas")/SUMIFS('Key inputs_EB_TRA'!M$15:M$38,'Key inputs_EB_TRA'!$B$15:$B$38,"Pipeline - Natural gas")&gt;0,SUMIFS('Key inputs_EB_TRA'!M$15:M$38,'Key inputs_EB_TRA'!$C$15:$C$38,$C22,'Key inputs_EB_TRA'!$B$15:$B$38,"Pipeline - Natural gas")/SUMIFS('Key inputs_EB_TRA'!M$15:M$38,'Key inputs_EB_TRA'!$B$15:$B$38,"Pipeline - Natural gas")&lt;0.001),0.001,SUMIFS('Key inputs_EB_TRA'!M$15:M$38,'Key inputs_EB_TRA'!$C$15:$C$38,$C22,'Key inputs_EB_TRA'!$B$15:$B$38,"Pipeline - Natural gas")/SUMIFS('Key inputs_EB_TRA'!M$15:M$38,'Key inputs_EB_TRA'!$B$15:$B$38,"Pipeline - Natural gas")),"")</f>
        <v/>
      </c>
      <c r="T22" s="173">
        <f>IFERROR(IF(AND(SUMIFS('Key inputs_EB_TRA'!N$15:N$38,'Key inputs_EB_TRA'!$C$15:$C$38,$C22,'Key inputs_EB_TRA'!$B$15:$B$38,"Pipeline - Natural gas")/SUMIFS('Key inputs_EB_TRA'!N$15:N$38,'Key inputs_EB_TRA'!$B$15:$B$38,"Pipeline - Natural gas")&gt;0,SUMIFS('Key inputs_EB_TRA'!N$15:N$38,'Key inputs_EB_TRA'!$C$15:$C$38,$C22,'Key inputs_EB_TRA'!$B$15:$B$38,"Pipeline - Natural gas")/SUMIFS('Key inputs_EB_TRA'!N$15:N$38,'Key inputs_EB_TRA'!$B$15:$B$38,"Pipeline - Natural gas")&lt;0.001),0.001,SUMIFS('Key inputs_EB_TRA'!N$15:N$38,'Key inputs_EB_TRA'!$C$15:$C$38,$C22,'Key inputs_EB_TRA'!$B$15:$B$38,"Pipeline - Natural gas")/SUMIFS('Key inputs_EB_TRA'!N$15:N$38,'Key inputs_EB_TRA'!$B$15:$B$38,"Pipeline - Natural gas")),"")</f>
        <v>1.8193654890198677E-3</v>
      </c>
      <c r="U22" s="173">
        <f>IFERROR(IF(AND(SUMIFS('Key inputs_EB_TRA'!O$15:O$38,'Key inputs_EB_TRA'!$C$15:$C$38,$C22,'Key inputs_EB_TRA'!$B$15:$B$38,"Pipeline - Natural gas")/SUMIFS('Key inputs_EB_TRA'!O$15:O$38,'Key inputs_EB_TRA'!$B$15:$B$38,"Pipeline - Natural gas")&gt;0,SUMIFS('Key inputs_EB_TRA'!O$15:O$38,'Key inputs_EB_TRA'!$C$15:$C$38,$C22,'Key inputs_EB_TRA'!$B$15:$B$38,"Pipeline - Natural gas")/SUMIFS('Key inputs_EB_TRA'!O$15:O$38,'Key inputs_EB_TRA'!$B$15:$B$38,"Pipeline - Natural gas")&lt;0.001),0.001,SUMIFS('Key inputs_EB_TRA'!O$15:O$38,'Key inputs_EB_TRA'!$C$15:$C$38,$C22,'Key inputs_EB_TRA'!$B$15:$B$38,"Pipeline - Natural gas")/SUMIFS('Key inputs_EB_TRA'!O$15:O$38,'Key inputs_EB_TRA'!$B$15:$B$38,"Pipeline - Natural gas")),"")</f>
        <v>0</v>
      </c>
      <c r="V22" s="173">
        <f>IFERROR(IF(AND(SUMIFS('Key inputs_EB_TRA'!P$15:P$38,'Key inputs_EB_TRA'!$C$15:$C$38,$C22,'Key inputs_EB_TRA'!$B$15:$B$38,"Pipeline - Natural gas")/SUMIFS('Key inputs_EB_TRA'!P$15:P$38,'Key inputs_EB_TRA'!$B$15:$B$38,"Pipeline - Natural gas")&gt;0,SUMIFS('Key inputs_EB_TRA'!P$15:P$38,'Key inputs_EB_TRA'!$C$15:$C$38,$C22,'Key inputs_EB_TRA'!$B$15:$B$38,"Pipeline - Natural gas")/SUMIFS('Key inputs_EB_TRA'!P$15:P$38,'Key inputs_EB_TRA'!$B$15:$B$38,"Pipeline - Natural gas")&lt;0.001),0.001,SUMIFS('Key inputs_EB_TRA'!P$15:P$38,'Key inputs_EB_TRA'!$C$15:$C$38,$C22,'Key inputs_EB_TRA'!$B$15:$B$38,"Pipeline - Natural gas")/SUMIFS('Key inputs_EB_TRA'!P$15:P$38,'Key inputs_EB_TRA'!$B$15:$B$38,"Pipeline - Natural gas")),"")</f>
        <v>1.3957048309396244E-3</v>
      </c>
      <c r="W22" s="173">
        <f>IFERROR(IF(AND(SUMIFS('Key inputs_EB_TRA'!Q$15:Q$38,'Key inputs_EB_TRA'!$C$15:$C$38,$C22,'Key inputs_EB_TRA'!$B$15:$B$38,"Pipeline - Natural gas")/SUMIFS('Key inputs_EB_TRA'!Q$15:Q$38,'Key inputs_EB_TRA'!$B$15:$B$38,"Pipeline - Natural gas")&gt;0,SUMIFS('Key inputs_EB_TRA'!Q$15:Q$38,'Key inputs_EB_TRA'!$C$15:$C$38,$C22,'Key inputs_EB_TRA'!$B$15:$B$38,"Pipeline - Natural gas")/SUMIFS('Key inputs_EB_TRA'!Q$15:Q$38,'Key inputs_EB_TRA'!$B$15:$B$38,"Pipeline - Natural gas")&lt;0.001),0.001,SUMIFS('Key inputs_EB_TRA'!Q$15:Q$38,'Key inputs_EB_TRA'!$C$15:$C$38,$C22,'Key inputs_EB_TRA'!$B$15:$B$38,"Pipeline - Natural gas")/SUMIFS('Key inputs_EB_TRA'!Q$15:Q$38,'Key inputs_EB_TRA'!$B$15:$B$38,"Pipeline - Natural gas")),"")</f>
        <v>0</v>
      </c>
      <c r="X22" s="173">
        <f>IFERROR(IF(AND(SUMIFS('Key inputs_EB_TRA'!R$15:R$38,'Key inputs_EB_TRA'!$C$15:$C$38,$C22,'Key inputs_EB_TRA'!$B$15:$B$38,"Pipeline - Natural gas")/SUMIFS('Key inputs_EB_TRA'!R$15:R$38,'Key inputs_EB_TRA'!$B$15:$B$38,"Pipeline - Natural gas")&gt;0,SUMIFS('Key inputs_EB_TRA'!R$15:R$38,'Key inputs_EB_TRA'!$C$15:$C$38,$C22,'Key inputs_EB_TRA'!$B$15:$B$38,"Pipeline - Natural gas")/SUMIFS('Key inputs_EB_TRA'!R$15:R$38,'Key inputs_EB_TRA'!$B$15:$B$38,"Pipeline - Natural gas")&lt;0.001),0.001,SUMIFS('Key inputs_EB_TRA'!R$15:R$38,'Key inputs_EB_TRA'!$C$15:$C$38,$C22,'Key inputs_EB_TRA'!$B$15:$B$38,"Pipeline - Natural gas")/SUMIFS('Key inputs_EB_TRA'!R$15:R$38,'Key inputs_EB_TRA'!$B$15:$B$38,"Pipeline - Natural gas")),"")</f>
        <v>0</v>
      </c>
      <c r="Y22" s="173">
        <f>IFERROR(IF(AND(SUMIFS('Key inputs_EB_TRA'!S$15:S$38,'Key inputs_EB_TRA'!$C$15:$C$38,$C22,'Key inputs_EB_TRA'!$B$15:$B$38,"Pipeline - Natural gas")/SUMIFS('Key inputs_EB_TRA'!S$15:S$38,'Key inputs_EB_TRA'!$B$15:$B$38,"Pipeline - Natural gas")&gt;0,SUMIFS('Key inputs_EB_TRA'!S$15:S$38,'Key inputs_EB_TRA'!$C$15:$C$38,$C22,'Key inputs_EB_TRA'!$B$15:$B$38,"Pipeline - Natural gas")/SUMIFS('Key inputs_EB_TRA'!S$15:S$38,'Key inputs_EB_TRA'!$B$15:$B$38,"Pipeline - Natural gas")&lt;0.001),0.001,SUMIFS('Key inputs_EB_TRA'!S$15:S$38,'Key inputs_EB_TRA'!$C$15:$C$38,$C22,'Key inputs_EB_TRA'!$B$15:$B$38,"Pipeline - Natural gas")/SUMIFS('Key inputs_EB_TRA'!S$15:S$38,'Key inputs_EB_TRA'!$B$15:$B$38,"Pipeline - Natural gas")),"")</f>
        <v>1E-3</v>
      </c>
      <c r="Z22" s="173">
        <f>IFERROR(IF(AND(SUMIFS('Key inputs_EB_TRA'!T$15:T$38,'Key inputs_EB_TRA'!$C$15:$C$38,$C22,'Key inputs_EB_TRA'!$B$15:$B$38,"Pipeline - Natural gas")/SUMIFS('Key inputs_EB_TRA'!T$15:T$38,'Key inputs_EB_TRA'!$B$15:$B$38,"Pipeline - Natural gas")&gt;0,SUMIFS('Key inputs_EB_TRA'!T$15:T$38,'Key inputs_EB_TRA'!$C$15:$C$38,$C22,'Key inputs_EB_TRA'!$B$15:$B$38,"Pipeline - Natural gas")/SUMIFS('Key inputs_EB_TRA'!T$15:T$38,'Key inputs_EB_TRA'!$B$15:$B$38,"Pipeline - Natural gas")&lt;0.001),0.001,SUMIFS('Key inputs_EB_TRA'!T$15:T$38,'Key inputs_EB_TRA'!$C$15:$C$38,$C22,'Key inputs_EB_TRA'!$B$15:$B$38,"Pipeline - Natural gas")/SUMIFS('Key inputs_EB_TRA'!T$15:T$38,'Key inputs_EB_TRA'!$B$15:$B$38,"Pipeline - Natural gas")),"")</f>
        <v>0</v>
      </c>
      <c r="AA22" s="173">
        <f>IFERROR(IF(AND(SUMIFS('Key inputs_EB_TRA'!U$15:U$38,'Key inputs_EB_TRA'!$C$15:$C$38,$C22,'Key inputs_EB_TRA'!$B$15:$B$38,"Pipeline - Natural gas")/SUMIFS('Key inputs_EB_TRA'!U$15:U$38,'Key inputs_EB_TRA'!$B$15:$B$38,"Pipeline - Natural gas")&gt;0,SUMIFS('Key inputs_EB_TRA'!U$15:U$38,'Key inputs_EB_TRA'!$C$15:$C$38,$C22,'Key inputs_EB_TRA'!$B$15:$B$38,"Pipeline - Natural gas")/SUMIFS('Key inputs_EB_TRA'!U$15:U$38,'Key inputs_EB_TRA'!$B$15:$B$38,"Pipeline - Natural gas")&lt;0.001),0.001,SUMIFS('Key inputs_EB_TRA'!U$15:U$38,'Key inputs_EB_TRA'!$C$15:$C$38,$C22,'Key inputs_EB_TRA'!$B$15:$B$38,"Pipeline - Natural gas")/SUMIFS('Key inputs_EB_TRA'!U$15:U$38,'Key inputs_EB_TRA'!$B$15:$B$38,"Pipeline - Natural gas")),"")</f>
        <v>0</v>
      </c>
      <c r="AB22" s="173" t="str">
        <f>IFERROR(IF(AND(SUMIFS('Key inputs_EB_TRA'!V$15:V$38,'Key inputs_EB_TRA'!$C$15:$C$38,$C22,'Key inputs_EB_TRA'!$B$15:$B$38,"Pipeline - Natural gas")/SUMIFS('Key inputs_EB_TRA'!V$15:V$38,'Key inputs_EB_TRA'!$B$15:$B$38,"Pipeline - Natural gas")&gt;0,SUMIFS('Key inputs_EB_TRA'!V$15:V$38,'Key inputs_EB_TRA'!$C$15:$C$38,$C22,'Key inputs_EB_TRA'!$B$15:$B$38,"Pipeline - Natural gas")/SUMIFS('Key inputs_EB_TRA'!V$15:V$38,'Key inputs_EB_TRA'!$B$15:$B$38,"Pipeline - Natural gas")&lt;0.001),0.001,SUMIFS('Key inputs_EB_TRA'!V$15:V$38,'Key inputs_EB_TRA'!$C$15:$C$38,$C22,'Key inputs_EB_TRA'!$B$15:$B$38,"Pipeline - Natural gas")/SUMIFS('Key inputs_EB_TRA'!V$15:V$38,'Key inputs_EB_TRA'!$B$15:$B$38,"Pipeline - Natural gas")),"")</f>
        <v/>
      </c>
      <c r="AC22" s="173">
        <f>IFERROR(IF(AND(SUMIFS('Key inputs_EB_TRA'!W$15:W$38,'Key inputs_EB_TRA'!$C$15:$C$38,$C22,'Key inputs_EB_TRA'!$B$15:$B$38,"Pipeline - Natural gas")/SUMIFS('Key inputs_EB_TRA'!W$15:W$38,'Key inputs_EB_TRA'!$B$15:$B$38,"Pipeline - Natural gas")&gt;0,SUMIFS('Key inputs_EB_TRA'!W$15:W$38,'Key inputs_EB_TRA'!$C$15:$C$38,$C22,'Key inputs_EB_TRA'!$B$15:$B$38,"Pipeline - Natural gas")/SUMIFS('Key inputs_EB_TRA'!W$15:W$38,'Key inputs_EB_TRA'!$B$15:$B$38,"Pipeline - Natural gas")&lt;0.001),0.001,SUMIFS('Key inputs_EB_TRA'!W$15:W$38,'Key inputs_EB_TRA'!$C$15:$C$38,$C22,'Key inputs_EB_TRA'!$B$15:$B$38,"Pipeline - Natural gas")/SUMIFS('Key inputs_EB_TRA'!W$15:W$38,'Key inputs_EB_TRA'!$B$15:$B$38,"Pipeline - Natural gas")),"")</f>
        <v>0</v>
      </c>
      <c r="AD22" s="173" t="str">
        <f>IFERROR(IF(AND(SUMIFS('Key inputs_EB_TRA'!X$15:X$38,'Key inputs_EB_TRA'!$C$15:$C$38,$C22,'Key inputs_EB_TRA'!$B$15:$B$38,"Pipeline - Natural gas")/SUMIFS('Key inputs_EB_TRA'!X$15:X$38,'Key inputs_EB_TRA'!$B$15:$B$38,"Pipeline - Natural gas")&gt;0,SUMIFS('Key inputs_EB_TRA'!X$15:X$38,'Key inputs_EB_TRA'!$C$15:$C$38,$C22,'Key inputs_EB_TRA'!$B$15:$B$38,"Pipeline - Natural gas")/SUMIFS('Key inputs_EB_TRA'!X$15:X$38,'Key inputs_EB_TRA'!$B$15:$B$38,"Pipeline - Natural gas")&lt;0.001),0.001,SUMIFS('Key inputs_EB_TRA'!X$15:X$38,'Key inputs_EB_TRA'!$C$15:$C$38,$C22,'Key inputs_EB_TRA'!$B$15:$B$38,"Pipeline - Natural gas")/SUMIFS('Key inputs_EB_TRA'!X$15:X$38,'Key inputs_EB_TRA'!$B$15:$B$38,"Pipeline - Natural gas")),"")</f>
        <v/>
      </c>
      <c r="AE22" s="173">
        <f>IFERROR(IF(AND(SUMIFS('Key inputs_EB_TRA'!Y$15:Y$38,'Key inputs_EB_TRA'!$C$15:$C$38,$C22,'Key inputs_EB_TRA'!$B$15:$B$38,"Pipeline - Natural gas")/SUMIFS('Key inputs_EB_TRA'!Y$15:Y$38,'Key inputs_EB_TRA'!$B$15:$B$38,"Pipeline - Natural gas")&gt;0,SUMIFS('Key inputs_EB_TRA'!Y$15:Y$38,'Key inputs_EB_TRA'!$C$15:$C$38,$C22,'Key inputs_EB_TRA'!$B$15:$B$38,"Pipeline - Natural gas")/SUMIFS('Key inputs_EB_TRA'!Y$15:Y$38,'Key inputs_EB_TRA'!$B$15:$B$38,"Pipeline - Natural gas")&lt;0.001),0.001,SUMIFS('Key inputs_EB_TRA'!Y$15:Y$38,'Key inputs_EB_TRA'!$C$15:$C$38,$C22,'Key inputs_EB_TRA'!$B$15:$B$38,"Pipeline - Natural gas")/SUMIFS('Key inputs_EB_TRA'!Y$15:Y$38,'Key inputs_EB_TRA'!$B$15:$B$38,"Pipeline - Natural gas")),"")</f>
        <v>0</v>
      </c>
      <c r="AF22" s="173">
        <f>IFERROR(IF(AND(SUMIFS('Key inputs_EB_TRA'!Z$15:Z$38,'Key inputs_EB_TRA'!$C$15:$C$38,$C22,'Key inputs_EB_TRA'!$B$15:$B$38,"Pipeline - Natural gas")/SUMIFS('Key inputs_EB_TRA'!Z$15:Z$38,'Key inputs_EB_TRA'!$B$15:$B$38,"Pipeline - Natural gas")&gt;0,SUMIFS('Key inputs_EB_TRA'!Z$15:Z$38,'Key inputs_EB_TRA'!$C$15:$C$38,$C22,'Key inputs_EB_TRA'!$B$15:$B$38,"Pipeline - Natural gas")/SUMIFS('Key inputs_EB_TRA'!Z$15:Z$38,'Key inputs_EB_TRA'!$B$15:$B$38,"Pipeline - Natural gas")&lt;0.001),0.001,SUMIFS('Key inputs_EB_TRA'!Z$15:Z$38,'Key inputs_EB_TRA'!$C$15:$C$38,$C22,'Key inputs_EB_TRA'!$B$15:$B$38,"Pipeline - Natural gas")/SUMIFS('Key inputs_EB_TRA'!Z$15:Z$38,'Key inputs_EB_TRA'!$B$15:$B$38,"Pipeline - Natural gas")),"")</f>
        <v>0</v>
      </c>
      <c r="AG22" s="173">
        <f>IFERROR(IF(AND(SUMIFS('Key inputs_EB_TRA'!AA$15:AA$38,'Key inputs_EB_TRA'!$C$15:$C$38,$C22,'Key inputs_EB_TRA'!$B$15:$B$38,"Pipeline - Natural gas")/SUMIFS('Key inputs_EB_TRA'!AA$15:AA$38,'Key inputs_EB_TRA'!$B$15:$B$38,"Pipeline - Natural gas")&gt;0,SUMIFS('Key inputs_EB_TRA'!AA$15:AA$38,'Key inputs_EB_TRA'!$C$15:$C$38,$C22,'Key inputs_EB_TRA'!$B$15:$B$38,"Pipeline - Natural gas")/SUMIFS('Key inputs_EB_TRA'!AA$15:AA$38,'Key inputs_EB_TRA'!$B$15:$B$38,"Pipeline - Natural gas")&lt;0.001),0.001,SUMIFS('Key inputs_EB_TRA'!AA$15:AA$38,'Key inputs_EB_TRA'!$C$15:$C$38,$C22,'Key inputs_EB_TRA'!$B$15:$B$38,"Pipeline - Natural gas")/SUMIFS('Key inputs_EB_TRA'!AA$15:AA$38,'Key inputs_EB_TRA'!$B$15:$B$38,"Pipeline - Natural gas")),"")</f>
        <v>7.2168548480968462E-3</v>
      </c>
      <c r="AH22" s="173" t="str">
        <f>IFERROR(IF(AND(SUMIFS('Key inputs_EB_TRA'!AB$15:AB$38,'Key inputs_EB_TRA'!$C$15:$C$38,$C22,'Key inputs_EB_TRA'!$B$15:$B$38,"Pipeline - Natural gas")/SUMIFS('Key inputs_EB_TRA'!AB$15:AB$38,'Key inputs_EB_TRA'!$B$15:$B$38,"Pipeline - Natural gas")&gt;0,SUMIFS('Key inputs_EB_TRA'!AB$15:AB$38,'Key inputs_EB_TRA'!$C$15:$C$38,$C22,'Key inputs_EB_TRA'!$B$15:$B$38,"Pipeline - Natural gas")/SUMIFS('Key inputs_EB_TRA'!AB$15:AB$38,'Key inputs_EB_TRA'!$B$15:$B$38,"Pipeline - Natural gas")&lt;0.001),0.001,SUMIFS('Key inputs_EB_TRA'!AB$15:AB$38,'Key inputs_EB_TRA'!$C$15:$C$38,$C22,'Key inputs_EB_TRA'!$B$15:$B$38,"Pipeline - Natural gas")/SUMIFS('Key inputs_EB_TRA'!AB$15:AB$38,'Key inputs_EB_TRA'!$B$15:$B$38,"Pipeline - Natural gas")),"")</f>
        <v/>
      </c>
      <c r="AI22" s="173" t="str">
        <f>IFERROR(IF(AND(SUMIFS('Key inputs_EB_TRA'!AC$15:AC$38,'Key inputs_EB_TRA'!$C$15:$C$38,$C22,'Key inputs_EB_TRA'!$B$15:$B$38,"Pipeline - Natural gas")/SUMIFS('Key inputs_EB_TRA'!AC$15:AC$38,'Key inputs_EB_TRA'!$B$15:$B$38,"Pipeline - Natural gas")&gt;0,SUMIFS('Key inputs_EB_TRA'!AC$15:AC$38,'Key inputs_EB_TRA'!$C$15:$C$38,$C22,'Key inputs_EB_TRA'!$B$15:$B$38,"Pipeline - Natural gas")/SUMIFS('Key inputs_EB_TRA'!AC$15:AC$38,'Key inputs_EB_TRA'!$B$15:$B$38,"Pipeline - Natural gas")&lt;0.001),0.001,SUMIFS('Key inputs_EB_TRA'!AC$15:AC$38,'Key inputs_EB_TRA'!$C$15:$C$38,$C22,'Key inputs_EB_TRA'!$B$15:$B$38,"Pipeline - Natural gas")/SUMIFS('Key inputs_EB_TRA'!AC$15:AC$38,'Key inputs_EB_TRA'!$B$15:$B$38,"Pipeline - Natural gas")),"")</f>
        <v/>
      </c>
      <c r="AJ22" s="173">
        <f>IFERROR(IF(AND(SUMIFS('Key inputs_EB_TRA'!AD$15:AD$38,'Key inputs_EB_TRA'!$C$15:$C$38,$C22,'Key inputs_EB_TRA'!$B$15:$B$38,"Pipeline - Natural gas")/SUMIFS('Key inputs_EB_TRA'!AD$15:AD$38,'Key inputs_EB_TRA'!$B$15:$B$38,"Pipeline - Natural gas")&gt;0,SUMIFS('Key inputs_EB_TRA'!AD$15:AD$38,'Key inputs_EB_TRA'!$C$15:$C$38,$C22,'Key inputs_EB_TRA'!$B$15:$B$38,"Pipeline - Natural gas")/SUMIFS('Key inputs_EB_TRA'!AD$15:AD$38,'Key inputs_EB_TRA'!$B$15:$B$38,"Pipeline - Natural gas")&lt;0.001),0.001,SUMIFS('Key inputs_EB_TRA'!AD$15:AD$38,'Key inputs_EB_TRA'!$C$15:$C$38,$C22,'Key inputs_EB_TRA'!$B$15:$B$38,"Pipeline - Natural gas")/SUMIFS('Key inputs_EB_TRA'!AD$15:AD$38,'Key inputs_EB_TRA'!$B$15:$B$38,"Pipeline - Natural gas")),"")</f>
        <v>7.0210921467219797E-3</v>
      </c>
      <c r="AK22" s="173">
        <f>IFERROR(IF(AND(SUMIFS('Key inputs_EB_TRA'!AE$15:AE$38,'Key inputs_EB_TRA'!$C$15:$C$38,$C22,'Key inputs_EB_TRA'!$B$15:$B$38,"Pipeline - Natural gas")/SUMIFS('Key inputs_EB_TRA'!AE$15:AE$38,'Key inputs_EB_TRA'!$B$15:$B$38,"Pipeline - Natural gas")&gt;0,SUMIFS('Key inputs_EB_TRA'!AE$15:AE$38,'Key inputs_EB_TRA'!$C$15:$C$38,$C22,'Key inputs_EB_TRA'!$B$15:$B$38,"Pipeline - Natural gas")/SUMIFS('Key inputs_EB_TRA'!AE$15:AE$38,'Key inputs_EB_TRA'!$B$15:$B$38,"Pipeline - Natural gas")&lt;0.001),0.001,SUMIFS('Key inputs_EB_TRA'!AE$15:AE$38,'Key inputs_EB_TRA'!$C$15:$C$38,$C22,'Key inputs_EB_TRA'!$B$15:$B$38,"Pipeline - Natural gas")/SUMIFS('Key inputs_EB_TRA'!AE$15:AE$38,'Key inputs_EB_TRA'!$B$15:$B$38,"Pipeline - Natural gas")),"")</f>
        <v>0.9107142857142857</v>
      </c>
      <c r="AL22" s="173">
        <f>IFERROR(IF(AND(SUMIFS('Key inputs_EB_TRA'!AF$15:AF$38,'Key inputs_EB_TRA'!$C$15:$C$38,$C22,'Key inputs_EB_TRA'!$B$15:$B$38,"Pipeline - Natural gas")/SUMIFS('Key inputs_EB_TRA'!AF$15:AF$38,'Key inputs_EB_TRA'!$B$15:$B$38,"Pipeline - Natural gas")&gt;0,SUMIFS('Key inputs_EB_TRA'!AF$15:AF$38,'Key inputs_EB_TRA'!$C$15:$C$38,$C22,'Key inputs_EB_TRA'!$B$15:$B$38,"Pipeline - Natural gas")/SUMIFS('Key inputs_EB_TRA'!AF$15:AF$38,'Key inputs_EB_TRA'!$B$15:$B$38,"Pipeline - Natural gas")&lt;0.001),0.001,SUMIFS('Key inputs_EB_TRA'!AF$15:AF$38,'Key inputs_EB_TRA'!$C$15:$C$38,$C22,'Key inputs_EB_TRA'!$B$15:$B$38,"Pipeline - Natural gas")/SUMIFS('Key inputs_EB_TRA'!AF$15:AF$38,'Key inputs_EB_TRA'!$B$15:$B$38,"Pipeline - Natural gas")),"")</f>
        <v>0</v>
      </c>
    </row>
    <row r="23" spans="1:38">
      <c r="C23" t="str">
        <f>Commodities!$C$91</f>
        <v>UPSELC</v>
      </c>
      <c r="F23" s="4" t="s">
        <v>359</v>
      </c>
      <c r="G23" s="4" t="s">
        <v>702</v>
      </c>
      <c r="H23" t="s">
        <v>661</v>
      </c>
      <c r="I23">
        <v>2019</v>
      </c>
      <c r="J23" t="s">
        <v>650</v>
      </c>
      <c r="K23" s="173" t="str">
        <f>IFERROR(IF(AND(SUMIFS('Key inputs_EB_TRA'!E$15:E$38,'Key inputs_EB_TRA'!$C$15:$C$38,$C23,'Key inputs_EB_TRA'!$B$15:$B$38,"Pipeline - Natural gas")/SUMIFS('Key inputs_EB_TRA'!E$15:E$38,'Key inputs_EB_TRA'!$B$15:$B$38,"Pipeline - Natural gas")&gt;0,SUMIFS('Key inputs_EB_TRA'!E$15:E$38,'Key inputs_EB_TRA'!$C$15:$C$38,$C23,'Key inputs_EB_TRA'!$B$15:$B$38,"Pipeline - Natural gas")/SUMIFS('Key inputs_EB_TRA'!E$15:E$38,'Key inputs_EB_TRA'!$B$15:$B$38,"Pipeline - Natural gas")&lt;0.001),0.001,SUMIFS('Key inputs_EB_TRA'!E$15:E$38,'Key inputs_EB_TRA'!$C$15:$C$38,$C23,'Key inputs_EB_TRA'!$B$15:$B$38,"Pipeline - Natural gas")/SUMIFS('Key inputs_EB_TRA'!E$15:E$38,'Key inputs_EB_TRA'!$B$15:$B$38,"Pipeline - Natural gas")),"")</f>
        <v/>
      </c>
      <c r="L23" s="173">
        <f>IFERROR(IF(AND(SUMIFS('Key inputs_EB_TRA'!F$15:F$38,'Key inputs_EB_TRA'!$C$15:$C$38,$C23,'Key inputs_EB_TRA'!$B$15:$B$38,"Pipeline - Natural gas")/SUMIFS('Key inputs_EB_TRA'!F$15:F$38,'Key inputs_EB_TRA'!$B$15:$B$38,"Pipeline - Natural gas")&gt;0,SUMIFS('Key inputs_EB_TRA'!F$15:F$38,'Key inputs_EB_TRA'!$C$15:$C$38,$C23,'Key inputs_EB_TRA'!$B$15:$B$38,"Pipeline - Natural gas")/SUMIFS('Key inputs_EB_TRA'!F$15:F$38,'Key inputs_EB_TRA'!$B$15:$B$38,"Pipeline - Natural gas")&lt;0.001),0.001,SUMIFS('Key inputs_EB_TRA'!F$15:F$38,'Key inputs_EB_TRA'!$C$15:$C$38,$C23,'Key inputs_EB_TRA'!$B$15:$B$38,"Pipeline - Natural gas")/SUMIFS('Key inputs_EB_TRA'!F$15:F$38,'Key inputs_EB_TRA'!$B$15:$B$38,"Pipeline - Natural gas")),"")</f>
        <v>2.3333333333333338E-2</v>
      </c>
      <c r="M23" s="173">
        <f>IFERROR(IF(AND(SUMIFS('Key inputs_EB_TRA'!G$15:G$38,'Key inputs_EB_TRA'!$C$15:$C$38,$C23,'Key inputs_EB_TRA'!$B$15:$B$38,"Pipeline - Natural gas")/SUMIFS('Key inputs_EB_TRA'!G$15:G$38,'Key inputs_EB_TRA'!$B$15:$B$38,"Pipeline - Natural gas")&gt;0,SUMIFS('Key inputs_EB_TRA'!G$15:G$38,'Key inputs_EB_TRA'!$C$15:$C$38,$C23,'Key inputs_EB_TRA'!$B$15:$B$38,"Pipeline - Natural gas")/SUMIFS('Key inputs_EB_TRA'!G$15:G$38,'Key inputs_EB_TRA'!$B$15:$B$38,"Pipeline - Natural gas")&lt;0.001),0.001,SUMIFS('Key inputs_EB_TRA'!G$15:G$38,'Key inputs_EB_TRA'!$C$15:$C$38,$C23,'Key inputs_EB_TRA'!$B$15:$B$38,"Pipeline - Natural gas")/SUMIFS('Key inputs_EB_TRA'!G$15:G$38,'Key inputs_EB_TRA'!$B$15:$B$38,"Pipeline - Natural gas")),"")</f>
        <v>1</v>
      </c>
      <c r="N23" s="173">
        <f>IFERROR(IF(AND(SUMIFS('Key inputs_EB_TRA'!H$15:H$38,'Key inputs_EB_TRA'!$C$15:$C$38,$C23,'Key inputs_EB_TRA'!$B$15:$B$38,"Pipeline - Natural gas")/SUMIFS('Key inputs_EB_TRA'!H$15:H$38,'Key inputs_EB_TRA'!$B$15:$B$38,"Pipeline - Natural gas")&gt;0,SUMIFS('Key inputs_EB_TRA'!H$15:H$38,'Key inputs_EB_TRA'!$C$15:$C$38,$C23,'Key inputs_EB_TRA'!$B$15:$B$38,"Pipeline - Natural gas")/SUMIFS('Key inputs_EB_TRA'!H$15:H$38,'Key inputs_EB_TRA'!$B$15:$B$38,"Pipeline - Natural gas")&lt;0.001),0.001,SUMIFS('Key inputs_EB_TRA'!H$15:H$38,'Key inputs_EB_TRA'!$C$15:$C$38,$C23,'Key inputs_EB_TRA'!$B$15:$B$38,"Pipeline - Natural gas")/SUMIFS('Key inputs_EB_TRA'!H$15:H$38,'Key inputs_EB_TRA'!$B$15:$B$38,"Pipeline - Natural gas")),"")</f>
        <v>0.24934612031386225</v>
      </c>
      <c r="O23" s="173">
        <f>IFERROR(IF(AND(SUMIFS('Key inputs_EB_TRA'!I$15:I$38,'Key inputs_EB_TRA'!$C$15:$C$38,$C23,'Key inputs_EB_TRA'!$B$15:$B$38,"Pipeline - Natural gas")/SUMIFS('Key inputs_EB_TRA'!I$15:I$38,'Key inputs_EB_TRA'!$B$15:$B$38,"Pipeline - Natural gas")&gt;0,SUMIFS('Key inputs_EB_TRA'!I$15:I$38,'Key inputs_EB_TRA'!$C$15:$C$38,$C23,'Key inputs_EB_TRA'!$B$15:$B$38,"Pipeline - Natural gas")/SUMIFS('Key inputs_EB_TRA'!I$15:I$38,'Key inputs_EB_TRA'!$B$15:$B$38,"Pipeline - Natural gas")&lt;0.001),0.001,SUMIFS('Key inputs_EB_TRA'!I$15:I$38,'Key inputs_EB_TRA'!$C$15:$C$38,$C23,'Key inputs_EB_TRA'!$B$15:$B$38,"Pipeline - Natural gas")/SUMIFS('Key inputs_EB_TRA'!I$15:I$38,'Key inputs_EB_TRA'!$B$15:$B$38,"Pipeline - Natural gas")),"")</f>
        <v>4.7781362225333246E-2</v>
      </c>
      <c r="P23" s="173">
        <f>IFERROR(IF(AND(SUMIFS('Key inputs_EB_TRA'!J$15:J$38,'Key inputs_EB_TRA'!$C$15:$C$38,$C23,'Key inputs_EB_TRA'!$B$15:$B$38,"Pipeline - Natural gas")/SUMIFS('Key inputs_EB_TRA'!J$15:J$38,'Key inputs_EB_TRA'!$B$15:$B$38,"Pipeline - Natural gas")&gt;0,SUMIFS('Key inputs_EB_TRA'!J$15:J$38,'Key inputs_EB_TRA'!$C$15:$C$38,$C23,'Key inputs_EB_TRA'!$B$15:$B$38,"Pipeline - Natural gas")/SUMIFS('Key inputs_EB_TRA'!J$15:J$38,'Key inputs_EB_TRA'!$B$15:$B$38,"Pipeline - Natural gas")&lt;0.001),0.001,SUMIFS('Key inputs_EB_TRA'!J$15:J$38,'Key inputs_EB_TRA'!$C$15:$C$38,$C23,'Key inputs_EB_TRA'!$B$15:$B$38,"Pipeline - Natural gas")/SUMIFS('Key inputs_EB_TRA'!J$15:J$38,'Key inputs_EB_TRA'!$B$15:$B$38,"Pipeline - Natural gas")),"")</f>
        <v>2.656890894175554E-2</v>
      </c>
      <c r="Q23" s="173" t="str">
        <f>IFERROR(IF(AND(SUMIFS('Key inputs_EB_TRA'!K$15:K$38,'Key inputs_EB_TRA'!$C$15:$C$38,$C23,'Key inputs_EB_TRA'!$B$15:$B$38,"Pipeline - Natural gas")/SUMIFS('Key inputs_EB_TRA'!K$15:K$38,'Key inputs_EB_TRA'!$B$15:$B$38,"Pipeline - Natural gas")&gt;0,SUMIFS('Key inputs_EB_TRA'!K$15:K$38,'Key inputs_EB_TRA'!$C$15:$C$38,$C23,'Key inputs_EB_TRA'!$B$15:$B$38,"Pipeline - Natural gas")/SUMIFS('Key inputs_EB_TRA'!K$15:K$38,'Key inputs_EB_TRA'!$B$15:$B$38,"Pipeline - Natural gas")&lt;0.001),0.001,SUMIFS('Key inputs_EB_TRA'!K$15:K$38,'Key inputs_EB_TRA'!$C$15:$C$38,$C23,'Key inputs_EB_TRA'!$B$15:$B$38,"Pipeline - Natural gas")/SUMIFS('Key inputs_EB_TRA'!K$15:K$38,'Key inputs_EB_TRA'!$B$15:$B$38,"Pipeline - Natural gas")),"")</f>
        <v/>
      </c>
      <c r="R23" s="173" t="str">
        <f>IFERROR(IF(AND(SUMIFS('Key inputs_EB_TRA'!L$15:L$38,'Key inputs_EB_TRA'!$C$15:$C$38,$C23,'Key inputs_EB_TRA'!$B$15:$B$38,"Pipeline - Natural gas")/SUMIFS('Key inputs_EB_TRA'!L$15:L$38,'Key inputs_EB_TRA'!$B$15:$B$38,"Pipeline - Natural gas")&gt;0,SUMIFS('Key inputs_EB_TRA'!L$15:L$38,'Key inputs_EB_TRA'!$C$15:$C$38,$C23,'Key inputs_EB_TRA'!$B$15:$B$38,"Pipeline - Natural gas")/SUMIFS('Key inputs_EB_TRA'!L$15:L$38,'Key inputs_EB_TRA'!$B$15:$B$38,"Pipeline - Natural gas")&lt;0.001),0.001,SUMIFS('Key inputs_EB_TRA'!L$15:L$38,'Key inputs_EB_TRA'!$C$15:$C$38,$C23,'Key inputs_EB_TRA'!$B$15:$B$38,"Pipeline - Natural gas")/SUMIFS('Key inputs_EB_TRA'!L$15:L$38,'Key inputs_EB_TRA'!$B$15:$B$38,"Pipeline - Natural gas")),"")</f>
        <v/>
      </c>
      <c r="S23" s="173" t="str">
        <f>IFERROR(IF(AND(SUMIFS('Key inputs_EB_TRA'!M$15:M$38,'Key inputs_EB_TRA'!$C$15:$C$38,$C23,'Key inputs_EB_TRA'!$B$15:$B$38,"Pipeline - Natural gas")/SUMIFS('Key inputs_EB_TRA'!M$15:M$38,'Key inputs_EB_TRA'!$B$15:$B$38,"Pipeline - Natural gas")&gt;0,SUMIFS('Key inputs_EB_TRA'!M$15:M$38,'Key inputs_EB_TRA'!$C$15:$C$38,$C23,'Key inputs_EB_TRA'!$B$15:$B$38,"Pipeline - Natural gas")/SUMIFS('Key inputs_EB_TRA'!M$15:M$38,'Key inputs_EB_TRA'!$B$15:$B$38,"Pipeline - Natural gas")&lt;0.001),0.001,SUMIFS('Key inputs_EB_TRA'!M$15:M$38,'Key inputs_EB_TRA'!$C$15:$C$38,$C23,'Key inputs_EB_TRA'!$B$15:$B$38,"Pipeline - Natural gas")/SUMIFS('Key inputs_EB_TRA'!M$15:M$38,'Key inputs_EB_TRA'!$B$15:$B$38,"Pipeline - Natural gas")),"")</f>
        <v/>
      </c>
      <c r="T23" s="173">
        <f>IFERROR(IF(AND(SUMIFS('Key inputs_EB_TRA'!N$15:N$38,'Key inputs_EB_TRA'!$C$15:$C$38,$C23,'Key inputs_EB_TRA'!$B$15:$B$38,"Pipeline - Natural gas")/SUMIFS('Key inputs_EB_TRA'!N$15:N$38,'Key inputs_EB_TRA'!$B$15:$B$38,"Pipeline - Natural gas")&gt;0,SUMIFS('Key inputs_EB_TRA'!N$15:N$38,'Key inputs_EB_TRA'!$C$15:$C$38,$C23,'Key inputs_EB_TRA'!$B$15:$B$38,"Pipeline - Natural gas")/SUMIFS('Key inputs_EB_TRA'!N$15:N$38,'Key inputs_EB_TRA'!$B$15:$B$38,"Pipeline - Natural gas")&lt;0.001),0.001,SUMIFS('Key inputs_EB_TRA'!N$15:N$38,'Key inputs_EB_TRA'!$C$15:$C$38,$C23,'Key inputs_EB_TRA'!$B$15:$B$38,"Pipeline - Natural gas")/SUMIFS('Key inputs_EB_TRA'!N$15:N$38,'Key inputs_EB_TRA'!$B$15:$B$38,"Pipeline - Natural gas")),"")</f>
        <v>0.13492949232146387</v>
      </c>
      <c r="U23" s="173">
        <f>IFERROR(IF(AND(SUMIFS('Key inputs_EB_TRA'!O$15:O$38,'Key inputs_EB_TRA'!$C$15:$C$38,$C23,'Key inputs_EB_TRA'!$B$15:$B$38,"Pipeline - Natural gas")/SUMIFS('Key inputs_EB_TRA'!O$15:O$38,'Key inputs_EB_TRA'!$B$15:$B$38,"Pipeline - Natural gas")&gt;0,SUMIFS('Key inputs_EB_TRA'!O$15:O$38,'Key inputs_EB_TRA'!$C$15:$C$38,$C23,'Key inputs_EB_TRA'!$B$15:$B$38,"Pipeline - Natural gas")/SUMIFS('Key inputs_EB_TRA'!O$15:O$38,'Key inputs_EB_TRA'!$B$15:$B$38,"Pipeline - Natural gas")&lt;0.001),0.001,SUMIFS('Key inputs_EB_TRA'!O$15:O$38,'Key inputs_EB_TRA'!$C$15:$C$38,$C23,'Key inputs_EB_TRA'!$B$15:$B$38,"Pipeline - Natural gas")/SUMIFS('Key inputs_EB_TRA'!O$15:O$38,'Key inputs_EB_TRA'!$B$15:$B$38,"Pipeline - Natural gas")),"")</f>
        <v>0</v>
      </c>
      <c r="V23" s="173">
        <f>IFERROR(IF(AND(SUMIFS('Key inputs_EB_TRA'!P$15:P$38,'Key inputs_EB_TRA'!$C$15:$C$38,$C23,'Key inputs_EB_TRA'!$B$15:$B$38,"Pipeline - Natural gas")/SUMIFS('Key inputs_EB_TRA'!P$15:P$38,'Key inputs_EB_TRA'!$B$15:$B$38,"Pipeline - Natural gas")&gt;0,SUMIFS('Key inputs_EB_TRA'!P$15:P$38,'Key inputs_EB_TRA'!$C$15:$C$38,$C23,'Key inputs_EB_TRA'!$B$15:$B$38,"Pipeline - Natural gas")/SUMIFS('Key inputs_EB_TRA'!P$15:P$38,'Key inputs_EB_TRA'!$B$15:$B$38,"Pipeline - Natural gas")&lt;0.001),0.001,SUMIFS('Key inputs_EB_TRA'!P$15:P$38,'Key inputs_EB_TRA'!$C$15:$C$38,$C23,'Key inputs_EB_TRA'!$B$15:$B$38,"Pipeline - Natural gas")/SUMIFS('Key inputs_EB_TRA'!P$15:P$38,'Key inputs_EB_TRA'!$B$15:$B$38,"Pipeline - Natural gas")),"")</f>
        <v>0.70393048489487187</v>
      </c>
      <c r="W23" s="173">
        <f>IFERROR(IF(AND(SUMIFS('Key inputs_EB_TRA'!Q$15:Q$38,'Key inputs_EB_TRA'!$C$15:$C$38,$C23,'Key inputs_EB_TRA'!$B$15:$B$38,"Pipeline - Natural gas")/SUMIFS('Key inputs_EB_TRA'!Q$15:Q$38,'Key inputs_EB_TRA'!$B$15:$B$38,"Pipeline - Natural gas")&gt;0,SUMIFS('Key inputs_EB_TRA'!Q$15:Q$38,'Key inputs_EB_TRA'!$C$15:$C$38,$C23,'Key inputs_EB_TRA'!$B$15:$B$38,"Pipeline - Natural gas")/SUMIFS('Key inputs_EB_TRA'!Q$15:Q$38,'Key inputs_EB_TRA'!$B$15:$B$38,"Pipeline - Natural gas")&lt;0.001),0.001,SUMIFS('Key inputs_EB_TRA'!Q$15:Q$38,'Key inputs_EB_TRA'!$C$15:$C$38,$C23,'Key inputs_EB_TRA'!$B$15:$B$38,"Pipeline - Natural gas")/SUMIFS('Key inputs_EB_TRA'!Q$15:Q$38,'Key inputs_EB_TRA'!$B$15:$B$38,"Pipeline - Natural gas")),"")</f>
        <v>2.8303381053914105E-2</v>
      </c>
      <c r="X23" s="173">
        <f>IFERROR(IF(AND(SUMIFS('Key inputs_EB_TRA'!R$15:R$38,'Key inputs_EB_TRA'!$C$15:$C$38,$C23,'Key inputs_EB_TRA'!$B$15:$B$38,"Pipeline - Natural gas")/SUMIFS('Key inputs_EB_TRA'!R$15:R$38,'Key inputs_EB_TRA'!$B$15:$B$38,"Pipeline - Natural gas")&gt;0,SUMIFS('Key inputs_EB_TRA'!R$15:R$38,'Key inputs_EB_TRA'!$C$15:$C$38,$C23,'Key inputs_EB_TRA'!$B$15:$B$38,"Pipeline - Natural gas")/SUMIFS('Key inputs_EB_TRA'!R$15:R$38,'Key inputs_EB_TRA'!$B$15:$B$38,"Pipeline - Natural gas")&lt;0.001),0.001,SUMIFS('Key inputs_EB_TRA'!R$15:R$38,'Key inputs_EB_TRA'!$C$15:$C$38,$C23,'Key inputs_EB_TRA'!$B$15:$B$38,"Pipeline - Natural gas")/SUMIFS('Key inputs_EB_TRA'!R$15:R$38,'Key inputs_EB_TRA'!$B$15:$B$38,"Pipeline - Natural gas")),"")</f>
        <v>0</v>
      </c>
      <c r="Y23" s="173">
        <f>IFERROR(IF(AND(SUMIFS('Key inputs_EB_TRA'!S$15:S$38,'Key inputs_EB_TRA'!$C$15:$C$38,$C23,'Key inputs_EB_TRA'!$B$15:$B$38,"Pipeline - Natural gas")/SUMIFS('Key inputs_EB_TRA'!S$15:S$38,'Key inputs_EB_TRA'!$B$15:$B$38,"Pipeline - Natural gas")&gt;0,SUMIFS('Key inputs_EB_TRA'!S$15:S$38,'Key inputs_EB_TRA'!$C$15:$C$38,$C23,'Key inputs_EB_TRA'!$B$15:$B$38,"Pipeline - Natural gas")/SUMIFS('Key inputs_EB_TRA'!S$15:S$38,'Key inputs_EB_TRA'!$B$15:$B$38,"Pipeline - Natural gas")&lt;0.001),0.001,SUMIFS('Key inputs_EB_TRA'!S$15:S$38,'Key inputs_EB_TRA'!$C$15:$C$38,$C23,'Key inputs_EB_TRA'!$B$15:$B$38,"Pipeline - Natural gas")/SUMIFS('Key inputs_EB_TRA'!S$15:S$38,'Key inputs_EB_TRA'!$B$15:$B$38,"Pipeline - Natural gas")),"")</f>
        <v>4.4386505993450134E-2</v>
      </c>
      <c r="Z23" s="173">
        <f>IFERROR(IF(AND(SUMIFS('Key inputs_EB_TRA'!T$15:T$38,'Key inputs_EB_TRA'!$C$15:$C$38,$C23,'Key inputs_EB_TRA'!$B$15:$B$38,"Pipeline - Natural gas")/SUMIFS('Key inputs_EB_TRA'!T$15:T$38,'Key inputs_EB_TRA'!$B$15:$B$38,"Pipeline - Natural gas")&gt;0,SUMIFS('Key inputs_EB_TRA'!T$15:T$38,'Key inputs_EB_TRA'!$C$15:$C$38,$C23,'Key inputs_EB_TRA'!$B$15:$B$38,"Pipeline - Natural gas")/SUMIFS('Key inputs_EB_TRA'!T$15:T$38,'Key inputs_EB_TRA'!$B$15:$B$38,"Pipeline - Natural gas")&lt;0.001),0.001,SUMIFS('Key inputs_EB_TRA'!T$15:T$38,'Key inputs_EB_TRA'!$C$15:$C$38,$C23,'Key inputs_EB_TRA'!$B$15:$B$38,"Pipeline - Natural gas")/SUMIFS('Key inputs_EB_TRA'!T$15:T$38,'Key inputs_EB_TRA'!$B$15:$B$38,"Pipeline - Natural gas")),"")</f>
        <v>0.31526727861771053</v>
      </c>
      <c r="AA23" s="173">
        <f>IFERROR(IF(AND(SUMIFS('Key inputs_EB_TRA'!U$15:U$38,'Key inputs_EB_TRA'!$C$15:$C$38,$C23,'Key inputs_EB_TRA'!$B$15:$B$38,"Pipeline - Natural gas")/SUMIFS('Key inputs_EB_TRA'!U$15:U$38,'Key inputs_EB_TRA'!$B$15:$B$38,"Pipeline - Natural gas")&gt;0,SUMIFS('Key inputs_EB_TRA'!U$15:U$38,'Key inputs_EB_TRA'!$C$15:$C$38,$C23,'Key inputs_EB_TRA'!$B$15:$B$38,"Pipeline - Natural gas")/SUMIFS('Key inputs_EB_TRA'!U$15:U$38,'Key inputs_EB_TRA'!$B$15:$B$38,"Pipeline - Natural gas")&lt;0.001),0.001,SUMIFS('Key inputs_EB_TRA'!U$15:U$38,'Key inputs_EB_TRA'!$C$15:$C$38,$C23,'Key inputs_EB_TRA'!$B$15:$B$38,"Pipeline - Natural gas")/SUMIFS('Key inputs_EB_TRA'!U$15:U$38,'Key inputs_EB_TRA'!$B$15:$B$38,"Pipeline - Natural gas")),"")</f>
        <v>2.3796865902129059E-2</v>
      </c>
      <c r="AB23" s="173" t="str">
        <f>IFERROR(IF(AND(SUMIFS('Key inputs_EB_TRA'!V$15:V$38,'Key inputs_EB_TRA'!$C$15:$C$38,$C23,'Key inputs_EB_TRA'!$B$15:$B$38,"Pipeline - Natural gas")/SUMIFS('Key inputs_EB_TRA'!V$15:V$38,'Key inputs_EB_TRA'!$B$15:$B$38,"Pipeline - Natural gas")&gt;0,SUMIFS('Key inputs_EB_TRA'!V$15:V$38,'Key inputs_EB_TRA'!$C$15:$C$38,$C23,'Key inputs_EB_TRA'!$B$15:$B$38,"Pipeline - Natural gas")/SUMIFS('Key inputs_EB_TRA'!V$15:V$38,'Key inputs_EB_TRA'!$B$15:$B$38,"Pipeline - Natural gas")&lt;0.001),0.001,SUMIFS('Key inputs_EB_TRA'!V$15:V$38,'Key inputs_EB_TRA'!$C$15:$C$38,$C23,'Key inputs_EB_TRA'!$B$15:$B$38,"Pipeline - Natural gas")/SUMIFS('Key inputs_EB_TRA'!V$15:V$38,'Key inputs_EB_TRA'!$B$15:$B$38,"Pipeline - Natural gas")),"")</f>
        <v/>
      </c>
      <c r="AC23" s="173">
        <f>IFERROR(IF(AND(SUMIFS('Key inputs_EB_TRA'!W$15:W$38,'Key inputs_EB_TRA'!$C$15:$C$38,$C23,'Key inputs_EB_TRA'!$B$15:$B$38,"Pipeline - Natural gas")/SUMIFS('Key inputs_EB_TRA'!W$15:W$38,'Key inputs_EB_TRA'!$B$15:$B$38,"Pipeline - Natural gas")&gt;0,SUMIFS('Key inputs_EB_TRA'!W$15:W$38,'Key inputs_EB_TRA'!$C$15:$C$38,$C23,'Key inputs_EB_TRA'!$B$15:$B$38,"Pipeline - Natural gas")/SUMIFS('Key inputs_EB_TRA'!W$15:W$38,'Key inputs_EB_TRA'!$B$15:$B$38,"Pipeline - Natural gas")&lt;0.001),0.001,SUMIFS('Key inputs_EB_TRA'!W$15:W$38,'Key inputs_EB_TRA'!$C$15:$C$38,$C23,'Key inputs_EB_TRA'!$B$15:$B$38,"Pipeline - Natural gas")/SUMIFS('Key inputs_EB_TRA'!W$15:W$38,'Key inputs_EB_TRA'!$B$15:$B$38,"Pipeline - Natural gas")),"")</f>
        <v>0</v>
      </c>
      <c r="AD23" s="173" t="str">
        <f>IFERROR(IF(AND(SUMIFS('Key inputs_EB_TRA'!X$15:X$38,'Key inputs_EB_TRA'!$C$15:$C$38,$C23,'Key inputs_EB_TRA'!$B$15:$B$38,"Pipeline - Natural gas")/SUMIFS('Key inputs_EB_TRA'!X$15:X$38,'Key inputs_EB_TRA'!$B$15:$B$38,"Pipeline - Natural gas")&gt;0,SUMIFS('Key inputs_EB_TRA'!X$15:X$38,'Key inputs_EB_TRA'!$C$15:$C$38,$C23,'Key inputs_EB_TRA'!$B$15:$B$38,"Pipeline - Natural gas")/SUMIFS('Key inputs_EB_TRA'!X$15:X$38,'Key inputs_EB_TRA'!$B$15:$B$38,"Pipeline - Natural gas")&lt;0.001),0.001,SUMIFS('Key inputs_EB_TRA'!X$15:X$38,'Key inputs_EB_TRA'!$C$15:$C$38,$C23,'Key inputs_EB_TRA'!$B$15:$B$38,"Pipeline - Natural gas")/SUMIFS('Key inputs_EB_TRA'!X$15:X$38,'Key inputs_EB_TRA'!$B$15:$B$38,"Pipeline - Natural gas")),"")</f>
        <v/>
      </c>
      <c r="AE23" s="173">
        <f>IFERROR(IF(AND(SUMIFS('Key inputs_EB_TRA'!Y$15:Y$38,'Key inputs_EB_TRA'!$C$15:$C$38,$C23,'Key inputs_EB_TRA'!$B$15:$B$38,"Pipeline - Natural gas")/SUMIFS('Key inputs_EB_TRA'!Y$15:Y$38,'Key inputs_EB_TRA'!$B$15:$B$38,"Pipeline - Natural gas")&gt;0,SUMIFS('Key inputs_EB_TRA'!Y$15:Y$38,'Key inputs_EB_TRA'!$C$15:$C$38,$C23,'Key inputs_EB_TRA'!$B$15:$B$38,"Pipeline - Natural gas")/SUMIFS('Key inputs_EB_TRA'!Y$15:Y$38,'Key inputs_EB_TRA'!$B$15:$B$38,"Pipeline - Natural gas")&lt;0.001),0.001,SUMIFS('Key inputs_EB_TRA'!Y$15:Y$38,'Key inputs_EB_TRA'!$C$15:$C$38,$C23,'Key inputs_EB_TRA'!$B$15:$B$38,"Pipeline - Natural gas")/SUMIFS('Key inputs_EB_TRA'!Y$15:Y$38,'Key inputs_EB_TRA'!$B$15:$B$38,"Pipeline - Natural gas")),"")</f>
        <v>0</v>
      </c>
      <c r="AF23" s="173">
        <f>IFERROR(IF(AND(SUMIFS('Key inputs_EB_TRA'!Z$15:Z$38,'Key inputs_EB_TRA'!$C$15:$C$38,$C23,'Key inputs_EB_TRA'!$B$15:$B$38,"Pipeline - Natural gas")/SUMIFS('Key inputs_EB_TRA'!Z$15:Z$38,'Key inputs_EB_TRA'!$B$15:$B$38,"Pipeline - Natural gas")&gt;0,SUMIFS('Key inputs_EB_TRA'!Z$15:Z$38,'Key inputs_EB_TRA'!$C$15:$C$38,$C23,'Key inputs_EB_TRA'!$B$15:$B$38,"Pipeline - Natural gas")/SUMIFS('Key inputs_EB_TRA'!Z$15:Z$38,'Key inputs_EB_TRA'!$B$15:$B$38,"Pipeline - Natural gas")&lt;0.001),0.001,SUMIFS('Key inputs_EB_TRA'!Z$15:Z$38,'Key inputs_EB_TRA'!$C$15:$C$38,$C23,'Key inputs_EB_TRA'!$B$15:$B$38,"Pipeline - Natural gas")/SUMIFS('Key inputs_EB_TRA'!Z$15:Z$38,'Key inputs_EB_TRA'!$B$15:$B$38,"Pipeline - Natural gas")),"")</f>
        <v>8.8227837403870538E-2</v>
      </c>
      <c r="AG23" s="173">
        <f>IFERROR(IF(AND(SUMIFS('Key inputs_EB_TRA'!AA$15:AA$38,'Key inputs_EB_TRA'!$C$15:$C$38,$C23,'Key inputs_EB_TRA'!$B$15:$B$38,"Pipeline - Natural gas")/SUMIFS('Key inputs_EB_TRA'!AA$15:AA$38,'Key inputs_EB_TRA'!$B$15:$B$38,"Pipeline - Natural gas")&gt;0,SUMIFS('Key inputs_EB_TRA'!AA$15:AA$38,'Key inputs_EB_TRA'!$C$15:$C$38,$C23,'Key inputs_EB_TRA'!$B$15:$B$38,"Pipeline - Natural gas")/SUMIFS('Key inputs_EB_TRA'!AA$15:AA$38,'Key inputs_EB_TRA'!$B$15:$B$38,"Pipeline - Natural gas")&lt;0.001),0.001,SUMIFS('Key inputs_EB_TRA'!AA$15:AA$38,'Key inputs_EB_TRA'!$C$15:$C$38,$C23,'Key inputs_EB_TRA'!$B$15:$B$38,"Pipeline - Natural gas")/SUMIFS('Key inputs_EB_TRA'!AA$15:AA$38,'Key inputs_EB_TRA'!$B$15:$B$38,"Pipeline - Natural gas")),"")</f>
        <v>0</v>
      </c>
      <c r="AH23" s="173" t="str">
        <f>IFERROR(IF(AND(SUMIFS('Key inputs_EB_TRA'!AB$15:AB$38,'Key inputs_EB_TRA'!$C$15:$C$38,$C23,'Key inputs_EB_TRA'!$B$15:$B$38,"Pipeline - Natural gas")/SUMIFS('Key inputs_EB_TRA'!AB$15:AB$38,'Key inputs_EB_TRA'!$B$15:$B$38,"Pipeline - Natural gas")&gt;0,SUMIFS('Key inputs_EB_TRA'!AB$15:AB$38,'Key inputs_EB_TRA'!$C$15:$C$38,$C23,'Key inputs_EB_TRA'!$B$15:$B$38,"Pipeline - Natural gas")/SUMIFS('Key inputs_EB_TRA'!AB$15:AB$38,'Key inputs_EB_TRA'!$B$15:$B$38,"Pipeline - Natural gas")&lt;0.001),0.001,SUMIFS('Key inputs_EB_TRA'!AB$15:AB$38,'Key inputs_EB_TRA'!$C$15:$C$38,$C23,'Key inputs_EB_TRA'!$B$15:$B$38,"Pipeline - Natural gas")/SUMIFS('Key inputs_EB_TRA'!AB$15:AB$38,'Key inputs_EB_TRA'!$B$15:$B$38,"Pipeline - Natural gas")),"")</f>
        <v/>
      </c>
      <c r="AI23" s="173" t="str">
        <f>IFERROR(IF(AND(SUMIFS('Key inputs_EB_TRA'!AC$15:AC$38,'Key inputs_EB_TRA'!$C$15:$C$38,$C23,'Key inputs_EB_TRA'!$B$15:$B$38,"Pipeline - Natural gas")/SUMIFS('Key inputs_EB_TRA'!AC$15:AC$38,'Key inputs_EB_TRA'!$B$15:$B$38,"Pipeline - Natural gas")&gt;0,SUMIFS('Key inputs_EB_TRA'!AC$15:AC$38,'Key inputs_EB_TRA'!$C$15:$C$38,$C23,'Key inputs_EB_TRA'!$B$15:$B$38,"Pipeline - Natural gas")/SUMIFS('Key inputs_EB_TRA'!AC$15:AC$38,'Key inputs_EB_TRA'!$B$15:$B$38,"Pipeline - Natural gas")&lt;0.001),0.001,SUMIFS('Key inputs_EB_TRA'!AC$15:AC$38,'Key inputs_EB_TRA'!$C$15:$C$38,$C23,'Key inputs_EB_TRA'!$B$15:$B$38,"Pipeline - Natural gas")/SUMIFS('Key inputs_EB_TRA'!AC$15:AC$38,'Key inputs_EB_TRA'!$B$15:$B$38,"Pipeline - Natural gas")),"")</f>
        <v/>
      </c>
      <c r="AJ23" s="173">
        <f>IFERROR(IF(AND(SUMIFS('Key inputs_EB_TRA'!AD$15:AD$38,'Key inputs_EB_TRA'!$C$15:$C$38,$C23,'Key inputs_EB_TRA'!$B$15:$B$38,"Pipeline - Natural gas")/SUMIFS('Key inputs_EB_TRA'!AD$15:AD$38,'Key inputs_EB_TRA'!$B$15:$B$38,"Pipeline - Natural gas")&gt;0,SUMIFS('Key inputs_EB_TRA'!AD$15:AD$38,'Key inputs_EB_TRA'!$C$15:$C$38,$C23,'Key inputs_EB_TRA'!$B$15:$B$38,"Pipeline - Natural gas")/SUMIFS('Key inputs_EB_TRA'!AD$15:AD$38,'Key inputs_EB_TRA'!$B$15:$B$38,"Pipeline - Natural gas")&lt;0.001),0.001,SUMIFS('Key inputs_EB_TRA'!AD$15:AD$38,'Key inputs_EB_TRA'!$C$15:$C$38,$C23,'Key inputs_EB_TRA'!$B$15:$B$38,"Pipeline - Natural gas")/SUMIFS('Key inputs_EB_TRA'!AD$15:AD$38,'Key inputs_EB_TRA'!$B$15:$B$38,"Pipeline - Natural gas")),"")</f>
        <v>6.4383936254417753E-2</v>
      </c>
      <c r="AK23" s="173">
        <f>IFERROR(IF(AND(SUMIFS('Key inputs_EB_TRA'!AE$15:AE$38,'Key inputs_EB_TRA'!$C$15:$C$38,$C23,'Key inputs_EB_TRA'!$B$15:$B$38,"Pipeline - Natural gas")/SUMIFS('Key inputs_EB_TRA'!AE$15:AE$38,'Key inputs_EB_TRA'!$B$15:$B$38,"Pipeline - Natural gas")&gt;0,SUMIFS('Key inputs_EB_TRA'!AE$15:AE$38,'Key inputs_EB_TRA'!$C$15:$C$38,$C23,'Key inputs_EB_TRA'!$B$15:$B$38,"Pipeline - Natural gas")/SUMIFS('Key inputs_EB_TRA'!AE$15:AE$38,'Key inputs_EB_TRA'!$B$15:$B$38,"Pipeline - Natural gas")&lt;0.001),0.001,SUMIFS('Key inputs_EB_TRA'!AE$15:AE$38,'Key inputs_EB_TRA'!$C$15:$C$38,$C23,'Key inputs_EB_TRA'!$B$15:$B$38,"Pipeline - Natural gas")/SUMIFS('Key inputs_EB_TRA'!AE$15:AE$38,'Key inputs_EB_TRA'!$B$15:$B$38,"Pipeline - Natural gas")),"")</f>
        <v>0</v>
      </c>
      <c r="AL23" s="173">
        <f>IFERROR(IF(AND(SUMIFS('Key inputs_EB_TRA'!AF$15:AF$38,'Key inputs_EB_TRA'!$C$15:$C$38,$C23,'Key inputs_EB_TRA'!$B$15:$B$38,"Pipeline - Natural gas")/SUMIFS('Key inputs_EB_TRA'!AF$15:AF$38,'Key inputs_EB_TRA'!$B$15:$B$38,"Pipeline - Natural gas")&gt;0,SUMIFS('Key inputs_EB_TRA'!AF$15:AF$38,'Key inputs_EB_TRA'!$C$15:$C$38,$C23,'Key inputs_EB_TRA'!$B$15:$B$38,"Pipeline - Natural gas")/SUMIFS('Key inputs_EB_TRA'!AF$15:AF$38,'Key inputs_EB_TRA'!$B$15:$B$38,"Pipeline - Natural gas")&lt;0.001),0.001,SUMIFS('Key inputs_EB_TRA'!AF$15:AF$38,'Key inputs_EB_TRA'!$C$15:$C$38,$C23,'Key inputs_EB_TRA'!$B$15:$B$38,"Pipeline - Natural gas")/SUMIFS('Key inputs_EB_TRA'!AF$15:AF$38,'Key inputs_EB_TRA'!$B$15:$B$38,"Pipeline - Natural gas")),"")</f>
        <v>0</v>
      </c>
    </row>
    <row r="24" spans="1:38">
      <c r="C24" t="str">
        <f>Commodities!$C$92</f>
        <v>UPSGAS</v>
      </c>
      <c r="F24" s="4" t="s">
        <v>359</v>
      </c>
      <c r="G24" s="4" t="s">
        <v>702</v>
      </c>
      <c r="H24" t="s">
        <v>661</v>
      </c>
      <c r="I24">
        <v>2019</v>
      </c>
      <c r="J24" t="s">
        <v>650</v>
      </c>
      <c r="K24" s="173" t="str">
        <f>IFERROR(IF(AND(SUMIFS('Key inputs_EB_TRA'!E$15:E$38,'Key inputs_EB_TRA'!$C$15:$C$38,$C24,'Key inputs_EB_TRA'!$B$15:$B$38,"Pipeline - Natural gas")/SUMIFS('Key inputs_EB_TRA'!E$15:E$38,'Key inputs_EB_TRA'!$B$15:$B$38,"Pipeline - Natural gas")&gt;0,SUMIFS('Key inputs_EB_TRA'!E$15:E$38,'Key inputs_EB_TRA'!$C$15:$C$38,$C24,'Key inputs_EB_TRA'!$B$15:$B$38,"Pipeline - Natural gas")/SUMIFS('Key inputs_EB_TRA'!E$15:E$38,'Key inputs_EB_TRA'!$B$15:$B$38,"Pipeline - Natural gas")&lt;0.001),0.001,SUMIFS('Key inputs_EB_TRA'!E$15:E$38,'Key inputs_EB_TRA'!$C$15:$C$38,$C24,'Key inputs_EB_TRA'!$B$15:$B$38,"Pipeline - Natural gas")/SUMIFS('Key inputs_EB_TRA'!E$15:E$38,'Key inputs_EB_TRA'!$B$15:$B$38,"Pipeline - Natural gas")),"")</f>
        <v/>
      </c>
      <c r="L24" s="173">
        <f>IFERROR(IF(AND(SUMIFS('Key inputs_EB_TRA'!F$15:F$38,'Key inputs_EB_TRA'!$C$15:$C$38,$C24,'Key inputs_EB_TRA'!$B$15:$B$38,"Pipeline - Natural gas")/SUMIFS('Key inputs_EB_TRA'!F$15:F$38,'Key inputs_EB_TRA'!$B$15:$B$38,"Pipeline - Natural gas")&gt;0,SUMIFS('Key inputs_EB_TRA'!F$15:F$38,'Key inputs_EB_TRA'!$C$15:$C$38,$C24,'Key inputs_EB_TRA'!$B$15:$B$38,"Pipeline - Natural gas")/SUMIFS('Key inputs_EB_TRA'!F$15:F$38,'Key inputs_EB_TRA'!$B$15:$B$38,"Pipeline - Natural gas")&lt;0.001),0.001,SUMIFS('Key inputs_EB_TRA'!F$15:F$38,'Key inputs_EB_TRA'!$C$15:$C$38,$C24,'Key inputs_EB_TRA'!$B$15:$B$38,"Pipeline - Natural gas")/SUMIFS('Key inputs_EB_TRA'!F$15:F$38,'Key inputs_EB_TRA'!$B$15:$B$38,"Pipeline - Natural gas")),"")</f>
        <v>0.97666666666666668</v>
      </c>
      <c r="M24" s="173">
        <f>IFERROR(IF(AND(SUMIFS('Key inputs_EB_TRA'!G$15:G$38,'Key inputs_EB_TRA'!$C$15:$C$38,$C24,'Key inputs_EB_TRA'!$B$15:$B$38,"Pipeline - Natural gas")/SUMIFS('Key inputs_EB_TRA'!G$15:G$38,'Key inputs_EB_TRA'!$B$15:$B$38,"Pipeline - Natural gas")&gt;0,SUMIFS('Key inputs_EB_TRA'!G$15:G$38,'Key inputs_EB_TRA'!$C$15:$C$38,$C24,'Key inputs_EB_TRA'!$B$15:$B$38,"Pipeline - Natural gas")/SUMIFS('Key inputs_EB_TRA'!G$15:G$38,'Key inputs_EB_TRA'!$B$15:$B$38,"Pipeline - Natural gas")&lt;0.001),0.001,SUMIFS('Key inputs_EB_TRA'!G$15:G$38,'Key inputs_EB_TRA'!$C$15:$C$38,$C24,'Key inputs_EB_TRA'!$B$15:$B$38,"Pipeline - Natural gas")/SUMIFS('Key inputs_EB_TRA'!G$15:G$38,'Key inputs_EB_TRA'!$B$15:$B$38,"Pipeline - Natural gas")),"")</f>
        <v>0</v>
      </c>
      <c r="N24" s="173">
        <f>IFERROR(IF(AND(SUMIFS('Key inputs_EB_TRA'!H$15:H$38,'Key inputs_EB_TRA'!$C$15:$C$38,$C24,'Key inputs_EB_TRA'!$B$15:$B$38,"Pipeline - Natural gas")/SUMIFS('Key inputs_EB_TRA'!H$15:H$38,'Key inputs_EB_TRA'!$B$15:$B$38,"Pipeline - Natural gas")&gt;0,SUMIFS('Key inputs_EB_TRA'!H$15:H$38,'Key inputs_EB_TRA'!$C$15:$C$38,$C24,'Key inputs_EB_TRA'!$B$15:$B$38,"Pipeline - Natural gas")/SUMIFS('Key inputs_EB_TRA'!H$15:H$38,'Key inputs_EB_TRA'!$B$15:$B$38,"Pipeline - Natural gas")&lt;0.001),0.001,SUMIFS('Key inputs_EB_TRA'!H$15:H$38,'Key inputs_EB_TRA'!$C$15:$C$38,$C24,'Key inputs_EB_TRA'!$B$15:$B$38,"Pipeline - Natural gas")/SUMIFS('Key inputs_EB_TRA'!H$15:H$38,'Key inputs_EB_TRA'!$B$15:$B$38,"Pipeline - Natural gas")),"")</f>
        <v>0</v>
      </c>
      <c r="O24" s="173">
        <f>IFERROR(IF(AND(SUMIFS('Key inputs_EB_TRA'!I$15:I$38,'Key inputs_EB_TRA'!$C$15:$C$38,$C24,'Key inputs_EB_TRA'!$B$15:$B$38,"Pipeline - Natural gas")/SUMIFS('Key inputs_EB_TRA'!I$15:I$38,'Key inputs_EB_TRA'!$B$15:$B$38,"Pipeline - Natural gas")&gt;0,SUMIFS('Key inputs_EB_TRA'!I$15:I$38,'Key inputs_EB_TRA'!$C$15:$C$38,$C24,'Key inputs_EB_TRA'!$B$15:$B$38,"Pipeline - Natural gas")/SUMIFS('Key inputs_EB_TRA'!I$15:I$38,'Key inputs_EB_TRA'!$B$15:$B$38,"Pipeline - Natural gas")&lt;0.001),0.001,SUMIFS('Key inputs_EB_TRA'!I$15:I$38,'Key inputs_EB_TRA'!$C$15:$C$38,$C24,'Key inputs_EB_TRA'!$B$15:$B$38,"Pipeline - Natural gas")/SUMIFS('Key inputs_EB_TRA'!I$15:I$38,'Key inputs_EB_TRA'!$B$15:$B$38,"Pipeline - Natural gas")),"")</f>
        <v>0.95221863777466675</v>
      </c>
      <c r="P24" s="173">
        <f>IFERROR(IF(AND(SUMIFS('Key inputs_EB_TRA'!J$15:J$38,'Key inputs_EB_TRA'!$C$15:$C$38,$C24,'Key inputs_EB_TRA'!$B$15:$B$38,"Pipeline - Natural gas")/SUMIFS('Key inputs_EB_TRA'!J$15:J$38,'Key inputs_EB_TRA'!$B$15:$B$38,"Pipeline - Natural gas")&gt;0,SUMIFS('Key inputs_EB_TRA'!J$15:J$38,'Key inputs_EB_TRA'!$C$15:$C$38,$C24,'Key inputs_EB_TRA'!$B$15:$B$38,"Pipeline - Natural gas")/SUMIFS('Key inputs_EB_TRA'!J$15:J$38,'Key inputs_EB_TRA'!$B$15:$B$38,"Pipeline - Natural gas")&lt;0.001),0.001,SUMIFS('Key inputs_EB_TRA'!J$15:J$38,'Key inputs_EB_TRA'!$C$15:$C$38,$C24,'Key inputs_EB_TRA'!$B$15:$B$38,"Pipeline - Natural gas")/SUMIFS('Key inputs_EB_TRA'!J$15:J$38,'Key inputs_EB_TRA'!$B$15:$B$38,"Pipeline - Natural gas")),"")</f>
        <v>0.97013945857260053</v>
      </c>
      <c r="Q24" s="173" t="str">
        <f>IFERROR(IF(AND(SUMIFS('Key inputs_EB_TRA'!K$15:K$38,'Key inputs_EB_TRA'!$C$15:$C$38,$C24,'Key inputs_EB_TRA'!$B$15:$B$38,"Pipeline - Natural gas")/SUMIFS('Key inputs_EB_TRA'!K$15:K$38,'Key inputs_EB_TRA'!$B$15:$B$38,"Pipeline - Natural gas")&gt;0,SUMIFS('Key inputs_EB_TRA'!K$15:K$38,'Key inputs_EB_TRA'!$C$15:$C$38,$C24,'Key inputs_EB_TRA'!$B$15:$B$38,"Pipeline - Natural gas")/SUMIFS('Key inputs_EB_TRA'!K$15:K$38,'Key inputs_EB_TRA'!$B$15:$B$38,"Pipeline - Natural gas")&lt;0.001),0.001,SUMIFS('Key inputs_EB_TRA'!K$15:K$38,'Key inputs_EB_TRA'!$C$15:$C$38,$C24,'Key inputs_EB_TRA'!$B$15:$B$38,"Pipeline - Natural gas")/SUMIFS('Key inputs_EB_TRA'!K$15:K$38,'Key inputs_EB_TRA'!$B$15:$B$38,"Pipeline - Natural gas")),"")</f>
        <v/>
      </c>
      <c r="R24" s="173" t="str">
        <f>IFERROR(IF(AND(SUMIFS('Key inputs_EB_TRA'!L$15:L$38,'Key inputs_EB_TRA'!$C$15:$C$38,$C24,'Key inputs_EB_TRA'!$B$15:$B$38,"Pipeline - Natural gas")/SUMIFS('Key inputs_EB_TRA'!L$15:L$38,'Key inputs_EB_TRA'!$B$15:$B$38,"Pipeline - Natural gas")&gt;0,SUMIFS('Key inputs_EB_TRA'!L$15:L$38,'Key inputs_EB_TRA'!$C$15:$C$38,$C24,'Key inputs_EB_TRA'!$B$15:$B$38,"Pipeline - Natural gas")/SUMIFS('Key inputs_EB_TRA'!L$15:L$38,'Key inputs_EB_TRA'!$B$15:$B$38,"Pipeline - Natural gas")&lt;0.001),0.001,SUMIFS('Key inputs_EB_TRA'!L$15:L$38,'Key inputs_EB_TRA'!$C$15:$C$38,$C24,'Key inputs_EB_TRA'!$B$15:$B$38,"Pipeline - Natural gas")/SUMIFS('Key inputs_EB_TRA'!L$15:L$38,'Key inputs_EB_TRA'!$B$15:$B$38,"Pipeline - Natural gas")),"")</f>
        <v/>
      </c>
      <c r="S24" s="173" t="str">
        <f>IFERROR(IF(AND(SUMIFS('Key inputs_EB_TRA'!M$15:M$38,'Key inputs_EB_TRA'!$C$15:$C$38,$C24,'Key inputs_EB_TRA'!$B$15:$B$38,"Pipeline - Natural gas")/SUMIFS('Key inputs_EB_TRA'!M$15:M$38,'Key inputs_EB_TRA'!$B$15:$B$38,"Pipeline - Natural gas")&gt;0,SUMIFS('Key inputs_EB_TRA'!M$15:M$38,'Key inputs_EB_TRA'!$C$15:$C$38,$C24,'Key inputs_EB_TRA'!$B$15:$B$38,"Pipeline - Natural gas")/SUMIFS('Key inputs_EB_TRA'!M$15:M$38,'Key inputs_EB_TRA'!$B$15:$B$38,"Pipeline - Natural gas")&lt;0.001),0.001,SUMIFS('Key inputs_EB_TRA'!M$15:M$38,'Key inputs_EB_TRA'!$C$15:$C$38,$C24,'Key inputs_EB_TRA'!$B$15:$B$38,"Pipeline - Natural gas")/SUMIFS('Key inputs_EB_TRA'!M$15:M$38,'Key inputs_EB_TRA'!$B$15:$B$38,"Pipeline - Natural gas")),"")</f>
        <v/>
      </c>
      <c r="T24" s="173">
        <f>IFERROR(IF(AND(SUMIFS('Key inputs_EB_TRA'!N$15:N$38,'Key inputs_EB_TRA'!$C$15:$C$38,$C24,'Key inputs_EB_TRA'!$B$15:$B$38,"Pipeline - Natural gas")/SUMIFS('Key inputs_EB_TRA'!N$15:N$38,'Key inputs_EB_TRA'!$B$15:$B$38,"Pipeline - Natural gas")&gt;0,SUMIFS('Key inputs_EB_TRA'!N$15:N$38,'Key inputs_EB_TRA'!$C$15:$C$38,$C24,'Key inputs_EB_TRA'!$B$15:$B$38,"Pipeline - Natural gas")/SUMIFS('Key inputs_EB_TRA'!N$15:N$38,'Key inputs_EB_TRA'!$B$15:$B$38,"Pipeline - Natural gas")&lt;0.001),0.001,SUMIFS('Key inputs_EB_TRA'!N$15:N$38,'Key inputs_EB_TRA'!$C$15:$C$38,$C24,'Key inputs_EB_TRA'!$B$15:$B$38,"Pipeline - Natural gas")/SUMIFS('Key inputs_EB_TRA'!N$15:N$38,'Key inputs_EB_TRA'!$B$15:$B$38,"Pipeline - Natural gas")),"")</f>
        <v>0.86151315407061235</v>
      </c>
      <c r="U24" s="173">
        <f>IFERROR(IF(AND(SUMIFS('Key inputs_EB_TRA'!O$15:O$38,'Key inputs_EB_TRA'!$C$15:$C$38,$C24,'Key inputs_EB_TRA'!$B$15:$B$38,"Pipeline - Natural gas")/SUMIFS('Key inputs_EB_TRA'!O$15:O$38,'Key inputs_EB_TRA'!$B$15:$B$38,"Pipeline - Natural gas")&gt;0,SUMIFS('Key inputs_EB_TRA'!O$15:O$38,'Key inputs_EB_TRA'!$C$15:$C$38,$C24,'Key inputs_EB_TRA'!$B$15:$B$38,"Pipeline - Natural gas")/SUMIFS('Key inputs_EB_TRA'!O$15:O$38,'Key inputs_EB_TRA'!$B$15:$B$38,"Pipeline - Natural gas")&lt;0.001),0.001,SUMIFS('Key inputs_EB_TRA'!O$15:O$38,'Key inputs_EB_TRA'!$C$15:$C$38,$C24,'Key inputs_EB_TRA'!$B$15:$B$38,"Pipeline - Natural gas")/SUMIFS('Key inputs_EB_TRA'!O$15:O$38,'Key inputs_EB_TRA'!$B$15:$B$38,"Pipeline - Natural gas")),"")</f>
        <v>0</v>
      </c>
      <c r="V24" s="173">
        <f>IFERROR(IF(AND(SUMIFS('Key inputs_EB_TRA'!P$15:P$38,'Key inputs_EB_TRA'!$C$15:$C$38,$C24,'Key inputs_EB_TRA'!$B$15:$B$38,"Pipeline - Natural gas")/SUMIFS('Key inputs_EB_TRA'!P$15:P$38,'Key inputs_EB_TRA'!$B$15:$B$38,"Pipeline - Natural gas")&gt;0,SUMIFS('Key inputs_EB_TRA'!P$15:P$38,'Key inputs_EB_TRA'!$C$15:$C$38,$C24,'Key inputs_EB_TRA'!$B$15:$B$38,"Pipeline - Natural gas")/SUMIFS('Key inputs_EB_TRA'!P$15:P$38,'Key inputs_EB_TRA'!$B$15:$B$38,"Pipeline - Natural gas")&lt;0.001),0.001,SUMIFS('Key inputs_EB_TRA'!P$15:P$38,'Key inputs_EB_TRA'!$C$15:$C$38,$C24,'Key inputs_EB_TRA'!$B$15:$B$38,"Pipeline - Natural gas")/SUMIFS('Key inputs_EB_TRA'!P$15:P$38,'Key inputs_EB_TRA'!$B$15:$B$38,"Pipeline - Natural gas")),"")</f>
        <v>0</v>
      </c>
      <c r="W24" s="173">
        <f>IFERROR(IF(AND(SUMIFS('Key inputs_EB_TRA'!Q$15:Q$38,'Key inputs_EB_TRA'!$C$15:$C$38,$C24,'Key inputs_EB_TRA'!$B$15:$B$38,"Pipeline - Natural gas")/SUMIFS('Key inputs_EB_TRA'!Q$15:Q$38,'Key inputs_EB_TRA'!$B$15:$B$38,"Pipeline - Natural gas")&gt;0,SUMIFS('Key inputs_EB_TRA'!Q$15:Q$38,'Key inputs_EB_TRA'!$C$15:$C$38,$C24,'Key inputs_EB_TRA'!$B$15:$B$38,"Pipeline - Natural gas")/SUMIFS('Key inputs_EB_TRA'!Q$15:Q$38,'Key inputs_EB_TRA'!$B$15:$B$38,"Pipeline - Natural gas")&lt;0.001),0.001,SUMIFS('Key inputs_EB_TRA'!Q$15:Q$38,'Key inputs_EB_TRA'!$C$15:$C$38,$C24,'Key inputs_EB_TRA'!$B$15:$B$38,"Pipeline - Natural gas")/SUMIFS('Key inputs_EB_TRA'!Q$15:Q$38,'Key inputs_EB_TRA'!$B$15:$B$38,"Pipeline - Natural gas")),"")</f>
        <v>0.97169661894608594</v>
      </c>
      <c r="X24" s="173">
        <f>IFERROR(IF(AND(SUMIFS('Key inputs_EB_TRA'!R$15:R$38,'Key inputs_EB_TRA'!$C$15:$C$38,$C24,'Key inputs_EB_TRA'!$B$15:$B$38,"Pipeline - Natural gas")/SUMIFS('Key inputs_EB_TRA'!R$15:R$38,'Key inputs_EB_TRA'!$B$15:$B$38,"Pipeline - Natural gas")&gt;0,SUMIFS('Key inputs_EB_TRA'!R$15:R$38,'Key inputs_EB_TRA'!$C$15:$C$38,$C24,'Key inputs_EB_TRA'!$B$15:$B$38,"Pipeline - Natural gas")/SUMIFS('Key inputs_EB_TRA'!R$15:R$38,'Key inputs_EB_TRA'!$B$15:$B$38,"Pipeline - Natural gas")&lt;0.001),0.001,SUMIFS('Key inputs_EB_TRA'!R$15:R$38,'Key inputs_EB_TRA'!$C$15:$C$38,$C24,'Key inputs_EB_TRA'!$B$15:$B$38,"Pipeline - Natural gas")/SUMIFS('Key inputs_EB_TRA'!R$15:R$38,'Key inputs_EB_TRA'!$B$15:$B$38,"Pipeline - Natural gas")),"")</f>
        <v>1</v>
      </c>
      <c r="Y24" s="173">
        <f>IFERROR(IF(AND(SUMIFS('Key inputs_EB_TRA'!S$15:S$38,'Key inputs_EB_TRA'!$C$15:$C$38,$C24,'Key inputs_EB_TRA'!$B$15:$B$38,"Pipeline - Natural gas")/SUMIFS('Key inputs_EB_TRA'!S$15:S$38,'Key inputs_EB_TRA'!$B$15:$B$38,"Pipeline - Natural gas")&gt;0,SUMIFS('Key inputs_EB_TRA'!S$15:S$38,'Key inputs_EB_TRA'!$C$15:$C$38,$C24,'Key inputs_EB_TRA'!$B$15:$B$38,"Pipeline - Natural gas")/SUMIFS('Key inputs_EB_TRA'!S$15:S$38,'Key inputs_EB_TRA'!$B$15:$B$38,"Pipeline - Natural gas")&lt;0.001),0.001,SUMIFS('Key inputs_EB_TRA'!S$15:S$38,'Key inputs_EB_TRA'!$C$15:$C$38,$C24,'Key inputs_EB_TRA'!$B$15:$B$38,"Pipeline - Natural gas")/SUMIFS('Key inputs_EB_TRA'!S$15:S$38,'Key inputs_EB_TRA'!$B$15:$B$38,"Pipeline - Natural gas")),"")</f>
        <v>0.95548631204095269</v>
      </c>
      <c r="Z24" s="173">
        <f>IFERROR(IF(AND(SUMIFS('Key inputs_EB_TRA'!T$15:T$38,'Key inputs_EB_TRA'!$C$15:$C$38,$C24,'Key inputs_EB_TRA'!$B$15:$B$38,"Pipeline - Natural gas")/SUMIFS('Key inputs_EB_TRA'!T$15:T$38,'Key inputs_EB_TRA'!$B$15:$B$38,"Pipeline - Natural gas")&gt;0,SUMIFS('Key inputs_EB_TRA'!T$15:T$38,'Key inputs_EB_TRA'!$C$15:$C$38,$C24,'Key inputs_EB_TRA'!$B$15:$B$38,"Pipeline - Natural gas")/SUMIFS('Key inputs_EB_TRA'!T$15:T$38,'Key inputs_EB_TRA'!$B$15:$B$38,"Pipeline - Natural gas")&lt;0.001),0.001,SUMIFS('Key inputs_EB_TRA'!T$15:T$38,'Key inputs_EB_TRA'!$C$15:$C$38,$C24,'Key inputs_EB_TRA'!$B$15:$B$38,"Pipeline - Natural gas")/SUMIFS('Key inputs_EB_TRA'!T$15:T$38,'Key inputs_EB_TRA'!$B$15:$B$38,"Pipeline - Natural gas")),"")</f>
        <v>0.68473272138228947</v>
      </c>
      <c r="AA24" s="173">
        <f>IFERROR(IF(AND(SUMIFS('Key inputs_EB_TRA'!U$15:U$38,'Key inputs_EB_TRA'!$C$15:$C$38,$C24,'Key inputs_EB_TRA'!$B$15:$B$38,"Pipeline - Natural gas")/SUMIFS('Key inputs_EB_TRA'!U$15:U$38,'Key inputs_EB_TRA'!$B$15:$B$38,"Pipeline - Natural gas")&gt;0,SUMIFS('Key inputs_EB_TRA'!U$15:U$38,'Key inputs_EB_TRA'!$C$15:$C$38,$C24,'Key inputs_EB_TRA'!$B$15:$B$38,"Pipeline - Natural gas")/SUMIFS('Key inputs_EB_TRA'!U$15:U$38,'Key inputs_EB_TRA'!$B$15:$B$38,"Pipeline - Natural gas")&lt;0.001),0.001,SUMIFS('Key inputs_EB_TRA'!U$15:U$38,'Key inputs_EB_TRA'!$C$15:$C$38,$C24,'Key inputs_EB_TRA'!$B$15:$B$38,"Pipeline - Natural gas")/SUMIFS('Key inputs_EB_TRA'!U$15:U$38,'Key inputs_EB_TRA'!$B$15:$B$38,"Pipeline - Natural gas")),"")</f>
        <v>0.97620313409787085</v>
      </c>
      <c r="AB24" s="173" t="str">
        <f>IFERROR(IF(AND(SUMIFS('Key inputs_EB_TRA'!V$15:V$38,'Key inputs_EB_TRA'!$C$15:$C$38,$C24,'Key inputs_EB_TRA'!$B$15:$B$38,"Pipeline - Natural gas")/SUMIFS('Key inputs_EB_TRA'!V$15:V$38,'Key inputs_EB_TRA'!$B$15:$B$38,"Pipeline - Natural gas")&gt;0,SUMIFS('Key inputs_EB_TRA'!V$15:V$38,'Key inputs_EB_TRA'!$C$15:$C$38,$C24,'Key inputs_EB_TRA'!$B$15:$B$38,"Pipeline - Natural gas")/SUMIFS('Key inputs_EB_TRA'!V$15:V$38,'Key inputs_EB_TRA'!$B$15:$B$38,"Pipeline - Natural gas")&lt;0.001),0.001,SUMIFS('Key inputs_EB_TRA'!V$15:V$38,'Key inputs_EB_TRA'!$C$15:$C$38,$C24,'Key inputs_EB_TRA'!$B$15:$B$38,"Pipeline - Natural gas")/SUMIFS('Key inputs_EB_TRA'!V$15:V$38,'Key inputs_EB_TRA'!$B$15:$B$38,"Pipeline - Natural gas")),"")</f>
        <v/>
      </c>
      <c r="AC24" s="173">
        <f>IFERROR(IF(AND(SUMIFS('Key inputs_EB_TRA'!W$15:W$38,'Key inputs_EB_TRA'!$C$15:$C$38,$C24,'Key inputs_EB_TRA'!$B$15:$B$38,"Pipeline - Natural gas")/SUMIFS('Key inputs_EB_TRA'!W$15:W$38,'Key inputs_EB_TRA'!$B$15:$B$38,"Pipeline - Natural gas")&gt;0,SUMIFS('Key inputs_EB_TRA'!W$15:W$38,'Key inputs_EB_TRA'!$C$15:$C$38,$C24,'Key inputs_EB_TRA'!$B$15:$B$38,"Pipeline - Natural gas")/SUMIFS('Key inputs_EB_TRA'!W$15:W$38,'Key inputs_EB_TRA'!$B$15:$B$38,"Pipeline - Natural gas")&lt;0.001),0.001,SUMIFS('Key inputs_EB_TRA'!W$15:W$38,'Key inputs_EB_TRA'!$C$15:$C$38,$C24,'Key inputs_EB_TRA'!$B$15:$B$38,"Pipeline - Natural gas")/SUMIFS('Key inputs_EB_TRA'!W$15:W$38,'Key inputs_EB_TRA'!$B$15:$B$38,"Pipeline - Natural gas")),"")</f>
        <v>1</v>
      </c>
      <c r="AD24" s="173" t="str">
        <f>IFERROR(IF(AND(SUMIFS('Key inputs_EB_TRA'!X$15:X$38,'Key inputs_EB_TRA'!$C$15:$C$38,$C24,'Key inputs_EB_TRA'!$B$15:$B$38,"Pipeline - Natural gas")/SUMIFS('Key inputs_EB_TRA'!X$15:X$38,'Key inputs_EB_TRA'!$B$15:$B$38,"Pipeline - Natural gas")&gt;0,SUMIFS('Key inputs_EB_TRA'!X$15:X$38,'Key inputs_EB_TRA'!$C$15:$C$38,$C24,'Key inputs_EB_TRA'!$B$15:$B$38,"Pipeline - Natural gas")/SUMIFS('Key inputs_EB_TRA'!X$15:X$38,'Key inputs_EB_TRA'!$B$15:$B$38,"Pipeline - Natural gas")&lt;0.001),0.001,SUMIFS('Key inputs_EB_TRA'!X$15:X$38,'Key inputs_EB_TRA'!$C$15:$C$38,$C24,'Key inputs_EB_TRA'!$B$15:$B$38,"Pipeline - Natural gas")/SUMIFS('Key inputs_EB_TRA'!X$15:X$38,'Key inputs_EB_TRA'!$B$15:$B$38,"Pipeline - Natural gas")),"")</f>
        <v/>
      </c>
      <c r="AE24" s="173">
        <f>IFERROR(IF(AND(SUMIFS('Key inputs_EB_TRA'!Y$15:Y$38,'Key inputs_EB_TRA'!$C$15:$C$38,$C24,'Key inputs_EB_TRA'!$B$15:$B$38,"Pipeline - Natural gas")/SUMIFS('Key inputs_EB_TRA'!Y$15:Y$38,'Key inputs_EB_TRA'!$B$15:$B$38,"Pipeline - Natural gas")&gt;0,SUMIFS('Key inputs_EB_TRA'!Y$15:Y$38,'Key inputs_EB_TRA'!$C$15:$C$38,$C24,'Key inputs_EB_TRA'!$B$15:$B$38,"Pipeline - Natural gas")/SUMIFS('Key inputs_EB_TRA'!Y$15:Y$38,'Key inputs_EB_TRA'!$B$15:$B$38,"Pipeline - Natural gas")&lt;0.001),0.001,SUMIFS('Key inputs_EB_TRA'!Y$15:Y$38,'Key inputs_EB_TRA'!$C$15:$C$38,$C24,'Key inputs_EB_TRA'!$B$15:$B$38,"Pipeline - Natural gas")/SUMIFS('Key inputs_EB_TRA'!Y$15:Y$38,'Key inputs_EB_TRA'!$B$15:$B$38,"Pipeline - Natural gas")),"")</f>
        <v>1</v>
      </c>
      <c r="AF24" s="173">
        <f>IFERROR(IF(AND(SUMIFS('Key inputs_EB_TRA'!Z$15:Z$38,'Key inputs_EB_TRA'!$C$15:$C$38,$C24,'Key inputs_EB_TRA'!$B$15:$B$38,"Pipeline - Natural gas")/SUMIFS('Key inputs_EB_TRA'!Z$15:Z$38,'Key inputs_EB_TRA'!$B$15:$B$38,"Pipeline - Natural gas")&gt;0,SUMIFS('Key inputs_EB_TRA'!Z$15:Z$38,'Key inputs_EB_TRA'!$C$15:$C$38,$C24,'Key inputs_EB_TRA'!$B$15:$B$38,"Pipeline - Natural gas")/SUMIFS('Key inputs_EB_TRA'!Z$15:Z$38,'Key inputs_EB_TRA'!$B$15:$B$38,"Pipeline - Natural gas")&lt;0.001),0.001,SUMIFS('Key inputs_EB_TRA'!Z$15:Z$38,'Key inputs_EB_TRA'!$C$15:$C$38,$C24,'Key inputs_EB_TRA'!$B$15:$B$38,"Pipeline - Natural gas")/SUMIFS('Key inputs_EB_TRA'!Z$15:Z$38,'Key inputs_EB_TRA'!$B$15:$B$38,"Pipeline - Natural gas")),"")</f>
        <v>0.91177216259612948</v>
      </c>
      <c r="AG24" s="173">
        <f>IFERROR(IF(AND(SUMIFS('Key inputs_EB_TRA'!AA$15:AA$38,'Key inputs_EB_TRA'!$C$15:$C$38,$C24,'Key inputs_EB_TRA'!$B$15:$B$38,"Pipeline - Natural gas")/SUMIFS('Key inputs_EB_TRA'!AA$15:AA$38,'Key inputs_EB_TRA'!$B$15:$B$38,"Pipeline - Natural gas")&gt;0,SUMIFS('Key inputs_EB_TRA'!AA$15:AA$38,'Key inputs_EB_TRA'!$C$15:$C$38,$C24,'Key inputs_EB_TRA'!$B$15:$B$38,"Pipeline - Natural gas")/SUMIFS('Key inputs_EB_TRA'!AA$15:AA$38,'Key inputs_EB_TRA'!$B$15:$B$38,"Pipeline - Natural gas")&lt;0.001),0.001,SUMIFS('Key inputs_EB_TRA'!AA$15:AA$38,'Key inputs_EB_TRA'!$C$15:$C$38,$C24,'Key inputs_EB_TRA'!$B$15:$B$38,"Pipeline - Natural gas")/SUMIFS('Key inputs_EB_TRA'!AA$15:AA$38,'Key inputs_EB_TRA'!$B$15:$B$38,"Pipeline - Natural gas")),"")</f>
        <v>0.93213828425096024</v>
      </c>
      <c r="AH24" s="173" t="str">
        <f>IFERROR(IF(AND(SUMIFS('Key inputs_EB_TRA'!AB$15:AB$38,'Key inputs_EB_TRA'!$C$15:$C$38,$C24,'Key inputs_EB_TRA'!$B$15:$B$38,"Pipeline - Natural gas")/SUMIFS('Key inputs_EB_TRA'!AB$15:AB$38,'Key inputs_EB_TRA'!$B$15:$B$38,"Pipeline - Natural gas")&gt;0,SUMIFS('Key inputs_EB_TRA'!AB$15:AB$38,'Key inputs_EB_TRA'!$C$15:$C$38,$C24,'Key inputs_EB_TRA'!$B$15:$B$38,"Pipeline - Natural gas")/SUMIFS('Key inputs_EB_TRA'!AB$15:AB$38,'Key inputs_EB_TRA'!$B$15:$B$38,"Pipeline - Natural gas")&lt;0.001),0.001,SUMIFS('Key inputs_EB_TRA'!AB$15:AB$38,'Key inputs_EB_TRA'!$C$15:$C$38,$C24,'Key inputs_EB_TRA'!$B$15:$B$38,"Pipeline - Natural gas")/SUMIFS('Key inputs_EB_TRA'!AB$15:AB$38,'Key inputs_EB_TRA'!$B$15:$B$38,"Pipeline - Natural gas")),"")</f>
        <v/>
      </c>
      <c r="AI24" s="173" t="str">
        <f>IFERROR(IF(AND(SUMIFS('Key inputs_EB_TRA'!AC$15:AC$38,'Key inputs_EB_TRA'!$C$15:$C$38,$C24,'Key inputs_EB_TRA'!$B$15:$B$38,"Pipeline - Natural gas")/SUMIFS('Key inputs_EB_TRA'!AC$15:AC$38,'Key inputs_EB_TRA'!$B$15:$B$38,"Pipeline - Natural gas")&gt;0,SUMIFS('Key inputs_EB_TRA'!AC$15:AC$38,'Key inputs_EB_TRA'!$C$15:$C$38,$C24,'Key inputs_EB_TRA'!$B$15:$B$38,"Pipeline - Natural gas")/SUMIFS('Key inputs_EB_TRA'!AC$15:AC$38,'Key inputs_EB_TRA'!$B$15:$B$38,"Pipeline - Natural gas")&lt;0.001),0.001,SUMIFS('Key inputs_EB_TRA'!AC$15:AC$38,'Key inputs_EB_TRA'!$C$15:$C$38,$C24,'Key inputs_EB_TRA'!$B$15:$B$38,"Pipeline - Natural gas")/SUMIFS('Key inputs_EB_TRA'!AC$15:AC$38,'Key inputs_EB_TRA'!$B$15:$B$38,"Pipeline - Natural gas")),"")</f>
        <v/>
      </c>
      <c r="AJ24" s="173">
        <f>IFERROR(IF(AND(SUMIFS('Key inputs_EB_TRA'!AD$15:AD$38,'Key inputs_EB_TRA'!$C$15:$C$38,$C24,'Key inputs_EB_TRA'!$B$15:$B$38,"Pipeline - Natural gas")/SUMIFS('Key inputs_EB_TRA'!AD$15:AD$38,'Key inputs_EB_TRA'!$B$15:$B$38,"Pipeline - Natural gas")&gt;0,SUMIFS('Key inputs_EB_TRA'!AD$15:AD$38,'Key inputs_EB_TRA'!$C$15:$C$38,$C24,'Key inputs_EB_TRA'!$B$15:$B$38,"Pipeline - Natural gas")/SUMIFS('Key inputs_EB_TRA'!AD$15:AD$38,'Key inputs_EB_TRA'!$B$15:$B$38,"Pipeline - Natural gas")&lt;0.001),0.001,SUMIFS('Key inputs_EB_TRA'!AD$15:AD$38,'Key inputs_EB_TRA'!$C$15:$C$38,$C24,'Key inputs_EB_TRA'!$B$15:$B$38,"Pipeline - Natural gas")/SUMIFS('Key inputs_EB_TRA'!AD$15:AD$38,'Key inputs_EB_TRA'!$B$15:$B$38,"Pipeline - Natural gas")),"")</f>
        <v>0.92759974882854823</v>
      </c>
      <c r="AK24" s="173">
        <f>IFERROR(IF(AND(SUMIFS('Key inputs_EB_TRA'!AE$15:AE$38,'Key inputs_EB_TRA'!$C$15:$C$38,$C24,'Key inputs_EB_TRA'!$B$15:$B$38,"Pipeline - Natural gas")/SUMIFS('Key inputs_EB_TRA'!AE$15:AE$38,'Key inputs_EB_TRA'!$B$15:$B$38,"Pipeline - Natural gas")&gt;0,SUMIFS('Key inputs_EB_TRA'!AE$15:AE$38,'Key inputs_EB_TRA'!$C$15:$C$38,$C24,'Key inputs_EB_TRA'!$B$15:$B$38,"Pipeline - Natural gas")/SUMIFS('Key inputs_EB_TRA'!AE$15:AE$38,'Key inputs_EB_TRA'!$B$15:$B$38,"Pipeline - Natural gas")&lt;0.001),0.001,SUMIFS('Key inputs_EB_TRA'!AE$15:AE$38,'Key inputs_EB_TRA'!$C$15:$C$38,$C24,'Key inputs_EB_TRA'!$B$15:$B$38,"Pipeline - Natural gas")/SUMIFS('Key inputs_EB_TRA'!AE$15:AE$38,'Key inputs_EB_TRA'!$B$15:$B$38,"Pipeline - Natural gas")),"")</f>
        <v>0</v>
      </c>
      <c r="AL24" s="173">
        <f>IFERROR(IF(AND(SUMIFS('Key inputs_EB_TRA'!AF$15:AF$38,'Key inputs_EB_TRA'!$C$15:$C$38,$C24,'Key inputs_EB_TRA'!$B$15:$B$38,"Pipeline - Natural gas")/SUMIFS('Key inputs_EB_TRA'!AF$15:AF$38,'Key inputs_EB_TRA'!$B$15:$B$38,"Pipeline - Natural gas")&gt;0,SUMIFS('Key inputs_EB_TRA'!AF$15:AF$38,'Key inputs_EB_TRA'!$C$15:$C$38,$C24,'Key inputs_EB_TRA'!$B$15:$B$38,"Pipeline - Natural gas")/SUMIFS('Key inputs_EB_TRA'!AF$15:AF$38,'Key inputs_EB_TRA'!$B$15:$B$38,"Pipeline - Natural gas")&lt;0.001),0.001,SUMIFS('Key inputs_EB_TRA'!AF$15:AF$38,'Key inputs_EB_TRA'!$C$15:$C$38,$C24,'Key inputs_EB_TRA'!$B$15:$B$38,"Pipeline - Natural gas")/SUMIFS('Key inputs_EB_TRA'!AF$15:AF$38,'Key inputs_EB_TRA'!$B$15:$B$38,"Pipeline - Natural gas")),"")</f>
        <v>1</v>
      </c>
    </row>
    <row r="25" spans="1:38">
      <c r="C25" t="str">
        <f>Commodities!$C$93</f>
        <v>UPSGSL</v>
      </c>
      <c r="F25" s="4" t="s">
        <v>359</v>
      </c>
      <c r="G25" s="4" t="s">
        <v>702</v>
      </c>
      <c r="H25" t="s">
        <v>661</v>
      </c>
      <c r="I25">
        <v>2019</v>
      </c>
      <c r="J25" t="s">
        <v>650</v>
      </c>
      <c r="K25" s="173" t="str">
        <f>IFERROR(IF(AND(SUMIFS('Key inputs_EB_TRA'!E$15:E$38,'Key inputs_EB_TRA'!$C$15:$C$38,$C25,'Key inputs_EB_TRA'!$B$15:$B$38,"Pipeline - Natural gas")/SUMIFS('Key inputs_EB_TRA'!E$15:E$38,'Key inputs_EB_TRA'!$B$15:$B$38,"Pipeline - Natural gas")&gt;0,SUMIFS('Key inputs_EB_TRA'!E$15:E$38,'Key inputs_EB_TRA'!$C$15:$C$38,$C25,'Key inputs_EB_TRA'!$B$15:$B$38,"Pipeline - Natural gas")/SUMIFS('Key inputs_EB_TRA'!E$15:E$38,'Key inputs_EB_TRA'!$B$15:$B$38,"Pipeline - Natural gas")&lt;0.001),0.001,SUMIFS('Key inputs_EB_TRA'!E$15:E$38,'Key inputs_EB_TRA'!$C$15:$C$38,$C25,'Key inputs_EB_TRA'!$B$15:$B$38,"Pipeline - Natural gas")/SUMIFS('Key inputs_EB_TRA'!E$15:E$38,'Key inputs_EB_TRA'!$B$15:$B$38,"Pipeline - Natural gas")),"")</f>
        <v/>
      </c>
      <c r="L25" s="173">
        <f>IFERROR(IF(AND(SUMIFS('Key inputs_EB_TRA'!F$15:F$38,'Key inputs_EB_TRA'!$C$15:$C$38,$C25,'Key inputs_EB_TRA'!$B$15:$B$38,"Pipeline - Natural gas")/SUMIFS('Key inputs_EB_TRA'!F$15:F$38,'Key inputs_EB_TRA'!$B$15:$B$38,"Pipeline - Natural gas")&gt;0,SUMIFS('Key inputs_EB_TRA'!F$15:F$38,'Key inputs_EB_TRA'!$C$15:$C$38,$C25,'Key inputs_EB_TRA'!$B$15:$B$38,"Pipeline - Natural gas")/SUMIFS('Key inputs_EB_TRA'!F$15:F$38,'Key inputs_EB_TRA'!$B$15:$B$38,"Pipeline - Natural gas")&lt;0.001),0.001,SUMIFS('Key inputs_EB_TRA'!F$15:F$38,'Key inputs_EB_TRA'!$C$15:$C$38,$C25,'Key inputs_EB_TRA'!$B$15:$B$38,"Pipeline - Natural gas")/SUMIFS('Key inputs_EB_TRA'!F$15:F$38,'Key inputs_EB_TRA'!$B$15:$B$38,"Pipeline - Natural gas")),"")</f>
        <v>0</v>
      </c>
      <c r="M25" s="173">
        <f>IFERROR(IF(AND(SUMIFS('Key inputs_EB_TRA'!G$15:G$38,'Key inputs_EB_TRA'!$C$15:$C$38,$C25,'Key inputs_EB_TRA'!$B$15:$B$38,"Pipeline - Natural gas")/SUMIFS('Key inputs_EB_TRA'!G$15:G$38,'Key inputs_EB_TRA'!$B$15:$B$38,"Pipeline - Natural gas")&gt;0,SUMIFS('Key inputs_EB_TRA'!G$15:G$38,'Key inputs_EB_TRA'!$C$15:$C$38,$C25,'Key inputs_EB_TRA'!$B$15:$B$38,"Pipeline - Natural gas")/SUMIFS('Key inputs_EB_TRA'!G$15:G$38,'Key inputs_EB_TRA'!$B$15:$B$38,"Pipeline - Natural gas")&lt;0.001),0.001,SUMIFS('Key inputs_EB_TRA'!G$15:G$38,'Key inputs_EB_TRA'!$C$15:$C$38,$C25,'Key inputs_EB_TRA'!$B$15:$B$38,"Pipeline - Natural gas")/SUMIFS('Key inputs_EB_TRA'!G$15:G$38,'Key inputs_EB_TRA'!$B$15:$B$38,"Pipeline - Natural gas")),"")</f>
        <v>0</v>
      </c>
      <c r="N25" s="173">
        <f>IFERROR(IF(AND(SUMIFS('Key inputs_EB_TRA'!H$15:H$38,'Key inputs_EB_TRA'!$C$15:$C$38,$C25,'Key inputs_EB_TRA'!$B$15:$B$38,"Pipeline - Natural gas")/SUMIFS('Key inputs_EB_TRA'!H$15:H$38,'Key inputs_EB_TRA'!$B$15:$B$38,"Pipeline - Natural gas")&gt;0,SUMIFS('Key inputs_EB_TRA'!H$15:H$38,'Key inputs_EB_TRA'!$C$15:$C$38,$C25,'Key inputs_EB_TRA'!$B$15:$B$38,"Pipeline - Natural gas")/SUMIFS('Key inputs_EB_TRA'!H$15:H$38,'Key inputs_EB_TRA'!$B$15:$B$38,"Pipeline - Natural gas")&lt;0.001),0.001,SUMIFS('Key inputs_EB_TRA'!H$15:H$38,'Key inputs_EB_TRA'!$C$15:$C$38,$C25,'Key inputs_EB_TRA'!$B$15:$B$38,"Pipeline - Natural gas")/SUMIFS('Key inputs_EB_TRA'!H$15:H$38,'Key inputs_EB_TRA'!$B$15:$B$38,"Pipeline - Natural gas")),"")</f>
        <v>0</v>
      </c>
      <c r="O25" s="173">
        <f>IFERROR(IF(AND(SUMIFS('Key inputs_EB_TRA'!I$15:I$38,'Key inputs_EB_TRA'!$C$15:$C$38,$C25,'Key inputs_EB_TRA'!$B$15:$B$38,"Pipeline - Natural gas")/SUMIFS('Key inputs_EB_TRA'!I$15:I$38,'Key inputs_EB_TRA'!$B$15:$B$38,"Pipeline - Natural gas")&gt;0,SUMIFS('Key inputs_EB_TRA'!I$15:I$38,'Key inputs_EB_TRA'!$C$15:$C$38,$C25,'Key inputs_EB_TRA'!$B$15:$B$38,"Pipeline - Natural gas")/SUMIFS('Key inputs_EB_TRA'!I$15:I$38,'Key inputs_EB_TRA'!$B$15:$B$38,"Pipeline - Natural gas")&lt;0.001),0.001,SUMIFS('Key inputs_EB_TRA'!I$15:I$38,'Key inputs_EB_TRA'!$C$15:$C$38,$C25,'Key inputs_EB_TRA'!$B$15:$B$38,"Pipeline - Natural gas")/SUMIFS('Key inputs_EB_TRA'!I$15:I$38,'Key inputs_EB_TRA'!$B$15:$B$38,"Pipeline - Natural gas")),"")</f>
        <v>0</v>
      </c>
      <c r="P25" s="173">
        <f>IFERROR(IF(AND(SUMIFS('Key inputs_EB_TRA'!J$15:J$38,'Key inputs_EB_TRA'!$C$15:$C$38,$C25,'Key inputs_EB_TRA'!$B$15:$B$38,"Pipeline - Natural gas")/SUMIFS('Key inputs_EB_TRA'!J$15:J$38,'Key inputs_EB_TRA'!$B$15:$B$38,"Pipeline - Natural gas")&gt;0,SUMIFS('Key inputs_EB_TRA'!J$15:J$38,'Key inputs_EB_TRA'!$C$15:$C$38,$C25,'Key inputs_EB_TRA'!$B$15:$B$38,"Pipeline - Natural gas")/SUMIFS('Key inputs_EB_TRA'!J$15:J$38,'Key inputs_EB_TRA'!$B$15:$B$38,"Pipeline - Natural gas")&lt;0.001),0.001,SUMIFS('Key inputs_EB_TRA'!J$15:J$38,'Key inputs_EB_TRA'!$C$15:$C$38,$C25,'Key inputs_EB_TRA'!$B$15:$B$38,"Pipeline - Natural gas")/SUMIFS('Key inputs_EB_TRA'!J$15:J$38,'Key inputs_EB_TRA'!$B$15:$B$38,"Pipeline - Natural gas")),"")</f>
        <v>0</v>
      </c>
      <c r="Q25" s="173" t="str">
        <f>IFERROR(IF(AND(SUMIFS('Key inputs_EB_TRA'!K$15:K$38,'Key inputs_EB_TRA'!$C$15:$C$38,$C25,'Key inputs_EB_TRA'!$B$15:$B$38,"Pipeline - Natural gas")/SUMIFS('Key inputs_EB_TRA'!K$15:K$38,'Key inputs_EB_TRA'!$B$15:$B$38,"Pipeline - Natural gas")&gt;0,SUMIFS('Key inputs_EB_TRA'!K$15:K$38,'Key inputs_EB_TRA'!$C$15:$C$38,$C25,'Key inputs_EB_TRA'!$B$15:$B$38,"Pipeline - Natural gas")/SUMIFS('Key inputs_EB_TRA'!K$15:K$38,'Key inputs_EB_TRA'!$B$15:$B$38,"Pipeline - Natural gas")&lt;0.001),0.001,SUMIFS('Key inputs_EB_TRA'!K$15:K$38,'Key inputs_EB_TRA'!$C$15:$C$38,$C25,'Key inputs_EB_TRA'!$B$15:$B$38,"Pipeline - Natural gas")/SUMIFS('Key inputs_EB_TRA'!K$15:K$38,'Key inputs_EB_TRA'!$B$15:$B$38,"Pipeline - Natural gas")),"")</f>
        <v/>
      </c>
      <c r="R25" s="173" t="str">
        <f>IFERROR(IF(AND(SUMIFS('Key inputs_EB_TRA'!L$15:L$38,'Key inputs_EB_TRA'!$C$15:$C$38,$C25,'Key inputs_EB_TRA'!$B$15:$B$38,"Pipeline - Natural gas")/SUMIFS('Key inputs_EB_TRA'!L$15:L$38,'Key inputs_EB_TRA'!$B$15:$B$38,"Pipeline - Natural gas")&gt;0,SUMIFS('Key inputs_EB_TRA'!L$15:L$38,'Key inputs_EB_TRA'!$C$15:$C$38,$C25,'Key inputs_EB_TRA'!$B$15:$B$38,"Pipeline - Natural gas")/SUMIFS('Key inputs_EB_TRA'!L$15:L$38,'Key inputs_EB_TRA'!$B$15:$B$38,"Pipeline - Natural gas")&lt;0.001),0.001,SUMIFS('Key inputs_EB_TRA'!L$15:L$38,'Key inputs_EB_TRA'!$C$15:$C$38,$C25,'Key inputs_EB_TRA'!$B$15:$B$38,"Pipeline - Natural gas")/SUMIFS('Key inputs_EB_TRA'!L$15:L$38,'Key inputs_EB_TRA'!$B$15:$B$38,"Pipeline - Natural gas")),"")</f>
        <v/>
      </c>
      <c r="S25" s="173" t="str">
        <f>IFERROR(IF(AND(SUMIFS('Key inputs_EB_TRA'!M$15:M$38,'Key inputs_EB_TRA'!$C$15:$C$38,$C25,'Key inputs_EB_TRA'!$B$15:$B$38,"Pipeline - Natural gas")/SUMIFS('Key inputs_EB_TRA'!M$15:M$38,'Key inputs_EB_TRA'!$B$15:$B$38,"Pipeline - Natural gas")&gt;0,SUMIFS('Key inputs_EB_TRA'!M$15:M$38,'Key inputs_EB_TRA'!$C$15:$C$38,$C25,'Key inputs_EB_TRA'!$B$15:$B$38,"Pipeline - Natural gas")/SUMIFS('Key inputs_EB_TRA'!M$15:M$38,'Key inputs_EB_TRA'!$B$15:$B$38,"Pipeline - Natural gas")&lt;0.001),0.001,SUMIFS('Key inputs_EB_TRA'!M$15:M$38,'Key inputs_EB_TRA'!$C$15:$C$38,$C25,'Key inputs_EB_TRA'!$B$15:$B$38,"Pipeline - Natural gas")/SUMIFS('Key inputs_EB_TRA'!M$15:M$38,'Key inputs_EB_TRA'!$B$15:$B$38,"Pipeline - Natural gas")),"")</f>
        <v/>
      </c>
      <c r="T25" s="173">
        <f>IFERROR(IF(AND(SUMIFS('Key inputs_EB_TRA'!N$15:N$38,'Key inputs_EB_TRA'!$C$15:$C$38,$C25,'Key inputs_EB_TRA'!$B$15:$B$38,"Pipeline - Natural gas")/SUMIFS('Key inputs_EB_TRA'!N$15:N$38,'Key inputs_EB_TRA'!$B$15:$B$38,"Pipeline - Natural gas")&gt;0,SUMIFS('Key inputs_EB_TRA'!N$15:N$38,'Key inputs_EB_TRA'!$C$15:$C$38,$C25,'Key inputs_EB_TRA'!$B$15:$B$38,"Pipeline - Natural gas")/SUMIFS('Key inputs_EB_TRA'!N$15:N$38,'Key inputs_EB_TRA'!$B$15:$B$38,"Pipeline - Natural gas")&lt;0.001),0.001,SUMIFS('Key inputs_EB_TRA'!N$15:N$38,'Key inputs_EB_TRA'!$C$15:$C$38,$C25,'Key inputs_EB_TRA'!$B$15:$B$38,"Pipeline - Natural gas")/SUMIFS('Key inputs_EB_TRA'!N$15:N$38,'Key inputs_EB_TRA'!$B$15:$B$38,"Pipeline - Natural gas")),"")</f>
        <v>1.7379881189039631E-3</v>
      </c>
      <c r="U25" s="173">
        <f>IFERROR(IF(AND(SUMIFS('Key inputs_EB_TRA'!O$15:O$38,'Key inputs_EB_TRA'!$C$15:$C$38,$C25,'Key inputs_EB_TRA'!$B$15:$B$38,"Pipeline - Natural gas")/SUMIFS('Key inputs_EB_TRA'!O$15:O$38,'Key inputs_EB_TRA'!$B$15:$B$38,"Pipeline - Natural gas")&gt;0,SUMIFS('Key inputs_EB_TRA'!O$15:O$38,'Key inputs_EB_TRA'!$C$15:$C$38,$C25,'Key inputs_EB_TRA'!$B$15:$B$38,"Pipeline - Natural gas")/SUMIFS('Key inputs_EB_TRA'!O$15:O$38,'Key inputs_EB_TRA'!$B$15:$B$38,"Pipeline - Natural gas")&lt;0.001),0.001,SUMIFS('Key inputs_EB_TRA'!O$15:O$38,'Key inputs_EB_TRA'!$C$15:$C$38,$C25,'Key inputs_EB_TRA'!$B$15:$B$38,"Pipeline - Natural gas")/SUMIFS('Key inputs_EB_TRA'!O$15:O$38,'Key inputs_EB_TRA'!$B$15:$B$38,"Pipeline - Natural gas")),"")</f>
        <v>0</v>
      </c>
      <c r="V25" s="173">
        <f>IFERROR(IF(AND(SUMIFS('Key inputs_EB_TRA'!P$15:P$38,'Key inputs_EB_TRA'!$C$15:$C$38,$C25,'Key inputs_EB_TRA'!$B$15:$B$38,"Pipeline - Natural gas")/SUMIFS('Key inputs_EB_TRA'!P$15:P$38,'Key inputs_EB_TRA'!$B$15:$B$38,"Pipeline - Natural gas")&gt;0,SUMIFS('Key inputs_EB_TRA'!P$15:P$38,'Key inputs_EB_TRA'!$C$15:$C$38,$C25,'Key inputs_EB_TRA'!$B$15:$B$38,"Pipeline - Natural gas")/SUMIFS('Key inputs_EB_TRA'!P$15:P$38,'Key inputs_EB_TRA'!$B$15:$B$38,"Pipeline - Natural gas")&lt;0.001),0.001,SUMIFS('Key inputs_EB_TRA'!P$15:P$38,'Key inputs_EB_TRA'!$C$15:$C$38,$C25,'Key inputs_EB_TRA'!$B$15:$B$38,"Pipeline - Natural gas")/SUMIFS('Key inputs_EB_TRA'!P$15:P$38,'Key inputs_EB_TRA'!$B$15:$B$38,"Pipeline - Natural gas")),"")</f>
        <v>2.2061140876142452E-3</v>
      </c>
      <c r="W25" s="173">
        <f>IFERROR(IF(AND(SUMIFS('Key inputs_EB_TRA'!Q$15:Q$38,'Key inputs_EB_TRA'!$C$15:$C$38,$C25,'Key inputs_EB_TRA'!$B$15:$B$38,"Pipeline - Natural gas")/SUMIFS('Key inputs_EB_TRA'!Q$15:Q$38,'Key inputs_EB_TRA'!$B$15:$B$38,"Pipeline - Natural gas")&gt;0,SUMIFS('Key inputs_EB_TRA'!Q$15:Q$38,'Key inputs_EB_TRA'!$C$15:$C$38,$C25,'Key inputs_EB_TRA'!$B$15:$B$38,"Pipeline - Natural gas")/SUMIFS('Key inputs_EB_TRA'!Q$15:Q$38,'Key inputs_EB_TRA'!$B$15:$B$38,"Pipeline - Natural gas")&lt;0.001),0.001,SUMIFS('Key inputs_EB_TRA'!Q$15:Q$38,'Key inputs_EB_TRA'!$C$15:$C$38,$C25,'Key inputs_EB_TRA'!$B$15:$B$38,"Pipeline - Natural gas")/SUMIFS('Key inputs_EB_TRA'!Q$15:Q$38,'Key inputs_EB_TRA'!$B$15:$B$38,"Pipeline - Natural gas")),"")</f>
        <v>0</v>
      </c>
      <c r="X25" s="173">
        <f>IFERROR(IF(AND(SUMIFS('Key inputs_EB_TRA'!R$15:R$38,'Key inputs_EB_TRA'!$C$15:$C$38,$C25,'Key inputs_EB_TRA'!$B$15:$B$38,"Pipeline - Natural gas")/SUMIFS('Key inputs_EB_TRA'!R$15:R$38,'Key inputs_EB_TRA'!$B$15:$B$38,"Pipeline - Natural gas")&gt;0,SUMIFS('Key inputs_EB_TRA'!R$15:R$38,'Key inputs_EB_TRA'!$C$15:$C$38,$C25,'Key inputs_EB_TRA'!$B$15:$B$38,"Pipeline - Natural gas")/SUMIFS('Key inputs_EB_TRA'!R$15:R$38,'Key inputs_EB_TRA'!$B$15:$B$38,"Pipeline - Natural gas")&lt;0.001),0.001,SUMIFS('Key inputs_EB_TRA'!R$15:R$38,'Key inputs_EB_TRA'!$C$15:$C$38,$C25,'Key inputs_EB_TRA'!$B$15:$B$38,"Pipeline - Natural gas")/SUMIFS('Key inputs_EB_TRA'!R$15:R$38,'Key inputs_EB_TRA'!$B$15:$B$38,"Pipeline - Natural gas")),"")</f>
        <v>0</v>
      </c>
      <c r="Y25" s="173">
        <f>IFERROR(IF(AND(SUMIFS('Key inputs_EB_TRA'!S$15:S$38,'Key inputs_EB_TRA'!$C$15:$C$38,$C25,'Key inputs_EB_TRA'!$B$15:$B$38,"Pipeline - Natural gas")/SUMIFS('Key inputs_EB_TRA'!S$15:S$38,'Key inputs_EB_TRA'!$B$15:$B$38,"Pipeline - Natural gas")&gt;0,SUMIFS('Key inputs_EB_TRA'!S$15:S$38,'Key inputs_EB_TRA'!$C$15:$C$38,$C25,'Key inputs_EB_TRA'!$B$15:$B$38,"Pipeline - Natural gas")/SUMIFS('Key inputs_EB_TRA'!S$15:S$38,'Key inputs_EB_TRA'!$B$15:$B$38,"Pipeline - Natural gas")&lt;0.001),0.001,SUMIFS('Key inputs_EB_TRA'!S$15:S$38,'Key inputs_EB_TRA'!$C$15:$C$38,$C25,'Key inputs_EB_TRA'!$B$15:$B$38,"Pipeline - Natural gas")/SUMIFS('Key inputs_EB_TRA'!S$15:S$38,'Key inputs_EB_TRA'!$B$15:$B$38,"Pipeline - Natural gas")),"")</f>
        <v>0</v>
      </c>
      <c r="Z25" s="173">
        <f>IFERROR(IF(AND(SUMIFS('Key inputs_EB_TRA'!T$15:T$38,'Key inputs_EB_TRA'!$C$15:$C$38,$C25,'Key inputs_EB_TRA'!$B$15:$B$38,"Pipeline - Natural gas")/SUMIFS('Key inputs_EB_TRA'!T$15:T$38,'Key inputs_EB_TRA'!$B$15:$B$38,"Pipeline - Natural gas")&gt;0,SUMIFS('Key inputs_EB_TRA'!T$15:T$38,'Key inputs_EB_TRA'!$C$15:$C$38,$C25,'Key inputs_EB_TRA'!$B$15:$B$38,"Pipeline - Natural gas")/SUMIFS('Key inputs_EB_TRA'!T$15:T$38,'Key inputs_EB_TRA'!$B$15:$B$38,"Pipeline - Natural gas")&lt;0.001),0.001,SUMIFS('Key inputs_EB_TRA'!T$15:T$38,'Key inputs_EB_TRA'!$C$15:$C$38,$C25,'Key inputs_EB_TRA'!$B$15:$B$38,"Pipeline - Natural gas")/SUMIFS('Key inputs_EB_TRA'!T$15:T$38,'Key inputs_EB_TRA'!$B$15:$B$38,"Pipeline - Natural gas")),"")</f>
        <v>0</v>
      </c>
      <c r="AA25" s="173">
        <f>IFERROR(IF(AND(SUMIFS('Key inputs_EB_TRA'!U$15:U$38,'Key inputs_EB_TRA'!$C$15:$C$38,$C25,'Key inputs_EB_TRA'!$B$15:$B$38,"Pipeline - Natural gas")/SUMIFS('Key inputs_EB_TRA'!U$15:U$38,'Key inputs_EB_TRA'!$B$15:$B$38,"Pipeline - Natural gas")&gt;0,SUMIFS('Key inputs_EB_TRA'!U$15:U$38,'Key inputs_EB_TRA'!$C$15:$C$38,$C25,'Key inputs_EB_TRA'!$B$15:$B$38,"Pipeline - Natural gas")/SUMIFS('Key inputs_EB_TRA'!U$15:U$38,'Key inputs_EB_TRA'!$B$15:$B$38,"Pipeline - Natural gas")&lt;0.001),0.001,SUMIFS('Key inputs_EB_TRA'!U$15:U$38,'Key inputs_EB_TRA'!$C$15:$C$38,$C25,'Key inputs_EB_TRA'!$B$15:$B$38,"Pipeline - Natural gas")/SUMIFS('Key inputs_EB_TRA'!U$15:U$38,'Key inputs_EB_TRA'!$B$15:$B$38,"Pipeline - Natural gas")),"")</f>
        <v>0</v>
      </c>
      <c r="AB25" s="173" t="str">
        <f>IFERROR(IF(AND(SUMIFS('Key inputs_EB_TRA'!V$15:V$38,'Key inputs_EB_TRA'!$C$15:$C$38,$C25,'Key inputs_EB_TRA'!$B$15:$B$38,"Pipeline - Natural gas")/SUMIFS('Key inputs_EB_TRA'!V$15:V$38,'Key inputs_EB_TRA'!$B$15:$B$38,"Pipeline - Natural gas")&gt;0,SUMIFS('Key inputs_EB_TRA'!V$15:V$38,'Key inputs_EB_TRA'!$C$15:$C$38,$C25,'Key inputs_EB_TRA'!$B$15:$B$38,"Pipeline - Natural gas")/SUMIFS('Key inputs_EB_TRA'!V$15:V$38,'Key inputs_EB_TRA'!$B$15:$B$38,"Pipeline - Natural gas")&lt;0.001),0.001,SUMIFS('Key inputs_EB_TRA'!V$15:V$38,'Key inputs_EB_TRA'!$C$15:$C$38,$C25,'Key inputs_EB_TRA'!$B$15:$B$38,"Pipeline - Natural gas")/SUMIFS('Key inputs_EB_TRA'!V$15:V$38,'Key inputs_EB_TRA'!$B$15:$B$38,"Pipeline - Natural gas")),"")</f>
        <v/>
      </c>
      <c r="AC25" s="173">
        <f>IFERROR(IF(AND(SUMIFS('Key inputs_EB_TRA'!W$15:W$38,'Key inputs_EB_TRA'!$C$15:$C$38,$C25,'Key inputs_EB_TRA'!$B$15:$B$38,"Pipeline - Natural gas")/SUMIFS('Key inputs_EB_TRA'!W$15:W$38,'Key inputs_EB_TRA'!$B$15:$B$38,"Pipeline - Natural gas")&gt;0,SUMIFS('Key inputs_EB_TRA'!W$15:W$38,'Key inputs_EB_TRA'!$C$15:$C$38,$C25,'Key inputs_EB_TRA'!$B$15:$B$38,"Pipeline - Natural gas")/SUMIFS('Key inputs_EB_TRA'!W$15:W$38,'Key inputs_EB_TRA'!$B$15:$B$38,"Pipeline - Natural gas")&lt;0.001),0.001,SUMIFS('Key inputs_EB_TRA'!W$15:W$38,'Key inputs_EB_TRA'!$C$15:$C$38,$C25,'Key inputs_EB_TRA'!$B$15:$B$38,"Pipeline - Natural gas")/SUMIFS('Key inputs_EB_TRA'!W$15:W$38,'Key inputs_EB_TRA'!$B$15:$B$38,"Pipeline - Natural gas")),"")</f>
        <v>0</v>
      </c>
      <c r="AD25" s="173" t="str">
        <f>IFERROR(IF(AND(SUMIFS('Key inputs_EB_TRA'!X$15:X$38,'Key inputs_EB_TRA'!$C$15:$C$38,$C25,'Key inputs_EB_TRA'!$B$15:$B$38,"Pipeline - Natural gas")/SUMIFS('Key inputs_EB_TRA'!X$15:X$38,'Key inputs_EB_TRA'!$B$15:$B$38,"Pipeline - Natural gas")&gt;0,SUMIFS('Key inputs_EB_TRA'!X$15:X$38,'Key inputs_EB_TRA'!$C$15:$C$38,$C25,'Key inputs_EB_TRA'!$B$15:$B$38,"Pipeline - Natural gas")/SUMIFS('Key inputs_EB_TRA'!X$15:X$38,'Key inputs_EB_TRA'!$B$15:$B$38,"Pipeline - Natural gas")&lt;0.001),0.001,SUMIFS('Key inputs_EB_TRA'!X$15:X$38,'Key inputs_EB_TRA'!$C$15:$C$38,$C25,'Key inputs_EB_TRA'!$B$15:$B$38,"Pipeline - Natural gas")/SUMIFS('Key inputs_EB_TRA'!X$15:X$38,'Key inputs_EB_TRA'!$B$15:$B$38,"Pipeline - Natural gas")),"")</f>
        <v/>
      </c>
      <c r="AE25" s="173">
        <f>IFERROR(IF(AND(SUMIFS('Key inputs_EB_TRA'!Y$15:Y$38,'Key inputs_EB_TRA'!$C$15:$C$38,$C25,'Key inputs_EB_TRA'!$B$15:$B$38,"Pipeline - Natural gas")/SUMIFS('Key inputs_EB_TRA'!Y$15:Y$38,'Key inputs_EB_TRA'!$B$15:$B$38,"Pipeline - Natural gas")&gt;0,SUMIFS('Key inputs_EB_TRA'!Y$15:Y$38,'Key inputs_EB_TRA'!$C$15:$C$38,$C25,'Key inputs_EB_TRA'!$B$15:$B$38,"Pipeline - Natural gas")/SUMIFS('Key inputs_EB_TRA'!Y$15:Y$38,'Key inputs_EB_TRA'!$B$15:$B$38,"Pipeline - Natural gas")&lt;0.001),0.001,SUMIFS('Key inputs_EB_TRA'!Y$15:Y$38,'Key inputs_EB_TRA'!$C$15:$C$38,$C25,'Key inputs_EB_TRA'!$B$15:$B$38,"Pipeline - Natural gas")/SUMIFS('Key inputs_EB_TRA'!Y$15:Y$38,'Key inputs_EB_TRA'!$B$15:$B$38,"Pipeline - Natural gas")),"")</f>
        <v>0</v>
      </c>
      <c r="AF25" s="173">
        <f>IFERROR(IF(AND(SUMIFS('Key inputs_EB_TRA'!Z$15:Z$38,'Key inputs_EB_TRA'!$C$15:$C$38,$C25,'Key inputs_EB_TRA'!$B$15:$B$38,"Pipeline - Natural gas")/SUMIFS('Key inputs_EB_TRA'!Z$15:Z$38,'Key inputs_EB_TRA'!$B$15:$B$38,"Pipeline - Natural gas")&gt;0,SUMIFS('Key inputs_EB_TRA'!Z$15:Z$38,'Key inputs_EB_TRA'!$C$15:$C$38,$C25,'Key inputs_EB_TRA'!$B$15:$B$38,"Pipeline - Natural gas")/SUMIFS('Key inputs_EB_TRA'!Z$15:Z$38,'Key inputs_EB_TRA'!$B$15:$B$38,"Pipeline - Natural gas")&lt;0.001),0.001,SUMIFS('Key inputs_EB_TRA'!Z$15:Z$38,'Key inputs_EB_TRA'!$C$15:$C$38,$C25,'Key inputs_EB_TRA'!$B$15:$B$38,"Pipeline - Natural gas")/SUMIFS('Key inputs_EB_TRA'!Z$15:Z$38,'Key inputs_EB_TRA'!$B$15:$B$38,"Pipeline - Natural gas")),"")</f>
        <v>0</v>
      </c>
      <c r="AG25" s="173">
        <f>IFERROR(IF(AND(SUMIFS('Key inputs_EB_TRA'!AA$15:AA$38,'Key inputs_EB_TRA'!$C$15:$C$38,$C25,'Key inputs_EB_TRA'!$B$15:$B$38,"Pipeline - Natural gas")/SUMIFS('Key inputs_EB_TRA'!AA$15:AA$38,'Key inputs_EB_TRA'!$B$15:$B$38,"Pipeline - Natural gas")&gt;0,SUMIFS('Key inputs_EB_TRA'!AA$15:AA$38,'Key inputs_EB_TRA'!$C$15:$C$38,$C25,'Key inputs_EB_TRA'!$B$15:$B$38,"Pipeline - Natural gas")/SUMIFS('Key inputs_EB_TRA'!AA$15:AA$38,'Key inputs_EB_TRA'!$B$15:$B$38,"Pipeline - Natural gas")&lt;0.001),0.001,SUMIFS('Key inputs_EB_TRA'!AA$15:AA$38,'Key inputs_EB_TRA'!$C$15:$C$38,$C25,'Key inputs_EB_TRA'!$B$15:$B$38,"Pipeline - Natural gas")/SUMIFS('Key inputs_EB_TRA'!AA$15:AA$38,'Key inputs_EB_TRA'!$B$15:$B$38,"Pipeline - Natural gas")),"")</f>
        <v>0</v>
      </c>
      <c r="AH25" s="173" t="str">
        <f>IFERROR(IF(AND(SUMIFS('Key inputs_EB_TRA'!AB$15:AB$38,'Key inputs_EB_TRA'!$C$15:$C$38,$C25,'Key inputs_EB_TRA'!$B$15:$B$38,"Pipeline - Natural gas")/SUMIFS('Key inputs_EB_TRA'!AB$15:AB$38,'Key inputs_EB_TRA'!$B$15:$B$38,"Pipeline - Natural gas")&gt;0,SUMIFS('Key inputs_EB_TRA'!AB$15:AB$38,'Key inputs_EB_TRA'!$C$15:$C$38,$C25,'Key inputs_EB_TRA'!$B$15:$B$38,"Pipeline - Natural gas")/SUMIFS('Key inputs_EB_TRA'!AB$15:AB$38,'Key inputs_EB_TRA'!$B$15:$B$38,"Pipeline - Natural gas")&lt;0.001),0.001,SUMIFS('Key inputs_EB_TRA'!AB$15:AB$38,'Key inputs_EB_TRA'!$C$15:$C$38,$C25,'Key inputs_EB_TRA'!$B$15:$B$38,"Pipeline - Natural gas")/SUMIFS('Key inputs_EB_TRA'!AB$15:AB$38,'Key inputs_EB_TRA'!$B$15:$B$38,"Pipeline - Natural gas")),"")</f>
        <v/>
      </c>
      <c r="AI25" s="173" t="str">
        <f>IFERROR(IF(AND(SUMIFS('Key inputs_EB_TRA'!AC$15:AC$38,'Key inputs_EB_TRA'!$C$15:$C$38,$C25,'Key inputs_EB_TRA'!$B$15:$B$38,"Pipeline - Natural gas")/SUMIFS('Key inputs_EB_TRA'!AC$15:AC$38,'Key inputs_EB_TRA'!$B$15:$B$38,"Pipeline - Natural gas")&gt;0,SUMIFS('Key inputs_EB_TRA'!AC$15:AC$38,'Key inputs_EB_TRA'!$C$15:$C$38,$C25,'Key inputs_EB_TRA'!$B$15:$B$38,"Pipeline - Natural gas")/SUMIFS('Key inputs_EB_TRA'!AC$15:AC$38,'Key inputs_EB_TRA'!$B$15:$B$38,"Pipeline - Natural gas")&lt;0.001),0.001,SUMIFS('Key inputs_EB_TRA'!AC$15:AC$38,'Key inputs_EB_TRA'!$C$15:$C$38,$C25,'Key inputs_EB_TRA'!$B$15:$B$38,"Pipeline - Natural gas")/SUMIFS('Key inputs_EB_TRA'!AC$15:AC$38,'Key inputs_EB_TRA'!$B$15:$B$38,"Pipeline - Natural gas")),"")</f>
        <v/>
      </c>
      <c r="AJ25" s="173">
        <f>IFERROR(IF(AND(SUMIFS('Key inputs_EB_TRA'!AD$15:AD$38,'Key inputs_EB_TRA'!$C$15:$C$38,$C25,'Key inputs_EB_TRA'!$B$15:$B$38,"Pipeline - Natural gas")/SUMIFS('Key inputs_EB_TRA'!AD$15:AD$38,'Key inputs_EB_TRA'!$B$15:$B$38,"Pipeline - Natural gas")&gt;0,SUMIFS('Key inputs_EB_TRA'!AD$15:AD$38,'Key inputs_EB_TRA'!$C$15:$C$38,$C25,'Key inputs_EB_TRA'!$B$15:$B$38,"Pipeline - Natural gas")/SUMIFS('Key inputs_EB_TRA'!AD$15:AD$38,'Key inputs_EB_TRA'!$B$15:$B$38,"Pipeline - Natural gas")&lt;0.001),0.001,SUMIFS('Key inputs_EB_TRA'!AD$15:AD$38,'Key inputs_EB_TRA'!$C$15:$C$38,$C25,'Key inputs_EB_TRA'!$B$15:$B$38,"Pipeline - Natural gas")/SUMIFS('Key inputs_EB_TRA'!AD$15:AD$38,'Key inputs_EB_TRA'!$B$15:$B$38,"Pipeline - Natural gas")),"")</f>
        <v>1E-3</v>
      </c>
      <c r="AK25" s="173">
        <f>IFERROR(IF(AND(SUMIFS('Key inputs_EB_TRA'!AE$15:AE$38,'Key inputs_EB_TRA'!$C$15:$C$38,$C25,'Key inputs_EB_TRA'!$B$15:$B$38,"Pipeline - Natural gas")/SUMIFS('Key inputs_EB_TRA'!AE$15:AE$38,'Key inputs_EB_TRA'!$B$15:$B$38,"Pipeline - Natural gas")&gt;0,SUMIFS('Key inputs_EB_TRA'!AE$15:AE$38,'Key inputs_EB_TRA'!$C$15:$C$38,$C25,'Key inputs_EB_TRA'!$B$15:$B$38,"Pipeline - Natural gas")/SUMIFS('Key inputs_EB_TRA'!AE$15:AE$38,'Key inputs_EB_TRA'!$B$15:$B$38,"Pipeline - Natural gas")&lt;0.001),0.001,SUMIFS('Key inputs_EB_TRA'!AE$15:AE$38,'Key inputs_EB_TRA'!$C$15:$C$38,$C25,'Key inputs_EB_TRA'!$B$15:$B$38,"Pipeline - Natural gas")/SUMIFS('Key inputs_EB_TRA'!AE$15:AE$38,'Key inputs_EB_TRA'!$B$15:$B$38,"Pipeline - Natural gas")),"")</f>
        <v>0</v>
      </c>
      <c r="AL25" s="173">
        <f>IFERROR(IF(AND(SUMIFS('Key inputs_EB_TRA'!AF$15:AF$38,'Key inputs_EB_TRA'!$C$15:$C$38,$C25,'Key inputs_EB_TRA'!$B$15:$B$38,"Pipeline - Natural gas")/SUMIFS('Key inputs_EB_TRA'!AF$15:AF$38,'Key inputs_EB_TRA'!$B$15:$B$38,"Pipeline - Natural gas")&gt;0,SUMIFS('Key inputs_EB_TRA'!AF$15:AF$38,'Key inputs_EB_TRA'!$C$15:$C$38,$C25,'Key inputs_EB_TRA'!$B$15:$B$38,"Pipeline - Natural gas")/SUMIFS('Key inputs_EB_TRA'!AF$15:AF$38,'Key inputs_EB_TRA'!$B$15:$B$38,"Pipeline - Natural gas")&lt;0.001),0.001,SUMIFS('Key inputs_EB_TRA'!AF$15:AF$38,'Key inputs_EB_TRA'!$C$15:$C$38,$C25,'Key inputs_EB_TRA'!$B$15:$B$38,"Pipeline - Natural gas")/SUMIFS('Key inputs_EB_TRA'!AF$15:AF$38,'Key inputs_EB_TRA'!$B$15:$B$38,"Pipeline - Natural gas")),"")</f>
        <v>0</v>
      </c>
    </row>
    <row r="26" spans="1:38">
      <c r="C26" t="str">
        <f>Commodities!$C$95</f>
        <v>UPSHFO</v>
      </c>
      <c r="F26" s="4" t="s">
        <v>359</v>
      </c>
      <c r="G26" s="4" t="s">
        <v>702</v>
      </c>
      <c r="H26" t="s">
        <v>661</v>
      </c>
      <c r="I26">
        <v>2019</v>
      </c>
      <c r="J26" t="s">
        <v>650</v>
      </c>
      <c r="K26" s="263" t="str">
        <f>IFERROR(IF(AND(SUMIFS('Key inputs_EB_TRA'!E$15:E$38,'Key inputs_EB_TRA'!$C$15:$C$38,$C26,'Key inputs_EB_TRA'!$B$15:$B$38,"Pipeline - Natural gas")/SUMIFS('Key inputs_EB_TRA'!E$15:E$38,'Key inputs_EB_TRA'!$B$15:$B$38,"Pipeline - Natural gas")&gt;0,SUMIFS('Key inputs_EB_TRA'!E$15:E$38,'Key inputs_EB_TRA'!$C$15:$C$38,$C26,'Key inputs_EB_TRA'!$B$15:$B$38,"Pipeline - Natural gas")/SUMIFS('Key inputs_EB_TRA'!E$15:E$38,'Key inputs_EB_TRA'!$B$15:$B$38,"Pipeline - Natural gas")&lt;0.001),0.001,SUMIFS('Key inputs_EB_TRA'!E$15:E$38,'Key inputs_EB_TRA'!$C$15:$C$38,$C26,'Key inputs_EB_TRA'!$B$15:$B$38,"Pipeline - Natural gas")/SUMIFS('Key inputs_EB_TRA'!E$15:E$38,'Key inputs_EB_TRA'!$B$15:$B$38,"Pipeline - Natural gas")),"")</f>
        <v/>
      </c>
      <c r="L26" s="173">
        <f>IFERROR(IF(AND(SUMIFS('Key inputs_EB_TRA'!F$15:F$38,'Key inputs_EB_TRA'!$C$15:$C$38,$C26,'Key inputs_EB_TRA'!$B$15:$B$38,"Pipeline - Natural gas")/SUMIFS('Key inputs_EB_TRA'!F$15:F$38,'Key inputs_EB_TRA'!$B$15:$B$38,"Pipeline - Natural gas")&gt;0,SUMIFS('Key inputs_EB_TRA'!F$15:F$38,'Key inputs_EB_TRA'!$C$15:$C$38,$C26,'Key inputs_EB_TRA'!$B$15:$B$38,"Pipeline - Natural gas")/SUMIFS('Key inputs_EB_TRA'!F$15:F$38,'Key inputs_EB_TRA'!$B$15:$B$38,"Pipeline - Natural gas")&lt;0.001),0.001,SUMIFS('Key inputs_EB_TRA'!F$15:F$38,'Key inputs_EB_TRA'!$C$15:$C$38,$C26,'Key inputs_EB_TRA'!$B$15:$B$38,"Pipeline - Natural gas")/SUMIFS('Key inputs_EB_TRA'!F$15:F$38,'Key inputs_EB_TRA'!$B$15:$B$38,"Pipeline - Natural gas")),"")</f>
        <v>0</v>
      </c>
      <c r="M26" s="173">
        <f>IFERROR(IF(AND(SUMIFS('Key inputs_EB_TRA'!G$15:G$38,'Key inputs_EB_TRA'!$C$15:$C$38,$C26,'Key inputs_EB_TRA'!$B$15:$B$38,"Pipeline - Natural gas")/SUMIFS('Key inputs_EB_TRA'!G$15:G$38,'Key inputs_EB_TRA'!$B$15:$B$38,"Pipeline - Natural gas")&gt;0,SUMIFS('Key inputs_EB_TRA'!G$15:G$38,'Key inputs_EB_TRA'!$C$15:$C$38,$C26,'Key inputs_EB_TRA'!$B$15:$B$38,"Pipeline - Natural gas")/SUMIFS('Key inputs_EB_TRA'!G$15:G$38,'Key inputs_EB_TRA'!$B$15:$B$38,"Pipeline - Natural gas")&lt;0.001),0.001,SUMIFS('Key inputs_EB_TRA'!G$15:G$38,'Key inputs_EB_TRA'!$C$15:$C$38,$C26,'Key inputs_EB_TRA'!$B$15:$B$38,"Pipeline - Natural gas")/SUMIFS('Key inputs_EB_TRA'!G$15:G$38,'Key inputs_EB_TRA'!$B$15:$B$38,"Pipeline - Natural gas")),"")</f>
        <v>0</v>
      </c>
      <c r="N26" s="173">
        <f>IFERROR(IF(AND(SUMIFS('Key inputs_EB_TRA'!H$15:H$38,'Key inputs_EB_TRA'!$C$15:$C$38,$C26,'Key inputs_EB_TRA'!$B$15:$B$38,"Pipeline - Natural gas")/SUMIFS('Key inputs_EB_TRA'!H$15:H$38,'Key inputs_EB_TRA'!$B$15:$B$38,"Pipeline - Natural gas")&gt;0,SUMIFS('Key inputs_EB_TRA'!H$15:H$38,'Key inputs_EB_TRA'!$C$15:$C$38,$C26,'Key inputs_EB_TRA'!$B$15:$B$38,"Pipeline - Natural gas")/SUMIFS('Key inputs_EB_TRA'!H$15:H$38,'Key inputs_EB_TRA'!$B$15:$B$38,"Pipeline - Natural gas")&lt;0.001),0.001,SUMIFS('Key inputs_EB_TRA'!H$15:H$38,'Key inputs_EB_TRA'!$C$15:$C$38,$C26,'Key inputs_EB_TRA'!$B$15:$B$38,"Pipeline - Natural gas")/SUMIFS('Key inputs_EB_TRA'!H$15:H$38,'Key inputs_EB_TRA'!$B$15:$B$38,"Pipeline - Natural gas")),"")</f>
        <v>0</v>
      </c>
      <c r="O26" s="173">
        <f>IFERROR(IF(AND(SUMIFS('Key inputs_EB_TRA'!I$15:I$38,'Key inputs_EB_TRA'!$C$15:$C$38,$C26,'Key inputs_EB_TRA'!$B$15:$B$38,"Pipeline - Natural gas")/SUMIFS('Key inputs_EB_TRA'!I$15:I$38,'Key inputs_EB_TRA'!$B$15:$B$38,"Pipeline - Natural gas")&gt;0,SUMIFS('Key inputs_EB_TRA'!I$15:I$38,'Key inputs_EB_TRA'!$C$15:$C$38,$C26,'Key inputs_EB_TRA'!$B$15:$B$38,"Pipeline - Natural gas")/SUMIFS('Key inputs_EB_TRA'!I$15:I$38,'Key inputs_EB_TRA'!$B$15:$B$38,"Pipeline - Natural gas")&lt;0.001),0.001,SUMIFS('Key inputs_EB_TRA'!I$15:I$38,'Key inputs_EB_TRA'!$C$15:$C$38,$C26,'Key inputs_EB_TRA'!$B$15:$B$38,"Pipeline - Natural gas")/SUMIFS('Key inputs_EB_TRA'!I$15:I$38,'Key inputs_EB_TRA'!$B$15:$B$38,"Pipeline - Natural gas")),"")</f>
        <v>0</v>
      </c>
      <c r="P26" s="173">
        <f>IFERROR(IF(AND(SUMIFS('Key inputs_EB_TRA'!J$15:J$38,'Key inputs_EB_TRA'!$C$15:$C$38,$C26,'Key inputs_EB_TRA'!$B$15:$B$38,"Pipeline - Natural gas")/SUMIFS('Key inputs_EB_TRA'!J$15:J$38,'Key inputs_EB_TRA'!$B$15:$B$38,"Pipeline - Natural gas")&gt;0,SUMIFS('Key inputs_EB_TRA'!J$15:J$38,'Key inputs_EB_TRA'!$C$15:$C$38,$C26,'Key inputs_EB_TRA'!$B$15:$B$38,"Pipeline - Natural gas")/SUMIFS('Key inputs_EB_TRA'!J$15:J$38,'Key inputs_EB_TRA'!$B$15:$B$38,"Pipeline - Natural gas")&lt;0.001),0.001,SUMIFS('Key inputs_EB_TRA'!J$15:J$38,'Key inputs_EB_TRA'!$C$15:$C$38,$C26,'Key inputs_EB_TRA'!$B$15:$B$38,"Pipeline - Natural gas")/SUMIFS('Key inputs_EB_TRA'!J$15:J$38,'Key inputs_EB_TRA'!$B$15:$B$38,"Pipeline - Natural gas")),"")</f>
        <v>0</v>
      </c>
      <c r="Q26" s="173" t="str">
        <f>IFERROR(IF(AND(SUMIFS('Key inputs_EB_TRA'!K$15:K$38,'Key inputs_EB_TRA'!$C$15:$C$38,$C26,'Key inputs_EB_TRA'!$B$15:$B$38,"Pipeline - Natural gas")/SUMIFS('Key inputs_EB_TRA'!K$15:K$38,'Key inputs_EB_TRA'!$B$15:$B$38,"Pipeline - Natural gas")&gt;0,SUMIFS('Key inputs_EB_TRA'!K$15:K$38,'Key inputs_EB_TRA'!$C$15:$C$38,$C26,'Key inputs_EB_TRA'!$B$15:$B$38,"Pipeline - Natural gas")/SUMIFS('Key inputs_EB_TRA'!K$15:K$38,'Key inputs_EB_TRA'!$B$15:$B$38,"Pipeline - Natural gas")&lt;0.001),0.001,SUMIFS('Key inputs_EB_TRA'!K$15:K$38,'Key inputs_EB_TRA'!$C$15:$C$38,$C26,'Key inputs_EB_TRA'!$B$15:$B$38,"Pipeline - Natural gas")/SUMIFS('Key inputs_EB_TRA'!K$15:K$38,'Key inputs_EB_TRA'!$B$15:$B$38,"Pipeline - Natural gas")),"")</f>
        <v/>
      </c>
      <c r="R26" s="173" t="str">
        <f>IFERROR(IF(AND(SUMIFS('Key inputs_EB_TRA'!L$15:L$38,'Key inputs_EB_TRA'!$C$15:$C$38,$C26,'Key inputs_EB_TRA'!$B$15:$B$38,"Pipeline - Natural gas")/SUMIFS('Key inputs_EB_TRA'!L$15:L$38,'Key inputs_EB_TRA'!$B$15:$B$38,"Pipeline - Natural gas")&gt;0,SUMIFS('Key inputs_EB_TRA'!L$15:L$38,'Key inputs_EB_TRA'!$C$15:$C$38,$C26,'Key inputs_EB_TRA'!$B$15:$B$38,"Pipeline - Natural gas")/SUMIFS('Key inputs_EB_TRA'!L$15:L$38,'Key inputs_EB_TRA'!$B$15:$B$38,"Pipeline - Natural gas")&lt;0.001),0.001,SUMIFS('Key inputs_EB_TRA'!L$15:L$38,'Key inputs_EB_TRA'!$C$15:$C$38,$C26,'Key inputs_EB_TRA'!$B$15:$B$38,"Pipeline - Natural gas")/SUMIFS('Key inputs_EB_TRA'!L$15:L$38,'Key inputs_EB_TRA'!$B$15:$B$38,"Pipeline - Natural gas")),"")</f>
        <v/>
      </c>
      <c r="S26" s="173" t="str">
        <f>IFERROR(IF(AND(SUMIFS('Key inputs_EB_TRA'!M$15:M$38,'Key inputs_EB_TRA'!$C$15:$C$38,$C26,'Key inputs_EB_TRA'!$B$15:$B$38,"Pipeline - Natural gas")/SUMIFS('Key inputs_EB_TRA'!M$15:M$38,'Key inputs_EB_TRA'!$B$15:$B$38,"Pipeline - Natural gas")&gt;0,SUMIFS('Key inputs_EB_TRA'!M$15:M$38,'Key inputs_EB_TRA'!$C$15:$C$38,$C26,'Key inputs_EB_TRA'!$B$15:$B$38,"Pipeline - Natural gas")/SUMIFS('Key inputs_EB_TRA'!M$15:M$38,'Key inputs_EB_TRA'!$B$15:$B$38,"Pipeline - Natural gas")&lt;0.001),0.001,SUMIFS('Key inputs_EB_TRA'!M$15:M$38,'Key inputs_EB_TRA'!$C$15:$C$38,$C26,'Key inputs_EB_TRA'!$B$15:$B$38,"Pipeline - Natural gas")/SUMIFS('Key inputs_EB_TRA'!M$15:M$38,'Key inputs_EB_TRA'!$B$15:$B$38,"Pipeline - Natural gas")),"")</f>
        <v/>
      </c>
      <c r="T26" s="173">
        <f>IFERROR(IF(AND(SUMIFS('Key inputs_EB_TRA'!N$15:N$38,'Key inputs_EB_TRA'!$C$15:$C$38,$C26,'Key inputs_EB_TRA'!$B$15:$B$38,"Pipeline - Natural gas")/SUMIFS('Key inputs_EB_TRA'!N$15:N$38,'Key inputs_EB_TRA'!$B$15:$B$38,"Pipeline - Natural gas")&gt;0,SUMIFS('Key inputs_EB_TRA'!N$15:N$38,'Key inputs_EB_TRA'!$C$15:$C$38,$C26,'Key inputs_EB_TRA'!$B$15:$B$38,"Pipeline - Natural gas")/SUMIFS('Key inputs_EB_TRA'!N$15:N$38,'Key inputs_EB_TRA'!$B$15:$B$38,"Pipeline - Natural gas")&lt;0.001),0.001,SUMIFS('Key inputs_EB_TRA'!N$15:N$38,'Key inputs_EB_TRA'!$C$15:$C$38,$C26,'Key inputs_EB_TRA'!$B$15:$B$38,"Pipeline - Natural gas")/SUMIFS('Key inputs_EB_TRA'!N$15:N$38,'Key inputs_EB_TRA'!$B$15:$B$38,"Pipeline - Natural gas")),"")</f>
        <v>0</v>
      </c>
      <c r="U26" s="173">
        <f>IFERROR(IF(AND(SUMIFS('Key inputs_EB_TRA'!O$15:O$38,'Key inputs_EB_TRA'!$C$15:$C$38,$C26,'Key inputs_EB_TRA'!$B$15:$B$38,"Pipeline - Natural gas")/SUMIFS('Key inputs_EB_TRA'!O$15:O$38,'Key inputs_EB_TRA'!$B$15:$B$38,"Pipeline - Natural gas")&gt;0,SUMIFS('Key inputs_EB_TRA'!O$15:O$38,'Key inputs_EB_TRA'!$C$15:$C$38,$C26,'Key inputs_EB_TRA'!$B$15:$B$38,"Pipeline - Natural gas")/SUMIFS('Key inputs_EB_TRA'!O$15:O$38,'Key inputs_EB_TRA'!$B$15:$B$38,"Pipeline - Natural gas")&lt;0.001),0.001,SUMIFS('Key inputs_EB_TRA'!O$15:O$38,'Key inputs_EB_TRA'!$C$15:$C$38,$C26,'Key inputs_EB_TRA'!$B$15:$B$38,"Pipeline - Natural gas")/SUMIFS('Key inputs_EB_TRA'!O$15:O$38,'Key inputs_EB_TRA'!$B$15:$B$38,"Pipeline - Natural gas")),"")</f>
        <v>0</v>
      </c>
      <c r="V26" s="173">
        <f>IFERROR(IF(AND(SUMIFS('Key inputs_EB_TRA'!P$15:P$38,'Key inputs_EB_TRA'!$C$15:$C$38,$C26,'Key inputs_EB_TRA'!$B$15:$B$38,"Pipeline - Natural gas")/SUMIFS('Key inputs_EB_TRA'!P$15:P$38,'Key inputs_EB_TRA'!$B$15:$B$38,"Pipeline - Natural gas")&gt;0,SUMIFS('Key inputs_EB_TRA'!P$15:P$38,'Key inputs_EB_TRA'!$C$15:$C$38,$C26,'Key inputs_EB_TRA'!$B$15:$B$38,"Pipeline - Natural gas")/SUMIFS('Key inputs_EB_TRA'!P$15:P$38,'Key inputs_EB_TRA'!$B$15:$B$38,"Pipeline - Natural gas")&lt;0.001),0.001,SUMIFS('Key inputs_EB_TRA'!P$15:P$38,'Key inputs_EB_TRA'!$C$15:$C$38,$C26,'Key inputs_EB_TRA'!$B$15:$B$38,"Pipeline - Natural gas")/SUMIFS('Key inputs_EB_TRA'!P$15:P$38,'Key inputs_EB_TRA'!$B$15:$B$38,"Pipeline - Natural gas")),"")</f>
        <v>0.29224258250416457</v>
      </c>
      <c r="W26" s="173">
        <f>IFERROR(IF(AND(SUMIFS('Key inputs_EB_TRA'!Q$15:Q$38,'Key inputs_EB_TRA'!$C$15:$C$38,$C26,'Key inputs_EB_TRA'!$B$15:$B$38,"Pipeline - Natural gas")/SUMIFS('Key inputs_EB_TRA'!Q$15:Q$38,'Key inputs_EB_TRA'!$B$15:$B$38,"Pipeline - Natural gas")&gt;0,SUMIFS('Key inputs_EB_TRA'!Q$15:Q$38,'Key inputs_EB_TRA'!$C$15:$C$38,$C26,'Key inputs_EB_TRA'!$B$15:$B$38,"Pipeline - Natural gas")/SUMIFS('Key inputs_EB_TRA'!Q$15:Q$38,'Key inputs_EB_TRA'!$B$15:$B$38,"Pipeline - Natural gas")&lt;0.001),0.001,SUMIFS('Key inputs_EB_TRA'!Q$15:Q$38,'Key inputs_EB_TRA'!$C$15:$C$38,$C26,'Key inputs_EB_TRA'!$B$15:$B$38,"Pipeline - Natural gas")/SUMIFS('Key inputs_EB_TRA'!Q$15:Q$38,'Key inputs_EB_TRA'!$B$15:$B$38,"Pipeline - Natural gas")),"")</f>
        <v>0</v>
      </c>
      <c r="X26" s="173">
        <f>IFERROR(IF(AND(SUMIFS('Key inputs_EB_TRA'!R$15:R$38,'Key inputs_EB_TRA'!$C$15:$C$38,$C26,'Key inputs_EB_TRA'!$B$15:$B$38,"Pipeline - Natural gas")/SUMIFS('Key inputs_EB_TRA'!R$15:R$38,'Key inputs_EB_TRA'!$B$15:$B$38,"Pipeline - Natural gas")&gt;0,SUMIFS('Key inputs_EB_TRA'!R$15:R$38,'Key inputs_EB_TRA'!$C$15:$C$38,$C26,'Key inputs_EB_TRA'!$B$15:$B$38,"Pipeline - Natural gas")/SUMIFS('Key inputs_EB_TRA'!R$15:R$38,'Key inputs_EB_TRA'!$B$15:$B$38,"Pipeline - Natural gas")&lt;0.001),0.001,SUMIFS('Key inputs_EB_TRA'!R$15:R$38,'Key inputs_EB_TRA'!$C$15:$C$38,$C26,'Key inputs_EB_TRA'!$B$15:$B$38,"Pipeline - Natural gas")/SUMIFS('Key inputs_EB_TRA'!R$15:R$38,'Key inputs_EB_TRA'!$B$15:$B$38,"Pipeline - Natural gas")),"")</f>
        <v>0</v>
      </c>
      <c r="Y26" s="173">
        <f>IFERROR(IF(AND(SUMIFS('Key inputs_EB_TRA'!S$15:S$38,'Key inputs_EB_TRA'!$C$15:$C$38,$C26,'Key inputs_EB_TRA'!$B$15:$B$38,"Pipeline - Natural gas")/SUMIFS('Key inputs_EB_TRA'!S$15:S$38,'Key inputs_EB_TRA'!$B$15:$B$38,"Pipeline - Natural gas")&gt;0,SUMIFS('Key inputs_EB_TRA'!S$15:S$38,'Key inputs_EB_TRA'!$C$15:$C$38,$C26,'Key inputs_EB_TRA'!$B$15:$B$38,"Pipeline - Natural gas")/SUMIFS('Key inputs_EB_TRA'!S$15:S$38,'Key inputs_EB_TRA'!$B$15:$B$38,"Pipeline - Natural gas")&lt;0.001),0.001,SUMIFS('Key inputs_EB_TRA'!S$15:S$38,'Key inputs_EB_TRA'!$C$15:$C$38,$C26,'Key inputs_EB_TRA'!$B$15:$B$38,"Pipeline - Natural gas")/SUMIFS('Key inputs_EB_TRA'!S$15:S$38,'Key inputs_EB_TRA'!$B$15:$B$38,"Pipeline - Natural gas")),"")</f>
        <v>0</v>
      </c>
      <c r="Z26" s="173">
        <f>IFERROR(IF(AND(SUMIFS('Key inputs_EB_TRA'!T$15:T$38,'Key inputs_EB_TRA'!$C$15:$C$38,$C26,'Key inputs_EB_TRA'!$B$15:$B$38,"Pipeline - Natural gas")/SUMIFS('Key inputs_EB_TRA'!T$15:T$38,'Key inputs_EB_TRA'!$B$15:$B$38,"Pipeline - Natural gas")&gt;0,SUMIFS('Key inputs_EB_TRA'!T$15:T$38,'Key inputs_EB_TRA'!$C$15:$C$38,$C26,'Key inputs_EB_TRA'!$B$15:$B$38,"Pipeline - Natural gas")/SUMIFS('Key inputs_EB_TRA'!T$15:T$38,'Key inputs_EB_TRA'!$B$15:$B$38,"Pipeline - Natural gas")&lt;0.001),0.001,SUMIFS('Key inputs_EB_TRA'!T$15:T$38,'Key inputs_EB_TRA'!$C$15:$C$38,$C26,'Key inputs_EB_TRA'!$B$15:$B$38,"Pipeline - Natural gas")/SUMIFS('Key inputs_EB_TRA'!T$15:T$38,'Key inputs_EB_TRA'!$B$15:$B$38,"Pipeline - Natural gas")),"")</f>
        <v>0</v>
      </c>
      <c r="AA26" s="173">
        <f>IFERROR(IF(AND(SUMIFS('Key inputs_EB_TRA'!U$15:U$38,'Key inputs_EB_TRA'!$C$15:$C$38,$C26,'Key inputs_EB_TRA'!$B$15:$B$38,"Pipeline - Natural gas")/SUMIFS('Key inputs_EB_TRA'!U$15:U$38,'Key inputs_EB_TRA'!$B$15:$B$38,"Pipeline - Natural gas")&gt;0,SUMIFS('Key inputs_EB_TRA'!U$15:U$38,'Key inputs_EB_TRA'!$C$15:$C$38,$C26,'Key inputs_EB_TRA'!$B$15:$B$38,"Pipeline - Natural gas")/SUMIFS('Key inputs_EB_TRA'!U$15:U$38,'Key inputs_EB_TRA'!$B$15:$B$38,"Pipeline - Natural gas")&lt;0.001),0.001,SUMIFS('Key inputs_EB_TRA'!U$15:U$38,'Key inputs_EB_TRA'!$C$15:$C$38,$C26,'Key inputs_EB_TRA'!$B$15:$B$38,"Pipeline - Natural gas")/SUMIFS('Key inputs_EB_TRA'!U$15:U$38,'Key inputs_EB_TRA'!$B$15:$B$38,"Pipeline - Natural gas")),"")</f>
        <v>0</v>
      </c>
      <c r="AB26" s="173" t="str">
        <f>IFERROR(IF(AND(SUMIFS('Key inputs_EB_TRA'!V$15:V$38,'Key inputs_EB_TRA'!$C$15:$C$38,$C26,'Key inputs_EB_TRA'!$B$15:$B$38,"Pipeline - Natural gas")/SUMIFS('Key inputs_EB_TRA'!V$15:V$38,'Key inputs_EB_TRA'!$B$15:$B$38,"Pipeline - Natural gas")&gt;0,SUMIFS('Key inputs_EB_TRA'!V$15:V$38,'Key inputs_EB_TRA'!$C$15:$C$38,$C26,'Key inputs_EB_TRA'!$B$15:$B$38,"Pipeline - Natural gas")/SUMIFS('Key inputs_EB_TRA'!V$15:V$38,'Key inputs_EB_TRA'!$B$15:$B$38,"Pipeline - Natural gas")&lt;0.001),0.001,SUMIFS('Key inputs_EB_TRA'!V$15:V$38,'Key inputs_EB_TRA'!$C$15:$C$38,$C26,'Key inputs_EB_TRA'!$B$15:$B$38,"Pipeline - Natural gas")/SUMIFS('Key inputs_EB_TRA'!V$15:V$38,'Key inputs_EB_TRA'!$B$15:$B$38,"Pipeline - Natural gas")),"")</f>
        <v/>
      </c>
      <c r="AC26" s="173">
        <f>IFERROR(IF(AND(SUMIFS('Key inputs_EB_TRA'!W$15:W$38,'Key inputs_EB_TRA'!$C$15:$C$38,$C26,'Key inputs_EB_TRA'!$B$15:$B$38,"Pipeline - Natural gas")/SUMIFS('Key inputs_EB_TRA'!W$15:W$38,'Key inputs_EB_TRA'!$B$15:$B$38,"Pipeline - Natural gas")&gt;0,SUMIFS('Key inputs_EB_TRA'!W$15:W$38,'Key inputs_EB_TRA'!$C$15:$C$38,$C26,'Key inputs_EB_TRA'!$B$15:$B$38,"Pipeline - Natural gas")/SUMIFS('Key inputs_EB_TRA'!W$15:W$38,'Key inputs_EB_TRA'!$B$15:$B$38,"Pipeline - Natural gas")&lt;0.001),0.001,SUMIFS('Key inputs_EB_TRA'!W$15:W$38,'Key inputs_EB_TRA'!$C$15:$C$38,$C26,'Key inputs_EB_TRA'!$B$15:$B$38,"Pipeline - Natural gas")/SUMIFS('Key inputs_EB_TRA'!W$15:W$38,'Key inputs_EB_TRA'!$B$15:$B$38,"Pipeline - Natural gas")),"")</f>
        <v>0</v>
      </c>
      <c r="AD26" s="173" t="str">
        <f>IFERROR(IF(AND(SUMIFS('Key inputs_EB_TRA'!X$15:X$38,'Key inputs_EB_TRA'!$C$15:$C$38,$C26,'Key inputs_EB_TRA'!$B$15:$B$38,"Pipeline - Natural gas")/SUMIFS('Key inputs_EB_TRA'!X$15:X$38,'Key inputs_EB_TRA'!$B$15:$B$38,"Pipeline - Natural gas")&gt;0,SUMIFS('Key inputs_EB_TRA'!X$15:X$38,'Key inputs_EB_TRA'!$C$15:$C$38,$C26,'Key inputs_EB_TRA'!$B$15:$B$38,"Pipeline - Natural gas")/SUMIFS('Key inputs_EB_TRA'!X$15:X$38,'Key inputs_EB_TRA'!$B$15:$B$38,"Pipeline - Natural gas")&lt;0.001),0.001,SUMIFS('Key inputs_EB_TRA'!X$15:X$38,'Key inputs_EB_TRA'!$C$15:$C$38,$C26,'Key inputs_EB_TRA'!$B$15:$B$38,"Pipeline - Natural gas")/SUMIFS('Key inputs_EB_TRA'!X$15:X$38,'Key inputs_EB_TRA'!$B$15:$B$38,"Pipeline - Natural gas")),"")</f>
        <v/>
      </c>
      <c r="AE26" s="173">
        <f>IFERROR(IF(AND(SUMIFS('Key inputs_EB_TRA'!Y$15:Y$38,'Key inputs_EB_TRA'!$C$15:$C$38,$C26,'Key inputs_EB_TRA'!$B$15:$B$38,"Pipeline - Natural gas")/SUMIFS('Key inputs_EB_TRA'!Y$15:Y$38,'Key inputs_EB_TRA'!$B$15:$B$38,"Pipeline - Natural gas")&gt;0,SUMIFS('Key inputs_EB_TRA'!Y$15:Y$38,'Key inputs_EB_TRA'!$C$15:$C$38,$C26,'Key inputs_EB_TRA'!$B$15:$B$38,"Pipeline - Natural gas")/SUMIFS('Key inputs_EB_TRA'!Y$15:Y$38,'Key inputs_EB_TRA'!$B$15:$B$38,"Pipeline - Natural gas")&lt;0.001),0.001,SUMIFS('Key inputs_EB_TRA'!Y$15:Y$38,'Key inputs_EB_TRA'!$C$15:$C$38,$C26,'Key inputs_EB_TRA'!$B$15:$B$38,"Pipeline - Natural gas")/SUMIFS('Key inputs_EB_TRA'!Y$15:Y$38,'Key inputs_EB_TRA'!$B$15:$B$38,"Pipeline - Natural gas")),"")</f>
        <v>0</v>
      </c>
      <c r="AF26" s="173">
        <f>IFERROR(IF(AND(SUMIFS('Key inputs_EB_TRA'!Z$15:Z$38,'Key inputs_EB_TRA'!$C$15:$C$38,$C26,'Key inputs_EB_TRA'!$B$15:$B$38,"Pipeline - Natural gas")/SUMIFS('Key inputs_EB_TRA'!Z$15:Z$38,'Key inputs_EB_TRA'!$B$15:$B$38,"Pipeline - Natural gas")&gt;0,SUMIFS('Key inputs_EB_TRA'!Z$15:Z$38,'Key inputs_EB_TRA'!$C$15:$C$38,$C26,'Key inputs_EB_TRA'!$B$15:$B$38,"Pipeline - Natural gas")/SUMIFS('Key inputs_EB_TRA'!Z$15:Z$38,'Key inputs_EB_TRA'!$B$15:$B$38,"Pipeline - Natural gas")&lt;0.001),0.001,SUMIFS('Key inputs_EB_TRA'!Z$15:Z$38,'Key inputs_EB_TRA'!$C$15:$C$38,$C26,'Key inputs_EB_TRA'!$B$15:$B$38,"Pipeline - Natural gas")/SUMIFS('Key inputs_EB_TRA'!Z$15:Z$38,'Key inputs_EB_TRA'!$B$15:$B$38,"Pipeline - Natural gas")),"")</f>
        <v>0</v>
      </c>
      <c r="AG26" s="173">
        <f>IFERROR(IF(AND(SUMIFS('Key inputs_EB_TRA'!AA$15:AA$38,'Key inputs_EB_TRA'!$C$15:$C$38,$C26,'Key inputs_EB_TRA'!$B$15:$B$38,"Pipeline - Natural gas")/SUMIFS('Key inputs_EB_TRA'!AA$15:AA$38,'Key inputs_EB_TRA'!$B$15:$B$38,"Pipeline - Natural gas")&gt;0,SUMIFS('Key inputs_EB_TRA'!AA$15:AA$38,'Key inputs_EB_TRA'!$C$15:$C$38,$C26,'Key inputs_EB_TRA'!$B$15:$B$38,"Pipeline - Natural gas")/SUMIFS('Key inputs_EB_TRA'!AA$15:AA$38,'Key inputs_EB_TRA'!$B$15:$B$38,"Pipeline - Natural gas")&lt;0.001),0.001,SUMIFS('Key inputs_EB_TRA'!AA$15:AA$38,'Key inputs_EB_TRA'!$C$15:$C$38,$C26,'Key inputs_EB_TRA'!$B$15:$B$38,"Pipeline - Natural gas")/SUMIFS('Key inputs_EB_TRA'!AA$15:AA$38,'Key inputs_EB_TRA'!$B$15:$B$38,"Pipeline - Natural gas")),"")</f>
        <v>0</v>
      </c>
      <c r="AH26" s="173" t="str">
        <f>IFERROR(IF(AND(SUMIFS('Key inputs_EB_TRA'!AB$15:AB$38,'Key inputs_EB_TRA'!$C$15:$C$38,$C26,'Key inputs_EB_TRA'!$B$15:$B$38,"Pipeline - Natural gas")/SUMIFS('Key inputs_EB_TRA'!AB$15:AB$38,'Key inputs_EB_TRA'!$B$15:$B$38,"Pipeline - Natural gas")&gt;0,SUMIFS('Key inputs_EB_TRA'!AB$15:AB$38,'Key inputs_EB_TRA'!$C$15:$C$38,$C26,'Key inputs_EB_TRA'!$B$15:$B$38,"Pipeline - Natural gas")/SUMIFS('Key inputs_EB_TRA'!AB$15:AB$38,'Key inputs_EB_TRA'!$B$15:$B$38,"Pipeline - Natural gas")&lt;0.001),0.001,SUMIFS('Key inputs_EB_TRA'!AB$15:AB$38,'Key inputs_EB_TRA'!$C$15:$C$38,$C26,'Key inputs_EB_TRA'!$B$15:$B$38,"Pipeline - Natural gas")/SUMIFS('Key inputs_EB_TRA'!AB$15:AB$38,'Key inputs_EB_TRA'!$B$15:$B$38,"Pipeline - Natural gas")),"")</f>
        <v/>
      </c>
      <c r="AI26" s="173" t="str">
        <f>IFERROR(IF(AND(SUMIFS('Key inputs_EB_TRA'!AC$15:AC$38,'Key inputs_EB_TRA'!$C$15:$C$38,$C26,'Key inputs_EB_TRA'!$B$15:$B$38,"Pipeline - Natural gas")/SUMIFS('Key inputs_EB_TRA'!AC$15:AC$38,'Key inputs_EB_TRA'!$B$15:$B$38,"Pipeline - Natural gas")&gt;0,SUMIFS('Key inputs_EB_TRA'!AC$15:AC$38,'Key inputs_EB_TRA'!$C$15:$C$38,$C26,'Key inputs_EB_TRA'!$B$15:$B$38,"Pipeline - Natural gas")/SUMIFS('Key inputs_EB_TRA'!AC$15:AC$38,'Key inputs_EB_TRA'!$B$15:$B$38,"Pipeline - Natural gas")&lt;0.001),0.001,SUMIFS('Key inputs_EB_TRA'!AC$15:AC$38,'Key inputs_EB_TRA'!$C$15:$C$38,$C26,'Key inputs_EB_TRA'!$B$15:$B$38,"Pipeline - Natural gas")/SUMIFS('Key inputs_EB_TRA'!AC$15:AC$38,'Key inputs_EB_TRA'!$B$15:$B$38,"Pipeline - Natural gas")),"")</f>
        <v/>
      </c>
      <c r="AJ26" s="173">
        <f>IFERROR(IF(AND(SUMIFS('Key inputs_EB_TRA'!AD$15:AD$38,'Key inputs_EB_TRA'!$C$15:$C$38,$C26,'Key inputs_EB_TRA'!$B$15:$B$38,"Pipeline - Natural gas")/SUMIFS('Key inputs_EB_TRA'!AD$15:AD$38,'Key inputs_EB_TRA'!$B$15:$B$38,"Pipeline - Natural gas")&gt;0,SUMIFS('Key inputs_EB_TRA'!AD$15:AD$38,'Key inputs_EB_TRA'!$C$15:$C$38,$C26,'Key inputs_EB_TRA'!$B$15:$B$38,"Pipeline - Natural gas")/SUMIFS('Key inputs_EB_TRA'!AD$15:AD$38,'Key inputs_EB_TRA'!$B$15:$B$38,"Pipeline - Natural gas")&lt;0.001),0.001,SUMIFS('Key inputs_EB_TRA'!AD$15:AD$38,'Key inputs_EB_TRA'!$C$15:$C$38,$C26,'Key inputs_EB_TRA'!$B$15:$B$38,"Pipeline - Natural gas")/SUMIFS('Key inputs_EB_TRA'!AD$15:AD$38,'Key inputs_EB_TRA'!$B$15:$B$38,"Pipeline - Natural gas")),"")</f>
        <v>1E-3</v>
      </c>
      <c r="AK26" s="173">
        <f>IFERROR(IF(AND(SUMIFS('Key inputs_EB_TRA'!AE$15:AE$38,'Key inputs_EB_TRA'!$C$15:$C$38,$C26,'Key inputs_EB_TRA'!$B$15:$B$38,"Pipeline - Natural gas")/SUMIFS('Key inputs_EB_TRA'!AE$15:AE$38,'Key inputs_EB_TRA'!$B$15:$B$38,"Pipeline - Natural gas")&gt;0,SUMIFS('Key inputs_EB_TRA'!AE$15:AE$38,'Key inputs_EB_TRA'!$C$15:$C$38,$C26,'Key inputs_EB_TRA'!$B$15:$B$38,"Pipeline - Natural gas")/SUMIFS('Key inputs_EB_TRA'!AE$15:AE$38,'Key inputs_EB_TRA'!$B$15:$B$38,"Pipeline - Natural gas")&lt;0.001),0.001,SUMIFS('Key inputs_EB_TRA'!AE$15:AE$38,'Key inputs_EB_TRA'!$C$15:$C$38,$C26,'Key inputs_EB_TRA'!$B$15:$B$38,"Pipeline - Natural gas")/SUMIFS('Key inputs_EB_TRA'!AE$15:AE$38,'Key inputs_EB_TRA'!$B$15:$B$38,"Pipeline - Natural gas")),"")</f>
        <v>8.9285714285714288E-2</v>
      </c>
      <c r="AL26" s="173">
        <f>IFERROR(IF(AND(SUMIFS('Key inputs_EB_TRA'!AF$15:AF$38,'Key inputs_EB_TRA'!$C$15:$C$38,$C26,'Key inputs_EB_TRA'!$B$15:$B$38,"Pipeline - Natural gas")/SUMIFS('Key inputs_EB_TRA'!AF$15:AF$38,'Key inputs_EB_TRA'!$B$15:$B$38,"Pipeline - Natural gas")&gt;0,SUMIFS('Key inputs_EB_TRA'!AF$15:AF$38,'Key inputs_EB_TRA'!$C$15:$C$38,$C26,'Key inputs_EB_TRA'!$B$15:$B$38,"Pipeline - Natural gas")/SUMIFS('Key inputs_EB_TRA'!AF$15:AF$38,'Key inputs_EB_TRA'!$B$15:$B$38,"Pipeline - Natural gas")&lt;0.001),0.001,SUMIFS('Key inputs_EB_TRA'!AF$15:AF$38,'Key inputs_EB_TRA'!$C$15:$C$38,$C26,'Key inputs_EB_TRA'!$B$15:$B$38,"Pipeline - Natural gas")/SUMIFS('Key inputs_EB_TRA'!AF$15:AF$38,'Key inputs_EB_TRA'!$B$15:$B$38,"Pipeline - Natural gas")),"")</f>
        <v>0</v>
      </c>
    </row>
    <row r="27" spans="1:38">
      <c r="C27" t="str">
        <f>Commodities!$C$96</f>
        <v>UPSKER</v>
      </c>
      <c r="F27" s="4" t="s">
        <v>359</v>
      </c>
      <c r="G27" s="4" t="s">
        <v>702</v>
      </c>
      <c r="H27" t="s">
        <v>661</v>
      </c>
      <c r="I27">
        <v>2019</v>
      </c>
      <c r="J27" t="s">
        <v>650</v>
      </c>
      <c r="K27" s="263" t="str">
        <f>IFERROR(IF(AND(SUMIFS('Key inputs_EB_TRA'!E$15:E$38,'Key inputs_EB_TRA'!$C$15:$C$38,$C27,'Key inputs_EB_TRA'!$B$15:$B$38,"Pipeline - Natural gas")/SUMIFS('Key inputs_EB_TRA'!E$15:E$38,'Key inputs_EB_TRA'!$B$15:$B$38,"Pipeline - Natural gas")&gt;0,SUMIFS('Key inputs_EB_TRA'!E$15:E$38,'Key inputs_EB_TRA'!$C$15:$C$38,$C27,'Key inputs_EB_TRA'!$B$15:$B$38,"Pipeline - Natural gas")/SUMIFS('Key inputs_EB_TRA'!E$15:E$38,'Key inputs_EB_TRA'!$B$15:$B$38,"Pipeline - Natural gas")&lt;0.001),0.001,SUMIFS('Key inputs_EB_TRA'!E$15:E$38,'Key inputs_EB_TRA'!$C$15:$C$38,$C27,'Key inputs_EB_TRA'!$B$15:$B$38,"Pipeline - Natural gas")/SUMIFS('Key inputs_EB_TRA'!E$15:E$38,'Key inputs_EB_TRA'!$B$15:$B$38,"Pipeline - Natural gas")),"")</f>
        <v/>
      </c>
      <c r="L27" s="173">
        <f>IFERROR(IF(AND(SUMIFS('Key inputs_EB_TRA'!F$15:F$38,'Key inputs_EB_TRA'!$C$15:$C$38,$C27,'Key inputs_EB_TRA'!$B$15:$B$38,"Pipeline - Natural gas")/SUMIFS('Key inputs_EB_TRA'!F$15:F$38,'Key inputs_EB_TRA'!$B$15:$B$38,"Pipeline - Natural gas")&gt;0,SUMIFS('Key inputs_EB_TRA'!F$15:F$38,'Key inputs_EB_TRA'!$C$15:$C$38,$C27,'Key inputs_EB_TRA'!$B$15:$B$38,"Pipeline - Natural gas")/SUMIFS('Key inputs_EB_TRA'!F$15:F$38,'Key inputs_EB_TRA'!$B$15:$B$38,"Pipeline - Natural gas")&lt;0.001),0.001,SUMIFS('Key inputs_EB_TRA'!F$15:F$38,'Key inputs_EB_TRA'!$C$15:$C$38,$C27,'Key inputs_EB_TRA'!$B$15:$B$38,"Pipeline - Natural gas")/SUMIFS('Key inputs_EB_TRA'!F$15:F$38,'Key inputs_EB_TRA'!$B$15:$B$38,"Pipeline - Natural gas")),"")</f>
        <v>0</v>
      </c>
      <c r="M27" s="173">
        <f>IFERROR(IF(AND(SUMIFS('Key inputs_EB_TRA'!G$15:G$38,'Key inputs_EB_TRA'!$C$15:$C$38,$C27,'Key inputs_EB_TRA'!$B$15:$B$38,"Pipeline - Natural gas")/SUMIFS('Key inputs_EB_TRA'!G$15:G$38,'Key inputs_EB_TRA'!$B$15:$B$38,"Pipeline - Natural gas")&gt;0,SUMIFS('Key inputs_EB_TRA'!G$15:G$38,'Key inputs_EB_TRA'!$C$15:$C$38,$C27,'Key inputs_EB_TRA'!$B$15:$B$38,"Pipeline - Natural gas")/SUMIFS('Key inputs_EB_TRA'!G$15:G$38,'Key inputs_EB_TRA'!$B$15:$B$38,"Pipeline - Natural gas")&lt;0.001),0.001,SUMIFS('Key inputs_EB_TRA'!G$15:G$38,'Key inputs_EB_TRA'!$C$15:$C$38,$C27,'Key inputs_EB_TRA'!$B$15:$B$38,"Pipeline - Natural gas")/SUMIFS('Key inputs_EB_TRA'!G$15:G$38,'Key inputs_EB_TRA'!$B$15:$B$38,"Pipeline - Natural gas")),"")</f>
        <v>0</v>
      </c>
      <c r="N27" s="173">
        <f>IFERROR(IF(AND(SUMIFS('Key inputs_EB_TRA'!H$15:H$38,'Key inputs_EB_TRA'!$C$15:$C$38,$C27,'Key inputs_EB_TRA'!$B$15:$B$38,"Pipeline - Natural gas")/SUMIFS('Key inputs_EB_TRA'!H$15:H$38,'Key inputs_EB_TRA'!$B$15:$B$38,"Pipeline - Natural gas")&gt;0,SUMIFS('Key inputs_EB_TRA'!H$15:H$38,'Key inputs_EB_TRA'!$C$15:$C$38,$C27,'Key inputs_EB_TRA'!$B$15:$B$38,"Pipeline - Natural gas")/SUMIFS('Key inputs_EB_TRA'!H$15:H$38,'Key inputs_EB_TRA'!$B$15:$B$38,"Pipeline - Natural gas")&lt;0.001),0.001,SUMIFS('Key inputs_EB_TRA'!H$15:H$38,'Key inputs_EB_TRA'!$C$15:$C$38,$C27,'Key inputs_EB_TRA'!$B$15:$B$38,"Pipeline - Natural gas")/SUMIFS('Key inputs_EB_TRA'!H$15:H$38,'Key inputs_EB_TRA'!$B$15:$B$38,"Pipeline - Natural gas")),"")</f>
        <v>0</v>
      </c>
      <c r="O27" s="173">
        <f>IFERROR(IF(AND(SUMIFS('Key inputs_EB_TRA'!I$15:I$38,'Key inputs_EB_TRA'!$C$15:$C$38,$C27,'Key inputs_EB_TRA'!$B$15:$B$38,"Pipeline - Natural gas")/SUMIFS('Key inputs_EB_TRA'!I$15:I$38,'Key inputs_EB_TRA'!$B$15:$B$38,"Pipeline - Natural gas")&gt;0,SUMIFS('Key inputs_EB_TRA'!I$15:I$38,'Key inputs_EB_TRA'!$C$15:$C$38,$C27,'Key inputs_EB_TRA'!$B$15:$B$38,"Pipeline - Natural gas")/SUMIFS('Key inputs_EB_TRA'!I$15:I$38,'Key inputs_EB_TRA'!$B$15:$B$38,"Pipeline - Natural gas")&lt;0.001),0.001,SUMIFS('Key inputs_EB_TRA'!I$15:I$38,'Key inputs_EB_TRA'!$C$15:$C$38,$C27,'Key inputs_EB_TRA'!$B$15:$B$38,"Pipeline - Natural gas")/SUMIFS('Key inputs_EB_TRA'!I$15:I$38,'Key inputs_EB_TRA'!$B$15:$B$38,"Pipeline - Natural gas")),"")</f>
        <v>0</v>
      </c>
      <c r="P27" s="173">
        <f>IFERROR(IF(AND(SUMIFS('Key inputs_EB_TRA'!J$15:J$38,'Key inputs_EB_TRA'!$C$15:$C$38,$C27,'Key inputs_EB_TRA'!$B$15:$B$38,"Pipeline - Natural gas")/SUMIFS('Key inputs_EB_TRA'!J$15:J$38,'Key inputs_EB_TRA'!$B$15:$B$38,"Pipeline - Natural gas")&gt;0,SUMIFS('Key inputs_EB_TRA'!J$15:J$38,'Key inputs_EB_TRA'!$C$15:$C$38,$C27,'Key inputs_EB_TRA'!$B$15:$B$38,"Pipeline - Natural gas")/SUMIFS('Key inputs_EB_TRA'!J$15:J$38,'Key inputs_EB_TRA'!$B$15:$B$38,"Pipeline - Natural gas")&lt;0.001),0.001,SUMIFS('Key inputs_EB_TRA'!J$15:J$38,'Key inputs_EB_TRA'!$C$15:$C$38,$C27,'Key inputs_EB_TRA'!$B$15:$B$38,"Pipeline - Natural gas")/SUMIFS('Key inputs_EB_TRA'!J$15:J$38,'Key inputs_EB_TRA'!$B$15:$B$38,"Pipeline - Natural gas")),"")</f>
        <v>0</v>
      </c>
      <c r="Q27" s="173" t="str">
        <f>IFERROR(IF(AND(SUMIFS('Key inputs_EB_TRA'!K$15:K$38,'Key inputs_EB_TRA'!$C$15:$C$38,$C27,'Key inputs_EB_TRA'!$B$15:$B$38,"Pipeline - Natural gas")/SUMIFS('Key inputs_EB_TRA'!K$15:K$38,'Key inputs_EB_TRA'!$B$15:$B$38,"Pipeline - Natural gas")&gt;0,SUMIFS('Key inputs_EB_TRA'!K$15:K$38,'Key inputs_EB_TRA'!$C$15:$C$38,$C27,'Key inputs_EB_TRA'!$B$15:$B$38,"Pipeline - Natural gas")/SUMIFS('Key inputs_EB_TRA'!K$15:K$38,'Key inputs_EB_TRA'!$B$15:$B$38,"Pipeline - Natural gas")&lt;0.001),0.001,SUMIFS('Key inputs_EB_TRA'!K$15:K$38,'Key inputs_EB_TRA'!$C$15:$C$38,$C27,'Key inputs_EB_TRA'!$B$15:$B$38,"Pipeline - Natural gas")/SUMIFS('Key inputs_EB_TRA'!K$15:K$38,'Key inputs_EB_TRA'!$B$15:$B$38,"Pipeline - Natural gas")),"")</f>
        <v/>
      </c>
      <c r="R27" s="173" t="str">
        <f>IFERROR(IF(AND(SUMIFS('Key inputs_EB_TRA'!L$15:L$38,'Key inputs_EB_TRA'!$C$15:$C$38,$C27,'Key inputs_EB_TRA'!$B$15:$B$38,"Pipeline - Natural gas")/SUMIFS('Key inputs_EB_TRA'!L$15:L$38,'Key inputs_EB_TRA'!$B$15:$B$38,"Pipeline - Natural gas")&gt;0,SUMIFS('Key inputs_EB_TRA'!L$15:L$38,'Key inputs_EB_TRA'!$C$15:$C$38,$C27,'Key inputs_EB_TRA'!$B$15:$B$38,"Pipeline - Natural gas")/SUMIFS('Key inputs_EB_TRA'!L$15:L$38,'Key inputs_EB_TRA'!$B$15:$B$38,"Pipeline - Natural gas")&lt;0.001),0.001,SUMIFS('Key inputs_EB_TRA'!L$15:L$38,'Key inputs_EB_TRA'!$C$15:$C$38,$C27,'Key inputs_EB_TRA'!$B$15:$B$38,"Pipeline - Natural gas")/SUMIFS('Key inputs_EB_TRA'!L$15:L$38,'Key inputs_EB_TRA'!$B$15:$B$38,"Pipeline - Natural gas")),"")</f>
        <v/>
      </c>
      <c r="S27" s="173" t="str">
        <f>IFERROR(IF(AND(SUMIFS('Key inputs_EB_TRA'!M$15:M$38,'Key inputs_EB_TRA'!$C$15:$C$38,$C27,'Key inputs_EB_TRA'!$B$15:$B$38,"Pipeline - Natural gas")/SUMIFS('Key inputs_EB_TRA'!M$15:M$38,'Key inputs_EB_TRA'!$B$15:$B$38,"Pipeline - Natural gas")&gt;0,SUMIFS('Key inputs_EB_TRA'!M$15:M$38,'Key inputs_EB_TRA'!$C$15:$C$38,$C27,'Key inputs_EB_TRA'!$B$15:$B$38,"Pipeline - Natural gas")/SUMIFS('Key inputs_EB_TRA'!M$15:M$38,'Key inputs_EB_TRA'!$B$15:$B$38,"Pipeline - Natural gas")&lt;0.001),0.001,SUMIFS('Key inputs_EB_TRA'!M$15:M$38,'Key inputs_EB_TRA'!$C$15:$C$38,$C27,'Key inputs_EB_TRA'!$B$15:$B$38,"Pipeline - Natural gas")/SUMIFS('Key inputs_EB_TRA'!M$15:M$38,'Key inputs_EB_TRA'!$B$15:$B$38,"Pipeline - Natural gas")),"")</f>
        <v/>
      </c>
      <c r="T27" s="173">
        <f>IFERROR(IF(AND(SUMIFS('Key inputs_EB_TRA'!N$15:N$38,'Key inputs_EB_TRA'!$C$15:$C$38,$C27,'Key inputs_EB_TRA'!$B$15:$B$38,"Pipeline - Natural gas")/SUMIFS('Key inputs_EB_TRA'!N$15:N$38,'Key inputs_EB_TRA'!$B$15:$B$38,"Pipeline - Natural gas")&gt;0,SUMIFS('Key inputs_EB_TRA'!N$15:N$38,'Key inputs_EB_TRA'!$C$15:$C$38,$C27,'Key inputs_EB_TRA'!$B$15:$B$38,"Pipeline - Natural gas")/SUMIFS('Key inputs_EB_TRA'!N$15:N$38,'Key inputs_EB_TRA'!$B$15:$B$38,"Pipeline - Natural gas")&lt;0.001),0.001,SUMIFS('Key inputs_EB_TRA'!N$15:N$38,'Key inputs_EB_TRA'!$C$15:$C$38,$C27,'Key inputs_EB_TRA'!$B$15:$B$38,"Pipeline - Natural gas")/SUMIFS('Key inputs_EB_TRA'!N$15:N$38,'Key inputs_EB_TRA'!$B$15:$B$38,"Pipeline - Natural gas")),"")</f>
        <v>0</v>
      </c>
      <c r="U27" s="173">
        <f>IFERROR(IF(AND(SUMIFS('Key inputs_EB_TRA'!O$15:O$38,'Key inputs_EB_TRA'!$C$15:$C$38,$C27,'Key inputs_EB_TRA'!$B$15:$B$38,"Pipeline - Natural gas")/SUMIFS('Key inputs_EB_TRA'!O$15:O$38,'Key inputs_EB_TRA'!$B$15:$B$38,"Pipeline - Natural gas")&gt;0,SUMIFS('Key inputs_EB_TRA'!O$15:O$38,'Key inputs_EB_TRA'!$C$15:$C$38,$C27,'Key inputs_EB_TRA'!$B$15:$B$38,"Pipeline - Natural gas")/SUMIFS('Key inputs_EB_TRA'!O$15:O$38,'Key inputs_EB_TRA'!$B$15:$B$38,"Pipeline - Natural gas")&lt;0.001),0.001,SUMIFS('Key inputs_EB_TRA'!O$15:O$38,'Key inputs_EB_TRA'!$C$15:$C$38,$C27,'Key inputs_EB_TRA'!$B$15:$B$38,"Pipeline - Natural gas")/SUMIFS('Key inputs_EB_TRA'!O$15:O$38,'Key inputs_EB_TRA'!$B$15:$B$38,"Pipeline - Natural gas")),"")</f>
        <v>0</v>
      </c>
      <c r="V27" s="173">
        <f>IFERROR(IF(AND(SUMIFS('Key inputs_EB_TRA'!P$15:P$38,'Key inputs_EB_TRA'!$C$15:$C$38,$C27,'Key inputs_EB_TRA'!$B$15:$B$38,"Pipeline - Natural gas")/SUMIFS('Key inputs_EB_TRA'!P$15:P$38,'Key inputs_EB_TRA'!$B$15:$B$38,"Pipeline - Natural gas")&gt;0,SUMIFS('Key inputs_EB_TRA'!P$15:P$38,'Key inputs_EB_TRA'!$C$15:$C$38,$C27,'Key inputs_EB_TRA'!$B$15:$B$38,"Pipeline - Natural gas")/SUMIFS('Key inputs_EB_TRA'!P$15:P$38,'Key inputs_EB_TRA'!$B$15:$B$38,"Pipeline - Natural gas")&lt;0.001),0.001,SUMIFS('Key inputs_EB_TRA'!P$15:P$38,'Key inputs_EB_TRA'!$C$15:$C$38,$C27,'Key inputs_EB_TRA'!$B$15:$B$38,"Pipeline - Natural gas")/SUMIFS('Key inputs_EB_TRA'!P$15:P$38,'Key inputs_EB_TRA'!$B$15:$B$38,"Pipeline - Natural gas")),"")</f>
        <v>0</v>
      </c>
      <c r="W27" s="173">
        <f>IFERROR(IF(AND(SUMIFS('Key inputs_EB_TRA'!Q$15:Q$38,'Key inputs_EB_TRA'!$C$15:$C$38,$C27,'Key inputs_EB_TRA'!$B$15:$B$38,"Pipeline - Natural gas")/SUMIFS('Key inputs_EB_TRA'!Q$15:Q$38,'Key inputs_EB_TRA'!$B$15:$B$38,"Pipeline - Natural gas")&gt;0,SUMIFS('Key inputs_EB_TRA'!Q$15:Q$38,'Key inputs_EB_TRA'!$C$15:$C$38,$C27,'Key inputs_EB_TRA'!$B$15:$B$38,"Pipeline - Natural gas")/SUMIFS('Key inputs_EB_TRA'!Q$15:Q$38,'Key inputs_EB_TRA'!$B$15:$B$38,"Pipeline - Natural gas")&lt;0.001),0.001,SUMIFS('Key inputs_EB_TRA'!Q$15:Q$38,'Key inputs_EB_TRA'!$C$15:$C$38,$C27,'Key inputs_EB_TRA'!$B$15:$B$38,"Pipeline - Natural gas")/SUMIFS('Key inputs_EB_TRA'!Q$15:Q$38,'Key inputs_EB_TRA'!$B$15:$B$38,"Pipeline - Natural gas")),"")</f>
        <v>0</v>
      </c>
      <c r="X27" s="173">
        <f>IFERROR(IF(AND(SUMIFS('Key inputs_EB_TRA'!R$15:R$38,'Key inputs_EB_TRA'!$C$15:$C$38,$C27,'Key inputs_EB_TRA'!$B$15:$B$38,"Pipeline - Natural gas")/SUMIFS('Key inputs_EB_TRA'!R$15:R$38,'Key inputs_EB_TRA'!$B$15:$B$38,"Pipeline - Natural gas")&gt;0,SUMIFS('Key inputs_EB_TRA'!R$15:R$38,'Key inputs_EB_TRA'!$C$15:$C$38,$C27,'Key inputs_EB_TRA'!$B$15:$B$38,"Pipeline - Natural gas")/SUMIFS('Key inputs_EB_TRA'!R$15:R$38,'Key inputs_EB_TRA'!$B$15:$B$38,"Pipeline - Natural gas")&lt;0.001),0.001,SUMIFS('Key inputs_EB_TRA'!R$15:R$38,'Key inputs_EB_TRA'!$C$15:$C$38,$C27,'Key inputs_EB_TRA'!$B$15:$B$38,"Pipeline - Natural gas")/SUMIFS('Key inputs_EB_TRA'!R$15:R$38,'Key inputs_EB_TRA'!$B$15:$B$38,"Pipeline - Natural gas")),"")</f>
        <v>0</v>
      </c>
      <c r="Y27" s="173">
        <f>IFERROR(IF(AND(SUMIFS('Key inputs_EB_TRA'!S$15:S$38,'Key inputs_EB_TRA'!$C$15:$C$38,$C27,'Key inputs_EB_TRA'!$B$15:$B$38,"Pipeline - Natural gas")/SUMIFS('Key inputs_EB_TRA'!S$15:S$38,'Key inputs_EB_TRA'!$B$15:$B$38,"Pipeline - Natural gas")&gt;0,SUMIFS('Key inputs_EB_TRA'!S$15:S$38,'Key inputs_EB_TRA'!$C$15:$C$38,$C27,'Key inputs_EB_TRA'!$B$15:$B$38,"Pipeline - Natural gas")/SUMIFS('Key inputs_EB_TRA'!S$15:S$38,'Key inputs_EB_TRA'!$B$15:$B$38,"Pipeline - Natural gas")&lt;0.001),0.001,SUMIFS('Key inputs_EB_TRA'!S$15:S$38,'Key inputs_EB_TRA'!$C$15:$C$38,$C27,'Key inputs_EB_TRA'!$B$15:$B$38,"Pipeline - Natural gas")/SUMIFS('Key inputs_EB_TRA'!S$15:S$38,'Key inputs_EB_TRA'!$B$15:$B$38,"Pipeline - Natural gas")),"")</f>
        <v>0</v>
      </c>
      <c r="Z27" s="173">
        <f>IFERROR(IF(AND(SUMIFS('Key inputs_EB_TRA'!T$15:T$38,'Key inputs_EB_TRA'!$C$15:$C$38,$C27,'Key inputs_EB_TRA'!$B$15:$B$38,"Pipeline - Natural gas")/SUMIFS('Key inputs_EB_TRA'!T$15:T$38,'Key inputs_EB_TRA'!$B$15:$B$38,"Pipeline - Natural gas")&gt;0,SUMIFS('Key inputs_EB_TRA'!T$15:T$38,'Key inputs_EB_TRA'!$C$15:$C$38,$C27,'Key inputs_EB_TRA'!$B$15:$B$38,"Pipeline - Natural gas")/SUMIFS('Key inputs_EB_TRA'!T$15:T$38,'Key inputs_EB_TRA'!$B$15:$B$38,"Pipeline - Natural gas")&lt;0.001),0.001,SUMIFS('Key inputs_EB_TRA'!T$15:T$38,'Key inputs_EB_TRA'!$C$15:$C$38,$C27,'Key inputs_EB_TRA'!$B$15:$B$38,"Pipeline - Natural gas")/SUMIFS('Key inputs_EB_TRA'!T$15:T$38,'Key inputs_EB_TRA'!$B$15:$B$38,"Pipeline - Natural gas")),"")</f>
        <v>0</v>
      </c>
      <c r="AA27" s="173">
        <f>IFERROR(IF(AND(SUMIFS('Key inputs_EB_TRA'!U$15:U$38,'Key inputs_EB_TRA'!$C$15:$C$38,$C27,'Key inputs_EB_TRA'!$B$15:$B$38,"Pipeline - Natural gas")/SUMIFS('Key inputs_EB_TRA'!U$15:U$38,'Key inputs_EB_TRA'!$B$15:$B$38,"Pipeline - Natural gas")&gt;0,SUMIFS('Key inputs_EB_TRA'!U$15:U$38,'Key inputs_EB_TRA'!$C$15:$C$38,$C27,'Key inputs_EB_TRA'!$B$15:$B$38,"Pipeline - Natural gas")/SUMIFS('Key inputs_EB_TRA'!U$15:U$38,'Key inputs_EB_TRA'!$B$15:$B$38,"Pipeline - Natural gas")&lt;0.001),0.001,SUMIFS('Key inputs_EB_TRA'!U$15:U$38,'Key inputs_EB_TRA'!$C$15:$C$38,$C27,'Key inputs_EB_TRA'!$B$15:$B$38,"Pipeline - Natural gas")/SUMIFS('Key inputs_EB_TRA'!U$15:U$38,'Key inputs_EB_TRA'!$B$15:$B$38,"Pipeline - Natural gas")),"")</f>
        <v>0</v>
      </c>
      <c r="AB27" s="173" t="str">
        <f>IFERROR(IF(AND(SUMIFS('Key inputs_EB_TRA'!V$15:V$38,'Key inputs_EB_TRA'!$C$15:$C$38,$C27,'Key inputs_EB_TRA'!$B$15:$B$38,"Pipeline - Natural gas")/SUMIFS('Key inputs_EB_TRA'!V$15:V$38,'Key inputs_EB_TRA'!$B$15:$B$38,"Pipeline - Natural gas")&gt;0,SUMIFS('Key inputs_EB_TRA'!V$15:V$38,'Key inputs_EB_TRA'!$C$15:$C$38,$C27,'Key inputs_EB_TRA'!$B$15:$B$38,"Pipeline - Natural gas")/SUMIFS('Key inputs_EB_TRA'!V$15:V$38,'Key inputs_EB_TRA'!$B$15:$B$38,"Pipeline - Natural gas")&lt;0.001),0.001,SUMIFS('Key inputs_EB_TRA'!V$15:V$38,'Key inputs_EB_TRA'!$C$15:$C$38,$C27,'Key inputs_EB_TRA'!$B$15:$B$38,"Pipeline - Natural gas")/SUMIFS('Key inputs_EB_TRA'!V$15:V$38,'Key inputs_EB_TRA'!$B$15:$B$38,"Pipeline - Natural gas")),"")</f>
        <v/>
      </c>
      <c r="AC27" s="173">
        <f>IFERROR(IF(AND(SUMIFS('Key inputs_EB_TRA'!W$15:W$38,'Key inputs_EB_TRA'!$C$15:$C$38,$C27,'Key inputs_EB_TRA'!$B$15:$B$38,"Pipeline - Natural gas")/SUMIFS('Key inputs_EB_TRA'!W$15:W$38,'Key inputs_EB_TRA'!$B$15:$B$38,"Pipeline - Natural gas")&gt;0,SUMIFS('Key inputs_EB_TRA'!W$15:W$38,'Key inputs_EB_TRA'!$C$15:$C$38,$C27,'Key inputs_EB_TRA'!$B$15:$B$38,"Pipeline - Natural gas")/SUMIFS('Key inputs_EB_TRA'!W$15:W$38,'Key inputs_EB_TRA'!$B$15:$B$38,"Pipeline - Natural gas")&lt;0.001),0.001,SUMIFS('Key inputs_EB_TRA'!W$15:W$38,'Key inputs_EB_TRA'!$C$15:$C$38,$C27,'Key inputs_EB_TRA'!$B$15:$B$38,"Pipeline - Natural gas")/SUMIFS('Key inputs_EB_TRA'!W$15:W$38,'Key inputs_EB_TRA'!$B$15:$B$38,"Pipeline - Natural gas")),"")</f>
        <v>0</v>
      </c>
      <c r="AD27" s="173" t="str">
        <f>IFERROR(IF(AND(SUMIFS('Key inputs_EB_TRA'!X$15:X$38,'Key inputs_EB_TRA'!$C$15:$C$38,$C27,'Key inputs_EB_TRA'!$B$15:$B$38,"Pipeline - Natural gas")/SUMIFS('Key inputs_EB_TRA'!X$15:X$38,'Key inputs_EB_TRA'!$B$15:$B$38,"Pipeline - Natural gas")&gt;0,SUMIFS('Key inputs_EB_TRA'!X$15:X$38,'Key inputs_EB_TRA'!$C$15:$C$38,$C27,'Key inputs_EB_TRA'!$B$15:$B$38,"Pipeline - Natural gas")/SUMIFS('Key inputs_EB_TRA'!X$15:X$38,'Key inputs_EB_TRA'!$B$15:$B$38,"Pipeline - Natural gas")&lt;0.001),0.001,SUMIFS('Key inputs_EB_TRA'!X$15:X$38,'Key inputs_EB_TRA'!$C$15:$C$38,$C27,'Key inputs_EB_TRA'!$B$15:$B$38,"Pipeline - Natural gas")/SUMIFS('Key inputs_EB_TRA'!X$15:X$38,'Key inputs_EB_TRA'!$B$15:$B$38,"Pipeline - Natural gas")),"")</f>
        <v/>
      </c>
      <c r="AE27" s="173">
        <f>IFERROR(IF(AND(SUMIFS('Key inputs_EB_TRA'!Y$15:Y$38,'Key inputs_EB_TRA'!$C$15:$C$38,$C27,'Key inputs_EB_TRA'!$B$15:$B$38,"Pipeline - Natural gas")/SUMIFS('Key inputs_EB_TRA'!Y$15:Y$38,'Key inputs_EB_TRA'!$B$15:$B$38,"Pipeline - Natural gas")&gt;0,SUMIFS('Key inputs_EB_TRA'!Y$15:Y$38,'Key inputs_EB_TRA'!$C$15:$C$38,$C27,'Key inputs_EB_TRA'!$B$15:$B$38,"Pipeline - Natural gas")/SUMIFS('Key inputs_EB_TRA'!Y$15:Y$38,'Key inputs_EB_TRA'!$B$15:$B$38,"Pipeline - Natural gas")&lt;0.001),0.001,SUMIFS('Key inputs_EB_TRA'!Y$15:Y$38,'Key inputs_EB_TRA'!$C$15:$C$38,$C27,'Key inputs_EB_TRA'!$B$15:$B$38,"Pipeline - Natural gas")/SUMIFS('Key inputs_EB_TRA'!Y$15:Y$38,'Key inputs_EB_TRA'!$B$15:$B$38,"Pipeline - Natural gas")),"")</f>
        <v>0</v>
      </c>
      <c r="AF27" s="173">
        <f>IFERROR(IF(AND(SUMIFS('Key inputs_EB_TRA'!Z$15:Z$38,'Key inputs_EB_TRA'!$C$15:$C$38,$C27,'Key inputs_EB_TRA'!$B$15:$B$38,"Pipeline - Natural gas")/SUMIFS('Key inputs_EB_TRA'!Z$15:Z$38,'Key inputs_EB_TRA'!$B$15:$B$38,"Pipeline - Natural gas")&gt;0,SUMIFS('Key inputs_EB_TRA'!Z$15:Z$38,'Key inputs_EB_TRA'!$C$15:$C$38,$C27,'Key inputs_EB_TRA'!$B$15:$B$38,"Pipeline - Natural gas")/SUMIFS('Key inputs_EB_TRA'!Z$15:Z$38,'Key inputs_EB_TRA'!$B$15:$B$38,"Pipeline - Natural gas")&lt;0.001),0.001,SUMIFS('Key inputs_EB_TRA'!Z$15:Z$38,'Key inputs_EB_TRA'!$C$15:$C$38,$C27,'Key inputs_EB_TRA'!$B$15:$B$38,"Pipeline - Natural gas")/SUMIFS('Key inputs_EB_TRA'!Z$15:Z$38,'Key inputs_EB_TRA'!$B$15:$B$38,"Pipeline - Natural gas")),"")</f>
        <v>0</v>
      </c>
      <c r="AG27" s="173">
        <f>IFERROR(IF(AND(SUMIFS('Key inputs_EB_TRA'!AA$15:AA$38,'Key inputs_EB_TRA'!$C$15:$C$38,$C27,'Key inputs_EB_TRA'!$B$15:$B$38,"Pipeline - Natural gas")/SUMIFS('Key inputs_EB_TRA'!AA$15:AA$38,'Key inputs_EB_TRA'!$B$15:$B$38,"Pipeline - Natural gas")&gt;0,SUMIFS('Key inputs_EB_TRA'!AA$15:AA$38,'Key inputs_EB_TRA'!$C$15:$C$38,$C27,'Key inputs_EB_TRA'!$B$15:$B$38,"Pipeline - Natural gas")/SUMIFS('Key inputs_EB_TRA'!AA$15:AA$38,'Key inputs_EB_TRA'!$B$15:$B$38,"Pipeline - Natural gas")&lt;0.001),0.001,SUMIFS('Key inputs_EB_TRA'!AA$15:AA$38,'Key inputs_EB_TRA'!$C$15:$C$38,$C27,'Key inputs_EB_TRA'!$B$15:$B$38,"Pipeline - Natural gas")/SUMIFS('Key inputs_EB_TRA'!AA$15:AA$38,'Key inputs_EB_TRA'!$B$15:$B$38,"Pipeline - Natural gas")),"")</f>
        <v>6.0644860900942843E-2</v>
      </c>
      <c r="AH27" s="173" t="str">
        <f>IFERROR(IF(AND(SUMIFS('Key inputs_EB_TRA'!AB$15:AB$38,'Key inputs_EB_TRA'!$C$15:$C$38,$C27,'Key inputs_EB_TRA'!$B$15:$B$38,"Pipeline - Natural gas")/SUMIFS('Key inputs_EB_TRA'!AB$15:AB$38,'Key inputs_EB_TRA'!$B$15:$B$38,"Pipeline - Natural gas")&gt;0,SUMIFS('Key inputs_EB_TRA'!AB$15:AB$38,'Key inputs_EB_TRA'!$C$15:$C$38,$C27,'Key inputs_EB_TRA'!$B$15:$B$38,"Pipeline - Natural gas")/SUMIFS('Key inputs_EB_TRA'!AB$15:AB$38,'Key inputs_EB_TRA'!$B$15:$B$38,"Pipeline - Natural gas")&lt;0.001),0.001,SUMIFS('Key inputs_EB_TRA'!AB$15:AB$38,'Key inputs_EB_TRA'!$C$15:$C$38,$C27,'Key inputs_EB_TRA'!$B$15:$B$38,"Pipeline - Natural gas")/SUMIFS('Key inputs_EB_TRA'!AB$15:AB$38,'Key inputs_EB_TRA'!$B$15:$B$38,"Pipeline - Natural gas")),"")</f>
        <v/>
      </c>
      <c r="AI27" s="173" t="str">
        <f>IFERROR(IF(AND(SUMIFS('Key inputs_EB_TRA'!AC$15:AC$38,'Key inputs_EB_TRA'!$C$15:$C$38,$C27,'Key inputs_EB_TRA'!$B$15:$B$38,"Pipeline - Natural gas")/SUMIFS('Key inputs_EB_TRA'!AC$15:AC$38,'Key inputs_EB_TRA'!$B$15:$B$38,"Pipeline - Natural gas")&gt;0,SUMIFS('Key inputs_EB_TRA'!AC$15:AC$38,'Key inputs_EB_TRA'!$C$15:$C$38,$C27,'Key inputs_EB_TRA'!$B$15:$B$38,"Pipeline - Natural gas")/SUMIFS('Key inputs_EB_TRA'!AC$15:AC$38,'Key inputs_EB_TRA'!$B$15:$B$38,"Pipeline - Natural gas")&lt;0.001),0.001,SUMIFS('Key inputs_EB_TRA'!AC$15:AC$38,'Key inputs_EB_TRA'!$C$15:$C$38,$C27,'Key inputs_EB_TRA'!$B$15:$B$38,"Pipeline - Natural gas")/SUMIFS('Key inputs_EB_TRA'!AC$15:AC$38,'Key inputs_EB_TRA'!$B$15:$B$38,"Pipeline - Natural gas")),"")</f>
        <v/>
      </c>
      <c r="AJ27" s="173">
        <f>IFERROR(IF(AND(SUMIFS('Key inputs_EB_TRA'!AD$15:AD$38,'Key inputs_EB_TRA'!$C$15:$C$38,$C27,'Key inputs_EB_TRA'!$B$15:$B$38,"Pipeline - Natural gas")/SUMIFS('Key inputs_EB_TRA'!AD$15:AD$38,'Key inputs_EB_TRA'!$B$15:$B$38,"Pipeline - Natural gas")&gt;0,SUMIFS('Key inputs_EB_TRA'!AD$15:AD$38,'Key inputs_EB_TRA'!$C$15:$C$38,$C27,'Key inputs_EB_TRA'!$B$15:$B$38,"Pipeline - Natural gas")/SUMIFS('Key inputs_EB_TRA'!AD$15:AD$38,'Key inputs_EB_TRA'!$B$15:$B$38,"Pipeline - Natural gas")&lt;0.001),0.001,SUMIFS('Key inputs_EB_TRA'!AD$15:AD$38,'Key inputs_EB_TRA'!$C$15:$C$38,$C27,'Key inputs_EB_TRA'!$B$15:$B$38,"Pipeline - Natural gas")/SUMIFS('Key inputs_EB_TRA'!AD$15:AD$38,'Key inputs_EB_TRA'!$B$15:$B$38,"Pipeline - Natural gas")),"")</f>
        <v>0</v>
      </c>
      <c r="AK27" s="173">
        <f>IFERROR(IF(AND(SUMIFS('Key inputs_EB_TRA'!AE$15:AE$38,'Key inputs_EB_TRA'!$C$15:$C$38,$C27,'Key inputs_EB_TRA'!$B$15:$B$38,"Pipeline - Natural gas")/SUMIFS('Key inputs_EB_TRA'!AE$15:AE$38,'Key inputs_EB_TRA'!$B$15:$B$38,"Pipeline - Natural gas")&gt;0,SUMIFS('Key inputs_EB_TRA'!AE$15:AE$38,'Key inputs_EB_TRA'!$C$15:$C$38,$C27,'Key inputs_EB_TRA'!$B$15:$B$38,"Pipeline - Natural gas")/SUMIFS('Key inputs_EB_TRA'!AE$15:AE$38,'Key inputs_EB_TRA'!$B$15:$B$38,"Pipeline - Natural gas")&lt;0.001),0.001,SUMIFS('Key inputs_EB_TRA'!AE$15:AE$38,'Key inputs_EB_TRA'!$C$15:$C$38,$C27,'Key inputs_EB_TRA'!$B$15:$B$38,"Pipeline - Natural gas")/SUMIFS('Key inputs_EB_TRA'!AE$15:AE$38,'Key inputs_EB_TRA'!$B$15:$B$38,"Pipeline - Natural gas")),"")</f>
        <v>0</v>
      </c>
      <c r="AL27" s="173">
        <f>IFERROR(IF(AND(SUMIFS('Key inputs_EB_TRA'!AF$15:AF$38,'Key inputs_EB_TRA'!$C$15:$C$38,$C27,'Key inputs_EB_TRA'!$B$15:$B$38,"Pipeline - Natural gas")/SUMIFS('Key inputs_EB_TRA'!AF$15:AF$38,'Key inputs_EB_TRA'!$B$15:$B$38,"Pipeline - Natural gas")&gt;0,SUMIFS('Key inputs_EB_TRA'!AF$15:AF$38,'Key inputs_EB_TRA'!$C$15:$C$38,$C27,'Key inputs_EB_TRA'!$B$15:$B$38,"Pipeline - Natural gas")/SUMIFS('Key inputs_EB_TRA'!AF$15:AF$38,'Key inputs_EB_TRA'!$B$15:$B$38,"Pipeline - Natural gas")&lt;0.001),0.001,SUMIFS('Key inputs_EB_TRA'!AF$15:AF$38,'Key inputs_EB_TRA'!$C$15:$C$38,$C27,'Key inputs_EB_TRA'!$B$15:$B$38,"Pipeline - Natural gas")/SUMIFS('Key inputs_EB_TRA'!AF$15:AF$38,'Key inputs_EB_TRA'!$B$15:$B$38,"Pipeline - Natural gas")),"")</f>
        <v>0</v>
      </c>
    </row>
    <row r="28" spans="1:38">
      <c r="C28" t="str">
        <f>Commodities!$C$97</f>
        <v>UPSLPG</v>
      </c>
      <c r="F28" s="4" t="s">
        <v>359</v>
      </c>
      <c r="G28" s="4" t="s">
        <v>702</v>
      </c>
      <c r="H28" t="s">
        <v>661</v>
      </c>
      <c r="I28">
        <v>2019</v>
      </c>
      <c r="J28" t="s">
        <v>650</v>
      </c>
      <c r="K28" s="263" t="str">
        <f>IFERROR(IF(AND(SUMIFS('Key inputs_EB_TRA'!E$15:E$38,'Key inputs_EB_TRA'!$C$15:$C$38,$C28,'Key inputs_EB_TRA'!$B$15:$B$38,"Pipeline - Natural gas")/SUMIFS('Key inputs_EB_TRA'!E$15:E$38,'Key inputs_EB_TRA'!$B$15:$B$38,"Pipeline - Natural gas")&gt;0,SUMIFS('Key inputs_EB_TRA'!E$15:E$38,'Key inputs_EB_TRA'!$C$15:$C$38,$C28,'Key inputs_EB_TRA'!$B$15:$B$38,"Pipeline - Natural gas")/SUMIFS('Key inputs_EB_TRA'!E$15:E$38,'Key inputs_EB_TRA'!$B$15:$B$38,"Pipeline - Natural gas")&lt;0.001),0.001,SUMIFS('Key inputs_EB_TRA'!E$15:E$38,'Key inputs_EB_TRA'!$C$15:$C$38,$C28,'Key inputs_EB_TRA'!$B$15:$B$38,"Pipeline - Natural gas")/SUMIFS('Key inputs_EB_TRA'!E$15:E$38,'Key inputs_EB_TRA'!$B$15:$B$38,"Pipeline - Natural gas")),"")</f>
        <v/>
      </c>
      <c r="L28" s="173">
        <f>IFERROR(IF(AND(SUMIFS('Key inputs_EB_TRA'!F$15:F$38,'Key inputs_EB_TRA'!$C$15:$C$38,$C28,'Key inputs_EB_TRA'!$B$15:$B$38,"Pipeline - Natural gas")/SUMIFS('Key inputs_EB_TRA'!F$15:F$38,'Key inputs_EB_TRA'!$B$15:$B$38,"Pipeline - Natural gas")&gt;0,SUMIFS('Key inputs_EB_TRA'!F$15:F$38,'Key inputs_EB_TRA'!$C$15:$C$38,$C28,'Key inputs_EB_TRA'!$B$15:$B$38,"Pipeline - Natural gas")/SUMIFS('Key inputs_EB_TRA'!F$15:F$38,'Key inputs_EB_TRA'!$B$15:$B$38,"Pipeline - Natural gas")&lt;0.001),0.001,SUMIFS('Key inputs_EB_TRA'!F$15:F$38,'Key inputs_EB_TRA'!$C$15:$C$38,$C28,'Key inputs_EB_TRA'!$B$15:$B$38,"Pipeline - Natural gas")/SUMIFS('Key inputs_EB_TRA'!F$15:F$38,'Key inputs_EB_TRA'!$B$15:$B$38,"Pipeline - Natural gas")),"")</f>
        <v>0</v>
      </c>
      <c r="M28" s="173">
        <f>IFERROR(IF(AND(SUMIFS('Key inputs_EB_TRA'!G$15:G$38,'Key inputs_EB_TRA'!$C$15:$C$38,$C28,'Key inputs_EB_TRA'!$B$15:$B$38,"Pipeline - Natural gas")/SUMIFS('Key inputs_EB_TRA'!G$15:G$38,'Key inputs_EB_TRA'!$B$15:$B$38,"Pipeline - Natural gas")&gt;0,SUMIFS('Key inputs_EB_TRA'!G$15:G$38,'Key inputs_EB_TRA'!$C$15:$C$38,$C28,'Key inputs_EB_TRA'!$B$15:$B$38,"Pipeline - Natural gas")/SUMIFS('Key inputs_EB_TRA'!G$15:G$38,'Key inputs_EB_TRA'!$B$15:$B$38,"Pipeline - Natural gas")&lt;0.001),0.001,SUMIFS('Key inputs_EB_TRA'!G$15:G$38,'Key inputs_EB_TRA'!$C$15:$C$38,$C28,'Key inputs_EB_TRA'!$B$15:$B$38,"Pipeline - Natural gas")/SUMIFS('Key inputs_EB_TRA'!G$15:G$38,'Key inputs_EB_TRA'!$B$15:$B$38,"Pipeline - Natural gas")),"")</f>
        <v>0</v>
      </c>
      <c r="N28" s="173">
        <f>IFERROR(IF(AND(SUMIFS('Key inputs_EB_TRA'!H$15:H$38,'Key inputs_EB_TRA'!$C$15:$C$38,$C28,'Key inputs_EB_TRA'!$B$15:$B$38,"Pipeline - Natural gas")/SUMIFS('Key inputs_EB_TRA'!H$15:H$38,'Key inputs_EB_TRA'!$B$15:$B$38,"Pipeline - Natural gas")&gt;0,SUMIFS('Key inputs_EB_TRA'!H$15:H$38,'Key inputs_EB_TRA'!$C$15:$C$38,$C28,'Key inputs_EB_TRA'!$B$15:$B$38,"Pipeline - Natural gas")/SUMIFS('Key inputs_EB_TRA'!H$15:H$38,'Key inputs_EB_TRA'!$B$15:$B$38,"Pipeline - Natural gas")&lt;0.001),0.001,SUMIFS('Key inputs_EB_TRA'!H$15:H$38,'Key inputs_EB_TRA'!$C$15:$C$38,$C28,'Key inputs_EB_TRA'!$B$15:$B$38,"Pipeline - Natural gas")/SUMIFS('Key inputs_EB_TRA'!H$15:H$38,'Key inputs_EB_TRA'!$B$15:$B$38,"Pipeline - Natural gas")),"")</f>
        <v>6.1028770706190068E-3</v>
      </c>
      <c r="O28" s="173">
        <f>IFERROR(IF(AND(SUMIFS('Key inputs_EB_TRA'!I$15:I$38,'Key inputs_EB_TRA'!$C$15:$C$38,$C28,'Key inputs_EB_TRA'!$B$15:$B$38,"Pipeline - Natural gas")/SUMIFS('Key inputs_EB_TRA'!I$15:I$38,'Key inputs_EB_TRA'!$B$15:$B$38,"Pipeline - Natural gas")&gt;0,SUMIFS('Key inputs_EB_TRA'!I$15:I$38,'Key inputs_EB_TRA'!$C$15:$C$38,$C28,'Key inputs_EB_TRA'!$B$15:$B$38,"Pipeline - Natural gas")/SUMIFS('Key inputs_EB_TRA'!I$15:I$38,'Key inputs_EB_TRA'!$B$15:$B$38,"Pipeline - Natural gas")&lt;0.001),0.001,SUMIFS('Key inputs_EB_TRA'!I$15:I$38,'Key inputs_EB_TRA'!$C$15:$C$38,$C28,'Key inputs_EB_TRA'!$B$15:$B$38,"Pipeline - Natural gas")/SUMIFS('Key inputs_EB_TRA'!I$15:I$38,'Key inputs_EB_TRA'!$B$15:$B$38,"Pipeline - Natural gas")),"")</f>
        <v>0</v>
      </c>
      <c r="P28" s="173">
        <f>IFERROR(IF(AND(SUMIFS('Key inputs_EB_TRA'!J$15:J$38,'Key inputs_EB_TRA'!$C$15:$C$38,$C28,'Key inputs_EB_TRA'!$B$15:$B$38,"Pipeline - Natural gas")/SUMIFS('Key inputs_EB_TRA'!J$15:J$38,'Key inputs_EB_TRA'!$B$15:$B$38,"Pipeline - Natural gas")&gt;0,SUMIFS('Key inputs_EB_TRA'!J$15:J$38,'Key inputs_EB_TRA'!$C$15:$C$38,$C28,'Key inputs_EB_TRA'!$B$15:$B$38,"Pipeline - Natural gas")/SUMIFS('Key inputs_EB_TRA'!J$15:J$38,'Key inputs_EB_TRA'!$B$15:$B$38,"Pipeline - Natural gas")&lt;0.001),0.001,SUMIFS('Key inputs_EB_TRA'!J$15:J$38,'Key inputs_EB_TRA'!$C$15:$C$38,$C28,'Key inputs_EB_TRA'!$B$15:$B$38,"Pipeline - Natural gas")/SUMIFS('Key inputs_EB_TRA'!J$15:J$38,'Key inputs_EB_TRA'!$B$15:$B$38,"Pipeline - Natural gas")),"")</f>
        <v>0</v>
      </c>
      <c r="Q28" s="173" t="str">
        <f>IFERROR(IF(AND(SUMIFS('Key inputs_EB_TRA'!K$15:K$38,'Key inputs_EB_TRA'!$C$15:$C$38,$C28,'Key inputs_EB_TRA'!$B$15:$B$38,"Pipeline - Natural gas")/SUMIFS('Key inputs_EB_TRA'!K$15:K$38,'Key inputs_EB_TRA'!$B$15:$B$38,"Pipeline - Natural gas")&gt;0,SUMIFS('Key inputs_EB_TRA'!K$15:K$38,'Key inputs_EB_TRA'!$C$15:$C$38,$C28,'Key inputs_EB_TRA'!$B$15:$B$38,"Pipeline - Natural gas")/SUMIFS('Key inputs_EB_TRA'!K$15:K$38,'Key inputs_EB_TRA'!$B$15:$B$38,"Pipeline - Natural gas")&lt;0.001),0.001,SUMIFS('Key inputs_EB_TRA'!K$15:K$38,'Key inputs_EB_TRA'!$C$15:$C$38,$C28,'Key inputs_EB_TRA'!$B$15:$B$38,"Pipeline - Natural gas")/SUMIFS('Key inputs_EB_TRA'!K$15:K$38,'Key inputs_EB_TRA'!$B$15:$B$38,"Pipeline - Natural gas")),"")</f>
        <v/>
      </c>
      <c r="R28" s="173" t="str">
        <f>IFERROR(IF(AND(SUMIFS('Key inputs_EB_TRA'!L$15:L$38,'Key inputs_EB_TRA'!$C$15:$C$38,$C28,'Key inputs_EB_TRA'!$B$15:$B$38,"Pipeline - Natural gas")/SUMIFS('Key inputs_EB_TRA'!L$15:L$38,'Key inputs_EB_TRA'!$B$15:$B$38,"Pipeline - Natural gas")&gt;0,SUMIFS('Key inputs_EB_TRA'!L$15:L$38,'Key inputs_EB_TRA'!$C$15:$C$38,$C28,'Key inputs_EB_TRA'!$B$15:$B$38,"Pipeline - Natural gas")/SUMIFS('Key inputs_EB_TRA'!L$15:L$38,'Key inputs_EB_TRA'!$B$15:$B$38,"Pipeline - Natural gas")&lt;0.001),0.001,SUMIFS('Key inputs_EB_TRA'!L$15:L$38,'Key inputs_EB_TRA'!$C$15:$C$38,$C28,'Key inputs_EB_TRA'!$B$15:$B$38,"Pipeline - Natural gas")/SUMIFS('Key inputs_EB_TRA'!L$15:L$38,'Key inputs_EB_TRA'!$B$15:$B$38,"Pipeline - Natural gas")),"")</f>
        <v/>
      </c>
      <c r="S28" s="173" t="str">
        <f>IFERROR(IF(AND(SUMIFS('Key inputs_EB_TRA'!M$15:M$38,'Key inputs_EB_TRA'!$C$15:$C$38,$C28,'Key inputs_EB_TRA'!$B$15:$B$38,"Pipeline - Natural gas")/SUMIFS('Key inputs_EB_TRA'!M$15:M$38,'Key inputs_EB_TRA'!$B$15:$B$38,"Pipeline - Natural gas")&gt;0,SUMIFS('Key inputs_EB_TRA'!M$15:M$38,'Key inputs_EB_TRA'!$C$15:$C$38,$C28,'Key inputs_EB_TRA'!$B$15:$B$38,"Pipeline - Natural gas")/SUMIFS('Key inputs_EB_TRA'!M$15:M$38,'Key inputs_EB_TRA'!$B$15:$B$38,"Pipeline - Natural gas")&lt;0.001),0.001,SUMIFS('Key inputs_EB_TRA'!M$15:M$38,'Key inputs_EB_TRA'!$C$15:$C$38,$C28,'Key inputs_EB_TRA'!$B$15:$B$38,"Pipeline - Natural gas")/SUMIFS('Key inputs_EB_TRA'!M$15:M$38,'Key inputs_EB_TRA'!$B$15:$B$38,"Pipeline - Natural gas")),"")</f>
        <v/>
      </c>
      <c r="T28" s="173">
        <f>IFERROR(IF(AND(SUMIFS('Key inputs_EB_TRA'!N$15:N$38,'Key inputs_EB_TRA'!$C$15:$C$38,$C28,'Key inputs_EB_TRA'!$B$15:$B$38,"Pipeline - Natural gas")/SUMIFS('Key inputs_EB_TRA'!N$15:N$38,'Key inputs_EB_TRA'!$B$15:$B$38,"Pipeline - Natural gas")&gt;0,SUMIFS('Key inputs_EB_TRA'!N$15:N$38,'Key inputs_EB_TRA'!$C$15:$C$38,$C28,'Key inputs_EB_TRA'!$B$15:$B$38,"Pipeline - Natural gas")/SUMIFS('Key inputs_EB_TRA'!N$15:N$38,'Key inputs_EB_TRA'!$B$15:$B$38,"Pipeline - Natural gas")&lt;0.001),0.001,SUMIFS('Key inputs_EB_TRA'!N$15:N$38,'Key inputs_EB_TRA'!$C$15:$C$38,$C28,'Key inputs_EB_TRA'!$B$15:$B$38,"Pipeline - Natural gas")/SUMIFS('Key inputs_EB_TRA'!N$15:N$38,'Key inputs_EB_TRA'!$B$15:$B$38,"Pipeline - Natural gas")),"")</f>
        <v>0</v>
      </c>
      <c r="U28" s="173">
        <f>IFERROR(IF(AND(SUMIFS('Key inputs_EB_TRA'!O$15:O$38,'Key inputs_EB_TRA'!$C$15:$C$38,$C28,'Key inputs_EB_TRA'!$B$15:$B$38,"Pipeline - Natural gas")/SUMIFS('Key inputs_EB_TRA'!O$15:O$38,'Key inputs_EB_TRA'!$B$15:$B$38,"Pipeline - Natural gas")&gt;0,SUMIFS('Key inputs_EB_TRA'!O$15:O$38,'Key inputs_EB_TRA'!$C$15:$C$38,$C28,'Key inputs_EB_TRA'!$B$15:$B$38,"Pipeline - Natural gas")/SUMIFS('Key inputs_EB_TRA'!O$15:O$38,'Key inputs_EB_TRA'!$B$15:$B$38,"Pipeline - Natural gas")&lt;0.001),0.001,SUMIFS('Key inputs_EB_TRA'!O$15:O$38,'Key inputs_EB_TRA'!$C$15:$C$38,$C28,'Key inputs_EB_TRA'!$B$15:$B$38,"Pipeline - Natural gas")/SUMIFS('Key inputs_EB_TRA'!O$15:O$38,'Key inputs_EB_TRA'!$B$15:$B$38,"Pipeline - Natural gas")),"")</f>
        <v>1</v>
      </c>
      <c r="V28" s="173">
        <f>IFERROR(IF(AND(SUMIFS('Key inputs_EB_TRA'!P$15:P$38,'Key inputs_EB_TRA'!$C$15:$C$38,$C28,'Key inputs_EB_TRA'!$B$15:$B$38,"Pipeline - Natural gas")/SUMIFS('Key inputs_EB_TRA'!P$15:P$38,'Key inputs_EB_TRA'!$B$15:$B$38,"Pipeline - Natural gas")&gt;0,SUMIFS('Key inputs_EB_TRA'!P$15:P$38,'Key inputs_EB_TRA'!$C$15:$C$38,$C28,'Key inputs_EB_TRA'!$B$15:$B$38,"Pipeline - Natural gas")/SUMIFS('Key inputs_EB_TRA'!P$15:P$38,'Key inputs_EB_TRA'!$B$15:$B$38,"Pipeline - Natural gas")&lt;0.001),0.001,SUMIFS('Key inputs_EB_TRA'!P$15:P$38,'Key inputs_EB_TRA'!$C$15:$C$38,$C28,'Key inputs_EB_TRA'!$B$15:$B$38,"Pipeline - Natural gas")/SUMIFS('Key inputs_EB_TRA'!P$15:P$38,'Key inputs_EB_TRA'!$B$15:$B$38,"Pipeline - Natural gas")),"")</f>
        <v>1E-3</v>
      </c>
      <c r="W28" s="173">
        <f>IFERROR(IF(AND(SUMIFS('Key inputs_EB_TRA'!Q$15:Q$38,'Key inputs_EB_TRA'!$C$15:$C$38,$C28,'Key inputs_EB_TRA'!$B$15:$B$38,"Pipeline - Natural gas")/SUMIFS('Key inputs_EB_TRA'!Q$15:Q$38,'Key inputs_EB_TRA'!$B$15:$B$38,"Pipeline - Natural gas")&gt;0,SUMIFS('Key inputs_EB_TRA'!Q$15:Q$38,'Key inputs_EB_TRA'!$C$15:$C$38,$C28,'Key inputs_EB_TRA'!$B$15:$B$38,"Pipeline - Natural gas")/SUMIFS('Key inputs_EB_TRA'!Q$15:Q$38,'Key inputs_EB_TRA'!$B$15:$B$38,"Pipeline - Natural gas")&lt;0.001),0.001,SUMIFS('Key inputs_EB_TRA'!Q$15:Q$38,'Key inputs_EB_TRA'!$C$15:$C$38,$C28,'Key inputs_EB_TRA'!$B$15:$B$38,"Pipeline - Natural gas")/SUMIFS('Key inputs_EB_TRA'!Q$15:Q$38,'Key inputs_EB_TRA'!$B$15:$B$38,"Pipeline - Natural gas")),"")</f>
        <v>0</v>
      </c>
      <c r="X28" s="173">
        <f>IFERROR(IF(AND(SUMIFS('Key inputs_EB_TRA'!R$15:R$38,'Key inputs_EB_TRA'!$C$15:$C$38,$C28,'Key inputs_EB_TRA'!$B$15:$B$38,"Pipeline - Natural gas")/SUMIFS('Key inputs_EB_TRA'!R$15:R$38,'Key inputs_EB_TRA'!$B$15:$B$38,"Pipeline - Natural gas")&gt;0,SUMIFS('Key inputs_EB_TRA'!R$15:R$38,'Key inputs_EB_TRA'!$C$15:$C$38,$C28,'Key inputs_EB_TRA'!$B$15:$B$38,"Pipeline - Natural gas")/SUMIFS('Key inputs_EB_TRA'!R$15:R$38,'Key inputs_EB_TRA'!$B$15:$B$38,"Pipeline - Natural gas")&lt;0.001),0.001,SUMIFS('Key inputs_EB_TRA'!R$15:R$38,'Key inputs_EB_TRA'!$C$15:$C$38,$C28,'Key inputs_EB_TRA'!$B$15:$B$38,"Pipeline - Natural gas")/SUMIFS('Key inputs_EB_TRA'!R$15:R$38,'Key inputs_EB_TRA'!$B$15:$B$38,"Pipeline - Natural gas")),"")</f>
        <v>0</v>
      </c>
      <c r="Y28" s="173">
        <f>IFERROR(IF(AND(SUMIFS('Key inputs_EB_TRA'!S$15:S$38,'Key inputs_EB_TRA'!$C$15:$C$38,$C28,'Key inputs_EB_TRA'!$B$15:$B$38,"Pipeline - Natural gas")/SUMIFS('Key inputs_EB_TRA'!S$15:S$38,'Key inputs_EB_TRA'!$B$15:$B$38,"Pipeline - Natural gas")&gt;0,SUMIFS('Key inputs_EB_TRA'!S$15:S$38,'Key inputs_EB_TRA'!$C$15:$C$38,$C28,'Key inputs_EB_TRA'!$B$15:$B$38,"Pipeline - Natural gas")/SUMIFS('Key inputs_EB_TRA'!S$15:S$38,'Key inputs_EB_TRA'!$B$15:$B$38,"Pipeline - Natural gas")&lt;0.001),0.001,SUMIFS('Key inputs_EB_TRA'!S$15:S$38,'Key inputs_EB_TRA'!$C$15:$C$38,$C28,'Key inputs_EB_TRA'!$B$15:$B$38,"Pipeline - Natural gas")/SUMIFS('Key inputs_EB_TRA'!S$15:S$38,'Key inputs_EB_TRA'!$B$15:$B$38,"Pipeline - Natural gas")),"")</f>
        <v>0</v>
      </c>
      <c r="Z28" s="173">
        <f>IFERROR(IF(AND(SUMIFS('Key inputs_EB_TRA'!T$15:T$38,'Key inputs_EB_TRA'!$C$15:$C$38,$C28,'Key inputs_EB_TRA'!$B$15:$B$38,"Pipeline - Natural gas")/SUMIFS('Key inputs_EB_TRA'!T$15:T$38,'Key inputs_EB_TRA'!$B$15:$B$38,"Pipeline - Natural gas")&gt;0,SUMIFS('Key inputs_EB_TRA'!T$15:T$38,'Key inputs_EB_TRA'!$C$15:$C$38,$C28,'Key inputs_EB_TRA'!$B$15:$B$38,"Pipeline - Natural gas")/SUMIFS('Key inputs_EB_TRA'!T$15:T$38,'Key inputs_EB_TRA'!$B$15:$B$38,"Pipeline - Natural gas")&lt;0.001),0.001,SUMIFS('Key inputs_EB_TRA'!T$15:T$38,'Key inputs_EB_TRA'!$C$15:$C$38,$C28,'Key inputs_EB_TRA'!$B$15:$B$38,"Pipeline - Natural gas")/SUMIFS('Key inputs_EB_TRA'!T$15:T$38,'Key inputs_EB_TRA'!$B$15:$B$38,"Pipeline - Natural gas")),"")</f>
        <v>0</v>
      </c>
      <c r="AA28" s="173">
        <f>IFERROR(IF(AND(SUMIFS('Key inputs_EB_TRA'!U$15:U$38,'Key inputs_EB_TRA'!$C$15:$C$38,$C28,'Key inputs_EB_TRA'!$B$15:$B$38,"Pipeline - Natural gas")/SUMIFS('Key inputs_EB_TRA'!U$15:U$38,'Key inputs_EB_TRA'!$B$15:$B$38,"Pipeline - Natural gas")&gt;0,SUMIFS('Key inputs_EB_TRA'!U$15:U$38,'Key inputs_EB_TRA'!$C$15:$C$38,$C28,'Key inputs_EB_TRA'!$B$15:$B$38,"Pipeline - Natural gas")/SUMIFS('Key inputs_EB_TRA'!U$15:U$38,'Key inputs_EB_TRA'!$B$15:$B$38,"Pipeline - Natural gas")&lt;0.001),0.001,SUMIFS('Key inputs_EB_TRA'!U$15:U$38,'Key inputs_EB_TRA'!$C$15:$C$38,$C28,'Key inputs_EB_TRA'!$B$15:$B$38,"Pipeline - Natural gas")/SUMIFS('Key inputs_EB_TRA'!U$15:U$38,'Key inputs_EB_TRA'!$B$15:$B$38,"Pipeline - Natural gas")),"")</f>
        <v>0</v>
      </c>
      <c r="AB28" s="173" t="str">
        <f>IFERROR(IF(AND(SUMIFS('Key inputs_EB_TRA'!V$15:V$38,'Key inputs_EB_TRA'!$C$15:$C$38,$C28,'Key inputs_EB_TRA'!$B$15:$B$38,"Pipeline - Natural gas")/SUMIFS('Key inputs_EB_TRA'!V$15:V$38,'Key inputs_EB_TRA'!$B$15:$B$38,"Pipeline - Natural gas")&gt;0,SUMIFS('Key inputs_EB_TRA'!V$15:V$38,'Key inputs_EB_TRA'!$C$15:$C$38,$C28,'Key inputs_EB_TRA'!$B$15:$B$38,"Pipeline - Natural gas")/SUMIFS('Key inputs_EB_TRA'!V$15:V$38,'Key inputs_EB_TRA'!$B$15:$B$38,"Pipeline - Natural gas")&lt;0.001),0.001,SUMIFS('Key inputs_EB_TRA'!V$15:V$38,'Key inputs_EB_TRA'!$C$15:$C$38,$C28,'Key inputs_EB_TRA'!$B$15:$B$38,"Pipeline - Natural gas")/SUMIFS('Key inputs_EB_TRA'!V$15:V$38,'Key inputs_EB_TRA'!$B$15:$B$38,"Pipeline - Natural gas")),"")</f>
        <v/>
      </c>
      <c r="AC28" s="173">
        <f>IFERROR(IF(AND(SUMIFS('Key inputs_EB_TRA'!W$15:W$38,'Key inputs_EB_TRA'!$C$15:$C$38,$C28,'Key inputs_EB_TRA'!$B$15:$B$38,"Pipeline - Natural gas")/SUMIFS('Key inputs_EB_TRA'!W$15:W$38,'Key inputs_EB_TRA'!$B$15:$B$38,"Pipeline - Natural gas")&gt;0,SUMIFS('Key inputs_EB_TRA'!W$15:W$38,'Key inputs_EB_TRA'!$C$15:$C$38,$C28,'Key inputs_EB_TRA'!$B$15:$B$38,"Pipeline - Natural gas")/SUMIFS('Key inputs_EB_TRA'!W$15:W$38,'Key inputs_EB_TRA'!$B$15:$B$38,"Pipeline - Natural gas")&lt;0.001),0.001,SUMIFS('Key inputs_EB_TRA'!W$15:W$38,'Key inputs_EB_TRA'!$C$15:$C$38,$C28,'Key inputs_EB_TRA'!$B$15:$B$38,"Pipeline - Natural gas")/SUMIFS('Key inputs_EB_TRA'!W$15:W$38,'Key inputs_EB_TRA'!$B$15:$B$38,"Pipeline - Natural gas")),"")</f>
        <v>0</v>
      </c>
      <c r="AD28" s="173" t="str">
        <f>IFERROR(IF(AND(SUMIFS('Key inputs_EB_TRA'!X$15:X$38,'Key inputs_EB_TRA'!$C$15:$C$38,$C28,'Key inputs_EB_TRA'!$B$15:$B$38,"Pipeline - Natural gas")/SUMIFS('Key inputs_EB_TRA'!X$15:X$38,'Key inputs_EB_TRA'!$B$15:$B$38,"Pipeline - Natural gas")&gt;0,SUMIFS('Key inputs_EB_TRA'!X$15:X$38,'Key inputs_EB_TRA'!$C$15:$C$38,$C28,'Key inputs_EB_TRA'!$B$15:$B$38,"Pipeline - Natural gas")/SUMIFS('Key inputs_EB_TRA'!X$15:X$38,'Key inputs_EB_TRA'!$B$15:$B$38,"Pipeline - Natural gas")&lt;0.001),0.001,SUMIFS('Key inputs_EB_TRA'!X$15:X$38,'Key inputs_EB_TRA'!$C$15:$C$38,$C28,'Key inputs_EB_TRA'!$B$15:$B$38,"Pipeline - Natural gas")/SUMIFS('Key inputs_EB_TRA'!X$15:X$38,'Key inputs_EB_TRA'!$B$15:$B$38,"Pipeline - Natural gas")),"")</f>
        <v/>
      </c>
      <c r="AE28" s="173">
        <f>IFERROR(IF(AND(SUMIFS('Key inputs_EB_TRA'!Y$15:Y$38,'Key inputs_EB_TRA'!$C$15:$C$38,$C28,'Key inputs_EB_TRA'!$B$15:$B$38,"Pipeline - Natural gas")/SUMIFS('Key inputs_EB_TRA'!Y$15:Y$38,'Key inputs_EB_TRA'!$B$15:$B$38,"Pipeline - Natural gas")&gt;0,SUMIFS('Key inputs_EB_TRA'!Y$15:Y$38,'Key inputs_EB_TRA'!$C$15:$C$38,$C28,'Key inputs_EB_TRA'!$B$15:$B$38,"Pipeline - Natural gas")/SUMIFS('Key inputs_EB_TRA'!Y$15:Y$38,'Key inputs_EB_TRA'!$B$15:$B$38,"Pipeline - Natural gas")&lt;0.001),0.001,SUMIFS('Key inputs_EB_TRA'!Y$15:Y$38,'Key inputs_EB_TRA'!$C$15:$C$38,$C28,'Key inputs_EB_TRA'!$B$15:$B$38,"Pipeline - Natural gas")/SUMIFS('Key inputs_EB_TRA'!Y$15:Y$38,'Key inputs_EB_TRA'!$B$15:$B$38,"Pipeline - Natural gas")),"")</f>
        <v>0</v>
      </c>
      <c r="AF28" s="173">
        <f>IFERROR(IF(AND(SUMIFS('Key inputs_EB_TRA'!Z$15:Z$38,'Key inputs_EB_TRA'!$C$15:$C$38,$C28,'Key inputs_EB_TRA'!$B$15:$B$38,"Pipeline - Natural gas")/SUMIFS('Key inputs_EB_TRA'!Z$15:Z$38,'Key inputs_EB_TRA'!$B$15:$B$38,"Pipeline - Natural gas")&gt;0,SUMIFS('Key inputs_EB_TRA'!Z$15:Z$38,'Key inputs_EB_TRA'!$C$15:$C$38,$C28,'Key inputs_EB_TRA'!$B$15:$B$38,"Pipeline - Natural gas")/SUMIFS('Key inputs_EB_TRA'!Z$15:Z$38,'Key inputs_EB_TRA'!$B$15:$B$38,"Pipeline - Natural gas")&lt;0.001),0.001,SUMIFS('Key inputs_EB_TRA'!Z$15:Z$38,'Key inputs_EB_TRA'!$C$15:$C$38,$C28,'Key inputs_EB_TRA'!$B$15:$B$38,"Pipeline - Natural gas")/SUMIFS('Key inputs_EB_TRA'!Z$15:Z$38,'Key inputs_EB_TRA'!$B$15:$B$38,"Pipeline - Natural gas")),"")</f>
        <v>0</v>
      </c>
      <c r="AG28" s="173">
        <f>IFERROR(IF(AND(SUMIFS('Key inputs_EB_TRA'!AA$15:AA$38,'Key inputs_EB_TRA'!$C$15:$C$38,$C28,'Key inputs_EB_TRA'!$B$15:$B$38,"Pipeline - Natural gas")/SUMIFS('Key inputs_EB_TRA'!AA$15:AA$38,'Key inputs_EB_TRA'!$B$15:$B$38,"Pipeline - Natural gas")&gt;0,SUMIFS('Key inputs_EB_TRA'!AA$15:AA$38,'Key inputs_EB_TRA'!$C$15:$C$38,$C28,'Key inputs_EB_TRA'!$B$15:$B$38,"Pipeline - Natural gas")/SUMIFS('Key inputs_EB_TRA'!AA$15:AA$38,'Key inputs_EB_TRA'!$B$15:$B$38,"Pipeline - Natural gas")&lt;0.001),0.001,SUMIFS('Key inputs_EB_TRA'!AA$15:AA$38,'Key inputs_EB_TRA'!$C$15:$C$38,$C28,'Key inputs_EB_TRA'!$B$15:$B$38,"Pipeline - Natural gas")/SUMIFS('Key inputs_EB_TRA'!AA$15:AA$38,'Key inputs_EB_TRA'!$B$15:$B$38,"Pipeline - Natural gas")),"")</f>
        <v>0</v>
      </c>
      <c r="AH28" s="173" t="str">
        <f>IFERROR(IF(AND(SUMIFS('Key inputs_EB_TRA'!AB$15:AB$38,'Key inputs_EB_TRA'!$C$15:$C$38,$C28,'Key inputs_EB_TRA'!$B$15:$B$38,"Pipeline - Natural gas")/SUMIFS('Key inputs_EB_TRA'!AB$15:AB$38,'Key inputs_EB_TRA'!$B$15:$B$38,"Pipeline - Natural gas")&gt;0,SUMIFS('Key inputs_EB_TRA'!AB$15:AB$38,'Key inputs_EB_TRA'!$C$15:$C$38,$C28,'Key inputs_EB_TRA'!$B$15:$B$38,"Pipeline - Natural gas")/SUMIFS('Key inputs_EB_TRA'!AB$15:AB$38,'Key inputs_EB_TRA'!$B$15:$B$38,"Pipeline - Natural gas")&lt;0.001),0.001,SUMIFS('Key inputs_EB_TRA'!AB$15:AB$38,'Key inputs_EB_TRA'!$C$15:$C$38,$C28,'Key inputs_EB_TRA'!$B$15:$B$38,"Pipeline - Natural gas")/SUMIFS('Key inputs_EB_TRA'!AB$15:AB$38,'Key inputs_EB_TRA'!$B$15:$B$38,"Pipeline - Natural gas")),"")</f>
        <v/>
      </c>
      <c r="AI28" s="173" t="str">
        <f>IFERROR(IF(AND(SUMIFS('Key inputs_EB_TRA'!AC$15:AC$38,'Key inputs_EB_TRA'!$C$15:$C$38,$C28,'Key inputs_EB_TRA'!$B$15:$B$38,"Pipeline - Natural gas")/SUMIFS('Key inputs_EB_TRA'!AC$15:AC$38,'Key inputs_EB_TRA'!$B$15:$B$38,"Pipeline - Natural gas")&gt;0,SUMIFS('Key inputs_EB_TRA'!AC$15:AC$38,'Key inputs_EB_TRA'!$C$15:$C$38,$C28,'Key inputs_EB_TRA'!$B$15:$B$38,"Pipeline - Natural gas")/SUMIFS('Key inputs_EB_TRA'!AC$15:AC$38,'Key inputs_EB_TRA'!$B$15:$B$38,"Pipeline - Natural gas")&lt;0.001),0.001,SUMIFS('Key inputs_EB_TRA'!AC$15:AC$38,'Key inputs_EB_TRA'!$C$15:$C$38,$C28,'Key inputs_EB_TRA'!$B$15:$B$38,"Pipeline - Natural gas")/SUMIFS('Key inputs_EB_TRA'!AC$15:AC$38,'Key inputs_EB_TRA'!$B$15:$B$38,"Pipeline - Natural gas")),"")</f>
        <v/>
      </c>
      <c r="AJ28" s="173">
        <f>IFERROR(IF(AND(SUMIFS('Key inputs_EB_TRA'!AD$15:AD$38,'Key inputs_EB_TRA'!$C$15:$C$38,$C28,'Key inputs_EB_TRA'!$B$15:$B$38,"Pipeline - Natural gas")/SUMIFS('Key inputs_EB_TRA'!AD$15:AD$38,'Key inputs_EB_TRA'!$B$15:$B$38,"Pipeline - Natural gas")&gt;0,SUMIFS('Key inputs_EB_TRA'!AD$15:AD$38,'Key inputs_EB_TRA'!$C$15:$C$38,$C28,'Key inputs_EB_TRA'!$B$15:$B$38,"Pipeline - Natural gas")/SUMIFS('Key inputs_EB_TRA'!AD$15:AD$38,'Key inputs_EB_TRA'!$B$15:$B$38,"Pipeline - Natural gas")&lt;0.001),0.001,SUMIFS('Key inputs_EB_TRA'!AD$15:AD$38,'Key inputs_EB_TRA'!$C$15:$C$38,$C28,'Key inputs_EB_TRA'!$B$15:$B$38,"Pipeline - Natural gas")/SUMIFS('Key inputs_EB_TRA'!AD$15:AD$38,'Key inputs_EB_TRA'!$B$15:$B$38,"Pipeline - Natural gas")),"")</f>
        <v>1E-3</v>
      </c>
      <c r="AK28" s="173">
        <f>IFERROR(IF(AND(SUMIFS('Key inputs_EB_TRA'!AE$15:AE$38,'Key inputs_EB_TRA'!$C$15:$C$38,$C28,'Key inputs_EB_TRA'!$B$15:$B$38,"Pipeline - Natural gas")/SUMIFS('Key inputs_EB_TRA'!AE$15:AE$38,'Key inputs_EB_TRA'!$B$15:$B$38,"Pipeline - Natural gas")&gt;0,SUMIFS('Key inputs_EB_TRA'!AE$15:AE$38,'Key inputs_EB_TRA'!$C$15:$C$38,$C28,'Key inputs_EB_TRA'!$B$15:$B$38,"Pipeline - Natural gas")/SUMIFS('Key inputs_EB_TRA'!AE$15:AE$38,'Key inputs_EB_TRA'!$B$15:$B$38,"Pipeline - Natural gas")&lt;0.001),0.001,SUMIFS('Key inputs_EB_TRA'!AE$15:AE$38,'Key inputs_EB_TRA'!$C$15:$C$38,$C28,'Key inputs_EB_TRA'!$B$15:$B$38,"Pipeline - Natural gas")/SUMIFS('Key inputs_EB_TRA'!AE$15:AE$38,'Key inputs_EB_TRA'!$B$15:$B$38,"Pipeline - Natural gas")),"")</f>
        <v>0</v>
      </c>
      <c r="AL28" s="173">
        <f>IFERROR(IF(AND(SUMIFS('Key inputs_EB_TRA'!AF$15:AF$38,'Key inputs_EB_TRA'!$C$15:$C$38,$C28,'Key inputs_EB_TRA'!$B$15:$B$38,"Pipeline - Natural gas")/SUMIFS('Key inputs_EB_TRA'!AF$15:AF$38,'Key inputs_EB_TRA'!$B$15:$B$38,"Pipeline - Natural gas")&gt;0,SUMIFS('Key inputs_EB_TRA'!AF$15:AF$38,'Key inputs_EB_TRA'!$C$15:$C$38,$C28,'Key inputs_EB_TRA'!$B$15:$B$38,"Pipeline - Natural gas")/SUMIFS('Key inputs_EB_TRA'!AF$15:AF$38,'Key inputs_EB_TRA'!$B$15:$B$38,"Pipeline - Natural gas")&lt;0.001),0.001,SUMIFS('Key inputs_EB_TRA'!AF$15:AF$38,'Key inputs_EB_TRA'!$C$15:$C$38,$C28,'Key inputs_EB_TRA'!$B$15:$B$38,"Pipeline - Natural gas")/SUMIFS('Key inputs_EB_TRA'!AF$15:AF$38,'Key inputs_EB_TRA'!$B$15:$B$38,"Pipeline - Natural gas")),"")</f>
        <v>0</v>
      </c>
    </row>
    <row r="29" spans="1:38">
      <c r="A29" s="236"/>
      <c r="B29" s="236"/>
      <c r="C29" s="236" t="str">
        <f>Commodities!$C$99</f>
        <v>UPSOIL</v>
      </c>
      <c r="D29" s="236"/>
      <c r="E29" s="236"/>
      <c r="F29" s="259" t="s">
        <v>359</v>
      </c>
      <c r="G29" s="259" t="s">
        <v>702</v>
      </c>
      <c r="H29" s="236" t="s">
        <v>661</v>
      </c>
      <c r="I29" s="236">
        <v>2019</v>
      </c>
      <c r="J29" s="236" t="s">
        <v>650</v>
      </c>
      <c r="K29" s="264" t="str">
        <f>IFERROR(IF(AND(SUMIFS('Key inputs_EB_TRA'!E$15:E$38,'Key inputs_EB_TRA'!$C$15:$C$38,$C29,'Key inputs_EB_TRA'!$B$15:$B$38,"Pipeline - Natural gas")/SUMIFS('Key inputs_EB_TRA'!E$15:E$38,'Key inputs_EB_TRA'!$B$15:$B$38,"Pipeline - Natural gas")&gt;0,SUMIFS('Key inputs_EB_TRA'!E$15:E$38,'Key inputs_EB_TRA'!$C$15:$C$38,$C29,'Key inputs_EB_TRA'!$B$15:$B$38,"Pipeline - Natural gas")/SUMIFS('Key inputs_EB_TRA'!E$15:E$38,'Key inputs_EB_TRA'!$B$15:$B$38,"Pipeline - Natural gas")&lt;0.001),0.001,SUMIFS('Key inputs_EB_TRA'!E$15:E$38,'Key inputs_EB_TRA'!$C$15:$C$38,$C29,'Key inputs_EB_TRA'!$B$15:$B$38,"Pipeline - Natural gas")/SUMIFS('Key inputs_EB_TRA'!E$15:E$38,'Key inputs_EB_TRA'!$B$15:$B$38,"Pipeline - Natural gas")),"")</f>
        <v/>
      </c>
      <c r="L29" s="226">
        <f>IFERROR(IF(AND(SUMIFS('Key inputs_EB_TRA'!F$15:F$38,'Key inputs_EB_TRA'!$C$15:$C$38,$C29,'Key inputs_EB_TRA'!$B$15:$B$38,"Pipeline - Natural gas")/SUMIFS('Key inputs_EB_TRA'!F$15:F$38,'Key inputs_EB_TRA'!$B$15:$B$38,"Pipeline - Natural gas")&gt;0,SUMIFS('Key inputs_EB_TRA'!F$15:F$38,'Key inputs_EB_TRA'!$C$15:$C$38,$C29,'Key inputs_EB_TRA'!$B$15:$B$38,"Pipeline - Natural gas")/SUMIFS('Key inputs_EB_TRA'!F$15:F$38,'Key inputs_EB_TRA'!$B$15:$B$38,"Pipeline - Natural gas")&lt;0.001),0.001,SUMIFS('Key inputs_EB_TRA'!F$15:F$38,'Key inputs_EB_TRA'!$C$15:$C$38,$C29,'Key inputs_EB_TRA'!$B$15:$B$38,"Pipeline - Natural gas")/SUMIFS('Key inputs_EB_TRA'!F$15:F$38,'Key inputs_EB_TRA'!$B$15:$B$38,"Pipeline - Natural gas")),"")</f>
        <v>0</v>
      </c>
      <c r="M29" s="226">
        <f>IFERROR(IF(AND(SUMIFS('Key inputs_EB_TRA'!G$15:G$38,'Key inputs_EB_TRA'!$C$15:$C$38,$C29,'Key inputs_EB_TRA'!$B$15:$B$38,"Pipeline - Natural gas")/SUMIFS('Key inputs_EB_TRA'!G$15:G$38,'Key inputs_EB_TRA'!$B$15:$B$38,"Pipeline - Natural gas")&gt;0,SUMIFS('Key inputs_EB_TRA'!G$15:G$38,'Key inputs_EB_TRA'!$C$15:$C$38,$C29,'Key inputs_EB_TRA'!$B$15:$B$38,"Pipeline - Natural gas")/SUMIFS('Key inputs_EB_TRA'!G$15:G$38,'Key inputs_EB_TRA'!$B$15:$B$38,"Pipeline - Natural gas")&lt;0.001),0.001,SUMIFS('Key inputs_EB_TRA'!G$15:G$38,'Key inputs_EB_TRA'!$C$15:$C$38,$C29,'Key inputs_EB_TRA'!$B$15:$B$38,"Pipeline - Natural gas")/SUMIFS('Key inputs_EB_TRA'!G$15:G$38,'Key inputs_EB_TRA'!$B$15:$B$38,"Pipeline - Natural gas")),"")</f>
        <v>0</v>
      </c>
      <c r="N29" s="226">
        <f>IFERROR(IF(AND(SUMIFS('Key inputs_EB_TRA'!H$15:H$38,'Key inputs_EB_TRA'!$C$15:$C$38,$C29,'Key inputs_EB_TRA'!$B$15:$B$38,"Pipeline - Natural gas")/SUMIFS('Key inputs_EB_TRA'!H$15:H$38,'Key inputs_EB_TRA'!$B$15:$B$38,"Pipeline - Natural gas")&gt;0,SUMIFS('Key inputs_EB_TRA'!H$15:H$38,'Key inputs_EB_TRA'!$C$15:$C$38,$C29,'Key inputs_EB_TRA'!$B$15:$B$38,"Pipeline - Natural gas")/SUMIFS('Key inputs_EB_TRA'!H$15:H$38,'Key inputs_EB_TRA'!$B$15:$B$38,"Pipeline - Natural gas")&lt;0.001),0.001,SUMIFS('Key inputs_EB_TRA'!H$15:H$38,'Key inputs_EB_TRA'!$C$15:$C$38,$C29,'Key inputs_EB_TRA'!$B$15:$B$38,"Pipeline - Natural gas")/SUMIFS('Key inputs_EB_TRA'!H$15:H$38,'Key inputs_EB_TRA'!$B$15:$B$38,"Pipeline - Natural gas")),"")</f>
        <v>0</v>
      </c>
      <c r="O29" s="226">
        <f>IFERROR(IF(AND(SUMIFS('Key inputs_EB_TRA'!I$15:I$38,'Key inputs_EB_TRA'!$C$15:$C$38,$C29,'Key inputs_EB_TRA'!$B$15:$B$38,"Pipeline - Natural gas")/SUMIFS('Key inputs_EB_TRA'!I$15:I$38,'Key inputs_EB_TRA'!$B$15:$B$38,"Pipeline - Natural gas")&gt;0,SUMIFS('Key inputs_EB_TRA'!I$15:I$38,'Key inputs_EB_TRA'!$C$15:$C$38,$C29,'Key inputs_EB_TRA'!$B$15:$B$38,"Pipeline - Natural gas")/SUMIFS('Key inputs_EB_TRA'!I$15:I$38,'Key inputs_EB_TRA'!$B$15:$B$38,"Pipeline - Natural gas")&lt;0.001),0.001,SUMIFS('Key inputs_EB_TRA'!I$15:I$38,'Key inputs_EB_TRA'!$C$15:$C$38,$C29,'Key inputs_EB_TRA'!$B$15:$B$38,"Pipeline - Natural gas")/SUMIFS('Key inputs_EB_TRA'!I$15:I$38,'Key inputs_EB_TRA'!$B$15:$B$38,"Pipeline - Natural gas")),"")</f>
        <v>0</v>
      </c>
      <c r="P29" s="226">
        <f>IFERROR(IF(AND(SUMIFS('Key inputs_EB_TRA'!J$15:J$38,'Key inputs_EB_TRA'!$C$15:$C$38,$C29,'Key inputs_EB_TRA'!$B$15:$B$38,"Pipeline - Natural gas")/SUMIFS('Key inputs_EB_TRA'!J$15:J$38,'Key inputs_EB_TRA'!$B$15:$B$38,"Pipeline - Natural gas")&gt;0,SUMIFS('Key inputs_EB_TRA'!J$15:J$38,'Key inputs_EB_TRA'!$C$15:$C$38,$C29,'Key inputs_EB_TRA'!$B$15:$B$38,"Pipeline - Natural gas")/SUMIFS('Key inputs_EB_TRA'!J$15:J$38,'Key inputs_EB_TRA'!$B$15:$B$38,"Pipeline - Natural gas")&lt;0.001),0.001,SUMIFS('Key inputs_EB_TRA'!J$15:J$38,'Key inputs_EB_TRA'!$C$15:$C$38,$C29,'Key inputs_EB_TRA'!$B$15:$B$38,"Pipeline - Natural gas")/SUMIFS('Key inputs_EB_TRA'!J$15:J$38,'Key inputs_EB_TRA'!$B$15:$B$38,"Pipeline - Natural gas")),"")</f>
        <v>1E-3</v>
      </c>
      <c r="Q29" s="226" t="str">
        <f>IFERROR(IF(AND(SUMIFS('Key inputs_EB_TRA'!K$15:K$38,'Key inputs_EB_TRA'!$C$15:$C$38,$C29,'Key inputs_EB_TRA'!$B$15:$B$38,"Pipeline - Natural gas")/SUMIFS('Key inputs_EB_TRA'!K$15:K$38,'Key inputs_EB_TRA'!$B$15:$B$38,"Pipeline - Natural gas")&gt;0,SUMIFS('Key inputs_EB_TRA'!K$15:K$38,'Key inputs_EB_TRA'!$C$15:$C$38,$C29,'Key inputs_EB_TRA'!$B$15:$B$38,"Pipeline - Natural gas")/SUMIFS('Key inputs_EB_TRA'!K$15:K$38,'Key inputs_EB_TRA'!$B$15:$B$38,"Pipeline - Natural gas")&lt;0.001),0.001,SUMIFS('Key inputs_EB_TRA'!K$15:K$38,'Key inputs_EB_TRA'!$C$15:$C$38,$C29,'Key inputs_EB_TRA'!$B$15:$B$38,"Pipeline - Natural gas")/SUMIFS('Key inputs_EB_TRA'!K$15:K$38,'Key inputs_EB_TRA'!$B$15:$B$38,"Pipeline - Natural gas")),"")</f>
        <v/>
      </c>
      <c r="R29" s="226" t="str">
        <f>IFERROR(IF(AND(SUMIFS('Key inputs_EB_TRA'!L$15:L$38,'Key inputs_EB_TRA'!$C$15:$C$38,$C29,'Key inputs_EB_TRA'!$B$15:$B$38,"Pipeline - Natural gas")/SUMIFS('Key inputs_EB_TRA'!L$15:L$38,'Key inputs_EB_TRA'!$B$15:$B$38,"Pipeline - Natural gas")&gt;0,SUMIFS('Key inputs_EB_TRA'!L$15:L$38,'Key inputs_EB_TRA'!$C$15:$C$38,$C29,'Key inputs_EB_TRA'!$B$15:$B$38,"Pipeline - Natural gas")/SUMIFS('Key inputs_EB_TRA'!L$15:L$38,'Key inputs_EB_TRA'!$B$15:$B$38,"Pipeline - Natural gas")&lt;0.001),0.001,SUMIFS('Key inputs_EB_TRA'!L$15:L$38,'Key inputs_EB_TRA'!$C$15:$C$38,$C29,'Key inputs_EB_TRA'!$B$15:$B$38,"Pipeline - Natural gas")/SUMIFS('Key inputs_EB_TRA'!L$15:L$38,'Key inputs_EB_TRA'!$B$15:$B$38,"Pipeline - Natural gas")),"")</f>
        <v/>
      </c>
      <c r="S29" s="226" t="str">
        <f>IFERROR(IF(AND(SUMIFS('Key inputs_EB_TRA'!M$15:M$38,'Key inputs_EB_TRA'!$C$15:$C$38,$C29,'Key inputs_EB_TRA'!$B$15:$B$38,"Pipeline - Natural gas")/SUMIFS('Key inputs_EB_TRA'!M$15:M$38,'Key inputs_EB_TRA'!$B$15:$B$38,"Pipeline - Natural gas")&gt;0,SUMIFS('Key inputs_EB_TRA'!M$15:M$38,'Key inputs_EB_TRA'!$C$15:$C$38,$C29,'Key inputs_EB_TRA'!$B$15:$B$38,"Pipeline - Natural gas")/SUMIFS('Key inputs_EB_TRA'!M$15:M$38,'Key inputs_EB_TRA'!$B$15:$B$38,"Pipeline - Natural gas")&lt;0.001),0.001,SUMIFS('Key inputs_EB_TRA'!M$15:M$38,'Key inputs_EB_TRA'!$C$15:$C$38,$C29,'Key inputs_EB_TRA'!$B$15:$B$38,"Pipeline - Natural gas")/SUMIFS('Key inputs_EB_TRA'!M$15:M$38,'Key inputs_EB_TRA'!$B$15:$B$38,"Pipeline - Natural gas")),"")</f>
        <v/>
      </c>
      <c r="T29" s="226">
        <f>IFERROR(IF(AND(SUMIFS('Key inputs_EB_TRA'!N$15:N$38,'Key inputs_EB_TRA'!$C$15:$C$38,$C29,'Key inputs_EB_TRA'!$B$15:$B$38,"Pipeline - Natural gas")/SUMIFS('Key inputs_EB_TRA'!N$15:N$38,'Key inputs_EB_TRA'!$B$15:$B$38,"Pipeline - Natural gas")&gt;0,SUMIFS('Key inputs_EB_TRA'!N$15:N$38,'Key inputs_EB_TRA'!$C$15:$C$38,$C29,'Key inputs_EB_TRA'!$B$15:$B$38,"Pipeline - Natural gas")/SUMIFS('Key inputs_EB_TRA'!N$15:N$38,'Key inputs_EB_TRA'!$B$15:$B$38,"Pipeline - Natural gas")&lt;0.001),0.001,SUMIFS('Key inputs_EB_TRA'!N$15:N$38,'Key inputs_EB_TRA'!$C$15:$C$38,$C29,'Key inputs_EB_TRA'!$B$15:$B$38,"Pipeline - Natural gas")/SUMIFS('Key inputs_EB_TRA'!N$15:N$38,'Key inputs_EB_TRA'!$B$15:$B$38,"Pipeline - Natural gas")),"")</f>
        <v>0</v>
      </c>
      <c r="U29" s="226">
        <f>IFERROR(IF(AND(SUMIFS('Key inputs_EB_TRA'!O$15:O$38,'Key inputs_EB_TRA'!$C$15:$C$38,$C29,'Key inputs_EB_TRA'!$B$15:$B$38,"Pipeline - Natural gas")/SUMIFS('Key inputs_EB_TRA'!O$15:O$38,'Key inputs_EB_TRA'!$B$15:$B$38,"Pipeline - Natural gas")&gt;0,SUMIFS('Key inputs_EB_TRA'!O$15:O$38,'Key inputs_EB_TRA'!$C$15:$C$38,$C29,'Key inputs_EB_TRA'!$B$15:$B$38,"Pipeline - Natural gas")/SUMIFS('Key inputs_EB_TRA'!O$15:O$38,'Key inputs_EB_TRA'!$B$15:$B$38,"Pipeline - Natural gas")&lt;0.001),0.001,SUMIFS('Key inputs_EB_TRA'!O$15:O$38,'Key inputs_EB_TRA'!$C$15:$C$38,$C29,'Key inputs_EB_TRA'!$B$15:$B$38,"Pipeline - Natural gas")/SUMIFS('Key inputs_EB_TRA'!O$15:O$38,'Key inputs_EB_TRA'!$B$15:$B$38,"Pipeline - Natural gas")),"")</f>
        <v>0</v>
      </c>
      <c r="V29" s="226">
        <f>IFERROR(IF(AND(SUMIFS('Key inputs_EB_TRA'!P$15:P$38,'Key inputs_EB_TRA'!$C$15:$C$38,$C29,'Key inputs_EB_TRA'!$B$15:$B$38,"Pipeline - Natural gas")/SUMIFS('Key inputs_EB_TRA'!P$15:P$38,'Key inputs_EB_TRA'!$B$15:$B$38,"Pipeline - Natural gas")&gt;0,SUMIFS('Key inputs_EB_TRA'!P$15:P$38,'Key inputs_EB_TRA'!$C$15:$C$38,$C29,'Key inputs_EB_TRA'!$B$15:$B$38,"Pipeline - Natural gas")/SUMIFS('Key inputs_EB_TRA'!P$15:P$38,'Key inputs_EB_TRA'!$B$15:$B$38,"Pipeline - Natural gas")&lt;0.001),0.001,SUMIFS('Key inputs_EB_TRA'!P$15:P$38,'Key inputs_EB_TRA'!$C$15:$C$38,$C29,'Key inputs_EB_TRA'!$B$15:$B$38,"Pipeline - Natural gas")/SUMIFS('Key inputs_EB_TRA'!P$15:P$38,'Key inputs_EB_TRA'!$B$15:$B$38,"Pipeline - Natural gas")),"")</f>
        <v>0</v>
      </c>
      <c r="W29" s="226">
        <f>IFERROR(IF(AND(SUMIFS('Key inputs_EB_TRA'!Q$15:Q$38,'Key inputs_EB_TRA'!$C$15:$C$38,$C29,'Key inputs_EB_TRA'!$B$15:$B$38,"Pipeline - Natural gas")/SUMIFS('Key inputs_EB_TRA'!Q$15:Q$38,'Key inputs_EB_TRA'!$B$15:$B$38,"Pipeline - Natural gas")&gt;0,SUMIFS('Key inputs_EB_TRA'!Q$15:Q$38,'Key inputs_EB_TRA'!$C$15:$C$38,$C29,'Key inputs_EB_TRA'!$B$15:$B$38,"Pipeline - Natural gas")/SUMIFS('Key inputs_EB_TRA'!Q$15:Q$38,'Key inputs_EB_TRA'!$B$15:$B$38,"Pipeline - Natural gas")&lt;0.001),0.001,SUMIFS('Key inputs_EB_TRA'!Q$15:Q$38,'Key inputs_EB_TRA'!$C$15:$C$38,$C29,'Key inputs_EB_TRA'!$B$15:$B$38,"Pipeline - Natural gas")/SUMIFS('Key inputs_EB_TRA'!Q$15:Q$38,'Key inputs_EB_TRA'!$B$15:$B$38,"Pipeline - Natural gas")),"")</f>
        <v>0</v>
      </c>
      <c r="X29" s="226">
        <f>IFERROR(IF(AND(SUMIFS('Key inputs_EB_TRA'!R$15:R$38,'Key inputs_EB_TRA'!$C$15:$C$38,$C29,'Key inputs_EB_TRA'!$B$15:$B$38,"Pipeline - Natural gas")/SUMIFS('Key inputs_EB_TRA'!R$15:R$38,'Key inputs_EB_TRA'!$B$15:$B$38,"Pipeline - Natural gas")&gt;0,SUMIFS('Key inputs_EB_TRA'!R$15:R$38,'Key inputs_EB_TRA'!$C$15:$C$38,$C29,'Key inputs_EB_TRA'!$B$15:$B$38,"Pipeline - Natural gas")/SUMIFS('Key inputs_EB_TRA'!R$15:R$38,'Key inputs_EB_TRA'!$B$15:$B$38,"Pipeline - Natural gas")&lt;0.001),0.001,SUMIFS('Key inputs_EB_TRA'!R$15:R$38,'Key inputs_EB_TRA'!$C$15:$C$38,$C29,'Key inputs_EB_TRA'!$B$15:$B$38,"Pipeline - Natural gas")/SUMIFS('Key inputs_EB_TRA'!R$15:R$38,'Key inputs_EB_TRA'!$B$15:$B$38,"Pipeline - Natural gas")),"")</f>
        <v>0</v>
      </c>
      <c r="Y29" s="226">
        <f>IFERROR(IF(AND(SUMIFS('Key inputs_EB_TRA'!S$15:S$38,'Key inputs_EB_TRA'!$C$15:$C$38,$C29,'Key inputs_EB_TRA'!$B$15:$B$38,"Pipeline - Natural gas")/SUMIFS('Key inputs_EB_TRA'!S$15:S$38,'Key inputs_EB_TRA'!$B$15:$B$38,"Pipeline - Natural gas")&gt;0,SUMIFS('Key inputs_EB_TRA'!S$15:S$38,'Key inputs_EB_TRA'!$C$15:$C$38,$C29,'Key inputs_EB_TRA'!$B$15:$B$38,"Pipeline - Natural gas")/SUMIFS('Key inputs_EB_TRA'!S$15:S$38,'Key inputs_EB_TRA'!$B$15:$B$38,"Pipeline - Natural gas")&lt;0.001),0.001,SUMIFS('Key inputs_EB_TRA'!S$15:S$38,'Key inputs_EB_TRA'!$C$15:$C$38,$C29,'Key inputs_EB_TRA'!$B$15:$B$38,"Pipeline - Natural gas")/SUMIFS('Key inputs_EB_TRA'!S$15:S$38,'Key inputs_EB_TRA'!$B$15:$B$38,"Pipeline - Natural gas")),"")</f>
        <v>0</v>
      </c>
      <c r="Z29" s="226">
        <f>IFERROR(IF(AND(SUMIFS('Key inputs_EB_TRA'!T$15:T$38,'Key inputs_EB_TRA'!$C$15:$C$38,$C29,'Key inputs_EB_TRA'!$B$15:$B$38,"Pipeline - Natural gas")/SUMIFS('Key inputs_EB_TRA'!T$15:T$38,'Key inputs_EB_TRA'!$B$15:$B$38,"Pipeline - Natural gas")&gt;0,SUMIFS('Key inputs_EB_TRA'!T$15:T$38,'Key inputs_EB_TRA'!$C$15:$C$38,$C29,'Key inputs_EB_TRA'!$B$15:$B$38,"Pipeline - Natural gas")/SUMIFS('Key inputs_EB_TRA'!T$15:T$38,'Key inputs_EB_TRA'!$B$15:$B$38,"Pipeline - Natural gas")&lt;0.001),0.001,SUMIFS('Key inputs_EB_TRA'!T$15:T$38,'Key inputs_EB_TRA'!$C$15:$C$38,$C29,'Key inputs_EB_TRA'!$B$15:$B$38,"Pipeline - Natural gas")/SUMIFS('Key inputs_EB_TRA'!T$15:T$38,'Key inputs_EB_TRA'!$B$15:$B$38,"Pipeline - Natural gas")),"")</f>
        <v>0</v>
      </c>
      <c r="AA29" s="226">
        <f>IFERROR(IF(AND(SUMIFS('Key inputs_EB_TRA'!U$15:U$38,'Key inputs_EB_TRA'!$C$15:$C$38,$C29,'Key inputs_EB_TRA'!$B$15:$B$38,"Pipeline - Natural gas")/SUMIFS('Key inputs_EB_TRA'!U$15:U$38,'Key inputs_EB_TRA'!$B$15:$B$38,"Pipeline - Natural gas")&gt;0,SUMIFS('Key inputs_EB_TRA'!U$15:U$38,'Key inputs_EB_TRA'!$C$15:$C$38,$C29,'Key inputs_EB_TRA'!$B$15:$B$38,"Pipeline - Natural gas")/SUMIFS('Key inputs_EB_TRA'!U$15:U$38,'Key inputs_EB_TRA'!$B$15:$B$38,"Pipeline - Natural gas")&lt;0.001),0.001,SUMIFS('Key inputs_EB_TRA'!U$15:U$38,'Key inputs_EB_TRA'!$C$15:$C$38,$C29,'Key inputs_EB_TRA'!$B$15:$B$38,"Pipeline - Natural gas")/SUMIFS('Key inputs_EB_TRA'!U$15:U$38,'Key inputs_EB_TRA'!$B$15:$B$38,"Pipeline - Natural gas")),"")</f>
        <v>0</v>
      </c>
      <c r="AB29" s="226" t="str">
        <f>IFERROR(IF(AND(SUMIFS('Key inputs_EB_TRA'!V$15:V$38,'Key inputs_EB_TRA'!$C$15:$C$38,$C29,'Key inputs_EB_TRA'!$B$15:$B$38,"Pipeline - Natural gas")/SUMIFS('Key inputs_EB_TRA'!V$15:V$38,'Key inputs_EB_TRA'!$B$15:$B$38,"Pipeline - Natural gas")&gt;0,SUMIFS('Key inputs_EB_TRA'!V$15:V$38,'Key inputs_EB_TRA'!$C$15:$C$38,$C29,'Key inputs_EB_TRA'!$B$15:$B$38,"Pipeline - Natural gas")/SUMIFS('Key inputs_EB_TRA'!V$15:V$38,'Key inputs_EB_TRA'!$B$15:$B$38,"Pipeline - Natural gas")&lt;0.001),0.001,SUMIFS('Key inputs_EB_TRA'!V$15:V$38,'Key inputs_EB_TRA'!$C$15:$C$38,$C29,'Key inputs_EB_TRA'!$B$15:$B$38,"Pipeline - Natural gas")/SUMIFS('Key inputs_EB_TRA'!V$15:V$38,'Key inputs_EB_TRA'!$B$15:$B$38,"Pipeline - Natural gas")),"")</f>
        <v/>
      </c>
      <c r="AC29" s="226">
        <f>IFERROR(IF(AND(SUMIFS('Key inputs_EB_TRA'!W$15:W$38,'Key inputs_EB_TRA'!$C$15:$C$38,$C29,'Key inputs_EB_TRA'!$B$15:$B$38,"Pipeline - Natural gas")/SUMIFS('Key inputs_EB_TRA'!W$15:W$38,'Key inputs_EB_TRA'!$B$15:$B$38,"Pipeline - Natural gas")&gt;0,SUMIFS('Key inputs_EB_TRA'!W$15:W$38,'Key inputs_EB_TRA'!$C$15:$C$38,$C29,'Key inputs_EB_TRA'!$B$15:$B$38,"Pipeline - Natural gas")/SUMIFS('Key inputs_EB_TRA'!W$15:W$38,'Key inputs_EB_TRA'!$B$15:$B$38,"Pipeline - Natural gas")&lt;0.001),0.001,SUMIFS('Key inputs_EB_TRA'!W$15:W$38,'Key inputs_EB_TRA'!$C$15:$C$38,$C29,'Key inputs_EB_TRA'!$B$15:$B$38,"Pipeline - Natural gas")/SUMIFS('Key inputs_EB_TRA'!W$15:W$38,'Key inputs_EB_TRA'!$B$15:$B$38,"Pipeline - Natural gas")),"")</f>
        <v>0</v>
      </c>
      <c r="AD29" s="226" t="str">
        <f>IFERROR(IF(AND(SUMIFS('Key inputs_EB_TRA'!X$15:X$38,'Key inputs_EB_TRA'!$C$15:$C$38,$C29,'Key inputs_EB_TRA'!$B$15:$B$38,"Pipeline - Natural gas")/SUMIFS('Key inputs_EB_TRA'!X$15:X$38,'Key inputs_EB_TRA'!$B$15:$B$38,"Pipeline - Natural gas")&gt;0,SUMIFS('Key inputs_EB_TRA'!X$15:X$38,'Key inputs_EB_TRA'!$C$15:$C$38,$C29,'Key inputs_EB_TRA'!$B$15:$B$38,"Pipeline - Natural gas")/SUMIFS('Key inputs_EB_TRA'!X$15:X$38,'Key inputs_EB_TRA'!$B$15:$B$38,"Pipeline - Natural gas")&lt;0.001),0.001,SUMIFS('Key inputs_EB_TRA'!X$15:X$38,'Key inputs_EB_TRA'!$C$15:$C$38,$C29,'Key inputs_EB_TRA'!$B$15:$B$38,"Pipeline - Natural gas")/SUMIFS('Key inputs_EB_TRA'!X$15:X$38,'Key inputs_EB_TRA'!$B$15:$B$38,"Pipeline - Natural gas")),"")</f>
        <v/>
      </c>
      <c r="AE29" s="226">
        <f>IFERROR(IF(AND(SUMIFS('Key inputs_EB_TRA'!Y$15:Y$38,'Key inputs_EB_TRA'!$C$15:$C$38,$C29,'Key inputs_EB_TRA'!$B$15:$B$38,"Pipeline - Natural gas")/SUMIFS('Key inputs_EB_TRA'!Y$15:Y$38,'Key inputs_EB_TRA'!$B$15:$B$38,"Pipeline - Natural gas")&gt;0,SUMIFS('Key inputs_EB_TRA'!Y$15:Y$38,'Key inputs_EB_TRA'!$C$15:$C$38,$C29,'Key inputs_EB_TRA'!$B$15:$B$38,"Pipeline - Natural gas")/SUMIFS('Key inputs_EB_TRA'!Y$15:Y$38,'Key inputs_EB_TRA'!$B$15:$B$38,"Pipeline - Natural gas")&lt;0.001),0.001,SUMIFS('Key inputs_EB_TRA'!Y$15:Y$38,'Key inputs_EB_TRA'!$C$15:$C$38,$C29,'Key inputs_EB_TRA'!$B$15:$B$38,"Pipeline - Natural gas")/SUMIFS('Key inputs_EB_TRA'!Y$15:Y$38,'Key inputs_EB_TRA'!$B$15:$B$38,"Pipeline - Natural gas")),"")</f>
        <v>0</v>
      </c>
      <c r="AF29" s="226">
        <f>IFERROR(IF(AND(SUMIFS('Key inputs_EB_TRA'!Z$15:Z$38,'Key inputs_EB_TRA'!$C$15:$C$38,$C29,'Key inputs_EB_TRA'!$B$15:$B$38,"Pipeline - Natural gas")/SUMIFS('Key inputs_EB_TRA'!Z$15:Z$38,'Key inputs_EB_TRA'!$B$15:$B$38,"Pipeline - Natural gas")&gt;0,SUMIFS('Key inputs_EB_TRA'!Z$15:Z$38,'Key inputs_EB_TRA'!$C$15:$C$38,$C29,'Key inputs_EB_TRA'!$B$15:$B$38,"Pipeline - Natural gas")/SUMIFS('Key inputs_EB_TRA'!Z$15:Z$38,'Key inputs_EB_TRA'!$B$15:$B$38,"Pipeline - Natural gas")&lt;0.001),0.001,SUMIFS('Key inputs_EB_TRA'!Z$15:Z$38,'Key inputs_EB_TRA'!$C$15:$C$38,$C29,'Key inputs_EB_TRA'!$B$15:$B$38,"Pipeline - Natural gas")/SUMIFS('Key inputs_EB_TRA'!Z$15:Z$38,'Key inputs_EB_TRA'!$B$15:$B$38,"Pipeline - Natural gas")),"")</f>
        <v>0</v>
      </c>
      <c r="AG29" s="226">
        <f>IFERROR(IF(AND(SUMIFS('Key inputs_EB_TRA'!AA$15:AA$38,'Key inputs_EB_TRA'!$C$15:$C$38,$C29,'Key inputs_EB_TRA'!$B$15:$B$38,"Pipeline - Natural gas")/SUMIFS('Key inputs_EB_TRA'!AA$15:AA$38,'Key inputs_EB_TRA'!$B$15:$B$38,"Pipeline - Natural gas")&gt;0,SUMIFS('Key inputs_EB_TRA'!AA$15:AA$38,'Key inputs_EB_TRA'!$C$15:$C$38,$C29,'Key inputs_EB_TRA'!$B$15:$B$38,"Pipeline - Natural gas")/SUMIFS('Key inputs_EB_TRA'!AA$15:AA$38,'Key inputs_EB_TRA'!$B$15:$B$38,"Pipeline - Natural gas")&lt;0.001),0.001,SUMIFS('Key inputs_EB_TRA'!AA$15:AA$38,'Key inputs_EB_TRA'!$C$15:$C$38,$C29,'Key inputs_EB_TRA'!$B$15:$B$38,"Pipeline - Natural gas")/SUMIFS('Key inputs_EB_TRA'!AA$15:AA$38,'Key inputs_EB_TRA'!$B$15:$B$38,"Pipeline - Natural gas")),"")</f>
        <v>0</v>
      </c>
      <c r="AH29" s="226" t="str">
        <f>IFERROR(IF(AND(SUMIFS('Key inputs_EB_TRA'!AB$15:AB$38,'Key inputs_EB_TRA'!$C$15:$C$38,$C29,'Key inputs_EB_TRA'!$B$15:$B$38,"Pipeline - Natural gas")/SUMIFS('Key inputs_EB_TRA'!AB$15:AB$38,'Key inputs_EB_TRA'!$B$15:$B$38,"Pipeline - Natural gas")&gt;0,SUMIFS('Key inputs_EB_TRA'!AB$15:AB$38,'Key inputs_EB_TRA'!$C$15:$C$38,$C29,'Key inputs_EB_TRA'!$B$15:$B$38,"Pipeline - Natural gas")/SUMIFS('Key inputs_EB_TRA'!AB$15:AB$38,'Key inputs_EB_TRA'!$B$15:$B$38,"Pipeline - Natural gas")&lt;0.001),0.001,SUMIFS('Key inputs_EB_TRA'!AB$15:AB$38,'Key inputs_EB_TRA'!$C$15:$C$38,$C29,'Key inputs_EB_TRA'!$B$15:$B$38,"Pipeline - Natural gas")/SUMIFS('Key inputs_EB_TRA'!AB$15:AB$38,'Key inputs_EB_TRA'!$B$15:$B$38,"Pipeline - Natural gas")),"")</f>
        <v/>
      </c>
      <c r="AI29" s="226" t="str">
        <f>IFERROR(IF(AND(SUMIFS('Key inputs_EB_TRA'!AC$15:AC$38,'Key inputs_EB_TRA'!$C$15:$C$38,$C29,'Key inputs_EB_TRA'!$B$15:$B$38,"Pipeline - Natural gas")/SUMIFS('Key inputs_EB_TRA'!AC$15:AC$38,'Key inputs_EB_TRA'!$B$15:$B$38,"Pipeline - Natural gas")&gt;0,SUMIFS('Key inputs_EB_TRA'!AC$15:AC$38,'Key inputs_EB_TRA'!$C$15:$C$38,$C29,'Key inputs_EB_TRA'!$B$15:$B$38,"Pipeline - Natural gas")/SUMIFS('Key inputs_EB_TRA'!AC$15:AC$38,'Key inputs_EB_TRA'!$B$15:$B$38,"Pipeline - Natural gas")&lt;0.001),0.001,SUMIFS('Key inputs_EB_TRA'!AC$15:AC$38,'Key inputs_EB_TRA'!$C$15:$C$38,$C29,'Key inputs_EB_TRA'!$B$15:$B$38,"Pipeline - Natural gas")/SUMIFS('Key inputs_EB_TRA'!AC$15:AC$38,'Key inputs_EB_TRA'!$B$15:$B$38,"Pipeline - Natural gas")),"")</f>
        <v/>
      </c>
      <c r="AJ29" s="226">
        <f>IFERROR(IF(AND(SUMIFS('Key inputs_EB_TRA'!AD$15:AD$38,'Key inputs_EB_TRA'!$C$15:$C$38,$C29,'Key inputs_EB_TRA'!$B$15:$B$38,"Pipeline - Natural gas")/SUMIFS('Key inputs_EB_TRA'!AD$15:AD$38,'Key inputs_EB_TRA'!$B$15:$B$38,"Pipeline - Natural gas")&gt;0,SUMIFS('Key inputs_EB_TRA'!AD$15:AD$38,'Key inputs_EB_TRA'!$C$15:$C$38,$C29,'Key inputs_EB_TRA'!$B$15:$B$38,"Pipeline - Natural gas")/SUMIFS('Key inputs_EB_TRA'!AD$15:AD$38,'Key inputs_EB_TRA'!$B$15:$B$38,"Pipeline - Natural gas")&lt;0.001),0.001,SUMIFS('Key inputs_EB_TRA'!AD$15:AD$38,'Key inputs_EB_TRA'!$C$15:$C$38,$C29,'Key inputs_EB_TRA'!$B$15:$B$38,"Pipeline - Natural gas")/SUMIFS('Key inputs_EB_TRA'!AD$15:AD$38,'Key inputs_EB_TRA'!$B$15:$B$38,"Pipeline - Natural gas")),"")</f>
        <v>0</v>
      </c>
      <c r="AK29" s="226">
        <f>IFERROR(IF(AND(SUMIFS('Key inputs_EB_TRA'!AE$15:AE$38,'Key inputs_EB_TRA'!$C$15:$C$38,$C29,'Key inputs_EB_TRA'!$B$15:$B$38,"Pipeline - Natural gas")/SUMIFS('Key inputs_EB_TRA'!AE$15:AE$38,'Key inputs_EB_TRA'!$B$15:$B$38,"Pipeline - Natural gas")&gt;0,SUMIFS('Key inputs_EB_TRA'!AE$15:AE$38,'Key inputs_EB_TRA'!$C$15:$C$38,$C29,'Key inputs_EB_TRA'!$B$15:$B$38,"Pipeline - Natural gas")/SUMIFS('Key inputs_EB_TRA'!AE$15:AE$38,'Key inputs_EB_TRA'!$B$15:$B$38,"Pipeline - Natural gas")&lt;0.001),0.001,SUMIFS('Key inputs_EB_TRA'!AE$15:AE$38,'Key inputs_EB_TRA'!$C$15:$C$38,$C29,'Key inputs_EB_TRA'!$B$15:$B$38,"Pipeline - Natural gas")/SUMIFS('Key inputs_EB_TRA'!AE$15:AE$38,'Key inputs_EB_TRA'!$B$15:$B$38,"Pipeline - Natural gas")),"")</f>
        <v>0</v>
      </c>
      <c r="AL29" s="226">
        <f>IFERROR(IF(AND(SUMIFS('Key inputs_EB_TRA'!AF$15:AF$38,'Key inputs_EB_TRA'!$C$15:$C$38,$C29,'Key inputs_EB_TRA'!$B$15:$B$38,"Pipeline - Natural gas")/SUMIFS('Key inputs_EB_TRA'!AF$15:AF$38,'Key inputs_EB_TRA'!$B$15:$B$38,"Pipeline - Natural gas")&gt;0,SUMIFS('Key inputs_EB_TRA'!AF$15:AF$38,'Key inputs_EB_TRA'!$C$15:$C$38,$C29,'Key inputs_EB_TRA'!$B$15:$B$38,"Pipeline - Natural gas")/SUMIFS('Key inputs_EB_TRA'!AF$15:AF$38,'Key inputs_EB_TRA'!$B$15:$B$38,"Pipeline - Natural gas")&lt;0.001),0.001,SUMIFS('Key inputs_EB_TRA'!AF$15:AF$38,'Key inputs_EB_TRA'!$C$15:$C$38,$C29,'Key inputs_EB_TRA'!$B$15:$B$38,"Pipeline - Natural gas")/SUMIFS('Key inputs_EB_TRA'!AF$15:AF$38,'Key inputs_EB_TRA'!$B$15:$B$38,"Pipeline - Natural gas")),"")</f>
        <v>0</v>
      </c>
    </row>
    <row r="30" spans="1:38">
      <c r="A30" t="str">
        <f>AO11</f>
        <v>U-PIP-OILNGL_00</v>
      </c>
      <c r="B30" t="str">
        <f>AP11</f>
        <v>UPS Pipeline : Natural gas liquids - Existing</v>
      </c>
      <c r="G30" s="4" t="s">
        <v>695</v>
      </c>
      <c r="H30" s="4"/>
      <c r="I30" s="4"/>
      <c r="J30" s="4" t="s">
        <v>2665</v>
      </c>
      <c r="K30" s="355">
        <v>1</v>
      </c>
      <c r="L30" s="355">
        <v>1</v>
      </c>
      <c r="M30" s="355">
        <v>1</v>
      </c>
      <c r="N30" s="355">
        <v>1</v>
      </c>
      <c r="O30" s="355">
        <v>1</v>
      </c>
      <c r="P30" s="355">
        <v>1</v>
      </c>
      <c r="Q30" s="355">
        <v>1</v>
      </c>
      <c r="R30" s="355">
        <v>1</v>
      </c>
      <c r="S30" s="355">
        <v>1</v>
      </c>
      <c r="T30" s="355">
        <v>1</v>
      </c>
      <c r="U30" s="355">
        <v>1</v>
      </c>
      <c r="V30" s="355">
        <v>1</v>
      </c>
      <c r="W30" s="355">
        <v>1</v>
      </c>
      <c r="X30" s="355">
        <v>1</v>
      </c>
      <c r="Y30" s="355">
        <v>1</v>
      </c>
      <c r="Z30" s="355">
        <v>1</v>
      </c>
      <c r="AA30" s="355">
        <v>1</v>
      </c>
      <c r="AB30" s="355">
        <v>1</v>
      </c>
      <c r="AC30" s="355">
        <v>1</v>
      </c>
      <c r="AD30" s="355">
        <v>1</v>
      </c>
      <c r="AE30" s="355">
        <v>1</v>
      </c>
      <c r="AF30" s="355">
        <v>1</v>
      </c>
      <c r="AG30" s="355">
        <v>1</v>
      </c>
      <c r="AH30" s="355">
        <v>1</v>
      </c>
      <c r="AI30" s="355">
        <v>1</v>
      </c>
      <c r="AJ30" s="355">
        <v>1</v>
      </c>
      <c r="AK30" s="355">
        <v>1</v>
      </c>
      <c r="AL30" s="355">
        <v>1</v>
      </c>
    </row>
    <row r="31" spans="1:38">
      <c r="G31" s="4" t="s">
        <v>697</v>
      </c>
      <c r="H31" s="4"/>
      <c r="I31" s="4"/>
      <c r="J31" s="4" t="s">
        <v>698</v>
      </c>
      <c r="K31" s="331">
        <v>100</v>
      </c>
      <c r="L31" s="331">
        <v>100</v>
      </c>
      <c r="M31" s="331">
        <v>100</v>
      </c>
      <c r="N31" s="331">
        <v>100</v>
      </c>
      <c r="O31" s="331">
        <v>100</v>
      </c>
      <c r="P31" s="331">
        <v>100</v>
      </c>
      <c r="Q31" s="331">
        <v>100</v>
      </c>
      <c r="R31" s="331">
        <v>100</v>
      </c>
      <c r="S31" s="331">
        <v>100</v>
      </c>
      <c r="T31" s="331">
        <v>100</v>
      </c>
      <c r="U31" s="331">
        <v>100</v>
      </c>
      <c r="V31" s="331">
        <v>100</v>
      </c>
      <c r="W31" s="331">
        <v>100</v>
      </c>
      <c r="X31" s="331">
        <v>100</v>
      </c>
      <c r="Y31" s="331">
        <v>100</v>
      </c>
      <c r="Z31" s="331">
        <v>100</v>
      </c>
      <c r="AA31" s="331">
        <v>100</v>
      </c>
      <c r="AB31" s="331">
        <v>100</v>
      </c>
      <c r="AC31" s="331">
        <v>100</v>
      </c>
      <c r="AD31" s="331">
        <v>100</v>
      </c>
      <c r="AE31" s="331">
        <v>100</v>
      </c>
      <c r="AF31" s="331">
        <v>100</v>
      </c>
      <c r="AG31" s="331">
        <v>100</v>
      </c>
      <c r="AH31" s="331">
        <v>100</v>
      </c>
      <c r="AI31" s="331">
        <v>100</v>
      </c>
      <c r="AJ31" s="331">
        <v>100</v>
      </c>
      <c r="AK31" s="331">
        <v>100</v>
      </c>
      <c r="AL31" s="331">
        <v>100</v>
      </c>
    </row>
    <row r="32" spans="1:38">
      <c r="G32" s="4" t="s">
        <v>699</v>
      </c>
      <c r="H32" s="4"/>
      <c r="I32" s="4">
        <v>2019</v>
      </c>
      <c r="J32" s="4" t="s">
        <v>112</v>
      </c>
      <c r="K32" s="356">
        <f>'Key inputs_Pipelines'!C5/10^3</f>
        <v>0</v>
      </c>
      <c r="L32" s="356">
        <f>'Key inputs_Pipelines'!D5/10^3</f>
        <v>1077.8409999999999</v>
      </c>
      <c r="M32" s="356">
        <f>'Key inputs_Pipelines'!E5/10^3</f>
        <v>74.870999999999995</v>
      </c>
      <c r="N32" s="356">
        <f>'Key inputs_Pipelines'!F5/10^3</f>
        <v>180.50700000000001</v>
      </c>
      <c r="O32" s="356">
        <f>'Key inputs_Pipelines'!G5/10^3</f>
        <v>259.47699999999998</v>
      </c>
      <c r="P32" s="356">
        <f>'Key inputs_Pipelines'!H5/10^3</f>
        <v>468.916</v>
      </c>
      <c r="Q32" s="356">
        <f>'Key inputs_Pipelines'!I5/10^3</f>
        <v>790.56299999999999</v>
      </c>
      <c r="R32" s="356">
        <f>'Key inputs_Pipelines'!J5/10^3</f>
        <v>68.253</v>
      </c>
      <c r="S32" s="356">
        <f>'Key inputs_Pipelines'!K5/10^3</f>
        <v>273.72699999999998</v>
      </c>
      <c r="T32" s="356">
        <f>'Key inputs_Pipelines'!L5/10^3</f>
        <v>118.251</v>
      </c>
      <c r="U32" s="356">
        <f>'Key inputs_Pipelines'!M5/10^3</f>
        <v>0</v>
      </c>
      <c r="V32" s="356">
        <f>'Key inputs_Pipelines'!N5/10^3</f>
        <v>0</v>
      </c>
      <c r="W32" s="356">
        <f>'Key inputs_Pipelines'!O5/10^3</f>
        <v>43.070999999999998</v>
      </c>
      <c r="X32" s="356">
        <f>'Key inputs_Pipelines'!P5/10^3</f>
        <v>824.76700000000005</v>
      </c>
      <c r="Y32" s="356">
        <f>'Key inputs_Pipelines'!Q5/10^3</f>
        <v>17.163</v>
      </c>
      <c r="Z32" s="356">
        <f>'Key inputs_Pipelines'!R5/10^3</f>
        <v>6.8000000000000005E-2</v>
      </c>
      <c r="AA32" s="356">
        <f>'Key inputs_Pipelines'!S5/10^3</f>
        <v>41.204999999999998</v>
      </c>
      <c r="AB32" s="356">
        <f>'Key inputs_Pipelines'!T5/10^3</f>
        <v>67.643000000000001</v>
      </c>
      <c r="AC32" s="356">
        <f>'Key inputs_Pipelines'!U5/10^3</f>
        <v>379.98099999999999</v>
      </c>
      <c r="AD32" s="356">
        <f>'Key inputs_Pipelines'!V5/10^3</f>
        <v>4.6900000000000004</v>
      </c>
      <c r="AE32" s="356">
        <f>'Key inputs_Pipelines'!W5/10^3</f>
        <v>975.35199999999998</v>
      </c>
      <c r="AF32" s="356">
        <f>'Key inputs_Pipelines'!X5/10^3</f>
        <v>8.1760000000000002</v>
      </c>
      <c r="AG32" s="356">
        <f>'Key inputs_Pipelines'!Y5/10^3</f>
        <v>8843.8070000000007</v>
      </c>
      <c r="AH32" s="356">
        <f>'Key inputs_Pipelines'!Z5/10^3</f>
        <v>467.40800000000002</v>
      </c>
      <c r="AI32" s="356">
        <f>'Key inputs_Pipelines'!AA5/10^3</f>
        <v>51.738999999999997</v>
      </c>
      <c r="AJ32" s="356">
        <f>'Key inputs_Pipelines'!AB5/10^3</f>
        <v>1648.588</v>
      </c>
      <c r="AK32" s="356">
        <f>'Key inputs_Pipelines'!AC5/10^3</f>
        <v>0</v>
      </c>
      <c r="AL32" s="356">
        <f>'Key inputs_Pipelines'!AD5/10^3</f>
        <v>10595.714</v>
      </c>
    </row>
    <row r="33" spans="3:38">
      <c r="G33" s="4" t="s">
        <v>701</v>
      </c>
      <c r="H33" s="4" t="s">
        <v>661</v>
      </c>
      <c r="I33" s="4">
        <v>2019</v>
      </c>
      <c r="J33" s="4" t="s">
        <v>112</v>
      </c>
      <c r="K33" s="333">
        <v>0</v>
      </c>
      <c r="L33" s="333">
        <v>0</v>
      </c>
      <c r="M33" s="333">
        <v>0</v>
      </c>
      <c r="N33" s="333">
        <v>0</v>
      </c>
      <c r="O33" s="333">
        <v>0</v>
      </c>
      <c r="P33" s="333">
        <v>0</v>
      </c>
      <c r="Q33" s="333">
        <v>0</v>
      </c>
      <c r="R33" s="333">
        <v>0</v>
      </c>
      <c r="S33" s="333">
        <v>0</v>
      </c>
      <c r="T33" s="333">
        <v>0</v>
      </c>
      <c r="U33" s="333">
        <v>0</v>
      </c>
      <c r="V33" s="333">
        <v>0</v>
      </c>
      <c r="W33" s="333">
        <v>0</v>
      </c>
      <c r="X33" s="333">
        <v>0</v>
      </c>
      <c r="Y33" s="333">
        <v>0</v>
      </c>
      <c r="Z33" s="333">
        <v>0</v>
      </c>
      <c r="AA33" s="333">
        <v>0</v>
      </c>
      <c r="AB33" s="333">
        <v>0</v>
      </c>
      <c r="AC33" s="333">
        <v>0</v>
      </c>
      <c r="AD33" s="333">
        <v>0</v>
      </c>
      <c r="AE33" s="333">
        <v>0</v>
      </c>
      <c r="AF33" s="333">
        <v>0</v>
      </c>
      <c r="AG33" s="333">
        <v>0</v>
      </c>
      <c r="AH33" s="333">
        <v>0</v>
      </c>
      <c r="AI33" s="333">
        <v>0</v>
      </c>
      <c r="AJ33" s="333">
        <v>0</v>
      </c>
      <c r="AK33" s="333">
        <v>0</v>
      </c>
      <c r="AL33" s="333">
        <v>0</v>
      </c>
    </row>
    <row r="34" spans="3:38">
      <c r="G34" s="4" t="s">
        <v>701</v>
      </c>
      <c r="H34" s="4" t="s">
        <v>661</v>
      </c>
      <c r="I34" s="4">
        <v>2060</v>
      </c>
      <c r="J34" s="4" t="s">
        <v>112</v>
      </c>
      <c r="K34" s="333">
        <v>0</v>
      </c>
      <c r="L34" s="333">
        <v>0</v>
      </c>
      <c r="M34" s="333">
        <v>0</v>
      </c>
      <c r="N34" s="333">
        <v>0</v>
      </c>
      <c r="O34" s="333">
        <v>0</v>
      </c>
      <c r="P34" s="333">
        <v>0</v>
      </c>
      <c r="Q34" s="333">
        <v>0</v>
      </c>
      <c r="R34" s="333">
        <v>0</v>
      </c>
      <c r="S34" s="333">
        <v>0</v>
      </c>
      <c r="T34" s="333">
        <v>0</v>
      </c>
      <c r="U34" s="333">
        <v>0</v>
      </c>
      <c r="V34" s="333">
        <v>0</v>
      </c>
      <c r="W34" s="333">
        <v>0</v>
      </c>
      <c r="X34" s="333">
        <v>0</v>
      </c>
      <c r="Y34" s="333">
        <v>0</v>
      </c>
      <c r="Z34" s="333">
        <v>0</v>
      </c>
      <c r="AA34" s="333">
        <v>0</v>
      </c>
      <c r="AB34" s="333">
        <v>0</v>
      </c>
      <c r="AC34" s="333">
        <v>0</v>
      </c>
      <c r="AD34" s="333">
        <v>0</v>
      </c>
      <c r="AE34" s="333">
        <v>0</v>
      </c>
      <c r="AF34" s="333">
        <v>0</v>
      </c>
      <c r="AG34" s="333">
        <v>0</v>
      </c>
      <c r="AH34" s="333">
        <v>0</v>
      </c>
      <c r="AI34" s="333">
        <v>0</v>
      </c>
      <c r="AJ34" s="333">
        <v>0</v>
      </c>
      <c r="AK34" s="333">
        <v>0</v>
      </c>
      <c r="AL34" s="333">
        <v>0</v>
      </c>
    </row>
    <row r="35" spans="3:38">
      <c r="G35" s="4" t="s">
        <v>701</v>
      </c>
      <c r="H35" s="4" t="s">
        <v>661</v>
      </c>
      <c r="I35" s="4">
        <v>0</v>
      </c>
      <c r="J35" s="4"/>
      <c r="K35" s="333">
        <v>5</v>
      </c>
      <c r="L35" s="333">
        <v>5</v>
      </c>
      <c r="M35" s="333">
        <v>5</v>
      </c>
      <c r="N35" s="333">
        <v>5</v>
      </c>
      <c r="O35" s="333">
        <v>5</v>
      </c>
      <c r="P35" s="333">
        <v>5</v>
      </c>
      <c r="Q35" s="333">
        <v>5</v>
      </c>
      <c r="R35" s="333">
        <v>5</v>
      </c>
      <c r="S35" s="333">
        <v>5</v>
      </c>
      <c r="T35" s="333">
        <v>5</v>
      </c>
      <c r="U35" s="333">
        <v>5</v>
      </c>
      <c r="V35" s="333">
        <v>5</v>
      </c>
      <c r="W35" s="333">
        <v>5</v>
      </c>
      <c r="X35" s="333">
        <v>5</v>
      </c>
      <c r="Y35" s="333">
        <v>5</v>
      </c>
      <c r="Z35" s="333">
        <v>5</v>
      </c>
      <c r="AA35" s="333">
        <v>5</v>
      </c>
      <c r="AB35" s="333">
        <v>5</v>
      </c>
      <c r="AC35" s="333">
        <v>5</v>
      </c>
      <c r="AD35" s="333">
        <v>5</v>
      </c>
      <c r="AE35" s="333">
        <v>5</v>
      </c>
      <c r="AF35" s="333">
        <v>5</v>
      </c>
      <c r="AG35" s="333">
        <v>5</v>
      </c>
      <c r="AH35" s="333">
        <v>5</v>
      </c>
      <c r="AI35" s="333">
        <v>5</v>
      </c>
      <c r="AJ35" s="333">
        <v>5</v>
      </c>
      <c r="AK35" s="333">
        <v>5</v>
      </c>
      <c r="AL35" s="333">
        <v>5</v>
      </c>
    </row>
    <row r="36" spans="3:38">
      <c r="G36" s="4" t="s">
        <v>687</v>
      </c>
      <c r="H36" s="4"/>
      <c r="I36" s="4"/>
      <c r="J36" s="4" t="s">
        <v>2663</v>
      </c>
      <c r="K36" s="174">
        <f>'Key inputs_Pipelines'!C$18*10^3</f>
        <v>3.8107720349183616</v>
      </c>
      <c r="L36" s="174">
        <f>'Key inputs_Pipelines'!D$18*10^3</f>
        <v>3.8107720349183616</v>
      </c>
      <c r="M36" s="174">
        <f>'Key inputs_Pipelines'!E$18*10^3</f>
        <v>3.8107720349183616</v>
      </c>
      <c r="N36" s="174">
        <f>'Key inputs_Pipelines'!F$18*10^3</f>
        <v>3.8107720349183616</v>
      </c>
      <c r="O36" s="174">
        <f>'Key inputs_Pipelines'!G$18*10^3</f>
        <v>11.778017200158107</v>
      </c>
      <c r="P36" s="174">
        <f>'Key inputs_Pipelines'!H$18*10^3</f>
        <v>0.21121972659231925</v>
      </c>
      <c r="Q36" s="174">
        <f>'Key inputs_Pipelines'!I$18*10^3</f>
        <v>3.8107720349183616</v>
      </c>
      <c r="R36" s="174">
        <f>'Key inputs_Pipelines'!J$18*10^3</f>
        <v>3.8107720349183616</v>
      </c>
      <c r="S36" s="174">
        <f>'Key inputs_Pipelines'!K$18*10^3</f>
        <v>3.8107720349183616</v>
      </c>
      <c r="T36" s="174">
        <f>'Key inputs_Pipelines'!L$18*10^3</f>
        <v>1.109443397137287</v>
      </c>
      <c r="U36" s="174">
        <f>'Key inputs_Pipelines'!M$18*10^3</f>
        <v>3.8107720349183616</v>
      </c>
      <c r="V36" s="174">
        <f>'Key inputs_Pipelines'!N$18*10^3</f>
        <v>1.4792867435264181</v>
      </c>
      <c r="W36" s="174">
        <f>'Key inputs_Pipelines'!O$18*10^3</f>
        <v>3.8107720349183616</v>
      </c>
      <c r="X36" s="174">
        <f>'Key inputs_Pipelines'!P$18*10^3</f>
        <v>3.8107720349183616</v>
      </c>
      <c r="Y36" s="174">
        <f>'Key inputs_Pipelines'!Q$18*10^3</f>
        <v>3.8107720349183616</v>
      </c>
      <c r="Z36" s="174">
        <f>'Key inputs_Pipelines'!R$18*10^3</f>
        <v>3.8107720349183616</v>
      </c>
      <c r="AA36" s="174">
        <f>'Key inputs_Pipelines'!S$18*10^3</f>
        <v>3.8107720349183616</v>
      </c>
      <c r="AB36" s="174">
        <f>'Key inputs_Pipelines'!T$18*10^3</f>
        <v>3.8107720349183616</v>
      </c>
      <c r="AC36" s="174">
        <f>'Key inputs_Pipelines'!U$18*10^3</f>
        <v>3.8107720349183616</v>
      </c>
      <c r="AD36" s="174">
        <f>'Key inputs_Pipelines'!V$18*10^3</f>
        <v>3.8107720349183616</v>
      </c>
      <c r="AE36" s="174">
        <f>'Key inputs_Pipelines'!W$18*10^3</f>
        <v>8.2110328494327973</v>
      </c>
      <c r="AF36" s="174">
        <f>'Key inputs_Pipelines'!X$18*10^3</f>
        <v>3.8107720349183616</v>
      </c>
      <c r="AG36" s="174">
        <f>'Key inputs_Pipelines'!Y$18*10^3</f>
        <v>3.8107720349183616</v>
      </c>
      <c r="AH36" s="174">
        <f>'Key inputs_Pipelines'!Z$18*10^3</f>
        <v>3.8107720349183616</v>
      </c>
      <c r="AI36" s="174">
        <f>'Key inputs_Pipelines'!AA$18*10^3</f>
        <v>3.8107720349183616</v>
      </c>
      <c r="AJ36" s="174">
        <f>'Key inputs_Pipelines'!AB$18*10^3</f>
        <v>1.5805010386547564</v>
      </c>
      <c r="AK36" s="174">
        <f>'Key inputs_Pipelines'!AC$18*10^3</f>
        <v>3.8107720349183616</v>
      </c>
      <c r="AL36" s="174">
        <f>'Key inputs_Pipelines'!AD$18*10^3</f>
        <v>2.305903288926852</v>
      </c>
    </row>
    <row r="37" spans="3:38">
      <c r="G37" s="4" t="s">
        <v>689</v>
      </c>
      <c r="H37" s="4"/>
      <c r="I37" s="4"/>
      <c r="J37" s="4" t="s">
        <v>2663</v>
      </c>
      <c r="K37" s="355"/>
      <c r="L37" s="355"/>
      <c r="M37" s="355"/>
      <c r="N37" s="355"/>
      <c r="O37" s="355"/>
      <c r="P37" s="355"/>
      <c r="Q37" s="355"/>
      <c r="R37" s="355"/>
      <c r="S37" s="355"/>
      <c r="T37" s="355"/>
      <c r="U37" s="355"/>
      <c r="V37" s="355"/>
      <c r="W37" s="355"/>
      <c r="X37" s="355"/>
      <c r="Y37" s="355"/>
      <c r="Z37" s="355"/>
      <c r="AA37" s="355"/>
      <c r="AB37" s="355"/>
      <c r="AC37" s="355"/>
      <c r="AD37" s="355"/>
      <c r="AE37" s="355"/>
      <c r="AF37" s="355"/>
      <c r="AG37" s="355"/>
      <c r="AH37" s="355"/>
      <c r="AI37" s="355"/>
      <c r="AJ37" s="355"/>
      <c r="AK37" s="355"/>
      <c r="AL37" s="355"/>
    </row>
    <row r="38" spans="3:38">
      <c r="G38" s="4" t="s">
        <v>675</v>
      </c>
      <c r="H38" s="4"/>
      <c r="I38" s="4"/>
      <c r="J38" s="4" t="s">
        <v>2662</v>
      </c>
      <c r="K38" s="355"/>
      <c r="L38" s="355"/>
      <c r="M38" s="355"/>
      <c r="N38" s="355"/>
      <c r="O38" s="355"/>
      <c r="P38" s="355"/>
      <c r="Q38" s="355"/>
      <c r="R38" s="355"/>
      <c r="S38" s="355"/>
      <c r="T38" s="355"/>
      <c r="U38" s="355"/>
      <c r="V38" s="355"/>
      <c r="W38" s="355"/>
      <c r="X38" s="355"/>
      <c r="Y38" s="355"/>
      <c r="Z38" s="355"/>
      <c r="AA38" s="355"/>
      <c r="AB38" s="355"/>
      <c r="AC38" s="355"/>
      <c r="AD38" s="355"/>
      <c r="AE38" s="355"/>
      <c r="AF38" s="355"/>
      <c r="AG38" s="355"/>
      <c r="AH38" s="355"/>
      <c r="AI38" s="355"/>
      <c r="AJ38" s="355"/>
      <c r="AK38" s="355"/>
      <c r="AL38" s="355"/>
    </row>
    <row r="39" spans="3:38">
      <c r="D39" t="str">
        <f>Commodities!$C$26</f>
        <v>OILNGL</v>
      </c>
      <c r="G39" s="4"/>
      <c r="H39" s="4"/>
      <c r="I39" s="4"/>
      <c r="J39" s="4"/>
    </row>
    <row r="40" spans="3:38">
      <c r="C40" t="str">
        <f>Commodities!$C$35</f>
        <v>NGLPIP</v>
      </c>
      <c r="G40" s="4" t="s">
        <v>690</v>
      </c>
      <c r="H40" s="4"/>
      <c r="I40" s="4"/>
      <c r="J40" s="4" t="s">
        <v>112</v>
      </c>
      <c r="K40" s="355">
        <v>1</v>
      </c>
      <c r="L40" s="355">
        <v>1</v>
      </c>
      <c r="M40" s="355">
        <v>1</v>
      </c>
      <c r="N40" s="355">
        <v>1</v>
      </c>
      <c r="O40" s="355">
        <v>1</v>
      </c>
      <c r="P40" s="355">
        <v>1</v>
      </c>
      <c r="Q40" s="355">
        <v>1</v>
      </c>
      <c r="R40" s="355">
        <v>1</v>
      </c>
      <c r="S40" s="355">
        <v>1</v>
      </c>
      <c r="T40" s="355">
        <v>1</v>
      </c>
      <c r="U40" s="355">
        <v>1</v>
      </c>
      <c r="V40" s="355">
        <v>1</v>
      </c>
      <c r="W40" s="355">
        <v>1</v>
      </c>
      <c r="X40" s="355">
        <v>1</v>
      </c>
      <c r="Y40" s="355">
        <v>1</v>
      </c>
      <c r="Z40" s="355">
        <v>1</v>
      </c>
      <c r="AA40" s="355">
        <v>1</v>
      </c>
      <c r="AB40" s="355">
        <v>1</v>
      </c>
      <c r="AC40" s="355">
        <v>1</v>
      </c>
      <c r="AD40" s="355">
        <v>1</v>
      </c>
      <c r="AE40" s="355">
        <v>1</v>
      </c>
      <c r="AF40" s="355">
        <v>1</v>
      </c>
      <c r="AG40" s="355">
        <v>1</v>
      </c>
      <c r="AH40" s="355">
        <v>1</v>
      </c>
      <c r="AI40" s="355">
        <v>1</v>
      </c>
      <c r="AJ40" s="355">
        <v>1</v>
      </c>
      <c r="AK40" s="355">
        <v>1</v>
      </c>
      <c r="AL40" s="355">
        <v>1</v>
      </c>
    </row>
    <row r="41" spans="3:38">
      <c r="E41" s="4" t="s">
        <v>359</v>
      </c>
      <c r="F41" s="4" t="s">
        <v>691</v>
      </c>
      <c r="G41" s="4" t="s">
        <v>692</v>
      </c>
      <c r="H41" s="4"/>
      <c r="I41" s="4"/>
      <c r="J41" s="4" t="s">
        <v>2664</v>
      </c>
      <c r="K41" s="173" t="str">
        <f>IFERROR(K$32*K$30/(SUM('Key inputs_EB_TRA'!E$23:E$30)/10^3),"")</f>
        <v/>
      </c>
      <c r="L41" s="173">
        <f>IFERROR(L$32*L$30/(SUM('Key inputs_EB_TRA'!F$23:F$30)/10^3),"")</f>
        <v>3040.528571428571</v>
      </c>
      <c r="M41" s="173">
        <f>IFERROR(M$32*M$30/(SUM('Key inputs_EB_TRA'!G$23:G$30)/10^3),"")</f>
        <v>80880.31578947368</v>
      </c>
      <c r="N41" s="173">
        <f>IFERROR(N$32*N$30/(SUM('Key inputs_EB_TRA'!H$23:H$30)/10^3),"")</f>
        <v>3171.3731473408898</v>
      </c>
      <c r="O41" s="173">
        <f>IFERROR(O$32*O$30/(SUM('Key inputs_EB_TRA'!I$23:I$30)/10^3),"")</f>
        <v>362.72268549516099</v>
      </c>
      <c r="P41" s="173">
        <f>IFERROR(P$32*P$30/(SUM('Key inputs_EB_TRA'!J$23:J$30)/10^3),"")</f>
        <v>130.91142329778506</v>
      </c>
      <c r="Q41" s="173" t="str">
        <f>IFERROR(Q$32*Q$30/(SUM('Key inputs_EB_TRA'!K$23:K$30)/10^3),"")</f>
        <v/>
      </c>
      <c r="R41" s="173" t="str">
        <f>IFERROR(R$32*R$30/(SUM('Key inputs_EB_TRA'!L$23:L$30)/10^3),"")</f>
        <v/>
      </c>
      <c r="S41" s="173" t="str">
        <f>IFERROR(S$32*S$30/(SUM('Key inputs_EB_TRA'!M$23:M$30)/10^3),"")</f>
        <v/>
      </c>
      <c r="T41" s="173">
        <f>IFERROR(T$32*T$30/(SUM('Key inputs_EB_TRA'!N$23:N$30)/10^3),"")</f>
        <v>108.3587230728095</v>
      </c>
      <c r="U41" s="173" t="str">
        <f>IFERROR(U$32*U$30/(SUM('Key inputs_EB_TRA'!O$23:O$30)/10^3),"")</f>
        <v/>
      </c>
      <c r="V41" s="173" t="str">
        <f>IFERROR(V$32*V$30/(SUM('Key inputs_EB_TRA'!P$23:P$30)/10^3),"")</f>
        <v/>
      </c>
      <c r="W41" s="173">
        <f>IFERROR(W$32*W$30/(SUM('Key inputs_EB_TRA'!Q$23:Q$30)/10^3),"")</f>
        <v>11.24134023758757</v>
      </c>
      <c r="X41" s="173">
        <f>IFERROR(X$32*X$30/(SUM('Key inputs_EB_TRA'!R$23:R$30)/10^3),"")</f>
        <v>19158.703642384105</v>
      </c>
      <c r="Y41" s="173">
        <f>IFERROR(Y$32*Y$30/(SUM('Key inputs_EB_TRA'!S$23:S$30)/10^3),"")</f>
        <v>30.145210009220698</v>
      </c>
      <c r="Z41" s="173">
        <f>IFERROR(Z$32*Z$30/(SUM('Key inputs_EB_TRA'!T$23:T$30)/10^3),"")</f>
        <v>28.253577213822897</v>
      </c>
      <c r="AA41" s="173">
        <f>IFERROR(AA$32*AA$30/(SUM('Key inputs_EB_TRA'!U$23:U$30)/10^3),"")</f>
        <v>47.550770866560342</v>
      </c>
      <c r="AB41" s="173" t="str">
        <f>IFERROR(AB$32*AB$30/(SUM('Key inputs_EB_TRA'!V$23:V$30)/10^3),"")</f>
        <v/>
      </c>
      <c r="AC41" s="173">
        <f>IFERROR(AC$32*AC$30/(SUM('Key inputs_EB_TRA'!W$23:W$30)/10^3),"")</f>
        <v>133.88564040318749</v>
      </c>
      <c r="AD41" s="173" t="str">
        <f>IFERROR(AD$32*AD$30/(SUM('Key inputs_EB_TRA'!X$23:X$30)/10^3),"")</f>
        <v/>
      </c>
      <c r="AE41" s="173">
        <f>IFERROR(AE$32*AE$30/(SUM('Key inputs_EB_TRA'!Y$23:Y$30)/10^3),"")</f>
        <v>357.74976159757671</v>
      </c>
      <c r="AF41" s="173">
        <f>IFERROR(AF$32*AF$30/(SUM('Key inputs_EB_TRA'!Z$23:Z$30)/10^3),"")</f>
        <v>58.017155412828544</v>
      </c>
      <c r="AG41" s="173">
        <f>IFERROR(AG$32*AG$30/(SUM('Key inputs_EB_TRA'!AA$23:AA$30)/10^3),"")</f>
        <v>4824.0470841578399</v>
      </c>
      <c r="AH41" s="173" t="str">
        <f>IFERROR(AH$32*AH$30/(SUM('Key inputs_EB_TRA'!AB$23:AB$30)/10^3),"")</f>
        <v/>
      </c>
      <c r="AI41" s="173" t="str">
        <f>IFERROR(AI$32*AI$30/(SUM('Key inputs_EB_TRA'!AC$23:AC$30)/10^3),"")</f>
        <v/>
      </c>
      <c r="AJ41" s="173">
        <f>IFERROR(AJ$32*AJ$30/(SUM('Key inputs_EB_TRA'!AD$23:AD$30)/10^3),"")</f>
        <v>41.467381794239891</v>
      </c>
      <c r="AK41" s="173" t="str">
        <f>IFERROR(AK$32*AK$30/(SUM('Key inputs_EB_TRA'!AE$23:AE$30)/10^3),"")</f>
        <v/>
      </c>
      <c r="AL41" s="173">
        <f>IFERROR(AL$32*AL$30/(SUM('Key inputs_EB_TRA'!AF$23:AF$30)/10^3),"")</f>
        <v>71.825246202475881</v>
      </c>
    </row>
    <row r="42" spans="3:38">
      <c r="C42" t="str">
        <f>Commodities!$C$90</f>
        <v>UPSDSL</v>
      </c>
      <c r="E42" s="4"/>
      <c r="F42" s="4" t="s">
        <v>359</v>
      </c>
      <c r="G42" s="4" t="s">
        <v>702</v>
      </c>
      <c r="H42" t="s">
        <v>661</v>
      </c>
      <c r="I42">
        <v>2019</v>
      </c>
      <c r="J42" t="s">
        <v>650</v>
      </c>
      <c r="K42" s="173" t="str">
        <f>IFERROR(IF(AND(SUMIFS('Key inputs_EB_TRA'!E$15:E$38,'Key inputs_EB_TRA'!$C$15:$C$38,$C42,'Key inputs_EB_TRA'!$B$15:$B$38,"Pipeline - Natural gas liquids")/SUMIFS('Key inputs_EB_TRA'!E$15:E$38,'Key inputs_EB_TRA'!$B$15:$B$38,"Pipeline - Natural gas liquids")&gt;0,SUMIFS('Key inputs_EB_TRA'!E$15:E$38,'Key inputs_EB_TRA'!$C$15:$C$38,$C42,'Key inputs_EB_TRA'!$B$15:$B$38,"Pipeline - Natural gas liquids")/SUMIFS('Key inputs_EB_TRA'!E$15:E$38,'Key inputs_EB_TRA'!$B$15:$B$38,"Pipeline - Natural gas liquids")&lt;0.001),0.001,SUMIFS('Key inputs_EB_TRA'!E$15:E$38,'Key inputs_EB_TRA'!$C$15:$C$38,$C42,'Key inputs_EB_TRA'!$B$15:$B$38,"Pipeline - Natural gas liquids")/SUMIFS('Key inputs_EB_TRA'!E$15:E$38,'Key inputs_EB_TRA'!$B$15:$B$38,"Pipeline - Natural gas liquids")),"")</f>
        <v/>
      </c>
      <c r="L42" s="173">
        <f>IFERROR(IF(AND(SUMIFS('Key inputs_EB_TRA'!F$15:F$38,'Key inputs_EB_TRA'!$C$15:$C$38,$C42,'Key inputs_EB_TRA'!$B$15:$B$38,"Pipeline - Natural gas liquids")/SUMIFS('Key inputs_EB_TRA'!F$15:F$38,'Key inputs_EB_TRA'!$B$15:$B$38,"Pipeline - Natural gas liquids")&gt;0,SUMIFS('Key inputs_EB_TRA'!F$15:F$38,'Key inputs_EB_TRA'!$C$15:$C$38,$C42,'Key inputs_EB_TRA'!$B$15:$B$38,"Pipeline - Natural gas liquids")/SUMIFS('Key inputs_EB_TRA'!F$15:F$38,'Key inputs_EB_TRA'!$B$15:$B$38,"Pipeline - Natural gas liquids")&lt;0.001),0.001,SUMIFS('Key inputs_EB_TRA'!F$15:F$38,'Key inputs_EB_TRA'!$C$15:$C$38,$C42,'Key inputs_EB_TRA'!$B$15:$B$38,"Pipeline - Natural gas liquids")/SUMIFS('Key inputs_EB_TRA'!F$15:F$38,'Key inputs_EB_TRA'!$B$15:$B$38,"Pipeline - Natural gas liquids")),"")</f>
        <v>0</v>
      </c>
      <c r="M42" s="173">
        <f>IFERROR(IF(AND(SUMIFS('Key inputs_EB_TRA'!G$15:G$38,'Key inputs_EB_TRA'!$C$15:$C$38,$C42,'Key inputs_EB_TRA'!$B$15:$B$38,"Pipeline - Natural gas liquids")/SUMIFS('Key inputs_EB_TRA'!G$15:G$38,'Key inputs_EB_TRA'!$B$15:$B$38,"Pipeline - Natural gas liquids")&gt;0,SUMIFS('Key inputs_EB_TRA'!G$15:G$38,'Key inputs_EB_TRA'!$C$15:$C$38,$C42,'Key inputs_EB_TRA'!$B$15:$B$38,"Pipeline - Natural gas liquids")/SUMIFS('Key inputs_EB_TRA'!G$15:G$38,'Key inputs_EB_TRA'!$B$15:$B$38,"Pipeline - Natural gas liquids")&lt;0.001),0.001,SUMIFS('Key inputs_EB_TRA'!G$15:G$38,'Key inputs_EB_TRA'!$C$15:$C$38,$C42,'Key inputs_EB_TRA'!$B$15:$B$38,"Pipeline - Natural gas liquids")/SUMIFS('Key inputs_EB_TRA'!G$15:G$38,'Key inputs_EB_TRA'!$B$15:$B$38,"Pipeline - Natural gas liquids")),"")</f>
        <v>0</v>
      </c>
      <c r="N42" s="173">
        <f>IFERROR(IF(AND(SUMIFS('Key inputs_EB_TRA'!H$15:H$38,'Key inputs_EB_TRA'!$C$15:$C$38,$C42,'Key inputs_EB_TRA'!$B$15:$B$38,"Pipeline - Natural gas liquids")/SUMIFS('Key inputs_EB_TRA'!H$15:H$38,'Key inputs_EB_TRA'!$B$15:$B$38,"Pipeline - Natural gas liquids")&gt;0,SUMIFS('Key inputs_EB_TRA'!H$15:H$38,'Key inputs_EB_TRA'!$C$15:$C$38,$C42,'Key inputs_EB_TRA'!$B$15:$B$38,"Pipeline - Natural gas liquids")/SUMIFS('Key inputs_EB_TRA'!H$15:H$38,'Key inputs_EB_TRA'!$B$15:$B$38,"Pipeline - Natural gas liquids")&lt;0.001),0.001,SUMIFS('Key inputs_EB_TRA'!H$15:H$38,'Key inputs_EB_TRA'!$C$15:$C$38,$C42,'Key inputs_EB_TRA'!$B$15:$B$38,"Pipeline - Natural gas liquids")/SUMIFS('Key inputs_EB_TRA'!H$15:H$38,'Key inputs_EB_TRA'!$B$15:$B$38,"Pipeline - Natural gas liquids")),"")</f>
        <v>0.74455100261551876</v>
      </c>
      <c r="O42" s="173">
        <f>IFERROR(IF(AND(SUMIFS('Key inputs_EB_TRA'!I$15:I$38,'Key inputs_EB_TRA'!$C$15:$C$38,$C42,'Key inputs_EB_TRA'!$B$15:$B$38,"Pipeline - Natural gas liquids")/SUMIFS('Key inputs_EB_TRA'!I$15:I$38,'Key inputs_EB_TRA'!$B$15:$B$38,"Pipeline - Natural gas liquids")&gt;0,SUMIFS('Key inputs_EB_TRA'!I$15:I$38,'Key inputs_EB_TRA'!$C$15:$C$38,$C42,'Key inputs_EB_TRA'!$B$15:$B$38,"Pipeline - Natural gas liquids")/SUMIFS('Key inputs_EB_TRA'!I$15:I$38,'Key inputs_EB_TRA'!$B$15:$B$38,"Pipeline - Natural gas liquids")&lt;0.001),0.001,SUMIFS('Key inputs_EB_TRA'!I$15:I$38,'Key inputs_EB_TRA'!$C$15:$C$38,$C42,'Key inputs_EB_TRA'!$B$15:$B$38,"Pipeline - Natural gas liquids")/SUMIFS('Key inputs_EB_TRA'!I$15:I$38,'Key inputs_EB_TRA'!$B$15:$B$38,"Pipeline - Natural gas liquids")),"")</f>
        <v>0</v>
      </c>
      <c r="P42" s="173">
        <f>IFERROR(IF(AND(SUMIFS('Key inputs_EB_TRA'!J$15:J$38,'Key inputs_EB_TRA'!$C$15:$C$38,$C42,'Key inputs_EB_TRA'!$B$15:$B$38,"Pipeline - Natural gas liquids")/SUMIFS('Key inputs_EB_TRA'!J$15:J$38,'Key inputs_EB_TRA'!$B$15:$B$38,"Pipeline - Natural gas liquids")&gt;0,SUMIFS('Key inputs_EB_TRA'!J$15:J$38,'Key inputs_EB_TRA'!$C$15:$C$38,$C42,'Key inputs_EB_TRA'!$B$15:$B$38,"Pipeline - Natural gas liquids")/SUMIFS('Key inputs_EB_TRA'!J$15:J$38,'Key inputs_EB_TRA'!$B$15:$B$38,"Pipeline - Natural gas liquids")&lt;0.001),0.001,SUMIFS('Key inputs_EB_TRA'!J$15:J$38,'Key inputs_EB_TRA'!$C$15:$C$38,$C42,'Key inputs_EB_TRA'!$B$15:$B$38,"Pipeline - Natural gas liquids")/SUMIFS('Key inputs_EB_TRA'!J$15:J$38,'Key inputs_EB_TRA'!$B$15:$B$38,"Pipeline - Natural gas liquids")),"")</f>
        <v>2.645611156685808E-3</v>
      </c>
      <c r="Q42" s="173" t="str">
        <f>IFERROR(IF(AND(SUMIFS('Key inputs_EB_TRA'!K$15:K$38,'Key inputs_EB_TRA'!$C$15:$C$38,$C42,'Key inputs_EB_TRA'!$B$15:$B$38,"Pipeline - Natural gas liquids")/SUMIFS('Key inputs_EB_TRA'!K$15:K$38,'Key inputs_EB_TRA'!$B$15:$B$38,"Pipeline - Natural gas liquids")&gt;0,SUMIFS('Key inputs_EB_TRA'!K$15:K$38,'Key inputs_EB_TRA'!$C$15:$C$38,$C42,'Key inputs_EB_TRA'!$B$15:$B$38,"Pipeline - Natural gas liquids")/SUMIFS('Key inputs_EB_TRA'!K$15:K$38,'Key inputs_EB_TRA'!$B$15:$B$38,"Pipeline - Natural gas liquids")&lt;0.001),0.001,SUMIFS('Key inputs_EB_TRA'!K$15:K$38,'Key inputs_EB_TRA'!$C$15:$C$38,$C42,'Key inputs_EB_TRA'!$B$15:$B$38,"Pipeline - Natural gas liquids")/SUMIFS('Key inputs_EB_TRA'!K$15:K$38,'Key inputs_EB_TRA'!$B$15:$B$38,"Pipeline - Natural gas liquids")),"")</f>
        <v/>
      </c>
      <c r="R42" s="173" t="str">
        <f>IFERROR(IF(AND(SUMIFS('Key inputs_EB_TRA'!L$15:L$38,'Key inputs_EB_TRA'!$C$15:$C$38,$C42,'Key inputs_EB_TRA'!$B$15:$B$38,"Pipeline - Natural gas liquids")/SUMIFS('Key inputs_EB_TRA'!L$15:L$38,'Key inputs_EB_TRA'!$B$15:$B$38,"Pipeline - Natural gas liquids")&gt;0,SUMIFS('Key inputs_EB_TRA'!L$15:L$38,'Key inputs_EB_TRA'!$C$15:$C$38,$C42,'Key inputs_EB_TRA'!$B$15:$B$38,"Pipeline - Natural gas liquids")/SUMIFS('Key inputs_EB_TRA'!L$15:L$38,'Key inputs_EB_TRA'!$B$15:$B$38,"Pipeline - Natural gas liquids")&lt;0.001),0.001,SUMIFS('Key inputs_EB_TRA'!L$15:L$38,'Key inputs_EB_TRA'!$C$15:$C$38,$C42,'Key inputs_EB_TRA'!$B$15:$B$38,"Pipeline - Natural gas liquids")/SUMIFS('Key inputs_EB_TRA'!L$15:L$38,'Key inputs_EB_TRA'!$B$15:$B$38,"Pipeline - Natural gas liquids")),"")</f>
        <v/>
      </c>
      <c r="S42" s="173" t="str">
        <f>IFERROR(IF(AND(SUMIFS('Key inputs_EB_TRA'!M$15:M$38,'Key inputs_EB_TRA'!$C$15:$C$38,$C42,'Key inputs_EB_TRA'!$B$15:$B$38,"Pipeline - Natural gas liquids")/SUMIFS('Key inputs_EB_TRA'!M$15:M$38,'Key inputs_EB_TRA'!$B$15:$B$38,"Pipeline - Natural gas liquids")&gt;0,SUMIFS('Key inputs_EB_TRA'!M$15:M$38,'Key inputs_EB_TRA'!$C$15:$C$38,$C42,'Key inputs_EB_TRA'!$B$15:$B$38,"Pipeline - Natural gas liquids")/SUMIFS('Key inputs_EB_TRA'!M$15:M$38,'Key inputs_EB_TRA'!$B$15:$B$38,"Pipeline - Natural gas liquids")&lt;0.001),0.001,SUMIFS('Key inputs_EB_TRA'!M$15:M$38,'Key inputs_EB_TRA'!$C$15:$C$38,$C42,'Key inputs_EB_TRA'!$B$15:$B$38,"Pipeline - Natural gas liquids")/SUMIFS('Key inputs_EB_TRA'!M$15:M$38,'Key inputs_EB_TRA'!$B$15:$B$38,"Pipeline - Natural gas liquids")),"")</f>
        <v/>
      </c>
      <c r="T42" s="173">
        <f>IFERROR(IF(AND(SUMIFS('Key inputs_EB_TRA'!N$15:N$38,'Key inputs_EB_TRA'!$C$15:$C$38,$C42,'Key inputs_EB_TRA'!$B$15:$B$38,"Pipeline - Natural gas liquids")/SUMIFS('Key inputs_EB_TRA'!N$15:N$38,'Key inputs_EB_TRA'!$B$15:$B$38,"Pipeline - Natural gas liquids")&gt;0,SUMIFS('Key inputs_EB_TRA'!N$15:N$38,'Key inputs_EB_TRA'!$C$15:$C$38,$C42,'Key inputs_EB_TRA'!$B$15:$B$38,"Pipeline - Natural gas liquids")/SUMIFS('Key inputs_EB_TRA'!N$15:N$38,'Key inputs_EB_TRA'!$B$15:$B$38,"Pipeline - Natural gas liquids")&lt;0.001),0.001,SUMIFS('Key inputs_EB_TRA'!N$15:N$38,'Key inputs_EB_TRA'!$C$15:$C$38,$C42,'Key inputs_EB_TRA'!$B$15:$B$38,"Pipeline - Natural gas liquids")/SUMIFS('Key inputs_EB_TRA'!N$15:N$38,'Key inputs_EB_TRA'!$B$15:$B$38,"Pipeline - Natural gas liquids")),"")</f>
        <v>1.8193654890198674E-3</v>
      </c>
      <c r="U42" s="173" t="str">
        <f>IFERROR(IF(AND(SUMIFS('Key inputs_EB_TRA'!O$15:O$38,'Key inputs_EB_TRA'!$C$15:$C$38,$C42,'Key inputs_EB_TRA'!$B$15:$B$38,"Pipeline - Natural gas liquids")/SUMIFS('Key inputs_EB_TRA'!O$15:O$38,'Key inputs_EB_TRA'!$B$15:$B$38,"Pipeline - Natural gas liquids")&gt;0,SUMIFS('Key inputs_EB_TRA'!O$15:O$38,'Key inputs_EB_TRA'!$C$15:$C$38,$C42,'Key inputs_EB_TRA'!$B$15:$B$38,"Pipeline - Natural gas liquids")/SUMIFS('Key inputs_EB_TRA'!O$15:O$38,'Key inputs_EB_TRA'!$B$15:$B$38,"Pipeline - Natural gas liquids")&lt;0.001),0.001,SUMIFS('Key inputs_EB_TRA'!O$15:O$38,'Key inputs_EB_TRA'!$C$15:$C$38,$C42,'Key inputs_EB_TRA'!$B$15:$B$38,"Pipeline - Natural gas liquids")/SUMIFS('Key inputs_EB_TRA'!O$15:O$38,'Key inputs_EB_TRA'!$B$15:$B$38,"Pipeline - Natural gas liquids")),"")</f>
        <v/>
      </c>
      <c r="V42" s="173" t="str">
        <f>IFERROR(IF(AND(SUMIFS('Key inputs_EB_TRA'!P$15:P$38,'Key inputs_EB_TRA'!$C$15:$C$38,$C42,'Key inputs_EB_TRA'!$B$15:$B$38,"Pipeline - Natural gas liquids")/SUMIFS('Key inputs_EB_TRA'!P$15:P$38,'Key inputs_EB_TRA'!$B$15:$B$38,"Pipeline - Natural gas liquids")&gt;0,SUMIFS('Key inputs_EB_TRA'!P$15:P$38,'Key inputs_EB_TRA'!$C$15:$C$38,$C42,'Key inputs_EB_TRA'!$B$15:$B$38,"Pipeline - Natural gas liquids")/SUMIFS('Key inputs_EB_TRA'!P$15:P$38,'Key inputs_EB_TRA'!$B$15:$B$38,"Pipeline - Natural gas liquids")&lt;0.001),0.001,SUMIFS('Key inputs_EB_TRA'!P$15:P$38,'Key inputs_EB_TRA'!$C$15:$C$38,$C42,'Key inputs_EB_TRA'!$B$15:$B$38,"Pipeline - Natural gas liquids")/SUMIFS('Key inputs_EB_TRA'!P$15:P$38,'Key inputs_EB_TRA'!$B$15:$B$38,"Pipeline - Natural gas liquids")),"")</f>
        <v/>
      </c>
      <c r="W42" s="173">
        <f>IFERROR(IF(AND(SUMIFS('Key inputs_EB_TRA'!Q$15:Q$38,'Key inputs_EB_TRA'!$C$15:$C$38,$C42,'Key inputs_EB_TRA'!$B$15:$B$38,"Pipeline - Natural gas liquids")/SUMIFS('Key inputs_EB_TRA'!Q$15:Q$38,'Key inputs_EB_TRA'!$B$15:$B$38,"Pipeline - Natural gas liquids")&gt;0,SUMIFS('Key inputs_EB_TRA'!Q$15:Q$38,'Key inputs_EB_TRA'!$C$15:$C$38,$C42,'Key inputs_EB_TRA'!$B$15:$B$38,"Pipeline - Natural gas liquids")/SUMIFS('Key inputs_EB_TRA'!Q$15:Q$38,'Key inputs_EB_TRA'!$B$15:$B$38,"Pipeline - Natural gas liquids")&lt;0.001),0.001,SUMIFS('Key inputs_EB_TRA'!Q$15:Q$38,'Key inputs_EB_TRA'!$C$15:$C$38,$C42,'Key inputs_EB_TRA'!$B$15:$B$38,"Pipeline - Natural gas liquids")/SUMIFS('Key inputs_EB_TRA'!Q$15:Q$38,'Key inputs_EB_TRA'!$B$15:$B$38,"Pipeline - Natural gas liquids")),"")</f>
        <v>0</v>
      </c>
      <c r="X42" s="173">
        <f>IFERROR(IF(AND(SUMIFS('Key inputs_EB_TRA'!R$15:R$38,'Key inputs_EB_TRA'!$C$15:$C$38,$C42,'Key inputs_EB_TRA'!$B$15:$B$38,"Pipeline - Natural gas liquids")/SUMIFS('Key inputs_EB_TRA'!R$15:R$38,'Key inputs_EB_TRA'!$B$15:$B$38,"Pipeline - Natural gas liquids")&gt;0,SUMIFS('Key inputs_EB_TRA'!R$15:R$38,'Key inputs_EB_TRA'!$C$15:$C$38,$C42,'Key inputs_EB_TRA'!$B$15:$B$38,"Pipeline - Natural gas liquids")/SUMIFS('Key inputs_EB_TRA'!R$15:R$38,'Key inputs_EB_TRA'!$B$15:$B$38,"Pipeline - Natural gas liquids")&lt;0.001),0.001,SUMIFS('Key inputs_EB_TRA'!R$15:R$38,'Key inputs_EB_TRA'!$C$15:$C$38,$C42,'Key inputs_EB_TRA'!$B$15:$B$38,"Pipeline - Natural gas liquids")/SUMIFS('Key inputs_EB_TRA'!R$15:R$38,'Key inputs_EB_TRA'!$B$15:$B$38,"Pipeline - Natural gas liquids")),"")</f>
        <v>0</v>
      </c>
      <c r="Y42" s="173">
        <f>IFERROR(IF(AND(SUMIFS('Key inputs_EB_TRA'!S$15:S$38,'Key inputs_EB_TRA'!$C$15:$C$38,$C42,'Key inputs_EB_TRA'!$B$15:$B$38,"Pipeline - Natural gas liquids")/SUMIFS('Key inputs_EB_TRA'!S$15:S$38,'Key inputs_EB_TRA'!$B$15:$B$38,"Pipeline - Natural gas liquids")&gt;0,SUMIFS('Key inputs_EB_TRA'!S$15:S$38,'Key inputs_EB_TRA'!$C$15:$C$38,$C42,'Key inputs_EB_TRA'!$B$15:$B$38,"Pipeline - Natural gas liquids")/SUMIFS('Key inputs_EB_TRA'!S$15:S$38,'Key inputs_EB_TRA'!$B$15:$B$38,"Pipeline - Natural gas liquids")&lt;0.001),0.001,SUMIFS('Key inputs_EB_TRA'!S$15:S$38,'Key inputs_EB_TRA'!$C$15:$C$38,$C42,'Key inputs_EB_TRA'!$B$15:$B$38,"Pipeline - Natural gas liquids")/SUMIFS('Key inputs_EB_TRA'!S$15:S$38,'Key inputs_EB_TRA'!$B$15:$B$38,"Pipeline - Natural gas liquids")),"")</f>
        <v>1E-3</v>
      </c>
      <c r="Z42" s="173">
        <f>IFERROR(IF(AND(SUMIFS('Key inputs_EB_TRA'!T$15:T$38,'Key inputs_EB_TRA'!$C$15:$C$38,$C42,'Key inputs_EB_TRA'!$B$15:$B$38,"Pipeline - Natural gas liquids")/SUMIFS('Key inputs_EB_TRA'!T$15:T$38,'Key inputs_EB_TRA'!$B$15:$B$38,"Pipeline - Natural gas liquids")&gt;0,SUMIFS('Key inputs_EB_TRA'!T$15:T$38,'Key inputs_EB_TRA'!$C$15:$C$38,$C42,'Key inputs_EB_TRA'!$B$15:$B$38,"Pipeline - Natural gas liquids")/SUMIFS('Key inputs_EB_TRA'!T$15:T$38,'Key inputs_EB_TRA'!$B$15:$B$38,"Pipeline - Natural gas liquids")&lt;0.001),0.001,SUMIFS('Key inputs_EB_TRA'!T$15:T$38,'Key inputs_EB_TRA'!$C$15:$C$38,$C42,'Key inputs_EB_TRA'!$B$15:$B$38,"Pipeline - Natural gas liquids")/SUMIFS('Key inputs_EB_TRA'!T$15:T$38,'Key inputs_EB_TRA'!$B$15:$B$38,"Pipeline - Natural gas liquids")),"")</f>
        <v>0</v>
      </c>
      <c r="AA42" s="173">
        <f>IFERROR(IF(AND(SUMIFS('Key inputs_EB_TRA'!U$15:U$38,'Key inputs_EB_TRA'!$C$15:$C$38,$C42,'Key inputs_EB_TRA'!$B$15:$B$38,"Pipeline - Natural gas liquids")/SUMIFS('Key inputs_EB_TRA'!U$15:U$38,'Key inputs_EB_TRA'!$B$15:$B$38,"Pipeline - Natural gas liquids")&gt;0,SUMIFS('Key inputs_EB_TRA'!U$15:U$38,'Key inputs_EB_TRA'!$C$15:$C$38,$C42,'Key inputs_EB_TRA'!$B$15:$B$38,"Pipeline - Natural gas liquids")/SUMIFS('Key inputs_EB_TRA'!U$15:U$38,'Key inputs_EB_TRA'!$B$15:$B$38,"Pipeline - Natural gas liquids")&lt;0.001),0.001,SUMIFS('Key inputs_EB_TRA'!U$15:U$38,'Key inputs_EB_TRA'!$C$15:$C$38,$C42,'Key inputs_EB_TRA'!$B$15:$B$38,"Pipeline - Natural gas liquids")/SUMIFS('Key inputs_EB_TRA'!U$15:U$38,'Key inputs_EB_TRA'!$B$15:$B$38,"Pipeline - Natural gas liquids")),"")</f>
        <v>0</v>
      </c>
      <c r="AB42" s="173" t="str">
        <f>IFERROR(IF(AND(SUMIFS('Key inputs_EB_TRA'!V$15:V$38,'Key inputs_EB_TRA'!$C$15:$C$38,$C42,'Key inputs_EB_TRA'!$B$15:$B$38,"Pipeline - Natural gas liquids")/SUMIFS('Key inputs_EB_TRA'!V$15:V$38,'Key inputs_EB_TRA'!$B$15:$B$38,"Pipeline - Natural gas liquids")&gt;0,SUMIFS('Key inputs_EB_TRA'!V$15:V$38,'Key inputs_EB_TRA'!$C$15:$C$38,$C42,'Key inputs_EB_TRA'!$B$15:$B$38,"Pipeline - Natural gas liquids")/SUMIFS('Key inputs_EB_TRA'!V$15:V$38,'Key inputs_EB_TRA'!$B$15:$B$38,"Pipeline - Natural gas liquids")&lt;0.001),0.001,SUMIFS('Key inputs_EB_TRA'!V$15:V$38,'Key inputs_EB_TRA'!$C$15:$C$38,$C42,'Key inputs_EB_TRA'!$B$15:$B$38,"Pipeline - Natural gas liquids")/SUMIFS('Key inputs_EB_TRA'!V$15:V$38,'Key inputs_EB_TRA'!$B$15:$B$38,"Pipeline - Natural gas liquids")),"")</f>
        <v/>
      </c>
      <c r="AC42" s="173">
        <f>IFERROR(IF(AND(SUMIFS('Key inputs_EB_TRA'!W$15:W$38,'Key inputs_EB_TRA'!$C$15:$C$38,$C42,'Key inputs_EB_TRA'!$B$15:$B$38,"Pipeline - Natural gas liquids")/SUMIFS('Key inputs_EB_TRA'!W$15:W$38,'Key inputs_EB_TRA'!$B$15:$B$38,"Pipeline - Natural gas liquids")&gt;0,SUMIFS('Key inputs_EB_TRA'!W$15:W$38,'Key inputs_EB_TRA'!$C$15:$C$38,$C42,'Key inputs_EB_TRA'!$B$15:$B$38,"Pipeline - Natural gas liquids")/SUMIFS('Key inputs_EB_TRA'!W$15:W$38,'Key inputs_EB_TRA'!$B$15:$B$38,"Pipeline - Natural gas liquids")&lt;0.001),0.001,SUMIFS('Key inputs_EB_TRA'!W$15:W$38,'Key inputs_EB_TRA'!$C$15:$C$38,$C42,'Key inputs_EB_TRA'!$B$15:$B$38,"Pipeline - Natural gas liquids")/SUMIFS('Key inputs_EB_TRA'!W$15:W$38,'Key inputs_EB_TRA'!$B$15:$B$38,"Pipeline - Natural gas liquids")),"")</f>
        <v>0</v>
      </c>
      <c r="AD42" s="173" t="str">
        <f>IFERROR(IF(AND(SUMIFS('Key inputs_EB_TRA'!X$15:X$38,'Key inputs_EB_TRA'!$C$15:$C$38,$C42,'Key inputs_EB_TRA'!$B$15:$B$38,"Pipeline - Natural gas liquids")/SUMIFS('Key inputs_EB_TRA'!X$15:X$38,'Key inputs_EB_TRA'!$B$15:$B$38,"Pipeline - Natural gas liquids")&gt;0,SUMIFS('Key inputs_EB_TRA'!X$15:X$38,'Key inputs_EB_TRA'!$C$15:$C$38,$C42,'Key inputs_EB_TRA'!$B$15:$B$38,"Pipeline - Natural gas liquids")/SUMIFS('Key inputs_EB_TRA'!X$15:X$38,'Key inputs_EB_TRA'!$B$15:$B$38,"Pipeline - Natural gas liquids")&lt;0.001),0.001,SUMIFS('Key inputs_EB_TRA'!X$15:X$38,'Key inputs_EB_TRA'!$C$15:$C$38,$C42,'Key inputs_EB_TRA'!$B$15:$B$38,"Pipeline - Natural gas liquids")/SUMIFS('Key inputs_EB_TRA'!X$15:X$38,'Key inputs_EB_TRA'!$B$15:$B$38,"Pipeline - Natural gas liquids")),"")</f>
        <v/>
      </c>
      <c r="AE42" s="173">
        <f>IFERROR(IF(AND(SUMIFS('Key inputs_EB_TRA'!Y$15:Y$38,'Key inputs_EB_TRA'!$C$15:$C$38,$C42,'Key inputs_EB_TRA'!$B$15:$B$38,"Pipeline - Natural gas liquids")/SUMIFS('Key inputs_EB_TRA'!Y$15:Y$38,'Key inputs_EB_TRA'!$B$15:$B$38,"Pipeline - Natural gas liquids")&gt;0,SUMIFS('Key inputs_EB_TRA'!Y$15:Y$38,'Key inputs_EB_TRA'!$C$15:$C$38,$C42,'Key inputs_EB_TRA'!$B$15:$B$38,"Pipeline - Natural gas liquids")/SUMIFS('Key inputs_EB_TRA'!Y$15:Y$38,'Key inputs_EB_TRA'!$B$15:$B$38,"Pipeline - Natural gas liquids")&lt;0.001),0.001,SUMIFS('Key inputs_EB_TRA'!Y$15:Y$38,'Key inputs_EB_TRA'!$C$15:$C$38,$C42,'Key inputs_EB_TRA'!$B$15:$B$38,"Pipeline - Natural gas liquids")/SUMIFS('Key inputs_EB_TRA'!Y$15:Y$38,'Key inputs_EB_TRA'!$B$15:$B$38,"Pipeline - Natural gas liquids")),"")</f>
        <v>0</v>
      </c>
      <c r="AF42" s="173">
        <f>IFERROR(IF(AND(SUMIFS('Key inputs_EB_TRA'!Z$15:Z$38,'Key inputs_EB_TRA'!$C$15:$C$38,$C42,'Key inputs_EB_TRA'!$B$15:$B$38,"Pipeline - Natural gas liquids")/SUMIFS('Key inputs_EB_TRA'!Z$15:Z$38,'Key inputs_EB_TRA'!$B$15:$B$38,"Pipeline - Natural gas liquids")&gt;0,SUMIFS('Key inputs_EB_TRA'!Z$15:Z$38,'Key inputs_EB_TRA'!$C$15:$C$38,$C42,'Key inputs_EB_TRA'!$B$15:$B$38,"Pipeline - Natural gas liquids")/SUMIFS('Key inputs_EB_TRA'!Z$15:Z$38,'Key inputs_EB_TRA'!$B$15:$B$38,"Pipeline - Natural gas liquids")&lt;0.001),0.001,SUMIFS('Key inputs_EB_TRA'!Z$15:Z$38,'Key inputs_EB_TRA'!$C$15:$C$38,$C42,'Key inputs_EB_TRA'!$B$15:$B$38,"Pipeline - Natural gas liquids")/SUMIFS('Key inputs_EB_TRA'!Z$15:Z$38,'Key inputs_EB_TRA'!$B$15:$B$38,"Pipeline - Natural gas liquids")),"")</f>
        <v>0</v>
      </c>
      <c r="AG42" s="173">
        <f>IFERROR(IF(AND(SUMIFS('Key inputs_EB_TRA'!AA$15:AA$38,'Key inputs_EB_TRA'!$C$15:$C$38,$C42,'Key inputs_EB_TRA'!$B$15:$B$38,"Pipeline - Natural gas liquids")/SUMIFS('Key inputs_EB_TRA'!AA$15:AA$38,'Key inputs_EB_TRA'!$B$15:$B$38,"Pipeline - Natural gas liquids")&gt;0,SUMIFS('Key inputs_EB_TRA'!AA$15:AA$38,'Key inputs_EB_TRA'!$C$15:$C$38,$C42,'Key inputs_EB_TRA'!$B$15:$B$38,"Pipeline - Natural gas liquids")/SUMIFS('Key inputs_EB_TRA'!AA$15:AA$38,'Key inputs_EB_TRA'!$B$15:$B$38,"Pipeline - Natural gas liquids")&lt;0.001),0.001,SUMIFS('Key inputs_EB_TRA'!AA$15:AA$38,'Key inputs_EB_TRA'!$C$15:$C$38,$C42,'Key inputs_EB_TRA'!$B$15:$B$38,"Pipeline - Natural gas liquids")/SUMIFS('Key inputs_EB_TRA'!AA$15:AA$38,'Key inputs_EB_TRA'!$B$15:$B$38,"Pipeline - Natural gas liquids")),"")</f>
        <v>7.2168548480968445E-3</v>
      </c>
      <c r="AH42" s="173" t="str">
        <f>IFERROR(IF(AND(SUMIFS('Key inputs_EB_TRA'!AB$15:AB$38,'Key inputs_EB_TRA'!$C$15:$C$38,$C42,'Key inputs_EB_TRA'!$B$15:$B$38,"Pipeline - Natural gas liquids")/SUMIFS('Key inputs_EB_TRA'!AB$15:AB$38,'Key inputs_EB_TRA'!$B$15:$B$38,"Pipeline - Natural gas liquids")&gt;0,SUMIFS('Key inputs_EB_TRA'!AB$15:AB$38,'Key inputs_EB_TRA'!$C$15:$C$38,$C42,'Key inputs_EB_TRA'!$B$15:$B$38,"Pipeline - Natural gas liquids")/SUMIFS('Key inputs_EB_TRA'!AB$15:AB$38,'Key inputs_EB_TRA'!$B$15:$B$38,"Pipeline - Natural gas liquids")&lt;0.001),0.001,SUMIFS('Key inputs_EB_TRA'!AB$15:AB$38,'Key inputs_EB_TRA'!$C$15:$C$38,$C42,'Key inputs_EB_TRA'!$B$15:$B$38,"Pipeline - Natural gas liquids")/SUMIFS('Key inputs_EB_TRA'!AB$15:AB$38,'Key inputs_EB_TRA'!$B$15:$B$38,"Pipeline - Natural gas liquids")),"")</f>
        <v/>
      </c>
      <c r="AI42" s="173" t="str">
        <f>IFERROR(IF(AND(SUMIFS('Key inputs_EB_TRA'!AC$15:AC$38,'Key inputs_EB_TRA'!$C$15:$C$38,$C42,'Key inputs_EB_TRA'!$B$15:$B$38,"Pipeline - Natural gas liquids")/SUMIFS('Key inputs_EB_TRA'!AC$15:AC$38,'Key inputs_EB_TRA'!$B$15:$B$38,"Pipeline - Natural gas liquids")&gt;0,SUMIFS('Key inputs_EB_TRA'!AC$15:AC$38,'Key inputs_EB_TRA'!$C$15:$C$38,$C42,'Key inputs_EB_TRA'!$B$15:$B$38,"Pipeline - Natural gas liquids")/SUMIFS('Key inputs_EB_TRA'!AC$15:AC$38,'Key inputs_EB_TRA'!$B$15:$B$38,"Pipeline - Natural gas liquids")&lt;0.001),0.001,SUMIFS('Key inputs_EB_TRA'!AC$15:AC$38,'Key inputs_EB_TRA'!$C$15:$C$38,$C42,'Key inputs_EB_TRA'!$B$15:$B$38,"Pipeline - Natural gas liquids")/SUMIFS('Key inputs_EB_TRA'!AC$15:AC$38,'Key inputs_EB_TRA'!$B$15:$B$38,"Pipeline - Natural gas liquids")),"")</f>
        <v/>
      </c>
      <c r="AJ42" s="173">
        <f>IFERROR(IF(AND(SUMIFS('Key inputs_EB_TRA'!AD$15:AD$38,'Key inputs_EB_TRA'!$C$15:$C$38,$C42,'Key inputs_EB_TRA'!$B$15:$B$38,"Pipeline - Natural gas liquids")/SUMIFS('Key inputs_EB_TRA'!AD$15:AD$38,'Key inputs_EB_TRA'!$B$15:$B$38,"Pipeline - Natural gas liquids")&gt;0,SUMIFS('Key inputs_EB_TRA'!AD$15:AD$38,'Key inputs_EB_TRA'!$C$15:$C$38,$C42,'Key inputs_EB_TRA'!$B$15:$B$38,"Pipeline - Natural gas liquids")/SUMIFS('Key inputs_EB_TRA'!AD$15:AD$38,'Key inputs_EB_TRA'!$B$15:$B$38,"Pipeline - Natural gas liquids")&lt;0.001),0.001,SUMIFS('Key inputs_EB_TRA'!AD$15:AD$38,'Key inputs_EB_TRA'!$C$15:$C$38,$C42,'Key inputs_EB_TRA'!$B$15:$B$38,"Pipeline - Natural gas liquids")/SUMIFS('Key inputs_EB_TRA'!AD$15:AD$38,'Key inputs_EB_TRA'!$B$15:$B$38,"Pipeline - Natural gas liquids")),"")</f>
        <v>7.0210921467219788E-3</v>
      </c>
      <c r="AK42" s="173" t="str">
        <f>IFERROR(IF(AND(SUMIFS('Key inputs_EB_TRA'!AE$15:AE$38,'Key inputs_EB_TRA'!$C$15:$C$38,$C42,'Key inputs_EB_TRA'!$B$15:$B$38,"Pipeline - Natural gas liquids")/SUMIFS('Key inputs_EB_TRA'!AE$15:AE$38,'Key inputs_EB_TRA'!$B$15:$B$38,"Pipeline - Natural gas liquids")&gt;0,SUMIFS('Key inputs_EB_TRA'!AE$15:AE$38,'Key inputs_EB_TRA'!$C$15:$C$38,$C42,'Key inputs_EB_TRA'!$B$15:$B$38,"Pipeline - Natural gas liquids")/SUMIFS('Key inputs_EB_TRA'!AE$15:AE$38,'Key inputs_EB_TRA'!$B$15:$B$38,"Pipeline - Natural gas liquids")&lt;0.001),0.001,SUMIFS('Key inputs_EB_TRA'!AE$15:AE$38,'Key inputs_EB_TRA'!$C$15:$C$38,$C42,'Key inputs_EB_TRA'!$B$15:$B$38,"Pipeline - Natural gas liquids")/SUMIFS('Key inputs_EB_TRA'!AE$15:AE$38,'Key inputs_EB_TRA'!$B$15:$B$38,"Pipeline - Natural gas liquids")),"")</f>
        <v/>
      </c>
      <c r="AL42" s="173">
        <f>IFERROR(IF(AND(SUMIFS('Key inputs_EB_TRA'!AF$15:AF$38,'Key inputs_EB_TRA'!$C$15:$C$38,$C42,'Key inputs_EB_TRA'!$B$15:$B$38,"Pipeline - Natural gas liquids")/SUMIFS('Key inputs_EB_TRA'!AF$15:AF$38,'Key inputs_EB_TRA'!$B$15:$B$38,"Pipeline - Natural gas liquids")&gt;0,SUMIFS('Key inputs_EB_TRA'!AF$15:AF$38,'Key inputs_EB_TRA'!$C$15:$C$38,$C42,'Key inputs_EB_TRA'!$B$15:$B$38,"Pipeline - Natural gas liquids")/SUMIFS('Key inputs_EB_TRA'!AF$15:AF$38,'Key inputs_EB_TRA'!$B$15:$B$38,"Pipeline - Natural gas liquids")&lt;0.001),0.001,SUMIFS('Key inputs_EB_TRA'!AF$15:AF$38,'Key inputs_EB_TRA'!$C$15:$C$38,$C42,'Key inputs_EB_TRA'!$B$15:$B$38,"Pipeline - Natural gas liquids")/SUMIFS('Key inputs_EB_TRA'!AF$15:AF$38,'Key inputs_EB_TRA'!$B$15:$B$38,"Pipeline - Natural gas liquids")),"")</f>
        <v>0</v>
      </c>
    </row>
    <row r="43" spans="3:38">
      <c r="C43" t="str">
        <f>Commodities!$C$91</f>
        <v>UPSELC</v>
      </c>
      <c r="F43" s="4" t="s">
        <v>359</v>
      </c>
      <c r="G43" s="4" t="s">
        <v>702</v>
      </c>
      <c r="H43" t="s">
        <v>661</v>
      </c>
      <c r="I43">
        <v>2019</v>
      </c>
      <c r="J43" t="s">
        <v>650</v>
      </c>
      <c r="K43" s="173" t="str">
        <f>IFERROR(IF(AND(SUMIFS('Key inputs_EB_TRA'!E$15:E$38,'Key inputs_EB_TRA'!$C$15:$C$38,$C43,'Key inputs_EB_TRA'!$B$15:$B$38,"Pipeline - Natural gas liquids")/SUMIFS('Key inputs_EB_TRA'!E$15:E$38,'Key inputs_EB_TRA'!$B$15:$B$38,"Pipeline - Natural gas liquids")&gt;0,SUMIFS('Key inputs_EB_TRA'!E$15:E$38,'Key inputs_EB_TRA'!$C$15:$C$38,$C43,'Key inputs_EB_TRA'!$B$15:$B$38,"Pipeline - Natural gas liquids")/SUMIFS('Key inputs_EB_TRA'!E$15:E$38,'Key inputs_EB_TRA'!$B$15:$B$38,"Pipeline - Natural gas liquids")&lt;0.001),0.001,SUMIFS('Key inputs_EB_TRA'!E$15:E$38,'Key inputs_EB_TRA'!$C$15:$C$38,$C43,'Key inputs_EB_TRA'!$B$15:$B$38,"Pipeline - Natural gas liquids")/SUMIFS('Key inputs_EB_TRA'!E$15:E$38,'Key inputs_EB_TRA'!$B$15:$B$38,"Pipeline - Natural gas liquids")),"")</f>
        <v/>
      </c>
      <c r="L43" s="173">
        <f>IFERROR(IF(AND(SUMIFS('Key inputs_EB_TRA'!F$15:F$38,'Key inputs_EB_TRA'!$C$15:$C$38,$C43,'Key inputs_EB_TRA'!$B$15:$B$38,"Pipeline - Natural gas liquids")/SUMIFS('Key inputs_EB_TRA'!F$15:F$38,'Key inputs_EB_TRA'!$B$15:$B$38,"Pipeline - Natural gas liquids")&gt;0,SUMIFS('Key inputs_EB_TRA'!F$15:F$38,'Key inputs_EB_TRA'!$C$15:$C$38,$C43,'Key inputs_EB_TRA'!$B$15:$B$38,"Pipeline - Natural gas liquids")/SUMIFS('Key inputs_EB_TRA'!F$15:F$38,'Key inputs_EB_TRA'!$B$15:$B$38,"Pipeline - Natural gas liquids")&lt;0.001),0.001,SUMIFS('Key inputs_EB_TRA'!F$15:F$38,'Key inputs_EB_TRA'!$C$15:$C$38,$C43,'Key inputs_EB_TRA'!$B$15:$B$38,"Pipeline - Natural gas liquids")/SUMIFS('Key inputs_EB_TRA'!F$15:F$38,'Key inputs_EB_TRA'!$B$15:$B$38,"Pipeline - Natural gas liquids")),"")</f>
        <v>2.3333333333333327E-2</v>
      </c>
      <c r="M43" s="173">
        <f>IFERROR(IF(AND(SUMIFS('Key inputs_EB_TRA'!G$15:G$38,'Key inputs_EB_TRA'!$C$15:$C$38,$C43,'Key inputs_EB_TRA'!$B$15:$B$38,"Pipeline - Natural gas liquids")/SUMIFS('Key inputs_EB_TRA'!G$15:G$38,'Key inputs_EB_TRA'!$B$15:$B$38,"Pipeline - Natural gas liquids")&gt;0,SUMIFS('Key inputs_EB_TRA'!G$15:G$38,'Key inputs_EB_TRA'!$C$15:$C$38,$C43,'Key inputs_EB_TRA'!$B$15:$B$38,"Pipeline - Natural gas liquids")/SUMIFS('Key inputs_EB_TRA'!G$15:G$38,'Key inputs_EB_TRA'!$B$15:$B$38,"Pipeline - Natural gas liquids")&lt;0.001),0.001,SUMIFS('Key inputs_EB_TRA'!G$15:G$38,'Key inputs_EB_TRA'!$C$15:$C$38,$C43,'Key inputs_EB_TRA'!$B$15:$B$38,"Pipeline - Natural gas liquids")/SUMIFS('Key inputs_EB_TRA'!G$15:G$38,'Key inputs_EB_TRA'!$B$15:$B$38,"Pipeline - Natural gas liquids")),"")</f>
        <v>1</v>
      </c>
      <c r="N43" s="173">
        <f>IFERROR(IF(AND(SUMIFS('Key inputs_EB_TRA'!H$15:H$38,'Key inputs_EB_TRA'!$C$15:$C$38,$C43,'Key inputs_EB_TRA'!$B$15:$B$38,"Pipeline - Natural gas liquids")/SUMIFS('Key inputs_EB_TRA'!H$15:H$38,'Key inputs_EB_TRA'!$B$15:$B$38,"Pipeline - Natural gas liquids")&gt;0,SUMIFS('Key inputs_EB_TRA'!H$15:H$38,'Key inputs_EB_TRA'!$C$15:$C$38,$C43,'Key inputs_EB_TRA'!$B$15:$B$38,"Pipeline - Natural gas liquids")/SUMIFS('Key inputs_EB_TRA'!H$15:H$38,'Key inputs_EB_TRA'!$B$15:$B$38,"Pipeline - Natural gas liquids")&lt;0.001),0.001,SUMIFS('Key inputs_EB_TRA'!H$15:H$38,'Key inputs_EB_TRA'!$C$15:$C$38,$C43,'Key inputs_EB_TRA'!$B$15:$B$38,"Pipeline - Natural gas liquids")/SUMIFS('Key inputs_EB_TRA'!H$15:H$38,'Key inputs_EB_TRA'!$B$15:$B$38,"Pipeline - Natural gas liquids")),"")</f>
        <v>0.24934612031386227</v>
      </c>
      <c r="O43" s="173">
        <f>IFERROR(IF(AND(SUMIFS('Key inputs_EB_TRA'!I$15:I$38,'Key inputs_EB_TRA'!$C$15:$C$38,$C43,'Key inputs_EB_TRA'!$B$15:$B$38,"Pipeline - Natural gas liquids")/SUMIFS('Key inputs_EB_TRA'!I$15:I$38,'Key inputs_EB_TRA'!$B$15:$B$38,"Pipeline - Natural gas liquids")&gt;0,SUMIFS('Key inputs_EB_TRA'!I$15:I$38,'Key inputs_EB_TRA'!$C$15:$C$38,$C43,'Key inputs_EB_TRA'!$B$15:$B$38,"Pipeline - Natural gas liquids")/SUMIFS('Key inputs_EB_TRA'!I$15:I$38,'Key inputs_EB_TRA'!$B$15:$B$38,"Pipeline - Natural gas liquids")&lt;0.001),0.001,SUMIFS('Key inputs_EB_TRA'!I$15:I$38,'Key inputs_EB_TRA'!$C$15:$C$38,$C43,'Key inputs_EB_TRA'!$B$15:$B$38,"Pipeline - Natural gas liquids")/SUMIFS('Key inputs_EB_TRA'!I$15:I$38,'Key inputs_EB_TRA'!$B$15:$B$38,"Pipeline - Natural gas liquids")),"")</f>
        <v>4.7781362225333253E-2</v>
      </c>
      <c r="P43" s="173">
        <f>IFERROR(IF(AND(SUMIFS('Key inputs_EB_TRA'!J$15:J$38,'Key inputs_EB_TRA'!$C$15:$C$38,$C43,'Key inputs_EB_TRA'!$B$15:$B$38,"Pipeline - Natural gas liquids")/SUMIFS('Key inputs_EB_TRA'!J$15:J$38,'Key inputs_EB_TRA'!$B$15:$B$38,"Pipeline - Natural gas liquids")&gt;0,SUMIFS('Key inputs_EB_TRA'!J$15:J$38,'Key inputs_EB_TRA'!$C$15:$C$38,$C43,'Key inputs_EB_TRA'!$B$15:$B$38,"Pipeline - Natural gas liquids")/SUMIFS('Key inputs_EB_TRA'!J$15:J$38,'Key inputs_EB_TRA'!$B$15:$B$38,"Pipeline - Natural gas liquids")&lt;0.001),0.001,SUMIFS('Key inputs_EB_TRA'!J$15:J$38,'Key inputs_EB_TRA'!$C$15:$C$38,$C43,'Key inputs_EB_TRA'!$B$15:$B$38,"Pipeline - Natural gas liquids")/SUMIFS('Key inputs_EB_TRA'!J$15:J$38,'Key inputs_EB_TRA'!$B$15:$B$38,"Pipeline - Natural gas liquids")),"")</f>
        <v>2.6568908941755537E-2</v>
      </c>
      <c r="Q43" s="173" t="str">
        <f>IFERROR(IF(AND(SUMIFS('Key inputs_EB_TRA'!K$15:K$38,'Key inputs_EB_TRA'!$C$15:$C$38,$C43,'Key inputs_EB_TRA'!$B$15:$B$38,"Pipeline - Natural gas liquids")/SUMIFS('Key inputs_EB_TRA'!K$15:K$38,'Key inputs_EB_TRA'!$B$15:$B$38,"Pipeline - Natural gas liquids")&gt;0,SUMIFS('Key inputs_EB_TRA'!K$15:K$38,'Key inputs_EB_TRA'!$C$15:$C$38,$C43,'Key inputs_EB_TRA'!$B$15:$B$38,"Pipeline - Natural gas liquids")/SUMIFS('Key inputs_EB_TRA'!K$15:K$38,'Key inputs_EB_TRA'!$B$15:$B$38,"Pipeline - Natural gas liquids")&lt;0.001),0.001,SUMIFS('Key inputs_EB_TRA'!K$15:K$38,'Key inputs_EB_TRA'!$C$15:$C$38,$C43,'Key inputs_EB_TRA'!$B$15:$B$38,"Pipeline - Natural gas liquids")/SUMIFS('Key inputs_EB_TRA'!K$15:K$38,'Key inputs_EB_TRA'!$B$15:$B$38,"Pipeline - Natural gas liquids")),"")</f>
        <v/>
      </c>
      <c r="R43" s="173" t="str">
        <f>IFERROR(IF(AND(SUMIFS('Key inputs_EB_TRA'!L$15:L$38,'Key inputs_EB_TRA'!$C$15:$C$38,$C43,'Key inputs_EB_TRA'!$B$15:$B$38,"Pipeline - Natural gas liquids")/SUMIFS('Key inputs_EB_TRA'!L$15:L$38,'Key inputs_EB_TRA'!$B$15:$B$38,"Pipeline - Natural gas liquids")&gt;0,SUMIFS('Key inputs_EB_TRA'!L$15:L$38,'Key inputs_EB_TRA'!$C$15:$C$38,$C43,'Key inputs_EB_TRA'!$B$15:$B$38,"Pipeline - Natural gas liquids")/SUMIFS('Key inputs_EB_TRA'!L$15:L$38,'Key inputs_EB_TRA'!$B$15:$B$38,"Pipeline - Natural gas liquids")&lt;0.001),0.001,SUMIFS('Key inputs_EB_TRA'!L$15:L$38,'Key inputs_EB_TRA'!$C$15:$C$38,$C43,'Key inputs_EB_TRA'!$B$15:$B$38,"Pipeline - Natural gas liquids")/SUMIFS('Key inputs_EB_TRA'!L$15:L$38,'Key inputs_EB_TRA'!$B$15:$B$38,"Pipeline - Natural gas liquids")),"")</f>
        <v/>
      </c>
      <c r="S43" s="173" t="str">
        <f>IFERROR(IF(AND(SUMIFS('Key inputs_EB_TRA'!M$15:M$38,'Key inputs_EB_TRA'!$C$15:$C$38,$C43,'Key inputs_EB_TRA'!$B$15:$B$38,"Pipeline - Natural gas liquids")/SUMIFS('Key inputs_EB_TRA'!M$15:M$38,'Key inputs_EB_TRA'!$B$15:$B$38,"Pipeline - Natural gas liquids")&gt;0,SUMIFS('Key inputs_EB_TRA'!M$15:M$38,'Key inputs_EB_TRA'!$C$15:$C$38,$C43,'Key inputs_EB_TRA'!$B$15:$B$38,"Pipeline - Natural gas liquids")/SUMIFS('Key inputs_EB_TRA'!M$15:M$38,'Key inputs_EB_TRA'!$B$15:$B$38,"Pipeline - Natural gas liquids")&lt;0.001),0.001,SUMIFS('Key inputs_EB_TRA'!M$15:M$38,'Key inputs_EB_TRA'!$C$15:$C$38,$C43,'Key inputs_EB_TRA'!$B$15:$B$38,"Pipeline - Natural gas liquids")/SUMIFS('Key inputs_EB_TRA'!M$15:M$38,'Key inputs_EB_TRA'!$B$15:$B$38,"Pipeline - Natural gas liquids")),"")</f>
        <v/>
      </c>
      <c r="T43" s="173">
        <f>IFERROR(IF(AND(SUMIFS('Key inputs_EB_TRA'!N$15:N$38,'Key inputs_EB_TRA'!$C$15:$C$38,$C43,'Key inputs_EB_TRA'!$B$15:$B$38,"Pipeline - Natural gas liquids")/SUMIFS('Key inputs_EB_TRA'!N$15:N$38,'Key inputs_EB_TRA'!$B$15:$B$38,"Pipeline - Natural gas liquids")&gt;0,SUMIFS('Key inputs_EB_TRA'!N$15:N$38,'Key inputs_EB_TRA'!$C$15:$C$38,$C43,'Key inputs_EB_TRA'!$B$15:$B$38,"Pipeline - Natural gas liquids")/SUMIFS('Key inputs_EB_TRA'!N$15:N$38,'Key inputs_EB_TRA'!$B$15:$B$38,"Pipeline - Natural gas liquids")&lt;0.001),0.001,SUMIFS('Key inputs_EB_TRA'!N$15:N$38,'Key inputs_EB_TRA'!$C$15:$C$38,$C43,'Key inputs_EB_TRA'!$B$15:$B$38,"Pipeline - Natural gas liquids")/SUMIFS('Key inputs_EB_TRA'!N$15:N$38,'Key inputs_EB_TRA'!$B$15:$B$38,"Pipeline - Natural gas liquids")),"")</f>
        <v>0.13492949232146384</v>
      </c>
      <c r="U43" s="173" t="str">
        <f>IFERROR(IF(AND(SUMIFS('Key inputs_EB_TRA'!O$15:O$38,'Key inputs_EB_TRA'!$C$15:$C$38,$C43,'Key inputs_EB_TRA'!$B$15:$B$38,"Pipeline - Natural gas liquids")/SUMIFS('Key inputs_EB_TRA'!O$15:O$38,'Key inputs_EB_TRA'!$B$15:$B$38,"Pipeline - Natural gas liquids")&gt;0,SUMIFS('Key inputs_EB_TRA'!O$15:O$38,'Key inputs_EB_TRA'!$C$15:$C$38,$C43,'Key inputs_EB_TRA'!$B$15:$B$38,"Pipeline - Natural gas liquids")/SUMIFS('Key inputs_EB_TRA'!O$15:O$38,'Key inputs_EB_TRA'!$B$15:$B$38,"Pipeline - Natural gas liquids")&lt;0.001),0.001,SUMIFS('Key inputs_EB_TRA'!O$15:O$38,'Key inputs_EB_TRA'!$C$15:$C$38,$C43,'Key inputs_EB_TRA'!$B$15:$B$38,"Pipeline - Natural gas liquids")/SUMIFS('Key inputs_EB_TRA'!O$15:O$38,'Key inputs_EB_TRA'!$B$15:$B$38,"Pipeline - Natural gas liquids")),"")</f>
        <v/>
      </c>
      <c r="V43" s="173" t="str">
        <f>IFERROR(IF(AND(SUMIFS('Key inputs_EB_TRA'!P$15:P$38,'Key inputs_EB_TRA'!$C$15:$C$38,$C43,'Key inputs_EB_TRA'!$B$15:$B$38,"Pipeline - Natural gas liquids")/SUMIFS('Key inputs_EB_TRA'!P$15:P$38,'Key inputs_EB_TRA'!$B$15:$B$38,"Pipeline - Natural gas liquids")&gt;0,SUMIFS('Key inputs_EB_TRA'!P$15:P$38,'Key inputs_EB_TRA'!$C$15:$C$38,$C43,'Key inputs_EB_TRA'!$B$15:$B$38,"Pipeline - Natural gas liquids")/SUMIFS('Key inputs_EB_TRA'!P$15:P$38,'Key inputs_EB_TRA'!$B$15:$B$38,"Pipeline - Natural gas liquids")&lt;0.001),0.001,SUMIFS('Key inputs_EB_TRA'!P$15:P$38,'Key inputs_EB_TRA'!$C$15:$C$38,$C43,'Key inputs_EB_TRA'!$B$15:$B$38,"Pipeline - Natural gas liquids")/SUMIFS('Key inputs_EB_TRA'!P$15:P$38,'Key inputs_EB_TRA'!$B$15:$B$38,"Pipeline - Natural gas liquids")),"")</f>
        <v/>
      </c>
      <c r="W43" s="173">
        <f>IFERROR(IF(AND(SUMIFS('Key inputs_EB_TRA'!Q$15:Q$38,'Key inputs_EB_TRA'!$C$15:$C$38,$C43,'Key inputs_EB_TRA'!$B$15:$B$38,"Pipeline - Natural gas liquids")/SUMIFS('Key inputs_EB_TRA'!Q$15:Q$38,'Key inputs_EB_TRA'!$B$15:$B$38,"Pipeline - Natural gas liquids")&gt;0,SUMIFS('Key inputs_EB_TRA'!Q$15:Q$38,'Key inputs_EB_TRA'!$C$15:$C$38,$C43,'Key inputs_EB_TRA'!$B$15:$B$38,"Pipeline - Natural gas liquids")/SUMIFS('Key inputs_EB_TRA'!Q$15:Q$38,'Key inputs_EB_TRA'!$B$15:$B$38,"Pipeline - Natural gas liquids")&lt;0.001),0.001,SUMIFS('Key inputs_EB_TRA'!Q$15:Q$38,'Key inputs_EB_TRA'!$C$15:$C$38,$C43,'Key inputs_EB_TRA'!$B$15:$B$38,"Pipeline - Natural gas liquids")/SUMIFS('Key inputs_EB_TRA'!Q$15:Q$38,'Key inputs_EB_TRA'!$B$15:$B$38,"Pipeline - Natural gas liquids")),"")</f>
        <v>2.8303381053914101E-2</v>
      </c>
      <c r="X43" s="173">
        <f>IFERROR(IF(AND(SUMIFS('Key inputs_EB_TRA'!R$15:R$38,'Key inputs_EB_TRA'!$C$15:$C$38,$C43,'Key inputs_EB_TRA'!$B$15:$B$38,"Pipeline - Natural gas liquids")/SUMIFS('Key inputs_EB_TRA'!R$15:R$38,'Key inputs_EB_TRA'!$B$15:$B$38,"Pipeline - Natural gas liquids")&gt;0,SUMIFS('Key inputs_EB_TRA'!R$15:R$38,'Key inputs_EB_TRA'!$C$15:$C$38,$C43,'Key inputs_EB_TRA'!$B$15:$B$38,"Pipeline - Natural gas liquids")/SUMIFS('Key inputs_EB_TRA'!R$15:R$38,'Key inputs_EB_TRA'!$B$15:$B$38,"Pipeline - Natural gas liquids")&lt;0.001),0.001,SUMIFS('Key inputs_EB_TRA'!R$15:R$38,'Key inputs_EB_TRA'!$C$15:$C$38,$C43,'Key inputs_EB_TRA'!$B$15:$B$38,"Pipeline - Natural gas liquids")/SUMIFS('Key inputs_EB_TRA'!R$15:R$38,'Key inputs_EB_TRA'!$B$15:$B$38,"Pipeline - Natural gas liquids")),"")</f>
        <v>0</v>
      </c>
      <c r="Y43" s="173">
        <f>IFERROR(IF(AND(SUMIFS('Key inputs_EB_TRA'!S$15:S$38,'Key inputs_EB_TRA'!$C$15:$C$38,$C43,'Key inputs_EB_TRA'!$B$15:$B$38,"Pipeline - Natural gas liquids")/SUMIFS('Key inputs_EB_TRA'!S$15:S$38,'Key inputs_EB_TRA'!$B$15:$B$38,"Pipeline - Natural gas liquids")&gt;0,SUMIFS('Key inputs_EB_TRA'!S$15:S$38,'Key inputs_EB_TRA'!$C$15:$C$38,$C43,'Key inputs_EB_TRA'!$B$15:$B$38,"Pipeline - Natural gas liquids")/SUMIFS('Key inputs_EB_TRA'!S$15:S$38,'Key inputs_EB_TRA'!$B$15:$B$38,"Pipeline - Natural gas liquids")&lt;0.001),0.001,SUMIFS('Key inputs_EB_TRA'!S$15:S$38,'Key inputs_EB_TRA'!$C$15:$C$38,$C43,'Key inputs_EB_TRA'!$B$15:$B$38,"Pipeline - Natural gas liquids")/SUMIFS('Key inputs_EB_TRA'!S$15:S$38,'Key inputs_EB_TRA'!$B$15:$B$38,"Pipeline - Natural gas liquids")),"")</f>
        <v>4.4386505993450134E-2</v>
      </c>
      <c r="Z43" s="173">
        <f>IFERROR(IF(AND(SUMIFS('Key inputs_EB_TRA'!T$15:T$38,'Key inputs_EB_TRA'!$C$15:$C$38,$C43,'Key inputs_EB_TRA'!$B$15:$B$38,"Pipeline - Natural gas liquids")/SUMIFS('Key inputs_EB_TRA'!T$15:T$38,'Key inputs_EB_TRA'!$B$15:$B$38,"Pipeline - Natural gas liquids")&gt;0,SUMIFS('Key inputs_EB_TRA'!T$15:T$38,'Key inputs_EB_TRA'!$C$15:$C$38,$C43,'Key inputs_EB_TRA'!$B$15:$B$38,"Pipeline - Natural gas liquids")/SUMIFS('Key inputs_EB_TRA'!T$15:T$38,'Key inputs_EB_TRA'!$B$15:$B$38,"Pipeline - Natural gas liquids")&lt;0.001),0.001,SUMIFS('Key inputs_EB_TRA'!T$15:T$38,'Key inputs_EB_TRA'!$C$15:$C$38,$C43,'Key inputs_EB_TRA'!$B$15:$B$38,"Pipeline - Natural gas liquids")/SUMIFS('Key inputs_EB_TRA'!T$15:T$38,'Key inputs_EB_TRA'!$B$15:$B$38,"Pipeline - Natural gas liquids")),"")</f>
        <v>0.31526727861771059</v>
      </c>
      <c r="AA43" s="173">
        <f>IFERROR(IF(AND(SUMIFS('Key inputs_EB_TRA'!U$15:U$38,'Key inputs_EB_TRA'!$C$15:$C$38,$C43,'Key inputs_EB_TRA'!$B$15:$B$38,"Pipeline - Natural gas liquids")/SUMIFS('Key inputs_EB_TRA'!U$15:U$38,'Key inputs_EB_TRA'!$B$15:$B$38,"Pipeline - Natural gas liquids")&gt;0,SUMIFS('Key inputs_EB_TRA'!U$15:U$38,'Key inputs_EB_TRA'!$C$15:$C$38,$C43,'Key inputs_EB_TRA'!$B$15:$B$38,"Pipeline - Natural gas liquids")/SUMIFS('Key inputs_EB_TRA'!U$15:U$38,'Key inputs_EB_TRA'!$B$15:$B$38,"Pipeline - Natural gas liquids")&lt;0.001),0.001,SUMIFS('Key inputs_EB_TRA'!U$15:U$38,'Key inputs_EB_TRA'!$C$15:$C$38,$C43,'Key inputs_EB_TRA'!$B$15:$B$38,"Pipeline - Natural gas liquids")/SUMIFS('Key inputs_EB_TRA'!U$15:U$38,'Key inputs_EB_TRA'!$B$15:$B$38,"Pipeline - Natural gas liquids")),"")</f>
        <v>2.3796865902129063E-2</v>
      </c>
      <c r="AB43" s="173" t="str">
        <f>IFERROR(IF(AND(SUMIFS('Key inputs_EB_TRA'!V$15:V$38,'Key inputs_EB_TRA'!$C$15:$C$38,$C43,'Key inputs_EB_TRA'!$B$15:$B$38,"Pipeline - Natural gas liquids")/SUMIFS('Key inputs_EB_TRA'!V$15:V$38,'Key inputs_EB_TRA'!$B$15:$B$38,"Pipeline - Natural gas liquids")&gt;0,SUMIFS('Key inputs_EB_TRA'!V$15:V$38,'Key inputs_EB_TRA'!$C$15:$C$38,$C43,'Key inputs_EB_TRA'!$B$15:$B$38,"Pipeline - Natural gas liquids")/SUMIFS('Key inputs_EB_TRA'!V$15:V$38,'Key inputs_EB_TRA'!$B$15:$B$38,"Pipeline - Natural gas liquids")&lt;0.001),0.001,SUMIFS('Key inputs_EB_TRA'!V$15:V$38,'Key inputs_EB_TRA'!$C$15:$C$38,$C43,'Key inputs_EB_TRA'!$B$15:$B$38,"Pipeline - Natural gas liquids")/SUMIFS('Key inputs_EB_TRA'!V$15:V$38,'Key inputs_EB_TRA'!$B$15:$B$38,"Pipeline - Natural gas liquids")),"")</f>
        <v/>
      </c>
      <c r="AC43" s="173">
        <f>IFERROR(IF(AND(SUMIFS('Key inputs_EB_TRA'!W$15:W$38,'Key inputs_EB_TRA'!$C$15:$C$38,$C43,'Key inputs_EB_TRA'!$B$15:$B$38,"Pipeline - Natural gas liquids")/SUMIFS('Key inputs_EB_TRA'!W$15:W$38,'Key inputs_EB_TRA'!$B$15:$B$38,"Pipeline - Natural gas liquids")&gt;0,SUMIFS('Key inputs_EB_TRA'!W$15:W$38,'Key inputs_EB_TRA'!$C$15:$C$38,$C43,'Key inputs_EB_TRA'!$B$15:$B$38,"Pipeline - Natural gas liquids")/SUMIFS('Key inputs_EB_TRA'!W$15:W$38,'Key inputs_EB_TRA'!$B$15:$B$38,"Pipeline - Natural gas liquids")&lt;0.001),0.001,SUMIFS('Key inputs_EB_TRA'!W$15:W$38,'Key inputs_EB_TRA'!$C$15:$C$38,$C43,'Key inputs_EB_TRA'!$B$15:$B$38,"Pipeline - Natural gas liquids")/SUMIFS('Key inputs_EB_TRA'!W$15:W$38,'Key inputs_EB_TRA'!$B$15:$B$38,"Pipeline - Natural gas liquids")),"")</f>
        <v>0</v>
      </c>
      <c r="AD43" s="173" t="str">
        <f>IFERROR(IF(AND(SUMIFS('Key inputs_EB_TRA'!X$15:X$38,'Key inputs_EB_TRA'!$C$15:$C$38,$C43,'Key inputs_EB_TRA'!$B$15:$B$38,"Pipeline - Natural gas liquids")/SUMIFS('Key inputs_EB_TRA'!X$15:X$38,'Key inputs_EB_TRA'!$B$15:$B$38,"Pipeline - Natural gas liquids")&gt;0,SUMIFS('Key inputs_EB_TRA'!X$15:X$38,'Key inputs_EB_TRA'!$C$15:$C$38,$C43,'Key inputs_EB_TRA'!$B$15:$B$38,"Pipeline - Natural gas liquids")/SUMIFS('Key inputs_EB_TRA'!X$15:X$38,'Key inputs_EB_TRA'!$B$15:$B$38,"Pipeline - Natural gas liquids")&lt;0.001),0.001,SUMIFS('Key inputs_EB_TRA'!X$15:X$38,'Key inputs_EB_TRA'!$C$15:$C$38,$C43,'Key inputs_EB_TRA'!$B$15:$B$38,"Pipeline - Natural gas liquids")/SUMIFS('Key inputs_EB_TRA'!X$15:X$38,'Key inputs_EB_TRA'!$B$15:$B$38,"Pipeline - Natural gas liquids")),"")</f>
        <v/>
      </c>
      <c r="AE43" s="173">
        <f>IFERROR(IF(AND(SUMIFS('Key inputs_EB_TRA'!Y$15:Y$38,'Key inputs_EB_TRA'!$C$15:$C$38,$C43,'Key inputs_EB_TRA'!$B$15:$B$38,"Pipeline - Natural gas liquids")/SUMIFS('Key inputs_EB_TRA'!Y$15:Y$38,'Key inputs_EB_TRA'!$B$15:$B$38,"Pipeline - Natural gas liquids")&gt;0,SUMIFS('Key inputs_EB_TRA'!Y$15:Y$38,'Key inputs_EB_TRA'!$C$15:$C$38,$C43,'Key inputs_EB_TRA'!$B$15:$B$38,"Pipeline - Natural gas liquids")/SUMIFS('Key inputs_EB_TRA'!Y$15:Y$38,'Key inputs_EB_TRA'!$B$15:$B$38,"Pipeline - Natural gas liquids")&lt;0.001),0.001,SUMIFS('Key inputs_EB_TRA'!Y$15:Y$38,'Key inputs_EB_TRA'!$C$15:$C$38,$C43,'Key inputs_EB_TRA'!$B$15:$B$38,"Pipeline - Natural gas liquids")/SUMIFS('Key inputs_EB_TRA'!Y$15:Y$38,'Key inputs_EB_TRA'!$B$15:$B$38,"Pipeline - Natural gas liquids")),"")</f>
        <v>0</v>
      </c>
      <c r="AF43" s="173">
        <f>IFERROR(IF(AND(SUMIFS('Key inputs_EB_TRA'!Z$15:Z$38,'Key inputs_EB_TRA'!$C$15:$C$38,$C43,'Key inputs_EB_TRA'!$B$15:$B$38,"Pipeline - Natural gas liquids")/SUMIFS('Key inputs_EB_TRA'!Z$15:Z$38,'Key inputs_EB_TRA'!$B$15:$B$38,"Pipeline - Natural gas liquids")&gt;0,SUMIFS('Key inputs_EB_TRA'!Z$15:Z$38,'Key inputs_EB_TRA'!$C$15:$C$38,$C43,'Key inputs_EB_TRA'!$B$15:$B$38,"Pipeline - Natural gas liquids")/SUMIFS('Key inputs_EB_TRA'!Z$15:Z$38,'Key inputs_EB_TRA'!$B$15:$B$38,"Pipeline - Natural gas liquids")&lt;0.001),0.001,SUMIFS('Key inputs_EB_TRA'!Z$15:Z$38,'Key inputs_EB_TRA'!$C$15:$C$38,$C43,'Key inputs_EB_TRA'!$B$15:$B$38,"Pipeline - Natural gas liquids")/SUMIFS('Key inputs_EB_TRA'!Z$15:Z$38,'Key inputs_EB_TRA'!$B$15:$B$38,"Pipeline - Natural gas liquids")),"")</f>
        <v>8.8227837403870538E-2</v>
      </c>
      <c r="AG43" s="173">
        <f>IFERROR(IF(AND(SUMIFS('Key inputs_EB_TRA'!AA$15:AA$38,'Key inputs_EB_TRA'!$C$15:$C$38,$C43,'Key inputs_EB_TRA'!$B$15:$B$38,"Pipeline - Natural gas liquids")/SUMIFS('Key inputs_EB_TRA'!AA$15:AA$38,'Key inputs_EB_TRA'!$B$15:$B$38,"Pipeline - Natural gas liquids")&gt;0,SUMIFS('Key inputs_EB_TRA'!AA$15:AA$38,'Key inputs_EB_TRA'!$C$15:$C$38,$C43,'Key inputs_EB_TRA'!$B$15:$B$38,"Pipeline - Natural gas liquids")/SUMIFS('Key inputs_EB_TRA'!AA$15:AA$38,'Key inputs_EB_TRA'!$B$15:$B$38,"Pipeline - Natural gas liquids")&lt;0.001),0.001,SUMIFS('Key inputs_EB_TRA'!AA$15:AA$38,'Key inputs_EB_TRA'!$C$15:$C$38,$C43,'Key inputs_EB_TRA'!$B$15:$B$38,"Pipeline - Natural gas liquids")/SUMIFS('Key inputs_EB_TRA'!AA$15:AA$38,'Key inputs_EB_TRA'!$B$15:$B$38,"Pipeline - Natural gas liquids")),"")</f>
        <v>0</v>
      </c>
      <c r="AH43" s="173" t="str">
        <f>IFERROR(IF(AND(SUMIFS('Key inputs_EB_TRA'!AB$15:AB$38,'Key inputs_EB_TRA'!$C$15:$C$38,$C43,'Key inputs_EB_TRA'!$B$15:$B$38,"Pipeline - Natural gas liquids")/SUMIFS('Key inputs_EB_TRA'!AB$15:AB$38,'Key inputs_EB_TRA'!$B$15:$B$38,"Pipeline - Natural gas liquids")&gt;0,SUMIFS('Key inputs_EB_TRA'!AB$15:AB$38,'Key inputs_EB_TRA'!$C$15:$C$38,$C43,'Key inputs_EB_TRA'!$B$15:$B$38,"Pipeline - Natural gas liquids")/SUMIFS('Key inputs_EB_TRA'!AB$15:AB$38,'Key inputs_EB_TRA'!$B$15:$B$38,"Pipeline - Natural gas liquids")&lt;0.001),0.001,SUMIFS('Key inputs_EB_TRA'!AB$15:AB$38,'Key inputs_EB_TRA'!$C$15:$C$38,$C43,'Key inputs_EB_TRA'!$B$15:$B$38,"Pipeline - Natural gas liquids")/SUMIFS('Key inputs_EB_TRA'!AB$15:AB$38,'Key inputs_EB_TRA'!$B$15:$B$38,"Pipeline - Natural gas liquids")),"")</f>
        <v/>
      </c>
      <c r="AI43" s="173" t="str">
        <f>IFERROR(IF(AND(SUMIFS('Key inputs_EB_TRA'!AC$15:AC$38,'Key inputs_EB_TRA'!$C$15:$C$38,$C43,'Key inputs_EB_TRA'!$B$15:$B$38,"Pipeline - Natural gas liquids")/SUMIFS('Key inputs_EB_TRA'!AC$15:AC$38,'Key inputs_EB_TRA'!$B$15:$B$38,"Pipeline - Natural gas liquids")&gt;0,SUMIFS('Key inputs_EB_TRA'!AC$15:AC$38,'Key inputs_EB_TRA'!$C$15:$C$38,$C43,'Key inputs_EB_TRA'!$B$15:$B$38,"Pipeline - Natural gas liquids")/SUMIFS('Key inputs_EB_TRA'!AC$15:AC$38,'Key inputs_EB_TRA'!$B$15:$B$38,"Pipeline - Natural gas liquids")&lt;0.001),0.001,SUMIFS('Key inputs_EB_TRA'!AC$15:AC$38,'Key inputs_EB_TRA'!$C$15:$C$38,$C43,'Key inputs_EB_TRA'!$B$15:$B$38,"Pipeline - Natural gas liquids")/SUMIFS('Key inputs_EB_TRA'!AC$15:AC$38,'Key inputs_EB_TRA'!$B$15:$B$38,"Pipeline - Natural gas liquids")),"")</f>
        <v/>
      </c>
      <c r="AJ43" s="173">
        <f>IFERROR(IF(AND(SUMIFS('Key inputs_EB_TRA'!AD$15:AD$38,'Key inputs_EB_TRA'!$C$15:$C$38,$C43,'Key inputs_EB_TRA'!$B$15:$B$38,"Pipeline - Natural gas liquids")/SUMIFS('Key inputs_EB_TRA'!AD$15:AD$38,'Key inputs_EB_TRA'!$B$15:$B$38,"Pipeline - Natural gas liquids")&gt;0,SUMIFS('Key inputs_EB_TRA'!AD$15:AD$38,'Key inputs_EB_TRA'!$C$15:$C$38,$C43,'Key inputs_EB_TRA'!$B$15:$B$38,"Pipeline - Natural gas liquids")/SUMIFS('Key inputs_EB_TRA'!AD$15:AD$38,'Key inputs_EB_TRA'!$B$15:$B$38,"Pipeline - Natural gas liquids")&lt;0.001),0.001,SUMIFS('Key inputs_EB_TRA'!AD$15:AD$38,'Key inputs_EB_TRA'!$C$15:$C$38,$C43,'Key inputs_EB_TRA'!$B$15:$B$38,"Pipeline - Natural gas liquids")/SUMIFS('Key inputs_EB_TRA'!AD$15:AD$38,'Key inputs_EB_TRA'!$B$15:$B$38,"Pipeline - Natural gas liquids")),"")</f>
        <v>6.438393625441774E-2</v>
      </c>
      <c r="AK43" s="173" t="str">
        <f>IFERROR(IF(AND(SUMIFS('Key inputs_EB_TRA'!AE$15:AE$38,'Key inputs_EB_TRA'!$C$15:$C$38,$C43,'Key inputs_EB_TRA'!$B$15:$B$38,"Pipeline - Natural gas liquids")/SUMIFS('Key inputs_EB_TRA'!AE$15:AE$38,'Key inputs_EB_TRA'!$B$15:$B$38,"Pipeline - Natural gas liquids")&gt;0,SUMIFS('Key inputs_EB_TRA'!AE$15:AE$38,'Key inputs_EB_TRA'!$C$15:$C$38,$C43,'Key inputs_EB_TRA'!$B$15:$B$38,"Pipeline - Natural gas liquids")/SUMIFS('Key inputs_EB_TRA'!AE$15:AE$38,'Key inputs_EB_TRA'!$B$15:$B$38,"Pipeline - Natural gas liquids")&lt;0.001),0.001,SUMIFS('Key inputs_EB_TRA'!AE$15:AE$38,'Key inputs_EB_TRA'!$C$15:$C$38,$C43,'Key inputs_EB_TRA'!$B$15:$B$38,"Pipeline - Natural gas liquids")/SUMIFS('Key inputs_EB_TRA'!AE$15:AE$38,'Key inputs_EB_TRA'!$B$15:$B$38,"Pipeline - Natural gas liquids")),"")</f>
        <v/>
      </c>
      <c r="AL43" s="173">
        <f>IFERROR(IF(AND(SUMIFS('Key inputs_EB_TRA'!AF$15:AF$38,'Key inputs_EB_TRA'!$C$15:$C$38,$C43,'Key inputs_EB_TRA'!$B$15:$B$38,"Pipeline - Natural gas liquids")/SUMIFS('Key inputs_EB_TRA'!AF$15:AF$38,'Key inputs_EB_TRA'!$B$15:$B$38,"Pipeline - Natural gas liquids")&gt;0,SUMIFS('Key inputs_EB_TRA'!AF$15:AF$38,'Key inputs_EB_TRA'!$C$15:$C$38,$C43,'Key inputs_EB_TRA'!$B$15:$B$38,"Pipeline - Natural gas liquids")/SUMIFS('Key inputs_EB_TRA'!AF$15:AF$38,'Key inputs_EB_TRA'!$B$15:$B$38,"Pipeline - Natural gas liquids")&lt;0.001),0.001,SUMIFS('Key inputs_EB_TRA'!AF$15:AF$38,'Key inputs_EB_TRA'!$C$15:$C$38,$C43,'Key inputs_EB_TRA'!$B$15:$B$38,"Pipeline - Natural gas liquids")/SUMIFS('Key inputs_EB_TRA'!AF$15:AF$38,'Key inputs_EB_TRA'!$B$15:$B$38,"Pipeline - Natural gas liquids")),"")</f>
        <v>0</v>
      </c>
    </row>
    <row r="44" spans="3:38">
      <c r="C44" t="str">
        <f>Commodities!$C$92</f>
        <v>UPSGAS</v>
      </c>
      <c r="F44" s="4" t="s">
        <v>359</v>
      </c>
      <c r="G44" s="4" t="s">
        <v>702</v>
      </c>
      <c r="H44" t="s">
        <v>661</v>
      </c>
      <c r="I44">
        <v>2019</v>
      </c>
      <c r="J44" t="s">
        <v>650</v>
      </c>
      <c r="K44" s="173" t="str">
        <f>IFERROR(IF(AND(SUMIFS('Key inputs_EB_TRA'!E$15:E$38,'Key inputs_EB_TRA'!$C$15:$C$38,$C44,'Key inputs_EB_TRA'!$B$15:$B$38,"Pipeline - Natural gas liquids")/SUMIFS('Key inputs_EB_TRA'!E$15:E$38,'Key inputs_EB_TRA'!$B$15:$B$38,"Pipeline - Natural gas liquids")&gt;0,SUMIFS('Key inputs_EB_TRA'!E$15:E$38,'Key inputs_EB_TRA'!$C$15:$C$38,$C44,'Key inputs_EB_TRA'!$B$15:$B$38,"Pipeline - Natural gas liquids")/SUMIFS('Key inputs_EB_TRA'!E$15:E$38,'Key inputs_EB_TRA'!$B$15:$B$38,"Pipeline - Natural gas liquids")&lt;0.001),0.001,SUMIFS('Key inputs_EB_TRA'!E$15:E$38,'Key inputs_EB_TRA'!$C$15:$C$38,$C44,'Key inputs_EB_TRA'!$B$15:$B$38,"Pipeline - Natural gas liquids")/SUMIFS('Key inputs_EB_TRA'!E$15:E$38,'Key inputs_EB_TRA'!$B$15:$B$38,"Pipeline - Natural gas liquids")),"")</f>
        <v/>
      </c>
      <c r="L44" s="173">
        <f>IFERROR(IF(AND(SUMIFS('Key inputs_EB_TRA'!F$15:F$38,'Key inputs_EB_TRA'!$C$15:$C$38,$C44,'Key inputs_EB_TRA'!$B$15:$B$38,"Pipeline - Natural gas liquids")/SUMIFS('Key inputs_EB_TRA'!F$15:F$38,'Key inputs_EB_TRA'!$B$15:$B$38,"Pipeline - Natural gas liquids")&gt;0,SUMIFS('Key inputs_EB_TRA'!F$15:F$38,'Key inputs_EB_TRA'!$C$15:$C$38,$C44,'Key inputs_EB_TRA'!$B$15:$B$38,"Pipeline - Natural gas liquids")/SUMIFS('Key inputs_EB_TRA'!F$15:F$38,'Key inputs_EB_TRA'!$B$15:$B$38,"Pipeline - Natural gas liquids")&lt;0.001),0.001,SUMIFS('Key inputs_EB_TRA'!F$15:F$38,'Key inputs_EB_TRA'!$C$15:$C$38,$C44,'Key inputs_EB_TRA'!$B$15:$B$38,"Pipeline - Natural gas liquids")/SUMIFS('Key inputs_EB_TRA'!F$15:F$38,'Key inputs_EB_TRA'!$B$15:$B$38,"Pipeline - Natural gas liquids")),"")</f>
        <v>0.97666666666666657</v>
      </c>
      <c r="M44" s="173">
        <f>IFERROR(IF(AND(SUMIFS('Key inputs_EB_TRA'!G$15:G$38,'Key inputs_EB_TRA'!$C$15:$C$38,$C44,'Key inputs_EB_TRA'!$B$15:$B$38,"Pipeline - Natural gas liquids")/SUMIFS('Key inputs_EB_TRA'!G$15:G$38,'Key inputs_EB_TRA'!$B$15:$B$38,"Pipeline - Natural gas liquids")&gt;0,SUMIFS('Key inputs_EB_TRA'!G$15:G$38,'Key inputs_EB_TRA'!$C$15:$C$38,$C44,'Key inputs_EB_TRA'!$B$15:$B$38,"Pipeline - Natural gas liquids")/SUMIFS('Key inputs_EB_TRA'!G$15:G$38,'Key inputs_EB_TRA'!$B$15:$B$38,"Pipeline - Natural gas liquids")&lt;0.001),0.001,SUMIFS('Key inputs_EB_TRA'!G$15:G$38,'Key inputs_EB_TRA'!$C$15:$C$38,$C44,'Key inputs_EB_TRA'!$B$15:$B$38,"Pipeline - Natural gas liquids")/SUMIFS('Key inputs_EB_TRA'!G$15:G$38,'Key inputs_EB_TRA'!$B$15:$B$38,"Pipeline - Natural gas liquids")),"")</f>
        <v>0</v>
      </c>
      <c r="N44" s="173">
        <f>IFERROR(IF(AND(SUMIFS('Key inputs_EB_TRA'!H$15:H$38,'Key inputs_EB_TRA'!$C$15:$C$38,$C44,'Key inputs_EB_TRA'!$B$15:$B$38,"Pipeline - Natural gas liquids")/SUMIFS('Key inputs_EB_TRA'!H$15:H$38,'Key inputs_EB_TRA'!$B$15:$B$38,"Pipeline - Natural gas liquids")&gt;0,SUMIFS('Key inputs_EB_TRA'!H$15:H$38,'Key inputs_EB_TRA'!$C$15:$C$38,$C44,'Key inputs_EB_TRA'!$B$15:$B$38,"Pipeline - Natural gas liquids")/SUMIFS('Key inputs_EB_TRA'!H$15:H$38,'Key inputs_EB_TRA'!$B$15:$B$38,"Pipeline - Natural gas liquids")&lt;0.001),0.001,SUMIFS('Key inputs_EB_TRA'!H$15:H$38,'Key inputs_EB_TRA'!$C$15:$C$38,$C44,'Key inputs_EB_TRA'!$B$15:$B$38,"Pipeline - Natural gas liquids")/SUMIFS('Key inputs_EB_TRA'!H$15:H$38,'Key inputs_EB_TRA'!$B$15:$B$38,"Pipeline - Natural gas liquids")),"")</f>
        <v>0</v>
      </c>
      <c r="O44" s="173">
        <f>IFERROR(IF(AND(SUMIFS('Key inputs_EB_TRA'!I$15:I$38,'Key inputs_EB_TRA'!$C$15:$C$38,$C44,'Key inputs_EB_TRA'!$B$15:$B$38,"Pipeline - Natural gas liquids")/SUMIFS('Key inputs_EB_TRA'!I$15:I$38,'Key inputs_EB_TRA'!$B$15:$B$38,"Pipeline - Natural gas liquids")&gt;0,SUMIFS('Key inputs_EB_TRA'!I$15:I$38,'Key inputs_EB_TRA'!$C$15:$C$38,$C44,'Key inputs_EB_TRA'!$B$15:$B$38,"Pipeline - Natural gas liquids")/SUMIFS('Key inputs_EB_TRA'!I$15:I$38,'Key inputs_EB_TRA'!$B$15:$B$38,"Pipeline - Natural gas liquids")&lt;0.001),0.001,SUMIFS('Key inputs_EB_TRA'!I$15:I$38,'Key inputs_EB_TRA'!$C$15:$C$38,$C44,'Key inputs_EB_TRA'!$B$15:$B$38,"Pipeline - Natural gas liquids")/SUMIFS('Key inputs_EB_TRA'!I$15:I$38,'Key inputs_EB_TRA'!$B$15:$B$38,"Pipeline - Natural gas liquids")),"")</f>
        <v>0.95221863777466675</v>
      </c>
      <c r="P44" s="173">
        <f>IFERROR(IF(AND(SUMIFS('Key inputs_EB_TRA'!J$15:J$38,'Key inputs_EB_TRA'!$C$15:$C$38,$C44,'Key inputs_EB_TRA'!$B$15:$B$38,"Pipeline - Natural gas liquids")/SUMIFS('Key inputs_EB_TRA'!J$15:J$38,'Key inputs_EB_TRA'!$B$15:$B$38,"Pipeline - Natural gas liquids")&gt;0,SUMIFS('Key inputs_EB_TRA'!J$15:J$38,'Key inputs_EB_TRA'!$C$15:$C$38,$C44,'Key inputs_EB_TRA'!$B$15:$B$38,"Pipeline - Natural gas liquids")/SUMIFS('Key inputs_EB_TRA'!J$15:J$38,'Key inputs_EB_TRA'!$B$15:$B$38,"Pipeline - Natural gas liquids")&lt;0.001),0.001,SUMIFS('Key inputs_EB_TRA'!J$15:J$38,'Key inputs_EB_TRA'!$C$15:$C$38,$C44,'Key inputs_EB_TRA'!$B$15:$B$38,"Pipeline - Natural gas liquids")/SUMIFS('Key inputs_EB_TRA'!J$15:J$38,'Key inputs_EB_TRA'!$B$15:$B$38,"Pipeline - Natural gas liquids")),"")</f>
        <v>0.97013945857260042</v>
      </c>
      <c r="Q44" s="173" t="str">
        <f>IFERROR(IF(AND(SUMIFS('Key inputs_EB_TRA'!K$15:K$38,'Key inputs_EB_TRA'!$C$15:$C$38,$C44,'Key inputs_EB_TRA'!$B$15:$B$38,"Pipeline - Natural gas liquids")/SUMIFS('Key inputs_EB_TRA'!K$15:K$38,'Key inputs_EB_TRA'!$B$15:$B$38,"Pipeline - Natural gas liquids")&gt;0,SUMIFS('Key inputs_EB_TRA'!K$15:K$38,'Key inputs_EB_TRA'!$C$15:$C$38,$C44,'Key inputs_EB_TRA'!$B$15:$B$38,"Pipeline - Natural gas liquids")/SUMIFS('Key inputs_EB_TRA'!K$15:K$38,'Key inputs_EB_TRA'!$B$15:$B$38,"Pipeline - Natural gas liquids")&lt;0.001),0.001,SUMIFS('Key inputs_EB_TRA'!K$15:K$38,'Key inputs_EB_TRA'!$C$15:$C$38,$C44,'Key inputs_EB_TRA'!$B$15:$B$38,"Pipeline - Natural gas liquids")/SUMIFS('Key inputs_EB_TRA'!K$15:K$38,'Key inputs_EB_TRA'!$B$15:$B$38,"Pipeline - Natural gas liquids")),"")</f>
        <v/>
      </c>
      <c r="R44" s="173" t="str">
        <f>IFERROR(IF(AND(SUMIFS('Key inputs_EB_TRA'!L$15:L$38,'Key inputs_EB_TRA'!$C$15:$C$38,$C44,'Key inputs_EB_TRA'!$B$15:$B$38,"Pipeline - Natural gas liquids")/SUMIFS('Key inputs_EB_TRA'!L$15:L$38,'Key inputs_EB_TRA'!$B$15:$B$38,"Pipeline - Natural gas liquids")&gt;0,SUMIFS('Key inputs_EB_TRA'!L$15:L$38,'Key inputs_EB_TRA'!$C$15:$C$38,$C44,'Key inputs_EB_TRA'!$B$15:$B$38,"Pipeline - Natural gas liquids")/SUMIFS('Key inputs_EB_TRA'!L$15:L$38,'Key inputs_EB_TRA'!$B$15:$B$38,"Pipeline - Natural gas liquids")&lt;0.001),0.001,SUMIFS('Key inputs_EB_TRA'!L$15:L$38,'Key inputs_EB_TRA'!$C$15:$C$38,$C44,'Key inputs_EB_TRA'!$B$15:$B$38,"Pipeline - Natural gas liquids")/SUMIFS('Key inputs_EB_TRA'!L$15:L$38,'Key inputs_EB_TRA'!$B$15:$B$38,"Pipeline - Natural gas liquids")),"")</f>
        <v/>
      </c>
      <c r="S44" s="173" t="str">
        <f>IFERROR(IF(AND(SUMIFS('Key inputs_EB_TRA'!M$15:M$38,'Key inputs_EB_TRA'!$C$15:$C$38,$C44,'Key inputs_EB_TRA'!$B$15:$B$38,"Pipeline - Natural gas liquids")/SUMIFS('Key inputs_EB_TRA'!M$15:M$38,'Key inputs_EB_TRA'!$B$15:$B$38,"Pipeline - Natural gas liquids")&gt;0,SUMIFS('Key inputs_EB_TRA'!M$15:M$38,'Key inputs_EB_TRA'!$C$15:$C$38,$C44,'Key inputs_EB_TRA'!$B$15:$B$38,"Pipeline - Natural gas liquids")/SUMIFS('Key inputs_EB_TRA'!M$15:M$38,'Key inputs_EB_TRA'!$B$15:$B$38,"Pipeline - Natural gas liquids")&lt;0.001),0.001,SUMIFS('Key inputs_EB_TRA'!M$15:M$38,'Key inputs_EB_TRA'!$C$15:$C$38,$C44,'Key inputs_EB_TRA'!$B$15:$B$38,"Pipeline - Natural gas liquids")/SUMIFS('Key inputs_EB_TRA'!M$15:M$38,'Key inputs_EB_TRA'!$B$15:$B$38,"Pipeline - Natural gas liquids")),"")</f>
        <v/>
      </c>
      <c r="T44" s="173">
        <f>IFERROR(IF(AND(SUMIFS('Key inputs_EB_TRA'!N$15:N$38,'Key inputs_EB_TRA'!$C$15:$C$38,$C44,'Key inputs_EB_TRA'!$B$15:$B$38,"Pipeline - Natural gas liquids")/SUMIFS('Key inputs_EB_TRA'!N$15:N$38,'Key inputs_EB_TRA'!$B$15:$B$38,"Pipeline - Natural gas liquids")&gt;0,SUMIFS('Key inputs_EB_TRA'!N$15:N$38,'Key inputs_EB_TRA'!$C$15:$C$38,$C44,'Key inputs_EB_TRA'!$B$15:$B$38,"Pipeline - Natural gas liquids")/SUMIFS('Key inputs_EB_TRA'!N$15:N$38,'Key inputs_EB_TRA'!$B$15:$B$38,"Pipeline - Natural gas liquids")&lt;0.001),0.001,SUMIFS('Key inputs_EB_TRA'!N$15:N$38,'Key inputs_EB_TRA'!$C$15:$C$38,$C44,'Key inputs_EB_TRA'!$B$15:$B$38,"Pipeline - Natural gas liquids")/SUMIFS('Key inputs_EB_TRA'!N$15:N$38,'Key inputs_EB_TRA'!$B$15:$B$38,"Pipeline - Natural gas liquids")),"")</f>
        <v>0.86151315407061224</v>
      </c>
      <c r="U44" s="173" t="str">
        <f>IFERROR(IF(AND(SUMIFS('Key inputs_EB_TRA'!O$15:O$38,'Key inputs_EB_TRA'!$C$15:$C$38,$C44,'Key inputs_EB_TRA'!$B$15:$B$38,"Pipeline - Natural gas liquids")/SUMIFS('Key inputs_EB_TRA'!O$15:O$38,'Key inputs_EB_TRA'!$B$15:$B$38,"Pipeline - Natural gas liquids")&gt;0,SUMIFS('Key inputs_EB_TRA'!O$15:O$38,'Key inputs_EB_TRA'!$C$15:$C$38,$C44,'Key inputs_EB_TRA'!$B$15:$B$38,"Pipeline - Natural gas liquids")/SUMIFS('Key inputs_EB_TRA'!O$15:O$38,'Key inputs_EB_TRA'!$B$15:$B$38,"Pipeline - Natural gas liquids")&lt;0.001),0.001,SUMIFS('Key inputs_EB_TRA'!O$15:O$38,'Key inputs_EB_TRA'!$C$15:$C$38,$C44,'Key inputs_EB_TRA'!$B$15:$B$38,"Pipeline - Natural gas liquids")/SUMIFS('Key inputs_EB_TRA'!O$15:O$38,'Key inputs_EB_TRA'!$B$15:$B$38,"Pipeline - Natural gas liquids")),"")</f>
        <v/>
      </c>
      <c r="V44" s="173" t="str">
        <f>IFERROR(IF(AND(SUMIFS('Key inputs_EB_TRA'!P$15:P$38,'Key inputs_EB_TRA'!$C$15:$C$38,$C44,'Key inputs_EB_TRA'!$B$15:$B$38,"Pipeline - Natural gas liquids")/SUMIFS('Key inputs_EB_TRA'!P$15:P$38,'Key inputs_EB_TRA'!$B$15:$B$38,"Pipeline - Natural gas liquids")&gt;0,SUMIFS('Key inputs_EB_TRA'!P$15:P$38,'Key inputs_EB_TRA'!$C$15:$C$38,$C44,'Key inputs_EB_TRA'!$B$15:$B$38,"Pipeline - Natural gas liquids")/SUMIFS('Key inputs_EB_TRA'!P$15:P$38,'Key inputs_EB_TRA'!$B$15:$B$38,"Pipeline - Natural gas liquids")&lt;0.001),0.001,SUMIFS('Key inputs_EB_TRA'!P$15:P$38,'Key inputs_EB_TRA'!$C$15:$C$38,$C44,'Key inputs_EB_TRA'!$B$15:$B$38,"Pipeline - Natural gas liquids")/SUMIFS('Key inputs_EB_TRA'!P$15:P$38,'Key inputs_EB_TRA'!$B$15:$B$38,"Pipeline - Natural gas liquids")),"")</f>
        <v/>
      </c>
      <c r="W44" s="173">
        <f>IFERROR(IF(AND(SUMIFS('Key inputs_EB_TRA'!Q$15:Q$38,'Key inputs_EB_TRA'!$C$15:$C$38,$C44,'Key inputs_EB_TRA'!$B$15:$B$38,"Pipeline - Natural gas liquids")/SUMIFS('Key inputs_EB_TRA'!Q$15:Q$38,'Key inputs_EB_TRA'!$B$15:$B$38,"Pipeline - Natural gas liquids")&gt;0,SUMIFS('Key inputs_EB_TRA'!Q$15:Q$38,'Key inputs_EB_TRA'!$C$15:$C$38,$C44,'Key inputs_EB_TRA'!$B$15:$B$38,"Pipeline - Natural gas liquids")/SUMIFS('Key inputs_EB_TRA'!Q$15:Q$38,'Key inputs_EB_TRA'!$B$15:$B$38,"Pipeline - Natural gas liquids")&lt;0.001),0.001,SUMIFS('Key inputs_EB_TRA'!Q$15:Q$38,'Key inputs_EB_TRA'!$C$15:$C$38,$C44,'Key inputs_EB_TRA'!$B$15:$B$38,"Pipeline - Natural gas liquids")/SUMIFS('Key inputs_EB_TRA'!Q$15:Q$38,'Key inputs_EB_TRA'!$B$15:$B$38,"Pipeline - Natural gas liquids")),"")</f>
        <v>0.97169661894608583</v>
      </c>
      <c r="X44" s="173">
        <f>IFERROR(IF(AND(SUMIFS('Key inputs_EB_TRA'!R$15:R$38,'Key inputs_EB_TRA'!$C$15:$C$38,$C44,'Key inputs_EB_TRA'!$B$15:$B$38,"Pipeline - Natural gas liquids")/SUMIFS('Key inputs_EB_TRA'!R$15:R$38,'Key inputs_EB_TRA'!$B$15:$B$38,"Pipeline - Natural gas liquids")&gt;0,SUMIFS('Key inputs_EB_TRA'!R$15:R$38,'Key inputs_EB_TRA'!$C$15:$C$38,$C44,'Key inputs_EB_TRA'!$B$15:$B$38,"Pipeline - Natural gas liquids")/SUMIFS('Key inputs_EB_TRA'!R$15:R$38,'Key inputs_EB_TRA'!$B$15:$B$38,"Pipeline - Natural gas liquids")&lt;0.001),0.001,SUMIFS('Key inputs_EB_TRA'!R$15:R$38,'Key inputs_EB_TRA'!$C$15:$C$38,$C44,'Key inputs_EB_TRA'!$B$15:$B$38,"Pipeline - Natural gas liquids")/SUMIFS('Key inputs_EB_TRA'!R$15:R$38,'Key inputs_EB_TRA'!$B$15:$B$38,"Pipeline - Natural gas liquids")),"")</f>
        <v>1</v>
      </c>
      <c r="Y44" s="173">
        <f>IFERROR(IF(AND(SUMIFS('Key inputs_EB_TRA'!S$15:S$38,'Key inputs_EB_TRA'!$C$15:$C$38,$C44,'Key inputs_EB_TRA'!$B$15:$B$38,"Pipeline - Natural gas liquids")/SUMIFS('Key inputs_EB_TRA'!S$15:S$38,'Key inputs_EB_TRA'!$B$15:$B$38,"Pipeline - Natural gas liquids")&gt;0,SUMIFS('Key inputs_EB_TRA'!S$15:S$38,'Key inputs_EB_TRA'!$C$15:$C$38,$C44,'Key inputs_EB_TRA'!$B$15:$B$38,"Pipeline - Natural gas liquids")/SUMIFS('Key inputs_EB_TRA'!S$15:S$38,'Key inputs_EB_TRA'!$B$15:$B$38,"Pipeline - Natural gas liquids")&lt;0.001),0.001,SUMIFS('Key inputs_EB_TRA'!S$15:S$38,'Key inputs_EB_TRA'!$C$15:$C$38,$C44,'Key inputs_EB_TRA'!$B$15:$B$38,"Pipeline - Natural gas liquids")/SUMIFS('Key inputs_EB_TRA'!S$15:S$38,'Key inputs_EB_TRA'!$B$15:$B$38,"Pipeline - Natural gas liquids")),"")</f>
        <v>0.95548631204095269</v>
      </c>
      <c r="Z44" s="173">
        <f>IFERROR(IF(AND(SUMIFS('Key inputs_EB_TRA'!T$15:T$38,'Key inputs_EB_TRA'!$C$15:$C$38,$C44,'Key inputs_EB_TRA'!$B$15:$B$38,"Pipeline - Natural gas liquids")/SUMIFS('Key inputs_EB_TRA'!T$15:T$38,'Key inputs_EB_TRA'!$B$15:$B$38,"Pipeline - Natural gas liquids")&gt;0,SUMIFS('Key inputs_EB_TRA'!T$15:T$38,'Key inputs_EB_TRA'!$C$15:$C$38,$C44,'Key inputs_EB_TRA'!$B$15:$B$38,"Pipeline - Natural gas liquids")/SUMIFS('Key inputs_EB_TRA'!T$15:T$38,'Key inputs_EB_TRA'!$B$15:$B$38,"Pipeline - Natural gas liquids")&lt;0.001),0.001,SUMIFS('Key inputs_EB_TRA'!T$15:T$38,'Key inputs_EB_TRA'!$C$15:$C$38,$C44,'Key inputs_EB_TRA'!$B$15:$B$38,"Pipeline - Natural gas liquids")/SUMIFS('Key inputs_EB_TRA'!T$15:T$38,'Key inputs_EB_TRA'!$B$15:$B$38,"Pipeline - Natural gas liquids")),"")</f>
        <v>0.68473272138228936</v>
      </c>
      <c r="AA44" s="173">
        <f>IFERROR(IF(AND(SUMIFS('Key inputs_EB_TRA'!U$15:U$38,'Key inputs_EB_TRA'!$C$15:$C$38,$C44,'Key inputs_EB_TRA'!$B$15:$B$38,"Pipeline - Natural gas liquids")/SUMIFS('Key inputs_EB_TRA'!U$15:U$38,'Key inputs_EB_TRA'!$B$15:$B$38,"Pipeline - Natural gas liquids")&gt;0,SUMIFS('Key inputs_EB_TRA'!U$15:U$38,'Key inputs_EB_TRA'!$C$15:$C$38,$C44,'Key inputs_EB_TRA'!$B$15:$B$38,"Pipeline - Natural gas liquids")/SUMIFS('Key inputs_EB_TRA'!U$15:U$38,'Key inputs_EB_TRA'!$B$15:$B$38,"Pipeline - Natural gas liquids")&lt;0.001),0.001,SUMIFS('Key inputs_EB_TRA'!U$15:U$38,'Key inputs_EB_TRA'!$C$15:$C$38,$C44,'Key inputs_EB_TRA'!$B$15:$B$38,"Pipeline - Natural gas liquids")/SUMIFS('Key inputs_EB_TRA'!U$15:U$38,'Key inputs_EB_TRA'!$B$15:$B$38,"Pipeline - Natural gas liquids")),"")</f>
        <v>0.97620313409787096</v>
      </c>
      <c r="AB44" s="173" t="str">
        <f>IFERROR(IF(AND(SUMIFS('Key inputs_EB_TRA'!V$15:V$38,'Key inputs_EB_TRA'!$C$15:$C$38,$C44,'Key inputs_EB_TRA'!$B$15:$B$38,"Pipeline - Natural gas liquids")/SUMIFS('Key inputs_EB_TRA'!V$15:V$38,'Key inputs_EB_TRA'!$B$15:$B$38,"Pipeline - Natural gas liquids")&gt;0,SUMIFS('Key inputs_EB_TRA'!V$15:V$38,'Key inputs_EB_TRA'!$C$15:$C$38,$C44,'Key inputs_EB_TRA'!$B$15:$B$38,"Pipeline - Natural gas liquids")/SUMIFS('Key inputs_EB_TRA'!V$15:V$38,'Key inputs_EB_TRA'!$B$15:$B$38,"Pipeline - Natural gas liquids")&lt;0.001),0.001,SUMIFS('Key inputs_EB_TRA'!V$15:V$38,'Key inputs_EB_TRA'!$C$15:$C$38,$C44,'Key inputs_EB_TRA'!$B$15:$B$38,"Pipeline - Natural gas liquids")/SUMIFS('Key inputs_EB_TRA'!V$15:V$38,'Key inputs_EB_TRA'!$B$15:$B$38,"Pipeline - Natural gas liquids")),"")</f>
        <v/>
      </c>
      <c r="AC44" s="173">
        <f>IFERROR(IF(AND(SUMIFS('Key inputs_EB_TRA'!W$15:W$38,'Key inputs_EB_TRA'!$C$15:$C$38,$C44,'Key inputs_EB_TRA'!$B$15:$B$38,"Pipeline - Natural gas liquids")/SUMIFS('Key inputs_EB_TRA'!W$15:W$38,'Key inputs_EB_TRA'!$B$15:$B$38,"Pipeline - Natural gas liquids")&gt;0,SUMIFS('Key inputs_EB_TRA'!W$15:W$38,'Key inputs_EB_TRA'!$C$15:$C$38,$C44,'Key inputs_EB_TRA'!$B$15:$B$38,"Pipeline - Natural gas liquids")/SUMIFS('Key inputs_EB_TRA'!W$15:W$38,'Key inputs_EB_TRA'!$B$15:$B$38,"Pipeline - Natural gas liquids")&lt;0.001),0.001,SUMIFS('Key inputs_EB_TRA'!W$15:W$38,'Key inputs_EB_TRA'!$C$15:$C$38,$C44,'Key inputs_EB_TRA'!$B$15:$B$38,"Pipeline - Natural gas liquids")/SUMIFS('Key inputs_EB_TRA'!W$15:W$38,'Key inputs_EB_TRA'!$B$15:$B$38,"Pipeline - Natural gas liquids")),"")</f>
        <v>1</v>
      </c>
      <c r="AD44" s="173" t="str">
        <f>IFERROR(IF(AND(SUMIFS('Key inputs_EB_TRA'!X$15:X$38,'Key inputs_EB_TRA'!$C$15:$C$38,$C44,'Key inputs_EB_TRA'!$B$15:$B$38,"Pipeline - Natural gas liquids")/SUMIFS('Key inputs_EB_TRA'!X$15:X$38,'Key inputs_EB_TRA'!$B$15:$B$38,"Pipeline - Natural gas liquids")&gt;0,SUMIFS('Key inputs_EB_TRA'!X$15:X$38,'Key inputs_EB_TRA'!$C$15:$C$38,$C44,'Key inputs_EB_TRA'!$B$15:$B$38,"Pipeline - Natural gas liquids")/SUMIFS('Key inputs_EB_TRA'!X$15:X$38,'Key inputs_EB_TRA'!$B$15:$B$38,"Pipeline - Natural gas liquids")&lt;0.001),0.001,SUMIFS('Key inputs_EB_TRA'!X$15:X$38,'Key inputs_EB_TRA'!$C$15:$C$38,$C44,'Key inputs_EB_TRA'!$B$15:$B$38,"Pipeline - Natural gas liquids")/SUMIFS('Key inputs_EB_TRA'!X$15:X$38,'Key inputs_EB_TRA'!$B$15:$B$38,"Pipeline - Natural gas liquids")),"")</f>
        <v/>
      </c>
      <c r="AE44" s="173">
        <f>IFERROR(IF(AND(SUMIFS('Key inputs_EB_TRA'!Y$15:Y$38,'Key inputs_EB_TRA'!$C$15:$C$38,$C44,'Key inputs_EB_TRA'!$B$15:$B$38,"Pipeline - Natural gas liquids")/SUMIFS('Key inputs_EB_TRA'!Y$15:Y$38,'Key inputs_EB_TRA'!$B$15:$B$38,"Pipeline - Natural gas liquids")&gt;0,SUMIFS('Key inputs_EB_TRA'!Y$15:Y$38,'Key inputs_EB_TRA'!$C$15:$C$38,$C44,'Key inputs_EB_TRA'!$B$15:$B$38,"Pipeline - Natural gas liquids")/SUMIFS('Key inputs_EB_TRA'!Y$15:Y$38,'Key inputs_EB_TRA'!$B$15:$B$38,"Pipeline - Natural gas liquids")&lt;0.001),0.001,SUMIFS('Key inputs_EB_TRA'!Y$15:Y$38,'Key inputs_EB_TRA'!$C$15:$C$38,$C44,'Key inputs_EB_TRA'!$B$15:$B$38,"Pipeline - Natural gas liquids")/SUMIFS('Key inputs_EB_TRA'!Y$15:Y$38,'Key inputs_EB_TRA'!$B$15:$B$38,"Pipeline - Natural gas liquids")),"")</f>
        <v>1</v>
      </c>
      <c r="AF44" s="173">
        <f>IFERROR(IF(AND(SUMIFS('Key inputs_EB_TRA'!Z$15:Z$38,'Key inputs_EB_TRA'!$C$15:$C$38,$C44,'Key inputs_EB_TRA'!$B$15:$B$38,"Pipeline - Natural gas liquids")/SUMIFS('Key inputs_EB_TRA'!Z$15:Z$38,'Key inputs_EB_TRA'!$B$15:$B$38,"Pipeline - Natural gas liquids")&gt;0,SUMIFS('Key inputs_EB_TRA'!Z$15:Z$38,'Key inputs_EB_TRA'!$C$15:$C$38,$C44,'Key inputs_EB_TRA'!$B$15:$B$38,"Pipeline - Natural gas liquids")/SUMIFS('Key inputs_EB_TRA'!Z$15:Z$38,'Key inputs_EB_TRA'!$B$15:$B$38,"Pipeline - Natural gas liquids")&lt;0.001),0.001,SUMIFS('Key inputs_EB_TRA'!Z$15:Z$38,'Key inputs_EB_TRA'!$C$15:$C$38,$C44,'Key inputs_EB_TRA'!$B$15:$B$38,"Pipeline - Natural gas liquids")/SUMIFS('Key inputs_EB_TRA'!Z$15:Z$38,'Key inputs_EB_TRA'!$B$15:$B$38,"Pipeline - Natural gas liquids")),"")</f>
        <v>0.91177216259612959</v>
      </c>
      <c r="AG44" s="173">
        <f>IFERROR(IF(AND(SUMIFS('Key inputs_EB_TRA'!AA$15:AA$38,'Key inputs_EB_TRA'!$C$15:$C$38,$C44,'Key inputs_EB_TRA'!$B$15:$B$38,"Pipeline - Natural gas liquids")/SUMIFS('Key inputs_EB_TRA'!AA$15:AA$38,'Key inputs_EB_TRA'!$B$15:$B$38,"Pipeline - Natural gas liquids")&gt;0,SUMIFS('Key inputs_EB_TRA'!AA$15:AA$38,'Key inputs_EB_TRA'!$C$15:$C$38,$C44,'Key inputs_EB_TRA'!$B$15:$B$38,"Pipeline - Natural gas liquids")/SUMIFS('Key inputs_EB_TRA'!AA$15:AA$38,'Key inputs_EB_TRA'!$B$15:$B$38,"Pipeline - Natural gas liquids")&lt;0.001),0.001,SUMIFS('Key inputs_EB_TRA'!AA$15:AA$38,'Key inputs_EB_TRA'!$C$15:$C$38,$C44,'Key inputs_EB_TRA'!$B$15:$B$38,"Pipeline - Natural gas liquids")/SUMIFS('Key inputs_EB_TRA'!AA$15:AA$38,'Key inputs_EB_TRA'!$B$15:$B$38,"Pipeline - Natural gas liquids")),"")</f>
        <v>0.93213828425096024</v>
      </c>
      <c r="AH44" s="173" t="str">
        <f>IFERROR(IF(AND(SUMIFS('Key inputs_EB_TRA'!AB$15:AB$38,'Key inputs_EB_TRA'!$C$15:$C$38,$C44,'Key inputs_EB_TRA'!$B$15:$B$38,"Pipeline - Natural gas liquids")/SUMIFS('Key inputs_EB_TRA'!AB$15:AB$38,'Key inputs_EB_TRA'!$B$15:$B$38,"Pipeline - Natural gas liquids")&gt;0,SUMIFS('Key inputs_EB_TRA'!AB$15:AB$38,'Key inputs_EB_TRA'!$C$15:$C$38,$C44,'Key inputs_EB_TRA'!$B$15:$B$38,"Pipeline - Natural gas liquids")/SUMIFS('Key inputs_EB_TRA'!AB$15:AB$38,'Key inputs_EB_TRA'!$B$15:$B$38,"Pipeline - Natural gas liquids")&lt;0.001),0.001,SUMIFS('Key inputs_EB_TRA'!AB$15:AB$38,'Key inputs_EB_TRA'!$C$15:$C$38,$C44,'Key inputs_EB_TRA'!$B$15:$B$38,"Pipeline - Natural gas liquids")/SUMIFS('Key inputs_EB_TRA'!AB$15:AB$38,'Key inputs_EB_TRA'!$B$15:$B$38,"Pipeline - Natural gas liquids")),"")</f>
        <v/>
      </c>
      <c r="AI44" s="173" t="str">
        <f>IFERROR(IF(AND(SUMIFS('Key inputs_EB_TRA'!AC$15:AC$38,'Key inputs_EB_TRA'!$C$15:$C$38,$C44,'Key inputs_EB_TRA'!$B$15:$B$38,"Pipeline - Natural gas liquids")/SUMIFS('Key inputs_EB_TRA'!AC$15:AC$38,'Key inputs_EB_TRA'!$B$15:$B$38,"Pipeline - Natural gas liquids")&gt;0,SUMIFS('Key inputs_EB_TRA'!AC$15:AC$38,'Key inputs_EB_TRA'!$C$15:$C$38,$C44,'Key inputs_EB_TRA'!$B$15:$B$38,"Pipeline - Natural gas liquids")/SUMIFS('Key inputs_EB_TRA'!AC$15:AC$38,'Key inputs_EB_TRA'!$B$15:$B$38,"Pipeline - Natural gas liquids")&lt;0.001),0.001,SUMIFS('Key inputs_EB_TRA'!AC$15:AC$38,'Key inputs_EB_TRA'!$C$15:$C$38,$C44,'Key inputs_EB_TRA'!$B$15:$B$38,"Pipeline - Natural gas liquids")/SUMIFS('Key inputs_EB_TRA'!AC$15:AC$38,'Key inputs_EB_TRA'!$B$15:$B$38,"Pipeline - Natural gas liquids")),"")</f>
        <v/>
      </c>
      <c r="AJ44" s="173">
        <f>IFERROR(IF(AND(SUMIFS('Key inputs_EB_TRA'!AD$15:AD$38,'Key inputs_EB_TRA'!$C$15:$C$38,$C44,'Key inputs_EB_TRA'!$B$15:$B$38,"Pipeline - Natural gas liquids")/SUMIFS('Key inputs_EB_TRA'!AD$15:AD$38,'Key inputs_EB_TRA'!$B$15:$B$38,"Pipeline - Natural gas liquids")&gt;0,SUMIFS('Key inputs_EB_TRA'!AD$15:AD$38,'Key inputs_EB_TRA'!$C$15:$C$38,$C44,'Key inputs_EB_TRA'!$B$15:$B$38,"Pipeline - Natural gas liquids")/SUMIFS('Key inputs_EB_TRA'!AD$15:AD$38,'Key inputs_EB_TRA'!$B$15:$B$38,"Pipeline - Natural gas liquids")&lt;0.001),0.001,SUMIFS('Key inputs_EB_TRA'!AD$15:AD$38,'Key inputs_EB_TRA'!$C$15:$C$38,$C44,'Key inputs_EB_TRA'!$B$15:$B$38,"Pipeline - Natural gas liquids")/SUMIFS('Key inputs_EB_TRA'!AD$15:AD$38,'Key inputs_EB_TRA'!$B$15:$B$38,"Pipeline - Natural gas liquids")),"")</f>
        <v>0.92759974882854823</v>
      </c>
      <c r="AK44" s="173" t="str">
        <f>IFERROR(IF(AND(SUMIFS('Key inputs_EB_TRA'!AE$15:AE$38,'Key inputs_EB_TRA'!$C$15:$C$38,$C44,'Key inputs_EB_TRA'!$B$15:$B$38,"Pipeline - Natural gas liquids")/SUMIFS('Key inputs_EB_TRA'!AE$15:AE$38,'Key inputs_EB_TRA'!$B$15:$B$38,"Pipeline - Natural gas liquids")&gt;0,SUMIFS('Key inputs_EB_TRA'!AE$15:AE$38,'Key inputs_EB_TRA'!$C$15:$C$38,$C44,'Key inputs_EB_TRA'!$B$15:$B$38,"Pipeline - Natural gas liquids")/SUMIFS('Key inputs_EB_TRA'!AE$15:AE$38,'Key inputs_EB_TRA'!$B$15:$B$38,"Pipeline - Natural gas liquids")&lt;0.001),0.001,SUMIFS('Key inputs_EB_TRA'!AE$15:AE$38,'Key inputs_EB_TRA'!$C$15:$C$38,$C44,'Key inputs_EB_TRA'!$B$15:$B$38,"Pipeline - Natural gas liquids")/SUMIFS('Key inputs_EB_TRA'!AE$15:AE$38,'Key inputs_EB_TRA'!$B$15:$B$38,"Pipeline - Natural gas liquids")),"")</f>
        <v/>
      </c>
      <c r="AL44" s="173">
        <f>IFERROR(IF(AND(SUMIFS('Key inputs_EB_TRA'!AF$15:AF$38,'Key inputs_EB_TRA'!$C$15:$C$38,$C44,'Key inputs_EB_TRA'!$B$15:$B$38,"Pipeline - Natural gas liquids")/SUMIFS('Key inputs_EB_TRA'!AF$15:AF$38,'Key inputs_EB_TRA'!$B$15:$B$38,"Pipeline - Natural gas liquids")&gt;0,SUMIFS('Key inputs_EB_TRA'!AF$15:AF$38,'Key inputs_EB_TRA'!$C$15:$C$38,$C44,'Key inputs_EB_TRA'!$B$15:$B$38,"Pipeline - Natural gas liquids")/SUMIFS('Key inputs_EB_TRA'!AF$15:AF$38,'Key inputs_EB_TRA'!$B$15:$B$38,"Pipeline - Natural gas liquids")&lt;0.001),0.001,SUMIFS('Key inputs_EB_TRA'!AF$15:AF$38,'Key inputs_EB_TRA'!$C$15:$C$38,$C44,'Key inputs_EB_TRA'!$B$15:$B$38,"Pipeline - Natural gas liquids")/SUMIFS('Key inputs_EB_TRA'!AF$15:AF$38,'Key inputs_EB_TRA'!$B$15:$B$38,"Pipeline - Natural gas liquids")),"")</f>
        <v>1</v>
      </c>
    </row>
    <row r="45" spans="3:38">
      <c r="C45" t="str">
        <f>Commodities!$C$93</f>
        <v>UPSGSL</v>
      </c>
      <c r="F45" s="4" t="s">
        <v>359</v>
      </c>
      <c r="G45" s="4" t="s">
        <v>702</v>
      </c>
      <c r="H45" t="s">
        <v>661</v>
      </c>
      <c r="I45">
        <v>2019</v>
      </c>
      <c r="J45" t="s">
        <v>650</v>
      </c>
      <c r="K45" s="173" t="str">
        <f>IFERROR(IF(AND(SUMIFS('Key inputs_EB_TRA'!E$15:E$38,'Key inputs_EB_TRA'!$C$15:$C$38,$C45,'Key inputs_EB_TRA'!$B$15:$B$38,"Pipeline - Natural gas liquids")/SUMIFS('Key inputs_EB_TRA'!E$15:E$38,'Key inputs_EB_TRA'!$B$15:$B$38,"Pipeline - Natural gas liquids")&gt;0,SUMIFS('Key inputs_EB_TRA'!E$15:E$38,'Key inputs_EB_TRA'!$C$15:$C$38,$C45,'Key inputs_EB_TRA'!$B$15:$B$38,"Pipeline - Natural gas liquids")/SUMIFS('Key inputs_EB_TRA'!E$15:E$38,'Key inputs_EB_TRA'!$B$15:$B$38,"Pipeline - Natural gas liquids")&lt;0.001),0.001,SUMIFS('Key inputs_EB_TRA'!E$15:E$38,'Key inputs_EB_TRA'!$C$15:$C$38,$C45,'Key inputs_EB_TRA'!$B$15:$B$38,"Pipeline - Natural gas liquids")/SUMIFS('Key inputs_EB_TRA'!E$15:E$38,'Key inputs_EB_TRA'!$B$15:$B$38,"Pipeline - Natural gas liquids")),"")</f>
        <v/>
      </c>
      <c r="L45" s="173">
        <f>IFERROR(IF(AND(SUMIFS('Key inputs_EB_TRA'!F$15:F$38,'Key inputs_EB_TRA'!$C$15:$C$38,$C45,'Key inputs_EB_TRA'!$B$15:$B$38,"Pipeline - Natural gas liquids")/SUMIFS('Key inputs_EB_TRA'!F$15:F$38,'Key inputs_EB_TRA'!$B$15:$B$38,"Pipeline - Natural gas liquids")&gt;0,SUMIFS('Key inputs_EB_TRA'!F$15:F$38,'Key inputs_EB_TRA'!$C$15:$C$38,$C45,'Key inputs_EB_TRA'!$B$15:$B$38,"Pipeline - Natural gas liquids")/SUMIFS('Key inputs_EB_TRA'!F$15:F$38,'Key inputs_EB_TRA'!$B$15:$B$38,"Pipeline - Natural gas liquids")&lt;0.001),0.001,SUMIFS('Key inputs_EB_TRA'!F$15:F$38,'Key inputs_EB_TRA'!$C$15:$C$38,$C45,'Key inputs_EB_TRA'!$B$15:$B$38,"Pipeline - Natural gas liquids")/SUMIFS('Key inputs_EB_TRA'!F$15:F$38,'Key inputs_EB_TRA'!$B$15:$B$38,"Pipeline - Natural gas liquids")),"")</f>
        <v>0</v>
      </c>
      <c r="M45" s="173">
        <f>IFERROR(IF(AND(SUMIFS('Key inputs_EB_TRA'!G$15:G$38,'Key inputs_EB_TRA'!$C$15:$C$38,$C45,'Key inputs_EB_TRA'!$B$15:$B$38,"Pipeline - Natural gas liquids")/SUMIFS('Key inputs_EB_TRA'!G$15:G$38,'Key inputs_EB_TRA'!$B$15:$B$38,"Pipeline - Natural gas liquids")&gt;0,SUMIFS('Key inputs_EB_TRA'!G$15:G$38,'Key inputs_EB_TRA'!$C$15:$C$38,$C45,'Key inputs_EB_TRA'!$B$15:$B$38,"Pipeline - Natural gas liquids")/SUMIFS('Key inputs_EB_TRA'!G$15:G$38,'Key inputs_EB_TRA'!$B$15:$B$38,"Pipeline - Natural gas liquids")&lt;0.001),0.001,SUMIFS('Key inputs_EB_TRA'!G$15:G$38,'Key inputs_EB_TRA'!$C$15:$C$38,$C45,'Key inputs_EB_TRA'!$B$15:$B$38,"Pipeline - Natural gas liquids")/SUMIFS('Key inputs_EB_TRA'!G$15:G$38,'Key inputs_EB_TRA'!$B$15:$B$38,"Pipeline - Natural gas liquids")),"")</f>
        <v>0</v>
      </c>
      <c r="N45" s="173">
        <f>IFERROR(IF(AND(SUMIFS('Key inputs_EB_TRA'!H$15:H$38,'Key inputs_EB_TRA'!$C$15:$C$38,$C45,'Key inputs_EB_TRA'!$B$15:$B$38,"Pipeline - Natural gas liquids")/SUMIFS('Key inputs_EB_TRA'!H$15:H$38,'Key inputs_EB_TRA'!$B$15:$B$38,"Pipeline - Natural gas liquids")&gt;0,SUMIFS('Key inputs_EB_TRA'!H$15:H$38,'Key inputs_EB_TRA'!$C$15:$C$38,$C45,'Key inputs_EB_TRA'!$B$15:$B$38,"Pipeline - Natural gas liquids")/SUMIFS('Key inputs_EB_TRA'!H$15:H$38,'Key inputs_EB_TRA'!$B$15:$B$38,"Pipeline - Natural gas liquids")&lt;0.001),0.001,SUMIFS('Key inputs_EB_TRA'!H$15:H$38,'Key inputs_EB_TRA'!$C$15:$C$38,$C45,'Key inputs_EB_TRA'!$B$15:$B$38,"Pipeline - Natural gas liquids")/SUMIFS('Key inputs_EB_TRA'!H$15:H$38,'Key inputs_EB_TRA'!$B$15:$B$38,"Pipeline - Natural gas liquids")),"")</f>
        <v>0</v>
      </c>
      <c r="O45" s="173">
        <f>IFERROR(IF(AND(SUMIFS('Key inputs_EB_TRA'!I$15:I$38,'Key inputs_EB_TRA'!$C$15:$C$38,$C45,'Key inputs_EB_TRA'!$B$15:$B$38,"Pipeline - Natural gas liquids")/SUMIFS('Key inputs_EB_TRA'!I$15:I$38,'Key inputs_EB_TRA'!$B$15:$B$38,"Pipeline - Natural gas liquids")&gt;0,SUMIFS('Key inputs_EB_TRA'!I$15:I$38,'Key inputs_EB_TRA'!$C$15:$C$38,$C45,'Key inputs_EB_TRA'!$B$15:$B$38,"Pipeline - Natural gas liquids")/SUMIFS('Key inputs_EB_TRA'!I$15:I$38,'Key inputs_EB_TRA'!$B$15:$B$38,"Pipeline - Natural gas liquids")&lt;0.001),0.001,SUMIFS('Key inputs_EB_TRA'!I$15:I$38,'Key inputs_EB_TRA'!$C$15:$C$38,$C45,'Key inputs_EB_TRA'!$B$15:$B$38,"Pipeline - Natural gas liquids")/SUMIFS('Key inputs_EB_TRA'!I$15:I$38,'Key inputs_EB_TRA'!$B$15:$B$38,"Pipeline - Natural gas liquids")),"")</f>
        <v>0</v>
      </c>
      <c r="P45" s="173">
        <f>IFERROR(IF(AND(SUMIFS('Key inputs_EB_TRA'!J$15:J$38,'Key inputs_EB_TRA'!$C$15:$C$38,$C45,'Key inputs_EB_TRA'!$B$15:$B$38,"Pipeline - Natural gas liquids")/SUMIFS('Key inputs_EB_TRA'!J$15:J$38,'Key inputs_EB_TRA'!$B$15:$B$38,"Pipeline - Natural gas liquids")&gt;0,SUMIFS('Key inputs_EB_TRA'!J$15:J$38,'Key inputs_EB_TRA'!$C$15:$C$38,$C45,'Key inputs_EB_TRA'!$B$15:$B$38,"Pipeline - Natural gas liquids")/SUMIFS('Key inputs_EB_TRA'!J$15:J$38,'Key inputs_EB_TRA'!$B$15:$B$38,"Pipeline - Natural gas liquids")&lt;0.001),0.001,SUMIFS('Key inputs_EB_TRA'!J$15:J$38,'Key inputs_EB_TRA'!$C$15:$C$38,$C45,'Key inputs_EB_TRA'!$B$15:$B$38,"Pipeline - Natural gas liquids")/SUMIFS('Key inputs_EB_TRA'!J$15:J$38,'Key inputs_EB_TRA'!$B$15:$B$38,"Pipeline - Natural gas liquids")),"")</f>
        <v>0</v>
      </c>
      <c r="Q45" s="173" t="str">
        <f>IFERROR(IF(AND(SUMIFS('Key inputs_EB_TRA'!K$15:K$38,'Key inputs_EB_TRA'!$C$15:$C$38,$C45,'Key inputs_EB_TRA'!$B$15:$B$38,"Pipeline - Natural gas liquids")/SUMIFS('Key inputs_EB_TRA'!K$15:K$38,'Key inputs_EB_TRA'!$B$15:$B$38,"Pipeline - Natural gas liquids")&gt;0,SUMIFS('Key inputs_EB_TRA'!K$15:K$38,'Key inputs_EB_TRA'!$C$15:$C$38,$C45,'Key inputs_EB_TRA'!$B$15:$B$38,"Pipeline - Natural gas liquids")/SUMIFS('Key inputs_EB_TRA'!K$15:K$38,'Key inputs_EB_TRA'!$B$15:$B$38,"Pipeline - Natural gas liquids")&lt;0.001),0.001,SUMIFS('Key inputs_EB_TRA'!K$15:K$38,'Key inputs_EB_TRA'!$C$15:$C$38,$C45,'Key inputs_EB_TRA'!$B$15:$B$38,"Pipeline - Natural gas liquids")/SUMIFS('Key inputs_EB_TRA'!K$15:K$38,'Key inputs_EB_TRA'!$B$15:$B$38,"Pipeline - Natural gas liquids")),"")</f>
        <v/>
      </c>
      <c r="R45" s="173" t="str">
        <f>IFERROR(IF(AND(SUMIFS('Key inputs_EB_TRA'!L$15:L$38,'Key inputs_EB_TRA'!$C$15:$C$38,$C45,'Key inputs_EB_TRA'!$B$15:$B$38,"Pipeline - Natural gas liquids")/SUMIFS('Key inputs_EB_TRA'!L$15:L$38,'Key inputs_EB_TRA'!$B$15:$B$38,"Pipeline - Natural gas liquids")&gt;0,SUMIFS('Key inputs_EB_TRA'!L$15:L$38,'Key inputs_EB_TRA'!$C$15:$C$38,$C45,'Key inputs_EB_TRA'!$B$15:$B$38,"Pipeline - Natural gas liquids")/SUMIFS('Key inputs_EB_TRA'!L$15:L$38,'Key inputs_EB_TRA'!$B$15:$B$38,"Pipeline - Natural gas liquids")&lt;0.001),0.001,SUMIFS('Key inputs_EB_TRA'!L$15:L$38,'Key inputs_EB_TRA'!$C$15:$C$38,$C45,'Key inputs_EB_TRA'!$B$15:$B$38,"Pipeline - Natural gas liquids")/SUMIFS('Key inputs_EB_TRA'!L$15:L$38,'Key inputs_EB_TRA'!$B$15:$B$38,"Pipeline - Natural gas liquids")),"")</f>
        <v/>
      </c>
      <c r="S45" s="173" t="str">
        <f>IFERROR(IF(AND(SUMIFS('Key inputs_EB_TRA'!M$15:M$38,'Key inputs_EB_TRA'!$C$15:$C$38,$C45,'Key inputs_EB_TRA'!$B$15:$B$38,"Pipeline - Natural gas liquids")/SUMIFS('Key inputs_EB_TRA'!M$15:M$38,'Key inputs_EB_TRA'!$B$15:$B$38,"Pipeline - Natural gas liquids")&gt;0,SUMIFS('Key inputs_EB_TRA'!M$15:M$38,'Key inputs_EB_TRA'!$C$15:$C$38,$C45,'Key inputs_EB_TRA'!$B$15:$B$38,"Pipeline - Natural gas liquids")/SUMIFS('Key inputs_EB_TRA'!M$15:M$38,'Key inputs_EB_TRA'!$B$15:$B$38,"Pipeline - Natural gas liquids")&lt;0.001),0.001,SUMIFS('Key inputs_EB_TRA'!M$15:M$38,'Key inputs_EB_TRA'!$C$15:$C$38,$C45,'Key inputs_EB_TRA'!$B$15:$B$38,"Pipeline - Natural gas liquids")/SUMIFS('Key inputs_EB_TRA'!M$15:M$38,'Key inputs_EB_TRA'!$B$15:$B$38,"Pipeline - Natural gas liquids")),"")</f>
        <v/>
      </c>
      <c r="T45" s="173">
        <f>IFERROR(IF(AND(SUMIFS('Key inputs_EB_TRA'!N$15:N$38,'Key inputs_EB_TRA'!$C$15:$C$38,$C45,'Key inputs_EB_TRA'!$B$15:$B$38,"Pipeline - Natural gas liquids")/SUMIFS('Key inputs_EB_TRA'!N$15:N$38,'Key inputs_EB_TRA'!$B$15:$B$38,"Pipeline - Natural gas liquids")&gt;0,SUMIFS('Key inputs_EB_TRA'!N$15:N$38,'Key inputs_EB_TRA'!$C$15:$C$38,$C45,'Key inputs_EB_TRA'!$B$15:$B$38,"Pipeline - Natural gas liquids")/SUMIFS('Key inputs_EB_TRA'!N$15:N$38,'Key inputs_EB_TRA'!$B$15:$B$38,"Pipeline - Natural gas liquids")&lt;0.001),0.001,SUMIFS('Key inputs_EB_TRA'!N$15:N$38,'Key inputs_EB_TRA'!$C$15:$C$38,$C45,'Key inputs_EB_TRA'!$B$15:$B$38,"Pipeline - Natural gas liquids")/SUMIFS('Key inputs_EB_TRA'!N$15:N$38,'Key inputs_EB_TRA'!$B$15:$B$38,"Pipeline - Natural gas liquids")),"")</f>
        <v>1.7379881189039628E-3</v>
      </c>
      <c r="U45" s="173" t="str">
        <f>IFERROR(IF(AND(SUMIFS('Key inputs_EB_TRA'!O$15:O$38,'Key inputs_EB_TRA'!$C$15:$C$38,$C45,'Key inputs_EB_TRA'!$B$15:$B$38,"Pipeline - Natural gas liquids")/SUMIFS('Key inputs_EB_TRA'!O$15:O$38,'Key inputs_EB_TRA'!$B$15:$B$38,"Pipeline - Natural gas liquids")&gt;0,SUMIFS('Key inputs_EB_TRA'!O$15:O$38,'Key inputs_EB_TRA'!$C$15:$C$38,$C45,'Key inputs_EB_TRA'!$B$15:$B$38,"Pipeline - Natural gas liquids")/SUMIFS('Key inputs_EB_TRA'!O$15:O$38,'Key inputs_EB_TRA'!$B$15:$B$38,"Pipeline - Natural gas liquids")&lt;0.001),0.001,SUMIFS('Key inputs_EB_TRA'!O$15:O$38,'Key inputs_EB_TRA'!$C$15:$C$38,$C45,'Key inputs_EB_TRA'!$B$15:$B$38,"Pipeline - Natural gas liquids")/SUMIFS('Key inputs_EB_TRA'!O$15:O$38,'Key inputs_EB_TRA'!$B$15:$B$38,"Pipeline - Natural gas liquids")),"")</f>
        <v/>
      </c>
      <c r="V45" s="173" t="str">
        <f>IFERROR(IF(AND(SUMIFS('Key inputs_EB_TRA'!P$15:P$38,'Key inputs_EB_TRA'!$C$15:$C$38,$C45,'Key inputs_EB_TRA'!$B$15:$B$38,"Pipeline - Natural gas liquids")/SUMIFS('Key inputs_EB_TRA'!P$15:P$38,'Key inputs_EB_TRA'!$B$15:$B$38,"Pipeline - Natural gas liquids")&gt;0,SUMIFS('Key inputs_EB_TRA'!P$15:P$38,'Key inputs_EB_TRA'!$C$15:$C$38,$C45,'Key inputs_EB_TRA'!$B$15:$B$38,"Pipeline - Natural gas liquids")/SUMIFS('Key inputs_EB_TRA'!P$15:P$38,'Key inputs_EB_TRA'!$B$15:$B$38,"Pipeline - Natural gas liquids")&lt;0.001),0.001,SUMIFS('Key inputs_EB_TRA'!P$15:P$38,'Key inputs_EB_TRA'!$C$15:$C$38,$C45,'Key inputs_EB_TRA'!$B$15:$B$38,"Pipeline - Natural gas liquids")/SUMIFS('Key inputs_EB_TRA'!P$15:P$38,'Key inputs_EB_TRA'!$B$15:$B$38,"Pipeline - Natural gas liquids")),"")</f>
        <v/>
      </c>
      <c r="W45" s="173">
        <f>IFERROR(IF(AND(SUMIFS('Key inputs_EB_TRA'!Q$15:Q$38,'Key inputs_EB_TRA'!$C$15:$C$38,$C45,'Key inputs_EB_TRA'!$B$15:$B$38,"Pipeline - Natural gas liquids")/SUMIFS('Key inputs_EB_TRA'!Q$15:Q$38,'Key inputs_EB_TRA'!$B$15:$B$38,"Pipeline - Natural gas liquids")&gt;0,SUMIFS('Key inputs_EB_TRA'!Q$15:Q$38,'Key inputs_EB_TRA'!$C$15:$C$38,$C45,'Key inputs_EB_TRA'!$B$15:$B$38,"Pipeline - Natural gas liquids")/SUMIFS('Key inputs_EB_TRA'!Q$15:Q$38,'Key inputs_EB_TRA'!$B$15:$B$38,"Pipeline - Natural gas liquids")&lt;0.001),0.001,SUMIFS('Key inputs_EB_TRA'!Q$15:Q$38,'Key inputs_EB_TRA'!$C$15:$C$38,$C45,'Key inputs_EB_TRA'!$B$15:$B$38,"Pipeline - Natural gas liquids")/SUMIFS('Key inputs_EB_TRA'!Q$15:Q$38,'Key inputs_EB_TRA'!$B$15:$B$38,"Pipeline - Natural gas liquids")),"")</f>
        <v>0</v>
      </c>
      <c r="X45" s="173">
        <f>IFERROR(IF(AND(SUMIFS('Key inputs_EB_TRA'!R$15:R$38,'Key inputs_EB_TRA'!$C$15:$C$38,$C45,'Key inputs_EB_TRA'!$B$15:$B$38,"Pipeline - Natural gas liquids")/SUMIFS('Key inputs_EB_TRA'!R$15:R$38,'Key inputs_EB_TRA'!$B$15:$B$38,"Pipeline - Natural gas liquids")&gt;0,SUMIFS('Key inputs_EB_TRA'!R$15:R$38,'Key inputs_EB_TRA'!$C$15:$C$38,$C45,'Key inputs_EB_TRA'!$B$15:$B$38,"Pipeline - Natural gas liquids")/SUMIFS('Key inputs_EB_TRA'!R$15:R$38,'Key inputs_EB_TRA'!$B$15:$B$38,"Pipeline - Natural gas liquids")&lt;0.001),0.001,SUMIFS('Key inputs_EB_TRA'!R$15:R$38,'Key inputs_EB_TRA'!$C$15:$C$38,$C45,'Key inputs_EB_TRA'!$B$15:$B$38,"Pipeline - Natural gas liquids")/SUMIFS('Key inputs_EB_TRA'!R$15:R$38,'Key inputs_EB_TRA'!$B$15:$B$38,"Pipeline - Natural gas liquids")),"")</f>
        <v>0</v>
      </c>
      <c r="Y45" s="173">
        <f>IFERROR(IF(AND(SUMIFS('Key inputs_EB_TRA'!S$15:S$38,'Key inputs_EB_TRA'!$C$15:$C$38,$C45,'Key inputs_EB_TRA'!$B$15:$B$38,"Pipeline - Natural gas liquids")/SUMIFS('Key inputs_EB_TRA'!S$15:S$38,'Key inputs_EB_TRA'!$B$15:$B$38,"Pipeline - Natural gas liquids")&gt;0,SUMIFS('Key inputs_EB_TRA'!S$15:S$38,'Key inputs_EB_TRA'!$C$15:$C$38,$C45,'Key inputs_EB_TRA'!$B$15:$B$38,"Pipeline - Natural gas liquids")/SUMIFS('Key inputs_EB_TRA'!S$15:S$38,'Key inputs_EB_TRA'!$B$15:$B$38,"Pipeline - Natural gas liquids")&lt;0.001),0.001,SUMIFS('Key inputs_EB_TRA'!S$15:S$38,'Key inputs_EB_TRA'!$C$15:$C$38,$C45,'Key inputs_EB_TRA'!$B$15:$B$38,"Pipeline - Natural gas liquids")/SUMIFS('Key inputs_EB_TRA'!S$15:S$38,'Key inputs_EB_TRA'!$B$15:$B$38,"Pipeline - Natural gas liquids")),"")</f>
        <v>0</v>
      </c>
      <c r="Z45" s="173">
        <f>IFERROR(IF(AND(SUMIFS('Key inputs_EB_TRA'!T$15:T$38,'Key inputs_EB_TRA'!$C$15:$C$38,$C45,'Key inputs_EB_TRA'!$B$15:$B$38,"Pipeline - Natural gas liquids")/SUMIFS('Key inputs_EB_TRA'!T$15:T$38,'Key inputs_EB_TRA'!$B$15:$B$38,"Pipeline - Natural gas liquids")&gt;0,SUMIFS('Key inputs_EB_TRA'!T$15:T$38,'Key inputs_EB_TRA'!$C$15:$C$38,$C45,'Key inputs_EB_TRA'!$B$15:$B$38,"Pipeline - Natural gas liquids")/SUMIFS('Key inputs_EB_TRA'!T$15:T$38,'Key inputs_EB_TRA'!$B$15:$B$38,"Pipeline - Natural gas liquids")&lt;0.001),0.001,SUMIFS('Key inputs_EB_TRA'!T$15:T$38,'Key inputs_EB_TRA'!$C$15:$C$38,$C45,'Key inputs_EB_TRA'!$B$15:$B$38,"Pipeline - Natural gas liquids")/SUMIFS('Key inputs_EB_TRA'!T$15:T$38,'Key inputs_EB_TRA'!$B$15:$B$38,"Pipeline - Natural gas liquids")),"")</f>
        <v>0</v>
      </c>
      <c r="AA45" s="173">
        <f>IFERROR(IF(AND(SUMIFS('Key inputs_EB_TRA'!U$15:U$38,'Key inputs_EB_TRA'!$C$15:$C$38,$C45,'Key inputs_EB_TRA'!$B$15:$B$38,"Pipeline - Natural gas liquids")/SUMIFS('Key inputs_EB_TRA'!U$15:U$38,'Key inputs_EB_TRA'!$B$15:$B$38,"Pipeline - Natural gas liquids")&gt;0,SUMIFS('Key inputs_EB_TRA'!U$15:U$38,'Key inputs_EB_TRA'!$C$15:$C$38,$C45,'Key inputs_EB_TRA'!$B$15:$B$38,"Pipeline - Natural gas liquids")/SUMIFS('Key inputs_EB_TRA'!U$15:U$38,'Key inputs_EB_TRA'!$B$15:$B$38,"Pipeline - Natural gas liquids")&lt;0.001),0.001,SUMIFS('Key inputs_EB_TRA'!U$15:U$38,'Key inputs_EB_TRA'!$C$15:$C$38,$C45,'Key inputs_EB_TRA'!$B$15:$B$38,"Pipeline - Natural gas liquids")/SUMIFS('Key inputs_EB_TRA'!U$15:U$38,'Key inputs_EB_TRA'!$B$15:$B$38,"Pipeline - Natural gas liquids")),"")</f>
        <v>0</v>
      </c>
      <c r="AB45" s="173" t="str">
        <f>IFERROR(IF(AND(SUMIFS('Key inputs_EB_TRA'!V$15:V$38,'Key inputs_EB_TRA'!$C$15:$C$38,$C45,'Key inputs_EB_TRA'!$B$15:$B$38,"Pipeline - Natural gas liquids")/SUMIFS('Key inputs_EB_TRA'!V$15:V$38,'Key inputs_EB_TRA'!$B$15:$B$38,"Pipeline - Natural gas liquids")&gt;0,SUMIFS('Key inputs_EB_TRA'!V$15:V$38,'Key inputs_EB_TRA'!$C$15:$C$38,$C45,'Key inputs_EB_TRA'!$B$15:$B$38,"Pipeline - Natural gas liquids")/SUMIFS('Key inputs_EB_TRA'!V$15:V$38,'Key inputs_EB_TRA'!$B$15:$B$38,"Pipeline - Natural gas liquids")&lt;0.001),0.001,SUMIFS('Key inputs_EB_TRA'!V$15:V$38,'Key inputs_EB_TRA'!$C$15:$C$38,$C45,'Key inputs_EB_TRA'!$B$15:$B$38,"Pipeline - Natural gas liquids")/SUMIFS('Key inputs_EB_TRA'!V$15:V$38,'Key inputs_EB_TRA'!$B$15:$B$38,"Pipeline - Natural gas liquids")),"")</f>
        <v/>
      </c>
      <c r="AC45" s="173">
        <f>IFERROR(IF(AND(SUMIFS('Key inputs_EB_TRA'!W$15:W$38,'Key inputs_EB_TRA'!$C$15:$C$38,$C45,'Key inputs_EB_TRA'!$B$15:$B$38,"Pipeline - Natural gas liquids")/SUMIFS('Key inputs_EB_TRA'!W$15:W$38,'Key inputs_EB_TRA'!$B$15:$B$38,"Pipeline - Natural gas liquids")&gt;0,SUMIFS('Key inputs_EB_TRA'!W$15:W$38,'Key inputs_EB_TRA'!$C$15:$C$38,$C45,'Key inputs_EB_TRA'!$B$15:$B$38,"Pipeline - Natural gas liquids")/SUMIFS('Key inputs_EB_TRA'!W$15:W$38,'Key inputs_EB_TRA'!$B$15:$B$38,"Pipeline - Natural gas liquids")&lt;0.001),0.001,SUMIFS('Key inputs_EB_TRA'!W$15:W$38,'Key inputs_EB_TRA'!$C$15:$C$38,$C45,'Key inputs_EB_TRA'!$B$15:$B$38,"Pipeline - Natural gas liquids")/SUMIFS('Key inputs_EB_TRA'!W$15:W$38,'Key inputs_EB_TRA'!$B$15:$B$38,"Pipeline - Natural gas liquids")),"")</f>
        <v>0</v>
      </c>
      <c r="AD45" s="173" t="str">
        <f>IFERROR(IF(AND(SUMIFS('Key inputs_EB_TRA'!X$15:X$38,'Key inputs_EB_TRA'!$C$15:$C$38,$C45,'Key inputs_EB_TRA'!$B$15:$B$38,"Pipeline - Natural gas liquids")/SUMIFS('Key inputs_EB_TRA'!X$15:X$38,'Key inputs_EB_TRA'!$B$15:$B$38,"Pipeline - Natural gas liquids")&gt;0,SUMIFS('Key inputs_EB_TRA'!X$15:X$38,'Key inputs_EB_TRA'!$C$15:$C$38,$C45,'Key inputs_EB_TRA'!$B$15:$B$38,"Pipeline - Natural gas liquids")/SUMIFS('Key inputs_EB_TRA'!X$15:X$38,'Key inputs_EB_TRA'!$B$15:$B$38,"Pipeline - Natural gas liquids")&lt;0.001),0.001,SUMIFS('Key inputs_EB_TRA'!X$15:X$38,'Key inputs_EB_TRA'!$C$15:$C$38,$C45,'Key inputs_EB_TRA'!$B$15:$B$38,"Pipeline - Natural gas liquids")/SUMIFS('Key inputs_EB_TRA'!X$15:X$38,'Key inputs_EB_TRA'!$B$15:$B$38,"Pipeline - Natural gas liquids")),"")</f>
        <v/>
      </c>
      <c r="AE45" s="173">
        <f>IFERROR(IF(AND(SUMIFS('Key inputs_EB_TRA'!Y$15:Y$38,'Key inputs_EB_TRA'!$C$15:$C$38,$C45,'Key inputs_EB_TRA'!$B$15:$B$38,"Pipeline - Natural gas liquids")/SUMIFS('Key inputs_EB_TRA'!Y$15:Y$38,'Key inputs_EB_TRA'!$B$15:$B$38,"Pipeline - Natural gas liquids")&gt;0,SUMIFS('Key inputs_EB_TRA'!Y$15:Y$38,'Key inputs_EB_TRA'!$C$15:$C$38,$C45,'Key inputs_EB_TRA'!$B$15:$B$38,"Pipeline - Natural gas liquids")/SUMIFS('Key inputs_EB_TRA'!Y$15:Y$38,'Key inputs_EB_TRA'!$B$15:$B$38,"Pipeline - Natural gas liquids")&lt;0.001),0.001,SUMIFS('Key inputs_EB_TRA'!Y$15:Y$38,'Key inputs_EB_TRA'!$C$15:$C$38,$C45,'Key inputs_EB_TRA'!$B$15:$B$38,"Pipeline - Natural gas liquids")/SUMIFS('Key inputs_EB_TRA'!Y$15:Y$38,'Key inputs_EB_TRA'!$B$15:$B$38,"Pipeline - Natural gas liquids")),"")</f>
        <v>0</v>
      </c>
      <c r="AF45" s="173">
        <f>IFERROR(IF(AND(SUMIFS('Key inputs_EB_TRA'!Z$15:Z$38,'Key inputs_EB_TRA'!$C$15:$C$38,$C45,'Key inputs_EB_TRA'!$B$15:$B$38,"Pipeline - Natural gas liquids")/SUMIFS('Key inputs_EB_TRA'!Z$15:Z$38,'Key inputs_EB_TRA'!$B$15:$B$38,"Pipeline - Natural gas liquids")&gt;0,SUMIFS('Key inputs_EB_TRA'!Z$15:Z$38,'Key inputs_EB_TRA'!$C$15:$C$38,$C45,'Key inputs_EB_TRA'!$B$15:$B$38,"Pipeline - Natural gas liquids")/SUMIFS('Key inputs_EB_TRA'!Z$15:Z$38,'Key inputs_EB_TRA'!$B$15:$B$38,"Pipeline - Natural gas liquids")&lt;0.001),0.001,SUMIFS('Key inputs_EB_TRA'!Z$15:Z$38,'Key inputs_EB_TRA'!$C$15:$C$38,$C45,'Key inputs_EB_TRA'!$B$15:$B$38,"Pipeline - Natural gas liquids")/SUMIFS('Key inputs_EB_TRA'!Z$15:Z$38,'Key inputs_EB_TRA'!$B$15:$B$38,"Pipeline - Natural gas liquids")),"")</f>
        <v>0</v>
      </c>
      <c r="AG45" s="173">
        <f>IFERROR(IF(AND(SUMIFS('Key inputs_EB_TRA'!AA$15:AA$38,'Key inputs_EB_TRA'!$C$15:$C$38,$C45,'Key inputs_EB_TRA'!$B$15:$B$38,"Pipeline - Natural gas liquids")/SUMIFS('Key inputs_EB_TRA'!AA$15:AA$38,'Key inputs_EB_TRA'!$B$15:$B$38,"Pipeline - Natural gas liquids")&gt;0,SUMIFS('Key inputs_EB_TRA'!AA$15:AA$38,'Key inputs_EB_TRA'!$C$15:$C$38,$C45,'Key inputs_EB_TRA'!$B$15:$B$38,"Pipeline - Natural gas liquids")/SUMIFS('Key inputs_EB_TRA'!AA$15:AA$38,'Key inputs_EB_TRA'!$B$15:$B$38,"Pipeline - Natural gas liquids")&lt;0.001),0.001,SUMIFS('Key inputs_EB_TRA'!AA$15:AA$38,'Key inputs_EB_TRA'!$C$15:$C$38,$C45,'Key inputs_EB_TRA'!$B$15:$B$38,"Pipeline - Natural gas liquids")/SUMIFS('Key inputs_EB_TRA'!AA$15:AA$38,'Key inputs_EB_TRA'!$B$15:$B$38,"Pipeline - Natural gas liquids")),"")</f>
        <v>0</v>
      </c>
      <c r="AH45" s="173" t="str">
        <f>IFERROR(IF(AND(SUMIFS('Key inputs_EB_TRA'!AB$15:AB$38,'Key inputs_EB_TRA'!$C$15:$C$38,$C45,'Key inputs_EB_TRA'!$B$15:$B$38,"Pipeline - Natural gas liquids")/SUMIFS('Key inputs_EB_TRA'!AB$15:AB$38,'Key inputs_EB_TRA'!$B$15:$B$38,"Pipeline - Natural gas liquids")&gt;0,SUMIFS('Key inputs_EB_TRA'!AB$15:AB$38,'Key inputs_EB_TRA'!$C$15:$C$38,$C45,'Key inputs_EB_TRA'!$B$15:$B$38,"Pipeline - Natural gas liquids")/SUMIFS('Key inputs_EB_TRA'!AB$15:AB$38,'Key inputs_EB_TRA'!$B$15:$B$38,"Pipeline - Natural gas liquids")&lt;0.001),0.001,SUMIFS('Key inputs_EB_TRA'!AB$15:AB$38,'Key inputs_EB_TRA'!$C$15:$C$38,$C45,'Key inputs_EB_TRA'!$B$15:$B$38,"Pipeline - Natural gas liquids")/SUMIFS('Key inputs_EB_TRA'!AB$15:AB$38,'Key inputs_EB_TRA'!$B$15:$B$38,"Pipeline - Natural gas liquids")),"")</f>
        <v/>
      </c>
      <c r="AI45" s="173" t="str">
        <f>IFERROR(IF(AND(SUMIFS('Key inputs_EB_TRA'!AC$15:AC$38,'Key inputs_EB_TRA'!$C$15:$C$38,$C45,'Key inputs_EB_TRA'!$B$15:$B$38,"Pipeline - Natural gas liquids")/SUMIFS('Key inputs_EB_TRA'!AC$15:AC$38,'Key inputs_EB_TRA'!$B$15:$B$38,"Pipeline - Natural gas liquids")&gt;0,SUMIFS('Key inputs_EB_TRA'!AC$15:AC$38,'Key inputs_EB_TRA'!$C$15:$C$38,$C45,'Key inputs_EB_TRA'!$B$15:$B$38,"Pipeline - Natural gas liquids")/SUMIFS('Key inputs_EB_TRA'!AC$15:AC$38,'Key inputs_EB_TRA'!$B$15:$B$38,"Pipeline - Natural gas liquids")&lt;0.001),0.001,SUMIFS('Key inputs_EB_TRA'!AC$15:AC$38,'Key inputs_EB_TRA'!$C$15:$C$38,$C45,'Key inputs_EB_TRA'!$B$15:$B$38,"Pipeline - Natural gas liquids")/SUMIFS('Key inputs_EB_TRA'!AC$15:AC$38,'Key inputs_EB_TRA'!$B$15:$B$38,"Pipeline - Natural gas liquids")),"")</f>
        <v/>
      </c>
      <c r="AJ45" s="173">
        <f>IFERROR(IF(AND(SUMIFS('Key inputs_EB_TRA'!AD$15:AD$38,'Key inputs_EB_TRA'!$C$15:$C$38,$C45,'Key inputs_EB_TRA'!$B$15:$B$38,"Pipeline - Natural gas liquids")/SUMIFS('Key inputs_EB_TRA'!AD$15:AD$38,'Key inputs_EB_TRA'!$B$15:$B$38,"Pipeline - Natural gas liquids")&gt;0,SUMIFS('Key inputs_EB_TRA'!AD$15:AD$38,'Key inputs_EB_TRA'!$C$15:$C$38,$C45,'Key inputs_EB_TRA'!$B$15:$B$38,"Pipeline - Natural gas liquids")/SUMIFS('Key inputs_EB_TRA'!AD$15:AD$38,'Key inputs_EB_TRA'!$B$15:$B$38,"Pipeline - Natural gas liquids")&lt;0.001),0.001,SUMIFS('Key inputs_EB_TRA'!AD$15:AD$38,'Key inputs_EB_TRA'!$C$15:$C$38,$C45,'Key inputs_EB_TRA'!$B$15:$B$38,"Pipeline - Natural gas liquids")/SUMIFS('Key inputs_EB_TRA'!AD$15:AD$38,'Key inputs_EB_TRA'!$B$15:$B$38,"Pipeline - Natural gas liquids")),"")</f>
        <v>1E-3</v>
      </c>
      <c r="AK45" s="173" t="str">
        <f>IFERROR(IF(AND(SUMIFS('Key inputs_EB_TRA'!AE$15:AE$38,'Key inputs_EB_TRA'!$C$15:$C$38,$C45,'Key inputs_EB_TRA'!$B$15:$B$38,"Pipeline - Natural gas liquids")/SUMIFS('Key inputs_EB_TRA'!AE$15:AE$38,'Key inputs_EB_TRA'!$B$15:$B$38,"Pipeline - Natural gas liquids")&gt;0,SUMIFS('Key inputs_EB_TRA'!AE$15:AE$38,'Key inputs_EB_TRA'!$C$15:$C$38,$C45,'Key inputs_EB_TRA'!$B$15:$B$38,"Pipeline - Natural gas liquids")/SUMIFS('Key inputs_EB_TRA'!AE$15:AE$38,'Key inputs_EB_TRA'!$B$15:$B$38,"Pipeline - Natural gas liquids")&lt;0.001),0.001,SUMIFS('Key inputs_EB_TRA'!AE$15:AE$38,'Key inputs_EB_TRA'!$C$15:$C$38,$C45,'Key inputs_EB_TRA'!$B$15:$B$38,"Pipeline - Natural gas liquids")/SUMIFS('Key inputs_EB_TRA'!AE$15:AE$38,'Key inputs_EB_TRA'!$B$15:$B$38,"Pipeline - Natural gas liquids")),"")</f>
        <v/>
      </c>
      <c r="AL45" s="173">
        <f>IFERROR(IF(AND(SUMIFS('Key inputs_EB_TRA'!AF$15:AF$38,'Key inputs_EB_TRA'!$C$15:$C$38,$C45,'Key inputs_EB_TRA'!$B$15:$B$38,"Pipeline - Natural gas liquids")/SUMIFS('Key inputs_EB_TRA'!AF$15:AF$38,'Key inputs_EB_TRA'!$B$15:$B$38,"Pipeline - Natural gas liquids")&gt;0,SUMIFS('Key inputs_EB_TRA'!AF$15:AF$38,'Key inputs_EB_TRA'!$C$15:$C$38,$C45,'Key inputs_EB_TRA'!$B$15:$B$38,"Pipeline - Natural gas liquids")/SUMIFS('Key inputs_EB_TRA'!AF$15:AF$38,'Key inputs_EB_TRA'!$B$15:$B$38,"Pipeline - Natural gas liquids")&lt;0.001),0.001,SUMIFS('Key inputs_EB_TRA'!AF$15:AF$38,'Key inputs_EB_TRA'!$C$15:$C$38,$C45,'Key inputs_EB_TRA'!$B$15:$B$38,"Pipeline - Natural gas liquids")/SUMIFS('Key inputs_EB_TRA'!AF$15:AF$38,'Key inputs_EB_TRA'!$B$15:$B$38,"Pipeline - Natural gas liquids")),"")</f>
        <v>0</v>
      </c>
    </row>
    <row r="46" spans="3:38">
      <c r="C46" t="str">
        <f>Commodities!$C$95</f>
        <v>UPSHFO</v>
      </c>
      <c r="F46" s="4" t="s">
        <v>359</v>
      </c>
      <c r="G46" s="4" t="s">
        <v>702</v>
      </c>
      <c r="H46" t="s">
        <v>661</v>
      </c>
      <c r="I46">
        <v>2019</v>
      </c>
      <c r="J46" t="s">
        <v>650</v>
      </c>
      <c r="K46" s="263" t="str">
        <f>IFERROR(IF(AND(SUMIFS('Key inputs_EB_TRA'!E$15:E$38,'Key inputs_EB_TRA'!$C$15:$C$38,$C46,'Key inputs_EB_TRA'!$B$15:$B$38,"Pipeline - Natural gas liquids")/SUMIFS('Key inputs_EB_TRA'!E$15:E$38,'Key inputs_EB_TRA'!$B$15:$B$38,"Pipeline - Natural gas liquids")&gt;0,SUMIFS('Key inputs_EB_TRA'!E$15:E$38,'Key inputs_EB_TRA'!$C$15:$C$38,$C46,'Key inputs_EB_TRA'!$B$15:$B$38,"Pipeline - Natural gas liquids")/SUMIFS('Key inputs_EB_TRA'!E$15:E$38,'Key inputs_EB_TRA'!$B$15:$B$38,"Pipeline - Natural gas liquids")&lt;0.001),0.001,SUMIFS('Key inputs_EB_TRA'!E$15:E$38,'Key inputs_EB_TRA'!$C$15:$C$38,$C46,'Key inputs_EB_TRA'!$B$15:$B$38,"Pipeline - Natural gas liquids")/SUMIFS('Key inputs_EB_TRA'!E$15:E$38,'Key inputs_EB_TRA'!$B$15:$B$38,"Pipeline - Natural gas liquids")),"")</f>
        <v/>
      </c>
      <c r="L46" s="173">
        <f>IFERROR(IF(AND(SUMIFS('Key inputs_EB_TRA'!F$15:F$38,'Key inputs_EB_TRA'!$C$15:$C$38,$C46,'Key inputs_EB_TRA'!$B$15:$B$38,"Pipeline - Natural gas liquids")/SUMIFS('Key inputs_EB_TRA'!F$15:F$38,'Key inputs_EB_TRA'!$B$15:$B$38,"Pipeline - Natural gas liquids")&gt;0,SUMIFS('Key inputs_EB_TRA'!F$15:F$38,'Key inputs_EB_TRA'!$C$15:$C$38,$C46,'Key inputs_EB_TRA'!$B$15:$B$38,"Pipeline - Natural gas liquids")/SUMIFS('Key inputs_EB_TRA'!F$15:F$38,'Key inputs_EB_TRA'!$B$15:$B$38,"Pipeline - Natural gas liquids")&lt;0.001),0.001,SUMIFS('Key inputs_EB_TRA'!F$15:F$38,'Key inputs_EB_TRA'!$C$15:$C$38,$C46,'Key inputs_EB_TRA'!$B$15:$B$38,"Pipeline - Natural gas liquids")/SUMIFS('Key inputs_EB_TRA'!F$15:F$38,'Key inputs_EB_TRA'!$B$15:$B$38,"Pipeline - Natural gas liquids")),"")</f>
        <v>0</v>
      </c>
      <c r="M46" s="173">
        <f>IFERROR(IF(AND(SUMIFS('Key inputs_EB_TRA'!G$15:G$38,'Key inputs_EB_TRA'!$C$15:$C$38,$C46,'Key inputs_EB_TRA'!$B$15:$B$38,"Pipeline - Natural gas liquids")/SUMIFS('Key inputs_EB_TRA'!G$15:G$38,'Key inputs_EB_TRA'!$B$15:$B$38,"Pipeline - Natural gas liquids")&gt;0,SUMIFS('Key inputs_EB_TRA'!G$15:G$38,'Key inputs_EB_TRA'!$C$15:$C$38,$C46,'Key inputs_EB_TRA'!$B$15:$B$38,"Pipeline - Natural gas liquids")/SUMIFS('Key inputs_EB_TRA'!G$15:G$38,'Key inputs_EB_TRA'!$B$15:$B$38,"Pipeline - Natural gas liquids")&lt;0.001),0.001,SUMIFS('Key inputs_EB_TRA'!G$15:G$38,'Key inputs_EB_TRA'!$C$15:$C$38,$C46,'Key inputs_EB_TRA'!$B$15:$B$38,"Pipeline - Natural gas liquids")/SUMIFS('Key inputs_EB_TRA'!G$15:G$38,'Key inputs_EB_TRA'!$B$15:$B$38,"Pipeline - Natural gas liquids")),"")</f>
        <v>0</v>
      </c>
      <c r="N46" s="173">
        <f>IFERROR(IF(AND(SUMIFS('Key inputs_EB_TRA'!H$15:H$38,'Key inputs_EB_TRA'!$C$15:$C$38,$C46,'Key inputs_EB_TRA'!$B$15:$B$38,"Pipeline - Natural gas liquids")/SUMIFS('Key inputs_EB_TRA'!H$15:H$38,'Key inputs_EB_TRA'!$B$15:$B$38,"Pipeline - Natural gas liquids")&gt;0,SUMIFS('Key inputs_EB_TRA'!H$15:H$38,'Key inputs_EB_TRA'!$C$15:$C$38,$C46,'Key inputs_EB_TRA'!$B$15:$B$38,"Pipeline - Natural gas liquids")/SUMIFS('Key inputs_EB_TRA'!H$15:H$38,'Key inputs_EB_TRA'!$B$15:$B$38,"Pipeline - Natural gas liquids")&lt;0.001),0.001,SUMIFS('Key inputs_EB_TRA'!H$15:H$38,'Key inputs_EB_TRA'!$C$15:$C$38,$C46,'Key inputs_EB_TRA'!$B$15:$B$38,"Pipeline - Natural gas liquids")/SUMIFS('Key inputs_EB_TRA'!H$15:H$38,'Key inputs_EB_TRA'!$B$15:$B$38,"Pipeline - Natural gas liquids")),"")</f>
        <v>0</v>
      </c>
      <c r="O46" s="173">
        <f>IFERROR(IF(AND(SUMIFS('Key inputs_EB_TRA'!I$15:I$38,'Key inputs_EB_TRA'!$C$15:$C$38,$C46,'Key inputs_EB_TRA'!$B$15:$B$38,"Pipeline - Natural gas liquids")/SUMIFS('Key inputs_EB_TRA'!I$15:I$38,'Key inputs_EB_TRA'!$B$15:$B$38,"Pipeline - Natural gas liquids")&gt;0,SUMIFS('Key inputs_EB_TRA'!I$15:I$38,'Key inputs_EB_TRA'!$C$15:$C$38,$C46,'Key inputs_EB_TRA'!$B$15:$B$38,"Pipeline - Natural gas liquids")/SUMIFS('Key inputs_EB_TRA'!I$15:I$38,'Key inputs_EB_TRA'!$B$15:$B$38,"Pipeline - Natural gas liquids")&lt;0.001),0.001,SUMIFS('Key inputs_EB_TRA'!I$15:I$38,'Key inputs_EB_TRA'!$C$15:$C$38,$C46,'Key inputs_EB_TRA'!$B$15:$B$38,"Pipeline - Natural gas liquids")/SUMIFS('Key inputs_EB_TRA'!I$15:I$38,'Key inputs_EB_TRA'!$B$15:$B$38,"Pipeline - Natural gas liquids")),"")</f>
        <v>0</v>
      </c>
      <c r="P46" s="173">
        <f>IFERROR(IF(AND(SUMIFS('Key inputs_EB_TRA'!J$15:J$38,'Key inputs_EB_TRA'!$C$15:$C$38,$C46,'Key inputs_EB_TRA'!$B$15:$B$38,"Pipeline - Natural gas liquids")/SUMIFS('Key inputs_EB_TRA'!J$15:J$38,'Key inputs_EB_TRA'!$B$15:$B$38,"Pipeline - Natural gas liquids")&gt;0,SUMIFS('Key inputs_EB_TRA'!J$15:J$38,'Key inputs_EB_TRA'!$C$15:$C$38,$C46,'Key inputs_EB_TRA'!$B$15:$B$38,"Pipeline - Natural gas liquids")/SUMIFS('Key inputs_EB_TRA'!J$15:J$38,'Key inputs_EB_TRA'!$B$15:$B$38,"Pipeline - Natural gas liquids")&lt;0.001),0.001,SUMIFS('Key inputs_EB_TRA'!J$15:J$38,'Key inputs_EB_TRA'!$C$15:$C$38,$C46,'Key inputs_EB_TRA'!$B$15:$B$38,"Pipeline - Natural gas liquids")/SUMIFS('Key inputs_EB_TRA'!J$15:J$38,'Key inputs_EB_TRA'!$B$15:$B$38,"Pipeline - Natural gas liquids")),"")</f>
        <v>0</v>
      </c>
      <c r="Q46" s="173" t="str">
        <f>IFERROR(IF(AND(SUMIFS('Key inputs_EB_TRA'!K$15:K$38,'Key inputs_EB_TRA'!$C$15:$C$38,$C46,'Key inputs_EB_TRA'!$B$15:$B$38,"Pipeline - Natural gas liquids")/SUMIFS('Key inputs_EB_TRA'!K$15:K$38,'Key inputs_EB_TRA'!$B$15:$B$38,"Pipeline - Natural gas liquids")&gt;0,SUMIFS('Key inputs_EB_TRA'!K$15:K$38,'Key inputs_EB_TRA'!$C$15:$C$38,$C46,'Key inputs_EB_TRA'!$B$15:$B$38,"Pipeline - Natural gas liquids")/SUMIFS('Key inputs_EB_TRA'!K$15:K$38,'Key inputs_EB_TRA'!$B$15:$B$38,"Pipeline - Natural gas liquids")&lt;0.001),0.001,SUMIFS('Key inputs_EB_TRA'!K$15:K$38,'Key inputs_EB_TRA'!$C$15:$C$38,$C46,'Key inputs_EB_TRA'!$B$15:$B$38,"Pipeline - Natural gas liquids")/SUMIFS('Key inputs_EB_TRA'!K$15:K$38,'Key inputs_EB_TRA'!$B$15:$B$38,"Pipeline - Natural gas liquids")),"")</f>
        <v/>
      </c>
      <c r="R46" s="173" t="str">
        <f>IFERROR(IF(AND(SUMIFS('Key inputs_EB_TRA'!L$15:L$38,'Key inputs_EB_TRA'!$C$15:$C$38,$C46,'Key inputs_EB_TRA'!$B$15:$B$38,"Pipeline - Natural gas liquids")/SUMIFS('Key inputs_EB_TRA'!L$15:L$38,'Key inputs_EB_TRA'!$B$15:$B$38,"Pipeline - Natural gas liquids")&gt;0,SUMIFS('Key inputs_EB_TRA'!L$15:L$38,'Key inputs_EB_TRA'!$C$15:$C$38,$C46,'Key inputs_EB_TRA'!$B$15:$B$38,"Pipeline - Natural gas liquids")/SUMIFS('Key inputs_EB_TRA'!L$15:L$38,'Key inputs_EB_TRA'!$B$15:$B$38,"Pipeline - Natural gas liquids")&lt;0.001),0.001,SUMIFS('Key inputs_EB_TRA'!L$15:L$38,'Key inputs_EB_TRA'!$C$15:$C$38,$C46,'Key inputs_EB_TRA'!$B$15:$B$38,"Pipeline - Natural gas liquids")/SUMIFS('Key inputs_EB_TRA'!L$15:L$38,'Key inputs_EB_TRA'!$B$15:$B$38,"Pipeline - Natural gas liquids")),"")</f>
        <v/>
      </c>
      <c r="S46" s="173" t="str">
        <f>IFERROR(IF(AND(SUMIFS('Key inputs_EB_TRA'!M$15:M$38,'Key inputs_EB_TRA'!$C$15:$C$38,$C46,'Key inputs_EB_TRA'!$B$15:$B$38,"Pipeline - Natural gas liquids")/SUMIFS('Key inputs_EB_TRA'!M$15:M$38,'Key inputs_EB_TRA'!$B$15:$B$38,"Pipeline - Natural gas liquids")&gt;0,SUMIFS('Key inputs_EB_TRA'!M$15:M$38,'Key inputs_EB_TRA'!$C$15:$C$38,$C46,'Key inputs_EB_TRA'!$B$15:$B$38,"Pipeline - Natural gas liquids")/SUMIFS('Key inputs_EB_TRA'!M$15:M$38,'Key inputs_EB_TRA'!$B$15:$B$38,"Pipeline - Natural gas liquids")&lt;0.001),0.001,SUMIFS('Key inputs_EB_TRA'!M$15:M$38,'Key inputs_EB_TRA'!$C$15:$C$38,$C46,'Key inputs_EB_TRA'!$B$15:$B$38,"Pipeline - Natural gas liquids")/SUMIFS('Key inputs_EB_TRA'!M$15:M$38,'Key inputs_EB_TRA'!$B$15:$B$38,"Pipeline - Natural gas liquids")),"")</f>
        <v/>
      </c>
      <c r="T46" s="173">
        <f>IFERROR(IF(AND(SUMIFS('Key inputs_EB_TRA'!N$15:N$38,'Key inputs_EB_TRA'!$C$15:$C$38,$C46,'Key inputs_EB_TRA'!$B$15:$B$38,"Pipeline - Natural gas liquids")/SUMIFS('Key inputs_EB_TRA'!N$15:N$38,'Key inputs_EB_TRA'!$B$15:$B$38,"Pipeline - Natural gas liquids")&gt;0,SUMIFS('Key inputs_EB_TRA'!N$15:N$38,'Key inputs_EB_TRA'!$C$15:$C$38,$C46,'Key inputs_EB_TRA'!$B$15:$B$38,"Pipeline - Natural gas liquids")/SUMIFS('Key inputs_EB_TRA'!N$15:N$38,'Key inputs_EB_TRA'!$B$15:$B$38,"Pipeline - Natural gas liquids")&lt;0.001),0.001,SUMIFS('Key inputs_EB_TRA'!N$15:N$38,'Key inputs_EB_TRA'!$C$15:$C$38,$C46,'Key inputs_EB_TRA'!$B$15:$B$38,"Pipeline - Natural gas liquids")/SUMIFS('Key inputs_EB_TRA'!N$15:N$38,'Key inputs_EB_TRA'!$B$15:$B$38,"Pipeline - Natural gas liquids")),"")</f>
        <v>0</v>
      </c>
      <c r="U46" s="173" t="str">
        <f>IFERROR(IF(AND(SUMIFS('Key inputs_EB_TRA'!O$15:O$38,'Key inputs_EB_TRA'!$C$15:$C$38,$C46,'Key inputs_EB_TRA'!$B$15:$B$38,"Pipeline - Natural gas liquids")/SUMIFS('Key inputs_EB_TRA'!O$15:O$38,'Key inputs_EB_TRA'!$B$15:$B$38,"Pipeline - Natural gas liquids")&gt;0,SUMIFS('Key inputs_EB_TRA'!O$15:O$38,'Key inputs_EB_TRA'!$C$15:$C$38,$C46,'Key inputs_EB_TRA'!$B$15:$B$38,"Pipeline - Natural gas liquids")/SUMIFS('Key inputs_EB_TRA'!O$15:O$38,'Key inputs_EB_TRA'!$B$15:$B$38,"Pipeline - Natural gas liquids")&lt;0.001),0.001,SUMIFS('Key inputs_EB_TRA'!O$15:O$38,'Key inputs_EB_TRA'!$C$15:$C$38,$C46,'Key inputs_EB_TRA'!$B$15:$B$38,"Pipeline - Natural gas liquids")/SUMIFS('Key inputs_EB_TRA'!O$15:O$38,'Key inputs_EB_TRA'!$B$15:$B$38,"Pipeline - Natural gas liquids")),"")</f>
        <v/>
      </c>
      <c r="V46" s="173" t="str">
        <f>IFERROR(IF(AND(SUMIFS('Key inputs_EB_TRA'!P$15:P$38,'Key inputs_EB_TRA'!$C$15:$C$38,$C46,'Key inputs_EB_TRA'!$B$15:$B$38,"Pipeline - Natural gas liquids")/SUMIFS('Key inputs_EB_TRA'!P$15:P$38,'Key inputs_EB_TRA'!$B$15:$B$38,"Pipeline - Natural gas liquids")&gt;0,SUMIFS('Key inputs_EB_TRA'!P$15:P$38,'Key inputs_EB_TRA'!$C$15:$C$38,$C46,'Key inputs_EB_TRA'!$B$15:$B$38,"Pipeline - Natural gas liquids")/SUMIFS('Key inputs_EB_TRA'!P$15:P$38,'Key inputs_EB_TRA'!$B$15:$B$38,"Pipeline - Natural gas liquids")&lt;0.001),0.001,SUMIFS('Key inputs_EB_TRA'!P$15:P$38,'Key inputs_EB_TRA'!$C$15:$C$38,$C46,'Key inputs_EB_TRA'!$B$15:$B$38,"Pipeline - Natural gas liquids")/SUMIFS('Key inputs_EB_TRA'!P$15:P$38,'Key inputs_EB_TRA'!$B$15:$B$38,"Pipeline - Natural gas liquids")),"")</f>
        <v/>
      </c>
      <c r="W46" s="173">
        <f>IFERROR(IF(AND(SUMIFS('Key inputs_EB_TRA'!Q$15:Q$38,'Key inputs_EB_TRA'!$C$15:$C$38,$C46,'Key inputs_EB_TRA'!$B$15:$B$38,"Pipeline - Natural gas liquids")/SUMIFS('Key inputs_EB_TRA'!Q$15:Q$38,'Key inputs_EB_TRA'!$B$15:$B$38,"Pipeline - Natural gas liquids")&gt;0,SUMIFS('Key inputs_EB_TRA'!Q$15:Q$38,'Key inputs_EB_TRA'!$C$15:$C$38,$C46,'Key inputs_EB_TRA'!$B$15:$B$38,"Pipeline - Natural gas liquids")/SUMIFS('Key inputs_EB_TRA'!Q$15:Q$38,'Key inputs_EB_TRA'!$B$15:$B$38,"Pipeline - Natural gas liquids")&lt;0.001),0.001,SUMIFS('Key inputs_EB_TRA'!Q$15:Q$38,'Key inputs_EB_TRA'!$C$15:$C$38,$C46,'Key inputs_EB_TRA'!$B$15:$B$38,"Pipeline - Natural gas liquids")/SUMIFS('Key inputs_EB_TRA'!Q$15:Q$38,'Key inputs_EB_TRA'!$B$15:$B$38,"Pipeline - Natural gas liquids")),"")</f>
        <v>0</v>
      </c>
      <c r="X46" s="173">
        <f>IFERROR(IF(AND(SUMIFS('Key inputs_EB_TRA'!R$15:R$38,'Key inputs_EB_TRA'!$C$15:$C$38,$C46,'Key inputs_EB_TRA'!$B$15:$B$38,"Pipeline - Natural gas liquids")/SUMIFS('Key inputs_EB_TRA'!R$15:R$38,'Key inputs_EB_TRA'!$B$15:$B$38,"Pipeline - Natural gas liquids")&gt;0,SUMIFS('Key inputs_EB_TRA'!R$15:R$38,'Key inputs_EB_TRA'!$C$15:$C$38,$C46,'Key inputs_EB_TRA'!$B$15:$B$38,"Pipeline - Natural gas liquids")/SUMIFS('Key inputs_EB_TRA'!R$15:R$38,'Key inputs_EB_TRA'!$B$15:$B$38,"Pipeline - Natural gas liquids")&lt;0.001),0.001,SUMIFS('Key inputs_EB_TRA'!R$15:R$38,'Key inputs_EB_TRA'!$C$15:$C$38,$C46,'Key inputs_EB_TRA'!$B$15:$B$38,"Pipeline - Natural gas liquids")/SUMIFS('Key inputs_EB_TRA'!R$15:R$38,'Key inputs_EB_TRA'!$B$15:$B$38,"Pipeline - Natural gas liquids")),"")</f>
        <v>0</v>
      </c>
      <c r="Y46" s="173">
        <f>IFERROR(IF(AND(SUMIFS('Key inputs_EB_TRA'!S$15:S$38,'Key inputs_EB_TRA'!$C$15:$C$38,$C46,'Key inputs_EB_TRA'!$B$15:$B$38,"Pipeline - Natural gas liquids")/SUMIFS('Key inputs_EB_TRA'!S$15:S$38,'Key inputs_EB_TRA'!$B$15:$B$38,"Pipeline - Natural gas liquids")&gt;0,SUMIFS('Key inputs_EB_TRA'!S$15:S$38,'Key inputs_EB_TRA'!$C$15:$C$38,$C46,'Key inputs_EB_TRA'!$B$15:$B$38,"Pipeline - Natural gas liquids")/SUMIFS('Key inputs_EB_TRA'!S$15:S$38,'Key inputs_EB_TRA'!$B$15:$B$38,"Pipeline - Natural gas liquids")&lt;0.001),0.001,SUMIFS('Key inputs_EB_TRA'!S$15:S$38,'Key inputs_EB_TRA'!$C$15:$C$38,$C46,'Key inputs_EB_TRA'!$B$15:$B$38,"Pipeline - Natural gas liquids")/SUMIFS('Key inputs_EB_TRA'!S$15:S$38,'Key inputs_EB_TRA'!$B$15:$B$38,"Pipeline - Natural gas liquids")),"")</f>
        <v>0</v>
      </c>
      <c r="Z46" s="173">
        <f>IFERROR(IF(AND(SUMIFS('Key inputs_EB_TRA'!T$15:T$38,'Key inputs_EB_TRA'!$C$15:$C$38,$C46,'Key inputs_EB_TRA'!$B$15:$B$38,"Pipeline - Natural gas liquids")/SUMIFS('Key inputs_EB_TRA'!T$15:T$38,'Key inputs_EB_TRA'!$B$15:$B$38,"Pipeline - Natural gas liquids")&gt;0,SUMIFS('Key inputs_EB_TRA'!T$15:T$38,'Key inputs_EB_TRA'!$C$15:$C$38,$C46,'Key inputs_EB_TRA'!$B$15:$B$38,"Pipeline - Natural gas liquids")/SUMIFS('Key inputs_EB_TRA'!T$15:T$38,'Key inputs_EB_TRA'!$B$15:$B$38,"Pipeline - Natural gas liquids")&lt;0.001),0.001,SUMIFS('Key inputs_EB_TRA'!T$15:T$38,'Key inputs_EB_TRA'!$C$15:$C$38,$C46,'Key inputs_EB_TRA'!$B$15:$B$38,"Pipeline - Natural gas liquids")/SUMIFS('Key inputs_EB_TRA'!T$15:T$38,'Key inputs_EB_TRA'!$B$15:$B$38,"Pipeline - Natural gas liquids")),"")</f>
        <v>0</v>
      </c>
      <c r="AA46" s="173">
        <f>IFERROR(IF(AND(SUMIFS('Key inputs_EB_TRA'!U$15:U$38,'Key inputs_EB_TRA'!$C$15:$C$38,$C46,'Key inputs_EB_TRA'!$B$15:$B$38,"Pipeline - Natural gas liquids")/SUMIFS('Key inputs_EB_TRA'!U$15:U$38,'Key inputs_EB_TRA'!$B$15:$B$38,"Pipeline - Natural gas liquids")&gt;0,SUMIFS('Key inputs_EB_TRA'!U$15:U$38,'Key inputs_EB_TRA'!$C$15:$C$38,$C46,'Key inputs_EB_TRA'!$B$15:$B$38,"Pipeline - Natural gas liquids")/SUMIFS('Key inputs_EB_TRA'!U$15:U$38,'Key inputs_EB_TRA'!$B$15:$B$38,"Pipeline - Natural gas liquids")&lt;0.001),0.001,SUMIFS('Key inputs_EB_TRA'!U$15:U$38,'Key inputs_EB_TRA'!$C$15:$C$38,$C46,'Key inputs_EB_TRA'!$B$15:$B$38,"Pipeline - Natural gas liquids")/SUMIFS('Key inputs_EB_TRA'!U$15:U$38,'Key inputs_EB_TRA'!$B$15:$B$38,"Pipeline - Natural gas liquids")),"")</f>
        <v>0</v>
      </c>
      <c r="AB46" s="173" t="str">
        <f>IFERROR(IF(AND(SUMIFS('Key inputs_EB_TRA'!V$15:V$38,'Key inputs_EB_TRA'!$C$15:$C$38,$C46,'Key inputs_EB_TRA'!$B$15:$B$38,"Pipeline - Natural gas liquids")/SUMIFS('Key inputs_EB_TRA'!V$15:V$38,'Key inputs_EB_TRA'!$B$15:$B$38,"Pipeline - Natural gas liquids")&gt;0,SUMIFS('Key inputs_EB_TRA'!V$15:V$38,'Key inputs_EB_TRA'!$C$15:$C$38,$C46,'Key inputs_EB_TRA'!$B$15:$B$38,"Pipeline - Natural gas liquids")/SUMIFS('Key inputs_EB_TRA'!V$15:V$38,'Key inputs_EB_TRA'!$B$15:$B$38,"Pipeline - Natural gas liquids")&lt;0.001),0.001,SUMIFS('Key inputs_EB_TRA'!V$15:V$38,'Key inputs_EB_TRA'!$C$15:$C$38,$C46,'Key inputs_EB_TRA'!$B$15:$B$38,"Pipeline - Natural gas liquids")/SUMIFS('Key inputs_EB_TRA'!V$15:V$38,'Key inputs_EB_TRA'!$B$15:$B$38,"Pipeline - Natural gas liquids")),"")</f>
        <v/>
      </c>
      <c r="AC46" s="173">
        <f>IFERROR(IF(AND(SUMIFS('Key inputs_EB_TRA'!W$15:W$38,'Key inputs_EB_TRA'!$C$15:$C$38,$C46,'Key inputs_EB_TRA'!$B$15:$B$38,"Pipeline - Natural gas liquids")/SUMIFS('Key inputs_EB_TRA'!W$15:W$38,'Key inputs_EB_TRA'!$B$15:$B$38,"Pipeline - Natural gas liquids")&gt;0,SUMIFS('Key inputs_EB_TRA'!W$15:W$38,'Key inputs_EB_TRA'!$C$15:$C$38,$C46,'Key inputs_EB_TRA'!$B$15:$B$38,"Pipeline - Natural gas liquids")/SUMIFS('Key inputs_EB_TRA'!W$15:W$38,'Key inputs_EB_TRA'!$B$15:$B$38,"Pipeline - Natural gas liquids")&lt;0.001),0.001,SUMIFS('Key inputs_EB_TRA'!W$15:W$38,'Key inputs_EB_TRA'!$C$15:$C$38,$C46,'Key inputs_EB_TRA'!$B$15:$B$38,"Pipeline - Natural gas liquids")/SUMIFS('Key inputs_EB_TRA'!W$15:W$38,'Key inputs_EB_TRA'!$B$15:$B$38,"Pipeline - Natural gas liquids")),"")</f>
        <v>0</v>
      </c>
      <c r="AD46" s="173" t="str">
        <f>IFERROR(IF(AND(SUMIFS('Key inputs_EB_TRA'!X$15:X$38,'Key inputs_EB_TRA'!$C$15:$C$38,$C46,'Key inputs_EB_TRA'!$B$15:$B$38,"Pipeline - Natural gas liquids")/SUMIFS('Key inputs_EB_TRA'!X$15:X$38,'Key inputs_EB_TRA'!$B$15:$B$38,"Pipeline - Natural gas liquids")&gt;0,SUMIFS('Key inputs_EB_TRA'!X$15:X$38,'Key inputs_EB_TRA'!$C$15:$C$38,$C46,'Key inputs_EB_TRA'!$B$15:$B$38,"Pipeline - Natural gas liquids")/SUMIFS('Key inputs_EB_TRA'!X$15:X$38,'Key inputs_EB_TRA'!$B$15:$B$38,"Pipeline - Natural gas liquids")&lt;0.001),0.001,SUMIFS('Key inputs_EB_TRA'!X$15:X$38,'Key inputs_EB_TRA'!$C$15:$C$38,$C46,'Key inputs_EB_TRA'!$B$15:$B$38,"Pipeline - Natural gas liquids")/SUMIFS('Key inputs_EB_TRA'!X$15:X$38,'Key inputs_EB_TRA'!$B$15:$B$38,"Pipeline - Natural gas liquids")),"")</f>
        <v/>
      </c>
      <c r="AE46" s="173">
        <f>IFERROR(IF(AND(SUMIFS('Key inputs_EB_TRA'!Y$15:Y$38,'Key inputs_EB_TRA'!$C$15:$C$38,$C46,'Key inputs_EB_TRA'!$B$15:$B$38,"Pipeline - Natural gas liquids")/SUMIFS('Key inputs_EB_TRA'!Y$15:Y$38,'Key inputs_EB_TRA'!$B$15:$B$38,"Pipeline - Natural gas liquids")&gt;0,SUMIFS('Key inputs_EB_TRA'!Y$15:Y$38,'Key inputs_EB_TRA'!$C$15:$C$38,$C46,'Key inputs_EB_TRA'!$B$15:$B$38,"Pipeline - Natural gas liquids")/SUMIFS('Key inputs_EB_TRA'!Y$15:Y$38,'Key inputs_EB_TRA'!$B$15:$B$38,"Pipeline - Natural gas liquids")&lt;0.001),0.001,SUMIFS('Key inputs_EB_TRA'!Y$15:Y$38,'Key inputs_EB_TRA'!$C$15:$C$38,$C46,'Key inputs_EB_TRA'!$B$15:$B$38,"Pipeline - Natural gas liquids")/SUMIFS('Key inputs_EB_TRA'!Y$15:Y$38,'Key inputs_EB_TRA'!$B$15:$B$38,"Pipeline - Natural gas liquids")),"")</f>
        <v>0</v>
      </c>
      <c r="AF46" s="173">
        <f>IFERROR(IF(AND(SUMIFS('Key inputs_EB_TRA'!Z$15:Z$38,'Key inputs_EB_TRA'!$C$15:$C$38,$C46,'Key inputs_EB_TRA'!$B$15:$B$38,"Pipeline - Natural gas liquids")/SUMIFS('Key inputs_EB_TRA'!Z$15:Z$38,'Key inputs_EB_TRA'!$B$15:$B$38,"Pipeline - Natural gas liquids")&gt;0,SUMIFS('Key inputs_EB_TRA'!Z$15:Z$38,'Key inputs_EB_TRA'!$C$15:$C$38,$C46,'Key inputs_EB_TRA'!$B$15:$B$38,"Pipeline - Natural gas liquids")/SUMIFS('Key inputs_EB_TRA'!Z$15:Z$38,'Key inputs_EB_TRA'!$B$15:$B$38,"Pipeline - Natural gas liquids")&lt;0.001),0.001,SUMIFS('Key inputs_EB_TRA'!Z$15:Z$38,'Key inputs_EB_TRA'!$C$15:$C$38,$C46,'Key inputs_EB_TRA'!$B$15:$B$38,"Pipeline - Natural gas liquids")/SUMIFS('Key inputs_EB_TRA'!Z$15:Z$38,'Key inputs_EB_TRA'!$B$15:$B$38,"Pipeline - Natural gas liquids")),"")</f>
        <v>0</v>
      </c>
      <c r="AG46" s="173">
        <f>IFERROR(IF(AND(SUMIFS('Key inputs_EB_TRA'!AA$15:AA$38,'Key inputs_EB_TRA'!$C$15:$C$38,$C46,'Key inputs_EB_TRA'!$B$15:$B$38,"Pipeline - Natural gas liquids")/SUMIFS('Key inputs_EB_TRA'!AA$15:AA$38,'Key inputs_EB_TRA'!$B$15:$B$38,"Pipeline - Natural gas liquids")&gt;0,SUMIFS('Key inputs_EB_TRA'!AA$15:AA$38,'Key inputs_EB_TRA'!$C$15:$C$38,$C46,'Key inputs_EB_TRA'!$B$15:$B$38,"Pipeline - Natural gas liquids")/SUMIFS('Key inputs_EB_TRA'!AA$15:AA$38,'Key inputs_EB_TRA'!$B$15:$B$38,"Pipeline - Natural gas liquids")&lt;0.001),0.001,SUMIFS('Key inputs_EB_TRA'!AA$15:AA$38,'Key inputs_EB_TRA'!$C$15:$C$38,$C46,'Key inputs_EB_TRA'!$B$15:$B$38,"Pipeline - Natural gas liquids")/SUMIFS('Key inputs_EB_TRA'!AA$15:AA$38,'Key inputs_EB_TRA'!$B$15:$B$38,"Pipeline - Natural gas liquids")),"")</f>
        <v>0</v>
      </c>
      <c r="AH46" s="173" t="str">
        <f>IFERROR(IF(AND(SUMIFS('Key inputs_EB_TRA'!AB$15:AB$38,'Key inputs_EB_TRA'!$C$15:$C$38,$C46,'Key inputs_EB_TRA'!$B$15:$B$38,"Pipeline - Natural gas liquids")/SUMIFS('Key inputs_EB_TRA'!AB$15:AB$38,'Key inputs_EB_TRA'!$B$15:$B$38,"Pipeline - Natural gas liquids")&gt;0,SUMIFS('Key inputs_EB_TRA'!AB$15:AB$38,'Key inputs_EB_TRA'!$C$15:$C$38,$C46,'Key inputs_EB_TRA'!$B$15:$B$38,"Pipeline - Natural gas liquids")/SUMIFS('Key inputs_EB_TRA'!AB$15:AB$38,'Key inputs_EB_TRA'!$B$15:$B$38,"Pipeline - Natural gas liquids")&lt;0.001),0.001,SUMIFS('Key inputs_EB_TRA'!AB$15:AB$38,'Key inputs_EB_TRA'!$C$15:$C$38,$C46,'Key inputs_EB_TRA'!$B$15:$B$38,"Pipeline - Natural gas liquids")/SUMIFS('Key inputs_EB_TRA'!AB$15:AB$38,'Key inputs_EB_TRA'!$B$15:$B$38,"Pipeline - Natural gas liquids")),"")</f>
        <v/>
      </c>
      <c r="AI46" s="173" t="str">
        <f>IFERROR(IF(AND(SUMIFS('Key inputs_EB_TRA'!AC$15:AC$38,'Key inputs_EB_TRA'!$C$15:$C$38,$C46,'Key inputs_EB_TRA'!$B$15:$B$38,"Pipeline - Natural gas liquids")/SUMIFS('Key inputs_EB_TRA'!AC$15:AC$38,'Key inputs_EB_TRA'!$B$15:$B$38,"Pipeline - Natural gas liquids")&gt;0,SUMIFS('Key inputs_EB_TRA'!AC$15:AC$38,'Key inputs_EB_TRA'!$C$15:$C$38,$C46,'Key inputs_EB_TRA'!$B$15:$B$38,"Pipeline - Natural gas liquids")/SUMIFS('Key inputs_EB_TRA'!AC$15:AC$38,'Key inputs_EB_TRA'!$B$15:$B$38,"Pipeline - Natural gas liquids")&lt;0.001),0.001,SUMIFS('Key inputs_EB_TRA'!AC$15:AC$38,'Key inputs_EB_TRA'!$C$15:$C$38,$C46,'Key inputs_EB_TRA'!$B$15:$B$38,"Pipeline - Natural gas liquids")/SUMIFS('Key inputs_EB_TRA'!AC$15:AC$38,'Key inputs_EB_TRA'!$B$15:$B$38,"Pipeline - Natural gas liquids")),"")</f>
        <v/>
      </c>
      <c r="AJ46" s="173">
        <f>IFERROR(IF(AND(SUMIFS('Key inputs_EB_TRA'!AD$15:AD$38,'Key inputs_EB_TRA'!$C$15:$C$38,$C46,'Key inputs_EB_TRA'!$B$15:$B$38,"Pipeline - Natural gas liquids")/SUMIFS('Key inputs_EB_TRA'!AD$15:AD$38,'Key inputs_EB_TRA'!$B$15:$B$38,"Pipeline - Natural gas liquids")&gt;0,SUMIFS('Key inputs_EB_TRA'!AD$15:AD$38,'Key inputs_EB_TRA'!$C$15:$C$38,$C46,'Key inputs_EB_TRA'!$B$15:$B$38,"Pipeline - Natural gas liquids")/SUMIFS('Key inputs_EB_TRA'!AD$15:AD$38,'Key inputs_EB_TRA'!$B$15:$B$38,"Pipeline - Natural gas liquids")&lt;0.001),0.001,SUMIFS('Key inputs_EB_TRA'!AD$15:AD$38,'Key inputs_EB_TRA'!$C$15:$C$38,$C46,'Key inputs_EB_TRA'!$B$15:$B$38,"Pipeline - Natural gas liquids")/SUMIFS('Key inputs_EB_TRA'!AD$15:AD$38,'Key inputs_EB_TRA'!$B$15:$B$38,"Pipeline - Natural gas liquids")),"")</f>
        <v>1E-3</v>
      </c>
      <c r="AK46" s="173" t="str">
        <f>IFERROR(IF(AND(SUMIFS('Key inputs_EB_TRA'!AE$15:AE$38,'Key inputs_EB_TRA'!$C$15:$C$38,$C46,'Key inputs_EB_TRA'!$B$15:$B$38,"Pipeline - Natural gas liquids")/SUMIFS('Key inputs_EB_TRA'!AE$15:AE$38,'Key inputs_EB_TRA'!$B$15:$B$38,"Pipeline - Natural gas liquids")&gt;0,SUMIFS('Key inputs_EB_TRA'!AE$15:AE$38,'Key inputs_EB_TRA'!$C$15:$C$38,$C46,'Key inputs_EB_TRA'!$B$15:$B$38,"Pipeline - Natural gas liquids")/SUMIFS('Key inputs_EB_TRA'!AE$15:AE$38,'Key inputs_EB_TRA'!$B$15:$B$38,"Pipeline - Natural gas liquids")&lt;0.001),0.001,SUMIFS('Key inputs_EB_TRA'!AE$15:AE$38,'Key inputs_EB_TRA'!$C$15:$C$38,$C46,'Key inputs_EB_TRA'!$B$15:$B$38,"Pipeline - Natural gas liquids")/SUMIFS('Key inputs_EB_TRA'!AE$15:AE$38,'Key inputs_EB_TRA'!$B$15:$B$38,"Pipeline - Natural gas liquids")),"")</f>
        <v/>
      </c>
      <c r="AL46" s="173">
        <f>IFERROR(IF(AND(SUMIFS('Key inputs_EB_TRA'!AF$15:AF$38,'Key inputs_EB_TRA'!$C$15:$C$38,$C46,'Key inputs_EB_TRA'!$B$15:$B$38,"Pipeline - Natural gas liquids")/SUMIFS('Key inputs_EB_TRA'!AF$15:AF$38,'Key inputs_EB_TRA'!$B$15:$B$38,"Pipeline - Natural gas liquids")&gt;0,SUMIFS('Key inputs_EB_TRA'!AF$15:AF$38,'Key inputs_EB_TRA'!$C$15:$C$38,$C46,'Key inputs_EB_TRA'!$B$15:$B$38,"Pipeline - Natural gas liquids")/SUMIFS('Key inputs_EB_TRA'!AF$15:AF$38,'Key inputs_EB_TRA'!$B$15:$B$38,"Pipeline - Natural gas liquids")&lt;0.001),0.001,SUMIFS('Key inputs_EB_TRA'!AF$15:AF$38,'Key inputs_EB_TRA'!$C$15:$C$38,$C46,'Key inputs_EB_TRA'!$B$15:$B$38,"Pipeline - Natural gas liquids")/SUMIFS('Key inputs_EB_TRA'!AF$15:AF$38,'Key inputs_EB_TRA'!$B$15:$B$38,"Pipeline - Natural gas liquids")),"")</f>
        <v>0</v>
      </c>
    </row>
    <row r="47" spans="3:38">
      <c r="C47" t="str">
        <f>Commodities!$C$96</f>
        <v>UPSKER</v>
      </c>
      <c r="F47" s="4" t="s">
        <v>359</v>
      </c>
      <c r="G47" s="4" t="s">
        <v>702</v>
      </c>
      <c r="H47" t="s">
        <v>661</v>
      </c>
      <c r="I47">
        <v>2019</v>
      </c>
      <c r="J47" t="s">
        <v>650</v>
      </c>
      <c r="K47" s="263" t="str">
        <f>IFERROR(IF(AND(SUMIFS('Key inputs_EB_TRA'!E$15:E$38,'Key inputs_EB_TRA'!$C$15:$C$38,$C47,'Key inputs_EB_TRA'!$B$15:$B$38,"Pipeline - Natural gas liquids")/SUMIFS('Key inputs_EB_TRA'!E$15:E$38,'Key inputs_EB_TRA'!$B$15:$B$38,"Pipeline - Natural gas liquids")&gt;0,SUMIFS('Key inputs_EB_TRA'!E$15:E$38,'Key inputs_EB_TRA'!$C$15:$C$38,$C47,'Key inputs_EB_TRA'!$B$15:$B$38,"Pipeline - Natural gas liquids")/SUMIFS('Key inputs_EB_TRA'!E$15:E$38,'Key inputs_EB_TRA'!$B$15:$B$38,"Pipeline - Natural gas liquids")&lt;0.001),0.001,SUMIFS('Key inputs_EB_TRA'!E$15:E$38,'Key inputs_EB_TRA'!$C$15:$C$38,$C47,'Key inputs_EB_TRA'!$B$15:$B$38,"Pipeline - Natural gas liquids")/SUMIFS('Key inputs_EB_TRA'!E$15:E$38,'Key inputs_EB_TRA'!$B$15:$B$38,"Pipeline - Natural gas liquids")),"")</f>
        <v/>
      </c>
      <c r="L47" s="173">
        <f>IFERROR(IF(AND(SUMIFS('Key inputs_EB_TRA'!F$15:F$38,'Key inputs_EB_TRA'!$C$15:$C$38,$C47,'Key inputs_EB_TRA'!$B$15:$B$38,"Pipeline - Natural gas liquids")/SUMIFS('Key inputs_EB_TRA'!F$15:F$38,'Key inputs_EB_TRA'!$B$15:$B$38,"Pipeline - Natural gas liquids")&gt;0,SUMIFS('Key inputs_EB_TRA'!F$15:F$38,'Key inputs_EB_TRA'!$C$15:$C$38,$C47,'Key inputs_EB_TRA'!$B$15:$B$38,"Pipeline - Natural gas liquids")/SUMIFS('Key inputs_EB_TRA'!F$15:F$38,'Key inputs_EB_TRA'!$B$15:$B$38,"Pipeline - Natural gas liquids")&lt;0.001),0.001,SUMIFS('Key inputs_EB_TRA'!F$15:F$38,'Key inputs_EB_TRA'!$C$15:$C$38,$C47,'Key inputs_EB_TRA'!$B$15:$B$38,"Pipeline - Natural gas liquids")/SUMIFS('Key inputs_EB_TRA'!F$15:F$38,'Key inputs_EB_TRA'!$B$15:$B$38,"Pipeline - Natural gas liquids")),"")</f>
        <v>0</v>
      </c>
      <c r="M47" s="173">
        <f>IFERROR(IF(AND(SUMIFS('Key inputs_EB_TRA'!G$15:G$38,'Key inputs_EB_TRA'!$C$15:$C$38,$C47,'Key inputs_EB_TRA'!$B$15:$B$38,"Pipeline - Natural gas liquids")/SUMIFS('Key inputs_EB_TRA'!G$15:G$38,'Key inputs_EB_TRA'!$B$15:$B$38,"Pipeline - Natural gas liquids")&gt;0,SUMIFS('Key inputs_EB_TRA'!G$15:G$38,'Key inputs_EB_TRA'!$C$15:$C$38,$C47,'Key inputs_EB_TRA'!$B$15:$B$38,"Pipeline - Natural gas liquids")/SUMIFS('Key inputs_EB_TRA'!G$15:G$38,'Key inputs_EB_TRA'!$B$15:$B$38,"Pipeline - Natural gas liquids")&lt;0.001),0.001,SUMIFS('Key inputs_EB_TRA'!G$15:G$38,'Key inputs_EB_TRA'!$C$15:$C$38,$C47,'Key inputs_EB_TRA'!$B$15:$B$38,"Pipeline - Natural gas liquids")/SUMIFS('Key inputs_EB_TRA'!G$15:G$38,'Key inputs_EB_TRA'!$B$15:$B$38,"Pipeline - Natural gas liquids")),"")</f>
        <v>0</v>
      </c>
      <c r="N47" s="173">
        <f>IFERROR(IF(AND(SUMIFS('Key inputs_EB_TRA'!H$15:H$38,'Key inputs_EB_TRA'!$C$15:$C$38,$C47,'Key inputs_EB_TRA'!$B$15:$B$38,"Pipeline - Natural gas liquids")/SUMIFS('Key inputs_EB_TRA'!H$15:H$38,'Key inputs_EB_TRA'!$B$15:$B$38,"Pipeline - Natural gas liquids")&gt;0,SUMIFS('Key inputs_EB_TRA'!H$15:H$38,'Key inputs_EB_TRA'!$C$15:$C$38,$C47,'Key inputs_EB_TRA'!$B$15:$B$38,"Pipeline - Natural gas liquids")/SUMIFS('Key inputs_EB_TRA'!H$15:H$38,'Key inputs_EB_TRA'!$B$15:$B$38,"Pipeline - Natural gas liquids")&lt;0.001),0.001,SUMIFS('Key inputs_EB_TRA'!H$15:H$38,'Key inputs_EB_TRA'!$C$15:$C$38,$C47,'Key inputs_EB_TRA'!$B$15:$B$38,"Pipeline - Natural gas liquids")/SUMIFS('Key inputs_EB_TRA'!H$15:H$38,'Key inputs_EB_TRA'!$B$15:$B$38,"Pipeline - Natural gas liquids")),"")</f>
        <v>0</v>
      </c>
      <c r="O47" s="173">
        <f>IFERROR(IF(AND(SUMIFS('Key inputs_EB_TRA'!I$15:I$38,'Key inputs_EB_TRA'!$C$15:$C$38,$C47,'Key inputs_EB_TRA'!$B$15:$B$38,"Pipeline - Natural gas liquids")/SUMIFS('Key inputs_EB_TRA'!I$15:I$38,'Key inputs_EB_TRA'!$B$15:$B$38,"Pipeline - Natural gas liquids")&gt;0,SUMIFS('Key inputs_EB_TRA'!I$15:I$38,'Key inputs_EB_TRA'!$C$15:$C$38,$C47,'Key inputs_EB_TRA'!$B$15:$B$38,"Pipeline - Natural gas liquids")/SUMIFS('Key inputs_EB_TRA'!I$15:I$38,'Key inputs_EB_TRA'!$B$15:$B$38,"Pipeline - Natural gas liquids")&lt;0.001),0.001,SUMIFS('Key inputs_EB_TRA'!I$15:I$38,'Key inputs_EB_TRA'!$C$15:$C$38,$C47,'Key inputs_EB_TRA'!$B$15:$B$38,"Pipeline - Natural gas liquids")/SUMIFS('Key inputs_EB_TRA'!I$15:I$38,'Key inputs_EB_TRA'!$B$15:$B$38,"Pipeline - Natural gas liquids")),"")</f>
        <v>0</v>
      </c>
      <c r="P47" s="173">
        <f>IFERROR(IF(AND(SUMIFS('Key inputs_EB_TRA'!J$15:J$38,'Key inputs_EB_TRA'!$C$15:$C$38,$C47,'Key inputs_EB_TRA'!$B$15:$B$38,"Pipeline - Natural gas liquids")/SUMIFS('Key inputs_EB_TRA'!J$15:J$38,'Key inputs_EB_TRA'!$B$15:$B$38,"Pipeline - Natural gas liquids")&gt;0,SUMIFS('Key inputs_EB_TRA'!J$15:J$38,'Key inputs_EB_TRA'!$C$15:$C$38,$C47,'Key inputs_EB_TRA'!$B$15:$B$38,"Pipeline - Natural gas liquids")/SUMIFS('Key inputs_EB_TRA'!J$15:J$38,'Key inputs_EB_TRA'!$B$15:$B$38,"Pipeline - Natural gas liquids")&lt;0.001),0.001,SUMIFS('Key inputs_EB_TRA'!J$15:J$38,'Key inputs_EB_TRA'!$C$15:$C$38,$C47,'Key inputs_EB_TRA'!$B$15:$B$38,"Pipeline - Natural gas liquids")/SUMIFS('Key inputs_EB_TRA'!J$15:J$38,'Key inputs_EB_TRA'!$B$15:$B$38,"Pipeline - Natural gas liquids")),"")</f>
        <v>0</v>
      </c>
      <c r="Q47" s="173" t="str">
        <f>IFERROR(IF(AND(SUMIFS('Key inputs_EB_TRA'!K$15:K$38,'Key inputs_EB_TRA'!$C$15:$C$38,$C47,'Key inputs_EB_TRA'!$B$15:$B$38,"Pipeline - Natural gas liquids")/SUMIFS('Key inputs_EB_TRA'!K$15:K$38,'Key inputs_EB_TRA'!$B$15:$B$38,"Pipeline - Natural gas liquids")&gt;0,SUMIFS('Key inputs_EB_TRA'!K$15:K$38,'Key inputs_EB_TRA'!$C$15:$C$38,$C47,'Key inputs_EB_TRA'!$B$15:$B$38,"Pipeline - Natural gas liquids")/SUMIFS('Key inputs_EB_TRA'!K$15:K$38,'Key inputs_EB_TRA'!$B$15:$B$38,"Pipeline - Natural gas liquids")&lt;0.001),0.001,SUMIFS('Key inputs_EB_TRA'!K$15:K$38,'Key inputs_EB_TRA'!$C$15:$C$38,$C47,'Key inputs_EB_TRA'!$B$15:$B$38,"Pipeline - Natural gas liquids")/SUMIFS('Key inputs_EB_TRA'!K$15:K$38,'Key inputs_EB_TRA'!$B$15:$B$38,"Pipeline - Natural gas liquids")),"")</f>
        <v/>
      </c>
      <c r="R47" s="173" t="str">
        <f>IFERROR(IF(AND(SUMIFS('Key inputs_EB_TRA'!L$15:L$38,'Key inputs_EB_TRA'!$C$15:$C$38,$C47,'Key inputs_EB_TRA'!$B$15:$B$38,"Pipeline - Natural gas liquids")/SUMIFS('Key inputs_EB_TRA'!L$15:L$38,'Key inputs_EB_TRA'!$B$15:$B$38,"Pipeline - Natural gas liquids")&gt;0,SUMIFS('Key inputs_EB_TRA'!L$15:L$38,'Key inputs_EB_TRA'!$C$15:$C$38,$C47,'Key inputs_EB_TRA'!$B$15:$B$38,"Pipeline - Natural gas liquids")/SUMIFS('Key inputs_EB_TRA'!L$15:L$38,'Key inputs_EB_TRA'!$B$15:$B$38,"Pipeline - Natural gas liquids")&lt;0.001),0.001,SUMIFS('Key inputs_EB_TRA'!L$15:L$38,'Key inputs_EB_TRA'!$C$15:$C$38,$C47,'Key inputs_EB_TRA'!$B$15:$B$38,"Pipeline - Natural gas liquids")/SUMIFS('Key inputs_EB_TRA'!L$15:L$38,'Key inputs_EB_TRA'!$B$15:$B$38,"Pipeline - Natural gas liquids")),"")</f>
        <v/>
      </c>
      <c r="S47" s="173" t="str">
        <f>IFERROR(IF(AND(SUMIFS('Key inputs_EB_TRA'!M$15:M$38,'Key inputs_EB_TRA'!$C$15:$C$38,$C47,'Key inputs_EB_TRA'!$B$15:$B$38,"Pipeline - Natural gas liquids")/SUMIFS('Key inputs_EB_TRA'!M$15:M$38,'Key inputs_EB_TRA'!$B$15:$B$38,"Pipeline - Natural gas liquids")&gt;0,SUMIFS('Key inputs_EB_TRA'!M$15:M$38,'Key inputs_EB_TRA'!$C$15:$C$38,$C47,'Key inputs_EB_TRA'!$B$15:$B$38,"Pipeline - Natural gas liquids")/SUMIFS('Key inputs_EB_TRA'!M$15:M$38,'Key inputs_EB_TRA'!$B$15:$B$38,"Pipeline - Natural gas liquids")&lt;0.001),0.001,SUMIFS('Key inputs_EB_TRA'!M$15:M$38,'Key inputs_EB_TRA'!$C$15:$C$38,$C47,'Key inputs_EB_TRA'!$B$15:$B$38,"Pipeline - Natural gas liquids")/SUMIFS('Key inputs_EB_TRA'!M$15:M$38,'Key inputs_EB_TRA'!$B$15:$B$38,"Pipeline - Natural gas liquids")),"")</f>
        <v/>
      </c>
      <c r="T47" s="173">
        <f>IFERROR(IF(AND(SUMIFS('Key inputs_EB_TRA'!N$15:N$38,'Key inputs_EB_TRA'!$C$15:$C$38,$C47,'Key inputs_EB_TRA'!$B$15:$B$38,"Pipeline - Natural gas liquids")/SUMIFS('Key inputs_EB_TRA'!N$15:N$38,'Key inputs_EB_TRA'!$B$15:$B$38,"Pipeline - Natural gas liquids")&gt;0,SUMIFS('Key inputs_EB_TRA'!N$15:N$38,'Key inputs_EB_TRA'!$C$15:$C$38,$C47,'Key inputs_EB_TRA'!$B$15:$B$38,"Pipeline - Natural gas liquids")/SUMIFS('Key inputs_EB_TRA'!N$15:N$38,'Key inputs_EB_TRA'!$B$15:$B$38,"Pipeline - Natural gas liquids")&lt;0.001),0.001,SUMIFS('Key inputs_EB_TRA'!N$15:N$38,'Key inputs_EB_TRA'!$C$15:$C$38,$C47,'Key inputs_EB_TRA'!$B$15:$B$38,"Pipeline - Natural gas liquids")/SUMIFS('Key inputs_EB_TRA'!N$15:N$38,'Key inputs_EB_TRA'!$B$15:$B$38,"Pipeline - Natural gas liquids")),"")</f>
        <v>0</v>
      </c>
      <c r="U47" s="173" t="str">
        <f>IFERROR(IF(AND(SUMIFS('Key inputs_EB_TRA'!O$15:O$38,'Key inputs_EB_TRA'!$C$15:$C$38,$C47,'Key inputs_EB_TRA'!$B$15:$B$38,"Pipeline - Natural gas liquids")/SUMIFS('Key inputs_EB_TRA'!O$15:O$38,'Key inputs_EB_TRA'!$B$15:$B$38,"Pipeline - Natural gas liquids")&gt;0,SUMIFS('Key inputs_EB_TRA'!O$15:O$38,'Key inputs_EB_TRA'!$C$15:$C$38,$C47,'Key inputs_EB_TRA'!$B$15:$B$38,"Pipeline - Natural gas liquids")/SUMIFS('Key inputs_EB_TRA'!O$15:O$38,'Key inputs_EB_TRA'!$B$15:$B$38,"Pipeline - Natural gas liquids")&lt;0.001),0.001,SUMIFS('Key inputs_EB_TRA'!O$15:O$38,'Key inputs_EB_TRA'!$C$15:$C$38,$C47,'Key inputs_EB_TRA'!$B$15:$B$38,"Pipeline - Natural gas liquids")/SUMIFS('Key inputs_EB_TRA'!O$15:O$38,'Key inputs_EB_TRA'!$B$15:$B$38,"Pipeline - Natural gas liquids")),"")</f>
        <v/>
      </c>
      <c r="V47" s="173" t="str">
        <f>IFERROR(IF(AND(SUMIFS('Key inputs_EB_TRA'!P$15:P$38,'Key inputs_EB_TRA'!$C$15:$C$38,$C47,'Key inputs_EB_TRA'!$B$15:$B$38,"Pipeline - Natural gas liquids")/SUMIFS('Key inputs_EB_TRA'!P$15:P$38,'Key inputs_EB_TRA'!$B$15:$B$38,"Pipeline - Natural gas liquids")&gt;0,SUMIFS('Key inputs_EB_TRA'!P$15:P$38,'Key inputs_EB_TRA'!$C$15:$C$38,$C47,'Key inputs_EB_TRA'!$B$15:$B$38,"Pipeline - Natural gas liquids")/SUMIFS('Key inputs_EB_TRA'!P$15:P$38,'Key inputs_EB_TRA'!$B$15:$B$38,"Pipeline - Natural gas liquids")&lt;0.001),0.001,SUMIFS('Key inputs_EB_TRA'!P$15:P$38,'Key inputs_EB_TRA'!$C$15:$C$38,$C47,'Key inputs_EB_TRA'!$B$15:$B$38,"Pipeline - Natural gas liquids")/SUMIFS('Key inputs_EB_TRA'!P$15:P$38,'Key inputs_EB_TRA'!$B$15:$B$38,"Pipeline - Natural gas liquids")),"")</f>
        <v/>
      </c>
      <c r="W47" s="173">
        <f>IFERROR(IF(AND(SUMIFS('Key inputs_EB_TRA'!Q$15:Q$38,'Key inputs_EB_TRA'!$C$15:$C$38,$C47,'Key inputs_EB_TRA'!$B$15:$B$38,"Pipeline - Natural gas liquids")/SUMIFS('Key inputs_EB_TRA'!Q$15:Q$38,'Key inputs_EB_TRA'!$B$15:$B$38,"Pipeline - Natural gas liquids")&gt;0,SUMIFS('Key inputs_EB_TRA'!Q$15:Q$38,'Key inputs_EB_TRA'!$C$15:$C$38,$C47,'Key inputs_EB_TRA'!$B$15:$B$38,"Pipeline - Natural gas liquids")/SUMIFS('Key inputs_EB_TRA'!Q$15:Q$38,'Key inputs_EB_TRA'!$B$15:$B$38,"Pipeline - Natural gas liquids")&lt;0.001),0.001,SUMIFS('Key inputs_EB_TRA'!Q$15:Q$38,'Key inputs_EB_TRA'!$C$15:$C$38,$C47,'Key inputs_EB_TRA'!$B$15:$B$38,"Pipeline - Natural gas liquids")/SUMIFS('Key inputs_EB_TRA'!Q$15:Q$38,'Key inputs_EB_TRA'!$B$15:$B$38,"Pipeline - Natural gas liquids")),"")</f>
        <v>0</v>
      </c>
      <c r="X47" s="173">
        <f>IFERROR(IF(AND(SUMIFS('Key inputs_EB_TRA'!R$15:R$38,'Key inputs_EB_TRA'!$C$15:$C$38,$C47,'Key inputs_EB_TRA'!$B$15:$B$38,"Pipeline - Natural gas liquids")/SUMIFS('Key inputs_EB_TRA'!R$15:R$38,'Key inputs_EB_TRA'!$B$15:$B$38,"Pipeline - Natural gas liquids")&gt;0,SUMIFS('Key inputs_EB_TRA'!R$15:R$38,'Key inputs_EB_TRA'!$C$15:$C$38,$C47,'Key inputs_EB_TRA'!$B$15:$B$38,"Pipeline - Natural gas liquids")/SUMIFS('Key inputs_EB_TRA'!R$15:R$38,'Key inputs_EB_TRA'!$B$15:$B$38,"Pipeline - Natural gas liquids")&lt;0.001),0.001,SUMIFS('Key inputs_EB_TRA'!R$15:R$38,'Key inputs_EB_TRA'!$C$15:$C$38,$C47,'Key inputs_EB_TRA'!$B$15:$B$38,"Pipeline - Natural gas liquids")/SUMIFS('Key inputs_EB_TRA'!R$15:R$38,'Key inputs_EB_TRA'!$B$15:$B$38,"Pipeline - Natural gas liquids")),"")</f>
        <v>0</v>
      </c>
      <c r="Y47" s="173">
        <f>IFERROR(IF(AND(SUMIFS('Key inputs_EB_TRA'!S$15:S$38,'Key inputs_EB_TRA'!$C$15:$C$38,$C47,'Key inputs_EB_TRA'!$B$15:$B$38,"Pipeline - Natural gas liquids")/SUMIFS('Key inputs_EB_TRA'!S$15:S$38,'Key inputs_EB_TRA'!$B$15:$B$38,"Pipeline - Natural gas liquids")&gt;0,SUMIFS('Key inputs_EB_TRA'!S$15:S$38,'Key inputs_EB_TRA'!$C$15:$C$38,$C47,'Key inputs_EB_TRA'!$B$15:$B$38,"Pipeline - Natural gas liquids")/SUMIFS('Key inputs_EB_TRA'!S$15:S$38,'Key inputs_EB_TRA'!$B$15:$B$38,"Pipeline - Natural gas liquids")&lt;0.001),0.001,SUMIFS('Key inputs_EB_TRA'!S$15:S$38,'Key inputs_EB_TRA'!$C$15:$C$38,$C47,'Key inputs_EB_TRA'!$B$15:$B$38,"Pipeline - Natural gas liquids")/SUMIFS('Key inputs_EB_TRA'!S$15:S$38,'Key inputs_EB_TRA'!$B$15:$B$38,"Pipeline - Natural gas liquids")),"")</f>
        <v>0</v>
      </c>
      <c r="Z47" s="173">
        <f>IFERROR(IF(AND(SUMIFS('Key inputs_EB_TRA'!T$15:T$38,'Key inputs_EB_TRA'!$C$15:$C$38,$C47,'Key inputs_EB_TRA'!$B$15:$B$38,"Pipeline - Natural gas liquids")/SUMIFS('Key inputs_EB_TRA'!T$15:T$38,'Key inputs_EB_TRA'!$B$15:$B$38,"Pipeline - Natural gas liquids")&gt;0,SUMIFS('Key inputs_EB_TRA'!T$15:T$38,'Key inputs_EB_TRA'!$C$15:$C$38,$C47,'Key inputs_EB_TRA'!$B$15:$B$38,"Pipeline - Natural gas liquids")/SUMIFS('Key inputs_EB_TRA'!T$15:T$38,'Key inputs_EB_TRA'!$B$15:$B$38,"Pipeline - Natural gas liquids")&lt;0.001),0.001,SUMIFS('Key inputs_EB_TRA'!T$15:T$38,'Key inputs_EB_TRA'!$C$15:$C$38,$C47,'Key inputs_EB_TRA'!$B$15:$B$38,"Pipeline - Natural gas liquids")/SUMIFS('Key inputs_EB_TRA'!T$15:T$38,'Key inputs_EB_TRA'!$B$15:$B$38,"Pipeline - Natural gas liquids")),"")</f>
        <v>0</v>
      </c>
      <c r="AA47" s="173">
        <f>IFERROR(IF(AND(SUMIFS('Key inputs_EB_TRA'!U$15:U$38,'Key inputs_EB_TRA'!$C$15:$C$38,$C47,'Key inputs_EB_TRA'!$B$15:$B$38,"Pipeline - Natural gas liquids")/SUMIFS('Key inputs_EB_TRA'!U$15:U$38,'Key inputs_EB_TRA'!$B$15:$B$38,"Pipeline - Natural gas liquids")&gt;0,SUMIFS('Key inputs_EB_TRA'!U$15:U$38,'Key inputs_EB_TRA'!$C$15:$C$38,$C47,'Key inputs_EB_TRA'!$B$15:$B$38,"Pipeline - Natural gas liquids")/SUMIFS('Key inputs_EB_TRA'!U$15:U$38,'Key inputs_EB_TRA'!$B$15:$B$38,"Pipeline - Natural gas liquids")&lt;0.001),0.001,SUMIFS('Key inputs_EB_TRA'!U$15:U$38,'Key inputs_EB_TRA'!$C$15:$C$38,$C47,'Key inputs_EB_TRA'!$B$15:$B$38,"Pipeline - Natural gas liquids")/SUMIFS('Key inputs_EB_TRA'!U$15:U$38,'Key inputs_EB_TRA'!$B$15:$B$38,"Pipeline - Natural gas liquids")),"")</f>
        <v>0</v>
      </c>
      <c r="AB47" s="173" t="str">
        <f>IFERROR(IF(AND(SUMIFS('Key inputs_EB_TRA'!V$15:V$38,'Key inputs_EB_TRA'!$C$15:$C$38,$C47,'Key inputs_EB_TRA'!$B$15:$B$38,"Pipeline - Natural gas liquids")/SUMIFS('Key inputs_EB_TRA'!V$15:V$38,'Key inputs_EB_TRA'!$B$15:$B$38,"Pipeline - Natural gas liquids")&gt;0,SUMIFS('Key inputs_EB_TRA'!V$15:V$38,'Key inputs_EB_TRA'!$C$15:$C$38,$C47,'Key inputs_EB_TRA'!$B$15:$B$38,"Pipeline - Natural gas liquids")/SUMIFS('Key inputs_EB_TRA'!V$15:V$38,'Key inputs_EB_TRA'!$B$15:$B$38,"Pipeline - Natural gas liquids")&lt;0.001),0.001,SUMIFS('Key inputs_EB_TRA'!V$15:V$38,'Key inputs_EB_TRA'!$C$15:$C$38,$C47,'Key inputs_EB_TRA'!$B$15:$B$38,"Pipeline - Natural gas liquids")/SUMIFS('Key inputs_EB_TRA'!V$15:V$38,'Key inputs_EB_TRA'!$B$15:$B$38,"Pipeline - Natural gas liquids")),"")</f>
        <v/>
      </c>
      <c r="AC47" s="173">
        <f>IFERROR(IF(AND(SUMIFS('Key inputs_EB_TRA'!W$15:W$38,'Key inputs_EB_TRA'!$C$15:$C$38,$C47,'Key inputs_EB_TRA'!$B$15:$B$38,"Pipeline - Natural gas liquids")/SUMIFS('Key inputs_EB_TRA'!W$15:W$38,'Key inputs_EB_TRA'!$B$15:$B$38,"Pipeline - Natural gas liquids")&gt;0,SUMIFS('Key inputs_EB_TRA'!W$15:W$38,'Key inputs_EB_TRA'!$C$15:$C$38,$C47,'Key inputs_EB_TRA'!$B$15:$B$38,"Pipeline - Natural gas liquids")/SUMIFS('Key inputs_EB_TRA'!W$15:W$38,'Key inputs_EB_TRA'!$B$15:$B$38,"Pipeline - Natural gas liquids")&lt;0.001),0.001,SUMIFS('Key inputs_EB_TRA'!W$15:W$38,'Key inputs_EB_TRA'!$C$15:$C$38,$C47,'Key inputs_EB_TRA'!$B$15:$B$38,"Pipeline - Natural gas liquids")/SUMIFS('Key inputs_EB_TRA'!W$15:W$38,'Key inputs_EB_TRA'!$B$15:$B$38,"Pipeline - Natural gas liquids")),"")</f>
        <v>0</v>
      </c>
      <c r="AD47" s="173" t="str">
        <f>IFERROR(IF(AND(SUMIFS('Key inputs_EB_TRA'!X$15:X$38,'Key inputs_EB_TRA'!$C$15:$C$38,$C47,'Key inputs_EB_TRA'!$B$15:$B$38,"Pipeline - Natural gas liquids")/SUMIFS('Key inputs_EB_TRA'!X$15:X$38,'Key inputs_EB_TRA'!$B$15:$B$38,"Pipeline - Natural gas liquids")&gt;0,SUMIFS('Key inputs_EB_TRA'!X$15:X$38,'Key inputs_EB_TRA'!$C$15:$C$38,$C47,'Key inputs_EB_TRA'!$B$15:$B$38,"Pipeline - Natural gas liquids")/SUMIFS('Key inputs_EB_TRA'!X$15:X$38,'Key inputs_EB_TRA'!$B$15:$B$38,"Pipeline - Natural gas liquids")&lt;0.001),0.001,SUMIFS('Key inputs_EB_TRA'!X$15:X$38,'Key inputs_EB_TRA'!$C$15:$C$38,$C47,'Key inputs_EB_TRA'!$B$15:$B$38,"Pipeline - Natural gas liquids")/SUMIFS('Key inputs_EB_TRA'!X$15:X$38,'Key inputs_EB_TRA'!$B$15:$B$38,"Pipeline - Natural gas liquids")),"")</f>
        <v/>
      </c>
      <c r="AE47" s="173">
        <f>IFERROR(IF(AND(SUMIFS('Key inputs_EB_TRA'!Y$15:Y$38,'Key inputs_EB_TRA'!$C$15:$C$38,$C47,'Key inputs_EB_TRA'!$B$15:$B$38,"Pipeline - Natural gas liquids")/SUMIFS('Key inputs_EB_TRA'!Y$15:Y$38,'Key inputs_EB_TRA'!$B$15:$B$38,"Pipeline - Natural gas liquids")&gt;0,SUMIFS('Key inputs_EB_TRA'!Y$15:Y$38,'Key inputs_EB_TRA'!$C$15:$C$38,$C47,'Key inputs_EB_TRA'!$B$15:$B$38,"Pipeline - Natural gas liquids")/SUMIFS('Key inputs_EB_TRA'!Y$15:Y$38,'Key inputs_EB_TRA'!$B$15:$B$38,"Pipeline - Natural gas liquids")&lt;0.001),0.001,SUMIFS('Key inputs_EB_TRA'!Y$15:Y$38,'Key inputs_EB_TRA'!$C$15:$C$38,$C47,'Key inputs_EB_TRA'!$B$15:$B$38,"Pipeline - Natural gas liquids")/SUMIFS('Key inputs_EB_TRA'!Y$15:Y$38,'Key inputs_EB_TRA'!$B$15:$B$38,"Pipeline - Natural gas liquids")),"")</f>
        <v>0</v>
      </c>
      <c r="AF47" s="173">
        <f>IFERROR(IF(AND(SUMIFS('Key inputs_EB_TRA'!Z$15:Z$38,'Key inputs_EB_TRA'!$C$15:$C$38,$C47,'Key inputs_EB_TRA'!$B$15:$B$38,"Pipeline - Natural gas liquids")/SUMIFS('Key inputs_EB_TRA'!Z$15:Z$38,'Key inputs_EB_TRA'!$B$15:$B$38,"Pipeline - Natural gas liquids")&gt;0,SUMIFS('Key inputs_EB_TRA'!Z$15:Z$38,'Key inputs_EB_TRA'!$C$15:$C$38,$C47,'Key inputs_EB_TRA'!$B$15:$B$38,"Pipeline - Natural gas liquids")/SUMIFS('Key inputs_EB_TRA'!Z$15:Z$38,'Key inputs_EB_TRA'!$B$15:$B$38,"Pipeline - Natural gas liquids")&lt;0.001),0.001,SUMIFS('Key inputs_EB_TRA'!Z$15:Z$38,'Key inputs_EB_TRA'!$C$15:$C$38,$C47,'Key inputs_EB_TRA'!$B$15:$B$38,"Pipeline - Natural gas liquids")/SUMIFS('Key inputs_EB_TRA'!Z$15:Z$38,'Key inputs_EB_TRA'!$B$15:$B$38,"Pipeline - Natural gas liquids")),"")</f>
        <v>0</v>
      </c>
      <c r="AG47" s="173">
        <f>IFERROR(IF(AND(SUMIFS('Key inputs_EB_TRA'!AA$15:AA$38,'Key inputs_EB_TRA'!$C$15:$C$38,$C47,'Key inputs_EB_TRA'!$B$15:$B$38,"Pipeline - Natural gas liquids")/SUMIFS('Key inputs_EB_TRA'!AA$15:AA$38,'Key inputs_EB_TRA'!$B$15:$B$38,"Pipeline - Natural gas liquids")&gt;0,SUMIFS('Key inputs_EB_TRA'!AA$15:AA$38,'Key inputs_EB_TRA'!$C$15:$C$38,$C47,'Key inputs_EB_TRA'!$B$15:$B$38,"Pipeline - Natural gas liquids")/SUMIFS('Key inputs_EB_TRA'!AA$15:AA$38,'Key inputs_EB_TRA'!$B$15:$B$38,"Pipeline - Natural gas liquids")&lt;0.001),0.001,SUMIFS('Key inputs_EB_TRA'!AA$15:AA$38,'Key inputs_EB_TRA'!$C$15:$C$38,$C47,'Key inputs_EB_TRA'!$B$15:$B$38,"Pipeline - Natural gas liquids")/SUMIFS('Key inputs_EB_TRA'!AA$15:AA$38,'Key inputs_EB_TRA'!$B$15:$B$38,"Pipeline - Natural gas liquids")),"")</f>
        <v>6.0644860900942843E-2</v>
      </c>
      <c r="AH47" s="173" t="str">
        <f>IFERROR(IF(AND(SUMIFS('Key inputs_EB_TRA'!AB$15:AB$38,'Key inputs_EB_TRA'!$C$15:$C$38,$C47,'Key inputs_EB_TRA'!$B$15:$B$38,"Pipeline - Natural gas liquids")/SUMIFS('Key inputs_EB_TRA'!AB$15:AB$38,'Key inputs_EB_TRA'!$B$15:$B$38,"Pipeline - Natural gas liquids")&gt;0,SUMIFS('Key inputs_EB_TRA'!AB$15:AB$38,'Key inputs_EB_TRA'!$C$15:$C$38,$C47,'Key inputs_EB_TRA'!$B$15:$B$38,"Pipeline - Natural gas liquids")/SUMIFS('Key inputs_EB_TRA'!AB$15:AB$38,'Key inputs_EB_TRA'!$B$15:$B$38,"Pipeline - Natural gas liquids")&lt;0.001),0.001,SUMIFS('Key inputs_EB_TRA'!AB$15:AB$38,'Key inputs_EB_TRA'!$C$15:$C$38,$C47,'Key inputs_EB_TRA'!$B$15:$B$38,"Pipeline - Natural gas liquids")/SUMIFS('Key inputs_EB_TRA'!AB$15:AB$38,'Key inputs_EB_TRA'!$B$15:$B$38,"Pipeline - Natural gas liquids")),"")</f>
        <v/>
      </c>
      <c r="AI47" s="173" t="str">
        <f>IFERROR(IF(AND(SUMIFS('Key inputs_EB_TRA'!AC$15:AC$38,'Key inputs_EB_TRA'!$C$15:$C$38,$C47,'Key inputs_EB_TRA'!$B$15:$B$38,"Pipeline - Natural gas liquids")/SUMIFS('Key inputs_EB_TRA'!AC$15:AC$38,'Key inputs_EB_TRA'!$B$15:$B$38,"Pipeline - Natural gas liquids")&gt;0,SUMIFS('Key inputs_EB_TRA'!AC$15:AC$38,'Key inputs_EB_TRA'!$C$15:$C$38,$C47,'Key inputs_EB_TRA'!$B$15:$B$38,"Pipeline - Natural gas liquids")/SUMIFS('Key inputs_EB_TRA'!AC$15:AC$38,'Key inputs_EB_TRA'!$B$15:$B$38,"Pipeline - Natural gas liquids")&lt;0.001),0.001,SUMIFS('Key inputs_EB_TRA'!AC$15:AC$38,'Key inputs_EB_TRA'!$C$15:$C$38,$C47,'Key inputs_EB_TRA'!$B$15:$B$38,"Pipeline - Natural gas liquids")/SUMIFS('Key inputs_EB_TRA'!AC$15:AC$38,'Key inputs_EB_TRA'!$B$15:$B$38,"Pipeline - Natural gas liquids")),"")</f>
        <v/>
      </c>
      <c r="AJ47" s="173">
        <f>IFERROR(IF(AND(SUMIFS('Key inputs_EB_TRA'!AD$15:AD$38,'Key inputs_EB_TRA'!$C$15:$C$38,$C47,'Key inputs_EB_TRA'!$B$15:$B$38,"Pipeline - Natural gas liquids")/SUMIFS('Key inputs_EB_TRA'!AD$15:AD$38,'Key inputs_EB_TRA'!$B$15:$B$38,"Pipeline - Natural gas liquids")&gt;0,SUMIFS('Key inputs_EB_TRA'!AD$15:AD$38,'Key inputs_EB_TRA'!$C$15:$C$38,$C47,'Key inputs_EB_TRA'!$B$15:$B$38,"Pipeline - Natural gas liquids")/SUMIFS('Key inputs_EB_TRA'!AD$15:AD$38,'Key inputs_EB_TRA'!$B$15:$B$38,"Pipeline - Natural gas liquids")&lt;0.001),0.001,SUMIFS('Key inputs_EB_TRA'!AD$15:AD$38,'Key inputs_EB_TRA'!$C$15:$C$38,$C47,'Key inputs_EB_TRA'!$B$15:$B$38,"Pipeline - Natural gas liquids")/SUMIFS('Key inputs_EB_TRA'!AD$15:AD$38,'Key inputs_EB_TRA'!$B$15:$B$38,"Pipeline - Natural gas liquids")),"")</f>
        <v>0</v>
      </c>
      <c r="AK47" s="173" t="str">
        <f>IFERROR(IF(AND(SUMIFS('Key inputs_EB_TRA'!AE$15:AE$38,'Key inputs_EB_TRA'!$C$15:$C$38,$C47,'Key inputs_EB_TRA'!$B$15:$B$38,"Pipeline - Natural gas liquids")/SUMIFS('Key inputs_EB_TRA'!AE$15:AE$38,'Key inputs_EB_TRA'!$B$15:$B$38,"Pipeline - Natural gas liquids")&gt;0,SUMIFS('Key inputs_EB_TRA'!AE$15:AE$38,'Key inputs_EB_TRA'!$C$15:$C$38,$C47,'Key inputs_EB_TRA'!$B$15:$B$38,"Pipeline - Natural gas liquids")/SUMIFS('Key inputs_EB_TRA'!AE$15:AE$38,'Key inputs_EB_TRA'!$B$15:$B$38,"Pipeline - Natural gas liquids")&lt;0.001),0.001,SUMIFS('Key inputs_EB_TRA'!AE$15:AE$38,'Key inputs_EB_TRA'!$C$15:$C$38,$C47,'Key inputs_EB_TRA'!$B$15:$B$38,"Pipeline - Natural gas liquids")/SUMIFS('Key inputs_EB_TRA'!AE$15:AE$38,'Key inputs_EB_TRA'!$B$15:$B$38,"Pipeline - Natural gas liquids")),"")</f>
        <v/>
      </c>
      <c r="AL47" s="173">
        <f>IFERROR(IF(AND(SUMIFS('Key inputs_EB_TRA'!AF$15:AF$38,'Key inputs_EB_TRA'!$C$15:$C$38,$C47,'Key inputs_EB_TRA'!$B$15:$B$38,"Pipeline - Natural gas liquids")/SUMIFS('Key inputs_EB_TRA'!AF$15:AF$38,'Key inputs_EB_TRA'!$B$15:$B$38,"Pipeline - Natural gas liquids")&gt;0,SUMIFS('Key inputs_EB_TRA'!AF$15:AF$38,'Key inputs_EB_TRA'!$C$15:$C$38,$C47,'Key inputs_EB_TRA'!$B$15:$B$38,"Pipeline - Natural gas liquids")/SUMIFS('Key inputs_EB_TRA'!AF$15:AF$38,'Key inputs_EB_TRA'!$B$15:$B$38,"Pipeline - Natural gas liquids")&lt;0.001),0.001,SUMIFS('Key inputs_EB_TRA'!AF$15:AF$38,'Key inputs_EB_TRA'!$C$15:$C$38,$C47,'Key inputs_EB_TRA'!$B$15:$B$38,"Pipeline - Natural gas liquids")/SUMIFS('Key inputs_EB_TRA'!AF$15:AF$38,'Key inputs_EB_TRA'!$B$15:$B$38,"Pipeline - Natural gas liquids")),"")</f>
        <v>0</v>
      </c>
    </row>
    <row r="48" spans="3:38">
      <c r="C48" t="str">
        <f>Commodities!$C$97</f>
        <v>UPSLPG</v>
      </c>
      <c r="F48" s="4" t="s">
        <v>359</v>
      </c>
      <c r="G48" s="4" t="s">
        <v>702</v>
      </c>
      <c r="H48" t="s">
        <v>661</v>
      </c>
      <c r="I48">
        <v>2019</v>
      </c>
      <c r="J48" t="s">
        <v>650</v>
      </c>
      <c r="K48" s="263" t="str">
        <f>IFERROR(IF(AND(SUMIFS('Key inputs_EB_TRA'!E$15:E$38,'Key inputs_EB_TRA'!$C$15:$C$38,$C48,'Key inputs_EB_TRA'!$B$15:$B$38,"Pipeline - Natural gas liquids")/SUMIFS('Key inputs_EB_TRA'!E$15:E$38,'Key inputs_EB_TRA'!$B$15:$B$38,"Pipeline - Natural gas liquids")&gt;0,SUMIFS('Key inputs_EB_TRA'!E$15:E$38,'Key inputs_EB_TRA'!$C$15:$C$38,$C48,'Key inputs_EB_TRA'!$B$15:$B$38,"Pipeline - Natural gas liquids")/SUMIFS('Key inputs_EB_TRA'!E$15:E$38,'Key inputs_EB_TRA'!$B$15:$B$38,"Pipeline - Natural gas liquids")&lt;0.001),0.001,SUMIFS('Key inputs_EB_TRA'!E$15:E$38,'Key inputs_EB_TRA'!$C$15:$C$38,$C48,'Key inputs_EB_TRA'!$B$15:$B$38,"Pipeline - Natural gas liquids")/SUMIFS('Key inputs_EB_TRA'!E$15:E$38,'Key inputs_EB_TRA'!$B$15:$B$38,"Pipeline - Natural gas liquids")),"")</f>
        <v/>
      </c>
      <c r="L48" s="173">
        <f>IFERROR(IF(AND(SUMIFS('Key inputs_EB_TRA'!F$15:F$38,'Key inputs_EB_TRA'!$C$15:$C$38,$C48,'Key inputs_EB_TRA'!$B$15:$B$38,"Pipeline - Natural gas liquids")/SUMIFS('Key inputs_EB_TRA'!F$15:F$38,'Key inputs_EB_TRA'!$B$15:$B$38,"Pipeline - Natural gas liquids")&gt;0,SUMIFS('Key inputs_EB_TRA'!F$15:F$38,'Key inputs_EB_TRA'!$C$15:$C$38,$C48,'Key inputs_EB_TRA'!$B$15:$B$38,"Pipeline - Natural gas liquids")/SUMIFS('Key inputs_EB_TRA'!F$15:F$38,'Key inputs_EB_TRA'!$B$15:$B$38,"Pipeline - Natural gas liquids")&lt;0.001),0.001,SUMIFS('Key inputs_EB_TRA'!F$15:F$38,'Key inputs_EB_TRA'!$C$15:$C$38,$C48,'Key inputs_EB_TRA'!$B$15:$B$38,"Pipeline - Natural gas liquids")/SUMIFS('Key inputs_EB_TRA'!F$15:F$38,'Key inputs_EB_TRA'!$B$15:$B$38,"Pipeline - Natural gas liquids")),"")</f>
        <v>0</v>
      </c>
      <c r="M48" s="173">
        <f>IFERROR(IF(AND(SUMIFS('Key inputs_EB_TRA'!G$15:G$38,'Key inputs_EB_TRA'!$C$15:$C$38,$C48,'Key inputs_EB_TRA'!$B$15:$B$38,"Pipeline - Natural gas liquids")/SUMIFS('Key inputs_EB_TRA'!G$15:G$38,'Key inputs_EB_TRA'!$B$15:$B$38,"Pipeline - Natural gas liquids")&gt;0,SUMIFS('Key inputs_EB_TRA'!G$15:G$38,'Key inputs_EB_TRA'!$C$15:$C$38,$C48,'Key inputs_EB_TRA'!$B$15:$B$38,"Pipeline - Natural gas liquids")/SUMIFS('Key inputs_EB_TRA'!G$15:G$38,'Key inputs_EB_TRA'!$B$15:$B$38,"Pipeline - Natural gas liquids")&lt;0.001),0.001,SUMIFS('Key inputs_EB_TRA'!G$15:G$38,'Key inputs_EB_TRA'!$C$15:$C$38,$C48,'Key inputs_EB_TRA'!$B$15:$B$38,"Pipeline - Natural gas liquids")/SUMIFS('Key inputs_EB_TRA'!G$15:G$38,'Key inputs_EB_TRA'!$B$15:$B$38,"Pipeline - Natural gas liquids")),"")</f>
        <v>0</v>
      </c>
      <c r="N48" s="173">
        <f>IFERROR(IF(AND(SUMIFS('Key inputs_EB_TRA'!H$15:H$38,'Key inputs_EB_TRA'!$C$15:$C$38,$C48,'Key inputs_EB_TRA'!$B$15:$B$38,"Pipeline - Natural gas liquids")/SUMIFS('Key inputs_EB_TRA'!H$15:H$38,'Key inputs_EB_TRA'!$B$15:$B$38,"Pipeline - Natural gas liquids")&gt;0,SUMIFS('Key inputs_EB_TRA'!H$15:H$38,'Key inputs_EB_TRA'!$C$15:$C$38,$C48,'Key inputs_EB_TRA'!$B$15:$B$38,"Pipeline - Natural gas liquids")/SUMIFS('Key inputs_EB_TRA'!H$15:H$38,'Key inputs_EB_TRA'!$B$15:$B$38,"Pipeline - Natural gas liquids")&lt;0.001),0.001,SUMIFS('Key inputs_EB_TRA'!H$15:H$38,'Key inputs_EB_TRA'!$C$15:$C$38,$C48,'Key inputs_EB_TRA'!$B$15:$B$38,"Pipeline - Natural gas liquids")/SUMIFS('Key inputs_EB_TRA'!H$15:H$38,'Key inputs_EB_TRA'!$B$15:$B$38,"Pipeline - Natural gas liquids")),"")</f>
        <v>6.1028770706190059E-3</v>
      </c>
      <c r="O48" s="173">
        <f>IFERROR(IF(AND(SUMIFS('Key inputs_EB_TRA'!I$15:I$38,'Key inputs_EB_TRA'!$C$15:$C$38,$C48,'Key inputs_EB_TRA'!$B$15:$B$38,"Pipeline - Natural gas liquids")/SUMIFS('Key inputs_EB_TRA'!I$15:I$38,'Key inputs_EB_TRA'!$B$15:$B$38,"Pipeline - Natural gas liquids")&gt;0,SUMIFS('Key inputs_EB_TRA'!I$15:I$38,'Key inputs_EB_TRA'!$C$15:$C$38,$C48,'Key inputs_EB_TRA'!$B$15:$B$38,"Pipeline - Natural gas liquids")/SUMIFS('Key inputs_EB_TRA'!I$15:I$38,'Key inputs_EB_TRA'!$B$15:$B$38,"Pipeline - Natural gas liquids")&lt;0.001),0.001,SUMIFS('Key inputs_EB_TRA'!I$15:I$38,'Key inputs_EB_TRA'!$C$15:$C$38,$C48,'Key inputs_EB_TRA'!$B$15:$B$38,"Pipeline - Natural gas liquids")/SUMIFS('Key inputs_EB_TRA'!I$15:I$38,'Key inputs_EB_TRA'!$B$15:$B$38,"Pipeline - Natural gas liquids")),"")</f>
        <v>0</v>
      </c>
      <c r="P48" s="173">
        <f>IFERROR(IF(AND(SUMIFS('Key inputs_EB_TRA'!J$15:J$38,'Key inputs_EB_TRA'!$C$15:$C$38,$C48,'Key inputs_EB_TRA'!$B$15:$B$38,"Pipeline - Natural gas liquids")/SUMIFS('Key inputs_EB_TRA'!J$15:J$38,'Key inputs_EB_TRA'!$B$15:$B$38,"Pipeline - Natural gas liquids")&gt;0,SUMIFS('Key inputs_EB_TRA'!J$15:J$38,'Key inputs_EB_TRA'!$C$15:$C$38,$C48,'Key inputs_EB_TRA'!$B$15:$B$38,"Pipeline - Natural gas liquids")/SUMIFS('Key inputs_EB_TRA'!J$15:J$38,'Key inputs_EB_TRA'!$B$15:$B$38,"Pipeline - Natural gas liquids")&lt;0.001),0.001,SUMIFS('Key inputs_EB_TRA'!J$15:J$38,'Key inputs_EB_TRA'!$C$15:$C$38,$C48,'Key inputs_EB_TRA'!$B$15:$B$38,"Pipeline - Natural gas liquids")/SUMIFS('Key inputs_EB_TRA'!J$15:J$38,'Key inputs_EB_TRA'!$B$15:$B$38,"Pipeline - Natural gas liquids")),"")</f>
        <v>0</v>
      </c>
      <c r="Q48" s="173" t="str">
        <f>IFERROR(IF(AND(SUMIFS('Key inputs_EB_TRA'!K$15:K$38,'Key inputs_EB_TRA'!$C$15:$C$38,$C48,'Key inputs_EB_TRA'!$B$15:$B$38,"Pipeline - Natural gas liquids")/SUMIFS('Key inputs_EB_TRA'!K$15:K$38,'Key inputs_EB_TRA'!$B$15:$B$38,"Pipeline - Natural gas liquids")&gt;0,SUMIFS('Key inputs_EB_TRA'!K$15:K$38,'Key inputs_EB_TRA'!$C$15:$C$38,$C48,'Key inputs_EB_TRA'!$B$15:$B$38,"Pipeline - Natural gas liquids")/SUMIFS('Key inputs_EB_TRA'!K$15:K$38,'Key inputs_EB_TRA'!$B$15:$B$38,"Pipeline - Natural gas liquids")&lt;0.001),0.001,SUMIFS('Key inputs_EB_TRA'!K$15:K$38,'Key inputs_EB_TRA'!$C$15:$C$38,$C48,'Key inputs_EB_TRA'!$B$15:$B$38,"Pipeline - Natural gas liquids")/SUMIFS('Key inputs_EB_TRA'!K$15:K$38,'Key inputs_EB_TRA'!$B$15:$B$38,"Pipeline - Natural gas liquids")),"")</f>
        <v/>
      </c>
      <c r="R48" s="173" t="str">
        <f>IFERROR(IF(AND(SUMIFS('Key inputs_EB_TRA'!L$15:L$38,'Key inputs_EB_TRA'!$C$15:$C$38,$C48,'Key inputs_EB_TRA'!$B$15:$B$38,"Pipeline - Natural gas liquids")/SUMIFS('Key inputs_EB_TRA'!L$15:L$38,'Key inputs_EB_TRA'!$B$15:$B$38,"Pipeline - Natural gas liquids")&gt;0,SUMIFS('Key inputs_EB_TRA'!L$15:L$38,'Key inputs_EB_TRA'!$C$15:$C$38,$C48,'Key inputs_EB_TRA'!$B$15:$B$38,"Pipeline - Natural gas liquids")/SUMIFS('Key inputs_EB_TRA'!L$15:L$38,'Key inputs_EB_TRA'!$B$15:$B$38,"Pipeline - Natural gas liquids")&lt;0.001),0.001,SUMIFS('Key inputs_EB_TRA'!L$15:L$38,'Key inputs_EB_TRA'!$C$15:$C$38,$C48,'Key inputs_EB_TRA'!$B$15:$B$38,"Pipeline - Natural gas liquids")/SUMIFS('Key inputs_EB_TRA'!L$15:L$38,'Key inputs_EB_TRA'!$B$15:$B$38,"Pipeline - Natural gas liquids")),"")</f>
        <v/>
      </c>
      <c r="S48" s="173" t="str">
        <f>IFERROR(IF(AND(SUMIFS('Key inputs_EB_TRA'!M$15:M$38,'Key inputs_EB_TRA'!$C$15:$C$38,$C48,'Key inputs_EB_TRA'!$B$15:$B$38,"Pipeline - Natural gas liquids")/SUMIFS('Key inputs_EB_TRA'!M$15:M$38,'Key inputs_EB_TRA'!$B$15:$B$38,"Pipeline - Natural gas liquids")&gt;0,SUMIFS('Key inputs_EB_TRA'!M$15:M$38,'Key inputs_EB_TRA'!$C$15:$C$38,$C48,'Key inputs_EB_TRA'!$B$15:$B$38,"Pipeline - Natural gas liquids")/SUMIFS('Key inputs_EB_TRA'!M$15:M$38,'Key inputs_EB_TRA'!$B$15:$B$38,"Pipeline - Natural gas liquids")&lt;0.001),0.001,SUMIFS('Key inputs_EB_TRA'!M$15:M$38,'Key inputs_EB_TRA'!$C$15:$C$38,$C48,'Key inputs_EB_TRA'!$B$15:$B$38,"Pipeline - Natural gas liquids")/SUMIFS('Key inputs_EB_TRA'!M$15:M$38,'Key inputs_EB_TRA'!$B$15:$B$38,"Pipeline - Natural gas liquids")),"")</f>
        <v/>
      </c>
      <c r="T48" s="173">
        <f>IFERROR(IF(AND(SUMIFS('Key inputs_EB_TRA'!N$15:N$38,'Key inputs_EB_TRA'!$C$15:$C$38,$C48,'Key inputs_EB_TRA'!$B$15:$B$38,"Pipeline - Natural gas liquids")/SUMIFS('Key inputs_EB_TRA'!N$15:N$38,'Key inputs_EB_TRA'!$B$15:$B$38,"Pipeline - Natural gas liquids")&gt;0,SUMIFS('Key inputs_EB_TRA'!N$15:N$38,'Key inputs_EB_TRA'!$C$15:$C$38,$C48,'Key inputs_EB_TRA'!$B$15:$B$38,"Pipeline - Natural gas liquids")/SUMIFS('Key inputs_EB_TRA'!N$15:N$38,'Key inputs_EB_TRA'!$B$15:$B$38,"Pipeline - Natural gas liquids")&lt;0.001),0.001,SUMIFS('Key inputs_EB_TRA'!N$15:N$38,'Key inputs_EB_TRA'!$C$15:$C$38,$C48,'Key inputs_EB_TRA'!$B$15:$B$38,"Pipeline - Natural gas liquids")/SUMIFS('Key inputs_EB_TRA'!N$15:N$38,'Key inputs_EB_TRA'!$B$15:$B$38,"Pipeline - Natural gas liquids")),"")</f>
        <v>0</v>
      </c>
      <c r="U48" s="173" t="str">
        <f>IFERROR(IF(AND(SUMIFS('Key inputs_EB_TRA'!O$15:O$38,'Key inputs_EB_TRA'!$C$15:$C$38,$C48,'Key inputs_EB_TRA'!$B$15:$B$38,"Pipeline - Natural gas liquids")/SUMIFS('Key inputs_EB_TRA'!O$15:O$38,'Key inputs_EB_TRA'!$B$15:$B$38,"Pipeline - Natural gas liquids")&gt;0,SUMIFS('Key inputs_EB_TRA'!O$15:O$38,'Key inputs_EB_TRA'!$C$15:$C$38,$C48,'Key inputs_EB_TRA'!$B$15:$B$38,"Pipeline - Natural gas liquids")/SUMIFS('Key inputs_EB_TRA'!O$15:O$38,'Key inputs_EB_TRA'!$B$15:$B$38,"Pipeline - Natural gas liquids")&lt;0.001),0.001,SUMIFS('Key inputs_EB_TRA'!O$15:O$38,'Key inputs_EB_TRA'!$C$15:$C$38,$C48,'Key inputs_EB_TRA'!$B$15:$B$38,"Pipeline - Natural gas liquids")/SUMIFS('Key inputs_EB_TRA'!O$15:O$38,'Key inputs_EB_TRA'!$B$15:$B$38,"Pipeline - Natural gas liquids")),"")</f>
        <v/>
      </c>
      <c r="V48" s="173" t="str">
        <f>IFERROR(IF(AND(SUMIFS('Key inputs_EB_TRA'!P$15:P$38,'Key inputs_EB_TRA'!$C$15:$C$38,$C48,'Key inputs_EB_TRA'!$B$15:$B$38,"Pipeline - Natural gas liquids")/SUMIFS('Key inputs_EB_TRA'!P$15:P$38,'Key inputs_EB_TRA'!$B$15:$B$38,"Pipeline - Natural gas liquids")&gt;0,SUMIFS('Key inputs_EB_TRA'!P$15:P$38,'Key inputs_EB_TRA'!$C$15:$C$38,$C48,'Key inputs_EB_TRA'!$B$15:$B$38,"Pipeline - Natural gas liquids")/SUMIFS('Key inputs_EB_TRA'!P$15:P$38,'Key inputs_EB_TRA'!$B$15:$B$38,"Pipeline - Natural gas liquids")&lt;0.001),0.001,SUMIFS('Key inputs_EB_TRA'!P$15:P$38,'Key inputs_EB_TRA'!$C$15:$C$38,$C48,'Key inputs_EB_TRA'!$B$15:$B$38,"Pipeline - Natural gas liquids")/SUMIFS('Key inputs_EB_TRA'!P$15:P$38,'Key inputs_EB_TRA'!$B$15:$B$38,"Pipeline - Natural gas liquids")),"")</f>
        <v/>
      </c>
      <c r="W48" s="173">
        <f>IFERROR(IF(AND(SUMIFS('Key inputs_EB_TRA'!Q$15:Q$38,'Key inputs_EB_TRA'!$C$15:$C$38,$C48,'Key inputs_EB_TRA'!$B$15:$B$38,"Pipeline - Natural gas liquids")/SUMIFS('Key inputs_EB_TRA'!Q$15:Q$38,'Key inputs_EB_TRA'!$B$15:$B$38,"Pipeline - Natural gas liquids")&gt;0,SUMIFS('Key inputs_EB_TRA'!Q$15:Q$38,'Key inputs_EB_TRA'!$C$15:$C$38,$C48,'Key inputs_EB_TRA'!$B$15:$B$38,"Pipeline - Natural gas liquids")/SUMIFS('Key inputs_EB_TRA'!Q$15:Q$38,'Key inputs_EB_TRA'!$B$15:$B$38,"Pipeline - Natural gas liquids")&lt;0.001),0.001,SUMIFS('Key inputs_EB_TRA'!Q$15:Q$38,'Key inputs_EB_TRA'!$C$15:$C$38,$C48,'Key inputs_EB_TRA'!$B$15:$B$38,"Pipeline - Natural gas liquids")/SUMIFS('Key inputs_EB_TRA'!Q$15:Q$38,'Key inputs_EB_TRA'!$B$15:$B$38,"Pipeline - Natural gas liquids")),"")</f>
        <v>0</v>
      </c>
      <c r="X48" s="173">
        <f>IFERROR(IF(AND(SUMIFS('Key inputs_EB_TRA'!R$15:R$38,'Key inputs_EB_TRA'!$C$15:$C$38,$C48,'Key inputs_EB_TRA'!$B$15:$B$38,"Pipeline - Natural gas liquids")/SUMIFS('Key inputs_EB_TRA'!R$15:R$38,'Key inputs_EB_TRA'!$B$15:$B$38,"Pipeline - Natural gas liquids")&gt;0,SUMIFS('Key inputs_EB_TRA'!R$15:R$38,'Key inputs_EB_TRA'!$C$15:$C$38,$C48,'Key inputs_EB_TRA'!$B$15:$B$38,"Pipeline - Natural gas liquids")/SUMIFS('Key inputs_EB_TRA'!R$15:R$38,'Key inputs_EB_TRA'!$B$15:$B$38,"Pipeline - Natural gas liquids")&lt;0.001),0.001,SUMIFS('Key inputs_EB_TRA'!R$15:R$38,'Key inputs_EB_TRA'!$C$15:$C$38,$C48,'Key inputs_EB_TRA'!$B$15:$B$38,"Pipeline - Natural gas liquids")/SUMIFS('Key inputs_EB_TRA'!R$15:R$38,'Key inputs_EB_TRA'!$B$15:$B$38,"Pipeline - Natural gas liquids")),"")</f>
        <v>0</v>
      </c>
      <c r="Y48" s="173">
        <f>IFERROR(IF(AND(SUMIFS('Key inputs_EB_TRA'!S$15:S$38,'Key inputs_EB_TRA'!$C$15:$C$38,$C48,'Key inputs_EB_TRA'!$B$15:$B$38,"Pipeline - Natural gas liquids")/SUMIFS('Key inputs_EB_TRA'!S$15:S$38,'Key inputs_EB_TRA'!$B$15:$B$38,"Pipeline - Natural gas liquids")&gt;0,SUMIFS('Key inputs_EB_TRA'!S$15:S$38,'Key inputs_EB_TRA'!$C$15:$C$38,$C48,'Key inputs_EB_TRA'!$B$15:$B$38,"Pipeline - Natural gas liquids")/SUMIFS('Key inputs_EB_TRA'!S$15:S$38,'Key inputs_EB_TRA'!$B$15:$B$38,"Pipeline - Natural gas liquids")&lt;0.001),0.001,SUMIFS('Key inputs_EB_TRA'!S$15:S$38,'Key inputs_EB_TRA'!$C$15:$C$38,$C48,'Key inputs_EB_TRA'!$B$15:$B$38,"Pipeline - Natural gas liquids")/SUMIFS('Key inputs_EB_TRA'!S$15:S$38,'Key inputs_EB_TRA'!$B$15:$B$38,"Pipeline - Natural gas liquids")),"")</f>
        <v>0</v>
      </c>
      <c r="Z48" s="173">
        <f>IFERROR(IF(AND(SUMIFS('Key inputs_EB_TRA'!T$15:T$38,'Key inputs_EB_TRA'!$C$15:$C$38,$C48,'Key inputs_EB_TRA'!$B$15:$B$38,"Pipeline - Natural gas liquids")/SUMIFS('Key inputs_EB_TRA'!T$15:T$38,'Key inputs_EB_TRA'!$B$15:$B$38,"Pipeline - Natural gas liquids")&gt;0,SUMIFS('Key inputs_EB_TRA'!T$15:T$38,'Key inputs_EB_TRA'!$C$15:$C$38,$C48,'Key inputs_EB_TRA'!$B$15:$B$38,"Pipeline - Natural gas liquids")/SUMIFS('Key inputs_EB_TRA'!T$15:T$38,'Key inputs_EB_TRA'!$B$15:$B$38,"Pipeline - Natural gas liquids")&lt;0.001),0.001,SUMIFS('Key inputs_EB_TRA'!T$15:T$38,'Key inputs_EB_TRA'!$C$15:$C$38,$C48,'Key inputs_EB_TRA'!$B$15:$B$38,"Pipeline - Natural gas liquids")/SUMIFS('Key inputs_EB_TRA'!T$15:T$38,'Key inputs_EB_TRA'!$B$15:$B$38,"Pipeline - Natural gas liquids")),"")</f>
        <v>0</v>
      </c>
      <c r="AA48" s="173">
        <f>IFERROR(IF(AND(SUMIFS('Key inputs_EB_TRA'!U$15:U$38,'Key inputs_EB_TRA'!$C$15:$C$38,$C48,'Key inputs_EB_TRA'!$B$15:$B$38,"Pipeline - Natural gas liquids")/SUMIFS('Key inputs_EB_TRA'!U$15:U$38,'Key inputs_EB_TRA'!$B$15:$B$38,"Pipeline - Natural gas liquids")&gt;0,SUMIFS('Key inputs_EB_TRA'!U$15:U$38,'Key inputs_EB_TRA'!$C$15:$C$38,$C48,'Key inputs_EB_TRA'!$B$15:$B$38,"Pipeline - Natural gas liquids")/SUMIFS('Key inputs_EB_TRA'!U$15:U$38,'Key inputs_EB_TRA'!$B$15:$B$38,"Pipeline - Natural gas liquids")&lt;0.001),0.001,SUMIFS('Key inputs_EB_TRA'!U$15:U$38,'Key inputs_EB_TRA'!$C$15:$C$38,$C48,'Key inputs_EB_TRA'!$B$15:$B$38,"Pipeline - Natural gas liquids")/SUMIFS('Key inputs_EB_TRA'!U$15:U$38,'Key inputs_EB_TRA'!$B$15:$B$38,"Pipeline - Natural gas liquids")),"")</f>
        <v>0</v>
      </c>
      <c r="AB48" s="173" t="str">
        <f>IFERROR(IF(AND(SUMIFS('Key inputs_EB_TRA'!V$15:V$38,'Key inputs_EB_TRA'!$C$15:$C$38,$C48,'Key inputs_EB_TRA'!$B$15:$B$38,"Pipeline - Natural gas liquids")/SUMIFS('Key inputs_EB_TRA'!V$15:V$38,'Key inputs_EB_TRA'!$B$15:$B$38,"Pipeline - Natural gas liquids")&gt;0,SUMIFS('Key inputs_EB_TRA'!V$15:V$38,'Key inputs_EB_TRA'!$C$15:$C$38,$C48,'Key inputs_EB_TRA'!$B$15:$B$38,"Pipeline - Natural gas liquids")/SUMIFS('Key inputs_EB_TRA'!V$15:V$38,'Key inputs_EB_TRA'!$B$15:$B$38,"Pipeline - Natural gas liquids")&lt;0.001),0.001,SUMIFS('Key inputs_EB_TRA'!V$15:V$38,'Key inputs_EB_TRA'!$C$15:$C$38,$C48,'Key inputs_EB_TRA'!$B$15:$B$38,"Pipeline - Natural gas liquids")/SUMIFS('Key inputs_EB_TRA'!V$15:V$38,'Key inputs_EB_TRA'!$B$15:$B$38,"Pipeline - Natural gas liquids")),"")</f>
        <v/>
      </c>
      <c r="AC48" s="173">
        <f>IFERROR(IF(AND(SUMIFS('Key inputs_EB_TRA'!W$15:W$38,'Key inputs_EB_TRA'!$C$15:$C$38,$C48,'Key inputs_EB_TRA'!$B$15:$B$38,"Pipeline - Natural gas liquids")/SUMIFS('Key inputs_EB_TRA'!W$15:W$38,'Key inputs_EB_TRA'!$B$15:$B$38,"Pipeline - Natural gas liquids")&gt;0,SUMIFS('Key inputs_EB_TRA'!W$15:W$38,'Key inputs_EB_TRA'!$C$15:$C$38,$C48,'Key inputs_EB_TRA'!$B$15:$B$38,"Pipeline - Natural gas liquids")/SUMIFS('Key inputs_EB_TRA'!W$15:W$38,'Key inputs_EB_TRA'!$B$15:$B$38,"Pipeline - Natural gas liquids")&lt;0.001),0.001,SUMIFS('Key inputs_EB_TRA'!W$15:W$38,'Key inputs_EB_TRA'!$C$15:$C$38,$C48,'Key inputs_EB_TRA'!$B$15:$B$38,"Pipeline - Natural gas liquids")/SUMIFS('Key inputs_EB_TRA'!W$15:W$38,'Key inputs_EB_TRA'!$B$15:$B$38,"Pipeline - Natural gas liquids")),"")</f>
        <v>0</v>
      </c>
      <c r="AD48" s="173" t="str">
        <f>IFERROR(IF(AND(SUMIFS('Key inputs_EB_TRA'!X$15:X$38,'Key inputs_EB_TRA'!$C$15:$C$38,$C48,'Key inputs_EB_TRA'!$B$15:$B$38,"Pipeline - Natural gas liquids")/SUMIFS('Key inputs_EB_TRA'!X$15:X$38,'Key inputs_EB_TRA'!$B$15:$B$38,"Pipeline - Natural gas liquids")&gt;0,SUMIFS('Key inputs_EB_TRA'!X$15:X$38,'Key inputs_EB_TRA'!$C$15:$C$38,$C48,'Key inputs_EB_TRA'!$B$15:$B$38,"Pipeline - Natural gas liquids")/SUMIFS('Key inputs_EB_TRA'!X$15:X$38,'Key inputs_EB_TRA'!$B$15:$B$38,"Pipeline - Natural gas liquids")&lt;0.001),0.001,SUMIFS('Key inputs_EB_TRA'!X$15:X$38,'Key inputs_EB_TRA'!$C$15:$C$38,$C48,'Key inputs_EB_TRA'!$B$15:$B$38,"Pipeline - Natural gas liquids")/SUMIFS('Key inputs_EB_TRA'!X$15:X$38,'Key inputs_EB_TRA'!$B$15:$B$38,"Pipeline - Natural gas liquids")),"")</f>
        <v/>
      </c>
      <c r="AE48" s="173">
        <f>IFERROR(IF(AND(SUMIFS('Key inputs_EB_TRA'!Y$15:Y$38,'Key inputs_EB_TRA'!$C$15:$C$38,$C48,'Key inputs_EB_TRA'!$B$15:$B$38,"Pipeline - Natural gas liquids")/SUMIFS('Key inputs_EB_TRA'!Y$15:Y$38,'Key inputs_EB_TRA'!$B$15:$B$38,"Pipeline - Natural gas liquids")&gt;0,SUMIFS('Key inputs_EB_TRA'!Y$15:Y$38,'Key inputs_EB_TRA'!$C$15:$C$38,$C48,'Key inputs_EB_TRA'!$B$15:$B$38,"Pipeline - Natural gas liquids")/SUMIFS('Key inputs_EB_TRA'!Y$15:Y$38,'Key inputs_EB_TRA'!$B$15:$B$38,"Pipeline - Natural gas liquids")&lt;0.001),0.001,SUMIFS('Key inputs_EB_TRA'!Y$15:Y$38,'Key inputs_EB_TRA'!$C$15:$C$38,$C48,'Key inputs_EB_TRA'!$B$15:$B$38,"Pipeline - Natural gas liquids")/SUMIFS('Key inputs_EB_TRA'!Y$15:Y$38,'Key inputs_EB_TRA'!$B$15:$B$38,"Pipeline - Natural gas liquids")),"")</f>
        <v>0</v>
      </c>
      <c r="AF48" s="173">
        <f>IFERROR(IF(AND(SUMIFS('Key inputs_EB_TRA'!Z$15:Z$38,'Key inputs_EB_TRA'!$C$15:$C$38,$C48,'Key inputs_EB_TRA'!$B$15:$B$38,"Pipeline - Natural gas liquids")/SUMIFS('Key inputs_EB_TRA'!Z$15:Z$38,'Key inputs_EB_TRA'!$B$15:$B$38,"Pipeline - Natural gas liquids")&gt;0,SUMIFS('Key inputs_EB_TRA'!Z$15:Z$38,'Key inputs_EB_TRA'!$C$15:$C$38,$C48,'Key inputs_EB_TRA'!$B$15:$B$38,"Pipeline - Natural gas liquids")/SUMIFS('Key inputs_EB_TRA'!Z$15:Z$38,'Key inputs_EB_TRA'!$B$15:$B$38,"Pipeline - Natural gas liquids")&lt;0.001),0.001,SUMIFS('Key inputs_EB_TRA'!Z$15:Z$38,'Key inputs_EB_TRA'!$C$15:$C$38,$C48,'Key inputs_EB_TRA'!$B$15:$B$38,"Pipeline - Natural gas liquids")/SUMIFS('Key inputs_EB_TRA'!Z$15:Z$38,'Key inputs_EB_TRA'!$B$15:$B$38,"Pipeline - Natural gas liquids")),"")</f>
        <v>0</v>
      </c>
      <c r="AG48" s="173">
        <f>IFERROR(IF(AND(SUMIFS('Key inputs_EB_TRA'!AA$15:AA$38,'Key inputs_EB_TRA'!$C$15:$C$38,$C48,'Key inputs_EB_TRA'!$B$15:$B$38,"Pipeline - Natural gas liquids")/SUMIFS('Key inputs_EB_TRA'!AA$15:AA$38,'Key inputs_EB_TRA'!$B$15:$B$38,"Pipeline - Natural gas liquids")&gt;0,SUMIFS('Key inputs_EB_TRA'!AA$15:AA$38,'Key inputs_EB_TRA'!$C$15:$C$38,$C48,'Key inputs_EB_TRA'!$B$15:$B$38,"Pipeline - Natural gas liquids")/SUMIFS('Key inputs_EB_TRA'!AA$15:AA$38,'Key inputs_EB_TRA'!$B$15:$B$38,"Pipeline - Natural gas liquids")&lt;0.001),0.001,SUMIFS('Key inputs_EB_TRA'!AA$15:AA$38,'Key inputs_EB_TRA'!$C$15:$C$38,$C48,'Key inputs_EB_TRA'!$B$15:$B$38,"Pipeline - Natural gas liquids")/SUMIFS('Key inputs_EB_TRA'!AA$15:AA$38,'Key inputs_EB_TRA'!$B$15:$B$38,"Pipeline - Natural gas liquids")),"")</f>
        <v>0</v>
      </c>
      <c r="AH48" s="173" t="str">
        <f>IFERROR(IF(AND(SUMIFS('Key inputs_EB_TRA'!AB$15:AB$38,'Key inputs_EB_TRA'!$C$15:$C$38,$C48,'Key inputs_EB_TRA'!$B$15:$B$38,"Pipeline - Natural gas liquids")/SUMIFS('Key inputs_EB_TRA'!AB$15:AB$38,'Key inputs_EB_TRA'!$B$15:$B$38,"Pipeline - Natural gas liquids")&gt;0,SUMIFS('Key inputs_EB_TRA'!AB$15:AB$38,'Key inputs_EB_TRA'!$C$15:$C$38,$C48,'Key inputs_EB_TRA'!$B$15:$B$38,"Pipeline - Natural gas liquids")/SUMIFS('Key inputs_EB_TRA'!AB$15:AB$38,'Key inputs_EB_TRA'!$B$15:$B$38,"Pipeline - Natural gas liquids")&lt;0.001),0.001,SUMIFS('Key inputs_EB_TRA'!AB$15:AB$38,'Key inputs_EB_TRA'!$C$15:$C$38,$C48,'Key inputs_EB_TRA'!$B$15:$B$38,"Pipeline - Natural gas liquids")/SUMIFS('Key inputs_EB_TRA'!AB$15:AB$38,'Key inputs_EB_TRA'!$B$15:$B$38,"Pipeline - Natural gas liquids")),"")</f>
        <v/>
      </c>
      <c r="AI48" s="173" t="str">
        <f>IFERROR(IF(AND(SUMIFS('Key inputs_EB_TRA'!AC$15:AC$38,'Key inputs_EB_TRA'!$C$15:$C$38,$C48,'Key inputs_EB_TRA'!$B$15:$B$38,"Pipeline - Natural gas liquids")/SUMIFS('Key inputs_EB_TRA'!AC$15:AC$38,'Key inputs_EB_TRA'!$B$15:$B$38,"Pipeline - Natural gas liquids")&gt;0,SUMIFS('Key inputs_EB_TRA'!AC$15:AC$38,'Key inputs_EB_TRA'!$C$15:$C$38,$C48,'Key inputs_EB_TRA'!$B$15:$B$38,"Pipeline - Natural gas liquids")/SUMIFS('Key inputs_EB_TRA'!AC$15:AC$38,'Key inputs_EB_TRA'!$B$15:$B$38,"Pipeline - Natural gas liquids")&lt;0.001),0.001,SUMIFS('Key inputs_EB_TRA'!AC$15:AC$38,'Key inputs_EB_TRA'!$C$15:$C$38,$C48,'Key inputs_EB_TRA'!$B$15:$B$38,"Pipeline - Natural gas liquids")/SUMIFS('Key inputs_EB_TRA'!AC$15:AC$38,'Key inputs_EB_TRA'!$B$15:$B$38,"Pipeline - Natural gas liquids")),"")</f>
        <v/>
      </c>
      <c r="AJ48" s="173">
        <f>IFERROR(IF(AND(SUMIFS('Key inputs_EB_TRA'!AD$15:AD$38,'Key inputs_EB_TRA'!$C$15:$C$38,$C48,'Key inputs_EB_TRA'!$B$15:$B$38,"Pipeline - Natural gas liquids")/SUMIFS('Key inputs_EB_TRA'!AD$15:AD$38,'Key inputs_EB_TRA'!$B$15:$B$38,"Pipeline - Natural gas liquids")&gt;0,SUMIFS('Key inputs_EB_TRA'!AD$15:AD$38,'Key inputs_EB_TRA'!$C$15:$C$38,$C48,'Key inputs_EB_TRA'!$B$15:$B$38,"Pipeline - Natural gas liquids")/SUMIFS('Key inputs_EB_TRA'!AD$15:AD$38,'Key inputs_EB_TRA'!$B$15:$B$38,"Pipeline - Natural gas liquids")&lt;0.001),0.001,SUMIFS('Key inputs_EB_TRA'!AD$15:AD$38,'Key inputs_EB_TRA'!$C$15:$C$38,$C48,'Key inputs_EB_TRA'!$B$15:$B$38,"Pipeline - Natural gas liquids")/SUMIFS('Key inputs_EB_TRA'!AD$15:AD$38,'Key inputs_EB_TRA'!$B$15:$B$38,"Pipeline - Natural gas liquids")),"")</f>
        <v>1E-3</v>
      </c>
      <c r="AK48" s="173" t="str">
        <f>IFERROR(IF(AND(SUMIFS('Key inputs_EB_TRA'!AE$15:AE$38,'Key inputs_EB_TRA'!$C$15:$C$38,$C48,'Key inputs_EB_TRA'!$B$15:$B$38,"Pipeline - Natural gas liquids")/SUMIFS('Key inputs_EB_TRA'!AE$15:AE$38,'Key inputs_EB_TRA'!$B$15:$B$38,"Pipeline - Natural gas liquids")&gt;0,SUMIFS('Key inputs_EB_TRA'!AE$15:AE$38,'Key inputs_EB_TRA'!$C$15:$C$38,$C48,'Key inputs_EB_TRA'!$B$15:$B$38,"Pipeline - Natural gas liquids")/SUMIFS('Key inputs_EB_TRA'!AE$15:AE$38,'Key inputs_EB_TRA'!$B$15:$B$38,"Pipeline - Natural gas liquids")&lt;0.001),0.001,SUMIFS('Key inputs_EB_TRA'!AE$15:AE$38,'Key inputs_EB_TRA'!$C$15:$C$38,$C48,'Key inputs_EB_TRA'!$B$15:$B$38,"Pipeline - Natural gas liquids")/SUMIFS('Key inputs_EB_TRA'!AE$15:AE$38,'Key inputs_EB_TRA'!$B$15:$B$38,"Pipeline - Natural gas liquids")),"")</f>
        <v/>
      </c>
      <c r="AL48" s="173">
        <f>IFERROR(IF(AND(SUMIFS('Key inputs_EB_TRA'!AF$15:AF$38,'Key inputs_EB_TRA'!$C$15:$C$38,$C48,'Key inputs_EB_TRA'!$B$15:$B$38,"Pipeline - Natural gas liquids")/SUMIFS('Key inputs_EB_TRA'!AF$15:AF$38,'Key inputs_EB_TRA'!$B$15:$B$38,"Pipeline - Natural gas liquids")&gt;0,SUMIFS('Key inputs_EB_TRA'!AF$15:AF$38,'Key inputs_EB_TRA'!$C$15:$C$38,$C48,'Key inputs_EB_TRA'!$B$15:$B$38,"Pipeline - Natural gas liquids")/SUMIFS('Key inputs_EB_TRA'!AF$15:AF$38,'Key inputs_EB_TRA'!$B$15:$B$38,"Pipeline - Natural gas liquids")&lt;0.001),0.001,SUMIFS('Key inputs_EB_TRA'!AF$15:AF$38,'Key inputs_EB_TRA'!$C$15:$C$38,$C48,'Key inputs_EB_TRA'!$B$15:$B$38,"Pipeline - Natural gas liquids")/SUMIFS('Key inputs_EB_TRA'!AF$15:AF$38,'Key inputs_EB_TRA'!$B$15:$B$38,"Pipeline - Natural gas liquids")),"")</f>
        <v>0</v>
      </c>
    </row>
    <row r="49" spans="1:38">
      <c r="A49" s="236"/>
      <c r="B49" s="236"/>
      <c r="C49" s="236" t="str">
        <f>Commodities!$C$99</f>
        <v>UPSOIL</v>
      </c>
      <c r="D49" s="236"/>
      <c r="E49" s="236"/>
      <c r="F49" s="259" t="s">
        <v>359</v>
      </c>
      <c r="G49" s="259" t="s">
        <v>702</v>
      </c>
      <c r="H49" s="236" t="s">
        <v>661</v>
      </c>
      <c r="I49" s="236">
        <v>2019</v>
      </c>
      <c r="J49" s="236" t="s">
        <v>650</v>
      </c>
      <c r="K49" s="264" t="str">
        <f>IFERROR(IF(AND(SUMIFS('Key inputs_EB_TRA'!E$15:E$38,'Key inputs_EB_TRA'!$C$15:$C$38,$C49,'Key inputs_EB_TRA'!$B$15:$B$38,"Pipeline - Natural gas liquids")/SUMIFS('Key inputs_EB_TRA'!E$15:E$38,'Key inputs_EB_TRA'!$B$15:$B$38,"Pipeline - Natural gas liquids")&gt;0,SUMIFS('Key inputs_EB_TRA'!E$15:E$38,'Key inputs_EB_TRA'!$C$15:$C$38,$C49,'Key inputs_EB_TRA'!$B$15:$B$38,"Pipeline - Natural gas liquids")/SUMIFS('Key inputs_EB_TRA'!E$15:E$38,'Key inputs_EB_TRA'!$B$15:$B$38,"Pipeline - Natural gas liquids")&lt;0.001),0.001,SUMIFS('Key inputs_EB_TRA'!E$15:E$38,'Key inputs_EB_TRA'!$C$15:$C$38,$C49,'Key inputs_EB_TRA'!$B$15:$B$38,"Pipeline - Natural gas liquids")/SUMIFS('Key inputs_EB_TRA'!E$15:E$38,'Key inputs_EB_TRA'!$B$15:$B$38,"Pipeline - Natural gas liquids")),"")</f>
        <v/>
      </c>
      <c r="L49" s="226">
        <f>IFERROR(IF(AND(SUMIFS('Key inputs_EB_TRA'!F$15:F$38,'Key inputs_EB_TRA'!$C$15:$C$38,$C49,'Key inputs_EB_TRA'!$B$15:$B$38,"Pipeline - Natural gas liquids")/SUMIFS('Key inputs_EB_TRA'!F$15:F$38,'Key inputs_EB_TRA'!$B$15:$B$38,"Pipeline - Natural gas liquids")&gt;0,SUMIFS('Key inputs_EB_TRA'!F$15:F$38,'Key inputs_EB_TRA'!$C$15:$C$38,$C49,'Key inputs_EB_TRA'!$B$15:$B$38,"Pipeline - Natural gas liquids")/SUMIFS('Key inputs_EB_TRA'!F$15:F$38,'Key inputs_EB_TRA'!$B$15:$B$38,"Pipeline - Natural gas liquids")&lt;0.001),0.001,SUMIFS('Key inputs_EB_TRA'!F$15:F$38,'Key inputs_EB_TRA'!$C$15:$C$38,$C49,'Key inputs_EB_TRA'!$B$15:$B$38,"Pipeline - Natural gas liquids")/SUMIFS('Key inputs_EB_TRA'!F$15:F$38,'Key inputs_EB_TRA'!$B$15:$B$38,"Pipeline - Natural gas liquids")),"")</f>
        <v>0</v>
      </c>
      <c r="M49" s="226">
        <f>IFERROR(IF(AND(SUMIFS('Key inputs_EB_TRA'!G$15:G$38,'Key inputs_EB_TRA'!$C$15:$C$38,$C49,'Key inputs_EB_TRA'!$B$15:$B$38,"Pipeline - Natural gas liquids")/SUMIFS('Key inputs_EB_TRA'!G$15:G$38,'Key inputs_EB_TRA'!$B$15:$B$38,"Pipeline - Natural gas liquids")&gt;0,SUMIFS('Key inputs_EB_TRA'!G$15:G$38,'Key inputs_EB_TRA'!$C$15:$C$38,$C49,'Key inputs_EB_TRA'!$B$15:$B$38,"Pipeline - Natural gas liquids")/SUMIFS('Key inputs_EB_TRA'!G$15:G$38,'Key inputs_EB_TRA'!$B$15:$B$38,"Pipeline - Natural gas liquids")&lt;0.001),0.001,SUMIFS('Key inputs_EB_TRA'!G$15:G$38,'Key inputs_EB_TRA'!$C$15:$C$38,$C49,'Key inputs_EB_TRA'!$B$15:$B$38,"Pipeline - Natural gas liquids")/SUMIFS('Key inputs_EB_TRA'!G$15:G$38,'Key inputs_EB_TRA'!$B$15:$B$38,"Pipeline - Natural gas liquids")),"")</f>
        <v>0</v>
      </c>
      <c r="N49" s="226">
        <f>IFERROR(IF(AND(SUMIFS('Key inputs_EB_TRA'!H$15:H$38,'Key inputs_EB_TRA'!$C$15:$C$38,$C49,'Key inputs_EB_TRA'!$B$15:$B$38,"Pipeline - Natural gas liquids")/SUMIFS('Key inputs_EB_TRA'!H$15:H$38,'Key inputs_EB_TRA'!$B$15:$B$38,"Pipeline - Natural gas liquids")&gt;0,SUMIFS('Key inputs_EB_TRA'!H$15:H$38,'Key inputs_EB_TRA'!$C$15:$C$38,$C49,'Key inputs_EB_TRA'!$B$15:$B$38,"Pipeline - Natural gas liquids")/SUMIFS('Key inputs_EB_TRA'!H$15:H$38,'Key inputs_EB_TRA'!$B$15:$B$38,"Pipeline - Natural gas liquids")&lt;0.001),0.001,SUMIFS('Key inputs_EB_TRA'!H$15:H$38,'Key inputs_EB_TRA'!$C$15:$C$38,$C49,'Key inputs_EB_TRA'!$B$15:$B$38,"Pipeline - Natural gas liquids")/SUMIFS('Key inputs_EB_TRA'!H$15:H$38,'Key inputs_EB_TRA'!$B$15:$B$38,"Pipeline - Natural gas liquids")),"")</f>
        <v>0</v>
      </c>
      <c r="O49" s="226">
        <f>IFERROR(IF(AND(SUMIFS('Key inputs_EB_TRA'!I$15:I$38,'Key inputs_EB_TRA'!$C$15:$C$38,$C49,'Key inputs_EB_TRA'!$B$15:$B$38,"Pipeline - Natural gas liquids")/SUMIFS('Key inputs_EB_TRA'!I$15:I$38,'Key inputs_EB_TRA'!$B$15:$B$38,"Pipeline - Natural gas liquids")&gt;0,SUMIFS('Key inputs_EB_TRA'!I$15:I$38,'Key inputs_EB_TRA'!$C$15:$C$38,$C49,'Key inputs_EB_TRA'!$B$15:$B$38,"Pipeline - Natural gas liquids")/SUMIFS('Key inputs_EB_TRA'!I$15:I$38,'Key inputs_EB_TRA'!$B$15:$B$38,"Pipeline - Natural gas liquids")&lt;0.001),0.001,SUMIFS('Key inputs_EB_TRA'!I$15:I$38,'Key inputs_EB_TRA'!$C$15:$C$38,$C49,'Key inputs_EB_TRA'!$B$15:$B$38,"Pipeline - Natural gas liquids")/SUMIFS('Key inputs_EB_TRA'!I$15:I$38,'Key inputs_EB_TRA'!$B$15:$B$38,"Pipeline - Natural gas liquids")),"")</f>
        <v>0</v>
      </c>
      <c r="P49" s="226">
        <f>IFERROR(IF(AND(SUMIFS('Key inputs_EB_TRA'!J$15:J$38,'Key inputs_EB_TRA'!$C$15:$C$38,$C49,'Key inputs_EB_TRA'!$B$15:$B$38,"Pipeline - Natural gas liquids")/SUMIFS('Key inputs_EB_TRA'!J$15:J$38,'Key inputs_EB_TRA'!$B$15:$B$38,"Pipeline - Natural gas liquids")&gt;0,SUMIFS('Key inputs_EB_TRA'!J$15:J$38,'Key inputs_EB_TRA'!$C$15:$C$38,$C49,'Key inputs_EB_TRA'!$B$15:$B$38,"Pipeline - Natural gas liquids")/SUMIFS('Key inputs_EB_TRA'!J$15:J$38,'Key inputs_EB_TRA'!$B$15:$B$38,"Pipeline - Natural gas liquids")&lt;0.001),0.001,SUMIFS('Key inputs_EB_TRA'!J$15:J$38,'Key inputs_EB_TRA'!$C$15:$C$38,$C49,'Key inputs_EB_TRA'!$B$15:$B$38,"Pipeline - Natural gas liquids")/SUMIFS('Key inputs_EB_TRA'!J$15:J$38,'Key inputs_EB_TRA'!$B$15:$B$38,"Pipeline - Natural gas liquids")),"")</f>
        <v>1E-3</v>
      </c>
      <c r="Q49" s="226" t="str">
        <f>IFERROR(IF(AND(SUMIFS('Key inputs_EB_TRA'!K$15:K$38,'Key inputs_EB_TRA'!$C$15:$C$38,$C49,'Key inputs_EB_TRA'!$B$15:$B$38,"Pipeline - Natural gas liquids")/SUMIFS('Key inputs_EB_TRA'!K$15:K$38,'Key inputs_EB_TRA'!$B$15:$B$38,"Pipeline - Natural gas liquids")&gt;0,SUMIFS('Key inputs_EB_TRA'!K$15:K$38,'Key inputs_EB_TRA'!$C$15:$C$38,$C49,'Key inputs_EB_TRA'!$B$15:$B$38,"Pipeline - Natural gas liquids")/SUMIFS('Key inputs_EB_TRA'!K$15:K$38,'Key inputs_EB_TRA'!$B$15:$B$38,"Pipeline - Natural gas liquids")&lt;0.001),0.001,SUMIFS('Key inputs_EB_TRA'!K$15:K$38,'Key inputs_EB_TRA'!$C$15:$C$38,$C49,'Key inputs_EB_TRA'!$B$15:$B$38,"Pipeline - Natural gas liquids")/SUMIFS('Key inputs_EB_TRA'!K$15:K$38,'Key inputs_EB_TRA'!$B$15:$B$38,"Pipeline - Natural gas liquids")),"")</f>
        <v/>
      </c>
      <c r="R49" s="226" t="str">
        <f>IFERROR(IF(AND(SUMIFS('Key inputs_EB_TRA'!L$15:L$38,'Key inputs_EB_TRA'!$C$15:$C$38,$C49,'Key inputs_EB_TRA'!$B$15:$B$38,"Pipeline - Natural gas liquids")/SUMIFS('Key inputs_EB_TRA'!L$15:L$38,'Key inputs_EB_TRA'!$B$15:$B$38,"Pipeline - Natural gas liquids")&gt;0,SUMIFS('Key inputs_EB_TRA'!L$15:L$38,'Key inputs_EB_TRA'!$C$15:$C$38,$C49,'Key inputs_EB_TRA'!$B$15:$B$38,"Pipeline - Natural gas liquids")/SUMIFS('Key inputs_EB_TRA'!L$15:L$38,'Key inputs_EB_TRA'!$B$15:$B$38,"Pipeline - Natural gas liquids")&lt;0.001),0.001,SUMIFS('Key inputs_EB_TRA'!L$15:L$38,'Key inputs_EB_TRA'!$C$15:$C$38,$C49,'Key inputs_EB_TRA'!$B$15:$B$38,"Pipeline - Natural gas liquids")/SUMIFS('Key inputs_EB_TRA'!L$15:L$38,'Key inputs_EB_TRA'!$B$15:$B$38,"Pipeline - Natural gas liquids")),"")</f>
        <v/>
      </c>
      <c r="S49" s="226" t="str">
        <f>IFERROR(IF(AND(SUMIFS('Key inputs_EB_TRA'!M$15:M$38,'Key inputs_EB_TRA'!$C$15:$C$38,$C49,'Key inputs_EB_TRA'!$B$15:$B$38,"Pipeline - Natural gas liquids")/SUMIFS('Key inputs_EB_TRA'!M$15:M$38,'Key inputs_EB_TRA'!$B$15:$B$38,"Pipeline - Natural gas liquids")&gt;0,SUMIFS('Key inputs_EB_TRA'!M$15:M$38,'Key inputs_EB_TRA'!$C$15:$C$38,$C49,'Key inputs_EB_TRA'!$B$15:$B$38,"Pipeline - Natural gas liquids")/SUMIFS('Key inputs_EB_TRA'!M$15:M$38,'Key inputs_EB_TRA'!$B$15:$B$38,"Pipeline - Natural gas liquids")&lt;0.001),0.001,SUMIFS('Key inputs_EB_TRA'!M$15:M$38,'Key inputs_EB_TRA'!$C$15:$C$38,$C49,'Key inputs_EB_TRA'!$B$15:$B$38,"Pipeline - Natural gas liquids")/SUMIFS('Key inputs_EB_TRA'!M$15:M$38,'Key inputs_EB_TRA'!$B$15:$B$38,"Pipeline - Natural gas liquids")),"")</f>
        <v/>
      </c>
      <c r="T49" s="226">
        <f>IFERROR(IF(AND(SUMIFS('Key inputs_EB_TRA'!N$15:N$38,'Key inputs_EB_TRA'!$C$15:$C$38,$C49,'Key inputs_EB_TRA'!$B$15:$B$38,"Pipeline - Natural gas liquids")/SUMIFS('Key inputs_EB_TRA'!N$15:N$38,'Key inputs_EB_TRA'!$B$15:$B$38,"Pipeline - Natural gas liquids")&gt;0,SUMIFS('Key inputs_EB_TRA'!N$15:N$38,'Key inputs_EB_TRA'!$C$15:$C$38,$C49,'Key inputs_EB_TRA'!$B$15:$B$38,"Pipeline - Natural gas liquids")/SUMIFS('Key inputs_EB_TRA'!N$15:N$38,'Key inputs_EB_TRA'!$B$15:$B$38,"Pipeline - Natural gas liquids")&lt;0.001),0.001,SUMIFS('Key inputs_EB_TRA'!N$15:N$38,'Key inputs_EB_TRA'!$C$15:$C$38,$C49,'Key inputs_EB_TRA'!$B$15:$B$38,"Pipeline - Natural gas liquids")/SUMIFS('Key inputs_EB_TRA'!N$15:N$38,'Key inputs_EB_TRA'!$B$15:$B$38,"Pipeline - Natural gas liquids")),"")</f>
        <v>0</v>
      </c>
      <c r="U49" s="226" t="str">
        <f>IFERROR(IF(AND(SUMIFS('Key inputs_EB_TRA'!O$15:O$38,'Key inputs_EB_TRA'!$C$15:$C$38,$C49,'Key inputs_EB_TRA'!$B$15:$B$38,"Pipeline - Natural gas liquids")/SUMIFS('Key inputs_EB_TRA'!O$15:O$38,'Key inputs_EB_TRA'!$B$15:$B$38,"Pipeline - Natural gas liquids")&gt;0,SUMIFS('Key inputs_EB_TRA'!O$15:O$38,'Key inputs_EB_TRA'!$C$15:$C$38,$C49,'Key inputs_EB_TRA'!$B$15:$B$38,"Pipeline - Natural gas liquids")/SUMIFS('Key inputs_EB_TRA'!O$15:O$38,'Key inputs_EB_TRA'!$B$15:$B$38,"Pipeline - Natural gas liquids")&lt;0.001),0.001,SUMIFS('Key inputs_EB_TRA'!O$15:O$38,'Key inputs_EB_TRA'!$C$15:$C$38,$C49,'Key inputs_EB_TRA'!$B$15:$B$38,"Pipeline - Natural gas liquids")/SUMIFS('Key inputs_EB_TRA'!O$15:O$38,'Key inputs_EB_TRA'!$B$15:$B$38,"Pipeline - Natural gas liquids")),"")</f>
        <v/>
      </c>
      <c r="V49" s="226" t="str">
        <f>IFERROR(IF(AND(SUMIFS('Key inputs_EB_TRA'!P$15:P$38,'Key inputs_EB_TRA'!$C$15:$C$38,$C49,'Key inputs_EB_TRA'!$B$15:$B$38,"Pipeline - Natural gas liquids")/SUMIFS('Key inputs_EB_TRA'!P$15:P$38,'Key inputs_EB_TRA'!$B$15:$B$38,"Pipeline - Natural gas liquids")&gt;0,SUMIFS('Key inputs_EB_TRA'!P$15:P$38,'Key inputs_EB_TRA'!$C$15:$C$38,$C49,'Key inputs_EB_TRA'!$B$15:$B$38,"Pipeline - Natural gas liquids")/SUMIFS('Key inputs_EB_TRA'!P$15:P$38,'Key inputs_EB_TRA'!$B$15:$B$38,"Pipeline - Natural gas liquids")&lt;0.001),0.001,SUMIFS('Key inputs_EB_TRA'!P$15:P$38,'Key inputs_EB_TRA'!$C$15:$C$38,$C49,'Key inputs_EB_TRA'!$B$15:$B$38,"Pipeline - Natural gas liquids")/SUMIFS('Key inputs_EB_TRA'!P$15:P$38,'Key inputs_EB_TRA'!$B$15:$B$38,"Pipeline - Natural gas liquids")),"")</f>
        <v/>
      </c>
      <c r="W49" s="226">
        <f>IFERROR(IF(AND(SUMIFS('Key inputs_EB_TRA'!Q$15:Q$38,'Key inputs_EB_TRA'!$C$15:$C$38,$C49,'Key inputs_EB_TRA'!$B$15:$B$38,"Pipeline - Natural gas liquids")/SUMIFS('Key inputs_EB_TRA'!Q$15:Q$38,'Key inputs_EB_TRA'!$B$15:$B$38,"Pipeline - Natural gas liquids")&gt;0,SUMIFS('Key inputs_EB_TRA'!Q$15:Q$38,'Key inputs_EB_TRA'!$C$15:$C$38,$C49,'Key inputs_EB_TRA'!$B$15:$B$38,"Pipeline - Natural gas liquids")/SUMIFS('Key inputs_EB_TRA'!Q$15:Q$38,'Key inputs_EB_TRA'!$B$15:$B$38,"Pipeline - Natural gas liquids")&lt;0.001),0.001,SUMIFS('Key inputs_EB_TRA'!Q$15:Q$38,'Key inputs_EB_TRA'!$C$15:$C$38,$C49,'Key inputs_EB_TRA'!$B$15:$B$38,"Pipeline - Natural gas liquids")/SUMIFS('Key inputs_EB_TRA'!Q$15:Q$38,'Key inputs_EB_TRA'!$B$15:$B$38,"Pipeline - Natural gas liquids")),"")</f>
        <v>0</v>
      </c>
      <c r="X49" s="226">
        <f>IFERROR(IF(AND(SUMIFS('Key inputs_EB_TRA'!R$15:R$38,'Key inputs_EB_TRA'!$C$15:$C$38,$C49,'Key inputs_EB_TRA'!$B$15:$B$38,"Pipeline - Natural gas liquids")/SUMIFS('Key inputs_EB_TRA'!R$15:R$38,'Key inputs_EB_TRA'!$B$15:$B$38,"Pipeline - Natural gas liquids")&gt;0,SUMIFS('Key inputs_EB_TRA'!R$15:R$38,'Key inputs_EB_TRA'!$C$15:$C$38,$C49,'Key inputs_EB_TRA'!$B$15:$B$38,"Pipeline - Natural gas liquids")/SUMIFS('Key inputs_EB_TRA'!R$15:R$38,'Key inputs_EB_TRA'!$B$15:$B$38,"Pipeline - Natural gas liquids")&lt;0.001),0.001,SUMIFS('Key inputs_EB_TRA'!R$15:R$38,'Key inputs_EB_TRA'!$C$15:$C$38,$C49,'Key inputs_EB_TRA'!$B$15:$B$38,"Pipeline - Natural gas liquids")/SUMIFS('Key inputs_EB_TRA'!R$15:R$38,'Key inputs_EB_TRA'!$B$15:$B$38,"Pipeline - Natural gas liquids")),"")</f>
        <v>0</v>
      </c>
      <c r="Y49" s="226">
        <f>IFERROR(IF(AND(SUMIFS('Key inputs_EB_TRA'!S$15:S$38,'Key inputs_EB_TRA'!$C$15:$C$38,$C49,'Key inputs_EB_TRA'!$B$15:$B$38,"Pipeline - Natural gas liquids")/SUMIFS('Key inputs_EB_TRA'!S$15:S$38,'Key inputs_EB_TRA'!$B$15:$B$38,"Pipeline - Natural gas liquids")&gt;0,SUMIFS('Key inputs_EB_TRA'!S$15:S$38,'Key inputs_EB_TRA'!$C$15:$C$38,$C49,'Key inputs_EB_TRA'!$B$15:$B$38,"Pipeline - Natural gas liquids")/SUMIFS('Key inputs_EB_TRA'!S$15:S$38,'Key inputs_EB_TRA'!$B$15:$B$38,"Pipeline - Natural gas liquids")&lt;0.001),0.001,SUMIFS('Key inputs_EB_TRA'!S$15:S$38,'Key inputs_EB_TRA'!$C$15:$C$38,$C49,'Key inputs_EB_TRA'!$B$15:$B$38,"Pipeline - Natural gas liquids")/SUMIFS('Key inputs_EB_TRA'!S$15:S$38,'Key inputs_EB_TRA'!$B$15:$B$38,"Pipeline - Natural gas liquids")),"")</f>
        <v>0</v>
      </c>
      <c r="Z49" s="226">
        <f>IFERROR(IF(AND(SUMIFS('Key inputs_EB_TRA'!T$15:T$38,'Key inputs_EB_TRA'!$C$15:$C$38,$C49,'Key inputs_EB_TRA'!$B$15:$B$38,"Pipeline - Natural gas liquids")/SUMIFS('Key inputs_EB_TRA'!T$15:T$38,'Key inputs_EB_TRA'!$B$15:$B$38,"Pipeline - Natural gas liquids")&gt;0,SUMIFS('Key inputs_EB_TRA'!T$15:T$38,'Key inputs_EB_TRA'!$C$15:$C$38,$C49,'Key inputs_EB_TRA'!$B$15:$B$38,"Pipeline - Natural gas liquids")/SUMIFS('Key inputs_EB_TRA'!T$15:T$38,'Key inputs_EB_TRA'!$B$15:$B$38,"Pipeline - Natural gas liquids")&lt;0.001),0.001,SUMIFS('Key inputs_EB_TRA'!T$15:T$38,'Key inputs_EB_TRA'!$C$15:$C$38,$C49,'Key inputs_EB_TRA'!$B$15:$B$38,"Pipeline - Natural gas liquids")/SUMIFS('Key inputs_EB_TRA'!T$15:T$38,'Key inputs_EB_TRA'!$B$15:$B$38,"Pipeline - Natural gas liquids")),"")</f>
        <v>0</v>
      </c>
      <c r="AA49" s="226">
        <f>IFERROR(IF(AND(SUMIFS('Key inputs_EB_TRA'!U$15:U$38,'Key inputs_EB_TRA'!$C$15:$C$38,$C49,'Key inputs_EB_TRA'!$B$15:$B$38,"Pipeline - Natural gas liquids")/SUMIFS('Key inputs_EB_TRA'!U$15:U$38,'Key inputs_EB_TRA'!$B$15:$B$38,"Pipeline - Natural gas liquids")&gt;0,SUMIFS('Key inputs_EB_TRA'!U$15:U$38,'Key inputs_EB_TRA'!$C$15:$C$38,$C49,'Key inputs_EB_TRA'!$B$15:$B$38,"Pipeline - Natural gas liquids")/SUMIFS('Key inputs_EB_TRA'!U$15:U$38,'Key inputs_EB_TRA'!$B$15:$B$38,"Pipeline - Natural gas liquids")&lt;0.001),0.001,SUMIFS('Key inputs_EB_TRA'!U$15:U$38,'Key inputs_EB_TRA'!$C$15:$C$38,$C49,'Key inputs_EB_TRA'!$B$15:$B$38,"Pipeline - Natural gas liquids")/SUMIFS('Key inputs_EB_TRA'!U$15:U$38,'Key inputs_EB_TRA'!$B$15:$B$38,"Pipeline - Natural gas liquids")),"")</f>
        <v>0</v>
      </c>
      <c r="AB49" s="226" t="str">
        <f>IFERROR(IF(AND(SUMIFS('Key inputs_EB_TRA'!V$15:V$38,'Key inputs_EB_TRA'!$C$15:$C$38,$C49,'Key inputs_EB_TRA'!$B$15:$B$38,"Pipeline - Natural gas liquids")/SUMIFS('Key inputs_EB_TRA'!V$15:V$38,'Key inputs_EB_TRA'!$B$15:$B$38,"Pipeline - Natural gas liquids")&gt;0,SUMIFS('Key inputs_EB_TRA'!V$15:V$38,'Key inputs_EB_TRA'!$C$15:$C$38,$C49,'Key inputs_EB_TRA'!$B$15:$B$38,"Pipeline - Natural gas liquids")/SUMIFS('Key inputs_EB_TRA'!V$15:V$38,'Key inputs_EB_TRA'!$B$15:$B$38,"Pipeline - Natural gas liquids")&lt;0.001),0.001,SUMIFS('Key inputs_EB_TRA'!V$15:V$38,'Key inputs_EB_TRA'!$C$15:$C$38,$C49,'Key inputs_EB_TRA'!$B$15:$B$38,"Pipeline - Natural gas liquids")/SUMIFS('Key inputs_EB_TRA'!V$15:V$38,'Key inputs_EB_TRA'!$B$15:$B$38,"Pipeline - Natural gas liquids")),"")</f>
        <v/>
      </c>
      <c r="AC49" s="226">
        <f>IFERROR(IF(AND(SUMIFS('Key inputs_EB_TRA'!W$15:W$38,'Key inputs_EB_TRA'!$C$15:$C$38,$C49,'Key inputs_EB_TRA'!$B$15:$B$38,"Pipeline - Natural gas liquids")/SUMIFS('Key inputs_EB_TRA'!W$15:W$38,'Key inputs_EB_TRA'!$B$15:$B$38,"Pipeline - Natural gas liquids")&gt;0,SUMIFS('Key inputs_EB_TRA'!W$15:W$38,'Key inputs_EB_TRA'!$C$15:$C$38,$C49,'Key inputs_EB_TRA'!$B$15:$B$38,"Pipeline - Natural gas liquids")/SUMIFS('Key inputs_EB_TRA'!W$15:W$38,'Key inputs_EB_TRA'!$B$15:$B$38,"Pipeline - Natural gas liquids")&lt;0.001),0.001,SUMIFS('Key inputs_EB_TRA'!W$15:W$38,'Key inputs_EB_TRA'!$C$15:$C$38,$C49,'Key inputs_EB_TRA'!$B$15:$B$38,"Pipeline - Natural gas liquids")/SUMIFS('Key inputs_EB_TRA'!W$15:W$38,'Key inputs_EB_TRA'!$B$15:$B$38,"Pipeline - Natural gas liquids")),"")</f>
        <v>0</v>
      </c>
      <c r="AD49" s="226" t="str">
        <f>IFERROR(IF(AND(SUMIFS('Key inputs_EB_TRA'!X$15:X$38,'Key inputs_EB_TRA'!$C$15:$C$38,$C49,'Key inputs_EB_TRA'!$B$15:$B$38,"Pipeline - Natural gas liquids")/SUMIFS('Key inputs_EB_TRA'!X$15:X$38,'Key inputs_EB_TRA'!$B$15:$B$38,"Pipeline - Natural gas liquids")&gt;0,SUMIFS('Key inputs_EB_TRA'!X$15:X$38,'Key inputs_EB_TRA'!$C$15:$C$38,$C49,'Key inputs_EB_TRA'!$B$15:$B$38,"Pipeline - Natural gas liquids")/SUMIFS('Key inputs_EB_TRA'!X$15:X$38,'Key inputs_EB_TRA'!$B$15:$B$38,"Pipeline - Natural gas liquids")&lt;0.001),0.001,SUMIFS('Key inputs_EB_TRA'!X$15:X$38,'Key inputs_EB_TRA'!$C$15:$C$38,$C49,'Key inputs_EB_TRA'!$B$15:$B$38,"Pipeline - Natural gas liquids")/SUMIFS('Key inputs_EB_TRA'!X$15:X$38,'Key inputs_EB_TRA'!$B$15:$B$38,"Pipeline - Natural gas liquids")),"")</f>
        <v/>
      </c>
      <c r="AE49" s="226">
        <f>IFERROR(IF(AND(SUMIFS('Key inputs_EB_TRA'!Y$15:Y$38,'Key inputs_EB_TRA'!$C$15:$C$38,$C49,'Key inputs_EB_TRA'!$B$15:$B$38,"Pipeline - Natural gas liquids")/SUMIFS('Key inputs_EB_TRA'!Y$15:Y$38,'Key inputs_EB_TRA'!$B$15:$B$38,"Pipeline - Natural gas liquids")&gt;0,SUMIFS('Key inputs_EB_TRA'!Y$15:Y$38,'Key inputs_EB_TRA'!$C$15:$C$38,$C49,'Key inputs_EB_TRA'!$B$15:$B$38,"Pipeline - Natural gas liquids")/SUMIFS('Key inputs_EB_TRA'!Y$15:Y$38,'Key inputs_EB_TRA'!$B$15:$B$38,"Pipeline - Natural gas liquids")&lt;0.001),0.001,SUMIFS('Key inputs_EB_TRA'!Y$15:Y$38,'Key inputs_EB_TRA'!$C$15:$C$38,$C49,'Key inputs_EB_TRA'!$B$15:$B$38,"Pipeline - Natural gas liquids")/SUMIFS('Key inputs_EB_TRA'!Y$15:Y$38,'Key inputs_EB_TRA'!$B$15:$B$38,"Pipeline - Natural gas liquids")),"")</f>
        <v>0</v>
      </c>
      <c r="AF49" s="226">
        <f>IFERROR(IF(AND(SUMIFS('Key inputs_EB_TRA'!Z$15:Z$38,'Key inputs_EB_TRA'!$C$15:$C$38,$C49,'Key inputs_EB_TRA'!$B$15:$B$38,"Pipeline - Natural gas liquids")/SUMIFS('Key inputs_EB_TRA'!Z$15:Z$38,'Key inputs_EB_TRA'!$B$15:$B$38,"Pipeline - Natural gas liquids")&gt;0,SUMIFS('Key inputs_EB_TRA'!Z$15:Z$38,'Key inputs_EB_TRA'!$C$15:$C$38,$C49,'Key inputs_EB_TRA'!$B$15:$B$38,"Pipeline - Natural gas liquids")/SUMIFS('Key inputs_EB_TRA'!Z$15:Z$38,'Key inputs_EB_TRA'!$B$15:$B$38,"Pipeline - Natural gas liquids")&lt;0.001),0.001,SUMIFS('Key inputs_EB_TRA'!Z$15:Z$38,'Key inputs_EB_TRA'!$C$15:$C$38,$C49,'Key inputs_EB_TRA'!$B$15:$B$38,"Pipeline - Natural gas liquids")/SUMIFS('Key inputs_EB_TRA'!Z$15:Z$38,'Key inputs_EB_TRA'!$B$15:$B$38,"Pipeline - Natural gas liquids")),"")</f>
        <v>0</v>
      </c>
      <c r="AG49" s="226">
        <f>IFERROR(IF(AND(SUMIFS('Key inputs_EB_TRA'!AA$15:AA$38,'Key inputs_EB_TRA'!$C$15:$C$38,$C49,'Key inputs_EB_TRA'!$B$15:$B$38,"Pipeline - Natural gas liquids")/SUMIFS('Key inputs_EB_TRA'!AA$15:AA$38,'Key inputs_EB_TRA'!$B$15:$B$38,"Pipeline - Natural gas liquids")&gt;0,SUMIFS('Key inputs_EB_TRA'!AA$15:AA$38,'Key inputs_EB_TRA'!$C$15:$C$38,$C49,'Key inputs_EB_TRA'!$B$15:$B$38,"Pipeline - Natural gas liquids")/SUMIFS('Key inputs_EB_TRA'!AA$15:AA$38,'Key inputs_EB_TRA'!$B$15:$B$38,"Pipeline - Natural gas liquids")&lt;0.001),0.001,SUMIFS('Key inputs_EB_TRA'!AA$15:AA$38,'Key inputs_EB_TRA'!$C$15:$C$38,$C49,'Key inputs_EB_TRA'!$B$15:$B$38,"Pipeline - Natural gas liquids")/SUMIFS('Key inputs_EB_TRA'!AA$15:AA$38,'Key inputs_EB_TRA'!$B$15:$B$38,"Pipeline - Natural gas liquids")),"")</f>
        <v>0</v>
      </c>
      <c r="AH49" s="226" t="str">
        <f>IFERROR(IF(AND(SUMIFS('Key inputs_EB_TRA'!AB$15:AB$38,'Key inputs_EB_TRA'!$C$15:$C$38,$C49,'Key inputs_EB_TRA'!$B$15:$B$38,"Pipeline - Natural gas liquids")/SUMIFS('Key inputs_EB_TRA'!AB$15:AB$38,'Key inputs_EB_TRA'!$B$15:$B$38,"Pipeline - Natural gas liquids")&gt;0,SUMIFS('Key inputs_EB_TRA'!AB$15:AB$38,'Key inputs_EB_TRA'!$C$15:$C$38,$C49,'Key inputs_EB_TRA'!$B$15:$B$38,"Pipeline - Natural gas liquids")/SUMIFS('Key inputs_EB_TRA'!AB$15:AB$38,'Key inputs_EB_TRA'!$B$15:$B$38,"Pipeline - Natural gas liquids")&lt;0.001),0.001,SUMIFS('Key inputs_EB_TRA'!AB$15:AB$38,'Key inputs_EB_TRA'!$C$15:$C$38,$C49,'Key inputs_EB_TRA'!$B$15:$B$38,"Pipeline - Natural gas liquids")/SUMIFS('Key inputs_EB_TRA'!AB$15:AB$38,'Key inputs_EB_TRA'!$B$15:$B$38,"Pipeline - Natural gas liquids")),"")</f>
        <v/>
      </c>
      <c r="AI49" s="226" t="str">
        <f>IFERROR(IF(AND(SUMIFS('Key inputs_EB_TRA'!AC$15:AC$38,'Key inputs_EB_TRA'!$C$15:$C$38,$C49,'Key inputs_EB_TRA'!$B$15:$B$38,"Pipeline - Natural gas liquids")/SUMIFS('Key inputs_EB_TRA'!AC$15:AC$38,'Key inputs_EB_TRA'!$B$15:$B$38,"Pipeline - Natural gas liquids")&gt;0,SUMIFS('Key inputs_EB_TRA'!AC$15:AC$38,'Key inputs_EB_TRA'!$C$15:$C$38,$C49,'Key inputs_EB_TRA'!$B$15:$B$38,"Pipeline - Natural gas liquids")/SUMIFS('Key inputs_EB_TRA'!AC$15:AC$38,'Key inputs_EB_TRA'!$B$15:$B$38,"Pipeline - Natural gas liquids")&lt;0.001),0.001,SUMIFS('Key inputs_EB_TRA'!AC$15:AC$38,'Key inputs_EB_TRA'!$C$15:$C$38,$C49,'Key inputs_EB_TRA'!$B$15:$B$38,"Pipeline - Natural gas liquids")/SUMIFS('Key inputs_EB_TRA'!AC$15:AC$38,'Key inputs_EB_TRA'!$B$15:$B$38,"Pipeline - Natural gas liquids")),"")</f>
        <v/>
      </c>
      <c r="AJ49" s="226">
        <f>IFERROR(IF(AND(SUMIFS('Key inputs_EB_TRA'!AD$15:AD$38,'Key inputs_EB_TRA'!$C$15:$C$38,$C49,'Key inputs_EB_TRA'!$B$15:$B$38,"Pipeline - Natural gas liquids")/SUMIFS('Key inputs_EB_TRA'!AD$15:AD$38,'Key inputs_EB_TRA'!$B$15:$B$38,"Pipeline - Natural gas liquids")&gt;0,SUMIFS('Key inputs_EB_TRA'!AD$15:AD$38,'Key inputs_EB_TRA'!$C$15:$C$38,$C49,'Key inputs_EB_TRA'!$B$15:$B$38,"Pipeline - Natural gas liquids")/SUMIFS('Key inputs_EB_TRA'!AD$15:AD$38,'Key inputs_EB_TRA'!$B$15:$B$38,"Pipeline - Natural gas liquids")&lt;0.001),0.001,SUMIFS('Key inputs_EB_TRA'!AD$15:AD$38,'Key inputs_EB_TRA'!$C$15:$C$38,$C49,'Key inputs_EB_TRA'!$B$15:$B$38,"Pipeline - Natural gas liquids")/SUMIFS('Key inputs_EB_TRA'!AD$15:AD$38,'Key inputs_EB_TRA'!$B$15:$B$38,"Pipeline - Natural gas liquids")),"")</f>
        <v>0</v>
      </c>
      <c r="AK49" s="226" t="str">
        <f>IFERROR(IF(AND(SUMIFS('Key inputs_EB_TRA'!AE$15:AE$38,'Key inputs_EB_TRA'!$C$15:$C$38,$C49,'Key inputs_EB_TRA'!$B$15:$B$38,"Pipeline - Natural gas liquids")/SUMIFS('Key inputs_EB_TRA'!AE$15:AE$38,'Key inputs_EB_TRA'!$B$15:$B$38,"Pipeline - Natural gas liquids")&gt;0,SUMIFS('Key inputs_EB_TRA'!AE$15:AE$38,'Key inputs_EB_TRA'!$C$15:$C$38,$C49,'Key inputs_EB_TRA'!$B$15:$B$38,"Pipeline - Natural gas liquids")/SUMIFS('Key inputs_EB_TRA'!AE$15:AE$38,'Key inputs_EB_TRA'!$B$15:$B$38,"Pipeline - Natural gas liquids")&lt;0.001),0.001,SUMIFS('Key inputs_EB_TRA'!AE$15:AE$38,'Key inputs_EB_TRA'!$C$15:$C$38,$C49,'Key inputs_EB_TRA'!$B$15:$B$38,"Pipeline - Natural gas liquids")/SUMIFS('Key inputs_EB_TRA'!AE$15:AE$38,'Key inputs_EB_TRA'!$B$15:$B$38,"Pipeline - Natural gas liquids")),"")</f>
        <v/>
      </c>
      <c r="AL49" s="226">
        <f>IFERROR(IF(AND(SUMIFS('Key inputs_EB_TRA'!AF$15:AF$38,'Key inputs_EB_TRA'!$C$15:$C$38,$C49,'Key inputs_EB_TRA'!$B$15:$B$38,"Pipeline - Natural gas liquids")/SUMIFS('Key inputs_EB_TRA'!AF$15:AF$38,'Key inputs_EB_TRA'!$B$15:$B$38,"Pipeline - Natural gas liquids")&gt;0,SUMIFS('Key inputs_EB_TRA'!AF$15:AF$38,'Key inputs_EB_TRA'!$C$15:$C$38,$C49,'Key inputs_EB_TRA'!$B$15:$B$38,"Pipeline - Natural gas liquids")/SUMIFS('Key inputs_EB_TRA'!AF$15:AF$38,'Key inputs_EB_TRA'!$B$15:$B$38,"Pipeline - Natural gas liquids")&lt;0.001),0.001,SUMIFS('Key inputs_EB_TRA'!AF$15:AF$38,'Key inputs_EB_TRA'!$C$15:$C$38,$C49,'Key inputs_EB_TRA'!$B$15:$B$38,"Pipeline - Natural gas liquids")/SUMIFS('Key inputs_EB_TRA'!AF$15:AF$38,'Key inputs_EB_TRA'!$B$15:$B$38,"Pipeline - Natural gas liquids")),"")</f>
        <v>0</v>
      </c>
    </row>
    <row r="50" spans="1:38">
      <c r="A50" t="str">
        <f>AO12</f>
        <v>U-PIP-OILCRD_00</v>
      </c>
      <c r="B50" t="str">
        <f>AP12</f>
        <v>UPS Pipeline : Crude oil - Existing</v>
      </c>
      <c r="G50" s="4" t="s">
        <v>695</v>
      </c>
      <c r="H50" s="4"/>
      <c r="I50" s="4"/>
      <c r="J50" s="4" t="s">
        <v>2665</v>
      </c>
      <c r="K50" s="355">
        <v>1</v>
      </c>
      <c r="L50" s="355">
        <v>1</v>
      </c>
      <c r="M50" s="355">
        <v>1</v>
      </c>
      <c r="N50" s="355">
        <v>1</v>
      </c>
      <c r="O50" s="355">
        <v>1</v>
      </c>
      <c r="P50" s="355">
        <v>1</v>
      </c>
      <c r="Q50" s="355">
        <v>1</v>
      </c>
      <c r="R50" s="355">
        <v>1</v>
      </c>
      <c r="S50" s="355">
        <v>1</v>
      </c>
      <c r="T50" s="355">
        <v>1</v>
      </c>
      <c r="U50" s="355">
        <v>1</v>
      </c>
      <c r="V50" s="355">
        <v>1</v>
      </c>
      <c r="W50" s="355">
        <v>1</v>
      </c>
      <c r="X50" s="355">
        <v>1</v>
      </c>
      <c r="Y50" s="355">
        <v>1</v>
      </c>
      <c r="Z50" s="355">
        <v>1</v>
      </c>
      <c r="AA50" s="355">
        <v>1</v>
      </c>
      <c r="AB50" s="355">
        <v>1</v>
      </c>
      <c r="AC50" s="355">
        <v>1</v>
      </c>
      <c r="AD50" s="355">
        <v>1</v>
      </c>
      <c r="AE50" s="355">
        <v>1</v>
      </c>
      <c r="AF50" s="355">
        <v>1</v>
      </c>
      <c r="AG50" s="355">
        <v>1</v>
      </c>
      <c r="AH50" s="355">
        <v>1</v>
      </c>
      <c r="AI50" s="355">
        <v>1</v>
      </c>
      <c r="AJ50" s="355">
        <v>1</v>
      </c>
      <c r="AK50" s="355">
        <v>1</v>
      </c>
      <c r="AL50" s="355">
        <v>1</v>
      </c>
    </row>
    <row r="51" spans="1:38">
      <c r="G51" s="4" t="s">
        <v>697</v>
      </c>
      <c r="H51" s="4"/>
      <c r="I51" s="4"/>
      <c r="J51" s="4" t="s">
        <v>698</v>
      </c>
      <c r="K51" s="331">
        <v>100</v>
      </c>
      <c r="L51" s="331">
        <v>100</v>
      </c>
      <c r="M51" s="331">
        <v>100</v>
      </c>
      <c r="N51" s="331">
        <v>100</v>
      </c>
      <c r="O51" s="331">
        <v>100</v>
      </c>
      <c r="P51" s="331">
        <v>100</v>
      </c>
      <c r="Q51" s="331">
        <v>100</v>
      </c>
      <c r="R51" s="331">
        <v>100</v>
      </c>
      <c r="S51" s="331">
        <v>100</v>
      </c>
      <c r="T51" s="331">
        <v>100</v>
      </c>
      <c r="U51" s="331">
        <v>100</v>
      </c>
      <c r="V51" s="331">
        <v>100</v>
      </c>
      <c r="W51" s="331">
        <v>100</v>
      </c>
      <c r="X51" s="331">
        <v>100</v>
      </c>
      <c r="Y51" s="331">
        <v>100</v>
      </c>
      <c r="Z51" s="331">
        <v>100</v>
      </c>
      <c r="AA51" s="331">
        <v>100</v>
      </c>
      <c r="AB51" s="331">
        <v>100</v>
      </c>
      <c r="AC51" s="331">
        <v>100</v>
      </c>
      <c r="AD51" s="331">
        <v>100</v>
      </c>
      <c r="AE51" s="331">
        <v>100</v>
      </c>
      <c r="AF51" s="331">
        <v>100</v>
      </c>
      <c r="AG51" s="331">
        <v>100</v>
      </c>
      <c r="AH51" s="331">
        <v>100</v>
      </c>
      <c r="AI51" s="331">
        <v>100</v>
      </c>
      <c r="AJ51" s="331">
        <v>100</v>
      </c>
      <c r="AK51" s="331">
        <v>100</v>
      </c>
      <c r="AL51" s="331">
        <v>100</v>
      </c>
    </row>
    <row r="52" spans="1:38">
      <c r="G52" s="4" t="s">
        <v>699</v>
      </c>
      <c r="H52" s="4"/>
      <c r="I52" s="4">
        <v>2019</v>
      </c>
      <c r="J52" s="4" t="s">
        <v>112</v>
      </c>
      <c r="K52" s="356">
        <f>'Key inputs_Pipelines'!C6/10^3</f>
        <v>530.37900000000002</v>
      </c>
      <c r="L52" s="356">
        <f>'Key inputs_Pipelines'!D6/10^3</f>
        <v>5619.2039999999997</v>
      </c>
      <c r="M52" s="356">
        <f>'Key inputs_Pipelines'!E6/10^3</f>
        <v>2520.8589999999999</v>
      </c>
      <c r="N52" s="356">
        <f>'Key inputs_Pipelines'!F6/10^3</f>
        <v>3010.21</v>
      </c>
      <c r="O52" s="356">
        <f>'Key inputs_Pipelines'!G6/10^3</f>
        <v>586.88900000000001</v>
      </c>
      <c r="P52" s="356">
        <f>'Key inputs_Pipelines'!H6/10^3</f>
        <v>5628.2340000000004</v>
      </c>
      <c r="Q52" s="356">
        <f>'Key inputs_Pipelines'!I6/10^3</f>
        <v>1641.056</v>
      </c>
      <c r="R52" s="356">
        <f>'Key inputs_Pipelines'!J6/10^3</f>
        <v>157.001</v>
      </c>
      <c r="S52" s="356">
        <f>'Key inputs_Pipelines'!K6/10^3</f>
        <v>6404.3459999999995</v>
      </c>
      <c r="T52" s="356">
        <f>'Key inputs_Pipelines'!L6/10^3</f>
        <v>11685.217000000001</v>
      </c>
      <c r="U52" s="356">
        <f>'Key inputs_Pipelines'!M6/10^3</f>
        <v>7.0110000000000001</v>
      </c>
      <c r="V52" s="356">
        <f>'Key inputs_Pipelines'!N6/10^3</f>
        <v>9174.4140000000007</v>
      </c>
      <c r="W52" s="356">
        <f>'Key inputs_Pipelines'!O6/10^3</f>
        <v>178.392</v>
      </c>
      <c r="X52" s="356">
        <f>'Key inputs_Pipelines'!P6/10^3</f>
        <v>5031.665</v>
      </c>
      <c r="Y52" s="356">
        <f>'Key inputs_Pipelines'!Q6/10^3</f>
        <v>343.25299999999999</v>
      </c>
      <c r="Z52" s="356">
        <f>'Key inputs_Pipelines'!R6/10^3</f>
        <v>248.221</v>
      </c>
      <c r="AA52" s="356">
        <f>'Key inputs_Pipelines'!S6/10^3</f>
        <v>414.54700000000003</v>
      </c>
      <c r="AB52" s="356">
        <f>'Key inputs_Pipelines'!T6/10^3</f>
        <v>2249.16</v>
      </c>
      <c r="AC52" s="356">
        <f>'Key inputs_Pipelines'!U6/10^3</f>
        <v>1095.32</v>
      </c>
      <c r="AD52" s="356">
        <f>'Key inputs_Pipelines'!V6/10^3</f>
        <v>67.78</v>
      </c>
      <c r="AE52" s="356">
        <f>'Key inputs_Pipelines'!W6/10^3</f>
        <v>7108.5240000000003</v>
      </c>
      <c r="AF52" s="356">
        <f>'Key inputs_Pipelines'!X6/10^3</f>
        <v>234.02199999999999</v>
      </c>
      <c r="AG52" s="356">
        <f>'Key inputs_Pipelines'!Y6/10^3</f>
        <v>50350.756000000001</v>
      </c>
      <c r="AH52" s="356">
        <f>'Key inputs_Pipelines'!Z6/10^3</f>
        <v>3773.9580000000001</v>
      </c>
      <c r="AI52" s="356">
        <f>'Key inputs_Pipelines'!AA6/10^3</f>
        <v>4315.4949999999999</v>
      </c>
      <c r="AJ52" s="356">
        <f>'Key inputs_Pipelines'!AB6/10^3</f>
        <v>23096.024000000001</v>
      </c>
      <c r="AK52" s="356">
        <f>'Key inputs_Pipelines'!AC6/10^3</f>
        <v>33.548999999999999</v>
      </c>
      <c r="AL52" s="356">
        <f>'Key inputs_Pipelines'!AD6/10^3</f>
        <v>22869.578000000001</v>
      </c>
    </row>
    <row r="53" spans="1:38">
      <c r="G53" s="4" t="s">
        <v>701</v>
      </c>
      <c r="H53" s="4" t="s">
        <v>661</v>
      </c>
      <c r="I53" s="4">
        <v>2019</v>
      </c>
      <c r="J53" s="4" t="s">
        <v>112</v>
      </c>
      <c r="K53" s="333">
        <v>0</v>
      </c>
      <c r="L53" s="333">
        <v>0</v>
      </c>
      <c r="M53" s="333">
        <v>0</v>
      </c>
      <c r="N53" s="333">
        <v>0</v>
      </c>
      <c r="O53" s="333">
        <v>0</v>
      </c>
      <c r="P53" s="333">
        <v>0</v>
      </c>
      <c r="Q53" s="333">
        <v>0</v>
      </c>
      <c r="R53" s="333">
        <v>0</v>
      </c>
      <c r="S53" s="333">
        <v>0</v>
      </c>
      <c r="T53" s="333">
        <v>0</v>
      </c>
      <c r="U53" s="333">
        <v>0</v>
      </c>
      <c r="V53" s="333">
        <v>0</v>
      </c>
      <c r="W53" s="333">
        <v>0</v>
      </c>
      <c r="X53" s="333">
        <v>0</v>
      </c>
      <c r="Y53" s="333">
        <v>0</v>
      </c>
      <c r="Z53" s="333">
        <v>0</v>
      </c>
      <c r="AA53" s="333">
        <v>0</v>
      </c>
      <c r="AB53" s="333">
        <v>0</v>
      </c>
      <c r="AC53" s="333">
        <v>0</v>
      </c>
      <c r="AD53" s="333">
        <v>0</v>
      </c>
      <c r="AE53" s="333">
        <v>0</v>
      </c>
      <c r="AF53" s="333">
        <v>0</v>
      </c>
      <c r="AG53" s="333">
        <v>0</v>
      </c>
      <c r="AH53" s="333">
        <v>0</v>
      </c>
      <c r="AI53" s="333">
        <v>0</v>
      </c>
      <c r="AJ53" s="333">
        <v>0</v>
      </c>
      <c r="AK53" s="333">
        <v>0</v>
      </c>
      <c r="AL53" s="333">
        <v>0</v>
      </c>
    </row>
    <row r="54" spans="1:38">
      <c r="G54" s="4" t="s">
        <v>701</v>
      </c>
      <c r="H54" s="4" t="s">
        <v>661</v>
      </c>
      <c r="I54" s="4">
        <v>2060</v>
      </c>
      <c r="J54" s="4" t="s">
        <v>112</v>
      </c>
      <c r="K54" s="333">
        <v>0</v>
      </c>
      <c r="L54" s="333">
        <v>0</v>
      </c>
      <c r="M54" s="333">
        <v>0</v>
      </c>
      <c r="N54" s="333">
        <v>0</v>
      </c>
      <c r="O54" s="333">
        <v>0</v>
      </c>
      <c r="P54" s="333">
        <v>0</v>
      </c>
      <c r="Q54" s="333">
        <v>0</v>
      </c>
      <c r="R54" s="333">
        <v>0</v>
      </c>
      <c r="S54" s="333">
        <v>0</v>
      </c>
      <c r="T54" s="333">
        <v>0</v>
      </c>
      <c r="U54" s="333">
        <v>0</v>
      </c>
      <c r="V54" s="333">
        <v>0</v>
      </c>
      <c r="W54" s="333">
        <v>0</v>
      </c>
      <c r="X54" s="333">
        <v>0</v>
      </c>
      <c r="Y54" s="333">
        <v>0</v>
      </c>
      <c r="Z54" s="333">
        <v>0</v>
      </c>
      <c r="AA54" s="333">
        <v>0</v>
      </c>
      <c r="AB54" s="333">
        <v>0</v>
      </c>
      <c r="AC54" s="333">
        <v>0</v>
      </c>
      <c r="AD54" s="333">
        <v>0</v>
      </c>
      <c r="AE54" s="333">
        <v>0</v>
      </c>
      <c r="AF54" s="333">
        <v>0</v>
      </c>
      <c r="AG54" s="333">
        <v>0</v>
      </c>
      <c r="AH54" s="333">
        <v>0</v>
      </c>
      <c r="AI54" s="333">
        <v>0</v>
      </c>
      <c r="AJ54" s="333">
        <v>0</v>
      </c>
      <c r="AK54" s="333">
        <v>0</v>
      </c>
      <c r="AL54" s="333">
        <v>0</v>
      </c>
    </row>
    <row r="55" spans="1:38">
      <c r="G55" s="4" t="s">
        <v>701</v>
      </c>
      <c r="H55" s="4" t="s">
        <v>661</v>
      </c>
      <c r="I55" s="4">
        <v>0</v>
      </c>
      <c r="J55" s="4"/>
      <c r="K55" s="333">
        <v>5</v>
      </c>
      <c r="L55" s="333">
        <v>5</v>
      </c>
      <c r="M55" s="333">
        <v>5</v>
      </c>
      <c r="N55" s="333">
        <v>5</v>
      </c>
      <c r="O55" s="333">
        <v>5</v>
      </c>
      <c r="P55" s="333">
        <v>5</v>
      </c>
      <c r="Q55" s="333">
        <v>5</v>
      </c>
      <c r="R55" s="333">
        <v>5</v>
      </c>
      <c r="S55" s="333">
        <v>5</v>
      </c>
      <c r="T55" s="333">
        <v>5</v>
      </c>
      <c r="U55" s="333">
        <v>5</v>
      </c>
      <c r="V55" s="333">
        <v>5</v>
      </c>
      <c r="W55" s="333">
        <v>5</v>
      </c>
      <c r="X55" s="333">
        <v>5</v>
      </c>
      <c r="Y55" s="333">
        <v>5</v>
      </c>
      <c r="Z55" s="333">
        <v>5</v>
      </c>
      <c r="AA55" s="333">
        <v>5</v>
      </c>
      <c r="AB55" s="333">
        <v>5</v>
      </c>
      <c r="AC55" s="333">
        <v>5</v>
      </c>
      <c r="AD55" s="333">
        <v>5</v>
      </c>
      <c r="AE55" s="333">
        <v>5</v>
      </c>
      <c r="AF55" s="333">
        <v>5</v>
      </c>
      <c r="AG55" s="333">
        <v>5</v>
      </c>
      <c r="AH55" s="333">
        <v>5</v>
      </c>
      <c r="AI55" s="333">
        <v>5</v>
      </c>
      <c r="AJ55" s="333">
        <v>5</v>
      </c>
      <c r="AK55" s="333">
        <v>5</v>
      </c>
      <c r="AL55" s="333">
        <v>5</v>
      </c>
    </row>
    <row r="56" spans="1:38">
      <c r="G56" s="4" t="s">
        <v>687</v>
      </c>
      <c r="H56" s="4"/>
      <c r="I56" s="4"/>
      <c r="J56" s="4" t="s">
        <v>2663</v>
      </c>
      <c r="K56" s="174">
        <f>'Key inputs_Pipelines'!C$24*10^3</f>
        <v>19.874424713281158</v>
      </c>
      <c r="L56" s="174">
        <f>'Key inputs_Pipelines'!D$24*10^3</f>
        <v>0.6020801861734808</v>
      </c>
      <c r="M56" s="174">
        <f>'Key inputs_Pipelines'!E$24*10^3</f>
        <v>21.591056924523087</v>
      </c>
      <c r="N56" s="174">
        <f>'Key inputs_Pipelines'!F$24*10^3</f>
        <v>4.1436579553669119</v>
      </c>
      <c r="O56" s="174">
        <f>'Key inputs_Pipelines'!G$24*10^3</f>
        <v>4.3505810767992799</v>
      </c>
      <c r="P56" s="174">
        <f>'Key inputs_Pipelines'!H$24*10^3</f>
        <v>0.6337536039971553</v>
      </c>
      <c r="Q56" s="174">
        <f>'Key inputs_Pipelines'!I$24*10^3</f>
        <v>1.5194823929825765</v>
      </c>
      <c r="R56" s="174">
        <f>'Key inputs_Pipelines'!J$24*10^3</f>
        <v>4.1436579553669119</v>
      </c>
      <c r="S56" s="174">
        <f>'Key inputs_Pipelines'!K$24*10^3</f>
        <v>4.1436579553669119</v>
      </c>
      <c r="T56" s="174">
        <f>'Key inputs_Pipelines'!L$24*10^3</f>
        <v>7.1485521127821174</v>
      </c>
      <c r="U56" s="174">
        <f>'Key inputs_Pipelines'!M$24*10^3</f>
        <v>4.1436579553669119</v>
      </c>
      <c r="V56" s="174">
        <f>'Key inputs_Pipelines'!N$24*10^3</f>
        <v>0.67020370820052599</v>
      </c>
      <c r="W56" s="174">
        <f>'Key inputs_Pipelines'!O$24*10^3</f>
        <v>4.1299779616270103</v>
      </c>
      <c r="X56" s="174">
        <f>'Key inputs_Pipelines'!P$24*10^3</f>
        <v>4.1436579553669119</v>
      </c>
      <c r="Y56" s="174">
        <f>'Key inputs_Pipelines'!Q$24*10^3</f>
        <v>0.57166700935071724</v>
      </c>
      <c r="Z56" s="174">
        <f>'Key inputs_Pipelines'!R$24*10^3</f>
        <v>4.1436579553669119</v>
      </c>
      <c r="AA56" s="174">
        <f>'Key inputs_Pipelines'!S$24*10^3</f>
        <v>0.13377249210610051</v>
      </c>
      <c r="AB56" s="174">
        <f>'Key inputs_Pipelines'!T$24*10^3</f>
        <v>2.7669316119618004</v>
      </c>
      <c r="AC56" s="174">
        <f>'Key inputs_Pipelines'!U$24*10^3</f>
        <v>0.79937982285444453</v>
      </c>
      <c r="AD56" s="174">
        <f>'Key inputs_Pipelines'!V$24*10^3</f>
        <v>4.1436579553669119</v>
      </c>
      <c r="AE56" s="174">
        <f>'Key inputs_Pipelines'!W$24*10^3</f>
        <v>1.6726113997994447</v>
      </c>
      <c r="AF56" s="174">
        <f>'Key inputs_Pipelines'!X$24*10^3</f>
        <v>4.1436579553669119</v>
      </c>
      <c r="AG56" s="174">
        <f>'Key inputs_Pipelines'!Y$24*10^3</f>
        <v>1.7097968041195113</v>
      </c>
      <c r="AH56" s="174">
        <f>'Key inputs_Pipelines'!Z$24*10^3</f>
        <v>4.1436579553669119</v>
      </c>
      <c r="AI56" s="174">
        <f>'Key inputs_Pipelines'!AA$24*10^3</f>
        <v>3.2834326198583494</v>
      </c>
      <c r="AJ56" s="174">
        <f>'Key inputs_Pipelines'!AB$24*10^3</f>
        <v>1.7713145645918849</v>
      </c>
      <c r="AK56" s="174">
        <f>'Key inputs_Pipelines'!AC$24*10^3</f>
        <v>4.1436579553669119</v>
      </c>
      <c r="AL56" s="174">
        <f>'Key inputs_Pipelines'!AD$24*10^3</f>
        <v>1.3568241915957657</v>
      </c>
    </row>
    <row r="57" spans="1:38">
      <c r="G57" s="4" t="s">
        <v>689</v>
      </c>
      <c r="H57" s="4"/>
      <c r="I57" s="4"/>
      <c r="J57" s="4" t="s">
        <v>2663</v>
      </c>
      <c r="K57" s="355"/>
      <c r="L57" s="355"/>
      <c r="M57" s="355"/>
      <c r="N57" s="355"/>
      <c r="O57" s="355"/>
      <c r="P57" s="355"/>
      <c r="Q57" s="355"/>
      <c r="R57" s="355"/>
      <c r="S57" s="355"/>
      <c r="T57" s="355"/>
      <c r="U57" s="355"/>
      <c r="V57" s="355"/>
      <c r="W57" s="355"/>
      <c r="X57" s="355"/>
      <c r="Y57" s="355"/>
      <c r="Z57" s="355"/>
      <c r="AA57" s="355"/>
      <c r="AB57" s="355"/>
      <c r="AC57" s="355"/>
      <c r="AD57" s="355"/>
      <c r="AE57" s="355"/>
      <c r="AF57" s="355"/>
      <c r="AG57" s="355"/>
      <c r="AH57" s="355"/>
      <c r="AI57" s="355"/>
      <c r="AJ57" s="355"/>
      <c r="AK57" s="355"/>
      <c r="AL57" s="355"/>
    </row>
    <row r="58" spans="1:38">
      <c r="G58" s="4" t="s">
        <v>675</v>
      </c>
      <c r="H58" s="4"/>
      <c r="I58" s="4"/>
      <c r="J58" s="4" t="s">
        <v>2662</v>
      </c>
      <c r="K58" s="355"/>
      <c r="L58" s="355"/>
      <c r="M58" s="355"/>
      <c r="N58" s="355"/>
      <c r="O58" s="355"/>
      <c r="P58" s="355"/>
      <c r="Q58" s="355"/>
      <c r="R58" s="355"/>
      <c r="S58" s="355"/>
      <c r="T58" s="355"/>
      <c r="U58" s="355"/>
      <c r="V58" s="355"/>
      <c r="W58" s="355"/>
      <c r="X58" s="355"/>
      <c r="Y58" s="355"/>
      <c r="Z58" s="355"/>
      <c r="AA58" s="355"/>
      <c r="AB58" s="355"/>
      <c r="AC58" s="355"/>
      <c r="AD58" s="355"/>
      <c r="AE58" s="355"/>
      <c r="AF58" s="355"/>
      <c r="AG58" s="355"/>
      <c r="AH58" s="355"/>
      <c r="AI58" s="355"/>
      <c r="AJ58" s="355"/>
      <c r="AK58" s="355"/>
      <c r="AL58" s="355"/>
    </row>
    <row r="59" spans="1:38">
      <c r="D59" t="str">
        <f>Commodities!$C$27</f>
        <v>OILCRD</v>
      </c>
      <c r="G59" s="4"/>
      <c r="H59" s="4"/>
      <c r="I59" s="4"/>
      <c r="J59" s="4"/>
    </row>
    <row r="60" spans="1:38">
      <c r="C60" t="str">
        <f>Commodities!$C$34</f>
        <v>OILPIP</v>
      </c>
      <c r="G60" s="4" t="s">
        <v>690</v>
      </c>
      <c r="H60" s="4"/>
      <c r="I60" s="4"/>
      <c r="J60" s="4" t="s">
        <v>112</v>
      </c>
      <c r="K60" s="355">
        <v>1</v>
      </c>
      <c r="L60" s="355">
        <v>1</v>
      </c>
      <c r="M60" s="355">
        <v>1</v>
      </c>
      <c r="N60" s="355">
        <v>1</v>
      </c>
      <c r="O60" s="355">
        <v>1</v>
      </c>
      <c r="P60" s="355">
        <v>1</v>
      </c>
      <c r="Q60" s="355">
        <v>1</v>
      </c>
      <c r="R60" s="355">
        <v>1</v>
      </c>
      <c r="S60" s="355">
        <v>1</v>
      </c>
      <c r="T60" s="355">
        <v>1</v>
      </c>
      <c r="U60" s="355">
        <v>1</v>
      </c>
      <c r="V60" s="355">
        <v>1</v>
      </c>
      <c r="W60" s="355">
        <v>1</v>
      </c>
      <c r="X60" s="355">
        <v>1</v>
      </c>
      <c r="Y60" s="355">
        <v>1</v>
      </c>
      <c r="Z60" s="355">
        <v>1</v>
      </c>
      <c r="AA60" s="355">
        <v>1</v>
      </c>
      <c r="AB60" s="355">
        <v>1</v>
      </c>
      <c r="AC60" s="355">
        <v>1</v>
      </c>
      <c r="AD60" s="355">
        <v>1</v>
      </c>
      <c r="AE60" s="355">
        <v>1</v>
      </c>
      <c r="AF60" s="355">
        <v>1</v>
      </c>
      <c r="AG60" s="355">
        <v>1</v>
      </c>
      <c r="AH60" s="355">
        <v>1</v>
      </c>
      <c r="AI60" s="355">
        <v>1</v>
      </c>
      <c r="AJ60" s="355">
        <v>1</v>
      </c>
      <c r="AK60" s="355">
        <v>1</v>
      </c>
      <c r="AL60" s="355">
        <v>1</v>
      </c>
    </row>
    <row r="61" spans="1:38">
      <c r="E61" s="4" t="s">
        <v>359</v>
      </c>
      <c r="F61" s="4" t="s">
        <v>691</v>
      </c>
      <c r="G61" s="4" t="s">
        <v>692</v>
      </c>
      <c r="J61" s="4" t="s">
        <v>2664</v>
      </c>
      <c r="K61" s="173" t="str">
        <f>IFERROR(K$52*K$50/(SUM('Key inputs_EB_TRA'!E$31:E$38)/10^3),"")</f>
        <v/>
      </c>
      <c r="L61" s="173">
        <f>IFERROR(L$52*L$50/(SUM('Key inputs_EB_TRA'!F$31:F$38)/10^3),"")</f>
        <v>3040.528571428571</v>
      </c>
      <c r="M61" s="173">
        <f>IFERROR(M$52*M$50/(SUM('Key inputs_EB_TRA'!G$31:G$38)/10^3),"")</f>
        <v>80880.31578947368</v>
      </c>
      <c r="N61" s="173">
        <f>IFERROR(N$52*N$50/(SUM('Key inputs_EB_TRA'!H$31:H$38)/10^3),"")</f>
        <v>3171.3731473408893</v>
      </c>
      <c r="O61" s="173">
        <f>IFERROR(O$52*O$50/(SUM('Key inputs_EB_TRA'!I$31:I$38)/10^3),"")</f>
        <v>362.72268549516104</v>
      </c>
      <c r="P61" s="173">
        <f>IFERROR(P$52*P$50/(SUM('Key inputs_EB_TRA'!J$31:J$38)/10^3),"")</f>
        <v>130.91142329778509</v>
      </c>
      <c r="Q61" s="173" t="str">
        <f>IFERROR(Q$52*Q$50/(SUM('Key inputs_EB_TRA'!K$31:K$38)/10^3),"")</f>
        <v/>
      </c>
      <c r="R61" s="173" t="str">
        <f>IFERROR(R$52*R$50/(SUM('Key inputs_EB_TRA'!L$31:L$38)/10^3),"")</f>
        <v/>
      </c>
      <c r="S61" s="173" t="str">
        <f>IFERROR(S$52*S$50/(SUM('Key inputs_EB_TRA'!M$31:M$38)/10^3),"")</f>
        <v/>
      </c>
      <c r="T61" s="173">
        <f>IFERROR(T$52*T$50/(SUM('Key inputs_EB_TRA'!N$31:N$38)/10^3),"")</f>
        <v>108.35872307280951</v>
      </c>
      <c r="U61" s="173">
        <f>IFERROR(U$52*U$50/(SUM('Key inputs_EB_TRA'!O$31:O$38)/10^3),"")</f>
        <v>20244.666666666668</v>
      </c>
      <c r="V61" s="173">
        <f>IFERROR(V$52*V$50/(SUM('Key inputs_EB_TRA'!P$31:P$38)/10^3),"")</f>
        <v>727.61100355679628</v>
      </c>
      <c r="W61" s="173">
        <f>IFERROR(W$52*W$50/(SUM('Key inputs_EB_TRA'!Q$31:Q$38)/10^3),"")</f>
        <v>11.241340237587572</v>
      </c>
      <c r="X61" s="173">
        <f>IFERROR(X$52*X$50/(SUM('Key inputs_EB_TRA'!R$31:R$38)/10^3),"")</f>
        <v>19158.703642384105</v>
      </c>
      <c r="Y61" s="173">
        <f>IFERROR(Y$52*Y$50/(SUM('Key inputs_EB_TRA'!S$31:S$38)/10^3),"")</f>
        <v>30.145210009220694</v>
      </c>
      <c r="Z61" s="173">
        <f>IFERROR(Z$52*Z$50/(SUM('Key inputs_EB_TRA'!T$31:T$38)/10^3),"")</f>
        <v>28.253577213822894</v>
      </c>
      <c r="AA61" s="173">
        <f>IFERROR(AA$52*AA$50/(SUM('Key inputs_EB_TRA'!U$31:U$38)/10^3),"")</f>
        <v>47.550770866560342</v>
      </c>
      <c r="AB61" s="173" t="str">
        <f>IFERROR(AB$52*AB$50/(SUM('Key inputs_EB_TRA'!V$31:V$38)/10^3),"")</f>
        <v/>
      </c>
      <c r="AC61" s="173">
        <f>IFERROR(AC$52*AC$50/(SUM('Key inputs_EB_TRA'!W$31:W$38)/10^3),"")</f>
        <v>133.88564040318749</v>
      </c>
      <c r="AD61" s="173" t="str">
        <f>IFERROR(AD$52*AD$50/(SUM('Key inputs_EB_TRA'!X$31:X$38)/10^3),"")</f>
        <v/>
      </c>
      <c r="AE61" s="173">
        <f>IFERROR(AE$52*AE$50/(SUM('Key inputs_EB_TRA'!Y$31:Y$38)/10^3),"")</f>
        <v>357.74976159757676</v>
      </c>
      <c r="AF61" s="173">
        <f>IFERROR(AF$52*AF$50/(SUM('Key inputs_EB_TRA'!Z$31:Z$38)/10^3),"")</f>
        <v>58.017155412828522</v>
      </c>
      <c r="AG61" s="173">
        <f>IFERROR(AG$52*AG$50/(SUM('Key inputs_EB_TRA'!AA$31:AA$38)/10^3),"")</f>
        <v>4824.0470841578399</v>
      </c>
      <c r="AH61" s="173" t="str">
        <f>IFERROR(AH$52*AH$50/(SUM('Key inputs_EB_TRA'!AB$31:AB$38)/10^3),"")</f>
        <v/>
      </c>
      <c r="AI61" s="173" t="str">
        <f>IFERROR(AI$52*AI$50/(SUM('Key inputs_EB_TRA'!AC$31:AC$38)/10^3),"")</f>
        <v/>
      </c>
      <c r="AJ61" s="173">
        <f>IFERROR(AJ$52*AJ$50/(SUM('Key inputs_EB_TRA'!AD$31:AD$38)/10^3),"")</f>
        <v>41.467381794239898</v>
      </c>
      <c r="AK61" s="173">
        <f>IFERROR(AK$52*AK$50/(SUM('Key inputs_EB_TRA'!AE$31:AE$38)/10^3),"")</f>
        <v>1161.9642857142858</v>
      </c>
      <c r="AL61" s="173">
        <f>IFERROR(AL$52*AL$50/(SUM('Key inputs_EB_TRA'!AF$31:AF$38)/10^3),"")</f>
        <v>71.825246202475896</v>
      </c>
    </row>
    <row r="62" spans="1:38">
      <c r="C62" t="str">
        <f>Commodities!$C$90</f>
        <v>UPSDSL</v>
      </c>
      <c r="E62" s="4"/>
      <c r="F62" s="4" t="s">
        <v>359</v>
      </c>
      <c r="G62" s="4" t="s">
        <v>702</v>
      </c>
      <c r="H62" t="s">
        <v>661</v>
      </c>
      <c r="I62">
        <v>2019</v>
      </c>
      <c r="J62" t="s">
        <v>650</v>
      </c>
      <c r="K62" s="173" t="str">
        <f>IFERROR(IF(AND(SUMIFS('Key inputs_EB_TRA'!E$15:E$38,'Key inputs_EB_TRA'!$C$15:$C$38,$C62,'Key inputs_EB_TRA'!$B$15:$B$38,"Pipeline - Crude oil")/SUMIFS('Key inputs_EB_TRA'!E$15:E$38,'Key inputs_EB_TRA'!$B$15:$B$38,"Pipeline - Crude oil")&gt;0,SUMIFS('Key inputs_EB_TRA'!E$15:E$38,'Key inputs_EB_TRA'!$C$15:$C$38,$C62,'Key inputs_EB_TRA'!$B$15:$B$38,"Pipeline - Crude oil")/SUMIFS('Key inputs_EB_TRA'!E$15:E$38,'Key inputs_EB_TRA'!$B$15:$B$38,"Pipeline - Crude oil")&lt;0.001),0.001,SUMIFS('Key inputs_EB_TRA'!E$15:E$38,'Key inputs_EB_TRA'!$C$15:$C$38,$C62,'Key inputs_EB_TRA'!$B$15:$B$38,"Pipeline - Crude oil")/SUMIFS('Key inputs_EB_TRA'!E$15:E$38,'Key inputs_EB_TRA'!$B$15:$B$38,"Pipeline - Crude oil")),"")</f>
        <v/>
      </c>
      <c r="L62" s="173">
        <f>IFERROR(IF(AND(SUMIFS('Key inputs_EB_TRA'!F$15:F$38,'Key inputs_EB_TRA'!$C$15:$C$38,$C62,'Key inputs_EB_TRA'!$B$15:$B$38,"Pipeline - Crude oil")/SUMIFS('Key inputs_EB_TRA'!F$15:F$38,'Key inputs_EB_TRA'!$B$15:$B$38,"Pipeline - Crude oil")&gt;0,SUMIFS('Key inputs_EB_TRA'!F$15:F$38,'Key inputs_EB_TRA'!$C$15:$C$38,$C62,'Key inputs_EB_TRA'!$B$15:$B$38,"Pipeline - Crude oil")/SUMIFS('Key inputs_EB_TRA'!F$15:F$38,'Key inputs_EB_TRA'!$B$15:$B$38,"Pipeline - Crude oil")&lt;0.001),0.001,SUMIFS('Key inputs_EB_TRA'!F$15:F$38,'Key inputs_EB_TRA'!$C$15:$C$38,$C62,'Key inputs_EB_TRA'!$B$15:$B$38,"Pipeline - Crude oil")/SUMIFS('Key inputs_EB_TRA'!F$15:F$38,'Key inputs_EB_TRA'!$B$15:$B$38,"Pipeline - Crude oil")),"")</f>
        <v>0</v>
      </c>
      <c r="M62" s="173">
        <f>IFERROR(IF(AND(SUMIFS('Key inputs_EB_TRA'!G$15:G$38,'Key inputs_EB_TRA'!$C$15:$C$38,$C62,'Key inputs_EB_TRA'!$B$15:$B$38,"Pipeline - Crude oil")/SUMIFS('Key inputs_EB_TRA'!G$15:G$38,'Key inputs_EB_TRA'!$B$15:$B$38,"Pipeline - Crude oil")&gt;0,SUMIFS('Key inputs_EB_TRA'!G$15:G$38,'Key inputs_EB_TRA'!$C$15:$C$38,$C62,'Key inputs_EB_TRA'!$B$15:$B$38,"Pipeline - Crude oil")/SUMIFS('Key inputs_EB_TRA'!G$15:G$38,'Key inputs_EB_TRA'!$B$15:$B$38,"Pipeline - Crude oil")&lt;0.001),0.001,SUMIFS('Key inputs_EB_TRA'!G$15:G$38,'Key inputs_EB_TRA'!$C$15:$C$38,$C62,'Key inputs_EB_TRA'!$B$15:$B$38,"Pipeline - Crude oil")/SUMIFS('Key inputs_EB_TRA'!G$15:G$38,'Key inputs_EB_TRA'!$B$15:$B$38,"Pipeline - Crude oil")),"")</f>
        <v>0</v>
      </c>
      <c r="N62" s="173">
        <f>IFERROR(IF(AND(SUMIFS('Key inputs_EB_TRA'!H$15:H$38,'Key inputs_EB_TRA'!$C$15:$C$38,$C62,'Key inputs_EB_TRA'!$B$15:$B$38,"Pipeline - Crude oil")/SUMIFS('Key inputs_EB_TRA'!H$15:H$38,'Key inputs_EB_TRA'!$B$15:$B$38,"Pipeline - Crude oil")&gt;0,SUMIFS('Key inputs_EB_TRA'!H$15:H$38,'Key inputs_EB_TRA'!$C$15:$C$38,$C62,'Key inputs_EB_TRA'!$B$15:$B$38,"Pipeline - Crude oil")/SUMIFS('Key inputs_EB_TRA'!H$15:H$38,'Key inputs_EB_TRA'!$B$15:$B$38,"Pipeline - Crude oil")&lt;0.001),0.001,SUMIFS('Key inputs_EB_TRA'!H$15:H$38,'Key inputs_EB_TRA'!$C$15:$C$38,$C62,'Key inputs_EB_TRA'!$B$15:$B$38,"Pipeline - Crude oil")/SUMIFS('Key inputs_EB_TRA'!H$15:H$38,'Key inputs_EB_TRA'!$B$15:$B$38,"Pipeline - Crude oil")),"")</f>
        <v>0.74455100261551876</v>
      </c>
      <c r="O62" s="173">
        <f>IFERROR(IF(AND(SUMIFS('Key inputs_EB_TRA'!I$15:I$38,'Key inputs_EB_TRA'!$C$15:$C$38,$C62,'Key inputs_EB_TRA'!$B$15:$B$38,"Pipeline - Crude oil")/SUMIFS('Key inputs_EB_TRA'!I$15:I$38,'Key inputs_EB_TRA'!$B$15:$B$38,"Pipeline - Crude oil")&gt;0,SUMIFS('Key inputs_EB_TRA'!I$15:I$38,'Key inputs_EB_TRA'!$C$15:$C$38,$C62,'Key inputs_EB_TRA'!$B$15:$B$38,"Pipeline - Crude oil")/SUMIFS('Key inputs_EB_TRA'!I$15:I$38,'Key inputs_EB_TRA'!$B$15:$B$38,"Pipeline - Crude oil")&lt;0.001),0.001,SUMIFS('Key inputs_EB_TRA'!I$15:I$38,'Key inputs_EB_TRA'!$C$15:$C$38,$C62,'Key inputs_EB_TRA'!$B$15:$B$38,"Pipeline - Crude oil")/SUMIFS('Key inputs_EB_TRA'!I$15:I$38,'Key inputs_EB_TRA'!$B$15:$B$38,"Pipeline - Crude oil")),"")</f>
        <v>0</v>
      </c>
      <c r="P62" s="173">
        <f>IFERROR(IF(AND(SUMIFS('Key inputs_EB_TRA'!J$15:J$38,'Key inputs_EB_TRA'!$C$15:$C$38,$C62,'Key inputs_EB_TRA'!$B$15:$B$38,"Pipeline - Crude oil")/SUMIFS('Key inputs_EB_TRA'!J$15:J$38,'Key inputs_EB_TRA'!$B$15:$B$38,"Pipeline - Crude oil")&gt;0,SUMIFS('Key inputs_EB_TRA'!J$15:J$38,'Key inputs_EB_TRA'!$C$15:$C$38,$C62,'Key inputs_EB_TRA'!$B$15:$B$38,"Pipeline - Crude oil")/SUMIFS('Key inputs_EB_TRA'!J$15:J$38,'Key inputs_EB_TRA'!$B$15:$B$38,"Pipeline - Crude oil")&lt;0.001),0.001,SUMIFS('Key inputs_EB_TRA'!J$15:J$38,'Key inputs_EB_TRA'!$C$15:$C$38,$C62,'Key inputs_EB_TRA'!$B$15:$B$38,"Pipeline - Crude oil")/SUMIFS('Key inputs_EB_TRA'!J$15:J$38,'Key inputs_EB_TRA'!$B$15:$B$38,"Pipeline - Crude oil")),"")</f>
        <v>2.645611156685808E-3</v>
      </c>
      <c r="Q62" s="173" t="str">
        <f>IFERROR(IF(AND(SUMIFS('Key inputs_EB_TRA'!K$15:K$38,'Key inputs_EB_TRA'!$C$15:$C$38,$C62,'Key inputs_EB_TRA'!$B$15:$B$38,"Pipeline - Crude oil")/SUMIFS('Key inputs_EB_TRA'!K$15:K$38,'Key inputs_EB_TRA'!$B$15:$B$38,"Pipeline - Crude oil")&gt;0,SUMIFS('Key inputs_EB_TRA'!K$15:K$38,'Key inputs_EB_TRA'!$C$15:$C$38,$C62,'Key inputs_EB_TRA'!$B$15:$B$38,"Pipeline - Crude oil")/SUMIFS('Key inputs_EB_TRA'!K$15:K$38,'Key inputs_EB_TRA'!$B$15:$B$38,"Pipeline - Crude oil")&lt;0.001),0.001,SUMIFS('Key inputs_EB_TRA'!K$15:K$38,'Key inputs_EB_TRA'!$C$15:$C$38,$C62,'Key inputs_EB_TRA'!$B$15:$B$38,"Pipeline - Crude oil")/SUMIFS('Key inputs_EB_TRA'!K$15:K$38,'Key inputs_EB_TRA'!$B$15:$B$38,"Pipeline - Crude oil")),"")</f>
        <v/>
      </c>
      <c r="R62" s="173" t="str">
        <f>IFERROR(IF(AND(SUMIFS('Key inputs_EB_TRA'!L$15:L$38,'Key inputs_EB_TRA'!$C$15:$C$38,$C62,'Key inputs_EB_TRA'!$B$15:$B$38,"Pipeline - Crude oil")/SUMIFS('Key inputs_EB_TRA'!L$15:L$38,'Key inputs_EB_TRA'!$B$15:$B$38,"Pipeline - Crude oil")&gt;0,SUMIFS('Key inputs_EB_TRA'!L$15:L$38,'Key inputs_EB_TRA'!$C$15:$C$38,$C62,'Key inputs_EB_TRA'!$B$15:$B$38,"Pipeline - Crude oil")/SUMIFS('Key inputs_EB_TRA'!L$15:L$38,'Key inputs_EB_TRA'!$B$15:$B$38,"Pipeline - Crude oil")&lt;0.001),0.001,SUMIFS('Key inputs_EB_TRA'!L$15:L$38,'Key inputs_EB_TRA'!$C$15:$C$38,$C62,'Key inputs_EB_TRA'!$B$15:$B$38,"Pipeline - Crude oil")/SUMIFS('Key inputs_EB_TRA'!L$15:L$38,'Key inputs_EB_TRA'!$B$15:$B$38,"Pipeline - Crude oil")),"")</f>
        <v/>
      </c>
      <c r="S62" s="173" t="str">
        <f>IFERROR(IF(AND(SUMIFS('Key inputs_EB_TRA'!M$15:M$38,'Key inputs_EB_TRA'!$C$15:$C$38,$C62,'Key inputs_EB_TRA'!$B$15:$B$38,"Pipeline - Crude oil")/SUMIFS('Key inputs_EB_TRA'!M$15:M$38,'Key inputs_EB_TRA'!$B$15:$B$38,"Pipeline - Crude oil")&gt;0,SUMIFS('Key inputs_EB_TRA'!M$15:M$38,'Key inputs_EB_TRA'!$C$15:$C$38,$C62,'Key inputs_EB_TRA'!$B$15:$B$38,"Pipeline - Crude oil")/SUMIFS('Key inputs_EB_TRA'!M$15:M$38,'Key inputs_EB_TRA'!$B$15:$B$38,"Pipeline - Crude oil")&lt;0.001),0.001,SUMIFS('Key inputs_EB_TRA'!M$15:M$38,'Key inputs_EB_TRA'!$C$15:$C$38,$C62,'Key inputs_EB_TRA'!$B$15:$B$38,"Pipeline - Crude oil")/SUMIFS('Key inputs_EB_TRA'!M$15:M$38,'Key inputs_EB_TRA'!$B$15:$B$38,"Pipeline - Crude oil")),"")</f>
        <v/>
      </c>
      <c r="T62" s="173">
        <f>IFERROR(IF(AND(SUMIFS('Key inputs_EB_TRA'!N$15:N$38,'Key inputs_EB_TRA'!$C$15:$C$38,$C62,'Key inputs_EB_TRA'!$B$15:$B$38,"Pipeline - Crude oil")/SUMIFS('Key inputs_EB_TRA'!N$15:N$38,'Key inputs_EB_TRA'!$B$15:$B$38,"Pipeline - Crude oil")&gt;0,SUMIFS('Key inputs_EB_TRA'!N$15:N$38,'Key inputs_EB_TRA'!$C$15:$C$38,$C62,'Key inputs_EB_TRA'!$B$15:$B$38,"Pipeline - Crude oil")/SUMIFS('Key inputs_EB_TRA'!N$15:N$38,'Key inputs_EB_TRA'!$B$15:$B$38,"Pipeline - Crude oil")&lt;0.001),0.001,SUMIFS('Key inputs_EB_TRA'!N$15:N$38,'Key inputs_EB_TRA'!$C$15:$C$38,$C62,'Key inputs_EB_TRA'!$B$15:$B$38,"Pipeline - Crude oil")/SUMIFS('Key inputs_EB_TRA'!N$15:N$38,'Key inputs_EB_TRA'!$B$15:$B$38,"Pipeline - Crude oil")),"")</f>
        <v>1.8193654890198679E-3</v>
      </c>
      <c r="U62" s="173">
        <f>IFERROR(IF(AND(SUMIFS('Key inputs_EB_TRA'!O$15:O$38,'Key inputs_EB_TRA'!$C$15:$C$38,$C62,'Key inputs_EB_TRA'!$B$15:$B$38,"Pipeline - Crude oil")/SUMIFS('Key inputs_EB_TRA'!O$15:O$38,'Key inputs_EB_TRA'!$B$15:$B$38,"Pipeline - Crude oil")&gt;0,SUMIFS('Key inputs_EB_TRA'!O$15:O$38,'Key inputs_EB_TRA'!$C$15:$C$38,$C62,'Key inputs_EB_TRA'!$B$15:$B$38,"Pipeline - Crude oil")/SUMIFS('Key inputs_EB_TRA'!O$15:O$38,'Key inputs_EB_TRA'!$B$15:$B$38,"Pipeline - Crude oil")&lt;0.001),0.001,SUMIFS('Key inputs_EB_TRA'!O$15:O$38,'Key inputs_EB_TRA'!$C$15:$C$38,$C62,'Key inputs_EB_TRA'!$B$15:$B$38,"Pipeline - Crude oil")/SUMIFS('Key inputs_EB_TRA'!O$15:O$38,'Key inputs_EB_TRA'!$B$15:$B$38,"Pipeline - Crude oil")),"")</f>
        <v>0</v>
      </c>
      <c r="V62" s="173">
        <f>IFERROR(IF(AND(SUMIFS('Key inputs_EB_TRA'!P$15:P$38,'Key inputs_EB_TRA'!$C$15:$C$38,$C62,'Key inputs_EB_TRA'!$B$15:$B$38,"Pipeline - Crude oil")/SUMIFS('Key inputs_EB_TRA'!P$15:P$38,'Key inputs_EB_TRA'!$B$15:$B$38,"Pipeline - Crude oil")&gt;0,SUMIFS('Key inputs_EB_TRA'!P$15:P$38,'Key inputs_EB_TRA'!$C$15:$C$38,$C62,'Key inputs_EB_TRA'!$B$15:$B$38,"Pipeline - Crude oil")/SUMIFS('Key inputs_EB_TRA'!P$15:P$38,'Key inputs_EB_TRA'!$B$15:$B$38,"Pipeline - Crude oil")&lt;0.001),0.001,SUMIFS('Key inputs_EB_TRA'!P$15:P$38,'Key inputs_EB_TRA'!$C$15:$C$38,$C62,'Key inputs_EB_TRA'!$B$15:$B$38,"Pipeline - Crude oil")/SUMIFS('Key inputs_EB_TRA'!P$15:P$38,'Key inputs_EB_TRA'!$B$15:$B$38,"Pipeline - Crude oil")),"")</f>
        <v>1.3957048309396246E-3</v>
      </c>
      <c r="W62" s="173">
        <f>IFERROR(IF(AND(SUMIFS('Key inputs_EB_TRA'!Q$15:Q$38,'Key inputs_EB_TRA'!$C$15:$C$38,$C62,'Key inputs_EB_TRA'!$B$15:$B$38,"Pipeline - Crude oil")/SUMIFS('Key inputs_EB_TRA'!Q$15:Q$38,'Key inputs_EB_TRA'!$B$15:$B$38,"Pipeline - Crude oil")&gt;0,SUMIFS('Key inputs_EB_TRA'!Q$15:Q$38,'Key inputs_EB_TRA'!$C$15:$C$38,$C62,'Key inputs_EB_TRA'!$B$15:$B$38,"Pipeline - Crude oil")/SUMIFS('Key inputs_EB_TRA'!Q$15:Q$38,'Key inputs_EB_TRA'!$B$15:$B$38,"Pipeline - Crude oil")&lt;0.001),0.001,SUMIFS('Key inputs_EB_TRA'!Q$15:Q$38,'Key inputs_EB_TRA'!$C$15:$C$38,$C62,'Key inputs_EB_TRA'!$B$15:$B$38,"Pipeline - Crude oil")/SUMIFS('Key inputs_EB_TRA'!Q$15:Q$38,'Key inputs_EB_TRA'!$B$15:$B$38,"Pipeline - Crude oil")),"")</f>
        <v>0</v>
      </c>
      <c r="X62" s="173">
        <f>IFERROR(IF(AND(SUMIFS('Key inputs_EB_TRA'!R$15:R$38,'Key inputs_EB_TRA'!$C$15:$C$38,$C62,'Key inputs_EB_TRA'!$B$15:$B$38,"Pipeline - Crude oil")/SUMIFS('Key inputs_EB_TRA'!R$15:R$38,'Key inputs_EB_TRA'!$B$15:$B$38,"Pipeline - Crude oil")&gt;0,SUMIFS('Key inputs_EB_TRA'!R$15:R$38,'Key inputs_EB_TRA'!$C$15:$C$38,$C62,'Key inputs_EB_TRA'!$B$15:$B$38,"Pipeline - Crude oil")/SUMIFS('Key inputs_EB_TRA'!R$15:R$38,'Key inputs_EB_TRA'!$B$15:$B$38,"Pipeline - Crude oil")&lt;0.001),0.001,SUMIFS('Key inputs_EB_TRA'!R$15:R$38,'Key inputs_EB_TRA'!$C$15:$C$38,$C62,'Key inputs_EB_TRA'!$B$15:$B$38,"Pipeline - Crude oil")/SUMIFS('Key inputs_EB_TRA'!R$15:R$38,'Key inputs_EB_TRA'!$B$15:$B$38,"Pipeline - Crude oil")),"")</f>
        <v>0</v>
      </c>
      <c r="Y62" s="173">
        <f>IFERROR(IF(AND(SUMIFS('Key inputs_EB_TRA'!S$15:S$38,'Key inputs_EB_TRA'!$C$15:$C$38,$C62,'Key inputs_EB_TRA'!$B$15:$B$38,"Pipeline - Crude oil")/SUMIFS('Key inputs_EB_TRA'!S$15:S$38,'Key inputs_EB_TRA'!$B$15:$B$38,"Pipeline - Crude oil")&gt;0,SUMIFS('Key inputs_EB_TRA'!S$15:S$38,'Key inputs_EB_TRA'!$C$15:$C$38,$C62,'Key inputs_EB_TRA'!$B$15:$B$38,"Pipeline - Crude oil")/SUMIFS('Key inputs_EB_TRA'!S$15:S$38,'Key inputs_EB_TRA'!$B$15:$B$38,"Pipeline - Crude oil")&lt;0.001),0.001,SUMIFS('Key inputs_EB_TRA'!S$15:S$38,'Key inputs_EB_TRA'!$C$15:$C$38,$C62,'Key inputs_EB_TRA'!$B$15:$B$38,"Pipeline - Crude oil")/SUMIFS('Key inputs_EB_TRA'!S$15:S$38,'Key inputs_EB_TRA'!$B$15:$B$38,"Pipeline - Crude oil")),"")</f>
        <v>1E-3</v>
      </c>
      <c r="Z62" s="173">
        <f>IFERROR(IF(AND(SUMIFS('Key inputs_EB_TRA'!T$15:T$38,'Key inputs_EB_TRA'!$C$15:$C$38,$C62,'Key inputs_EB_TRA'!$B$15:$B$38,"Pipeline - Crude oil")/SUMIFS('Key inputs_EB_TRA'!T$15:T$38,'Key inputs_EB_TRA'!$B$15:$B$38,"Pipeline - Crude oil")&gt;0,SUMIFS('Key inputs_EB_TRA'!T$15:T$38,'Key inputs_EB_TRA'!$C$15:$C$38,$C62,'Key inputs_EB_TRA'!$B$15:$B$38,"Pipeline - Crude oil")/SUMIFS('Key inputs_EB_TRA'!T$15:T$38,'Key inputs_EB_TRA'!$B$15:$B$38,"Pipeline - Crude oil")&lt;0.001),0.001,SUMIFS('Key inputs_EB_TRA'!T$15:T$38,'Key inputs_EB_TRA'!$C$15:$C$38,$C62,'Key inputs_EB_TRA'!$B$15:$B$38,"Pipeline - Crude oil")/SUMIFS('Key inputs_EB_TRA'!T$15:T$38,'Key inputs_EB_TRA'!$B$15:$B$38,"Pipeline - Crude oil")),"")</f>
        <v>0</v>
      </c>
      <c r="AA62" s="173">
        <f>IFERROR(IF(AND(SUMIFS('Key inputs_EB_TRA'!U$15:U$38,'Key inputs_EB_TRA'!$C$15:$C$38,$C62,'Key inputs_EB_TRA'!$B$15:$B$38,"Pipeline - Crude oil")/SUMIFS('Key inputs_EB_TRA'!U$15:U$38,'Key inputs_EB_TRA'!$B$15:$B$38,"Pipeline - Crude oil")&gt;0,SUMIFS('Key inputs_EB_TRA'!U$15:U$38,'Key inputs_EB_TRA'!$C$15:$C$38,$C62,'Key inputs_EB_TRA'!$B$15:$B$38,"Pipeline - Crude oil")/SUMIFS('Key inputs_EB_TRA'!U$15:U$38,'Key inputs_EB_TRA'!$B$15:$B$38,"Pipeline - Crude oil")&lt;0.001),0.001,SUMIFS('Key inputs_EB_TRA'!U$15:U$38,'Key inputs_EB_TRA'!$C$15:$C$38,$C62,'Key inputs_EB_TRA'!$B$15:$B$38,"Pipeline - Crude oil")/SUMIFS('Key inputs_EB_TRA'!U$15:U$38,'Key inputs_EB_TRA'!$B$15:$B$38,"Pipeline - Crude oil")),"")</f>
        <v>0</v>
      </c>
      <c r="AB62" s="173" t="str">
        <f>IFERROR(IF(AND(SUMIFS('Key inputs_EB_TRA'!V$15:V$38,'Key inputs_EB_TRA'!$C$15:$C$38,$C62,'Key inputs_EB_TRA'!$B$15:$B$38,"Pipeline - Crude oil")/SUMIFS('Key inputs_EB_TRA'!V$15:V$38,'Key inputs_EB_TRA'!$B$15:$B$38,"Pipeline - Crude oil")&gt;0,SUMIFS('Key inputs_EB_TRA'!V$15:V$38,'Key inputs_EB_TRA'!$C$15:$C$38,$C62,'Key inputs_EB_TRA'!$B$15:$B$38,"Pipeline - Crude oil")/SUMIFS('Key inputs_EB_TRA'!V$15:V$38,'Key inputs_EB_TRA'!$B$15:$B$38,"Pipeline - Crude oil")&lt;0.001),0.001,SUMIFS('Key inputs_EB_TRA'!V$15:V$38,'Key inputs_EB_TRA'!$C$15:$C$38,$C62,'Key inputs_EB_TRA'!$B$15:$B$38,"Pipeline - Crude oil")/SUMIFS('Key inputs_EB_TRA'!V$15:V$38,'Key inputs_EB_TRA'!$B$15:$B$38,"Pipeline - Crude oil")),"")</f>
        <v/>
      </c>
      <c r="AC62" s="173">
        <f>IFERROR(IF(AND(SUMIFS('Key inputs_EB_TRA'!W$15:W$38,'Key inputs_EB_TRA'!$C$15:$C$38,$C62,'Key inputs_EB_TRA'!$B$15:$B$38,"Pipeline - Crude oil")/SUMIFS('Key inputs_EB_TRA'!W$15:W$38,'Key inputs_EB_TRA'!$B$15:$B$38,"Pipeline - Crude oil")&gt;0,SUMIFS('Key inputs_EB_TRA'!W$15:W$38,'Key inputs_EB_TRA'!$C$15:$C$38,$C62,'Key inputs_EB_TRA'!$B$15:$B$38,"Pipeline - Crude oil")/SUMIFS('Key inputs_EB_TRA'!W$15:W$38,'Key inputs_EB_TRA'!$B$15:$B$38,"Pipeline - Crude oil")&lt;0.001),0.001,SUMIFS('Key inputs_EB_TRA'!W$15:W$38,'Key inputs_EB_TRA'!$C$15:$C$38,$C62,'Key inputs_EB_TRA'!$B$15:$B$38,"Pipeline - Crude oil")/SUMIFS('Key inputs_EB_TRA'!W$15:W$38,'Key inputs_EB_TRA'!$B$15:$B$38,"Pipeline - Crude oil")),"")</f>
        <v>0</v>
      </c>
      <c r="AD62" s="173" t="str">
        <f>IFERROR(IF(AND(SUMIFS('Key inputs_EB_TRA'!X$15:X$38,'Key inputs_EB_TRA'!$C$15:$C$38,$C62,'Key inputs_EB_TRA'!$B$15:$B$38,"Pipeline - Crude oil")/SUMIFS('Key inputs_EB_TRA'!X$15:X$38,'Key inputs_EB_TRA'!$B$15:$B$38,"Pipeline - Crude oil")&gt;0,SUMIFS('Key inputs_EB_TRA'!X$15:X$38,'Key inputs_EB_TRA'!$C$15:$C$38,$C62,'Key inputs_EB_TRA'!$B$15:$B$38,"Pipeline - Crude oil")/SUMIFS('Key inputs_EB_TRA'!X$15:X$38,'Key inputs_EB_TRA'!$B$15:$B$38,"Pipeline - Crude oil")&lt;0.001),0.001,SUMIFS('Key inputs_EB_TRA'!X$15:X$38,'Key inputs_EB_TRA'!$C$15:$C$38,$C62,'Key inputs_EB_TRA'!$B$15:$B$38,"Pipeline - Crude oil")/SUMIFS('Key inputs_EB_TRA'!X$15:X$38,'Key inputs_EB_TRA'!$B$15:$B$38,"Pipeline - Crude oil")),"")</f>
        <v/>
      </c>
      <c r="AE62" s="173">
        <f>IFERROR(IF(AND(SUMIFS('Key inputs_EB_TRA'!Y$15:Y$38,'Key inputs_EB_TRA'!$C$15:$C$38,$C62,'Key inputs_EB_TRA'!$B$15:$B$38,"Pipeline - Crude oil")/SUMIFS('Key inputs_EB_TRA'!Y$15:Y$38,'Key inputs_EB_TRA'!$B$15:$B$38,"Pipeline - Crude oil")&gt;0,SUMIFS('Key inputs_EB_TRA'!Y$15:Y$38,'Key inputs_EB_TRA'!$C$15:$C$38,$C62,'Key inputs_EB_TRA'!$B$15:$B$38,"Pipeline - Crude oil")/SUMIFS('Key inputs_EB_TRA'!Y$15:Y$38,'Key inputs_EB_TRA'!$B$15:$B$38,"Pipeline - Crude oil")&lt;0.001),0.001,SUMIFS('Key inputs_EB_TRA'!Y$15:Y$38,'Key inputs_EB_TRA'!$C$15:$C$38,$C62,'Key inputs_EB_TRA'!$B$15:$B$38,"Pipeline - Crude oil")/SUMIFS('Key inputs_EB_TRA'!Y$15:Y$38,'Key inputs_EB_TRA'!$B$15:$B$38,"Pipeline - Crude oil")),"")</f>
        <v>0</v>
      </c>
      <c r="AF62" s="173">
        <f>IFERROR(IF(AND(SUMIFS('Key inputs_EB_TRA'!Z$15:Z$38,'Key inputs_EB_TRA'!$C$15:$C$38,$C62,'Key inputs_EB_TRA'!$B$15:$B$38,"Pipeline - Crude oil")/SUMIFS('Key inputs_EB_TRA'!Z$15:Z$38,'Key inputs_EB_TRA'!$B$15:$B$38,"Pipeline - Crude oil")&gt;0,SUMIFS('Key inputs_EB_TRA'!Z$15:Z$38,'Key inputs_EB_TRA'!$C$15:$C$38,$C62,'Key inputs_EB_TRA'!$B$15:$B$38,"Pipeline - Crude oil")/SUMIFS('Key inputs_EB_TRA'!Z$15:Z$38,'Key inputs_EB_TRA'!$B$15:$B$38,"Pipeline - Crude oil")&lt;0.001),0.001,SUMIFS('Key inputs_EB_TRA'!Z$15:Z$38,'Key inputs_EB_TRA'!$C$15:$C$38,$C62,'Key inputs_EB_TRA'!$B$15:$B$38,"Pipeline - Crude oil")/SUMIFS('Key inputs_EB_TRA'!Z$15:Z$38,'Key inputs_EB_TRA'!$B$15:$B$38,"Pipeline - Crude oil")),"")</f>
        <v>0</v>
      </c>
      <c r="AG62" s="173">
        <f>IFERROR(IF(AND(SUMIFS('Key inputs_EB_TRA'!AA$15:AA$38,'Key inputs_EB_TRA'!$C$15:$C$38,$C62,'Key inputs_EB_TRA'!$B$15:$B$38,"Pipeline - Crude oil")/SUMIFS('Key inputs_EB_TRA'!AA$15:AA$38,'Key inputs_EB_TRA'!$B$15:$B$38,"Pipeline - Crude oil")&gt;0,SUMIFS('Key inputs_EB_TRA'!AA$15:AA$38,'Key inputs_EB_TRA'!$C$15:$C$38,$C62,'Key inputs_EB_TRA'!$B$15:$B$38,"Pipeline - Crude oil")/SUMIFS('Key inputs_EB_TRA'!AA$15:AA$38,'Key inputs_EB_TRA'!$B$15:$B$38,"Pipeline - Crude oil")&lt;0.001),0.001,SUMIFS('Key inputs_EB_TRA'!AA$15:AA$38,'Key inputs_EB_TRA'!$C$15:$C$38,$C62,'Key inputs_EB_TRA'!$B$15:$B$38,"Pipeline - Crude oil")/SUMIFS('Key inputs_EB_TRA'!AA$15:AA$38,'Key inputs_EB_TRA'!$B$15:$B$38,"Pipeline - Crude oil")),"")</f>
        <v>7.2168548480968453E-3</v>
      </c>
      <c r="AH62" s="173" t="str">
        <f>IFERROR(IF(AND(SUMIFS('Key inputs_EB_TRA'!AB$15:AB$38,'Key inputs_EB_TRA'!$C$15:$C$38,$C62,'Key inputs_EB_TRA'!$B$15:$B$38,"Pipeline - Crude oil")/SUMIFS('Key inputs_EB_TRA'!AB$15:AB$38,'Key inputs_EB_TRA'!$B$15:$B$38,"Pipeline - Crude oil")&gt;0,SUMIFS('Key inputs_EB_TRA'!AB$15:AB$38,'Key inputs_EB_TRA'!$C$15:$C$38,$C62,'Key inputs_EB_TRA'!$B$15:$B$38,"Pipeline - Crude oil")/SUMIFS('Key inputs_EB_TRA'!AB$15:AB$38,'Key inputs_EB_TRA'!$B$15:$B$38,"Pipeline - Crude oil")&lt;0.001),0.001,SUMIFS('Key inputs_EB_TRA'!AB$15:AB$38,'Key inputs_EB_TRA'!$C$15:$C$38,$C62,'Key inputs_EB_TRA'!$B$15:$B$38,"Pipeline - Crude oil")/SUMIFS('Key inputs_EB_TRA'!AB$15:AB$38,'Key inputs_EB_TRA'!$B$15:$B$38,"Pipeline - Crude oil")),"")</f>
        <v/>
      </c>
      <c r="AI62" s="173" t="str">
        <f>IFERROR(IF(AND(SUMIFS('Key inputs_EB_TRA'!AC$15:AC$38,'Key inputs_EB_TRA'!$C$15:$C$38,$C62,'Key inputs_EB_TRA'!$B$15:$B$38,"Pipeline - Crude oil")/SUMIFS('Key inputs_EB_TRA'!AC$15:AC$38,'Key inputs_EB_TRA'!$B$15:$B$38,"Pipeline - Crude oil")&gt;0,SUMIFS('Key inputs_EB_TRA'!AC$15:AC$38,'Key inputs_EB_TRA'!$C$15:$C$38,$C62,'Key inputs_EB_TRA'!$B$15:$B$38,"Pipeline - Crude oil")/SUMIFS('Key inputs_EB_TRA'!AC$15:AC$38,'Key inputs_EB_TRA'!$B$15:$B$38,"Pipeline - Crude oil")&lt;0.001),0.001,SUMIFS('Key inputs_EB_TRA'!AC$15:AC$38,'Key inputs_EB_TRA'!$C$15:$C$38,$C62,'Key inputs_EB_TRA'!$B$15:$B$38,"Pipeline - Crude oil")/SUMIFS('Key inputs_EB_TRA'!AC$15:AC$38,'Key inputs_EB_TRA'!$B$15:$B$38,"Pipeline - Crude oil")),"")</f>
        <v/>
      </c>
      <c r="AJ62" s="173">
        <f>IFERROR(IF(AND(SUMIFS('Key inputs_EB_TRA'!AD$15:AD$38,'Key inputs_EB_TRA'!$C$15:$C$38,$C62,'Key inputs_EB_TRA'!$B$15:$B$38,"Pipeline - Crude oil")/SUMIFS('Key inputs_EB_TRA'!AD$15:AD$38,'Key inputs_EB_TRA'!$B$15:$B$38,"Pipeline - Crude oil")&gt;0,SUMIFS('Key inputs_EB_TRA'!AD$15:AD$38,'Key inputs_EB_TRA'!$C$15:$C$38,$C62,'Key inputs_EB_TRA'!$B$15:$B$38,"Pipeline - Crude oil")/SUMIFS('Key inputs_EB_TRA'!AD$15:AD$38,'Key inputs_EB_TRA'!$B$15:$B$38,"Pipeline - Crude oil")&lt;0.001),0.001,SUMIFS('Key inputs_EB_TRA'!AD$15:AD$38,'Key inputs_EB_TRA'!$C$15:$C$38,$C62,'Key inputs_EB_TRA'!$B$15:$B$38,"Pipeline - Crude oil")/SUMIFS('Key inputs_EB_TRA'!AD$15:AD$38,'Key inputs_EB_TRA'!$B$15:$B$38,"Pipeline - Crude oil")),"")</f>
        <v>7.0210921467219805E-3</v>
      </c>
      <c r="AK62" s="173">
        <f>IFERROR(IF(AND(SUMIFS('Key inputs_EB_TRA'!AE$15:AE$38,'Key inputs_EB_TRA'!$C$15:$C$38,$C62,'Key inputs_EB_TRA'!$B$15:$B$38,"Pipeline - Crude oil")/SUMIFS('Key inputs_EB_TRA'!AE$15:AE$38,'Key inputs_EB_TRA'!$B$15:$B$38,"Pipeline - Crude oil")&gt;0,SUMIFS('Key inputs_EB_TRA'!AE$15:AE$38,'Key inputs_EB_TRA'!$C$15:$C$38,$C62,'Key inputs_EB_TRA'!$B$15:$B$38,"Pipeline - Crude oil")/SUMIFS('Key inputs_EB_TRA'!AE$15:AE$38,'Key inputs_EB_TRA'!$B$15:$B$38,"Pipeline - Crude oil")&lt;0.001),0.001,SUMIFS('Key inputs_EB_TRA'!AE$15:AE$38,'Key inputs_EB_TRA'!$C$15:$C$38,$C62,'Key inputs_EB_TRA'!$B$15:$B$38,"Pipeline - Crude oil")/SUMIFS('Key inputs_EB_TRA'!AE$15:AE$38,'Key inputs_EB_TRA'!$B$15:$B$38,"Pipeline - Crude oil")),"")</f>
        <v>0.9107142857142857</v>
      </c>
      <c r="AL62" s="173">
        <f>IFERROR(IF(AND(SUMIFS('Key inputs_EB_TRA'!AF$15:AF$38,'Key inputs_EB_TRA'!$C$15:$C$38,$C62,'Key inputs_EB_TRA'!$B$15:$B$38,"Pipeline - Crude oil")/SUMIFS('Key inputs_EB_TRA'!AF$15:AF$38,'Key inputs_EB_TRA'!$B$15:$B$38,"Pipeline - Crude oil")&gt;0,SUMIFS('Key inputs_EB_TRA'!AF$15:AF$38,'Key inputs_EB_TRA'!$C$15:$C$38,$C62,'Key inputs_EB_TRA'!$B$15:$B$38,"Pipeline - Crude oil")/SUMIFS('Key inputs_EB_TRA'!AF$15:AF$38,'Key inputs_EB_TRA'!$B$15:$B$38,"Pipeline - Crude oil")&lt;0.001),0.001,SUMIFS('Key inputs_EB_TRA'!AF$15:AF$38,'Key inputs_EB_TRA'!$C$15:$C$38,$C62,'Key inputs_EB_TRA'!$B$15:$B$38,"Pipeline - Crude oil")/SUMIFS('Key inputs_EB_TRA'!AF$15:AF$38,'Key inputs_EB_TRA'!$B$15:$B$38,"Pipeline - Crude oil")),"")</f>
        <v>0</v>
      </c>
    </row>
    <row r="63" spans="1:38">
      <c r="C63" t="str">
        <f>Commodities!$C$91</f>
        <v>UPSELC</v>
      </c>
      <c r="F63" s="4" t="s">
        <v>359</v>
      </c>
      <c r="G63" s="4" t="s">
        <v>702</v>
      </c>
      <c r="H63" t="s">
        <v>661</v>
      </c>
      <c r="I63">
        <v>2019</v>
      </c>
      <c r="J63" t="s">
        <v>650</v>
      </c>
      <c r="K63" s="173" t="str">
        <f>IFERROR(IF(AND(SUMIFS('Key inputs_EB_TRA'!E$15:E$38,'Key inputs_EB_TRA'!$C$15:$C$38,$C63,'Key inputs_EB_TRA'!$B$15:$B$38,"Pipeline - Crude oil")/SUMIFS('Key inputs_EB_TRA'!E$15:E$38,'Key inputs_EB_TRA'!$B$15:$B$38,"Pipeline - Crude oil")&gt;0,SUMIFS('Key inputs_EB_TRA'!E$15:E$38,'Key inputs_EB_TRA'!$C$15:$C$38,$C63,'Key inputs_EB_TRA'!$B$15:$B$38,"Pipeline - Crude oil")/SUMIFS('Key inputs_EB_TRA'!E$15:E$38,'Key inputs_EB_TRA'!$B$15:$B$38,"Pipeline - Crude oil")&lt;0.001),0.001,SUMIFS('Key inputs_EB_TRA'!E$15:E$38,'Key inputs_EB_TRA'!$C$15:$C$38,$C63,'Key inputs_EB_TRA'!$B$15:$B$38,"Pipeline - Crude oil")/SUMIFS('Key inputs_EB_TRA'!E$15:E$38,'Key inputs_EB_TRA'!$B$15:$B$38,"Pipeline - Crude oil")),"")</f>
        <v/>
      </c>
      <c r="L63" s="173">
        <f>IFERROR(IF(AND(SUMIFS('Key inputs_EB_TRA'!F$15:F$38,'Key inputs_EB_TRA'!$C$15:$C$38,$C63,'Key inputs_EB_TRA'!$B$15:$B$38,"Pipeline - Crude oil")/SUMIFS('Key inputs_EB_TRA'!F$15:F$38,'Key inputs_EB_TRA'!$B$15:$B$38,"Pipeline - Crude oil")&gt;0,SUMIFS('Key inputs_EB_TRA'!F$15:F$38,'Key inputs_EB_TRA'!$C$15:$C$38,$C63,'Key inputs_EB_TRA'!$B$15:$B$38,"Pipeline - Crude oil")/SUMIFS('Key inputs_EB_TRA'!F$15:F$38,'Key inputs_EB_TRA'!$B$15:$B$38,"Pipeline - Crude oil")&lt;0.001),0.001,SUMIFS('Key inputs_EB_TRA'!F$15:F$38,'Key inputs_EB_TRA'!$C$15:$C$38,$C63,'Key inputs_EB_TRA'!$B$15:$B$38,"Pipeline - Crude oil")/SUMIFS('Key inputs_EB_TRA'!F$15:F$38,'Key inputs_EB_TRA'!$B$15:$B$38,"Pipeline - Crude oil")),"")</f>
        <v>2.3333333333333331E-2</v>
      </c>
      <c r="M63" s="173">
        <f>IFERROR(IF(AND(SUMIFS('Key inputs_EB_TRA'!G$15:G$38,'Key inputs_EB_TRA'!$C$15:$C$38,$C63,'Key inputs_EB_TRA'!$B$15:$B$38,"Pipeline - Crude oil")/SUMIFS('Key inputs_EB_TRA'!G$15:G$38,'Key inputs_EB_TRA'!$B$15:$B$38,"Pipeline - Crude oil")&gt;0,SUMIFS('Key inputs_EB_TRA'!G$15:G$38,'Key inputs_EB_TRA'!$C$15:$C$38,$C63,'Key inputs_EB_TRA'!$B$15:$B$38,"Pipeline - Crude oil")/SUMIFS('Key inputs_EB_TRA'!G$15:G$38,'Key inputs_EB_TRA'!$B$15:$B$38,"Pipeline - Crude oil")&lt;0.001),0.001,SUMIFS('Key inputs_EB_TRA'!G$15:G$38,'Key inputs_EB_TRA'!$C$15:$C$38,$C63,'Key inputs_EB_TRA'!$B$15:$B$38,"Pipeline - Crude oil")/SUMIFS('Key inputs_EB_TRA'!G$15:G$38,'Key inputs_EB_TRA'!$B$15:$B$38,"Pipeline - Crude oil")),"")</f>
        <v>1</v>
      </c>
      <c r="N63" s="173">
        <f>IFERROR(IF(AND(SUMIFS('Key inputs_EB_TRA'!H$15:H$38,'Key inputs_EB_TRA'!$C$15:$C$38,$C63,'Key inputs_EB_TRA'!$B$15:$B$38,"Pipeline - Crude oil")/SUMIFS('Key inputs_EB_TRA'!H$15:H$38,'Key inputs_EB_TRA'!$B$15:$B$38,"Pipeline - Crude oil")&gt;0,SUMIFS('Key inputs_EB_TRA'!H$15:H$38,'Key inputs_EB_TRA'!$C$15:$C$38,$C63,'Key inputs_EB_TRA'!$B$15:$B$38,"Pipeline - Crude oil")/SUMIFS('Key inputs_EB_TRA'!H$15:H$38,'Key inputs_EB_TRA'!$B$15:$B$38,"Pipeline - Crude oil")&lt;0.001),0.001,SUMIFS('Key inputs_EB_TRA'!H$15:H$38,'Key inputs_EB_TRA'!$C$15:$C$38,$C63,'Key inputs_EB_TRA'!$B$15:$B$38,"Pipeline - Crude oil")/SUMIFS('Key inputs_EB_TRA'!H$15:H$38,'Key inputs_EB_TRA'!$B$15:$B$38,"Pipeline - Crude oil")),"")</f>
        <v>0.24934612031386225</v>
      </c>
      <c r="O63" s="173">
        <f>IFERROR(IF(AND(SUMIFS('Key inputs_EB_TRA'!I$15:I$38,'Key inputs_EB_TRA'!$C$15:$C$38,$C63,'Key inputs_EB_TRA'!$B$15:$B$38,"Pipeline - Crude oil")/SUMIFS('Key inputs_EB_TRA'!I$15:I$38,'Key inputs_EB_TRA'!$B$15:$B$38,"Pipeline - Crude oil")&gt;0,SUMIFS('Key inputs_EB_TRA'!I$15:I$38,'Key inputs_EB_TRA'!$C$15:$C$38,$C63,'Key inputs_EB_TRA'!$B$15:$B$38,"Pipeline - Crude oil")/SUMIFS('Key inputs_EB_TRA'!I$15:I$38,'Key inputs_EB_TRA'!$B$15:$B$38,"Pipeline - Crude oil")&lt;0.001),0.001,SUMIFS('Key inputs_EB_TRA'!I$15:I$38,'Key inputs_EB_TRA'!$C$15:$C$38,$C63,'Key inputs_EB_TRA'!$B$15:$B$38,"Pipeline - Crude oil")/SUMIFS('Key inputs_EB_TRA'!I$15:I$38,'Key inputs_EB_TRA'!$B$15:$B$38,"Pipeline - Crude oil")),"")</f>
        <v>4.778136222533326E-2</v>
      </c>
      <c r="P63" s="173">
        <f>IFERROR(IF(AND(SUMIFS('Key inputs_EB_TRA'!J$15:J$38,'Key inputs_EB_TRA'!$C$15:$C$38,$C63,'Key inputs_EB_TRA'!$B$15:$B$38,"Pipeline - Crude oil")/SUMIFS('Key inputs_EB_TRA'!J$15:J$38,'Key inputs_EB_TRA'!$B$15:$B$38,"Pipeline - Crude oil")&gt;0,SUMIFS('Key inputs_EB_TRA'!J$15:J$38,'Key inputs_EB_TRA'!$C$15:$C$38,$C63,'Key inputs_EB_TRA'!$B$15:$B$38,"Pipeline - Crude oil")/SUMIFS('Key inputs_EB_TRA'!J$15:J$38,'Key inputs_EB_TRA'!$B$15:$B$38,"Pipeline - Crude oil")&lt;0.001),0.001,SUMIFS('Key inputs_EB_TRA'!J$15:J$38,'Key inputs_EB_TRA'!$C$15:$C$38,$C63,'Key inputs_EB_TRA'!$B$15:$B$38,"Pipeline - Crude oil")/SUMIFS('Key inputs_EB_TRA'!J$15:J$38,'Key inputs_EB_TRA'!$B$15:$B$38,"Pipeline - Crude oil")),"")</f>
        <v>2.6568908941755537E-2</v>
      </c>
      <c r="Q63" s="173" t="str">
        <f>IFERROR(IF(AND(SUMIFS('Key inputs_EB_TRA'!K$15:K$38,'Key inputs_EB_TRA'!$C$15:$C$38,$C63,'Key inputs_EB_TRA'!$B$15:$B$38,"Pipeline - Crude oil")/SUMIFS('Key inputs_EB_TRA'!K$15:K$38,'Key inputs_EB_TRA'!$B$15:$B$38,"Pipeline - Crude oil")&gt;0,SUMIFS('Key inputs_EB_TRA'!K$15:K$38,'Key inputs_EB_TRA'!$C$15:$C$38,$C63,'Key inputs_EB_TRA'!$B$15:$B$38,"Pipeline - Crude oil")/SUMIFS('Key inputs_EB_TRA'!K$15:K$38,'Key inputs_EB_TRA'!$B$15:$B$38,"Pipeline - Crude oil")&lt;0.001),0.001,SUMIFS('Key inputs_EB_TRA'!K$15:K$38,'Key inputs_EB_TRA'!$C$15:$C$38,$C63,'Key inputs_EB_TRA'!$B$15:$B$38,"Pipeline - Crude oil")/SUMIFS('Key inputs_EB_TRA'!K$15:K$38,'Key inputs_EB_TRA'!$B$15:$B$38,"Pipeline - Crude oil")),"")</f>
        <v/>
      </c>
      <c r="R63" s="173" t="str">
        <f>IFERROR(IF(AND(SUMIFS('Key inputs_EB_TRA'!L$15:L$38,'Key inputs_EB_TRA'!$C$15:$C$38,$C63,'Key inputs_EB_TRA'!$B$15:$B$38,"Pipeline - Crude oil")/SUMIFS('Key inputs_EB_TRA'!L$15:L$38,'Key inputs_EB_TRA'!$B$15:$B$38,"Pipeline - Crude oil")&gt;0,SUMIFS('Key inputs_EB_TRA'!L$15:L$38,'Key inputs_EB_TRA'!$C$15:$C$38,$C63,'Key inputs_EB_TRA'!$B$15:$B$38,"Pipeline - Crude oil")/SUMIFS('Key inputs_EB_TRA'!L$15:L$38,'Key inputs_EB_TRA'!$B$15:$B$38,"Pipeline - Crude oil")&lt;0.001),0.001,SUMIFS('Key inputs_EB_TRA'!L$15:L$38,'Key inputs_EB_TRA'!$C$15:$C$38,$C63,'Key inputs_EB_TRA'!$B$15:$B$38,"Pipeline - Crude oil")/SUMIFS('Key inputs_EB_TRA'!L$15:L$38,'Key inputs_EB_TRA'!$B$15:$B$38,"Pipeline - Crude oil")),"")</f>
        <v/>
      </c>
      <c r="S63" s="173" t="str">
        <f>IFERROR(IF(AND(SUMIFS('Key inputs_EB_TRA'!M$15:M$38,'Key inputs_EB_TRA'!$C$15:$C$38,$C63,'Key inputs_EB_TRA'!$B$15:$B$38,"Pipeline - Crude oil")/SUMIFS('Key inputs_EB_TRA'!M$15:M$38,'Key inputs_EB_TRA'!$B$15:$B$38,"Pipeline - Crude oil")&gt;0,SUMIFS('Key inputs_EB_TRA'!M$15:M$38,'Key inputs_EB_TRA'!$C$15:$C$38,$C63,'Key inputs_EB_TRA'!$B$15:$B$38,"Pipeline - Crude oil")/SUMIFS('Key inputs_EB_TRA'!M$15:M$38,'Key inputs_EB_TRA'!$B$15:$B$38,"Pipeline - Crude oil")&lt;0.001),0.001,SUMIFS('Key inputs_EB_TRA'!M$15:M$38,'Key inputs_EB_TRA'!$C$15:$C$38,$C63,'Key inputs_EB_TRA'!$B$15:$B$38,"Pipeline - Crude oil")/SUMIFS('Key inputs_EB_TRA'!M$15:M$38,'Key inputs_EB_TRA'!$B$15:$B$38,"Pipeline - Crude oil")),"")</f>
        <v/>
      </c>
      <c r="T63" s="173">
        <f>IFERROR(IF(AND(SUMIFS('Key inputs_EB_TRA'!N$15:N$38,'Key inputs_EB_TRA'!$C$15:$C$38,$C63,'Key inputs_EB_TRA'!$B$15:$B$38,"Pipeline - Crude oil")/SUMIFS('Key inputs_EB_TRA'!N$15:N$38,'Key inputs_EB_TRA'!$B$15:$B$38,"Pipeline - Crude oil")&gt;0,SUMIFS('Key inputs_EB_TRA'!N$15:N$38,'Key inputs_EB_TRA'!$C$15:$C$38,$C63,'Key inputs_EB_TRA'!$B$15:$B$38,"Pipeline - Crude oil")/SUMIFS('Key inputs_EB_TRA'!N$15:N$38,'Key inputs_EB_TRA'!$B$15:$B$38,"Pipeline - Crude oil")&lt;0.001),0.001,SUMIFS('Key inputs_EB_TRA'!N$15:N$38,'Key inputs_EB_TRA'!$C$15:$C$38,$C63,'Key inputs_EB_TRA'!$B$15:$B$38,"Pipeline - Crude oil")/SUMIFS('Key inputs_EB_TRA'!N$15:N$38,'Key inputs_EB_TRA'!$B$15:$B$38,"Pipeline - Crude oil")),"")</f>
        <v>0.13492949232146387</v>
      </c>
      <c r="U63" s="173">
        <f>IFERROR(IF(AND(SUMIFS('Key inputs_EB_TRA'!O$15:O$38,'Key inputs_EB_TRA'!$C$15:$C$38,$C63,'Key inputs_EB_TRA'!$B$15:$B$38,"Pipeline - Crude oil")/SUMIFS('Key inputs_EB_TRA'!O$15:O$38,'Key inputs_EB_TRA'!$B$15:$B$38,"Pipeline - Crude oil")&gt;0,SUMIFS('Key inputs_EB_TRA'!O$15:O$38,'Key inputs_EB_TRA'!$C$15:$C$38,$C63,'Key inputs_EB_TRA'!$B$15:$B$38,"Pipeline - Crude oil")/SUMIFS('Key inputs_EB_TRA'!O$15:O$38,'Key inputs_EB_TRA'!$B$15:$B$38,"Pipeline - Crude oil")&lt;0.001),0.001,SUMIFS('Key inputs_EB_TRA'!O$15:O$38,'Key inputs_EB_TRA'!$C$15:$C$38,$C63,'Key inputs_EB_TRA'!$B$15:$B$38,"Pipeline - Crude oil")/SUMIFS('Key inputs_EB_TRA'!O$15:O$38,'Key inputs_EB_TRA'!$B$15:$B$38,"Pipeline - Crude oil")),"")</f>
        <v>0</v>
      </c>
      <c r="V63" s="173">
        <f>IFERROR(IF(AND(SUMIFS('Key inputs_EB_TRA'!P$15:P$38,'Key inputs_EB_TRA'!$C$15:$C$38,$C63,'Key inputs_EB_TRA'!$B$15:$B$38,"Pipeline - Crude oil")/SUMIFS('Key inputs_EB_TRA'!P$15:P$38,'Key inputs_EB_TRA'!$B$15:$B$38,"Pipeline - Crude oil")&gt;0,SUMIFS('Key inputs_EB_TRA'!P$15:P$38,'Key inputs_EB_TRA'!$C$15:$C$38,$C63,'Key inputs_EB_TRA'!$B$15:$B$38,"Pipeline - Crude oil")/SUMIFS('Key inputs_EB_TRA'!P$15:P$38,'Key inputs_EB_TRA'!$B$15:$B$38,"Pipeline - Crude oil")&lt;0.001),0.001,SUMIFS('Key inputs_EB_TRA'!P$15:P$38,'Key inputs_EB_TRA'!$C$15:$C$38,$C63,'Key inputs_EB_TRA'!$B$15:$B$38,"Pipeline - Crude oil")/SUMIFS('Key inputs_EB_TRA'!P$15:P$38,'Key inputs_EB_TRA'!$B$15:$B$38,"Pipeline - Crude oil")),"")</f>
        <v>0.70393048489487198</v>
      </c>
      <c r="W63" s="173">
        <f>IFERROR(IF(AND(SUMIFS('Key inputs_EB_TRA'!Q$15:Q$38,'Key inputs_EB_TRA'!$C$15:$C$38,$C63,'Key inputs_EB_TRA'!$B$15:$B$38,"Pipeline - Crude oil")/SUMIFS('Key inputs_EB_TRA'!Q$15:Q$38,'Key inputs_EB_TRA'!$B$15:$B$38,"Pipeline - Crude oil")&gt;0,SUMIFS('Key inputs_EB_TRA'!Q$15:Q$38,'Key inputs_EB_TRA'!$C$15:$C$38,$C63,'Key inputs_EB_TRA'!$B$15:$B$38,"Pipeline - Crude oil")/SUMIFS('Key inputs_EB_TRA'!Q$15:Q$38,'Key inputs_EB_TRA'!$B$15:$B$38,"Pipeline - Crude oil")&lt;0.001),0.001,SUMIFS('Key inputs_EB_TRA'!Q$15:Q$38,'Key inputs_EB_TRA'!$C$15:$C$38,$C63,'Key inputs_EB_TRA'!$B$15:$B$38,"Pipeline - Crude oil")/SUMIFS('Key inputs_EB_TRA'!Q$15:Q$38,'Key inputs_EB_TRA'!$B$15:$B$38,"Pipeline - Crude oil")),"")</f>
        <v>2.8303381053914105E-2</v>
      </c>
      <c r="X63" s="173">
        <f>IFERROR(IF(AND(SUMIFS('Key inputs_EB_TRA'!R$15:R$38,'Key inputs_EB_TRA'!$C$15:$C$38,$C63,'Key inputs_EB_TRA'!$B$15:$B$38,"Pipeline - Crude oil")/SUMIFS('Key inputs_EB_TRA'!R$15:R$38,'Key inputs_EB_TRA'!$B$15:$B$38,"Pipeline - Crude oil")&gt;0,SUMIFS('Key inputs_EB_TRA'!R$15:R$38,'Key inputs_EB_TRA'!$C$15:$C$38,$C63,'Key inputs_EB_TRA'!$B$15:$B$38,"Pipeline - Crude oil")/SUMIFS('Key inputs_EB_TRA'!R$15:R$38,'Key inputs_EB_TRA'!$B$15:$B$38,"Pipeline - Crude oil")&lt;0.001),0.001,SUMIFS('Key inputs_EB_TRA'!R$15:R$38,'Key inputs_EB_TRA'!$C$15:$C$38,$C63,'Key inputs_EB_TRA'!$B$15:$B$38,"Pipeline - Crude oil")/SUMIFS('Key inputs_EB_TRA'!R$15:R$38,'Key inputs_EB_TRA'!$B$15:$B$38,"Pipeline - Crude oil")),"")</f>
        <v>0</v>
      </c>
      <c r="Y63" s="173">
        <f>IFERROR(IF(AND(SUMIFS('Key inputs_EB_TRA'!S$15:S$38,'Key inputs_EB_TRA'!$C$15:$C$38,$C63,'Key inputs_EB_TRA'!$B$15:$B$38,"Pipeline - Crude oil")/SUMIFS('Key inputs_EB_TRA'!S$15:S$38,'Key inputs_EB_TRA'!$B$15:$B$38,"Pipeline - Crude oil")&gt;0,SUMIFS('Key inputs_EB_TRA'!S$15:S$38,'Key inputs_EB_TRA'!$C$15:$C$38,$C63,'Key inputs_EB_TRA'!$B$15:$B$38,"Pipeline - Crude oil")/SUMIFS('Key inputs_EB_TRA'!S$15:S$38,'Key inputs_EB_TRA'!$B$15:$B$38,"Pipeline - Crude oil")&lt;0.001),0.001,SUMIFS('Key inputs_EB_TRA'!S$15:S$38,'Key inputs_EB_TRA'!$C$15:$C$38,$C63,'Key inputs_EB_TRA'!$B$15:$B$38,"Pipeline - Crude oil")/SUMIFS('Key inputs_EB_TRA'!S$15:S$38,'Key inputs_EB_TRA'!$B$15:$B$38,"Pipeline - Crude oil")),"")</f>
        <v>4.4386505993450134E-2</v>
      </c>
      <c r="Z63" s="173">
        <f>IFERROR(IF(AND(SUMIFS('Key inputs_EB_TRA'!T$15:T$38,'Key inputs_EB_TRA'!$C$15:$C$38,$C63,'Key inputs_EB_TRA'!$B$15:$B$38,"Pipeline - Crude oil")/SUMIFS('Key inputs_EB_TRA'!T$15:T$38,'Key inputs_EB_TRA'!$B$15:$B$38,"Pipeline - Crude oil")&gt;0,SUMIFS('Key inputs_EB_TRA'!T$15:T$38,'Key inputs_EB_TRA'!$C$15:$C$38,$C63,'Key inputs_EB_TRA'!$B$15:$B$38,"Pipeline - Crude oil")/SUMIFS('Key inputs_EB_TRA'!T$15:T$38,'Key inputs_EB_TRA'!$B$15:$B$38,"Pipeline - Crude oil")&lt;0.001),0.001,SUMIFS('Key inputs_EB_TRA'!T$15:T$38,'Key inputs_EB_TRA'!$C$15:$C$38,$C63,'Key inputs_EB_TRA'!$B$15:$B$38,"Pipeline - Crude oil")/SUMIFS('Key inputs_EB_TRA'!T$15:T$38,'Key inputs_EB_TRA'!$B$15:$B$38,"Pipeline - Crude oil")),"")</f>
        <v>0.31526727861771059</v>
      </c>
      <c r="AA63" s="173">
        <f>IFERROR(IF(AND(SUMIFS('Key inputs_EB_TRA'!U$15:U$38,'Key inputs_EB_TRA'!$C$15:$C$38,$C63,'Key inputs_EB_TRA'!$B$15:$B$38,"Pipeline - Crude oil")/SUMIFS('Key inputs_EB_TRA'!U$15:U$38,'Key inputs_EB_TRA'!$B$15:$B$38,"Pipeline - Crude oil")&gt;0,SUMIFS('Key inputs_EB_TRA'!U$15:U$38,'Key inputs_EB_TRA'!$C$15:$C$38,$C63,'Key inputs_EB_TRA'!$B$15:$B$38,"Pipeline - Crude oil")/SUMIFS('Key inputs_EB_TRA'!U$15:U$38,'Key inputs_EB_TRA'!$B$15:$B$38,"Pipeline - Crude oil")&lt;0.001),0.001,SUMIFS('Key inputs_EB_TRA'!U$15:U$38,'Key inputs_EB_TRA'!$C$15:$C$38,$C63,'Key inputs_EB_TRA'!$B$15:$B$38,"Pipeline - Crude oil")/SUMIFS('Key inputs_EB_TRA'!U$15:U$38,'Key inputs_EB_TRA'!$B$15:$B$38,"Pipeline - Crude oil")),"")</f>
        <v>2.3796865902129059E-2</v>
      </c>
      <c r="AB63" s="173" t="str">
        <f>IFERROR(IF(AND(SUMIFS('Key inputs_EB_TRA'!V$15:V$38,'Key inputs_EB_TRA'!$C$15:$C$38,$C63,'Key inputs_EB_TRA'!$B$15:$B$38,"Pipeline - Crude oil")/SUMIFS('Key inputs_EB_TRA'!V$15:V$38,'Key inputs_EB_TRA'!$B$15:$B$38,"Pipeline - Crude oil")&gt;0,SUMIFS('Key inputs_EB_TRA'!V$15:V$38,'Key inputs_EB_TRA'!$C$15:$C$38,$C63,'Key inputs_EB_TRA'!$B$15:$B$38,"Pipeline - Crude oil")/SUMIFS('Key inputs_EB_TRA'!V$15:V$38,'Key inputs_EB_TRA'!$B$15:$B$38,"Pipeline - Crude oil")&lt;0.001),0.001,SUMIFS('Key inputs_EB_TRA'!V$15:V$38,'Key inputs_EB_TRA'!$C$15:$C$38,$C63,'Key inputs_EB_TRA'!$B$15:$B$38,"Pipeline - Crude oil")/SUMIFS('Key inputs_EB_TRA'!V$15:V$38,'Key inputs_EB_TRA'!$B$15:$B$38,"Pipeline - Crude oil")),"")</f>
        <v/>
      </c>
      <c r="AC63" s="173">
        <f>IFERROR(IF(AND(SUMIFS('Key inputs_EB_TRA'!W$15:W$38,'Key inputs_EB_TRA'!$C$15:$C$38,$C63,'Key inputs_EB_TRA'!$B$15:$B$38,"Pipeline - Crude oil")/SUMIFS('Key inputs_EB_TRA'!W$15:W$38,'Key inputs_EB_TRA'!$B$15:$B$38,"Pipeline - Crude oil")&gt;0,SUMIFS('Key inputs_EB_TRA'!W$15:W$38,'Key inputs_EB_TRA'!$C$15:$C$38,$C63,'Key inputs_EB_TRA'!$B$15:$B$38,"Pipeline - Crude oil")/SUMIFS('Key inputs_EB_TRA'!W$15:W$38,'Key inputs_EB_TRA'!$B$15:$B$38,"Pipeline - Crude oil")&lt;0.001),0.001,SUMIFS('Key inputs_EB_TRA'!W$15:W$38,'Key inputs_EB_TRA'!$C$15:$C$38,$C63,'Key inputs_EB_TRA'!$B$15:$B$38,"Pipeline - Crude oil")/SUMIFS('Key inputs_EB_TRA'!W$15:W$38,'Key inputs_EB_TRA'!$B$15:$B$38,"Pipeline - Crude oil")),"")</f>
        <v>0</v>
      </c>
      <c r="AD63" s="173" t="str">
        <f>IFERROR(IF(AND(SUMIFS('Key inputs_EB_TRA'!X$15:X$38,'Key inputs_EB_TRA'!$C$15:$C$38,$C63,'Key inputs_EB_TRA'!$B$15:$B$38,"Pipeline - Crude oil")/SUMIFS('Key inputs_EB_TRA'!X$15:X$38,'Key inputs_EB_TRA'!$B$15:$B$38,"Pipeline - Crude oil")&gt;0,SUMIFS('Key inputs_EB_TRA'!X$15:X$38,'Key inputs_EB_TRA'!$C$15:$C$38,$C63,'Key inputs_EB_TRA'!$B$15:$B$38,"Pipeline - Crude oil")/SUMIFS('Key inputs_EB_TRA'!X$15:X$38,'Key inputs_EB_TRA'!$B$15:$B$38,"Pipeline - Crude oil")&lt;0.001),0.001,SUMIFS('Key inputs_EB_TRA'!X$15:X$38,'Key inputs_EB_TRA'!$C$15:$C$38,$C63,'Key inputs_EB_TRA'!$B$15:$B$38,"Pipeline - Crude oil")/SUMIFS('Key inputs_EB_TRA'!X$15:X$38,'Key inputs_EB_TRA'!$B$15:$B$38,"Pipeline - Crude oil")),"")</f>
        <v/>
      </c>
      <c r="AE63" s="173">
        <f>IFERROR(IF(AND(SUMIFS('Key inputs_EB_TRA'!Y$15:Y$38,'Key inputs_EB_TRA'!$C$15:$C$38,$C63,'Key inputs_EB_TRA'!$B$15:$B$38,"Pipeline - Crude oil")/SUMIFS('Key inputs_EB_TRA'!Y$15:Y$38,'Key inputs_EB_TRA'!$B$15:$B$38,"Pipeline - Crude oil")&gt;0,SUMIFS('Key inputs_EB_TRA'!Y$15:Y$38,'Key inputs_EB_TRA'!$C$15:$C$38,$C63,'Key inputs_EB_TRA'!$B$15:$B$38,"Pipeline - Crude oil")/SUMIFS('Key inputs_EB_TRA'!Y$15:Y$38,'Key inputs_EB_TRA'!$B$15:$B$38,"Pipeline - Crude oil")&lt;0.001),0.001,SUMIFS('Key inputs_EB_TRA'!Y$15:Y$38,'Key inputs_EB_TRA'!$C$15:$C$38,$C63,'Key inputs_EB_TRA'!$B$15:$B$38,"Pipeline - Crude oil")/SUMIFS('Key inputs_EB_TRA'!Y$15:Y$38,'Key inputs_EB_TRA'!$B$15:$B$38,"Pipeline - Crude oil")),"")</f>
        <v>0</v>
      </c>
      <c r="AF63" s="173">
        <f>IFERROR(IF(AND(SUMIFS('Key inputs_EB_TRA'!Z$15:Z$38,'Key inputs_EB_TRA'!$C$15:$C$38,$C63,'Key inputs_EB_TRA'!$B$15:$B$38,"Pipeline - Crude oil")/SUMIFS('Key inputs_EB_TRA'!Z$15:Z$38,'Key inputs_EB_TRA'!$B$15:$B$38,"Pipeline - Crude oil")&gt;0,SUMIFS('Key inputs_EB_TRA'!Z$15:Z$38,'Key inputs_EB_TRA'!$C$15:$C$38,$C63,'Key inputs_EB_TRA'!$B$15:$B$38,"Pipeline - Crude oil")/SUMIFS('Key inputs_EB_TRA'!Z$15:Z$38,'Key inputs_EB_TRA'!$B$15:$B$38,"Pipeline - Crude oil")&lt;0.001),0.001,SUMIFS('Key inputs_EB_TRA'!Z$15:Z$38,'Key inputs_EB_TRA'!$C$15:$C$38,$C63,'Key inputs_EB_TRA'!$B$15:$B$38,"Pipeline - Crude oil")/SUMIFS('Key inputs_EB_TRA'!Z$15:Z$38,'Key inputs_EB_TRA'!$B$15:$B$38,"Pipeline - Crude oil")),"")</f>
        <v>8.8227837403870524E-2</v>
      </c>
      <c r="AG63" s="173">
        <f>IFERROR(IF(AND(SUMIFS('Key inputs_EB_TRA'!AA$15:AA$38,'Key inputs_EB_TRA'!$C$15:$C$38,$C63,'Key inputs_EB_TRA'!$B$15:$B$38,"Pipeline - Crude oil")/SUMIFS('Key inputs_EB_TRA'!AA$15:AA$38,'Key inputs_EB_TRA'!$B$15:$B$38,"Pipeline - Crude oil")&gt;0,SUMIFS('Key inputs_EB_TRA'!AA$15:AA$38,'Key inputs_EB_TRA'!$C$15:$C$38,$C63,'Key inputs_EB_TRA'!$B$15:$B$38,"Pipeline - Crude oil")/SUMIFS('Key inputs_EB_TRA'!AA$15:AA$38,'Key inputs_EB_TRA'!$B$15:$B$38,"Pipeline - Crude oil")&lt;0.001),0.001,SUMIFS('Key inputs_EB_TRA'!AA$15:AA$38,'Key inputs_EB_TRA'!$C$15:$C$38,$C63,'Key inputs_EB_TRA'!$B$15:$B$38,"Pipeline - Crude oil")/SUMIFS('Key inputs_EB_TRA'!AA$15:AA$38,'Key inputs_EB_TRA'!$B$15:$B$38,"Pipeline - Crude oil")),"")</f>
        <v>0</v>
      </c>
      <c r="AH63" s="173" t="str">
        <f>IFERROR(IF(AND(SUMIFS('Key inputs_EB_TRA'!AB$15:AB$38,'Key inputs_EB_TRA'!$C$15:$C$38,$C63,'Key inputs_EB_TRA'!$B$15:$B$38,"Pipeline - Crude oil")/SUMIFS('Key inputs_EB_TRA'!AB$15:AB$38,'Key inputs_EB_TRA'!$B$15:$B$38,"Pipeline - Crude oil")&gt;0,SUMIFS('Key inputs_EB_TRA'!AB$15:AB$38,'Key inputs_EB_TRA'!$C$15:$C$38,$C63,'Key inputs_EB_TRA'!$B$15:$B$38,"Pipeline - Crude oil")/SUMIFS('Key inputs_EB_TRA'!AB$15:AB$38,'Key inputs_EB_TRA'!$B$15:$B$38,"Pipeline - Crude oil")&lt;0.001),0.001,SUMIFS('Key inputs_EB_TRA'!AB$15:AB$38,'Key inputs_EB_TRA'!$C$15:$C$38,$C63,'Key inputs_EB_TRA'!$B$15:$B$38,"Pipeline - Crude oil")/SUMIFS('Key inputs_EB_TRA'!AB$15:AB$38,'Key inputs_EB_TRA'!$B$15:$B$38,"Pipeline - Crude oil")),"")</f>
        <v/>
      </c>
      <c r="AI63" s="173" t="str">
        <f>IFERROR(IF(AND(SUMIFS('Key inputs_EB_TRA'!AC$15:AC$38,'Key inputs_EB_TRA'!$C$15:$C$38,$C63,'Key inputs_EB_TRA'!$B$15:$B$38,"Pipeline - Crude oil")/SUMIFS('Key inputs_EB_TRA'!AC$15:AC$38,'Key inputs_EB_TRA'!$B$15:$B$38,"Pipeline - Crude oil")&gt;0,SUMIFS('Key inputs_EB_TRA'!AC$15:AC$38,'Key inputs_EB_TRA'!$C$15:$C$38,$C63,'Key inputs_EB_TRA'!$B$15:$B$38,"Pipeline - Crude oil")/SUMIFS('Key inputs_EB_TRA'!AC$15:AC$38,'Key inputs_EB_TRA'!$B$15:$B$38,"Pipeline - Crude oil")&lt;0.001),0.001,SUMIFS('Key inputs_EB_TRA'!AC$15:AC$38,'Key inputs_EB_TRA'!$C$15:$C$38,$C63,'Key inputs_EB_TRA'!$B$15:$B$38,"Pipeline - Crude oil")/SUMIFS('Key inputs_EB_TRA'!AC$15:AC$38,'Key inputs_EB_TRA'!$B$15:$B$38,"Pipeline - Crude oil")),"")</f>
        <v/>
      </c>
      <c r="AJ63" s="173">
        <f>IFERROR(IF(AND(SUMIFS('Key inputs_EB_TRA'!AD$15:AD$38,'Key inputs_EB_TRA'!$C$15:$C$38,$C63,'Key inputs_EB_TRA'!$B$15:$B$38,"Pipeline - Crude oil")/SUMIFS('Key inputs_EB_TRA'!AD$15:AD$38,'Key inputs_EB_TRA'!$B$15:$B$38,"Pipeline - Crude oil")&gt;0,SUMIFS('Key inputs_EB_TRA'!AD$15:AD$38,'Key inputs_EB_TRA'!$C$15:$C$38,$C63,'Key inputs_EB_TRA'!$B$15:$B$38,"Pipeline - Crude oil")/SUMIFS('Key inputs_EB_TRA'!AD$15:AD$38,'Key inputs_EB_TRA'!$B$15:$B$38,"Pipeline - Crude oil")&lt;0.001),0.001,SUMIFS('Key inputs_EB_TRA'!AD$15:AD$38,'Key inputs_EB_TRA'!$C$15:$C$38,$C63,'Key inputs_EB_TRA'!$B$15:$B$38,"Pipeline - Crude oil")/SUMIFS('Key inputs_EB_TRA'!AD$15:AD$38,'Key inputs_EB_TRA'!$B$15:$B$38,"Pipeline - Crude oil")),"")</f>
        <v>6.4383936254417753E-2</v>
      </c>
      <c r="AK63" s="173">
        <f>IFERROR(IF(AND(SUMIFS('Key inputs_EB_TRA'!AE$15:AE$38,'Key inputs_EB_TRA'!$C$15:$C$38,$C63,'Key inputs_EB_TRA'!$B$15:$B$38,"Pipeline - Crude oil")/SUMIFS('Key inputs_EB_TRA'!AE$15:AE$38,'Key inputs_EB_TRA'!$B$15:$B$38,"Pipeline - Crude oil")&gt;0,SUMIFS('Key inputs_EB_TRA'!AE$15:AE$38,'Key inputs_EB_TRA'!$C$15:$C$38,$C63,'Key inputs_EB_TRA'!$B$15:$B$38,"Pipeline - Crude oil")/SUMIFS('Key inputs_EB_TRA'!AE$15:AE$38,'Key inputs_EB_TRA'!$B$15:$B$38,"Pipeline - Crude oil")&lt;0.001),0.001,SUMIFS('Key inputs_EB_TRA'!AE$15:AE$38,'Key inputs_EB_TRA'!$C$15:$C$38,$C63,'Key inputs_EB_TRA'!$B$15:$B$38,"Pipeline - Crude oil")/SUMIFS('Key inputs_EB_TRA'!AE$15:AE$38,'Key inputs_EB_TRA'!$B$15:$B$38,"Pipeline - Crude oil")),"")</f>
        <v>0</v>
      </c>
      <c r="AL63" s="173">
        <f>IFERROR(IF(AND(SUMIFS('Key inputs_EB_TRA'!AF$15:AF$38,'Key inputs_EB_TRA'!$C$15:$C$38,$C63,'Key inputs_EB_TRA'!$B$15:$B$38,"Pipeline - Crude oil")/SUMIFS('Key inputs_EB_TRA'!AF$15:AF$38,'Key inputs_EB_TRA'!$B$15:$B$38,"Pipeline - Crude oil")&gt;0,SUMIFS('Key inputs_EB_TRA'!AF$15:AF$38,'Key inputs_EB_TRA'!$C$15:$C$38,$C63,'Key inputs_EB_TRA'!$B$15:$B$38,"Pipeline - Crude oil")/SUMIFS('Key inputs_EB_TRA'!AF$15:AF$38,'Key inputs_EB_TRA'!$B$15:$B$38,"Pipeline - Crude oil")&lt;0.001),0.001,SUMIFS('Key inputs_EB_TRA'!AF$15:AF$38,'Key inputs_EB_TRA'!$C$15:$C$38,$C63,'Key inputs_EB_TRA'!$B$15:$B$38,"Pipeline - Crude oil")/SUMIFS('Key inputs_EB_TRA'!AF$15:AF$38,'Key inputs_EB_TRA'!$B$15:$B$38,"Pipeline - Crude oil")),"")</f>
        <v>0</v>
      </c>
    </row>
    <row r="64" spans="1:38">
      <c r="C64" t="str">
        <f>Commodities!$C$92</f>
        <v>UPSGAS</v>
      </c>
      <c r="F64" s="4" t="s">
        <v>359</v>
      </c>
      <c r="G64" s="4" t="s">
        <v>702</v>
      </c>
      <c r="H64" t="s">
        <v>661</v>
      </c>
      <c r="I64">
        <v>2019</v>
      </c>
      <c r="J64" t="s">
        <v>650</v>
      </c>
      <c r="K64" s="173" t="str">
        <f>IFERROR(IF(AND(SUMIFS('Key inputs_EB_TRA'!E$15:E$38,'Key inputs_EB_TRA'!$C$15:$C$38,$C64,'Key inputs_EB_TRA'!$B$15:$B$38,"Pipeline - Crude oil")/SUMIFS('Key inputs_EB_TRA'!E$15:E$38,'Key inputs_EB_TRA'!$B$15:$B$38,"Pipeline - Crude oil")&gt;0,SUMIFS('Key inputs_EB_TRA'!E$15:E$38,'Key inputs_EB_TRA'!$C$15:$C$38,$C64,'Key inputs_EB_TRA'!$B$15:$B$38,"Pipeline - Crude oil")/SUMIFS('Key inputs_EB_TRA'!E$15:E$38,'Key inputs_EB_TRA'!$B$15:$B$38,"Pipeline - Crude oil")&lt;0.001),0.001,SUMIFS('Key inputs_EB_TRA'!E$15:E$38,'Key inputs_EB_TRA'!$C$15:$C$38,$C64,'Key inputs_EB_TRA'!$B$15:$B$38,"Pipeline - Crude oil")/SUMIFS('Key inputs_EB_TRA'!E$15:E$38,'Key inputs_EB_TRA'!$B$15:$B$38,"Pipeline - Crude oil")),"")</f>
        <v/>
      </c>
      <c r="L64" s="173">
        <f>IFERROR(IF(AND(SUMIFS('Key inputs_EB_TRA'!F$15:F$38,'Key inputs_EB_TRA'!$C$15:$C$38,$C64,'Key inputs_EB_TRA'!$B$15:$B$38,"Pipeline - Crude oil")/SUMIFS('Key inputs_EB_TRA'!F$15:F$38,'Key inputs_EB_TRA'!$B$15:$B$38,"Pipeline - Crude oil")&gt;0,SUMIFS('Key inputs_EB_TRA'!F$15:F$38,'Key inputs_EB_TRA'!$C$15:$C$38,$C64,'Key inputs_EB_TRA'!$B$15:$B$38,"Pipeline - Crude oil")/SUMIFS('Key inputs_EB_TRA'!F$15:F$38,'Key inputs_EB_TRA'!$B$15:$B$38,"Pipeline - Crude oil")&lt;0.001),0.001,SUMIFS('Key inputs_EB_TRA'!F$15:F$38,'Key inputs_EB_TRA'!$C$15:$C$38,$C64,'Key inputs_EB_TRA'!$B$15:$B$38,"Pipeline - Crude oil")/SUMIFS('Key inputs_EB_TRA'!F$15:F$38,'Key inputs_EB_TRA'!$B$15:$B$38,"Pipeline - Crude oil")),"")</f>
        <v>0.97666666666666657</v>
      </c>
      <c r="M64" s="173">
        <f>IFERROR(IF(AND(SUMIFS('Key inputs_EB_TRA'!G$15:G$38,'Key inputs_EB_TRA'!$C$15:$C$38,$C64,'Key inputs_EB_TRA'!$B$15:$B$38,"Pipeline - Crude oil")/SUMIFS('Key inputs_EB_TRA'!G$15:G$38,'Key inputs_EB_TRA'!$B$15:$B$38,"Pipeline - Crude oil")&gt;0,SUMIFS('Key inputs_EB_TRA'!G$15:G$38,'Key inputs_EB_TRA'!$C$15:$C$38,$C64,'Key inputs_EB_TRA'!$B$15:$B$38,"Pipeline - Crude oil")/SUMIFS('Key inputs_EB_TRA'!G$15:G$38,'Key inputs_EB_TRA'!$B$15:$B$38,"Pipeline - Crude oil")&lt;0.001),0.001,SUMIFS('Key inputs_EB_TRA'!G$15:G$38,'Key inputs_EB_TRA'!$C$15:$C$38,$C64,'Key inputs_EB_TRA'!$B$15:$B$38,"Pipeline - Crude oil")/SUMIFS('Key inputs_EB_TRA'!G$15:G$38,'Key inputs_EB_TRA'!$B$15:$B$38,"Pipeline - Crude oil")),"")</f>
        <v>0</v>
      </c>
      <c r="N64" s="173">
        <f>IFERROR(IF(AND(SUMIFS('Key inputs_EB_TRA'!H$15:H$38,'Key inputs_EB_TRA'!$C$15:$C$38,$C64,'Key inputs_EB_TRA'!$B$15:$B$38,"Pipeline - Crude oil")/SUMIFS('Key inputs_EB_TRA'!H$15:H$38,'Key inputs_EB_TRA'!$B$15:$B$38,"Pipeline - Crude oil")&gt;0,SUMIFS('Key inputs_EB_TRA'!H$15:H$38,'Key inputs_EB_TRA'!$C$15:$C$38,$C64,'Key inputs_EB_TRA'!$B$15:$B$38,"Pipeline - Crude oil")/SUMIFS('Key inputs_EB_TRA'!H$15:H$38,'Key inputs_EB_TRA'!$B$15:$B$38,"Pipeline - Crude oil")&lt;0.001),0.001,SUMIFS('Key inputs_EB_TRA'!H$15:H$38,'Key inputs_EB_TRA'!$C$15:$C$38,$C64,'Key inputs_EB_TRA'!$B$15:$B$38,"Pipeline - Crude oil")/SUMIFS('Key inputs_EB_TRA'!H$15:H$38,'Key inputs_EB_TRA'!$B$15:$B$38,"Pipeline - Crude oil")),"")</f>
        <v>0</v>
      </c>
      <c r="O64" s="173">
        <f>IFERROR(IF(AND(SUMIFS('Key inputs_EB_TRA'!I$15:I$38,'Key inputs_EB_TRA'!$C$15:$C$38,$C64,'Key inputs_EB_TRA'!$B$15:$B$38,"Pipeline - Crude oil")/SUMIFS('Key inputs_EB_TRA'!I$15:I$38,'Key inputs_EB_TRA'!$B$15:$B$38,"Pipeline - Crude oil")&gt;0,SUMIFS('Key inputs_EB_TRA'!I$15:I$38,'Key inputs_EB_TRA'!$C$15:$C$38,$C64,'Key inputs_EB_TRA'!$B$15:$B$38,"Pipeline - Crude oil")/SUMIFS('Key inputs_EB_TRA'!I$15:I$38,'Key inputs_EB_TRA'!$B$15:$B$38,"Pipeline - Crude oil")&lt;0.001),0.001,SUMIFS('Key inputs_EB_TRA'!I$15:I$38,'Key inputs_EB_TRA'!$C$15:$C$38,$C64,'Key inputs_EB_TRA'!$B$15:$B$38,"Pipeline - Crude oil")/SUMIFS('Key inputs_EB_TRA'!I$15:I$38,'Key inputs_EB_TRA'!$B$15:$B$38,"Pipeline - Crude oil")),"")</f>
        <v>0.95221863777466675</v>
      </c>
      <c r="P64" s="173">
        <f>IFERROR(IF(AND(SUMIFS('Key inputs_EB_TRA'!J$15:J$38,'Key inputs_EB_TRA'!$C$15:$C$38,$C64,'Key inputs_EB_TRA'!$B$15:$B$38,"Pipeline - Crude oil")/SUMIFS('Key inputs_EB_TRA'!J$15:J$38,'Key inputs_EB_TRA'!$B$15:$B$38,"Pipeline - Crude oil")&gt;0,SUMIFS('Key inputs_EB_TRA'!J$15:J$38,'Key inputs_EB_TRA'!$C$15:$C$38,$C64,'Key inputs_EB_TRA'!$B$15:$B$38,"Pipeline - Crude oil")/SUMIFS('Key inputs_EB_TRA'!J$15:J$38,'Key inputs_EB_TRA'!$B$15:$B$38,"Pipeline - Crude oil")&lt;0.001),0.001,SUMIFS('Key inputs_EB_TRA'!J$15:J$38,'Key inputs_EB_TRA'!$C$15:$C$38,$C64,'Key inputs_EB_TRA'!$B$15:$B$38,"Pipeline - Crude oil")/SUMIFS('Key inputs_EB_TRA'!J$15:J$38,'Key inputs_EB_TRA'!$B$15:$B$38,"Pipeline - Crude oil")),"")</f>
        <v>0.97013945857260053</v>
      </c>
      <c r="Q64" s="173" t="str">
        <f>IFERROR(IF(AND(SUMIFS('Key inputs_EB_TRA'!K$15:K$38,'Key inputs_EB_TRA'!$C$15:$C$38,$C64,'Key inputs_EB_TRA'!$B$15:$B$38,"Pipeline - Crude oil")/SUMIFS('Key inputs_EB_TRA'!K$15:K$38,'Key inputs_EB_TRA'!$B$15:$B$38,"Pipeline - Crude oil")&gt;0,SUMIFS('Key inputs_EB_TRA'!K$15:K$38,'Key inputs_EB_TRA'!$C$15:$C$38,$C64,'Key inputs_EB_TRA'!$B$15:$B$38,"Pipeline - Crude oil")/SUMIFS('Key inputs_EB_TRA'!K$15:K$38,'Key inputs_EB_TRA'!$B$15:$B$38,"Pipeline - Crude oil")&lt;0.001),0.001,SUMIFS('Key inputs_EB_TRA'!K$15:K$38,'Key inputs_EB_TRA'!$C$15:$C$38,$C64,'Key inputs_EB_TRA'!$B$15:$B$38,"Pipeline - Crude oil")/SUMIFS('Key inputs_EB_TRA'!K$15:K$38,'Key inputs_EB_TRA'!$B$15:$B$38,"Pipeline - Crude oil")),"")</f>
        <v/>
      </c>
      <c r="R64" s="173" t="str">
        <f>IFERROR(IF(AND(SUMIFS('Key inputs_EB_TRA'!L$15:L$38,'Key inputs_EB_TRA'!$C$15:$C$38,$C64,'Key inputs_EB_TRA'!$B$15:$B$38,"Pipeline - Crude oil")/SUMIFS('Key inputs_EB_TRA'!L$15:L$38,'Key inputs_EB_TRA'!$B$15:$B$38,"Pipeline - Crude oil")&gt;0,SUMIFS('Key inputs_EB_TRA'!L$15:L$38,'Key inputs_EB_TRA'!$C$15:$C$38,$C64,'Key inputs_EB_TRA'!$B$15:$B$38,"Pipeline - Crude oil")/SUMIFS('Key inputs_EB_TRA'!L$15:L$38,'Key inputs_EB_TRA'!$B$15:$B$38,"Pipeline - Crude oil")&lt;0.001),0.001,SUMIFS('Key inputs_EB_TRA'!L$15:L$38,'Key inputs_EB_TRA'!$C$15:$C$38,$C64,'Key inputs_EB_TRA'!$B$15:$B$38,"Pipeline - Crude oil")/SUMIFS('Key inputs_EB_TRA'!L$15:L$38,'Key inputs_EB_TRA'!$B$15:$B$38,"Pipeline - Crude oil")),"")</f>
        <v/>
      </c>
      <c r="S64" s="173" t="str">
        <f>IFERROR(IF(AND(SUMIFS('Key inputs_EB_TRA'!M$15:M$38,'Key inputs_EB_TRA'!$C$15:$C$38,$C64,'Key inputs_EB_TRA'!$B$15:$B$38,"Pipeline - Crude oil")/SUMIFS('Key inputs_EB_TRA'!M$15:M$38,'Key inputs_EB_TRA'!$B$15:$B$38,"Pipeline - Crude oil")&gt;0,SUMIFS('Key inputs_EB_TRA'!M$15:M$38,'Key inputs_EB_TRA'!$C$15:$C$38,$C64,'Key inputs_EB_TRA'!$B$15:$B$38,"Pipeline - Crude oil")/SUMIFS('Key inputs_EB_TRA'!M$15:M$38,'Key inputs_EB_TRA'!$B$15:$B$38,"Pipeline - Crude oil")&lt;0.001),0.001,SUMIFS('Key inputs_EB_TRA'!M$15:M$38,'Key inputs_EB_TRA'!$C$15:$C$38,$C64,'Key inputs_EB_TRA'!$B$15:$B$38,"Pipeline - Crude oil")/SUMIFS('Key inputs_EB_TRA'!M$15:M$38,'Key inputs_EB_TRA'!$B$15:$B$38,"Pipeline - Crude oil")),"")</f>
        <v/>
      </c>
      <c r="T64" s="173">
        <f>IFERROR(IF(AND(SUMIFS('Key inputs_EB_TRA'!N$15:N$38,'Key inputs_EB_TRA'!$C$15:$C$38,$C64,'Key inputs_EB_TRA'!$B$15:$B$38,"Pipeline - Crude oil")/SUMIFS('Key inputs_EB_TRA'!N$15:N$38,'Key inputs_EB_TRA'!$B$15:$B$38,"Pipeline - Crude oil")&gt;0,SUMIFS('Key inputs_EB_TRA'!N$15:N$38,'Key inputs_EB_TRA'!$C$15:$C$38,$C64,'Key inputs_EB_TRA'!$B$15:$B$38,"Pipeline - Crude oil")/SUMIFS('Key inputs_EB_TRA'!N$15:N$38,'Key inputs_EB_TRA'!$B$15:$B$38,"Pipeline - Crude oil")&lt;0.001),0.001,SUMIFS('Key inputs_EB_TRA'!N$15:N$38,'Key inputs_EB_TRA'!$C$15:$C$38,$C64,'Key inputs_EB_TRA'!$B$15:$B$38,"Pipeline - Crude oil")/SUMIFS('Key inputs_EB_TRA'!N$15:N$38,'Key inputs_EB_TRA'!$B$15:$B$38,"Pipeline - Crude oil")),"")</f>
        <v>0.86151315407061224</v>
      </c>
      <c r="U64" s="173">
        <f>IFERROR(IF(AND(SUMIFS('Key inputs_EB_TRA'!O$15:O$38,'Key inputs_EB_TRA'!$C$15:$C$38,$C64,'Key inputs_EB_TRA'!$B$15:$B$38,"Pipeline - Crude oil")/SUMIFS('Key inputs_EB_TRA'!O$15:O$38,'Key inputs_EB_TRA'!$B$15:$B$38,"Pipeline - Crude oil")&gt;0,SUMIFS('Key inputs_EB_TRA'!O$15:O$38,'Key inputs_EB_TRA'!$C$15:$C$38,$C64,'Key inputs_EB_TRA'!$B$15:$B$38,"Pipeline - Crude oil")/SUMIFS('Key inputs_EB_TRA'!O$15:O$38,'Key inputs_EB_TRA'!$B$15:$B$38,"Pipeline - Crude oil")&lt;0.001),0.001,SUMIFS('Key inputs_EB_TRA'!O$15:O$38,'Key inputs_EB_TRA'!$C$15:$C$38,$C64,'Key inputs_EB_TRA'!$B$15:$B$38,"Pipeline - Crude oil")/SUMIFS('Key inputs_EB_TRA'!O$15:O$38,'Key inputs_EB_TRA'!$B$15:$B$38,"Pipeline - Crude oil")),"")</f>
        <v>0</v>
      </c>
      <c r="V64" s="173">
        <f>IFERROR(IF(AND(SUMIFS('Key inputs_EB_TRA'!P$15:P$38,'Key inputs_EB_TRA'!$C$15:$C$38,$C64,'Key inputs_EB_TRA'!$B$15:$B$38,"Pipeline - Crude oil")/SUMIFS('Key inputs_EB_TRA'!P$15:P$38,'Key inputs_EB_TRA'!$B$15:$B$38,"Pipeline - Crude oil")&gt;0,SUMIFS('Key inputs_EB_TRA'!P$15:P$38,'Key inputs_EB_TRA'!$C$15:$C$38,$C64,'Key inputs_EB_TRA'!$B$15:$B$38,"Pipeline - Crude oil")/SUMIFS('Key inputs_EB_TRA'!P$15:P$38,'Key inputs_EB_TRA'!$B$15:$B$38,"Pipeline - Crude oil")&lt;0.001),0.001,SUMIFS('Key inputs_EB_TRA'!P$15:P$38,'Key inputs_EB_TRA'!$C$15:$C$38,$C64,'Key inputs_EB_TRA'!$B$15:$B$38,"Pipeline - Crude oil")/SUMIFS('Key inputs_EB_TRA'!P$15:P$38,'Key inputs_EB_TRA'!$B$15:$B$38,"Pipeline - Crude oil")),"")</f>
        <v>0</v>
      </c>
      <c r="W64" s="173">
        <f>IFERROR(IF(AND(SUMIFS('Key inputs_EB_TRA'!Q$15:Q$38,'Key inputs_EB_TRA'!$C$15:$C$38,$C64,'Key inputs_EB_TRA'!$B$15:$B$38,"Pipeline - Crude oil")/SUMIFS('Key inputs_EB_TRA'!Q$15:Q$38,'Key inputs_EB_TRA'!$B$15:$B$38,"Pipeline - Crude oil")&gt;0,SUMIFS('Key inputs_EB_TRA'!Q$15:Q$38,'Key inputs_EB_TRA'!$C$15:$C$38,$C64,'Key inputs_EB_TRA'!$B$15:$B$38,"Pipeline - Crude oil")/SUMIFS('Key inputs_EB_TRA'!Q$15:Q$38,'Key inputs_EB_TRA'!$B$15:$B$38,"Pipeline - Crude oil")&lt;0.001),0.001,SUMIFS('Key inputs_EB_TRA'!Q$15:Q$38,'Key inputs_EB_TRA'!$C$15:$C$38,$C64,'Key inputs_EB_TRA'!$B$15:$B$38,"Pipeline - Crude oil")/SUMIFS('Key inputs_EB_TRA'!Q$15:Q$38,'Key inputs_EB_TRA'!$B$15:$B$38,"Pipeline - Crude oil")),"")</f>
        <v>0.97169661894608594</v>
      </c>
      <c r="X64" s="173">
        <f>IFERROR(IF(AND(SUMIFS('Key inputs_EB_TRA'!R$15:R$38,'Key inputs_EB_TRA'!$C$15:$C$38,$C64,'Key inputs_EB_TRA'!$B$15:$B$38,"Pipeline - Crude oil")/SUMIFS('Key inputs_EB_TRA'!R$15:R$38,'Key inputs_EB_TRA'!$B$15:$B$38,"Pipeline - Crude oil")&gt;0,SUMIFS('Key inputs_EB_TRA'!R$15:R$38,'Key inputs_EB_TRA'!$C$15:$C$38,$C64,'Key inputs_EB_TRA'!$B$15:$B$38,"Pipeline - Crude oil")/SUMIFS('Key inputs_EB_TRA'!R$15:R$38,'Key inputs_EB_TRA'!$B$15:$B$38,"Pipeline - Crude oil")&lt;0.001),0.001,SUMIFS('Key inputs_EB_TRA'!R$15:R$38,'Key inputs_EB_TRA'!$C$15:$C$38,$C64,'Key inputs_EB_TRA'!$B$15:$B$38,"Pipeline - Crude oil")/SUMIFS('Key inputs_EB_TRA'!R$15:R$38,'Key inputs_EB_TRA'!$B$15:$B$38,"Pipeline - Crude oil")),"")</f>
        <v>1</v>
      </c>
      <c r="Y64" s="173">
        <f>IFERROR(IF(AND(SUMIFS('Key inputs_EB_TRA'!S$15:S$38,'Key inputs_EB_TRA'!$C$15:$C$38,$C64,'Key inputs_EB_TRA'!$B$15:$B$38,"Pipeline - Crude oil")/SUMIFS('Key inputs_EB_TRA'!S$15:S$38,'Key inputs_EB_TRA'!$B$15:$B$38,"Pipeline - Crude oil")&gt;0,SUMIFS('Key inputs_EB_TRA'!S$15:S$38,'Key inputs_EB_TRA'!$C$15:$C$38,$C64,'Key inputs_EB_TRA'!$B$15:$B$38,"Pipeline - Crude oil")/SUMIFS('Key inputs_EB_TRA'!S$15:S$38,'Key inputs_EB_TRA'!$B$15:$B$38,"Pipeline - Crude oil")&lt;0.001),0.001,SUMIFS('Key inputs_EB_TRA'!S$15:S$38,'Key inputs_EB_TRA'!$C$15:$C$38,$C64,'Key inputs_EB_TRA'!$B$15:$B$38,"Pipeline - Crude oil")/SUMIFS('Key inputs_EB_TRA'!S$15:S$38,'Key inputs_EB_TRA'!$B$15:$B$38,"Pipeline - Crude oil")),"")</f>
        <v>0.95548631204095269</v>
      </c>
      <c r="Z64" s="173">
        <f>IFERROR(IF(AND(SUMIFS('Key inputs_EB_TRA'!T$15:T$38,'Key inputs_EB_TRA'!$C$15:$C$38,$C64,'Key inputs_EB_TRA'!$B$15:$B$38,"Pipeline - Crude oil")/SUMIFS('Key inputs_EB_TRA'!T$15:T$38,'Key inputs_EB_TRA'!$B$15:$B$38,"Pipeline - Crude oil")&gt;0,SUMIFS('Key inputs_EB_TRA'!T$15:T$38,'Key inputs_EB_TRA'!$C$15:$C$38,$C64,'Key inputs_EB_TRA'!$B$15:$B$38,"Pipeline - Crude oil")/SUMIFS('Key inputs_EB_TRA'!T$15:T$38,'Key inputs_EB_TRA'!$B$15:$B$38,"Pipeline - Crude oil")&lt;0.001),0.001,SUMIFS('Key inputs_EB_TRA'!T$15:T$38,'Key inputs_EB_TRA'!$C$15:$C$38,$C64,'Key inputs_EB_TRA'!$B$15:$B$38,"Pipeline - Crude oil")/SUMIFS('Key inputs_EB_TRA'!T$15:T$38,'Key inputs_EB_TRA'!$B$15:$B$38,"Pipeline - Crude oil")),"")</f>
        <v>0.68473272138228947</v>
      </c>
      <c r="AA64" s="173">
        <f>IFERROR(IF(AND(SUMIFS('Key inputs_EB_TRA'!U$15:U$38,'Key inputs_EB_TRA'!$C$15:$C$38,$C64,'Key inputs_EB_TRA'!$B$15:$B$38,"Pipeline - Crude oil")/SUMIFS('Key inputs_EB_TRA'!U$15:U$38,'Key inputs_EB_TRA'!$B$15:$B$38,"Pipeline - Crude oil")&gt;0,SUMIFS('Key inputs_EB_TRA'!U$15:U$38,'Key inputs_EB_TRA'!$C$15:$C$38,$C64,'Key inputs_EB_TRA'!$B$15:$B$38,"Pipeline - Crude oil")/SUMIFS('Key inputs_EB_TRA'!U$15:U$38,'Key inputs_EB_TRA'!$B$15:$B$38,"Pipeline - Crude oil")&lt;0.001),0.001,SUMIFS('Key inputs_EB_TRA'!U$15:U$38,'Key inputs_EB_TRA'!$C$15:$C$38,$C64,'Key inputs_EB_TRA'!$B$15:$B$38,"Pipeline - Crude oil")/SUMIFS('Key inputs_EB_TRA'!U$15:U$38,'Key inputs_EB_TRA'!$B$15:$B$38,"Pipeline - Crude oil")),"")</f>
        <v>0.97620313409787085</v>
      </c>
      <c r="AB64" s="173" t="str">
        <f>IFERROR(IF(AND(SUMIFS('Key inputs_EB_TRA'!V$15:V$38,'Key inputs_EB_TRA'!$C$15:$C$38,$C64,'Key inputs_EB_TRA'!$B$15:$B$38,"Pipeline - Crude oil")/SUMIFS('Key inputs_EB_TRA'!V$15:V$38,'Key inputs_EB_TRA'!$B$15:$B$38,"Pipeline - Crude oil")&gt;0,SUMIFS('Key inputs_EB_TRA'!V$15:V$38,'Key inputs_EB_TRA'!$C$15:$C$38,$C64,'Key inputs_EB_TRA'!$B$15:$B$38,"Pipeline - Crude oil")/SUMIFS('Key inputs_EB_TRA'!V$15:V$38,'Key inputs_EB_TRA'!$B$15:$B$38,"Pipeline - Crude oil")&lt;0.001),0.001,SUMIFS('Key inputs_EB_TRA'!V$15:V$38,'Key inputs_EB_TRA'!$C$15:$C$38,$C64,'Key inputs_EB_TRA'!$B$15:$B$38,"Pipeline - Crude oil")/SUMIFS('Key inputs_EB_TRA'!V$15:V$38,'Key inputs_EB_TRA'!$B$15:$B$38,"Pipeline - Crude oil")),"")</f>
        <v/>
      </c>
      <c r="AC64" s="173">
        <f>IFERROR(IF(AND(SUMIFS('Key inputs_EB_TRA'!W$15:W$38,'Key inputs_EB_TRA'!$C$15:$C$38,$C64,'Key inputs_EB_TRA'!$B$15:$B$38,"Pipeline - Crude oil")/SUMIFS('Key inputs_EB_TRA'!W$15:W$38,'Key inputs_EB_TRA'!$B$15:$B$38,"Pipeline - Crude oil")&gt;0,SUMIFS('Key inputs_EB_TRA'!W$15:W$38,'Key inputs_EB_TRA'!$C$15:$C$38,$C64,'Key inputs_EB_TRA'!$B$15:$B$38,"Pipeline - Crude oil")/SUMIFS('Key inputs_EB_TRA'!W$15:W$38,'Key inputs_EB_TRA'!$B$15:$B$38,"Pipeline - Crude oil")&lt;0.001),0.001,SUMIFS('Key inputs_EB_TRA'!W$15:W$38,'Key inputs_EB_TRA'!$C$15:$C$38,$C64,'Key inputs_EB_TRA'!$B$15:$B$38,"Pipeline - Crude oil")/SUMIFS('Key inputs_EB_TRA'!W$15:W$38,'Key inputs_EB_TRA'!$B$15:$B$38,"Pipeline - Crude oil")),"")</f>
        <v>1</v>
      </c>
      <c r="AD64" s="173" t="str">
        <f>IFERROR(IF(AND(SUMIFS('Key inputs_EB_TRA'!X$15:X$38,'Key inputs_EB_TRA'!$C$15:$C$38,$C64,'Key inputs_EB_TRA'!$B$15:$B$38,"Pipeline - Crude oil")/SUMIFS('Key inputs_EB_TRA'!X$15:X$38,'Key inputs_EB_TRA'!$B$15:$B$38,"Pipeline - Crude oil")&gt;0,SUMIFS('Key inputs_EB_TRA'!X$15:X$38,'Key inputs_EB_TRA'!$C$15:$C$38,$C64,'Key inputs_EB_TRA'!$B$15:$B$38,"Pipeline - Crude oil")/SUMIFS('Key inputs_EB_TRA'!X$15:X$38,'Key inputs_EB_TRA'!$B$15:$B$38,"Pipeline - Crude oil")&lt;0.001),0.001,SUMIFS('Key inputs_EB_TRA'!X$15:X$38,'Key inputs_EB_TRA'!$C$15:$C$38,$C64,'Key inputs_EB_TRA'!$B$15:$B$38,"Pipeline - Crude oil")/SUMIFS('Key inputs_EB_TRA'!X$15:X$38,'Key inputs_EB_TRA'!$B$15:$B$38,"Pipeline - Crude oil")),"")</f>
        <v/>
      </c>
      <c r="AE64" s="173">
        <f>IFERROR(IF(AND(SUMIFS('Key inputs_EB_TRA'!Y$15:Y$38,'Key inputs_EB_TRA'!$C$15:$C$38,$C64,'Key inputs_EB_TRA'!$B$15:$B$38,"Pipeline - Crude oil")/SUMIFS('Key inputs_EB_TRA'!Y$15:Y$38,'Key inputs_EB_TRA'!$B$15:$B$38,"Pipeline - Crude oil")&gt;0,SUMIFS('Key inputs_EB_TRA'!Y$15:Y$38,'Key inputs_EB_TRA'!$C$15:$C$38,$C64,'Key inputs_EB_TRA'!$B$15:$B$38,"Pipeline - Crude oil")/SUMIFS('Key inputs_EB_TRA'!Y$15:Y$38,'Key inputs_EB_TRA'!$B$15:$B$38,"Pipeline - Crude oil")&lt;0.001),0.001,SUMIFS('Key inputs_EB_TRA'!Y$15:Y$38,'Key inputs_EB_TRA'!$C$15:$C$38,$C64,'Key inputs_EB_TRA'!$B$15:$B$38,"Pipeline - Crude oil")/SUMIFS('Key inputs_EB_TRA'!Y$15:Y$38,'Key inputs_EB_TRA'!$B$15:$B$38,"Pipeline - Crude oil")),"")</f>
        <v>1</v>
      </c>
      <c r="AF64" s="173">
        <f>IFERROR(IF(AND(SUMIFS('Key inputs_EB_TRA'!Z$15:Z$38,'Key inputs_EB_TRA'!$C$15:$C$38,$C64,'Key inputs_EB_TRA'!$B$15:$B$38,"Pipeline - Crude oil")/SUMIFS('Key inputs_EB_TRA'!Z$15:Z$38,'Key inputs_EB_TRA'!$B$15:$B$38,"Pipeline - Crude oil")&gt;0,SUMIFS('Key inputs_EB_TRA'!Z$15:Z$38,'Key inputs_EB_TRA'!$C$15:$C$38,$C64,'Key inputs_EB_TRA'!$B$15:$B$38,"Pipeline - Crude oil")/SUMIFS('Key inputs_EB_TRA'!Z$15:Z$38,'Key inputs_EB_TRA'!$B$15:$B$38,"Pipeline - Crude oil")&lt;0.001),0.001,SUMIFS('Key inputs_EB_TRA'!Z$15:Z$38,'Key inputs_EB_TRA'!$C$15:$C$38,$C64,'Key inputs_EB_TRA'!$B$15:$B$38,"Pipeline - Crude oil")/SUMIFS('Key inputs_EB_TRA'!Z$15:Z$38,'Key inputs_EB_TRA'!$B$15:$B$38,"Pipeline - Crude oil")),"")</f>
        <v>0.91177216259612948</v>
      </c>
      <c r="AG64" s="173">
        <f>IFERROR(IF(AND(SUMIFS('Key inputs_EB_TRA'!AA$15:AA$38,'Key inputs_EB_TRA'!$C$15:$C$38,$C64,'Key inputs_EB_TRA'!$B$15:$B$38,"Pipeline - Crude oil")/SUMIFS('Key inputs_EB_TRA'!AA$15:AA$38,'Key inputs_EB_TRA'!$B$15:$B$38,"Pipeline - Crude oil")&gt;0,SUMIFS('Key inputs_EB_TRA'!AA$15:AA$38,'Key inputs_EB_TRA'!$C$15:$C$38,$C64,'Key inputs_EB_TRA'!$B$15:$B$38,"Pipeline - Crude oil")/SUMIFS('Key inputs_EB_TRA'!AA$15:AA$38,'Key inputs_EB_TRA'!$B$15:$B$38,"Pipeline - Crude oil")&lt;0.001),0.001,SUMIFS('Key inputs_EB_TRA'!AA$15:AA$38,'Key inputs_EB_TRA'!$C$15:$C$38,$C64,'Key inputs_EB_TRA'!$B$15:$B$38,"Pipeline - Crude oil")/SUMIFS('Key inputs_EB_TRA'!AA$15:AA$38,'Key inputs_EB_TRA'!$B$15:$B$38,"Pipeline - Crude oil")),"")</f>
        <v>0.93213828425096024</v>
      </c>
      <c r="AH64" s="173" t="str">
        <f>IFERROR(IF(AND(SUMIFS('Key inputs_EB_TRA'!AB$15:AB$38,'Key inputs_EB_TRA'!$C$15:$C$38,$C64,'Key inputs_EB_TRA'!$B$15:$B$38,"Pipeline - Crude oil")/SUMIFS('Key inputs_EB_TRA'!AB$15:AB$38,'Key inputs_EB_TRA'!$B$15:$B$38,"Pipeline - Crude oil")&gt;0,SUMIFS('Key inputs_EB_TRA'!AB$15:AB$38,'Key inputs_EB_TRA'!$C$15:$C$38,$C64,'Key inputs_EB_TRA'!$B$15:$B$38,"Pipeline - Crude oil")/SUMIFS('Key inputs_EB_TRA'!AB$15:AB$38,'Key inputs_EB_TRA'!$B$15:$B$38,"Pipeline - Crude oil")&lt;0.001),0.001,SUMIFS('Key inputs_EB_TRA'!AB$15:AB$38,'Key inputs_EB_TRA'!$C$15:$C$38,$C64,'Key inputs_EB_TRA'!$B$15:$B$38,"Pipeline - Crude oil")/SUMIFS('Key inputs_EB_TRA'!AB$15:AB$38,'Key inputs_EB_TRA'!$B$15:$B$38,"Pipeline - Crude oil")),"")</f>
        <v/>
      </c>
      <c r="AI64" s="173" t="str">
        <f>IFERROR(IF(AND(SUMIFS('Key inputs_EB_TRA'!AC$15:AC$38,'Key inputs_EB_TRA'!$C$15:$C$38,$C64,'Key inputs_EB_TRA'!$B$15:$B$38,"Pipeline - Crude oil")/SUMIFS('Key inputs_EB_TRA'!AC$15:AC$38,'Key inputs_EB_TRA'!$B$15:$B$38,"Pipeline - Crude oil")&gt;0,SUMIFS('Key inputs_EB_TRA'!AC$15:AC$38,'Key inputs_EB_TRA'!$C$15:$C$38,$C64,'Key inputs_EB_TRA'!$B$15:$B$38,"Pipeline - Crude oil")/SUMIFS('Key inputs_EB_TRA'!AC$15:AC$38,'Key inputs_EB_TRA'!$B$15:$B$38,"Pipeline - Crude oil")&lt;0.001),0.001,SUMIFS('Key inputs_EB_TRA'!AC$15:AC$38,'Key inputs_EB_TRA'!$C$15:$C$38,$C64,'Key inputs_EB_TRA'!$B$15:$B$38,"Pipeline - Crude oil")/SUMIFS('Key inputs_EB_TRA'!AC$15:AC$38,'Key inputs_EB_TRA'!$B$15:$B$38,"Pipeline - Crude oil")),"")</f>
        <v/>
      </c>
      <c r="AJ64" s="173">
        <f>IFERROR(IF(AND(SUMIFS('Key inputs_EB_TRA'!AD$15:AD$38,'Key inputs_EB_TRA'!$C$15:$C$38,$C64,'Key inputs_EB_TRA'!$B$15:$B$38,"Pipeline - Crude oil")/SUMIFS('Key inputs_EB_TRA'!AD$15:AD$38,'Key inputs_EB_TRA'!$B$15:$B$38,"Pipeline - Crude oil")&gt;0,SUMIFS('Key inputs_EB_TRA'!AD$15:AD$38,'Key inputs_EB_TRA'!$C$15:$C$38,$C64,'Key inputs_EB_TRA'!$B$15:$B$38,"Pipeline - Crude oil")/SUMIFS('Key inputs_EB_TRA'!AD$15:AD$38,'Key inputs_EB_TRA'!$B$15:$B$38,"Pipeline - Crude oil")&lt;0.001),0.001,SUMIFS('Key inputs_EB_TRA'!AD$15:AD$38,'Key inputs_EB_TRA'!$C$15:$C$38,$C64,'Key inputs_EB_TRA'!$B$15:$B$38,"Pipeline - Crude oil")/SUMIFS('Key inputs_EB_TRA'!AD$15:AD$38,'Key inputs_EB_TRA'!$B$15:$B$38,"Pipeline - Crude oil")),"")</f>
        <v>0.92759974882854823</v>
      </c>
      <c r="AK64" s="173">
        <f>IFERROR(IF(AND(SUMIFS('Key inputs_EB_TRA'!AE$15:AE$38,'Key inputs_EB_TRA'!$C$15:$C$38,$C64,'Key inputs_EB_TRA'!$B$15:$B$38,"Pipeline - Crude oil")/SUMIFS('Key inputs_EB_TRA'!AE$15:AE$38,'Key inputs_EB_TRA'!$B$15:$B$38,"Pipeline - Crude oil")&gt;0,SUMIFS('Key inputs_EB_TRA'!AE$15:AE$38,'Key inputs_EB_TRA'!$C$15:$C$38,$C64,'Key inputs_EB_TRA'!$B$15:$B$38,"Pipeline - Crude oil")/SUMIFS('Key inputs_EB_TRA'!AE$15:AE$38,'Key inputs_EB_TRA'!$B$15:$B$38,"Pipeline - Crude oil")&lt;0.001),0.001,SUMIFS('Key inputs_EB_TRA'!AE$15:AE$38,'Key inputs_EB_TRA'!$C$15:$C$38,$C64,'Key inputs_EB_TRA'!$B$15:$B$38,"Pipeline - Crude oil")/SUMIFS('Key inputs_EB_TRA'!AE$15:AE$38,'Key inputs_EB_TRA'!$B$15:$B$38,"Pipeline - Crude oil")),"")</f>
        <v>0</v>
      </c>
      <c r="AL64" s="173">
        <f>IFERROR(IF(AND(SUMIFS('Key inputs_EB_TRA'!AF$15:AF$38,'Key inputs_EB_TRA'!$C$15:$C$38,$C64,'Key inputs_EB_TRA'!$B$15:$B$38,"Pipeline - Crude oil")/SUMIFS('Key inputs_EB_TRA'!AF$15:AF$38,'Key inputs_EB_TRA'!$B$15:$B$38,"Pipeline - Crude oil")&gt;0,SUMIFS('Key inputs_EB_TRA'!AF$15:AF$38,'Key inputs_EB_TRA'!$C$15:$C$38,$C64,'Key inputs_EB_TRA'!$B$15:$B$38,"Pipeline - Crude oil")/SUMIFS('Key inputs_EB_TRA'!AF$15:AF$38,'Key inputs_EB_TRA'!$B$15:$B$38,"Pipeline - Crude oil")&lt;0.001),0.001,SUMIFS('Key inputs_EB_TRA'!AF$15:AF$38,'Key inputs_EB_TRA'!$C$15:$C$38,$C64,'Key inputs_EB_TRA'!$B$15:$B$38,"Pipeline - Crude oil")/SUMIFS('Key inputs_EB_TRA'!AF$15:AF$38,'Key inputs_EB_TRA'!$B$15:$B$38,"Pipeline - Crude oil")),"")</f>
        <v>1</v>
      </c>
    </row>
    <row r="65" spans="1:38">
      <c r="C65" t="str">
        <f>Commodities!$C$93</f>
        <v>UPSGSL</v>
      </c>
      <c r="F65" s="4" t="s">
        <v>359</v>
      </c>
      <c r="G65" s="4" t="s">
        <v>702</v>
      </c>
      <c r="H65" t="s">
        <v>661</v>
      </c>
      <c r="I65">
        <v>2019</v>
      </c>
      <c r="J65" t="s">
        <v>650</v>
      </c>
      <c r="K65" s="173" t="str">
        <f>IFERROR(IF(AND(SUMIFS('Key inputs_EB_TRA'!E$15:E$38,'Key inputs_EB_TRA'!$C$15:$C$38,$C65,'Key inputs_EB_TRA'!$B$15:$B$38,"Pipeline - Crude oil")/SUMIFS('Key inputs_EB_TRA'!E$15:E$38,'Key inputs_EB_TRA'!$B$15:$B$38,"Pipeline - Crude oil")&gt;0,SUMIFS('Key inputs_EB_TRA'!E$15:E$38,'Key inputs_EB_TRA'!$C$15:$C$38,$C65,'Key inputs_EB_TRA'!$B$15:$B$38,"Pipeline - Crude oil")/SUMIFS('Key inputs_EB_TRA'!E$15:E$38,'Key inputs_EB_TRA'!$B$15:$B$38,"Pipeline - Crude oil")&lt;0.001),0.001,SUMIFS('Key inputs_EB_TRA'!E$15:E$38,'Key inputs_EB_TRA'!$C$15:$C$38,$C65,'Key inputs_EB_TRA'!$B$15:$B$38,"Pipeline - Crude oil")/SUMIFS('Key inputs_EB_TRA'!E$15:E$38,'Key inputs_EB_TRA'!$B$15:$B$38,"Pipeline - Crude oil")),"")</f>
        <v/>
      </c>
      <c r="L65" s="173">
        <f>IFERROR(IF(AND(SUMIFS('Key inputs_EB_TRA'!F$15:F$38,'Key inputs_EB_TRA'!$C$15:$C$38,$C65,'Key inputs_EB_TRA'!$B$15:$B$38,"Pipeline - Crude oil")/SUMIFS('Key inputs_EB_TRA'!F$15:F$38,'Key inputs_EB_TRA'!$B$15:$B$38,"Pipeline - Crude oil")&gt;0,SUMIFS('Key inputs_EB_TRA'!F$15:F$38,'Key inputs_EB_TRA'!$C$15:$C$38,$C65,'Key inputs_EB_TRA'!$B$15:$B$38,"Pipeline - Crude oil")/SUMIFS('Key inputs_EB_TRA'!F$15:F$38,'Key inputs_EB_TRA'!$B$15:$B$38,"Pipeline - Crude oil")&lt;0.001),0.001,SUMIFS('Key inputs_EB_TRA'!F$15:F$38,'Key inputs_EB_TRA'!$C$15:$C$38,$C65,'Key inputs_EB_TRA'!$B$15:$B$38,"Pipeline - Crude oil")/SUMIFS('Key inputs_EB_TRA'!F$15:F$38,'Key inputs_EB_TRA'!$B$15:$B$38,"Pipeline - Crude oil")),"")</f>
        <v>0</v>
      </c>
      <c r="M65" s="173">
        <f>IFERROR(IF(AND(SUMIFS('Key inputs_EB_TRA'!G$15:G$38,'Key inputs_EB_TRA'!$C$15:$C$38,$C65,'Key inputs_EB_TRA'!$B$15:$B$38,"Pipeline - Crude oil")/SUMIFS('Key inputs_EB_TRA'!G$15:G$38,'Key inputs_EB_TRA'!$B$15:$B$38,"Pipeline - Crude oil")&gt;0,SUMIFS('Key inputs_EB_TRA'!G$15:G$38,'Key inputs_EB_TRA'!$C$15:$C$38,$C65,'Key inputs_EB_TRA'!$B$15:$B$38,"Pipeline - Crude oil")/SUMIFS('Key inputs_EB_TRA'!G$15:G$38,'Key inputs_EB_TRA'!$B$15:$B$38,"Pipeline - Crude oil")&lt;0.001),0.001,SUMIFS('Key inputs_EB_TRA'!G$15:G$38,'Key inputs_EB_TRA'!$C$15:$C$38,$C65,'Key inputs_EB_TRA'!$B$15:$B$38,"Pipeline - Crude oil")/SUMIFS('Key inputs_EB_TRA'!G$15:G$38,'Key inputs_EB_TRA'!$B$15:$B$38,"Pipeline - Crude oil")),"")</f>
        <v>0</v>
      </c>
      <c r="N65" s="173">
        <f>IFERROR(IF(AND(SUMIFS('Key inputs_EB_TRA'!H$15:H$38,'Key inputs_EB_TRA'!$C$15:$C$38,$C65,'Key inputs_EB_TRA'!$B$15:$B$38,"Pipeline - Crude oil")/SUMIFS('Key inputs_EB_TRA'!H$15:H$38,'Key inputs_EB_TRA'!$B$15:$B$38,"Pipeline - Crude oil")&gt;0,SUMIFS('Key inputs_EB_TRA'!H$15:H$38,'Key inputs_EB_TRA'!$C$15:$C$38,$C65,'Key inputs_EB_TRA'!$B$15:$B$38,"Pipeline - Crude oil")/SUMIFS('Key inputs_EB_TRA'!H$15:H$38,'Key inputs_EB_TRA'!$B$15:$B$38,"Pipeline - Crude oil")&lt;0.001),0.001,SUMIFS('Key inputs_EB_TRA'!H$15:H$38,'Key inputs_EB_TRA'!$C$15:$C$38,$C65,'Key inputs_EB_TRA'!$B$15:$B$38,"Pipeline - Crude oil")/SUMIFS('Key inputs_EB_TRA'!H$15:H$38,'Key inputs_EB_TRA'!$B$15:$B$38,"Pipeline - Crude oil")),"")</f>
        <v>0</v>
      </c>
      <c r="O65" s="173">
        <f>IFERROR(IF(AND(SUMIFS('Key inputs_EB_TRA'!I$15:I$38,'Key inputs_EB_TRA'!$C$15:$C$38,$C65,'Key inputs_EB_TRA'!$B$15:$B$38,"Pipeline - Crude oil")/SUMIFS('Key inputs_EB_TRA'!I$15:I$38,'Key inputs_EB_TRA'!$B$15:$B$38,"Pipeline - Crude oil")&gt;0,SUMIFS('Key inputs_EB_TRA'!I$15:I$38,'Key inputs_EB_TRA'!$C$15:$C$38,$C65,'Key inputs_EB_TRA'!$B$15:$B$38,"Pipeline - Crude oil")/SUMIFS('Key inputs_EB_TRA'!I$15:I$38,'Key inputs_EB_TRA'!$B$15:$B$38,"Pipeline - Crude oil")&lt;0.001),0.001,SUMIFS('Key inputs_EB_TRA'!I$15:I$38,'Key inputs_EB_TRA'!$C$15:$C$38,$C65,'Key inputs_EB_TRA'!$B$15:$B$38,"Pipeline - Crude oil")/SUMIFS('Key inputs_EB_TRA'!I$15:I$38,'Key inputs_EB_TRA'!$B$15:$B$38,"Pipeline - Crude oil")),"")</f>
        <v>0</v>
      </c>
      <c r="P65" s="173">
        <f>IFERROR(IF(AND(SUMIFS('Key inputs_EB_TRA'!J$15:J$38,'Key inputs_EB_TRA'!$C$15:$C$38,$C65,'Key inputs_EB_TRA'!$B$15:$B$38,"Pipeline - Crude oil")/SUMIFS('Key inputs_EB_TRA'!J$15:J$38,'Key inputs_EB_TRA'!$B$15:$B$38,"Pipeline - Crude oil")&gt;0,SUMIFS('Key inputs_EB_TRA'!J$15:J$38,'Key inputs_EB_TRA'!$C$15:$C$38,$C65,'Key inputs_EB_TRA'!$B$15:$B$38,"Pipeline - Crude oil")/SUMIFS('Key inputs_EB_TRA'!J$15:J$38,'Key inputs_EB_TRA'!$B$15:$B$38,"Pipeline - Crude oil")&lt;0.001),0.001,SUMIFS('Key inputs_EB_TRA'!J$15:J$38,'Key inputs_EB_TRA'!$C$15:$C$38,$C65,'Key inputs_EB_TRA'!$B$15:$B$38,"Pipeline - Crude oil")/SUMIFS('Key inputs_EB_TRA'!J$15:J$38,'Key inputs_EB_TRA'!$B$15:$B$38,"Pipeline - Crude oil")),"")</f>
        <v>0</v>
      </c>
      <c r="Q65" s="173" t="str">
        <f>IFERROR(IF(AND(SUMIFS('Key inputs_EB_TRA'!K$15:K$38,'Key inputs_EB_TRA'!$C$15:$C$38,$C65,'Key inputs_EB_TRA'!$B$15:$B$38,"Pipeline - Crude oil")/SUMIFS('Key inputs_EB_TRA'!K$15:K$38,'Key inputs_EB_TRA'!$B$15:$B$38,"Pipeline - Crude oil")&gt;0,SUMIFS('Key inputs_EB_TRA'!K$15:K$38,'Key inputs_EB_TRA'!$C$15:$C$38,$C65,'Key inputs_EB_TRA'!$B$15:$B$38,"Pipeline - Crude oil")/SUMIFS('Key inputs_EB_TRA'!K$15:K$38,'Key inputs_EB_TRA'!$B$15:$B$38,"Pipeline - Crude oil")&lt;0.001),0.001,SUMIFS('Key inputs_EB_TRA'!K$15:K$38,'Key inputs_EB_TRA'!$C$15:$C$38,$C65,'Key inputs_EB_TRA'!$B$15:$B$38,"Pipeline - Crude oil")/SUMIFS('Key inputs_EB_TRA'!K$15:K$38,'Key inputs_EB_TRA'!$B$15:$B$38,"Pipeline - Crude oil")),"")</f>
        <v/>
      </c>
      <c r="R65" s="173" t="str">
        <f>IFERROR(IF(AND(SUMIFS('Key inputs_EB_TRA'!L$15:L$38,'Key inputs_EB_TRA'!$C$15:$C$38,$C65,'Key inputs_EB_TRA'!$B$15:$B$38,"Pipeline - Crude oil")/SUMIFS('Key inputs_EB_TRA'!L$15:L$38,'Key inputs_EB_TRA'!$B$15:$B$38,"Pipeline - Crude oil")&gt;0,SUMIFS('Key inputs_EB_TRA'!L$15:L$38,'Key inputs_EB_TRA'!$C$15:$C$38,$C65,'Key inputs_EB_TRA'!$B$15:$B$38,"Pipeline - Crude oil")/SUMIFS('Key inputs_EB_TRA'!L$15:L$38,'Key inputs_EB_TRA'!$B$15:$B$38,"Pipeline - Crude oil")&lt;0.001),0.001,SUMIFS('Key inputs_EB_TRA'!L$15:L$38,'Key inputs_EB_TRA'!$C$15:$C$38,$C65,'Key inputs_EB_TRA'!$B$15:$B$38,"Pipeline - Crude oil")/SUMIFS('Key inputs_EB_TRA'!L$15:L$38,'Key inputs_EB_TRA'!$B$15:$B$38,"Pipeline - Crude oil")),"")</f>
        <v/>
      </c>
      <c r="S65" s="173" t="str">
        <f>IFERROR(IF(AND(SUMIFS('Key inputs_EB_TRA'!M$15:M$38,'Key inputs_EB_TRA'!$C$15:$C$38,$C65,'Key inputs_EB_TRA'!$B$15:$B$38,"Pipeline - Crude oil")/SUMIFS('Key inputs_EB_TRA'!M$15:M$38,'Key inputs_EB_TRA'!$B$15:$B$38,"Pipeline - Crude oil")&gt;0,SUMIFS('Key inputs_EB_TRA'!M$15:M$38,'Key inputs_EB_TRA'!$C$15:$C$38,$C65,'Key inputs_EB_TRA'!$B$15:$B$38,"Pipeline - Crude oil")/SUMIFS('Key inputs_EB_TRA'!M$15:M$38,'Key inputs_EB_TRA'!$B$15:$B$38,"Pipeline - Crude oil")&lt;0.001),0.001,SUMIFS('Key inputs_EB_TRA'!M$15:M$38,'Key inputs_EB_TRA'!$C$15:$C$38,$C65,'Key inputs_EB_TRA'!$B$15:$B$38,"Pipeline - Crude oil")/SUMIFS('Key inputs_EB_TRA'!M$15:M$38,'Key inputs_EB_TRA'!$B$15:$B$38,"Pipeline - Crude oil")),"")</f>
        <v/>
      </c>
      <c r="T65" s="173">
        <f>IFERROR(IF(AND(SUMIFS('Key inputs_EB_TRA'!N$15:N$38,'Key inputs_EB_TRA'!$C$15:$C$38,$C65,'Key inputs_EB_TRA'!$B$15:$B$38,"Pipeline - Crude oil")/SUMIFS('Key inputs_EB_TRA'!N$15:N$38,'Key inputs_EB_TRA'!$B$15:$B$38,"Pipeline - Crude oil")&gt;0,SUMIFS('Key inputs_EB_TRA'!N$15:N$38,'Key inputs_EB_TRA'!$C$15:$C$38,$C65,'Key inputs_EB_TRA'!$B$15:$B$38,"Pipeline - Crude oil")/SUMIFS('Key inputs_EB_TRA'!N$15:N$38,'Key inputs_EB_TRA'!$B$15:$B$38,"Pipeline - Crude oil")&lt;0.001),0.001,SUMIFS('Key inputs_EB_TRA'!N$15:N$38,'Key inputs_EB_TRA'!$C$15:$C$38,$C65,'Key inputs_EB_TRA'!$B$15:$B$38,"Pipeline - Crude oil")/SUMIFS('Key inputs_EB_TRA'!N$15:N$38,'Key inputs_EB_TRA'!$B$15:$B$38,"Pipeline - Crude oil")),"")</f>
        <v>1.7379881189039631E-3</v>
      </c>
      <c r="U65" s="173">
        <f>IFERROR(IF(AND(SUMIFS('Key inputs_EB_TRA'!O$15:O$38,'Key inputs_EB_TRA'!$C$15:$C$38,$C65,'Key inputs_EB_TRA'!$B$15:$B$38,"Pipeline - Crude oil")/SUMIFS('Key inputs_EB_TRA'!O$15:O$38,'Key inputs_EB_TRA'!$B$15:$B$38,"Pipeline - Crude oil")&gt;0,SUMIFS('Key inputs_EB_TRA'!O$15:O$38,'Key inputs_EB_TRA'!$C$15:$C$38,$C65,'Key inputs_EB_TRA'!$B$15:$B$38,"Pipeline - Crude oil")/SUMIFS('Key inputs_EB_TRA'!O$15:O$38,'Key inputs_EB_TRA'!$B$15:$B$38,"Pipeline - Crude oil")&lt;0.001),0.001,SUMIFS('Key inputs_EB_TRA'!O$15:O$38,'Key inputs_EB_TRA'!$C$15:$C$38,$C65,'Key inputs_EB_TRA'!$B$15:$B$38,"Pipeline - Crude oil")/SUMIFS('Key inputs_EB_TRA'!O$15:O$38,'Key inputs_EB_TRA'!$B$15:$B$38,"Pipeline - Crude oil")),"")</f>
        <v>0</v>
      </c>
      <c r="V65" s="173">
        <f>IFERROR(IF(AND(SUMIFS('Key inputs_EB_TRA'!P$15:P$38,'Key inputs_EB_TRA'!$C$15:$C$38,$C65,'Key inputs_EB_TRA'!$B$15:$B$38,"Pipeline - Crude oil")/SUMIFS('Key inputs_EB_TRA'!P$15:P$38,'Key inputs_EB_TRA'!$B$15:$B$38,"Pipeline - Crude oil")&gt;0,SUMIFS('Key inputs_EB_TRA'!P$15:P$38,'Key inputs_EB_TRA'!$C$15:$C$38,$C65,'Key inputs_EB_TRA'!$B$15:$B$38,"Pipeline - Crude oil")/SUMIFS('Key inputs_EB_TRA'!P$15:P$38,'Key inputs_EB_TRA'!$B$15:$B$38,"Pipeline - Crude oil")&lt;0.001),0.001,SUMIFS('Key inputs_EB_TRA'!P$15:P$38,'Key inputs_EB_TRA'!$C$15:$C$38,$C65,'Key inputs_EB_TRA'!$B$15:$B$38,"Pipeline - Crude oil")/SUMIFS('Key inputs_EB_TRA'!P$15:P$38,'Key inputs_EB_TRA'!$B$15:$B$38,"Pipeline - Crude oil")),"")</f>
        <v>2.2061140876142452E-3</v>
      </c>
      <c r="W65" s="173">
        <f>IFERROR(IF(AND(SUMIFS('Key inputs_EB_TRA'!Q$15:Q$38,'Key inputs_EB_TRA'!$C$15:$C$38,$C65,'Key inputs_EB_TRA'!$B$15:$B$38,"Pipeline - Crude oil")/SUMIFS('Key inputs_EB_TRA'!Q$15:Q$38,'Key inputs_EB_TRA'!$B$15:$B$38,"Pipeline - Crude oil")&gt;0,SUMIFS('Key inputs_EB_TRA'!Q$15:Q$38,'Key inputs_EB_TRA'!$C$15:$C$38,$C65,'Key inputs_EB_TRA'!$B$15:$B$38,"Pipeline - Crude oil")/SUMIFS('Key inputs_EB_TRA'!Q$15:Q$38,'Key inputs_EB_TRA'!$B$15:$B$38,"Pipeline - Crude oil")&lt;0.001),0.001,SUMIFS('Key inputs_EB_TRA'!Q$15:Q$38,'Key inputs_EB_TRA'!$C$15:$C$38,$C65,'Key inputs_EB_TRA'!$B$15:$B$38,"Pipeline - Crude oil")/SUMIFS('Key inputs_EB_TRA'!Q$15:Q$38,'Key inputs_EB_TRA'!$B$15:$B$38,"Pipeline - Crude oil")),"")</f>
        <v>0</v>
      </c>
      <c r="X65" s="173">
        <f>IFERROR(IF(AND(SUMIFS('Key inputs_EB_TRA'!R$15:R$38,'Key inputs_EB_TRA'!$C$15:$C$38,$C65,'Key inputs_EB_TRA'!$B$15:$B$38,"Pipeline - Crude oil")/SUMIFS('Key inputs_EB_TRA'!R$15:R$38,'Key inputs_EB_TRA'!$B$15:$B$38,"Pipeline - Crude oil")&gt;0,SUMIFS('Key inputs_EB_TRA'!R$15:R$38,'Key inputs_EB_TRA'!$C$15:$C$38,$C65,'Key inputs_EB_TRA'!$B$15:$B$38,"Pipeline - Crude oil")/SUMIFS('Key inputs_EB_TRA'!R$15:R$38,'Key inputs_EB_TRA'!$B$15:$B$38,"Pipeline - Crude oil")&lt;0.001),0.001,SUMIFS('Key inputs_EB_TRA'!R$15:R$38,'Key inputs_EB_TRA'!$C$15:$C$38,$C65,'Key inputs_EB_TRA'!$B$15:$B$38,"Pipeline - Crude oil")/SUMIFS('Key inputs_EB_TRA'!R$15:R$38,'Key inputs_EB_TRA'!$B$15:$B$38,"Pipeline - Crude oil")),"")</f>
        <v>0</v>
      </c>
      <c r="Y65" s="173">
        <f>IFERROR(IF(AND(SUMIFS('Key inputs_EB_TRA'!S$15:S$38,'Key inputs_EB_TRA'!$C$15:$C$38,$C65,'Key inputs_EB_TRA'!$B$15:$B$38,"Pipeline - Crude oil")/SUMIFS('Key inputs_EB_TRA'!S$15:S$38,'Key inputs_EB_TRA'!$B$15:$B$38,"Pipeline - Crude oil")&gt;0,SUMIFS('Key inputs_EB_TRA'!S$15:S$38,'Key inputs_EB_TRA'!$C$15:$C$38,$C65,'Key inputs_EB_TRA'!$B$15:$B$38,"Pipeline - Crude oil")/SUMIFS('Key inputs_EB_TRA'!S$15:S$38,'Key inputs_EB_TRA'!$B$15:$B$38,"Pipeline - Crude oil")&lt;0.001),0.001,SUMIFS('Key inputs_EB_TRA'!S$15:S$38,'Key inputs_EB_TRA'!$C$15:$C$38,$C65,'Key inputs_EB_TRA'!$B$15:$B$38,"Pipeline - Crude oil")/SUMIFS('Key inputs_EB_TRA'!S$15:S$38,'Key inputs_EB_TRA'!$B$15:$B$38,"Pipeline - Crude oil")),"")</f>
        <v>0</v>
      </c>
      <c r="Z65" s="173">
        <f>IFERROR(IF(AND(SUMIFS('Key inputs_EB_TRA'!T$15:T$38,'Key inputs_EB_TRA'!$C$15:$C$38,$C65,'Key inputs_EB_TRA'!$B$15:$B$38,"Pipeline - Crude oil")/SUMIFS('Key inputs_EB_TRA'!T$15:T$38,'Key inputs_EB_TRA'!$B$15:$B$38,"Pipeline - Crude oil")&gt;0,SUMIFS('Key inputs_EB_TRA'!T$15:T$38,'Key inputs_EB_TRA'!$C$15:$C$38,$C65,'Key inputs_EB_TRA'!$B$15:$B$38,"Pipeline - Crude oil")/SUMIFS('Key inputs_EB_TRA'!T$15:T$38,'Key inputs_EB_TRA'!$B$15:$B$38,"Pipeline - Crude oil")&lt;0.001),0.001,SUMIFS('Key inputs_EB_TRA'!T$15:T$38,'Key inputs_EB_TRA'!$C$15:$C$38,$C65,'Key inputs_EB_TRA'!$B$15:$B$38,"Pipeline - Crude oil")/SUMIFS('Key inputs_EB_TRA'!T$15:T$38,'Key inputs_EB_TRA'!$B$15:$B$38,"Pipeline - Crude oil")),"")</f>
        <v>0</v>
      </c>
      <c r="AA65" s="173">
        <f>IFERROR(IF(AND(SUMIFS('Key inputs_EB_TRA'!U$15:U$38,'Key inputs_EB_TRA'!$C$15:$C$38,$C65,'Key inputs_EB_TRA'!$B$15:$B$38,"Pipeline - Crude oil")/SUMIFS('Key inputs_EB_TRA'!U$15:U$38,'Key inputs_EB_TRA'!$B$15:$B$38,"Pipeline - Crude oil")&gt;0,SUMIFS('Key inputs_EB_TRA'!U$15:U$38,'Key inputs_EB_TRA'!$C$15:$C$38,$C65,'Key inputs_EB_TRA'!$B$15:$B$38,"Pipeline - Crude oil")/SUMIFS('Key inputs_EB_TRA'!U$15:U$38,'Key inputs_EB_TRA'!$B$15:$B$38,"Pipeline - Crude oil")&lt;0.001),0.001,SUMIFS('Key inputs_EB_TRA'!U$15:U$38,'Key inputs_EB_TRA'!$C$15:$C$38,$C65,'Key inputs_EB_TRA'!$B$15:$B$38,"Pipeline - Crude oil")/SUMIFS('Key inputs_EB_TRA'!U$15:U$38,'Key inputs_EB_TRA'!$B$15:$B$38,"Pipeline - Crude oil")),"")</f>
        <v>0</v>
      </c>
      <c r="AB65" s="173" t="str">
        <f>IFERROR(IF(AND(SUMIFS('Key inputs_EB_TRA'!V$15:V$38,'Key inputs_EB_TRA'!$C$15:$C$38,$C65,'Key inputs_EB_TRA'!$B$15:$B$38,"Pipeline - Crude oil")/SUMIFS('Key inputs_EB_TRA'!V$15:V$38,'Key inputs_EB_TRA'!$B$15:$B$38,"Pipeline - Crude oil")&gt;0,SUMIFS('Key inputs_EB_TRA'!V$15:V$38,'Key inputs_EB_TRA'!$C$15:$C$38,$C65,'Key inputs_EB_TRA'!$B$15:$B$38,"Pipeline - Crude oil")/SUMIFS('Key inputs_EB_TRA'!V$15:V$38,'Key inputs_EB_TRA'!$B$15:$B$38,"Pipeline - Crude oil")&lt;0.001),0.001,SUMIFS('Key inputs_EB_TRA'!V$15:V$38,'Key inputs_EB_TRA'!$C$15:$C$38,$C65,'Key inputs_EB_TRA'!$B$15:$B$38,"Pipeline - Crude oil")/SUMIFS('Key inputs_EB_TRA'!V$15:V$38,'Key inputs_EB_TRA'!$B$15:$B$38,"Pipeline - Crude oil")),"")</f>
        <v/>
      </c>
      <c r="AC65" s="173">
        <f>IFERROR(IF(AND(SUMIFS('Key inputs_EB_TRA'!W$15:W$38,'Key inputs_EB_TRA'!$C$15:$C$38,$C65,'Key inputs_EB_TRA'!$B$15:$B$38,"Pipeline - Crude oil")/SUMIFS('Key inputs_EB_TRA'!W$15:W$38,'Key inputs_EB_TRA'!$B$15:$B$38,"Pipeline - Crude oil")&gt;0,SUMIFS('Key inputs_EB_TRA'!W$15:W$38,'Key inputs_EB_TRA'!$C$15:$C$38,$C65,'Key inputs_EB_TRA'!$B$15:$B$38,"Pipeline - Crude oil")/SUMIFS('Key inputs_EB_TRA'!W$15:W$38,'Key inputs_EB_TRA'!$B$15:$B$38,"Pipeline - Crude oil")&lt;0.001),0.001,SUMIFS('Key inputs_EB_TRA'!W$15:W$38,'Key inputs_EB_TRA'!$C$15:$C$38,$C65,'Key inputs_EB_TRA'!$B$15:$B$38,"Pipeline - Crude oil")/SUMIFS('Key inputs_EB_TRA'!W$15:W$38,'Key inputs_EB_TRA'!$B$15:$B$38,"Pipeline - Crude oil")),"")</f>
        <v>0</v>
      </c>
      <c r="AD65" s="173" t="str">
        <f>IFERROR(IF(AND(SUMIFS('Key inputs_EB_TRA'!X$15:X$38,'Key inputs_EB_TRA'!$C$15:$C$38,$C65,'Key inputs_EB_TRA'!$B$15:$B$38,"Pipeline - Crude oil")/SUMIFS('Key inputs_EB_TRA'!X$15:X$38,'Key inputs_EB_TRA'!$B$15:$B$38,"Pipeline - Crude oil")&gt;0,SUMIFS('Key inputs_EB_TRA'!X$15:X$38,'Key inputs_EB_TRA'!$C$15:$C$38,$C65,'Key inputs_EB_TRA'!$B$15:$B$38,"Pipeline - Crude oil")/SUMIFS('Key inputs_EB_TRA'!X$15:X$38,'Key inputs_EB_TRA'!$B$15:$B$38,"Pipeline - Crude oil")&lt;0.001),0.001,SUMIFS('Key inputs_EB_TRA'!X$15:X$38,'Key inputs_EB_TRA'!$C$15:$C$38,$C65,'Key inputs_EB_TRA'!$B$15:$B$38,"Pipeline - Crude oil")/SUMIFS('Key inputs_EB_TRA'!X$15:X$38,'Key inputs_EB_TRA'!$B$15:$B$38,"Pipeline - Crude oil")),"")</f>
        <v/>
      </c>
      <c r="AE65" s="173">
        <f>IFERROR(IF(AND(SUMIFS('Key inputs_EB_TRA'!Y$15:Y$38,'Key inputs_EB_TRA'!$C$15:$C$38,$C65,'Key inputs_EB_TRA'!$B$15:$B$38,"Pipeline - Crude oil")/SUMIFS('Key inputs_EB_TRA'!Y$15:Y$38,'Key inputs_EB_TRA'!$B$15:$B$38,"Pipeline - Crude oil")&gt;0,SUMIFS('Key inputs_EB_TRA'!Y$15:Y$38,'Key inputs_EB_TRA'!$C$15:$C$38,$C65,'Key inputs_EB_TRA'!$B$15:$B$38,"Pipeline - Crude oil")/SUMIFS('Key inputs_EB_TRA'!Y$15:Y$38,'Key inputs_EB_TRA'!$B$15:$B$38,"Pipeline - Crude oil")&lt;0.001),0.001,SUMIFS('Key inputs_EB_TRA'!Y$15:Y$38,'Key inputs_EB_TRA'!$C$15:$C$38,$C65,'Key inputs_EB_TRA'!$B$15:$B$38,"Pipeline - Crude oil")/SUMIFS('Key inputs_EB_TRA'!Y$15:Y$38,'Key inputs_EB_TRA'!$B$15:$B$38,"Pipeline - Crude oil")),"")</f>
        <v>0</v>
      </c>
      <c r="AF65" s="173">
        <f>IFERROR(IF(AND(SUMIFS('Key inputs_EB_TRA'!Z$15:Z$38,'Key inputs_EB_TRA'!$C$15:$C$38,$C65,'Key inputs_EB_TRA'!$B$15:$B$38,"Pipeline - Crude oil")/SUMIFS('Key inputs_EB_TRA'!Z$15:Z$38,'Key inputs_EB_TRA'!$B$15:$B$38,"Pipeline - Crude oil")&gt;0,SUMIFS('Key inputs_EB_TRA'!Z$15:Z$38,'Key inputs_EB_TRA'!$C$15:$C$38,$C65,'Key inputs_EB_TRA'!$B$15:$B$38,"Pipeline - Crude oil")/SUMIFS('Key inputs_EB_TRA'!Z$15:Z$38,'Key inputs_EB_TRA'!$B$15:$B$38,"Pipeline - Crude oil")&lt;0.001),0.001,SUMIFS('Key inputs_EB_TRA'!Z$15:Z$38,'Key inputs_EB_TRA'!$C$15:$C$38,$C65,'Key inputs_EB_TRA'!$B$15:$B$38,"Pipeline - Crude oil")/SUMIFS('Key inputs_EB_TRA'!Z$15:Z$38,'Key inputs_EB_TRA'!$B$15:$B$38,"Pipeline - Crude oil")),"")</f>
        <v>0</v>
      </c>
      <c r="AG65" s="173">
        <f>IFERROR(IF(AND(SUMIFS('Key inputs_EB_TRA'!AA$15:AA$38,'Key inputs_EB_TRA'!$C$15:$C$38,$C65,'Key inputs_EB_TRA'!$B$15:$B$38,"Pipeline - Crude oil")/SUMIFS('Key inputs_EB_TRA'!AA$15:AA$38,'Key inputs_EB_TRA'!$B$15:$B$38,"Pipeline - Crude oil")&gt;0,SUMIFS('Key inputs_EB_TRA'!AA$15:AA$38,'Key inputs_EB_TRA'!$C$15:$C$38,$C65,'Key inputs_EB_TRA'!$B$15:$B$38,"Pipeline - Crude oil")/SUMIFS('Key inputs_EB_TRA'!AA$15:AA$38,'Key inputs_EB_TRA'!$B$15:$B$38,"Pipeline - Crude oil")&lt;0.001),0.001,SUMIFS('Key inputs_EB_TRA'!AA$15:AA$38,'Key inputs_EB_TRA'!$C$15:$C$38,$C65,'Key inputs_EB_TRA'!$B$15:$B$38,"Pipeline - Crude oil")/SUMIFS('Key inputs_EB_TRA'!AA$15:AA$38,'Key inputs_EB_TRA'!$B$15:$B$38,"Pipeline - Crude oil")),"")</f>
        <v>0</v>
      </c>
      <c r="AH65" s="173" t="str">
        <f>IFERROR(IF(AND(SUMIFS('Key inputs_EB_TRA'!AB$15:AB$38,'Key inputs_EB_TRA'!$C$15:$C$38,$C65,'Key inputs_EB_TRA'!$B$15:$B$38,"Pipeline - Crude oil")/SUMIFS('Key inputs_EB_TRA'!AB$15:AB$38,'Key inputs_EB_TRA'!$B$15:$B$38,"Pipeline - Crude oil")&gt;0,SUMIFS('Key inputs_EB_TRA'!AB$15:AB$38,'Key inputs_EB_TRA'!$C$15:$C$38,$C65,'Key inputs_EB_TRA'!$B$15:$B$38,"Pipeline - Crude oil")/SUMIFS('Key inputs_EB_TRA'!AB$15:AB$38,'Key inputs_EB_TRA'!$B$15:$B$38,"Pipeline - Crude oil")&lt;0.001),0.001,SUMIFS('Key inputs_EB_TRA'!AB$15:AB$38,'Key inputs_EB_TRA'!$C$15:$C$38,$C65,'Key inputs_EB_TRA'!$B$15:$B$38,"Pipeline - Crude oil")/SUMIFS('Key inputs_EB_TRA'!AB$15:AB$38,'Key inputs_EB_TRA'!$B$15:$B$38,"Pipeline - Crude oil")),"")</f>
        <v/>
      </c>
      <c r="AI65" s="173" t="str">
        <f>IFERROR(IF(AND(SUMIFS('Key inputs_EB_TRA'!AC$15:AC$38,'Key inputs_EB_TRA'!$C$15:$C$38,$C65,'Key inputs_EB_TRA'!$B$15:$B$38,"Pipeline - Crude oil")/SUMIFS('Key inputs_EB_TRA'!AC$15:AC$38,'Key inputs_EB_TRA'!$B$15:$B$38,"Pipeline - Crude oil")&gt;0,SUMIFS('Key inputs_EB_TRA'!AC$15:AC$38,'Key inputs_EB_TRA'!$C$15:$C$38,$C65,'Key inputs_EB_TRA'!$B$15:$B$38,"Pipeline - Crude oil")/SUMIFS('Key inputs_EB_TRA'!AC$15:AC$38,'Key inputs_EB_TRA'!$B$15:$B$38,"Pipeline - Crude oil")&lt;0.001),0.001,SUMIFS('Key inputs_EB_TRA'!AC$15:AC$38,'Key inputs_EB_TRA'!$C$15:$C$38,$C65,'Key inputs_EB_TRA'!$B$15:$B$38,"Pipeline - Crude oil")/SUMIFS('Key inputs_EB_TRA'!AC$15:AC$38,'Key inputs_EB_TRA'!$B$15:$B$38,"Pipeline - Crude oil")),"")</f>
        <v/>
      </c>
      <c r="AJ65" s="173">
        <f>IFERROR(IF(AND(SUMIFS('Key inputs_EB_TRA'!AD$15:AD$38,'Key inputs_EB_TRA'!$C$15:$C$38,$C65,'Key inputs_EB_TRA'!$B$15:$B$38,"Pipeline - Crude oil")/SUMIFS('Key inputs_EB_TRA'!AD$15:AD$38,'Key inputs_EB_TRA'!$B$15:$B$38,"Pipeline - Crude oil")&gt;0,SUMIFS('Key inputs_EB_TRA'!AD$15:AD$38,'Key inputs_EB_TRA'!$C$15:$C$38,$C65,'Key inputs_EB_TRA'!$B$15:$B$38,"Pipeline - Crude oil")/SUMIFS('Key inputs_EB_TRA'!AD$15:AD$38,'Key inputs_EB_TRA'!$B$15:$B$38,"Pipeline - Crude oil")&lt;0.001),0.001,SUMIFS('Key inputs_EB_TRA'!AD$15:AD$38,'Key inputs_EB_TRA'!$C$15:$C$38,$C65,'Key inputs_EB_TRA'!$B$15:$B$38,"Pipeline - Crude oil")/SUMIFS('Key inputs_EB_TRA'!AD$15:AD$38,'Key inputs_EB_TRA'!$B$15:$B$38,"Pipeline - Crude oil")),"")</f>
        <v>1E-3</v>
      </c>
      <c r="AK65" s="173">
        <f>IFERROR(IF(AND(SUMIFS('Key inputs_EB_TRA'!AE$15:AE$38,'Key inputs_EB_TRA'!$C$15:$C$38,$C65,'Key inputs_EB_TRA'!$B$15:$B$38,"Pipeline - Crude oil")/SUMIFS('Key inputs_EB_TRA'!AE$15:AE$38,'Key inputs_EB_TRA'!$B$15:$B$38,"Pipeline - Crude oil")&gt;0,SUMIFS('Key inputs_EB_TRA'!AE$15:AE$38,'Key inputs_EB_TRA'!$C$15:$C$38,$C65,'Key inputs_EB_TRA'!$B$15:$B$38,"Pipeline - Crude oil")/SUMIFS('Key inputs_EB_TRA'!AE$15:AE$38,'Key inputs_EB_TRA'!$B$15:$B$38,"Pipeline - Crude oil")&lt;0.001),0.001,SUMIFS('Key inputs_EB_TRA'!AE$15:AE$38,'Key inputs_EB_TRA'!$C$15:$C$38,$C65,'Key inputs_EB_TRA'!$B$15:$B$38,"Pipeline - Crude oil")/SUMIFS('Key inputs_EB_TRA'!AE$15:AE$38,'Key inputs_EB_TRA'!$B$15:$B$38,"Pipeline - Crude oil")),"")</f>
        <v>0</v>
      </c>
      <c r="AL65" s="173">
        <f>IFERROR(IF(AND(SUMIFS('Key inputs_EB_TRA'!AF$15:AF$38,'Key inputs_EB_TRA'!$C$15:$C$38,$C65,'Key inputs_EB_TRA'!$B$15:$B$38,"Pipeline - Crude oil")/SUMIFS('Key inputs_EB_TRA'!AF$15:AF$38,'Key inputs_EB_TRA'!$B$15:$B$38,"Pipeline - Crude oil")&gt;0,SUMIFS('Key inputs_EB_TRA'!AF$15:AF$38,'Key inputs_EB_TRA'!$C$15:$C$38,$C65,'Key inputs_EB_TRA'!$B$15:$B$38,"Pipeline - Crude oil")/SUMIFS('Key inputs_EB_TRA'!AF$15:AF$38,'Key inputs_EB_TRA'!$B$15:$B$38,"Pipeline - Crude oil")&lt;0.001),0.001,SUMIFS('Key inputs_EB_TRA'!AF$15:AF$38,'Key inputs_EB_TRA'!$C$15:$C$38,$C65,'Key inputs_EB_TRA'!$B$15:$B$38,"Pipeline - Crude oil")/SUMIFS('Key inputs_EB_TRA'!AF$15:AF$38,'Key inputs_EB_TRA'!$B$15:$B$38,"Pipeline - Crude oil")),"")</f>
        <v>0</v>
      </c>
    </row>
    <row r="66" spans="1:38">
      <c r="C66" t="str">
        <f>Commodities!$C$95</f>
        <v>UPSHFO</v>
      </c>
      <c r="F66" s="4" t="s">
        <v>359</v>
      </c>
      <c r="G66" s="4" t="s">
        <v>702</v>
      </c>
      <c r="H66" t="s">
        <v>661</v>
      </c>
      <c r="I66">
        <v>2019</v>
      </c>
      <c r="J66" t="s">
        <v>650</v>
      </c>
      <c r="K66" s="263" t="str">
        <f>IFERROR(IF(AND(SUMIFS('Key inputs_EB_TRA'!E$15:E$38,'Key inputs_EB_TRA'!$C$15:$C$38,$C66,'Key inputs_EB_TRA'!$B$15:$B$38,"Pipeline - Crude oil")/SUMIFS('Key inputs_EB_TRA'!E$15:E$38,'Key inputs_EB_TRA'!$B$15:$B$38,"Pipeline - Crude oil")&gt;0,SUMIFS('Key inputs_EB_TRA'!E$15:E$38,'Key inputs_EB_TRA'!$C$15:$C$38,$C66,'Key inputs_EB_TRA'!$B$15:$B$38,"Pipeline - Crude oil")/SUMIFS('Key inputs_EB_TRA'!E$15:E$38,'Key inputs_EB_TRA'!$B$15:$B$38,"Pipeline - Crude oil")&lt;0.001),0.001,SUMIFS('Key inputs_EB_TRA'!E$15:E$38,'Key inputs_EB_TRA'!$C$15:$C$38,$C66,'Key inputs_EB_TRA'!$B$15:$B$38,"Pipeline - Crude oil")/SUMIFS('Key inputs_EB_TRA'!E$15:E$38,'Key inputs_EB_TRA'!$B$15:$B$38,"Pipeline - Crude oil")),"")</f>
        <v/>
      </c>
      <c r="L66" s="173">
        <f>IFERROR(IF(AND(SUMIFS('Key inputs_EB_TRA'!F$15:F$38,'Key inputs_EB_TRA'!$C$15:$C$38,$C66,'Key inputs_EB_TRA'!$B$15:$B$38,"Pipeline - Crude oil")/SUMIFS('Key inputs_EB_TRA'!F$15:F$38,'Key inputs_EB_TRA'!$B$15:$B$38,"Pipeline - Crude oil")&gt;0,SUMIFS('Key inputs_EB_TRA'!F$15:F$38,'Key inputs_EB_TRA'!$C$15:$C$38,$C66,'Key inputs_EB_TRA'!$B$15:$B$38,"Pipeline - Crude oil")/SUMIFS('Key inputs_EB_TRA'!F$15:F$38,'Key inputs_EB_TRA'!$B$15:$B$38,"Pipeline - Crude oil")&lt;0.001),0.001,SUMIFS('Key inputs_EB_TRA'!F$15:F$38,'Key inputs_EB_TRA'!$C$15:$C$38,$C66,'Key inputs_EB_TRA'!$B$15:$B$38,"Pipeline - Crude oil")/SUMIFS('Key inputs_EB_TRA'!F$15:F$38,'Key inputs_EB_TRA'!$B$15:$B$38,"Pipeline - Crude oil")),"")</f>
        <v>0</v>
      </c>
      <c r="M66" s="173">
        <f>IFERROR(IF(AND(SUMIFS('Key inputs_EB_TRA'!G$15:G$38,'Key inputs_EB_TRA'!$C$15:$C$38,$C66,'Key inputs_EB_TRA'!$B$15:$B$38,"Pipeline - Crude oil")/SUMIFS('Key inputs_EB_TRA'!G$15:G$38,'Key inputs_EB_TRA'!$B$15:$B$38,"Pipeline - Crude oil")&gt;0,SUMIFS('Key inputs_EB_TRA'!G$15:G$38,'Key inputs_EB_TRA'!$C$15:$C$38,$C66,'Key inputs_EB_TRA'!$B$15:$B$38,"Pipeline - Crude oil")/SUMIFS('Key inputs_EB_TRA'!G$15:G$38,'Key inputs_EB_TRA'!$B$15:$B$38,"Pipeline - Crude oil")&lt;0.001),0.001,SUMIFS('Key inputs_EB_TRA'!G$15:G$38,'Key inputs_EB_TRA'!$C$15:$C$38,$C66,'Key inputs_EB_TRA'!$B$15:$B$38,"Pipeline - Crude oil")/SUMIFS('Key inputs_EB_TRA'!G$15:G$38,'Key inputs_EB_TRA'!$B$15:$B$38,"Pipeline - Crude oil")),"")</f>
        <v>0</v>
      </c>
      <c r="N66" s="173">
        <f>IFERROR(IF(AND(SUMIFS('Key inputs_EB_TRA'!H$15:H$38,'Key inputs_EB_TRA'!$C$15:$C$38,$C66,'Key inputs_EB_TRA'!$B$15:$B$38,"Pipeline - Crude oil")/SUMIFS('Key inputs_EB_TRA'!H$15:H$38,'Key inputs_EB_TRA'!$B$15:$B$38,"Pipeline - Crude oil")&gt;0,SUMIFS('Key inputs_EB_TRA'!H$15:H$38,'Key inputs_EB_TRA'!$C$15:$C$38,$C66,'Key inputs_EB_TRA'!$B$15:$B$38,"Pipeline - Crude oil")/SUMIFS('Key inputs_EB_TRA'!H$15:H$38,'Key inputs_EB_TRA'!$B$15:$B$38,"Pipeline - Crude oil")&lt;0.001),0.001,SUMIFS('Key inputs_EB_TRA'!H$15:H$38,'Key inputs_EB_TRA'!$C$15:$C$38,$C66,'Key inputs_EB_TRA'!$B$15:$B$38,"Pipeline - Crude oil")/SUMIFS('Key inputs_EB_TRA'!H$15:H$38,'Key inputs_EB_TRA'!$B$15:$B$38,"Pipeline - Crude oil")),"")</f>
        <v>0</v>
      </c>
      <c r="O66" s="173">
        <f>IFERROR(IF(AND(SUMIFS('Key inputs_EB_TRA'!I$15:I$38,'Key inputs_EB_TRA'!$C$15:$C$38,$C66,'Key inputs_EB_TRA'!$B$15:$B$38,"Pipeline - Crude oil")/SUMIFS('Key inputs_EB_TRA'!I$15:I$38,'Key inputs_EB_TRA'!$B$15:$B$38,"Pipeline - Crude oil")&gt;0,SUMIFS('Key inputs_EB_TRA'!I$15:I$38,'Key inputs_EB_TRA'!$C$15:$C$38,$C66,'Key inputs_EB_TRA'!$B$15:$B$38,"Pipeline - Crude oil")/SUMIFS('Key inputs_EB_TRA'!I$15:I$38,'Key inputs_EB_TRA'!$B$15:$B$38,"Pipeline - Crude oil")&lt;0.001),0.001,SUMIFS('Key inputs_EB_TRA'!I$15:I$38,'Key inputs_EB_TRA'!$C$15:$C$38,$C66,'Key inputs_EB_TRA'!$B$15:$B$38,"Pipeline - Crude oil")/SUMIFS('Key inputs_EB_TRA'!I$15:I$38,'Key inputs_EB_TRA'!$B$15:$B$38,"Pipeline - Crude oil")),"")</f>
        <v>0</v>
      </c>
      <c r="P66" s="173">
        <f>IFERROR(IF(AND(SUMIFS('Key inputs_EB_TRA'!J$15:J$38,'Key inputs_EB_TRA'!$C$15:$C$38,$C66,'Key inputs_EB_TRA'!$B$15:$B$38,"Pipeline - Crude oil")/SUMIFS('Key inputs_EB_TRA'!J$15:J$38,'Key inputs_EB_TRA'!$B$15:$B$38,"Pipeline - Crude oil")&gt;0,SUMIFS('Key inputs_EB_TRA'!J$15:J$38,'Key inputs_EB_TRA'!$C$15:$C$38,$C66,'Key inputs_EB_TRA'!$B$15:$B$38,"Pipeline - Crude oil")/SUMIFS('Key inputs_EB_TRA'!J$15:J$38,'Key inputs_EB_TRA'!$B$15:$B$38,"Pipeline - Crude oil")&lt;0.001),0.001,SUMIFS('Key inputs_EB_TRA'!J$15:J$38,'Key inputs_EB_TRA'!$C$15:$C$38,$C66,'Key inputs_EB_TRA'!$B$15:$B$38,"Pipeline - Crude oil")/SUMIFS('Key inputs_EB_TRA'!J$15:J$38,'Key inputs_EB_TRA'!$B$15:$B$38,"Pipeline - Crude oil")),"")</f>
        <v>0</v>
      </c>
      <c r="Q66" s="173" t="str">
        <f>IFERROR(IF(AND(SUMIFS('Key inputs_EB_TRA'!K$15:K$38,'Key inputs_EB_TRA'!$C$15:$C$38,$C66,'Key inputs_EB_TRA'!$B$15:$B$38,"Pipeline - Crude oil")/SUMIFS('Key inputs_EB_TRA'!K$15:K$38,'Key inputs_EB_TRA'!$B$15:$B$38,"Pipeline - Crude oil")&gt;0,SUMIFS('Key inputs_EB_TRA'!K$15:K$38,'Key inputs_EB_TRA'!$C$15:$C$38,$C66,'Key inputs_EB_TRA'!$B$15:$B$38,"Pipeline - Crude oil")/SUMIFS('Key inputs_EB_TRA'!K$15:K$38,'Key inputs_EB_TRA'!$B$15:$B$38,"Pipeline - Crude oil")&lt;0.001),0.001,SUMIFS('Key inputs_EB_TRA'!K$15:K$38,'Key inputs_EB_TRA'!$C$15:$C$38,$C66,'Key inputs_EB_TRA'!$B$15:$B$38,"Pipeline - Crude oil")/SUMIFS('Key inputs_EB_TRA'!K$15:K$38,'Key inputs_EB_TRA'!$B$15:$B$38,"Pipeline - Crude oil")),"")</f>
        <v/>
      </c>
      <c r="R66" s="173" t="str">
        <f>IFERROR(IF(AND(SUMIFS('Key inputs_EB_TRA'!L$15:L$38,'Key inputs_EB_TRA'!$C$15:$C$38,$C66,'Key inputs_EB_TRA'!$B$15:$B$38,"Pipeline - Crude oil")/SUMIFS('Key inputs_EB_TRA'!L$15:L$38,'Key inputs_EB_TRA'!$B$15:$B$38,"Pipeline - Crude oil")&gt;0,SUMIFS('Key inputs_EB_TRA'!L$15:L$38,'Key inputs_EB_TRA'!$C$15:$C$38,$C66,'Key inputs_EB_TRA'!$B$15:$B$38,"Pipeline - Crude oil")/SUMIFS('Key inputs_EB_TRA'!L$15:L$38,'Key inputs_EB_TRA'!$B$15:$B$38,"Pipeline - Crude oil")&lt;0.001),0.001,SUMIFS('Key inputs_EB_TRA'!L$15:L$38,'Key inputs_EB_TRA'!$C$15:$C$38,$C66,'Key inputs_EB_TRA'!$B$15:$B$38,"Pipeline - Crude oil")/SUMIFS('Key inputs_EB_TRA'!L$15:L$38,'Key inputs_EB_TRA'!$B$15:$B$38,"Pipeline - Crude oil")),"")</f>
        <v/>
      </c>
      <c r="S66" s="173" t="str">
        <f>IFERROR(IF(AND(SUMIFS('Key inputs_EB_TRA'!M$15:M$38,'Key inputs_EB_TRA'!$C$15:$C$38,$C66,'Key inputs_EB_TRA'!$B$15:$B$38,"Pipeline - Crude oil")/SUMIFS('Key inputs_EB_TRA'!M$15:M$38,'Key inputs_EB_TRA'!$B$15:$B$38,"Pipeline - Crude oil")&gt;0,SUMIFS('Key inputs_EB_TRA'!M$15:M$38,'Key inputs_EB_TRA'!$C$15:$C$38,$C66,'Key inputs_EB_TRA'!$B$15:$B$38,"Pipeline - Crude oil")/SUMIFS('Key inputs_EB_TRA'!M$15:M$38,'Key inputs_EB_TRA'!$B$15:$B$38,"Pipeline - Crude oil")&lt;0.001),0.001,SUMIFS('Key inputs_EB_TRA'!M$15:M$38,'Key inputs_EB_TRA'!$C$15:$C$38,$C66,'Key inputs_EB_TRA'!$B$15:$B$38,"Pipeline - Crude oil")/SUMIFS('Key inputs_EB_TRA'!M$15:M$38,'Key inputs_EB_TRA'!$B$15:$B$38,"Pipeline - Crude oil")),"")</f>
        <v/>
      </c>
      <c r="T66" s="173">
        <f>IFERROR(IF(AND(SUMIFS('Key inputs_EB_TRA'!N$15:N$38,'Key inputs_EB_TRA'!$C$15:$C$38,$C66,'Key inputs_EB_TRA'!$B$15:$B$38,"Pipeline - Crude oil")/SUMIFS('Key inputs_EB_TRA'!N$15:N$38,'Key inputs_EB_TRA'!$B$15:$B$38,"Pipeline - Crude oil")&gt;0,SUMIFS('Key inputs_EB_TRA'!N$15:N$38,'Key inputs_EB_TRA'!$C$15:$C$38,$C66,'Key inputs_EB_TRA'!$B$15:$B$38,"Pipeline - Crude oil")/SUMIFS('Key inputs_EB_TRA'!N$15:N$38,'Key inputs_EB_TRA'!$B$15:$B$38,"Pipeline - Crude oil")&lt;0.001),0.001,SUMIFS('Key inputs_EB_TRA'!N$15:N$38,'Key inputs_EB_TRA'!$C$15:$C$38,$C66,'Key inputs_EB_TRA'!$B$15:$B$38,"Pipeline - Crude oil")/SUMIFS('Key inputs_EB_TRA'!N$15:N$38,'Key inputs_EB_TRA'!$B$15:$B$38,"Pipeline - Crude oil")),"")</f>
        <v>0</v>
      </c>
      <c r="U66" s="173">
        <f>IFERROR(IF(AND(SUMIFS('Key inputs_EB_TRA'!O$15:O$38,'Key inputs_EB_TRA'!$C$15:$C$38,$C66,'Key inputs_EB_TRA'!$B$15:$B$38,"Pipeline - Crude oil")/SUMIFS('Key inputs_EB_TRA'!O$15:O$38,'Key inputs_EB_TRA'!$B$15:$B$38,"Pipeline - Crude oil")&gt;0,SUMIFS('Key inputs_EB_TRA'!O$15:O$38,'Key inputs_EB_TRA'!$C$15:$C$38,$C66,'Key inputs_EB_TRA'!$B$15:$B$38,"Pipeline - Crude oil")/SUMIFS('Key inputs_EB_TRA'!O$15:O$38,'Key inputs_EB_TRA'!$B$15:$B$38,"Pipeline - Crude oil")&lt;0.001),0.001,SUMIFS('Key inputs_EB_TRA'!O$15:O$38,'Key inputs_EB_TRA'!$C$15:$C$38,$C66,'Key inputs_EB_TRA'!$B$15:$B$38,"Pipeline - Crude oil")/SUMIFS('Key inputs_EB_TRA'!O$15:O$38,'Key inputs_EB_TRA'!$B$15:$B$38,"Pipeline - Crude oil")),"")</f>
        <v>0</v>
      </c>
      <c r="V66" s="173">
        <f>IFERROR(IF(AND(SUMIFS('Key inputs_EB_TRA'!P$15:P$38,'Key inputs_EB_TRA'!$C$15:$C$38,$C66,'Key inputs_EB_TRA'!$B$15:$B$38,"Pipeline - Crude oil")/SUMIFS('Key inputs_EB_TRA'!P$15:P$38,'Key inputs_EB_TRA'!$B$15:$B$38,"Pipeline - Crude oil")&gt;0,SUMIFS('Key inputs_EB_TRA'!P$15:P$38,'Key inputs_EB_TRA'!$C$15:$C$38,$C66,'Key inputs_EB_TRA'!$B$15:$B$38,"Pipeline - Crude oil")/SUMIFS('Key inputs_EB_TRA'!P$15:P$38,'Key inputs_EB_TRA'!$B$15:$B$38,"Pipeline - Crude oil")&lt;0.001),0.001,SUMIFS('Key inputs_EB_TRA'!P$15:P$38,'Key inputs_EB_TRA'!$C$15:$C$38,$C66,'Key inputs_EB_TRA'!$B$15:$B$38,"Pipeline - Crude oil")/SUMIFS('Key inputs_EB_TRA'!P$15:P$38,'Key inputs_EB_TRA'!$B$15:$B$38,"Pipeline - Crude oil")),"")</f>
        <v>0.29224258250416463</v>
      </c>
      <c r="W66" s="173">
        <f>IFERROR(IF(AND(SUMIFS('Key inputs_EB_TRA'!Q$15:Q$38,'Key inputs_EB_TRA'!$C$15:$C$38,$C66,'Key inputs_EB_TRA'!$B$15:$B$38,"Pipeline - Crude oil")/SUMIFS('Key inputs_EB_TRA'!Q$15:Q$38,'Key inputs_EB_TRA'!$B$15:$B$38,"Pipeline - Crude oil")&gt;0,SUMIFS('Key inputs_EB_TRA'!Q$15:Q$38,'Key inputs_EB_TRA'!$C$15:$C$38,$C66,'Key inputs_EB_TRA'!$B$15:$B$38,"Pipeline - Crude oil")/SUMIFS('Key inputs_EB_TRA'!Q$15:Q$38,'Key inputs_EB_TRA'!$B$15:$B$38,"Pipeline - Crude oil")&lt;0.001),0.001,SUMIFS('Key inputs_EB_TRA'!Q$15:Q$38,'Key inputs_EB_TRA'!$C$15:$C$38,$C66,'Key inputs_EB_TRA'!$B$15:$B$38,"Pipeline - Crude oil")/SUMIFS('Key inputs_EB_TRA'!Q$15:Q$38,'Key inputs_EB_TRA'!$B$15:$B$38,"Pipeline - Crude oil")),"")</f>
        <v>0</v>
      </c>
      <c r="X66" s="173">
        <f>IFERROR(IF(AND(SUMIFS('Key inputs_EB_TRA'!R$15:R$38,'Key inputs_EB_TRA'!$C$15:$C$38,$C66,'Key inputs_EB_TRA'!$B$15:$B$38,"Pipeline - Crude oil")/SUMIFS('Key inputs_EB_TRA'!R$15:R$38,'Key inputs_EB_TRA'!$B$15:$B$38,"Pipeline - Crude oil")&gt;0,SUMIFS('Key inputs_EB_TRA'!R$15:R$38,'Key inputs_EB_TRA'!$C$15:$C$38,$C66,'Key inputs_EB_TRA'!$B$15:$B$38,"Pipeline - Crude oil")/SUMIFS('Key inputs_EB_TRA'!R$15:R$38,'Key inputs_EB_TRA'!$B$15:$B$38,"Pipeline - Crude oil")&lt;0.001),0.001,SUMIFS('Key inputs_EB_TRA'!R$15:R$38,'Key inputs_EB_TRA'!$C$15:$C$38,$C66,'Key inputs_EB_TRA'!$B$15:$B$38,"Pipeline - Crude oil")/SUMIFS('Key inputs_EB_TRA'!R$15:R$38,'Key inputs_EB_TRA'!$B$15:$B$38,"Pipeline - Crude oil")),"")</f>
        <v>0</v>
      </c>
      <c r="Y66" s="173">
        <f>IFERROR(IF(AND(SUMIFS('Key inputs_EB_TRA'!S$15:S$38,'Key inputs_EB_TRA'!$C$15:$C$38,$C66,'Key inputs_EB_TRA'!$B$15:$B$38,"Pipeline - Crude oil")/SUMIFS('Key inputs_EB_TRA'!S$15:S$38,'Key inputs_EB_TRA'!$B$15:$B$38,"Pipeline - Crude oil")&gt;0,SUMIFS('Key inputs_EB_TRA'!S$15:S$38,'Key inputs_EB_TRA'!$C$15:$C$38,$C66,'Key inputs_EB_TRA'!$B$15:$B$38,"Pipeline - Crude oil")/SUMIFS('Key inputs_EB_TRA'!S$15:S$38,'Key inputs_EB_TRA'!$B$15:$B$38,"Pipeline - Crude oil")&lt;0.001),0.001,SUMIFS('Key inputs_EB_TRA'!S$15:S$38,'Key inputs_EB_TRA'!$C$15:$C$38,$C66,'Key inputs_EB_TRA'!$B$15:$B$38,"Pipeline - Crude oil")/SUMIFS('Key inputs_EB_TRA'!S$15:S$38,'Key inputs_EB_TRA'!$B$15:$B$38,"Pipeline - Crude oil")),"")</f>
        <v>0</v>
      </c>
      <c r="Z66" s="173">
        <f>IFERROR(IF(AND(SUMIFS('Key inputs_EB_TRA'!T$15:T$38,'Key inputs_EB_TRA'!$C$15:$C$38,$C66,'Key inputs_EB_TRA'!$B$15:$B$38,"Pipeline - Crude oil")/SUMIFS('Key inputs_EB_TRA'!T$15:T$38,'Key inputs_EB_TRA'!$B$15:$B$38,"Pipeline - Crude oil")&gt;0,SUMIFS('Key inputs_EB_TRA'!T$15:T$38,'Key inputs_EB_TRA'!$C$15:$C$38,$C66,'Key inputs_EB_TRA'!$B$15:$B$38,"Pipeline - Crude oil")/SUMIFS('Key inputs_EB_TRA'!T$15:T$38,'Key inputs_EB_TRA'!$B$15:$B$38,"Pipeline - Crude oil")&lt;0.001),0.001,SUMIFS('Key inputs_EB_TRA'!T$15:T$38,'Key inputs_EB_TRA'!$C$15:$C$38,$C66,'Key inputs_EB_TRA'!$B$15:$B$38,"Pipeline - Crude oil")/SUMIFS('Key inputs_EB_TRA'!T$15:T$38,'Key inputs_EB_TRA'!$B$15:$B$38,"Pipeline - Crude oil")),"")</f>
        <v>0</v>
      </c>
      <c r="AA66" s="173">
        <f>IFERROR(IF(AND(SUMIFS('Key inputs_EB_TRA'!U$15:U$38,'Key inputs_EB_TRA'!$C$15:$C$38,$C66,'Key inputs_EB_TRA'!$B$15:$B$38,"Pipeline - Crude oil")/SUMIFS('Key inputs_EB_TRA'!U$15:U$38,'Key inputs_EB_TRA'!$B$15:$B$38,"Pipeline - Crude oil")&gt;0,SUMIFS('Key inputs_EB_TRA'!U$15:U$38,'Key inputs_EB_TRA'!$C$15:$C$38,$C66,'Key inputs_EB_TRA'!$B$15:$B$38,"Pipeline - Crude oil")/SUMIFS('Key inputs_EB_TRA'!U$15:U$38,'Key inputs_EB_TRA'!$B$15:$B$38,"Pipeline - Crude oil")&lt;0.001),0.001,SUMIFS('Key inputs_EB_TRA'!U$15:U$38,'Key inputs_EB_TRA'!$C$15:$C$38,$C66,'Key inputs_EB_TRA'!$B$15:$B$38,"Pipeline - Crude oil")/SUMIFS('Key inputs_EB_TRA'!U$15:U$38,'Key inputs_EB_TRA'!$B$15:$B$38,"Pipeline - Crude oil")),"")</f>
        <v>0</v>
      </c>
      <c r="AB66" s="173" t="str">
        <f>IFERROR(IF(AND(SUMIFS('Key inputs_EB_TRA'!V$15:V$38,'Key inputs_EB_TRA'!$C$15:$C$38,$C66,'Key inputs_EB_TRA'!$B$15:$B$38,"Pipeline - Crude oil")/SUMIFS('Key inputs_EB_TRA'!V$15:V$38,'Key inputs_EB_TRA'!$B$15:$B$38,"Pipeline - Crude oil")&gt;0,SUMIFS('Key inputs_EB_TRA'!V$15:V$38,'Key inputs_EB_TRA'!$C$15:$C$38,$C66,'Key inputs_EB_TRA'!$B$15:$B$38,"Pipeline - Crude oil")/SUMIFS('Key inputs_EB_TRA'!V$15:V$38,'Key inputs_EB_TRA'!$B$15:$B$38,"Pipeline - Crude oil")&lt;0.001),0.001,SUMIFS('Key inputs_EB_TRA'!V$15:V$38,'Key inputs_EB_TRA'!$C$15:$C$38,$C66,'Key inputs_EB_TRA'!$B$15:$B$38,"Pipeline - Crude oil")/SUMIFS('Key inputs_EB_TRA'!V$15:V$38,'Key inputs_EB_TRA'!$B$15:$B$38,"Pipeline - Crude oil")),"")</f>
        <v/>
      </c>
      <c r="AC66" s="173">
        <f>IFERROR(IF(AND(SUMIFS('Key inputs_EB_TRA'!W$15:W$38,'Key inputs_EB_TRA'!$C$15:$C$38,$C66,'Key inputs_EB_TRA'!$B$15:$B$38,"Pipeline - Crude oil")/SUMIFS('Key inputs_EB_TRA'!W$15:W$38,'Key inputs_EB_TRA'!$B$15:$B$38,"Pipeline - Crude oil")&gt;0,SUMIFS('Key inputs_EB_TRA'!W$15:W$38,'Key inputs_EB_TRA'!$C$15:$C$38,$C66,'Key inputs_EB_TRA'!$B$15:$B$38,"Pipeline - Crude oil")/SUMIFS('Key inputs_EB_TRA'!W$15:W$38,'Key inputs_EB_TRA'!$B$15:$B$38,"Pipeline - Crude oil")&lt;0.001),0.001,SUMIFS('Key inputs_EB_TRA'!W$15:W$38,'Key inputs_EB_TRA'!$C$15:$C$38,$C66,'Key inputs_EB_TRA'!$B$15:$B$38,"Pipeline - Crude oil")/SUMIFS('Key inputs_EB_TRA'!W$15:W$38,'Key inputs_EB_TRA'!$B$15:$B$38,"Pipeline - Crude oil")),"")</f>
        <v>0</v>
      </c>
      <c r="AD66" s="173" t="str">
        <f>IFERROR(IF(AND(SUMIFS('Key inputs_EB_TRA'!X$15:X$38,'Key inputs_EB_TRA'!$C$15:$C$38,$C66,'Key inputs_EB_TRA'!$B$15:$B$38,"Pipeline - Crude oil")/SUMIFS('Key inputs_EB_TRA'!X$15:X$38,'Key inputs_EB_TRA'!$B$15:$B$38,"Pipeline - Crude oil")&gt;0,SUMIFS('Key inputs_EB_TRA'!X$15:X$38,'Key inputs_EB_TRA'!$C$15:$C$38,$C66,'Key inputs_EB_TRA'!$B$15:$B$38,"Pipeline - Crude oil")/SUMIFS('Key inputs_EB_TRA'!X$15:X$38,'Key inputs_EB_TRA'!$B$15:$B$38,"Pipeline - Crude oil")&lt;0.001),0.001,SUMIFS('Key inputs_EB_TRA'!X$15:X$38,'Key inputs_EB_TRA'!$C$15:$C$38,$C66,'Key inputs_EB_TRA'!$B$15:$B$38,"Pipeline - Crude oil")/SUMIFS('Key inputs_EB_TRA'!X$15:X$38,'Key inputs_EB_TRA'!$B$15:$B$38,"Pipeline - Crude oil")),"")</f>
        <v/>
      </c>
      <c r="AE66" s="173">
        <f>IFERROR(IF(AND(SUMIFS('Key inputs_EB_TRA'!Y$15:Y$38,'Key inputs_EB_TRA'!$C$15:$C$38,$C66,'Key inputs_EB_TRA'!$B$15:$B$38,"Pipeline - Crude oil")/SUMIFS('Key inputs_EB_TRA'!Y$15:Y$38,'Key inputs_EB_TRA'!$B$15:$B$38,"Pipeline - Crude oil")&gt;0,SUMIFS('Key inputs_EB_TRA'!Y$15:Y$38,'Key inputs_EB_TRA'!$C$15:$C$38,$C66,'Key inputs_EB_TRA'!$B$15:$B$38,"Pipeline - Crude oil")/SUMIFS('Key inputs_EB_TRA'!Y$15:Y$38,'Key inputs_EB_TRA'!$B$15:$B$38,"Pipeline - Crude oil")&lt;0.001),0.001,SUMIFS('Key inputs_EB_TRA'!Y$15:Y$38,'Key inputs_EB_TRA'!$C$15:$C$38,$C66,'Key inputs_EB_TRA'!$B$15:$B$38,"Pipeline - Crude oil")/SUMIFS('Key inputs_EB_TRA'!Y$15:Y$38,'Key inputs_EB_TRA'!$B$15:$B$38,"Pipeline - Crude oil")),"")</f>
        <v>0</v>
      </c>
      <c r="AF66" s="173">
        <f>IFERROR(IF(AND(SUMIFS('Key inputs_EB_TRA'!Z$15:Z$38,'Key inputs_EB_TRA'!$C$15:$C$38,$C66,'Key inputs_EB_TRA'!$B$15:$B$38,"Pipeline - Crude oil")/SUMIFS('Key inputs_EB_TRA'!Z$15:Z$38,'Key inputs_EB_TRA'!$B$15:$B$38,"Pipeline - Crude oil")&gt;0,SUMIFS('Key inputs_EB_TRA'!Z$15:Z$38,'Key inputs_EB_TRA'!$C$15:$C$38,$C66,'Key inputs_EB_TRA'!$B$15:$B$38,"Pipeline - Crude oil")/SUMIFS('Key inputs_EB_TRA'!Z$15:Z$38,'Key inputs_EB_TRA'!$B$15:$B$38,"Pipeline - Crude oil")&lt;0.001),0.001,SUMIFS('Key inputs_EB_TRA'!Z$15:Z$38,'Key inputs_EB_TRA'!$C$15:$C$38,$C66,'Key inputs_EB_TRA'!$B$15:$B$38,"Pipeline - Crude oil")/SUMIFS('Key inputs_EB_TRA'!Z$15:Z$38,'Key inputs_EB_TRA'!$B$15:$B$38,"Pipeline - Crude oil")),"")</f>
        <v>0</v>
      </c>
      <c r="AG66" s="173">
        <f>IFERROR(IF(AND(SUMIFS('Key inputs_EB_TRA'!AA$15:AA$38,'Key inputs_EB_TRA'!$C$15:$C$38,$C66,'Key inputs_EB_TRA'!$B$15:$B$38,"Pipeline - Crude oil")/SUMIFS('Key inputs_EB_TRA'!AA$15:AA$38,'Key inputs_EB_TRA'!$B$15:$B$38,"Pipeline - Crude oil")&gt;0,SUMIFS('Key inputs_EB_TRA'!AA$15:AA$38,'Key inputs_EB_TRA'!$C$15:$C$38,$C66,'Key inputs_EB_TRA'!$B$15:$B$38,"Pipeline - Crude oil")/SUMIFS('Key inputs_EB_TRA'!AA$15:AA$38,'Key inputs_EB_TRA'!$B$15:$B$38,"Pipeline - Crude oil")&lt;0.001),0.001,SUMIFS('Key inputs_EB_TRA'!AA$15:AA$38,'Key inputs_EB_TRA'!$C$15:$C$38,$C66,'Key inputs_EB_TRA'!$B$15:$B$38,"Pipeline - Crude oil")/SUMIFS('Key inputs_EB_TRA'!AA$15:AA$38,'Key inputs_EB_TRA'!$B$15:$B$38,"Pipeline - Crude oil")),"")</f>
        <v>0</v>
      </c>
      <c r="AH66" s="173" t="str">
        <f>IFERROR(IF(AND(SUMIFS('Key inputs_EB_TRA'!AB$15:AB$38,'Key inputs_EB_TRA'!$C$15:$C$38,$C66,'Key inputs_EB_TRA'!$B$15:$B$38,"Pipeline - Crude oil")/SUMIFS('Key inputs_EB_TRA'!AB$15:AB$38,'Key inputs_EB_TRA'!$B$15:$B$38,"Pipeline - Crude oil")&gt;0,SUMIFS('Key inputs_EB_TRA'!AB$15:AB$38,'Key inputs_EB_TRA'!$C$15:$C$38,$C66,'Key inputs_EB_TRA'!$B$15:$B$38,"Pipeline - Crude oil")/SUMIFS('Key inputs_EB_TRA'!AB$15:AB$38,'Key inputs_EB_TRA'!$B$15:$B$38,"Pipeline - Crude oil")&lt;0.001),0.001,SUMIFS('Key inputs_EB_TRA'!AB$15:AB$38,'Key inputs_EB_TRA'!$C$15:$C$38,$C66,'Key inputs_EB_TRA'!$B$15:$B$38,"Pipeline - Crude oil")/SUMIFS('Key inputs_EB_TRA'!AB$15:AB$38,'Key inputs_EB_TRA'!$B$15:$B$38,"Pipeline - Crude oil")),"")</f>
        <v/>
      </c>
      <c r="AI66" s="173" t="str">
        <f>IFERROR(IF(AND(SUMIFS('Key inputs_EB_TRA'!AC$15:AC$38,'Key inputs_EB_TRA'!$C$15:$C$38,$C66,'Key inputs_EB_TRA'!$B$15:$B$38,"Pipeline - Crude oil")/SUMIFS('Key inputs_EB_TRA'!AC$15:AC$38,'Key inputs_EB_TRA'!$B$15:$B$38,"Pipeline - Crude oil")&gt;0,SUMIFS('Key inputs_EB_TRA'!AC$15:AC$38,'Key inputs_EB_TRA'!$C$15:$C$38,$C66,'Key inputs_EB_TRA'!$B$15:$B$38,"Pipeline - Crude oil")/SUMIFS('Key inputs_EB_TRA'!AC$15:AC$38,'Key inputs_EB_TRA'!$B$15:$B$38,"Pipeline - Crude oil")&lt;0.001),0.001,SUMIFS('Key inputs_EB_TRA'!AC$15:AC$38,'Key inputs_EB_TRA'!$C$15:$C$38,$C66,'Key inputs_EB_TRA'!$B$15:$B$38,"Pipeline - Crude oil")/SUMIFS('Key inputs_EB_TRA'!AC$15:AC$38,'Key inputs_EB_TRA'!$B$15:$B$38,"Pipeline - Crude oil")),"")</f>
        <v/>
      </c>
      <c r="AJ66" s="173">
        <f>IFERROR(IF(AND(SUMIFS('Key inputs_EB_TRA'!AD$15:AD$38,'Key inputs_EB_TRA'!$C$15:$C$38,$C66,'Key inputs_EB_TRA'!$B$15:$B$38,"Pipeline - Crude oil")/SUMIFS('Key inputs_EB_TRA'!AD$15:AD$38,'Key inputs_EB_TRA'!$B$15:$B$38,"Pipeline - Crude oil")&gt;0,SUMIFS('Key inputs_EB_TRA'!AD$15:AD$38,'Key inputs_EB_TRA'!$C$15:$C$38,$C66,'Key inputs_EB_TRA'!$B$15:$B$38,"Pipeline - Crude oil")/SUMIFS('Key inputs_EB_TRA'!AD$15:AD$38,'Key inputs_EB_TRA'!$B$15:$B$38,"Pipeline - Crude oil")&lt;0.001),0.001,SUMIFS('Key inputs_EB_TRA'!AD$15:AD$38,'Key inputs_EB_TRA'!$C$15:$C$38,$C66,'Key inputs_EB_TRA'!$B$15:$B$38,"Pipeline - Crude oil")/SUMIFS('Key inputs_EB_TRA'!AD$15:AD$38,'Key inputs_EB_TRA'!$B$15:$B$38,"Pipeline - Crude oil")),"")</f>
        <v>1E-3</v>
      </c>
      <c r="AK66" s="173">
        <f>IFERROR(IF(AND(SUMIFS('Key inputs_EB_TRA'!AE$15:AE$38,'Key inputs_EB_TRA'!$C$15:$C$38,$C66,'Key inputs_EB_TRA'!$B$15:$B$38,"Pipeline - Crude oil")/SUMIFS('Key inputs_EB_TRA'!AE$15:AE$38,'Key inputs_EB_TRA'!$B$15:$B$38,"Pipeline - Crude oil")&gt;0,SUMIFS('Key inputs_EB_TRA'!AE$15:AE$38,'Key inputs_EB_TRA'!$C$15:$C$38,$C66,'Key inputs_EB_TRA'!$B$15:$B$38,"Pipeline - Crude oil")/SUMIFS('Key inputs_EB_TRA'!AE$15:AE$38,'Key inputs_EB_TRA'!$B$15:$B$38,"Pipeline - Crude oil")&lt;0.001),0.001,SUMIFS('Key inputs_EB_TRA'!AE$15:AE$38,'Key inputs_EB_TRA'!$C$15:$C$38,$C66,'Key inputs_EB_TRA'!$B$15:$B$38,"Pipeline - Crude oil")/SUMIFS('Key inputs_EB_TRA'!AE$15:AE$38,'Key inputs_EB_TRA'!$B$15:$B$38,"Pipeline - Crude oil")),"")</f>
        <v>8.9285714285714288E-2</v>
      </c>
      <c r="AL66" s="173">
        <f>IFERROR(IF(AND(SUMIFS('Key inputs_EB_TRA'!AF$15:AF$38,'Key inputs_EB_TRA'!$C$15:$C$38,$C66,'Key inputs_EB_TRA'!$B$15:$B$38,"Pipeline - Crude oil")/SUMIFS('Key inputs_EB_TRA'!AF$15:AF$38,'Key inputs_EB_TRA'!$B$15:$B$38,"Pipeline - Crude oil")&gt;0,SUMIFS('Key inputs_EB_TRA'!AF$15:AF$38,'Key inputs_EB_TRA'!$C$15:$C$38,$C66,'Key inputs_EB_TRA'!$B$15:$B$38,"Pipeline - Crude oil")/SUMIFS('Key inputs_EB_TRA'!AF$15:AF$38,'Key inputs_EB_TRA'!$B$15:$B$38,"Pipeline - Crude oil")&lt;0.001),0.001,SUMIFS('Key inputs_EB_TRA'!AF$15:AF$38,'Key inputs_EB_TRA'!$C$15:$C$38,$C66,'Key inputs_EB_TRA'!$B$15:$B$38,"Pipeline - Crude oil")/SUMIFS('Key inputs_EB_TRA'!AF$15:AF$38,'Key inputs_EB_TRA'!$B$15:$B$38,"Pipeline - Crude oil")),"")</f>
        <v>0</v>
      </c>
    </row>
    <row r="67" spans="1:38">
      <c r="C67" t="str">
        <f>Commodities!$C$96</f>
        <v>UPSKER</v>
      </c>
      <c r="F67" s="4" t="s">
        <v>359</v>
      </c>
      <c r="G67" s="4" t="s">
        <v>702</v>
      </c>
      <c r="H67" t="s">
        <v>661</v>
      </c>
      <c r="I67">
        <v>2019</v>
      </c>
      <c r="J67" t="s">
        <v>650</v>
      </c>
      <c r="K67" s="263" t="str">
        <f>IFERROR(IF(AND(SUMIFS('Key inputs_EB_TRA'!E$15:E$38,'Key inputs_EB_TRA'!$C$15:$C$38,$C67,'Key inputs_EB_TRA'!$B$15:$B$38,"Pipeline - Crude oil")/SUMIFS('Key inputs_EB_TRA'!E$15:E$38,'Key inputs_EB_TRA'!$B$15:$B$38,"Pipeline - Crude oil")&gt;0,SUMIFS('Key inputs_EB_TRA'!E$15:E$38,'Key inputs_EB_TRA'!$C$15:$C$38,$C67,'Key inputs_EB_TRA'!$B$15:$B$38,"Pipeline - Crude oil")/SUMIFS('Key inputs_EB_TRA'!E$15:E$38,'Key inputs_EB_TRA'!$B$15:$B$38,"Pipeline - Crude oil")&lt;0.001),0.001,SUMIFS('Key inputs_EB_TRA'!E$15:E$38,'Key inputs_EB_TRA'!$C$15:$C$38,$C67,'Key inputs_EB_TRA'!$B$15:$B$38,"Pipeline - Crude oil")/SUMIFS('Key inputs_EB_TRA'!E$15:E$38,'Key inputs_EB_TRA'!$B$15:$B$38,"Pipeline - Crude oil")),"")</f>
        <v/>
      </c>
      <c r="L67" s="173">
        <f>IFERROR(IF(AND(SUMIFS('Key inputs_EB_TRA'!F$15:F$38,'Key inputs_EB_TRA'!$C$15:$C$38,$C67,'Key inputs_EB_TRA'!$B$15:$B$38,"Pipeline - Crude oil")/SUMIFS('Key inputs_EB_TRA'!F$15:F$38,'Key inputs_EB_TRA'!$B$15:$B$38,"Pipeline - Crude oil")&gt;0,SUMIFS('Key inputs_EB_TRA'!F$15:F$38,'Key inputs_EB_TRA'!$C$15:$C$38,$C67,'Key inputs_EB_TRA'!$B$15:$B$38,"Pipeline - Crude oil")/SUMIFS('Key inputs_EB_TRA'!F$15:F$38,'Key inputs_EB_TRA'!$B$15:$B$38,"Pipeline - Crude oil")&lt;0.001),0.001,SUMIFS('Key inputs_EB_TRA'!F$15:F$38,'Key inputs_EB_TRA'!$C$15:$C$38,$C67,'Key inputs_EB_TRA'!$B$15:$B$38,"Pipeline - Crude oil")/SUMIFS('Key inputs_EB_TRA'!F$15:F$38,'Key inputs_EB_TRA'!$B$15:$B$38,"Pipeline - Crude oil")),"")</f>
        <v>0</v>
      </c>
      <c r="M67" s="173">
        <f>IFERROR(IF(AND(SUMIFS('Key inputs_EB_TRA'!G$15:G$38,'Key inputs_EB_TRA'!$C$15:$C$38,$C67,'Key inputs_EB_TRA'!$B$15:$B$38,"Pipeline - Crude oil")/SUMIFS('Key inputs_EB_TRA'!G$15:G$38,'Key inputs_EB_TRA'!$B$15:$B$38,"Pipeline - Crude oil")&gt;0,SUMIFS('Key inputs_EB_TRA'!G$15:G$38,'Key inputs_EB_TRA'!$C$15:$C$38,$C67,'Key inputs_EB_TRA'!$B$15:$B$38,"Pipeline - Crude oil")/SUMIFS('Key inputs_EB_TRA'!G$15:G$38,'Key inputs_EB_TRA'!$B$15:$B$38,"Pipeline - Crude oil")&lt;0.001),0.001,SUMIFS('Key inputs_EB_TRA'!G$15:G$38,'Key inputs_EB_TRA'!$C$15:$C$38,$C67,'Key inputs_EB_TRA'!$B$15:$B$38,"Pipeline - Crude oil")/SUMIFS('Key inputs_EB_TRA'!G$15:G$38,'Key inputs_EB_TRA'!$B$15:$B$38,"Pipeline - Crude oil")),"")</f>
        <v>0</v>
      </c>
      <c r="N67" s="173">
        <f>IFERROR(IF(AND(SUMIFS('Key inputs_EB_TRA'!H$15:H$38,'Key inputs_EB_TRA'!$C$15:$C$38,$C67,'Key inputs_EB_TRA'!$B$15:$B$38,"Pipeline - Crude oil")/SUMIFS('Key inputs_EB_TRA'!H$15:H$38,'Key inputs_EB_TRA'!$B$15:$B$38,"Pipeline - Crude oil")&gt;0,SUMIFS('Key inputs_EB_TRA'!H$15:H$38,'Key inputs_EB_TRA'!$C$15:$C$38,$C67,'Key inputs_EB_TRA'!$B$15:$B$38,"Pipeline - Crude oil")/SUMIFS('Key inputs_EB_TRA'!H$15:H$38,'Key inputs_EB_TRA'!$B$15:$B$38,"Pipeline - Crude oil")&lt;0.001),0.001,SUMIFS('Key inputs_EB_TRA'!H$15:H$38,'Key inputs_EB_TRA'!$C$15:$C$38,$C67,'Key inputs_EB_TRA'!$B$15:$B$38,"Pipeline - Crude oil")/SUMIFS('Key inputs_EB_TRA'!H$15:H$38,'Key inputs_EB_TRA'!$B$15:$B$38,"Pipeline - Crude oil")),"")</f>
        <v>0</v>
      </c>
      <c r="O67" s="173">
        <f>IFERROR(IF(AND(SUMIFS('Key inputs_EB_TRA'!I$15:I$38,'Key inputs_EB_TRA'!$C$15:$C$38,$C67,'Key inputs_EB_TRA'!$B$15:$B$38,"Pipeline - Crude oil")/SUMIFS('Key inputs_EB_TRA'!I$15:I$38,'Key inputs_EB_TRA'!$B$15:$B$38,"Pipeline - Crude oil")&gt;0,SUMIFS('Key inputs_EB_TRA'!I$15:I$38,'Key inputs_EB_TRA'!$C$15:$C$38,$C67,'Key inputs_EB_TRA'!$B$15:$B$38,"Pipeline - Crude oil")/SUMIFS('Key inputs_EB_TRA'!I$15:I$38,'Key inputs_EB_TRA'!$B$15:$B$38,"Pipeline - Crude oil")&lt;0.001),0.001,SUMIFS('Key inputs_EB_TRA'!I$15:I$38,'Key inputs_EB_TRA'!$C$15:$C$38,$C67,'Key inputs_EB_TRA'!$B$15:$B$38,"Pipeline - Crude oil")/SUMIFS('Key inputs_EB_TRA'!I$15:I$38,'Key inputs_EB_TRA'!$B$15:$B$38,"Pipeline - Crude oil")),"")</f>
        <v>0</v>
      </c>
      <c r="P67" s="173">
        <f>IFERROR(IF(AND(SUMIFS('Key inputs_EB_TRA'!J$15:J$38,'Key inputs_EB_TRA'!$C$15:$C$38,$C67,'Key inputs_EB_TRA'!$B$15:$B$38,"Pipeline - Crude oil")/SUMIFS('Key inputs_EB_TRA'!J$15:J$38,'Key inputs_EB_TRA'!$B$15:$B$38,"Pipeline - Crude oil")&gt;0,SUMIFS('Key inputs_EB_TRA'!J$15:J$38,'Key inputs_EB_TRA'!$C$15:$C$38,$C67,'Key inputs_EB_TRA'!$B$15:$B$38,"Pipeline - Crude oil")/SUMIFS('Key inputs_EB_TRA'!J$15:J$38,'Key inputs_EB_TRA'!$B$15:$B$38,"Pipeline - Crude oil")&lt;0.001),0.001,SUMIFS('Key inputs_EB_TRA'!J$15:J$38,'Key inputs_EB_TRA'!$C$15:$C$38,$C67,'Key inputs_EB_TRA'!$B$15:$B$38,"Pipeline - Crude oil")/SUMIFS('Key inputs_EB_TRA'!J$15:J$38,'Key inputs_EB_TRA'!$B$15:$B$38,"Pipeline - Crude oil")),"")</f>
        <v>0</v>
      </c>
      <c r="Q67" s="173" t="str">
        <f>IFERROR(IF(AND(SUMIFS('Key inputs_EB_TRA'!K$15:K$38,'Key inputs_EB_TRA'!$C$15:$C$38,$C67,'Key inputs_EB_TRA'!$B$15:$B$38,"Pipeline - Crude oil")/SUMIFS('Key inputs_EB_TRA'!K$15:K$38,'Key inputs_EB_TRA'!$B$15:$B$38,"Pipeline - Crude oil")&gt;0,SUMIFS('Key inputs_EB_TRA'!K$15:K$38,'Key inputs_EB_TRA'!$C$15:$C$38,$C67,'Key inputs_EB_TRA'!$B$15:$B$38,"Pipeline - Crude oil")/SUMIFS('Key inputs_EB_TRA'!K$15:K$38,'Key inputs_EB_TRA'!$B$15:$B$38,"Pipeline - Crude oil")&lt;0.001),0.001,SUMIFS('Key inputs_EB_TRA'!K$15:K$38,'Key inputs_EB_TRA'!$C$15:$C$38,$C67,'Key inputs_EB_TRA'!$B$15:$B$38,"Pipeline - Crude oil")/SUMIFS('Key inputs_EB_TRA'!K$15:K$38,'Key inputs_EB_TRA'!$B$15:$B$38,"Pipeline - Crude oil")),"")</f>
        <v/>
      </c>
      <c r="R67" s="173" t="str">
        <f>IFERROR(IF(AND(SUMIFS('Key inputs_EB_TRA'!L$15:L$38,'Key inputs_EB_TRA'!$C$15:$C$38,$C67,'Key inputs_EB_TRA'!$B$15:$B$38,"Pipeline - Crude oil")/SUMIFS('Key inputs_EB_TRA'!L$15:L$38,'Key inputs_EB_TRA'!$B$15:$B$38,"Pipeline - Crude oil")&gt;0,SUMIFS('Key inputs_EB_TRA'!L$15:L$38,'Key inputs_EB_TRA'!$C$15:$C$38,$C67,'Key inputs_EB_TRA'!$B$15:$B$38,"Pipeline - Crude oil")/SUMIFS('Key inputs_EB_TRA'!L$15:L$38,'Key inputs_EB_TRA'!$B$15:$B$38,"Pipeline - Crude oil")&lt;0.001),0.001,SUMIFS('Key inputs_EB_TRA'!L$15:L$38,'Key inputs_EB_TRA'!$C$15:$C$38,$C67,'Key inputs_EB_TRA'!$B$15:$B$38,"Pipeline - Crude oil")/SUMIFS('Key inputs_EB_TRA'!L$15:L$38,'Key inputs_EB_TRA'!$B$15:$B$38,"Pipeline - Crude oil")),"")</f>
        <v/>
      </c>
      <c r="S67" s="173" t="str">
        <f>IFERROR(IF(AND(SUMIFS('Key inputs_EB_TRA'!M$15:M$38,'Key inputs_EB_TRA'!$C$15:$C$38,$C67,'Key inputs_EB_TRA'!$B$15:$B$38,"Pipeline - Crude oil")/SUMIFS('Key inputs_EB_TRA'!M$15:M$38,'Key inputs_EB_TRA'!$B$15:$B$38,"Pipeline - Crude oil")&gt;0,SUMIFS('Key inputs_EB_TRA'!M$15:M$38,'Key inputs_EB_TRA'!$C$15:$C$38,$C67,'Key inputs_EB_TRA'!$B$15:$B$38,"Pipeline - Crude oil")/SUMIFS('Key inputs_EB_TRA'!M$15:M$38,'Key inputs_EB_TRA'!$B$15:$B$38,"Pipeline - Crude oil")&lt;0.001),0.001,SUMIFS('Key inputs_EB_TRA'!M$15:M$38,'Key inputs_EB_TRA'!$C$15:$C$38,$C67,'Key inputs_EB_TRA'!$B$15:$B$38,"Pipeline - Crude oil")/SUMIFS('Key inputs_EB_TRA'!M$15:M$38,'Key inputs_EB_TRA'!$B$15:$B$38,"Pipeline - Crude oil")),"")</f>
        <v/>
      </c>
      <c r="T67" s="173">
        <f>IFERROR(IF(AND(SUMIFS('Key inputs_EB_TRA'!N$15:N$38,'Key inputs_EB_TRA'!$C$15:$C$38,$C67,'Key inputs_EB_TRA'!$B$15:$B$38,"Pipeline - Crude oil")/SUMIFS('Key inputs_EB_TRA'!N$15:N$38,'Key inputs_EB_TRA'!$B$15:$B$38,"Pipeline - Crude oil")&gt;0,SUMIFS('Key inputs_EB_TRA'!N$15:N$38,'Key inputs_EB_TRA'!$C$15:$C$38,$C67,'Key inputs_EB_TRA'!$B$15:$B$38,"Pipeline - Crude oil")/SUMIFS('Key inputs_EB_TRA'!N$15:N$38,'Key inputs_EB_TRA'!$B$15:$B$38,"Pipeline - Crude oil")&lt;0.001),0.001,SUMIFS('Key inputs_EB_TRA'!N$15:N$38,'Key inputs_EB_TRA'!$C$15:$C$38,$C67,'Key inputs_EB_TRA'!$B$15:$B$38,"Pipeline - Crude oil")/SUMIFS('Key inputs_EB_TRA'!N$15:N$38,'Key inputs_EB_TRA'!$B$15:$B$38,"Pipeline - Crude oil")),"")</f>
        <v>0</v>
      </c>
      <c r="U67" s="173">
        <f>IFERROR(IF(AND(SUMIFS('Key inputs_EB_TRA'!O$15:O$38,'Key inputs_EB_TRA'!$C$15:$C$38,$C67,'Key inputs_EB_TRA'!$B$15:$B$38,"Pipeline - Crude oil")/SUMIFS('Key inputs_EB_TRA'!O$15:O$38,'Key inputs_EB_TRA'!$B$15:$B$38,"Pipeline - Crude oil")&gt;0,SUMIFS('Key inputs_EB_TRA'!O$15:O$38,'Key inputs_EB_TRA'!$C$15:$C$38,$C67,'Key inputs_EB_TRA'!$B$15:$B$38,"Pipeline - Crude oil")/SUMIFS('Key inputs_EB_TRA'!O$15:O$38,'Key inputs_EB_TRA'!$B$15:$B$38,"Pipeline - Crude oil")&lt;0.001),0.001,SUMIFS('Key inputs_EB_TRA'!O$15:O$38,'Key inputs_EB_TRA'!$C$15:$C$38,$C67,'Key inputs_EB_TRA'!$B$15:$B$38,"Pipeline - Crude oil")/SUMIFS('Key inputs_EB_TRA'!O$15:O$38,'Key inputs_EB_TRA'!$B$15:$B$38,"Pipeline - Crude oil")),"")</f>
        <v>0</v>
      </c>
      <c r="V67" s="173">
        <f>IFERROR(IF(AND(SUMIFS('Key inputs_EB_TRA'!P$15:P$38,'Key inputs_EB_TRA'!$C$15:$C$38,$C67,'Key inputs_EB_TRA'!$B$15:$B$38,"Pipeline - Crude oil")/SUMIFS('Key inputs_EB_TRA'!P$15:P$38,'Key inputs_EB_TRA'!$B$15:$B$38,"Pipeline - Crude oil")&gt;0,SUMIFS('Key inputs_EB_TRA'!P$15:P$38,'Key inputs_EB_TRA'!$C$15:$C$38,$C67,'Key inputs_EB_TRA'!$B$15:$B$38,"Pipeline - Crude oil")/SUMIFS('Key inputs_EB_TRA'!P$15:P$38,'Key inputs_EB_TRA'!$B$15:$B$38,"Pipeline - Crude oil")&lt;0.001),0.001,SUMIFS('Key inputs_EB_TRA'!P$15:P$38,'Key inputs_EB_TRA'!$C$15:$C$38,$C67,'Key inputs_EB_TRA'!$B$15:$B$38,"Pipeline - Crude oil")/SUMIFS('Key inputs_EB_TRA'!P$15:P$38,'Key inputs_EB_TRA'!$B$15:$B$38,"Pipeline - Crude oil")),"")</f>
        <v>0</v>
      </c>
      <c r="W67" s="173">
        <f>IFERROR(IF(AND(SUMIFS('Key inputs_EB_TRA'!Q$15:Q$38,'Key inputs_EB_TRA'!$C$15:$C$38,$C67,'Key inputs_EB_TRA'!$B$15:$B$38,"Pipeline - Crude oil")/SUMIFS('Key inputs_EB_TRA'!Q$15:Q$38,'Key inputs_EB_TRA'!$B$15:$B$38,"Pipeline - Crude oil")&gt;0,SUMIFS('Key inputs_EB_TRA'!Q$15:Q$38,'Key inputs_EB_TRA'!$C$15:$C$38,$C67,'Key inputs_EB_TRA'!$B$15:$B$38,"Pipeline - Crude oil")/SUMIFS('Key inputs_EB_TRA'!Q$15:Q$38,'Key inputs_EB_TRA'!$B$15:$B$38,"Pipeline - Crude oil")&lt;0.001),0.001,SUMIFS('Key inputs_EB_TRA'!Q$15:Q$38,'Key inputs_EB_TRA'!$C$15:$C$38,$C67,'Key inputs_EB_TRA'!$B$15:$B$38,"Pipeline - Crude oil")/SUMIFS('Key inputs_EB_TRA'!Q$15:Q$38,'Key inputs_EB_TRA'!$B$15:$B$38,"Pipeline - Crude oil")),"")</f>
        <v>0</v>
      </c>
      <c r="X67" s="173">
        <f>IFERROR(IF(AND(SUMIFS('Key inputs_EB_TRA'!R$15:R$38,'Key inputs_EB_TRA'!$C$15:$C$38,$C67,'Key inputs_EB_TRA'!$B$15:$B$38,"Pipeline - Crude oil")/SUMIFS('Key inputs_EB_TRA'!R$15:R$38,'Key inputs_EB_TRA'!$B$15:$B$38,"Pipeline - Crude oil")&gt;0,SUMIFS('Key inputs_EB_TRA'!R$15:R$38,'Key inputs_EB_TRA'!$C$15:$C$38,$C67,'Key inputs_EB_TRA'!$B$15:$B$38,"Pipeline - Crude oil")/SUMIFS('Key inputs_EB_TRA'!R$15:R$38,'Key inputs_EB_TRA'!$B$15:$B$38,"Pipeline - Crude oil")&lt;0.001),0.001,SUMIFS('Key inputs_EB_TRA'!R$15:R$38,'Key inputs_EB_TRA'!$C$15:$C$38,$C67,'Key inputs_EB_TRA'!$B$15:$B$38,"Pipeline - Crude oil")/SUMIFS('Key inputs_EB_TRA'!R$15:R$38,'Key inputs_EB_TRA'!$B$15:$B$38,"Pipeline - Crude oil")),"")</f>
        <v>0</v>
      </c>
      <c r="Y67" s="173">
        <f>IFERROR(IF(AND(SUMIFS('Key inputs_EB_TRA'!S$15:S$38,'Key inputs_EB_TRA'!$C$15:$C$38,$C67,'Key inputs_EB_TRA'!$B$15:$B$38,"Pipeline - Crude oil")/SUMIFS('Key inputs_EB_TRA'!S$15:S$38,'Key inputs_EB_TRA'!$B$15:$B$38,"Pipeline - Crude oil")&gt;0,SUMIFS('Key inputs_EB_TRA'!S$15:S$38,'Key inputs_EB_TRA'!$C$15:$C$38,$C67,'Key inputs_EB_TRA'!$B$15:$B$38,"Pipeline - Crude oil")/SUMIFS('Key inputs_EB_TRA'!S$15:S$38,'Key inputs_EB_TRA'!$B$15:$B$38,"Pipeline - Crude oil")&lt;0.001),0.001,SUMIFS('Key inputs_EB_TRA'!S$15:S$38,'Key inputs_EB_TRA'!$C$15:$C$38,$C67,'Key inputs_EB_TRA'!$B$15:$B$38,"Pipeline - Crude oil")/SUMIFS('Key inputs_EB_TRA'!S$15:S$38,'Key inputs_EB_TRA'!$B$15:$B$38,"Pipeline - Crude oil")),"")</f>
        <v>0</v>
      </c>
      <c r="Z67" s="173">
        <f>IFERROR(IF(AND(SUMIFS('Key inputs_EB_TRA'!T$15:T$38,'Key inputs_EB_TRA'!$C$15:$C$38,$C67,'Key inputs_EB_TRA'!$B$15:$B$38,"Pipeline - Crude oil")/SUMIFS('Key inputs_EB_TRA'!T$15:T$38,'Key inputs_EB_TRA'!$B$15:$B$38,"Pipeline - Crude oil")&gt;0,SUMIFS('Key inputs_EB_TRA'!T$15:T$38,'Key inputs_EB_TRA'!$C$15:$C$38,$C67,'Key inputs_EB_TRA'!$B$15:$B$38,"Pipeline - Crude oil")/SUMIFS('Key inputs_EB_TRA'!T$15:T$38,'Key inputs_EB_TRA'!$B$15:$B$38,"Pipeline - Crude oil")&lt;0.001),0.001,SUMIFS('Key inputs_EB_TRA'!T$15:T$38,'Key inputs_EB_TRA'!$C$15:$C$38,$C67,'Key inputs_EB_TRA'!$B$15:$B$38,"Pipeline - Crude oil")/SUMIFS('Key inputs_EB_TRA'!T$15:T$38,'Key inputs_EB_TRA'!$B$15:$B$38,"Pipeline - Crude oil")),"")</f>
        <v>0</v>
      </c>
      <c r="AA67" s="173">
        <f>IFERROR(IF(AND(SUMIFS('Key inputs_EB_TRA'!U$15:U$38,'Key inputs_EB_TRA'!$C$15:$C$38,$C67,'Key inputs_EB_TRA'!$B$15:$B$38,"Pipeline - Crude oil")/SUMIFS('Key inputs_EB_TRA'!U$15:U$38,'Key inputs_EB_TRA'!$B$15:$B$38,"Pipeline - Crude oil")&gt;0,SUMIFS('Key inputs_EB_TRA'!U$15:U$38,'Key inputs_EB_TRA'!$C$15:$C$38,$C67,'Key inputs_EB_TRA'!$B$15:$B$38,"Pipeline - Crude oil")/SUMIFS('Key inputs_EB_TRA'!U$15:U$38,'Key inputs_EB_TRA'!$B$15:$B$38,"Pipeline - Crude oil")&lt;0.001),0.001,SUMIFS('Key inputs_EB_TRA'!U$15:U$38,'Key inputs_EB_TRA'!$C$15:$C$38,$C67,'Key inputs_EB_TRA'!$B$15:$B$38,"Pipeline - Crude oil")/SUMIFS('Key inputs_EB_TRA'!U$15:U$38,'Key inputs_EB_TRA'!$B$15:$B$38,"Pipeline - Crude oil")),"")</f>
        <v>0</v>
      </c>
      <c r="AB67" s="173" t="str">
        <f>IFERROR(IF(AND(SUMIFS('Key inputs_EB_TRA'!V$15:V$38,'Key inputs_EB_TRA'!$C$15:$C$38,$C67,'Key inputs_EB_TRA'!$B$15:$B$38,"Pipeline - Crude oil")/SUMIFS('Key inputs_EB_TRA'!V$15:V$38,'Key inputs_EB_TRA'!$B$15:$B$38,"Pipeline - Crude oil")&gt;0,SUMIFS('Key inputs_EB_TRA'!V$15:V$38,'Key inputs_EB_TRA'!$C$15:$C$38,$C67,'Key inputs_EB_TRA'!$B$15:$B$38,"Pipeline - Crude oil")/SUMIFS('Key inputs_EB_TRA'!V$15:V$38,'Key inputs_EB_TRA'!$B$15:$B$38,"Pipeline - Crude oil")&lt;0.001),0.001,SUMIFS('Key inputs_EB_TRA'!V$15:V$38,'Key inputs_EB_TRA'!$C$15:$C$38,$C67,'Key inputs_EB_TRA'!$B$15:$B$38,"Pipeline - Crude oil")/SUMIFS('Key inputs_EB_TRA'!V$15:V$38,'Key inputs_EB_TRA'!$B$15:$B$38,"Pipeline - Crude oil")),"")</f>
        <v/>
      </c>
      <c r="AC67" s="173">
        <f>IFERROR(IF(AND(SUMIFS('Key inputs_EB_TRA'!W$15:W$38,'Key inputs_EB_TRA'!$C$15:$C$38,$C67,'Key inputs_EB_TRA'!$B$15:$B$38,"Pipeline - Crude oil")/SUMIFS('Key inputs_EB_TRA'!W$15:W$38,'Key inputs_EB_TRA'!$B$15:$B$38,"Pipeline - Crude oil")&gt;0,SUMIFS('Key inputs_EB_TRA'!W$15:W$38,'Key inputs_EB_TRA'!$C$15:$C$38,$C67,'Key inputs_EB_TRA'!$B$15:$B$38,"Pipeline - Crude oil")/SUMIFS('Key inputs_EB_TRA'!W$15:W$38,'Key inputs_EB_TRA'!$B$15:$B$38,"Pipeline - Crude oil")&lt;0.001),0.001,SUMIFS('Key inputs_EB_TRA'!W$15:W$38,'Key inputs_EB_TRA'!$C$15:$C$38,$C67,'Key inputs_EB_TRA'!$B$15:$B$38,"Pipeline - Crude oil")/SUMIFS('Key inputs_EB_TRA'!W$15:W$38,'Key inputs_EB_TRA'!$B$15:$B$38,"Pipeline - Crude oil")),"")</f>
        <v>0</v>
      </c>
      <c r="AD67" s="173" t="str">
        <f>IFERROR(IF(AND(SUMIFS('Key inputs_EB_TRA'!X$15:X$38,'Key inputs_EB_TRA'!$C$15:$C$38,$C67,'Key inputs_EB_TRA'!$B$15:$B$38,"Pipeline - Crude oil")/SUMIFS('Key inputs_EB_TRA'!X$15:X$38,'Key inputs_EB_TRA'!$B$15:$B$38,"Pipeline - Crude oil")&gt;0,SUMIFS('Key inputs_EB_TRA'!X$15:X$38,'Key inputs_EB_TRA'!$C$15:$C$38,$C67,'Key inputs_EB_TRA'!$B$15:$B$38,"Pipeline - Crude oil")/SUMIFS('Key inputs_EB_TRA'!X$15:X$38,'Key inputs_EB_TRA'!$B$15:$B$38,"Pipeline - Crude oil")&lt;0.001),0.001,SUMIFS('Key inputs_EB_TRA'!X$15:X$38,'Key inputs_EB_TRA'!$C$15:$C$38,$C67,'Key inputs_EB_TRA'!$B$15:$B$38,"Pipeline - Crude oil")/SUMIFS('Key inputs_EB_TRA'!X$15:X$38,'Key inputs_EB_TRA'!$B$15:$B$38,"Pipeline - Crude oil")),"")</f>
        <v/>
      </c>
      <c r="AE67" s="173">
        <f>IFERROR(IF(AND(SUMIFS('Key inputs_EB_TRA'!Y$15:Y$38,'Key inputs_EB_TRA'!$C$15:$C$38,$C67,'Key inputs_EB_TRA'!$B$15:$B$38,"Pipeline - Crude oil")/SUMIFS('Key inputs_EB_TRA'!Y$15:Y$38,'Key inputs_EB_TRA'!$B$15:$B$38,"Pipeline - Crude oil")&gt;0,SUMIFS('Key inputs_EB_TRA'!Y$15:Y$38,'Key inputs_EB_TRA'!$C$15:$C$38,$C67,'Key inputs_EB_TRA'!$B$15:$B$38,"Pipeline - Crude oil")/SUMIFS('Key inputs_EB_TRA'!Y$15:Y$38,'Key inputs_EB_TRA'!$B$15:$B$38,"Pipeline - Crude oil")&lt;0.001),0.001,SUMIFS('Key inputs_EB_TRA'!Y$15:Y$38,'Key inputs_EB_TRA'!$C$15:$C$38,$C67,'Key inputs_EB_TRA'!$B$15:$B$38,"Pipeline - Crude oil")/SUMIFS('Key inputs_EB_TRA'!Y$15:Y$38,'Key inputs_EB_TRA'!$B$15:$B$38,"Pipeline - Crude oil")),"")</f>
        <v>0</v>
      </c>
      <c r="AF67" s="173">
        <f>IFERROR(IF(AND(SUMIFS('Key inputs_EB_TRA'!Z$15:Z$38,'Key inputs_EB_TRA'!$C$15:$C$38,$C67,'Key inputs_EB_TRA'!$B$15:$B$38,"Pipeline - Crude oil")/SUMIFS('Key inputs_EB_TRA'!Z$15:Z$38,'Key inputs_EB_TRA'!$B$15:$B$38,"Pipeline - Crude oil")&gt;0,SUMIFS('Key inputs_EB_TRA'!Z$15:Z$38,'Key inputs_EB_TRA'!$C$15:$C$38,$C67,'Key inputs_EB_TRA'!$B$15:$B$38,"Pipeline - Crude oil")/SUMIFS('Key inputs_EB_TRA'!Z$15:Z$38,'Key inputs_EB_TRA'!$B$15:$B$38,"Pipeline - Crude oil")&lt;0.001),0.001,SUMIFS('Key inputs_EB_TRA'!Z$15:Z$38,'Key inputs_EB_TRA'!$C$15:$C$38,$C67,'Key inputs_EB_TRA'!$B$15:$B$38,"Pipeline - Crude oil")/SUMIFS('Key inputs_EB_TRA'!Z$15:Z$38,'Key inputs_EB_TRA'!$B$15:$B$38,"Pipeline - Crude oil")),"")</f>
        <v>0</v>
      </c>
      <c r="AG67" s="173">
        <f>IFERROR(IF(AND(SUMIFS('Key inputs_EB_TRA'!AA$15:AA$38,'Key inputs_EB_TRA'!$C$15:$C$38,$C67,'Key inputs_EB_TRA'!$B$15:$B$38,"Pipeline - Crude oil")/SUMIFS('Key inputs_EB_TRA'!AA$15:AA$38,'Key inputs_EB_TRA'!$B$15:$B$38,"Pipeline - Crude oil")&gt;0,SUMIFS('Key inputs_EB_TRA'!AA$15:AA$38,'Key inputs_EB_TRA'!$C$15:$C$38,$C67,'Key inputs_EB_TRA'!$B$15:$B$38,"Pipeline - Crude oil")/SUMIFS('Key inputs_EB_TRA'!AA$15:AA$38,'Key inputs_EB_TRA'!$B$15:$B$38,"Pipeline - Crude oil")&lt;0.001),0.001,SUMIFS('Key inputs_EB_TRA'!AA$15:AA$38,'Key inputs_EB_TRA'!$C$15:$C$38,$C67,'Key inputs_EB_TRA'!$B$15:$B$38,"Pipeline - Crude oil")/SUMIFS('Key inputs_EB_TRA'!AA$15:AA$38,'Key inputs_EB_TRA'!$B$15:$B$38,"Pipeline - Crude oil")),"")</f>
        <v>6.0644860900942843E-2</v>
      </c>
      <c r="AH67" s="173" t="str">
        <f>IFERROR(IF(AND(SUMIFS('Key inputs_EB_TRA'!AB$15:AB$38,'Key inputs_EB_TRA'!$C$15:$C$38,$C67,'Key inputs_EB_TRA'!$B$15:$B$38,"Pipeline - Crude oil")/SUMIFS('Key inputs_EB_TRA'!AB$15:AB$38,'Key inputs_EB_TRA'!$B$15:$B$38,"Pipeline - Crude oil")&gt;0,SUMIFS('Key inputs_EB_TRA'!AB$15:AB$38,'Key inputs_EB_TRA'!$C$15:$C$38,$C67,'Key inputs_EB_TRA'!$B$15:$B$38,"Pipeline - Crude oil")/SUMIFS('Key inputs_EB_TRA'!AB$15:AB$38,'Key inputs_EB_TRA'!$B$15:$B$38,"Pipeline - Crude oil")&lt;0.001),0.001,SUMIFS('Key inputs_EB_TRA'!AB$15:AB$38,'Key inputs_EB_TRA'!$C$15:$C$38,$C67,'Key inputs_EB_TRA'!$B$15:$B$38,"Pipeline - Crude oil")/SUMIFS('Key inputs_EB_TRA'!AB$15:AB$38,'Key inputs_EB_TRA'!$B$15:$B$38,"Pipeline - Crude oil")),"")</f>
        <v/>
      </c>
      <c r="AI67" s="173" t="str">
        <f>IFERROR(IF(AND(SUMIFS('Key inputs_EB_TRA'!AC$15:AC$38,'Key inputs_EB_TRA'!$C$15:$C$38,$C67,'Key inputs_EB_TRA'!$B$15:$B$38,"Pipeline - Crude oil")/SUMIFS('Key inputs_EB_TRA'!AC$15:AC$38,'Key inputs_EB_TRA'!$B$15:$B$38,"Pipeline - Crude oil")&gt;0,SUMIFS('Key inputs_EB_TRA'!AC$15:AC$38,'Key inputs_EB_TRA'!$C$15:$C$38,$C67,'Key inputs_EB_TRA'!$B$15:$B$38,"Pipeline - Crude oil")/SUMIFS('Key inputs_EB_TRA'!AC$15:AC$38,'Key inputs_EB_TRA'!$B$15:$B$38,"Pipeline - Crude oil")&lt;0.001),0.001,SUMIFS('Key inputs_EB_TRA'!AC$15:AC$38,'Key inputs_EB_TRA'!$C$15:$C$38,$C67,'Key inputs_EB_TRA'!$B$15:$B$38,"Pipeline - Crude oil")/SUMIFS('Key inputs_EB_TRA'!AC$15:AC$38,'Key inputs_EB_TRA'!$B$15:$B$38,"Pipeline - Crude oil")),"")</f>
        <v/>
      </c>
      <c r="AJ67" s="173">
        <f>IFERROR(IF(AND(SUMIFS('Key inputs_EB_TRA'!AD$15:AD$38,'Key inputs_EB_TRA'!$C$15:$C$38,$C67,'Key inputs_EB_TRA'!$B$15:$B$38,"Pipeline - Crude oil")/SUMIFS('Key inputs_EB_TRA'!AD$15:AD$38,'Key inputs_EB_TRA'!$B$15:$B$38,"Pipeline - Crude oil")&gt;0,SUMIFS('Key inputs_EB_TRA'!AD$15:AD$38,'Key inputs_EB_TRA'!$C$15:$C$38,$C67,'Key inputs_EB_TRA'!$B$15:$B$38,"Pipeline - Crude oil")/SUMIFS('Key inputs_EB_TRA'!AD$15:AD$38,'Key inputs_EB_TRA'!$B$15:$B$38,"Pipeline - Crude oil")&lt;0.001),0.001,SUMIFS('Key inputs_EB_TRA'!AD$15:AD$38,'Key inputs_EB_TRA'!$C$15:$C$38,$C67,'Key inputs_EB_TRA'!$B$15:$B$38,"Pipeline - Crude oil")/SUMIFS('Key inputs_EB_TRA'!AD$15:AD$38,'Key inputs_EB_TRA'!$B$15:$B$38,"Pipeline - Crude oil")),"")</f>
        <v>0</v>
      </c>
      <c r="AK67" s="173">
        <f>IFERROR(IF(AND(SUMIFS('Key inputs_EB_TRA'!AE$15:AE$38,'Key inputs_EB_TRA'!$C$15:$C$38,$C67,'Key inputs_EB_TRA'!$B$15:$B$38,"Pipeline - Crude oil")/SUMIFS('Key inputs_EB_TRA'!AE$15:AE$38,'Key inputs_EB_TRA'!$B$15:$B$38,"Pipeline - Crude oil")&gt;0,SUMIFS('Key inputs_EB_TRA'!AE$15:AE$38,'Key inputs_EB_TRA'!$C$15:$C$38,$C67,'Key inputs_EB_TRA'!$B$15:$B$38,"Pipeline - Crude oil")/SUMIFS('Key inputs_EB_TRA'!AE$15:AE$38,'Key inputs_EB_TRA'!$B$15:$B$38,"Pipeline - Crude oil")&lt;0.001),0.001,SUMIFS('Key inputs_EB_TRA'!AE$15:AE$38,'Key inputs_EB_TRA'!$C$15:$C$38,$C67,'Key inputs_EB_TRA'!$B$15:$B$38,"Pipeline - Crude oil")/SUMIFS('Key inputs_EB_TRA'!AE$15:AE$38,'Key inputs_EB_TRA'!$B$15:$B$38,"Pipeline - Crude oil")),"")</f>
        <v>0</v>
      </c>
      <c r="AL67" s="173">
        <f>IFERROR(IF(AND(SUMIFS('Key inputs_EB_TRA'!AF$15:AF$38,'Key inputs_EB_TRA'!$C$15:$C$38,$C67,'Key inputs_EB_TRA'!$B$15:$B$38,"Pipeline - Crude oil")/SUMIFS('Key inputs_EB_TRA'!AF$15:AF$38,'Key inputs_EB_TRA'!$B$15:$B$38,"Pipeline - Crude oil")&gt;0,SUMIFS('Key inputs_EB_TRA'!AF$15:AF$38,'Key inputs_EB_TRA'!$C$15:$C$38,$C67,'Key inputs_EB_TRA'!$B$15:$B$38,"Pipeline - Crude oil")/SUMIFS('Key inputs_EB_TRA'!AF$15:AF$38,'Key inputs_EB_TRA'!$B$15:$B$38,"Pipeline - Crude oil")&lt;0.001),0.001,SUMIFS('Key inputs_EB_TRA'!AF$15:AF$38,'Key inputs_EB_TRA'!$C$15:$C$38,$C67,'Key inputs_EB_TRA'!$B$15:$B$38,"Pipeline - Crude oil")/SUMIFS('Key inputs_EB_TRA'!AF$15:AF$38,'Key inputs_EB_TRA'!$B$15:$B$38,"Pipeline - Crude oil")),"")</f>
        <v>0</v>
      </c>
    </row>
    <row r="68" spans="1:38">
      <c r="C68" t="str">
        <f>Commodities!$C$97</f>
        <v>UPSLPG</v>
      </c>
      <c r="F68" s="4" t="s">
        <v>359</v>
      </c>
      <c r="G68" s="4" t="s">
        <v>702</v>
      </c>
      <c r="H68" t="s">
        <v>661</v>
      </c>
      <c r="I68">
        <v>2019</v>
      </c>
      <c r="J68" t="s">
        <v>650</v>
      </c>
      <c r="K68" s="263" t="str">
        <f>IFERROR(IF(AND(SUMIFS('Key inputs_EB_TRA'!E$15:E$38,'Key inputs_EB_TRA'!$C$15:$C$38,$C68,'Key inputs_EB_TRA'!$B$15:$B$38,"Pipeline - Crude oil")/SUMIFS('Key inputs_EB_TRA'!E$15:E$38,'Key inputs_EB_TRA'!$B$15:$B$38,"Pipeline - Crude oil")&gt;0,SUMIFS('Key inputs_EB_TRA'!E$15:E$38,'Key inputs_EB_TRA'!$C$15:$C$38,$C68,'Key inputs_EB_TRA'!$B$15:$B$38,"Pipeline - Crude oil")/SUMIFS('Key inputs_EB_TRA'!E$15:E$38,'Key inputs_EB_TRA'!$B$15:$B$38,"Pipeline - Crude oil")&lt;0.001),0.001,SUMIFS('Key inputs_EB_TRA'!E$15:E$38,'Key inputs_EB_TRA'!$C$15:$C$38,$C68,'Key inputs_EB_TRA'!$B$15:$B$38,"Pipeline - Crude oil")/SUMIFS('Key inputs_EB_TRA'!E$15:E$38,'Key inputs_EB_TRA'!$B$15:$B$38,"Pipeline - Crude oil")),"")</f>
        <v/>
      </c>
      <c r="L68" s="173">
        <f>IFERROR(IF(AND(SUMIFS('Key inputs_EB_TRA'!F$15:F$38,'Key inputs_EB_TRA'!$C$15:$C$38,$C68,'Key inputs_EB_TRA'!$B$15:$B$38,"Pipeline - Crude oil")/SUMIFS('Key inputs_EB_TRA'!F$15:F$38,'Key inputs_EB_TRA'!$B$15:$B$38,"Pipeline - Crude oil")&gt;0,SUMIFS('Key inputs_EB_TRA'!F$15:F$38,'Key inputs_EB_TRA'!$C$15:$C$38,$C68,'Key inputs_EB_TRA'!$B$15:$B$38,"Pipeline - Crude oil")/SUMIFS('Key inputs_EB_TRA'!F$15:F$38,'Key inputs_EB_TRA'!$B$15:$B$38,"Pipeline - Crude oil")&lt;0.001),0.001,SUMIFS('Key inputs_EB_TRA'!F$15:F$38,'Key inputs_EB_TRA'!$C$15:$C$38,$C68,'Key inputs_EB_TRA'!$B$15:$B$38,"Pipeline - Crude oil")/SUMIFS('Key inputs_EB_TRA'!F$15:F$38,'Key inputs_EB_TRA'!$B$15:$B$38,"Pipeline - Crude oil")),"")</f>
        <v>0</v>
      </c>
      <c r="M68" s="173">
        <f>IFERROR(IF(AND(SUMIFS('Key inputs_EB_TRA'!G$15:G$38,'Key inputs_EB_TRA'!$C$15:$C$38,$C68,'Key inputs_EB_TRA'!$B$15:$B$38,"Pipeline - Crude oil")/SUMIFS('Key inputs_EB_TRA'!G$15:G$38,'Key inputs_EB_TRA'!$B$15:$B$38,"Pipeline - Crude oil")&gt;0,SUMIFS('Key inputs_EB_TRA'!G$15:G$38,'Key inputs_EB_TRA'!$C$15:$C$38,$C68,'Key inputs_EB_TRA'!$B$15:$B$38,"Pipeline - Crude oil")/SUMIFS('Key inputs_EB_TRA'!G$15:G$38,'Key inputs_EB_TRA'!$B$15:$B$38,"Pipeline - Crude oil")&lt;0.001),0.001,SUMIFS('Key inputs_EB_TRA'!G$15:G$38,'Key inputs_EB_TRA'!$C$15:$C$38,$C68,'Key inputs_EB_TRA'!$B$15:$B$38,"Pipeline - Crude oil")/SUMIFS('Key inputs_EB_TRA'!G$15:G$38,'Key inputs_EB_TRA'!$B$15:$B$38,"Pipeline - Crude oil")),"")</f>
        <v>0</v>
      </c>
      <c r="N68" s="173">
        <f>IFERROR(IF(AND(SUMIFS('Key inputs_EB_TRA'!H$15:H$38,'Key inputs_EB_TRA'!$C$15:$C$38,$C68,'Key inputs_EB_TRA'!$B$15:$B$38,"Pipeline - Crude oil")/SUMIFS('Key inputs_EB_TRA'!H$15:H$38,'Key inputs_EB_TRA'!$B$15:$B$38,"Pipeline - Crude oil")&gt;0,SUMIFS('Key inputs_EB_TRA'!H$15:H$38,'Key inputs_EB_TRA'!$C$15:$C$38,$C68,'Key inputs_EB_TRA'!$B$15:$B$38,"Pipeline - Crude oil")/SUMIFS('Key inputs_EB_TRA'!H$15:H$38,'Key inputs_EB_TRA'!$B$15:$B$38,"Pipeline - Crude oil")&lt;0.001),0.001,SUMIFS('Key inputs_EB_TRA'!H$15:H$38,'Key inputs_EB_TRA'!$C$15:$C$38,$C68,'Key inputs_EB_TRA'!$B$15:$B$38,"Pipeline - Crude oil")/SUMIFS('Key inputs_EB_TRA'!H$15:H$38,'Key inputs_EB_TRA'!$B$15:$B$38,"Pipeline - Crude oil")),"")</f>
        <v>6.1028770706190059E-3</v>
      </c>
      <c r="O68" s="173">
        <f>IFERROR(IF(AND(SUMIFS('Key inputs_EB_TRA'!I$15:I$38,'Key inputs_EB_TRA'!$C$15:$C$38,$C68,'Key inputs_EB_TRA'!$B$15:$B$38,"Pipeline - Crude oil")/SUMIFS('Key inputs_EB_TRA'!I$15:I$38,'Key inputs_EB_TRA'!$B$15:$B$38,"Pipeline - Crude oil")&gt;0,SUMIFS('Key inputs_EB_TRA'!I$15:I$38,'Key inputs_EB_TRA'!$C$15:$C$38,$C68,'Key inputs_EB_TRA'!$B$15:$B$38,"Pipeline - Crude oil")/SUMIFS('Key inputs_EB_TRA'!I$15:I$38,'Key inputs_EB_TRA'!$B$15:$B$38,"Pipeline - Crude oil")&lt;0.001),0.001,SUMIFS('Key inputs_EB_TRA'!I$15:I$38,'Key inputs_EB_TRA'!$C$15:$C$38,$C68,'Key inputs_EB_TRA'!$B$15:$B$38,"Pipeline - Crude oil")/SUMIFS('Key inputs_EB_TRA'!I$15:I$38,'Key inputs_EB_TRA'!$B$15:$B$38,"Pipeline - Crude oil")),"")</f>
        <v>0</v>
      </c>
      <c r="P68" s="173">
        <f>IFERROR(IF(AND(SUMIFS('Key inputs_EB_TRA'!J$15:J$38,'Key inputs_EB_TRA'!$C$15:$C$38,$C68,'Key inputs_EB_TRA'!$B$15:$B$38,"Pipeline - Crude oil")/SUMIFS('Key inputs_EB_TRA'!J$15:J$38,'Key inputs_EB_TRA'!$B$15:$B$38,"Pipeline - Crude oil")&gt;0,SUMIFS('Key inputs_EB_TRA'!J$15:J$38,'Key inputs_EB_TRA'!$C$15:$C$38,$C68,'Key inputs_EB_TRA'!$B$15:$B$38,"Pipeline - Crude oil")/SUMIFS('Key inputs_EB_TRA'!J$15:J$38,'Key inputs_EB_TRA'!$B$15:$B$38,"Pipeline - Crude oil")&lt;0.001),0.001,SUMIFS('Key inputs_EB_TRA'!J$15:J$38,'Key inputs_EB_TRA'!$C$15:$C$38,$C68,'Key inputs_EB_TRA'!$B$15:$B$38,"Pipeline - Crude oil")/SUMIFS('Key inputs_EB_TRA'!J$15:J$38,'Key inputs_EB_TRA'!$B$15:$B$38,"Pipeline - Crude oil")),"")</f>
        <v>0</v>
      </c>
      <c r="Q68" s="173" t="str">
        <f>IFERROR(IF(AND(SUMIFS('Key inputs_EB_TRA'!K$15:K$38,'Key inputs_EB_TRA'!$C$15:$C$38,$C68,'Key inputs_EB_TRA'!$B$15:$B$38,"Pipeline - Crude oil")/SUMIFS('Key inputs_EB_TRA'!K$15:K$38,'Key inputs_EB_TRA'!$B$15:$B$38,"Pipeline - Crude oil")&gt;0,SUMIFS('Key inputs_EB_TRA'!K$15:K$38,'Key inputs_EB_TRA'!$C$15:$C$38,$C68,'Key inputs_EB_TRA'!$B$15:$B$38,"Pipeline - Crude oil")/SUMIFS('Key inputs_EB_TRA'!K$15:K$38,'Key inputs_EB_TRA'!$B$15:$B$38,"Pipeline - Crude oil")&lt;0.001),0.001,SUMIFS('Key inputs_EB_TRA'!K$15:K$38,'Key inputs_EB_TRA'!$C$15:$C$38,$C68,'Key inputs_EB_TRA'!$B$15:$B$38,"Pipeline - Crude oil")/SUMIFS('Key inputs_EB_TRA'!K$15:K$38,'Key inputs_EB_TRA'!$B$15:$B$38,"Pipeline - Crude oil")),"")</f>
        <v/>
      </c>
      <c r="R68" s="173" t="str">
        <f>IFERROR(IF(AND(SUMIFS('Key inputs_EB_TRA'!L$15:L$38,'Key inputs_EB_TRA'!$C$15:$C$38,$C68,'Key inputs_EB_TRA'!$B$15:$B$38,"Pipeline - Crude oil")/SUMIFS('Key inputs_EB_TRA'!L$15:L$38,'Key inputs_EB_TRA'!$B$15:$B$38,"Pipeline - Crude oil")&gt;0,SUMIFS('Key inputs_EB_TRA'!L$15:L$38,'Key inputs_EB_TRA'!$C$15:$C$38,$C68,'Key inputs_EB_TRA'!$B$15:$B$38,"Pipeline - Crude oil")/SUMIFS('Key inputs_EB_TRA'!L$15:L$38,'Key inputs_EB_TRA'!$B$15:$B$38,"Pipeline - Crude oil")&lt;0.001),0.001,SUMIFS('Key inputs_EB_TRA'!L$15:L$38,'Key inputs_EB_TRA'!$C$15:$C$38,$C68,'Key inputs_EB_TRA'!$B$15:$B$38,"Pipeline - Crude oil")/SUMIFS('Key inputs_EB_TRA'!L$15:L$38,'Key inputs_EB_TRA'!$B$15:$B$38,"Pipeline - Crude oil")),"")</f>
        <v/>
      </c>
      <c r="S68" s="173" t="str">
        <f>IFERROR(IF(AND(SUMIFS('Key inputs_EB_TRA'!M$15:M$38,'Key inputs_EB_TRA'!$C$15:$C$38,$C68,'Key inputs_EB_TRA'!$B$15:$B$38,"Pipeline - Crude oil")/SUMIFS('Key inputs_EB_TRA'!M$15:M$38,'Key inputs_EB_TRA'!$B$15:$B$38,"Pipeline - Crude oil")&gt;0,SUMIFS('Key inputs_EB_TRA'!M$15:M$38,'Key inputs_EB_TRA'!$C$15:$C$38,$C68,'Key inputs_EB_TRA'!$B$15:$B$38,"Pipeline - Crude oil")/SUMIFS('Key inputs_EB_TRA'!M$15:M$38,'Key inputs_EB_TRA'!$B$15:$B$38,"Pipeline - Crude oil")&lt;0.001),0.001,SUMIFS('Key inputs_EB_TRA'!M$15:M$38,'Key inputs_EB_TRA'!$C$15:$C$38,$C68,'Key inputs_EB_TRA'!$B$15:$B$38,"Pipeline - Crude oil")/SUMIFS('Key inputs_EB_TRA'!M$15:M$38,'Key inputs_EB_TRA'!$B$15:$B$38,"Pipeline - Crude oil")),"")</f>
        <v/>
      </c>
      <c r="T68" s="173">
        <f>IFERROR(IF(AND(SUMIFS('Key inputs_EB_TRA'!N$15:N$38,'Key inputs_EB_TRA'!$C$15:$C$38,$C68,'Key inputs_EB_TRA'!$B$15:$B$38,"Pipeline - Crude oil")/SUMIFS('Key inputs_EB_TRA'!N$15:N$38,'Key inputs_EB_TRA'!$B$15:$B$38,"Pipeline - Crude oil")&gt;0,SUMIFS('Key inputs_EB_TRA'!N$15:N$38,'Key inputs_EB_TRA'!$C$15:$C$38,$C68,'Key inputs_EB_TRA'!$B$15:$B$38,"Pipeline - Crude oil")/SUMIFS('Key inputs_EB_TRA'!N$15:N$38,'Key inputs_EB_TRA'!$B$15:$B$38,"Pipeline - Crude oil")&lt;0.001),0.001,SUMIFS('Key inputs_EB_TRA'!N$15:N$38,'Key inputs_EB_TRA'!$C$15:$C$38,$C68,'Key inputs_EB_TRA'!$B$15:$B$38,"Pipeline - Crude oil")/SUMIFS('Key inputs_EB_TRA'!N$15:N$38,'Key inputs_EB_TRA'!$B$15:$B$38,"Pipeline - Crude oil")),"")</f>
        <v>0</v>
      </c>
      <c r="U68" s="173">
        <f>IFERROR(IF(AND(SUMIFS('Key inputs_EB_TRA'!O$15:O$38,'Key inputs_EB_TRA'!$C$15:$C$38,$C68,'Key inputs_EB_TRA'!$B$15:$B$38,"Pipeline - Crude oil")/SUMIFS('Key inputs_EB_TRA'!O$15:O$38,'Key inputs_EB_TRA'!$B$15:$B$38,"Pipeline - Crude oil")&gt;0,SUMIFS('Key inputs_EB_TRA'!O$15:O$38,'Key inputs_EB_TRA'!$C$15:$C$38,$C68,'Key inputs_EB_TRA'!$B$15:$B$38,"Pipeline - Crude oil")/SUMIFS('Key inputs_EB_TRA'!O$15:O$38,'Key inputs_EB_TRA'!$B$15:$B$38,"Pipeline - Crude oil")&lt;0.001),0.001,SUMIFS('Key inputs_EB_TRA'!O$15:O$38,'Key inputs_EB_TRA'!$C$15:$C$38,$C68,'Key inputs_EB_TRA'!$B$15:$B$38,"Pipeline - Crude oil")/SUMIFS('Key inputs_EB_TRA'!O$15:O$38,'Key inputs_EB_TRA'!$B$15:$B$38,"Pipeline - Crude oil")),"")</f>
        <v>1</v>
      </c>
      <c r="V68" s="173">
        <f>IFERROR(IF(AND(SUMIFS('Key inputs_EB_TRA'!P$15:P$38,'Key inputs_EB_TRA'!$C$15:$C$38,$C68,'Key inputs_EB_TRA'!$B$15:$B$38,"Pipeline - Crude oil")/SUMIFS('Key inputs_EB_TRA'!P$15:P$38,'Key inputs_EB_TRA'!$B$15:$B$38,"Pipeline - Crude oil")&gt;0,SUMIFS('Key inputs_EB_TRA'!P$15:P$38,'Key inputs_EB_TRA'!$C$15:$C$38,$C68,'Key inputs_EB_TRA'!$B$15:$B$38,"Pipeline - Crude oil")/SUMIFS('Key inputs_EB_TRA'!P$15:P$38,'Key inputs_EB_TRA'!$B$15:$B$38,"Pipeline - Crude oil")&lt;0.001),0.001,SUMIFS('Key inputs_EB_TRA'!P$15:P$38,'Key inputs_EB_TRA'!$C$15:$C$38,$C68,'Key inputs_EB_TRA'!$B$15:$B$38,"Pipeline - Crude oil")/SUMIFS('Key inputs_EB_TRA'!P$15:P$38,'Key inputs_EB_TRA'!$B$15:$B$38,"Pipeline - Crude oil")),"")</f>
        <v>1E-3</v>
      </c>
      <c r="W68" s="173">
        <f>IFERROR(IF(AND(SUMIFS('Key inputs_EB_TRA'!Q$15:Q$38,'Key inputs_EB_TRA'!$C$15:$C$38,$C68,'Key inputs_EB_TRA'!$B$15:$B$38,"Pipeline - Crude oil")/SUMIFS('Key inputs_EB_TRA'!Q$15:Q$38,'Key inputs_EB_TRA'!$B$15:$B$38,"Pipeline - Crude oil")&gt;0,SUMIFS('Key inputs_EB_TRA'!Q$15:Q$38,'Key inputs_EB_TRA'!$C$15:$C$38,$C68,'Key inputs_EB_TRA'!$B$15:$B$38,"Pipeline - Crude oil")/SUMIFS('Key inputs_EB_TRA'!Q$15:Q$38,'Key inputs_EB_TRA'!$B$15:$B$38,"Pipeline - Crude oil")&lt;0.001),0.001,SUMIFS('Key inputs_EB_TRA'!Q$15:Q$38,'Key inputs_EB_TRA'!$C$15:$C$38,$C68,'Key inputs_EB_TRA'!$B$15:$B$38,"Pipeline - Crude oil")/SUMIFS('Key inputs_EB_TRA'!Q$15:Q$38,'Key inputs_EB_TRA'!$B$15:$B$38,"Pipeline - Crude oil")),"")</f>
        <v>0</v>
      </c>
      <c r="X68" s="173">
        <f>IFERROR(IF(AND(SUMIFS('Key inputs_EB_TRA'!R$15:R$38,'Key inputs_EB_TRA'!$C$15:$C$38,$C68,'Key inputs_EB_TRA'!$B$15:$B$38,"Pipeline - Crude oil")/SUMIFS('Key inputs_EB_TRA'!R$15:R$38,'Key inputs_EB_TRA'!$B$15:$B$38,"Pipeline - Crude oil")&gt;0,SUMIFS('Key inputs_EB_TRA'!R$15:R$38,'Key inputs_EB_TRA'!$C$15:$C$38,$C68,'Key inputs_EB_TRA'!$B$15:$B$38,"Pipeline - Crude oil")/SUMIFS('Key inputs_EB_TRA'!R$15:R$38,'Key inputs_EB_TRA'!$B$15:$B$38,"Pipeline - Crude oil")&lt;0.001),0.001,SUMIFS('Key inputs_EB_TRA'!R$15:R$38,'Key inputs_EB_TRA'!$C$15:$C$38,$C68,'Key inputs_EB_TRA'!$B$15:$B$38,"Pipeline - Crude oil")/SUMIFS('Key inputs_EB_TRA'!R$15:R$38,'Key inputs_EB_TRA'!$B$15:$B$38,"Pipeline - Crude oil")),"")</f>
        <v>0</v>
      </c>
      <c r="Y68" s="173">
        <f>IFERROR(IF(AND(SUMIFS('Key inputs_EB_TRA'!S$15:S$38,'Key inputs_EB_TRA'!$C$15:$C$38,$C68,'Key inputs_EB_TRA'!$B$15:$B$38,"Pipeline - Crude oil")/SUMIFS('Key inputs_EB_TRA'!S$15:S$38,'Key inputs_EB_TRA'!$B$15:$B$38,"Pipeline - Crude oil")&gt;0,SUMIFS('Key inputs_EB_TRA'!S$15:S$38,'Key inputs_EB_TRA'!$C$15:$C$38,$C68,'Key inputs_EB_TRA'!$B$15:$B$38,"Pipeline - Crude oil")/SUMIFS('Key inputs_EB_TRA'!S$15:S$38,'Key inputs_EB_TRA'!$B$15:$B$38,"Pipeline - Crude oil")&lt;0.001),0.001,SUMIFS('Key inputs_EB_TRA'!S$15:S$38,'Key inputs_EB_TRA'!$C$15:$C$38,$C68,'Key inputs_EB_TRA'!$B$15:$B$38,"Pipeline - Crude oil")/SUMIFS('Key inputs_EB_TRA'!S$15:S$38,'Key inputs_EB_TRA'!$B$15:$B$38,"Pipeline - Crude oil")),"")</f>
        <v>0</v>
      </c>
      <c r="Z68" s="173">
        <f>IFERROR(IF(AND(SUMIFS('Key inputs_EB_TRA'!T$15:T$38,'Key inputs_EB_TRA'!$C$15:$C$38,$C68,'Key inputs_EB_TRA'!$B$15:$B$38,"Pipeline - Crude oil")/SUMIFS('Key inputs_EB_TRA'!T$15:T$38,'Key inputs_EB_TRA'!$B$15:$B$38,"Pipeline - Crude oil")&gt;0,SUMIFS('Key inputs_EB_TRA'!T$15:T$38,'Key inputs_EB_TRA'!$C$15:$C$38,$C68,'Key inputs_EB_TRA'!$B$15:$B$38,"Pipeline - Crude oil")/SUMIFS('Key inputs_EB_TRA'!T$15:T$38,'Key inputs_EB_TRA'!$B$15:$B$38,"Pipeline - Crude oil")&lt;0.001),0.001,SUMIFS('Key inputs_EB_TRA'!T$15:T$38,'Key inputs_EB_TRA'!$C$15:$C$38,$C68,'Key inputs_EB_TRA'!$B$15:$B$38,"Pipeline - Crude oil")/SUMIFS('Key inputs_EB_TRA'!T$15:T$38,'Key inputs_EB_TRA'!$B$15:$B$38,"Pipeline - Crude oil")),"")</f>
        <v>0</v>
      </c>
      <c r="AA68" s="173">
        <f>IFERROR(IF(AND(SUMIFS('Key inputs_EB_TRA'!U$15:U$38,'Key inputs_EB_TRA'!$C$15:$C$38,$C68,'Key inputs_EB_TRA'!$B$15:$B$38,"Pipeline - Crude oil")/SUMIFS('Key inputs_EB_TRA'!U$15:U$38,'Key inputs_EB_TRA'!$B$15:$B$38,"Pipeline - Crude oil")&gt;0,SUMIFS('Key inputs_EB_TRA'!U$15:U$38,'Key inputs_EB_TRA'!$C$15:$C$38,$C68,'Key inputs_EB_TRA'!$B$15:$B$38,"Pipeline - Crude oil")/SUMIFS('Key inputs_EB_TRA'!U$15:U$38,'Key inputs_EB_TRA'!$B$15:$B$38,"Pipeline - Crude oil")&lt;0.001),0.001,SUMIFS('Key inputs_EB_TRA'!U$15:U$38,'Key inputs_EB_TRA'!$C$15:$C$38,$C68,'Key inputs_EB_TRA'!$B$15:$B$38,"Pipeline - Crude oil")/SUMIFS('Key inputs_EB_TRA'!U$15:U$38,'Key inputs_EB_TRA'!$B$15:$B$38,"Pipeline - Crude oil")),"")</f>
        <v>0</v>
      </c>
      <c r="AB68" s="173" t="str">
        <f>IFERROR(IF(AND(SUMIFS('Key inputs_EB_TRA'!V$15:V$38,'Key inputs_EB_TRA'!$C$15:$C$38,$C68,'Key inputs_EB_TRA'!$B$15:$B$38,"Pipeline - Crude oil")/SUMIFS('Key inputs_EB_TRA'!V$15:V$38,'Key inputs_EB_TRA'!$B$15:$B$38,"Pipeline - Crude oil")&gt;0,SUMIFS('Key inputs_EB_TRA'!V$15:V$38,'Key inputs_EB_TRA'!$C$15:$C$38,$C68,'Key inputs_EB_TRA'!$B$15:$B$38,"Pipeline - Crude oil")/SUMIFS('Key inputs_EB_TRA'!V$15:V$38,'Key inputs_EB_TRA'!$B$15:$B$38,"Pipeline - Crude oil")&lt;0.001),0.001,SUMIFS('Key inputs_EB_TRA'!V$15:V$38,'Key inputs_EB_TRA'!$C$15:$C$38,$C68,'Key inputs_EB_TRA'!$B$15:$B$38,"Pipeline - Crude oil")/SUMIFS('Key inputs_EB_TRA'!V$15:V$38,'Key inputs_EB_TRA'!$B$15:$B$38,"Pipeline - Crude oil")),"")</f>
        <v/>
      </c>
      <c r="AC68" s="173">
        <f>IFERROR(IF(AND(SUMIFS('Key inputs_EB_TRA'!W$15:W$38,'Key inputs_EB_TRA'!$C$15:$C$38,$C68,'Key inputs_EB_TRA'!$B$15:$B$38,"Pipeline - Crude oil")/SUMIFS('Key inputs_EB_TRA'!W$15:W$38,'Key inputs_EB_TRA'!$B$15:$B$38,"Pipeline - Crude oil")&gt;0,SUMIFS('Key inputs_EB_TRA'!W$15:W$38,'Key inputs_EB_TRA'!$C$15:$C$38,$C68,'Key inputs_EB_TRA'!$B$15:$B$38,"Pipeline - Crude oil")/SUMIFS('Key inputs_EB_TRA'!W$15:W$38,'Key inputs_EB_TRA'!$B$15:$B$38,"Pipeline - Crude oil")&lt;0.001),0.001,SUMIFS('Key inputs_EB_TRA'!W$15:W$38,'Key inputs_EB_TRA'!$C$15:$C$38,$C68,'Key inputs_EB_TRA'!$B$15:$B$38,"Pipeline - Crude oil")/SUMIFS('Key inputs_EB_TRA'!W$15:W$38,'Key inputs_EB_TRA'!$B$15:$B$38,"Pipeline - Crude oil")),"")</f>
        <v>0</v>
      </c>
      <c r="AD68" s="173" t="str">
        <f>IFERROR(IF(AND(SUMIFS('Key inputs_EB_TRA'!X$15:X$38,'Key inputs_EB_TRA'!$C$15:$C$38,$C68,'Key inputs_EB_TRA'!$B$15:$B$38,"Pipeline - Crude oil")/SUMIFS('Key inputs_EB_TRA'!X$15:X$38,'Key inputs_EB_TRA'!$B$15:$B$38,"Pipeline - Crude oil")&gt;0,SUMIFS('Key inputs_EB_TRA'!X$15:X$38,'Key inputs_EB_TRA'!$C$15:$C$38,$C68,'Key inputs_EB_TRA'!$B$15:$B$38,"Pipeline - Crude oil")/SUMIFS('Key inputs_EB_TRA'!X$15:X$38,'Key inputs_EB_TRA'!$B$15:$B$38,"Pipeline - Crude oil")&lt;0.001),0.001,SUMIFS('Key inputs_EB_TRA'!X$15:X$38,'Key inputs_EB_TRA'!$C$15:$C$38,$C68,'Key inputs_EB_TRA'!$B$15:$B$38,"Pipeline - Crude oil")/SUMIFS('Key inputs_EB_TRA'!X$15:X$38,'Key inputs_EB_TRA'!$B$15:$B$38,"Pipeline - Crude oil")),"")</f>
        <v/>
      </c>
      <c r="AE68" s="173">
        <f>IFERROR(IF(AND(SUMIFS('Key inputs_EB_TRA'!Y$15:Y$38,'Key inputs_EB_TRA'!$C$15:$C$38,$C68,'Key inputs_EB_TRA'!$B$15:$B$38,"Pipeline - Crude oil")/SUMIFS('Key inputs_EB_TRA'!Y$15:Y$38,'Key inputs_EB_TRA'!$B$15:$B$38,"Pipeline - Crude oil")&gt;0,SUMIFS('Key inputs_EB_TRA'!Y$15:Y$38,'Key inputs_EB_TRA'!$C$15:$C$38,$C68,'Key inputs_EB_TRA'!$B$15:$B$38,"Pipeline - Crude oil")/SUMIFS('Key inputs_EB_TRA'!Y$15:Y$38,'Key inputs_EB_TRA'!$B$15:$B$38,"Pipeline - Crude oil")&lt;0.001),0.001,SUMIFS('Key inputs_EB_TRA'!Y$15:Y$38,'Key inputs_EB_TRA'!$C$15:$C$38,$C68,'Key inputs_EB_TRA'!$B$15:$B$38,"Pipeline - Crude oil")/SUMIFS('Key inputs_EB_TRA'!Y$15:Y$38,'Key inputs_EB_TRA'!$B$15:$B$38,"Pipeline - Crude oil")),"")</f>
        <v>0</v>
      </c>
      <c r="AF68" s="173">
        <f>IFERROR(IF(AND(SUMIFS('Key inputs_EB_TRA'!Z$15:Z$38,'Key inputs_EB_TRA'!$C$15:$C$38,$C68,'Key inputs_EB_TRA'!$B$15:$B$38,"Pipeline - Crude oil")/SUMIFS('Key inputs_EB_TRA'!Z$15:Z$38,'Key inputs_EB_TRA'!$B$15:$B$38,"Pipeline - Crude oil")&gt;0,SUMIFS('Key inputs_EB_TRA'!Z$15:Z$38,'Key inputs_EB_TRA'!$C$15:$C$38,$C68,'Key inputs_EB_TRA'!$B$15:$B$38,"Pipeline - Crude oil")/SUMIFS('Key inputs_EB_TRA'!Z$15:Z$38,'Key inputs_EB_TRA'!$B$15:$B$38,"Pipeline - Crude oil")&lt;0.001),0.001,SUMIFS('Key inputs_EB_TRA'!Z$15:Z$38,'Key inputs_EB_TRA'!$C$15:$C$38,$C68,'Key inputs_EB_TRA'!$B$15:$B$38,"Pipeline - Crude oil")/SUMIFS('Key inputs_EB_TRA'!Z$15:Z$38,'Key inputs_EB_TRA'!$B$15:$B$38,"Pipeline - Crude oil")),"")</f>
        <v>0</v>
      </c>
      <c r="AG68" s="173">
        <f>IFERROR(IF(AND(SUMIFS('Key inputs_EB_TRA'!AA$15:AA$38,'Key inputs_EB_TRA'!$C$15:$C$38,$C68,'Key inputs_EB_TRA'!$B$15:$B$38,"Pipeline - Crude oil")/SUMIFS('Key inputs_EB_TRA'!AA$15:AA$38,'Key inputs_EB_TRA'!$B$15:$B$38,"Pipeline - Crude oil")&gt;0,SUMIFS('Key inputs_EB_TRA'!AA$15:AA$38,'Key inputs_EB_TRA'!$C$15:$C$38,$C68,'Key inputs_EB_TRA'!$B$15:$B$38,"Pipeline - Crude oil")/SUMIFS('Key inputs_EB_TRA'!AA$15:AA$38,'Key inputs_EB_TRA'!$B$15:$B$38,"Pipeline - Crude oil")&lt;0.001),0.001,SUMIFS('Key inputs_EB_TRA'!AA$15:AA$38,'Key inputs_EB_TRA'!$C$15:$C$38,$C68,'Key inputs_EB_TRA'!$B$15:$B$38,"Pipeline - Crude oil")/SUMIFS('Key inputs_EB_TRA'!AA$15:AA$38,'Key inputs_EB_TRA'!$B$15:$B$38,"Pipeline - Crude oil")),"")</f>
        <v>0</v>
      </c>
      <c r="AH68" s="173" t="str">
        <f>IFERROR(IF(AND(SUMIFS('Key inputs_EB_TRA'!AB$15:AB$38,'Key inputs_EB_TRA'!$C$15:$C$38,$C68,'Key inputs_EB_TRA'!$B$15:$B$38,"Pipeline - Crude oil")/SUMIFS('Key inputs_EB_TRA'!AB$15:AB$38,'Key inputs_EB_TRA'!$B$15:$B$38,"Pipeline - Crude oil")&gt;0,SUMIFS('Key inputs_EB_TRA'!AB$15:AB$38,'Key inputs_EB_TRA'!$C$15:$C$38,$C68,'Key inputs_EB_TRA'!$B$15:$B$38,"Pipeline - Crude oil")/SUMIFS('Key inputs_EB_TRA'!AB$15:AB$38,'Key inputs_EB_TRA'!$B$15:$B$38,"Pipeline - Crude oil")&lt;0.001),0.001,SUMIFS('Key inputs_EB_TRA'!AB$15:AB$38,'Key inputs_EB_TRA'!$C$15:$C$38,$C68,'Key inputs_EB_TRA'!$B$15:$B$38,"Pipeline - Crude oil")/SUMIFS('Key inputs_EB_TRA'!AB$15:AB$38,'Key inputs_EB_TRA'!$B$15:$B$38,"Pipeline - Crude oil")),"")</f>
        <v/>
      </c>
      <c r="AI68" s="173" t="str">
        <f>IFERROR(IF(AND(SUMIFS('Key inputs_EB_TRA'!AC$15:AC$38,'Key inputs_EB_TRA'!$C$15:$C$38,$C68,'Key inputs_EB_TRA'!$B$15:$B$38,"Pipeline - Crude oil")/SUMIFS('Key inputs_EB_TRA'!AC$15:AC$38,'Key inputs_EB_TRA'!$B$15:$B$38,"Pipeline - Crude oil")&gt;0,SUMIFS('Key inputs_EB_TRA'!AC$15:AC$38,'Key inputs_EB_TRA'!$C$15:$C$38,$C68,'Key inputs_EB_TRA'!$B$15:$B$38,"Pipeline - Crude oil")/SUMIFS('Key inputs_EB_TRA'!AC$15:AC$38,'Key inputs_EB_TRA'!$B$15:$B$38,"Pipeline - Crude oil")&lt;0.001),0.001,SUMIFS('Key inputs_EB_TRA'!AC$15:AC$38,'Key inputs_EB_TRA'!$C$15:$C$38,$C68,'Key inputs_EB_TRA'!$B$15:$B$38,"Pipeline - Crude oil")/SUMIFS('Key inputs_EB_TRA'!AC$15:AC$38,'Key inputs_EB_TRA'!$B$15:$B$38,"Pipeline - Crude oil")),"")</f>
        <v/>
      </c>
      <c r="AJ68" s="173">
        <f>IFERROR(IF(AND(SUMIFS('Key inputs_EB_TRA'!AD$15:AD$38,'Key inputs_EB_TRA'!$C$15:$C$38,$C68,'Key inputs_EB_TRA'!$B$15:$B$38,"Pipeline - Crude oil")/SUMIFS('Key inputs_EB_TRA'!AD$15:AD$38,'Key inputs_EB_TRA'!$B$15:$B$38,"Pipeline - Crude oil")&gt;0,SUMIFS('Key inputs_EB_TRA'!AD$15:AD$38,'Key inputs_EB_TRA'!$C$15:$C$38,$C68,'Key inputs_EB_TRA'!$B$15:$B$38,"Pipeline - Crude oil")/SUMIFS('Key inputs_EB_TRA'!AD$15:AD$38,'Key inputs_EB_TRA'!$B$15:$B$38,"Pipeline - Crude oil")&lt;0.001),0.001,SUMIFS('Key inputs_EB_TRA'!AD$15:AD$38,'Key inputs_EB_TRA'!$C$15:$C$38,$C68,'Key inputs_EB_TRA'!$B$15:$B$38,"Pipeline - Crude oil")/SUMIFS('Key inputs_EB_TRA'!AD$15:AD$38,'Key inputs_EB_TRA'!$B$15:$B$38,"Pipeline - Crude oil")),"")</f>
        <v>1E-3</v>
      </c>
      <c r="AK68" s="173">
        <f>IFERROR(IF(AND(SUMIFS('Key inputs_EB_TRA'!AE$15:AE$38,'Key inputs_EB_TRA'!$C$15:$C$38,$C68,'Key inputs_EB_TRA'!$B$15:$B$38,"Pipeline - Crude oil")/SUMIFS('Key inputs_EB_TRA'!AE$15:AE$38,'Key inputs_EB_TRA'!$B$15:$B$38,"Pipeline - Crude oil")&gt;0,SUMIFS('Key inputs_EB_TRA'!AE$15:AE$38,'Key inputs_EB_TRA'!$C$15:$C$38,$C68,'Key inputs_EB_TRA'!$B$15:$B$38,"Pipeline - Crude oil")/SUMIFS('Key inputs_EB_TRA'!AE$15:AE$38,'Key inputs_EB_TRA'!$B$15:$B$38,"Pipeline - Crude oil")&lt;0.001),0.001,SUMIFS('Key inputs_EB_TRA'!AE$15:AE$38,'Key inputs_EB_TRA'!$C$15:$C$38,$C68,'Key inputs_EB_TRA'!$B$15:$B$38,"Pipeline - Crude oil")/SUMIFS('Key inputs_EB_TRA'!AE$15:AE$38,'Key inputs_EB_TRA'!$B$15:$B$38,"Pipeline - Crude oil")),"")</f>
        <v>0</v>
      </c>
      <c r="AL68" s="173">
        <f>IFERROR(IF(AND(SUMIFS('Key inputs_EB_TRA'!AF$15:AF$38,'Key inputs_EB_TRA'!$C$15:$C$38,$C68,'Key inputs_EB_TRA'!$B$15:$B$38,"Pipeline - Crude oil")/SUMIFS('Key inputs_EB_TRA'!AF$15:AF$38,'Key inputs_EB_TRA'!$B$15:$B$38,"Pipeline - Crude oil")&gt;0,SUMIFS('Key inputs_EB_TRA'!AF$15:AF$38,'Key inputs_EB_TRA'!$C$15:$C$38,$C68,'Key inputs_EB_TRA'!$B$15:$B$38,"Pipeline - Crude oil")/SUMIFS('Key inputs_EB_TRA'!AF$15:AF$38,'Key inputs_EB_TRA'!$B$15:$B$38,"Pipeline - Crude oil")&lt;0.001),0.001,SUMIFS('Key inputs_EB_TRA'!AF$15:AF$38,'Key inputs_EB_TRA'!$C$15:$C$38,$C68,'Key inputs_EB_TRA'!$B$15:$B$38,"Pipeline - Crude oil")/SUMIFS('Key inputs_EB_TRA'!AF$15:AF$38,'Key inputs_EB_TRA'!$B$15:$B$38,"Pipeline - Crude oil")),"")</f>
        <v>0</v>
      </c>
    </row>
    <row r="69" spans="1:38" ht="16.2" thickBot="1">
      <c r="A69" s="236"/>
      <c r="B69" s="405"/>
      <c r="C69" s="405" t="str">
        <f>Commodities!$C$99</f>
        <v>UPSOIL</v>
      </c>
      <c r="D69" s="405"/>
      <c r="E69" s="405"/>
      <c r="F69" s="406" t="s">
        <v>359</v>
      </c>
      <c r="G69" s="406" t="s">
        <v>702</v>
      </c>
      <c r="H69" s="405" t="s">
        <v>661</v>
      </c>
      <c r="I69" s="405">
        <v>2019</v>
      </c>
      <c r="J69" s="405" t="s">
        <v>650</v>
      </c>
      <c r="K69" s="432" t="str">
        <f>IFERROR(IF(AND(SUMIFS('Key inputs_EB_TRA'!E$15:E$38,'Key inputs_EB_TRA'!$C$15:$C$38,$C69,'Key inputs_EB_TRA'!$B$15:$B$38,"Pipeline - Crude oil")/SUMIFS('Key inputs_EB_TRA'!E$15:E$38,'Key inputs_EB_TRA'!$B$15:$B$38,"Pipeline - Crude oil")&gt;0,SUMIFS('Key inputs_EB_TRA'!E$15:E$38,'Key inputs_EB_TRA'!$C$15:$C$38,$C69,'Key inputs_EB_TRA'!$B$15:$B$38,"Pipeline - Crude oil")/SUMIFS('Key inputs_EB_TRA'!E$15:E$38,'Key inputs_EB_TRA'!$B$15:$B$38,"Pipeline - Crude oil")&lt;0.001),0.001,SUMIFS('Key inputs_EB_TRA'!E$15:E$38,'Key inputs_EB_TRA'!$C$15:$C$38,$C69,'Key inputs_EB_TRA'!$B$15:$B$38,"Pipeline - Crude oil")/SUMIFS('Key inputs_EB_TRA'!E$15:E$38,'Key inputs_EB_TRA'!$B$15:$B$38,"Pipeline - Crude oil")),"")</f>
        <v/>
      </c>
      <c r="L69" s="407">
        <f>IFERROR(IF(AND(SUMIFS('Key inputs_EB_TRA'!F$15:F$38,'Key inputs_EB_TRA'!$C$15:$C$38,$C69,'Key inputs_EB_TRA'!$B$15:$B$38,"Pipeline - Crude oil")/SUMIFS('Key inputs_EB_TRA'!F$15:F$38,'Key inputs_EB_TRA'!$B$15:$B$38,"Pipeline - Crude oil")&gt;0,SUMIFS('Key inputs_EB_TRA'!F$15:F$38,'Key inputs_EB_TRA'!$C$15:$C$38,$C69,'Key inputs_EB_TRA'!$B$15:$B$38,"Pipeline - Crude oil")/SUMIFS('Key inputs_EB_TRA'!F$15:F$38,'Key inputs_EB_TRA'!$B$15:$B$38,"Pipeline - Crude oil")&lt;0.001),0.001,SUMIFS('Key inputs_EB_TRA'!F$15:F$38,'Key inputs_EB_TRA'!$C$15:$C$38,$C69,'Key inputs_EB_TRA'!$B$15:$B$38,"Pipeline - Crude oil")/SUMIFS('Key inputs_EB_TRA'!F$15:F$38,'Key inputs_EB_TRA'!$B$15:$B$38,"Pipeline - Crude oil")),"")</f>
        <v>0</v>
      </c>
      <c r="M69" s="407">
        <f>IFERROR(IF(AND(SUMIFS('Key inputs_EB_TRA'!G$15:G$38,'Key inputs_EB_TRA'!$C$15:$C$38,$C69,'Key inputs_EB_TRA'!$B$15:$B$38,"Pipeline - Crude oil")/SUMIFS('Key inputs_EB_TRA'!G$15:G$38,'Key inputs_EB_TRA'!$B$15:$B$38,"Pipeline - Crude oil")&gt;0,SUMIFS('Key inputs_EB_TRA'!G$15:G$38,'Key inputs_EB_TRA'!$C$15:$C$38,$C69,'Key inputs_EB_TRA'!$B$15:$B$38,"Pipeline - Crude oil")/SUMIFS('Key inputs_EB_TRA'!G$15:G$38,'Key inputs_EB_TRA'!$B$15:$B$38,"Pipeline - Crude oil")&lt;0.001),0.001,SUMIFS('Key inputs_EB_TRA'!G$15:G$38,'Key inputs_EB_TRA'!$C$15:$C$38,$C69,'Key inputs_EB_TRA'!$B$15:$B$38,"Pipeline - Crude oil")/SUMIFS('Key inputs_EB_TRA'!G$15:G$38,'Key inputs_EB_TRA'!$B$15:$B$38,"Pipeline - Crude oil")),"")</f>
        <v>0</v>
      </c>
      <c r="N69" s="407">
        <f>IFERROR(IF(AND(SUMIFS('Key inputs_EB_TRA'!H$15:H$38,'Key inputs_EB_TRA'!$C$15:$C$38,$C69,'Key inputs_EB_TRA'!$B$15:$B$38,"Pipeline - Crude oil")/SUMIFS('Key inputs_EB_TRA'!H$15:H$38,'Key inputs_EB_TRA'!$B$15:$B$38,"Pipeline - Crude oil")&gt;0,SUMIFS('Key inputs_EB_TRA'!H$15:H$38,'Key inputs_EB_TRA'!$C$15:$C$38,$C69,'Key inputs_EB_TRA'!$B$15:$B$38,"Pipeline - Crude oil")/SUMIFS('Key inputs_EB_TRA'!H$15:H$38,'Key inputs_EB_TRA'!$B$15:$B$38,"Pipeline - Crude oil")&lt;0.001),0.001,SUMIFS('Key inputs_EB_TRA'!H$15:H$38,'Key inputs_EB_TRA'!$C$15:$C$38,$C69,'Key inputs_EB_TRA'!$B$15:$B$38,"Pipeline - Crude oil")/SUMIFS('Key inputs_EB_TRA'!H$15:H$38,'Key inputs_EB_TRA'!$B$15:$B$38,"Pipeline - Crude oil")),"")</f>
        <v>0</v>
      </c>
      <c r="O69" s="407">
        <f>IFERROR(IF(AND(SUMIFS('Key inputs_EB_TRA'!I$15:I$38,'Key inputs_EB_TRA'!$C$15:$C$38,$C69,'Key inputs_EB_TRA'!$B$15:$B$38,"Pipeline - Crude oil")/SUMIFS('Key inputs_EB_TRA'!I$15:I$38,'Key inputs_EB_TRA'!$B$15:$B$38,"Pipeline - Crude oil")&gt;0,SUMIFS('Key inputs_EB_TRA'!I$15:I$38,'Key inputs_EB_TRA'!$C$15:$C$38,$C69,'Key inputs_EB_TRA'!$B$15:$B$38,"Pipeline - Crude oil")/SUMIFS('Key inputs_EB_TRA'!I$15:I$38,'Key inputs_EB_TRA'!$B$15:$B$38,"Pipeline - Crude oil")&lt;0.001),0.001,SUMIFS('Key inputs_EB_TRA'!I$15:I$38,'Key inputs_EB_TRA'!$C$15:$C$38,$C69,'Key inputs_EB_TRA'!$B$15:$B$38,"Pipeline - Crude oil")/SUMIFS('Key inputs_EB_TRA'!I$15:I$38,'Key inputs_EB_TRA'!$B$15:$B$38,"Pipeline - Crude oil")),"")</f>
        <v>0</v>
      </c>
      <c r="P69" s="407">
        <f>IFERROR(IF(AND(SUMIFS('Key inputs_EB_TRA'!J$15:J$38,'Key inputs_EB_TRA'!$C$15:$C$38,$C69,'Key inputs_EB_TRA'!$B$15:$B$38,"Pipeline - Crude oil")/SUMIFS('Key inputs_EB_TRA'!J$15:J$38,'Key inputs_EB_TRA'!$B$15:$B$38,"Pipeline - Crude oil")&gt;0,SUMIFS('Key inputs_EB_TRA'!J$15:J$38,'Key inputs_EB_TRA'!$C$15:$C$38,$C69,'Key inputs_EB_TRA'!$B$15:$B$38,"Pipeline - Crude oil")/SUMIFS('Key inputs_EB_TRA'!J$15:J$38,'Key inputs_EB_TRA'!$B$15:$B$38,"Pipeline - Crude oil")&lt;0.001),0.001,SUMIFS('Key inputs_EB_TRA'!J$15:J$38,'Key inputs_EB_TRA'!$C$15:$C$38,$C69,'Key inputs_EB_TRA'!$B$15:$B$38,"Pipeline - Crude oil")/SUMIFS('Key inputs_EB_TRA'!J$15:J$38,'Key inputs_EB_TRA'!$B$15:$B$38,"Pipeline - Crude oil")),"")</f>
        <v>1E-3</v>
      </c>
      <c r="Q69" s="407" t="str">
        <f>IFERROR(IF(AND(SUMIFS('Key inputs_EB_TRA'!K$15:K$38,'Key inputs_EB_TRA'!$C$15:$C$38,$C69,'Key inputs_EB_TRA'!$B$15:$B$38,"Pipeline - Crude oil")/SUMIFS('Key inputs_EB_TRA'!K$15:K$38,'Key inputs_EB_TRA'!$B$15:$B$38,"Pipeline - Crude oil")&gt;0,SUMIFS('Key inputs_EB_TRA'!K$15:K$38,'Key inputs_EB_TRA'!$C$15:$C$38,$C69,'Key inputs_EB_TRA'!$B$15:$B$38,"Pipeline - Crude oil")/SUMIFS('Key inputs_EB_TRA'!K$15:K$38,'Key inputs_EB_TRA'!$B$15:$B$38,"Pipeline - Crude oil")&lt;0.001),0.001,SUMIFS('Key inputs_EB_TRA'!K$15:K$38,'Key inputs_EB_TRA'!$C$15:$C$38,$C69,'Key inputs_EB_TRA'!$B$15:$B$38,"Pipeline - Crude oil")/SUMIFS('Key inputs_EB_TRA'!K$15:K$38,'Key inputs_EB_TRA'!$B$15:$B$38,"Pipeline - Crude oil")),"")</f>
        <v/>
      </c>
      <c r="R69" s="407" t="str">
        <f>IFERROR(IF(AND(SUMIFS('Key inputs_EB_TRA'!L$15:L$38,'Key inputs_EB_TRA'!$C$15:$C$38,$C69,'Key inputs_EB_TRA'!$B$15:$B$38,"Pipeline - Crude oil")/SUMIFS('Key inputs_EB_TRA'!L$15:L$38,'Key inputs_EB_TRA'!$B$15:$B$38,"Pipeline - Crude oil")&gt;0,SUMIFS('Key inputs_EB_TRA'!L$15:L$38,'Key inputs_EB_TRA'!$C$15:$C$38,$C69,'Key inputs_EB_TRA'!$B$15:$B$38,"Pipeline - Crude oil")/SUMIFS('Key inputs_EB_TRA'!L$15:L$38,'Key inputs_EB_TRA'!$B$15:$B$38,"Pipeline - Crude oil")&lt;0.001),0.001,SUMIFS('Key inputs_EB_TRA'!L$15:L$38,'Key inputs_EB_TRA'!$C$15:$C$38,$C69,'Key inputs_EB_TRA'!$B$15:$B$38,"Pipeline - Crude oil")/SUMIFS('Key inputs_EB_TRA'!L$15:L$38,'Key inputs_EB_TRA'!$B$15:$B$38,"Pipeline - Crude oil")),"")</f>
        <v/>
      </c>
      <c r="S69" s="407" t="str">
        <f>IFERROR(IF(AND(SUMIFS('Key inputs_EB_TRA'!M$15:M$38,'Key inputs_EB_TRA'!$C$15:$C$38,$C69,'Key inputs_EB_TRA'!$B$15:$B$38,"Pipeline - Crude oil")/SUMIFS('Key inputs_EB_TRA'!M$15:M$38,'Key inputs_EB_TRA'!$B$15:$B$38,"Pipeline - Crude oil")&gt;0,SUMIFS('Key inputs_EB_TRA'!M$15:M$38,'Key inputs_EB_TRA'!$C$15:$C$38,$C69,'Key inputs_EB_TRA'!$B$15:$B$38,"Pipeline - Crude oil")/SUMIFS('Key inputs_EB_TRA'!M$15:M$38,'Key inputs_EB_TRA'!$B$15:$B$38,"Pipeline - Crude oil")&lt;0.001),0.001,SUMIFS('Key inputs_EB_TRA'!M$15:M$38,'Key inputs_EB_TRA'!$C$15:$C$38,$C69,'Key inputs_EB_TRA'!$B$15:$B$38,"Pipeline - Crude oil")/SUMIFS('Key inputs_EB_TRA'!M$15:M$38,'Key inputs_EB_TRA'!$B$15:$B$38,"Pipeline - Crude oil")),"")</f>
        <v/>
      </c>
      <c r="T69" s="407">
        <f>IFERROR(IF(AND(SUMIFS('Key inputs_EB_TRA'!N$15:N$38,'Key inputs_EB_TRA'!$C$15:$C$38,$C69,'Key inputs_EB_TRA'!$B$15:$B$38,"Pipeline - Crude oil")/SUMIFS('Key inputs_EB_TRA'!N$15:N$38,'Key inputs_EB_TRA'!$B$15:$B$38,"Pipeline - Crude oil")&gt;0,SUMIFS('Key inputs_EB_TRA'!N$15:N$38,'Key inputs_EB_TRA'!$C$15:$C$38,$C69,'Key inputs_EB_TRA'!$B$15:$B$38,"Pipeline - Crude oil")/SUMIFS('Key inputs_EB_TRA'!N$15:N$38,'Key inputs_EB_TRA'!$B$15:$B$38,"Pipeline - Crude oil")&lt;0.001),0.001,SUMIFS('Key inputs_EB_TRA'!N$15:N$38,'Key inputs_EB_TRA'!$C$15:$C$38,$C69,'Key inputs_EB_TRA'!$B$15:$B$38,"Pipeline - Crude oil")/SUMIFS('Key inputs_EB_TRA'!N$15:N$38,'Key inputs_EB_TRA'!$B$15:$B$38,"Pipeline - Crude oil")),"")</f>
        <v>0</v>
      </c>
      <c r="U69" s="407">
        <f>IFERROR(IF(AND(SUMIFS('Key inputs_EB_TRA'!O$15:O$38,'Key inputs_EB_TRA'!$C$15:$C$38,$C69,'Key inputs_EB_TRA'!$B$15:$B$38,"Pipeline - Crude oil")/SUMIFS('Key inputs_EB_TRA'!O$15:O$38,'Key inputs_EB_TRA'!$B$15:$B$38,"Pipeline - Crude oil")&gt;0,SUMIFS('Key inputs_EB_TRA'!O$15:O$38,'Key inputs_EB_TRA'!$C$15:$C$38,$C69,'Key inputs_EB_TRA'!$B$15:$B$38,"Pipeline - Crude oil")/SUMIFS('Key inputs_EB_TRA'!O$15:O$38,'Key inputs_EB_TRA'!$B$15:$B$38,"Pipeline - Crude oil")&lt;0.001),0.001,SUMIFS('Key inputs_EB_TRA'!O$15:O$38,'Key inputs_EB_TRA'!$C$15:$C$38,$C69,'Key inputs_EB_TRA'!$B$15:$B$38,"Pipeline - Crude oil")/SUMIFS('Key inputs_EB_TRA'!O$15:O$38,'Key inputs_EB_TRA'!$B$15:$B$38,"Pipeline - Crude oil")),"")</f>
        <v>0</v>
      </c>
      <c r="V69" s="407">
        <f>IFERROR(IF(AND(SUMIFS('Key inputs_EB_TRA'!P$15:P$38,'Key inputs_EB_TRA'!$C$15:$C$38,$C69,'Key inputs_EB_TRA'!$B$15:$B$38,"Pipeline - Crude oil")/SUMIFS('Key inputs_EB_TRA'!P$15:P$38,'Key inputs_EB_TRA'!$B$15:$B$38,"Pipeline - Crude oil")&gt;0,SUMIFS('Key inputs_EB_TRA'!P$15:P$38,'Key inputs_EB_TRA'!$C$15:$C$38,$C69,'Key inputs_EB_TRA'!$B$15:$B$38,"Pipeline - Crude oil")/SUMIFS('Key inputs_EB_TRA'!P$15:P$38,'Key inputs_EB_TRA'!$B$15:$B$38,"Pipeline - Crude oil")&lt;0.001),0.001,SUMIFS('Key inputs_EB_TRA'!P$15:P$38,'Key inputs_EB_TRA'!$C$15:$C$38,$C69,'Key inputs_EB_TRA'!$B$15:$B$38,"Pipeline - Crude oil")/SUMIFS('Key inputs_EB_TRA'!P$15:P$38,'Key inputs_EB_TRA'!$B$15:$B$38,"Pipeline - Crude oil")),"")</f>
        <v>0</v>
      </c>
      <c r="W69" s="407">
        <f>IFERROR(IF(AND(SUMIFS('Key inputs_EB_TRA'!Q$15:Q$38,'Key inputs_EB_TRA'!$C$15:$C$38,$C69,'Key inputs_EB_TRA'!$B$15:$B$38,"Pipeline - Crude oil")/SUMIFS('Key inputs_EB_TRA'!Q$15:Q$38,'Key inputs_EB_TRA'!$B$15:$B$38,"Pipeline - Crude oil")&gt;0,SUMIFS('Key inputs_EB_TRA'!Q$15:Q$38,'Key inputs_EB_TRA'!$C$15:$C$38,$C69,'Key inputs_EB_TRA'!$B$15:$B$38,"Pipeline - Crude oil")/SUMIFS('Key inputs_EB_TRA'!Q$15:Q$38,'Key inputs_EB_TRA'!$B$15:$B$38,"Pipeline - Crude oil")&lt;0.001),0.001,SUMIFS('Key inputs_EB_TRA'!Q$15:Q$38,'Key inputs_EB_TRA'!$C$15:$C$38,$C69,'Key inputs_EB_TRA'!$B$15:$B$38,"Pipeline - Crude oil")/SUMIFS('Key inputs_EB_TRA'!Q$15:Q$38,'Key inputs_EB_TRA'!$B$15:$B$38,"Pipeline - Crude oil")),"")</f>
        <v>0</v>
      </c>
      <c r="X69" s="407">
        <f>IFERROR(IF(AND(SUMIFS('Key inputs_EB_TRA'!R$15:R$38,'Key inputs_EB_TRA'!$C$15:$C$38,$C69,'Key inputs_EB_TRA'!$B$15:$B$38,"Pipeline - Crude oil")/SUMIFS('Key inputs_EB_TRA'!R$15:R$38,'Key inputs_EB_TRA'!$B$15:$B$38,"Pipeline - Crude oil")&gt;0,SUMIFS('Key inputs_EB_TRA'!R$15:R$38,'Key inputs_EB_TRA'!$C$15:$C$38,$C69,'Key inputs_EB_TRA'!$B$15:$B$38,"Pipeline - Crude oil")/SUMIFS('Key inputs_EB_TRA'!R$15:R$38,'Key inputs_EB_TRA'!$B$15:$B$38,"Pipeline - Crude oil")&lt;0.001),0.001,SUMIFS('Key inputs_EB_TRA'!R$15:R$38,'Key inputs_EB_TRA'!$C$15:$C$38,$C69,'Key inputs_EB_TRA'!$B$15:$B$38,"Pipeline - Crude oil")/SUMIFS('Key inputs_EB_TRA'!R$15:R$38,'Key inputs_EB_TRA'!$B$15:$B$38,"Pipeline - Crude oil")),"")</f>
        <v>0</v>
      </c>
      <c r="Y69" s="407">
        <f>IFERROR(IF(AND(SUMIFS('Key inputs_EB_TRA'!S$15:S$38,'Key inputs_EB_TRA'!$C$15:$C$38,$C69,'Key inputs_EB_TRA'!$B$15:$B$38,"Pipeline - Crude oil")/SUMIFS('Key inputs_EB_TRA'!S$15:S$38,'Key inputs_EB_TRA'!$B$15:$B$38,"Pipeline - Crude oil")&gt;0,SUMIFS('Key inputs_EB_TRA'!S$15:S$38,'Key inputs_EB_TRA'!$C$15:$C$38,$C69,'Key inputs_EB_TRA'!$B$15:$B$38,"Pipeline - Crude oil")/SUMIFS('Key inputs_EB_TRA'!S$15:S$38,'Key inputs_EB_TRA'!$B$15:$B$38,"Pipeline - Crude oil")&lt;0.001),0.001,SUMIFS('Key inputs_EB_TRA'!S$15:S$38,'Key inputs_EB_TRA'!$C$15:$C$38,$C69,'Key inputs_EB_TRA'!$B$15:$B$38,"Pipeline - Crude oil")/SUMIFS('Key inputs_EB_TRA'!S$15:S$38,'Key inputs_EB_TRA'!$B$15:$B$38,"Pipeline - Crude oil")),"")</f>
        <v>0</v>
      </c>
      <c r="Z69" s="407">
        <f>IFERROR(IF(AND(SUMIFS('Key inputs_EB_TRA'!T$15:T$38,'Key inputs_EB_TRA'!$C$15:$C$38,$C69,'Key inputs_EB_TRA'!$B$15:$B$38,"Pipeline - Crude oil")/SUMIFS('Key inputs_EB_TRA'!T$15:T$38,'Key inputs_EB_TRA'!$B$15:$B$38,"Pipeline - Crude oil")&gt;0,SUMIFS('Key inputs_EB_TRA'!T$15:T$38,'Key inputs_EB_TRA'!$C$15:$C$38,$C69,'Key inputs_EB_TRA'!$B$15:$B$38,"Pipeline - Crude oil")/SUMIFS('Key inputs_EB_TRA'!T$15:T$38,'Key inputs_EB_TRA'!$B$15:$B$38,"Pipeline - Crude oil")&lt;0.001),0.001,SUMIFS('Key inputs_EB_TRA'!T$15:T$38,'Key inputs_EB_TRA'!$C$15:$C$38,$C69,'Key inputs_EB_TRA'!$B$15:$B$38,"Pipeline - Crude oil")/SUMIFS('Key inputs_EB_TRA'!T$15:T$38,'Key inputs_EB_TRA'!$B$15:$B$38,"Pipeline - Crude oil")),"")</f>
        <v>0</v>
      </c>
      <c r="AA69" s="407">
        <f>IFERROR(IF(AND(SUMIFS('Key inputs_EB_TRA'!U$15:U$38,'Key inputs_EB_TRA'!$C$15:$C$38,$C69,'Key inputs_EB_TRA'!$B$15:$B$38,"Pipeline - Crude oil")/SUMIFS('Key inputs_EB_TRA'!U$15:U$38,'Key inputs_EB_TRA'!$B$15:$B$38,"Pipeline - Crude oil")&gt;0,SUMIFS('Key inputs_EB_TRA'!U$15:U$38,'Key inputs_EB_TRA'!$C$15:$C$38,$C69,'Key inputs_EB_TRA'!$B$15:$B$38,"Pipeline - Crude oil")/SUMIFS('Key inputs_EB_TRA'!U$15:U$38,'Key inputs_EB_TRA'!$B$15:$B$38,"Pipeline - Crude oil")&lt;0.001),0.001,SUMIFS('Key inputs_EB_TRA'!U$15:U$38,'Key inputs_EB_TRA'!$C$15:$C$38,$C69,'Key inputs_EB_TRA'!$B$15:$B$38,"Pipeline - Crude oil")/SUMIFS('Key inputs_EB_TRA'!U$15:U$38,'Key inputs_EB_TRA'!$B$15:$B$38,"Pipeline - Crude oil")),"")</f>
        <v>0</v>
      </c>
      <c r="AB69" s="407" t="str">
        <f>IFERROR(IF(AND(SUMIFS('Key inputs_EB_TRA'!V$15:V$38,'Key inputs_EB_TRA'!$C$15:$C$38,$C69,'Key inputs_EB_TRA'!$B$15:$B$38,"Pipeline - Crude oil")/SUMIFS('Key inputs_EB_TRA'!V$15:V$38,'Key inputs_EB_TRA'!$B$15:$B$38,"Pipeline - Crude oil")&gt;0,SUMIFS('Key inputs_EB_TRA'!V$15:V$38,'Key inputs_EB_TRA'!$C$15:$C$38,$C69,'Key inputs_EB_TRA'!$B$15:$B$38,"Pipeline - Crude oil")/SUMIFS('Key inputs_EB_TRA'!V$15:V$38,'Key inputs_EB_TRA'!$B$15:$B$38,"Pipeline - Crude oil")&lt;0.001),0.001,SUMIFS('Key inputs_EB_TRA'!V$15:V$38,'Key inputs_EB_TRA'!$C$15:$C$38,$C69,'Key inputs_EB_TRA'!$B$15:$B$38,"Pipeline - Crude oil")/SUMIFS('Key inputs_EB_TRA'!V$15:V$38,'Key inputs_EB_TRA'!$B$15:$B$38,"Pipeline - Crude oil")),"")</f>
        <v/>
      </c>
      <c r="AC69" s="407">
        <f>IFERROR(IF(AND(SUMIFS('Key inputs_EB_TRA'!W$15:W$38,'Key inputs_EB_TRA'!$C$15:$C$38,$C69,'Key inputs_EB_TRA'!$B$15:$B$38,"Pipeline - Crude oil")/SUMIFS('Key inputs_EB_TRA'!W$15:W$38,'Key inputs_EB_TRA'!$B$15:$B$38,"Pipeline - Crude oil")&gt;0,SUMIFS('Key inputs_EB_TRA'!W$15:W$38,'Key inputs_EB_TRA'!$C$15:$C$38,$C69,'Key inputs_EB_TRA'!$B$15:$B$38,"Pipeline - Crude oil")/SUMIFS('Key inputs_EB_TRA'!W$15:W$38,'Key inputs_EB_TRA'!$B$15:$B$38,"Pipeline - Crude oil")&lt;0.001),0.001,SUMIFS('Key inputs_EB_TRA'!W$15:W$38,'Key inputs_EB_TRA'!$C$15:$C$38,$C69,'Key inputs_EB_TRA'!$B$15:$B$38,"Pipeline - Crude oil")/SUMIFS('Key inputs_EB_TRA'!W$15:W$38,'Key inputs_EB_TRA'!$B$15:$B$38,"Pipeline - Crude oil")),"")</f>
        <v>0</v>
      </c>
      <c r="AD69" s="407" t="str">
        <f>IFERROR(IF(AND(SUMIFS('Key inputs_EB_TRA'!X$15:X$38,'Key inputs_EB_TRA'!$C$15:$C$38,$C69,'Key inputs_EB_TRA'!$B$15:$B$38,"Pipeline - Crude oil")/SUMIFS('Key inputs_EB_TRA'!X$15:X$38,'Key inputs_EB_TRA'!$B$15:$B$38,"Pipeline - Crude oil")&gt;0,SUMIFS('Key inputs_EB_TRA'!X$15:X$38,'Key inputs_EB_TRA'!$C$15:$C$38,$C69,'Key inputs_EB_TRA'!$B$15:$B$38,"Pipeline - Crude oil")/SUMIFS('Key inputs_EB_TRA'!X$15:X$38,'Key inputs_EB_TRA'!$B$15:$B$38,"Pipeline - Crude oil")&lt;0.001),0.001,SUMIFS('Key inputs_EB_TRA'!X$15:X$38,'Key inputs_EB_TRA'!$C$15:$C$38,$C69,'Key inputs_EB_TRA'!$B$15:$B$38,"Pipeline - Crude oil")/SUMIFS('Key inputs_EB_TRA'!X$15:X$38,'Key inputs_EB_TRA'!$B$15:$B$38,"Pipeline - Crude oil")),"")</f>
        <v/>
      </c>
      <c r="AE69" s="407">
        <f>IFERROR(IF(AND(SUMIFS('Key inputs_EB_TRA'!Y$15:Y$38,'Key inputs_EB_TRA'!$C$15:$C$38,$C69,'Key inputs_EB_TRA'!$B$15:$B$38,"Pipeline - Crude oil")/SUMIFS('Key inputs_EB_TRA'!Y$15:Y$38,'Key inputs_EB_TRA'!$B$15:$B$38,"Pipeline - Crude oil")&gt;0,SUMIFS('Key inputs_EB_TRA'!Y$15:Y$38,'Key inputs_EB_TRA'!$C$15:$C$38,$C69,'Key inputs_EB_TRA'!$B$15:$B$38,"Pipeline - Crude oil")/SUMIFS('Key inputs_EB_TRA'!Y$15:Y$38,'Key inputs_EB_TRA'!$B$15:$B$38,"Pipeline - Crude oil")&lt;0.001),0.001,SUMIFS('Key inputs_EB_TRA'!Y$15:Y$38,'Key inputs_EB_TRA'!$C$15:$C$38,$C69,'Key inputs_EB_TRA'!$B$15:$B$38,"Pipeline - Crude oil")/SUMIFS('Key inputs_EB_TRA'!Y$15:Y$38,'Key inputs_EB_TRA'!$B$15:$B$38,"Pipeline - Crude oil")),"")</f>
        <v>0</v>
      </c>
      <c r="AF69" s="407">
        <f>IFERROR(IF(AND(SUMIFS('Key inputs_EB_TRA'!Z$15:Z$38,'Key inputs_EB_TRA'!$C$15:$C$38,$C69,'Key inputs_EB_TRA'!$B$15:$B$38,"Pipeline - Crude oil")/SUMIFS('Key inputs_EB_TRA'!Z$15:Z$38,'Key inputs_EB_TRA'!$B$15:$B$38,"Pipeline - Crude oil")&gt;0,SUMIFS('Key inputs_EB_TRA'!Z$15:Z$38,'Key inputs_EB_TRA'!$C$15:$C$38,$C69,'Key inputs_EB_TRA'!$B$15:$B$38,"Pipeline - Crude oil")/SUMIFS('Key inputs_EB_TRA'!Z$15:Z$38,'Key inputs_EB_TRA'!$B$15:$B$38,"Pipeline - Crude oil")&lt;0.001),0.001,SUMIFS('Key inputs_EB_TRA'!Z$15:Z$38,'Key inputs_EB_TRA'!$C$15:$C$38,$C69,'Key inputs_EB_TRA'!$B$15:$B$38,"Pipeline - Crude oil")/SUMIFS('Key inputs_EB_TRA'!Z$15:Z$38,'Key inputs_EB_TRA'!$B$15:$B$38,"Pipeline - Crude oil")),"")</f>
        <v>0</v>
      </c>
      <c r="AG69" s="407">
        <f>IFERROR(IF(AND(SUMIFS('Key inputs_EB_TRA'!AA$15:AA$38,'Key inputs_EB_TRA'!$C$15:$C$38,$C69,'Key inputs_EB_TRA'!$B$15:$B$38,"Pipeline - Crude oil")/SUMIFS('Key inputs_EB_TRA'!AA$15:AA$38,'Key inputs_EB_TRA'!$B$15:$B$38,"Pipeline - Crude oil")&gt;0,SUMIFS('Key inputs_EB_TRA'!AA$15:AA$38,'Key inputs_EB_TRA'!$C$15:$C$38,$C69,'Key inputs_EB_TRA'!$B$15:$B$38,"Pipeline - Crude oil")/SUMIFS('Key inputs_EB_TRA'!AA$15:AA$38,'Key inputs_EB_TRA'!$B$15:$B$38,"Pipeline - Crude oil")&lt;0.001),0.001,SUMIFS('Key inputs_EB_TRA'!AA$15:AA$38,'Key inputs_EB_TRA'!$C$15:$C$38,$C69,'Key inputs_EB_TRA'!$B$15:$B$38,"Pipeline - Crude oil")/SUMIFS('Key inputs_EB_TRA'!AA$15:AA$38,'Key inputs_EB_TRA'!$B$15:$B$38,"Pipeline - Crude oil")),"")</f>
        <v>0</v>
      </c>
      <c r="AH69" s="407" t="str">
        <f>IFERROR(IF(AND(SUMIFS('Key inputs_EB_TRA'!AB$15:AB$38,'Key inputs_EB_TRA'!$C$15:$C$38,$C69,'Key inputs_EB_TRA'!$B$15:$B$38,"Pipeline - Crude oil")/SUMIFS('Key inputs_EB_TRA'!AB$15:AB$38,'Key inputs_EB_TRA'!$B$15:$B$38,"Pipeline - Crude oil")&gt;0,SUMIFS('Key inputs_EB_TRA'!AB$15:AB$38,'Key inputs_EB_TRA'!$C$15:$C$38,$C69,'Key inputs_EB_TRA'!$B$15:$B$38,"Pipeline - Crude oil")/SUMIFS('Key inputs_EB_TRA'!AB$15:AB$38,'Key inputs_EB_TRA'!$B$15:$B$38,"Pipeline - Crude oil")&lt;0.001),0.001,SUMIFS('Key inputs_EB_TRA'!AB$15:AB$38,'Key inputs_EB_TRA'!$C$15:$C$38,$C69,'Key inputs_EB_TRA'!$B$15:$B$38,"Pipeline - Crude oil")/SUMIFS('Key inputs_EB_TRA'!AB$15:AB$38,'Key inputs_EB_TRA'!$B$15:$B$38,"Pipeline - Crude oil")),"")</f>
        <v/>
      </c>
      <c r="AI69" s="407" t="str">
        <f>IFERROR(IF(AND(SUMIFS('Key inputs_EB_TRA'!AC$15:AC$38,'Key inputs_EB_TRA'!$C$15:$C$38,$C69,'Key inputs_EB_TRA'!$B$15:$B$38,"Pipeline - Crude oil")/SUMIFS('Key inputs_EB_TRA'!AC$15:AC$38,'Key inputs_EB_TRA'!$B$15:$B$38,"Pipeline - Crude oil")&gt;0,SUMIFS('Key inputs_EB_TRA'!AC$15:AC$38,'Key inputs_EB_TRA'!$C$15:$C$38,$C69,'Key inputs_EB_TRA'!$B$15:$B$38,"Pipeline - Crude oil")/SUMIFS('Key inputs_EB_TRA'!AC$15:AC$38,'Key inputs_EB_TRA'!$B$15:$B$38,"Pipeline - Crude oil")&lt;0.001),0.001,SUMIFS('Key inputs_EB_TRA'!AC$15:AC$38,'Key inputs_EB_TRA'!$C$15:$C$38,$C69,'Key inputs_EB_TRA'!$B$15:$B$38,"Pipeline - Crude oil")/SUMIFS('Key inputs_EB_TRA'!AC$15:AC$38,'Key inputs_EB_TRA'!$B$15:$B$38,"Pipeline - Crude oil")),"")</f>
        <v/>
      </c>
      <c r="AJ69" s="407">
        <f>IFERROR(IF(AND(SUMIFS('Key inputs_EB_TRA'!AD$15:AD$38,'Key inputs_EB_TRA'!$C$15:$C$38,$C69,'Key inputs_EB_TRA'!$B$15:$B$38,"Pipeline - Crude oil")/SUMIFS('Key inputs_EB_TRA'!AD$15:AD$38,'Key inputs_EB_TRA'!$B$15:$B$38,"Pipeline - Crude oil")&gt;0,SUMIFS('Key inputs_EB_TRA'!AD$15:AD$38,'Key inputs_EB_TRA'!$C$15:$C$38,$C69,'Key inputs_EB_TRA'!$B$15:$B$38,"Pipeline - Crude oil")/SUMIFS('Key inputs_EB_TRA'!AD$15:AD$38,'Key inputs_EB_TRA'!$B$15:$B$38,"Pipeline - Crude oil")&lt;0.001),0.001,SUMIFS('Key inputs_EB_TRA'!AD$15:AD$38,'Key inputs_EB_TRA'!$C$15:$C$38,$C69,'Key inputs_EB_TRA'!$B$15:$B$38,"Pipeline - Crude oil")/SUMIFS('Key inputs_EB_TRA'!AD$15:AD$38,'Key inputs_EB_TRA'!$B$15:$B$38,"Pipeline - Crude oil")),"")</f>
        <v>0</v>
      </c>
      <c r="AK69" s="407">
        <f>IFERROR(IF(AND(SUMIFS('Key inputs_EB_TRA'!AE$15:AE$38,'Key inputs_EB_TRA'!$C$15:$C$38,$C69,'Key inputs_EB_TRA'!$B$15:$B$38,"Pipeline - Crude oil")/SUMIFS('Key inputs_EB_TRA'!AE$15:AE$38,'Key inputs_EB_TRA'!$B$15:$B$38,"Pipeline - Crude oil")&gt;0,SUMIFS('Key inputs_EB_TRA'!AE$15:AE$38,'Key inputs_EB_TRA'!$C$15:$C$38,$C69,'Key inputs_EB_TRA'!$B$15:$B$38,"Pipeline - Crude oil")/SUMIFS('Key inputs_EB_TRA'!AE$15:AE$38,'Key inputs_EB_TRA'!$B$15:$B$38,"Pipeline - Crude oil")&lt;0.001),0.001,SUMIFS('Key inputs_EB_TRA'!AE$15:AE$38,'Key inputs_EB_TRA'!$C$15:$C$38,$C69,'Key inputs_EB_TRA'!$B$15:$B$38,"Pipeline - Crude oil")/SUMIFS('Key inputs_EB_TRA'!AE$15:AE$38,'Key inputs_EB_TRA'!$B$15:$B$38,"Pipeline - Crude oil")),"")</f>
        <v>0</v>
      </c>
      <c r="AL69" s="407">
        <f>IFERROR(IF(AND(SUMIFS('Key inputs_EB_TRA'!AF$15:AF$38,'Key inputs_EB_TRA'!$C$15:$C$38,$C69,'Key inputs_EB_TRA'!$B$15:$B$38,"Pipeline - Crude oil")/SUMIFS('Key inputs_EB_TRA'!AF$15:AF$38,'Key inputs_EB_TRA'!$B$15:$B$38,"Pipeline - Crude oil")&gt;0,SUMIFS('Key inputs_EB_TRA'!AF$15:AF$38,'Key inputs_EB_TRA'!$C$15:$C$38,$C69,'Key inputs_EB_TRA'!$B$15:$B$38,"Pipeline - Crude oil")/SUMIFS('Key inputs_EB_TRA'!AF$15:AF$38,'Key inputs_EB_TRA'!$B$15:$B$38,"Pipeline - Crude oil")&lt;0.001),0.001,SUMIFS('Key inputs_EB_TRA'!AF$15:AF$38,'Key inputs_EB_TRA'!$C$15:$C$38,$C69,'Key inputs_EB_TRA'!$B$15:$B$38,"Pipeline - Crude oil")/SUMIFS('Key inputs_EB_TRA'!AF$15:AF$38,'Key inputs_EB_TRA'!$B$15:$B$38,"Pipeline - Crude oil")),"")</f>
        <v>0</v>
      </c>
    </row>
    <row r="70" spans="1:38" ht="16.2" thickTop="1">
      <c r="A70" t="str">
        <f>AO13</f>
        <v>U-PIP-GASNAT_01</v>
      </c>
      <c r="B70" t="str">
        <f>AP13</f>
        <v>UPS Pipeline : Natural gas - New</v>
      </c>
      <c r="G70" s="4" t="s">
        <v>695</v>
      </c>
      <c r="H70" s="4"/>
      <c r="I70" s="4"/>
      <c r="J70" s="4" t="s">
        <v>2665</v>
      </c>
      <c r="K70" s="355">
        <v>1</v>
      </c>
      <c r="L70" s="355">
        <v>1</v>
      </c>
      <c r="M70" s="355">
        <v>1</v>
      </c>
      <c r="N70" s="355">
        <v>1</v>
      </c>
      <c r="O70" s="355">
        <v>1</v>
      </c>
      <c r="P70" s="355">
        <v>1</v>
      </c>
      <c r="Q70" s="355">
        <v>1</v>
      </c>
      <c r="R70" s="355">
        <v>1</v>
      </c>
      <c r="S70" s="355">
        <v>1</v>
      </c>
      <c r="T70" s="355">
        <v>1</v>
      </c>
      <c r="U70" s="355">
        <v>1</v>
      </c>
      <c r="V70" s="355">
        <v>1</v>
      </c>
      <c r="W70" s="355">
        <v>1</v>
      </c>
      <c r="X70" s="355">
        <v>1</v>
      </c>
      <c r="Y70" s="355">
        <v>1</v>
      </c>
      <c r="Z70" s="355">
        <v>1</v>
      </c>
      <c r="AA70" s="355">
        <v>1</v>
      </c>
      <c r="AB70" s="355">
        <v>1</v>
      </c>
      <c r="AC70" s="355">
        <v>1</v>
      </c>
      <c r="AD70" s="355">
        <v>1</v>
      </c>
      <c r="AE70" s="355">
        <v>1</v>
      </c>
      <c r="AF70" s="355">
        <v>1</v>
      </c>
      <c r="AG70" s="355">
        <v>1</v>
      </c>
      <c r="AH70" s="355">
        <v>1</v>
      </c>
      <c r="AI70" s="355">
        <v>1</v>
      </c>
      <c r="AJ70" s="355">
        <v>1</v>
      </c>
      <c r="AK70" s="355">
        <v>1</v>
      </c>
      <c r="AL70" s="355">
        <v>1</v>
      </c>
    </row>
    <row r="71" spans="1:38">
      <c r="G71" s="4" t="s">
        <v>697</v>
      </c>
      <c r="H71" s="4"/>
      <c r="I71" s="4"/>
      <c r="J71" s="4" t="s">
        <v>698</v>
      </c>
      <c r="K71" s="331">
        <v>100</v>
      </c>
      <c r="L71" s="331">
        <v>100</v>
      </c>
      <c r="M71" s="331">
        <v>100</v>
      </c>
      <c r="N71" s="331">
        <v>100</v>
      </c>
      <c r="O71" s="331">
        <v>100</v>
      </c>
      <c r="P71" s="331">
        <v>100</v>
      </c>
      <c r="Q71" s="331">
        <v>100</v>
      </c>
      <c r="R71" s="331">
        <v>100</v>
      </c>
      <c r="S71" s="331">
        <v>100</v>
      </c>
      <c r="T71" s="331">
        <v>100</v>
      </c>
      <c r="U71" s="331">
        <v>100</v>
      </c>
      <c r="V71" s="331">
        <v>100</v>
      </c>
      <c r="W71" s="331">
        <v>100</v>
      </c>
      <c r="X71" s="331">
        <v>100</v>
      </c>
      <c r="Y71" s="331">
        <v>100</v>
      </c>
      <c r="Z71" s="331">
        <v>100</v>
      </c>
      <c r="AA71" s="331">
        <v>100</v>
      </c>
      <c r="AB71" s="331">
        <v>100</v>
      </c>
      <c r="AC71" s="331">
        <v>100</v>
      </c>
      <c r="AD71" s="331">
        <v>100</v>
      </c>
      <c r="AE71" s="331">
        <v>100</v>
      </c>
      <c r="AF71" s="331">
        <v>100</v>
      </c>
      <c r="AG71" s="331">
        <v>100</v>
      </c>
      <c r="AH71" s="331">
        <v>100</v>
      </c>
      <c r="AI71" s="331">
        <v>100</v>
      </c>
      <c r="AJ71" s="331">
        <v>100</v>
      </c>
      <c r="AK71" s="331">
        <v>100</v>
      </c>
      <c r="AL71" s="331">
        <v>100</v>
      </c>
    </row>
    <row r="72" spans="1:38">
      <c r="G72" s="4" t="s">
        <v>707</v>
      </c>
      <c r="H72" s="4"/>
      <c r="I72" s="4"/>
      <c r="J72" s="4" t="s">
        <v>2669</v>
      </c>
      <c r="K72" s="385">
        <v>2020</v>
      </c>
      <c r="L72" s="385">
        <v>2020</v>
      </c>
      <c r="M72" s="385">
        <v>2020</v>
      </c>
      <c r="N72" s="385">
        <v>2020</v>
      </c>
      <c r="O72" s="385">
        <v>2020</v>
      </c>
      <c r="P72" s="385">
        <v>2020</v>
      </c>
      <c r="Q72" s="385">
        <v>2020</v>
      </c>
      <c r="R72" s="385">
        <v>2020</v>
      </c>
      <c r="S72" s="385">
        <v>2020</v>
      </c>
      <c r="T72" s="385">
        <v>2020</v>
      </c>
      <c r="U72" s="385">
        <v>2020</v>
      </c>
      <c r="V72" s="385">
        <v>2020</v>
      </c>
      <c r="W72" s="385">
        <v>2020</v>
      </c>
      <c r="X72" s="385">
        <v>2020</v>
      </c>
      <c r="Y72" s="385">
        <v>2020</v>
      </c>
      <c r="Z72" s="385">
        <v>2020</v>
      </c>
      <c r="AA72" s="385">
        <v>2020</v>
      </c>
      <c r="AB72" s="385">
        <v>2020</v>
      </c>
      <c r="AC72" s="385">
        <v>2020</v>
      </c>
      <c r="AD72" s="385">
        <v>2020</v>
      </c>
      <c r="AE72" s="385">
        <v>2020</v>
      </c>
      <c r="AF72" s="385">
        <v>2020</v>
      </c>
      <c r="AG72" s="385">
        <v>2020</v>
      </c>
      <c r="AH72" s="385">
        <v>2020</v>
      </c>
      <c r="AI72" s="385">
        <v>2020</v>
      </c>
      <c r="AJ72" s="385">
        <v>2020</v>
      </c>
      <c r="AK72" s="385">
        <v>2020</v>
      </c>
      <c r="AL72" s="385">
        <v>2020</v>
      </c>
    </row>
    <row r="73" spans="1:38">
      <c r="G73" s="4" t="s">
        <v>687</v>
      </c>
      <c r="H73" s="4"/>
      <c r="I73" s="4"/>
      <c r="J73" s="4" t="s">
        <v>2663</v>
      </c>
      <c r="K73" s="174">
        <f>'Key inputs_Pipelines'!C$12*10^3</f>
        <v>9.2592592592592595</v>
      </c>
      <c r="L73" s="174">
        <f>'Key inputs_Pipelines'!D$12*10^3</f>
        <v>67.635073249187585</v>
      </c>
      <c r="M73" s="174">
        <f>'Key inputs_Pipelines'!E$12*10^3</f>
        <v>1.7921146953405018</v>
      </c>
      <c r="N73" s="174">
        <f>'Key inputs_Pipelines'!F$12*10^3</f>
        <v>7.9894013297060509</v>
      </c>
      <c r="O73" s="174">
        <f>'Key inputs_Pipelines'!G$12*10^3</f>
        <v>7.0905163623297573</v>
      </c>
      <c r="P73" s="174">
        <f>'Key inputs_Pipelines'!H$12*10^3</f>
        <v>3.6074459078597942</v>
      </c>
      <c r="Q73" s="174">
        <f>'Key inputs_Pipelines'!I$12*10^3</f>
        <v>2.2222222222222223</v>
      </c>
      <c r="R73" s="174">
        <f>'Key inputs_Pipelines'!J$12*10^3</f>
        <v>5.8303427728956798</v>
      </c>
      <c r="S73" s="174">
        <f>'Key inputs_Pipelines'!K$12*10^3</f>
        <v>6.5679043841691653</v>
      </c>
      <c r="T73" s="174">
        <f>'Key inputs_Pipelines'!L$12*10^3</f>
        <v>3.5056620754683645</v>
      </c>
      <c r="U73" s="174">
        <f>'Key inputs_Pipelines'!M$12*10^3</f>
        <v>7.9894013297060509</v>
      </c>
      <c r="V73" s="174">
        <f>'Key inputs_Pipelines'!N$12*10^3</f>
        <v>4.6439797913088663</v>
      </c>
      <c r="W73" s="174">
        <f>'Key inputs_Pipelines'!O$12*10^3</f>
        <v>1.020879055327506</v>
      </c>
      <c r="X73" s="174">
        <f>'Key inputs_Pipelines'!P$12*10^3</f>
        <v>6.3583333333333334</v>
      </c>
      <c r="Y73" s="174">
        <f>'Key inputs_Pipelines'!Q$12*10^3</f>
        <v>1.7906497024849293</v>
      </c>
      <c r="Z73" s="174">
        <f>'Key inputs_Pipelines'!R$12*10^3</f>
        <v>3.2379358270311567</v>
      </c>
      <c r="AA73" s="174">
        <f>'Key inputs_Pipelines'!S$12*10^3</f>
        <v>1.2689442417549948</v>
      </c>
      <c r="AB73" s="174">
        <f>'Key inputs_Pipelines'!T$12*10^3</f>
        <v>2.1491510853212978</v>
      </c>
      <c r="AC73" s="174">
        <f>'Key inputs_Pipelines'!U$12*10^3</f>
        <v>3.5114028597159619</v>
      </c>
      <c r="AD73" s="174">
        <f>'Key inputs_Pipelines'!V$12*10^3</f>
        <v>7.9894013297060509</v>
      </c>
      <c r="AE73" s="174">
        <f>'Key inputs_Pipelines'!W$12*10^3</f>
        <v>9.3362485769430794</v>
      </c>
      <c r="AF73" s="174">
        <f>'Key inputs_Pipelines'!X$12*10^3</f>
        <v>7.2930568359219441</v>
      </c>
      <c r="AG73" s="174">
        <f>'Key inputs_Pipelines'!Y$12*10^3</f>
        <v>10.633730558689228</v>
      </c>
      <c r="AH73" s="174">
        <f>'Key inputs_Pipelines'!Z$12*10^3</f>
        <v>6.0853146891578929</v>
      </c>
      <c r="AI73" s="174">
        <f>'Key inputs_Pipelines'!AA$12*10^3</f>
        <v>12.467601118614009</v>
      </c>
      <c r="AJ73" s="174">
        <f>'Key inputs_Pipelines'!AB$12*10^3</f>
        <v>11.559407080429374</v>
      </c>
      <c r="AK73" s="174">
        <f>'Key inputs_Pipelines'!AC$12*10^3</f>
        <v>7.9894013297060509</v>
      </c>
      <c r="AL73" s="174">
        <f>'Key inputs_Pipelines'!AD$12*10^3</f>
        <v>2.8784562281793065</v>
      </c>
    </row>
    <row r="74" spans="1:38">
      <c r="G74" s="4" t="s">
        <v>689</v>
      </c>
      <c r="H74" s="4"/>
      <c r="I74" s="4"/>
      <c r="J74" s="4" t="s">
        <v>2662</v>
      </c>
      <c r="K74" s="355"/>
      <c r="L74" s="355"/>
      <c r="M74" s="355"/>
      <c r="N74" s="355"/>
      <c r="O74" s="355"/>
      <c r="P74" s="355"/>
      <c r="Q74" s="355"/>
      <c r="R74" s="355"/>
      <c r="S74" s="355"/>
      <c r="T74" s="355"/>
      <c r="U74" s="355"/>
      <c r="V74" s="355"/>
      <c r="W74" s="355"/>
      <c r="X74" s="355"/>
      <c r="Y74" s="355"/>
      <c r="Z74" s="355"/>
      <c r="AA74" s="355"/>
      <c r="AB74" s="355"/>
      <c r="AC74" s="355"/>
      <c r="AD74" s="355"/>
      <c r="AE74" s="355"/>
      <c r="AF74" s="355"/>
      <c r="AG74" s="355"/>
      <c r="AH74" s="355"/>
      <c r="AI74" s="355"/>
      <c r="AJ74" s="355"/>
      <c r="AK74" s="355"/>
      <c r="AL74" s="355"/>
    </row>
    <row r="75" spans="1:38">
      <c r="G75" s="4" t="s">
        <v>675</v>
      </c>
      <c r="H75" s="4"/>
      <c r="I75" s="4"/>
      <c r="J75" s="4"/>
      <c r="K75" s="355"/>
      <c r="L75" s="355"/>
      <c r="M75" s="355"/>
      <c r="N75" s="355"/>
      <c r="O75" s="355"/>
      <c r="P75" s="355"/>
      <c r="Q75" s="355"/>
      <c r="R75" s="355"/>
      <c r="S75" s="355"/>
      <c r="T75" s="355"/>
      <c r="U75" s="355"/>
      <c r="V75" s="355"/>
      <c r="W75" s="355"/>
      <c r="X75" s="355"/>
      <c r="Y75" s="355"/>
      <c r="Z75" s="355"/>
      <c r="AA75" s="355"/>
      <c r="AB75" s="355"/>
      <c r="AC75" s="355"/>
      <c r="AD75" s="355"/>
      <c r="AE75" s="355"/>
      <c r="AF75" s="355"/>
      <c r="AG75" s="355"/>
      <c r="AH75" s="355"/>
      <c r="AI75" s="355"/>
      <c r="AJ75" s="355"/>
      <c r="AK75" s="355"/>
      <c r="AL75" s="355"/>
    </row>
    <row r="76" spans="1:38">
      <c r="D76" t="str">
        <f>Commodities!$C$25</f>
        <v>GASNAT</v>
      </c>
      <c r="G76" s="4"/>
      <c r="H76" s="4"/>
      <c r="I76" s="4"/>
      <c r="J76" s="4"/>
    </row>
    <row r="77" spans="1:38">
      <c r="C77" t="str">
        <f>Commodities!$C$33</f>
        <v>GASPIP</v>
      </c>
      <c r="G77" s="4" t="s">
        <v>690</v>
      </c>
      <c r="H77" s="4"/>
      <c r="I77" s="4"/>
      <c r="J77" s="4" t="s">
        <v>112</v>
      </c>
      <c r="K77" s="355">
        <v>1</v>
      </c>
      <c r="L77" s="355">
        <v>1</v>
      </c>
      <c r="M77" s="355">
        <v>1</v>
      </c>
      <c r="N77" s="355">
        <v>1</v>
      </c>
      <c r="O77" s="355">
        <v>1</v>
      </c>
      <c r="P77" s="355">
        <v>1</v>
      </c>
      <c r="Q77" s="355">
        <v>1</v>
      </c>
      <c r="R77" s="355">
        <v>1</v>
      </c>
      <c r="S77" s="355">
        <v>1</v>
      </c>
      <c r="T77" s="355">
        <v>1</v>
      </c>
      <c r="U77" s="355">
        <v>1</v>
      </c>
      <c r="V77" s="355">
        <v>1</v>
      </c>
      <c r="W77" s="355">
        <v>1</v>
      </c>
      <c r="X77" s="355">
        <v>1</v>
      </c>
      <c r="Y77" s="355">
        <v>1</v>
      </c>
      <c r="Z77" s="355">
        <v>1</v>
      </c>
      <c r="AA77" s="355">
        <v>1</v>
      </c>
      <c r="AB77" s="355">
        <v>1</v>
      </c>
      <c r="AC77" s="355">
        <v>1</v>
      </c>
      <c r="AD77" s="355">
        <v>1</v>
      </c>
      <c r="AE77" s="355">
        <v>1</v>
      </c>
      <c r="AF77" s="355">
        <v>1</v>
      </c>
      <c r="AG77" s="355">
        <v>1</v>
      </c>
      <c r="AH77" s="355">
        <v>1</v>
      </c>
      <c r="AI77" s="355">
        <v>1</v>
      </c>
      <c r="AJ77" s="355">
        <v>1</v>
      </c>
      <c r="AK77" s="355">
        <v>1</v>
      </c>
      <c r="AL77" s="355">
        <v>1</v>
      </c>
    </row>
    <row r="78" spans="1:38">
      <c r="E78" s="4" t="s">
        <v>359</v>
      </c>
      <c r="F78" s="4" t="s">
        <v>691</v>
      </c>
      <c r="G78" s="4" t="s">
        <v>692</v>
      </c>
      <c r="J78" s="4" t="s">
        <v>2664</v>
      </c>
      <c r="K78" s="173">
        <f>IF(K21="",AVERAGE($K$21:$AL$21),K21)</f>
        <v>6729.5669553163043</v>
      </c>
      <c r="L78" s="173">
        <f t="shared" ref="L78:AL78" si="0">IF(L21="",AVERAGE($K$21:$AL$21),L21)</f>
        <v>3040.5285714285719</v>
      </c>
      <c r="M78" s="173">
        <f t="shared" si="0"/>
        <v>80880.31578947368</v>
      </c>
      <c r="N78" s="173">
        <f t="shared" si="0"/>
        <v>3171.3731473408898</v>
      </c>
      <c r="O78" s="173">
        <f t="shared" si="0"/>
        <v>362.72268549516099</v>
      </c>
      <c r="P78" s="173">
        <f t="shared" si="0"/>
        <v>130.91142329778506</v>
      </c>
      <c r="Q78" s="173">
        <f t="shared" si="0"/>
        <v>6729.5669553163043</v>
      </c>
      <c r="R78" s="173">
        <f t="shared" si="0"/>
        <v>6729.5669553163043</v>
      </c>
      <c r="S78" s="173">
        <f t="shared" si="0"/>
        <v>6729.5669553163043</v>
      </c>
      <c r="T78" s="173">
        <f t="shared" si="0"/>
        <v>108.35872307280951</v>
      </c>
      <c r="U78" s="173">
        <f t="shared" si="0"/>
        <v>20244.666666666668</v>
      </c>
      <c r="V78" s="173">
        <f t="shared" si="0"/>
        <v>727.61100355679616</v>
      </c>
      <c r="W78" s="173">
        <f t="shared" si="0"/>
        <v>11.241340237587572</v>
      </c>
      <c r="X78" s="173">
        <f t="shared" si="0"/>
        <v>19158.703642384105</v>
      </c>
      <c r="Y78" s="173">
        <f t="shared" si="0"/>
        <v>30.145210009220698</v>
      </c>
      <c r="Z78" s="173">
        <f t="shared" si="0"/>
        <v>28.253577213822894</v>
      </c>
      <c r="AA78" s="173">
        <f t="shared" si="0"/>
        <v>47.550770866560335</v>
      </c>
      <c r="AB78" s="173">
        <f t="shared" si="0"/>
        <v>6729.5669553163043</v>
      </c>
      <c r="AC78" s="173">
        <f t="shared" si="0"/>
        <v>133.88564040318752</v>
      </c>
      <c r="AD78" s="173">
        <f t="shared" si="0"/>
        <v>6729.5669553163043</v>
      </c>
      <c r="AE78" s="173">
        <f t="shared" si="0"/>
        <v>357.74976159757671</v>
      </c>
      <c r="AF78" s="173">
        <f t="shared" si="0"/>
        <v>58.017155412828536</v>
      </c>
      <c r="AG78" s="173">
        <f t="shared" si="0"/>
        <v>4824.0470841578399</v>
      </c>
      <c r="AH78" s="173">
        <f t="shared" si="0"/>
        <v>6729.5669553163043</v>
      </c>
      <c r="AI78" s="173">
        <f t="shared" si="0"/>
        <v>6729.5669553163043</v>
      </c>
      <c r="AJ78" s="173">
        <f t="shared" si="0"/>
        <v>41.467381794239898</v>
      </c>
      <c r="AK78" s="173">
        <f t="shared" si="0"/>
        <v>1161.9642857142858</v>
      </c>
      <c r="AL78" s="173">
        <f t="shared" si="0"/>
        <v>71.825246202475896</v>
      </c>
    </row>
    <row r="79" spans="1:38">
      <c r="C79" t="str">
        <f>Commodities!$C$90</f>
        <v>UPSDSL</v>
      </c>
      <c r="E79" s="4"/>
      <c r="F79" s="4" t="s">
        <v>359</v>
      </c>
      <c r="G79" s="4" t="s">
        <v>702</v>
      </c>
      <c r="H79" t="s">
        <v>661</v>
      </c>
      <c r="I79">
        <v>2019</v>
      </c>
      <c r="J79" t="s">
        <v>650</v>
      </c>
      <c r="K79" s="173">
        <f t="shared" ref="K79:K86" si="1">IF(K22="",MAX($K22:$AL22),K22)</f>
        <v>0.9107142857142857</v>
      </c>
      <c r="L79" s="173">
        <f t="shared" ref="L79:AL86" si="2">IF(L22="",MAX($K22:$AL22),L22)</f>
        <v>0</v>
      </c>
      <c r="M79" s="173">
        <f t="shared" si="2"/>
        <v>0</v>
      </c>
      <c r="N79" s="173">
        <f t="shared" si="2"/>
        <v>0.74455100261551876</v>
      </c>
      <c r="O79" s="173">
        <f t="shared" si="2"/>
        <v>0</v>
      </c>
      <c r="P79" s="173">
        <f t="shared" si="2"/>
        <v>2.645611156685808E-3</v>
      </c>
      <c r="Q79" s="173">
        <f t="shared" si="2"/>
        <v>0.9107142857142857</v>
      </c>
      <c r="R79" s="173">
        <f t="shared" si="2"/>
        <v>0.9107142857142857</v>
      </c>
      <c r="S79" s="173">
        <f t="shared" si="2"/>
        <v>0.9107142857142857</v>
      </c>
      <c r="T79" s="173">
        <f t="shared" si="2"/>
        <v>1.8193654890198677E-3</v>
      </c>
      <c r="U79" s="173">
        <f t="shared" si="2"/>
        <v>0</v>
      </c>
      <c r="V79" s="173">
        <f t="shared" si="2"/>
        <v>1.3957048309396244E-3</v>
      </c>
      <c r="W79" s="173">
        <f t="shared" si="2"/>
        <v>0</v>
      </c>
      <c r="X79" s="173">
        <f t="shared" si="2"/>
        <v>0</v>
      </c>
      <c r="Y79" s="173">
        <f t="shared" si="2"/>
        <v>1E-3</v>
      </c>
      <c r="Z79" s="173">
        <f t="shared" si="2"/>
        <v>0</v>
      </c>
      <c r="AA79" s="173">
        <f t="shared" si="2"/>
        <v>0</v>
      </c>
      <c r="AB79" s="173">
        <f t="shared" si="2"/>
        <v>0.9107142857142857</v>
      </c>
      <c r="AC79" s="173">
        <f t="shared" si="2"/>
        <v>0</v>
      </c>
      <c r="AD79" s="173">
        <f t="shared" si="2"/>
        <v>0.9107142857142857</v>
      </c>
      <c r="AE79" s="173">
        <f t="shared" si="2"/>
        <v>0</v>
      </c>
      <c r="AF79" s="173">
        <f t="shared" si="2"/>
        <v>0</v>
      </c>
      <c r="AG79" s="173">
        <f t="shared" si="2"/>
        <v>7.2168548480968462E-3</v>
      </c>
      <c r="AH79" s="173">
        <f t="shared" si="2"/>
        <v>0.9107142857142857</v>
      </c>
      <c r="AI79" s="173">
        <f t="shared" si="2"/>
        <v>0.9107142857142857</v>
      </c>
      <c r="AJ79" s="173">
        <f t="shared" si="2"/>
        <v>7.0210921467219797E-3</v>
      </c>
      <c r="AK79" s="173">
        <f t="shared" si="2"/>
        <v>0.9107142857142857</v>
      </c>
      <c r="AL79" s="173">
        <f t="shared" si="2"/>
        <v>0</v>
      </c>
    </row>
    <row r="80" spans="1:38">
      <c r="C80" t="str">
        <f>Commodities!$C$91</f>
        <v>UPSELC</v>
      </c>
      <c r="F80" s="4" t="s">
        <v>359</v>
      </c>
      <c r="G80" s="4" t="s">
        <v>702</v>
      </c>
      <c r="H80" t="s">
        <v>661</v>
      </c>
      <c r="I80">
        <v>2019</v>
      </c>
      <c r="J80" t="s">
        <v>650</v>
      </c>
      <c r="K80" s="173">
        <f t="shared" si="1"/>
        <v>1</v>
      </c>
      <c r="L80" s="173">
        <f t="shared" ref="L80:Z80" si="3">IF(L23="",MAX($K23:$AL23),L23)</f>
        <v>2.3333333333333338E-2</v>
      </c>
      <c r="M80" s="173">
        <f t="shared" si="3"/>
        <v>1</v>
      </c>
      <c r="N80" s="173">
        <f t="shared" si="3"/>
        <v>0.24934612031386225</v>
      </c>
      <c r="O80" s="173">
        <f t="shared" si="3"/>
        <v>4.7781362225333246E-2</v>
      </c>
      <c r="P80" s="173">
        <f t="shared" si="3"/>
        <v>2.656890894175554E-2</v>
      </c>
      <c r="Q80" s="173">
        <f t="shared" si="3"/>
        <v>1</v>
      </c>
      <c r="R80" s="173">
        <f t="shared" si="3"/>
        <v>1</v>
      </c>
      <c r="S80" s="173">
        <f t="shared" si="3"/>
        <v>1</v>
      </c>
      <c r="T80" s="173">
        <f t="shared" si="3"/>
        <v>0.13492949232146387</v>
      </c>
      <c r="U80" s="173">
        <f t="shared" si="3"/>
        <v>0</v>
      </c>
      <c r="V80" s="173">
        <f t="shared" si="3"/>
        <v>0.70393048489487187</v>
      </c>
      <c r="W80" s="173">
        <f t="shared" si="3"/>
        <v>2.8303381053914105E-2</v>
      </c>
      <c r="X80" s="173">
        <f t="shared" si="3"/>
        <v>0</v>
      </c>
      <c r="Y80" s="173">
        <f t="shared" si="3"/>
        <v>4.4386505993450134E-2</v>
      </c>
      <c r="Z80" s="173">
        <f t="shared" si="3"/>
        <v>0.31526727861771053</v>
      </c>
      <c r="AA80" s="173">
        <f t="shared" si="2"/>
        <v>2.3796865902129059E-2</v>
      </c>
      <c r="AB80" s="173">
        <f t="shared" si="2"/>
        <v>1</v>
      </c>
      <c r="AC80" s="173">
        <f t="shared" si="2"/>
        <v>0</v>
      </c>
      <c r="AD80" s="173">
        <f t="shared" si="2"/>
        <v>1</v>
      </c>
      <c r="AE80" s="173">
        <f t="shared" si="2"/>
        <v>0</v>
      </c>
      <c r="AF80" s="173">
        <f t="shared" si="2"/>
        <v>8.8227837403870538E-2</v>
      </c>
      <c r="AG80" s="173">
        <f t="shared" si="2"/>
        <v>0</v>
      </c>
      <c r="AH80" s="173">
        <f t="shared" si="2"/>
        <v>1</v>
      </c>
      <c r="AI80" s="173">
        <f t="shared" si="2"/>
        <v>1</v>
      </c>
      <c r="AJ80" s="173">
        <f t="shared" si="2"/>
        <v>6.4383936254417753E-2</v>
      </c>
      <c r="AK80" s="173">
        <f t="shared" si="2"/>
        <v>0</v>
      </c>
      <c r="AL80" s="173">
        <f t="shared" si="2"/>
        <v>0</v>
      </c>
    </row>
    <row r="81" spans="1:38">
      <c r="C81" t="str">
        <f>Commodities!$C$92</f>
        <v>UPSGAS</v>
      </c>
      <c r="F81" s="4" t="s">
        <v>359</v>
      </c>
      <c r="G81" s="4" t="s">
        <v>702</v>
      </c>
      <c r="H81" t="s">
        <v>661</v>
      </c>
      <c r="I81">
        <v>2019</v>
      </c>
      <c r="J81" t="s">
        <v>650</v>
      </c>
      <c r="K81" s="173">
        <f t="shared" si="1"/>
        <v>1</v>
      </c>
      <c r="L81" s="173">
        <f t="shared" si="2"/>
        <v>0.97666666666666668</v>
      </c>
      <c r="M81" s="173">
        <f t="shared" si="2"/>
        <v>0</v>
      </c>
      <c r="N81" s="173">
        <f t="shared" si="2"/>
        <v>0</v>
      </c>
      <c r="O81" s="173">
        <f t="shared" si="2"/>
        <v>0.95221863777466675</v>
      </c>
      <c r="P81" s="173">
        <f t="shared" si="2"/>
        <v>0.97013945857260053</v>
      </c>
      <c r="Q81" s="173">
        <f t="shared" si="2"/>
        <v>1</v>
      </c>
      <c r="R81" s="173">
        <f t="shared" si="2"/>
        <v>1</v>
      </c>
      <c r="S81" s="173">
        <f t="shared" si="2"/>
        <v>1</v>
      </c>
      <c r="T81" s="173">
        <f t="shared" si="2"/>
        <v>0.86151315407061235</v>
      </c>
      <c r="U81" s="173">
        <f t="shared" si="2"/>
        <v>0</v>
      </c>
      <c r="V81" s="173">
        <f t="shared" si="2"/>
        <v>0</v>
      </c>
      <c r="W81" s="173">
        <f t="shared" si="2"/>
        <v>0.97169661894608594</v>
      </c>
      <c r="X81" s="173">
        <f t="shared" si="2"/>
        <v>1</v>
      </c>
      <c r="Y81" s="173">
        <f t="shared" si="2"/>
        <v>0.95548631204095269</v>
      </c>
      <c r="Z81" s="173">
        <f t="shared" si="2"/>
        <v>0.68473272138228947</v>
      </c>
      <c r="AA81" s="173">
        <f t="shared" si="2"/>
        <v>0.97620313409787085</v>
      </c>
      <c r="AB81" s="173">
        <f t="shared" si="2"/>
        <v>1</v>
      </c>
      <c r="AC81" s="173">
        <f t="shared" si="2"/>
        <v>1</v>
      </c>
      <c r="AD81" s="173">
        <f t="shared" si="2"/>
        <v>1</v>
      </c>
      <c r="AE81" s="173">
        <f t="shared" si="2"/>
        <v>1</v>
      </c>
      <c r="AF81" s="173">
        <f t="shared" si="2"/>
        <v>0.91177216259612948</v>
      </c>
      <c r="AG81" s="173">
        <f t="shared" si="2"/>
        <v>0.93213828425096024</v>
      </c>
      <c r="AH81" s="173">
        <f t="shared" si="2"/>
        <v>1</v>
      </c>
      <c r="AI81" s="173">
        <f t="shared" si="2"/>
        <v>1</v>
      </c>
      <c r="AJ81" s="173">
        <f t="shared" si="2"/>
        <v>0.92759974882854823</v>
      </c>
      <c r="AK81" s="173">
        <f t="shared" si="2"/>
        <v>0</v>
      </c>
      <c r="AL81" s="173">
        <f t="shared" si="2"/>
        <v>1</v>
      </c>
    </row>
    <row r="82" spans="1:38">
      <c r="C82" t="str">
        <f>Commodities!$C$93</f>
        <v>UPSGSL</v>
      </c>
      <c r="F82" s="4" t="s">
        <v>359</v>
      </c>
      <c r="G82" s="4" t="s">
        <v>702</v>
      </c>
      <c r="H82" t="s">
        <v>661</v>
      </c>
      <c r="I82">
        <v>2019</v>
      </c>
      <c r="J82" t="s">
        <v>650</v>
      </c>
      <c r="K82" s="173">
        <f t="shared" si="1"/>
        <v>2.2061140876142452E-3</v>
      </c>
      <c r="L82" s="173">
        <f t="shared" si="2"/>
        <v>0</v>
      </c>
      <c r="M82" s="173">
        <f t="shared" si="2"/>
        <v>0</v>
      </c>
      <c r="N82" s="173">
        <f t="shared" si="2"/>
        <v>0</v>
      </c>
      <c r="O82" s="173">
        <f t="shared" si="2"/>
        <v>0</v>
      </c>
      <c r="P82" s="173">
        <f t="shared" si="2"/>
        <v>0</v>
      </c>
      <c r="Q82" s="173">
        <f t="shared" si="2"/>
        <v>2.2061140876142452E-3</v>
      </c>
      <c r="R82" s="173">
        <f t="shared" si="2"/>
        <v>2.2061140876142452E-3</v>
      </c>
      <c r="S82" s="173">
        <f t="shared" si="2"/>
        <v>2.2061140876142452E-3</v>
      </c>
      <c r="T82" s="173">
        <f t="shared" si="2"/>
        <v>1.7379881189039631E-3</v>
      </c>
      <c r="U82" s="173">
        <f t="shared" si="2"/>
        <v>0</v>
      </c>
      <c r="V82" s="173">
        <f t="shared" si="2"/>
        <v>2.2061140876142452E-3</v>
      </c>
      <c r="W82" s="173">
        <f t="shared" si="2"/>
        <v>0</v>
      </c>
      <c r="X82" s="173">
        <f t="shared" si="2"/>
        <v>0</v>
      </c>
      <c r="Y82" s="173">
        <f t="shared" si="2"/>
        <v>0</v>
      </c>
      <c r="Z82" s="173">
        <f t="shared" si="2"/>
        <v>0</v>
      </c>
      <c r="AA82" s="173">
        <f t="shared" si="2"/>
        <v>0</v>
      </c>
      <c r="AB82" s="173">
        <f t="shared" si="2"/>
        <v>2.2061140876142452E-3</v>
      </c>
      <c r="AC82" s="173">
        <f t="shared" si="2"/>
        <v>0</v>
      </c>
      <c r="AD82" s="173">
        <f t="shared" si="2"/>
        <v>2.2061140876142452E-3</v>
      </c>
      <c r="AE82" s="173">
        <f t="shared" si="2"/>
        <v>0</v>
      </c>
      <c r="AF82" s="173">
        <f t="shared" si="2"/>
        <v>0</v>
      </c>
      <c r="AG82" s="173">
        <f t="shared" si="2"/>
        <v>0</v>
      </c>
      <c r="AH82" s="173">
        <f t="shared" si="2"/>
        <v>2.2061140876142452E-3</v>
      </c>
      <c r="AI82" s="173">
        <f t="shared" si="2"/>
        <v>2.2061140876142452E-3</v>
      </c>
      <c r="AJ82" s="173">
        <f t="shared" si="2"/>
        <v>1E-3</v>
      </c>
      <c r="AK82" s="173">
        <f t="shared" si="2"/>
        <v>0</v>
      </c>
      <c r="AL82" s="173">
        <f t="shared" si="2"/>
        <v>0</v>
      </c>
    </row>
    <row r="83" spans="1:38">
      <c r="C83" t="str">
        <f>Commodities!$C$95</f>
        <v>UPSHFO</v>
      </c>
      <c r="F83" s="4" t="s">
        <v>359</v>
      </c>
      <c r="G83" s="4" t="s">
        <v>702</v>
      </c>
      <c r="H83" t="s">
        <v>661</v>
      </c>
      <c r="I83">
        <v>2019</v>
      </c>
      <c r="J83" t="s">
        <v>650</v>
      </c>
      <c r="K83" s="263">
        <f t="shared" si="1"/>
        <v>0.29224258250416457</v>
      </c>
      <c r="L83" s="263">
        <f t="shared" si="2"/>
        <v>0</v>
      </c>
      <c r="M83" s="263">
        <f t="shared" si="2"/>
        <v>0</v>
      </c>
      <c r="N83" s="263">
        <f t="shared" si="2"/>
        <v>0</v>
      </c>
      <c r="O83" s="263">
        <f t="shared" si="2"/>
        <v>0</v>
      </c>
      <c r="P83" s="263">
        <f t="shared" si="2"/>
        <v>0</v>
      </c>
      <c r="Q83" s="263">
        <f t="shared" si="2"/>
        <v>0.29224258250416457</v>
      </c>
      <c r="R83" s="263">
        <f t="shared" si="2"/>
        <v>0.29224258250416457</v>
      </c>
      <c r="S83" s="263">
        <f t="shared" si="2"/>
        <v>0.29224258250416457</v>
      </c>
      <c r="T83" s="263">
        <f t="shared" si="2"/>
        <v>0</v>
      </c>
      <c r="U83" s="263">
        <f t="shared" si="2"/>
        <v>0</v>
      </c>
      <c r="V83" s="263">
        <f t="shared" si="2"/>
        <v>0.29224258250416457</v>
      </c>
      <c r="W83" s="263">
        <f t="shared" si="2"/>
        <v>0</v>
      </c>
      <c r="X83" s="263">
        <f t="shared" si="2"/>
        <v>0</v>
      </c>
      <c r="Y83" s="263">
        <f t="shared" si="2"/>
        <v>0</v>
      </c>
      <c r="Z83" s="263">
        <f t="shared" si="2"/>
        <v>0</v>
      </c>
      <c r="AA83" s="263">
        <f t="shared" si="2"/>
        <v>0</v>
      </c>
      <c r="AB83" s="263">
        <f t="shared" si="2"/>
        <v>0.29224258250416457</v>
      </c>
      <c r="AC83" s="263">
        <f t="shared" si="2"/>
        <v>0</v>
      </c>
      <c r="AD83" s="263">
        <f t="shared" si="2"/>
        <v>0.29224258250416457</v>
      </c>
      <c r="AE83" s="263">
        <f t="shared" si="2"/>
        <v>0</v>
      </c>
      <c r="AF83" s="263">
        <f t="shared" si="2"/>
        <v>0</v>
      </c>
      <c r="AG83" s="263">
        <f t="shared" si="2"/>
        <v>0</v>
      </c>
      <c r="AH83" s="263">
        <f t="shared" si="2"/>
        <v>0.29224258250416457</v>
      </c>
      <c r="AI83" s="263">
        <f t="shared" si="2"/>
        <v>0.29224258250416457</v>
      </c>
      <c r="AJ83" s="263">
        <f t="shared" si="2"/>
        <v>1E-3</v>
      </c>
      <c r="AK83" s="263">
        <f t="shared" si="2"/>
        <v>8.9285714285714288E-2</v>
      </c>
      <c r="AL83" s="263">
        <f t="shared" si="2"/>
        <v>0</v>
      </c>
    </row>
    <row r="84" spans="1:38">
      <c r="C84" t="str">
        <f>Commodities!$C$96</f>
        <v>UPSKER</v>
      </c>
      <c r="F84" s="4" t="s">
        <v>359</v>
      </c>
      <c r="G84" s="4" t="s">
        <v>702</v>
      </c>
      <c r="H84" t="s">
        <v>661</v>
      </c>
      <c r="I84">
        <v>2019</v>
      </c>
      <c r="J84" t="s">
        <v>650</v>
      </c>
      <c r="K84" s="263">
        <f t="shared" si="1"/>
        <v>6.0644860900942843E-2</v>
      </c>
      <c r="L84" s="263">
        <f t="shared" si="2"/>
        <v>0</v>
      </c>
      <c r="M84" s="263">
        <f t="shared" si="2"/>
        <v>0</v>
      </c>
      <c r="N84" s="263">
        <f t="shared" si="2"/>
        <v>0</v>
      </c>
      <c r="O84" s="263">
        <f t="shared" si="2"/>
        <v>0</v>
      </c>
      <c r="P84" s="263">
        <f t="shared" si="2"/>
        <v>0</v>
      </c>
      <c r="Q84" s="263">
        <f t="shared" si="2"/>
        <v>6.0644860900942843E-2</v>
      </c>
      <c r="R84" s="263">
        <f t="shared" si="2"/>
        <v>6.0644860900942843E-2</v>
      </c>
      <c r="S84" s="263">
        <f t="shared" si="2"/>
        <v>6.0644860900942843E-2</v>
      </c>
      <c r="T84" s="263">
        <f t="shared" si="2"/>
        <v>0</v>
      </c>
      <c r="U84" s="263">
        <f t="shared" si="2"/>
        <v>0</v>
      </c>
      <c r="V84" s="263">
        <f t="shared" si="2"/>
        <v>0</v>
      </c>
      <c r="W84" s="263">
        <f t="shared" si="2"/>
        <v>0</v>
      </c>
      <c r="X84" s="263">
        <f t="shared" si="2"/>
        <v>0</v>
      </c>
      <c r="Y84" s="263">
        <f t="shared" si="2"/>
        <v>0</v>
      </c>
      <c r="Z84" s="263">
        <f t="shared" si="2"/>
        <v>0</v>
      </c>
      <c r="AA84" s="263">
        <f t="shared" si="2"/>
        <v>0</v>
      </c>
      <c r="AB84" s="263">
        <f t="shared" si="2"/>
        <v>6.0644860900942843E-2</v>
      </c>
      <c r="AC84" s="263">
        <f t="shared" si="2"/>
        <v>0</v>
      </c>
      <c r="AD84" s="263">
        <f t="shared" si="2"/>
        <v>6.0644860900942843E-2</v>
      </c>
      <c r="AE84" s="263">
        <f t="shared" si="2"/>
        <v>0</v>
      </c>
      <c r="AF84" s="263">
        <f t="shared" si="2"/>
        <v>0</v>
      </c>
      <c r="AG84" s="263">
        <f t="shared" si="2"/>
        <v>6.0644860900942843E-2</v>
      </c>
      <c r="AH84" s="263">
        <f t="shared" si="2"/>
        <v>6.0644860900942843E-2</v>
      </c>
      <c r="AI84" s="263">
        <f t="shared" si="2"/>
        <v>6.0644860900942843E-2</v>
      </c>
      <c r="AJ84" s="263">
        <f t="shared" si="2"/>
        <v>0</v>
      </c>
      <c r="AK84" s="263">
        <f t="shared" si="2"/>
        <v>0</v>
      </c>
      <c r="AL84" s="263">
        <f t="shared" si="2"/>
        <v>0</v>
      </c>
    </row>
    <row r="85" spans="1:38">
      <c r="C85" t="str">
        <f>Commodities!$C$97</f>
        <v>UPSLPG</v>
      </c>
      <c r="F85" s="4" t="s">
        <v>359</v>
      </c>
      <c r="G85" s="4" t="s">
        <v>702</v>
      </c>
      <c r="H85" t="s">
        <v>661</v>
      </c>
      <c r="I85">
        <v>2019</v>
      </c>
      <c r="J85" t="s">
        <v>650</v>
      </c>
      <c r="K85" s="263">
        <f t="shared" si="1"/>
        <v>1</v>
      </c>
      <c r="L85" s="263">
        <f t="shared" si="2"/>
        <v>0</v>
      </c>
      <c r="M85" s="263">
        <f t="shared" si="2"/>
        <v>0</v>
      </c>
      <c r="N85" s="263">
        <f t="shared" si="2"/>
        <v>6.1028770706190068E-3</v>
      </c>
      <c r="O85" s="263">
        <f t="shared" si="2"/>
        <v>0</v>
      </c>
      <c r="P85" s="263">
        <f t="shared" si="2"/>
        <v>0</v>
      </c>
      <c r="Q85" s="263">
        <f t="shared" si="2"/>
        <v>1</v>
      </c>
      <c r="R85" s="263">
        <f t="shared" si="2"/>
        <v>1</v>
      </c>
      <c r="S85" s="263">
        <f t="shared" si="2"/>
        <v>1</v>
      </c>
      <c r="T85" s="263">
        <f t="shared" si="2"/>
        <v>0</v>
      </c>
      <c r="U85" s="263">
        <f t="shared" si="2"/>
        <v>1</v>
      </c>
      <c r="V85" s="263">
        <f t="shared" si="2"/>
        <v>1E-3</v>
      </c>
      <c r="W85" s="263">
        <f t="shared" si="2"/>
        <v>0</v>
      </c>
      <c r="X85" s="263">
        <f t="shared" si="2"/>
        <v>0</v>
      </c>
      <c r="Y85" s="263">
        <f t="shared" si="2"/>
        <v>0</v>
      </c>
      <c r="Z85" s="263">
        <f t="shared" si="2"/>
        <v>0</v>
      </c>
      <c r="AA85" s="263">
        <f t="shared" si="2"/>
        <v>0</v>
      </c>
      <c r="AB85" s="263">
        <f t="shared" si="2"/>
        <v>1</v>
      </c>
      <c r="AC85" s="263">
        <f t="shared" si="2"/>
        <v>0</v>
      </c>
      <c r="AD85" s="263">
        <f t="shared" si="2"/>
        <v>1</v>
      </c>
      <c r="AE85" s="263">
        <f t="shared" si="2"/>
        <v>0</v>
      </c>
      <c r="AF85" s="263">
        <f t="shared" si="2"/>
        <v>0</v>
      </c>
      <c r="AG85" s="263">
        <f t="shared" si="2"/>
        <v>0</v>
      </c>
      <c r="AH85" s="263">
        <f t="shared" si="2"/>
        <v>1</v>
      </c>
      <c r="AI85" s="263">
        <f t="shared" si="2"/>
        <v>1</v>
      </c>
      <c r="AJ85" s="263">
        <f t="shared" si="2"/>
        <v>1E-3</v>
      </c>
      <c r="AK85" s="263">
        <f t="shared" si="2"/>
        <v>0</v>
      </c>
      <c r="AL85" s="263">
        <f t="shared" si="2"/>
        <v>0</v>
      </c>
    </row>
    <row r="86" spans="1:38">
      <c r="A86" s="236"/>
      <c r="B86" s="236"/>
      <c r="C86" s="236" t="str">
        <f>Commodities!$C$99</f>
        <v>UPSOIL</v>
      </c>
      <c r="D86" s="236"/>
      <c r="E86" s="236"/>
      <c r="F86" s="259" t="s">
        <v>359</v>
      </c>
      <c r="G86" s="259" t="s">
        <v>702</v>
      </c>
      <c r="H86" s="236" t="s">
        <v>661</v>
      </c>
      <c r="I86" s="236">
        <v>2019</v>
      </c>
      <c r="J86" s="236" t="s">
        <v>650</v>
      </c>
      <c r="K86" s="264">
        <f t="shared" si="1"/>
        <v>1E-3</v>
      </c>
      <c r="L86" s="264">
        <f t="shared" si="2"/>
        <v>0</v>
      </c>
      <c r="M86" s="264">
        <f t="shared" si="2"/>
        <v>0</v>
      </c>
      <c r="N86" s="264">
        <f t="shared" si="2"/>
        <v>0</v>
      </c>
      <c r="O86" s="264">
        <f t="shared" si="2"/>
        <v>0</v>
      </c>
      <c r="P86" s="264">
        <f t="shared" si="2"/>
        <v>1E-3</v>
      </c>
      <c r="Q86" s="264">
        <f t="shared" si="2"/>
        <v>1E-3</v>
      </c>
      <c r="R86" s="264">
        <f t="shared" si="2"/>
        <v>1E-3</v>
      </c>
      <c r="S86" s="264">
        <f t="shared" si="2"/>
        <v>1E-3</v>
      </c>
      <c r="T86" s="264">
        <f t="shared" si="2"/>
        <v>0</v>
      </c>
      <c r="U86" s="264">
        <f t="shared" si="2"/>
        <v>0</v>
      </c>
      <c r="V86" s="264">
        <f t="shared" si="2"/>
        <v>0</v>
      </c>
      <c r="W86" s="264">
        <f t="shared" si="2"/>
        <v>0</v>
      </c>
      <c r="X86" s="264">
        <f t="shared" si="2"/>
        <v>0</v>
      </c>
      <c r="Y86" s="264">
        <f t="shared" si="2"/>
        <v>0</v>
      </c>
      <c r="Z86" s="264">
        <f t="shared" si="2"/>
        <v>0</v>
      </c>
      <c r="AA86" s="264">
        <f t="shared" si="2"/>
        <v>0</v>
      </c>
      <c r="AB86" s="264">
        <f t="shared" si="2"/>
        <v>1E-3</v>
      </c>
      <c r="AC86" s="264">
        <f t="shared" si="2"/>
        <v>0</v>
      </c>
      <c r="AD86" s="264">
        <f t="shared" si="2"/>
        <v>1E-3</v>
      </c>
      <c r="AE86" s="264">
        <f t="shared" si="2"/>
        <v>0</v>
      </c>
      <c r="AF86" s="264">
        <f t="shared" si="2"/>
        <v>0</v>
      </c>
      <c r="AG86" s="264">
        <f t="shared" si="2"/>
        <v>0</v>
      </c>
      <c r="AH86" s="264">
        <f t="shared" si="2"/>
        <v>1E-3</v>
      </c>
      <c r="AI86" s="264">
        <f t="shared" si="2"/>
        <v>1E-3</v>
      </c>
      <c r="AJ86" s="264">
        <f t="shared" si="2"/>
        <v>0</v>
      </c>
      <c r="AK86" s="264">
        <f t="shared" si="2"/>
        <v>0</v>
      </c>
      <c r="AL86" s="264">
        <f t="shared" si="2"/>
        <v>0</v>
      </c>
    </row>
    <row r="87" spans="1:38">
      <c r="A87" t="str">
        <f>AO14</f>
        <v>U-PIP-OILNGL_01</v>
      </c>
      <c r="B87" t="str">
        <f>AP14</f>
        <v>UPS Pipeline : Natural gas liquids - New</v>
      </c>
      <c r="G87" s="4" t="s">
        <v>695</v>
      </c>
      <c r="H87" s="4"/>
      <c r="I87" s="4"/>
      <c r="J87" s="4" t="s">
        <v>2665</v>
      </c>
      <c r="K87" s="355">
        <v>1</v>
      </c>
      <c r="L87" s="355">
        <v>1</v>
      </c>
      <c r="M87" s="355">
        <v>1</v>
      </c>
      <c r="N87" s="355">
        <v>1</v>
      </c>
      <c r="O87" s="355">
        <v>1</v>
      </c>
      <c r="P87" s="355">
        <v>1</v>
      </c>
      <c r="Q87" s="355">
        <v>1</v>
      </c>
      <c r="R87" s="355">
        <v>1</v>
      </c>
      <c r="S87" s="355">
        <v>1</v>
      </c>
      <c r="T87" s="355">
        <v>1</v>
      </c>
      <c r="U87" s="355">
        <v>1</v>
      </c>
      <c r="V87" s="355">
        <v>1</v>
      </c>
      <c r="W87" s="355">
        <v>1</v>
      </c>
      <c r="X87" s="355">
        <v>1</v>
      </c>
      <c r="Y87" s="355">
        <v>1</v>
      </c>
      <c r="Z87" s="355">
        <v>1</v>
      </c>
      <c r="AA87" s="355">
        <v>1</v>
      </c>
      <c r="AB87" s="355">
        <v>1</v>
      </c>
      <c r="AC87" s="355">
        <v>1</v>
      </c>
      <c r="AD87" s="355">
        <v>1</v>
      </c>
      <c r="AE87" s="355">
        <v>1</v>
      </c>
      <c r="AF87" s="355">
        <v>1</v>
      </c>
      <c r="AG87" s="355">
        <v>1</v>
      </c>
      <c r="AH87" s="355">
        <v>1</v>
      </c>
      <c r="AI87" s="355">
        <v>1</v>
      </c>
      <c r="AJ87" s="355">
        <v>1</v>
      </c>
      <c r="AK87" s="355">
        <v>1</v>
      </c>
      <c r="AL87" s="355">
        <v>1</v>
      </c>
    </row>
    <row r="88" spans="1:38">
      <c r="G88" s="4" t="s">
        <v>697</v>
      </c>
      <c r="H88" s="4"/>
      <c r="I88" s="4"/>
      <c r="J88" s="4" t="s">
        <v>698</v>
      </c>
      <c r="K88" s="331">
        <v>100</v>
      </c>
      <c r="L88" s="331">
        <v>100</v>
      </c>
      <c r="M88" s="331">
        <v>100</v>
      </c>
      <c r="N88" s="331">
        <v>100</v>
      </c>
      <c r="O88" s="331">
        <v>100</v>
      </c>
      <c r="P88" s="331">
        <v>100</v>
      </c>
      <c r="Q88" s="331">
        <v>100</v>
      </c>
      <c r="R88" s="331">
        <v>100</v>
      </c>
      <c r="S88" s="331">
        <v>100</v>
      </c>
      <c r="T88" s="331">
        <v>100</v>
      </c>
      <c r="U88" s="331">
        <v>100</v>
      </c>
      <c r="V88" s="331">
        <v>100</v>
      </c>
      <c r="W88" s="331">
        <v>100</v>
      </c>
      <c r="X88" s="331">
        <v>100</v>
      </c>
      <c r="Y88" s="331">
        <v>100</v>
      </c>
      <c r="Z88" s="331">
        <v>100</v>
      </c>
      <c r="AA88" s="331">
        <v>100</v>
      </c>
      <c r="AB88" s="331">
        <v>100</v>
      </c>
      <c r="AC88" s="331">
        <v>100</v>
      </c>
      <c r="AD88" s="331">
        <v>100</v>
      </c>
      <c r="AE88" s="331">
        <v>100</v>
      </c>
      <c r="AF88" s="331">
        <v>100</v>
      </c>
      <c r="AG88" s="331">
        <v>100</v>
      </c>
      <c r="AH88" s="331">
        <v>100</v>
      </c>
      <c r="AI88" s="331">
        <v>100</v>
      </c>
      <c r="AJ88" s="331">
        <v>100</v>
      </c>
      <c r="AK88" s="331">
        <v>100</v>
      </c>
      <c r="AL88" s="331">
        <v>100</v>
      </c>
    </row>
    <row r="89" spans="1:38">
      <c r="G89" s="4" t="s">
        <v>707</v>
      </c>
      <c r="H89" s="4"/>
      <c r="I89" s="4"/>
      <c r="J89" s="4" t="s">
        <v>2669</v>
      </c>
      <c r="K89" s="385">
        <v>2020</v>
      </c>
      <c r="L89" s="385">
        <v>2020</v>
      </c>
      <c r="M89" s="385">
        <v>2020</v>
      </c>
      <c r="N89" s="385">
        <v>2020</v>
      </c>
      <c r="O89" s="385">
        <v>2020</v>
      </c>
      <c r="P89" s="385">
        <v>2020</v>
      </c>
      <c r="Q89" s="385">
        <v>2020</v>
      </c>
      <c r="R89" s="385">
        <v>2020</v>
      </c>
      <c r="S89" s="385">
        <v>2020</v>
      </c>
      <c r="T89" s="385">
        <v>2020</v>
      </c>
      <c r="U89" s="385">
        <v>2020</v>
      </c>
      <c r="V89" s="385">
        <v>2020</v>
      </c>
      <c r="W89" s="385">
        <v>2020</v>
      </c>
      <c r="X89" s="385">
        <v>2020</v>
      </c>
      <c r="Y89" s="385">
        <v>2020</v>
      </c>
      <c r="Z89" s="385">
        <v>2020</v>
      </c>
      <c r="AA89" s="385">
        <v>2020</v>
      </c>
      <c r="AB89" s="385">
        <v>2020</v>
      </c>
      <c r="AC89" s="385">
        <v>2020</v>
      </c>
      <c r="AD89" s="385">
        <v>2020</v>
      </c>
      <c r="AE89" s="385">
        <v>2020</v>
      </c>
      <c r="AF89" s="385">
        <v>2020</v>
      </c>
      <c r="AG89" s="385">
        <v>2020</v>
      </c>
      <c r="AH89" s="385">
        <v>2020</v>
      </c>
      <c r="AI89" s="385">
        <v>2020</v>
      </c>
      <c r="AJ89" s="385">
        <v>2020</v>
      </c>
      <c r="AK89" s="385">
        <v>2020</v>
      </c>
      <c r="AL89" s="385">
        <v>2020</v>
      </c>
    </row>
    <row r="90" spans="1:38" ht="17.25" customHeight="1">
      <c r="G90" s="4" t="s">
        <v>687</v>
      </c>
      <c r="H90" s="4"/>
      <c r="I90" s="4"/>
      <c r="J90" s="4" t="s">
        <v>2663</v>
      </c>
      <c r="K90" s="174">
        <f>'Key inputs_Pipelines'!C$18*10^3</f>
        <v>3.8107720349183616</v>
      </c>
      <c r="L90" s="174">
        <f>'Key inputs_Pipelines'!D$18*10^3</f>
        <v>3.8107720349183616</v>
      </c>
      <c r="M90" s="174">
        <f>'Key inputs_Pipelines'!E$18*10^3</f>
        <v>3.8107720349183616</v>
      </c>
      <c r="N90" s="174">
        <f>'Key inputs_Pipelines'!F$18*10^3</f>
        <v>3.8107720349183616</v>
      </c>
      <c r="O90" s="174">
        <f>'Key inputs_Pipelines'!G$18*10^3</f>
        <v>11.778017200158107</v>
      </c>
      <c r="P90" s="174">
        <f>'Key inputs_Pipelines'!H$18*10^3</f>
        <v>0.21121972659231925</v>
      </c>
      <c r="Q90" s="174">
        <f>'Key inputs_Pipelines'!I$18*10^3</f>
        <v>3.8107720349183616</v>
      </c>
      <c r="R90" s="174">
        <f>'Key inputs_Pipelines'!J$18*10^3</f>
        <v>3.8107720349183616</v>
      </c>
      <c r="S90" s="174">
        <f>'Key inputs_Pipelines'!K$18*10^3</f>
        <v>3.8107720349183616</v>
      </c>
      <c r="T90" s="174">
        <f>'Key inputs_Pipelines'!L$18*10^3</f>
        <v>1.109443397137287</v>
      </c>
      <c r="U90" s="174">
        <f>'Key inputs_Pipelines'!M$18*10^3</f>
        <v>3.8107720349183616</v>
      </c>
      <c r="V90" s="174">
        <f>'Key inputs_Pipelines'!N$18*10^3</f>
        <v>1.4792867435264181</v>
      </c>
      <c r="W90" s="174">
        <f>'Key inputs_Pipelines'!O$18*10^3</f>
        <v>3.8107720349183616</v>
      </c>
      <c r="X90" s="174">
        <f>'Key inputs_Pipelines'!P$18*10^3</f>
        <v>3.8107720349183616</v>
      </c>
      <c r="Y90" s="174">
        <f>'Key inputs_Pipelines'!Q$18*10^3</f>
        <v>3.8107720349183616</v>
      </c>
      <c r="Z90" s="174">
        <f>'Key inputs_Pipelines'!R$18*10^3</f>
        <v>3.8107720349183616</v>
      </c>
      <c r="AA90" s="174">
        <f>'Key inputs_Pipelines'!S$18*10^3</f>
        <v>3.8107720349183616</v>
      </c>
      <c r="AB90" s="174">
        <f>'Key inputs_Pipelines'!T$18*10^3</f>
        <v>3.8107720349183616</v>
      </c>
      <c r="AC90" s="174">
        <f>'Key inputs_Pipelines'!U$18*10^3</f>
        <v>3.8107720349183616</v>
      </c>
      <c r="AD90" s="174">
        <f>'Key inputs_Pipelines'!V$18*10^3</f>
        <v>3.8107720349183616</v>
      </c>
      <c r="AE90" s="174">
        <f>'Key inputs_Pipelines'!W$18*10^3</f>
        <v>8.2110328494327973</v>
      </c>
      <c r="AF90" s="174">
        <f>'Key inputs_Pipelines'!X$18*10^3</f>
        <v>3.8107720349183616</v>
      </c>
      <c r="AG90" s="174">
        <f>'Key inputs_Pipelines'!Y$18*10^3</f>
        <v>3.8107720349183616</v>
      </c>
      <c r="AH90" s="174">
        <f>'Key inputs_Pipelines'!Z$18*10^3</f>
        <v>3.8107720349183616</v>
      </c>
      <c r="AI90" s="174">
        <f>'Key inputs_Pipelines'!AA$18*10^3</f>
        <v>3.8107720349183616</v>
      </c>
      <c r="AJ90" s="174">
        <f>'Key inputs_Pipelines'!AB$18*10^3</f>
        <v>1.5805010386547564</v>
      </c>
      <c r="AK90" s="174">
        <f>'Key inputs_Pipelines'!AC$18*10^3</f>
        <v>3.8107720349183616</v>
      </c>
      <c r="AL90" s="174">
        <f>'Key inputs_Pipelines'!AD$18*10^3</f>
        <v>2.305903288926852</v>
      </c>
    </row>
    <row r="91" spans="1:38">
      <c r="G91" s="4" t="s">
        <v>689</v>
      </c>
      <c r="H91" s="4"/>
      <c r="I91" s="4"/>
      <c r="J91" s="4" t="s">
        <v>2662</v>
      </c>
      <c r="K91" s="355"/>
      <c r="L91" s="355"/>
      <c r="M91" s="355"/>
      <c r="N91" s="355"/>
      <c r="O91" s="355"/>
      <c r="P91" s="355"/>
      <c r="Q91" s="355"/>
      <c r="R91" s="355"/>
      <c r="S91" s="355"/>
      <c r="T91" s="355"/>
      <c r="U91" s="355"/>
      <c r="V91" s="355"/>
      <c r="W91" s="355"/>
      <c r="X91" s="355"/>
      <c r="Y91" s="355"/>
      <c r="Z91" s="355"/>
      <c r="AA91" s="355"/>
      <c r="AB91" s="355"/>
      <c r="AC91" s="355"/>
      <c r="AD91" s="355"/>
      <c r="AE91" s="355"/>
      <c r="AF91" s="355"/>
      <c r="AG91" s="355"/>
      <c r="AH91" s="355"/>
      <c r="AI91" s="355"/>
      <c r="AJ91" s="355"/>
      <c r="AK91" s="355"/>
      <c r="AL91" s="355"/>
    </row>
    <row r="92" spans="1:38">
      <c r="G92" s="4" t="s">
        <v>675</v>
      </c>
      <c r="H92" s="4"/>
      <c r="I92" s="4"/>
      <c r="J92" s="4"/>
      <c r="K92" s="355"/>
      <c r="L92" s="355"/>
      <c r="M92" s="355"/>
      <c r="N92" s="355"/>
      <c r="O92" s="355"/>
      <c r="P92" s="355"/>
      <c r="Q92" s="355"/>
      <c r="R92" s="355"/>
      <c r="S92" s="355"/>
      <c r="T92" s="355"/>
      <c r="U92" s="355"/>
      <c r="V92" s="355"/>
      <c r="W92" s="355"/>
      <c r="X92" s="355"/>
      <c r="Y92" s="355"/>
      <c r="Z92" s="355"/>
      <c r="AA92" s="355"/>
      <c r="AB92" s="355"/>
      <c r="AC92" s="355"/>
      <c r="AD92" s="355"/>
      <c r="AE92" s="355"/>
      <c r="AF92" s="355"/>
      <c r="AG92" s="355"/>
      <c r="AH92" s="355"/>
      <c r="AI92" s="355"/>
      <c r="AJ92" s="355"/>
      <c r="AK92" s="355"/>
      <c r="AL92" s="355"/>
    </row>
    <row r="93" spans="1:38">
      <c r="D93" t="str">
        <f>Commodities!$C$26</f>
        <v>OILNGL</v>
      </c>
      <c r="G93" s="4"/>
      <c r="H93" s="4"/>
      <c r="I93" s="4"/>
      <c r="J93" s="4"/>
    </row>
    <row r="94" spans="1:38">
      <c r="C94" t="str">
        <f>Commodities!$C$35</f>
        <v>NGLPIP</v>
      </c>
      <c r="G94" s="4" t="s">
        <v>690</v>
      </c>
      <c r="H94" s="4"/>
      <c r="I94" s="4"/>
      <c r="J94" s="4" t="s">
        <v>112</v>
      </c>
      <c r="K94" s="355">
        <v>1</v>
      </c>
      <c r="L94" s="355">
        <v>1</v>
      </c>
      <c r="M94" s="355">
        <v>1</v>
      </c>
      <c r="N94" s="355">
        <v>1</v>
      </c>
      <c r="O94" s="355">
        <v>1</v>
      </c>
      <c r="P94" s="355">
        <v>1</v>
      </c>
      <c r="Q94" s="355">
        <v>1</v>
      </c>
      <c r="R94" s="355">
        <v>1</v>
      </c>
      <c r="S94" s="355">
        <v>1</v>
      </c>
      <c r="T94" s="355">
        <v>1</v>
      </c>
      <c r="U94" s="355">
        <v>1</v>
      </c>
      <c r="V94" s="355">
        <v>1</v>
      </c>
      <c r="W94" s="355">
        <v>1</v>
      </c>
      <c r="X94" s="355">
        <v>1</v>
      </c>
      <c r="Y94" s="355">
        <v>1</v>
      </c>
      <c r="Z94" s="355">
        <v>1</v>
      </c>
      <c r="AA94" s="355">
        <v>1</v>
      </c>
      <c r="AB94" s="355">
        <v>1</v>
      </c>
      <c r="AC94" s="355">
        <v>1</v>
      </c>
      <c r="AD94" s="355">
        <v>1</v>
      </c>
      <c r="AE94" s="355">
        <v>1</v>
      </c>
      <c r="AF94" s="355">
        <v>1</v>
      </c>
      <c r="AG94" s="355">
        <v>1</v>
      </c>
      <c r="AH94" s="355">
        <v>1</v>
      </c>
      <c r="AI94" s="355">
        <v>1</v>
      </c>
      <c r="AJ94" s="355">
        <v>1</v>
      </c>
      <c r="AK94" s="355">
        <v>1</v>
      </c>
      <c r="AL94" s="355">
        <v>1</v>
      </c>
    </row>
    <row r="95" spans="1:38">
      <c r="E95" s="4" t="s">
        <v>359</v>
      </c>
      <c r="F95" s="4" t="s">
        <v>691</v>
      </c>
      <c r="G95" s="4" t="s">
        <v>692</v>
      </c>
      <c r="H95" s="4"/>
      <c r="I95" s="4"/>
      <c r="J95" s="4" t="s">
        <v>2664</v>
      </c>
      <c r="K95" s="173">
        <f>IF(K41="",AVERAGE($K$41:$AL$41),K41)</f>
        <v>6615.1233617875478</v>
      </c>
      <c r="L95" s="173">
        <f t="shared" ref="L95:AL95" si="4">IF(L41="",AVERAGE($K$41:$AL$41),L41)</f>
        <v>3040.528571428571</v>
      </c>
      <c r="M95" s="173">
        <f t="shared" si="4"/>
        <v>80880.31578947368</v>
      </c>
      <c r="N95" s="173">
        <f t="shared" si="4"/>
        <v>3171.3731473408898</v>
      </c>
      <c r="O95" s="173">
        <f t="shared" si="4"/>
        <v>362.72268549516099</v>
      </c>
      <c r="P95" s="173">
        <f t="shared" si="4"/>
        <v>130.91142329778506</v>
      </c>
      <c r="Q95" s="173">
        <f t="shared" si="4"/>
        <v>6615.1233617875478</v>
      </c>
      <c r="R95" s="173">
        <f t="shared" si="4"/>
        <v>6615.1233617875478</v>
      </c>
      <c r="S95" s="173">
        <f t="shared" si="4"/>
        <v>6615.1233617875478</v>
      </c>
      <c r="T95" s="173">
        <f t="shared" si="4"/>
        <v>108.3587230728095</v>
      </c>
      <c r="U95" s="173">
        <f t="shared" si="4"/>
        <v>6615.1233617875478</v>
      </c>
      <c r="V95" s="173">
        <f t="shared" si="4"/>
        <v>6615.1233617875478</v>
      </c>
      <c r="W95" s="173">
        <f t="shared" si="4"/>
        <v>11.24134023758757</v>
      </c>
      <c r="X95" s="173">
        <f t="shared" si="4"/>
        <v>19158.703642384105</v>
      </c>
      <c r="Y95" s="173">
        <f t="shared" si="4"/>
        <v>30.145210009220698</v>
      </c>
      <c r="Z95" s="173">
        <f t="shared" si="4"/>
        <v>28.253577213822897</v>
      </c>
      <c r="AA95" s="173">
        <f t="shared" si="4"/>
        <v>47.550770866560342</v>
      </c>
      <c r="AB95" s="173">
        <f t="shared" si="4"/>
        <v>6615.1233617875478</v>
      </c>
      <c r="AC95" s="173">
        <f t="shared" si="4"/>
        <v>133.88564040318749</v>
      </c>
      <c r="AD95" s="173">
        <f t="shared" si="4"/>
        <v>6615.1233617875478</v>
      </c>
      <c r="AE95" s="173">
        <f t="shared" si="4"/>
        <v>357.74976159757671</v>
      </c>
      <c r="AF95" s="173">
        <f t="shared" si="4"/>
        <v>58.017155412828544</v>
      </c>
      <c r="AG95" s="173">
        <f t="shared" si="4"/>
        <v>4824.0470841578399</v>
      </c>
      <c r="AH95" s="173">
        <f t="shared" si="4"/>
        <v>6615.1233617875478</v>
      </c>
      <c r="AI95" s="173">
        <f t="shared" si="4"/>
        <v>6615.1233617875478</v>
      </c>
      <c r="AJ95" s="173">
        <f t="shared" si="4"/>
        <v>41.467381794239891</v>
      </c>
      <c r="AK95" s="173">
        <f t="shared" si="4"/>
        <v>6615.1233617875478</v>
      </c>
      <c r="AL95" s="173">
        <f t="shared" si="4"/>
        <v>71.825246202475881</v>
      </c>
    </row>
    <row r="96" spans="1:38">
      <c r="C96" t="str">
        <f>Commodities!$C$90</f>
        <v>UPSDSL</v>
      </c>
      <c r="E96" s="4"/>
      <c r="F96" s="4" t="s">
        <v>359</v>
      </c>
      <c r="G96" s="4" t="s">
        <v>702</v>
      </c>
      <c r="H96" t="s">
        <v>661</v>
      </c>
      <c r="I96">
        <v>2019</v>
      </c>
      <c r="J96" t="s">
        <v>650</v>
      </c>
      <c r="K96" s="173">
        <f t="shared" ref="K96:K103" si="5">IF(K42="",MAX($K42:$AL42),K42)</f>
        <v>0.74455100261551876</v>
      </c>
      <c r="L96" s="173">
        <f t="shared" ref="L96:AL103" si="6">IF(L42="",MAX($K42:$AL42),L42)</f>
        <v>0</v>
      </c>
      <c r="M96" s="173">
        <f t="shared" si="6"/>
        <v>0</v>
      </c>
      <c r="N96" s="173">
        <f t="shared" si="6"/>
        <v>0.74455100261551876</v>
      </c>
      <c r="O96" s="173">
        <f t="shared" si="6"/>
        <v>0</v>
      </c>
      <c r="P96" s="173">
        <f t="shared" si="6"/>
        <v>2.645611156685808E-3</v>
      </c>
      <c r="Q96" s="173">
        <f t="shared" si="6"/>
        <v>0.74455100261551876</v>
      </c>
      <c r="R96" s="173">
        <f t="shared" si="6"/>
        <v>0.74455100261551876</v>
      </c>
      <c r="S96" s="173">
        <f t="shared" si="6"/>
        <v>0.74455100261551876</v>
      </c>
      <c r="T96" s="173">
        <f t="shared" si="6"/>
        <v>1.8193654890198674E-3</v>
      </c>
      <c r="U96" s="173">
        <f t="shared" si="6"/>
        <v>0.74455100261551876</v>
      </c>
      <c r="V96" s="173">
        <f t="shared" si="6"/>
        <v>0.74455100261551876</v>
      </c>
      <c r="W96" s="173">
        <f t="shared" si="6"/>
        <v>0</v>
      </c>
      <c r="X96" s="173">
        <f t="shared" si="6"/>
        <v>0</v>
      </c>
      <c r="Y96" s="173">
        <f t="shared" si="6"/>
        <v>1E-3</v>
      </c>
      <c r="Z96" s="173">
        <f t="shared" si="6"/>
        <v>0</v>
      </c>
      <c r="AA96" s="173">
        <f t="shared" si="6"/>
        <v>0</v>
      </c>
      <c r="AB96" s="173">
        <f t="shared" si="6"/>
        <v>0.74455100261551876</v>
      </c>
      <c r="AC96" s="173">
        <f t="shared" si="6"/>
        <v>0</v>
      </c>
      <c r="AD96" s="173">
        <f t="shared" si="6"/>
        <v>0.74455100261551876</v>
      </c>
      <c r="AE96" s="173">
        <f t="shared" si="6"/>
        <v>0</v>
      </c>
      <c r="AF96" s="173">
        <f t="shared" si="6"/>
        <v>0</v>
      </c>
      <c r="AG96" s="173">
        <f t="shared" si="6"/>
        <v>7.2168548480968445E-3</v>
      </c>
      <c r="AH96" s="173">
        <f t="shared" si="6"/>
        <v>0.74455100261551876</v>
      </c>
      <c r="AI96" s="173">
        <f t="shared" si="6"/>
        <v>0.74455100261551876</v>
      </c>
      <c r="AJ96" s="173">
        <f t="shared" si="6"/>
        <v>7.0210921467219788E-3</v>
      </c>
      <c r="AK96" s="173">
        <f t="shared" si="6"/>
        <v>0.74455100261551876</v>
      </c>
      <c r="AL96" s="173">
        <f t="shared" si="6"/>
        <v>0</v>
      </c>
    </row>
    <row r="97" spans="1:38">
      <c r="C97" t="str">
        <f>Commodities!$C$91</f>
        <v>UPSELC</v>
      </c>
      <c r="F97" s="4" t="s">
        <v>359</v>
      </c>
      <c r="G97" s="4" t="s">
        <v>702</v>
      </c>
      <c r="H97" t="s">
        <v>661</v>
      </c>
      <c r="I97">
        <v>2019</v>
      </c>
      <c r="J97" t="s">
        <v>650</v>
      </c>
      <c r="K97" s="173">
        <f t="shared" si="5"/>
        <v>1</v>
      </c>
      <c r="L97" s="173">
        <f t="shared" ref="L97:Z97" si="7">IF(L43="",MAX($K43:$AL43),L43)</f>
        <v>2.3333333333333327E-2</v>
      </c>
      <c r="M97" s="173">
        <f t="shared" si="7"/>
        <v>1</v>
      </c>
      <c r="N97" s="173">
        <f t="shared" si="7"/>
        <v>0.24934612031386227</v>
      </c>
      <c r="O97" s="173">
        <f t="shared" si="7"/>
        <v>4.7781362225333253E-2</v>
      </c>
      <c r="P97" s="173">
        <f t="shared" si="7"/>
        <v>2.6568908941755537E-2</v>
      </c>
      <c r="Q97" s="173">
        <f t="shared" si="7"/>
        <v>1</v>
      </c>
      <c r="R97" s="173">
        <f t="shared" si="7"/>
        <v>1</v>
      </c>
      <c r="S97" s="173">
        <f t="shared" si="7"/>
        <v>1</v>
      </c>
      <c r="T97" s="173">
        <f t="shared" si="7"/>
        <v>0.13492949232146384</v>
      </c>
      <c r="U97" s="173">
        <f t="shared" si="7"/>
        <v>1</v>
      </c>
      <c r="V97" s="173">
        <f t="shared" si="7"/>
        <v>1</v>
      </c>
      <c r="W97" s="173">
        <f t="shared" si="7"/>
        <v>2.8303381053914101E-2</v>
      </c>
      <c r="X97" s="173">
        <f t="shared" si="7"/>
        <v>0</v>
      </c>
      <c r="Y97" s="173">
        <f t="shared" si="7"/>
        <v>4.4386505993450134E-2</v>
      </c>
      <c r="Z97" s="173">
        <f t="shared" si="7"/>
        <v>0.31526727861771059</v>
      </c>
      <c r="AA97" s="173">
        <f t="shared" si="6"/>
        <v>2.3796865902129063E-2</v>
      </c>
      <c r="AB97" s="173">
        <f t="shared" si="6"/>
        <v>1</v>
      </c>
      <c r="AC97" s="173">
        <f t="shared" si="6"/>
        <v>0</v>
      </c>
      <c r="AD97" s="173">
        <f t="shared" si="6"/>
        <v>1</v>
      </c>
      <c r="AE97" s="173">
        <f t="shared" si="6"/>
        <v>0</v>
      </c>
      <c r="AF97" s="173">
        <f t="shared" si="6"/>
        <v>8.8227837403870538E-2</v>
      </c>
      <c r="AG97" s="173">
        <f t="shared" si="6"/>
        <v>0</v>
      </c>
      <c r="AH97" s="173">
        <f t="shared" si="6"/>
        <v>1</v>
      </c>
      <c r="AI97" s="173">
        <f t="shared" si="6"/>
        <v>1</v>
      </c>
      <c r="AJ97" s="173">
        <f t="shared" si="6"/>
        <v>6.438393625441774E-2</v>
      </c>
      <c r="AK97" s="173">
        <f t="shared" si="6"/>
        <v>1</v>
      </c>
      <c r="AL97" s="173">
        <f t="shared" si="6"/>
        <v>0</v>
      </c>
    </row>
    <row r="98" spans="1:38">
      <c r="C98" t="str">
        <f>Commodities!$C$92</f>
        <v>UPSGAS</v>
      </c>
      <c r="F98" s="4" t="s">
        <v>359</v>
      </c>
      <c r="G98" s="4" t="s">
        <v>702</v>
      </c>
      <c r="H98" t="s">
        <v>661</v>
      </c>
      <c r="I98">
        <v>2019</v>
      </c>
      <c r="J98" t="s">
        <v>650</v>
      </c>
      <c r="K98" s="173">
        <f t="shared" si="5"/>
        <v>1</v>
      </c>
      <c r="L98" s="173">
        <f t="shared" si="6"/>
        <v>0.97666666666666657</v>
      </c>
      <c r="M98" s="173">
        <f t="shared" si="6"/>
        <v>0</v>
      </c>
      <c r="N98" s="173">
        <f t="shared" si="6"/>
        <v>0</v>
      </c>
      <c r="O98" s="173">
        <f t="shared" si="6"/>
        <v>0.95221863777466675</v>
      </c>
      <c r="P98" s="173">
        <f t="shared" si="6"/>
        <v>0.97013945857260042</v>
      </c>
      <c r="Q98" s="173">
        <f t="shared" si="6"/>
        <v>1</v>
      </c>
      <c r="R98" s="173">
        <f t="shared" si="6"/>
        <v>1</v>
      </c>
      <c r="S98" s="173">
        <f t="shared" si="6"/>
        <v>1</v>
      </c>
      <c r="T98" s="173">
        <f t="shared" si="6"/>
        <v>0.86151315407061224</v>
      </c>
      <c r="U98" s="173">
        <f t="shared" si="6"/>
        <v>1</v>
      </c>
      <c r="V98" s="173">
        <f t="shared" si="6"/>
        <v>1</v>
      </c>
      <c r="W98" s="173">
        <f t="shared" si="6"/>
        <v>0.97169661894608583</v>
      </c>
      <c r="X98" s="173">
        <f t="shared" si="6"/>
        <v>1</v>
      </c>
      <c r="Y98" s="173">
        <f t="shared" si="6"/>
        <v>0.95548631204095269</v>
      </c>
      <c r="Z98" s="173">
        <f t="shared" si="6"/>
        <v>0.68473272138228936</v>
      </c>
      <c r="AA98" s="173">
        <f t="shared" si="6"/>
        <v>0.97620313409787096</v>
      </c>
      <c r="AB98" s="173">
        <f t="shared" si="6"/>
        <v>1</v>
      </c>
      <c r="AC98" s="173">
        <f t="shared" si="6"/>
        <v>1</v>
      </c>
      <c r="AD98" s="173">
        <f t="shared" si="6"/>
        <v>1</v>
      </c>
      <c r="AE98" s="173">
        <f t="shared" si="6"/>
        <v>1</v>
      </c>
      <c r="AF98" s="173">
        <f t="shared" si="6"/>
        <v>0.91177216259612959</v>
      </c>
      <c r="AG98" s="173">
        <f t="shared" si="6"/>
        <v>0.93213828425096024</v>
      </c>
      <c r="AH98" s="173">
        <f t="shared" si="6"/>
        <v>1</v>
      </c>
      <c r="AI98" s="173">
        <f t="shared" si="6"/>
        <v>1</v>
      </c>
      <c r="AJ98" s="173">
        <f t="shared" si="6"/>
        <v>0.92759974882854823</v>
      </c>
      <c r="AK98" s="173">
        <f t="shared" si="6"/>
        <v>1</v>
      </c>
      <c r="AL98" s="173">
        <f t="shared" si="6"/>
        <v>1</v>
      </c>
    </row>
    <row r="99" spans="1:38">
      <c r="C99" t="str">
        <f>Commodities!$C$93</f>
        <v>UPSGSL</v>
      </c>
      <c r="F99" s="4" t="s">
        <v>359</v>
      </c>
      <c r="G99" s="4" t="s">
        <v>702</v>
      </c>
      <c r="H99" t="s">
        <v>661</v>
      </c>
      <c r="I99">
        <v>2019</v>
      </c>
      <c r="J99" t="s">
        <v>650</v>
      </c>
      <c r="K99" s="173">
        <f t="shared" si="5"/>
        <v>1.7379881189039628E-3</v>
      </c>
      <c r="L99" s="173">
        <f t="shared" si="6"/>
        <v>0</v>
      </c>
      <c r="M99" s="173">
        <f t="shared" si="6"/>
        <v>0</v>
      </c>
      <c r="N99" s="173">
        <f t="shared" si="6"/>
        <v>0</v>
      </c>
      <c r="O99" s="173">
        <f t="shared" si="6"/>
        <v>0</v>
      </c>
      <c r="P99" s="173">
        <f t="shared" si="6"/>
        <v>0</v>
      </c>
      <c r="Q99" s="173">
        <f t="shared" si="6"/>
        <v>1.7379881189039628E-3</v>
      </c>
      <c r="R99" s="173">
        <f t="shared" si="6"/>
        <v>1.7379881189039628E-3</v>
      </c>
      <c r="S99" s="173">
        <f t="shared" si="6"/>
        <v>1.7379881189039628E-3</v>
      </c>
      <c r="T99" s="173">
        <f t="shared" si="6"/>
        <v>1.7379881189039628E-3</v>
      </c>
      <c r="U99" s="173">
        <f t="shared" si="6"/>
        <v>1.7379881189039628E-3</v>
      </c>
      <c r="V99" s="173">
        <f t="shared" si="6"/>
        <v>1.7379881189039628E-3</v>
      </c>
      <c r="W99" s="173">
        <f t="shared" si="6"/>
        <v>0</v>
      </c>
      <c r="X99" s="173">
        <f t="shared" si="6"/>
        <v>0</v>
      </c>
      <c r="Y99" s="173">
        <f t="shared" si="6"/>
        <v>0</v>
      </c>
      <c r="Z99" s="173">
        <f t="shared" si="6"/>
        <v>0</v>
      </c>
      <c r="AA99" s="173">
        <f t="shared" si="6"/>
        <v>0</v>
      </c>
      <c r="AB99" s="173">
        <f t="shared" si="6"/>
        <v>1.7379881189039628E-3</v>
      </c>
      <c r="AC99" s="173">
        <f t="shared" si="6"/>
        <v>0</v>
      </c>
      <c r="AD99" s="173">
        <f t="shared" si="6"/>
        <v>1.7379881189039628E-3</v>
      </c>
      <c r="AE99" s="173">
        <f t="shared" si="6"/>
        <v>0</v>
      </c>
      <c r="AF99" s="173">
        <f t="shared" si="6"/>
        <v>0</v>
      </c>
      <c r="AG99" s="173">
        <f t="shared" si="6"/>
        <v>0</v>
      </c>
      <c r="AH99" s="173">
        <f t="shared" si="6"/>
        <v>1.7379881189039628E-3</v>
      </c>
      <c r="AI99" s="173">
        <f t="shared" si="6"/>
        <v>1.7379881189039628E-3</v>
      </c>
      <c r="AJ99" s="173">
        <f t="shared" si="6"/>
        <v>1E-3</v>
      </c>
      <c r="AK99" s="173">
        <f t="shared" si="6"/>
        <v>1.7379881189039628E-3</v>
      </c>
      <c r="AL99" s="173">
        <f t="shared" si="6"/>
        <v>0</v>
      </c>
    </row>
    <row r="100" spans="1:38">
      <c r="C100" t="str">
        <f>Commodities!$C$95</f>
        <v>UPSHFO</v>
      </c>
      <c r="F100" s="4" t="s">
        <v>359</v>
      </c>
      <c r="G100" s="4" t="s">
        <v>702</v>
      </c>
      <c r="H100" t="s">
        <v>661</v>
      </c>
      <c r="I100">
        <v>2019</v>
      </c>
      <c r="J100" t="s">
        <v>650</v>
      </c>
      <c r="K100" s="173">
        <f t="shared" si="5"/>
        <v>1E-3</v>
      </c>
      <c r="L100" s="173">
        <f t="shared" si="6"/>
        <v>0</v>
      </c>
      <c r="M100" s="173">
        <f t="shared" si="6"/>
        <v>0</v>
      </c>
      <c r="N100" s="173">
        <f t="shared" si="6"/>
        <v>0</v>
      </c>
      <c r="O100" s="173">
        <f t="shared" si="6"/>
        <v>0</v>
      </c>
      <c r="P100" s="173">
        <f t="shared" si="6"/>
        <v>0</v>
      </c>
      <c r="Q100" s="173">
        <f t="shared" si="6"/>
        <v>1E-3</v>
      </c>
      <c r="R100" s="173">
        <f t="shared" si="6"/>
        <v>1E-3</v>
      </c>
      <c r="S100" s="173">
        <f t="shared" si="6"/>
        <v>1E-3</v>
      </c>
      <c r="T100" s="173">
        <f t="shared" si="6"/>
        <v>0</v>
      </c>
      <c r="U100" s="173">
        <f t="shared" si="6"/>
        <v>1E-3</v>
      </c>
      <c r="V100" s="173">
        <f t="shared" si="6"/>
        <v>1E-3</v>
      </c>
      <c r="W100" s="173">
        <f t="shared" si="6"/>
        <v>0</v>
      </c>
      <c r="X100" s="173">
        <f t="shared" si="6"/>
        <v>0</v>
      </c>
      <c r="Y100" s="173">
        <f t="shared" si="6"/>
        <v>0</v>
      </c>
      <c r="Z100" s="173">
        <f t="shared" si="6"/>
        <v>0</v>
      </c>
      <c r="AA100" s="173">
        <f t="shared" si="6"/>
        <v>0</v>
      </c>
      <c r="AB100" s="173">
        <f t="shared" si="6"/>
        <v>1E-3</v>
      </c>
      <c r="AC100" s="173">
        <f t="shared" si="6"/>
        <v>0</v>
      </c>
      <c r="AD100" s="173">
        <f t="shared" si="6"/>
        <v>1E-3</v>
      </c>
      <c r="AE100" s="173">
        <f t="shared" si="6"/>
        <v>0</v>
      </c>
      <c r="AF100" s="173">
        <f t="shared" si="6"/>
        <v>0</v>
      </c>
      <c r="AG100" s="173">
        <f t="shared" si="6"/>
        <v>0</v>
      </c>
      <c r="AH100" s="173">
        <f t="shared" si="6"/>
        <v>1E-3</v>
      </c>
      <c r="AI100" s="173">
        <f t="shared" si="6"/>
        <v>1E-3</v>
      </c>
      <c r="AJ100" s="173">
        <f t="shared" si="6"/>
        <v>1E-3</v>
      </c>
      <c r="AK100" s="173">
        <f t="shared" si="6"/>
        <v>1E-3</v>
      </c>
      <c r="AL100" s="173">
        <f t="shared" si="6"/>
        <v>0</v>
      </c>
    </row>
    <row r="101" spans="1:38">
      <c r="C101" t="str">
        <f>Commodities!$C$96</f>
        <v>UPSKER</v>
      </c>
      <c r="F101" s="4" t="s">
        <v>359</v>
      </c>
      <c r="G101" s="4" t="s">
        <v>702</v>
      </c>
      <c r="H101" t="s">
        <v>661</v>
      </c>
      <c r="I101">
        <v>2019</v>
      </c>
      <c r="J101" t="s">
        <v>650</v>
      </c>
      <c r="K101" s="173">
        <f t="shared" si="5"/>
        <v>6.0644860900942843E-2</v>
      </c>
      <c r="L101" s="173">
        <f t="shared" si="6"/>
        <v>0</v>
      </c>
      <c r="M101" s="173">
        <f t="shared" si="6"/>
        <v>0</v>
      </c>
      <c r="N101" s="173">
        <f t="shared" si="6"/>
        <v>0</v>
      </c>
      <c r="O101" s="173">
        <f t="shared" si="6"/>
        <v>0</v>
      </c>
      <c r="P101" s="173">
        <f t="shared" si="6"/>
        <v>0</v>
      </c>
      <c r="Q101" s="173">
        <f t="shared" si="6"/>
        <v>6.0644860900942843E-2</v>
      </c>
      <c r="R101" s="173">
        <f t="shared" si="6"/>
        <v>6.0644860900942843E-2</v>
      </c>
      <c r="S101" s="173">
        <f t="shared" si="6"/>
        <v>6.0644860900942843E-2</v>
      </c>
      <c r="T101" s="173">
        <f t="shared" si="6"/>
        <v>0</v>
      </c>
      <c r="U101" s="173">
        <f t="shared" si="6"/>
        <v>6.0644860900942843E-2</v>
      </c>
      <c r="V101" s="173">
        <f t="shared" si="6"/>
        <v>6.0644860900942843E-2</v>
      </c>
      <c r="W101" s="173">
        <f t="shared" si="6"/>
        <v>0</v>
      </c>
      <c r="X101" s="173">
        <f t="shared" si="6"/>
        <v>0</v>
      </c>
      <c r="Y101" s="173">
        <f t="shared" si="6"/>
        <v>0</v>
      </c>
      <c r="Z101" s="173">
        <f t="shared" si="6"/>
        <v>0</v>
      </c>
      <c r="AA101" s="173">
        <f t="shared" si="6"/>
        <v>0</v>
      </c>
      <c r="AB101" s="173">
        <f t="shared" si="6"/>
        <v>6.0644860900942843E-2</v>
      </c>
      <c r="AC101" s="173">
        <f t="shared" si="6"/>
        <v>0</v>
      </c>
      <c r="AD101" s="173">
        <f t="shared" si="6"/>
        <v>6.0644860900942843E-2</v>
      </c>
      <c r="AE101" s="173">
        <f t="shared" si="6"/>
        <v>0</v>
      </c>
      <c r="AF101" s="173">
        <f t="shared" si="6"/>
        <v>0</v>
      </c>
      <c r="AG101" s="173">
        <f t="shared" si="6"/>
        <v>6.0644860900942843E-2</v>
      </c>
      <c r="AH101" s="173">
        <f t="shared" si="6"/>
        <v>6.0644860900942843E-2</v>
      </c>
      <c r="AI101" s="173">
        <f t="shared" si="6"/>
        <v>6.0644860900942843E-2</v>
      </c>
      <c r="AJ101" s="173">
        <f t="shared" si="6"/>
        <v>0</v>
      </c>
      <c r="AK101" s="173">
        <f t="shared" si="6"/>
        <v>6.0644860900942843E-2</v>
      </c>
      <c r="AL101" s="173">
        <f t="shared" si="6"/>
        <v>0</v>
      </c>
    </row>
    <row r="102" spans="1:38">
      <c r="C102" t="str">
        <f>Commodities!$C$97</f>
        <v>UPSLPG</v>
      </c>
      <c r="F102" s="4" t="s">
        <v>359</v>
      </c>
      <c r="G102" s="4" t="s">
        <v>702</v>
      </c>
      <c r="H102" t="s">
        <v>661</v>
      </c>
      <c r="I102">
        <v>2019</v>
      </c>
      <c r="J102" t="s">
        <v>650</v>
      </c>
      <c r="K102" s="173">
        <f t="shared" si="5"/>
        <v>6.1028770706190059E-3</v>
      </c>
      <c r="L102" s="173">
        <f t="shared" si="6"/>
        <v>0</v>
      </c>
      <c r="M102" s="173">
        <f t="shared" si="6"/>
        <v>0</v>
      </c>
      <c r="N102" s="173">
        <f t="shared" si="6"/>
        <v>6.1028770706190059E-3</v>
      </c>
      <c r="O102" s="173">
        <f t="shared" si="6"/>
        <v>0</v>
      </c>
      <c r="P102" s="173">
        <f t="shared" si="6"/>
        <v>0</v>
      </c>
      <c r="Q102" s="173">
        <f t="shared" si="6"/>
        <v>6.1028770706190059E-3</v>
      </c>
      <c r="R102" s="173">
        <f t="shared" si="6"/>
        <v>6.1028770706190059E-3</v>
      </c>
      <c r="S102" s="173">
        <f t="shared" si="6"/>
        <v>6.1028770706190059E-3</v>
      </c>
      <c r="T102" s="173">
        <f t="shared" si="6"/>
        <v>0</v>
      </c>
      <c r="U102" s="173">
        <f t="shared" si="6"/>
        <v>6.1028770706190059E-3</v>
      </c>
      <c r="V102" s="173">
        <f t="shared" si="6"/>
        <v>6.1028770706190059E-3</v>
      </c>
      <c r="W102" s="173">
        <f t="shared" si="6"/>
        <v>0</v>
      </c>
      <c r="X102" s="173">
        <f t="shared" si="6"/>
        <v>0</v>
      </c>
      <c r="Y102" s="173">
        <f t="shared" si="6"/>
        <v>0</v>
      </c>
      <c r="Z102" s="173">
        <f t="shared" si="6"/>
        <v>0</v>
      </c>
      <c r="AA102" s="173">
        <f t="shared" si="6"/>
        <v>0</v>
      </c>
      <c r="AB102" s="173">
        <f t="shared" si="6"/>
        <v>6.1028770706190059E-3</v>
      </c>
      <c r="AC102" s="173">
        <f t="shared" si="6"/>
        <v>0</v>
      </c>
      <c r="AD102" s="173">
        <f t="shared" si="6"/>
        <v>6.1028770706190059E-3</v>
      </c>
      <c r="AE102" s="173">
        <f t="shared" si="6"/>
        <v>0</v>
      </c>
      <c r="AF102" s="173">
        <f t="shared" si="6"/>
        <v>0</v>
      </c>
      <c r="AG102" s="173">
        <f t="shared" si="6"/>
        <v>0</v>
      </c>
      <c r="AH102" s="173">
        <f t="shared" si="6"/>
        <v>6.1028770706190059E-3</v>
      </c>
      <c r="AI102" s="173">
        <f t="shared" si="6"/>
        <v>6.1028770706190059E-3</v>
      </c>
      <c r="AJ102" s="173">
        <f t="shared" si="6"/>
        <v>1E-3</v>
      </c>
      <c r="AK102" s="173">
        <f t="shared" si="6"/>
        <v>6.1028770706190059E-3</v>
      </c>
      <c r="AL102" s="173">
        <f t="shared" si="6"/>
        <v>0</v>
      </c>
    </row>
    <row r="103" spans="1:38">
      <c r="A103" s="236"/>
      <c r="B103" s="236"/>
      <c r="C103" s="236" t="str">
        <f>Commodities!$C$99</f>
        <v>UPSOIL</v>
      </c>
      <c r="D103" s="236"/>
      <c r="E103" s="236"/>
      <c r="F103" s="259" t="s">
        <v>359</v>
      </c>
      <c r="G103" s="259" t="s">
        <v>702</v>
      </c>
      <c r="H103" s="236" t="s">
        <v>661</v>
      </c>
      <c r="I103" s="236">
        <v>2019</v>
      </c>
      <c r="J103" s="236" t="s">
        <v>650</v>
      </c>
      <c r="K103" s="226">
        <f t="shared" si="5"/>
        <v>1E-3</v>
      </c>
      <c r="L103" s="226">
        <f t="shared" si="6"/>
        <v>0</v>
      </c>
      <c r="M103" s="226">
        <f t="shared" si="6"/>
        <v>0</v>
      </c>
      <c r="N103" s="226">
        <f t="shared" si="6"/>
        <v>0</v>
      </c>
      <c r="O103" s="226">
        <f t="shared" si="6"/>
        <v>0</v>
      </c>
      <c r="P103" s="226">
        <f t="shared" si="6"/>
        <v>1E-3</v>
      </c>
      <c r="Q103" s="226">
        <f t="shared" si="6"/>
        <v>1E-3</v>
      </c>
      <c r="R103" s="226">
        <f t="shared" si="6"/>
        <v>1E-3</v>
      </c>
      <c r="S103" s="226">
        <f t="shared" si="6"/>
        <v>1E-3</v>
      </c>
      <c r="T103" s="226">
        <f t="shared" si="6"/>
        <v>0</v>
      </c>
      <c r="U103" s="226">
        <f t="shared" si="6"/>
        <v>1E-3</v>
      </c>
      <c r="V103" s="226">
        <f t="shared" si="6"/>
        <v>1E-3</v>
      </c>
      <c r="W103" s="226">
        <f t="shared" si="6"/>
        <v>0</v>
      </c>
      <c r="X103" s="226">
        <f t="shared" si="6"/>
        <v>0</v>
      </c>
      <c r="Y103" s="226">
        <f t="shared" si="6"/>
        <v>0</v>
      </c>
      <c r="Z103" s="226">
        <f t="shared" si="6"/>
        <v>0</v>
      </c>
      <c r="AA103" s="226">
        <f t="shared" si="6"/>
        <v>0</v>
      </c>
      <c r="AB103" s="226">
        <f t="shared" si="6"/>
        <v>1E-3</v>
      </c>
      <c r="AC103" s="226">
        <f t="shared" si="6"/>
        <v>0</v>
      </c>
      <c r="AD103" s="226">
        <f t="shared" si="6"/>
        <v>1E-3</v>
      </c>
      <c r="AE103" s="226">
        <f t="shared" si="6"/>
        <v>0</v>
      </c>
      <c r="AF103" s="226">
        <f t="shared" si="6"/>
        <v>0</v>
      </c>
      <c r="AG103" s="226">
        <f t="shared" si="6"/>
        <v>0</v>
      </c>
      <c r="AH103" s="226">
        <f t="shared" si="6"/>
        <v>1E-3</v>
      </c>
      <c r="AI103" s="226">
        <f t="shared" si="6"/>
        <v>1E-3</v>
      </c>
      <c r="AJ103" s="226">
        <f t="shared" si="6"/>
        <v>0</v>
      </c>
      <c r="AK103" s="226">
        <f t="shared" si="6"/>
        <v>1E-3</v>
      </c>
      <c r="AL103" s="226">
        <f t="shared" si="6"/>
        <v>0</v>
      </c>
    </row>
    <row r="104" spans="1:38">
      <c r="A104" t="str">
        <f>AO15</f>
        <v>U-PIP-OILCRD_01</v>
      </c>
      <c r="B104" t="str">
        <f>AP15</f>
        <v>UPS Pipeline : Crude oil - New</v>
      </c>
      <c r="G104" s="4" t="s">
        <v>695</v>
      </c>
      <c r="H104" s="4"/>
      <c r="I104" s="4"/>
      <c r="J104" s="4" t="s">
        <v>2665</v>
      </c>
      <c r="K104" s="355">
        <v>1</v>
      </c>
      <c r="L104" s="355">
        <v>1</v>
      </c>
      <c r="M104" s="355">
        <v>1</v>
      </c>
      <c r="N104" s="355">
        <v>1</v>
      </c>
      <c r="O104" s="355">
        <v>1</v>
      </c>
      <c r="P104" s="355">
        <v>1</v>
      </c>
      <c r="Q104" s="355">
        <v>1</v>
      </c>
      <c r="R104" s="355">
        <v>1</v>
      </c>
      <c r="S104" s="355">
        <v>1</v>
      </c>
      <c r="T104" s="355">
        <v>1</v>
      </c>
      <c r="U104" s="355">
        <v>1</v>
      </c>
      <c r="V104" s="355">
        <v>1</v>
      </c>
      <c r="W104" s="355">
        <v>1</v>
      </c>
      <c r="X104" s="355">
        <v>1</v>
      </c>
      <c r="Y104" s="355">
        <v>1</v>
      </c>
      <c r="Z104" s="355">
        <v>1</v>
      </c>
      <c r="AA104" s="355">
        <v>1</v>
      </c>
      <c r="AB104" s="355">
        <v>1</v>
      </c>
      <c r="AC104" s="355">
        <v>1</v>
      </c>
      <c r="AD104" s="355">
        <v>1</v>
      </c>
      <c r="AE104" s="355">
        <v>1</v>
      </c>
      <c r="AF104" s="355">
        <v>1</v>
      </c>
      <c r="AG104" s="355">
        <v>1</v>
      </c>
      <c r="AH104" s="355">
        <v>1</v>
      </c>
      <c r="AI104" s="355">
        <v>1</v>
      </c>
      <c r="AJ104" s="355">
        <v>1</v>
      </c>
      <c r="AK104" s="355">
        <v>1</v>
      </c>
      <c r="AL104" s="355">
        <v>1</v>
      </c>
    </row>
    <row r="105" spans="1:38">
      <c r="G105" s="4" t="s">
        <v>697</v>
      </c>
      <c r="H105" s="4"/>
      <c r="I105" s="4"/>
      <c r="J105" s="4" t="s">
        <v>698</v>
      </c>
      <c r="K105" s="331">
        <v>100</v>
      </c>
      <c r="L105" s="331">
        <v>100</v>
      </c>
      <c r="M105" s="331">
        <v>100</v>
      </c>
      <c r="N105" s="331">
        <v>100</v>
      </c>
      <c r="O105" s="331">
        <v>100</v>
      </c>
      <c r="P105" s="331">
        <v>100</v>
      </c>
      <c r="Q105" s="331">
        <v>100</v>
      </c>
      <c r="R105" s="331">
        <v>100</v>
      </c>
      <c r="S105" s="331">
        <v>100</v>
      </c>
      <c r="T105" s="331">
        <v>100</v>
      </c>
      <c r="U105" s="331">
        <v>100</v>
      </c>
      <c r="V105" s="331">
        <v>100</v>
      </c>
      <c r="W105" s="331">
        <v>100</v>
      </c>
      <c r="X105" s="331">
        <v>100</v>
      </c>
      <c r="Y105" s="331">
        <v>100</v>
      </c>
      <c r="Z105" s="331">
        <v>100</v>
      </c>
      <c r="AA105" s="331">
        <v>100</v>
      </c>
      <c r="AB105" s="331">
        <v>100</v>
      </c>
      <c r="AC105" s="331">
        <v>100</v>
      </c>
      <c r="AD105" s="331">
        <v>100</v>
      </c>
      <c r="AE105" s="331">
        <v>100</v>
      </c>
      <c r="AF105" s="331">
        <v>100</v>
      </c>
      <c r="AG105" s="331">
        <v>100</v>
      </c>
      <c r="AH105" s="331">
        <v>100</v>
      </c>
      <c r="AI105" s="331">
        <v>100</v>
      </c>
      <c r="AJ105" s="331">
        <v>100</v>
      </c>
      <c r="AK105" s="331">
        <v>100</v>
      </c>
      <c r="AL105" s="331">
        <v>100</v>
      </c>
    </row>
    <row r="106" spans="1:38">
      <c r="G106" s="4" t="s">
        <v>707</v>
      </c>
      <c r="H106" s="4"/>
      <c r="I106" s="4"/>
      <c r="J106" s="4" t="s">
        <v>2669</v>
      </c>
      <c r="K106" s="385">
        <v>2020</v>
      </c>
      <c r="L106" s="385">
        <v>2020</v>
      </c>
      <c r="M106" s="385">
        <v>2020</v>
      </c>
      <c r="N106" s="385">
        <v>2020</v>
      </c>
      <c r="O106" s="385">
        <v>2020</v>
      </c>
      <c r="P106" s="385">
        <v>2020</v>
      </c>
      <c r="Q106" s="385">
        <v>2020</v>
      </c>
      <c r="R106" s="385">
        <v>2020</v>
      </c>
      <c r="S106" s="385">
        <v>2020</v>
      </c>
      <c r="T106" s="385">
        <v>2020</v>
      </c>
      <c r="U106" s="385">
        <v>2020</v>
      </c>
      <c r="V106" s="385">
        <v>2020</v>
      </c>
      <c r="W106" s="385">
        <v>2020</v>
      </c>
      <c r="X106" s="385">
        <v>2020</v>
      </c>
      <c r="Y106" s="385">
        <v>2020</v>
      </c>
      <c r="Z106" s="385">
        <v>2020</v>
      </c>
      <c r="AA106" s="385">
        <v>2020</v>
      </c>
      <c r="AB106" s="385">
        <v>2020</v>
      </c>
      <c r="AC106" s="385">
        <v>2020</v>
      </c>
      <c r="AD106" s="385">
        <v>2020</v>
      </c>
      <c r="AE106" s="385">
        <v>2020</v>
      </c>
      <c r="AF106" s="385">
        <v>2020</v>
      </c>
      <c r="AG106" s="385">
        <v>2020</v>
      </c>
      <c r="AH106" s="385">
        <v>2020</v>
      </c>
      <c r="AI106" s="385">
        <v>2020</v>
      </c>
      <c r="AJ106" s="385">
        <v>2020</v>
      </c>
      <c r="AK106" s="385">
        <v>2020</v>
      </c>
      <c r="AL106" s="385">
        <v>2020</v>
      </c>
    </row>
    <row r="107" spans="1:38">
      <c r="G107" s="4" t="s">
        <v>687</v>
      </c>
      <c r="H107" s="4"/>
      <c r="I107" s="4"/>
      <c r="J107" s="4" t="s">
        <v>2663</v>
      </c>
      <c r="K107" s="174">
        <f>'Key inputs_Pipelines'!C$24*10^3</f>
        <v>19.874424713281158</v>
      </c>
      <c r="L107" s="174">
        <f>'Key inputs_Pipelines'!D$24*10^3</f>
        <v>0.6020801861734808</v>
      </c>
      <c r="M107" s="174">
        <f>'Key inputs_Pipelines'!E$24*10^3</f>
        <v>21.591056924523087</v>
      </c>
      <c r="N107" s="174">
        <f>'Key inputs_Pipelines'!F$24*10^3</f>
        <v>4.1436579553669119</v>
      </c>
      <c r="O107" s="174">
        <f>'Key inputs_Pipelines'!G$24*10^3</f>
        <v>4.3505810767992799</v>
      </c>
      <c r="P107" s="174">
        <f>'Key inputs_Pipelines'!H$24*10^3</f>
        <v>0.6337536039971553</v>
      </c>
      <c r="Q107" s="174">
        <f>'Key inputs_Pipelines'!I$24*10^3</f>
        <v>1.5194823929825765</v>
      </c>
      <c r="R107" s="174">
        <f>'Key inputs_Pipelines'!J$24*10^3</f>
        <v>4.1436579553669119</v>
      </c>
      <c r="S107" s="174">
        <f>'Key inputs_Pipelines'!K$24*10^3</f>
        <v>4.1436579553669119</v>
      </c>
      <c r="T107" s="174">
        <f>'Key inputs_Pipelines'!L$24*10^3</f>
        <v>7.1485521127821174</v>
      </c>
      <c r="U107" s="174">
        <f>'Key inputs_Pipelines'!M$24*10^3</f>
        <v>4.1436579553669119</v>
      </c>
      <c r="V107" s="174">
        <f>'Key inputs_Pipelines'!N$24*10^3</f>
        <v>0.67020370820052599</v>
      </c>
      <c r="W107" s="174">
        <f>'Key inputs_Pipelines'!O$24*10^3</f>
        <v>4.1299779616270103</v>
      </c>
      <c r="X107" s="174">
        <f>'Key inputs_Pipelines'!P$24*10^3</f>
        <v>4.1436579553669119</v>
      </c>
      <c r="Y107" s="174">
        <f>'Key inputs_Pipelines'!Q$24*10^3</f>
        <v>0.57166700935071724</v>
      </c>
      <c r="Z107" s="174">
        <f>'Key inputs_Pipelines'!R$24*10^3</f>
        <v>4.1436579553669119</v>
      </c>
      <c r="AA107" s="174">
        <f>'Key inputs_Pipelines'!S$24*10^3</f>
        <v>0.13377249210610051</v>
      </c>
      <c r="AB107" s="174">
        <f>'Key inputs_Pipelines'!T$24*10^3</f>
        <v>2.7669316119618004</v>
      </c>
      <c r="AC107" s="174">
        <f>'Key inputs_Pipelines'!U$24*10^3</f>
        <v>0.79937982285444453</v>
      </c>
      <c r="AD107" s="174">
        <f>'Key inputs_Pipelines'!V$24*10^3</f>
        <v>4.1436579553669119</v>
      </c>
      <c r="AE107" s="174">
        <f>'Key inputs_Pipelines'!W$24*10^3</f>
        <v>1.6726113997994447</v>
      </c>
      <c r="AF107" s="174">
        <f>'Key inputs_Pipelines'!X$24*10^3</f>
        <v>4.1436579553669119</v>
      </c>
      <c r="AG107" s="174">
        <f>'Key inputs_Pipelines'!Y$24*10^3</f>
        <v>1.7097968041195113</v>
      </c>
      <c r="AH107" s="174">
        <f>'Key inputs_Pipelines'!Z$24*10^3</f>
        <v>4.1436579553669119</v>
      </c>
      <c r="AI107" s="174">
        <f>'Key inputs_Pipelines'!AA$24*10^3</f>
        <v>3.2834326198583494</v>
      </c>
      <c r="AJ107" s="174">
        <f>'Key inputs_Pipelines'!AB$24*10^3</f>
        <v>1.7713145645918849</v>
      </c>
      <c r="AK107" s="174">
        <f>'Key inputs_Pipelines'!AC$24*10^3</f>
        <v>4.1436579553669119</v>
      </c>
      <c r="AL107" s="174">
        <f>'Key inputs_Pipelines'!AD$24*10^3</f>
        <v>1.3568241915957657</v>
      </c>
    </row>
    <row r="108" spans="1:38">
      <c r="G108" s="4" t="s">
        <v>689</v>
      </c>
      <c r="H108" s="4"/>
      <c r="I108" s="4"/>
      <c r="J108" s="4" t="s">
        <v>2662</v>
      </c>
      <c r="K108" s="355"/>
      <c r="L108" s="355"/>
      <c r="M108" s="355"/>
      <c r="N108" s="355"/>
      <c r="O108" s="355"/>
      <c r="P108" s="355"/>
      <c r="Q108" s="355"/>
      <c r="R108" s="355"/>
      <c r="S108" s="355"/>
      <c r="T108" s="355"/>
      <c r="U108" s="355"/>
      <c r="V108" s="355"/>
      <c r="W108" s="355"/>
      <c r="X108" s="355"/>
      <c r="Y108" s="355"/>
      <c r="Z108" s="355"/>
      <c r="AA108" s="355"/>
      <c r="AB108" s="355"/>
      <c r="AC108" s="355"/>
      <c r="AD108" s="355"/>
      <c r="AE108" s="355"/>
      <c r="AF108" s="355"/>
      <c r="AG108" s="355"/>
      <c r="AH108" s="355"/>
      <c r="AI108" s="355"/>
      <c r="AJ108" s="355"/>
      <c r="AK108" s="355"/>
      <c r="AL108" s="355"/>
    </row>
    <row r="109" spans="1:38">
      <c r="G109" s="4" t="s">
        <v>675</v>
      </c>
      <c r="H109" s="4"/>
      <c r="I109" s="4"/>
      <c r="J109" s="4"/>
      <c r="K109" s="355"/>
      <c r="L109" s="355"/>
      <c r="M109" s="355"/>
      <c r="N109" s="355"/>
      <c r="O109" s="355"/>
      <c r="P109" s="355"/>
      <c r="Q109" s="355"/>
      <c r="R109" s="355"/>
      <c r="S109" s="355"/>
      <c r="T109" s="355"/>
      <c r="U109" s="355"/>
      <c r="V109" s="355"/>
      <c r="W109" s="355"/>
      <c r="X109" s="355"/>
      <c r="Y109" s="355"/>
      <c r="Z109" s="355"/>
      <c r="AA109" s="355"/>
      <c r="AB109" s="355"/>
      <c r="AC109" s="355"/>
      <c r="AD109" s="355"/>
      <c r="AE109" s="355"/>
      <c r="AF109" s="355"/>
      <c r="AG109" s="355"/>
      <c r="AH109" s="355"/>
      <c r="AI109" s="355"/>
      <c r="AJ109" s="355"/>
      <c r="AK109" s="355"/>
      <c r="AL109" s="355"/>
    </row>
    <row r="110" spans="1:38">
      <c r="D110" t="str">
        <f>Commodities!$C$27</f>
        <v>OILCRD</v>
      </c>
      <c r="G110" s="4"/>
      <c r="H110" s="4"/>
      <c r="I110" s="4"/>
      <c r="J110" s="4"/>
    </row>
    <row r="111" spans="1:38">
      <c r="C111" t="str">
        <f>Commodities!$C$34</f>
        <v>OILPIP</v>
      </c>
      <c r="G111" s="4" t="s">
        <v>690</v>
      </c>
      <c r="H111" s="4"/>
      <c r="I111" s="4"/>
      <c r="J111" s="4" t="s">
        <v>112</v>
      </c>
      <c r="K111" s="355">
        <v>1</v>
      </c>
      <c r="L111" s="355">
        <v>1</v>
      </c>
      <c r="M111" s="355">
        <v>1</v>
      </c>
      <c r="N111" s="355">
        <v>1</v>
      </c>
      <c r="O111" s="355">
        <v>1</v>
      </c>
      <c r="P111" s="355">
        <v>1</v>
      </c>
      <c r="Q111" s="355">
        <v>1</v>
      </c>
      <c r="R111" s="355">
        <v>1</v>
      </c>
      <c r="S111" s="355">
        <v>1</v>
      </c>
      <c r="T111" s="355">
        <v>1</v>
      </c>
      <c r="U111" s="355">
        <v>1</v>
      </c>
      <c r="V111" s="355">
        <v>1</v>
      </c>
      <c r="W111" s="355">
        <v>1</v>
      </c>
      <c r="X111" s="355">
        <v>1</v>
      </c>
      <c r="Y111" s="355">
        <v>1</v>
      </c>
      <c r="Z111" s="355">
        <v>1</v>
      </c>
      <c r="AA111" s="355">
        <v>1</v>
      </c>
      <c r="AB111" s="355">
        <v>1</v>
      </c>
      <c r="AC111" s="355">
        <v>1</v>
      </c>
      <c r="AD111" s="355">
        <v>1</v>
      </c>
      <c r="AE111" s="355">
        <v>1</v>
      </c>
      <c r="AF111" s="355">
        <v>1</v>
      </c>
      <c r="AG111" s="355">
        <v>1</v>
      </c>
      <c r="AH111" s="355">
        <v>1</v>
      </c>
      <c r="AI111" s="355">
        <v>1</v>
      </c>
      <c r="AJ111" s="355">
        <v>1</v>
      </c>
      <c r="AK111" s="355">
        <v>1</v>
      </c>
      <c r="AL111" s="355">
        <v>1</v>
      </c>
    </row>
    <row r="112" spans="1:38">
      <c r="E112" s="4" t="s">
        <v>359</v>
      </c>
      <c r="F112" s="4" t="s">
        <v>691</v>
      </c>
      <c r="G112" s="4" t="s">
        <v>692</v>
      </c>
      <c r="J112" s="4" t="s">
        <v>2664</v>
      </c>
      <c r="K112" s="173">
        <f>IF(K61="",AVERAGE($K$61:$AL$61),K61)</f>
        <v>6729.5669553163043</v>
      </c>
      <c r="L112" s="173">
        <f t="shared" ref="L112:AL112" si="8">IF(L61="",AVERAGE($K$61:$AL$61),L61)</f>
        <v>3040.528571428571</v>
      </c>
      <c r="M112" s="173">
        <f t="shared" si="8"/>
        <v>80880.31578947368</v>
      </c>
      <c r="N112" s="173">
        <f t="shared" si="8"/>
        <v>3171.3731473408893</v>
      </c>
      <c r="O112" s="173">
        <f t="shared" si="8"/>
        <v>362.72268549516104</v>
      </c>
      <c r="P112" s="173">
        <f t="shared" si="8"/>
        <v>130.91142329778509</v>
      </c>
      <c r="Q112" s="173">
        <f t="shared" si="8"/>
        <v>6729.5669553163043</v>
      </c>
      <c r="R112" s="173">
        <f t="shared" si="8"/>
        <v>6729.5669553163043</v>
      </c>
      <c r="S112" s="173">
        <f t="shared" si="8"/>
        <v>6729.5669553163043</v>
      </c>
      <c r="T112" s="173">
        <f t="shared" si="8"/>
        <v>108.35872307280951</v>
      </c>
      <c r="U112" s="173">
        <f t="shared" si="8"/>
        <v>20244.666666666668</v>
      </c>
      <c r="V112" s="173">
        <f t="shared" si="8"/>
        <v>727.61100355679628</v>
      </c>
      <c r="W112" s="173">
        <f t="shared" si="8"/>
        <v>11.241340237587572</v>
      </c>
      <c r="X112" s="173">
        <f t="shared" si="8"/>
        <v>19158.703642384105</v>
      </c>
      <c r="Y112" s="173">
        <f t="shared" si="8"/>
        <v>30.145210009220694</v>
      </c>
      <c r="Z112" s="173">
        <f t="shared" si="8"/>
        <v>28.253577213822894</v>
      </c>
      <c r="AA112" s="173">
        <f t="shared" si="8"/>
        <v>47.550770866560342</v>
      </c>
      <c r="AB112" s="173">
        <f t="shared" si="8"/>
        <v>6729.5669553163043</v>
      </c>
      <c r="AC112" s="173">
        <f t="shared" si="8"/>
        <v>133.88564040318749</v>
      </c>
      <c r="AD112" s="173">
        <f t="shared" si="8"/>
        <v>6729.5669553163043</v>
      </c>
      <c r="AE112" s="173">
        <f t="shared" si="8"/>
        <v>357.74976159757676</v>
      </c>
      <c r="AF112" s="173">
        <f t="shared" si="8"/>
        <v>58.017155412828522</v>
      </c>
      <c r="AG112" s="173">
        <f t="shared" si="8"/>
        <v>4824.0470841578399</v>
      </c>
      <c r="AH112" s="173">
        <f t="shared" si="8"/>
        <v>6729.5669553163043</v>
      </c>
      <c r="AI112" s="173">
        <f t="shared" si="8"/>
        <v>6729.5669553163043</v>
      </c>
      <c r="AJ112" s="173">
        <f t="shared" si="8"/>
        <v>41.467381794239898</v>
      </c>
      <c r="AK112" s="173">
        <f t="shared" si="8"/>
        <v>1161.9642857142858</v>
      </c>
      <c r="AL112" s="173">
        <f t="shared" si="8"/>
        <v>71.825246202475896</v>
      </c>
    </row>
    <row r="113" spans="1:38">
      <c r="C113" t="str">
        <f>Commodities!$C$90</f>
        <v>UPSDSL</v>
      </c>
      <c r="E113" s="4"/>
      <c r="F113" s="4" t="s">
        <v>359</v>
      </c>
      <c r="G113" s="4" t="s">
        <v>702</v>
      </c>
      <c r="H113" t="s">
        <v>661</v>
      </c>
      <c r="I113">
        <v>2019</v>
      </c>
      <c r="J113" t="s">
        <v>650</v>
      </c>
      <c r="K113" s="173">
        <f t="shared" ref="K113:K120" si="9">IF(K62="",MAX($K62:$AL62),K62)</f>
        <v>0.9107142857142857</v>
      </c>
      <c r="L113" s="173">
        <f t="shared" ref="L113:AL120" si="10">IF(L62="",MAX($K62:$AL62),L62)</f>
        <v>0</v>
      </c>
      <c r="M113" s="173">
        <f t="shared" si="10"/>
        <v>0</v>
      </c>
      <c r="N113" s="173">
        <f t="shared" si="10"/>
        <v>0.74455100261551876</v>
      </c>
      <c r="O113" s="173">
        <f t="shared" si="10"/>
        <v>0</v>
      </c>
      <c r="P113" s="173">
        <f t="shared" si="10"/>
        <v>2.645611156685808E-3</v>
      </c>
      <c r="Q113" s="173">
        <f t="shared" si="10"/>
        <v>0.9107142857142857</v>
      </c>
      <c r="R113" s="173">
        <f t="shared" si="10"/>
        <v>0.9107142857142857</v>
      </c>
      <c r="S113" s="173">
        <f t="shared" si="10"/>
        <v>0.9107142857142857</v>
      </c>
      <c r="T113" s="173">
        <f t="shared" si="10"/>
        <v>1.8193654890198679E-3</v>
      </c>
      <c r="U113" s="173">
        <f t="shared" si="10"/>
        <v>0</v>
      </c>
      <c r="V113" s="173">
        <f t="shared" si="10"/>
        <v>1.3957048309396246E-3</v>
      </c>
      <c r="W113" s="173">
        <f t="shared" si="10"/>
        <v>0</v>
      </c>
      <c r="X113" s="173">
        <f t="shared" si="10"/>
        <v>0</v>
      </c>
      <c r="Y113" s="173">
        <f t="shared" si="10"/>
        <v>1E-3</v>
      </c>
      <c r="Z113" s="173">
        <f t="shared" si="10"/>
        <v>0</v>
      </c>
      <c r="AA113" s="173">
        <f t="shared" si="10"/>
        <v>0</v>
      </c>
      <c r="AB113" s="173">
        <f t="shared" si="10"/>
        <v>0.9107142857142857</v>
      </c>
      <c r="AC113" s="173">
        <f t="shared" si="10"/>
        <v>0</v>
      </c>
      <c r="AD113" s="173">
        <f t="shared" si="10"/>
        <v>0.9107142857142857</v>
      </c>
      <c r="AE113" s="173">
        <f t="shared" si="10"/>
        <v>0</v>
      </c>
      <c r="AF113" s="173">
        <f t="shared" si="10"/>
        <v>0</v>
      </c>
      <c r="AG113" s="173">
        <f t="shared" si="10"/>
        <v>7.2168548480968453E-3</v>
      </c>
      <c r="AH113" s="173">
        <f t="shared" si="10"/>
        <v>0.9107142857142857</v>
      </c>
      <c r="AI113" s="173">
        <f t="shared" si="10"/>
        <v>0.9107142857142857</v>
      </c>
      <c r="AJ113" s="173">
        <f t="shared" si="10"/>
        <v>7.0210921467219805E-3</v>
      </c>
      <c r="AK113" s="173">
        <f t="shared" si="10"/>
        <v>0.9107142857142857</v>
      </c>
      <c r="AL113" s="173">
        <f t="shared" si="10"/>
        <v>0</v>
      </c>
    </row>
    <row r="114" spans="1:38">
      <c r="C114" t="str">
        <f>Commodities!$C$91</f>
        <v>UPSELC</v>
      </c>
      <c r="F114" s="4" t="s">
        <v>359</v>
      </c>
      <c r="G114" s="4" t="s">
        <v>702</v>
      </c>
      <c r="H114" t="s">
        <v>661</v>
      </c>
      <c r="I114">
        <v>2019</v>
      </c>
      <c r="J114" t="s">
        <v>650</v>
      </c>
      <c r="K114" s="173">
        <f t="shared" si="9"/>
        <v>1</v>
      </c>
      <c r="L114" s="173">
        <f t="shared" ref="L114:Z114" si="11">IF(L63="",MAX($K63:$AL63),L63)</f>
        <v>2.3333333333333331E-2</v>
      </c>
      <c r="M114" s="173">
        <f t="shared" si="11"/>
        <v>1</v>
      </c>
      <c r="N114" s="173">
        <f t="shared" si="11"/>
        <v>0.24934612031386225</v>
      </c>
      <c r="O114" s="173">
        <f t="shared" si="11"/>
        <v>4.778136222533326E-2</v>
      </c>
      <c r="P114" s="173">
        <f t="shared" si="11"/>
        <v>2.6568908941755537E-2</v>
      </c>
      <c r="Q114" s="173">
        <f t="shared" si="11"/>
        <v>1</v>
      </c>
      <c r="R114" s="173">
        <f t="shared" si="11"/>
        <v>1</v>
      </c>
      <c r="S114" s="173">
        <f t="shared" si="11"/>
        <v>1</v>
      </c>
      <c r="T114" s="173">
        <f t="shared" si="11"/>
        <v>0.13492949232146387</v>
      </c>
      <c r="U114" s="173">
        <f t="shared" si="11"/>
        <v>0</v>
      </c>
      <c r="V114" s="173">
        <f t="shared" si="11"/>
        <v>0.70393048489487198</v>
      </c>
      <c r="W114" s="173">
        <f t="shared" si="11"/>
        <v>2.8303381053914105E-2</v>
      </c>
      <c r="X114" s="173">
        <f t="shared" si="11"/>
        <v>0</v>
      </c>
      <c r="Y114" s="173">
        <f t="shared" si="11"/>
        <v>4.4386505993450134E-2</v>
      </c>
      <c r="Z114" s="173">
        <f t="shared" si="11"/>
        <v>0.31526727861771059</v>
      </c>
      <c r="AA114" s="173">
        <f t="shared" si="10"/>
        <v>2.3796865902129059E-2</v>
      </c>
      <c r="AB114" s="173">
        <f t="shared" si="10"/>
        <v>1</v>
      </c>
      <c r="AC114" s="173">
        <f t="shared" si="10"/>
        <v>0</v>
      </c>
      <c r="AD114" s="173">
        <f t="shared" si="10"/>
        <v>1</v>
      </c>
      <c r="AE114" s="173">
        <f t="shared" si="10"/>
        <v>0</v>
      </c>
      <c r="AF114" s="173">
        <f t="shared" si="10"/>
        <v>8.8227837403870524E-2</v>
      </c>
      <c r="AG114" s="173">
        <f t="shared" si="10"/>
        <v>0</v>
      </c>
      <c r="AH114" s="173">
        <f t="shared" si="10"/>
        <v>1</v>
      </c>
      <c r="AI114" s="173">
        <f t="shared" si="10"/>
        <v>1</v>
      </c>
      <c r="AJ114" s="173">
        <f t="shared" si="10"/>
        <v>6.4383936254417753E-2</v>
      </c>
      <c r="AK114" s="173">
        <f t="shared" si="10"/>
        <v>0</v>
      </c>
      <c r="AL114" s="173">
        <f t="shared" si="10"/>
        <v>0</v>
      </c>
    </row>
    <row r="115" spans="1:38">
      <c r="C115" t="str">
        <f>Commodities!$C$92</f>
        <v>UPSGAS</v>
      </c>
      <c r="F115" s="4" t="s">
        <v>359</v>
      </c>
      <c r="G115" s="4" t="s">
        <v>702</v>
      </c>
      <c r="H115" t="s">
        <v>661</v>
      </c>
      <c r="I115">
        <v>2019</v>
      </c>
      <c r="J115" t="s">
        <v>650</v>
      </c>
      <c r="K115" s="173">
        <f t="shared" si="9"/>
        <v>1</v>
      </c>
      <c r="L115" s="173">
        <f t="shared" si="10"/>
        <v>0.97666666666666657</v>
      </c>
      <c r="M115" s="173">
        <f t="shared" si="10"/>
        <v>0</v>
      </c>
      <c r="N115" s="173">
        <f t="shared" si="10"/>
        <v>0</v>
      </c>
      <c r="O115" s="173">
        <f t="shared" si="10"/>
        <v>0.95221863777466675</v>
      </c>
      <c r="P115" s="173">
        <f t="shared" si="10"/>
        <v>0.97013945857260053</v>
      </c>
      <c r="Q115" s="173">
        <f t="shared" si="10"/>
        <v>1</v>
      </c>
      <c r="R115" s="173">
        <f t="shared" si="10"/>
        <v>1</v>
      </c>
      <c r="S115" s="173">
        <f t="shared" si="10"/>
        <v>1</v>
      </c>
      <c r="T115" s="173">
        <f t="shared" si="10"/>
        <v>0.86151315407061224</v>
      </c>
      <c r="U115" s="173">
        <f t="shared" si="10"/>
        <v>0</v>
      </c>
      <c r="V115" s="173">
        <f t="shared" si="10"/>
        <v>0</v>
      </c>
      <c r="W115" s="173">
        <f t="shared" si="10"/>
        <v>0.97169661894608594</v>
      </c>
      <c r="X115" s="173">
        <f t="shared" si="10"/>
        <v>1</v>
      </c>
      <c r="Y115" s="173">
        <f t="shared" si="10"/>
        <v>0.95548631204095269</v>
      </c>
      <c r="Z115" s="173">
        <f t="shared" si="10"/>
        <v>0.68473272138228947</v>
      </c>
      <c r="AA115" s="173">
        <f t="shared" si="10"/>
        <v>0.97620313409787085</v>
      </c>
      <c r="AB115" s="173">
        <f t="shared" si="10"/>
        <v>1</v>
      </c>
      <c r="AC115" s="173">
        <f t="shared" si="10"/>
        <v>1</v>
      </c>
      <c r="AD115" s="173">
        <f t="shared" si="10"/>
        <v>1</v>
      </c>
      <c r="AE115" s="173">
        <f t="shared" si="10"/>
        <v>1</v>
      </c>
      <c r="AF115" s="173">
        <f t="shared" si="10"/>
        <v>0.91177216259612948</v>
      </c>
      <c r="AG115" s="173">
        <f t="shared" si="10"/>
        <v>0.93213828425096024</v>
      </c>
      <c r="AH115" s="173">
        <f t="shared" si="10"/>
        <v>1</v>
      </c>
      <c r="AI115" s="173">
        <f t="shared" si="10"/>
        <v>1</v>
      </c>
      <c r="AJ115" s="173">
        <f t="shared" si="10"/>
        <v>0.92759974882854823</v>
      </c>
      <c r="AK115" s="173">
        <f t="shared" si="10"/>
        <v>0</v>
      </c>
      <c r="AL115" s="173">
        <f t="shared" si="10"/>
        <v>1</v>
      </c>
    </row>
    <row r="116" spans="1:38">
      <c r="C116" t="str">
        <f>Commodities!$C$93</f>
        <v>UPSGSL</v>
      </c>
      <c r="F116" s="4" t="s">
        <v>359</v>
      </c>
      <c r="G116" s="4" t="s">
        <v>702</v>
      </c>
      <c r="H116" t="s">
        <v>661</v>
      </c>
      <c r="I116">
        <v>2019</v>
      </c>
      <c r="J116" t="s">
        <v>650</v>
      </c>
      <c r="K116" s="173">
        <f t="shared" si="9"/>
        <v>2.2061140876142452E-3</v>
      </c>
      <c r="L116" s="173">
        <f t="shared" si="10"/>
        <v>0</v>
      </c>
      <c r="M116" s="173">
        <f t="shared" si="10"/>
        <v>0</v>
      </c>
      <c r="N116" s="173">
        <f t="shared" si="10"/>
        <v>0</v>
      </c>
      <c r="O116" s="173">
        <f t="shared" si="10"/>
        <v>0</v>
      </c>
      <c r="P116" s="173">
        <f t="shared" si="10"/>
        <v>0</v>
      </c>
      <c r="Q116" s="173">
        <f t="shared" si="10"/>
        <v>2.2061140876142452E-3</v>
      </c>
      <c r="R116" s="173">
        <f t="shared" si="10"/>
        <v>2.2061140876142452E-3</v>
      </c>
      <c r="S116" s="173">
        <f t="shared" si="10"/>
        <v>2.2061140876142452E-3</v>
      </c>
      <c r="T116" s="173">
        <f t="shared" si="10"/>
        <v>1.7379881189039631E-3</v>
      </c>
      <c r="U116" s="173">
        <f t="shared" si="10"/>
        <v>0</v>
      </c>
      <c r="V116" s="173">
        <f t="shared" si="10"/>
        <v>2.2061140876142452E-3</v>
      </c>
      <c r="W116" s="173">
        <f t="shared" si="10"/>
        <v>0</v>
      </c>
      <c r="X116" s="173">
        <f t="shared" si="10"/>
        <v>0</v>
      </c>
      <c r="Y116" s="173">
        <f t="shared" si="10"/>
        <v>0</v>
      </c>
      <c r="Z116" s="173">
        <f t="shared" si="10"/>
        <v>0</v>
      </c>
      <c r="AA116" s="173">
        <f t="shared" si="10"/>
        <v>0</v>
      </c>
      <c r="AB116" s="173">
        <f t="shared" si="10"/>
        <v>2.2061140876142452E-3</v>
      </c>
      <c r="AC116" s="173">
        <f t="shared" si="10"/>
        <v>0</v>
      </c>
      <c r="AD116" s="173">
        <f t="shared" si="10"/>
        <v>2.2061140876142452E-3</v>
      </c>
      <c r="AE116" s="173">
        <f t="shared" si="10"/>
        <v>0</v>
      </c>
      <c r="AF116" s="173">
        <f t="shared" si="10"/>
        <v>0</v>
      </c>
      <c r="AG116" s="173">
        <f t="shared" si="10"/>
        <v>0</v>
      </c>
      <c r="AH116" s="173">
        <f t="shared" si="10"/>
        <v>2.2061140876142452E-3</v>
      </c>
      <c r="AI116" s="173">
        <f t="shared" si="10"/>
        <v>2.2061140876142452E-3</v>
      </c>
      <c r="AJ116" s="173">
        <f t="shared" si="10"/>
        <v>1E-3</v>
      </c>
      <c r="AK116" s="173">
        <f t="shared" si="10"/>
        <v>0</v>
      </c>
      <c r="AL116" s="173">
        <f t="shared" si="10"/>
        <v>0</v>
      </c>
    </row>
    <row r="117" spans="1:38">
      <c r="C117" t="str">
        <f>Commodities!$C$95</f>
        <v>UPSHFO</v>
      </c>
      <c r="F117" s="4" t="s">
        <v>359</v>
      </c>
      <c r="G117" s="4" t="s">
        <v>702</v>
      </c>
      <c r="H117" t="s">
        <v>661</v>
      </c>
      <c r="I117">
        <v>2019</v>
      </c>
      <c r="J117" t="s">
        <v>650</v>
      </c>
      <c r="K117" s="173">
        <f t="shared" si="9"/>
        <v>0.29224258250416463</v>
      </c>
      <c r="L117" s="173">
        <f t="shared" si="10"/>
        <v>0</v>
      </c>
      <c r="M117" s="173">
        <f t="shared" si="10"/>
        <v>0</v>
      </c>
      <c r="N117" s="173">
        <f t="shared" si="10"/>
        <v>0</v>
      </c>
      <c r="O117" s="173">
        <f t="shared" si="10"/>
        <v>0</v>
      </c>
      <c r="P117" s="173">
        <f t="shared" si="10"/>
        <v>0</v>
      </c>
      <c r="Q117" s="173">
        <f t="shared" si="10"/>
        <v>0.29224258250416463</v>
      </c>
      <c r="R117" s="173">
        <f t="shared" si="10"/>
        <v>0.29224258250416463</v>
      </c>
      <c r="S117" s="173">
        <f t="shared" si="10"/>
        <v>0.29224258250416463</v>
      </c>
      <c r="T117" s="173">
        <f t="shared" si="10"/>
        <v>0</v>
      </c>
      <c r="U117" s="173">
        <f t="shared" si="10"/>
        <v>0</v>
      </c>
      <c r="V117" s="173">
        <f t="shared" si="10"/>
        <v>0.29224258250416463</v>
      </c>
      <c r="W117" s="173">
        <f t="shared" si="10"/>
        <v>0</v>
      </c>
      <c r="X117" s="173">
        <f t="shared" si="10"/>
        <v>0</v>
      </c>
      <c r="Y117" s="173">
        <f t="shared" si="10"/>
        <v>0</v>
      </c>
      <c r="Z117" s="173">
        <f t="shared" si="10"/>
        <v>0</v>
      </c>
      <c r="AA117" s="173">
        <f t="shared" si="10"/>
        <v>0</v>
      </c>
      <c r="AB117" s="173">
        <f t="shared" si="10"/>
        <v>0.29224258250416463</v>
      </c>
      <c r="AC117" s="173">
        <f t="shared" si="10"/>
        <v>0</v>
      </c>
      <c r="AD117" s="173">
        <f t="shared" si="10"/>
        <v>0.29224258250416463</v>
      </c>
      <c r="AE117" s="173">
        <f t="shared" si="10"/>
        <v>0</v>
      </c>
      <c r="AF117" s="173">
        <f t="shared" si="10"/>
        <v>0</v>
      </c>
      <c r="AG117" s="173">
        <f t="shared" si="10"/>
        <v>0</v>
      </c>
      <c r="AH117" s="173">
        <f t="shared" si="10"/>
        <v>0.29224258250416463</v>
      </c>
      <c r="AI117" s="173">
        <f t="shared" si="10"/>
        <v>0.29224258250416463</v>
      </c>
      <c r="AJ117" s="173">
        <f t="shared" si="10"/>
        <v>1E-3</v>
      </c>
      <c r="AK117" s="173">
        <f t="shared" si="10"/>
        <v>8.9285714285714288E-2</v>
      </c>
      <c r="AL117" s="173">
        <f t="shared" si="10"/>
        <v>0</v>
      </c>
    </row>
    <row r="118" spans="1:38">
      <c r="C118" t="str">
        <f>Commodities!$C$96</f>
        <v>UPSKER</v>
      </c>
      <c r="F118" s="4" t="s">
        <v>359</v>
      </c>
      <c r="G118" s="4" t="s">
        <v>702</v>
      </c>
      <c r="H118" t="s">
        <v>661</v>
      </c>
      <c r="I118">
        <v>2019</v>
      </c>
      <c r="J118" t="s">
        <v>650</v>
      </c>
      <c r="K118" s="173">
        <f t="shared" si="9"/>
        <v>6.0644860900942843E-2</v>
      </c>
      <c r="L118" s="173">
        <f t="shared" si="10"/>
        <v>0</v>
      </c>
      <c r="M118" s="173">
        <f t="shared" si="10"/>
        <v>0</v>
      </c>
      <c r="N118" s="173">
        <f t="shared" si="10"/>
        <v>0</v>
      </c>
      <c r="O118" s="173">
        <f t="shared" si="10"/>
        <v>0</v>
      </c>
      <c r="P118" s="173">
        <f t="shared" si="10"/>
        <v>0</v>
      </c>
      <c r="Q118" s="173">
        <f t="shared" si="10"/>
        <v>6.0644860900942843E-2</v>
      </c>
      <c r="R118" s="173">
        <f t="shared" si="10"/>
        <v>6.0644860900942843E-2</v>
      </c>
      <c r="S118" s="173">
        <f t="shared" si="10"/>
        <v>6.0644860900942843E-2</v>
      </c>
      <c r="T118" s="173">
        <f t="shared" si="10"/>
        <v>0</v>
      </c>
      <c r="U118" s="173">
        <f t="shared" si="10"/>
        <v>0</v>
      </c>
      <c r="V118" s="173">
        <f t="shared" si="10"/>
        <v>0</v>
      </c>
      <c r="W118" s="173">
        <f t="shared" si="10"/>
        <v>0</v>
      </c>
      <c r="X118" s="173">
        <f t="shared" si="10"/>
        <v>0</v>
      </c>
      <c r="Y118" s="173">
        <f t="shared" si="10"/>
        <v>0</v>
      </c>
      <c r="Z118" s="173">
        <f t="shared" si="10"/>
        <v>0</v>
      </c>
      <c r="AA118" s="173">
        <f t="shared" si="10"/>
        <v>0</v>
      </c>
      <c r="AB118" s="173">
        <f t="shared" si="10"/>
        <v>6.0644860900942843E-2</v>
      </c>
      <c r="AC118" s="173">
        <f t="shared" si="10"/>
        <v>0</v>
      </c>
      <c r="AD118" s="173">
        <f t="shared" si="10"/>
        <v>6.0644860900942843E-2</v>
      </c>
      <c r="AE118" s="173">
        <f t="shared" si="10"/>
        <v>0</v>
      </c>
      <c r="AF118" s="173">
        <f t="shared" si="10"/>
        <v>0</v>
      </c>
      <c r="AG118" s="173">
        <f t="shared" si="10"/>
        <v>6.0644860900942843E-2</v>
      </c>
      <c r="AH118" s="173">
        <f t="shared" si="10"/>
        <v>6.0644860900942843E-2</v>
      </c>
      <c r="AI118" s="173">
        <f t="shared" si="10"/>
        <v>6.0644860900942843E-2</v>
      </c>
      <c r="AJ118" s="173">
        <f t="shared" si="10"/>
        <v>0</v>
      </c>
      <c r="AK118" s="173">
        <f t="shared" si="10"/>
        <v>0</v>
      </c>
      <c r="AL118" s="173">
        <f t="shared" si="10"/>
        <v>0</v>
      </c>
    </row>
    <row r="119" spans="1:38">
      <c r="C119" t="str">
        <f>Commodities!$C$97</f>
        <v>UPSLPG</v>
      </c>
      <c r="F119" s="4" t="s">
        <v>359</v>
      </c>
      <c r="G119" s="4" t="s">
        <v>702</v>
      </c>
      <c r="H119" t="s">
        <v>661</v>
      </c>
      <c r="I119">
        <v>2019</v>
      </c>
      <c r="J119" t="s">
        <v>650</v>
      </c>
      <c r="K119" s="173">
        <f t="shared" si="9"/>
        <v>1</v>
      </c>
      <c r="L119" s="173">
        <f t="shared" si="10"/>
        <v>0</v>
      </c>
      <c r="M119" s="173">
        <f t="shared" si="10"/>
        <v>0</v>
      </c>
      <c r="N119" s="173">
        <f t="shared" si="10"/>
        <v>6.1028770706190059E-3</v>
      </c>
      <c r="O119" s="173">
        <f t="shared" si="10"/>
        <v>0</v>
      </c>
      <c r="P119" s="173">
        <f t="shared" si="10"/>
        <v>0</v>
      </c>
      <c r="Q119" s="173">
        <f t="shared" si="10"/>
        <v>1</v>
      </c>
      <c r="R119" s="173">
        <f t="shared" si="10"/>
        <v>1</v>
      </c>
      <c r="S119" s="173">
        <f t="shared" si="10"/>
        <v>1</v>
      </c>
      <c r="T119" s="173">
        <f t="shared" si="10"/>
        <v>0</v>
      </c>
      <c r="U119" s="173">
        <f t="shared" si="10"/>
        <v>1</v>
      </c>
      <c r="V119" s="173">
        <f t="shared" si="10"/>
        <v>1E-3</v>
      </c>
      <c r="W119" s="173">
        <f t="shared" si="10"/>
        <v>0</v>
      </c>
      <c r="X119" s="173">
        <f t="shared" si="10"/>
        <v>0</v>
      </c>
      <c r="Y119" s="173">
        <f t="shared" si="10"/>
        <v>0</v>
      </c>
      <c r="Z119" s="173">
        <f t="shared" si="10"/>
        <v>0</v>
      </c>
      <c r="AA119" s="173">
        <f t="shared" si="10"/>
        <v>0</v>
      </c>
      <c r="AB119" s="173">
        <f t="shared" si="10"/>
        <v>1</v>
      </c>
      <c r="AC119" s="173">
        <f t="shared" si="10"/>
        <v>0</v>
      </c>
      <c r="AD119" s="173">
        <f t="shared" si="10"/>
        <v>1</v>
      </c>
      <c r="AE119" s="173">
        <f t="shared" si="10"/>
        <v>0</v>
      </c>
      <c r="AF119" s="173">
        <f t="shared" si="10"/>
        <v>0</v>
      </c>
      <c r="AG119" s="173">
        <f t="shared" si="10"/>
        <v>0</v>
      </c>
      <c r="AH119" s="173">
        <f t="shared" si="10"/>
        <v>1</v>
      </c>
      <c r="AI119" s="173">
        <f t="shared" si="10"/>
        <v>1</v>
      </c>
      <c r="AJ119" s="173">
        <f t="shared" si="10"/>
        <v>1E-3</v>
      </c>
      <c r="AK119" s="173">
        <f t="shared" si="10"/>
        <v>0</v>
      </c>
      <c r="AL119" s="173">
        <f t="shared" si="10"/>
        <v>0</v>
      </c>
    </row>
    <row r="120" spans="1:38">
      <c r="A120" s="236"/>
      <c r="B120" s="236"/>
      <c r="C120" s="236" t="str">
        <f>Commodities!$C$99</f>
        <v>UPSOIL</v>
      </c>
      <c r="D120" s="236"/>
      <c r="E120" s="236"/>
      <c r="F120" s="259" t="s">
        <v>359</v>
      </c>
      <c r="G120" s="259" t="s">
        <v>702</v>
      </c>
      <c r="H120" s="236" t="s">
        <v>661</v>
      </c>
      <c r="I120" s="236">
        <v>2019</v>
      </c>
      <c r="J120" s="236" t="s">
        <v>650</v>
      </c>
      <c r="K120" s="226">
        <f t="shared" si="9"/>
        <v>1E-3</v>
      </c>
      <c r="L120" s="226">
        <f t="shared" si="10"/>
        <v>0</v>
      </c>
      <c r="M120" s="226">
        <f t="shared" si="10"/>
        <v>0</v>
      </c>
      <c r="N120" s="226">
        <f t="shared" si="10"/>
        <v>0</v>
      </c>
      <c r="O120" s="226">
        <f t="shared" si="10"/>
        <v>0</v>
      </c>
      <c r="P120" s="226">
        <f t="shared" si="10"/>
        <v>1E-3</v>
      </c>
      <c r="Q120" s="226">
        <f t="shared" si="10"/>
        <v>1E-3</v>
      </c>
      <c r="R120" s="226">
        <f t="shared" si="10"/>
        <v>1E-3</v>
      </c>
      <c r="S120" s="226">
        <f t="shared" si="10"/>
        <v>1E-3</v>
      </c>
      <c r="T120" s="226">
        <f t="shared" si="10"/>
        <v>0</v>
      </c>
      <c r="U120" s="226">
        <f t="shared" si="10"/>
        <v>0</v>
      </c>
      <c r="V120" s="226">
        <f t="shared" si="10"/>
        <v>0</v>
      </c>
      <c r="W120" s="226">
        <f t="shared" si="10"/>
        <v>0</v>
      </c>
      <c r="X120" s="226">
        <f t="shared" si="10"/>
        <v>0</v>
      </c>
      <c r="Y120" s="226">
        <f t="shared" si="10"/>
        <v>0</v>
      </c>
      <c r="Z120" s="226">
        <f t="shared" si="10"/>
        <v>0</v>
      </c>
      <c r="AA120" s="226">
        <f t="shared" si="10"/>
        <v>0</v>
      </c>
      <c r="AB120" s="226">
        <f t="shared" si="10"/>
        <v>1E-3</v>
      </c>
      <c r="AC120" s="226">
        <f t="shared" si="10"/>
        <v>0</v>
      </c>
      <c r="AD120" s="226">
        <f t="shared" si="10"/>
        <v>1E-3</v>
      </c>
      <c r="AE120" s="226">
        <f t="shared" si="10"/>
        <v>0</v>
      </c>
      <c r="AF120" s="226">
        <f t="shared" si="10"/>
        <v>0</v>
      </c>
      <c r="AG120" s="226">
        <f t="shared" si="10"/>
        <v>0</v>
      </c>
      <c r="AH120" s="226">
        <f t="shared" si="10"/>
        <v>1E-3</v>
      </c>
      <c r="AI120" s="226">
        <f t="shared" si="10"/>
        <v>1E-3</v>
      </c>
      <c r="AJ120" s="226">
        <f t="shared" si="10"/>
        <v>0</v>
      </c>
      <c r="AK120" s="226">
        <f t="shared" si="10"/>
        <v>0</v>
      </c>
      <c r="AL120" s="226">
        <f t="shared" si="10"/>
        <v>0</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28680-8C3D-4329-826C-3D83D7CE259A}">
  <sheetPr>
    <tabColor theme="9" tint="0.39997558519241921"/>
  </sheetPr>
  <dimension ref="A1:N33"/>
  <sheetViews>
    <sheetView topLeftCell="A8" workbookViewId="0">
      <selection activeCell="E29" sqref="E29"/>
    </sheetView>
  </sheetViews>
  <sheetFormatPr defaultRowHeight="15.6"/>
  <cols>
    <col min="1" max="1" width="38.69921875" bestFit="1" customWidth="1"/>
    <col min="2" max="2" width="70.69921875" bestFit="1" customWidth="1"/>
    <col min="3" max="3" width="11.5" bestFit="1" customWidth="1"/>
    <col min="4" max="4" width="9.8984375" bestFit="1" customWidth="1"/>
    <col min="5" max="5" width="7.59765625" bestFit="1" customWidth="1"/>
    <col min="7" max="7" width="21.59765625" bestFit="1" customWidth="1"/>
    <col min="8" max="8" width="20.19921875" bestFit="1" customWidth="1"/>
    <col min="9" max="9" width="64" bestFit="1" customWidth="1"/>
    <col min="10" max="10" width="6" bestFit="1" customWidth="1"/>
    <col min="11" max="11" width="6.8984375" bestFit="1" customWidth="1"/>
    <col min="12" max="12" width="7.3984375" bestFit="1" customWidth="1"/>
    <col min="13" max="13" width="9.09765625" bestFit="1" customWidth="1"/>
    <col min="14" max="14" width="6.8984375" bestFit="1" customWidth="1"/>
  </cols>
  <sheetData>
    <row r="1" spans="1:14" s="4" customFormat="1" ht="23.4">
      <c r="A1" s="253" t="s">
        <v>711</v>
      </c>
    </row>
    <row r="2" spans="1:14" s="4" customFormat="1" ht="18">
      <c r="A2" s="8" t="s">
        <v>663</v>
      </c>
    </row>
    <row r="3" spans="1:14" s="4" customFormat="1"/>
    <row r="4" spans="1:14" s="4" customFormat="1" ht="18">
      <c r="A4" s="8"/>
      <c r="G4" s="8" t="s">
        <v>665</v>
      </c>
    </row>
    <row r="5" spans="1:14" s="4" customFormat="1" ht="18">
      <c r="A5" s="8"/>
    </row>
    <row r="6" spans="1:14" s="4" customFormat="1">
      <c r="A6" s="255" t="s">
        <v>625</v>
      </c>
      <c r="B6" s="255"/>
      <c r="C6"/>
      <c r="D6"/>
      <c r="E6"/>
      <c r="F6" s="493"/>
      <c r="G6" s="256" t="s">
        <v>626</v>
      </c>
      <c r="H6" s="493"/>
      <c r="I6" s="493"/>
      <c r="J6" s="493"/>
      <c r="K6" s="493"/>
    </row>
    <row r="7" spans="1:14" s="4" customFormat="1" ht="16.2" thickBot="1">
      <c r="A7" s="11" t="s">
        <v>627</v>
      </c>
      <c r="B7" s="11" t="s">
        <v>666</v>
      </c>
      <c r="C7" s="240" t="s">
        <v>652</v>
      </c>
      <c r="D7" s="240" t="s">
        <v>653</v>
      </c>
      <c r="E7" s="10" t="s">
        <v>630</v>
      </c>
      <c r="G7" s="10" t="s">
        <v>633</v>
      </c>
      <c r="H7" s="10" t="s">
        <v>627</v>
      </c>
      <c r="I7" s="10" t="s">
        <v>634</v>
      </c>
      <c r="J7" s="10" t="s">
        <v>635</v>
      </c>
      <c r="K7" s="10" t="s">
        <v>636</v>
      </c>
      <c r="L7" s="10" t="s">
        <v>637</v>
      </c>
      <c r="M7" s="10" t="s">
        <v>638</v>
      </c>
      <c r="N7" s="10" t="s">
        <v>667</v>
      </c>
    </row>
    <row r="8" spans="1:14" s="4" customFormat="1" ht="55.2">
      <c r="A8" s="241" t="s">
        <v>639</v>
      </c>
      <c r="B8" s="241" t="s">
        <v>668</v>
      </c>
      <c r="C8" s="241" t="s">
        <v>656</v>
      </c>
      <c r="D8" s="241" t="s">
        <v>657</v>
      </c>
      <c r="E8" s="241"/>
      <c r="G8" s="242" t="s">
        <v>670</v>
      </c>
      <c r="H8" s="242" t="s">
        <v>644</v>
      </c>
      <c r="I8" s="242" t="s">
        <v>23</v>
      </c>
      <c r="J8" s="242" t="s">
        <v>645</v>
      </c>
      <c r="K8" s="242" t="s">
        <v>646</v>
      </c>
      <c r="L8" s="242" t="s">
        <v>647</v>
      </c>
      <c r="M8" s="241" t="s">
        <v>648</v>
      </c>
      <c r="N8" s="241" t="s">
        <v>671</v>
      </c>
    </row>
    <row r="9" spans="1:14" s="4" customFormat="1">
      <c r="A9" s="257" t="s">
        <v>649</v>
      </c>
      <c r="B9" s="257"/>
      <c r="C9" s="257"/>
      <c r="D9" s="257"/>
      <c r="E9" s="257"/>
      <c r="G9" s="257" t="s">
        <v>629</v>
      </c>
      <c r="H9" s="257"/>
      <c r="I9" s="257"/>
      <c r="J9" s="257"/>
      <c r="K9" s="257"/>
      <c r="L9" s="257"/>
      <c r="M9" s="257"/>
      <c r="N9" s="257"/>
    </row>
    <row r="10" spans="1:14" s="4" customFormat="1">
      <c r="A10" s="4" t="str">
        <f>IF(H10="",G10,H10)</f>
        <v>U-TRF-BIOMASSb_00</v>
      </c>
      <c r="B10" s="4" t="str">
        <f>IF($H10="","",I10)</f>
        <v>UPS Transformation: Traditional woody biomass - Name conversion - Existing</v>
      </c>
      <c r="C10" s="4" t="str">
        <f>Commodities!$C$39</f>
        <v>BIOMASSb</v>
      </c>
      <c r="D10" s="4" t="str">
        <f>Commodities!$C$67</f>
        <v>BIOMASS</v>
      </c>
      <c r="E10" s="258">
        <v>1</v>
      </c>
      <c r="G10" s="4" t="s">
        <v>651</v>
      </c>
      <c r="H10" t="str">
        <f>"U-TRF-"&amp;C10&amp;"_00"</f>
        <v>U-TRF-BIOMASSb_00</v>
      </c>
      <c r="I10" t="str">
        <f>"UPS Transformation: "&amp;Commodities!$D$67&amp;" - Name conversion - Existing"</f>
        <v>UPS Transformation: Traditional woody biomass - Name conversion - Existing</v>
      </c>
      <c r="J10" s="4" t="s">
        <v>112</v>
      </c>
      <c r="K10" s="4" t="s">
        <v>2671</v>
      </c>
    </row>
    <row r="11" spans="1:14">
      <c r="A11" s="4" t="str">
        <f t="shared" ref="A11:A16" si="0">IF(H11="",G11,H11)</f>
        <v>U-TRF-COAb_00</v>
      </c>
      <c r="B11" s="4" t="str">
        <f t="shared" ref="B11:B16" si="1">IF($H11="","",I11)</f>
        <v>UPS Transformation: Coal - Name conversion - Existing</v>
      </c>
      <c r="C11" t="str">
        <f>Commodities!$C$40</f>
        <v>COAb</v>
      </c>
      <c r="D11" t="str">
        <f>Commodities!$C$22</f>
        <v>COA</v>
      </c>
      <c r="E11" s="258">
        <v>1</v>
      </c>
      <c r="G11" s="4" t="s">
        <v>651</v>
      </c>
      <c r="H11" t="str">
        <f t="shared" ref="H11:H16" si="2">"U-TRF-"&amp;C11&amp;"_00"</f>
        <v>U-TRF-COAb_00</v>
      </c>
      <c r="I11" t="str">
        <f>"UPS Transformation: "&amp;Commodities!D22&amp;" - Name conversion - Existing"</f>
        <v>UPS Transformation: Coal - Name conversion - Existing</v>
      </c>
      <c r="J11" s="4" t="s">
        <v>112</v>
      </c>
      <c r="K11" s="4" t="s">
        <v>2671</v>
      </c>
    </row>
    <row r="12" spans="1:14">
      <c r="A12" s="4" t="str">
        <f t="shared" si="0"/>
        <v>U-TRF-OILDSLb_00</v>
      </c>
      <c r="B12" s="4" t="str">
        <f t="shared" si="1"/>
        <v>UPS Transformation: Diesel - Name conversion - Existing</v>
      </c>
      <c r="C12" t="str">
        <f>Commodities!$C$41</f>
        <v>OILDSLb</v>
      </c>
      <c r="D12" t="str">
        <f>Commodities!$C$48</f>
        <v>OILDSL</v>
      </c>
      <c r="E12" s="258">
        <v>1</v>
      </c>
      <c r="G12" s="4" t="s">
        <v>651</v>
      </c>
      <c r="H12" t="str">
        <f t="shared" si="2"/>
        <v>U-TRF-OILDSLb_00</v>
      </c>
      <c r="I12" t="str">
        <f>"UPS Transformation: "&amp;Commodities!D48&amp;" - Name conversion - Existing"</f>
        <v>UPS Transformation: Diesel - Name conversion - Existing</v>
      </c>
      <c r="J12" s="4" t="s">
        <v>112</v>
      </c>
      <c r="K12" s="4" t="s">
        <v>2671</v>
      </c>
    </row>
    <row r="13" spans="1:14">
      <c r="A13" s="4" t="str">
        <f t="shared" si="0"/>
        <v>U-TRF-OILGSLb_00</v>
      </c>
      <c r="B13" s="4" t="str">
        <f t="shared" si="1"/>
        <v>UPS Transformation: Gasoline - Name conversion - Existing</v>
      </c>
      <c r="C13" t="str">
        <f>Commodities!$C$42</f>
        <v>OILGSLb</v>
      </c>
      <c r="D13" t="str">
        <f>Commodities!$C$49</f>
        <v>OILGSL</v>
      </c>
      <c r="E13" s="258">
        <v>1</v>
      </c>
      <c r="G13" s="4" t="s">
        <v>651</v>
      </c>
      <c r="H13" t="str">
        <f t="shared" si="2"/>
        <v>U-TRF-OILGSLb_00</v>
      </c>
      <c r="I13" t="str">
        <f>"UPS Transformation: "&amp;Commodities!D49&amp;" - Name conversion - Existing"</f>
        <v>UPS Transformation: Gasoline - Name conversion - Existing</v>
      </c>
      <c r="J13" s="4" t="s">
        <v>112</v>
      </c>
      <c r="K13" s="4" t="s">
        <v>2671</v>
      </c>
    </row>
    <row r="14" spans="1:14">
      <c r="A14" s="4" t="str">
        <f t="shared" si="0"/>
        <v>U-TRF-OILLPGb_00</v>
      </c>
      <c r="B14" s="4" t="str">
        <f t="shared" si="1"/>
        <v>UPS Transformation: LPG - Name conversion - Existing</v>
      </c>
      <c r="C14" t="str">
        <f>Commodities!$C$43</f>
        <v>OILLPGb</v>
      </c>
      <c r="D14" t="str">
        <f>Commodities!$C$52</f>
        <v>OILLPG</v>
      </c>
      <c r="E14" s="258">
        <v>1</v>
      </c>
      <c r="G14" s="4" t="s">
        <v>651</v>
      </c>
      <c r="H14" t="str">
        <f t="shared" si="2"/>
        <v>U-TRF-OILLPGb_00</v>
      </c>
      <c r="I14" t="str">
        <f>"UPS Transformation: "&amp;Commodities!D52&amp;" - Name conversion - Existing"</f>
        <v>UPS Transformation: LPG - Name conversion - Existing</v>
      </c>
      <c r="J14" s="4" t="s">
        <v>112</v>
      </c>
      <c r="K14" s="4" t="s">
        <v>2671</v>
      </c>
    </row>
    <row r="15" spans="1:14">
      <c r="A15" s="4" t="str">
        <f t="shared" si="0"/>
        <v>U-TRF-OILNAPb_00</v>
      </c>
      <c r="B15" s="4" t="str">
        <f t="shared" si="1"/>
        <v>UPS Transformation: Naphtha - Name conversion - Existing</v>
      </c>
      <c r="C15" t="str">
        <f>Commodities!$C$44</f>
        <v>OILNAPb</v>
      </c>
      <c r="D15" t="str">
        <f>Commodities!$C$53</f>
        <v>OILNAP</v>
      </c>
      <c r="E15" s="258">
        <v>1</v>
      </c>
      <c r="G15" s="4" t="s">
        <v>651</v>
      </c>
      <c r="H15" t="str">
        <f t="shared" si="2"/>
        <v>U-TRF-OILNAPb_00</v>
      </c>
      <c r="I15" t="str">
        <f>"UPS Transformation: "&amp;Commodities!D53&amp;" - Name conversion - Existing"</f>
        <v>UPS Transformation: Naphtha - Name conversion - Existing</v>
      </c>
      <c r="J15" s="4" t="s">
        <v>112</v>
      </c>
      <c r="K15" s="4" t="s">
        <v>2671</v>
      </c>
    </row>
    <row r="16" spans="1:14">
      <c r="A16" s="4" t="str">
        <f t="shared" si="0"/>
        <v>U-TRF-OILOPPb_00</v>
      </c>
      <c r="B16" s="4" t="str">
        <f t="shared" si="1"/>
        <v>UPS Transformation: Other petroleum products - Name conversion - Existing</v>
      </c>
      <c r="C16" t="str">
        <f>Commodities!$C$45</f>
        <v>OILOPPb</v>
      </c>
      <c r="D16" t="str">
        <f>Commodities!$C$55</f>
        <v>OILOPP</v>
      </c>
      <c r="E16" s="258">
        <v>1</v>
      </c>
      <c r="G16" s="4" t="s">
        <v>651</v>
      </c>
      <c r="H16" t="str">
        <f t="shared" si="2"/>
        <v>U-TRF-OILOPPb_00</v>
      </c>
      <c r="I16" t="str">
        <f>"UPS Transformation: "&amp;Commodities!D55&amp;" - Name conversion - Existing"</f>
        <v>UPS Transformation: Other petroleum products - Name conversion - Existing</v>
      </c>
      <c r="J16" s="4" t="s">
        <v>112</v>
      </c>
      <c r="K16" s="4" t="s">
        <v>2671</v>
      </c>
    </row>
    <row r="23" spans="1:14" ht="18">
      <c r="A23" s="8"/>
      <c r="B23" s="4"/>
      <c r="C23" s="4"/>
      <c r="D23" s="4"/>
      <c r="E23" s="4"/>
      <c r="F23" s="4"/>
      <c r="G23" s="8" t="s">
        <v>665</v>
      </c>
      <c r="H23" s="4"/>
      <c r="I23" s="4"/>
      <c r="J23" s="4"/>
      <c r="K23" s="4"/>
      <c r="L23" s="4"/>
      <c r="M23" s="4"/>
      <c r="N23" s="4"/>
    </row>
    <row r="24" spans="1:14" ht="18">
      <c r="A24" s="8"/>
      <c r="B24" s="4"/>
      <c r="C24" s="4"/>
      <c r="D24" s="4"/>
      <c r="E24" s="4"/>
      <c r="F24" s="4"/>
      <c r="G24" s="4"/>
      <c r="H24" s="4"/>
      <c r="I24" s="4"/>
      <c r="J24" s="4"/>
      <c r="K24" s="4"/>
      <c r="L24" s="4"/>
      <c r="M24" s="4"/>
      <c r="N24" s="4"/>
    </row>
    <row r="25" spans="1:14">
      <c r="A25" s="255" t="s">
        <v>625</v>
      </c>
      <c r="B25" s="255"/>
      <c r="F25" s="493"/>
      <c r="G25" s="256" t="s">
        <v>626</v>
      </c>
      <c r="H25" s="493"/>
      <c r="I25" s="493"/>
      <c r="J25" s="493"/>
      <c r="K25" s="493"/>
      <c r="L25" s="4"/>
      <c r="M25" s="4"/>
      <c r="N25" s="4"/>
    </row>
    <row r="26" spans="1:14" ht="16.2" thickBot="1">
      <c r="A26" s="11" t="s">
        <v>627</v>
      </c>
      <c r="B26" s="11" t="s">
        <v>666</v>
      </c>
      <c r="C26" s="240" t="s">
        <v>652</v>
      </c>
      <c r="D26" s="240" t="s">
        <v>653</v>
      </c>
      <c r="E26" s="10" t="s">
        <v>630</v>
      </c>
      <c r="F26" s="4"/>
      <c r="G26" s="10" t="s">
        <v>633</v>
      </c>
      <c r="H26" s="10" t="s">
        <v>627</v>
      </c>
      <c r="I26" s="10" t="s">
        <v>634</v>
      </c>
      <c r="J26" s="10" t="s">
        <v>635</v>
      </c>
      <c r="K26" s="10" t="s">
        <v>636</v>
      </c>
      <c r="L26" s="10" t="s">
        <v>637</v>
      </c>
      <c r="M26" s="10" t="s">
        <v>638</v>
      </c>
      <c r="N26" s="10" t="s">
        <v>667</v>
      </c>
    </row>
    <row r="27" spans="1:14" ht="55.2">
      <c r="A27" s="241" t="s">
        <v>639</v>
      </c>
      <c r="B27" s="241" t="s">
        <v>668</v>
      </c>
      <c r="C27" s="241" t="s">
        <v>656</v>
      </c>
      <c r="D27" s="241" t="s">
        <v>657</v>
      </c>
      <c r="E27" s="241"/>
      <c r="F27" s="4"/>
      <c r="G27" s="242" t="s">
        <v>670</v>
      </c>
      <c r="H27" s="242" t="s">
        <v>644</v>
      </c>
      <c r="I27" s="242" t="s">
        <v>23</v>
      </c>
      <c r="J27" s="242" t="s">
        <v>645</v>
      </c>
      <c r="K27" s="242" t="s">
        <v>646</v>
      </c>
      <c r="L27" s="242" t="s">
        <v>647</v>
      </c>
      <c r="M27" s="241" t="s">
        <v>648</v>
      </c>
      <c r="N27" s="241" t="s">
        <v>671</v>
      </c>
    </row>
    <row r="28" spans="1:14">
      <c r="A28" s="257" t="s">
        <v>649</v>
      </c>
      <c r="B28" s="257"/>
      <c r="C28" s="257"/>
      <c r="D28" s="257"/>
      <c r="E28" s="257"/>
      <c r="F28" s="4"/>
      <c r="G28" s="257" t="s">
        <v>629</v>
      </c>
      <c r="H28" s="257"/>
      <c r="I28" s="257"/>
      <c r="J28" s="257"/>
      <c r="K28" s="257"/>
      <c r="L28" s="257"/>
      <c r="M28" s="257"/>
      <c r="N28" s="257"/>
    </row>
    <row r="29" spans="1:14">
      <c r="A29" s="4" t="str">
        <f>IF(H29="",G29,H29)</f>
        <v>U-TRF-RSVBIOWOO_00</v>
      </c>
      <c r="B29" s="4" t="str">
        <f>IF($H29="","",I29)</f>
        <v>UPS Transformation: Biomass - Forest residues - Unit conversion - Existing</v>
      </c>
      <c r="C29" s="4" t="str">
        <f>Commodities!C15</f>
        <v>RSVBIOWOO</v>
      </c>
      <c r="D29" s="4" t="str">
        <f>Commodities!C61</f>
        <v>BIOWOO</v>
      </c>
      <c r="E29" s="332">
        <f>'Key input_Biomass_MAgPIE'!$AG$6/10^3</f>
        <v>1.9E-2</v>
      </c>
      <c r="F29" s="4"/>
      <c r="G29" s="4" t="s">
        <v>651</v>
      </c>
      <c r="H29" t="str">
        <f>"U-TRF-"&amp;C29&amp;"_00"</f>
        <v>U-TRF-RSVBIOWOO_00</v>
      </c>
      <c r="I29" t="str">
        <f>"UPS Transformation: "&amp;Commodities!$D$61&amp;" - Unit conversion - Existing"</f>
        <v>UPS Transformation: Biomass - Forest residues - Unit conversion - Existing</v>
      </c>
      <c r="J29" s="4" t="s">
        <v>112</v>
      </c>
      <c r="K29" s="4" t="s">
        <v>2671</v>
      </c>
      <c r="L29" s="4"/>
      <c r="M29" s="4"/>
      <c r="N29" s="4"/>
    </row>
    <row r="30" spans="1:14">
      <c r="A30" s="4" t="str">
        <f t="shared" ref="A30:A31" si="3">IF(H30="",G30,H30)</f>
        <v>U-TRF-RSVBIOCRP_00</v>
      </c>
      <c r="B30" s="4" t="str">
        <f t="shared" ref="B30:B31" si="4">IF($H30="","",I30)</f>
        <v>UPS Transformation: Biomass - Crops grown for energy - Unit conversion - Existing</v>
      </c>
      <c r="C30" s="4" t="str">
        <f>Commodities!C16</f>
        <v>RSVBIOCRP</v>
      </c>
      <c r="D30" s="4" t="str">
        <f>Commodities!C62</f>
        <v>BIOCRP</v>
      </c>
      <c r="E30" s="332">
        <f>'Key input_Biomass_MAgPIE'!AG45/10^3</f>
        <v>1.9E-2</v>
      </c>
      <c r="G30" s="4" t="s">
        <v>651</v>
      </c>
      <c r="H30" t="str">
        <f t="shared" ref="H30:H31" si="5">"U-TRF-"&amp;C30&amp;"_00"</f>
        <v>U-TRF-RSVBIOCRP_00</v>
      </c>
      <c r="I30" t="str">
        <f>"UPS Transformation: "&amp;Commodities!D62&amp;" - Unit conversion - Existing"</f>
        <v>UPS Transformation: Biomass - Crops grown for energy - Unit conversion - Existing</v>
      </c>
      <c r="J30" s="4" t="s">
        <v>112</v>
      </c>
      <c r="K30" s="4" t="s">
        <v>2671</v>
      </c>
    </row>
    <row r="31" spans="1:14">
      <c r="A31" s="4" t="str">
        <f t="shared" si="3"/>
        <v>U-TRF-RSVBIOAGR_00</v>
      </c>
      <c r="B31" s="4" t="str">
        <f t="shared" si="4"/>
        <v>UPS Transformation: Biomass - Agricultural residues - Unit conversion - Existing</v>
      </c>
      <c r="C31" s="4" t="str">
        <f>Commodities!C17</f>
        <v>RSVBIOAGR</v>
      </c>
      <c r="D31" s="4" t="str">
        <f>Commodities!C63</f>
        <v>BIOAGR</v>
      </c>
      <c r="E31" s="332">
        <f>'Key input_Biomass_MAgPIE'!AG84/10^3</f>
        <v>1.6760000000000001E-2</v>
      </c>
      <c r="G31" s="4" t="s">
        <v>651</v>
      </c>
      <c r="H31" t="str">
        <f t="shared" si="5"/>
        <v>U-TRF-RSVBIOAGR_00</v>
      </c>
      <c r="I31" t="str">
        <f>"UPS Transformation: "&amp;Commodities!D63&amp;" - Unit conversion - Existing"</f>
        <v>UPS Transformation: Biomass - Agricultural residues - Unit conversion - Existing</v>
      </c>
      <c r="J31" s="4" t="s">
        <v>112</v>
      </c>
      <c r="K31" s="4" t="s">
        <v>2671</v>
      </c>
    </row>
    <row r="32" spans="1:14">
      <c r="A32" s="4" t="str">
        <f t="shared" ref="A32:A33" si="6">IF(H32="",G32,H32)</f>
        <v>U-TRF-RSVBIOOLC_00</v>
      </c>
      <c r="B32" s="4" t="str">
        <f t="shared" ref="B32:B33" si="7">IF($H32="","",I32)</f>
        <v>UPS Transformation: Biomass - Oil crops - Unit conversion - Existing</v>
      </c>
      <c r="C32" s="4" t="str">
        <f>Commodities!C18</f>
        <v>RSVBIOOLC</v>
      </c>
      <c r="D32" s="4" t="str">
        <f>Commodities!C64</f>
        <v>BIOOLC</v>
      </c>
      <c r="E32" s="173">
        <f>'Key input_Biomass_MAgPIE'!AG123/10^3</f>
        <v>1E-3</v>
      </c>
      <c r="G32" s="4" t="s">
        <v>651</v>
      </c>
      <c r="H32" t="str">
        <f t="shared" ref="H32:H33" si="8">"U-TRF-"&amp;C32&amp;"_00"</f>
        <v>U-TRF-RSVBIOOLC_00</v>
      </c>
      <c r="I32" t="str">
        <f>"UPS Transformation: "&amp;Commodities!D64&amp;" - Unit conversion - Existing"</f>
        <v>UPS Transformation: Biomass - Oil crops - Unit conversion - Existing</v>
      </c>
      <c r="J32" s="4" t="s">
        <v>112</v>
      </c>
      <c r="K32" s="4" t="s">
        <v>2671</v>
      </c>
    </row>
    <row r="33" spans="1:11">
      <c r="A33" s="4" t="str">
        <f t="shared" si="6"/>
        <v>U-TRF-RSVBIOCRL_00</v>
      </c>
      <c r="B33" s="4" t="str">
        <f t="shared" si="7"/>
        <v>UPS Transformation: Biomass - Cereals - Unit conversion - Existing</v>
      </c>
      <c r="C33" s="4" t="str">
        <f>Commodities!C19</f>
        <v>RSVBIOCRL</v>
      </c>
      <c r="D33" s="4" t="str">
        <f>Commodities!C65</f>
        <v>BIOCRL</v>
      </c>
      <c r="E33" s="173">
        <f>'Key input_Biomass_MAgPIE'!AG162/10^3</f>
        <v>1E-3</v>
      </c>
      <c r="G33" s="4" t="s">
        <v>651</v>
      </c>
      <c r="H33" t="str">
        <f t="shared" si="8"/>
        <v>U-TRF-RSVBIOCRL_00</v>
      </c>
      <c r="I33" t="str">
        <f>"UPS Transformation: "&amp;Commodities!D65&amp;" - Unit conversion - Existing"</f>
        <v>UPS Transformation: Biomass - Cereals - Unit conversion - Existing</v>
      </c>
      <c r="J33" s="4" t="s">
        <v>112</v>
      </c>
      <c r="K33" s="4" t="s">
        <v>2671</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2937F-449C-4334-B86F-9366ECE964E9}">
  <sheetPr>
    <tabColor theme="9" tint="0.39997558519241921"/>
  </sheetPr>
  <dimension ref="A1:AU71"/>
  <sheetViews>
    <sheetView workbookViewId="0">
      <pane xSplit="9" ySplit="9" topLeftCell="AI10" activePane="bottomRight" state="frozen"/>
      <selection pane="topRight" activeCell="J1" sqref="J1"/>
      <selection pane="bottomLeft" activeCell="A10" sqref="A10"/>
      <selection pane="bottomRight" activeCell="AK8" sqref="AK8"/>
    </sheetView>
  </sheetViews>
  <sheetFormatPr defaultRowHeight="15.6"/>
  <cols>
    <col min="1" max="1" width="27" bestFit="1" customWidth="1"/>
    <col min="2" max="2" width="41.8984375" bestFit="1" customWidth="1"/>
    <col min="5" max="5" width="10.5" bestFit="1" customWidth="1"/>
    <col min="7" max="7" width="11.5" bestFit="1" customWidth="1"/>
    <col min="10" max="10" width="25.09765625" bestFit="1" customWidth="1"/>
    <col min="11" max="11" width="9.09765625" bestFit="1" customWidth="1"/>
    <col min="12" max="12" width="12.59765625" bestFit="1" customWidth="1"/>
    <col min="13" max="14" width="11.09765625" bestFit="1" customWidth="1"/>
    <col min="15" max="15" width="12.59765625" bestFit="1" customWidth="1"/>
    <col min="16" max="16" width="9.09765625" bestFit="1" customWidth="1"/>
    <col min="17" max="17" width="12.59765625" bestFit="1" customWidth="1"/>
    <col min="18" max="20" width="9.09765625" bestFit="1" customWidth="1"/>
    <col min="21" max="21" width="11.09765625" bestFit="1" customWidth="1"/>
    <col min="22" max="23" width="9.09765625" bestFit="1" customWidth="1"/>
    <col min="24" max="24" width="11.09765625" bestFit="1" customWidth="1"/>
    <col min="25" max="27" width="9.09765625" bestFit="1" customWidth="1"/>
    <col min="28" max="28" width="12.59765625" bestFit="1" customWidth="1"/>
    <col min="29" max="29" width="9.09765625" bestFit="1" customWidth="1"/>
    <col min="30" max="30" width="9.8984375" bestFit="1" customWidth="1"/>
    <col min="31" max="31" width="12.59765625" bestFit="1" customWidth="1"/>
    <col min="32" max="32" width="9.09765625" bestFit="1" customWidth="1"/>
    <col min="33" max="33" width="12.59765625" bestFit="1" customWidth="1"/>
    <col min="34" max="34" width="9.09765625" bestFit="1" customWidth="1"/>
    <col min="35" max="36" width="12.59765625" bestFit="1" customWidth="1"/>
    <col min="37" max="37" width="11.09765625" bestFit="1" customWidth="1"/>
    <col min="38" max="38" width="12.59765625" bestFit="1" customWidth="1"/>
    <col min="40" max="40" width="21.59765625" bestFit="1" customWidth="1"/>
    <col min="41" max="41" width="24.5" bestFit="1" customWidth="1"/>
    <col min="42" max="42" width="36.5" bestFit="1" customWidth="1"/>
    <col min="43" max="43" width="6" bestFit="1" customWidth="1"/>
    <col min="44" max="44" width="6.8984375" bestFit="1" customWidth="1"/>
    <col min="45" max="45" width="7.3984375" bestFit="1" customWidth="1"/>
    <col min="46" max="46" width="9.09765625" bestFit="1" customWidth="1"/>
    <col min="47" max="47" width="6.8984375" bestFit="1" customWidth="1"/>
  </cols>
  <sheetData>
    <row r="1" spans="1:47" s="4" customFormat="1" ht="23.4">
      <c r="A1" s="253" t="s">
        <v>437</v>
      </c>
    </row>
    <row r="2" spans="1:47" s="4" customFormat="1" ht="18">
      <c r="A2" s="8" t="s">
        <v>663</v>
      </c>
      <c r="B2" s="4" t="str">
        <f>Legend!B167&amp;" &amp; "&amp;Legend!B168&amp;" &amp; "&amp;Legend!B169&amp;" &amp; "&amp;Legend!B171</f>
        <v>S5 &amp; S6 &amp; S7 &amp; S9</v>
      </c>
    </row>
    <row r="3" spans="1:47" s="4" customFormat="1"/>
    <row r="4" spans="1:47" s="4" customFormat="1" ht="18">
      <c r="A4" s="8"/>
      <c r="G4"/>
      <c r="H4"/>
      <c r="L4" s="254"/>
      <c r="AN4" s="8" t="s">
        <v>665</v>
      </c>
    </row>
    <row r="5" spans="1:47" s="4" customFormat="1" ht="18">
      <c r="A5" s="8"/>
      <c r="G5"/>
      <c r="H5"/>
      <c r="L5" s="254"/>
      <c r="AK5" s="8"/>
    </row>
    <row r="6" spans="1:47" s="4" customFormat="1">
      <c r="A6" s="255" t="s">
        <v>625</v>
      </c>
      <c r="B6" s="255"/>
      <c r="C6"/>
      <c r="D6"/>
      <c r="E6"/>
      <c r="F6"/>
      <c r="G6"/>
      <c r="H6"/>
      <c r="I6"/>
      <c r="J6"/>
      <c r="K6"/>
      <c r="L6"/>
      <c r="M6"/>
      <c r="N6"/>
      <c r="O6"/>
      <c r="P6"/>
      <c r="Q6"/>
      <c r="R6"/>
      <c r="S6"/>
      <c r="T6"/>
      <c r="U6"/>
      <c r="V6"/>
      <c r="W6"/>
      <c r="X6"/>
      <c r="Y6"/>
      <c r="Z6"/>
      <c r="AA6"/>
      <c r="AB6"/>
      <c r="AC6"/>
      <c r="AD6"/>
      <c r="AE6"/>
      <c r="AF6"/>
      <c r="AG6"/>
      <c r="AH6"/>
      <c r="AI6"/>
      <c r="AJ6"/>
      <c r="AM6" s="493"/>
      <c r="AN6" s="256" t="s">
        <v>626</v>
      </c>
      <c r="AO6" s="493"/>
      <c r="AP6" s="493"/>
      <c r="AQ6" s="493"/>
      <c r="AR6" s="493"/>
    </row>
    <row r="7" spans="1:47" s="4" customFormat="1" ht="16.2" thickBot="1">
      <c r="A7" s="11" t="s">
        <v>627</v>
      </c>
      <c r="B7" s="11" t="s">
        <v>666</v>
      </c>
      <c r="C7" s="240" t="s">
        <v>652</v>
      </c>
      <c r="D7" s="240" t="s">
        <v>653</v>
      </c>
      <c r="E7" s="240" t="s">
        <v>373</v>
      </c>
      <c r="F7" s="240" t="s">
        <v>684</v>
      </c>
      <c r="G7" s="10" t="s">
        <v>654</v>
      </c>
      <c r="H7" s="10" t="s">
        <v>376</v>
      </c>
      <c r="I7" s="10" t="s">
        <v>655</v>
      </c>
      <c r="J7" s="10" t="s">
        <v>685</v>
      </c>
      <c r="K7" s="10" t="s">
        <v>172</v>
      </c>
      <c r="L7" s="10" t="s">
        <v>175</v>
      </c>
      <c r="M7" s="10" t="s">
        <v>178</v>
      </c>
      <c r="N7" s="10" t="s">
        <v>181</v>
      </c>
      <c r="O7" s="10" t="s">
        <v>184</v>
      </c>
      <c r="P7" s="10" t="s">
        <v>187</v>
      </c>
      <c r="Q7" s="10" t="s">
        <v>190</v>
      </c>
      <c r="R7" s="10" t="s">
        <v>193</v>
      </c>
      <c r="S7" s="10" t="s">
        <v>196</v>
      </c>
      <c r="T7" s="10" t="s">
        <v>198</v>
      </c>
      <c r="U7" s="10" t="s">
        <v>200</v>
      </c>
      <c r="V7" s="10" t="s">
        <v>202</v>
      </c>
      <c r="W7" s="10" t="s">
        <v>205</v>
      </c>
      <c r="X7" s="10" t="s">
        <v>208</v>
      </c>
      <c r="Y7" s="10" t="s">
        <v>211</v>
      </c>
      <c r="Z7" s="10" t="s">
        <v>214</v>
      </c>
      <c r="AA7" s="10" t="s">
        <v>217</v>
      </c>
      <c r="AB7" s="10" t="s">
        <v>220</v>
      </c>
      <c r="AC7" s="10" t="s">
        <v>223</v>
      </c>
      <c r="AD7" s="10" t="s">
        <v>225</v>
      </c>
      <c r="AE7" s="10" t="s">
        <v>227</v>
      </c>
      <c r="AF7" s="10" t="s">
        <v>230</v>
      </c>
      <c r="AG7" s="10" t="s">
        <v>233</v>
      </c>
      <c r="AH7" s="10" t="s">
        <v>236</v>
      </c>
      <c r="AI7" s="10" t="s">
        <v>238</v>
      </c>
      <c r="AJ7" s="10" t="s">
        <v>240</v>
      </c>
      <c r="AK7" s="10" t="s">
        <v>243</v>
      </c>
      <c r="AL7" s="10" t="s">
        <v>245</v>
      </c>
      <c r="AN7" s="10" t="s">
        <v>633</v>
      </c>
      <c r="AO7" s="10" t="s">
        <v>627</v>
      </c>
      <c r="AP7" s="10" t="s">
        <v>634</v>
      </c>
      <c r="AQ7" s="10" t="s">
        <v>635</v>
      </c>
      <c r="AR7" s="10" t="s">
        <v>636</v>
      </c>
      <c r="AS7" s="10" t="s">
        <v>637</v>
      </c>
      <c r="AT7" s="10" t="s">
        <v>638</v>
      </c>
      <c r="AU7" s="10" t="s">
        <v>667</v>
      </c>
    </row>
    <row r="8" spans="1:47" s="4" customFormat="1" ht="55.2">
      <c r="A8" s="241" t="s">
        <v>639</v>
      </c>
      <c r="B8" s="241" t="s">
        <v>668</v>
      </c>
      <c r="C8" s="241" t="s">
        <v>656</v>
      </c>
      <c r="D8" s="241" t="s">
        <v>657</v>
      </c>
      <c r="E8" s="241"/>
      <c r="F8" s="241"/>
      <c r="G8" s="241" t="s">
        <v>683</v>
      </c>
      <c r="H8" s="241"/>
      <c r="I8" s="241"/>
      <c r="J8" s="241"/>
      <c r="K8" s="241" t="s">
        <v>173</v>
      </c>
      <c r="L8" s="241" t="s">
        <v>176</v>
      </c>
      <c r="M8" s="241" t="s">
        <v>179</v>
      </c>
      <c r="N8" s="241" t="s">
        <v>182</v>
      </c>
      <c r="O8" s="241" t="s">
        <v>185</v>
      </c>
      <c r="P8" s="241" t="s">
        <v>188</v>
      </c>
      <c r="Q8" s="241" t="s">
        <v>191</v>
      </c>
      <c r="R8" s="241" t="s">
        <v>194</v>
      </c>
      <c r="S8" s="241" t="s">
        <v>197</v>
      </c>
      <c r="T8" s="241" t="s">
        <v>199</v>
      </c>
      <c r="U8" s="241" t="s">
        <v>201</v>
      </c>
      <c r="V8" s="241" t="s">
        <v>203</v>
      </c>
      <c r="W8" s="241" t="s">
        <v>206</v>
      </c>
      <c r="X8" s="241" t="s">
        <v>209</v>
      </c>
      <c r="Y8" s="241" t="s">
        <v>212</v>
      </c>
      <c r="Z8" s="241" t="s">
        <v>215</v>
      </c>
      <c r="AA8" s="241" t="s">
        <v>218</v>
      </c>
      <c r="AB8" s="241" t="s">
        <v>221</v>
      </c>
      <c r="AC8" s="241" t="s">
        <v>224</v>
      </c>
      <c r="AD8" s="241" t="s">
        <v>226</v>
      </c>
      <c r="AE8" s="241" t="s">
        <v>228</v>
      </c>
      <c r="AF8" s="241" t="s">
        <v>231</v>
      </c>
      <c r="AG8" s="241" t="s">
        <v>234</v>
      </c>
      <c r="AH8" s="241" t="s">
        <v>237</v>
      </c>
      <c r="AI8" s="241" t="s">
        <v>239</v>
      </c>
      <c r="AJ8" s="241" t="s">
        <v>241</v>
      </c>
      <c r="AK8" s="241" t="s">
        <v>1172</v>
      </c>
      <c r="AL8" s="241" t="s">
        <v>246</v>
      </c>
      <c r="AN8" s="242" t="s">
        <v>670</v>
      </c>
      <c r="AO8" s="242" t="s">
        <v>644</v>
      </c>
      <c r="AP8" s="242" t="s">
        <v>23</v>
      </c>
      <c r="AQ8" s="242" t="s">
        <v>645</v>
      </c>
      <c r="AR8" s="242" t="s">
        <v>646</v>
      </c>
      <c r="AS8" s="242" t="s">
        <v>647</v>
      </c>
      <c r="AT8" s="241" t="s">
        <v>648</v>
      </c>
      <c r="AU8" s="241" t="s">
        <v>671</v>
      </c>
    </row>
    <row r="9" spans="1:47" s="4" customFormat="1">
      <c r="A9" s="257" t="s">
        <v>649</v>
      </c>
      <c r="B9" s="257"/>
      <c r="C9" s="257"/>
      <c r="D9" s="257"/>
      <c r="E9" s="257"/>
      <c r="F9" s="257"/>
      <c r="G9" s="257"/>
      <c r="H9" s="257"/>
      <c r="I9" s="257"/>
      <c r="J9" s="257"/>
      <c r="K9" s="257" t="s">
        <v>387</v>
      </c>
      <c r="L9" s="257" t="s">
        <v>387</v>
      </c>
      <c r="M9" s="257" t="s">
        <v>387</v>
      </c>
      <c r="N9" s="257" t="s">
        <v>387</v>
      </c>
      <c r="O9" s="257" t="s">
        <v>387</v>
      </c>
      <c r="P9" s="257" t="s">
        <v>387</v>
      </c>
      <c r="Q9" s="257" t="s">
        <v>387</v>
      </c>
      <c r="R9" s="257" t="s">
        <v>387</v>
      </c>
      <c r="S9" s="257" t="s">
        <v>387</v>
      </c>
      <c r="T9" s="257" t="s">
        <v>387</v>
      </c>
      <c r="U9" s="257" t="s">
        <v>387</v>
      </c>
      <c r="V9" s="257" t="s">
        <v>387</v>
      </c>
      <c r="W9" s="257" t="s">
        <v>387</v>
      </c>
      <c r="X9" s="257" t="s">
        <v>387</v>
      </c>
      <c r="Y9" s="257" t="s">
        <v>387</v>
      </c>
      <c r="Z9" s="257" t="s">
        <v>387</v>
      </c>
      <c r="AA9" s="257" t="s">
        <v>387</v>
      </c>
      <c r="AB9" s="257" t="s">
        <v>387</v>
      </c>
      <c r="AC9" s="257" t="s">
        <v>387</v>
      </c>
      <c r="AD9" s="257" t="s">
        <v>387</v>
      </c>
      <c r="AE9" s="257" t="s">
        <v>387</v>
      </c>
      <c r="AF9" s="257" t="s">
        <v>387</v>
      </c>
      <c r="AG9" s="257" t="s">
        <v>387</v>
      </c>
      <c r="AH9" s="257" t="s">
        <v>387</v>
      </c>
      <c r="AI9" s="257" t="s">
        <v>387</v>
      </c>
      <c r="AJ9" s="257" t="s">
        <v>387</v>
      </c>
      <c r="AK9" s="257" t="s">
        <v>387</v>
      </c>
      <c r="AL9" s="257" t="s">
        <v>387</v>
      </c>
      <c r="AN9" s="257" t="s">
        <v>629</v>
      </c>
      <c r="AO9" s="257"/>
      <c r="AP9" s="257"/>
      <c r="AQ9" s="257"/>
      <c r="AR9" s="257"/>
      <c r="AS9" s="257"/>
      <c r="AT9" s="257"/>
      <c r="AU9" s="257"/>
    </row>
    <row r="10" spans="1:47">
      <c r="A10" t="str">
        <f>AO10</f>
        <v>U-TRF-LNG-Liquefaction_00</v>
      </c>
      <c r="B10" t="str">
        <f>AP10</f>
        <v>UPS Transformation: LNG liquefaction - Existing</v>
      </c>
      <c r="G10" s="4" t="s">
        <v>695</v>
      </c>
      <c r="H10" s="4"/>
      <c r="I10" s="4"/>
      <c r="J10" s="4" t="s">
        <v>2665</v>
      </c>
      <c r="K10" s="355">
        <v>1</v>
      </c>
      <c r="L10" s="355">
        <v>1</v>
      </c>
      <c r="M10" s="355">
        <v>1</v>
      </c>
      <c r="N10" s="355">
        <v>1</v>
      </c>
      <c r="O10" s="355">
        <v>1</v>
      </c>
      <c r="P10" s="355">
        <v>1</v>
      </c>
      <c r="Q10" s="355">
        <v>1</v>
      </c>
      <c r="R10" s="355">
        <v>1</v>
      </c>
      <c r="S10" s="355">
        <v>1</v>
      </c>
      <c r="T10" s="355">
        <v>1</v>
      </c>
      <c r="U10" s="355">
        <v>1</v>
      </c>
      <c r="V10" s="355">
        <v>1</v>
      </c>
      <c r="W10" s="355">
        <v>1</v>
      </c>
      <c r="X10" s="355">
        <v>1</v>
      </c>
      <c r="Y10" s="355">
        <v>1</v>
      </c>
      <c r="Z10" s="355">
        <v>1</v>
      </c>
      <c r="AA10" s="355">
        <v>1</v>
      </c>
      <c r="AB10" s="355">
        <v>1</v>
      </c>
      <c r="AC10" s="355">
        <v>1</v>
      </c>
      <c r="AD10" s="355">
        <v>1</v>
      </c>
      <c r="AE10" s="355">
        <v>1</v>
      </c>
      <c r="AF10" s="355">
        <v>1</v>
      </c>
      <c r="AG10" s="355">
        <v>1</v>
      </c>
      <c r="AH10" s="355">
        <v>1</v>
      </c>
      <c r="AI10" s="355">
        <v>1</v>
      </c>
      <c r="AJ10" s="355">
        <v>1</v>
      </c>
      <c r="AK10" s="355">
        <v>1</v>
      </c>
      <c r="AL10" s="355">
        <v>1</v>
      </c>
      <c r="AN10" t="s">
        <v>651</v>
      </c>
      <c r="AO10" t="str">
        <f>"U-TRF-LNG-Liquefaction_00"</f>
        <v>U-TRF-LNG-Liquefaction_00</v>
      </c>
      <c r="AP10" t="s">
        <v>712</v>
      </c>
      <c r="AQ10" t="s">
        <v>112</v>
      </c>
      <c r="AR10" t="s">
        <v>2671</v>
      </c>
    </row>
    <row r="11" spans="1:47">
      <c r="G11" s="4" t="s">
        <v>697</v>
      </c>
      <c r="H11" s="4"/>
      <c r="I11" s="4"/>
      <c r="J11" s="4" t="s">
        <v>698</v>
      </c>
      <c r="K11" s="385">
        <f>'Key inputs_LNG'!$B$216</f>
        <v>20</v>
      </c>
      <c r="L11" s="385">
        <f>'Key inputs_LNG'!$B$216</f>
        <v>20</v>
      </c>
      <c r="M11" s="385">
        <f>'Key inputs_LNG'!$B$216</f>
        <v>20</v>
      </c>
      <c r="N11" s="385">
        <f>'Key inputs_LNG'!$B$216</f>
        <v>20</v>
      </c>
      <c r="O11" s="385">
        <f>'Key inputs_LNG'!$B$216</f>
        <v>20</v>
      </c>
      <c r="P11" s="385">
        <f>'Key inputs_LNG'!$B$216</f>
        <v>20</v>
      </c>
      <c r="Q11" s="385">
        <f>'Key inputs_LNG'!$B$216</f>
        <v>20</v>
      </c>
      <c r="R11" s="385">
        <f>'Key inputs_LNG'!$B$216</f>
        <v>20</v>
      </c>
      <c r="S11" s="385">
        <f>'Key inputs_LNG'!$B$216</f>
        <v>20</v>
      </c>
      <c r="T11" s="385">
        <f>'Key inputs_LNG'!$B$216</f>
        <v>20</v>
      </c>
      <c r="U11" s="385">
        <f>'Key inputs_LNG'!$B$216</f>
        <v>20</v>
      </c>
      <c r="V11" s="385">
        <f>'Key inputs_LNG'!$B$216</f>
        <v>20</v>
      </c>
      <c r="W11" s="385">
        <f>'Key inputs_LNG'!$B$216</f>
        <v>20</v>
      </c>
      <c r="X11" s="385">
        <f>'Key inputs_LNG'!$B$216</f>
        <v>20</v>
      </c>
      <c r="Y11" s="385">
        <f>'Key inputs_LNG'!$B$216</f>
        <v>20</v>
      </c>
      <c r="Z11" s="385">
        <f>'Key inputs_LNG'!$B$216</f>
        <v>20</v>
      </c>
      <c r="AA11" s="385">
        <f>'Key inputs_LNG'!$B$216</f>
        <v>20</v>
      </c>
      <c r="AB11" s="385">
        <f>'Key inputs_LNG'!$B$216</f>
        <v>20</v>
      </c>
      <c r="AC11" s="385">
        <f>'Key inputs_LNG'!$B$216</f>
        <v>20</v>
      </c>
      <c r="AD11" s="385">
        <f>'Key inputs_LNG'!$B$216</f>
        <v>20</v>
      </c>
      <c r="AE11" s="385">
        <f>'Key inputs_LNG'!$B$216</f>
        <v>20</v>
      </c>
      <c r="AF11" s="385">
        <f>'Key inputs_LNG'!$B$216</f>
        <v>20</v>
      </c>
      <c r="AG11" s="385">
        <f>'Key inputs_LNG'!$B$216</f>
        <v>20</v>
      </c>
      <c r="AH11" s="385">
        <f>'Key inputs_LNG'!$B$216</f>
        <v>20</v>
      </c>
      <c r="AI11" s="385">
        <f>'Key inputs_LNG'!$B$216</f>
        <v>20</v>
      </c>
      <c r="AJ11" s="385">
        <f>'Key inputs_LNG'!$B$216</f>
        <v>20</v>
      </c>
      <c r="AK11" s="385">
        <f>'Key inputs_LNG'!$B$216</f>
        <v>20</v>
      </c>
      <c r="AL11" s="385">
        <f>'Key inputs_LNG'!$B$216</f>
        <v>20</v>
      </c>
      <c r="AN11" t="s">
        <v>651</v>
      </c>
      <c r="AO11" t="str">
        <f>"U-TRF-LNG-Regasification_00"</f>
        <v>U-TRF-LNG-Regasification_00</v>
      </c>
      <c r="AP11" t="s">
        <v>713</v>
      </c>
      <c r="AQ11" t="s">
        <v>112</v>
      </c>
      <c r="AR11" t="s">
        <v>2671</v>
      </c>
    </row>
    <row r="12" spans="1:47">
      <c r="G12" s="4" t="s">
        <v>699</v>
      </c>
      <c r="H12" s="4"/>
      <c r="I12" s="4">
        <v>2019</v>
      </c>
      <c r="J12" s="4" t="s">
        <v>112</v>
      </c>
      <c r="K12" s="173">
        <f>MAX(SUMIFS('Key inputs_LNG'!$B$75:$B$102,'Key inputs_LNG'!$A$75:$A$102,K$7)/10^3,SUMIFS('Key inputs_LNG'!$B$109:$B$136,'Key inputs_LNG'!$A$109:$A$136,K$7)/10^3)</f>
        <v>0</v>
      </c>
      <c r="L12" s="173">
        <f>MAX(SUMIFS('Key inputs_LNG'!$B$75:$B$102,'Key inputs_LNG'!$A$75:$A$102,L$7)/10^3,SUMIFS('Key inputs_LNG'!$B$109:$B$136,'Key inputs_LNG'!$A$109:$A$136,L$7)/10^3)</f>
        <v>2303.2081213000001</v>
      </c>
      <c r="M12" s="173">
        <f>MAX(SUMIFS('Key inputs_LNG'!$B$75:$B$102,'Key inputs_LNG'!$A$75:$A$102,M$7)/10^3,SUMIFS('Key inputs_LNG'!$B$109:$B$136,'Key inputs_LNG'!$A$109:$A$136,M$7)/10^3)</f>
        <v>343.51025770000001</v>
      </c>
      <c r="N12" s="173">
        <f>MAX(SUMIFS('Key inputs_LNG'!$B$75:$B$102,'Key inputs_LNG'!$A$75:$A$102,N$7)/10^3,SUMIFS('Key inputs_LNG'!$B$109:$B$136,'Key inputs_LNG'!$A$109:$A$136,N$7)/10^3)</f>
        <v>292.82841639999998</v>
      </c>
      <c r="O12" s="173">
        <f>MAX(SUMIFS('Key inputs_LNG'!$B$75:$B$102,'Key inputs_LNG'!$A$75:$A$102,O$7)/10^3,SUMIFS('Key inputs_LNG'!$B$109:$B$136,'Key inputs_LNG'!$A$109:$A$136,O$7)/10^3)</f>
        <v>4933.0325531999997</v>
      </c>
      <c r="P12" s="173">
        <f>MAX(SUMIFS('Key inputs_LNG'!$B$75:$B$102,'Key inputs_LNG'!$A$75:$A$102,P$7)/10^3,SUMIFS('Key inputs_LNG'!$B$109:$B$136,'Key inputs_LNG'!$A$109:$A$136,P$7)/10^3)</f>
        <v>0</v>
      </c>
      <c r="Q12" s="173">
        <f>MAX(SUMIFS('Key inputs_LNG'!$B$75:$B$102,'Key inputs_LNG'!$A$75:$A$102,Q$7)/10^3,SUMIFS('Key inputs_LNG'!$B$109:$B$136,'Key inputs_LNG'!$A$109:$A$136,Q$7)/10^3)</f>
        <v>2511.5668022</v>
      </c>
      <c r="R12" s="173">
        <f>MAX(SUMIFS('Key inputs_LNG'!$B$75:$B$102,'Key inputs_LNG'!$A$75:$A$102,R$7)/10^3,SUMIFS('Key inputs_LNG'!$B$109:$B$136,'Key inputs_LNG'!$A$109:$A$136,R$7)/10^3)</f>
        <v>0</v>
      </c>
      <c r="S12" s="173">
        <f>MAX(SUMIFS('Key inputs_LNG'!$B$75:$B$102,'Key inputs_LNG'!$A$75:$A$102,S$7)/10^3,SUMIFS('Key inputs_LNG'!$B$109:$B$136,'Key inputs_LNG'!$A$109:$A$136,S$7)/10^3)</f>
        <v>0</v>
      </c>
      <c r="T12" s="173">
        <f>MAX(SUMIFS('Key inputs_LNG'!$B$75:$B$102,'Key inputs_LNG'!$A$75:$A$102,T$7)/10^3,SUMIFS('Key inputs_LNG'!$B$109:$B$136,'Key inputs_LNG'!$A$109:$A$136,T$7)/10^3)</f>
        <v>0</v>
      </c>
      <c r="U12" s="173">
        <f>MAX(SUMIFS('Key inputs_LNG'!$B$75:$B$102,'Key inputs_LNG'!$A$75:$A$102,U$7)/10^3,SUMIFS('Key inputs_LNG'!$B$109:$B$136,'Key inputs_LNG'!$A$109:$A$136,U$7)/10^3)</f>
        <v>0</v>
      </c>
      <c r="V12" s="173">
        <f>MAX(SUMIFS('Key inputs_LNG'!$B$75:$B$102,'Key inputs_LNG'!$A$75:$A$102,V$7)/10^3,SUMIFS('Key inputs_LNG'!$B$109:$B$136,'Key inputs_LNG'!$A$109:$A$136,V$7)/10^3)</f>
        <v>0</v>
      </c>
      <c r="W12" s="173">
        <f>MAX(SUMIFS('Key inputs_LNG'!$B$75:$B$102,'Key inputs_LNG'!$A$75:$A$102,W$7)/10^3,SUMIFS('Key inputs_LNG'!$B$109:$B$136,'Key inputs_LNG'!$A$109:$A$136,W$7)/10^3)</f>
        <v>0</v>
      </c>
      <c r="X12" s="173">
        <f>MAX(SUMIFS('Key inputs_LNG'!$B$75:$B$102,'Key inputs_LNG'!$A$75:$A$102,X$7)/10^3,SUMIFS('Key inputs_LNG'!$B$109:$B$136,'Key inputs_LNG'!$A$109:$A$136,X$7)/10^3)</f>
        <v>270.30315359999997</v>
      </c>
      <c r="Y12" s="173">
        <f>MAX(SUMIFS('Key inputs_LNG'!$B$75:$B$102,'Key inputs_LNG'!$A$75:$A$102,Y$7)/10^3,SUMIFS('Key inputs_LNG'!$B$109:$B$136,'Key inputs_LNG'!$A$109:$A$136,Y$7)/10^3)</f>
        <v>0</v>
      </c>
      <c r="Z12" s="173">
        <f>MAX(SUMIFS('Key inputs_LNG'!$B$75:$B$102,'Key inputs_LNG'!$A$75:$A$102,Z$7)/10^3,SUMIFS('Key inputs_LNG'!$B$109:$B$136,'Key inputs_LNG'!$A$109:$A$136,Z$7)/10^3)</f>
        <v>0</v>
      </c>
      <c r="AA12" s="173">
        <f>MAX(SUMIFS('Key inputs_LNG'!$B$75:$B$102,'Key inputs_LNG'!$A$75:$A$102,AA$7)/10^3,SUMIFS('Key inputs_LNG'!$B$109:$B$136,'Key inputs_LNG'!$A$109:$A$136,AA$7)/10^3)</f>
        <v>0</v>
      </c>
      <c r="AB12" s="173">
        <f>MAX(SUMIFS('Key inputs_LNG'!$B$75:$B$102,'Key inputs_LNG'!$A$75:$A$102,AB$7)/10^3,SUMIFS('Key inputs_LNG'!$B$109:$B$136,'Key inputs_LNG'!$A$109:$A$136,AB$7)/10^3)</f>
        <v>1495.1143183499996</v>
      </c>
      <c r="AC12" s="173">
        <f>MAX(SUMIFS('Key inputs_LNG'!$B$75:$B$102,'Key inputs_LNG'!$A$75:$A$102,AC$7)/10^3,SUMIFS('Key inputs_LNG'!$B$109:$B$136,'Key inputs_LNG'!$A$109:$A$136,AC$7)/10^3)</f>
        <v>0</v>
      </c>
      <c r="AD12" s="173">
        <f>MAX(SUMIFS('Key inputs_LNG'!$B$75:$B$102,'Key inputs_LNG'!$A$75:$A$102,AD$7)/10^3,SUMIFS('Key inputs_LNG'!$B$109:$B$136,'Key inputs_LNG'!$A$109:$A$136,AD$7)/10^3)</f>
        <v>0</v>
      </c>
      <c r="AE12" s="173">
        <f>MAX(SUMIFS('Key inputs_LNG'!$B$75:$B$102,'Key inputs_LNG'!$A$75:$A$102,AE$7)/10^3,SUMIFS('Key inputs_LNG'!$B$109:$B$136,'Key inputs_LNG'!$A$109:$A$136,AE$7)/10^3)</f>
        <v>1112.1848507499999</v>
      </c>
      <c r="AF12" s="173">
        <f>MAX(SUMIFS('Key inputs_LNG'!$B$75:$B$102,'Key inputs_LNG'!$A$75:$A$102,AF$7)/10^3,SUMIFS('Key inputs_LNG'!$B$109:$B$136,'Key inputs_LNG'!$A$109:$A$136,AF$7)/10^3)</f>
        <v>0</v>
      </c>
      <c r="AG12" s="173">
        <f>MAX(SUMIFS('Key inputs_LNG'!$B$75:$B$102,'Key inputs_LNG'!$A$75:$A$102,AG$7)/10^3,SUMIFS('Key inputs_LNG'!$B$109:$B$136,'Key inputs_LNG'!$A$109:$A$136,AG$7)/10^3)</f>
        <v>5631.3156999999992</v>
      </c>
      <c r="AH12" s="173">
        <f>MAX(SUMIFS('Key inputs_LNG'!$B$75:$B$102,'Key inputs_LNG'!$A$75:$A$102,AH$7)/10^3,SUMIFS('Key inputs_LNG'!$B$109:$B$136,'Key inputs_LNG'!$A$109:$A$136,AH$7)/10^3)</f>
        <v>0</v>
      </c>
      <c r="AI12" s="173">
        <f>MAX(SUMIFS('Key inputs_LNG'!$B$75:$B$102,'Key inputs_LNG'!$A$75:$A$102,AI$7)/10^3,SUMIFS('Key inputs_LNG'!$B$109:$B$136,'Key inputs_LNG'!$A$109:$A$136,AI$7)/10^3)</f>
        <v>1250.1520853999996</v>
      </c>
      <c r="AJ12" s="173">
        <f>MAX(SUMIFS('Key inputs_LNG'!$B$75:$B$102,'Key inputs_LNG'!$A$75:$A$102,AJ$7)/10^3,SUMIFS('Key inputs_LNG'!$B$109:$B$136,'Key inputs_LNG'!$A$109:$A$136,AJ$7)/10^3)</f>
        <v>1655.6068157999994</v>
      </c>
      <c r="AK12" s="173">
        <f>MAX(SUMIFS('Key inputs_LNG'!$B$75:$B$102,'Key inputs_LNG'!$A$75:$A$102,AK$7)/10^3,SUMIFS('Key inputs_LNG'!$B$109:$B$136,'Key inputs_LNG'!$A$109:$A$136,AK$7)/10^3)</f>
        <v>0</v>
      </c>
      <c r="AL12" s="173">
        <f>MAX(SUMIFS('Key inputs_LNG'!$B$75:$B$102,'Key inputs_LNG'!$A$75:$A$102,AL$7)/10^3,SUMIFS('Key inputs_LNG'!$B$109:$B$136,'Key inputs_LNG'!$A$109:$A$136,AL$7)/10^3)</f>
        <v>2624.1931162000001</v>
      </c>
      <c r="AN12" t="s">
        <v>651</v>
      </c>
      <c r="AO12" t="str">
        <f>"U-TRF-LNG-Liquefaction_01"</f>
        <v>U-TRF-LNG-Liquefaction_01</v>
      </c>
      <c r="AP12" t="s">
        <v>714</v>
      </c>
      <c r="AQ12" t="s">
        <v>112</v>
      </c>
      <c r="AR12" t="s">
        <v>2671</v>
      </c>
    </row>
    <row r="13" spans="1:47">
      <c r="G13" s="4" t="s">
        <v>701</v>
      </c>
      <c r="H13" s="4" t="s">
        <v>661</v>
      </c>
      <c r="I13" s="4">
        <v>2019</v>
      </c>
      <c r="J13" s="4" t="s">
        <v>112</v>
      </c>
      <c r="K13" s="333">
        <v>0</v>
      </c>
      <c r="L13" s="333">
        <v>0</v>
      </c>
      <c r="M13" s="333">
        <v>0</v>
      </c>
      <c r="N13" s="333">
        <v>0</v>
      </c>
      <c r="O13" s="333">
        <v>0</v>
      </c>
      <c r="P13" s="333">
        <v>0</v>
      </c>
      <c r="Q13" s="333">
        <v>0</v>
      </c>
      <c r="R13" s="333">
        <v>0</v>
      </c>
      <c r="S13" s="333">
        <v>0</v>
      </c>
      <c r="T13" s="333">
        <v>0</v>
      </c>
      <c r="U13" s="333">
        <v>0</v>
      </c>
      <c r="V13" s="333">
        <v>0</v>
      </c>
      <c r="W13" s="333">
        <v>0</v>
      </c>
      <c r="X13" s="333">
        <v>0</v>
      </c>
      <c r="Y13" s="333">
        <v>0</v>
      </c>
      <c r="Z13" s="333">
        <v>0</v>
      </c>
      <c r="AA13" s="333">
        <v>0</v>
      </c>
      <c r="AB13" s="333">
        <v>0</v>
      </c>
      <c r="AC13" s="333">
        <v>0</v>
      </c>
      <c r="AD13" s="333">
        <v>0</v>
      </c>
      <c r="AE13" s="333">
        <v>0</v>
      </c>
      <c r="AF13" s="333">
        <v>0</v>
      </c>
      <c r="AG13" s="333">
        <v>0</v>
      </c>
      <c r="AH13" s="333">
        <v>0</v>
      </c>
      <c r="AI13" s="333">
        <v>0</v>
      </c>
      <c r="AJ13" s="333">
        <v>0</v>
      </c>
      <c r="AK13" s="333">
        <v>0</v>
      </c>
      <c r="AL13" s="333">
        <v>0</v>
      </c>
      <c r="AN13" t="s">
        <v>651</v>
      </c>
      <c r="AO13" t="str">
        <f>"U-TRF-LNG-Regasification_01"</f>
        <v>U-TRF-LNG-Regasification_01</v>
      </c>
      <c r="AP13" t="s">
        <v>715</v>
      </c>
      <c r="AQ13" t="s">
        <v>112</v>
      </c>
      <c r="AR13" t="s">
        <v>2671</v>
      </c>
    </row>
    <row r="14" spans="1:47">
      <c r="G14" s="4" t="s">
        <v>701</v>
      </c>
      <c r="H14" s="4" t="s">
        <v>661</v>
      </c>
      <c r="I14" s="4">
        <v>2060</v>
      </c>
      <c r="J14" s="4" t="s">
        <v>112</v>
      </c>
      <c r="K14" s="333">
        <v>0</v>
      </c>
      <c r="L14" s="333">
        <v>0</v>
      </c>
      <c r="M14" s="333">
        <v>0</v>
      </c>
      <c r="N14" s="333">
        <v>0</v>
      </c>
      <c r="O14" s="333">
        <v>0</v>
      </c>
      <c r="P14" s="333">
        <v>0</v>
      </c>
      <c r="Q14" s="333">
        <v>0</v>
      </c>
      <c r="R14" s="333">
        <v>0</v>
      </c>
      <c r="S14" s="333">
        <v>0</v>
      </c>
      <c r="T14" s="333">
        <v>0</v>
      </c>
      <c r="U14" s="333">
        <v>0</v>
      </c>
      <c r="V14" s="333">
        <v>0</v>
      </c>
      <c r="W14" s="333">
        <v>0</v>
      </c>
      <c r="X14" s="333">
        <v>0</v>
      </c>
      <c r="Y14" s="333">
        <v>0</v>
      </c>
      <c r="Z14" s="333">
        <v>0</v>
      </c>
      <c r="AA14" s="333">
        <v>0</v>
      </c>
      <c r="AB14" s="333">
        <v>0</v>
      </c>
      <c r="AC14" s="333">
        <v>0</v>
      </c>
      <c r="AD14" s="333">
        <v>0</v>
      </c>
      <c r="AE14" s="333">
        <v>0</v>
      </c>
      <c r="AF14" s="333">
        <v>0</v>
      </c>
      <c r="AG14" s="333">
        <v>0</v>
      </c>
      <c r="AH14" s="333">
        <v>0</v>
      </c>
      <c r="AI14" s="333">
        <v>0</v>
      </c>
      <c r="AJ14" s="333">
        <v>0</v>
      </c>
      <c r="AK14" s="333">
        <v>0</v>
      </c>
      <c r="AL14" s="333">
        <v>0</v>
      </c>
    </row>
    <row r="15" spans="1:47">
      <c r="G15" s="4" t="s">
        <v>701</v>
      </c>
      <c r="H15" s="4" t="s">
        <v>661</v>
      </c>
      <c r="I15" s="4">
        <v>0</v>
      </c>
      <c r="J15" s="4"/>
      <c r="K15" s="333">
        <v>5</v>
      </c>
      <c r="L15" s="333">
        <v>5</v>
      </c>
      <c r="M15" s="333">
        <v>5</v>
      </c>
      <c r="N15" s="333">
        <v>5</v>
      </c>
      <c r="O15" s="333">
        <v>5</v>
      </c>
      <c r="P15" s="333">
        <v>5</v>
      </c>
      <c r="Q15" s="333">
        <v>5</v>
      </c>
      <c r="R15" s="333">
        <v>5</v>
      </c>
      <c r="S15" s="333">
        <v>5</v>
      </c>
      <c r="T15" s="333">
        <v>5</v>
      </c>
      <c r="U15" s="333">
        <v>5</v>
      </c>
      <c r="V15" s="333">
        <v>5</v>
      </c>
      <c r="W15" s="333">
        <v>5</v>
      </c>
      <c r="X15" s="333">
        <v>5</v>
      </c>
      <c r="Y15" s="333">
        <v>5</v>
      </c>
      <c r="Z15" s="333">
        <v>5</v>
      </c>
      <c r="AA15" s="333">
        <v>5</v>
      </c>
      <c r="AB15" s="333">
        <v>5</v>
      </c>
      <c r="AC15" s="333">
        <v>5</v>
      </c>
      <c r="AD15" s="333">
        <v>5</v>
      </c>
      <c r="AE15" s="333">
        <v>5</v>
      </c>
      <c r="AF15" s="333">
        <v>5</v>
      </c>
      <c r="AG15" s="333">
        <v>5</v>
      </c>
      <c r="AH15" s="333">
        <v>5</v>
      </c>
      <c r="AI15" s="333">
        <v>5</v>
      </c>
      <c r="AJ15" s="333">
        <v>5</v>
      </c>
      <c r="AK15" s="333">
        <v>5</v>
      </c>
      <c r="AL15" s="333">
        <v>5</v>
      </c>
    </row>
    <row r="16" spans="1:47">
      <c r="G16" s="4" t="s">
        <v>632</v>
      </c>
      <c r="H16" s="4" t="s">
        <v>661</v>
      </c>
      <c r="I16" s="4">
        <v>2019</v>
      </c>
      <c r="J16" s="4" t="s">
        <v>650</v>
      </c>
      <c r="K16" s="332">
        <f>IFERROR(SUMIFS('Key inputs_LNG'!$B$109:$B$136,'Key inputs_LNG'!$A$109:$A$136,K$7)/K12/10^3,1)</f>
        <v>1</v>
      </c>
      <c r="L16" s="332">
        <f>IFERROR(SUMIFS('Key inputs_LNG'!$B$109:$B$136,'Key inputs_LNG'!$A$109:$A$136,L$7)/L12/10^3,1)</f>
        <v>0.38630806845965759</v>
      </c>
      <c r="M16" s="332">
        <f>IFERROR(SUMIFS('Key inputs_LNG'!$B$109:$B$136,'Key inputs_LNG'!$A$109:$A$136,M$7)/M12/10^3,1)</f>
        <v>0.67213114754098358</v>
      </c>
      <c r="N16" s="332">
        <f>IFERROR(SUMIFS('Key inputs_LNG'!$B$109:$B$136,'Key inputs_LNG'!$A$109:$A$136,N$7)/N12/10^3,1)</f>
        <v>0.88461538461538469</v>
      </c>
      <c r="O16" s="332">
        <f>IFERROR(SUMIFS('Key inputs_LNG'!$B$109:$B$136,'Key inputs_LNG'!$A$109:$A$136,O$7)/O12/10^3,1)</f>
        <v>0.86073059360730575</v>
      </c>
      <c r="P16" s="332">
        <f>IFERROR(SUMIFS('Key inputs_LNG'!$B$109:$B$136,'Key inputs_LNG'!$A$109:$A$136,P$7)/P12/10^3,1)</f>
        <v>1</v>
      </c>
      <c r="Q16" s="332">
        <f>IFERROR(SUMIFS('Key inputs_LNG'!$B$109:$B$136,'Key inputs_LNG'!$A$109:$A$136,Q$7)/Q12/10^3,1)</f>
        <v>0.91928251121076232</v>
      </c>
      <c r="R16" s="332">
        <f>IFERROR(SUMIFS('Key inputs_LNG'!$B$109:$B$136,'Key inputs_LNG'!$A$109:$A$136,R$7)/R12/10^3,1)</f>
        <v>1</v>
      </c>
      <c r="S16" s="332">
        <f>IFERROR(SUMIFS('Key inputs_LNG'!$B$109:$B$136,'Key inputs_LNG'!$A$109:$A$136,S$7)/S12/10^3,1)</f>
        <v>1</v>
      </c>
      <c r="T16" s="332">
        <f>IFERROR(SUMIFS('Key inputs_LNG'!$B$109:$B$136,'Key inputs_LNG'!$A$109:$A$136,T$7)/T12/10^3,1)</f>
        <v>1</v>
      </c>
      <c r="U16" s="332">
        <f>IFERROR(SUMIFS('Key inputs_LNG'!$B$109:$B$136,'Key inputs_LNG'!$A$109:$A$136,U$7)/U12/10^3,1)</f>
        <v>1</v>
      </c>
      <c r="V16" s="332">
        <f>IFERROR(SUMIFS('Key inputs_LNG'!$B$109:$B$136,'Key inputs_LNG'!$A$109:$A$136,V$7)/V12/10^3,1)</f>
        <v>1</v>
      </c>
      <c r="W16" s="332">
        <f>IFERROR(SUMIFS('Key inputs_LNG'!$B$109:$B$136,'Key inputs_LNG'!$A$109:$A$136,W$7)/W12/10^3,1)</f>
        <v>1</v>
      </c>
      <c r="X16" s="332">
        <f>IFERROR(SUMIFS('Key inputs_LNG'!$B$109:$B$136,'Key inputs_LNG'!$A$109:$A$136,X$7)/X12/10^3,1)</f>
        <v>1</v>
      </c>
      <c r="Y16" s="332">
        <f>IFERROR(SUMIFS('Key inputs_LNG'!$B$109:$B$136,'Key inputs_LNG'!$A$109:$A$136,Y$7)/Y12/10^3,1)</f>
        <v>1</v>
      </c>
      <c r="Z16" s="332">
        <f>IFERROR(SUMIFS('Key inputs_LNG'!$B$109:$B$136,'Key inputs_LNG'!$A$109:$A$136,Z$7)/Z12/10^3,1)</f>
        <v>1</v>
      </c>
      <c r="AA16" s="332">
        <f>IFERROR(SUMIFS('Key inputs_LNG'!$B$109:$B$136,'Key inputs_LNG'!$A$109:$A$136,AA$7)/AA12/10^3,1)</f>
        <v>1</v>
      </c>
      <c r="AB16" s="332">
        <f>IFERROR(SUMIFS('Key inputs_LNG'!$B$109:$B$136,'Key inputs_LNG'!$A$109:$A$136,AB$7)/AB12/10^3,1)</f>
        <v>0.58380414312617701</v>
      </c>
      <c r="AC16" s="332">
        <f>IFERROR(SUMIFS('Key inputs_LNG'!$B$109:$B$136,'Key inputs_LNG'!$A$109:$A$136,AC$7)/AC12/10^3,1)</f>
        <v>1</v>
      </c>
      <c r="AD16" s="332">
        <f>IFERROR(SUMIFS('Key inputs_LNG'!$B$109:$B$136,'Key inputs_LNG'!$A$109:$A$136,AD$7)/AD12/10^3,1)</f>
        <v>1</v>
      </c>
      <c r="AE16" s="332">
        <f>IFERROR(SUMIFS('Key inputs_LNG'!$B$109:$B$136,'Key inputs_LNG'!$A$109:$A$136,AE$7)/AE12/10^3,1)</f>
        <v>0.83544303797468333</v>
      </c>
      <c r="AF16" s="332">
        <f>IFERROR(SUMIFS('Key inputs_LNG'!$B$109:$B$136,'Key inputs_LNG'!$A$109:$A$136,AF$7)/AF12/10^3,1)</f>
        <v>1</v>
      </c>
      <c r="AG16" s="332">
        <f>IFERROR(SUMIFS('Key inputs_LNG'!$B$109:$B$136,'Key inputs_LNG'!$A$109:$A$136,AG$7)/AG12/10^3,1)</f>
        <v>0.94100000000000006</v>
      </c>
      <c r="AH16" s="332">
        <f>IFERROR(SUMIFS('Key inputs_LNG'!$B$109:$B$136,'Key inputs_LNG'!$A$109:$A$136,AH$7)/AH12/10^3,1)</f>
        <v>1</v>
      </c>
      <c r="AI16" s="332">
        <f>IFERROR(SUMIFS('Key inputs_LNG'!$B$109:$B$136,'Key inputs_LNG'!$A$109:$A$136,AI$7)/AI12/10^3,1)</f>
        <v>0.95045045045045051</v>
      </c>
      <c r="AJ16" s="332">
        <f>IFERROR(SUMIFS('Key inputs_LNG'!$B$109:$B$136,'Key inputs_LNG'!$A$109:$A$136,AJ$7)/AJ12/10^3,1)</f>
        <v>1</v>
      </c>
      <c r="AK16" s="332">
        <f>IFERROR(SUMIFS('Key inputs_LNG'!$B$109:$B$136,'Key inputs_LNG'!$A$109:$A$136,AK$7)/AK12/10^3,1)</f>
        <v>1</v>
      </c>
      <c r="AL16" s="332">
        <f>IFERROR(SUMIFS('Key inputs_LNG'!$B$109:$B$136,'Key inputs_LNG'!$A$109:$A$136,AL$7)/AL12/10^3,1)</f>
        <v>0.72532188841201706</v>
      </c>
    </row>
    <row r="17" spans="1:38">
      <c r="G17" s="4" t="s">
        <v>632</v>
      </c>
      <c r="H17" s="4" t="s">
        <v>700</v>
      </c>
      <c r="I17" s="4">
        <v>2020</v>
      </c>
      <c r="J17" s="4" t="s">
        <v>650</v>
      </c>
      <c r="K17" s="355">
        <v>0</v>
      </c>
      <c r="L17" s="355">
        <v>0</v>
      </c>
      <c r="M17" s="355">
        <v>0</v>
      </c>
      <c r="N17" s="355">
        <v>0</v>
      </c>
      <c r="O17" s="355">
        <v>0</v>
      </c>
      <c r="P17" s="355">
        <v>0</v>
      </c>
      <c r="Q17" s="355">
        <v>0</v>
      </c>
      <c r="R17" s="355">
        <v>0</v>
      </c>
      <c r="S17" s="355">
        <v>0</v>
      </c>
      <c r="T17" s="355">
        <v>0</v>
      </c>
      <c r="U17" s="355">
        <v>0</v>
      </c>
      <c r="V17" s="355">
        <v>0</v>
      </c>
      <c r="W17" s="355">
        <v>0</v>
      </c>
      <c r="X17" s="355">
        <v>0</v>
      </c>
      <c r="Y17" s="355">
        <v>0</v>
      </c>
      <c r="Z17" s="355">
        <v>0</v>
      </c>
      <c r="AA17" s="355">
        <v>0</v>
      </c>
      <c r="AB17" s="355">
        <v>0</v>
      </c>
      <c r="AC17" s="355">
        <v>0</v>
      </c>
      <c r="AD17" s="355">
        <v>0</v>
      </c>
      <c r="AE17" s="355">
        <v>0</v>
      </c>
      <c r="AF17" s="355">
        <v>0</v>
      </c>
      <c r="AG17" s="355">
        <v>0</v>
      </c>
      <c r="AH17" s="355">
        <v>0</v>
      </c>
      <c r="AI17" s="355">
        <v>0</v>
      </c>
      <c r="AJ17" s="355">
        <v>0</v>
      </c>
      <c r="AK17" s="355">
        <v>0</v>
      </c>
      <c r="AL17" s="355">
        <v>0</v>
      </c>
    </row>
    <row r="18" spans="1:38">
      <c r="G18" s="4" t="s">
        <v>632</v>
      </c>
      <c r="H18" s="4" t="s">
        <v>700</v>
      </c>
      <c r="I18" s="4">
        <v>2060</v>
      </c>
      <c r="J18" s="4" t="s">
        <v>650</v>
      </c>
      <c r="K18" s="355">
        <v>0</v>
      </c>
      <c r="L18" s="355">
        <v>0</v>
      </c>
      <c r="M18" s="355">
        <v>0</v>
      </c>
      <c r="N18" s="355">
        <v>0</v>
      </c>
      <c r="O18" s="355">
        <v>0</v>
      </c>
      <c r="P18" s="355">
        <v>0</v>
      </c>
      <c r="Q18" s="355">
        <v>0</v>
      </c>
      <c r="R18" s="355">
        <v>0</v>
      </c>
      <c r="S18" s="355">
        <v>0</v>
      </c>
      <c r="T18" s="355">
        <v>0</v>
      </c>
      <c r="U18" s="355">
        <v>0</v>
      </c>
      <c r="V18" s="355">
        <v>0</v>
      </c>
      <c r="W18" s="355">
        <v>0</v>
      </c>
      <c r="X18" s="355">
        <v>0</v>
      </c>
      <c r="Y18" s="355">
        <v>0</v>
      </c>
      <c r="Z18" s="355">
        <v>0</v>
      </c>
      <c r="AA18" s="355">
        <v>0</v>
      </c>
      <c r="AB18" s="355">
        <v>0</v>
      </c>
      <c r="AC18" s="355">
        <v>0</v>
      </c>
      <c r="AD18" s="355">
        <v>0</v>
      </c>
      <c r="AE18" s="355">
        <v>0</v>
      </c>
      <c r="AF18" s="355">
        <v>0</v>
      </c>
      <c r="AG18" s="355">
        <v>0</v>
      </c>
      <c r="AH18" s="355">
        <v>0</v>
      </c>
      <c r="AI18" s="355">
        <v>0</v>
      </c>
      <c r="AJ18" s="355">
        <v>0</v>
      </c>
      <c r="AK18" s="355">
        <v>0</v>
      </c>
      <c r="AL18" s="355">
        <v>0</v>
      </c>
    </row>
    <row r="19" spans="1:38">
      <c r="G19" s="4" t="s">
        <v>632</v>
      </c>
      <c r="H19" s="4" t="s">
        <v>700</v>
      </c>
      <c r="I19" s="4">
        <v>0</v>
      </c>
      <c r="J19" s="4"/>
      <c r="K19" s="333">
        <v>5</v>
      </c>
      <c r="L19" s="333">
        <v>5</v>
      </c>
      <c r="M19" s="333">
        <v>5</v>
      </c>
      <c r="N19" s="333">
        <v>5</v>
      </c>
      <c r="O19" s="333">
        <v>5</v>
      </c>
      <c r="P19" s="333">
        <v>5</v>
      </c>
      <c r="Q19" s="333">
        <v>5</v>
      </c>
      <c r="R19" s="333">
        <v>5</v>
      </c>
      <c r="S19" s="333">
        <v>5</v>
      </c>
      <c r="T19" s="333">
        <v>5</v>
      </c>
      <c r="U19" s="333">
        <v>5</v>
      </c>
      <c r="V19" s="333">
        <v>5</v>
      </c>
      <c r="W19" s="333">
        <v>5</v>
      </c>
      <c r="X19" s="333">
        <v>5</v>
      </c>
      <c r="Y19" s="333">
        <v>5</v>
      </c>
      <c r="Z19" s="333">
        <v>5</v>
      </c>
      <c r="AA19" s="333">
        <v>5</v>
      </c>
      <c r="AB19" s="333">
        <v>5</v>
      </c>
      <c r="AC19" s="333">
        <v>5</v>
      </c>
      <c r="AD19" s="333">
        <v>5</v>
      </c>
      <c r="AE19" s="333">
        <v>5</v>
      </c>
      <c r="AF19" s="333">
        <v>5</v>
      </c>
      <c r="AG19" s="333">
        <v>5</v>
      </c>
      <c r="AH19" s="333">
        <v>5</v>
      </c>
      <c r="AI19" s="333">
        <v>5</v>
      </c>
      <c r="AJ19" s="333">
        <v>5</v>
      </c>
      <c r="AK19" s="333">
        <v>5</v>
      </c>
      <c r="AL19" s="333">
        <v>5</v>
      </c>
    </row>
    <row r="20" spans="1:38">
      <c r="G20" s="4" t="s">
        <v>687</v>
      </c>
      <c r="H20" s="4"/>
      <c r="I20" s="4"/>
      <c r="J20" s="4" t="s">
        <v>2663</v>
      </c>
      <c r="K20" s="386">
        <f>'Key inputs_LNG'!$D$213*Consumer_Price_index!$BN$257/Consumer_Price_index!$BK$257*10^3</f>
        <v>29.87938894032677</v>
      </c>
      <c r="L20" s="386">
        <f>'Key inputs_LNG'!$D$213*Consumer_Price_index!$BN$257/Consumer_Price_index!$BK$257*10^3</f>
        <v>29.87938894032677</v>
      </c>
      <c r="M20" s="386">
        <f>'Key inputs_LNG'!$D$213*Consumer_Price_index!$BN$257/Consumer_Price_index!$BK$257*10^3</f>
        <v>29.87938894032677</v>
      </c>
      <c r="N20" s="386">
        <f>'Key inputs_LNG'!$D$213*Consumer_Price_index!$BN$257/Consumer_Price_index!$BK$257*10^3</f>
        <v>29.87938894032677</v>
      </c>
      <c r="O20" s="386">
        <f>'Key inputs_LNG'!$D$213*Consumer_Price_index!$BN$257/Consumer_Price_index!$BK$257*10^3</f>
        <v>29.87938894032677</v>
      </c>
      <c r="P20" s="386">
        <f>'Key inputs_LNG'!$D$213*Consumer_Price_index!$BN$257/Consumer_Price_index!$BK$257*10^3</f>
        <v>29.87938894032677</v>
      </c>
      <c r="Q20" s="386">
        <f>'Key inputs_LNG'!$D$213*Consumer_Price_index!$BN$257/Consumer_Price_index!$BK$257*10^3</f>
        <v>29.87938894032677</v>
      </c>
      <c r="R20" s="386">
        <f>'Key inputs_LNG'!$D$213*Consumer_Price_index!$BN$257/Consumer_Price_index!$BK$257*10^3</f>
        <v>29.87938894032677</v>
      </c>
      <c r="S20" s="386">
        <f>'Key inputs_LNG'!$D$213*Consumer_Price_index!$BN$257/Consumer_Price_index!$BK$257*10^3</f>
        <v>29.87938894032677</v>
      </c>
      <c r="T20" s="386">
        <f>'Key inputs_LNG'!$D$213*Consumer_Price_index!$BN$257/Consumer_Price_index!$BK$257*10^3</f>
        <v>29.87938894032677</v>
      </c>
      <c r="U20" s="386">
        <f>'Key inputs_LNG'!$D$213*Consumer_Price_index!$BN$257/Consumer_Price_index!$BK$257*10^3</f>
        <v>29.87938894032677</v>
      </c>
      <c r="V20" s="386">
        <f>'Key inputs_LNG'!$D$213*Consumer_Price_index!$BN$257/Consumer_Price_index!$BK$257*10^3</f>
        <v>29.87938894032677</v>
      </c>
      <c r="W20" s="386">
        <f>'Key inputs_LNG'!$D$213*Consumer_Price_index!$BN$257/Consumer_Price_index!$BK$257*10^3</f>
        <v>29.87938894032677</v>
      </c>
      <c r="X20" s="386">
        <f>'Key inputs_LNG'!$D$213*Consumer_Price_index!$BN$257/Consumer_Price_index!$BK$257*10^3</f>
        <v>29.87938894032677</v>
      </c>
      <c r="Y20" s="386">
        <f>'Key inputs_LNG'!$D$213*Consumer_Price_index!$BN$257/Consumer_Price_index!$BK$257*10^3</f>
        <v>29.87938894032677</v>
      </c>
      <c r="Z20" s="386">
        <f>'Key inputs_LNG'!$D$213*Consumer_Price_index!$BN$257/Consumer_Price_index!$BK$257*10^3</f>
        <v>29.87938894032677</v>
      </c>
      <c r="AA20" s="386">
        <f>'Key inputs_LNG'!$D$213*Consumer_Price_index!$BN$257/Consumer_Price_index!$BK$257*10^3</f>
        <v>29.87938894032677</v>
      </c>
      <c r="AB20" s="386">
        <f>'Key inputs_LNG'!$D$213*Consumer_Price_index!$BN$257/Consumer_Price_index!$BK$257*10^3</f>
        <v>29.87938894032677</v>
      </c>
      <c r="AC20" s="386">
        <f>'Key inputs_LNG'!$D$213*Consumer_Price_index!$BN$257/Consumer_Price_index!$BK$257*10^3</f>
        <v>29.87938894032677</v>
      </c>
      <c r="AD20" s="386">
        <f>'Key inputs_LNG'!$D$213*Consumer_Price_index!$BN$257/Consumer_Price_index!$BK$257*10^3</f>
        <v>29.87938894032677</v>
      </c>
      <c r="AE20" s="386">
        <f>'Key inputs_LNG'!$D$213*Consumer_Price_index!$BN$257/Consumer_Price_index!$BK$257*10^3</f>
        <v>29.87938894032677</v>
      </c>
      <c r="AF20" s="386">
        <f>'Key inputs_LNG'!$D$213*Consumer_Price_index!$BN$257/Consumer_Price_index!$BK$257*10^3</f>
        <v>29.87938894032677</v>
      </c>
      <c r="AG20" s="386">
        <f>'Key inputs_LNG'!$D$213*Consumer_Price_index!$BN$257/Consumer_Price_index!$BK$257*10^3</f>
        <v>29.87938894032677</v>
      </c>
      <c r="AH20" s="386">
        <f>'Key inputs_LNG'!$D$213*Consumer_Price_index!$BN$257/Consumer_Price_index!$BK$257*10^3</f>
        <v>29.87938894032677</v>
      </c>
      <c r="AI20" s="386">
        <f>'Key inputs_LNG'!$D$213*Consumer_Price_index!$BN$257/Consumer_Price_index!$BK$257*10^3</f>
        <v>29.87938894032677</v>
      </c>
      <c r="AJ20" s="386">
        <f>'Key inputs_LNG'!$D$213*Consumer_Price_index!$BN$257/Consumer_Price_index!$BK$257*10^3</f>
        <v>29.87938894032677</v>
      </c>
      <c r="AK20" s="386">
        <f>'Key inputs_LNG'!$D$213*Consumer_Price_index!$BN$257/Consumer_Price_index!$BK$257*10^3</f>
        <v>29.87938894032677</v>
      </c>
      <c r="AL20" s="386">
        <f>'Key inputs_LNG'!$D$213*Consumer_Price_index!$BN$257/Consumer_Price_index!$BK$257*10^3</f>
        <v>29.87938894032677</v>
      </c>
    </row>
    <row r="21" spans="1:38">
      <c r="G21" s="4" t="s">
        <v>689</v>
      </c>
      <c r="H21" s="4"/>
      <c r="I21" s="4"/>
      <c r="J21" s="4" t="s">
        <v>2663</v>
      </c>
      <c r="K21" s="355"/>
      <c r="L21" s="355"/>
      <c r="M21" s="355"/>
      <c r="N21" s="355"/>
      <c r="O21" s="355"/>
      <c r="P21" s="355"/>
      <c r="Q21" s="355"/>
      <c r="R21" s="355"/>
      <c r="S21" s="355"/>
      <c r="T21" s="355"/>
      <c r="U21" s="355"/>
      <c r="V21" s="355"/>
      <c r="W21" s="355"/>
      <c r="X21" s="355"/>
      <c r="Y21" s="355"/>
      <c r="Z21" s="355"/>
      <c r="AA21" s="355"/>
      <c r="AB21" s="355"/>
      <c r="AC21" s="355"/>
      <c r="AD21" s="355"/>
      <c r="AE21" s="355"/>
      <c r="AF21" s="355"/>
      <c r="AG21" s="355"/>
      <c r="AH21" s="355"/>
      <c r="AI21" s="355"/>
      <c r="AJ21" s="355"/>
      <c r="AK21" s="355"/>
      <c r="AL21" s="355"/>
    </row>
    <row r="22" spans="1:38">
      <c r="G22" s="4" t="s">
        <v>675</v>
      </c>
      <c r="H22" s="4"/>
      <c r="I22" s="4"/>
      <c r="J22" s="4" t="s">
        <v>2662</v>
      </c>
      <c r="K22" s="355"/>
      <c r="L22" s="355"/>
      <c r="M22" s="355"/>
      <c r="N22" s="355"/>
      <c r="O22" s="355"/>
      <c r="P22" s="355"/>
      <c r="Q22" s="355"/>
      <c r="R22" s="355"/>
      <c r="S22" s="355"/>
      <c r="T22" s="355"/>
      <c r="U22" s="355"/>
      <c r="V22" s="355"/>
      <c r="W22" s="355"/>
      <c r="X22" s="355"/>
      <c r="Y22" s="355"/>
      <c r="Z22" s="355"/>
      <c r="AA22" s="355"/>
      <c r="AB22" s="355"/>
      <c r="AC22" s="355"/>
      <c r="AD22" s="355"/>
      <c r="AE22" s="355"/>
      <c r="AF22" s="355"/>
      <c r="AG22" s="355"/>
      <c r="AH22" s="355"/>
      <c r="AI22" s="355"/>
      <c r="AJ22" s="355"/>
      <c r="AK22" s="355"/>
      <c r="AL22" s="355"/>
    </row>
    <row r="23" spans="1:38">
      <c r="D23" t="str">
        <f>Commodities!$C$37</f>
        <v>GASLNG</v>
      </c>
      <c r="G23" s="4"/>
      <c r="H23" s="4"/>
      <c r="I23" s="4"/>
      <c r="J23" s="4"/>
    </row>
    <row r="24" spans="1:38">
      <c r="C24" t="str">
        <f>Commodities!$C$25</f>
        <v>GASNAT</v>
      </c>
      <c r="F24" t="s">
        <v>366</v>
      </c>
      <c r="G24" s="4" t="s">
        <v>702</v>
      </c>
      <c r="H24" t="s">
        <v>661</v>
      </c>
      <c r="I24" s="4"/>
      <c r="J24" s="4" t="s">
        <v>650</v>
      </c>
      <c r="K24" s="355">
        <v>1</v>
      </c>
      <c r="L24" s="355">
        <v>1</v>
      </c>
      <c r="M24" s="355">
        <v>1</v>
      </c>
      <c r="N24" s="355">
        <v>1</v>
      </c>
      <c r="O24" s="355">
        <v>1</v>
      </c>
      <c r="P24" s="355">
        <v>1</v>
      </c>
      <c r="Q24" s="355">
        <v>1</v>
      </c>
      <c r="R24" s="355">
        <v>1</v>
      </c>
      <c r="S24" s="355">
        <v>1</v>
      </c>
      <c r="T24" s="355">
        <v>1</v>
      </c>
      <c r="U24" s="355">
        <v>1</v>
      </c>
      <c r="V24" s="355">
        <v>1</v>
      </c>
      <c r="W24" s="355">
        <v>1</v>
      </c>
      <c r="X24" s="355">
        <v>1</v>
      </c>
      <c r="Y24" s="355">
        <v>1</v>
      </c>
      <c r="Z24" s="355">
        <v>1</v>
      </c>
      <c r="AA24" s="355">
        <v>1</v>
      </c>
      <c r="AB24" s="355">
        <v>1</v>
      </c>
      <c r="AC24" s="355">
        <v>1</v>
      </c>
      <c r="AD24" s="355">
        <v>1</v>
      </c>
      <c r="AE24" s="355">
        <v>1</v>
      </c>
      <c r="AF24" s="355">
        <v>1</v>
      </c>
      <c r="AG24" s="355">
        <v>1</v>
      </c>
      <c r="AH24" s="355">
        <v>1</v>
      </c>
      <c r="AI24" s="355">
        <v>1</v>
      </c>
      <c r="AJ24" s="355">
        <v>1</v>
      </c>
      <c r="AK24" s="355">
        <v>1</v>
      </c>
      <c r="AL24" s="355">
        <v>1</v>
      </c>
    </row>
    <row r="25" spans="1:38">
      <c r="E25" t="s">
        <v>366</v>
      </c>
      <c r="F25" t="s">
        <v>691</v>
      </c>
      <c r="G25" s="4" t="s">
        <v>692</v>
      </c>
      <c r="H25" s="4"/>
      <c r="I25" s="4"/>
      <c r="J25" s="4" t="s">
        <v>2664</v>
      </c>
      <c r="K25" s="355">
        <v>1</v>
      </c>
      <c r="L25" s="355">
        <v>1</v>
      </c>
      <c r="M25" s="355">
        <v>1</v>
      </c>
      <c r="N25" s="355">
        <v>1</v>
      </c>
      <c r="O25" s="355">
        <v>1</v>
      </c>
      <c r="P25" s="355">
        <v>1</v>
      </c>
      <c r="Q25" s="355">
        <v>1</v>
      </c>
      <c r="R25" s="355">
        <v>1</v>
      </c>
      <c r="S25" s="355">
        <v>1</v>
      </c>
      <c r="T25" s="355">
        <v>1</v>
      </c>
      <c r="U25" s="355">
        <v>1</v>
      </c>
      <c r="V25" s="355">
        <v>1</v>
      </c>
      <c r="W25" s="355">
        <v>1</v>
      </c>
      <c r="X25" s="355">
        <v>1</v>
      </c>
      <c r="Y25" s="355">
        <v>1</v>
      </c>
      <c r="Z25" s="355">
        <v>1</v>
      </c>
      <c r="AA25" s="355">
        <v>1</v>
      </c>
      <c r="AB25" s="355">
        <v>1</v>
      </c>
      <c r="AC25" s="355">
        <v>1</v>
      </c>
      <c r="AD25" s="355">
        <v>1</v>
      </c>
      <c r="AE25" s="355">
        <v>1</v>
      </c>
      <c r="AF25" s="355">
        <v>1</v>
      </c>
      <c r="AG25" s="355">
        <v>1</v>
      </c>
      <c r="AH25" s="355">
        <v>1</v>
      </c>
      <c r="AI25" s="355">
        <v>1</v>
      </c>
      <c r="AJ25" s="355">
        <v>1</v>
      </c>
      <c r="AK25" s="355">
        <v>1</v>
      </c>
      <c r="AL25" s="355">
        <v>1</v>
      </c>
    </row>
    <row r="26" spans="1:38">
      <c r="E26" s="4" t="s">
        <v>359</v>
      </c>
      <c r="F26" t="s">
        <v>691</v>
      </c>
      <c r="G26" s="4" t="s">
        <v>692</v>
      </c>
      <c r="J26" s="4" t="s">
        <v>2664</v>
      </c>
      <c r="K26" s="173" t="str">
        <f>IFERROR(-K$12*K$10*K16/('Key inputs_LNG'!E233/10^3),"")</f>
        <v/>
      </c>
      <c r="L26" s="173">
        <f>IFERROR(-L$12*L$10*L16/('Key inputs_LNG'!F233/10^3),"")</f>
        <v>7.6452457145542434</v>
      </c>
      <c r="M26" s="173">
        <f>IFERROR(-M$12*M$10*M16/('Key inputs_LNG'!G233/10^3),"")</f>
        <v>1399.4053779959117</v>
      </c>
      <c r="N26" s="173">
        <f>IFERROR(-N$12*N$10*N16/('Key inputs_LNG'!H233/10^3),"")</f>
        <v>15.836861016883713</v>
      </c>
      <c r="O26" s="173">
        <f>IFERROR(-O$12*O$10*O16/('Key inputs_LNG'!I233/10^3),"")</f>
        <v>13.3794863495184</v>
      </c>
      <c r="P26" s="173" t="str">
        <f>IFERROR(-P$12*P$10*P16/('Key inputs_LNG'!J233/10^3),"")</f>
        <v/>
      </c>
      <c r="Q26" s="173">
        <f>IFERROR(-Q$12*Q$10*Q16/('Key inputs_LNG'!K233/10^3),"")</f>
        <v>10.156540108109571</v>
      </c>
      <c r="R26" s="173" t="str">
        <f>IFERROR(-R$12*R$10*R16/('Key inputs_LNG'!L233/10^3),"")</f>
        <v/>
      </c>
      <c r="S26" s="173" t="str">
        <f>IFERROR(-S$12*S$10*S16/('Key inputs_LNG'!M233/10^3),"")</f>
        <v/>
      </c>
      <c r="T26" s="173" t="str">
        <f>IFERROR(-T$12*T$10*T16/('Key inputs_LNG'!N233/10^3),"")</f>
        <v/>
      </c>
      <c r="U26" s="173" t="str">
        <f>IFERROR(-U$12*U$10*U16/('Key inputs_LNG'!O233/10^3),"")</f>
        <v/>
      </c>
      <c r="V26" s="173" t="str">
        <f>IFERROR(-V$12*V$10*V16/('Key inputs_LNG'!P233/10^3),"")</f>
        <v/>
      </c>
      <c r="W26" s="173" t="str">
        <f>IFERROR(-W$12*W$10*W16/('Key inputs_LNG'!Q233/10^3),"")</f>
        <v/>
      </c>
      <c r="X26" s="173">
        <f>IFERROR(-X$12*X$10*X16/('Key inputs_LNG'!R233/10^3),"")</f>
        <v>40.196681150127446</v>
      </c>
      <c r="Y26" s="173" t="str">
        <f>IFERROR(-Y$12*Y$10*Y16/('Key inputs_LNG'!S233/10^3),"")</f>
        <v/>
      </c>
      <c r="Z26" s="173" t="str">
        <f>IFERROR(-Z$12*Z$10*Z16/('Key inputs_LNG'!T233/10^3),"")</f>
        <v/>
      </c>
      <c r="AA26" s="173" t="str">
        <f>IFERROR(-AA$12*AA$10*AA16/('Key inputs_LNG'!U233/10^3),"")</f>
        <v/>
      </c>
      <c r="AB26" s="173" t="str">
        <f>IFERROR(-AB$12*AB$10*AB16/('Key inputs_LNG'!V233/10^3),"")</f>
        <v/>
      </c>
      <c r="AC26" s="173" t="str">
        <f>IFERROR(-AC$12*AC$10*AC16/('Key inputs_LNG'!W233/10^3),"")</f>
        <v/>
      </c>
      <c r="AD26" s="173" t="str">
        <f>IFERROR(-AD$12*AD$10*AD16/('Key inputs_LNG'!X233/10^3),"")</f>
        <v/>
      </c>
      <c r="AE26" s="173">
        <f>IFERROR(-AE$12*AE$10*AE16/('Key inputs_LNG'!Y233/10^3),"")</f>
        <v>9.2189388242671395</v>
      </c>
      <c r="AF26" s="173" t="str">
        <f>IFERROR(-AF$12*AF$10*AF16/('Key inputs_LNG'!Z233/10^3),"")</f>
        <v/>
      </c>
      <c r="AG26" s="173">
        <f>IFERROR(-AG$12*AG$10*AG16/('Key inputs_LNG'!AA233/10^3),"")</f>
        <v>10.768792213141625</v>
      </c>
      <c r="AH26" s="173" t="str">
        <f>IFERROR(-AH$12*AH$10*AH16/('Key inputs_LNG'!AB233/10^3),"")</f>
        <v/>
      </c>
      <c r="AI26" s="173">
        <f>IFERROR(-AI$12*AI$10*AI16/('Key inputs_LNG'!AC233/10^3),"")</f>
        <v>15.42529281758225</v>
      </c>
      <c r="AJ26" s="173">
        <f>IFERROR(-AJ$12*AJ$10*AJ16/('Key inputs_LNG'!AD233/10^3),"")</f>
        <v>1183.4720966768227</v>
      </c>
      <c r="AK26" s="173" t="str">
        <f>IFERROR(-AK$12*AK$10*AK16/('Key inputs_LNG'!AE233/10^3),"")</f>
        <v/>
      </c>
      <c r="AL26" s="173" t="str">
        <f>IFERROR(-AL$12*AL$10*AL16/('Key inputs_LNG'!AF233/10^3),"")</f>
        <v/>
      </c>
    </row>
    <row r="27" spans="1:38">
      <c r="C27" t="str">
        <f>Commodities!$C$91</f>
        <v>UPSELC</v>
      </c>
      <c r="F27" s="4" t="s">
        <v>359</v>
      </c>
      <c r="G27" s="4" t="s">
        <v>702</v>
      </c>
      <c r="H27" t="s">
        <v>661</v>
      </c>
      <c r="I27">
        <v>2019</v>
      </c>
      <c r="J27" s="4" t="s">
        <v>650</v>
      </c>
      <c r="K27" s="209" t="str">
        <f>IFERROR('Key inputs_LNG'!E231/'Key inputs_LNG'!E$233,"")</f>
        <v/>
      </c>
      <c r="L27" s="209">
        <f>IFERROR('Key inputs_LNG'!F231/'Key inputs_LNG'!F$233,"")</f>
        <v>5.7772599943996319E-3</v>
      </c>
      <c r="M27" s="209">
        <f>IFERROR('Key inputs_LNG'!G231/'Key inputs_LNG'!G$233,"")</f>
        <v>0</v>
      </c>
      <c r="N27" s="209">
        <f>IFERROR('Key inputs_LNG'!H231/'Key inputs_LNG'!H$233,"")</f>
        <v>0</v>
      </c>
      <c r="O27" s="209">
        <f>IFERROR('Key inputs_LNG'!I231/'Key inputs_LNG'!I$233,"")</f>
        <v>7.3568236518402386E-2</v>
      </c>
      <c r="P27" s="209" t="str">
        <f>IFERROR('Key inputs_LNG'!J231/'Key inputs_LNG'!J$233,"")</f>
        <v/>
      </c>
      <c r="Q27" s="209">
        <f>IFERROR('Key inputs_LNG'!K231/'Key inputs_LNG'!K$233,"")</f>
        <v>4.6780242453129551E-3</v>
      </c>
      <c r="R27" s="209" t="str">
        <f>IFERROR('Key inputs_LNG'!L231/'Key inputs_LNG'!L$233,"")</f>
        <v/>
      </c>
      <c r="S27" s="209" t="str">
        <f>IFERROR('Key inputs_LNG'!M231/'Key inputs_LNG'!M$233,"")</f>
        <v/>
      </c>
      <c r="T27" s="209" t="str">
        <f>IFERROR('Key inputs_LNG'!N231/'Key inputs_LNG'!N$233,"")</f>
        <v/>
      </c>
      <c r="U27" s="209" t="str">
        <f>IFERROR('Key inputs_LNG'!O231/'Key inputs_LNG'!O$233,"")</f>
        <v/>
      </c>
      <c r="V27" s="209" t="str">
        <f>IFERROR('Key inputs_LNG'!P231/'Key inputs_LNG'!P$233,"")</f>
        <v/>
      </c>
      <c r="W27" s="209" t="str">
        <f>IFERROR('Key inputs_LNG'!Q231/'Key inputs_LNG'!Q$233,"")</f>
        <v/>
      </c>
      <c r="X27" s="209">
        <f>IFERROR('Key inputs_LNG'!R231/'Key inputs_LNG'!R$233,"")</f>
        <v>0</v>
      </c>
      <c r="Y27" s="209" t="str">
        <f>IFERROR('Key inputs_LNG'!S231/'Key inputs_LNG'!S$233,"")</f>
        <v/>
      </c>
      <c r="Z27" s="209" t="str">
        <f>IFERROR('Key inputs_LNG'!T231/'Key inputs_LNG'!T$233,"")</f>
        <v/>
      </c>
      <c r="AA27" s="209" t="str">
        <f>IFERROR('Key inputs_LNG'!U231/'Key inputs_LNG'!U$233,"")</f>
        <v/>
      </c>
      <c r="AB27" s="209" t="str">
        <f>IFERROR('Key inputs_LNG'!V231/'Key inputs_LNG'!V$233,"")</f>
        <v/>
      </c>
      <c r="AC27" s="209" t="str">
        <f>IFERROR('Key inputs_LNG'!W231/'Key inputs_LNG'!W$233,"")</f>
        <v/>
      </c>
      <c r="AD27" s="209" t="str">
        <f>IFERROR('Key inputs_LNG'!X231/'Key inputs_LNG'!X$233,"")</f>
        <v/>
      </c>
      <c r="AE27" s="209">
        <f>IFERROR('Key inputs_LNG'!Y231/'Key inputs_LNG'!Y$233,"")</f>
        <v>0</v>
      </c>
      <c r="AF27" s="209" t="str">
        <f>IFERROR('Key inputs_LNG'!Z231/'Key inputs_LNG'!Z$233,"")</f>
        <v/>
      </c>
      <c r="AG27" s="209">
        <f>IFERROR('Key inputs_LNG'!AA231/'Key inputs_LNG'!AA$233,"")</f>
        <v>0</v>
      </c>
      <c r="AH27" s="209" t="str">
        <f>IFERROR('Key inputs_LNG'!AB231/'Key inputs_LNG'!AB$233,"")</f>
        <v/>
      </c>
      <c r="AI27" s="209">
        <f>IFERROR('Key inputs_LNG'!AC231/'Key inputs_LNG'!AC$233,"")</f>
        <v>1.1307308504432498E-2</v>
      </c>
      <c r="AJ27" s="209">
        <f>IFERROR('Key inputs_LNG'!AD231/'Key inputs_LNG'!AD$233,"")</f>
        <v>0</v>
      </c>
      <c r="AK27" s="209" t="str">
        <f>IFERROR('Key inputs_LNG'!AE231/'Key inputs_LNG'!AE$233,"")</f>
        <v/>
      </c>
      <c r="AL27" s="209" t="str">
        <f>IFERROR('Key inputs_LNG'!AF231/'Key inputs_LNG'!AF$233,"")</f>
        <v/>
      </c>
    </row>
    <row r="28" spans="1:38">
      <c r="A28" s="236"/>
      <c r="B28" s="236"/>
      <c r="C28" s="236" t="str">
        <f>Commodities!$C$92</f>
        <v>UPSGAS</v>
      </c>
      <c r="D28" s="236"/>
      <c r="E28" s="236"/>
      <c r="F28" s="259" t="s">
        <v>359</v>
      </c>
      <c r="G28" s="259" t="s">
        <v>702</v>
      </c>
      <c r="H28" s="236" t="s">
        <v>661</v>
      </c>
      <c r="I28" s="236">
        <v>2019</v>
      </c>
      <c r="J28" s="236" t="s">
        <v>650</v>
      </c>
      <c r="K28" s="226" t="str">
        <f>IFERROR('Key inputs_LNG'!E232/'Key inputs_LNG'!E$233,"")</f>
        <v/>
      </c>
      <c r="L28" s="226">
        <f>IFERROR('Key inputs_LNG'!F232/'Key inputs_LNG'!F$233,"")</f>
        <v>0.9942227400056004</v>
      </c>
      <c r="M28" s="226">
        <f>IFERROR('Key inputs_LNG'!G232/'Key inputs_LNG'!G$233,"")</f>
        <v>1</v>
      </c>
      <c r="N28" s="226">
        <f>IFERROR('Key inputs_LNG'!H232/'Key inputs_LNG'!H$233,"")</f>
        <v>1</v>
      </c>
      <c r="O28" s="226">
        <f>IFERROR('Key inputs_LNG'!I232/'Key inputs_LNG'!I$233,"")</f>
        <v>0.92643176348159773</v>
      </c>
      <c r="P28" s="226" t="str">
        <f>IFERROR('Key inputs_LNG'!J232/'Key inputs_LNG'!J$233,"")</f>
        <v/>
      </c>
      <c r="Q28" s="226">
        <f>IFERROR('Key inputs_LNG'!K232/'Key inputs_LNG'!K$233,"")</f>
        <v>0.99532197575468706</v>
      </c>
      <c r="R28" s="226" t="str">
        <f>IFERROR('Key inputs_LNG'!L232/'Key inputs_LNG'!L$233,"")</f>
        <v/>
      </c>
      <c r="S28" s="226" t="str">
        <f>IFERROR('Key inputs_LNG'!M232/'Key inputs_LNG'!M$233,"")</f>
        <v/>
      </c>
      <c r="T28" s="226" t="str">
        <f>IFERROR('Key inputs_LNG'!N232/'Key inputs_LNG'!N$233,"")</f>
        <v/>
      </c>
      <c r="U28" s="226" t="str">
        <f>IFERROR('Key inputs_LNG'!O232/'Key inputs_LNG'!O$233,"")</f>
        <v/>
      </c>
      <c r="V28" s="226" t="str">
        <f>IFERROR('Key inputs_LNG'!P232/'Key inputs_LNG'!P$233,"")</f>
        <v/>
      </c>
      <c r="W28" s="226" t="str">
        <f>IFERROR('Key inputs_LNG'!Q232/'Key inputs_LNG'!Q$233,"")</f>
        <v/>
      </c>
      <c r="X28" s="226">
        <f>IFERROR('Key inputs_LNG'!R232/'Key inputs_LNG'!R$233,"")</f>
        <v>1</v>
      </c>
      <c r="Y28" s="226" t="str">
        <f>IFERROR('Key inputs_LNG'!S232/'Key inputs_LNG'!S$233,"")</f>
        <v/>
      </c>
      <c r="Z28" s="226" t="str">
        <f>IFERROR('Key inputs_LNG'!T232/'Key inputs_LNG'!T$233,"")</f>
        <v/>
      </c>
      <c r="AA28" s="226" t="str">
        <f>IFERROR('Key inputs_LNG'!U232/'Key inputs_LNG'!U$233,"")</f>
        <v/>
      </c>
      <c r="AB28" s="226" t="str">
        <f>IFERROR('Key inputs_LNG'!V232/'Key inputs_LNG'!V$233,"")</f>
        <v/>
      </c>
      <c r="AC28" s="226" t="str">
        <f>IFERROR('Key inputs_LNG'!W232/'Key inputs_LNG'!W$233,"")</f>
        <v/>
      </c>
      <c r="AD28" s="226" t="str">
        <f>IFERROR('Key inputs_LNG'!X232/'Key inputs_LNG'!X$233,"")</f>
        <v/>
      </c>
      <c r="AE28" s="226">
        <f>IFERROR('Key inputs_LNG'!Y232/'Key inputs_LNG'!Y$233,"")</f>
        <v>1</v>
      </c>
      <c r="AF28" s="226" t="str">
        <f>IFERROR('Key inputs_LNG'!Z232/'Key inputs_LNG'!Z$233,"")</f>
        <v/>
      </c>
      <c r="AG28" s="226">
        <f>IFERROR('Key inputs_LNG'!AA232/'Key inputs_LNG'!AA$233,"")</f>
        <v>1</v>
      </c>
      <c r="AH28" s="226" t="str">
        <f>IFERROR('Key inputs_LNG'!AB232/'Key inputs_LNG'!AB$233,"")</f>
        <v/>
      </c>
      <c r="AI28" s="226">
        <f>IFERROR('Key inputs_LNG'!AC232/'Key inputs_LNG'!AC$233,"")</f>
        <v>0.98869269149556749</v>
      </c>
      <c r="AJ28" s="226">
        <f>IFERROR('Key inputs_LNG'!AD232/'Key inputs_LNG'!AD$233,"")</f>
        <v>1</v>
      </c>
      <c r="AK28" s="226" t="str">
        <f>IFERROR('Key inputs_LNG'!AE232/'Key inputs_LNG'!AE$233,"")</f>
        <v/>
      </c>
      <c r="AL28" s="226" t="str">
        <f>IFERROR('Key inputs_LNG'!AF232/'Key inputs_LNG'!AF$233,"")</f>
        <v/>
      </c>
    </row>
    <row r="29" spans="1:38">
      <c r="A29" t="str">
        <f>AO11</f>
        <v>U-TRF-LNG-Regasification_00</v>
      </c>
      <c r="B29" t="str">
        <f>AP11</f>
        <v>UPS Transformation: LNG regasification - Existing</v>
      </c>
      <c r="G29" s="4" t="s">
        <v>695</v>
      </c>
      <c r="H29" s="4"/>
      <c r="I29" s="4"/>
      <c r="J29" s="4" t="s">
        <v>2665</v>
      </c>
      <c r="K29" s="355">
        <v>1</v>
      </c>
      <c r="L29" s="355">
        <v>1</v>
      </c>
      <c r="M29" s="355">
        <v>1</v>
      </c>
      <c r="N29" s="355">
        <v>1</v>
      </c>
      <c r="O29" s="355">
        <v>1</v>
      </c>
      <c r="P29" s="355">
        <v>1</v>
      </c>
      <c r="Q29" s="355">
        <v>1</v>
      </c>
      <c r="R29" s="355">
        <v>1</v>
      </c>
      <c r="S29" s="355">
        <v>1</v>
      </c>
      <c r="T29" s="355">
        <v>1</v>
      </c>
      <c r="U29" s="355">
        <v>1</v>
      </c>
      <c r="V29" s="355">
        <v>1</v>
      </c>
      <c r="W29" s="355">
        <v>1</v>
      </c>
      <c r="X29" s="355">
        <v>1</v>
      </c>
      <c r="Y29" s="355">
        <v>1</v>
      </c>
      <c r="Z29" s="355">
        <v>1</v>
      </c>
      <c r="AA29" s="355">
        <v>1</v>
      </c>
      <c r="AB29" s="355">
        <v>1</v>
      </c>
      <c r="AC29" s="355">
        <v>1</v>
      </c>
      <c r="AD29" s="355">
        <v>1</v>
      </c>
      <c r="AE29" s="355">
        <v>1</v>
      </c>
      <c r="AF29" s="355">
        <v>1</v>
      </c>
      <c r="AG29" s="355">
        <v>1</v>
      </c>
      <c r="AH29" s="355">
        <v>1</v>
      </c>
      <c r="AI29" s="355">
        <v>1</v>
      </c>
      <c r="AJ29" s="355">
        <v>1</v>
      </c>
      <c r="AK29" s="355">
        <v>1</v>
      </c>
      <c r="AL29" s="355">
        <v>1</v>
      </c>
    </row>
    <row r="30" spans="1:38">
      <c r="G30" s="4" t="s">
        <v>697</v>
      </c>
      <c r="H30" s="4"/>
      <c r="I30" s="4"/>
      <c r="J30" s="4" t="s">
        <v>698</v>
      </c>
      <c r="K30" s="331">
        <f>'Key inputs_LNG'!$C$216</f>
        <v>35</v>
      </c>
      <c r="L30" s="331">
        <f>'Key inputs_LNG'!$C$216</f>
        <v>35</v>
      </c>
      <c r="M30" s="331">
        <f>'Key inputs_LNG'!$C$216</f>
        <v>35</v>
      </c>
      <c r="N30" s="331">
        <f>'Key inputs_LNG'!$C$216</f>
        <v>35</v>
      </c>
      <c r="O30" s="331">
        <f>'Key inputs_LNG'!$C$216</f>
        <v>35</v>
      </c>
      <c r="P30" s="331">
        <f>'Key inputs_LNG'!$C$216</f>
        <v>35</v>
      </c>
      <c r="Q30" s="331">
        <f>'Key inputs_LNG'!$C$216</f>
        <v>35</v>
      </c>
      <c r="R30" s="331">
        <f>'Key inputs_LNG'!$C$216</f>
        <v>35</v>
      </c>
      <c r="S30" s="331">
        <f>'Key inputs_LNG'!$C$216</f>
        <v>35</v>
      </c>
      <c r="T30" s="331">
        <f>'Key inputs_LNG'!$C$216</f>
        <v>35</v>
      </c>
      <c r="U30" s="331">
        <f>'Key inputs_LNG'!$C$216</f>
        <v>35</v>
      </c>
      <c r="V30" s="331">
        <f>'Key inputs_LNG'!$C$216</f>
        <v>35</v>
      </c>
      <c r="W30" s="331">
        <f>'Key inputs_LNG'!$C$216</f>
        <v>35</v>
      </c>
      <c r="X30" s="331">
        <f>'Key inputs_LNG'!$C$216</f>
        <v>35</v>
      </c>
      <c r="Y30" s="331">
        <f>'Key inputs_LNG'!$C$216</f>
        <v>35</v>
      </c>
      <c r="Z30" s="331">
        <f>'Key inputs_LNG'!$C$216</f>
        <v>35</v>
      </c>
      <c r="AA30" s="331">
        <f>'Key inputs_LNG'!$C$216</f>
        <v>35</v>
      </c>
      <c r="AB30" s="331">
        <f>'Key inputs_LNG'!$C$216</f>
        <v>35</v>
      </c>
      <c r="AC30" s="331">
        <f>'Key inputs_LNG'!$C$216</f>
        <v>35</v>
      </c>
      <c r="AD30" s="331">
        <f>'Key inputs_LNG'!$C$216</f>
        <v>35</v>
      </c>
      <c r="AE30" s="331">
        <f>'Key inputs_LNG'!$C$216</f>
        <v>35</v>
      </c>
      <c r="AF30" s="331">
        <f>'Key inputs_LNG'!$C$216</f>
        <v>35</v>
      </c>
      <c r="AG30" s="331">
        <f>'Key inputs_LNG'!$C$216</f>
        <v>35</v>
      </c>
      <c r="AH30" s="331">
        <f>'Key inputs_LNG'!$C$216</f>
        <v>35</v>
      </c>
      <c r="AI30" s="331">
        <f>'Key inputs_LNG'!$C$216</f>
        <v>35</v>
      </c>
      <c r="AJ30" s="331">
        <f>'Key inputs_LNG'!$C$216</f>
        <v>35</v>
      </c>
      <c r="AK30" s="331">
        <f>'Key inputs_LNG'!$C$216</f>
        <v>35</v>
      </c>
      <c r="AL30" s="331">
        <f>'Key inputs_LNG'!$C$216</f>
        <v>35</v>
      </c>
    </row>
    <row r="31" spans="1:38">
      <c r="G31" s="4" t="s">
        <v>699</v>
      </c>
      <c r="H31" s="4"/>
      <c r="I31" s="4">
        <v>2019</v>
      </c>
      <c r="J31" s="4" t="s">
        <v>112</v>
      </c>
      <c r="K31" s="176">
        <f>MAX(SUMIFS('Key inputs_LNG'!$B$143:$B$170,'Key inputs_LNG'!$A$143:$A$170,K$7)/10^3,SUMIFS('Key inputs_LNG'!$B$177:$B$204,'Key inputs_LNG'!$A$177:$A$204,K$7)/10^3)</f>
        <v>0</v>
      </c>
      <c r="L31" s="176">
        <f>MAX(SUMIFS('Key inputs_LNG'!$B$143:$B$170,'Key inputs_LNG'!$A$143:$A$170,L$7)/10^3,SUMIFS('Key inputs_LNG'!$B$177:$B$204,'Key inputs_LNG'!$A$177:$A$204,L$7)/10^3)</f>
        <v>320.9849949</v>
      </c>
      <c r="M31" s="176">
        <f>MAX(SUMIFS('Key inputs_LNG'!$B$143:$B$170,'Key inputs_LNG'!$A$143:$A$170,M$7)/10^3,SUMIFS('Key inputs_LNG'!$B$177:$B$204,'Key inputs_LNG'!$A$177:$A$204,M$7)/10^3)</f>
        <v>0</v>
      </c>
      <c r="N31" s="176">
        <f>MAX(SUMIFS('Key inputs_LNG'!$B$143:$B$170,'Key inputs_LNG'!$A$143:$A$170,N$7)/10^3,SUMIFS('Key inputs_LNG'!$B$177:$B$204,'Key inputs_LNG'!$A$177:$A$204,N$7)/10^3)</f>
        <v>0</v>
      </c>
      <c r="O31" s="176">
        <f>MAX(SUMIFS('Key inputs_LNG'!$B$143:$B$170,'Key inputs_LNG'!$A$143:$A$170,O$7)/10^3,SUMIFS('Key inputs_LNG'!$B$177:$B$204,'Key inputs_LNG'!$A$177:$A$204,O$7)/10^3)</f>
        <v>0</v>
      </c>
      <c r="P31" s="176">
        <f>MAX(SUMIFS('Key inputs_LNG'!$B$143:$B$170,'Key inputs_LNG'!$A$143:$A$170,P$7)/10^3,SUMIFS('Key inputs_LNG'!$B$177:$B$204,'Key inputs_LNG'!$A$177:$A$204,P$7)/10^3)</f>
        <v>0</v>
      </c>
      <c r="Q31" s="176">
        <f>MAX(SUMIFS('Key inputs_LNG'!$B$143:$B$170,'Key inputs_LNG'!$A$143:$A$170,Q$7)/10^3,SUMIFS('Key inputs_LNG'!$B$177:$B$204,'Key inputs_LNG'!$A$177:$A$204,Q$7)/10^3)</f>
        <v>1678.1320785999999</v>
      </c>
      <c r="R31" s="176">
        <f>MAX(SUMIFS('Key inputs_LNG'!$B$143:$B$170,'Key inputs_LNG'!$A$143:$A$170,R$7)/10^3,SUMIFS('Key inputs_LNG'!$B$177:$B$204,'Key inputs_LNG'!$A$177:$A$204,R$7)/10^3)</f>
        <v>698.28314679999983</v>
      </c>
      <c r="S31" s="176">
        <f>MAX(SUMIFS('Key inputs_LNG'!$B$143:$B$170,'Key inputs_LNG'!$A$143:$A$170,S$7)/10^3,SUMIFS('Key inputs_LNG'!$B$177:$B$204,'Key inputs_LNG'!$A$177:$A$204,S$7)/10^3)</f>
        <v>518.0810444</v>
      </c>
      <c r="T31" s="176">
        <f>MAX(SUMIFS('Key inputs_LNG'!$B$143:$B$170,'Key inputs_LNG'!$A$143:$A$170,T$7)/10^3,SUMIFS('Key inputs_LNG'!$B$177:$B$204,'Key inputs_LNG'!$A$177:$A$204,T$7)/10^3)</f>
        <v>422.34867750000001</v>
      </c>
      <c r="U31" s="176">
        <f>MAX(SUMIFS('Key inputs_LNG'!$B$143:$B$170,'Key inputs_LNG'!$A$143:$A$170,U$7)/10^3,SUMIFS('Key inputs_LNG'!$B$177:$B$204,'Key inputs_LNG'!$A$177:$A$204,U$7)/10^3)</f>
        <v>309.72236349999997</v>
      </c>
      <c r="V31" s="176">
        <f>MAX(SUMIFS('Key inputs_LNG'!$B$143:$B$170,'Key inputs_LNG'!$A$143:$A$170,V$7)/10^3,SUMIFS('Key inputs_LNG'!$B$177:$B$204,'Key inputs_LNG'!$A$177:$A$204,V$7)/10^3)</f>
        <v>3451.9965240999986</v>
      </c>
      <c r="W31" s="176">
        <f>MAX(SUMIFS('Key inputs_LNG'!$B$143:$B$170,'Key inputs_LNG'!$A$143:$A$170,W$7)/10^3,SUMIFS('Key inputs_LNG'!$B$177:$B$204,'Key inputs_LNG'!$A$177:$A$204,W$7)/10^3)</f>
        <v>0</v>
      </c>
      <c r="X31" s="176">
        <f>MAX(SUMIFS('Key inputs_LNG'!$B$143:$B$170,'Key inputs_LNG'!$A$143:$A$170,X$7)/10^3,SUMIFS('Key inputs_LNG'!$B$177:$B$204,'Key inputs_LNG'!$A$177:$A$204,X$7)/10^3)</f>
        <v>2145.5312816999999</v>
      </c>
      <c r="Y31" s="176">
        <f>MAX(SUMIFS('Key inputs_LNG'!$B$143:$B$170,'Key inputs_LNG'!$A$143:$A$170,Y$7)/10^3,SUMIFS('Key inputs_LNG'!$B$177:$B$204,'Key inputs_LNG'!$A$177:$A$204,Y$7)/10^3)</f>
        <v>371.66683619999998</v>
      </c>
      <c r="Z31" s="176">
        <f>MAX(SUMIFS('Key inputs_LNG'!$B$143:$B$170,'Key inputs_LNG'!$A$143:$A$170,Z$7)/10^3,SUMIFS('Key inputs_LNG'!$B$177:$B$204,'Key inputs_LNG'!$A$177:$A$204,Z$7)/10^3)</f>
        <v>5079.4467613999996</v>
      </c>
      <c r="AA31" s="176">
        <f>MAX(SUMIFS('Key inputs_LNG'!$B$143:$B$170,'Key inputs_LNG'!$A$143:$A$170,AA$7)/10^3,SUMIFS('Key inputs_LNG'!$B$177:$B$204,'Key inputs_LNG'!$A$177:$A$204,AA$7)/10^3)</f>
        <v>878.4852492</v>
      </c>
      <c r="AB31" s="176">
        <f>MAX(SUMIFS('Key inputs_LNG'!$B$143:$B$170,'Key inputs_LNG'!$A$143:$A$170,AB$7)/10^3,SUMIFS('Key inputs_LNG'!$B$177:$B$204,'Key inputs_LNG'!$A$177:$A$204,AB$7)/10^3)</f>
        <v>484.29315019999996</v>
      </c>
      <c r="AC31" s="176">
        <f>MAX(SUMIFS('Key inputs_LNG'!$B$143:$B$170,'Key inputs_LNG'!$A$143:$A$170,AC$7)/10^3,SUMIFS('Key inputs_LNG'!$B$177:$B$204,'Key inputs_LNG'!$A$177:$A$204,AC$7)/10^3)</f>
        <v>1661.2381315000002</v>
      </c>
      <c r="AD31" s="176">
        <f>MAX(SUMIFS('Key inputs_LNG'!$B$143:$B$170,'Key inputs_LNG'!$A$143:$A$170,AD$7)/10^3,SUMIFS('Key inputs_LNG'!$B$177:$B$204,'Key inputs_LNG'!$A$177:$A$204,AD$7)/10^3)</f>
        <v>11853.919548500002</v>
      </c>
      <c r="AE31" s="176">
        <f>MAX(SUMIFS('Key inputs_LNG'!$B$143:$B$170,'Key inputs_LNG'!$A$143:$A$170,AE$7)/10^3,SUMIFS('Key inputs_LNG'!$B$177:$B$204,'Key inputs_LNG'!$A$177:$A$204,AE$7)/10^3)</f>
        <v>489.92446590000003</v>
      </c>
      <c r="AF31" s="176">
        <f>MAX(SUMIFS('Key inputs_LNG'!$B$143:$B$170,'Key inputs_LNG'!$A$143:$A$170,AF$7)/10^3,SUMIFS('Key inputs_LNG'!$B$177:$B$204,'Key inputs_LNG'!$A$177:$A$204,AF$7)/10^3)</f>
        <v>962.95498469999995</v>
      </c>
      <c r="AG31" s="176">
        <f>MAX(SUMIFS('Key inputs_LNG'!$B$143:$B$170,'Key inputs_LNG'!$A$143:$A$170,AG$7)/10^3,SUMIFS('Key inputs_LNG'!$B$177:$B$204,'Key inputs_LNG'!$A$177:$A$204,AG$7)/10^3)</f>
        <v>664.49525259999984</v>
      </c>
      <c r="AH31" s="176">
        <f>MAX(SUMIFS('Key inputs_LNG'!$B$143:$B$170,'Key inputs_LNG'!$A$143:$A$170,AH$7)/10^3,SUMIFS('Key inputs_LNG'!$B$177:$B$204,'Key inputs_LNG'!$A$177:$A$204,AH$7)/10^3)</f>
        <v>946.06103759999996</v>
      </c>
      <c r="AI31" s="176">
        <f>MAX(SUMIFS('Key inputs_LNG'!$B$143:$B$170,'Key inputs_LNG'!$A$143:$A$170,AI$7)/10^3,SUMIFS('Key inputs_LNG'!$B$177:$B$204,'Key inputs_LNG'!$A$177:$A$204,AI$7)/10^3)</f>
        <v>0</v>
      </c>
      <c r="AJ31" s="176">
        <f>MAX(SUMIFS('Key inputs_LNG'!$B$143:$B$170,'Key inputs_LNG'!$A$143:$A$170,AJ$7)/10^3,SUMIFS('Key inputs_LNG'!$B$177:$B$204,'Key inputs_LNG'!$A$177:$A$204,AJ$7)/10^3)</f>
        <v>0</v>
      </c>
      <c r="AK31" s="176">
        <f>MAX(SUMIFS('Key inputs_LNG'!$B$143:$B$170,'Key inputs_LNG'!$A$143:$A$170,AK$7)/10^3,SUMIFS('Key inputs_LNG'!$B$177:$B$204,'Key inputs_LNG'!$A$177:$A$204,AK$7)/10^3)</f>
        <v>7872.5793485999993</v>
      </c>
      <c r="AL31" s="176">
        <f>MAX(SUMIFS('Key inputs_LNG'!$B$143:$B$170,'Key inputs_LNG'!$A$143:$A$170,AL$7)/10^3,SUMIFS('Key inputs_LNG'!$B$177:$B$204,'Key inputs_LNG'!$A$177:$A$204,AL$7)/10^3)</f>
        <v>2556.6173277999997</v>
      </c>
    </row>
    <row r="32" spans="1:38">
      <c r="G32" s="4" t="s">
        <v>701</v>
      </c>
      <c r="H32" s="4" t="s">
        <v>661</v>
      </c>
      <c r="I32" s="4">
        <v>2019</v>
      </c>
      <c r="J32" s="4" t="s">
        <v>112</v>
      </c>
      <c r="K32" s="333">
        <v>0</v>
      </c>
      <c r="L32" s="333">
        <v>0</v>
      </c>
      <c r="M32" s="333">
        <v>0</v>
      </c>
      <c r="N32" s="333">
        <v>0</v>
      </c>
      <c r="O32" s="333">
        <v>0</v>
      </c>
      <c r="P32" s="333">
        <v>0</v>
      </c>
      <c r="Q32" s="333">
        <v>0</v>
      </c>
      <c r="R32" s="333">
        <v>0</v>
      </c>
      <c r="S32" s="333">
        <v>0</v>
      </c>
      <c r="T32" s="333">
        <v>0</v>
      </c>
      <c r="U32" s="333">
        <v>0</v>
      </c>
      <c r="V32" s="333">
        <v>0</v>
      </c>
      <c r="W32" s="333">
        <v>0</v>
      </c>
      <c r="X32" s="333">
        <v>0</v>
      </c>
      <c r="Y32" s="333">
        <v>0</v>
      </c>
      <c r="Z32" s="333">
        <v>0</v>
      </c>
      <c r="AA32" s="333">
        <v>0</v>
      </c>
      <c r="AB32" s="333">
        <v>0</v>
      </c>
      <c r="AC32" s="333">
        <v>0</v>
      </c>
      <c r="AD32" s="333">
        <v>0</v>
      </c>
      <c r="AE32" s="333">
        <v>0</v>
      </c>
      <c r="AF32" s="333">
        <v>0</v>
      </c>
      <c r="AG32" s="333">
        <v>0</v>
      </c>
      <c r="AH32" s="333">
        <v>0</v>
      </c>
      <c r="AI32" s="333">
        <v>0</v>
      </c>
      <c r="AJ32" s="333">
        <v>0</v>
      </c>
      <c r="AK32" s="333">
        <v>0</v>
      </c>
      <c r="AL32" s="333">
        <v>0</v>
      </c>
    </row>
    <row r="33" spans="1:38">
      <c r="G33" s="4" t="s">
        <v>701</v>
      </c>
      <c r="H33" s="4" t="s">
        <v>661</v>
      </c>
      <c r="I33" s="4">
        <v>2060</v>
      </c>
      <c r="J33" s="4" t="s">
        <v>112</v>
      </c>
      <c r="K33" s="333">
        <v>0</v>
      </c>
      <c r="L33" s="333">
        <v>0</v>
      </c>
      <c r="M33" s="333">
        <v>0</v>
      </c>
      <c r="N33" s="333">
        <v>0</v>
      </c>
      <c r="O33" s="333">
        <v>0</v>
      </c>
      <c r="P33" s="333">
        <v>0</v>
      </c>
      <c r="Q33" s="333">
        <v>0</v>
      </c>
      <c r="R33" s="333">
        <v>0</v>
      </c>
      <c r="S33" s="333">
        <v>0</v>
      </c>
      <c r="T33" s="333">
        <v>0</v>
      </c>
      <c r="U33" s="333">
        <v>0</v>
      </c>
      <c r="V33" s="333">
        <v>0</v>
      </c>
      <c r="W33" s="333">
        <v>0</v>
      </c>
      <c r="X33" s="333">
        <v>0</v>
      </c>
      <c r="Y33" s="333">
        <v>0</v>
      </c>
      <c r="Z33" s="333">
        <v>0</v>
      </c>
      <c r="AA33" s="333">
        <v>0</v>
      </c>
      <c r="AB33" s="333">
        <v>0</v>
      </c>
      <c r="AC33" s="333">
        <v>0</v>
      </c>
      <c r="AD33" s="333">
        <v>0</v>
      </c>
      <c r="AE33" s="333">
        <v>0</v>
      </c>
      <c r="AF33" s="333">
        <v>0</v>
      </c>
      <c r="AG33" s="333">
        <v>0</v>
      </c>
      <c r="AH33" s="333">
        <v>0</v>
      </c>
      <c r="AI33" s="333">
        <v>0</v>
      </c>
      <c r="AJ33" s="333">
        <v>0</v>
      </c>
      <c r="AK33" s="333">
        <v>0</v>
      </c>
      <c r="AL33" s="333">
        <v>0</v>
      </c>
    </row>
    <row r="34" spans="1:38">
      <c r="G34" s="4" t="s">
        <v>701</v>
      </c>
      <c r="H34" s="4" t="s">
        <v>661</v>
      </c>
      <c r="I34" s="4">
        <v>0</v>
      </c>
      <c r="J34" s="4"/>
      <c r="K34" s="333">
        <v>5</v>
      </c>
      <c r="L34" s="333">
        <v>5</v>
      </c>
      <c r="M34" s="333">
        <v>5</v>
      </c>
      <c r="N34" s="333">
        <v>5</v>
      </c>
      <c r="O34" s="333">
        <v>5</v>
      </c>
      <c r="P34" s="333">
        <v>5</v>
      </c>
      <c r="Q34" s="333">
        <v>5</v>
      </c>
      <c r="R34" s="333">
        <v>5</v>
      </c>
      <c r="S34" s="333">
        <v>5</v>
      </c>
      <c r="T34" s="333">
        <v>5</v>
      </c>
      <c r="U34" s="333">
        <v>5</v>
      </c>
      <c r="V34" s="333">
        <v>5</v>
      </c>
      <c r="W34" s="333">
        <v>5</v>
      </c>
      <c r="X34" s="333">
        <v>5</v>
      </c>
      <c r="Y34" s="333">
        <v>5</v>
      </c>
      <c r="Z34" s="333">
        <v>5</v>
      </c>
      <c r="AA34" s="333">
        <v>5</v>
      </c>
      <c r="AB34" s="333">
        <v>5</v>
      </c>
      <c r="AC34" s="333">
        <v>5</v>
      </c>
      <c r="AD34" s="333">
        <v>5</v>
      </c>
      <c r="AE34" s="333">
        <v>5</v>
      </c>
      <c r="AF34" s="333">
        <v>5</v>
      </c>
      <c r="AG34" s="333">
        <v>5</v>
      </c>
      <c r="AH34" s="333">
        <v>5</v>
      </c>
      <c r="AI34" s="333">
        <v>5</v>
      </c>
      <c r="AJ34" s="333">
        <v>5</v>
      </c>
      <c r="AK34" s="333">
        <v>5</v>
      </c>
      <c r="AL34" s="333">
        <v>5</v>
      </c>
    </row>
    <row r="35" spans="1:38">
      <c r="G35" s="4" t="s">
        <v>632</v>
      </c>
      <c r="H35" s="4" t="s">
        <v>661</v>
      </c>
      <c r="I35" s="4">
        <v>2019</v>
      </c>
      <c r="J35" s="4" t="s">
        <v>650</v>
      </c>
      <c r="K35" s="332">
        <f>IFERROR(SUMIFS('Key inputs_LNG'!$B$177:$B$204,'Key inputs_LNG'!$A$177:$A$204,K$7)/K31/10^3,1)</f>
        <v>1</v>
      </c>
      <c r="L35" s="332">
        <f>IFERROR(SUMIFS('Key inputs_LNG'!$B$177:$B$204,'Key inputs_LNG'!$A$177:$A$204,L$7)/L31/10^3,1)</f>
        <v>1.7543859649122803E-2</v>
      </c>
      <c r="M35" s="332">
        <f>IFERROR(SUMIFS('Key inputs_LNG'!$B$177:$B$204,'Key inputs_LNG'!$A$177:$A$204,M$7)/M31/10^3,1)</f>
        <v>1</v>
      </c>
      <c r="N35" s="332">
        <f>IFERROR(SUMIFS('Key inputs_LNG'!$B$177:$B$204,'Key inputs_LNG'!$A$177:$A$204,N$7)/N31/10^3,1)</f>
        <v>1</v>
      </c>
      <c r="O35" s="332">
        <f>IFERROR(SUMIFS('Key inputs_LNG'!$B$177:$B$204,'Key inputs_LNG'!$A$177:$A$204,O$7)/O31/10^3,1)</f>
        <v>1</v>
      </c>
      <c r="P35" s="332">
        <f>IFERROR(SUMIFS('Key inputs_LNG'!$B$177:$B$204,'Key inputs_LNG'!$A$177:$A$204,P$7)/P31/10^3,1)</f>
        <v>1</v>
      </c>
      <c r="Q35" s="332">
        <f>IFERROR(SUMIFS('Key inputs_LNG'!$B$177:$B$204,'Key inputs_LNG'!$A$177:$A$204,Q$7)/Q31/10^3,1)</f>
        <v>0.38926174496644284</v>
      </c>
      <c r="R35" s="332">
        <f>IFERROR(SUMIFS('Key inputs_LNG'!$B$177:$B$204,'Key inputs_LNG'!$A$177:$A$204,R$7)/R31/10^3,1)</f>
        <v>1.0000000000000002</v>
      </c>
      <c r="S35" s="332">
        <f>IFERROR(SUMIFS('Key inputs_LNG'!$B$177:$B$204,'Key inputs_LNG'!$A$177:$A$204,S$7)/S31/10^3,1)</f>
        <v>0.24999999999999997</v>
      </c>
      <c r="T35" s="332">
        <f>IFERROR(SUMIFS('Key inputs_LNG'!$B$177:$B$204,'Key inputs_LNG'!$A$177:$A$204,T$7)/T31/10^3,1)</f>
        <v>5.3333333333333323E-2</v>
      </c>
      <c r="U35" s="332">
        <f>IFERROR(SUMIFS('Key inputs_LNG'!$B$177:$B$204,'Key inputs_LNG'!$A$177:$A$204,U$7)/U31/10^3,1)</f>
        <v>0.43636363636363634</v>
      </c>
      <c r="V35" s="332">
        <f>IFERROR(SUMIFS('Key inputs_LNG'!$B$177:$B$204,'Key inputs_LNG'!$A$177:$A$204,V$7)/V31/10^3,1)</f>
        <v>1</v>
      </c>
      <c r="W35" s="332">
        <f>IFERROR(SUMIFS('Key inputs_LNG'!$B$177:$B$204,'Key inputs_LNG'!$A$177:$A$204,W$7)/W31/10^3,1)</f>
        <v>1</v>
      </c>
      <c r="X35" s="332">
        <f>IFERROR(SUMIFS('Key inputs_LNG'!$B$177:$B$204,'Key inputs_LNG'!$A$177:$A$204,X$7)/X31/10^3,1)</f>
        <v>0.36220472440944873</v>
      </c>
      <c r="Y35" s="332">
        <f>IFERROR(SUMIFS('Key inputs_LNG'!$B$177:$B$204,'Key inputs_LNG'!$A$177:$A$204,Y$7)/Y31/10^3,1)</f>
        <v>0.59090909090909072</v>
      </c>
      <c r="Z35" s="332">
        <f>IFERROR(SUMIFS('Key inputs_LNG'!$B$177:$B$204,'Key inputs_LNG'!$A$177:$A$204,Z$7)/Z31/10^3,1)</f>
        <v>0.53880266075388028</v>
      </c>
      <c r="AA35" s="332">
        <f>IFERROR(SUMIFS('Key inputs_LNG'!$B$177:$B$204,'Key inputs_LNG'!$A$177:$A$204,AA$7)/AA31/10^3,1)</f>
        <v>0.72435897435897412</v>
      </c>
      <c r="AB35" s="332">
        <f>IFERROR(SUMIFS('Key inputs_LNG'!$B$177:$B$204,'Key inputs_LNG'!$A$177:$A$204,AB$7)/AB31/10^3,1)</f>
        <v>0.43023255813953487</v>
      </c>
      <c r="AC35" s="332">
        <f>IFERROR(SUMIFS('Key inputs_LNG'!$B$177:$B$204,'Key inputs_LNG'!$A$177:$A$204,AC$7)/AC31/10^3,1)</f>
        <v>0.80677966101694876</v>
      </c>
      <c r="AD35" s="332">
        <f>IFERROR(SUMIFS('Key inputs_LNG'!$B$177:$B$204,'Key inputs_LNG'!$A$177:$A$204,AD$7)/AD31/10^3,1)</f>
        <v>0.36437054631828963</v>
      </c>
      <c r="AE35" s="332">
        <f>IFERROR(SUMIFS('Key inputs_LNG'!$B$177:$B$204,'Key inputs_LNG'!$A$177:$A$204,AE$7)/AE31/10^3,1)</f>
        <v>0.37931034482758624</v>
      </c>
      <c r="AF35" s="332">
        <f>IFERROR(SUMIFS('Key inputs_LNG'!$B$177:$B$204,'Key inputs_LNG'!$A$177:$A$204,AF$7)/AF31/10^3,1)</f>
        <v>0.67251461988304073</v>
      </c>
      <c r="AG35" s="332">
        <f>IFERROR(SUMIFS('Key inputs_LNG'!$B$177:$B$204,'Key inputs_LNG'!$A$177:$A$204,AG$7)/AG31/10^3,1)</f>
        <v>0.41525423728813571</v>
      </c>
      <c r="AH35" s="332">
        <f>IFERROR(SUMIFS('Key inputs_LNG'!$B$177:$B$204,'Key inputs_LNG'!$A$177:$A$204,AH$7)/AH31/10^3,1)</f>
        <v>0.28571428571428564</v>
      </c>
      <c r="AI35" s="332">
        <f>IFERROR(SUMIFS('Key inputs_LNG'!$B$177:$B$204,'Key inputs_LNG'!$A$177:$A$204,AI$7)/AI31/10^3,1)</f>
        <v>1</v>
      </c>
      <c r="AJ35" s="332">
        <f>IFERROR(SUMIFS('Key inputs_LNG'!$B$177:$B$204,'Key inputs_LNG'!$A$177:$A$204,AJ$7)/AJ31/10^3,1)</f>
        <v>1</v>
      </c>
      <c r="AK35" s="332">
        <f>IFERROR(SUMIFS('Key inputs_LNG'!$B$177:$B$204,'Key inputs_LNG'!$A$177:$A$204,AK$7)/AK31/10^3,1)</f>
        <v>0.40629470672389117</v>
      </c>
      <c r="AL35" s="332">
        <f>IFERROR(SUMIFS('Key inputs_LNG'!$B$177:$B$204,'Key inputs_LNG'!$A$177:$A$204,AL$7)/AL31/10^3,1)</f>
        <v>5.5066079295154197E-2</v>
      </c>
    </row>
    <row r="36" spans="1:38">
      <c r="G36" s="4" t="s">
        <v>632</v>
      </c>
      <c r="H36" s="4" t="s">
        <v>700</v>
      </c>
      <c r="I36" s="4">
        <v>2020</v>
      </c>
      <c r="J36" s="4" t="s">
        <v>650</v>
      </c>
      <c r="K36" s="355">
        <v>0</v>
      </c>
      <c r="L36" s="355">
        <v>0</v>
      </c>
      <c r="M36" s="355">
        <v>0</v>
      </c>
      <c r="N36" s="355">
        <v>0</v>
      </c>
      <c r="O36" s="355">
        <v>0</v>
      </c>
      <c r="P36" s="355">
        <v>0</v>
      </c>
      <c r="Q36" s="355">
        <v>0</v>
      </c>
      <c r="R36" s="355">
        <v>0</v>
      </c>
      <c r="S36" s="355">
        <v>0</v>
      </c>
      <c r="T36" s="355">
        <v>0</v>
      </c>
      <c r="U36" s="355">
        <v>0</v>
      </c>
      <c r="V36" s="355">
        <v>0</v>
      </c>
      <c r="W36" s="355">
        <v>0</v>
      </c>
      <c r="X36" s="355">
        <v>0</v>
      </c>
      <c r="Y36" s="355">
        <v>0</v>
      </c>
      <c r="Z36" s="355">
        <v>0</v>
      </c>
      <c r="AA36" s="355">
        <v>0</v>
      </c>
      <c r="AB36" s="355">
        <v>0</v>
      </c>
      <c r="AC36" s="355">
        <v>0</v>
      </c>
      <c r="AD36" s="355">
        <v>0</v>
      </c>
      <c r="AE36" s="355">
        <v>0</v>
      </c>
      <c r="AF36" s="355">
        <v>0</v>
      </c>
      <c r="AG36" s="355">
        <v>0</v>
      </c>
      <c r="AH36" s="355">
        <v>0</v>
      </c>
      <c r="AI36" s="355">
        <v>0</v>
      </c>
      <c r="AJ36" s="355">
        <v>0</v>
      </c>
      <c r="AK36" s="355">
        <v>0</v>
      </c>
      <c r="AL36" s="355">
        <v>0</v>
      </c>
    </row>
    <row r="37" spans="1:38">
      <c r="G37" s="4" t="s">
        <v>632</v>
      </c>
      <c r="H37" s="4" t="s">
        <v>700</v>
      </c>
      <c r="I37" s="4">
        <v>2060</v>
      </c>
      <c r="J37" s="4" t="s">
        <v>650</v>
      </c>
      <c r="K37" s="355">
        <v>0</v>
      </c>
      <c r="L37" s="355">
        <v>0</v>
      </c>
      <c r="M37" s="355">
        <v>0</v>
      </c>
      <c r="N37" s="355">
        <v>0</v>
      </c>
      <c r="O37" s="355">
        <v>0</v>
      </c>
      <c r="P37" s="355">
        <v>0</v>
      </c>
      <c r="Q37" s="355">
        <v>0</v>
      </c>
      <c r="R37" s="355">
        <v>0</v>
      </c>
      <c r="S37" s="355">
        <v>0</v>
      </c>
      <c r="T37" s="355">
        <v>0</v>
      </c>
      <c r="U37" s="355">
        <v>0</v>
      </c>
      <c r="V37" s="355">
        <v>0</v>
      </c>
      <c r="W37" s="355">
        <v>0</v>
      </c>
      <c r="X37" s="355">
        <v>0</v>
      </c>
      <c r="Y37" s="355">
        <v>0</v>
      </c>
      <c r="Z37" s="355">
        <v>0</v>
      </c>
      <c r="AA37" s="355">
        <v>0</v>
      </c>
      <c r="AB37" s="355">
        <v>0</v>
      </c>
      <c r="AC37" s="355">
        <v>0</v>
      </c>
      <c r="AD37" s="355">
        <v>0</v>
      </c>
      <c r="AE37" s="355">
        <v>0</v>
      </c>
      <c r="AF37" s="355">
        <v>0</v>
      </c>
      <c r="AG37" s="355">
        <v>0</v>
      </c>
      <c r="AH37" s="355">
        <v>0</v>
      </c>
      <c r="AI37" s="355">
        <v>0</v>
      </c>
      <c r="AJ37" s="355">
        <v>0</v>
      </c>
      <c r="AK37" s="355">
        <v>0</v>
      </c>
      <c r="AL37" s="355">
        <v>0</v>
      </c>
    </row>
    <row r="38" spans="1:38">
      <c r="G38" s="4" t="s">
        <v>632</v>
      </c>
      <c r="H38" s="4" t="s">
        <v>700</v>
      </c>
      <c r="I38" s="4">
        <v>0</v>
      </c>
      <c r="J38" s="4"/>
      <c r="K38" s="333">
        <v>5</v>
      </c>
      <c r="L38" s="333">
        <v>5</v>
      </c>
      <c r="M38" s="333">
        <v>5</v>
      </c>
      <c r="N38" s="333">
        <v>5</v>
      </c>
      <c r="O38" s="333">
        <v>5</v>
      </c>
      <c r="P38" s="333">
        <v>5</v>
      </c>
      <c r="Q38" s="333">
        <v>5</v>
      </c>
      <c r="R38" s="333">
        <v>5</v>
      </c>
      <c r="S38" s="333">
        <v>5</v>
      </c>
      <c r="T38" s="333">
        <v>5</v>
      </c>
      <c r="U38" s="333">
        <v>5</v>
      </c>
      <c r="V38" s="333">
        <v>5</v>
      </c>
      <c r="W38" s="333">
        <v>5</v>
      </c>
      <c r="X38" s="333">
        <v>5</v>
      </c>
      <c r="Y38" s="333">
        <v>5</v>
      </c>
      <c r="Z38" s="333">
        <v>5</v>
      </c>
      <c r="AA38" s="333">
        <v>5</v>
      </c>
      <c r="AB38" s="333">
        <v>5</v>
      </c>
      <c r="AC38" s="333">
        <v>5</v>
      </c>
      <c r="AD38" s="333">
        <v>5</v>
      </c>
      <c r="AE38" s="333">
        <v>5</v>
      </c>
      <c r="AF38" s="333">
        <v>5</v>
      </c>
      <c r="AG38" s="333">
        <v>5</v>
      </c>
      <c r="AH38" s="333">
        <v>5</v>
      </c>
      <c r="AI38" s="333">
        <v>5</v>
      </c>
      <c r="AJ38" s="333">
        <v>5</v>
      </c>
      <c r="AK38" s="333">
        <v>5</v>
      </c>
      <c r="AL38" s="333">
        <v>5</v>
      </c>
    </row>
    <row r="39" spans="1:38">
      <c r="G39" s="4" t="s">
        <v>687</v>
      </c>
      <c r="H39" s="4"/>
      <c r="I39" s="4"/>
      <c r="J39" s="4" t="s">
        <v>2663</v>
      </c>
      <c r="K39" s="386">
        <f>'Key inputs_LNG'!$E$213*Consumer_Price_index!$BN$257/Consumer_Price_index!$BJ$257*10^3</f>
        <v>2.440223622384913</v>
      </c>
      <c r="L39" s="386">
        <f>'Key inputs_LNG'!$E$213*Consumer_Price_index!$BN$257/Consumer_Price_index!$BJ$257*10^3</f>
        <v>2.440223622384913</v>
      </c>
      <c r="M39" s="386">
        <f>'Key inputs_LNG'!$E$213*Consumer_Price_index!$BN$257/Consumer_Price_index!$BJ$257*10^3</f>
        <v>2.440223622384913</v>
      </c>
      <c r="N39" s="386">
        <f>'Key inputs_LNG'!$E$213*Consumer_Price_index!$BN$257/Consumer_Price_index!$BJ$257*10^3</f>
        <v>2.440223622384913</v>
      </c>
      <c r="O39" s="386">
        <f>'Key inputs_LNG'!$E$213*Consumer_Price_index!$BN$257/Consumer_Price_index!$BJ$257*10^3</f>
        <v>2.440223622384913</v>
      </c>
      <c r="P39" s="386">
        <f>'Key inputs_LNG'!$E$213*Consumer_Price_index!$BN$257/Consumer_Price_index!$BJ$257*10^3</f>
        <v>2.440223622384913</v>
      </c>
      <c r="Q39" s="386">
        <f>'Key inputs_LNG'!$E$213*Consumer_Price_index!$BN$257/Consumer_Price_index!$BJ$257*10^3</f>
        <v>2.440223622384913</v>
      </c>
      <c r="R39" s="386">
        <f>'Key inputs_LNG'!$E$213*Consumer_Price_index!$BN$257/Consumer_Price_index!$BJ$257*10^3</f>
        <v>2.440223622384913</v>
      </c>
      <c r="S39" s="386">
        <f>'Key inputs_LNG'!$E$213*Consumer_Price_index!$BN$257/Consumer_Price_index!$BJ$257*10^3</f>
        <v>2.440223622384913</v>
      </c>
      <c r="T39" s="386">
        <f>'Key inputs_LNG'!$E$213*Consumer_Price_index!$BN$257/Consumer_Price_index!$BJ$257*10^3</f>
        <v>2.440223622384913</v>
      </c>
      <c r="U39" s="386">
        <f>'Key inputs_LNG'!$E$213*Consumer_Price_index!$BN$257/Consumer_Price_index!$BJ$257*10^3</f>
        <v>2.440223622384913</v>
      </c>
      <c r="V39" s="386">
        <f>'Key inputs_LNG'!$E$213*Consumer_Price_index!$BN$257/Consumer_Price_index!$BJ$257*10^3</f>
        <v>2.440223622384913</v>
      </c>
      <c r="W39" s="386">
        <f>'Key inputs_LNG'!$E$213*Consumer_Price_index!$BN$257/Consumer_Price_index!$BJ$257*10^3</f>
        <v>2.440223622384913</v>
      </c>
      <c r="X39" s="386">
        <f>'Key inputs_LNG'!$E$213*Consumer_Price_index!$BN$257/Consumer_Price_index!$BJ$257*10^3</f>
        <v>2.440223622384913</v>
      </c>
      <c r="Y39" s="386">
        <f>'Key inputs_LNG'!$E$213*Consumer_Price_index!$BN$257/Consumer_Price_index!$BJ$257*10^3</f>
        <v>2.440223622384913</v>
      </c>
      <c r="Z39" s="386">
        <f>'Key inputs_LNG'!$E$213*Consumer_Price_index!$BN$257/Consumer_Price_index!$BJ$257*10^3</f>
        <v>2.440223622384913</v>
      </c>
      <c r="AA39" s="386">
        <f>'Key inputs_LNG'!$E$213*Consumer_Price_index!$BN$257/Consumer_Price_index!$BJ$257*10^3</f>
        <v>2.440223622384913</v>
      </c>
      <c r="AB39" s="386">
        <f>'Key inputs_LNG'!$E$213*Consumer_Price_index!$BN$257/Consumer_Price_index!$BJ$257*10^3</f>
        <v>2.440223622384913</v>
      </c>
      <c r="AC39" s="386">
        <f>'Key inputs_LNG'!$E$213*Consumer_Price_index!$BN$257/Consumer_Price_index!$BJ$257*10^3</f>
        <v>2.440223622384913</v>
      </c>
      <c r="AD39" s="386">
        <f>'Key inputs_LNG'!$E$213*Consumer_Price_index!$BN$257/Consumer_Price_index!$BJ$257*10^3</f>
        <v>2.440223622384913</v>
      </c>
      <c r="AE39" s="386">
        <f>'Key inputs_LNG'!$E$213*Consumer_Price_index!$BN$257/Consumer_Price_index!$BJ$257*10^3</f>
        <v>2.440223622384913</v>
      </c>
      <c r="AF39" s="386">
        <f>'Key inputs_LNG'!$E$213*Consumer_Price_index!$BN$257/Consumer_Price_index!$BJ$257*10^3</f>
        <v>2.440223622384913</v>
      </c>
      <c r="AG39" s="386">
        <f>'Key inputs_LNG'!$E$213*Consumer_Price_index!$BN$257/Consumer_Price_index!$BJ$257*10^3</f>
        <v>2.440223622384913</v>
      </c>
      <c r="AH39" s="386">
        <f>'Key inputs_LNG'!$E$213*Consumer_Price_index!$BN$257/Consumer_Price_index!$BJ$257*10^3</f>
        <v>2.440223622384913</v>
      </c>
      <c r="AI39" s="386">
        <f>'Key inputs_LNG'!$E$213*Consumer_Price_index!$BN$257/Consumer_Price_index!$BJ$257*10^3</f>
        <v>2.440223622384913</v>
      </c>
      <c r="AJ39" s="386">
        <f>'Key inputs_LNG'!$E$213*Consumer_Price_index!$BN$257/Consumer_Price_index!$BJ$257*10^3</f>
        <v>2.440223622384913</v>
      </c>
      <c r="AK39" s="386">
        <f>'Key inputs_LNG'!$E$213*Consumer_Price_index!$BN$257/Consumer_Price_index!$BJ$257*10^3</f>
        <v>2.440223622384913</v>
      </c>
      <c r="AL39" s="386">
        <f>'Key inputs_LNG'!$E$213*Consumer_Price_index!$BN$257/Consumer_Price_index!$BJ$257*10^3</f>
        <v>2.440223622384913</v>
      </c>
    </row>
    <row r="40" spans="1:38">
      <c r="G40" s="4" t="s">
        <v>689</v>
      </c>
      <c r="H40" s="4"/>
      <c r="I40" s="4"/>
      <c r="J40" s="4" t="s">
        <v>2663</v>
      </c>
      <c r="K40" s="355"/>
      <c r="L40" s="355"/>
      <c r="M40" s="355"/>
      <c r="N40" s="355"/>
      <c r="O40" s="355"/>
      <c r="P40" s="355"/>
      <c r="Q40" s="355"/>
      <c r="R40" s="355"/>
      <c r="S40" s="355"/>
      <c r="T40" s="355"/>
      <c r="U40" s="355"/>
      <c r="V40" s="355"/>
      <c r="W40" s="355"/>
      <c r="X40" s="355"/>
      <c r="Y40" s="355"/>
      <c r="Z40" s="355"/>
      <c r="AA40" s="355"/>
      <c r="AB40" s="355"/>
      <c r="AC40" s="355"/>
      <c r="AD40" s="355"/>
      <c r="AE40" s="355"/>
      <c r="AF40" s="355"/>
      <c r="AG40" s="355"/>
      <c r="AH40" s="355"/>
      <c r="AI40" s="355"/>
      <c r="AJ40" s="355"/>
      <c r="AK40" s="355"/>
      <c r="AL40" s="355"/>
    </row>
    <row r="41" spans="1:38">
      <c r="G41" s="4" t="s">
        <v>675</v>
      </c>
      <c r="H41" s="4"/>
      <c r="I41" s="4"/>
      <c r="J41" s="4" t="s">
        <v>2662</v>
      </c>
      <c r="K41" s="355"/>
      <c r="L41" s="355"/>
      <c r="M41" s="355"/>
      <c r="N41" s="355"/>
      <c r="O41" s="355"/>
      <c r="P41" s="355"/>
      <c r="Q41" s="355"/>
      <c r="R41" s="355"/>
      <c r="S41" s="355"/>
      <c r="T41" s="355"/>
      <c r="U41" s="355"/>
      <c r="V41" s="355"/>
      <c r="W41" s="355"/>
      <c r="X41" s="355"/>
      <c r="Y41" s="355"/>
      <c r="Z41" s="355"/>
      <c r="AA41" s="355"/>
      <c r="AB41" s="355"/>
      <c r="AC41" s="355"/>
      <c r="AD41" s="355"/>
      <c r="AE41" s="355"/>
      <c r="AF41" s="355"/>
      <c r="AG41" s="355"/>
      <c r="AH41" s="355"/>
      <c r="AI41" s="355"/>
      <c r="AJ41" s="355"/>
      <c r="AK41" s="355"/>
      <c r="AL41" s="355"/>
    </row>
    <row r="42" spans="1:38">
      <c r="D42" t="str">
        <f>Commodities!$C$25</f>
        <v>GASNAT</v>
      </c>
      <c r="G42" s="4"/>
      <c r="H42" s="4"/>
      <c r="I42" s="4"/>
      <c r="J42" s="4"/>
    </row>
    <row r="43" spans="1:38">
      <c r="C43" t="str">
        <f>Commodities!$C$37</f>
        <v>GASLNG</v>
      </c>
      <c r="F43" t="s">
        <v>368</v>
      </c>
      <c r="G43" s="4" t="s">
        <v>702</v>
      </c>
      <c r="H43" t="s">
        <v>661</v>
      </c>
      <c r="I43" s="4"/>
      <c r="J43" s="4" t="s">
        <v>650</v>
      </c>
      <c r="K43" s="355">
        <v>1</v>
      </c>
      <c r="L43" s="355">
        <v>1</v>
      </c>
      <c r="M43" s="355">
        <v>1</v>
      </c>
      <c r="N43" s="355">
        <v>1</v>
      </c>
      <c r="O43" s="355">
        <v>1</v>
      </c>
      <c r="P43" s="355">
        <v>1</v>
      </c>
      <c r="Q43" s="355">
        <v>1</v>
      </c>
      <c r="R43" s="355">
        <v>1</v>
      </c>
      <c r="S43" s="355">
        <v>1</v>
      </c>
      <c r="T43" s="355">
        <v>1</v>
      </c>
      <c r="U43" s="355">
        <v>1</v>
      </c>
      <c r="V43" s="355">
        <v>1</v>
      </c>
      <c r="W43" s="355">
        <v>1</v>
      </c>
      <c r="X43" s="355">
        <v>1</v>
      </c>
      <c r="Y43" s="355">
        <v>1</v>
      </c>
      <c r="Z43" s="355">
        <v>1</v>
      </c>
      <c r="AA43" s="355">
        <v>1</v>
      </c>
      <c r="AB43" s="355">
        <v>1</v>
      </c>
      <c r="AC43" s="355">
        <v>1</v>
      </c>
      <c r="AD43" s="355">
        <v>1</v>
      </c>
      <c r="AE43" s="355">
        <v>1</v>
      </c>
      <c r="AF43" s="355">
        <v>1</v>
      </c>
      <c r="AG43" s="355">
        <v>1</v>
      </c>
      <c r="AH43" s="355">
        <v>1</v>
      </c>
      <c r="AI43" s="355">
        <v>1</v>
      </c>
      <c r="AJ43" s="355">
        <v>1</v>
      </c>
      <c r="AK43" s="355">
        <v>1</v>
      </c>
      <c r="AL43" s="355">
        <v>1</v>
      </c>
    </row>
    <row r="44" spans="1:38">
      <c r="E44" t="s">
        <v>368</v>
      </c>
      <c r="F44" t="s">
        <v>691</v>
      </c>
      <c r="G44" s="4" t="s">
        <v>692</v>
      </c>
      <c r="H44" s="4"/>
      <c r="I44" s="4"/>
      <c r="J44" s="4" t="s">
        <v>2664</v>
      </c>
      <c r="K44" s="355">
        <v>1</v>
      </c>
      <c r="L44" s="355">
        <v>1</v>
      </c>
      <c r="M44" s="355">
        <v>1</v>
      </c>
      <c r="N44" s="355">
        <v>1</v>
      </c>
      <c r="O44" s="355">
        <v>1</v>
      </c>
      <c r="P44" s="355">
        <v>1</v>
      </c>
      <c r="Q44" s="355">
        <v>1</v>
      </c>
      <c r="R44" s="355">
        <v>1</v>
      </c>
      <c r="S44" s="355">
        <v>1</v>
      </c>
      <c r="T44" s="355">
        <v>1</v>
      </c>
      <c r="U44" s="355">
        <v>1</v>
      </c>
      <c r="V44" s="355">
        <v>1</v>
      </c>
      <c r="W44" s="355">
        <v>1</v>
      </c>
      <c r="X44" s="355">
        <v>1</v>
      </c>
      <c r="Y44" s="355">
        <v>1</v>
      </c>
      <c r="Z44" s="355">
        <v>1</v>
      </c>
      <c r="AA44" s="355">
        <v>1</v>
      </c>
      <c r="AB44" s="355">
        <v>1</v>
      </c>
      <c r="AC44" s="355">
        <v>1</v>
      </c>
      <c r="AD44" s="355">
        <v>1</v>
      </c>
      <c r="AE44" s="355">
        <v>1</v>
      </c>
      <c r="AF44" s="355">
        <v>1</v>
      </c>
      <c r="AG44" s="355">
        <v>1</v>
      </c>
      <c r="AH44" s="355">
        <v>1</v>
      </c>
      <c r="AI44" s="355">
        <v>1</v>
      </c>
      <c r="AJ44" s="355">
        <v>1</v>
      </c>
      <c r="AK44" s="355">
        <v>1</v>
      </c>
      <c r="AL44" s="355">
        <v>1</v>
      </c>
    </row>
    <row r="45" spans="1:38">
      <c r="E45" s="4" t="s">
        <v>359</v>
      </c>
      <c r="F45" s="4" t="s">
        <v>691</v>
      </c>
      <c r="G45" s="4" t="s">
        <v>692</v>
      </c>
      <c r="J45" s="4" t="s">
        <v>2664</v>
      </c>
      <c r="K45" s="173" t="str">
        <f>IFERROR(-K$31*K$29*K35/('Key inputs_LNG'!E239/10^3),"")</f>
        <v/>
      </c>
      <c r="L45" s="173">
        <f>IFERROR(-L$31*L$29*L35/('Key inputs_LNG'!F239/10^3),"")</f>
        <v>57.339342859156822</v>
      </c>
      <c r="M45" s="173" t="str">
        <f>IFERROR(-M$31*M$29*M35/('Key inputs_LNG'!G239/10^3),"")</f>
        <v/>
      </c>
      <c r="N45" s="173" t="str">
        <f>IFERROR(-N$31*N$29*N35/('Key inputs_LNG'!H239/10^3),"")</f>
        <v/>
      </c>
      <c r="O45" s="173" t="str">
        <f>IFERROR(-O$31*O$29*O35/('Key inputs_LNG'!I239/10^3),"")</f>
        <v/>
      </c>
      <c r="P45" s="173" t="str">
        <f>IFERROR(-P$31*P$29*P35/('Key inputs_LNG'!J239/10^3),"")</f>
        <v/>
      </c>
      <c r="Q45" s="173">
        <f>IFERROR(-Q$31*Q$29*Q35/('Key inputs_LNG'!K239/10^3),"")</f>
        <v>76.174050810821782</v>
      </c>
      <c r="R45" s="173" t="str">
        <f>IFERROR(-R$31*R$29*R35/('Key inputs_LNG'!L239/10^3),"")</f>
        <v/>
      </c>
      <c r="S45" s="173" t="str">
        <f>IFERROR(-S$31*S$29*S35/('Key inputs_LNG'!M239/10^3),"")</f>
        <v/>
      </c>
      <c r="T45" s="173" t="str">
        <f>IFERROR(-T$31*T$29*T35/('Key inputs_LNG'!N239/10^3),"")</f>
        <v/>
      </c>
      <c r="U45" s="173">
        <f>IFERROR(-U$31*U$29*U35/('Key inputs_LNG'!O239/10^3),"")</f>
        <v>156.38461872117745</v>
      </c>
      <c r="V45" s="173" t="str">
        <f>IFERROR(-V$31*V$29*V35/('Key inputs_LNG'!P239/10^3),"")</f>
        <v/>
      </c>
      <c r="W45" s="173" t="str">
        <f>IFERROR(-W$31*W$29*W35/('Key inputs_LNG'!Q239/10^3),"")</f>
        <v/>
      </c>
      <c r="X45" s="173">
        <f>IFERROR(-X$31*X$29*X35/('Key inputs_LNG'!R239/10^3),"")</f>
        <v>301.47510862595578</v>
      </c>
      <c r="Y45" s="173">
        <f>IFERROR(-Y$31*Y$29*Y35/('Key inputs_LNG'!S239/10^3),"")</f>
        <v>96.273622799696284</v>
      </c>
      <c r="Z45" s="173">
        <f>IFERROR(-Z$31*Z$29*Z35/('Key inputs_LNG'!T239/10^3),"")</f>
        <v>657.70219823865705</v>
      </c>
      <c r="AA45" s="173">
        <f>IFERROR(-AA$31*AA$29*AA35/('Key inputs_LNG'!U239/10^3),"")</f>
        <v>304.8513014200679</v>
      </c>
      <c r="AB45" s="173" t="str">
        <f>IFERROR(-AB$31*AB$29*AB35/('Key inputs_LNG'!V239/10^3),"")</f>
        <v/>
      </c>
      <c r="AC45" s="173" t="str">
        <f>IFERROR(-AC$31*AC$29*AC35/('Key inputs_LNG'!W239/10^3),"")</f>
        <v/>
      </c>
      <c r="AD45" s="173">
        <f>IFERROR(-AD$31*AD$29*AD35/('Key inputs_LNG'!X239/10^3),"")</f>
        <v>194.83396660798545</v>
      </c>
      <c r="AE45" s="173">
        <f>IFERROR(-AE$31*AE$29*AE35/('Key inputs_LNG'!Y239/10^3),"")</f>
        <v>69.142041182003553</v>
      </c>
      <c r="AF45" s="173" t="str">
        <f>IFERROR(-AF$31*AF$29*AF35/('Key inputs_LNG'!Z239/10^3),"")</f>
        <v/>
      </c>
      <c r="AG45" s="173">
        <f>IFERROR(-AG$31*AG$29*AG35/('Key inputs_LNG'!AA239/10^3),"")</f>
        <v>80.765941598562193</v>
      </c>
      <c r="AH45" s="173" t="str">
        <f>IFERROR(-AH$31*AH$29*AH35/('Key inputs_LNG'!AB239/10^3),"")</f>
        <v/>
      </c>
      <c r="AI45" s="173" t="str">
        <f>IFERROR(-AI$31*AI$29*AI35/('Key inputs_LNG'!AC239/10^3),"")</f>
        <v/>
      </c>
      <c r="AJ45" s="173" t="str">
        <f>IFERROR(-AJ$31*AJ$29*AJ35/('Key inputs_LNG'!AD239/10^3),"")</f>
        <v/>
      </c>
      <c r="AK45" s="173">
        <f>IFERROR(-AK$31*AK$29*AK35/('Key inputs_LNG'!AE239/10^3),"")</f>
        <v>694.59007982627554</v>
      </c>
      <c r="AL45" s="173" t="str">
        <f>IFERROR(-AL$31*AL$29*AL35/('Key inputs_LNG'!AF239/10^3),"")</f>
        <v/>
      </c>
    </row>
    <row r="46" spans="1:38">
      <c r="C46" t="str">
        <f>Commodities!$C$91</f>
        <v>UPSELC</v>
      </c>
      <c r="F46" s="4" t="s">
        <v>359</v>
      </c>
      <c r="G46" s="4" t="s">
        <v>702</v>
      </c>
      <c r="H46" t="s">
        <v>661</v>
      </c>
      <c r="I46">
        <v>2019</v>
      </c>
      <c r="J46" t="s">
        <v>650</v>
      </c>
      <c r="K46" s="209" t="str">
        <f>IFERROR('Key inputs_LNG'!E237/'Key inputs_LNG'!E$239,"")</f>
        <v/>
      </c>
      <c r="L46" s="209">
        <f>IFERROR('Key inputs_LNG'!F237/'Key inputs_LNG'!F$239,"")</f>
        <v>5.7772599943996319E-3</v>
      </c>
      <c r="M46" s="209" t="str">
        <f>IFERROR('Key inputs_LNG'!G237/'Key inputs_LNG'!G$239,"")</f>
        <v/>
      </c>
      <c r="N46" s="209" t="str">
        <f>IFERROR('Key inputs_LNG'!H237/'Key inputs_LNG'!H$239,"")</f>
        <v/>
      </c>
      <c r="O46" s="209" t="str">
        <f>IFERROR('Key inputs_LNG'!I237/'Key inputs_LNG'!I$239,"")</f>
        <v/>
      </c>
      <c r="P46" s="209" t="str">
        <f>IFERROR('Key inputs_LNG'!J237/'Key inputs_LNG'!J$239,"")</f>
        <v/>
      </c>
      <c r="Q46" s="209">
        <f>IFERROR('Key inputs_LNG'!K237/'Key inputs_LNG'!K$239,"")</f>
        <v>4.6780242453129551E-3</v>
      </c>
      <c r="R46" s="209" t="str">
        <f>IFERROR('Key inputs_LNG'!L237/'Key inputs_LNG'!L$239,"")</f>
        <v/>
      </c>
      <c r="S46" s="209" t="str">
        <f>IFERROR('Key inputs_LNG'!M237/'Key inputs_LNG'!M$239,"")</f>
        <v/>
      </c>
      <c r="T46" s="209" t="str">
        <f>IFERROR('Key inputs_LNG'!N237/'Key inputs_LNG'!N$239,"")</f>
        <v/>
      </c>
      <c r="U46" s="209">
        <f>IFERROR('Key inputs_LNG'!O237/'Key inputs_LNG'!O$239,"")</f>
        <v>0.66234199049713571</v>
      </c>
      <c r="V46" s="209" t="str">
        <f>IFERROR('Key inputs_LNG'!P237/'Key inputs_LNG'!P$239,"")</f>
        <v/>
      </c>
      <c r="W46" s="209" t="str">
        <f>IFERROR('Key inputs_LNG'!Q237/'Key inputs_LNG'!Q$239,"")</f>
        <v/>
      </c>
      <c r="X46" s="209">
        <f>IFERROR('Key inputs_LNG'!R237/'Key inputs_LNG'!R$239,"")</f>
        <v>0</v>
      </c>
      <c r="Y46" s="209">
        <f>IFERROR('Key inputs_LNG'!S237/'Key inputs_LNG'!S$239,"")</f>
        <v>6.2948535096201491E-2</v>
      </c>
      <c r="Z46" s="209">
        <f>IFERROR('Key inputs_LNG'!T237/'Key inputs_LNG'!T$239,"")</f>
        <v>0</v>
      </c>
      <c r="AA46" s="209">
        <f>IFERROR('Key inputs_LNG'!U237/'Key inputs_LNG'!U$239,"")</f>
        <v>0.10446290828929858</v>
      </c>
      <c r="AB46" s="209" t="str">
        <f>IFERROR('Key inputs_LNG'!V237/'Key inputs_LNG'!V$239,"")</f>
        <v/>
      </c>
      <c r="AC46" s="209" t="str">
        <f>IFERROR('Key inputs_LNG'!W237/'Key inputs_LNG'!W$239,"")</f>
        <v/>
      </c>
      <c r="AD46" s="209">
        <f>IFERROR('Key inputs_LNG'!X237/'Key inputs_LNG'!X$239,"")</f>
        <v>9.7091051436514766E-2</v>
      </c>
      <c r="AE46" s="209">
        <f>IFERROR('Key inputs_LNG'!Y237/'Key inputs_LNG'!Y$239,"")</f>
        <v>0</v>
      </c>
      <c r="AF46" s="209" t="str">
        <f>IFERROR('Key inputs_LNG'!Z237/'Key inputs_LNG'!Z$239,"")</f>
        <v/>
      </c>
      <c r="AG46" s="209">
        <f>IFERROR('Key inputs_LNG'!AA237/'Key inputs_LNG'!AA$239,"")</f>
        <v>0</v>
      </c>
      <c r="AH46" s="209" t="str">
        <f>IFERROR('Key inputs_LNG'!AB237/'Key inputs_LNG'!AB$239,"")</f>
        <v/>
      </c>
      <c r="AI46" s="209" t="str">
        <f>IFERROR('Key inputs_LNG'!AC237/'Key inputs_LNG'!AC$239,"")</f>
        <v/>
      </c>
      <c r="AJ46" s="209" t="str">
        <f>IFERROR('Key inputs_LNG'!AD237/'Key inputs_LNG'!AD$239,"")</f>
        <v/>
      </c>
      <c r="AK46" s="209">
        <f>IFERROR('Key inputs_LNG'!AE237/'Key inputs_LNG'!AE$239,"")</f>
        <v>0</v>
      </c>
      <c r="AL46" s="209" t="str">
        <f>IFERROR('Key inputs_LNG'!AF237/'Key inputs_LNG'!AF$239,"")</f>
        <v/>
      </c>
    </row>
    <row r="47" spans="1:38" ht="16.2" thickBot="1">
      <c r="A47" s="236"/>
      <c r="B47" s="405"/>
      <c r="C47" s="405" t="s">
        <v>541</v>
      </c>
      <c r="D47" s="405"/>
      <c r="E47" s="405"/>
      <c r="F47" s="406" t="s">
        <v>359</v>
      </c>
      <c r="G47" s="406" t="s">
        <v>702</v>
      </c>
      <c r="H47" s="405" t="s">
        <v>661</v>
      </c>
      <c r="I47" s="405">
        <v>2019</v>
      </c>
      <c r="J47" s="405" t="s">
        <v>650</v>
      </c>
      <c r="K47" s="407" t="str">
        <f>IFERROR('Key inputs_LNG'!E238/'Key inputs_LNG'!E$239,"")</f>
        <v/>
      </c>
      <c r="L47" s="407">
        <f>IFERROR('Key inputs_LNG'!F238/'Key inputs_LNG'!F$239,"")</f>
        <v>0.99422274000560051</v>
      </c>
      <c r="M47" s="407" t="str">
        <f>IFERROR('Key inputs_LNG'!G238/'Key inputs_LNG'!G$239,"")</f>
        <v/>
      </c>
      <c r="N47" s="407" t="str">
        <f>IFERROR('Key inputs_LNG'!H238/'Key inputs_LNG'!H$239,"")</f>
        <v/>
      </c>
      <c r="O47" s="407" t="str">
        <f>IFERROR('Key inputs_LNG'!I238/'Key inputs_LNG'!I$239,"")</f>
        <v/>
      </c>
      <c r="P47" s="407" t="str">
        <f>IFERROR('Key inputs_LNG'!J238/'Key inputs_LNG'!J$239,"")</f>
        <v/>
      </c>
      <c r="Q47" s="407">
        <f>IFERROR('Key inputs_LNG'!K238/'Key inputs_LNG'!K$239,"")</f>
        <v>0.99532197575468695</v>
      </c>
      <c r="R47" s="407" t="str">
        <f>IFERROR('Key inputs_LNG'!L238/'Key inputs_LNG'!L$239,"")</f>
        <v/>
      </c>
      <c r="S47" s="407" t="str">
        <f>IFERROR('Key inputs_LNG'!M238/'Key inputs_LNG'!M$239,"")</f>
        <v/>
      </c>
      <c r="T47" s="407" t="str">
        <f>IFERROR('Key inputs_LNG'!N238/'Key inputs_LNG'!N$239,"")</f>
        <v/>
      </c>
      <c r="U47" s="407">
        <f>IFERROR('Key inputs_LNG'!O238/'Key inputs_LNG'!O$239,"")</f>
        <v>0.33765800950286434</v>
      </c>
      <c r="V47" s="407" t="str">
        <f>IFERROR('Key inputs_LNG'!P238/'Key inputs_LNG'!P$239,"")</f>
        <v/>
      </c>
      <c r="W47" s="407" t="str">
        <f>IFERROR('Key inputs_LNG'!Q238/'Key inputs_LNG'!Q$239,"")</f>
        <v/>
      </c>
      <c r="X47" s="407">
        <f>IFERROR('Key inputs_LNG'!R238/'Key inputs_LNG'!R$239,"")</f>
        <v>1</v>
      </c>
      <c r="Y47" s="407">
        <f>IFERROR('Key inputs_LNG'!S238/'Key inputs_LNG'!S$239,"")</f>
        <v>0.93705146490379854</v>
      </c>
      <c r="Z47" s="407">
        <f>IFERROR('Key inputs_LNG'!T238/'Key inputs_LNG'!T$239,"")</f>
        <v>1</v>
      </c>
      <c r="AA47" s="407">
        <f>IFERROR('Key inputs_LNG'!U238/'Key inputs_LNG'!U$239,"")</f>
        <v>0.8955370917107015</v>
      </c>
      <c r="AB47" s="407" t="str">
        <f>IFERROR('Key inputs_LNG'!V238/'Key inputs_LNG'!V$239,"")</f>
        <v/>
      </c>
      <c r="AC47" s="407" t="str">
        <f>IFERROR('Key inputs_LNG'!W238/'Key inputs_LNG'!W$239,"")</f>
        <v/>
      </c>
      <c r="AD47" s="407">
        <f>IFERROR('Key inputs_LNG'!X238/'Key inputs_LNG'!X$239,"")</f>
        <v>0.90290894856348525</v>
      </c>
      <c r="AE47" s="407">
        <f>IFERROR('Key inputs_LNG'!Y238/'Key inputs_LNG'!Y$239,"")</f>
        <v>1</v>
      </c>
      <c r="AF47" s="407" t="str">
        <f>IFERROR('Key inputs_LNG'!Z238/'Key inputs_LNG'!Z$239,"")</f>
        <v/>
      </c>
      <c r="AG47" s="407">
        <f>IFERROR('Key inputs_LNG'!AA238/'Key inputs_LNG'!AA$239,"")</f>
        <v>1</v>
      </c>
      <c r="AH47" s="407" t="str">
        <f>IFERROR('Key inputs_LNG'!AB238/'Key inputs_LNG'!AB$239,"")</f>
        <v/>
      </c>
      <c r="AI47" s="407" t="str">
        <f>IFERROR('Key inputs_LNG'!AC238/'Key inputs_LNG'!AC$239,"")</f>
        <v/>
      </c>
      <c r="AJ47" s="407" t="str">
        <f>IFERROR('Key inputs_LNG'!AD238/'Key inputs_LNG'!AD$239,"")</f>
        <v/>
      </c>
      <c r="AK47" s="407">
        <f>IFERROR('Key inputs_LNG'!AE238/'Key inputs_LNG'!AE$239,"")</f>
        <v>1</v>
      </c>
      <c r="AL47" s="407" t="str">
        <f>IFERROR('Key inputs_LNG'!AF238/'Key inputs_LNG'!AF$239,"")</f>
        <v/>
      </c>
    </row>
    <row r="48" spans="1:38" ht="16.2" thickTop="1">
      <c r="A48" t="str">
        <f>AO12</f>
        <v>U-TRF-LNG-Liquefaction_01</v>
      </c>
      <c r="B48" t="str">
        <f>AP12</f>
        <v>UPS Transformation: LNG liquefaction - New</v>
      </c>
      <c r="G48" s="4" t="s">
        <v>695</v>
      </c>
      <c r="H48" s="4"/>
      <c r="I48" s="4"/>
      <c r="J48" s="4" t="s">
        <v>2665</v>
      </c>
      <c r="K48" s="355">
        <v>1</v>
      </c>
      <c r="L48" s="355">
        <v>1</v>
      </c>
      <c r="M48" s="355">
        <v>1</v>
      </c>
      <c r="N48" s="355">
        <v>1</v>
      </c>
      <c r="O48" s="355">
        <v>1</v>
      </c>
      <c r="P48" s="355">
        <v>1</v>
      </c>
      <c r="Q48" s="355">
        <v>1</v>
      </c>
      <c r="R48" s="355">
        <v>1</v>
      </c>
      <c r="S48" s="355">
        <v>1</v>
      </c>
      <c r="T48" s="355">
        <v>1</v>
      </c>
      <c r="U48" s="355">
        <v>1</v>
      </c>
      <c r="V48" s="355">
        <v>1</v>
      </c>
      <c r="W48" s="355">
        <v>1</v>
      </c>
      <c r="X48" s="355">
        <v>1</v>
      </c>
      <c r="Y48" s="355">
        <v>1</v>
      </c>
      <c r="Z48" s="355">
        <v>1</v>
      </c>
      <c r="AA48" s="355">
        <v>1</v>
      </c>
      <c r="AB48" s="355">
        <v>1</v>
      </c>
      <c r="AC48" s="355">
        <v>1</v>
      </c>
      <c r="AD48" s="355">
        <v>1</v>
      </c>
      <c r="AE48" s="355">
        <v>1</v>
      </c>
      <c r="AF48" s="355">
        <v>1</v>
      </c>
      <c r="AG48" s="355">
        <v>1</v>
      </c>
      <c r="AH48" s="355">
        <v>1</v>
      </c>
      <c r="AI48" s="355">
        <v>1</v>
      </c>
      <c r="AJ48" s="355">
        <v>1</v>
      </c>
      <c r="AK48" s="355">
        <v>1</v>
      </c>
      <c r="AL48" s="355">
        <v>1</v>
      </c>
    </row>
    <row r="49" spans="1:38">
      <c r="G49" s="4" t="s">
        <v>697</v>
      </c>
      <c r="H49" s="4"/>
      <c r="I49" s="4"/>
      <c r="J49" s="4" t="s">
        <v>698</v>
      </c>
      <c r="K49" s="385">
        <f>'Key inputs_LNG'!$B$216</f>
        <v>20</v>
      </c>
      <c r="L49" s="385">
        <f>'Key inputs_LNG'!$B$216</f>
        <v>20</v>
      </c>
      <c r="M49" s="385">
        <f>'Key inputs_LNG'!$B$216</f>
        <v>20</v>
      </c>
      <c r="N49" s="385">
        <f>'Key inputs_LNG'!$B$216</f>
        <v>20</v>
      </c>
      <c r="O49" s="385">
        <f>'Key inputs_LNG'!$B$216</f>
        <v>20</v>
      </c>
      <c r="P49" s="385">
        <f>'Key inputs_LNG'!$B$216</f>
        <v>20</v>
      </c>
      <c r="Q49" s="385">
        <f>'Key inputs_LNG'!$B$216</f>
        <v>20</v>
      </c>
      <c r="R49" s="385">
        <f>'Key inputs_LNG'!$B$216</f>
        <v>20</v>
      </c>
      <c r="S49" s="385">
        <f>'Key inputs_LNG'!$B$216</f>
        <v>20</v>
      </c>
      <c r="T49" s="385">
        <f>'Key inputs_LNG'!$B$216</f>
        <v>20</v>
      </c>
      <c r="U49" s="385">
        <f>'Key inputs_LNG'!$B$216</f>
        <v>20</v>
      </c>
      <c r="V49" s="385">
        <f>'Key inputs_LNG'!$B$216</f>
        <v>20</v>
      </c>
      <c r="W49" s="385">
        <f>'Key inputs_LNG'!$B$216</f>
        <v>20</v>
      </c>
      <c r="X49" s="385">
        <f>'Key inputs_LNG'!$B$216</f>
        <v>20</v>
      </c>
      <c r="Y49" s="385">
        <f>'Key inputs_LNG'!$B$216</f>
        <v>20</v>
      </c>
      <c r="Z49" s="385">
        <f>'Key inputs_LNG'!$B$216</f>
        <v>20</v>
      </c>
      <c r="AA49" s="385">
        <f>'Key inputs_LNG'!$B$216</f>
        <v>20</v>
      </c>
      <c r="AB49" s="385">
        <f>'Key inputs_LNG'!$B$216</f>
        <v>20</v>
      </c>
      <c r="AC49" s="385">
        <f>'Key inputs_LNG'!$B$216</f>
        <v>20</v>
      </c>
      <c r="AD49" s="385">
        <f>'Key inputs_LNG'!$B$216</f>
        <v>20</v>
      </c>
      <c r="AE49" s="385">
        <f>'Key inputs_LNG'!$B$216</f>
        <v>20</v>
      </c>
      <c r="AF49" s="385">
        <f>'Key inputs_LNG'!$B$216</f>
        <v>20</v>
      </c>
      <c r="AG49" s="385">
        <f>'Key inputs_LNG'!$B$216</f>
        <v>20</v>
      </c>
      <c r="AH49" s="385">
        <f>'Key inputs_LNG'!$B$216</f>
        <v>20</v>
      </c>
      <c r="AI49" s="385">
        <f>'Key inputs_LNG'!$B$216</f>
        <v>20</v>
      </c>
      <c r="AJ49" s="385">
        <f>'Key inputs_LNG'!$B$216</f>
        <v>20</v>
      </c>
      <c r="AK49" s="385">
        <f>'Key inputs_LNG'!$B$216</f>
        <v>20</v>
      </c>
      <c r="AL49" s="385">
        <f>'Key inputs_LNG'!$B$216</f>
        <v>20</v>
      </c>
    </row>
    <row r="50" spans="1:38">
      <c r="G50" s="4" t="s">
        <v>707</v>
      </c>
      <c r="H50" s="4"/>
      <c r="I50" s="4"/>
      <c r="J50" s="4"/>
      <c r="K50" s="385">
        <v>2020</v>
      </c>
      <c r="L50" s="385">
        <v>2020</v>
      </c>
      <c r="M50" s="385">
        <v>2020</v>
      </c>
      <c r="N50" s="385">
        <v>2020</v>
      </c>
      <c r="O50" s="385">
        <v>2020</v>
      </c>
      <c r="P50" s="385">
        <v>2020</v>
      </c>
      <c r="Q50" s="385">
        <v>2020</v>
      </c>
      <c r="R50" s="385">
        <v>2020</v>
      </c>
      <c r="S50" s="385">
        <v>2020</v>
      </c>
      <c r="T50" s="385">
        <v>2020</v>
      </c>
      <c r="U50" s="385">
        <v>2020</v>
      </c>
      <c r="V50" s="385">
        <v>2020</v>
      </c>
      <c r="W50" s="385">
        <v>2020</v>
      </c>
      <c r="X50" s="385">
        <v>2020</v>
      </c>
      <c r="Y50" s="385">
        <v>2020</v>
      </c>
      <c r="Z50" s="385">
        <v>2020</v>
      </c>
      <c r="AA50" s="385">
        <v>2020</v>
      </c>
      <c r="AB50" s="385">
        <v>2020</v>
      </c>
      <c r="AC50" s="385">
        <v>2020</v>
      </c>
      <c r="AD50" s="385">
        <v>2020</v>
      </c>
      <c r="AE50" s="385">
        <v>2020</v>
      </c>
      <c r="AF50" s="385">
        <v>2020</v>
      </c>
      <c r="AG50" s="385">
        <v>2020</v>
      </c>
      <c r="AH50" s="385">
        <v>2020</v>
      </c>
      <c r="AI50" s="385">
        <v>2020</v>
      </c>
      <c r="AJ50" s="385">
        <v>2020</v>
      </c>
      <c r="AK50" s="385">
        <v>2020</v>
      </c>
      <c r="AL50" s="385">
        <v>2020</v>
      </c>
    </row>
    <row r="51" spans="1:38">
      <c r="G51" s="4" t="s">
        <v>687</v>
      </c>
      <c r="H51" s="4"/>
      <c r="I51" s="4"/>
      <c r="J51" s="4" t="s">
        <v>2663</v>
      </c>
      <c r="K51" s="386">
        <f>'Key inputs_LNG'!$D$213*Consumer_Price_index!$BN$257/Consumer_Price_index!$BK$257*10^3</f>
        <v>29.87938894032677</v>
      </c>
      <c r="L51" s="386">
        <f>'Key inputs_LNG'!$D$213*Consumer_Price_index!$BN$257/Consumer_Price_index!$BK$257*10^3</f>
        <v>29.87938894032677</v>
      </c>
      <c r="M51" s="386">
        <f>'Key inputs_LNG'!$D$213*Consumer_Price_index!$BN$257/Consumer_Price_index!$BK$257*10^3</f>
        <v>29.87938894032677</v>
      </c>
      <c r="N51" s="386">
        <f>'Key inputs_LNG'!$D$213*Consumer_Price_index!$BN$257/Consumer_Price_index!$BK$257*10^3</f>
        <v>29.87938894032677</v>
      </c>
      <c r="O51" s="386">
        <f>'Key inputs_LNG'!$D$213*Consumer_Price_index!$BN$257/Consumer_Price_index!$BK$257*10^3</f>
        <v>29.87938894032677</v>
      </c>
      <c r="P51" s="386">
        <f>'Key inputs_LNG'!$D$213*Consumer_Price_index!$BN$257/Consumer_Price_index!$BK$257*10^3</f>
        <v>29.87938894032677</v>
      </c>
      <c r="Q51" s="386">
        <f>'Key inputs_LNG'!$D$213*Consumer_Price_index!$BN$257/Consumer_Price_index!$BK$257*10^3</f>
        <v>29.87938894032677</v>
      </c>
      <c r="R51" s="386">
        <f>'Key inputs_LNG'!$D$213*Consumer_Price_index!$BN$257/Consumer_Price_index!$BK$257*10^3</f>
        <v>29.87938894032677</v>
      </c>
      <c r="S51" s="386">
        <f>'Key inputs_LNG'!$D$213*Consumer_Price_index!$BN$257/Consumer_Price_index!$BK$257*10^3</f>
        <v>29.87938894032677</v>
      </c>
      <c r="T51" s="386">
        <f>'Key inputs_LNG'!$D$213*Consumer_Price_index!$BN$257/Consumer_Price_index!$BK$257*10^3</f>
        <v>29.87938894032677</v>
      </c>
      <c r="U51" s="386">
        <f>'Key inputs_LNG'!$D$213*Consumer_Price_index!$BN$257/Consumer_Price_index!$BK$257*10^3</f>
        <v>29.87938894032677</v>
      </c>
      <c r="V51" s="386">
        <f>'Key inputs_LNG'!$D$213*Consumer_Price_index!$BN$257/Consumer_Price_index!$BK$257*10^3</f>
        <v>29.87938894032677</v>
      </c>
      <c r="W51" s="386">
        <f>'Key inputs_LNG'!$D$213*Consumer_Price_index!$BN$257/Consumer_Price_index!$BK$257*10^3</f>
        <v>29.87938894032677</v>
      </c>
      <c r="X51" s="386">
        <f>'Key inputs_LNG'!$D$213*Consumer_Price_index!$BN$257/Consumer_Price_index!$BK$257*10^3</f>
        <v>29.87938894032677</v>
      </c>
      <c r="Y51" s="386">
        <f>'Key inputs_LNG'!$D$213*Consumer_Price_index!$BN$257/Consumer_Price_index!$BK$257*10^3</f>
        <v>29.87938894032677</v>
      </c>
      <c r="Z51" s="386">
        <f>'Key inputs_LNG'!$D$213*Consumer_Price_index!$BN$257/Consumer_Price_index!$BK$257*10^3</f>
        <v>29.87938894032677</v>
      </c>
      <c r="AA51" s="386">
        <f>'Key inputs_LNG'!$D$213*Consumer_Price_index!$BN$257/Consumer_Price_index!$BK$257*10^3</f>
        <v>29.87938894032677</v>
      </c>
      <c r="AB51" s="386">
        <f>'Key inputs_LNG'!$D$213*Consumer_Price_index!$BN$257/Consumer_Price_index!$BK$257*10^3</f>
        <v>29.87938894032677</v>
      </c>
      <c r="AC51" s="386">
        <f>'Key inputs_LNG'!$D$213*Consumer_Price_index!$BN$257/Consumer_Price_index!$BK$257*10^3</f>
        <v>29.87938894032677</v>
      </c>
      <c r="AD51" s="386">
        <f>'Key inputs_LNG'!$D$213*Consumer_Price_index!$BN$257/Consumer_Price_index!$BK$257*10^3</f>
        <v>29.87938894032677</v>
      </c>
      <c r="AE51" s="386">
        <f>'Key inputs_LNG'!$D$213*Consumer_Price_index!$BN$257/Consumer_Price_index!$BK$257*10^3</f>
        <v>29.87938894032677</v>
      </c>
      <c r="AF51" s="386">
        <f>'Key inputs_LNG'!$D$213*Consumer_Price_index!$BN$257/Consumer_Price_index!$BK$257*10^3</f>
        <v>29.87938894032677</v>
      </c>
      <c r="AG51" s="386">
        <f>'Key inputs_LNG'!$D$213*Consumer_Price_index!$BN$257/Consumer_Price_index!$BK$257*10^3</f>
        <v>29.87938894032677</v>
      </c>
      <c r="AH51" s="386">
        <f>'Key inputs_LNG'!$D$213*Consumer_Price_index!$BN$257/Consumer_Price_index!$BK$257*10^3</f>
        <v>29.87938894032677</v>
      </c>
      <c r="AI51" s="386">
        <f>'Key inputs_LNG'!$D$213*Consumer_Price_index!$BN$257/Consumer_Price_index!$BK$257*10^3</f>
        <v>29.87938894032677</v>
      </c>
      <c r="AJ51" s="386">
        <f>'Key inputs_LNG'!$D$213*Consumer_Price_index!$BN$257/Consumer_Price_index!$BK$257*10^3</f>
        <v>29.87938894032677</v>
      </c>
      <c r="AK51" s="386">
        <f>'Key inputs_LNG'!$D$213*Consumer_Price_index!$BN$257/Consumer_Price_index!$BK$257*10^3</f>
        <v>29.87938894032677</v>
      </c>
      <c r="AL51" s="386">
        <f>'Key inputs_LNG'!$D$213*Consumer_Price_index!$BN$257/Consumer_Price_index!$BK$257*10^3</f>
        <v>29.87938894032677</v>
      </c>
    </row>
    <row r="52" spans="1:38">
      <c r="G52" s="4" t="s">
        <v>689</v>
      </c>
      <c r="H52" s="4"/>
      <c r="I52" s="4"/>
      <c r="J52" s="4" t="s">
        <v>2663</v>
      </c>
      <c r="K52" s="355"/>
      <c r="L52" s="355"/>
      <c r="M52" s="355"/>
      <c r="N52" s="355"/>
      <c r="O52" s="355"/>
      <c r="P52" s="355"/>
      <c r="Q52" s="355"/>
      <c r="R52" s="355"/>
      <c r="S52" s="355"/>
      <c r="T52" s="355"/>
      <c r="U52" s="355"/>
      <c r="V52" s="355"/>
      <c r="W52" s="355"/>
      <c r="X52" s="355"/>
      <c r="Y52" s="355"/>
      <c r="Z52" s="355"/>
      <c r="AA52" s="355"/>
      <c r="AB52" s="355"/>
      <c r="AC52" s="355"/>
      <c r="AD52" s="355"/>
      <c r="AE52" s="355"/>
      <c r="AF52" s="355"/>
      <c r="AG52" s="355"/>
      <c r="AH52" s="355"/>
      <c r="AI52" s="355"/>
      <c r="AJ52" s="355"/>
      <c r="AK52" s="355"/>
      <c r="AL52" s="355"/>
    </row>
    <row r="53" spans="1:38">
      <c r="G53" s="4" t="s">
        <v>675</v>
      </c>
      <c r="H53" s="4"/>
      <c r="I53" s="4"/>
      <c r="J53" s="4" t="s">
        <v>2662</v>
      </c>
      <c r="K53" s="355"/>
      <c r="L53" s="355"/>
      <c r="M53" s="355"/>
      <c r="N53" s="355"/>
      <c r="O53" s="355"/>
      <c r="P53" s="355"/>
      <c r="Q53" s="355"/>
      <c r="R53" s="355"/>
      <c r="S53" s="355"/>
      <c r="T53" s="355"/>
      <c r="U53" s="355"/>
      <c r="V53" s="355"/>
      <c r="W53" s="355"/>
      <c r="X53" s="355"/>
      <c r="Y53" s="355"/>
      <c r="Z53" s="355"/>
      <c r="AA53" s="355"/>
      <c r="AB53" s="355"/>
      <c r="AC53" s="355"/>
      <c r="AD53" s="355"/>
      <c r="AE53" s="355"/>
      <c r="AF53" s="355"/>
      <c r="AG53" s="355"/>
      <c r="AH53" s="355"/>
      <c r="AI53" s="355"/>
      <c r="AJ53" s="355"/>
      <c r="AK53" s="355"/>
      <c r="AL53" s="355"/>
    </row>
    <row r="54" spans="1:38">
      <c r="D54" t="str">
        <f>Commodities!$C$37</f>
        <v>GASLNG</v>
      </c>
      <c r="G54" s="4"/>
      <c r="H54" s="4"/>
      <c r="I54" s="4"/>
      <c r="J54" s="4"/>
    </row>
    <row r="55" spans="1:38">
      <c r="C55" t="str">
        <f>Commodities!$C$25</f>
        <v>GASNAT</v>
      </c>
      <c r="F55" t="s">
        <v>366</v>
      </c>
      <c r="G55" s="4" t="s">
        <v>702</v>
      </c>
      <c r="H55" t="s">
        <v>661</v>
      </c>
      <c r="I55" s="4"/>
      <c r="J55" s="4" t="s">
        <v>650</v>
      </c>
      <c r="K55" s="355">
        <v>1</v>
      </c>
      <c r="L55" s="355">
        <v>1</v>
      </c>
      <c r="M55" s="355">
        <v>1</v>
      </c>
      <c r="N55" s="355">
        <v>1</v>
      </c>
      <c r="O55" s="355">
        <v>1</v>
      </c>
      <c r="P55" s="355">
        <v>1</v>
      </c>
      <c r="Q55" s="355">
        <v>1</v>
      </c>
      <c r="R55" s="355">
        <v>1</v>
      </c>
      <c r="S55" s="355">
        <v>1</v>
      </c>
      <c r="T55" s="355">
        <v>1</v>
      </c>
      <c r="U55" s="355">
        <v>1</v>
      </c>
      <c r="V55" s="355">
        <v>1</v>
      </c>
      <c r="W55" s="355">
        <v>1</v>
      </c>
      <c r="X55" s="355">
        <v>1</v>
      </c>
      <c r="Y55" s="355">
        <v>1</v>
      </c>
      <c r="Z55" s="355">
        <v>1</v>
      </c>
      <c r="AA55" s="355">
        <v>1</v>
      </c>
      <c r="AB55" s="355">
        <v>1</v>
      </c>
      <c r="AC55" s="355">
        <v>1</v>
      </c>
      <c r="AD55" s="355">
        <v>1</v>
      </c>
      <c r="AE55" s="355">
        <v>1</v>
      </c>
      <c r="AF55" s="355">
        <v>1</v>
      </c>
      <c r="AG55" s="355">
        <v>1</v>
      </c>
      <c r="AH55" s="355">
        <v>1</v>
      </c>
      <c r="AI55" s="355">
        <v>1</v>
      </c>
      <c r="AJ55" s="355">
        <v>1</v>
      </c>
      <c r="AK55" s="355">
        <v>1</v>
      </c>
      <c r="AL55" s="355">
        <v>1</v>
      </c>
    </row>
    <row r="56" spans="1:38">
      <c r="E56" t="s">
        <v>366</v>
      </c>
      <c r="F56" t="s">
        <v>691</v>
      </c>
      <c r="G56" s="4" t="s">
        <v>692</v>
      </c>
      <c r="H56" s="4"/>
      <c r="I56" s="4"/>
      <c r="J56" s="4" t="s">
        <v>2664</v>
      </c>
      <c r="K56" s="355">
        <v>1</v>
      </c>
      <c r="L56" s="355">
        <v>1</v>
      </c>
      <c r="M56" s="355">
        <v>1</v>
      </c>
      <c r="N56" s="355">
        <v>1</v>
      </c>
      <c r="O56" s="355">
        <v>1</v>
      </c>
      <c r="P56" s="355">
        <v>1</v>
      </c>
      <c r="Q56" s="355">
        <v>1</v>
      </c>
      <c r="R56" s="355">
        <v>1</v>
      </c>
      <c r="S56" s="355">
        <v>1</v>
      </c>
      <c r="T56" s="355">
        <v>1</v>
      </c>
      <c r="U56" s="355">
        <v>1</v>
      </c>
      <c r="V56" s="355">
        <v>1</v>
      </c>
      <c r="W56" s="355">
        <v>1</v>
      </c>
      <c r="X56" s="355">
        <v>1</v>
      </c>
      <c r="Y56" s="355">
        <v>1</v>
      </c>
      <c r="Z56" s="355">
        <v>1</v>
      </c>
      <c r="AA56" s="355">
        <v>1</v>
      </c>
      <c r="AB56" s="355">
        <v>1</v>
      </c>
      <c r="AC56" s="355">
        <v>1</v>
      </c>
      <c r="AD56" s="355">
        <v>1</v>
      </c>
      <c r="AE56" s="355">
        <v>1</v>
      </c>
      <c r="AF56" s="355">
        <v>1</v>
      </c>
      <c r="AG56" s="355">
        <v>1</v>
      </c>
      <c r="AH56" s="355">
        <v>1</v>
      </c>
      <c r="AI56" s="355">
        <v>1</v>
      </c>
      <c r="AJ56" s="355">
        <v>1</v>
      </c>
      <c r="AK56" s="355">
        <v>1</v>
      </c>
      <c r="AL56" s="355">
        <v>1</v>
      </c>
    </row>
    <row r="57" spans="1:38">
      <c r="E57" s="4" t="s">
        <v>359</v>
      </c>
      <c r="F57" t="s">
        <v>691</v>
      </c>
      <c r="G57" s="4" t="s">
        <v>692</v>
      </c>
      <c r="J57" s="4" t="s">
        <v>2664</v>
      </c>
      <c r="K57" s="173">
        <f>1/'Key inputs_LNG'!$B$210</f>
        <v>6.666666666666667</v>
      </c>
      <c r="L57" s="173">
        <f>1/'Key inputs_LNG'!$B$210</f>
        <v>6.666666666666667</v>
      </c>
      <c r="M57" s="173">
        <f>1/'Key inputs_LNG'!$B$210</f>
        <v>6.666666666666667</v>
      </c>
      <c r="N57" s="173">
        <f>1/'Key inputs_LNG'!$B$210</f>
        <v>6.666666666666667</v>
      </c>
      <c r="O57" s="173">
        <f>1/'Key inputs_LNG'!$B$210</f>
        <v>6.666666666666667</v>
      </c>
      <c r="P57" s="173">
        <f>1/'Key inputs_LNG'!$B$210</f>
        <v>6.666666666666667</v>
      </c>
      <c r="Q57" s="173">
        <f>1/'Key inputs_LNG'!$B$210</f>
        <v>6.666666666666667</v>
      </c>
      <c r="R57" s="173">
        <f>1/'Key inputs_LNG'!$B$210</f>
        <v>6.666666666666667</v>
      </c>
      <c r="S57" s="173">
        <f>1/'Key inputs_LNG'!$B$210</f>
        <v>6.666666666666667</v>
      </c>
      <c r="T57" s="173">
        <f>1/'Key inputs_LNG'!$B$210</f>
        <v>6.666666666666667</v>
      </c>
      <c r="U57" s="173">
        <f>1/'Key inputs_LNG'!$B$210</f>
        <v>6.666666666666667</v>
      </c>
      <c r="V57" s="173">
        <f>1/'Key inputs_LNG'!$B$210</f>
        <v>6.666666666666667</v>
      </c>
      <c r="W57" s="173">
        <f>1/'Key inputs_LNG'!$B$210</f>
        <v>6.666666666666667</v>
      </c>
      <c r="X57" s="173">
        <f>1/'Key inputs_LNG'!$B$210</f>
        <v>6.666666666666667</v>
      </c>
      <c r="Y57" s="173">
        <f>1/'Key inputs_LNG'!$B$210</f>
        <v>6.666666666666667</v>
      </c>
      <c r="Z57" s="173">
        <f>1/'Key inputs_LNG'!$B$210</f>
        <v>6.666666666666667</v>
      </c>
      <c r="AA57" s="173">
        <f>1/'Key inputs_LNG'!$B$210</f>
        <v>6.666666666666667</v>
      </c>
      <c r="AB57" s="173">
        <f>1/'Key inputs_LNG'!$B$210</f>
        <v>6.666666666666667</v>
      </c>
      <c r="AC57" s="173">
        <f>1/'Key inputs_LNG'!$B$210</f>
        <v>6.666666666666667</v>
      </c>
      <c r="AD57" s="173">
        <f>1/'Key inputs_LNG'!$B$210</f>
        <v>6.666666666666667</v>
      </c>
      <c r="AE57" s="173">
        <f>1/'Key inputs_LNG'!$B$210</f>
        <v>6.666666666666667</v>
      </c>
      <c r="AF57" s="173">
        <f>1/'Key inputs_LNG'!$B$210</f>
        <v>6.666666666666667</v>
      </c>
      <c r="AG57" s="173">
        <f>1/'Key inputs_LNG'!$B$210</f>
        <v>6.666666666666667</v>
      </c>
      <c r="AH57" s="173">
        <f>1/'Key inputs_LNG'!$B$210</f>
        <v>6.666666666666667</v>
      </c>
      <c r="AI57" s="173">
        <f>1/'Key inputs_LNG'!$B$210</f>
        <v>6.666666666666667</v>
      </c>
      <c r="AJ57" s="173">
        <f>1/'Key inputs_LNG'!$B$210</f>
        <v>6.666666666666667</v>
      </c>
      <c r="AK57" s="173">
        <f>1/'Key inputs_LNG'!$B$210</f>
        <v>6.666666666666667</v>
      </c>
      <c r="AL57" s="173">
        <f>1/'Key inputs_LNG'!$B$210</f>
        <v>6.666666666666667</v>
      </c>
    </row>
    <row r="58" spans="1:38">
      <c r="C58" t="str">
        <f>Commodities!$C$91</f>
        <v>UPSELC</v>
      </c>
      <c r="F58" s="4" t="s">
        <v>359</v>
      </c>
      <c r="G58" s="4" t="s">
        <v>702</v>
      </c>
      <c r="H58" t="s">
        <v>661</v>
      </c>
      <c r="I58">
        <v>2019</v>
      </c>
      <c r="J58" t="s">
        <v>650</v>
      </c>
      <c r="K58" s="209">
        <f>IF(K27="",AVERAGE($K$27:$AL$27),K27)</f>
        <v>9.5330829262547465E-3</v>
      </c>
      <c r="L58" s="209">
        <f t="shared" ref="L58:AL58" si="0">IF(L27="",AVERAGE($K$27:$AL$27),L27)</f>
        <v>5.7772599943996319E-3</v>
      </c>
      <c r="M58" s="209">
        <f t="shared" si="0"/>
        <v>0</v>
      </c>
      <c r="N58" s="209">
        <f t="shared" si="0"/>
        <v>0</v>
      </c>
      <c r="O58" s="209">
        <f t="shared" si="0"/>
        <v>7.3568236518402386E-2</v>
      </c>
      <c r="P58" s="209">
        <f t="shared" si="0"/>
        <v>9.5330829262547465E-3</v>
      </c>
      <c r="Q58" s="209">
        <f t="shared" si="0"/>
        <v>4.6780242453129551E-3</v>
      </c>
      <c r="R58" s="209">
        <f t="shared" si="0"/>
        <v>9.5330829262547465E-3</v>
      </c>
      <c r="S58" s="209">
        <f t="shared" si="0"/>
        <v>9.5330829262547465E-3</v>
      </c>
      <c r="T58" s="209">
        <f t="shared" si="0"/>
        <v>9.5330829262547465E-3</v>
      </c>
      <c r="U58" s="209">
        <f t="shared" si="0"/>
        <v>9.5330829262547465E-3</v>
      </c>
      <c r="V58" s="209">
        <f t="shared" si="0"/>
        <v>9.5330829262547465E-3</v>
      </c>
      <c r="W58" s="209">
        <f t="shared" si="0"/>
        <v>9.5330829262547465E-3</v>
      </c>
      <c r="X58" s="209">
        <f t="shared" si="0"/>
        <v>0</v>
      </c>
      <c r="Y58" s="209">
        <f t="shared" si="0"/>
        <v>9.5330829262547465E-3</v>
      </c>
      <c r="Z58" s="209">
        <f t="shared" si="0"/>
        <v>9.5330829262547465E-3</v>
      </c>
      <c r="AA58" s="209">
        <f t="shared" si="0"/>
        <v>9.5330829262547465E-3</v>
      </c>
      <c r="AB58" s="209">
        <f t="shared" si="0"/>
        <v>9.5330829262547465E-3</v>
      </c>
      <c r="AC58" s="209">
        <f t="shared" si="0"/>
        <v>9.5330829262547465E-3</v>
      </c>
      <c r="AD58" s="209">
        <f t="shared" si="0"/>
        <v>9.5330829262547465E-3</v>
      </c>
      <c r="AE58" s="209">
        <f t="shared" si="0"/>
        <v>0</v>
      </c>
      <c r="AF58" s="209">
        <f t="shared" si="0"/>
        <v>9.5330829262547465E-3</v>
      </c>
      <c r="AG58" s="209">
        <f t="shared" si="0"/>
        <v>0</v>
      </c>
      <c r="AH58" s="209">
        <f t="shared" si="0"/>
        <v>9.5330829262547465E-3</v>
      </c>
      <c r="AI58" s="209">
        <f t="shared" si="0"/>
        <v>1.1307308504432498E-2</v>
      </c>
      <c r="AJ58" s="209">
        <f t="shared" si="0"/>
        <v>0</v>
      </c>
      <c r="AK58" s="209">
        <f t="shared" si="0"/>
        <v>9.5330829262547465E-3</v>
      </c>
      <c r="AL58" s="209">
        <f t="shared" si="0"/>
        <v>9.5330829262547465E-3</v>
      </c>
    </row>
    <row r="59" spans="1:38">
      <c r="A59" s="236"/>
      <c r="B59" s="236"/>
      <c r="C59" s="236" t="str">
        <f>Commodities!$C$92</f>
        <v>UPSGAS</v>
      </c>
      <c r="D59" s="236"/>
      <c r="E59" s="236"/>
      <c r="F59" s="259" t="s">
        <v>359</v>
      </c>
      <c r="G59" s="259" t="s">
        <v>702</v>
      </c>
      <c r="H59" s="236" t="s">
        <v>661</v>
      </c>
      <c r="I59" s="236">
        <v>2019</v>
      </c>
      <c r="J59" s="236" t="s">
        <v>650</v>
      </c>
      <c r="K59" s="226">
        <f>1-K58</f>
        <v>0.99046691707374523</v>
      </c>
      <c r="L59" s="226">
        <f t="shared" ref="L59:AL59" si="1">1-L58</f>
        <v>0.9942227400056004</v>
      </c>
      <c r="M59" s="226">
        <f t="shared" si="1"/>
        <v>1</v>
      </c>
      <c r="N59" s="226">
        <f t="shared" si="1"/>
        <v>1</v>
      </c>
      <c r="O59" s="226">
        <f t="shared" si="1"/>
        <v>0.92643176348159761</v>
      </c>
      <c r="P59" s="226">
        <f t="shared" si="1"/>
        <v>0.99046691707374523</v>
      </c>
      <c r="Q59" s="226">
        <f t="shared" si="1"/>
        <v>0.99532197575468706</v>
      </c>
      <c r="R59" s="226">
        <f t="shared" si="1"/>
        <v>0.99046691707374523</v>
      </c>
      <c r="S59" s="226">
        <f t="shared" si="1"/>
        <v>0.99046691707374523</v>
      </c>
      <c r="T59" s="226">
        <f t="shared" si="1"/>
        <v>0.99046691707374523</v>
      </c>
      <c r="U59" s="226">
        <f t="shared" si="1"/>
        <v>0.99046691707374523</v>
      </c>
      <c r="V59" s="226">
        <f t="shared" si="1"/>
        <v>0.99046691707374523</v>
      </c>
      <c r="W59" s="226">
        <f t="shared" si="1"/>
        <v>0.99046691707374523</v>
      </c>
      <c r="X59" s="226">
        <f t="shared" si="1"/>
        <v>1</v>
      </c>
      <c r="Y59" s="226">
        <f t="shared" si="1"/>
        <v>0.99046691707374523</v>
      </c>
      <c r="Z59" s="226">
        <f t="shared" si="1"/>
        <v>0.99046691707374523</v>
      </c>
      <c r="AA59" s="226">
        <f t="shared" si="1"/>
        <v>0.99046691707374523</v>
      </c>
      <c r="AB59" s="226">
        <f t="shared" si="1"/>
        <v>0.99046691707374523</v>
      </c>
      <c r="AC59" s="226">
        <f t="shared" si="1"/>
        <v>0.99046691707374523</v>
      </c>
      <c r="AD59" s="226">
        <f t="shared" si="1"/>
        <v>0.99046691707374523</v>
      </c>
      <c r="AE59" s="226">
        <f t="shared" si="1"/>
        <v>1</v>
      </c>
      <c r="AF59" s="226">
        <f t="shared" si="1"/>
        <v>0.99046691707374523</v>
      </c>
      <c r="AG59" s="226">
        <f t="shared" si="1"/>
        <v>1</v>
      </c>
      <c r="AH59" s="226">
        <f t="shared" si="1"/>
        <v>0.99046691707374523</v>
      </c>
      <c r="AI59" s="226">
        <f t="shared" si="1"/>
        <v>0.98869269149556749</v>
      </c>
      <c r="AJ59" s="226">
        <f t="shared" si="1"/>
        <v>1</v>
      </c>
      <c r="AK59" s="226">
        <f t="shared" si="1"/>
        <v>0.99046691707374523</v>
      </c>
      <c r="AL59" s="226">
        <f t="shared" si="1"/>
        <v>0.99046691707374523</v>
      </c>
    </row>
    <row r="60" spans="1:38">
      <c r="A60" t="str">
        <f>AO13</f>
        <v>U-TRF-LNG-Regasification_01</v>
      </c>
      <c r="B60" t="str">
        <f>AP13</f>
        <v>UPS Transformation: LNG regasification - New</v>
      </c>
      <c r="G60" s="4" t="s">
        <v>695</v>
      </c>
      <c r="H60" s="4"/>
      <c r="I60" s="4"/>
      <c r="J60" s="512" t="s">
        <v>2665</v>
      </c>
      <c r="K60" s="355">
        <v>1</v>
      </c>
      <c r="L60" s="355">
        <v>1</v>
      </c>
      <c r="M60" s="355">
        <v>1</v>
      </c>
      <c r="N60" s="355">
        <v>1</v>
      </c>
      <c r="O60" s="355">
        <v>1</v>
      </c>
      <c r="P60" s="355">
        <v>1</v>
      </c>
      <c r="Q60" s="355">
        <v>1</v>
      </c>
      <c r="R60" s="355">
        <v>1</v>
      </c>
      <c r="S60" s="355">
        <v>1</v>
      </c>
      <c r="T60" s="355">
        <v>1</v>
      </c>
      <c r="U60" s="355">
        <v>1</v>
      </c>
      <c r="V60" s="355">
        <v>1</v>
      </c>
      <c r="W60" s="355">
        <v>1</v>
      </c>
      <c r="X60" s="355">
        <v>1</v>
      </c>
      <c r="Y60" s="355">
        <v>1</v>
      </c>
      <c r="Z60" s="355">
        <v>1</v>
      </c>
      <c r="AA60" s="355">
        <v>1</v>
      </c>
      <c r="AB60" s="355">
        <v>1</v>
      </c>
      <c r="AC60" s="355">
        <v>1</v>
      </c>
      <c r="AD60" s="355">
        <v>1</v>
      </c>
      <c r="AE60" s="355">
        <v>1</v>
      </c>
      <c r="AF60" s="355">
        <v>1</v>
      </c>
      <c r="AG60" s="355">
        <v>1</v>
      </c>
      <c r="AH60" s="355">
        <v>1</v>
      </c>
      <c r="AI60" s="355">
        <v>1</v>
      </c>
      <c r="AJ60" s="355">
        <v>1</v>
      </c>
      <c r="AK60" s="355">
        <v>1</v>
      </c>
      <c r="AL60" s="355">
        <v>1</v>
      </c>
    </row>
    <row r="61" spans="1:38">
      <c r="G61" s="4" t="s">
        <v>697</v>
      </c>
      <c r="H61" s="4"/>
      <c r="I61" s="4"/>
      <c r="J61" s="4" t="s">
        <v>698</v>
      </c>
      <c r="K61" s="331">
        <f>'Key inputs_LNG'!$C$216</f>
        <v>35</v>
      </c>
      <c r="L61" s="331">
        <f>'Key inputs_LNG'!$C$216</f>
        <v>35</v>
      </c>
      <c r="M61" s="331">
        <f>'Key inputs_LNG'!$C$216</f>
        <v>35</v>
      </c>
      <c r="N61" s="331">
        <f>'Key inputs_LNG'!$C$216</f>
        <v>35</v>
      </c>
      <c r="O61" s="331">
        <f>'Key inputs_LNG'!$C$216</f>
        <v>35</v>
      </c>
      <c r="P61" s="331">
        <f>'Key inputs_LNG'!$C$216</f>
        <v>35</v>
      </c>
      <c r="Q61" s="331">
        <f>'Key inputs_LNG'!$C$216</f>
        <v>35</v>
      </c>
      <c r="R61" s="331">
        <f>'Key inputs_LNG'!$C$216</f>
        <v>35</v>
      </c>
      <c r="S61" s="331">
        <f>'Key inputs_LNG'!$C$216</f>
        <v>35</v>
      </c>
      <c r="T61" s="331">
        <f>'Key inputs_LNG'!$C$216</f>
        <v>35</v>
      </c>
      <c r="U61" s="331">
        <f>'Key inputs_LNG'!$C$216</f>
        <v>35</v>
      </c>
      <c r="V61" s="331">
        <f>'Key inputs_LNG'!$C$216</f>
        <v>35</v>
      </c>
      <c r="W61" s="331">
        <f>'Key inputs_LNG'!$C$216</f>
        <v>35</v>
      </c>
      <c r="X61" s="331">
        <f>'Key inputs_LNG'!$C$216</f>
        <v>35</v>
      </c>
      <c r="Y61" s="331">
        <f>'Key inputs_LNG'!$C$216</f>
        <v>35</v>
      </c>
      <c r="Z61" s="331">
        <f>'Key inputs_LNG'!$C$216</f>
        <v>35</v>
      </c>
      <c r="AA61" s="331">
        <f>'Key inputs_LNG'!$C$216</f>
        <v>35</v>
      </c>
      <c r="AB61" s="331">
        <f>'Key inputs_LNG'!$C$216</f>
        <v>35</v>
      </c>
      <c r="AC61" s="331">
        <f>'Key inputs_LNG'!$C$216</f>
        <v>35</v>
      </c>
      <c r="AD61" s="331">
        <f>'Key inputs_LNG'!$C$216</f>
        <v>35</v>
      </c>
      <c r="AE61" s="331">
        <f>'Key inputs_LNG'!$C$216</f>
        <v>35</v>
      </c>
      <c r="AF61" s="331">
        <f>'Key inputs_LNG'!$C$216</f>
        <v>35</v>
      </c>
      <c r="AG61" s="331">
        <f>'Key inputs_LNG'!$C$216</f>
        <v>35</v>
      </c>
      <c r="AH61" s="331">
        <f>'Key inputs_LNG'!$C$216</f>
        <v>35</v>
      </c>
      <c r="AI61" s="331">
        <f>'Key inputs_LNG'!$C$216</f>
        <v>35</v>
      </c>
      <c r="AJ61" s="331">
        <f>'Key inputs_LNG'!$C$216</f>
        <v>35</v>
      </c>
      <c r="AK61" s="331">
        <f>'Key inputs_LNG'!$C$216</f>
        <v>35</v>
      </c>
      <c r="AL61" s="331">
        <f>'Key inputs_LNG'!$C$216</f>
        <v>35</v>
      </c>
    </row>
    <row r="62" spans="1:38">
      <c r="G62" s="4" t="s">
        <v>707</v>
      </c>
      <c r="H62" s="4"/>
      <c r="I62" s="4"/>
      <c r="J62" s="4"/>
      <c r="K62" s="385">
        <v>2020</v>
      </c>
      <c r="L62" s="385">
        <v>2020</v>
      </c>
      <c r="M62" s="385">
        <v>2020</v>
      </c>
      <c r="N62" s="385">
        <v>2020</v>
      </c>
      <c r="O62" s="385">
        <v>2020</v>
      </c>
      <c r="P62" s="385">
        <v>2020</v>
      </c>
      <c r="Q62" s="385">
        <v>2020</v>
      </c>
      <c r="R62" s="385">
        <v>2020</v>
      </c>
      <c r="S62" s="385">
        <v>2020</v>
      </c>
      <c r="T62" s="385">
        <v>2020</v>
      </c>
      <c r="U62" s="385">
        <v>2020</v>
      </c>
      <c r="V62" s="385">
        <v>2020</v>
      </c>
      <c r="W62" s="385">
        <v>2020</v>
      </c>
      <c r="X62" s="385">
        <v>2020</v>
      </c>
      <c r="Y62" s="385">
        <v>2020</v>
      </c>
      <c r="Z62" s="385">
        <v>2020</v>
      </c>
      <c r="AA62" s="385">
        <v>2020</v>
      </c>
      <c r="AB62" s="385">
        <v>2020</v>
      </c>
      <c r="AC62" s="385">
        <v>2020</v>
      </c>
      <c r="AD62" s="385">
        <v>2020</v>
      </c>
      <c r="AE62" s="385">
        <v>2020</v>
      </c>
      <c r="AF62" s="385">
        <v>2020</v>
      </c>
      <c r="AG62" s="385">
        <v>2020</v>
      </c>
      <c r="AH62" s="385">
        <v>2020</v>
      </c>
      <c r="AI62" s="385">
        <v>2020</v>
      </c>
      <c r="AJ62" s="385">
        <v>2020</v>
      </c>
      <c r="AK62" s="385">
        <v>2020</v>
      </c>
      <c r="AL62" s="385">
        <v>2020</v>
      </c>
    </row>
    <row r="63" spans="1:38">
      <c r="G63" s="4" t="s">
        <v>687</v>
      </c>
      <c r="H63" s="4"/>
      <c r="I63" s="4"/>
      <c r="J63" s="4" t="s">
        <v>2663</v>
      </c>
      <c r="K63" s="386">
        <f>'Key inputs_LNG'!$E$213*Consumer_Price_index!$BN$257/Consumer_Price_index!$BJ$257*10^3</f>
        <v>2.440223622384913</v>
      </c>
      <c r="L63" s="386">
        <f>'Key inputs_LNG'!$E$213*Consumer_Price_index!$BN$257/Consumer_Price_index!$BJ$257*10^3</f>
        <v>2.440223622384913</v>
      </c>
      <c r="M63" s="386">
        <f>'Key inputs_LNG'!$E$213*Consumer_Price_index!$BN$257/Consumer_Price_index!$BJ$257*10^3</f>
        <v>2.440223622384913</v>
      </c>
      <c r="N63" s="386">
        <f>'Key inputs_LNG'!$E$213*Consumer_Price_index!$BN$257/Consumer_Price_index!$BJ$257*10^3</f>
        <v>2.440223622384913</v>
      </c>
      <c r="O63" s="386">
        <f>'Key inputs_LNG'!$E$213*Consumer_Price_index!$BN$257/Consumer_Price_index!$BJ$257*10^3</f>
        <v>2.440223622384913</v>
      </c>
      <c r="P63" s="386">
        <f>'Key inputs_LNG'!$E$213*Consumer_Price_index!$BN$257/Consumer_Price_index!$BJ$257*10^3</f>
        <v>2.440223622384913</v>
      </c>
      <c r="Q63" s="386">
        <f>'Key inputs_LNG'!$E$213*Consumer_Price_index!$BN$257/Consumer_Price_index!$BJ$257*10^3</f>
        <v>2.440223622384913</v>
      </c>
      <c r="R63" s="386">
        <f>'Key inputs_LNG'!$E$213*Consumer_Price_index!$BN$257/Consumer_Price_index!$BJ$257*10^3</f>
        <v>2.440223622384913</v>
      </c>
      <c r="S63" s="386">
        <f>'Key inputs_LNG'!$E$213*Consumer_Price_index!$BN$257/Consumer_Price_index!$BJ$257*10^3</f>
        <v>2.440223622384913</v>
      </c>
      <c r="T63" s="386">
        <f>'Key inputs_LNG'!$E$213*Consumer_Price_index!$BN$257/Consumer_Price_index!$BJ$257*10^3</f>
        <v>2.440223622384913</v>
      </c>
      <c r="U63" s="386">
        <f>'Key inputs_LNG'!$E$213*Consumer_Price_index!$BN$257/Consumer_Price_index!$BJ$257*10^3</f>
        <v>2.440223622384913</v>
      </c>
      <c r="V63" s="386">
        <f>'Key inputs_LNG'!$E$213*Consumer_Price_index!$BN$257/Consumer_Price_index!$BJ$257*10^3</f>
        <v>2.440223622384913</v>
      </c>
      <c r="W63" s="386">
        <f>'Key inputs_LNG'!$E$213*Consumer_Price_index!$BN$257/Consumer_Price_index!$BJ$257*10^3</f>
        <v>2.440223622384913</v>
      </c>
      <c r="X63" s="386">
        <f>'Key inputs_LNG'!$E$213*Consumer_Price_index!$BN$257/Consumer_Price_index!$BJ$257*10^3</f>
        <v>2.440223622384913</v>
      </c>
      <c r="Y63" s="386">
        <f>'Key inputs_LNG'!$E$213*Consumer_Price_index!$BN$257/Consumer_Price_index!$BJ$257*10^3</f>
        <v>2.440223622384913</v>
      </c>
      <c r="Z63" s="386">
        <f>'Key inputs_LNG'!$E$213*Consumer_Price_index!$BN$257/Consumer_Price_index!$BJ$257*10^3</f>
        <v>2.440223622384913</v>
      </c>
      <c r="AA63" s="386">
        <f>'Key inputs_LNG'!$E$213*Consumer_Price_index!$BN$257/Consumer_Price_index!$BJ$257*10^3</f>
        <v>2.440223622384913</v>
      </c>
      <c r="AB63" s="386">
        <f>'Key inputs_LNG'!$E$213*Consumer_Price_index!$BN$257/Consumer_Price_index!$BJ$257*10^3</f>
        <v>2.440223622384913</v>
      </c>
      <c r="AC63" s="386">
        <f>'Key inputs_LNG'!$E$213*Consumer_Price_index!$BN$257/Consumer_Price_index!$BJ$257*10^3</f>
        <v>2.440223622384913</v>
      </c>
      <c r="AD63" s="386">
        <f>'Key inputs_LNG'!$E$213*Consumer_Price_index!$BN$257/Consumer_Price_index!$BJ$257*10^3</f>
        <v>2.440223622384913</v>
      </c>
      <c r="AE63" s="386">
        <f>'Key inputs_LNG'!$E$213*Consumer_Price_index!$BN$257/Consumer_Price_index!$BJ$257*10^3</f>
        <v>2.440223622384913</v>
      </c>
      <c r="AF63" s="386">
        <f>'Key inputs_LNG'!$E$213*Consumer_Price_index!$BN$257/Consumer_Price_index!$BJ$257*10^3</f>
        <v>2.440223622384913</v>
      </c>
      <c r="AG63" s="386">
        <f>'Key inputs_LNG'!$E$213*Consumer_Price_index!$BN$257/Consumer_Price_index!$BJ$257*10^3</f>
        <v>2.440223622384913</v>
      </c>
      <c r="AH63" s="386">
        <f>'Key inputs_LNG'!$E$213*Consumer_Price_index!$BN$257/Consumer_Price_index!$BJ$257*10^3</f>
        <v>2.440223622384913</v>
      </c>
      <c r="AI63" s="386">
        <f>'Key inputs_LNG'!$E$213*Consumer_Price_index!$BN$257/Consumer_Price_index!$BJ$257*10^3</f>
        <v>2.440223622384913</v>
      </c>
      <c r="AJ63" s="386">
        <f>'Key inputs_LNG'!$E$213*Consumer_Price_index!$BN$257/Consumer_Price_index!$BJ$257*10^3</f>
        <v>2.440223622384913</v>
      </c>
      <c r="AK63" s="386">
        <f>'Key inputs_LNG'!$E$213*Consumer_Price_index!$BN$257/Consumer_Price_index!$BJ$257*10^3</f>
        <v>2.440223622384913</v>
      </c>
      <c r="AL63" s="386">
        <f>'Key inputs_LNG'!$E$213*Consumer_Price_index!$BN$257/Consumer_Price_index!$BJ$257*10^3</f>
        <v>2.440223622384913</v>
      </c>
    </row>
    <row r="64" spans="1:38">
      <c r="G64" s="4" t="s">
        <v>689</v>
      </c>
      <c r="H64" s="4"/>
      <c r="I64" s="4"/>
      <c r="J64" s="4" t="s">
        <v>2663</v>
      </c>
      <c r="K64" s="355"/>
      <c r="L64" s="355"/>
      <c r="M64" s="355"/>
      <c r="N64" s="355"/>
      <c r="O64" s="355"/>
      <c r="P64" s="355"/>
      <c r="Q64" s="355"/>
      <c r="R64" s="355"/>
      <c r="S64" s="355"/>
      <c r="T64" s="355"/>
      <c r="U64" s="355"/>
      <c r="V64" s="355"/>
      <c r="W64" s="355"/>
      <c r="X64" s="355"/>
      <c r="Y64" s="355"/>
      <c r="Z64" s="355"/>
      <c r="AA64" s="355"/>
      <c r="AB64" s="355"/>
      <c r="AC64" s="355"/>
      <c r="AD64" s="355"/>
      <c r="AE64" s="355"/>
      <c r="AF64" s="355"/>
      <c r="AG64" s="355"/>
      <c r="AH64" s="355"/>
      <c r="AI64" s="355"/>
      <c r="AJ64" s="355"/>
      <c r="AK64" s="355"/>
      <c r="AL64" s="355"/>
    </row>
    <row r="65" spans="1:38">
      <c r="G65" s="4" t="s">
        <v>675</v>
      </c>
      <c r="H65" s="4"/>
      <c r="I65" s="4"/>
      <c r="J65" s="4" t="s">
        <v>2662</v>
      </c>
      <c r="K65" s="355"/>
      <c r="L65" s="355"/>
      <c r="M65" s="355"/>
      <c r="N65" s="355"/>
      <c r="O65" s="355"/>
      <c r="P65" s="355"/>
      <c r="Q65" s="355"/>
      <c r="R65" s="355"/>
      <c r="S65" s="355"/>
      <c r="T65" s="355"/>
      <c r="U65" s="355"/>
      <c r="V65" s="355"/>
      <c r="W65" s="355"/>
      <c r="X65" s="355"/>
      <c r="Y65" s="355"/>
      <c r="Z65" s="355"/>
      <c r="AA65" s="355"/>
      <c r="AB65" s="355"/>
      <c r="AC65" s="355"/>
      <c r="AD65" s="355"/>
      <c r="AE65" s="355"/>
      <c r="AF65" s="355"/>
      <c r="AG65" s="355"/>
      <c r="AH65" s="355"/>
      <c r="AI65" s="355"/>
      <c r="AJ65" s="355"/>
      <c r="AK65" s="355"/>
      <c r="AL65" s="355"/>
    </row>
    <row r="66" spans="1:38">
      <c r="D66" t="str">
        <f>Commodities!$C$25</f>
        <v>GASNAT</v>
      </c>
      <c r="G66" s="4"/>
      <c r="H66" s="4"/>
      <c r="I66" s="4"/>
      <c r="J66" s="4"/>
    </row>
    <row r="67" spans="1:38">
      <c r="C67" t="str">
        <f>Commodities!$C$37</f>
        <v>GASLNG</v>
      </c>
      <c r="F67" t="s">
        <v>368</v>
      </c>
      <c r="G67" s="4" t="s">
        <v>702</v>
      </c>
      <c r="H67" t="s">
        <v>661</v>
      </c>
      <c r="I67" s="4"/>
      <c r="J67" s="4" t="s">
        <v>650</v>
      </c>
      <c r="K67" s="355">
        <v>1</v>
      </c>
      <c r="L67" s="355">
        <v>1</v>
      </c>
      <c r="M67" s="355">
        <v>1</v>
      </c>
      <c r="N67" s="355">
        <v>1</v>
      </c>
      <c r="O67" s="355">
        <v>1</v>
      </c>
      <c r="P67" s="355">
        <v>1</v>
      </c>
      <c r="Q67" s="355">
        <v>1</v>
      </c>
      <c r="R67" s="355">
        <v>1</v>
      </c>
      <c r="S67" s="355">
        <v>1</v>
      </c>
      <c r="T67" s="355">
        <v>1</v>
      </c>
      <c r="U67" s="355">
        <v>1</v>
      </c>
      <c r="V67" s="355">
        <v>1</v>
      </c>
      <c r="W67" s="355">
        <v>1</v>
      </c>
      <c r="X67" s="355">
        <v>1</v>
      </c>
      <c r="Y67" s="355">
        <v>1</v>
      </c>
      <c r="Z67" s="355">
        <v>1</v>
      </c>
      <c r="AA67" s="355">
        <v>1</v>
      </c>
      <c r="AB67" s="355">
        <v>1</v>
      </c>
      <c r="AC67" s="355">
        <v>1</v>
      </c>
      <c r="AD67" s="355">
        <v>1</v>
      </c>
      <c r="AE67" s="355">
        <v>1</v>
      </c>
      <c r="AF67" s="355">
        <v>1</v>
      </c>
      <c r="AG67" s="355">
        <v>1</v>
      </c>
      <c r="AH67" s="355">
        <v>1</v>
      </c>
      <c r="AI67" s="355">
        <v>1</v>
      </c>
      <c r="AJ67" s="355">
        <v>1</v>
      </c>
      <c r="AK67" s="355">
        <v>1</v>
      </c>
      <c r="AL67" s="355">
        <v>1</v>
      </c>
    </row>
    <row r="68" spans="1:38">
      <c r="E68" t="s">
        <v>368</v>
      </c>
      <c r="F68" t="s">
        <v>691</v>
      </c>
      <c r="G68" s="4" t="s">
        <v>692</v>
      </c>
      <c r="H68" s="4"/>
      <c r="I68" s="4"/>
      <c r="J68" s="4" t="s">
        <v>2664</v>
      </c>
      <c r="K68" s="355">
        <v>1</v>
      </c>
      <c r="L68" s="355">
        <v>1</v>
      </c>
      <c r="M68" s="355">
        <v>1</v>
      </c>
      <c r="N68" s="355">
        <v>1</v>
      </c>
      <c r="O68" s="355">
        <v>1</v>
      </c>
      <c r="P68" s="355">
        <v>1</v>
      </c>
      <c r="Q68" s="355">
        <v>1</v>
      </c>
      <c r="R68" s="355">
        <v>1</v>
      </c>
      <c r="S68" s="355">
        <v>1</v>
      </c>
      <c r="T68" s="355">
        <v>1</v>
      </c>
      <c r="U68" s="355">
        <v>1</v>
      </c>
      <c r="V68" s="355">
        <v>1</v>
      </c>
      <c r="W68" s="355">
        <v>1</v>
      </c>
      <c r="X68" s="355">
        <v>1</v>
      </c>
      <c r="Y68" s="355">
        <v>1</v>
      </c>
      <c r="Z68" s="355">
        <v>1</v>
      </c>
      <c r="AA68" s="355">
        <v>1</v>
      </c>
      <c r="AB68" s="355">
        <v>1</v>
      </c>
      <c r="AC68" s="355">
        <v>1</v>
      </c>
      <c r="AD68" s="355">
        <v>1</v>
      </c>
      <c r="AE68" s="355">
        <v>1</v>
      </c>
      <c r="AF68" s="355">
        <v>1</v>
      </c>
      <c r="AG68" s="355">
        <v>1</v>
      </c>
      <c r="AH68" s="355">
        <v>1</v>
      </c>
      <c r="AI68" s="355">
        <v>1</v>
      </c>
      <c r="AJ68" s="355">
        <v>1</v>
      </c>
      <c r="AK68" s="355">
        <v>1</v>
      </c>
      <c r="AL68" s="355">
        <v>1</v>
      </c>
    </row>
    <row r="69" spans="1:38">
      <c r="E69" s="4" t="s">
        <v>359</v>
      </c>
      <c r="F69" s="4" t="s">
        <v>691</v>
      </c>
      <c r="G69" s="4" t="s">
        <v>692</v>
      </c>
      <c r="J69" s="4" t="s">
        <v>2664</v>
      </c>
      <c r="K69" s="173">
        <f>1/'Key inputs_LNG'!$C$210</f>
        <v>50</v>
      </c>
      <c r="L69" s="173">
        <f>1/'Key inputs_LNG'!$C$210</f>
        <v>50</v>
      </c>
      <c r="M69" s="173">
        <f>1/'Key inputs_LNG'!$C$210</f>
        <v>50</v>
      </c>
      <c r="N69" s="173">
        <f>1/'Key inputs_LNG'!$C$210</f>
        <v>50</v>
      </c>
      <c r="O69" s="173">
        <f>1/'Key inputs_LNG'!$C$210</f>
        <v>50</v>
      </c>
      <c r="P69" s="173">
        <f>1/'Key inputs_LNG'!$C$210</f>
        <v>50</v>
      </c>
      <c r="Q69" s="173">
        <f>1/'Key inputs_LNG'!$C$210</f>
        <v>50</v>
      </c>
      <c r="R69" s="173">
        <f>1/'Key inputs_LNG'!$C$210</f>
        <v>50</v>
      </c>
      <c r="S69" s="173">
        <f>1/'Key inputs_LNG'!$C$210</f>
        <v>50</v>
      </c>
      <c r="T69" s="173">
        <f>1/'Key inputs_LNG'!$C$210</f>
        <v>50</v>
      </c>
      <c r="U69" s="173">
        <f>1/'Key inputs_LNG'!$C$210</f>
        <v>50</v>
      </c>
      <c r="V69" s="173">
        <f>1/'Key inputs_LNG'!$C$210</f>
        <v>50</v>
      </c>
      <c r="W69" s="173">
        <f>1/'Key inputs_LNG'!$C$210</f>
        <v>50</v>
      </c>
      <c r="X69" s="173">
        <f>1/'Key inputs_LNG'!$C$210</f>
        <v>50</v>
      </c>
      <c r="Y69" s="173">
        <f>1/'Key inputs_LNG'!$C$210</f>
        <v>50</v>
      </c>
      <c r="Z69" s="173">
        <f>1/'Key inputs_LNG'!$C$210</f>
        <v>50</v>
      </c>
      <c r="AA69" s="173">
        <f>1/'Key inputs_LNG'!$C$210</f>
        <v>50</v>
      </c>
      <c r="AB69" s="173">
        <f>1/'Key inputs_LNG'!$C$210</f>
        <v>50</v>
      </c>
      <c r="AC69" s="173">
        <f>1/'Key inputs_LNG'!$C$210</f>
        <v>50</v>
      </c>
      <c r="AD69" s="173">
        <f>1/'Key inputs_LNG'!$C$210</f>
        <v>50</v>
      </c>
      <c r="AE69" s="173">
        <f>1/'Key inputs_LNG'!$C$210</f>
        <v>50</v>
      </c>
      <c r="AF69" s="173">
        <f>1/'Key inputs_LNG'!$C$210</f>
        <v>50</v>
      </c>
      <c r="AG69" s="173">
        <f>1/'Key inputs_LNG'!$C$210</f>
        <v>50</v>
      </c>
      <c r="AH69" s="173">
        <f>1/'Key inputs_LNG'!$C$210</f>
        <v>50</v>
      </c>
      <c r="AI69" s="173">
        <f>1/'Key inputs_LNG'!$C$210</f>
        <v>50</v>
      </c>
      <c r="AJ69" s="173">
        <f>1/'Key inputs_LNG'!$C$210</f>
        <v>50</v>
      </c>
      <c r="AK69" s="173">
        <f>1/'Key inputs_LNG'!$C$210</f>
        <v>50</v>
      </c>
      <c r="AL69" s="173">
        <f>1/'Key inputs_LNG'!$C$210</f>
        <v>50</v>
      </c>
    </row>
    <row r="70" spans="1:38">
      <c r="C70" t="str">
        <f>Commodities!$C$91</f>
        <v>UPSELC</v>
      </c>
      <c r="F70" s="4" t="s">
        <v>359</v>
      </c>
      <c r="G70" s="4" t="s">
        <v>702</v>
      </c>
      <c r="H70" t="s">
        <v>661</v>
      </c>
      <c r="I70">
        <v>2019</v>
      </c>
      <c r="J70" t="s">
        <v>650</v>
      </c>
      <c r="K70" s="209">
        <f>IF(K46="",AVERAGE($K$46:$AL$46),K46)</f>
        <v>8.5209069959896647E-2</v>
      </c>
      <c r="L70" s="209">
        <f t="shared" ref="L70:AL70" si="2">IF(L46="",AVERAGE($K$46:$AL$46),L46)</f>
        <v>5.7772599943996319E-3</v>
      </c>
      <c r="M70" s="209">
        <f t="shared" si="2"/>
        <v>8.5209069959896647E-2</v>
      </c>
      <c r="N70" s="209">
        <f t="shared" si="2"/>
        <v>8.5209069959896647E-2</v>
      </c>
      <c r="O70" s="209">
        <f t="shared" si="2"/>
        <v>8.5209069959896647E-2</v>
      </c>
      <c r="P70" s="209">
        <f t="shared" si="2"/>
        <v>8.5209069959896647E-2</v>
      </c>
      <c r="Q70" s="209">
        <f t="shared" si="2"/>
        <v>4.6780242453129551E-3</v>
      </c>
      <c r="R70" s="209">
        <f t="shared" si="2"/>
        <v>8.5209069959896647E-2</v>
      </c>
      <c r="S70" s="209">
        <f t="shared" si="2"/>
        <v>8.5209069959896647E-2</v>
      </c>
      <c r="T70" s="209">
        <f t="shared" si="2"/>
        <v>8.5209069959896647E-2</v>
      </c>
      <c r="U70" s="209">
        <f t="shared" si="2"/>
        <v>0.66234199049713571</v>
      </c>
      <c r="V70" s="209">
        <f t="shared" si="2"/>
        <v>8.5209069959896647E-2</v>
      </c>
      <c r="W70" s="209">
        <f t="shared" si="2"/>
        <v>8.5209069959896647E-2</v>
      </c>
      <c r="X70" s="209">
        <f t="shared" si="2"/>
        <v>0</v>
      </c>
      <c r="Y70" s="209">
        <f t="shared" si="2"/>
        <v>6.2948535096201491E-2</v>
      </c>
      <c r="Z70" s="209">
        <f t="shared" si="2"/>
        <v>0</v>
      </c>
      <c r="AA70" s="209">
        <f t="shared" si="2"/>
        <v>0.10446290828929858</v>
      </c>
      <c r="AB70" s="209">
        <f t="shared" si="2"/>
        <v>8.5209069959896647E-2</v>
      </c>
      <c r="AC70" s="209">
        <f t="shared" si="2"/>
        <v>8.5209069959896647E-2</v>
      </c>
      <c r="AD70" s="209">
        <f t="shared" si="2"/>
        <v>9.7091051436514766E-2</v>
      </c>
      <c r="AE70" s="209">
        <f t="shared" si="2"/>
        <v>0</v>
      </c>
      <c r="AF70" s="209">
        <f t="shared" si="2"/>
        <v>8.5209069959896647E-2</v>
      </c>
      <c r="AG70" s="209">
        <f t="shared" si="2"/>
        <v>0</v>
      </c>
      <c r="AH70" s="209">
        <f t="shared" si="2"/>
        <v>8.5209069959896647E-2</v>
      </c>
      <c r="AI70" s="209">
        <f t="shared" si="2"/>
        <v>8.5209069959896647E-2</v>
      </c>
      <c r="AJ70" s="209">
        <f t="shared" si="2"/>
        <v>8.5209069959896647E-2</v>
      </c>
      <c r="AK70" s="209">
        <f t="shared" si="2"/>
        <v>0</v>
      </c>
      <c r="AL70" s="209">
        <f t="shared" si="2"/>
        <v>8.5209069959896647E-2</v>
      </c>
    </row>
    <row r="71" spans="1:38">
      <c r="A71" s="236"/>
      <c r="B71" s="236"/>
      <c r="C71" s="236" t="s">
        <v>541</v>
      </c>
      <c r="D71" s="236"/>
      <c r="E71" s="236"/>
      <c r="F71" s="259" t="s">
        <v>359</v>
      </c>
      <c r="G71" s="259" t="s">
        <v>702</v>
      </c>
      <c r="H71" s="236" t="s">
        <v>661</v>
      </c>
      <c r="I71" s="236">
        <v>2019</v>
      </c>
      <c r="J71" s="236" t="s">
        <v>650</v>
      </c>
      <c r="K71" s="226">
        <f t="shared" ref="K71:AL71" si="3">1-K70</f>
        <v>0.91479093004010337</v>
      </c>
      <c r="L71" s="226">
        <f t="shared" si="3"/>
        <v>0.9942227400056004</v>
      </c>
      <c r="M71" s="226">
        <f t="shared" si="3"/>
        <v>0.91479093004010337</v>
      </c>
      <c r="N71" s="226">
        <f t="shared" si="3"/>
        <v>0.91479093004010337</v>
      </c>
      <c r="O71" s="226">
        <f t="shared" si="3"/>
        <v>0.91479093004010337</v>
      </c>
      <c r="P71" s="226">
        <f t="shared" si="3"/>
        <v>0.91479093004010337</v>
      </c>
      <c r="Q71" s="226">
        <f t="shared" si="3"/>
        <v>0.99532197575468706</v>
      </c>
      <c r="R71" s="226">
        <f t="shared" si="3"/>
        <v>0.91479093004010337</v>
      </c>
      <c r="S71" s="226">
        <f t="shared" si="3"/>
        <v>0.91479093004010337</v>
      </c>
      <c r="T71" s="226">
        <f t="shared" si="3"/>
        <v>0.91479093004010337</v>
      </c>
      <c r="U71" s="226">
        <f t="shared" si="3"/>
        <v>0.33765800950286429</v>
      </c>
      <c r="V71" s="226">
        <f t="shared" si="3"/>
        <v>0.91479093004010337</v>
      </c>
      <c r="W71" s="226">
        <f t="shared" si="3"/>
        <v>0.91479093004010337</v>
      </c>
      <c r="X71" s="226">
        <f t="shared" si="3"/>
        <v>1</v>
      </c>
      <c r="Y71" s="226">
        <f t="shared" si="3"/>
        <v>0.93705146490379854</v>
      </c>
      <c r="Z71" s="226">
        <f t="shared" si="3"/>
        <v>1</v>
      </c>
      <c r="AA71" s="226">
        <f t="shared" si="3"/>
        <v>0.89553709171070139</v>
      </c>
      <c r="AB71" s="226">
        <f t="shared" si="3"/>
        <v>0.91479093004010337</v>
      </c>
      <c r="AC71" s="226">
        <f t="shared" si="3"/>
        <v>0.91479093004010337</v>
      </c>
      <c r="AD71" s="226">
        <f t="shared" si="3"/>
        <v>0.90290894856348525</v>
      </c>
      <c r="AE71" s="226">
        <f t="shared" si="3"/>
        <v>1</v>
      </c>
      <c r="AF71" s="226">
        <f t="shared" si="3"/>
        <v>0.91479093004010337</v>
      </c>
      <c r="AG71" s="226">
        <f t="shared" si="3"/>
        <v>1</v>
      </c>
      <c r="AH71" s="226">
        <f t="shared" si="3"/>
        <v>0.91479093004010337</v>
      </c>
      <c r="AI71" s="226">
        <f t="shared" si="3"/>
        <v>0.91479093004010337</v>
      </c>
      <c r="AJ71" s="226">
        <f t="shared" si="3"/>
        <v>0.91479093004010337</v>
      </c>
      <c r="AK71" s="226">
        <f t="shared" si="3"/>
        <v>1</v>
      </c>
      <c r="AL71" s="226">
        <f t="shared" si="3"/>
        <v>0.91479093004010337</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CF340-3AE9-4216-A757-EF81EE293843}">
  <sheetPr>
    <tabColor theme="4" tint="0.39997558519241921"/>
  </sheetPr>
  <dimension ref="A1:AF87"/>
  <sheetViews>
    <sheetView workbookViewId="0">
      <pane xSplit="3" ySplit="5" topLeftCell="D63" activePane="bottomRight" state="frozen"/>
      <selection pane="topRight" activeCell="D1" sqref="D1"/>
      <selection pane="bottomLeft" activeCell="A6" sqref="A6"/>
      <selection pane="bottomRight" activeCell="D75" sqref="D75"/>
    </sheetView>
  </sheetViews>
  <sheetFormatPr defaultColWidth="7.69921875" defaultRowHeight="15.6"/>
  <cols>
    <col min="1" max="1" width="11.59765625" style="60" bestFit="1" customWidth="1"/>
    <col min="2" max="2" width="25.09765625" style="59" bestFit="1" customWidth="1"/>
    <col min="3" max="3" width="5.69921875" style="59" bestFit="1" customWidth="1"/>
    <col min="4" max="4" width="13.3984375" style="59" bestFit="1" customWidth="1"/>
    <col min="5" max="5" width="11.09765625" style="59" bestFit="1" customWidth="1"/>
    <col min="6" max="6" width="8" style="59" bestFit="1" customWidth="1"/>
    <col min="7" max="10" width="9.5" style="59" bestFit="1" customWidth="1"/>
    <col min="11" max="11" width="8" style="59" bestFit="1" customWidth="1"/>
    <col min="12" max="13" width="9.5" style="59" bestFit="1" customWidth="1"/>
    <col min="14" max="14" width="8" style="59" bestFit="1" customWidth="1"/>
    <col min="15" max="15" width="10.5" style="59" bestFit="1" customWidth="1"/>
    <col min="16" max="19" width="9.5" style="59" bestFit="1" customWidth="1"/>
    <col min="20" max="20" width="10.5" style="59" bestFit="1" customWidth="1"/>
    <col min="21" max="21" width="9.5" style="59" bestFit="1" customWidth="1"/>
    <col min="22" max="22" width="10.5" style="59" bestFit="1" customWidth="1"/>
    <col min="23" max="25" width="9.5" style="59" bestFit="1" customWidth="1"/>
    <col min="26" max="26" width="10.5" style="59" bestFit="1" customWidth="1"/>
    <col min="27" max="27" width="9.5" style="59" bestFit="1" customWidth="1"/>
    <col min="28" max="28" width="8" style="59" bestFit="1" customWidth="1"/>
    <col min="29" max="29" width="10.5" style="59" bestFit="1" customWidth="1"/>
    <col min="30" max="30" width="9.5" style="59" bestFit="1" customWidth="1"/>
    <col min="31" max="31" width="10.5" style="59" bestFit="1" customWidth="1"/>
    <col min="32" max="16384" width="7.69921875" style="59"/>
  </cols>
  <sheetData>
    <row r="1" spans="1:32" s="60" customFormat="1" ht="14.4">
      <c r="A1" s="586" t="s">
        <v>716</v>
      </c>
      <c r="B1" s="586"/>
      <c r="C1" s="586"/>
      <c r="D1" s="586"/>
    </row>
    <row r="2" spans="1:32" s="60" customFormat="1" ht="14.4">
      <c r="A2" s="586"/>
      <c r="B2" s="586"/>
      <c r="C2" s="586"/>
      <c r="D2" s="586"/>
    </row>
    <row r="3" spans="1:32" s="60" customFormat="1" ht="14.4"/>
    <row r="4" spans="1:32" s="60" customFormat="1" ht="14.4">
      <c r="A4" s="86"/>
      <c r="B4" s="63"/>
      <c r="C4" s="63"/>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6"/>
    </row>
    <row r="5" spans="1:32">
      <c r="A5" s="90" t="s">
        <v>717</v>
      </c>
      <c r="B5" s="68" t="s">
        <v>718</v>
      </c>
      <c r="C5" s="68" t="s">
        <v>375</v>
      </c>
      <c r="D5" s="69" t="s">
        <v>172</v>
      </c>
      <c r="E5" s="69" t="s">
        <v>175</v>
      </c>
      <c r="F5" s="69" t="s">
        <v>178</v>
      </c>
      <c r="G5" s="69" t="s">
        <v>181</v>
      </c>
      <c r="H5" s="69" t="s">
        <v>184</v>
      </c>
      <c r="I5" s="69" t="s">
        <v>187</v>
      </c>
      <c r="J5" s="69" t="s">
        <v>190</v>
      </c>
      <c r="K5" s="69" t="s">
        <v>193</v>
      </c>
      <c r="L5" s="69" t="s">
        <v>196</v>
      </c>
      <c r="M5" s="69" t="s">
        <v>198</v>
      </c>
      <c r="N5" s="69" t="s">
        <v>200</v>
      </c>
      <c r="O5" s="69" t="s">
        <v>202</v>
      </c>
      <c r="P5" s="69" t="s">
        <v>205</v>
      </c>
      <c r="Q5" s="69" t="s">
        <v>208</v>
      </c>
      <c r="R5" s="69" t="s">
        <v>211</v>
      </c>
      <c r="S5" s="69" t="s">
        <v>214</v>
      </c>
      <c r="T5" s="69" t="s">
        <v>217</v>
      </c>
      <c r="U5" s="69" t="s">
        <v>220</v>
      </c>
      <c r="V5" s="69" t="s">
        <v>223</v>
      </c>
      <c r="W5" s="69" t="s">
        <v>225</v>
      </c>
      <c r="X5" s="69" t="s">
        <v>227</v>
      </c>
      <c r="Y5" s="69" t="s">
        <v>230</v>
      </c>
      <c r="Z5" s="69" t="s">
        <v>233</v>
      </c>
      <c r="AA5" s="69" t="s">
        <v>236</v>
      </c>
      <c r="AB5" s="69" t="s">
        <v>238</v>
      </c>
      <c r="AC5" s="69" t="s">
        <v>240</v>
      </c>
      <c r="AD5" s="69" t="s">
        <v>243</v>
      </c>
      <c r="AE5" s="69" t="s">
        <v>245</v>
      </c>
      <c r="AF5" s="70"/>
    </row>
    <row r="6" spans="1:32" s="103" customFormat="1">
      <c r="A6" s="98" t="s">
        <v>719</v>
      </c>
      <c r="B6" s="99" t="s">
        <v>525</v>
      </c>
      <c r="C6" s="100" t="s">
        <v>387</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-24</v>
      </c>
      <c r="U6" s="101">
        <v>0</v>
      </c>
      <c r="V6" s="101">
        <v>0</v>
      </c>
      <c r="W6" s="101">
        <v>0</v>
      </c>
      <c r="X6" s="101">
        <v>0</v>
      </c>
      <c r="Y6" s="101">
        <v>0</v>
      </c>
      <c r="Z6" s="101">
        <v>0</v>
      </c>
      <c r="AA6" s="101">
        <v>0</v>
      </c>
      <c r="AB6" s="101">
        <v>0</v>
      </c>
      <c r="AC6" s="101">
        <v>0</v>
      </c>
      <c r="AD6" s="101">
        <v>0</v>
      </c>
      <c r="AE6" s="101">
        <v>0</v>
      </c>
      <c r="AF6" s="102"/>
    </row>
    <row r="7" spans="1:32" s="103" customFormat="1">
      <c r="A7" s="98" t="s">
        <v>719</v>
      </c>
      <c r="B7" s="99" t="s">
        <v>527</v>
      </c>
      <c r="C7" s="100" t="s">
        <v>387</v>
      </c>
      <c r="D7" s="101">
        <v>0</v>
      </c>
      <c r="E7" s="101">
        <v>-508</v>
      </c>
      <c r="F7" s="101">
        <v>0</v>
      </c>
      <c r="G7" s="101">
        <v>0</v>
      </c>
      <c r="H7" s="101">
        <v>-1642</v>
      </c>
      <c r="I7" s="101">
        <v>0</v>
      </c>
      <c r="J7" s="101">
        <v>0</v>
      </c>
      <c r="K7" s="101">
        <v>0</v>
      </c>
      <c r="L7" s="101">
        <v>0</v>
      </c>
      <c r="M7" s="101">
        <v>0</v>
      </c>
      <c r="N7" s="101">
        <v>0</v>
      </c>
      <c r="O7" s="101">
        <v>0</v>
      </c>
      <c r="P7" s="101">
        <v>-6389</v>
      </c>
      <c r="Q7" s="101">
        <v>-30162</v>
      </c>
      <c r="R7" s="101">
        <v>-30101</v>
      </c>
      <c r="S7" s="101">
        <v>-94630</v>
      </c>
      <c r="T7" s="101">
        <v>-241100</v>
      </c>
      <c r="U7" s="101">
        <v>-7779</v>
      </c>
      <c r="V7" s="101">
        <v>-68539</v>
      </c>
      <c r="W7" s="101">
        <v>-349069</v>
      </c>
      <c r="X7" s="101">
        <v>0</v>
      </c>
      <c r="Y7" s="101">
        <v>-27762</v>
      </c>
      <c r="Z7" s="101">
        <v>0</v>
      </c>
      <c r="AA7" s="101">
        <v>0</v>
      </c>
      <c r="AB7" s="101">
        <v>0</v>
      </c>
      <c r="AC7" s="101">
        <v>-67280</v>
      </c>
      <c r="AD7" s="101">
        <v>-202209</v>
      </c>
      <c r="AE7" s="101">
        <v>-26858</v>
      </c>
      <c r="AF7" s="102"/>
    </row>
    <row r="8" spans="1:32" s="103" customFormat="1">
      <c r="A8" s="98" t="s">
        <v>719</v>
      </c>
      <c r="B8" s="99" t="s">
        <v>533</v>
      </c>
      <c r="C8" s="100" t="s">
        <v>387</v>
      </c>
      <c r="D8" s="101">
        <v>0</v>
      </c>
      <c r="E8" s="101">
        <v>-16215</v>
      </c>
      <c r="F8" s="101">
        <v>0</v>
      </c>
      <c r="G8" s="101">
        <v>-45329</v>
      </c>
      <c r="H8" s="101">
        <v>-52807</v>
      </c>
      <c r="I8" s="101">
        <v>-56573</v>
      </c>
      <c r="J8" s="101">
        <v>-4858</v>
      </c>
      <c r="K8" s="101">
        <v>0</v>
      </c>
      <c r="L8" s="101">
        <v>0</v>
      </c>
      <c r="M8" s="101">
        <v>-52955</v>
      </c>
      <c r="N8" s="101">
        <v>-8024</v>
      </c>
      <c r="O8" s="101">
        <v>-9761909</v>
      </c>
      <c r="P8" s="101">
        <v>-257714</v>
      </c>
      <c r="Q8" s="101">
        <v>-62348</v>
      </c>
      <c r="R8" s="101">
        <v>-192455</v>
      </c>
      <c r="S8" s="101">
        <v>-162461</v>
      </c>
      <c r="T8" s="101">
        <v>-461002</v>
      </c>
      <c r="U8" s="101">
        <v>0</v>
      </c>
      <c r="V8" s="101">
        <v>-1020695</v>
      </c>
      <c r="W8" s="101">
        <v>-812199</v>
      </c>
      <c r="X8" s="101">
        <v>-20353</v>
      </c>
      <c r="Y8" s="101">
        <v>-95610</v>
      </c>
      <c r="Z8" s="101">
        <v>-35292</v>
      </c>
      <c r="AA8" s="101">
        <v>-39121</v>
      </c>
      <c r="AB8" s="101">
        <v>0</v>
      </c>
      <c r="AC8" s="101">
        <v>-478411</v>
      </c>
      <c r="AD8" s="101">
        <v>-413916</v>
      </c>
      <c r="AE8" s="101">
        <v>-239829</v>
      </c>
      <c r="AF8" s="102"/>
    </row>
    <row r="9" spans="1:32" s="103" customFormat="1">
      <c r="A9" s="98" t="s">
        <v>719</v>
      </c>
      <c r="B9" s="99" t="s">
        <v>541</v>
      </c>
      <c r="C9" s="100" t="s">
        <v>387</v>
      </c>
      <c r="D9" s="101">
        <v>0</v>
      </c>
      <c r="E9" s="101">
        <v>0</v>
      </c>
      <c r="F9" s="101">
        <v>0</v>
      </c>
      <c r="G9" s="101">
        <v>0</v>
      </c>
      <c r="H9" s="101">
        <v>0</v>
      </c>
      <c r="I9" s="101">
        <v>0</v>
      </c>
      <c r="J9" s="101">
        <v>0</v>
      </c>
      <c r="K9" s="101">
        <v>0</v>
      </c>
      <c r="L9" s="101">
        <v>0</v>
      </c>
      <c r="M9" s="101">
        <v>0</v>
      </c>
      <c r="N9" s="101">
        <v>0</v>
      </c>
      <c r="O9" s="101">
        <v>0</v>
      </c>
      <c r="P9" s="101">
        <v>0</v>
      </c>
      <c r="Q9" s="101">
        <v>0</v>
      </c>
      <c r="R9" s="101">
        <v>-1181</v>
      </c>
      <c r="S9" s="101">
        <v>0</v>
      </c>
      <c r="T9" s="101">
        <v>0</v>
      </c>
      <c r="U9" s="101">
        <v>0</v>
      </c>
      <c r="V9" s="101">
        <v>0</v>
      </c>
      <c r="W9" s="101">
        <v>0</v>
      </c>
      <c r="X9" s="101">
        <v>0</v>
      </c>
      <c r="Y9" s="101">
        <v>0</v>
      </c>
      <c r="Z9" s="101">
        <v>0</v>
      </c>
      <c r="AA9" s="101">
        <v>0</v>
      </c>
      <c r="AB9" s="101">
        <v>0</v>
      </c>
      <c r="AC9" s="101">
        <v>0</v>
      </c>
      <c r="AD9" s="101">
        <v>0</v>
      </c>
      <c r="AE9" s="101">
        <v>0</v>
      </c>
      <c r="AF9" s="102"/>
    </row>
    <row r="10" spans="1:32" s="103" customFormat="1">
      <c r="A10" s="98" t="s">
        <v>719</v>
      </c>
      <c r="B10" s="99" t="s">
        <v>548</v>
      </c>
      <c r="C10" s="100" t="s">
        <v>387</v>
      </c>
      <c r="D10" s="101">
        <v>0</v>
      </c>
      <c r="E10" s="101">
        <v>0</v>
      </c>
      <c r="F10" s="101">
        <v>0</v>
      </c>
      <c r="G10" s="101">
        <v>0</v>
      </c>
      <c r="H10" s="101">
        <v>0</v>
      </c>
      <c r="I10" s="101">
        <v>-5074</v>
      </c>
      <c r="J10" s="101">
        <v>0</v>
      </c>
      <c r="K10" s="101">
        <v>0</v>
      </c>
      <c r="L10" s="101">
        <v>0</v>
      </c>
      <c r="M10" s="101">
        <v>0</v>
      </c>
      <c r="N10" s="101">
        <v>0</v>
      </c>
      <c r="O10" s="101">
        <v>0</v>
      </c>
      <c r="P10" s="101">
        <v>0</v>
      </c>
      <c r="Q10" s="101">
        <v>0</v>
      </c>
      <c r="R10" s="101">
        <v>0</v>
      </c>
      <c r="S10" s="101">
        <v>0</v>
      </c>
      <c r="T10" s="101">
        <v>-1414</v>
      </c>
      <c r="U10" s="101">
        <v>0</v>
      </c>
      <c r="V10" s="101">
        <v>0</v>
      </c>
      <c r="W10" s="101">
        <v>0</v>
      </c>
      <c r="X10" s="101">
        <v>0</v>
      </c>
      <c r="Y10" s="101">
        <v>0</v>
      </c>
      <c r="Z10" s="101">
        <v>0</v>
      </c>
      <c r="AA10" s="101">
        <v>0</v>
      </c>
      <c r="AB10" s="101">
        <v>0</v>
      </c>
      <c r="AC10" s="101">
        <v>0</v>
      </c>
      <c r="AD10" s="101">
        <v>0</v>
      </c>
      <c r="AE10" s="101">
        <v>0</v>
      </c>
      <c r="AF10" s="102"/>
    </row>
    <row r="11" spans="1:32" s="103" customFormat="1">
      <c r="A11" s="98" t="s">
        <v>719</v>
      </c>
      <c r="B11" s="99" t="s">
        <v>558</v>
      </c>
      <c r="C11" s="100" t="s">
        <v>387</v>
      </c>
      <c r="D11" s="101">
        <v>0</v>
      </c>
      <c r="E11" s="101">
        <v>0</v>
      </c>
      <c r="F11" s="101">
        <v>0</v>
      </c>
      <c r="G11" s="101">
        <v>0</v>
      </c>
      <c r="H11" s="101">
        <v>0</v>
      </c>
      <c r="I11" s="101">
        <v>0</v>
      </c>
      <c r="J11" s="101">
        <v>0</v>
      </c>
      <c r="K11" s="101">
        <v>0</v>
      </c>
      <c r="L11" s="101">
        <v>0</v>
      </c>
      <c r="M11" s="101">
        <v>0</v>
      </c>
      <c r="N11" s="101">
        <v>0</v>
      </c>
      <c r="O11" s="101">
        <v>0</v>
      </c>
      <c r="P11" s="101">
        <v>0</v>
      </c>
      <c r="Q11" s="101">
        <v>0</v>
      </c>
      <c r="R11" s="101">
        <v>0</v>
      </c>
      <c r="S11" s="101">
        <v>0</v>
      </c>
      <c r="T11" s="101">
        <v>0</v>
      </c>
      <c r="U11" s="101">
        <v>0</v>
      </c>
      <c r="V11" s="101">
        <v>0</v>
      </c>
      <c r="W11" s="101">
        <v>0</v>
      </c>
      <c r="X11" s="101">
        <v>-31850</v>
      </c>
      <c r="Y11" s="101">
        <v>0</v>
      </c>
      <c r="Z11" s="101">
        <v>0</v>
      </c>
      <c r="AA11" s="101">
        <v>0</v>
      </c>
      <c r="AB11" s="101">
        <v>0</v>
      </c>
      <c r="AC11" s="101">
        <v>0</v>
      </c>
      <c r="AD11" s="101">
        <v>0</v>
      </c>
      <c r="AE11" s="101">
        <v>0</v>
      </c>
      <c r="AF11" s="102"/>
    </row>
    <row r="12" spans="1:32">
      <c r="A12" s="96"/>
      <c r="B12" s="79"/>
      <c r="C12" s="79"/>
      <c r="D12" s="79"/>
      <c r="E12" s="79"/>
      <c r="F12" s="79"/>
      <c r="G12" s="79"/>
      <c r="H12" s="79"/>
      <c r="I12" s="79"/>
      <c r="J12" s="79"/>
      <c r="K12" s="79"/>
      <c r="L12" s="79"/>
      <c r="M12" s="79"/>
      <c r="N12" s="79"/>
      <c r="O12" s="79"/>
      <c r="P12" s="79"/>
      <c r="Q12" s="79"/>
      <c r="R12" s="79"/>
      <c r="S12" s="79"/>
      <c r="T12" s="79"/>
      <c r="U12" s="79"/>
      <c r="V12" s="79"/>
      <c r="W12" s="79"/>
      <c r="X12" s="79"/>
      <c r="Y12" s="79"/>
      <c r="Z12" s="79"/>
      <c r="AA12" s="79"/>
      <c r="AB12" s="79"/>
      <c r="AC12" s="79"/>
      <c r="AD12" s="79"/>
      <c r="AE12" s="79"/>
      <c r="AF12" s="70"/>
    </row>
    <row r="13" spans="1:32">
      <c r="A13" s="95" t="s">
        <v>720</v>
      </c>
      <c r="B13" s="71" t="s">
        <v>527</v>
      </c>
      <c r="C13" s="74" t="s">
        <v>387</v>
      </c>
      <c r="D13" s="73">
        <v>0</v>
      </c>
      <c r="E13" s="73">
        <v>-14532</v>
      </c>
      <c r="F13" s="73">
        <v>0</v>
      </c>
      <c r="G13" s="73">
        <v>-82420</v>
      </c>
      <c r="H13" s="73">
        <v>-121746</v>
      </c>
      <c r="I13" s="73">
        <v>-81877</v>
      </c>
      <c r="J13" s="73">
        <v>0</v>
      </c>
      <c r="K13" s="73">
        <v>0</v>
      </c>
      <c r="L13" s="73">
        <v>-290360</v>
      </c>
      <c r="M13" s="73">
        <v>-89166</v>
      </c>
      <c r="N13" s="73">
        <v>-16142</v>
      </c>
      <c r="O13" s="73">
        <v>-15039318</v>
      </c>
      <c r="P13" s="73">
        <v>-379416</v>
      </c>
      <c r="Q13" s="73">
        <v>-52836</v>
      </c>
      <c r="R13" s="73">
        <v>-527878</v>
      </c>
      <c r="S13" s="73">
        <v>-205725</v>
      </c>
      <c r="T13" s="73">
        <v>-600926</v>
      </c>
      <c r="U13" s="73">
        <v>-152300</v>
      </c>
      <c r="V13" s="73">
        <v>-1349171</v>
      </c>
      <c r="W13" s="73">
        <v>-1235859</v>
      </c>
      <c r="X13" s="73">
        <v>-106615</v>
      </c>
      <c r="Y13" s="73">
        <v>-151056</v>
      </c>
      <c r="Z13" s="73">
        <v>-63554</v>
      </c>
      <c r="AA13" s="73">
        <v>-38083</v>
      </c>
      <c r="AB13" s="73">
        <v>0</v>
      </c>
      <c r="AC13" s="73">
        <v>-1910106</v>
      </c>
      <c r="AD13" s="73">
        <v>-650757</v>
      </c>
      <c r="AE13" s="73">
        <v>-443072</v>
      </c>
      <c r="AF13" s="70"/>
    </row>
    <row r="14" spans="1:32">
      <c r="A14" s="95" t="s">
        <v>720</v>
      </c>
      <c r="B14" s="71" t="s">
        <v>529</v>
      </c>
      <c r="C14" s="74" t="s">
        <v>387</v>
      </c>
      <c r="D14" s="73">
        <v>0</v>
      </c>
      <c r="E14" s="73">
        <v>0</v>
      </c>
      <c r="F14" s="73">
        <v>0</v>
      </c>
      <c r="G14" s="73">
        <v>0</v>
      </c>
      <c r="H14" s="73">
        <v>0</v>
      </c>
      <c r="I14" s="73">
        <v>0</v>
      </c>
      <c r="J14" s="73">
        <v>0</v>
      </c>
      <c r="K14" s="73">
        <v>0</v>
      </c>
      <c r="L14" s="73">
        <v>0</v>
      </c>
      <c r="M14" s="73">
        <v>0</v>
      </c>
      <c r="N14" s="73">
        <v>0</v>
      </c>
      <c r="O14" s="73">
        <v>0</v>
      </c>
      <c r="P14" s="73">
        <v>0</v>
      </c>
      <c r="Q14" s="73">
        <v>0</v>
      </c>
      <c r="R14" s="73">
        <v>0</v>
      </c>
      <c r="S14" s="73">
        <v>0</v>
      </c>
      <c r="T14" s="73">
        <v>-7860</v>
      </c>
      <c r="U14" s="73">
        <v>0</v>
      </c>
      <c r="V14" s="73">
        <v>0</v>
      </c>
      <c r="W14" s="73">
        <v>0</v>
      </c>
      <c r="X14" s="73">
        <v>0</v>
      </c>
      <c r="Y14" s="73">
        <v>0</v>
      </c>
      <c r="Z14" s="73">
        <v>0</v>
      </c>
      <c r="AA14" s="73">
        <v>0</v>
      </c>
      <c r="AB14" s="73">
        <v>0</v>
      </c>
      <c r="AC14" s="73">
        <v>0</v>
      </c>
      <c r="AD14" s="73">
        <v>0</v>
      </c>
      <c r="AE14" s="73">
        <v>0</v>
      </c>
      <c r="AF14" s="70"/>
    </row>
    <row r="15" spans="1:32">
      <c r="A15" s="95" t="s">
        <v>720</v>
      </c>
      <c r="B15" s="71" t="s">
        <v>541</v>
      </c>
      <c r="C15" s="74" t="s">
        <v>387</v>
      </c>
      <c r="D15" s="73">
        <v>0</v>
      </c>
      <c r="E15" s="73">
        <v>0</v>
      </c>
      <c r="F15" s="73">
        <v>0</v>
      </c>
      <c r="G15" s="73">
        <v>0</v>
      </c>
      <c r="H15" s="73">
        <v>0</v>
      </c>
      <c r="I15" s="73">
        <v>0</v>
      </c>
      <c r="J15" s="73">
        <v>0</v>
      </c>
      <c r="K15" s="73">
        <v>0</v>
      </c>
      <c r="L15" s="73">
        <v>0</v>
      </c>
      <c r="M15" s="73">
        <v>0</v>
      </c>
      <c r="N15" s="73">
        <v>0</v>
      </c>
      <c r="O15" s="73">
        <v>0</v>
      </c>
      <c r="P15" s="73">
        <v>0</v>
      </c>
      <c r="Q15" s="73">
        <v>-1002</v>
      </c>
      <c r="R15" s="73">
        <v>0</v>
      </c>
      <c r="S15" s="73">
        <v>0</v>
      </c>
      <c r="T15" s="73">
        <v>0</v>
      </c>
      <c r="U15" s="73">
        <v>0</v>
      </c>
      <c r="V15" s="73">
        <v>0</v>
      </c>
      <c r="W15" s="73">
        <v>0</v>
      </c>
      <c r="X15" s="73">
        <v>0</v>
      </c>
      <c r="Y15" s="73">
        <v>0</v>
      </c>
      <c r="Z15" s="73">
        <v>0</v>
      </c>
      <c r="AA15" s="73">
        <v>0</v>
      </c>
      <c r="AB15" s="73">
        <v>0</v>
      </c>
      <c r="AC15" s="73">
        <v>0</v>
      </c>
      <c r="AD15" s="73">
        <v>0</v>
      </c>
      <c r="AE15" s="73">
        <v>0</v>
      </c>
      <c r="AF15" s="70"/>
    </row>
    <row r="16" spans="1:32">
      <c r="A16" s="95" t="s">
        <v>720</v>
      </c>
      <c r="B16" s="71" t="s">
        <v>552</v>
      </c>
      <c r="C16" s="74" t="s">
        <v>387</v>
      </c>
      <c r="D16" s="73">
        <v>0</v>
      </c>
      <c r="E16" s="73">
        <v>0</v>
      </c>
      <c r="F16" s="73">
        <v>0</v>
      </c>
      <c r="G16" s="73">
        <v>0</v>
      </c>
      <c r="H16" s="73">
        <v>0</v>
      </c>
      <c r="I16" s="73">
        <v>0</v>
      </c>
      <c r="J16" s="73">
        <v>0</v>
      </c>
      <c r="K16" s="73">
        <v>0</v>
      </c>
      <c r="L16" s="73">
        <v>0</v>
      </c>
      <c r="M16" s="73">
        <v>0</v>
      </c>
      <c r="N16" s="73">
        <v>0</v>
      </c>
      <c r="O16" s="73">
        <v>0</v>
      </c>
      <c r="P16" s="73">
        <v>0</v>
      </c>
      <c r="Q16" s="73">
        <v>0</v>
      </c>
      <c r="R16" s="73">
        <v>0</v>
      </c>
      <c r="S16" s="73">
        <v>-1</v>
      </c>
      <c r="T16" s="73">
        <v>0</v>
      </c>
      <c r="U16" s="73">
        <v>0</v>
      </c>
      <c r="V16" s="73">
        <v>0</v>
      </c>
      <c r="W16" s="73">
        <v>0</v>
      </c>
      <c r="X16" s="73">
        <v>0</v>
      </c>
      <c r="Y16" s="73">
        <v>0</v>
      </c>
      <c r="Z16" s="73">
        <v>0</v>
      </c>
      <c r="AA16" s="73">
        <v>0</v>
      </c>
      <c r="AB16" s="73">
        <v>0</v>
      </c>
      <c r="AC16" s="73">
        <v>0</v>
      </c>
      <c r="AD16" s="73">
        <v>0</v>
      </c>
      <c r="AE16" s="73">
        <v>0</v>
      </c>
      <c r="AF16" s="70"/>
    </row>
    <row r="17" spans="1:32">
      <c r="A17" s="95" t="s">
        <v>720</v>
      </c>
      <c r="B17" s="71" t="s">
        <v>558</v>
      </c>
      <c r="C17" s="74" t="s">
        <v>387</v>
      </c>
      <c r="D17" s="73">
        <v>0</v>
      </c>
      <c r="E17" s="73">
        <v>0</v>
      </c>
      <c r="F17" s="73">
        <v>0</v>
      </c>
      <c r="G17" s="73">
        <v>0</v>
      </c>
      <c r="H17" s="73">
        <v>0</v>
      </c>
      <c r="I17" s="73">
        <v>0</v>
      </c>
      <c r="J17" s="73">
        <v>0</v>
      </c>
      <c r="K17" s="73">
        <v>0</v>
      </c>
      <c r="L17" s="73">
        <v>-49911</v>
      </c>
      <c r="M17" s="73">
        <v>0</v>
      </c>
      <c r="N17" s="73">
        <v>0</v>
      </c>
      <c r="O17" s="73">
        <v>0</v>
      </c>
      <c r="P17" s="73">
        <v>0</v>
      </c>
      <c r="Q17" s="73">
        <v>0</v>
      </c>
      <c r="R17" s="73">
        <v>0</v>
      </c>
      <c r="S17" s="73">
        <v>0</v>
      </c>
      <c r="T17" s="73">
        <v>-12833</v>
      </c>
      <c r="U17" s="73">
        <v>0</v>
      </c>
      <c r="V17" s="73">
        <v>0</v>
      </c>
      <c r="W17" s="73">
        <v>-15839</v>
      </c>
      <c r="X17" s="73">
        <v>0</v>
      </c>
      <c r="Y17" s="73">
        <v>0</v>
      </c>
      <c r="Z17" s="73">
        <v>0</v>
      </c>
      <c r="AA17" s="73">
        <v>0</v>
      </c>
      <c r="AB17" s="73">
        <v>0</v>
      </c>
      <c r="AC17" s="73">
        <v>0</v>
      </c>
      <c r="AD17" s="73">
        <v>0</v>
      </c>
      <c r="AE17" s="73">
        <v>0</v>
      </c>
      <c r="AF17" s="70"/>
    </row>
    <row r="18" spans="1:32">
      <c r="A18" s="95" t="s">
        <v>720</v>
      </c>
      <c r="B18" s="71" t="s">
        <v>560</v>
      </c>
      <c r="C18" s="74" t="s">
        <v>387</v>
      </c>
      <c r="D18" s="73">
        <v>0</v>
      </c>
      <c r="E18" s="73">
        <v>0</v>
      </c>
      <c r="F18" s="73">
        <v>0</v>
      </c>
      <c r="G18" s="73">
        <v>0</v>
      </c>
      <c r="H18" s="73">
        <v>0</v>
      </c>
      <c r="I18" s="73">
        <v>0</v>
      </c>
      <c r="J18" s="73">
        <v>0</v>
      </c>
      <c r="K18" s="73">
        <v>0</v>
      </c>
      <c r="L18" s="73">
        <v>0</v>
      </c>
      <c r="M18" s="73">
        <v>0</v>
      </c>
      <c r="N18" s="73">
        <v>0</v>
      </c>
      <c r="O18" s="73">
        <v>0</v>
      </c>
      <c r="P18" s="73">
        <v>0</v>
      </c>
      <c r="Q18" s="73">
        <v>0</v>
      </c>
      <c r="R18" s="73">
        <v>0</v>
      </c>
      <c r="S18" s="73">
        <v>0</v>
      </c>
      <c r="T18" s="73">
        <v>0</v>
      </c>
      <c r="U18" s="73">
        <v>0</v>
      </c>
      <c r="V18" s="73">
        <v>0</v>
      </c>
      <c r="W18" s="73">
        <v>-4872</v>
      </c>
      <c r="X18" s="73">
        <v>0</v>
      </c>
      <c r="Y18" s="73">
        <v>0</v>
      </c>
      <c r="Z18" s="73">
        <v>0</v>
      </c>
      <c r="AA18" s="73">
        <v>0</v>
      </c>
      <c r="AB18" s="73">
        <v>0</v>
      </c>
      <c r="AC18" s="73">
        <v>0</v>
      </c>
      <c r="AD18" s="73">
        <v>0</v>
      </c>
      <c r="AE18" s="73">
        <v>0</v>
      </c>
      <c r="AF18" s="70"/>
    </row>
    <row r="19" spans="1:32">
      <c r="A19" s="96"/>
      <c r="B19" s="79"/>
      <c r="C19" s="79"/>
      <c r="D19" s="79"/>
      <c r="E19" s="79"/>
      <c r="F19" s="79"/>
      <c r="G19" s="79"/>
      <c r="H19" s="79"/>
      <c r="I19" s="79"/>
      <c r="J19" s="79"/>
      <c r="K19" s="79"/>
      <c r="L19" s="79"/>
      <c r="M19" s="79"/>
      <c r="N19" s="79"/>
      <c r="O19" s="79"/>
      <c r="P19" s="79"/>
      <c r="Q19" s="79"/>
      <c r="R19" s="79"/>
      <c r="S19" s="79"/>
      <c r="T19" s="79"/>
      <c r="U19" s="79"/>
      <c r="V19" s="79"/>
      <c r="W19" s="79"/>
      <c r="X19" s="79"/>
      <c r="Y19" s="79"/>
      <c r="Z19" s="79"/>
      <c r="AA19" s="79"/>
      <c r="AB19" s="79"/>
      <c r="AC19" s="79"/>
      <c r="AD19" s="79"/>
      <c r="AE19" s="79"/>
      <c r="AF19" s="70"/>
    </row>
    <row r="20" spans="1:32">
      <c r="A20" s="95" t="s">
        <v>721</v>
      </c>
      <c r="B20" s="71" t="s">
        <v>527</v>
      </c>
      <c r="C20" s="74" t="s">
        <v>387</v>
      </c>
      <c r="D20" s="73">
        <v>0</v>
      </c>
      <c r="E20" s="73">
        <v>0</v>
      </c>
      <c r="F20" s="73">
        <v>0</v>
      </c>
      <c r="G20" s="73">
        <v>-235100</v>
      </c>
      <c r="H20" s="73">
        <v>0</v>
      </c>
      <c r="I20" s="73">
        <v>0</v>
      </c>
      <c r="J20" s="73">
        <v>0</v>
      </c>
      <c r="K20" s="73">
        <v>0</v>
      </c>
      <c r="L20" s="73">
        <v>0</v>
      </c>
      <c r="M20" s="73">
        <v>0</v>
      </c>
      <c r="N20" s="73">
        <v>0</v>
      </c>
      <c r="O20" s="73">
        <v>-665722</v>
      </c>
      <c r="P20" s="73">
        <v>0</v>
      </c>
      <c r="Q20" s="73">
        <v>0</v>
      </c>
      <c r="R20" s="73">
        <v>-66614</v>
      </c>
      <c r="S20" s="73">
        <v>0</v>
      </c>
      <c r="T20" s="73">
        <v>0</v>
      </c>
      <c r="U20" s="73">
        <v>0</v>
      </c>
      <c r="V20" s="73">
        <v>0</v>
      </c>
      <c r="W20" s="73">
        <v>0</v>
      </c>
      <c r="X20" s="73">
        <v>0</v>
      </c>
      <c r="Y20" s="73">
        <v>0</v>
      </c>
      <c r="Z20" s="73">
        <v>0</v>
      </c>
      <c r="AA20" s="73">
        <v>0</v>
      </c>
      <c r="AB20" s="73">
        <v>0</v>
      </c>
      <c r="AC20" s="73">
        <v>0</v>
      </c>
      <c r="AD20" s="73">
        <v>0</v>
      </c>
      <c r="AE20" s="73">
        <v>0</v>
      </c>
      <c r="AF20" s="70"/>
    </row>
    <row r="21" spans="1:32">
      <c r="A21" s="95" t="s">
        <v>721</v>
      </c>
      <c r="B21" s="71" t="s">
        <v>541</v>
      </c>
      <c r="C21" s="74" t="s">
        <v>387</v>
      </c>
      <c r="D21" s="73">
        <v>0</v>
      </c>
      <c r="E21" s="334">
        <v>0</v>
      </c>
      <c r="F21" s="73">
        <v>0</v>
      </c>
      <c r="G21" s="73">
        <v>-86744</v>
      </c>
      <c r="H21" s="73">
        <v>0</v>
      </c>
      <c r="I21" s="73">
        <v>-30343</v>
      </c>
      <c r="J21" s="73">
        <v>-46970</v>
      </c>
      <c r="K21" s="73">
        <v>0</v>
      </c>
      <c r="L21" s="73">
        <v>0</v>
      </c>
      <c r="M21" s="73">
        <v>-131379</v>
      </c>
      <c r="N21" s="73">
        <v>0</v>
      </c>
      <c r="O21" s="73">
        <v>-611771</v>
      </c>
      <c r="P21" s="73">
        <v>0</v>
      </c>
      <c r="Q21" s="73">
        <v>0</v>
      </c>
      <c r="R21" s="73">
        <v>-22283</v>
      </c>
      <c r="S21" s="73">
        <v>0</v>
      </c>
      <c r="T21" s="73">
        <v>-23452</v>
      </c>
      <c r="U21" s="73">
        <v>0</v>
      </c>
      <c r="V21" s="73">
        <v>0</v>
      </c>
      <c r="W21" s="73">
        <v>0</v>
      </c>
      <c r="X21" s="73">
        <v>-21950</v>
      </c>
      <c r="Y21" s="73">
        <v>-43992</v>
      </c>
      <c r="Z21" s="73">
        <v>-525861</v>
      </c>
      <c r="AA21" s="73">
        <v>-1298</v>
      </c>
      <c r="AB21" s="73">
        <v>-18420</v>
      </c>
      <c r="AC21" s="73">
        <v>-170964</v>
      </c>
      <c r="AD21" s="73">
        <v>0</v>
      </c>
      <c r="AE21" s="73">
        <v>-203150</v>
      </c>
      <c r="AF21" s="70"/>
    </row>
    <row r="22" spans="1:32">
      <c r="A22" s="96"/>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0"/>
    </row>
    <row r="23" spans="1:32">
      <c r="A23" s="95" t="s">
        <v>722</v>
      </c>
      <c r="B23" s="71" t="s">
        <v>541</v>
      </c>
      <c r="C23" s="74" t="s">
        <v>387</v>
      </c>
      <c r="D23" s="73">
        <v>0</v>
      </c>
      <c r="E23" s="73">
        <v>0</v>
      </c>
      <c r="F23" s="73">
        <v>0</v>
      </c>
      <c r="G23" s="73">
        <v>0</v>
      </c>
      <c r="H23" s="73">
        <v>0</v>
      </c>
      <c r="I23" s="73">
        <v>0</v>
      </c>
      <c r="J23" s="73">
        <v>0</v>
      </c>
      <c r="K23" s="73">
        <v>0</v>
      </c>
      <c r="L23" s="73">
        <v>0</v>
      </c>
      <c r="M23" s="73">
        <v>0</v>
      </c>
      <c r="N23" s="73">
        <v>0</v>
      </c>
      <c r="O23" s="73">
        <v>-113785</v>
      </c>
      <c r="P23" s="73">
        <v>0</v>
      </c>
      <c r="Q23" s="73">
        <v>0</v>
      </c>
      <c r="R23" s="73">
        <v>0</v>
      </c>
      <c r="S23" s="73">
        <v>0</v>
      </c>
      <c r="T23" s="73">
        <v>0</v>
      </c>
      <c r="U23" s="73">
        <v>0</v>
      </c>
      <c r="V23" s="73">
        <v>0</v>
      </c>
      <c r="W23" s="73">
        <v>0</v>
      </c>
      <c r="X23" s="73">
        <v>0</v>
      </c>
      <c r="Y23" s="73">
        <v>0</v>
      </c>
      <c r="Z23" s="73">
        <v>0</v>
      </c>
      <c r="AA23" s="73">
        <v>0</v>
      </c>
      <c r="AB23" s="73">
        <v>0</v>
      </c>
      <c r="AC23" s="73">
        <v>0</v>
      </c>
      <c r="AD23" s="73">
        <v>0</v>
      </c>
      <c r="AE23" s="73">
        <v>0</v>
      </c>
      <c r="AF23" s="70"/>
    </row>
    <row r="24" spans="1:32">
      <c r="A24" s="95" t="s">
        <v>722</v>
      </c>
      <c r="B24" s="71" t="s">
        <v>556</v>
      </c>
      <c r="C24" s="74" t="s">
        <v>387</v>
      </c>
      <c r="D24" s="73">
        <v>-149721</v>
      </c>
      <c r="E24" s="73">
        <v>-2613040</v>
      </c>
      <c r="F24" s="73">
        <v>-351159</v>
      </c>
      <c r="G24" s="73">
        <v>-1299175</v>
      </c>
      <c r="H24" s="73">
        <v>-1348580</v>
      </c>
      <c r="I24" s="73">
        <v>-1562245</v>
      </c>
      <c r="J24" s="73">
        <v>-5374371</v>
      </c>
      <c r="K24" s="73">
        <v>-675973</v>
      </c>
      <c r="L24" s="73">
        <v>-4269347</v>
      </c>
      <c r="M24" s="73">
        <v>-5032804</v>
      </c>
      <c r="N24" s="73">
        <v>-430309</v>
      </c>
      <c r="O24" s="73">
        <v>-31798001</v>
      </c>
      <c r="P24" s="73">
        <v>-1051614</v>
      </c>
      <c r="Q24" s="73">
        <v>-3189688</v>
      </c>
      <c r="R24" s="73">
        <v>-3388013</v>
      </c>
      <c r="S24" s="73">
        <v>-9276819</v>
      </c>
      <c r="T24" s="73">
        <v>-10199313</v>
      </c>
      <c r="U24" s="73">
        <v>-2971169</v>
      </c>
      <c r="V24" s="73">
        <v>-10821656</v>
      </c>
      <c r="W24" s="73">
        <v>-6468831</v>
      </c>
      <c r="X24" s="73">
        <v>-3911355</v>
      </c>
      <c r="Y24" s="73">
        <v>-2461257</v>
      </c>
      <c r="Z24" s="73">
        <v>-15607531</v>
      </c>
      <c r="AA24" s="73">
        <v>-1453687</v>
      </c>
      <c r="AB24" s="73">
        <v>-26676</v>
      </c>
      <c r="AC24" s="73">
        <v>-12983636</v>
      </c>
      <c r="AD24" s="73">
        <v>-6139385</v>
      </c>
      <c r="AE24" s="73">
        <v>-36272684</v>
      </c>
      <c r="AF24" s="70"/>
    </row>
    <row r="25" spans="1:32">
      <c r="A25" s="96"/>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0"/>
    </row>
    <row r="26" spans="1:32">
      <c r="A26" s="95" t="s">
        <v>723</v>
      </c>
      <c r="B26" s="71" t="s">
        <v>515</v>
      </c>
      <c r="C26" s="74" t="s">
        <v>387</v>
      </c>
      <c r="D26" s="73">
        <v>0</v>
      </c>
      <c r="E26" s="73">
        <v>0</v>
      </c>
      <c r="F26" s="73">
        <v>0</v>
      </c>
      <c r="G26" s="73">
        <v>0</v>
      </c>
      <c r="H26" s="73">
        <v>0</v>
      </c>
      <c r="I26" s="73">
        <v>0</v>
      </c>
      <c r="J26" s="73">
        <v>0</v>
      </c>
      <c r="K26" s="73">
        <v>0</v>
      </c>
      <c r="L26" s="73">
        <v>0</v>
      </c>
      <c r="M26" s="73">
        <v>0</v>
      </c>
      <c r="N26" s="73">
        <v>0</v>
      </c>
      <c r="O26" s="73">
        <v>0</v>
      </c>
      <c r="P26" s="73">
        <v>0</v>
      </c>
      <c r="Q26" s="73">
        <v>0</v>
      </c>
      <c r="R26" s="73">
        <v>0</v>
      </c>
      <c r="S26" s="73">
        <v>0</v>
      </c>
      <c r="T26" s="73">
        <v>0</v>
      </c>
      <c r="U26" s="73">
        <v>0</v>
      </c>
      <c r="V26" s="73">
        <v>0</v>
      </c>
      <c r="W26" s="73">
        <v>0</v>
      </c>
      <c r="X26" s="73">
        <v>0</v>
      </c>
      <c r="Y26" s="73">
        <v>0</v>
      </c>
      <c r="Z26" s="73">
        <v>0</v>
      </c>
      <c r="AA26" s="73">
        <v>0</v>
      </c>
      <c r="AB26" s="73">
        <v>0</v>
      </c>
      <c r="AC26" s="73">
        <v>0</v>
      </c>
      <c r="AD26" s="73">
        <v>0</v>
      </c>
      <c r="AE26" s="73">
        <v>0</v>
      </c>
      <c r="AF26" s="70"/>
    </row>
    <row r="27" spans="1:32">
      <c r="A27" s="95" t="s">
        <v>723</v>
      </c>
      <c r="B27" s="71" t="s">
        <v>525</v>
      </c>
      <c r="C27" s="74" t="s">
        <v>387</v>
      </c>
      <c r="D27" s="334">
        <v>-1128331.25491348</v>
      </c>
      <c r="E27" s="73">
        <v>-103141</v>
      </c>
      <c r="F27" s="73">
        <v>-911243</v>
      </c>
      <c r="G27" s="73">
        <v>-312471</v>
      </c>
      <c r="H27" s="73">
        <v>-14</v>
      </c>
      <c r="I27" s="73">
        <v>-4488</v>
      </c>
      <c r="J27" s="73">
        <v>-65254</v>
      </c>
      <c r="K27" s="73">
        <v>-11704</v>
      </c>
      <c r="L27" s="73">
        <v>-99232</v>
      </c>
      <c r="M27" s="73">
        <v>0</v>
      </c>
      <c r="N27" s="334">
        <v>-8862.9999999999909</v>
      </c>
      <c r="O27" s="73">
        <v>-54948</v>
      </c>
      <c r="P27" s="73">
        <v>-19816</v>
      </c>
      <c r="Q27" s="73">
        <v>-21114</v>
      </c>
      <c r="R27" s="73">
        <v>-1238</v>
      </c>
      <c r="S27" s="73">
        <v>-8635</v>
      </c>
      <c r="T27" s="73">
        <v>-15560</v>
      </c>
      <c r="U27" s="73">
        <v>-97618</v>
      </c>
      <c r="V27" s="73">
        <v>-283407</v>
      </c>
      <c r="W27" s="73">
        <v>-810</v>
      </c>
      <c r="X27" s="73">
        <v>-75133</v>
      </c>
      <c r="Y27" s="73">
        <v>-1607</v>
      </c>
      <c r="Z27" s="73">
        <v>-4805</v>
      </c>
      <c r="AA27" s="73">
        <v>0</v>
      </c>
      <c r="AB27" s="334">
        <v>-513642.85299778503</v>
      </c>
      <c r="AC27" s="73">
        <v>-3057</v>
      </c>
      <c r="AD27" s="73">
        <v>0</v>
      </c>
      <c r="AE27" s="73">
        <v>-22571</v>
      </c>
      <c r="AF27" s="70"/>
    </row>
    <row r="28" spans="1:32">
      <c r="A28" s="95" t="s">
        <v>723</v>
      </c>
      <c r="B28" s="71" t="s">
        <v>527</v>
      </c>
      <c r="C28" s="74" t="s">
        <v>387</v>
      </c>
      <c r="D28" s="73">
        <v>0</v>
      </c>
      <c r="E28" s="73">
        <v>-712</v>
      </c>
      <c r="F28" s="73">
        <v>-87</v>
      </c>
      <c r="G28" s="73">
        <v>-60143</v>
      </c>
      <c r="H28" s="73">
        <v>0</v>
      </c>
      <c r="I28" s="73">
        <v>-2451</v>
      </c>
      <c r="J28" s="73">
        <v>0</v>
      </c>
      <c r="K28" s="73">
        <v>0</v>
      </c>
      <c r="L28" s="73">
        <v>0</v>
      </c>
      <c r="M28" s="73">
        <v>0</v>
      </c>
      <c r="N28" s="73">
        <v>0</v>
      </c>
      <c r="O28" s="73">
        <v>-562723</v>
      </c>
      <c r="P28" s="73">
        <v>-9433</v>
      </c>
      <c r="Q28" s="73">
        <v>-4553</v>
      </c>
      <c r="R28" s="73">
        <v>-195</v>
      </c>
      <c r="S28" s="73">
        <v>0</v>
      </c>
      <c r="T28" s="73">
        <v>-63</v>
      </c>
      <c r="U28" s="73">
        <v>-15105</v>
      </c>
      <c r="V28" s="73">
        <v>-18265</v>
      </c>
      <c r="W28" s="73">
        <v>0</v>
      </c>
      <c r="X28" s="73">
        <v>0</v>
      </c>
      <c r="Y28" s="73">
        <v>0</v>
      </c>
      <c r="Z28" s="73">
        <v>0</v>
      </c>
      <c r="AA28" s="73">
        <v>0</v>
      </c>
      <c r="AB28" s="73">
        <v>0</v>
      </c>
      <c r="AC28" s="73">
        <v>0</v>
      </c>
      <c r="AD28" s="73">
        <v>-87140</v>
      </c>
      <c r="AE28" s="73">
        <v>0</v>
      </c>
      <c r="AF28" s="70"/>
    </row>
    <row r="29" spans="1:32">
      <c r="A29" s="95" t="s">
        <v>723</v>
      </c>
      <c r="B29" s="71" t="s">
        <v>529</v>
      </c>
      <c r="C29" s="74" t="s">
        <v>387</v>
      </c>
      <c r="D29" s="73">
        <v>0</v>
      </c>
      <c r="E29" s="73">
        <v>0</v>
      </c>
      <c r="F29" s="73">
        <v>0</v>
      </c>
      <c r="G29" s="73">
        <v>0</v>
      </c>
      <c r="H29" s="73">
        <v>0</v>
      </c>
      <c r="I29" s="73">
        <v>-3210</v>
      </c>
      <c r="J29" s="73">
        <v>0</v>
      </c>
      <c r="K29" s="73">
        <v>0</v>
      </c>
      <c r="L29" s="73">
        <v>0</v>
      </c>
      <c r="M29" s="73">
        <v>0</v>
      </c>
      <c r="N29" s="73">
        <v>0</v>
      </c>
      <c r="O29" s="73">
        <v>0</v>
      </c>
      <c r="P29" s="73">
        <v>-21214</v>
      </c>
      <c r="Q29" s="73">
        <v>0</v>
      </c>
      <c r="R29" s="73">
        <v>-52871</v>
      </c>
      <c r="S29" s="73">
        <v>0</v>
      </c>
      <c r="T29" s="73">
        <v>-117014</v>
      </c>
      <c r="U29" s="73">
        <v>0</v>
      </c>
      <c r="V29" s="73">
        <v>0</v>
      </c>
      <c r="W29" s="73">
        <v>0</v>
      </c>
      <c r="X29" s="73">
        <v>0</v>
      </c>
      <c r="Y29" s="73">
        <v>0</v>
      </c>
      <c r="Z29" s="73">
        <v>0</v>
      </c>
      <c r="AA29" s="73">
        <v>0</v>
      </c>
      <c r="AB29" s="73">
        <v>0</v>
      </c>
      <c r="AC29" s="73">
        <v>-608</v>
      </c>
      <c r="AD29" s="73">
        <v>0</v>
      </c>
      <c r="AE29" s="73">
        <v>-92338</v>
      </c>
      <c r="AF29" s="70"/>
    </row>
    <row r="30" spans="1:32">
      <c r="A30" s="95" t="s">
        <v>723</v>
      </c>
      <c r="B30" s="71" t="s">
        <v>535</v>
      </c>
      <c r="C30" s="74" t="s">
        <v>387</v>
      </c>
      <c r="D30" s="73">
        <v>0</v>
      </c>
      <c r="E30" s="73">
        <v>0</v>
      </c>
      <c r="F30" s="73">
        <v>0</v>
      </c>
      <c r="G30" s="73">
        <v>0</v>
      </c>
      <c r="H30" s="73">
        <v>0</v>
      </c>
      <c r="I30" s="73">
        <v>0</v>
      </c>
      <c r="J30" s="73">
        <v>0</v>
      </c>
      <c r="K30" s="73">
        <v>0</v>
      </c>
      <c r="L30" s="73">
        <v>0</v>
      </c>
      <c r="M30" s="73">
        <v>0</v>
      </c>
      <c r="N30" s="73">
        <v>0</v>
      </c>
      <c r="O30" s="73">
        <v>-41161</v>
      </c>
      <c r="P30" s="73">
        <v>0</v>
      </c>
      <c r="Q30" s="73">
        <v>0</v>
      </c>
      <c r="R30" s="73">
        <v>0</v>
      </c>
      <c r="S30" s="73">
        <v>0</v>
      </c>
      <c r="T30" s="73">
        <v>0</v>
      </c>
      <c r="U30" s="73">
        <v>0</v>
      </c>
      <c r="V30" s="73">
        <v>0</v>
      </c>
      <c r="W30" s="73">
        <v>0</v>
      </c>
      <c r="X30" s="73">
        <v>0</v>
      </c>
      <c r="Y30" s="73">
        <v>0</v>
      </c>
      <c r="Z30" s="73">
        <v>0</v>
      </c>
      <c r="AA30" s="73">
        <v>0</v>
      </c>
      <c r="AB30" s="73">
        <v>0</v>
      </c>
      <c r="AC30" s="73">
        <v>0</v>
      </c>
      <c r="AD30" s="73">
        <v>0</v>
      </c>
      <c r="AE30" s="73">
        <v>0</v>
      </c>
      <c r="AF30" s="70"/>
    </row>
    <row r="31" spans="1:32">
      <c r="A31" s="95" t="s">
        <v>723</v>
      </c>
      <c r="B31" s="71" t="s">
        <v>541</v>
      </c>
      <c r="C31" s="74" t="s">
        <v>387</v>
      </c>
      <c r="D31" s="73">
        <v>0</v>
      </c>
      <c r="E31" s="73">
        <v>0</v>
      </c>
      <c r="F31" s="73">
        <v>0</v>
      </c>
      <c r="G31" s="73">
        <v>0</v>
      </c>
      <c r="H31" s="73">
        <v>-53</v>
      </c>
      <c r="I31" s="73">
        <v>0</v>
      </c>
      <c r="J31" s="73">
        <v>0</v>
      </c>
      <c r="K31" s="73">
        <v>0</v>
      </c>
      <c r="L31" s="73">
        <v>0</v>
      </c>
      <c r="M31" s="73">
        <v>-314404</v>
      </c>
      <c r="N31" s="73">
        <v>0</v>
      </c>
      <c r="O31" s="73">
        <v>-17513</v>
      </c>
      <c r="P31" s="73">
        <v>-4676</v>
      </c>
      <c r="Q31" s="73">
        <v>0</v>
      </c>
      <c r="R31" s="73">
        <v>-53779</v>
      </c>
      <c r="S31" s="73">
        <v>-3239</v>
      </c>
      <c r="T31" s="73">
        <v>-170</v>
      </c>
      <c r="U31" s="73">
        <v>-37779</v>
      </c>
      <c r="V31" s="73">
        <v>0</v>
      </c>
      <c r="W31" s="73">
        <v>0</v>
      </c>
      <c r="X31" s="73">
        <v>-4775</v>
      </c>
      <c r="Y31" s="73">
        <v>-36861</v>
      </c>
      <c r="Z31" s="73">
        <v>0</v>
      </c>
      <c r="AA31" s="73">
        <v>0</v>
      </c>
      <c r="AB31" s="73">
        <v>0</v>
      </c>
      <c r="AC31" s="73">
        <v>-476667</v>
      </c>
      <c r="AD31" s="73">
        <v>0</v>
      </c>
      <c r="AE31" s="73">
        <v>-155877</v>
      </c>
      <c r="AF31" s="70"/>
    </row>
    <row r="32" spans="1:32">
      <c r="A32" s="95" t="s">
        <v>723</v>
      </c>
      <c r="B32" s="71" t="s">
        <v>543</v>
      </c>
      <c r="C32" s="74" t="s">
        <v>387</v>
      </c>
      <c r="D32" s="73">
        <v>0</v>
      </c>
      <c r="E32" s="73">
        <v>0</v>
      </c>
      <c r="F32" s="73">
        <v>0</v>
      </c>
      <c r="G32" s="73">
        <v>0</v>
      </c>
      <c r="H32" s="73">
        <v>0</v>
      </c>
      <c r="I32" s="73">
        <v>0</v>
      </c>
      <c r="J32" s="73">
        <v>0</v>
      </c>
      <c r="K32" s="73">
        <v>0</v>
      </c>
      <c r="L32" s="73">
        <v>0</v>
      </c>
      <c r="M32" s="73">
        <v>0</v>
      </c>
      <c r="N32" s="73">
        <v>0</v>
      </c>
      <c r="O32" s="73">
        <v>-3586</v>
      </c>
      <c r="P32" s="73">
        <v>0</v>
      </c>
      <c r="Q32" s="73">
        <v>0</v>
      </c>
      <c r="R32" s="73">
        <v>0</v>
      </c>
      <c r="S32" s="73">
        <v>0</v>
      </c>
      <c r="T32" s="73">
        <v>0</v>
      </c>
      <c r="U32" s="73">
        <v>0</v>
      </c>
      <c r="V32" s="73">
        <v>0</v>
      </c>
      <c r="W32" s="73">
        <v>0</v>
      </c>
      <c r="X32" s="73">
        <v>0</v>
      </c>
      <c r="Y32" s="73">
        <v>0</v>
      </c>
      <c r="Z32" s="73">
        <v>0</v>
      </c>
      <c r="AA32" s="73">
        <v>0</v>
      </c>
      <c r="AB32" s="73">
        <v>0</v>
      </c>
      <c r="AC32" s="73">
        <v>0</v>
      </c>
      <c r="AD32" s="73">
        <v>0</v>
      </c>
      <c r="AE32" s="73">
        <v>0</v>
      </c>
      <c r="AF32" s="70"/>
    </row>
    <row r="33" spans="1:32">
      <c r="A33" s="95" t="s">
        <v>723</v>
      </c>
      <c r="B33" s="71" t="s">
        <v>548</v>
      </c>
      <c r="C33" s="74" t="s">
        <v>387</v>
      </c>
      <c r="D33" s="73">
        <v>0</v>
      </c>
      <c r="E33" s="73">
        <v>0</v>
      </c>
      <c r="F33" s="73">
        <v>0</v>
      </c>
      <c r="G33" s="73">
        <v>0</v>
      </c>
      <c r="H33" s="73">
        <v>0</v>
      </c>
      <c r="I33" s="73">
        <v>0</v>
      </c>
      <c r="J33" s="73">
        <v>0</v>
      </c>
      <c r="K33" s="73">
        <v>0</v>
      </c>
      <c r="L33" s="73">
        <v>0</v>
      </c>
      <c r="M33" s="73">
        <v>0</v>
      </c>
      <c r="N33" s="73">
        <v>0</v>
      </c>
      <c r="O33" s="73">
        <v>-528965</v>
      </c>
      <c r="P33" s="73">
        <v>0</v>
      </c>
      <c r="Q33" s="73">
        <v>0</v>
      </c>
      <c r="R33" s="73">
        <v>0</v>
      </c>
      <c r="S33" s="73">
        <v>0</v>
      </c>
      <c r="T33" s="73">
        <v>0</v>
      </c>
      <c r="U33" s="73">
        <v>0</v>
      </c>
      <c r="V33" s="73">
        <v>0</v>
      </c>
      <c r="W33" s="73">
        <v>0</v>
      </c>
      <c r="X33" s="73">
        <v>0</v>
      </c>
      <c r="Y33" s="73">
        <v>0</v>
      </c>
      <c r="Z33" s="73">
        <v>0</v>
      </c>
      <c r="AA33" s="73">
        <v>0</v>
      </c>
      <c r="AB33" s="73">
        <v>0</v>
      </c>
      <c r="AC33" s="73">
        <v>0</v>
      </c>
      <c r="AD33" s="73">
        <v>0</v>
      </c>
      <c r="AE33" s="73">
        <v>0</v>
      </c>
      <c r="AF33" s="70"/>
    </row>
    <row r="34" spans="1:32">
      <c r="A34" s="95" t="s">
        <v>723</v>
      </c>
      <c r="B34" s="71" t="s">
        <v>552</v>
      </c>
      <c r="C34" s="74" t="s">
        <v>387</v>
      </c>
      <c r="D34" s="73">
        <v>0</v>
      </c>
      <c r="E34" s="73">
        <v>0</v>
      </c>
      <c r="F34" s="73">
        <v>0</v>
      </c>
      <c r="G34" s="73">
        <v>0</v>
      </c>
      <c r="H34" s="73">
        <v>0</v>
      </c>
      <c r="I34" s="73">
        <v>0</v>
      </c>
      <c r="J34" s="73">
        <v>0</v>
      </c>
      <c r="K34" s="73">
        <v>0</v>
      </c>
      <c r="L34" s="73">
        <v>0</v>
      </c>
      <c r="M34" s="73">
        <v>0</v>
      </c>
      <c r="N34" s="73">
        <v>0</v>
      </c>
      <c r="O34" s="73">
        <v>-238954</v>
      </c>
      <c r="P34" s="73">
        <v>0</v>
      </c>
      <c r="Q34" s="73">
        <v>0</v>
      </c>
      <c r="R34" s="73">
        <v>0</v>
      </c>
      <c r="S34" s="73">
        <v>0</v>
      </c>
      <c r="T34" s="73">
        <v>0</v>
      </c>
      <c r="U34" s="73">
        <v>0</v>
      </c>
      <c r="V34" s="73">
        <v>0</v>
      </c>
      <c r="W34" s="73">
        <v>-63935</v>
      </c>
      <c r="X34" s="73">
        <v>0</v>
      </c>
      <c r="Y34" s="73">
        <v>0</v>
      </c>
      <c r="Z34" s="73">
        <v>0</v>
      </c>
      <c r="AA34" s="73">
        <v>0</v>
      </c>
      <c r="AB34" s="73">
        <v>0</v>
      </c>
      <c r="AC34" s="73">
        <v>0</v>
      </c>
      <c r="AD34" s="73">
        <v>0</v>
      </c>
      <c r="AE34" s="73">
        <v>0</v>
      </c>
      <c r="AF34" s="70"/>
    </row>
    <row r="35" spans="1:32">
      <c r="A35" s="95" t="s">
        <v>723</v>
      </c>
      <c r="B35" s="71" t="s">
        <v>554</v>
      </c>
      <c r="C35" s="74" t="s">
        <v>387</v>
      </c>
      <c r="D35" s="73">
        <v>0</v>
      </c>
      <c r="E35" s="73">
        <v>0</v>
      </c>
      <c r="F35" s="73">
        <v>0</v>
      </c>
      <c r="G35" s="73">
        <v>0</v>
      </c>
      <c r="H35" s="73">
        <v>0</v>
      </c>
      <c r="I35" s="73">
        <v>0</v>
      </c>
      <c r="J35" s="73">
        <v>0</v>
      </c>
      <c r="K35" s="73">
        <v>0</v>
      </c>
      <c r="L35" s="73">
        <v>0</v>
      </c>
      <c r="M35" s="73">
        <v>0</v>
      </c>
      <c r="N35" s="73">
        <v>0</v>
      </c>
      <c r="O35" s="73">
        <v>-315309</v>
      </c>
      <c r="P35" s="73">
        <v>0</v>
      </c>
      <c r="Q35" s="73">
        <v>0</v>
      </c>
      <c r="R35" s="73">
        <v>0</v>
      </c>
      <c r="S35" s="73">
        <v>0</v>
      </c>
      <c r="T35" s="73">
        <v>0</v>
      </c>
      <c r="U35" s="73">
        <v>0</v>
      </c>
      <c r="V35" s="73">
        <v>0</v>
      </c>
      <c r="W35" s="73">
        <v>-48418</v>
      </c>
      <c r="X35" s="73">
        <v>0</v>
      </c>
      <c r="Y35" s="73">
        <v>0</v>
      </c>
      <c r="Z35" s="73">
        <v>0</v>
      </c>
      <c r="AA35" s="73">
        <v>0</v>
      </c>
      <c r="AB35" s="73">
        <v>0</v>
      </c>
      <c r="AC35" s="73">
        <v>0</v>
      </c>
      <c r="AD35" s="73">
        <v>0</v>
      </c>
      <c r="AE35" s="73">
        <v>0</v>
      </c>
      <c r="AF35" s="70"/>
    </row>
    <row r="36" spans="1:32">
      <c r="A36" s="95" t="s">
        <v>723</v>
      </c>
      <c r="B36" s="71" t="s">
        <v>556</v>
      </c>
      <c r="C36" s="74" t="s">
        <v>387</v>
      </c>
      <c r="D36" s="73">
        <v>0</v>
      </c>
      <c r="E36" s="73">
        <v>-447076</v>
      </c>
      <c r="F36" s="73">
        <v>-28469</v>
      </c>
      <c r="G36" s="73">
        <v>-46709</v>
      </c>
      <c r="H36" s="73">
        <v>-141711</v>
      </c>
      <c r="I36" s="73">
        <v>-111118</v>
      </c>
      <c r="J36" s="73">
        <v>-365818</v>
      </c>
      <c r="K36" s="73">
        <v>-34309</v>
      </c>
      <c r="L36" s="73">
        <v>-49453</v>
      </c>
      <c r="M36" s="73">
        <v>0</v>
      </c>
      <c r="N36" s="73">
        <v>0</v>
      </c>
      <c r="O36" s="73">
        <v>0</v>
      </c>
      <c r="P36" s="73">
        <v>-665</v>
      </c>
      <c r="Q36" s="73">
        <v>-439741</v>
      </c>
      <c r="R36" s="73">
        <v>0</v>
      </c>
      <c r="S36" s="73">
        <v>0</v>
      </c>
      <c r="T36" s="73">
        <v>-26625</v>
      </c>
      <c r="U36" s="73">
        <v>-67670</v>
      </c>
      <c r="V36" s="73">
        <v>-149396</v>
      </c>
      <c r="W36" s="73">
        <v>0</v>
      </c>
      <c r="X36" s="73">
        <v>-399240</v>
      </c>
      <c r="Y36" s="73">
        <v>-3779</v>
      </c>
      <c r="Z36" s="73">
        <v>-3763447</v>
      </c>
      <c r="AA36" s="73">
        <v>-198322</v>
      </c>
      <c r="AB36" s="73">
        <v>0</v>
      </c>
      <c r="AC36" s="73">
        <v>0</v>
      </c>
      <c r="AD36" s="73">
        <v>0</v>
      </c>
      <c r="AE36" s="73">
        <v>-4838362</v>
      </c>
      <c r="AF36" s="70"/>
    </row>
    <row r="37" spans="1:32">
      <c r="A37" s="95" t="s">
        <v>723</v>
      </c>
      <c r="B37" s="71" t="s">
        <v>558</v>
      </c>
      <c r="C37" s="74" t="s">
        <v>387</v>
      </c>
      <c r="D37" s="73">
        <v>0</v>
      </c>
      <c r="E37" s="73">
        <v>0</v>
      </c>
      <c r="F37" s="73">
        <v>0</v>
      </c>
      <c r="G37" s="73">
        <v>0</v>
      </c>
      <c r="H37" s="73">
        <v>0</v>
      </c>
      <c r="I37" s="73">
        <v>0</v>
      </c>
      <c r="J37" s="73">
        <v>0</v>
      </c>
      <c r="K37" s="73">
        <v>0</v>
      </c>
      <c r="L37" s="73">
        <v>0</v>
      </c>
      <c r="M37" s="73">
        <v>0</v>
      </c>
      <c r="N37" s="73">
        <v>0</v>
      </c>
      <c r="O37" s="73">
        <v>-3820854</v>
      </c>
      <c r="P37" s="73">
        <v>0</v>
      </c>
      <c r="Q37" s="73">
        <v>0</v>
      </c>
      <c r="R37" s="73">
        <v>0</v>
      </c>
      <c r="S37" s="73">
        <v>0</v>
      </c>
      <c r="T37" s="73">
        <v>0</v>
      </c>
      <c r="U37" s="73">
        <v>0</v>
      </c>
      <c r="V37" s="73">
        <v>0</v>
      </c>
      <c r="W37" s="73">
        <v>-3082</v>
      </c>
      <c r="X37" s="73">
        <v>0</v>
      </c>
      <c r="Y37" s="73">
        <v>0</v>
      </c>
      <c r="Z37" s="73">
        <v>0</v>
      </c>
      <c r="AA37" s="73">
        <v>0</v>
      </c>
      <c r="AB37" s="73">
        <v>0</v>
      </c>
      <c r="AC37" s="73">
        <v>0</v>
      </c>
      <c r="AD37" s="73">
        <v>0</v>
      </c>
      <c r="AE37" s="73">
        <v>0</v>
      </c>
      <c r="AF37" s="70"/>
    </row>
    <row r="38" spans="1:32">
      <c r="A38" s="97" t="s">
        <v>723</v>
      </c>
      <c r="B38" s="76" t="s">
        <v>560</v>
      </c>
      <c r="C38" s="77" t="s">
        <v>387</v>
      </c>
      <c r="D38" s="81">
        <v>0</v>
      </c>
      <c r="E38" s="82">
        <v>0</v>
      </c>
      <c r="F38" s="82">
        <v>-11</v>
      </c>
      <c r="G38" s="82">
        <v>0</v>
      </c>
      <c r="H38" s="82">
        <v>0</v>
      </c>
      <c r="I38" s="82">
        <v>0</v>
      </c>
      <c r="J38" s="82">
        <v>0</v>
      </c>
      <c r="K38" s="82">
        <v>0</v>
      </c>
      <c r="L38" s="82">
        <v>0</v>
      </c>
      <c r="M38" s="82">
        <v>0</v>
      </c>
      <c r="N38" s="82">
        <v>0</v>
      </c>
      <c r="O38" s="82">
        <v>0</v>
      </c>
      <c r="P38" s="82">
        <v>0</v>
      </c>
      <c r="Q38" s="82">
        <v>0</v>
      </c>
      <c r="R38" s="82">
        <v>0</v>
      </c>
      <c r="S38" s="82">
        <v>0</v>
      </c>
      <c r="T38" s="82">
        <v>0</v>
      </c>
      <c r="U38" s="82">
        <v>0</v>
      </c>
      <c r="V38" s="82">
        <v>0</v>
      </c>
      <c r="W38" s="82">
        <v>0</v>
      </c>
      <c r="X38" s="82">
        <v>0</v>
      </c>
      <c r="Y38" s="82">
        <v>0</v>
      </c>
      <c r="Z38" s="82">
        <v>0</v>
      </c>
      <c r="AA38" s="82">
        <v>0</v>
      </c>
      <c r="AB38" s="82">
        <v>0</v>
      </c>
      <c r="AC38" s="82">
        <v>0</v>
      </c>
      <c r="AD38" s="82">
        <v>0</v>
      </c>
      <c r="AE38" s="83">
        <v>0</v>
      </c>
      <c r="AF38" s="70"/>
    </row>
    <row r="40" spans="1:32">
      <c r="A40" s="88" t="s">
        <v>723</v>
      </c>
      <c r="B40" s="88" t="s">
        <v>515</v>
      </c>
      <c r="C40" s="362" t="s">
        <v>387</v>
      </c>
      <c r="D40" s="359">
        <f t="shared" ref="D40:D49" si="0">D26</f>
        <v>0</v>
      </c>
      <c r="E40" s="292">
        <f t="shared" ref="E40:AE49" si="1">E26</f>
        <v>0</v>
      </c>
      <c r="F40" s="292">
        <f>F26</f>
        <v>0</v>
      </c>
      <c r="G40" s="292">
        <f t="shared" si="1"/>
        <v>0</v>
      </c>
      <c r="H40" s="292">
        <f t="shared" si="1"/>
        <v>0</v>
      </c>
      <c r="I40" s="292">
        <f t="shared" si="1"/>
        <v>0</v>
      </c>
      <c r="J40" s="292">
        <f t="shared" si="1"/>
        <v>0</v>
      </c>
      <c r="K40" s="292">
        <f t="shared" si="1"/>
        <v>0</v>
      </c>
      <c r="L40" s="292">
        <f t="shared" si="1"/>
        <v>0</v>
      </c>
      <c r="M40" s="292">
        <f t="shared" si="1"/>
        <v>0</v>
      </c>
      <c r="N40" s="292">
        <f t="shared" si="1"/>
        <v>0</v>
      </c>
      <c r="O40" s="292">
        <f t="shared" si="1"/>
        <v>0</v>
      </c>
      <c r="P40" s="292">
        <f t="shared" si="1"/>
        <v>0</v>
      </c>
      <c r="Q40" s="292">
        <f t="shared" si="1"/>
        <v>0</v>
      </c>
      <c r="R40" s="292">
        <f t="shared" si="1"/>
        <v>0</v>
      </c>
      <c r="S40" s="292">
        <f t="shared" si="1"/>
        <v>0</v>
      </c>
      <c r="T40" s="292">
        <f t="shared" si="1"/>
        <v>0</v>
      </c>
      <c r="U40" s="292">
        <f t="shared" si="1"/>
        <v>0</v>
      </c>
      <c r="V40" s="292">
        <f t="shared" si="1"/>
        <v>0</v>
      </c>
      <c r="W40" s="292">
        <f t="shared" si="1"/>
        <v>0</v>
      </c>
      <c r="X40" s="292">
        <f t="shared" si="1"/>
        <v>0</v>
      </c>
      <c r="Y40" s="292">
        <f t="shared" si="1"/>
        <v>0</v>
      </c>
      <c r="Z40" s="292">
        <f t="shared" si="1"/>
        <v>0</v>
      </c>
      <c r="AA40" s="292">
        <f t="shared" si="1"/>
        <v>0</v>
      </c>
      <c r="AB40" s="292">
        <f t="shared" si="1"/>
        <v>0</v>
      </c>
      <c r="AC40" s="292">
        <f t="shared" si="1"/>
        <v>0</v>
      </c>
      <c r="AD40" s="292">
        <f t="shared" si="1"/>
        <v>0</v>
      </c>
      <c r="AE40" s="286">
        <f t="shared" si="1"/>
        <v>0</v>
      </c>
    </row>
    <row r="41" spans="1:32">
      <c r="A41" s="71" t="s">
        <v>723</v>
      </c>
      <c r="B41" s="71" t="s">
        <v>525</v>
      </c>
      <c r="C41" s="361" t="s">
        <v>387</v>
      </c>
      <c r="D41" s="360">
        <f>D27</f>
        <v>-1128331.25491348</v>
      </c>
      <c r="E41" s="176">
        <f t="shared" ref="E41:S41" si="2">E27</f>
        <v>-103141</v>
      </c>
      <c r="F41" s="176">
        <f t="shared" si="2"/>
        <v>-911243</v>
      </c>
      <c r="G41" s="176">
        <f t="shared" si="2"/>
        <v>-312471</v>
      </c>
      <c r="H41" s="176">
        <f t="shared" si="2"/>
        <v>-14</v>
      </c>
      <c r="I41" s="176">
        <f t="shared" si="2"/>
        <v>-4488</v>
      </c>
      <c r="J41" s="176">
        <f t="shared" si="2"/>
        <v>-65254</v>
      </c>
      <c r="K41" s="176">
        <f t="shared" si="2"/>
        <v>-11704</v>
      </c>
      <c r="L41" s="176">
        <f t="shared" si="2"/>
        <v>-99232</v>
      </c>
      <c r="M41" s="176">
        <f t="shared" si="2"/>
        <v>0</v>
      </c>
      <c r="N41" s="176">
        <f t="shared" si="2"/>
        <v>-8862.9999999999909</v>
      </c>
      <c r="O41" s="176">
        <f t="shared" si="2"/>
        <v>-54948</v>
      </c>
      <c r="P41" s="176">
        <f t="shared" si="2"/>
        <v>-19816</v>
      </c>
      <c r="Q41" s="176">
        <f t="shared" si="2"/>
        <v>-21114</v>
      </c>
      <c r="R41" s="176">
        <f t="shared" si="2"/>
        <v>-1238</v>
      </c>
      <c r="S41" s="176">
        <f t="shared" si="2"/>
        <v>-8635</v>
      </c>
      <c r="T41" s="176">
        <f t="shared" si="1"/>
        <v>-15560</v>
      </c>
      <c r="U41" s="176">
        <f t="shared" si="1"/>
        <v>-97618</v>
      </c>
      <c r="V41" s="176">
        <f t="shared" si="1"/>
        <v>-283407</v>
      </c>
      <c r="W41" s="176">
        <f t="shared" si="1"/>
        <v>-810</v>
      </c>
      <c r="X41" s="176">
        <f t="shared" si="1"/>
        <v>-75133</v>
      </c>
      <c r="Y41" s="176">
        <f t="shared" si="1"/>
        <v>-1607</v>
      </c>
      <c r="Z41" s="176">
        <f t="shared" si="1"/>
        <v>-4805</v>
      </c>
      <c r="AA41" s="176">
        <f t="shared" si="1"/>
        <v>0</v>
      </c>
      <c r="AB41" s="176">
        <f t="shared" si="1"/>
        <v>-513642.85299778503</v>
      </c>
      <c r="AC41" s="176">
        <f t="shared" si="1"/>
        <v>-3057</v>
      </c>
      <c r="AD41" s="176">
        <f t="shared" si="1"/>
        <v>0</v>
      </c>
      <c r="AE41" s="287">
        <f t="shared" si="1"/>
        <v>-22571</v>
      </c>
    </row>
    <row r="42" spans="1:32">
      <c r="A42" s="71" t="s">
        <v>723</v>
      </c>
      <c r="B42" s="71" t="s">
        <v>527</v>
      </c>
      <c r="C42" s="361" t="s">
        <v>387</v>
      </c>
      <c r="D42" s="360">
        <f t="shared" si="0"/>
        <v>0</v>
      </c>
      <c r="E42" s="176">
        <f t="shared" si="1"/>
        <v>-712</v>
      </c>
      <c r="F42" s="176">
        <f t="shared" si="1"/>
        <v>-87</v>
      </c>
      <c r="G42" s="176">
        <f t="shared" si="1"/>
        <v>-60143</v>
      </c>
      <c r="H42" s="176">
        <f t="shared" si="1"/>
        <v>0</v>
      </c>
      <c r="I42" s="176">
        <f t="shared" si="1"/>
        <v>-2451</v>
      </c>
      <c r="J42" s="176">
        <f t="shared" si="1"/>
        <v>0</v>
      </c>
      <c r="K42" s="176">
        <f t="shared" si="1"/>
        <v>0</v>
      </c>
      <c r="L42" s="176">
        <f t="shared" si="1"/>
        <v>0</v>
      </c>
      <c r="M42" s="176">
        <f t="shared" si="1"/>
        <v>0</v>
      </c>
      <c r="N42" s="176">
        <f t="shared" si="1"/>
        <v>0</v>
      </c>
      <c r="O42" s="176">
        <f t="shared" si="1"/>
        <v>-562723</v>
      </c>
      <c r="P42" s="176">
        <f t="shared" si="1"/>
        <v>-9433</v>
      </c>
      <c r="Q42" s="176">
        <f t="shared" si="1"/>
        <v>-4553</v>
      </c>
      <c r="R42" s="176">
        <f t="shared" si="1"/>
        <v>-195</v>
      </c>
      <c r="S42" s="176">
        <f t="shared" si="1"/>
        <v>0</v>
      </c>
      <c r="T42" s="176">
        <f t="shared" si="1"/>
        <v>-63</v>
      </c>
      <c r="U42" s="176">
        <f t="shared" si="1"/>
        <v>-15105</v>
      </c>
      <c r="V42" s="176">
        <f t="shared" si="1"/>
        <v>-18265</v>
      </c>
      <c r="W42" s="176">
        <f t="shared" si="1"/>
        <v>0</v>
      </c>
      <c r="X42" s="176">
        <f t="shared" si="1"/>
        <v>0</v>
      </c>
      <c r="Y42" s="176">
        <f t="shared" si="1"/>
        <v>0</v>
      </c>
      <c r="Z42" s="176">
        <f t="shared" si="1"/>
        <v>0</v>
      </c>
      <c r="AA42" s="176">
        <f t="shared" si="1"/>
        <v>0</v>
      </c>
      <c r="AB42" s="176">
        <f t="shared" si="1"/>
        <v>0</v>
      </c>
      <c r="AC42" s="176">
        <f t="shared" si="1"/>
        <v>0</v>
      </c>
      <c r="AD42" s="176">
        <f t="shared" si="1"/>
        <v>-87140</v>
      </c>
      <c r="AE42" s="287">
        <f t="shared" si="1"/>
        <v>0</v>
      </c>
    </row>
    <row r="43" spans="1:32">
      <c r="A43" s="71" t="s">
        <v>723</v>
      </c>
      <c r="B43" s="71" t="s">
        <v>529</v>
      </c>
      <c r="C43" s="361" t="s">
        <v>387</v>
      </c>
      <c r="D43" s="360">
        <f t="shared" si="0"/>
        <v>0</v>
      </c>
      <c r="E43" s="176">
        <f t="shared" si="1"/>
        <v>0</v>
      </c>
      <c r="F43" s="176">
        <f t="shared" si="1"/>
        <v>0</v>
      </c>
      <c r="G43" s="176">
        <f t="shared" si="1"/>
        <v>0</v>
      </c>
      <c r="H43" s="176">
        <f t="shared" si="1"/>
        <v>0</v>
      </c>
      <c r="I43" s="176">
        <f t="shared" si="1"/>
        <v>-3210</v>
      </c>
      <c r="J43" s="176">
        <f t="shared" si="1"/>
        <v>0</v>
      </c>
      <c r="K43" s="176">
        <f t="shared" si="1"/>
        <v>0</v>
      </c>
      <c r="L43" s="176">
        <f t="shared" si="1"/>
        <v>0</v>
      </c>
      <c r="M43" s="176">
        <f t="shared" si="1"/>
        <v>0</v>
      </c>
      <c r="N43" s="176">
        <f t="shared" si="1"/>
        <v>0</v>
      </c>
      <c r="O43" s="176">
        <f t="shared" si="1"/>
        <v>0</v>
      </c>
      <c r="P43" s="176">
        <f t="shared" si="1"/>
        <v>-21214</v>
      </c>
      <c r="Q43" s="176">
        <f t="shared" si="1"/>
        <v>0</v>
      </c>
      <c r="R43" s="176">
        <f t="shared" si="1"/>
        <v>-52871</v>
      </c>
      <c r="S43" s="176">
        <f t="shared" si="1"/>
        <v>0</v>
      </c>
      <c r="T43" s="176">
        <f t="shared" si="1"/>
        <v>-117014</v>
      </c>
      <c r="U43" s="176">
        <f t="shared" si="1"/>
        <v>0</v>
      </c>
      <c r="V43" s="176">
        <f t="shared" si="1"/>
        <v>0</v>
      </c>
      <c r="W43" s="176">
        <f t="shared" si="1"/>
        <v>0</v>
      </c>
      <c r="X43" s="176">
        <f t="shared" si="1"/>
        <v>0</v>
      </c>
      <c r="Y43" s="176">
        <f t="shared" si="1"/>
        <v>0</v>
      </c>
      <c r="Z43" s="176">
        <f t="shared" si="1"/>
        <v>0</v>
      </c>
      <c r="AA43" s="176">
        <f t="shared" si="1"/>
        <v>0</v>
      </c>
      <c r="AB43" s="176">
        <f t="shared" si="1"/>
        <v>0</v>
      </c>
      <c r="AC43" s="176">
        <f t="shared" si="1"/>
        <v>-608</v>
      </c>
      <c r="AD43" s="176">
        <f t="shared" si="1"/>
        <v>0</v>
      </c>
      <c r="AE43" s="287">
        <f t="shared" si="1"/>
        <v>-92338</v>
      </c>
    </row>
    <row r="44" spans="1:32">
      <c r="A44" s="71" t="s">
        <v>723</v>
      </c>
      <c r="B44" s="71" t="s">
        <v>535</v>
      </c>
      <c r="C44" s="361" t="s">
        <v>387</v>
      </c>
      <c r="D44" s="360">
        <f t="shared" si="0"/>
        <v>0</v>
      </c>
      <c r="E44" s="176">
        <f t="shared" si="1"/>
        <v>0</v>
      </c>
      <c r="F44" s="176">
        <f t="shared" si="1"/>
        <v>0</v>
      </c>
      <c r="G44" s="176">
        <f t="shared" si="1"/>
        <v>0</v>
      </c>
      <c r="H44" s="176">
        <f t="shared" si="1"/>
        <v>0</v>
      </c>
      <c r="I44" s="176">
        <f t="shared" si="1"/>
        <v>0</v>
      </c>
      <c r="J44" s="176">
        <f t="shared" si="1"/>
        <v>0</v>
      </c>
      <c r="K44" s="176">
        <f t="shared" si="1"/>
        <v>0</v>
      </c>
      <c r="L44" s="176">
        <f t="shared" si="1"/>
        <v>0</v>
      </c>
      <c r="M44" s="176">
        <f t="shared" si="1"/>
        <v>0</v>
      </c>
      <c r="N44" s="176">
        <f t="shared" si="1"/>
        <v>0</v>
      </c>
      <c r="O44" s="176">
        <f t="shared" si="1"/>
        <v>-41161</v>
      </c>
      <c r="P44" s="176">
        <f t="shared" si="1"/>
        <v>0</v>
      </c>
      <c r="Q44" s="176">
        <f t="shared" si="1"/>
        <v>0</v>
      </c>
      <c r="R44" s="176">
        <f t="shared" si="1"/>
        <v>0</v>
      </c>
      <c r="S44" s="176">
        <f t="shared" si="1"/>
        <v>0</v>
      </c>
      <c r="T44" s="176">
        <f t="shared" si="1"/>
        <v>0</v>
      </c>
      <c r="U44" s="176">
        <f t="shared" si="1"/>
        <v>0</v>
      </c>
      <c r="V44" s="176">
        <f t="shared" si="1"/>
        <v>0</v>
      </c>
      <c r="W44" s="176">
        <f t="shared" si="1"/>
        <v>0</v>
      </c>
      <c r="X44" s="176">
        <f t="shared" si="1"/>
        <v>0</v>
      </c>
      <c r="Y44" s="176">
        <f t="shared" si="1"/>
        <v>0</v>
      </c>
      <c r="Z44" s="176">
        <f t="shared" si="1"/>
        <v>0</v>
      </c>
      <c r="AA44" s="176">
        <f t="shared" si="1"/>
        <v>0</v>
      </c>
      <c r="AB44" s="176">
        <f t="shared" si="1"/>
        <v>0</v>
      </c>
      <c r="AC44" s="176">
        <f t="shared" si="1"/>
        <v>0</v>
      </c>
      <c r="AD44" s="176">
        <f t="shared" si="1"/>
        <v>0</v>
      </c>
      <c r="AE44" s="287">
        <f t="shared" si="1"/>
        <v>0</v>
      </c>
    </row>
    <row r="45" spans="1:32">
      <c r="A45" s="71" t="s">
        <v>723</v>
      </c>
      <c r="B45" s="71" t="s">
        <v>541</v>
      </c>
      <c r="C45" s="361" t="s">
        <v>387</v>
      </c>
      <c r="D45" s="360">
        <f t="shared" si="0"/>
        <v>0</v>
      </c>
      <c r="E45" s="176">
        <f t="shared" si="1"/>
        <v>0</v>
      </c>
      <c r="F45" s="176">
        <f t="shared" si="1"/>
        <v>0</v>
      </c>
      <c r="G45" s="176">
        <f t="shared" si="1"/>
        <v>0</v>
      </c>
      <c r="H45" s="176">
        <f t="shared" si="1"/>
        <v>-53</v>
      </c>
      <c r="I45" s="176">
        <f t="shared" si="1"/>
        <v>0</v>
      </c>
      <c r="J45" s="176">
        <f t="shared" si="1"/>
        <v>0</v>
      </c>
      <c r="K45" s="176">
        <f t="shared" si="1"/>
        <v>0</v>
      </c>
      <c r="L45" s="176">
        <f t="shared" si="1"/>
        <v>0</v>
      </c>
      <c r="M45" s="176">
        <f t="shared" si="1"/>
        <v>-314404</v>
      </c>
      <c r="N45" s="176">
        <f t="shared" si="1"/>
        <v>0</v>
      </c>
      <c r="O45" s="176">
        <f t="shared" si="1"/>
        <v>-17513</v>
      </c>
      <c r="P45" s="176">
        <f t="shared" si="1"/>
        <v>-4676</v>
      </c>
      <c r="Q45" s="176">
        <f t="shared" si="1"/>
        <v>0</v>
      </c>
      <c r="R45" s="176">
        <f t="shared" si="1"/>
        <v>-53779</v>
      </c>
      <c r="S45" s="176">
        <f t="shared" si="1"/>
        <v>-3239</v>
      </c>
      <c r="T45" s="176">
        <f t="shared" si="1"/>
        <v>-170</v>
      </c>
      <c r="U45" s="176">
        <f t="shared" si="1"/>
        <v>-37779</v>
      </c>
      <c r="V45" s="176">
        <f t="shared" si="1"/>
        <v>0</v>
      </c>
      <c r="W45" s="176">
        <f t="shared" si="1"/>
        <v>0</v>
      </c>
      <c r="X45" s="176">
        <f t="shared" si="1"/>
        <v>-4775</v>
      </c>
      <c r="Y45" s="176">
        <f t="shared" si="1"/>
        <v>-36861</v>
      </c>
      <c r="Z45" s="176">
        <f t="shared" si="1"/>
        <v>0</v>
      </c>
      <c r="AA45" s="176">
        <f t="shared" si="1"/>
        <v>0</v>
      </c>
      <c r="AB45" s="176">
        <f t="shared" si="1"/>
        <v>0</v>
      </c>
      <c r="AC45" s="176">
        <f t="shared" si="1"/>
        <v>-476667</v>
      </c>
      <c r="AD45" s="176">
        <f t="shared" si="1"/>
        <v>0</v>
      </c>
      <c r="AE45" s="287">
        <f t="shared" si="1"/>
        <v>-155877</v>
      </c>
    </row>
    <row r="46" spans="1:32">
      <c r="A46" s="71" t="s">
        <v>723</v>
      </c>
      <c r="B46" s="71" t="s">
        <v>543</v>
      </c>
      <c r="C46" s="361" t="s">
        <v>387</v>
      </c>
      <c r="D46" s="360">
        <f t="shared" si="0"/>
        <v>0</v>
      </c>
      <c r="E46" s="176">
        <f t="shared" si="1"/>
        <v>0</v>
      </c>
      <c r="F46" s="176">
        <f t="shared" si="1"/>
        <v>0</v>
      </c>
      <c r="G46" s="176">
        <f t="shared" si="1"/>
        <v>0</v>
      </c>
      <c r="H46" s="176">
        <f t="shared" si="1"/>
        <v>0</v>
      </c>
      <c r="I46" s="176">
        <f t="shared" si="1"/>
        <v>0</v>
      </c>
      <c r="J46" s="176">
        <f t="shared" si="1"/>
        <v>0</v>
      </c>
      <c r="K46" s="176">
        <f t="shared" si="1"/>
        <v>0</v>
      </c>
      <c r="L46" s="176">
        <f t="shared" si="1"/>
        <v>0</v>
      </c>
      <c r="M46" s="176">
        <f t="shared" si="1"/>
        <v>0</v>
      </c>
      <c r="N46" s="176">
        <f t="shared" si="1"/>
        <v>0</v>
      </c>
      <c r="O46" s="176">
        <f t="shared" si="1"/>
        <v>-3586</v>
      </c>
      <c r="P46" s="176">
        <f t="shared" si="1"/>
        <v>0</v>
      </c>
      <c r="Q46" s="176">
        <f t="shared" si="1"/>
        <v>0</v>
      </c>
      <c r="R46" s="176">
        <f t="shared" si="1"/>
        <v>0</v>
      </c>
      <c r="S46" s="176">
        <f t="shared" si="1"/>
        <v>0</v>
      </c>
      <c r="T46" s="176">
        <f t="shared" si="1"/>
        <v>0</v>
      </c>
      <c r="U46" s="176">
        <f t="shared" si="1"/>
        <v>0</v>
      </c>
      <c r="V46" s="176">
        <f t="shared" si="1"/>
        <v>0</v>
      </c>
      <c r="W46" s="176">
        <f t="shared" si="1"/>
        <v>0</v>
      </c>
      <c r="X46" s="176">
        <f t="shared" si="1"/>
        <v>0</v>
      </c>
      <c r="Y46" s="176">
        <f t="shared" si="1"/>
        <v>0</v>
      </c>
      <c r="Z46" s="176">
        <f t="shared" si="1"/>
        <v>0</v>
      </c>
      <c r="AA46" s="176">
        <f t="shared" si="1"/>
        <v>0</v>
      </c>
      <c r="AB46" s="176">
        <f t="shared" si="1"/>
        <v>0</v>
      </c>
      <c r="AC46" s="176">
        <f t="shared" si="1"/>
        <v>0</v>
      </c>
      <c r="AD46" s="176">
        <f t="shared" si="1"/>
        <v>0</v>
      </c>
      <c r="AE46" s="287">
        <f t="shared" si="1"/>
        <v>0</v>
      </c>
    </row>
    <row r="47" spans="1:32">
      <c r="A47" s="71" t="s">
        <v>723</v>
      </c>
      <c r="B47" s="71" t="s">
        <v>548</v>
      </c>
      <c r="C47" s="361" t="s">
        <v>387</v>
      </c>
      <c r="D47" s="360">
        <f t="shared" si="0"/>
        <v>0</v>
      </c>
      <c r="E47" s="176">
        <f t="shared" si="1"/>
        <v>0</v>
      </c>
      <c r="F47" s="176">
        <f t="shared" si="1"/>
        <v>0</v>
      </c>
      <c r="G47" s="176">
        <f t="shared" si="1"/>
        <v>0</v>
      </c>
      <c r="H47" s="176">
        <f t="shared" si="1"/>
        <v>0</v>
      </c>
      <c r="I47" s="176">
        <f t="shared" si="1"/>
        <v>0</v>
      </c>
      <c r="J47" s="176">
        <f t="shared" si="1"/>
        <v>0</v>
      </c>
      <c r="K47" s="176">
        <f t="shared" si="1"/>
        <v>0</v>
      </c>
      <c r="L47" s="176">
        <f t="shared" si="1"/>
        <v>0</v>
      </c>
      <c r="M47" s="176">
        <f t="shared" si="1"/>
        <v>0</v>
      </c>
      <c r="N47" s="176">
        <f t="shared" si="1"/>
        <v>0</v>
      </c>
      <c r="O47" s="176">
        <f t="shared" si="1"/>
        <v>-528965</v>
      </c>
      <c r="P47" s="176">
        <f t="shared" si="1"/>
        <v>0</v>
      </c>
      <c r="Q47" s="176">
        <f t="shared" si="1"/>
        <v>0</v>
      </c>
      <c r="R47" s="176">
        <f t="shared" si="1"/>
        <v>0</v>
      </c>
      <c r="S47" s="176">
        <f t="shared" si="1"/>
        <v>0</v>
      </c>
      <c r="T47" s="176">
        <f t="shared" si="1"/>
        <v>0</v>
      </c>
      <c r="U47" s="176">
        <f t="shared" si="1"/>
        <v>0</v>
      </c>
      <c r="V47" s="176">
        <f t="shared" si="1"/>
        <v>0</v>
      </c>
      <c r="W47" s="176">
        <f t="shared" si="1"/>
        <v>0</v>
      </c>
      <c r="X47" s="176">
        <f t="shared" si="1"/>
        <v>0</v>
      </c>
      <c r="Y47" s="176">
        <f t="shared" si="1"/>
        <v>0</v>
      </c>
      <c r="Z47" s="176">
        <f t="shared" si="1"/>
        <v>0</v>
      </c>
      <c r="AA47" s="176">
        <f t="shared" si="1"/>
        <v>0</v>
      </c>
      <c r="AB47" s="176">
        <f t="shared" si="1"/>
        <v>0</v>
      </c>
      <c r="AC47" s="176">
        <f t="shared" si="1"/>
        <v>0</v>
      </c>
      <c r="AD47" s="176">
        <f t="shared" si="1"/>
        <v>0</v>
      </c>
      <c r="AE47" s="287">
        <f t="shared" si="1"/>
        <v>0</v>
      </c>
    </row>
    <row r="48" spans="1:32">
      <c r="A48" s="71" t="s">
        <v>723</v>
      </c>
      <c r="B48" s="71" t="s">
        <v>552</v>
      </c>
      <c r="C48" s="361" t="s">
        <v>387</v>
      </c>
      <c r="D48" s="360">
        <f t="shared" si="0"/>
        <v>0</v>
      </c>
      <c r="E48" s="176">
        <f t="shared" si="1"/>
        <v>0</v>
      </c>
      <c r="F48" s="176">
        <f t="shared" si="1"/>
        <v>0</v>
      </c>
      <c r="G48" s="176">
        <f t="shared" si="1"/>
        <v>0</v>
      </c>
      <c r="H48" s="176">
        <f t="shared" si="1"/>
        <v>0</v>
      </c>
      <c r="I48" s="176">
        <f t="shared" si="1"/>
        <v>0</v>
      </c>
      <c r="J48" s="176">
        <f t="shared" si="1"/>
        <v>0</v>
      </c>
      <c r="K48" s="176">
        <f t="shared" si="1"/>
        <v>0</v>
      </c>
      <c r="L48" s="176">
        <f t="shared" si="1"/>
        <v>0</v>
      </c>
      <c r="M48" s="176">
        <f t="shared" si="1"/>
        <v>0</v>
      </c>
      <c r="N48" s="176">
        <f t="shared" si="1"/>
        <v>0</v>
      </c>
      <c r="O48" s="176">
        <f t="shared" si="1"/>
        <v>-238954</v>
      </c>
      <c r="P48" s="176">
        <f t="shared" si="1"/>
        <v>0</v>
      </c>
      <c r="Q48" s="176">
        <f t="shared" si="1"/>
        <v>0</v>
      </c>
      <c r="R48" s="176">
        <f t="shared" si="1"/>
        <v>0</v>
      </c>
      <c r="S48" s="176">
        <f t="shared" si="1"/>
        <v>0</v>
      </c>
      <c r="T48" s="176">
        <f t="shared" si="1"/>
        <v>0</v>
      </c>
      <c r="U48" s="176">
        <f t="shared" si="1"/>
        <v>0</v>
      </c>
      <c r="V48" s="176">
        <f t="shared" si="1"/>
        <v>0</v>
      </c>
      <c r="W48" s="176">
        <f t="shared" si="1"/>
        <v>-63935</v>
      </c>
      <c r="X48" s="176">
        <f t="shared" si="1"/>
        <v>0</v>
      </c>
      <c r="Y48" s="176">
        <f t="shared" si="1"/>
        <v>0</v>
      </c>
      <c r="Z48" s="176">
        <f t="shared" si="1"/>
        <v>0</v>
      </c>
      <c r="AA48" s="176">
        <f t="shared" si="1"/>
        <v>0</v>
      </c>
      <c r="AB48" s="176">
        <f t="shared" si="1"/>
        <v>0</v>
      </c>
      <c r="AC48" s="176">
        <f t="shared" si="1"/>
        <v>0</v>
      </c>
      <c r="AD48" s="176">
        <f t="shared" si="1"/>
        <v>0</v>
      </c>
      <c r="AE48" s="287">
        <f t="shared" si="1"/>
        <v>0</v>
      </c>
    </row>
    <row r="49" spans="1:31">
      <c r="A49" s="71" t="s">
        <v>723</v>
      </c>
      <c r="B49" s="71" t="s">
        <v>554</v>
      </c>
      <c r="C49" s="361" t="s">
        <v>387</v>
      </c>
      <c r="D49" s="360">
        <f t="shared" si="0"/>
        <v>0</v>
      </c>
      <c r="E49" s="176">
        <f t="shared" si="1"/>
        <v>0</v>
      </c>
      <c r="F49" s="176">
        <f t="shared" si="1"/>
        <v>0</v>
      </c>
      <c r="G49" s="176">
        <f t="shared" si="1"/>
        <v>0</v>
      </c>
      <c r="H49" s="176">
        <f t="shared" si="1"/>
        <v>0</v>
      </c>
      <c r="I49" s="176">
        <f t="shared" si="1"/>
        <v>0</v>
      </c>
      <c r="J49" s="176">
        <f t="shared" si="1"/>
        <v>0</v>
      </c>
      <c r="K49" s="176">
        <f t="shared" si="1"/>
        <v>0</v>
      </c>
      <c r="L49" s="176">
        <f t="shared" si="1"/>
        <v>0</v>
      </c>
      <c r="M49" s="176">
        <f t="shared" si="1"/>
        <v>0</v>
      </c>
      <c r="N49" s="176">
        <f t="shared" si="1"/>
        <v>0</v>
      </c>
      <c r="O49" s="176">
        <f t="shared" si="1"/>
        <v>-315309</v>
      </c>
      <c r="P49" s="176">
        <f t="shared" si="1"/>
        <v>0</v>
      </c>
      <c r="Q49" s="176">
        <f t="shared" si="1"/>
        <v>0</v>
      </c>
      <c r="R49" s="176">
        <f t="shared" si="1"/>
        <v>0</v>
      </c>
      <c r="S49" s="176">
        <f t="shared" si="1"/>
        <v>0</v>
      </c>
      <c r="T49" s="176">
        <f t="shared" si="1"/>
        <v>0</v>
      </c>
      <c r="U49" s="176">
        <f t="shared" si="1"/>
        <v>0</v>
      </c>
      <c r="V49" s="176">
        <f t="shared" si="1"/>
        <v>0</v>
      </c>
      <c r="W49" s="176">
        <f t="shared" si="1"/>
        <v>-48418</v>
      </c>
      <c r="X49" s="176">
        <f t="shared" si="1"/>
        <v>0</v>
      </c>
      <c r="Y49" s="176">
        <f t="shared" si="1"/>
        <v>0</v>
      </c>
      <c r="Z49" s="176">
        <f t="shared" si="1"/>
        <v>0</v>
      </c>
      <c r="AA49" s="176">
        <f t="shared" si="1"/>
        <v>0</v>
      </c>
      <c r="AB49" s="176">
        <f t="shared" si="1"/>
        <v>0</v>
      </c>
      <c r="AC49" s="176">
        <f t="shared" si="1"/>
        <v>0</v>
      </c>
      <c r="AD49" s="176">
        <f t="shared" si="1"/>
        <v>0</v>
      </c>
      <c r="AE49" s="287">
        <f t="shared" si="1"/>
        <v>0</v>
      </c>
    </row>
    <row r="50" spans="1:31">
      <c r="A50" s="71" t="s">
        <v>723</v>
      </c>
      <c r="B50" s="71" t="s">
        <v>432</v>
      </c>
      <c r="C50" s="361" t="s">
        <v>387</v>
      </c>
      <c r="D50" s="215">
        <f>IFERROR(D36*('UN(2023)EnergyStat_OtherTran'!D20+'UN(2023)EnergyStat_OtherTran'!D22*2/3),0)</f>
        <v>0</v>
      </c>
      <c r="E50">
        <f>IFERROR(E36*('UN(2023)EnergyStat_OtherTran'!E20+'UN(2023)EnergyStat_OtherTran'!E22*2/3),0)</f>
        <v>0</v>
      </c>
      <c r="F50">
        <f>IFERROR(F36*('UN(2023)EnergyStat_OtherTran'!F20+'UN(2023)EnergyStat_OtherTran'!F22*2/3),0)</f>
        <v>0</v>
      </c>
      <c r="G50">
        <f>IFERROR(G36*('UN(2023)EnergyStat_OtherTran'!G20+'UN(2023)EnergyStat_OtherTran'!G22*2/3),0)</f>
        <v>0</v>
      </c>
      <c r="H50">
        <f>IFERROR(H36*('UN(2023)EnergyStat_OtherTran'!H20+'UN(2023)EnergyStat_OtherTran'!H22*2/3),0)</f>
        <v>0</v>
      </c>
      <c r="I50">
        <f>IFERROR(I36*('UN(2023)EnergyStat_OtherTran'!I20+'UN(2023)EnergyStat_OtherTran'!I22*2/3),0)</f>
        <v>0</v>
      </c>
      <c r="J50">
        <f>IFERROR(J36*('UN(2023)EnergyStat_OtherTran'!J20+'UN(2023)EnergyStat_OtherTran'!J22*2/3),0)</f>
        <v>0</v>
      </c>
      <c r="K50">
        <f>IFERROR(K36*('UN(2023)EnergyStat_OtherTran'!K20+'UN(2023)EnergyStat_OtherTran'!K22*2/3),0)</f>
        <v>0</v>
      </c>
      <c r="L50">
        <f>IFERROR(L36*('UN(2023)EnergyStat_OtherTran'!L20+'UN(2023)EnergyStat_OtherTran'!L22*2/3),0)</f>
        <v>0</v>
      </c>
      <c r="M50">
        <f>IFERROR(M36*('UN(2023)EnergyStat_OtherTran'!M20+'UN(2023)EnergyStat_OtherTran'!M22*2/3),0)</f>
        <v>0</v>
      </c>
      <c r="N50">
        <f>IFERROR(N36*('UN(2023)EnergyStat_OtherTran'!N20+'UN(2023)EnergyStat_OtherTran'!N22*2/3),0)</f>
        <v>0</v>
      </c>
      <c r="O50">
        <f>IFERROR(O36*('UN(2023)EnergyStat_OtherTran'!O20+'UN(2023)EnergyStat_OtherTran'!O22*2/3),0)</f>
        <v>0</v>
      </c>
      <c r="P50">
        <f>IFERROR(P36*('UN(2023)EnergyStat_OtherTran'!P20+'UN(2023)EnergyStat_OtherTran'!P22*2/3),0)</f>
        <v>0</v>
      </c>
      <c r="Q50">
        <f>IFERROR(Q36*('UN(2023)EnergyStat_OtherTran'!Q20+'UN(2023)EnergyStat_OtherTran'!Q22*2/3),0)</f>
        <v>0</v>
      </c>
      <c r="R50">
        <f>IFERROR(R36*('UN(2023)EnergyStat_OtherTran'!R20+'UN(2023)EnergyStat_OtherTran'!R22*2/3),0)</f>
        <v>0</v>
      </c>
      <c r="S50">
        <f>IFERROR(S36*('UN(2023)EnergyStat_OtherTran'!S20+'UN(2023)EnergyStat_OtherTran'!S22*2/3),0)</f>
        <v>0</v>
      </c>
      <c r="T50">
        <f>IFERROR(T36*('UN(2023)EnergyStat_OtherTran'!T20+'UN(2023)EnergyStat_OtherTran'!T22*2/3),0)</f>
        <v>0</v>
      </c>
      <c r="U50">
        <f>IFERROR(U36*('UN(2023)EnergyStat_OtherTran'!U20+'UN(2023)EnergyStat_OtherTran'!U22*2/3),0)</f>
        <v>0</v>
      </c>
      <c r="V50">
        <f>IFERROR(V36*('UN(2023)EnergyStat_OtherTran'!V20+'UN(2023)EnergyStat_OtherTran'!V22*2/3),0)</f>
        <v>0</v>
      </c>
      <c r="W50">
        <f>IFERROR(W36*('UN(2023)EnergyStat_OtherTran'!W20+'UN(2023)EnergyStat_OtherTran'!W22*2/3),0)</f>
        <v>0</v>
      </c>
      <c r="X50">
        <f>IFERROR(X36*('UN(2023)EnergyStat_OtherTran'!X20+'UN(2023)EnergyStat_OtherTran'!X22*2/3),0)</f>
        <v>0</v>
      </c>
      <c r="Y50">
        <f>IFERROR(Y36*('UN(2023)EnergyStat_OtherTran'!Y20+'UN(2023)EnergyStat_OtherTran'!Y22*2/3),0)</f>
        <v>0</v>
      </c>
      <c r="Z50">
        <f>IFERROR(Z36*('UN(2023)EnergyStat_OtherTran'!Z20+'UN(2023)EnergyStat_OtherTran'!Z22*2/3),0)</f>
        <v>0</v>
      </c>
      <c r="AA50">
        <f>IFERROR(AA36*('UN(2023)EnergyStat_OtherTran'!AA20+'UN(2023)EnergyStat_OtherTran'!AA22*2/3),0)</f>
        <v>0</v>
      </c>
      <c r="AB50">
        <f>IFERROR(AB36*('UN(2023)EnergyStat_OtherTran'!AB20+'UN(2023)EnergyStat_OtherTran'!AB22*2/3),0)</f>
        <v>0</v>
      </c>
      <c r="AC50">
        <f>IFERROR(AC36*('UN(2023)EnergyStat_OtherTran'!AC20+'UN(2023)EnergyStat_OtherTran'!AC22*2/3),0)</f>
        <v>0</v>
      </c>
      <c r="AD50">
        <f>IFERROR(AD36*('UN(2023)EnergyStat_OtherTran'!AD20+'UN(2023)EnergyStat_OtherTran'!AD22*2/3),0)</f>
        <v>0</v>
      </c>
      <c r="AE50" s="218">
        <f>IFERROR(AE36*('UN(2023)EnergyStat_OtherTran'!AE20+'UN(2023)EnergyStat_OtherTran'!AE22*2/3),0)</f>
        <v>0</v>
      </c>
    </row>
    <row r="51" spans="1:31">
      <c r="A51" s="71" t="s">
        <v>723</v>
      </c>
      <c r="B51" s="71" t="s">
        <v>434</v>
      </c>
      <c r="C51" s="361" t="s">
        <v>387</v>
      </c>
      <c r="D51" s="215">
        <f>IFERROR(D36*('UN(2023)EnergyStat_OtherTran'!D21+'UN(2023)EnergyStat_OtherTran'!D22*1/3),0)</f>
        <v>0</v>
      </c>
      <c r="E51">
        <f>IFERROR(E36*('UN(2023)EnergyStat_OtherTran'!E21+'UN(2023)EnergyStat_OtherTran'!E22*1/3),0)</f>
        <v>-447076</v>
      </c>
      <c r="F51">
        <f>IFERROR(F36*('UN(2023)EnergyStat_OtherTran'!F21+'UN(2023)EnergyStat_OtherTran'!F22*1/3),0)</f>
        <v>-28469</v>
      </c>
      <c r="G51">
        <f>IFERROR(G36*('UN(2023)EnergyStat_OtherTran'!G21+'UN(2023)EnergyStat_OtherTran'!G22*1/3),0)</f>
        <v>-46709</v>
      </c>
      <c r="H51">
        <f>IFERROR(H36*('UN(2023)EnergyStat_OtherTran'!H21+'UN(2023)EnergyStat_OtherTran'!H22*1/3),0)</f>
        <v>-141711</v>
      </c>
      <c r="I51">
        <f>IFERROR(I36*('UN(2023)EnergyStat_OtherTran'!I21+'UN(2023)EnergyStat_OtherTran'!I22*1/3),0)</f>
        <v>-111118</v>
      </c>
      <c r="J51">
        <f>IFERROR(J36*('UN(2023)EnergyStat_OtherTran'!J21+'UN(2023)EnergyStat_OtherTran'!J22*1/3),0)</f>
        <v>-365818</v>
      </c>
      <c r="K51">
        <f>IFERROR(K36*('UN(2023)EnergyStat_OtherTran'!K21+'UN(2023)EnergyStat_OtherTran'!K22*1/3),0)</f>
        <v>-34309</v>
      </c>
      <c r="L51">
        <f>IFERROR(L36*('UN(2023)EnergyStat_OtherTran'!L21+'UN(2023)EnergyStat_OtherTran'!L22*1/3),0)</f>
        <v>-49453</v>
      </c>
      <c r="M51">
        <f>IFERROR(M36*('UN(2023)EnergyStat_OtherTran'!M21+'UN(2023)EnergyStat_OtherTran'!M22*1/3),0)</f>
        <v>0</v>
      </c>
      <c r="N51">
        <f>IFERROR(N36*('UN(2023)EnergyStat_OtherTran'!N21+'UN(2023)EnergyStat_OtherTran'!N22*1/3),0)</f>
        <v>0</v>
      </c>
      <c r="O51">
        <f>IFERROR(O36*('UN(2023)EnergyStat_OtherTran'!O21+'UN(2023)EnergyStat_OtherTran'!O22*1/3),0)</f>
        <v>0</v>
      </c>
      <c r="P51">
        <f>IFERROR(P36*('UN(2023)EnergyStat_OtherTran'!P21+'UN(2023)EnergyStat_OtherTran'!P22*1/3),0)</f>
        <v>-665</v>
      </c>
      <c r="Q51">
        <f>IFERROR(Q36*('UN(2023)EnergyStat_OtherTran'!Q21+'UN(2023)EnergyStat_OtherTran'!Q22*1/3),0)</f>
        <v>-439741</v>
      </c>
      <c r="R51">
        <f>IFERROR(R36*('UN(2023)EnergyStat_OtherTran'!R21+'UN(2023)EnergyStat_OtherTran'!R22*1/3),0)</f>
        <v>0</v>
      </c>
      <c r="S51">
        <f>IFERROR(S36*('UN(2023)EnergyStat_OtherTran'!S21+'UN(2023)EnergyStat_OtherTran'!S22*1/3),0)</f>
        <v>0</v>
      </c>
      <c r="T51">
        <f>IFERROR(T36*('UN(2023)EnergyStat_OtherTran'!T21+'UN(2023)EnergyStat_OtherTran'!T22*1/3),0)</f>
        <v>-26625</v>
      </c>
      <c r="U51">
        <f>IFERROR(U36*('UN(2023)EnergyStat_OtherTran'!U21+'UN(2023)EnergyStat_OtherTran'!U22*1/3),0)</f>
        <v>-67670</v>
      </c>
      <c r="V51">
        <f>IFERROR(V36*('UN(2023)EnergyStat_OtherTran'!V21+'UN(2023)EnergyStat_OtherTran'!V22*1/3),0)</f>
        <v>-149396</v>
      </c>
      <c r="W51">
        <f>IFERROR(W36*('UN(2023)EnergyStat_OtherTran'!W21+'UN(2023)EnergyStat_OtherTran'!W22*1/3),0)</f>
        <v>0</v>
      </c>
      <c r="X51">
        <f>IFERROR(X36*('UN(2023)EnergyStat_OtherTran'!X21+'UN(2023)EnergyStat_OtherTran'!X22*1/3),0)</f>
        <v>-399240</v>
      </c>
      <c r="Y51">
        <f>IFERROR(Y36*('UN(2023)EnergyStat_OtherTran'!Y21+'UN(2023)EnergyStat_OtherTran'!Y22*1/3),0)</f>
        <v>-3779</v>
      </c>
      <c r="Z51">
        <f>IFERROR(Z36*('UN(2023)EnergyStat_OtherTran'!Z21+'UN(2023)EnergyStat_OtherTran'!Z22*1/3),0)</f>
        <v>-3763447</v>
      </c>
      <c r="AA51">
        <f>IFERROR(AA36*('UN(2023)EnergyStat_OtherTran'!AA21+'UN(2023)EnergyStat_OtherTran'!AA22*1/3),0)</f>
        <v>-198322</v>
      </c>
      <c r="AB51">
        <f>IFERROR(AB36*('UN(2023)EnergyStat_OtherTran'!AB21+'UN(2023)EnergyStat_OtherTran'!AB22*1/3),0)</f>
        <v>0</v>
      </c>
      <c r="AC51">
        <f>IFERROR(AC36*('UN(2023)EnergyStat_OtherTran'!AC21+'UN(2023)EnergyStat_OtherTran'!AC22*1/3),0)</f>
        <v>0</v>
      </c>
      <c r="AD51">
        <f>IFERROR(AD36*('UN(2023)EnergyStat_OtherTran'!AD21+'UN(2023)EnergyStat_OtherTran'!AD22*1/3),0)</f>
        <v>0</v>
      </c>
      <c r="AE51" s="218">
        <f>IFERROR(AE36*('UN(2023)EnergyStat_OtherTran'!AE21+'UN(2023)EnergyStat_OtherTran'!AE22*1/3),0)</f>
        <v>-4838362</v>
      </c>
    </row>
    <row r="52" spans="1:31">
      <c r="A52" s="71" t="s">
        <v>723</v>
      </c>
      <c r="B52" s="71" t="s">
        <v>558</v>
      </c>
      <c r="C52" s="361" t="s">
        <v>387</v>
      </c>
      <c r="D52" s="360">
        <f>D37</f>
        <v>0</v>
      </c>
      <c r="E52" s="176">
        <f t="shared" ref="E52:AE52" si="3">E37</f>
        <v>0</v>
      </c>
      <c r="F52" s="176">
        <f t="shared" si="3"/>
        <v>0</v>
      </c>
      <c r="G52" s="176">
        <f t="shared" si="3"/>
        <v>0</v>
      </c>
      <c r="H52" s="176">
        <f t="shared" si="3"/>
        <v>0</v>
      </c>
      <c r="I52" s="176">
        <f t="shared" si="3"/>
        <v>0</v>
      </c>
      <c r="J52" s="176">
        <f t="shared" si="3"/>
        <v>0</v>
      </c>
      <c r="K52" s="176">
        <f t="shared" si="3"/>
        <v>0</v>
      </c>
      <c r="L52" s="176">
        <f t="shared" si="3"/>
        <v>0</v>
      </c>
      <c r="M52" s="176">
        <f t="shared" si="3"/>
        <v>0</v>
      </c>
      <c r="N52" s="176">
        <f t="shared" si="3"/>
        <v>0</v>
      </c>
      <c r="O52" s="176">
        <f t="shared" si="3"/>
        <v>-3820854</v>
      </c>
      <c r="P52" s="176">
        <f>P37</f>
        <v>0</v>
      </c>
      <c r="Q52" s="176">
        <f t="shared" si="3"/>
        <v>0</v>
      </c>
      <c r="R52" s="176">
        <f t="shared" si="3"/>
        <v>0</v>
      </c>
      <c r="S52" s="176">
        <f t="shared" si="3"/>
        <v>0</v>
      </c>
      <c r="T52" s="176">
        <f t="shared" si="3"/>
        <v>0</v>
      </c>
      <c r="U52" s="176">
        <f t="shared" si="3"/>
        <v>0</v>
      </c>
      <c r="V52" s="176">
        <f t="shared" si="3"/>
        <v>0</v>
      </c>
      <c r="W52" s="176">
        <f t="shared" si="3"/>
        <v>-3082</v>
      </c>
      <c r="X52" s="176">
        <f t="shared" si="3"/>
        <v>0</v>
      </c>
      <c r="Y52" s="176">
        <f t="shared" si="3"/>
        <v>0</v>
      </c>
      <c r="Z52" s="176">
        <f t="shared" si="3"/>
        <v>0</v>
      </c>
      <c r="AA52" s="176">
        <f t="shared" si="3"/>
        <v>0</v>
      </c>
      <c r="AB52" s="176">
        <f t="shared" si="3"/>
        <v>0</v>
      </c>
      <c r="AC52" s="176">
        <f t="shared" si="3"/>
        <v>0</v>
      </c>
      <c r="AD52" s="176">
        <f t="shared" si="3"/>
        <v>0</v>
      </c>
      <c r="AE52" s="287">
        <f t="shared" si="3"/>
        <v>0</v>
      </c>
    </row>
    <row r="53" spans="1:31">
      <c r="A53" s="76" t="s">
        <v>723</v>
      </c>
      <c r="B53" s="76" t="s">
        <v>560</v>
      </c>
      <c r="C53" s="363" t="s">
        <v>387</v>
      </c>
      <c r="D53" s="288">
        <f>D38</f>
        <v>0</v>
      </c>
      <c r="E53" s="289">
        <f t="shared" ref="E53:AE53" si="4">E38</f>
        <v>0</v>
      </c>
      <c r="F53" s="289">
        <f t="shared" si="4"/>
        <v>-11</v>
      </c>
      <c r="G53" s="289">
        <f t="shared" si="4"/>
        <v>0</v>
      </c>
      <c r="H53" s="289">
        <f t="shared" si="4"/>
        <v>0</v>
      </c>
      <c r="I53" s="289">
        <f t="shared" si="4"/>
        <v>0</v>
      </c>
      <c r="J53" s="289">
        <f t="shared" si="4"/>
        <v>0</v>
      </c>
      <c r="K53" s="289">
        <f t="shared" si="4"/>
        <v>0</v>
      </c>
      <c r="L53" s="289">
        <f t="shared" si="4"/>
        <v>0</v>
      </c>
      <c r="M53" s="289">
        <f t="shared" si="4"/>
        <v>0</v>
      </c>
      <c r="N53" s="289">
        <f t="shared" si="4"/>
        <v>0</v>
      </c>
      <c r="O53" s="289">
        <f t="shared" si="4"/>
        <v>0</v>
      </c>
      <c r="P53" s="289">
        <f t="shared" si="4"/>
        <v>0</v>
      </c>
      <c r="Q53" s="289">
        <f t="shared" si="4"/>
        <v>0</v>
      </c>
      <c r="R53" s="289">
        <f t="shared" si="4"/>
        <v>0</v>
      </c>
      <c r="S53" s="289">
        <f t="shared" si="4"/>
        <v>0</v>
      </c>
      <c r="T53" s="289">
        <f t="shared" si="4"/>
        <v>0</v>
      </c>
      <c r="U53" s="289">
        <f t="shared" si="4"/>
        <v>0</v>
      </c>
      <c r="V53" s="289">
        <f t="shared" si="4"/>
        <v>0</v>
      </c>
      <c r="W53" s="289">
        <f t="shared" si="4"/>
        <v>0</v>
      </c>
      <c r="X53" s="289">
        <f t="shared" si="4"/>
        <v>0</v>
      </c>
      <c r="Y53" s="289">
        <f t="shared" si="4"/>
        <v>0</v>
      </c>
      <c r="Z53" s="289">
        <f t="shared" si="4"/>
        <v>0</v>
      </c>
      <c r="AA53" s="289">
        <f t="shared" si="4"/>
        <v>0</v>
      </c>
      <c r="AB53" s="289">
        <f t="shared" si="4"/>
        <v>0</v>
      </c>
      <c r="AC53" s="289">
        <f t="shared" si="4"/>
        <v>0</v>
      </c>
      <c r="AD53" s="289">
        <f t="shared" si="4"/>
        <v>0</v>
      </c>
      <c r="AE53" s="290">
        <f t="shared" si="4"/>
        <v>0</v>
      </c>
    </row>
    <row r="54" spans="1:31">
      <c r="C54" s="364" t="s">
        <v>724</v>
      </c>
      <c r="D54" s="365">
        <f>SUM(D40:D53)-SUM(D26:D38)</f>
        <v>0</v>
      </c>
      <c r="E54" s="365">
        <f t="shared" ref="E54:AE54" si="5">SUM(E40:E53)-SUM(E26:E38)</f>
        <v>0</v>
      </c>
      <c r="F54" s="365">
        <f t="shared" si="5"/>
        <v>0</v>
      </c>
      <c r="G54" s="365">
        <f t="shared" si="5"/>
        <v>0</v>
      </c>
      <c r="H54" s="365">
        <f t="shared" si="5"/>
        <v>0</v>
      </c>
      <c r="I54" s="365">
        <f t="shared" si="5"/>
        <v>0</v>
      </c>
      <c r="J54" s="365">
        <f t="shared" si="5"/>
        <v>0</v>
      </c>
      <c r="K54" s="365">
        <f t="shared" si="5"/>
        <v>0</v>
      </c>
      <c r="L54" s="365">
        <f t="shared" si="5"/>
        <v>0</v>
      </c>
      <c r="M54" s="365">
        <f t="shared" si="5"/>
        <v>0</v>
      </c>
      <c r="N54" s="365">
        <f t="shared" si="5"/>
        <v>0</v>
      </c>
      <c r="O54" s="365">
        <f t="shared" si="5"/>
        <v>0</v>
      </c>
      <c r="P54" s="365">
        <f t="shared" si="5"/>
        <v>0</v>
      </c>
      <c r="Q54" s="365">
        <f t="shared" si="5"/>
        <v>0</v>
      </c>
      <c r="R54" s="365">
        <f t="shared" si="5"/>
        <v>0</v>
      </c>
      <c r="S54" s="365">
        <f t="shared" si="5"/>
        <v>0</v>
      </c>
      <c r="T54" s="365">
        <f t="shared" si="5"/>
        <v>0</v>
      </c>
      <c r="U54" s="365">
        <f t="shared" si="5"/>
        <v>0</v>
      </c>
      <c r="V54" s="365">
        <f t="shared" si="5"/>
        <v>0</v>
      </c>
      <c r="W54" s="365">
        <f t="shared" si="5"/>
        <v>0</v>
      </c>
      <c r="X54" s="365">
        <f t="shared" si="5"/>
        <v>0</v>
      </c>
      <c r="Y54" s="365">
        <f t="shared" si="5"/>
        <v>0</v>
      </c>
      <c r="Z54" s="365">
        <f t="shared" si="5"/>
        <v>0</v>
      </c>
      <c r="AA54" s="365">
        <f t="shared" si="5"/>
        <v>0</v>
      </c>
      <c r="AB54" s="365">
        <f t="shared" si="5"/>
        <v>0</v>
      </c>
      <c r="AC54" s="365">
        <f t="shared" si="5"/>
        <v>0</v>
      </c>
      <c r="AD54" s="365">
        <f t="shared" si="5"/>
        <v>0</v>
      </c>
      <c r="AE54" s="365">
        <f t="shared" si="5"/>
        <v>0</v>
      </c>
    </row>
    <row r="55" spans="1:31">
      <c r="A55" s="586" t="s">
        <v>725</v>
      </c>
      <c r="B55" s="586"/>
      <c r="C55" s="586"/>
      <c r="D55" s="586"/>
    </row>
    <row r="56" spans="1:31">
      <c r="A56" s="586"/>
      <c r="B56" s="586"/>
      <c r="C56" s="586"/>
      <c r="D56" s="586"/>
    </row>
    <row r="57" spans="1:31" s="60" customFormat="1" ht="14.4"/>
    <row r="58" spans="1:31">
      <c r="A58" s="86"/>
      <c r="B58" s="88"/>
      <c r="C58" s="88"/>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7"/>
    </row>
    <row r="59" spans="1:31">
      <c r="A59" s="90" t="s">
        <v>717</v>
      </c>
      <c r="B59" s="68" t="s">
        <v>718</v>
      </c>
      <c r="C59" s="68" t="s">
        <v>375</v>
      </c>
      <c r="D59" s="69" t="s">
        <v>172</v>
      </c>
      <c r="E59" s="69" t="s">
        <v>175</v>
      </c>
      <c r="F59" s="69" t="s">
        <v>178</v>
      </c>
      <c r="G59" s="69" t="s">
        <v>181</v>
      </c>
      <c r="H59" s="69" t="s">
        <v>184</v>
      </c>
      <c r="I59" s="69" t="s">
        <v>187</v>
      </c>
      <c r="J59" s="69" t="s">
        <v>190</v>
      </c>
      <c r="K59" s="69" t="s">
        <v>193</v>
      </c>
      <c r="L59" s="69" t="s">
        <v>196</v>
      </c>
      <c r="M59" s="69" t="s">
        <v>198</v>
      </c>
      <c r="N59" s="69" t="s">
        <v>200</v>
      </c>
      <c r="O59" s="69" t="s">
        <v>202</v>
      </c>
      <c r="P59" s="69" t="s">
        <v>205</v>
      </c>
      <c r="Q59" s="69" t="s">
        <v>208</v>
      </c>
      <c r="R59" s="69" t="s">
        <v>211</v>
      </c>
      <c r="S59" s="69" t="s">
        <v>214</v>
      </c>
      <c r="T59" s="69" t="s">
        <v>217</v>
      </c>
      <c r="U59" s="69" t="s">
        <v>220</v>
      </c>
      <c r="V59" s="69" t="s">
        <v>223</v>
      </c>
      <c r="W59" s="69" t="s">
        <v>225</v>
      </c>
      <c r="X59" s="69" t="s">
        <v>227</v>
      </c>
      <c r="Y59" s="69" t="s">
        <v>230</v>
      </c>
      <c r="Z59" s="69" t="s">
        <v>233</v>
      </c>
      <c r="AA59" s="69" t="s">
        <v>236</v>
      </c>
      <c r="AB59" s="69" t="s">
        <v>238</v>
      </c>
      <c r="AC59" s="69" t="s">
        <v>240</v>
      </c>
      <c r="AD59" s="69" t="s">
        <v>243</v>
      </c>
      <c r="AE59" s="91" t="s">
        <v>245</v>
      </c>
    </row>
    <row r="60" spans="1:31" s="103" customFormat="1">
      <c r="A60" s="98" t="s">
        <v>719</v>
      </c>
      <c r="B60" s="99" t="s">
        <v>521</v>
      </c>
      <c r="C60" s="100" t="s">
        <v>387</v>
      </c>
      <c r="D60" s="101">
        <v>0</v>
      </c>
      <c r="E60" s="101">
        <v>3350</v>
      </c>
      <c r="F60" s="101">
        <v>0</v>
      </c>
      <c r="G60" s="101">
        <v>18142</v>
      </c>
      <c r="H60" s="101">
        <v>23635</v>
      </c>
      <c r="I60" s="101">
        <v>17821</v>
      </c>
      <c r="J60" s="101">
        <v>2654</v>
      </c>
      <c r="K60" s="101">
        <v>0</v>
      </c>
      <c r="L60" s="101">
        <v>0</v>
      </c>
      <c r="M60" s="101">
        <v>22913</v>
      </c>
      <c r="N60" s="101">
        <v>2355</v>
      </c>
      <c r="O60" s="101">
        <v>4375053</v>
      </c>
      <c r="P60" s="101">
        <v>85166</v>
      </c>
      <c r="Q60" s="101">
        <v>36844</v>
      </c>
      <c r="R60" s="101">
        <v>88202</v>
      </c>
      <c r="S60" s="101">
        <v>116913</v>
      </c>
      <c r="T60" s="101">
        <v>265080</v>
      </c>
      <c r="U60" s="101">
        <v>3260</v>
      </c>
      <c r="V60" s="101">
        <v>444595</v>
      </c>
      <c r="W60" s="101">
        <v>410945</v>
      </c>
      <c r="X60" s="101">
        <v>10451</v>
      </c>
      <c r="Y60" s="101">
        <v>49991</v>
      </c>
      <c r="Z60" s="101">
        <v>14213</v>
      </c>
      <c r="AA60" s="101">
        <v>16062</v>
      </c>
      <c r="AB60" s="101">
        <v>0</v>
      </c>
      <c r="AC60" s="101">
        <v>214602</v>
      </c>
      <c r="AD60" s="101">
        <v>225861</v>
      </c>
      <c r="AE60" s="104">
        <v>110352</v>
      </c>
    </row>
    <row r="61" spans="1:31">
      <c r="A61" s="96"/>
      <c r="B61" s="79"/>
      <c r="C61" s="79"/>
      <c r="D61" s="79"/>
      <c r="E61" s="79"/>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c r="AE61" s="79"/>
    </row>
    <row r="62" spans="1:31">
      <c r="A62" s="95" t="s">
        <v>720</v>
      </c>
      <c r="B62" s="71" t="s">
        <v>531</v>
      </c>
      <c r="C62" s="74" t="s">
        <v>387</v>
      </c>
      <c r="D62" s="73">
        <v>0</v>
      </c>
      <c r="E62" s="73">
        <v>0</v>
      </c>
      <c r="F62" s="73">
        <v>0</v>
      </c>
      <c r="G62" s="73">
        <v>21130</v>
      </c>
      <c r="H62" s="73">
        <v>24923</v>
      </c>
      <c r="I62" s="73">
        <v>14455</v>
      </c>
      <c r="J62" s="73">
        <v>0</v>
      </c>
      <c r="K62" s="73">
        <v>0</v>
      </c>
      <c r="L62" s="73">
        <v>77379</v>
      </c>
      <c r="M62" s="73">
        <v>24338</v>
      </c>
      <c r="N62" s="73">
        <v>3550</v>
      </c>
      <c r="O62" s="73">
        <v>1788779</v>
      </c>
      <c r="P62" s="73">
        <v>77882</v>
      </c>
      <c r="Q62" s="73">
        <v>13522</v>
      </c>
      <c r="R62" s="73">
        <v>118747</v>
      </c>
      <c r="S62" s="73">
        <v>22973</v>
      </c>
      <c r="T62" s="73">
        <v>125698</v>
      </c>
      <c r="U62" s="73">
        <v>0</v>
      </c>
      <c r="V62" s="73">
        <v>205572</v>
      </c>
      <c r="W62" s="73">
        <v>300259</v>
      </c>
      <c r="X62" s="73">
        <v>2526</v>
      </c>
      <c r="Y62" s="73">
        <v>36032</v>
      </c>
      <c r="Z62" s="73">
        <v>7973</v>
      </c>
      <c r="AA62" s="73">
        <v>8592</v>
      </c>
      <c r="AB62" s="73">
        <v>0</v>
      </c>
      <c r="AC62" s="73">
        <v>286443</v>
      </c>
      <c r="AD62" s="73">
        <v>152766</v>
      </c>
      <c r="AE62" s="93">
        <v>61173</v>
      </c>
    </row>
    <row r="63" spans="1:31">
      <c r="A63" s="95" t="s">
        <v>720</v>
      </c>
      <c r="B63" s="71" t="s">
        <v>533</v>
      </c>
      <c r="C63" s="74" t="s">
        <v>387</v>
      </c>
      <c r="D63" s="73">
        <v>0</v>
      </c>
      <c r="E63" s="73">
        <v>13122</v>
      </c>
      <c r="F63" s="73">
        <v>0</v>
      </c>
      <c r="G63" s="73">
        <v>55223</v>
      </c>
      <c r="H63" s="73">
        <v>79262</v>
      </c>
      <c r="I63" s="73">
        <v>67318</v>
      </c>
      <c r="J63" s="73">
        <v>0</v>
      </c>
      <c r="K63" s="73">
        <v>0</v>
      </c>
      <c r="L63" s="73">
        <v>261593</v>
      </c>
      <c r="M63" s="73">
        <v>64828</v>
      </c>
      <c r="N63" s="73">
        <v>12370</v>
      </c>
      <c r="O63" s="73">
        <v>13250539</v>
      </c>
      <c r="P63" s="73">
        <v>301533</v>
      </c>
      <c r="Q63" s="73">
        <v>39733</v>
      </c>
      <c r="R63" s="73">
        <v>408205</v>
      </c>
      <c r="S63" s="73">
        <v>163220</v>
      </c>
      <c r="T63" s="73">
        <v>495361</v>
      </c>
      <c r="U63" s="73">
        <v>125228</v>
      </c>
      <c r="V63" s="73">
        <v>1143599</v>
      </c>
      <c r="W63" s="73">
        <v>940192</v>
      </c>
      <c r="X63" s="73">
        <v>83873</v>
      </c>
      <c r="Y63" s="73">
        <v>114729</v>
      </c>
      <c r="Z63" s="73">
        <v>52545</v>
      </c>
      <c r="AA63" s="73">
        <v>28614</v>
      </c>
      <c r="AB63" s="73">
        <v>0</v>
      </c>
      <c r="AC63" s="73">
        <v>1308694</v>
      </c>
      <c r="AD63" s="73">
        <v>462698</v>
      </c>
      <c r="AE63" s="93">
        <v>338265</v>
      </c>
    </row>
    <row r="64" spans="1:31">
      <c r="A64" s="96"/>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row>
    <row r="65" spans="1:31">
      <c r="A65" s="95" t="s">
        <v>721</v>
      </c>
      <c r="B65" s="71" t="s">
        <v>556</v>
      </c>
      <c r="C65" s="74" t="s">
        <v>387</v>
      </c>
      <c r="D65" s="73">
        <v>0</v>
      </c>
      <c r="E65" s="73">
        <v>0</v>
      </c>
      <c r="F65" s="73">
        <v>0</v>
      </c>
      <c r="G65" s="73">
        <v>174253</v>
      </c>
      <c r="H65" s="73">
        <v>0</v>
      </c>
      <c r="I65" s="73">
        <v>13134</v>
      </c>
      <c r="J65" s="73">
        <v>19771</v>
      </c>
      <c r="K65" s="73">
        <v>0</v>
      </c>
      <c r="L65" s="73">
        <v>0</v>
      </c>
      <c r="M65" s="73">
        <v>131379</v>
      </c>
      <c r="N65" s="73">
        <v>0</v>
      </c>
      <c r="O65" s="73">
        <v>325512</v>
      </c>
      <c r="P65" s="73">
        <v>0</v>
      </c>
      <c r="Q65" s="73">
        <v>0</v>
      </c>
      <c r="R65" s="73">
        <v>88897</v>
      </c>
      <c r="S65" s="73">
        <v>0</v>
      </c>
      <c r="T65" s="73">
        <v>23452</v>
      </c>
      <c r="U65" s="73">
        <v>0</v>
      </c>
      <c r="V65" s="73">
        <v>0</v>
      </c>
      <c r="W65" s="73">
        <v>0</v>
      </c>
      <c r="X65" s="334">
        <f>-X21</f>
        <v>21950</v>
      </c>
      <c r="Y65" s="73">
        <v>43992</v>
      </c>
      <c r="Z65" s="73">
        <v>186494</v>
      </c>
      <c r="AA65" s="73">
        <v>1298</v>
      </c>
      <c r="AB65" s="73">
        <v>7215</v>
      </c>
      <c r="AC65" s="73">
        <v>170964</v>
      </c>
      <c r="AD65" s="73">
        <v>0</v>
      </c>
      <c r="AE65" s="93">
        <v>203150</v>
      </c>
    </row>
    <row r="66" spans="1:31">
      <c r="A66" s="96"/>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row>
    <row r="67" spans="1:31">
      <c r="A67" s="95" t="s">
        <v>722</v>
      </c>
      <c r="B67" s="71" t="s">
        <v>535</v>
      </c>
      <c r="C67" s="74" t="s">
        <v>387</v>
      </c>
      <c r="D67" s="73">
        <v>74204</v>
      </c>
      <c r="E67" s="73">
        <v>799406</v>
      </c>
      <c r="F67" s="73">
        <v>138634</v>
      </c>
      <c r="G67" s="73">
        <v>560151</v>
      </c>
      <c r="H67" s="73">
        <v>447703</v>
      </c>
      <c r="I67" s="73">
        <v>458021</v>
      </c>
      <c r="J67" s="73">
        <v>1655327</v>
      </c>
      <c r="K67" s="73">
        <v>248572</v>
      </c>
      <c r="L67" s="73">
        <v>2630823</v>
      </c>
      <c r="M67" s="73">
        <v>1777039</v>
      </c>
      <c r="N67" s="73">
        <v>137214</v>
      </c>
      <c r="O67" s="73">
        <v>7510618</v>
      </c>
      <c r="P67" s="73">
        <v>370735</v>
      </c>
      <c r="Q67" s="73">
        <v>1212233</v>
      </c>
      <c r="R67" s="73">
        <v>1517137</v>
      </c>
      <c r="S67" s="73">
        <v>3932926</v>
      </c>
      <c r="T67" s="73">
        <v>3962857</v>
      </c>
      <c r="U67" s="73">
        <v>1083928</v>
      </c>
      <c r="V67" s="73">
        <v>4787115</v>
      </c>
      <c r="W67" s="73">
        <v>1966776</v>
      </c>
      <c r="X67" s="73">
        <v>1247865</v>
      </c>
      <c r="Y67" s="73">
        <v>886758</v>
      </c>
      <c r="Z67" s="73">
        <v>5201873</v>
      </c>
      <c r="AA67" s="73">
        <v>318923</v>
      </c>
      <c r="AB67" s="73">
        <v>4211</v>
      </c>
      <c r="AC67" s="73">
        <v>4228964</v>
      </c>
      <c r="AD67" s="73">
        <v>2111483</v>
      </c>
      <c r="AE67" s="93">
        <v>10959733</v>
      </c>
    </row>
    <row r="68" spans="1:31">
      <c r="A68" s="95" t="s">
        <v>722</v>
      </c>
      <c r="B68" s="71" t="s">
        <v>543</v>
      </c>
      <c r="C68" s="74" t="s">
        <v>387</v>
      </c>
      <c r="D68" s="73">
        <v>37474</v>
      </c>
      <c r="E68" s="73">
        <v>389710</v>
      </c>
      <c r="F68" s="73">
        <v>55649</v>
      </c>
      <c r="G68" s="73">
        <v>331264</v>
      </c>
      <c r="H68" s="73">
        <v>477267</v>
      </c>
      <c r="I68" s="73">
        <v>445609</v>
      </c>
      <c r="J68" s="73">
        <v>1140395</v>
      </c>
      <c r="K68" s="73">
        <v>104947</v>
      </c>
      <c r="L68" s="73">
        <v>173466</v>
      </c>
      <c r="M68" s="73">
        <v>1602275</v>
      </c>
      <c r="N68" s="73">
        <v>141537</v>
      </c>
      <c r="O68" s="73">
        <v>6968627</v>
      </c>
      <c r="P68" s="73">
        <v>188181</v>
      </c>
      <c r="Q68" s="73">
        <v>1079668</v>
      </c>
      <c r="R68" s="73">
        <v>772054</v>
      </c>
      <c r="S68" s="73">
        <v>1954792</v>
      </c>
      <c r="T68" s="73">
        <v>2954240</v>
      </c>
      <c r="U68" s="73">
        <v>903140</v>
      </c>
      <c r="V68" s="73">
        <v>1857895</v>
      </c>
      <c r="W68" s="73">
        <v>1600841</v>
      </c>
      <c r="X68" s="73">
        <v>894951</v>
      </c>
      <c r="Y68" s="73">
        <v>420538</v>
      </c>
      <c r="Z68" s="73">
        <v>2572165</v>
      </c>
      <c r="AA68" s="73">
        <v>395785</v>
      </c>
      <c r="AB68" s="73">
        <v>4957</v>
      </c>
      <c r="AC68" s="73">
        <v>1765271</v>
      </c>
      <c r="AD68" s="73">
        <v>927938</v>
      </c>
      <c r="AE68" s="93">
        <v>16003845</v>
      </c>
    </row>
    <row r="69" spans="1:31">
      <c r="A69" s="95" t="s">
        <v>722</v>
      </c>
      <c r="B69" s="71" t="s">
        <v>548</v>
      </c>
      <c r="C69" s="74" t="s">
        <v>387</v>
      </c>
      <c r="D69" s="73">
        <v>4631</v>
      </c>
      <c r="E69" s="73">
        <v>661338</v>
      </c>
      <c r="F69" s="73">
        <v>67930</v>
      </c>
      <c r="G69" s="73">
        <v>147476</v>
      </c>
      <c r="H69" s="73">
        <v>49267</v>
      </c>
      <c r="I69" s="73">
        <v>208440</v>
      </c>
      <c r="J69" s="73">
        <v>386193</v>
      </c>
      <c r="K69" s="73">
        <v>141950</v>
      </c>
      <c r="L69" s="73">
        <v>487651</v>
      </c>
      <c r="M69" s="73">
        <v>137516</v>
      </c>
      <c r="N69" s="73">
        <v>46989</v>
      </c>
      <c r="O69" s="73">
        <v>1629806</v>
      </c>
      <c r="P69" s="73">
        <v>210805</v>
      </c>
      <c r="Q69" s="73">
        <v>164266</v>
      </c>
      <c r="R69" s="73">
        <v>299016</v>
      </c>
      <c r="S69" s="73">
        <v>888609</v>
      </c>
      <c r="T69" s="73">
        <v>1162688</v>
      </c>
      <c r="U69" s="73">
        <v>81518</v>
      </c>
      <c r="V69" s="73">
        <v>253464</v>
      </c>
      <c r="W69" s="73">
        <v>733620</v>
      </c>
      <c r="X69" s="73">
        <v>1033565</v>
      </c>
      <c r="Y69" s="73">
        <v>343675</v>
      </c>
      <c r="Z69" s="73">
        <v>2974379</v>
      </c>
      <c r="AA69" s="73">
        <v>361804</v>
      </c>
      <c r="AB69" s="73">
        <v>9385</v>
      </c>
      <c r="AC69" s="73">
        <v>2286296</v>
      </c>
      <c r="AD69" s="73">
        <v>363489</v>
      </c>
      <c r="AE69" s="93">
        <v>683591</v>
      </c>
    </row>
    <row r="70" spans="1:31">
      <c r="A70" s="95" t="s">
        <v>722</v>
      </c>
      <c r="B70" s="71" t="s">
        <v>550</v>
      </c>
      <c r="C70" s="74" t="s">
        <v>387</v>
      </c>
      <c r="D70" s="73">
        <v>2145</v>
      </c>
      <c r="E70" s="73">
        <v>181620</v>
      </c>
      <c r="F70" s="73">
        <v>22506</v>
      </c>
      <c r="G70" s="73">
        <v>140219</v>
      </c>
      <c r="H70" s="518">
        <v>200547</v>
      </c>
      <c r="I70" s="73">
        <v>89891</v>
      </c>
      <c r="J70" s="73">
        <v>928458</v>
      </c>
      <c r="K70" s="73">
        <v>54166</v>
      </c>
      <c r="L70" s="73">
        <v>216892</v>
      </c>
      <c r="M70" s="73">
        <v>236356</v>
      </c>
      <c r="N70" s="73">
        <v>45121</v>
      </c>
      <c r="O70" s="73">
        <v>2442713</v>
      </c>
      <c r="P70" s="73">
        <v>25915</v>
      </c>
      <c r="Q70" s="73">
        <v>311452</v>
      </c>
      <c r="R70" s="73">
        <v>136194</v>
      </c>
      <c r="S70" s="73">
        <v>732553</v>
      </c>
      <c r="T70" s="73">
        <v>723187</v>
      </c>
      <c r="U70" s="73">
        <v>296294</v>
      </c>
      <c r="V70" s="73">
        <v>730028</v>
      </c>
      <c r="W70" s="73">
        <v>1006617</v>
      </c>
      <c r="X70" s="73">
        <v>201408</v>
      </c>
      <c r="Y70" s="73">
        <v>331281</v>
      </c>
      <c r="Z70" s="73">
        <v>1789817</v>
      </c>
      <c r="AA70" s="73">
        <v>54732</v>
      </c>
      <c r="AB70" s="73">
        <v>3375</v>
      </c>
      <c r="AC70" s="73">
        <v>609643</v>
      </c>
      <c r="AD70" s="73">
        <v>961310</v>
      </c>
      <c r="AE70" s="93">
        <v>3486534</v>
      </c>
    </row>
    <row r="71" spans="1:31">
      <c r="A71" s="95" t="s">
        <v>722</v>
      </c>
      <c r="B71" s="71" t="s">
        <v>552</v>
      </c>
      <c r="C71" s="74" t="s">
        <v>387</v>
      </c>
      <c r="D71" s="73">
        <v>12100</v>
      </c>
      <c r="E71" s="73">
        <v>65120</v>
      </c>
      <c r="F71" s="73">
        <v>10745</v>
      </c>
      <c r="G71" s="73">
        <v>57646</v>
      </c>
      <c r="H71" s="73">
        <v>27886</v>
      </c>
      <c r="I71" s="73">
        <v>156162</v>
      </c>
      <c r="J71" s="73">
        <v>163325</v>
      </c>
      <c r="K71" s="73">
        <v>14343</v>
      </c>
      <c r="L71" s="73">
        <v>191445</v>
      </c>
      <c r="M71" s="73">
        <v>226878</v>
      </c>
      <c r="N71" s="73">
        <v>35246</v>
      </c>
      <c r="O71" s="73">
        <v>2023674</v>
      </c>
      <c r="P71" s="73">
        <v>41161</v>
      </c>
      <c r="Q71" s="73">
        <v>175480</v>
      </c>
      <c r="R71" s="73">
        <v>145348</v>
      </c>
      <c r="S71" s="73">
        <v>278968</v>
      </c>
      <c r="T71" s="73">
        <v>365414</v>
      </c>
      <c r="U71" s="73">
        <v>63697</v>
      </c>
      <c r="V71" s="73">
        <v>526572</v>
      </c>
      <c r="W71" s="73">
        <v>149008</v>
      </c>
      <c r="X71" s="73">
        <v>133727</v>
      </c>
      <c r="Y71" s="73">
        <v>72665</v>
      </c>
      <c r="Z71" s="73">
        <v>423541</v>
      </c>
      <c r="AA71" s="73">
        <v>444</v>
      </c>
      <c r="AB71" s="73">
        <v>149</v>
      </c>
      <c r="AC71" s="73">
        <v>1419670</v>
      </c>
      <c r="AD71" s="73">
        <v>176783</v>
      </c>
      <c r="AE71" s="93">
        <v>474745</v>
      </c>
    </row>
    <row r="72" spans="1:31">
      <c r="A72" s="95" t="s">
        <v>722</v>
      </c>
      <c r="B72" s="71" t="s">
        <v>554</v>
      </c>
      <c r="C72" s="74" t="s">
        <v>387</v>
      </c>
      <c r="D72" s="73">
        <v>198</v>
      </c>
      <c r="E72" s="73">
        <v>348642</v>
      </c>
      <c r="F72" s="73">
        <v>3838</v>
      </c>
      <c r="G72" s="73">
        <v>32523</v>
      </c>
      <c r="H72" s="73">
        <v>109</v>
      </c>
      <c r="I72" s="73">
        <v>10110</v>
      </c>
      <c r="J72" s="73">
        <v>581534</v>
      </c>
      <c r="K72" s="73">
        <v>30444</v>
      </c>
      <c r="L72" s="73">
        <v>94040</v>
      </c>
      <c r="M72" s="73">
        <v>98444</v>
      </c>
      <c r="N72" s="73">
        <v>690</v>
      </c>
      <c r="O72" s="73">
        <v>2433574</v>
      </c>
      <c r="P72" s="73">
        <v>11270</v>
      </c>
      <c r="Q72" s="73">
        <v>77370</v>
      </c>
      <c r="R72" s="73">
        <v>181535</v>
      </c>
      <c r="S72" s="73">
        <v>440039</v>
      </c>
      <c r="T72" s="73">
        <v>470019</v>
      </c>
      <c r="U72" s="73">
        <v>21326</v>
      </c>
      <c r="V72" s="73">
        <v>727899</v>
      </c>
      <c r="W72" s="73">
        <v>487354</v>
      </c>
      <c r="X72" s="73">
        <v>27747</v>
      </c>
      <c r="Y72" s="73">
        <v>80588</v>
      </c>
      <c r="Z72" s="73">
        <v>961172</v>
      </c>
      <c r="AA72" s="73">
        <v>67917</v>
      </c>
      <c r="AB72" s="73">
        <v>1424</v>
      </c>
      <c r="AC72" s="73">
        <v>1167119</v>
      </c>
      <c r="AD72" s="73">
        <v>1121980</v>
      </c>
      <c r="AE72" s="93">
        <v>322082</v>
      </c>
    </row>
    <row r="73" spans="1:31">
      <c r="A73" s="95" t="s">
        <v>722</v>
      </c>
      <c r="B73" s="71" t="s">
        <v>558</v>
      </c>
      <c r="C73" s="74" t="s">
        <v>387</v>
      </c>
      <c r="D73" s="73">
        <v>9026</v>
      </c>
      <c r="E73" s="73">
        <v>79717</v>
      </c>
      <c r="F73" s="73">
        <v>9778.5291517147216</v>
      </c>
      <c r="G73" s="73">
        <v>30112</v>
      </c>
      <c r="H73" s="73">
        <v>146699</v>
      </c>
      <c r="I73" s="73">
        <v>130107</v>
      </c>
      <c r="J73" s="73">
        <v>321692</v>
      </c>
      <c r="K73" s="73">
        <v>21323</v>
      </c>
      <c r="L73" s="73">
        <v>475068</v>
      </c>
      <c r="M73" s="73">
        <v>716242</v>
      </c>
      <c r="N73" s="73">
        <v>16327</v>
      </c>
      <c r="O73" s="73">
        <v>8903065</v>
      </c>
      <c r="P73" s="73">
        <v>106989</v>
      </c>
      <c r="Q73" s="73">
        <v>170376</v>
      </c>
      <c r="R73" s="73">
        <v>334981</v>
      </c>
      <c r="S73" s="73">
        <v>1050203</v>
      </c>
      <c r="T73" s="73">
        <v>563488</v>
      </c>
      <c r="U73" s="73">
        <v>227310</v>
      </c>
      <c r="V73" s="73">
        <v>1922474</v>
      </c>
      <c r="W73" s="73">
        <v>524657</v>
      </c>
      <c r="X73" s="73">
        <v>259759</v>
      </c>
      <c r="Y73" s="73">
        <v>250630</v>
      </c>
      <c r="Z73" s="73">
        <v>1033152</v>
      </c>
      <c r="AA73" s="73">
        <v>97588</v>
      </c>
      <c r="AB73" s="73">
        <v>25</v>
      </c>
      <c r="AC73" s="73">
        <v>1509580</v>
      </c>
      <c r="AD73" s="73">
        <v>462539</v>
      </c>
      <c r="AE73" s="93">
        <v>3482850</v>
      </c>
    </row>
    <row r="74" spans="1:31">
      <c r="A74" s="96"/>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row>
    <row r="75" spans="1:31" s="343" customFormat="1">
      <c r="A75" s="339" t="s">
        <v>723</v>
      </c>
      <c r="B75" s="340" t="s">
        <v>525</v>
      </c>
      <c r="C75" s="341" t="s">
        <v>387</v>
      </c>
      <c r="D75" s="344">
        <v>199441.25491348002</v>
      </c>
      <c r="E75" s="338">
        <v>0</v>
      </c>
      <c r="F75" s="338">
        <v>0</v>
      </c>
      <c r="G75" s="338">
        <v>0</v>
      </c>
      <c r="H75" s="338">
        <v>0</v>
      </c>
      <c r="I75" s="338">
        <v>0</v>
      </c>
      <c r="J75" s="338">
        <v>0</v>
      </c>
      <c r="K75" s="338">
        <v>0</v>
      </c>
      <c r="L75" s="338">
        <v>0</v>
      </c>
      <c r="M75" s="338">
        <v>0</v>
      </c>
      <c r="N75" s="338">
        <v>3703.9999999999909</v>
      </c>
      <c r="O75" s="338">
        <v>0</v>
      </c>
      <c r="P75" s="338">
        <v>0</v>
      </c>
      <c r="Q75" s="338">
        <v>0</v>
      </c>
      <c r="R75" s="338">
        <v>0</v>
      </c>
      <c r="S75" s="338">
        <v>0</v>
      </c>
      <c r="T75" s="338">
        <v>0</v>
      </c>
      <c r="U75" s="338">
        <v>0</v>
      </c>
      <c r="V75" s="338">
        <v>0</v>
      </c>
      <c r="W75" s="338">
        <v>0</v>
      </c>
      <c r="X75" s="338">
        <v>0</v>
      </c>
      <c r="Y75" s="338">
        <v>0</v>
      </c>
      <c r="Z75" s="338">
        <v>0</v>
      </c>
      <c r="AA75" s="338">
        <v>0</v>
      </c>
      <c r="AB75" s="338">
        <v>122990.85299778503</v>
      </c>
      <c r="AC75" s="338">
        <v>0</v>
      </c>
      <c r="AD75" s="338">
        <v>0</v>
      </c>
      <c r="AE75" s="342">
        <v>0</v>
      </c>
    </row>
    <row r="76" spans="1:31">
      <c r="A76" s="95" t="s">
        <v>723</v>
      </c>
      <c r="B76" s="71" t="s">
        <v>527</v>
      </c>
      <c r="C76" s="74" t="s">
        <v>387</v>
      </c>
      <c r="D76" s="73">
        <v>0</v>
      </c>
      <c r="E76" s="73">
        <v>1224</v>
      </c>
      <c r="F76" s="73">
        <v>95</v>
      </c>
      <c r="G76" s="73">
        <v>20529</v>
      </c>
      <c r="H76" s="73">
        <v>362</v>
      </c>
      <c r="I76" s="73">
        <v>7091</v>
      </c>
      <c r="J76" s="73">
        <v>0</v>
      </c>
      <c r="K76" s="73">
        <v>0</v>
      </c>
      <c r="L76" s="73">
        <v>0</v>
      </c>
      <c r="M76" s="73">
        <v>0</v>
      </c>
      <c r="N76" s="73">
        <v>0</v>
      </c>
      <c r="O76" s="73">
        <v>974376</v>
      </c>
      <c r="P76" s="73">
        <v>5275</v>
      </c>
      <c r="Q76" s="73">
        <v>5842</v>
      </c>
      <c r="R76" s="73">
        <v>29937</v>
      </c>
      <c r="S76" s="73">
        <v>1961</v>
      </c>
      <c r="T76" s="73">
        <v>70259</v>
      </c>
      <c r="U76" s="73">
        <v>33022</v>
      </c>
      <c r="V76" s="73">
        <v>10701</v>
      </c>
      <c r="W76" s="73">
        <v>46317</v>
      </c>
      <c r="X76" s="73">
        <v>3765</v>
      </c>
      <c r="Y76" s="73">
        <v>0</v>
      </c>
      <c r="Z76" s="73">
        <v>187</v>
      </c>
      <c r="AA76" s="73">
        <v>1938</v>
      </c>
      <c r="AB76" s="73">
        <v>0</v>
      </c>
      <c r="AC76" s="73">
        <v>298</v>
      </c>
      <c r="AD76" s="73">
        <v>59336</v>
      </c>
      <c r="AE76" s="93">
        <v>0</v>
      </c>
    </row>
    <row r="77" spans="1:31">
      <c r="A77" s="95" t="s">
        <v>723</v>
      </c>
      <c r="B77" s="71" t="s">
        <v>535</v>
      </c>
      <c r="C77" s="74" t="s">
        <v>387</v>
      </c>
      <c r="D77" s="73">
        <v>0</v>
      </c>
      <c r="E77" s="73">
        <v>0</v>
      </c>
      <c r="F77" s="73">
        <v>0</v>
      </c>
      <c r="G77" s="73">
        <v>0</v>
      </c>
      <c r="H77" s="73">
        <v>0</v>
      </c>
      <c r="I77" s="73">
        <v>0</v>
      </c>
      <c r="J77" s="73">
        <v>0</v>
      </c>
      <c r="K77" s="73">
        <v>3485</v>
      </c>
      <c r="L77" s="73">
        <v>0</v>
      </c>
      <c r="M77" s="73">
        <v>0</v>
      </c>
      <c r="N77" s="73">
        <v>0</v>
      </c>
      <c r="O77" s="73">
        <v>0</v>
      </c>
      <c r="P77" s="73">
        <v>0</v>
      </c>
      <c r="Q77" s="73">
        <v>0</v>
      </c>
      <c r="R77" s="73">
        <v>0</v>
      </c>
      <c r="S77" s="73">
        <v>0</v>
      </c>
      <c r="T77" s="73">
        <v>0</v>
      </c>
      <c r="U77" s="73">
        <v>0</v>
      </c>
      <c r="V77" s="73">
        <v>0</v>
      </c>
      <c r="W77" s="73">
        <v>0</v>
      </c>
      <c r="X77" s="73">
        <v>10600</v>
      </c>
      <c r="Y77" s="73">
        <v>0</v>
      </c>
      <c r="Z77" s="73">
        <v>0</v>
      </c>
      <c r="AA77" s="73">
        <v>0</v>
      </c>
      <c r="AB77" s="73">
        <v>0</v>
      </c>
      <c r="AC77" s="73">
        <v>0</v>
      </c>
      <c r="AD77" s="73">
        <v>0</v>
      </c>
      <c r="AE77" s="93">
        <v>0</v>
      </c>
    </row>
    <row r="78" spans="1:31">
      <c r="A78" s="95" t="s">
        <v>723</v>
      </c>
      <c r="B78" s="71" t="s">
        <v>541</v>
      </c>
      <c r="C78" s="74" t="s">
        <v>387</v>
      </c>
      <c r="D78" s="73">
        <v>0</v>
      </c>
      <c r="E78" s="73">
        <v>0</v>
      </c>
      <c r="F78" s="73">
        <v>0</v>
      </c>
      <c r="G78" s="73">
        <v>0</v>
      </c>
      <c r="H78" s="73">
        <v>0</v>
      </c>
      <c r="I78" s="73">
        <v>0</v>
      </c>
      <c r="J78" s="73">
        <v>0</v>
      </c>
      <c r="K78" s="73">
        <v>0</v>
      </c>
      <c r="L78" s="73">
        <v>0</v>
      </c>
      <c r="M78" s="73">
        <v>0</v>
      </c>
      <c r="N78" s="73">
        <v>0</v>
      </c>
      <c r="O78" s="73">
        <v>0</v>
      </c>
      <c r="P78" s="73">
        <v>0</v>
      </c>
      <c r="Q78" s="73">
        <v>18967</v>
      </c>
      <c r="R78" s="73">
        <v>0</v>
      </c>
      <c r="S78" s="73">
        <v>0</v>
      </c>
      <c r="T78" s="73">
        <v>0</v>
      </c>
      <c r="U78" s="73">
        <v>0</v>
      </c>
      <c r="V78" s="73">
        <v>0</v>
      </c>
      <c r="W78" s="73">
        <v>69928</v>
      </c>
      <c r="X78" s="73">
        <v>0</v>
      </c>
      <c r="Y78" s="73">
        <v>0</v>
      </c>
      <c r="Z78" s="73">
        <v>0</v>
      </c>
      <c r="AA78" s="73">
        <v>8529</v>
      </c>
      <c r="AB78" s="73">
        <v>0</v>
      </c>
      <c r="AC78" s="73">
        <v>0</v>
      </c>
      <c r="AD78" s="73">
        <v>3616</v>
      </c>
      <c r="AE78" s="93">
        <v>0</v>
      </c>
    </row>
    <row r="79" spans="1:31">
      <c r="A79" s="95" t="s">
        <v>723</v>
      </c>
      <c r="B79" s="71" t="s">
        <v>543</v>
      </c>
      <c r="C79" s="74" t="s">
        <v>387</v>
      </c>
      <c r="D79" s="73">
        <v>0</v>
      </c>
      <c r="E79" s="73">
        <v>0</v>
      </c>
      <c r="F79" s="73">
        <v>0</v>
      </c>
      <c r="G79" s="73">
        <v>0</v>
      </c>
      <c r="H79" s="73">
        <v>0</v>
      </c>
      <c r="I79" s="73">
        <v>0</v>
      </c>
      <c r="J79" s="73">
        <v>0</v>
      </c>
      <c r="K79" s="73">
        <v>10757</v>
      </c>
      <c r="L79" s="73">
        <v>6905</v>
      </c>
      <c r="M79" s="73">
        <v>0</v>
      </c>
      <c r="N79" s="73">
        <v>0</v>
      </c>
      <c r="O79" s="73">
        <v>0</v>
      </c>
      <c r="P79" s="73">
        <v>0</v>
      </c>
      <c r="Q79" s="73">
        <v>0</v>
      </c>
      <c r="R79" s="73">
        <v>0</v>
      </c>
      <c r="S79" s="73">
        <v>0</v>
      </c>
      <c r="T79" s="73">
        <v>7323</v>
      </c>
      <c r="U79" s="73">
        <v>0</v>
      </c>
      <c r="V79" s="73">
        <v>0</v>
      </c>
      <c r="W79" s="73">
        <v>0</v>
      </c>
      <c r="X79" s="73">
        <v>86497</v>
      </c>
      <c r="Y79" s="73">
        <v>0</v>
      </c>
      <c r="Z79" s="73">
        <v>0</v>
      </c>
      <c r="AA79" s="73">
        <v>0</v>
      </c>
      <c r="AB79" s="73">
        <v>0</v>
      </c>
      <c r="AC79" s="73">
        <v>0</v>
      </c>
      <c r="AD79" s="73">
        <v>0</v>
      </c>
      <c r="AE79" s="93">
        <v>179708</v>
      </c>
    </row>
    <row r="80" spans="1:31">
      <c r="A80" s="95" t="s">
        <v>723</v>
      </c>
      <c r="B80" s="71" t="s">
        <v>552</v>
      </c>
      <c r="C80" s="74" t="s">
        <v>387</v>
      </c>
      <c r="D80" s="73">
        <v>0</v>
      </c>
      <c r="E80" s="73">
        <v>518084</v>
      </c>
      <c r="F80" s="73">
        <v>33040</v>
      </c>
      <c r="G80" s="73">
        <v>56331</v>
      </c>
      <c r="H80" s="73">
        <v>119787</v>
      </c>
      <c r="I80" s="73">
        <v>113392</v>
      </c>
      <c r="J80" s="73">
        <v>297281</v>
      </c>
      <c r="K80" s="73">
        <v>22225</v>
      </c>
      <c r="L80" s="73">
        <v>60132</v>
      </c>
      <c r="M80" s="73">
        <v>0</v>
      </c>
      <c r="N80" s="73">
        <v>0</v>
      </c>
      <c r="O80" s="73">
        <v>0</v>
      </c>
      <c r="P80" s="73">
        <v>5521</v>
      </c>
      <c r="Q80" s="73">
        <v>329143</v>
      </c>
      <c r="R80" s="73">
        <v>2052</v>
      </c>
      <c r="S80" s="73">
        <v>0</v>
      </c>
      <c r="T80" s="73">
        <v>0</v>
      </c>
      <c r="U80" s="73">
        <v>73829</v>
      </c>
      <c r="V80" s="73">
        <v>102414</v>
      </c>
      <c r="W80" s="73">
        <v>0</v>
      </c>
      <c r="X80" s="73">
        <v>252443</v>
      </c>
      <c r="Y80" s="73">
        <v>624</v>
      </c>
      <c r="Z80" s="73">
        <v>2269631</v>
      </c>
      <c r="AA80" s="73">
        <v>119377</v>
      </c>
      <c r="AB80" s="73">
        <v>0</v>
      </c>
      <c r="AC80" s="73">
        <v>0</v>
      </c>
      <c r="AD80" s="73">
        <v>0</v>
      </c>
      <c r="AE80" s="93">
        <v>3106183</v>
      </c>
    </row>
    <row r="81" spans="1:31">
      <c r="A81" s="95" t="s">
        <v>723</v>
      </c>
      <c r="B81" s="71" t="s">
        <v>554</v>
      </c>
      <c r="C81" s="74" t="s">
        <v>387</v>
      </c>
      <c r="D81" s="73">
        <v>0</v>
      </c>
      <c r="E81" s="73">
        <v>8931</v>
      </c>
      <c r="F81" s="73">
        <v>0</v>
      </c>
      <c r="G81" s="73">
        <v>0</v>
      </c>
      <c r="H81" s="73">
        <v>0</v>
      </c>
      <c r="I81" s="73">
        <v>784</v>
      </c>
      <c r="J81" s="73">
        <v>7894</v>
      </c>
      <c r="K81" s="73">
        <v>0</v>
      </c>
      <c r="L81" s="73">
        <v>0</v>
      </c>
      <c r="M81" s="73">
        <v>0</v>
      </c>
      <c r="N81" s="73">
        <v>0</v>
      </c>
      <c r="O81" s="73">
        <v>0</v>
      </c>
      <c r="P81" s="73">
        <v>0</v>
      </c>
      <c r="Q81" s="73">
        <v>30468</v>
      </c>
      <c r="R81" s="73">
        <v>0</v>
      </c>
      <c r="S81" s="73">
        <v>0</v>
      </c>
      <c r="T81" s="73">
        <v>0</v>
      </c>
      <c r="U81" s="73">
        <v>0</v>
      </c>
      <c r="V81" s="73">
        <v>51809</v>
      </c>
      <c r="W81" s="73">
        <v>0</v>
      </c>
      <c r="X81" s="73">
        <v>0</v>
      </c>
      <c r="Y81" s="73">
        <v>0</v>
      </c>
      <c r="Z81" s="73">
        <v>391324</v>
      </c>
      <c r="AA81" s="73">
        <v>0</v>
      </c>
      <c r="AB81" s="73">
        <v>0</v>
      </c>
      <c r="AC81" s="73">
        <v>0</v>
      </c>
      <c r="AD81" s="73">
        <v>0</v>
      </c>
      <c r="AE81" s="93">
        <v>0</v>
      </c>
    </row>
    <row r="82" spans="1:31">
      <c r="A82" s="95" t="s">
        <v>723</v>
      </c>
      <c r="B82" s="71" t="s">
        <v>556</v>
      </c>
      <c r="C82" s="74" t="s">
        <v>387</v>
      </c>
      <c r="D82" s="73">
        <v>0</v>
      </c>
      <c r="E82" s="73">
        <v>0</v>
      </c>
      <c r="F82" s="73">
        <v>0</v>
      </c>
      <c r="G82" s="73">
        <v>0</v>
      </c>
      <c r="H82" s="73">
        <v>0</v>
      </c>
      <c r="I82" s="73">
        <v>0</v>
      </c>
      <c r="J82" s="73">
        <v>0</v>
      </c>
      <c r="K82" s="73">
        <v>0</v>
      </c>
      <c r="L82" s="73">
        <v>0</v>
      </c>
      <c r="M82" s="73">
        <v>25</v>
      </c>
      <c r="N82" s="73">
        <v>0</v>
      </c>
      <c r="O82" s="73">
        <v>0</v>
      </c>
      <c r="P82" s="73">
        <v>0</v>
      </c>
      <c r="Q82" s="73">
        <v>0</v>
      </c>
      <c r="R82" s="73">
        <v>4260</v>
      </c>
      <c r="S82" s="73">
        <v>68</v>
      </c>
      <c r="T82" s="73">
        <v>0</v>
      </c>
      <c r="U82" s="73">
        <v>0</v>
      </c>
      <c r="V82" s="73">
        <v>0</v>
      </c>
      <c r="W82" s="73">
        <v>0</v>
      </c>
      <c r="X82" s="73">
        <v>0</v>
      </c>
      <c r="Y82" s="73">
        <v>0</v>
      </c>
      <c r="Z82" s="73">
        <v>0</v>
      </c>
      <c r="AA82" s="73">
        <v>0</v>
      </c>
      <c r="AB82" s="73">
        <v>0</v>
      </c>
      <c r="AC82" s="73">
        <v>0</v>
      </c>
      <c r="AD82" s="73">
        <v>0</v>
      </c>
      <c r="AE82" s="93">
        <v>0</v>
      </c>
    </row>
    <row r="83" spans="1:31">
      <c r="A83" s="97" t="s">
        <v>723</v>
      </c>
      <c r="B83" s="76" t="s">
        <v>558</v>
      </c>
      <c r="C83" s="77" t="s">
        <v>387</v>
      </c>
      <c r="D83" s="81">
        <v>0</v>
      </c>
      <c r="E83" s="82">
        <v>0</v>
      </c>
      <c r="F83" s="82">
        <v>0</v>
      </c>
      <c r="G83" s="82">
        <v>0</v>
      </c>
      <c r="H83" s="82">
        <v>21629</v>
      </c>
      <c r="I83" s="82">
        <v>0</v>
      </c>
      <c r="J83" s="82">
        <v>97369</v>
      </c>
      <c r="K83" s="82">
        <v>0</v>
      </c>
      <c r="L83" s="82">
        <v>39071</v>
      </c>
      <c r="M83" s="82">
        <v>314379</v>
      </c>
      <c r="N83" s="82">
        <v>0</v>
      </c>
      <c r="O83" s="82">
        <v>0</v>
      </c>
      <c r="P83" s="82">
        <v>160</v>
      </c>
      <c r="Q83" s="82">
        <v>80989</v>
      </c>
      <c r="R83" s="82">
        <v>0</v>
      </c>
      <c r="S83" s="82">
        <v>641</v>
      </c>
      <c r="T83" s="82">
        <v>37</v>
      </c>
      <c r="U83" s="82">
        <v>0</v>
      </c>
      <c r="V83" s="82">
        <v>0</v>
      </c>
      <c r="W83" s="82">
        <v>0</v>
      </c>
      <c r="X83" s="82">
        <v>55177</v>
      </c>
      <c r="Y83" s="82">
        <v>0</v>
      </c>
      <c r="Z83" s="82">
        <v>982525</v>
      </c>
      <c r="AA83" s="82">
        <v>68478</v>
      </c>
      <c r="AB83" s="82">
        <v>0</v>
      </c>
      <c r="AC83" s="82">
        <v>0</v>
      </c>
      <c r="AD83" s="82">
        <v>24188</v>
      </c>
      <c r="AE83" s="83">
        <v>1823256</v>
      </c>
    </row>
    <row r="86" spans="1:31">
      <c r="D86" s="336"/>
      <c r="E86" s="337"/>
    </row>
    <row r="87" spans="1:31">
      <c r="D87" s="336"/>
    </row>
  </sheetData>
  <mergeCells count="2">
    <mergeCell ref="A1:D2"/>
    <mergeCell ref="A55:D5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0CD7-CA96-4076-83D8-AA59FE92A231}">
  <sheetPr>
    <tabColor theme="4" tint="0.39997558519241921"/>
  </sheetPr>
  <dimension ref="A1:AF641"/>
  <sheetViews>
    <sheetView zoomScale="80" zoomScaleNormal="80" workbookViewId="0">
      <pane xSplit="4" ySplit="6" topLeftCell="E450" activePane="bottomRight" state="frozen"/>
      <selection pane="topRight" activeCell="E1" sqref="E1"/>
      <selection pane="bottomLeft" activeCell="A7" sqref="A7"/>
      <selection pane="bottomRight" activeCell="E436" sqref="E436"/>
    </sheetView>
  </sheetViews>
  <sheetFormatPr defaultRowHeight="15.6"/>
  <cols>
    <col min="1" max="1" width="30.8984375" bestFit="1" customWidth="1"/>
    <col min="2" max="3" width="48.69921875" bestFit="1" customWidth="1"/>
    <col min="4" max="4" width="35.8984375" bestFit="1" customWidth="1"/>
    <col min="5" max="5" width="7.69921875" bestFit="1" customWidth="1"/>
    <col min="6" max="11" width="14.5" bestFit="1" customWidth="1"/>
    <col min="12" max="12" width="8.5" bestFit="1" customWidth="1"/>
    <col min="13" max="32" width="14.5" bestFit="1" customWidth="1"/>
  </cols>
  <sheetData>
    <row r="1" spans="1:32" s="59" customFormat="1">
      <c r="A1" s="586" t="s">
        <v>726</v>
      </c>
      <c r="B1" s="586"/>
      <c r="C1" s="586"/>
      <c r="D1" s="586"/>
      <c r="E1" s="586"/>
      <c r="F1" s="586"/>
    </row>
    <row r="2" spans="1:32" s="59" customFormat="1">
      <c r="A2" s="586"/>
      <c r="B2" s="586"/>
      <c r="C2" s="586"/>
      <c r="D2" s="586"/>
      <c r="E2" s="586"/>
      <c r="F2" s="586"/>
      <c r="Q2" s="336"/>
    </row>
    <row r="3" spans="1:32" s="59" customFormat="1"/>
    <row r="4" spans="1:32" s="59" customFormat="1"/>
    <row r="5" spans="1:32" s="60" customFormat="1" ht="14.4">
      <c r="A5" s="86"/>
      <c r="B5" s="86"/>
      <c r="C5" s="63"/>
      <c r="D5" s="63"/>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86"/>
    </row>
    <row r="6" spans="1:32" s="59" customFormat="1">
      <c r="A6" s="90" t="s">
        <v>717</v>
      </c>
      <c r="B6" s="90" t="s">
        <v>727</v>
      </c>
      <c r="C6" s="68" t="s">
        <v>718</v>
      </c>
      <c r="D6" s="68" t="s">
        <v>375</v>
      </c>
      <c r="E6" s="69" t="s">
        <v>172</v>
      </c>
      <c r="F6" s="69" t="s">
        <v>175</v>
      </c>
      <c r="G6" s="69" t="s">
        <v>178</v>
      </c>
      <c r="H6" s="69" t="s">
        <v>181</v>
      </c>
      <c r="I6" s="69" t="s">
        <v>184</v>
      </c>
      <c r="J6" s="69" t="s">
        <v>187</v>
      </c>
      <c r="K6" s="69" t="s">
        <v>190</v>
      </c>
      <c r="L6" s="69" t="s">
        <v>193</v>
      </c>
      <c r="M6" s="69" t="s">
        <v>196</v>
      </c>
      <c r="N6" s="69" t="s">
        <v>198</v>
      </c>
      <c r="O6" s="69" t="s">
        <v>200</v>
      </c>
      <c r="P6" s="69" t="s">
        <v>202</v>
      </c>
      <c r="Q6" s="69" t="s">
        <v>205</v>
      </c>
      <c r="R6" s="69" t="s">
        <v>208</v>
      </c>
      <c r="S6" s="69" t="s">
        <v>211</v>
      </c>
      <c r="T6" s="69" t="s">
        <v>214</v>
      </c>
      <c r="U6" s="69" t="s">
        <v>217</v>
      </c>
      <c r="V6" s="69" t="s">
        <v>220</v>
      </c>
      <c r="W6" s="69" t="s">
        <v>223</v>
      </c>
      <c r="X6" s="69" t="s">
        <v>225</v>
      </c>
      <c r="Y6" s="69" t="s">
        <v>227</v>
      </c>
      <c r="Z6" s="69" t="s">
        <v>230</v>
      </c>
      <c r="AA6" s="69" t="s">
        <v>233</v>
      </c>
      <c r="AB6" s="69" t="s">
        <v>236</v>
      </c>
      <c r="AC6" s="69" t="s">
        <v>238</v>
      </c>
      <c r="AD6" s="69" t="s">
        <v>240</v>
      </c>
      <c r="AE6" s="69" t="s">
        <v>243</v>
      </c>
      <c r="AF6" s="91" t="s">
        <v>245</v>
      </c>
    </row>
    <row r="7" spans="1:32" s="59" customFormat="1">
      <c r="A7" s="95" t="s">
        <v>728</v>
      </c>
      <c r="B7" s="95" t="s">
        <v>729</v>
      </c>
      <c r="C7" s="71" t="s">
        <v>515</v>
      </c>
      <c r="D7" s="74" t="s">
        <v>387</v>
      </c>
      <c r="E7" s="73">
        <v>0</v>
      </c>
      <c r="F7" s="73">
        <v>0</v>
      </c>
      <c r="G7" s="73">
        <v>0</v>
      </c>
      <c r="H7" s="73">
        <v>0</v>
      </c>
      <c r="I7" s="73">
        <v>0</v>
      </c>
      <c r="J7" s="73">
        <v>0</v>
      </c>
      <c r="K7" s="73">
        <v>0</v>
      </c>
      <c r="L7" s="73">
        <v>0</v>
      </c>
      <c r="M7" s="73">
        <v>0</v>
      </c>
      <c r="N7" s="73">
        <v>0</v>
      </c>
      <c r="O7" s="73">
        <v>0</v>
      </c>
      <c r="P7" s="73">
        <v>0</v>
      </c>
      <c r="Q7" s="73">
        <v>0</v>
      </c>
      <c r="R7" s="73">
        <v>0</v>
      </c>
      <c r="S7" s="73">
        <v>0</v>
      </c>
      <c r="T7" s="73">
        <v>0</v>
      </c>
      <c r="U7" s="73">
        <v>-543</v>
      </c>
      <c r="V7" s="73">
        <v>0</v>
      </c>
      <c r="W7" s="73">
        <v>0</v>
      </c>
      <c r="X7" s="73">
        <v>0</v>
      </c>
      <c r="Y7" s="73">
        <v>-1</v>
      </c>
      <c r="Z7" s="73">
        <v>0</v>
      </c>
      <c r="AA7" s="73">
        <v>0</v>
      </c>
      <c r="AB7" s="73">
        <v>0</v>
      </c>
      <c r="AC7" s="73">
        <v>0</v>
      </c>
      <c r="AD7" s="73">
        <v>0</v>
      </c>
      <c r="AE7" s="73">
        <v>0</v>
      </c>
      <c r="AF7" s="92">
        <v>-4232</v>
      </c>
    </row>
    <row r="8" spans="1:32" s="59" customFormat="1">
      <c r="A8" s="95" t="s">
        <v>728</v>
      </c>
      <c r="B8" s="95" t="s">
        <v>729</v>
      </c>
      <c r="C8" s="71" t="s">
        <v>521</v>
      </c>
      <c r="D8" s="74" t="s">
        <v>387</v>
      </c>
      <c r="E8" s="73">
        <v>0</v>
      </c>
      <c r="F8" s="73">
        <v>0</v>
      </c>
      <c r="G8" s="73">
        <v>0</v>
      </c>
      <c r="H8" s="73">
        <v>0</v>
      </c>
      <c r="I8" s="73">
        <v>-17056</v>
      </c>
      <c r="J8" s="73">
        <v>-7930</v>
      </c>
      <c r="K8" s="73">
        <v>0</v>
      </c>
      <c r="L8" s="73">
        <v>0</v>
      </c>
      <c r="M8" s="73">
        <v>0</v>
      </c>
      <c r="N8" s="73">
        <v>0</v>
      </c>
      <c r="O8" s="73">
        <v>-2355</v>
      </c>
      <c r="P8" s="73">
        <v>-10093</v>
      </c>
      <c r="Q8" s="73">
        <v>-4662</v>
      </c>
      <c r="R8" s="73">
        <v>-11808</v>
      </c>
      <c r="S8" s="73">
        <v>-18248</v>
      </c>
      <c r="T8" s="73">
        <v>-63424</v>
      </c>
      <c r="U8" s="73">
        <v>-48103</v>
      </c>
      <c r="V8" s="73">
        <v>0</v>
      </c>
      <c r="W8" s="73">
        <v>0</v>
      </c>
      <c r="X8" s="73">
        <v>-57681</v>
      </c>
      <c r="Y8" s="73">
        <v>-6969</v>
      </c>
      <c r="Z8" s="73">
        <v>-27198</v>
      </c>
      <c r="AA8" s="73">
        <v>-4105</v>
      </c>
      <c r="AB8" s="73">
        <v>-11648</v>
      </c>
      <c r="AC8" s="73">
        <v>0</v>
      </c>
      <c r="AD8" s="73">
        <v>-3778</v>
      </c>
      <c r="AE8" s="73">
        <v>-103554</v>
      </c>
      <c r="AF8" s="93">
        <v>-22022</v>
      </c>
    </row>
    <row r="9" spans="1:32" s="59" customFormat="1">
      <c r="A9" s="95" t="s">
        <v>728</v>
      </c>
      <c r="B9" s="95" t="s">
        <v>729</v>
      </c>
      <c r="C9" s="71" t="s">
        <v>523</v>
      </c>
      <c r="D9" s="74" t="s">
        <v>387</v>
      </c>
      <c r="E9" s="73">
        <v>0</v>
      </c>
      <c r="F9" s="73">
        <v>0</v>
      </c>
      <c r="G9" s="73">
        <v>0</v>
      </c>
      <c r="H9" s="73">
        <v>0</v>
      </c>
      <c r="I9" s="73">
        <v>0</v>
      </c>
      <c r="J9" s="73">
        <v>0</v>
      </c>
      <c r="K9" s="73">
        <v>0</v>
      </c>
      <c r="L9" s="73">
        <v>0</v>
      </c>
      <c r="M9" s="73">
        <v>0</v>
      </c>
      <c r="N9" s="73">
        <v>0</v>
      </c>
      <c r="O9" s="73">
        <v>0</v>
      </c>
      <c r="P9" s="73">
        <v>0</v>
      </c>
      <c r="Q9" s="73">
        <v>0</v>
      </c>
      <c r="R9" s="73">
        <v>0</v>
      </c>
      <c r="S9" s="73">
        <v>-511</v>
      </c>
      <c r="T9" s="73">
        <v>0</v>
      </c>
      <c r="U9" s="73">
        <v>-20479</v>
      </c>
      <c r="V9" s="73">
        <v>0</v>
      </c>
      <c r="W9" s="73">
        <v>0</v>
      </c>
      <c r="X9" s="73">
        <v>0</v>
      </c>
      <c r="Y9" s="73">
        <v>0</v>
      </c>
      <c r="Z9" s="73">
        <v>0</v>
      </c>
      <c r="AA9" s="73">
        <v>0</v>
      </c>
      <c r="AB9" s="73">
        <v>0</v>
      </c>
      <c r="AC9" s="73">
        <v>0</v>
      </c>
      <c r="AD9" s="73">
        <v>0</v>
      </c>
      <c r="AE9" s="73">
        <v>0</v>
      </c>
      <c r="AF9" s="93">
        <v>0</v>
      </c>
    </row>
    <row r="10" spans="1:32" s="59" customFormat="1">
      <c r="A10" s="95" t="s">
        <v>728</v>
      </c>
      <c r="B10" s="95" t="s">
        <v>729</v>
      </c>
      <c r="C10" s="71" t="s">
        <v>525</v>
      </c>
      <c r="D10" s="74" t="s">
        <v>387</v>
      </c>
      <c r="E10" s="73">
        <v>-28</v>
      </c>
      <c r="F10" s="73">
        <v>0</v>
      </c>
      <c r="G10" s="73">
        <v>0</v>
      </c>
      <c r="H10" s="73">
        <v>-207</v>
      </c>
      <c r="I10" s="73">
        <v>0</v>
      </c>
      <c r="J10" s="73">
        <v>0</v>
      </c>
      <c r="K10" s="73">
        <v>0</v>
      </c>
      <c r="L10" s="73">
        <v>0</v>
      </c>
      <c r="M10" s="73">
        <v>-548933</v>
      </c>
      <c r="N10" s="73">
        <v>0</v>
      </c>
      <c r="O10" s="73">
        <v>0</v>
      </c>
      <c r="P10" s="73">
        <v>-559</v>
      </c>
      <c r="Q10" s="73">
        <v>-20</v>
      </c>
      <c r="R10" s="73">
        <v>0</v>
      </c>
      <c r="S10" s="73">
        <v>-21</v>
      </c>
      <c r="T10" s="73">
        <v>0</v>
      </c>
      <c r="U10" s="73">
        <v>-1515</v>
      </c>
      <c r="V10" s="73">
        <v>0</v>
      </c>
      <c r="W10" s="73">
        <v>0</v>
      </c>
      <c r="X10" s="73">
        <v>0</v>
      </c>
      <c r="Y10" s="73">
        <v>-1423</v>
      </c>
      <c r="Z10" s="73">
        <v>0</v>
      </c>
      <c r="AA10" s="73">
        <v>0</v>
      </c>
      <c r="AB10" s="73">
        <v>0</v>
      </c>
      <c r="AC10" s="73">
        <v>0</v>
      </c>
      <c r="AD10" s="73">
        <v>0</v>
      </c>
      <c r="AE10" s="73">
        <v>0</v>
      </c>
      <c r="AF10" s="93">
        <v>0</v>
      </c>
    </row>
    <row r="11" spans="1:32" s="59" customFormat="1">
      <c r="A11" s="95" t="s">
        <v>728</v>
      </c>
      <c r="B11" s="95" t="s">
        <v>729</v>
      </c>
      <c r="C11" s="71" t="s">
        <v>527</v>
      </c>
      <c r="D11" s="74" t="s">
        <v>387</v>
      </c>
      <c r="E11" s="73">
        <v>0</v>
      </c>
      <c r="F11" s="73">
        <v>0</v>
      </c>
      <c r="G11" s="73">
        <v>-144</v>
      </c>
      <c r="H11" s="73">
        <v>-671813</v>
      </c>
      <c r="I11" s="73">
        <v>-663</v>
      </c>
      <c r="J11" s="73">
        <v>-8349</v>
      </c>
      <c r="K11" s="73">
        <v>0</v>
      </c>
      <c r="L11" s="73">
        <v>0</v>
      </c>
      <c r="M11" s="73">
        <v>0</v>
      </c>
      <c r="N11" s="73">
        <v>0</v>
      </c>
      <c r="O11" s="73">
        <v>0</v>
      </c>
      <c r="P11" s="73">
        <v>-3434146</v>
      </c>
      <c r="Q11" s="73">
        <v>-585</v>
      </c>
      <c r="R11" s="73">
        <v>0</v>
      </c>
      <c r="S11" s="73">
        <v>-5861</v>
      </c>
      <c r="T11" s="73">
        <v>0</v>
      </c>
      <c r="U11" s="73">
        <v>-6879</v>
      </c>
      <c r="V11" s="73">
        <v>-61472</v>
      </c>
      <c r="W11" s="73">
        <v>-4367</v>
      </c>
      <c r="X11" s="73">
        <v>-4696</v>
      </c>
      <c r="Y11" s="73">
        <v>0</v>
      </c>
      <c r="Z11" s="73">
        <v>-466</v>
      </c>
      <c r="AA11" s="73">
        <v>0</v>
      </c>
      <c r="AB11" s="73">
        <v>0</v>
      </c>
      <c r="AC11" s="73">
        <v>0</v>
      </c>
      <c r="AD11" s="73">
        <v>-9538</v>
      </c>
      <c r="AE11" s="73">
        <v>0</v>
      </c>
      <c r="AF11" s="93">
        <v>-480</v>
      </c>
    </row>
    <row r="12" spans="1:32" s="59" customFormat="1">
      <c r="A12" s="95" t="s">
        <v>728</v>
      </c>
      <c r="B12" s="95" t="s">
        <v>729</v>
      </c>
      <c r="C12" s="71" t="s">
        <v>529</v>
      </c>
      <c r="D12" s="74" t="s">
        <v>387</v>
      </c>
      <c r="E12" s="73">
        <v>0</v>
      </c>
      <c r="F12" s="73">
        <v>0</v>
      </c>
      <c r="G12" s="73">
        <v>0</v>
      </c>
      <c r="H12" s="73">
        <v>0</v>
      </c>
      <c r="I12" s="73">
        <v>0</v>
      </c>
      <c r="J12" s="73">
        <v>-32</v>
      </c>
      <c r="K12" s="73">
        <v>0</v>
      </c>
      <c r="L12" s="73">
        <v>0</v>
      </c>
      <c r="M12" s="73">
        <v>0</v>
      </c>
      <c r="N12" s="73">
        <v>0</v>
      </c>
      <c r="O12" s="73">
        <v>0</v>
      </c>
      <c r="P12" s="73">
        <v>0</v>
      </c>
      <c r="Q12" s="73">
        <v>-1188</v>
      </c>
      <c r="R12" s="73">
        <v>0</v>
      </c>
      <c r="S12" s="73">
        <v>-10281</v>
      </c>
      <c r="T12" s="73">
        <v>0</v>
      </c>
      <c r="U12" s="73">
        <v>-6426</v>
      </c>
      <c r="V12" s="73">
        <v>0</v>
      </c>
      <c r="W12" s="73">
        <v>0</v>
      </c>
      <c r="X12" s="73">
        <v>0</v>
      </c>
      <c r="Y12" s="73">
        <v>0</v>
      </c>
      <c r="Z12" s="73">
        <v>0</v>
      </c>
      <c r="AA12" s="73">
        <v>0</v>
      </c>
      <c r="AB12" s="73">
        <v>0</v>
      </c>
      <c r="AC12" s="73">
        <v>0</v>
      </c>
      <c r="AD12" s="73">
        <v>-579</v>
      </c>
      <c r="AE12" s="73">
        <v>0</v>
      </c>
      <c r="AF12" s="93">
        <v>0</v>
      </c>
    </row>
    <row r="13" spans="1:32" s="59" customFormat="1">
      <c r="A13" s="95" t="s">
        <v>728</v>
      </c>
      <c r="B13" s="95" t="s">
        <v>729</v>
      </c>
      <c r="C13" s="71" t="s">
        <v>531</v>
      </c>
      <c r="D13" s="74" t="s">
        <v>387</v>
      </c>
      <c r="E13" s="73">
        <v>0</v>
      </c>
      <c r="F13" s="73">
        <v>0</v>
      </c>
      <c r="G13" s="73">
        <v>0</v>
      </c>
      <c r="H13" s="73">
        <v>0</v>
      </c>
      <c r="I13" s="73">
        <v>-21373</v>
      </c>
      <c r="J13" s="73">
        <v>-14455</v>
      </c>
      <c r="K13" s="73">
        <v>0</v>
      </c>
      <c r="L13" s="73">
        <v>0</v>
      </c>
      <c r="M13" s="73">
        <v>-8330</v>
      </c>
      <c r="N13" s="73">
        <v>0</v>
      </c>
      <c r="O13" s="73">
        <v>-3550</v>
      </c>
      <c r="P13" s="73">
        <v>-372815</v>
      </c>
      <c r="Q13" s="73">
        <v>-30644</v>
      </c>
      <c r="R13" s="73">
        <v>-6800</v>
      </c>
      <c r="S13" s="73">
        <v>-59201</v>
      </c>
      <c r="T13" s="73">
        <v>-4583</v>
      </c>
      <c r="U13" s="73">
        <v>-32600</v>
      </c>
      <c r="V13" s="73">
        <v>0</v>
      </c>
      <c r="W13" s="73">
        <v>-81463</v>
      </c>
      <c r="X13" s="73">
        <v>-58700</v>
      </c>
      <c r="Y13" s="73">
        <v>-1746</v>
      </c>
      <c r="Z13" s="73">
        <v>-15277</v>
      </c>
      <c r="AA13" s="73">
        <v>-2632</v>
      </c>
      <c r="AB13" s="73">
        <v>0</v>
      </c>
      <c r="AC13" s="73">
        <v>0</v>
      </c>
      <c r="AD13" s="73">
        <v>-42118</v>
      </c>
      <c r="AE13" s="73">
        <v>-38388</v>
      </c>
      <c r="AF13" s="93">
        <v>-28274</v>
      </c>
    </row>
    <row r="14" spans="1:32" s="59" customFormat="1">
      <c r="A14" s="95" t="s">
        <v>728</v>
      </c>
      <c r="B14" s="95" t="s">
        <v>729</v>
      </c>
      <c r="C14" s="71" t="s">
        <v>533</v>
      </c>
      <c r="D14" s="74" t="s">
        <v>387</v>
      </c>
      <c r="E14" s="73">
        <v>0</v>
      </c>
      <c r="F14" s="73">
        <v>0</v>
      </c>
      <c r="G14" s="73">
        <v>0</v>
      </c>
      <c r="H14" s="73">
        <v>-770</v>
      </c>
      <c r="I14" s="73">
        <v>0</v>
      </c>
      <c r="J14" s="73">
        <v>0</v>
      </c>
      <c r="K14" s="73">
        <v>0</v>
      </c>
      <c r="L14" s="73">
        <v>0</v>
      </c>
      <c r="M14" s="73">
        <v>0</v>
      </c>
      <c r="N14" s="73">
        <v>0</v>
      </c>
      <c r="O14" s="73">
        <v>0</v>
      </c>
      <c r="P14" s="73">
        <v>-26683</v>
      </c>
      <c r="Q14" s="73">
        <v>0</v>
      </c>
      <c r="R14" s="73">
        <v>0</v>
      </c>
      <c r="S14" s="73">
        <v>0</v>
      </c>
      <c r="T14" s="73">
        <v>-1645</v>
      </c>
      <c r="U14" s="73">
        <v>0</v>
      </c>
      <c r="V14" s="73">
        <v>-197</v>
      </c>
      <c r="W14" s="73">
        <v>0</v>
      </c>
      <c r="X14" s="73">
        <v>0</v>
      </c>
      <c r="Y14" s="73">
        <v>0</v>
      </c>
      <c r="Z14" s="73">
        <v>0</v>
      </c>
      <c r="AA14" s="73">
        <v>0</v>
      </c>
      <c r="AB14" s="73">
        <v>-1576</v>
      </c>
      <c r="AC14" s="73">
        <v>0</v>
      </c>
      <c r="AD14" s="73">
        <v>0</v>
      </c>
      <c r="AE14" s="73">
        <v>0</v>
      </c>
      <c r="AF14" s="93">
        <v>0</v>
      </c>
    </row>
    <row r="15" spans="1:32" s="59" customFormat="1">
      <c r="A15" s="95" t="s">
        <v>728</v>
      </c>
      <c r="B15" s="95" t="s">
        <v>729</v>
      </c>
      <c r="C15" s="71" t="s">
        <v>535</v>
      </c>
      <c r="D15" s="74" t="s">
        <v>387</v>
      </c>
      <c r="E15" s="73">
        <v>0</v>
      </c>
      <c r="F15" s="73">
        <v>-33926</v>
      </c>
      <c r="G15" s="73">
        <v>-3968</v>
      </c>
      <c r="H15" s="73">
        <v>-48904</v>
      </c>
      <c r="I15" s="73">
        <v>-159640</v>
      </c>
      <c r="J15" s="73">
        <v>-16706</v>
      </c>
      <c r="K15" s="73">
        <v>-1522</v>
      </c>
      <c r="L15" s="73">
        <v>0</v>
      </c>
      <c r="M15" s="73">
        <v>-175273</v>
      </c>
      <c r="N15" s="73">
        <v>-342937</v>
      </c>
      <c r="O15" s="73">
        <v>0</v>
      </c>
      <c r="P15" s="73">
        <v>-138111</v>
      </c>
      <c r="Q15" s="73">
        <v>-8559</v>
      </c>
      <c r="R15" s="73">
        <v>-123339</v>
      </c>
      <c r="S15" s="73">
        <v>-10071</v>
      </c>
      <c r="T15" s="73">
        <v>-7047</v>
      </c>
      <c r="U15" s="73">
        <v>-6439</v>
      </c>
      <c r="V15" s="73">
        <v>-113921</v>
      </c>
      <c r="W15" s="73">
        <v>0</v>
      </c>
      <c r="X15" s="73">
        <v>-3532</v>
      </c>
      <c r="Y15" s="73">
        <v>-32311</v>
      </c>
      <c r="Z15" s="73">
        <v>-5122</v>
      </c>
      <c r="AA15" s="73">
        <v>-70757</v>
      </c>
      <c r="AB15" s="73">
        <v>0</v>
      </c>
      <c r="AC15" s="73">
        <v>-207</v>
      </c>
      <c r="AD15" s="73">
        <v>-354574</v>
      </c>
      <c r="AE15" s="73">
        <v>-2099</v>
      </c>
      <c r="AF15" s="93">
        <v>-426368</v>
      </c>
    </row>
    <row r="16" spans="1:32" s="59" customFormat="1">
      <c r="A16" s="95" t="s">
        <v>728</v>
      </c>
      <c r="B16" s="95" t="s">
        <v>729</v>
      </c>
      <c r="C16" s="71" t="s">
        <v>537</v>
      </c>
      <c r="D16" s="74" t="s">
        <v>387</v>
      </c>
      <c r="E16" s="73">
        <v>-210</v>
      </c>
      <c r="F16" s="73">
        <v>-7152</v>
      </c>
      <c r="G16" s="73">
        <v>-668</v>
      </c>
      <c r="H16" s="73">
        <v>-70609</v>
      </c>
      <c r="I16" s="73">
        <v>-84729</v>
      </c>
      <c r="J16" s="73">
        <v>-51550</v>
      </c>
      <c r="K16" s="73">
        <v>-1379</v>
      </c>
      <c r="L16" s="73">
        <v>0</v>
      </c>
      <c r="M16" s="73">
        <v>-90504</v>
      </c>
      <c r="N16" s="73">
        <v>-116481</v>
      </c>
      <c r="O16" s="73">
        <v>-2687</v>
      </c>
      <c r="P16" s="73">
        <v>-986324</v>
      </c>
      <c r="Q16" s="73">
        <v>-34281</v>
      </c>
      <c r="R16" s="73">
        <v>-75995</v>
      </c>
      <c r="S16" s="73">
        <v>-94148</v>
      </c>
      <c r="T16" s="73">
        <v>-135774</v>
      </c>
      <c r="U16" s="73">
        <v>-134942</v>
      </c>
      <c r="V16" s="73">
        <v>0</v>
      </c>
      <c r="W16" s="73">
        <v>-20322</v>
      </c>
      <c r="X16" s="73">
        <v>-79157</v>
      </c>
      <c r="Y16" s="73">
        <v>-27079</v>
      </c>
      <c r="Z16" s="73">
        <v>-18100</v>
      </c>
      <c r="AA16" s="73">
        <v>-81908</v>
      </c>
      <c r="AB16" s="73">
        <v>-13148</v>
      </c>
      <c r="AC16" s="73">
        <v>-871</v>
      </c>
      <c r="AD16" s="73">
        <v>-625035</v>
      </c>
      <c r="AE16" s="73">
        <v>-62755</v>
      </c>
      <c r="AF16" s="93">
        <v>-544338</v>
      </c>
    </row>
    <row r="17" spans="1:32" s="59" customFormat="1">
      <c r="A17" s="95" t="s">
        <v>728</v>
      </c>
      <c r="B17" s="95" t="s">
        <v>729</v>
      </c>
      <c r="C17" s="71" t="s">
        <v>541</v>
      </c>
      <c r="D17" s="74" t="s">
        <v>387</v>
      </c>
      <c r="E17" s="73">
        <v>0</v>
      </c>
      <c r="F17" s="73">
        <v>-406496</v>
      </c>
      <c r="G17" s="73">
        <v>-6102</v>
      </c>
      <c r="H17" s="73">
        <v>-19837</v>
      </c>
      <c r="I17" s="73">
        <v>-382216</v>
      </c>
      <c r="J17" s="73">
        <v>-422657</v>
      </c>
      <c r="K17" s="73">
        <v>-614008</v>
      </c>
      <c r="L17" s="73">
        <v>-17690</v>
      </c>
      <c r="M17" s="73">
        <v>-261424</v>
      </c>
      <c r="N17" s="73">
        <v>-1437495</v>
      </c>
      <c r="O17" s="73">
        <v>-7867</v>
      </c>
      <c r="P17" s="73">
        <v>-859008</v>
      </c>
      <c r="Q17" s="73">
        <v>-46489</v>
      </c>
      <c r="R17" s="73">
        <v>-383907</v>
      </c>
      <c r="S17" s="73">
        <v>-104535</v>
      </c>
      <c r="T17" s="73">
        <v>-221812</v>
      </c>
      <c r="U17" s="73">
        <v>-196778</v>
      </c>
      <c r="V17" s="73">
        <v>-201102</v>
      </c>
      <c r="W17" s="73">
        <v>-311978</v>
      </c>
      <c r="X17" s="73">
        <v>-32802</v>
      </c>
      <c r="Y17" s="73">
        <v>-605638</v>
      </c>
      <c r="Z17" s="73">
        <v>-65247</v>
      </c>
      <c r="AA17" s="73">
        <v>-1822634</v>
      </c>
      <c r="AB17" s="73">
        <v>-630004</v>
      </c>
      <c r="AC17" s="73">
        <v>-220441</v>
      </c>
      <c r="AD17" s="73">
        <v>-687267</v>
      </c>
      <c r="AE17" s="73">
        <v>-4605</v>
      </c>
      <c r="AF17" s="93">
        <v>-2757393</v>
      </c>
    </row>
    <row r="18" spans="1:32" s="59" customFormat="1">
      <c r="A18" s="95" t="s">
        <v>728</v>
      </c>
      <c r="B18" s="95" t="s">
        <v>729</v>
      </c>
      <c r="C18" s="71" t="s">
        <v>543</v>
      </c>
      <c r="D18" s="74" t="s">
        <v>387</v>
      </c>
      <c r="E18" s="73">
        <v>0</v>
      </c>
      <c r="F18" s="73">
        <v>0</v>
      </c>
      <c r="G18" s="73">
        <v>0</v>
      </c>
      <c r="H18" s="73">
        <v>0</v>
      </c>
      <c r="I18" s="73">
        <v>-3</v>
      </c>
      <c r="J18" s="73">
        <v>0</v>
      </c>
      <c r="K18" s="73">
        <v>0</v>
      </c>
      <c r="L18" s="73">
        <v>0</v>
      </c>
      <c r="M18" s="73">
        <v>0</v>
      </c>
      <c r="N18" s="73">
        <v>-2546</v>
      </c>
      <c r="O18" s="73">
        <v>0</v>
      </c>
      <c r="P18" s="73">
        <v>-10106</v>
      </c>
      <c r="Q18" s="73">
        <v>0</v>
      </c>
      <c r="R18" s="73">
        <v>0</v>
      </c>
      <c r="S18" s="73">
        <v>-19</v>
      </c>
      <c r="T18" s="73">
        <v>-1</v>
      </c>
      <c r="U18" s="73">
        <v>-6</v>
      </c>
      <c r="V18" s="73">
        <v>-2715</v>
      </c>
      <c r="W18" s="73">
        <v>0</v>
      </c>
      <c r="X18" s="73">
        <v>-22</v>
      </c>
      <c r="Y18" s="73">
        <v>-4668</v>
      </c>
      <c r="Z18" s="73">
        <v>0</v>
      </c>
      <c r="AA18" s="73">
        <v>0</v>
      </c>
      <c r="AB18" s="73">
        <v>0</v>
      </c>
      <c r="AC18" s="73">
        <v>0</v>
      </c>
      <c r="AD18" s="73">
        <v>0</v>
      </c>
      <c r="AE18" s="73">
        <v>0</v>
      </c>
      <c r="AF18" s="93">
        <v>-195536</v>
      </c>
    </row>
    <row r="19" spans="1:32" s="59" customFormat="1">
      <c r="A19" s="95" t="s">
        <v>728</v>
      </c>
      <c r="B19" s="95" t="s">
        <v>729</v>
      </c>
      <c r="C19" s="71" t="s">
        <v>545</v>
      </c>
      <c r="D19" s="74" t="s">
        <v>387</v>
      </c>
      <c r="E19" s="73">
        <v>0</v>
      </c>
      <c r="F19" s="73">
        <v>0</v>
      </c>
      <c r="G19" s="73">
        <v>0</v>
      </c>
      <c r="H19" s="73">
        <v>0</v>
      </c>
      <c r="I19" s="73">
        <v>0</v>
      </c>
      <c r="J19" s="73">
        <v>-28246</v>
      </c>
      <c r="K19" s="73">
        <v>0</v>
      </c>
      <c r="L19" s="73">
        <v>0</v>
      </c>
      <c r="M19" s="73">
        <v>0</v>
      </c>
      <c r="N19" s="73">
        <v>0</v>
      </c>
      <c r="O19" s="73">
        <v>0</v>
      </c>
      <c r="P19" s="73">
        <v>-691259</v>
      </c>
      <c r="Q19" s="73">
        <v>-39085</v>
      </c>
      <c r="R19" s="73">
        <v>-13348</v>
      </c>
      <c r="S19" s="73">
        <v>-34933</v>
      </c>
      <c r="T19" s="73">
        <v>-65321</v>
      </c>
      <c r="U19" s="73">
        <v>-31874</v>
      </c>
      <c r="V19" s="73">
        <v>0</v>
      </c>
      <c r="W19" s="73">
        <v>0</v>
      </c>
      <c r="X19" s="73">
        <v>0</v>
      </c>
      <c r="Y19" s="73">
        <v>0</v>
      </c>
      <c r="Z19" s="73">
        <v>0</v>
      </c>
      <c r="AA19" s="73">
        <v>0</v>
      </c>
      <c r="AB19" s="73">
        <v>0</v>
      </c>
      <c r="AC19" s="73">
        <v>0</v>
      </c>
      <c r="AD19" s="73">
        <v>-521467</v>
      </c>
      <c r="AE19" s="73">
        <v>-1233</v>
      </c>
      <c r="AF19" s="93">
        <v>-61749</v>
      </c>
    </row>
    <row r="20" spans="1:32" s="59" customFormat="1">
      <c r="A20" s="95" t="s">
        <v>728</v>
      </c>
      <c r="B20" s="95" t="s">
        <v>729</v>
      </c>
      <c r="C20" s="71" t="s">
        <v>548</v>
      </c>
      <c r="D20" s="74" t="s">
        <v>387</v>
      </c>
      <c r="E20" s="73">
        <v>0</v>
      </c>
      <c r="F20" s="73">
        <v>-9344</v>
      </c>
      <c r="G20" s="73">
        <v>-2168</v>
      </c>
      <c r="H20" s="73">
        <v>0</v>
      </c>
      <c r="I20" s="73">
        <v>-8231</v>
      </c>
      <c r="J20" s="73">
        <v>-2093</v>
      </c>
      <c r="K20" s="73">
        <v>-102838</v>
      </c>
      <c r="L20" s="73">
        <v>-4543</v>
      </c>
      <c r="M20" s="73">
        <v>-31197</v>
      </c>
      <c r="N20" s="73">
        <v>-579</v>
      </c>
      <c r="O20" s="73">
        <v>-9352</v>
      </c>
      <c r="P20" s="73">
        <v>-16715</v>
      </c>
      <c r="Q20" s="73">
        <v>-32070</v>
      </c>
      <c r="R20" s="73">
        <v>-16413</v>
      </c>
      <c r="S20" s="73">
        <v>-54895</v>
      </c>
      <c r="T20" s="73">
        <v>-119452</v>
      </c>
      <c r="U20" s="73">
        <v>-171354</v>
      </c>
      <c r="V20" s="73">
        <v>0</v>
      </c>
      <c r="W20" s="73">
        <v>0</v>
      </c>
      <c r="X20" s="73">
        <v>-135185</v>
      </c>
      <c r="Y20" s="73">
        <v>-169483</v>
      </c>
      <c r="Z20" s="73">
        <v>-111728</v>
      </c>
      <c r="AA20" s="73">
        <v>-249017</v>
      </c>
      <c r="AB20" s="73">
        <v>-136963</v>
      </c>
      <c r="AC20" s="73">
        <v>-1619</v>
      </c>
      <c r="AD20" s="73">
        <v>-54780</v>
      </c>
      <c r="AE20" s="73">
        <v>-118421</v>
      </c>
      <c r="AF20" s="93">
        <v>-7946</v>
      </c>
    </row>
    <row r="21" spans="1:32" s="59" customFormat="1">
      <c r="A21" s="95" t="s">
        <v>728</v>
      </c>
      <c r="B21" s="95" t="s">
        <v>729</v>
      </c>
      <c r="C21" s="71" t="s">
        <v>550</v>
      </c>
      <c r="D21" s="74" t="s">
        <v>387</v>
      </c>
      <c r="E21" s="73">
        <v>0</v>
      </c>
      <c r="F21" s="73">
        <v>0</v>
      </c>
      <c r="G21" s="73">
        <v>0</v>
      </c>
      <c r="H21" s="73">
        <v>0</v>
      </c>
      <c r="I21" s="73">
        <v>-623</v>
      </c>
      <c r="J21" s="73">
        <v>0</v>
      </c>
      <c r="K21" s="73">
        <v>0</v>
      </c>
      <c r="L21" s="73">
        <v>0</v>
      </c>
      <c r="M21" s="73">
        <v>0</v>
      </c>
      <c r="N21" s="73">
        <v>-931</v>
      </c>
      <c r="O21" s="73">
        <v>0</v>
      </c>
      <c r="P21" s="73">
        <v>-599</v>
      </c>
      <c r="Q21" s="73">
        <v>0</v>
      </c>
      <c r="R21" s="73">
        <v>0</v>
      </c>
      <c r="S21" s="73">
        <v>-35</v>
      </c>
      <c r="T21" s="73">
        <v>0</v>
      </c>
      <c r="U21" s="73">
        <v>0</v>
      </c>
      <c r="V21" s="73">
        <v>-258</v>
      </c>
      <c r="W21" s="73">
        <v>0</v>
      </c>
      <c r="X21" s="73">
        <v>-3526</v>
      </c>
      <c r="Y21" s="73">
        <v>-4889</v>
      </c>
      <c r="Z21" s="73">
        <v>0</v>
      </c>
      <c r="AA21" s="73">
        <v>0</v>
      </c>
      <c r="AB21" s="73">
        <v>0</v>
      </c>
      <c r="AC21" s="73">
        <v>0</v>
      </c>
      <c r="AD21" s="73">
        <v>0</v>
      </c>
      <c r="AE21" s="73">
        <v>-247</v>
      </c>
      <c r="AF21" s="93">
        <v>-5225</v>
      </c>
    </row>
    <row r="22" spans="1:32" s="59" customFormat="1">
      <c r="A22" s="95" t="s">
        <v>728</v>
      </c>
      <c r="B22" s="95" t="s">
        <v>729</v>
      </c>
      <c r="C22" s="71" t="s">
        <v>552</v>
      </c>
      <c r="D22" s="74" t="s">
        <v>387</v>
      </c>
      <c r="E22" s="73">
        <v>0</v>
      </c>
      <c r="F22" s="73">
        <v>-867</v>
      </c>
      <c r="G22" s="73">
        <v>-355</v>
      </c>
      <c r="H22" s="73">
        <v>0</v>
      </c>
      <c r="I22" s="73">
        <v>-627</v>
      </c>
      <c r="J22" s="73">
        <v>-6642</v>
      </c>
      <c r="K22" s="73">
        <v>-13269</v>
      </c>
      <c r="L22" s="73">
        <v>0</v>
      </c>
      <c r="M22" s="73">
        <v>0</v>
      </c>
      <c r="N22" s="73">
        <v>-13671</v>
      </c>
      <c r="O22" s="73">
        <v>-6948</v>
      </c>
      <c r="P22" s="73">
        <v>-542846</v>
      </c>
      <c r="Q22" s="73">
        <v>-593</v>
      </c>
      <c r="R22" s="73">
        <v>-11</v>
      </c>
      <c r="S22" s="73">
        <v>-10881</v>
      </c>
      <c r="T22" s="73">
        <v>-36142</v>
      </c>
      <c r="U22" s="73">
        <v>-69701</v>
      </c>
      <c r="V22" s="73">
        <v>-35</v>
      </c>
      <c r="W22" s="73">
        <v>0</v>
      </c>
      <c r="X22" s="73">
        <v>-17014</v>
      </c>
      <c r="Y22" s="73">
        <v>-37298</v>
      </c>
      <c r="Z22" s="73">
        <v>0</v>
      </c>
      <c r="AA22" s="73">
        <v>-84903</v>
      </c>
      <c r="AB22" s="73">
        <v>0</v>
      </c>
      <c r="AC22" s="73">
        <v>-166</v>
      </c>
      <c r="AD22" s="73">
        <v>-12610</v>
      </c>
      <c r="AE22" s="73">
        <v>-76437</v>
      </c>
      <c r="AF22" s="93">
        <v>-26957</v>
      </c>
    </row>
    <row r="23" spans="1:32" s="59" customFormat="1">
      <c r="A23" s="95" t="s">
        <v>728</v>
      </c>
      <c r="B23" s="95" t="s">
        <v>729</v>
      </c>
      <c r="C23" s="71" t="s">
        <v>554</v>
      </c>
      <c r="D23" s="74" t="s">
        <v>387</v>
      </c>
      <c r="E23" s="73">
        <v>0</v>
      </c>
      <c r="F23" s="73">
        <v>0</v>
      </c>
      <c r="G23" s="73">
        <v>0</v>
      </c>
      <c r="H23" s="73">
        <v>0</v>
      </c>
      <c r="I23" s="73">
        <v>0</v>
      </c>
      <c r="J23" s="73">
        <v>0</v>
      </c>
      <c r="K23" s="73">
        <v>0</v>
      </c>
      <c r="L23" s="73">
        <v>0</v>
      </c>
      <c r="M23" s="73">
        <v>0</v>
      </c>
      <c r="N23" s="73">
        <v>0</v>
      </c>
      <c r="O23" s="73">
        <v>0</v>
      </c>
      <c r="P23" s="73">
        <v>-65298</v>
      </c>
      <c r="Q23" s="73">
        <v>0</v>
      </c>
      <c r="R23" s="73">
        <v>0</v>
      </c>
      <c r="S23" s="73">
        <v>0</v>
      </c>
      <c r="T23" s="73">
        <v>0</v>
      </c>
      <c r="U23" s="73">
        <v>0</v>
      </c>
      <c r="V23" s="73">
        <v>0</v>
      </c>
      <c r="W23" s="73">
        <v>0</v>
      </c>
      <c r="X23" s="73">
        <v>-1206</v>
      </c>
      <c r="Y23" s="73">
        <v>-5</v>
      </c>
      <c r="Z23" s="73">
        <v>0</v>
      </c>
      <c r="AA23" s="73">
        <v>-4276</v>
      </c>
      <c r="AB23" s="73">
        <v>0</v>
      </c>
      <c r="AC23" s="73">
        <v>0</v>
      </c>
      <c r="AD23" s="73">
        <v>0</v>
      </c>
      <c r="AE23" s="73">
        <v>0</v>
      </c>
      <c r="AF23" s="93">
        <v>-21</v>
      </c>
    </row>
    <row r="24" spans="1:32" s="59" customFormat="1">
      <c r="A24" s="95" t="s">
        <v>728</v>
      </c>
      <c r="B24" s="95" t="s">
        <v>729</v>
      </c>
      <c r="C24" s="71" t="s">
        <v>556</v>
      </c>
      <c r="D24" s="74" t="s">
        <v>387</v>
      </c>
      <c r="E24" s="73">
        <v>-3479</v>
      </c>
      <c r="F24" s="73">
        <v>-16841</v>
      </c>
      <c r="G24" s="73">
        <v>-4984</v>
      </c>
      <c r="H24" s="73">
        <v>0</v>
      </c>
      <c r="I24" s="73">
        <v>-952</v>
      </c>
      <c r="J24" s="73">
        <v>-46987</v>
      </c>
      <c r="K24" s="73">
        <v>-7035</v>
      </c>
      <c r="L24" s="73">
        <v>0</v>
      </c>
      <c r="M24" s="73">
        <v>0</v>
      </c>
      <c r="N24" s="73">
        <v>0</v>
      </c>
      <c r="O24" s="73">
        <v>0</v>
      </c>
      <c r="P24" s="73">
        <v>-112387</v>
      </c>
      <c r="Q24" s="73">
        <v>-168</v>
      </c>
      <c r="R24" s="73">
        <v>0</v>
      </c>
      <c r="S24" s="73">
        <v>-85</v>
      </c>
      <c r="T24" s="73">
        <v>0</v>
      </c>
      <c r="U24" s="73">
        <v>0</v>
      </c>
      <c r="V24" s="73">
        <v>-73457</v>
      </c>
      <c r="W24" s="73">
        <v>0</v>
      </c>
      <c r="X24" s="73">
        <v>0</v>
      </c>
      <c r="Y24" s="73">
        <v>-12882</v>
      </c>
      <c r="Z24" s="73">
        <v>0</v>
      </c>
      <c r="AA24" s="73">
        <v>-135696</v>
      </c>
      <c r="AB24" s="73">
        <v>0</v>
      </c>
      <c r="AC24" s="73">
        <v>0</v>
      </c>
      <c r="AD24" s="73">
        <v>-3862</v>
      </c>
      <c r="AE24" s="73">
        <v>0</v>
      </c>
      <c r="AF24" s="93">
        <v>0</v>
      </c>
    </row>
    <row r="25" spans="1:32" s="59" customFormat="1">
      <c r="A25" s="95" t="s">
        <v>728</v>
      </c>
      <c r="B25" s="95" t="s">
        <v>729</v>
      </c>
      <c r="C25" s="71" t="s">
        <v>558</v>
      </c>
      <c r="D25" s="74" t="s">
        <v>387</v>
      </c>
      <c r="E25" s="73">
        <v>-990</v>
      </c>
      <c r="F25" s="73">
        <v>0</v>
      </c>
      <c r="G25" s="73">
        <v>0</v>
      </c>
      <c r="H25" s="73">
        <v>0</v>
      </c>
      <c r="I25" s="73">
        <v>-41202</v>
      </c>
      <c r="J25" s="73">
        <v>-17855</v>
      </c>
      <c r="K25" s="73">
        <v>-590</v>
      </c>
      <c r="L25" s="73">
        <v>0</v>
      </c>
      <c r="M25" s="73">
        <v>0</v>
      </c>
      <c r="N25" s="73">
        <v>-253033</v>
      </c>
      <c r="O25" s="73">
        <v>0</v>
      </c>
      <c r="P25" s="73">
        <v>-1968636</v>
      </c>
      <c r="Q25" s="73">
        <v>-2068</v>
      </c>
      <c r="R25" s="73">
        <v>-65886</v>
      </c>
      <c r="S25" s="73">
        <v>-75930</v>
      </c>
      <c r="T25" s="73">
        <v>-303825</v>
      </c>
      <c r="U25" s="73">
        <v>-203521</v>
      </c>
      <c r="V25" s="73">
        <v>0</v>
      </c>
      <c r="W25" s="73">
        <v>-765765</v>
      </c>
      <c r="X25" s="73">
        <v>-124781</v>
      </c>
      <c r="Y25" s="73">
        <v>-2807</v>
      </c>
      <c r="Z25" s="73">
        <v>-465</v>
      </c>
      <c r="AA25" s="73">
        <v>-17623</v>
      </c>
      <c r="AB25" s="73">
        <v>-14373</v>
      </c>
      <c r="AC25" s="73">
        <v>-25</v>
      </c>
      <c r="AD25" s="73">
        <v>0</v>
      </c>
      <c r="AE25" s="73">
        <v>-56103</v>
      </c>
      <c r="AF25" s="93">
        <v>-675494</v>
      </c>
    </row>
    <row r="26" spans="1:32" s="59" customFormat="1">
      <c r="A26" s="97" t="s">
        <v>728</v>
      </c>
      <c r="B26" s="76" t="s">
        <v>729</v>
      </c>
      <c r="C26" s="76" t="s">
        <v>560</v>
      </c>
      <c r="D26" s="77" t="s">
        <v>387</v>
      </c>
      <c r="E26" s="81">
        <v>0</v>
      </c>
      <c r="F26" s="82">
        <v>0</v>
      </c>
      <c r="G26" s="82">
        <v>0</v>
      </c>
      <c r="H26" s="82">
        <v>0</v>
      </c>
      <c r="I26" s="82">
        <v>0</v>
      </c>
      <c r="J26" s="82">
        <v>0</v>
      </c>
      <c r="K26" s="82">
        <v>0</v>
      </c>
      <c r="L26" s="82">
        <v>0</v>
      </c>
      <c r="M26" s="82">
        <v>0</v>
      </c>
      <c r="N26" s="82">
        <v>0</v>
      </c>
      <c r="O26" s="82">
        <v>0</v>
      </c>
      <c r="P26" s="82">
        <v>0</v>
      </c>
      <c r="Q26" s="82">
        <v>0</v>
      </c>
      <c r="R26" s="82">
        <v>0</v>
      </c>
      <c r="S26" s="82">
        <v>0</v>
      </c>
      <c r="T26" s="82">
        <v>0</v>
      </c>
      <c r="U26" s="82">
        <v>-2159</v>
      </c>
      <c r="V26" s="82">
        <v>0</v>
      </c>
      <c r="W26" s="82">
        <v>0</v>
      </c>
      <c r="X26" s="82">
        <v>0</v>
      </c>
      <c r="Y26" s="82">
        <v>0</v>
      </c>
      <c r="Z26" s="82">
        <v>0</v>
      </c>
      <c r="AA26" s="82">
        <v>0</v>
      </c>
      <c r="AB26" s="82">
        <v>0</v>
      </c>
      <c r="AC26" s="82">
        <v>0</v>
      </c>
      <c r="AD26" s="82">
        <v>-5683</v>
      </c>
      <c r="AE26" s="82">
        <v>0</v>
      </c>
      <c r="AF26" s="83">
        <v>0</v>
      </c>
    </row>
    <row r="27" spans="1:32" s="59" customFormat="1">
      <c r="A27" s="60"/>
      <c r="B27" s="60"/>
    </row>
    <row r="28" spans="1:32" s="274" customFormat="1" ht="18">
      <c r="A28" s="275" t="s">
        <v>730</v>
      </c>
      <c r="B28" s="273"/>
    </row>
    <row r="29" spans="1:32">
      <c r="A29" s="272"/>
      <c r="B29" s="272"/>
    </row>
    <row r="30" spans="1:32" s="265" customFormat="1">
      <c r="B30" s="266" t="s">
        <v>731</v>
      </c>
      <c r="C30" s="63" t="s">
        <v>717</v>
      </c>
      <c r="D30" s="65" t="s">
        <v>375</v>
      </c>
      <c r="E30" s="270" t="s">
        <v>172</v>
      </c>
      <c r="F30" s="267" t="s">
        <v>175</v>
      </c>
      <c r="G30" s="267" t="s">
        <v>178</v>
      </c>
      <c r="H30" s="267" t="s">
        <v>181</v>
      </c>
      <c r="I30" s="267" t="s">
        <v>184</v>
      </c>
      <c r="J30" s="267" t="s">
        <v>187</v>
      </c>
      <c r="K30" s="267" t="s">
        <v>190</v>
      </c>
      <c r="L30" s="267" t="s">
        <v>193</v>
      </c>
      <c r="M30" s="267" t="s">
        <v>196</v>
      </c>
      <c r="N30" s="267" t="s">
        <v>198</v>
      </c>
      <c r="O30" s="267" t="s">
        <v>200</v>
      </c>
      <c r="P30" s="267" t="s">
        <v>202</v>
      </c>
      <c r="Q30" s="267" t="s">
        <v>205</v>
      </c>
      <c r="R30" s="267" t="s">
        <v>208</v>
      </c>
      <c r="S30" s="267" t="s">
        <v>211</v>
      </c>
      <c r="T30" s="267" t="s">
        <v>214</v>
      </c>
      <c r="U30" s="267" t="s">
        <v>217</v>
      </c>
      <c r="V30" s="267" t="s">
        <v>220</v>
      </c>
      <c r="W30" s="267" t="s">
        <v>223</v>
      </c>
      <c r="X30" s="267" t="s">
        <v>225</v>
      </c>
      <c r="Y30" s="267" t="s">
        <v>227</v>
      </c>
      <c r="Z30" s="267" t="s">
        <v>230</v>
      </c>
      <c r="AA30" s="267" t="s">
        <v>233</v>
      </c>
      <c r="AB30" s="267" t="s">
        <v>236</v>
      </c>
      <c r="AC30" s="267" t="s">
        <v>238</v>
      </c>
      <c r="AD30" s="267" t="s">
        <v>240</v>
      </c>
      <c r="AE30" s="267" t="s">
        <v>243</v>
      </c>
      <c r="AF30" s="268" t="s">
        <v>245</v>
      </c>
    </row>
    <row r="31" spans="1:32" s="59" customFormat="1">
      <c r="B31" s="66" t="s">
        <v>515</v>
      </c>
      <c r="C31" s="499"/>
      <c r="D31" s="500"/>
      <c r="E31" s="70"/>
      <c r="AF31" s="95"/>
    </row>
    <row r="32" spans="1:32" s="59" customFormat="1">
      <c r="B32" s="66" t="str">
        <f>B31</f>
        <v>UPSBDL</v>
      </c>
      <c r="C32" s="501" t="s">
        <v>732</v>
      </c>
      <c r="D32" s="500" t="s">
        <v>733</v>
      </c>
      <c r="E32" s="70">
        <v>0</v>
      </c>
      <c r="F32" s="59">
        <v>0</v>
      </c>
      <c r="G32" s="59">
        <v>0</v>
      </c>
      <c r="H32" s="59">
        <v>0</v>
      </c>
      <c r="I32" s="59">
        <v>0</v>
      </c>
      <c r="J32" s="59">
        <v>0</v>
      </c>
      <c r="K32" s="59">
        <v>0</v>
      </c>
      <c r="L32" s="59">
        <v>0</v>
      </c>
      <c r="M32" s="59">
        <v>0</v>
      </c>
      <c r="N32" s="59">
        <v>0</v>
      </c>
      <c r="O32" s="59">
        <v>0</v>
      </c>
      <c r="P32" s="59">
        <v>0</v>
      </c>
      <c r="Q32" s="59">
        <v>0</v>
      </c>
      <c r="R32" s="59">
        <v>0</v>
      </c>
      <c r="S32" s="59">
        <v>0</v>
      </c>
      <c r="T32" s="59">
        <v>0</v>
      </c>
      <c r="U32" s="59">
        <v>0</v>
      </c>
      <c r="V32" s="59">
        <v>0</v>
      </c>
      <c r="W32" s="59">
        <v>0</v>
      </c>
      <c r="X32" s="59">
        <v>0</v>
      </c>
      <c r="Y32" s="59">
        <v>0</v>
      </c>
      <c r="Z32" s="59">
        <v>0</v>
      </c>
      <c r="AA32" s="59">
        <v>0</v>
      </c>
      <c r="AB32" s="59">
        <v>0</v>
      </c>
      <c r="AC32" s="59">
        <v>0</v>
      </c>
      <c r="AD32" s="59">
        <v>0</v>
      </c>
      <c r="AE32" s="59">
        <v>0</v>
      </c>
      <c r="AF32" s="95">
        <v>0.73913043478260854</v>
      </c>
    </row>
    <row r="33" spans="2:32" s="59" customFormat="1">
      <c r="B33" s="66" t="str">
        <f t="shared" ref="B33:B46" si="0">B32</f>
        <v>UPSBDL</v>
      </c>
      <c r="C33" s="499" t="s">
        <v>734</v>
      </c>
      <c r="D33" s="500" t="s">
        <v>733</v>
      </c>
      <c r="E33" s="70">
        <v>0</v>
      </c>
      <c r="F33" s="500">
        <v>0</v>
      </c>
      <c r="G33" s="59">
        <v>0</v>
      </c>
      <c r="H33" s="59">
        <v>0</v>
      </c>
      <c r="I33" s="59">
        <v>0</v>
      </c>
      <c r="J33" s="59">
        <v>0</v>
      </c>
      <c r="K33" s="59">
        <v>0</v>
      </c>
      <c r="L33" s="59">
        <v>0</v>
      </c>
      <c r="M33" s="59">
        <v>0</v>
      </c>
      <c r="N33" s="59">
        <v>0</v>
      </c>
      <c r="O33" s="59">
        <v>0</v>
      </c>
      <c r="P33" s="59">
        <v>0</v>
      </c>
      <c r="Q33" s="59">
        <v>0</v>
      </c>
      <c r="R33" s="59">
        <v>0</v>
      </c>
      <c r="S33" s="59">
        <v>0</v>
      </c>
      <c r="T33" s="59">
        <v>0</v>
      </c>
      <c r="U33" s="59">
        <v>1</v>
      </c>
      <c r="V33" s="59">
        <v>0</v>
      </c>
      <c r="W33" s="59">
        <v>0</v>
      </c>
      <c r="X33" s="59">
        <v>0</v>
      </c>
      <c r="Y33" s="59">
        <v>1</v>
      </c>
      <c r="Z33" s="59">
        <v>0</v>
      </c>
      <c r="AA33" s="59">
        <v>0</v>
      </c>
      <c r="AB33" s="59">
        <v>0</v>
      </c>
      <c r="AC33" s="59">
        <v>0</v>
      </c>
      <c r="AD33" s="59">
        <v>0</v>
      </c>
      <c r="AE33" s="59">
        <v>0</v>
      </c>
      <c r="AF33" s="95">
        <v>0</v>
      </c>
    </row>
    <row r="34" spans="2:32" s="59" customFormat="1">
      <c r="B34" s="66" t="str">
        <f t="shared" si="0"/>
        <v>UPSBDL</v>
      </c>
      <c r="C34" s="499" t="s">
        <v>735</v>
      </c>
      <c r="D34" s="500" t="s">
        <v>733</v>
      </c>
      <c r="E34" s="70">
        <v>0</v>
      </c>
      <c r="F34" s="500">
        <v>0</v>
      </c>
      <c r="G34" s="59">
        <v>0</v>
      </c>
      <c r="H34" s="59">
        <v>0</v>
      </c>
      <c r="I34" s="59">
        <v>0</v>
      </c>
      <c r="J34" s="59">
        <v>0</v>
      </c>
      <c r="K34" s="59">
        <v>0</v>
      </c>
      <c r="L34" s="59">
        <v>0</v>
      </c>
      <c r="M34" s="59">
        <v>0</v>
      </c>
      <c r="N34" s="59">
        <v>0</v>
      </c>
      <c r="O34" s="59">
        <v>0</v>
      </c>
      <c r="P34" s="59">
        <v>0</v>
      </c>
      <c r="Q34" s="59">
        <v>0</v>
      </c>
      <c r="R34" s="59">
        <v>0</v>
      </c>
      <c r="S34" s="59">
        <v>0</v>
      </c>
      <c r="T34" s="59">
        <v>0</v>
      </c>
      <c r="U34" s="59">
        <v>0</v>
      </c>
      <c r="V34" s="59">
        <v>0</v>
      </c>
      <c r="W34" s="59">
        <v>0</v>
      </c>
      <c r="X34" s="59">
        <v>0</v>
      </c>
      <c r="Y34" s="59">
        <v>0</v>
      </c>
      <c r="Z34" s="59">
        <v>0</v>
      </c>
      <c r="AA34" s="59">
        <v>0</v>
      </c>
      <c r="AB34" s="59">
        <v>0</v>
      </c>
      <c r="AC34" s="59">
        <v>0</v>
      </c>
      <c r="AD34" s="59">
        <v>0</v>
      </c>
      <c r="AE34" s="59">
        <v>0</v>
      </c>
      <c r="AF34" s="95">
        <v>0</v>
      </c>
    </row>
    <row r="35" spans="2:32" s="59" customFormat="1">
      <c r="B35" s="66" t="str">
        <f t="shared" si="0"/>
        <v>UPSBDL</v>
      </c>
      <c r="C35" s="499" t="s">
        <v>736</v>
      </c>
      <c r="D35" s="500" t="s">
        <v>733</v>
      </c>
      <c r="E35" s="70">
        <v>0</v>
      </c>
      <c r="F35" s="500">
        <v>0</v>
      </c>
      <c r="G35" s="59">
        <v>0</v>
      </c>
      <c r="H35" s="59">
        <v>0</v>
      </c>
      <c r="I35" s="59">
        <v>0</v>
      </c>
      <c r="J35" s="59">
        <v>0</v>
      </c>
      <c r="K35" s="59">
        <v>0</v>
      </c>
      <c r="L35" s="59">
        <v>0</v>
      </c>
      <c r="M35" s="59">
        <v>0</v>
      </c>
      <c r="N35" s="59">
        <v>0</v>
      </c>
      <c r="O35" s="59">
        <v>0</v>
      </c>
      <c r="P35" s="59">
        <v>0</v>
      </c>
      <c r="Q35" s="59">
        <v>0</v>
      </c>
      <c r="R35" s="59">
        <v>0</v>
      </c>
      <c r="S35" s="59">
        <v>0</v>
      </c>
      <c r="T35" s="59">
        <v>0</v>
      </c>
      <c r="U35" s="59">
        <v>0</v>
      </c>
      <c r="V35" s="59">
        <v>0</v>
      </c>
      <c r="W35" s="59">
        <v>0</v>
      </c>
      <c r="X35" s="59">
        <v>0</v>
      </c>
      <c r="Y35" s="59">
        <v>0</v>
      </c>
      <c r="Z35" s="59">
        <v>0</v>
      </c>
      <c r="AA35" s="59">
        <v>0</v>
      </c>
      <c r="AB35" s="59">
        <v>0</v>
      </c>
      <c r="AC35" s="59">
        <v>0</v>
      </c>
      <c r="AD35" s="59">
        <v>0</v>
      </c>
      <c r="AE35" s="59">
        <v>0</v>
      </c>
      <c r="AF35" s="95">
        <v>0</v>
      </c>
    </row>
    <row r="36" spans="2:32" s="59" customFormat="1">
      <c r="B36" s="66" t="str">
        <f t="shared" si="0"/>
        <v>UPSBDL</v>
      </c>
      <c r="C36" s="501" t="s">
        <v>737</v>
      </c>
      <c r="D36" s="500" t="s">
        <v>733</v>
      </c>
      <c r="E36" s="70">
        <v>0</v>
      </c>
      <c r="F36" s="500">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c r="X36" s="59">
        <v>0</v>
      </c>
      <c r="Y36" s="59">
        <v>0</v>
      </c>
      <c r="Z36" s="59">
        <v>0</v>
      </c>
      <c r="AA36" s="59">
        <v>0</v>
      </c>
      <c r="AB36" s="59">
        <v>0</v>
      </c>
      <c r="AC36" s="59">
        <v>0</v>
      </c>
      <c r="AD36" s="59">
        <v>0</v>
      </c>
      <c r="AE36" s="59">
        <v>0</v>
      </c>
      <c r="AF36" s="95">
        <v>0</v>
      </c>
    </row>
    <row r="37" spans="2:32" s="59" customFormat="1">
      <c r="B37" s="66" t="str">
        <f t="shared" si="0"/>
        <v>UPSBDL</v>
      </c>
      <c r="C37" s="502" t="s">
        <v>738</v>
      </c>
      <c r="D37" s="500" t="s">
        <v>733</v>
      </c>
      <c r="E37" s="70">
        <v>0</v>
      </c>
      <c r="F37" s="500">
        <v>0</v>
      </c>
      <c r="G37" s="59">
        <v>0</v>
      </c>
      <c r="H37" s="59">
        <v>0</v>
      </c>
      <c r="I37" s="59">
        <v>0</v>
      </c>
      <c r="J37" s="59">
        <v>0</v>
      </c>
      <c r="K37" s="59">
        <v>0</v>
      </c>
      <c r="L37" s="59">
        <v>0</v>
      </c>
      <c r="M37" s="59">
        <v>0</v>
      </c>
      <c r="N37" s="59">
        <v>0</v>
      </c>
      <c r="O37" s="59">
        <v>0</v>
      </c>
      <c r="P37" s="59">
        <v>0</v>
      </c>
      <c r="Q37" s="59">
        <v>0</v>
      </c>
      <c r="R37" s="59">
        <v>0</v>
      </c>
      <c r="S37" s="59">
        <v>0</v>
      </c>
      <c r="T37" s="59">
        <v>1</v>
      </c>
      <c r="U37" s="59">
        <v>0</v>
      </c>
      <c r="V37" s="59">
        <v>0</v>
      </c>
      <c r="W37" s="59">
        <v>0</v>
      </c>
      <c r="X37" s="59">
        <v>0</v>
      </c>
      <c r="Y37" s="59">
        <v>0</v>
      </c>
      <c r="Z37" s="59">
        <v>0</v>
      </c>
      <c r="AA37" s="59">
        <v>0</v>
      </c>
      <c r="AB37" s="59">
        <v>0</v>
      </c>
      <c r="AC37" s="59">
        <v>0</v>
      </c>
      <c r="AD37" s="59">
        <v>0</v>
      </c>
      <c r="AE37" s="59">
        <v>0</v>
      </c>
      <c r="AF37" s="95">
        <v>0</v>
      </c>
    </row>
    <row r="38" spans="2:32" s="59" customFormat="1">
      <c r="B38" s="66" t="str">
        <f t="shared" si="0"/>
        <v>UPSBDL</v>
      </c>
      <c r="C38" s="501" t="s">
        <v>739</v>
      </c>
      <c r="D38" s="500" t="s">
        <v>733</v>
      </c>
      <c r="E38" s="70">
        <v>0</v>
      </c>
      <c r="F38" s="500">
        <v>0</v>
      </c>
      <c r="G38" s="59">
        <v>0</v>
      </c>
      <c r="H38" s="59">
        <v>0</v>
      </c>
      <c r="I38" s="59">
        <v>0</v>
      </c>
      <c r="J38" s="59">
        <v>0</v>
      </c>
      <c r="K38" s="59">
        <v>0</v>
      </c>
      <c r="L38" s="59">
        <v>0</v>
      </c>
      <c r="M38" s="59">
        <v>0</v>
      </c>
      <c r="N38" s="59">
        <v>0</v>
      </c>
      <c r="O38" s="59">
        <v>0</v>
      </c>
      <c r="P38" s="59">
        <v>0</v>
      </c>
      <c r="Q38" s="59">
        <v>0</v>
      </c>
      <c r="R38" s="59">
        <v>0</v>
      </c>
      <c r="S38" s="59">
        <v>0</v>
      </c>
      <c r="T38" s="59">
        <v>0</v>
      </c>
      <c r="U38" s="59">
        <v>0</v>
      </c>
      <c r="V38" s="59">
        <v>0</v>
      </c>
      <c r="W38" s="59">
        <v>0</v>
      </c>
      <c r="X38" s="59">
        <v>0</v>
      </c>
      <c r="Y38" s="59">
        <v>0</v>
      </c>
      <c r="Z38" s="59">
        <v>0</v>
      </c>
      <c r="AA38" s="59">
        <v>0</v>
      </c>
      <c r="AB38" s="59">
        <v>0</v>
      </c>
      <c r="AC38" s="59">
        <v>0</v>
      </c>
      <c r="AD38" s="59">
        <v>0</v>
      </c>
      <c r="AE38" s="59">
        <v>0</v>
      </c>
      <c r="AF38" s="95">
        <v>0</v>
      </c>
    </row>
    <row r="39" spans="2:32" s="59" customFormat="1">
      <c r="B39" s="66" t="str">
        <f t="shared" si="0"/>
        <v>UPSBDL</v>
      </c>
      <c r="C39" s="499" t="s">
        <v>740</v>
      </c>
      <c r="D39" s="500" t="s">
        <v>733</v>
      </c>
      <c r="E39" s="70">
        <v>0</v>
      </c>
      <c r="F39" s="500">
        <v>0</v>
      </c>
      <c r="G39" s="59">
        <v>0</v>
      </c>
      <c r="H39" s="59">
        <v>0</v>
      </c>
      <c r="I39" s="59">
        <v>0</v>
      </c>
      <c r="J39" s="59">
        <v>0</v>
      </c>
      <c r="K39" s="59">
        <v>0</v>
      </c>
      <c r="L39" s="59">
        <v>0</v>
      </c>
      <c r="M39" s="59">
        <v>0</v>
      </c>
      <c r="N39" s="59">
        <v>0</v>
      </c>
      <c r="O39" s="59">
        <v>0</v>
      </c>
      <c r="P39" s="59">
        <v>0</v>
      </c>
      <c r="Q39" s="59">
        <v>0</v>
      </c>
      <c r="R39" s="59">
        <v>0</v>
      </c>
      <c r="S39" s="59">
        <v>0</v>
      </c>
      <c r="T39" s="59">
        <v>0</v>
      </c>
      <c r="U39" s="59">
        <v>0</v>
      </c>
      <c r="V39" s="59">
        <v>0</v>
      </c>
      <c r="W39" s="59">
        <v>0</v>
      </c>
      <c r="X39" s="59">
        <v>0</v>
      </c>
      <c r="Y39" s="59">
        <v>0</v>
      </c>
      <c r="Z39" s="59">
        <v>0</v>
      </c>
      <c r="AA39" s="59">
        <v>0</v>
      </c>
      <c r="AB39" s="59">
        <v>0</v>
      </c>
      <c r="AC39" s="59">
        <v>0</v>
      </c>
      <c r="AD39" s="59">
        <v>0</v>
      </c>
      <c r="AE39" s="59">
        <v>0</v>
      </c>
      <c r="AF39" s="95">
        <v>0</v>
      </c>
    </row>
    <row r="40" spans="2:32" s="59" customFormat="1">
      <c r="B40" s="66" t="str">
        <f t="shared" si="0"/>
        <v>UPSBDL</v>
      </c>
      <c r="C40" s="501" t="s">
        <v>741</v>
      </c>
      <c r="D40" s="500" t="s">
        <v>733</v>
      </c>
      <c r="E40" s="70">
        <v>0</v>
      </c>
      <c r="F40" s="500">
        <v>0</v>
      </c>
      <c r="G40" s="59">
        <v>0</v>
      </c>
      <c r="H40" s="59">
        <v>0</v>
      </c>
      <c r="I40" s="59">
        <v>0</v>
      </c>
      <c r="J40" s="59">
        <v>0</v>
      </c>
      <c r="K40" s="59">
        <v>0</v>
      </c>
      <c r="L40" s="59">
        <v>0</v>
      </c>
      <c r="M40" s="59">
        <v>0</v>
      </c>
      <c r="N40" s="59">
        <v>0</v>
      </c>
      <c r="O40" s="59">
        <v>0</v>
      </c>
      <c r="P40" s="59">
        <v>0</v>
      </c>
      <c r="Q40" s="59">
        <v>0</v>
      </c>
      <c r="R40" s="59">
        <v>0</v>
      </c>
      <c r="S40" s="59">
        <v>0</v>
      </c>
      <c r="T40" s="59">
        <v>0</v>
      </c>
      <c r="U40" s="59">
        <v>0</v>
      </c>
      <c r="V40" s="59">
        <v>0</v>
      </c>
      <c r="W40" s="59">
        <v>0</v>
      </c>
      <c r="X40" s="59">
        <v>0</v>
      </c>
      <c r="Y40" s="59">
        <v>0</v>
      </c>
      <c r="Z40" s="59">
        <v>0</v>
      </c>
      <c r="AA40" s="59">
        <v>0</v>
      </c>
      <c r="AB40" s="59">
        <v>0</v>
      </c>
      <c r="AC40" s="59">
        <v>0</v>
      </c>
      <c r="AD40" s="59">
        <v>0</v>
      </c>
      <c r="AE40" s="59">
        <v>0</v>
      </c>
      <c r="AF40" s="95">
        <v>0.2608695652173913</v>
      </c>
    </row>
    <row r="41" spans="2:32" s="59" customFormat="1">
      <c r="B41" s="66" t="str">
        <f t="shared" si="0"/>
        <v>UPSBDL</v>
      </c>
      <c r="C41" s="499" t="s">
        <v>742</v>
      </c>
      <c r="D41" s="500" t="s">
        <v>733</v>
      </c>
      <c r="E41" s="70">
        <v>0</v>
      </c>
      <c r="F41" s="500">
        <v>0</v>
      </c>
      <c r="G41" s="59">
        <v>0</v>
      </c>
      <c r="H41" s="59">
        <v>0</v>
      </c>
      <c r="I41" s="59">
        <v>0</v>
      </c>
      <c r="J41" s="59">
        <v>0</v>
      </c>
      <c r="K41" s="59">
        <v>0</v>
      </c>
      <c r="L41" s="59">
        <v>0</v>
      </c>
      <c r="M41" s="59">
        <v>0</v>
      </c>
      <c r="N41" s="59">
        <v>0</v>
      </c>
      <c r="O41" s="59">
        <v>0</v>
      </c>
      <c r="P41" s="59">
        <v>0</v>
      </c>
      <c r="Q41" s="59">
        <v>0</v>
      </c>
      <c r="R41" s="59">
        <v>0</v>
      </c>
      <c r="S41" s="59">
        <v>0</v>
      </c>
      <c r="T41" s="59">
        <v>0</v>
      </c>
      <c r="U41" s="59">
        <v>0</v>
      </c>
      <c r="V41" s="59">
        <v>0</v>
      </c>
      <c r="W41" s="59">
        <v>0</v>
      </c>
      <c r="X41" s="59">
        <v>0</v>
      </c>
      <c r="Y41" s="59">
        <v>0</v>
      </c>
      <c r="Z41" s="59">
        <v>0</v>
      </c>
      <c r="AA41" s="59">
        <v>0</v>
      </c>
      <c r="AB41" s="59">
        <v>0</v>
      </c>
      <c r="AC41" s="59">
        <v>0</v>
      </c>
      <c r="AD41" s="59">
        <v>0</v>
      </c>
      <c r="AE41" s="59">
        <v>0</v>
      </c>
      <c r="AF41" s="95">
        <v>0</v>
      </c>
    </row>
    <row r="42" spans="2:32" s="59" customFormat="1">
      <c r="B42" s="66" t="str">
        <f t="shared" si="0"/>
        <v>UPSBDL</v>
      </c>
      <c r="C42" s="71" t="s">
        <v>743</v>
      </c>
      <c r="D42" s="59" t="s">
        <v>733</v>
      </c>
      <c r="E42" s="70">
        <v>0</v>
      </c>
      <c r="F42" s="500">
        <v>0</v>
      </c>
      <c r="G42" s="59">
        <v>0</v>
      </c>
      <c r="H42" s="59">
        <v>0</v>
      </c>
      <c r="I42" s="59">
        <v>0</v>
      </c>
      <c r="J42" s="59">
        <v>0</v>
      </c>
      <c r="K42" s="59">
        <v>0</v>
      </c>
      <c r="L42" s="59">
        <v>0</v>
      </c>
      <c r="M42" s="59">
        <v>0</v>
      </c>
      <c r="N42" s="59">
        <v>0</v>
      </c>
      <c r="O42" s="59">
        <v>0</v>
      </c>
      <c r="P42" s="59">
        <v>0</v>
      </c>
      <c r="Q42" s="59">
        <v>0</v>
      </c>
      <c r="R42" s="59">
        <v>0</v>
      </c>
      <c r="S42" s="59">
        <v>0</v>
      </c>
      <c r="T42" s="59">
        <v>0</v>
      </c>
      <c r="U42" s="59">
        <v>0</v>
      </c>
      <c r="V42" s="59">
        <v>0</v>
      </c>
      <c r="W42" s="59">
        <v>0</v>
      </c>
      <c r="X42" s="59">
        <v>0</v>
      </c>
      <c r="Y42" s="59">
        <v>0</v>
      </c>
      <c r="Z42" s="59">
        <v>0</v>
      </c>
      <c r="AA42" s="59">
        <v>0</v>
      </c>
      <c r="AB42" s="59">
        <v>0</v>
      </c>
      <c r="AC42" s="59">
        <v>0</v>
      </c>
      <c r="AD42" s="59">
        <v>0</v>
      </c>
      <c r="AE42" s="59">
        <v>0</v>
      </c>
      <c r="AF42" s="95">
        <v>0</v>
      </c>
    </row>
    <row r="43" spans="2:32" s="59" customFormat="1">
      <c r="B43" s="66" t="str">
        <f t="shared" si="0"/>
        <v>UPSBDL</v>
      </c>
      <c r="C43" s="499" t="s">
        <v>744</v>
      </c>
      <c r="D43" s="500" t="s">
        <v>733</v>
      </c>
      <c r="E43" s="70">
        <v>0</v>
      </c>
      <c r="F43" s="59">
        <v>0</v>
      </c>
      <c r="G43" s="59">
        <v>0</v>
      </c>
      <c r="H43" s="59">
        <v>0</v>
      </c>
      <c r="I43" s="59">
        <v>0</v>
      </c>
      <c r="J43" s="59">
        <v>0</v>
      </c>
      <c r="K43" s="59">
        <v>0</v>
      </c>
      <c r="L43" s="59">
        <v>0</v>
      </c>
      <c r="M43" s="59">
        <v>0</v>
      </c>
      <c r="N43" s="59">
        <v>0</v>
      </c>
      <c r="O43" s="59">
        <v>0</v>
      </c>
      <c r="P43" s="59">
        <v>0</v>
      </c>
      <c r="Q43" s="59">
        <v>0</v>
      </c>
      <c r="R43" s="59">
        <v>0</v>
      </c>
      <c r="S43" s="59">
        <v>0</v>
      </c>
      <c r="T43" s="59">
        <v>0</v>
      </c>
      <c r="U43" s="59">
        <v>0</v>
      </c>
      <c r="V43" s="59">
        <v>0</v>
      </c>
      <c r="W43" s="59">
        <v>0</v>
      </c>
      <c r="X43" s="59">
        <v>0</v>
      </c>
      <c r="Y43" s="59">
        <v>0</v>
      </c>
      <c r="Z43" s="59">
        <v>0</v>
      </c>
      <c r="AA43" s="59">
        <v>0</v>
      </c>
      <c r="AB43" s="59">
        <v>0</v>
      </c>
      <c r="AC43" s="59">
        <v>0</v>
      </c>
      <c r="AD43" s="59">
        <v>0</v>
      </c>
      <c r="AE43" s="59">
        <v>0</v>
      </c>
      <c r="AF43" s="95">
        <v>0</v>
      </c>
    </row>
    <row r="44" spans="2:32" s="59" customFormat="1">
      <c r="B44" s="66" t="str">
        <f t="shared" si="0"/>
        <v>UPSBDL</v>
      </c>
      <c r="C44" s="501" t="s">
        <v>745</v>
      </c>
      <c r="D44" s="500" t="s">
        <v>733</v>
      </c>
      <c r="E44" s="70">
        <v>0</v>
      </c>
      <c r="F44" s="59">
        <v>0</v>
      </c>
      <c r="G44" s="59">
        <v>0</v>
      </c>
      <c r="H44" s="59">
        <v>0</v>
      </c>
      <c r="I44" s="59">
        <v>0</v>
      </c>
      <c r="J44" s="59">
        <v>0</v>
      </c>
      <c r="K44" s="59">
        <v>0</v>
      </c>
      <c r="L44" s="59">
        <v>0</v>
      </c>
      <c r="M44" s="59">
        <v>0</v>
      </c>
      <c r="N44" s="59">
        <v>0</v>
      </c>
      <c r="O44" s="59">
        <v>0</v>
      </c>
      <c r="P44" s="59">
        <v>0</v>
      </c>
      <c r="Q44" s="59">
        <v>0</v>
      </c>
      <c r="R44" s="59">
        <v>0</v>
      </c>
      <c r="S44" s="59">
        <v>0</v>
      </c>
      <c r="T44" s="59">
        <v>0</v>
      </c>
      <c r="U44" s="59">
        <v>0</v>
      </c>
      <c r="V44" s="59">
        <v>0</v>
      </c>
      <c r="W44" s="59">
        <v>0</v>
      </c>
      <c r="X44" s="59">
        <v>0</v>
      </c>
      <c r="Y44" s="59">
        <v>0</v>
      </c>
      <c r="Z44" s="59">
        <v>0</v>
      </c>
      <c r="AA44" s="59">
        <v>0</v>
      </c>
      <c r="AB44" s="59">
        <v>0</v>
      </c>
      <c r="AC44" s="59">
        <v>0</v>
      </c>
      <c r="AD44" s="59">
        <v>0</v>
      </c>
      <c r="AE44" s="59">
        <v>0</v>
      </c>
      <c r="AF44" s="95">
        <v>0</v>
      </c>
    </row>
    <row r="45" spans="2:32" s="59" customFormat="1">
      <c r="B45" s="66" t="str">
        <f t="shared" si="0"/>
        <v>UPSBDL</v>
      </c>
      <c r="C45" s="285" t="s">
        <v>746</v>
      </c>
      <c r="D45" s="59" t="s">
        <v>733</v>
      </c>
      <c r="E45" s="70">
        <v>0</v>
      </c>
      <c r="F45" s="59">
        <v>0</v>
      </c>
      <c r="G45" s="59">
        <v>0</v>
      </c>
      <c r="H45" s="59">
        <v>0</v>
      </c>
      <c r="I45" s="59">
        <v>0</v>
      </c>
      <c r="J45" s="59">
        <v>0</v>
      </c>
      <c r="K45" s="59">
        <v>0</v>
      </c>
      <c r="L45" s="59">
        <v>0</v>
      </c>
      <c r="M45" s="59">
        <v>0</v>
      </c>
      <c r="N45" s="59">
        <v>0</v>
      </c>
      <c r="O45" s="59">
        <v>0</v>
      </c>
      <c r="P45" s="59">
        <v>0</v>
      </c>
      <c r="Q45" s="59">
        <v>0</v>
      </c>
      <c r="R45" s="59">
        <v>0</v>
      </c>
      <c r="S45" s="59">
        <v>0</v>
      </c>
      <c r="T45" s="59">
        <v>0</v>
      </c>
      <c r="U45" s="59">
        <v>0</v>
      </c>
      <c r="V45" s="59">
        <v>0</v>
      </c>
      <c r="W45" s="59">
        <v>0</v>
      </c>
      <c r="X45" s="59">
        <v>0</v>
      </c>
      <c r="Y45" s="59">
        <v>0</v>
      </c>
      <c r="Z45" s="59">
        <v>0</v>
      </c>
      <c r="AA45" s="59">
        <v>0</v>
      </c>
      <c r="AB45" s="59">
        <v>0</v>
      </c>
      <c r="AC45" s="59">
        <v>0</v>
      </c>
      <c r="AD45" s="59">
        <v>0</v>
      </c>
      <c r="AE45" s="59">
        <v>0</v>
      </c>
      <c r="AF45" s="95">
        <v>0</v>
      </c>
    </row>
    <row r="46" spans="2:32" s="59" customFormat="1">
      <c r="B46" s="269" t="str">
        <f t="shared" si="0"/>
        <v>UPSBDL</v>
      </c>
      <c r="C46" s="503" t="s">
        <v>747</v>
      </c>
      <c r="D46" s="504" t="s">
        <v>733</v>
      </c>
      <c r="E46" s="271">
        <v>0</v>
      </c>
      <c r="F46" s="80">
        <v>0</v>
      </c>
      <c r="G46" s="80">
        <v>0</v>
      </c>
      <c r="H46" s="80">
        <v>0</v>
      </c>
      <c r="I46" s="80">
        <v>0</v>
      </c>
      <c r="J46" s="80">
        <v>0</v>
      </c>
      <c r="K46" s="80">
        <v>0</v>
      </c>
      <c r="L46" s="80">
        <v>0</v>
      </c>
      <c r="M46" s="80">
        <v>0</v>
      </c>
      <c r="N46" s="80">
        <v>0</v>
      </c>
      <c r="O46" s="80">
        <v>0</v>
      </c>
      <c r="P46" s="80">
        <v>0</v>
      </c>
      <c r="Q46" s="80">
        <v>0</v>
      </c>
      <c r="R46" s="80">
        <v>0</v>
      </c>
      <c r="S46" s="80">
        <v>0</v>
      </c>
      <c r="T46" s="80">
        <v>0</v>
      </c>
      <c r="U46" s="80">
        <v>0</v>
      </c>
      <c r="V46" s="80">
        <v>0</v>
      </c>
      <c r="W46" s="80">
        <v>0</v>
      </c>
      <c r="X46" s="80">
        <v>0</v>
      </c>
      <c r="Y46" s="80">
        <v>0</v>
      </c>
      <c r="Z46" s="80">
        <v>0</v>
      </c>
      <c r="AA46" s="80">
        <v>0</v>
      </c>
      <c r="AB46" s="80">
        <v>0</v>
      </c>
      <c r="AC46" s="80">
        <v>0</v>
      </c>
      <c r="AD46" s="80">
        <v>0</v>
      </c>
      <c r="AE46" s="80">
        <v>0</v>
      </c>
      <c r="AF46" s="97">
        <v>0</v>
      </c>
    </row>
    <row r="47" spans="2:32" s="59" customFormat="1">
      <c r="B47" s="66" t="s">
        <v>521</v>
      </c>
      <c r="C47" s="71"/>
      <c r="E47" s="70"/>
      <c r="AF47" s="95"/>
    </row>
    <row r="48" spans="2:32" s="59" customFormat="1">
      <c r="B48" s="66" t="str">
        <f>B47</f>
        <v>UPSBFG</v>
      </c>
      <c r="C48" s="71" t="s">
        <v>732</v>
      </c>
      <c r="D48" s="59" t="s">
        <v>733</v>
      </c>
      <c r="E48" s="70">
        <v>0</v>
      </c>
      <c r="F48" s="59">
        <v>0</v>
      </c>
      <c r="G48" s="59">
        <v>0</v>
      </c>
      <c r="H48" s="59">
        <v>0</v>
      </c>
      <c r="I48" s="59">
        <v>0</v>
      </c>
      <c r="J48" s="59">
        <v>0</v>
      </c>
      <c r="K48" s="59">
        <v>0</v>
      </c>
      <c r="L48" s="59">
        <v>0</v>
      </c>
      <c r="M48" s="59">
        <v>0</v>
      </c>
      <c r="N48" s="59">
        <v>0</v>
      </c>
      <c r="O48" s="59">
        <v>0</v>
      </c>
      <c r="P48" s="59">
        <v>0</v>
      </c>
      <c r="Q48" s="59">
        <v>0</v>
      </c>
      <c r="R48" s="59">
        <v>0</v>
      </c>
      <c r="S48" s="59">
        <v>0</v>
      </c>
      <c r="T48" s="59">
        <v>0</v>
      </c>
      <c r="U48" s="59">
        <v>0</v>
      </c>
      <c r="V48" s="59">
        <v>0</v>
      </c>
      <c r="W48" s="59">
        <v>0</v>
      </c>
      <c r="X48" s="59">
        <v>0</v>
      </c>
      <c r="Y48" s="59">
        <v>0</v>
      </c>
      <c r="Z48" s="59">
        <v>0</v>
      </c>
      <c r="AA48" s="59">
        <v>0</v>
      </c>
      <c r="AB48" s="59">
        <v>0</v>
      </c>
      <c r="AC48" s="59">
        <v>0</v>
      </c>
      <c r="AD48" s="59">
        <v>0</v>
      </c>
      <c r="AE48" s="59">
        <v>0</v>
      </c>
      <c r="AF48" s="95">
        <v>0</v>
      </c>
    </row>
    <row r="49" spans="2:32" s="59" customFormat="1">
      <c r="B49" s="66" t="str">
        <f t="shared" ref="B49:B62" si="1">B48</f>
        <v>UPSBFG</v>
      </c>
      <c r="C49" s="71" t="s">
        <v>734</v>
      </c>
      <c r="D49" s="59" t="s">
        <v>733</v>
      </c>
      <c r="E49" s="70">
        <v>0</v>
      </c>
      <c r="F49" s="59">
        <v>0</v>
      </c>
      <c r="G49" s="59">
        <v>0</v>
      </c>
      <c r="H49" s="59">
        <v>0</v>
      </c>
      <c r="I49" s="59">
        <v>0</v>
      </c>
      <c r="J49" s="59">
        <v>0</v>
      </c>
      <c r="K49" s="59">
        <v>0</v>
      </c>
      <c r="L49" s="59">
        <v>0</v>
      </c>
      <c r="M49" s="59">
        <v>0</v>
      </c>
      <c r="N49" s="59">
        <v>0</v>
      </c>
      <c r="O49" s="59">
        <v>0</v>
      </c>
      <c r="P49" s="59">
        <v>0</v>
      </c>
      <c r="Q49" s="59">
        <v>0</v>
      </c>
      <c r="R49" s="59">
        <v>0</v>
      </c>
      <c r="S49" s="59">
        <v>0</v>
      </c>
      <c r="T49" s="59">
        <v>0</v>
      </c>
      <c r="U49" s="59">
        <v>0</v>
      </c>
      <c r="V49" s="59">
        <v>0</v>
      </c>
      <c r="W49" s="59">
        <v>0</v>
      </c>
      <c r="X49" s="59">
        <v>0</v>
      </c>
      <c r="Y49" s="59">
        <v>0</v>
      </c>
      <c r="Z49" s="59">
        <v>0</v>
      </c>
      <c r="AA49" s="59">
        <v>0</v>
      </c>
      <c r="AB49" s="59">
        <v>0</v>
      </c>
      <c r="AC49" s="59">
        <v>0</v>
      </c>
      <c r="AD49" s="59">
        <v>0</v>
      </c>
      <c r="AE49" s="59">
        <v>0</v>
      </c>
      <c r="AF49" s="95">
        <v>0</v>
      </c>
    </row>
    <row r="50" spans="2:32" s="59" customFormat="1">
      <c r="B50" s="66" t="str">
        <f t="shared" si="1"/>
        <v>UPSBFG</v>
      </c>
      <c r="C50" s="71" t="s">
        <v>735</v>
      </c>
      <c r="D50" s="59" t="s">
        <v>733</v>
      </c>
      <c r="E50" s="70">
        <v>0</v>
      </c>
      <c r="F50" s="59">
        <v>0</v>
      </c>
      <c r="G50" s="59">
        <v>0</v>
      </c>
      <c r="H50" s="59">
        <v>0</v>
      </c>
      <c r="I50" s="59">
        <v>0</v>
      </c>
      <c r="J50" s="59">
        <v>0</v>
      </c>
      <c r="K50" s="59">
        <v>0</v>
      </c>
      <c r="L50" s="59">
        <v>0</v>
      </c>
      <c r="M50" s="59">
        <v>0</v>
      </c>
      <c r="N50" s="59">
        <v>0</v>
      </c>
      <c r="O50" s="59">
        <v>0</v>
      </c>
      <c r="P50" s="59">
        <v>0</v>
      </c>
      <c r="Q50" s="59">
        <v>0</v>
      </c>
      <c r="R50" s="59">
        <v>0</v>
      </c>
      <c r="S50" s="59">
        <v>0</v>
      </c>
      <c r="T50" s="59">
        <v>0.20405932169429225</v>
      </c>
      <c r="U50" s="59">
        <v>1.8536289551833018E-3</v>
      </c>
      <c r="V50" s="59">
        <v>0</v>
      </c>
      <c r="W50" s="59">
        <v>0</v>
      </c>
      <c r="X50" s="59">
        <v>0</v>
      </c>
      <c r="Y50" s="59">
        <v>0</v>
      </c>
      <c r="Z50" s="59">
        <v>0</v>
      </c>
      <c r="AA50" s="59">
        <v>0</v>
      </c>
      <c r="AB50" s="59">
        <v>0</v>
      </c>
      <c r="AC50" s="59">
        <v>0</v>
      </c>
      <c r="AD50" s="59">
        <v>0</v>
      </c>
      <c r="AE50" s="59">
        <v>0</v>
      </c>
      <c r="AF50" s="95">
        <v>0</v>
      </c>
    </row>
    <row r="51" spans="2:32" s="59" customFormat="1">
      <c r="B51" s="66" t="str">
        <f t="shared" si="1"/>
        <v>UPSBFG</v>
      </c>
      <c r="C51" s="71" t="s">
        <v>736</v>
      </c>
      <c r="D51" s="59" t="s">
        <v>733</v>
      </c>
      <c r="E51" s="70">
        <v>0</v>
      </c>
      <c r="F51" s="59">
        <v>0</v>
      </c>
      <c r="G51" s="59">
        <v>0</v>
      </c>
      <c r="H51" s="59">
        <v>0</v>
      </c>
      <c r="I51" s="59">
        <v>0</v>
      </c>
      <c r="J51" s="59">
        <v>0</v>
      </c>
      <c r="K51" s="59">
        <v>0</v>
      </c>
      <c r="L51" s="59">
        <v>0</v>
      </c>
      <c r="M51" s="59">
        <v>0</v>
      </c>
      <c r="N51" s="59">
        <v>0</v>
      </c>
      <c r="O51" s="59">
        <v>0</v>
      </c>
      <c r="P51" s="59">
        <v>0</v>
      </c>
      <c r="Q51" s="59">
        <v>0</v>
      </c>
      <c r="R51" s="59">
        <v>0</v>
      </c>
      <c r="S51" s="59">
        <v>0</v>
      </c>
      <c r="T51" s="59">
        <v>0</v>
      </c>
      <c r="U51" s="59">
        <v>0</v>
      </c>
      <c r="V51" s="59">
        <v>0</v>
      </c>
      <c r="W51" s="59">
        <v>0</v>
      </c>
      <c r="X51" s="59">
        <v>0</v>
      </c>
      <c r="Y51" s="59">
        <v>0</v>
      </c>
      <c r="Z51" s="59">
        <v>0</v>
      </c>
      <c r="AA51" s="59">
        <v>0</v>
      </c>
      <c r="AB51" s="59">
        <v>0</v>
      </c>
      <c r="AC51" s="59">
        <v>0</v>
      </c>
      <c r="AD51" s="59">
        <v>0</v>
      </c>
      <c r="AE51" s="59">
        <v>0</v>
      </c>
      <c r="AF51" s="95">
        <v>0</v>
      </c>
    </row>
    <row r="52" spans="2:32" s="59" customFormat="1">
      <c r="B52" s="66" t="str">
        <f t="shared" si="1"/>
        <v>UPSBFG</v>
      </c>
      <c r="C52" s="71" t="s">
        <v>737</v>
      </c>
      <c r="D52" s="59" t="s">
        <v>733</v>
      </c>
      <c r="E52" s="70">
        <v>0</v>
      </c>
      <c r="F52" s="59">
        <v>0</v>
      </c>
      <c r="G52" s="59">
        <v>0</v>
      </c>
      <c r="H52" s="59">
        <v>0</v>
      </c>
      <c r="I52" s="59">
        <v>2.0124243063126913E-2</v>
      </c>
      <c r="J52" s="59">
        <v>0</v>
      </c>
      <c r="K52" s="59">
        <v>0</v>
      </c>
      <c r="L52" s="59">
        <v>0</v>
      </c>
      <c r="M52" s="59">
        <v>0</v>
      </c>
      <c r="N52" s="59">
        <v>0</v>
      </c>
      <c r="O52" s="59">
        <v>0</v>
      </c>
      <c r="P52" s="59">
        <v>0</v>
      </c>
      <c r="Q52" s="59">
        <v>0</v>
      </c>
      <c r="R52" s="59">
        <v>0.1709338129935063</v>
      </c>
      <c r="S52" s="59">
        <v>0.33829389965250861</v>
      </c>
      <c r="T52" s="59">
        <v>0.2064249584673257</v>
      </c>
      <c r="U52" s="59">
        <v>0.46949074828603299</v>
      </c>
      <c r="V52" s="59">
        <v>0</v>
      </c>
      <c r="W52" s="59">
        <v>0</v>
      </c>
      <c r="X52" s="59">
        <v>1</v>
      </c>
      <c r="Y52" s="59">
        <v>0</v>
      </c>
      <c r="Z52" s="59">
        <v>0.33586358147242135</v>
      </c>
      <c r="AA52" s="59">
        <v>1</v>
      </c>
      <c r="AB52" s="59">
        <v>0</v>
      </c>
      <c r="AC52" s="59">
        <v>0</v>
      </c>
      <c r="AD52" s="59">
        <v>1</v>
      </c>
      <c r="AE52" s="59">
        <v>0.47224574853155027</v>
      </c>
      <c r="AF52" s="95">
        <v>1.7800381436745075E-2</v>
      </c>
    </row>
    <row r="53" spans="2:32" s="59" customFormat="1">
      <c r="B53" s="66" t="str">
        <f t="shared" si="1"/>
        <v>UPSBFG</v>
      </c>
      <c r="C53" s="71" t="s">
        <v>738</v>
      </c>
      <c r="D53" s="59" t="s">
        <v>733</v>
      </c>
      <c r="E53" s="70">
        <v>0</v>
      </c>
      <c r="F53" s="59">
        <v>0</v>
      </c>
      <c r="G53" s="59">
        <v>0</v>
      </c>
      <c r="H53" s="59">
        <v>0</v>
      </c>
      <c r="I53" s="59">
        <v>0.97987575693687312</v>
      </c>
      <c r="J53" s="59">
        <v>1</v>
      </c>
      <c r="K53" s="59">
        <v>0</v>
      </c>
      <c r="L53" s="59">
        <v>0</v>
      </c>
      <c r="M53" s="59">
        <v>0</v>
      </c>
      <c r="N53" s="59">
        <v>0</v>
      </c>
      <c r="O53" s="59">
        <v>1</v>
      </c>
      <c r="P53" s="59">
        <v>0</v>
      </c>
      <c r="Q53" s="59">
        <v>1</v>
      </c>
      <c r="R53" s="59">
        <v>0.8290661870064937</v>
      </c>
      <c r="S53" s="59">
        <v>0.66170610034749133</v>
      </c>
      <c r="T53" s="59">
        <v>0.58951571983838214</v>
      </c>
      <c r="U53" s="59">
        <v>0.52865562275878375</v>
      </c>
      <c r="V53" s="59">
        <v>0</v>
      </c>
      <c r="W53" s="59">
        <v>0</v>
      </c>
      <c r="X53" s="59">
        <v>0</v>
      </c>
      <c r="Y53" s="59">
        <v>1</v>
      </c>
      <c r="Z53" s="59">
        <v>0.66413641852757865</v>
      </c>
      <c r="AA53" s="59">
        <v>0</v>
      </c>
      <c r="AB53" s="59">
        <v>1</v>
      </c>
      <c r="AC53" s="59">
        <v>0</v>
      </c>
      <c r="AD53" s="59">
        <v>0</v>
      </c>
      <c r="AE53" s="59">
        <v>0.52775425146844968</v>
      </c>
      <c r="AF53" s="95">
        <v>0.98219961856325488</v>
      </c>
    </row>
    <row r="54" spans="2:32" s="59" customFormat="1">
      <c r="B54" s="66" t="str">
        <f t="shared" si="1"/>
        <v>UPSBFG</v>
      </c>
      <c r="C54" s="499" t="s">
        <v>739</v>
      </c>
      <c r="D54" s="500" t="s">
        <v>733</v>
      </c>
      <c r="E54" s="70">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95">
        <v>0</v>
      </c>
    </row>
    <row r="55" spans="2:32" s="59" customFormat="1">
      <c r="B55" s="66" t="str">
        <f t="shared" si="1"/>
        <v>UPSBFG</v>
      </c>
      <c r="C55" s="499" t="s">
        <v>740</v>
      </c>
      <c r="D55" s="500" t="s">
        <v>733</v>
      </c>
      <c r="E55" s="70">
        <v>0</v>
      </c>
      <c r="F55" s="59">
        <v>0</v>
      </c>
      <c r="G55" s="59">
        <v>0</v>
      </c>
      <c r="H55" s="59">
        <v>0</v>
      </c>
      <c r="I55" s="59">
        <v>0</v>
      </c>
      <c r="J55" s="59">
        <v>0</v>
      </c>
      <c r="K55" s="59">
        <v>0</v>
      </c>
      <c r="L55" s="59">
        <v>0</v>
      </c>
      <c r="M55" s="59">
        <v>0</v>
      </c>
      <c r="N55" s="59">
        <v>0</v>
      </c>
      <c r="O55" s="59">
        <v>0</v>
      </c>
      <c r="P55" s="59">
        <v>0</v>
      </c>
      <c r="Q55" s="59">
        <v>0</v>
      </c>
      <c r="R55" s="59">
        <v>0</v>
      </c>
      <c r="S55" s="59">
        <v>0</v>
      </c>
      <c r="T55" s="59">
        <v>0</v>
      </c>
      <c r="U55" s="59">
        <v>0</v>
      </c>
      <c r="V55" s="59">
        <v>0</v>
      </c>
      <c r="W55" s="59">
        <v>0</v>
      </c>
      <c r="X55" s="59">
        <v>0</v>
      </c>
      <c r="Y55" s="59">
        <v>0</v>
      </c>
      <c r="Z55" s="59">
        <v>0</v>
      </c>
      <c r="AA55" s="59">
        <v>0</v>
      </c>
      <c r="AB55" s="59">
        <v>0</v>
      </c>
      <c r="AC55" s="59">
        <v>0</v>
      </c>
      <c r="AD55" s="59">
        <v>0</v>
      </c>
      <c r="AE55" s="59">
        <v>0</v>
      </c>
      <c r="AF55" s="95">
        <v>0</v>
      </c>
    </row>
    <row r="56" spans="2:32" s="59" customFormat="1">
      <c r="B56" s="66" t="str">
        <f t="shared" si="1"/>
        <v>UPSBFG</v>
      </c>
      <c r="C56" s="499" t="s">
        <v>741</v>
      </c>
      <c r="D56" s="500" t="s">
        <v>733</v>
      </c>
      <c r="E56" s="70">
        <v>0</v>
      </c>
      <c r="F56" s="59">
        <v>0</v>
      </c>
      <c r="G56" s="59">
        <v>0</v>
      </c>
      <c r="H56" s="59">
        <v>0</v>
      </c>
      <c r="I56" s="59">
        <v>0</v>
      </c>
      <c r="J56" s="59">
        <v>0</v>
      </c>
      <c r="K56" s="59">
        <v>0</v>
      </c>
      <c r="L56" s="59">
        <v>0</v>
      </c>
      <c r="M56" s="59">
        <v>0</v>
      </c>
      <c r="N56" s="59">
        <v>0</v>
      </c>
      <c r="O56" s="59">
        <v>0</v>
      </c>
      <c r="P56" s="59">
        <v>1</v>
      </c>
      <c r="Q56" s="59">
        <v>0</v>
      </c>
      <c r="R56" s="59">
        <v>0</v>
      </c>
      <c r="S56" s="59">
        <v>0</v>
      </c>
      <c r="T56" s="59">
        <v>0</v>
      </c>
      <c r="U56" s="59">
        <v>0</v>
      </c>
      <c r="V56" s="59">
        <v>0</v>
      </c>
      <c r="W56" s="59">
        <v>0</v>
      </c>
      <c r="X56" s="59">
        <v>0</v>
      </c>
      <c r="Y56" s="59">
        <v>0</v>
      </c>
      <c r="Z56" s="59">
        <v>0</v>
      </c>
      <c r="AA56" s="59">
        <v>0</v>
      </c>
      <c r="AB56" s="59">
        <v>0</v>
      </c>
      <c r="AC56" s="59">
        <v>0</v>
      </c>
      <c r="AD56" s="59">
        <v>0</v>
      </c>
      <c r="AE56" s="59">
        <v>0</v>
      </c>
      <c r="AF56" s="95">
        <v>0</v>
      </c>
    </row>
    <row r="57" spans="2:32" s="59" customFormat="1">
      <c r="B57" s="66" t="str">
        <f t="shared" si="1"/>
        <v>UPSBFG</v>
      </c>
      <c r="C57" s="499" t="s">
        <v>742</v>
      </c>
      <c r="D57" s="500" t="s">
        <v>733</v>
      </c>
      <c r="E57" s="70">
        <v>0</v>
      </c>
      <c r="F57" s="59">
        <v>0</v>
      </c>
      <c r="G57" s="59">
        <v>0</v>
      </c>
      <c r="H57" s="59">
        <v>0</v>
      </c>
      <c r="I57" s="59">
        <v>0</v>
      </c>
      <c r="J57" s="59">
        <v>0</v>
      </c>
      <c r="K57" s="59">
        <v>0</v>
      </c>
      <c r="L57" s="59">
        <v>0</v>
      </c>
      <c r="M57" s="59">
        <v>0</v>
      </c>
      <c r="N57" s="59">
        <v>0</v>
      </c>
      <c r="O57" s="59">
        <v>0</v>
      </c>
      <c r="P57" s="59">
        <v>0</v>
      </c>
      <c r="Q57" s="59">
        <v>0</v>
      </c>
      <c r="R57" s="59">
        <v>0</v>
      </c>
      <c r="S57" s="59">
        <v>0</v>
      </c>
      <c r="T57" s="59">
        <v>0</v>
      </c>
      <c r="U57" s="59">
        <v>0</v>
      </c>
      <c r="V57" s="59">
        <v>0</v>
      </c>
      <c r="W57" s="59">
        <v>0</v>
      </c>
      <c r="X57" s="59">
        <v>0</v>
      </c>
      <c r="Y57" s="59">
        <v>0</v>
      </c>
      <c r="Z57" s="59">
        <v>0</v>
      </c>
      <c r="AA57" s="59">
        <v>0</v>
      </c>
      <c r="AB57" s="59">
        <v>0</v>
      </c>
      <c r="AC57" s="59">
        <v>0</v>
      </c>
      <c r="AD57" s="59">
        <v>0</v>
      </c>
      <c r="AE57" s="59">
        <v>0</v>
      </c>
      <c r="AF57" s="95">
        <v>0</v>
      </c>
    </row>
    <row r="58" spans="2:32" s="59" customFormat="1">
      <c r="B58" s="66" t="str">
        <f t="shared" si="1"/>
        <v>UPSBFG</v>
      </c>
      <c r="C58" s="499" t="s">
        <v>743</v>
      </c>
      <c r="D58" s="500" t="s">
        <v>733</v>
      </c>
      <c r="E58" s="70">
        <v>0</v>
      </c>
      <c r="F58" s="59">
        <v>0</v>
      </c>
      <c r="G58" s="59">
        <v>0</v>
      </c>
      <c r="H58" s="59">
        <v>0</v>
      </c>
      <c r="I58" s="59">
        <v>0</v>
      </c>
      <c r="J58" s="59">
        <v>0</v>
      </c>
      <c r="K58" s="59">
        <v>0</v>
      </c>
      <c r="L58" s="59">
        <v>0</v>
      </c>
      <c r="M58" s="59">
        <v>0</v>
      </c>
      <c r="N58" s="59">
        <v>0</v>
      </c>
      <c r="O58" s="59">
        <v>0</v>
      </c>
      <c r="P58" s="59">
        <v>0</v>
      </c>
      <c r="Q58" s="59">
        <v>0</v>
      </c>
      <c r="R58" s="59">
        <v>0</v>
      </c>
      <c r="S58" s="59">
        <v>0</v>
      </c>
      <c r="T58" s="59">
        <v>0</v>
      </c>
      <c r="U58" s="59">
        <v>0</v>
      </c>
      <c r="V58" s="59">
        <v>0</v>
      </c>
      <c r="W58" s="59">
        <v>0</v>
      </c>
      <c r="X58" s="59">
        <v>0</v>
      </c>
      <c r="Y58" s="59">
        <v>0</v>
      </c>
      <c r="Z58" s="59">
        <v>0</v>
      </c>
      <c r="AA58" s="59">
        <v>0</v>
      </c>
      <c r="AB58" s="59">
        <v>0</v>
      </c>
      <c r="AC58" s="59">
        <v>0</v>
      </c>
      <c r="AD58" s="59">
        <v>0</v>
      </c>
      <c r="AE58" s="59">
        <v>0</v>
      </c>
      <c r="AF58" s="95">
        <v>0</v>
      </c>
    </row>
    <row r="59" spans="2:32" s="59" customFormat="1">
      <c r="B59" s="66" t="str">
        <f t="shared" si="1"/>
        <v>UPSBFG</v>
      </c>
      <c r="C59" s="499" t="s">
        <v>744</v>
      </c>
      <c r="D59" s="500" t="s">
        <v>733</v>
      </c>
      <c r="E59" s="70">
        <v>0</v>
      </c>
      <c r="F59" s="59">
        <v>0</v>
      </c>
      <c r="G59" s="59">
        <v>0</v>
      </c>
      <c r="H59" s="59">
        <v>0</v>
      </c>
      <c r="I59" s="59">
        <v>0</v>
      </c>
      <c r="J59" s="59">
        <v>0</v>
      </c>
      <c r="K59" s="59">
        <v>0</v>
      </c>
      <c r="L59" s="59">
        <v>0</v>
      </c>
      <c r="M59" s="59">
        <v>0</v>
      </c>
      <c r="N59" s="59">
        <v>0</v>
      </c>
      <c r="O59" s="59">
        <v>0</v>
      </c>
      <c r="P59" s="59">
        <v>0</v>
      </c>
      <c r="Q59" s="59">
        <v>0</v>
      </c>
      <c r="R59" s="59">
        <v>0</v>
      </c>
      <c r="S59" s="59">
        <v>0</v>
      </c>
      <c r="T59" s="59">
        <v>0</v>
      </c>
      <c r="U59" s="59">
        <v>0</v>
      </c>
      <c r="V59" s="59">
        <v>0</v>
      </c>
      <c r="W59" s="59">
        <v>0</v>
      </c>
      <c r="X59" s="59">
        <v>0</v>
      </c>
      <c r="Y59" s="59">
        <v>0</v>
      </c>
      <c r="Z59" s="59">
        <v>0</v>
      </c>
      <c r="AA59" s="59">
        <v>0</v>
      </c>
      <c r="AB59" s="59">
        <v>0</v>
      </c>
      <c r="AC59" s="59">
        <v>0</v>
      </c>
      <c r="AD59" s="59">
        <v>0</v>
      </c>
      <c r="AE59" s="59">
        <v>0</v>
      </c>
      <c r="AF59" s="95">
        <v>0</v>
      </c>
    </row>
    <row r="60" spans="2:32" s="59" customFormat="1">
      <c r="B60" s="66" t="str">
        <f t="shared" si="1"/>
        <v>UPSBFG</v>
      </c>
      <c r="C60" s="499" t="s">
        <v>745</v>
      </c>
      <c r="D60" s="500" t="s">
        <v>733</v>
      </c>
      <c r="E60" s="70">
        <v>0</v>
      </c>
      <c r="F60" s="59">
        <v>0</v>
      </c>
      <c r="G60" s="59">
        <v>0</v>
      </c>
      <c r="H60" s="59">
        <v>0</v>
      </c>
      <c r="I60" s="59">
        <v>0</v>
      </c>
      <c r="J60" s="59">
        <v>0</v>
      </c>
      <c r="K60" s="59">
        <v>0</v>
      </c>
      <c r="L60" s="59">
        <v>0</v>
      </c>
      <c r="M60" s="59">
        <v>0</v>
      </c>
      <c r="N60" s="59">
        <v>0</v>
      </c>
      <c r="O60" s="59">
        <v>0</v>
      </c>
      <c r="P60" s="59">
        <v>0</v>
      </c>
      <c r="Q60" s="59">
        <v>0</v>
      </c>
      <c r="R60" s="59">
        <v>0</v>
      </c>
      <c r="S60" s="59">
        <v>0</v>
      </c>
      <c r="T60" s="59">
        <v>0</v>
      </c>
      <c r="U60" s="59">
        <v>0</v>
      </c>
      <c r="V60" s="59">
        <v>0</v>
      </c>
      <c r="W60" s="59">
        <v>0</v>
      </c>
      <c r="X60" s="59">
        <v>0</v>
      </c>
      <c r="Y60" s="59">
        <v>0</v>
      </c>
      <c r="Z60" s="59">
        <v>0</v>
      </c>
      <c r="AA60" s="59">
        <v>0</v>
      </c>
      <c r="AB60" s="59">
        <v>0</v>
      </c>
      <c r="AC60" s="59">
        <v>0</v>
      </c>
      <c r="AD60" s="59">
        <v>0</v>
      </c>
      <c r="AE60" s="59">
        <v>0</v>
      </c>
      <c r="AF60" s="95">
        <v>0</v>
      </c>
    </row>
    <row r="61" spans="2:32" s="59" customFormat="1">
      <c r="B61" s="66" t="str">
        <f t="shared" si="1"/>
        <v>UPSBFG</v>
      </c>
      <c r="C61" s="499" t="s">
        <v>746</v>
      </c>
      <c r="D61" s="500" t="s">
        <v>733</v>
      </c>
      <c r="E61" s="70">
        <v>0</v>
      </c>
      <c r="F61" s="59">
        <v>0</v>
      </c>
      <c r="G61" s="59">
        <v>0</v>
      </c>
      <c r="H61" s="59">
        <v>0</v>
      </c>
      <c r="I61" s="59">
        <v>0</v>
      </c>
      <c r="J61" s="59">
        <v>0</v>
      </c>
      <c r="K61" s="59">
        <v>0</v>
      </c>
      <c r="L61" s="59">
        <v>0</v>
      </c>
      <c r="M61" s="59">
        <v>0</v>
      </c>
      <c r="N61" s="59">
        <v>0</v>
      </c>
      <c r="O61" s="59">
        <v>0</v>
      </c>
      <c r="P61" s="59">
        <v>0</v>
      </c>
      <c r="Q61" s="59">
        <v>0</v>
      </c>
      <c r="R61" s="59">
        <v>0</v>
      </c>
      <c r="S61" s="59">
        <v>0</v>
      </c>
      <c r="T61" s="59">
        <v>0</v>
      </c>
      <c r="U61" s="59">
        <v>0</v>
      </c>
      <c r="V61" s="59">
        <v>0</v>
      </c>
      <c r="W61" s="59">
        <v>0</v>
      </c>
      <c r="X61" s="59">
        <v>0</v>
      </c>
      <c r="Y61" s="59">
        <v>0</v>
      </c>
      <c r="Z61" s="59">
        <v>0</v>
      </c>
      <c r="AA61" s="59">
        <v>0</v>
      </c>
      <c r="AB61" s="59">
        <v>0</v>
      </c>
      <c r="AC61" s="59">
        <v>0</v>
      </c>
      <c r="AD61" s="59">
        <v>0</v>
      </c>
      <c r="AE61" s="59">
        <v>0</v>
      </c>
      <c r="AF61" s="95">
        <v>0</v>
      </c>
    </row>
    <row r="62" spans="2:32" s="59" customFormat="1">
      <c r="B62" s="269" t="str">
        <f t="shared" si="1"/>
        <v>UPSBFG</v>
      </c>
      <c r="C62" s="503" t="s">
        <v>747</v>
      </c>
      <c r="D62" s="504" t="s">
        <v>733</v>
      </c>
      <c r="E62" s="271">
        <v>0</v>
      </c>
      <c r="F62" s="80">
        <v>0</v>
      </c>
      <c r="G62" s="80">
        <v>0</v>
      </c>
      <c r="H62" s="80">
        <v>0</v>
      </c>
      <c r="I62" s="80">
        <v>0</v>
      </c>
      <c r="J62" s="80">
        <v>0</v>
      </c>
      <c r="K62" s="80">
        <v>0</v>
      </c>
      <c r="L62" s="80">
        <v>0</v>
      </c>
      <c r="M62" s="80">
        <v>0</v>
      </c>
      <c r="N62" s="80">
        <v>0</v>
      </c>
      <c r="O62" s="80">
        <v>0</v>
      </c>
      <c r="P62" s="80">
        <v>0</v>
      </c>
      <c r="Q62" s="80">
        <v>0</v>
      </c>
      <c r="R62" s="80">
        <v>0</v>
      </c>
      <c r="S62" s="80">
        <v>0</v>
      </c>
      <c r="T62" s="80">
        <v>0</v>
      </c>
      <c r="U62" s="80">
        <v>0</v>
      </c>
      <c r="V62" s="80">
        <v>0</v>
      </c>
      <c r="W62" s="80">
        <v>0</v>
      </c>
      <c r="X62" s="80">
        <v>0</v>
      </c>
      <c r="Y62" s="80">
        <v>0</v>
      </c>
      <c r="Z62" s="80">
        <v>0</v>
      </c>
      <c r="AA62" s="80">
        <v>0</v>
      </c>
      <c r="AB62" s="80">
        <v>0</v>
      </c>
      <c r="AC62" s="80">
        <v>0</v>
      </c>
      <c r="AD62" s="80">
        <v>0</v>
      </c>
      <c r="AE62" s="80">
        <v>0</v>
      </c>
      <c r="AF62" s="97">
        <v>0</v>
      </c>
    </row>
    <row r="63" spans="2:32" s="59" customFormat="1">
      <c r="B63" s="66" t="s">
        <v>523</v>
      </c>
      <c r="C63" s="499"/>
      <c r="D63" s="500"/>
      <c r="E63" s="70"/>
      <c r="AF63" s="95"/>
    </row>
    <row r="64" spans="2:32" s="59" customFormat="1">
      <c r="B64" s="66" t="str">
        <f>B63</f>
        <v>UPSBGS</v>
      </c>
      <c r="C64" s="499" t="s">
        <v>732</v>
      </c>
      <c r="D64" s="500" t="s">
        <v>733</v>
      </c>
      <c r="E64" s="70">
        <v>0</v>
      </c>
      <c r="F64" s="59">
        <v>0</v>
      </c>
      <c r="G64" s="59">
        <v>0</v>
      </c>
      <c r="H64" s="59">
        <v>0</v>
      </c>
      <c r="I64" s="59">
        <v>0</v>
      </c>
      <c r="J64" s="59">
        <v>0</v>
      </c>
      <c r="K64" s="59">
        <v>0</v>
      </c>
      <c r="L64" s="59">
        <v>0</v>
      </c>
      <c r="M64" s="59">
        <v>0</v>
      </c>
      <c r="N64" s="59">
        <v>0</v>
      </c>
      <c r="O64" s="59">
        <v>0</v>
      </c>
      <c r="P64" s="59">
        <v>0</v>
      </c>
      <c r="Q64" s="59">
        <v>0</v>
      </c>
      <c r="R64" s="59">
        <v>0</v>
      </c>
      <c r="S64" s="59">
        <v>0</v>
      </c>
      <c r="T64" s="59">
        <v>0</v>
      </c>
      <c r="U64" s="59">
        <v>0</v>
      </c>
      <c r="V64" s="59">
        <v>0</v>
      </c>
      <c r="W64" s="59">
        <v>0</v>
      </c>
      <c r="X64" s="59">
        <v>0</v>
      </c>
      <c r="Y64" s="59">
        <v>0</v>
      </c>
      <c r="Z64" s="59">
        <v>0</v>
      </c>
      <c r="AA64" s="59">
        <v>0</v>
      </c>
      <c r="AB64" s="59">
        <v>0</v>
      </c>
      <c r="AC64" s="59">
        <v>0</v>
      </c>
      <c r="AD64" s="59">
        <v>0</v>
      </c>
      <c r="AE64" s="59">
        <v>0</v>
      </c>
      <c r="AF64" s="95">
        <v>0</v>
      </c>
    </row>
    <row r="65" spans="2:32" s="59" customFormat="1">
      <c r="B65" s="66" t="str">
        <f t="shared" ref="B65:B78" si="2">B64</f>
        <v>UPSBGS</v>
      </c>
      <c r="C65" s="499" t="s">
        <v>734</v>
      </c>
      <c r="D65" s="500" t="s">
        <v>733</v>
      </c>
      <c r="E65" s="70">
        <v>0</v>
      </c>
      <c r="F65" s="59">
        <v>0</v>
      </c>
      <c r="G65" s="59">
        <v>0</v>
      </c>
      <c r="H65" s="59">
        <v>0</v>
      </c>
      <c r="I65" s="59">
        <v>0</v>
      </c>
      <c r="J65" s="59">
        <v>0</v>
      </c>
      <c r="K65" s="59">
        <v>0</v>
      </c>
      <c r="L65" s="59">
        <v>0</v>
      </c>
      <c r="M65" s="59">
        <v>0</v>
      </c>
      <c r="N65" s="59">
        <v>0</v>
      </c>
      <c r="O65" s="59">
        <v>0</v>
      </c>
      <c r="P65" s="59">
        <v>0</v>
      </c>
      <c r="Q65" s="59">
        <v>0</v>
      </c>
      <c r="R65" s="59">
        <v>0</v>
      </c>
      <c r="S65" s="59">
        <v>0</v>
      </c>
      <c r="T65" s="59">
        <v>0</v>
      </c>
      <c r="U65" s="59">
        <v>0</v>
      </c>
      <c r="V65" s="59">
        <v>0</v>
      </c>
      <c r="W65" s="59">
        <v>0</v>
      </c>
      <c r="X65" s="59">
        <v>0</v>
      </c>
      <c r="Y65" s="59">
        <v>0</v>
      </c>
      <c r="Z65" s="59">
        <v>0</v>
      </c>
      <c r="AA65" s="59">
        <v>0</v>
      </c>
      <c r="AB65" s="59">
        <v>0</v>
      </c>
      <c r="AC65" s="59">
        <v>0</v>
      </c>
      <c r="AD65" s="59">
        <v>0</v>
      </c>
      <c r="AE65" s="59">
        <v>0</v>
      </c>
      <c r="AF65" s="95">
        <v>0</v>
      </c>
    </row>
    <row r="66" spans="2:32" s="59" customFormat="1">
      <c r="B66" s="66" t="str">
        <f t="shared" si="2"/>
        <v>UPSBGS</v>
      </c>
      <c r="C66" s="499" t="s">
        <v>735</v>
      </c>
      <c r="D66" s="500" t="s">
        <v>733</v>
      </c>
      <c r="E66" s="70">
        <v>0</v>
      </c>
      <c r="F66" s="59">
        <v>0</v>
      </c>
      <c r="G66" s="59">
        <v>0</v>
      </c>
      <c r="H66" s="59">
        <v>0</v>
      </c>
      <c r="I66" s="59">
        <v>0</v>
      </c>
      <c r="J66" s="59">
        <v>0</v>
      </c>
      <c r="K66" s="59">
        <v>0</v>
      </c>
      <c r="L66" s="59">
        <v>0</v>
      </c>
      <c r="M66" s="59">
        <v>0</v>
      </c>
      <c r="N66" s="59">
        <v>0</v>
      </c>
      <c r="O66" s="59">
        <v>0</v>
      </c>
      <c r="P66" s="59">
        <v>0</v>
      </c>
      <c r="Q66" s="59">
        <v>0</v>
      </c>
      <c r="R66" s="59">
        <v>0</v>
      </c>
      <c r="S66" s="59">
        <v>0</v>
      </c>
      <c r="T66" s="59">
        <v>0</v>
      </c>
      <c r="U66" s="59">
        <v>4.9243683830561533E-2</v>
      </c>
      <c r="V66" s="59">
        <v>0</v>
      </c>
      <c r="W66" s="59">
        <v>0</v>
      </c>
      <c r="X66" s="59">
        <v>0</v>
      </c>
      <c r="Y66" s="59">
        <v>0</v>
      </c>
      <c r="Z66" s="59">
        <v>0</v>
      </c>
      <c r="AA66" s="59">
        <v>0</v>
      </c>
      <c r="AB66" s="59">
        <v>0</v>
      </c>
      <c r="AC66" s="59">
        <v>0</v>
      </c>
      <c r="AD66" s="59">
        <v>0</v>
      </c>
      <c r="AE66" s="59">
        <v>0</v>
      </c>
      <c r="AF66" s="95">
        <v>0</v>
      </c>
    </row>
    <row r="67" spans="2:32" s="59" customFormat="1">
      <c r="B67" s="66" t="str">
        <f t="shared" si="2"/>
        <v>UPSBGS</v>
      </c>
      <c r="C67" s="499" t="s">
        <v>736</v>
      </c>
      <c r="D67" s="500" t="s">
        <v>733</v>
      </c>
      <c r="E67" s="70">
        <v>0</v>
      </c>
      <c r="F67" s="59">
        <v>0</v>
      </c>
      <c r="G67" s="59">
        <v>0</v>
      </c>
      <c r="H67" s="59">
        <v>0</v>
      </c>
      <c r="I67" s="59">
        <v>0</v>
      </c>
      <c r="J67" s="59">
        <v>0</v>
      </c>
      <c r="K67" s="59">
        <v>0</v>
      </c>
      <c r="L67" s="59">
        <v>0</v>
      </c>
      <c r="M67" s="59">
        <v>0</v>
      </c>
      <c r="N67" s="59">
        <v>0</v>
      </c>
      <c r="O67" s="59">
        <v>0</v>
      </c>
      <c r="P67" s="59">
        <v>0</v>
      </c>
      <c r="Q67" s="59">
        <v>0</v>
      </c>
      <c r="R67" s="59">
        <v>0</v>
      </c>
      <c r="S67" s="59">
        <v>0</v>
      </c>
      <c r="T67" s="59">
        <v>0</v>
      </c>
      <c r="U67" s="59">
        <v>0</v>
      </c>
      <c r="V67" s="59">
        <v>0</v>
      </c>
      <c r="W67" s="59">
        <v>0</v>
      </c>
      <c r="X67" s="59">
        <v>0</v>
      </c>
      <c r="Y67" s="59">
        <v>0</v>
      </c>
      <c r="Z67" s="59">
        <v>0</v>
      </c>
      <c r="AA67" s="59">
        <v>0</v>
      </c>
      <c r="AB67" s="59">
        <v>0</v>
      </c>
      <c r="AC67" s="59">
        <v>0</v>
      </c>
      <c r="AD67" s="59">
        <v>0</v>
      </c>
      <c r="AE67" s="59">
        <v>0</v>
      </c>
      <c r="AF67" s="95">
        <v>0</v>
      </c>
    </row>
    <row r="68" spans="2:32" s="59" customFormat="1">
      <c r="B68" s="66" t="str">
        <f t="shared" si="2"/>
        <v>UPSBGS</v>
      </c>
      <c r="C68" s="499" t="s">
        <v>737</v>
      </c>
      <c r="D68" s="500" t="s">
        <v>733</v>
      </c>
      <c r="E68" s="70">
        <v>0</v>
      </c>
      <c r="F68" s="59">
        <v>0</v>
      </c>
      <c r="G68" s="59">
        <v>0</v>
      </c>
      <c r="H68" s="59">
        <v>0</v>
      </c>
      <c r="I68" s="59">
        <v>0</v>
      </c>
      <c r="J68" s="59">
        <v>0</v>
      </c>
      <c r="K68" s="59">
        <v>0</v>
      </c>
      <c r="L68" s="59">
        <v>0</v>
      </c>
      <c r="M68" s="59">
        <v>0</v>
      </c>
      <c r="N68" s="59">
        <v>0</v>
      </c>
      <c r="O68" s="59">
        <v>0</v>
      </c>
      <c r="P68" s="59">
        <v>0</v>
      </c>
      <c r="Q68" s="59">
        <v>0</v>
      </c>
      <c r="R68" s="59">
        <v>0</v>
      </c>
      <c r="S68" s="59">
        <v>0</v>
      </c>
      <c r="T68" s="59">
        <v>0</v>
      </c>
      <c r="U68" s="59">
        <v>0</v>
      </c>
      <c r="V68" s="59">
        <v>0</v>
      </c>
      <c r="W68" s="59">
        <v>0</v>
      </c>
      <c r="X68" s="59">
        <v>0</v>
      </c>
      <c r="Y68" s="59">
        <v>0</v>
      </c>
      <c r="Z68" s="59">
        <v>0</v>
      </c>
      <c r="AA68" s="59">
        <v>0</v>
      </c>
      <c r="AB68" s="59">
        <v>0</v>
      </c>
      <c r="AC68" s="59">
        <v>0</v>
      </c>
      <c r="AD68" s="59">
        <v>0</v>
      </c>
      <c r="AE68" s="59">
        <v>0</v>
      </c>
      <c r="AF68" s="95">
        <v>0</v>
      </c>
    </row>
    <row r="69" spans="2:32" s="59" customFormat="1">
      <c r="B69" s="66" t="str">
        <f t="shared" si="2"/>
        <v>UPSBGS</v>
      </c>
      <c r="C69" s="499" t="s">
        <v>738</v>
      </c>
      <c r="D69" s="500" t="s">
        <v>733</v>
      </c>
      <c r="E69" s="70">
        <v>0</v>
      </c>
      <c r="F69" s="59">
        <v>0</v>
      </c>
      <c r="G69" s="59">
        <v>0</v>
      </c>
      <c r="H69" s="59">
        <v>0</v>
      </c>
      <c r="I69" s="59">
        <v>0</v>
      </c>
      <c r="J69" s="59">
        <v>0</v>
      </c>
      <c r="K69" s="59">
        <v>0</v>
      </c>
      <c r="L69" s="59">
        <v>0</v>
      </c>
      <c r="M69" s="59">
        <v>0</v>
      </c>
      <c r="N69" s="59">
        <v>0</v>
      </c>
      <c r="O69" s="59">
        <v>0</v>
      </c>
      <c r="P69" s="59">
        <v>0</v>
      </c>
      <c r="Q69" s="59">
        <v>0</v>
      </c>
      <c r="R69" s="59">
        <v>0</v>
      </c>
      <c r="S69" s="59">
        <v>0</v>
      </c>
      <c r="T69" s="59">
        <v>0</v>
      </c>
      <c r="U69" s="59">
        <v>0</v>
      </c>
      <c r="V69" s="59">
        <v>0</v>
      </c>
      <c r="W69" s="59">
        <v>0</v>
      </c>
      <c r="X69" s="59">
        <v>0</v>
      </c>
      <c r="Y69" s="59">
        <v>0</v>
      </c>
      <c r="Z69" s="59">
        <v>0</v>
      </c>
      <c r="AA69" s="59">
        <v>0</v>
      </c>
      <c r="AB69" s="59">
        <v>0</v>
      </c>
      <c r="AC69" s="59">
        <v>0</v>
      </c>
      <c r="AD69" s="59">
        <v>0</v>
      </c>
      <c r="AE69" s="59">
        <v>0</v>
      </c>
      <c r="AF69" s="95">
        <v>0</v>
      </c>
    </row>
    <row r="70" spans="2:32" s="59" customFormat="1">
      <c r="B70" s="66" t="str">
        <f t="shared" si="2"/>
        <v>UPSBGS</v>
      </c>
      <c r="C70" s="499" t="s">
        <v>739</v>
      </c>
      <c r="D70" s="500" t="s">
        <v>733</v>
      </c>
      <c r="E70" s="70">
        <v>0</v>
      </c>
      <c r="F70" s="59">
        <v>0</v>
      </c>
      <c r="G70" s="59">
        <v>0</v>
      </c>
      <c r="H70" s="59">
        <v>0</v>
      </c>
      <c r="I70" s="59">
        <v>0</v>
      </c>
      <c r="J70" s="59">
        <v>0</v>
      </c>
      <c r="K70" s="59">
        <v>0</v>
      </c>
      <c r="L70" s="59">
        <v>0</v>
      </c>
      <c r="M70" s="59">
        <v>0</v>
      </c>
      <c r="N70" s="59">
        <v>0</v>
      </c>
      <c r="O70" s="59">
        <v>0</v>
      </c>
      <c r="P70" s="59">
        <v>0</v>
      </c>
      <c r="Q70" s="59">
        <v>0</v>
      </c>
      <c r="R70" s="59">
        <v>0</v>
      </c>
      <c r="S70" s="59">
        <v>0</v>
      </c>
      <c r="T70" s="59">
        <v>0</v>
      </c>
      <c r="U70" s="59">
        <v>0</v>
      </c>
      <c r="V70" s="59">
        <v>0</v>
      </c>
      <c r="W70" s="59">
        <v>0</v>
      </c>
      <c r="X70" s="59">
        <v>0</v>
      </c>
      <c r="Y70" s="59">
        <v>0</v>
      </c>
      <c r="Z70" s="59">
        <v>0</v>
      </c>
      <c r="AA70" s="59">
        <v>0</v>
      </c>
      <c r="AB70" s="59">
        <v>0</v>
      </c>
      <c r="AC70" s="59">
        <v>0</v>
      </c>
      <c r="AD70" s="59">
        <v>0</v>
      </c>
      <c r="AE70" s="59">
        <v>0</v>
      </c>
      <c r="AF70" s="95">
        <v>0</v>
      </c>
    </row>
    <row r="71" spans="2:32" s="59" customFormat="1">
      <c r="B71" s="66" t="str">
        <f t="shared" si="2"/>
        <v>UPSBGS</v>
      </c>
      <c r="C71" s="499" t="s">
        <v>740</v>
      </c>
      <c r="D71" s="500" t="s">
        <v>733</v>
      </c>
      <c r="E71" s="70">
        <v>0</v>
      </c>
      <c r="F71" s="59">
        <v>0</v>
      </c>
      <c r="G71" s="59">
        <v>0</v>
      </c>
      <c r="H71" s="59">
        <v>0</v>
      </c>
      <c r="I71" s="59">
        <v>0</v>
      </c>
      <c r="J71" s="59">
        <v>0</v>
      </c>
      <c r="K71" s="59">
        <v>0</v>
      </c>
      <c r="L71" s="59">
        <v>0</v>
      </c>
      <c r="M71" s="59">
        <v>0</v>
      </c>
      <c r="N71" s="59">
        <v>0</v>
      </c>
      <c r="O71" s="59">
        <v>0</v>
      </c>
      <c r="P71" s="59">
        <v>0</v>
      </c>
      <c r="Q71" s="59">
        <v>0</v>
      </c>
      <c r="R71" s="59">
        <v>0</v>
      </c>
      <c r="S71" s="59">
        <v>0</v>
      </c>
      <c r="T71" s="59">
        <v>0</v>
      </c>
      <c r="U71" s="59">
        <v>0</v>
      </c>
      <c r="V71" s="59">
        <v>0</v>
      </c>
      <c r="W71" s="59">
        <v>0</v>
      </c>
      <c r="X71" s="59">
        <v>0</v>
      </c>
      <c r="Y71" s="59">
        <v>0</v>
      </c>
      <c r="Z71" s="59">
        <v>0</v>
      </c>
      <c r="AA71" s="59">
        <v>0</v>
      </c>
      <c r="AB71" s="59">
        <v>0</v>
      </c>
      <c r="AC71" s="59">
        <v>0</v>
      </c>
      <c r="AD71" s="59">
        <v>0</v>
      </c>
      <c r="AE71" s="59">
        <v>0</v>
      </c>
      <c r="AF71" s="95">
        <v>0</v>
      </c>
    </row>
    <row r="72" spans="2:32" s="59" customFormat="1">
      <c r="B72" s="66" t="str">
        <f t="shared" si="2"/>
        <v>UPSBGS</v>
      </c>
      <c r="C72" s="499" t="s">
        <v>741</v>
      </c>
      <c r="D72" s="500" t="s">
        <v>733</v>
      </c>
      <c r="E72" s="70">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95">
        <v>0</v>
      </c>
    </row>
    <row r="73" spans="2:32" s="59" customFormat="1">
      <c r="B73" s="66" t="str">
        <f t="shared" si="2"/>
        <v>UPSBGS</v>
      </c>
      <c r="C73" s="499" t="s">
        <v>742</v>
      </c>
      <c r="D73" s="500" t="s">
        <v>733</v>
      </c>
      <c r="E73" s="70">
        <v>0</v>
      </c>
      <c r="F73" s="59">
        <v>0</v>
      </c>
      <c r="G73" s="59">
        <v>0</v>
      </c>
      <c r="H73" s="59">
        <v>0</v>
      </c>
      <c r="I73" s="59">
        <v>0</v>
      </c>
      <c r="J73" s="59">
        <v>0</v>
      </c>
      <c r="K73" s="59">
        <v>0</v>
      </c>
      <c r="L73" s="59">
        <v>0</v>
      </c>
      <c r="M73" s="59">
        <v>0</v>
      </c>
      <c r="N73" s="59">
        <v>0</v>
      </c>
      <c r="O73" s="59">
        <v>0</v>
      </c>
      <c r="P73" s="59">
        <v>0</v>
      </c>
      <c r="Q73" s="59">
        <v>0</v>
      </c>
      <c r="R73" s="59">
        <v>0</v>
      </c>
      <c r="S73" s="59">
        <v>0</v>
      </c>
      <c r="T73" s="59">
        <v>0</v>
      </c>
      <c r="U73" s="59">
        <v>0</v>
      </c>
      <c r="V73" s="59">
        <v>0</v>
      </c>
      <c r="W73" s="59">
        <v>0</v>
      </c>
      <c r="X73" s="59">
        <v>0</v>
      </c>
      <c r="Y73" s="59">
        <v>0</v>
      </c>
      <c r="Z73" s="59">
        <v>0</v>
      </c>
      <c r="AA73" s="59">
        <v>0</v>
      </c>
      <c r="AB73" s="59">
        <v>0</v>
      </c>
      <c r="AC73" s="59">
        <v>0</v>
      </c>
      <c r="AD73" s="59">
        <v>0</v>
      </c>
      <c r="AE73" s="59">
        <v>0</v>
      </c>
      <c r="AF73" s="95">
        <v>0</v>
      </c>
    </row>
    <row r="74" spans="2:32" s="59" customFormat="1">
      <c r="B74" s="66" t="str">
        <f t="shared" si="2"/>
        <v>UPSBGS</v>
      </c>
      <c r="C74" s="499" t="s">
        <v>743</v>
      </c>
      <c r="D74" s="500" t="s">
        <v>733</v>
      </c>
      <c r="E74" s="70">
        <v>0</v>
      </c>
      <c r="F74" s="59">
        <v>0</v>
      </c>
      <c r="G74" s="59">
        <v>0</v>
      </c>
      <c r="H74" s="59">
        <v>0</v>
      </c>
      <c r="I74" s="59">
        <v>0</v>
      </c>
      <c r="J74" s="59">
        <v>0</v>
      </c>
      <c r="K74" s="59">
        <v>0</v>
      </c>
      <c r="L74" s="59">
        <v>0</v>
      </c>
      <c r="M74" s="59">
        <v>0</v>
      </c>
      <c r="N74" s="59">
        <v>0</v>
      </c>
      <c r="O74" s="59">
        <v>0</v>
      </c>
      <c r="P74" s="59">
        <v>0</v>
      </c>
      <c r="Q74" s="59">
        <v>0</v>
      </c>
      <c r="R74" s="59">
        <v>0</v>
      </c>
      <c r="S74" s="59">
        <v>0</v>
      </c>
      <c r="T74" s="59">
        <v>0</v>
      </c>
      <c r="U74" s="59">
        <v>0</v>
      </c>
      <c r="V74" s="59">
        <v>0</v>
      </c>
      <c r="W74" s="59">
        <v>0</v>
      </c>
      <c r="X74" s="59">
        <v>0</v>
      </c>
      <c r="Y74" s="59">
        <v>0</v>
      </c>
      <c r="Z74" s="59">
        <v>0</v>
      </c>
      <c r="AA74" s="59">
        <v>0</v>
      </c>
      <c r="AB74" s="59">
        <v>0</v>
      </c>
      <c r="AC74" s="59">
        <v>0</v>
      </c>
      <c r="AD74" s="59">
        <v>0</v>
      </c>
      <c r="AE74" s="59">
        <v>0</v>
      </c>
      <c r="AF74" s="95">
        <v>0</v>
      </c>
    </row>
    <row r="75" spans="2:32" s="59" customFormat="1">
      <c r="B75" s="66" t="str">
        <f t="shared" si="2"/>
        <v>UPSBGS</v>
      </c>
      <c r="C75" s="499" t="s">
        <v>744</v>
      </c>
      <c r="D75" s="500" t="s">
        <v>733</v>
      </c>
      <c r="E75" s="70">
        <v>0</v>
      </c>
      <c r="F75" s="59">
        <v>0</v>
      </c>
      <c r="G75" s="59">
        <v>0</v>
      </c>
      <c r="H75" s="59">
        <v>0</v>
      </c>
      <c r="I75" s="59">
        <v>0</v>
      </c>
      <c r="J75" s="59">
        <v>0</v>
      </c>
      <c r="K75" s="59">
        <v>0</v>
      </c>
      <c r="L75" s="59">
        <v>0</v>
      </c>
      <c r="M75" s="59">
        <v>0</v>
      </c>
      <c r="N75" s="59">
        <v>0</v>
      </c>
      <c r="O75" s="59">
        <v>0</v>
      </c>
      <c r="P75" s="59">
        <v>0</v>
      </c>
      <c r="Q75" s="59">
        <v>0</v>
      </c>
      <c r="R75" s="59">
        <v>0</v>
      </c>
      <c r="S75" s="59">
        <v>1</v>
      </c>
      <c r="T75" s="59">
        <v>0</v>
      </c>
      <c r="U75" s="59">
        <v>0.95075631616943845</v>
      </c>
      <c r="V75" s="59">
        <v>0</v>
      </c>
      <c r="W75" s="59">
        <v>0</v>
      </c>
      <c r="X75" s="59">
        <v>0</v>
      </c>
      <c r="Y75" s="59">
        <v>0</v>
      </c>
      <c r="Z75" s="59">
        <v>0</v>
      </c>
      <c r="AA75" s="59">
        <v>0</v>
      </c>
      <c r="AB75" s="59">
        <v>0</v>
      </c>
      <c r="AC75" s="59">
        <v>0</v>
      </c>
      <c r="AD75" s="59">
        <v>0</v>
      </c>
      <c r="AE75" s="59">
        <v>0</v>
      </c>
      <c r="AF75" s="95">
        <v>0</v>
      </c>
    </row>
    <row r="76" spans="2:32" s="59" customFormat="1">
      <c r="B76" s="66" t="str">
        <f t="shared" si="2"/>
        <v>UPSBGS</v>
      </c>
      <c r="C76" s="499" t="s">
        <v>745</v>
      </c>
      <c r="D76" s="500" t="s">
        <v>733</v>
      </c>
      <c r="E76" s="70">
        <v>0</v>
      </c>
      <c r="F76" s="59">
        <v>0</v>
      </c>
      <c r="G76" s="59">
        <v>0</v>
      </c>
      <c r="H76" s="59">
        <v>0</v>
      </c>
      <c r="I76" s="59">
        <v>0</v>
      </c>
      <c r="J76" s="59">
        <v>0</v>
      </c>
      <c r="K76" s="59">
        <v>0</v>
      </c>
      <c r="L76" s="59">
        <v>0</v>
      </c>
      <c r="M76" s="59">
        <v>0</v>
      </c>
      <c r="N76" s="59">
        <v>0</v>
      </c>
      <c r="O76" s="59">
        <v>0</v>
      </c>
      <c r="P76" s="59">
        <v>0</v>
      </c>
      <c r="Q76" s="59">
        <v>0</v>
      </c>
      <c r="R76" s="59">
        <v>0</v>
      </c>
      <c r="S76" s="59">
        <v>0</v>
      </c>
      <c r="T76" s="59">
        <v>0</v>
      </c>
      <c r="U76" s="59">
        <v>0</v>
      </c>
      <c r="V76" s="59">
        <v>0</v>
      </c>
      <c r="W76" s="59">
        <v>0</v>
      </c>
      <c r="X76" s="59">
        <v>0</v>
      </c>
      <c r="Y76" s="59">
        <v>0</v>
      </c>
      <c r="Z76" s="59">
        <v>0</v>
      </c>
      <c r="AA76" s="59">
        <v>0</v>
      </c>
      <c r="AB76" s="59">
        <v>0</v>
      </c>
      <c r="AC76" s="59">
        <v>0</v>
      </c>
      <c r="AD76" s="59">
        <v>0</v>
      </c>
      <c r="AE76" s="59">
        <v>0</v>
      </c>
      <c r="AF76" s="95">
        <v>0</v>
      </c>
    </row>
    <row r="77" spans="2:32" s="59" customFormat="1">
      <c r="B77" s="66" t="str">
        <f t="shared" si="2"/>
        <v>UPSBGS</v>
      </c>
      <c r="C77" s="499" t="s">
        <v>746</v>
      </c>
      <c r="D77" s="500" t="s">
        <v>733</v>
      </c>
      <c r="E77" s="70">
        <v>0</v>
      </c>
      <c r="F77" s="59">
        <v>0</v>
      </c>
      <c r="G77" s="59">
        <v>0</v>
      </c>
      <c r="H77" s="59">
        <v>0</v>
      </c>
      <c r="I77" s="59">
        <v>0</v>
      </c>
      <c r="J77" s="59">
        <v>0</v>
      </c>
      <c r="K77" s="59">
        <v>0</v>
      </c>
      <c r="L77" s="59">
        <v>0</v>
      </c>
      <c r="M77" s="59">
        <v>0</v>
      </c>
      <c r="N77" s="59">
        <v>0</v>
      </c>
      <c r="O77" s="59">
        <v>0</v>
      </c>
      <c r="P77" s="59">
        <v>0</v>
      </c>
      <c r="Q77" s="59">
        <v>0</v>
      </c>
      <c r="R77" s="59">
        <v>0</v>
      </c>
      <c r="S77" s="59">
        <v>0</v>
      </c>
      <c r="T77" s="59">
        <v>0</v>
      </c>
      <c r="U77" s="59">
        <v>0</v>
      </c>
      <c r="V77" s="59">
        <v>0</v>
      </c>
      <c r="W77" s="59">
        <v>0</v>
      </c>
      <c r="X77" s="59">
        <v>0</v>
      </c>
      <c r="Y77" s="59">
        <v>0</v>
      </c>
      <c r="Z77" s="59">
        <v>0</v>
      </c>
      <c r="AA77" s="59">
        <v>0</v>
      </c>
      <c r="AB77" s="59">
        <v>0</v>
      </c>
      <c r="AC77" s="59">
        <v>0</v>
      </c>
      <c r="AD77" s="59">
        <v>0</v>
      </c>
      <c r="AE77" s="59">
        <v>0</v>
      </c>
      <c r="AF77" s="95">
        <v>0</v>
      </c>
    </row>
    <row r="78" spans="2:32" s="59" customFormat="1">
      <c r="B78" s="269" t="str">
        <f t="shared" si="2"/>
        <v>UPSBGS</v>
      </c>
      <c r="C78" s="503" t="s">
        <v>747</v>
      </c>
      <c r="D78" s="504" t="s">
        <v>733</v>
      </c>
      <c r="E78" s="271">
        <v>0</v>
      </c>
      <c r="F78" s="80">
        <v>0</v>
      </c>
      <c r="G78" s="80">
        <v>0</v>
      </c>
      <c r="H78" s="80">
        <v>0</v>
      </c>
      <c r="I78" s="80">
        <v>0</v>
      </c>
      <c r="J78" s="80">
        <v>0</v>
      </c>
      <c r="K78" s="80">
        <v>0</v>
      </c>
      <c r="L78" s="80">
        <v>0</v>
      </c>
      <c r="M78" s="80">
        <v>0</v>
      </c>
      <c r="N78" s="80">
        <v>0</v>
      </c>
      <c r="O78" s="80">
        <v>0</v>
      </c>
      <c r="P78" s="80">
        <v>0</v>
      </c>
      <c r="Q78" s="80">
        <v>0</v>
      </c>
      <c r="R78" s="80">
        <v>0</v>
      </c>
      <c r="S78" s="80">
        <v>0</v>
      </c>
      <c r="T78" s="80">
        <v>0</v>
      </c>
      <c r="U78" s="80">
        <v>0</v>
      </c>
      <c r="V78" s="80">
        <v>0</v>
      </c>
      <c r="W78" s="80">
        <v>0</v>
      </c>
      <c r="X78" s="80">
        <v>0</v>
      </c>
      <c r="Y78" s="80">
        <v>0</v>
      </c>
      <c r="Z78" s="80">
        <v>0</v>
      </c>
      <c r="AA78" s="80">
        <v>0</v>
      </c>
      <c r="AB78" s="80">
        <v>0</v>
      </c>
      <c r="AC78" s="80">
        <v>0</v>
      </c>
      <c r="AD78" s="80">
        <v>0</v>
      </c>
      <c r="AE78" s="80">
        <v>0</v>
      </c>
      <c r="AF78" s="97">
        <v>0</v>
      </c>
    </row>
    <row r="79" spans="2:32" s="59" customFormat="1">
      <c r="B79" s="66" t="s">
        <v>525</v>
      </c>
      <c r="C79" s="499"/>
      <c r="D79" s="500"/>
      <c r="E79" s="70"/>
      <c r="AF79" s="95"/>
    </row>
    <row r="80" spans="2:32" s="59" customFormat="1">
      <c r="B80" s="66" t="str">
        <f>B79</f>
        <v>UPSBIO</v>
      </c>
      <c r="C80" s="499" t="s">
        <v>732</v>
      </c>
      <c r="D80" s="500" t="s">
        <v>733</v>
      </c>
      <c r="E80" s="70">
        <v>0</v>
      </c>
      <c r="F80" s="59">
        <v>0</v>
      </c>
      <c r="G80" s="59">
        <v>0</v>
      </c>
      <c r="H80" s="59">
        <v>0</v>
      </c>
      <c r="I80" s="59">
        <v>0</v>
      </c>
      <c r="J80" s="59">
        <v>0</v>
      </c>
      <c r="K80" s="59">
        <v>0</v>
      </c>
      <c r="L80" s="59">
        <v>0</v>
      </c>
      <c r="M80" s="59">
        <v>0</v>
      </c>
      <c r="N80" s="59">
        <v>0</v>
      </c>
      <c r="O80" s="59">
        <v>0</v>
      </c>
      <c r="P80" s="59">
        <v>0</v>
      </c>
      <c r="Q80" s="59">
        <v>0</v>
      </c>
      <c r="R80" s="59">
        <v>0</v>
      </c>
      <c r="S80" s="59">
        <v>0</v>
      </c>
      <c r="T80" s="59">
        <v>0</v>
      </c>
      <c r="U80" s="59">
        <v>0</v>
      </c>
      <c r="V80" s="59">
        <v>0</v>
      </c>
      <c r="W80" s="59">
        <v>0</v>
      </c>
      <c r="X80" s="59">
        <v>0</v>
      </c>
      <c r="Y80" s="59">
        <v>0</v>
      </c>
      <c r="Z80" s="59">
        <v>0</v>
      </c>
      <c r="AA80" s="59">
        <v>0</v>
      </c>
      <c r="AB80" s="59">
        <v>0</v>
      </c>
      <c r="AC80" s="59">
        <v>0</v>
      </c>
      <c r="AD80" s="59">
        <v>0</v>
      </c>
      <c r="AE80" s="59">
        <v>0</v>
      </c>
      <c r="AF80" s="95">
        <v>0</v>
      </c>
    </row>
    <row r="81" spans="2:32" s="59" customFormat="1">
      <c r="B81" s="66" t="str">
        <f t="shared" ref="B81:B94" si="3">B80</f>
        <v>UPSBIO</v>
      </c>
      <c r="C81" s="499" t="s">
        <v>734</v>
      </c>
      <c r="D81" s="500" t="s">
        <v>733</v>
      </c>
      <c r="E81" s="70">
        <v>0</v>
      </c>
      <c r="F81" s="59">
        <v>0</v>
      </c>
      <c r="G81" s="59">
        <v>0</v>
      </c>
      <c r="H81" s="59">
        <v>0</v>
      </c>
      <c r="I81" s="59">
        <v>0</v>
      </c>
      <c r="J81" s="59">
        <v>0</v>
      </c>
      <c r="K81" s="59">
        <v>0</v>
      </c>
      <c r="L81" s="59">
        <v>0</v>
      </c>
      <c r="M81" s="59">
        <v>0</v>
      </c>
      <c r="N81" s="59">
        <v>0</v>
      </c>
      <c r="O81" s="59">
        <v>0</v>
      </c>
      <c r="P81" s="59">
        <v>0</v>
      </c>
      <c r="Q81" s="59">
        <v>0</v>
      </c>
      <c r="R81" s="59">
        <v>0</v>
      </c>
      <c r="S81" s="59">
        <v>4.5472681564349846E-2</v>
      </c>
      <c r="T81" s="59">
        <v>0</v>
      </c>
      <c r="U81" s="59">
        <v>0.1878612722485925</v>
      </c>
      <c r="V81" s="59">
        <v>0</v>
      </c>
      <c r="W81" s="59">
        <v>0</v>
      </c>
      <c r="X81" s="59">
        <v>0</v>
      </c>
      <c r="Y81" s="59">
        <v>0</v>
      </c>
      <c r="Z81" s="59">
        <v>0</v>
      </c>
      <c r="AA81" s="59">
        <v>0</v>
      </c>
      <c r="AB81" s="59">
        <v>0</v>
      </c>
      <c r="AC81" s="59">
        <v>0</v>
      </c>
      <c r="AD81" s="59">
        <v>0</v>
      </c>
      <c r="AE81" s="59">
        <v>0</v>
      </c>
      <c r="AF81" s="95">
        <v>0</v>
      </c>
    </row>
    <row r="82" spans="2:32" s="59" customFormat="1">
      <c r="B82" s="66" t="str">
        <f t="shared" si="3"/>
        <v>UPSBIO</v>
      </c>
      <c r="C82" s="499" t="s">
        <v>735</v>
      </c>
      <c r="D82" s="500" t="s">
        <v>733</v>
      </c>
      <c r="E82" s="70">
        <v>0</v>
      </c>
      <c r="F82" s="59">
        <v>0</v>
      </c>
      <c r="G82" s="59">
        <v>0</v>
      </c>
      <c r="H82" s="59">
        <v>1</v>
      </c>
      <c r="I82" s="59">
        <v>0</v>
      </c>
      <c r="J82" s="59">
        <v>0</v>
      </c>
      <c r="K82" s="59">
        <v>0</v>
      </c>
      <c r="L82" s="59">
        <v>0</v>
      </c>
      <c r="M82" s="59">
        <v>1</v>
      </c>
      <c r="N82" s="59">
        <v>0</v>
      </c>
      <c r="O82" s="59">
        <v>0</v>
      </c>
      <c r="P82" s="59">
        <v>1</v>
      </c>
      <c r="Q82" s="59">
        <v>1</v>
      </c>
      <c r="R82" s="59">
        <v>0</v>
      </c>
      <c r="S82" s="59">
        <v>0.9545273184356502</v>
      </c>
      <c r="T82" s="59">
        <v>0</v>
      </c>
      <c r="U82" s="59">
        <v>0.47254335200978775</v>
      </c>
      <c r="V82" s="59">
        <v>0</v>
      </c>
      <c r="W82" s="59">
        <v>0</v>
      </c>
      <c r="X82" s="59">
        <v>0</v>
      </c>
      <c r="Y82" s="59">
        <v>1</v>
      </c>
      <c r="Z82" s="59">
        <v>0</v>
      </c>
      <c r="AA82" s="59">
        <v>0</v>
      </c>
      <c r="AB82" s="59">
        <v>0</v>
      </c>
      <c r="AC82" s="59">
        <v>0</v>
      </c>
      <c r="AD82" s="59">
        <v>0</v>
      </c>
      <c r="AE82" s="59">
        <v>0</v>
      </c>
      <c r="AF82" s="95">
        <v>0</v>
      </c>
    </row>
    <row r="83" spans="2:32" s="59" customFormat="1">
      <c r="B83" s="66" t="str">
        <f t="shared" si="3"/>
        <v>UPSBIO</v>
      </c>
      <c r="C83" s="499" t="s">
        <v>736</v>
      </c>
      <c r="D83" s="500" t="s">
        <v>733</v>
      </c>
      <c r="E83" s="70">
        <v>0</v>
      </c>
      <c r="F83" s="59">
        <v>0</v>
      </c>
      <c r="G83" s="59">
        <v>0</v>
      </c>
      <c r="H83" s="59">
        <v>0</v>
      </c>
      <c r="I83" s="59">
        <v>0</v>
      </c>
      <c r="J83" s="59">
        <v>0</v>
      </c>
      <c r="K83" s="59">
        <v>0</v>
      </c>
      <c r="L83" s="59">
        <v>0</v>
      </c>
      <c r="M83" s="59">
        <v>0</v>
      </c>
      <c r="N83" s="59">
        <v>0</v>
      </c>
      <c r="O83" s="59">
        <v>0</v>
      </c>
      <c r="P83" s="59">
        <v>0</v>
      </c>
      <c r="Q83" s="59">
        <v>0</v>
      </c>
      <c r="R83" s="59">
        <v>0</v>
      </c>
      <c r="S83" s="59">
        <v>0</v>
      </c>
      <c r="T83" s="59">
        <v>0</v>
      </c>
      <c r="U83" s="59">
        <v>0</v>
      </c>
      <c r="V83" s="59">
        <v>0</v>
      </c>
      <c r="W83" s="59">
        <v>0</v>
      </c>
      <c r="X83" s="59">
        <v>0</v>
      </c>
      <c r="Y83" s="59">
        <v>0</v>
      </c>
      <c r="Z83" s="59">
        <v>0</v>
      </c>
      <c r="AA83" s="59">
        <v>0</v>
      </c>
      <c r="AB83" s="59">
        <v>0</v>
      </c>
      <c r="AC83" s="59">
        <v>0</v>
      </c>
      <c r="AD83" s="59">
        <v>0</v>
      </c>
      <c r="AE83" s="59">
        <v>0</v>
      </c>
      <c r="AF83" s="95">
        <v>0</v>
      </c>
    </row>
    <row r="84" spans="2:32" s="59" customFormat="1">
      <c r="B84" s="66" t="str">
        <f t="shared" si="3"/>
        <v>UPSBIO</v>
      </c>
      <c r="C84" s="499" t="s">
        <v>737</v>
      </c>
      <c r="D84" s="500" t="s">
        <v>733</v>
      </c>
      <c r="E84" s="70">
        <v>0</v>
      </c>
      <c r="F84" s="59">
        <v>0</v>
      </c>
      <c r="G84" s="59">
        <v>0</v>
      </c>
      <c r="H84" s="59">
        <v>0</v>
      </c>
      <c r="I84" s="59">
        <v>0</v>
      </c>
      <c r="J84" s="59">
        <v>0</v>
      </c>
      <c r="K84" s="59">
        <v>0</v>
      </c>
      <c r="L84" s="59">
        <v>0</v>
      </c>
      <c r="M84" s="59">
        <v>0</v>
      </c>
      <c r="N84" s="59">
        <v>0</v>
      </c>
      <c r="O84" s="59">
        <v>0</v>
      </c>
      <c r="P84" s="59">
        <v>0</v>
      </c>
      <c r="Q84" s="59">
        <v>0</v>
      </c>
      <c r="R84" s="59">
        <v>0</v>
      </c>
      <c r="S84" s="59">
        <v>0</v>
      </c>
      <c r="T84" s="59">
        <v>0</v>
      </c>
      <c r="U84" s="59">
        <v>0</v>
      </c>
      <c r="V84" s="59">
        <v>0</v>
      </c>
      <c r="W84" s="59">
        <v>0</v>
      </c>
      <c r="X84" s="59">
        <v>0</v>
      </c>
      <c r="Y84" s="59">
        <v>0</v>
      </c>
      <c r="Z84" s="59">
        <v>0</v>
      </c>
      <c r="AA84" s="59">
        <v>0</v>
      </c>
      <c r="AB84" s="59">
        <v>0</v>
      </c>
      <c r="AC84" s="59">
        <v>0</v>
      </c>
      <c r="AD84" s="59">
        <v>0</v>
      </c>
      <c r="AE84" s="59">
        <v>0</v>
      </c>
      <c r="AF84" s="95">
        <v>0</v>
      </c>
    </row>
    <row r="85" spans="2:32" s="59" customFormat="1">
      <c r="B85" s="66" t="str">
        <f t="shared" si="3"/>
        <v>UPSBIO</v>
      </c>
      <c r="C85" s="499" t="s">
        <v>738</v>
      </c>
      <c r="D85" s="500" t="s">
        <v>733</v>
      </c>
      <c r="E85" s="70">
        <v>0</v>
      </c>
      <c r="F85" s="59">
        <v>0</v>
      </c>
      <c r="G85" s="59">
        <v>0</v>
      </c>
      <c r="H85" s="59">
        <v>0</v>
      </c>
      <c r="I85" s="59">
        <v>0</v>
      </c>
      <c r="J85" s="59">
        <v>0</v>
      </c>
      <c r="K85" s="59">
        <v>0</v>
      </c>
      <c r="L85" s="59">
        <v>0</v>
      </c>
      <c r="M85" s="59">
        <v>0</v>
      </c>
      <c r="N85" s="59">
        <v>0</v>
      </c>
      <c r="O85" s="59">
        <v>0</v>
      </c>
      <c r="P85" s="59">
        <v>0</v>
      </c>
      <c r="Q85" s="59">
        <v>0</v>
      </c>
      <c r="R85" s="59">
        <v>0</v>
      </c>
      <c r="S85" s="59">
        <v>0</v>
      </c>
      <c r="T85" s="59">
        <v>0</v>
      </c>
      <c r="U85" s="59">
        <v>0</v>
      </c>
      <c r="V85" s="59">
        <v>0</v>
      </c>
      <c r="W85" s="59">
        <v>0</v>
      </c>
      <c r="X85" s="59">
        <v>0</v>
      </c>
      <c r="Y85" s="59">
        <v>0</v>
      </c>
      <c r="Z85" s="59">
        <v>0</v>
      </c>
      <c r="AA85" s="59">
        <v>0</v>
      </c>
      <c r="AB85" s="59">
        <v>0</v>
      </c>
      <c r="AC85" s="59">
        <v>0</v>
      </c>
      <c r="AD85" s="59">
        <v>0</v>
      </c>
      <c r="AE85" s="59">
        <v>0</v>
      </c>
      <c r="AF85" s="95">
        <v>0</v>
      </c>
    </row>
    <row r="86" spans="2:32" s="59" customFormat="1">
      <c r="B86" s="66" t="str">
        <f t="shared" si="3"/>
        <v>UPSBIO</v>
      </c>
      <c r="C86" s="499" t="s">
        <v>739</v>
      </c>
      <c r="D86" s="500" t="s">
        <v>733</v>
      </c>
      <c r="E86" s="70">
        <v>0</v>
      </c>
      <c r="F86" s="59">
        <v>0</v>
      </c>
      <c r="G86" s="59">
        <v>0</v>
      </c>
      <c r="H86" s="59">
        <v>0</v>
      </c>
      <c r="I86" s="59">
        <v>0</v>
      </c>
      <c r="J86" s="59">
        <v>0</v>
      </c>
      <c r="K86" s="59">
        <v>0</v>
      </c>
      <c r="L86" s="59">
        <v>0</v>
      </c>
      <c r="M86" s="59">
        <v>0</v>
      </c>
      <c r="N86" s="59">
        <v>0</v>
      </c>
      <c r="O86" s="59">
        <v>0</v>
      </c>
      <c r="P86" s="59">
        <v>0</v>
      </c>
      <c r="Q86" s="59">
        <v>0</v>
      </c>
      <c r="R86" s="59">
        <v>0</v>
      </c>
      <c r="S86" s="59">
        <v>0</v>
      </c>
      <c r="T86" s="59">
        <v>0</v>
      </c>
      <c r="U86" s="59">
        <v>0</v>
      </c>
      <c r="V86" s="59">
        <v>0</v>
      </c>
      <c r="W86" s="59">
        <v>0</v>
      </c>
      <c r="X86" s="59">
        <v>0</v>
      </c>
      <c r="Y86" s="59">
        <v>0</v>
      </c>
      <c r="Z86" s="59">
        <v>0</v>
      </c>
      <c r="AA86" s="59">
        <v>0</v>
      </c>
      <c r="AB86" s="59">
        <v>0</v>
      </c>
      <c r="AC86" s="59">
        <v>0</v>
      </c>
      <c r="AD86" s="59">
        <v>0</v>
      </c>
      <c r="AE86" s="59">
        <v>0</v>
      </c>
      <c r="AF86" s="95">
        <v>0</v>
      </c>
    </row>
    <row r="87" spans="2:32" s="59" customFormat="1">
      <c r="B87" s="66" t="str">
        <f t="shared" si="3"/>
        <v>UPSBIO</v>
      </c>
      <c r="C87" s="499" t="s">
        <v>740</v>
      </c>
      <c r="D87" s="500" t="s">
        <v>733</v>
      </c>
      <c r="E87" s="70">
        <v>0</v>
      </c>
      <c r="F87" s="59">
        <v>0</v>
      </c>
      <c r="G87" s="59">
        <v>0</v>
      </c>
      <c r="H87" s="59">
        <v>0</v>
      </c>
      <c r="I87" s="59">
        <v>0</v>
      </c>
      <c r="J87" s="59">
        <v>0</v>
      </c>
      <c r="K87" s="59">
        <v>0</v>
      </c>
      <c r="L87" s="59">
        <v>0</v>
      </c>
      <c r="M87" s="59">
        <v>0</v>
      </c>
      <c r="N87" s="59">
        <v>0</v>
      </c>
      <c r="O87" s="59">
        <v>0</v>
      </c>
      <c r="P87" s="59">
        <v>0</v>
      </c>
      <c r="Q87" s="59">
        <v>0</v>
      </c>
      <c r="R87" s="59">
        <v>0</v>
      </c>
      <c r="S87" s="59">
        <v>0</v>
      </c>
      <c r="T87" s="59">
        <v>0</v>
      </c>
      <c r="U87" s="59">
        <v>0</v>
      </c>
      <c r="V87" s="59">
        <v>0</v>
      </c>
      <c r="W87" s="59">
        <v>0</v>
      </c>
      <c r="X87" s="59">
        <v>0</v>
      </c>
      <c r="Y87" s="59">
        <v>0</v>
      </c>
      <c r="Z87" s="59">
        <v>0</v>
      </c>
      <c r="AA87" s="59">
        <v>0</v>
      </c>
      <c r="AB87" s="59">
        <v>0</v>
      </c>
      <c r="AC87" s="59">
        <v>0</v>
      </c>
      <c r="AD87" s="59">
        <v>0</v>
      </c>
      <c r="AE87" s="59">
        <v>0</v>
      </c>
      <c r="AF87" s="95">
        <v>0</v>
      </c>
    </row>
    <row r="88" spans="2:32" s="59" customFormat="1">
      <c r="B88" s="66" t="str">
        <f t="shared" si="3"/>
        <v>UPSBIO</v>
      </c>
      <c r="C88" s="499" t="s">
        <v>741</v>
      </c>
      <c r="D88" s="500" t="s">
        <v>733</v>
      </c>
      <c r="E88" s="70">
        <v>0</v>
      </c>
      <c r="F88" s="59">
        <v>0</v>
      </c>
      <c r="G88" s="59">
        <v>0</v>
      </c>
      <c r="H88" s="59">
        <v>0</v>
      </c>
      <c r="I88" s="59">
        <v>0</v>
      </c>
      <c r="J88" s="59">
        <v>0</v>
      </c>
      <c r="K88" s="59">
        <v>0</v>
      </c>
      <c r="L88" s="59">
        <v>0</v>
      </c>
      <c r="M88" s="59">
        <v>0</v>
      </c>
      <c r="N88" s="59">
        <v>0</v>
      </c>
      <c r="O88" s="59">
        <v>0</v>
      </c>
      <c r="P88" s="59">
        <v>0</v>
      </c>
      <c r="Q88" s="59">
        <v>0</v>
      </c>
      <c r="R88" s="59">
        <v>0</v>
      </c>
      <c r="S88" s="59">
        <v>0</v>
      </c>
      <c r="T88" s="59">
        <v>0</v>
      </c>
      <c r="U88" s="59">
        <v>0</v>
      </c>
      <c r="V88" s="59">
        <v>0</v>
      </c>
      <c r="W88" s="59">
        <v>0</v>
      </c>
      <c r="X88" s="59">
        <v>0</v>
      </c>
      <c r="Y88" s="59">
        <v>0</v>
      </c>
      <c r="Z88" s="59">
        <v>0</v>
      </c>
      <c r="AA88" s="59">
        <v>0</v>
      </c>
      <c r="AB88" s="59">
        <v>0</v>
      </c>
      <c r="AC88" s="59">
        <v>0</v>
      </c>
      <c r="AD88" s="59">
        <v>0</v>
      </c>
      <c r="AE88" s="59">
        <v>0</v>
      </c>
      <c r="AF88" s="95">
        <v>0</v>
      </c>
    </row>
    <row r="89" spans="2:32" s="59" customFormat="1">
      <c r="B89" s="66" t="str">
        <f t="shared" si="3"/>
        <v>UPSBIO</v>
      </c>
      <c r="C89" s="499" t="s">
        <v>742</v>
      </c>
      <c r="D89" s="500" t="s">
        <v>733</v>
      </c>
      <c r="E89" s="70">
        <v>0</v>
      </c>
      <c r="F89" s="59">
        <v>0</v>
      </c>
      <c r="G89" s="59">
        <v>0</v>
      </c>
      <c r="H89" s="59">
        <v>0</v>
      </c>
      <c r="I89" s="59">
        <v>0</v>
      </c>
      <c r="J89" s="59">
        <v>0</v>
      </c>
      <c r="K89" s="59">
        <v>0</v>
      </c>
      <c r="L89" s="59">
        <v>0</v>
      </c>
      <c r="M89" s="59">
        <v>0</v>
      </c>
      <c r="N89" s="59">
        <v>0</v>
      </c>
      <c r="O89" s="59">
        <v>0</v>
      </c>
      <c r="P89" s="59">
        <v>0</v>
      </c>
      <c r="Q89" s="59">
        <v>0</v>
      </c>
      <c r="R89" s="59">
        <v>0</v>
      </c>
      <c r="S89" s="59">
        <v>0</v>
      </c>
      <c r="T89" s="59">
        <v>0</v>
      </c>
      <c r="U89" s="59">
        <v>0</v>
      </c>
      <c r="V89" s="59">
        <v>0</v>
      </c>
      <c r="W89" s="59">
        <v>0</v>
      </c>
      <c r="X89" s="59">
        <v>0</v>
      </c>
      <c r="Y89" s="59">
        <v>0</v>
      </c>
      <c r="Z89" s="59">
        <v>0</v>
      </c>
      <c r="AA89" s="59">
        <v>0</v>
      </c>
      <c r="AB89" s="59">
        <v>0</v>
      </c>
      <c r="AC89" s="59">
        <v>0</v>
      </c>
      <c r="AD89" s="59">
        <v>0</v>
      </c>
      <c r="AE89" s="59">
        <v>0</v>
      </c>
      <c r="AF89" s="95">
        <v>0</v>
      </c>
    </row>
    <row r="90" spans="2:32" s="59" customFormat="1">
      <c r="B90" s="66" t="str">
        <f t="shared" si="3"/>
        <v>UPSBIO</v>
      </c>
      <c r="C90" s="499" t="s">
        <v>743</v>
      </c>
      <c r="D90" s="500" t="s">
        <v>733</v>
      </c>
      <c r="E90" s="70">
        <v>0</v>
      </c>
      <c r="F90" s="59">
        <v>0</v>
      </c>
      <c r="G90" s="59">
        <v>0</v>
      </c>
      <c r="H90" s="59">
        <v>0</v>
      </c>
      <c r="I90" s="59">
        <v>0</v>
      </c>
      <c r="J90" s="59">
        <v>0</v>
      </c>
      <c r="K90" s="59">
        <v>0</v>
      </c>
      <c r="L90" s="59">
        <v>0</v>
      </c>
      <c r="M90" s="59">
        <v>0</v>
      </c>
      <c r="N90" s="59">
        <v>0</v>
      </c>
      <c r="O90" s="59">
        <v>0</v>
      </c>
      <c r="P90" s="59">
        <v>0</v>
      </c>
      <c r="Q90" s="59">
        <v>0</v>
      </c>
      <c r="R90" s="59">
        <v>0</v>
      </c>
      <c r="S90" s="59">
        <v>0</v>
      </c>
      <c r="T90" s="59">
        <v>0</v>
      </c>
      <c r="U90" s="59">
        <v>0.33959537574161969</v>
      </c>
      <c r="V90" s="59">
        <v>0</v>
      </c>
      <c r="W90" s="59">
        <v>0</v>
      </c>
      <c r="X90" s="59">
        <v>0</v>
      </c>
      <c r="Y90" s="59">
        <v>0</v>
      </c>
      <c r="Z90" s="59">
        <v>0</v>
      </c>
      <c r="AA90" s="59">
        <v>0</v>
      </c>
      <c r="AB90" s="59">
        <v>0</v>
      </c>
      <c r="AC90" s="59">
        <v>0</v>
      </c>
      <c r="AD90" s="59">
        <v>0</v>
      </c>
      <c r="AE90" s="59">
        <v>0</v>
      </c>
      <c r="AF90" s="95">
        <v>0</v>
      </c>
    </row>
    <row r="91" spans="2:32" s="59" customFormat="1">
      <c r="B91" s="66" t="str">
        <f t="shared" si="3"/>
        <v>UPSBIO</v>
      </c>
      <c r="C91" s="499" t="s">
        <v>744</v>
      </c>
      <c r="D91" s="500" t="s">
        <v>733</v>
      </c>
      <c r="E91" s="70">
        <v>0</v>
      </c>
      <c r="F91" s="59">
        <v>0</v>
      </c>
      <c r="G91" s="59">
        <v>0</v>
      </c>
      <c r="H91" s="59">
        <v>0</v>
      </c>
      <c r="I91" s="59">
        <v>0</v>
      </c>
      <c r="J91" s="59">
        <v>0</v>
      </c>
      <c r="K91" s="59">
        <v>0</v>
      </c>
      <c r="L91" s="59">
        <v>0</v>
      </c>
      <c r="M91" s="59">
        <v>0</v>
      </c>
      <c r="N91" s="59">
        <v>0</v>
      </c>
      <c r="O91" s="59">
        <v>0</v>
      </c>
      <c r="P91" s="59">
        <v>0</v>
      </c>
      <c r="Q91" s="59">
        <v>0</v>
      </c>
      <c r="R91" s="59">
        <v>0</v>
      </c>
      <c r="S91" s="59">
        <v>0</v>
      </c>
      <c r="T91" s="59">
        <v>0</v>
      </c>
      <c r="U91" s="59">
        <v>0</v>
      </c>
      <c r="V91" s="59">
        <v>0</v>
      </c>
      <c r="W91" s="59">
        <v>0</v>
      </c>
      <c r="X91" s="59">
        <v>0</v>
      </c>
      <c r="Y91" s="59">
        <v>0</v>
      </c>
      <c r="Z91" s="59">
        <v>0</v>
      </c>
      <c r="AA91" s="59">
        <v>0</v>
      </c>
      <c r="AB91" s="59">
        <v>0</v>
      </c>
      <c r="AC91" s="59">
        <v>0</v>
      </c>
      <c r="AD91" s="59">
        <v>0</v>
      </c>
      <c r="AE91" s="59">
        <v>0</v>
      </c>
      <c r="AF91" s="95">
        <v>0</v>
      </c>
    </row>
    <row r="92" spans="2:32" s="59" customFormat="1">
      <c r="B92" s="66" t="str">
        <f t="shared" si="3"/>
        <v>UPSBIO</v>
      </c>
      <c r="C92" s="499" t="s">
        <v>745</v>
      </c>
      <c r="D92" s="500" t="s">
        <v>733</v>
      </c>
      <c r="E92" s="70">
        <v>0</v>
      </c>
      <c r="F92" s="59">
        <v>0</v>
      </c>
      <c r="G92" s="59">
        <v>0</v>
      </c>
      <c r="H92" s="59">
        <v>0</v>
      </c>
      <c r="I92" s="59">
        <v>0</v>
      </c>
      <c r="J92" s="59">
        <v>0</v>
      </c>
      <c r="K92" s="59">
        <v>0</v>
      </c>
      <c r="L92" s="59">
        <v>0</v>
      </c>
      <c r="M92" s="59">
        <v>0</v>
      </c>
      <c r="N92" s="59">
        <v>0</v>
      </c>
      <c r="O92" s="59">
        <v>0</v>
      </c>
      <c r="P92" s="59">
        <v>0</v>
      </c>
      <c r="Q92" s="59">
        <v>0</v>
      </c>
      <c r="R92" s="59">
        <v>0</v>
      </c>
      <c r="S92" s="59">
        <v>0</v>
      </c>
      <c r="T92" s="59">
        <v>0</v>
      </c>
      <c r="U92" s="59">
        <v>0</v>
      </c>
      <c r="V92" s="59">
        <v>0</v>
      </c>
      <c r="W92" s="59">
        <v>0</v>
      </c>
      <c r="X92" s="59">
        <v>0</v>
      </c>
      <c r="Y92" s="59">
        <v>0</v>
      </c>
      <c r="Z92" s="59">
        <v>0</v>
      </c>
      <c r="AA92" s="59">
        <v>0</v>
      </c>
      <c r="AB92" s="59">
        <v>0</v>
      </c>
      <c r="AC92" s="59">
        <v>0</v>
      </c>
      <c r="AD92" s="59">
        <v>0</v>
      </c>
      <c r="AE92" s="59">
        <v>0</v>
      </c>
      <c r="AF92" s="95">
        <v>0</v>
      </c>
    </row>
    <row r="93" spans="2:32" s="59" customFormat="1">
      <c r="B93" s="66" t="str">
        <f t="shared" si="3"/>
        <v>UPSBIO</v>
      </c>
      <c r="C93" s="499" t="s">
        <v>746</v>
      </c>
      <c r="D93" s="500" t="s">
        <v>733</v>
      </c>
      <c r="E93" s="70">
        <v>0</v>
      </c>
      <c r="F93" s="59">
        <v>0</v>
      </c>
      <c r="G93" s="59">
        <v>0</v>
      </c>
      <c r="H93" s="59">
        <v>0</v>
      </c>
      <c r="I93" s="59">
        <v>0</v>
      </c>
      <c r="J93" s="59">
        <v>0</v>
      </c>
      <c r="K93" s="59">
        <v>0</v>
      </c>
      <c r="L93" s="59">
        <v>0</v>
      </c>
      <c r="M93" s="59">
        <v>0</v>
      </c>
      <c r="N93" s="59">
        <v>0</v>
      </c>
      <c r="O93" s="59">
        <v>0</v>
      </c>
      <c r="P93" s="59">
        <v>0</v>
      </c>
      <c r="Q93" s="59">
        <v>0</v>
      </c>
      <c r="R93" s="59">
        <v>0</v>
      </c>
      <c r="S93" s="59">
        <v>0</v>
      </c>
      <c r="T93" s="59">
        <v>0</v>
      </c>
      <c r="U93" s="59">
        <v>0</v>
      </c>
      <c r="V93" s="59">
        <v>0</v>
      </c>
      <c r="W93" s="59">
        <v>0</v>
      </c>
      <c r="X93" s="59">
        <v>0</v>
      </c>
      <c r="Y93" s="59">
        <v>0</v>
      </c>
      <c r="Z93" s="59">
        <v>0</v>
      </c>
      <c r="AA93" s="59">
        <v>0</v>
      </c>
      <c r="AB93" s="59">
        <v>0</v>
      </c>
      <c r="AC93" s="59">
        <v>0</v>
      </c>
      <c r="AD93" s="59">
        <v>0</v>
      </c>
      <c r="AE93" s="59">
        <v>0</v>
      </c>
      <c r="AF93" s="95">
        <v>0</v>
      </c>
    </row>
    <row r="94" spans="2:32" s="59" customFormat="1">
      <c r="B94" s="269" t="str">
        <f t="shared" si="3"/>
        <v>UPSBIO</v>
      </c>
      <c r="C94" s="503" t="s">
        <v>747</v>
      </c>
      <c r="D94" s="504" t="s">
        <v>733</v>
      </c>
      <c r="E94" s="271">
        <v>1</v>
      </c>
      <c r="F94" s="80">
        <v>0</v>
      </c>
      <c r="G94" s="80">
        <v>0</v>
      </c>
      <c r="H94" s="80">
        <v>0</v>
      </c>
      <c r="I94" s="80">
        <v>0</v>
      </c>
      <c r="J94" s="80">
        <v>0</v>
      </c>
      <c r="K94" s="80">
        <v>0</v>
      </c>
      <c r="L94" s="80">
        <v>0</v>
      </c>
      <c r="M94" s="80">
        <v>0</v>
      </c>
      <c r="N94" s="80">
        <v>0</v>
      </c>
      <c r="O94" s="80">
        <v>0</v>
      </c>
      <c r="P94" s="80">
        <v>0</v>
      </c>
      <c r="Q94" s="80">
        <v>0</v>
      </c>
      <c r="R94" s="80">
        <v>0</v>
      </c>
      <c r="S94" s="80">
        <v>0</v>
      </c>
      <c r="T94" s="80">
        <v>0</v>
      </c>
      <c r="U94" s="80">
        <v>0</v>
      </c>
      <c r="V94" s="80">
        <v>0</v>
      </c>
      <c r="W94" s="80">
        <v>0</v>
      </c>
      <c r="X94" s="80">
        <v>0</v>
      </c>
      <c r="Y94" s="80">
        <v>0</v>
      </c>
      <c r="Z94" s="80">
        <v>0</v>
      </c>
      <c r="AA94" s="80">
        <v>0</v>
      </c>
      <c r="AB94" s="80">
        <v>0</v>
      </c>
      <c r="AC94" s="80">
        <v>0</v>
      </c>
      <c r="AD94" s="80">
        <v>0</v>
      </c>
      <c r="AE94" s="80">
        <v>0</v>
      </c>
      <c r="AF94" s="97">
        <v>0</v>
      </c>
    </row>
    <row r="95" spans="2:32" s="59" customFormat="1">
      <c r="B95" s="66" t="s">
        <v>527</v>
      </c>
      <c r="C95" s="499"/>
      <c r="D95" s="500"/>
      <c r="E95" s="70"/>
      <c r="AF95" s="95"/>
    </row>
    <row r="96" spans="2:32" s="59" customFormat="1">
      <c r="B96" s="66" t="str">
        <f>B95</f>
        <v>UPSCOA</v>
      </c>
      <c r="C96" s="499" t="s">
        <v>732</v>
      </c>
      <c r="D96" s="500" t="s">
        <v>733</v>
      </c>
      <c r="E96" s="70">
        <v>0</v>
      </c>
      <c r="F96" s="59">
        <v>0</v>
      </c>
      <c r="G96" s="59">
        <v>0</v>
      </c>
      <c r="H96" s="59">
        <v>0</v>
      </c>
      <c r="I96" s="59">
        <v>0</v>
      </c>
      <c r="J96" s="59">
        <v>0</v>
      </c>
      <c r="K96" s="59">
        <v>0</v>
      </c>
      <c r="L96" s="59">
        <v>0</v>
      </c>
      <c r="M96" s="59">
        <v>0</v>
      </c>
      <c r="N96" s="59">
        <v>0</v>
      </c>
      <c r="O96" s="59">
        <v>0</v>
      </c>
      <c r="P96" s="59">
        <v>0</v>
      </c>
      <c r="Q96" s="59">
        <v>0</v>
      </c>
      <c r="R96" s="59">
        <v>0</v>
      </c>
      <c r="S96" s="59">
        <v>0</v>
      </c>
      <c r="T96" s="59">
        <v>0</v>
      </c>
      <c r="U96" s="59">
        <v>0</v>
      </c>
      <c r="V96" s="59">
        <v>0</v>
      </c>
      <c r="W96" s="59">
        <v>0</v>
      </c>
      <c r="X96" s="59">
        <v>0</v>
      </c>
      <c r="Y96" s="59">
        <v>0</v>
      </c>
      <c r="Z96" s="59">
        <v>0</v>
      </c>
      <c r="AA96" s="59">
        <v>0</v>
      </c>
      <c r="AB96" s="59">
        <v>0</v>
      </c>
      <c r="AC96" s="59">
        <v>0</v>
      </c>
      <c r="AD96" s="59">
        <v>0</v>
      </c>
      <c r="AE96" s="59">
        <v>0</v>
      </c>
      <c r="AF96" s="95">
        <v>0</v>
      </c>
    </row>
    <row r="97" spans="2:32" s="59" customFormat="1">
      <c r="B97" s="66" t="str">
        <f t="shared" ref="B97:B110" si="4">B96</f>
        <v>UPSCOA</v>
      </c>
      <c r="C97" s="499" t="s">
        <v>734</v>
      </c>
      <c r="D97" s="500" t="s">
        <v>733</v>
      </c>
      <c r="E97" s="70">
        <v>0</v>
      </c>
      <c r="F97" s="59">
        <v>0</v>
      </c>
      <c r="G97" s="59">
        <v>0</v>
      </c>
      <c r="H97" s="59">
        <v>0</v>
      </c>
      <c r="I97" s="59">
        <v>0</v>
      </c>
      <c r="J97" s="59">
        <v>0</v>
      </c>
      <c r="K97" s="59">
        <v>0</v>
      </c>
      <c r="L97" s="59">
        <v>0</v>
      </c>
      <c r="M97" s="59">
        <v>0</v>
      </c>
      <c r="N97" s="59">
        <v>0</v>
      </c>
      <c r="O97" s="59">
        <v>0</v>
      </c>
      <c r="P97" s="59">
        <v>0</v>
      </c>
      <c r="Q97" s="59">
        <v>0</v>
      </c>
      <c r="R97" s="59">
        <v>0</v>
      </c>
      <c r="S97" s="59">
        <v>0.13059926303134795</v>
      </c>
      <c r="T97" s="59">
        <v>0</v>
      </c>
      <c r="U97" s="59">
        <v>0</v>
      </c>
      <c r="V97" s="59">
        <v>0</v>
      </c>
      <c r="W97" s="59">
        <v>0</v>
      </c>
      <c r="X97" s="59">
        <v>0.47030832691546082</v>
      </c>
      <c r="Y97" s="59">
        <v>0</v>
      </c>
      <c r="Z97" s="59">
        <v>0</v>
      </c>
      <c r="AA97" s="59">
        <v>0</v>
      </c>
      <c r="AB97" s="59">
        <v>0</v>
      </c>
      <c r="AC97" s="59">
        <v>0</v>
      </c>
      <c r="AD97" s="59">
        <v>0</v>
      </c>
      <c r="AE97" s="59">
        <v>0</v>
      </c>
      <c r="AF97" s="95">
        <v>0</v>
      </c>
    </row>
    <row r="98" spans="2:32" s="59" customFormat="1">
      <c r="B98" s="66" t="str">
        <f t="shared" si="4"/>
        <v>UPSCOA</v>
      </c>
      <c r="C98" s="499" t="s">
        <v>735</v>
      </c>
      <c r="D98" s="500" t="s">
        <v>733</v>
      </c>
      <c r="E98" s="70">
        <v>0</v>
      </c>
      <c r="F98" s="59">
        <v>0</v>
      </c>
      <c r="G98" s="59">
        <v>0</v>
      </c>
      <c r="H98" s="59">
        <v>0</v>
      </c>
      <c r="I98" s="59">
        <v>0</v>
      </c>
      <c r="J98" s="59">
        <v>0</v>
      </c>
      <c r="K98" s="59">
        <v>0</v>
      </c>
      <c r="L98" s="59">
        <v>0</v>
      </c>
      <c r="M98" s="59">
        <v>0</v>
      </c>
      <c r="N98" s="59">
        <v>0</v>
      </c>
      <c r="O98" s="59">
        <v>0</v>
      </c>
      <c r="P98" s="59">
        <v>0</v>
      </c>
      <c r="Q98" s="59">
        <v>0</v>
      </c>
      <c r="R98" s="59">
        <v>0</v>
      </c>
      <c r="S98" s="59">
        <v>0.21555308021346392</v>
      </c>
      <c r="T98" s="59">
        <v>0</v>
      </c>
      <c r="U98" s="59">
        <v>0.70342642203631833</v>
      </c>
      <c r="V98" s="59">
        <v>1</v>
      </c>
      <c r="W98" s="59">
        <v>0</v>
      </c>
      <c r="X98" s="59">
        <v>0</v>
      </c>
      <c r="Y98" s="59">
        <v>0</v>
      </c>
      <c r="Z98" s="59">
        <v>1</v>
      </c>
      <c r="AA98" s="59">
        <v>0</v>
      </c>
      <c r="AB98" s="59">
        <v>0</v>
      </c>
      <c r="AC98" s="59">
        <v>0</v>
      </c>
      <c r="AD98" s="59">
        <v>0</v>
      </c>
      <c r="AE98" s="59">
        <v>0</v>
      </c>
      <c r="AF98" s="95">
        <v>0</v>
      </c>
    </row>
    <row r="99" spans="2:32" s="59" customFormat="1">
      <c r="B99" s="66" t="str">
        <f t="shared" si="4"/>
        <v>UPSCOA</v>
      </c>
      <c r="C99" s="499" t="s">
        <v>736</v>
      </c>
      <c r="D99" s="500" t="s">
        <v>733</v>
      </c>
      <c r="E99" s="70">
        <v>0</v>
      </c>
      <c r="F99" s="59">
        <v>0</v>
      </c>
      <c r="G99" s="59">
        <v>0</v>
      </c>
      <c r="H99" s="59">
        <v>0</v>
      </c>
      <c r="I99" s="59">
        <v>0</v>
      </c>
      <c r="J99" s="59">
        <v>0</v>
      </c>
      <c r="K99" s="59">
        <v>0</v>
      </c>
      <c r="L99" s="59">
        <v>0</v>
      </c>
      <c r="M99" s="59">
        <v>0</v>
      </c>
      <c r="N99" s="59">
        <v>0</v>
      </c>
      <c r="O99" s="59">
        <v>0</v>
      </c>
      <c r="P99" s="59">
        <v>0</v>
      </c>
      <c r="Q99" s="59">
        <v>0</v>
      </c>
      <c r="R99" s="59">
        <v>0</v>
      </c>
      <c r="S99" s="59">
        <v>0</v>
      </c>
      <c r="T99" s="59">
        <v>0</v>
      </c>
      <c r="U99" s="59">
        <v>0</v>
      </c>
      <c r="V99" s="59">
        <v>0</v>
      </c>
      <c r="W99" s="59">
        <v>0</v>
      </c>
      <c r="X99" s="59">
        <v>0</v>
      </c>
      <c r="Y99" s="59">
        <v>0</v>
      </c>
      <c r="Z99" s="59">
        <v>0</v>
      </c>
      <c r="AA99" s="59">
        <v>0</v>
      </c>
      <c r="AB99" s="59">
        <v>0</v>
      </c>
      <c r="AC99" s="59">
        <v>0</v>
      </c>
      <c r="AD99" s="59">
        <v>0</v>
      </c>
      <c r="AE99" s="59">
        <v>0</v>
      </c>
      <c r="AF99" s="95">
        <v>0</v>
      </c>
    </row>
    <row r="100" spans="2:32" s="59" customFormat="1">
      <c r="B100" s="66" t="str">
        <f t="shared" si="4"/>
        <v>UPSCOA</v>
      </c>
      <c r="C100" s="499" t="s">
        <v>737</v>
      </c>
      <c r="D100" s="500" t="s">
        <v>733</v>
      </c>
      <c r="E100" s="70">
        <v>0</v>
      </c>
      <c r="F100" s="59">
        <v>0</v>
      </c>
      <c r="G100" s="59">
        <v>0</v>
      </c>
      <c r="H100" s="59">
        <v>0</v>
      </c>
      <c r="I100" s="59">
        <v>0</v>
      </c>
      <c r="J100" s="59">
        <v>0</v>
      </c>
      <c r="K100" s="59">
        <v>0</v>
      </c>
      <c r="L100" s="59">
        <v>0</v>
      </c>
      <c r="M100" s="59">
        <v>0</v>
      </c>
      <c r="N100" s="59">
        <v>0</v>
      </c>
      <c r="O100" s="59">
        <v>0</v>
      </c>
      <c r="P100" s="59">
        <v>0.15488009190560525</v>
      </c>
      <c r="Q100" s="59">
        <v>0</v>
      </c>
      <c r="R100" s="59">
        <v>0</v>
      </c>
      <c r="S100" s="59">
        <v>0.40755429202144811</v>
      </c>
      <c r="T100" s="59">
        <v>1</v>
      </c>
      <c r="U100" s="59">
        <v>0.12177823113424291</v>
      </c>
      <c r="V100" s="59">
        <v>0</v>
      </c>
      <c r="W100" s="59">
        <v>0</v>
      </c>
      <c r="X100" s="59">
        <v>0.52969167308453924</v>
      </c>
      <c r="Y100" s="59">
        <v>0</v>
      </c>
      <c r="Z100" s="59">
        <v>0</v>
      </c>
      <c r="AA100" s="59">
        <v>0</v>
      </c>
      <c r="AB100" s="59">
        <v>0</v>
      </c>
      <c r="AC100" s="59">
        <v>0</v>
      </c>
      <c r="AD100" s="59">
        <v>0</v>
      </c>
      <c r="AE100" s="59">
        <v>0</v>
      </c>
      <c r="AF100" s="95">
        <v>0</v>
      </c>
    </row>
    <row r="101" spans="2:32" s="59" customFormat="1">
      <c r="B101" s="66" t="str">
        <f t="shared" si="4"/>
        <v>UPSCOA</v>
      </c>
      <c r="C101" s="499" t="s">
        <v>738</v>
      </c>
      <c r="D101" s="500" t="s">
        <v>733</v>
      </c>
      <c r="E101" s="70">
        <v>0</v>
      </c>
      <c r="F101" s="59">
        <v>0</v>
      </c>
      <c r="G101" s="59">
        <v>0</v>
      </c>
      <c r="H101" s="59">
        <v>0</v>
      </c>
      <c r="I101" s="59">
        <v>0</v>
      </c>
      <c r="J101" s="59">
        <v>0</v>
      </c>
      <c r="K101" s="59">
        <v>0</v>
      </c>
      <c r="L101" s="59">
        <v>0</v>
      </c>
      <c r="M101" s="59">
        <v>0</v>
      </c>
      <c r="N101" s="59">
        <v>0</v>
      </c>
      <c r="O101" s="59">
        <v>0</v>
      </c>
      <c r="P101" s="59">
        <v>0</v>
      </c>
      <c r="Q101" s="59">
        <v>0</v>
      </c>
      <c r="R101" s="59">
        <v>0</v>
      </c>
      <c r="S101" s="59">
        <v>0</v>
      </c>
      <c r="T101" s="59">
        <v>0</v>
      </c>
      <c r="U101" s="59">
        <v>4.4383051272965601E-2</v>
      </c>
      <c r="V101" s="59">
        <v>0</v>
      </c>
      <c r="W101" s="59">
        <v>0</v>
      </c>
      <c r="X101" s="59">
        <v>0</v>
      </c>
      <c r="Y101" s="59">
        <v>0</v>
      </c>
      <c r="Z101" s="59">
        <v>0</v>
      </c>
      <c r="AA101" s="59">
        <v>0</v>
      </c>
      <c r="AB101" s="59">
        <v>0</v>
      </c>
      <c r="AC101" s="59">
        <v>0</v>
      </c>
      <c r="AD101" s="59">
        <v>0</v>
      </c>
      <c r="AE101" s="59">
        <v>0</v>
      </c>
      <c r="AF101" s="95">
        <v>0</v>
      </c>
    </row>
    <row r="102" spans="2:32" s="59" customFormat="1">
      <c r="B102" s="66" t="str">
        <f t="shared" si="4"/>
        <v>UPSCOA</v>
      </c>
      <c r="C102" s="499" t="s">
        <v>739</v>
      </c>
      <c r="D102" s="500" t="s">
        <v>733</v>
      </c>
      <c r="E102" s="70">
        <v>0</v>
      </c>
      <c r="F102" s="59">
        <v>0</v>
      </c>
      <c r="G102" s="59">
        <v>0</v>
      </c>
      <c r="H102" s="59">
        <v>0</v>
      </c>
      <c r="I102" s="59">
        <v>0</v>
      </c>
      <c r="J102" s="59">
        <v>0</v>
      </c>
      <c r="K102" s="59">
        <v>0</v>
      </c>
      <c r="L102" s="59">
        <v>0</v>
      </c>
      <c r="M102" s="59">
        <v>0</v>
      </c>
      <c r="N102" s="59">
        <v>0</v>
      </c>
      <c r="O102" s="59">
        <v>0</v>
      </c>
      <c r="P102" s="59">
        <v>0</v>
      </c>
      <c r="Q102" s="59">
        <v>0</v>
      </c>
      <c r="R102" s="59">
        <v>0</v>
      </c>
      <c r="S102" s="59">
        <v>0</v>
      </c>
      <c r="T102" s="59">
        <v>0</v>
      </c>
      <c r="U102" s="59">
        <v>0</v>
      </c>
      <c r="V102" s="59">
        <v>0</v>
      </c>
      <c r="W102" s="59">
        <v>0</v>
      </c>
      <c r="X102" s="59">
        <v>0</v>
      </c>
      <c r="Y102" s="59">
        <v>0</v>
      </c>
      <c r="Z102" s="59">
        <v>0</v>
      </c>
      <c r="AA102" s="59">
        <v>0</v>
      </c>
      <c r="AB102" s="59">
        <v>0</v>
      </c>
      <c r="AC102" s="59">
        <v>0</v>
      </c>
      <c r="AD102" s="59">
        <v>0</v>
      </c>
      <c r="AE102" s="59">
        <v>0</v>
      </c>
      <c r="AF102" s="95">
        <v>0</v>
      </c>
    </row>
    <row r="103" spans="2:32" s="59" customFormat="1">
      <c r="B103" s="66" t="str">
        <f t="shared" si="4"/>
        <v>UPSCOA</v>
      </c>
      <c r="C103" s="499" t="s">
        <v>740</v>
      </c>
      <c r="D103" s="500" t="s">
        <v>733</v>
      </c>
      <c r="E103" s="70">
        <v>0</v>
      </c>
      <c r="F103" s="59">
        <v>0</v>
      </c>
      <c r="G103" s="59">
        <v>0</v>
      </c>
      <c r="H103" s="59">
        <v>0</v>
      </c>
      <c r="I103" s="59">
        <v>0</v>
      </c>
      <c r="J103" s="59">
        <v>0</v>
      </c>
      <c r="K103" s="59">
        <v>0</v>
      </c>
      <c r="L103" s="59">
        <v>0</v>
      </c>
      <c r="M103" s="59">
        <v>0</v>
      </c>
      <c r="N103" s="59">
        <v>0</v>
      </c>
      <c r="O103" s="59">
        <v>0</v>
      </c>
      <c r="P103" s="59">
        <v>0</v>
      </c>
      <c r="Q103" s="59">
        <v>0</v>
      </c>
      <c r="R103" s="59">
        <v>0</v>
      </c>
      <c r="S103" s="59">
        <v>0</v>
      </c>
      <c r="T103" s="59">
        <v>0</v>
      </c>
      <c r="U103" s="59">
        <v>0</v>
      </c>
      <c r="V103" s="59">
        <v>0</v>
      </c>
      <c r="W103" s="59">
        <v>0</v>
      </c>
      <c r="X103" s="59">
        <v>0</v>
      </c>
      <c r="Y103" s="59">
        <v>0</v>
      </c>
      <c r="Z103" s="59">
        <v>0</v>
      </c>
      <c r="AA103" s="59">
        <v>0</v>
      </c>
      <c r="AB103" s="59">
        <v>0</v>
      </c>
      <c r="AC103" s="59">
        <v>0</v>
      </c>
      <c r="AD103" s="59">
        <v>0</v>
      </c>
      <c r="AE103" s="59">
        <v>0</v>
      </c>
      <c r="AF103" s="95">
        <v>0</v>
      </c>
    </row>
    <row r="104" spans="2:32" s="59" customFormat="1">
      <c r="B104" s="66" t="str">
        <f t="shared" si="4"/>
        <v>UPSCOA</v>
      </c>
      <c r="C104" s="499" t="s">
        <v>741</v>
      </c>
      <c r="D104" s="500" t="s">
        <v>733</v>
      </c>
      <c r="E104" s="70">
        <v>0</v>
      </c>
      <c r="F104" s="59">
        <v>0</v>
      </c>
      <c r="G104" s="59">
        <v>0</v>
      </c>
      <c r="H104" s="59">
        <v>7.5086316998541783E-4</v>
      </c>
      <c r="I104" s="59">
        <v>1</v>
      </c>
      <c r="J104" s="59">
        <v>1</v>
      </c>
      <c r="K104" s="59">
        <v>0</v>
      </c>
      <c r="L104" s="59">
        <v>0</v>
      </c>
      <c r="M104" s="59">
        <v>0</v>
      </c>
      <c r="N104" s="59">
        <v>0</v>
      </c>
      <c r="O104" s="59">
        <v>0</v>
      </c>
      <c r="P104" s="59">
        <v>0.83656299363362208</v>
      </c>
      <c r="Q104" s="59">
        <v>0.11328277840919679</v>
      </c>
      <c r="R104" s="59">
        <v>0</v>
      </c>
      <c r="S104" s="59">
        <v>0.245923026325154</v>
      </c>
      <c r="T104" s="59">
        <v>0</v>
      </c>
      <c r="U104" s="59">
        <v>4.5496518704415782E-3</v>
      </c>
      <c r="V104" s="59">
        <v>0</v>
      </c>
      <c r="W104" s="59">
        <v>1</v>
      </c>
      <c r="X104" s="59">
        <v>0</v>
      </c>
      <c r="Y104" s="59">
        <v>0</v>
      </c>
      <c r="Z104" s="59">
        <v>0</v>
      </c>
      <c r="AA104" s="59">
        <v>0</v>
      </c>
      <c r="AB104" s="59">
        <v>0</v>
      </c>
      <c r="AC104" s="59">
        <v>0</v>
      </c>
      <c r="AD104" s="59">
        <v>1</v>
      </c>
      <c r="AE104" s="59">
        <v>0</v>
      </c>
      <c r="AF104" s="95">
        <v>1</v>
      </c>
    </row>
    <row r="105" spans="2:32" s="59" customFormat="1">
      <c r="B105" s="66" t="str">
        <f t="shared" si="4"/>
        <v>UPSCOA</v>
      </c>
      <c r="C105" s="499" t="s">
        <v>742</v>
      </c>
      <c r="D105" s="500" t="s">
        <v>733</v>
      </c>
      <c r="E105" s="70">
        <v>0</v>
      </c>
      <c r="F105" s="59">
        <v>0</v>
      </c>
      <c r="G105" s="59">
        <v>0</v>
      </c>
      <c r="H105" s="59">
        <v>1.5935645240671154E-3</v>
      </c>
      <c r="I105" s="59">
        <v>0</v>
      </c>
      <c r="J105" s="59">
        <v>0</v>
      </c>
      <c r="K105" s="59">
        <v>0</v>
      </c>
      <c r="L105" s="59">
        <v>0</v>
      </c>
      <c r="M105" s="59">
        <v>0</v>
      </c>
      <c r="N105" s="59">
        <v>0</v>
      </c>
      <c r="O105" s="59">
        <v>0</v>
      </c>
      <c r="P105" s="59">
        <v>8.5569144607725803E-3</v>
      </c>
      <c r="Q105" s="59">
        <v>0</v>
      </c>
      <c r="R105" s="59">
        <v>0</v>
      </c>
      <c r="S105" s="59">
        <v>0</v>
      </c>
      <c r="T105" s="59">
        <v>0</v>
      </c>
      <c r="U105" s="59">
        <v>0</v>
      </c>
      <c r="V105" s="59">
        <v>0</v>
      </c>
      <c r="W105" s="59">
        <v>0</v>
      </c>
      <c r="X105" s="59">
        <v>0</v>
      </c>
      <c r="Y105" s="59">
        <v>0</v>
      </c>
      <c r="Z105" s="59">
        <v>0</v>
      </c>
      <c r="AA105" s="59">
        <v>0</v>
      </c>
      <c r="AB105" s="59">
        <v>0</v>
      </c>
      <c r="AC105" s="59">
        <v>0</v>
      </c>
      <c r="AD105" s="59">
        <v>0</v>
      </c>
      <c r="AE105" s="59">
        <v>0</v>
      </c>
      <c r="AF105" s="95">
        <v>0</v>
      </c>
    </row>
    <row r="106" spans="2:32" s="59" customFormat="1">
      <c r="B106" s="66" t="str">
        <f t="shared" si="4"/>
        <v>UPSCOA</v>
      </c>
      <c r="C106" s="499" t="s">
        <v>743</v>
      </c>
      <c r="D106" s="500" t="s">
        <v>733</v>
      </c>
      <c r="E106" s="70">
        <v>0</v>
      </c>
      <c r="F106" s="59">
        <v>0</v>
      </c>
      <c r="G106" s="59">
        <v>1</v>
      </c>
      <c r="H106" s="59">
        <v>0</v>
      </c>
      <c r="I106" s="59">
        <v>0</v>
      </c>
      <c r="J106" s="59">
        <v>0</v>
      </c>
      <c r="K106" s="59">
        <v>0</v>
      </c>
      <c r="L106" s="59">
        <v>0</v>
      </c>
      <c r="M106" s="59">
        <v>0</v>
      </c>
      <c r="N106" s="59">
        <v>0</v>
      </c>
      <c r="O106" s="59">
        <v>0</v>
      </c>
      <c r="P106" s="59">
        <v>0</v>
      </c>
      <c r="Q106" s="59">
        <v>0.88671722159080313</v>
      </c>
      <c r="R106" s="59">
        <v>0</v>
      </c>
      <c r="S106" s="59">
        <v>3.7033840858609357E-4</v>
      </c>
      <c r="T106" s="59">
        <v>0</v>
      </c>
      <c r="U106" s="59">
        <v>0.12586264368603156</v>
      </c>
      <c r="V106" s="59">
        <v>0</v>
      </c>
      <c r="W106" s="59">
        <v>0</v>
      </c>
      <c r="X106" s="59">
        <v>0</v>
      </c>
      <c r="Y106" s="59">
        <v>0</v>
      </c>
      <c r="Z106" s="59">
        <v>0</v>
      </c>
      <c r="AA106" s="59">
        <v>0</v>
      </c>
      <c r="AB106" s="59">
        <v>0</v>
      </c>
      <c r="AC106" s="59">
        <v>0</v>
      </c>
      <c r="AD106" s="59">
        <v>0</v>
      </c>
      <c r="AE106" s="59">
        <v>0</v>
      </c>
      <c r="AF106" s="95">
        <v>0</v>
      </c>
    </row>
    <row r="107" spans="2:32" s="59" customFormat="1">
      <c r="B107" s="66" t="str">
        <f t="shared" si="4"/>
        <v>UPSCOA</v>
      </c>
      <c r="C107" s="499" t="s">
        <v>744</v>
      </c>
      <c r="D107" s="500" t="s">
        <v>733</v>
      </c>
      <c r="E107" s="70">
        <v>0</v>
      </c>
      <c r="F107" s="59">
        <v>0</v>
      </c>
      <c r="G107" s="59">
        <v>0</v>
      </c>
      <c r="H107" s="59">
        <v>0</v>
      </c>
      <c r="I107" s="59">
        <v>0</v>
      </c>
      <c r="J107" s="59">
        <v>0</v>
      </c>
      <c r="K107" s="59">
        <v>0</v>
      </c>
      <c r="L107" s="59">
        <v>0</v>
      </c>
      <c r="M107" s="59">
        <v>0</v>
      </c>
      <c r="N107" s="59">
        <v>0</v>
      </c>
      <c r="O107" s="59">
        <v>0</v>
      </c>
      <c r="P107" s="59">
        <v>0</v>
      </c>
      <c r="Q107" s="59">
        <v>0</v>
      </c>
      <c r="R107" s="59">
        <v>0</v>
      </c>
      <c r="S107" s="59">
        <v>0</v>
      </c>
      <c r="T107" s="59">
        <v>0</v>
      </c>
      <c r="U107" s="59">
        <v>0</v>
      </c>
      <c r="V107" s="59">
        <v>0</v>
      </c>
      <c r="W107" s="59">
        <v>0</v>
      </c>
      <c r="X107" s="59">
        <v>0</v>
      </c>
      <c r="Y107" s="59">
        <v>0</v>
      </c>
      <c r="Z107" s="59">
        <v>0</v>
      </c>
      <c r="AA107" s="59">
        <v>0</v>
      </c>
      <c r="AB107" s="59">
        <v>0</v>
      </c>
      <c r="AC107" s="59">
        <v>0</v>
      </c>
      <c r="AD107" s="59">
        <v>0</v>
      </c>
      <c r="AE107" s="59">
        <v>0</v>
      </c>
      <c r="AF107" s="95">
        <v>0</v>
      </c>
    </row>
    <row r="108" spans="2:32" s="59" customFormat="1">
      <c r="B108" s="66" t="str">
        <f t="shared" si="4"/>
        <v>UPSCOA</v>
      </c>
      <c r="C108" s="499" t="s">
        <v>745</v>
      </c>
      <c r="D108" s="500" t="s">
        <v>733</v>
      </c>
      <c r="E108" s="70">
        <v>0</v>
      </c>
      <c r="F108" s="59">
        <v>0</v>
      </c>
      <c r="G108" s="59">
        <v>0</v>
      </c>
      <c r="H108" s="59">
        <v>0.99765557230594737</v>
      </c>
      <c r="I108" s="59">
        <v>0</v>
      </c>
      <c r="J108" s="59">
        <v>0</v>
      </c>
      <c r="K108" s="59">
        <v>0</v>
      </c>
      <c r="L108" s="59">
        <v>0</v>
      </c>
      <c r="M108" s="59">
        <v>0</v>
      </c>
      <c r="N108" s="59">
        <v>0</v>
      </c>
      <c r="O108" s="59">
        <v>0</v>
      </c>
      <c r="P108" s="59">
        <v>0</v>
      </c>
      <c r="Q108" s="59">
        <v>0</v>
      </c>
      <c r="R108" s="59">
        <v>0</v>
      </c>
      <c r="S108" s="59">
        <v>0</v>
      </c>
      <c r="T108" s="59">
        <v>0</v>
      </c>
      <c r="U108" s="59">
        <v>0</v>
      </c>
      <c r="V108" s="59">
        <v>0</v>
      </c>
      <c r="W108" s="59">
        <v>0</v>
      </c>
      <c r="X108" s="59">
        <v>0</v>
      </c>
      <c r="Y108" s="59">
        <v>0</v>
      </c>
      <c r="Z108" s="59">
        <v>0</v>
      </c>
      <c r="AA108" s="59">
        <v>0</v>
      </c>
      <c r="AB108" s="59">
        <v>0</v>
      </c>
      <c r="AC108" s="59">
        <v>0</v>
      </c>
      <c r="AD108" s="59">
        <v>0</v>
      </c>
      <c r="AE108" s="59">
        <v>0</v>
      </c>
      <c r="AF108" s="95">
        <v>0</v>
      </c>
    </row>
    <row r="109" spans="2:32" s="59" customFormat="1">
      <c r="B109" s="66" t="str">
        <f t="shared" si="4"/>
        <v>UPSCOA</v>
      </c>
      <c r="C109" s="499" t="s">
        <v>746</v>
      </c>
      <c r="D109" s="500" t="s">
        <v>733</v>
      </c>
      <c r="E109" s="70">
        <v>0</v>
      </c>
      <c r="F109" s="59">
        <v>0</v>
      </c>
      <c r="G109" s="59">
        <v>0</v>
      </c>
      <c r="H109" s="59">
        <v>0</v>
      </c>
      <c r="I109" s="59">
        <v>0</v>
      </c>
      <c r="J109" s="59">
        <v>0</v>
      </c>
      <c r="K109" s="59">
        <v>0</v>
      </c>
      <c r="L109" s="59">
        <v>0</v>
      </c>
      <c r="M109" s="59">
        <v>0</v>
      </c>
      <c r="N109" s="59">
        <v>0</v>
      </c>
      <c r="O109" s="59">
        <v>0</v>
      </c>
      <c r="P109" s="59">
        <v>0</v>
      </c>
      <c r="Q109" s="59">
        <v>0</v>
      </c>
      <c r="R109" s="59">
        <v>0</v>
      </c>
      <c r="S109" s="59">
        <v>0</v>
      </c>
      <c r="T109" s="59">
        <v>0</v>
      </c>
      <c r="U109" s="59">
        <v>0</v>
      </c>
      <c r="V109" s="59">
        <v>0</v>
      </c>
      <c r="W109" s="59">
        <v>0</v>
      </c>
      <c r="X109" s="59">
        <v>0</v>
      </c>
      <c r="Y109" s="59">
        <v>0</v>
      </c>
      <c r="Z109" s="59">
        <v>0</v>
      </c>
      <c r="AA109" s="59">
        <v>0</v>
      </c>
      <c r="AB109" s="59">
        <v>0</v>
      </c>
      <c r="AC109" s="59">
        <v>0</v>
      </c>
      <c r="AD109" s="59">
        <v>0</v>
      </c>
      <c r="AE109" s="59">
        <v>0</v>
      </c>
      <c r="AF109" s="95">
        <v>0</v>
      </c>
    </row>
    <row r="110" spans="2:32" s="59" customFormat="1">
      <c r="B110" s="269" t="str">
        <f t="shared" si="4"/>
        <v>UPSCOA</v>
      </c>
      <c r="C110" s="503" t="s">
        <v>747</v>
      </c>
      <c r="D110" s="504" t="s">
        <v>733</v>
      </c>
      <c r="E110" s="271">
        <v>0</v>
      </c>
      <c r="F110" s="80">
        <v>0</v>
      </c>
      <c r="G110" s="80">
        <v>0</v>
      </c>
      <c r="H110" s="80">
        <v>0</v>
      </c>
      <c r="I110" s="80">
        <v>0</v>
      </c>
      <c r="J110" s="80">
        <v>0</v>
      </c>
      <c r="K110" s="80">
        <v>0</v>
      </c>
      <c r="L110" s="80">
        <v>0</v>
      </c>
      <c r="M110" s="80">
        <v>0</v>
      </c>
      <c r="N110" s="80">
        <v>0</v>
      </c>
      <c r="O110" s="80">
        <v>0</v>
      </c>
      <c r="P110" s="80">
        <v>0</v>
      </c>
      <c r="Q110" s="80">
        <v>0</v>
      </c>
      <c r="R110" s="80">
        <v>0</v>
      </c>
      <c r="S110" s="80">
        <v>0</v>
      </c>
      <c r="T110" s="80">
        <v>0</v>
      </c>
      <c r="U110" s="80">
        <v>0</v>
      </c>
      <c r="V110" s="80">
        <v>0</v>
      </c>
      <c r="W110" s="80">
        <v>0</v>
      </c>
      <c r="X110" s="80">
        <v>0</v>
      </c>
      <c r="Y110" s="80">
        <v>0</v>
      </c>
      <c r="Z110" s="80">
        <v>0</v>
      </c>
      <c r="AA110" s="80">
        <v>0</v>
      </c>
      <c r="AB110" s="80">
        <v>0</v>
      </c>
      <c r="AC110" s="80">
        <v>0</v>
      </c>
      <c r="AD110" s="80">
        <v>0</v>
      </c>
      <c r="AE110" s="80">
        <v>0</v>
      </c>
      <c r="AF110" s="97">
        <v>0</v>
      </c>
    </row>
    <row r="111" spans="2:32" s="59" customFormat="1">
      <c r="B111" s="66" t="s">
        <v>529</v>
      </c>
      <c r="C111" s="499"/>
      <c r="D111" s="500"/>
      <c r="E111" s="70"/>
      <c r="AF111" s="95"/>
    </row>
    <row r="112" spans="2:32" s="59" customFormat="1">
      <c r="B112" s="66" t="str">
        <f>B111</f>
        <v>UPSCOALIG</v>
      </c>
      <c r="C112" s="499" t="s">
        <v>732</v>
      </c>
      <c r="D112" s="500" t="s">
        <v>733</v>
      </c>
      <c r="E112" s="70">
        <v>0</v>
      </c>
      <c r="F112" s="59">
        <v>0</v>
      </c>
      <c r="G112" s="59">
        <v>0</v>
      </c>
      <c r="H112" s="59">
        <v>0</v>
      </c>
      <c r="I112" s="59">
        <v>0</v>
      </c>
      <c r="J112" s="59">
        <v>0</v>
      </c>
      <c r="K112" s="59">
        <v>0</v>
      </c>
      <c r="L112" s="59">
        <v>0</v>
      </c>
      <c r="M112" s="59">
        <v>0</v>
      </c>
      <c r="N112" s="59">
        <v>0</v>
      </c>
      <c r="O112" s="59">
        <v>0</v>
      </c>
      <c r="P112" s="59">
        <v>0</v>
      </c>
      <c r="Q112" s="59">
        <v>0</v>
      </c>
      <c r="R112" s="59">
        <v>0</v>
      </c>
      <c r="S112" s="59">
        <v>0</v>
      </c>
      <c r="T112" s="59">
        <v>0</v>
      </c>
      <c r="U112" s="59">
        <v>0</v>
      </c>
      <c r="V112" s="59">
        <v>0</v>
      </c>
      <c r="W112" s="59">
        <v>0</v>
      </c>
      <c r="X112" s="59">
        <v>0</v>
      </c>
      <c r="Y112" s="59">
        <v>0</v>
      </c>
      <c r="Z112" s="59">
        <v>0</v>
      </c>
      <c r="AA112" s="59">
        <v>0</v>
      </c>
      <c r="AB112" s="59">
        <v>0</v>
      </c>
      <c r="AC112" s="59">
        <v>0</v>
      </c>
      <c r="AD112" s="59">
        <v>0</v>
      </c>
      <c r="AE112" s="59">
        <v>0</v>
      </c>
      <c r="AF112" s="95">
        <v>0</v>
      </c>
    </row>
    <row r="113" spans="2:32" s="59" customFormat="1">
      <c r="B113" s="66" t="str">
        <f t="shared" ref="B113:B126" si="5">B112</f>
        <v>UPSCOALIG</v>
      </c>
      <c r="C113" s="499" t="s">
        <v>734</v>
      </c>
      <c r="D113" s="500" t="s">
        <v>733</v>
      </c>
      <c r="E113" s="70">
        <v>0</v>
      </c>
      <c r="F113" s="59">
        <v>0</v>
      </c>
      <c r="G113" s="59">
        <v>0</v>
      </c>
      <c r="H113" s="59">
        <v>0</v>
      </c>
      <c r="I113" s="59">
        <v>0</v>
      </c>
      <c r="J113" s="59">
        <v>0</v>
      </c>
      <c r="K113" s="59">
        <v>0</v>
      </c>
      <c r="L113" s="59">
        <v>0</v>
      </c>
      <c r="M113" s="59">
        <v>0</v>
      </c>
      <c r="N113" s="59">
        <v>0</v>
      </c>
      <c r="O113" s="59">
        <v>0</v>
      </c>
      <c r="P113" s="59">
        <v>0</v>
      </c>
      <c r="Q113" s="59">
        <v>0</v>
      </c>
      <c r="R113" s="59">
        <v>0</v>
      </c>
      <c r="S113" s="59">
        <v>0</v>
      </c>
      <c r="T113" s="59">
        <v>0</v>
      </c>
      <c r="U113" s="59">
        <v>0</v>
      </c>
      <c r="V113" s="59">
        <v>0</v>
      </c>
      <c r="W113" s="59">
        <v>0</v>
      </c>
      <c r="X113" s="59">
        <v>0</v>
      </c>
      <c r="Y113" s="59">
        <v>0</v>
      </c>
      <c r="Z113" s="59">
        <v>0</v>
      </c>
      <c r="AA113" s="59">
        <v>0</v>
      </c>
      <c r="AB113" s="59">
        <v>0</v>
      </c>
      <c r="AC113" s="59">
        <v>0</v>
      </c>
      <c r="AD113" s="59">
        <v>0</v>
      </c>
      <c r="AE113" s="59">
        <v>0</v>
      </c>
      <c r="AF113" s="95">
        <v>0</v>
      </c>
    </row>
    <row r="114" spans="2:32" s="59" customFormat="1">
      <c r="B114" s="66" t="str">
        <f t="shared" si="5"/>
        <v>UPSCOALIG</v>
      </c>
      <c r="C114" s="499" t="s">
        <v>735</v>
      </c>
      <c r="D114" s="500" t="s">
        <v>733</v>
      </c>
      <c r="E114" s="70">
        <v>0</v>
      </c>
      <c r="F114" s="59">
        <v>0</v>
      </c>
      <c r="G114" s="59">
        <v>0</v>
      </c>
      <c r="H114" s="59">
        <v>0</v>
      </c>
      <c r="I114" s="59">
        <v>0</v>
      </c>
      <c r="J114" s="59">
        <v>0</v>
      </c>
      <c r="K114" s="59">
        <v>0</v>
      </c>
      <c r="L114" s="59">
        <v>0</v>
      </c>
      <c r="M114" s="59">
        <v>0</v>
      </c>
      <c r="N114" s="59">
        <v>0</v>
      </c>
      <c r="O114" s="59">
        <v>0</v>
      </c>
      <c r="P114" s="59">
        <v>0</v>
      </c>
      <c r="Q114" s="59">
        <v>0</v>
      </c>
      <c r="R114" s="59">
        <v>0</v>
      </c>
      <c r="S114" s="59">
        <v>1.6512805164379819E-4</v>
      </c>
      <c r="T114" s="59">
        <v>0</v>
      </c>
      <c r="U114" s="59">
        <v>0</v>
      </c>
      <c r="V114" s="59">
        <v>0</v>
      </c>
      <c r="W114" s="59">
        <v>0</v>
      </c>
      <c r="X114" s="59">
        <v>0</v>
      </c>
      <c r="Y114" s="59">
        <v>0</v>
      </c>
      <c r="Z114" s="59">
        <v>0</v>
      </c>
      <c r="AA114" s="59">
        <v>0</v>
      </c>
      <c r="AB114" s="59">
        <v>0</v>
      </c>
      <c r="AC114" s="59">
        <v>0</v>
      </c>
      <c r="AD114" s="59">
        <v>0</v>
      </c>
      <c r="AE114" s="59">
        <v>0</v>
      </c>
      <c r="AF114" s="95">
        <v>0</v>
      </c>
    </row>
    <row r="115" spans="2:32" s="59" customFormat="1">
      <c r="B115" s="66" t="str">
        <f t="shared" si="5"/>
        <v>UPSCOALIG</v>
      </c>
      <c r="C115" s="499" t="s">
        <v>736</v>
      </c>
      <c r="D115" s="500" t="s">
        <v>733</v>
      </c>
      <c r="E115" s="70">
        <v>0</v>
      </c>
      <c r="F115" s="59">
        <v>0</v>
      </c>
      <c r="G115" s="59">
        <v>0</v>
      </c>
      <c r="H115" s="59">
        <v>0</v>
      </c>
      <c r="I115" s="59">
        <v>0</v>
      </c>
      <c r="J115" s="59">
        <v>0</v>
      </c>
      <c r="K115" s="59">
        <v>0</v>
      </c>
      <c r="L115" s="59">
        <v>0</v>
      </c>
      <c r="M115" s="59">
        <v>0</v>
      </c>
      <c r="N115" s="59">
        <v>0</v>
      </c>
      <c r="O115" s="59">
        <v>0</v>
      </c>
      <c r="P115" s="59">
        <v>0</v>
      </c>
      <c r="Q115" s="59">
        <v>0</v>
      </c>
      <c r="R115" s="59">
        <v>0</v>
      </c>
      <c r="S115" s="59">
        <v>0</v>
      </c>
      <c r="T115" s="59">
        <v>0</v>
      </c>
      <c r="U115" s="59">
        <v>0</v>
      </c>
      <c r="V115" s="59">
        <v>0</v>
      </c>
      <c r="W115" s="59">
        <v>0</v>
      </c>
      <c r="X115" s="59">
        <v>0</v>
      </c>
      <c r="Y115" s="59">
        <v>0</v>
      </c>
      <c r="Z115" s="59">
        <v>0</v>
      </c>
      <c r="AA115" s="59">
        <v>0</v>
      </c>
      <c r="AB115" s="59">
        <v>0</v>
      </c>
      <c r="AC115" s="59">
        <v>0</v>
      </c>
      <c r="AD115" s="59">
        <v>0</v>
      </c>
      <c r="AE115" s="59">
        <v>0</v>
      </c>
      <c r="AF115" s="95">
        <v>0</v>
      </c>
    </row>
    <row r="116" spans="2:32" s="59" customFormat="1">
      <c r="B116" s="66" t="str">
        <f t="shared" si="5"/>
        <v>UPSCOALIG</v>
      </c>
      <c r="C116" s="499" t="s">
        <v>737</v>
      </c>
      <c r="D116" s="500" t="s">
        <v>733</v>
      </c>
      <c r="E116" s="70">
        <v>0</v>
      </c>
      <c r="F116" s="59">
        <v>0</v>
      </c>
      <c r="G116" s="59">
        <v>0</v>
      </c>
      <c r="H116" s="59">
        <v>0</v>
      </c>
      <c r="I116" s="59">
        <v>0</v>
      </c>
      <c r="J116" s="59">
        <v>0</v>
      </c>
      <c r="K116" s="59">
        <v>0</v>
      </c>
      <c r="L116" s="59">
        <v>0</v>
      </c>
      <c r="M116" s="59">
        <v>0</v>
      </c>
      <c r="N116" s="59">
        <v>0</v>
      </c>
      <c r="O116" s="59">
        <v>0</v>
      </c>
      <c r="P116" s="59">
        <v>0</v>
      </c>
      <c r="Q116" s="59">
        <v>0</v>
      </c>
      <c r="R116" s="59">
        <v>0</v>
      </c>
      <c r="S116" s="59">
        <v>0</v>
      </c>
      <c r="T116" s="59">
        <v>0</v>
      </c>
      <c r="U116" s="59">
        <v>0</v>
      </c>
      <c r="V116" s="59">
        <v>0</v>
      </c>
      <c r="W116" s="59">
        <v>0</v>
      </c>
      <c r="X116" s="59">
        <v>0</v>
      </c>
      <c r="Y116" s="59">
        <v>0</v>
      </c>
      <c r="Z116" s="59">
        <v>0</v>
      </c>
      <c r="AA116" s="59">
        <v>0</v>
      </c>
      <c r="AB116" s="59">
        <v>0</v>
      </c>
      <c r="AC116" s="59">
        <v>0</v>
      </c>
      <c r="AD116" s="59">
        <v>0</v>
      </c>
      <c r="AE116" s="59">
        <v>0</v>
      </c>
      <c r="AF116" s="95">
        <v>0</v>
      </c>
    </row>
    <row r="117" spans="2:32" s="59" customFormat="1">
      <c r="B117" s="66" t="str">
        <f t="shared" si="5"/>
        <v>UPSCOALIG</v>
      </c>
      <c r="C117" s="499" t="s">
        <v>738</v>
      </c>
      <c r="D117" s="500" t="s">
        <v>733</v>
      </c>
      <c r="E117" s="70">
        <v>0</v>
      </c>
      <c r="F117" s="59">
        <v>0</v>
      </c>
      <c r="G117" s="59">
        <v>0</v>
      </c>
      <c r="H117" s="59">
        <v>0</v>
      </c>
      <c r="I117" s="59">
        <v>0</v>
      </c>
      <c r="J117" s="59">
        <v>0</v>
      </c>
      <c r="K117" s="59">
        <v>0</v>
      </c>
      <c r="L117" s="59">
        <v>0</v>
      </c>
      <c r="M117" s="59">
        <v>0</v>
      </c>
      <c r="N117" s="59">
        <v>0</v>
      </c>
      <c r="O117" s="59">
        <v>0</v>
      </c>
      <c r="P117" s="59">
        <v>0</v>
      </c>
      <c r="Q117" s="59">
        <v>0</v>
      </c>
      <c r="R117" s="59">
        <v>0</v>
      </c>
      <c r="S117" s="59">
        <v>0</v>
      </c>
      <c r="T117" s="59">
        <v>0</v>
      </c>
      <c r="U117" s="59">
        <v>0</v>
      </c>
      <c r="V117" s="59">
        <v>0</v>
      </c>
      <c r="W117" s="59">
        <v>0</v>
      </c>
      <c r="X117" s="59">
        <v>0</v>
      </c>
      <c r="Y117" s="59">
        <v>0</v>
      </c>
      <c r="Z117" s="59">
        <v>0</v>
      </c>
      <c r="AA117" s="59">
        <v>0</v>
      </c>
      <c r="AB117" s="59">
        <v>0</v>
      </c>
      <c r="AC117" s="59">
        <v>0</v>
      </c>
      <c r="AD117" s="59">
        <v>0</v>
      </c>
      <c r="AE117" s="59">
        <v>0</v>
      </c>
      <c r="AF117" s="95">
        <v>0</v>
      </c>
    </row>
    <row r="118" spans="2:32" s="59" customFormat="1">
      <c r="B118" s="66" t="str">
        <f t="shared" si="5"/>
        <v>UPSCOALIG</v>
      </c>
      <c r="C118" s="499" t="s">
        <v>739</v>
      </c>
      <c r="D118" s="500" t="s">
        <v>733</v>
      </c>
      <c r="E118" s="70">
        <v>0</v>
      </c>
      <c r="F118" s="59">
        <v>0</v>
      </c>
      <c r="G118" s="59">
        <v>0</v>
      </c>
      <c r="H118" s="59">
        <v>0</v>
      </c>
      <c r="I118" s="59">
        <v>0</v>
      </c>
      <c r="J118" s="59">
        <v>0</v>
      </c>
      <c r="K118" s="59">
        <v>0</v>
      </c>
      <c r="L118" s="59">
        <v>0</v>
      </c>
      <c r="M118" s="59">
        <v>0</v>
      </c>
      <c r="N118" s="59">
        <v>0</v>
      </c>
      <c r="O118" s="59">
        <v>0</v>
      </c>
      <c r="P118" s="59">
        <v>0</v>
      </c>
      <c r="Q118" s="59">
        <v>0</v>
      </c>
      <c r="R118" s="59">
        <v>0</v>
      </c>
      <c r="S118" s="59">
        <v>0</v>
      </c>
      <c r="T118" s="59">
        <v>0</v>
      </c>
      <c r="U118" s="59">
        <v>0</v>
      </c>
      <c r="V118" s="59">
        <v>0</v>
      </c>
      <c r="W118" s="59">
        <v>0</v>
      </c>
      <c r="X118" s="59">
        <v>0</v>
      </c>
      <c r="Y118" s="59">
        <v>0</v>
      </c>
      <c r="Z118" s="59">
        <v>0</v>
      </c>
      <c r="AA118" s="59">
        <v>0</v>
      </c>
      <c r="AB118" s="59">
        <v>0</v>
      </c>
      <c r="AC118" s="59">
        <v>0</v>
      </c>
      <c r="AD118" s="59">
        <v>0</v>
      </c>
      <c r="AE118" s="59">
        <v>0</v>
      </c>
      <c r="AF118" s="95">
        <v>0</v>
      </c>
    </row>
    <row r="119" spans="2:32" s="59" customFormat="1">
      <c r="B119" s="66" t="str">
        <f t="shared" si="5"/>
        <v>UPSCOALIG</v>
      </c>
      <c r="C119" s="499" t="s">
        <v>740</v>
      </c>
      <c r="D119" s="500" t="s">
        <v>733</v>
      </c>
      <c r="E119" s="70">
        <v>0</v>
      </c>
      <c r="F119" s="59">
        <v>0</v>
      </c>
      <c r="G119" s="59">
        <v>0</v>
      </c>
      <c r="H119" s="59">
        <v>0</v>
      </c>
      <c r="I119" s="59">
        <v>0</v>
      </c>
      <c r="J119" s="59">
        <v>0</v>
      </c>
      <c r="K119" s="59">
        <v>0</v>
      </c>
      <c r="L119" s="59">
        <v>0</v>
      </c>
      <c r="M119" s="59">
        <v>0</v>
      </c>
      <c r="N119" s="59">
        <v>0</v>
      </c>
      <c r="O119" s="59">
        <v>0</v>
      </c>
      <c r="P119" s="59">
        <v>0</v>
      </c>
      <c r="Q119" s="59">
        <v>0</v>
      </c>
      <c r="R119" s="59">
        <v>0</v>
      </c>
      <c r="S119" s="59">
        <v>0</v>
      </c>
      <c r="T119" s="59">
        <v>0</v>
      </c>
      <c r="U119" s="59">
        <v>0</v>
      </c>
      <c r="V119" s="59">
        <v>0</v>
      </c>
      <c r="W119" s="59">
        <v>0</v>
      </c>
      <c r="X119" s="59">
        <v>0</v>
      </c>
      <c r="Y119" s="59">
        <v>0</v>
      </c>
      <c r="Z119" s="59">
        <v>0</v>
      </c>
      <c r="AA119" s="59">
        <v>0</v>
      </c>
      <c r="AB119" s="59">
        <v>0</v>
      </c>
      <c r="AC119" s="59">
        <v>0</v>
      </c>
      <c r="AD119" s="59">
        <v>0</v>
      </c>
      <c r="AE119" s="59">
        <v>0</v>
      </c>
      <c r="AF119" s="95">
        <v>0</v>
      </c>
    </row>
    <row r="120" spans="2:32" s="59" customFormat="1">
      <c r="B120" s="66" t="str">
        <f t="shared" si="5"/>
        <v>UPSCOALIG</v>
      </c>
      <c r="C120" s="499" t="s">
        <v>741</v>
      </c>
      <c r="D120" s="500" t="s">
        <v>733</v>
      </c>
      <c r="E120" s="70">
        <v>0</v>
      </c>
      <c r="F120" s="59">
        <v>0</v>
      </c>
      <c r="G120" s="59">
        <v>0</v>
      </c>
      <c r="H120" s="59">
        <v>0</v>
      </c>
      <c r="I120" s="59">
        <v>0</v>
      </c>
      <c r="J120" s="59">
        <v>1</v>
      </c>
      <c r="K120" s="59">
        <v>0</v>
      </c>
      <c r="L120" s="59">
        <v>0</v>
      </c>
      <c r="M120" s="59">
        <v>0</v>
      </c>
      <c r="N120" s="59">
        <v>0</v>
      </c>
      <c r="O120" s="59">
        <v>0</v>
      </c>
      <c r="P120" s="59">
        <v>0</v>
      </c>
      <c r="Q120" s="59">
        <v>0</v>
      </c>
      <c r="R120" s="59">
        <v>0</v>
      </c>
      <c r="S120" s="59">
        <v>0.9998348719483563</v>
      </c>
      <c r="T120" s="59">
        <v>0</v>
      </c>
      <c r="U120" s="59">
        <v>0</v>
      </c>
      <c r="V120" s="59">
        <v>0</v>
      </c>
      <c r="W120" s="59">
        <v>0</v>
      </c>
      <c r="X120" s="59">
        <v>0</v>
      </c>
      <c r="Y120" s="59">
        <v>0</v>
      </c>
      <c r="Z120" s="59">
        <v>0</v>
      </c>
      <c r="AA120" s="59">
        <v>0</v>
      </c>
      <c r="AB120" s="59">
        <v>0</v>
      </c>
      <c r="AC120" s="59">
        <v>0</v>
      </c>
      <c r="AD120" s="59">
        <v>1</v>
      </c>
      <c r="AE120" s="59">
        <v>0</v>
      </c>
      <c r="AF120" s="95">
        <v>0</v>
      </c>
    </row>
    <row r="121" spans="2:32" s="59" customFormat="1">
      <c r="B121" s="66" t="str">
        <f t="shared" si="5"/>
        <v>UPSCOALIG</v>
      </c>
      <c r="C121" s="499" t="s">
        <v>742</v>
      </c>
      <c r="D121" s="500" t="s">
        <v>733</v>
      </c>
      <c r="E121" s="70">
        <v>0</v>
      </c>
      <c r="F121" s="59">
        <v>0</v>
      </c>
      <c r="G121" s="59">
        <v>0</v>
      </c>
      <c r="H121" s="59">
        <v>0</v>
      </c>
      <c r="I121" s="59">
        <v>0</v>
      </c>
      <c r="J121" s="59">
        <v>0</v>
      </c>
      <c r="K121" s="59">
        <v>0</v>
      </c>
      <c r="L121" s="59">
        <v>0</v>
      </c>
      <c r="M121" s="59">
        <v>0</v>
      </c>
      <c r="N121" s="59">
        <v>0</v>
      </c>
      <c r="O121" s="59">
        <v>0</v>
      </c>
      <c r="P121" s="59">
        <v>0</v>
      </c>
      <c r="Q121" s="59">
        <v>0</v>
      </c>
      <c r="R121" s="59">
        <v>0</v>
      </c>
      <c r="S121" s="59">
        <v>0</v>
      </c>
      <c r="T121" s="59">
        <v>0</v>
      </c>
      <c r="U121" s="59">
        <v>0</v>
      </c>
      <c r="V121" s="59">
        <v>0</v>
      </c>
      <c r="W121" s="59">
        <v>0</v>
      </c>
      <c r="X121" s="59">
        <v>0</v>
      </c>
      <c r="Y121" s="59">
        <v>0</v>
      </c>
      <c r="Z121" s="59">
        <v>0</v>
      </c>
      <c r="AA121" s="59">
        <v>0</v>
      </c>
      <c r="AB121" s="59">
        <v>0</v>
      </c>
      <c r="AC121" s="59">
        <v>0</v>
      </c>
      <c r="AD121" s="59">
        <v>0</v>
      </c>
      <c r="AE121" s="59">
        <v>0</v>
      </c>
      <c r="AF121" s="95">
        <v>0</v>
      </c>
    </row>
    <row r="122" spans="2:32" s="59" customFormat="1">
      <c r="B122" s="66" t="str">
        <f t="shared" si="5"/>
        <v>UPSCOALIG</v>
      </c>
      <c r="C122" s="499" t="s">
        <v>743</v>
      </c>
      <c r="D122" s="500" t="s">
        <v>733</v>
      </c>
      <c r="E122" s="70">
        <v>0</v>
      </c>
      <c r="F122" s="59">
        <v>0</v>
      </c>
      <c r="G122" s="59">
        <v>0</v>
      </c>
      <c r="H122" s="59">
        <v>0</v>
      </c>
      <c r="I122" s="59">
        <v>0</v>
      </c>
      <c r="J122" s="59">
        <v>0</v>
      </c>
      <c r="K122" s="59">
        <v>0</v>
      </c>
      <c r="L122" s="59">
        <v>0</v>
      </c>
      <c r="M122" s="59">
        <v>0</v>
      </c>
      <c r="N122" s="59">
        <v>0</v>
      </c>
      <c r="O122" s="59">
        <v>0</v>
      </c>
      <c r="P122" s="59">
        <v>0</v>
      </c>
      <c r="Q122" s="59">
        <v>1</v>
      </c>
      <c r="R122" s="59">
        <v>0</v>
      </c>
      <c r="S122" s="59">
        <v>0</v>
      </c>
      <c r="T122" s="59">
        <v>0</v>
      </c>
      <c r="U122" s="59">
        <v>1</v>
      </c>
      <c r="V122" s="59">
        <v>0</v>
      </c>
      <c r="W122" s="59">
        <v>0</v>
      </c>
      <c r="X122" s="59">
        <v>0</v>
      </c>
      <c r="Y122" s="59">
        <v>0</v>
      </c>
      <c r="Z122" s="59">
        <v>0</v>
      </c>
      <c r="AA122" s="59">
        <v>0</v>
      </c>
      <c r="AB122" s="59">
        <v>0</v>
      </c>
      <c r="AC122" s="59">
        <v>0</v>
      </c>
      <c r="AD122" s="59">
        <v>0</v>
      </c>
      <c r="AE122" s="59">
        <v>0</v>
      </c>
      <c r="AF122" s="95">
        <v>0</v>
      </c>
    </row>
    <row r="123" spans="2:32" s="59" customFormat="1">
      <c r="B123" s="66" t="str">
        <f t="shared" si="5"/>
        <v>UPSCOALIG</v>
      </c>
      <c r="C123" s="499" t="s">
        <v>744</v>
      </c>
      <c r="D123" s="500" t="s">
        <v>733</v>
      </c>
      <c r="E123" s="70">
        <v>0</v>
      </c>
      <c r="F123" s="59">
        <v>0</v>
      </c>
      <c r="G123" s="59">
        <v>0</v>
      </c>
      <c r="H123" s="59">
        <v>0</v>
      </c>
      <c r="I123" s="59">
        <v>0</v>
      </c>
      <c r="J123" s="59">
        <v>0</v>
      </c>
      <c r="K123" s="59">
        <v>0</v>
      </c>
      <c r="L123" s="59">
        <v>0</v>
      </c>
      <c r="M123" s="59">
        <v>0</v>
      </c>
      <c r="N123" s="59">
        <v>0</v>
      </c>
      <c r="O123" s="59">
        <v>0</v>
      </c>
      <c r="P123" s="59">
        <v>0</v>
      </c>
      <c r="Q123" s="59">
        <v>0</v>
      </c>
      <c r="R123" s="59">
        <v>0</v>
      </c>
      <c r="S123" s="59">
        <v>0</v>
      </c>
      <c r="T123" s="59">
        <v>0</v>
      </c>
      <c r="U123" s="59">
        <v>0</v>
      </c>
      <c r="V123" s="59">
        <v>0</v>
      </c>
      <c r="W123" s="59">
        <v>0</v>
      </c>
      <c r="X123" s="59">
        <v>0</v>
      </c>
      <c r="Y123" s="59">
        <v>0</v>
      </c>
      <c r="Z123" s="59">
        <v>0</v>
      </c>
      <c r="AA123" s="59">
        <v>0</v>
      </c>
      <c r="AB123" s="59">
        <v>0</v>
      </c>
      <c r="AC123" s="59">
        <v>0</v>
      </c>
      <c r="AD123" s="59">
        <v>0</v>
      </c>
      <c r="AE123" s="59">
        <v>0</v>
      </c>
      <c r="AF123" s="95">
        <v>0</v>
      </c>
    </row>
    <row r="124" spans="2:32" s="59" customFormat="1">
      <c r="B124" s="66" t="str">
        <f t="shared" si="5"/>
        <v>UPSCOALIG</v>
      </c>
      <c r="C124" s="499" t="s">
        <v>745</v>
      </c>
      <c r="D124" s="500" t="s">
        <v>733</v>
      </c>
      <c r="E124" s="70">
        <v>0</v>
      </c>
      <c r="F124" s="59">
        <v>0</v>
      </c>
      <c r="G124" s="59">
        <v>0</v>
      </c>
      <c r="H124" s="59">
        <v>0</v>
      </c>
      <c r="I124" s="59">
        <v>0</v>
      </c>
      <c r="J124" s="59">
        <v>0</v>
      </c>
      <c r="K124" s="59">
        <v>0</v>
      </c>
      <c r="L124" s="59">
        <v>0</v>
      </c>
      <c r="M124" s="59">
        <v>0</v>
      </c>
      <c r="N124" s="59">
        <v>0</v>
      </c>
      <c r="O124" s="59">
        <v>0</v>
      </c>
      <c r="P124" s="59">
        <v>0</v>
      </c>
      <c r="Q124" s="59">
        <v>0</v>
      </c>
      <c r="R124" s="59">
        <v>0</v>
      </c>
      <c r="S124" s="59">
        <v>0</v>
      </c>
      <c r="T124" s="59">
        <v>0</v>
      </c>
      <c r="U124" s="59">
        <v>0</v>
      </c>
      <c r="V124" s="59">
        <v>0</v>
      </c>
      <c r="W124" s="59">
        <v>0</v>
      </c>
      <c r="X124" s="59">
        <v>0</v>
      </c>
      <c r="Y124" s="59">
        <v>0</v>
      </c>
      <c r="Z124" s="59">
        <v>0</v>
      </c>
      <c r="AA124" s="59">
        <v>0</v>
      </c>
      <c r="AB124" s="59">
        <v>0</v>
      </c>
      <c r="AC124" s="59">
        <v>0</v>
      </c>
      <c r="AD124" s="59">
        <v>0</v>
      </c>
      <c r="AE124" s="59">
        <v>0</v>
      </c>
      <c r="AF124" s="95">
        <v>0</v>
      </c>
    </row>
    <row r="125" spans="2:32" s="59" customFormat="1">
      <c r="B125" s="66" t="str">
        <f t="shared" si="5"/>
        <v>UPSCOALIG</v>
      </c>
      <c r="C125" s="499" t="s">
        <v>746</v>
      </c>
      <c r="D125" s="500" t="s">
        <v>733</v>
      </c>
      <c r="E125" s="70">
        <v>0</v>
      </c>
      <c r="F125" s="59">
        <v>0</v>
      </c>
      <c r="G125" s="59">
        <v>0</v>
      </c>
      <c r="H125" s="59">
        <v>0</v>
      </c>
      <c r="I125" s="59">
        <v>0</v>
      </c>
      <c r="J125" s="59">
        <v>0</v>
      </c>
      <c r="K125" s="59">
        <v>0</v>
      </c>
      <c r="L125" s="59">
        <v>0</v>
      </c>
      <c r="M125" s="59">
        <v>0</v>
      </c>
      <c r="N125" s="59">
        <v>0</v>
      </c>
      <c r="O125" s="59">
        <v>0</v>
      </c>
      <c r="P125" s="59">
        <v>0</v>
      </c>
      <c r="Q125" s="59">
        <v>0</v>
      </c>
      <c r="R125" s="59">
        <v>0</v>
      </c>
      <c r="S125" s="59">
        <v>0</v>
      </c>
      <c r="T125" s="59">
        <v>0</v>
      </c>
      <c r="U125" s="59">
        <v>0</v>
      </c>
      <c r="V125" s="59">
        <v>0</v>
      </c>
      <c r="W125" s="59">
        <v>0</v>
      </c>
      <c r="X125" s="59">
        <v>0</v>
      </c>
      <c r="Y125" s="59">
        <v>0</v>
      </c>
      <c r="Z125" s="59">
        <v>0</v>
      </c>
      <c r="AA125" s="59">
        <v>0</v>
      </c>
      <c r="AB125" s="59">
        <v>0</v>
      </c>
      <c r="AC125" s="59">
        <v>0</v>
      </c>
      <c r="AD125" s="59">
        <v>0</v>
      </c>
      <c r="AE125" s="59">
        <v>0</v>
      </c>
      <c r="AF125" s="95">
        <v>0</v>
      </c>
    </row>
    <row r="126" spans="2:32" s="59" customFormat="1">
      <c r="B126" s="269" t="str">
        <f t="shared" si="5"/>
        <v>UPSCOALIG</v>
      </c>
      <c r="C126" s="503" t="s">
        <v>747</v>
      </c>
      <c r="D126" s="504" t="s">
        <v>733</v>
      </c>
      <c r="E126" s="271">
        <v>0</v>
      </c>
      <c r="F126" s="80">
        <v>0</v>
      </c>
      <c r="G126" s="80">
        <v>0</v>
      </c>
      <c r="H126" s="80">
        <v>0</v>
      </c>
      <c r="I126" s="80">
        <v>0</v>
      </c>
      <c r="J126" s="80">
        <v>0</v>
      </c>
      <c r="K126" s="80">
        <v>0</v>
      </c>
      <c r="L126" s="80">
        <v>0</v>
      </c>
      <c r="M126" s="80">
        <v>0</v>
      </c>
      <c r="N126" s="80">
        <v>0</v>
      </c>
      <c r="O126" s="80">
        <v>0</v>
      </c>
      <c r="P126" s="80">
        <v>0</v>
      </c>
      <c r="Q126" s="80">
        <v>0</v>
      </c>
      <c r="R126" s="80">
        <v>0</v>
      </c>
      <c r="S126" s="80">
        <v>0</v>
      </c>
      <c r="T126" s="80">
        <v>0</v>
      </c>
      <c r="U126" s="80">
        <v>0</v>
      </c>
      <c r="V126" s="80">
        <v>0</v>
      </c>
      <c r="W126" s="80">
        <v>0</v>
      </c>
      <c r="X126" s="80">
        <v>0</v>
      </c>
      <c r="Y126" s="80">
        <v>0</v>
      </c>
      <c r="Z126" s="80">
        <v>0</v>
      </c>
      <c r="AA126" s="80">
        <v>0</v>
      </c>
      <c r="AB126" s="80">
        <v>0</v>
      </c>
      <c r="AC126" s="80">
        <v>0</v>
      </c>
      <c r="AD126" s="80">
        <v>0</v>
      </c>
      <c r="AE126" s="80">
        <v>0</v>
      </c>
      <c r="AF126" s="97">
        <v>0</v>
      </c>
    </row>
    <row r="127" spans="2:32" s="59" customFormat="1">
      <c r="B127" s="66" t="s">
        <v>531</v>
      </c>
      <c r="C127" s="499"/>
      <c r="D127" s="500"/>
      <c r="E127" s="70"/>
      <c r="AF127" s="95"/>
    </row>
    <row r="128" spans="2:32" s="59" customFormat="1">
      <c r="B128" s="66" t="str">
        <f>B127</f>
        <v>UPSCOG</v>
      </c>
      <c r="C128" s="499" t="s">
        <v>732</v>
      </c>
      <c r="D128" s="500" t="s">
        <v>733</v>
      </c>
      <c r="E128" s="70">
        <v>0</v>
      </c>
      <c r="F128" s="59">
        <v>0</v>
      </c>
      <c r="G128" s="59">
        <v>0</v>
      </c>
      <c r="H128" s="59">
        <v>0</v>
      </c>
      <c r="I128" s="59">
        <v>0</v>
      </c>
      <c r="J128" s="59">
        <v>0</v>
      </c>
      <c r="K128" s="59">
        <v>0</v>
      </c>
      <c r="L128" s="59">
        <v>0</v>
      </c>
      <c r="M128" s="59">
        <v>0</v>
      </c>
      <c r="N128" s="59">
        <v>0</v>
      </c>
      <c r="O128" s="59">
        <v>0</v>
      </c>
      <c r="P128" s="59">
        <v>0</v>
      </c>
      <c r="Q128" s="59">
        <v>0</v>
      </c>
      <c r="R128" s="59">
        <v>0</v>
      </c>
      <c r="S128" s="59">
        <v>0</v>
      </c>
      <c r="T128" s="59">
        <v>0</v>
      </c>
      <c r="U128" s="59">
        <v>0</v>
      </c>
      <c r="V128" s="59">
        <v>0</v>
      </c>
      <c r="W128" s="59">
        <v>0</v>
      </c>
      <c r="X128" s="59">
        <v>0</v>
      </c>
      <c r="Y128" s="59">
        <v>0</v>
      </c>
      <c r="Z128" s="59">
        <v>0</v>
      </c>
      <c r="AA128" s="59">
        <v>0</v>
      </c>
      <c r="AB128" s="59">
        <v>0</v>
      </c>
      <c r="AC128" s="59">
        <v>0</v>
      </c>
      <c r="AD128" s="59">
        <v>0</v>
      </c>
      <c r="AE128" s="59">
        <v>0</v>
      </c>
      <c r="AF128" s="95">
        <v>0</v>
      </c>
    </row>
    <row r="129" spans="2:32" s="59" customFormat="1">
      <c r="B129" s="66" t="str">
        <f t="shared" ref="B129:B142" si="6">B128</f>
        <v>UPSCOG</v>
      </c>
      <c r="C129" s="499" t="s">
        <v>734</v>
      </c>
      <c r="D129" s="500" t="s">
        <v>733</v>
      </c>
      <c r="E129" s="70">
        <v>0</v>
      </c>
      <c r="F129" s="59">
        <v>0</v>
      </c>
      <c r="G129" s="59">
        <v>0</v>
      </c>
      <c r="H129" s="59">
        <v>0</v>
      </c>
      <c r="I129" s="59">
        <v>0</v>
      </c>
      <c r="J129" s="59">
        <v>0</v>
      </c>
      <c r="K129" s="59">
        <v>0</v>
      </c>
      <c r="L129" s="59">
        <v>0</v>
      </c>
      <c r="M129" s="59">
        <v>0</v>
      </c>
      <c r="N129" s="59">
        <v>0</v>
      </c>
      <c r="O129" s="59">
        <v>0</v>
      </c>
      <c r="P129" s="59">
        <v>0</v>
      </c>
      <c r="Q129" s="59">
        <v>0</v>
      </c>
      <c r="R129" s="59">
        <v>0</v>
      </c>
      <c r="S129" s="59">
        <v>0</v>
      </c>
      <c r="T129" s="59">
        <v>0</v>
      </c>
      <c r="U129" s="59">
        <v>1.8071768959110619E-2</v>
      </c>
      <c r="V129" s="59">
        <v>0</v>
      </c>
      <c r="W129" s="59">
        <v>0</v>
      </c>
      <c r="X129" s="59">
        <v>0</v>
      </c>
      <c r="Y129" s="59">
        <v>0</v>
      </c>
      <c r="Z129" s="59">
        <v>0</v>
      </c>
      <c r="AA129" s="59">
        <v>0</v>
      </c>
      <c r="AB129" s="59">
        <v>0</v>
      </c>
      <c r="AC129" s="59">
        <v>0</v>
      </c>
      <c r="AD129" s="59">
        <v>0</v>
      </c>
      <c r="AE129" s="59">
        <v>0</v>
      </c>
      <c r="AF129" s="95">
        <v>0</v>
      </c>
    </row>
    <row r="130" spans="2:32" s="59" customFormat="1">
      <c r="B130" s="66" t="str">
        <f t="shared" si="6"/>
        <v>UPSCOG</v>
      </c>
      <c r="C130" s="499" t="s">
        <v>735</v>
      </c>
      <c r="D130" s="500" t="s">
        <v>733</v>
      </c>
      <c r="E130" s="70">
        <v>0</v>
      </c>
      <c r="F130" s="59">
        <v>0</v>
      </c>
      <c r="G130" s="59">
        <v>0</v>
      </c>
      <c r="H130" s="59">
        <v>0</v>
      </c>
      <c r="I130" s="59">
        <v>0</v>
      </c>
      <c r="J130" s="59">
        <v>0</v>
      </c>
      <c r="K130" s="59">
        <v>0</v>
      </c>
      <c r="L130" s="59">
        <v>0</v>
      </c>
      <c r="M130" s="59">
        <v>0</v>
      </c>
      <c r="N130" s="59">
        <v>0</v>
      </c>
      <c r="O130" s="59">
        <v>0</v>
      </c>
      <c r="P130" s="59">
        <v>0</v>
      </c>
      <c r="Q130" s="59">
        <v>0</v>
      </c>
      <c r="R130" s="59">
        <v>0</v>
      </c>
      <c r="S130" s="59">
        <v>1.3394793620725359E-2</v>
      </c>
      <c r="T130" s="59">
        <v>0</v>
      </c>
      <c r="U130" s="59">
        <v>0</v>
      </c>
      <c r="V130" s="59">
        <v>0</v>
      </c>
      <c r="W130" s="59">
        <v>0</v>
      </c>
      <c r="X130" s="59">
        <v>0</v>
      </c>
      <c r="Y130" s="59">
        <v>0</v>
      </c>
      <c r="Z130" s="59">
        <v>0</v>
      </c>
      <c r="AA130" s="59">
        <v>0</v>
      </c>
      <c r="AB130" s="59">
        <v>0</v>
      </c>
      <c r="AC130" s="59">
        <v>0</v>
      </c>
      <c r="AD130" s="59">
        <v>0</v>
      </c>
      <c r="AE130" s="59">
        <v>0</v>
      </c>
      <c r="AF130" s="95">
        <v>0</v>
      </c>
    </row>
    <row r="131" spans="2:32" s="59" customFormat="1">
      <c r="B131" s="66" t="str">
        <f t="shared" si="6"/>
        <v>UPSCOG</v>
      </c>
      <c r="C131" s="499" t="s">
        <v>736</v>
      </c>
      <c r="D131" s="500" t="s">
        <v>733</v>
      </c>
      <c r="E131" s="70">
        <v>0</v>
      </c>
      <c r="F131" s="59">
        <v>0</v>
      </c>
      <c r="G131" s="59">
        <v>0</v>
      </c>
      <c r="H131" s="59">
        <v>0</v>
      </c>
      <c r="I131" s="59">
        <v>0</v>
      </c>
      <c r="J131" s="59">
        <v>0</v>
      </c>
      <c r="K131" s="59">
        <v>0</v>
      </c>
      <c r="L131" s="59">
        <v>0</v>
      </c>
      <c r="M131" s="59">
        <v>0</v>
      </c>
      <c r="N131" s="59">
        <v>0</v>
      </c>
      <c r="O131" s="59">
        <v>0</v>
      </c>
      <c r="P131" s="59">
        <v>0</v>
      </c>
      <c r="Q131" s="59">
        <v>0</v>
      </c>
      <c r="R131" s="59">
        <v>0</v>
      </c>
      <c r="S131" s="59">
        <v>0</v>
      </c>
      <c r="T131" s="59">
        <v>0</v>
      </c>
      <c r="U131" s="59">
        <v>0</v>
      </c>
      <c r="V131" s="59">
        <v>0</v>
      </c>
      <c r="W131" s="59">
        <v>0</v>
      </c>
      <c r="X131" s="59">
        <v>0</v>
      </c>
      <c r="Y131" s="59">
        <v>0</v>
      </c>
      <c r="Z131" s="59">
        <v>0</v>
      </c>
      <c r="AA131" s="59">
        <v>0</v>
      </c>
      <c r="AB131" s="59">
        <v>0</v>
      </c>
      <c r="AC131" s="59">
        <v>0</v>
      </c>
      <c r="AD131" s="59">
        <v>0</v>
      </c>
      <c r="AE131" s="59">
        <v>0</v>
      </c>
      <c r="AF131" s="95">
        <v>0</v>
      </c>
    </row>
    <row r="132" spans="2:32" s="59" customFormat="1">
      <c r="B132" s="66" t="str">
        <f t="shared" si="6"/>
        <v>UPSCOG</v>
      </c>
      <c r="C132" s="499" t="s">
        <v>737</v>
      </c>
      <c r="D132" s="500" t="s">
        <v>733</v>
      </c>
      <c r="E132" s="70">
        <v>0</v>
      </c>
      <c r="F132" s="59">
        <v>0</v>
      </c>
      <c r="G132" s="59">
        <v>0</v>
      </c>
      <c r="H132" s="59">
        <v>0</v>
      </c>
      <c r="I132" s="59">
        <v>1</v>
      </c>
      <c r="J132" s="59">
        <v>1</v>
      </c>
      <c r="K132" s="59">
        <v>0</v>
      </c>
      <c r="L132" s="59">
        <v>0</v>
      </c>
      <c r="M132" s="59">
        <v>1</v>
      </c>
      <c r="N132" s="59">
        <v>0</v>
      </c>
      <c r="O132" s="59">
        <v>0</v>
      </c>
      <c r="P132" s="59">
        <v>0.99077245053272456</v>
      </c>
      <c r="Q132" s="59">
        <v>0.68911841010328456</v>
      </c>
      <c r="R132" s="59">
        <v>0.81921032569565033</v>
      </c>
      <c r="S132" s="59">
        <v>0.9443264471226045</v>
      </c>
      <c r="T132" s="59">
        <v>1</v>
      </c>
      <c r="U132" s="59">
        <v>0.80443615932475088</v>
      </c>
      <c r="V132" s="59">
        <v>0</v>
      </c>
      <c r="W132" s="59">
        <v>0.74999693112210453</v>
      </c>
      <c r="X132" s="59">
        <v>1</v>
      </c>
      <c r="Y132" s="59">
        <v>1</v>
      </c>
      <c r="Z132" s="59">
        <v>0.59084357223745965</v>
      </c>
      <c r="AA132" s="59">
        <v>1</v>
      </c>
      <c r="AB132" s="59">
        <v>0</v>
      </c>
      <c r="AC132" s="59">
        <v>0</v>
      </c>
      <c r="AD132" s="59">
        <v>1</v>
      </c>
      <c r="AE132" s="59">
        <v>0.37157774930021309</v>
      </c>
      <c r="AF132" s="95">
        <v>0.75882436160430078</v>
      </c>
    </row>
    <row r="133" spans="2:32" s="59" customFormat="1">
      <c r="B133" s="66" t="str">
        <f t="shared" si="6"/>
        <v>UPSCOG</v>
      </c>
      <c r="C133" s="499" t="s">
        <v>738</v>
      </c>
      <c r="D133" s="500" t="s">
        <v>733</v>
      </c>
      <c r="E133" s="70">
        <v>0</v>
      </c>
      <c r="F133" s="59">
        <v>0</v>
      </c>
      <c r="G133" s="59">
        <v>0</v>
      </c>
      <c r="H133" s="59">
        <v>0</v>
      </c>
      <c r="I133" s="59">
        <v>0</v>
      </c>
      <c r="J133" s="59">
        <v>0</v>
      </c>
      <c r="K133" s="59">
        <v>0</v>
      </c>
      <c r="L133" s="59">
        <v>0</v>
      </c>
      <c r="M133" s="59">
        <v>0</v>
      </c>
      <c r="N133" s="59">
        <v>0</v>
      </c>
      <c r="O133" s="59">
        <v>1</v>
      </c>
      <c r="P133" s="59">
        <v>0</v>
      </c>
      <c r="Q133" s="59">
        <v>0.31088158989671544</v>
      </c>
      <c r="R133" s="59">
        <v>0.18078967430434964</v>
      </c>
      <c r="S133" s="59">
        <v>4.2278759256670198E-2</v>
      </c>
      <c r="T133" s="59">
        <v>0</v>
      </c>
      <c r="U133" s="59">
        <v>0.17749207171613848</v>
      </c>
      <c r="V133" s="59">
        <v>0</v>
      </c>
      <c r="W133" s="59">
        <v>0.25000306887789547</v>
      </c>
      <c r="X133" s="59">
        <v>0</v>
      </c>
      <c r="Y133" s="59">
        <v>0</v>
      </c>
      <c r="Z133" s="59">
        <v>0.40915642776254035</v>
      </c>
      <c r="AA133" s="59">
        <v>0</v>
      </c>
      <c r="AB133" s="59">
        <v>0</v>
      </c>
      <c r="AC133" s="59">
        <v>0</v>
      </c>
      <c r="AD133" s="59">
        <v>0</v>
      </c>
      <c r="AE133" s="59">
        <v>0.62842225069978686</v>
      </c>
      <c r="AF133" s="95">
        <v>0.24117563839569922</v>
      </c>
    </row>
    <row r="134" spans="2:32" s="59" customFormat="1">
      <c r="B134" s="66" t="str">
        <f t="shared" si="6"/>
        <v>UPSCOG</v>
      </c>
      <c r="C134" s="499" t="s">
        <v>739</v>
      </c>
      <c r="D134" s="500" t="s">
        <v>733</v>
      </c>
      <c r="E134" s="70">
        <v>0</v>
      </c>
      <c r="F134" s="59">
        <v>0</v>
      </c>
      <c r="G134" s="59">
        <v>0</v>
      </c>
      <c r="H134" s="59">
        <v>0</v>
      </c>
      <c r="I134" s="59">
        <v>0</v>
      </c>
      <c r="J134" s="59">
        <v>0</v>
      </c>
      <c r="K134" s="59">
        <v>0</v>
      </c>
      <c r="L134" s="59">
        <v>0</v>
      </c>
      <c r="M134" s="59">
        <v>0</v>
      </c>
      <c r="N134" s="59">
        <v>0</v>
      </c>
      <c r="O134" s="59">
        <v>0</v>
      </c>
      <c r="P134" s="59">
        <v>0</v>
      </c>
      <c r="Q134" s="59">
        <v>0</v>
      </c>
      <c r="R134" s="59">
        <v>0</v>
      </c>
      <c r="S134" s="59">
        <v>0</v>
      </c>
      <c r="T134" s="59">
        <v>0</v>
      </c>
      <c r="U134" s="59">
        <v>0</v>
      </c>
      <c r="V134" s="59">
        <v>0</v>
      </c>
      <c r="W134" s="59">
        <v>0</v>
      </c>
      <c r="X134" s="59">
        <v>0</v>
      </c>
      <c r="Y134" s="59">
        <v>0</v>
      </c>
      <c r="Z134" s="59">
        <v>0</v>
      </c>
      <c r="AA134" s="59">
        <v>0</v>
      </c>
      <c r="AB134" s="59">
        <v>0</v>
      </c>
      <c r="AC134" s="59">
        <v>0</v>
      </c>
      <c r="AD134" s="59">
        <v>0</v>
      </c>
      <c r="AE134" s="59">
        <v>0</v>
      </c>
      <c r="AF134" s="95">
        <v>0</v>
      </c>
    </row>
    <row r="135" spans="2:32" s="59" customFormat="1">
      <c r="B135" s="66" t="str">
        <f t="shared" si="6"/>
        <v>UPSCOG</v>
      </c>
      <c r="C135" s="499" t="s">
        <v>740</v>
      </c>
      <c r="D135" s="500" t="s">
        <v>733</v>
      </c>
      <c r="E135" s="70">
        <v>0</v>
      </c>
      <c r="F135" s="59">
        <v>0</v>
      </c>
      <c r="G135" s="59">
        <v>0</v>
      </c>
      <c r="H135" s="59">
        <v>0</v>
      </c>
      <c r="I135" s="59">
        <v>0</v>
      </c>
      <c r="J135" s="59">
        <v>0</v>
      </c>
      <c r="K135" s="59">
        <v>0</v>
      </c>
      <c r="L135" s="59">
        <v>0</v>
      </c>
      <c r="M135" s="59">
        <v>0</v>
      </c>
      <c r="N135" s="59">
        <v>0</v>
      </c>
      <c r="O135" s="59">
        <v>0</v>
      </c>
      <c r="P135" s="59">
        <v>0</v>
      </c>
      <c r="Q135" s="59">
        <v>0</v>
      </c>
      <c r="R135" s="59">
        <v>0</v>
      </c>
      <c r="S135" s="59">
        <v>0</v>
      </c>
      <c r="T135" s="59">
        <v>0</v>
      </c>
      <c r="U135" s="59">
        <v>0</v>
      </c>
      <c r="V135" s="59">
        <v>0</v>
      </c>
      <c r="W135" s="59">
        <v>0</v>
      </c>
      <c r="X135" s="59">
        <v>0</v>
      </c>
      <c r="Y135" s="59">
        <v>0</v>
      </c>
      <c r="Z135" s="59">
        <v>0</v>
      </c>
      <c r="AA135" s="59">
        <v>0</v>
      </c>
      <c r="AB135" s="59">
        <v>0</v>
      </c>
      <c r="AC135" s="59">
        <v>0</v>
      </c>
      <c r="AD135" s="59">
        <v>0</v>
      </c>
      <c r="AE135" s="59">
        <v>0</v>
      </c>
      <c r="AF135" s="95">
        <v>0</v>
      </c>
    </row>
    <row r="136" spans="2:32" s="59" customFormat="1">
      <c r="B136" s="66" t="str">
        <f t="shared" si="6"/>
        <v>UPSCOG</v>
      </c>
      <c r="C136" s="499" t="s">
        <v>741</v>
      </c>
      <c r="D136" s="500" t="s">
        <v>733</v>
      </c>
      <c r="E136" s="70">
        <v>0</v>
      </c>
      <c r="F136" s="59">
        <v>0</v>
      </c>
      <c r="G136" s="59">
        <v>0</v>
      </c>
      <c r="H136" s="59">
        <v>0</v>
      </c>
      <c r="I136" s="59">
        <v>0</v>
      </c>
      <c r="J136" s="59">
        <v>0</v>
      </c>
      <c r="K136" s="59">
        <v>0</v>
      </c>
      <c r="L136" s="59">
        <v>0</v>
      </c>
      <c r="M136" s="59">
        <v>0</v>
      </c>
      <c r="N136" s="59">
        <v>0</v>
      </c>
      <c r="O136" s="59">
        <v>0</v>
      </c>
      <c r="P136" s="59">
        <v>4.9467275494672752E-3</v>
      </c>
      <c r="Q136" s="59">
        <v>0</v>
      </c>
      <c r="R136" s="59">
        <v>0</v>
      </c>
      <c r="S136" s="59">
        <v>0</v>
      </c>
      <c r="T136" s="59">
        <v>0</v>
      </c>
      <c r="U136" s="59">
        <v>0</v>
      </c>
      <c r="V136" s="59">
        <v>0</v>
      </c>
      <c r="W136" s="59">
        <v>0</v>
      </c>
      <c r="X136" s="59">
        <v>0</v>
      </c>
      <c r="Y136" s="59">
        <v>0</v>
      </c>
      <c r="Z136" s="59">
        <v>0</v>
      </c>
      <c r="AA136" s="59">
        <v>0</v>
      </c>
      <c r="AB136" s="59">
        <v>0</v>
      </c>
      <c r="AC136" s="59">
        <v>0</v>
      </c>
      <c r="AD136" s="59">
        <v>0</v>
      </c>
      <c r="AE136" s="59">
        <v>0</v>
      </c>
      <c r="AF136" s="95">
        <v>0</v>
      </c>
    </row>
    <row r="137" spans="2:32" s="59" customFormat="1">
      <c r="B137" s="66" t="str">
        <f t="shared" si="6"/>
        <v>UPSCOG</v>
      </c>
      <c r="C137" s="499" t="s">
        <v>742</v>
      </c>
      <c r="D137" s="500" t="s">
        <v>733</v>
      </c>
      <c r="E137" s="70">
        <v>0</v>
      </c>
      <c r="F137" s="59">
        <v>0</v>
      </c>
      <c r="G137" s="59">
        <v>0</v>
      </c>
      <c r="H137" s="59">
        <v>0</v>
      </c>
      <c r="I137" s="59">
        <v>0</v>
      </c>
      <c r="J137" s="59">
        <v>0</v>
      </c>
      <c r="K137" s="59">
        <v>0</v>
      </c>
      <c r="L137" s="59">
        <v>0</v>
      </c>
      <c r="M137" s="59">
        <v>0</v>
      </c>
      <c r="N137" s="59">
        <v>0</v>
      </c>
      <c r="O137" s="59">
        <v>0</v>
      </c>
      <c r="P137" s="59">
        <v>4.2808219178082189E-3</v>
      </c>
      <c r="Q137" s="59">
        <v>0</v>
      </c>
      <c r="R137" s="59">
        <v>0</v>
      </c>
      <c r="S137" s="59">
        <v>0</v>
      </c>
      <c r="T137" s="59">
        <v>0</v>
      </c>
      <c r="U137" s="59">
        <v>0</v>
      </c>
      <c r="V137" s="59">
        <v>0</v>
      </c>
      <c r="W137" s="59">
        <v>0</v>
      </c>
      <c r="X137" s="59">
        <v>0</v>
      </c>
      <c r="Y137" s="59">
        <v>0</v>
      </c>
      <c r="Z137" s="59">
        <v>0</v>
      </c>
      <c r="AA137" s="59">
        <v>0</v>
      </c>
      <c r="AB137" s="59">
        <v>0</v>
      </c>
      <c r="AC137" s="59">
        <v>0</v>
      </c>
      <c r="AD137" s="59">
        <v>0</v>
      </c>
      <c r="AE137" s="59">
        <v>0</v>
      </c>
      <c r="AF137" s="95">
        <v>0</v>
      </c>
    </row>
    <row r="138" spans="2:32" s="59" customFormat="1">
      <c r="B138" s="66" t="str">
        <f t="shared" si="6"/>
        <v>UPSCOG</v>
      </c>
      <c r="C138" s="499" t="s">
        <v>743</v>
      </c>
      <c r="D138" s="500" t="s">
        <v>733</v>
      </c>
      <c r="E138" s="70">
        <v>0</v>
      </c>
      <c r="F138" s="59">
        <v>0</v>
      </c>
      <c r="G138" s="59">
        <v>0</v>
      </c>
      <c r="H138" s="59">
        <v>0</v>
      </c>
      <c r="I138" s="59">
        <v>0</v>
      </c>
      <c r="J138" s="59">
        <v>0</v>
      </c>
      <c r="K138" s="59">
        <v>0</v>
      </c>
      <c r="L138" s="59">
        <v>0</v>
      </c>
      <c r="M138" s="59">
        <v>0</v>
      </c>
      <c r="N138" s="59">
        <v>0</v>
      </c>
      <c r="O138" s="59">
        <v>0</v>
      </c>
      <c r="P138" s="59">
        <v>0</v>
      </c>
      <c r="Q138" s="59">
        <v>0</v>
      </c>
      <c r="R138" s="59">
        <v>0</v>
      </c>
      <c r="S138" s="59">
        <v>0</v>
      </c>
      <c r="T138" s="59">
        <v>0</v>
      </c>
      <c r="U138" s="59">
        <v>0</v>
      </c>
      <c r="V138" s="59">
        <v>0</v>
      </c>
      <c r="W138" s="59">
        <v>0</v>
      </c>
      <c r="X138" s="59">
        <v>0</v>
      </c>
      <c r="Y138" s="59">
        <v>0</v>
      </c>
      <c r="Z138" s="59">
        <v>0</v>
      </c>
      <c r="AA138" s="59">
        <v>0</v>
      </c>
      <c r="AB138" s="59">
        <v>0</v>
      </c>
      <c r="AC138" s="59">
        <v>0</v>
      </c>
      <c r="AD138" s="59">
        <v>0</v>
      </c>
      <c r="AE138" s="59">
        <v>0</v>
      </c>
      <c r="AF138" s="95">
        <v>0</v>
      </c>
    </row>
    <row r="139" spans="2:32" s="59" customFormat="1">
      <c r="B139" s="66" t="str">
        <f t="shared" si="6"/>
        <v>UPSCOG</v>
      </c>
      <c r="C139" s="499" t="s">
        <v>744</v>
      </c>
      <c r="D139" s="500" t="s">
        <v>733</v>
      </c>
      <c r="E139" s="70">
        <v>0</v>
      </c>
      <c r="F139" s="59">
        <v>0</v>
      </c>
      <c r="G139" s="59">
        <v>0</v>
      </c>
      <c r="H139" s="59">
        <v>0</v>
      </c>
      <c r="I139" s="59">
        <v>0</v>
      </c>
      <c r="J139" s="59">
        <v>0</v>
      </c>
      <c r="K139" s="59">
        <v>0</v>
      </c>
      <c r="L139" s="59">
        <v>0</v>
      </c>
      <c r="M139" s="59">
        <v>0</v>
      </c>
      <c r="N139" s="59">
        <v>0</v>
      </c>
      <c r="O139" s="59">
        <v>0</v>
      </c>
      <c r="P139" s="59">
        <v>0</v>
      </c>
      <c r="Q139" s="59">
        <v>0</v>
      </c>
      <c r="R139" s="59">
        <v>0</v>
      </c>
      <c r="S139" s="59">
        <v>0</v>
      </c>
      <c r="T139" s="59">
        <v>0</v>
      </c>
      <c r="U139" s="59">
        <v>0</v>
      </c>
      <c r="V139" s="59">
        <v>0</v>
      </c>
      <c r="W139" s="59">
        <v>0</v>
      </c>
      <c r="X139" s="59">
        <v>0</v>
      </c>
      <c r="Y139" s="59">
        <v>0</v>
      </c>
      <c r="Z139" s="59">
        <v>0</v>
      </c>
      <c r="AA139" s="59">
        <v>0</v>
      </c>
      <c r="AB139" s="59">
        <v>0</v>
      </c>
      <c r="AC139" s="59">
        <v>0</v>
      </c>
      <c r="AD139" s="59">
        <v>0</v>
      </c>
      <c r="AE139" s="59">
        <v>0</v>
      </c>
      <c r="AF139" s="95">
        <v>0</v>
      </c>
    </row>
    <row r="140" spans="2:32" s="59" customFormat="1">
      <c r="B140" s="66" t="str">
        <f t="shared" si="6"/>
        <v>UPSCOG</v>
      </c>
      <c r="C140" s="499" t="s">
        <v>745</v>
      </c>
      <c r="D140" s="500" t="s">
        <v>733</v>
      </c>
      <c r="E140" s="70">
        <v>0</v>
      </c>
      <c r="F140" s="59">
        <v>0</v>
      </c>
      <c r="G140" s="59">
        <v>0</v>
      </c>
      <c r="H140" s="59">
        <v>0</v>
      </c>
      <c r="I140" s="59">
        <v>0</v>
      </c>
      <c r="J140" s="59">
        <v>0</v>
      </c>
      <c r="K140" s="59">
        <v>0</v>
      </c>
      <c r="L140" s="59">
        <v>0</v>
      </c>
      <c r="M140" s="59">
        <v>0</v>
      </c>
      <c r="N140" s="59">
        <v>0</v>
      </c>
      <c r="O140" s="59">
        <v>0</v>
      </c>
      <c r="P140" s="59">
        <v>0</v>
      </c>
      <c r="Q140" s="59">
        <v>0</v>
      </c>
      <c r="R140" s="59">
        <v>0</v>
      </c>
      <c r="S140" s="59">
        <v>0</v>
      </c>
      <c r="T140" s="59">
        <v>0</v>
      </c>
      <c r="U140" s="59">
        <v>0</v>
      </c>
      <c r="V140" s="59">
        <v>0</v>
      </c>
      <c r="W140" s="59">
        <v>0</v>
      </c>
      <c r="X140" s="59">
        <v>0</v>
      </c>
      <c r="Y140" s="59">
        <v>0</v>
      </c>
      <c r="Z140" s="59">
        <v>0</v>
      </c>
      <c r="AA140" s="59">
        <v>0</v>
      </c>
      <c r="AB140" s="59">
        <v>0</v>
      </c>
      <c r="AC140" s="59">
        <v>0</v>
      </c>
      <c r="AD140" s="59">
        <v>0</v>
      </c>
      <c r="AE140" s="59">
        <v>0</v>
      </c>
      <c r="AF140" s="95">
        <v>0</v>
      </c>
    </row>
    <row r="141" spans="2:32" s="59" customFormat="1">
      <c r="B141" s="66" t="str">
        <f t="shared" si="6"/>
        <v>UPSCOG</v>
      </c>
      <c r="C141" s="499" t="s">
        <v>746</v>
      </c>
      <c r="D141" s="500" t="s">
        <v>733</v>
      </c>
      <c r="E141" s="70">
        <v>0</v>
      </c>
      <c r="F141" s="59">
        <v>0</v>
      </c>
      <c r="G141" s="59">
        <v>0</v>
      </c>
      <c r="H141" s="59">
        <v>0</v>
      </c>
      <c r="I141" s="59">
        <v>0</v>
      </c>
      <c r="J141" s="59">
        <v>0</v>
      </c>
      <c r="K141" s="59">
        <v>0</v>
      </c>
      <c r="L141" s="59">
        <v>0</v>
      </c>
      <c r="M141" s="59">
        <v>0</v>
      </c>
      <c r="N141" s="59">
        <v>0</v>
      </c>
      <c r="O141" s="59">
        <v>0</v>
      </c>
      <c r="P141" s="59">
        <v>0</v>
      </c>
      <c r="Q141" s="59">
        <v>0</v>
      </c>
      <c r="R141" s="59">
        <v>0</v>
      </c>
      <c r="S141" s="59">
        <v>0</v>
      </c>
      <c r="T141" s="59">
        <v>0</v>
      </c>
      <c r="U141" s="59">
        <v>0</v>
      </c>
      <c r="V141" s="59">
        <v>0</v>
      </c>
      <c r="W141" s="59">
        <v>0</v>
      </c>
      <c r="X141" s="59">
        <v>0</v>
      </c>
      <c r="Y141" s="59">
        <v>0</v>
      </c>
      <c r="Z141" s="59">
        <v>0</v>
      </c>
      <c r="AA141" s="59">
        <v>0</v>
      </c>
      <c r="AB141" s="59">
        <v>0</v>
      </c>
      <c r="AC141" s="59">
        <v>0</v>
      </c>
      <c r="AD141" s="59">
        <v>0</v>
      </c>
      <c r="AE141" s="59">
        <v>0</v>
      </c>
      <c r="AF141" s="95">
        <v>0</v>
      </c>
    </row>
    <row r="142" spans="2:32" s="59" customFormat="1">
      <c r="B142" s="269" t="str">
        <f t="shared" si="6"/>
        <v>UPSCOG</v>
      </c>
      <c r="C142" s="503" t="s">
        <v>747</v>
      </c>
      <c r="D142" s="504" t="s">
        <v>733</v>
      </c>
      <c r="E142" s="271">
        <v>0</v>
      </c>
      <c r="F142" s="80">
        <v>0</v>
      </c>
      <c r="G142" s="80">
        <v>0</v>
      </c>
      <c r="H142" s="80">
        <v>0</v>
      </c>
      <c r="I142" s="80">
        <v>0</v>
      </c>
      <c r="J142" s="80">
        <v>0</v>
      </c>
      <c r="K142" s="80">
        <v>0</v>
      </c>
      <c r="L142" s="80">
        <v>0</v>
      </c>
      <c r="M142" s="80">
        <v>0</v>
      </c>
      <c r="N142" s="80">
        <v>0</v>
      </c>
      <c r="O142" s="80">
        <v>0</v>
      </c>
      <c r="P142" s="80">
        <v>0</v>
      </c>
      <c r="Q142" s="80">
        <v>0</v>
      </c>
      <c r="R142" s="80">
        <v>0</v>
      </c>
      <c r="S142" s="80">
        <v>0</v>
      </c>
      <c r="T142" s="80">
        <v>0</v>
      </c>
      <c r="U142" s="80">
        <v>0</v>
      </c>
      <c r="V142" s="80">
        <v>0</v>
      </c>
      <c r="W142" s="80">
        <v>0</v>
      </c>
      <c r="X142" s="80">
        <v>0</v>
      </c>
      <c r="Y142" s="80">
        <v>0</v>
      </c>
      <c r="Z142" s="80">
        <v>0</v>
      </c>
      <c r="AA142" s="80">
        <v>0</v>
      </c>
      <c r="AB142" s="80">
        <v>0</v>
      </c>
      <c r="AC142" s="80">
        <v>0</v>
      </c>
      <c r="AD142" s="80">
        <v>0</v>
      </c>
      <c r="AE142" s="80">
        <v>0</v>
      </c>
      <c r="AF142" s="97">
        <v>0</v>
      </c>
    </row>
    <row r="143" spans="2:32" s="59" customFormat="1">
      <c r="B143" s="66" t="s">
        <v>533</v>
      </c>
      <c r="C143" s="499"/>
      <c r="D143" s="500"/>
      <c r="E143" s="70"/>
      <c r="AF143" s="95"/>
    </row>
    <row r="144" spans="2:32" s="59" customFormat="1">
      <c r="B144" s="66" t="str">
        <f>B143</f>
        <v>UPSCOK</v>
      </c>
      <c r="C144" s="499" t="s">
        <v>732</v>
      </c>
      <c r="D144" s="500" t="s">
        <v>733</v>
      </c>
      <c r="E144" s="70">
        <v>0</v>
      </c>
      <c r="F144" s="59">
        <v>0</v>
      </c>
      <c r="G144" s="59">
        <v>0</v>
      </c>
      <c r="H144" s="59">
        <v>0</v>
      </c>
      <c r="I144" s="59">
        <v>0</v>
      </c>
      <c r="J144" s="59">
        <v>0</v>
      </c>
      <c r="K144" s="59">
        <v>0</v>
      </c>
      <c r="L144" s="59">
        <v>0</v>
      </c>
      <c r="M144" s="59">
        <v>0</v>
      </c>
      <c r="N144" s="59">
        <v>0</v>
      </c>
      <c r="O144" s="59">
        <v>0</v>
      </c>
      <c r="P144" s="59">
        <v>0</v>
      </c>
      <c r="Q144" s="59">
        <v>0</v>
      </c>
      <c r="R144" s="59">
        <v>0</v>
      </c>
      <c r="S144" s="59">
        <v>0</v>
      </c>
      <c r="T144" s="59">
        <v>0</v>
      </c>
      <c r="U144" s="59">
        <v>0</v>
      </c>
      <c r="V144" s="59">
        <v>0</v>
      </c>
      <c r="W144" s="59">
        <v>0</v>
      </c>
      <c r="X144" s="59">
        <v>0</v>
      </c>
      <c r="Y144" s="59">
        <v>0</v>
      </c>
      <c r="Z144" s="59">
        <v>0</v>
      </c>
      <c r="AA144" s="59">
        <v>0</v>
      </c>
      <c r="AB144" s="59">
        <v>0</v>
      </c>
      <c r="AC144" s="59">
        <v>0</v>
      </c>
      <c r="AD144" s="59">
        <v>0</v>
      </c>
      <c r="AE144" s="59">
        <v>0</v>
      </c>
      <c r="AF144" s="95">
        <v>0</v>
      </c>
    </row>
    <row r="145" spans="2:32" s="59" customFormat="1">
      <c r="B145" s="66" t="str">
        <f t="shared" ref="B145:B158" si="7">B144</f>
        <v>UPSCOK</v>
      </c>
      <c r="C145" s="499" t="s">
        <v>734</v>
      </c>
      <c r="D145" s="500" t="s">
        <v>733</v>
      </c>
      <c r="E145" s="70">
        <v>0</v>
      </c>
      <c r="F145" s="59">
        <v>0</v>
      </c>
      <c r="G145" s="59">
        <v>0</v>
      </c>
      <c r="H145" s="59">
        <v>0</v>
      </c>
      <c r="I145" s="59">
        <v>0</v>
      </c>
      <c r="J145" s="59">
        <v>0</v>
      </c>
      <c r="K145" s="59">
        <v>0</v>
      </c>
      <c r="L145" s="59">
        <v>0</v>
      </c>
      <c r="M145" s="59">
        <v>0</v>
      </c>
      <c r="N145" s="59">
        <v>0</v>
      </c>
      <c r="O145" s="59">
        <v>0</v>
      </c>
      <c r="P145" s="59">
        <v>0</v>
      </c>
      <c r="Q145" s="59">
        <v>0</v>
      </c>
      <c r="R145" s="59">
        <v>0</v>
      </c>
      <c r="S145" s="59">
        <v>0</v>
      </c>
      <c r="T145" s="59">
        <v>0</v>
      </c>
      <c r="U145" s="59">
        <v>0</v>
      </c>
      <c r="V145" s="59">
        <v>0</v>
      </c>
      <c r="W145" s="59">
        <v>0</v>
      </c>
      <c r="X145" s="59">
        <v>0</v>
      </c>
      <c r="Y145" s="59">
        <v>0</v>
      </c>
      <c r="Z145" s="59">
        <v>0</v>
      </c>
      <c r="AA145" s="59">
        <v>0</v>
      </c>
      <c r="AB145" s="59">
        <v>0</v>
      </c>
      <c r="AC145" s="59">
        <v>0</v>
      </c>
      <c r="AD145" s="59">
        <v>0</v>
      </c>
      <c r="AE145" s="59">
        <v>0</v>
      </c>
      <c r="AF145" s="95">
        <v>0</v>
      </c>
    </row>
    <row r="146" spans="2:32" s="59" customFormat="1">
      <c r="B146" s="66" t="str">
        <f t="shared" si="7"/>
        <v>UPSCOK</v>
      </c>
      <c r="C146" s="499" t="s">
        <v>735</v>
      </c>
      <c r="D146" s="500" t="s">
        <v>733</v>
      </c>
      <c r="E146" s="70">
        <v>0</v>
      </c>
      <c r="F146" s="59">
        <v>0</v>
      </c>
      <c r="G146" s="59">
        <v>0</v>
      </c>
      <c r="H146" s="59">
        <v>0</v>
      </c>
      <c r="I146" s="59">
        <v>0</v>
      </c>
      <c r="J146" s="59">
        <v>0</v>
      </c>
      <c r="K146" s="59">
        <v>0</v>
      </c>
      <c r="L146" s="59">
        <v>0</v>
      </c>
      <c r="M146" s="59">
        <v>0</v>
      </c>
      <c r="N146" s="59">
        <v>0</v>
      </c>
      <c r="O146" s="59">
        <v>0</v>
      </c>
      <c r="P146" s="59">
        <v>0</v>
      </c>
      <c r="Q146" s="59">
        <v>0</v>
      </c>
      <c r="R146" s="59">
        <v>0</v>
      </c>
      <c r="S146" s="59">
        <v>0</v>
      </c>
      <c r="T146" s="59">
        <v>0</v>
      </c>
      <c r="U146" s="59">
        <v>0</v>
      </c>
      <c r="V146" s="59">
        <v>1</v>
      </c>
      <c r="W146" s="59">
        <v>0</v>
      </c>
      <c r="X146" s="59">
        <v>0</v>
      </c>
      <c r="Y146" s="59">
        <v>0</v>
      </c>
      <c r="Z146" s="59">
        <v>0</v>
      </c>
      <c r="AA146" s="59">
        <v>0</v>
      </c>
      <c r="AB146" s="59">
        <v>0</v>
      </c>
      <c r="AC146" s="59">
        <v>0</v>
      </c>
      <c r="AD146" s="59">
        <v>0</v>
      </c>
      <c r="AE146" s="59">
        <v>0</v>
      </c>
      <c r="AF146" s="95">
        <v>0</v>
      </c>
    </row>
    <row r="147" spans="2:32" s="59" customFormat="1">
      <c r="B147" s="66" t="str">
        <f t="shared" si="7"/>
        <v>UPSCOK</v>
      </c>
      <c r="C147" s="499" t="s">
        <v>736</v>
      </c>
      <c r="D147" s="500" t="s">
        <v>733</v>
      </c>
      <c r="E147" s="70">
        <v>0</v>
      </c>
      <c r="F147" s="59">
        <v>0</v>
      </c>
      <c r="G147" s="59">
        <v>0</v>
      </c>
      <c r="H147" s="59">
        <v>0</v>
      </c>
      <c r="I147" s="59">
        <v>0</v>
      </c>
      <c r="J147" s="59">
        <v>0</v>
      </c>
      <c r="K147" s="59">
        <v>0</v>
      </c>
      <c r="L147" s="59">
        <v>0</v>
      </c>
      <c r="M147" s="59">
        <v>0</v>
      </c>
      <c r="N147" s="59">
        <v>0</v>
      </c>
      <c r="O147" s="59">
        <v>0</v>
      </c>
      <c r="P147" s="59">
        <v>0</v>
      </c>
      <c r="Q147" s="59">
        <v>0</v>
      </c>
      <c r="R147" s="59">
        <v>0</v>
      </c>
      <c r="S147" s="59">
        <v>0</v>
      </c>
      <c r="T147" s="59">
        <v>0</v>
      </c>
      <c r="U147" s="59">
        <v>0</v>
      </c>
      <c r="V147" s="59">
        <v>0</v>
      </c>
      <c r="W147" s="59">
        <v>0</v>
      </c>
      <c r="X147" s="59">
        <v>0</v>
      </c>
      <c r="Y147" s="59">
        <v>0</v>
      </c>
      <c r="Z147" s="59">
        <v>0</v>
      </c>
      <c r="AA147" s="59">
        <v>0</v>
      </c>
      <c r="AB147" s="59">
        <v>0</v>
      </c>
      <c r="AC147" s="59">
        <v>0</v>
      </c>
      <c r="AD147" s="59">
        <v>0</v>
      </c>
      <c r="AE147" s="59">
        <v>0</v>
      </c>
      <c r="AF147" s="95">
        <v>0</v>
      </c>
    </row>
    <row r="148" spans="2:32" s="59" customFormat="1">
      <c r="B148" s="66" t="str">
        <f t="shared" si="7"/>
        <v>UPSCOK</v>
      </c>
      <c r="C148" s="499" t="s">
        <v>737</v>
      </c>
      <c r="D148" s="500" t="s">
        <v>733</v>
      </c>
      <c r="E148" s="70">
        <v>0</v>
      </c>
      <c r="F148" s="59">
        <v>0</v>
      </c>
      <c r="G148" s="59">
        <v>0</v>
      </c>
      <c r="H148" s="59">
        <v>1</v>
      </c>
      <c r="I148" s="59">
        <v>0</v>
      </c>
      <c r="J148" s="59">
        <v>0</v>
      </c>
      <c r="K148" s="59">
        <v>0</v>
      </c>
      <c r="L148" s="59">
        <v>0</v>
      </c>
      <c r="M148" s="59">
        <v>0</v>
      </c>
      <c r="N148" s="59">
        <v>0</v>
      </c>
      <c r="O148" s="59">
        <v>0</v>
      </c>
      <c r="P148" s="59">
        <v>0.51964636542239684</v>
      </c>
      <c r="Q148" s="59">
        <v>0</v>
      </c>
      <c r="R148" s="59">
        <v>0</v>
      </c>
      <c r="S148" s="59">
        <v>0</v>
      </c>
      <c r="T148" s="59">
        <v>1</v>
      </c>
      <c r="U148" s="59">
        <v>0</v>
      </c>
      <c r="V148" s="59">
        <v>0</v>
      </c>
      <c r="W148" s="59">
        <v>0</v>
      </c>
      <c r="X148" s="59">
        <v>0</v>
      </c>
      <c r="Y148" s="59">
        <v>0</v>
      </c>
      <c r="Z148" s="59">
        <v>0</v>
      </c>
      <c r="AA148" s="59">
        <v>0</v>
      </c>
      <c r="AB148" s="59">
        <v>1</v>
      </c>
      <c r="AC148" s="59">
        <v>0</v>
      </c>
      <c r="AD148" s="59">
        <v>0</v>
      </c>
      <c r="AE148" s="59">
        <v>0</v>
      </c>
      <c r="AF148" s="95">
        <v>0</v>
      </c>
    </row>
    <row r="149" spans="2:32" s="59" customFormat="1">
      <c r="B149" s="66" t="str">
        <f t="shared" si="7"/>
        <v>UPSCOK</v>
      </c>
      <c r="C149" s="499" t="s">
        <v>738</v>
      </c>
      <c r="D149" s="500" t="s">
        <v>733</v>
      </c>
      <c r="E149" s="70">
        <v>0</v>
      </c>
      <c r="F149" s="59">
        <v>0</v>
      </c>
      <c r="G149" s="59">
        <v>0</v>
      </c>
      <c r="H149" s="59">
        <v>0</v>
      </c>
      <c r="I149" s="59">
        <v>0</v>
      </c>
      <c r="J149" s="59">
        <v>0</v>
      </c>
      <c r="K149" s="59">
        <v>0</v>
      </c>
      <c r="L149" s="59">
        <v>0</v>
      </c>
      <c r="M149" s="59">
        <v>0</v>
      </c>
      <c r="N149" s="59">
        <v>0</v>
      </c>
      <c r="O149" s="59">
        <v>0</v>
      </c>
      <c r="P149" s="59">
        <v>0</v>
      </c>
      <c r="Q149" s="59">
        <v>0</v>
      </c>
      <c r="R149" s="59">
        <v>0</v>
      </c>
      <c r="S149" s="59">
        <v>0</v>
      </c>
      <c r="T149" s="59">
        <v>0</v>
      </c>
      <c r="U149" s="59">
        <v>0</v>
      </c>
      <c r="V149" s="59">
        <v>0</v>
      </c>
      <c r="W149" s="59">
        <v>0</v>
      </c>
      <c r="X149" s="59">
        <v>0</v>
      </c>
      <c r="Y149" s="59">
        <v>0</v>
      </c>
      <c r="Z149" s="59">
        <v>0</v>
      </c>
      <c r="AA149" s="59">
        <v>0</v>
      </c>
      <c r="AB149" s="59">
        <v>0</v>
      </c>
      <c r="AC149" s="59">
        <v>0</v>
      </c>
      <c r="AD149" s="59">
        <v>0</v>
      </c>
      <c r="AE149" s="59">
        <v>0</v>
      </c>
      <c r="AF149" s="95">
        <v>0</v>
      </c>
    </row>
    <row r="150" spans="2:32" s="59" customFormat="1">
      <c r="B150" s="66" t="str">
        <f t="shared" si="7"/>
        <v>UPSCOK</v>
      </c>
      <c r="C150" s="499" t="s">
        <v>739</v>
      </c>
      <c r="D150" s="500" t="s">
        <v>733</v>
      </c>
      <c r="E150" s="70">
        <v>0</v>
      </c>
      <c r="F150" s="59">
        <v>0</v>
      </c>
      <c r="G150" s="59">
        <v>0</v>
      </c>
      <c r="H150" s="59">
        <v>0</v>
      </c>
      <c r="I150" s="59">
        <v>0</v>
      </c>
      <c r="J150" s="59">
        <v>0</v>
      </c>
      <c r="K150" s="59">
        <v>0</v>
      </c>
      <c r="L150" s="59">
        <v>0</v>
      </c>
      <c r="M150" s="59">
        <v>0</v>
      </c>
      <c r="N150" s="59">
        <v>0</v>
      </c>
      <c r="O150" s="59">
        <v>0</v>
      </c>
      <c r="P150" s="59">
        <v>0</v>
      </c>
      <c r="Q150" s="59">
        <v>0</v>
      </c>
      <c r="R150" s="59">
        <v>0</v>
      </c>
      <c r="S150" s="59">
        <v>0</v>
      </c>
      <c r="T150" s="59">
        <v>0</v>
      </c>
      <c r="U150" s="59">
        <v>0</v>
      </c>
      <c r="V150" s="59">
        <v>0</v>
      </c>
      <c r="W150" s="59">
        <v>0</v>
      </c>
      <c r="X150" s="59">
        <v>0</v>
      </c>
      <c r="Y150" s="59">
        <v>0</v>
      </c>
      <c r="Z150" s="59">
        <v>0</v>
      </c>
      <c r="AA150" s="59">
        <v>0</v>
      </c>
      <c r="AB150" s="59">
        <v>0</v>
      </c>
      <c r="AC150" s="59">
        <v>0</v>
      </c>
      <c r="AD150" s="59">
        <v>0</v>
      </c>
      <c r="AE150" s="59">
        <v>0</v>
      </c>
      <c r="AF150" s="95">
        <v>0</v>
      </c>
    </row>
    <row r="151" spans="2:32" s="59" customFormat="1">
      <c r="B151" s="66" t="str">
        <f t="shared" si="7"/>
        <v>UPSCOK</v>
      </c>
      <c r="C151" s="499" t="s">
        <v>740</v>
      </c>
      <c r="D151" s="500" t="s">
        <v>733</v>
      </c>
      <c r="E151" s="70">
        <v>0</v>
      </c>
      <c r="F151" s="59">
        <v>0</v>
      </c>
      <c r="G151" s="59">
        <v>0</v>
      </c>
      <c r="H151" s="59">
        <v>0</v>
      </c>
      <c r="I151" s="59">
        <v>0</v>
      </c>
      <c r="J151" s="59">
        <v>0</v>
      </c>
      <c r="K151" s="59">
        <v>0</v>
      </c>
      <c r="L151" s="59">
        <v>0</v>
      </c>
      <c r="M151" s="59">
        <v>0</v>
      </c>
      <c r="N151" s="59">
        <v>0</v>
      </c>
      <c r="O151" s="59">
        <v>0</v>
      </c>
      <c r="P151" s="59">
        <v>0</v>
      </c>
      <c r="Q151" s="59">
        <v>0</v>
      </c>
      <c r="R151" s="59">
        <v>0</v>
      </c>
      <c r="S151" s="59">
        <v>0</v>
      </c>
      <c r="T151" s="59">
        <v>0</v>
      </c>
      <c r="U151" s="59">
        <v>0</v>
      </c>
      <c r="V151" s="59">
        <v>0</v>
      </c>
      <c r="W151" s="59">
        <v>0</v>
      </c>
      <c r="X151" s="59">
        <v>0</v>
      </c>
      <c r="Y151" s="59">
        <v>0</v>
      </c>
      <c r="Z151" s="59">
        <v>0</v>
      </c>
      <c r="AA151" s="59">
        <v>0</v>
      </c>
      <c r="AB151" s="59">
        <v>0</v>
      </c>
      <c r="AC151" s="59">
        <v>0</v>
      </c>
      <c r="AD151" s="59">
        <v>0</v>
      </c>
      <c r="AE151" s="59">
        <v>0</v>
      </c>
      <c r="AF151" s="95">
        <v>0</v>
      </c>
    </row>
    <row r="152" spans="2:32" s="59" customFormat="1">
      <c r="B152" s="66" t="str">
        <f t="shared" si="7"/>
        <v>UPSCOK</v>
      </c>
      <c r="C152" s="499" t="s">
        <v>741</v>
      </c>
      <c r="D152" s="500" t="s">
        <v>733</v>
      </c>
      <c r="E152" s="70">
        <v>0</v>
      </c>
      <c r="F152" s="59">
        <v>0</v>
      </c>
      <c r="G152" s="59">
        <v>0</v>
      </c>
      <c r="H152" s="59">
        <v>0</v>
      </c>
      <c r="I152" s="59">
        <v>0</v>
      </c>
      <c r="J152" s="59">
        <v>0</v>
      </c>
      <c r="K152" s="59">
        <v>0</v>
      </c>
      <c r="L152" s="59">
        <v>0</v>
      </c>
      <c r="M152" s="59">
        <v>0</v>
      </c>
      <c r="N152" s="59">
        <v>0</v>
      </c>
      <c r="O152" s="59">
        <v>0</v>
      </c>
      <c r="P152" s="59">
        <v>0.48035363457760316</v>
      </c>
      <c r="Q152" s="59">
        <v>0</v>
      </c>
      <c r="R152" s="59">
        <v>0</v>
      </c>
      <c r="S152" s="59">
        <v>1</v>
      </c>
      <c r="T152" s="59">
        <v>0</v>
      </c>
      <c r="U152" s="59">
        <v>0</v>
      </c>
      <c r="V152" s="59">
        <v>0</v>
      </c>
      <c r="W152" s="59">
        <v>0</v>
      </c>
      <c r="X152" s="59">
        <v>0</v>
      </c>
      <c r="Y152" s="59">
        <v>0</v>
      </c>
      <c r="Z152" s="59">
        <v>0</v>
      </c>
      <c r="AA152" s="59">
        <v>0</v>
      </c>
      <c r="AB152" s="59">
        <v>0</v>
      </c>
      <c r="AC152" s="59">
        <v>0</v>
      </c>
      <c r="AD152" s="59">
        <v>0</v>
      </c>
      <c r="AE152" s="59">
        <v>0</v>
      </c>
      <c r="AF152" s="95">
        <v>0</v>
      </c>
    </row>
    <row r="153" spans="2:32" s="59" customFormat="1">
      <c r="B153" s="66" t="str">
        <f t="shared" si="7"/>
        <v>UPSCOK</v>
      </c>
      <c r="C153" s="499" t="s">
        <v>742</v>
      </c>
      <c r="D153" s="500" t="s">
        <v>733</v>
      </c>
      <c r="E153" s="70">
        <v>0</v>
      </c>
      <c r="F153" s="59">
        <v>0</v>
      </c>
      <c r="G153" s="59">
        <v>0</v>
      </c>
      <c r="H153" s="59">
        <v>0</v>
      </c>
      <c r="I153" s="59">
        <v>0</v>
      </c>
      <c r="J153" s="59">
        <v>0</v>
      </c>
      <c r="K153" s="59">
        <v>0</v>
      </c>
      <c r="L153" s="59">
        <v>0</v>
      </c>
      <c r="M153" s="59">
        <v>0</v>
      </c>
      <c r="N153" s="59">
        <v>0</v>
      </c>
      <c r="O153" s="59">
        <v>0</v>
      </c>
      <c r="P153" s="59">
        <v>0</v>
      </c>
      <c r="Q153" s="59">
        <v>0</v>
      </c>
      <c r="R153" s="59">
        <v>0</v>
      </c>
      <c r="S153" s="59">
        <v>0</v>
      </c>
      <c r="T153" s="59">
        <v>0</v>
      </c>
      <c r="U153" s="59">
        <v>0</v>
      </c>
      <c r="V153" s="59">
        <v>0</v>
      </c>
      <c r="W153" s="59">
        <v>0</v>
      </c>
      <c r="X153" s="59">
        <v>0</v>
      </c>
      <c r="Y153" s="59">
        <v>0</v>
      </c>
      <c r="Z153" s="59">
        <v>0</v>
      </c>
      <c r="AA153" s="59">
        <v>0</v>
      </c>
      <c r="AB153" s="59">
        <v>0</v>
      </c>
      <c r="AC153" s="59">
        <v>0</v>
      </c>
      <c r="AD153" s="59">
        <v>0</v>
      </c>
      <c r="AE153" s="59">
        <v>0</v>
      </c>
      <c r="AF153" s="95">
        <v>0</v>
      </c>
    </row>
    <row r="154" spans="2:32" s="59" customFormat="1">
      <c r="B154" s="66" t="str">
        <f t="shared" si="7"/>
        <v>UPSCOK</v>
      </c>
      <c r="C154" s="499" t="s">
        <v>743</v>
      </c>
      <c r="D154" s="500" t="s">
        <v>733</v>
      </c>
      <c r="E154" s="70">
        <v>0</v>
      </c>
      <c r="F154" s="59">
        <v>0</v>
      </c>
      <c r="G154" s="59">
        <v>0</v>
      </c>
      <c r="H154" s="59">
        <v>0</v>
      </c>
      <c r="I154" s="59">
        <v>0</v>
      </c>
      <c r="J154" s="59">
        <v>0</v>
      </c>
      <c r="K154" s="59">
        <v>0</v>
      </c>
      <c r="L154" s="59">
        <v>0</v>
      </c>
      <c r="M154" s="59">
        <v>0</v>
      </c>
      <c r="N154" s="59">
        <v>0</v>
      </c>
      <c r="O154" s="59">
        <v>0</v>
      </c>
      <c r="P154" s="59">
        <v>0</v>
      </c>
      <c r="Q154" s="59">
        <v>0</v>
      </c>
      <c r="R154" s="59">
        <v>0</v>
      </c>
      <c r="S154" s="59">
        <v>0</v>
      </c>
      <c r="T154" s="59">
        <v>0</v>
      </c>
      <c r="U154" s="59">
        <v>0</v>
      </c>
      <c r="V154" s="59">
        <v>0</v>
      </c>
      <c r="W154" s="59">
        <v>0</v>
      </c>
      <c r="X154" s="59">
        <v>0</v>
      </c>
      <c r="Y154" s="59">
        <v>0</v>
      </c>
      <c r="Z154" s="59">
        <v>0</v>
      </c>
      <c r="AA154" s="59">
        <v>0</v>
      </c>
      <c r="AB154" s="59">
        <v>0</v>
      </c>
      <c r="AC154" s="59">
        <v>0</v>
      </c>
      <c r="AD154" s="59">
        <v>0</v>
      </c>
      <c r="AE154" s="59">
        <v>0</v>
      </c>
      <c r="AF154" s="95">
        <v>0</v>
      </c>
    </row>
    <row r="155" spans="2:32" s="59" customFormat="1">
      <c r="B155" s="66" t="str">
        <f t="shared" si="7"/>
        <v>UPSCOK</v>
      </c>
      <c r="C155" s="499" t="s">
        <v>744</v>
      </c>
      <c r="D155" s="500" t="s">
        <v>733</v>
      </c>
      <c r="E155" s="70">
        <v>0</v>
      </c>
      <c r="F155" s="59">
        <v>0</v>
      </c>
      <c r="G155" s="59">
        <v>0</v>
      </c>
      <c r="H155" s="59">
        <v>0</v>
      </c>
      <c r="I155" s="59">
        <v>0</v>
      </c>
      <c r="J155" s="59">
        <v>0</v>
      </c>
      <c r="K155" s="59">
        <v>0</v>
      </c>
      <c r="L155" s="59">
        <v>0</v>
      </c>
      <c r="M155" s="59">
        <v>0</v>
      </c>
      <c r="N155" s="59">
        <v>0</v>
      </c>
      <c r="O155" s="59">
        <v>0</v>
      </c>
      <c r="P155" s="59">
        <v>0</v>
      </c>
      <c r="Q155" s="59">
        <v>0</v>
      </c>
      <c r="R155" s="59">
        <v>0</v>
      </c>
      <c r="S155" s="59">
        <v>0</v>
      </c>
      <c r="T155" s="59">
        <v>0</v>
      </c>
      <c r="U155" s="59">
        <v>0</v>
      </c>
      <c r="V155" s="59">
        <v>0</v>
      </c>
      <c r="W155" s="59">
        <v>0</v>
      </c>
      <c r="X155" s="59">
        <v>0</v>
      </c>
      <c r="Y155" s="59">
        <v>0</v>
      </c>
      <c r="Z155" s="59">
        <v>0</v>
      </c>
      <c r="AA155" s="59">
        <v>0</v>
      </c>
      <c r="AB155" s="59">
        <v>0</v>
      </c>
      <c r="AC155" s="59">
        <v>0</v>
      </c>
      <c r="AD155" s="59">
        <v>0</v>
      </c>
      <c r="AE155" s="59">
        <v>0</v>
      </c>
      <c r="AF155" s="95">
        <v>0</v>
      </c>
    </row>
    <row r="156" spans="2:32" s="59" customFormat="1">
      <c r="B156" s="66" t="str">
        <f t="shared" si="7"/>
        <v>UPSCOK</v>
      </c>
      <c r="C156" s="499" t="s">
        <v>745</v>
      </c>
      <c r="D156" s="500" t="s">
        <v>733</v>
      </c>
      <c r="E156" s="70">
        <v>0</v>
      </c>
      <c r="F156" s="59">
        <v>0</v>
      </c>
      <c r="G156" s="59">
        <v>0</v>
      </c>
      <c r="H156" s="59">
        <v>0</v>
      </c>
      <c r="I156" s="59">
        <v>0</v>
      </c>
      <c r="J156" s="59">
        <v>0</v>
      </c>
      <c r="K156" s="59">
        <v>0</v>
      </c>
      <c r="L156" s="59">
        <v>0</v>
      </c>
      <c r="M156" s="59">
        <v>0</v>
      </c>
      <c r="N156" s="59">
        <v>0</v>
      </c>
      <c r="O156" s="59">
        <v>0</v>
      </c>
      <c r="P156" s="59">
        <v>0</v>
      </c>
      <c r="Q156" s="59">
        <v>0</v>
      </c>
      <c r="R156" s="59">
        <v>0</v>
      </c>
      <c r="S156" s="59">
        <v>0</v>
      </c>
      <c r="T156" s="59">
        <v>0</v>
      </c>
      <c r="U156" s="59">
        <v>0</v>
      </c>
      <c r="V156" s="59">
        <v>0</v>
      </c>
      <c r="W156" s="59">
        <v>0</v>
      </c>
      <c r="X156" s="59">
        <v>0</v>
      </c>
      <c r="Y156" s="59">
        <v>0</v>
      </c>
      <c r="Z156" s="59">
        <v>0</v>
      </c>
      <c r="AA156" s="59">
        <v>0</v>
      </c>
      <c r="AB156" s="59">
        <v>0</v>
      </c>
      <c r="AC156" s="59">
        <v>0</v>
      </c>
      <c r="AD156" s="59">
        <v>0</v>
      </c>
      <c r="AE156" s="59">
        <v>0</v>
      </c>
      <c r="AF156" s="95">
        <v>0</v>
      </c>
    </row>
    <row r="157" spans="2:32" s="59" customFormat="1">
      <c r="B157" s="66" t="str">
        <f t="shared" si="7"/>
        <v>UPSCOK</v>
      </c>
      <c r="C157" s="499" t="s">
        <v>746</v>
      </c>
      <c r="D157" s="500" t="s">
        <v>733</v>
      </c>
      <c r="E157" s="70">
        <v>0</v>
      </c>
      <c r="F157" s="59">
        <v>0</v>
      </c>
      <c r="G157" s="59">
        <v>0</v>
      </c>
      <c r="H157" s="59">
        <v>0</v>
      </c>
      <c r="I157" s="59">
        <v>0</v>
      </c>
      <c r="J157" s="59">
        <v>0</v>
      </c>
      <c r="K157" s="59">
        <v>0</v>
      </c>
      <c r="L157" s="59">
        <v>0</v>
      </c>
      <c r="M157" s="59">
        <v>0</v>
      </c>
      <c r="N157" s="59">
        <v>0</v>
      </c>
      <c r="O157" s="59">
        <v>0</v>
      </c>
      <c r="P157" s="59">
        <v>0</v>
      </c>
      <c r="Q157" s="59">
        <v>0</v>
      </c>
      <c r="R157" s="59">
        <v>0</v>
      </c>
      <c r="S157" s="59">
        <v>0</v>
      </c>
      <c r="T157" s="59">
        <v>0</v>
      </c>
      <c r="U157" s="59">
        <v>0</v>
      </c>
      <c r="V157" s="59">
        <v>0</v>
      </c>
      <c r="W157" s="59">
        <v>0</v>
      </c>
      <c r="X157" s="59">
        <v>0</v>
      </c>
      <c r="Y157" s="59">
        <v>0</v>
      </c>
      <c r="Z157" s="59">
        <v>0</v>
      </c>
      <c r="AA157" s="59">
        <v>0</v>
      </c>
      <c r="AB157" s="59">
        <v>0</v>
      </c>
      <c r="AC157" s="59">
        <v>0</v>
      </c>
      <c r="AD157" s="59">
        <v>0</v>
      </c>
      <c r="AE157" s="59">
        <v>0</v>
      </c>
      <c r="AF157" s="95">
        <v>0</v>
      </c>
    </row>
    <row r="158" spans="2:32" s="59" customFormat="1">
      <c r="B158" s="269" t="str">
        <f t="shared" si="7"/>
        <v>UPSCOK</v>
      </c>
      <c r="C158" s="503" t="s">
        <v>747</v>
      </c>
      <c r="D158" s="504" t="s">
        <v>733</v>
      </c>
      <c r="E158" s="271">
        <v>0</v>
      </c>
      <c r="F158" s="80">
        <v>0</v>
      </c>
      <c r="G158" s="80">
        <v>0</v>
      </c>
      <c r="H158" s="80">
        <v>0</v>
      </c>
      <c r="I158" s="80">
        <v>0</v>
      </c>
      <c r="J158" s="80">
        <v>0</v>
      </c>
      <c r="K158" s="80">
        <v>0</v>
      </c>
      <c r="L158" s="80">
        <v>0</v>
      </c>
      <c r="M158" s="80">
        <v>0</v>
      </c>
      <c r="N158" s="80">
        <v>0</v>
      </c>
      <c r="O158" s="80">
        <v>0</v>
      </c>
      <c r="P158" s="80">
        <v>0</v>
      </c>
      <c r="Q158" s="80">
        <v>0</v>
      </c>
      <c r="R158" s="80">
        <v>0</v>
      </c>
      <c r="S158" s="80">
        <v>0</v>
      </c>
      <c r="T158" s="80">
        <v>0</v>
      </c>
      <c r="U158" s="80">
        <v>0</v>
      </c>
      <c r="V158" s="80">
        <v>0</v>
      </c>
      <c r="W158" s="80">
        <v>0</v>
      </c>
      <c r="X158" s="80">
        <v>0</v>
      </c>
      <c r="Y158" s="80">
        <v>0</v>
      </c>
      <c r="Z158" s="80">
        <v>0</v>
      </c>
      <c r="AA158" s="80">
        <v>0</v>
      </c>
      <c r="AB158" s="80">
        <v>0</v>
      </c>
      <c r="AC158" s="80">
        <v>0</v>
      </c>
      <c r="AD158" s="80">
        <v>0</v>
      </c>
      <c r="AE158" s="80">
        <v>0</v>
      </c>
      <c r="AF158" s="97">
        <v>0</v>
      </c>
    </row>
    <row r="159" spans="2:32" s="59" customFormat="1">
      <c r="B159" s="66" t="s">
        <v>535</v>
      </c>
      <c r="C159" s="499"/>
      <c r="D159" s="500"/>
      <c r="E159" s="70"/>
      <c r="AF159" s="95"/>
    </row>
    <row r="160" spans="2:32" s="59" customFormat="1">
      <c r="B160" s="66" t="str">
        <f>B159</f>
        <v>UPSDSL</v>
      </c>
      <c r="C160" s="499" t="s">
        <v>732</v>
      </c>
      <c r="D160" s="500" t="s">
        <v>733</v>
      </c>
      <c r="E160" s="70">
        <v>0</v>
      </c>
      <c r="F160" s="59">
        <v>1</v>
      </c>
      <c r="G160" s="59">
        <v>0.9570499571507789</v>
      </c>
      <c r="H160" s="59">
        <v>1</v>
      </c>
      <c r="I160" s="59">
        <v>3.3561446691776853E-2</v>
      </c>
      <c r="J160" s="59">
        <v>0.9449603476016627</v>
      </c>
      <c r="K160" s="59">
        <v>0</v>
      </c>
      <c r="L160" s="59">
        <v>0</v>
      </c>
      <c r="M160" s="59">
        <v>0.99353448275862066</v>
      </c>
      <c r="N160" s="59">
        <v>0.99770370558012433</v>
      </c>
      <c r="O160" s="59">
        <v>0</v>
      </c>
      <c r="P160" s="59">
        <v>0.18684355997788835</v>
      </c>
      <c r="Q160" s="59">
        <v>0.25842655148226085</v>
      </c>
      <c r="R160" s="59">
        <v>0.99982084795666515</v>
      </c>
      <c r="S160" s="59">
        <v>0.10312025717324537</v>
      </c>
      <c r="T160" s="59">
        <v>0.10814708002883923</v>
      </c>
      <c r="U160" s="59">
        <v>0</v>
      </c>
      <c r="V160" s="59">
        <v>0</v>
      </c>
      <c r="W160" s="59">
        <v>0</v>
      </c>
      <c r="X160" s="59">
        <v>0</v>
      </c>
      <c r="Y160" s="59">
        <v>0.89539321574221531</v>
      </c>
      <c r="Z160" s="59">
        <v>0.11337265332870745</v>
      </c>
      <c r="AA160" s="59">
        <v>0.85424814482256073</v>
      </c>
      <c r="AB160" s="59">
        <v>0</v>
      </c>
      <c r="AC160" s="59">
        <v>0</v>
      </c>
      <c r="AD160" s="59">
        <v>0.38728882626773303</v>
      </c>
      <c r="AE160" s="59">
        <v>0.90484202654701817</v>
      </c>
      <c r="AF160" s="95">
        <v>0.70883053296639498</v>
      </c>
    </row>
    <row r="161" spans="2:32" s="59" customFormat="1">
      <c r="B161" s="66" t="str">
        <f t="shared" ref="B161:B174" si="8">B160</f>
        <v>UPSDSL</v>
      </c>
      <c r="C161" s="499" t="s">
        <v>734</v>
      </c>
      <c r="D161" s="500" t="s">
        <v>733</v>
      </c>
      <c r="E161" s="70">
        <v>0</v>
      </c>
      <c r="F161" s="59">
        <v>0</v>
      </c>
      <c r="G161" s="59">
        <v>4.2950042849221146E-2</v>
      </c>
      <c r="H161" s="59">
        <v>0</v>
      </c>
      <c r="I161" s="59">
        <v>0</v>
      </c>
      <c r="J161" s="59">
        <v>9.0902408546296512E-3</v>
      </c>
      <c r="K161" s="59">
        <v>1</v>
      </c>
      <c r="L161" s="59">
        <v>0</v>
      </c>
      <c r="M161" s="59">
        <v>6.4655172413793103E-3</v>
      </c>
      <c r="N161" s="59">
        <v>2.2962944198756793E-3</v>
      </c>
      <c r="O161" s="59">
        <v>0</v>
      </c>
      <c r="P161" s="59">
        <v>0.10383268840980285</v>
      </c>
      <c r="Q161" s="59">
        <v>0</v>
      </c>
      <c r="R161" s="59">
        <v>0</v>
      </c>
      <c r="S161" s="59">
        <v>3.5277668232172946E-2</v>
      </c>
      <c r="T161" s="59">
        <v>0.49343907714491708</v>
      </c>
      <c r="U161" s="59">
        <v>0.88789029926804408</v>
      </c>
      <c r="V161" s="59">
        <v>0.94289031985643401</v>
      </c>
      <c r="W161" s="59">
        <v>0</v>
      </c>
      <c r="X161" s="59">
        <v>0.76890775274303524</v>
      </c>
      <c r="Y161" s="59">
        <v>0.10460678425778469</v>
      </c>
      <c r="Z161" s="59">
        <v>0.88662734667129262</v>
      </c>
      <c r="AA161" s="59">
        <v>0.14157889996643078</v>
      </c>
      <c r="AB161" s="59">
        <v>0</v>
      </c>
      <c r="AC161" s="59">
        <v>1</v>
      </c>
      <c r="AD161" s="59">
        <v>0</v>
      </c>
      <c r="AE161" s="59">
        <v>9.5157973452981867E-2</v>
      </c>
      <c r="AF161" s="95">
        <v>1.9761234751176776E-2</v>
      </c>
    </row>
    <row r="162" spans="2:32" s="59" customFormat="1">
      <c r="B162" s="66" t="str">
        <f t="shared" si="8"/>
        <v>UPSDSL</v>
      </c>
      <c r="C162" s="499" t="s">
        <v>735</v>
      </c>
      <c r="D162" s="500" t="s">
        <v>733</v>
      </c>
      <c r="E162" s="70">
        <v>0</v>
      </c>
      <c r="F162" s="59">
        <v>0</v>
      </c>
      <c r="G162" s="59">
        <v>0</v>
      </c>
      <c r="H162" s="59">
        <v>0</v>
      </c>
      <c r="I162" s="59">
        <v>9.5144364632812808E-3</v>
      </c>
      <c r="J162" s="59">
        <v>4.8513953887241792E-3</v>
      </c>
      <c r="K162" s="59">
        <v>0</v>
      </c>
      <c r="L162" s="59">
        <v>0</v>
      </c>
      <c r="M162" s="59">
        <v>0</v>
      </c>
      <c r="N162" s="59">
        <v>0</v>
      </c>
      <c r="O162" s="59">
        <v>0</v>
      </c>
      <c r="P162" s="59">
        <v>0</v>
      </c>
      <c r="Q162" s="59">
        <v>0.11075423634954037</v>
      </c>
      <c r="R162" s="59">
        <v>0</v>
      </c>
      <c r="S162" s="59">
        <v>5.5581448153061097E-2</v>
      </c>
      <c r="T162" s="59">
        <v>0</v>
      </c>
      <c r="U162" s="59">
        <v>9.2652645233021408E-4</v>
      </c>
      <c r="V162" s="59">
        <v>0</v>
      </c>
      <c r="W162" s="59">
        <v>0</v>
      </c>
      <c r="X162" s="59">
        <v>0</v>
      </c>
      <c r="Y162" s="59">
        <v>0</v>
      </c>
      <c r="Z162" s="59">
        <v>0</v>
      </c>
      <c r="AA162" s="59">
        <v>4.172955211008523E-3</v>
      </c>
      <c r="AB162" s="59">
        <v>0</v>
      </c>
      <c r="AC162" s="59">
        <v>0</v>
      </c>
      <c r="AD162" s="59">
        <v>0</v>
      </c>
      <c r="AE162" s="59">
        <v>0</v>
      </c>
      <c r="AF162" s="95">
        <v>0</v>
      </c>
    </row>
    <row r="163" spans="2:32" s="59" customFormat="1">
      <c r="B163" s="66" t="str">
        <f t="shared" si="8"/>
        <v>UPSDSL</v>
      </c>
      <c r="C163" s="499" t="s">
        <v>736</v>
      </c>
      <c r="D163" s="500" t="s">
        <v>733</v>
      </c>
      <c r="E163" s="70">
        <v>0</v>
      </c>
      <c r="F163" s="59">
        <v>0</v>
      </c>
      <c r="G163" s="59">
        <v>0</v>
      </c>
      <c r="H163" s="59">
        <v>0</v>
      </c>
      <c r="I163" s="59">
        <v>0</v>
      </c>
      <c r="J163" s="59">
        <v>0</v>
      </c>
      <c r="K163" s="59">
        <v>0</v>
      </c>
      <c r="L163" s="59">
        <v>0</v>
      </c>
      <c r="M163" s="59">
        <v>0</v>
      </c>
      <c r="N163" s="59">
        <v>0</v>
      </c>
      <c r="O163" s="59">
        <v>0</v>
      </c>
      <c r="P163" s="59">
        <v>0</v>
      </c>
      <c r="Q163" s="59">
        <v>0</v>
      </c>
      <c r="R163" s="59">
        <v>0</v>
      </c>
      <c r="S163" s="59">
        <v>0</v>
      </c>
      <c r="T163" s="59">
        <v>0</v>
      </c>
      <c r="U163" s="59">
        <v>0</v>
      </c>
      <c r="V163" s="59">
        <v>0</v>
      </c>
      <c r="W163" s="59">
        <v>0</v>
      </c>
      <c r="X163" s="59">
        <v>0</v>
      </c>
      <c r="Y163" s="59">
        <v>0</v>
      </c>
      <c r="Z163" s="59">
        <v>0</v>
      </c>
      <c r="AA163" s="59">
        <v>0</v>
      </c>
      <c r="AB163" s="59">
        <v>0</v>
      </c>
      <c r="AC163" s="59">
        <v>0</v>
      </c>
      <c r="AD163" s="59">
        <v>0</v>
      </c>
      <c r="AE163" s="59">
        <v>0</v>
      </c>
      <c r="AF163" s="95">
        <v>0</v>
      </c>
    </row>
    <row r="164" spans="2:32" s="59" customFormat="1">
      <c r="B164" s="66" t="str">
        <f t="shared" si="8"/>
        <v>UPSDSL</v>
      </c>
      <c r="C164" s="499" t="s">
        <v>737</v>
      </c>
      <c r="D164" s="500" t="s">
        <v>733</v>
      </c>
      <c r="E164" s="70">
        <v>0</v>
      </c>
      <c r="F164" s="59">
        <v>0</v>
      </c>
      <c r="G164" s="59">
        <v>0</v>
      </c>
      <c r="H164" s="59">
        <v>0</v>
      </c>
      <c r="I164" s="59">
        <v>0</v>
      </c>
      <c r="J164" s="59">
        <v>0</v>
      </c>
      <c r="K164" s="59">
        <v>0</v>
      </c>
      <c r="L164" s="59">
        <v>0</v>
      </c>
      <c r="M164" s="59">
        <v>0</v>
      </c>
      <c r="N164" s="59">
        <v>0</v>
      </c>
      <c r="O164" s="59">
        <v>0</v>
      </c>
      <c r="P164" s="59">
        <v>0</v>
      </c>
      <c r="Q164" s="59">
        <v>0</v>
      </c>
      <c r="R164" s="59">
        <v>0</v>
      </c>
      <c r="S164" s="59">
        <v>2.1510773312300574E-4</v>
      </c>
      <c r="T164" s="59">
        <v>0</v>
      </c>
      <c r="U164" s="59">
        <v>9.26526452330214E-3</v>
      </c>
      <c r="V164" s="59">
        <v>0</v>
      </c>
      <c r="W164" s="59">
        <v>0</v>
      </c>
      <c r="X164" s="59">
        <v>0.23109224725696487</v>
      </c>
      <c r="Y164" s="59">
        <v>0</v>
      </c>
      <c r="Z164" s="59">
        <v>0</v>
      </c>
      <c r="AA164" s="59">
        <v>0</v>
      </c>
      <c r="AB164" s="59">
        <v>0</v>
      </c>
      <c r="AC164" s="59">
        <v>0</v>
      </c>
      <c r="AD164" s="59">
        <v>0</v>
      </c>
      <c r="AE164" s="59">
        <v>0</v>
      </c>
      <c r="AF164" s="95">
        <v>0</v>
      </c>
    </row>
    <row r="165" spans="2:32" s="59" customFormat="1">
      <c r="B165" s="66" t="str">
        <f t="shared" si="8"/>
        <v>UPSDSL</v>
      </c>
      <c r="C165" s="499" t="s">
        <v>738</v>
      </c>
      <c r="D165" s="500" t="s">
        <v>733</v>
      </c>
      <c r="E165" s="70">
        <v>0</v>
      </c>
      <c r="F165" s="59">
        <v>0</v>
      </c>
      <c r="G165" s="59">
        <v>0</v>
      </c>
      <c r="H165" s="59">
        <v>0</v>
      </c>
      <c r="I165" s="59">
        <v>0</v>
      </c>
      <c r="J165" s="59">
        <v>0</v>
      </c>
      <c r="K165" s="59">
        <v>0</v>
      </c>
      <c r="L165" s="59">
        <v>0</v>
      </c>
      <c r="M165" s="59">
        <v>0</v>
      </c>
      <c r="N165" s="59">
        <v>0</v>
      </c>
      <c r="O165" s="59">
        <v>0</v>
      </c>
      <c r="P165" s="59">
        <v>0</v>
      </c>
      <c r="Q165" s="59">
        <v>0</v>
      </c>
      <c r="R165" s="59">
        <v>0</v>
      </c>
      <c r="S165" s="59">
        <v>0</v>
      </c>
      <c r="T165" s="59">
        <v>1.8745493871665463E-3</v>
      </c>
      <c r="U165" s="59">
        <v>9.26526452330214E-3</v>
      </c>
      <c r="V165" s="59">
        <v>0</v>
      </c>
      <c r="W165" s="59">
        <v>0</v>
      </c>
      <c r="X165" s="59">
        <v>0</v>
      </c>
      <c r="Y165" s="59">
        <v>0</v>
      </c>
      <c r="Z165" s="59">
        <v>0</v>
      </c>
      <c r="AA165" s="59">
        <v>0</v>
      </c>
      <c r="AB165" s="59">
        <v>0</v>
      </c>
      <c r="AC165" s="59">
        <v>0</v>
      </c>
      <c r="AD165" s="59">
        <v>0</v>
      </c>
      <c r="AE165" s="59">
        <v>0</v>
      </c>
      <c r="AF165" s="95">
        <v>0</v>
      </c>
    </row>
    <row r="166" spans="2:32" s="59" customFormat="1">
      <c r="B166" s="66" t="str">
        <f t="shared" si="8"/>
        <v>UPSDSL</v>
      </c>
      <c r="C166" s="499" t="s">
        <v>739</v>
      </c>
      <c r="D166" s="500" t="s">
        <v>733</v>
      </c>
      <c r="E166" s="70">
        <v>0</v>
      </c>
      <c r="F166" s="59">
        <v>0</v>
      </c>
      <c r="G166" s="59">
        <v>0</v>
      </c>
      <c r="H166" s="59">
        <v>0</v>
      </c>
      <c r="I166" s="59">
        <v>0</v>
      </c>
      <c r="J166" s="59">
        <v>0</v>
      </c>
      <c r="K166" s="59">
        <v>0</v>
      </c>
      <c r="L166" s="59">
        <v>0</v>
      </c>
      <c r="M166" s="59">
        <v>0</v>
      </c>
      <c r="N166" s="59">
        <v>0</v>
      </c>
      <c r="O166" s="59">
        <v>0</v>
      </c>
      <c r="P166" s="59">
        <v>0</v>
      </c>
      <c r="Q166" s="59">
        <v>0</v>
      </c>
      <c r="R166" s="59">
        <v>0</v>
      </c>
      <c r="S166" s="59">
        <v>0</v>
      </c>
      <c r="T166" s="59">
        <v>0</v>
      </c>
      <c r="U166" s="59">
        <v>0</v>
      </c>
      <c r="V166" s="59">
        <v>0</v>
      </c>
      <c r="W166" s="59">
        <v>0</v>
      </c>
      <c r="X166" s="59">
        <v>0</v>
      </c>
      <c r="Y166" s="59">
        <v>0</v>
      </c>
      <c r="Z166" s="59">
        <v>0</v>
      </c>
      <c r="AA166" s="59">
        <v>0</v>
      </c>
      <c r="AB166" s="59">
        <v>0</v>
      </c>
      <c r="AC166" s="59">
        <v>0</v>
      </c>
      <c r="AD166" s="59">
        <v>0</v>
      </c>
      <c r="AE166" s="59">
        <v>0</v>
      </c>
      <c r="AF166" s="95">
        <v>0</v>
      </c>
    </row>
    <row r="167" spans="2:32" s="59" customFormat="1">
      <c r="B167" s="66" t="str">
        <f t="shared" si="8"/>
        <v>UPSDSL</v>
      </c>
      <c r="C167" s="499" t="s">
        <v>740</v>
      </c>
      <c r="D167" s="500" t="s">
        <v>733</v>
      </c>
      <c r="E167" s="70">
        <v>0</v>
      </c>
      <c r="F167" s="59">
        <v>0</v>
      </c>
      <c r="G167" s="59">
        <v>0</v>
      </c>
      <c r="H167" s="59">
        <v>0</v>
      </c>
      <c r="I167" s="59">
        <v>0</v>
      </c>
      <c r="J167" s="59">
        <v>0</v>
      </c>
      <c r="K167" s="59">
        <v>0</v>
      </c>
      <c r="L167" s="59">
        <v>0</v>
      </c>
      <c r="M167" s="59">
        <v>0</v>
      </c>
      <c r="N167" s="59">
        <v>0</v>
      </c>
      <c r="O167" s="59">
        <v>0</v>
      </c>
      <c r="P167" s="59">
        <v>0</v>
      </c>
      <c r="Q167" s="59">
        <v>0</v>
      </c>
      <c r="R167" s="59">
        <v>0</v>
      </c>
      <c r="S167" s="59">
        <v>0</v>
      </c>
      <c r="T167" s="59">
        <v>0</v>
      </c>
      <c r="U167" s="59">
        <v>0</v>
      </c>
      <c r="V167" s="59">
        <v>0</v>
      </c>
      <c r="W167" s="59">
        <v>0</v>
      </c>
      <c r="X167" s="59">
        <v>0</v>
      </c>
      <c r="Y167" s="59">
        <v>0</v>
      </c>
      <c r="Z167" s="59">
        <v>0</v>
      </c>
      <c r="AA167" s="59">
        <v>0</v>
      </c>
      <c r="AB167" s="59">
        <v>0</v>
      </c>
      <c r="AC167" s="59">
        <v>0</v>
      </c>
      <c r="AD167" s="59">
        <v>0</v>
      </c>
      <c r="AE167" s="59">
        <v>0</v>
      </c>
      <c r="AF167" s="95">
        <v>0</v>
      </c>
    </row>
    <row r="168" spans="2:32" s="59" customFormat="1">
      <c r="B168" s="66" t="str">
        <f t="shared" si="8"/>
        <v>UPSDSL</v>
      </c>
      <c r="C168" s="499" t="s">
        <v>741</v>
      </c>
      <c r="D168" s="500" t="s">
        <v>733</v>
      </c>
      <c r="E168" s="70">
        <v>0</v>
      </c>
      <c r="F168" s="59">
        <v>0</v>
      </c>
      <c r="G168" s="59">
        <v>0</v>
      </c>
      <c r="H168" s="59">
        <v>0</v>
      </c>
      <c r="I168" s="59">
        <v>0.95680343550685665</v>
      </c>
      <c r="J168" s="59">
        <v>4.1098016154983291E-2</v>
      </c>
      <c r="K168" s="59">
        <v>0</v>
      </c>
      <c r="L168" s="59">
        <v>0</v>
      </c>
      <c r="M168" s="59">
        <v>0</v>
      </c>
      <c r="N168" s="59">
        <v>0</v>
      </c>
      <c r="O168" s="59">
        <v>0</v>
      </c>
      <c r="P168" s="59">
        <v>0.7029666482402801</v>
      </c>
      <c r="Q168" s="59">
        <v>0.63081921216819881</v>
      </c>
      <c r="R168" s="59">
        <v>1.7915204333476505E-4</v>
      </c>
      <c r="S168" s="59">
        <v>0.80580551870839756</v>
      </c>
      <c r="T168" s="59">
        <v>0.39653929343907718</v>
      </c>
      <c r="U168" s="59">
        <v>9.26526452330214E-2</v>
      </c>
      <c r="V168" s="59">
        <v>5.7109680143565926E-2</v>
      </c>
      <c r="W168" s="59">
        <v>0</v>
      </c>
      <c r="X168" s="59">
        <v>0</v>
      </c>
      <c r="Y168" s="59">
        <v>0</v>
      </c>
      <c r="Z168" s="59">
        <v>0</v>
      </c>
      <c r="AA168" s="59">
        <v>0</v>
      </c>
      <c r="AB168" s="59">
        <v>0</v>
      </c>
      <c r="AC168" s="59">
        <v>0</v>
      </c>
      <c r="AD168" s="59">
        <v>0.61271117373226691</v>
      </c>
      <c r="AE168" s="59">
        <v>0</v>
      </c>
      <c r="AF168" s="95">
        <v>0.27140823228242822</v>
      </c>
    </row>
    <row r="169" spans="2:32" s="59" customFormat="1">
      <c r="B169" s="66" t="str">
        <f t="shared" si="8"/>
        <v>UPSDSL</v>
      </c>
      <c r="C169" s="499" t="s">
        <v>742</v>
      </c>
      <c r="D169" s="500" t="s">
        <v>733</v>
      </c>
      <c r="E169" s="70">
        <v>0</v>
      </c>
      <c r="F169" s="59">
        <v>0</v>
      </c>
      <c r="G169" s="59">
        <v>0</v>
      </c>
      <c r="H169" s="59">
        <v>0</v>
      </c>
      <c r="I169" s="59">
        <v>1.2068133808525852E-4</v>
      </c>
      <c r="J169" s="59">
        <v>0</v>
      </c>
      <c r="K169" s="59">
        <v>0</v>
      </c>
      <c r="L169" s="59">
        <v>0</v>
      </c>
      <c r="M169" s="59">
        <v>0</v>
      </c>
      <c r="N169" s="59">
        <v>0</v>
      </c>
      <c r="O169" s="59">
        <v>0</v>
      </c>
      <c r="P169" s="59">
        <v>6.3571033720287457E-3</v>
      </c>
      <c r="Q169" s="59">
        <v>0</v>
      </c>
      <c r="R169" s="59">
        <v>0</v>
      </c>
      <c r="S169" s="59">
        <v>0</v>
      </c>
      <c r="T169" s="59">
        <v>0</v>
      </c>
      <c r="U169" s="59">
        <v>0</v>
      </c>
      <c r="V169" s="59">
        <v>0</v>
      </c>
      <c r="W169" s="59">
        <v>0</v>
      </c>
      <c r="X169" s="59">
        <v>0</v>
      </c>
      <c r="Y169" s="59">
        <v>0</v>
      </c>
      <c r="Z169" s="59">
        <v>0</v>
      </c>
      <c r="AA169" s="59">
        <v>0</v>
      </c>
      <c r="AB169" s="59">
        <v>0</v>
      </c>
      <c r="AC169" s="59">
        <v>0</v>
      </c>
      <c r="AD169" s="59">
        <v>0</v>
      </c>
      <c r="AE169" s="59">
        <v>0</v>
      </c>
      <c r="AF169" s="95">
        <v>0</v>
      </c>
    </row>
    <row r="170" spans="2:32" s="59" customFormat="1">
      <c r="B170" s="66" t="str">
        <f t="shared" si="8"/>
        <v>UPSDSL</v>
      </c>
      <c r="C170" s="499" t="s">
        <v>743</v>
      </c>
      <c r="D170" s="500" t="s">
        <v>733</v>
      </c>
      <c r="E170" s="70">
        <v>0</v>
      </c>
      <c r="F170" s="59">
        <v>0</v>
      </c>
      <c r="G170" s="59">
        <v>0</v>
      </c>
      <c r="H170" s="59">
        <v>0</v>
      </c>
      <c r="I170" s="59">
        <v>0</v>
      </c>
      <c r="J170" s="59">
        <v>0</v>
      </c>
      <c r="K170" s="59">
        <v>0</v>
      </c>
      <c r="L170" s="59">
        <v>0</v>
      </c>
      <c r="M170" s="59">
        <v>0</v>
      </c>
      <c r="N170" s="59">
        <v>0</v>
      </c>
      <c r="O170" s="59">
        <v>0</v>
      </c>
      <c r="P170" s="59">
        <v>0</v>
      </c>
      <c r="Q170" s="59">
        <v>0</v>
      </c>
      <c r="R170" s="59">
        <v>0</v>
      </c>
      <c r="S170" s="59">
        <v>0</v>
      </c>
      <c r="T170" s="59">
        <v>0</v>
      </c>
      <c r="U170" s="59">
        <v>0</v>
      </c>
      <c r="V170" s="59">
        <v>0</v>
      </c>
      <c r="W170" s="59">
        <v>0</v>
      </c>
      <c r="X170" s="59">
        <v>0</v>
      </c>
      <c r="Y170" s="59">
        <v>0</v>
      </c>
      <c r="Z170" s="59">
        <v>0</v>
      </c>
      <c r="AA170" s="59">
        <v>0</v>
      </c>
      <c r="AB170" s="59">
        <v>0</v>
      </c>
      <c r="AC170" s="59">
        <v>0</v>
      </c>
      <c r="AD170" s="59">
        <v>0</v>
      </c>
      <c r="AE170" s="59">
        <v>0</v>
      </c>
      <c r="AF170" s="95">
        <v>0</v>
      </c>
    </row>
    <row r="171" spans="2:32" s="59" customFormat="1">
      <c r="B171" s="66" t="str">
        <f t="shared" si="8"/>
        <v>UPSDSL</v>
      </c>
      <c r="C171" s="499" t="s">
        <v>744</v>
      </c>
      <c r="D171" s="500" t="s">
        <v>733</v>
      </c>
      <c r="E171" s="70">
        <v>0</v>
      </c>
      <c r="F171" s="59">
        <v>0</v>
      </c>
      <c r="G171" s="59">
        <v>0</v>
      </c>
      <c r="H171" s="59">
        <v>0</v>
      </c>
      <c r="I171" s="59">
        <v>0</v>
      </c>
      <c r="J171" s="59">
        <v>0</v>
      </c>
      <c r="K171" s="59">
        <v>0</v>
      </c>
      <c r="L171" s="59">
        <v>0</v>
      </c>
      <c r="M171" s="59">
        <v>0</v>
      </c>
      <c r="N171" s="59">
        <v>0</v>
      </c>
      <c r="O171" s="59">
        <v>0</v>
      </c>
      <c r="P171" s="59">
        <v>0</v>
      </c>
      <c r="Q171" s="59">
        <v>0</v>
      </c>
      <c r="R171" s="59">
        <v>0</v>
      </c>
      <c r="S171" s="59">
        <v>0</v>
      </c>
      <c r="T171" s="59">
        <v>0</v>
      </c>
      <c r="U171" s="59">
        <v>0</v>
      </c>
      <c r="V171" s="59">
        <v>0</v>
      </c>
      <c r="W171" s="59">
        <v>0</v>
      </c>
      <c r="X171" s="59">
        <v>0</v>
      </c>
      <c r="Y171" s="59">
        <v>0</v>
      </c>
      <c r="Z171" s="59">
        <v>0</v>
      </c>
      <c r="AA171" s="59">
        <v>0</v>
      </c>
      <c r="AB171" s="59">
        <v>0</v>
      </c>
      <c r="AC171" s="59">
        <v>0</v>
      </c>
      <c r="AD171" s="59">
        <v>0</v>
      </c>
      <c r="AE171" s="59">
        <v>0</v>
      </c>
      <c r="AF171" s="95">
        <v>0</v>
      </c>
    </row>
    <row r="172" spans="2:32" s="59" customFormat="1">
      <c r="B172" s="66" t="str">
        <f t="shared" si="8"/>
        <v>UPSDSL</v>
      </c>
      <c r="C172" s="499" t="s">
        <v>745</v>
      </c>
      <c r="D172" s="500" t="s">
        <v>733</v>
      </c>
      <c r="E172" s="70">
        <v>0</v>
      </c>
      <c r="F172" s="59">
        <v>0</v>
      </c>
      <c r="G172" s="59">
        <v>0</v>
      </c>
      <c r="H172" s="59">
        <v>0</v>
      </c>
      <c r="I172" s="59">
        <v>0</v>
      </c>
      <c r="J172" s="59">
        <v>0</v>
      </c>
      <c r="K172" s="59">
        <v>0</v>
      </c>
      <c r="L172" s="59">
        <v>0</v>
      </c>
      <c r="M172" s="59">
        <v>0</v>
      </c>
      <c r="N172" s="59">
        <v>0</v>
      </c>
      <c r="O172" s="59">
        <v>0</v>
      </c>
      <c r="P172" s="59">
        <v>0</v>
      </c>
      <c r="Q172" s="59">
        <v>0</v>
      </c>
      <c r="R172" s="59">
        <v>0</v>
      </c>
      <c r="S172" s="59">
        <v>0</v>
      </c>
      <c r="T172" s="59">
        <v>0</v>
      </c>
      <c r="U172" s="59">
        <v>0</v>
      </c>
      <c r="V172" s="59">
        <v>0</v>
      </c>
      <c r="W172" s="59">
        <v>0</v>
      </c>
      <c r="X172" s="59">
        <v>0</v>
      </c>
      <c r="Y172" s="59">
        <v>0</v>
      </c>
      <c r="Z172" s="59">
        <v>0</v>
      </c>
      <c r="AA172" s="59">
        <v>0</v>
      </c>
      <c r="AB172" s="59">
        <v>0</v>
      </c>
      <c r="AC172" s="59">
        <v>0</v>
      </c>
      <c r="AD172" s="59">
        <v>0</v>
      </c>
      <c r="AE172" s="59">
        <v>0</v>
      </c>
      <c r="AF172" s="95">
        <v>0</v>
      </c>
    </row>
    <row r="173" spans="2:32" s="59" customFormat="1">
      <c r="B173" s="66" t="str">
        <f t="shared" si="8"/>
        <v>UPSDSL</v>
      </c>
      <c r="C173" s="499" t="s">
        <v>746</v>
      </c>
      <c r="D173" s="500" t="s">
        <v>733</v>
      </c>
      <c r="E173" s="70">
        <v>0</v>
      </c>
      <c r="F173" s="59">
        <v>0</v>
      </c>
      <c r="G173" s="59">
        <v>0</v>
      </c>
      <c r="H173" s="59">
        <v>0</v>
      </c>
      <c r="I173" s="59">
        <v>0</v>
      </c>
      <c r="J173" s="59">
        <v>0</v>
      </c>
      <c r="K173" s="59">
        <v>0</v>
      </c>
      <c r="L173" s="59">
        <v>0</v>
      </c>
      <c r="M173" s="59">
        <v>0</v>
      </c>
      <c r="N173" s="59">
        <v>0</v>
      </c>
      <c r="O173" s="59">
        <v>0</v>
      </c>
      <c r="P173" s="59">
        <v>0</v>
      </c>
      <c r="Q173" s="59">
        <v>0</v>
      </c>
      <c r="R173" s="59">
        <v>0</v>
      </c>
      <c r="S173" s="59">
        <v>0</v>
      </c>
      <c r="T173" s="59">
        <v>0</v>
      </c>
      <c r="U173" s="59">
        <v>0</v>
      </c>
      <c r="V173" s="59">
        <v>0</v>
      </c>
      <c r="W173" s="59">
        <v>0</v>
      </c>
      <c r="X173" s="59">
        <v>0</v>
      </c>
      <c r="Y173" s="59">
        <v>0</v>
      </c>
      <c r="Z173" s="59">
        <v>0</v>
      </c>
      <c r="AA173" s="59">
        <v>0</v>
      </c>
      <c r="AB173" s="59">
        <v>0</v>
      </c>
      <c r="AC173" s="59">
        <v>0</v>
      </c>
      <c r="AD173" s="59">
        <v>0</v>
      </c>
      <c r="AE173" s="59">
        <v>0</v>
      </c>
      <c r="AF173" s="95">
        <v>0</v>
      </c>
    </row>
    <row r="174" spans="2:32" s="59" customFormat="1">
      <c r="B174" s="269" t="str">
        <f t="shared" si="8"/>
        <v>UPSDSL</v>
      </c>
      <c r="C174" s="503" t="s">
        <v>747</v>
      </c>
      <c r="D174" s="504" t="s">
        <v>733</v>
      </c>
      <c r="E174" s="271">
        <v>0</v>
      </c>
      <c r="F174" s="80">
        <v>0</v>
      </c>
      <c r="G174" s="80">
        <v>0</v>
      </c>
      <c r="H174" s="80">
        <v>0</v>
      </c>
      <c r="I174" s="80">
        <v>0</v>
      </c>
      <c r="J174" s="80">
        <v>0</v>
      </c>
      <c r="K174" s="80">
        <v>0</v>
      </c>
      <c r="L174" s="80">
        <v>0</v>
      </c>
      <c r="M174" s="80">
        <v>0</v>
      </c>
      <c r="N174" s="80">
        <v>0</v>
      </c>
      <c r="O174" s="80">
        <v>0</v>
      </c>
      <c r="P174" s="80">
        <v>0</v>
      </c>
      <c r="Q174" s="80">
        <v>0</v>
      </c>
      <c r="R174" s="80">
        <v>0</v>
      </c>
      <c r="S174" s="80">
        <v>0</v>
      </c>
      <c r="T174" s="80">
        <v>0</v>
      </c>
      <c r="U174" s="80">
        <v>0</v>
      </c>
      <c r="V174" s="80">
        <v>0</v>
      </c>
      <c r="W174" s="80">
        <v>0</v>
      </c>
      <c r="X174" s="80">
        <v>0</v>
      </c>
      <c r="Y174" s="80">
        <v>0</v>
      </c>
      <c r="Z174" s="80">
        <v>0</v>
      </c>
      <c r="AA174" s="80">
        <v>0</v>
      </c>
      <c r="AB174" s="80">
        <v>0</v>
      </c>
      <c r="AC174" s="80">
        <v>0</v>
      </c>
      <c r="AD174" s="80">
        <v>0</v>
      </c>
      <c r="AE174" s="80">
        <v>0</v>
      </c>
      <c r="AF174" s="97">
        <v>0</v>
      </c>
    </row>
    <row r="175" spans="2:32" s="59" customFormat="1">
      <c r="B175" s="66" t="s">
        <v>537</v>
      </c>
      <c r="C175" s="499"/>
      <c r="D175" s="500"/>
      <c r="E175" s="70"/>
      <c r="AF175" s="95"/>
    </row>
    <row r="176" spans="2:32" s="59" customFormat="1">
      <c r="B176" s="66" t="str">
        <f>B175</f>
        <v>UPSELC</v>
      </c>
      <c r="C176" s="499" t="s">
        <v>732</v>
      </c>
      <c r="D176" s="500" t="s">
        <v>733</v>
      </c>
      <c r="E176" s="70">
        <v>0</v>
      </c>
      <c r="F176" s="59">
        <v>0.38635963950827706</v>
      </c>
      <c r="G176" s="59">
        <v>0.75845254476778012</v>
      </c>
      <c r="H176" s="59">
        <v>5.091956809758505E-3</v>
      </c>
      <c r="I176" s="59">
        <v>0.33159261121692207</v>
      </c>
      <c r="J176" s="59">
        <v>0.88333534090826682</v>
      </c>
      <c r="K176" s="59">
        <v>0.19974604292126075</v>
      </c>
      <c r="L176" s="59">
        <v>0</v>
      </c>
      <c r="M176" s="59">
        <v>0.457478122513922</v>
      </c>
      <c r="N176" s="59">
        <v>0.66452114562184106</v>
      </c>
      <c r="O176" s="59">
        <v>0</v>
      </c>
      <c r="P176" s="59">
        <v>0.15265040513285405</v>
      </c>
      <c r="Q176" s="59">
        <v>0.10600355694342709</v>
      </c>
      <c r="R176" s="59">
        <v>0.38518792158798809</v>
      </c>
      <c r="S176" s="59">
        <v>7.2681862295051844E-2</v>
      </c>
      <c r="T176" s="59">
        <v>1.8781547251402454E-2</v>
      </c>
      <c r="U176" s="59">
        <v>7.0236971912424243E-2</v>
      </c>
      <c r="V176" s="59">
        <v>0</v>
      </c>
      <c r="W176" s="59">
        <v>0</v>
      </c>
      <c r="X176" s="59">
        <v>0</v>
      </c>
      <c r="Y176" s="59">
        <v>0.58756368450008334</v>
      </c>
      <c r="Z176" s="59">
        <v>0.11909781497089146</v>
      </c>
      <c r="AA176" s="59">
        <v>0</v>
      </c>
      <c r="AB176" s="59">
        <v>0.61881339362092136</v>
      </c>
      <c r="AC176" s="59">
        <v>0</v>
      </c>
      <c r="AD176" s="59">
        <v>0.59035080327601785</v>
      </c>
      <c r="AE176" s="59">
        <v>0</v>
      </c>
      <c r="AF176" s="95">
        <v>0.32437694982729232</v>
      </c>
    </row>
    <row r="177" spans="2:32" s="59" customFormat="1">
      <c r="B177" s="66" t="str">
        <f t="shared" ref="B177:B190" si="9">B176</f>
        <v>UPSELC</v>
      </c>
      <c r="C177" s="499" t="s">
        <v>734</v>
      </c>
      <c r="D177" s="500" t="s">
        <v>733</v>
      </c>
      <c r="E177" s="70">
        <v>0</v>
      </c>
      <c r="F177" s="59">
        <v>0.25980674924446001</v>
      </c>
      <c r="G177" s="59">
        <v>7.6652413627506209E-3</v>
      </c>
      <c r="H177" s="59">
        <v>0.39092712757789055</v>
      </c>
      <c r="I177" s="59">
        <v>5.9688642584156189E-2</v>
      </c>
      <c r="J177" s="59">
        <v>6.4443866427198779E-2</v>
      </c>
      <c r="K177" s="59">
        <v>0</v>
      </c>
      <c r="L177" s="59">
        <v>0</v>
      </c>
      <c r="M177" s="59">
        <v>0.16614956245027845</v>
      </c>
      <c r="N177" s="59">
        <v>0.25534580327443951</v>
      </c>
      <c r="O177" s="59">
        <v>0.78696954066492053</v>
      </c>
      <c r="P177" s="59">
        <v>0.42127140738866747</v>
      </c>
      <c r="Q177" s="59">
        <v>0.26038953938836717</v>
      </c>
      <c r="R177" s="59">
        <v>0.20318447643936913</v>
      </c>
      <c r="S177" s="59">
        <v>0.21931129510000671</v>
      </c>
      <c r="T177" s="59">
        <v>0.33490005351032304</v>
      </c>
      <c r="U177" s="59">
        <v>0.32476541072455484</v>
      </c>
      <c r="V177" s="59">
        <v>0</v>
      </c>
      <c r="W177" s="59">
        <v>0.94065544729849426</v>
      </c>
      <c r="X177" s="59">
        <v>0.4240274860741472</v>
      </c>
      <c r="Y177" s="59">
        <v>0.36847108718426513</v>
      </c>
      <c r="Z177" s="59">
        <v>0.65339513173445374</v>
      </c>
      <c r="AA177" s="59">
        <v>0.49840410998808476</v>
      </c>
      <c r="AB177" s="59">
        <v>0.38118660637907859</v>
      </c>
      <c r="AC177" s="59">
        <v>0</v>
      </c>
      <c r="AD177" s="59">
        <v>0.17287316323657717</v>
      </c>
      <c r="AE177" s="59">
        <v>0.75880232992745644</v>
      </c>
      <c r="AF177" s="95">
        <v>0.36703604414631691</v>
      </c>
    </row>
    <row r="178" spans="2:32" s="59" customFormat="1">
      <c r="B178" s="66" t="str">
        <f t="shared" si="9"/>
        <v>UPSELC</v>
      </c>
      <c r="C178" s="499" t="s">
        <v>735</v>
      </c>
      <c r="D178" s="500" t="s">
        <v>733</v>
      </c>
      <c r="E178" s="70">
        <v>0</v>
      </c>
      <c r="F178" s="59">
        <v>0</v>
      </c>
      <c r="G178" s="59">
        <v>0.23388221386946925</v>
      </c>
      <c r="H178" s="59">
        <v>0</v>
      </c>
      <c r="I178" s="59">
        <v>2.0399856192012265E-2</v>
      </c>
      <c r="J178" s="59">
        <v>1.4982292335808932E-2</v>
      </c>
      <c r="K178" s="59">
        <v>0</v>
      </c>
      <c r="L178" s="59">
        <v>0</v>
      </c>
      <c r="M178" s="59">
        <v>0.3763723150357996</v>
      </c>
      <c r="N178" s="59">
        <v>0</v>
      </c>
      <c r="O178" s="59">
        <v>0</v>
      </c>
      <c r="P178" s="59">
        <v>0</v>
      </c>
      <c r="Q178" s="59">
        <v>3.9153713176954791E-2</v>
      </c>
      <c r="R178" s="59">
        <v>6.2314088082039601E-2</v>
      </c>
      <c r="S178" s="59">
        <v>0.1719664938310542</v>
      </c>
      <c r="T178" s="59">
        <v>0.26216627330523889</v>
      </c>
      <c r="U178" s="59">
        <v>8.714289836008815E-2</v>
      </c>
      <c r="V178" s="59">
        <v>0</v>
      </c>
      <c r="W178" s="59">
        <v>0</v>
      </c>
      <c r="X178" s="59">
        <v>0</v>
      </c>
      <c r="Y178" s="59">
        <v>8.009966084117292E-4</v>
      </c>
      <c r="Z178" s="59">
        <v>9.9742937751938886E-3</v>
      </c>
      <c r="AA178" s="59">
        <v>0.49709774487049252</v>
      </c>
      <c r="AB178" s="59">
        <v>0</v>
      </c>
      <c r="AC178" s="59">
        <v>0</v>
      </c>
      <c r="AD178" s="59">
        <v>0.17225386616274113</v>
      </c>
      <c r="AE178" s="59">
        <v>0</v>
      </c>
      <c r="AF178" s="95">
        <v>6.7538984462657131E-2</v>
      </c>
    </row>
    <row r="179" spans="2:32" s="59" customFormat="1">
      <c r="B179" s="66" t="str">
        <f t="shared" si="9"/>
        <v>UPSELC</v>
      </c>
      <c r="C179" s="499" t="s">
        <v>736</v>
      </c>
      <c r="D179" s="500" t="s">
        <v>733</v>
      </c>
      <c r="E179" s="70">
        <v>0</v>
      </c>
      <c r="F179" s="59">
        <v>9.4088438205817235E-2</v>
      </c>
      <c r="G179" s="59">
        <v>0</v>
      </c>
      <c r="H179" s="59">
        <v>0</v>
      </c>
      <c r="I179" s="59">
        <v>0.27554976525213415</v>
      </c>
      <c r="J179" s="59">
        <v>0</v>
      </c>
      <c r="K179" s="59">
        <v>0.80025395707873925</v>
      </c>
      <c r="L179" s="59">
        <v>0</v>
      </c>
      <c r="M179" s="59">
        <v>0</v>
      </c>
      <c r="N179" s="59">
        <v>0</v>
      </c>
      <c r="O179" s="59">
        <v>0.21303045933507944</v>
      </c>
      <c r="P179" s="59">
        <v>0</v>
      </c>
      <c r="Q179" s="59">
        <v>0</v>
      </c>
      <c r="R179" s="59">
        <v>0</v>
      </c>
      <c r="S179" s="59">
        <v>1.5252523287731998E-3</v>
      </c>
      <c r="T179" s="59">
        <v>0</v>
      </c>
      <c r="U179" s="59">
        <v>1.6159028067716536E-3</v>
      </c>
      <c r="V179" s="59">
        <v>0</v>
      </c>
      <c r="W179" s="59">
        <v>0</v>
      </c>
      <c r="X179" s="59">
        <v>2.7191329629653795E-2</v>
      </c>
      <c r="Y179" s="59">
        <v>0</v>
      </c>
      <c r="Z179" s="59">
        <v>0</v>
      </c>
      <c r="AA179" s="59">
        <v>0</v>
      </c>
      <c r="AB179" s="59">
        <v>0</v>
      </c>
      <c r="AC179" s="59">
        <v>1</v>
      </c>
      <c r="AD179" s="59">
        <v>0</v>
      </c>
      <c r="AE179" s="59">
        <v>0</v>
      </c>
      <c r="AF179" s="95">
        <v>0</v>
      </c>
    </row>
    <row r="180" spans="2:32" s="59" customFormat="1">
      <c r="B180" s="66" t="str">
        <f t="shared" si="9"/>
        <v>UPSELC</v>
      </c>
      <c r="C180" s="499" t="s">
        <v>737</v>
      </c>
      <c r="D180" s="500" t="s">
        <v>733</v>
      </c>
      <c r="E180" s="70">
        <v>0</v>
      </c>
      <c r="F180" s="59">
        <v>0</v>
      </c>
      <c r="G180" s="59">
        <v>0</v>
      </c>
      <c r="H180" s="59">
        <v>0</v>
      </c>
      <c r="I180" s="59">
        <v>5.605996396052043E-3</v>
      </c>
      <c r="J180" s="59">
        <v>0</v>
      </c>
      <c r="K180" s="59">
        <v>0</v>
      </c>
      <c r="L180" s="59">
        <v>0</v>
      </c>
      <c r="M180" s="59">
        <v>0</v>
      </c>
      <c r="N180" s="59">
        <v>0</v>
      </c>
      <c r="O180" s="59">
        <v>0</v>
      </c>
      <c r="P180" s="59">
        <v>0</v>
      </c>
      <c r="Q180" s="59">
        <v>4.6832827186083857E-2</v>
      </c>
      <c r="R180" s="59">
        <v>0</v>
      </c>
      <c r="S180" s="59">
        <v>3.7483524583227498E-2</v>
      </c>
      <c r="T180" s="59">
        <v>1.2690329963864365E-3</v>
      </c>
      <c r="U180" s="59">
        <v>9.7481795801032042E-3</v>
      </c>
      <c r="V180" s="59">
        <v>0</v>
      </c>
      <c r="W180" s="59">
        <v>5.9344552701505758E-2</v>
      </c>
      <c r="X180" s="59">
        <v>0.10805451621662746</v>
      </c>
      <c r="Y180" s="59">
        <v>0</v>
      </c>
      <c r="Z180" s="59">
        <v>0</v>
      </c>
      <c r="AA180" s="59">
        <v>2.0112319767744435E-3</v>
      </c>
      <c r="AB180" s="59">
        <v>0</v>
      </c>
      <c r="AC180" s="59">
        <v>0</v>
      </c>
      <c r="AD180" s="59">
        <v>0</v>
      </c>
      <c r="AE180" s="59">
        <v>0</v>
      </c>
      <c r="AF180" s="95">
        <v>2.5646568480542048E-3</v>
      </c>
    </row>
    <row r="181" spans="2:32" s="59" customFormat="1">
      <c r="B181" s="66" t="str">
        <f t="shared" si="9"/>
        <v>UPSELC</v>
      </c>
      <c r="C181" s="499" t="s">
        <v>738</v>
      </c>
      <c r="D181" s="500" t="s">
        <v>733</v>
      </c>
      <c r="E181" s="70">
        <v>0</v>
      </c>
      <c r="F181" s="59">
        <v>0</v>
      </c>
      <c r="G181" s="59">
        <v>0</v>
      </c>
      <c r="H181" s="59">
        <v>0</v>
      </c>
      <c r="I181" s="59">
        <v>5.605996396052043E-3</v>
      </c>
      <c r="J181" s="59">
        <v>0</v>
      </c>
      <c r="K181" s="59">
        <v>0</v>
      </c>
      <c r="L181" s="59">
        <v>0</v>
      </c>
      <c r="M181" s="59">
        <v>0</v>
      </c>
      <c r="N181" s="59">
        <v>0</v>
      </c>
      <c r="O181" s="59">
        <v>0</v>
      </c>
      <c r="P181" s="59">
        <v>0</v>
      </c>
      <c r="Q181" s="59">
        <v>0</v>
      </c>
      <c r="R181" s="59">
        <v>7.4877997735431894E-3</v>
      </c>
      <c r="S181" s="59">
        <v>7.897541228647097E-3</v>
      </c>
      <c r="T181" s="59">
        <v>0</v>
      </c>
      <c r="U181" s="59">
        <v>3.2951326103518759E-2</v>
      </c>
      <c r="V181" s="59">
        <v>0</v>
      </c>
      <c r="W181" s="59">
        <v>0</v>
      </c>
      <c r="X181" s="59">
        <v>0</v>
      </c>
      <c r="Y181" s="59">
        <v>0</v>
      </c>
      <c r="Z181" s="59">
        <v>0</v>
      </c>
      <c r="AA181" s="59">
        <v>2.4869131646481617E-3</v>
      </c>
      <c r="AB181" s="59">
        <v>0</v>
      </c>
      <c r="AC181" s="59">
        <v>0</v>
      </c>
      <c r="AD181" s="59">
        <v>0</v>
      </c>
      <c r="AE181" s="59">
        <v>0</v>
      </c>
      <c r="AF181" s="95">
        <v>2.7187181296160316E-2</v>
      </c>
    </row>
    <row r="182" spans="2:32" s="59" customFormat="1">
      <c r="B182" s="66" t="str">
        <f t="shared" si="9"/>
        <v>UPSELC</v>
      </c>
      <c r="C182" s="499" t="s">
        <v>739</v>
      </c>
      <c r="D182" s="500" t="s">
        <v>733</v>
      </c>
      <c r="E182" s="70">
        <v>0</v>
      </c>
      <c r="F182" s="59">
        <v>0</v>
      </c>
      <c r="G182" s="59">
        <v>0</v>
      </c>
      <c r="H182" s="59">
        <v>0</v>
      </c>
      <c r="I182" s="59">
        <v>0</v>
      </c>
      <c r="J182" s="59">
        <v>0</v>
      </c>
      <c r="K182" s="59">
        <v>0</v>
      </c>
      <c r="L182" s="59">
        <v>0</v>
      </c>
      <c r="M182" s="59">
        <v>0</v>
      </c>
      <c r="N182" s="59">
        <v>0</v>
      </c>
      <c r="O182" s="59">
        <v>0</v>
      </c>
      <c r="P182" s="59">
        <v>0</v>
      </c>
      <c r="Q182" s="59">
        <v>0</v>
      </c>
      <c r="R182" s="59">
        <v>0</v>
      </c>
      <c r="S182" s="59">
        <v>0</v>
      </c>
      <c r="T182" s="59">
        <v>0</v>
      </c>
      <c r="U182" s="59">
        <v>0</v>
      </c>
      <c r="V182" s="59">
        <v>0</v>
      </c>
      <c r="W182" s="59">
        <v>0</v>
      </c>
      <c r="X182" s="59">
        <v>0</v>
      </c>
      <c r="Y182" s="59">
        <v>0</v>
      </c>
      <c r="Z182" s="59">
        <v>0</v>
      </c>
      <c r="AA182" s="59">
        <v>0</v>
      </c>
      <c r="AB182" s="59">
        <v>0</v>
      </c>
      <c r="AC182" s="59">
        <v>0</v>
      </c>
      <c r="AD182" s="59">
        <v>0</v>
      </c>
      <c r="AE182" s="59">
        <v>0</v>
      </c>
      <c r="AF182" s="95">
        <v>0</v>
      </c>
    </row>
    <row r="183" spans="2:32" s="59" customFormat="1">
      <c r="B183" s="66" t="str">
        <f t="shared" si="9"/>
        <v>UPSELC</v>
      </c>
      <c r="C183" s="499" t="s">
        <v>740</v>
      </c>
      <c r="D183" s="500" t="s">
        <v>733</v>
      </c>
      <c r="E183" s="70">
        <v>0</v>
      </c>
      <c r="F183" s="59">
        <v>0.25974517304144573</v>
      </c>
      <c r="G183" s="59">
        <v>0</v>
      </c>
      <c r="H183" s="59">
        <v>0.29168681574712785</v>
      </c>
      <c r="I183" s="59">
        <v>2.6118612653319617E-2</v>
      </c>
      <c r="J183" s="59">
        <v>0</v>
      </c>
      <c r="K183" s="59">
        <v>0</v>
      </c>
      <c r="L183" s="59">
        <v>0</v>
      </c>
      <c r="M183" s="59">
        <v>0</v>
      </c>
      <c r="N183" s="59">
        <v>9.0716661626852116E-3</v>
      </c>
      <c r="O183" s="59">
        <v>0</v>
      </c>
      <c r="P183" s="59">
        <v>0</v>
      </c>
      <c r="Q183" s="59">
        <v>0.24881232734069095</v>
      </c>
      <c r="R183" s="59">
        <v>0.32417552012621476</v>
      </c>
      <c r="S183" s="59">
        <v>0.18994756792594608</v>
      </c>
      <c r="T183" s="59">
        <v>0.32430399836517787</v>
      </c>
      <c r="U183" s="59">
        <v>0.37284730130648308</v>
      </c>
      <c r="V183" s="59">
        <v>0</v>
      </c>
      <c r="W183" s="59">
        <v>0</v>
      </c>
      <c r="X183" s="59">
        <v>0.44072666807957156</v>
      </c>
      <c r="Y183" s="59">
        <v>4.2263110522776766E-2</v>
      </c>
      <c r="Z183" s="59">
        <v>0</v>
      </c>
      <c r="AA183" s="59">
        <v>0</v>
      </c>
      <c r="AB183" s="59">
        <v>0</v>
      </c>
      <c r="AC183" s="59">
        <v>0</v>
      </c>
      <c r="AD183" s="59">
        <v>1.4350042017746997E-2</v>
      </c>
      <c r="AE183" s="59">
        <v>0.24119767007254353</v>
      </c>
      <c r="AF183" s="95">
        <v>0.16214605606924784</v>
      </c>
    </row>
    <row r="184" spans="2:32" s="59" customFormat="1">
      <c r="B184" s="66" t="str">
        <f t="shared" si="9"/>
        <v>UPSELC</v>
      </c>
      <c r="C184" s="499" t="s">
        <v>741</v>
      </c>
      <c r="D184" s="500" t="s">
        <v>733</v>
      </c>
      <c r="E184" s="70">
        <v>1</v>
      </c>
      <c r="F184" s="59">
        <v>0</v>
      </c>
      <c r="G184" s="59">
        <v>0</v>
      </c>
      <c r="H184" s="59">
        <v>0.14319877781068119</v>
      </c>
      <c r="I184" s="59">
        <v>0.26879467607620883</v>
      </c>
      <c r="J184" s="59">
        <v>3.7238500328725589E-2</v>
      </c>
      <c r="K184" s="59">
        <v>0</v>
      </c>
      <c r="L184" s="59">
        <v>0</v>
      </c>
      <c r="M184" s="59">
        <v>0</v>
      </c>
      <c r="N184" s="59">
        <v>7.1061384941034159E-2</v>
      </c>
      <c r="O184" s="59">
        <v>0</v>
      </c>
      <c r="P184" s="59">
        <v>0.36077555007413969</v>
      </c>
      <c r="Q184" s="59">
        <v>0.28515401337733653</v>
      </c>
      <c r="R184" s="59">
        <v>1.6815115723722688E-2</v>
      </c>
      <c r="S184" s="59">
        <v>0.28630231534739042</v>
      </c>
      <c r="T184" s="59">
        <v>2.6491666393294876E-2</v>
      </c>
      <c r="U184" s="59">
        <v>1.3348762316809314E-3</v>
      </c>
      <c r="V184" s="59">
        <v>0</v>
      </c>
      <c r="W184" s="59">
        <v>0</v>
      </c>
      <c r="X184" s="59">
        <v>0</v>
      </c>
      <c r="Y184" s="59">
        <v>9.0112118446319543E-4</v>
      </c>
      <c r="Z184" s="59">
        <v>0.21753275951946072</v>
      </c>
      <c r="AA184" s="59">
        <v>0</v>
      </c>
      <c r="AB184" s="59">
        <v>0</v>
      </c>
      <c r="AC184" s="59">
        <v>0</v>
      </c>
      <c r="AD184" s="59">
        <v>5.0172125306916976E-2</v>
      </c>
      <c r="AE184" s="59">
        <v>0</v>
      </c>
      <c r="AF184" s="95">
        <v>4.9150127350271335E-2</v>
      </c>
    </row>
    <row r="185" spans="2:32" s="59" customFormat="1">
      <c r="B185" s="66" t="str">
        <f t="shared" si="9"/>
        <v>UPSELC</v>
      </c>
      <c r="C185" s="499" t="s">
        <v>742</v>
      </c>
      <c r="D185" s="500" t="s">
        <v>733</v>
      </c>
      <c r="E185" s="70">
        <v>0</v>
      </c>
      <c r="F185" s="59">
        <v>0</v>
      </c>
      <c r="G185" s="59">
        <v>0</v>
      </c>
      <c r="H185" s="59">
        <v>0</v>
      </c>
      <c r="I185" s="59">
        <v>6.6438432331427273E-3</v>
      </c>
      <c r="J185" s="59">
        <v>0</v>
      </c>
      <c r="K185" s="59">
        <v>0</v>
      </c>
      <c r="L185" s="59">
        <v>0</v>
      </c>
      <c r="M185" s="59">
        <v>0</v>
      </c>
      <c r="N185" s="59">
        <v>0</v>
      </c>
      <c r="O185" s="59">
        <v>0</v>
      </c>
      <c r="P185" s="59">
        <v>6.5302637404338754E-2</v>
      </c>
      <c r="Q185" s="59">
        <v>5.0457962344839305E-3</v>
      </c>
      <c r="R185" s="59">
        <v>0</v>
      </c>
      <c r="S185" s="59">
        <v>3.3208152584950999E-3</v>
      </c>
      <c r="T185" s="59">
        <v>0</v>
      </c>
      <c r="U185" s="59">
        <v>0</v>
      </c>
      <c r="V185" s="59">
        <v>0</v>
      </c>
      <c r="W185" s="59">
        <v>0</v>
      </c>
      <c r="X185" s="59">
        <v>0</v>
      </c>
      <c r="Y185" s="59">
        <v>0</v>
      </c>
      <c r="Z185" s="59">
        <v>0</v>
      </c>
      <c r="AA185" s="59">
        <v>0</v>
      </c>
      <c r="AB185" s="59">
        <v>0</v>
      </c>
      <c r="AC185" s="59">
        <v>0</v>
      </c>
      <c r="AD185" s="59">
        <v>0</v>
      </c>
      <c r="AE185" s="59">
        <v>0</v>
      </c>
      <c r="AF185" s="95">
        <v>0</v>
      </c>
    </row>
    <row r="186" spans="2:32" s="59" customFormat="1">
      <c r="B186" s="66" t="str">
        <f t="shared" si="9"/>
        <v>UPSELC</v>
      </c>
      <c r="C186" s="499" t="s">
        <v>743</v>
      </c>
      <c r="D186" s="500" t="s">
        <v>733</v>
      </c>
      <c r="E186" s="70">
        <v>0</v>
      </c>
      <c r="F186" s="59">
        <v>0</v>
      </c>
      <c r="G186" s="59">
        <v>0</v>
      </c>
      <c r="H186" s="59">
        <v>0</v>
      </c>
      <c r="I186" s="59">
        <v>0</v>
      </c>
      <c r="J186" s="59">
        <v>0</v>
      </c>
      <c r="K186" s="59">
        <v>0</v>
      </c>
      <c r="L186" s="59">
        <v>0</v>
      </c>
      <c r="M186" s="59">
        <v>0</v>
      </c>
      <c r="N186" s="59">
        <v>0</v>
      </c>
      <c r="O186" s="59">
        <v>0</v>
      </c>
      <c r="P186" s="59">
        <v>0</v>
      </c>
      <c r="Q186" s="59">
        <v>8.6082263526554969E-3</v>
      </c>
      <c r="R186" s="59">
        <v>0</v>
      </c>
      <c r="S186" s="59">
        <v>1.5086001621720053E-3</v>
      </c>
      <c r="T186" s="59">
        <v>0</v>
      </c>
      <c r="U186" s="59">
        <v>9.9357132974374957E-2</v>
      </c>
      <c r="V186" s="59">
        <v>0</v>
      </c>
      <c r="W186" s="59">
        <v>0</v>
      </c>
      <c r="X186" s="59">
        <v>0</v>
      </c>
      <c r="Y186" s="59">
        <v>0</v>
      </c>
      <c r="Z186" s="59">
        <v>0</v>
      </c>
      <c r="AA186" s="59">
        <v>0</v>
      </c>
      <c r="AB186" s="59">
        <v>0</v>
      </c>
      <c r="AC186" s="59">
        <v>0</v>
      </c>
      <c r="AD186" s="59">
        <v>0</v>
      </c>
      <c r="AE186" s="59">
        <v>0</v>
      </c>
      <c r="AF186" s="95">
        <v>0</v>
      </c>
    </row>
    <row r="187" spans="2:32" s="59" customFormat="1">
      <c r="B187" s="66" t="str">
        <f t="shared" si="9"/>
        <v>UPSELC</v>
      </c>
      <c r="C187" s="499" t="s">
        <v>744</v>
      </c>
      <c r="D187" s="500" t="s">
        <v>733</v>
      </c>
      <c r="E187" s="70">
        <v>0</v>
      </c>
      <c r="F187" s="59">
        <v>0</v>
      </c>
      <c r="G187" s="59">
        <v>0</v>
      </c>
      <c r="H187" s="59">
        <v>0</v>
      </c>
      <c r="I187" s="59">
        <v>0</v>
      </c>
      <c r="J187" s="59">
        <v>0</v>
      </c>
      <c r="K187" s="59">
        <v>0</v>
      </c>
      <c r="L187" s="59">
        <v>0</v>
      </c>
      <c r="M187" s="59">
        <v>0</v>
      </c>
      <c r="N187" s="59">
        <v>0</v>
      </c>
      <c r="O187" s="59">
        <v>0</v>
      </c>
      <c r="P187" s="59">
        <v>0</v>
      </c>
      <c r="Q187" s="59">
        <v>0</v>
      </c>
      <c r="R187" s="59">
        <v>0</v>
      </c>
      <c r="S187" s="59">
        <v>0</v>
      </c>
      <c r="T187" s="59">
        <v>0</v>
      </c>
      <c r="U187" s="59">
        <v>0</v>
      </c>
      <c r="V187" s="59">
        <v>0</v>
      </c>
      <c r="W187" s="59">
        <v>0</v>
      </c>
      <c r="X187" s="59">
        <v>0</v>
      </c>
      <c r="Y187" s="59">
        <v>0</v>
      </c>
      <c r="Z187" s="59">
        <v>0</v>
      </c>
      <c r="AA187" s="59">
        <v>0</v>
      </c>
      <c r="AB187" s="59">
        <v>0</v>
      </c>
      <c r="AC187" s="59">
        <v>0</v>
      </c>
      <c r="AD187" s="59">
        <v>0</v>
      </c>
      <c r="AE187" s="59">
        <v>0</v>
      </c>
      <c r="AF187" s="95">
        <v>0</v>
      </c>
    </row>
    <row r="188" spans="2:32" s="59" customFormat="1">
      <c r="B188" s="66" t="str">
        <f t="shared" si="9"/>
        <v>UPSELC</v>
      </c>
      <c r="C188" s="499" t="s">
        <v>745</v>
      </c>
      <c r="D188" s="500" t="s">
        <v>733</v>
      </c>
      <c r="E188" s="70">
        <v>0</v>
      </c>
      <c r="F188" s="59">
        <v>0</v>
      </c>
      <c r="G188" s="59">
        <v>0</v>
      </c>
      <c r="H188" s="59">
        <v>0.16909532205454175</v>
      </c>
      <c r="I188" s="59">
        <v>0</v>
      </c>
      <c r="J188" s="59">
        <v>0</v>
      </c>
      <c r="K188" s="59">
        <v>0</v>
      </c>
      <c r="L188" s="59">
        <v>0</v>
      </c>
      <c r="M188" s="59">
        <v>0</v>
      </c>
      <c r="N188" s="59">
        <v>0</v>
      </c>
      <c r="O188" s="59">
        <v>0</v>
      </c>
      <c r="P188" s="59">
        <v>0</v>
      </c>
      <c r="Q188" s="59">
        <v>0</v>
      </c>
      <c r="R188" s="59">
        <v>0</v>
      </c>
      <c r="S188" s="59">
        <v>7.0699931474898919E-3</v>
      </c>
      <c r="T188" s="59">
        <v>0</v>
      </c>
      <c r="U188" s="59">
        <v>0</v>
      </c>
      <c r="V188" s="59">
        <v>0</v>
      </c>
      <c r="W188" s="59">
        <v>0</v>
      </c>
      <c r="X188" s="59">
        <v>0</v>
      </c>
      <c r="Y188" s="59">
        <v>0</v>
      </c>
      <c r="Z188" s="59">
        <v>0</v>
      </c>
      <c r="AA188" s="59">
        <v>0</v>
      </c>
      <c r="AB188" s="59">
        <v>0</v>
      </c>
      <c r="AC188" s="59">
        <v>0</v>
      </c>
      <c r="AD188" s="59">
        <v>0</v>
      </c>
      <c r="AE188" s="59">
        <v>0</v>
      </c>
      <c r="AF188" s="95">
        <v>0</v>
      </c>
    </row>
    <row r="189" spans="2:32" s="59" customFormat="1">
      <c r="B189" s="66" t="str">
        <f t="shared" si="9"/>
        <v>UPSELC</v>
      </c>
      <c r="C189" s="499" t="s">
        <v>746</v>
      </c>
      <c r="D189" s="500" t="s">
        <v>733</v>
      </c>
      <c r="E189" s="70">
        <v>0</v>
      </c>
      <c r="F189" s="59">
        <v>0</v>
      </c>
      <c r="G189" s="59">
        <v>0</v>
      </c>
      <c r="H189" s="59">
        <v>0</v>
      </c>
      <c r="I189" s="59">
        <v>0</v>
      </c>
      <c r="J189" s="59">
        <v>0</v>
      </c>
      <c r="K189" s="59">
        <v>0</v>
      </c>
      <c r="L189" s="59">
        <v>0</v>
      </c>
      <c r="M189" s="59">
        <v>0</v>
      </c>
      <c r="N189" s="59">
        <v>0</v>
      </c>
      <c r="O189" s="59">
        <v>0</v>
      </c>
      <c r="P189" s="59">
        <v>0</v>
      </c>
      <c r="Q189" s="59">
        <v>0</v>
      </c>
      <c r="R189" s="59">
        <v>8.3507826712244217E-4</v>
      </c>
      <c r="S189" s="59">
        <v>9.8473879174606669E-4</v>
      </c>
      <c r="T189" s="59">
        <v>3.2087428178176315E-2</v>
      </c>
      <c r="U189" s="59">
        <v>0</v>
      </c>
      <c r="V189" s="59">
        <v>0</v>
      </c>
      <c r="W189" s="59">
        <v>0</v>
      </c>
      <c r="X189" s="59">
        <v>0</v>
      </c>
      <c r="Y189" s="59">
        <v>0</v>
      </c>
      <c r="Z189" s="59">
        <v>0</v>
      </c>
      <c r="AA189" s="59">
        <v>0</v>
      </c>
      <c r="AB189" s="59">
        <v>0</v>
      </c>
      <c r="AC189" s="59">
        <v>0</v>
      </c>
      <c r="AD189" s="59">
        <v>0</v>
      </c>
      <c r="AE189" s="59">
        <v>0</v>
      </c>
      <c r="AF189" s="95">
        <v>0</v>
      </c>
    </row>
    <row r="190" spans="2:32" s="59" customFormat="1">
      <c r="B190" s="269" t="str">
        <f t="shared" si="9"/>
        <v>UPSELC</v>
      </c>
      <c r="C190" s="503" t="s">
        <v>747</v>
      </c>
      <c r="D190" s="504" t="s">
        <v>733</v>
      </c>
      <c r="E190" s="271">
        <v>0</v>
      </c>
      <c r="F190" s="80">
        <v>0</v>
      </c>
      <c r="G190" s="80">
        <v>0</v>
      </c>
      <c r="H190" s="80">
        <v>0</v>
      </c>
      <c r="I190" s="80">
        <v>0</v>
      </c>
      <c r="J190" s="80">
        <v>0</v>
      </c>
      <c r="K190" s="80">
        <v>0</v>
      </c>
      <c r="L190" s="80">
        <v>0</v>
      </c>
      <c r="M190" s="80">
        <v>0</v>
      </c>
      <c r="N190" s="80">
        <v>0</v>
      </c>
      <c r="O190" s="80">
        <v>0</v>
      </c>
      <c r="P190" s="80">
        <v>0</v>
      </c>
      <c r="Q190" s="80">
        <v>0</v>
      </c>
      <c r="R190" s="80">
        <v>0</v>
      </c>
      <c r="S190" s="80">
        <v>0</v>
      </c>
      <c r="T190" s="80">
        <v>0</v>
      </c>
      <c r="U190" s="80">
        <v>0</v>
      </c>
      <c r="V190" s="80">
        <v>0</v>
      </c>
      <c r="W190" s="80">
        <v>0</v>
      </c>
      <c r="X190" s="80">
        <v>0</v>
      </c>
      <c r="Y190" s="80">
        <v>0</v>
      </c>
      <c r="Z190" s="80">
        <v>0</v>
      </c>
      <c r="AA190" s="80">
        <v>0</v>
      </c>
      <c r="AB190" s="80">
        <v>0</v>
      </c>
      <c r="AC190" s="80">
        <v>0</v>
      </c>
      <c r="AD190" s="80">
        <v>0</v>
      </c>
      <c r="AE190" s="80">
        <v>0</v>
      </c>
      <c r="AF190" s="97">
        <v>0</v>
      </c>
    </row>
    <row r="191" spans="2:32" s="59" customFormat="1">
      <c r="B191" s="66" t="s">
        <v>541</v>
      </c>
      <c r="C191" s="499"/>
      <c r="D191" s="500"/>
      <c r="E191" s="70"/>
      <c r="AF191" s="95"/>
    </row>
    <row r="192" spans="2:32" s="59" customFormat="1">
      <c r="B192" s="66" t="str">
        <f>B191</f>
        <v>UPSGAS</v>
      </c>
      <c r="C192" s="499" t="s">
        <v>732</v>
      </c>
      <c r="D192" s="500" t="s">
        <v>733</v>
      </c>
      <c r="E192" s="70">
        <v>0</v>
      </c>
      <c r="F192" s="59">
        <v>0.63639358868465579</v>
      </c>
      <c r="G192" s="59">
        <v>0</v>
      </c>
      <c r="H192" s="59">
        <v>0.17543934470752159</v>
      </c>
      <c r="I192" s="59">
        <v>0.15647228348823841</v>
      </c>
      <c r="J192" s="59">
        <v>0.35628953829197774</v>
      </c>
      <c r="K192" s="59">
        <v>0.61598401955141358</v>
      </c>
      <c r="L192" s="59">
        <v>1</v>
      </c>
      <c r="M192" s="59">
        <v>0.64561006090108819</v>
      </c>
      <c r="N192" s="59">
        <v>0.95833863487240134</v>
      </c>
      <c r="O192" s="59">
        <v>0</v>
      </c>
      <c r="P192" s="59">
        <v>0.54374488961569911</v>
      </c>
      <c r="Q192" s="59">
        <v>0.68260892729321543</v>
      </c>
      <c r="R192" s="59">
        <v>0.92300972516663382</v>
      </c>
      <c r="S192" s="59">
        <v>0.25046334541808685</v>
      </c>
      <c r="T192" s="59">
        <v>5.9458686738207055E-2</v>
      </c>
      <c r="U192" s="59">
        <v>0.25708436909993915</v>
      </c>
      <c r="V192" s="59">
        <v>1</v>
      </c>
      <c r="W192" s="59">
        <v>9.9260908949290627E-2</v>
      </c>
      <c r="X192" s="59">
        <v>0.13203565049046412</v>
      </c>
      <c r="Y192" s="59">
        <v>0.65761597467538258</v>
      </c>
      <c r="Z192" s="59">
        <v>2.5108164187710752E-2</v>
      </c>
      <c r="AA192" s="59">
        <v>0.56416142280188308</v>
      </c>
      <c r="AB192" s="59">
        <v>0.73719007319958174</v>
      </c>
      <c r="AC192" s="59">
        <v>0.63740703790970854</v>
      </c>
      <c r="AD192" s="59">
        <v>0.65446690931650331</v>
      </c>
      <c r="AE192" s="59">
        <v>0</v>
      </c>
      <c r="AF192" s="95">
        <v>0.66000921312575533</v>
      </c>
    </row>
    <row r="193" spans="2:32" s="59" customFormat="1">
      <c r="B193" s="66" t="str">
        <f t="shared" ref="B193:B206" si="10">B192</f>
        <v>UPSGAS</v>
      </c>
      <c r="C193" s="499" t="s">
        <v>734</v>
      </c>
      <c r="D193" s="500" t="s">
        <v>733</v>
      </c>
      <c r="E193" s="70">
        <v>0</v>
      </c>
      <c r="F193" s="59">
        <v>6.4901640590393772E-2</v>
      </c>
      <c r="G193" s="59">
        <v>0.5096907036383036</v>
      </c>
      <c r="H193" s="59">
        <v>0</v>
      </c>
      <c r="I193" s="59">
        <v>1.9868332848222429E-2</v>
      </c>
      <c r="J193" s="59">
        <v>1.6909263110784452E-2</v>
      </c>
      <c r="K193" s="59">
        <v>8.5772016768530181E-4</v>
      </c>
      <c r="L193" s="59">
        <v>0</v>
      </c>
      <c r="M193" s="59">
        <v>0.35438993909891175</v>
      </c>
      <c r="N193" s="59">
        <v>3.958752778630182E-2</v>
      </c>
      <c r="O193" s="59">
        <v>0.96290674141145893</v>
      </c>
      <c r="P193" s="59">
        <v>0.33401471790678661</v>
      </c>
      <c r="Q193" s="59">
        <v>0.30481482856725467</v>
      </c>
      <c r="R193" s="59">
        <v>2.2262463202117725E-2</v>
      </c>
      <c r="S193" s="59">
        <v>0.7062721319701869</v>
      </c>
      <c r="T193" s="59">
        <v>0.8828682865983567</v>
      </c>
      <c r="U193" s="59">
        <v>0.71019729449441626</v>
      </c>
      <c r="V193" s="59">
        <v>0</v>
      </c>
      <c r="W193" s="59">
        <v>0.90073909105070937</v>
      </c>
      <c r="X193" s="59">
        <v>0.24112815644695107</v>
      </c>
      <c r="Y193" s="59">
        <v>6.3161305611300234E-2</v>
      </c>
      <c r="Z193" s="59">
        <v>0.97030133699648857</v>
      </c>
      <c r="AA193" s="59">
        <v>0.16041125341260271</v>
      </c>
      <c r="AB193" s="59">
        <v>0.24548574008148524</v>
      </c>
      <c r="AC193" s="59">
        <v>1.7109021198545401E-2</v>
      </c>
      <c r="AD193" s="59">
        <v>0</v>
      </c>
      <c r="AE193" s="59">
        <v>0</v>
      </c>
      <c r="AF193" s="95">
        <v>0.33599269881268845</v>
      </c>
    </row>
    <row r="194" spans="2:32" s="59" customFormat="1">
      <c r="B194" s="66" t="str">
        <f t="shared" si="10"/>
        <v>UPSGAS</v>
      </c>
      <c r="C194" s="499" t="s">
        <v>735</v>
      </c>
      <c r="D194" s="500" t="s">
        <v>733</v>
      </c>
      <c r="E194" s="70">
        <v>0</v>
      </c>
      <c r="F194" s="59">
        <v>1.3819976953883274E-2</v>
      </c>
      <c r="G194" s="59">
        <v>0.46327108304683229</v>
      </c>
      <c r="H194" s="59">
        <v>0</v>
      </c>
      <c r="I194" s="59">
        <v>4.3669122956603267E-2</v>
      </c>
      <c r="J194" s="59">
        <v>0.62680119859723782</v>
      </c>
      <c r="K194" s="59">
        <v>7.5710870164885982E-4</v>
      </c>
      <c r="L194" s="59">
        <v>0</v>
      </c>
      <c r="M194" s="59">
        <v>0</v>
      </c>
      <c r="N194" s="59">
        <v>0</v>
      </c>
      <c r="O194" s="59">
        <v>0</v>
      </c>
      <c r="P194" s="59">
        <v>0</v>
      </c>
      <c r="Q194" s="59">
        <v>3.3030270142560131E-3</v>
      </c>
      <c r="R194" s="59">
        <v>2.7222773748602925E-2</v>
      </c>
      <c r="S194" s="59">
        <v>1.6316326376965791E-2</v>
      </c>
      <c r="T194" s="59">
        <v>3.722369082113592E-2</v>
      </c>
      <c r="U194" s="59">
        <v>6.7240755671282623E-3</v>
      </c>
      <c r="V194" s="59">
        <v>0</v>
      </c>
      <c r="W194" s="59">
        <v>0</v>
      </c>
      <c r="X194" s="59">
        <v>0</v>
      </c>
      <c r="Y194" s="59">
        <v>5.6918389060893575E-2</v>
      </c>
      <c r="Z194" s="59">
        <v>4.5904988158008055E-3</v>
      </c>
      <c r="AA194" s="59">
        <v>0</v>
      </c>
      <c r="AB194" s="59">
        <v>1.7324186718933033E-2</v>
      </c>
      <c r="AC194" s="59">
        <v>0</v>
      </c>
      <c r="AD194" s="59">
        <v>0.34349757856822144</v>
      </c>
      <c r="AE194" s="59">
        <v>0</v>
      </c>
      <c r="AF194" s="95">
        <v>0</v>
      </c>
    </row>
    <row r="195" spans="2:32" s="59" customFormat="1">
      <c r="B195" s="66" t="str">
        <f t="shared" si="10"/>
        <v>UPSGAS</v>
      </c>
      <c r="C195" s="499" t="s">
        <v>736</v>
      </c>
      <c r="D195" s="500" t="s">
        <v>733</v>
      </c>
      <c r="E195" s="70">
        <v>0</v>
      </c>
      <c r="F195" s="59">
        <v>0.28488479377106718</v>
      </c>
      <c r="G195" s="59">
        <v>2.7038213314864157E-2</v>
      </c>
      <c r="H195" s="59">
        <v>0.82456065529247835</v>
      </c>
      <c r="I195" s="59">
        <v>0.7692125369110816</v>
      </c>
      <c r="J195" s="59">
        <v>0</v>
      </c>
      <c r="K195" s="59">
        <v>0.3824011515792522</v>
      </c>
      <c r="L195" s="59">
        <v>0</v>
      </c>
      <c r="M195" s="59">
        <v>0</v>
      </c>
      <c r="N195" s="59">
        <v>0</v>
      </c>
      <c r="O195" s="59">
        <v>3.7093258588541109E-2</v>
      </c>
      <c r="P195" s="59">
        <v>0</v>
      </c>
      <c r="Q195" s="59">
        <v>0</v>
      </c>
      <c r="R195" s="59">
        <v>2.4230463777815084E-2</v>
      </c>
      <c r="S195" s="59">
        <v>2.0448849936744899E-2</v>
      </c>
      <c r="T195" s="59">
        <v>1.8759955910032527E-2</v>
      </c>
      <c r="U195" s="59">
        <v>9.4996433677415042E-3</v>
      </c>
      <c r="V195" s="59">
        <v>0</v>
      </c>
      <c r="W195" s="59">
        <v>0</v>
      </c>
      <c r="X195" s="59">
        <v>0.61021685571735085</v>
      </c>
      <c r="Y195" s="59">
        <v>0.17085560536886182</v>
      </c>
      <c r="Z195" s="59">
        <v>0</v>
      </c>
      <c r="AA195" s="59">
        <v>0.27185536462115267</v>
      </c>
      <c r="AB195" s="59">
        <v>0</v>
      </c>
      <c r="AC195" s="59">
        <v>0.345483940891746</v>
      </c>
      <c r="AD195" s="59">
        <v>2.0355121152753849E-3</v>
      </c>
      <c r="AE195" s="59">
        <v>1</v>
      </c>
      <c r="AF195" s="95">
        <v>0</v>
      </c>
    </row>
    <row r="196" spans="2:32" s="59" customFormat="1">
      <c r="B196" s="66" t="str">
        <f t="shared" si="10"/>
        <v>UPSGAS</v>
      </c>
      <c r="C196" s="499" t="s">
        <v>737</v>
      </c>
      <c r="D196" s="500" t="s">
        <v>733</v>
      </c>
      <c r="E196" s="70">
        <v>0</v>
      </c>
      <c r="F196" s="59">
        <v>0</v>
      </c>
      <c r="G196" s="59">
        <v>0</v>
      </c>
      <c r="H196" s="59">
        <v>0</v>
      </c>
      <c r="I196" s="59">
        <v>0</v>
      </c>
      <c r="J196" s="59">
        <v>0</v>
      </c>
      <c r="K196" s="59">
        <v>0</v>
      </c>
      <c r="L196" s="59">
        <v>0</v>
      </c>
      <c r="M196" s="59">
        <v>0</v>
      </c>
      <c r="N196" s="59">
        <v>0</v>
      </c>
      <c r="O196" s="59">
        <v>0</v>
      </c>
      <c r="P196" s="59">
        <v>0</v>
      </c>
      <c r="Q196" s="59">
        <v>0</v>
      </c>
      <c r="R196" s="59">
        <v>2.6053517719193549E-3</v>
      </c>
      <c r="S196" s="59">
        <v>1.8880730538955908E-4</v>
      </c>
      <c r="T196" s="59">
        <v>1.5134431772808954E-3</v>
      </c>
      <c r="U196" s="59">
        <v>2.0721024451554521E-3</v>
      </c>
      <c r="V196" s="59">
        <v>0</v>
      </c>
      <c r="W196" s="59">
        <v>0</v>
      </c>
      <c r="X196" s="59">
        <v>1.6619337345234027E-2</v>
      </c>
      <c r="Y196" s="59">
        <v>0</v>
      </c>
      <c r="Z196" s="59">
        <v>0</v>
      </c>
      <c r="AA196" s="59">
        <v>0</v>
      </c>
      <c r="AB196" s="59">
        <v>0</v>
      </c>
      <c r="AC196" s="59">
        <v>0</v>
      </c>
      <c r="AD196" s="59">
        <v>0</v>
      </c>
      <c r="AE196" s="59">
        <v>0</v>
      </c>
      <c r="AF196" s="95">
        <v>0</v>
      </c>
    </row>
    <row r="197" spans="2:32" s="59" customFormat="1">
      <c r="B197" s="66" t="str">
        <f t="shared" si="10"/>
        <v>UPSGAS</v>
      </c>
      <c r="C197" s="499" t="s">
        <v>738</v>
      </c>
      <c r="D197" s="500" t="s">
        <v>733</v>
      </c>
      <c r="E197" s="70">
        <v>0</v>
      </c>
      <c r="F197" s="59">
        <v>0</v>
      </c>
      <c r="G197" s="59">
        <v>0</v>
      </c>
      <c r="H197" s="59">
        <v>0</v>
      </c>
      <c r="I197" s="59">
        <v>1.0741462527992579E-2</v>
      </c>
      <c r="J197" s="59">
        <v>0</v>
      </c>
      <c r="K197" s="59">
        <v>0</v>
      </c>
      <c r="L197" s="59">
        <v>0</v>
      </c>
      <c r="M197" s="59">
        <v>0</v>
      </c>
      <c r="N197" s="59">
        <v>0</v>
      </c>
      <c r="O197" s="59">
        <v>0</v>
      </c>
      <c r="P197" s="59">
        <v>0</v>
      </c>
      <c r="Q197" s="59">
        <v>0</v>
      </c>
      <c r="R197" s="59">
        <v>0</v>
      </c>
      <c r="S197" s="59">
        <v>2.0513164741493227E-3</v>
      </c>
      <c r="T197" s="59">
        <v>0</v>
      </c>
      <c r="U197" s="59">
        <v>1.3387125425262155E-2</v>
      </c>
      <c r="V197" s="59">
        <v>0</v>
      </c>
      <c r="W197" s="59">
        <v>0</v>
      </c>
      <c r="X197" s="59">
        <v>0</v>
      </c>
      <c r="Y197" s="59">
        <v>0</v>
      </c>
      <c r="Z197" s="59">
        <v>0</v>
      </c>
      <c r="AA197" s="59">
        <v>3.5719591643615001E-3</v>
      </c>
      <c r="AB197" s="59">
        <v>0</v>
      </c>
      <c r="AC197" s="59">
        <v>0</v>
      </c>
      <c r="AD197" s="59">
        <v>0</v>
      </c>
      <c r="AE197" s="59">
        <v>0</v>
      </c>
      <c r="AF197" s="95">
        <v>3.5513613433769994E-3</v>
      </c>
    </row>
    <row r="198" spans="2:32" s="59" customFormat="1">
      <c r="B198" s="66" t="str">
        <f t="shared" si="10"/>
        <v>UPSGAS</v>
      </c>
      <c r="C198" s="499" t="s">
        <v>739</v>
      </c>
      <c r="D198" s="500" t="s">
        <v>733</v>
      </c>
      <c r="E198" s="70">
        <v>0</v>
      </c>
      <c r="F198" s="59">
        <v>0</v>
      </c>
      <c r="G198" s="59">
        <v>0</v>
      </c>
      <c r="H198" s="59">
        <v>0</v>
      </c>
      <c r="I198" s="59">
        <v>0</v>
      </c>
      <c r="J198" s="59">
        <v>0</v>
      </c>
      <c r="K198" s="59">
        <v>0</v>
      </c>
      <c r="L198" s="59">
        <v>0</v>
      </c>
      <c r="M198" s="59">
        <v>0</v>
      </c>
      <c r="N198" s="59">
        <v>0</v>
      </c>
      <c r="O198" s="59">
        <v>0</v>
      </c>
      <c r="P198" s="59">
        <v>0</v>
      </c>
      <c r="Q198" s="59">
        <v>0</v>
      </c>
      <c r="R198" s="59">
        <v>0</v>
      </c>
      <c r="S198" s="59">
        <v>0</v>
      </c>
      <c r="T198" s="59">
        <v>0</v>
      </c>
      <c r="U198" s="59">
        <v>0</v>
      </c>
      <c r="V198" s="59">
        <v>0</v>
      </c>
      <c r="W198" s="59">
        <v>0</v>
      </c>
      <c r="X198" s="59">
        <v>0</v>
      </c>
      <c r="Y198" s="59">
        <v>4.5777629356487014E-2</v>
      </c>
      <c r="Z198" s="59">
        <v>0</v>
      </c>
      <c r="AA198" s="59">
        <v>0</v>
      </c>
      <c r="AB198" s="59">
        <v>0</v>
      </c>
      <c r="AC198" s="59">
        <v>0</v>
      </c>
      <c r="AD198" s="59">
        <v>0</v>
      </c>
      <c r="AE198" s="59">
        <v>0</v>
      </c>
      <c r="AF198" s="95">
        <v>0</v>
      </c>
    </row>
    <row r="199" spans="2:32" s="59" customFormat="1">
      <c r="B199" s="66" t="str">
        <f t="shared" si="10"/>
        <v>UPSGAS</v>
      </c>
      <c r="C199" s="499" t="s">
        <v>740</v>
      </c>
      <c r="D199" s="500" t="s">
        <v>733</v>
      </c>
      <c r="E199" s="70">
        <v>0</v>
      </c>
      <c r="F199" s="59">
        <v>0</v>
      </c>
      <c r="G199" s="59">
        <v>0</v>
      </c>
      <c r="H199" s="59">
        <v>0</v>
      </c>
      <c r="I199" s="59">
        <v>0</v>
      </c>
      <c r="J199" s="59">
        <v>0</v>
      </c>
      <c r="K199" s="59">
        <v>0</v>
      </c>
      <c r="L199" s="59">
        <v>0</v>
      </c>
      <c r="M199" s="59">
        <v>0</v>
      </c>
      <c r="N199" s="59">
        <v>0</v>
      </c>
      <c r="O199" s="59">
        <v>0</v>
      </c>
      <c r="P199" s="59">
        <v>0</v>
      </c>
      <c r="Q199" s="59">
        <v>0</v>
      </c>
      <c r="R199" s="59">
        <v>0</v>
      </c>
      <c r="S199" s="59">
        <v>0</v>
      </c>
      <c r="T199" s="59">
        <v>0</v>
      </c>
      <c r="U199" s="59">
        <v>0</v>
      </c>
      <c r="V199" s="59">
        <v>0</v>
      </c>
      <c r="W199" s="59">
        <v>0</v>
      </c>
      <c r="X199" s="59">
        <v>0</v>
      </c>
      <c r="Y199" s="59">
        <v>0</v>
      </c>
      <c r="Z199" s="59">
        <v>0</v>
      </c>
      <c r="AA199" s="59">
        <v>0</v>
      </c>
      <c r="AB199" s="59">
        <v>0</v>
      </c>
      <c r="AC199" s="59">
        <v>0</v>
      </c>
      <c r="AD199" s="59">
        <v>0</v>
      </c>
      <c r="AE199" s="59">
        <v>0</v>
      </c>
      <c r="AF199" s="95">
        <v>0</v>
      </c>
    </row>
    <row r="200" spans="2:32" s="59" customFormat="1">
      <c r="B200" s="66" t="str">
        <f t="shared" si="10"/>
        <v>UPSGAS</v>
      </c>
      <c r="C200" s="499" t="s">
        <v>741</v>
      </c>
      <c r="D200" s="500" t="s">
        <v>733</v>
      </c>
      <c r="E200" s="70">
        <v>0</v>
      </c>
      <c r="F200" s="59">
        <v>0</v>
      </c>
      <c r="G200" s="59">
        <v>0</v>
      </c>
      <c r="H200" s="59">
        <v>0</v>
      </c>
      <c r="I200" s="59">
        <v>3.6261267861752212E-5</v>
      </c>
      <c r="J200" s="59">
        <v>0</v>
      </c>
      <c r="K200" s="59">
        <v>0</v>
      </c>
      <c r="L200" s="59">
        <v>0</v>
      </c>
      <c r="M200" s="59">
        <v>0</v>
      </c>
      <c r="N200" s="59">
        <v>2.0738373412968686E-3</v>
      </c>
      <c r="O200" s="59">
        <v>0</v>
      </c>
      <c r="P200" s="59">
        <v>6.6230580539656581E-2</v>
      </c>
      <c r="Q200" s="59">
        <v>0</v>
      </c>
      <c r="R200" s="59">
        <v>6.6922233291108327E-4</v>
      </c>
      <c r="S200" s="59">
        <v>4.2592225184765655E-3</v>
      </c>
      <c r="T200" s="59">
        <v>1.7593675498680134E-4</v>
      </c>
      <c r="U200" s="59">
        <v>1.0353896003572904E-3</v>
      </c>
      <c r="V200" s="59">
        <v>0</v>
      </c>
      <c r="W200" s="59">
        <v>0</v>
      </c>
      <c r="X200" s="59">
        <v>0</v>
      </c>
      <c r="Y200" s="59">
        <v>5.6710959270749222E-3</v>
      </c>
      <c r="Z200" s="59">
        <v>0</v>
      </c>
      <c r="AA200" s="59">
        <v>0</v>
      </c>
      <c r="AB200" s="59">
        <v>0</v>
      </c>
      <c r="AC200" s="59">
        <v>0</v>
      </c>
      <c r="AD200" s="59">
        <v>0</v>
      </c>
      <c r="AE200" s="59">
        <v>0</v>
      </c>
      <c r="AF200" s="95">
        <v>4.4672671817909203E-4</v>
      </c>
    </row>
    <row r="201" spans="2:32" s="59" customFormat="1">
      <c r="B201" s="66" t="str">
        <f t="shared" si="10"/>
        <v>UPSGAS</v>
      </c>
      <c r="C201" s="499" t="s">
        <v>742</v>
      </c>
      <c r="D201" s="500" t="s">
        <v>733</v>
      </c>
      <c r="E201" s="70">
        <v>0</v>
      </c>
      <c r="F201" s="59">
        <v>0</v>
      </c>
      <c r="G201" s="59">
        <v>0</v>
      </c>
      <c r="H201" s="59">
        <v>0</v>
      </c>
      <c r="I201" s="59">
        <v>0</v>
      </c>
      <c r="J201" s="59">
        <v>0</v>
      </c>
      <c r="K201" s="59">
        <v>0</v>
      </c>
      <c r="L201" s="59">
        <v>0</v>
      </c>
      <c r="M201" s="59">
        <v>0</v>
      </c>
      <c r="N201" s="59">
        <v>0</v>
      </c>
      <c r="O201" s="59">
        <v>0</v>
      </c>
      <c r="P201" s="59">
        <v>5.6009811937857722E-2</v>
      </c>
      <c r="Q201" s="59">
        <v>9.2732171252740397E-3</v>
      </c>
      <c r="R201" s="59">
        <v>0</v>
      </c>
      <c r="S201" s="59">
        <v>0</v>
      </c>
      <c r="T201" s="59">
        <v>0</v>
      </c>
      <c r="U201" s="59">
        <v>0</v>
      </c>
      <c r="V201" s="59">
        <v>0</v>
      </c>
      <c r="W201" s="59">
        <v>0</v>
      </c>
      <c r="X201" s="59">
        <v>0</v>
      </c>
      <c r="Y201" s="59">
        <v>0</v>
      </c>
      <c r="Z201" s="59">
        <v>0</v>
      </c>
      <c r="AA201" s="59">
        <v>0</v>
      </c>
      <c r="AB201" s="59">
        <v>0</v>
      </c>
      <c r="AC201" s="59">
        <v>0</v>
      </c>
      <c r="AD201" s="59">
        <v>0</v>
      </c>
      <c r="AE201" s="59">
        <v>0</v>
      </c>
      <c r="AF201" s="95">
        <v>0</v>
      </c>
    </row>
    <row r="202" spans="2:32" s="59" customFormat="1">
      <c r="B202" s="66" t="str">
        <f t="shared" si="10"/>
        <v>UPSGAS</v>
      </c>
      <c r="C202" s="499" t="s">
        <v>743</v>
      </c>
      <c r="D202" s="500" t="s">
        <v>733</v>
      </c>
      <c r="E202" s="70">
        <v>0</v>
      </c>
      <c r="F202" s="59">
        <v>0</v>
      </c>
      <c r="G202" s="59">
        <v>0</v>
      </c>
      <c r="H202" s="59">
        <v>0</v>
      </c>
      <c r="I202" s="59">
        <v>0</v>
      </c>
      <c r="J202" s="59">
        <v>0</v>
      </c>
      <c r="K202" s="59">
        <v>0</v>
      </c>
      <c r="L202" s="59">
        <v>0</v>
      </c>
      <c r="M202" s="59">
        <v>0</v>
      </c>
      <c r="N202" s="59">
        <v>0</v>
      </c>
      <c r="O202" s="59">
        <v>0</v>
      </c>
      <c r="P202" s="59">
        <v>0</v>
      </c>
      <c r="Q202" s="59">
        <v>0</v>
      </c>
      <c r="R202" s="59">
        <v>0</v>
      </c>
      <c r="S202" s="59">
        <v>0</v>
      </c>
      <c r="T202" s="59">
        <v>0</v>
      </c>
      <c r="U202" s="59">
        <v>0</v>
      </c>
      <c r="V202" s="59">
        <v>0</v>
      </c>
      <c r="W202" s="59">
        <v>0</v>
      </c>
      <c r="X202" s="59">
        <v>0</v>
      </c>
      <c r="Y202" s="59">
        <v>0</v>
      </c>
      <c r="Z202" s="59">
        <v>0</v>
      </c>
      <c r="AA202" s="59">
        <v>0</v>
      </c>
      <c r="AB202" s="59">
        <v>0</v>
      </c>
      <c r="AC202" s="59">
        <v>0</v>
      </c>
      <c r="AD202" s="59">
        <v>0</v>
      </c>
      <c r="AE202" s="59">
        <v>0</v>
      </c>
      <c r="AF202" s="95">
        <v>0</v>
      </c>
    </row>
    <row r="203" spans="2:32" s="59" customFormat="1">
      <c r="B203" s="66" t="str">
        <f t="shared" si="10"/>
        <v>UPSGAS</v>
      </c>
      <c r="C203" s="499" t="s">
        <v>744</v>
      </c>
      <c r="D203" s="500" t="s">
        <v>733</v>
      </c>
      <c r="E203" s="70">
        <v>0</v>
      </c>
      <c r="F203" s="59">
        <v>0</v>
      </c>
      <c r="G203" s="59">
        <v>0</v>
      </c>
      <c r="H203" s="59">
        <v>0</v>
      </c>
      <c r="I203" s="59">
        <v>0</v>
      </c>
      <c r="J203" s="59">
        <v>0</v>
      </c>
      <c r="K203" s="59">
        <v>0</v>
      </c>
      <c r="L203" s="59">
        <v>0</v>
      </c>
      <c r="M203" s="59">
        <v>0</v>
      </c>
      <c r="N203" s="59">
        <v>0</v>
      </c>
      <c r="O203" s="59">
        <v>0</v>
      </c>
      <c r="P203" s="59">
        <v>0</v>
      </c>
      <c r="Q203" s="59">
        <v>0</v>
      </c>
      <c r="R203" s="59">
        <v>0</v>
      </c>
      <c r="S203" s="59">
        <v>0</v>
      </c>
      <c r="T203" s="59">
        <v>0</v>
      </c>
      <c r="U203" s="59">
        <v>0</v>
      </c>
      <c r="V203" s="59">
        <v>0</v>
      </c>
      <c r="W203" s="59">
        <v>0</v>
      </c>
      <c r="X203" s="59">
        <v>0</v>
      </c>
      <c r="Y203" s="59">
        <v>0</v>
      </c>
      <c r="Z203" s="59">
        <v>0</v>
      </c>
      <c r="AA203" s="59">
        <v>0</v>
      </c>
      <c r="AB203" s="59">
        <v>0</v>
      </c>
      <c r="AC203" s="59">
        <v>0</v>
      </c>
      <c r="AD203" s="59">
        <v>0</v>
      </c>
      <c r="AE203" s="59">
        <v>0</v>
      </c>
      <c r="AF203" s="95">
        <v>0</v>
      </c>
    </row>
    <row r="204" spans="2:32" s="59" customFormat="1">
      <c r="B204" s="66" t="str">
        <f t="shared" si="10"/>
        <v>UPSGAS</v>
      </c>
      <c r="C204" s="499" t="s">
        <v>745</v>
      </c>
      <c r="D204" s="500" t="s">
        <v>733</v>
      </c>
      <c r="E204" s="70">
        <v>0</v>
      </c>
      <c r="F204" s="59">
        <v>0</v>
      </c>
      <c r="G204" s="59">
        <v>0</v>
      </c>
      <c r="H204" s="59">
        <v>0</v>
      </c>
      <c r="I204" s="59">
        <v>0</v>
      </c>
      <c r="J204" s="59">
        <v>0</v>
      </c>
      <c r="K204" s="59">
        <v>0</v>
      </c>
      <c r="L204" s="59">
        <v>0</v>
      </c>
      <c r="M204" s="59">
        <v>0</v>
      </c>
      <c r="N204" s="59">
        <v>0</v>
      </c>
      <c r="O204" s="59">
        <v>0</v>
      </c>
      <c r="P204" s="59">
        <v>0</v>
      </c>
      <c r="Q204" s="59">
        <v>0</v>
      </c>
      <c r="R204" s="59">
        <v>0</v>
      </c>
      <c r="S204" s="59">
        <v>0</v>
      </c>
      <c r="T204" s="59">
        <v>0</v>
      </c>
      <c r="U204" s="59">
        <v>0</v>
      </c>
      <c r="V204" s="59">
        <v>0</v>
      </c>
      <c r="W204" s="59">
        <v>0</v>
      </c>
      <c r="X204" s="59">
        <v>0</v>
      </c>
      <c r="Y204" s="59">
        <v>0</v>
      </c>
      <c r="Z204" s="59">
        <v>0</v>
      </c>
      <c r="AA204" s="59">
        <v>0</v>
      </c>
      <c r="AB204" s="59">
        <v>0</v>
      </c>
      <c r="AC204" s="59">
        <v>0</v>
      </c>
      <c r="AD204" s="59">
        <v>0</v>
      </c>
      <c r="AE204" s="59">
        <v>0</v>
      </c>
      <c r="AF204" s="95">
        <v>0</v>
      </c>
    </row>
    <row r="205" spans="2:32" s="59" customFormat="1">
      <c r="B205" s="66" t="str">
        <f t="shared" si="10"/>
        <v>UPSGAS</v>
      </c>
      <c r="C205" s="499" t="s">
        <v>746</v>
      </c>
      <c r="D205" s="500" t="s">
        <v>733</v>
      </c>
      <c r="E205" s="70">
        <v>0</v>
      </c>
      <c r="F205" s="59">
        <v>0</v>
      </c>
      <c r="G205" s="59">
        <v>0</v>
      </c>
      <c r="H205" s="59">
        <v>0</v>
      </c>
      <c r="I205" s="59">
        <v>0</v>
      </c>
      <c r="J205" s="59">
        <v>0</v>
      </c>
      <c r="K205" s="59">
        <v>0</v>
      </c>
      <c r="L205" s="59">
        <v>0</v>
      </c>
      <c r="M205" s="59">
        <v>0</v>
      </c>
      <c r="N205" s="59">
        <v>0</v>
      </c>
      <c r="O205" s="59">
        <v>0</v>
      </c>
      <c r="P205" s="59">
        <v>0</v>
      </c>
      <c r="Q205" s="59">
        <v>0</v>
      </c>
      <c r="R205" s="59">
        <v>0</v>
      </c>
      <c r="S205" s="59">
        <v>0</v>
      </c>
      <c r="T205" s="59">
        <v>0</v>
      </c>
      <c r="U205" s="59">
        <v>0</v>
      </c>
      <c r="V205" s="59">
        <v>0</v>
      </c>
      <c r="W205" s="59">
        <v>0</v>
      </c>
      <c r="X205" s="59">
        <v>0</v>
      </c>
      <c r="Y205" s="59">
        <v>0</v>
      </c>
      <c r="Z205" s="59">
        <v>0</v>
      </c>
      <c r="AA205" s="59">
        <v>0</v>
      </c>
      <c r="AB205" s="59">
        <v>0</v>
      </c>
      <c r="AC205" s="59">
        <v>0</v>
      </c>
      <c r="AD205" s="59">
        <v>0</v>
      </c>
      <c r="AE205" s="59">
        <v>0</v>
      </c>
      <c r="AF205" s="95">
        <v>0</v>
      </c>
    </row>
    <row r="206" spans="2:32" s="59" customFormat="1">
      <c r="B206" s="269" t="str">
        <f t="shared" si="10"/>
        <v>UPSGAS</v>
      </c>
      <c r="C206" s="503" t="s">
        <v>747</v>
      </c>
      <c r="D206" s="504" t="s">
        <v>733</v>
      </c>
      <c r="E206" s="271">
        <v>0</v>
      </c>
      <c r="F206" s="80">
        <v>0</v>
      </c>
      <c r="G206" s="80">
        <v>0</v>
      </c>
      <c r="H206" s="80">
        <v>0</v>
      </c>
      <c r="I206" s="80">
        <v>0</v>
      </c>
      <c r="J206" s="80">
        <v>0</v>
      </c>
      <c r="K206" s="80">
        <v>0</v>
      </c>
      <c r="L206" s="80">
        <v>0</v>
      </c>
      <c r="M206" s="80">
        <v>0</v>
      </c>
      <c r="N206" s="80">
        <v>0</v>
      </c>
      <c r="O206" s="80">
        <v>0</v>
      </c>
      <c r="P206" s="80">
        <v>0</v>
      </c>
      <c r="Q206" s="80">
        <v>0</v>
      </c>
      <c r="R206" s="80">
        <v>0</v>
      </c>
      <c r="S206" s="80">
        <v>0</v>
      </c>
      <c r="T206" s="80">
        <v>0</v>
      </c>
      <c r="U206" s="80">
        <v>0</v>
      </c>
      <c r="V206" s="80">
        <v>0</v>
      </c>
      <c r="W206" s="80">
        <v>0</v>
      </c>
      <c r="X206" s="80">
        <v>0</v>
      </c>
      <c r="Y206" s="80">
        <v>0</v>
      </c>
      <c r="Z206" s="80">
        <v>0</v>
      </c>
      <c r="AA206" s="80">
        <v>0</v>
      </c>
      <c r="AB206" s="80">
        <v>0</v>
      </c>
      <c r="AC206" s="80">
        <v>0</v>
      </c>
      <c r="AD206" s="80">
        <v>0</v>
      </c>
      <c r="AE206" s="80">
        <v>0</v>
      </c>
      <c r="AF206" s="97">
        <v>0</v>
      </c>
    </row>
    <row r="207" spans="2:32" s="59" customFormat="1">
      <c r="B207" s="66" t="s">
        <v>543</v>
      </c>
      <c r="C207" s="499"/>
      <c r="D207" s="500"/>
      <c r="E207" s="70"/>
      <c r="AF207" s="95"/>
    </row>
    <row r="208" spans="2:32" s="59" customFormat="1">
      <c r="B208" s="66" t="str">
        <f>B207</f>
        <v>UPSGSL</v>
      </c>
      <c r="C208" s="499" t="s">
        <v>732</v>
      </c>
      <c r="D208" s="500" t="s">
        <v>733</v>
      </c>
      <c r="E208" s="70">
        <v>0</v>
      </c>
      <c r="F208" s="59">
        <v>0</v>
      </c>
      <c r="G208" s="59">
        <v>0</v>
      </c>
      <c r="H208" s="59">
        <v>0</v>
      </c>
      <c r="I208" s="59">
        <v>0.12</v>
      </c>
      <c r="J208" s="59">
        <v>0</v>
      </c>
      <c r="K208" s="59">
        <v>0</v>
      </c>
      <c r="L208" s="59">
        <v>0</v>
      </c>
      <c r="M208" s="59">
        <v>0</v>
      </c>
      <c r="N208" s="59">
        <v>0</v>
      </c>
      <c r="O208" s="59">
        <v>0</v>
      </c>
      <c r="P208" s="59">
        <v>0.44522292993630574</v>
      </c>
      <c r="Q208" s="59">
        <v>0</v>
      </c>
      <c r="R208" s="59">
        <v>0</v>
      </c>
      <c r="S208" s="59">
        <v>0.639240506329114</v>
      </c>
      <c r="T208" s="59">
        <v>0</v>
      </c>
      <c r="U208" s="59">
        <v>0</v>
      </c>
      <c r="V208" s="59">
        <v>0</v>
      </c>
      <c r="W208" s="59">
        <v>0</v>
      </c>
      <c r="X208" s="59">
        <v>0</v>
      </c>
      <c r="Y208" s="59">
        <v>0</v>
      </c>
      <c r="Z208" s="59">
        <v>0</v>
      </c>
      <c r="AA208" s="59">
        <v>0</v>
      </c>
      <c r="AB208" s="59">
        <v>0</v>
      </c>
      <c r="AC208" s="59">
        <v>0</v>
      </c>
      <c r="AD208" s="59">
        <v>0</v>
      </c>
      <c r="AE208" s="59">
        <v>0</v>
      </c>
      <c r="AF208" s="95">
        <v>0.51031116910880614</v>
      </c>
    </row>
    <row r="209" spans="2:32" s="59" customFormat="1">
      <c r="B209" s="66" t="str">
        <f t="shared" ref="B209:B222" si="11">B208</f>
        <v>UPSGSL</v>
      </c>
      <c r="C209" s="499" t="s">
        <v>734</v>
      </c>
      <c r="D209" s="500" t="s">
        <v>733</v>
      </c>
      <c r="E209" s="70">
        <v>0</v>
      </c>
      <c r="F209" s="59">
        <v>0</v>
      </c>
      <c r="G209" s="59">
        <v>0</v>
      </c>
      <c r="H209" s="59">
        <v>0</v>
      </c>
      <c r="I209" s="59">
        <v>0</v>
      </c>
      <c r="J209" s="59">
        <v>0</v>
      </c>
      <c r="K209" s="59">
        <v>0</v>
      </c>
      <c r="L209" s="59">
        <v>0</v>
      </c>
      <c r="M209" s="59">
        <v>0</v>
      </c>
      <c r="N209" s="59">
        <v>1</v>
      </c>
      <c r="O209" s="59">
        <v>0</v>
      </c>
      <c r="P209" s="59">
        <v>7.7070063694267513E-2</v>
      </c>
      <c r="Q209" s="59">
        <v>0</v>
      </c>
      <c r="R209" s="59">
        <v>0</v>
      </c>
      <c r="S209" s="59">
        <v>0</v>
      </c>
      <c r="T209" s="59">
        <v>0</v>
      </c>
      <c r="U209" s="59">
        <v>0</v>
      </c>
      <c r="V209" s="59">
        <v>0</v>
      </c>
      <c r="W209" s="59">
        <v>0</v>
      </c>
      <c r="X209" s="59">
        <v>1</v>
      </c>
      <c r="Y209" s="59">
        <v>0.97100171348260533</v>
      </c>
      <c r="Z209" s="59">
        <v>0</v>
      </c>
      <c r="AA209" s="59">
        <v>0</v>
      </c>
      <c r="AB209" s="59">
        <v>0</v>
      </c>
      <c r="AC209" s="59">
        <v>0</v>
      </c>
      <c r="AD209" s="59">
        <v>0</v>
      </c>
      <c r="AE209" s="59">
        <v>0</v>
      </c>
      <c r="AF209" s="95">
        <v>8.8831695889413347E-3</v>
      </c>
    </row>
    <row r="210" spans="2:32" s="59" customFormat="1">
      <c r="B210" s="66" t="str">
        <f t="shared" si="11"/>
        <v>UPSGSL</v>
      </c>
      <c r="C210" s="499" t="s">
        <v>735</v>
      </c>
      <c r="D210" s="500" t="s">
        <v>733</v>
      </c>
      <c r="E210" s="70">
        <v>0</v>
      </c>
      <c r="F210" s="59">
        <v>0</v>
      </c>
      <c r="G210" s="59">
        <v>0</v>
      </c>
      <c r="H210" s="59">
        <v>0</v>
      </c>
      <c r="I210" s="59">
        <v>0</v>
      </c>
      <c r="J210" s="59">
        <v>0</v>
      </c>
      <c r="K210" s="59">
        <v>0</v>
      </c>
      <c r="L210" s="59">
        <v>0</v>
      </c>
      <c r="M210" s="59">
        <v>0</v>
      </c>
      <c r="N210" s="59">
        <v>0</v>
      </c>
      <c r="O210" s="59">
        <v>0</v>
      </c>
      <c r="P210" s="59">
        <v>0</v>
      </c>
      <c r="Q210" s="59">
        <v>0</v>
      </c>
      <c r="R210" s="59">
        <v>0</v>
      </c>
      <c r="S210" s="59">
        <v>3.7974683544303799E-2</v>
      </c>
      <c r="T210" s="59">
        <v>1</v>
      </c>
      <c r="U210" s="59">
        <v>1</v>
      </c>
      <c r="V210" s="59">
        <v>1</v>
      </c>
      <c r="W210" s="59">
        <v>0</v>
      </c>
      <c r="X210" s="59">
        <v>0</v>
      </c>
      <c r="Y210" s="59">
        <v>2.8998286517394757E-2</v>
      </c>
      <c r="Z210" s="59">
        <v>0</v>
      </c>
      <c r="AA210" s="59">
        <v>0</v>
      </c>
      <c r="AB210" s="59">
        <v>0</v>
      </c>
      <c r="AC210" s="59">
        <v>0</v>
      </c>
      <c r="AD210" s="59">
        <v>0</v>
      </c>
      <c r="AE210" s="59">
        <v>0</v>
      </c>
      <c r="AF210" s="95">
        <v>0</v>
      </c>
    </row>
    <row r="211" spans="2:32" s="59" customFormat="1">
      <c r="B211" s="66" t="str">
        <f t="shared" si="11"/>
        <v>UPSGSL</v>
      </c>
      <c r="C211" s="499" t="s">
        <v>736</v>
      </c>
      <c r="D211" s="500" t="s">
        <v>733</v>
      </c>
      <c r="E211" s="70">
        <v>0</v>
      </c>
      <c r="F211" s="59">
        <v>0</v>
      </c>
      <c r="G211" s="59">
        <v>0</v>
      </c>
      <c r="H211" s="59">
        <v>0</v>
      </c>
      <c r="I211" s="59">
        <v>0</v>
      </c>
      <c r="J211" s="59">
        <v>0</v>
      </c>
      <c r="K211" s="59">
        <v>0</v>
      </c>
      <c r="L211" s="59">
        <v>0</v>
      </c>
      <c r="M211" s="59">
        <v>0</v>
      </c>
      <c r="N211" s="59">
        <v>0</v>
      </c>
      <c r="O211" s="59">
        <v>0</v>
      </c>
      <c r="P211" s="59">
        <v>0</v>
      </c>
      <c r="Q211" s="59">
        <v>0</v>
      </c>
      <c r="R211" s="59">
        <v>0</v>
      </c>
      <c r="S211" s="59">
        <v>0</v>
      </c>
      <c r="T211" s="59">
        <v>0</v>
      </c>
      <c r="U211" s="59">
        <v>0</v>
      </c>
      <c r="V211" s="59">
        <v>0</v>
      </c>
      <c r="W211" s="59">
        <v>0</v>
      </c>
      <c r="X211" s="59">
        <v>0</v>
      </c>
      <c r="Y211" s="59">
        <v>0</v>
      </c>
      <c r="Z211" s="59">
        <v>0</v>
      </c>
      <c r="AA211" s="59">
        <v>0</v>
      </c>
      <c r="AB211" s="59">
        <v>0</v>
      </c>
      <c r="AC211" s="59">
        <v>0</v>
      </c>
      <c r="AD211" s="59">
        <v>0</v>
      </c>
      <c r="AE211" s="59">
        <v>0</v>
      </c>
      <c r="AF211" s="95">
        <v>0</v>
      </c>
    </row>
    <row r="212" spans="2:32" s="59" customFormat="1">
      <c r="B212" s="66" t="str">
        <f t="shared" si="11"/>
        <v>UPSGSL</v>
      </c>
      <c r="C212" s="499" t="s">
        <v>737</v>
      </c>
      <c r="D212" s="500" t="s">
        <v>733</v>
      </c>
      <c r="E212" s="70">
        <v>0</v>
      </c>
      <c r="F212" s="59">
        <v>0</v>
      </c>
      <c r="G212" s="59">
        <v>0</v>
      </c>
      <c r="H212" s="59">
        <v>0</v>
      </c>
      <c r="I212" s="59">
        <v>0</v>
      </c>
      <c r="J212" s="59">
        <v>0</v>
      </c>
      <c r="K212" s="59">
        <v>0</v>
      </c>
      <c r="L212" s="59">
        <v>0</v>
      </c>
      <c r="M212" s="59">
        <v>0</v>
      </c>
      <c r="N212" s="59">
        <v>0</v>
      </c>
      <c r="O212" s="59">
        <v>0</v>
      </c>
      <c r="P212" s="59">
        <v>0</v>
      </c>
      <c r="Q212" s="59">
        <v>0</v>
      </c>
      <c r="R212" s="59">
        <v>0</v>
      </c>
      <c r="S212" s="59">
        <v>0</v>
      </c>
      <c r="T212" s="59">
        <v>0</v>
      </c>
      <c r="U212" s="59">
        <v>0</v>
      </c>
      <c r="V212" s="59">
        <v>0</v>
      </c>
      <c r="W212" s="59">
        <v>0</v>
      </c>
      <c r="X212" s="59">
        <v>0</v>
      </c>
      <c r="Y212" s="59">
        <v>0</v>
      </c>
      <c r="Z212" s="59">
        <v>0</v>
      </c>
      <c r="AA212" s="59">
        <v>0</v>
      </c>
      <c r="AB212" s="59">
        <v>0</v>
      </c>
      <c r="AC212" s="59">
        <v>0</v>
      </c>
      <c r="AD212" s="59">
        <v>0</v>
      </c>
      <c r="AE212" s="59">
        <v>0</v>
      </c>
      <c r="AF212" s="95">
        <v>0</v>
      </c>
    </row>
    <row r="213" spans="2:32" s="59" customFormat="1">
      <c r="B213" s="66" t="str">
        <f t="shared" si="11"/>
        <v>UPSGSL</v>
      </c>
      <c r="C213" s="499" t="s">
        <v>738</v>
      </c>
      <c r="D213" s="500" t="s">
        <v>733</v>
      </c>
      <c r="E213" s="70">
        <v>0</v>
      </c>
      <c r="F213" s="59">
        <v>0</v>
      </c>
      <c r="G213" s="59">
        <v>0</v>
      </c>
      <c r="H213" s="59">
        <v>0</v>
      </c>
      <c r="I213" s="59">
        <v>0</v>
      </c>
      <c r="J213" s="59">
        <v>0</v>
      </c>
      <c r="K213" s="59">
        <v>0</v>
      </c>
      <c r="L213" s="59">
        <v>0</v>
      </c>
      <c r="M213" s="59">
        <v>0</v>
      </c>
      <c r="N213" s="59">
        <v>0</v>
      </c>
      <c r="O213" s="59">
        <v>0</v>
      </c>
      <c r="P213" s="59">
        <v>0</v>
      </c>
      <c r="Q213" s="59">
        <v>0</v>
      </c>
      <c r="R213" s="59">
        <v>0</v>
      </c>
      <c r="S213" s="59">
        <v>0</v>
      </c>
      <c r="T213" s="59">
        <v>0</v>
      </c>
      <c r="U213" s="59">
        <v>0</v>
      </c>
      <c r="V213" s="59">
        <v>0</v>
      </c>
      <c r="W213" s="59">
        <v>0</v>
      </c>
      <c r="X213" s="59">
        <v>0</v>
      </c>
      <c r="Y213" s="59">
        <v>0</v>
      </c>
      <c r="Z213" s="59">
        <v>0</v>
      </c>
      <c r="AA213" s="59">
        <v>0</v>
      </c>
      <c r="AB213" s="59">
        <v>0</v>
      </c>
      <c r="AC213" s="59">
        <v>0</v>
      </c>
      <c r="AD213" s="59">
        <v>0</v>
      </c>
      <c r="AE213" s="59">
        <v>0</v>
      </c>
      <c r="AF213" s="95">
        <v>0</v>
      </c>
    </row>
    <row r="214" spans="2:32" s="59" customFormat="1">
      <c r="B214" s="66" t="str">
        <f t="shared" si="11"/>
        <v>UPSGSL</v>
      </c>
      <c r="C214" s="499" t="s">
        <v>739</v>
      </c>
      <c r="D214" s="500" t="s">
        <v>733</v>
      </c>
      <c r="E214" s="70">
        <v>0</v>
      </c>
      <c r="F214" s="59">
        <v>0</v>
      </c>
      <c r="G214" s="59">
        <v>0</v>
      </c>
      <c r="H214" s="59">
        <v>0</v>
      </c>
      <c r="I214" s="59">
        <v>0</v>
      </c>
      <c r="J214" s="59">
        <v>0</v>
      </c>
      <c r="K214" s="59">
        <v>0</v>
      </c>
      <c r="L214" s="59">
        <v>0</v>
      </c>
      <c r="M214" s="59">
        <v>0</v>
      </c>
      <c r="N214" s="59">
        <v>0</v>
      </c>
      <c r="O214" s="59">
        <v>0</v>
      </c>
      <c r="P214" s="59">
        <v>0</v>
      </c>
      <c r="Q214" s="59">
        <v>0</v>
      </c>
      <c r="R214" s="59">
        <v>0</v>
      </c>
      <c r="S214" s="59">
        <v>0</v>
      </c>
      <c r="T214" s="59">
        <v>0</v>
      </c>
      <c r="U214" s="59">
        <v>0</v>
      </c>
      <c r="V214" s="59">
        <v>0</v>
      </c>
      <c r="W214" s="59">
        <v>0</v>
      </c>
      <c r="X214" s="59">
        <v>0</v>
      </c>
      <c r="Y214" s="59">
        <v>0</v>
      </c>
      <c r="Z214" s="59">
        <v>0</v>
      </c>
      <c r="AA214" s="59">
        <v>0</v>
      </c>
      <c r="AB214" s="59">
        <v>0</v>
      </c>
      <c r="AC214" s="59">
        <v>0</v>
      </c>
      <c r="AD214" s="59">
        <v>0</v>
      </c>
      <c r="AE214" s="59">
        <v>0</v>
      </c>
      <c r="AF214" s="95">
        <v>0</v>
      </c>
    </row>
    <row r="215" spans="2:32" s="59" customFormat="1">
      <c r="B215" s="66" t="str">
        <f t="shared" si="11"/>
        <v>UPSGSL</v>
      </c>
      <c r="C215" s="499" t="s">
        <v>740</v>
      </c>
      <c r="D215" s="500" t="s">
        <v>733</v>
      </c>
      <c r="E215" s="70">
        <v>0</v>
      </c>
      <c r="F215" s="59">
        <v>0</v>
      </c>
      <c r="G215" s="59">
        <v>0</v>
      </c>
      <c r="H215" s="59">
        <v>0</v>
      </c>
      <c r="I215" s="59">
        <v>0</v>
      </c>
      <c r="J215" s="59">
        <v>0</v>
      </c>
      <c r="K215" s="59">
        <v>0</v>
      </c>
      <c r="L215" s="59">
        <v>0</v>
      </c>
      <c r="M215" s="59">
        <v>0</v>
      </c>
      <c r="N215" s="59">
        <v>0</v>
      </c>
      <c r="O215" s="59">
        <v>0</v>
      </c>
      <c r="P215" s="59">
        <v>0</v>
      </c>
      <c r="Q215" s="59">
        <v>0</v>
      </c>
      <c r="R215" s="59">
        <v>0</v>
      </c>
      <c r="S215" s="59">
        <v>0</v>
      </c>
      <c r="T215" s="59">
        <v>0</v>
      </c>
      <c r="U215" s="59">
        <v>0</v>
      </c>
      <c r="V215" s="59">
        <v>0</v>
      </c>
      <c r="W215" s="59">
        <v>0</v>
      </c>
      <c r="X215" s="59">
        <v>0</v>
      </c>
      <c r="Y215" s="59">
        <v>0</v>
      </c>
      <c r="Z215" s="59">
        <v>0</v>
      </c>
      <c r="AA215" s="59">
        <v>0</v>
      </c>
      <c r="AB215" s="59">
        <v>0</v>
      </c>
      <c r="AC215" s="59">
        <v>0</v>
      </c>
      <c r="AD215" s="59">
        <v>0</v>
      </c>
      <c r="AE215" s="59">
        <v>0</v>
      </c>
      <c r="AF215" s="95">
        <v>0</v>
      </c>
    </row>
    <row r="216" spans="2:32" s="59" customFormat="1">
      <c r="B216" s="66" t="str">
        <f t="shared" si="11"/>
        <v>UPSGSL</v>
      </c>
      <c r="C216" s="499" t="s">
        <v>741</v>
      </c>
      <c r="D216" s="500" t="s">
        <v>733</v>
      </c>
      <c r="E216" s="70">
        <v>0</v>
      </c>
      <c r="F216" s="59">
        <v>0</v>
      </c>
      <c r="G216" s="59">
        <v>0</v>
      </c>
      <c r="H216" s="59">
        <v>0</v>
      </c>
      <c r="I216" s="59">
        <v>0.58000000000000007</v>
      </c>
      <c r="J216" s="59">
        <v>0</v>
      </c>
      <c r="K216" s="59">
        <v>0</v>
      </c>
      <c r="L216" s="59">
        <v>0</v>
      </c>
      <c r="M216" s="59">
        <v>0</v>
      </c>
      <c r="N216" s="59">
        <v>0</v>
      </c>
      <c r="O216" s="59">
        <v>0</v>
      </c>
      <c r="P216" s="59">
        <v>0.31528662420382164</v>
      </c>
      <c r="Q216" s="59">
        <v>0</v>
      </c>
      <c r="R216" s="59">
        <v>0</v>
      </c>
      <c r="S216" s="59">
        <v>0.32278481012658233</v>
      </c>
      <c r="T216" s="59">
        <v>0</v>
      </c>
      <c r="U216" s="59">
        <v>0</v>
      </c>
      <c r="V216" s="59">
        <v>0</v>
      </c>
      <c r="W216" s="59">
        <v>0</v>
      </c>
      <c r="X216" s="59">
        <v>0</v>
      </c>
      <c r="Y216" s="59">
        <v>0</v>
      </c>
      <c r="Z216" s="59">
        <v>0</v>
      </c>
      <c r="AA216" s="59">
        <v>0</v>
      </c>
      <c r="AB216" s="59">
        <v>0</v>
      </c>
      <c r="AC216" s="59">
        <v>0</v>
      </c>
      <c r="AD216" s="59">
        <v>0</v>
      </c>
      <c r="AE216" s="59">
        <v>0</v>
      </c>
      <c r="AF216" s="95">
        <v>0.48080566130225239</v>
      </c>
    </row>
    <row r="217" spans="2:32" s="59" customFormat="1">
      <c r="B217" s="66" t="str">
        <f t="shared" si="11"/>
        <v>UPSGSL</v>
      </c>
      <c r="C217" s="499" t="s">
        <v>742</v>
      </c>
      <c r="D217" s="500" t="s">
        <v>733</v>
      </c>
      <c r="E217" s="70">
        <v>0</v>
      </c>
      <c r="F217" s="59">
        <v>0</v>
      </c>
      <c r="G217" s="59">
        <v>0</v>
      </c>
      <c r="H217" s="59">
        <v>0</v>
      </c>
      <c r="I217" s="59">
        <v>0.3</v>
      </c>
      <c r="J217" s="59">
        <v>0</v>
      </c>
      <c r="K217" s="59">
        <v>0</v>
      </c>
      <c r="L217" s="59">
        <v>0</v>
      </c>
      <c r="M217" s="59">
        <v>0</v>
      </c>
      <c r="N217" s="59">
        <v>0</v>
      </c>
      <c r="O217" s="59">
        <v>0</v>
      </c>
      <c r="P217" s="59">
        <v>0.16242038216560506</v>
      </c>
      <c r="Q217" s="59">
        <v>0</v>
      </c>
      <c r="R217" s="59">
        <v>0</v>
      </c>
      <c r="S217" s="59">
        <v>0</v>
      </c>
      <c r="T217" s="59">
        <v>0</v>
      </c>
      <c r="U217" s="59">
        <v>0</v>
      </c>
      <c r="V217" s="59">
        <v>0</v>
      </c>
      <c r="W217" s="59">
        <v>0</v>
      </c>
      <c r="X217" s="59">
        <v>0</v>
      </c>
      <c r="Y217" s="59">
        <v>0</v>
      </c>
      <c r="Z217" s="59">
        <v>0</v>
      </c>
      <c r="AA217" s="59">
        <v>0</v>
      </c>
      <c r="AB217" s="59">
        <v>0</v>
      </c>
      <c r="AC217" s="59">
        <v>0</v>
      </c>
      <c r="AD217" s="59">
        <v>0</v>
      </c>
      <c r="AE217" s="59">
        <v>0</v>
      </c>
      <c r="AF217" s="95">
        <v>0</v>
      </c>
    </row>
    <row r="218" spans="2:32" s="59" customFormat="1">
      <c r="B218" s="66" t="str">
        <f t="shared" si="11"/>
        <v>UPSGSL</v>
      </c>
      <c r="C218" s="499" t="s">
        <v>743</v>
      </c>
      <c r="D218" s="500" t="s">
        <v>733</v>
      </c>
      <c r="E218" s="70">
        <v>0</v>
      </c>
      <c r="F218" s="59">
        <v>0</v>
      </c>
      <c r="G218" s="59">
        <v>0</v>
      </c>
      <c r="H218" s="59">
        <v>0</v>
      </c>
      <c r="I218" s="59">
        <v>0</v>
      </c>
      <c r="J218" s="59">
        <v>0</v>
      </c>
      <c r="K218" s="59">
        <v>0</v>
      </c>
      <c r="L218" s="59">
        <v>0</v>
      </c>
      <c r="M218" s="59">
        <v>0</v>
      </c>
      <c r="N218" s="59">
        <v>0</v>
      </c>
      <c r="O218" s="59">
        <v>0</v>
      </c>
      <c r="P218" s="59">
        <v>0</v>
      </c>
      <c r="Q218" s="59">
        <v>0</v>
      </c>
      <c r="R218" s="59">
        <v>0</v>
      </c>
      <c r="S218" s="59">
        <v>0</v>
      </c>
      <c r="T218" s="59">
        <v>0</v>
      </c>
      <c r="U218" s="59">
        <v>0</v>
      </c>
      <c r="V218" s="59">
        <v>0</v>
      </c>
      <c r="W218" s="59">
        <v>0</v>
      </c>
      <c r="X218" s="59">
        <v>0</v>
      </c>
      <c r="Y218" s="59">
        <v>0</v>
      </c>
      <c r="Z218" s="59">
        <v>0</v>
      </c>
      <c r="AA218" s="59">
        <v>0</v>
      </c>
      <c r="AB218" s="59">
        <v>0</v>
      </c>
      <c r="AC218" s="59">
        <v>0</v>
      </c>
      <c r="AD218" s="59">
        <v>0</v>
      </c>
      <c r="AE218" s="59">
        <v>0</v>
      </c>
      <c r="AF218" s="95">
        <v>0</v>
      </c>
    </row>
    <row r="219" spans="2:32" s="59" customFormat="1">
      <c r="B219" s="66" t="str">
        <f t="shared" si="11"/>
        <v>UPSGSL</v>
      </c>
      <c r="C219" s="499" t="s">
        <v>744</v>
      </c>
      <c r="D219" s="500" t="s">
        <v>733</v>
      </c>
      <c r="E219" s="70">
        <v>0</v>
      </c>
      <c r="F219" s="59">
        <v>0</v>
      </c>
      <c r="G219" s="59">
        <v>0</v>
      </c>
      <c r="H219" s="59">
        <v>0</v>
      </c>
      <c r="I219" s="59">
        <v>0</v>
      </c>
      <c r="J219" s="59">
        <v>0</v>
      </c>
      <c r="K219" s="59">
        <v>0</v>
      </c>
      <c r="L219" s="59">
        <v>0</v>
      </c>
      <c r="M219" s="59">
        <v>0</v>
      </c>
      <c r="N219" s="59">
        <v>0</v>
      </c>
      <c r="O219" s="59">
        <v>0</v>
      </c>
      <c r="P219" s="59">
        <v>0</v>
      </c>
      <c r="Q219" s="59">
        <v>0</v>
      </c>
      <c r="R219" s="59">
        <v>0</v>
      </c>
      <c r="S219" s="59">
        <v>0</v>
      </c>
      <c r="T219" s="59">
        <v>0</v>
      </c>
      <c r="U219" s="59">
        <v>0</v>
      </c>
      <c r="V219" s="59">
        <v>0</v>
      </c>
      <c r="W219" s="59">
        <v>0</v>
      </c>
      <c r="X219" s="59">
        <v>0</v>
      </c>
      <c r="Y219" s="59">
        <v>0</v>
      </c>
      <c r="Z219" s="59">
        <v>0</v>
      </c>
      <c r="AA219" s="59">
        <v>0</v>
      </c>
      <c r="AB219" s="59">
        <v>0</v>
      </c>
      <c r="AC219" s="59">
        <v>0</v>
      </c>
      <c r="AD219" s="59">
        <v>0</v>
      </c>
      <c r="AE219" s="59">
        <v>0</v>
      </c>
      <c r="AF219" s="95">
        <v>0</v>
      </c>
    </row>
    <row r="220" spans="2:32" s="59" customFormat="1">
      <c r="B220" s="66" t="str">
        <f t="shared" si="11"/>
        <v>UPSGSL</v>
      </c>
      <c r="C220" s="499" t="s">
        <v>745</v>
      </c>
      <c r="D220" s="500" t="s">
        <v>733</v>
      </c>
      <c r="E220" s="70">
        <v>0</v>
      </c>
      <c r="F220" s="59">
        <v>0</v>
      </c>
      <c r="G220" s="59">
        <v>0</v>
      </c>
      <c r="H220" s="59">
        <v>0</v>
      </c>
      <c r="I220" s="59">
        <v>0</v>
      </c>
      <c r="J220" s="59">
        <v>0</v>
      </c>
      <c r="K220" s="59">
        <v>0</v>
      </c>
      <c r="L220" s="59">
        <v>0</v>
      </c>
      <c r="M220" s="59">
        <v>0</v>
      </c>
      <c r="N220" s="59">
        <v>0</v>
      </c>
      <c r="O220" s="59">
        <v>0</v>
      </c>
      <c r="P220" s="59">
        <v>0</v>
      </c>
      <c r="Q220" s="59">
        <v>0</v>
      </c>
      <c r="R220" s="59">
        <v>0</v>
      </c>
      <c r="S220" s="59">
        <v>0</v>
      </c>
      <c r="T220" s="59">
        <v>0</v>
      </c>
      <c r="U220" s="59">
        <v>0</v>
      </c>
      <c r="V220" s="59">
        <v>0</v>
      </c>
      <c r="W220" s="59">
        <v>0</v>
      </c>
      <c r="X220" s="59">
        <v>0</v>
      </c>
      <c r="Y220" s="59">
        <v>0</v>
      </c>
      <c r="Z220" s="59">
        <v>0</v>
      </c>
      <c r="AA220" s="59">
        <v>0</v>
      </c>
      <c r="AB220" s="59">
        <v>0</v>
      </c>
      <c r="AC220" s="59">
        <v>0</v>
      </c>
      <c r="AD220" s="59">
        <v>0</v>
      </c>
      <c r="AE220" s="59">
        <v>0</v>
      </c>
      <c r="AF220" s="95">
        <v>0</v>
      </c>
    </row>
    <row r="221" spans="2:32" s="59" customFormat="1">
      <c r="B221" s="66" t="str">
        <f t="shared" si="11"/>
        <v>UPSGSL</v>
      </c>
      <c r="C221" s="499" t="s">
        <v>746</v>
      </c>
      <c r="D221" s="500" t="s">
        <v>733</v>
      </c>
      <c r="E221" s="70">
        <v>0</v>
      </c>
      <c r="F221" s="59">
        <v>0</v>
      </c>
      <c r="G221" s="59">
        <v>0</v>
      </c>
      <c r="H221" s="59">
        <v>0</v>
      </c>
      <c r="I221" s="59">
        <v>0</v>
      </c>
      <c r="J221" s="59">
        <v>0</v>
      </c>
      <c r="K221" s="59">
        <v>0</v>
      </c>
      <c r="L221" s="59">
        <v>0</v>
      </c>
      <c r="M221" s="59">
        <v>0</v>
      </c>
      <c r="N221" s="59">
        <v>0</v>
      </c>
      <c r="O221" s="59">
        <v>0</v>
      </c>
      <c r="P221" s="59">
        <v>0</v>
      </c>
      <c r="Q221" s="59">
        <v>0</v>
      </c>
      <c r="R221" s="59">
        <v>0</v>
      </c>
      <c r="S221" s="59">
        <v>0</v>
      </c>
      <c r="T221" s="59">
        <v>0</v>
      </c>
      <c r="U221" s="59">
        <v>0</v>
      </c>
      <c r="V221" s="59">
        <v>0</v>
      </c>
      <c r="W221" s="59">
        <v>0</v>
      </c>
      <c r="X221" s="59">
        <v>0</v>
      </c>
      <c r="Y221" s="59">
        <v>0</v>
      </c>
      <c r="Z221" s="59">
        <v>0</v>
      </c>
      <c r="AA221" s="59">
        <v>0</v>
      </c>
      <c r="AB221" s="59">
        <v>0</v>
      </c>
      <c r="AC221" s="59">
        <v>0</v>
      </c>
      <c r="AD221" s="59">
        <v>0</v>
      </c>
      <c r="AE221" s="59">
        <v>0</v>
      </c>
      <c r="AF221" s="95">
        <v>0</v>
      </c>
    </row>
    <row r="222" spans="2:32" s="59" customFormat="1">
      <c r="B222" s="269" t="str">
        <f t="shared" si="11"/>
        <v>UPSGSL</v>
      </c>
      <c r="C222" s="503" t="s">
        <v>747</v>
      </c>
      <c r="D222" s="504" t="s">
        <v>733</v>
      </c>
      <c r="E222" s="271">
        <v>0</v>
      </c>
      <c r="F222" s="80">
        <v>0</v>
      </c>
      <c r="G222" s="80">
        <v>0</v>
      </c>
      <c r="H222" s="80">
        <v>0</v>
      </c>
      <c r="I222" s="80">
        <v>0</v>
      </c>
      <c r="J222" s="80">
        <v>0</v>
      </c>
      <c r="K222" s="80">
        <v>0</v>
      </c>
      <c r="L222" s="80">
        <v>0</v>
      </c>
      <c r="M222" s="80">
        <v>0</v>
      </c>
      <c r="N222" s="80">
        <v>0</v>
      </c>
      <c r="O222" s="80">
        <v>0</v>
      </c>
      <c r="P222" s="80">
        <v>0</v>
      </c>
      <c r="Q222" s="80">
        <v>0</v>
      </c>
      <c r="R222" s="80">
        <v>0</v>
      </c>
      <c r="S222" s="80">
        <v>0</v>
      </c>
      <c r="T222" s="80">
        <v>0</v>
      </c>
      <c r="U222" s="80">
        <v>0</v>
      </c>
      <c r="V222" s="80">
        <v>0</v>
      </c>
      <c r="W222" s="80">
        <v>0</v>
      </c>
      <c r="X222" s="80">
        <v>0</v>
      </c>
      <c r="Y222" s="80">
        <v>0</v>
      </c>
      <c r="Z222" s="80">
        <v>0</v>
      </c>
      <c r="AA222" s="80">
        <v>0</v>
      </c>
      <c r="AB222" s="80">
        <v>0</v>
      </c>
      <c r="AC222" s="80">
        <v>0</v>
      </c>
      <c r="AD222" s="80">
        <v>0</v>
      </c>
      <c r="AE222" s="80">
        <v>0</v>
      </c>
      <c r="AF222" s="97">
        <v>0</v>
      </c>
    </row>
    <row r="223" spans="2:32" s="59" customFormat="1">
      <c r="B223" s="66" t="s">
        <v>545</v>
      </c>
      <c r="C223" s="499"/>
      <c r="D223" s="500"/>
      <c r="E223" s="70"/>
      <c r="AF223" s="95"/>
    </row>
    <row r="224" spans="2:32" s="59" customFormat="1">
      <c r="B224" s="66" t="str">
        <f>B223</f>
        <v>UPSHET</v>
      </c>
      <c r="C224" s="499" t="s">
        <v>732</v>
      </c>
      <c r="D224" s="500" t="s">
        <v>733</v>
      </c>
      <c r="E224" s="70">
        <v>0</v>
      </c>
      <c r="F224" s="59">
        <v>0</v>
      </c>
      <c r="G224" s="59">
        <v>0</v>
      </c>
      <c r="H224" s="59">
        <v>0</v>
      </c>
      <c r="I224" s="59">
        <v>0</v>
      </c>
      <c r="J224" s="59">
        <v>0.98237266293515157</v>
      </c>
      <c r="K224" s="59">
        <v>0</v>
      </c>
      <c r="L224" s="59">
        <v>0</v>
      </c>
      <c r="M224" s="59">
        <v>0</v>
      </c>
      <c r="N224" s="59">
        <v>0</v>
      </c>
      <c r="O224" s="59">
        <v>0</v>
      </c>
      <c r="P224" s="59">
        <v>4.0191314743479575E-2</v>
      </c>
      <c r="Q224" s="59">
        <v>9.3022868104695886E-2</v>
      </c>
      <c r="R224" s="59">
        <v>0</v>
      </c>
      <c r="S224" s="59">
        <v>3.214738675095408E-5</v>
      </c>
      <c r="T224" s="59">
        <v>6.1146912906049364E-4</v>
      </c>
      <c r="U224" s="59">
        <v>9.6443198491088968E-4</v>
      </c>
      <c r="V224" s="59">
        <v>0</v>
      </c>
      <c r="W224" s="59">
        <v>0</v>
      </c>
      <c r="X224" s="59">
        <v>0</v>
      </c>
      <c r="Y224" s="59">
        <v>0</v>
      </c>
      <c r="Z224" s="59">
        <v>0</v>
      </c>
      <c r="AA224" s="59">
        <v>0</v>
      </c>
      <c r="AB224" s="59">
        <v>0</v>
      </c>
      <c r="AC224" s="59">
        <v>0</v>
      </c>
      <c r="AD224" s="59">
        <v>0.20231687969136022</v>
      </c>
      <c r="AE224" s="59">
        <v>0</v>
      </c>
      <c r="AF224" s="95">
        <v>0</v>
      </c>
    </row>
    <row r="225" spans="2:32" s="59" customFormat="1">
      <c r="B225" s="66" t="str">
        <f t="shared" ref="B225:B238" si="12">B224</f>
        <v>UPSHET</v>
      </c>
      <c r="C225" s="499" t="s">
        <v>734</v>
      </c>
      <c r="D225" s="500" t="s">
        <v>733</v>
      </c>
      <c r="E225" s="70">
        <v>0</v>
      </c>
      <c r="F225" s="59">
        <v>0</v>
      </c>
      <c r="G225" s="59">
        <v>0</v>
      </c>
      <c r="H225" s="59">
        <v>0</v>
      </c>
      <c r="I225" s="59">
        <v>0</v>
      </c>
      <c r="J225" s="59">
        <v>0</v>
      </c>
      <c r="K225" s="59">
        <v>0</v>
      </c>
      <c r="L225" s="59">
        <v>0</v>
      </c>
      <c r="M225" s="59">
        <v>0</v>
      </c>
      <c r="N225" s="59">
        <v>0</v>
      </c>
      <c r="O225" s="59">
        <v>0</v>
      </c>
      <c r="P225" s="59">
        <v>0.91775829833920386</v>
      </c>
      <c r="Q225" s="59">
        <v>0.58097102424595803</v>
      </c>
      <c r="R225" s="59">
        <v>1</v>
      </c>
      <c r="S225" s="59">
        <v>6.6734883249594104E-2</v>
      </c>
      <c r="T225" s="59">
        <v>0.70962085484798787</v>
      </c>
      <c r="U225" s="59">
        <v>0.61433602173491064</v>
      </c>
      <c r="V225" s="59">
        <v>0</v>
      </c>
      <c r="W225" s="59">
        <v>0</v>
      </c>
      <c r="X225" s="59">
        <v>0</v>
      </c>
      <c r="Y225" s="59">
        <v>0</v>
      </c>
      <c r="Z225" s="59">
        <v>0</v>
      </c>
      <c r="AA225" s="59">
        <v>0</v>
      </c>
      <c r="AB225" s="59">
        <v>0</v>
      </c>
      <c r="AC225" s="59">
        <v>0</v>
      </c>
      <c r="AD225" s="59">
        <v>0.73751668939272641</v>
      </c>
      <c r="AE225" s="59">
        <v>1</v>
      </c>
      <c r="AF225" s="95">
        <v>1</v>
      </c>
    </row>
    <row r="226" spans="2:32" s="59" customFormat="1">
      <c r="B226" s="66" t="str">
        <f t="shared" si="12"/>
        <v>UPSHET</v>
      </c>
      <c r="C226" s="499" t="s">
        <v>735</v>
      </c>
      <c r="D226" s="500" t="s">
        <v>733</v>
      </c>
      <c r="E226" s="70">
        <v>0</v>
      </c>
      <c r="F226" s="59">
        <v>0</v>
      </c>
      <c r="G226" s="59">
        <v>0</v>
      </c>
      <c r="H226" s="59">
        <v>0</v>
      </c>
      <c r="I226" s="59">
        <v>0</v>
      </c>
      <c r="J226" s="59">
        <v>0</v>
      </c>
      <c r="K226" s="59">
        <v>0</v>
      </c>
      <c r="L226" s="59">
        <v>0</v>
      </c>
      <c r="M226" s="59">
        <v>0</v>
      </c>
      <c r="N226" s="59">
        <v>0</v>
      </c>
      <c r="O226" s="59">
        <v>0</v>
      </c>
      <c r="P226" s="59">
        <v>0</v>
      </c>
      <c r="Q226" s="59">
        <v>3.3154546858326509E-3</v>
      </c>
      <c r="R226" s="59">
        <v>0</v>
      </c>
      <c r="S226" s="59">
        <v>0.50546847659602978</v>
      </c>
      <c r="T226" s="59">
        <v>0.28412512732433892</v>
      </c>
      <c r="U226" s="59">
        <v>3.3825692318031252E-2</v>
      </c>
      <c r="V226" s="59">
        <v>0</v>
      </c>
      <c r="W226" s="59">
        <v>0</v>
      </c>
      <c r="X226" s="59">
        <v>0</v>
      </c>
      <c r="Y226" s="59">
        <v>0</v>
      </c>
      <c r="Z226" s="59">
        <v>0</v>
      </c>
      <c r="AA226" s="59">
        <v>0</v>
      </c>
      <c r="AB226" s="59">
        <v>0</v>
      </c>
      <c r="AC226" s="59">
        <v>0</v>
      </c>
      <c r="AD226" s="59">
        <v>2.3752266580506099E-2</v>
      </c>
      <c r="AE226" s="59">
        <v>0</v>
      </c>
      <c r="AF226" s="95">
        <v>0</v>
      </c>
    </row>
    <row r="227" spans="2:32" s="59" customFormat="1">
      <c r="B227" s="66" t="str">
        <f t="shared" si="12"/>
        <v>UPSHET</v>
      </c>
      <c r="C227" s="499" t="s">
        <v>736</v>
      </c>
      <c r="D227" s="500" t="s">
        <v>733</v>
      </c>
      <c r="E227" s="70">
        <v>0</v>
      </c>
      <c r="F227" s="59">
        <v>0</v>
      </c>
      <c r="G227" s="59">
        <v>0</v>
      </c>
      <c r="H227" s="59">
        <v>0</v>
      </c>
      <c r="I227" s="59">
        <v>0</v>
      </c>
      <c r="J227" s="59">
        <v>0</v>
      </c>
      <c r="K227" s="59">
        <v>0</v>
      </c>
      <c r="L227" s="59">
        <v>0</v>
      </c>
      <c r="M227" s="59">
        <v>0</v>
      </c>
      <c r="N227" s="59">
        <v>0</v>
      </c>
      <c r="O227" s="59">
        <v>0</v>
      </c>
      <c r="P227" s="59">
        <v>0</v>
      </c>
      <c r="Q227" s="59">
        <v>0</v>
      </c>
      <c r="R227" s="59">
        <v>0</v>
      </c>
      <c r="S227" s="59">
        <v>0</v>
      </c>
      <c r="T227" s="59">
        <v>0</v>
      </c>
      <c r="U227" s="59">
        <v>7.6294968810934646E-5</v>
      </c>
      <c r="V227" s="59">
        <v>0</v>
      </c>
      <c r="W227" s="59">
        <v>0</v>
      </c>
      <c r="X227" s="59">
        <v>0</v>
      </c>
      <c r="Y227" s="59">
        <v>0</v>
      </c>
      <c r="Z227" s="59">
        <v>0</v>
      </c>
      <c r="AA227" s="59">
        <v>0</v>
      </c>
      <c r="AB227" s="59">
        <v>0</v>
      </c>
      <c r="AC227" s="59">
        <v>0</v>
      </c>
      <c r="AD227" s="59">
        <v>0</v>
      </c>
      <c r="AE227" s="59">
        <v>0</v>
      </c>
      <c r="AF227" s="95">
        <v>0</v>
      </c>
    </row>
    <row r="228" spans="2:32" s="59" customFormat="1">
      <c r="B228" s="66" t="str">
        <f t="shared" si="12"/>
        <v>UPSHET</v>
      </c>
      <c r="C228" s="499" t="s">
        <v>737</v>
      </c>
      <c r="D228" s="500" t="s">
        <v>733</v>
      </c>
      <c r="E228" s="70">
        <v>0</v>
      </c>
      <c r="F228" s="59">
        <v>0</v>
      </c>
      <c r="G228" s="59">
        <v>0</v>
      </c>
      <c r="H228" s="59">
        <v>0</v>
      </c>
      <c r="I228" s="59">
        <v>0</v>
      </c>
      <c r="J228" s="59">
        <v>0</v>
      </c>
      <c r="K228" s="59">
        <v>0</v>
      </c>
      <c r="L228" s="59">
        <v>0</v>
      </c>
      <c r="M228" s="59">
        <v>0</v>
      </c>
      <c r="N228" s="59">
        <v>0</v>
      </c>
      <c r="O228" s="59">
        <v>0</v>
      </c>
      <c r="P228" s="59">
        <v>0</v>
      </c>
      <c r="Q228" s="59">
        <v>0.21066943659004655</v>
      </c>
      <c r="R228" s="59">
        <v>0</v>
      </c>
      <c r="S228" s="59">
        <v>0.12529136252963005</v>
      </c>
      <c r="T228" s="59">
        <v>5.6425486986126806E-3</v>
      </c>
      <c r="U228" s="59">
        <v>6.5454375640440626E-2</v>
      </c>
      <c r="V228" s="59">
        <v>0</v>
      </c>
      <c r="W228" s="59">
        <v>0</v>
      </c>
      <c r="X228" s="59">
        <v>0</v>
      </c>
      <c r="Y228" s="59">
        <v>0</v>
      </c>
      <c r="Z228" s="59">
        <v>0</v>
      </c>
      <c r="AA228" s="59">
        <v>0</v>
      </c>
      <c r="AB228" s="59">
        <v>0</v>
      </c>
      <c r="AC228" s="59">
        <v>0</v>
      </c>
      <c r="AD228" s="59">
        <v>0</v>
      </c>
      <c r="AE228" s="59">
        <v>0</v>
      </c>
      <c r="AF228" s="95">
        <v>0</v>
      </c>
    </row>
    <row r="229" spans="2:32" s="59" customFormat="1">
      <c r="B229" s="66" t="str">
        <f t="shared" si="12"/>
        <v>UPSHET</v>
      </c>
      <c r="C229" s="499" t="s">
        <v>738</v>
      </c>
      <c r="D229" s="500" t="s">
        <v>733</v>
      </c>
      <c r="E229" s="70">
        <v>0</v>
      </c>
      <c r="F229" s="59">
        <v>0</v>
      </c>
      <c r="G229" s="59">
        <v>0</v>
      </c>
      <c r="H229" s="59">
        <v>0</v>
      </c>
      <c r="I229" s="59">
        <v>0</v>
      </c>
      <c r="J229" s="59">
        <v>0</v>
      </c>
      <c r="K229" s="59">
        <v>0</v>
      </c>
      <c r="L229" s="59">
        <v>0</v>
      </c>
      <c r="M229" s="59">
        <v>0</v>
      </c>
      <c r="N229" s="59">
        <v>0</v>
      </c>
      <c r="O229" s="59">
        <v>0</v>
      </c>
      <c r="P229" s="59">
        <v>0</v>
      </c>
      <c r="Q229" s="59">
        <v>0</v>
      </c>
      <c r="R229" s="59">
        <v>0</v>
      </c>
      <c r="S229" s="59">
        <v>1.6288390971765689E-2</v>
      </c>
      <c r="T229" s="59">
        <v>0</v>
      </c>
      <c r="U229" s="59">
        <v>0</v>
      </c>
      <c r="V229" s="59">
        <v>0</v>
      </c>
      <c r="W229" s="59">
        <v>0</v>
      </c>
      <c r="X229" s="59">
        <v>0</v>
      </c>
      <c r="Y229" s="59">
        <v>0</v>
      </c>
      <c r="Z229" s="59">
        <v>0</v>
      </c>
      <c r="AA229" s="59">
        <v>0</v>
      </c>
      <c r="AB229" s="59">
        <v>0</v>
      </c>
      <c r="AC229" s="59">
        <v>0</v>
      </c>
      <c r="AD229" s="59">
        <v>0</v>
      </c>
      <c r="AE229" s="59">
        <v>0</v>
      </c>
      <c r="AF229" s="95">
        <v>0</v>
      </c>
    </row>
    <row r="230" spans="2:32" s="59" customFormat="1">
      <c r="B230" s="66" t="str">
        <f t="shared" si="12"/>
        <v>UPSHET</v>
      </c>
      <c r="C230" s="499" t="s">
        <v>739</v>
      </c>
      <c r="D230" s="500" t="s">
        <v>733</v>
      </c>
      <c r="E230" s="70">
        <v>0</v>
      </c>
      <c r="F230" s="59">
        <v>0</v>
      </c>
      <c r="G230" s="59">
        <v>0</v>
      </c>
      <c r="H230" s="59">
        <v>0</v>
      </c>
      <c r="I230" s="59">
        <v>0</v>
      </c>
      <c r="J230" s="59">
        <v>0</v>
      </c>
      <c r="K230" s="59">
        <v>0</v>
      </c>
      <c r="L230" s="59">
        <v>0</v>
      </c>
      <c r="M230" s="59">
        <v>0</v>
      </c>
      <c r="N230" s="59">
        <v>0</v>
      </c>
      <c r="O230" s="59">
        <v>0</v>
      </c>
      <c r="P230" s="59">
        <v>0</v>
      </c>
      <c r="Q230" s="59">
        <v>0</v>
      </c>
      <c r="R230" s="59">
        <v>0</v>
      </c>
      <c r="S230" s="59">
        <v>0</v>
      </c>
      <c r="T230" s="59">
        <v>0</v>
      </c>
      <c r="U230" s="59">
        <v>0</v>
      </c>
      <c r="V230" s="59">
        <v>0</v>
      </c>
      <c r="W230" s="59">
        <v>0</v>
      </c>
      <c r="X230" s="59">
        <v>0</v>
      </c>
      <c r="Y230" s="59">
        <v>0</v>
      </c>
      <c r="Z230" s="59">
        <v>0</v>
      </c>
      <c r="AA230" s="59">
        <v>0</v>
      </c>
      <c r="AB230" s="59">
        <v>0</v>
      </c>
      <c r="AC230" s="59">
        <v>0</v>
      </c>
      <c r="AD230" s="59">
        <v>0</v>
      </c>
      <c r="AE230" s="59">
        <v>0</v>
      </c>
      <c r="AF230" s="95">
        <v>0</v>
      </c>
    </row>
    <row r="231" spans="2:32" s="59" customFormat="1">
      <c r="B231" s="66" t="str">
        <f t="shared" si="12"/>
        <v>UPSHET</v>
      </c>
      <c r="C231" s="499" t="s">
        <v>740</v>
      </c>
      <c r="D231" s="500" t="s">
        <v>733</v>
      </c>
      <c r="E231" s="70">
        <v>0</v>
      </c>
      <c r="F231" s="59">
        <v>0</v>
      </c>
      <c r="G231" s="59">
        <v>0</v>
      </c>
      <c r="H231" s="59">
        <v>0</v>
      </c>
      <c r="I231" s="59">
        <v>0</v>
      </c>
      <c r="J231" s="59">
        <v>0</v>
      </c>
      <c r="K231" s="59">
        <v>0</v>
      </c>
      <c r="L231" s="59">
        <v>0</v>
      </c>
      <c r="M231" s="59">
        <v>0</v>
      </c>
      <c r="N231" s="59">
        <v>0</v>
      </c>
      <c r="O231" s="59">
        <v>0</v>
      </c>
      <c r="P231" s="59">
        <v>0</v>
      </c>
      <c r="Q231" s="59">
        <v>0</v>
      </c>
      <c r="R231" s="59">
        <v>0</v>
      </c>
      <c r="S231" s="59">
        <v>0</v>
      </c>
      <c r="T231" s="59">
        <v>0</v>
      </c>
      <c r="U231" s="59">
        <v>0</v>
      </c>
      <c r="V231" s="59">
        <v>0</v>
      </c>
      <c r="W231" s="59">
        <v>0</v>
      </c>
      <c r="X231" s="59">
        <v>0</v>
      </c>
      <c r="Y231" s="59">
        <v>0</v>
      </c>
      <c r="Z231" s="59">
        <v>0</v>
      </c>
      <c r="AA231" s="59">
        <v>0</v>
      </c>
      <c r="AB231" s="59">
        <v>0</v>
      </c>
      <c r="AC231" s="59">
        <v>0</v>
      </c>
      <c r="AD231" s="59">
        <v>0</v>
      </c>
      <c r="AE231" s="59">
        <v>0</v>
      </c>
      <c r="AF231" s="95">
        <v>0</v>
      </c>
    </row>
    <row r="232" spans="2:32" s="59" customFormat="1">
      <c r="B232" s="66" t="str">
        <f t="shared" si="12"/>
        <v>UPSHET</v>
      </c>
      <c r="C232" s="499" t="s">
        <v>741</v>
      </c>
      <c r="D232" s="500" t="s">
        <v>733</v>
      </c>
      <c r="E232" s="70">
        <v>0</v>
      </c>
      <c r="F232" s="59">
        <v>0</v>
      </c>
      <c r="G232" s="59">
        <v>0</v>
      </c>
      <c r="H232" s="59">
        <v>0</v>
      </c>
      <c r="I232" s="59">
        <v>0</v>
      </c>
      <c r="J232" s="59">
        <v>1.7627337064848349E-2</v>
      </c>
      <c r="K232" s="59">
        <v>0</v>
      </c>
      <c r="L232" s="59">
        <v>0</v>
      </c>
      <c r="M232" s="59">
        <v>0</v>
      </c>
      <c r="N232" s="59">
        <v>0</v>
      </c>
      <c r="O232" s="59">
        <v>0</v>
      </c>
      <c r="P232" s="59">
        <v>1.020601835376273E-2</v>
      </c>
      <c r="Q232" s="59">
        <v>6.9984494228299235E-2</v>
      </c>
      <c r="R232" s="59">
        <v>0</v>
      </c>
      <c r="S232" s="59">
        <v>0.13062920279490467</v>
      </c>
      <c r="T232" s="59">
        <v>0</v>
      </c>
      <c r="U232" s="59">
        <v>0</v>
      </c>
      <c r="V232" s="59">
        <v>0</v>
      </c>
      <c r="W232" s="59">
        <v>0</v>
      </c>
      <c r="X232" s="59">
        <v>0</v>
      </c>
      <c r="Y232" s="59">
        <v>0</v>
      </c>
      <c r="Z232" s="59">
        <v>0</v>
      </c>
      <c r="AA232" s="59">
        <v>0</v>
      </c>
      <c r="AB232" s="59">
        <v>0</v>
      </c>
      <c r="AC232" s="59">
        <v>0</v>
      </c>
      <c r="AD232" s="59">
        <v>3.6414164335407215E-2</v>
      </c>
      <c r="AE232" s="59">
        <v>0</v>
      </c>
      <c r="AF232" s="95">
        <v>0</v>
      </c>
    </row>
    <row r="233" spans="2:32" s="59" customFormat="1">
      <c r="B233" s="66" t="str">
        <f t="shared" si="12"/>
        <v>UPSHET</v>
      </c>
      <c r="C233" s="499" t="s">
        <v>742</v>
      </c>
      <c r="D233" s="500" t="s">
        <v>733</v>
      </c>
      <c r="E233" s="70">
        <v>0</v>
      </c>
      <c r="F233" s="59">
        <v>0</v>
      </c>
      <c r="G233" s="59">
        <v>0</v>
      </c>
      <c r="H233" s="59">
        <v>0</v>
      </c>
      <c r="I233" s="59">
        <v>0</v>
      </c>
      <c r="J233" s="59">
        <v>0</v>
      </c>
      <c r="K233" s="59">
        <v>0</v>
      </c>
      <c r="L233" s="59">
        <v>0</v>
      </c>
      <c r="M233" s="59">
        <v>0</v>
      </c>
      <c r="N233" s="59">
        <v>0</v>
      </c>
      <c r="O233" s="59">
        <v>0</v>
      </c>
      <c r="P233" s="59">
        <v>3.1844368563553917E-2</v>
      </c>
      <c r="Q233" s="59">
        <v>1.2120076822876814E-2</v>
      </c>
      <c r="R233" s="59">
        <v>0</v>
      </c>
      <c r="S233" s="59">
        <v>3.5041510348925099E-4</v>
      </c>
      <c r="T233" s="59">
        <v>0</v>
      </c>
      <c r="U233" s="59">
        <v>0</v>
      </c>
      <c r="V233" s="59">
        <v>0</v>
      </c>
      <c r="W233" s="59">
        <v>0</v>
      </c>
      <c r="X233" s="59">
        <v>0</v>
      </c>
      <c r="Y233" s="59">
        <v>0</v>
      </c>
      <c r="Z233" s="59">
        <v>0</v>
      </c>
      <c r="AA233" s="59">
        <v>0</v>
      </c>
      <c r="AB233" s="59">
        <v>0</v>
      </c>
      <c r="AC233" s="59">
        <v>0</v>
      </c>
      <c r="AD233" s="59">
        <v>0</v>
      </c>
      <c r="AE233" s="59">
        <v>0</v>
      </c>
      <c r="AF233" s="95">
        <v>0</v>
      </c>
    </row>
    <row r="234" spans="2:32" s="59" customFormat="1">
      <c r="B234" s="66" t="str">
        <f t="shared" si="12"/>
        <v>UPSHET</v>
      </c>
      <c r="C234" s="499" t="s">
        <v>743</v>
      </c>
      <c r="D234" s="500" t="s">
        <v>733</v>
      </c>
      <c r="E234" s="70">
        <v>0</v>
      </c>
      <c r="F234" s="59">
        <v>0</v>
      </c>
      <c r="G234" s="59">
        <v>0</v>
      </c>
      <c r="H234" s="59">
        <v>0</v>
      </c>
      <c r="I234" s="59">
        <v>0</v>
      </c>
      <c r="J234" s="59">
        <v>0</v>
      </c>
      <c r="K234" s="59">
        <v>0</v>
      </c>
      <c r="L234" s="59">
        <v>0</v>
      </c>
      <c r="M234" s="59">
        <v>0</v>
      </c>
      <c r="N234" s="59">
        <v>0</v>
      </c>
      <c r="O234" s="59">
        <v>0</v>
      </c>
      <c r="P234" s="59">
        <v>0</v>
      </c>
      <c r="Q234" s="59">
        <v>2.991664532229087E-2</v>
      </c>
      <c r="R234" s="59">
        <v>0</v>
      </c>
      <c r="S234" s="59">
        <v>0.13801786312627468</v>
      </c>
      <c r="T234" s="59">
        <v>0</v>
      </c>
      <c r="U234" s="59">
        <v>0.28534318335289555</v>
      </c>
      <c r="V234" s="59">
        <v>0</v>
      </c>
      <c r="W234" s="59">
        <v>0</v>
      </c>
      <c r="X234" s="59">
        <v>0</v>
      </c>
      <c r="Y234" s="59">
        <v>0</v>
      </c>
      <c r="Z234" s="59">
        <v>0</v>
      </c>
      <c r="AA234" s="59">
        <v>0</v>
      </c>
      <c r="AB234" s="59">
        <v>0</v>
      </c>
      <c r="AC234" s="59">
        <v>0</v>
      </c>
      <c r="AD234" s="59">
        <v>0</v>
      </c>
      <c r="AE234" s="59">
        <v>0</v>
      </c>
      <c r="AF234" s="95">
        <v>0</v>
      </c>
    </row>
    <row r="235" spans="2:32" s="59" customFormat="1">
      <c r="B235" s="66" t="str">
        <f t="shared" si="12"/>
        <v>UPSHET</v>
      </c>
      <c r="C235" s="499" t="s">
        <v>744</v>
      </c>
      <c r="D235" s="500" t="s">
        <v>733</v>
      </c>
      <c r="E235" s="70">
        <v>0</v>
      </c>
      <c r="F235" s="59">
        <v>0</v>
      </c>
      <c r="G235" s="59">
        <v>0</v>
      </c>
      <c r="H235" s="59">
        <v>0</v>
      </c>
      <c r="I235" s="59">
        <v>0</v>
      </c>
      <c r="J235" s="59">
        <v>0</v>
      </c>
      <c r="K235" s="59">
        <v>0</v>
      </c>
      <c r="L235" s="59">
        <v>0</v>
      </c>
      <c r="M235" s="59">
        <v>0</v>
      </c>
      <c r="N235" s="59">
        <v>0</v>
      </c>
      <c r="O235" s="59">
        <v>0</v>
      </c>
      <c r="P235" s="59">
        <v>0</v>
      </c>
      <c r="Q235" s="59">
        <v>0</v>
      </c>
      <c r="R235" s="59">
        <v>0</v>
      </c>
      <c r="S235" s="59">
        <v>8.0268274665783821E-3</v>
      </c>
      <c r="T235" s="59">
        <v>0</v>
      </c>
      <c r="U235" s="59">
        <v>0</v>
      </c>
      <c r="V235" s="59">
        <v>0</v>
      </c>
      <c r="W235" s="59">
        <v>0</v>
      </c>
      <c r="X235" s="59">
        <v>0</v>
      </c>
      <c r="Y235" s="59">
        <v>0</v>
      </c>
      <c r="Z235" s="59">
        <v>0</v>
      </c>
      <c r="AA235" s="59">
        <v>0</v>
      </c>
      <c r="AB235" s="59">
        <v>0</v>
      </c>
      <c r="AC235" s="59">
        <v>0</v>
      </c>
      <c r="AD235" s="59">
        <v>0</v>
      </c>
      <c r="AE235" s="59">
        <v>0</v>
      </c>
      <c r="AF235" s="95">
        <v>0</v>
      </c>
    </row>
    <row r="236" spans="2:32" s="59" customFormat="1">
      <c r="B236" s="66" t="str">
        <f t="shared" si="12"/>
        <v>UPSHET</v>
      </c>
      <c r="C236" s="499" t="s">
        <v>745</v>
      </c>
      <c r="D236" s="500" t="s">
        <v>733</v>
      </c>
      <c r="E236" s="70">
        <v>0</v>
      </c>
      <c r="F236" s="59">
        <v>0</v>
      </c>
      <c r="G236" s="59">
        <v>0</v>
      </c>
      <c r="H236" s="59">
        <v>0</v>
      </c>
      <c r="I236" s="59">
        <v>0</v>
      </c>
      <c r="J236" s="59">
        <v>0</v>
      </c>
      <c r="K236" s="59">
        <v>0</v>
      </c>
      <c r="L236" s="59">
        <v>0</v>
      </c>
      <c r="M236" s="59">
        <v>0</v>
      </c>
      <c r="N236" s="59">
        <v>0</v>
      </c>
      <c r="O236" s="59">
        <v>0</v>
      </c>
      <c r="P236" s="59">
        <v>0</v>
      </c>
      <c r="Q236" s="59">
        <v>0</v>
      </c>
      <c r="R236" s="59">
        <v>0</v>
      </c>
      <c r="S236" s="59">
        <v>9.1604307749824625E-3</v>
      </c>
      <c r="T236" s="59">
        <v>0</v>
      </c>
      <c r="U236" s="59">
        <v>0</v>
      </c>
      <c r="V236" s="59">
        <v>0</v>
      </c>
      <c r="W236" s="59">
        <v>0</v>
      </c>
      <c r="X236" s="59">
        <v>0</v>
      </c>
      <c r="Y236" s="59">
        <v>0</v>
      </c>
      <c r="Z236" s="59">
        <v>0</v>
      </c>
      <c r="AA236" s="59">
        <v>0</v>
      </c>
      <c r="AB236" s="59">
        <v>0</v>
      </c>
      <c r="AC236" s="59">
        <v>0</v>
      </c>
      <c r="AD236" s="59">
        <v>0</v>
      </c>
      <c r="AE236" s="59">
        <v>0</v>
      </c>
      <c r="AF236" s="95">
        <v>0</v>
      </c>
    </row>
    <row r="237" spans="2:32" s="59" customFormat="1">
      <c r="B237" s="66" t="str">
        <f t="shared" si="12"/>
        <v>UPSHET</v>
      </c>
      <c r="C237" s="499" t="s">
        <v>746</v>
      </c>
      <c r="D237" s="500" t="s">
        <v>733</v>
      </c>
      <c r="E237" s="70">
        <v>0</v>
      </c>
      <c r="F237" s="59">
        <v>0</v>
      </c>
      <c r="G237" s="59">
        <v>0</v>
      </c>
      <c r="H237" s="59">
        <v>0</v>
      </c>
      <c r="I237" s="59">
        <v>0</v>
      </c>
      <c r="J237" s="59">
        <v>0</v>
      </c>
      <c r="K237" s="59">
        <v>0</v>
      </c>
      <c r="L237" s="59">
        <v>0</v>
      </c>
      <c r="M237" s="59">
        <v>0</v>
      </c>
      <c r="N237" s="59">
        <v>0</v>
      </c>
      <c r="O237" s="59">
        <v>0</v>
      </c>
      <c r="P237" s="59">
        <v>0</v>
      </c>
      <c r="Q237" s="59">
        <v>0</v>
      </c>
      <c r="R237" s="59">
        <v>0</v>
      </c>
      <c r="S237" s="59">
        <v>0</v>
      </c>
      <c r="T237" s="59">
        <v>0</v>
      </c>
      <c r="U237" s="59">
        <v>0</v>
      </c>
      <c r="V237" s="59">
        <v>0</v>
      </c>
      <c r="W237" s="59">
        <v>0</v>
      </c>
      <c r="X237" s="59">
        <v>0</v>
      </c>
      <c r="Y237" s="59">
        <v>0</v>
      </c>
      <c r="Z237" s="59">
        <v>0</v>
      </c>
      <c r="AA237" s="59">
        <v>0</v>
      </c>
      <c r="AB237" s="59">
        <v>0</v>
      </c>
      <c r="AC237" s="59">
        <v>0</v>
      </c>
      <c r="AD237" s="59">
        <v>0</v>
      </c>
      <c r="AE237" s="59">
        <v>0</v>
      </c>
      <c r="AF237" s="95">
        <v>0</v>
      </c>
    </row>
    <row r="238" spans="2:32" s="59" customFormat="1">
      <c r="B238" s="269" t="str">
        <f t="shared" si="12"/>
        <v>UPSHET</v>
      </c>
      <c r="C238" s="503" t="s">
        <v>747</v>
      </c>
      <c r="D238" s="504" t="s">
        <v>733</v>
      </c>
      <c r="E238" s="271">
        <v>0</v>
      </c>
      <c r="F238" s="80">
        <v>0</v>
      </c>
      <c r="G238" s="80">
        <v>0</v>
      </c>
      <c r="H238" s="80">
        <v>0</v>
      </c>
      <c r="I238" s="80">
        <v>0</v>
      </c>
      <c r="J238" s="80">
        <v>0</v>
      </c>
      <c r="K238" s="80">
        <v>0</v>
      </c>
      <c r="L238" s="80">
        <v>0</v>
      </c>
      <c r="M238" s="80">
        <v>0</v>
      </c>
      <c r="N238" s="80">
        <v>0</v>
      </c>
      <c r="O238" s="80">
        <v>0</v>
      </c>
      <c r="P238" s="80">
        <v>0</v>
      </c>
      <c r="Q238" s="80">
        <v>0</v>
      </c>
      <c r="R238" s="80">
        <v>0</v>
      </c>
      <c r="S238" s="80">
        <v>0</v>
      </c>
      <c r="T238" s="80">
        <v>0</v>
      </c>
      <c r="U238" s="80">
        <v>0</v>
      </c>
      <c r="V238" s="80">
        <v>0</v>
      </c>
      <c r="W238" s="80">
        <v>0</v>
      </c>
      <c r="X238" s="80">
        <v>0</v>
      </c>
      <c r="Y238" s="80">
        <v>0</v>
      </c>
      <c r="Z238" s="80">
        <v>0</v>
      </c>
      <c r="AA238" s="80">
        <v>0</v>
      </c>
      <c r="AB238" s="80">
        <v>0</v>
      </c>
      <c r="AC238" s="80">
        <v>0</v>
      </c>
      <c r="AD238" s="80">
        <v>0</v>
      </c>
      <c r="AE238" s="80">
        <v>0</v>
      </c>
      <c r="AF238" s="97">
        <v>0</v>
      </c>
    </row>
    <row r="239" spans="2:32" s="59" customFormat="1">
      <c r="B239" s="66" t="s">
        <v>548</v>
      </c>
      <c r="C239" s="499"/>
      <c r="D239" s="500"/>
      <c r="E239" s="70"/>
      <c r="AF239" s="95"/>
    </row>
    <row r="240" spans="2:32" s="59" customFormat="1">
      <c r="B240" s="66" t="str">
        <f>B239</f>
        <v>UPSHFO</v>
      </c>
      <c r="C240" s="499" t="s">
        <v>732</v>
      </c>
      <c r="D240" s="500" t="s">
        <v>733</v>
      </c>
      <c r="E240" s="70">
        <v>0</v>
      </c>
      <c r="F240" s="59">
        <v>0</v>
      </c>
      <c r="G240" s="59">
        <v>0</v>
      </c>
      <c r="H240" s="59">
        <v>0</v>
      </c>
      <c r="I240" s="59">
        <v>0</v>
      </c>
      <c r="J240" s="59">
        <v>0</v>
      </c>
      <c r="K240" s="59">
        <v>0</v>
      </c>
      <c r="L240" s="59">
        <v>0</v>
      </c>
      <c r="M240" s="59">
        <v>0</v>
      </c>
      <c r="N240" s="59">
        <v>0</v>
      </c>
      <c r="O240" s="59">
        <v>0</v>
      </c>
      <c r="P240" s="59">
        <v>3.0387705204331115E-2</v>
      </c>
      <c r="Q240" s="59">
        <v>0</v>
      </c>
      <c r="R240" s="59">
        <v>5.4786111643966996E-2</v>
      </c>
      <c r="S240" s="59">
        <v>0</v>
      </c>
      <c r="T240" s="59">
        <v>0</v>
      </c>
      <c r="U240" s="59">
        <v>0</v>
      </c>
      <c r="V240" s="59">
        <v>0</v>
      </c>
      <c r="W240" s="59">
        <v>0</v>
      </c>
      <c r="X240" s="59">
        <v>0</v>
      </c>
      <c r="Y240" s="59">
        <v>2.2152229120595286E-2</v>
      </c>
      <c r="Z240" s="59">
        <v>0</v>
      </c>
      <c r="AA240" s="59">
        <v>0</v>
      </c>
      <c r="AB240" s="59">
        <v>0</v>
      </c>
      <c r="AC240" s="59">
        <v>0</v>
      </c>
      <c r="AD240" s="59">
        <v>0</v>
      </c>
      <c r="AE240" s="59">
        <v>3.5481154247249222E-2</v>
      </c>
      <c r="AF240" s="95">
        <v>0.73809631403738696</v>
      </c>
    </row>
    <row r="241" spans="2:32" s="59" customFormat="1">
      <c r="B241" s="66" t="str">
        <f t="shared" ref="B241:B254" si="13">B240</f>
        <v>UPSHFO</v>
      </c>
      <c r="C241" s="499" t="s">
        <v>734</v>
      </c>
      <c r="D241" s="500" t="s">
        <v>733</v>
      </c>
      <c r="E241" s="70">
        <v>0</v>
      </c>
      <c r="F241" s="59">
        <v>1</v>
      </c>
      <c r="G241" s="59">
        <v>0.74250786113071943</v>
      </c>
      <c r="H241" s="59">
        <v>0</v>
      </c>
      <c r="I241" s="59">
        <v>0.41202058344439513</v>
      </c>
      <c r="J241" s="59">
        <v>1</v>
      </c>
      <c r="K241" s="59">
        <v>1</v>
      </c>
      <c r="L241" s="59">
        <v>1</v>
      </c>
      <c r="M241" s="59">
        <v>1</v>
      </c>
      <c r="N241" s="59">
        <v>1</v>
      </c>
      <c r="O241" s="59">
        <v>0.95278721113227871</v>
      </c>
      <c r="P241" s="59">
        <v>0.9563395040167656</v>
      </c>
      <c r="Q241" s="59">
        <v>0.98262357893456476</v>
      </c>
      <c r="R241" s="59">
        <v>0.94521388835603293</v>
      </c>
      <c r="S241" s="59">
        <v>0.99883419085072966</v>
      </c>
      <c r="T241" s="59">
        <v>1</v>
      </c>
      <c r="U241" s="59">
        <v>0.99179321475869631</v>
      </c>
      <c r="V241" s="59">
        <v>0</v>
      </c>
      <c r="W241" s="59">
        <v>0</v>
      </c>
      <c r="X241" s="59">
        <v>1</v>
      </c>
      <c r="Y241" s="59">
        <v>0.97344118839428206</v>
      </c>
      <c r="Z241" s="59">
        <v>1</v>
      </c>
      <c r="AA241" s="59">
        <v>1</v>
      </c>
      <c r="AB241" s="59">
        <v>1</v>
      </c>
      <c r="AC241" s="59">
        <v>1</v>
      </c>
      <c r="AD241" s="59">
        <v>0</v>
      </c>
      <c r="AE241" s="59">
        <v>0.96451884575275071</v>
      </c>
      <c r="AF241" s="95">
        <v>7.463810685827045E-2</v>
      </c>
    </row>
    <row r="242" spans="2:32" s="59" customFormat="1">
      <c r="B242" s="66" t="str">
        <f t="shared" si="13"/>
        <v>UPSHFO</v>
      </c>
      <c r="C242" s="499" t="s">
        <v>735</v>
      </c>
      <c r="D242" s="500" t="s">
        <v>733</v>
      </c>
      <c r="E242" s="70">
        <v>0</v>
      </c>
      <c r="F242" s="59">
        <v>0</v>
      </c>
      <c r="G242" s="59">
        <v>0.25749213886928063</v>
      </c>
      <c r="H242" s="59">
        <v>0</v>
      </c>
      <c r="I242" s="59">
        <v>0.57036687398193398</v>
      </c>
      <c r="J242" s="59">
        <v>0</v>
      </c>
      <c r="K242" s="59">
        <v>0</v>
      </c>
      <c r="L242" s="59">
        <v>0</v>
      </c>
      <c r="M242" s="59">
        <v>0</v>
      </c>
      <c r="N242" s="59">
        <v>0</v>
      </c>
      <c r="O242" s="59">
        <v>4.7212788867721366E-2</v>
      </c>
      <c r="P242" s="59">
        <v>0</v>
      </c>
      <c r="Q242" s="59">
        <v>1.7376421065435257E-2</v>
      </c>
      <c r="R242" s="59">
        <v>0</v>
      </c>
      <c r="S242" s="59">
        <v>0</v>
      </c>
      <c r="T242" s="59">
        <v>0</v>
      </c>
      <c r="U242" s="59">
        <v>8.2067852413036223E-3</v>
      </c>
      <c r="V242" s="59">
        <v>0</v>
      </c>
      <c r="W242" s="59">
        <v>0</v>
      </c>
      <c r="X242" s="59">
        <v>0</v>
      </c>
      <c r="Y242" s="59">
        <v>4.4065824851226999E-3</v>
      </c>
      <c r="Z242" s="59">
        <v>0</v>
      </c>
      <c r="AA242" s="59">
        <v>0</v>
      </c>
      <c r="AB242" s="59">
        <v>0</v>
      </c>
      <c r="AC242" s="59">
        <v>0</v>
      </c>
      <c r="AD242" s="59">
        <v>1</v>
      </c>
      <c r="AE242" s="59">
        <v>0</v>
      </c>
      <c r="AF242" s="95">
        <v>6.5072981155949216E-3</v>
      </c>
    </row>
    <row r="243" spans="2:32" s="59" customFormat="1">
      <c r="B243" s="66" t="str">
        <f t="shared" si="13"/>
        <v>UPSHFO</v>
      </c>
      <c r="C243" s="499" t="s">
        <v>736</v>
      </c>
      <c r="D243" s="500" t="s">
        <v>733</v>
      </c>
      <c r="E243" s="70">
        <v>0</v>
      </c>
      <c r="F243" s="59">
        <v>0</v>
      </c>
      <c r="G243" s="59">
        <v>0</v>
      </c>
      <c r="H243" s="59">
        <v>0</v>
      </c>
      <c r="I243" s="59">
        <v>0</v>
      </c>
      <c r="J243" s="59">
        <v>0</v>
      </c>
      <c r="K243" s="59">
        <v>0</v>
      </c>
      <c r="L243" s="59">
        <v>0</v>
      </c>
      <c r="M243" s="59">
        <v>0</v>
      </c>
      <c r="N243" s="59">
        <v>0</v>
      </c>
      <c r="O243" s="59">
        <v>0</v>
      </c>
      <c r="P243" s="59">
        <v>0</v>
      </c>
      <c r="Q243" s="59">
        <v>0</v>
      </c>
      <c r="R243" s="59">
        <v>0</v>
      </c>
      <c r="S243" s="59">
        <v>0</v>
      </c>
      <c r="T243" s="59">
        <v>0</v>
      </c>
      <c r="U243" s="59">
        <v>0</v>
      </c>
      <c r="V243" s="59">
        <v>0</v>
      </c>
      <c r="W243" s="59">
        <v>0</v>
      </c>
      <c r="X243" s="59">
        <v>0</v>
      </c>
      <c r="Y243" s="59">
        <v>0</v>
      </c>
      <c r="Z243" s="59">
        <v>0</v>
      </c>
      <c r="AA243" s="59">
        <v>0</v>
      </c>
      <c r="AB243" s="59">
        <v>0</v>
      </c>
      <c r="AC243" s="59">
        <v>0</v>
      </c>
      <c r="AD243" s="59">
        <v>0</v>
      </c>
      <c r="AE243" s="59">
        <v>0</v>
      </c>
      <c r="AF243" s="95">
        <v>0</v>
      </c>
    </row>
    <row r="244" spans="2:32" s="59" customFormat="1">
      <c r="B244" s="66" t="str">
        <f t="shared" si="13"/>
        <v>UPSHFO</v>
      </c>
      <c r="C244" s="499" t="s">
        <v>737</v>
      </c>
      <c r="D244" s="500" t="s">
        <v>733</v>
      </c>
      <c r="E244" s="70">
        <v>0</v>
      </c>
      <c r="F244" s="59">
        <v>0</v>
      </c>
      <c r="G244" s="59">
        <v>0</v>
      </c>
      <c r="H244" s="59">
        <v>0</v>
      </c>
      <c r="I244" s="59">
        <v>0</v>
      </c>
      <c r="J244" s="59">
        <v>0</v>
      </c>
      <c r="K244" s="59">
        <v>0</v>
      </c>
      <c r="L244" s="59">
        <v>0</v>
      </c>
      <c r="M244" s="59">
        <v>0</v>
      </c>
      <c r="N244" s="59">
        <v>0</v>
      </c>
      <c r="O244" s="59">
        <v>0</v>
      </c>
      <c r="P244" s="59">
        <v>0</v>
      </c>
      <c r="Q244" s="59">
        <v>0</v>
      </c>
      <c r="R244" s="59">
        <v>0</v>
      </c>
      <c r="S244" s="59">
        <v>0</v>
      </c>
      <c r="T244" s="59">
        <v>0</v>
      </c>
      <c r="U244" s="59">
        <v>0</v>
      </c>
      <c r="V244" s="59">
        <v>0</v>
      </c>
      <c r="W244" s="59">
        <v>0</v>
      </c>
      <c r="X244" s="59">
        <v>0</v>
      </c>
      <c r="Y244" s="59">
        <v>0</v>
      </c>
      <c r="Z244" s="59">
        <v>0</v>
      </c>
      <c r="AA244" s="59">
        <v>0</v>
      </c>
      <c r="AB244" s="59">
        <v>0</v>
      </c>
      <c r="AC244" s="59">
        <v>0</v>
      </c>
      <c r="AD244" s="59">
        <v>0</v>
      </c>
      <c r="AE244" s="59">
        <v>0</v>
      </c>
      <c r="AF244" s="95">
        <v>0</v>
      </c>
    </row>
    <row r="245" spans="2:32" s="59" customFormat="1">
      <c r="B245" s="66" t="str">
        <f t="shared" si="13"/>
        <v>UPSHFO</v>
      </c>
      <c r="C245" s="499" t="s">
        <v>738</v>
      </c>
      <c r="D245" s="500" t="s">
        <v>733</v>
      </c>
      <c r="E245" s="70">
        <v>0</v>
      </c>
      <c r="F245" s="59">
        <v>0</v>
      </c>
      <c r="G245" s="59">
        <v>0</v>
      </c>
      <c r="H245" s="59">
        <v>0</v>
      </c>
      <c r="I245" s="59">
        <v>0</v>
      </c>
      <c r="J245" s="59">
        <v>0</v>
      </c>
      <c r="K245" s="59">
        <v>0</v>
      </c>
      <c r="L245" s="59">
        <v>0</v>
      </c>
      <c r="M245" s="59">
        <v>0</v>
      </c>
      <c r="N245" s="59">
        <v>0</v>
      </c>
      <c r="O245" s="59">
        <v>0</v>
      </c>
      <c r="P245" s="59">
        <v>0</v>
      </c>
      <c r="Q245" s="59">
        <v>0</v>
      </c>
      <c r="R245" s="59">
        <v>0</v>
      </c>
      <c r="S245" s="59">
        <v>0</v>
      </c>
      <c r="T245" s="59">
        <v>0</v>
      </c>
      <c r="U245" s="59">
        <v>0</v>
      </c>
      <c r="V245" s="59">
        <v>0</v>
      </c>
      <c r="W245" s="59">
        <v>0</v>
      </c>
      <c r="X245" s="59">
        <v>0</v>
      </c>
      <c r="Y245" s="59">
        <v>0</v>
      </c>
      <c r="Z245" s="59">
        <v>0</v>
      </c>
      <c r="AA245" s="59">
        <v>0</v>
      </c>
      <c r="AB245" s="59">
        <v>0</v>
      </c>
      <c r="AC245" s="59">
        <v>0</v>
      </c>
      <c r="AD245" s="59">
        <v>0</v>
      </c>
      <c r="AE245" s="59">
        <v>0</v>
      </c>
      <c r="AF245" s="95">
        <v>0</v>
      </c>
    </row>
    <row r="246" spans="2:32" s="59" customFormat="1">
      <c r="B246" s="66" t="str">
        <f t="shared" si="13"/>
        <v>UPSHFO</v>
      </c>
      <c r="C246" s="499" t="s">
        <v>739</v>
      </c>
      <c r="D246" s="500" t="s">
        <v>733</v>
      </c>
      <c r="E246" s="70">
        <v>0</v>
      </c>
      <c r="F246" s="59">
        <v>0</v>
      </c>
      <c r="G246" s="59">
        <v>0</v>
      </c>
      <c r="H246" s="59">
        <v>0</v>
      </c>
      <c r="I246" s="59">
        <v>0</v>
      </c>
      <c r="J246" s="59">
        <v>0</v>
      </c>
      <c r="K246" s="59">
        <v>0</v>
      </c>
      <c r="L246" s="59">
        <v>0</v>
      </c>
      <c r="M246" s="59">
        <v>0</v>
      </c>
      <c r="N246" s="59">
        <v>0</v>
      </c>
      <c r="O246" s="59">
        <v>0</v>
      </c>
      <c r="P246" s="59">
        <v>0</v>
      </c>
      <c r="Q246" s="59">
        <v>0</v>
      </c>
      <c r="R246" s="59">
        <v>0</v>
      </c>
      <c r="S246" s="59">
        <v>0</v>
      </c>
      <c r="T246" s="59">
        <v>0</v>
      </c>
      <c r="U246" s="59">
        <v>0</v>
      </c>
      <c r="V246" s="59">
        <v>0</v>
      </c>
      <c r="W246" s="59">
        <v>0</v>
      </c>
      <c r="X246" s="59">
        <v>0</v>
      </c>
      <c r="Y246" s="59">
        <v>0</v>
      </c>
      <c r="Z246" s="59">
        <v>0</v>
      </c>
      <c r="AA246" s="59">
        <v>0</v>
      </c>
      <c r="AB246" s="59">
        <v>0</v>
      </c>
      <c r="AC246" s="59">
        <v>0</v>
      </c>
      <c r="AD246" s="59">
        <v>0</v>
      </c>
      <c r="AE246" s="59">
        <v>0</v>
      </c>
      <c r="AF246" s="95">
        <v>0</v>
      </c>
    </row>
    <row r="247" spans="2:32" s="59" customFormat="1">
      <c r="B247" s="66" t="str">
        <f t="shared" si="13"/>
        <v>UPSHFO</v>
      </c>
      <c r="C247" s="499" t="s">
        <v>740</v>
      </c>
      <c r="D247" s="500" t="s">
        <v>733</v>
      </c>
      <c r="E247" s="70">
        <v>0</v>
      </c>
      <c r="F247" s="59">
        <v>0</v>
      </c>
      <c r="G247" s="59">
        <v>0</v>
      </c>
      <c r="H247" s="59">
        <v>0</v>
      </c>
      <c r="I247" s="59">
        <v>0</v>
      </c>
      <c r="J247" s="59">
        <v>0</v>
      </c>
      <c r="K247" s="59">
        <v>0</v>
      </c>
      <c r="L247" s="59">
        <v>0</v>
      </c>
      <c r="M247" s="59">
        <v>0</v>
      </c>
      <c r="N247" s="59">
        <v>0</v>
      </c>
      <c r="O247" s="59">
        <v>0</v>
      </c>
      <c r="P247" s="59">
        <v>0</v>
      </c>
      <c r="Q247" s="59">
        <v>0</v>
      </c>
      <c r="R247" s="59">
        <v>0</v>
      </c>
      <c r="S247" s="59">
        <v>0</v>
      </c>
      <c r="T247" s="59">
        <v>0</v>
      </c>
      <c r="U247" s="59">
        <v>0</v>
      </c>
      <c r="V247" s="59">
        <v>0</v>
      </c>
      <c r="W247" s="59">
        <v>0</v>
      </c>
      <c r="X247" s="59">
        <v>0</v>
      </c>
      <c r="Y247" s="59">
        <v>0</v>
      </c>
      <c r="Z247" s="59">
        <v>0</v>
      </c>
      <c r="AA247" s="59">
        <v>0</v>
      </c>
      <c r="AB247" s="59">
        <v>0</v>
      </c>
      <c r="AC247" s="59">
        <v>0</v>
      </c>
      <c r="AD247" s="59">
        <v>0</v>
      </c>
      <c r="AE247" s="59">
        <v>0</v>
      </c>
      <c r="AF247" s="95">
        <v>0</v>
      </c>
    </row>
    <row r="248" spans="2:32" s="59" customFormat="1">
      <c r="B248" s="66" t="str">
        <f t="shared" si="13"/>
        <v>UPSHFO</v>
      </c>
      <c r="C248" s="499" t="s">
        <v>741</v>
      </c>
      <c r="D248" s="500" t="s">
        <v>733</v>
      </c>
      <c r="E248" s="70">
        <v>0</v>
      </c>
      <c r="F248" s="59">
        <v>0</v>
      </c>
      <c r="G248" s="59">
        <v>0</v>
      </c>
      <c r="H248" s="59">
        <v>0</v>
      </c>
      <c r="I248" s="59">
        <v>1.761254257367096E-2</v>
      </c>
      <c r="J248" s="59">
        <v>0</v>
      </c>
      <c r="K248" s="59">
        <v>0</v>
      </c>
      <c r="L248" s="59">
        <v>0</v>
      </c>
      <c r="M248" s="59">
        <v>0</v>
      </c>
      <c r="N248" s="59">
        <v>0</v>
      </c>
      <c r="O248" s="59">
        <v>0</v>
      </c>
      <c r="P248" s="59">
        <v>9.4306671323786239E-3</v>
      </c>
      <c r="Q248" s="59">
        <v>0</v>
      </c>
      <c r="R248" s="59">
        <v>0</v>
      </c>
      <c r="S248" s="59">
        <v>1.1658091492702035E-3</v>
      </c>
      <c r="T248" s="59">
        <v>0</v>
      </c>
      <c r="U248" s="59">
        <v>0</v>
      </c>
      <c r="V248" s="59">
        <v>0</v>
      </c>
      <c r="W248" s="59">
        <v>0</v>
      </c>
      <c r="X248" s="59">
        <v>0</v>
      </c>
      <c r="Y248" s="59">
        <v>0</v>
      </c>
      <c r="Z248" s="59">
        <v>0</v>
      </c>
      <c r="AA248" s="59">
        <v>0</v>
      </c>
      <c r="AB248" s="59">
        <v>0</v>
      </c>
      <c r="AC248" s="59">
        <v>0</v>
      </c>
      <c r="AD248" s="59">
        <v>0</v>
      </c>
      <c r="AE248" s="59">
        <v>0</v>
      </c>
      <c r="AF248" s="95">
        <v>0.18075828098874783</v>
      </c>
    </row>
    <row r="249" spans="2:32" s="59" customFormat="1">
      <c r="B249" s="66" t="str">
        <f t="shared" si="13"/>
        <v>UPSHFO</v>
      </c>
      <c r="C249" s="499" t="s">
        <v>742</v>
      </c>
      <c r="D249" s="500" t="s">
        <v>733</v>
      </c>
      <c r="E249" s="70">
        <v>0</v>
      </c>
      <c r="F249" s="59">
        <v>0</v>
      </c>
      <c r="G249" s="59">
        <v>0</v>
      </c>
      <c r="H249" s="59">
        <v>0</v>
      </c>
      <c r="I249" s="59">
        <v>0</v>
      </c>
      <c r="J249" s="59">
        <v>0</v>
      </c>
      <c r="K249" s="59">
        <v>0</v>
      </c>
      <c r="L249" s="59">
        <v>0</v>
      </c>
      <c r="M249" s="59">
        <v>0</v>
      </c>
      <c r="N249" s="59">
        <v>0</v>
      </c>
      <c r="O249" s="59">
        <v>0</v>
      </c>
      <c r="P249" s="59">
        <v>3.8421236465246249E-3</v>
      </c>
      <c r="Q249" s="59">
        <v>0</v>
      </c>
      <c r="R249" s="59">
        <v>0</v>
      </c>
      <c r="S249" s="59">
        <v>0</v>
      </c>
      <c r="T249" s="59">
        <v>0</v>
      </c>
      <c r="U249" s="59">
        <v>0</v>
      </c>
      <c r="V249" s="59">
        <v>0</v>
      </c>
      <c r="W249" s="59">
        <v>0</v>
      </c>
      <c r="X249" s="59">
        <v>0</v>
      </c>
      <c r="Y249" s="59">
        <v>0</v>
      </c>
      <c r="Z249" s="59">
        <v>0</v>
      </c>
      <c r="AA249" s="59">
        <v>0</v>
      </c>
      <c r="AB249" s="59">
        <v>0</v>
      </c>
      <c r="AC249" s="59">
        <v>0</v>
      </c>
      <c r="AD249" s="59">
        <v>0</v>
      </c>
      <c r="AE249" s="59">
        <v>0</v>
      </c>
      <c r="AF249" s="95">
        <v>0</v>
      </c>
    </row>
    <row r="250" spans="2:32" s="59" customFormat="1">
      <c r="B250" s="66" t="str">
        <f t="shared" si="13"/>
        <v>UPSHFO</v>
      </c>
      <c r="C250" s="499" t="s">
        <v>743</v>
      </c>
      <c r="D250" s="500" t="s">
        <v>733</v>
      </c>
      <c r="E250" s="70">
        <v>0</v>
      </c>
      <c r="F250" s="59">
        <v>0</v>
      </c>
      <c r="G250" s="59">
        <v>0</v>
      </c>
      <c r="H250" s="59">
        <v>0</v>
      </c>
      <c r="I250" s="59">
        <v>0</v>
      </c>
      <c r="J250" s="59">
        <v>0</v>
      </c>
      <c r="K250" s="59">
        <v>0</v>
      </c>
      <c r="L250" s="59">
        <v>0</v>
      </c>
      <c r="M250" s="59">
        <v>0</v>
      </c>
      <c r="N250" s="59">
        <v>0</v>
      </c>
      <c r="O250" s="59">
        <v>0</v>
      </c>
      <c r="P250" s="59">
        <v>0</v>
      </c>
      <c r="Q250" s="59">
        <v>0</v>
      </c>
      <c r="R250" s="59">
        <v>0</v>
      </c>
      <c r="S250" s="59">
        <v>0</v>
      </c>
      <c r="T250" s="59">
        <v>0</v>
      </c>
      <c r="U250" s="59">
        <v>0</v>
      </c>
      <c r="V250" s="59">
        <v>0</v>
      </c>
      <c r="W250" s="59">
        <v>0</v>
      </c>
      <c r="X250" s="59">
        <v>0</v>
      </c>
      <c r="Y250" s="59">
        <v>0</v>
      </c>
      <c r="Z250" s="59">
        <v>0</v>
      </c>
      <c r="AA250" s="59">
        <v>0</v>
      </c>
      <c r="AB250" s="59">
        <v>0</v>
      </c>
      <c r="AC250" s="59">
        <v>0</v>
      </c>
      <c r="AD250" s="59">
        <v>0</v>
      </c>
      <c r="AE250" s="59">
        <v>0</v>
      </c>
      <c r="AF250" s="95">
        <v>0</v>
      </c>
    </row>
    <row r="251" spans="2:32" s="59" customFormat="1">
      <c r="B251" s="66" t="str">
        <f t="shared" si="13"/>
        <v>UPSHFO</v>
      </c>
      <c r="C251" s="499" t="s">
        <v>744</v>
      </c>
      <c r="D251" s="500" t="s">
        <v>733</v>
      </c>
      <c r="E251" s="70">
        <v>0</v>
      </c>
      <c r="F251" s="59">
        <v>0</v>
      </c>
      <c r="G251" s="59">
        <v>0</v>
      </c>
      <c r="H251" s="59">
        <v>0</v>
      </c>
      <c r="I251" s="59">
        <v>0</v>
      </c>
      <c r="J251" s="59">
        <v>0</v>
      </c>
      <c r="K251" s="59">
        <v>0</v>
      </c>
      <c r="L251" s="59">
        <v>0</v>
      </c>
      <c r="M251" s="59">
        <v>0</v>
      </c>
      <c r="N251" s="59">
        <v>0</v>
      </c>
      <c r="O251" s="59">
        <v>0</v>
      </c>
      <c r="P251" s="59">
        <v>0</v>
      </c>
      <c r="Q251" s="59">
        <v>0</v>
      </c>
      <c r="R251" s="59">
        <v>0</v>
      </c>
      <c r="S251" s="59">
        <v>0</v>
      </c>
      <c r="T251" s="59">
        <v>0</v>
      </c>
      <c r="U251" s="59">
        <v>0</v>
      </c>
      <c r="V251" s="59">
        <v>0</v>
      </c>
      <c r="W251" s="59">
        <v>0</v>
      </c>
      <c r="X251" s="59">
        <v>0</v>
      </c>
      <c r="Y251" s="59">
        <v>0</v>
      </c>
      <c r="Z251" s="59">
        <v>0</v>
      </c>
      <c r="AA251" s="59">
        <v>0</v>
      </c>
      <c r="AB251" s="59">
        <v>0</v>
      </c>
      <c r="AC251" s="59">
        <v>0</v>
      </c>
      <c r="AD251" s="59">
        <v>0</v>
      </c>
      <c r="AE251" s="59">
        <v>0</v>
      </c>
      <c r="AF251" s="95">
        <v>0</v>
      </c>
    </row>
    <row r="252" spans="2:32" s="59" customFormat="1">
      <c r="B252" s="66" t="str">
        <f t="shared" si="13"/>
        <v>UPSHFO</v>
      </c>
      <c r="C252" s="499" t="s">
        <v>745</v>
      </c>
      <c r="D252" s="500" t="s">
        <v>733</v>
      </c>
      <c r="E252" s="70">
        <v>0</v>
      </c>
      <c r="F252" s="59">
        <v>0</v>
      </c>
      <c r="G252" s="59">
        <v>0</v>
      </c>
      <c r="H252" s="59">
        <v>0</v>
      </c>
      <c r="I252" s="59">
        <v>0</v>
      </c>
      <c r="J252" s="59">
        <v>0</v>
      </c>
      <c r="K252" s="59">
        <v>0</v>
      </c>
      <c r="L252" s="59">
        <v>0</v>
      </c>
      <c r="M252" s="59">
        <v>0</v>
      </c>
      <c r="N252" s="59">
        <v>0</v>
      </c>
      <c r="O252" s="59">
        <v>0</v>
      </c>
      <c r="P252" s="59">
        <v>0</v>
      </c>
      <c r="Q252" s="59">
        <v>0</v>
      </c>
      <c r="R252" s="59">
        <v>0</v>
      </c>
      <c r="S252" s="59">
        <v>0</v>
      </c>
      <c r="T252" s="59">
        <v>0</v>
      </c>
      <c r="U252" s="59">
        <v>0</v>
      </c>
      <c r="V252" s="59">
        <v>0</v>
      </c>
      <c r="W252" s="59">
        <v>0</v>
      </c>
      <c r="X252" s="59">
        <v>0</v>
      </c>
      <c r="Y252" s="59">
        <v>0</v>
      </c>
      <c r="Z252" s="59">
        <v>0</v>
      </c>
      <c r="AA252" s="59">
        <v>0</v>
      </c>
      <c r="AB252" s="59">
        <v>0</v>
      </c>
      <c r="AC252" s="59">
        <v>0</v>
      </c>
      <c r="AD252" s="59">
        <v>0</v>
      </c>
      <c r="AE252" s="59">
        <v>0</v>
      </c>
      <c r="AF252" s="95">
        <v>0</v>
      </c>
    </row>
    <row r="253" spans="2:32" s="59" customFormat="1">
      <c r="B253" s="66" t="str">
        <f t="shared" si="13"/>
        <v>UPSHFO</v>
      </c>
      <c r="C253" s="499" t="s">
        <v>746</v>
      </c>
      <c r="D253" s="500" t="s">
        <v>733</v>
      </c>
      <c r="E253" s="70">
        <v>0</v>
      </c>
      <c r="F253" s="59">
        <v>0</v>
      </c>
      <c r="G253" s="59">
        <v>0</v>
      </c>
      <c r="H253" s="59">
        <v>0</v>
      </c>
      <c r="I253" s="59">
        <v>0</v>
      </c>
      <c r="J253" s="59">
        <v>0</v>
      </c>
      <c r="K253" s="59">
        <v>0</v>
      </c>
      <c r="L253" s="59">
        <v>0</v>
      </c>
      <c r="M253" s="59">
        <v>0</v>
      </c>
      <c r="N253" s="59">
        <v>0</v>
      </c>
      <c r="O253" s="59">
        <v>0</v>
      </c>
      <c r="P253" s="59">
        <v>0</v>
      </c>
      <c r="Q253" s="59">
        <v>0</v>
      </c>
      <c r="R253" s="59">
        <v>0</v>
      </c>
      <c r="S253" s="59">
        <v>0</v>
      </c>
      <c r="T253" s="59">
        <v>0</v>
      </c>
      <c r="U253" s="59">
        <v>0</v>
      </c>
      <c r="V253" s="59">
        <v>0</v>
      </c>
      <c r="W253" s="59">
        <v>0</v>
      </c>
      <c r="X253" s="59">
        <v>0</v>
      </c>
      <c r="Y253" s="59">
        <v>0</v>
      </c>
      <c r="Z253" s="59">
        <v>0</v>
      </c>
      <c r="AA253" s="59">
        <v>0</v>
      </c>
      <c r="AB253" s="59">
        <v>0</v>
      </c>
      <c r="AC253" s="59">
        <v>0</v>
      </c>
      <c r="AD253" s="59">
        <v>0</v>
      </c>
      <c r="AE253" s="59">
        <v>0</v>
      </c>
      <c r="AF253" s="95">
        <v>0</v>
      </c>
    </row>
    <row r="254" spans="2:32" s="59" customFormat="1">
      <c r="B254" s="269" t="str">
        <f t="shared" si="13"/>
        <v>UPSHFO</v>
      </c>
      <c r="C254" s="503" t="s">
        <v>747</v>
      </c>
      <c r="D254" s="504" t="s">
        <v>733</v>
      </c>
      <c r="E254" s="271">
        <v>0</v>
      </c>
      <c r="F254" s="80">
        <v>0</v>
      </c>
      <c r="G254" s="80">
        <v>0</v>
      </c>
      <c r="H254" s="80">
        <v>0</v>
      </c>
      <c r="I254" s="80">
        <v>0</v>
      </c>
      <c r="J254" s="80">
        <v>0</v>
      </c>
      <c r="K254" s="80">
        <v>0</v>
      </c>
      <c r="L254" s="80">
        <v>0</v>
      </c>
      <c r="M254" s="80">
        <v>0</v>
      </c>
      <c r="N254" s="80">
        <v>0</v>
      </c>
      <c r="O254" s="80">
        <v>0</v>
      </c>
      <c r="P254" s="80">
        <v>0</v>
      </c>
      <c r="Q254" s="80">
        <v>0</v>
      </c>
      <c r="R254" s="80">
        <v>0</v>
      </c>
      <c r="S254" s="80">
        <v>0</v>
      </c>
      <c r="T254" s="80">
        <v>0</v>
      </c>
      <c r="U254" s="80">
        <v>0</v>
      </c>
      <c r="V254" s="80">
        <v>0</v>
      </c>
      <c r="W254" s="80">
        <v>0</v>
      </c>
      <c r="X254" s="80">
        <v>0</v>
      </c>
      <c r="Y254" s="80">
        <v>0</v>
      </c>
      <c r="Z254" s="80">
        <v>0</v>
      </c>
      <c r="AA254" s="80">
        <v>0</v>
      </c>
      <c r="AB254" s="80">
        <v>0</v>
      </c>
      <c r="AC254" s="80">
        <v>0</v>
      </c>
      <c r="AD254" s="80">
        <v>0</v>
      </c>
      <c r="AE254" s="80">
        <v>0</v>
      </c>
      <c r="AF254" s="97">
        <v>0</v>
      </c>
    </row>
    <row r="255" spans="2:32" s="59" customFormat="1">
      <c r="B255" s="66" t="s">
        <v>550</v>
      </c>
      <c r="C255" s="499"/>
      <c r="D255" s="500"/>
      <c r="E255" s="70"/>
      <c r="AF255" s="95"/>
    </row>
    <row r="256" spans="2:32" s="59" customFormat="1">
      <c r="B256" s="66" t="str">
        <f>B255</f>
        <v>UPSKER</v>
      </c>
      <c r="C256" s="499" t="s">
        <v>732</v>
      </c>
      <c r="D256" s="500" t="s">
        <v>733</v>
      </c>
      <c r="E256" s="70">
        <v>0</v>
      </c>
      <c r="F256" s="59">
        <v>0</v>
      </c>
      <c r="G256" s="59">
        <v>0</v>
      </c>
      <c r="H256" s="59">
        <v>0</v>
      </c>
      <c r="I256" s="59">
        <v>0</v>
      </c>
      <c r="J256" s="59">
        <v>0</v>
      </c>
      <c r="K256" s="59">
        <v>0</v>
      </c>
      <c r="L256" s="59">
        <v>0</v>
      </c>
      <c r="M256" s="59">
        <v>0</v>
      </c>
      <c r="N256" s="59">
        <v>1</v>
      </c>
      <c r="O256" s="59">
        <v>0</v>
      </c>
      <c r="P256" s="59">
        <v>0</v>
      </c>
      <c r="Q256" s="59">
        <v>0</v>
      </c>
      <c r="R256" s="59">
        <v>0</v>
      </c>
      <c r="S256" s="59">
        <v>0</v>
      </c>
      <c r="T256" s="59">
        <v>0</v>
      </c>
      <c r="U256" s="59">
        <v>0</v>
      </c>
      <c r="V256" s="59">
        <v>0</v>
      </c>
      <c r="W256" s="59">
        <v>0</v>
      </c>
      <c r="X256" s="59">
        <v>0</v>
      </c>
      <c r="Y256" s="59">
        <v>0</v>
      </c>
      <c r="Z256" s="59">
        <v>0</v>
      </c>
      <c r="AA256" s="59">
        <v>0</v>
      </c>
      <c r="AB256" s="59">
        <v>0</v>
      </c>
      <c r="AC256" s="59">
        <v>0</v>
      </c>
      <c r="AD256" s="59">
        <v>0</v>
      </c>
      <c r="AE256" s="59">
        <v>1</v>
      </c>
      <c r="AF256" s="95">
        <v>0</v>
      </c>
    </row>
    <row r="257" spans="2:32" s="59" customFormat="1">
      <c r="B257" s="66" t="str">
        <f t="shared" ref="B257:B270" si="14">B256</f>
        <v>UPSKER</v>
      </c>
      <c r="C257" s="499" t="s">
        <v>734</v>
      </c>
      <c r="D257" s="500" t="s">
        <v>733</v>
      </c>
      <c r="E257" s="70">
        <v>0</v>
      </c>
      <c r="F257" s="59">
        <v>0</v>
      </c>
      <c r="G257" s="59">
        <v>0</v>
      </c>
      <c r="H257" s="59">
        <v>0</v>
      </c>
      <c r="I257" s="59">
        <v>0</v>
      </c>
      <c r="J257" s="59">
        <v>0</v>
      </c>
      <c r="K257" s="59">
        <v>0</v>
      </c>
      <c r="L257" s="59">
        <v>0</v>
      </c>
      <c r="M257" s="59">
        <v>0</v>
      </c>
      <c r="N257" s="59">
        <v>0</v>
      </c>
      <c r="O257" s="59">
        <v>0</v>
      </c>
      <c r="P257" s="59">
        <v>0.19354838709677419</v>
      </c>
      <c r="Q257" s="59">
        <v>0</v>
      </c>
      <c r="R257" s="59">
        <v>0</v>
      </c>
      <c r="S257" s="59">
        <v>0</v>
      </c>
      <c r="T257" s="59">
        <v>0</v>
      </c>
      <c r="U257" s="59">
        <v>0</v>
      </c>
      <c r="V257" s="59">
        <v>0</v>
      </c>
      <c r="W257" s="59">
        <v>0</v>
      </c>
      <c r="X257" s="59">
        <v>0.93857842464186003</v>
      </c>
      <c r="Y257" s="59">
        <v>0.99466577254854149</v>
      </c>
      <c r="Z257" s="59">
        <v>0</v>
      </c>
      <c r="AA257" s="59">
        <v>0</v>
      </c>
      <c r="AB257" s="59">
        <v>0</v>
      </c>
      <c r="AC257" s="59">
        <v>0</v>
      </c>
      <c r="AD257" s="59">
        <v>0</v>
      </c>
      <c r="AE257" s="59">
        <v>0</v>
      </c>
      <c r="AF257" s="95">
        <v>1</v>
      </c>
    </row>
    <row r="258" spans="2:32" s="59" customFormat="1">
      <c r="B258" s="66" t="str">
        <f t="shared" si="14"/>
        <v>UPSKER</v>
      </c>
      <c r="C258" s="499" t="s">
        <v>735</v>
      </c>
      <c r="D258" s="500" t="s">
        <v>733</v>
      </c>
      <c r="E258" s="70">
        <v>0</v>
      </c>
      <c r="F258" s="59">
        <v>0</v>
      </c>
      <c r="G258" s="59">
        <v>0</v>
      </c>
      <c r="H258" s="59">
        <v>0</v>
      </c>
      <c r="I258" s="59">
        <v>1</v>
      </c>
      <c r="J258" s="59">
        <v>0</v>
      </c>
      <c r="K258" s="59">
        <v>0</v>
      </c>
      <c r="L258" s="59">
        <v>0</v>
      </c>
      <c r="M258" s="59">
        <v>0</v>
      </c>
      <c r="N258" s="59">
        <v>0</v>
      </c>
      <c r="O258" s="59">
        <v>0</v>
      </c>
      <c r="P258" s="59">
        <v>0</v>
      </c>
      <c r="Q258" s="59">
        <v>0</v>
      </c>
      <c r="R258" s="59">
        <v>0</v>
      </c>
      <c r="S258" s="59">
        <v>0.98666666666666669</v>
      </c>
      <c r="T258" s="59">
        <v>0</v>
      </c>
      <c r="U258" s="59">
        <v>0</v>
      </c>
      <c r="V258" s="59">
        <v>1</v>
      </c>
      <c r="W258" s="59">
        <v>0</v>
      </c>
      <c r="X258" s="59">
        <v>0</v>
      </c>
      <c r="Y258" s="59">
        <v>5.3342274514585307E-3</v>
      </c>
      <c r="Z258" s="59">
        <v>0</v>
      </c>
      <c r="AA258" s="59">
        <v>0</v>
      </c>
      <c r="AB258" s="59">
        <v>0</v>
      </c>
      <c r="AC258" s="59">
        <v>0</v>
      </c>
      <c r="AD258" s="59">
        <v>0</v>
      </c>
      <c r="AE258" s="59">
        <v>0</v>
      </c>
      <c r="AF258" s="95">
        <v>0</v>
      </c>
    </row>
    <row r="259" spans="2:32" s="59" customFormat="1">
      <c r="B259" s="66" t="str">
        <f t="shared" si="14"/>
        <v>UPSKER</v>
      </c>
      <c r="C259" s="499" t="s">
        <v>736</v>
      </c>
      <c r="D259" s="500" t="s">
        <v>733</v>
      </c>
      <c r="E259" s="70">
        <v>0</v>
      </c>
      <c r="F259" s="59">
        <v>0</v>
      </c>
      <c r="G259" s="59">
        <v>0</v>
      </c>
      <c r="H259" s="59">
        <v>0</v>
      </c>
      <c r="I259" s="59">
        <v>0</v>
      </c>
      <c r="J259" s="59">
        <v>0</v>
      </c>
      <c r="K259" s="59">
        <v>0</v>
      </c>
      <c r="L259" s="59">
        <v>0</v>
      </c>
      <c r="M259" s="59">
        <v>0</v>
      </c>
      <c r="N259" s="59">
        <v>0</v>
      </c>
      <c r="O259" s="59">
        <v>0</v>
      </c>
      <c r="P259" s="59">
        <v>0</v>
      </c>
      <c r="Q259" s="59">
        <v>0</v>
      </c>
      <c r="R259" s="59">
        <v>0</v>
      </c>
      <c r="S259" s="59">
        <v>0</v>
      </c>
      <c r="T259" s="59">
        <v>0</v>
      </c>
      <c r="U259" s="59">
        <v>0</v>
      </c>
      <c r="V259" s="59">
        <v>0</v>
      </c>
      <c r="W259" s="59">
        <v>0</v>
      </c>
      <c r="X259" s="59">
        <v>0</v>
      </c>
      <c r="Y259" s="59">
        <v>0</v>
      </c>
      <c r="Z259" s="59">
        <v>0</v>
      </c>
      <c r="AA259" s="59">
        <v>0</v>
      </c>
      <c r="AB259" s="59">
        <v>0</v>
      </c>
      <c r="AC259" s="59">
        <v>0</v>
      </c>
      <c r="AD259" s="59">
        <v>0</v>
      </c>
      <c r="AE259" s="59">
        <v>0</v>
      </c>
      <c r="AF259" s="95">
        <v>0</v>
      </c>
    </row>
    <row r="260" spans="2:32" s="59" customFormat="1">
      <c r="B260" s="66" t="str">
        <f t="shared" si="14"/>
        <v>UPSKER</v>
      </c>
      <c r="C260" s="499" t="s">
        <v>737</v>
      </c>
      <c r="D260" s="500" t="s">
        <v>733</v>
      </c>
      <c r="E260" s="70">
        <v>0</v>
      </c>
      <c r="F260" s="59">
        <v>0</v>
      </c>
      <c r="G260" s="59">
        <v>0</v>
      </c>
      <c r="H260" s="59">
        <v>0</v>
      </c>
      <c r="I260" s="59">
        <v>0</v>
      </c>
      <c r="J260" s="59">
        <v>0</v>
      </c>
      <c r="K260" s="59">
        <v>0</v>
      </c>
      <c r="L260" s="59">
        <v>0</v>
      </c>
      <c r="M260" s="59">
        <v>0</v>
      </c>
      <c r="N260" s="59">
        <v>0</v>
      </c>
      <c r="O260" s="59">
        <v>0</v>
      </c>
      <c r="P260" s="59">
        <v>0</v>
      </c>
      <c r="Q260" s="59">
        <v>0</v>
      </c>
      <c r="R260" s="59">
        <v>0</v>
      </c>
      <c r="S260" s="59">
        <v>0</v>
      </c>
      <c r="T260" s="59">
        <v>0</v>
      </c>
      <c r="U260" s="59">
        <v>0</v>
      </c>
      <c r="V260" s="59">
        <v>0</v>
      </c>
      <c r="W260" s="59">
        <v>0</v>
      </c>
      <c r="X260" s="59">
        <v>6.1421575358139968E-2</v>
      </c>
      <c r="Y260" s="59">
        <v>0</v>
      </c>
      <c r="Z260" s="59">
        <v>0</v>
      </c>
      <c r="AA260" s="59">
        <v>0</v>
      </c>
      <c r="AB260" s="59">
        <v>0</v>
      </c>
      <c r="AC260" s="59">
        <v>0</v>
      </c>
      <c r="AD260" s="59">
        <v>0</v>
      </c>
      <c r="AE260" s="59">
        <v>0</v>
      </c>
      <c r="AF260" s="95">
        <v>0</v>
      </c>
    </row>
    <row r="261" spans="2:32" s="59" customFormat="1">
      <c r="B261" s="66" t="str">
        <f t="shared" si="14"/>
        <v>UPSKER</v>
      </c>
      <c r="C261" s="499" t="s">
        <v>738</v>
      </c>
      <c r="D261" s="500" t="s">
        <v>733</v>
      </c>
      <c r="E261" s="70">
        <v>0</v>
      </c>
      <c r="F261" s="59">
        <v>0</v>
      </c>
      <c r="G261" s="59">
        <v>0</v>
      </c>
      <c r="H261" s="59">
        <v>0</v>
      </c>
      <c r="I261" s="59">
        <v>0</v>
      </c>
      <c r="J261" s="59">
        <v>0</v>
      </c>
      <c r="K261" s="59">
        <v>0</v>
      </c>
      <c r="L261" s="59">
        <v>0</v>
      </c>
      <c r="M261" s="59">
        <v>0</v>
      </c>
      <c r="N261" s="59">
        <v>0</v>
      </c>
      <c r="O261" s="59">
        <v>0</v>
      </c>
      <c r="P261" s="59">
        <v>0</v>
      </c>
      <c r="Q261" s="59">
        <v>0</v>
      </c>
      <c r="R261" s="59">
        <v>0</v>
      </c>
      <c r="S261" s="59">
        <v>0</v>
      </c>
      <c r="T261" s="59">
        <v>0</v>
      </c>
      <c r="U261" s="59">
        <v>0</v>
      </c>
      <c r="V261" s="59">
        <v>0</v>
      </c>
      <c r="W261" s="59">
        <v>0</v>
      </c>
      <c r="X261" s="59">
        <v>0</v>
      </c>
      <c r="Y261" s="59">
        <v>0</v>
      </c>
      <c r="Z261" s="59">
        <v>0</v>
      </c>
      <c r="AA261" s="59">
        <v>0</v>
      </c>
      <c r="AB261" s="59">
        <v>0</v>
      </c>
      <c r="AC261" s="59">
        <v>0</v>
      </c>
      <c r="AD261" s="59">
        <v>0</v>
      </c>
      <c r="AE261" s="59">
        <v>0</v>
      </c>
      <c r="AF261" s="95">
        <v>0</v>
      </c>
    </row>
    <row r="262" spans="2:32" s="59" customFormat="1">
      <c r="B262" s="66" t="str">
        <f t="shared" si="14"/>
        <v>UPSKER</v>
      </c>
      <c r="C262" s="499" t="s">
        <v>739</v>
      </c>
      <c r="D262" s="500" t="s">
        <v>733</v>
      </c>
      <c r="E262" s="70">
        <v>0</v>
      </c>
      <c r="F262" s="59">
        <v>0</v>
      </c>
      <c r="G262" s="59">
        <v>0</v>
      </c>
      <c r="H262" s="59">
        <v>0</v>
      </c>
      <c r="I262" s="59">
        <v>0</v>
      </c>
      <c r="J262" s="59">
        <v>0</v>
      </c>
      <c r="K262" s="59">
        <v>0</v>
      </c>
      <c r="L262" s="59">
        <v>0</v>
      </c>
      <c r="M262" s="59">
        <v>0</v>
      </c>
      <c r="N262" s="59">
        <v>0</v>
      </c>
      <c r="O262" s="59">
        <v>0</v>
      </c>
      <c r="P262" s="59">
        <v>0</v>
      </c>
      <c r="Q262" s="59">
        <v>0</v>
      </c>
      <c r="R262" s="59">
        <v>0</v>
      </c>
      <c r="S262" s="59">
        <v>0</v>
      </c>
      <c r="T262" s="59">
        <v>0</v>
      </c>
      <c r="U262" s="59">
        <v>0</v>
      </c>
      <c r="V262" s="59">
        <v>0</v>
      </c>
      <c r="W262" s="59">
        <v>0</v>
      </c>
      <c r="X262" s="59">
        <v>0</v>
      </c>
      <c r="Y262" s="59">
        <v>0</v>
      </c>
      <c r="Z262" s="59">
        <v>0</v>
      </c>
      <c r="AA262" s="59">
        <v>0</v>
      </c>
      <c r="AB262" s="59">
        <v>0</v>
      </c>
      <c r="AC262" s="59">
        <v>0</v>
      </c>
      <c r="AD262" s="59">
        <v>0</v>
      </c>
      <c r="AE262" s="59">
        <v>0</v>
      </c>
      <c r="AF262" s="95">
        <v>0</v>
      </c>
    </row>
    <row r="263" spans="2:32" s="59" customFormat="1">
      <c r="B263" s="66" t="str">
        <f t="shared" si="14"/>
        <v>UPSKER</v>
      </c>
      <c r="C263" s="499" t="s">
        <v>740</v>
      </c>
      <c r="D263" s="500" t="s">
        <v>733</v>
      </c>
      <c r="E263" s="70">
        <v>0</v>
      </c>
      <c r="F263" s="59">
        <v>0</v>
      </c>
      <c r="G263" s="59">
        <v>0</v>
      </c>
      <c r="H263" s="59">
        <v>0</v>
      </c>
      <c r="I263" s="59">
        <v>0</v>
      </c>
      <c r="J263" s="59">
        <v>0</v>
      </c>
      <c r="K263" s="59">
        <v>0</v>
      </c>
      <c r="L263" s="59">
        <v>0</v>
      </c>
      <c r="M263" s="59">
        <v>0</v>
      </c>
      <c r="N263" s="59">
        <v>0</v>
      </c>
      <c r="O263" s="59">
        <v>0</v>
      </c>
      <c r="P263" s="59">
        <v>0</v>
      </c>
      <c r="Q263" s="59">
        <v>0</v>
      </c>
      <c r="R263" s="59">
        <v>0</v>
      </c>
      <c r="S263" s="59">
        <v>0</v>
      </c>
      <c r="T263" s="59">
        <v>0</v>
      </c>
      <c r="U263" s="59">
        <v>0</v>
      </c>
      <c r="V263" s="59">
        <v>0</v>
      </c>
      <c r="W263" s="59">
        <v>0</v>
      </c>
      <c r="X263" s="59">
        <v>0</v>
      </c>
      <c r="Y263" s="59">
        <v>0</v>
      </c>
      <c r="Z263" s="59">
        <v>0</v>
      </c>
      <c r="AA263" s="59">
        <v>0</v>
      </c>
      <c r="AB263" s="59">
        <v>0</v>
      </c>
      <c r="AC263" s="59">
        <v>0</v>
      </c>
      <c r="AD263" s="59">
        <v>0</v>
      </c>
      <c r="AE263" s="59">
        <v>0</v>
      </c>
      <c r="AF263" s="95">
        <v>0</v>
      </c>
    </row>
    <row r="264" spans="2:32" s="59" customFormat="1">
      <c r="B264" s="66" t="str">
        <f t="shared" si="14"/>
        <v>UPSKER</v>
      </c>
      <c r="C264" s="499" t="s">
        <v>741</v>
      </c>
      <c r="D264" s="500" t="s">
        <v>733</v>
      </c>
      <c r="E264" s="70">
        <v>0</v>
      </c>
      <c r="F264" s="59">
        <v>0</v>
      </c>
      <c r="G264" s="59">
        <v>0</v>
      </c>
      <c r="H264" s="59">
        <v>0</v>
      </c>
      <c r="I264" s="59">
        <v>0</v>
      </c>
      <c r="J264" s="59">
        <v>0</v>
      </c>
      <c r="K264" s="59">
        <v>0</v>
      </c>
      <c r="L264" s="59">
        <v>0</v>
      </c>
      <c r="M264" s="59">
        <v>0</v>
      </c>
      <c r="N264" s="59">
        <v>0</v>
      </c>
      <c r="O264" s="59">
        <v>0</v>
      </c>
      <c r="P264" s="59">
        <v>0.80645161290322576</v>
      </c>
      <c r="Q264" s="59">
        <v>0</v>
      </c>
      <c r="R264" s="59">
        <v>0</v>
      </c>
      <c r="S264" s="59">
        <v>1.3333333333333334E-2</v>
      </c>
      <c r="T264" s="59">
        <v>0</v>
      </c>
      <c r="U264" s="59">
        <v>0</v>
      </c>
      <c r="V264" s="59">
        <v>0</v>
      </c>
      <c r="W264" s="59">
        <v>0</v>
      </c>
      <c r="X264" s="59">
        <v>0</v>
      </c>
      <c r="Y264" s="59">
        <v>0</v>
      </c>
      <c r="Z264" s="59">
        <v>0</v>
      </c>
      <c r="AA264" s="59">
        <v>0</v>
      </c>
      <c r="AB264" s="59">
        <v>0</v>
      </c>
      <c r="AC264" s="59">
        <v>0</v>
      </c>
      <c r="AD264" s="59">
        <v>0</v>
      </c>
      <c r="AE264" s="59">
        <v>0</v>
      </c>
      <c r="AF264" s="95">
        <v>0</v>
      </c>
    </row>
    <row r="265" spans="2:32" s="59" customFormat="1">
      <c r="B265" s="66" t="str">
        <f t="shared" si="14"/>
        <v>UPSKER</v>
      </c>
      <c r="C265" s="499" t="s">
        <v>742</v>
      </c>
      <c r="D265" s="500" t="s">
        <v>733</v>
      </c>
      <c r="E265" s="70">
        <v>0</v>
      </c>
      <c r="F265" s="59">
        <v>0</v>
      </c>
      <c r="G265" s="59">
        <v>0</v>
      </c>
      <c r="H265" s="59">
        <v>0</v>
      </c>
      <c r="I265" s="59">
        <v>0</v>
      </c>
      <c r="J265" s="59">
        <v>0</v>
      </c>
      <c r="K265" s="59">
        <v>0</v>
      </c>
      <c r="L265" s="59">
        <v>0</v>
      </c>
      <c r="M265" s="59">
        <v>0</v>
      </c>
      <c r="N265" s="59">
        <v>0</v>
      </c>
      <c r="O265" s="59">
        <v>0</v>
      </c>
      <c r="P265" s="59">
        <v>0</v>
      </c>
      <c r="Q265" s="59">
        <v>0</v>
      </c>
      <c r="R265" s="59">
        <v>0</v>
      </c>
      <c r="S265" s="59">
        <v>0</v>
      </c>
      <c r="T265" s="59">
        <v>0</v>
      </c>
      <c r="U265" s="59">
        <v>0</v>
      </c>
      <c r="V265" s="59">
        <v>0</v>
      </c>
      <c r="W265" s="59">
        <v>0</v>
      </c>
      <c r="X265" s="59">
        <v>0</v>
      </c>
      <c r="Y265" s="59">
        <v>0</v>
      </c>
      <c r="Z265" s="59">
        <v>0</v>
      </c>
      <c r="AA265" s="59">
        <v>0</v>
      </c>
      <c r="AB265" s="59">
        <v>0</v>
      </c>
      <c r="AC265" s="59">
        <v>0</v>
      </c>
      <c r="AD265" s="59">
        <v>0</v>
      </c>
      <c r="AE265" s="59">
        <v>0</v>
      </c>
      <c r="AF265" s="95">
        <v>0</v>
      </c>
    </row>
    <row r="266" spans="2:32" s="59" customFormat="1">
      <c r="B266" s="66" t="str">
        <f t="shared" si="14"/>
        <v>UPSKER</v>
      </c>
      <c r="C266" s="499" t="s">
        <v>743</v>
      </c>
      <c r="D266" s="500" t="s">
        <v>733</v>
      </c>
      <c r="E266" s="70">
        <v>0</v>
      </c>
      <c r="F266" s="59">
        <v>0</v>
      </c>
      <c r="G266" s="59">
        <v>0</v>
      </c>
      <c r="H266" s="59">
        <v>0</v>
      </c>
      <c r="I266" s="59">
        <v>0</v>
      </c>
      <c r="J266" s="59">
        <v>0</v>
      </c>
      <c r="K266" s="59">
        <v>0</v>
      </c>
      <c r="L266" s="59">
        <v>0</v>
      </c>
      <c r="M266" s="59">
        <v>0</v>
      </c>
      <c r="N266" s="59">
        <v>0</v>
      </c>
      <c r="O266" s="59">
        <v>0</v>
      </c>
      <c r="P266" s="59">
        <v>0</v>
      </c>
      <c r="Q266" s="59">
        <v>0</v>
      </c>
      <c r="R266" s="59">
        <v>0</v>
      </c>
      <c r="S266" s="59">
        <v>0</v>
      </c>
      <c r="T266" s="59">
        <v>0</v>
      </c>
      <c r="U266" s="59">
        <v>0</v>
      </c>
      <c r="V266" s="59">
        <v>0</v>
      </c>
      <c r="W266" s="59">
        <v>0</v>
      </c>
      <c r="X266" s="59">
        <v>0</v>
      </c>
      <c r="Y266" s="59">
        <v>0</v>
      </c>
      <c r="Z266" s="59">
        <v>0</v>
      </c>
      <c r="AA266" s="59">
        <v>0</v>
      </c>
      <c r="AB266" s="59">
        <v>0</v>
      </c>
      <c r="AC266" s="59">
        <v>0</v>
      </c>
      <c r="AD266" s="59">
        <v>0</v>
      </c>
      <c r="AE266" s="59">
        <v>0</v>
      </c>
      <c r="AF266" s="95">
        <v>0</v>
      </c>
    </row>
    <row r="267" spans="2:32" s="59" customFormat="1">
      <c r="B267" s="66" t="str">
        <f t="shared" si="14"/>
        <v>UPSKER</v>
      </c>
      <c r="C267" s="499" t="s">
        <v>744</v>
      </c>
      <c r="D267" s="500" t="s">
        <v>733</v>
      </c>
      <c r="E267" s="70">
        <v>0</v>
      </c>
      <c r="F267" s="59">
        <v>0</v>
      </c>
      <c r="G267" s="59">
        <v>0</v>
      </c>
      <c r="H267" s="59">
        <v>0</v>
      </c>
      <c r="I267" s="59">
        <v>0</v>
      </c>
      <c r="J267" s="59">
        <v>0</v>
      </c>
      <c r="K267" s="59">
        <v>0</v>
      </c>
      <c r="L267" s="59">
        <v>0</v>
      </c>
      <c r="M267" s="59">
        <v>0</v>
      </c>
      <c r="N267" s="59">
        <v>0</v>
      </c>
      <c r="O267" s="59">
        <v>0</v>
      </c>
      <c r="P267" s="59">
        <v>0</v>
      </c>
      <c r="Q267" s="59">
        <v>0</v>
      </c>
      <c r="R267" s="59">
        <v>0</v>
      </c>
      <c r="S267" s="59">
        <v>0</v>
      </c>
      <c r="T267" s="59">
        <v>0</v>
      </c>
      <c r="U267" s="59">
        <v>0</v>
      </c>
      <c r="V267" s="59">
        <v>0</v>
      </c>
      <c r="W267" s="59">
        <v>0</v>
      </c>
      <c r="X267" s="59">
        <v>0</v>
      </c>
      <c r="Y267" s="59">
        <v>0</v>
      </c>
      <c r="Z267" s="59">
        <v>0</v>
      </c>
      <c r="AA267" s="59">
        <v>0</v>
      </c>
      <c r="AB267" s="59">
        <v>0</v>
      </c>
      <c r="AC267" s="59">
        <v>0</v>
      </c>
      <c r="AD267" s="59">
        <v>0</v>
      </c>
      <c r="AE267" s="59">
        <v>0</v>
      </c>
      <c r="AF267" s="95">
        <v>0</v>
      </c>
    </row>
    <row r="268" spans="2:32" s="59" customFormat="1">
      <c r="B268" s="66" t="str">
        <f t="shared" si="14"/>
        <v>UPSKER</v>
      </c>
      <c r="C268" s="499" t="s">
        <v>745</v>
      </c>
      <c r="D268" s="500" t="s">
        <v>733</v>
      </c>
      <c r="E268" s="70">
        <v>0</v>
      </c>
      <c r="F268" s="59">
        <v>0</v>
      </c>
      <c r="G268" s="59">
        <v>0</v>
      </c>
      <c r="H268" s="59">
        <v>0</v>
      </c>
      <c r="I268" s="59">
        <v>0</v>
      </c>
      <c r="J268" s="59">
        <v>0</v>
      </c>
      <c r="K268" s="59">
        <v>0</v>
      </c>
      <c r="L268" s="59">
        <v>0</v>
      </c>
      <c r="M268" s="59">
        <v>0</v>
      </c>
      <c r="N268" s="59">
        <v>0</v>
      </c>
      <c r="O268" s="59">
        <v>0</v>
      </c>
      <c r="P268" s="59">
        <v>0</v>
      </c>
      <c r="Q268" s="59">
        <v>0</v>
      </c>
      <c r="R268" s="59">
        <v>0</v>
      </c>
      <c r="S268" s="59">
        <v>0</v>
      </c>
      <c r="T268" s="59">
        <v>0</v>
      </c>
      <c r="U268" s="59">
        <v>0</v>
      </c>
      <c r="V268" s="59">
        <v>0</v>
      </c>
      <c r="W268" s="59">
        <v>0</v>
      </c>
      <c r="X268" s="59">
        <v>0</v>
      </c>
      <c r="Y268" s="59">
        <v>0</v>
      </c>
      <c r="Z268" s="59">
        <v>0</v>
      </c>
      <c r="AA268" s="59">
        <v>0</v>
      </c>
      <c r="AB268" s="59">
        <v>0</v>
      </c>
      <c r="AC268" s="59">
        <v>0</v>
      </c>
      <c r="AD268" s="59">
        <v>0</v>
      </c>
      <c r="AE268" s="59">
        <v>0</v>
      </c>
      <c r="AF268" s="95">
        <v>0</v>
      </c>
    </row>
    <row r="269" spans="2:32" s="59" customFormat="1">
      <c r="B269" s="66" t="str">
        <f t="shared" si="14"/>
        <v>UPSKER</v>
      </c>
      <c r="C269" s="499" t="s">
        <v>746</v>
      </c>
      <c r="D269" s="500" t="s">
        <v>733</v>
      </c>
      <c r="E269" s="70">
        <v>0</v>
      </c>
      <c r="F269" s="59">
        <v>0</v>
      </c>
      <c r="G269" s="59">
        <v>0</v>
      </c>
      <c r="H269" s="59">
        <v>0</v>
      </c>
      <c r="I269" s="59">
        <v>0</v>
      </c>
      <c r="J269" s="59">
        <v>0</v>
      </c>
      <c r="K269" s="59">
        <v>0</v>
      </c>
      <c r="L269" s="59">
        <v>0</v>
      </c>
      <c r="M269" s="59">
        <v>0</v>
      </c>
      <c r="N269" s="59">
        <v>0</v>
      </c>
      <c r="O269" s="59">
        <v>0</v>
      </c>
      <c r="P269" s="59">
        <v>0</v>
      </c>
      <c r="Q269" s="59">
        <v>0</v>
      </c>
      <c r="R269" s="59">
        <v>0</v>
      </c>
      <c r="S269" s="59">
        <v>0</v>
      </c>
      <c r="T269" s="59">
        <v>0</v>
      </c>
      <c r="U269" s="59">
        <v>0</v>
      </c>
      <c r="V269" s="59">
        <v>0</v>
      </c>
      <c r="W269" s="59">
        <v>0</v>
      </c>
      <c r="X269" s="59">
        <v>0</v>
      </c>
      <c r="Y269" s="59">
        <v>0</v>
      </c>
      <c r="Z269" s="59">
        <v>0</v>
      </c>
      <c r="AA269" s="59">
        <v>0</v>
      </c>
      <c r="AB269" s="59">
        <v>0</v>
      </c>
      <c r="AC269" s="59">
        <v>0</v>
      </c>
      <c r="AD269" s="59">
        <v>0</v>
      </c>
      <c r="AE269" s="59">
        <v>0</v>
      </c>
      <c r="AF269" s="95">
        <v>0</v>
      </c>
    </row>
    <row r="270" spans="2:32" s="59" customFormat="1">
      <c r="B270" s="269" t="str">
        <f t="shared" si="14"/>
        <v>UPSKER</v>
      </c>
      <c r="C270" s="503" t="s">
        <v>747</v>
      </c>
      <c r="D270" s="504" t="s">
        <v>733</v>
      </c>
      <c r="E270" s="271">
        <v>0</v>
      </c>
      <c r="F270" s="80">
        <v>0</v>
      </c>
      <c r="G270" s="80">
        <v>0</v>
      </c>
      <c r="H270" s="80">
        <v>0</v>
      </c>
      <c r="I270" s="80">
        <v>0</v>
      </c>
      <c r="J270" s="80">
        <v>0</v>
      </c>
      <c r="K270" s="80">
        <v>0</v>
      </c>
      <c r="L270" s="80">
        <v>0</v>
      </c>
      <c r="M270" s="80">
        <v>0</v>
      </c>
      <c r="N270" s="80">
        <v>0</v>
      </c>
      <c r="O270" s="80">
        <v>0</v>
      </c>
      <c r="P270" s="80">
        <v>0</v>
      </c>
      <c r="Q270" s="80">
        <v>0</v>
      </c>
      <c r="R270" s="80">
        <v>0</v>
      </c>
      <c r="S270" s="80">
        <v>0</v>
      </c>
      <c r="T270" s="80">
        <v>0</v>
      </c>
      <c r="U270" s="80">
        <v>0</v>
      </c>
      <c r="V270" s="80">
        <v>0</v>
      </c>
      <c r="W270" s="80">
        <v>0</v>
      </c>
      <c r="X270" s="80">
        <v>0</v>
      </c>
      <c r="Y270" s="80">
        <v>0</v>
      </c>
      <c r="Z270" s="80">
        <v>0</v>
      </c>
      <c r="AA270" s="80">
        <v>0</v>
      </c>
      <c r="AB270" s="80">
        <v>0</v>
      </c>
      <c r="AC270" s="80">
        <v>0</v>
      </c>
      <c r="AD270" s="80">
        <v>0</v>
      </c>
      <c r="AE270" s="80">
        <v>0</v>
      </c>
      <c r="AF270" s="97">
        <v>0</v>
      </c>
    </row>
    <row r="271" spans="2:32" s="59" customFormat="1">
      <c r="B271" s="66" t="s">
        <v>552</v>
      </c>
      <c r="C271" s="499"/>
      <c r="D271" s="500"/>
      <c r="E271" s="70"/>
      <c r="AF271" s="95"/>
    </row>
    <row r="272" spans="2:32" s="59" customFormat="1">
      <c r="B272" s="66" t="str">
        <f>B271</f>
        <v>UPSLPG</v>
      </c>
      <c r="C272" s="499" t="s">
        <v>732</v>
      </c>
      <c r="D272" s="500" t="s">
        <v>733</v>
      </c>
      <c r="E272" s="70">
        <v>0</v>
      </c>
      <c r="F272" s="59">
        <v>0</v>
      </c>
      <c r="G272" s="59">
        <v>0</v>
      </c>
      <c r="H272" s="59">
        <v>0</v>
      </c>
      <c r="I272" s="59">
        <v>0.46146703806870948</v>
      </c>
      <c r="J272" s="59">
        <v>0.21036463202885</v>
      </c>
      <c r="K272" s="59">
        <v>1</v>
      </c>
      <c r="L272" s="59">
        <v>0</v>
      </c>
      <c r="M272" s="59">
        <v>0</v>
      </c>
      <c r="N272" s="59">
        <v>0.72733565665727784</v>
      </c>
      <c r="O272" s="59">
        <v>0.19570725890594723</v>
      </c>
      <c r="P272" s="59">
        <v>1.6311576200155587E-4</v>
      </c>
      <c r="Q272" s="59">
        <v>1</v>
      </c>
      <c r="R272" s="59">
        <v>1</v>
      </c>
      <c r="S272" s="59">
        <v>0</v>
      </c>
      <c r="T272" s="59">
        <v>0</v>
      </c>
      <c r="U272" s="59">
        <v>0</v>
      </c>
      <c r="V272" s="59">
        <v>0.27272727272727276</v>
      </c>
      <c r="W272" s="59">
        <v>0</v>
      </c>
      <c r="X272" s="59">
        <v>0</v>
      </c>
      <c r="Y272" s="59">
        <v>0</v>
      </c>
      <c r="Z272" s="59">
        <v>0</v>
      </c>
      <c r="AA272" s="59">
        <v>0.43042302702571628</v>
      </c>
      <c r="AB272" s="59">
        <v>0</v>
      </c>
      <c r="AC272" s="59">
        <v>0</v>
      </c>
      <c r="AD272" s="59">
        <v>8.881382873037949E-2</v>
      </c>
      <c r="AE272" s="59">
        <v>0.45508899769743538</v>
      </c>
      <c r="AF272" s="95">
        <v>0</v>
      </c>
    </row>
    <row r="273" spans="2:32" s="59" customFormat="1">
      <c r="B273" s="66" t="str">
        <f t="shared" ref="B273:B286" si="15">B272</f>
        <v>UPSLPG</v>
      </c>
      <c r="C273" s="499" t="s">
        <v>734</v>
      </c>
      <c r="D273" s="500" t="s">
        <v>733</v>
      </c>
      <c r="E273" s="70">
        <v>0</v>
      </c>
      <c r="F273" s="59">
        <v>0</v>
      </c>
      <c r="G273" s="59">
        <v>1</v>
      </c>
      <c r="H273" s="59">
        <v>0</v>
      </c>
      <c r="I273" s="59">
        <v>0</v>
      </c>
      <c r="J273" s="59">
        <v>5.6097235207693335E-3</v>
      </c>
      <c r="K273" s="59">
        <v>0</v>
      </c>
      <c r="L273" s="59">
        <v>0</v>
      </c>
      <c r="M273" s="59">
        <v>0</v>
      </c>
      <c r="N273" s="59">
        <v>0.2726643433427221</v>
      </c>
      <c r="O273" s="59">
        <v>0.80429274109405269</v>
      </c>
      <c r="P273" s="59">
        <v>0.94740144043765218</v>
      </c>
      <c r="Q273" s="59">
        <v>0</v>
      </c>
      <c r="R273" s="59">
        <v>0</v>
      </c>
      <c r="S273" s="59">
        <v>9.67903166221179E-2</v>
      </c>
      <c r="T273" s="59">
        <v>0.99983444456150383</v>
      </c>
      <c r="U273" s="59">
        <v>0.78900567677842814</v>
      </c>
      <c r="V273" s="59">
        <v>0</v>
      </c>
      <c r="W273" s="59">
        <v>0</v>
      </c>
      <c r="X273" s="59">
        <v>0.99910687405920717</v>
      </c>
      <c r="Y273" s="59">
        <v>0.96358406017035325</v>
      </c>
      <c r="Z273" s="59">
        <v>0</v>
      </c>
      <c r="AA273" s="59">
        <v>0.56957697297428378</v>
      </c>
      <c r="AB273" s="59">
        <v>0</v>
      </c>
      <c r="AC273" s="59">
        <v>1</v>
      </c>
      <c r="AD273" s="59">
        <v>0</v>
      </c>
      <c r="AE273" s="59">
        <v>0.54491100230256473</v>
      </c>
      <c r="AF273" s="95">
        <v>1</v>
      </c>
    </row>
    <row r="274" spans="2:32" s="59" customFormat="1">
      <c r="B274" s="66" t="str">
        <f t="shared" si="15"/>
        <v>UPSLPG</v>
      </c>
      <c r="C274" s="499" t="s">
        <v>735</v>
      </c>
      <c r="D274" s="500" t="s">
        <v>733</v>
      </c>
      <c r="E274" s="70">
        <v>0</v>
      </c>
      <c r="F274" s="59">
        <v>1</v>
      </c>
      <c r="G274" s="59">
        <v>0</v>
      </c>
      <c r="H274" s="59">
        <v>0</v>
      </c>
      <c r="I274" s="59">
        <v>0.50019896538002395</v>
      </c>
      <c r="J274" s="59">
        <v>0.78402564445038059</v>
      </c>
      <c r="K274" s="59">
        <v>0</v>
      </c>
      <c r="L274" s="59">
        <v>0</v>
      </c>
      <c r="M274" s="59">
        <v>0</v>
      </c>
      <c r="N274" s="59">
        <v>0</v>
      </c>
      <c r="O274" s="59">
        <v>0</v>
      </c>
      <c r="P274" s="59">
        <v>0</v>
      </c>
      <c r="Q274" s="59">
        <v>0</v>
      </c>
      <c r="R274" s="59">
        <v>0</v>
      </c>
      <c r="S274" s="59">
        <v>0.90253601929721627</v>
      </c>
      <c r="T274" s="59">
        <v>7.5252472043706626E-6</v>
      </c>
      <c r="U274" s="59">
        <v>0.2109943232215718</v>
      </c>
      <c r="V274" s="59">
        <v>0</v>
      </c>
      <c r="W274" s="59">
        <v>0</v>
      </c>
      <c r="X274" s="59">
        <v>0</v>
      </c>
      <c r="Y274" s="59">
        <v>3.6415939829646783E-2</v>
      </c>
      <c r="Z274" s="59">
        <v>0</v>
      </c>
      <c r="AA274" s="59">
        <v>0</v>
      </c>
      <c r="AB274" s="59">
        <v>0</v>
      </c>
      <c r="AC274" s="59">
        <v>0</v>
      </c>
      <c r="AD274" s="59">
        <v>0.91118617126962054</v>
      </c>
      <c r="AE274" s="59">
        <v>0</v>
      </c>
      <c r="AF274" s="95">
        <v>0</v>
      </c>
    </row>
    <row r="275" spans="2:32" s="59" customFormat="1">
      <c r="B275" s="66" t="str">
        <f t="shared" si="15"/>
        <v>UPSLPG</v>
      </c>
      <c r="C275" s="499" t="s">
        <v>736</v>
      </c>
      <c r="D275" s="500" t="s">
        <v>733</v>
      </c>
      <c r="E275" s="70">
        <v>0</v>
      </c>
      <c r="F275" s="59">
        <v>0</v>
      </c>
      <c r="G275" s="59">
        <v>0</v>
      </c>
      <c r="H275" s="59">
        <v>0</v>
      </c>
      <c r="I275" s="59">
        <v>0</v>
      </c>
      <c r="J275" s="59">
        <v>0</v>
      </c>
      <c r="K275" s="59">
        <v>0</v>
      </c>
      <c r="L275" s="59">
        <v>0</v>
      </c>
      <c r="M275" s="59">
        <v>0</v>
      </c>
      <c r="N275" s="59">
        <v>0</v>
      </c>
      <c r="O275" s="59">
        <v>0</v>
      </c>
      <c r="P275" s="59">
        <v>0</v>
      </c>
      <c r="Q275" s="59">
        <v>0</v>
      </c>
      <c r="R275" s="59">
        <v>0</v>
      </c>
      <c r="S275" s="59">
        <v>0</v>
      </c>
      <c r="T275" s="59">
        <v>0</v>
      </c>
      <c r="U275" s="59">
        <v>0</v>
      </c>
      <c r="V275" s="59">
        <v>0</v>
      </c>
      <c r="W275" s="59">
        <v>0</v>
      </c>
      <c r="X275" s="59">
        <v>0</v>
      </c>
      <c r="Y275" s="59">
        <v>0</v>
      </c>
      <c r="Z275" s="59">
        <v>0</v>
      </c>
      <c r="AA275" s="59">
        <v>0</v>
      </c>
      <c r="AB275" s="59">
        <v>0</v>
      </c>
      <c r="AC275" s="59">
        <v>0</v>
      </c>
      <c r="AD275" s="59">
        <v>0</v>
      </c>
      <c r="AE275" s="59">
        <v>0</v>
      </c>
      <c r="AF275" s="95">
        <v>0</v>
      </c>
    </row>
    <row r="276" spans="2:32" s="59" customFormat="1">
      <c r="B276" s="66" t="str">
        <f t="shared" si="15"/>
        <v>UPSLPG</v>
      </c>
      <c r="C276" s="499" t="s">
        <v>737</v>
      </c>
      <c r="D276" s="500" t="s">
        <v>733</v>
      </c>
      <c r="E276" s="70">
        <v>0</v>
      </c>
      <c r="F276" s="59">
        <v>0</v>
      </c>
      <c r="G276" s="59">
        <v>0</v>
      </c>
      <c r="H276" s="59">
        <v>0</v>
      </c>
      <c r="I276" s="59">
        <v>0</v>
      </c>
      <c r="J276" s="59">
        <v>0</v>
      </c>
      <c r="K276" s="59">
        <v>0</v>
      </c>
      <c r="L276" s="59">
        <v>0</v>
      </c>
      <c r="M276" s="59">
        <v>0</v>
      </c>
      <c r="N276" s="59">
        <v>0</v>
      </c>
      <c r="O276" s="59">
        <v>0</v>
      </c>
      <c r="P276" s="59">
        <v>0</v>
      </c>
      <c r="Q276" s="59">
        <v>0</v>
      </c>
      <c r="R276" s="59">
        <v>0</v>
      </c>
      <c r="S276" s="59">
        <v>0</v>
      </c>
      <c r="T276" s="59">
        <v>0</v>
      </c>
      <c r="U276" s="59">
        <v>0</v>
      </c>
      <c r="V276" s="59">
        <v>0</v>
      </c>
      <c r="W276" s="59">
        <v>0</v>
      </c>
      <c r="X276" s="59">
        <v>8.9312594079277456E-4</v>
      </c>
      <c r="Y276" s="59">
        <v>0</v>
      </c>
      <c r="Z276" s="59">
        <v>0</v>
      </c>
      <c r="AA276" s="59">
        <v>0</v>
      </c>
      <c r="AB276" s="59">
        <v>0</v>
      </c>
      <c r="AC276" s="59">
        <v>0</v>
      </c>
      <c r="AD276" s="59">
        <v>0</v>
      </c>
      <c r="AE276" s="59">
        <v>0</v>
      </c>
      <c r="AF276" s="95">
        <v>0</v>
      </c>
    </row>
    <row r="277" spans="2:32" s="59" customFormat="1">
      <c r="B277" s="66" t="str">
        <f t="shared" si="15"/>
        <v>UPSLPG</v>
      </c>
      <c r="C277" s="499" t="s">
        <v>738</v>
      </c>
      <c r="D277" s="500" t="s">
        <v>733</v>
      </c>
      <c r="E277" s="70">
        <v>0</v>
      </c>
      <c r="F277" s="59">
        <v>0</v>
      </c>
      <c r="G277" s="59">
        <v>0</v>
      </c>
      <c r="H277" s="59">
        <v>0</v>
      </c>
      <c r="I277" s="59">
        <v>0</v>
      </c>
      <c r="J277" s="59">
        <v>0</v>
      </c>
      <c r="K277" s="59">
        <v>0</v>
      </c>
      <c r="L277" s="59">
        <v>0</v>
      </c>
      <c r="M277" s="59">
        <v>0</v>
      </c>
      <c r="N277" s="59">
        <v>0</v>
      </c>
      <c r="O277" s="59">
        <v>0</v>
      </c>
      <c r="P277" s="59">
        <v>0</v>
      </c>
      <c r="Q277" s="59">
        <v>0</v>
      </c>
      <c r="R277" s="59">
        <v>0</v>
      </c>
      <c r="S277" s="59">
        <v>0</v>
      </c>
      <c r="T277" s="59">
        <v>0</v>
      </c>
      <c r="U277" s="59">
        <v>0</v>
      </c>
      <c r="V277" s="59">
        <v>0</v>
      </c>
      <c r="W277" s="59">
        <v>0</v>
      </c>
      <c r="X277" s="59">
        <v>0</v>
      </c>
      <c r="Y277" s="59">
        <v>0</v>
      </c>
      <c r="Z277" s="59">
        <v>0</v>
      </c>
      <c r="AA277" s="59">
        <v>0</v>
      </c>
      <c r="AB277" s="59">
        <v>0</v>
      </c>
      <c r="AC277" s="59">
        <v>0</v>
      </c>
      <c r="AD277" s="59">
        <v>0</v>
      </c>
      <c r="AE277" s="59">
        <v>0</v>
      </c>
      <c r="AF277" s="95">
        <v>0</v>
      </c>
    </row>
    <row r="278" spans="2:32" s="59" customFormat="1">
      <c r="B278" s="66" t="str">
        <f t="shared" si="15"/>
        <v>UPSLPG</v>
      </c>
      <c r="C278" s="499" t="s">
        <v>739</v>
      </c>
      <c r="D278" s="500" t="s">
        <v>733</v>
      </c>
      <c r="E278" s="70">
        <v>0</v>
      </c>
      <c r="F278" s="59">
        <v>0</v>
      </c>
      <c r="G278" s="59">
        <v>0</v>
      </c>
      <c r="H278" s="59">
        <v>0</v>
      </c>
      <c r="I278" s="59">
        <v>0</v>
      </c>
      <c r="J278" s="59">
        <v>0</v>
      </c>
      <c r="K278" s="59">
        <v>0</v>
      </c>
      <c r="L278" s="59">
        <v>0</v>
      </c>
      <c r="M278" s="59">
        <v>0</v>
      </c>
      <c r="N278" s="59">
        <v>0</v>
      </c>
      <c r="O278" s="59">
        <v>0</v>
      </c>
      <c r="P278" s="59">
        <v>0</v>
      </c>
      <c r="Q278" s="59">
        <v>0</v>
      </c>
      <c r="R278" s="59">
        <v>0</v>
      </c>
      <c r="S278" s="59">
        <v>0</v>
      </c>
      <c r="T278" s="59">
        <v>0</v>
      </c>
      <c r="U278" s="59">
        <v>0</v>
      </c>
      <c r="V278" s="59">
        <v>0</v>
      </c>
      <c r="W278" s="59">
        <v>0</v>
      </c>
      <c r="X278" s="59">
        <v>0</v>
      </c>
      <c r="Y278" s="59">
        <v>0</v>
      </c>
      <c r="Z278" s="59">
        <v>0</v>
      </c>
      <c r="AA278" s="59">
        <v>0</v>
      </c>
      <c r="AB278" s="59">
        <v>0</v>
      </c>
      <c r="AC278" s="59">
        <v>0</v>
      </c>
      <c r="AD278" s="59">
        <v>0</v>
      </c>
      <c r="AE278" s="59">
        <v>0</v>
      </c>
      <c r="AF278" s="95">
        <v>0</v>
      </c>
    </row>
    <row r="279" spans="2:32" s="59" customFormat="1">
      <c r="B279" s="66" t="str">
        <f t="shared" si="15"/>
        <v>UPSLPG</v>
      </c>
      <c r="C279" s="499" t="s">
        <v>740</v>
      </c>
      <c r="D279" s="500" t="s">
        <v>733</v>
      </c>
      <c r="E279" s="70">
        <v>0</v>
      </c>
      <c r="F279" s="59">
        <v>0</v>
      </c>
      <c r="G279" s="59">
        <v>0</v>
      </c>
      <c r="H279" s="59">
        <v>0</v>
      </c>
      <c r="I279" s="59">
        <v>0</v>
      </c>
      <c r="J279" s="59">
        <v>0</v>
      </c>
      <c r="K279" s="59">
        <v>0</v>
      </c>
      <c r="L279" s="59">
        <v>0</v>
      </c>
      <c r="M279" s="59">
        <v>0</v>
      </c>
      <c r="N279" s="59">
        <v>0</v>
      </c>
      <c r="O279" s="59">
        <v>0</v>
      </c>
      <c r="P279" s="59">
        <v>0</v>
      </c>
      <c r="Q279" s="59">
        <v>0</v>
      </c>
      <c r="R279" s="59">
        <v>0</v>
      </c>
      <c r="S279" s="59">
        <v>0</v>
      </c>
      <c r="T279" s="59">
        <v>0</v>
      </c>
      <c r="U279" s="59">
        <v>0</v>
      </c>
      <c r="V279" s="59">
        <v>0</v>
      </c>
      <c r="W279" s="59">
        <v>0</v>
      </c>
      <c r="X279" s="59">
        <v>0</v>
      </c>
      <c r="Y279" s="59">
        <v>0</v>
      </c>
      <c r="Z279" s="59">
        <v>0</v>
      </c>
      <c r="AA279" s="59">
        <v>0</v>
      </c>
      <c r="AB279" s="59">
        <v>0</v>
      </c>
      <c r="AC279" s="59">
        <v>0</v>
      </c>
      <c r="AD279" s="59">
        <v>0</v>
      </c>
      <c r="AE279" s="59">
        <v>0</v>
      </c>
      <c r="AF279" s="95">
        <v>0</v>
      </c>
    </row>
    <row r="280" spans="2:32" s="59" customFormat="1">
      <c r="B280" s="66" t="str">
        <f t="shared" si="15"/>
        <v>UPSLPG</v>
      </c>
      <c r="C280" s="499" t="s">
        <v>741</v>
      </c>
      <c r="D280" s="500" t="s">
        <v>733</v>
      </c>
      <c r="E280" s="70">
        <v>0</v>
      </c>
      <c r="F280" s="59">
        <v>0</v>
      </c>
      <c r="G280" s="59">
        <v>0</v>
      </c>
      <c r="H280" s="59">
        <v>0</v>
      </c>
      <c r="I280" s="59">
        <v>3.833399655126675E-2</v>
      </c>
      <c r="J280" s="59">
        <v>0</v>
      </c>
      <c r="K280" s="59">
        <v>0</v>
      </c>
      <c r="L280" s="59">
        <v>0</v>
      </c>
      <c r="M280" s="59">
        <v>0</v>
      </c>
      <c r="N280" s="59">
        <v>0</v>
      </c>
      <c r="O280" s="59">
        <v>0</v>
      </c>
      <c r="P280" s="59">
        <v>5.238525433511506E-2</v>
      </c>
      <c r="Q280" s="59">
        <v>0</v>
      </c>
      <c r="R280" s="59">
        <v>0</v>
      </c>
      <c r="S280" s="59">
        <v>6.736640806658409E-4</v>
      </c>
      <c r="T280" s="59">
        <v>0</v>
      </c>
      <c r="U280" s="59">
        <v>0</v>
      </c>
      <c r="V280" s="59">
        <v>0.72727272727272729</v>
      </c>
      <c r="W280" s="59">
        <v>0</v>
      </c>
      <c r="X280" s="59">
        <v>0</v>
      </c>
      <c r="Y280" s="59">
        <v>0</v>
      </c>
      <c r="Z280" s="59">
        <v>0</v>
      </c>
      <c r="AA280" s="59">
        <v>0</v>
      </c>
      <c r="AB280" s="59">
        <v>0</v>
      </c>
      <c r="AC280" s="59">
        <v>0</v>
      </c>
      <c r="AD280" s="59">
        <v>0</v>
      </c>
      <c r="AE280" s="59">
        <v>0</v>
      </c>
      <c r="AF280" s="95">
        <v>0</v>
      </c>
    </row>
    <row r="281" spans="2:32" s="59" customFormat="1">
      <c r="B281" s="66" t="str">
        <f t="shared" si="15"/>
        <v>UPSLPG</v>
      </c>
      <c r="C281" s="499" t="s">
        <v>742</v>
      </c>
      <c r="D281" s="500" t="s">
        <v>733</v>
      </c>
      <c r="E281" s="70">
        <v>0</v>
      </c>
      <c r="F281" s="59">
        <v>0</v>
      </c>
      <c r="G281" s="59">
        <v>0</v>
      </c>
      <c r="H281" s="59">
        <v>0</v>
      </c>
      <c r="I281" s="59">
        <v>0</v>
      </c>
      <c r="J281" s="59">
        <v>0</v>
      </c>
      <c r="K281" s="59">
        <v>0</v>
      </c>
      <c r="L281" s="59">
        <v>0</v>
      </c>
      <c r="M281" s="59">
        <v>0</v>
      </c>
      <c r="N281" s="59">
        <v>0</v>
      </c>
      <c r="O281" s="59">
        <v>0</v>
      </c>
      <c r="P281" s="59">
        <v>5.0189465231247959E-5</v>
      </c>
      <c r="Q281" s="59">
        <v>0</v>
      </c>
      <c r="R281" s="59">
        <v>0</v>
      </c>
      <c r="S281" s="59">
        <v>0</v>
      </c>
      <c r="T281" s="59">
        <v>1.5803019129178393E-4</v>
      </c>
      <c r="U281" s="59">
        <v>0</v>
      </c>
      <c r="V281" s="59">
        <v>0</v>
      </c>
      <c r="W281" s="59">
        <v>0</v>
      </c>
      <c r="X281" s="59">
        <v>0</v>
      </c>
      <c r="Y281" s="59">
        <v>0</v>
      </c>
      <c r="Z281" s="59">
        <v>0</v>
      </c>
      <c r="AA281" s="59">
        <v>0</v>
      </c>
      <c r="AB281" s="59">
        <v>0</v>
      </c>
      <c r="AC281" s="59">
        <v>0</v>
      </c>
      <c r="AD281" s="59">
        <v>0</v>
      </c>
      <c r="AE281" s="59">
        <v>0</v>
      </c>
      <c r="AF281" s="95">
        <v>0</v>
      </c>
    </row>
    <row r="282" spans="2:32" s="59" customFormat="1">
      <c r="B282" s="66" t="str">
        <f t="shared" si="15"/>
        <v>UPSLPG</v>
      </c>
      <c r="C282" s="499" t="s">
        <v>743</v>
      </c>
      <c r="D282" s="500" t="s">
        <v>733</v>
      </c>
      <c r="E282" s="70">
        <v>0</v>
      </c>
      <c r="F282" s="59">
        <v>0</v>
      </c>
      <c r="G282" s="59">
        <v>0</v>
      </c>
      <c r="H282" s="59">
        <v>0</v>
      </c>
      <c r="I282" s="59">
        <v>0</v>
      </c>
      <c r="J282" s="59">
        <v>0</v>
      </c>
      <c r="K282" s="59">
        <v>0</v>
      </c>
      <c r="L282" s="59">
        <v>0</v>
      </c>
      <c r="M282" s="59">
        <v>0</v>
      </c>
      <c r="N282" s="59">
        <v>0</v>
      </c>
      <c r="O282" s="59">
        <v>0</v>
      </c>
      <c r="P282" s="59">
        <v>0</v>
      </c>
      <c r="Q282" s="59">
        <v>0</v>
      </c>
      <c r="R282" s="59">
        <v>0</v>
      </c>
      <c r="S282" s="59">
        <v>0</v>
      </c>
      <c r="T282" s="59">
        <v>0</v>
      </c>
      <c r="U282" s="59">
        <v>0</v>
      </c>
      <c r="V282" s="59">
        <v>0</v>
      </c>
      <c r="W282" s="59">
        <v>0</v>
      </c>
      <c r="X282" s="59">
        <v>0</v>
      </c>
      <c r="Y282" s="59">
        <v>0</v>
      </c>
      <c r="Z282" s="59">
        <v>0</v>
      </c>
      <c r="AA282" s="59">
        <v>0</v>
      </c>
      <c r="AB282" s="59">
        <v>0</v>
      </c>
      <c r="AC282" s="59">
        <v>0</v>
      </c>
      <c r="AD282" s="59">
        <v>0</v>
      </c>
      <c r="AE282" s="59">
        <v>0</v>
      </c>
      <c r="AF282" s="95">
        <v>0</v>
      </c>
    </row>
    <row r="283" spans="2:32" s="59" customFormat="1">
      <c r="B283" s="66" t="str">
        <f t="shared" si="15"/>
        <v>UPSLPG</v>
      </c>
      <c r="C283" s="499" t="s">
        <v>744</v>
      </c>
      <c r="D283" s="500" t="s">
        <v>733</v>
      </c>
      <c r="E283" s="70">
        <v>0</v>
      </c>
      <c r="F283" s="59">
        <v>0</v>
      </c>
      <c r="G283" s="59">
        <v>0</v>
      </c>
      <c r="H283" s="59">
        <v>0</v>
      </c>
      <c r="I283" s="59">
        <v>0</v>
      </c>
      <c r="J283" s="59">
        <v>0</v>
      </c>
      <c r="K283" s="59">
        <v>0</v>
      </c>
      <c r="L283" s="59">
        <v>0</v>
      </c>
      <c r="M283" s="59">
        <v>0</v>
      </c>
      <c r="N283" s="59">
        <v>0</v>
      </c>
      <c r="O283" s="59">
        <v>0</v>
      </c>
      <c r="P283" s="59">
        <v>0</v>
      </c>
      <c r="Q283" s="59">
        <v>0</v>
      </c>
      <c r="R283" s="59">
        <v>0</v>
      </c>
      <c r="S283" s="59">
        <v>0</v>
      </c>
      <c r="T283" s="59">
        <v>0</v>
      </c>
      <c r="U283" s="59">
        <v>0</v>
      </c>
      <c r="V283" s="59">
        <v>0</v>
      </c>
      <c r="W283" s="59">
        <v>0</v>
      </c>
      <c r="X283" s="59">
        <v>0</v>
      </c>
      <c r="Y283" s="59">
        <v>0</v>
      </c>
      <c r="Z283" s="59">
        <v>0</v>
      </c>
      <c r="AA283" s="59">
        <v>0</v>
      </c>
      <c r="AB283" s="59">
        <v>0</v>
      </c>
      <c r="AC283" s="59">
        <v>0</v>
      </c>
      <c r="AD283" s="59">
        <v>0</v>
      </c>
      <c r="AE283" s="59">
        <v>0</v>
      </c>
      <c r="AF283" s="95">
        <v>0</v>
      </c>
    </row>
    <row r="284" spans="2:32" s="59" customFormat="1">
      <c r="B284" s="66" t="str">
        <f t="shared" si="15"/>
        <v>UPSLPG</v>
      </c>
      <c r="C284" s="499" t="s">
        <v>745</v>
      </c>
      <c r="D284" s="500" t="s">
        <v>733</v>
      </c>
      <c r="E284" s="70">
        <v>0</v>
      </c>
      <c r="F284" s="59">
        <v>0</v>
      </c>
      <c r="G284" s="59">
        <v>0</v>
      </c>
      <c r="H284" s="59">
        <v>0</v>
      </c>
      <c r="I284" s="59">
        <v>0</v>
      </c>
      <c r="J284" s="59">
        <v>0</v>
      </c>
      <c r="K284" s="59">
        <v>0</v>
      </c>
      <c r="L284" s="59">
        <v>0</v>
      </c>
      <c r="M284" s="59">
        <v>0</v>
      </c>
      <c r="N284" s="59">
        <v>0</v>
      </c>
      <c r="O284" s="59">
        <v>0</v>
      </c>
      <c r="P284" s="59">
        <v>0</v>
      </c>
      <c r="Q284" s="59">
        <v>0</v>
      </c>
      <c r="R284" s="59">
        <v>0</v>
      </c>
      <c r="S284" s="59">
        <v>0</v>
      </c>
      <c r="T284" s="59">
        <v>0</v>
      </c>
      <c r="U284" s="59">
        <v>0</v>
      </c>
      <c r="V284" s="59">
        <v>0</v>
      </c>
      <c r="W284" s="59">
        <v>0</v>
      </c>
      <c r="X284" s="59">
        <v>0</v>
      </c>
      <c r="Y284" s="59">
        <v>0</v>
      </c>
      <c r="Z284" s="59">
        <v>0</v>
      </c>
      <c r="AA284" s="59">
        <v>0</v>
      </c>
      <c r="AB284" s="59">
        <v>0</v>
      </c>
      <c r="AC284" s="59">
        <v>0</v>
      </c>
      <c r="AD284" s="59">
        <v>0</v>
      </c>
      <c r="AE284" s="59">
        <v>0</v>
      </c>
      <c r="AF284" s="95">
        <v>0</v>
      </c>
    </row>
    <row r="285" spans="2:32" s="59" customFormat="1">
      <c r="B285" s="66" t="str">
        <f t="shared" si="15"/>
        <v>UPSLPG</v>
      </c>
      <c r="C285" s="499" t="s">
        <v>746</v>
      </c>
      <c r="D285" s="500" t="s">
        <v>733</v>
      </c>
      <c r="E285" s="70">
        <v>0</v>
      </c>
      <c r="F285" s="59">
        <v>0</v>
      </c>
      <c r="G285" s="59">
        <v>0</v>
      </c>
      <c r="H285" s="59">
        <v>0</v>
      </c>
      <c r="I285" s="59">
        <v>0</v>
      </c>
      <c r="J285" s="59">
        <v>0</v>
      </c>
      <c r="K285" s="59">
        <v>0</v>
      </c>
      <c r="L285" s="59">
        <v>0</v>
      </c>
      <c r="M285" s="59">
        <v>0</v>
      </c>
      <c r="N285" s="59">
        <v>0</v>
      </c>
      <c r="O285" s="59">
        <v>0</v>
      </c>
      <c r="P285" s="59">
        <v>0</v>
      </c>
      <c r="Q285" s="59">
        <v>0</v>
      </c>
      <c r="R285" s="59">
        <v>0</v>
      </c>
      <c r="S285" s="59">
        <v>0</v>
      </c>
      <c r="T285" s="59">
        <v>0</v>
      </c>
      <c r="U285" s="59">
        <v>0</v>
      </c>
      <c r="V285" s="59">
        <v>0</v>
      </c>
      <c r="W285" s="59">
        <v>0</v>
      </c>
      <c r="X285" s="59">
        <v>0</v>
      </c>
      <c r="Y285" s="59">
        <v>0</v>
      </c>
      <c r="Z285" s="59">
        <v>0</v>
      </c>
      <c r="AA285" s="59">
        <v>0</v>
      </c>
      <c r="AB285" s="59">
        <v>0</v>
      </c>
      <c r="AC285" s="59">
        <v>0</v>
      </c>
      <c r="AD285" s="59">
        <v>0</v>
      </c>
      <c r="AE285" s="59">
        <v>0</v>
      </c>
      <c r="AF285" s="95">
        <v>0</v>
      </c>
    </row>
    <row r="286" spans="2:32" s="59" customFormat="1">
      <c r="B286" s="269" t="str">
        <f t="shared" si="15"/>
        <v>UPSLPG</v>
      </c>
      <c r="C286" s="503" t="s">
        <v>747</v>
      </c>
      <c r="D286" s="504" t="s">
        <v>733</v>
      </c>
      <c r="E286" s="271">
        <v>0</v>
      </c>
      <c r="F286" s="80">
        <v>0</v>
      </c>
      <c r="G286" s="80">
        <v>0</v>
      </c>
      <c r="H286" s="80">
        <v>0</v>
      </c>
      <c r="I286" s="80">
        <v>0</v>
      </c>
      <c r="J286" s="80">
        <v>0</v>
      </c>
      <c r="K286" s="80">
        <v>0</v>
      </c>
      <c r="L286" s="80">
        <v>0</v>
      </c>
      <c r="M286" s="80">
        <v>0</v>
      </c>
      <c r="N286" s="80">
        <v>0</v>
      </c>
      <c r="O286" s="80">
        <v>0</v>
      </c>
      <c r="P286" s="80">
        <v>0</v>
      </c>
      <c r="Q286" s="80">
        <v>0</v>
      </c>
      <c r="R286" s="80">
        <v>0</v>
      </c>
      <c r="S286" s="80">
        <v>0</v>
      </c>
      <c r="T286" s="80">
        <v>0</v>
      </c>
      <c r="U286" s="80">
        <v>0</v>
      </c>
      <c r="V286" s="80">
        <v>0</v>
      </c>
      <c r="W286" s="80">
        <v>0</v>
      </c>
      <c r="X286" s="80">
        <v>0</v>
      </c>
      <c r="Y286" s="80">
        <v>0</v>
      </c>
      <c r="Z286" s="80">
        <v>0</v>
      </c>
      <c r="AA286" s="80">
        <v>0</v>
      </c>
      <c r="AB286" s="80">
        <v>0</v>
      </c>
      <c r="AC286" s="80">
        <v>0</v>
      </c>
      <c r="AD286" s="80">
        <v>0</v>
      </c>
      <c r="AE286" s="80">
        <v>0</v>
      </c>
      <c r="AF286" s="97">
        <v>0</v>
      </c>
    </row>
    <row r="287" spans="2:32" s="59" customFormat="1">
      <c r="B287" s="66" t="s">
        <v>554</v>
      </c>
      <c r="C287" s="499"/>
      <c r="D287" s="500"/>
      <c r="E287" s="70"/>
      <c r="AF287" s="95"/>
    </row>
    <row r="288" spans="2:32" s="59" customFormat="1">
      <c r="B288" s="66" t="str">
        <f>B287</f>
        <v>UPSNAP</v>
      </c>
      <c r="C288" s="499" t="s">
        <v>732</v>
      </c>
      <c r="D288" s="500" t="s">
        <v>733</v>
      </c>
      <c r="E288" s="70">
        <v>0</v>
      </c>
      <c r="F288" s="59">
        <v>0</v>
      </c>
      <c r="G288" s="59">
        <v>0</v>
      </c>
      <c r="H288" s="59">
        <v>0</v>
      </c>
      <c r="I288" s="59">
        <v>0</v>
      </c>
      <c r="J288" s="59">
        <v>0</v>
      </c>
      <c r="K288" s="59">
        <v>0</v>
      </c>
      <c r="L288" s="59">
        <v>0</v>
      </c>
      <c r="M288" s="59">
        <v>0</v>
      </c>
      <c r="N288" s="59">
        <v>0</v>
      </c>
      <c r="O288" s="59">
        <v>0</v>
      </c>
      <c r="P288" s="59">
        <v>0.68482347546996791</v>
      </c>
      <c r="Q288" s="59">
        <v>0</v>
      </c>
      <c r="R288" s="59">
        <v>0</v>
      </c>
      <c r="S288" s="59">
        <v>0</v>
      </c>
      <c r="T288" s="59">
        <v>0</v>
      </c>
      <c r="U288" s="59">
        <v>0</v>
      </c>
      <c r="V288" s="59">
        <v>0</v>
      </c>
      <c r="W288" s="59">
        <v>0</v>
      </c>
      <c r="X288" s="59">
        <v>0</v>
      </c>
      <c r="Y288" s="59">
        <v>0</v>
      </c>
      <c r="Z288" s="59">
        <v>0</v>
      </c>
      <c r="AA288" s="59">
        <v>0</v>
      </c>
      <c r="AB288" s="59">
        <v>0</v>
      </c>
      <c r="AC288" s="59">
        <v>0</v>
      </c>
      <c r="AD288" s="59">
        <v>0</v>
      </c>
      <c r="AE288" s="59">
        <v>0</v>
      </c>
      <c r="AF288" s="95">
        <v>0</v>
      </c>
    </row>
    <row r="289" spans="2:32" s="59" customFormat="1">
      <c r="B289" s="66" t="str">
        <f t="shared" ref="B289:B302" si="16">B288</f>
        <v>UPSNAP</v>
      </c>
      <c r="C289" s="499" t="s">
        <v>734</v>
      </c>
      <c r="D289" s="500" t="s">
        <v>733</v>
      </c>
      <c r="E289" s="70">
        <v>0</v>
      </c>
      <c r="F289" s="59">
        <v>0</v>
      </c>
      <c r="G289" s="59">
        <v>0</v>
      </c>
      <c r="H289" s="59">
        <v>0</v>
      </c>
      <c r="I289" s="59">
        <v>0</v>
      </c>
      <c r="J289" s="59">
        <v>0</v>
      </c>
      <c r="K289" s="59">
        <v>0</v>
      </c>
      <c r="L289" s="59">
        <v>0</v>
      </c>
      <c r="M289" s="59">
        <v>0</v>
      </c>
      <c r="N289" s="59">
        <v>0</v>
      </c>
      <c r="O289" s="59">
        <v>0</v>
      </c>
      <c r="P289" s="59">
        <v>0.31517652453003209</v>
      </c>
      <c r="Q289" s="59">
        <v>0</v>
      </c>
      <c r="R289" s="59">
        <v>0</v>
      </c>
      <c r="S289" s="59">
        <v>0</v>
      </c>
      <c r="T289" s="59">
        <v>0</v>
      </c>
      <c r="U289" s="59">
        <v>0</v>
      </c>
      <c r="V289" s="59">
        <v>0</v>
      </c>
      <c r="W289" s="59">
        <v>0</v>
      </c>
      <c r="X289" s="59">
        <v>1</v>
      </c>
      <c r="Y289" s="59">
        <v>1</v>
      </c>
      <c r="Z289" s="59">
        <v>0</v>
      </c>
      <c r="AA289" s="59">
        <v>1</v>
      </c>
      <c r="AB289" s="59">
        <v>0</v>
      </c>
      <c r="AC289" s="59">
        <v>0</v>
      </c>
      <c r="AD289" s="59">
        <v>0</v>
      </c>
      <c r="AE289" s="59">
        <v>0</v>
      </c>
      <c r="AF289" s="95">
        <v>1</v>
      </c>
    </row>
    <row r="290" spans="2:32" s="59" customFormat="1">
      <c r="B290" s="66" t="str">
        <f t="shared" si="16"/>
        <v>UPSNAP</v>
      </c>
      <c r="C290" s="499" t="s">
        <v>735</v>
      </c>
      <c r="D290" s="500" t="s">
        <v>733</v>
      </c>
      <c r="E290" s="70">
        <v>0</v>
      </c>
      <c r="F290" s="59">
        <v>0</v>
      </c>
      <c r="G290" s="59">
        <v>0</v>
      </c>
      <c r="H290" s="59">
        <v>0</v>
      </c>
      <c r="I290" s="59">
        <v>0</v>
      </c>
      <c r="J290" s="59">
        <v>0</v>
      </c>
      <c r="K290" s="59">
        <v>0</v>
      </c>
      <c r="L290" s="59">
        <v>0</v>
      </c>
      <c r="M290" s="59">
        <v>0</v>
      </c>
      <c r="N290" s="59">
        <v>0</v>
      </c>
      <c r="O290" s="59">
        <v>0</v>
      </c>
      <c r="P290" s="59">
        <v>0</v>
      </c>
      <c r="Q290" s="59">
        <v>0</v>
      </c>
      <c r="R290" s="59">
        <v>0</v>
      </c>
      <c r="S290" s="59">
        <v>0</v>
      </c>
      <c r="T290" s="59">
        <v>0</v>
      </c>
      <c r="U290" s="59">
        <v>0</v>
      </c>
      <c r="V290" s="59">
        <v>0</v>
      </c>
      <c r="W290" s="59">
        <v>0</v>
      </c>
      <c r="X290" s="59">
        <v>0</v>
      </c>
      <c r="Y290" s="59">
        <v>0</v>
      </c>
      <c r="Z290" s="59">
        <v>0</v>
      </c>
      <c r="AA290" s="59">
        <v>0</v>
      </c>
      <c r="AB290" s="59">
        <v>0</v>
      </c>
      <c r="AC290" s="59">
        <v>0</v>
      </c>
      <c r="AD290" s="59">
        <v>0</v>
      </c>
      <c r="AE290" s="59">
        <v>0</v>
      </c>
      <c r="AF290" s="95">
        <v>0</v>
      </c>
    </row>
    <row r="291" spans="2:32" s="59" customFormat="1">
      <c r="B291" s="66" t="str">
        <f t="shared" si="16"/>
        <v>UPSNAP</v>
      </c>
      <c r="C291" s="499" t="s">
        <v>736</v>
      </c>
      <c r="D291" s="500" t="s">
        <v>733</v>
      </c>
      <c r="E291" s="70">
        <v>0</v>
      </c>
      <c r="F291" s="59">
        <v>0</v>
      </c>
      <c r="G291" s="59">
        <v>0</v>
      </c>
      <c r="H291" s="59">
        <v>0</v>
      </c>
      <c r="I291" s="59">
        <v>0</v>
      </c>
      <c r="J291" s="59">
        <v>0</v>
      </c>
      <c r="K291" s="59">
        <v>0</v>
      </c>
      <c r="L291" s="59">
        <v>0</v>
      </c>
      <c r="M291" s="59">
        <v>0</v>
      </c>
      <c r="N291" s="59">
        <v>0</v>
      </c>
      <c r="O291" s="59">
        <v>0</v>
      </c>
      <c r="P291" s="59">
        <v>0</v>
      </c>
      <c r="Q291" s="59">
        <v>0</v>
      </c>
      <c r="R291" s="59">
        <v>0</v>
      </c>
      <c r="S291" s="59">
        <v>0</v>
      </c>
      <c r="T291" s="59">
        <v>0</v>
      </c>
      <c r="U291" s="59">
        <v>0</v>
      </c>
      <c r="V291" s="59">
        <v>0</v>
      </c>
      <c r="W291" s="59">
        <v>0</v>
      </c>
      <c r="X291" s="59">
        <v>0</v>
      </c>
      <c r="Y291" s="59">
        <v>0</v>
      </c>
      <c r="Z291" s="59">
        <v>0</v>
      </c>
      <c r="AA291" s="59">
        <v>0</v>
      </c>
      <c r="AB291" s="59">
        <v>0</v>
      </c>
      <c r="AC291" s="59">
        <v>0</v>
      </c>
      <c r="AD291" s="59">
        <v>0</v>
      </c>
      <c r="AE291" s="59">
        <v>0</v>
      </c>
      <c r="AF291" s="95">
        <v>0</v>
      </c>
    </row>
    <row r="292" spans="2:32" s="59" customFormat="1">
      <c r="B292" s="66" t="str">
        <f t="shared" si="16"/>
        <v>UPSNAP</v>
      </c>
      <c r="C292" s="499" t="s">
        <v>737</v>
      </c>
      <c r="D292" s="500" t="s">
        <v>733</v>
      </c>
      <c r="E292" s="70">
        <v>0</v>
      </c>
      <c r="F292" s="59">
        <v>0</v>
      </c>
      <c r="G292" s="59">
        <v>0</v>
      </c>
      <c r="H292" s="59">
        <v>0</v>
      </c>
      <c r="I292" s="59">
        <v>0</v>
      </c>
      <c r="J292" s="59">
        <v>0</v>
      </c>
      <c r="K292" s="59">
        <v>0</v>
      </c>
      <c r="L292" s="59">
        <v>0</v>
      </c>
      <c r="M292" s="59">
        <v>0</v>
      </c>
      <c r="N292" s="59">
        <v>0</v>
      </c>
      <c r="O292" s="59">
        <v>0</v>
      </c>
      <c r="P292" s="59">
        <v>0</v>
      </c>
      <c r="Q292" s="59">
        <v>0</v>
      </c>
      <c r="R292" s="59">
        <v>0</v>
      </c>
      <c r="S292" s="59">
        <v>0</v>
      </c>
      <c r="T292" s="59">
        <v>0</v>
      </c>
      <c r="U292" s="59">
        <v>0</v>
      </c>
      <c r="V292" s="59">
        <v>0</v>
      </c>
      <c r="W292" s="59">
        <v>0</v>
      </c>
      <c r="X292" s="59">
        <v>0</v>
      </c>
      <c r="Y292" s="59">
        <v>0</v>
      </c>
      <c r="Z292" s="59">
        <v>0</v>
      </c>
      <c r="AA292" s="59">
        <v>0</v>
      </c>
      <c r="AB292" s="59">
        <v>0</v>
      </c>
      <c r="AC292" s="59">
        <v>0</v>
      </c>
      <c r="AD292" s="59">
        <v>0</v>
      </c>
      <c r="AE292" s="59">
        <v>0</v>
      </c>
      <c r="AF292" s="95">
        <v>0</v>
      </c>
    </row>
    <row r="293" spans="2:32" s="59" customFormat="1">
      <c r="B293" s="66" t="str">
        <f t="shared" si="16"/>
        <v>UPSNAP</v>
      </c>
      <c r="C293" s="499" t="s">
        <v>738</v>
      </c>
      <c r="D293" s="500" t="s">
        <v>733</v>
      </c>
      <c r="E293" s="70">
        <v>0</v>
      </c>
      <c r="F293" s="59">
        <v>0</v>
      </c>
      <c r="G293" s="59">
        <v>0</v>
      </c>
      <c r="H293" s="59">
        <v>0</v>
      </c>
      <c r="I293" s="59">
        <v>0</v>
      </c>
      <c r="J293" s="59">
        <v>0</v>
      </c>
      <c r="K293" s="59">
        <v>0</v>
      </c>
      <c r="L293" s="59">
        <v>0</v>
      </c>
      <c r="M293" s="59">
        <v>0</v>
      </c>
      <c r="N293" s="59">
        <v>0</v>
      </c>
      <c r="O293" s="59">
        <v>0</v>
      </c>
      <c r="P293" s="59">
        <v>0</v>
      </c>
      <c r="Q293" s="59">
        <v>0</v>
      </c>
      <c r="R293" s="59">
        <v>0</v>
      </c>
      <c r="S293" s="59">
        <v>0</v>
      </c>
      <c r="T293" s="59">
        <v>0</v>
      </c>
      <c r="U293" s="59">
        <v>0</v>
      </c>
      <c r="V293" s="59">
        <v>0</v>
      </c>
      <c r="W293" s="59">
        <v>0</v>
      </c>
      <c r="X293" s="59">
        <v>0</v>
      </c>
      <c r="Y293" s="59">
        <v>0</v>
      </c>
      <c r="Z293" s="59">
        <v>0</v>
      </c>
      <c r="AA293" s="59">
        <v>0</v>
      </c>
      <c r="AB293" s="59">
        <v>0</v>
      </c>
      <c r="AC293" s="59">
        <v>0</v>
      </c>
      <c r="AD293" s="59">
        <v>0</v>
      </c>
      <c r="AE293" s="59">
        <v>0</v>
      </c>
      <c r="AF293" s="95">
        <v>0</v>
      </c>
    </row>
    <row r="294" spans="2:32" s="59" customFormat="1">
      <c r="B294" s="66" t="str">
        <f t="shared" si="16"/>
        <v>UPSNAP</v>
      </c>
      <c r="C294" s="499" t="s">
        <v>739</v>
      </c>
      <c r="D294" s="500" t="s">
        <v>733</v>
      </c>
      <c r="E294" s="70">
        <v>0</v>
      </c>
      <c r="F294" s="59">
        <v>0</v>
      </c>
      <c r="G294" s="59">
        <v>0</v>
      </c>
      <c r="H294" s="59">
        <v>0</v>
      </c>
      <c r="I294" s="59">
        <v>0</v>
      </c>
      <c r="J294" s="59">
        <v>0</v>
      </c>
      <c r="K294" s="59">
        <v>0</v>
      </c>
      <c r="L294" s="59">
        <v>0</v>
      </c>
      <c r="M294" s="59">
        <v>0</v>
      </c>
      <c r="N294" s="59">
        <v>0</v>
      </c>
      <c r="O294" s="59">
        <v>0</v>
      </c>
      <c r="P294" s="59">
        <v>0</v>
      </c>
      <c r="Q294" s="59">
        <v>0</v>
      </c>
      <c r="R294" s="59">
        <v>0</v>
      </c>
      <c r="S294" s="59">
        <v>0</v>
      </c>
      <c r="T294" s="59">
        <v>0</v>
      </c>
      <c r="U294" s="59">
        <v>0</v>
      </c>
      <c r="V294" s="59">
        <v>0</v>
      </c>
      <c r="W294" s="59">
        <v>0</v>
      </c>
      <c r="X294" s="59">
        <v>0</v>
      </c>
      <c r="Y294" s="59">
        <v>0</v>
      </c>
      <c r="Z294" s="59">
        <v>0</v>
      </c>
      <c r="AA294" s="59">
        <v>0</v>
      </c>
      <c r="AB294" s="59">
        <v>0</v>
      </c>
      <c r="AC294" s="59">
        <v>0</v>
      </c>
      <c r="AD294" s="59">
        <v>0</v>
      </c>
      <c r="AE294" s="59">
        <v>0</v>
      </c>
      <c r="AF294" s="95">
        <v>0</v>
      </c>
    </row>
    <row r="295" spans="2:32" s="59" customFormat="1">
      <c r="B295" s="66" t="str">
        <f t="shared" si="16"/>
        <v>UPSNAP</v>
      </c>
      <c r="C295" s="499" t="s">
        <v>740</v>
      </c>
      <c r="D295" s="500" t="s">
        <v>733</v>
      </c>
      <c r="E295" s="70">
        <v>0</v>
      </c>
      <c r="F295" s="59">
        <v>0</v>
      </c>
      <c r="G295" s="59">
        <v>0</v>
      </c>
      <c r="H295" s="59">
        <v>0</v>
      </c>
      <c r="I295" s="59">
        <v>0</v>
      </c>
      <c r="J295" s="59">
        <v>0</v>
      </c>
      <c r="K295" s="59">
        <v>0</v>
      </c>
      <c r="L295" s="59">
        <v>0</v>
      </c>
      <c r="M295" s="59">
        <v>0</v>
      </c>
      <c r="N295" s="59">
        <v>0</v>
      </c>
      <c r="O295" s="59">
        <v>0</v>
      </c>
      <c r="P295" s="59">
        <v>0</v>
      </c>
      <c r="Q295" s="59">
        <v>0</v>
      </c>
      <c r="R295" s="59">
        <v>0</v>
      </c>
      <c r="S295" s="59">
        <v>0</v>
      </c>
      <c r="T295" s="59">
        <v>0</v>
      </c>
      <c r="U295" s="59">
        <v>0</v>
      </c>
      <c r="V295" s="59">
        <v>0</v>
      </c>
      <c r="W295" s="59">
        <v>0</v>
      </c>
      <c r="X295" s="59">
        <v>0</v>
      </c>
      <c r="Y295" s="59">
        <v>0</v>
      </c>
      <c r="Z295" s="59">
        <v>0</v>
      </c>
      <c r="AA295" s="59">
        <v>0</v>
      </c>
      <c r="AB295" s="59">
        <v>0</v>
      </c>
      <c r="AC295" s="59">
        <v>0</v>
      </c>
      <c r="AD295" s="59">
        <v>0</v>
      </c>
      <c r="AE295" s="59">
        <v>0</v>
      </c>
      <c r="AF295" s="95">
        <v>0</v>
      </c>
    </row>
    <row r="296" spans="2:32" s="59" customFormat="1">
      <c r="B296" s="66" t="str">
        <f t="shared" si="16"/>
        <v>UPSNAP</v>
      </c>
      <c r="C296" s="499" t="s">
        <v>741</v>
      </c>
      <c r="D296" s="500" t="s">
        <v>733</v>
      </c>
      <c r="E296" s="70">
        <v>0</v>
      </c>
      <c r="F296" s="59">
        <v>0</v>
      </c>
      <c r="G296" s="59">
        <v>0</v>
      </c>
      <c r="H296" s="59">
        <v>0</v>
      </c>
      <c r="I296" s="59">
        <v>0</v>
      </c>
      <c r="J296" s="59">
        <v>0</v>
      </c>
      <c r="K296" s="59">
        <v>0</v>
      </c>
      <c r="L296" s="59">
        <v>0</v>
      </c>
      <c r="M296" s="59">
        <v>0</v>
      </c>
      <c r="N296" s="59">
        <v>0</v>
      </c>
      <c r="O296" s="59">
        <v>0</v>
      </c>
      <c r="P296" s="59">
        <v>0</v>
      </c>
      <c r="Q296" s="59">
        <v>0</v>
      </c>
      <c r="R296" s="59">
        <v>0</v>
      </c>
      <c r="S296" s="59">
        <v>0</v>
      </c>
      <c r="T296" s="59">
        <v>0</v>
      </c>
      <c r="U296" s="59">
        <v>0</v>
      </c>
      <c r="V296" s="59">
        <v>0</v>
      </c>
      <c r="W296" s="59">
        <v>0</v>
      </c>
      <c r="X296" s="59">
        <v>0</v>
      </c>
      <c r="Y296" s="59">
        <v>0</v>
      </c>
      <c r="Z296" s="59">
        <v>0</v>
      </c>
      <c r="AA296" s="59">
        <v>0</v>
      </c>
      <c r="AB296" s="59">
        <v>0</v>
      </c>
      <c r="AC296" s="59">
        <v>0</v>
      </c>
      <c r="AD296" s="59">
        <v>0</v>
      </c>
      <c r="AE296" s="59">
        <v>0</v>
      </c>
      <c r="AF296" s="95">
        <v>0</v>
      </c>
    </row>
    <row r="297" spans="2:32" s="59" customFormat="1">
      <c r="B297" s="66" t="str">
        <f t="shared" si="16"/>
        <v>UPSNAP</v>
      </c>
      <c r="C297" s="499" t="s">
        <v>742</v>
      </c>
      <c r="D297" s="500" t="s">
        <v>733</v>
      </c>
      <c r="E297" s="70">
        <v>0</v>
      </c>
      <c r="F297" s="59">
        <v>0</v>
      </c>
      <c r="G297" s="59">
        <v>0</v>
      </c>
      <c r="H297" s="59">
        <v>0</v>
      </c>
      <c r="I297" s="59">
        <v>0</v>
      </c>
      <c r="J297" s="59">
        <v>0</v>
      </c>
      <c r="K297" s="59">
        <v>0</v>
      </c>
      <c r="L297" s="59">
        <v>0</v>
      </c>
      <c r="M297" s="59">
        <v>0</v>
      </c>
      <c r="N297" s="59">
        <v>0</v>
      </c>
      <c r="O297" s="59">
        <v>0</v>
      </c>
      <c r="P297" s="59">
        <v>0</v>
      </c>
      <c r="Q297" s="59">
        <v>0</v>
      </c>
      <c r="R297" s="59">
        <v>0</v>
      </c>
      <c r="S297" s="59">
        <v>0</v>
      </c>
      <c r="T297" s="59">
        <v>0</v>
      </c>
      <c r="U297" s="59">
        <v>0</v>
      </c>
      <c r="V297" s="59">
        <v>0</v>
      </c>
      <c r="W297" s="59">
        <v>0</v>
      </c>
      <c r="X297" s="59">
        <v>0</v>
      </c>
      <c r="Y297" s="59">
        <v>0</v>
      </c>
      <c r="Z297" s="59">
        <v>0</v>
      </c>
      <c r="AA297" s="59">
        <v>0</v>
      </c>
      <c r="AB297" s="59">
        <v>0</v>
      </c>
      <c r="AC297" s="59">
        <v>0</v>
      </c>
      <c r="AD297" s="59">
        <v>0</v>
      </c>
      <c r="AE297" s="59">
        <v>0</v>
      </c>
      <c r="AF297" s="95">
        <v>0</v>
      </c>
    </row>
    <row r="298" spans="2:32" s="59" customFormat="1">
      <c r="B298" s="66" t="str">
        <f t="shared" si="16"/>
        <v>UPSNAP</v>
      </c>
      <c r="C298" s="499" t="s">
        <v>743</v>
      </c>
      <c r="D298" s="500" t="s">
        <v>733</v>
      </c>
      <c r="E298" s="70">
        <v>0</v>
      </c>
      <c r="F298" s="59">
        <v>0</v>
      </c>
      <c r="G298" s="59">
        <v>0</v>
      </c>
      <c r="H298" s="59">
        <v>0</v>
      </c>
      <c r="I298" s="59">
        <v>0</v>
      </c>
      <c r="J298" s="59">
        <v>0</v>
      </c>
      <c r="K298" s="59">
        <v>0</v>
      </c>
      <c r="L298" s="59">
        <v>0</v>
      </c>
      <c r="M298" s="59">
        <v>0</v>
      </c>
      <c r="N298" s="59">
        <v>0</v>
      </c>
      <c r="O298" s="59">
        <v>0</v>
      </c>
      <c r="P298" s="59">
        <v>0</v>
      </c>
      <c r="Q298" s="59">
        <v>0</v>
      </c>
      <c r="R298" s="59">
        <v>0</v>
      </c>
      <c r="S298" s="59">
        <v>0</v>
      </c>
      <c r="T298" s="59">
        <v>0</v>
      </c>
      <c r="U298" s="59">
        <v>0</v>
      </c>
      <c r="V298" s="59">
        <v>0</v>
      </c>
      <c r="W298" s="59">
        <v>0</v>
      </c>
      <c r="X298" s="59">
        <v>0</v>
      </c>
      <c r="Y298" s="59">
        <v>0</v>
      </c>
      <c r="Z298" s="59">
        <v>0</v>
      </c>
      <c r="AA298" s="59">
        <v>0</v>
      </c>
      <c r="AB298" s="59">
        <v>0</v>
      </c>
      <c r="AC298" s="59">
        <v>0</v>
      </c>
      <c r="AD298" s="59">
        <v>0</v>
      </c>
      <c r="AE298" s="59">
        <v>0</v>
      </c>
      <c r="AF298" s="95">
        <v>0</v>
      </c>
    </row>
    <row r="299" spans="2:32" s="59" customFormat="1">
      <c r="B299" s="66" t="str">
        <f t="shared" si="16"/>
        <v>UPSNAP</v>
      </c>
      <c r="C299" s="499" t="s">
        <v>744</v>
      </c>
      <c r="D299" s="500" t="s">
        <v>733</v>
      </c>
      <c r="E299" s="70">
        <v>0</v>
      </c>
      <c r="F299" s="59">
        <v>0</v>
      </c>
      <c r="G299" s="59">
        <v>0</v>
      </c>
      <c r="H299" s="59">
        <v>0</v>
      </c>
      <c r="I299" s="59">
        <v>0</v>
      </c>
      <c r="J299" s="59">
        <v>0</v>
      </c>
      <c r="K299" s="59">
        <v>0</v>
      </c>
      <c r="L299" s="59">
        <v>0</v>
      </c>
      <c r="M299" s="59">
        <v>0</v>
      </c>
      <c r="N299" s="59">
        <v>0</v>
      </c>
      <c r="O299" s="59">
        <v>0</v>
      </c>
      <c r="P299" s="59">
        <v>0</v>
      </c>
      <c r="Q299" s="59">
        <v>0</v>
      </c>
      <c r="R299" s="59">
        <v>0</v>
      </c>
      <c r="S299" s="59">
        <v>0</v>
      </c>
      <c r="T299" s="59">
        <v>0</v>
      </c>
      <c r="U299" s="59">
        <v>0</v>
      </c>
      <c r="V299" s="59">
        <v>0</v>
      </c>
      <c r="W299" s="59">
        <v>0</v>
      </c>
      <c r="X299" s="59">
        <v>0</v>
      </c>
      <c r="Y299" s="59">
        <v>0</v>
      </c>
      <c r="Z299" s="59">
        <v>0</v>
      </c>
      <c r="AA299" s="59">
        <v>0</v>
      </c>
      <c r="AB299" s="59">
        <v>0</v>
      </c>
      <c r="AC299" s="59">
        <v>0</v>
      </c>
      <c r="AD299" s="59">
        <v>0</v>
      </c>
      <c r="AE299" s="59">
        <v>0</v>
      </c>
      <c r="AF299" s="95">
        <v>0</v>
      </c>
    </row>
    <row r="300" spans="2:32" s="59" customFormat="1">
      <c r="B300" s="66" t="str">
        <f t="shared" si="16"/>
        <v>UPSNAP</v>
      </c>
      <c r="C300" s="499" t="s">
        <v>745</v>
      </c>
      <c r="D300" s="500" t="s">
        <v>733</v>
      </c>
      <c r="E300" s="70">
        <v>0</v>
      </c>
      <c r="F300" s="59">
        <v>0</v>
      </c>
      <c r="G300" s="59">
        <v>0</v>
      </c>
      <c r="H300" s="59">
        <v>0</v>
      </c>
      <c r="I300" s="59">
        <v>0</v>
      </c>
      <c r="J300" s="59">
        <v>0</v>
      </c>
      <c r="K300" s="59">
        <v>0</v>
      </c>
      <c r="L300" s="59">
        <v>0</v>
      </c>
      <c r="M300" s="59">
        <v>0</v>
      </c>
      <c r="N300" s="59">
        <v>0</v>
      </c>
      <c r="O300" s="59">
        <v>0</v>
      </c>
      <c r="P300" s="59">
        <v>0</v>
      </c>
      <c r="Q300" s="59">
        <v>0</v>
      </c>
      <c r="R300" s="59">
        <v>0</v>
      </c>
      <c r="S300" s="59">
        <v>0</v>
      </c>
      <c r="T300" s="59">
        <v>0</v>
      </c>
      <c r="U300" s="59">
        <v>0</v>
      </c>
      <c r="V300" s="59">
        <v>0</v>
      </c>
      <c r="W300" s="59">
        <v>0</v>
      </c>
      <c r="X300" s="59">
        <v>0</v>
      </c>
      <c r="Y300" s="59">
        <v>0</v>
      </c>
      <c r="Z300" s="59">
        <v>0</v>
      </c>
      <c r="AA300" s="59">
        <v>0</v>
      </c>
      <c r="AB300" s="59">
        <v>0</v>
      </c>
      <c r="AC300" s="59">
        <v>0</v>
      </c>
      <c r="AD300" s="59">
        <v>0</v>
      </c>
      <c r="AE300" s="59">
        <v>0</v>
      </c>
      <c r="AF300" s="95">
        <v>0</v>
      </c>
    </row>
    <row r="301" spans="2:32" s="59" customFormat="1">
      <c r="B301" s="66" t="str">
        <f t="shared" si="16"/>
        <v>UPSNAP</v>
      </c>
      <c r="C301" s="499" t="s">
        <v>746</v>
      </c>
      <c r="D301" s="500" t="s">
        <v>733</v>
      </c>
      <c r="E301" s="70">
        <v>0</v>
      </c>
      <c r="F301" s="59">
        <v>0</v>
      </c>
      <c r="G301" s="59">
        <v>0</v>
      </c>
      <c r="H301" s="59">
        <v>0</v>
      </c>
      <c r="I301" s="59">
        <v>0</v>
      </c>
      <c r="J301" s="59">
        <v>0</v>
      </c>
      <c r="K301" s="59">
        <v>0</v>
      </c>
      <c r="L301" s="59">
        <v>0</v>
      </c>
      <c r="M301" s="59">
        <v>0</v>
      </c>
      <c r="N301" s="59">
        <v>0</v>
      </c>
      <c r="O301" s="59">
        <v>0</v>
      </c>
      <c r="P301" s="59">
        <v>0</v>
      </c>
      <c r="Q301" s="59">
        <v>0</v>
      </c>
      <c r="R301" s="59">
        <v>0</v>
      </c>
      <c r="S301" s="59">
        <v>0</v>
      </c>
      <c r="T301" s="59">
        <v>0</v>
      </c>
      <c r="U301" s="59">
        <v>0</v>
      </c>
      <c r="V301" s="59">
        <v>0</v>
      </c>
      <c r="W301" s="59">
        <v>0</v>
      </c>
      <c r="X301" s="59">
        <v>0</v>
      </c>
      <c r="Y301" s="59">
        <v>0</v>
      </c>
      <c r="Z301" s="59">
        <v>0</v>
      </c>
      <c r="AA301" s="59">
        <v>0</v>
      </c>
      <c r="AB301" s="59">
        <v>0</v>
      </c>
      <c r="AC301" s="59">
        <v>0</v>
      </c>
      <c r="AD301" s="59">
        <v>0</v>
      </c>
      <c r="AE301" s="59">
        <v>0</v>
      </c>
      <c r="AF301" s="95">
        <v>0</v>
      </c>
    </row>
    <row r="302" spans="2:32" s="59" customFormat="1">
      <c r="B302" s="269" t="str">
        <f t="shared" si="16"/>
        <v>UPSNAP</v>
      </c>
      <c r="C302" s="503" t="s">
        <v>747</v>
      </c>
      <c r="D302" s="504" t="s">
        <v>733</v>
      </c>
      <c r="E302" s="271">
        <v>0</v>
      </c>
      <c r="F302" s="80">
        <v>0</v>
      </c>
      <c r="G302" s="80">
        <v>0</v>
      </c>
      <c r="H302" s="80">
        <v>0</v>
      </c>
      <c r="I302" s="80">
        <v>0</v>
      </c>
      <c r="J302" s="80">
        <v>0</v>
      </c>
      <c r="K302" s="80">
        <v>0</v>
      </c>
      <c r="L302" s="80">
        <v>0</v>
      </c>
      <c r="M302" s="80">
        <v>0</v>
      </c>
      <c r="N302" s="80">
        <v>0</v>
      </c>
      <c r="O302" s="80">
        <v>0</v>
      </c>
      <c r="P302" s="80">
        <v>0</v>
      </c>
      <c r="Q302" s="80">
        <v>0</v>
      </c>
      <c r="R302" s="80">
        <v>0</v>
      </c>
      <c r="S302" s="80">
        <v>0</v>
      </c>
      <c r="T302" s="80">
        <v>0</v>
      </c>
      <c r="U302" s="80">
        <v>0</v>
      </c>
      <c r="V302" s="80">
        <v>0</v>
      </c>
      <c r="W302" s="80">
        <v>0</v>
      </c>
      <c r="X302" s="80">
        <v>0</v>
      </c>
      <c r="Y302" s="80">
        <v>0</v>
      </c>
      <c r="Z302" s="80">
        <v>0</v>
      </c>
      <c r="AA302" s="80">
        <v>0</v>
      </c>
      <c r="AB302" s="80">
        <v>0</v>
      </c>
      <c r="AC302" s="80">
        <v>0</v>
      </c>
      <c r="AD302" s="80">
        <v>0</v>
      </c>
      <c r="AE302" s="80">
        <v>0</v>
      </c>
      <c r="AF302" s="97">
        <v>0</v>
      </c>
    </row>
    <row r="303" spans="2:32" s="59" customFormat="1">
      <c r="B303" s="66" t="s">
        <v>556</v>
      </c>
      <c r="C303" s="499"/>
      <c r="D303" s="500"/>
      <c r="E303" s="70"/>
      <c r="AF303" s="95"/>
    </row>
    <row r="304" spans="2:32" s="59" customFormat="1">
      <c r="B304" s="66" t="str">
        <f>B303</f>
        <v>UPSOIL</v>
      </c>
      <c r="C304" s="499" t="s">
        <v>732</v>
      </c>
      <c r="D304" s="500" t="s">
        <v>733</v>
      </c>
      <c r="E304" s="70">
        <v>1</v>
      </c>
      <c r="F304" s="59">
        <v>7.3897202883435265E-2</v>
      </c>
      <c r="G304" s="59">
        <v>0.80631471736547278</v>
      </c>
      <c r="H304" s="59">
        <v>0</v>
      </c>
      <c r="I304" s="59">
        <v>1</v>
      </c>
      <c r="J304" s="59">
        <v>0.99709220565864065</v>
      </c>
      <c r="K304" s="59">
        <v>0</v>
      </c>
      <c r="L304" s="59">
        <v>0</v>
      </c>
      <c r="M304" s="59">
        <v>0</v>
      </c>
      <c r="N304" s="59">
        <v>0</v>
      </c>
      <c r="O304" s="59">
        <v>0</v>
      </c>
      <c r="P304" s="59">
        <v>1</v>
      </c>
      <c r="Q304" s="59">
        <v>0.88617366862814373</v>
      </c>
      <c r="R304" s="59">
        <v>0</v>
      </c>
      <c r="S304" s="59">
        <v>1</v>
      </c>
      <c r="T304" s="59">
        <v>0</v>
      </c>
      <c r="U304" s="59">
        <v>0</v>
      </c>
      <c r="V304" s="59">
        <v>0.13129292300052062</v>
      </c>
      <c r="W304" s="59">
        <v>0</v>
      </c>
      <c r="X304" s="59">
        <v>0</v>
      </c>
      <c r="Y304" s="59">
        <v>0.33173191012872655</v>
      </c>
      <c r="Z304" s="59">
        <v>0</v>
      </c>
      <c r="AA304" s="59">
        <v>1</v>
      </c>
      <c r="AB304" s="59">
        <v>0</v>
      </c>
      <c r="AC304" s="59">
        <v>0</v>
      </c>
      <c r="AD304" s="59">
        <v>1</v>
      </c>
      <c r="AE304" s="59">
        <v>0</v>
      </c>
      <c r="AF304" s="95">
        <v>0</v>
      </c>
    </row>
    <row r="305" spans="2:32" s="59" customFormat="1">
      <c r="B305" s="66" t="str">
        <f t="shared" ref="B305:B318" si="17">B304</f>
        <v>UPSOIL</v>
      </c>
      <c r="C305" s="499" t="s">
        <v>734</v>
      </c>
      <c r="D305" s="500" t="s">
        <v>733</v>
      </c>
      <c r="E305" s="70">
        <v>0</v>
      </c>
      <c r="F305" s="59">
        <v>0.92610279711656462</v>
      </c>
      <c r="G305" s="59">
        <v>0.19368528263452728</v>
      </c>
      <c r="H305" s="59">
        <v>0</v>
      </c>
      <c r="I305" s="59">
        <v>0</v>
      </c>
      <c r="J305" s="59">
        <v>2.9077943413592985E-3</v>
      </c>
      <c r="K305" s="59">
        <v>1</v>
      </c>
      <c r="L305" s="59">
        <v>0</v>
      </c>
      <c r="M305" s="59">
        <v>0</v>
      </c>
      <c r="N305" s="59">
        <v>0</v>
      </c>
      <c r="O305" s="59">
        <v>0</v>
      </c>
      <c r="P305" s="59">
        <v>0</v>
      </c>
      <c r="Q305" s="59">
        <v>0</v>
      </c>
      <c r="R305" s="59">
        <v>0</v>
      </c>
      <c r="S305" s="59">
        <v>0</v>
      </c>
      <c r="T305" s="59">
        <v>0</v>
      </c>
      <c r="U305" s="59">
        <v>0</v>
      </c>
      <c r="V305" s="59">
        <v>0.86870707699947947</v>
      </c>
      <c r="W305" s="59">
        <v>0</v>
      </c>
      <c r="X305" s="59">
        <v>0</v>
      </c>
      <c r="Y305" s="59">
        <v>0.6682680898712734</v>
      </c>
      <c r="Z305" s="59">
        <v>0</v>
      </c>
      <c r="AA305" s="59">
        <v>0</v>
      </c>
      <c r="AB305" s="59">
        <v>0</v>
      </c>
      <c r="AC305" s="59">
        <v>0</v>
      </c>
      <c r="AD305" s="59">
        <v>0</v>
      </c>
      <c r="AE305" s="59">
        <v>0</v>
      </c>
      <c r="AF305" s="95">
        <v>0</v>
      </c>
    </row>
    <row r="306" spans="2:32" s="59" customFormat="1">
      <c r="B306" s="66" t="str">
        <f t="shared" si="17"/>
        <v>UPSOIL</v>
      </c>
      <c r="C306" s="499" t="s">
        <v>735</v>
      </c>
      <c r="D306" s="500" t="s">
        <v>733</v>
      </c>
      <c r="E306" s="70">
        <v>0</v>
      </c>
      <c r="F306" s="59">
        <v>0</v>
      </c>
      <c r="G306" s="59">
        <v>0</v>
      </c>
      <c r="H306" s="59">
        <v>0</v>
      </c>
      <c r="I306" s="59">
        <v>0</v>
      </c>
      <c r="J306" s="59">
        <v>0</v>
      </c>
      <c r="K306" s="59">
        <v>0</v>
      </c>
      <c r="L306" s="59">
        <v>0</v>
      </c>
      <c r="M306" s="59">
        <v>0</v>
      </c>
      <c r="N306" s="59">
        <v>0</v>
      </c>
      <c r="O306" s="59">
        <v>0</v>
      </c>
      <c r="P306" s="59">
        <v>0</v>
      </c>
      <c r="Q306" s="59">
        <v>0.11382633137185631</v>
      </c>
      <c r="R306" s="59">
        <v>0</v>
      </c>
      <c r="S306" s="59">
        <v>0</v>
      </c>
      <c r="T306" s="59">
        <v>0</v>
      </c>
      <c r="U306" s="59">
        <v>0</v>
      </c>
      <c r="V306" s="59">
        <v>0</v>
      </c>
      <c r="W306" s="59">
        <v>0</v>
      </c>
      <c r="X306" s="59">
        <v>0</v>
      </c>
      <c r="Y306" s="59">
        <v>0</v>
      </c>
      <c r="Z306" s="59">
        <v>0</v>
      </c>
      <c r="AA306" s="59">
        <v>0</v>
      </c>
      <c r="AB306" s="59">
        <v>0</v>
      </c>
      <c r="AC306" s="59">
        <v>0</v>
      </c>
      <c r="AD306" s="59">
        <v>0</v>
      </c>
      <c r="AE306" s="59">
        <v>0</v>
      </c>
      <c r="AF306" s="95">
        <v>0</v>
      </c>
    </row>
    <row r="307" spans="2:32" s="59" customFormat="1">
      <c r="B307" s="66" t="str">
        <f t="shared" si="17"/>
        <v>UPSOIL</v>
      </c>
      <c r="C307" s="499" t="s">
        <v>736</v>
      </c>
      <c r="D307" s="500" t="s">
        <v>733</v>
      </c>
      <c r="E307" s="70">
        <v>0</v>
      </c>
      <c r="F307" s="59">
        <v>0</v>
      </c>
      <c r="G307" s="59">
        <v>0</v>
      </c>
      <c r="H307" s="59">
        <v>0</v>
      </c>
      <c r="I307" s="59">
        <v>0</v>
      </c>
      <c r="J307" s="59">
        <v>0</v>
      </c>
      <c r="K307" s="59">
        <v>0</v>
      </c>
      <c r="L307" s="59">
        <v>0</v>
      </c>
      <c r="M307" s="59">
        <v>0</v>
      </c>
      <c r="N307" s="59">
        <v>0</v>
      </c>
      <c r="O307" s="59">
        <v>0</v>
      </c>
      <c r="P307" s="59">
        <v>0</v>
      </c>
      <c r="Q307" s="59">
        <v>0</v>
      </c>
      <c r="R307" s="59">
        <v>0</v>
      </c>
      <c r="S307" s="59">
        <v>0</v>
      </c>
      <c r="T307" s="59">
        <v>0</v>
      </c>
      <c r="U307" s="59">
        <v>0</v>
      </c>
      <c r="V307" s="59">
        <v>0</v>
      </c>
      <c r="W307" s="59">
        <v>0</v>
      </c>
      <c r="X307" s="59">
        <v>0</v>
      </c>
      <c r="Y307" s="59">
        <v>0</v>
      </c>
      <c r="Z307" s="59">
        <v>0</v>
      </c>
      <c r="AA307" s="59">
        <v>0</v>
      </c>
      <c r="AB307" s="59">
        <v>0</v>
      </c>
      <c r="AC307" s="59">
        <v>0</v>
      </c>
      <c r="AD307" s="59">
        <v>0</v>
      </c>
      <c r="AE307" s="59">
        <v>0</v>
      </c>
      <c r="AF307" s="95">
        <v>0</v>
      </c>
    </row>
    <row r="308" spans="2:32" s="59" customFormat="1">
      <c r="B308" s="66" t="str">
        <f t="shared" si="17"/>
        <v>UPSOIL</v>
      </c>
      <c r="C308" s="499" t="s">
        <v>737</v>
      </c>
      <c r="D308" s="500" t="s">
        <v>733</v>
      </c>
      <c r="E308" s="70">
        <v>0</v>
      </c>
      <c r="F308" s="59">
        <v>0</v>
      </c>
      <c r="G308" s="59">
        <v>0</v>
      </c>
      <c r="H308" s="59">
        <v>0</v>
      </c>
      <c r="I308" s="59">
        <v>0</v>
      </c>
      <c r="J308" s="59">
        <v>0</v>
      </c>
      <c r="K308" s="59">
        <v>0</v>
      </c>
      <c r="L308" s="59">
        <v>0</v>
      </c>
      <c r="M308" s="59">
        <v>0</v>
      </c>
      <c r="N308" s="59">
        <v>0</v>
      </c>
      <c r="O308" s="59">
        <v>0</v>
      </c>
      <c r="P308" s="59">
        <v>0</v>
      </c>
      <c r="Q308" s="59">
        <v>0</v>
      </c>
      <c r="R308" s="59">
        <v>0</v>
      </c>
      <c r="S308" s="59">
        <v>0</v>
      </c>
      <c r="T308" s="59">
        <v>0</v>
      </c>
      <c r="U308" s="59">
        <v>0</v>
      </c>
      <c r="V308" s="59">
        <v>0</v>
      </c>
      <c r="W308" s="59">
        <v>0</v>
      </c>
      <c r="X308" s="59">
        <v>0</v>
      </c>
      <c r="Y308" s="59">
        <v>0</v>
      </c>
      <c r="Z308" s="59">
        <v>0</v>
      </c>
      <c r="AA308" s="59">
        <v>0</v>
      </c>
      <c r="AB308" s="59">
        <v>0</v>
      </c>
      <c r="AC308" s="59">
        <v>0</v>
      </c>
      <c r="AD308" s="59">
        <v>0</v>
      </c>
      <c r="AE308" s="59">
        <v>0</v>
      </c>
      <c r="AF308" s="95">
        <v>0</v>
      </c>
    </row>
    <row r="309" spans="2:32" s="59" customFormat="1">
      <c r="B309" s="66" t="str">
        <f t="shared" si="17"/>
        <v>UPSOIL</v>
      </c>
      <c r="C309" s="499" t="s">
        <v>738</v>
      </c>
      <c r="D309" s="500" t="s">
        <v>733</v>
      </c>
      <c r="E309" s="70">
        <v>0</v>
      </c>
      <c r="F309" s="59">
        <v>0</v>
      </c>
      <c r="G309" s="59">
        <v>0</v>
      </c>
      <c r="H309" s="59">
        <v>0</v>
      </c>
      <c r="I309" s="59">
        <v>0</v>
      </c>
      <c r="J309" s="59">
        <v>0</v>
      </c>
      <c r="K309" s="59">
        <v>0</v>
      </c>
      <c r="L309" s="59">
        <v>0</v>
      </c>
      <c r="M309" s="59">
        <v>0</v>
      </c>
      <c r="N309" s="59">
        <v>0</v>
      </c>
      <c r="O309" s="59">
        <v>0</v>
      </c>
      <c r="P309" s="59">
        <v>0</v>
      </c>
      <c r="Q309" s="59">
        <v>0</v>
      </c>
      <c r="R309" s="59">
        <v>0</v>
      </c>
      <c r="S309" s="59">
        <v>0</v>
      </c>
      <c r="T309" s="59">
        <v>0</v>
      </c>
      <c r="U309" s="59">
        <v>0</v>
      </c>
      <c r="V309" s="59">
        <v>0</v>
      </c>
      <c r="W309" s="59">
        <v>0</v>
      </c>
      <c r="X309" s="59">
        <v>0</v>
      </c>
      <c r="Y309" s="59">
        <v>0</v>
      </c>
      <c r="Z309" s="59">
        <v>0</v>
      </c>
      <c r="AA309" s="59">
        <v>0</v>
      </c>
      <c r="AB309" s="59">
        <v>0</v>
      </c>
      <c r="AC309" s="59">
        <v>0</v>
      </c>
      <c r="AD309" s="59">
        <v>0</v>
      </c>
      <c r="AE309" s="59">
        <v>0</v>
      </c>
      <c r="AF309" s="95">
        <v>0</v>
      </c>
    </row>
    <row r="310" spans="2:32" s="59" customFormat="1">
      <c r="B310" s="66" t="str">
        <f t="shared" si="17"/>
        <v>UPSOIL</v>
      </c>
      <c r="C310" s="499" t="s">
        <v>739</v>
      </c>
      <c r="D310" s="500" t="s">
        <v>733</v>
      </c>
      <c r="E310" s="70">
        <v>0</v>
      </c>
      <c r="F310" s="59">
        <v>0</v>
      </c>
      <c r="G310" s="59">
        <v>0</v>
      </c>
      <c r="H310" s="59">
        <v>0</v>
      </c>
      <c r="I310" s="59">
        <v>0</v>
      </c>
      <c r="J310" s="59">
        <v>0</v>
      </c>
      <c r="K310" s="59">
        <v>0</v>
      </c>
      <c r="L310" s="59">
        <v>0</v>
      </c>
      <c r="M310" s="59">
        <v>0</v>
      </c>
      <c r="N310" s="59">
        <v>0</v>
      </c>
      <c r="O310" s="59">
        <v>0</v>
      </c>
      <c r="P310" s="59">
        <v>0</v>
      </c>
      <c r="Q310" s="59">
        <v>0</v>
      </c>
      <c r="R310" s="59">
        <v>0</v>
      </c>
      <c r="S310" s="59">
        <v>0</v>
      </c>
      <c r="T310" s="59">
        <v>0</v>
      </c>
      <c r="U310" s="59">
        <v>0</v>
      </c>
      <c r="V310" s="59">
        <v>0</v>
      </c>
      <c r="W310" s="59">
        <v>0</v>
      </c>
      <c r="X310" s="59">
        <v>0</v>
      </c>
      <c r="Y310" s="59">
        <v>0</v>
      </c>
      <c r="Z310" s="59">
        <v>0</v>
      </c>
      <c r="AA310" s="59">
        <v>0</v>
      </c>
      <c r="AB310" s="59">
        <v>0</v>
      </c>
      <c r="AC310" s="59">
        <v>0</v>
      </c>
      <c r="AD310" s="59">
        <v>0</v>
      </c>
      <c r="AE310" s="59">
        <v>0</v>
      </c>
      <c r="AF310" s="95">
        <v>0</v>
      </c>
    </row>
    <row r="311" spans="2:32" s="59" customFormat="1">
      <c r="B311" s="66" t="str">
        <f t="shared" si="17"/>
        <v>UPSOIL</v>
      </c>
      <c r="C311" s="499" t="s">
        <v>740</v>
      </c>
      <c r="D311" s="500" t="s">
        <v>733</v>
      </c>
      <c r="E311" s="70">
        <v>0</v>
      </c>
      <c r="F311" s="59">
        <v>0</v>
      </c>
      <c r="G311" s="59">
        <v>0</v>
      </c>
      <c r="H311" s="59">
        <v>0</v>
      </c>
      <c r="I311" s="59">
        <v>0</v>
      </c>
      <c r="J311" s="59">
        <v>0</v>
      </c>
      <c r="K311" s="59">
        <v>0</v>
      </c>
      <c r="L311" s="59">
        <v>0</v>
      </c>
      <c r="M311" s="59">
        <v>0</v>
      </c>
      <c r="N311" s="59">
        <v>0</v>
      </c>
      <c r="O311" s="59">
        <v>0</v>
      </c>
      <c r="P311" s="59">
        <v>0</v>
      </c>
      <c r="Q311" s="59">
        <v>0</v>
      </c>
      <c r="R311" s="59">
        <v>0</v>
      </c>
      <c r="S311" s="59">
        <v>0</v>
      </c>
      <c r="T311" s="59">
        <v>0</v>
      </c>
      <c r="U311" s="59">
        <v>0</v>
      </c>
      <c r="V311" s="59">
        <v>0</v>
      </c>
      <c r="W311" s="59">
        <v>0</v>
      </c>
      <c r="X311" s="59">
        <v>0</v>
      </c>
      <c r="Y311" s="59">
        <v>0</v>
      </c>
      <c r="Z311" s="59">
        <v>0</v>
      </c>
      <c r="AA311" s="59">
        <v>0</v>
      </c>
      <c r="AB311" s="59">
        <v>0</v>
      </c>
      <c r="AC311" s="59">
        <v>0</v>
      </c>
      <c r="AD311" s="59">
        <v>0</v>
      </c>
      <c r="AE311" s="59">
        <v>0</v>
      </c>
      <c r="AF311" s="95">
        <v>0</v>
      </c>
    </row>
    <row r="312" spans="2:32" s="59" customFormat="1">
      <c r="B312" s="66" t="str">
        <f t="shared" si="17"/>
        <v>UPSOIL</v>
      </c>
      <c r="C312" s="499" t="s">
        <v>741</v>
      </c>
      <c r="D312" s="500" t="s">
        <v>733</v>
      </c>
      <c r="E312" s="70">
        <v>0</v>
      </c>
      <c r="F312" s="59">
        <v>0</v>
      </c>
      <c r="G312" s="59">
        <v>0</v>
      </c>
      <c r="H312" s="59">
        <v>0</v>
      </c>
      <c r="I312" s="59">
        <v>0</v>
      </c>
      <c r="J312" s="59">
        <v>0</v>
      </c>
      <c r="K312" s="59">
        <v>0</v>
      </c>
      <c r="L312" s="59">
        <v>0</v>
      </c>
      <c r="M312" s="59">
        <v>0</v>
      </c>
      <c r="N312" s="59">
        <v>0</v>
      </c>
      <c r="O312" s="59">
        <v>0</v>
      </c>
      <c r="P312" s="59">
        <v>0</v>
      </c>
      <c r="Q312" s="59">
        <v>0</v>
      </c>
      <c r="R312" s="59">
        <v>0</v>
      </c>
      <c r="S312" s="59">
        <v>0</v>
      </c>
      <c r="T312" s="59">
        <v>0</v>
      </c>
      <c r="U312" s="59">
        <v>0</v>
      </c>
      <c r="V312" s="59">
        <v>0</v>
      </c>
      <c r="W312" s="59">
        <v>0</v>
      </c>
      <c r="X312" s="59">
        <v>0</v>
      </c>
      <c r="Y312" s="59">
        <v>0</v>
      </c>
      <c r="Z312" s="59">
        <v>0</v>
      </c>
      <c r="AA312" s="59">
        <v>0</v>
      </c>
      <c r="AB312" s="59">
        <v>0</v>
      </c>
      <c r="AC312" s="59">
        <v>0</v>
      </c>
      <c r="AD312" s="59">
        <v>0</v>
      </c>
      <c r="AE312" s="59">
        <v>0</v>
      </c>
      <c r="AF312" s="95">
        <v>0</v>
      </c>
    </row>
    <row r="313" spans="2:32" s="59" customFormat="1">
      <c r="B313" s="66" t="str">
        <f t="shared" si="17"/>
        <v>UPSOIL</v>
      </c>
      <c r="C313" s="499" t="s">
        <v>742</v>
      </c>
      <c r="D313" s="500" t="s">
        <v>733</v>
      </c>
      <c r="E313" s="70">
        <v>0</v>
      </c>
      <c r="F313" s="59">
        <v>0</v>
      </c>
      <c r="G313" s="59">
        <v>0</v>
      </c>
      <c r="H313" s="59">
        <v>0</v>
      </c>
      <c r="I313" s="59">
        <v>0</v>
      </c>
      <c r="J313" s="59">
        <v>0</v>
      </c>
      <c r="K313" s="59">
        <v>0</v>
      </c>
      <c r="L313" s="59">
        <v>0</v>
      </c>
      <c r="M313" s="59">
        <v>0</v>
      </c>
      <c r="N313" s="59">
        <v>0</v>
      </c>
      <c r="O313" s="59">
        <v>0</v>
      </c>
      <c r="P313" s="59">
        <v>0</v>
      </c>
      <c r="Q313" s="59">
        <v>0</v>
      </c>
      <c r="R313" s="59">
        <v>0</v>
      </c>
      <c r="S313" s="59">
        <v>0</v>
      </c>
      <c r="T313" s="59">
        <v>0</v>
      </c>
      <c r="U313" s="59">
        <v>0</v>
      </c>
      <c r="V313" s="59">
        <v>0</v>
      </c>
      <c r="W313" s="59">
        <v>0</v>
      </c>
      <c r="X313" s="59">
        <v>0</v>
      </c>
      <c r="Y313" s="59">
        <v>0</v>
      </c>
      <c r="Z313" s="59">
        <v>0</v>
      </c>
      <c r="AA313" s="59">
        <v>0</v>
      </c>
      <c r="AB313" s="59">
        <v>0</v>
      </c>
      <c r="AC313" s="59">
        <v>0</v>
      </c>
      <c r="AD313" s="59">
        <v>0</v>
      </c>
      <c r="AE313" s="59">
        <v>0</v>
      </c>
      <c r="AF313" s="95">
        <v>0</v>
      </c>
    </row>
    <row r="314" spans="2:32" s="59" customFormat="1">
      <c r="B314" s="66" t="str">
        <f t="shared" si="17"/>
        <v>UPSOIL</v>
      </c>
      <c r="C314" s="499" t="s">
        <v>743</v>
      </c>
      <c r="D314" s="500" t="s">
        <v>733</v>
      </c>
      <c r="E314" s="70">
        <v>0</v>
      </c>
      <c r="F314" s="59">
        <v>0</v>
      </c>
      <c r="G314" s="59">
        <v>0</v>
      </c>
      <c r="H314" s="59">
        <v>0</v>
      </c>
      <c r="I314" s="59">
        <v>0</v>
      </c>
      <c r="J314" s="59">
        <v>0</v>
      </c>
      <c r="K314" s="59">
        <v>0</v>
      </c>
      <c r="L314" s="59">
        <v>0</v>
      </c>
      <c r="M314" s="59">
        <v>0</v>
      </c>
      <c r="N314" s="59">
        <v>0</v>
      </c>
      <c r="O314" s="59">
        <v>0</v>
      </c>
      <c r="P314" s="59">
        <v>0</v>
      </c>
      <c r="Q314" s="59">
        <v>0</v>
      </c>
      <c r="R314" s="59">
        <v>0</v>
      </c>
      <c r="S314" s="59">
        <v>0</v>
      </c>
      <c r="T314" s="59">
        <v>0</v>
      </c>
      <c r="U314" s="59">
        <v>0</v>
      </c>
      <c r="V314" s="59">
        <v>0</v>
      </c>
      <c r="W314" s="59">
        <v>0</v>
      </c>
      <c r="X314" s="59">
        <v>0</v>
      </c>
      <c r="Y314" s="59">
        <v>0</v>
      </c>
      <c r="Z314" s="59">
        <v>0</v>
      </c>
      <c r="AA314" s="59">
        <v>0</v>
      </c>
      <c r="AB314" s="59">
        <v>0</v>
      </c>
      <c r="AC314" s="59">
        <v>0</v>
      </c>
      <c r="AD314" s="59">
        <v>0</v>
      </c>
      <c r="AE314" s="59">
        <v>0</v>
      </c>
      <c r="AF314" s="95">
        <v>0</v>
      </c>
    </row>
    <row r="315" spans="2:32" s="59" customFormat="1">
      <c r="B315" s="66" t="str">
        <f t="shared" si="17"/>
        <v>UPSOIL</v>
      </c>
      <c r="C315" s="499" t="s">
        <v>744</v>
      </c>
      <c r="D315" s="500" t="s">
        <v>733</v>
      </c>
      <c r="E315" s="70">
        <v>0</v>
      </c>
      <c r="F315" s="59">
        <v>0</v>
      </c>
      <c r="G315" s="59">
        <v>0</v>
      </c>
      <c r="H315" s="59">
        <v>0</v>
      </c>
      <c r="I315" s="59">
        <v>0</v>
      </c>
      <c r="J315" s="59">
        <v>0</v>
      </c>
      <c r="K315" s="59">
        <v>0</v>
      </c>
      <c r="L315" s="59">
        <v>0</v>
      </c>
      <c r="M315" s="59">
        <v>0</v>
      </c>
      <c r="N315" s="59">
        <v>0</v>
      </c>
      <c r="O315" s="59">
        <v>0</v>
      </c>
      <c r="P315" s="59">
        <v>0</v>
      </c>
      <c r="Q315" s="59">
        <v>0</v>
      </c>
      <c r="R315" s="59">
        <v>0</v>
      </c>
      <c r="S315" s="59">
        <v>0</v>
      </c>
      <c r="T315" s="59">
        <v>0</v>
      </c>
      <c r="U315" s="59">
        <v>0</v>
      </c>
      <c r="V315" s="59">
        <v>0</v>
      </c>
      <c r="W315" s="59">
        <v>0</v>
      </c>
      <c r="X315" s="59">
        <v>0</v>
      </c>
      <c r="Y315" s="59">
        <v>0</v>
      </c>
      <c r="Z315" s="59">
        <v>0</v>
      </c>
      <c r="AA315" s="59">
        <v>0</v>
      </c>
      <c r="AB315" s="59">
        <v>0</v>
      </c>
      <c r="AC315" s="59">
        <v>0</v>
      </c>
      <c r="AD315" s="59">
        <v>0</v>
      </c>
      <c r="AE315" s="59">
        <v>0</v>
      </c>
      <c r="AF315" s="95">
        <v>0</v>
      </c>
    </row>
    <row r="316" spans="2:32" s="59" customFormat="1">
      <c r="B316" s="66" t="str">
        <f t="shared" si="17"/>
        <v>UPSOIL</v>
      </c>
      <c r="C316" s="499" t="s">
        <v>745</v>
      </c>
      <c r="D316" s="500" t="s">
        <v>733</v>
      </c>
      <c r="E316" s="70">
        <v>0</v>
      </c>
      <c r="F316" s="59">
        <v>0</v>
      </c>
      <c r="G316" s="59">
        <v>0</v>
      </c>
      <c r="H316" s="59">
        <v>0</v>
      </c>
      <c r="I316" s="59">
        <v>0</v>
      </c>
      <c r="J316" s="59">
        <v>0</v>
      </c>
      <c r="K316" s="59">
        <v>0</v>
      </c>
      <c r="L316" s="59">
        <v>0</v>
      </c>
      <c r="M316" s="59">
        <v>0</v>
      </c>
      <c r="N316" s="59">
        <v>0</v>
      </c>
      <c r="O316" s="59">
        <v>0</v>
      </c>
      <c r="P316" s="59">
        <v>0</v>
      </c>
      <c r="Q316" s="59">
        <v>0</v>
      </c>
      <c r="R316" s="59">
        <v>0</v>
      </c>
      <c r="S316" s="59">
        <v>0</v>
      </c>
      <c r="T316" s="59">
        <v>0</v>
      </c>
      <c r="U316" s="59">
        <v>0</v>
      </c>
      <c r="V316" s="59">
        <v>0</v>
      </c>
      <c r="W316" s="59">
        <v>0</v>
      </c>
      <c r="X316" s="59">
        <v>0</v>
      </c>
      <c r="Y316" s="59">
        <v>0</v>
      </c>
      <c r="Z316" s="59">
        <v>0</v>
      </c>
      <c r="AA316" s="59">
        <v>0</v>
      </c>
      <c r="AB316" s="59">
        <v>0</v>
      </c>
      <c r="AC316" s="59">
        <v>0</v>
      </c>
      <c r="AD316" s="59">
        <v>0</v>
      </c>
      <c r="AE316" s="59">
        <v>0</v>
      </c>
      <c r="AF316" s="95">
        <v>0</v>
      </c>
    </row>
    <row r="317" spans="2:32" s="59" customFormat="1">
      <c r="B317" s="66" t="str">
        <f t="shared" si="17"/>
        <v>UPSOIL</v>
      </c>
      <c r="C317" s="499" t="s">
        <v>746</v>
      </c>
      <c r="D317" s="500" t="s">
        <v>733</v>
      </c>
      <c r="E317" s="70">
        <v>0</v>
      </c>
      <c r="F317" s="59">
        <v>0</v>
      </c>
      <c r="G317" s="59">
        <v>0</v>
      </c>
      <c r="H317" s="59">
        <v>0</v>
      </c>
      <c r="I317" s="59">
        <v>0</v>
      </c>
      <c r="J317" s="59">
        <v>0</v>
      </c>
      <c r="K317" s="59">
        <v>0</v>
      </c>
      <c r="L317" s="59">
        <v>0</v>
      </c>
      <c r="M317" s="59">
        <v>0</v>
      </c>
      <c r="N317" s="59">
        <v>0</v>
      </c>
      <c r="O317" s="59">
        <v>0</v>
      </c>
      <c r="P317" s="59">
        <v>0</v>
      </c>
      <c r="Q317" s="59">
        <v>0</v>
      </c>
      <c r="R317" s="59">
        <v>0</v>
      </c>
      <c r="S317" s="59">
        <v>0</v>
      </c>
      <c r="T317" s="59">
        <v>0</v>
      </c>
      <c r="U317" s="59">
        <v>0</v>
      </c>
      <c r="V317" s="59">
        <v>0</v>
      </c>
      <c r="W317" s="59">
        <v>0</v>
      </c>
      <c r="X317" s="59">
        <v>0</v>
      </c>
      <c r="Y317" s="59">
        <v>0</v>
      </c>
      <c r="Z317" s="59">
        <v>0</v>
      </c>
      <c r="AA317" s="59">
        <v>0</v>
      </c>
      <c r="AB317" s="59">
        <v>0</v>
      </c>
      <c r="AC317" s="59">
        <v>0</v>
      </c>
      <c r="AD317" s="59">
        <v>0</v>
      </c>
      <c r="AE317" s="59">
        <v>0</v>
      </c>
      <c r="AF317" s="95">
        <v>0</v>
      </c>
    </row>
    <row r="318" spans="2:32" s="59" customFormat="1">
      <c r="B318" s="269" t="str">
        <f t="shared" si="17"/>
        <v>UPSOIL</v>
      </c>
      <c r="C318" s="503" t="s">
        <v>747</v>
      </c>
      <c r="D318" s="504" t="s">
        <v>733</v>
      </c>
      <c r="E318" s="271">
        <v>0</v>
      </c>
      <c r="F318" s="80">
        <v>0</v>
      </c>
      <c r="G318" s="80">
        <v>0</v>
      </c>
      <c r="H318" s="80">
        <v>0</v>
      </c>
      <c r="I318" s="80">
        <v>0</v>
      </c>
      <c r="J318" s="80">
        <v>0</v>
      </c>
      <c r="K318" s="80">
        <v>0</v>
      </c>
      <c r="L318" s="80">
        <v>0</v>
      </c>
      <c r="M318" s="80">
        <v>0</v>
      </c>
      <c r="N318" s="80">
        <v>0</v>
      </c>
      <c r="O318" s="80">
        <v>0</v>
      </c>
      <c r="P318" s="80">
        <v>0</v>
      </c>
      <c r="Q318" s="80">
        <v>0</v>
      </c>
      <c r="R318" s="80">
        <v>0</v>
      </c>
      <c r="S318" s="80">
        <v>0</v>
      </c>
      <c r="T318" s="80">
        <v>0</v>
      </c>
      <c r="U318" s="80">
        <v>0</v>
      </c>
      <c r="V318" s="80">
        <v>0</v>
      </c>
      <c r="W318" s="80">
        <v>0</v>
      </c>
      <c r="X318" s="80">
        <v>0</v>
      </c>
      <c r="Y318" s="80">
        <v>0</v>
      </c>
      <c r="Z318" s="80">
        <v>0</v>
      </c>
      <c r="AA318" s="80">
        <v>0</v>
      </c>
      <c r="AB318" s="80">
        <v>0</v>
      </c>
      <c r="AC318" s="80">
        <v>0</v>
      </c>
      <c r="AD318" s="80">
        <v>0</v>
      </c>
      <c r="AE318" s="80">
        <v>0</v>
      </c>
      <c r="AF318" s="97">
        <v>0</v>
      </c>
    </row>
    <row r="319" spans="2:32" s="59" customFormat="1">
      <c r="B319" s="66" t="s">
        <v>558</v>
      </c>
      <c r="C319" s="499"/>
      <c r="D319" s="500"/>
      <c r="E319" s="70"/>
      <c r="AF319" s="95"/>
    </row>
    <row r="320" spans="2:32" s="59" customFormat="1">
      <c r="B320" s="66" t="str">
        <f>B319</f>
        <v>UPSOIL2</v>
      </c>
      <c r="C320" s="499" t="s">
        <v>732</v>
      </c>
      <c r="D320" s="500" t="s">
        <v>733</v>
      </c>
      <c r="E320" s="70">
        <v>0</v>
      </c>
      <c r="F320" s="59">
        <v>0</v>
      </c>
      <c r="G320" s="59">
        <v>0</v>
      </c>
      <c r="H320" s="59">
        <v>0</v>
      </c>
      <c r="I320" s="59">
        <v>7.3371716412660359E-3</v>
      </c>
      <c r="J320" s="59">
        <v>0</v>
      </c>
      <c r="K320" s="59">
        <v>0</v>
      </c>
      <c r="L320" s="59">
        <v>0</v>
      </c>
      <c r="M320" s="59">
        <v>0</v>
      </c>
      <c r="N320" s="59">
        <v>0.6697107189815481</v>
      </c>
      <c r="O320" s="59">
        <v>0</v>
      </c>
      <c r="P320" s="59">
        <v>6.1872684484149416E-3</v>
      </c>
      <c r="Q320" s="59">
        <v>2.2101960422421093E-3</v>
      </c>
      <c r="R320" s="59">
        <v>0</v>
      </c>
      <c r="S320" s="59">
        <v>4.71812256782173E-4</v>
      </c>
      <c r="T320" s="59">
        <v>0</v>
      </c>
      <c r="U320" s="59">
        <v>0</v>
      </c>
      <c r="V320" s="59">
        <v>0</v>
      </c>
      <c r="W320" s="59">
        <v>0</v>
      </c>
      <c r="X320" s="59">
        <v>0</v>
      </c>
      <c r="Y320" s="59">
        <v>0</v>
      </c>
      <c r="Z320" s="59">
        <v>0</v>
      </c>
      <c r="AA320" s="59">
        <v>0</v>
      </c>
      <c r="AB320" s="59">
        <v>0</v>
      </c>
      <c r="AC320" s="59">
        <v>0</v>
      </c>
      <c r="AD320" s="59">
        <v>0</v>
      </c>
      <c r="AE320" s="59">
        <v>2.3304189723105731E-3</v>
      </c>
      <c r="AF320" s="95">
        <v>0</v>
      </c>
    </row>
    <row r="321" spans="2:32" s="59" customFormat="1">
      <c r="B321" s="66" t="str">
        <f t="shared" ref="B321:B334" si="18">B320</f>
        <v>UPSOIL2</v>
      </c>
      <c r="C321" s="499" t="s">
        <v>734</v>
      </c>
      <c r="D321" s="500" t="s">
        <v>733</v>
      </c>
      <c r="E321" s="70">
        <v>1</v>
      </c>
      <c r="F321" s="59">
        <v>1</v>
      </c>
      <c r="G321" s="59">
        <v>1</v>
      </c>
      <c r="H321" s="59">
        <v>1</v>
      </c>
      <c r="I321" s="59">
        <v>0.8149574680231072</v>
      </c>
      <c r="J321" s="59">
        <v>0.99687403735222102</v>
      </c>
      <c r="K321" s="59">
        <v>1</v>
      </c>
      <c r="L321" s="59">
        <v>1</v>
      </c>
      <c r="M321" s="59">
        <v>1</v>
      </c>
      <c r="N321" s="59">
        <v>0.33028928101845184</v>
      </c>
      <c r="O321" s="59">
        <v>1</v>
      </c>
      <c r="P321" s="59">
        <v>0.99304712357671476</v>
      </c>
      <c r="Q321" s="59">
        <v>0.94439636865156795</v>
      </c>
      <c r="R321" s="59">
        <v>1</v>
      </c>
      <c r="S321" s="59">
        <v>0.9431689625390437</v>
      </c>
      <c r="T321" s="59">
        <v>0.99998052673058235</v>
      </c>
      <c r="U321" s="59">
        <v>0.99668242061701506</v>
      </c>
      <c r="V321" s="59">
        <v>1</v>
      </c>
      <c r="W321" s="59">
        <v>1</v>
      </c>
      <c r="X321" s="59">
        <v>1</v>
      </c>
      <c r="Y321" s="59">
        <v>1</v>
      </c>
      <c r="Z321" s="59">
        <v>1</v>
      </c>
      <c r="AA321" s="59">
        <v>0.98006355855756344</v>
      </c>
      <c r="AB321" s="59">
        <v>1</v>
      </c>
      <c r="AC321" s="59">
        <v>1</v>
      </c>
      <c r="AD321" s="59">
        <v>1</v>
      </c>
      <c r="AE321" s="59">
        <v>0.99766958102768943</v>
      </c>
      <c r="AF321" s="95">
        <v>1</v>
      </c>
    </row>
    <row r="322" spans="2:32" s="59" customFormat="1">
      <c r="B322" s="66" t="str">
        <f t="shared" si="18"/>
        <v>UPSOIL2</v>
      </c>
      <c r="C322" s="499" t="s">
        <v>735</v>
      </c>
      <c r="D322" s="500" t="s">
        <v>733</v>
      </c>
      <c r="E322" s="70">
        <v>0</v>
      </c>
      <c r="F322" s="59">
        <v>0</v>
      </c>
      <c r="G322" s="59">
        <v>0</v>
      </c>
      <c r="H322" s="59">
        <v>0</v>
      </c>
      <c r="I322" s="59">
        <v>0.17751163607309614</v>
      </c>
      <c r="J322" s="59">
        <v>3.1259626477790096E-3</v>
      </c>
      <c r="K322" s="59">
        <v>0</v>
      </c>
      <c r="L322" s="59">
        <v>0</v>
      </c>
      <c r="M322" s="59">
        <v>0</v>
      </c>
      <c r="N322" s="59">
        <v>0</v>
      </c>
      <c r="O322" s="59">
        <v>0</v>
      </c>
      <c r="P322" s="59">
        <v>4.6270967413285908E-4</v>
      </c>
      <c r="Q322" s="59">
        <v>5.3393435306189965E-2</v>
      </c>
      <c r="R322" s="59">
        <v>0</v>
      </c>
      <c r="S322" s="59">
        <v>5.6255122711144127E-2</v>
      </c>
      <c r="T322" s="59">
        <v>1.9473269417604086E-5</v>
      </c>
      <c r="U322" s="59">
        <v>3.3175793829848883E-3</v>
      </c>
      <c r="V322" s="59">
        <v>0</v>
      </c>
      <c r="W322" s="59">
        <v>0</v>
      </c>
      <c r="X322" s="59">
        <v>0</v>
      </c>
      <c r="Y322" s="59">
        <v>0</v>
      </c>
      <c r="Z322" s="59">
        <v>0</v>
      </c>
      <c r="AA322" s="59">
        <v>1.993644144243659E-2</v>
      </c>
      <c r="AB322" s="59">
        <v>0</v>
      </c>
      <c r="AC322" s="59">
        <v>0</v>
      </c>
      <c r="AD322" s="59">
        <v>0</v>
      </c>
      <c r="AE322" s="59">
        <v>0</v>
      </c>
      <c r="AF322" s="95">
        <v>0</v>
      </c>
    </row>
    <row r="323" spans="2:32" s="59" customFormat="1">
      <c r="B323" s="66" t="str">
        <f t="shared" si="18"/>
        <v>UPSOIL2</v>
      </c>
      <c r="C323" s="499" t="s">
        <v>736</v>
      </c>
      <c r="D323" s="500" t="s">
        <v>733</v>
      </c>
      <c r="E323" s="70">
        <v>0</v>
      </c>
      <c r="F323" s="59">
        <v>0</v>
      </c>
      <c r="G323" s="59">
        <v>0</v>
      </c>
      <c r="H323" s="59">
        <v>0</v>
      </c>
      <c r="I323" s="59">
        <v>0</v>
      </c>
      <c r="J323" s="59">
        <v>0</v>
      </c>
      <c r="K323" s="59">
        <v>0</v>
      </c>
      <c r="L323" s="59">
        <v>0</v>
      </c>
      <c r="M323" s="59">
        <v>0</v>
      </c>
      <c r="N323" s="59">
        <v>0</v>
      </c>
      <c r="O323" s="59">
        <v>0</v>
      </c>
      <c r="P323" s="59">
        <v>0</v>
      </c>
      <c r="Q323" s="59">
        <v>0</v>
      </c>
      <c r="R323" s="59">
        <v>0</v>
      </c>
      <c r="S323" s="59">
        <v>0</v>
      </c>
      <c r="T323" s="59">
        <v>0</v>
      </c>
      <c r="U323" s="59">
        <v>0</v>
      </c>
      <c r="V323" s="59">
        <v>0</v>
      </c>
      <c r="W323" s="59">
        <v>0</v>
      </c>
      <c r="X323" s="59">
        <v>0</v>
      </c>
      <c r="Y323" s="59">
        <v>0</v>
      </c>
      <c r="Z323" s="59">
        <v>0</v>
      </c>
      <c r="AA323" s="59">
        <v>0</v>
      </c>
      <c r="AB323" s="59">
        <v>0</v>
      </c>
      <c r="AC323" s="59">
        <v>0</v>
      </c>
      <c r="AD323" s="59">
        <v>0</v>
      </c>
      <c r="AE323" s="59">
        <v>0</v>
      </c>
      <c r="AF323" s="95">
        <v>0</v>
      </c>
    </row>
    <row r="324" spans="2:32" s="59" customFormat="1">
      <c r="B324" s="66" t="str">
        <f t="shared" si="18"/>
        <v>UPSOIL2</v>
      </c>
      <c r="C324" s="499" t="s">
        <v>737</v>
      </c>
      <c r="D324" s="500" t="s">
        <v>733</v>
      </c>
      <c r="E324" s="70">
        <v>0</v>
      </c>
      <c r="F324" s="59">
        <v>0</v>
      </c>
      <c r="G324" s="59">
        <v>0</v>
      </c>
      <c r="H324" s="59">
        <v>0</v>
      </c>
      <c r="I324" s="59">
        <v>0</v>
      </c>
      <c r="J324" s="59">
        <v>0</v>
      </c>
      <c r="K324" s="59">
        <v>0</v>
      </c>
      <c r="L324" s="59">
        <v>0</v>
      </c>
      <c r="M324" s="59">
        <v>0</v>
      </c>
      <c r="N324" s="59">
        <v>0</v>
      </c>
      <c r="O324" s="59">
        <v>0</v>
      </c>
      <c r="P324" s="59">
        <v>0</v>
      </c>
      <c r="Q324" s="59">
        <v>0</v>
      </c>
      <c r="R324" s="59">
        <v>0</v>
      </c>
      <c r="S324" s="59">
        <v>0</v>
      </c>
      <c r="T324" s="59">
        <v>0</v>
      </c>
      <c r="U324" s="59">
        <v>0</v>
      </c>
      <c r="V324" s="59">
        <v>0</v>
      </c>
      <c r="W324" s="59">
        <v>0</v>
      </c>
      <c r="X324" s="59">
        <v>0</v>
      </c>
      <c r="Y324" s="59">
        <v>0</v>
      </c>
      <c r="Z324" s="59">
        <v>0</v>
      </c>
      <c r="AA324" s="59">
        <v>0</v>
      </c>
      <c r="AB324" s="59">
        <v>0</v>
      </c>
      <c r="AC324" s="59">
        <v>0</v>
      </c>
      <c r="AD324" s="59">
        <v>0</v>
      </c>
      <c r="AE324" s="59">
        <v>0</v>
      </c>
      <c r="AF324" s="95">
        <v>0</v>
      </c>
    </row>
    <row r="325" spans="2:32" s="59" customFormat="1">
      <c r="B325" s="66" t="str">
        <f t="shared" si="18"/>
        <v>UPSOIL2</v>
      </c>
      <c r="C325" s="499" t="s">
        <v>738</v>
      </c>
      <c r="D325" s="500" t="s">
        <v>733</v>
      </c>
      <c r="E325" s="70">
        <v>0</v>
      </c>
      <c r="F325" s="59">
        <v>0</v>
      </c>
      <c r="G325" s="59">
        <v>0</v>
      </c>
      <c r="H325" s="59">
        <v>0</v>
      </c>
      <c r="I325" s="59">
        <v>0</v>
      </c>
      <c r="J325" s="59">
        <v>0</v>
      </c>
      <c r="K325" s="59">
        <v>0</v>
      </c>
      <c r="L325" s="59">
        <v>0</v>
      </c>
      <c r="M325" s="59">
        <v>0</v>
      </c>
      <c r="N325" s="59">
        <v>0</v>
      </c>
      <c r="O325" s="59">
        <v>0</v>
      </c>
      <c r="P325" s="59">
        <v>0</v>
      </c>
      <c r="Q325" s="59">
        <v>0</v>
      </c>
      <c r="R325" s="59">
        <v>0</v>
      </c>
      <c r="S325" s="59">
        <v>0</v>
      </c>
      <c r="T325" s="59">
        <v>0</v>
      </c>
      <c r="U325" s="59">
        <v>0</v>
      </c>
      <c r="V325" s="59">
        <v>0</v>
      </c>
      <c r="W325" s="59">
        <v>0</v>
      </c>
      <c r="X325" s="59">
        <v>0</v>
      </c>
      <c r="Y325" s="59">
        <v>0</v>
      </c>
      <c r="Z325" s="59">
        <v>0</v>
      </c>
      <c r="AA325" s="59">
        <v>0</v>
      </c>
      <c r="AB325" s="59">
        <v>0</v>
      </c>
      <c r="AC325" s="59">
        <v>0</v>
      </c>
      <c r="AD325" s="59">
        <v>0</v>
      </c>
      <c r="AE325" s="59">
        <v>0</v>
      </c>
      <c r="AF325" s="95">
        <v>0</v>
      </c>
    </row>
    <row r="326" spans="2:32" s="59" customFormat="1">
      <c r="B326" s="66" t="str">
        <f t="shared" si="18"/>
        <v>UPSOIL2</v>
      </c>
      <c r="C326" s="499" t="s">
        <v>739</v>
      </c>
      <c r="D326" s="500" t="s">
        <v>733</v>
      </c>
      <c r="E326" s="70">
        <v>0</v>
      </c>
      <c r="F326" s="59">
        <v>0</v>
      </c>
      <c r="G326" s="59">
        <v>0</v>
      </c>
      <c r="H326" s="59">
        <v>0</v>
      </c>
      <c r="I326" s="59">
        <v>0</v>
      </c>
      <c r="J326" s="59">
        <v>0</v>
      </c>
      <c r="K326" s="59">
        <v>0</v>
      </c>
      <c r="L326" s="59">
        <v>0</v>
      </c>
      <c r="M326" s="59">
        <v>0</v>
      </c>
      <c r="N326" s="59">
        <v>0</v>
      </c>
      <c r="O326" s="59">
        <v>0</v>
      </c>
      <c r="P326" s="59">
        <v>0</v>
      </c>
      <c r="Q326" s="59">
        <v>0</v>
      </c>
      <c r="R326" s="59">
        <v>0</v>
      </c>
      <c r="S326" s="59">
        <v>0</v>
      </c>
      <c r="T326" s="59">
        <v>0</v>
      </c>
      <c r="U326" s="59">
        <v>0</v>
      </c>
      <c r="V326" s="59">
        <v>0</v>
      </c>
      <c r="W326" s="59">
        <v>0</v>
      </c>
      <c r="X326" s="59">
        <v>0</v>
      </c>
      <c r="Y326" s="59">
        <v>0</v>
      </c>
      <c r="Z326" s="59">
        <v>0</v>
      </c>
      <c r="AA326" s="59">
        <v>0</v>
      </c>
      <c r="AB326" s="59">
        <v>0</v>
      </c>
      <c r="AC326" s="59">
        <v>0</v>
      </c>
      <c r="AD326" s="59">
        <v>0</v>
      </c>
      <c r="AE326" s="59">
        <v>0</v>
      </c>
      <c r="AF326" s="95">
        <v>0</v>
      </c>
    </row>
    <row r="327" spans="2:32" s="59" customFormat="1">
      <c r="B327" s="66" t="str">
        <f t="shared" si="18"/>
        <v>UPSOIL2</v>
      </c>
      <c r="C327" s="499" t="s">
        <v>740</v>
      </c>
      <c r="D327" s="500" t="s">
        <v>733</v>
      </c>
      <c r="E327" s="70">
        <v>0</v>
      </c>
      <c r="F327" s="59">
        <v>0</v>
      </c>
      <c r="G327" s="59">
        <v>0</v>
      </c>
      <c r="H327" s="59">
        <v>0</v>
      </c>
      <c r="I327" s="59">
        <v>0</v>
      </c>
      <c r="J327" s="59">
        <v>0</v>
      </c>
      <c r="K327" s="59">
        <v>0</v>
      </c>
      <c r="L327" s="59">
        <v>0</v>
      </c>
      <c r="M327" s="59">
        <v>0</v>
      </c>
      <c r="N327" s="59">
        <v>0</v>
      </c>
      <c r="O327" s="59">
        <v>0</v>
      </c>
      <c r="P327" s="59">
        <v>0</v>
      </c>
      <c r="Q327" s="59">
        <v>0</v>
      </c>
      <c r="R327" s="59">
        <v>0</v>
      </c>
      <c r="S327" s="59">
        <v>0</v>
      </c>
      <c r="T327" s="59">
        <v>0</v>
      </c>
      <c r="U327" s="59">
        <v>0</v>
      </c>
      <c r="V327" s="59">
        <v>0</v>
      </c>
      <c r="W327" s="59">
        <v>0</v>
      </c>
      <c r="X327" s="59">
        <v>0</v>
      </c>
      <c r="Y327" s="59">
        <v>0</v>
      </c>
      <c r="Z327" s="59">
        <v>0</v>
      </c>
      <c r="AA327" s="59">
        <v>0</v>
      </c>
      <c r="AB327" s="59">
        <v>0</v>
      </c>
      <c r="AC327" s="59">
        <v>0</v>
      </c>
      <c r="AD327" s="59">
        <v>0</v>
      </c>
      <c r="AE327" s="59">
        <v>0</v>
      </c>
      <c r="AF327" s="95">
        <v>0</v>
      </c>
    </row>
    <row r="328" spans="2:32" s="59" customFormat="1">
      <c r="B328" s="66" t="str">
        <f t="shared" si="18"/>
        <v>UPSOIL2</v>
      </c>
      <c r="C328" s="499" t="s">
        <v>741</v>
      </c>
      <c r="D328" s="500" t="s">
        <v>733</v>
      </c>
      <c r="E328" s="70">
        <v>0</v>
      </c>
      <c r="F328" s="59">
        <v>0</v>
      </c>
      <c r="G328" s="59">
        <v>0</v>
      </c>
      <c r="H328" s="59">
        <v>0</v>
      </c>
      <c r="I328" s="59">
        <v>1.9372426253055162E-4</v>
      </c>
      <c r="J328" s="59">
        <v>0</v>
      </c>
      <c r="K328" s="59">
        <v>0</v>
      </c>
      <c r="L328" s="59">
        <v>0</v>
      </c>
      <c r="M328" s="59">
        <v>0</v>
      </c>
      <c r="N328" s="59">
        <v>0</v>
      </c>
      <c r="O328" s="59">
        <v>0</v>
      </c>
      <c r="P328" s="59">
        <v>3.028983007375744E-4</v>
      </c>
      <c r="Q328" s="59">
        <v>0</v>
      </c>
      <c r="R328" s="59">
        <v>0</v>
      </c>
      <c r="S328" s="59">
        <v>1.0410249302999141E-4</v>
      </c>
      <c r="T328" s="59">
        <v>0</v>
      </c>
      <c r="U328" s="59">
        <v>0</v>
      </c>
      <c r="V328" s="59">
        <v>0</v>
      </c>
      <c r="W328" s="59">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
      </c>
      <c r="D329" s="500" t="s">
        <v>733</v>
      </c>
      <c r="E329" s="70">
        <v>0</v>
      </c>
      <c r="F329" s="59">
        <v>0</v>
      </c>
      <c r="G329" s="59">
        <v>0</v>
      </c>
      <c r="H329" s="59">
        <v>0</v>
      </c>
      <c r="I329" s="59">
        <v>0</v>
      </c>
      <c r="J329" s="59">
        <v>0</v>
      </c>
      <c r="K329" s="59">
        <v>0</v>
      </c>
      <c r="L329" s="59">
        <v>0</v>
      </c>
      <c r="M329" s="59">
        <v>0</v>
      </c>
      <c r="N329" s="59">
        <v>0</v>
      </c>
      <c r="O329" s="59">
        <v>0</v>
      </c>
      <c r="P329" s="59">
        <v>0</v>
      </c>
      <c r="Q329" s="59">
        <v>0</v>
      </c>
      <c r="R329" s="59">
        <v>0</v>
      </c>
      <c r="S329" s="59">
        <v>0</v>
      </c>
      <c r="T329" s="59">
        <v>0</v>
      </c>
      <c r="U329" s="59">
        <v>0</v>
      </c>
      <c r="V329" s="59">
        <v>0</v>
      </c>
      <c r="W329" s="59">
        <v>0</v>
      </c>
      <c r="X329" s="59">
        <v>0</v>
      </c>
      <c r="Y329" s="59">
        <v>0</v>
      </c>
      <c r="Z329" s="59">
        <v>0</v>
      </c>
      <c r="AA329" s="59">
        <v>0</v>
      </c>
      <c r="AB329" s="59">
        <v>0</v>
      </c>
      <c r="AC329" s="59">
        <v>0</v>
      </c>
      <c r="AD329" s="59">
        <v>0</v>
      </c>
      <c r="AE329" s="59">
        <v>0</v>
      </c>
      <c r="AF329" s="95">
        <v>0</v>
      </c>
    </row>
    <row r="330" spans="2:32" s="59" customFormat="1">
      <c r="B330" s="66" t="str">
        <f t="shared" si="18"/>
        <v>UPSOIL2</v>
      </c>
      <c r="C330" s="499" t="s">
        <v>743</v>
      </c>
      <c r="D330" s="500" t="s">
        <v>733</v>
      </c>
      <c r="E330" s="70">
        <v>0</v>
      </c>
      <c r="F330" s="59">
        <v>0</v>
      </c>
      <c r="G330" s="59">
        <v>0</v>
      </c>
      <c r="H330" s="59">
        <v>0</v>
      </c>
      <c r="I330" s="59">
        <v>0</v>
      </c>
      <c r="J330" s="59">
        <v>0</v>
      </c>
      <c r="K330" s="59">
        <v>0</v>
      </c>
      <c r="L330" s="59">
        <v>0</v>
      </c>
      <c r="M330" s="59">
        <v>0</v>
      </c>
      <c r="N330" s="59">
        <v>0</v>
      </c>
      <c r="O330" s="59">
        <v>0</v>
      </c>
      <c r="P330" s="59">
        <v>0</v>
      </c>
      <c r="Q330" s="59">
        <v>0</v>
      </c>
      <c r="R330" s="59">
        <v>0</v>
      </c>
      <c r="S330" s="59">
        <v>0</v>
      </c>
      <c r="T330" s="59">
        <v>0</v>
      </c>
      <c r="U330" s="59">
        <v>0</v>
      </c>
      <c r="V330" s="59">
        <v>0</v>
      </c>
      <c r="W330" s="59">
        <v>0</v>
      </c>
      <c r="X330" s="59">
        <v>0</v>
      </c>
      <c r="Y330" s="59">
        <v>0</v>
      </c>
      <c r="Z330" s="59">
        <v>0</v>
      </c>
      <c r="AA330" s="59">
        <v>0</v>
      </c>
      <c r="AB330" s="59">
        <v>0</v>
      </c>
      <c r="AC330" s="59">
        <v>0</v>
      </c>
      <c r="AD330" s="59">
        <v>0</v>
      </c>
      <c r="AE330" s="59">
        <v>0</v>
      </c>
      <c r="AF330" s="95">
        <v>0</v>
      </c>
    </row>
    <row r="331" spans="2:32" s="59" customFormat="1">
      <c r="B331" s="66" t="str">
        <f t="shared" si="18"/>
        <v>UPSOIL2</v>
      </c>
      <c r="C331" s="499" t="s">
        <v>744</v>
      </c>
      <c r="D331" s="500" t="s">
        <v>733</v>
      </c>
      <c r="E331" s="70">
        <v>0</v>
      </c>
      <c r="F331" s="59">
        <v>0</v>
      </c>
      <c r="G331" s="59">
        <v>0</v>
      </c>
      <c r="H331" s="59">
        <v>0</v>
      </c>
      <c r="I331" s="59">
        <v>0</v>
      </c>
      <c r="J331" s="59">
        <v>0</v>
      </c>
      <c r="K331" s="59">
        <v>0</v>
      </c>
      <c r="L331" s="59">
        <v>0</v>
      </c>
      <c r="M331" s="59">
        <v>0</v>
      </c>
      <c r="N331" s="59">
        <v>0</v>
      </c>
      <c r="O331" s="59">
        <v>0</v>
      </c>
      <c r="P331" s="59">
        <v>0</v>
      </c>
      <c r="Q331" s="59">
        <v>0</v>
      </c>
      <c r="R331" s="59">
        <v>0</v>
      </c>
      <c r="S331" s="59">
        <v>0</v>
      </c>
      <c r="T331" s="59">
        <v>0</v>
      </c>
      <c r="U331" s="59">
        <v>0</v>
      </c>
      <c r="V331" s="59">
        <v>0</v>
      </c>
      <c r="W331" s="59">
        <v>0</v>
      </c>
      <c r="X331" s="59">
        <v>0</v>
      </c>
      <c r="Y331" s="59">
        <v>0</v>
      </c>
      <c r="Z331" s="59">
        <v>0</v>
      </c>
      <c r="AA331" s="59">
        <v>0</v>
      </c>
      <c r="AB331" s="59">
        <v>0</v>
      </c>
      <c r="AC331" s="59">
        <v>0</v>
      </c>
      <c r="AD331" s="59">
        <v>0</v>
      </c>
      <c r="AE331" s="59">
        <v>0</v>
      </c>
      <c r="AF331" s="95">
        <v>0</v>
      </c>
    </row>
    <row r="332" spans="2:32" s="59" customFormat="1">
      <c r="B332" s="66" t="str">
        <f t="shared" si="18"/>
        <v>UPSOIL2</v>
      </c>
      <c r="C332" s="499" t="s">
        <v>745</v>
      </c>
      <c r="D332" s="500" t="s">
        <v>733</v>
      </c>
      <c r="E332" s="70">
        <v>0</v>
      </c>
      <c r="F332" s="59">
        <v>0</v>
      </c>
      <c r="G332" s="59">
        <v>0</v>
      </c>
      <c r="H332" s="59">
        <v>0</v>
      </c>
      <c r="I332" s="59">
        <v>0</v>
      </c>
      <c r="J332" s="59">
        <v>0</v>
      </c>
      <c r="K332" s="59">
        <v>0</v>
      </c>
      <c r="L332" s="59">
        <v>0</v>
      </c>
      <c r="M332" s="59">
        <v>0</v>
      </c>
      <c r="N332" s="59">
        <v>0</v>
      </c>
      <c r="O332" s="59">
        <v>0</v>
      </c>
      <c r="P332" s="59">
        <v>0</v>
      </c>
      <c r="Q332" s="59">
        <v>0</v>
      </c>
      <c r="R332" s="59">
        <v>0</v>
      </c>
      <c r="S332" s="59">
        <v>0</v>
      </c>
      <c r="T332" s="59">
        <v>0</v>
      </c>
      <c r="U332" s="59">
        <v>0</v>
      </c>
      <c r="V332" s="59">
        <v>0</v>
      </c>
      <c r="W332" s="59">
        <v>0</v>
      </c>
      <c r="X332" s="59">
        <v>0</v>
      </c>
      <c r="Y332" s="59">
        <v>0</v>
      </c>
      <c r="Z332" s="59">
        <v>0</v>
      </c>
      <c r="AA332" s="59">
        <v>0</v>
      </c>
      <c r="AB332" s="59">
        <v>0</v>
      </c>
      <c r="AC332" s="59">
        <v>0</v>
      </c>
      <c r="AD332" s="59">
        <v>0</v>
      </c>
      <c r="AE332" s="59">
        <v>0</v>
      </c>
      <c r="AF332" s="95">
        <v>0</v>
      </c>
    </row>
    <row r="333" spans="2:32" s="59" customFormat="1">
      <c r="B333" s="66" t="str">
        <f t="shared" si="18"/>
        <v>UPSOIL2</v>
      </c>
      <c r="C333" s="499" t="s">
        <v>746</v>
      </c>
      <c r="D333" s="500" t="s">
        <v>733</v>
      </c>
      <c r="E333" s="70">
        <v>0</v>
      </c>
      <c r="F333" s="59">
        <v>0</v>
      </c>
      <c r="G333" s="59">
        <v>0</v>
      </c>
      <c r="H333" s="59">
        <v>0</v>
      </c>
      <c r="I333" s="59">
        <v>0</v>
      </c>
      <c r="J333" s="59">
        <v>0</v>
      </c>
      <c r="K333" s="59">
        <v>0</v>
      </c>
      <c r="L333" s="59">
        <v>0</v>
      </c>
      <c r="M333" s="59">
        <v>0</v>
      </c>
      <c r="N333" s="59">
        <v>0</v>
      </c>
      <c r="O333" s="59">
        <v>0</v>
      </c>
      <c r="P333" s="59">
        <v>0</v>
      </c>
      <c r="Q333" s="59">
        <v>0</v>
      </c>
      <c r="R333" s="59">
        <v>0</v>
      </c>
      <c r="S333" s="59">
        <v>0</v>
      </c>
      <c r="T333" s="59">
        <v>0</v>
      </c>
      <c r="U333" s="59">
        <v>0</v>
      </c>
      <c r="V333" s="59">
        <v>0</v>
      </c>
      <c r="W333" s="59">
        <v>0</v>
      </c>
      <c r="X333" s="59">
        <v>0</v>
      </c>
      <c r="Y333" s="59">
        <v>0</v>
      </c>
      <c r="Z333" s="59">
        <v>0</v>
      </c>
      <c r="AA333" s="59">
        <v>0</v>
      </c>
      <c r="AB333" s="59">
        <v>0</v>
      </c>
      <c r="AC333" s="59">
        <v>0</v>
      </c>
      <c r="AD333" s="59">
        <v>0</v>
      </c>
      <c r="AE333" s="59">
        <v>0</v>
      </c>
      <c r="AF333" s="95">
        <v>0</v>
      </c>
    </row>
    <row r="334" spans="2:32" s="59" customFormat="1">
      <c r="B334" s="269" t="str">
        <f t="shared" si="18"/>
        <v>UPSOIL2</v>
      </c>
      <c r="C334" s="503" t="s">
        <v>747</v>
      </c>
      <c r="D334" s="504" t="s">
        <v>733</v>
      </c>
      <c r="E334" s="271">
        <v>0</v>
      </c>
      <c r="F334" s="80">
        <v>0</v>
      </c>
      <c r="G334" s="80">
        <v>0</v>
      </c>
      <c r="H334" s="80">
        <v>0</v>
      </c>
      <c r="I334" s="80">
        <v>0</v>
      </c>
      <c r="J334" s="80">
        <v>0</v>
      </c>
      <c r="K334" s="80">
        <v>0</v>
      </c>
      <c r="L334" s="80">
        <v>0</v>
      </c>
      <c r="M334" s="80">
        <v>0</v>
      </c>
      <c r="N334" s="80">
        <v>0</v>
      </c>
      <c r="O334" s="80">
        <v>0</v>
      </c>
      <c r="P334" s="80">
        <v>0</v>
      </c>
      <c r="Q334" s="80">
        <v>0</v>
      </c>
      <c r="R334" s="80">
        <v>0</v>
      </c>
      <c r="S334" s="80">
        <v>0</v>
      </c>
      <c r="T334" s="80">
        <v>0</v>
      </c>
      <c r="U334" s="80">
        <v>0</v>
      </c>
      <c r="V334" s="80">
        <v>0</v>
      </c>
      <c r="W334" s="80">
        <v>0</v>
      </c>
      <c r="X334" s="80">
        <v>0</v>
      </c>
      <c r="Y334" s="80">
        <v>0</v>
      </c>
      <c r="Z334" s="80">
        <v>0</v>
      </c>
      <c r="AA334" s="80">
        <v>0</v>
      </c>
      <c r="AB334" s="80">
        <v>0</v>
      </c>
      <c r="AC334" s="80">
        <v>0</v>
      </c>
      <c r="AD334" s="80">
        <v>0</v>
      </c>
      <c r="AE334" s="80">
        <v>0</v>
      </c>
      <c r="AF334" s="97">
        <v>0</v>
      </c>
    </row>
    <row r="335" spans="2:32" s="59" customFormat="1">
      <c r="B335" s="66" t="s">
        <v>560</v>
      </c>
      <c r="C335" s="499"/>
      <c r="D335" s="500"/>
      <c r="E335" s="70"/>
      <c r="AF335" s="95"/>
    </row>
    <row r="336" spans="2:32" s="59" customFormat="1">
      <c r="B336" s="66" t="str">
        <f>B335</f>
        <v>UPSWAS</v>
      </c>
      <c r="C336" s="499" t="s">
        <v>732</v>
      </c>
      <c r="D336" s="500" t="s">
        <v>733</v>
      </c>
      <c r="E336" s="70">
        <v>0</v>
      </c>
      <c r="F336" s="59">
        <v>0</v>
      </c>
      <c r="G336" s="59">
        <v>0</v>
      </c>
      <c r="H336" s="59">
        <v>0</v>
      </c>
      <c r="I336" s="59">
        <v>0</v>
      </c>
      <c r="J336" s="59">
        <v>0</v>
      </c>
      <c r="K336" s="59">
        <v>0</v>
      </c>
      <c r="L336" s="59">
        <v>0</v>
      </c>
      <c r="M336" s="59">
        <v>0</v>
      </c>
      <c r="N336" s="59">
        <v>0</v>
      </c>
      <c r="O336" s="59">
        <v>0</v>
      </c>
      <c r="P336" s="59">
        <v>0</v>
      </c>
      <c r="Q336" s="59">
        <v>0</v>
      </c>
      <c r="R336" s="59">
        <v>0</v>
      </c>
      <c r="S336" s="59">
        <v>0</v>
      </c>
      <c r="T336" s="59">
        <v>0</v>
      </c>
      <c r="U336" s="59">
        <v>0</v>
      </c>
      <c r="V336" s="59">
        <v>0</v>
      </c>
      <c r="W336" s="59">
        <v>0</v>
      </c>
      <c r="X336" s="59">
        <v>0</v>
      </c>
      <c r="Y336" s="59">
        <v>0</v>
      </c>
      <c r="Z336" s="59">
        <v>0</v>
      </c>
      <c r="AA336" s="59">
        <v>0</v>
      </c>
      <c r="AB336" s="59">
        <v>0</v>
      </c>
      <c r="AC336" s="59">
        <v>0</v>
      </c>
      <c r="AD336" s="59">
        <v>0</v>
      </c>
      <c r="AE336" s="59">
        <v>0</v>
      </c>
      <c r="AF336" s="95">
        <v>0</v>
      </c>
    </row>
    <row r="337" spans="1:32" s="59" customFormat="1">
      <c r="B337" s="66" t="str">
        <f t="shared" ref="B337:B350" si="19">B336</f>
        <v>UPSWAS</v>
      </c>
      <c r="C337" s="499" t="s">
        <v>734</v>
      </c>
      <c r="D337" s="500" t="s">
        <v>733</v>
      </c>
      <c r="E337" s="70">
        <v>0</v>
      </c>
      <c r="F337" s="59">
        <v>0</v>
      </c>
      <c r="G337" s="59">
        <v>0</v>
      </c>
      <c r="H337" s="59">
        <v>0</v>
      </c>
      <c r="I337" s="59">
        <v>0</v>
      </c>
      <c r="J337" s="59">
        <v>0</v>
      </c>
      <c r="K337" s="59">
        <v>0</v>
      </c>
      <c r="L337" s="59">
        <v>0</v>
      </c>
      <c r="M337" s="59">
        <v>0</v>
      </c>
      <c r="N337" s="59">
        <v>0</v>
      </c>
      <c r="O337" s="59">
        <v>0</v>
      </c>
      <c r="P337" s="59">
        <v>0</v>
      </c>
      <c r="Q337" s="59">
        <v>0</v>
      </c>
      <c r="R337" s="59">
        <v>0</v>
      </c>
      <c r="S337" s="59">
        <v>0</v>
      </c>
      <c r="T337" s="59">
        <v>0</v>
      </c>
      <c r="U337" s="59">
        <v>0</v>
      </c>
      <c r="V337" s="59">
        <v>0</v>
      </c>
      <c r="W337" s="59">
        <v>0</v>
      </c>
      <c r="X337" s="59">
        <v>0</v>
      </c>
      <c r="Y337" s="59">
        <v>0</v>
      </c>
      <c r="Z337" s="59">
        <v>0</v>
      </c>
      <c r="AA337" s="59">
        <v>0</v>
      </c>
      <c r="AB337" s="59">
        <v>0</v>
      </c>
      <c r="AC337" s="59">
        <v>0</v>
      </c>
      <c r="AD337" s="59">
        <v>1</v>
      </c>
      <c r="AE337" s="59">
        <v>0</v>
      </c>
      <c r="AF337" s="95">
        <v>0</v>
      </c>
    </row>
    <row r="338" spans="1:32" s="59" customFormat="1">
      <c r="B338" s="66" t="str">
        <f t="shared" si="19"/>
        <v>UPSWAS</v>
      </c>
      <c r="C338" s="499" t="s">
        <v>735</v>
      </c>
      <c r="D338" s="500" t="s">
        <v>733</v>
      </c>
      <c r="E338" s="70">
        <v>0</v>
      </c>
      <c r="F338" s="59">
        <v>0</v>
      </c>
      <c r="G338" s="59">
        <v>0</v>
      </c>
      <c r="H338" s="59">
        <v>0</v>
      </c>
      <c r="I338" s="59">
        <v>0</v>
      </c>
      <c r="J338" s="59">
        <v>0</v>
      </c>
      <c r="K338" s="59">
        <v>0</v>
      </c>
      <c r="L338" s="59">
        <v>0</v>
      </c>
      <c r="M338" s="59">
        <v>0</v>
      </c>
      <c r="N338" s="59">
        <v>0</v>
      </c>
      <c r="O338" s="59">
        <v>0</v>
      </c>
      <c r="P338" s="59">
        <v>0</v>
      </c>
      <c r="Q338" s="59">
        <v>0</v>
      </c>
      <c r="R338" s="59">
        <v>0</v>
      </c>
      <c r="S338" s="59">
        <v>0</v>
      </c>
      <c r="T338" s="59">
        <v>0</v>
      </c>
      <c r="U338" s="59">
        <v>1</v>
      </c>
      <c r="V338" s="59">
        <v>0</v>
      </c>
      <c r="W338" s="59">
        <v>0</v>
      </c>
      <c r="X338" s="59">
        <v>0</v>
      </c>
      <c r="Y338" s="59">
        <v>0</v>
      </c>
      <c r="Z338" s="59">
        <v>0</v>
      </c>
      <c r="AA338" s="59">
        <v>0</v>
      </c>
      <c r="AB338" s="59">
        <v>0</v>
      </c>
      <c r="AC338" s="59">
        <v>0</v>
      </c>
      <c r="AD338" s="59">
        <v>0</v>
      </c>
      <c r="AE338" s="59">
        <v>0</v>
      </c>
      <c r="AF338" s="95">
        <v>0</v>
      </c>
    </row>
    <row r="339" spans="1:32" s="59" customFormat="1">
      <c r="B339" s="66" t="str">
        <f t="shared" si="19"/>
        <v>UPSWAS</v>
      </c>
      <c r="C339" s="499" t="s">
        <v>736</v>
      </c>
      <c r="D339" s="500" t="s">
        <v>733</v>
      </c>
      <c r="E339" s="70">
        <v>0</v>
      </c>
      <c r="F339" s="59">
        <v>0</v>
      </c>
      <c r="G339" s="59">
        <v>0</v>
      </c>
      <c r="H339" s="59">
        <v>0</v>
      </c>
      <c r="I339" s="59">
        <v>0</v>
      </c>
      <c r="J339" s="59">
        <v>0</v>
      </c>
      <c r="K339" s="59">
        <v>0</v>
      </c>
      <c r="L339" s="59">
        <v>0</v>
      </c>
      <c r="M339" s="59">
        <v>0</v>
      </c>
      <c r="N339" s="59">
        <v>0</v>
      </c>
      <c r="O339" s="59">
        <v>0</v>
      </c>
      <c r="P339" s="59">
        <v>0</v>
      </c>
      <c r="Q339" s="59">
        <v>0</v>
      </c>
      <c r="R339" s="59">
        <v>0</v>
      </c>
      <c r="S339" s="59">
        <v>0</v>
      </c>
      <c r="T339" s="59">
        <v>0</v>
      </c>
      <c r="U339" s="59">
        <v>0</v>
      </c>
      <c r="V339" s="59">
        <v>0</v>
      </c>
      <c r="W339" s="59">
        <v>0</v>
      </c>
      <c r="X339" s="59">
        <v>0</v>
      </c>
      <c r="Y339" s="59">
        <v>0</v>
      </c>
      <c r="Z339" s="59">
        <v>0</v>
      </c>
      <c r="AA339" s="59">
        <v>0</v>
      </c>
      <c r="AB339" s="59">
        <v>0</v>
      </c>
      <c r="AC339" s="59">
        <v>0</v>
      </c>
      <c r="AD339" s="59">
        <v>0</v>
      </c>
      <c r="AE339" s="59">
        <v>0</v>
      </c>
      <c r="AF339" s="95">
        <v>0</v>
      </c>
    </row>
    <row r="340" spans="1:32" s="59" customFormat="1">
      <c r="B340" s="66" t="str">
        <f t="shared" si="19"/>
        <v>UPSWAS</v>
      </c>
      <c r="C340" s="499" t="s">
        <v>737</v>
      </c>
      <c r="D340" s="500" t="s">
        <v>733</v>
      </c>
      <c r="E340" s="70">
        <v>0</v>
      </c>
      <c r="F340" s="59">
        <v>0</v>
      </c>
      <c r="G340" s="59">
        <v>0</v>
      </c>
      <c r="H340" s="59">
        <v>0</v>
      </c>
      <c r="I340" s="59">
        <v>0</v>
      </c>
      <c r="J340" s="59">
        <v>0</v>
      </c>
      <c r="K340" s="59">
        <v>0</v>
      </c>
      <c r="L340" s="59">
        <v>0</v>
      </c>
      <c r="M340" s="59">
        <v>0</v>
      </c>
      <c r="N340" s="59">
        <v>0</v>
      </c>
      <c r="O340" s="59">
        <v>0</v>
      </c>
      <c r="P340" s="59">
        <v>0</v>
      </c>
      <c r="Q340" s="59">
        <v>0</v>
      </c>
      <c r="R340" s="59">
        <v>0</v>
      </c>
      <c r="S340" s="59">
        <v>0</v>
      </c>
      <c r="T340" s="59">
        <v>0</v>
      </c>
      <c r="U340" s="59">
        <v>0</v>
      </c>
      <c r="V340" s="59">
        <v>0</v>
      </c>
      <c r="W340" s="59">
        <v>0</v>
      </c>
      <c r="X340" s="59">
        <v>0</v>
      </c>
      <c r="Y340" s="59">
        <v>0</v>
      </c>
      <c r="Z340" s="59">
        <v>0</v>
      </c>
      <c r="AA340" s="59">
        <v>0</v>
      </c>
      <c r="AB340" s="59">
        <v>0</v>
      </c>
      <c r="AC340" s="59">
        <v>0</v>
      </c>
      <c r="AD340" s="59">
        <v>0</v>
      </c>
      <c r="AE340" s="59">
        <v>0</v>
      </c>
      <c r="AF340" s="95">
        <v>0</v>
      </c>
    </row>
    <row r="341" spans="1:32" s="59" customFormat="1">
      <c r="B341" s="66" t="str">
        <f t="shared" si="19"/>
        <v>UPSWAS</v>
      </c>
      <c r="C341" s="499" t="s">
        <v>738</v>
      </c>
      <c r="D341" s="500" t="s">
        <v>733</v>
      </c>
      <c r="E341" s="70">
        <v>0</v>
      </c>
      <c r="F341" s="59">
        <v>0</v>
      </c>
      <c r="G341" s="59">
        <v>0</v>
      </c>
      <c r="H341" s="59">
        <v>0</v>
      </c>
      <c r="I341" s="59">
        <v>0</v>
      </c>
      <c r="J341" s="59">
        <v>0</v>
      </c>
      <c r="K341" s="59">
        <v>0</v>
      </c>
      <c r="L341" s="59">
        <v>0</v>
      </c>
      <c r="M341" s="59">
        <v>0</v>
      </c>
      <c r="N341" s="59">
        <v>0</v>
      </c>
      <c r="O341" s="59">
        <v>0</v>
      </c>
      <c r="P341" s="59">
        <v>0</v>
      </c>
      <c r="Q341" s="59">
        <v>0</v>
      </c>
      <c r="R341" s="59">
        <v>0</v>
      </c>
      <c r="S341" s="59">
        <v>0</v>
      </c>
      <c r="T341" s="59">
        <v>0</v>
      </c>
      <c r="U341" s="59">
        <v>0</v>
      </c>
      <c r="V341" s="59">
        <v>0</v>
      </c>
      <c r="W341" s="59">
        <v>0</v>
      </c>
      <c r="X341" s="59">
        <v>0</v>
      </c>
      <c r="Y341" s="59">
        <v>0</v>
      </c>
      <c r="Z341" s="59">
        <v>0</v>
      </c>
      <c r="AA341" s="59">
        <v>0</v>
      </c>
      <c r="AB341" s="59">
        <v>0</v>
      </c>
      <c r="AC341" s="59">
        <v>0</v>
      </c>
      <c r="AD341" s="59">
        <v>0</v>
      </c>
      <c r="AE341" s="59">
        <v>0</v>
      </c>
      <c r="AF341" s="95">
        <v>0</v>
      </c>
    </row>
    <row r="342" spans="1:32" s="59" customFormat="1">
      <c r="B342" s="66" t="str">
        <f t="shared" si="19"/>
        <v>UPSWAS</v>
      </c>
      <c r="C342" s="499" t="s">
        <v>739</v>
      </c>
      <c r="D342" s="500" t="s">
        <v>733</v>
      </c>
      <c r="E342" s="70">
        <v>0</v>
      </c>
      <c r="F342" s="59">
        <v>0</v>
      </c>
      <c r="G342" s="59">
        <v>0</v>
      </c>
      <c r="H342" s="59">
        <v>0</v>
      </c>
      <c r="I342" s="59">
        <v>0</v>
      </c>
      <c r="J342" s="59">
        <v>0</v>
      </c>
      <c r="K342" s="59">
        <v>0</v>
      </c>
      <c r="L342" s="59">
        <v>0</v>
      </c>
      <c r="M342" s="59">
        <v>0</v>
      </c>
      <c r="N342" s="59">
        <v>0</v>
      </c>
      <c r="O342" s="59">
        <v>0</v>
      </c>
      <c r="P342" s="59">
        <v>0</v>
      </c>
      <c r="Q342" s="59">
        <v>0</v>
      </c>
      <c r="R342" s="59">
        <v>0</v>
      </c>
      <c r="S342" s="59">
        <v>0</v>
      </c>
      <c r="T342" s="59">
        <v>0</v>
      </c>
      <c r="U342" s="59">
        <v>0</v>
      </c>
      <c r="V342" s="59">
        <v>0</v>
      </c>
      <c r="W342" s="59">
        <v>0</v>
      </c>
      <c r="X342" s="59">
        <v>0</v>
      </c>
      <c r="Y342" s="59">
        <v>0</v>
      </c>
      <c r="Z342" s="59">
        <v>0</v>
      </c>
      <c r="AA342" s="59">
        <v>0</v>
      </c>
      <c r="AB342" s="59">
        <v>0</v>
      </c>
      <c r="AC342" s="59">
        <v>0</v>
      </c>
      <c r="AD342" s="59">
        <v>0</v>
      </c>
      <c r="AE342" s="59">
        <v>0</v>
      </c>
      <c r="AF342" s="95">
        <v>0</v>
      </c>
    </row>
    <row r="343" spans="1:32" s="59" customFormat="1">
      <c r="B343" s="66" t="str">
        <f t="shared" si="19"/>
        <v>UPSWAS</v>
      </c>
      <c r="C343" s="499" t="s">
        <v>740</v>
      </c>
      <c r="D343" s="500" t="s">
        <v>733</v>
      </c>
      <c r="E343" s="70">
        <v>0</v>
      </c>
      <c r="F343" s="59">
        <v>0</v>
      </c>
      <c r="G343" s="59">
        <v>0</v>
      </c>
      <c r="H343" s="59">
        <v>0</v>
      </c>
      <c r="I343" s="59">
        <v>0</v>
      </c>
      <c r="J343" s="59">
        <v>0</v>
      </c>
      <c r="K343" s="59">
        <v>0</v>
      </c>
      <c r="L343" s="59">
        <v>0</v>
      </c>
      <c r="M343" s="59">
        <v>0</v>
      </c>
      <c r="N343" s="59">
        <v>0</v>
      </c>
      <c r="O343" s="59">
        <v>0</v>
      </c>
      <c r="P343" s="59">
        <v>0</v>
      </c>
      <c r="Q343" s="59">
        <v>0</v>
      </c>
      <c r="R343" s="59">
        <v>0</v>
      </c>
      <c r="S343" s="59">
        <v>0</v>
      </c>
      <c r="T343" s="59">
        <v>0</v>
      </c>
      <c r="U343" s="59">
        <v>0</v>
      </c>
      <c r="V343" s="59">
        <v>0</v>
      </c>
      <c r="W343" s="59">
        <v>0</v>
      </c>
      <c r="X343" s="59">
        <v>0</v>
      </c>
      <c r="Y343" s="59">
        <v>0</v>
      </c>
      <c r="Z343" s="59">
        <v>0</v>
      </c>
      <c r="AA343" s="59">
        <v>0</v>
      </c>
      <c r="AB343" s="59">
        <v>0</v>
      </c>
      <c r="AC343" s="59">
        <v>0</v>
      </c>
      <c r="AD343" s="59">
        <v>0</v>
      </c>
      <c r="AE343" s="59">
        <v>0</v>
      </c>
      <c r="AF343" s="95">
        <v>0</v>
      </c>
    </row>
    <row r="344" spans="1:32" s="59" customFormat="1">
      <c r="B344" s="66" t="str">
        <f t="shared" si="19"/>
        <v>UPSWAS</v>
      </c>
      <c r="C344" s="499" t="s">
        <v>741</v>
      </c>
      <c r="D344" s="500" t="s">
        <v>733</v>
      </c>
      <c r="E344" s="70">
        <v>0</v>
      </c>
      <c r="F344" s="59">
        <v>0</v>
      </c>
      <c r="G344" s="59">
        <v>0</v>
      </c>
      <c r="H344" s="59">
        <v>0</v>
      </c>
      <c r="I344" s="59">
        <v>0</v>
      </c>
      <c r="J344" s="59">
        <v>0</v>
      </c>
      <c r="K344" s="59">
        <v>0</v>
      </c>
      <c r="L344" s="59">
        <v>0</v>
      </c>
      <c r="M344" s="59">
        <v>0</v>
      </c>
      <c r="N344" s="59">
        <v>0</v>
      </c>
      <c r="O344" s="59">
        <v>0</v>
      </c>
      <c r="P344" s="59">
        <v>0</v>
      </c>
      <c r="Q344" s="59">
        <v>0</v>
      </c>
      <c r="R344" s="59">
        <v>0</v>
      </c>
      <c r="S344" s="59">
        <v>1</v>
      </c>
      <c r="T344" s="59">
        <v>0</v>
      </c>
      <c r="U344" s="59">
        <v>0</v>
      </c>
      <c r="V344" s="59">
        <v>0</v>
      </c>
      <c r="W344" s="59">
        <v>0</v>
      </c>
      <c r="X344" s="59">
        <v>0</v>
      </c>
      <c r="Y344" s="59">
        <v>0</v>
      </c>
      <c r="Z344" s="59">
        <v>0</v>
      </c>
      <c r="AA344" s="59">
        <v>0</v>
      </c>
      <c r="AB344" s="59">
        <v>0</v>
      </c>
      <c r="AC344" s="59">
        <v>0</v>
      </c>
      <c r="AD344" s="59">
        <v>0</v>
      </c>
      <c r="AE344" s="59">
        <v>0</v>
      </c>
      <c r="AF344" s="95">
        <v>0</v>
      </c>
    </row>
    <row r="345" spans="1:32" s="59" customFormat="1">
      <c r="B345" s="66" t="str">
        <f t="shared" si="19"/>
        <v>UPSWAS</v>
      </c>
      <c r="C345" s="499" t="s">
        <v>742</v>
      </c>
      <c r="D345" s="500" t="s">
        <v>733</v>
      </c>
      <c r="E345" s="70">
        <v>0</v>
      </c>
      <c r="F345" s="59">
        <v>0</v>
      </c>
      <c r="G345" s="59">
        <v>0</v>
      </c>
      <c r="H345" s="59">
        <v>0</v>
      </c>
      <c r="I345" s="59">
        <v>0</v>
      </c>
      <c r="J345" s="59">
        <v>0</v>
      </c>
      <c r="K345" s="59">
        <v>0</v>
      </c>
      <c r="L345" s="59">
        <v>0</v>
      </c>
      <c r="M345" s="59">
        <v>0</v>
      </c>
      <c r="N345" s="59">
        <v>0</v>
      </c>
      <c r="O345" s="59">
        <v>0</v>
      </c>
      <c r="P345" s="59">
        <v>0</v>
      </c>
      <c r="Q345" s="59">
        <v>0</v>
      </c>
      <c r="R345" s="59">
        <v>0</v>
      </c>
      <c r="S345" s="59">
        <v>0</v>
      </c>
      <c r="T345" s="59">
        <v>0</v>
      </c>
      <c r="U345" s="59">
        <v>0</v>
      </c>
      <c r="V345" s="59">
        <v>0</v>
      </c>
      <c r="W345" s="59">
        <v>0</v>
      </c>
      <c r="X345" s="59">
        <v>0</v>
      </c>
      <c r="Y345" s="59">
        <v>0</v>
      </c>
      <c r="Z345" s="59">
        <v>0</v>
      </c>
      <c r="AA345" s="59">
        <v>0</v>
      </c>
      <c r="AB345" s="59">
        <v>0</v>
      </c>
      <c r="AC345" s="59">
        <v>0</v>
      </c>
      <c r="AD345" s="59">
        <v>0</v>
      </c>
      <c r="AE345" s="59">
        <v>0</v>
      </c>
      <c r="AF345" s="95">
        <v>0</v>
      </c>
    </row>
    <row r="346" spans="1:32" s="59" customFormat="1">
      <c r="B346" s="66" t="str">
        <f t="shared" si="19"/>
        <v>UPSWAS</v>
      </c>
      <c r="C346" s="499" t="s">
        <v>743</v>
      </c>
      <c r="D346" s="500" t="s">
        <v>733</v>
      </c>
      <c r="E346" s="70">
        <v>0</v>
      </c>
      <c r="F346" s="59">
        <v>0</v>
      </c>
      <c r="G346" s="59">
        <v>0</v>
      </c>
      <c r="H346" s="59">
        <v>0</v>
      </c>
      <c r="I346" s="59">
        <v>0</v>
      </c>
      <c r="J346" s="59">
        <v>0</v>
      </c>
      <c r="K346" s="59">
        <v>0</v>
      </c>
      <c r="L346" s="59">
        <v>0</v>
      </c>
      <c r="M346" s="59">
        <v>0</v>
      </c>
      <c r="N346" s="59">
        <v>0</v>
      </c>
      <c r="O346" s="59">
        <v>0</v>
      </c>
      <c r="P346" s="59">
        <v>0</v>
      </c>
      <c r="Q346" s="59">
        <v>0</v>
      </c>
      <c r="R346" s="59">
        <v>0</v>
      </c>
      <c r="S346" s="59">
        <v>0</v>
      </c>
      <c r="T346" s="59">
        <v>0</v>
      </c>
      <c r="U346" s="59">
        <v>0</v>
      </c>
      <c r="V346" s="59">
        <v>0</v>
      </c>
      <c r="W346" s="59">
        <v>0</v>
      </c>
      <c r="X346" s="59">
        <v>0</v>
      </c>
      <c r="Y346" s="59">
        <v>0</v>
      </c>
      <c r="Z346" s="59">
        <v>0</v>
      </c>
      <c r="AA346" s="59">
        <v>0</v>
      </c>
      <c r="AB346" s="59">
        <v>0</v>
      </c>
      <c r="AC346" s="59">
        <v>0</v>
      </c>
      <c r="AD346" s="59">
        <v>0</v>
      </c>
      <c r="AE346" s="59">
        <v>0</v>
      </c>
      <c r="AF346" s="95">
        <v>0</v>
      </c>
    </row>
    <row r="347" spans="1:32" s="59" customFormat="1">
      <c r="B347" s="66" t="str">
        <f t="shared" si="19"/>
        <v>UPSWAS</v>
      </c>
      <c r="C347" s="499" t="s">
        <v>744</v>
      </c>
      <c r="D347" s="500" t="s">
        <v>733</v>
      </c>
      <c r="E347" s="70">
        <v>0</v>
      </c>
      <c r="F347" s="59">
        <v>0</v>
      </c>
      <c r="G347" s="59">
        <v>0</v>
      </c>
      <c r="H347" s="59">
        <v>0</v>
      </c>
      <c r="I347" s="59">
        <v>0</v>
      </c>
      <c r="J347" s="59">
        <v>0</v>
      </c>
      <c r="K347" s="59">
        <v>0</v>
      </c>
      <c r="L347" s="59">
        <v>0</v>
      </c>
      <c r="M347" s="59">
        <v>0</v>
      </c>
      <c r="N347" s="59">
        <v>0</v>
      </c>
      <c r="O347" s="59">
        <v>0</v>
      </c>
      <c r="P347" s="59">
        <v>0</v>
      </c>
      <c r="Q347" s="59">
        <v>0</v>
      </c>
      <c r="R347" s="59">
        <v>0</v>
      </c>
      <c r="S347" s="59">
        <v>0</v>
      </c>
      <c r="T347" s="59">
        <v>0</v>
      </c>
      <c r="U347" s="59">
        <v>0</v>
      </c>
      <c r="V347" s="59">
        <v>0</v>
      </c>
      <c r="W347" s="59">
        <v>0</v>
      </c>
      <c r="X347" s="59">
        <v>0</v>
      </c>
      <c r="Y347" s="59">
        <v>0</v>
      </c>
      <c r="Z347" s="59">
        <v>0</v>
      </c>
      <c r="AA347" s="59">
        <v>0</v>
      </c>
      <c r="AB347" s="59">
        <v>0</v>
      </c>
      <c r="AC347" s="59">
        <v>0</v>
      </c>
      <c r="AD347" s="59">
        <v>0</v>
      </c>
      <c r="AE347" s="59">
        <v>0</v>
      </c>
      <c r="AF347" s="95">
        <v>0</v>
      </c>
    </row>
    <row r="348" spans="1:32" s="59" customFormat="1">
      <c r="B348" s="66" t="str">
        <f t="shared" si="19"/>
        <v>UPSWAS</v>
      </c>
      <c r="C348" s="499" t="s">
        <v>745</v>
      </c>
      <c r="D348" s="500" t="s">
        <v>733</v>
      </c>
      <c r="E348" s="70">
        <v>0</v>
      </c>
      <c r="F348" s="59">
        <v>0</v>
      </c>
      <c r="G348" s="59">
        <v>0</v>
      </c>
      <c r="H348" s="59">
        <v>0</v>
      </c>
      <c r="I348" s="59">
        <v>0</v>
      </c>
      <c r="J348" s="59">
        <v>0</v>
      </c>
      <c r="K348" s="59">
        <v>0</v>
      </c>
      <c r="L348" s="59">
        <v>0</v>
      </c>
      <c r="M348" s="59">
        <v>0</v>
      </c>
      <c r="N348" s="59">
        <v>0</v>
      </c>
      <c r="O348" s="59">
        <v>0</v>
      </c>
      <c r="P348" s="59">
        <v>0</v>
      </c>
      <c r="Q348" s="59">
        <v>0</v>
      </c>
      <c r="R348" s="59">
        <v>0</v>
      </c>
      <c r="S348" s="59">
        <v>0</v>
      </c>
      <c r="T348" s="59">
        <v>0</v>
      </c>
      <c r="U348" s="59">
        <v>0</v>
      </c>
      <c r="V348" s="59">
        <v>0</v>
      </c>
      <c r="W348" s="59">
        <v>0</v>
      </c>
      <c r="X348" s="59">
        <v>0</v>
      </c>
      <c r="Y348" s="59">
        <v>0</v>
      </c>
      <c r="Z348" s="59">
        <v>0</v>
      </c>
      <c r="AA348" s="59">
        <v>0</v>
      </c>
      <c r="AB348" s="59">
        <v>0</v>
      </c>
      <c r="AC348" s="59">
        <v>0</v>
      </c>
      <c r="AD348" s="59">
        <v>0</v>
      </c>
      <c r="AE348" s="59">
        <v>0</v>
      </c>
      <c r="AF348" s="95">
        <v>0</v>
      </c>
    </row>
    <row r="349" spans="1:32" s="59" customFormat="1">
      <c r="B349" s="66" t="str">
        <f t="shared" si="19"/>
        <v>UPSWAS</v>
      </c>
      <c r="C349" s="499" t="s">
        <v>746</v>
      </c>
      <c r="D349" s="500" t="s">
        <v>733</v>
      </c>
      <c r="E349" s="70">
        <v>0</v>
      </c>
      <c r="F349" s="59">
        <v>0</v>
      </c>
      <c r="G349" s="59">
        <v>0</v>
      </c>
      <c r="H349" s="59">
        <v>0</v>
      </c>
      <c r="I349" s="59">
        <v>0</v>
      </c>
      <c r="J349" s="59">
        <v>0</v>
      </c>
      <c r="K349" s="59">
        <v>0</v>
      </c>
      <c r="L349" s="59">
        <v>0</v>
      </c>
      <c r="M349" s="59">
        <v>0</v>
      </c>
      <c r="N349" s="59">
        <v>0</v>
      </c>
      <c r="O349" s="59">
        <v>0</v>
      </c>
      <c r="P349" s="59">
        <v>0</v>
      </c>
      <c r="Q349" s="59">
        <v>0</v>
      </c>
      <c r="R349" s="59">
        <v>0</v>
      </c>
      <c r="S349" s="59">
        <v>0</v>
      </c>
      <c r="T349" s="59">
        <v>0</v>
      </c>
      <c r="U349" s="59">
        <v>0</v>
      </c>
      <c r="V349" s="59">
        <v>0</v>
      </c>
      <c r="W349" s="59">
        <v>0</v>
      </c>
      <c r="X349" s="59">
        <v>0</v>
      </c>
      <c r="Y349" s="59">
        <v>0</v>
      </c>
      <c r="Z349" s="59">
        <v>0</v>
      </c>
      <c r="AA349" s="59">
        <v>0</v>
      </c>
      <c r="AB349" s="59">
        <v>0</v>
      </c>
      <c r="AC349" s="59">
        <v>0</v>
      </c>
      <c r="AD349" s="59">
        <v>0</v>
      </c>
      <c r="AE349" s="59">
        <v>0</v>
      </c>
      <c r="AF349" s="95">
        <v>0</v>
      </c>
    </row>
    <row r="350" spans="1:32" s="59" customFormat="1">
      <c r="B350" s="276" t="str">
        <f t="shared" si="19"/>
        <v>UPSWAS</v>
      </c>
      <c r="C350" s="503" t="s">
        <v>747</v>
      </c>
      <c r="D350" s="504" t="s">
        <v>733</v>
      </c>
      <c r="E350" s="271">
        <v>0</v>
      </c>
      <c r="F350" s="80">
        <v>0</v>
      </c>
      <c r="G350" s="80">
        <v>0</v>
      </c>
      <c r="H350" s="80">
        <v>0</v>
      </c>
      <c r="I350" s="80">
        <v>0</v>
      </c>
      <c r="J350" s="80">
        <v>0</v>
      </c>
      <c r="K350" s="80">
        <v>0</v>
      </c>
      <c r="L350" s="80">
        <v>0</v>
      </c>
      <c r="M350" s="80">
        <v>0</v>
      </c>
      <c r="N350" s="80">
        <v>0</v>
      </c>
      <c r="O350" s="80">
        <v>0</v>
      </c>
      <c r="P350" s="80">
        <v>0</v>
      </c>
      <c r="Q350" s="80">
        <v>0</v>
      </c>
      <c r="R350" s="80">
        <v>0</v>
      </c>
      <c r="S350" s="80">
        <v>0</v>
      </c>
      <c r="T350" s="80">
        <v>0</v>
      </c>
      <c r="U350" s="80">
        <v>0</v>
      </c>
      <c r="V350" s="80">
        <v>0</v>
      </c>
      <c r="W350" s="80">
        <v>0</v>
      </c>
      <c r="X350" s="80">
        <v>0</v>
      </c>
      <c r="Y350" s="80">
        <v>0</v>
      </c>
      <c r="Z350" s="80">
        <v>0</v>
      </c>
      <c r="AA350" s="80">
        <v>0</v>
      </c>
      <c r="AB350" s="80">
        <v>0</v>
      </c>
      <c r="AC350" s="80">
        <v>0</v>
      </c>
      <c r="AD350" s="80">
        <v>0</v>
      </c>
      <c r="AE350" s="80">
        <v>0</v>
      </c>
      <c r="AF350" s="97">
        <v>0</v>
      </c>
    </row>
    <row r="351" spans="1:32" s="59" customFormat="1">
      <c r="A351" s="60"/>
      <c r="B351" s="60"/>
    </row>
    <row r="352" spans="1:32" s="274" customFormat="1" ht="18">
      <c r="A352" s="275" t="s">
        <v>748</v>
      </c>
      <c r="B352" s="273"/>
    </row>
    <row r="353" spans="1:32" s="59" customFormat="1">
      <c r="A353" s="60"/>
      <c r="B353" s="60"/>
    </row>
    <row r="354" spans="1:32" s="60" customFormat="1" ht="14.4">
      <c r="A354" s="86"/>
      <c r="B354" s="86"/>
      <c r="C354" s="63"/>
      <c r="D354" s="63"/>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86"/>
    </row>
    <row r="355" spans="1:32" s="59" customFormat="1">
      <c r="A355" s="90" t="s">
        <v>717</v>
      </c>
      <c r="B355" s="90" t="s">
        <v>727</v>
      </c>
      <c r="C355" s="68" t="s">
        <v>718</v>
      </c>
      <c r="D355" s="68" t="s">
        <v>375</v>
      </c>
      <c r="E355" s="69" t="s">
        <v>172</v>
      </c>
      <c r="F355" s="69" t="s">
        <v>175</v>
      </c>
      <c r="G355" s="69" t="s">
        <v>178</v>
      </c>
      <c r="H355" s="69" t="s">
        <v>181</v>
      </c>
      <c r="I355" s="69" t="s">
        <v>184</v>
      </c>
      <c r="J355" s="69" t="s">
        <v>187</v>
      </c>
      <c r="K355" s="69" t="s">
        <v>190</v>
      </c>
      <c r="L355" s="69" t="s">
        <v>193</v>
      </c>
      <c r="M355" s="69" t="s">
        <v>196</v>
      </c>
      <c r="N355" s="69" t="s">
        <v>198</v>
      </c>
      <c r="O355" s="69" t="s">
        <v>200</v>
      </c>
      <c r="P355" s="69" t="s">
        <v>202</v>
      </c>
      <c r="Q355" s="69" t="s">
        <v>205</v>
      </c>
      <c r="R355" s="69" t="s">
        <v>208</v>
      </c>
      <c r="S355" s="69" t="s">
        <v>211</v>
      </c>
      <c r="T355" s="69" t="s">
        <v>214</v>
      </c>
      <c r="U355" s="69" t="s">
        <v>217</v>
      </c>
      <c r="V355" s="69" t="s">
        <v>220</v>
      </c>
      <c r="W355" s="69" t="s">
        <v>223</v>
      </c>
      <c r="X355" s="69" t="s">
        <v>225</v>
      </c>
      <c r="Y355" s="69" t="s">
        <v>227</v>
      </c>
      <c r="Z355" s="69" t="s">
        <v>230</v>
      </c>
      <c r="AA355" s="69" t="s">
        <v>233</v>
      </c>
      <c r="AB355" s="69" t="s">
        <v>236</v>
      </c>
      <c r="AC355" s="69" t="s">
        <v>238</v>
      </c>
      <c r="AD355" s="69" t="s">
        <v>240</v>
      </c>
      <c r="AE355" s="69" t="s">
        <v>243</v>
      </c>
      <c r="AF355" s="91" t="s">
        <v>245</v>
      </c>
    </row>
    <row r="356" spans="1:32" s="59" customFormat="1">
      <c r="A356" s="95" t="s">
        <v>728</v>
      </c>
      <c r="B356" s="95" t="s">
        <v>741</v>
      </c>
      <c r="C356" s="71" t="s">
        <v>515</v>
      </c>
      <c r="D356" s="74" t="s">
        <v>387</v>
      </c>
      <c r="E356" s="176">
        <f>SUMIFS(E$7:E$26,$C$7:$C$26,$C356)*SUMIFS(E$32:E$350,$C$32:$C$350,$B356,$B$32:$B$350,$C356)</f>
        <v>0</v>
      </c>
      <c r="F356" s="176">
        <f t="shared" ref="F356:AF365" si="20">SUMIFS(F$7:F$26,$C$7:$C$26,$C356)*SUMIFS(F$32:F$350,$C$32:$C$350,$B356,$B$32:$B$350,$C356)</f>
        <v>0</v>
      </c>
      <c r="G356" s="176">
        <f>SUMIFS(G$7:G$26,$C$7:$C$26,$C356)*SUMIFS(G$32:G$350,$C$32:$C$350,$B356,$B$32:$B$350,$C356)</f>
        <v>0</v>
      </c>
      <c r="H356" s="176">
        <f t="shared" si="20"/>
        <v>0</v>
      </c>
      <c r="I356" s="176">
        <f t="shared" si="20"/>
        <v>0</v>
      </c>
      <c r="J356" s="176">
        <f t="shared" si="20"/>
        <v>0</v>
      </c>
      <c r="K356" s="176">
        <f t="shared" si="20"/>
        <v>0</v>
      </c>
      <c r="L356" s="176">
        <f t="shared" si="20"/>
        <v>0</v>
      </c>
      <c r="M356" s="176">
        <f t="shared" si="20"/>
        <v>0</v>
      </c>
      <c r="N356" s="176">
        <f t="shared" si="20"/>
        <v>0</v>
      </c>
      <c r="O356" s="176">
        <f t="shared" si="20"/>
        <v>0</v>
      </c>
      <c r="P356" s="176">
        <f t="shared" si="20"/>
        <v>0</v>
      </c>
      <c r="Q356" s="176">
        <f t="shared" si="20"/>
        <v>0</v>
      </c>
      <c r="R356" s="176">
        <f t="shared" si="20"/>
        <v>0</v>
      </c>
      <c r="S356" s="176">
        <f t="shared" si="20"/>
        <v>0</v>
      </c>
      <c r="T356" s="176">
        <f t="shared" si="20"/>
        <v>0</v>
      </c>
      <c r="U356" s="176">
        <f t="shared" si="20"/>
        <v>0</v>
      </c>
      <c r="V356" s="176">
        <f t="shared" si="20"/>
        <v>0</v>
      </c>
      <c r="W356" s="176">
        <f t="shared" si="20"/>
        <v>0</v>
      </c>
      <c r="X356" s="176">
        <f t="shared" si="20"/>
        <v>0</v>
      </c>
      <c r="Y356" s="176">
        <f t="shared" si="20"/>
        <v>0</v>
      </c>
      <c r="Z356" s="176">
        <f t="shared" si="20"/>
        <v>0</v>
      </c>
      <c r="AA356" s="176">
        <f t="shared" si="20"/>
        <v>0</v>
      </c>
      <c r="AB356" s="176">
        <f t="shared" si="20"/>
        <v>0</v>
      </c>
      <c r="AC356" s="176">
        <f t="shared" si="20"/>
        <v>0</v>
      </c>
      <c r="AD356" s="176">
        <f t="shared" si="20"/>
        <v>0</v>
      </c>
      <c r="AE356" s="176">
        <f t="shared" si="20"/>
        <v>0</v>
      </c>
      <c r="AF356" s="286">
        <f t="shared" si="20"/>
        <v>-1104</v>
      </c>
    </row>
    <row r="357" spans="1:32" s="59" customFormat="1">
      <c r="A357" s="95" t="s">
        <v>728</v>
      </c>
      <c r="B357" s="95" t="s">
        <v>741</v>
      </c>
      <c r="C357" s="71" t="s">
        <v>521</v>
      </c>
      <c r="D357" s="74" t="s">
        <v>387</v>
      </c>
      <c r="E357" s="176">
        <f t="shared" ref="E357:T375" si="21">SUMIFS(E$7:E$26,$C$7:$C$26,$C357)*SUMIFS(E$32:E$350,$C$32:$C$350,$B357,$B$32:$B$350,$C357)</f>
        <v>0</v>
      </c>
      <c r="F357" s="176">
        <f t="shared" si="20"/>
        <v>0</v>
      </c>
      <c r="G357" s="176">
        <f t="shared" si="20"/>
        <v>0</v>
      </c>
      <c r="H357" s="176">
        <f t="shared" si="20"/>
        <v>0</v>
      </c>
      <c r="I357" s="176">
        <f t="shared" si="20"/>
        <v>0</v>
      </c>
      <c r="J357" s="176">
        <f t="shared" si="20"/>
        <v>0</v>
      </c>
      <c r="K357" s="176">
        <f t="shared" si="20"/>
        <v>0</v>
      </c>
      <c r="L357" s="176">
        <f t="shared" si="20"/>
        <v>0</v>
      </c>
      <c r="M357" s="176">
        <f t="shared" si="20"/>
        <v>0</v>
      </c>
      <c r="N357" s="176">
        <f t="shared" si="20"/>
        <v>0</v>
      </c>
      <c r="O357" s="176">
        <f t="shared" si="20"/>
        <v>0</v>
      </c>
      <c r="P357" s="176">
        <f t="shared" si="20"/>
        <v>-10093</v>
      </c>
      <c r="Q357" s="176">
        <f t="shared" si="20"/>
        <v>0</v>
      </c>
      <c r="R357" s="176">
        <f t="shared" si="20"/>
        <v>0</v>
      </c>
      <c r="S357" s="176">
        <f t="shared" si="20"/>
        <v>0</v>
      </c>
      <c r="T357" s="176">
        <f t="shared" si="20"/>
        <v>0</v>
      </c>
      <c r="U357" s="176">
        <f t="shared" si="20"/>
        <v>0</v>
      </c>
      <c r="V357" s="176">
        <f t="shared" si="20"/>
        <v>0</v>
      </c>
      <c r="W357" s="176">
        <f t="shared" si="20"/>
        <v>0</v>
      </c>
      <c r="X357" s="176">
        <f t="shared" si="20"/>
        <v>0</v>
      </c>
      <c r="Y357" s="176">
        <f t="shared" si="20"/>
        <v>0</v>
      </c>
      <c r="Z357" s="176">
        <f t="shared" si="20"/>
        <v>0</v>
      </c>
      <c r="AA357" s="176">
        <f t="shared" si="20"/>
        <v>0</v>
      </c>
      <c r="AB357" s="176">
        <f t="shared" si="20"/>
        <v>0</v>
      </c>
      <c r="AC357" s="176">
        <f t="shared" si="20"/>
        <v>0</v>
      </c>
      <c r="AD357" s="176">
        <f t="shared" si="20"/>
        <v>0</v>
      </c>
      <c r="AE357" s="176">
        <f t="shared" si="20"/>
        <v>0</v>
      </c>
      <c r="AF357" s="287">
        <f t="shared" si="20"/>
        <v>0</v>
      </c>
    </row>
    <row r="358" spans="1:32" s="59" customFormat="1">
      <c r="A358" s="95" t="s">
        <v>728</v>
      </c>
      <c r="B358" s="95" t="s">
        <v>741</v>
      </c>
      <c r="C358" s="71" t="s">
        <v>523</v>
      </c>
      <c r="D358" s="74" t="s">
        <v>387</v>
      </c>
      <c r="E358" s="176">
        <f t="shared" si="21"/>
        <v>0</v>
      </c>
      <c r="F358" s="176">
        <f t="shared" si="20"/>
        <v>0</v>
      </c>
      <c r="G358" s="176">
        <f t="shared" si="20"/>
        <v>0</v>
      </c>
      <c r="H358" s="176">
        <f t="shared" si="20"/>
        <v>0</v>
      </c>
      <c r="I358" s="176">
        <f t="shared" si="20"/>
        <v>0</v>
      </c>
      <c r="J358" s="176">
        <f t="shared" si="20"/>
        <v>0</v>
      </c>
      <c r="K358" s="176">
        <f t="shared" si="20"/>
        <v>0</v>
      </c>
      <c r="L358" s="176">
        <f t="shared" si="20"/>
        <v>0</v>
      </c>
      <c r="M358" s="176">
        <f t="shared" si="20"/>
        <v>0</v>
      </c>
      <c r="N358" s="176">
        <f t="shared" si="20"/>
        <v>0</v>
      </c>
      <c r="O358" s="176">
        <f t="shared" si="20"/>
        <v>0</v>
      </c>
      <c r="P358" s="176">
        <f t="shared" si="20"/>
        <v>0</v>
      </c>
      <c r="Q358" s="176">
        <f t="shared" si="20"/>
        <v>0</v>
      </c>
      <c r="R358" s="176">
        <f t="shared" si="20"/>
        <v>0</v>
      </c>
      <c r="S358" s="176">
        <f t="shared" si="20"/>
        <v>0</v>
      </c>
      <c r="T358" s="176">
        <f t="shared" si="20"/>
        <v>0</v>
      </c>
      <c r="U358" s="176">
        <f t="shared" si="20"/>
        <v>0</v>
      </c>
      <c r="V358" s="176">
        <f t="shared" si="20"/>
        <v>0</v>
      </c>
      <c r="W358" s="176">
        <f t="shared" si="20"/>
        <v>0</v>
      </c>
      <c r="X358" s="176">
        <f t="shared" si="20"/>
        <v>0</v>
      </c>
      <c r="Y358" s="176">
        <f t="shared" si="20"/>
        <v>0</v>
      </c>
      <c r="Z358" s="176">
        <f t="shared" si="20"/>
        <v>0</v>
      </c>
      <c r="AA358" s="176">
        <f t="shared" si="20"/>
        <v>0</v>
      </c>
      <c r="AB358" s="176">
        <f t="shared" si="20"/>
        <v>0</v>
      </c>
      <c r="AC358" s="176">
        <f t="shared" si="20"/>
        <v>0</v>
      </c>
      <c r="AD358" s="176">
        <f t="shared" si="20"/>
        <v>0</v>
      </c>
      <c r="AE358" s="176">
        <f t="shared" si="20"/>
        <v>0</v>
      </c>
      <c r="AF358" s="287">
        <f t="shared" si="20"/>
        <v>0</v>
      </c>
    </row>
    <row r="359" spans="1:32" s="59" customFormat="1">
      <c r="A359" s="95" t="s">
        <v>728</v>
      </c>
      <c r="B359" s="95" t="s">
        <v>741</v>
      </c>
      <c r="C359" s="71" t="s">
        <v>525</v>
      </c>
      <c r="D359" s="74" t="s">
        <v>387</v>
      </c>
      <c r="E359" s="176">
        <f t="shared" si="21"/>
        <v>0</v>
      </c>
      <c r="F359" s="176">
        <f t="shared" si="20"/>
        <v>0</v>
      </c>
      <c r="G359" s="176">
        <f t="shared" si="20"/>
        <v>0</v>
      </c>
      <c r="H359" s="176">
        <f t="shared" si="20"/>
        <v>0</v>
      </c>
      <c r="I359" s="176">
        <f t="shared" si="20"/>
        <v>0</v>
      </c>
      <c r="J359" s="176">
        <f t="shared" si="20"/>
        <v>0</v>
      </c>
      <c r="K359" s="176">
        <f t="shared" si="20"/>
        <v>0</v>
      </c>
      <c r="L359" s="176">
        <f t="shared" si="20"/>
        <v>0</v>
      </c>
      <c r="M359" s="176">
        <f t="shared" si="20"/>
        <v>0</v>
      </c>
      <c r="N359" s="176">
        <f t="shared" si="20"/>
        <v>0</v>
      </c>
      <c r="O359" s="176">
        <f t="shared" si="20"/>
        <v>0</v>
      </c>
      <c r="P359" s="176">
        <f t="shared" si="20"/>
        <v>0</v>
      </c>
      <c r="Q359" s="176">
        <f t="shared" si="20"/>
        <v>0</v>
      </c>
      <c r="R359" s="176">
        <f t="shared" si="20"/>
        <v>0</v>
      </c>
      <c r="S359" s="176">
        <f t="shared" si="20"/>
        <v>0</v>
      </c>
      <c r="T359" s="176">
        <f t="shared" si="20"/>
        <v>0</v>
      </c>
      <c r="U359" s="176">
        <f t="shared" si="20"/>
        <v>0</v>
      </c>
      <c r="V359" s="176">
        <f t="shared" si="20"/>
        <v>0</v>
      </c>
      <c r="W359" s="176">
        <f t="shared" si="20"/>
        <v>0</v>
      </c>
      <c r="X359" s="176">
        <f t="shared" si="20"/>
        <v>0</v>
      </c>
      <c r="Y359" s="176">
        <f t="shared" si="20"/>
        <v>0</v>
      </c>
      <c r="Z359" s="176">
        <f t="shared" si="20"/>
        <v>0</v>
      </c>
      <c r="AA359" s="176">
        <f t="shared" si="20"/>
        <v>0</v>
      </c>
      <c r="AB359" s="176">
        <f t="shared" si="20"/>
        <v>0</v>
      </c>
      <c r="AC359" s="176">
        <f t="shared" si="20"/>
        <v>0</v>
      </c>
      <c r="AD359" s="176">
        <f t="shared" si="20"/>
        <v>0</v>
      </c>
      <c r="AE359" s="176">
        <f t="shared" si="20"/>
        <v>0</v>
      </c>
      <c r="AF359" s="287">
        <f t="shared" si="20"/>
        <v>0</v>
      </c>
    </row>
    <row r="360" spans="1:32" s="59" customFormat="1">
      <c r="A360" s="95" t="s">
        <v>728</v>
      </c>
      <c r="B360" s="95" t="s">
        <v>741</v>
      </c>
      <c r="C360" s="71" t="s">
        <v>527</v>
      </c>
      <c r="D360" s="74" t="s">
        <v>387</v>
      </c>
      <c r="E360" s="176">
        <f t="shared" si="21"/>
        <v>0</v>
      </c>
      <c r="F360" s="176">
        <f t="shared" si="20"/>
        <v>0</v>
      </c>
      <c r="G360" s="176">
        <f t="shared" si="20"/>
        <v>0</v>
      </c>
      <c r="H360" s="176">
        <f t="shared" si="20"/>
        <v>-504.43963881741348</v>
      </c>
      <c r="I360" s="176">
        <f t="shared" si="20"/>
        <v>-663</v>
      </c>
      <c r="J360" s="176">
        <f t="shared" si="20"/>
        <v>-8349</v>
      </c>
      <c r="K360" s="176">
        <f t="shared" si="20"/>
        <v>0</v>
      </c>
      <c r="L360" s="176">
        <f t="shared" si="20"/>
        <v>0</v>
      </c>
      <c r="M360" s="176">
        <f t="shared" si="20"/>
        <v>0</v>
      </c>
      <c r="N360" s="176">
        <f t="shared" si="20"/>
        <v>0</v>
      </c>
      <c r="O360" s="176">
        <f t="shared" si="20"/>
        <v>0</v>
      </c>
      <c r="P360" s="176">
        <f t="shared" si="20"/>
        <v>-2872879.4583349288</v>
      </c>
      <c r="Q360" s="176">
        <f t="shared" si="20"/>
        <v>-66.270425369380121</v>
      </c>
      <c r="R360" s="176">
        <f t="shared" si="20"/>
        <v>0</v>
      </c>
      <c r="S360" s="176">
        <f t="shared" si="20"/>
        <v>-1441.3548572917275</v>
      </c>
      <c r="T360" s="176">
        <f t="shared" si="20"/>
        <v>0</v>
      </c>
      <c r="U360" s="176">
        <f t="shared" si="20"/>
        <v>-31.297055216767617</v>
      </c>
      <c r="V360" s="176">
        <f t="shared" si="20"/>
        <v>0</v>
      </c>
      <c r="W360" s="176">
        <f t="shared" si="20"/>
        <v>-4367</v>
      </c>
      <c r="X360" s="176">
        <f t="shared" si="20"/>
        <v>0</v>
      </c>
      <c r="Y360" s="176">
        <f t="shared" si="20"/>
        <v>0</v>
      </c>
      <c r="Z360" s="176">
        <f t="shared" si="20"/>
        <v>0</v>
      </c>
      <c r="AA360" s="176">
        <f t="shared" si="20"/>
        <v>0</v>
      </c>
      <c r="AB360" s="176">
        <f t="shared" si="20"/>
        <v>0</v>
      </c>
      <c r="AC360" s="176">
        <f t="shared" si="20"/>
        <v>0</v>
      </c>
      <c r="AD360" s="176">
        <f t="shared" si="20"/>
        <v>-9538</v>
      </c>
      <c r="AE360" s="176">
        <f t="shared" si="20"/>
        <v>0</v>
      </c>
      <c r="AF360" s="287">
        <f t="shared" si="20"/>
        <v>-480</v>
      </c>
    </row>
    <row r="361" spans="1:32" s="59" customFormat="1">
      <c r="A361" s="95" t="s">
        <v>728</v>
      </c>
      <c r="B361" s="95" t="s">
        <v>741</v>
      </c>
      <c r="C361" s="71" t="s">
        <v>529</v>
      </c>
      <c r="D361" s="74" t="s">
        <v>387</v>
      </c>
      <c r="E361" s="176">
        <f t="shared" si="21"/>
        <v>0</v>
      </c>
      <c r="F361" s="176">
        <f t="shared" si="20"/>
        <v>0</v>
      </c>
      <c r="G361" s="176">
        <f t="shared" si="20"/>
        <v>0</v>
      </c>
      <c r="H361" s="176">
        <f t="shared" si="20"/>
        <v>0</v>
      </c>
      <c r="I361" s="176">
        <f t="shared" si="20"/>
        <v>0</v>
      </c>
      <c r="J361" s="176">
        <f t="shared" si="20"/>
        <v>-32</v>
      </c>
      <c r="K361" s="176">
        <f t="shared" si="20"/>
        <v>0</v>
      </c>
      <c r="L361" s="176">
        <f t="shared" si="20"/>
        <v>0</v>
      </c>
      <c r="M361" s="176">
        <f t="shared" si="20"/>
        <v>0</v>
      </c>
      <c r="N361" s="176">
        <f t="shared" si="20"/>
        <v>0</v>
      </c>
      <c r="O361" s="176">
        <f t="shared" si="20"/>
        <v>0</v>
      </c>
      <c r="P361" s="176">
        <f t="shared" si="20"/>
        <v>0</v>
      </c>
      <c r="Q361" s="176">
        <f t="shared" si="20"/>
        <v>0</v>
      </c>
      <c r="R361" s="176">
        <f t="shared" si="20"/>
        <v>0</v>
      </c>
      <c r="S361" s="176">
        <f t="shared" si="20"/>
        <v>-10279.302318501052</v>
      </c>
      <c r="T361" s="176">
        <f t="shared" si="20"/>
        <v>0</v>
      </c>
      <c r="U361" s="176">
        <f t="shared" si="20"/>
        <v>0</v>
      </c>
      <c r="V361" s="176">
        <f t="shared" si="20"/>
        <v>0</v>
      </c>
      <c r="W361" s="176">
        <f t="shared" si="20"/>
        <v>0</v>
      </c>
      <c r="X361" s="176">
        <f t="shared" si="20"/>
        <v>0</v>
      </c>
      <c r="Y361" s="176">
        <f t="shared" si="20"/>
        <v>0</v>
      </c>
      <c r="Z361" s="176">
        <f t="shared" si="20"/>
        <v>0</v>
      </c>
      <c r="AA361" s="176">
        <f t="shared" si="20"/>
        <v>0</v>
      </c>
      <c r="AB361" s="176">
        <f t="shared" si="20"/>
        <v>0</v>
      </c>
      <c r="AC361" s="176">
        <f t="shared" si="20"/>
        <v>0</v>
      </c>
      <c r="AD361" s="176">
        <f t="shared" si="20"/>
        <v>-579</v>
      </c>
      <c r="AE361" s="176">
        <f t="shared" si="20"/>
        <v>0</v>
      </c>
      <c r="AF361" s="287">
        <f t="shared" si="20"/>
        <v>0</v>
      </c>
    </row>
    <row r="362" spans="1:32" s="59" customFormat="1">
      <c r="A362" s="95" t="s">
        <v>728</v>
      </c>
      <c r="B362" s="95" t="s">
        <v>741</v>
      </c>
      <c r="C362" s="71" t="s">
        <v>531</v>
      </c>
      <c r="D362" s="74" t="s">
        <v>387</v>
      </c>
      <c r="E362" s="176">
        <f t="shared" si="21"/>
        <v>0</v>
      </c>
      <c r="F362" s="176">
        <f t="shared" si="20"/>
        <v>0</v>
      </c>
      <c r="G362" s="176">
        <f t="shared" si="20"/>
        <v>0</v>
      </c>
      <c r="H362" s="176">
        <f t="shared" si="20"/>
        <v>0</v>
      </c>
      <c r="I362" s="176">
        <f t="shared" si="20"/>
        <v>0</v>
      </c>
      <c r="J362" s="176">
        <f t="shared" si="20"/>
        <v>0</v>
      </c>
      <c r="K362" s="176">
        <f t="shared" si="20"/>
        <v>0</v>
      </c>
      <c r="L362" s="176">
        <f t="shared" si="20"/>
        <v>0</v>
      </c>
      <c r="M362" s="176">
        <f t="shared" si="20"/>
        <v>0</v>
      </c>
      <c r="N362" s="176">
        <f t="shared" si="20"/>
        <v>0</v>
      </c>
      <c r="O362" s="176">
        <f t="shared" si="20"/>
        <v>0</v>
      </c>
      <c r="P362" s="176">
        <f t="shared" si="20"/>
        <v>-1844.2142313546422</v>
      </c>
      <c r="Q362" s="176">
        <f t="shared" si="20"/>
        <v>0</v>
      </c>
      <c r="R362" s="176">
        <f t="shared" si="20"/>
        <v>0</v>
      </c>
      <c r="S362" s="176">
        <f t="shared" si="20"/>
        <v>0</v>
      </c>
      <c r="T362" s="176">
        <f t="shared" si="20"/>
        <v>0</v>
      </c>
      <c r="U362" s="176">
        <f t="shared" si="20"/>
        <v>0</v>
      </c>
      <c r="V362" s="176">
        <f t="shared" si="20"/>
        <v>0</v>
      </c>
      <c r="W362" s="176">
        <f t="shared" si="20"/>
        <v>0</v>
      </c>
      <c r="X362" s="176">
        <f t="shared" si="20"/>
        <v>0</v>
      </c>
      <c r="Y362" s="176">
        <f t="shared" si="20"/>
        <v>0</v>
      </c>
      <c r="Z362" s="176">
        <f t="shared" si="20"/>
        <v>0</v>
      </c>
      <c r="AA362" s="176">
        <f t="shared" si="20"/>
        <v>0</v>
      </c>
      <c r="AB362" s="176">
        <f t="shared" si="20"/>
        <v>0</v>
      </c>
      <c r="AC362" s="176">
        <f t="shared" si="20"/>
        <v>0</v>
      </c>
      <c r="AD362" s="176">
        <f t="shared" si="20"/>
        <v>0</v>
      </c>
      <c r="AE362" s="176">
        <f t="shared" si="20"/>
        <v>0</v>
      </c>
      <c r="AF362" s="287">
        <f t="shared" si="20"/>
        <v>0</v>
      </c>
    </row>
    <row r="363" spans="1:32" s="59" customFormat="1">
      <c r="A363" s="95" t="s">
        <v>728</v>
      </c>
      <c r="B363" s="95" t="s">
        <v>741</v>
      </c>
      <c r="C363" s="71" t="s">
        <v>533</v>
      </c>
      <c r="D363" s="74" t="s">
        <v>387</v>
      </c>
      <c r="E363" s="176">
        <f t="shared" si="21"/>
        <v>0</v>
      </c>
      <c r="F363" s="176">
        <f t="shared" si="20"/>
        <v>0</v>
      </c>
      <c r="G363" s="176">
        <f t="shared" si="20"/>
        <v>0</v>
      </c>
      <c r="H363" s="176">
        <f t="shared" si="20"/>
        <v>0</v>
      </c>
      <c r="I363" s="176">
        <f t="shared" si="20"/>
        <v>0</v>
      </c>
      <c r="J363" s="176">
        <f t="shared" si="20"/>
        <v>0</v>
      </c>
      <c r="K363" s="176">
        <f t="shared" si="20"/>
        <v>0</v>
      </c>
      <c r="L363" s="176">
        <f t="shared" si="20"/>
        <v>0</v>
      </c>
      <c r="M363" s="176">
        <f t="shared" si="20"/>
        <v>0</v>
      </c>
      <c r="N363" s="176">
        <f t="shared" si="20"/>
        <v>0</v>
      </c>
      <c r="O363" s="176">
        <f t="shared" si="20"/>
        <v>0</v>
      </c>
      <c r="P363" s="176">
        <f t="shared" si="20"/>
        <v>-12817.276031434185</v>
      </c>
      <c r="Q363" s="176">
        <f t="shared" si="20"/>
        <v>0</v>
      </c>
      <c r="R363" s="176">
        <f t="shared" si="20"/>
        <v>0</v>
      </c>
      <c r="S363" s="176">
        <f t="shared" si="20"/>
        <v>0</v>
      </c>
      <c r="T363" s="176">
        <f t="shared" si="20"/>
        <v>0</v>
      </c>
      <c r="U363" s="176">
        <f t="shared" si="20"/>
        <v>0</v>
      </c>
      <c r="V363" s="176">
        <f t="shared" si="20"/>
        <v>0</v>
      </c>
      <c r="W363" s="176">
        <f t="shared" si="20"/>
        <v>0</v>
      </c>
      <c r="X363" s="176">
        <f t="shared" si="20"/>
        <v>0</v>
      </c>
      <c r="Y363" s="176">
        <f t="shared" si="20"/>
        <v>0</v>
      </c>
      <c r="Z363" s="176">
        <f t="shared" si="20"/>
        <v>0</v>
      </c>
      <c r="AA363" s="176">
        <f t="shared" si="20"/>
        <v>0</v>
      </c>
      <c r="AB363" s="176">
        <f t="shared" si="20"/>
        <v>0</v>
      </c>
      <c r="AC363" s="176">
        <f t="shared" si="20"/>
        <v>0</v>
      </c>
      <c r="AD363" s="176">
        <f t="shared" si="20"/>
        <v>0</v>
      </c>
      <c r="AE363" s="176">
        <f t="shared" si="20"/>
        <v>0</v>
      </c>
      <c r="AF363" s="287">
        <f t="shared" si="20"/>
        <v>0</v>
      </c>
    </row>
    <row r="364" spans="1:32" s="59" customFormat="1">
      <c r="A364" s="95" t="s">
        <v>728</v>
      </c>
      <c r="B364" s="95" t="s">
        <v>741</v>
      </c>
      <c r="C364" s="71" t="s">
        <v>535</v>
      </c>
      <c r="D364" s="74" t="s">
        <v>387</v>
      </c>
      <c r="E364" s="176">
        <f t="shared" si="21"/>
        <v>0</v>
      </c>
      <c r="F364" s="176">
        <f t="shared" si="20"/>
        <v>0</v>
      </c>
      <c r="G364" s="176">
        <f t="shared" si="20"/>
        <v>0</v>
      </c>
      <c r="H364" s="176">
        <f t="shared" si="20"/>
        <v>0</v>
      </c>
      <c r="I364" s="176">
        <f t="shared" si="20"/>
        <v>-152744.10044431459</v>
      </c>
      <c r="J364" s="176">
        <f t="shared" si="20"/>
        <v>-686.58345788515089</v>
      </c>
      <c r="K364" s="176">
        <f t="shared" si="20"/>
        <v>0</v>
      </c>
      <c r="L364" s="176">
        <f t="shared" si="20"/>
        <v>0</v>
      </c>
      <c r="M364" s="176">
        <f t="shared" si="20"/>
        <v>0</v>
      </c>
      <c r="N364" s="176">
        <f t="shared" si="20"/>
        <v>0</v>
      </c>
      <c r="O364" s="176">
        <f t="shared" si="20"/>
        <v>0</v>
      </c>
      <c r="P364" s="176">
        <f t="shared" si="20"/>
        <v>-97087.426755113323</v>
      </c>
      <c r="Q364" s="176">
        <f t="shared" si="20"/>
        <v>-5399.1816369476137</v>
      </c>
      <c r="R364" s="176">
        <f t="shared" si="20"/>
        <v>-22.096433872866587</v>
      </c>
      <c r="S364" s="176">
        <f t="shared" si="20"/>
        <v>-8115.2673789122719</v>
      </c>
      <c r="T364" s="176">
        <f t="shared" si="20"/>
        <v>-2794.412400865177</v>
      </c>
      <c r="U364" s="176">
        <f t="shared" si="20"/>
        <v>-596.59038265542483</v>
      </c>
      <c r="V364" s="176">
        <f t="shared" si="20"/>
        <v>-6505.991871635174</v>
      </c>
      <c r="W364" s="176">
        <f t="shared" si="20"/>
        <v>0</v>
      </c>
      <c r="X364" s="176">
        <f t="shared" si="20"/>
        <v>0</v>
      </c>
      <c r="Y364" s="176">
        <f t="shared" si="20"/>
        <v>0</v>
      </c>
      <c r="Z364" s="176">
        <f t="shared" si="20"/>
        <v>0</v>
      </c>
      <c r="AA364" s="176">
        <f t="shared" si="20"/>
        <v>0</v>
      </c>
      <c r="AB364" s="176">
        <f t="shared" si="20"/>
        <v>0</v>
      </c>
      <c r="AC364" s="176">
        <f t="shared" si="20"/>
        <v>0</v>
      </c>
      <c r="AD364" s="176">
        <f t="shared" si="20"/>
        <v>-217251.45171494482</v>
      </c>
      <c r="AE364" s="176">
        <f t="shared" si="20"/>
        <v>0</v>
      </c>
      <c r="AF364" s="287">
        <f t="shared" si="20"/>
        <v>-115719.78518179436</v>
      </c>
    </row>
    <row r="365" spans="1:32" s="59" customFormat="1">
      <c r="A365" s="95" t="s">
        <v>728</v>
      </c>
      <c r="B365" s="95" t="s">
        <v>741</v>
      </c>
      <c r="C365" s="71" t="s">
        <v>537</v>
      </c>
      <c r="D365" s="74" t="s">
        <v>387</v>
      </c>
      <c r="E365" s="176">
        <f t="shared" si="21"/>
        <v>-210</v>
      </c>
      <c r="F365" s="176">
        <f t="shared" si="20"/>
        <v>0</v>
      </c>
      <c r="G365" s="176">
        <f t="shared" si="20"/>
        <v>0</v>
      </c>
      <c r="H365" s="176">
        <f t="shared" si="20"/>
        <v>-10111.122502434388</v>
      </c>
      <c r="I365" s="176">
        <f t="shared" si="20"/>
        <v>-22774.704109261096</v>
      </c>
      <c r="J365" s="176">
        <f t="shared" si="20"/>
        <v>-1919.6446919458042</v>
      </c>
      <c r="K365" s="176">
        <f t="shared" si="20"/>
        <v>0</v>
      </c>
      <c r="L365" s="176">
        <f t="shared" si="20"/>
        <v>0</v>
      </c>
      <c r="M365" s="176">
        <f t="shared" si="20"/>
        <v>0</v>
      </c>
      <c r="N365" s="176">
        <f t="shared" si="20"/>
        <v>-8277.3011793166006</v>
      </c>
      <c r="O365" s="176">
        <f t="shared" si="20"/>
        <v>0</v>
      </c>
      <c r="P365" s="176">
        <f t="shared" si="20"/>
        <v>-355841.58365132578</v>
      </c>
      <c r="Q365" s="176">
        <f t="shared" si="20"/>
        <v>-9775.364732588474</v>
      </c>
      <c r="R365" s="176">
        <f t="shared" ref="R365:AF375" si="22">SUMIFS(R$7:R$26,$C$7:$C$26,$C365)*SUMIFS(R$32:R$350,$C$32:$C$350,$B365,$B$32:$B$350,$C365)</f>
        <v>-1277.8647194243056</v>
      </c>
      <c r="S365" s="176">
        <f t="shared" si="22"/>
        <v>-26954.790385326112</v>
      </c>
      <c r="T365" s="176">
        <f t="shared" si="22"/>
        <v>-3596.8795128832185</v>
      </c>
      <c r="U365" s="176">
        <f t="shared" si="22"/>
        <v>-180.13086845548824</v>
      </c>
      <c r="V365" s="176">
        <f t="shared" si="22"/>
        <v>0</v>
      </c>
      <c r="W365" s="176">
        <f t="shared" si="22"/>
        <v>0</v>
      </c>
      <c r="X365" s="176">
        <f t="shared" si="22"/>
        <v>0</v>
      </c>
      <c r="Y365" s="176">
        <f t="shared" si="22"/>
        <v>-24.40146055407887</v>
      </c>
      <c r="Z365" s="176">
        <f t="shared" si="22"/>
        <v>-3937.3429473022388</v>
      </c>
      <c r="AA365" s="176">
        <f t="shared" si="22"/>
        <v>0</v>
      </c>
      <c r="AB365" s="176">
        <f t="shared" si="22"/>
        <v>0</v>
      </c>
      <c r="AC365" s="176">
        <f t="shared" si="22"/>
        <v>0</v>
      </c>
      <c r="AD365" s="176">
        <f t="shared" si="22"/>
        <v>-31359.334341208851</v>
      </c>
      <c r="AE365" s="176">
        <f t="shared" si="22"/>
        <v>0</v>
      </c>
      <c r="AF365" s="287">
        <f t="shared" si="22"/>
        <v>-26754.282021591996</v>
      </c>
    </row>
    <row r="366" spans="1:32" s="59" customFormat="1">
      <c r="A366" s="95" t="s">
        <v>728</v>
      </c>
      <c r="B366" s="95" t="s">
        <v>741</v>
      </c>
      <c r="C366" s="71" t="s">
        <v>541</v>
      </c>
      <c r="D366" s="74" t="s">
        <v>387</v>
      </c>
      <c r="E366" s="176">
        <f t="shared" si="21"/>
        <v>0</v>
      </c>
      <c r="F366" s="176">
        <f t="shared" si="21"/>
        <v>0</v>
      </c>
      <c r="G366" s="176">
        <f t="shared" si="21"/>
        <v>0</v>
      </c>
      <c r="H366" s="176">
        <f t="shared" si="21"/>
        <v>0</v>
      </c>
      <c r="I366" s="176">
        <f t="shared" si="21"/>
        <v>-13.859636757047484</v>
      </c>
      <c r="J366" s="176">
        <f t="shared" si="21"/>
        <v>0</v>
      </c>
      <c r="K366" s="176">
        <f t="shared" si="21"/>
        <v>0</v>
      </c>
      <c r="L366" s="176">
        <f t="shared" si="21"/>
        <v>0</v>
      </c>
      <c r="M366" s="176">
        <f t="shared" si="21"/>
        <v>0</v>
      </c>
      <c r="N366" s="176">
        <f t="shared" si="21"/>
        <v>-2981.1308089275421</v>
      </c>
      <c r="O366" s="176">
        <f t="shared" si="21"/>
        <v>0</v>
      </c>
      <c r="P366" s="176">
        <f t="shared" si="21"/>
        <v>-56892.598528209317</v>
      </c>
      <c r="Q366" s="176">
        <f t="shared" si="21"/>
        <v>0</v>
      </c>
      <c r="R366" s="176">
        <f t="shared" si="21"/>
        <v>-256.91913816089527</v>
      </c>
      <c r="S366" s="176">
        <f t="shared" si="21"/>
        <v>-445.23782596894779</v>
      </c>
      <c r="T366" s="176">
        <f t="shared" si="21"/>
        <v>-39.024883497132379</v>
      </c>
      <c r="U366" s="176">
        <f t="shared" si="22"/>
        <v>-203.7418947791069</v>
      </c>
      <c r="V366" s="176">
        <f t="shared" si="22"/>
        <v>0</v>
      </c>
      <c r="W366" s="176">
        <f t="shared" si="22"/>
        <v>0</v>
      </c>
      <c r="X366" s="176">
        <f t="shared" si="22"/>
        <v>0</v>
      </c>
      <c r="Y366" s="176">
        <f t="shared" si="22"/>
        <v>-3434.6311950818017</v>
      </c>
      <c r="Z366" s="176">
        <f t="shared" si="22"/>
        <v>0</v>
      </c>
      <c r="AA366" s="176">
        <f t="shared" si="22"/>
        <v>0</v>
      </c>
      <c r="AB366" s="176">
        <f t="shared" si="22"/>
        <v>0</v>
      </c>
      <c r="AC366" s="176">
        <f t="shared" si="22"/>
        <v>0</v>
      </c>
      <c r="AD366" s="176">
        <f t="shared" si="22"/>
        <v>0</v>
      </c>
      <c r="AE366" s="176">
        <f t="shared" si="22"/>
        <v>0</v>
      </c>
      <c r="AF366" s="287">
        <f t="shared" si="22"/>
        <v>-1231.8011256200011</v>
      </c>
    </row>
    <row r="367" spans="1:32" s="59" customFormat="1">
      <c r="A367" s="95" t="s">
        <v>728</v>
      </c>
      <c r="B367" s="95" t="s">
        <v>741</v>
      </c>
      <c r="C367" s="71" t="s">
        <v>543</v>
      </c>
      <c r="D367" s="74" t="s">
        <v>387</v>
      </c>
      <c r="E367" s="176">
        <f t="shared" si="21"/>
        <v>0</v>
      </c>
      <c r="F367" s="176">
        <f t="shared" si="21"/>
        <v>0</v>
      </c>
      <c r="G367" s="176">
        <f t="shared" si="21"/>
        <v>0</v>
      </c>
      <c r="H367" s="176">
        <f t="shared" si="21"/>
        <v>0</v>
      </c>
      <c r="I367" s="176">
        <f t="shared" si="21"/>
        <v>-1.7400000000000002</v>
      </c>
      <c r="J367" s="176">
        <f t="shared" si="21"/>
        <v>0</v>
      </c>
      <c r="K367" s="176">
        <f t="shared" si="21"/>
        <v>0</v>
      </c>
      <c r="L367" s="176">
        <f t="shared" si="21"/>
        <v>0</v>
      </c>
      <c r="M367" s="176">
        <f t="shared" si="21"/>
        <v>0</v>
      </c>
      <c r="N367" s="176">
        <f t="shared" si="21"/>
        <v>0</v>
      </c>
      <c r="O367" s="176">
        <f t="shared" si="21"/>
        <v>0</v>
      </c>
      <c r="P367" s="176">
        <f t="shared" si="21"/>
        <v>-3186.2866242038217</v>
      </c>
      <c r="Q367" s="176">
        <f t="shared" si="21"/>
        <v>0</v>
      </c>
      <c r="R367" s="176">
        <f t="shared" si="21"/>
        <v>0</v>
      </c>
      <c r="S367" s="176">
        <f t="shared" si="21"/>
        <v>-6.132911392405064</v>
      </c>
      <c r="T367" s="176">
        <f t="shared" si="21"/>
        <v>0</v>
      </c>
      <c r="U367" s="176">
        <f t="shared" si="22"/>
        <v>0</v>
      </c>
      <c r="V367" s="176">
        <f t="shared" si="22"/>
        <v>0</v>
      </c>
      <c r="W367" s="176">
        <f t="shared" si="22"/>
        <v>0</v>
      </c>
      <c r="X367" s="176">
        <f t="shared" si="22"/>
        <v>0</v>
      </c>
      <c r="Y367" s="176">
        <f t="shared" si="22"/>
        <v>0</v>
      </c>
      <c r="Z367" s="176">
        <f t="shared" si="22"/>
        <v>0</v>
      </c>
      <c r="AA367" s="176">
        <f t="shared" si="22"/>
        <v>0</v>
      </c>
      <c r="AB367" s="176">
        <f t="shared" si="22"/>
        <v>0</v>
      </c>
      <c r="AC367" s="176">
        <f t="shared" si="22"/>
        <v>0</v>
      </c>
      <c r="AD367" s="176">
        <f t="shared" si="22"/>
        <v>0</v>
      </c>
      <c r="AE367" s="176">
        <f t="shared" si="22"/>
        <v>0</v>
      </c>
      <c r="AF367" s="287">
        <f t="shared" si="22"/>
        <v>-94014.815788397216</v>
      </c>
    </row>
    <row r="368" spans="1:32" s="59" customFormat="1">
      <c r="A368" s="95" t="s">
        <v>728</v>
      </c>
      <c r="B368" s="95" t="s">
        <v>741</v>
      </c>
      <c r="C368" s="71" t="s">
        <v>545</v>
      </c>
      <c r="D368" s="74" t="s">
        <v>387</v>
      </c>
      <c r="E368" s="176">
        <f t="shared" si="21"/>
        <v>0</v>
      </c>
      <c r="F368" s="176">
        <f t="shared" si="21"/>
        <v>0</v>
      </c>
      <c r="G368" s="176">
        <f t="shared" si="21"/>
        <v>0</v>
      </c>
      <c r="H368" s="176">
        <f t="shared" si="21"/>
        <v>0</v>
      </c>
      <c r="I368" s="176">
        <f t="shared" si="21"/>
        <v>0</v>
      </c>
      <c r="J368" s="176">
        <f t="shared" si="21"/>
        <v>-497.90176273370645</v>
      </c>
      <c r="K368" s="176">
        <f t="shared" si="21"/>
        <v>0</v>
      </c>
      <c r="L368" s="176">
        <f t="shared" si="21"/>
        <v>0</v>
      </c>
      <c r="M368" s="176">
        <f t="shared" si="21"/>
        <v>0</v>
      </c>
      <c r="N368" s="176">
        <f t="shared" si="21"/>
        <v>0</v>
      </c>
      <c r="O368" s="176">
        <f t="shared" si="21"/>
        <v>0</v>
      </c>
      <c r="P368" s="176">
        <f t="shared" si="21"/>
        <v>-7055.0020412036711</v>
      </c>
      <c r="Q368" s="176">
        <f t="shared" si="21"/>
        <v>-2735.3439569130755</v>
      </c>
      <c r="R368" s="176">
        <f t="shared" si="21"/>
        <v>0</v>
      </c>
      <c r="S368" s="176">
        <f t="shared" si="21"/>
        <v>-4563.2699412344045</v>
      </c>
      <c r="T368" s="176">
        <f t="shared" si="21"/>
        <v>0</v>
      </c>
      <c r="U368" s="176">
        <f t="shared" si="22"/>
        <v>0</v>
      </c>
      <c r="V368" s="176">
        <f t="shared" si="22"/>
        <v>0</v>
      </c>
      <c r="W368" s="176">
        <f t="shared" si="22"/>
        <v>0</v>
      </c>
      <c r="X368" s="176">
        <f t="shared" si="22"/>
        <v>0</v>
      </c>
      <c r="Y368" s="176">
        <f t="shared" si="22"/>
        <v>0</v>
      </c>
      <c r="Z368" s="176">
        <f t="shared" si="22"/>
        <v>0</v>
      </c>
      <c r="AA368" s="176">
        <f t="shared" si="22"/>
        <v>0</v>
      </c>
      <c r="AB368" s="176">
        <f t="shared" si="22"/>
        <v>0</v>
      </c>
      <c r="AC368" s="176">
        <f t="shared" si="22"/>
        <v>0</v>
      </c>
      <c r="AD368" s="176">
        <f t="shared" si="22"/>
        <v>-18988.785033491793</v>
      </c>
      <c r="AE368" s="176">
        <f t="shared" si="22"/>
        <v>0</v>
      </c>
      <c r="AF368" s="287">
        <f t="shared" si="22"/>
        <v>0</v>
      </c>
    </row>
    <row r="369" spans="1:32" s="59" customFormat="1">
      <c r="A369" s="95" t="s">
        <v>728</v>
      </c>
      <c r="B369" s="95" t="s">
        <v>741</v>
      </c>
      <c r="C369" s="71" t="s">
        <v>548</v>
      </c>
      <c r="D369" s="74" t="s">
        <v>387</v>
      </c>
      <c r="E369" s="176">
        <f t="shared" si="21"/>
        <v>0</v>
      </c>
      <c r="F369" s="176">
        <f t="shared" si="21"/>
        <v>0</v>
      </c>
      <c r="G369" s="176">
        <f t="shared" si="21"/>
        <v>0</v>
      </c>
      <c r="H369" s="176">
        <f t="shared" si="21"/>
        <v>0</v>
      </c>
      <c r="I369" s="176">
        <f t="shared" si="21"/>
        <v>-144.96883792388567</v>
      </c>
      <c r="J369" s="176">
        <f t="shared" si="21"/>
        <v>0</v>
      </c>
      <c r="K369" s="176">
        <f t="shared" si="21"/>
        <v>0</v>
      </c>
      <c r="L369" s="176">
        <f t="shared" si="21"/>
        <v>0</v>
      </c>
      <c r="M369" s="176">
        <f t="shared" si="21"/>
        <v>0</v>
      </c>
      <c r="N369" s="176">
        <f t="shared" si="21"/>
        <v>0</v>
      </c>
      <c r="O369" s="176">
        <f t="shared" si="21"/>
        <v>0</v>
      </c>
      <c r="P369" s="176">
        <f t="shared" si="21"/>
        <v>-157.63360111770871</v>
      </c>
      <c r="Q369" s="176">
        <f t="shared" si="21"/>
        <v>0</v>
      </c>
      <c r="R369" s="176">
        <f t="shared" si="21"/>
        <v>0</v>
      </c>
      <c r="S369" s="176">
        <f t="shared" si="21"/>
        <v>-63.99709324918782</v>
      </c>
      <c r="T369" s="176">
        <f t="shared" si="21"/>
        <v>0</v>
      </c>
      <c r="U369" s="176">
        <f t="shared" si="22"/>
        <v>0</v>
      </c>
      <c r="V369" s="176">
        <f t="shared" si="22"/>
        <v>0</v>
      </c>
      <c r="W369" s="176">
        <f t="shared" si="22"/>
        <v>0</v>
      </c>
      <c r="X369" s="176">
        <f t="shared" si="22"/>
        <v>0</v>
      </c>
      <c r="Y369" s="176">
        <f t="shared" si="22"/>
        <v>0</v>
      </c>
      <c r="Z369" s="176">
        <f t="shared" si="22"/>
        <v>0</v>
      </c>
      <c r="AA369" s="176">
        <f t="shared" si="22"/>
        <v>0</v>
      </c>
      <c r="AB369" s="176">
        <f t="shared" si="22"/>
        <v>0</v>
      </c>
      <c r="AC369" s="176">
        <f t="shared" si="22"/>
        <v>0</v>
      </c>
      <c r="AD369" s="176">
        <f t="shared" si="22"/>
        <v>0</v>
      </c>
      <c r="AE369" s="176">
        <f t="shared" si="22"/>
        <v>0</v>
      </c>
      <c r="AF369" s="287">
        <f t="shared" si="22"/>
        <v>-1436.3053007365902</v>
      </c>
    </row>
    <row r="370" spans="1:32" s="59" customFormat="1">
      <c r="A370" s="95" t="s">
        <v>728</v>
      </c>
      <c r="B370" s="95" t="s">
        <v>741</v>
      </c>
      <c r="C370" s="71" t="s">
        <v>550</v>
      </c>
      <c r="D370" s="74" t="s">
        <v>387</v>
      </c>
      <c r="E370" s="176">
        <f t="shared" si="21"/>
        <v>0</v>
      </c>
      <c r="F370" s="176">
        <f t="shared" si="21"/>
        <v>0</v>
      </c>
      <c r="G370" s="176">
        <f t="shared" si="21"/>
        <v>0</v>
      </c>
      <c r="H370" s="176">
        <f t="shared" si="21"/>
        <v>0</v>
      </c>
      <c r="I370" s="176">
        <f t="shared" si="21"/>
        <v>0</v>
      </c>
      <c r="J370" s="176">
        <f t="shared" si="21"/>
        <v>0</v>
      </c>
      <c r="K370" s="176">
        <f t="shared" si="21"/>
        <v>0</v>
      </c>
      <c r="L370" s="176">
        <f t="shared" si="21"/>
        <v>0</v>
      </c>
      <c r="M370" s="176">
        <f t="shared" si="21"/>
        <v>0</v>
      </c>
      <c r="N370" s="176">
        <f t="shared" si="21"/>
        <v>0</v>
      </c>
      <c r="O370" s="176">
        <f t="shared" si="21"/>
        <v>0</v>
      </c>
      <c r="P370" s="176">
        <f t="shared" si="21"/>
        <v>-483.06451612903226</v>
      </c>
      <c r="Q370" s="176">
        <f t="shared" si="21"/>
        <v>0</v>
      </c>
      <c r="R370" s="176">
        <f t="shared" si="21"/>
        <v>0</v>
      </c>
      <c r="S370" s="176">
        <f t="shared" si="21"/>
        <v>-0.46666666666666667</v>
      </c>
      <c r="T370" s="176">
        <f t="shared" si="21"/>
        <v>0</v>
      </c>
      <c r="U370" s="176">
        <f t="shared" si="22"/>
        <v>0</v>
      </c>
      <c r="V370" s="176">
        <f t="shared" si="22"/>
        <v>0</v>
      </c>
      <c r="W370" s="176">
        <f t="shared" si="22"/>
        <v>0</v>
      </c>
      <c r="X370" s="176">
        <f t="shared" si="22"/>
        <v>0</v>
      </c>
      <c r="Y370" s="176">
        <f t="shared" si="22"/>
        <v>0</v>
      </c>
      <c r="Z370" s="176">
        <f t="shared" si="22"/>
        <v>0</v>
      </c>
      <c r="AA370" s="176">
        <f t="shared" si="22"/>
        <v>0</v>
      </c>
      <c r="AB370" s="176">
        <f t="shared" si="22"/>
        <v>0</v>
      </c>
      <c r="AC370" s="176">
        <f t="shared" si="22"/>
        <v>0</v>
      </c>
      <c r="AD370" s="176">
        <f t="shared" si="22"/>
        <v>0</v>
      </c>
      <c r="AE370" s="176">
        <f t="shared" si="22"/>
        <v>0</v>
      </c>
      <c r="AF370" s="287">
        <f t="shared" si="22"/>
        <v>0</v>
      </c>
    </row>
    <row r="371" spans="1:32" s="59" customFormat="1">
      <c r="A371" s="95" t="s">
        <v>728</v>
      </c>
      <c r="B371" s="95" t="s">
        <v>741</v>
      </c>
      <c r="C371" s="71" t="s">
        <v>552</v>
      </c>
      <c r="D371" s="74" t="s">
        <v>387</v>
      </c>
      <c r="E371" s="176">
        <f t="shared" si="21"/>
        <v>0</v>
      </c>
      <c r="F371" s="176">
        <f t="shared" si="21"/>
        <v>0</v>
      </c>
      <c r="G371" s="176">
        <f t="shared" si="21"/>
        <v>0</v>
      </c>
      <c r="H371" s="176">
        <f t="shared" si="21"/>
        <v>0</v>
      </c>
      <c r="I371" s="176">
        <f t="shared" si="21"/>
        <v>-24.035415837644251</v>
      </c>
      <c r="J371" s="176">
        <f t="shared" si="21"/>
        <v>0</v>
      </c>
      <c r="K371" s="176">
        <f t="shared" si="21"/>
        <v>0</v>
      </c>
      <c r="L371" s="176">
        <f t="shared" si="21"/>
        <v>0</v>
      </c>
      <c r="M371" s="176">
        <f t="shared" si="21"/>
        <v>0</v>
      </c>
      <c r="N371" s="176">
        <f t="shared" si="21"/>
        <v>0</v>
      </c>
      <c r="O371" s="176">
        <f t="shared" si="21"/>
        <v>0</v>
      </c>
      <c r="P371" s="176">
        <f t="shared" si="21"/>
        <v>-28437.125774799872</v>
      </c>
      <c r="Q371" s="176">
        <f t="shared" si="21"/>
        <v>0</v>
      </c>
      <c r="R371" s="176">
        <f t="shared" si="21"/>
        <v>0</v>
      </c>
      <c r="S371" s="176">
        <f t="shared" si="21"/>
        <v>-7.3301388617250147</v>
      </c>
      <c r="T371" s="176">
        <f t="shared" si="21"/>
        <v>0</v>
      </c>
      <c r="U371" s="176">
        <f t="shared" si="22"/>
        <v>0</v>
      </c>
      <c r="V371" s="176">
        <f t="shared" si="22"/>
        <v>-25.454545454545457</v>
      </c>
      <c r="W371" s="176">
        <f t="shared" si="22"/>
        <v>0</v>
      </c>
      <c r="X371" s="176">
        <f t="shared" si="22"/>
        <v>0</v>
      </c>
      <c r="Y371" s="176">
        <f t="shared" si="22"/>
        <v>0</v>
      </c>
      <c r="Z371" s="176">
        <f t="shared" si="22"/>
        <v>0</v>
      </c>
      <c r="AA371" s="176">
        <f t="shared" si="22"/>
        <v>0</v>
      </c>
      <c r="AB371" s="176">
        <f t="shared" si="22"/>
        <v>0</v>
      </c>
      <c r="AC371" s="176">
        <f t="shared" si="22"/>
        <v>0</v>
      </c>
      <c r="AD371" s="176">
        <f t="shared" si="22"/>
        <v>0</v>
      </c>
      <c r="AE371" s="176">
        <f t="shared" si="22"/>
        <v>0</v>
      </c>
      <c r="AF371" s="287">
        <f t="shared" si="22"/>
        <v>0</v>
      </c>
    </row>
    <row r="372" spans="1:32" s="59" customFormat="1">
      <c r="A372" s="95" t="s">
        <v>728</v>
      </c>
      <c r="B372" s="95" t="s">
        <v>741</v>
      </c>
      <c r="C372" s="71" t="s">
        <v>554</v>
      </c>
      <c r="D372" s="74" t="s">
        <v>387</v>
      </c>
      <c r="E372" s="176">
        <f t="shared" si="21"/>
        <v>0</v>
      </c>
      <c r="F372" s="176">
        <f t="shared" si="21"/>
        <v>0</v>
      </c>
      <c r="G372" s="176">
        <f t="shared" si="21"/>
        <v>0</v>
      </c>
      <c r="H372" s="176">
        <f t="shared" si="21"/>
        <v>0</v>
      </c>
      <c r="I372" s="176">
        <f t="shared" si="21"/>
        <v>0</v>
      </c>
      <c r="J372" s="176">
        <f t="shared" si="21"/>
        <v>0</v>
      </c>
      <c r="K372" s="176">
        <f t="shared" si="21"/>
        <v>0</v>
      </c>
      <c r="L372" s="176">
        <f t="shared" si="21"/>
        <v>0</v>
      </c>
      <c r="M372" s="176">
        <f t="shared" si="21"/>
        <v>0</v>
      </c>
      <c r="N372" s="176">
        <f t="shared" si="21"/>
        <v>0</v>
      </c>
      <c r="O372" s="176">
        <f t="shared" si="21"/>
        <v>0</v>
      </c>
      <c r="P372" s="176">
        <f t="shared" si="21"/>
        <v>0</v>
      </c>
      <c r="Q372" s="176">
        <f t="shared" si="21"/>
        <v>0</v>
      </c>
      <c r="R372" s="176">
        <f t="shared" si="21"/>
        <v>0</v>
      </c>
      <c r="S372" s="176">
        <f t="shared" si="21"/>
        <v>0</v>
      </c>
      <c r="T372" s="176">
        <f t="shared" si="21"/>
        <v>0</v>
      </c>
      <c r="U372" s="176">
        <f t="shared" si="22"/>
        <v>0</v>
      </c>
      <c r="V372" s="176">
        <f t="shared" si="22"/>
        <v>0</v>
      </c>
      <c r="W372" s="176">
        <f t="shared" si="22"/>
        <v>0</v>
      </c>
      <c r="X372" s="176">
        <f t="shared" si="22"/>
        <v>0</v>
      </c>
      <c r="Y372" s="176">
        <f t="shared" si="22"/>
        <v>0</v>
      </c>
      <c r="Z372" s="176">
        <f t="shared" si="22"/>
        <v>0</v>
      </c>
      <c r="AA372" s="176">
        <f t="shared" si="22"/>
        <v>0</v>
      </c>
      <c r="AB372" s="176">
        <f t="shared" si="22"/>
        <v>0</v>
      </c>
      <c r="AC372" s="176">
        <f t="shared" si="22"/>
        <v>0</v>
      </c>
      <c r="AD372" s="176">
        <f t="shared" si="22"/>
        <v>0</v>
      </c>
      <c r="AE372" s="176">
        <f t="shared" si="22"/>
        <v>0</v>
      </c>
      <c r="AF372" s="287">
        <f t="shared" si="22"/>
        <v>0</v>
      </c>
    </row>
    <row r="373" spans="1:32" s="59" customFormat="1">
      <c r="A373" s="95" t="s">
        <v>728</v>
      </c>
      <c r="B373" s="95" t="s">
        <v>741</v>
      </c>
      <c r="C373" s="71" t="s">
        <v>556</v>
      </c>
      <c r="D373" s="74" t="s">
        <v>387</v>
      </c>
      <c r="E373" s="176">
        <f t="shared" si="21"/>
        <v>0</v>
      </c>
      <c r="F373" s="176">
        <f t="shared" si="21"/>
        <v>0</v>
      </c>
      <c r="G373" s="176">
        <f t="shared" si="21"/>
        <v>0</v>
      </c>
      <c r="H373" s="176">
        <f t="shared" si="21"/>
        <v>0</v>
      </c>
      <c r="I373" s="176">
        <f t="shared" si="21"/>
        <v>0</v>
      </c>
      <c r="J373" s="176">
        <f t="shared" si="21"/>
        <v>0</v>
      </c>
      <c r="K373" s="176">
        <f t="shared" si="21"/>
        <v>0</v>
      </c>
      <c r="L373" s="176">
        <f t="shared" si="21"/>
        <v>0</v>
      </c>
      <c r="M373" s="176">
        <f t="shared" si="21"/>
        <v>0</v>
      </c>
      <c r="N373" s="176">
        <f t="shared" si="21"/>
        <v>0</v>
      </c>
      <c r="O373" s="176">
        <f t="shared" si="21"/>
        <v>0</v>
      </c>
      <c r="P373" s="176">
        <f t="shared" si="21"/>
        <v>0</v>
      </c>
      <c r="Q373" s="176">
        <f t="shared" si="21"/>
        <v>0</v>
      </c>
      <c r="R373" s="176">
        <f t="shared" si="21"/>
        <v>0</v>
      </c>
      <c r="S373" s="176">
        <f t="shared" si="21"/>
        <v>0</v>
      </c>
      <c r="T373" s="176">
        <f t="shared" si="21"/>
        <v>0</v>
      </c>
      <c r="U373" s="176">
        <f t="shared" si="22"/>
        <v>0</v>
      </c>
      <c r="V373" s="176">
        <f t="shared" si="22"/>
        <v>0</v>
      </c>
      <c r="W373" s="176">
        <f t="shared" si="22"/>
        <v>0</v>
      </c>
      <c r="X373" s="176">
        <f t="shared" si="22"/>
        <v>0</v>
      </c>
      <c r="Y373" s="176">
        <f t="shared" si="22"/>
        <v>0</v>
      </c>
      <c r="Z373" s="176">
        <f t="shared" si="22"/>
        <v>0</v>
      </c>
      <c r="AA373" s="176">
        <f t="shared" si="22"/>
        <v>0</v>
      </c>
      <c r="AB373" s="176">
        <f t="shared" si="22"/>
        <v>0</v>
      </c>
      <c r="AC373" s="176">
        <f t="shared" si="22"/>
        <v>0</v>
      </c>
      <c r="AD373" s="176">
        <f t="shared" si="22"/>
        <v>0</v>
      </c>
      <c r="AE373" s="176">
        <f t="shared" si="22"/>
        <v>0</v>
      </c>
      <c r="AF373" s="287">
        <f t="shared" si="22"/>
        <v>0</v>
      </c>
    </row>
    <row r="374" spans="1:32" s="59" customFormat="1">
      <c r="A374" s="95" t="s">
        <v>728</v>
      </c>
      <c r="B374" s="95" t="s">
        <v>741</v>
      </c>
      <c r="C374" s="71" t="s">
        <v>558</v>
      </c>
      <c r="D374" s="74" t="s">
        <v>387</v>
      </c>
      <c r="E374" s="176">
        <f t="shared" si="21"/>
        <v>0</v>
      </c>
      <c r="F374" s="176">
        <f t="shared" si="21"/>
        <v>0</v>
      </c>
      <c r="G374" s="176">
        <f t="shared" si="21"/>
        <v>0</v>
      </c>
      <c r="H374" s="176">
        <f t="shared" si="21"/>
        <v>0</v>
      </c>
      <c r="I374" s="176">
        <f>SUMIFS(I$7:I$26,$C$7:$C$26,$C374)*SUMIFS(I$32:I$350,$C$32:$C$350,$B374,$B$32:$B$350,$C374)</f>
        <v>-7.9818270647837881</v>
      </c>
      <c r="J374" s="176">
        <f t="shared" si="21"/>
        <v>0</v>
      </c>
      <c r="K374" s="176">
        <f t="shared" si="21"/>
        <v>0</v>
      </c>
      <c r="L374" s="176">
        <f t="shared" si="21"/>
        <v>0</v>
      </c>
      <c r="M374" s="176">
        <f t="shared" si="21"/>
        <v>0</v>
      </c>
      <c r="N374" s="176">
        <f t="shared" si="21"/>
        <v>0</v>
      </c>
      <c r="O374" s="176">
        <f t="shared" si="21"/>
        <v>0</v>
      </c>
      <c r="P374" s="176">
        <f t="shared" si="21"/>
        <v>-596.29649917081554</v>
      </c>
      <c r="Q374" s="176">
        <f t="shared" si="21"/>
        <v>0</v>
      </c>
      <c r="R374" s="176">
        <f t="shared" si="21"/>
        <v>0</v>
      </c>
      <c r="S374" s="176">
        <f t="shared" si="21"/>
        <v>-7.9045022957672479</v>
      </c>
      <c r="T374" s="176">
        <f t="shared" si="21"/>
        <v>0</v>
      </c>
      <c r="U374" s="176">
        <f t="shared" si="22"/>
        <v>0</v>
      </c>
      <c r="V374" s="176">
        <f t="shared" si="22"/>
        <v>0</v>
      </c>
      <c r="W374" s="176">
        <f t="shared" si="22"/>
        <v>0</v>
      </c>
      <c r="X374" s="176">
        <f t="shared" si="22"/>
        <v>0</v>
      </c>
      <c r="Y374" s="176">
        <f t="shared" si="22"/>
        <v>0</v>
      </c>
      <c r="Z374" s="176">
        <f t="shared" si="22"/>
        <v>0</v>
      </c>
      <c r="AA374" s="176">
        <f t="shared" si="22"/>
        <v>0</v>
      </c>
      <c r="AB374" s="176">
        <f t="shared" si="22"/>
        <v>0</v>
      </c>
      <c r="AC374" s="176">
        <f t="shared" si="22"/>
        <v>0</v>
      </c>
      <c r="AD374" s="176">
        <f t="shared" si="22"/>
        <v>0</v>
      </c>
      <c r="AE374" s="176">
        <f t="shared" si="22"/>
        <v>0</v>
      </c>
      <c r="AF374" s="287">
        <f t="shared" si="22"/>
        <v>0</v>
      </c>
    </row>
    <row r="375" spans="1:32" s="59" customFormat="1">
      <c r="A375" s="97" t="s">
        <v>728</v>
      </c>
      <c r="B375" s="76" t="s">
        <v>741</v>
      </c>
      <c r="C375" s="76" t="s">
        <v>560</v>
      </c>
      <c r="D375" s="77" t="s">
        <v>387</v>
      </c>
      <c r="E375" s="288">
        <f t="shared" si="21"/>
        <v>0</v>
      </c>
      <c r="F375" s="289">
        <f t="shared" si="21"/>
        <v>0</v>
      </c>
      <c r="G375" s="289">
        <f t="shared" si="21"/>
        <v>0</v>
      </c>
      <c r="H375" s="289">
        <f t="shared" si="21"/>
        <v>0</v>
      </c>
      <c r="I375" s="289">
        <f t="shared" si="21"/>
        <v>0</v>
      </c>
      <c r="J375" s="289">
        <f t="shared" si="21"/>
        <v>0</v>
      </c>
      <c r="K375" s="289">
        <f t="shared" si="21"/>
        <v>0</v>
      </c>
      <c r="L375" s="289">
        <f t="shared" si="21"/>
        <v>0</v>
      </c>
      <c r="M375" s="289">
        <f t="shared" si="21"/>
        <v>0</v>
      </c>
      <c r="N375" s="289">
        <f t="shared" si="21"/>
        <v>0</v>
      </c>
      <c r="O375" s="289">
        <f t="shared" si="21"/>
        <v>0</v>
      </c>
      <c r="P375" s="289">
        <f t="shared" si="21"/>
        <v>0</v>
      </c>
      <c r="Q375" s="289">
        <f t="shared" si="21"/>
        <v>0</v>
      </c>
      <c r="R375" s="289">
        <f t="shared" si="21"/>
        <v>0</v>
      </c>
      <c r="S375" s="289">
        <f t="shared" si="21"/>
        <v>0</v>
      </c>
      <c r="T375" s="289">
        <f t="shared" si="21"/>
        <v>0</v>
      </c>
      <c r="U375" s="289">
        <f t="shared" si="22"/>
        <v>0</v>
      </c>
      <c r="V375" s="289">
        <f t="shared" si="22"/>
        <v>0</v>
      </c>
      <c r="W375" s="289">
        <f t="shared" si="22"/>
        <v>0</v>
      </c>
      <c r="X375" s="289">
        <f t="shared" si="22"/>
        <v>0</v>
      </c>
      <c r="Y375" s="289">
        <f t="shared" si="22"/>
        <v>0</v>
      </c>
      <c r="Z375" s="289">
        <f t="shared" si="22"/>
        <v>0</v>
      </c>
      <c r="AA375" s="289">
        <f t="shared" si="22"/>
        <v>0</v>
      </c>
      <c r="AB375" s="289">
        <f t="shared" si="22"/>
        <v>0</v>
      </c>
      <c r="AC375" s="289">
        <f t="shared" si="22"/>
        <v>0</v>
      </c>
      <c r="AD375" s="289">
        <f t="shared" si="22"/>
        <v>0</v>
      </c>
      <c r="AE375" s="289">
        <f t="shared" si="22"/>
        <v>0</v>
      </c>
      <c r="AF375" s="290">
        <f t="shared" si="22"/>
        <v>0</v>
      </c>
    </row>
    <row r="376" spans="1:32" s="59" customFormat="1">
      <c r="A376" s="95" t="s">
        <v>728</v>
      </c>
      <c r="B376" s="95" t="s">
        <v>749</v>
      </c>
      <c r="C376" s="71" t="s">
        <v>515</v>
      </c>
      <c r="D376" s="74" t="s">
        <v>387</v>
      </c>
      <c r="E376" s="176">
        <f>IFERROR(E356*'Key inputs_EB_MIN'!E$10/SUM('Key inputs_EB_MIN'!E$10:E$11),0)</f>
        <v>0</v>
      </c>
      <c r="F376" s="176">
        <f>IFERROR(F356*'Key inputs_EB_MIN'!F$10/SUM('Key inputs_EB_MIN'!F$10:F$11),0)</f>
        <v>0</v>
      </c>
      <c r="G376" s="176">
        <f>IFERROR(G356*'Key inputs_EB_MIN'!G$10/SUM('Key inputs_EB_MIN'!G$10:G$11),0)</f>
        <v>0</v>
      </c>
      <c r="H376" s="176">
        <f>IFERROR(H356*'Key inputs_EB_MIN'!H$10/SUM('Key inputs_EB_MIN'!H$10:H$11),0)</f>
        <v>0</v>
      </c>
      <c r="I376" s="176">
        <f>IFERROR(I356*'Key inputs_EB_MIN'!I$10/SUM('Key inputs_EB_MIN'!I$10:I$11),0)</f>
        <v>0</v>
      </c>
      <c r="J376" s="176">
        <f>IFERROR(J356*'Key inputs_EB_MIN'!J$10/SUM('Key inputs_EB_MIN'!J$10:J$11),0)</f>
        <v>0</v>
      </c>
      <c r="K376" s="176">
        <f>IFERROR(K356*'Key inputs_EB_MIN'!K$10/SUM('Key inputs_EB_MIN'!K$10:K$11),0)</f>
        <v>0</v>
      </c>
      <c r="L376" s="176">
        <f>IFERROR(L356*'Key inputs_EB_MIN'!L$10/SUM('Key inputs_EB_MIN'!L$10:L$11),0)</f>
        <v>0</v>
      </c>
      <c r="M376" s="176">
        <f>IFERROR(M356*'Key inputs_EB_MIN'!M$10/SUM('Key inputs_EB_MIN'!M$10:M$11),0)</f>
        <v>0</v>
      </c>
      <c r="N376" s="176">
        <f>IFERROR(N356*'Key inputs_EB_MIN'!N$10/SUM('Key inputs_EB_MIN'!N$10:N$11),0)</f>
        <v>0</v>
      </c>
      <c r="O376" s="176">
        <f>IFERROR(O356*'Key inputs_EB_MIN'!O$10/SUM('Key inputs_EB_MIN'!O$10:O$11),0)</f>
        <v>0</v>
      </c>
      <c r="P376" s="176">
        <f>IFERROR(P356*'Key inputs_EB_MIN'!P$10/SUM('Key inputs_EB_MIN'!P$10:P$11),0)</f>
        <v>0</v>
      </c>
      <c r="Q376" s="176">
        <f>IFERROR(Q356*'Key inputs_EB_MIN'!Q$10/SUM('Key inputs_EB_MIN'!Q$10:Q$11),0)</f>
        <v>0</v>
      </c>
      <c r="R376" s="176">
        <f>IFERROR(R356*'Key inputs_EB_MIN'!R$10/SUM('Key inputs_EB_MIN'!R$10:R$11),0)</f>
        <v>0</v>
      </c>
      <c r="S376" s="176">
        <f>IFERROR(S356*'Key inputs_EB_MIN'!S$10/SUM('Key inputs_EB_MIN'!S$10:S$11),0)</f>
        <v>0</v>
      </c>
      <c r="T376" s="176">
        <f>IFERROR(T356*'Key inputs_EB_MIN'!T$10/SUM('Key inputs_EB_MIN'!T$10:T$11),0)</f>
        <v>0</v>
      </c>
      <c r="U376" s="176">
        <f>IFERROR(U356*'Key inputs_EB_MIN'!U$10/SUM('Key inputs_EB_MIN'!U$10:U$11),0)</f>
        <v>0</v>
      </c>
      <c r="V376" s="176">
        <f>IFERROR(V356*'Key inputs_EB_MIN'!V$10/SUM('Key inputs_EB_MIN'!V$10:V$11),0)</f>
        <v>0</v>
      </c>
      <c r="W376" s="176">
        <f>IFERROR(W356*'Key inputs_EB_MIN'!W$10/SUM('Key inputs_EB_MIN'!W$10:W$11),0)</f>
        <v>0</v>
      </c>
      <c r="X376" s="176">
        <f>IFERROR(X356*'Key inputs_EB_MIN'!X$10/SUM('Key inputs_EB_MIN'!X$10:X$11),0)</f>
        <v>0</v>
      </c>
      <c r="Y376" s="176">
        <f>IFERROR(Y356*'Key inputs_EB_MIN'!Y$10/SUM('Key inputs_EB_MIN'!Y$10:Y$11),0)</f>
        <v>0</v>
      </c>
      <c r="Z376" s="176">
        <f>IFERROR(Z356*'Key inputs_EB_MIN'!Z$10/SUM('Key inputs_EB_MIN'!Z$10:Z$11),0)</f>
        <v>0</v>
      </c>
      <c r="AA376" s="176">
        <f>IFERROR(AA356*'Key inputs_EB_MIN'!AA$10/SUM('Key inputs_EB_MIN'!AA$10:AA$11),0)</f>
        <v>0</v>
      </c>
      <c r="AB376" s="176">
        <f>IFERROR(AB356*'Key inputs_EB_MIN'!AB$10/SUM('Key inputs_EB_MIN'!AB$10:AB$11),0)</f>
        <v>0</v>
      </c>
      <c r="AC376" s="176">
        <f>IFERROR(AC356*'Key inputs_EB_MIN'!AC$10/SUM('Key inputs_EB_MIN'!AC$10:AC$11),0)</f>
        <v>0</v>
      </c>
      <c r="AD376" s="176">
        <f>IFERROR(AD356*'Key inputs_EB_MIN'!AD$10/SUM('Key inputs_EB_MIN'!AD$10:AD$11),0)</f>
        <v>0</v>
      </c>
      <c r="AE376" s="176">
        <f>IFERROR(AE356*'Key inputs_EB_MIN'!AE$10/SUM('Key inputs_EB_MIN'!AE$10:AE$11),0)</f>
        <v>0</v>
      </c>
      <c r="AF376" s="286">
        <f>IFERROR(AF356*'Key inputs_EB_MIN'!AF$10/SUM('Key inputs_EB_MIN'!AF$10:AF$11),0)</f>
        <v>-1058.0646512588214</v>
      </c>
    </row>
    <row r="377" spans="1:32" s="59" customFormat="1">
      <c r="A377" s="95" t="s">
        <v>728</v>
      </c>
      <c r="B377" s="95" t="s">
        <v>749</v>
      </c>
      <c r="C377" s="71" t="s">
        <v>521</v>
      </c>
      <c r="D377" s="74" t="s">
        <v>387</v>
      </c>
      <c r="E377" s="176">
        <f>IFERROR(E357*'Key inputs_EB_MIN'!E$10/SUM('Key inputs_EB_MIN'!E$10:E$11),0)</f>
        <v>0</v>
      </c>
      <c r="F377" s="176">
        <f>IFERROR(F357*'Key inputs_EB_MIN'!F$10/SUM('Key inputs_EB_MIN'!F$10:F$11),0)</f>
        <v>0</v>
      </c>
      <c r="G377" s="176">
        <f>IFERROR(G357*'Key inputs_EB_MIN'!G$10/SUM('Key inputs_EB_MIN'!G$10:G$11),0)</f>
        <v>0</v>
      </c>
      <c r="H377" s="176">
        <f>IFERROR(H357*'Key inputs_EB_MIN'!H$10/SUM('Key inputs_EB_MIN'!H$10:H$11),0)</f>
        <v>0</v>
      </c>
      <c r="I377" s="176">
        <f>IFERROR(I357*'Key inputs_EB_MIN'!I$10/SUM('Key inputs_EB_MIN'!I$10:I$11),0)</f>
        <v>0</v>
      </c>
      <c r="J377" s="176">
        <f>IFERROR(J357*'Key inputs_EB_MIN'!J$10/SUM('Key inputs_EB_MIN'!J$10:J$11),0)</f>
        <v>0</v>
      </c>
      <c r="K377" s="176">
        <f>IFERROR(K357*'Key inputs_EB_MIN'!K$10/SUM('Key inputs_EB_MIN'!K$10:K$11),0)</f>
        <v>0</v>
      </c>
      <c r="L377" s="176">
        <f>IFERROR(L357*'Key inputs_EB_MIN'!L$10/SUM('Key inputs_EB_MIN'!L$10:L$11),0)</f>
        <v>0</v>
      </c>
      <c r="M377" s="176">
        <f>IFERROR(M357*'Key inputs_EB_MIN'!M$10/SUM('Key inputs_EB_MIN'!M$10:M$11),0)</f>
        <v>0</v>
      </c>
      <c r="N377" s="176">
        <f>IFERROR(N357*'Key inputs_EB_MIN'!N$10/SUM('Key inputs_EB_MIN'!N$10:N$11),0)</f>
        <v>0</v>
      </c>
      <c r="O377" s="176">
        <f>IFERROR(O357*'Key inputs_EB_MIN'!O$10/SUM('Key inputs_EB_MIN'!O$10:O$11),0)</f>
        <v>0</v>
      </c>
      <c r="P377" s="176">
        <f>IFERROR(P357*'Key inputs_EB_MIN'!P$10/SUM('Key inputs_EB_MIN'!P$10:P$11),0)</f>
        <v>-10093</v>
      </c>
      <c r="Q377" s="176">
        <f>IFERROR(Q357*'Key inputs_EB_MIN'!Q$10/SUM('Key inputs_EB_MIN'!Q$10:Q$11),0)</f>
        <v>0</v>
      </c>
      <c r="R377" s="176">
        <f>IFERROR(R357*'Key inputs_EB_MIN'!R$10/SUM('Key inputs_EB_MIN'!R$10:R$11),0)</f>
        <v>0</v>
      </c>
      <c r="S377" s="176">
        <f>IFERROR(S357*'Key inputs_EB_MIN'!S$10/SUM('Key inputs_EB_MIN'!S$10:S$11),0)</f>
        <v>0</v>
      </c>
      <c r="T377" s="176">
        <f>IFERROR(T357*'Key inputs_EB_MIN'!T$10/SUM('Key inputs_EB_MIN'!T$10:T$11),0)</f>
        <v>0</v>
      </c>
      <c r="U377" s="176">
        <f>IFERROR(U357*'Key inputs_EB_MIN'!U$10/SUM('Key inputs_EB_MIN'!U$10:U$11),0)</f>
        <v>0</v>
      </c>
      <c r="V377" s="176">
        <f>IFERROR(V357*'Key inputs_EB_MIN'!V$10/SUM('Key inputs_EB_MIN'!V$10:V$11),0)</f>
        <v>0</v>
      </c>
      <c r="W377" s="176">
        <f>IFERROR(W357*'Key inputs_EB_MIN'!W$10/SUM('Key inputs_EB_MIN'!W$10:W$11),0)</f>
        <v>0</v>
      </c>
      <c r="X377" s="176">
        <f>IFERROR(X357*'Key inputs_EB_MIN'!X$10/SUM('Key inputs_EB_MIN'!X$10:X$11),0)</f>
        <v>0</v>
      </c>
      <c r="Y377" s="176">
        <f>IFERROR(Y357*'Key inputs_EB_MIN'!Y$10/SUM('Key inputs_EB_MIN'!Y$10:Y$11),0)</f>
        <v>0</v>
      </c>
      <c r="Z377" s="176">
        <f>IFERROR(Z357*'Key inputs_EB_MIN'!Z$10/SUM('Key inputs_EB_MIN'!Z$10:Z$11),0)</f>
        <v>0</v>
      </c>
      <c r="AA377" s="176">
        <f>IFERROR(AA357*'Key inputs_EB_MIN'!AA$10/SUM('Key inputs_EB_MIN'!AA$10:AA$11),0)</f>
        <v>0</v>
      </c>
      <c r="AB377" s="176">
        <f>IFERROR(AB357*'Key inputs_EB_MIN'!AB$10/SUM('Key inputs_EB_MIN'!AB$10:AB$11),0)</f>
        <v>0</v>
      </c>
      <c r="AC377" s="176">
        <f>IFERROR(AC357*'Key inputs_EB_MIN'!AC$10/SUM('Key inputs_EB_MIN'!AC$10:AC$11),0)</f>
        <v>0</v>
      </c>
      <c r="AD377" s="176">
        <f>IFERROR(AD357*'Key inputs_EB_MIN'!AD$10/SUM('Key inputs_EB_MIN'!AD$10:AD$11),0)</f>
        <v>0</v>
      </c>
      <c r="AE377" s="176">
        <f>IFERROR(AE357*'Key inputs_EB_MIN'!AE$10/SUM('Key inputs_EB_MIN'!AE$10:AE$11),0)</f>
        <v>0</v>
      </c>
      <c r="AF377" s="287">
        <f>IFERROR(AF357*'Key inputs_EB_MIN'!AF$10/SUM('Key inputs_EB_MIN'!AF$10:AF$11),0)</f>
        <v>0</v>
      </c>
    </row>
    <row r="378" spans="1:32" s="59" customFormat="1">
      <c r="A378" s="95" t="s">
        <v>728</v>
      </c>
      <c r="B378" s="95" t="s">
        <v>749</v>
      </c>
      <c r="C378" s="71" t="s">
        <v>523</v>
      </c>
      <c r="D378" s="74" t="s">
        <v>387</v>
      </c>
      <c r="E378" s="176">
        <f>IFERROR(E358*'Key inputs_EB_MIN'!E$10/SUM('Key inputs_EB_MIN'!E$10:E$11),0)</f>
        <v>0</v>
      </c>
      <c r="F378" s="176">
        <f>IFERROR(F358*'Key inputs_EB_MIN'!F$10/SUM('Key inputs_EB_MIN'!F$10:F$11),0)</f>
        <v>0</v>
      </c>
      <c r="G378" s="176">
        <f>IFERROR(G358*'Key inputs_EB_MIN'!G$10/SUM('Key inputs_EB_MIN'!G$10:G$11),0)</f>
        <v>0</v>
      </c>
      <c r="H378" s="176">
        <f>IFERROR(H358*'Key inputs_EB_MIN'!H$10/SUM('Key inputs_EB_MIN'!H$10:H$11),0)</f>
        <v>0</v>
      </c>
      <c r="I378" s="176">
        <f>IFERROR(I358*'Key inputs_EB_MIN'!I$10/SUM('Key inputs_EB_MIN'!I$10:I$11),0)</f>
        <v>0</v>
      </c>
      <c r="J378" s="176">
        <f>IFERROR(J358*'Key inputs_EB_MIN'!J$10/SUM('Key inputs_EB_MIN'!J$10:J$11),0)</f>
        <v>0</v>
      </c>
      <c r="K378" s="176">
        <f>IFERROR(K358*'Key inputs_EB_MIN'!K$10/SUM('Key inputs_EB_MIN'!K$10:K$11),0)</f>
        <v>0</v>
      </c>
      <c r="L378" s="176">
        <f>IFERROR(L358*'Key inputs_EB_MIN'!L$10/SUM('Key inputs_EB_MIN'!L$10:L$11),0)</f>
        <v>0</v>
      </c>
      <c r="M378" s="176">
        <f>IFERROR(M358*'Key inputs_EB_MIN'!M$10/SUM('Key inputs_EB_MIN'!M$10:M$11),0)</f>
        <v>0</v>
      </c>
      <c r="N378" s="176">
        <f>IFERROR(N358*'Key inputs_EB_MIN'!N$10/SUM('Key inputs_EB_MIN'!N$10:N$11),0)</f>
        <v>0</v>
      </c>
      <c r="O378" s="176">
        <f>IFERROR(O358*'Key inputs_EB_MIN'!O$10/SUM('Key inputs_EB_MIN'!O$10:O$11),0)</f>
        <v>0</v>
      </c>
      <c r="P378" s="176">
        <f>IFERROR(P358*'Key inputs_EB_MIN'!P$10/SUM('Key inputs_EB_MIN'!P$10:P$11),0)</f>
        <v>0</v>
      </c>
      <c r="Q378" s="176">
        <f>IFERROR(Q358*'Key inputs_EB_MIN'!Q$10/SUM('Key inputs_EB_MIN'!Q$10:Q$11),0)</f>
        <v>0</v>
      </c>
      <c r="R378" s="176">
        <f>IFERROR(R358*'Key inputs_EB_MIN'!R$10/SUM('Key inputs_EB_MIN'!R$10:R$11),0)</f>
        <v>0</v>
      </c>
      <c r="S378" s="176">
        <f>IFERROR(S358*'Key inputs_EB_MIN'!S$10/SUM('Key inputs_EB_MIN'!S$10:S$11),0)</f>
        <v>0</v>
      </c>
      <c r="T378" s="176">
        <f>IFERROR(T358*'Key inputs_EB_MIN'!T$10/SUM('Key inputs_EB_MIN'!T$10:T$11),0)</f>
        <v>0</v>
      </c>
      <c r="U378" s="176">
        <f>IFERROR(U358*'Key inputs_EB_MIN'!U$10/SUM('Key inputs_EB_MIN'!U$10:U$11),0)</f>
        <v>0</v>
      </c>
      <c r="V378" s="176">
        <f>IFERROR(V358*'Key inputs_EB_MIN'!V$10/SUM('Key inputs_EB_MIN'!V$10:V$11),0)</f>
        <v>0</v>
      </c>
      <c r="W378" s="176">
        <f>IFERROR(W358*'Key inputs_EB_MIN'!W$10/SUM('Key inputs_EB_MIN'!W$10:W$11),0)</f>
        <v>0</v>
      </c>
      <c r="X378" s="176">
        <f>IFERROR(X358*'Key inputs_EB_MIN'!X$10/SUM('Key inputs_EB_MIN'!X$10:X$11),0)</f>
        <v>0</v>
      </c>
      <c r="Y378" s="176">
        <f>IFERROR(Y358*'Key inputs_EB_MIN'!Y$10/SUM('Key inputs_EB_MIN'!Y$10:Y$11),0)</f>
        <v>0</v>
      </c>
      <c r="Z378" s="176">
        <f>IFERROR(Z358*'Key inputs_EB_MIN'!Z$10/SUM('Key inputs_EB_MIN'!Z$10:Z$11),0)</f>
        <v>0</v>
      </c>
      <c r="AA378" s="176">
        <f>IFERROR(AA358*'Key inputs_EB_MIN'!AA$10/SUM('Key inputs_EB_MIN'!AA$10:AA$11),0)</f>
        <v>0</v>
      </c>
      <c r="AB378" s="176">
        <f>IFERROR(AB358*'Key inputs_EB_MIN'!AB$10/SUM('Key inputs_EB_MIN'!AB$10:AB$11),0)</f>
        <v>0</v>
      </c>
      <c r="AC378" s="176">
        <f>IFERROR(AC358*'Key inputs_EB_MIN'!AC$10/SUM('Key inputs_EB_MIN'!AC$10:AC$11),0)</f>
        <v>0</v>
      </c>
      <c r="AD378" s="176">
        <f>IFERROR(AD358*'Key inputs_EB_MIN'!AD$10/SUM('Key inputs_EB_MIN'!AD$10:AD$11),0)</f>
        <v>0</v>
      </c>
      <c r="AE378" s="176">
        <f>IFERROR(AE358*'Key inputs_EB_MIN'!AE$10/SUM('Key inputs_EB_MIN'!AE$10:AE$11),0)</f>
        <v>0</v>
      </c>
      <c r="AF378" s="287">
        <f>IFERROR(AF358*'Key inputs_EB_MIN'!AF$10/SUM('Key inputs_EB_MIN'!AF$10:AF$11),0)</f>
        <v>0</v>
      </c>
    </row>
    <row r="379" spans="1:32" s="59" customFormat="1">
      <c r="A379" s="95" t="s">
        <v>728</v>
      </c>
      <c r="B379" s="95" t="s">
        <v>749</v>
      </c>
      <c r="C379" s="71" t="s">
        <v>525</v>
      </c>
      <c r="D379" s="74" t="s">
        <v>387</v>
      </c>
      <c r="E379" s="176">
        <f>IFERROR(E359*'Key inputs_EB_MIN'!E$10/SUM('Key inputs_EB_MIN'!E$10:E$11),0)</f>
        <v>0</v>
      </c>
      <c r="F379" s="176">
        <f>IFERROR(F359*'Key inputs_EB_MIN'!F$10/SUM('Key inputs_EB_MIN'!F$10:F$11),0)</f>
        <v>0</v>
      </c>
      <c r="G379" s="176">
        <f>IFERROR(G359*'Key inputs_EB_MIN'!G$10/SUM('Key inputs_EB_MIN'!G$10:G$11),0)</f>
        <v>0</v>
      </c>
      <c r="H379" s="176">
        <f>IFERROR(H359*'Key inputs_EB_MIN'!H$10/SUM('Key inputs_EB_MIN'!H$10:H$11),0)</f>
        <v>0</v>
      </c>
      <c r="I379" s="176">
        <f>IFERROR(I359*'Key inputs_EB_MIN'!I$10/SUM('Key inputs_EB_MIN'!I$10:I$11),0)</f>
        <v>0</v>
      </c>
      <c r="J379" s="176">
        <f>IFERROR(J359*'Key inputs_EB_MIN'!J$10/SUM('Key inputs_EB_MIN'!J$10:J$11),0)</f>
        <v>0</v>
      </c>
      <c r="K379" s="176">
        <f>IFERROR(K359*'Key inputs_EB_MIN'!K$10/SUM('Key inputs_EB_MIN'!K$10:K$11),0)</f>
        <v>0</v>
      </c>
      <c r="L379" s="176">
        <f>IFERROR(L359*'Key inputs_EB_MIN'!L$10/SUM('Key inputs_EB_MIN'!L$10:L$11),0)</f>
        <v>0</v>
      </c>
      <c r="M379" s="176">
        <f>IFERROR(M359*'Key inputs_EB_MIN'!M$10/SUM('Key inputs_EB_MIN'!M$10:M$11),0)</f>
        <v>0</v>
      </c>
      <c r="N379" s="176">
        <f>IFERROR(N359*'Key inputs_EB_MIN'!N$10/SUM('Key inputs_EB_MIN'!N$10:N$11),0)</f>
        <v>0</v>
      </c>
      <c r="O379" s="176">
        <f>IFERROR(O359*'Key inputs_EB_MIN'!O$10/SUM('Key inputs_EB_MIN'!O$10:O$11),0)</f>
        <v>0</v>
      </c>
      <c r="P379" s="176">
        <f>IFERROR(P359*'Key inputs_EB_MIN'!P$10/SUM('Key inputs_EB_MIN'!P$10:P$11),0)</f>
        <v>0</v>
      </c>
      <c r="Q379" s="176">
        <f>IFERROR(Q359*'Key inputs_EB_MIN'!Q$10/SUM('Key inputs_EB_MIN'!Q$10:Q$11),0)</f>
        <v>0</v>
      </c>
      <c r="R379" s="176">
        <f>IFERROR(R359*'Key inputs_EB_MIN'!R$10/SUM('Key inputs_EB_MIN'!R$10:R$11),0)</f>
        <v>0</v>
      </c>
      <c r="S379" s="176">
        <f>IFERROR(S359*'Key inputs_EB_MIN'!S$10/SUM('Key inputs_EB_MIN'!S$10:S$11),0)</f>
        <v>0</v>
      </c>
      <c r="T379" s="176">
        <f>IFERROR(T359*'Key inputs_EB_MIN'!T$10/SUM('Key inputs_EB_MIN'!T$10:T$11),0)</f>
        <v>0</v>
      </c>
      <c r="U379" s="176">
        <f>IFERROR(U359*'Key inputs_EB_MIN'!U$10/SUM('Key inputs_EB_MIN'!U$10:U$11),0)</f>
        <v>0</v>
      </c>
      <c r="V379" s="176">
        <f>IFERROR(V359*'Key inputs_EB_MIN'!V$10/SUM('Key inputs_EB_MIN'!V$10:V$11),0)</f>
        <v>0</v>
      </c>
      <c r="W379" s="176">
        <f>IFERROR(W359*'Key inputs_EB_MIN'!W$10/SUM('Key inputs_EB_MIN'!W$10:W$11),0)</f>
        <v>0</v>
      </c>
      <c r="X379" s="176">
        <f>IFERROR(X359*'Key inputs_EB_MIN'!X$10/SUM('Key inputs_EB_MIN'!X$10:X$11),0)</f>
        <v>0</v>
      </c>
      <c r="Y379" s="176">
        <f>IFERROR(Y359*'Key inputs_EB_MIN'!Y$10/SUM('Key inputs_EB_MIN'!Y$10:Y$11),0)</f>
        <v>0</v>
      </c>
      <c r="Z379" s="176">
        <f>IFERROR(Z359*'Key inputs_EB_MIN'!Z$10/SUM('Key inputs_EB_MIN'!Z$10:Z$11),0)</f>
        <v>0</v>
      </c>
      <c r="AA379" s="176">
        <f>IFERROR(AA359*'Key inputs_EB_MIN'!AA$10/SUM('Key inputs_EB_MIN'!AA$10:AA$11),0)</f>
        <v>0</v>
      </c>
      <c r="AB379" s="176">
        <f>IFERROR(AB359*'Key inputs_EB_MIN'!AB$10/SUM('Key inputs_EB_MIN'!AB$10:AB$11),0)</f>
        <v>0</v>
      </c>
      <c r="AC379" s="176">
        <f>IFERROR(AC359*'Key inputs_EB_MIN'!AC$10/SUM('Key inputs_EB_MIN'!AC$10:AC$11),0)</f>
        <v>0</v>
      </c>
      <c r="AD379" s="176">
        <f>IFERROR(AD359*'Key inputs_EB_MIN'!AD$10/SUM('Key inputs_EB_MIN'!AD$10:AD$11),0)</f>
        <v>0</v>
      </c>
      <c r="AE379" s="176">
        <f>IFERROR(AE359*'Key inputs_EB_MIN'!AE$10/SUM('Key inputs_EB_MIN'!AE$10:AE$11),0)</f>
        <v>0</v>
      </c>
      <c r="AF379" s="287">
        <f>IFERROR(AF359*'Key inputs_EB_MIN'!AF$10/SUM('Key inputs_EB_MIN'!AF$10:AF$11),0)</f>
        <v>0</v>
      </c>
    </row>
    <row r="380" spans="1:32" s="59" customFormat="1">
      <c r="A380" s="95" t="s">
        <v>728</v>
      </c>
      <c r="B380" s="95" t="s">
        <v>749</v>
      </c>
      <c r="C380" s="71" t="s">
        <v>527</v>
      </c>
      <c r="D380" s="74" t="s">
        <v>387</v>
      </c>
      <c r="E380" s="176">
        <f>IFERROR(E360*'Key inputs_EB_MIN'!E$10/SUM('Key inputs_EB_MIN'!E$10:E$11),0)</f>
        <v>0</v>
      </c>
      <c r="F380" s="176">
        <f>IFERROR(F360*'Key inputs_EB_MIN'!F$10/SUM('Key inputs_EB_MIN'!F$10:F$11),0)</f>
        <v>0</v>
      </c>
      <c r="G380" s="176">
        <f>IFERROR(G360*'Key inputs_EB_MIN'!G$10/SUM('Key inputs_EB_MIN'!G$10:G$11),0)</f>
        <v>0</v>
      </c>
      <c r="H380" s="176">
        <f>IFERROR(H360*'Key inputs_EB_MIN'!H$10/SUM('Key inputs_EB_MIN'!H$10:H$11),0)</f>
        <v>-504.43963881741348</v>
      </c>
      <c r="I380" s="176">
        <f>IFERROR(I360*'Key inputs_EB_MIN'!I$10/SUM('Key inputs_EB_MIN'!I$10:I$11),0)</f>
        <v>-639.15777209500436</v>
      </c>
      <c r="J380" s="176">
        <f>IFERROR(J360*'Key inputs_EB_MIN'!J$10/SUM('Key inputs_EB_MIN'!J$10:J$11),0)</f>
        <v>-7528.3431861643239</v>
      </c>
      <c r="K380" s="176">
        <f>IFERROR(K360*'Key inputs_EB_MIN'!K$10/SUM('Key inputs_EB_MIN'!K$10:K$11),0)</f>
        <v>0</v>
      </c>
      <c r="L380" s="176">
        <f>IFERROR(L360*'Key inputs_EB_MIN'!L$10/SUM('Key inputs_EB_MIN'!L$10:L$11),0)</f>
        <v>0</v>
      </c>
      <c r="M380" s="176">
        <f>IFERROR(M360*'Key inputs_EB_MIN'!M$10/SUM('Key inputs_EB_MIN'!M$10:M$11),0)</f>
        <v>0</v>
      </c>
      <c r="N380" s="176">
        <f>IFERROR(N360*'Key inputs_EB_MIN'!N$10/SUM('Key inputs_EB_MIN'!N$10:N$11),0)</f>
        <v>0</v>
      </c>
      <c r="O380" s="176">
        <f>IFERROR(O360*'Key inputs_EB_MIN'!O$10/SUM('Key inputs_EB_MIN'!O$10:O$11),0)</f>
        <v>0</v>
      </c>
      <c r="P380" s="176">
        <f>IFERROR(P360*'Key inputs_EB_MIN'!P$10/SUM('Key inputs_EB_MIN'!P$10:P$11),0)</f>
        <v>-2872879.4583349288</v>
      </c>
      <c r="Q380" s="176">
        <f>IFERROR(Q360*'Key inputs_EB_MIN'!Q$10/SUM('Key inputs_EB_MIN'!Q$10:Q$11),0)</f>
        <v>-34.871356158650904</v>
      </c>
      <c r="R380" s="176">
        <f>IFERROR(R360*'Key inputs_EB_MIN'!R$10/SUM('Key inputs_EB_MIN'!R$10:R$11),0)</f>
        <v>0</v>
      </c>
      <c r="S380" s="176">
        <f>IFERROR(S360*'Key inputs_EB_MIN'!S$10/SUM('Key inputs_EB_MIN'!S$10:S$11),0)</f>
        <v>-731.96414930754338</v>
      </c>
      <c r="T380" s="176">
        <f>IFERROR(T360*'Key inputs_EB_MIN'!T$10/SUM('Key inputs_EB_MIN'!T$10:T$11),0)</f>
        <v>0</v>
      </c>
      <c r="U380" s="176">
        <f>IFERROR(U360*'Key inputs_EB_MIN'!U$10/SUM('Key inputs_EB_MIN'!U$10:U$11),0)</f>
        <v>0</v>
      </c>
      <c r="V380" s="176">
        <f>IFERROR(V360*'Key inputs_EB_MIN'!V$10/SUM('Key inputs_EB_MIN'!V$10:V$11),0)</f>
        <v>0</v>
      </c>
      <c r="W380" s="176">
        <f>IFERROR(W360*'Key inputs_EB_MIN'!W$10/SUM('Key inputs_EB_MIN'!W$10:W$11),0)</f>
        <v>-4367</v>
      </c>
      <c r="X380" s="176">
        <f>IFERROR(X360*'Key inputs_EB_MIN'!X$10/SUM('Key inputs_EB_MIN'!X$10:X$11),0)</f>
        <v>0</v>
      </c>
      <c r="Y380" s="176">
        <f>IFERROR(Y360*'Key inputs_EB_MIN'!Y$10/SUM('Key inputs_EB_MIN'!Y$10:Y$11),0)</f>
        <v>0</v>
      </c>
      <c r="Z380" s="176">
        <f>IFERROR(Z360*'Key inputs_EB_MIN'!Z$10/SUM('Key inputs_EB_MIN'!Z$10:Z$11),0)</f>
        <v>0</v>
      </c>
      <c r="AA380" s="176">
        <f>IFERROR(AA360*'Key inputs_EB_MIN'!AA$10/SUM('Key inputs_EB_MIN'!AA$10:AA$11),0)</f>
        <v>0</v>
      </c>
      <c r="AB380" s="176">
        <f>IFERROR(AB360*'Key inputs_EB_MIN'!AB$10/SUM('Key inputs_EB_MIN'!AB$10:AB$11),0)</f>
        <v>0</v>
      </c>
      <c r="AC380" s="176">
        <f>IFERROR(AC360*'Key inputs_EB_MIN'!AC$10/SUM('Key inputs_EB_MIN'!AC$10:AC$11),0)</f>
        <v>0</v>
      </c>
      <c r="AD380" s="176">
        <f>IFERROR(AD360*'Key inputs_EB_MIN'!AD$10/SUM('Key inputs_EB_MIN'!AD$10:AD$11),0)</f>
        <v>-8301.386127777294</v>
      </c>
      <c r="AE380" s="176">
        <f>IFERROR(AE360*'Key inputs_EB_MIN'!AE$10/SUM('Key inputs_EB_MIN'!AE$10:AE$11),0)</f>
        <v>0</v>
      </c>
      <c r="AF380" s="287">
        <f>IFERROR(AF360*'Key inputs_EB_MIN'!AF$10/SUM('Key inputs_EB_MIN'!AF$10:AF$11),0)</f>
        <v>-460.02810924296585</v>
      </c>
    </row>
    <row r="381" spans="1:32" s="59" customFormat="1">
      <c r="A381" s="95" t="s">
        <v>728</v>
      </c>
      <c r="B381" s="95" t="s">
        <v>749</v>
      </c>
      <c r="C381" s="71" t="s">
        <v>529</v>
      </c>
      <c r="D381" s="74" t="s">
        <v>387</v>
      </c>
      <c r="E381" s="176">
        <f>IFERROR(E361*'Key inputs_EB_MIN'!E$10/SUM('Key inputs_EB_MIN'!E$10:E$11),0)</f>
        <v>0</v>
      </c>
      <c r="F381" s="176">
        <f>IFERROR(F361*'Key inputs_EB_MIN'!F$10/SUM('Key inputs_EB_MIN'!F$10:F$11),0)</f>
        <v>0</v>
      </c>
      <c r="G381" s="176">
        <f>IFERROR(G361*'Key inputs_EB_MIN'!G$10/SUM('Key inputs_EB_MIN'!G$10:G$11),0)</f>
        <v>0</v>
      </c>
      <c r="H381" s="176">
        <f>IFERROR(H361*'Key inputs_EB_MIN'!H$10/SUM('Key inputs_EB_MIN'!H$10:H$11),0)</f>
        <v>0</v>
      </c>
      <c r="I381" s="176">
        <f>IFERROR(I361*'Key inputs_EB_MIN'!I$10/SUM('Key inputs_EB_MIN'!I$10:I$11),0)</f>
        <v>0</v>
      </c>
      <c r="J381" s="176">
        <f>IFERROR(J361*'Key inputs_EB_MIN'!J$10/SUM('Key inputs_EB_MIN'!J$10:J$11),0)</f>
        <v>-28.854591203408596</v>
      </c>
      <c r="K381" s="176">
        <f>IFERROR(K361*'Key inputs_EB_MIN'!K$10/SUM('Key inputs_EB_MIN'!K$10:K$11),0)</f>
        <v>0</v>
      </c>
      <c r="L381" s="176">
        <f>IFERROR(L361*'Key inputs_EB_MIN'!L$10/SUM('Key inputs_EB_MIN'!L$10:L$11),0)</f>
        <v>0</v>
      </c>
      <c r="M381" s="176">
        <f>IFERROR(M361*'Key inputs_EB_MIN'!M$10/SUM('Key inputs_EB_MIN'!M$10:M$11),0)</f>
        <v>0</v>
      </c>
      <c r="N381" s="176">
        <f>IFERROR(N361*'Key inputs_EB_MIN'!N$10/SUM('Key inputs_EB_MIN'!N$10:N$11),0)</f>
        <v>0</v>
      </c>
      <c r="O381" s="176">
        <f>IFERROR(O361*'Key inputs_EB_MIN'!O$10/SUM('Key inputs_EB_MIN'!O$10:O$11),0)</f>
        <v>0</v>
      </c>
      <c r="P381" s="176">
        <f>IFERROR(P361*'Key inputs_EB_MIN'!P$10/SUM('Key inputs_EB_MIN'!P$10:P$11),0)</f>
        <v>0</v>
      </c>
      <c r="Q381" s="176">
        <f>IFERROR(Q361*'Key inputs_EB_MIN'!Q$10/SUM('Key inputs_EB_MIN'!Q$10:Q$11),0)</f>
        <v>0</v>
      </c>
      <c r="R381" s="176">
        <f>IFERROR(R361*'Key inputs_EB_MIN'!R$10/SUM('Key inputs_EB_MIN'!R$10:R$11),0)</f>
        <v>0</v>
      </c>
      <c r="S381" s="176">
        <f>IFERROR(S361*'Key inputs_EB_MIN'!S$10/SUM('Key inputs_EB_MIN'!S$10:S$11),0)</f>
        <v>-5220.1446014302501</v>
      </c>
      <c r="T381" s="176">
        <f>IFERROR(T361*'Key inputs_EB_MIN'!T$10/SUM('Key inputs_EB_MIN'!T$10:T$11),0)</f>
        <v>0</v>
      </c>
      <c r="U381" s="176">
        <f>IFERROR(U361*'Key inputs_EB_MIN'!U$10/SUM('Key inputs_EB_MIN'!U$10:U$11),0)</f>
        <v>0</v>
      </c>
      <c r="V381" s="176">
        <f>IFERROR(V361*'Key inputs_EB_MIN'!V$10/SUM('Key inputs_EB_MIN'!V$10:V$11),0)</f>
        <v>0</v>
      </c>
      <c r="W381" s="176">
        <f>IFERROR(W361*'Key inputs_EB_MIN'!W$10/SUM('Key inputs_EB_MIN'!W$10:W$11),0)</f>
        <v>0</v>
      </c>
      <c r="X381" s="176">
        <f>IFERROR(X361*'Key inputs_EB_MIN'!X$10/SUM('Key inputs_EB_MIN'!X$10:X$11),0)</f>
        <v>0</v>
      </c>
      <c r="Y381" s="176">
        <f>IFERROR(Y361*'Key inputs_EB_MIN'!Y$10/SUM('Key inputs_EB_MIN'!Y$10:Y$11),0)</f>
        <v>0</v>
      </c>
      <c r="Z381" s="176">
        <f>IFERROR(Z361*'Key inputs_EB_MIN'!Z$10/SUM('Key inputs_EB_MIN'!Z$10:Z$11),0)</f>
        <v>0</v>
      </c>
      <c r="AA381" s="176">
        <f>IFERROR(AA361*'Key inputs_EB_MIN'!AA$10/SUM('Key inputs_EB_MIN'!AA$10:AA$11),0)</f>
        <v>0</v>
      </c>
      <c r="AB381" s="176">
        <f>IFERROR(AB361*'Key inputs_EB_MIN'!AB$10/SUM('Key inputs_EB_MIN'!AB$10:AB$11),0)</f>
        <v>0</v>
      </c>
      <c r="AC381" s="176">
        <f>IFERROR(AC361*'Key inputs_EB_MIN'!AC$10/SUM('Key inputs_EB_MIN'!AC$10:AC$11),0)</f>
        <v>0</v>
      </c>
      <c r="AD381" s="176">
        <f>IFERROR(AD361*'Key inputs_EB_MIN'!AD$10/SUM('Key inputs_EB_MIN'!AD$10:AD$11),0)</f>
        <v>-503.93191109069539</v>
      </c>
      <c r="AE381" s="176">
        <f>IFERROR(AE361*'Key inputs_EB_MIN'!AE$10/SUM('Key inputs_EB_MIN'!AE$10:AE$11),0)</f>
        <v>0</v>
      </c>
      <c r="AF381" s="287">
        <f>IFERROR(AF361*'Key inputs_EB_MIN'!AF$10/SUM('Key inputs_EB_MIN'!AF$10:AF$11),0)</f>
        <v>0</v>
      </c>
    </row>
    <row r="382" spans="1:32" s="59" customFormat="1">
      <c r="A382" s="95" t="s">
        <v>728</v>
      </c>
      <c r="B382" s="95" t="s">
        <v>749</v>
      </c>
      <c r="C382" s="71" t="s">
        <v>531</v>
      </c>
      <c r="D382" s="74" t="s">
        <v>387</v>
      </c>
      <c r="E382" s="176">
        <f>IFERROR(E362*'Key inputs_EB_MIN'!E$10/SUM('Key inputs_EB_MIN'!E$10:E$11),0)</f>
        <v>0</v>
      </c>
      <c r="F382" s="176">
        <f>IFERROR(F362*'Key inputs_EB_MIN'!F$10/SUM('Key inputs_EB_MIN'!F$10:F$11),0)</f>
        <v>0</v>
      </c>
      <c r="G382" s="176">
        <f>IFERROR(G362*'Key inputs_EB_MIN'!G$10/SUM('Key inputs_EB_MIN'!G$10:G$11),0)</f>
        <v>0</v>
      </c>
      <c r="H382" s="176">
        <f>IFERROR(H362*'Key inputs_EB_MIN'!H$10/SUM('Key inputs_EB_MIN'!H$10:H$11),0)</f>
        <v>0</v>
      </c>
      <c r="I382" s="176">
        <f>IFERROR(I362*'Key inputs_EB_MIN'!I$10/SUM('Key inputs_EB_MIN'!I$10:I$11),0)</f>
        <v>0</v>
      </c>
      <c r="J382" s="176">
        <f>IFERROR(J362*'Key inputs_EB_MIN'!J$10/SUM('Key inputs_EB_MIN'!J$10:J$11),0)</f>
        <v>0</v>
      </c>
      <c r="K382" s="176">
        <f>IFERROR(K362*'Key inputs_EB_MIN'!K$10/SUM('Key inputs_EB_MIN'!K$10:K$11),0)</f>
        <v>0</v>
      </c>
      <c r="L382" s="176">
        <f>IFERROR(L362*'Key inputs_EB_MIN'!L$10/SUM('Key inputs_EB_MIN'!L$10:L$11),0)</f>
        <v>0</v>
      </c>
      <c r="M382" s="176">
        <f>IFERROR(M362*'Key inputs_EB_MIN'!M$10/SUM('Key inputs_EB_MIN'!M$10:M$11),0)</f>
        <v>0</v>
      </c>
      <c r="N382" s="176">
        <f>IFERROR(N362*'Key inputs_EB_MIN'!N$10/SUM('Key inputs_EB_MIN'!N$10:N$11),0)</f>
        <v>0</v>
      </c>
      <c r="O382" s="176">
        <f>IFERROR(O362*'Key inputs_EB_MIN'!O$10/SUM('Key inputs_EB_MIN'!O$10:O$11),0)</f>
        <v>0</v>
      </c>
      <c r="P382" s="176">
        <f>IFERROR(P362*'Key inputs_EB_MIN'!P$10/SUM('Key inputs_EB_MIN'!P$10:P$11),0)</f>
        <v>-1844.2142313546419</v>
      </c>
      <c r="Q382" s="176">
        <f>IFERROR(Q362*'Key inputs_EB_MIN'!Q$10/SUM('Key inputs_EB_MIN'!Q$10:Q$11),0)</f>
        <v>0</v>
      </c>
      <c r="R382" s="176">
        <f>IFERROR(R362*'Key inputs_EB_MIN'!R$10/SUM('Key inputs_EB_MIN'!R$10:R$11),0)</f>
        <v>0</v>
      </c>
      <c r="S382" s="176">
        <f>IFERROR(S362*'Key inputs_EB_MIN'!S$10/SUM('Key inputs_EB_MIN'!S$10:S$11),0)</f>
        <v>0</v>
      </c>
      <c r="T382" s="176">
        <f>IFERROR(T362*'Key inputs_EB_MIN'!T$10/SUM('Key inputs_EB_MIN'!T$10:T$11),0)</f>
        <v>0</v>
      </c>
      <c r="U382" s="176">
        <f>IFERROR(U362*'Key inputs_EB_MIN'!U$10/SUM('Key inputs_EB_MIN'!U$10:U$11),0)</f>
        <v>0</v>
      </c>
      <c r="V382" s="176">
        <f>IFERROR(V362*'Key inputs_EB_MIN'!V$10/SUM('Key inputs_EB_MIN'!V$10:V$11),0)</f>
        <v>0</v>
      </c>
      <c r="W382" s="176">
        <f>IFERROR(W362*'Key inputs_EB_MIN'!W$10/SUM('Key inputs_EB_MIN'!W$10:W$11),0)</f>
        <v>0</v>
      </c>
      <c r="X382" s="176">
        <f>IFERROR(X362*'Key inputs_EB_MIN'!X$10/SUM('Key inputs_EB_MIN'!X$10:X$11),0)</f>
        <v>0</v>
      </c>
      <c r="Y382" s="176">
        <f>IFERROR(Y362*'Key inputs_EB_MIN'!Y$10/SUM('Key inputs_EB_MIN'!Y$10:Y$11),0)</f>
        <v>0</v>
      </c>
      <c r="Z382" s="176">
        <f>IFERROR(Z362*'Key inputs_EB_MIN'!Z$10/SUM('Key inputs_EB_MIN'!Z$10:Z$11),0)</f>
        <v>0</v>
      </c>
      <c r="AA382" s="176">
        <f>IFERROR(AA362*'Key inputs_EB_MIN'!AA$10/SUM('Key inputs_EB_MIN'!AA$10:AA$11),0)</f>
        <v>0</v>
      </c>
      <c r="AB382" s="176">
        <f>IFERROR(AB362*'Key inputs_EB_MIN'!AB$10/SUM('Key inputs_EB_MIN'!AB$10:AB$11),0)</f>
        <v>0</v>
      </c>
      <c r="AC382" s="176">
        <f>IFERROR(AC362*'Key inputs_EB_MIN'!AC$10/SUM('Key inputs_EB_MIN'!AC$10:AC$11),0)</f>
        <v>0</v>
      </c>
      <c r="AD382" s="176">
        <f>IFERROR(AD362*'Key inputs_EB_MIN'!AD$10/SUM('Key inputs_EB_MIN'!AD$10:AD$11),0)</f>
        <v>0</v>
      </c>
      <c r="AE382" s="176">
        <f>IFERROR(AE362*'Key inputs_EB_MIN'!AE$10/SUM('Key inputs_EB_MIN'!AE$10:AE$11),0)</f>
        <v>0</v>
      </c>
      <c r="AF382" s="287">
        <f>IFERROR(AF362*'Key inputs_EB_MIN'!AF$10/SUM('Key inputs_EB_MIN'!AF$10:AF$11),0)</f>
        <v>0</v>
      </c>
    </row>
    <row r="383" spans="1:32" s="59" customFormat="1">
      <c r="A383" s="95" t="s">
        <v>728</v>
      </c>
      <c r="B383" s="95" t="s">
        <v>749</v>
      </c>
      <c r="C383" s="71" t="s">
        <v>533</v>
      </c>
      <c r="D383" s="74" t="s">
        <v>387</v>
      </c>
      <c r="E383" s="176">
        <f>IFERROR(E363*'Key inputs_EB_MIN'!E$10/SUM('Key inputs_EB_MIN'!E$10:E$11),0)</f>
        <v>0</v>
      </c>
      <c r="F383" s="176">
        <f>IFERROR(F363*'Key inputs_EB_MIN'!F$10/SUM('Key inputs_EB_MIN'!F$10:F$11),0)</f>
        <v>0</v>
      </c>
      <c r="G383" s="176">
        <f>IFERROR(G363*'Key inputs_EB_MIN'!G$10/SUM('Key inputs_EB_MIN'!G$10:G$11),0)</f>
        <v>0</v>
      </c>
      <c r="H383" s="176">
        <f>IFERROR(H363*'Key inputs_EB_MIN'!H$10/SUM('Key inputs_EB_MIN'!H$10:H$11),0)</f>
        <v>0</v>
      </c>
      <c r="I383" s="176">
        <f>IFERROR(I363*'Key inputs_EB_MIN'!I$10/SUM('Key inputs_EB_MIN'!I$10:I$11),0)</f>
        <v>0</v>
      </c>
      <c r="J383" s="176">
        <f>IFERROR(J363*'Key inputs_EB_MIN'!J$10/SUM('Key inputs_EB_MIN'!J$10:J$11),0)</f>
        <v>0</v>
      </c>
      <c r="K383" s="176">
        <f>IFERROR(K363*'Key inputs_EB_MIN'!K$10/SUM('Key inputs_EB_MIN'!K$10:K$11),0)</f>
        <v>0</v>
      </c>
      <c r="L383" s="176">
        <f>IFERROR(L363*'Key inputs_EB_MIN'!L$10/SUM('Key inputs_EB_MIN'!L$10:L$11),0)</f>
        <v>0</v>
      </c>
      <c r="M383" s="176">
        <f>IFERROR(M363*'Key inputs_EB_MIN'!M$10/SUM('Key inputs_EB_MIN'!M$10:M$11),0)</f>
        <v>0</v>
      </c>
      <c r="N383" s="176">
        <f>IFERROR(N363*'Key inputs_EB_MIN'!N$10/SUM('Key inputs_EB_MIN'!N$10:N$11),0)</f>
        <v>0</v>
      </c>
      <c r="O383" s="176">
        <f>IFERROR(O363*'Key inputs_EB_MIN'!O$10/SUM('Key inputs_EB_MIN'!O$10:O$11),0)</f>
        <v>0</v>
      </c>
      <c r="P383" s="176">
        <f>IFERROR(P363*'Key inputs_EB_MIN'!P$10/SUM('Key inputs_EB_MIN'!P$10:P$11),0)</f>
        <v>-12817.276031434185</v>
      </c>
      <c r="Q383" s="176">
        <f>IFERROR(Q363*'Key inputs_EB_MIN'!Q$10/SUM('Key inputs_EB_MIN'!Q$10:Q$11),0)</f>
        <v>0</v>
      </c>
      <c r="R383" s="176">
        <f>IFERROR(R363*'Key inputs_EB_MIN'!R$10/SUM('Key inputs_EB_MIN'!R$10:R$11),0)</f>
        <v>0</v>
      </c>
      <c r="S383" s="176">
        <f>IFERROR(S363*'Key inputs_EB_MIN'!S$10/SUM('Key inputs_EB_MIN'!S$10:S$11),0)</f>
        <v>0</v>
      </c>
      <c r="T383" s="176">
        <f>IFERROR(T363*'Key inputs_EB_MIN'!T$10/SUM('Key inputs_EB_MIN'!T$10:T$11),0)</f>
        <v>0</v>
      </c>
      <c r="U383" s="176">
        <f>IFERROR(U363*'Key inputs_EB_MIN'!U$10/SUM('Key inputs_EB_MIN'!U$10:U$11),0)</f>
        <v>0</v>
      </c>
      <c r="V383" s="176">
        <f>IFERROR(V363*'Key inputs_EB_MIN'!V$10/SUM('Key inputs_EB_MIN'!V$10:V$11),0)</f>
        <v>0</v>
      </c>
      <c r="W383" s="176">
        <f>IFERROR(W363*'Key inputs_EB_MIN'!W$10/SUM('Key inputs_EB_MIN'!W$10:W$11),0)</f>
        <v>0</v>
      </c>
      <c r="X383" s="176">
        <f>IFERROR(X363*'Key inputs_EB_MIN'!X$10/SUM('Key inputs_EB_MIN'!X$10:X$11),0)</f>
        <v>0</v>
      </c>
      <c r="Y383" s="176">
        <f>IFERROR(Y363*'Key inputs_EB_MIN'!Y$10/SUM('Key inputs_EB_MIN'!Y$10:Y$11),0)</f>
        <v>0</v>
      </c>
      <c r="Z383" s="176">
        <f>IFERROR(Z363*'Key inputs_EB_MIN'!Z$10/SUM('Key inputs_EB_MIN'!Z$10:Z$11),0)</f>
        <v>0</v>
      </c>
      <c r="AA383" s="176">
        <f>IFERROR(AA363*'Key inputs_EB_MIN'!AA$10/SUM('Key inputs_EB_MIN'!AA$10:AA$11),0)</f>
        <v>0</v>
      </c>
      <c r="AB383" s="176">
        <f>IFERROR(AB363*'Key inputs_EB_MIN'!AB$10/SUM('Key inputs_EB_MIN'!AB$10:AB$11),0)</f>
        <v>0</v>
      </c>
      <c r="AC383" s="176">
        <f>IFERROR(AC363*'Key inputs_EB_MIN'!AC$10/SUM('Key inputs_EB_MIN'!AC$10:AC$11),0)</f>
        <v>0</v>
      </c>
      <c r="AD383" s="176">
        <f>IFERROR(AD363*'Key inputs_EB_MIN'!AD$10/SUM('Key inputs_EB_MIN'!AD$10:AD$11),0)</f>
        <v>0</v>
      </c>
      <c r="AE383" s="176">
        <f>IFERROR(AE363*'Key inputs_EB_MIN'!AE$10/SUM('Key inputs_EB_MIN'!AE$10:AE$11),0)</f>
        <v>0</v>
      </c>
      <c r="AF383" s="287">
        <f>IFERROR(AF363*'Key inputs_EB_MIN'!AF$10/SUM('Key inputs_EB_MIN'!AF$10:AF$11),0)</f>
        <v>0</v>
      </c>
    </row>
    <row r="384" spans="1:32" s="59" customFormat="1">
      <c r="A384" s="95" t="s">
        <v>728</v>
      </c>
      <c r="B384" s="95" t="s">
        <v>749</v>
      </c>
      <c r="C384" s="71" t="s">
        <v>535</v>
      </c>
      <c r="D384" s="74" t="s">
        <v>387</v>
      </c>
      <c r="E384" s="176">
        <f>IFERROR(E364*'Key inputs_EB_MIN'!E$10/SUM('Key inputs_EB_MIN'!E$10:E$11),0)</f>
        <v>0</v>
      </c>
      <c r="F384" s="176">
        <f>IFERROR(F364*'Key inputs_EB_MIN'!F$10/SUM('Key inputs_EB_MIN'!F$10:F$11),0)</f>
        <v>0</v>
      </c>
      <c r="G384" s="176">
        <f>IFERROR(G364*'Key inputs_EB_MIN'!G$10/SUM('Key inputs_EB_MIN'!G$10:G$11),0)</f>
        <v>0</v>
      </c>
      <c r="H384" s="176">
        <f>IFERROR(H364*'Key inputs_EB_MIN'!H$10/SUM('Key inputs_EB_MIN'!H$10:H$11),0)</f>
        <v>0</v>
      </c>
      <c r="I384" s="176">
        <f>IFERROR(I364*'Key inputs_EB_MIN'!I$10/SUM('Key inputs_EB_MIN'!I$10:I$11),0)</f>
        <v>-147251.25028754704</v>
      </c>
      <c r="J384" s="176">
        <f>IFERROR(J364*'Key inputs_EB_MIN'!J$10/SUM('Key inputs_EB_MIN'!J$10:J$11),0)</f>
        <v>-619.09640638433541</v>
      </c>
      <c r="K384" s="176">
        <f>IFERROR(K364*'Key inputs_EB_MIN'!K$10/SUM('Key inputs_EB_MIN'!K$10:K$11),0)</f>
        <v>0</v>
      </c>
      <c r="L384" s="176">
        <f>IFERROR(L364*'Key inputs_EB_MIN'!L$10/SUM('Key inputs_EB_MIN'!L$10:L$11),0)</f>
        <v>0</v>
      </c>
      <c r="M384" s="176">
        <f>IFERROR(M364*'Key inputs_EB_MIN'!M$10/SUM('Key inputs_EB_MIN'!M$10:M$11),0)</f>
        <v>0</v>
      </c>
      <c r="N384" s="176">
        <f>IFERROR(N364*'Key inputs_EB_MIN'!N$10/SUM('Key inputs_EB_MIN'!N$10:N$11),0)</f>
        <v>0</v>
      </c>
      <c r="O384" s="176">
        <f>IFERROR(O364*'Key inputs_EB_MIN'!O$10/SUM('Key inputs_EB_MIN'!O$10:O$11),0)</f>
        <v>0</v>
      </c>
      <c r="P384" s="176">
        <f>IFERROR(P364*'Key inputs_EB_MIN'!P$10/SUM('Key inputs_EB_MIN'!P$10:P$11),0)</f>
        <v>-97087.426755113323</v>
      </c>
      <c r="Q384" s="176">
        <f>IFERROR(Q364*'Key inputs_EB_MIN'!Q$10/SUM('Key inputs_EB_MIN'!Q$10:Q$11),0)</f>
        <v>-2841.0378351704417</v>
      </c>
      <c r="R384" s="176">
        <f>IFERROR(R364*'Key inputs_EB_MIN'!R$10/SUM('Key inputs_EB_MIN'!R$10:R$11),0)</f>
        <v>-22.096433872866587</v>
      </c>
      <c r="S384" s="176">
        <f>IFERROR(S364*'Key inputs_EB_MIN'!S$10/SUM('Key inputs_EB_MIN'!S$10:S$11),0)</f>
        <v>-4121.1813685979168</v>
      </c>
      <c r="T384" s="176">
        <f>IFERROR(T364*'Key inputs_EB_MIN'!T$10/SUM('Key inputs_EB_MIN'!T$10:T$11),0)</f>
        <v>0</v>
      </c>
      <c r="U384" s="176">
        <f>IFERROR(U364*'Key inputs_EB_MIN'!U$10/SUM('Key inputs_EB_MIN'!U$10:U$11),0)</f>
        <v>0</v>
      </c>
      <c r="V384" s="176">
        <f>IFERROR(V364*'Key inputs_EB_MIN'!V$10/SUM('Key inputs_EB_MIN'!V$10:V$11),0)</f>
        <v>-6505.991871635174</v>
      </c>
      <c r="W384" s="176">
        <f>IFERROR(W364*'Key inputs_EB_MIN'!W$10/SUM('Key inputs_EB_MIN'!W$10:W$11),0)</f>
        <v>0</v>
      </c>
      <c r="X384" s="176">
        <f>IFERROR(X364*'Key inputs_EB_MIN'!X$10/SUM('Key inputs_EB_MIN'!X$10:X$11),0)</f>
        <v>0</v>
      </c>
      <c r="Y384" s="176">
        <f>IFERROR(Y364*'Key inputs_EB_MIN'!Y$10/SUM('Key inputs_EB_MIN'!Y$10:Y$11),0)</f>
        <v>0</v>
      </c>
      <c r="Z384" s="176">
        <f>IFERROR(Z364*'Key inputs_EB_MIN'!Z$10/SUM('Key inputs_EB_MIN'!Z$10:Z$11),0)</f>
        <v>0</v>
      </c>
      <c r="AA384" s="176">
        <f>IFERROR(AA364*'Key inputs_EB_MIN'!AA$10/SUM('Key inputs_EB_MIN'!AA$10:AA$11),0)</f>
        <v>0</v>
      </c>
      <c r="AB384" s="176">
        <f>IFERROR(AB364*'Key inputs_EB_MIN'!AB$10/SUM('Key inputs_EB_MIN'!AB$10:AB$11),0)</f>
        <v>0</v>
      </c>
      <c r="AC384" s="176">
        <f>IFERROR(AC364*'Key inputs_EB_MIN'!AC$10/SUM('Key inputs_EB_MIN'!AC$10:AC$11),0)</f>
        <v>0</v>
      </c>
      <c r="AD384" s="176">
        <f>IFERROR(AD364*'Key inputs_EB_MIN'!AD$10/SUM('Key inputs_EB_MIN'!AD$10:AD$11),0)</f>
        <v>-189084.52374773761</v>
      </c>
      <c r="AE384" s="176">
        <f>IFERROR(AE364*'Key inputs_EB_MIN'!AE$10/SUM('Key inputs_EB_MIN'!AE$10:AE$11),0)</f>
        <v>0</v>
      </c>
      <c r="AF384" s="287">
        <f>IFERROR(AF364*'Key inputs_EB_MIN'!AF$10/SUM('Key inputs_EB_MIN'!AF$10:AF$11),0)</f>
        <v>-110904.90412329799</v>
      </c>
    </row>
    <row r="385" spans="1:32" s="59" customFormat="1">
      <c r="A385" s="95" t="s">
        <v>728</v>
      </c>
      <c r="B385" s="95" t="s">
        <v>749</v>
      </c>
      <c r="C385" s="71" t="s">
        <v>537</v>
      </c>
      <c r="D385" s="74" t="s">
        <v>387</v>
      </c>
      <c r="E385" s="176">
        <f>IFERROR(E365*'Key inputs_EB_MIN'!E$10/SUM('Key inputs_EB_MIN'!E$10:E$11),0)</f>
        <v>-205.01698694128888</v>
      </c>
      <c r="F385" s="176">
        <f>IFERROR(F365*'Key inputs_EB_MIN'!F$10/SUM('Key inputs_EB_MIN'!F$10:F$11),0)</f>
        <v>0</v>
      </c>
      <c r="G385" s="176">
        <f>IFERROR(G365*'Key inputs_EB_MIN'!G$10/SUM('Key inputs_EB_MIN'!G$10:G$11),0)</f>
        <v>0</v>
      </c>
      <c r="H385" s="176">
        <f>IFERROR(H365*'Key inputs_EB_MIN'!H$10/SUM('Key inputs_EB_MIN'!H$10:H$11),0)</f>
        <v>-10111.122502434388</v>
      </c>
      <c r="I385" s="176">
        <f>IFERROR(I365*'Key inputs_EB_MIN'!I$10/SUM('Key inputs_EB_MIN'!I$10:I$11),0)</f>
        <v>-21955.70005821759</v>
      </c>
      <c r="J385" s="176">
        <f>IFERROR(J365*'Key inputs_EB_MIN'!J$10/SUM('Key inputs_EB_MIN'!J$10:J$11),0)</f>
        <v>-1730.9550888090439</v>
      </c>
      <c r="K385" s="176">
        <f>IFERROR(K365*'Key inputs_EB_MIN'!K$10/SUM('Key inputs_EB_MIN'!K$10:K$11),0)</f>
        <v>0</v>
      </c>
      <c r="L385" s="176">
        <f>IFERROR(L365*'Key inputs_EB_MIN'!L$10/SUM('Key inputs_EB_MIN'!L$10:L$11),0)</f>
        <v>0</v>
      </c>
      <c r="M385" s="176">
        <f>IFERROR(M365*'Key inputs_EB_MIN'!M$10/SUM('Key inputs_EB_MIN'!M$10:M$11),0)</f>
        <v>0</v>
      </c>
      <c r="N385" s="176">
        <f>IFERROR(N365*'Key inputs_EB_MIN'!N$10/SUM('Key inputs_EB_MIN'!N$10:N$11),0)</f>
        <v>-7655.5813208174086</v>
      </c>
      <c r="O385" s="176">
        <f>IFERROR(O365*'Key inputs_EB_MIN'!O$10/SUM('Key inputs_EB_MIN'!O$10:O$11),0)</f>
        <v>0</v>
      </c>
      <c r="P385" s="176">
        <f>IFERROR(P365*'Key inputs_EB_MIN'!P$10/SUM('Key inputs_EB_MIN'!P$10:P$11),0)</f>
        <v>-355841.58365132578</v>
      </c>
      <c r="Q385" s="176">
        <f>IFERROR(Q365*'Key inputs_EB_MIN'!Q$10/SUM('Key inputs_EB_MIN'!Q$10:Q$11),0)</f>
        <v>-5143.7760248376153</v>
      </c>
      <c r="R385" s="176">
        <f>IFERROR(R365*'Key inputs_EB_MIN'!R$10/SUM('Key inputs_EB_MIN'!R$10:R$11),0)</f>
        <v>-1277.8647194243056</v>
      </c>
      <c r="S385" s="176">
        <f>IFERROR(S365*'Key inputs_EB_MIN'!S$10/SUM('Key inputs_EB_MIN'!S$10:S$11),0)</f>
        <v>-13688.468259114537</v>
      </c>
      <c r="T385" s="176">
        <f>IFERROR(T365*'Key inputs_EB_MIN'!T$10/SUM('Key inputs_EB_MIN'!T$10:T$11),0)</f>
        <v>0</v>
      </c>
      <c r="U385" s="176">
        <f>IFERROR(U365*'Key inputs_EB_MIN'!U$10/SUM('Key inputs_EB_MIN'!U$10:U$11),0)</f>
        <v>0</v>
      </c>
      <c r="V385" s="176">
        <f>IFERROR(V365*'Key inputs_EB_MIN'!V$10/SUM('Key inputs_EB_MIN'!V$10:V$11),0)</f>
        <v>0</v>
      </c>
      <c r="W385" s="176">
        <f>IFERROR(W365*'Key inputs_EB_MIN'!W$10/SUM('Key inputs_EB_MIN'!W$10:W$11),0)</f>
        <v>0</v>
      </c>
      <c r="X385" s="176">
        <f>IFERROR(X365*'Key inputs_EB_MIN'!X$10/SUM('Key inputs_EB_MIN'!X$10:X$11),0)</f>
        <v>0</v>
      </c>
      <c r="Y385" s="176">
        <f>IFERROR(Y365*'Key inputs_EB_MIN'!Y$10/SUM('Key inputs_EB_MIN'!Y$10:Y$11),0)</f>
        <v>-24.400994048445163</v>
      </c>
      <c r="Z385" s="176">
        <f>IFERROR(Z365*'Key inputs_EB_MIN'!Z$10/SUM('Key inputs_EB_MIN'!Z$10:Z$11),0)</f>
        <v>-262.54849716270564</v>
      </c>
      <c r="AA385" s="176">
        <f>IFERROR(AA365*'Key inputs_EB_MIN'!AA$10/SUM('Key inputs_EB_MIN'!AA$10:AA$11),0)</f>
        <v>0</v>
      </c>
      <c r="AB385" s="176">
        <f>IFERROR(AB365*'Key inputs_EB_MIN'!AB$10/SUM('Key inputs_EB_MIN'!AB$10:AB$11),0)</f>
        <v>0</v>
      </c>
      <c r="AC385" s="176">
        <f>IFERROR(AC365*'Key inputs_EB_MIN'!AC$10/SUM('Key inputs_EB_MIN'!AC$10:AC$11),0)</f>
        <v>0</v>
      </c>
      <c r="AD385" s="176">
        <f>IFERROR(AD365*'Key inputs_EB_MIN'!AD$10/SUM('Key inputs_EB_MIN'!AD$10:AD$11),0)</f>
        <v>-27293.556623657078</v>
      </c>
      <c r="AE385" s="176">
        <f>IFERROR(AE365*'Key inputs_EB_MIN'!AE$10/SUM('Key inputs_EB_MIN'!AE$10:AE$11),0)</f>
        <v>0</v>
      </c>
      <c r="AF385" s="287">
        <f>IFERROR(AF365*'Key inputs_EB_MIN'!AF$10/SUM('Key inputs_EB_MIN'!AF$10:AF$11),0)</f>
        <v>-25641.087026137582</v>
      </c>
    </row>
    <row r="386" spans="1:32" s="59" customFormat="1">
      <c r="A386" s="95" t="s">
        <v>728</v>
      </c>
      <c r="B386" s="95" t="s">
        <v>749</v>
      </c>
      <c r="C386" s="71" t="s">
        <v>541</v>
      </c>
      <c r="D386" s="74" t="s">
        <v>387</v>
      </c>
      <c r="E386" s="176">
        <f>IFERROR(E366*'Key inputs_EB_MIN'!E$10/SUM('Key inputs_EB_MIN'!E$10:E$11),0)</f>
        <v>0</v>
      </c>
      <c r="F386" s="176">
        <f>IFERROR(F366*'Key inputs_EB_MIN'!F$10/SUM('Key inputs_EB_MIN'!F$10:F$11),0)</f>
        <v>0</v>
      </c>
      <c r="G386" s="176">
        <f>IFERROR(G366*'Key inputs_EB_MIN'!G$10/SUM('Key inputs_EB_MIN'!G$10:G$11),0)</f>
        <v>0</v>
      </c>
      <c r="H386" s="176">
        <f>IFERROR(H366*'Key inputs_EB_MIN'!H$10/SUM('Key inputs_EB_MIN'!H$10:H$11),0)</f>
        <v>0</v>
      </c>
      <c r="I386" s="176">
        <f>IFERROR(I366*'Key inputs_EB_MIN'!I$10/SUM('Key inputs_EB_MIN'!I$10:I$11),0)</f>
        <v>-13.361228584736804</v>
      </c>
      <c r="J386" s="176">
        <f>IFERROR(J366*'Key inputs_EB_MIN'!J$10/SUM('Key inputs_EB_MIN'!J$10:J$11),0)</f>
        <v>0</v>
      </c>
      <c r="K386" s="176">
        <f>IFERROR(K366*'Key inputs_EB_MIN'!K$10/SUM('Key inputs_EB_MIN'!K$10:K$11),0)</f>
        <v>0</v>
      </c>
      <c r="L386" s="176">
        <f>IFERROR(L366*'Key inputs_EB_MIN'!L$10/SUM('Key inputs_EB_MIN'!L$10:L$11),0)</f>
        <v>0</v>
      </c>
      <c r="M386" s="176">
        <f>IFERROR(M366*'Key inputs_EB_MIN'!M$10/SUM('Key inputs_EB_MIN'!M$10:M$11),0)</f>
        <v>0</v>
      </c>
      <c r="N386" s="176">
        <f>IFERROR(N366*'Key inputs_EB_MIN'!N$10/SUM('Key inputs_EB_MIN'!N$10:N$11),0)</f>
        <v>-2757.2138359260794</v>
      </c>
      <c r="O386" s="176">
        <f>IFERROR(O366*'Key inputs_EB_MIN'!O$10/SUM('Key inputs_EB_MIN'!O$10:O$11),0)</f>
        <v>0</v>
      </c>
      <c r="P386" s="176">
        <f>IFERROR(P366*'Key inputs_EB_MIN'!P$10/SUM('Key inputs_EB_MIN'!P$10:P$11),0)</f>
        <v>-56892.59852820931</v>
      </c>
      <c r="Q386" s="176">
        <f>IFERROR(Q366*'Key inputs_EB_MIN'!Q$10/SUM('Key inputs_EB_MIN'!Q$10:Q$11),0)</f>
        <v>0</v>
      </c>
      <c r="R386" s="176">
        <f>IFERROR(R366*'Key inputs_EB_MIN'!R$10/SUM('Key inputs_EB_MIN'!R$10:R$11),0)</f>
        <v>-256.91913816089527</v>
      </c>
      <c r="S386" s="176">
        <f>IFERROR(S366*'Key inputs_EB_MIN'!S$10/SUM('Key inputs_EB_MIN'!S$10:S$11),0)</f>
        <v>-226.10540692058021</v>
      </c>
      <c r="T386" s="176">
        <f>IFERROR(T366*'Key inputs_EB_MIN'!T$10/SUM('Key inputs_EB_MIN'!T$10:T$11),0)</f>
        <v>0</v>
      </c>
      <c r="U386" s="176">
        <f>IFERROR(U366*'Key inputs_EB_MIN'!U$10/SUM('Key inputs_EB_MIN'!U$10:U$11),0)</f>
        <v>0</v>
      </c>
      <c r="V386" s="176">
        <f>IFERROR(V366*'Key inputs_EB_MIN'!V$10/SUM('Key inputs_EB_MIN'!V$10:V$11),0)</f>
        <v>0</v>
      </c>
      <c r="W386" s="176">
        <f>IFERROR(W366*'Key inputs_EB_MIN'!W$10/SUM('Key inputs_EB_MIN'!W$10:W$11),0)</f>
        <v>0</v>
      </c>
      <c r="X386" s="176">
        <f>IFERROR(X366*'Key inputs_EB_MIN'!X$10/SUM('Key inputs_EB_MIN'!X$10:X$11),0)</f>
        <v>0</v>
      </c>
      <c r="Y386" s="176">
        <f>IFERROR(Y366*'Key inputs_EB_MIN'!Y$10/SUM('Key inputs_EB_MIN'!Y$10:Y$11),0)</f>
        <v>-3434.5655320122219</v>
      </c>
      <c r="Z386" s="176">
        <f>IFERROR(Z366*'Key inputs_EB_MIN'!Z$10/SUM('Key inputs_EB_MIN'!Z$10:Z$11),0)</f>
        <v>0</v>
      </c>
      <c r="AA386" s="176">
        <f>IFERROR(AA366*'Key inputs_EB_MIN'!AA$10/SUM('Key inputs_EB_MIN'!AA$10:AA$11),0)</f>
        <v>0</v>
      </c>
      <c r="AB386" s="176">
        <f>IFERROR(AB366*'Key inputs_EB_MIN'!AB$10/SUM('Key inputs_EB_MIN'!AB$10:AB$11),0)</f>
        <v>0</v>
      </c>
      <c r="AC386" s="176">
        <f>IFERROR(AC366*'Key inputs_EB_MIN'!AC$10/SUM('Key inputs_EB_MIN'!AC$10:AC$11),0)</f>
        <v>0</v>
      </c>
      <c r="AD386" s="176">
        <f>IFERROR(AD366*'Key inputs_EB_MIN'!AD$10/SUM('Key inputs_EB_MIN'!AD$10:AD$11),0)</f>
        <v>0</v>
      </c>
      <c r="AE386" s="176">
        <f>IFERROR(AE366*'Key inputs_EB_MIN'!AE$10/SUM('Key inputs_EB_MIN'!AE$10:AE$11),0)</f>
        <v>0</v>
      </c>
      <c r="AF386" s="287">
        <f>IFERROR(AF366*'Key inputs_EB_MIN'!AF$10/SUM('Key inputs_EB_MIN'!AF$10:AF$11),0)</f>
        <v>-1180.5482141298462</v>
      </c>
    </row>
    <row r="387" spans="1:32" s="59" customFormat="1">
      <c r="A387" s="95" t="s">
        <v>728</v>
      </c>
      <c r="B387" s="95" t="s">
        <v>749</v>
      </c>
      <c r="C387" s="71" t="s">
        <v>543</v>
      </c>
      <c r="D387" s="74" t="s">
        <v>387</v>
      </c>
      <c r="E387" s="176">
        <f>IFERROR(E367*'Key inputs_EB_MIN'!E$10/SUM('Key inputs_EB_MIN'!E$10:E$11),0)</f>
        <v>0</v>
      </c>
      <c r="F387" s="176">
        <f>IFERROR(F367*'Key inputs_EB_MIN'!F$10/SUM('Key inputs_EB_MIN'!F$10:F$11),0)</f>
        <v>0</v>
      </c>
      <c r="G387" s="176">
        <f>IFERROR(G367*'Key inputs_EB_MIN'!G$10/SUM('Key inputs_EB_MIN'!G$10:G$11),0)</f>
        <v>0</v>
      </c>
      <c r="H387" s="176">
        <f>IFERROR(H367*'Key inputs_EB_MIN'!H$10/SUM('Key inputs_EB_MIN'!H$10:H$11),0)</f>
        <v>0</v>
      </c>
      <c r="I387" s="176">
        <f>IFERROR(I367*'Key inputs_EB_MIN'!I$10/SUM('Key inputs_EB_MIN'!I$10:I$11),0)</f>
        <v>-1.6774276371724097</v>
      </c>
      <c r="J387" s="176">
        <f>IFERROR(J367*'Key inputs_EB_MIN'!J$10/SUM('Key inputs_EB_MIN'!J$10:J$11),0)</f>
        <v>0</v>
      </c>
      <c r="K387" s="176">
        <f>IFERROR(K367*'Key inputs_EB_MIN'!K$10/SUM('Key inputs_EB_MIN'!K$10:K$11),0)</f>
        <v>0</v>
      </c>
      <c r="L387" s="176">
        <f>IFERROR(L367*'Key inputs_EB_MIN'!L$10/SUM('Key inputs_EB_MIN'!L$10:L$11),0)</f>
        <v>0</v>
      </c>
      <c r="M387" s="176">
        <f>IFERROR(M367*'Key inputs_EB_MIN'!M$10/SUM('Key inputs_EB_MIN'!M$10:M$11),0)</f>
        <v>0</v>
      </c>
      <c r="N387" s="176">
        <f>IFERROR(N367*'Key inputs_EB_MIN'!N$10/SUM('Key inputs_EB_MIN'!N$10:N$11),0)</f>
        <v>0</v>
      </c>
      <c r="O387" s="176">
        <f>IFERROR(O367*'Key inputs_EB_MIN'!O$10/SUM('Key inputs_EB_MIN'!O$10:O$11),0)</f>
        <v>0</v>
      </c>
      <c r="P387" s="176">
        <f>IFERROR(P367*'Key inputs_EB_MIN'!P$10/SUM('Key inputs_EB_MIN'!P$10:P$11),0)</f>
        <v>-3186.2866242038217</v>
      </c>
      <c r="Q387" s="176">
        <f>IFERROR(Q367*'Key inputs_EB_MIN'!Q$10/SUM('Key inputs_EB_MIN'!Q$10:Q$11),0)</f>
        <v>0</v>
      </c>
      <c r="R387" s="176">
        <f>IFERROR(R367*'Key inputs_EB_MIN'!R$10/SUM('Key inputs_EB_MIN'!R$10:R$11),0)</f>
        <v>0</v>
      </c>
      <c r="S387" s="176">
        <f>IFERROR(S367*'Key inputs_EB_MIN'!S$10/SUM('Key inputs_EB_MIN'!S$10:S$11),0)</f>
        <v>-3.1144802734804493</v>
      </c>
      <c r="T387" s="176">
        <f>IFERROR(T367*'Key inputs_EB_MIN'!T$10/SUM('Key inputs_EB_MIN'!T$10:T$11),0)</f>
        <v>0</v>
      </c>
      <c r="U387" s="176">
        <f>IFERROR(U367*'Key inputs_EB_MIN'!U$10/SUM('Key inputs_EB_MIN'!U$10:U$11),0)</f>
        <v>0</v>
      </c>
      <c r="V387" s="176">
        <f>IFERROR(V367*'Key inputs_EB_MIN'!V$10/SUM('Key inputs_EB_MIN'!V$10:V$11),0)</f>
        <v>0</v>
      </c>
      <c r="W387" s="176">
        <f>IFERROR(W367*'Key inputs_EB_MIN'!W$10/SUM('Key inputs_EB_MIN'!W$10:W$11),0)</f>
        <v>0</v>
      </c>
      <c r="X387" s="176">
        <f>IFERROR(X367*'Key inputs_EB_MIN'!X$10/SUM('Key inputs_EB_MIN'!X$10:X$11),0)</f>
        <v>0</v>
      </c>
      <c r="Y387" s="176">
        <f>IFERROR(Y367*'Key inputs_EB_MIN'!Y$10/SUM('Key inputs_EB_MIN'!Y$10:Y$11),0)</f>
        <v>0</v>
      </c>
      <c r="Z387" s="176">
        <f>IFERROR(Z367*'Key inputs_EB_MIN'!Z$10/SUM('Key inputs_EB_MIN'!Z$10:Z$11),0)</f>
        <v>0</v>
      </c>
      <c r="AA387" s="176">
        <f>IFERROR(AA367*'Key inputs_EB_MIN'!AA$10/SUM('Key inputs_EB_MIN'!AA$10:AA$11),0)</f>
        <v>0</v>
      </c>
      <c r="AB387" s="176">
        <f>IFERROR(AB367*'Key inputs_EB_MIN'!AB$10/SUM('Key inputs_EB_MIN'!AB$10:AB$11),0)</f>
        <v>0</v>
      </c>
      <c r="AC387" s="176">
        <f>IFERROR(AC367*'Key inputs_EB_MIN'!AC$10/SUM('Key inputs_EB_MIN'!AC$10:AC$11),0)</f>
        <v>0</v>
      </c>
      <c r="AD387" s="176">
        <f>IFERROR(AD367*'Key inputs_EB_MIN'!AD$10/SUM('Key inputs_EB_MIN'!AD$10:AD$11),0)</f>
        <v>0</v>
      </c>
      <c r="AE387" s="176">
        <f>IFERROR(AE367*'Key inputs_EB_MIN'!AE$10/SUM('Key inputs_EB_MIN'!AE$10:AE$11),0)</f>
        <v>0</v>
      </c>
      <c r="AF387" s="287">
        <f>IFERROR(AF367*'Key inputs_EB_MIN'!AF$10/SUM('Key inputs_EB_MIN'!AF$10:AF$11),0)</f>
        <v>-90103.037391587714</v>
      </c>
    </row>
    <row r="388" spans="1:32" s="59" customFormat="1">
      <c r="A388" s="95" t="s">
        <v>728</v>
      </c>
      <c r="B388" s="95" t="s">
        <v>749</v>
      </c>
      <c r="C388" s="71" t="s">
        <v>545</v>
      </c>
      <c r="D388" s="74" t="s">
        <v>387</v>
      </c>
      <c r="E388" s="176">
        <f>IFERROR(E368*'Key inputs_EB_MIN'!E$10/SUM('Key inputs_EB_MIN'!E$10:E$11),0)</f>
        <v>0</v>
      </c>
      <c r="F388" s="176">
        <f>IFERROR(F368*'Key inputs_EB_MIN'!F$10/SUM('Key inputs_EB_MIN'!F$10:F$11),0)</f>
        <v>0</v>
      </c>
      <c r="G388" s="176">
        <f>IFERROR(G368*'Key inputs_EB_MIN'!G$10/SUM('Key inputs_EB_MIN'!G$10:G$11),0)</f>
        <v>0</v>
      </c>
      <c r="H388" s="176">
        <f>IFERROR(H368*'Key inputs_EB_MIN'!H$10/SUM('Key inputs_EB_MIN'!H$10:H$11),0)</f>
        <v>0</v>
      </c>
      <c r="I388" s="176">
        <f>IFERROR(I368*'Key inputs_EB_MIN'!I$10/SUM('Key inputs_EB_MIN'!I$10:I$11),0)</f>
        <v>0</v>
      </c>
      <c r="J388" s="176">
        <f>IFERROR(J368*'Key inputs_EB_MIN'!J$10/SUM('Key inputs_EB_MIN'!J$10:J$11),0)</f>
        <v>-448.96099447305124</v>
      </c>
      <c r="K388" s="176">
        <f>IFERROR(K368*'Key inputs_EB_MIN'!K$10/SUM('Key inputs_EB_MIN'!K$10:K$11),0)</f>
        <v>0</v>
      </c>
      <c r="L388" s="176">
        <f>IFERROR(L368*'Key inputs_EB_MIN'!L$10/SUM('Key inputs_EB_MIN'!L$10:L$11),0)</f>
        <v>0</v>
      </c>
      <c r="M388" s="176">
        <f>IFERROR(M368*'Key inputs_EB_MIN'!M$10/SUM('Key inputs_EB_MIN'!M$10:M$11),0)</f>
        <v>0</v>
      </c>
      <c r="N388" s="176">
        <f>IFERROR(N368*'Key inputs_EB_MIN'!N$10/SUM('Key inputs_EB_MIN'!N$10:N$11),0)</f>
        <v>0</v>
      </c>
      <c r="O388" s="176">
        <f>IFERROR(O368*'Key inputs_EB_MIN'!O$10/SUM('Key inputs_EB_MIN'!O$10:O$11),0)</f>
        <v>0</v>
      </c>
      <c r="P388" s="176">
        <f>IFERROR(P368*'Key inputs_EB_MIN'!P$10/SUM('Key inputs_EB_MIN'!P$10:P$11),0)</f>
        <v>-7055.0020412036711</v>
      </c>
      <c r="Q388" s="176">
        <f>IFERROR(Q368*'Key inputs_EB_MIN'!Q$10/SUM('Key inputs_EB_MIN'!Q$10:Q$11),0)</f>
        <v>-1439.3321426000909</v>
      </c>
      <c r="R388" s="176">
        <f>IFERROR(R368*'Key inputs_EB_MIN'!R$10/SUM('Key inputs_EB_MIN'!R$10:R$11),0)</f>
        <v>0</v>
      </c>
      <c r="S388" s="176">
        <f>IFERROR(S368*'Key inputs_EB_MIN'!S$10/SUM('Key inputs_EB_MIN'!S$10:S$11),0)</f>
        <v>-2317.3682620200752</v>
      </c>
      <c r="T388" s="176">
        <f>IFERROR(T368*'Key inputs_EB_MIN'!T$10/SUM('Key inputs_EB_MIN'!T$10:T$11),0)</f>
        <v>0</v>
      </c>
      <c r="U388" s="176">
        <f>IFERROR(U368*'Key inputs_EB_MIN'!U$10/SUM('Key inputs_EB_MIN'!U$10:U$11),0)</f>
        <v>0</v>
      </c>
      <c r="V388" s="176">
        <f>IFERROR(V368*'Key inputs_EB_MIN'!V$10/SUM('Key inputs_EB_MIN'!V$10:V$11),0)</f>
        <v>0</v>
      </c>
      <c r="W388" s="176">
        <f>IFERROR(W368*'Key inputs_EB_MIN'!W$10/SUM('Key inputs_EB_MIN'!W$10:W$11),0)</f>
        <v>0</v>
      </c>
      <c r="X388" s="176">
        <f>IFERROR(X368*'Key inputs_EB_MIN'!X$10/SUM('Key inputs_EB_MIN'!X$10:X$11),0)</f>
        <v>0</v>
      </c>
      <c r="Y388" s="176">
        <f>IFERROR(Y368*'Key inputs_EB_MIN'!Y$10/SUM('Key inputs_EB_MIN'!Y$10:Y$11),0)</f>
        <v>0</v>
      </c>
      <c r="Z388" s="176">
        <f>IFERROR(Z368*'Key inputs_EB_MIN'!Z$10/SUM('Key inputs_EB_MIN'!Z$10:Z$11),0)</f>
        <v>0</v>
      </c>
      <c r="AA388" s="176">
        <f>IFERROR(AA368*'Key inputs_EB_MIN'!AA$10/SUM('Key inputs_EB_MIN'!AA$10:AA$11),0)</f>
        <v>0</v>
      </c>
      <c r="AB388" s="176">
        <f>IFERROR(AB368*'Key inputs_EB_MIN'!AB$10/SUM('Key inputs_EB_MIN'!AB$10:AB$11),0)</f>
        <v>0</v>
      </c>
      <c r="AC388" s="176">
        <f>IFERROR(AC368*'Key inputs_EB_MIN'!AC$10/SUM('Key inputs_EB_MIN'!AC$10:AC$11),0)</f>
        <v>0</v>
      </c>
      <c r="AD388" s="176">
        <f>IFERROR(AD368*'Key inputs_EB_MIN'!AD$10/SUM('Key inputs_EB_MIN'!AD$10:AD$11),0)</f>
        <v>-16526.864820756327</v>
      </c>
      <c r="AE388" s="176">
        <f>IFERROR(AE368*'Key inputs_EB_MIN'!AE$10/SUM('Key inputs_EB_MIN'!AE$10:AE$11),0)</f>
        <v>0</v>
      </c>
      <c r="AF388" s="287">
        <f>IFERROR(AF368*'Key inputs_EB_MIN'!AF$10/SUM('Key inputs_EB_MIN'!AF$10:AF$11),0)</f>
        <v>0</v>
      </c>
    </row>
    <row r="389" spans="1:32" s="59" customFormat="1">
      <c r="A389" s="95" t="s">
        <v>728</v>
      </c>
      <c r="B389" s="95" t="s">
        <v>749</v>
      </c>
      <c r="C389" s="71" t="s">
        <v>548</v>
      </c>
      <c r="D389" s="74" t="s">
        <v>387</v>
      </c>
      <c r="E389" s="176">
        <f>IFERROR(E369*'Key inputs_EB_MIN'!E$10/SUM('Key inputs_EB_MIN'!E$10:E$11),0)</f>
        <v>0</v>
      </c>
      <c r="F389" s="176">
        <f>IFERROR(F369*'Key inputs_EB_MIN'!F$10/SUM('Key inputs_EB_MIN'!F$10:F$11),0)</f>
        <v>0</v>
      </c>
      <c r="G389" s="176">
        <f>IFERROR(G369*'Key inputs_EB_MIN'!G$10/SUM('Key inputs_EB_MIN'!G$10:G$11),0)</f>
        <v>0</v>
      </c>
      <c r="H389" s="176">
        <f>IFERROR(H369*'Key inputs_EB_MIN'!H$10/SUM('Key inputs_EB_MIN'!H$10:H$11),0)</f>
        <v>0</v>
      </c>
      <c r="I389" s="176">
        <f>IFERROR(I369*'Key inputs_EB_MIN'!I$10/SUM('Key inputs_EB_MIN'!I$10:I$11),0)</f>
        <v>-139.75559497832964</v>
      </c>
      <c r="J389" s="176">
        <f>IFERROR(J369*'Key inputs_EB_MIN'!J$10/SUM('Key inputs_EB_MIN'!J$10:J$11),0)</f>
        <v>0</v>
      </c>
      <c r="K389" s="176">
        <f>IFERROR(K369*'Key inputs_EB_MIN'!K$10/SUM('Key inputs_EB_MIN'!K$10:K$11),0)</f>
        <v>0</v>
      </c>
      <c r="L389" s="176">
        <f>IFERROR(L369*'Key inputs_EB_MIN'!L$10/SUM('Key inputs_EB_MIN'!L$10:L$11),0)</f>
        <v>0</v>
      </c>
      <c r="M389" s="176">
        <f>IFERROR(M369*'Key inputs_EB_MIN'!M$10/SUM('Key inputs_EB_MIN'!M$10:M$11),0)</f>
        <v>0</v>
      </c>
      <c r="N389" s="176">
        <f>IFERROR(N369*'Key inputs_EB_MIN'!N$10/SUM('Key inputs_EB_MIN'!N$10:N$11),0)</f>
        <v>0</v>
      </c>
      <c r="O389" s="176">
        <f>IFERROR(O369*'Key inputs_EB_MIN'!O$10/SUM('Key inputs_EB_MIN'!O$10:O$11),0)</f>
        <v>0</v>
      </c>
      <c r="P389" s="176">
        <f>IFERROR(P369*'Key inputs_EB_MIN'!P$10/SUM('Key inputs_EB_MIN'!P$10:P$11),0)</f>
        <v>-157.63360111770871</v>
      </c>
      <c r="Q389" s="176">
        <f>IFERROR(Q369*'Key inputs_EB_MIN'!Q$10/SUM('Key inputs_EB_MIN'!Q$10:Q$11),0)</f>
        <v>0</v>
      </c>
      <c r="R389" s="176">
        <f>IFERROR(R369*'Key inputs_EB_MIN'!R$10/SUM('Key inputs_EB_MIN'!R$10:R$11),0)</f>
        <v>0</v>
      </c>
      <c r="S389" s="176">
        <f>IFERROR(S369*'Key inputs_EB_MIN'!S$10/SUM('Key inputs_EB_MIN'!S$10:S$11),0)</f>
        <v>-32.499684363859764</v>
      </c>
      <c r="T389" s="176">
        <f>IFERROR(T369*'Key inputs_EB_MIN'!T$10/SUM('Key inputs_EB_MIN'!T$10:T$11),0)</f>
        <v>0</v>
      </c>
      <c r="U389" s="176">
        <f>IFERROR(U369*'Key inputs_EB_MIN'!U$10/SUM('Key inputs_EB_MIN'!U$10:U$11),0)</f>
        <v>0</v>
      </c>
      <c r="V389" s="176">
        <f>IFERROR(V369*'Key inputs_EB_MIN'!V$10/SUM('Key inputs_EB_MIN'!V$10:V$11),0)</f>
        <v>0</v>
      </c>
      <c r="W389" s="176">
        <f>IFERROR(W369*'Key inputs_EB_MIN'!W$10/SUM('Key inputs_EB_MIN'!W$10:W$11),0)</f>
        <v>0</v>
      </c>
      <c r="X389" s="176">
        <f>IFERROR(X369*'Key inputs_EB_MIN'!X$10/SUM('Key inputs_EB_MIN'!X$10:X$11),0)</f>
        <v>0</v>
      </c>
      <c r="Y389" s="176">
        <f>IFERROR(Y369*'Key inputs_EB_MIN'!Y$10/SUM('Key inputs_EB_MIN'!Y$10:Y$11),0)</f>
        <v>0</v>
      </c>
      <c r="Z389" s="176">
        <f>IFERROR(Z369*'Key inputs_EB_MIN'!Z$10/SUM('Key inputs_EB_MIN'!Z$10:Z$11),0)</f>
        <v>0</v>
      </c>
      <c r="AA389" s="176">
        <f>IFERROR(AA369*'Key inputs_EB_MIN'!AA$10/SUM('Key inputs_EB_MIN'!AA$10:AA$11),0)</f>
        <v>0</v>
      </c>
      <c r="AB389" s="176">
        <f>IFERROR(AB369*'Key inputs_EB_MIN'!AB$10/SUM('Key inputs_EB_MIN'!AB$10:AB$11),0)</f>
        <v>0</v>
      </c>
      <c r="AC389" s="176">
        <f>IFERROR(AC369*'Key inputs_EB_MIN'!AC$10/SUM('Key inputs_EB_MIN'!AC$10:AC$11),0)</f>
        <v>0</v>
      </c>
      <c r="AD389" s="176">
        <f>IFERROR(AD369*'Key inputs_EB_MIN'!AD$10/SUM('Key inputs_EB_MIN'!AD$10:AD$11),0)</f>
        <v>0</v>
      </c>
      <c r="AE389" s="176">
        <f>IFERROR(AE369*'Key inputs_EB_MIN'!AE$10/SUM('Key inputs_EB_MIN'!AE$10:AE$11),0)</f>
        <v>0</v>
      </c>
      <c r="AF389" s="287">
        <f>IFERROR(AF369*'Key inputs_EB_MIN'!AF$10/SUM('Key inputs_EB_MIN'!AF$10:AF$11),0)</f>
        <v>-1376.5433579031314</v>
      </c>
    </row>
    <row r="390" spans="1:32" s="59" customFormat="1">
      <c r="A390" s="95" t="s">
        <v>728</v>
      </c>
      <c r="B390" s="95" t="s">
        <v>749</v>
      </c>
      <c r="C390" s="71" t="s">
        <v>550</v>
      </c>
      <c r="D390" s="74" t="s">
        <v>387</v>
      </c>
      <c r="E390" s="176">
        <f>IFERROR(E370*'Key inputs_EB_MIN'!E$10/SUM('Key inputs_EB_MIN'!E$10:E$11),0)</f>
        <v>0</v>
      </c>
      <c r="F390" s="176">
        <f>IFERROR(F370*'Key inputs_EB_MIN'!F$10/SUM('Key inputs_EB_MIN'!F$10:F$11),0)</f>
        <v>0</v>
      </c>
      <c r="G390" s="176">
        <f>IFERROR(G370*'Key inputs_EB_MIN'!G$10/SUM('Key inputs_EB_MIN'!G$10:G$11),0)</f>
        <v>0</v>
      </c>
      <c r="H390" s="176">
        <f>IFERROR(H370*'Key inputs_EB_MIN'!H$10/SUM('Key inputs_EB_MIN'!H$10:H$11),0)</f>
        <v>0</v>
      </c>
      <c r="I390" s="176">
        <f>IFERROR(I370*'Key inputs_EB_MIN'!I$10/SUM('Key inputs_EB_MIN'!I$10:I$11),0)</f>
        <v>0</v>
      </c>
      <c r="J390" s="176">
        <f>IFERROR(J370*'Key inputs_EB_MIN'!J$10/SUM('Key inputs_EB_MIN'!J$10:J$11),0)</f>
        <v>0</v>
      </c>
      <c r="K390" s="176">
        <f>IFERROR(K370*'Key inputs_EB_MIN'!K$10/SUM('Key inputs_EB_MIN'!K$10:K$11),0)</f>
        <v>0</v>
      </c>
      <c r="L390" s="176">
        <f>IFERROR(L370*'Key inputs_EB_MIN'!L$10/SUM('Key inputs_EB_MIN'!L$10:L$11),0)</f>
        <v>0</v>
      </c>
      <c r="M390" s="176">
        <f>IFERROR(M370*'Key inputs_EB_MIN'!M$10/SUM('Key inputs_EB_MIN'!M$10:M$11),0)</f>
        <v>0</v>
      </c>
      <c r="N390" s="176">
        <f>IFERROR(N370*'Key inputs_EB_MIN'!N$10/SUM('Key inputs_EB_MIN'!N$10:N$11),0)</f>
        <v>0</v>
      </c>
      <c r="O390" s="176">
        <f>IFERROR(O370*'Key inputs_EB_MIN'!O$10/SUM('Key inputs_EB_MIN'!O$10:O$11),0)</f>
        <v>0</v>
      </c>
      <c r="P390" s="176">
        <f>IFERROR(P370*'Key inputs_EB_MIN'!P$10/SUM('Key inputs_EB_MIN'!P$10:P$11),0)</f>
        <v>-483.06451612903226</v>
      </c>
      <c r="Q390" s="176">
        <f>IFERROR(Q370*'Key inputs_EB_MIN'!Q$10/SUM('Key inputs_EB_MIN'!Q$10:Q$11),0)</f>
        <v>0</v>
      </c>
      <c r="R390" s="176">
        <f>IFERROR(R370*'Key inputs_EB_MIN'!R$10/SUM('Key inputs_EB_MIN'!R$10:R$11),0)</f>
        <v>0</v>
      </c>
      <c r="S390" s="176">
        <f>IFERROR(S370*'Key inputs_EB_MIN'!S$10/SUM('Key inputs_EB_MIN'!S$10:S$11),0)</f>
        <v>-0.23698762865286388</v>
      </c>
      <c r="T390" s="176">
        <f>IFERROR(T370*'Key inputs_EB_MIN'!T$10/SUM('Key inputs_EB_MIN'!T$10:T$11),0)</f>
        <v>0</v>
      </c>
      <c r="U390" s="176">
        <f>IFERROR(U370*'Key inputs_EB_MIN'!U$10/SUM('Key inputs_EB_MIN'!U$10:U$11),0)</f>
        <v>0</v>
      </c>
      <c r="V390" s="176">
        <f>IFERROR(V370*'Key inputs_EB_MIN'!V$10/SUM('Key inputs_EB_MIN'!V$10:V$11),0)</f>
        <v>0</v>
      </c>
      <c r="W390" s="176">
        <f>IFERROR(W370*'Key inputs_EB_MIN'!W$10/SUM('Key inputs_EB_MIN'!W$10:W$11),0)</f>
        <v>0</v>
      </c>
      <c r="X390" s="176">
        <f>IFERROR(X370*'Key inputs_EB_MIN'!X$10/SUM('Key inputs_EB_MIN'!X$10:X$11),0)</f>
        <v>0</v>
      </c>
      <c r="Y390" s="176">
        <f>IFERROR(Y370*'Key inputs_EB_MIN'!Y$10/SUM('Key inputs_EB_MIN'!Y$10:Y$11),0)</f>
        <v>0</v>
      </c>
      <c r="Z390" s="176">
        <f>IFERROR(Z370*'Key inputs_EB_MIN'!Z$10/SUM('Key inputs_EB_MIN'!Z$10:Z$11),0)</f>
        <v>0</v>
      </c>
      <c r="AA390" s="176">
        <f>IFERROR(AA370*'Key inputs_EB_MIN'!AA$10/SUM('Key inputs_EB_MIN'!AA$10:AA$11),0)</f>
        <v>0</v>
      </c>
      <c r="AB390" s="176">
        <f>IFERROR(AB370*'Key inputs_EB_MIN'!AB$10/SUM('Key inputs_EB_MIN'!AB$10:AB$11),0)</f>
        <v>0</v>
      </c>
      <c r="AC390" s="176">
        <f>IFERROR(AC370*'Key inputs_EB_MIN'!AC$10/SUM('Key inputs_EB_MIN'!AC$10:AC$11),0)</f>
        <v>0</v>
      </c>
      <c r="AD390" s="176">
        <f>IFERROR(AD370*'Key inputs_EB_MIN'!AD$10/SUM('Key inputs_EB_MIN'!AD$10:AD$11),0)</f>
        <v>0</v>
      </c>
      <c r="AE390" s="176">
        <f>IFERROR(AE370*'Key inputs_EB_MIN'!AE$10/SUM('Key inputs_EB_MIN'!AE$10:AE$11),0)</f>
        <v>0</v>
      </c>
      <c r="AF390" s="287">
        <f>IFERROR(AF370*'Key inputs_EB_MIN'!AF$10/SUM('Key inputs_EB_MIN'!AF$10:AF$11),0)</f>
        <v>0</v>
      </c>
    </row>
    <row r="391" spans="1:32" s="59" customFormat="1">
      <c r="A391" s="95" t="s">
        <v>728</v>
      </c>
      <c r="B391" s="95" t="s">
        <v>749</v>
      </c>
      <c r="C391" s="71" t="s">
        <v>552</v>
      </c>
      <c r="D391" s="74" t="s">
        <v>387</v>
      </c>
      <c r="E391" s="176">
        <f>IFERROR(E371*'Key inputs_EB_MIN'!E$10/SUM('Key inputs_EB_MIN'!E$10:E$11),0)</f>
        <v>0</v>
      </c>
      <c r="F391" s="176">
        <f>IFERROR(F371*'Key inputs_EB_MIN'!F$10/SUM('Key inputs_EB_MIN'!F$10:F$11),0)</f>
        <v>0</v>
      </c>
      <c r="G391" s="176">
        <f>IFERROR(G371*'Key inputs_EB_MIN'!G$10/SUM('Key inputs_EB_MIN'!G$10:G$11),0)</f>
        <v>0</v>
      </c>
      <c r="H391" s="176">
        <f>IFERROR(H371*'Key inputs_EB_MIN'!H$10/SUM('Key inputs_EB_MIN'!H$10:H$11),0)</f>
        <v>0</v>
      </c>
      <c r="I391" s="176">
        <f>IFERROR(I371*'Key inputs_EB_MIN'!I$10/SUM('Key inputs_EB_MIN'!I$10:I$11),0)</f>
        <v>-23.171075170687306</v>
      </c>
      <c r="J391" s="176">
        <f>IFERROR(J371*'Key inputs_EB_MIN'!J$10/SUM('Key inputs_EB_MIN'!J$10:J$11),0)</f>
        <v>0</v>
      </c>
      <c r="K391" s="176">
        <f>IFERROR(K371*'Key inputs_EB_MIN'!K$10/SUM('Key inputs_EB_MIN'!K$10:K$11),0)</f>
        <v>0</v>
      </c>
      <c r="L391" s="176">
        <f>IFERROR(L371*'Key inputs_EB_MIN'!L$10/SUM('Key inputs_EB_MIN'!L$10:L$11),0)</f>
        <v>0</v>
      </c>
      <c r="M391" s="176">
        <f>IFERROR(M371*'Key inputs_EB_MIN'!M$10/SUM('Key inputs_EB_MIN'!M$10:M$11),0)</f>
        <v>0</v>
      </c>
      <c r="N391" s="176">
        <f>IFERROR(N371*'Key inputs_EB_MIN'!N$10/SUM('Key inputs_EB_MIN'!N$10:N$11),0)</f>
        <v>0</v>
      </c>
      <c r="O391" s="176">
        <f>IFERROR(O371*'Key inputs_EB_MIN'!O$10/SUM('Key inputs_EB_MIN'!O$10:O$11),0)</f>
        <v>0</v>
      </c>
      <c r="P391" s="176">
        <f>IFERROR(P371*'Key inputs_EB_MIN'!P$10/SUM('Key inputs_EB_MIN'!P$10:P$11),0)</f>
        <v>-28437.125774799868</v>
      </c>
      <c r="Q391" s="176">
        <f>IFERROR(Q371*'Key inputs_EB_MIN'!Q$10/SUM('Key inputs_EB_MIN'!Q$10:Q$11),0)</f>
        <v>0</v>
      </c>
      <c r="R391" s="176">
        <f>IFERROR(R371*'Key inputs_EB_MIN'!R$10/SUM('Key inputs_EB_MIN'!R$10:R$11),0)</f>
        <v>0</v>
      </c>
      <c r="S391" s="176">
        <f>IFERROR(S371*'Key inputs_EB_MIN'!S$10/SUM('Key inputs_EB_MIN'!S$10:S$11),0)</f>
        <v>-3.7224690568637442</v>
      </c>
      <c r="T391" s="176">
        <f>IFERROR(T371*'Key inputs_EB_MIN'!T$10/SUM('Key inputs_EB_MIN'!T$10:T$11),0)</f>
        <v>0</v>
      </c>
      <c r="U391" s="176">
        <f>IFERROR(U371*'Key inputs_EB_MIN'!U$10/SUM('Key inputs_EB_MIN'!U$10:U$11),0)</f>
        <v>0</v>
      </c>
      <c r="V391" s="176">
        <f>IFERROR(V371*'Key inputs_EB_MIN'!V$10/SUM('Key inputs_EB_MIN'!V$10:V$11),0)</f>
        <v>-25.454545454545457</v>
      </c>
      <c r="W391" s="176">
        <f>IFERROR(W371*'Key inputs_EB_MIN'!W$10/SUM('Key inputs_EB_MIN'!W$10:W$11),0)</f>
        <v>0</v>
      </c>
      <c r="X391" s="176">
        <f>IFERROR(X371*'Key inputs_EB_MIN'!X$10/SUM('Key inputs_EB_MIN'!X$10:X$11),0)</f>
        <v>0</v>
      </c>
      <c r="Y391" s="176">
        <f>IFERROR(Y371*'Key inputs_EB_MIN'!Y$10/SUM('Key inputs_EB_MIN'!Y$10:Y$11),0)</f>
        <v>0</v>
      </c>
      <c r="Z391" s="176">
        <f>IFERROR(Z371*'Key inputs_EB_MIN'!Z$10/SUM('Key inputs_EB_MIN'!Z$10:Z$11),0)</f>
        <v>0</v>
      </c>
      <c r="AA391" s="176">
        <f>IFERROR(AA371*'Key inputs_EB_MIN'!AA$10/SUM('Key inputs_EB_MIN'!AA$10:AA$11),0)</f>
        <v>0</v>
      </c>
      <c r="AB391" s="176">
        <f>IFERROR(AB371*'Key inputs_EB_MIN'!AB$10/SUM('Key inputs_EB_MIN'!AB$10:AB$11),0)</f>
        <v>0</v>
      </c>
      <c r="AC391" s="176">
        <f>IFERROR(AC371*'Key inputs_EB_MIN'!AC$10/SUM('Key inputs_EB_MIN'!AC$10:AC$11),0)</f>
        <v>0</v>
      </c>
      <c r="AD391" s="176">
        <f>IFERROR(AD371*'Key inputs_EB_MIN'!AD$10/SUM('Key inputs_EB_MIN'!AD$10:AD$11),0)</f>
        <v>0</v>
      </c>
      <c r="AE391" s="176">
        <f>IFERROR(AE371*'Key inputs_EB_MIN'!AE$10/SUM('Key inputs_EB_MIN'!AE$10:AE$11),0)</f>
        <v>0</v>
      </c>
      <c r="AF391" s="287">
        <f>IFERROR(AF371*'Key inputs_EB_MIN'!AF$10/SUM('Key inputs_EB_MIN'!AF$10:AF$11),0)</f>
        <v>0</v>
      </c>
    </row>
    <row r="392" spans="1:32" s="59" customFormat="1">
      <c r="A392" s="95" t="s">
        <v>728</v>
      </c>
      <c r="B392" s="95" t="s">
        <v>749</v>
      </c>
      <c r="C392" s="71" t="s">
        <v>554</v>
      </c>
      <c r="D392" s="74" t="s">
        <v>387</v>
      </c>
      <c r="E392" s="176">
        <f>IFERROR(E372*'Key inputs_EB_MIN'!E$10/SUM('Key inputs_EB_MIN'!E$10:E$11),0)</f>
        <v>0</v>
      </c>
      <c r="F392" s="176">
        <f>IFERROR(F372*'Key inputs_EB_MIN'!F$10/SUM('Key inputs_EB_MIN'!F$10:F$11),0)</f>
        <v>0</v>
      </c>
      <c r="G392" s="176">
        <f>IFERROR(G372*'Key inputs_EB_MIN'!G$10/SUM('Key inputs_EB_MIN'!G$10:G$11),0)</f>
        <v>0</v>
      </c>
      <c r="H392" s="176">
        <f>IFERROR(H372*'Key inputs_EB_MIN'!H$10/SUM('Key inputs_EB_MIN'!H$10:H$11),0)</f>
        <v>0</v>
      </c>
      <c r="I392" s="176">
        <f>IFERROR(I372*'Key inputs_EB_MIN'!I$10/SUM('Key inputs_EB_MIN'!I$10:I$11),0)</f>
        <v>0</v>
      </c>
      <c r="J392" s="176">
        <f>IFERROR(J372*'Key inputs_EB_MIN'!J$10/SUM('Key inputs_EB_MIN'!J$10:J$11),0)</f>
        <v>0</v>
      </c>
      <c r="K392" s="176">
        <f>IFERROR(K372*'Key inputs_EB_MIN'!K$10/SUM('Key inputs_EB_MIN'!K$10:K$11),0)</f>
        <v>0</v>
      </c>
      <c r="L392" s="176">
        <f>IFERROR(L372*'Key inputs_EB_MIN'!L$10/SUM('Key inputs_EB_MIN'!L$10:L$11),0)</f>
        <v>0</v>
      </c>
      <c r="M392" s="176">
        <f>IFERROR(M372*'Key inputs_EB_MIN'!M$10/SUM('Key inputs_EB_MIN'!M$10:M$11),0)</f>
        <v>0</v>
      </c>
      <c r="N392" s="176">
        <f>IFERROR(N372*'Key inputs_EB_MIN'!N$10/SUM('Key inputs_EB_MIN'!N$10:N$11),0)</f>
        <v>0</v>
      </c>
      <c r="O392" s="176">
        <f>IFERROR(O372*'Key inputs_EB_MIN'!O$10/SUM('Key inputs_EB_MIN'!O$10:O$11),0)</f>
        <v>0</v>
      </c>
      <c r="P392" s="176">
        <f>IFERROR(P372*'Key inputs_EB_MIN'!P$10/SUM('Key inputs_EB_MIN'!P$10:P$11),0)</f>
        <v>0</v>
      </c>
      <c r="Q392" s="176">
        <f>IFERROR(Q372*'Key inputs_EB_MIN'!Q$10/SUM('Key inputs_EB_MIN'!Q$10:Q$11),0)</f>
        <v>0</v>
      </c>
      <c r="R392" s="176">
        <f>IFERROR(R372*'Key inputs_EB_MIN'!R$10/SUM('Key inputs_EB_MIN'!R$10:R$11),0)</f>
        <v>0</v>
      </c>
      <c r="S392" s="176">
        <f>IFERROR(S372*'Key inputs_EB_MIN'!S$10/SUM('Key inputs_EB_MIN'!S$10:S$11),0)</f>
        <v>0</v>
      </c>
      <c r="T392" s="176">
        <f>IFERROR(T372*'Key inputs_EB_MIN'!T$10/SUM('Key inputs_EB_MIN'!T$10:T$11),0)</f>
        <v>0</v>
      </c>
      <c r="U392" s="176">
        <f>IFERROR(U372*'Key inputs_EB_MIN'!U$10/SUM('Key inputs_EB_MIN'!U$10:U$11),0)</f>
        <v>0</v>
      </c>
      <c r="V392" s="176">
        <f>IFERROR(V372*'Key inputs_EB_MIN'!V$10/SUM('Key inputs_EB_MIN'!V$10:V$11),0)</f>
        <v>0</v>
      </c>
      <c r="W392" s="176">
        <f>IFERROR(W372*'Key inputs_EB_MIN'!W$10/SUM('Key inputs_EB_MIN'!W$10:W$11),0)</f>
        <v>0</v>
      </c>
      <c r="X392" s="176">
        <f>IFERROR(X372*'Key inputs_EB_MIN'!X$10/SUM('Key inputs_EB_MIN'!X$10:X$11),0)</f>
        <v>0</v>
      </c>
      <c r="Y392" s="176">
        <f>IFERROR(Y372*'Key inputs_EB_MIN'!Y$10/SUM('Key inputs_EB_MIN'!Y$10:Y$11),0)</f>
        <v>0</v>
      </c>
      <c r="Z392" s="176">
        <f>IFERROR(Z372*'Key inputs_EB_MIN'!Z$10/SUM('Key inputs_EB_MIN'!Z$10:Z$11),0)</f>
        <v>0</v>
      </c>
      <c r="AA392" s="176">
        <f>IFERROR(AA372*'Key inputs_EB_MIN'!AA$10/SUM('Key inputs_EB_MIN'!AA$10:AA$11),0)</f>
        <v>0</v>
      </c>
      <c r="AB392" s="176">
        <f>IFERROR(AB372*'Key inputs_EB_MIN'!AB$10/SUM('Key inputs_EB_MIN'!AB$10:AB$11),0)</f>
        <v>0</v>
      </c>
      <c r="AC392" s="176">
        <f>IFERROR(AC372*'Key inputs_EB_MIN'!AC$10/SUM('Key inputs_EB_MIN'!AC$10:AC$11),0)</f>
        <v>0</v>
      </c>
      <c r="AD392" s="176">
        <f>IFERROR(AD372*'Key inputs_EB_MIN'!AD$10/SUM('Key inputs_EB_MIN'!AD$10:AD$11),0)</f>
        <v>0</v>
      </c>
      <c r="AE392" s="176">
        <f>IFERROR(AE372*'Key inputs_EB_MIN'!AE$10/SUM('Key inputs_EB_MIN'!AE$10:AE$11),0)</f>
        <v>0</v>
      </c>
      <c r="AF392" s="287">
        <f>IFERROR(AF372*'Key inputs_EB_MIN'!AF$10/SUM('Key inputs_EB_MIN'!AF$10:AF$11),0)</f>
        <v>0</v>
      </c>
    </row>
    <row r="393" spans="1:32" s="59" customFormat="1">
      <c r="A393" s="95" t="s">
        <v>728</v>
      </c>
      <c r="B393" s="95" t="s">
        <v>749</v>
      </c>
      <c r="C393" s="71" t="s">
        <v>556</v>
      </c>
      <c r="D393" s="74" t="s">
        <v>387</v>
      </c>
      <c r="E393" s="176">
        <f>IFERROR(E373*'Key inputs_EB_MIN'!E$10/SUM('Key inputs_EB_MIN'!E$10:E$11),0)</f>
        <v>0</v>
      </c>
      <c r="F393" s="176">
        <f>IFERROR(F373*'Key inputs_EB_MIN'!F$10/SUM('Key inputs_EB_MIN'!F$10:F$11),0)</f>
        <v>0</v>
      </c>
      <c r="G393" s="176">
        <f>IFERROR(G373*'Key inputs_EB_MIN'!G$10/SUM('Key inputs_EB_MIN'!G$10:G$11),0)</f>
        <v>0</v>
      </c>
      <c r="H393" s="176">
        <f>IFERROR(H373*'Key inputs_EB_MIN'!H$10/SUM('Key inputs_EB_MIN'!H$10:H$11),0)</f>
        <v>0</v>
      </c>
      <c r="I393" s="176">
        <f>IFERROR(I373*'Key inputs_EB_MIN'!I$10/SUM('Key inputs_EB_MIN'!I$10:I$11),0)</f>
        <v>0</v>
      </c>
      <c r="J393" s="176">
        <f>IFERROR(J373*'Key inputs_EB_MIN'!J$10/SUM('Key inputs_EB_MIN'!J$10:J$11),0)</f>
        <v>0</v>
      </c>
      <c r="K393" s="176">
        <f>IFERROR(K373*'Key inputs_EB_MIN'!K$10/SUM('Key inputs_EB_MIN'!K$10:K$11),0)</f>
        <v>0</v>
      </c>
      <c r="L393" s="176">
        <f>IFERROR(L373*'Key inputs_EB_MIN'!L$10/SUM('Key inputs_EB_MIN'!L$10:L$11),0)</f>
        <v>0</v>
      </c>
      <c r="M393" s="176">
        <f>IFERROR(M373*'Key inputs_EB_MIN'!M$10/SUM('Key inputs_EB_MIN'!M$10:M$11),0)</f>
        <v>0</v>
      </c>
      <c r="N393" s="176">
        <f>IFERROR(N373*'Key inputs_EB_MIN'!N$10/SUM('Key inputs_EB_MIN'!N$10:N$11),0)</f>
        <v>0</v>
      </c>
      <c r="O393" s="176">
        <f>IFERROR(O373*'Key inputs_EB_MIN'!O$10/SUM('Key inputs_EB_MIN'!O$10:O$11),0)</f>
        <v>0</v>
      </c>
      <c r="P393" s="176">
        <f>IFERROR(P373*'Key inputs_EB_MIN'!P$10/SUM('Key inputs_EB_MIN'!P$10:P$11),0)</f>
        <v>0</v>
      </c>
      <c r="Q393" s="176">
        <f>IFERROR(Q373*'Key inputs_EB_MIN'!Q$10/SUM('Key inputs_EB_MIN'!Q$10:Q$11),0)</f>
        <v>0</v>
      </c>
      <c r="R393" s="176">
        <f>IFERROR(R373*'Key inputs_EB_MIN'!R$10/SUM('Key inputs_EB_MIN'!R$10:R$11),0)</f>
        <v>0</v>
      </c>
      <c r="S393" s="176">
        <f>IFERROR(S373*'Key inputs_EB_MIN'!S$10/SUM('Key inputs_EB_MIN'!S$10:S$11),0)</f>
        <v>0</v>
      </c>
      <c r="T393" s="176">
        <f>IFERROR(T373*'Key inputs_EB_MIN'!T$10/SUM('Key inputs_EB_MIN'!T$10:T$11),0)</f>
        <v>0</v>
      </c>
      <c r="U393" s="176">
        <f>IFERROR(U373*'Key inputs_EB_MIN'!U$10/SUM('Key inputs_EB_MIN'!U$10:U$11),0)</f>
        <v>0</v>
      </c>
      <c r="V393" s="176">
        <f>IFERROR(V373*'Key inputs_EB_MIN'!V$10/SUM('Key inputs_EB_MIN'!V$10:V$11),0)</f>
        <v>0</v>
      </c>
      <c r="W393" s="176">
        <f>IFERROR(W373*'Key inputs_EB_MIN'!W$10/SUM('Key inputs_EB_MIN'!W$10:W$11),0)</f>
        <v>0</v>
      </c>
      <c r="X393" s="176">
        <f>IFERROR(X373*'Key inputs_EB_MIN'!X$10/SUM('Key inputs_EB_MIN'!X$10:X$11),0)</f>
        <v>0</v>
      </c>
      <c r="Y393" s="176">
        <f>IFERROR(Y373*'Key inputs_EB_MIN'!Y$10/SUM('Key inputs_EB_MIN'!Y$10:Y$11),0)</f>
        <v>0</v>
      </c>
      <c r="Z393" s="176">
        <f>IFERROR(Z373*'Key inputs_EB_MIN'!Z$10/SUM('Key inputs_EB_MIN'!Z$10:Z$11),0)</f>
        <v>0</v>
      </c>
      <c r="AA393" s="176">
        <f>IFERROR(AA373*'Key inputs_EB_MIN'!AA$10/SUM('Key inputs_EB_MIN'!AA$10:AA$11),0)</f>
        <v>0</v>
      </c>
      <c r="AB393" s="176">
        <f>IFERROR(AB373*'Key inputs_EB_MIN'!AB$10/SUM('Key inputs_EB_MIN'!AB$10:AB$11),0)</f>
        <v>0</v>
      </c>
      <c r="AC393" s="176">
        <f>IFERROR(AC373*'Key inputs_EB_MIN'!AC$10/SUM('Key inputs_EB_MIN'!AC$10:AC$11),0)</f>
        <v>0</v>
      </c>
      <c r="AD393" s="176">
        <f>IFERROR(AD373*'Key inputs_EB_MIN'!AD$10/SUM('Key inputs_EB_MIN'!AD$10:AD$11),0)</f>
        <v>0</v>
      </c>
      <c r="AE393" s="176">
        <f>IFERROR(AE373*'Key inputs_EB_MIN'!AE$10/SUM('Key inputs_EB_MIN'!AE$10:AE$11),0)</f>
        <v>0</v>
      </c>
      <c r="AF393" s="287">
        <f>IFERROR(AF373*'Key inputs_EB_MIN'!AF$10/SUM('Key inputs_EB_MIN'!AF$10:AF$11),0)</f>
        <v>0</v>
      </c>
    </row>
    <row r="394" spans="1:32" s="59" customFormat="1">
      <c r="A394" s="95" t="s">
        <v>728</v>
      </c>
      <c r="B394" s="95" t="s">
        <v>749</v>
      </c>
      <c r="C394" s="71" t="s">
        <v>558</v>
      </c>
      <c r="D394" s="74" t="s">
        <v>387</v>
      </c>
      <c r="E394" s="176">
        <f>IFERROR(E374*'Key inputs_EB_MIN'!E$10/SUM('Key inputs_EB_MIN'!E$10:E$11),0)</f>
        <v>0</v>
      </c>
      <c r="F394" s="176">
        <f>IFERROR(F374*'Key inputs_EB_MIN'!F$10/SUM('Key inputs_EB_MIN'!F$10:F$11),0)</f>
        <v>0</v>
      </c>
      <c r="G394" s="176">
        <f>IFERROR(G374*'Key inputs_EB_MIN'!G$10/SUM('Key inputs_EB_MIN'!G$10:G$11),0)</f>
        <v>0</v>
      </c>
      <c r="H394" s="176">
        <f>IFERROR(H374*'Key inputs_EB_MIN'!H$10/SUM('Key inputs_EB_MIN'!H$10:H$11),0)</f>
        <v>0</v>
      </c>
      <c r="I394" s="176">
        <f>IFERROR(I374*'Key inputs_EB_MIN'!I$10/SUM('Key inputs_EB_MIN'!I$10:I$11),0)</f>
        <v>-7.6947915595396887</v>
      </c>
      <c r="J394" s="176">
        <f>IFERROR(J374*'Key inputs_EB_MIN'!J$10/SUM('Key inputs_EB_MIN'!J$10:J$11),0)</f>
        <v>0</v>
      </c>
      <c r="K394" s="176">
        <f>IFERROR(K374*'Key inputs_EB_MIN'!K$10/SUM('Key inputs_EB_MIN'!K$10:K$11),0)</f>
        <v>0</v>
      </c>
      <c r="L394" s="176">
        <f>IFERROR(L374*'Key inputs_EB_MIN'!L$10/SUM('Key inputs_EB_MIN'!L$10:L$11),0)</f>
        <v>0</v>
      </c>
      <c r="M394" s="176">
        <f>IFERROR(M374*'Key inputs_EB_MIN'!M$10/SUM('Key inputs_EB_MIN'!M$10:M$11),0)</f>
        <v>0</v>
      </c>
      <c r="N394" s="176">
        <f>IFERROR(N374*'Key inputs_EB_MIN'!N$10/SUM('Key inputs_EB_MIN'!N$10:N$11),0)</f>
        <v>0</v>
      </c>
      <c r="O394" s="176">
        <f>IFERROR(O374*'Key inputs_EB_MIN'!O$10/SUM('Key inputs_EB_MIN'!O$10:O$11),0)</f>
        <v>0</v>
      </c>
      <c r="P394" s="176">
        <f>IFERROR(P374*'Key inputs_EB_MIN'!P$10/SUM('Key inputs_EB_MIN'!P$10:P$11),0)</f>
        <v>-596.29649917081554</v>
      </c>
      <c r="Q394" s="176">
        <f>IFERROR(Q374*'Key inputs_EB_MIN'!Q$10/SUM('Key inputs_EB_MIN'!Q$10:Q$11),0)</f>
        <v>0</v>
      </c>
      <c r="R394" s="176">
        <f>IFERROR(R374*'Key inputs_EB_MIN'!R$10/SUM('Key inputs_EB_MIN'!R$10:R$11),0)</f>
        <v>0</v>
      </c>
      <c r="S394" s="176">
        <f>IFERROR(S374*'Key inputs_EB_MIN'!S$10/SUM('Key inputs_EB_MIN'!S$10:S$11),0)</f>
        <v>-4.0141484030464252</v>
      </c>
      <c r="T394" s="176">
        <f>IFERROR(T374*'Key inputs_EB_MIN'!T$10/SUM('Key inputs_EB_MIN'!T$10:T$11),0)</f>
        <v>0</v>
      </c>
      <c r="U394" s="176">
        <f>IFERROR(U374*'Key inputs_EB_MIN'!U$10/SUM('Key inputs_EB_MIN'!U$10:U$11),0)</f>
        <v>0</v>
      </c>
      <c r="V394" s="176">
        <f>IFERROR(V374*'Key inputs_EB_MIN'!V$10/SUM('Key inputs_EB_MIN'!V$10:V$11),0)</f>
        <v>0</v>
      </c>
      <c r="W394" s="176">
        <f>IFERROR(W374*'Key inputs_EB_MIN'!W$10/SUM('Key inputs_EB_MIN'!W$10:W$11),0)</f>
        <v>0</v>
      </c>
      <c r="X394" s="176">
        <f>IFERROR(X374*'Key inputs_EB_MIN'!X$10/SUM('Key inputs_EB_MIN'!X$10:X$11),0)</f>
        <v>0</v>
      </c>
      <c r="Y394" s="176">
        <f>IFERROR(Y374*'Key inputs_EB_MIN'!Y$10/SUM('Key inputs_EB_MIN'!Y$10:Y$11),0)</f>
        <v>0</v>
      </c>
      <c r="Z394" s="176">
        <f>IFERROR(Z374*'Key inputs_EB_MIN'!Z$10/SUM('Key inputs_EB_MIN'!Z$10:Z$11),0)</f>
        <v>0</v>
      </c>
      <c r="AA394" s="176">
        <f>IFERROR(AA374*'Key inputs_EB_MIN'!AA$10/SUM('Key inputs_EB_MIN'!AA$10:AA$11),0)</f>
        <v>0</v>
      </c>
      <c r="AB394" s="176">
        <f>IFERROR(AB374*'Key inputs_EB_MIN'!AB$10/SUM('Key inputs_EB_MIN'!AB$10:AB$11),0)</f>
        <v>0</v>
      </c>
      <c r="AC394" s="176">
        <f>IFERROR(AC374*'Key inputs_EB_MIN'!AC$10/SUM('Key inputs_EB_MIN'!AC$10:AC$11),0)</f>
        <v>0</v>
      </c>
      <c r="AD394" s="176">
        <f>IFERROR(AD374*'Key inputs_EB_MIN'!AD$10/SUM('Key inputs_EB_MIN'!AD$10:AD$11),0)</f>
        <v>0</v>
      </c>
      <c r="AE394" s="176">
        <f>IFERROR(AE374*'Key inputs_EB_MIN'!AE$10/SUM('Key inputs_EB_MIN'!AE$10:AE$11),0)</f>
        <v>0</v>
      </c>
      <c r="AF394" s="287">
        <f>IFERROR(AF374*'Key inputs_EB_MIN'!AF$10/SUM('Key inputs_EB_MIN'!AF$10:AF$11),0)</f>
        <v>0</v>
      </c>
    </row>
    <row r="395" spans="1:32" s="59" customFormat="1">
      <c r="A395" s="97" t="s">
        <v>728</v>
      </c>
      <c r="B395" s="76" t="s">
        <v>749</v>
      </c>
      <c r="C395" s="76" t="s">
        <v>560</v>
      </c>
      <c r="D395" s="77" t="s">
        <v>387</v>
      </c>
      <c r="E395" s="288">
        <f>IFERROR(E375*'Key inputs_EB_MIN'!E$10/SUM('Key inputs_EB_MIN'!E$10:E$11),0)</f>
        <v>0</v>
      </c>
      <c r="F395" s="289">
        <f>IFERROR(F375*'Key inputs_EB_MIN'!F$10/SUM('Key inputs_EB_MIN'!F$10:F$11),0)</f>
        <v>0</v>
      </c>
      <c r="G395" s="289">
        <f>IFERROR(G375*'Key inputs_EB_MIN'!G$10/SUM('Key inputs_EB_MIN'!G$10:G$11),0)</f>
        <v>0</v>
      </c>
      <c r="H395" s="289">
        <f>IFERROR(H375*'Key inputs_EB_MIN'!H$10/SUM('Key inputs_EB_MIN'!H$10:H$11),0)</f>
        <v>0</v>
      </c>
      <c r="I395" s="289">
        <f>IFERROR(I375*'Key inputs_EB_MIN'!I$10/SUM('Key inputs_EB_MIN'!I$10:I$11),0)</f>
        <v>0</v>
      </c>
      <c r="J395" s="289">
        <f>IFERROR(J375*'Key inputs_EB_MIN'!J$10/SUM('Key inputs_EB_MIN'!J$10:J$11),0)</f>
        <v>0</v>
      </c>
      <c r="K395" s="289">
        <f>IFERROR(K375*'Key inputs_EB_MIN'!K$10/SUM('Key inputs_EB_MIN'!K$10:K$11),0)</f>
        <v>0</v>
      </c>
      <c r="L395" s="289">
        <f>IFERROR(L375*'Key inputs_EB_MIN'!L$10/SUM('Key inputs_EB_MIN'!L$10:L$11),0)</f>
        <v>0</v>
      </c>
      <c r="M395" s="289">
        <f>IFERROR(M375*'Key inputs_EB_MIN'!M$10/SUM('Key inputs_EB_MIN'!M$10:M$11),0)</f>
        <v>0</v>
      </c>
      <c r="N395" s="289">
        <f>IFERROR(N375*'Key inputs_EB_MIN'!N$10/SUM('Key inputs_EB_MIN'!N$10:N$11),0)</f>
        <v>0</v>
      </c>
      <c r="O395" s="289">
        <f>IFERROR(O375*'Key inputs_EB_MIN'!O$10/SUM('Key inputs_EB_MIN'!O$10:O$11),0)</f>
        <v>0</v>
      </c>
      <c r="P395" s="289">
        <f>IFERROR(P375*'Key inputs_EB_MIN'!P$10/SUM('Key inputs_EB_MIN'!P$10:P$11),0)</f>
        <v>0</v>
      </c>
      <c r="Q395" s="289">
        <f>IFERROR(Q375*'Key inputs_EB_MIN'!Q$10/SUM('Key inputs_EB_MIN'!Q$10:Q$11),0)</f>
        <v>0</v>
      </c>
      <c r="R395" s="289">
        <f>IFERROR(R375*'Key inputs_EB_MIN'!R$10/SUM('Key inputs_EB_MIN'!R$10:R$11),0)</f>
        <v>0</v>
      </c>
      <c r="S395" s="289">
        <f>IFERROR(S375*'Key inputs_EB_MIN'!S$10/SUM('Key inputs_EB_MIN'!S$10:S$11),0)</f>
        <v>0</v>
      </c>
      <c r="T395" s="289">
        <f>IFERROR(T375*'Key inputs_EB_MIN'!T$10/SUM('Key inputs_EB_MIN'!T$10:T$11),0)</f>
        <v>0</v>
      </c>
      <c r="U395" s="289">
        <f>IFERROR(U375*'Key inputs_EB_MIN'!U$10/SUM('Key inputs_EB_MIN'!U$10:U$11),0)</f>
        <v>0</v>
      </c>
      <c r="V395" s="289">
        <f>IFERROR(V375*'Key inputs_EB_MIN'!V$10/SUM('Key inputs_EB_MIN'!V$10:V$11),0)</f>
        <v>0</v>
      </c>
      <c r="W395" s="289">
        <f>IFERROR(W375*'Key inputs_EB_MIN'!W$10/SUM('Key inputs_EB_MIN'!W$10:W$11),0)</f>
        <v>0</v>
      </c>
      <c r="X395" s="289">
        <f>IFERROR(X375*'Key inputs_EB_MIN'!X$10/SUM('Key inputs_EB_MIN'!X$10:X$11),0)</f>
        <v>0</v>
      </c>
      <c r="Y395" s="289">
        <f>IFERROR(Y375*'Key inputs_EB_MIN'!Y$10/SUM('Key inputs_EB_MIN'!Y$10:Y$11),0)</f>
        <v>0</v>
      </c>
      <c r="Z395" s="289">
        <f>IFERROR(Z375*'Key inputs_EB_MIN'!Z$10/SUM('Key inputs_EB_MIN'!Z$10:Z$11),0)</f>
        <v>0</v>
      </c>
      <c r="AA395" s="289">
        <f>IFERROR(AA375*'Key inputs_EB_MIN'!AA$10/SUM('Key inputs_EB_MIN'!AA$10:AA$11),0)</f>
        <v>0</v>
      </c>
      <c r="AB395" s="289">
        <f>IFERROR(AB375*'Key inputs_EB_MIN'!AB$10/SUM('Key inputs_EB_MIN'!AB$10:AB$11),0)</f>
        <v>0</v>
      </c>
      <c r="AC395" s="289">
        <f>IFERROR(AC375*'Key inputs_EB_MIN'!AC$10/SUM('Key inputs_EB_MIN'!AC$10:AC$11),0)</f>
        <v>0</v>
      </c>
      <c r="AD395" s="289">
        <f>IFERROR(AD375*'Key inputs_EB_MIN'!AD$10/SUM('Key inputs_EB_MIN'!AD$10:AD$11),0)</f>
        <v>0</v>
      </c>
      <c r="AE395" s="289">
        <f>IFERROR(AE375*'Key inputs_EB_MIN'!AE$10/SUM('Key inputs_EB_MIN'!AE$10:AE$11),0)</f>
        <v>0</v>
      </c>
      <c r="AF395" s="290">
        <f>IFERROR(AF375*'Key inputs_EB_MIN'!AF$10/SUM('Key inputs_EB_MIN'!AF$10:AF$11),0)</f>
        <v>0</v>
      </c>
    </row>
    <row r="396" spans="1:32" s="59" customFormat="1">
      <c r="A396" s="95" t="s">
        <v>728</v>
      </c>
      <c r="B396" s="95" t="s">
        <v>750</v>
      </c>
      <c r="C396" s="71" t="s">
        <v>515</v>
      </c>
      <c r="D396" s="74" t="s">
        <v>387</v>
      </c>
      <c r="E396" s="176">
        <f>IFERROR(E356*'Key inputs_EB_MIN'!E$11/SUM('Key inputs_EB_MIN'!E$10:E$11),0)</f>
        <v>0</v>
      </c>
      <c r="F396" s="176">
        <f>IFERROR(F356*'Key inputs_EB_MIN'!F$11/SUM('Key inputs_EB_MIN'!F$10:F$11),0)</f>
        <v>0</v>
      </c>
      <c r="G396" s="176">
        <f>IFERROR(G356*'Key inputs_EB_MIN'!G$11/SUM('Key inputs_EB_MIN'!G$10:G$11),0)</f>
        <v>0</v>
      </c>
      <c r="H396" s="176">
        <f>IFERROR(H356*'Key inputs_EB_MIN'!H$11/SUM('Key inputs_EB_MIN'!H$10:H$11),0)</f>
        <v>0</v>
      </c>
      <c r="I396" s="176">
        <f>IFERROR(I356*'Key inputs_EB_MIN'!I$11/SUM('Key inputs_EB_MIN'!I$10:I$11),0)</f>
        <v>0</v>
      </c>
      <c r="J396" s="176">
        <f>IFERROR(J356*'Key inputs_EB_MIN'!J$11/SUM('Key inputs_EB_MIN'!J$10:J$11),0)</f>
        <v>0</v>
      </c>
      <c r="K396" s="176">
        <f>IFERROR(K356*'Key inputs_EB_MIN'!K$11/SUM('Key inputs_EB_MIN'!K$10:K$11),0)</f>
        <v>0</v>
      </c>
      <c r="L396" s="176">
        <f>IFERROR(L356*'Key inputs_EB_MIN'!L$11/SUM('Key inputs_EB_MIN'!L$10:L$11),0)</f>
        <v>0</v>
      </c>
      <c r="M396" s="176">
        <f>IFERROR(M356*'Key inputs_EB_MIN'!M$11/SUM('Key inputs_EB_MIN'!M$10:M$11),0)</f>
        <v>0</v>
      </c>
      <c r="N396" s="176">
        <f>IFERROR(N356*'Key inputs_EB_MIN'!N$11/SUM('Key inputs_EB_MIN'!N$10:N$11),0)</f>
        <v>0</v>
      </c>
      <c r="O396" s="176">
        <f>IFERROR(O356*'Key inputs_EB_MIN'!O$11/SUM('Key inputs_EB_MIN'!O$10:O$11),0)</f>
        <v>0</v>
      </c>
      <c r="P396" s="176">
        <f>IFERROR(P356*'Key inputs_EB_MIN'!P$11/SUM('Key inputs_EB_MIN'!P$10:P$11),0)</f>
        <v>0</v>
      </c>
      <c r="Q396" s="176">
        <f>IFERROR(Q356*'Key inputs_EB_MIN'!Q$11/SUM('Key inputs_EB_MIN'!Q$10:Q$11),0)</f>
        <v>0</v>
      </c>
      <c r="R396" s="176">
        <f>IFERROR(R356*'Key inputs_EB_MIN'!R$11/SUM('Key inputs_EB_MIN'!R$10:R$11),0)</f>
        <v>0</v>
      </c>
      <c r="S396" s="176">
        <f>IFERROR(S356*'Key inputs_EB_MIN'!S$11/SUM('Key inputs_EB_MIN'!S$10:S$11),0)</f>
        <v>0</v>
      </c>
      <c r="T396" s="176">
        <f>IFERROR(T356*'Key inputs_EB_MIN'!T$11/SUM('Key inputs_EB_MIN'!T$10:T$11),0)</f>
        <v>0</v>
      </c>
      <c r="U396" s="176">
        <f>IFERROR(U356*'Key inputs_EB_MIN'!U$11/SUM('Key inputs_EB_MIN'!U$10:U$11),0)</f>
        <v>0</v>
      </c>
      <c r="V396" s="176">
        <f>IFERROR(V356*'Key inputs_EB_MIN'!V$11/SUM('Key inputs_EB_MIN'!V$10:V$11),0)</f>
        <v>0</v>
      </c>
      <c r="W396" s="176">
        <f>IFERROR(W356*'Key inputs_EB_MIN'!W$11/SUM('Key inputs_EB_MIN'!W$10:W$11),0)</f>
        <v>0</v>
      </c>
      <c r="X396" s="176">
        <f>IFERROR(X356*'Key inputs_EB_MIN'!X$11/SUM('Key inputs_EB_MIN'!X$10:X$11),0)</f>
        <v>0</v>
      </c>
      <c r="Y396" s="176">
        <f>IFERROR(Y356*'Key inputs_EB_MIN'!Y$11/SUM('Key inputs_EB_MIN'!Y$10:Y$11),0)</f>
        <v>0</v>
      </c>
      <c r="Z396" s="176">
        <f>IFERROR(Z356*'Key inputs_EB_MIN'!Z$11/SUM('Key inputs_EB_MIN'!Z$10:Z$11),0)</f>
        <v>0</v>
      </c>
      <c r="AA396" s="176">
        <f>IFERROR(AA356*'Key inputs_EB_MIN'!AA$11/SUM('Key inputs_EB_MIN'!AA$10:AA$11),0)</f>
        <v>0</v>
      </c>
      <c r="AB396" s="176">
        <f>IFERROR(AB356*'Key inputs_EB_MIN'!AB$11/SUM('Key inputs_EB_MIN'!AB$10:AB$11),0)</f>
        <v>0</v>
      </c>
      <c r="AC396" s="176">
        <f>IFERROR(AC356*'Key inputs_EB_MIN'!AC$11/SUM('Key inputs_EB_MIN'!AC$10:AC$11),0)</f>
        <v>0</v>
      </c>
      <c r="AD396" s="176">
        <f>IFERROR(AD356*'Key inputs_EB_MIN'!AD$11/SUM('Key inputs_EB_MIN'!AD$10:AD$11),0)</f>
        <v>0</v>
      </c>
      <c r="AE396" s="176">
        <f>IFERROR(AE356*'Key inputs_EB_MIN'!AE$11/SUM('Key inputs_EB_MIN'!AE$10:AE$11),0)</f>
        <v>0</v>
      </c>
      <c r="AF396" s="286">
        <f>IFERROR(AF356*'Key inputs_EB_MIN'!AF$11/SUM('Key inputs_EB_MIN'!AF$10:AF$11),0)</f>
        <v>-45.935348741178551</v>
      </c>
    </row>
    <row r="397" spans="1:32" s="59" customFormat="1">
      <c r="A397" s="95" t="s">
        <v>728</v>
      </c>
      <c r="B397" s="95" t="s">
        <v>750</v>
      </c>
      <c r="C397" s="71" t="s">
        <v>521</v>
      </c>
      <c r="D397" s="74" t="s">
        <v>387</v>
      </c>
      <c r="E397" s="176">
        <f>IFERROR(E357*'Key inputs_EB_MIN'!E$11/SUM('Key inputs_EB_MIN'!E$10:E$11),0)</f>
        <v>0</v>
      </c>
      <c r="F397" s="176">
        <f>IFERROR(F357*'Key inputs_EB_MIN'!F$11/SUM('Key inputs_EB_MIN'!F$10:F$11),0)</f>
        <v>0</v>
      </c>
      <c r="G397" s="176">
        <f>IFERROR(G357*'Key inputs_EB_MIN'!G$11/SUM('Key inputs_EB_MIN'!G$10:G$11),0)</f>
        <v>0</v>
      </c>
      <c r="H397" s="176">
        <f>IFERROR(H357*'Key inputs_EB_MIN'!H$11/SUM('Key inputs_EB_MIN'!H$10:H$11),0)</f>
        <v>0</v>
      </c>
      <c r="I397" s="176">
        <f>IFERROR(I357*'Key inputs_EB_MIN'!I$11/SUM('Key inputs_EB_MIN'!I$10:I$11),0)</f>
        <v>0</v>
      </c>
      <c r="J397" s="176">
        <f>IFERROR(J357*'Key inputs_EB_MIN'!J$11/SUM('Key inputs_EB_MIN'!J$10:J$11),0)</f>
        <v>0</v>
      </c>
      <c r="K397" s="176">
        <f>IFERROR(K357*'Key inputs_EB_MIN'!K$11/SUM('Key inputs_EB_MIN'!K$10:K$11),0)</f>
        <v>0</v>
      </c>
      <c r="L397" s="176">
        <f>IFERROR(L357*'Key inputs_EB_MIN'!L$11/SUM('Key inputs_EB_MIN'!L$10:L$11),0)</f>
        <v>0</v>
      </c>
      <c r="M397" s="176">
        <f>IFERROR(M357*'Key inputs_EB_MIN'!M$11/SUM('Key inputs_EB_MIN'!M$10:M$11),0)</f>
        <v>0</v>
      </c>
      <c r="N397" s="176">
        <f>IFERROR(N357*'Key inputs_EB_MIN'!N$11/SUM('Key inputs_EB_MIN'!N$10:N$11),0)</f>
        <v>0</v>
      </c>
      <c r="O397" s="176">
        <f>IFERROR(O357*'Key inputs_EB_MIN'!O$11/SUM('Key inputs_EB_MIN'!O$10:O$11),0)</f>
        <v>0</v>
      </c>
      <c r="P397" s="176">
        <f>IFERROR(P357*'Key inputs_EB_MIN'!P$11/SUM('Key inputs_EB_MIN'!P$10:P$11),0)</f>
        <v>0</v>
      </c>
      <c r="Q397" s="176">
        <f>IFERROR(Q357*'Key inputs_EB_MIN'!Q$11/SUM('Key inputs_EB_MIN'!Q$10:Q$11),0)</f>
        <v>0</v>
      </c>
      <c r="R397" s="176">
        <f>IFERROR(R357*'Key inputs_EB_MIN'!R$11/SUM('Key inputs_EB_MIN'!R$10:R$11),0)</f>
        <v>0</v>
      </c>
      <c r="S397" s="176">
        <f>IFERROR(S357*'Key inputs_EB_MIN'!S$11/SUM('Key inputs_EB_MIN'!S$10:S$11),0)</f>
        <v>0</v>
      </c>
      <c r="T397" s="176">
        <f>IFERROR(T357*'Key inputs_EB_MIN'!T$11/SUM('Key inputs_EB_MIN'!T$10:T$11),0)</f>
        <v>0</v>
      </c>
      <c r="U397" s="176">
        <f>IFERROR(U357*'Key inputs_EB_MIN'!U$11/SUM('Key inputs_EB_MIN'!U$10:U$11),0)</f>
        <v>0</v>
      </c>
      <c r="V397" s="176">
        <f>IFERROR(V357*'Key inputs_EB_MIN'!V$11/SUM('Key inputs_EB_MIN'!V$10:V$11),0)</f>
        <v>0</v>
      </c>
      <c r="W397" s="176">
        <f>IFERROR(W357*'Key inputs_EB_MIN'!W$11/SUM('Key inputs_EB_MIN'!W$10:W$11),0)</f>
        <v>0</v>
      </c>
      <c r="X397" s="176">
        <f>IFERROR(X357*'Key inputs_EB_MIN'!X$11/SUM('Key inputs_EB_MIN'!X$10:X$11),0)</f>
        <v>0</v>
      </c>
      <c r="Y397" s="176">
        <f>IFERROR(Y357*'Key inputs_EB_MIN'!Y$11/SUM('Key inputs_EB_MIN'!Y$10:Y$11),0)</f>
        <v>0</v>
      </c>
      <c r="Z397" s="176">
        <f>IFERROR(Z357*'Key inputs_EB_MIN'!Z$11/SUM('Key inputs_EB_MIN'!Z$10:Z$11),0)</f>
        <v>0</v>
      </c>
      <c r="AA397" s="176">
        <f>IFERROR(AA357*'Key inputs_EB_MIN'!AA$11/SUM('Key inputs_EB_MIN'!AA$10:AA$11),0)</f>
        <v>0</v>
      </c>
      <c r="AB397" s="176">
        <f>IFERROR(AB357*'Key inputs_EB_MIN'!AB$11/SUM('Key inputs_EB_MIN'!AB$10:AB$11),0)</f>
        <v>0</v>
      </c>
      <c r="AC397" s="176">
        <f>IFERROR(AC357*'Key inputs_EB_MIN'!AC$11/SUM('Key inputs_EB_MIN'!AC$10:AC$11),0)</f>
        <v>0</v>
      </c>
      <c r="AD397" s="176">
        <f>IFERROR(AD357*'Key inputs_EB_MIN'!AD$11/SUM('Key inputs_EB_MIN'!AD$10:AD$11),0)</f>
        <v>0</v>
      </c>
      <c r="AE397" s="176">
        <f>IFERROR(AE357*'Key inputs_EB_MIN'!AE$11/SUM('Key inputs_EB_MIN'!AE$10:AE$11),0)</f>
        <v>0</v>
      </c>
      <c r="AF397" s="287">
        <f>IFERROR(AF357*'Key inputs_EB_MIN'!AF$11/SUM('Key inputs_EB_MIN'!AF$10:AF$11),0)</f>
        <v>0</v>
      </c>
    </row>
    <row r="398" spans="1:32" s="59" customFormat="1">
      <c r="A398" s="95" t="s">
        <v>728</v>
      </c>
      <c r="B398" s="95" t="s">
        <v>750</v>
      </c>
      <c r="C398" s="71" t="s">
        <v>523</v>
      </c>
      <c r="D398" s="74" t="s">
        <v>387</v>
      </c>
      <c r="E398" s="176">
        <f>IFERROR(E358*'Key inputs_EB_MIN'!E$11/SUM('Key inputs_EB_MIN'!E$10:E$11),0)</f>
        <v>0</v>
      </c>
      <c r="F398" s="176">
        <f>IFERROR(F358*'Key inputs_EB_MIN'!F$11/SUM('Key inputs_EB_MIN'!F$10:F$11),0)</f>
        <v>0</v>
      </c>
      <c r="G398" s="176">
        <f>IFERROR(G358*'Key inputs_EB_MIN'!G$11/SUM('Key inputs_EB_MIN'!G$10:G$11),0)</f>
        <v>0</v>
      </c>
      <c r="H398" s="176">
        <f>IFERROR(H358*'Key inputs_EB_MIN'!H$11/SUM('Key inputs_EB_MIN'!H$10:H$11),0)</f>
        <v>0</v>
      </c>
      <c r="I398" s="176">
        <f>IFERROR(I358*'Key inputs_EB_MIN'!I$11/SUM('Key inputs_EB_MIN'!I$10:I$11),0)</f>
        <v>0</v>
      </c>
      <c r="J398" s="176">
        <f>IFERROR(J358*'Key inputs_EB_MIN'!J$11/SUM('Key inputs_EB_MIN'!J$10:J$11),0)</f>
        <v>0</v>
      </c>
      <c r="K398" s="176">
        <f>IFERROR(K358*'Key inputs_EB_MIN'!K$11/SUM('Key inputs_EB_MIN'!K$10:K$11),0)</f>
        <v>0</v>
      </c>
      <c r="L398" s="176">
        <f>IFERROR(L358*'Key inputs_EB_MIN'!L$11/SUM('Key inputs_EB_MIN'!L$10:L$11),0)</f>
        <v>0</v>
      </c>
      <c r="M398" s="176">
        <f>IFERROR(M358*'Key inputs_EB_MIN'!M$11/SUM('Key inputs_EB_MIN'!M$10:M$11),0)</f>
        <v>0</v>
      </c>
      <c r="N398" s="176">
        <f>IFERROR(N358*'Key inputs_EB_MIN'!N$11/SUM('Key inputs_EB_MIN'!N$10:N$11),0)</f>
        <v>0</v>
      </c>
      <c r="O398" s="176">
        <f>IFERROR(O358*'Key inputs_EB_MIN'!O$11/SUM('Key inputs_EB_MIN'!O$10:O$11),0)</f>
        <v>0</v>
      </c>
      <c r="P398" s="176">
        <f>IFERROR(P358*'Key inputs_EB_MIN'!P$11/SUM('Key inputs_EB_MIN'!P$10:P$11),0)</f>
        <v>0</v>
      </c>
      <c r="Q398" s="176">
        <f>IFERROR(Q358*'Key inputs_EB_MIN'!Q$11/SUM('Key inputs_EB_MIN'!Q$10:Q$11),0)</f>
        <v>0</v>
      </c>
      <c r="R398" s="176">
        <f>IFERROR(R358*'Key inputs_EB_MIN'!R$11/SUM('Key inputs_EB_MIN'!R$10:R$11),0)</f>
        <v>0</v>
      </c>
      <c r="S398" s="176">
        <f>IFERROR(S358*'Key inputs_EB_MIN'!S$11/SUM('Key inputs_EB_MIN'!S$10:S$11),0)</f>
        <v>0</v>
      </c>
      <c r="T398" s="176">
        <f>IFERROR(T358*'Key inputs_EB_MIN'!T$11/SUM('Key inputs_EB_MIN'!T$10:T$11),0)</f>
        <v>0</v>
      </c>
      <c r="U398" s="176">
        <f>IFERROR(U358*'Key inputs_EB_MIN'!U$11/SUM('Key inputs_EB_MIN'!U$10:U$11),0)</f>
        <v>0</v>
      </c>
      <c r="V398" s="176">
        <f>IFERROR(V358*'Key inputs_EB_MIN'!V$11/SUM('Key inputs_EB_MIN'!V$10:V$11),0)</f>
        <v>0</v>
      </c>
      <c r="W398" s="176">
        <f>IFERROR(W358*'Key inputs_EB_MIN'!W$11/SUM('Key inputs_EB_MIN'!W$10:W$11),0)</f>
        <v>0</v>
      </c>
      <c r="X398" s="176">
        <f>IFERROR(X358*'Key inputs_EB_MIN'!X$11/SUM('Key inputs_EB_MIN'!X$10:X$11),0)</f>
        <v>0</v>
      </c>
      <c r="Y398" s="176">
        <f>IFERROR(Y358*'Key inputs_EB_MIN'!Y$11/SUM('Key inputs_EB_MIN'!Y$10:Y$11),0)</f>
        <v>0</v>
      </c>
      <c r="Z398" s="176">
        <f>IFERROR(Z358*'Key inputs_EB_MIN'!Z$11/SUM('Key inputs_EB_MIN'!Z$10:Z$11),0)</f>
        <v>0</v>
      </c>
      <c r="AA398" s="176">
        <f>IFERROR(AA358*'Key inputs_EB_MIN'!AA$11/SUM('Key inputs_EB_MIN'!AA$10:AA$11),0)</f>
        <v>0</v>
      </c>
      <c r="AB398" s="176">
        <f>IFERROR(AB358*'Key inputs_EB_MIN'!AB$11/SUM('Key inputs_EB_MIN'!AB$10:AB$11),0)</f>
        <v>0</v>
      </c>
      <c r="AC398" s="176">
        <f>IFERROR(AC358*'Key inputs_EB_MIN'!AC$11/SUM('Key inputs_EB_MIN'!AC$10:AC$11),0)</f>
        <v>0</v>
      </c>
      <c r="AD398" s="176">
        <f>IFERROR(AD358*'Key inputs_EB_MIN'!AD$11/SUM('Key inputs_EB_MIN'!AD$10:AD$11),0)</f>
        <v>0</v>
      </c>
      <c r="AE398" s="176">
        <f>IFERROR(AE358*'Key inputs_EB_MIN'!AE$11/SUM('Key inputs_EB_MIN'!AE$10:AE$11),0)</f>
        <v>0</v>
      </c>
      <c r="AF398" s="287">
        <f>IFERROR(AF358*'Key inputs_EB_MIN'!AF$11/SUM('Key inputs_EB_MIN'!AF$10:AF$11),0)</f>
        <v>0</v>
      </c>
    </row>
    <row r="399" spans="1:32" s="59" customFormat="1">
      <c r="A399" s="95" t="s">
        <v>728</v>
      </c>
      <c r="B399" s="95" t="s">
        <v>750</v>
      </c>
      <c r="C399" s="71" t="s">
        <v>525</v>
      </c>
      <c r="D399" s="74" t="s">
        <v>387</v>
      </c>
      <c r="E399" s="176">
        <f>IFERROR(E359*'Key inputs_EB_MIN'!E$11/SUM('Key inputs_EB_MIN'!E$10:E$11),0)</f>
        <v>0</v>
      </c>
      <c r="F399" s="176">
        <f>IFERROR(F359*'Key inputs_EB_MIN'!F$11/SUM('Key inputs_EB_MIN'!F$10:F$11),0)</f>
        <v>0</v>
      </c>
      <c r="G399" s="176">
        <f>IFERROR(G359*'Key inputs_EB_MIN'!G$11/SUM('Key inputs_EB_MIN'!G$10:G$11),0)</f>
        <v>0</v>
      </c>
      <c r="H399" s="176">
        <f>IFERROR(H359*'Key inputs_EB_MIN'!H$11/SUM('Key inputs_EB_MIN'!H$10:H$11),0)</f>
        <v>0</v>
      </c>
      <c r="I399" s="176">
        <f>IFERROR(I359*'Key inputs_EB_MIN'!I$11/SUM('Key inputs_EB_MIN'!I$10:I$11),0)</f>
        <v>0</v>
      </c>
      <c r="J399" s="176">
        <f>IFERROR(J359*'Key inputs_EB_MIN'!J$11/SUM('Key inputs_EB_MIN'!J$10:J$11),0)</f>
        <v>0</v>
      </c>
      <c r="K399" s="176">
        <f>IFERROR(K359*'Key inputs_EB_MIN'!K$11/SUM('Key inputs_EB_MIN'!K$10:K$11),0)</f>
        <v>0</v>
      </c>
      <c r="L399" s="176">
        <f>IFERROR(L359*'Key inputs_EB_MIN'!L$11/SUM('Key inputs_EB_MIN'!L$10:L$11),0)</f>
        <v>0</v>
      </c>
      <c r="M399" s="176">
        <f>IFERROR(M359*'Key inputs_EB_MIN'!M$11/SUM('Key inputs_EB_MIN'!M$10:M$11),0)</f>
        <v>0</v>
      </c>
      <c r="N399" s="176">
        <f>IFERROR(N359*'Key inputs_EB_MIN'!N$11/SUM('Key inputs_EB_MIN'!N$10:N$11),0)</f>
        <v>0</v>
      </c>
      <c r="O399" s="176">
        <f>IFERROR(O359*'Key inputs_EB_MIN'!O$11/SUM('Key inputs_EB_MIN'!O$10:O$11),0)</f>
        <v>0</v>
      </c>
      <c r="P399" s="176">
        <f>IFERROR(P359*'Key inputs_EB_MIN'!P$11/SUM('Key inputs_EB_MIN'!P$10:P$11),0)</f>
        <v>0</v>
      </c>
      <c r="Q399" s="176">
        <f>IFERROR(Q359*'Key inputs_EB_MIN'!Q$11/SUM('Key inputs_EB_MIN'!Q$10:Q$11),0)</f>
        <v>0</v>
      </c>
      <c r="R399" s="176">
        <f>IFERROR(R359*'Key inputs_EB_MIN'!R$11/SUM('Key inputs_EB_MIN'!R$10:R$11),0)</f>
        <v>0</v>
      </c>
      <c r="S399" s="176">
        <f>IFERROR(S359*'Key inputs_EB_MIN'!S$11/SUM('Key inputs_EB_MIN'!S$10:S$11),0)</f>
        <v>0</v>
      </c>
      <c r="T399" s="176">
        <f>IFERROR(T359*'Key inputs_EB_MIN'!T$11/SUM('Key inputs_EB_MIN'!T$10:T$11),0)</f>
        <v>0</v>
      </c>
      <c r="U399" s="176">
        <f>IFERROR(U359*'Key inputs_EB_MIN'!U$11/SUM('Key inputs_EB_MIN'!U$10:U$11),0)</f>
        <v>0</v>
      </c>
      <c r="V399" s="176">
        <f>IFERROR(V359*'Key inputs_EB_MIN'!V$11/SUM('Key inputs_EB_MIN'!V$10:V$11),0)</f>
        <v>0</v>
      </c>
      <c r="W399" s="176">
        <f>IFERROR(W359*'Key inputs_EB_MIN'!W$11/SUM('Key inputs_EB_MIN'!W$10:W$11),0)</f>
        <v>0</v>
      </c>
      <c r="X399" s="176">
        <f>IFERROR(X359*'Key inputs_EB_MIN'!X$11/SUM('Key inputs_EB_MIN'!X$10:X$11),0)</f>
        <v>0</v>
      </c>
      <c r="Y399" s="176">
        <f>IFERROR(Y359*'Key inputs_EB_MIN'!Y$11/SUM('Key inputs_EB_MIN'!Y$10:Y$11),0)</f>
        <v>0</v>
      </c>
      <c r="Z399" s="176">
        <f>IFERROR(Z359*'Key inputs_EB_MIN'!Z$11/SUM('Key inputs_EB_MIN'!Z$10:Z$11),0)</f>
        <v>0</v>
      </c>
      <c r="AA399" s="176">
        <f>IFERROR(AA359*'Key inputs_EB_MIN'!AA$11/SUM('Key inputs_EB_MIN'!AA$10:AA$11),0)</f>
        <v>0</v>
      </c>
      <c r="AB399" s="176">
        <f>IFERROR(AB359*'Key inputs_EB_MIN'!AB$11/SUM('Key inputs_EB_MIN'!AB$10:AB$11),0)</f>
        <v>0</v>
      </c>
      <c r="AC399" s="176">
        <f>IFERROR(AC359*'Key inputs_EB_MIN'!AC$11/SUM('Key inputs_EB_MIN'!AC$10:AC$11),0)</f>
        <v>0</v>
      </c>
      <c r="AD399" s="176">
        <f>IFERROR(AD359*'Key inputs_EB_MIN'!AD$11/SUM('Key inputs_EB_MIN'!AD$10:AD$11),0)</f>
        <v>0</v>
      </c>
      <c r="AE399" s="176">
        <f>IFERROR(AE359*'Key inputs_EB_MIN'!AE$11/SUM('Key inputs_EB_MIN'!AE$10:AE$11),0)</f>
        <v>0</v>
      </c>
      <c r="AF399" s="287">
        <f>IFERROR(AF359*'Key inputs_EB_MIN'!AF$11/SUM('Key inputs_EB_MIN'!AF$10:AF$11),0)</f>
        <v>0</v>
      </c>
    </row>
    <row r="400" spans="1:32" s="59" customFormat="1">
      <c r="A400" s="95" t="s">
        <v>728</v>
      </c>
      <c r="B400" s="95" t="s">
        <v>750</v>
      </c>
      <c r="C400" s="71" t="s">
        <v>527</v>
      </c>
      <c r="D400" s="74" t="s">
        <v>387</v>
      </c>
      <c r="E400" s="176">
        <f>IFERROR(E360*'Key inputs_EB_MIN'!E$11/SUM('Key inputs_EB_MIN'!E$10:E$11),0)</f>
        <v>0</v>
      </c>
      <c r="F400" s="176">
        <f>IFERROR(F360*'Key inputs_EB_MIN'!F$11/SUM('Key inputs_EB_MIN'!F$10:F$11),0)</f>
        <v>0</v>
      </c>
      <c r="G400" s="176">
        <f>IFERROR(G360*'Key inputs_EB_MIN'!G$11/SUM('Key inputs_EB_MIN'!G$10:G$11),0)</f>
        <v>0</v>
      </c>
      <c r="H400" s="176">
        <f>IFERROR(H360*'Key inputs_EB_MIN'!H$11/SUM('Key inputs_EB_MIN'!H$10:H$11),0)</f>
        <v>0</v>
      </c>
      <c r="I400" s="176">
        <f>IFERROR(I360*'Key inputs_EB_MIN'!I$11/SUM('Key inputs_EB_MIN'!I$10:I$11),0)</f>
        <v>-23.842227904995667</v>
      </c>
      <c r="J400" s="176">
        <f>IFERROR(J360*'Key inputs_EB_MIN'!J$11/SUM('Key inputs_EB_MIN'!J$10:J$11),0)</f>
        <v>-820.65681383567619</v>
      </c>
      <c r="K400" s="176">
        <f>IFERROR(K360*'Key inputs_EB_MIN'!K$11/SUM('Key inputs_EB_MIN'!K$10:K$11),0)</f>
        <v>0</v>
      </c>
      <c r="L400" s="176">
        <f>IFERROR(L360*'Key inputs_EB_MIN'!L$11/SUM('Key inputs_EB_MIN'!L$10:L$11),0)</f>
        <v>0</v>
      </c>
      <c r="M400" s="176">
        <f>IFERROR(M360*'Key inputs_EB_MIN'!M$11/SUM('Key inputs_EB_MIN'!M$10:M$11),0)</f>
        <v>0</v>
      </c>
      <c r="N400" s="176">
        <f>IFERROR(N360*'Key inputs_EB_MIN'!N$11/SUM('Key inputs_EB_MIN'!N$10:N$11),0)</f>
        <v>0</v>
      </c>
      <c r="O400" s="176">
        <f>IFERROR(O360*'Key inputs_EB_MIN'!O$11/SUM('Key inputs_EB_MIN'!O$10:O$11),0)</f>
        <v>0</v>
      </c>
      <c r="P400" s="176">
        <f>IFERROR(P360*'Key inputs_EB_MIN'!P$11/SUM('Key inputs_EB_MIN'!P$10:P$11),0)</f>
        <v>0</v>
      </c>
      <c r="Q400" s="176">
        <f>IFERROR(Q360*'Key inputs_EB_MIN'!Q$11/SUM('Key inputs_EB_MIN'!Q$10:Q$11),0)</f>
        <v>-31.399069210729216</v>
      </c>
      <c r="R400" s="176">
        <f>IFERROR(R360*'Key inputs_EB_MIN'!R$11/SUM('Key inputs_EB_MIN'!R$10:R$11),0)</f>
        <v>0</v>
      </c>
      <c r="S400" s="176">
        <f>IFERROR(S360*'Key inputs_EB_MIN'!S$11/SUM('Key inputs_EB_MIN'!S$10:S$11),0)</f>
        <v>-709.39070798418425</v>
      </c>
      <c r="T400" s="176">
        <f>IFERROR(T360*'Key inputs_EB_MIN'!T$11/SUM('Key inputs_EB_MIN'!T$10:T$11),0)</f>
        <v>0</v>
      </c>
      <c r="U400" s="176">
        <f>IFERROR(U360*'Key inputs_EB_MIN'!U$11/SUM('Key inputs_EB_MIN'!U$10:U$11),0)</f>
        <v>-31.297055216767621</v>
      </c>
      <c r="V400" s="176">
        <f>IFERROR(V360*'Key inputs_EB_MIN'!V$11/SUM('Key inputs_EB_MIN'!V$10:V$11),0)</f>
        <v>0</v>
      </c>
      <c r="W400" s="176">
        <f>IFERROR(W360*'Key inputs_EB_MIN'!W$11/SUM('Key inputs_EB_MIN'!W$10:W$11),0)</f>
        <v>0</v>
      </c>
      <c r="X400" s="176">
        <f>IFERROR(X360*'Key inputs_EB_MIN'!X$11/SUM('Key inputs_EB_MIN'!X$10:X$11),0)</f>
        <v>0</v>
      </c>
      <c r="Y400" s="176">
        <f>IFERROR(Y360*'Key inputs_EB_MIN'!Y$11/SUM('Key inputs_EB_MIN'!Y$10:Y$11),0)</f>
        <v>0</v>
      </c>
      <c r="Z400" s="176">
        <f>IFERROR(Z360*'Key inputs_EB_MIN'!Z$11/SUM('Key inputs_EB_MIN'!Z$10:Z$11),0)</f>
        <v>0</v>
      </c>
      <c r="AA400" s="176">
        <f>IFERROR(AA360*'Key inputs_EB_MIN'!AA$11/SUM('Key inputs_EB_MIN'!AA$10:AA$11),0)</f>
        <v>0</v>
      </c>
      <c r="AB400" s="176">
        <f>IFERROR(AB360*'Key inputs_EB_MIN'!AB$11/SUM('Key inputs_EB_MIN'!AB$10:AB$11),0)</f>
        <v>0</v>
      </c>
      <c r="AC400" s="176">
        <f>IFERROR(AC360*'Key inputs_EB_MIN'!AC$11/SUM('Key inputs_EB_MIN'!AC$10:AC$11),0)</f>
        <v>0</v>
      </c>
      <c r="AD400" s="176">
        <f>IFERROR(AD360*'Key inputs_EB_MIN'!AD$11/SUM('Key inputs_EB_MIN'!AD$10:AD$11),0)</f>
        <v>-1236.613872222707</v>
      </c>
      <c r="AE400" s="176">
        <f>IFERROR(AE360*'Key inputs_EB_MIN'!AE$11/SUM('Key inputs_EB_MIN'!AE$10:AE$11),0)</f>
        <v>0</v>
      </c>
      <c r="AF400" s="287">
        <f>IFERROR(AF360*'Key inputs_EB_MIN'!AF$11/SUM('Key inputs_EB_MIN'!AF$10:AF$11),0)</f>
        <v>-19.971890757034153</v>
      </c>
    </row>
    <row r="401" spans="1:32" s="59" customFormat="1">
      <c r="A401" s="95" t="s">
        <v>728</v>
      </c>
      <c r="B401" s="95" t="s">
        <v>750</v>
      </c>
      <c r="C401" s="71" t="s">
        <v>529</v>
      </c>
      <c r="D401" s="74" t="s">
        <v>387</v>
      </c>
      <c r="E401" s="176">
        <f>IFERROR(E361*'Key inputs_EB_MIN'!E$11/SUM('Key inputs_EB_MIN'!E$10:E$11),0)</f>
        <v>0</v>
      </c>
      <c r="F401" s="176">
        <f>IFERROR(F361*'Key inputs_EB_MIN'!F$11/SUM('Key inputs_EB_MIN'!F$10:F$11),0)</f>
        <v>0</v>
      </c>
      <c r="G401" s="176">
        <f>IFERROR(G361*'Key inputs_EB_MIN'!G$11/SUM('Key inputs_EB_MIN'!G$10:G$11),0)</f>
        <v>0</v>
      </c>
      <c r="H401" s="176">
        <f>IFERROR(H361*'Key inputs_EB_MIN'!H$11/SUM('Key inputs_EB_MIN'!H$10:H$11),0)</f>
        <v>0</v>
      </c>
      <c r="I401" s="176">
        <f>IFERROR(I361*'Key inputs_EB_MIN'!I$11/SUM('Key inputs_EB_MIN'!I$10:I$11),0)</f>
        <v>0</v>
      </c>
      <c r="J401" s="176">
        <f>IFERROR(J361*'Key inputs_EB_MIN'!J$11/SUM('Key inputs_EB_MIN'!J$10:J$11),0)</f>
        <v>-3.1454087965914046</v>
      </c>
      <c r="K401" s="176">
        <f>IFERROR(K361*'Key inputs_EB_MIN'!K$11/SUM('Key inputs_EB_MIN'!K$10:K$11),0)</f>
        <v>0</v>
      </c>
      <c r="L401" s="176">
        <f>IFERROR(L361*'Key inputs_EB_MIN'!L$11/SUM('Key inputs_EB_MIN'!L$10:L$11),0)</f>
        <v>0</v>
      </c>
      <c r="M401" s="176">
        <f>IFERROR(M361*'Key inputs_EB_MIN'!M$11/SUM('Key inputs_EB_MIN'!M$10:M$11),0)</f>
        <v>0</v>
      </c>
      <c r="N401" s="176">
        <f>IFERROR(N361*'Key inputs_EB_MIN'!N$11/SUM('Key inputs_EB_MIN'!N$10:N$11),0)</f>
        <v>0</v>
      </c>
      <c r="O401" s="176">
        <f>IFERROR(O361*'Key inputs_EB_MIN'!O$11/SUM('Key inputs_EB_MIN'!O$10:O$11),0)</f>
        <v>0</v>
      </c>
      <c r="P401" s="176">
        <f>IFERROR(P361*'Key inputs_EB_MIN'!P$11/SUM('Key inputs_EB_MIN'!P$10:P$11),0)</f>
        <v>0</v>
      </c>
      <c r="Q401" s="176">
        <f>IFERROR(Q361*'Key inputs_EB_MIN'!Q$11/SUM('Key inputs_EB_MIN'!Q$10:Q$11),0)</f>
        <v>0</v>
      </c>
      <c r="R401" s="176">
        <f>IFERROR(R361*'Key inputs_EB_MIN'!R$11/SUM('Key inputs_EB_MIN'!R$10:R$11),0)</f>
        <v>0</v>
      </c>
      <c r="S401" s="176">
        <f>IFERROR(S361*'Key inputs_EB_MIN'!S$11/SUM('Key inputs_EB_MIN'!S$10:S$11),0)</f>
        <v>-5059.1577170708024</v>
      </c>
      <c r="T401" s="176">
        <f>IFERROR(T361*'Key inputs_EB_MIN'!T$11/SUM('Key inputs_EB_MIN'!T$10:T$11),0)</f>
        <v>0</v>
      </c>
      <c r="U401" s="176">
        <f>IFERROR(U361*'Key inputs_EB_MIN'!U$11/SUM('Key inputs_EB_MIN'!U$10:U$11),0)</f>
        <v>0</v>
      </c>
      <c r="V401" s="176">
        <f>IFERROR(V361*'Key inputs_EB_MIN'!V$11/SUM('Key inputs_EB_MIN'!V$10:V$11),0)</f>
        <v>0</v>
      </c>
      <c r="W401" s="176">
        <f>IFERROR(W361*'Key inputs_EB_MIN'!W$11/SUM('Key inputs_EB_MIN'!W$10:W$11),0)</f>
        <v>0</v>
      </c>
      <c r="X401" s="176">
        <f>IFERROR(X361*'Key inputs_EB_MIN'!X$11/SUM('Key inputs_EB_MIN'!X$10:X$11),0)</f>
        <v>0</v>
      </c>
      <c r="Y401" s="176">
        <f>IFERROR(Y361*'Key inputs_EB_MIN'!Y$11/SUM('Key inputs_EB_MIN'!Y$10:Y$11),0)</f>
        <v>0</v>
      </c>
      <c r="Z401" s="176">
        <f>IFERROR(Z361*'Key inputs_EB_MIN'!Z$11/SUM('Key inputs_EB_MIN'!Z$10:Z$11),0)</f>
        <v>0</v>
      </c>
      <c r="AA401" s="176">
        <f>IFERROR(AA361*'Key inputs_EB_MIN'!AA$11/SUM('Key inputs_EB_MIN'!AA$10:AA$11),0)</f>
        <v>0</v>
      </c>
      <c r="AB401" s="176">
        <f>IFERROR(AB361*'Key inputs_EB_MIN'!AB$11/SUM('Key inputs_EB_MIN'!AB$10:AB$11),0)</f>
        <v>0</v>
      </c>
      <c r="AC401" s="176">
        <f>IFERROR(AC361*'Key inputs_EB_MIN'!AC$11/SUM('Key inputs_EB_MIN'!AC$10:AC$11),0)</f>
        <v>0</v>
      </c>
      <c r="AD401" s="176">
        <f>IFERROR(AD361*'Key inputs_EB_MIN'!AD$11/SUM('Key inputs_EB_MIN'!AD$10:AD$11),0)</f>
        <v>-75.068088909304606</v>
      </c>
      <c r="AE401" s="176">
        <f>IFERROR(AE361*'Key inputs_EB_MIN'!AE$11/SUM('Key inputs_EB_MIN'!AE$10:AE$11),0)</f>
        <v>0</v>
      </c>
      <c r="AF401" s="287">
        <f>IFERROR(AF361*'Key inputs_EB_MIN'!AF$11/SUM('Key inputs_EB_MIN'!AF$10:AF$11),0)</f>
        <v>0</v>
      </c>
    </row>
    <row r="402" spans="1:32" s="59" customFormat="1">
      <c r="A402" s="95" t="s">
        <v>728</v>
      </c>
      <c r="B402" s="95" t="s">
        <v>750</v>
      </c>
      <c r="C402" s="71" t="s">
        <v>531</v>
      </c>
      <c r="D402" s="74" t="s">
        <v>387</v>
      </c>
      <c r="E402" s="176">
        <f>IFERROR(E362*'Key inputs_EB_MIN'!E$11/SUM('Key inputs_EB_MIN'!E$10:E$11),0)</f>
        <v>0</v>
      </c>
      <c r="F402" s="176">
        <f>IFERROR(F362*'Key inputs_EB_MIN'!F$11/SUM('Key inputs_EB_MIN'!F$10:F$11),0)</f>
        <v>0</v>
      </c>
      <c r="G402" s="176">
        <f>IFERROR(G362*'Key inputs_EB_MIN'!G$11/SUM('Key inputs_EB_MIN'!G$10:G$11),0)</f>
        <v>0</v>
      </c>
      <c r="H402" s="176">
        <f>IFERROR(H362*'Key inputs_EB_MIN'!H$11/SUM('Key inputs_EB_MIN'!H$10:H$11),0)</f>
        <v>0</v>
      </c>
      <c r="I402" s="176">
        <f>IFERROR(I362*'Key inputs_EB_MIN'!I$11/SUM('Key inputs_EB_MIN'!I$10:I$11),0)</f>
        <v>0</v>
      </c>
      <c r="J402" s="176">
        <f>IFERROR(J362*'Key inputs_EB_MIN'!J$11/SUM('Key inputs_EB_MIN'!J$10:J$11),0)</f>
        <v>0</v>
      </c>
      <c r="K402" s="176">
        <f>IFERROR(K362*'Key inputs_EB_MIN'!K$11/SUM('Key inputs_EB_MIN'!K$10:K$11),0)</f>
        <v>0</v>
      </c>
      <c r="L402" s="176">
        <f>IFERROR(L362*'Key inputs_EB_MIN'!L$11/SUM('Key inputs_EB_MIN'!L$10:L$11),0)</f>
        <v>0</v>
      </c>
      <c r="M402" s="176">
        <f>IFERROR(M362*'Key inputs_EB_MIN'!M$11/SUM('Key inputs_EB_MIN'!M$10:M$11),0)</f>
        <v>0</v>
      </c>
      <c r="N402" s="176">
        <f>IFERROR(N362*'Key inputs_EB_MIN'!N$11/SUM('Key inputs_EB_MIN'!N$10:N$11),0)</f>
        <v>0</v>
      </c>
      <c r="O402" s="176">
        <f>IFERROR(O362*'Key inputs_EB_MIN'!O$11/SUM('Key inputs_EB_MIN'!O$10:O$11),0)</f>
        <v>0</v>
      </c>
      <c r="P402" s="176">
        <f>IFERROR(P362*'Key inputs_EB_MIN'!P$11/SUM('Key inputs_EB_MIN'!P$10:P$11),0)</f>
        <v>0</v>
      </c>
      <c r="Q402" s="176">
        <f>IFERROR(Q362*'Key inputs_EB_MIN'!Q$11/SUM('Key inputs_EB_MIN'!Q$10:Q$11),0)</f>
        <v>0</v>
      </c>
      <c r="R402" s="176">
        <f>IFERROR(R362*'Key inputs_EB_MIN'!R$11/SUM('Key inputs_EB_MIN'!R$10:R$11),0)</f>
        <v>0</v>
      </c>
      <c r="S402" s="176">
        <f>IFERROR(S362*'Key inputs_EB_MIN'!S$11/SUM('Key inputs_EB_MIN'!S$10:S$11),0)</f>
        <v>0</v>
      </c>
      <c r="T402" s="176">
        <f>IFERROR(T362*'Key inputs_EB_MIN'!T$11/SUM('Key inputs_EB_MIN'!T$10:T$11),0)</f>
        <v>0</v>
      </c>
      <c r="U402" s="176">
        <f>IFERROR(U362*'Key inputs_EB_MIN'!U$11/SUM('Key inputs_EB_MIN'!U$10:U$11),0)</f>
        <v>0</v>
      </c>
      <c r="V402" s="176">
        <f>IFERROR(V362*'Key inputs_EB_MIN'!V$11/SUM('Key inputs_EB_MIN'!V$10:V$11),0)</f>
        <v>0</v>
      </c>
      <c r="W402" s="176">
        <f>IFERROR(W362*'Key inputs_EB_MIN'!W$11/SUM('Key inputs_EB_MIN'!W$10:W$11),0)</f>
        <v>0</v>
      </c>
      <c r="X402" s="176">
        <f>IFERROR(X362*'Key inputs_EB_MIN'!X$11/SUM('Key inputs_EB_MIN'!X$10:X$11),0)</f>
        <v>0</v>
      </c>
      <c r="Y402" s="176">
        <f>IFERROR(Y362*'Key inputs_EB_MIN'!Y$11/SUM('Key inputs_EB_MIN'!Y$10:Y$11),0)</f>
        <v>0</v>
      </c>
      <c r="Z402" s="176">
        <f>IFERROR(Z362*'Key inputs_EB_MIN'!Z$11/SUM('Key inputs_EB_MIN'!Z$10:Z$11),0)</f>
        <v>0</v>
      </c>
      <c r="AA402" s="176">
        <f>IFERROR(AA362*'Key inputs_EB_MIN'!AA$11/SUM('Key inputs_EB_MIN'!AA$10:AA$11),0)</f>
        <v>0</v>
      </c>
      <c r="AB402" s="176">
        <f>IFERROR(AB362*'Key inputs_EB_MIN'!AB$11/SUM('Key inputs_EB_MIN'!AB$10:AB$11),0)</f>
        <v>0</v>
      </c>
      <c r="AC402" s="176">
        <f>IFERROR(AC362*'Key inputs_EB_MIN'!AC$11/SUM('Key inputs_EB_MIN'!AC$10:AC$11),0)</f>
        <v>0</v>
      </c>
      <c r="AD402" s="176">
        <f>IFERROR(AD362*'Key inputs_EB_MIN'!AD$11/SUM('Key inputs_EB_MIN'!AD$10:AD$11),0)</f>
        <v>0</v>
      </c>
      <c r="AE402" s="176">
        <f>IFERROR(AE362*'Key inputs_EB_MIN'!AE$11/SUM('Key inputs_EB_MIN'!AE$10:AE$11),0)</f>
        <v>0</v>
      </c>
      <c r="AF402" s="287">
        <f>IFERROR(AF362*'Key inputs_EB_MIN'!AF$11/SUM('Key inputs_EB_MIN'!AF$10:AF$11),0)</f>
        <v>0</v>
      </c>
    </row>
    <row r="403" spans="1:32" s="59" customFormat="1">
      <c r="A403" s="95" t="s">
        <v>728</v>
      </c>
      <c r="B403" s="95" t="s">
        <v>750</v>
      </c>
      <c r="C403" s="71" t="s">
        <v>533</v>
      </c>
      <c r="D403" s="74" t="s">
        <v>387</v>
      </c>
      <c r="E403" s="176">
        <f>IFERROR(E363*'Key inputs_EB_MIN'!E$11/SUM('Key inputs_EB_MIN'!E$10:E$11),0)</f>
        <v>0</v>
      </c>
      <c r="F403" s="176">
        <f>IFERROR(F363*'Key inputs_EB_MIN'!F$11/SUM('Key inputs_EB_MIN'!F$10:F$11),0)</f>
        <v>0</v>
      </c>
      <c r="G403" s="176">
        <f>IFERROR(G363*'Key inputs_EB_MIN'!G$11/SUM('Key inputs_EB_MIN'!G$10:G$11),0)</f>
        <v>0</v>
      </c>
      <c r="H403" s="176">
        <f>IFERROR(H363*'Key inputs_EB_MIN'!H$11/SUM('Key inputs_EB_MIN'!H$10:H$11),0)</f>
        <v>0</v>
      </c>
      <c r="I403" s="176">
        <f>IFERROR(I363*'Key inputs_EB_MIN'!I$11/SUM('Key inputs_EB_MIN'!I$10:I$11),0)</f>
        <v>0</v>
      </c>
      <c r="J403" s="176">
        <f>IFERROR(J363*'Key inputs_EB_MIN'!J$11/SUM('Key inputs_EB_MIN'!J$10:J$11),0)</f>
        <v>0</v>
      </c>
      <c r="K403" s="176">
        <f>IFERROR(K363*'Key inputs_EB_MIN'!K$11/SUM('Key inputs_EB_MIN'!K$10:K$11),0)</f>
        <v>0</v>
      </c>
      <c r="L403" s="176">
        <f>IFERROR(L363*'Key inputs_EB_MIN'!L$11/SUM('Key inputs_EB_MIN'!L$10:L$11),0)</f>
        <v>0</v>
      </c>
      <c r="M403" s="176">
        <f>IFERROR(M363*'Key inputs_EB_MIN'!M$11/SUM('Key inputs_EB_MIN'!M$10:M$11),0)</f>
        <v>0</v>
      </c>
      <c r="N403" s="176">
        <f>IFERROR(N363*'Key inputs_EB_MIN'!N$11/SUM('Key inputs_EB_MIN'!N$10:N$11),0)</f>
        <v>0</v>
      </c>
      <c r="O403" s="176">
        <f>IFERROR(O363*'Key inputs_EB_MIN'!O$11/SUM('Key inputs_EB_MIN'!O$10:O$11),0)</f>
        <v>0</v>
      </c>
      <c r="P403" s="176">
        <f>IFERROR(P363*'Key inputs_EB_MIN'!P$11/SUM('Key inputs_EB_MIN'!P$10:P$11),0)</f>
        <v>0</v>
      </c>
      <c r="Q403" s="176">
        <f>IFERROR(Q363*'Key inputs_EB_MIN'!Q$11/SUM('Key inputs_EB_MIN'!Q$10:Q$11),0)</f>
        <v>0</v>
      </c>
      <c r="R403" s="176">
        <f>IFERROR(R363*'Key inputs_EB_MIN'!R$11/SUM('Key inputs_EB_MIN'!R$10:R$11),0)</f>
        <v>0</v>
      </c>
      <c r="S403" s="176">
        <f>IFERROR(S363*'Key inputs_EB_MIN'!S$11/SUM('Key inputs_EB_MIN'!S$10:S$11),0)</f>
        <v>0</v>
      </c>
      <c r="T403" s="176">
        <f>IFERROR(T363*'Key inputs_EB_MIN'!T$11/SUM('Key inputs_EB_MIN'!T$10:T$11),0)</f>
        <v>0</v>
      </c>
      <c r="U403" s="176">
        <f>IFERROR(U363*'Key inputs_EB_MIN'!U$11/SUM('Key inputs_EB_MIN'!U$10:U$11),0)</f>
        <v>0</v>
      </c>
      <c r="V403" s="176">
        <f>IFERROR(V363*'Key inputs_EB_MIN'!V$11/SUM('Key inputs_EB_MIN'!V$10:V$11),0)</f>
        <v>0</v>
      </c>
      <c r="W403" s="176">
        <f>IFERROR(W363*'Key inputs_EB_MIN'!W$11/SUM('Key inputs_EB_MIN'!W$10:W$11),0)</f>
        <v>0</v>
      </c>
      <c r="X403" s="176">
        <f>IFERROR(X363*'Key inputs_EB_MIN'!X$11/SUM('Key inputs_EB_MIN'!X$10:X$11),0)</f>
        <v>0</v>
      </c>
      <c r="Y403" s="176">
        <f>IFERROR(Y363*'Key inputs_EB_MIN'!Y$11/SUM('Key inputs_EB_MIN'!Y$10:Y$11),0)</f>
        <v>0</v>
      </c>
      <c r="Z403" s="176">
        <f>IFERROR(Z363*'Key inputs_EB_MIN'!Z$11/SUM('Key inputs_EB_MIN'!Z$10:Z$11),0)</f>
        <v>0</v>
      </c>
      <c r="AA403" s="176">
        <f>IFERROR(AA363*'Key inputs_EB_MIN'!AA$11/SUM('Key inputs_EB_MIN'!AA$10:AA$11),0)</f>
        <v>0</v>
      </c>
      <c r="AB403" s="176">
        <f>IFERROR(AB363*'Key inputs_EB_MIN'!AB$11/SUM('Key inputs_EB_MIN'!AB$10:AB$11),0)</f>
        <v>0</v>
      </c>
      <c r="AC403" s="176">
        <f>IFERROR(AC363*'Key inputs_EB_MIN'!AC$11/SUM('Key inputs_EB_MIN'!AC$10:AC$11),0)</f>
        <v>0</v>
      </c>
      <c r="AD403" s="176">
        <f>IFERROR(AD363*'Key inputs_EB_MIN'!AD$11/SUM('Key inputs_EB_MIN'!AD$10:AD$11),0)</f>
        <v>0</v>
      </c>
      <c r="AE403" s="176">
        <f>IFERROR(AE363*'Key inputs_EB_MIN'!AE$11/SUM('Key inputs_EB_MIN'!AE$10:AE$11),0)</f>
        <v>0</v>
      </c>
      <c r="AF403" s="287">
        <f>IFERROR(AF363*'Key inputs_EB_MIN'!AF$11/SUM('Key inputs_EB_MIN'!AF$10:AF$11),0)</f>
        <v>0</v>
      </c>
    </row>
    <row r="404" spans="1:32" s="59" customFormat="1">
      <c r="A404" s="95" t="s">
        <v>728</v>
      </c>
      <c r="B404" s="95" t="s">
        <v>750</v>
      </c>
      <c r="C404" s="71" t="s">
        <v>535</v>
      </c>
      <c r="D404" s="74" t="s">
        <v>387</v>
      </c>
      <c r="E404" s="176">
        <f>IFERROR(E364*'Key inputs_EB_MIN'!E$11/SUM('Key inputs_EB_MIN'!E$10:E$11),0)</f>
        <v>0</v>
      </c>
      <c r="F404" s="176">
        <f>IFERROR(F364*'Key inputs_EB_MIN'!F$11/SUM('Key inputs_EB_MIN'!F$10:F$11),0)</f>
        <v>0</v>
      </c>
      <c r="G404" s="176">
        <f>IFERROR(G364*'Key inputs_EB_MIN'!G$11/SUM('Key inputs_EB_MIN'!G$10:G$11),0)</f>
        <v>0</v>
      </c>
      <c r="H404" s="176">
        <f>IFERROR(H364*'Key inputs_EB_MIN'!H$11/SUM('Key inputs_EB_MIN'!H$10:H$11),0)</f>
        <v>0</v>
      </c>
      <c r="I404" s="176">
        <f>IFERROR(I364*'Key inputs_EB_MIN'!I$11/SUM('Key inputs_EB_MIN'!I$10:I$11),0)</f>
        <v>-5492.8501567675685</v>
      </c>
      <c r="J404" s="176">
        <f>IFERROR(J364*'Key inputs_EB_MIN'!J$11/SUM('Key inputs_EB_MIN'!J$10:J$11),0)</f>
        <v>-67.487051500815554</v>
      </c>
      <c r="K404" s="176">
        <f>IFERROR(K364*'Key inputs_EB_MIN'!K$11/SUM('Key inputs_EB_MIN'!K$10:K$11),0)</f>
        <v>0</v>
      </c>
      <c r="L404" s="176">
        <f>IFERROR(L364*'Key inputs_EB_MIN'!L$11/SUM('Key inputs_EB_MIN'!L$10:L$11),0)</f>
        <v>0</v>
      </c>
      <c r="M404" s="176">
        <f>IFERROR(M364*'Key inputs_EB_MIN'!M$11/SUM('Key inputs_EB_MIN'!M$10:M$11),0)</f>
        <v>0</v>
      </c>
      <c r="N404" s="176">
        <f>IFERROR(N364*'Key inputs_EB_MIN'!N$11/SUM('Key inputs_EB_MIN'!N$10:N$11),0)</f>
        <v>0</v>
      </c>
      <c r="O404" s="176">
        <f>IFERROR(O364*'Key inputs_EB_MIN'!O$11/SUM('Key inputs_EB_MIN'!O$10:O$11),0)</f>
        <v>0</v>
      </c>
      <c r="P404" s="176">
        <f>IFERROR(P364*'Key inputs_EB_MIN'!P$11/SUM('Key inputs_EB_MIN'!P$10:P$11),0)</f>
        <v>0</v>
      </c>
      <c r="Q404" s="176">
        <f>IFERROR(Q364*'Key inputs_EB_MIN'!Q$11/SUM('Key inputs_EB_MIN'!Q$10:Q$11),0)</f>
        <v>-2558.1438017771716</v>
      </c>
      <c r="R404" s="176">
        <f>IFERROR(R364*'Key inputs_EB_MIN'!R$11/SUM('Key inputs_EB_MIN'!R$10:R$11),0)</f>
        <v>0</v>
      </c>
      <c r="S404" s="176">
        <f>IFERROR(S364*'Key inputs_EB_MIN'!S$11/SUM('Key inputs_EB_MIN'!S$10:S$11),0)</f>
        <v>-3994.0860103143541</v>
      </c>
      <c r="T404" s="176">
        <f>IFERROR(T364*'Key inputs_EB_MIN'!T$11/SUM('Key inputs_EB_MIN'!T$10:T$11),0)</f>
        <v>-2794.412400865177</v>
      </c>
      <c r="U404" s="176">
        <f>IFERROR(U364*'Key inputs_EB_MIN'!U$11/SUM('Key inputs_EB_MIN'!U$10:U$11),0)</f>
        <v>-596.59038265542483</v>
      </c>
      <c r="V404" s="176">
        <f>IFERROR(V364*'Key inputs_EB_MIN'!V$11/SUM('Key inputs_EB_MIN'!V$10:V$11),0)</f>
        <v>0</v>
      </c>
      <c r="W404" s="176">
        <f>IFERROR(W364*'Key inputs_EB_MIN'!W$11/SUM('Key inputs_EB_MIN'!W$10:W$11),0)</f>
        <v>0</v>
      </c>
      <c r="X404" s="176">
        <f>IFERROR(X364*'Key inputs_EB_MIN'!X$11/SUM('Key inputs_EB_MIN'!X$10:X$11),0)</f>
        <v>0</v>
      </c>
      <c r="Y404" s="176">
        <f>IFERROR(Y364*'Key inputs_EB_MIN'!Y$11/SUM('Key inputs_EB_MIN'!Y$10:Y$11),0)</f>
        <v>0</v>
      </c>
      <c r="Z404" s="176">
        <f>IFERROR(Z364*'Key inputs_EB_MIN'!Z$11/SUM('Key inputs_EB_MIN'!Z$10:Z$11),0)</f>
        <v>0</v>
      </c>
      <c r="AA404" s="176">
        <f>IFERROR(AA364*'Key inputs_EB_MIN'!AA$11/SUM('Key inputs_EB_MIN'!AA$10:AA$11),0)</f>
        <v>0</v>
      </c>
      <c r="AB404" s="176">
        <f>IFERROR(AB364*'Key inputs_EB_MIN'!AB$11/SUM('Key inputs_EB_MIN'!AB$10:AB$11),0)</f>
        <v>0</v>
      </c>
      <c r="AC404" s="176">
        <f>IFERROR(AC364*'Key inputs_EB_MIN'!AC$11/SUM('Key inputs_EB_MIN'!AC$10:AC$11),0)</f>
        <v>0</v>
      </c>
      <c r="AD404" s="176">
        <f>IFERROR(AD364*'Key inputs_EB_MIN'!AD$11/SUM('Key inputs_EB_MIN'!AD$10:AD$11),0)</f>
        <v>-28166.927967207212</v>
      </c>
      <c r="AE404" s="176">
        <f>IFERROR(AE364*'Key inputs_EB_MIN'!AE$11/SUM('Key inputs_EB_MIN'!AE$10:AE$11),0)</f>
        <v>0</v>
      </c>
      <c r="AF404" s="287">
        <f>IFERROR(AF364*'Key inputs_EB_MIN'!AF$11/SUM('Key inputs_EB_MIN'!AF$10:AF$11),0)</f>
        <v>-4814.8810584963676</v>
      </c>
    </row>
    <row r="405" spans="1:32" s="59" customFormat="1">
      <c r="A405" s="95" t="s">
        <v>728</v>
      </c>
      <c r="B405" s="95" t="s">
        <v>750</v>
      </c>
      <c r="C405" s="71" t="s">
        <v>537</v>
      </c>
      <c r="D405" s="74" t="s">
        <v>387</v>
      </c>
      <c r="E405" s="176">
        <f>IFERROR(E365*'Key inputs_EB_MIN'!E$11/SUM('Key inputs_EB_MIN'!E$10:E$11),0)</f>
        <v>-4.9830130587111157</v>
      </c>
      <c r="F405" s="176">
        <f>IFERROR(F365*'Key inputs_EB_MIN'!F$11/SUM('Key inputs_EB_MIN'!F$10:F$11),0)</f>
        <v>0</v>
      </c>
      <c r="G405" s="176">
        <f>IFERROR(G365*'Key inputs_EB_MIN'!G$11/SUM('Key inputs_EB_MIN'!G$10:G$11),0)</f>
        <v>0</v>
      </c>
      <c r="H405" s="176">
        <f>IFERROR(H365*'Key inputs_EB_MIN'!H$11/SUM('Key inputs_EB_MIN'!H$10:H$11),0)</f>
        <v>0</v>
      </c>
      <c r="I405" s="176">
        <f>IFERROR(I365*'Key inputs_EB_MIN'!I$11/SUM('Key inputs_EB_MIN'!I$10:I$11),0)</f>
        <v>-819.0040510435058</v>
      </c>
      <c r="J405" s="176">
        <f>IFERROR(J365*'Key inputs_EB_MIN'!J$11/SUM('Key inputs_EB_MIN'!J$10:J$11),0)</f>
        <v>-188.6896031367603</v>
      </c>
      <c r="K405" s="176">
        <f>IFERROR(K365*'Key inputs_EB_MIN'!K$11/SUM('Key inputs_EB_MIN'!K$10:K$11),0)</f>
        <v>0</v>
      </c>
      <c r="L405" s="176">
        <f>IFERROR(L365*'Key inputs_EB_MIN'!L$11/SUM('Key inputs_EB_MIN'!L$10:L$11),0)</f>
        <v>0</v>
      </c>
      <c r="M405" s="176">
        <f>IFERROR(M365*'Key inputs_EB_MIN'!M$11/SUM('Key inputs_EB_MIN'!M$10:M$11),0)</f>
        <v>0</v>
      </c>
      <c r="N405" s="176">
        <f>IFERROR(N365*'Key inputs_EB_MIN'!N$11/SUM('Key inputs_EB_MIN'!N$10:N$11),0)</f>
        <v>-621.71985849919201</v>
      </c>
      <c r="O405" s="176">
        <f>IFERROR(O365*'Key inputs_EB_MIN'!O$11/SUM('Key inputs_EB_MIN'!O$10:O$11),0)</f>
        <v>0</v>
      </c>
      <c r="P405" s="176">
        <f>IFERROR(P365*'Key inputs_EB_MIN'!P$11/SUM('Key inputs_EB_MIN'!P$10:P$11),0)</f>
        <v>0</v>
      </c>
      <c r="Q405" s="176">
        <f>IFERROR(Q365*'Key inputs_EB_MIN'!Q$11/SUM('Key inputs_EB_MIN'!Q$10:Q$11),0)</f>
        <v>-4631.5887077508587</v>
      </c>
      <c r="R405" s="176">
        <f>IFERROR(R365*'Key inputs_EB_MIN'!R$11/SUM('Key inputs_EB_MIN'!R$10:R$11),0)</f>
        <v>0</v>
      </c>
      <c r="S405" s="176">
        <f>IFERROR(S365*'Key inputs_EB_MIN'!S$11/SUM('Key inputs_EB_MIN'!S$10:S$11),0)</f>
        <v>-13266.322126211577</v>
      </c>
      <c r="T405" s="176">
        <f>IFERROR(T365*'Key inputs_EB_MIN'!T$11/SUM('Key inputs_EB_MIN'!T$10:T$11),0)</f>
        <v>-3596.8795128832185</v>
      </c>
      <c r="U405" s="176">
        <f>IFERROR(U365*'Key inputs_EB_MIN'!U$11/SUM('Key inputs_EB_MIN'!U$10:U$11),0)</f>
        <v>-180.13086845548824</v>
      </c>
      <c r="V405" s="176">
        <f>IFERROR(V365*'Key inputs_EB_MIN'!V$11/SUM('Key inputs_EB_MIN'!V$10:V$11),0)</f>
        <v>0</v>
      </c>
      <c r="W405" s="176">
        <f>IFERROR(W365*'Key inputs_EB_MIN'!W$11/SUM('Key inputs_EB_MIN'!W$10:W$11),0)</f>
        <v>0</v>
      </c>
      <c r="X405" s="176">
        <f>IFERROR(X365*'Key inputs_EB_MIN'!X$11/SUM('Key inputs_EB_MIN'!X$10:X$11),0)</f>
        <v>0</v>
      </c>
      <c r="Y405" s="176">
        <f>IFERROR(Y365*'Key inputs_EB_MIN'!Y$11/SUM('Key inputs_EB_MIN'!Y$10:Y$11),0)</f>
        <v>-4.6650563370749179E-4</v>
      </c>
      <c r="Z405" s="176">
        <f>IFERROR(Z365*'Key inputs_EB_MIN'!Z$11/SUM('Key inputs_EB_MIN'!Z$10:Z$11),0)</f>
        <v>-3674.7944501395327</v>
      </c>
      <c r="AA405" s="176">
        <f>IFERROR(AA365*'Key inputs_EB_MIN'!AA$11/SUM('Key inputs_EB_MIN'!AA$10:AA$11),0)</f>
        <v>0</v>
      </c>
      <c r="AB405" s="176">
        <f>IFERROR(AB365*'Key inputs_EB_MIN'!AB$11/SUM('Key inputs_EB_MIN'!AB$10:AB$11),0)</f>
        <v>0</v>
      </c>
      <c r="AC405" s="176">
        <f>IFERROR(AC365*'Key inputs_EB_MIN'!AC$11/SUM('Key inputs_EB_MIN'!AC$10:AC$11),0)</f>
        <v>0</v>
      </c>
      <c r="AD405" s="176">
        <f>IFERROR(AD365*'Key inputs_EB_MIN'!AD$11/SUM('Key inputs_EB_MIN'!AD$10:AD$11),0)</f>
        <v>-4065.7777175517704</v>
      </c>
      <c r="AE405" s="176">
        <f>IFERROR(AE365*'Key inputs_EB_MIN'!AE$11/SUM('Key inputs_EB_MIN'!AE$10:AE$11),0)</f>
        <v>0</v>
      </c>
      <c r="AF405" s="287">
        <f>IFERROR(AF365*'Key inputs_EB_MIN'!AF$11/SUM('Key inputs_EB_MIN'!AF$10:AF$11),0)</f>
        <v>-1113.1949954544129</v>
      </c>
    </row>
    <row r="406" spans="1:32" s="59" customFormat="1">
      <c r="A406" s="95" t="s">
        <v>728</v>
      </c>
      <c r="B406" s="95" t="s">
        <v>750</v>
      </c>
      <c r="C406" s="71" t="s">
        <v>541</v>
      </c>
      <c r="D406" s="74" t="s">
        <v>387</v>
      </c>
      <c r="E406" s="176">
        <f>IFERROR(E366*'Key inputs_EB_MIN'!E$11/SUM('Key inputs_EB_MIN'!E$10:E$11),0)</f>
        <v>0</v>
      </c>
      <c r="F406" s="176">
        <f>IFERROR(F366*'Key inputs_EB_MIN'!F$11/SUM('Key inputs_EB_MIN'!F$10:F$11),0)</f>
        <v>0</v>
      </c>
      <c r="G406" s="176">
        <f>IFERROR(G366*'Key inputs_EB_MIN'!G$11/SUM('Key inputs_EB_MIN'!G$10:G$11),0)</f>
        <v>0</v>
      </c>
      <c r="H406" s="176">
        <f>IFERROR(H366*'Key inputs_EB_MIN'!H$11/SUM('Key inputs_EB_MIN'!H$10:H$11),0)</f>
        <v>0</v>
      </c>
      <c r="I406" s="176">
        <f>IFERROR(I366*'Key inputs_EB_MIN'!I$11/SUM('Key inputs_EB_MIN'!I$10:I$11),0)</f>
        <v>-0.49840817231068046</v>
      </c>
      <c r="J406" s="176">
        <f>IFERROR(J366*'Key inputs_EB_MIN'!J$11/SUM('Key inputs_EB_MIN'!J$10:J$11),0)</f>
        <v>0</v>
      </c>
      <c r="K406" s="176">
        <f>IFERROR(K366*'Key inputs_EB_MIN'!K$11/SUM('Key inputs_EB_MIN'!K$10:K$11),0)</f>
        <v>0</v>
      </c>
      <c r="L406" s="176">
        <f>IFERROR(L366*'Key inputs_EB_MIN'!L$11/SUM('Key inputs_EB_MIN'!L$10:L$11),0)</f>
        <v>0</v>
      </c>
      <c r="M406" s="176">
        <f>IFERROR(M366*'Key inputs_EB_MIN'!M$11/SUM('Key inputs_EB_MIN'!M$10:M$11),0)</f>
        <v>0</v>
      </c>
      <c r="N406" s="176">
        <f>IFERROR(N366*'Key inputs_EB_MIN'!N$11/SUM('Key inputs_EB_MIN'!N$10:N$11),0)</f>
        <v>-223.91697300146299</v>
      </c>
      <c r="O406" s="176">
        <f>IFERROR(O366*'Key inputs_EB_MIN'!O$11/SUM('Key inputs_EB_MIN'!O$10:O$11),0)</f>
        <v>0</v>
      </c>
      <c r="P406" s="176">
        <f>IFERROR(P366*'Key inputs_EB_MIN'!P$11/SUM('Key inputs_EB_MIN'!P$10:P$11),0)</f>
        <v>0</v>
      </c>
      <c r="Q406" s="176">
        <f>IFERROR(Q366*'Key inputs_EB_MIN'!Q$11/SUM('Key inputs_EB_MIN'!Q$10:Q$11),0)</f>
        <v>0</v>
      </c>
      <c r="R406" s="176">
        <f>IFERROR(R366*'Key inputs_EB_MIN'!R$11/SUM('Key inputs_EB_MIN'!R$10:R$11),0)</f>
        <v>0</v>
      </c>
      <c r="S406" s="176">
        <f>IFERROR(S366*'Key inputs_EB_MIN'!S$11/SUM('Key inputs_EB_MIN'!S$10:S$11),0)</f>
        <v>-219.13241904836755</v>
      </c>
      <c r="T406" s="176">
        <f>IFERROR(T366*'Key inputs_EB_MIN'!T$11/SUM('Key inputs_EB_MIN'!T$10:T$11),0)</f>
        <v>-39.024883497132379</v>
      </c>
      <c r="U406" s="176">
        <f>IFERROR(U366*'Key inputs_EB_MIN'!U$11/SUM('Key inputs_EB_MIN'!U$10:U$11),0)</f>
        <v>-203.7418947791069</v>
      </c>
      <c r="V406" s="176">
        <f>IFERROR(V366*'Key inputs_EB_MIN'!V$11/SUM('Key inputs_EB_MIN'!V$10:V$11),0)</f>
        <v>0</v>
      </c>
      <c r="W406" s="176">
        <f>IFERROR(W366*'Key inputs_EB_MIN'!W$11/SUM('Key inputs_EB_MIN'!W$10:W$11),0)</f>
        <v>0</v>
      </c>
      <c r="X406" s="176">
        <f>IFERROR(X366*'Key inputs_EB_MIN'!X$11/SUM('Key inputs_EB_MIN'!X$10:X$11),0)</f>
        <v>0</v>
      </c>
      <c r="Y406" s="176">
        <f>IFERROR(Y366*'Key inputs_EB_MIN'!Y$11/SUM('Key inputs_EB_MIN'!Y$10:Y$11),0)</f>
        <v>-6.5663069579879094E-2</v>
      </c>
      <c r="Z406" s="176">
        <f>IFERROR(Z366*'Key inputs_EB_MIN'!Z$11/SUM('Key inputs_EB_MIN'!Z$10:Z$11),0)</f>
        <v>0</v>
      </c>
      <c r="AA406" s="176">
        <f>IFERROR(AA366*'Key inputs_EB_MIN'!AA$11/SUM('Key inputs_EB_MIN'!AA$10:AA$11),0)</f>
        <v>0</v>
      </c>
      <c r="AB406" s="176">
        <f>IFERROR(AB366*'Key inputs_EB_MIN'!AB$11/SUM('Key inputs_EB_MIN'!AB$10:AB$11),0)</f>
        <v>0</v>
      </c>
      <c r="AC406" s="176">
        <f>IFERROR(AC366*'Key inputs_EB_MIN'!AC$11/SUM('Key inputs_EB_MIN'!AC$10:AC$11),0)</f>
        <v>0</v>
      </c>
      <c r="AD406" s="176">
        <f>IFERROR(AD366*'Key inputs_EB_MIN'!AD$11/SUM('Key inputs_EB_MIN'!AD$10:AD$11),0)</f>
        <v>0</v>
      </c>
      <c r="AE406" s="176">
        <f>IFERROR(AE366*'Key inputs_EB_MIN'!AE$11/SUM('Key inputs_EB_MIN'!AE$10:AE$11),0)</f>
        <v>0</v>
      </c>
      <c r="AF406" s="287">
        <f>IFERROR(AF366*'Key inputs_EB_MIN'!AF$11/SUM('Key inputs_EB_MIN'!AF$10:AF$11),0)</f>
        <v>-51.252911490154929</v>
      </c>
    </row>
    <row r="407" spans="1:32" s="59" customFormat="1">
      <c r="A407" s="95" t="s">
        <v>728</v>
      </c>
      <c r="B407" s="95" t="s">
        <v>750</v>
      </c>
      <c r="C407" s="71" t="s">
        <v>543</v>
      </c>
      <c r="D407" s="74" t="s">
        <v>387</v>
      </c>
      <c r="E407" s="176">
        <f>IFERROR(E367*'Key inputs_EB_MIN'!E$11/SUM('Key inputs_EB_MIN'!E$10:E$11),0)</f>
        <v>0</v>
      </c>
      <c r="F407" s="176">
        <f>IFERROR(F367*'Key inputs_EB_MIN'!F$11/SUM('Key inputs_EB_MIN'!F$10:F$11),0)</f>
        <v>0</v>
      </c>
      <c r="G407" s="176">
        <f>IFERROR(G367*'Key inputs_EB_MIN'!G$11/SUM('Key inputs_EB_MIN'!G$10:G$11),0)</f>
        <v>0</v>
      </c>
      <c r="H407" s="176">
        <f>IFERROR(H367*'Key inputs_EB_MIN'!H$11/SUM('Key inputs_EB_MIN'!H$10:H$11),0)</f>
        <v>0</v>
      </c>
      <c r="I407" s="176">
        <f>IFERROR(I367*'Key inputs_EB_MIN'!I$11/SUM('Key inputs_EB_MIN'!I$10:I$11),0)</f>
        <v>-6.2572362827590447E-2</v>
      </c>
      <c r="J407" s="176">
        <f>IFERROR(J367*'Key inputs_EB_MIN'!J$11/SUM('Key inputs_EB_MIN'!J$10:J$11),0)</f>
        <v>0</v>
      </c>
      <c r="K407" s="176">
        <f>IFERROR(K367*'Key inputs_EB_MIN'!K$11/SUM('Key inputs_EB_MIN'!K$10:K$11),0)</f>
        <v>0</v>
      </c>
      <c r="L407" s="176">
        <f>IFERROR(L367*'Key inputs_EB_MIN'!L$11/SUM('Key inputs_EB_MIN'!L$10:L$11),0)</f>
        <v>0</v>
      </c>
      <c r="M407" s="176">
        <f>IFERROR(M367*'Key inputs_EB_MIN'!M$11/SUM('Key inputs_EB_MIN'!M$10:M$11),0)</f>
        <v>0</v>
      </c>
      <c r="N407" s="176">
        <f>IFERROR(N367*'Key inputs_EB_MIN'!N$11/SUM('Key inputs_EB_MIN'!N$10:N$11),0)</f>
        <v>0</v>
      </c>
      <c r="O407" s="176">
        <f>IFERROR(O367*'Key inputs_EB_MIN'!O$11/SUM('Key inputs_EB_MIN'!O$10:O$11),0)</f>
        <v>0</v>
      </c>
      <c r="P407" s="176">
        <f>IFERROR(P367*'Key inputs_EB_MIN'!P$11/SUM('Key inputs_EB_MIN'!P$10:P$11),0)</f>
        <v>0</v>
      </c>
      <c r="Q407" s="176">
        <f>IFERROR(Q367*'Key inputs_EB_MIN'!Q$11/SUM('Key inputs_EB_MIN'!Q$10:Q$11),0)</f>
        <v>0</v>
      </c>
      <c r="R407" s="176">
        <f>IFERROR(R367*'Key inputs_EB_MIN'!R$11/SUM('Key inputs_EB_MIN'!R$10:R$11),0)</f>
        <v>0</v>
      </c>
      <c r="S407" s="176">
        <f>IFERROR(S367*'Key inputs_EB_MIN'!S$11/SUM('Key inputs_EB_MIN'!S$10:S$11),0)</f>
        <v>-3.0184311189246147</v>
      </c>
      <c r="T407" s="176">
        <f>IFERROR(T367*'Key inputs_EB_MIN'!T$11/SUM('Key inputs_EB_MIN'!T$10:T$11),0)</f>
        <v>0</v>
      </c>
      <c r="U407" s="176">
        <f>IFERROR(U367*'Key inputs_EB_MIN'!U$11/SUM('Key inputs_EB_MIN'!U$10:U$11),0)</f>
        <v>0</v>
      </c>
      <c r="V407" s="176">
        <f>IFERROR(V367*'Key inputs_EB_MIN'!V$11/SUM('Key inputs_EB_MIN'!V$10:V$11),0)</f>
        <v>0</v>
      </c>
      <c r="W407" s="176">
        <f>IFERROR(W367*'Key inputs_EB_MIN'!W$11/SUM('Key inputs_EB_MIN'!W$10:W$11),0)</f>
        <v>0</v>
      </c>
      <c r="X407" s="176">
        <f>IFERROR(X367*'Key inputs_EB_MIN'!X$11/SUM('Key inputs_EB_MIN'!X$10:X$11),0)</f>
        <v>0</v>
      </c>
      <c r="Y407" s="176">
        <f>IFERROR(Y367*'Key inputs_EB_MIN'!Y$11/SUM('Key inputs_EB_MIN'!Y$10:Y$11),0)</f>
        <v>0</v>
      </c>
      <c r="Z407" s="176">
        <f>IFERROR(Z367*'Key inputs_EB_MIN'!Z$11/SUM('Key inputs_EB_MIN'!Z$10:Z$11),0)</f>
        <v>0</v>
      </c>
      <c r="AA407" s="176">
        <f>IFERROR(AA367*'Key inputs_EB_MIN'!AA$11/SUM('Key inputs_EB_MIN'!AA$10:AA$11),0)</f>
        <v>0</v>
      </c>
      <c r="AB407" s="176">
        <f>IFERROR(AB367*'Key inputs_EB_MIN'!AB$11/SUM('Key inputs_EB_MIN'!AB$10:AB$11),0)</f>
        <v>0</v>
      </c>
      <c r="AC407" s="176">
        <f>IFERROR(AC367*'Key inputs_EB_MIN'!AC$11/SUM('Key inputs_EB_MIN'!AC$10:AC$11),0)</f>
        <v>0</v>
      </c>
      <c r="AD407" s="176">
        <f>IFERROR(AD367*'Key inputs_EB_MIN'!AD$11/SUM('Key inputs_EB_MIN'!AD$10:AD$11),0)</f>
        <v>0</v>
      </c>
      <c r="AE407" s="176">
        <f>IFERROR(AE367*'Key inputs_EB_MIN'!AE$11/SUM('Key inputs_EB_MIN'!AE$10:AE$11),0)</f>
        <v>0</v>
      </c>
      <c r="AF407" s="287">
        <f>IFERROR(AF367*'Key inputs_EB_MIN'!AF$11/SUM('Key inputs_EB_MIN'!AF$10:AF$11),0)</f>
        <v>-3911.7783968094973</v>
      </c>
    </row>
    <row r="408" spans="1:32" s="59" customFormat="1">
      <c r="A408" s="95" t="s">
        <v>728</v>
      </c>
      <c r="B408" s="95" t="s">
        <v>750</v>
      </c>
      <c r="C408" s="71" t="s">
        <v>545</v>
      </c>
      <c r="D408" s="74" t="s">
        <v>387</v>
      </c>
      <c r="E408" s="176">
        <f>IFERROR(E368*'Key inputs_EB_MIN'!E$11/SUM('Key inputs_EB_MIN'!E$10:E$11),0)</f>
        <v>0</v>
      </c>
      <c r="F408" s="176">
        <f>IFERROR(F368*'Key inputs_EB_MIN'!F$11/SUM('Key inputs_EB_MIN'!F$10:F$11),0)</f>
        <v>0</v>
      </c>
      <c r="G408" s="176">
        <f>IFERROR(G368*'Key inputs_EB_MIN'!G$11/SUM('Key inputs_EB_MIN'!G$10:G$11),0)</f>
        <v>0</v>
      </c>
      <c r="H408" s="176">
        <f>IFERROR(H368*'Key inputs_EB_MIN'!H$11/SUM('Key inputs_EB_MIN'!H$10:H$11),0)</f>
        <v>0</v>
      </c>
      <c r="I408" s="176">
        <f>IFERROR(I368*'Key inputs_EB_MIN'!I$11/SUM('Key inputs_EB_MIN'!I$10:I$11),0)</f>
        <v>0</v>
      </c>
      <c r="J408" s="176">
        <f>IFERROR(J368*'Key inputs_EB_MIN'!J$11/SUM('Key inputs_EB_MIN'!J$10:J$11),0)</f>
        <v>-48.940768260655211</v>
      </c>
      <c r="K408" s="176">
        <f>IFERROR(K368*'Key inputs_EB_MIN'!K$11/SUM('Key inputs_EB_MIN'!K$10:K$11),0)</f>
        <v>0</v>
      </c>
      <c r="L408" s="176">
        <f>IFERROR(L368*'Key inputs_EB_MIN'!L$11/SUM('Key inputs_EB_MIN'!L$10:L$11),0)</f>
        <v>0</v>
      </c>
      <c r="M408" s="176">
        <f>IFERROR(M368*'Key inputs_EB_MIN'!M$11/SUM('Key inputs_EB_MIN'!M$10:M$11),0)</f>
        <v>0</v>
      </c>
      <c r="N408" s="176">
        <f>IFERROR(N368*'Key inputs_EB_MIN'!N$11/SUM('Key inputs_EB_MIN'!N$10:N$11),0)</f>
        <v>0</v>
      </c>
      <c r="O408" s="176">
        <f>IFERROR(O368*'Key inputs_EB_MIN'!O$11/SUM('Key inputs_EB_MIN'!O$10:O$11),0)</f>
        <v>0</v>
      </c>
      <c r="P408" s="176">
        <f>IFERROR(P368*'Key inputs_EB_MIN'!P$11/SUM('Key inputs_EB_MIN'!P$10:P$11),0)</f>
        <v>0</v>
      </c>
      <c r="Q408" s="176">
        <f>IFERROR(Q368*'Key inputs_EB_MIN'!Q$11/SUM('Key inputs_EB_MIN'!Q$10:Q$11),0)</f>
        <v>-1296.0118143129846</v>
      </c>
      <c r="R408" s="176">
        <f>IFERROR(R368*'Key inputs_EB_MIN'!R$11/SUM('Key inputs_EB_MIN'!R$10:R$11),0)</f>
        <v>0</v>
      </c>
      <c r="S408" s="176">
        <f>IFERROR(S368*'Key inputs_EB_MIN'!S$11/SUM('Key inputs_EB_MIN'!S$10:S$11),0)</f>
        <v>-2245.9016792143298</v>
      </c>
      <c r="T408" s="176">
        <f>IFERROR(T368*'Key inputs_EB_MIN'!T$11/SUM('Key inputs_EB_MIN'!T$10:T$11),0)</f>
        <v>0</v>
      </c>
      <c r="U408" s="176">
        <f>IFERROR(U368*'Key inputs_EB_MIN'!U$11/SUM('Key inputs_EB_MIN'!U$10:U$11),0)</f>
        <v>0</v>
      </c>
      <c r="V408" s="176">
        <f>IFERROR(V368*'Key inputs_EB_MIN'!V$11/SUM('Key inputs_EB_MIN'!V$10:V$11),0)</f>
        <v>0</v>
      </c>
      <c r="W408" s="176">
        <f>IFERROR(W368*'Key inputs_EB_MIN'!W$11/SUM('Key inputs_EB_MIN'!W$10:W$11),0)</f>
        <v>0</v>
      </c>
      <c r="X408" s="176">
        <f>IFERROR(X368*'Key inputs_EB_MIN'!X$11/SUM('Key inputs_EB_MIN'!X$10:X$11),0)</f>
        <v>0</v>
      </c>
      <c r="Y408" s="176">
        <f>IFERROR(Y368*'Key inputs_EB_MIN'!Y$11/SUM('Key inputs_EB_MIN'!Y$10:Y$11),0)</f>
        <v>0</v>
      </c>
      <c r="Z408" s="176">
        <f>IFERROR(Z368*'Key inputs_EB_MIN'!Z$11/SUM('Key inputs_EB_MIN'!Z$10:Z$11),0)</f>
        <v>0</v>
      </c>
      <c r="AA408" s="176">
        <f>IFERROR(AA368*'Key inputs_EB_MIN'!AA$11/SUM('Key inputs_EB_MIN'!AA$10:AA$11),0)</f>
        <v>0</v>
      </c>
      <c r="AB408" s="176">
        <f>IFERROR(AB368*'Key inputs_EB_MIN'!AB$11/SUM('Key inputs_EB_MIN'!AB$10:AB$11),0)</f>
        <v>0</v>
      </c>
      <c r="AC408" s="176">
        <f>IFERROR(AC368*'Key inputs_EB_MIN'!AC$11/SUM('Key inputs_EB_MIN'!AC$10:AC$11),0)</f>
        <v>0</v>
      </c>
      <c r="AD408" s="176">
        <f>IFERROR(AD368*'Key inputs_EB_MIN'!AD$11/SUM('Key inputs_EB_MIN'!AD$10:AD$11),0)</f>
        <v>-2461.9202127354656</v>
      </c>
      <c r="AE408" s="176">
        <f>IFERROR(AE368*'Key inputs_EB_MIN'!AE$11/SUM('Key inputs_EB_MIN'!AE$10:AE$11),0)</f>
        <v>0</v>
      </c>
      <c r="AF408" s="287">
        <f>IFERROR(AF368*'Key inputs_EB_MIN'!AF$11/SUM('Key inputs_EB_MIN'!AF$10:AF$11),0)</f>
        <v>0</v>
      </c>
    </row>
    <row r="409" spans="1:32" s="59" customFormat="1">
      <c r="A409" s="95" t="s">
        <v>728</v>
      </c>
      <c r="B409" s="95" t="s">
        <v>750</v>
      </c>
      <c r="C409" s="71" t="s">
        <v>548</v>
      </c>
      <c r="D409" s="74" t="s">
        <v>387</v>
      </c>
      <c r="E409" s="176">
        <f>IFERROR(E369*'Key inputs_EB_MIN'!E$11/SUM('Key inputs_EB_MIN'!E$10:E$11),0)</f>
        <v>0</v>
      </c>
      <c r="F409" s="176">
        <f>IFERROR(F369*'Key inputs_EB_MIN'!F$11/SUM('Key inputs_EB_MIN'!F$10:F$11),0)</f>
        <v>0</v>
      </c>
      <c r="G409" s="176">
        <f>IFERROR(G369*'Key inputs_EB_MIN'!G$11/SUM('Key inputs_EB_MIN'!G$10:G$11),0)</f>
        <v>0</v>
      </c>
      <c r="H409" s="176">
        <f>IFERROR(H369*'Key inputs_EB_MIN'!H$11/SUM('Key inputs_EB_MIN'!H$10:H$11),0)</f>
        <v>0</v>
      </c>
      <c r="I409" s="176">
        <f>IFERROR(I369*'Key inputs_EB_MIN'!I$11/SUM('Key inputs_EB_MIN'!I$10:I$11),0)</f>
        <v>-5.2132429455560496</v>
      </c>
      <c r="J409" s="176">
        <f>IFERROR(J369*'Key inputs_EB_MIN'!J$11/SUM('Key inputs_EB_MIN'!J$10:J$11),0)</f>
        <v>0</v>
      </c>
      <c r="K409" s="176">
        <f>IFERROR(K369*'Key inputs_EB_MIN'!K$11/SUM('Key inputs_EB_MIN'!K$10:K$11),0)</f>
        <v>0</v>
      </c>
      <c r="L409" s="176">
        <f>IFERROR(L369*'Key inputs_EB_MIN'!L$11/SUM('Key inputs_EB_MIN'!L$10:L$11),0)</f>
        <v>0</v>
      </c>
      <c r="M409" s="176">
        <f>IFERROR(M369*'Key inputs_EB_MIN'!M$11/SUM('Key inputs_EB_MIN'!M$10:M$11),0)</f>
        <v>0</v>
      </c>
      <c r="N409" s="176">
        <f>IFERROR(N369*'Key inputs_EB_MIN'!N$11/SUM('Key inputs_EB_MIN'!N$10:N$11),0)</f>
        <v>0</v>
      </c>
      <c r="O409" s="176">
        <f>IFERROR(O369*'Key inputs_EB_MIN'!O$11/SUM('Key inputs_EB_MIN'!O$10:O$11),0)</f>
        <v>0</v>
      </c>
      <c r="P409" s="176">
        <f>IFERROR(P369*'Key inputs_EB_MIN'!P$11/SUM('Key inputs_EB_MIN'!P$10:P$11),0)</f>
        <v>0</v>
      </c>
      <c r="Q409" s="176">
        <f>IFERROR(Q369*'Key inputs_EB_MIN'!Q$11/SUM('Key inputs_EB_MIN'!Q$10:Q$11),0)</f>
        <v>0</v>
      </c>
      <c r="R409" s="176">
        <f>IFERROR(R369*'Key inputs_EB_MIN'!R$11/SUM('Key inputs_EB_MIN'!R$10:R$11),0)</f>
        <v>0</v>
      </c>
      <c r="S409" s="176">
        <f>IFERROR(S369*'Key inputs_EB_MIN'!S$11/SUM('Key inputs_EB_MIN'!S$10:S$11),0)</f>
        <v>-31.497408885328053</v>
      </c>
      <c r="T409" s="176">
        <f>IFERROR(T369*'Key inputs_EB_MIN'!T$11/SUM('Key inputs_EB_MIN'!T$10:T$11),0)</f>
        <v>0</v>
      </c>
      <c r="U409" s="176">
        <f>IFERROR(U369*'Key inputs_EB_MIN'!U$11/SUM('Key inputs_EB_MIN'!U$10:U$11),0)</f>
        <v>0</v>
      </c>
      <c r="V409" s="176">
        <f>IFERROR(V369*'Key inputs_EB_MIN'!V$11/SUM('Key inputs_EB_MIN'!V$10:V$11),0)</f>
        <v>0</v>
      </c>
      <c r="W409" s="176">
        <f>IFERROR(W369*'Key inputs_EB_MIN'!W$11/SUM('Key inputs_EB_MIN'!W$10:W$11),0)</f>
        <v>0</v>
      </c>
      <c r="X409" s="176">
        <f>IFERROR(X369*'Key inputs_EB_MIN'!X$11/SUM('Key inputs_EB_MIN'!X$10:X$11),0)</f>
        <v>0</v>
      </c>
      <c r="Y409" s="176">
        <f>IFERROR(Y369*'Key inputs_EB_MIN'!Y$11/SUM('Key inputs_EB_MIN'!Y$10:Y$11),0)</f>
        <v>0</v>
      </c>
      <c r="Z409" s="176">
        <f>IFERROR(Z369*'Key inputs_EB_MIN'!Z$11/SUM('Key inputs_EB_MIN'!Z$10:Z$11),0)</f>
        <v>0</v>
      </c>
      <c r="AA409" s="176">
        <f>IFERROR(AA369*'Key inputs_EB_MIN'!AA$11/SUM('Key inputs_EB_MIN'!AA$10:AA$11),0)</f>
        <v>0</v>
      </c>
      <c r="AB409" s="176">
        <f>IFERROR(AB369*'Key inputs_EB_MIN'!AB$11/SUM('Key inputs_EB_MIN'!AB$10:AB$11),0)</f>
        <v>0</v>
      </c>
      <c r="AC409" s="176">
        <f>IFERROR(AC369*'Key inputs_EB_MIN'!AC$11/SUM('Key inputs_EB_MIN'!AC$10:AC$11),0)</f>
        <v>0</v>
      </c>
      <c r="AD409" s="176">
        <f>IFERROR(AD369*'Key inputs_EB_MIN'!AD$11/SUM('Key inputs_EB_MIN'!AD$10:AD$11),0)</f>
        <v>0</v>
      </c>
      <c r="AE409" s="176">
        <f>IFERROR(AE369*'Key inputs_EB_MIN'!AE$11/SUM('Key inputs_EB_MIN'!AE$10:AE$11),0)</f>
        <v>0</v>
      </c>
      <c r="AF409" s="287">
        <f>IFERROR(AF369*'Key inputs_EB_MIN'!AF$11/SUM('Key inputs_EB_MIN'!AF$10:AF$11),0)</f>
        <v>-59.761942833458882</v>
      </c>
    </row>
    <row r="410" spans="1:32" s="59" customFormat="1">
      <c r="A410" s="95" t="s">
        <v>728</v>
      </c>
      <c r="B410" s="95" t="s">
        <v>750</v>
      </c>
      <c r="C410" s="71" t="s">
        <v>550</v>
      </c>
      <c r="D410" s="74" t="s">
        <v>387</v>
      </c>
      <c r="E410" s="176">
        <f>IFERROR(E370*'Key inputs_EB_MIN'!E$11/SUM('Key inputs_EB_MIN'!E$10:E$11),0)</f>
        <v>0</v>
      </c>
      <c r="F410" s="176">
        <f>IFERROR(F370*'Key inputs_EB_MIN'!F$11/SUM('Key inputs_EB_MIN'!F$10:F$11),0)</f>
        <v>0</v>
      </c>
      <c r="G410" s="176">
        <f>IFERROR(G370*'Key inputs_EB_MIN'!G$11/SUM('Key inputs_EB_MIN'!G$10:G$11),0)</f>
        <v>0</v>
      </c>
      <c r="H410" s="176">
        <f>IFERROR(H370*'Key inputs_EB_MIN'!H$11/SUM('Key inputs_EB_MIN'!H$10:H$11),0)</f>
        <v>0</v>
      </c>
      <c r="I410" s="176">
        <f>IFERROR(I370*'Key inputs_EB_MIN'!I$11/SUM('Key inputs_EB_MIN'!I$10:I$11),0)</f>
        <v>0</v>
      </c>
      <c r="J410" s="176">
        <f>IFERROR(J370*'Key inputs_EB_MIN'!J$11/SUM('Key inputs_EB_MIN'!J$10:J$11),0)</f>
        <v>0</v>
      </c>
      <c r="K410" s="176">
        <f>IFERROR(K370*'Key inputs_EB_MIN'!K$11/SUM('Key inputs_EB_MIN'!K$10:K$11),0)</f>
        <v>0</v>
      </c>
      <c r="L410" s="176">
        <f>IFERROR(L370*'Key inputs_EB_MIN'!L$11/SUM('Key inputs_EB_MIN'!L$10:L$11),0)</f>
        <v>0</v>
      </c>
      <c r="M410" s="176">
        <f>IFERROR(M370*'Key inputs_EB_MIN'!M$11/SUM('Key inputs_EB_MIN'!M$10:M$11),0)</f>
        <v>0</v>
      </c>
      <c r="N410" s="176">
        <f>IFERROR(N370*'Key inputs_EB_MIN'!N$11/SUM('Key inputs_EB_MIN'!N$10:N$11),0)</f>
        <v>0</v>
      </c>
      <c r="O410" s="176">
        <f>IFERROR(O370*'Key inputs_EB_MIN'!O$11/SUM('Key inputs_EB_MIN'!O$10:O$11),0)</f>
        <v>0</v>
      </c>
      <c r="P410" s="176">
        <f>IFERROR(P370*'Key inputs_EB_MIN'!P$11/SUM('Key inputs_EB_MIN'!P$10:P$11),0)</f>
        <v>0</v>
      </c>
      <c r="Q410" s="176">
        <f>IFERROR(Q370*'Key inputs_EB_MIN'!Q$11/SUM('Key inputs_EB_MIN'!Q$10:Q$11),0)</f>
        <v>0</v>
      </c>
      <c r="R410" s="176">
        <f>IFERROR(R370*'Key inputs_EB_MIN'!R$11/SUM('Key inputs_EB_MIN'!R$10:R$11),0)</f>
        <v>0</v>
      </c>
      <c r="S410" s="176">
        <f>IFERROR(S370*'Key inputs_EB_MIN'!S$11/SUM('Key inputs_EB_MIN'!S$10:S$11),0)</f>
        <v>-0.22967903801380279</v>
      </c>
      <c r="T410" s="176">
        <f>IFERROR(T370*'Key inputs_EB_MIN'!T$11/SUM('Key inputs_EB_MIN'!T$10:T$11),0)</f>
        <v>0</v>
      </c>
      <c r="U410" s="176">
        <f>IFERROR(U370*'Key inputs_EB_MIN'!U$11/SUM('Key inputs_EB_MIN'!U$10:U$11),0)</f>
        <v>0</v>
      </c>
      <c r="V410" s="176">
        <f>IFERROR(V370*'Key inputs_EB_MIN'!V$11/SUM('Key inputs_EB_MIN'!V$10:V$11),0)</f>
        <v>0</v>
      </c>
      <c r="W410" s="176">
        <f>IFERROR(W370*'Key inputs_EB_MIN'!W$11/SUM('Key inputs_EB_MIN'!W$10:W$11),0)</f>
        <v>0</v>
      </c>
      <c r="X410" s="176">
        <f>IFERROR(X370*'Key inputs_EB_MIN'!X$11/SUM('Key inputs_EB_MIN'!X$10:X$11),0)</f>
        <v>0</v>
      </c>
      <c r="Y410" s="176">
        <f>IFERROR(Y370*'Key inputs_EB_MIN'!Y$11/SUM('Key inputs_EB_MIN'!Y$10:Y$11),0)</f>
        <v>0</v>
      </c>
      <c r="Z410" s="176">
        <f>IFERROR(Z370*'Key inputs_EB_MIN'!Z$11/SUM('Key inputs_EB_MIN'!Z$10:Z$11),0)</f>
        <v>0</v>
      </c>
      <c r="AA410" s="176">
        <f>IFERROR(AA370*'Key inputs_EB_MIN'!AA$11/SUM('Key inputs_EB_MIN'!AA$10:AA$11),0)</f>
        <v>0</v>
      </c>
      <c r="AB410" s="176">
        <f>IFERROR(AB370*'Key inputs_EB_MIN'!AB$11/SUM('Key inputs_EB_MIN'!AB$10:AB$11),0)</f>
        <v>0</v>
      </c>
      <c r="AC410" s="176">
        <f>IFERROR(AC370*'Key inputs_EB_MIN'!AC$11/SUM('Key inputs_EB_MIN'!AC$10:AC$11),0)</f>
        <v>0</v>
      </c>
      <c r="AD410" s="176">
        <f>IFERROR(AD370*'Key inputs_EB_MIN'!AD$11/SUM('Key inputs_EB_MIN'!AD$10:AD$11),0)</f>
        <v>0</v>
      </c>
      <c r="AE410" s="176">
        <f>IFERROR(AE370*'Key inputs_EB_MIN'!AE$11/SUM('Key inputs_EB_MIN'!AE$10:AE$11),0)</f>
        <v>0</v>
      </c>
      <c r="AF410" s="287">
        <f>IFERROR(AF370*'Key inputs_EB_MIN'!AF$11/SUM('Key inputs_EB_MIN'!AF$10:AF$11),0)</f>
        <v>0</v>
      </c>
    </row>
    <row r="411" spans="1:32" s="59" customFormat="1">
      <c r="A411" s="95" t="s">
        <v>728</v>
      </c>
      <c r="B411" s="95" t="s">
        <v>750</v>
      </c>
      <c r="C411" s="71" t="s">
        <v>552</v>
      </c>
      <c r="D411" s="74" t="s">
        <v>387</v>
      </c>
      <c r="E411" s="176">
        <f>IFERROR(E371*'Key inputs_EB_MIN'!E$11/SUM('Key inputs_EB_MIN'!E$10:E$11),0)</f>
        <v>0</v>
      </c>
      <c r="F411" s="176">
        <f>IFERROR(F371*'Key inputs_EB_MIN'!F$11/SUM('Key inputs_EB_MIN'!F$10:F$11),0)</f>
        <v>0</v>
      </c>
      <c r="G411" s="176">
        <f>IFERROR(G371*'Key inputs_EB_MIN'!G$11/SUM('Key inputs_EB_MIN'!G$10:G$11),0)</f>
        <v>0</v>
      </c>
      <c r="H411" s="176">
        <f>IFERROR(H371*'Key inputs_EB_MIN'!H$11/SUM('Key inputs_EB_MIN'!H$10:H$11),0)</f>
        <v>0</v>
      </c>
      <c r="I411" s="176">
        <f>IFERROR(I371*'Key inputs_EB_MIN'!I$11/SUM('Key inputs_EB_MIN'!I$10:I$11),0)</f>
        <v>-0.864340666956948</v>
      </c>
      <c r="J411" s="176">
        <f>IFERROR(J371*'Key inputs_EB_MIN'!J$11/SUM('Key inputs_EB_MIN'!J$10:J$11),0)</f>
        <v>0</v>
      </c>
      <c r="K411" s="176">
        <f>IFERROR(K371*'Key inputs_EB_MIN'!K$11/SUM('Key inputs_EB_MIN'!K$10:K$11),0)</f>
        <v>0</v>
      </c>
      <c r="L411" s="176">
        <f>IFERROR(L371*'Key inputs_EB_MIN'!L$11/SUM('Key inputs_EB_MIN'!L$10:L$11),0)</f>
        <v>0</v>
      </c>
      <c r="M411" s="176">
        <f>IFERROR(M371*'Key inputs_EB_MIN'!M$11/SUM('Key inputs_EB_MIN'!M$10:M$11),0)</f>
        <v>0</v>
      </c>
      <c r="N411" s="176">
        <f>IFERROR(N371*'Key inputs_EB_MIN'!N$11/SUM('Key inputs_EB_MIN'!N$10:N$11),0)</f>
        <v>0</v>
      </c>
      <c r="O411" s="176">
        <f>IFERROR(O371*'Key inputs_EB_MIN'!O$11/SUM('Key inputs_EB_MIN'!O$10:O$11),0)</f>
        <v>0</v>
      </c>
      <c r="P411" s="176">
        <f>IFERROR(P371*'Key inputs_EB_MIN'!P$11/SUM('Key inputs_EB_MIN'!P$10:P$11),0)</f>
        <v>0</v>
      </c>
      <c r="Q411" s="176">
        <f>IFERROR(Q371*'Key inputs_EB_MIN'!Q$11/SUM('Key inputs_EB_MIN'!Q$10:Q$11),0)</f>
        <v>0</v>
      </c>
      <c r="R411" s="176">
        <f>IFERROR(R371*'Key inputs_EB_MIN'!R$11/SUM('Key inputs_EB_MIN'!R$10:R$11),0)</f>
        <v>0</v>
      </c>
      <c r="S411" s="176">
        <f>IFERROR(S371*'Key inputs_EB_MIN'!S$11/SUM('Key inputs_EB_MIN'!S$10:S$11),0)</f>
        <v>-3.6076698048612701</v>
      </c>
      <c r="T411" s="176">
        <f>IFERROR(T371*'Key inputs_EB_MIN'!T$11/SUM('Key inputs_EB_MIN'!T$10:T$11),0)</f>
        <v>0</v>
      </c>
      <c r="U411" s="176">
        <f>IFERROR(U371*'Key inputs_EB_MIN'!U$11/SUM('Key inputs_EB_MIN'!U$10:U$11),0)</f>
        <v>0</v>
      </c>
      <c r="V411" s="176">
        <f>IFERROR(V371*'Key inputs_EB_MIN'!V$11/SUM('Key inputs_EB_MIN'!V$10:V$11),0)</f>
        <v>0</v>
      </c>
      <c r="W411" s="176">
        <f>IFERROR(W371*'Key inputs_EB_MIN'!W$11/SUM('Key inputs_EB_MIN'!W$10:W$11),0)</f>
        <v>0</v>
      </c>
      <c r="X411" s="176">
        <f>IFERROR(X371*'Key inputs_EB_MIN'!X$11/SUM('Key inputs_EB_MIN'!X$10:X$11),0)</f>
        <v>0</v>
      </c>
      <c r="Y411" s="176">
        <f>IFERROR(Y371*'Key inputs_EB_MIN'!Y$11/SUM('Key inputs_EB_MIN'!Y$10:Y$11),0)</f>
        <v>0</v>
      </c>
      <c r="Z411" s="176">
        <f>IFERROR(Z371*'Key inputs_EB_MIN'!Z$11/SUM('Key inputs_EB_MIN'!Z$10:Z$11),0)</f>
        <v>0</v>
      </c>
      <c r="AA411" s="176">
        <f>IFERROR(AA371*'Key inputs_EB_MIN'!AA$11/SUM('Key inputs_EB_MIN'!AA$10:AA$11),0)</f>
        <v>0</v>
      </c>
      <c r="AB411" s="176">
        <f>IFERROR(AB371*'Key inputs_EB_MIN'!AB$11/SUM('Key inputs_EB_MIN'!AB$10:AB$11),0)</f>
        <v>0</v>
      </c>
      <c r="AC411" s="176">
        <f>IFERROR(AC371*'Key inputs_EB_MIN'!AC$11/SUM('Key inputs_EB_MIN'!AC$10:AC$11),0)</f>
        <v>0</v>
      </c>
      <c r="AD411" s="176">
        <f>IFERROR(AD371*'Key inputs_EB_MIN'!AD$11/SUM('Key inputs_EB_MIN'!AD$10:AD$11),0)</f>
        <v>0</v>
      </c>
      <c r="AE411" s="176">
        <f>IFERROR(AE371*'Key inputs_EB_MIN'!AE$11/SUM('Key inputs_EB_MIN'!AE$10:AE$11),0)</f>
        <v>0</v>
      </c>
      <c r="AF411" s="287">
        <f>IFERROR(AF371*'Key inputs_EB_MIN'!AF$11/SUM('Key inputs_EB_MIN'!AF$10:AF$11),0)</f>
        <v>0</v>
      </c>
    </row>
    <row r="412" spans="1:32" s="59" customFormat="1">
      <c r="A412" s="95" t="s">
        <v>728</v>
      </c>
      <c r="B412" s="95" t="s">
        <v>750</v>
      </c>
      <c r="C412" s="71" t="s">
        <v>554</v>
      </c>
      <c r="D412" s="74" t="s">
        <v>387</v>
      </c>
      <c r="E412" s="176">
        <f>IFERROR(E372*'Key inputs_EB_MIN'!E$11/SUM('Key inputs_EB_MIN'!E$10:E$11),0)</f>
        <v>0</v>
      </c>
      <c r="F412" s="176">
        <f>IFERROR(F372*'Key inputs_EB_MIN'!F$11/SUM('Key inputs_EB_MIN'!F$10:F$11),0)</f>
        <v>0</v>
      </c>
      <c r="G412" s="176">
        <f>IFERROR(G372*'Key inputs_EB_MIN'!G$11/SUM('Key inputs_EB_MIN'!G$10:G$11),0)</f>
        <v>0</v>
      </c>
      <c r="H412" s="176">
        <f>IFERROR(H372*'Key inputs_EB_MIN'!H$11/SUM('Key inputs_EB_MIN'!H$10:H$11),0)</f>
        <v>0</v>
      </c>
      <c r="I412" s="176">
        <f>IFERROR(I372*'Key inputs_EB_MIN'!I$11/SUM('Key inputs_EB_MIN'!I$10:I$11),0)</f>
        <v>0</v>
      </c>
      <c r="J412" s="176">
        <f>IFERROR(J372*'Key inputs_EB_MIN'!J$11/SUM('Key inputs_EB_MIN'!J$10:J$11),0)</f>
        <v>0</v>
      </c>
      <c r="K412" s="176">
        <f>IFERROR(K372*'Key inputs_EB_MIN'!K$11/SUM('Key inputs_EB_MIN'!K$10:K$11),0)</f>
        <v>0</v>
      </c>
      <c r="L412" s="176">
        <f>IFERROR(L372*'Key inputs_EB_MIN'!L$11/SUM('Key inputs_EB_MIN'!L$10:L$11),0)</f>
        <v>0</v>
      </c>
      <c r="M412" s="176">
        <f>IFERROR(M372*'Key inputs_EB_MIN'!M$11/SUM('Key inputs_EB_MIN'!M$10:M$11),0)</f>
        <v>0</v>
      </c>
      <c r="N412" s="176">
        <f>IFERROR(N372*'Key inputs_EB_MIN'!N$11/SUM('Key inputs_EB_MIN'!N$10:N$11),0)</f>
        <v>0</v>
      </c>
      <c r="O412" s="176">
        <f>IFERROR(O372*'Key inputs_EB_MIN'!O$11/SUM('Key inputs_EB_MIN'!O$10:O$11),0)</f>
        <v>0</v>
      </c>
      <c r="P412" s="176">
        <f>IFERROR(P372*'Key inputs_EB_MIN'!P$11/SUM('Key inputs_EB_MIN'!P$10:P$11),0)</f>
        <v>0</v>
      </c>
      <c r="Q412" s="176">
        <f>IFERROR(Q372*'Key inputs_EB_MIN'!Q$11/SUM('Key inputs_EB_MIN'!Q$10:Q$11),0)</f>
        <v>0</v>
      </c>
      <c r="R412" s="176">
        <f>IFERROR(R372*'Key inputs_EB_MIN'!R$11/SUM('Key inputs_EB_MIN'!R$10:R$11),0)</f>
        <v>0</v>
      </c>
      <c r="S412" s="176">
        <f>IFERROR(S372*'Key inputs_EB_MIN'!S$11/SUM('Key inputs_EB_MIN'!S$10:S$11),0)</f>
        <v>0</v>
      </c>
      <c r="T412" s="176">
        <f>IFERROR(T372*'Key inputs_EB_MIN'!T$11/SUM('Key inputs_EB_MIN'!T$10:T$11),0)</f>
        <v>0</v>
      </c>
      <c r="U412" s="176">
        <f>IFERROR(U372*'Key inputs_EB_MIN'!U$11/SUM('Key inputs_EB_MIN'!U$10:U$11),0)</f>
        <v>0</v>
      </c>
      <c r="V412" s="176">
        <f>IFERROR(V372*'Key inputs_EB_MIN'!V$11/SUM('Key inputs_EB_MIN'!V$10:V$11),0)</f>
        <v>0</v>
      </c>
      <c r="W412" s="176">
        <f>IFERROR(W372*'Key inputs_EB_MIN'!W$11/SUM('Key inputs_EB_MIN'!W$10:W$11),0)</f>
        <v>0</v>
      </c>
      <c r="X412" s="176">
        <f>IFERROR(X372*'Key inputs_EB_MIN'!X$11/SUM('Key inputs_EB_MIN'!X$10:X$11),0)</f>
        <v>0</v>
      </c>
      <c r="Y412" s="176">
        <f>IFERROR(Y372*'Key inputs_EB_MIN'!Y$11/SUM('Key inputs_EB_MIN'!Y$10:Y$11),0)</f>
        <v>0</v>
      </c>
      <c r="Z412" s="176">
        <f>IFERROR(Z372*'Key inputs_EB_MIN'!Z$11/SUM('Key inputs_EB_MIN'!Z$10:Z$11),0)</f>
        <v>0</v>
      </c>
      <c r="AA412" s="176">
        <f>IFERROR(AA372*'Key inputs_EB_MIN'!AA$11/SUM('Key inputs_EB_MIN'!AA$10:AA$11),0)</f>
        <v>0</v>
      </c>
      <c r="AB412" s="176">
        <f>IFERROR(AB372*'Key inputs_EB_MIN'!AB$11/SUM('Key inputs_EB_MIN'!AB$10:AB$11),0)</f>
        <v>0</v>
      </c>
      <c r="AC412" s="176">
        <f>IFERROR(AC372*'Key inputs_EB_MIN'!AC$11/SUM('Key inputs_EB_MIN'!AC$10:AC$11),0)</f>
        <v>0</v>
      </c>
      <c r="AD412" s="176">
        <f>IFERROR(AD372*'Key inputs_EB_MIN'!AD$11/SUM('Key inputs_EB_MIN'!AD$10:AD$11),0)</f>
        <v>0</v>
      </c>
      <c r="AE412" s="176">
        <f>IFERROR(AE372*'Key inputs_EB_MIN'!AE$11/SUM('Key inputs_EB_MIN'!AE$10:AE$11),0)</f>
        <v>0</v>
      </c>
      <c r="AF412" s="287">
        <f>IFERROR(AF372*'Key inputs_EB_MIN'!AF$11/SUM('Key inputs_EB_MIN'!AF$10:AF$11),0)</f>
        <v>0</v>
      </c>
    </row>
    <row r="413" spans="1:32" s="59" customFormat="1">
      <c r="A413" s="95" t="s">
        <v>728</v>
      </c>
      <c r="B413" s="95" t="s">
        <v>750</v>
      </c>
      <c r="C413" s="71" t="s">
        <v>556</v>
      </c>
      <c r="D413" s="74" t="s">
        <v>387</v>
      </c>
      <c r="E413" s="176">
        <f>IFERROR(E373*'Key inputs_EB_MIN'!E$11/SUM('Key inputs_EB_MIN'!E$10:E$11),0)</f>
        <v>0</v>
      </c>
      <c r="F413" s="176">
        <f>IFERROR(F373*'Key inputs_EB_MIN'!F$11/SUM('Key inputs_EB_MIN'!F$10:F$11),0)</f>
        <v>0</v>
      </c>
      <c r="G413" s="176">
        <f>IFERROR(G373*'Key inputs_EB_MIN'!G$11/SUM('Key inputs_EB_MIN'!G$10:G$11),0)</f>
        <v>0</v>
      </c>
      <c r="H413" s="176">
        <f>IFERROR(H373*'Key inputs_EB_MIN'!H$11/SUM('Key inputs_EB_MIN'!H$10:H$11),0)</f>
        <v>0</v>
      </c>
      <c r="I413" s="176">
        <f>IFERROR(I373*'Key inputs_EB_MIN'!I$11/SUM('Key inputs_EB_MIN'!I$10:I$11),0)</f>
        <v>0</v>
      </c>
      <c r="J413" s="176">
        <f>IFERROR(J373*'Key inputs_EB_MIN'!J$11/SUM('Key inputs_EB_MIN'!J$10:J$11),0)</f>
        <v>0</v>
      </c>
      <c r="K413" s="176">
        <f>IFERROR(K373*'Key inputs_EB_MIN'!K$11/SUM('Key inputs_EB_MIN'!K$10:K$11),0)</f>
        <v>0</v>
      </c>
      <c r="L413" s="176">
        <f>IFERROR(L373*'Key inputs_EB_MIN'!L$11/SUM('Key inputs_EB_MIN'!L$10:L$11),0)</f>
        <v>0</v>
      </c>
      <c r="M413" s="176">
        <f>IFERROR(M373*'Key inputs_EB_MIN'!M$11/SUM('Key inputs_EB_MIN'!M$10:M$11),0)</f>
        <v>0</v>
      </c>
      <c r="N413" s="176">
        <f>IFERROR(N373*'Key inputs_EB_MIN'!N$11/SUM('Key inputs_EB_MIN'!N$10:N$11),0)</f>
        <v>0</v>
      </c>
      <c r="O413" s="176">
        <f>IFERROR(O373*'Key inputs_EB_MIN'!O$11/SUM('Key inputs_EB_MIN'!O$10:O$11),0)</f>
        <v>0</v>
      </c>
      <c r="P413" s="176">
        <f>IFERROR(P373*'Key inputs_EB_MIN'!P$11/SUM('Key inputs_EB_MIN'!P$10:P$11),0)</f>
        <v>0</v>
      </c>
      <c r="Q413" s="176">
        <f>IFERROR(Q373*'Key inputs_EB_MIN'!Q$11/SUM('Key inputs_EB_MIN'!Q$10:Q$11),0)</f>
        <v>0</v>
      </c>
      <c r="R413" s="176">
        <f>IFERROR(R373*'Key inputs_EB_MIN'!R$11/SUM('Key inputs_EB_MIN'!R$10:R$11),0)</f>
        <v>0</v>
      </c>
      <c r="S413" s="176">
        <f>IFERROR(S373*'Key inputs_EB_MIN'!S$11/SUM('Key inputs_EB_MIN'!S$10:S$11),0)</f>
        <v>0</v>
      </c>
      <c r="T413" s="176">
        <f>IFERROR(T373*'Key inputs_EB_MIN'!T$11/SUM('Key inputs_EB_MIN'!T$10:T$11),0)</f>
        <v>0</v>
      </c>
      <c r="U413" s="176">
        <f>IFERROR(U373*'Key inputs_EB_MIN'!U$11/SUM('Key inputs_EB_MIN'!U$10:U$11),0)</f>
        <v>0</v>
      </c>
      <c r="V413" s="176">
        <f>IFERROR(V373*'Key inputs_EB_MIN'!V$11/SUM('Key inputs_EB_MIN'!V$10:V$11),0)</f>
        <v>0</v>
      </c>
      <c r="W413" s="176">
        <f>IFERROR(W373*'Key inputs_EB_MIN'!W$11/SUM('Key inputs_EB_MIN'!W$10:W$11),0)</f>
        <v>0</v>
      </c>
      <c r="X413" s="176">
        <f>IFERROR(X373*'Key inputs_EB_MIN'!X$11/SUM('Key inputs_EB_MIN'!X$10:X$11),0)</f>
        <v>0</v>
      </c>
      <c r="Y413" s="176">
        <f>IFERROR(Y373*'Key inputs_EB_MIN'!Y$11/SUM('Key inputs_EB_MIN'!Y$10:Y$11),0)</f>
        <v>0</v>
      </c>
      <c r="Z413" s="176">
        <f>IFERROR(Z373*'Key inputs_EB_MIN'!Z$11/SUM('Key inputs_EB_MIN'!Z$10:Z$11),0)</f>
        <v>0</v>
      </c>
      <c r="AA413" s="176">
        <f>IFERROR(AA373*'Key inputs_EB_MIN'!AA$11/SUM('Key inputs_EB_MIN'!AA$10:AA$11),0)</f>
        <v>0</v>
      </c>
      <c r="AB413" s="176">
        <f>IFERROR(AB373*'Key inputs_EB_MIN'!AB$11/SUM('Key inputs_EB_MIN'!AB$10:AB$11),0)</f>
        <v>0</v>
      </c>
      <c r="AC413" s="176">
        <f>IFERROR(AC373*'Key inputs_EB_MIN'!AC$11/SUM('Key inputs_EB_MIN'!AC$10:AC$11),0)</f>
        <v>0</v>
      </c>
      <c r="AD413" s="176">
        <f>IFERROR(AD373*'Key inputs_EB_MIN'!AD$11/SUM('Key inputs_EB_MIN'!AD$10:AD$11),0)</f>
        <v>0</v>
      </c>
      <c r="AE413" s="176">
        <f>IFERROR(AE373*'Key inputs_EB_MIN'!AE$11/SUM('Key inputs_EB_MIN'!AE$10:AE$11),0)</f>
        <v>0</v>
      </c>
      <c r="AF413" s="287">
        <f>IFERROR(AF373*'Key inputs_EB_MIN'!AF$11/SUM('Key inputs_EB_MIN'!AF$10:AF$11),0)</f>
        <v>0</v>
      </c>
    </row>
    <row r="414" spans="1:32" s="59" customFormat="1">
      <c r="A414" s="95" t="s">
        <v>728</v>
      </c>
      <c r="B414" s="95" t="s">
        <v>750</v>
      </c>
      <c r="C414" s="71" t="s">
        <v>558</v>
      </c>
      <c r="D414" s="74" t="s">
        <v>387</v>
      </c>
      <c r="E414" s="176">
        <f>IFERROR(E374*'Key inputs_EB_MIN'!E$11/SUM('Key inputs_EB_MIN'!E$10:E$11),0)</f>
        <v>0</v>
      </c>
      <c r="F414" s="176">
        <f>IFERROR(F374*'Key inputs_EB_MIN'!F$11/SUM('Key inputs_EB_MIN'!F$10:F$11),0)</f>
        <v>0</v>
      </c>
      <c r="G414" s="176">
        <f>IFERROR(G374*'Key inputs_EB_MIN'!G$11/SUM('Key inputs_EB_MIN'!G$10:G$11),0)</f>
        <v>0</v>
      </c>
      <c r="H414" s="176">
        <f>IFERROR(H374*'Key inputs_EB_MIN'!H$11/SUM('Key inputs_EB_MIN'!H$10:H$11),0)</f>
        <v>0</v>
      </c>
      <c r="I414" s="176">
        <f>IFERROR(I374*'Key inputs_EB_MIN'!I$11/SUM('Key inputs_EB_MIN'!I$10:I$11),0)</f>
        <v>-0.28703550524409904</v>
      </c>
      <c r="J414" s="176">
        <f>IFERROR(J374*'Key inputs_EB_MIN'!J$11/SUM('Key inputs_EB_MIN'!J$10:J$11),0)</f>
        <v>0</v>
      </c>
      <c r="K414" s="176">
        <f>IFERROR(K374*'Key inputs_EB_MIN'!K$11/SUM('Key inputs_EB_MIN'!K$10:K$11),0)</f>
        <v>0</v>
      </c>
      <c r="L414" s="176">
        <f>IFERROR(L374*'Key inputs_EB_MIN'!L$11/SUM('Key inputs_EB_MIN'!L$10:L$11),0)</f>
        <v>0</v>
      </c>
      <c r="M414" s="176">
        <f>IFERROR(M374*'Key inputs_EB_MIN'!M$11/SUM('Key inputs_EB_MIN'!M$10:M$11),0)</f>
        <v>0</v>
      </c>
      <c r="N414" s="176">
        <f>IFERROR(N374*'Key inputs_EB_MIN'!N$11/SUM('Key inputs_EB_MIN'!N$10:N$11),0)</f>
        <v>0</v>
      </c>
      <c r="O414" s="176">
        <f>IFERROR(O374*'Key inputs_EB_MIN'!O$11/SUM('Key inputs_EB_MIN'!O$10:O$11),0)</f>
        <v>0</v>
      </c>
      <c r="P414" s="176">
        <f>IFERROR(P374*'Key inputs_EB_MIN'!P$11/SUM('Key inputs_EB_MIN'!P$10:P$11),0)</f>
        <v>0</v>
      </c>
      <c r="Q414" s="176">
        <f>IFERROR(Q374*'Key inputs_EB_MIN'!Q$11/SUM('Key inputs_EB_MIN'!Q$10:Q$11),0)</f>
        <v>0</v>
      </c>
      <c r="R414" s="176">
        <f>IFERROR(R374*'Key inputs_EB_MIN'!R$11/SUM('Key inputs_EB_MIN'!R$10:R$11),0)</f>
        <v>0</v>
      </c>
      <c r="S414" s="176">
        <f>IFERROR(S374*'Key inputs_EB_MIN'!S$11/SUM('Key inputs_EB_MIN'!S$10:S$11),0)</f>
        <v>-3.8903538927208223</v>
      </c>
      <c r="T414" s="176">
        <f>IFERROR(T374*'Key inputs_EB_MIN'!T$11/SUM('Key inputs_EB_MIN'!T$10:T$11),0)</f>
        <v>0</v>
      </c>
      <c r="U414" s="176">
        <f>IFERROR(U374*'Key inputs_EB_MIN'!U$11/SUM('Key inputs_EB_MIN'!U$10:U$11),0)</f>
        <v>0</v>
      </c>
      <c r="V414" s="176">
        <f>IFERROR(V374*'Key inputs_EB_MIN'!V$11/SUM('Key inputs_EB_MIN'!V$10:V$11),0)</f>
        <v>0</v>
      </c>
      <c r="W414" s="176">
        <f>IFERROR(W374*'Key inputs_EB_MIN'!W$11/SUM('Key inputs_EB_MIN'!W$10:W$11),0)</f>
        <v>0</v>
      </c>
      <c r="X414" s="176">
        <f>IFERROR(X374*'Key inputs_EB_MIN'!X$11/SUM('Key inputs_EB_MIN'!X$10:X$11),0)</f>
        <v>0</v>
      </c>
      <c r="Y414" s="176">
        <f>IFERROR(Y374*'Key inputs_EB_MIN'!Y$11/SUM('Key inputs_EB_MIN'!Y$10:Y$11),0)</f>
        <v>0</v>
      </c>
      <c r="Z414" s="176">
        <f>IFERROR(Z374*'Key inputs_EB_MIN'!Z$11/SUM('Key inputs_EB_MIN'!Z$10:Z$11),0)</f>
        <v>0</v>
      </c>
      <c r="AA414" s="176">
        <f>IFERROR(AA374*'Key inputs_EB_MIN'!AA$11/SUM('Key inputs_EB_MIN'!AA$10:AA$11),0)</f>
        <v>0</v>
      </c>
      <c r="AB414" s="176">
        <f>IFERROR(AB374*'Key inputs_EB_MIN'!AB$11/SUM('Key inputs_EB_MIN'!AB$10:AB$11),0)</f>
        <v>0</v>
      </c>
      <c r="AC414" s="176">
        <f>IFERROR(AC374*'Key inputs_EB_MIN'!AC$11/SUM('Key inputs_EB_MIN'!AC$10:AC$11),0)</f>
        <v>0</v>
      </c>
      <c r="AD414" s="176">
        <f>IFERROR(AD374*'Key inputs_EB_MIN'!AD$11/SUM('Key inputs_EB_MIN'!AD$10:AD$11),0)</f>
        <v>0</v>
      </c>
      <c r="AE414" s="176">
        <f>IFERROR(AE374*'Key inputs_EB_MIN'!AE$11/SUM('Key inputs_EB_MIN'!AE$10:AE$11),0)</f>
        <v>0</v>
      </c>
      <c r="AF414" s="287">
        <f>IFERROR(AF374*'Key inputs_EB_MIN'!AF$11/SUM('Key inputs_EB_MIN'!AF$10:AF$11),0)</f>
        <v>0</v>
      </c>
    </row>
    <row r="415" spans="1:32" s="59" customFormat="1">
      <c r="A415" s="97" t="s">
        <v>728</v>
      </c>
      <c r="B415" s="76" t="s">
        <v>750</v>
      </c>
      <c r="C415" s="76" t="s">
        <v>560</v>
      </c>
      <c r="D415" s="77" t="s">
        <v>387</v>
      </c>
      <c r="E415" s="288">
        <f>IFERROR(E375*'Key inputs_EB_MIN'!E$11/SUM('Key inputs_EB_MIN'!E$10:E$11),0)</f>
        <v>0</v>
      </c>
      <c r="F415" s="289">
        <f>IFERROR(F375*'Key inputs_EB_MIN'!F$11/SUM('Key inputs_EB_MIN'!F$10:F$11),0)</f>
        <v>0</v>
      </c>
      <c r="G415" s="289">
        <f>IFERROR(G375*'Key inputs_EB_MIN'!G$11/SUM('Key inputs_EB_MIN'!G$10:G$11),0)</f>
        <v>0</v>
      </c>
      <c r="H415" s="289">
        <f>IFERROR(H375*'Key inputs_EB_MIN'!H$11/SUM('Key inputs_EB_MIN'!H$10:H$11),0)</f>
        <v>0</v>
      </c>
      <c r="I415" s="289">
        <f>IFERROR(I375*'Key inputs_EB_MIN'!I$11/SUM('Key inputs_EB_MIN'!I$10:I$11),0)</f>
        <v>0</v>
      </c>
      <c r="J415" s="289">
        <f>IFERROR(J375*'Key inputs_EB_MIN'!J$11/SUM('Key inputs_EB_MIN'!J$10:J$11),0)</f>
        <v>0</v>
      </c>
      <c r="K415" s="289">
        <f>IFERROR(K375*'Key inputs_EB_MIN'!K$11/SUM('Key inputs_EB_MIN'!K$10:K$11),0)</f>
        <v>0</v>
      </c>
      <c r="L415" s="289">
        <f>IFERROR(L375*'Key inputs_EB_MIN'!L$11/SUM('Key inputs_EB_MIN'!L$10:L$11),0)</f>
        <v>0</v>
      </c>
      <c r="M415" s="289">
        <f>IFERROR(M375*'Key inputs_EB_MIN'!M$11/SUM('Key inputs_EB_MIN'!M$10:M$11),0)</f>
        <v>0</v>
      </c>
      <c r="N415" s="289">
        <f>IFERROR(N375*'Key inputs_EB_MIN'!N$11/SUM('Key inputs_EB_MIN'!N$10:N$11),0)</f>
        <v>0</v>
      </c>
      <c r="O415" s="289">
        <f>IFERROR(O375*'Key inputs_EB_MIN'!O$11/SUM('Key inputs_EB_MIN'!O$10:O$11),0)</f>
        <v>0</v>
      </c>
      <c r="P415" s="289">
        <f>IFERROR(P375*'Key inputs_EB_MIN'!P$11/SUM('Key inputs_EB_MIN'!P$10:P$11),0)</f>
        <v>0</v>
      </c>
      <c r="Q415" s="289">
        <f>IFERROR(Q375*'Key inputs_EB_MIN'!Q$11/SUM('Key inputs_EB_MIN'!Q$10:Q$11),0)</f>
        <v>0</v>
      </c>
      <c r="R415" s="289">
        <f>IFERROR(R375*'Key inputs_EB_MIN'!R$11/SUM('Key inputs_EB_MIN'!R$10:R$11),0)</f>
        <v>0</v>
      </c>
      <c r="S415" s="289">
        <f>IFERROR(S375*'Key inputs_EB_MIN'!S$11/SUM('Key inputs_EB_MIN'!S$10:S$11),0)</f>
        <v>0</v>
      </c>
      <c r="T415" s="289">
        <f>IFERROR(T375*'Key inputs_EB_MIN'!T$11/SUM('Key inputs_EB_MIN'!T$10:T$11),0)</f>
        <v>0</v>
      </c>
      <c r="U415" s="289">
        <f>IFERROR(U375*'Key inputs_EB_MIN'!U$11/SUM('Key inputs_EB_MIN'!U$10:U$11),0)</f>
        <v>0</v>
      </c>
      <c r="V415" s="289">
        <f>IFERROR(V375*'Key inputs_EB_MIN'!V$11/SUM('Key inputs_EB_MIN'!V$10:V$11),0)</f>
        <v>0</v>
      </c>
      <c r="W415" s="289">
        <f>IFERROR(W375*'Key inputs_EB_MIN'!W$11/SUM('Key inputs_EB_MIN'!W$10:W$11),0)</f>
        <v>0</v>
      </c>
      <c r="X415" s="289">
        <f>IFERROR(X375*'Key inputs_EB_MIN'!X$11/SUM('Key inputs_EB_MIN'!X$10:X$11),0)</f>
        <v>0</v>
      </c>
      <c r="Y415" s="289">
        <f>IFERROR(Y375*'Key inputs_EB_MIN'!Y$11/SUM('Key inputs_EB_MIN'!Y$10:Y$11),0)</f>
        <v>0</v>
      </c>
      <c r="Z415" s="289">
        <f>IFERROR(Z375*'Key inputs_EB_MIN'!Z$11/SUM('Key inputs_EB_MIN'!Z$10:Z$11),0)</f>
        <v>0</v>
      </c>
      <c r="AA415" s="289">
        <f>IFERROR(AA375*'Key inputs_EB_MIN'!AA$11/SUM('Key inputs_EB_MIN'!AA$10:AA$11),0)</f>
        <v>0</v>
      </c>
      <c r="AB415" s="289">
        <f>IFERROR(AB375*'Key inputs_EB_MIN'!AB$11/SUM('Key inputs_EB_MIN'!AB$10:AB$11),0)</f>
        <v>0</v>
      </c>
      <c r="AC415" s="289">
        <f>IFERROR(AC375*'Key inputs_EB_MIN'!AC$11/SUM('Key inputs_EB_MIN'!AC$10:AC$11),0)</f>
        <v>0</v>
      </c>
      <c r="AD415" s="289">
        <f>IFERROR(AD375*'Key inputs_EB_MIN'!AD$11/SUM('Key inputs_EB_MIN'!AD$10:AD$11),0)</f>
        <v>0</v>
      </c>
      <c r="AE415" s="289">
        <f>IFERROR(AE375*'Key inputs_EB_MIN'!AE$11/SUM('Key inputs_EB_MIN'!AE$10:AE$11),0)</f>
        <v>0</v>
      </c>
      <c r="AF415" s="290">
        <f>IFERROR(AF375*'Key inputs_EB_MIN'!AF$11/SUM('Key inputs_EB_MIN'!AF$10:AF$11),0)</f>
        <v>0</v>
      </c>
    </row>
    <row r="417" spans="1:32" s="60" customFormat="1" ht="14.4">
      <c r="A417" s="86"/>
      <c r="B417" s="86"/>
      <c r="C417" s="63"/>
      <c r="D417" s="63"/>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86"/>
    </row>
    <row r="418" spans="1:32" s="59" customFormat="1">
      <c r="A418" s="90" t="s">
        <v>717</v>
      </c>
      <c r="B418" s="90" t="s">
        <v>727</v>
      </c>
      <c r="C418" s="68" t="s">
        <v>718</v>
      </c>
      <c r="D418" s="68" t="s">
        <v>375</v>
      </c>
      <c r="E418" s="69" t="s">
        <v>172</v>
      </c>
      <c r="F418" s="69" t="s">
        <v>175</v>
      </c>
      <c r="G418" s="69" t="s">
        <v>178</v>
      </c>
      <c r="H418" s="69" t="s">
        <v>181</v>
      </c>
      <c r="I418" s="69" t="s">
        <v>184</v>
      </c>
      <c r="J418" s="69" t="s">
        <v>187</v>
      </c>
      <c r="K418" s="69" t="s">
        <v>190</v>
      </c>
      <c r="L418" s="69" t="s">
        <v>193</v>
      </c>
      <c r="M418" s="69" t="s">
        <v>196</v>
      </c>
      <c r="N418" s="69" t="s">
        <v>198</v>
      </c>
      <c r="O418" s="69" t="s">
        <v>200</v>
      </c>
      <c r="P418" s="69" t="s">
        <v>202</v>
      </c>
      <c r="Q418" s="69" t="s">
        <v>205</v>
      </c>
      <c r="R418" s="69" t="s">
        <v>208</v>
      </c>
      <c r="S418" s="69" t="s">
        <v>211</v>
      </c>
      <c r="T418" s="69" t="s">
        <v>214</v>
      </c>
      <c r="U418" s="69" t="s">
        <v>217</v>
      </c>
      <c r="V418" s="69" t="s">
        <v>220</v>
      </c>
      <c r="W418" s="69" t="s">
        <v>223</v>
      </c>
      <c r="X418" s="69" t="s">
        <v>225</v>
      </c>
      <c r="Y418" s="69" t="s">
        <v>227</v>
      </c>
      <c r="Z418" s="69" t="s">
        <v>230</v>
      </c>
      <c r="AA418" s="69" t="s">
        <v>233</v>
      </c>
      <c r="AB418" s="69" t="s">
        <v>236</v>
      </c>
      <c r="AC418" s="69" t="s">
        <v>238</v>
      </c>
      <c r="AD418" s="69" t="s">
        <v>240</v>
      </c>
      <c r="AE418" s="69" t="s">
        <v>243</v>
      </c>
      <c r="AF418" s="91" t="s">
        <v>245</v>
      </c>
    </row>
    <row r="419" spans="1:32" s="59" customFormat="1">
      <c r="A419" s="95" t="s">
        <v>728</v>
      </c>
      <c r="B419" s="95" t="s">
        <v>732</v>
      </c>
      <c r="C419" s="71" t="s">
        <v>515</v>
      </c>
      <c r="D419" s="74" t="s">
        <v>387</v>
      </c>
      <c r="E419" s="176">
        <f>SUMIFS(E$7:E$26,$C$7:$C$26,$C419)*SUMIFS(E$32:E$350,$C$32:$C$350,$B419,$B$32:$B$350,$C419)</f>
        <v>0</v>
      </c>
      <c r="F419" s="176">
        <f t="shared" ref="F419:AF428" si="23">SUMIFS(F$7:F$26,$C$7:$C$26,$C419)*SUMIFS(F$32:F$350,$C$32:$C$350,$B419,$B$32:$B$350,$C419)</f>
        <v>0</v>
      </c>
      <c r="G419" s="176">
        <f>SUMIFS(G$7:G$26,$C$7:$C$26,$C419)*SUMIFS(G$32:G$350,$C$32:$C$350,$B419,$B$32:$B$350,$C419)</f>
        <v>0</v>
      </c>
      <c r="H419" s="176">
        <f t="shared" si="23"/>
        <v>0</v>
      </c>
      <c r="I419" s="176">
        <f t="shared" si="23"/>
        <v>0</v>
      </c>
      <c r="J419" s="176">
        <f t="shared" si="23"/>
        <v>0</v>
      </c>
      <c r="K419" s="176">
        <f t="shared" si="23"/>
        <v>0</v>
      </c>
      <c r="L419" s="176">
        <f t="shared" si="23"/>
        <v>0</v>
      </c>
      <c r="M419" s="176">
        <f t="shared" si="23"/>
        <v>0</v>
      </c>
      <c r="N419" s="176">
        <f t="shared" si="23"/>
        <v>0</v>
      </c>
      <c r="O419" s="176">
        <f t="shared" si="23"/>
        <v>0</v>
      </c>
      <c r="P419" s="176">
        <f t="shared" si="23"/>
        <v>0</v>
      </c>
      <c r="Q419" s="176">
        <f t="shared" si="23"/>
        <v>0</v>
      </c>
      <c r="R419" s="176">
        <f t="shared" si="23"/>
        <v>0</v>
      </c>
      <c r="S419" s="176">
        <f t="shared" si="23"/>
        <v>0</v>
      </c>
      <c r="T419" s="176">
        <f t="shared" si="23"/>
        <v>0</v>
      </c>
      <c r="U419" s="176">
        <f t="shared" si="23"/>
        <v>0</v>
      </c>
      <c r="V419" s="176">
        <f t="shared" si="23"/>
        <v>0</v>
      </c>
      <c r="W419" s="176">
        <f t="shared" si="23"/>
        <v>0</v>
      </c>
      <c r="X419" s="176">
        <f t="shared" si="23"/>
        <v>0</v>
      </c>
      <c r="Y419" s="176">
        <f t="shared" si="23"/>
        <v>0</v>
      </c>
      <c r="Z419" s="176">
        <f t="shared" si="23"/>
        <v>0</v>
      </c>
      <c r="AA419" s="176">
        <f t="shared" si="23"/>
        <v>0</v>
      </c>
      <c r="AB419" s="176">
        <f t="shared" si="23"/>
        <v>0</v>
      </c>
      <c r="AC419" s="176">
        <f t="shared" si="23"/>
        <v>0</v>
      </c>
      <c r="AD419" s="176">
        <f t="shared" si="23"/>
        <v>0</v>
      </c>
      <c r="AE419" s="176">
        <f t="shared" si="23"/>
        <v>0</v>
      </c>
      <c r="AF419" s="286">
        <f t="shared" si="23"/>
        <v>-3127.9999999999995</v>
      </c>
    </row>
    <row r="420" spans="1:32" s="59" customFormat="1">
      <c r="A420" s="95" t="s">
        <v>728</v>
      </c>
      <c r="B420" s="95" t="s">
        <v>732</v>
      </c>
      <c r="C420" s="71" t="s">
        <v>521</v>
      </c>
      <c r="D420" s="74" t="s">
        <v>387</v>
      </c>
      <c r="E420" s="176">
        <f t="shared" ref="E420:T438" si="24">SUMIFS(E$7:E$26,$C$7:$C$26,$C420)*SUMIFS(E$32:E$350,$C$32:$C$350,$B420,$B$32:$B$350,$C420)</f>
        <v>0</v>
      </c>
      <c r="F420" s="176">
        <f t="shared" si="23"/>
        <v>0</v>
      </c>
      <c r="G420" s="176">
        <f t="shared" si="23"/>
        <v>0</v>
      </c>
      <c r="H420" s="176">
        <f t="shared" si="23"/>
        <v>0</v>
      </c>
      <c r="I420" s="176">
        <f t="shared" si="23"/>
        <v>0</v>
      </c>
      <c r="J420" s="176">
        <f t="shared" si="23"/>
        <v>0</v>
      </c>
      <c r="K420" s="176">
        <f t="shared" si="23"/>
        <v>0</v>
      </c>
      <c r="L420" s="176">
        <f t="shared" si="23"/>
        <v>0</v>
      </c>
      <c r="M420" s="176">
        <f t="shared" si="23"/>
        <v>0</v>
      </c>
      <c r="N420" s="176">
        <f t="shared" si="23"/>
        <v>0</v>
      </c>
      <c r="O420" s="176">
        <f t="shared" si="23"/>
        <v>0</v>
      </c>
      <c r="P420" s="176">
        <f t="shared" si="23"/>
        <v>0</v>
      </c>
      <c r="Q420" s="176">
        <f t="shared" si="23"/>
        <v>0</v>
      </c>
      <c r="R420" s="176">
        <f t="shared" si="23"/>
        <v>0</v>
      </c>
      <c r="S420" s="176">
        <f t="shared" si="23"/>
        <v>0</v>
      </c>
      <c r="T420" s="176">
        <f t="shared" si="23"/>
        <v>0</v>
      </c>
      <c r="U420" s="176">
        <f t="shared" si="23"/>
        <v>0</v>
      </c>
      <c r="V420" s="176">
        <f t="shared" si="23"/>
        <v>0</v>
      </c>
      <c r="W420" s="176">
        <f t="shared" si="23"/>
        <v>0</v>
      </c>
      <c r="X420" s="176">
        <f t="shared" si="23"/>
        <v>0</v>
      </c>
      <c r="Y420" s="176">
        <f t="shared" si="23"/>
        <v>0</v>
      </c>
      <c r="Z420" s="176">
        <f t="shared" si="23"/>
        <v>0</v>
      </c>
      <c r="AA420" s="176">
        <f t="shared" si="23"/>
        <v>0</v>
      </c>
      <c r="AB420" s="176">
        <f t="shared" si="23"/>
        <v>0</v>
      </c>
      <c r="AC420" s="176">
        <f t="shared" si="23"/>
        <v>0</v>
      </c>
      <c r="AD420" s="176">
        <f t="shared" si="23"/>
        <v>0</v>
      </c>
      <c r="AE420" s="176">
        <f t="shared" si="23"/>
        <v>0</v>
      </c>
      <c r="AF420" s="287">
        <f t="shared" si="23"/>
        <v>0</v>
      </c>
    </row>
    <row r="421" spans="1:32" s="59" customFormat="1">
      <c r="A421" s="95" t="s">
        <v>728</v>
      </c>
      <c r="B421" s="95" t="s">
        <v>732</v>
      </c>
      <c r="C421" s="71" t="s">
        <v>523</v>
      </c>
      <c r="D421" s="74" t="s">
        <v>387</v>
      </c>
      <c r="E421" s="176">
        <f t="shared" si="24"/>
        <v>0</v>
      </c>
      <c r="F421" s="176">
        <f t="shared" si="23"/>
        <v>0</v>
      </c>
      <c r="G421" s="176">
        <f t="shared" si="23"/>
        <v>0</v>
      </c>
      <c r="H421" s="176">
        <f t="shared" si="23"/>
        <v>0</v>
      </c>
      <c r="I421" s="176">
        <f t="shared" si="23"/>
        <v>0</v>
      </c>
      <c r="J421" s="176">
        <f t="shared" si="23"/>
        <v>0</v>
      </c>
      <c r="K421" s="176">
        <f t="shared" si="23"/>
        <v>0</v>
      </c>
      <c r="L421" s="176">
        <f t="shared" si="23"/>
        <v>0</v>
      </c>
      <c r="M421" s="176">
        <f t="shared" si="23"/>
        <v>0</v>
      </c>
      <c r="N421" s="176">
        <f t="shared" si="23"/>
        <v>0</v>
      </c>
      <c r="O421" s="176">
        <f t="shared" si="23"/>
        <v>0</v>
      </c>
      <c r="P421" s="176">
        <f t="shared" si="23"/>
        <v>0</v>
      </c>
      <c r="Q421" s="176">
        <f t="shared" si="23"/>
        <v>0</v>
      </c>
      <c r="R421" s="176">
        <f t="shared" si="23"/>
        <v>0</v>
      </c>
      <c r="S421" s="176">
        <f t="shared" si="23"/>
        <v>0</v>
      </c>
      <c r="T421" s="176">
        <f t="shared" si="23"/>
        <v>0</v>
      </c>
      <c r="U421" s="176">
        <f t="shared" si="23"/>
        <v>0</v>
      </c>
      <c r="V421" s="176">
        <f t="shared" si="23"/>
        <v>0</v>
      </c>
      <c r="W421" s="176">
        <f t="shared" si="23"/>
        <v>0</v>
      </c>
      <c r="X421" s="176">
        <f t="shared" si="23"/>
        <v>0</v>
      </c>
      <c r="Y421" s="176">
        <f t="shared" si="23"/>
        <v>0</v>
      </c>
      <c r="Z421" s="176">
        <f t="shared" si="23"/>
        <v>0</v>
      </c>
      <c r="AA421" s="176">
        <f t="shared" si="23"/>
        <v>0</v>
      </c>
      <c r="AB421" s="176">
        <f t="shared" si="23"/>
        <v>0</v>
      </c>
      <c r="AC421" s="176">
        <f t="shared" si="23"/>
        <v>0</v>
      </c>
      <c r="AD421" s="176">
        <f t="shared" si="23"/>
        <v>0</v>
      </c>
      <c r="AE421" s="176">
        <f t="shared" si="23"/>
        <v>0</v>
      </c>
      <c r="AF421" s="287">
        <f t="shared" si="23"/>
        <v>0</v>
      </c>
    </row>
    <row r="422" spans="1:32" s="59" customFormat="1">
      <c r="A422" s="95" t="s">
        <v>728</v>
      </c>
      <c r="B422" s="95" t="s">
        <v>732</v>
      </c>
      <c r="C422" s="71" t="s">
        <v>525</v>
      </c>
      <c r="D422" s="74" t="s">
        <v>387</v>
      </c>
      <c r="E422" s="176">
        <f t="shared" si="24"/>
        <v>0</v>
      </c>
      <c r="F422" s="176">
        <f t="shared" si="23"/>
        <v>0</v>
      </c>
      <c r="G422" s="176">
        <f t="shared" si="23"/>
        <v>0</v>
      </c>
      <c r="H422" s="176">
        <f t="shared" si="23"/>
        <v>0</v>
      </c>
      <c r="I422" s="176">
        <f t="shared" si="23"/>
        <v>0</v>
      </c>
      <c r="J422" s="176">
        <f t="shared" si="23"/>
        <v>0</v>
      </c>
      <c r="K422" s="176">
        <f t="shared" si="23"/>
        <v>0</v>
      </c>
      <c r="L422" s="176">
        <f t="shared" si="23"/>
        <v>0</v>
      </c>
      <c r="M422" s="176">
        <f t="shared" si="23"/>
        <v>0</v>
      </c>
      <c r="N422" s="176">
        <f t="shared" si="23"/>
        <v>0</v>
      </c>
      <c r="O422" s="176">
        <f t="shared" si="23"/>
        <v>0</v>
      </c>
      <c r="P422" s="176">
        <f t="shared" si="23"/>
        <v>0</v>
      </c>
      <c r="Q422" s="176">
        <f t="shared" si="23"/>
        <v>0</v>
      </c>
      <c r="R422" s="176">
        <f t="shared" si="23"/>
        <v>0</v>
      </c>
      <c r="S422" s="176">
        <f t="shared" si="23"/>
        <v>0</v>
      </c>
      <c r="T422" s="176">
        <f t="shared" si="23"/>
        <v>0</v>
      </c>
      <c r="U422" s="176">
        <f t="shared" si="23"/>
        <v>0</v>
      </c>
      <c r="V422" s="176">
        <f t="shared" si="23"/>
        <v>0</v>
      </c>
      <c r="W422" s="176">
        <f t="shared" si="23"/>
        <v>0</v>
      </c>
      <c r="X422" s="176">
        <f t="shared" si="23"/>
        <v>0</v>
      </c>
      <c r="Y422" s="176">
        <f t="shared" si="23"/>
        <v>0</v>
      </c>
      <c r="Z422" s="176">
        <f t="shared" si="23"/>
        <v>0</v>
      </c>
      <c r="AA422" s="176">
        <f t="shared" si="23"/>
        <v>0</v>
      </c>
      <c r="AB422" s="176">
        <f t="shared" si="23"/>
        <v>0</v>
      </c>
      <c r="AC422" s="176">
        <f t="shared" si="23"/>
        <v>0</v>
      </c>
      <c r="AD422" s="176">
        <f t="shared" si="23"/>
        <v>0</v>
      </c>
      <c r="AE422" s="176">
        <f t="shared" si="23"/>
        <v>0</v>
      </c>
      <c r="AF422" s="287">
        <f t="shared" si="23"/>
        <v>0</v>
      </c>
    </row>
    <row r="423" spans="1:32" s="59" customFormat="1">
      <c r="A423" s="95" t="s">
        <v>728</v>
      </c>
      <c r="B423" s="95" t="s">
        <v>732</v>
      </c>
      <c r="C423" s="71" t="s">
        <v>527</v>
      </c>
      <c r="D423" s="74" t="s">
        <v>387</v>
      </c>
      <c r="E423" s="176">
        <f t="shared" si="24"/>
        <v>0</v>
      </c>
      <c r="F423" s="176">
        <f t="shared" si="23"/>
        <v>0</v>
      </c>
      <c r="G423" s="176">
        <f t="shared" si="23"/>
        <v>0</v>
      </c>
      <c r="H423" s="176">
        <f t="shared" si="23"/>
        <v>0</v>
      </c>
      <c r="I423" s="176">
        <f t="shared" si="23"/>
        <v>0</v>
      </c>
      <c r="J423" s="176">
        <f t="shared" si="23"/>
        <v>0</v>
      </c>
      <c r="K423" s="176">
        <f t="shared" si="23"/>
        <v>0</v>
      </c>
      <c r="L423" s="176">
        <f t="shared" si="23"/>
        <v>0</v>
      </c>
      <c r="M423" s="176">
        <f t="shared" si="23"/>
        <v>0</v>
      </c>
      <c r="N423" s="176">
        <f t="shared" si="23"/>
        <v>0</v>
      </c>
      <c r="O423" s="176">
        <f t="shared" si="23"/>
        <v>0</v>
      </c>
      <c r="P423" s="176">
        <f t="shared" si="23"/>
        <v>0</v>
      </c>
      <c r="Q423" s="176">
        <f t="shared" si="23"/>
        <v>0</v>
      </c>
      <c r="R423" s="176">
        <f t="shared" si="23"/>
        <v>0</v>
      </c>
      <c r="S423" s="176">
        <f t="shared" si="23"/>
        <v>0</v>
      </c>
      <c r="T423" s="176">
        <f t="shared" si="23"/>
        <v>0</v>
      </c>
      <c r="U423" s="176">
        <f t="shared" si="23"/>
        <v>0</v>
      </c>
      <c r="V423" s="176">
        <f t="shared" si="23"/>
        <v>0</v>
      </c>
      <c r="W423" s="176">
        <f t="shared" si="23"/>
        <v>0</v>
      </c>
      <c r="X423" s="176">
        <f t="shared" si="23"/>
        <v>0</v>
      </c>
      <c r="Y423" s="176">
        <f t="shared" si="23"/>
        <v>0</v>
      </c>
      <c r="Z423" s="176">
        <f t="shared" si="23"/>
        <v>0</v>
      </c>
      <c r="AA423" s="176">
        <f t="shared" si="23"/>
        <v>0</v>
      </c>
      <c r="AB423" s="176">
        <f t="shared" si="23"/>
        <v>0</v>
      </c>
      <c r="AC423" s="176">
        <f t="shared" si="23"/>
        <v>0</v>
      </c>
      <c r="AD423" s="176">
        <f t="shared" si="23"/>
        <v>0</v>
      </c>
      <c r="AE423" s="176">
        <f t="shared" si="23"/>
        <v>0</v>
      </c>
      <c r="AF423" s="287">
        <f t="shared" si="23"/>
        <v>0</v>
      </c>
    </row>
    <row r="424" spans="1:32" s="59" customFormat="1">
      <c r="A424" s="95" t="s">
        <v>728</v>
      </c>
      <c r="B424" s="95" t="s">
        <v>732</v>
      </c>
      <c r="C424" s="71" t="s">
        <v>529</v>
      </c>
      <c r="D424" s="74" t="s">
        <v>387</v>
      </c>
      <c r="E424" s="176">
        <f t="shared" si="24"/>
        <v>0</v>
      </c>
      <c r="F424" s="176">
        <f t="shared" si="23"/>
        <v>0</v>
      </c>
      <c r="G424" s="176">
        <f t="shared" si="23"/>
        <v>0</v>
      </c>
      <c r="H424" s="176">
        <f t="shared" si="23"/>
        <v>0</v>
      </c>
      <c r="I424" s="176">
        <f t="shared" si="23"/>
        <v>0</v>
      </c>
      <c r="J424" s="176">
        <f t="shared" si="23"/>
        <v>0</v>
      </c>
      <c r="K424" s="176">
        <f t="shared" si="23"/>
        <v>0</v>
      </c>
      <c r="L424" s="176">
        <f t="shared" si="23"/>
        <v>0</v>
      </c>
      <c r="M424" s="176">
        <f t="shared" si="23"/>
        <v>0</v>
      </c>
      <c r="N424" s="176">
        <f t="shared" si="23"/>
        <v>0</v>
      </c>
      <c r="O424" s="176">
        <f t="shared" si="23"/>
        <v>0</v>
      </c>
      <c r="P424" s="176">
        <f t="shared" si="23"/>
        <v>0</v>
      </c>
      <c r="Q424" s="176">
        <f t="shared" si="23"/>
        <v>0</v>
      </c>
      <c r="R424" s="176">
        <f t="shared" si="23"/>
        <v>0</v>
      </c>
      <c r="S424" s="176">
        <f t="shared" si="23"/>
        <v>0</v>
      </c>
      <c r="T424" s="176">
        <f t="shared" si="23"/>
        <v>0</v>
      </c>
      <c r="U424" s="176">
        <f t="shared" si="23"/>
        <v>0</v>
      </c>
      <c r="V424" s="176">
        <f t="shared" si="23"/>
        <v>0</v>
      </c>
      <c r="W424" s="176">
        <f t="shared" si="23"/>
        <v>0</v>
      </c>
      <c r="X424" s="176">
        <f t="shared" si="23"/>
        <v>0</v>
      </c>
      <c r="Y424" s="176">
        <f t="shared" si="23"/>
        <v>0</v>
      </c>
      <c r="Z424" s="176">
        <f t="shared" si="23"/>
        <v>0</v>
      </c>
      <c r="AA424" s="176">
        <f t="shared" si="23"/>
        <v>0</v>
      </c>
      <c r="AB424" s="176">
        <f t="shared" si="23"/>
        <v>0</v>
      </c>
      <c r="AC424" s="176">
        <f t="shared" si="23"/>
        <v>0</v>
      </c>
      <c r="AD424" s="176">
        <f t="shared" si="23"/>
        <v>0</v>
      </c>
      <c r="AE424" s="176">
        <f t="shared" si="23"/>
        <v>0</v>
      </c>
      <c r="AF424" s="287">
        <f t="shared" si="23"/>
        <v>0</v>
      </c>
    </row>
    <row r="425" spans="1:32" s="59" customFormat="1">
      <c r="A425" s="95" t="s">
        <v>728</v>
      </c>
      <c r="B425" s="95" t="s">
        <v>732</v>
      </c>
      <c r="C425" s="71" t="s">
        <v>531</v>
      </c>
      <c r="D425" s="74" t="s">
        <v>387</v>
      </c>
      <c r="E425" s="176">
        <f t="shared" si="24"/>
        <v>0</v>
      </c>
      <c r="F425" s="176">
        <f t="shared" si="23"/>
        <v>0</v>
      </c>
      <c r="G425" s="176">
        <f t="shared" si="23"/>
        <v>0</v>
      </c>
      <c r="H425" s="176">
        <f t="shared" si="23"/>
        <v>0</v>
      </c>
      <c r="I425" s="176">
        <f t="shared" si="23"/>
        <v>0</v>
      </c>
      <c r="J425" s="176">
        <f t="shared" si="23"/>
        <v>0</v>
      </c>
      <c r="K425" s="176">
        <f t="shared" si="23"/>
        <v>0</v>
      </c>
      <c r="L425" s="176">
        <f t="shared" si="23"/>
        <v>0</v>
      </c>
      <c r="M425" s="176">
        <f t="shared" si="23"/>
        <v>0</v>
      </c>
      <c r="N425" s="176">
        <f t="shared" si="23"/>
        <v>0</v>
      </c>
      <c r="O425" s="176">
        <f t="shared" si="23"/>
        <v>0</v>
      </c>
      <c r="P425" s="176">
        <f t="shared" si="23"/>
        <v>0</v>
      </c>
      <c r="Q425" s="176">
        <f t="shared" si="23"/>
        <v>0</v>
      </c>
      <c r="R425" s="176">
        <f t="shared" si="23"/>
        <v>0</v>
      </c>
      <c r="S425" s="176">
        <f t="shared" si="23"/>
        <v>0</v>
      </c>
      <c r="T425" s="176">
        <f t="shared" si="23"/>
        <v>0</v>
      </c>
      <c r="U425" s="176">
        <f t="shared" si="23"/>
        <v>0</v>
      </c>
      <c r="V425" s="176">
        <f t="shared" si="23"/>
        <v>0</v>
      </c>
      <c r="W425" s="176">
        <f t="shared" si="23"/>
        <v>0</v>
      </c>
      <c r="X425" s="176">
        <f t="shared" si="23"/>
        <v>0</v>
      </c>
      <c r="Y425" s="176">
        <f t="shared" si="23"/>
        <v>0</v>
      </c>
      <c r="Z425" s="176">
        <f t="shared" si="23"/>
        <v>0</v>
      </c>
      <c r="AA425" s="176">
        <f t="shared" si="23"/>
        <v>0</v>
      </c>
      <c r="AB425" s="176">
        <f t="shared" si="23"/>
        <v>0</v>
      </c>
      <c r="AC425" s="176">
        <f t="shared" si="23"/>
        <v>0</v>
      </c>
      <c r="AD425" s="176">
        <f t="shared" si="23"/>
        <v>0</v>
      </c>
      <c r="AE425" s="176">
        <f t="shared" si="23"/>
        <v>0</v>
      </c>
      <c r="AF425" s="287">
        <f t="shared" si="23"/>
        <v>0</v>
      </c>
    </row>
    <row r="426" spans="1:32" s="59" customFormat="1">
      <c r="A426" s="95" t="s">
        <v>728</v>
      </c>
      <c r="B426" s="95" t="s">
        <v>732</v>
      </c>
      <c r="C426" s="71" t="s">
        <v>533</v>
      </c>
      <c r="D426" s="74" t="s">
        <v>387</v>
      </c>
      <c r="E426" s="176">
        <f t="shared" si="24"/>
        <v>0</v>
      </c>
      <c r="F426" s="176">
        <f t="shared" si="23"/>
        <v>0</v>
      </c>
      <c r="G426" s="176">
        <f t="shared" si="23"/>
        <v>0</v>
      </c>
      <c r="H426" s="176">
        <f t="shared" si="23"/>
        <v>0</v>
      </c>
      <c r="I426" s="176">
        <f t="shared" si="23"/>
        <v>0</v>
      </c>
      <c r="J426" s="176">
        <f t="shared" si="23"/>
        <v>0</v>
      </c>
      <c r="K426" s="176">
        <f t="shared" si="23"/>
        <v>0</v>
      </c>
      <c r="L426" s="176">
        <f t="shared" si="23"/>
        <v>0</v>
      </c>
      <c r="M426" s="176">
        <f t="shared" si="23"/>
        <v>0</v>
      </c>
      <c r="N426" s="176">
        <f t="shared" si="23"/>
        <v>0</v>
      </c>
      <c r="O426" s="176">
        <f t="shared" si="23"/>
        <v>0</v>
      </c>
      <c r="P426" s="176">
        <f t="shared" si="23"/>
        <v>0</v>
      </c>
      <c r="Q426" s="176">
        <f t="shared" si="23"/>
        <v>0</v>
      </c>
      <c r="R426" s="176">
        <f t="shared" si="23"/>
        <v>0</v>
      </c>
      <c r="S426" s="176">
        <f t="shared" si="23"/>
        <v>0</v>
      </c>
      <c r="T426" s="176">
        <f t="shared" si="23"/>
        <v>0</v>
      </c>
      <c r="U426" s="176">
        <f t="shared" si="23"/>
        <v>0</v>
      </c>
      <c r="V426" s="176">
        <f t="shared" si="23"/>
        <v>0</v>
      </c>
      <c r="W426" s="176">
        <f t="shared" si="23"/>
        <v>0</v>
      </c>
      <c r="X426" s="176">
        <f t="shared" si="23"/>
        <v>0</v>
      </c>
      <c r="Y426" s="176">
        <f t="shared" si="23"/>
        <v>0</v>
      </c>
      <c r="Z426" s="176">
        <f t="shared" si="23"/>
        <v>0</v>
      </c>
      <c r="AA426" s="176">
        <f t="shared" si="23"/>
        <v>0</v>
      </c>
      <c r="AB426" s="176">
        <f t="shared" si="23"/>
        <v>0</v>
      </c>
      <c r="AC426" s="176">
        <f t="shared" si="23"/>
        <v>0</v>
      </c>
      <c r="AD426" s="176">
        <f t="shared" si="23"/>
        <v>0</v>
      </c>
      <c r="AE426" s="176">
        <f t="shared" si="23"/>
        <v>0</v>
      </c>
      <c r="AF426" s="287">
        <f t="shared" si="23"/>
        <v>0</v>
      </c>
    </row>
    <row r="427" spans="1:32" s="59" customFormat="1">
      <c r="A427" s="95" t="s">
        <v>728</v>
      </c>
      <c r="B427" s="95" t="s">
        <v>732</v>
      </c>
      <c r="C427" s="71" t="s">
        <v>535</v>
      </c>
      <c r="D427" s="74" t="s">
        <v>387</v>
      </c>
      <c r="E427" s="176">
        <f t="shared" si="24"/>
        <v>0</v>
      </c>
      <c r="F427" s="176">
        <f t="shared" si="23"/>
        <v>-33926</v>
      </c>
      <c r="G427" s="176">
        <f t="shared" si="23"/>
        <v>-3797.5742299742906</v>
      </c>
      <c r="H427" s="176">
        <f t="shared" si="23"/>
        <v>-48904</v>
      </c>
      <c r="I427" s="176">
        <f t="shared" si="23"/>
        <v>-5357.7493498752565</v>
      </c>
      <c r="J427" s="176">
        <f t="shared" si="23"/>
        <v>-15786.507567033377</v>
      </c>
      <c r="K427" s="176">
        <f t="shared" si="23"/>
        <v>0</v>
      </c>
      <c r="L427" s="176">
        <f t="shared" si="23"/>
        <v>0</v>
      </c>
      <c r="M427" s="176">
        <f t="shared" si="23"/>
        <v>-174139.76939655171</v>
      </c>
      <c r="N427" s="176">
        <f t="shared" si="23"/>
        <v>-342149.5156805311</v>
      </c>
      <c r="O427" s="176">
        <f t="shared" si="23"/>
        <v>0</v>
      </c>
      <c r="P427" s="176">
        <f t="shared" si="23"/>
        <v>-25805.150912106139</v>
      </c>
      <c r="Q427" s="176">
        <f t="shared" si="23"/>
        <v>-2211.8728541366704</v>
      </c>
      <c r="R427" s="176">
        <f t="shared" si="23"/>
        <v>-123316.90356612712</v>
      </c>
      <c r="S427" s="176">
        <f t="shared" si="23"/>
        <v>-1038.5241099917541</v>
      </c>
      <c r="T427" s="176">
        <f t="shared" si="23"/>
        <v>-762.11247296323006</v>
      </c>
      <c r="U427" s="176">
        <f t="shared" si="23"/>
        <v>0</v>
      </c>
      <c r="V427" s="176">
        <f t="shared" si="23"/>
        <v>0</v>
      </c>
      <c r="W427" s="176">
        <f t="shared" si="23"/>
        <v>0</v>
      </c>
      <c r="X427" s="176">
        <f t="shared" si="23"/>
        <v>0</v>
      </c>
      <c r="Y427" s="176">
        <f t="shared" si="23"/>
        <v>-28931.050193846721</v>
      </c>
      <c r="Z427" s="176">
        <f t="shared" si="23"/>
        <v>-580.6947303496396</v>
      </c>
      <c r="AA427" s="176">
        <f t="shared" si="23"/>
        <v>-60444.035983209928</v>
      </c>
      <c r="AB427" s="176">
        <f t="shared" si="23"/>
        <v>0</v>
      </c>
      <c r="AC427" s="176">
        <f t="shared" si="23"/>
        <v>0</v>
      </c>
      <c r="AD427" s="176">
        <f t="shared" si="23"/>
        <v>-137322.54828505518</v>
      </c>
      <c r="AE427" s="176">
        <f t="shared" si="23"/>
        <v>-1899.2634137221912</v>
      </c>
      <c r="AF427" s="287">
        <f t="shared" si="23"/>
        <v>-302222.6566798159</v>
      </c>
    </row>
    <row r="428" spans="1:32" s="59" customFormat="1">
      <c r="A428" s="95" t="s">
        <v>728</v>
      </c>
      <c r="B428" s="95" t="s">
        <v>732</v>
      </c>
      <c r="C428" s="71" t="s">
        <v>537</v>
      </c>
      <c r="D428" s="74" t="s">
        <v>387</v>
      </c>
      <c r="E428" s="176">
        <f t="shared" si="24"/>
        <v>0</v>
      </c>
      <c r="F428" s="176">
        <f t="shared" si="23"/>
        <v>-2763.2441417631976</v>
      </c>
      <c r="G428" s="176">
        <f t="shared" si="23"/>
        <v>-506.64629990487714</v>
      </c>
      <c r="H428" s="176">
        <f t="shared" si="23"/>
        <v>-359.53797838023826</v>
      </c>
      <c r="I428" s="176">
        <f t="shared" si="23"/>
        <v>-28095.510355798589</v>
      </c>
      <c r="J428" s="176">
        <f t="shared" si="23"/>
        <v>-45535.936823821154</v>
      </c>
      <c r="K428" s="176">
        <f t="shared" si="23"/>
        <v>-275.4497931884186</v>
      </c>
      <c r="L428" s="176">
        <f t="shared" si="23"/>
        <v>0</v>
      </c>
      <c r="M428" s="176">
        <f t="shared" si="23"/>
        <v>-41403.599999999999</v>
      </c>
      <c r="N428" s="176">
        <f t="shared" si="23"/>
        <v>-77404.087563177673</v>
      </c>
      <c r="O428" s="176">
        <f t="shared" si="23"/>
        <v>0</v>
      </c>
      <c r="P428" s="176">
        <f t="shared" si="23"/>
        <v>-150562.75819225714</v>
      </c>
      <c r="Q428" s="176">
        <f t="shared" si="23"/>
        <v>-3633.9079355776239</v>
      </c>
      <c r="R428" s="176">
        <f t="shared" si="23"/>
        <v>-29272.356101079156</v>
      </c>
      <c r="S428" s="176">
        <f t="shared" ref="S428:AF438" si="25">SUMIFS(S$7:S$26,$C$7:$C$26,$C428)*SUMIFS(S$32:S$350,$C$32:$C$350,$B428,$B$32:$B$350,$C428)</f>
        <v>-6842.8519713545411</v>
      </c>
      <c r="T428" s="176">
        <f t="shared" si="25"/>
        <v>-2550.0457965119167</v>
      </c>
      <c r="U428" s="176">
        <f t="shared" si="25"/>
        <v>-9477.9174638063523</v>
      </c>
      <c r="V428" s="176">
        <f t="shared" si="25"/>
        <v>0</v>
      </c>
      <c r="W428" s="176">
        <f t="shared" si="25"/>
        <v>0</v>
      </c>
      <c r="X428" s="176">
        <f t="shared" si="25"/>
        <v>0</v>
      </c>
      <c r="Y428" s="176">
        <f t="shared" si="25"/>
        <v>-15910.637012577758</v>
      </c>
      <c r="Z428" s="176">
        <f t="shared" si="25"/>
        <v>-2155.6704509731353</v>
      </c>
      <c r="AA428" s="176">
        <f t="shared" si="25"/>
        <v>0</v>
      </c>
      <c r="AB428" s="176">
        <f t="shared" si="25"/>
        <v>-8136.1584993278739</v>
      </c>
      <c r="AC428" s="176">
        <f t="shared" si="25"/>
        <v>0</v>
      </c>
      <c r="AD428" s="176">
        <f t="shared" si="25"/>
        <v>-368989.91432562581</v>
      </c>
      <c r="AE428" s="176">
        <f t="shared" si="25"/>
        <v>0</v>
      </c>
      <c r="AF428" s="287">
        <f t="shared" si="25"/>
        <v>-176570.70011508864</v>
      </c>
    </row>
    <row r="429" spans="1:32" s="59" customFormat="1">
      <c r="A429" s="95" t="s">
        <v>728</v>
      </c>
      <c r="B429" s="95" t="s">
        <v>732</v>
      </c>
      <c r="C429" s="71" t="s">
        <v>541</v>
      </c>
      <c r="D429" s="74" t="s">
        <v>387</v>
      </c>
      <c r="E429" s="176">
        <f t="shared" si="24"/>
        <v>0</v>
      </c>
      <c r="F429" s="176">
        <f t="shared" si="24"/>
        <v>-258691.44822595784</v>
      </c>
      <c r="G429" s="176">
        <f t="shared" si="24"/>
        <v>0</v>
      </c>
      <c r="H429" s="176">
        <f t="shared" si="24"/>
        <v>-3480.190280963106</v>
      </c>
      <c r="I429" s="176">
        <f t="shared" si="24"/>
        <v>-59806.210305740533</v>
      </c>
      <c r="J429" s="176">
        <f t="shared" si="24"/>
        <v>-150588.26738587243</v>
      </c>
      <c r="K429" s="176">
        <f t="shared" si="24"/>
        <v>-378219.11587672436</v>
      </c>
      <c r="L429" s="176">
        <f t="shared" si="24"/>
        <v>-17690</v>
      </c>
      <c r="M429" s="176">
        <f t="shared" si="24"/>
        <v>-168777.96456100608</v>
      </c>
      <c r="N429" s="176">
        <f t="shared" si="24"/>
        <v>-1377606.9959359025</v>
      </c>
      <c r="O429" s="176">
        <f t="shared" si="24"/>
        <v>0</v>
      </c>
      <c r="P429" s="176">
        <f t="shared" si="24"/>
        <v>-467081.21013900248</v>
      </c>
      <c r="Q429" s="176">
        <f t="shared" si="24"/>
        <v>-31733.806420934292</v>
      </c>
      <c r="R429" s="176">
        <f t="shared" si="24"/>
        <v>-354349.8945595469</v>
      </c>
      <c r="S429" s="176">
        <f t="shared" si="24"/>
        <v>-26182.18581327971</v>
      </c>
      <c r="T429" s="176">
        <f t="shared" si="24"/>
        <v>-13188.650222775183</v>
      </c>
      <c r="U429" s="176">
        <f t="shared" si="25"/>
        <v>-50588.547982747827</v>
      </c>
      <c r="V429" s="176">
        <f t="shared" si="25"/>
        <v>-201102</v>
      </c>
      <c r="W429" s="176">
        <f t="shared" si="25"/>
        <v>-30967.219852181792</v>
      </c>
      <c r="X429" s="176">
        <f t="shared" si="25"/>
        <v>-4331.0334073882041</v>
      </c>
      <c r="Y429" s="176">
        <f t="shared" si="25"/>
        <v>-398277.22367044934</v>
      </c>
      <c r="Z429" s="176">
        <f t="shared" si="25"/>
        <v>-1638.2323887555635</v>
      </c>
      <c r="AA429" s="176">
        <f t="shared" si="25"/>
        <v>-1028259.7906870873</v>
      </c>
      <c r="AB429" s="176">
        <f t="shared" si="25"/>
        <v>-464432.69487602927</v>
      </c>
      <c r="AC429" s="176">
        <f t="shared" si="25"/>
        <v>-140510.64484385407</v>
      </c>
      <c r="AD429" s="176">
        <f t="shared" si="25"/>
        <v>-449793.50936522527</v>
      </c>
      <c r="AE429" s="176">
        <f t="shared" si="25"/>
        <v>0</v>
      </c>
      <c r="AF429" s="287">
        <f t="shared" si="25"/>
        <v>-1819904.7842084658</v>
      </c>
    </row>
    <row r="430" spans="1:32" s="59" customFormat="1">
      <c r="A430" s="95" t="s">
        <v>728</v>
      </c>
      <c r="B430" s="95" t="s">
        <v>732</v>
      </c>
      <c r="C430" s="71" t="s">
        <v>543</v>
      </c>
      <c r="D430" s="74" t="s">
        <v>387</v>
      </c>
      <c r="E430" s="176">
        <f t="shared" si="24"/>
        <v>0</v>
      </c>
      <c r="F430" s="176">
        <f t="shared" si="24"/>
        <v>0</v>
      </c>
      <c r="G430" s="176">
        <f t="shared" si="24"/>
        <v>0</v>
      </c>
      <c r="H430" s="176">
        <f t="shared" si="24"/>
        <v>0</v>
      </c>
      <c r="I430" s="176">
        <f t="shared" si="24"/>
        <v>-0.36</v>
      </c>
      <c r="J430" s="176">
        <f t="shared" si="24"/>
        <v>0</v>
      </c>
      <c r="K430" s="176">
        <f t="shared" si="24"/>
        <v>0</v>
      </c>
      <c r="L430" s="176">
        <f t="shared" si="24"/>
        <v>0</v>
      </c>
      <c r="M430" s="176">
        <f t="shared" si="24"/>
        <v>0</v>
      </c>
      <c r="N430" s="176">
        <f t="shared" si="24"/>
        <v>0</v>
      </c>
      <c r="O430" s="176">
        <f t="shared" si="24"/>
        <v>0</v>
      </c>
      <c r="P430" s="176">
        <f t="shared" si="24"/>
        <v>-4499.422929936306</v>
      </c>
      <c r="Q430" s="176">
        <f t="shared" si="24"/>
        <v>0</v>
      </c>
      <c r="R430" s="176">
        <f t="shared" si="24"/>
        <v>0</v>
      </c>
      <c r="S430" s="176">
        <f t="shared" si="24"/>
        <v>-12.145569620253166</v>
      </c>
      <c r="T430" s="176">
        <f t="shared" si="24"/>
        <v>0</v>
      </c>
      <c r="U430" s="176">
        <f t="shared" si="25"/>
        <v>0</v>
      </c>
      <c r="V430" s="176">
        <f t="shared" si="25"/>
        <v>0</v>
      </c>
      <c r="W430" s="176">
        <f t="shared" si="25"/>
        <v>0</v>
      </c>
      <c r="X430" s="176">
        <f t="shared" si="25"/>
        <v>0</v>
      </c>
      <c r="Y430" s="176">
        <f t="shared" si="25"/>
        <v>0</v>
      </c>
      <c r="Z430" s="176">
        <f t="shared" si="25"/>
        <v>0</v>
      </c>
      <c r="AA430" s="176">
        <f t="shared" si="25"/>
        <v>0</v>
      </c>
      <c r="AB430" s="176">
        <f t="shared" si="25"/>
        <v>0</v>
      </c>
      <c r="AC430" s="176">
        <f t="shared" si="25"/>
        <v>0</v>
      </c>
      <c r="AD430" s="176">
        <f t="shared" si="25"/>
        <v>0</v>
      </c>
      <c r="AE430" s="176">
        <f t="shared" si="25"/>
        <v>0</v>
      </c>
      <c r="AF430" s="287">
        <f t="shared" si="25"/>
        <v>-99784.204762859517</v>
      </c>
    </row>
    <row r="431" spans="1:32" s="59" customFormat="1">
      <c r="A431" s="95" t="s">
        <v>728</v>
      </c>
      <c r="B431" s="95" t="s">
        <v>732</v>
      </c>
      <c r="C431" s="71" t="s">
        <v>545</v>
      </c>
      <c r="D431" s="74" t="s">
        <v>387</v>
      </c>
      <c r="E431" s="176">
        <f t="shared" si="24"/>
        <v>0</v>
      </c>
      <c r="F431" s="176">
        <f t="shared" si="24"/>
        <v>0</v>
      </c>
      <c r="G431" s="176">
        <f t="shared" si="24"/>
        <v>0</v>
      </c>
      <c r="H431" s="176">
        <f t="shared" si="24"/>
        <v>0</v>
      </c>
      <c r="I431" s="176">
        <f t="shared" si="24"/>
        <v>0</v>
      </c>
      <c r="J431" s="176">
        <f t="shared" si="24"/>
        <v>-27748.098237266291</v>
      </c>
      <c r="K431" s="176">
        <f t="shared" si="24"/>
        <v>0</v>
      </c>
      <c r="L431" s="176">
        <f t="shared" si="24"/>
        <v>0</v>
      </c>
      <c r="M431" s="176">
        <f t="shared" si="24"/>
        <v>0</v>
      </c>
      <c r="N431" s="176">
        <f t="shared" si="24"/>
        <v>0</v>
      </c>
      <c r="O431" s="176">
        <f t="shared" si="24"/>
        <v>0</v>
      </c>
      <c r="P431" s="176">
        <f t="shared" si="24"/>
        <v>-27782.608038262948</v>
      </c>
      <c r="Q431" s="176">
        <f t="shared" si="24"/>
        <v>-3635.7987998720387</v>
      </c>
      <c r="R431" s="176">
        <f t="shared" si="24"/>
        <v>0</v>
      </c>
      <c r="S431" s="176">
        <f t="shared" si="24"/>
        <v>-1.1230046613710789</v>
      </c>
      <c r="T431" s="176">
        <f t="shared" si="24"/>
        <v>-39.941774979360503</v>
      </c>
      <c r="U431" s="176">
        <f t="shared" si="25"/>
        <v>-30.740305087049698</v>
      </c>
      <c r="V431" s="176">
        <f t="shared" si="25"/>
        <v>0</v>
      </c>
      <c r="W431" s="176">
        <f t="shared" si="25"/>
        <v>0</v>
      </c>
      <c r="X431" s="176">
        <f t="shared" si="25"/>
        <v>0</v>
      </c>
      <c r="Y431" s="176">
        <f t="shared" si="25"/>
        <v>0</v>
      </c>
      <c r="Z431" s="176">
        <f t="shared" si="25"/>
        <v>0</v>
      </c>
      <c r="AA431" s="176">
        <f t="shared" si="25"/>
        <v>0</v>
      </c>
      <c r="AB431" s="176">
        <f t="shared" si="25"/>
        <v>0</v>
      </c>
      <c r="AC431" s="176">
        <f t="shared" si="25"/>
        <v>0</v>
      </c>
      <c r="AD431" s="176">
        <f t="shared" si="25"/>
        <v>-105501.57630201454</v>
      </c>
      <c r="AE431" s="176">
        <f t="shared" si="25"/>
        <v>0</v>
      </c>
      <c r="AF431" s="287">
        <f t="shared" si="25"/>
        <v>0</v>
      </c>
    </row>
    <row r="432" spans="1:32" s="59" customFormat="1">
      <c r="A432" s="95" t="s">
        <v>728</v>
      </c>
      <c r="B432" s="95" t="s">
        <v>732</v>
      </c>
      <c r="C432" s="71" t="s">
        <v>548</v>
      </c>
      <c r="D432" s="74" t="s">
        <v>387</v>
      </c>
      <c r="E432" s="176">
        <f t="shared" si="24"/>
        <v>0</v>
      </c>
      <c r="F432" s="176">
        <f t="shared" si="24"/>
        <v>0</v>
      </c>
      <c r="G432" s="176">
        <f t="shared" si="24"/>
        <v>0</v>
      </c>
      <c r="H432" s="176">
        <f t="shared" si="24"/>
        <v>0</v>
      </c>
      <c r="I432" s="176">
        <f t="shared" si="24"/>
        <v>0</v>
      </c>
      <c r="J432" s="176">
        <f t="shared" si="24"/>
        <v>0</v>
      </c>
      <c r="K432" s="176">
        <f t="shared" si="24"/>
        <v>0</v>
      </c>
      <c r="L432" s="176">
        <f t="shared" si="24"/>
        <v>0</v>
      </c>
      <c r="M432" s="176">
        <f t="shared" si="24"/>
        <v>0</v>
      </c>
      <c r="N432" s="176">
        <f t="shared" si="24"/>
        <v>0</v>
      </c>
      <c r="O432" s="176">
        <f t="shared" si="24"/>
        <v>0</v>
      </c>
      <c r="P432" s="176">
        <f t="shared" si="24"/>
        <v>-507.93049249039461</v>
      </c>
      <c r="Q432" s="176">
        <f t="shared" si="24"/>
        <v>0</v>
      </c>
      <c r="R432" s="176">
        <f t="shared" si="24"/>
        <v>-899.20445041243033</v>
      </c>
      <c r="S432" s="176">
        <f t="shared" si="24"/>
        <v>0</v>
      </c>
      <c r="T432" s="176">
        <f t="shared" si="24"/>
        <v>0</v>
      </c>
      <c r="U432" s="176">
        <f t="shared" si="25"/>
        <v>0</v>
      </c>
      <c r="V432" s="176">
        <f t="shared" si="25"/>
        <v>0</v>
      </c>
      <c r="W432" s="176">
        <f t="shared" si="25"/>
        <v>0</v>
      </c>
      <c r="X432" s="176">
        <f t="shared" si="25"/>
        <v>0</v>
      </c>
      <c r="Y432" s="176">
        <f t="shared" si="25"/>
        <v>-3754.426248045851</v>
      </c>
      <c r="Z432" s="176">
        <f t="shared" si="25"/>
        <v>0</v>
      </c>
      <c r="AA432" s="176">
        <f t="shared" si="25"/>
        <v>0</v>
      </c>
      <c r="AB432" s="176">
        <f t="shared" si="25"/>
        <v>0</v>
      </c>
      <c r="AC432" s="176">
        <f t="shared" si="25"/>
        <v>0</v>
      </c>
      <c r="AD432" s="176">
        <f t="shared" si="25"/>
        <v>0</v>
      </c>
      <c r="AE432" s="176">
        <f t="shared" si="25"/>
        <v>-4201.7137671134997</v>
      </c>
      <c r="AF432" s="287">
        <f t="shared" si="25"/>
        <v>-5864.9133113410771</v>
      </c>
    </row>
    <row r="433" spans="1:32" s="59" customFormat="1">
      <c r="A433" s="95" t="s">
        <v>728</v>
      </c>
      <c r="B433" s="95" t="s">
        <v>732</v>
      </c>
      <c r="C433" s="71" t="s">
        <v>550</v>
      </c>
      <c r="D433" s="74" t="s">
        <v>387</v>
      </c>
      <c r="E433" s="176">
        <f t="shared" si="24"/>
        <v>0</v>
      </c>
      <c r="F433" s="176">
        <f t="shared" si="24"/>
        <v>0</v>
      </c>
      <c r="G433" s="176">
        <f t="shared" si="24"/>
        <v>0</v>
      </c>
      <c r="H433" s="176">
        <f t="shared" si="24"/>
        <v>0</v>
      </c>
      <c r="I433" s="176">
        <f t="shared" si="24"/>
        <v>0</v>
      </c>
      <c r="J433" s="176">
        <f t="shared" si="24"/>
        <v>0</v>
      </c>
      <c r="K433" s="176">
        <f t="shared" si="24"/>
        <v>0</v>
      </c>
      <c r="L433" s="176">
        <f t="shared" si="24"/>
        <v>0</v>
      </c>
      <c r="M433" s="176">
        <f t="shared" si="24"/>
        <v>0</v>
      </c>
      <c r="N433" s="176">
        <f t="shared" si="24"/>
        <v>-931</v>
      </c>
      <c r="O433" s="176">
        <f t="shared" si="24"/>
        <v>0</v>
      </c>
      <c r="P433" s="176">
        <f t="shared" si="24"/>
        <v>0</v>
      </c>
      <c r="Q433" s="176">
        <f t="shared" si="24"/>
        <v>0</v>
      </c>
      <c r="R433" s="176">
        <f t="shared" si="24"/>
        <v>0</v>
      </c>
      <c r="S433" s="176">
        <f t="shared" si="24"/>
        <v>0</v>
      </c>
      <c r="T433" s="176">
        <f t="shared" si="24"/>
        <v>0</v>
      </c>
      <c r="U433" s="176">
        <f t="shared" si="25"/>
        <v>0</v>
      </c>
      <c r="V433" s="176">
        <f t="shared" si="25"/>
        <v>0</v>
      </c>
      <c r="W433" s="176">
        <f t="shared" si="25"/>
        <v>0</v>
      </c>
      <c r="X433" s="176">
        <f t="shared" si="25"/>
        <v>0</v>
      </c>
      <c r="Y433" s="176">
        <f t="shared" si="25"/>
        <v>0</v>
      </c>
      <c r="Z433" s="176">
        <f t="shared" si="25"/>
        <v>0</v>
      </c>
      <c r="AA433" s="176">
        <f t="shared" si="25"/>
        <v>0</v>
      </c>
      <c r="AB433" s="176">
        <f t="shared" si="25"/>
        <v>0</v>
      </c>
      <c r="AC433" s="176">
        <f t="shared" si="25"/>
        <v>0</v>
      </c>
      <c r="AD433" s="176">
        <f t="shared" si="25"/>
        <v>0</v>
      </c>
      <c r="AE433" s="176">
        <f t="shared" si="25"/>
        <v>-247</v>
      </c>
      <c r="AF433" s="287">
        <f t="shared" si="25"/>
        <v>0</v>
      </c>
    </row>
    <row r="434" spans="1:32" s="59" customFormat="1">
      <c r="A434" s="95" t="s">
        <v>728</v>
      </c>
      <c r="B434" s="95" t="s">
        <v>732</v>
      </c>
      <c r="C434" s="71" t="s">
        <v>552</v>
      </c>
      <c r="D434" s="74" t="s">
        <v>387</v>
      </c>
      <c r="E434" s="176">
        <f t="shared" si="24"/>
        <v>0</v>
      </c>
      <c r="F434" s="176">
        <f t="shared" si="24"/>
        <v>0</v>
      </c>
      <c r="G434" s="176">
        <f t="shared" si="24"/>
        <v>0</v>
      </c>
      <c r="H434" s="176">
        <f t="shared" si="24"/>
        <v>0</v>
      </c>
      <c r="I434" s="176">
        <f t="shared" si="24"/>
        <v>-289.33983286908085</v>
      </c>
      <c r="J434" s="176">
        <f t="shared" si="24"/>
        <v>-1397.2418859356217</v>
      </c>
      <c r="K434" s="176">
        <f t="shared" si="24"/>
        <v>-13269</v>
      </c>
      <c r="L434" s="176">
        <f t="shared" si="24"/>
        <v>0</v>
      </c>
      <c r="M434" s="176">
        <f t="shared" si="24"/>
        <v>0</v>
      </c>
      <c r="N434" s="176">
        <f t="shared" si="24"/>
        <v>-9943.4057621616448</v>
      </c>
      <c r="O434" s="176">
        <f t="shared" si="24"/>
        <v>-1359.7740348785214</v>
      </c>
      <c r="P434" s="176">
        <f t="shared" si="24"/>
        <v>-88.546738939496606</v>
      </c>
      <c r="Q434" s="176">
        <f t="shared" si="24"/>
        <v>-593</v>
      </c>
      <c r="R434" s="176">
        <f t="shared" si="24"/>
        <v>-11</v>
      </c>
      <c r="S434" s="176">
        <f t="shared" si="24"/>
        <v>0</v>
      </c>
      <c r="T434" s="176">
        <f t="shared" si="24"/>
        <v>0</v>
      </c>
      <c r="U434" s="176">
        <f t="shared" si="25"/>
        <v>0</v>
      </c>
      <c r="V434" s="176">
        <f t="shared" si="25"/>
        <v>-9.5454545454545467</v>
      </c>
      <c r="W434" s="176">
        <f t="shared" si="25"/>
        <v>0</v>
      </c>
      <c r="X434" s="176">
        <f t="shared" si="25"/>
        <v>0</v>
      </c>
      <c r="Y434" s="176">
        <f t="shared" si="25"/>
        <v>0</v>
      </c>
      <c r="Z434" s="176">
        <f t="shared" si="25"/>
        <v>0</v>
      </c>
      <c r="AA434" s="176">
        <f t="shared" si="25"/>
        <v>-36544.206263564389</v>
      </c>
      <c r="AB434" s="176">
        <f t="shared" si="25"/>
        <v>0</v>
      </c>
      <c r="AC434" s="176">
        <f t="shared" si="25"/>
        <v>0</v>
      </c>
      <c r="AD434" s="176">
        <f t="shared" si="25"/>
        <v>-1119.9423802900853</v>
      </c>
      <c r="AE434" s="176">
        <f t="shared" si="25"/>
        <v>-34785.63771699887</v>
      </c>
      <c r="AF434" s="287">
        <f t="shared" si="25"/>
        <v>0</v>
      </c>
    </row>
    <row r="435" spans="1:32" s="59" customFormat="1">
      <c r="A435" s="95" t="s">
        <v>728</v>
      </c>
      <c r="B435" s="95" t="s">
        <v>732</v>
      </c>
      <c r="C435" s="71" t="s">
        <v>554</v>
      </c>
      <c r="D435" s="74" t="s">
        <v>387</v>
      </c>
      <c r="E435" s="176">
        <f t="shared" si="24"/>
        <v>0</v>
      </c>
      <c r="F435" s="176">
        <f t="shared" si="24"/>
        <v>0</v>
      </c>
      <c r="G435" s="176">
        <f t="shared" si="24"/>
        <v>0</v>
      </c>
      <c r="H435" s="176">
        <f t="shared" si="24"/>
        <v>0</v>
      </c>
      <c r="I435" s="176">
        <f t="shared" si="24"/>
        <v>0</v>
      </c>
      <c r="J435" s="176">
        <f t="shared" si="24"/>
        <v>0</v>
      </c>
      <c r="K435" s="176">
        <f t="shared" si="24"/>
        <v>0</v>
      </c>
      <c r="L435" s="176">
        <f t="shared" si="24"/>
        <v>0</v>
      </c>
      <c r="M435" s="176">
        <f t="shared" si="24"/>
        <v>0</v>
      </c>
      <c r="N435" s="176">
        <f t="shared" si="24"/>
        <v>0</v>
      </c>
      <c r="O435" s="176">
        <f t="shared" si="24"/>
        <v>0</v>
      </c>
      <c r="P435" s="176">
        <f t="shared" si="24"/>
        <v>-44717.603301237963</v>
      </c>
      <c r="Q435" s="176">
        <f t="shared" si="24"/>
        <v>0</v>
      </c>
      <c r="R435" s="176">
        <f t="shared" si="24"/>
        <v>0</v>
      </c>
      <c r="S435" s="176">
        <f t="shared" si="24"/>
        <v>0</v>
      </c>
      <c r="T435" s="176">
        <f t="shared" si="24"/>
        <v>0</v>
      </c>
      <c r="U435" s="176">
        <f t="shared" si="25"/>
        <v>0</v>
      </c>
      <c r="V435" s="176">
        <f t="shared" si="25"/>
        <v>0</v>
      </c>
      <c r="W435" s="176">
        <f t="shared" si="25"/>
        <v>0</v>
      </c>
      <c r="X435" s="176">
        <f t="shared" si="25"/>
        <v>0</v>
      </c>
      <c r="Y435" s="176">
        <f t="shared" si="25"/>
        <v>0</v>
      </c>
      <c r="Z435" s="176">
        <f t="shared" si="25"/>
        <v>0</v>
      </c>
      <c r="AA435" s="176">
        <f t="shared" si="25"/>
        <v>0</v>
      </c>
      <c r="AB435" s="176">
        <f t="shared" si="25"/>
        <v>0</v>
      </c>
      <c r="AC435" s="176">
        <f t="shared" si="25"/>
        <v>0</v>
      </c>
      <c r="AD435" s="176">
        <f t="shared" si="25"/>
        <v>0</v>
      </c>
      <c r="AE435" s="176">
        <f t="shared" si="25"/>
        <v>0</v>
      </c>
      <c r="AF435" s="287">
        <f t="shared" si="25"/>
        <v>0</v>
      </c>
    </row>
    <row r="436" spans="1:32" s="59" customFormat="1">
      <c r="A436" s="95" t="s">
        <v>728</v>
      </c>
      <c r="B436" s="95" t="s">
        <v>732</v>
      </c>
      <c r="C436" s="71" t="s">
        <v>556</v>
      </c>
      <c r="D436" s="74" t="s">
        <v>387</v>
      </c>
      <c r="E436" s="176">
        <f t="shared" si="24"/>
        <v>-3479</v>
      </c>
      <c r="F436" s="176">
        <f t="shared" si="24"/>
        <v>-1244.5027937599332</v>
      </c>
      <c r="G436" s="176">
        <f t="shared" si="24"/>
        <v>-4018.6725513495162</v>
      </c>
      <c r="H436" s="176">
        <f t="shared" si="24"/>
        <v>0</v>
      </c>
      <c r="I436" s="176">
        <f t="shared" si="24"/>
        <v>-952</v>
      </c>
      <c r="J436" s="176">
        <f t="shared" si="24"/>
        <v>-46850.371467282552</v>
      </c>
      <c r="K436" s="176">
        <f t="shared" si="24"/>
        <v>0</v>
      </c>
      <c r="L436" s="176">
        <f t="shared" si="24"/>
        <v>0</v>
      </c>
      <c r="M436" s="176">
        <f t="shared" si="24"/>
        <v>0</v>
      </c>
      <c r="N436" s="176">
        <f t="shared" si="24"/>
        <v>0</v>
      </c>
      <c r="O436" s="176">
        <f t="shared" si="24"/>
        <v>0</v>
      </c>
      <c r="P436" s="176">
        <f t="shared" si="24"/>
        <v>-112387</v>
      </c>
      <c r="Q436" s="176">
        <f t="shared" si="24"/>
        <v>-148.87717632952814</v>
      </c>
      <c r="R436" s="176">
        <f t="shared" si="24"/>
        <v>0</v>
      </c>
      <c r="S436" s="176">
        <f t="shared" si="24"/>
        <v>-85</v>
      </c>
      <c r="T436" s="176">
        <f t="shared" si="24"/>
        <v>0</v>
      </c>
      <c r="U436" s="176">
        <f t="shared" si="25"/>
        <v>0</v>
      </c>
      <c r="V436" s="176">
        <f t="shared" si="25"/>
        <v>-9644.3842448492433</v>
      </c>
      <c r="W436" s="176">
        <f t="shared" si="25"/>
        <v>0</v>
      </c>
      <c r="X436" s="176">
        <f t="shared" si="25"/>
        <v>0</v>
      </c>
      <c r="Y436" s="176">
        <f t="shared" si="25"/>
        <v>-4273.3704662782557</v>
      </c>
      <c r="Z436" s="176">
        <f t="shared" si="25"/>
        <v>0</v>
      </c>
      <c r="AA436" s="176">
        <f t="shared" si="25"/>
        <v>-135696</v>
      </c>
      <c r="AB436" s="176">
        <f t="shared" si="25"/>
        <v>0</v>
      </c>
      <c r="AC436" s="176">
        <f t="shared" si="25"/>
        <v>0</v>
      </c>
      <c r="AD436" s="176">
        <f t="shared" si="25"/>
        <v>-3862</v>
      </c>
      <c r="AE436" s="176">
        <f t="shared" si="25"/>
        <v>0</v>
      </c>
      <c r="AF436" s="287">
        <f t="shared" si="25"/>
        <v>0</v>
      </c>
    </row>
    <row r="437" spans="1:32" s="59" customFormat="1">
      <c r="A437" s="95" t="s">
        <v>728</v>
      </c>
      <c r="B437" s="95" t="s">
        <v>732</v>
      </c>
      <c r="C437" s="71" t="s">
        <v>558</v>
      </c>
      <c r="D437" s="74" t="s">
        <v>387</v>
      </c>
      <c r="E437" s="176">
        <f t="shared" si="24"/>
        <v>0</v>
      </c>
      <c r="F437" s="176">
        <f t="shared" si="24"/>
        <v>0</v>
      </c>
      <c r="G437" s="176">
        <f t="shared" si="24"/>
        <v>0</v>
      </c>
      <c r="H437" s="176">
        <f t="shared" si="24"/>
        <v>0</v>
      </c>
      <c r="I437" s="176">
        <f>SUMIFS(I$7:I$26,$C$7:$C$26,$C437)*SUMIFS(I$32:I$350,$C$32:$C$350,$B437,$B$32:$B$350,$C437)</f>
        <v>-302.30614596344321</v>
      </c>
      <c r="J437" s="176">
        <f t="shared" si="24"/>
        <v>0</v>
      </c>
      <c r="K437" s="176">
        <f t="shared" si="24"/>
        <v>0</v>
      </c>
      <c r="L437" s="176">
        <f t="shared" si="24"/>
        <v>0</v>
      </c>
      <c r="M437" s="176">
        <f t="shared" si="24"/>
        <v>0</v>
      </c>
      <c r="N437" s="176">
        <f t="shared" si="24"/>
        <v>-169458.91235605805</v>
      </c>
      <c r="O437" s="176">
        <f t="shared" si="24"/>
        <v>0</v>
      </c>
      <c r="P437" s="176">
        <f t="shared" si="24"/>
        <v>-12180.479409213796</v>
      </c>
      <c r="Q437" s="176">
        <f t="shared" si="24"/>
        <v>-4.5706854153566825</v>
      </c>
      <c r="R437" s="176">
        <f t="shared" si="24"/>
        <v>0</v>
      </c>
      <c r="S437" s="176">
        <f t="shared" si="24"/>
        <v>-35.824704657470399</v>
      </c>
      <c r="T437" s="176">
        <f t="shared" si="24"/>
        <v>0</v>
      </c>
      <c r="U437" s="176">
        <f t="shared" si="25"/>
        <v>0</v>
      </c>
      <c r="V437" s="176">
        <f t="shared" si="25"/>
        <v>0</v>
      </c>
      <c r="W437" s="176">
        <f t="shared" si="25"/>
        <v>0</v>
      </c>
      <c r="X437" s="176">
        <f t="shared" si="25"/>
        <v>0</v>
      </c>
      <c r="Y437" s="176">
        <f t="shared" si="25"/>
        <v>0</v>
      </c>
      <c r="Z437" s="176">
        <f t="shared" si="25"/>
        <v>0</v>
      </c>
      <c r="AA437" s="176">
        <f t="shared" si="25"/>
        <v>0</v>
      </c>
      <c r="AB437" s="176">
        <f t="shared" si="25"/>
        <v>0</v>
      </c>
      <c r="AC437" s="176">
        <f t="shared" si="25"/>
        <v>0</v>
      </c>
      <c r="AD437" s="176">
        <f t="shared" si="25"/>
        <v>0</v>
      </c>
      <c r="AE437" s="176">
        <f t="shared" si="25"/>
        <v>-130.74349560354008</v>
      </c>
      <c r="AF437" s="287">
        <f t="shared" si="25"/>
        <v>0</v>
      </c>
    </row>
    <row r="438" spans="1:32" s="59" customFormat="1">
      <c r="A438" s="97" t="s">
        <v>728</v>
      </c>
      <c r="B438" s="76" t="s">
        <v>732</v>
      </c>
      <c r="C438" s="76" t="s">
        <v>560</v>
      </c>
      <c r="D438" s="77" t="s">
        <v>387</v>
      </c>
      <c r="E438" s="288">
        <f t="shared" si="24"/>
        <v>0</v>
      </c>
      <c r="F438" s="289">
        <f t="shared" si="24"/>
        <v>0</v>
      </c>
      <c r="G438" s="289">
        <f t="shared" si="24"/>
        <v>0</v>
      </c>
      <c r="H438" s="289">
        <f t="shared" si="24"/>
        <v>0</v>
      </c>
      <c r="I438" s="289">
        <f t="shared" si="24"/>
        <v>0</v>
      </c>
      <c r="J438" s="289">
        <f t="shared" si="24"/>
        <v>0</v>
      </c>
      <c r="K438" s="289">
        <f t="shared" si="24"/>
        <v>0</v>
      </c>
      <c r="L438" s="289">
        <f t="shared" si="24"/>
        <v>0</v>
      </c>
      <c r="M438" s="289">
        <f t="shared" si="24"/>
        <v>0</v>
      </c>
      <c r="N438" s="289">
        <f t="shared" si="24"/>
        <v>0</v>
      </c>
      <c r="O438" s="289">
        <f t="shared" si="24"/>
        <v>0</v>
      </c>
      <c r="P438" s="289">
        <f t="shared" si="24"/>
        <v>0</v>
      </c>
      <c r="Q438" s="289">
        <f t="shared" si="24"/>
        <v>0</v>
      </c>
      <c r="R438" s="289">
        <f t="shared" si="24"/>
        <v>0</v>
      </c>
      <c r="S438" s="289">
        <f t="shared" si="24"/>
        <v>0</v>
      </c>
      <c r="T438" s="289">
        <f t="shared" si="24"/>
        <v>0</v>
      </c>
      <c r="U438" s="289">
        <f t="shared" si="25"/>
        <v>0</v>
      </c>
      <c r="V438" s="289">
        <f t="shared" si="25"/>
        <v>0</v>
      </c>
      <c r="W438" s="289">
        <f t="shared" si="25"/>
        <v>0</v>
      </c>
      <c r="X438" s="289">
        <f t="shared" si="25"/>
        <v>0</v>
      </c>
      <c r="Y438" s="289">
        <f t="shared" si="25"/>
        <v>0</v>
      </c>
      <c r="Z438" s="289">
        <f t="shared" si="25"/>
        <v>0</v>
      </c>
      <c r="AA438" s="289">
        <f t="shared" si="25"/>
        <v>0</v>
      </c>
      <c r="AB438" s="289">
        <f t="shared" si="25"/>
        <v>0</v>
      </c>
      <c r="AC438" s="289">
        <f t="shared" si="25"/>
        <v>0</v>
      </c>
      <c r="AD438" s="289">
        <f t="shared" si="25"/>
        <v>0</v>
      </c>
      <c r="AE438" s="289">
        <f t="shared" si="25"/>
        <v>0</v>
      </c>
      <c r="AF438" s="290">
        <f t="shared" si="25"/>
        <v>0</v>
      </c>
    </row>
    <row r="439" spans="1:32" s="59" customFormat="1">
      <c r="A439" s="95" t="s">
        <v>728</v>
      </c>
      <c r="B439" s="95" t="s">
        <v>751</v>
      </c>
      <c r="C439" s="71" t="s">
        <v>515</v>
      </c>
      <c r="D439" s="74" t="s">
        <v>387</v>
      </c>
      <c r="E439" s="176">
        <f>IFERROR(E419*('Key inputs_EB_MIN'!E$70+'Key inputs_EB_MIN'!E$71)/SUM('Key inputs_EB_MIN'!E$69:E$71),0)</f>
        <v>0</v>
      </c>
      <c r="F439" s="176">
        <f>IFERROR(F419*('Key inputs_EB_MIN'!F$70+'Key inputs_EB_MIN'!F$71)/SUM('Key inputs_EB_MIN'!F$69:F$71),0)</f>
        <v>0</v>
      </c>
      <c r="G439" s="176">
        <f>IFERROR(G419*('Key inputs_EB_MIN'!G$70+'Key inputs_EB_MIN'!G$71)/SUM('Key inputs_EB_MIN'!G$69:G$71),0)</f>
        <v>0</v>
      </c>
      <c r="H439" s="176">
        <f>IFERROR(H419*('Key inputs_EB_MIN'!H$70+'Key inputs_EB_MIN'!H$71)/SUM('Key inputs_EB_MIN'!H$69:H$71),0)</f>
        <v>0</v>
      </c>
      <c r="I439" s="176">
        <f>IFERROR(I419*('Key inputs_EB_MIN'!I$70+'Key inputs_EB_MIN'!I$71)/SUM('Key inputs_EB_MIN'!I$69:I$71),0)</f>
        <v>0</v>
      </c>
      <c r="J439" s="176">
        <f>IFERROR(J419*('Key inputs_EB_MIN'!J$70+'Key inputs_EB_MIN'!J$71)/SUM('Key inputs_EB_MIN'!J$69:J$71),0)</f>
        <v>0</v>
      </c>
      <c r="K439" s="176">
        <f>IFERROR(K419*('Key inputs_EB_MIN'!K$70+'Key inputs_EB_MIN'!K$71)/SUM('Key inputs_EB_MIN'!K$69:K$71),0)</f>
        <v>0</v>
      </c>
      <c r="L439" s="176">
        <f>IFERROR(L419*('Key inputs_EB_MIN'!L$70+'Key inputs_EB_MIN'!L$71)/SUM('Key inputs_EB_MIN'!L$69:L$71),0)</f>
        <v>0</v>
      </c>
      <c r="M439" s="176">
        <f>IFERROR(M419*('Key inputs_EB_MIN'!M$70+'Key inputs_EB_MIN'!M$71)/SUM('Key inputs_EB_MIN'!M$69:M$71),0)</f>
        <v>0</v>
      </c>
      <c r="N439" s="176">
        <f>IFERROR(N419*('Key inputs_EB_MIN'!N$70+'Key inputs_EB_MIN'!N$71)/SUM('Key inputs_EB_MIN'!N$69:N$71),0)</f>
        <v>0</v>
      </c>
      <c r="O439" s="176">
        <f>IFERROR(O419*('Key inputs_EB_MIN'!O$70+'Key inputs_EB_MIN'!O$71)/SUM('Key inputs_EB_MIN'!O$69:O$71),0)</f>
        <v>0</v>
      </c>
      <c r="P439" s="176">
        <f>IFERROR(P419*('Key inputs_EB_MIN'!P$70+'Key inputs_EB_MIN'!P$71)/SUM('Key inputs_EB_MIN'!P$69:P$71),0)</f>
        <v>0</v>
      </c>
      <c r="Q439" s="176">
        <f>IFERROR(Q419*('Key inputs_EB_MIN'!Q$70+'Key inputs_EB_MIN'!Q$71)/SUM('Key inputs_EB_MIN'!Q$69:Q$71),0)</f>
        <v>0</v>
      </c>
      <c r="R439" s="176">
        <f>IFERROR(R419*('Key inputs_EB_MIN'!R$70+'Key inputs_EB_MIN'!R$71)/SUM('Key inputs_EB_MIN'!R$69:R$71),0)</f>
        <v>0</v>
      </c>
      <c r="S439" s="176">
        <f>IFERROR(S419*('Key inputs_EB_MIN'!S$70+'Key inputs_EB_MIN'!S$71)/SUM('Key inputs_EB_MIN'!S$69:S$71),0)</f>
        <v>0</v>
      </c>
      <c r="T439" s="176">
        <f>IFERROR(T419*('Key inputs_EB_MIN'!T$70+'Key inputs_EB_MIN'!T$71)/SUM('Key inputs_EB_MIN'!T$69:T$71),0)</f>
        <v>0</v>
      </c>
      <c r="U439" s="176">
        <f>IFERROR(U419*('Key inputs_EB_MIN'!U$70+'Key inputs_EB_MIN'!U$71)/SUM('Key inputs_EB_MIN'!U$69:U$71),0)</f>
        <v>0</v>
      </c>
      <c r="V439" s="176">
        <f>IFERROR(V419*('Key inputs_EB_MIN'!V$70+'Key inputs_EB_MIN'!V$71)/SUM('Key inputs_EB_MIN'!V$69:V$71),0)</f>
        <v>0</v>
      </c>
      <c r="W439" s="176">
        <f>IFERROR(W419*('Key inputs_EB_MIN'!W$70+'Key inputs_EB_MIN'!W$71)/SUM('Key inputs_EB_MIN'!W$69:W$71),0)</f>
        <v>0</v>
      </c>
      <c r="X439" s="176">
        <f>IFERROR(X419*('Key inputs_EB_MIN'!X$70+'Key inputs_EB_MIN'!X$71)/SUM('Key inputs_EB_MIN'!X$69:X$71),0)</f>
        <v>0</v>
      </c>
      <c r="Y439" s="176">
        <f>IFERROR(Y419*('Key inputs_EB_MIN'!Y$70+'Key inputs_EB_MIN'!Y$71)/SUM('Key inputs_EB_MIN'!Y$69:Y$71),0)</f>
        <v>0</v>
      </c>
      <c r="Z439" s="176">
        <f>IFERROR(Z419*('Key inputs_EB_MIN'!Z$70+'Key inputs_EB_MIN'!Z$71)/SUM('Key inputs_EB_MIN'!Z$69:Z$71),0)</f>
        <v>0</v>
      </c>
      <c r="AA439" s="176">
        <f>IFERROR(AA419*('Key inputs_EB_MIN'!AA$70+'Key inputs_EB_MIN'!AA$71)/SUM('Key inputs_EB_MIN'!AA$69:AA$71),0)</f>
        <v>0</v>
      </c>
      <c r="AB439" s="176">
        <f>IFERROR(AB419*('Key inputs_EB_MIN'!AB$70+'Key inputs_EB_MIN'!AB$71)/SUM('Key inputs_EB_MIN'!AB$69:AB$71),0)</f>
        <v>0</v>
      </c>
      <c r="AC439" s="176">
        <f>IFERROR(AC419*('Key inputs_EB_MIN'!AC$70+'Key inputs_EB_MIN'!AC$71)/SUM('Key inputs_EB_MIN'!AC$69:AC$71),0)</f>
        <v>0</v>
      </c>
      <c r="AD439" s="176">
        <f>IFERROR(AD419*('Key inputs_EB_MIN'!AD$70+'Key inputs_EB_MIN'!AD$71)/SUM('Key inputs_EB_MIN'!AD$69:AD$71),0)</f>
        <v>0</v>
      </c>
      <c r="AE439" s="176">
        <f>IFERROR(AE419*('Key inputs_EB_MIN'!AE$70+'Key inputs_EB_MIN'!AE$71)/SUM('Key inputs_EB_MIN'!AE$69:AE$71),0)</f>
        <v>0</v>
      </c>
      <c r="AF439" s="286">
        <f>IFERROR(AF419*('Key inputs_EB_MIN'!AF$70+'Key inputs_EB_MIN'!AF$71)/SUM('Key inputs_EB_MIN'!AF$69:AF$71),0)</f>
        <v>-2069.9582983652817</v>
      </c>
    </row>
    <row r="440" spans="1:32" s="59" customFormat="1">
      <c r="A440" s="95" t="s">
        <v>728</v>
      </c>
      <c r="B440" s="95" t="s">
        <v>751</v>
      </c>
      <c r="C440" s="71" t="s">
        <v>521</v>
      </c>
      <c r="D440" s="74" t="s">
        <v>387</v>
      </c>
      <c r="E440" s="176">
        <f>IFERROR(E420*('Key inputs_EB_MIN'!E$70+'Key inputs_EB_MIN'!E$71)/SUM('Key inputs_EB_MIN'!E$69:E$71),0)</f>
        <v>0</v>
      </c>
      <c r="F440" s="176">
        <f>IFERROR(F420*('Key inputs_EB_MIN'!F$70+'Key inputs_EB_MIN'!F$71)/SUM('Key inputs_EB_MIN'!F$69:F$71),0)</f>
        <v>0</v>
      </c>
      <c r="G440" s="176">
        <f>IFERROR(G420*('Key inputs_EB_MIN'!G$70+'Key inputs_EB_MIN'!G$71)/SUM('Key inputs_EB_MIN'!G$69:G$71),0)</f>
        <v>0</v>
      </c>
      <c r="H440" s="176">
        <f>IFERROR(H420*('Key inputs_EB_MIN'!H$70+'Key inputs_EB_MIN'!H$71)/SUM('Key inputs_EB_MIN'!H$69:H$71),0)</f>
        <v>0</v>
      </c>
      <c r="I440" s="176">
        <f>IFERROR(I420*('Key inputs_EB_MIN'!I$70+'Key inputs_EB_MIN'!I$71)/SUM('Key inputs_EB_MIN'!I$69:I$71),0)</f>
        <v>0</v>
      </c>
      <c r="J440" s="176">
        <f>IFERROR(J420*('Key inputs_EB_MIN'!J$70+'Key inputs_EB_MIN'!J$71)/SUM('Key inputs_EB_MIN'!J$69:J$71),0)</f>
        <v>0</v>
      </c>
      <c r="K440" s="176">
        <f>IFERROR(K420*('Key inputs_EB_MIN'!K$70+'Key inputs_EB_MIN'!K$71)/SUM('Key inputs_EB_MIN'!K$69:K$71),0)</f>
        <v>0</v>
      </c>
      <c r="L440" s="176">
        <f>IFERROR(L420*('Key inputs_EB_MIN'!L$70+'Key inputs_EB_MIN'!L$71)/SUM('Key inputs_EB_MIN'!L$69:L$71),0)</f>
        <v>0</v>
      </c>
      <c r="M440" s="176">
        <f>IFERROR(M420*('Key inputs_EB_MIN'!M$70+'Key inputs_EB_MIN'!M$71)/SUM('Key inputs_EB_MIN'!M$69:M$71),0)</f>
        <v>0</v>
      </c>
      <c r="N440" s="176">
        <f>IFERROR(N420*('Key inputs_EB_MIN'!N$70+'Key inputs_EB_MIN'!N$71)/SUM('Key inputs_EB_MIN'!N$69:N$71),0)</f>
        <v>0</v>
      </c>
      <c r="O440" s="176">
        <f>IFERROR(O420*('Key inputs_EB_MIN'!O$70+'Key inputs_EB_MIN'!O$71)/SUM('Key inputs_EB_MIN'!O$69:O$71),0)</f>
        <v>0</v>
      </c>
      <c r="P440" s="176">
        <f>IFERROR(P420*('Key inputs_EB_MIN'!P$70+'Key inputs_EB_MIN'!P$71)/SUM('Key inputs_EB_MIN'!P$69:P$71),0)</f>
        <v>0</v>
      </c>
      <c r="Q440" s="176">
        <f>IFERROR(Q420*('Key inputs_EB_MIN'!Q$70+'Key inputs_EB_MIN'!Q$71)/SUM('Key inputs_EB_MIN'!Q$69:Q$71),0)</f>
        <v>0</v>
      </c>
      <c r="R440" s="176">
        <f>IFERROR(R420*('Key inputs_EB_MIN'!R$70+'Key inputs_EB_MIN'!R$71)/SUM('Key inputs_EB_MIN'!R$69:R$71),0)</f>
        <v>0</v>
      </c>
      <c r="S440" s="176">
        <f>IFERROR(S420*('Key inputs_EB_MIN'!S$70+'Key inputs_EB_MIN'!S$71)/SUM('Key inputs_EB_MIN'!S$69:S$71),0)</f>
        <v>0</v>
      </c>
      <c r="T440" s="176">
        <f>IFERROR(T420*('Key inputs_EB_MIN'!T$70+'Key inputs_EB_MIN'!T$71)/SUM('Key inputs_EB_MIN'!T$69:T$71),0)</f>
        <v>0</v>
      </c>
      <c r="U440" s="176">
        <f>IFERROR(U420*('Key inputs_EB_MIN'!U$70+'Key inputs_EB_MIN'!U$71)/SUM('Key inputs_EB_MIN'!U$69:U$71),0)</f>
        <v>0</v>
      </c>
      <c r="V440" s="176">
        <f>IFERROR(V420*('Key inputs_EB_MIN'!V$70+'Key inputs_EB_MIN'!V$71)/SUM('Key inputs_EB_MIN'!V$69:V$71),0)</f>
        <v>0</v>
      </c>
      <c r="W440" s="176">
        <f>IFERROR(W420*('Key inputs_EB_MIN'!W$70+'Key inputs_EB_MIN'!W$71)/SUM('Key inputs_EB_MIN'!W$69:W$71),0)</f>
        <v>0</v>
      </c>
      <c r="X440" s="176">
        <f>IFERROR(X420*('Key inputs_EB_MIN'!X$70+'Key inputs_EB_MIN'!X$71)/SUM('Key inputs_EB_MIN'!X$69:X$71),0)</f>
        <v>0</v>
      </c>
      <c r="Y440" s="176">
        <f>IFERROR(Y420*('Key inputs_EB_MIN'!Y$70+'Key inputs_EB_MIN'!Y$71)/SUM('Key inputs_EB_MIN'!Y$69:Y$71),0)</f>
        <v>0</v>
      </c>
      <c r="Z440" s="176">
        <f>IFERROR(Z420*('Key inputs_EB_MIN'!Z$70+'Key inputs_EB_MIN'!Z$71)/SUM('Key inputs_EB_MIN'!Z$69:Z$71),0)</f>
        <v>0</v>
      </c>
      <c r="AA440" s="176">
        <f>IFERROR(AA420*('Key inputs_EB_MIN'!AA$70+'Key inputs_EB_MIN'!AA$71)/SUM('Key inputs_EB_MIN'!AA$69:AA$71),0)</f>
        <v>0</v>
      </c>
      <c r="AB440" s="176">
        <f>IFERROR(AB420*('Key inputs_EB_MIN'!AB$70+'Key inputs_EB_MIN'!AB$71)/SUM('Key inputs_EB_MIN'!AB$69:AB$71),0)</f>
        <v>0</v>
      </c>
      <c r="AC440" s="176">
        <f>IFERROR(AC420*('Key inputs_EB_MIN'!AC$70+'Key inputs_EB_MIN'!AC$71)/SUM('Key inputs_EB_MIN'!AC$69:AC$71),0)</f>
        <v>0</v>
      </c>
      <c r="AD440" s="176">
        <f>IFERROR(AD420*('Key inputs_EB_MIN'!AD$70+'Key inputs_EB_MIN'!AD$71)/SUM('Key inputs_EB_MIN'!AD$69:AD$71),0)</f>
        <v>0</v>
      </c>
      <c r="AE440" s="176">
        <f>IFERROR(AE420*('Key inputs_EB_MIN'!AE$70+'Key inputs_EB_MIN'!AE$71)/SUM('Key inputs_EB_MIN'!AE$69:AE$71),0)</f>
        <v>0</v>
      </c>
      <c r="AF440" s="287">
        <f>IFERROR(AF420*('Key inputs_EB_MIN'!AF$70+'Key inputs_EB_MIN'!AF$71)/SUM('Key inputs_EB_MIN'!AF$69:AF$71),0)</f>
        <v>0</v>
      </c>
    </row>
    <row r="441" spans="1:32" s="59" customFormat="1">
      <c r="A441" s="95" t="s">
        <v>728</v>
      </c>
      <c r="B441" s="95" t="s">
        <v>751</v>
      </c>
      <c r="C441" s="71" t="s">
        <v>523</v>
      </c>
      <c r="D441" s="74" t="s">
        <v>387</v>
      </c>
      <c r="E441" s="176">
        <f>IFERROR(E421*('Key inputs_EB_MIN'!E$70+'Key inputs_EB_MIN'!E$71)/SUM('Key inputs_EB_MIN'!E$69:E$71),0)</f>
        <v>0</v>
      </c>
      <c r="F441" s="176">
        <f>IFERROR(F421*('Key inputs_EB_MIN'!F$70+'Key inputs_EB_MIN'!F$71)/SUM('Key inputs_EB_MIN'!F$69:F$71),0)</f>
        <v>0</v>
      </c>
      <c r="G441" s="176">
        <f>IFERROR(G421*('Key inputs_EB_MIN'!G$70+'Key inputs_EB_MIN'!G$71)/SUM('Key inputs_EB_MIN'!G$69:G$71),0)</f>
        <v>0</v>
      </c>
      <c r="H441" s="176">
        <f>IFERROR(H421*('Key inputs_EB_MIN'!H$70+'Key inputs_EB_MIN'!H$71)/SUM('Key inputs_EB_MIN'!H$69:H$71),0)</f>
        <v>0</v>
      </c>
      <c r="I441" s="176">
        <f>IFERROR(I421*('Key inputs_EB_MIN'!I$70+'Key inputs_EB_MIN'!I$71)/SUM('Key inputs_EB_MIN'!I$69:I$71),0)</f>
        <v>0</v>
      </c>
      <c r="J441" s="176">
        <f>IFERROR(J421*('Key inputs_EB_MIN'!J$70+'Key inputs_EB_MIN'!J$71)/SUM('Key inputs_EB_MIN'!J$69:J$71),0)</f>
        <v>0</v>
      </c>
      <c r="K441" s="176">
        <f>IFERROR(K421*('Key inputs_EB_MIN'!K$70+'Key inputs_EB_MIN'!K$71)/SUM('Key inputs_EB_MIN'!K$69:K$71),0)</f>
        <v>0</v>
      </c>
      <c r="L441" s="176">
        <f>IFERROR(L421*('Key inputs_EB_MIN'!L$70+'Key inputs_EB_MIN'!L$71)/SUM('Key inputs_EB_MIN'!L$69:L$71),0)</f>
        <v>0</v>
      </c>
      <c r="M441" s="176">
        <f>IFERROR(M421*('Key inputs_EB_MIN'!M$70+'Key inputs_EB_MIN'!M$71)/SUM('Key inputs_EB_MIN'!M$69:M$71),0)</f>
        <v>0</v>
      </c>
      <c r="N441" s="176">
        <f>IFERROR(N421*('Key inputs_EB_MIN'!N$70+'Key inputs_EB_MIN'!N$71)/SUM('Key inputs_EB_MIN'!N$69:N$71),0)</f>
        <v>0</v>
      </c>
      <c r="O441" s="176">
        <f>IFERROR(O421*('Key inputs_EB_MIN'!O$70+'Key inputs_EB_MIN'!O$71)/SUM('Key inputs_EB_MIN'!O$69:O$71),0)</f>
        <v>0</v>
      </c>
      <c r="P441" s="176">
        <f>IFERROR(P421*('Key inputs_EB_MIN'!P$70+'Key inputs_EB_MIN'!P$71)/SUM('Key inputs_EB_MIN'!P$69:P$71),0)</f>
        <v>0</v>
      </c>
      <c r="Q441" s="176">
        <f>IFERROR(Q421*('Key inputs_EB_MIN'!Q$70+'Key inputs_EB_MIN'!Q$71)/SUM('Key inputs_EB_MIN'!Q$69:Q$71),0)</f>
        <v>0</v>
      </c>
      <c r="R441" s="176">
        <f>IFERROR(R421*('Key inputs_EB_MIN'!R$70+'Key inputs_EB_MIN'!R$71)/SUM('Key inputs_EB_MIN'!R$69:R$71),0)</f>
        <v>0</v>
      </c>
      <c r="S441" s="176">
        <f>IFERROR(S421*('Key inputs_EB_MIN'!S$70+'Key inputs_EB_MIN'!S$71)/SUM('Key inputs_EB_MIN'!S$69:S$71),0)</f>
        <v>0</v>
      </c>
      <c r="T441" s="176">
        <f>IFERROR(T421*('Key inputs_EB_MIN'!T$70+'Key inputs_EB_MIN'!T$71)/SUM('Key inputs_EB_MIN'!T$69:T$71),0)</f>
        <v>0</v>
      </c>
      <c r="U441" s="176">
        <f>IFERROR(U421*('Key inputs_EB_MIN'!U$70+'Key inputs_EB_MIN'!U$71)/SUM('Key inputs_EB_MIN'!U$69:U$71),0)</f>
        <v>0</v>
      </c>
      <c r="V441" s="176">
        <f>IFERROR(V421*('Key inputs_EB_MIN'!V$70+'Key inputs_EB_MIN'!V$71)/SUM('Key inputs_EB_MIN'!V$69:V$71),0)</f>
        <v>0</v>
      </c>
      <c r="W441" s="176">
        <f>IFERROR(W421*('Key inputs_EB_MIN'!W$70+'Key inputs_EB_MIN'!W$71)/SUM('Key inputs_EB_MIN'!W$69:W$71),0)</f>
        <v>0</v>
      </c>
      <c r="X441" s="176">
        <f>IFERROR(X421*('Key inputs_EB_MIN'!X$70+'Key inputs_EB_MIN'!X$71)/SUM('Key inputs_EB_MIN'!X$69:X$71),0)</f>
        <v>0</v>
      </c>
      <c r="Y441" s="176">
        <f>IFERROR(Y421*('Key inputs_EB_MIN'!Y$70+'Key inputs_EB_MIN'!Y$71)/SUM('Key inputs_EB_MIN'!Y$69:Y$71),0)</f>
        <v>0</v>
      </c>
      <c r="Z441" s="176">
        <f>IFERROR(Z421*('Key inputs_EB_MIN'!Z$70+'Key inputs_EB_MIN'!Z$71)/SUM('Key inputs_EB_MIN'!Z$69:Z$71),0)</f>
        <v>0</v>
      </c>
      <c r="AA441" s="176">
        <f>IFERROR(AA421*('Key inputs_EB_MIN'!AA$70+'Key inputs_EB_MIN'!AA$71)/SUM('Key inputs_EB_MIN'!AA$69:AA$71),0)</f>
        <v>0</v>
      </c>
      <c r="AB441" s="176">
        <f>IFERROR(AB421*('Key inputs_EB_MIN'!AB$70+'Key inputs_EB_MIN'!AB$71)/SUM('Key inputs_EB_MIN'!AB$69:AB$71),0)</f>
        <v>0</v>
      </c>
      <c r="AC441" s="176">
        <f>IFERROR(AC421*('Key inputs_EB_MIN'!AC$70+'Key inputs_EB_MIN'!AC$71)/SUM('Key inputs_EB_MIN'!AC$69:AC$71),0)</f>
        <v>0</v>
      </c>
      <c r="AD441" s="176">
        <f>IFERROR(AD421*('Key inputs_EB_MIN'!AD$70+'Key inputs_EB_MIN'!AD$71)/SUM('Key inputs_EB_MIN'!AD$69:AD$71),0)</f>
        <v>0</v>
      </c>
      <c r="AE441" s="176">
        <f>IFERROR(AE421*('Key inputs_EB_MIN'!AE$70+'Key inputs_EB_MIN'!AE$71)/SUM('Key inputs_EB_MIN'!AE$69:AE$71),0)</f>
        <v>0</v>
      </c>
      <c r="AF441" s="287">
        <f>IFERROR(AF421*('Key inputs_EB_MIN'!AF$70+'Key inputs_EB_MIN'!AF$71)/SUM('Key inputs_EB_MIN'!AF$69:AF$71),0)</f>
        <v>0</v>
      </c>
    </row>
    <row r="442" spans="1:32" s="59" customFormat="1">
      <c r="A442" s="95" t="s">
        <v>728</v>
      </c>
      <c r="B442" s="95" t="s">
        <v>751</v>
      </c>
      <c r="C442" s="71" t="s">
        <v>525</v>
      </c>
      <c r="D442" s="74" t="s">
        <v>387</v>
      </c>
      <c r="E442" s="176">
        <f>IFERROR(E422*('Key inputs_EB_MIN'!E$70+'Key inputs_EB_MIN'!E$71)/SUM('Key inputs_EB_MIN'!E$69:E$71),0)</f>
        <v>0</v>
      </c>
      <c r="F442" s="176">
        <f>IFERROR(F422*('Key inputs_EB_MIN'!F$70+'Key inputs_EB_MIN'!F$71)/SUM('Key inputs_EB_MIN'!F$69:F$71),0)</f>
        <v>0</v>
      </c>
      <c r="G442" s="176">
        <f>IFERROR(G422*('Key inputs_EB_MIN'!G$70+'Key inputs_EB_MIN'!G$71)/SUM('Key inputs_EB_MIN'!G$69:G$71),0)</f>
        <v>0</v>
      </c>
      <c r="H442" s="176">
        <f>IFERROR(H422*('Key inputs_EB_MIN'!H$70+'Key inputs_EB_MIN'!H$71)/SUM('Key inputs_EB_MIN'!H$69:H$71),0)</f>
        <v>0</v>
      </c>
      <c r="I442" s="176">
        <f>IFERROR(I422*('Key inputs_EB_MIN'!I$70+'Key inputs_EB_MIN'!I$71)/SUM('Key inputs_EB_MIN'!I$69:I$71),0)</f>
        <v>0</v>
      </c>
      <c r="J442" s="176">
        <f>IFERROR(J422*('Key inputs_EB_MIN'!J$70+'Key inputs_EB_MIN'!J$71)/SUM('Key inputs_EB_MIN'!J$69:J$71),0)</f>
        <v>0</v>
      </c>
      <c r="K442" s="176">
        <f>IFERROR(K422*('Key inputs_EB_MIN'!K$70+'Key inputs_EB_MIN'!K$71)/SUM('Key inputs_EB_MIN'!K$69:K$71),0)</f>
        <v>0</v>
      </c>
      <c r="L442" s="176">
        <f>IFERROR(L422*('Key inputs_EB_MIN'!L$70+'Key inputs_EB_MIN'!L$71)/SUM('Key inputs_EB_MIN'!L$69:L$71),0)</f>
        <v>0</v>
      </c>
      <c r="M442" s="176">
        <f>IFERROR(M422*('Key inputs_EB_MIN'!M$70+'Key inputs_EB_MIN'!M$71)/SUM('Key inputs_EB_MIN'!M$69:M$71),0)</f>
        <v>0</v>
      </c>
      <c r="N442" s="176">
        <f>IFERROR(N422*('Key inputs_EB_MIN'!N$70+'Key inputs_EB_MIN'!N$71)/SUM('Key inputs_EB_MIN'!N$69:N$71),0)</f>
        <v>0</v>
      </c>
      <c r="O442" s="176">
        <f>IFERROR(O422*('Key inputs_EB_MIN'!O$70+'Key inputs_EB_MIN'!O$71)/SUM('Key inputs_EB_MIN'!O$69:O$71),0)</f>
        <v>0</v>
      </c>
      <c r="P442" s="176">
        <f>IFERROR(P422*('Key inputs_EB_MIN'!P$70+'Key inputs_EB_MIN'!P$71)/SUM('Key inputs_EB_MIN'!P$69:P$71),0)</f>
        <v>0</v>
      </c>
      <c r="Q442" s="176">
        <f>IFERROR(Q422*('Key inputs_EB_MIN'!Q$70+'Key inputs_EB_MIN'!Q$71)/SUM('Key inputs_EB_MIN'!Q$69:Q$71),0)</f>
        <v>0</v>
      </c>
      <c r="R442" s="176">
        <f>IFERROR(R422*('Key inputs_EB_MIN'!R$70+'Key inputs_EB_MIN'!R$71)/SUM('Key inputs_EB_MIN'!R$69:R$71),0)</f>
        <v>0</v>
      </c>
      <c r="S442" s="176">
        <f>IFERROR(S422*('Key inputs_EB_MIN'!S$70+'Key inputs_EB_MIN'!S$71)/SUM('Key inputs_EB_MIN'!S$69:S$71),0)</f>
        <v>0</v>
      </c>
      <c r="T442" s="176">
        <f>IFERROR(T422*('Key inputs_EB_MIN'!T$70+'Key inputs_EB_MIN'!T$71)/SUM('Key inputs_EB_MIN'!T$69:T$71),0)</f>
        <v>0</v>
      </c>
      <c r="U442" s="176">
        <f>IFERROR(U422*('Key inputs_EB_MIN'!U$70+'Key inputs_EB_MIN'!U$71)/SUM('Key inputs_EB_MIN'!U$69:U$71),0)</f>
        <v>0</v>
      </c>
      <c r="V442" s="176">
        <f>IFERROR(V422*('Key inputs_EB_MIN'!V$70+'Key inputs_EB_MIN'!V$71)/SUM('Key inputs_EB_MIN'!V$69:V$71),0)</f>
        <v>0</v>
      </c>
      <c r="W442" s="176">
        <f>IFERROR(W422*('Key inputs_EB_MIN'!W$70+'Key inputs_EB_MIN'!W$71)/SUM('Key inputs_EB_MIN'!W$69:W$71),0)</f>
        <v>0</v>
      </c>
      <c r="X442" s="176">
        <f>IFERROR(X422*('Key inputs_EB_MIN'!X$70+'Key inputs_EB_MIN'!X$71)/SUM('Key inputs_EB_MIN'!X$69:X$71),0)</f>
        <v>0</v>
      </c>
      <c r="Y442" s="176">
        <f>IFERROR(Y422*('Key inputs_EB_MIN'!Y$70+'Key inputs_EB_MIN'!Y$71)/SUM('Key inputs_EB_MIN'!Y$69:Y$71),0)</f>
        <v>0</v>
      </c>
      <c r="Z442" s="176">
        <f>IFERROR(Z422*('Key inputs_EB_MIN'!Z$70+'Key inputs_EB_MIN'!Z$71)/SUM('Key inputs_EB_MIN'!Z$69:Z$71),0)</f>
        <v>0</v>
      </c>
      <c r="AA442" s="176">
        <f>IFERROR(AA422*('Key inputs_EB_MIN'!AA$70+'Key inputs_EB_MIN'!AA$71)/SUM('Key inputs_EB_MIN'!AA$69:AA$71),0)</f>
        <v>0</v>
      </c>
      <c r="AB442" s="176">
        <f>IFERROR(AB422*('Key inputs_EB_MIN'!AB$70+'Key inputs_EB_MIN'!AB$71)/SUM('Key inputs_EB_MIN'!AB$69:AB$71),0)</f>
        <v>0</v>
      </c>
      <c r="AC442" s="176">
        <f>IFERROR(AC422*('Key inputs_EB_MIN'!AC$70+'Key inputs_EB_MIN'!AC$71)/SUM('Key inputs_EB_MIN'!AC$69:AC$71),0)</f>
        <v>0</v>
      </c>
      <c r="AD442" s="176">
        <f>IFERROR(AD422*('Key inputs_EB_MIN'!AD$70+'Key inputs_EB_MIN'!AD$71)/SUM('Key inputs_EB_MIN'!AD$69:AD$71),0)</f>
        <v>0</v>
      </c>
      <c r="AE442" s="176">
        <f>IFERROR(AE422*('Key inputs_EB_MIN'!AE$70+'Key inputs_EB_MIN'!AE$71)/SUM('Key inputs_EB_MIN'!AE$69:AE$71),0)</f>
        <v>0</v>
      </c>
      <c r="AF442" s="287">
        <f>IFERROR(AF422*('Key inputs_EB_MIN'!AF$70+'Key inputs_EB_MIN'!AF$71)/SUM('Key inputs_EB_MIN'!AF$69:AF$71),0)</f>
        <v>0</v>
      </c>
    </row>
    <row r="443" spans="1:32" s="59" customFormat="1">
      <c r="A443" s="95" t="s">
        <v>728</v>
      </c>
      <c r="B443" s="95" t="s">
        <v>751</v>
      </c>
      <c r="C443" s="71" t="s">
        <v>527</v>
      </c>
      <c r="D443" s="74" t="s">
        <v>387</v>
      </c>
      <c r="E443" s="176">
        <f>IFERROR(E423*('Key inputs_EB_MIN'!E$70+'Key inputs_EB_MIN'!E$71)/SUM('Key inputs_EB_MIN'!E$69:E$71),0)</f>
        <v>0</v>
      </c>
      <c r="F443" s="176">
        <f>IFERROR(F423*('Key inputs_EB_MIN'!F$70+'Key inputs_EB_MIN'!F$71)/SUM('Key inputs_EB_MIN'!F$69:F$71),0)</f>
        <v>0</v>
      </c>
      <c r="G443" s="176">
        <f>IFERROR(G423*('Key inputs_EB_MIN'!G$70+'Key inputs_EB_MIN'!G$71)/SUM('Key inputs_EB_MIN'!G$69:G$71),0)</f>
        <v>0</v>
      </c>
      <c r="H443" s="176">
        <f>IFERROR(H423*('Key inputs_EB_MIN'!H$70+'Key inputs_EB_MIN'!H$71)/SUM('Key inputs_EB_MIN'!H$69:H$71),0)</f>
        <v>0</v>
      </c>
      <c r="I443" s="176">
        <f>IFERROR(I423*('Key inputs_EB_MIN'!I$70+'Key inputs_EB_MIN'!I$71)/SUM('Key inputs_EB_MIN'!I$69:I$71),0)</f>
        <v>0</v>
      </c>
      <c r="J443" s="176">
        <f>IFERROR(J423*('Key inputs_EB_MIN'!J$70+'Key inputs_EB_MIN'!J$71)/SUM('Key inputs_EB_MIN'!J$69:J$71),0)</f>
        <v>0</v>
      </c>
      <c r="K443" s="176">
        <f>IFERROR(K423*('Key inputs_EB_MIN'!K$70+'Key inputs_EB_MIN'!K$71)/SUM('Key inputs_EB_MIN'!K$69:K$71),0)</f>
        <v>0</v>
      </c>
      <c r="L443" s="176">
        <f>IFERROR(L423*('Key inputs_EB_MIN'!L$70+'Key inputs_EB_MIN'!L$71)/SUM('Key inputs_EB_MIN'!L$69:L$71),0)</f>
        <v>0</v>
      </c>
      <c r="M443" s="176">
        <f>IFERROR(M423*('Key inputs_EB_MIN'!M$70+'Key inputs_EB_MIN'!M$71)/SUM('Key inputs_EB_MIN'!M$69:M$71),0)</f>
        <v>0</v>
      </c>
      <c r="N443" s="176">
        <f>IFERROR(N423*('Key inputs_EB_MIN'!N$70+'Key inputs_EB_MIN'!N$71)/SUM('Key inputs_EB_MIN'!N$69:N$71),0)</f>
        <v>0</v>
      </c>
      <c r="O443" s="176">
        <f>IFERROR(O423*('Key inputs_EB_MIN'!O$70+'Key inputs_EB_MIN'!O$71)/SUM('Key inputs_EB_MIN'!O$69:O$71),0)</f>
        <v>0</v>
      </c>
      <c r="P443" s="176">
        <f>IFERROR(P423*('Key inputs_EB_MIN'!P$70+'Key inputs_EB_MIN'!P$71)/SUM('Key inputs_EB_MIN'!P$69:P$71),0)</f>
        <v>0</v>
      </c>
      <c r="Q443" s="176">
        <f>IFERROR(Q423*('Key inputs_EB_MIN'!Q$70+'Key inputs_EB_MIN'!Q$71)/SUM('Key inputs_EB_MIN'!Q$69:Q$71),0)</f>
        <v>0</v>
      </c>
      <c r="R443" s="176">
        <f>IFERROR(R423*('Key inputs_EB_MIN'!R$70+'Key inputs_EB_MIN'!R$71)/SUM('Key inputs_EB_MIN'!R$69:R$71),0)</f>
        <v>0</v>
      </c>
      <c r="S443" s="176">
        <f>IFERROR(S423*('Key inputs_EB_MIN'!S$70+'Key inputs_EB_MIN'!S$71)/SUM('Key inputs_EB_MIN'!S$69:S$71),0)</f>
        <v>0</v>
      </c>
      <c r="T443" s="176">
        <f>IFERROR(T423*('Key inputs_EB_MIN'!T$70+'Key inputs_EB_MIN'!T$71)/SUM('Key inputs_EB_MIN'!T$69:T$71),0)</f>
        <v>0</v>
      </c>
      <c r="U443" s="176">
        <f>IFERROR(U423*('Key inputs_EB_MIN'!U$70+'Key inputs_EB_MIN'!U$71)/SUM('Key inputs_EB_MIN'!U$69:U$71),0)</f>
        <v>0</v>
      </c>
      <c r="V443" s="176">
        <f>IFERROR(V423*('Key inputs_EB_MIN'!V$70+'Key inputs_EB_MIN'!V$71)/SUM('Key inputs_EB_MIN'!V$69:V$71),0)</f>
        <v>0</v>
      </c>
      <c r="W443" s="176">
        <f>IFERROR(W423*('Key inputs_EB_MIN'!W$70+'Key inputs_EB_MIN'!W$71)/SUM('Key inputs_EB_MIN'!W$69:W$71),0)</f>
        <v>0</v>
      </c>
      <c r="X443" s="176">
        <f>IFERROR(X423*('Key inputs_EB_MIN'!X$70+'Key inputs_EB_MIN'!X$71)/SUM('Key inputs_EB_MIN'!X$69:X$71),0)</f>
        <v>0</v>
      </c>
      <c r="Y443" s="176">
        <f>IFERROR(Y423*('Key inputs_EB_MIN'!Y$70+'Key inputs_EB_MIN'!Y$71)/SUM('Key inputs_EB_MIN'!Y$69:Y$71),0)</f>
        <v>0</v>
      </c>
      <c r="Z443" s="176">
        <f>IFERROR(Z423*('Key inputs_EB_MIN'!Z$70+'Key inputs_EB_MIN'!Z$71)/SUM('Key inputs_EB_MIN'!Z$69:Z$71),0)</f>
        <v>0</v>
      </c>
      <c r="AA443" s="176">
        <f>IFERROR(AA423*('Key inputs_EB_MIN'!AA$70+'Key inputs_EB_MIN'!AA$71)/SUM('Key inputs_EB_MIN'!AA$69:AA$71),0)</f>
        <v>0</v>
      </c>
      <c r="AB443" s="176">
        <f>IFERROR(AB423*('Key inputs_EB_MIN'!AB$70+'Key inputs_EB_MIN'!AB$71)/SUM('Key inputs_EB_MIN'!AB$69:AB$71),0)</f>
        <v>0</v>
      </c>
      <c r="AC443" s="176">
        <f>IFERROR(AC423*('Key inputs_EB_MIN'!AC$70+'Key inputs_EB_MIN'!AC$71)/SUM('Key inputs_EB_MIN'!AC$69:AC$71),0)</f>
        <v>0</v>
      </c>
      <c r="AD443" s="176">
        <f>IFERROR(AD423*('Key inputs_EB_MIN'!AD$70+'Key inputs_EB_MIN'!AD$71)/SUM('Key inputs_EB_MIN'!AD$69:AD$71),0)</f>
        <v>0</v>
      </c>
      <c r="AE443" s="176">
        <f>IFERROR(AE423*('Key inputs_EB_MIN'!AE$70+'Key inputs_EB_MIN'!AE$71)/SUM('Key inputs_EB_MIN'!AE$69:AE$71),0)</f>
        <v>0</v>
      </c>
      <c r="AF443" s="287">
        <f>IFERROR(AF423*('Key inputs_EB_MIN'!AF$70+'Key inputs_EB_MIN'!AF$71)/SUM('Key inputs_EB_MIN'!AF$69:AF$71),0)</f>
        <v>0</v>
      </c>
    </row>
    <row r="444" spans="1:32" s="59" customFormat="1">
      <c r="A444" s="95" t="s">
        <v>728</v>
      </c>
      <c r="B444" s="95" t="s">
        <v>751</v>
      </c>
      <c r="C444" s="71" t="s">
        <v>529</v>
      </c>
      <c r="D444" s="74" t="s">
        <v>387</v>
      </c>
      <c r="E444" s="176">
        <f>IFERROR(E424*('Key inputs_EB_MIN'!E$70+'Key inputs_EB_MIN'!E$71)/SUM('Key inputs_EB_MIN'!E$69:E$71),0)</f>
        <v>0</v>
      </c>
      <c r="F444" s="176">
        <f>IFERROR(F424*('Key inputs_EB_MIN'!F$70+'Key inputs_EB_MIN'!F$71)/SUM('Key inputs_EB_MIN'!F$69:F$71),0)</f>
        <v>0</v>
      </c>
      <c r="G444" s="176">
        <f>IFERROR(G424*('Key inputs_EB_MIN'!G$70+'Key inputs_EB_MIN'!G$71)/SUM('Key inputs_EB_MIN'!G$69:G$71),0)</f>
        <v>0</v>
      </c>
      <c r="H444" s="176">
        <f>IFERROR(H424*('Key inputs_EB_MIN'!H$70+'Key inputs_EB_MIN'!H$71)/SUM('Key inputs_EB_MIN'!H$69:H$71),0)</f>
        <v>0</v>
      </c>
      <c r="I444" s="176">
        <f>IFERROR(I424*('Key inputs_EB_MIN'!I$70+'Key inputs_EB_MIN'!I$71)/SUM('Key inputs_EB_MIN'!I$69:I$71),0)</f>
        <v>0</v>
      </c>
      <c r="J444" s="176">
        <f>IFERROR(J424*('Key inputs_EB_MIN'!J$70+'Key inputs_EB_MIN'!J$71)/SUM('Key inputs_EB_MIN'!J$69:J$71),0)</f>
        <v>0</v>
      </c>
      <c r="K444" s="176">
        <f>IFERROR(K424*('Key inputs_EB_MIN'!K$70+'Key inputs_EB_MIN'!K$71)/SUM('Key inputs_EB_MIN'!K$69:K$71),0)</f>
        <v>0</v>
      </c>
      <c r="L444" s="176">
        <f>IFERROR(L424*('Key inputs_EB_MIN'!L$70+'Key inputs_EB_MIN'!L$71)/SUM('Key inputs_EB_MIN'!L$69:L$71),0)</f>
        <v>0</v>
      </c>
      <c r="M444" s="176">
        <f>IFERROR(M424*('Key inputs_EB_MIN'!M$70+'Key inputs_EB_MIN'!M$71)/SUM('Key inputs_EB_MIN'!M$69:M$71),0)</f>
        <v>0</v>
      </c>
      <c r="N444" s="176">
        <f>IFERROR(N424*('Key inputs_EB_MIN'!N$70+'Key inputs_EB_MIN'!N$71)/SUM('Key inputs_EB_MIN'!N$69:N$71),0)</f>
        <v>0</v>
      </c>
      <c r="O444" s="176">
        <f>IFERROR(O424*('Key inputs_EB_MIN'!O$70+'Key inputs_EB_MIN'!O$71)/SUM('Key inputs_EB_MIN'!O$69:O$71),0)</f>
        <v>0</v>
      </c>
      <c r="P444" s="176">
        <f>IFERROR(P424*('Key inputs_EB_MIN'!P$70+'Key inputs_EB_MIN'!P$71)/SUM('Key inputs_EB_MIN'!P$69:P$71),0)</f>
        <v>0</v>
      </c>
      <c r="Q444" s="176">
        <f>IFERROR(Q424*('Key inputs_EB_MIN'!Q$70+'Key inputs_EB_MIN'!Q$71)/SUM('Key inputs_EB_MIN'!Q$69:Q$71),0)</f>
        <v>0</v>
      </c>
      <c r="R444" s="176">
        <f>IFERROR(R424*('Key inputs_EB_MIN'!R$70+'Key inputs_EB_MIN'!R$71)/SUM('Key inputs_EB_MIN'!R$69:R$71),0)</f>
        <v>0</v>
      </c>
      <c r="S444" s="176">
        <f>IFERROR(S424*('Key inputs_EB_MIN'!S$70+'Key inputs_EB_MIN'!S$71)/SUM('Key inputs_EB_MIN'!S$69:S$71),0)</f>
        <v>0</v>
      </c>
      <c r="T444" s="176">
        <f>IFERROR(T424*('Key inputs_EB_MIN'!T$70+'Key inputs_EB_MIN'!T$71)/SUM('Key inputs_EB_MIN'!T$69:T$71),0)</f>
        <v>0</v>
      </c>
      <c r="U444" s="176">
        <f>IFERROR(U424*('Key inputs_EB_MIN'!U$70+'Key inputs_EB_MIN'!U$71)/SUM('Key inputs_EB_MIN'!U$69:U$71),0)</f>
        <v>0</v>
      </c>
      <c r="V444" s="176">
        <f>IFERROR(V424*('Key inputs_EB_MIN'!V$70+'Key inputs_EB_MIN'!V$71)/SUM('Key inputs_EB_MIN'!V$69:V$71),0)</f>
        <v>0</v>
      </c>
      <c r="W444" s="176">
        <f>IFERROR(W424*('Key inputs_EB_MIN'!W$70+'Key inputs_EB_MIN'!W$71)/SUM('Key inputs_EB_MIN'!W$69:W$71),0)</f>
        <v>0</v>
      </c>
      <c r="X444" s="176">
        <f>IFERROR(X424*('Key inputs_EB_MIN'!X$70+'Key inputs_EB_MIN'!X$71)/SUM('Key inputs_EB_MIN'!X$69:X$71),0)</f>
        <v>0</v>
      </c>
      <c r="Y444" s="176">
        <f>IFERROR(Y424*('Key inputs_EB_MIN'!Y$70+'Key inputs_EB_MIN'!Y$71)/SUM('Key inputs_EB_MIN'!Y$69:Y$71),0)</f>
        <v>0</v>
      </c>
      <c r="Z444" s="176">
        <f>IFERROR(Z424*('Key inputs_EB_MIN'!Z$70+'Key inputs_EB_MIN'!Z$71)/SUM('Key inputs_EB_MIN'!Z$69:Z$71),0)</f>
        <v>0</v>
      </c>
      <c r="AA444" s="176">
        <f>IFERROR(AA424*('Key inputs_EB_MIN'!AA$70+'Key inputs_EB_MIN'!AA$71)/SUM('Key inputs_EB_MIN'!AA$69:AA$71),0)</f>
        <v>0</v>
      </c>
      <c r="AB444" s="176">
        <f>IFERROR(AB424*('Key inputs_EB_MIN'!AB$70+'Key inputs_EB_MIN'!AB$71)/SUM('Key inputs_EB_MIN'!AB$69:AB$71),0)</f>
        <v>0</v>
      </c>
      <c r="AC444" s="176">
        <f>IFERROR(AC424*('Key inputs_EB_MIN'!AC$70+'Key inputs_EB_MIN'!AC$71)/SUM('Key inputs_EB_MIN'!AC$69:AC$71),0)</f>
        <v>0</v>
      </c>
      <c r="AD444" s="176">
        <f>IFERROR(AD424*('Key inputs_EB_MIN'!AD$70+'Key inputs_EB_MIN'!AD$71)/SUM('Key inputs_EB_MIN'!AD$69:AD$71),0)</f>
        <v>0</v>
      </c>
      <c r="AE444" s="176">
        <f>IFERROR(AE424*('Key inputs_EB_MIN'!AE$70+'Key inputs_EB_MIN'!AE$71)/SUM('Key inputs_EB_MIN'!AE$69:AE$71),0)</f>
        <v>0</v>
      </c>
      <c r="AF444" s="287">
        <f>IFERROR(AF424*('Key inputs_EB_MIN'!AF$70+'Key inputs_EB_MIN'!AF$71)/SUM('Key inputs_EB_MIN'!AF$69:AF$71),0)</f>
        <v>0</v>
      </c>
    </row>
    <row r="445" spans="1:32" s="59" customFormat="1">
      <c r="A445" s="95" t="s">
        <v>728</v>
      </c>
      <c r="B445" s="95" t="s">
        <v>751</v>
      </c>
      <c r="C445" s="71" t="s">
        <v>531</v>
      </c>
      <c r="D445" s="74" t="s">
        <v>387</v>
      </c>
      <c r="E445" s="176">
        <f>IFERROR(E425*('Key inputs_EB_MIN'!E$70+'Key inputs_EB_MIN'!E$71)/SUM('Key inputs_EB_MIN'!E$69:E$71),0)</f>
        <v>0</v>
      </c>
      <c r="F445" s="176">
        <f>IFERROR(F425*('Key inputs_EB_MIN'!F$70+'Key inputs_EB_MIN'!F$71)/SUM('Key inputs_EB_MIN'!F$69:F$71),0)</f>
        <v>0</v>
      </c>
      <c r="G445" s="176">
        <f>IFERROR(G425*('Key inputs_EB_MIN'!G$70+'Key inputs_EB_MIN'!G$71)/SUM('Key inputs_EB_MIN'!G$69:G$71),0)</f>
        <v>0</v>
      </c>
      <c r="H445" s="176">
        <f>IFERROR(H425*('Key inputs_EB_MIN'!H$70+'Key inputs_EB_MIN'!H$71)/SUM('Key inputs_EB_MIN'!H$69:H$71),0)</f>
        <v>0</v>
      </c>
      <c r="I445" s="176">
        <f>IFERROR(I425*('Key inputs_EB_MIN'!I$70+'Key inputs_EB_MIN'!I$71)/SUM('Key inputs_EB_MIN'!I$69:I$71),0)</f>
        <v>0</v>
      </c>
      <c r="J445" s="176">
        <f>IFERROR(J425*('Key inputs_EB_MIN'!J$70+'Key inputs_EB_MIN'!J$71)/SUM('Key inputs_EB_MIN'!J$69:J$71),0)</f>
        <v>0</v>
      </c>
      <c r="K445" s="176">
        <f>IFERROR(K425*('Key inputs_EB_MIN'!K$70+'Key inputs_EB_MIN'!K$71)/SUM('Key inputs_EB_MIN'!K$69:K$71),0)</f>
        <v>0</v>
      </c>
      <c r="L445" s="176">
        <f>IFERROR(L425*('Key inputs_EB_MIN'!L$70+'Key inputs_EB_MIN'!L$71)/SUM('Key inputs_EB_MIN'!L$69:L$71),0)</f>
        <v>0</v>
      </c>
      <c r="M445" s="176">
        <f>IFERROR(M425*('Key inputs_EB_MIN'!M$70+'Key inputs_EB_MIN'!M$71)/SUM('Key inputs_EB_MIN'!M$69:M$71),0)</f>
        <v>0</v>
      </c>
      <c r="N445" s="176">
        <f>IFERROR(N425*('Key inputs_EB_MIN'!N$70+'Key inputs_EB_MIN'!N$71)/SUM('Key inputs_EB_MIN'!N$69:N$71),0)</f>
        <v>0</v>
      </c>
      <c r="O445" s="176">
        <f>IFERROR(O425*('Key inputs_EB_MIN'!O$70+'Key inputs_EB_MIN'!O$71)/SUM('Key inputs_EB_MIN'!O$69:O$71),0)</f>
        <v>0</v>
      </c>
      <c r="P445" s="176">
        <f>IFERROR(P425*('Key inputs_EB_MIN'!P$70+'Key inputs_EB_MIN'!P$71)/SUM('Key inputs_EB_MIN'!P$69:P$71),0)</f>
        <v>0</v>
      </c>
      <c r="Q445" s="176">
        <f>IFERROR(Q425*('Key inputs_EB_MIN'!Q$70+'Key inputs_EB_MIN'!Q$71)/SUM('Key inputs_EB_MIN'!Q$69:Q$71),0)</f>
        <v>0</v>
      </c>
      <c r="R445" s="176">
        <f>IFERROR(R425*('Key inputs_EB_MIN'!R$70+'Key inputs_EB_MIN'!R$71)/SUM('Key inputs_EB_MIN'!R$69:R$71),0)</f>
        <v>0</v>
      </c>
      <c r="S445" s="176">
        <f>IFERROR(S425*('Key inputs_EB_MIN'!S$70+'Key inputs_EB_MIN'!S$71)/SUM('Key inputs_EB_MIN'!S$69:S$71),0)</f>
        <v>0</v>
      </c>
      <c r="T445" s="176">
        <f>IFERROR(T425*('Key inputs_EB_MIN'!T$70+'Key inputs_EB_MIN'!T$71)/SUM('Key inputs_EB_MIN'!T$69:T$71),0)</f>
        <v>0</v>
      </c>
      <c r="U445" s="176">
        <f>IFERROR(U425*('Key inputs_EB_MIN'!U$70+'Key inputs_EB_MIN'!U$71)/SUM('Key inputs_EB_MIN'!U$69:U$71),0)</f>
        <v>0</v>
      </c>
      <c r="V445" s="176">
        <f>IFERROR(V425*('Key inputs_EB_MIN'!V$70+'Key inputs_EB_MIN'!V$71)/SUM('Key inputs_EB_MIN'!V$69:V$71),0)</f>
        <v>0</v>
      </c>
      <c r="W445" s="176">
        <f>IFERROR(W425*('Key inputs_EB_MIN'!W$70+'Key inputs_EB_MIN'!W$71)/SUM('Key inputs_EB_MIN'!W$69:W$71),0)</f>
        <v>0</v>
      </c>
      <c r="X445" s="176">
        <f>IFERROR(X425*('Key inputs_EB_MIN'!X$70+'Key inputs_EB_MIN'!X$71)/SUM('Key inputs_EB_MIN'!X$69:X$71),0)</f>
        <v>0</v>
      </c>
      <c r="Y445" s="176">
        <f>IFERROR(Y425*('Key inputs_EB_MIN'!Y$70+'Key inputs_EB_MIN'!Y$71)/SUM('Key inputs_EB_MIN'!Y$69:Y$71),0)</f>
        <v>0</v>
      </c>
      <c r="Z445" s="176">
        <f>IFERROR(Z425*('Key inputs_EB_MIN'!Z$70+'Key inputs_EB_MIN'!Z$71)/SUM('Key inputs_EB_MIN'!Z$69:Z$71),0)</f>
        <v>0</v>
      </c>
      <c r="AA445" s="176">
        <f>IFERROR(AA425*('Key inputs_EB_MIN'!AA$70+'Key inputs_EB_MIN'!AA$71)/SUM('Key inputs_EB_MIN'!AA$69:AA$71),0)</f>
        <v>0</v>
      </c>
      <c r="AB445" s="176">
        <f>IFERROR(AB425*('Key inputs_EB_MIN'!AB$70+'Key inputs_EB_MIN'!AB$71)/SUM('Key inputs_EB_MIN'!AB$69:AB$71),0)</f>
        <v>0</v>
      </c>
      <c r="AC445" s="176">
        <f>IFERROR(AC425*('Key inputs_EB_MIN'!AC$70+'Key inputs_EB_MIN'!AC$71)/SUM('Key inputs_EB_MIN'!AC$69:AC$71),0)</f>
        <v>0</v>
      </c>
      <c r="AD445" s="176">
        <f>IFERROR(AD425*('Key inputs_EB_MIN'!AD$70+'Key inputs_EB_MIN'!AD$71)/SUM('Key inputs_EB_MIN'!AD$69:AD$71),0)</f>
        <v>0</v>
      </c>
      <c r="AE445" s="176">
        <f>IFERROR(AE425*('Key inputs_EB_MIN'!AE$70+'Key inputs_EB_MIN'!AE$71)/SUM('Key inputs_EB_MIN'!AE$69:AE$71),0)</f>
        <v>0</v>
      </c>
      <c r="AF445" s="287">
        <f>IFERROR(AF425*('Key inputs_EB_MIN'!AF$70+'Key inputs_EB_MIN'!AF$71)/SUM('Key inputs_EB_MIN'!AF$69:AF$71),0)</f>
        <v>0</v>
      </c>
    </row>
    <row r="446" spans="1:32" s="59" customFormat="1">
      <c r="A446" s="95" t="s">
        <v>728</v>
      </c>
      <c r="B446" s="95" t="s">
        <v>751</v>
      </c>
      <c r="C446" s="71" t="s">
        <v>533</v>
      </c>
      <c r="D446" s="74" t="s">
        <v>387</v>
      </c>
      <c r="E446" s="176">
        <f>IFERROR(E426*('Key inputs_EB_MIN'!E$70+'Key inputs_EB_MIN'!E$71)/SUM('Key inputs_EB_MIN'!E$69:E$71),0)</f>
        <v>0</v>
      </c>
      <c r="F446" s="176">
        <f>IFERROR(F426*('Key inputs_EB_MIN'!F$70+'Key inputs_EB_MIN'!F$71)/SUM('Key inputs_EB_MIN'!F$69:F$71),0)</f>
        <v>0</v>
      </c>
      <c r="G446" s="176">
        <f>IFERROR(G426*('Key inputs_EB_MIN'!G$70+'Key inputs_EB_MIN'!G$71)/SUM('Key inputs_EB_MIN'!G$69:G$71),0)</f>
        <v>0</v>
      </c>
      <c r="H446" s="176">
        <f>IFERROR(H426*('Key inputs_EB_MIN'!H$70+'Key inputs_EB_MIN'!H$71)/SUM('Key inputs_EB_MIN'!H$69:H$71),0)</f>
        <v>0</v>
      </c>
      <c r="I446" s="176">
        <f>IFERROR(I426*('Key inputs_EB_MIN'!I$70+'Key inputs_EB_MIN'!I$71)/SUM('Key inputs_EB_MIN'!I$69:I$71),0)</f>
        <v>0</v>
      </c>
      <c r="J446" s="176">
        <f>IFERROR(J426*('Key inputs_EB_MIN'!J$70+'Key inputs_EB_MIN'!J$71)/SUM('Key inputs_EB_MIN'!J$69:J$71),0)</f>
        <v>0</v>
      </c>
      <c r="K446" s="176">
        <f>IFERROR(K426*('Key inputs_EB_MIN'!K$70+'Key inputs_EB_MIN'!K$71)/SUM('Key inputs_EB_MIN'!K$69:K$71),0)</f>
        <v>0</v>
      </c>
      <c r="L446" s="176">
        <f>IFERROR(L426*('Key inputs_EB_MIN'!L$70+'Key inputs_EB_MIN'!L$71)/SUM('Key inputs_EB_MIN'!L$69:L$71),0)</f>
        <v>0</v>
      </c>
      <c r="M446" s="176">
        <f>IFERROR(M426*('Key inputs_EB_MIN'!M$70+'Key inputs_EB_MIN'!M$71)/SUM('Key inputs_EB_MIN'!M$69:M$71),0)</f>
        <v>0</v>
      </c>
      <c r="N446" s="176">
        <f>IFERROR(N426*('Key inputs_EB_MIN'!N$70+'Key inputs_EB_MIN'!N$71)/SUM('Key inputs_EB_MIN'!N$69:N$71),0)</f>
        <v>0</v>
      </c>
      <c r="O446" s="176">
        <f>IFERROR(O426*('Key inputs_EB_MIN'!O$70+'Key inputs_EB_MIN'!O$71)/SUM('Key inputs_EB_MIN'!O$69:O$71),0)</f>
        <v>0</v>
      </c>
      <c r="P446" s="176">
        <f>IFERROR(P426*('Key inputs_EB_MIN'!P$70+'Key inputs_EB_MIN'!P$71)/SUM('Key inputs_EB_MIN'!P$69:P$71),0)</f>
        <v>0</v>
      </c>
      <c r="Q446" s="176">
        <f>IFERROR(Q426*('Key inputs_EB_MIN'!Q$70+'Key inputs_EB_MIN'!Q$71)/SUM('Key inputs_EB_MIN'!Q$69:Q$71),0)</f>
        <v>0</v>
      </c>
      <c r="R446" s="176">
        <f>IFERROR(R426*('Key inputs_EB_MIN'!R$70+'Key inputs_EB_MIN'!R$71)/SUM('Key inputs_EB_MIN'!R$69:R$71),0)</f>
        <v>0</v>
      </c>
      <c r="S446" s="176">
        <f>IFERROR(S426*('Key inputs_EB_MIN'!S$70+'Key inputs_EB_MIN'!S$71)/SUM('Key inputs_EB_MIN'!S$69:S$71),0)</f>
        <v>0</v>
      </c>
      <c r="T446" s="176">
        <f>IFERROR(T426*('Key inputs_EB_MIN'!T$70+'Key inputs_EB_MIN'!T$71)/SUM('Key inputs_EB_MIN'!T$69:T$71),0)</f>
        <v>0</v>
      </c>
      <c r="U446" s="176">
        <f>IFERROR(U426*('Key inputs_EB_MIN'!U$70+'Key inputs_EB_MIN'!U$71)/SUM('Key inputs_EB_MIN'!U$69:U$71),0)</f>
        <v>0</v>
      </c>
      <c r="V446" s="176">
        <f>IFERROR(V426*('Key inputs_EB_MIN'!V$70+'Key inputs_EB_MIN'!V$71)/SUM('Key inputs_EB_MIN'!V$69:V$71),0)</f>
        <v>0</v>
      </c>
      <c r="W446" s="176">
        <f>IFERROR(W426*('Key inputs_EB_MIN'!W$70+'Key inputs_EB_MIN'!W$71)/SUM('Key inputs_EB_MIN'!W$69:W$71),0)</f>
        <v>0</v>
      </c>
      <c r="X446" s="176">
        <f>IFERROR(X426*('Key inputs_EB_MIN'!X$70+'Key inputs_EB_MIN'!X$71)/SUM('Key inputs_EB_MIN'!X$69:X$71),0)</f>
        <v>0</v>
      </c>
      <c r="Y446" s="176">
        <f>IFERROR(Y426*('Key inputs_EB_MIN'!Y$70+'Key inputs_EB_MIN'!Y$71)/SUM('Key inputs_EB_MIN'!Y$69:Y$71),0)</f>
        <v>0</v>
      </c>
      <c r="Z446" s="176">
        <f>IFERROR(Z426*('Key inputs_EB_MIN'!Z$70+'Key inputs_EB_MIN'!Z$71)/SUM('Key inputs_EB_MIN'!Z$69:Z$71),0)</f>
        <v>0</v>
      </c>
      <c r="AA446" s="176">
        <f>IFERROR(AA426*('Key inputs_EB_MIN'!AA$70+'Key inputs_EB_MIN'!AA$71)/SUM('Key inputs_EB_MIN'!AA$69:AA$71),0)</f>
        <v>0</v>
      </c>
      <c r="AB446" s="176">
        <f>IFERROR(AB426*('Key inputs_EB_MIN'!AB$70+'Key inputs_EB_MIN'!AB$71)/SUM('Key inputs_EB_MIN'!AB$69:AB$71),0)</f>
        <v>0</v>
      </c>
      <c r="AC446" s="176">
        <f>IFERROR(AC426*('Key inputs_EB_MIN'!AC$70+'Key inputs_EB_MIN'!AC$71)/SUM('Key inputs_EB_MIN'!AC$69:AC$71),0)</f>
        <v>0</v>
      </c>
      <c r="AD446" s="176">
        <f>IFERROR(AD426*('Key inputs_EB_MIN'!AD$70+'Key inputs_EB_MIN'!AD$71)/SUM('Key inputs_EB_MIN'!AD$69:AD$71),0)</f>
        <v>0</v>
      </c>
      <c r="AE446" s="176">
        <f>IFERROR(AE426*('Key inputs_EB_MIN'!AE$70+'Key inputs_EB_MIN'!AE$71)/SUM('Key inputs_EB_MIN'!AE$69:AE$71),0)</f>
        <v>0</v>
      </c>
      <c r="AF446" s="287">
        <f>IFERROR(AF426*('Key inputs_EB_MIN'!AF$70+'Key inputs_EB_MIN'!AF$71)/SUM('Key inputs_EB_MIN'!AF$69:AF$71),0)</f>
        <v>0</v>
      </c>
    </row>
    <row r="447" spans="1:32" s="59" customFormat="1">
      <c r="A447" s="95" t="s">
        <v>728</v>
      </c>
      <c r="B447" s="95" t="s">
        <v>751</v>
      </c>
      <c r="C447" s="71" t="s">
        <v>535</v>
      </c>
      <c r="D447" s="74" t="s">
        <v>387</v>
      </c>
      <c r="E447" s="176">
        <f>IFERROR(E427*('Key inputs_EB_MIN'!E$70+'Key inputs_EB_MIN'!E$71)/SUM('Key inputs_EB_MIN'!E$69:E$71),0)</f>
        <v>0</v>
      </c>
      <c r="F447" s="176">
        <f>IFERROR(F427*('Key inputs_EB_MIN'!F$70+'Key inputs_EB_MIN'!F$71)/SUM('Key inputs_EB_MIN'!F$69:F$71),0)</f>
        <v>-18997.743877239391</v>
      </c>
      <c r="G447" s="176">
        <f>IFERROR(G427*('Key inputs_EB_MIN'!G$70+'Key inputs_EB_MIN'!G$71)/SUM('Key inputs_EB_MIN'!G$69:G$71),0)</f>
        <v>-682.78695631627988</v>
      </c>
      <c r="H447" s="176">
        <f>IFERROR(H427*('Key inputs_EB_MIN'!H$70+'Key inputs_EB_MIN'!H$71)/SUM('Key inputs_EB_MIN'!H$69:H$71),0)</f>
        <v>-8858.6211464632706</v>
      </c>
      <c r="I447" s="176">
        <f>IFERROR(I427*('Key inputs_EB_MIN'!I$70+'Key inputs_EB_MIN'!I$71)/SUM('Key inputs_EB_MIN'!I$69:I$71),0)</f>
        <v>-4830.0380557375302</v>
      </c>
      <c r="J447" s="176">
        <f>IFERROR(J427*('Key inputs_EB_MIN'!J$70+'Key inputs_EB_MIN'!J$71)/SUM('Key inputs_EB_MIN'!J$69:J$71),0)</f>
        <v>-8829.829439617657</v>
      </c>
      <c r="K447" s="176">
        <f>IFERROR(K427*('Key inputs_EB_MIN'!K$70+'Key inputs_EB_MIN'!K$71)/SUM('Key inputs_EB_MIN'!K$69:K$71),0)</f>
        <v>0</v>
      </c>
      <c r="L447" s="176">
        <f>IFERROR(L427*('Key inputs_EB_MIN'!L$70+'Key inputs_EB_MIN'!L$71)/SUM('Key inputs_EB_MIN'!L$69:L$71),0)</f>
        <v>0</v>
      </c>
      <c r="M447" s="176">
        <f>IFERROR(M427*('Key inputs_EB_MIN'!M$70+'Key inputs_EB_MIN'!M$71)/SUM('Key inputs_EB_MIN'!M$69:M$71),0)</f>
        <v>-26324.570768321719</v>
      </c>
      <c r="N447" s="176">
        <f>IFERROR(N427*('Key inputs_EB_MIN'!N$70+'Key inputs_EB_MIN'!N$71)/SUM('Key inputs_EB_MIN'!N$69:N$71),0)</f>
        <v>-127916.54854096088</v>
      </c>
      <c r="O447" s="176">
        <f>IFERROR(O427*('Key inputs_EB_MIN'!O$70+'Key inputs_EB_MIN'!O$71)/SUM('Key inputs_EB_MIN'!O$69:O$71),0)</f>
        <v>0</v>
      </c>
      <c r="P447" s="176">
        <f>IFERROR(P427*('Key inputs_EB_MIN'!P$70+'Key inputs_EB_MIN'!P$71)/SUM('Key inputs_EB_MIN'!P$69:P$71),0)</f>
        <v>-11385.152427917377</v>
      </c>
      <c r="Q447" s="176">
        <f>IFERROR(Q427*('Key inputs_EB_MIN'!Q$70+'Key inputs_EB_MIN'!Q$71)/SUM('Key inputs_EB_MIN'!Q$69:Q$71),0)</f>
        <v>-1784.2050575207365</v>
      </c>
      <c r="R447" s="176">
        <f>IFERROR(R427*('Key inputs_EB_MIN'!R$70+'Key inputs_EB_MIN'!R$71)/SUM('Key inputs_EB_MIN'!R$69:R$71),0)</f>
        <v>-69711.113997548877</v>
      </c>
      <c r="S447" s="176">
        <f>IFERROR(S427*('Key inputs_EB_MIN'!S$70+'Key inputs_EB_MIN'!S$71)/SUM('Key inputs_EB_MIN'!S$69:S$71),0)</f>
        <v>-734.72416401601583</v>
      </c>
      <c r="T447" s="176">
        <f>IFERROR(T427*('Key inputs_EB_MIN'!T$70+'Key inputs_EB_MIN'!T$71)/SUM('Key inputs_EB_MIN'!T$69:T$71),0)</f>
        <v>-310.25159446683807</v>
      </c>
      <c r="U447" s="176">
        <f>IFERROR(U427*('Key inputs_EB_MIN'!U$70+'Key inputs_EB_MIN'!U$71)/SUM('Key inputs_EB_MIN'!U$69:U$71),0)</f>
        <v>0</v>
      </c>
      <c r="V447" s="176">
        <f>IFERROR(V427*('Key inputs_EB_MIN'!V$70+'Key inputs_EB_MIN'!V$71)/SUM('Key inputs_EB_MIN'!V$69:V$71),0)</f>
        <v>0</v>
      </c>
      <c r="W447" s="176">
        <f>IFERROR(W427*('Key inputs_EB_MIN'!W$70+'Key inputs_EB_MIN'!W$71)/SUM('Key inputs_EB_MIN'!W$69:W$71),0)</f>
        <v>0</v>
      </c>
      <c r="X447" s="176">
        <f>IFERROR(X427*('Key inputs_EB_MIN'!X$70+'Key inputs_EB_MIN'!X$71)/SUM('Key inputs_EB_MIN'!X$69:X$71),0)</f>
        <v>0</v>
      </c>
      <c r="Y447" s="176">
        <f>IFERROR(Y427*('Key inputs_EB_MIN'!Y$70+'Key inputs_EB_MIN'!Y$71)/SUM('Key inputs_EB_MIN'!Y$69:Y$71),0)</f>
        <v>-12883.11803073472</v>
      </c>
      <c r="Z447" s="176">
        <f>IFERROR(Z427*('Key inputs_EB_MIN'!Z$70+'Key inputs_EB_MIN'!Z$71)/SUM('Key inputs_EB_MIN'!Z$69:Z$71),0)</f>
        <v>-408.28723154744915</v>
      </c>
      <c r="AA447" s="176">
        <f>IFERROR(AA427*('Key inputs_EB_MIN'!AA$70+'Key inputs_EB_MIN'!AA$71)/SUM('Key inputs_EB_MIN'!AA$69:AA$71),0)</f>
        <v>-23867.158836905695</v>
      </c>
      <c r="AB447" s="176">
        <f>IFERROR(AB427*('Key inputs_EB_MIN'!AB$70+'Key inputs_EB_MIN'!AB$71)/SUM('Key inputs_EB_MIN'!AB$69:AB$71),0)</f>
        <v>0</v>
      </c>
      <c r="AC447" s="176">
        <f>IFERROR(AC427*('Key inputs_EB_MIN'!AC$70+'Key inputs_EB_MIN'!AC$71)/SUM('Key inputs_EB_MIN'!AC$69:AC$71),0)</f>
        <v>0</v>
      </c>
      <c r="AD447" s="176">
        <f>IFERROR(AD427*('Key inputs_EB_MIN'!AD$70+'Key inputs_EB_MIN'!AD$71)/SUM('Key inputs_EB_MIN'!AD$69:AD$71),0)</f>
        <v>-76335.857730751261</v>
      </c>
      <c r="AE447" s="176">
        <f>IFERROR(AE427*('Key inputs_EB_MIN'!AE$70+'Key inputs_EB_MIN'!AE$71)/SUM('Key inputs_EB_MIN'!AE$69:AE$71),0)</f>
        <v>-387.41440629643807</v>
      </c>
      <c r="AF447" s="287">
        <f>IFERROR(AF427*('Key inputs_EB_MIN'!AF$70+'Key inputs_EB_MIN'!AF$71)/SUM('Key inputs_EB_MIN'!AF$69:AF$71),0)</f>
        <v>-199996.25835945862</v>
      </c>
    </row>
    <row r="448" spans="1:32" s="59" customFormat="1">
      <c r="A448" s="95" t="s">
        <v>728</v>
      </c>
      <c r="B448" s="95" t="s">
        <v>751</v>
      </c>
      <c r="C448" s="71" t="s">
        <v>537</v>
      </c>
      <c r="D448" s="74" t="s">
        <v>387</v>
      </c>
      <c r="E448" s="176">
        <f>IFERROR(E428*('Key inputs_EB_MIN'!E$70+'Key inputs_EB_MIN'!E$71)/SUM('Key inputs_EB_MIN'!E$69:E$71),0)</f>
        <v>0</v>
      </c>
      <c r="F448" s="176">
        <f>IFERROR(F428*('Key inputs_EB_MIN'!F$70+'Key inputs_EB_MIN'!F$71)/SUM('Key inputs_EB_MIN'!F$69:F$71),0)</f>
        <v>-1547.350246875535</v>
      </c>
      <c r="G448" s="366">
        <f>IFERROR(G428*('Key inputs_EB_MIN'!G$70+'Key inputs_EB_MIN'!G$71)/SUM('Key inputs_EB_MIN'!G$69:G$71),0)</f>
        <v>-91.09275134387515</v>
      </c>
      <c r="H448" s="176">
        <f>IFERROR(H428*('Key inputs_EB_MIN'!H$70+'Key inputs_EB_MIN'!H$71)/SUM('Key inputs_EB_MIN'!H$69:H$71),0)</f>
        <v>-65.127816502450358</v>
      </c>
      <c r="I448" s="176">
        <f>IFERROR(I428*('Key inputs_EB_MIN'!I$70+'Key inputs_EB_MIN'!I$71)/SUM('Key inputs_EB_MIN'!I$69:I$71),0)</f>
        <v>-25328.244259324038</v>
      </c>
      <c r="J448" s="176">
        <f>IFERROR(J428*('Key inputs_EB_MIN'!J$70+'Key inputs_EB_MIN'!J$71)/SUM('Key inputs_EB_MIN'!J$69:J$71),0)</f>
        <v>-25469.506400971764</v>
      </c>
      <c r="K448" s="176">
        <f>IFERROR(K428*('Key inputs_EB_MIN'!K$70+'Key inputs_EB_MIN'!K$71)/SUM('Key inputs_EB_MIN'!K$69:K$71),0)</f>
        <v>-221.59269464777182</v>
      </c>
      <c r="L448" s="176">
        <f>IFERROR(L428*('Key inputs_EB_MIN'!L$70+'Key inputs_EB_MIN'!L$71)/SUM('Key inputs_EB_MIN'!L$69:L$71),0)</f>
        <v>0</v>
      </c>
      <c r="M448" s="176">
        <f>IFERROR(M428*('Key inputs_EB_MIN'!M$70+'Key inputs_EB_MIN'!M$71)/SUM('Key inputs_EB_MIN'!M$69:M$71),0)</f>
        <v>-6258.9493602767325</v>
      </c>
      <c r="N448" s="176">
        <f>IFERROR(N428*('Key inputs_EB_MIN'!N$70+'Key inputs_EB_MIN'!N$71)/SUM('Key inputs_EB_MIN'!N$69:N$71),0)</f>
        <v>-28938.412215345426</v>
      </c>
      <c r="O448" s="176">
        <f>IFERROR(O428*('Key inputs_EB_MIN'!O$70+'Key inputs_EB_MIN'!O$71)/SUM('Key inputs_EB_MIN'!O$69:O$71),0)</f>
        <v>0</v>
      </c>
      <c r="P448" s="176">
        <f>IFERROR(P428*('Key inputs_EB_MIN'!P$70+'Key inputs_EB_MIN'!P$71)/SUM('Key inputs_EB_MIN'!P$69:P$71),0)</f>
        <v>-66427.821244879015</v>
      </c>
      <c r="Q448" s="176">
        <f>IFERROR(Q428*('Key inputs_EB_MIN'!Q$70+'Key inputs_EB_MIN'!Q$71)/SUM('Key inputs_EB_MIN'!Q$69:Q$71),0)</f>
        <v>-2931.2882542486846</v>
      </c>
      <c r="R448" s="176">
        <f>IFERROR(R428*('Key inputs_EB_MIN'!R$70+'Key inputs_EB_MIN'!R$71)/SUM('Key inputs_EB_MIN'!R$69:R$71),0)</f>
        <v>-16547.679143151079</v>
      </c>
      <c r="S448" s="176">
        <f>IFERROR(S428*('Key inputs_EB_MIN'!S$70+'Key inputs_EB_MIN'!S$71)/SUM('Key inputs_EB_MIN'!S$69:S$71),0)</f>
        <v>-4841.1092682082563</v>
      </c>
      <c r="T448" s="176">
        <f>IFERROR(T428*('Key inputs_EB_MIN'!T$70+'Key inputs_EB_MIN'!T$71)/SUM('Key inputs_EB_MIN'!T$69:T$71),0)</f>
        <v>-1038.1089437561945</v>
      </c>
      <c r="U448" s="176">
        <f>IFERROR(U428*('Key inputs_EB_MIN'!U$70+'Key inputs_EB_MIN'!U$71)/SUM('Key inputs_EB_MIN'!U$69:U$71),0)</f>
        <v>-7479.5002699145816</v>
      </c>
      <c r="V448" s="176">
        <f>IFERROR(V428*('Key inputs_EB_MIN'!V$70+'Key inputs_EB_MIN'!V$71)/SUM('Key inputs_EB_MIN'!V$69:V$71),0)</f>
        <v>0</v>
      </c>
      <c r="W448" s="176">
        <f>IFERROR(W428*('Key inputs_EB_MIN'!W$70+'Key inputs_EB_MIN'!W$71)/SUM('Key inputs_EB_MIN'!W$69:W$71),0)</f>
        <v>0</v>
      </c>
      <c r="X448" s="176">
        <f>IFERROR(X428*('Key inputs_EB_MIN'!X$70+'Key inputs_EB_MIN'!X$71)/SUM('Key inputs_EB_MIN'!X$69:X$71),0)</f>
        <v>0</v>
      </c>
      <c r="Y448" s="176">
        <f>IFERROR(Y428*('Key inputs_EB_MIN'!Y$70+'Key inputs_EB_MIN'!Y$71)/SUM('Key inputs_EB_MIN'!Y$69:Y$71),0)</f>
        <v>-7085.0734143350301</v>
      </c>
      <c r="Z448" s="176">
        <f>IFERROR(Z428*('Key inputs_EB_MIN'!Z$70+'Key inputs_EB_MIN'!Z$71)/SUM('Key inputs_EB_MIN'!Z$69:Z$71),0)</f>
        <v>-1515.654740015515</v>
      </c>
      <c r="AA448" s="176">
        <f>IFERROR(AA428*('Key inputs_EB_MIN'!AA$70+'Key inputs_EB_MIN'!AA$71)/SUM('Key inputs_EB_MIN'!AA$69:AA$71),0)</f>
        <v>0</v>
      </c>
      <c r="AB448" s="176">
        <f>IFERROR(AB428*('Key inputs_EB_MIN'!AB$70+'Key inputs_EB_MIN'!AB$71)/SUM('Key inputs_EB_MIN'!AB$69:AB$71),0)</f>
        <v>-2310.1464908906455</v>
      </c>
      <c r="AC448" s="176">
        <f>IFERROR(AC428*('Key inputs_EB_MIN'!AC$70+'Key inputs_EB_MIN'!AC$71)/SUM('Key inputs_EB_MIN'!AC$69:AC$71),0)</f>
        <v>0</v>
      </c>
      <c r="AD448" s="176">
        <f>IFERROR(AD428*('Key inputs_EB_MIN'!AD$70+'Key inputs_EB_MIN'!AD$71)/SUM('Key inputs_EB_MIN'!AD$69:AD$71),0)</f>
        <v>-205116.79950457567</v>
      </c>
      <c r="AE448" s="176">
        <f>IFERROR(AE428*('Key inputs_EB_MIN'!AE$70+'Key inputs_EB_MIN'!AE$71)/SUM('Key inputs_EB_MIN'!AE$69:AE$71),0)</f>
        <v>0</v>
      </c>
      <c r="AF448" s="287">
        <f>IFERROR(AF428*('Key inputs_EB_MIN'!AF$70+'Key inputs_EB_MIN'!AF$71)/SUM('Key inputs_EB_MIN'!AF$69:AF$71),0)</f>
        <v>-116845.90343714686</v>
      </c>
    </row>
    <row r="449" spans="1:32" s="59" customFormat="1">
      <c r="A449" s="95" t="s">
        <v>728</v>
      </c>
      <c r="B449" s="95" t="s">
        <v>751</v>
      </c>
      <c r="C449" s="71" t="s">
        <v>541</v>
      </c>
      <c r="D449" s="74" t="s">
        <v>387</v>
      </c>
      <c r="E449" s="176">
        <f>IFERROR(E429*('Key inputs_EB_MIN'!E$70+'Key inputs_EB_MIN'!E$71)/SUM('Key inputs_EB_MIN'!E$69:E$71),0)</f>
        <v>0</v>
      </c>
      <c r="F449" s="176">
        <f>IFERROR(F429*('Key inputs_EB_MIN'!F$70+'Key inputs_EB_MIN'!F$71)/SUM('Key inputs_EB_MIN'!F$69:F$71),0)</f>
        <v>-144860.98793341039</v>
      </c>
      <c r="G449" s="176">
        <f>IFERROR(G429*('Key inputs_EB_MIN'!G$70+'Key inputs_EB_MIN'!G$71)/SUM('Key inputs_EB_MIN'!G$69:G$71),0)</f>
        <v>0</v>
      </c>
      <c r="H449" s="176">
        <f>IFERROR(H429*('Key inputs_EB_MIN'!H$70+'Key inputs_EB_MIN'!H$71)/SUM('Key inputs_EB_MIN'!H$69:H$71),0)</f>
        <v>-630.41238378569687</v>
      </c>
      <c r="I449" s="176">
        <f>IFERROR(I429*('Key inputs_EB_MIN'!I$70+'Key inputs_EB_MIN'!I$71)/SUM('Key inputs_EB_MIN'!I$69:I$71),0)</f>
        <v>-53915.600167614124</v>
      </c>
      <c r="J449" s="176">
        <f>IFERROR(J429*('Key inputs_EB_MIN'!J$70+'Key inputs_EB_MIN'!J$71)/SUM('Key inputs_EB_MIN'!J$69:J$71),0)</f>
        <v>-84228.174659828524</v>
      </c>
      <c r="K449" s="176">
        <f>IFERROR(K429*('Key inputs_EB_MIN'!K$70+'Key inputs_EB_MIN'!K$71)/SUM('Key inputs_EB_MIN'!K$69:K$71),0)</f>
        <v>-304268.12844652036</v>
      </c>
      <c r="L449" s="176">
        <f>IFERROR(L429*('Key inputs_EB_MIN'!L$70+'Key inputs_EB_MIN'!L$71)/SUM('Key inputs_EB_MIN'!L$69:L$71),0)</f>
        <v>-16449.918322022782</v>
      </c>
      <c r="M449" s="176">
        <f>IFERROR(M429*('Key inputs_EB_MIN'!M$70+'Key inputs_EB_MIN'!M$71)/SUM('Key inputs_EB_MIN'!M$69:M$71),0)</f>
        <v>-25514.030985661102</v>
      </c>
      <c r="N449" s="176">
        <f>IFERROR(N429*('Key inputs_EB_MIN'!N$70+'Key inputs_EB_MIN'!N$71)/SUM('Key inputs_EB_MIN'!N$69:N$71),0)</f>
        <v>-515034.28790628357</v>
      </c>
      <c r="O449" s="176">
        <f>IFERROR(O429*('Key inputs_EB_MIN'!O$70+'Key inputs_EB_MIN'!O$71)/SUM('Key inputs_EB_MIN'!O$69:O$71),0)</f>
        <v>0</v>
      </c>
      <c r="P449" s="176">
        <f>IFERROR(P429*('Key inputs_EB_MIN'!P$70+'Key inputs_EB_MIN'!P$71)/SUM('Key inputs_EB_MIN'!P$69:P$71),0)</f>
        <v>-206074.77909202542</v>
      </c>
      <c r="Q449" s="176">
        <f>IFERROR(Q429*('Key inputs_EB_MIN'!Q$70+'Key inputs_EB_MIN'!Q$71)/SUM('Key inputs_EB_MIN'!Q$69:Q$71),0)</f>
        <v>-25598.04366906729</v>
      </c>
      <c r="R449" s="176">
        <f>IFERROR(R429*('Key inputs_EB_MIN'!R$70+'Key inputs_EB_MIN'!R$71)/SUM('Key inputs_EB_MIN'!R$69:R$71),0)</f>
        <v>-200314.1919746128</v>
      </c>
      <c r="S449" s="176">
        <f>IFERROR(S429*('Key inputs_EB_MIN'!S$70+'Key inputs_EB_MIN'!S$71)/SUM('Key inputs_EB_MIN'!S$69:S$71),0)</f>
        <v>-18523.09869236128</v>
      </c>
      <c r="T449" s="176">
        <f>IFERROR(T429*('Key inputs_EB_MIN'!T$70+'Key inputs_EB_MIN'!T$71)/SUM('Key inputs_EB_MIN'!T$69:T$71),0)</f>
        <v>-5369.0234783479755</v>
      </c>
      <c r="U449" s="176">
        <f>IFERROR(U429*('Key inputs_EB_MIN'!U$70+'Key inputs_EB_MIN'!U$71)/SUM('Key inputs_EB_MIN'!U$69:U$71),0)</f>
        <v>-39921.961732255062</v>
      </c>
      <c r="V449" s="176">
        <f>IFERROR(V429*('Key inputs_EB_MIN'!V$70+'Key inputs_EB_MIN'!V$71)/SUM('Key inputs_EB_MIN'!V$69:V$71),0)</f>
        <v>-111665.61042969748</v>
      </c>
      <c r="W449" s="176">
        <f>IFERROR(W429*('Key inputs_EB_MIN'!W$70+'Key inputs_EB_MIN'!W$71)/SUM('Key inputs_EB_MIN'!W$69:W$71),0)</f>
        <v>-17597.480546611801</v>
      </c>
      <c r="X449" s="176">
        <f>IFERROR(X429*('Key inputs_EB_MIN'!X$70+'Key inputs_EB_MIN'!X$71)/SUM('Key inputs_EB_MIN'!X$69:X$71),0)</f>
        <v>-4138.7465119227663</v>
      </c>
      <c r="Y449" s="176">
        <f>IFERROR(Y429*('Key inputs_EB_MIN'!Y$70+'Key inputs_EB_MIN'!Y$71)/SUM('Key inputs_EB_MIN'!Y$69:Y$71),0)</f>
        <v>-177354.51866144294</v>
      </c>
      <c r="Z449" s="176">
        <f>IFERROR(Z429*('Key inputs_EB_MIN'!Z$70+'Key inputs_EB_MIN'!Z$71)/SUM('Key inputs_EB_MIN'!Z$69:Z$71),0)</f>
        <v>-1151.8433553437681</v>
      </c>
      <c r="AA449" s="176">
        <f>IFERROR(AA429*('Key inputs_EB_MIN'!AA$70+'Key inputs_EB_MIN'!AA$71)/SUM('Key inputs_EB_MIN'!AA$69:AA$71),0)</f>
        <v>-406022.51902485901</v>
      </c>
      <c r="AB449" s="176">
        <f>IFERROR(AB429*('Key inputs_EB_MIN'!AB$70+'Key inputs_EB_MIN'!AB$71)/SUM('Key inputs_EB_MIN'!AB$69:AB$71),0)</f>
        <v>-131869.05840285405</v>
      </c>
      <c r="AC449" s="176">
        <f>IFERROR(AC429*('Key inputs_EB_MIN'!AC$70+'Key inputs_EB_MIN'!AC$71)/SUM('Key inputs_EB_MIN'!AC$69:AC$71),0)</f>
        <v>-38297.826085967099</v>
      </c>
      <c r="AD449" s="176">
        <f>IFERROR(AD429*('Key inputs_EB_MIN'!AD$70+'Key inputs_EB_MIN'!AD$71)/SUM('Key inputs_EB_MIN'!AD$69:AD$71),0)</f>
        <v>-250034.49009586941</v>
      </c>
      <c r="AE449" s="176">
        <f>IFERROR(AE429*('Key inputs_EB_MIN'!AE$70+'Key inputs_EB_MIN'!AE$71)/SUM('Key inputs_EB_MIN'!AE$69:AE$71),0)</f>
        <v>0</v>
      </c>
      <c r="AF449" s="287">
        <f>IFERROR(AF429*('Key inputs_EB_MIN'!AF$70+'Key inputs_EB_MIN'!AF$71)/SUM('Key inputs_EB_MIN'!AF$69:AF$71),0)</f>
        <v>-1204324.4917861226</v>
      </c>
    </row>
    <row r="450" spans="1:32" s="59" customFormat="1">
      <c r="A450" s="95" t="s">
        <v>728</v>
      </c>
      <c r="B450" s="95" t="s">
        <v>751</v>
      </c>
      <c r="C450" s="71" t="s">
        <v>543</v>
      </c>
      <c r="D450" s="74" t="s">
        <v>387</v>
      </c>
      <c r="E450" s="176">
        <f>IFERROR(E430*('Key inputs_EB_MIN'!E$70+'Key inputs_EB_MIN'!E$71)/SUM('Key inputs_EB_MIN'!E$69:E$71),0)</f>
        <v>0</v>
      </c>
      <c r="F450" s="176">
        <f>IFERROR(F430*('Key inputs_EB_MIN'!F$70+'Key inputs_EB_MIN'!F$71)/SUM('Key inputs_EB_MIN'!F$69:F$71),0)</f>
        <v>0</v>
      </c>
      <c r="G450" s="176">
        <f>IFERROR(G430*('Key inputs_EB_MIN'!G$70+'Key inputs_EB_MIN'!G$71)/SUM('Key inputs_EB_MIN'!G$69:G$71),0)</f>
        <v>0</v>
      </c>
      <c r="H450" s="176">
        <f>IFERROR(H430*('Key inputs_EB_MIN'!H$70+'Key inputs_EB_MIN'!H$71)/SUM('Key inputs_EB_MIN'!H$69:H$71),0)</f>
        <v>0</v>
      </c>
      <c r="I450" s="176">
        <f>IFERROR(I430*('Key inputs_EB_MIN'!I$70+'Key inputs_EB_MIN'!I$71)/SUM('Key inputs_EB_MIN'!I$69:I$71),0)</f>
        <v>-0.3245418153251225</v>
      </c>
      <c r="J450" s="176">
        <f>IFERROR(J430*('Key inputs_EB_MIN'!J$70+'Key inputs_EB_MIN'!J$71)/SUM('Key inputs_EB_MIN'!J$69:J$71),0)</f>
        <v>0</v>
      </c>
      <c r="K450" s="176">
        <f>IFERROR(K430*('Key inputs_EB_MIN'!K$70+'Key inputs_EB_MIN'!K$71)/SUM('Key inputs_EB_MIN'!K$69:K$71),0)</f>
        <v>0</v>
      </c>
      <c r="L450" s="176">
        <f>IFERROR(L430*('Key inputs_EB_MIN'!L$70+'Key inputs_EB_MIN'!L$71)/SUM('Key inputs_EB_MIN'!L$69:L$71),0)</f>
        <v>0</v>
      </c>
      <c r="M450" s="176">
        <f>IFERROR(M430*('Key inputs_EB_MIN'!M$70+'Key inputs_EB_MIN'!M$71)/SUM('Key inputs_EB_MIN'!M$69:M$71),0)</f>
        <v>0</v>
      </c>
      <c r="N450" s="176">
        <f>IFERROR(N430*('Key inputs_EB_MIN'!N$70+'Key inputs_EB_MIN'!N$71)/SUM('Key inputs_EB_MIN'!N$69:N$71),0)</f>
        <v>0</v>
      </c>
      <c r="O450" s="176">
        <f>IFERROR(O430*('Key inputs_EB_MIN'!O$70+'Key inputs_EB_MIN'!O$71)/SUM('Key inputs_EB_MIN'!O$69:O$71),0)</f>
        <v>0</v>
      </c>
      <c r="P450" s="176">
        <f>IFERROR(P430*('Key inputs_EB_MIN'!P$70+'Key inputs_EB_MIN'!P$71)/SUM('Key inputs_EB_MIN'!P$69:P$71),0)</f>
        <v>-1985.131420834248</v>
      </c>
      <c r="Q450" s="176">
        <f>IFERROR(Q430*('Key inputs_EB_MIN'!Q$70+'Key inputs_EB_MIN'!Q$71)/SUM('Key inputs_EB_MIN'!Q$69:Q$71),0)</f>
        <v>0</v>
      </c>
      <c r="R450" s="176">
        <f>IFERROR(R430*('Key inputs_EB_MIN'!R$70+'Key inputs_EB_MIN'!R$71)/SUM('Key inputs_EB_MIN'!R$69:R$71),0)</f>
        <v>0</v>
      </c>
      <c r="S450" s="176">
        <f>IFERROR(S430*('Key inputs_EB_MIN'!S$70+'Key inputs_EB_MIN'!S$71)/SUM('Key inputs_EB_MIN'!S$69:S$71),0)</f>
        <v>-8.5926204311324845</v>
      </c>
      <c r="T450" s="176">
        <f>IFERROR(T430*('Key inputs_EB_MIN'!T$70+'Key inputs_EB_MIN'!T$71)/SUM('Key inputs_EB_MIN'!T$69:T$71),0)</f>
        <v>0</v>
      </c>
      <c r="U450" s="176">
        <f>IFERROR(U430*('Key inputs_EB_MIN'!U$70+'Key inputs_EB_MIN'!U$71)/SUM('Key inputs_EB_MIN'!U$69:U$71),0)</f>
        <v>0</v>
      </c>
      <c r="V450" s="176">
        <f>IFERROR(V430*('Key inputs_EB_MIN'!V$70+'Key inputs_EB_MIN'!V$71)/SUM('Key inputs_EB_MIN'!V$69:V$71),0)</f>
        <v>0</v>
      </c>
      <c r="W450" s="176">
        <f>IFERROR(W430*('Key inputs_EB_MIN'!W$70+'Key inputs_EB_MIN'!W$71)/SUM('Key inputs_EB_MIN'!W$69:W$71),0)</f>
        <v>0</v>
      </c>
      <c r="X450" s="176">
        <f>IFERROR(X430*('Key inputs_EB_MIN'!X$70+'Key inputs_EB_MIN'!X$71)/SUM('Key inputs_EB_MIN'!X$69:X$71),0)</f>
        <v>0</v>
      </c>
      <c r="Y450" s="176">
        <f>IFERROR(Y430*('Key inputs_EB_MIN'!Y$70+'Key inputs_EB_MIN'!Y$71)/SUM('Key inputs_EB_MIN'!Y$69:Y$71),0)</f>
        <v>0</v>
      </c>
      <c r="Z450" s="176">
        <f>IFERROR(Z430*('Key inputs_EB_MIN'!Z$70+'Key inputs_EB_MIN'!Z$71)/SUM('Key inputs_EB_MIN'!Z$69:Z$71),0)</f>
        <v>0</v>
      </c>
      <c r="AA450" s="176">
        <f>IFERROR(AA430*('Key inputs_EB_MIN'!AA$70+'Key inputs_EB_MIN'!AA$71)/SUM('Key inputs_EB_MIN'!AA$69:AA$71),0)</f>
        <v>0</v>
      </c>
      <c r="AB450" s="176">
        <f>IFERROR(AB430*('Key inputs_EB_MIN'!AB$70+'Key inputs_EB_MIN'!AB$71)/SUM('Key inputs_EB_MIN'!AB$69:AB$71),0)</f>
        <v>0</v>
      </c>
      <c r="AC450" s="176">
        <f>IFERROR(AC430*('Key inputs_EB_MIN'!AC$70+'Key inputs_EB_MIN'!AC$71)/SUM('Key inputs_EB_MIN'!AC$69:AC$71),0)</f>
        <v>0</v>
      </c>
      <c r="AD450" s="176">
        <f>IFERROR(AD430*('Key inputs_EB_MIN'!AD$70+'Key inputs_EB_MIN'!AD$71)/SUM('Key inputs_EB_MIN'!AD$69:AD$71),0)</f>
        <v>0</v>
      </c>
      <c r="AE450" s="176">
        <f>IFERROR(AE430*('Key inputs_EB_MIN'!AE$70+'Key inputs_EB_MIN'!AE$71)/SUM('Key inputs_EB_MIN'!AE$69:AE$71),0)</f>
        <v>0</v>
      </c>
      <c r="AF450" s="287">
        <f>IFERROR(AF430*('Key inputs_EB_MIN'!AF$70+'Key inputs_EB_MIN'!AF$71)/SUM('Key inputs_EB_MIN'!AF$69:AF$71),0)</f>
        <v>-66032.334621055488</v>
      </c>
    </row>
    <row r="451" spans="1:32" s="59" customFormat="1">
      <c r="A451" s="95" t="s">
        <v>728</v>
      </c>
      <c r="B451" s="95" t="s">
        <v>751</v>
      </c>
      <c r="C451" s="71" t="s">
        <v>545</v>
      </c>
      <c r="D451" s="74" t="s">
        <v>387</v>
      </c>
      <c r="E451" s="176">
        <f>IFERROR(E431*('Key inputs_EB_MIN'!E$70+'Key inputs_EB_MIN'!E$71)/SUM('Key inputs_EB_MIN'!E$69:E$71),0)</f>
        <v>0</v>
      </c>
      <c r="F451" s="176">
        <f>IFERROR(F431*('Key inputs_EB_MIN'!F$70+'Key inputs_EB_MIN'!F$71)/SUM('Key inputs_EB_MIN'!F$69:F$71),0)</f>
        <v>0</v>
      </c>
      <c r="G451" s="176">
        <f>IFERROR(G431*('Key inputs_EB_MIN'!G$70+'Key inputs_EB_MIN'!G$71)/SUM('Key inputs_EB_MIN'!G$69:G$71),0)</f>
        <v>0</v>
      </c>
      <c r="H451" s="176">
        <f>IFERROR(H431*('Key inputs_EB_MIN'!H$70+'Key inputs_EB_MIN'!H$71)/SUM('Key inputs_EB_MIN'!H$69:H$71),0)</f>
        <v>0</v>
      </c>
      <c r="I451" s="176">
        <f>IFERROR(I431*('Key inputs_EB_MIN'!I$70+'Key inputs_EB_MIN'!I$71)/SUM('Key inputs_EB_MIN'!I$69:I$71),0)</f>
        <v>0</v>
      </c>
      <c r="J451" s="176">
        <f>IFERROR(J431*('Key inputs_EB_MIN'!J$70+'Key inputs_EB_MIN'!J$71)/SUM('Key inputs_EB_MIN'!J$69:J$71),0)</f>
        <v>-15520.277279090396</v>
      </c>
      <c r="K451" s="176">
        <f>IFERROR(K431*('Key inputs_EB_MIN'!K$70+'Key inputs_EB_MIN'!K$71)/SUM('Key inputs_EB_MIN'!K$69:K$71),0)</f>
        <v>0</v>
      </c>
      <c r="L451" s="176">
        <f>IFERROR(L431*('Key inputs_EB_MIN'!L$70+'Key inputs_EB_MIN'!L$71)/SUM('Key inputs_EB_MIN'!L$69:L$71),0)</f>
        <v>0</v>
      </c>
      <c r="M451" s="176">
        <f>IFERROR(M431*('Key inputs_EB_MIN'!M$70+'Key inputs_EB_MIN'!M$71)/SUM('Key inputs_EB_MIN'!M$69:M$71),0)</f>
        <v>0</v>
      </c>
      <c r="N451" s="176">
        <f>IFERROR(N431*('Key inputs_EB_MIN'!N$70+'Key inputs_EB_MIN'!N$71)/SUM('Key inputs_EB_MIN'!N$69:N$71),0)</f>
        <v>0</v>
      </c>
      <c r="O451" s="176">
        <f>IFERROR(O431*('Key inputs_EB_MIN'!O$70+'Key inputs_EB_MIN'!O$71)/SUM('Key inputs_EB_MIN'!O$69:O$71),0)</f>
        <v>0</v>
      </c>
      <c r="P451" s="176">
        <f>IFERROR(P431*('Key inputs_EB_MIN'!P$70+'Key inputs_EB_MIN'!P$71)/SUM('Key inputs_EB_MIN'!P$69:P$71),0)</f>
        <v>-12257.600369712001</v>
      </c>
      <c r="Q451" s="176">
        <f>IFERROR(Q431*('Key inputs_EB_MIN'!Q$70+'Key inputs_EB_MIN'!Q$71)/SUM('Key inputs_EB_MIN'!Q$69:Q$71),0)</f>
        <v>-2932.8135180679269</v>
      </c>
      <c r="R451" s="176">
        <f>IFERROR(R431*('Key inputs_EB_MIN'!R$70+'Key inputs_EB_MIN'!R$71)/SUM('Key inputs_EB_MIN'!R$69:R$71),0)</f>
        <v>0</v>
      </c>
      <c r="S451" s="176">
        <f>IFERROR(S431*('Key inputs_EB_MIN'!S$70+'Key inputs_EB_MIN'!S$71)/SUM('Key inputs_EB_MIN'!S$69:S$71),0)</f>
        <v>-0.79449157999664166</v>
      </c>
      <c r="T451" s="176">
        <f>IFERROR(T431*('Key inputs_EB_MIN'!T$70+'Key inputs_EB_MIN'!T$71)/SUM('Key inputs_EB_MIN'!T$69:T$71),0)</f>
        <v>-16.26006634558799</v>
      </c>
      <c r="U451" s="176">
        <f>IFERROR(U431*('Key inputs_EB_MIN'!U$70+'Key inputs_EB_MIN'!U$71)/SUM('Key inputs_EB_MIN'!U$69:U$71),0)</f>
        <v>-24.258717284029565</v>
      </c>
      <c r="V451" s="176">
        <f>IFERROR(V431*('Key inputs_EB_MIN'!V$70+'Key inputs_EB_MIN'!V$71)/SUM('Key inputs_EB_MIN'!V$69:V$71),0)</f>
        <v>0</v>
      </c>
      <c r="W451" s="176">
        <f>IFERROR(W431*('Key inputs_EB_MIN'!W$70+'Key inputs_EB_MIN'!W$71)/SUM('Key inputs_EB_MIN'!W$69:W$71),0)</f>
        <v>0</v>
      </c>
      <c r="X451" s="176">
        <f>IFERROR(X431*('Key inputs_EB_MIN'!X$70+'Key inputs_EB_MIN'!X$71)/SUM('Key inputs_EB_MIN'!X$69:X$71),0)</f>
        <v>0</v>
      </c>
      <c r="Y451" s="176">
        <f>IFERROR(Y431*('Key inputs_EB_MIN'!Y$70+'Key inputs_EB_MIN'!Y$71)/SUM('Key inputs_EB_MIN'!Y$69:Y$71),0)</f>
        <v>0</v>
      </c>
      <c r="Z451" s="176">
        <f>IFERROR(Z431*('Key inputs_EB_MIN'!Z$70+'Key inputs_EB_MIN'!Z$71)/SUM('Key inputs_EB_MIN'!Z$69:Z$71),0)</f>
        <v>0</v>
      </c>
      <c r="AA451" s="176">
        <f>IFERROR(AA431*('Key inputs_EB_MIN'!AA$70+'Key inputs_EB_MIN'!AA$71)/SUM('Key inputs_EB_MIN'!AA$69:AA$71),0)</f>
        <v>0</v>
      </c>
      <c r="AB451" s="176">
        <f>IFERROR(AB431*('Key inputs_EB_MIN'!AB$70+'Key inputs_EB_MIN'!AB$71)/SUM('Key inputs_EB_MIN'!AB$69:AB$71),0)</f>
        <v>0</v>
      </c>
      <c r="AC451" s="176">
        <f>IFERROR(AC431*('Key inputs_EB_MIN'!AC$70+'Key inputs_EB_MIN'!AC$71)/SUM('Key inputs_EB_MIN'!AC$69:AC$71),0)</f>
        <v>0</v>
      </c>
      <c r="AD451" s="176">
        <f>IFERROR(AD431*('Key inputs_EB_MIN'!AD$70+'Key inputs_EB_MIN'!AD$71)/SUM('Key inputs_EB_MIN'!AD$69:AD$71),0)</f>
        <v>-58646.984195508478</v>
      </c>
      <c r="AE451" s="176">
        <f>IFERROR(AE431*('Key inputs_EB_MIN'!AE$70+'Key inputs_EB_MIN'!AE$71)/SUM('Key inputs_EB_MIN'!AE$69:AE$71),0)</f>
        <v>0</v>
      </c>
      <c r="AF451" s="287">
        <f>IFERROR(AF431*('Key inputs_EB_MIN'!AF$70+'Key inputs_EB_MIN'!AF$71)/SUM('Key inputs_EB_MIN'!AF$69:AF$71),0)</f>
        <v>0</v>
      </c>
    </row>
    <row r="452" spans="1:32" s="59" customFormat="1">
      <c r="A452" s="95" t="s">
        <v>728</v>
      </c>
      <c r="B452" s="95" t="s">
        <v>751</v>
      </c>
      <c r="C452" s="71" t="s">
        <v>548</v>
      </c>
      <c r="D452" s="74" t="s">
        <v>387</v>
      </c>
      <c r="E452" s="176">
        <f>IFERROR(E432*('Key inputs_EB_MIN'!E$70+'Key inputs_EB_MIN'!E$71)/SUM('Key inputs_EB_MIN'!E$69:E$71),0)</f>
        <v>0</v>
      </c>
      <c r="F452" s="176">
        <f>IFERROR(F432*('Key inputs_EB_MIN'!F$70+'Key inputs_EB_MIN'!F$71)/SUM('Key inputs_EB_MIN'!F$69:F$71),0)</f>
        <v>0</v>
      </c>
      <c r="G452" s="176">
        <f>IFERROR(G432*('Key inputs_EB_MIN'!G$70+'Key inputs_EB_MIN'!G$71)/SUM('Key inputs_EB_MIN'!G$69:G$71),0)</f>
        <v>0</v>
      </c>
      <c r="H452" s="176">
        <f>IFERROR(H432*('Key inputs_EB_MIN'!H$70+'Key inputs_EB_MIN'!H$71)/SUM('Key inputs_EB_MIN'!H$69:H$71),0)</f>
        <v>0</v>
      </c>
      <c r="I452" s="176">
        <f>IFERROR(I432*('Key inputs_EB_MIN'!I$70+'Key inputs_EB_MIN'!I$71)/SUM('Key inputs_EB_MIN'!I$69:I$71),0)</f>
        <v>0</v>
      </c>
      <c r="J452" s="176">
        <f>IFERROR(J432*('Key inputs_EB_MIN'!J$70+'Key inputs_EB_MIN'!J$71)/SUM('Key inputs_EB_MIN'!J$69:J$71),0)</f>
        <v>0</v>
      </c>
      <c r="K452" s="176">
        <f>IFERROR(K432*('Key inputs_EB_MIN'!K$70+'Key inputs_EB_MIN'!K$71)/SUM('Key inputs_EB_MIN'!K$69:K$71),0)</f>
        <v>0</v>
      </c>
      <c r="L452" s="176">
        <f>IFERROR(L432*('Key inputs_EB_MIN'!L$70+'Key inputs_EB_MIN'!L$71)/SUM('Key inputs_EB_MIN'!L$69:L$71),0)</f>
        <v>0</v>
      </c>
      <c r="M452" s="176">
        <f>IFERROR(M432*('Key inputs_EB_MIN'!M$70+'Key inputs_EB_MIN'!M$71)/SUM('Key inputs_EB_MIN'!M$69:M$71),0)</f>
        <v>0</v>
      </c>
      <c r="N452" s="176">
        <f>IFERROR(N432*('Key inputs_EB_MIN'!N$70+'Key inputs_EB_MIN'!N$71)/SUM('Key inputs_EB_MIN'!N$69:N$71),0)</f>
        <v>0</v>
      </c>
      <c r="O452" s="176">
        <f>IFERROR(O432*('Key inputs_EB_MIN'!O$70+'Key inputs_EB_MIN'!O$71)/SUM('Key inputs_EB_MIN'!O$69:O$71),0)</f>
        <v>0</v>
      </c>
      <c r="P452" s="176">
        <f>IFERROR(P432*('Key inputs_EB_MIN'!P$70+'Key inputs_EB_MIN'!P$71)/SUM('Key inputs_EB_MIN'!P$69:P$71),0)</f>
        <v>-224.09735558172346</v>
      </c>
      <c r="Q452" s="176">
        <f>IFERROR(Q432*('Key inputs_EB_MIN'!Q$70+'Key inputs_EB_MIN'!Q$71)/SUM('Key inputs_EB_MIN'!Q$69:Q$71),0)</f>
        <v>0</v>
      </c>
      <c r="R452" s="176">
        <f>IFERROR(R432*('Key inputs_EB_MIN'!R$70+'Key inputs_EB_MIN'!R$71)/SUM('Key inputs_EB_MIN'!R$69:R$71),0)</f>
        <v>-508.32077466322721</v>
      </c>
      <c r="S452" s="176">
        <f>IFERROR(S432*('Key inputs_EB_MIN'!S$70+'Key inputs_EB_MIN'!S$71)/SUM('Key inputs_EB_MIN'!S$69:S$71),0)</f>
        <v>0</v>
      </c>
      <c r="T452" s="176">
        <f>IFERROR(T432*('Key inputs_EB_MIN'!T$70+'Key inputs_EB_MIN'!T$71)/SUM('Key inputs_EB_MIN'!T$69:T$71),0)</f>
        <v>0</v>
      </c>
      <c r="U452" s="176">
        <f>IFERROR(U432*('Key inputs_EB_MIN'!U$70+'Key inputs_EB_MIN'!U$71)/SUM('Key inputs_EB_MIN'!U$69:U$71),0)</f>
        <v>0</v>
      </c>
      <c r="V452" s="176">
        <f>IFERROR(V432*('Key inputs_EB_MIN'!V$70+'Key inputs_EB_MIN'!V$71)/SUM('Key inputs_EB_MIN'!V$69:V$71),0)</f>
        <v>0</v>
      </c>
      <c r="W452" s="176">
        <f>IFERROR(W432*('Key inputs_EB_MIN'!W$70+'Key inputs_EB_MIN'!W$71)/SUM('Key inputs_EB_MIN'!W$69:W$71),0)</f>
        <v>0</v>
      </c>
      <c r="X452" s="176">
        <f>IFERROR(X432*('Key inputs_EB_MIN'!X$70+'Key inputs_EB_MIN'!X$71)/SUM('Key inputs_EB_MIN'!X$69:X$71),0)</f>
        <v>0</v>
      </c>
      <c r="Y452" s="176">
        <f>IFERROR(Y432*('Key inputs_EB_MIN'!Y$70+'Key inputs_EB_MIN'!Y$71)/SUM('Key inputs_EB_MIN'!Y$69:Y$71),0)</f>
        <v>-1671.8617598455046</v>
      </c>
      <c r="Z452" s="176">
        <f>IFERROR(Z432*('Key inputs_EB_MIN'!Z$70+'Key inputs_EB_MIN'!Z$71)/SUM('Key inputs_EB_MIN'!Z$69:Z$71),0)</f>
        <v>0</v>
      </c>
      <c r="AA452" s="176">
        <f>IFERROR(AA432*('Key inputs_EB_MIN'!AA$70+'Key inputs_EB_MIN'!AA$71)/SUM('Key inputs_EB_MIN'!AA$69:AA$71),0)</f>
        <v>0</v>
      </c>
      <c r="AB452" s="176">
        <f>IFERROR(AB432*('Key inputs_EB_MIN'!AB$70+'Key inputs_EB_MIN'!AB$71)/SUM('Key inputs_EB_MIN'!AB$69:AB$71),0)</f>
        <v>0</v>
      </c>
      <c r="AC452" s="176">
        <f>IFERROR(AC432*('Key inputs_EB_MIN'!AC$70+'Key inputs_EB_MIN'!AC$71)/SUM('Key inputs_EB_MIN'!AC$69:AC$71),0)</f>
        <v>0</v>
      </c>
      <c r="AD452" s="176">
        <f>IFERROR(AD432*('Key inputs_EB_MIN'!AD$70+'Key inputs_EB_MIN'!AD$71)/SUM('Key inputs_EB_MIN'!AD$69:AD$71),0)</f>
        <v>0</v>
      </c>
      <c r="AE452" s="176">
        <f>IFERROR(AE432*('Key inputs_EB_MIN'!AE$70+'Key inputs_EB_MIN'!AE$71)/SUM('Key inputs_EB_MIN'!AE$69:AE$71),0)</f>
        <v>-857.07144820089104</v>
      </c>
      <c r="AF452" s="287">
        <f>IFERROR(AF432*('Key inputs_EB_MIN'!AF$70+'Key inputs_EB_MIN'!AF$71)/SUM('Key inputs_EB_MIN'!AF$69:AF$71),0)</f>
        <v>-3881.1144430957379</v>
      </c>
    </row>
    <row r="453" spans="1:32" s="59" customFormat="1">
      <c r="A453" s="95" t="s">
        <v>728</v>
      </c>
      <c r="B453" s="95" t="s">
        <v>751</v>
      </c>
      <c r="C453" s="71" t="s">
        <v>550</v>
      </c>
      <c r="D453" s="74" t="s">
        <v>387</v>
      </c>
      <c r="E453" s="176">
        <f>IFERROR(E433*('Key inputs_EB_MIN'!E$70+'Key inputs_EB_MIN'!E$71)/SUM('Key inputs_EB_MIN'!E$69:E$71),0)</f>
        <v>0</v>
      </c>
      <c r="F453" s="176">
        <f>IFERROR(F433*('Key inputs_EB_MIN'!F$70+'Key inputs_EB_MIN'!F$71)/SUM('Key inputs_EB_MIN'!F$69:F$71),0)</f>
        <v>0</v>
      </c>
      <c r="G453" s="176">
        <f>IFERROR(G433*('Key inputs_EB_MIN'!G$70+'Key inputs_EB_MIN'!G$71)/SUM('Key inputs_EB_MIN'!G$69:G$71),0)</f>
        <v>0</v>
      </c>
      <c r="H453" s="176">
        <f>IFERROR(H433*('Key inputs_EB_MIN'!H$70+'Key inputs_EB_MIN'!H$71)/SUM('Key inputs_EB_MIN'!H$69:H$71),0)</f>
        <v>0</v>
      </c>
      <c r="I453" s="176">
        <f>IFERROR(I433*('Key inputs_EB_MIN'!I$70+'Key inputs_EB_MIN'!I$71)/SUM('Key inputs_EB_MIN'!I$69:I$71),0)</f>
        <v>0</v>
      </c>
      <c r="J453" s="176">
        <f>IFERROR(J433*('Key inputs_EB_MIN'!J$70+'Key inputs_EB_MIN'!J$71)/SUM('Key inputs_EB_MIN'!J$69:J$71),0)</f>
        <v>0</v>
      </c>
      <c r="K453" s="176">
        <f>IFERROR(K433*('Key inputs_EB_MIN'!K$70+'Key inputs_EB_MIN'!K$71)/SUM('Key inputs_EB_MIN'!K$69:K$71),0)</f>
        <v>0</v>
      </c>
      <c r="L453" s="176">
        <f>IFERROR(L433*('Key inputs_EB_MIN'!L$70+'Key inputs_EB_MIN'!L$71)/SUM('Key inputs_EB_MIN'!L$69:L$71),0)</f>
        <v>0</v>
      </c>
      <c r="M453" s="176">
        <f>IFERROR(M433*('Key inputs_EB_MIN'!M$70+'Key inputs_EB_MIN'!M$71)/SUM('Key inputs_EB_MIN'!M$69:M$71),0)</f>
        <v>0</v>
      </c>
      <c r="N453" s="176">
        <f>IFERROR(N433*('Key inputs_EB_MIN'!N$70+'Key inputs_EB_MIN'!N$71)/SUM('Key inputs_EB_MIN'!N$69:N$71),0)</f>
        <v>-348.06510380342183</v>
      </c>
      <c r="O453" s="176">
        <f>IFERROR(O433*('Key inputs_EB_MIN'!O$70+'Key inputs_EB_MIN'!O$71)/SUM('Key inputs_EB_MIN'!O$69:O$71),0)</f>
        <v>0</v>
      </c>
      <c r="P453" s="176">
        <f>IFERROR(P433*('Key inputs_EB_MIN'!P$70+'Key inputs_EB_MIN'!P$71)/SUM('Key inputs_EB_MIN'!P$69:P$71),0)</f>
        <v>0</v>
      </c>
      <c r="Q453" s="176">
        <f>IFERROR(Q433*('Key inputs_EB_MIN'!Q$70+'Key inputs_EB_MIN'!Q$71)/SUM('Key inputs_EB_MIN'!Q$69:Q$71),0)</f>
        <v>0</v>
      </c>
      <c r="R453" s="176">
        <f>IFERROR(R433*('Key inputs_EB_MIN'!R$70+'Key inputs_EB_MIN'!R$71)/SUM('Key inputs_EB_MIN'!R$69:R$71),0)</f>
        <v>0</v>
      </c>
      <c r="S453" s="176">
        <f>IFERROR(S433*('Key inputs_EB_MIN'!S$70+'Key inputs_EB_MIN'!S$71)/SUM('Key inputs_EB_MIN'!S$69:S$71),0)</f>
        <v>0</v>
      </c>
      <c r="T453" s="176">
        <f>IFERROR(T433*('Key inputs_EB_MIN'!T$70+'Key inputs_EB_MIN'!T$71)/SUM('Key inputs_EB_MIN'!T$69:T$71),0)</f>
        <v>0</v>
      </c>
      <c r="U453" s="176">
        <f>IFERROR(U433*('Key inputs_EB_MIN'!U$70+'Key inputs_EB_MIN'!U$71)/SUM('Key inputs_EB_MIN'!U$69:U$71),0)</f>
        <v>0</v>
      </c>
      <c r="V453" s="176">
        <f>IFERROR(V433*('Key inputs_EB_MIN'!V$70+'Key inputs_EB_MIN'!V$71)/SUM('Key inputs_EB_MIN'!V$69:V$71),0)</f>
        <v>0</v>
      </c>
      <c r="W453" s="176">
        <f>IFERROR(W433*('Key inputs_EB_MIN'!W$70+'Key inputs_EB_MIN'!W$71)/SUM('Key inputs_EB_MIN'!W$69:W$71),0)</f>
        <v>0</v>
      </c>
      <c r="X453" s="176">
        <f>IFERROR(X433*('Key inputs_EB_MIN'!X$70+'Key inputs_EB_MIN'!X$71)/SUM('Key inputs_EB_MIN'!X$69:X$71),0)</f>
        <v>0</v>
      </c>
      <c r="Y453" s="176">
        <f>IFERROR(Y433*('Key inputs_EB_MIN'!Y$70+'Key inputs_EB_MIN'!Y$71)/SUM('Key inputs_EB_MIN'!Y$69:Y$71),0)</f>
        <v>0</v>
      </c>
      <c r="Z453" s="176">
        <f>IFERROR(Z433*('Key inputs_EB_MIN'!Z$70+'Key inputs_EB_MIN'!Z$71)/SUM('Key inputs_EB_MIN'!Z$69:Z$71),0)</f>
        <v>0</v>
      </c>
      <c r="AA453" s="176">
        <f>IFERROR(AA433*('Key inputs_EB_MIN'!AA$70+'Key inputs_EB_MIN'!AA$71)/SUM('Key inputs_EB_MIN'!AA$69:AA$71),0)</f>
        <v>0</v>
      </c>
      <c r="AB453" s="176">
        <f>IFERROR(AB433*('Key inputs_EB_MIN'!AB$70+'Key inputs_EB_MIN'!AB$71)/SUM('Key inputs_EB_MIN'!AB$69:AB$71),0)</f>
        <v>0</v>
      </c>
      <c r="AC453" s="176">
        <f>IFERROR(AC433*('Key inputs_EB_MIN'!AC$70+'Key inputs_EB_MIN'!AC$71)/SUM('Key inputs_EB_MIN'!AC$69:AC$71),0)</f>
        <v>0</v>
      </c>
      <c r="AD453" s="176">
        <f>IFERROR(AD433*('Key inputs_EB_MIN'!AD$70+'Key inputs_EB_MIN'!AD$71)/SUM('Key inputs_EB_MIN'!AD$69:AD$71),0)</f>
        <v>0</v>
      </c>
      <c r="AE453" s="176">
        <f>IFERROR(AE433*('Key inputs_EB_MIN'!AE$70+'Key inputs_EB_MIN'!AE$71)/SUM('Key inputs_EB_MIN'!AE$69:AE$71),0)</f>
        <v>-50.383405305367056</v>
      </c>
      <c r="AF453" s="287">
        <f>IFERROR(AF433*('Key inputs_EB_MIN'!AF$70+'Key inputs_EB_MIN'!AF$71)/SUM('Key inputs_EB_MIN'!AF$69:AF$71),0)</f>
        <v>0</v>
      </c>
    </row>
    <row r="454" spans="1:32" s="59" customFormat="1">
      <c r="A454" s="95" t="s">
        <v>728</v>
      </c>
      <c r="B454" s="95" t="s">
        <v>751</v>
      </c>
      <c r="C454" s="71" t="s">
        <v>552</v>
      </c>
      <c r="D454" s="74" t="s">
        <v>387</v>
      </c>
      <c r="E454" s="176">
        <f>IFERROR(E434*('Key inputs_EB_MIN'!E$70+'Key inputs_EB_MIN'!E$71)/SUM('Key inputs_EB_MIN'!E$69:E$71),0)</f>
        <v>0</v>
      </c>
      <c r="F454" s="176">
        <f>IFERROR(F434*('Key inputs_EB_MIN'!F$70+'Key inputs_EB_MIN'!F$71)/SUM('Key inputs_EB_MIN'!F$69:F$71),0)</f>
        <v>0</v>
      </c>
      <c r="G454" s="176">
        <f>IFERROR(G434*('Key inputs_EB_MIN'!G$70+'Key inputs_EB_MIN'!G$71)/SUM('Key inputs_EB_MIN'!G$69:G$71),0)</f>
        <v>0</v>
      </c>
      <c r="H454" s="176">
        <f>IFERROR(H434*('Key inputs_EB_MIN'!H$70+'Key inputs_EB_MIN'!H$71)/SUM('Key inputs_EB_MIN'!H$69:H$71),0)</f>
        <v>0</v>
      </c>
      <c r="I454" s="176">
        <f>IFERROR(I434*('Key inputs_EB_MIN'!I$70+'Key inputs_EB_MIN'!I$71)/SUM('Key inputs_EB_MIN'!I$69:I$71),0)</f>
        <v>-260.84131834777514</v>
      </c>
      <c r="J454" s="176">
        <f>IFERROR(J434*('Key inputs_EB_MIN'!J$70+'Key inputs_EB_MIN'!J$71)/SUM('Key inputs_EB_MIN'!J$69:J$71),0)</f>
        <v>-781.51595508465664</v>
      </c>
      <c r="K454" s="176">
        <f>IFERROR(K434*('Key inputs_EB_MIN'!K$70+'Key inputs_EB_MIN'!K$71)/SUM('Key inputs_EB_MIN'!K$69:K$71),0)</f>
        <v>-10674.589482338051</v>
      </c>
      <c r="L454" s="176">
        <f>IFERROR(L434*('Key inputs_EB_MIN'!L$70+'Key inputs_EB_MIN'!L$71)/SUM('Key inputs_EB_MIN'!L$69:L$71),0)</f>
        <v>0</v>
      </c>
      <c r="M454" s="176">
        <f>IFERROR(M434*('Key inputs_EB_MIN'!M$70+'Key inputs_EB_MIN'!M$71)/SUM('Key inputs_EB_MIN'!M$69:M$71),0)</f>
        <v>0</v>
      </c>
      <c r="N454" s="176">
        <f>IFERROR(N434*('Key inputs_EB_MIN'!N$70+'Key inputs_EB_MIN'!N$71)/SUM('Key inputs_EB_MIN'!N$69:N$71),0)</f>
        <v>-3717.4570985674932</v>
      </c>
      <c r="O454" s="176">
        <f>IFERROR(O434*('Key inputs_EB_MIN'!O$70+'Key inputs_EB_MIN'!O$71)/SUM('Key inputs_EB_MIN'!O$69:O$71),0)</f>
        <v>-1202.8046971346989</v>
      </c>
      <c r="P454" s="176">
        <f>IFERROR(P434*('Key inputs_EB_MIN'!P$70+'Key inputs_EB_MIN'!P$71)/SUM('Key inputs_EB_MIN'!P$69:P$71),0)</f>
        <v>-39.066546181221163</v>
      </c>
      <c r="Q454" s="176">
        <f>IFERROR(Q434*('Key inputs_EB_MIN'!Q$70+'Key inputs_EB_MIN'!Q$71)/SUM('Key inputs_EB_MIN'!Q$69:Q$71),0)</f>
        <v>-478.34286547305373</v>
      </c>
      <c r="R454" s="176">
        <f>IFERROR(R434*('Key inputs_EB_MIN'!R$70+'Key inputs_EB_MIN'!R$71)/SUM('Key inputs_EB_MIN'!R$69:R$71),0)</f>
        <v>-6.2183061023895974</v>
      </c>
      <c r="S454" s="176">
        <f>IFERROR(S434*('Key inputs_EB_MIN'!S$70+'Key inputs_EB_MIN'!S$71)/SUM('Key inputs_EB_MIN'!S$69:S$71),0)</f>
        <v>0</v>
      </c>
      <c r="T454" s="176">
        <f>IFERROR(T434*('Key inputs_EB_MIN'!T$70+'Key inputs_EB_MIN'!T$71)/SUM('Key inputs_EB_MIN'!T$69:T$71),0)</f>
        <v>0</v>
      </c>
      <c r="U454" s="176">
        <f>IFERROR(U434*('Key inputs_EB_MIN'!U$70+'Key inputs_EB_MIN'!U$71)/SUM('Key inputs_EB_MIN'!U$69:U$71),0)</f>
        <v>0</v>
      </c>
      <c r="V454" s="176">
        <f>IFERROR(V434*('Key inputs_EB_MIN'!V$70+'Key inputs_EB_MIN'!V$71)/SUM('Key inputs_EB_MIN'!V$69:V$71),0)</f>
        <v>-5.3002904428952098</v>
      </c>
      <c r="W454" s="176">
        <f>IFERROR(W434*('Key inputs_EB_MIN'!W$70+'Key inputs_EB_MIN'!W$71)/SUM('Key inputs_EB_MIN'!W$69:W$71),0)</f>
        <v>0</v>
      </c>
      <c r="X454" s="176">
        <f>IFERROR(X434*('Key inputs_EB_MIN'!X$70+'Key inputs_EB_MIN'!X$71)/SUM('Key inputs_EB_MIN'!X$69:X$71),0)</f>
        <v>0</v>
      </c>
      <c r="Y454" s="176">
        <f>IFERROR(Y434*('Key inputs_EB_MIN'!Y$70+'Key inputs_EB_MIN'!Y$71)/SUM('Key inputs_EB_MIN'!Y$69:Y$71),0)</f>
        <v>0</v>
      </c>
      <c r="Z454" s="176">
        <f>IFERROR(Z434*('Key inputs_EB_MIN'!Z$70+'Key inputs_EB_MIN'!Z$71)/SUM('Key inputs_EB_MIN'!Z$69:Z$71),0)</f>
        <v>0</v>
      </c>
      <c r="AA454" s="176">
        <f>IFERROR(AA434*('Key inputs_EB_MIN'!AA$70+'Key inputs_EB_MIN'!AA$71)/SUM('Key inputs_EB_MIN'!AA$69:AA$71),0)</f>
        <v>-14429.982400636116</v>
      </c>
      <c r="AB454" s="176">
        <f>IFERROR(AB434*('Key inputs_EB_MIN'!AB$70+'Key inputs_EB_MIN'!AB$71)/SUM('Key inputs_EB_MIN'!AB$69:AB$71),0)</f>
        <v>0</v>
      </c>
      <c r="AC454" s="176">
        <f>IFERROR(AC434*('Key inputs_EB_MIN'!AC$70+'Key inputs_EB_MIN'!AC$71)/SUM('Key inputs_EB_MIN'!AC$69:AC$71),0)</f>
        <v>0</v>
      </c>
      <c r="AD454" s="176">
        <f>IFERROR(AD434*('Key inputs_EB_MIN'!AD$70+'Key inputs_EB_MIN'!AD$71)/SUM('Key inputs_EB_MIN'!AD$69:AD$71),0)</f>
        <v>-622.56172257303615</v>
      </c>
      <c r="AE454" s="176">
        <f>IFERROR(AE434*('Key inputs_EB_MIN'!AE$70+'Key inputs_EB_MIN'!AE$71)/SUM('Key inputs_EB_MIN'!AE$69:AE$71),0)</f>
        <v>-7095.623011745819</v>
      </c>
      <c r="AF454" s="287">
        <f>IFERROR(AF434*('Key inputs_EB_MIN'!AF$70+'Key inputs_EB_MIN'!AF$71)/SUM('Key inputs_EB_MIN'!AF$69:AF$71),0)</f>
        <v>0</v>
      </c>
    </row>
    <row r="455" spans="1:32" s="59" customFormat="1">
      <c r="A455" s="95" t="s">
        <v>728</v>
      </c>
      <c r="B455" s="95" t="s">
        <v>751</v>
      </c>
      <c r="C455" s="71" t="s">
        <v>554</v>
      </c>
      <c r="D455" s="74" t="s">
        <v>387</v>
      </c>
      <c r="E455" s="176">
        <f>IFERROR(E435*('Key inputs_EB_MIN'!E$70+'Key inputs_EB_MIN'!E$71)/SUM('Key inputs_EB_MIN'!E$69:E$71),0)</f>
        <v>0</v>
      </c>
      <c r="F455" s="176">
        <f>IFERROR(F435*('Key inputs_EB_MIN'!F$70+'Key inputs_EB_MIN'!F$71)/SUM('Key inputs_EB_MIN'!F$69:F$71),0)</f>
        <v>0</v>
      </c>
      <c r="G455" s="176">
        <f>IFERROR(G435*('Key inputs_EB_MIN'!G$70+'Key inputs_EB_MIN'!G$71)/SUM('Key inputs_EB_MIN'!G$69:G$71),0)</f>
        <v>0</v>
      </c>
      <c r="H455" s="176">
        <f>IFERROR(H435*('Key inputs_EB_MIN'!H$70+'Key inputs_EB_MIN'!H$71)/SUM('Key inputs_EB_MIN'!H$69:H$71),0)</f>
        <v>0</v>
      </c>
      <c r="I455" s="176">
        <f>IFERROR(I435*('Key inputs_EB_MIN'!I$70+'Key inputs_EB_MIN'!I$71)/SUM('Key inputs_EB_MIN'!I$69:I$71),0)</f>
        <v>0</v>
      </c>
      <c r="J455" s="176">
        <f>IFERROR(J435*('Key inputs_EB_MIN'!J$70+'Key inputs_EB_MIN'!J$71)/SUM('Key inputs_EB_MIN'!J$69:J$71),0)</f>
        <v>0</v>
      </c>
      <c r="K455" s="176">
        <f>IFERROR(K435*('Key inputs_EB_MIN'!K$70+'Key inputs_EB_MIN'!K$71)/SUM('Key inputs_EB_MIN'!K$69:K$71),0)</f>
        <v>0</v>
      </c>
      <c r="L455" s="176">
        <f>IFERROR(L435*('Key inputs_EB_MIN'!L$70+'Key inputs_EB_MIN'!L$71)/SUM('Key inputs_EB_MIN'!L$69:L$71),0)</f>
        <v>0</v>
      </c>
      <c r="M455" s="176">
        <f>IFERROR(M435*('Key inputs_EB_MIN'!M$70+'Key inputs_EB_MIN'!M$71)/SUM('Key inputs_EB_MIN'!M$69:M$71),0)</f>
        <v>0</v>
      </c>
      <c r="N455" s="176">
        <f>IFERROR(N435*('Key inputs_EB_MIN'!N$70+'Key inputs_EB_MIN'!N$71)/SUM('Key inputs_EB_MIN'!N$69:N$71),0)</f>
        <v>0</v>
      </c>
      <c r="O455" s="176">
        <f>IFERROR(O435*('Key inputs_EB_MIN'!O$70+'Key inputs_EB_MIN'!O$71)/SUM('Key inputs_EB_MIN'!O$69:O$71),0)</f>
        <v>0</v>
      </c>
      <c r="P455" s="176">
        <f>IFERROR(P435*('Key inputs_EB_MIN'!P$70+'Key inputs_EB_MIN'!P$71)/SUM('Key inputs_EB_MIN'!P$69:P$71),0)</f>
        <v>-19729.267677209758</v>
      </c>
      <c r="Q455" s="176">
        <f>IFERROR(Q435*('Key inputs_EB_MIN'!Q$70+'Key inputs_EB_MIN'!Q$71)/SUM('Key inputs_EB_MIN'!Q$69:Q$71),0)</f>
        <v>0</v>
      </c>
      <c r="R455" s="176">
        <f>IFERROR(R435*('Key inputs_EB_MIN'!R$70+'Key inputs_EB_MIN'!R$71)/SUM('Key inputs_EB_MIN'!R$69:R$71),0)</f>
        <v>0</v>
      </c>
      <c r="S455" s="176">
        <f>IFERROR(S435*('Key inputs_EB_MIN'!S$70+'Key inputs_EB_MIN'!S$71)/SUM('Key inputs_EB_MIN'!S$69:S$71),0)</f>
        <v>0</v>
      </c>
      <c r="T455" s="176">
        <f>IFERROR(T435*('Key inputs_EB_MIN'!T$70+'Key inputs_EB_MIN'!T$71)/SUM('Key inputs_EB_MIN'!T$69:T$71),0)</f>
        <v>0</v>
      </c>
      <c r="U455" s="176">
        <f>IFERROR(U435*('Key inputs_EB_MIN'!U$70+'Key inputs_EB_MIN'!U$71)/SUM('Key inputs_EB_MIN'!U$69:U$71),0)</f>
        <v>0</v>
      </c>
      <c r="V455" s="176">
        <f>IFERROR(V435*('Key inputs_EB_MIN'!V$70+'Key inputs_EB_MIN'!V$71)/SUM('Key inputs_EB_MIN'!V$69:V$71),0)</f>
        <v>0</v>
      </c>
      <c r="W455" s="176">
        <f>IFERROR(W435*('Key inputs_EB_MIN'!W$70+'Key inputs_EB_MIN'!W$71)/SUM('Key inputs_EB_MIN'!W$69:W$71),0)</f>
        <v>0</v>
      </c>
      <c r="X455" s="176">
        <f>IFERROR(X435*('Key inputs_EB_MIN'!X$70+'Key inputs_EB_MIN'!X$71)/SUM('Key inputs_EB_MIN'!X$69:X$71),0)</f>
        <v>0</v>
      </c>
      <c r="Y455" s="176">
        <f>IFERROR(Y435*('Key inputs_EB_MIN'!Y$70+'Key inputs_EB_MIN'!Y$71)/SUM('Key inputs_EB_MIN'!Y$69:Y$71),0)</f>
        <v>0</v>
      </c>
      <c r="Z455" s="176">
        <f>IFERROR(Z435*('Key inputs_EB_MIN'!Z$70+'Key inputs_EB_MIN'!Z$71)/SUM('Key inputs_EB_MIN'!Z$69:Z$71),0)</f>
        <v>0</v>
      </c>
      <c r="AA455" s="176">
        <f>IFERROR(AA435*('Key inputs_EB_MIN'!AA$70+'Key inputs_EB_MIN'!AA$71)/SUM('Key inputs_EB_MIN'!AA$69:AA$71),0)</f>
        <v>0</v>
      </c>
      <c r="AB455" s="176">
        <f>IFERROR(AB435*('Key inputs_EB_MIN'!AB$70+'Key inputs_EB_MIN'!AB$71)/SUM('Key inputs_EB_MIN'!AB$69:AB$71),0)</f>
        <v>0</v>
      </c>
      <c r="AC455" s="176">
        <f>IFERROR(AC435*('Key inputs_EB_MIN'!AC$70+'Key inputs_EB_MIN'!AC$71)/SUM('Key inputs_EB_MIN'!AC$69:AC$71),0)</f>
        <v>0</v>
      </c>
      <c r="AD455" s="176">
        <f>IFERROR(AD435*('Key inputs_EB_MIN'!AD$70+'Key inputs_EB_MIN'!AD$71)/SUM('Key inputs_EB_MIN'!AD$69:AD$71),0)</f>
        <v>0</v>
      </c>
      <c r="AE455" s="176">
        <f>IFERROR(AE435*('Key inputs_EB_MIN'!AE$70+'Key inputs_EB_MIN'!AE$71)/SUM('Key inputs_EB_MIN'!AE$69:AE$71),0)</f>
        <v>0</v>
      </c>
      <c r="AF455" s="287">
        <f>IFERROR(AF435*('Key inputs_EB_MIN'!AF$70+'Key inputs_EB_MIN'!AF$71)/SUM('Key inputs_EB_MIN'!AF$69:AF$71),0)</f>
        <v>0</v>
      </c>
    </row>
    <row r="456" spans="1:32" s="59" customFormat="1">
      <c r="A456" s="95" t="s">
        <v>728</v>
      </c>
      <c r="B456" s="95" t="s">
        <v>751</v>
      </c>
      <c r="C456" s="71" t="s">
        <v>556</v>
      </c>
      <c r="D456" s="74" t="s">
        <v>387</v>
      </c>
      <c r="E456" s="176">
        <f>IFERROR(E436*('Key inputs_EB_MIN'!E$70+'Key inputs_EB_MIN'!E$71)/SUM('Key inputs_EB_MIN'!E$69:E$71),0)</f>
        <v>-229.31869864002846</v>
      </c>
      <c r="F456" s="176">
        <f>IFERROR(F436*('Key inputs_EB_MIN'!F$70+'Key inputs_EB_MIN'!F$71)/SUM('Key inputs_EB_MIN'!F$69:F$71),0)</f>
        <v>-696.89162678653793</v>
      </c>
      <c r="G456" s="176">
        <f>IFERROR(G436*('Key inputs_EB_MIN'!G$70+'Key inputs_EB_MIN'!G$71)/SUM('Key inputs_EB_MIN'!G$69:G$71),0)</f>
        <v>-722.53945113438681</v>
      </c>
      <c r="H456" s="176">
        <f>IFERROR(H436*('Key inputs_EB_MIN'!H$70+'Key inputs_EB_MIN'!H$71)/SUM('Key inputs_EB_MIN'!H$69:H$71),0)</f>
        <v>0</v>
      </c>
      <c r="I456" s="176">
        <f>IFERROR(I436*('Key inputs_EB_MIN'!I$70+'Key inputs_EB_MIN'!I$71)/SUM('Key inputs_EB_MIN'!I$69:I$71),0)</f>
        <v>-858.23280052643508</v>
      </c>
      <c r="J456" s="176">
        <f>IFERROR(J436*('Key inputs_EB_MIN'!J$70+'Key inputs_EB_MIN'!J$71)/SUM('Key inputs_EB_MIN'!J$69:J$71),0)</f>
        <v>-26204.70597959965</v>
      </c>
      <c r="K456" s="176">
        <f>IFERROR(K436*('Key inputs_EB_MIN'!K$70+'Key inputs_EB_MIN'!K$71)/SUM('Key inputs_EB_MIN'!K$69:K$71),0)</f>
        <v>0</v>
      </c>
      <c r="L456" s="176">
        <f>IFERROR(L436*('Key inputs_EB_MIN'!L$70+'Key inputs_EB_MIN'!L$71)/SUM('Key inputs_EB_MIN'!L$69:L$71),0)</f>
        <v>0</v>
      </c>
      <c r="M456" s="176">
        <f>IFERROR(M436*('Key inputs_EB_MIN'!M$70+'Key inputs_EB_MIN'!M$71)/SUM('Key inputs_EB_MIN'!M$69:M$71),0)</f>
        <v>0</v>
      </c>
      <c r="N456" s="176">
        <f>IFERROR(N436*('Key inputs_EB_MIN'!N$70+'Key inputs_EB_MIN'!N$71)/SUM('Key inputs_EB_MIN'!N$69:N$71),0)</f>
        <v>0</v>
      </c>
      <c r="O456" s="176">
        <f>IFERROR(O436*('Key inputs_EB_MIN'!O$70+'Key inputs_EB_MIN'!O$71)/SUM('Key inputs_EB_MIN'!O$69:O$71),0)</f>
        <v>0</v>
      </c>
      <c r="P456" s="176">
        <f>IFERROR(P436*('Key inputs_EB_MIN'!P$70+'Key inputs_EB_MIN'!P$71)/SUM('Key inputs_EB_MIN'!P$69:P$71),0)</f>
        <v>-49584.795309841407</v>
      </c>
      <c r="Q456" s="176">
        <f>IFERROR(Q436*('Key inputs_EB_MIN'!Q$70+'Key inputs_EB_MIN'!Q$71)/SUM('Key inputs_EB_MIN'!Q$69:Q$71),0)</f>
        <v>-120.09162753626237</v>
      </c>
      <c r="R456" s="176">
        <f>IFERROR(R436*('Key inputs_EB_MIN'!R$70+'Key inputs_EB_MIN'!R$71)/SUM('Key inputs_EB_MIN'!R$69:R$71),0)</f>
        <v>0</v>
      </c>
      <c r="S456" s="176">
        <f>IFERROR(S436*('Key inputs_EB_MIN'!S$70+'Key inputs_EB_MIN'!S$71)/SUM('Key inputs_EB_MIN'!S$69:S$71),0)</f>
        <v>-60.134910052167406</v>
      </c>
      <c r="T456" s="176">
        <f>IFERROR(T436*('Key inputs_EB_MIN'!T$70+'Key inputs_EB_MIN'!T$71)/SUM('Key inputs_EB_MIN'!T$69:T$71),0)</f>
        <v>0</v>
      </c>
      <c r="U456" s="176">
        <f>IFERROR(U436*('Key inputs_EB_MIN'!U$70+'Key inputs_EB_MIN'!U$71)/SUM('Key inputs_EB_MIN'!U$69:U$71),0)</f>
        <v>0</v>
      </c>
      <c r="V456" s="176">
        <f>IFERROR(V436*('Key inputs_EB_MIN'!V$70+'Key inputs_EB_MIN'!V$71)/SUM('Key inputs_EB_MIN'!V$69:V$71),0)</f>
        <v>-5355.2229909182788</v>
      </c>
      <c r="W456" s="176">
        <f>IFERROR(W436*('Key inputs_EB_MIN'!W$70+'Key inputs_EB_MIN'!W$71)/SUM('Key inputs_EB_MIN'!W$69:W$71),0)</f>
        <v>0</v>
      </c>
      <c r="X456" s="176">
        <f>IFERROR(X436*('Key inputs_EB_MIN'!X$70+'Key inputs_EB_MIN'!X$71)/SUM('Key inputs_EB_MIN'!X$69:X$71),0)</f>
        <v>0</v>
      </c>
      <c r="Y456" s="176">
        <f>IFERROR(Y436*('Key inputs_EB_MIN'!Y$70+'Key inputs_EB_MIN'!Y$71)/SUM('Key inputs_EB_MIN'!Y$69:Y$71),0)</f>
        <v>-1902.9497974403989</v>
      </c>
      <c r="Z456" s="176">
        <f>IFERROR(Z436*('Key inputs_EB_MIN'!Z$70+'Key inputs_EB_MIN'!Z$71)/SUM('Key inputs_EB_MIN'!Z$69:Z$71),0)</f>
        <v>0</v>
      </c>
      <c r="AA456" s="176">
        <f>IFERROR(AA436*('Key inputs_EB_MIN'!AA$70+'Key inputs_EB_MIN'!AA$71)/SUM('Key inputs_EB_MIN'!AA$69:AA$71),0)</f>
        <v>-53581.431697122134</v>
      </c>
      <c r="AB456" s="176">
        <f>IFERROR(AB436*('Key inputs_EB_MIN'!AB$70+'Key inputs_EB_MIN'!AB$71)/SUM('Key inputs_EB_MIN'!AB$69:AB$71),0)</f>
        <v>0</v>
      </c>
      <c r="AC456" s="176">
        <f>IFERROR(AC436*('Key inputs_EB_MIN'!AC$70+'Key inputs_EB_MIN'!AC$71)/SUM('Key inputs_EB_MIN'!AC$69:AC$71),0)</f>
        <v>0</v>
      </c>
      <c r="AD456" s="176">
        <f>IFERROR(AD436*('Key inputs_EB_MIN'!AD$70+'Key inputs_EB_MIN'!AD$71)/SUM('Key inputs_EB_MIN'!AD$69:AD$71),0)</f>
        <v>-2146.8366720386989</v>
      </c>
      <c r="AE456" s="176">
        <f>IFERROR(AE436*('Key inputs_EB_MIN'!AE$70+'Key inputs_EB_MIN'!AE$71)/SUM('Key inputs_EB_MIN'!AE$69:AE$71),0)</f>
        <v>0</v>
      </c>
      <c r="AF456" s="287">
        <f>IFERROR(AF436*('Key inputs_EB_MIN'!AF$70+'Key inputs_EB_MIN'!AF$71)/SUM('Key inputs_EB_MIN'!AF$69:AF$71),0)</f>
        <v>0</v>
      </c>
    </row>
    <row r="457" spans="1:32" s="59" customFormat="1">
      <c r="A457" s="95" t="s">
        <v>728</v>
      </c>
      <c r="B457" s="95" t="s">
        <v>751</v>
      </c>
      <c r="C457" s="71" t="s">
        <v>558</v>
      </c>
      <c r="D457" s="74" t="s">
        <v>387</v>
      </c>
      <c r="E457" s="176">
        <f>IFERROR(E437*('Key inputs_EB_MIN'!E$70+'Key inputs_EB_MIN'!E$71)/SUM('Key inputs_EB_MIN'!E$69:E$71),0)</f>
        <v>0</v>
      </c>
      <c r="F457" s="176">
        <f>IFERROR(F437*('Key inputs_EB_MIN'!F$70+'Key inputs_EB_MIN'!F$71)/SUM('Key inputs_EB_MIN'!F$69:F$71),0)</f>
        <v>0</v>
      </c>
      <c r="G457" s="176">
        <f>IFERROR(G437*('Key inputs_EB_MIN'!G$70+'Key inputs_EB_MIN'!G$71)/SUM('Key inputs_EB_MIN'!G$69:G$71),0)</f>
        <v>0</v>
      </c>
      <c r="H457" s="176">
        <f>IFERROR(H437*('Key inputs_EB_MIN'!H$70+'Key inputs_EB_MIN'!H$71)/SUM('Key inputs_EB_MIN'!H$69:H$71),0)</f>
        <v>0</v>
      </c>
      <c r="I457" s="176">
        <f>IFERROR(I437*('Key inputs_EB_MIN'!I$70+'Key inputs_EB_MIN'!I$71)/SUM('Key inputs_EB_MIN'!I$69:I$71),0)</f>
        <v>-272.53051498588144</v>
      </c>
      <c r="J457" s="176">
        <f>IFERROR(J437*('Key inputs_EB_MIN'!J$70+'Key inputs_EB_MIN'!J$71)/SUM('Key inputs_EB_MIN'!J$69:J$71),0)</f>
        <v>0</v>
      </c>
      <c r="K457" s="176">
        <f>IFERROR(K437*('Key inputs_EB_MIN'!K$70+'Key inputs_EB_MIN'!K$71)/SUM('Key inputs_EB_MIN'!K$69:K$71),0)</f>
        <v>0</v>
      </c>
      <c r="L457" s="176">
        <f>IFERROR(L437*('Key inputs_EB_MIN'!L$70+'Key inputs_EB_MIN'!L$71)/SUM('Key inputs_EB_MIN'!L$69:L$71),0)</f>
        <v>0</v>
      </c>
      <c r="M457" s="176">
        <f>IFERROR(M437*('Key inputs_EB_MIN'!M$70+'Key inputs_EB_MIN'!M$71)/SUM('Key inputs_EB_MIN'!M$69:M$71),0)</f>
        <v>0</v>
      </c>
      <c r="N457" s="176">
        <f>IFERROR(N437*('Key inputs_EB_MIN'!N$70+'Key inputs_EB_MIN'!N$71)/SUM('Key inputs_EB_MIN'!N$69:N$71),0)</f>
        <v>-63354.171771886482</v>
      </c>
      <c r="O457" s="176">
        <f>IFERROR(O437*('Key inputs_EB_MIN'!O$70+'Key inputs_EB_MIN'!O$71)/SUM('Key inputs_EB_MIN'!O$69:O$71),0)</f>
        <v>0</v>
      </c>
      <c r="P457" s="176">
        <f>IFERROR(P437*('Key inputs_EB_MIN'!P$70+'Key inputs_EB_MIN'!P$71)/SUM('Key inputs_EB_MIN'!P$69:P$71),0)</f>
        <v>-5373.9896810272021</v>
      </c>
      <c r="Q457" s="176">
        <f>IFERROR(Q437*('Key inputs_EB_MIN'!Q$70+'Key inputs_EB_MIN'!Q$71)/SUM('Key inputs_EB_MIN'!Q$69:Q$71),0)</f>
        <v>-3.6869388849200848</v>
      </c>
      <c r="R457" s="176">
        <f>IFERROR(R437*('Key inputs_EB_MIN'!R$70+'Key inputs_EB_MIN'!R$71)/SUM('Key inputs_EB_MIN'!R$69:R$71),0)</f>
        <v>0</v>
      </c>
      <c r="S457" s="176">
        <f>IFERROR(S437*('Key inputs_EB_MIN'!S$70+'Key inputs_EB_MIN'!S$71)/SUM('Key inputs_EB_MIN'!S$69:S$71),0)</f>
        <v>-25.344886967322882</v>
      </c>
      <c r="T457" s="176">
        <f>IFERROR(T437*('Key inputs_EB_MIN'!T$70+'Key inputs_EB_MIN'!T$71)/SUM('Key inputs_EB_MIN'!T$69:T$71),0)</f>
        <v>0</v>
      </c>
      <c r="U457" s="176">
        <f>IFERROR(U437*('Key inputs_EB_MIN'!U$70+'Key inputs_EB_MIN'!U$71)/SUM('Key inputs_EB_MIN'!U$69:U$71),0)</f>
        <v>0</v>
      </c>
      <c r="V457" s="176">
        <f>IFERROR(V437*('Key inputs_EB_MIN'!V$70+'Key inputs_EB_MIN'!V$71)/SUM('Key inputs_EB_MIN'!V$69:V$71),0)</f>
        <v>0</v>
      </c>
      <c r="W457" s="176">
        <f>IFERROR(W437*('Key inputs_EB_MIN'!W$70+'Key inputs_EB_MIN'!W$71)/SUM('Key inputs_EB_MIN'!W$69:W$71),0)</f>
        <v>0</v>
      </c>
      <c r="X457" s="176">
        <f>IFERROR(X437*('Key inputs_EB_MIN'!X$70+'Key inputs_EB_MIN'!X$71)/SUM('Key inputs_EB_MIN'!X$69:X$71),0)</f>
        <v>0</v>
      </c>
      <c r="Y457" s="176">
        <f>IFERROR(Y437*('Key inputs_EB_MIN'!Y$70+'Key inputs_EB_MIN'!Y$71)/SUM('Key inputs_EB_MIN'!Y$69:Y$71),0)</f>
        <v>0</v>
      </c>
      <c r="Z457" s="176">
        <f>IFERROR(Z437*('Key inputs_EB_MIN'!Z$70+'Key inputs_EB_MIN'!Z$71)/SUM('Key inputs_EB_MIN'!Z$69:Z$71),0)</f>
        <v>0</v>
      </c>
      <c r="AA457" s="176">
        <f>IFERROR(AA437*('Key inputs_EB_MIN'!AA$70+'Key inputs_EB_MIN'!AA$71)/SUM('Key inputs_EB_MIN'!AA$69:AA$71),0)</f>
        <v>0</v>
      </c>
      <c r="AB457" s="176">
        <f>IFERROR(AB437*('Key inputs_EB_MIN'!AB$70+'Key inputs_EB_MIN'!AB$71)/SUM('Key inputs_EB_MIN'!AB$69:AB$71),0)</f>
        <v>0</v>
      </c>
      <c r="AC457" s="176">
        <f>IFERROR(AC437*('Key inputs_EB_MIN'!AC$70+'Key inputs_EB_MIN'!AC$71)/SUM('Key inputs_EB_MIN'!AC$69:AC$71),0)</f>
        <v>0</v>
      </c>
      <c r="AD457" s="176">
        <f>IFERROR(AD437*('Key inputs_EB_MIN'!AD$70+'Key inputs_EB_MIN'!AD$71)/SUM('Key inputs_EB_MIN'!AD$69:AD$71),0)</f>
        <v>0</v>
      </c>
      <c r="AE457" s="176">
        <f>IFERROR(AE437*('Key inputs_EB_MIN'!AE$70+'Key inputs_EB_MIN'!AE$71)/SUM('Key inputs_EB_MIN'!AE$69:AE$71),0)</f>
        <v>-26.669241012281926</v>
      </c>
      <c r="AF457" s="287">
        <f>IFERROR(AF437*('Key inputs_EB_MIN'!AF$70+'Key inputs_EB_MIN'!AF$71)/SUM('Key inputs_EB_MIN'!AF$69:AF$71),0)</f>
        <v>0</v>
      </c>
    </row>
    <row r="458" spans="1:32" s="59" customFormat="1">
      <c r="A458" s="97" t="s">
        <v>728</v>
      </c>
      <c r="B458" s="76" t="s">
        <v>751</v>
      </c>
      <c r="C458" s="76" t="s">
        <v>560</v>
      </c>
      <c r="D458" s="77" t="s">
        <v>387</v>
      </c>
      <c r="E458" s="288">
        <f>IFERROR(E438*('Key inputs_EB_MIN'!E$70+'Key inputs_EB_MIN'!E$71)/SUM('Key inputs_EB_MIN'!E$69:E$71),0)</f>
        <v>0</v>
      </c>
      <c r="F458" s="289">
        <f>IFERROR(F438*('Key inputs_EB_MIN'!F$70+'Key inputs_EB_MIN'!F$71)/SUM('Key inputs_EB_MIN'!F$69:F$71),0)</f>
        <v>0</v>
      </c>
      <c r="G458" s="289">
        <f>IFERROR(G438*('Key inputs_EB_MIN'!G$70+'Key inputs_EB_MIN'!G$71)/SUM('Key inputs_EB_MIN'!G$69:G$71),0)</f>
        <v>0</v>
      </c>
      <c r="H458" s="289">
        <f>IFERROR(H438*('Key inputs_EB_MIN'!H$70+'Key inputs_EB_MIN'!H$71)/SUM('Key inputs_EB_MIN'!H$69:H$71),0)</f>
        <v>0</v>
      </c>
      <c r="I458" s="289">
        <f>IFERROR(I438*('Key inputs_EB_MIN'!I$70+'Key inputs_EB_MIN'!I$71)/SUM('Key inputs_EB_MIN'!I$69:I$71),0)</f>
        <v>0</v>
      </c>
      <c r="J458" s="289">
        <f>IFERROR(J438*('Key inputs_EB_MIN'!J$70+'Key inputs_EB_MIN'!J$71)/SUM('Key inputs_EB_MIN'!J$69:J$71),0)</f>
        <v>0</v>
      </c>
      <c r="K458" s="289">
        <f>IFERROR(K438*('Key inputs_EB_MIN'!K$70+'Key inputs_EB_MIN'!K$71)/SUM('Key inputs_EB_MIN'!K$69:K$71),0)</f>
        <v>0</v>
      </c>
      <c r="L458" s="289">
        <f>IFERROR(L438*('Key inputs_EB_MIN'!L$70+'Key inputs_EB_MIN'!L$71)/SUM('Key inputs_EB_MIN'!L$69:L$71),0)</f>
        <v>0</v>
      </c>
      <c r="M458" s="289">
        <f>IFERROR(M438*('Key inputs_EB_MIN'!M$70+'Key inputs_EB_MIN'!M$71)/SUM('Key inputs_EB_MIN'!M$69:M$71),0)</f>
        <v>0</v>
      </c>
      <c r="N458" s="289">
        <f>IFERROR(N438*('Key inputs_EB_MIN'!N$70+'Key inputs_EB_MIN'!N$71)/SUM('Key inputs_EB_MIN'!N$69:N$71),0)</f>
        <v>0</v>
      </c>
      <c r="O458" s="289">
        <f>IFERROR(O438*('Key inputs_EB_MIN'!O$70+'Key inputs_EB_MIN'!O$71)/SUM('Key inputs_EB_MIN'!O$69:O$71),0)</f>
        <v>0</v>
      </c>
      <c r="P458" s="289">
        <f>IFERROR(P438*('Key inputs_EB_MIN'!P$70+'Key inputs_EB_MIN'!P$71)/SUM('Key inputs_EB_MIN'!P$69:P$71),0)</f>
        <v>0</v>
      </c>
      <c r="Q458" s="289">
        <f>IFERROR(Q438*('Key inputs_EB_MIN'!Q$70+'Key inputs_EB_MIN'!Q$71)/SUM('Key inputs_EB_MIN'!Q$69:Q$71),0)</f>
        <v>0</v>
      </c>
      <c r="R458" s="289">
        <f>IFERROR(R438*('Key inputs_EB_MIN'!R$70+'Key inputs_EB_MIN'!R$71)/SUM('Key inputs_EB_MIN'!R$69:R$71),0)</f>
        <v>0</v>
      </c>
      <c r="S458" s="289">
        <f>IFERROR(S438*('Key inputs_EB_MIN'!S$70+'Key inputs_EB_MIN'!S$71)/SUM('Key inputs_EB_MIN'!S$69:S$71),0)</f>
        <v>0</v>
      </c>
      <c r="T458" s="289">
        <f>IFERROR(T438*('Key inputs_EB_MIN'!T$70+'Key inputs_EB_MIN'!T$71)/SUM('Key inputs_EB_MIN'!T$69:T$71),0)</f>
        <v>0</v>
      </c>
      <c r="U458" s="289">
        <f>IFERROR(U438*('Key inputs_EB_MIN'!U$70+'Key inputs_EB_MIN'!U$71)/SUM('Key inputs_EB_MIN'!U$69:U$71),0)</f>
        <v>0</v>
      </c>
      <c r="V458" s="289">
        <f>IFERROR(V438*('Key inputs_EB_MIN'!V$70+'Key inputs_EB_MIN'!V$71)/SUM('Key inputs_EB_MIN'!V$69:V$71),0)</f>
        <v>0</v>
      </c>
      <c r="W458" s="289">
        <f>IFERROR(W438*('Key inputs_EB_MIN'!W$70+'Key inputs_EB_MIN'!W$71)/SUM('Key inputs_EB_MIN'!W$69:W$71),0)</f>
        <v>0</v>
      </c>
      <c r="X458" s="289">
        <f>IFERROR(X438*('Key inputs_EB_MIN'!X$70+'Key inputs_EB_MIN'!X$71)/SUM('Key inputs_EB_MIN'!X$69:X$71),0)</f>
        <v>0</v>
      </c>
      <c r="Y458" s="289">
        <f>IFERROR(Y438*('Key inputs_EB_MIN'!Y$70+'Key inputs_EB_MIN'!Y$71)/SUM('Key inputs_EB_MIN'!Y$69:Y$71),0)</f>
        <v>0</v>
      </c>
      <c r="Z458" s="289">
        <f>IFERROR(Z438*('Key inputs_EB_MIN'!Z$70+'Key inputs_EB_MIN'!Z$71)/SUM('Key inputs_EB_MIN'!Z$69:Z$71),0)</f>
        <v>0</v>
      </c>
      <c r="AA458" s="289">
        <f>IFERROR(AA438*('Key inputs_EB_MIN'!AA$70+'Key inputs_EB_MIN'!AA$71)/SUM('Key inputs_EB_MIN'!AA$69:AA$71),0)</f>
        <v>0</v>
      </c>
      <c r="AB458" s="289">
        <f>IFERROR(AB438*('Key inputs_EB_MIN'!AB$70+'Key inputs_EB_MIN'!AB$71)/SUM('Key inputs_EB_MIN'!AB$69:AB$71),0)</f>
        <v>0</v>
      </c>
      <c r="AC458" s="289">
        <f>IFERROR(AC438*('Key inputs_EB_MIN'!AC$70+'Key inputs_EB_MIN'!AC$71)/SUM('Key inputs_EB_MIN'!AC$69:AC$71),0)</f>
        <v>0</v>
      </c>
      <c r="AD458" s="289">
        <f>IFERROR(AD438*('Key inputs_EB_MIN'!AD$70+'Key inputs_EB_MIN'!AD$71)/SUM('Key inputs_EB_MIN'!AD$69:AD$71),0)</f>
        <v>0</v>
      </c>
      <c r="AE458" s="289">
        <f>IFERROR(AE438*('Key inputs_EB_MIN'!AE$70+'Key inputs_EB_MIN'!AE$71)/SUM('Key inputs_EB_MIN'!AE$69:AE$71),0)</f>
        <v>0</v>
      </c>
      <c r="AF458" s="290">
        <f>IFERROR(AF438*('Key inputs_EB_MIN'!AF$70+'Key inputs_EB_MIN'!AF$71)/SUM('Key inputs_EB_MIN'!AF$69:AF$71),0)</f>
        <v>0</v>
      </c>
    </row>
    <row r="459" spans="1:32" s="59" customFormat="1">
      <c r="A459" s="95" t="s">
        <v>728</v>
      </c>
      <c r="B459" s="95" t="s">
        <v>752</v>
      </c>
      <c r="C459" s="71" t="s">
        <v>515</v>
      </c>
      <c r="D459" s="74" t="s">
        <v>387</v>
      </c>
      <c r="E459" s="176">
        <f>IFERROR(E419*('Key inputs_EB_MIN'!E$69)/SUM('Key inputs_EB_MIN'!E$69:E$71),0)</f>
        <v>0</v>
      </c>
      <c r="F459" s="176">
        <f>IFERROR(F419*('Key inputs_EB_MIN'!F$69)/SUM('Key inputs_EB_MIN'!F$69:F$71),0)</f>
        <v>0</v>
      </c>
      <c r="G459" s="176">
        <f>IFERROR(G419*('Key inputs_EB_MIN'!G$69)/SUM('Key inputs_EB_MIN'!G$69:G$71),0)</f>
        <v>0</v>
      </c>
      <c r="H459" s="176">
        <f>IFERROR(H419*('Key inputs_EB_MIN'!H$69)/SUM('Key inputs_EB_MIN'!H$69:H$71),0)</f>
        <v>0</v>
      </c>
      <c r="I459" s="176">
        <f>IFERROR(I419*('Key inputs_EB_MIN'!I$69)/SUM('Key inputs_EB_MIN'!I$69:I$71),0)</f>
        <v>0</v>
      </c>
      <c r="J459" s="176">
        <f>IFERROR(J419*('Key inputs_EB_MIN'!J$69)/SUM('Key inputs_EB_MIN'!J$69:J$71),0)</f>
        <v>0</v>
      </c>
      <c r="K459" s="176">
        <f>IFERROR(K419*('Key inputs_EB_MIN'!K$69)/SUM('Key inputs_EB_MIN'!K$69:K$71),0)</f>
        <v>0</v>
      </c>
      <c r="L459" s="176">
        <f>IFERROR(L419*('Key inputs_EB_MIN'!L$69)/SUM('Key inputs_EB_MIN'!L$69:L$71),0)</f>
        <v>0</v>
      </c>
      <c r="M459" s="176">
        <f>IFERROR(M419*('Key inputs_EB_MIN'!M$69)/SUM('Key inputs_EB_MIN'!M$69:M$71),0)</f>
        <v>0</v>
      </c>
      <c r="N459" s="176">
        <f>IFERROR(N419*('Key inputs_EB_MIN'!N$69)/SUM('Key inputs_EB_MIN'!N$69:N$71),0)</f>
        <v>0</v>
      </c>
      <c r="O459" s="176">
        <f>IFERROR(O419*('Key inputs_EB_MIN'!O$69)/SUM('Key inputs_EB_MIN'!O$69:O$71),0)</f>
        <v>0</v>
      </c>
      <c r="P459" s="176">
        <f>IFERROR(P419*('Key inputs_EB_MIN'!P$69)/SUM('Key inputs_EB_MIN'!P$69:P$71),0)</f>
        <v>0</v>
      </c>
      <c r="Q459" s="176">
        <f>IFERROR(Q419*('Key inputs_EB_MIN'!Q$69)/SUM('Key inputs_EB_MIN'!Q$69:Q$71),0)</f>
        <v>0</v>
      </c>
      <c r="R459" s="176">
        <f>IFERROR(R419*('Key inputs_EB_MIN'!R$69)/SUM('Key inputs_EB_MIN'!R$69:R$71),0)</f>
        <v>0</v>
      </c>
      <c r="S459" s="176">
        <f>IFERROR(S419*('Key inputs_EB_MIN'!S$69)/SUM('Key inputs_EB_MIN'!S$69:S$71),0)</f>
        <v>0</v>
      </c>
      <c r="T459" s="176">
        <f>IFERROR(T419*('Key inputs_EB_MIN'!T$69)/SUM('Key inputs_EB_MIN'!T$69:T$71),0)</f>
        <v>0</v>
      </c>
      <c r="U459" s="176">
        <f>IFERROR(U419*('Key inputs_EB_MIN'!U$69)/SUM('Key inputs_EB_MIN'!U$69:U$71),0)</f>
        <v>0</v>
      </c>
      <c r="V459" s="176">
        <f>IFERROR(V419*('Key inputs_EB_MIN'!V$69)/SUM('Key inputs_EB_MIN'!V$69:V$71),0)</f>
        <v>0</v>
      </c>
      <c r="W459" s="176">
        <f>IFERROR(W419*('Key inputs_EB_MIN'!W$69)/SUM('Key inputs_EB_MIN'!W$69:W$71),0)</f>
        <v>0</v>
      </c>
      <c r="X459" s="176">
        <f>IFERROR(X419*('Key inputs_EB_MIN'!X$69)/SUM('Key inputs_EB_MIN'!X$69:X$71),0)</f>
        <v>0</v>
      </c>
      <c r="Y459" s="176">
        <f>IFERROR(Y419*('Key inputs_EB_MIN'!Y$69)/SUM('Key inputs_EB_MIN'!Y$69:Y$71),0)</f>
        <v>0</v>
      </c>
      <c r="Z459" s="176">
        <f>IFERROR(Z419*('Key inputs_EB_MIN'!Z$69)/SUM('Key inputs_EB_MIN'!Z$69:Z$71),0)</f>
        <v>0</v>
      </c>
      <c r="AA459" s="176">
        <f>IFERROR(AA419*('Key inputs_EB_MIN'!AA$69)/SUM('Key inputs_EB_MIN'!AA$69:AA$71),0)</f>
        <v>0</v>
      </c>
      <c r="AB459" s="176">
        <f>IFERROR(AB419*('Key inputs_EB_MIN'!AB$69)/SUM('Key inputs_EB_MIN'!AB$69:AB$71),0)</f>
        <v>0</v>
      </c>
      <c r="AC459" s="176">
        <f>IFERROR(AC419*('Key inputs_EB_MIN'!AC$69)/SUM('Key inputs_EB_MIN'!AC$69:AC$71),0)</f>
        <v>0</v>
      </c>
      <c r="AD459" s="176">
        <f>IFERROR(AD419*('Key inputs_EB_MIN'!AD$69)/SUM('Key inputs_EB_MIN'!AD$69:AD$71),0)</f>
        <v>0</v>
      </c>
      <c r="AE459" s="176">
        <f>IFERROR(AE419*('Key inputs_EB_MIN'!AE$69)/SUM('Key inputs_EB_MIN'!AE$69:AE$71),0)</f>
        <v>0</v>
      </c>
      <c r="AF459" s="286">
        <f>IFERROR(AF419*('Key inputs_EB_MIN'!AF$69)/SUM('Key inputs_EB_MIN'!AF$69:AF$71),0)</f>
        <v>-1058.0417016347176</v>
      </c>
    </row>
    <row r="460" spans="1:32" s="59" customFormat="1">
      <c r="A460" s="95" t="s">
        <v>728</v>
      </c>
      <c r="B460" s="95" t="s">
        <v>752</v>
      </c>
      <c r="C460" s="71" t="s">
        <v>521</v>
      </c>
      <c r="D460" s="74" t="s">
        <v>387</v>
      </c>
      <c r="E460" s="176">
        <f>IFERROR(E420*('Key inputs_EB_MIN'!E$69)/SUM('Key inputs_EB_MIN'!E$69:E$71),0)</f>
        <v>0</v>
      </c>
      <c r="F460" s="176">
        <f>IFERROR(F420*('Key inputs_EB_MIN'!F$69)/SUM('Key inputs_EB_MIN'!F$69:F$71),0)</f>
        <v>0</v>
      </c>
      <c r="G460" s="176">
        <f>IFERROR(G420*('Key inputs_EB_MIN'!G$69)/SUM('Key inputs_EB_MIN'!G$69:G$71),0)</f>
        <v>0</v>
      </c>
      <c r="H460" s="176">
        <f>IFERROR(H420*('Key inputs_EB_MIN'!H$69)/SUM('Key inputs_EB_MIN'!H$69:H$71),0)</f>
        <v>0</v>
      </c>
      <c r="I460" s="176">
        <f>IFERROR(I420*('Key inputs_EB_MIN'!I$69)/SUM('Key inputs_EB_MIN'!I$69:I$71),0)</f>
        <v>0</v>
      </c>
      <c r="J460" s="176">
        <f>IFERROR(J420*('Key inputs_EB_MIN'!J$69)/SUM('Key inputs_EB_MIN'!J$69:J$71),0)</f>
        <v>0</v>
      </c>
      <c r="K460" s="176">
        <f>IFERROR(K420*('Key inputs_EB_MIN'!K$69)/SUM('Key inputs_EB_MIN'!K$69:K$71),0)</f>
        <v>0</v>
      </c>
      <c r="L460" s="176">
        <f>IFERROR(L420*('Key inputs_EB_MIN'!L$69)/SUM('Key inputs_EB_MIN'!L$69:L$71),0)</f>
        <v>0</v>
      </c>
      <c r="M460" s="176">
        <f>IFERROR(M420*('Key inputs_EB_MIN'!M$69)/SUM('Key inputs_EB_MIN'!M$69:M$71),0)</f>
        <v>0</v>
      </c>
      <c r="N460" s="176">
        <f>IFERROR(N420*('Key inputs_EB_MIN'!N$69)/SUM('Key inputs_EB_MIN'!N$69:N$71),0)</f>
        <v>0</v>
      </c>
      <c r="O460" s="176">
        <f>IFERROR(O420*('Key inputs_EB_MIN'!O$69)/SUM('Key inputs_EB_MIN'!O$69:O$71),0)</f>
        <v>0</v>
      </c>
      <c r="P460" s="176">
        <f>IFERROR(P420*('Key inputs_EB_MIN'!P$69)/SUM('Key inputs_EB_MIN'!P$69:P$71),0)</f>
        <v>0</v>
      </c>
      <c r="Q460" s="176">
        <f>IFERROR(Q420*('Key inputs_EB_MIN'!Q$69)/SUM('Key inputs_EB_MIN'!Q$69:Q$71),0)</f>
        <v>0</v>
      </c>
      <c r="R460" s="176">
        <f>IFERROR(R420*('Key inputs_EB_MIN'!R$69)/SUM('Key inputs_EB_MIN'!R$69:R$71),0)</f>
        <v>0</v>
      </c>
      <c r="S460" s="176">
        <f>IFERROR(S420*('Key inputs_EB_MIN'!S$69)/SUM('Key inputs_EB_MIN'!S$69:S$71),0)</f>
        <v>0</v>
      </c>
      <c r="T460" s="176">
        <f>IFERROR(T420*('Key inputs_EB_MIN'!T$69)/SUM('Key inputs_EB_MIN'!T$69:T$71),0)</f>
        <v>0</v>
      </c>
      <c r="U460" s="176">
        <f>IFERROR(U420*('Key inputs_EB_MIN'!U$69)/SUM('Key inputs_EB_MIN'!U$69:U$71),0)</f>
        <v>0</v>
      </c>
      <c r="V460" s="176">
        <f>IFERROR(V420*('Key inputs_EB_MIN'!V$69)/SUM('Key inputs_EB_MIN'!V$69:V$71),0)</f>
        <v>0</v>
      </c>
      <c r="W460" s="176">
        <f>IFERROR(W420*('Key inputs_EB_MIN'!W$69)/SUM('Key inputs_EB_MIN'!W$69:W$71),0)</f>
        <v>0</v>
      </c>
      <c r="X460" s="176">
        <f>IFERROR(X420*('Key inputs_EB_MIN'!X$69)/SUM('Key inputs_EB_MIN'!X$69:X$71),0)</f>
        <v>0</v>
      </c>
      <c r="Y460" s="176">
        <f>IFERROR(Y420*('Key inputs_EB_MIN'!Y$69)/SUM('Key inputs_EB_MIN'!Y$69:Y$71),0)</f>
        <v>0</v>
      </c>
      <c r="Z460" s="176">
        <f>IFERROR(Z420*('Key inputs_EB_MIN'!Z$69)/SUM('Key inputs_EB_MIN'!Z$69:Z$71),0)</f>
        <v>0</v>
      </c>
      <c r="AA460" s="176">
        <f>IFERROR(AA420*('Key inputs_EB_MIN'!AA$69)/SUM('Key inputs_EB_MIN'!AA$69:AA$71),0)</f>
        <v>0</v>
      </c>
      <c r="AB460" s="176">
        <f>IFERROR(AB420*('Key inputs_EB_MIN'!AB$69)/SUM('Key inputs_EB_MIN'!AB$69:AB$71),0)</f>
        <v>0</v>
      </c>
      <c r="AC460" s="176">
        <f>IFERROR(AC420*('Key inputs_EB_MIN'!AC$69)/SUM('Key inputs_EB_MIN'!AC$69:AC$71),0)</f>
        <v>0</v>
      </c>
      <c r="AD460" s="176">
        <f>IFERROR(AD420*('Key inputs_EB_MIN'!AD$69)/SUM('Key inputs_EB_MIN'!AD$69:AD$71),0)</f>
        <v>0</v>
      </c>
      <c r="AE460" s="176">
        <f>IFERROR(AE420*('Key inputs_EB_MIN'!AE$69)/SUM('Key inputs_EB_MIN'!AE$69:AE$71),0)</f>
        <v>0</v>
      </c>
      <c r="AF460" s="287">
        <f>IFERROR(AF420*('Key inputs_EB_MIN'!AF$69)/SUM('Key inputs_EB_MIN'!AF$69:AF$71),0)</f>
        <v>0</v>
      </c>
    </row>
    <row r="461" spans="1:32" s="59" customFormat="1">
      <c r="A461" s="95" t="s">
        <v>728</v>
      </c>
      <c r="B461" s="95" t="s">
        <v>752</v>
      </c>
      <c r="C461" s="71" t="s">
        <v>523</v>
      </c>
      <c r="D461" s="74" t="s">
        <v>387</v>
      </c>
      <c r="E461" s="176">
        <f>IFERROR(E421*('Key inputs_EB_MIN'!E$69)/SUM('Key inputs_EB_MIN'!E$69:E$71),0)</f>
        <v>0</v>
      </c>
      <c r="F461" s="176">
        <f>IFERROR(F421*('Key inputs_EB_MIN'!F$69)/SUM('Key inputs_EB_MIN'!F$69:F$71),0)</f>
        <v>0</v>
      </c>
      <c r="G461" s="176">
        <f>IFERROR(G421*('Key inputs_EB_MIN'!G$69)/SUM('Key inputs_EB_MIN'!G$69:G$71),0)</f>
        <v>0</v>
      </c>
      <c r="H461" s="176">
        <f>IFERROR(H421*('Key inputs_EB_MIN'!H$69)/SUM('Key inputs_EB_MIN'!H$69:H$71),0)</f>
        <v>0</v>
      </c>
      <c r="I461" s="176">
        <f>IFERROR(I421*('Key inputs_EB_MIN'!I$69)/SUM('Key inputs_EB_MIN'!I$69:I$71),0)</f>
        <v>0</v>
      </c>
      <c r="J461" s="176">
        <f>IFERROR(J421*('Key inputs_EB_MIN'!J$69)/SUM('Key inputs_EB_MIN'!J$69:J$71),0)</f>
        <v>0</v>
      </c>
      <c r="K461" s="176">
        <f>IFERROR(K421*('Key inputs_EB_MIN'!K$69)/SUM('Key inputs_EB_MIN'!K$69:K$71),0)</f>
        <v>0</v>
      </c>
      <c r="L461" s="176">
        <f>IFERROR(L421*('Key inputs_EB_MIN'!L$69)/SUM('Key inputs_EB_MIN'!L$69:L$71),0)</f>
        <v>0</v>
      </c>
      <c r="M461" s="176">
        <f>IFERROR(M421*('Key inputs_EB_MIN'!M$69)/SUM('Key inputs_EB_MIN'!M$69:M$71),0)</f>
        <v>0</v>
      </c>
      <c r="N461" s="176">
        <f>IFERROR(N421*('Key inputs_EB_MIN'!N$69)/SUM('Key inputs_EB_MIN'!N$69:N$71),0)</f>
        <v>0</v>
      </c>
      <c r="O461" s="176">
        <f>IFERROR(O421*('Key inputs_EB_MIN'!O$69)/SUM('Key inputs_EB_MIN'!O$69:O$71),0)</f>
        <v>0</v>
      </c>
      <c r="P461" s="176">
        <f>IFERROR(P421*('Key inputs_EB_MIN'!P$69)/SUM('Key inputs_EB_MIN'!P$69:P$71),0)</f>
        <v>0</v>
      </c>
      <c r="Q461" s="176">
        <f>IFERROR(Q421*('Key inputs_EB_MIN'!Q$69)/SUM('Key inputs_EB_MIN'!Q$69:Q$71),0)</f>
        <v>0</v>
      </c>
      <c r="R461" s="176">
        <f>IFERROR(R421*('Key inputs_EB_MIN'!R$69)/SUM('Key inputs_EB_MIN'!R$69:R$71),0)</f>
        <v>0</v>
      </c>
      <c r="S461" s="176">
        <f>IFERROR(S421*('Key inputs_EB_MIN'!S$69)/SUM('Key inputs_EB_MIN'!S$69:S$71),0)</f>
        <v>0</v>
      </c>
      <c r="T461" s="176">
        <f>IFERROR(T421*('Key inputs_EB_MIN'!T$69)/SUM('Key inputs_EB_MIN'!T$69:T$71),0)</f>
        <v>0</v>
      </c>
      <c r="U461" s="176">
        <f>IFERROR(U421*('Key inputs_EB_MIN'!U$69)/SUM('Key inputs_EB_MIN'!U$69:U$71),0)</f>
        <v>0</v>
      </c>
      <c r="V461" s="176">
        <f>IFERROR(V421*('Key inputs_EB_MIN'!V$69)/SUM('Key inputs_EB_MIN'!V$69:V$71),0)</f>
        <v>0</v>
      </c>
      <c r="W461" s="176">
        <f>IFERROR(W421*('Key inputs_EB_MIN'!W$69)/SUM('Key inputs_EB_MIN'!W$69:W$71),0)</f>
        <v>0</v>
      </c>
      <c r="X461" s="176">
        <f>IFERROR(X421*('Key inputs_EB_MIN'!X$69)/SUM('Key inputs_EB_MIN'!X$69:X$71),0)</f>
        <v>0</v>
      </c>
      <c r="Y461" s="176">
        <f>IFERROR(Y421*('Key inputs_EB_MIN'!Y$69)/SUM('Key inputs_EB_MIN'!Y$69:Y$71),0)</f>
        <v>0</v>
      </c>
      <c r="Z461" s="176">
        <f>IFERROR(Z421*('Key inputs_EB_MIN'!Z$69)/SUM('Key inputs_EB_MIN'!Z$69:Z$71),0)</f>
        <v>0</v>
      </c>
      <c r="AA461" s="176">
        <f>IFERROR(AA421*('Key inputs_EB_MIN'!AA$69)/SUM('Key inputs_EB_MIN'!AA$69:AA$71),0)</f>
        <v>0</v>
      </c>
      <c r="AB461" s="176">
        <f>IFERROR(AB421*('Key inputs_EB_MIN'!AB$69)/SUM('Key inputs_EB_MIN'!AB$69:AB$71),0)</f>
        <v>0</v>
      </c>
      <c r="AC461" s="176">
        <f>IFERROR(AC421*('Key inputs_EB_MIN'!AC$69)/SUM('Key inputs_EB_MIN'!AC$69:AC$71),0)</f>
        <v>0</v>
      </c>
      <c r="AD461" s="176">
        <f>IFERROR(AD421*('Key inputs_EB_MIN'!AD$69)/SUM('Key inputs_EB_MIN'!AD$69:AD$71),0)</f>
        <v>0</v>
      </c>
      <c r="AE461" s="176">
        <f>IFERROR(AE421*('Key inputs_EB_MIN'!AE$69)/SUM('Key inputs_EB_MIN'!AE$69:AE$71),0)</f>
        <v>0</v>
      </c>
      <c r="AF461" s="287">
        <f>IFERROR(AF421*('Key inputs_EB_MIN'!AF$69)/SUM('Key inputs_EB_MIN'!AF$69:AF$71),0)</f>
        <v>0</v>
      </c>
    </row>
    <row r="462" spans="1:32" s="59" customFormat="1">
      <c r="A462" s="95" t="s">
        <v>728</v>
      </c>
      <c r="B462" s="95" t="s">
        <v>752</v>
      </c>
      <c r="C462" s="71" t="s">
        <v>525</v>
      </c>
      <c r="D462" s="74" t="s">
        <v>387</v>
      </c>
      <c r="E462" s="176">
        <f>IFERROR(E422*('Key inputs_EB_MIN'!E$69)/SUM('Key inputs_EB_MIN'!E$69:E$71),0)</f>
        <v>0</v>
      </c>
      <c r="F462" s="176">
        <f>IFERROR(F422*('Key inputs_EB_MIN'!F$69)/SUM('Key inputs_EB_MIN'!F$69:F$71),0)</f>
        <v>0</v>
      </c>
      <c r="G462" s="176">
        <f>IFERROR(G422*('Key inputs_EB_MIN'!G$69)/SUM('Key inputs_EB_MIN'!G$69:G$71),0)</f>
        <v>0</v>
      </c>
      <c r="H462" s="176">
        <f>IFERROR(H422*('Key inputs_EB_MIN'!H$69)/SUM('Key inputs_EB_MIN'!H$69:H$71),0)</f>
        <v>0</v>
      </c>
      <c r="I462" s="176">
        <f>IFERROR(I422*('Key inputs_EB_MIN'!I$69)/SUM('Key inputs_EB_MIN'!I$69:I$71),0)</f>
        <v>0</v>
      </c>
      <c r="J462" s="176">
        <f>IFERROR(J422*('Key inputs_EB_MIN'!J$69)/SUM('Key inputs_EB_MIN'!J$69:J$71),0)</f>
        <v>0</v>
      </c>
      <c r="K462" s="176">
        <f>IFERROR(K422*('Key inputs_EB_MIN'!K$69)/SUM('Key inputs_EB_MIN'!K$69:K$71),0)</f>
        <v>0</v>
      </c>
      <c r="L462" s="176">
        <f>IFERROR(L422*('Key inputs_EB_MIN'!L$69)/SUM('Key inputs_EB_MIN'!L$69:L$71),0)</f>
        <v>0</v>
      </c>
      <c r="M462" s="176">
        <f>IFERROR(M422*('Key inputs_EB_MIN'!M$69)/SUM('Key inputs_EB_MIN'!M$69:M$71),0)</f>
        <v>0</v>
      </c>
      <c r="N462" s="176">
        <f>IFERROR(N422*('Key inputs_EB_MIN'!N$69)/SUM('Key inputs_EB_MIN'!N$69:N$71),0)</f>
        <v>0</v>
      </c>
      <c r="O462" s="176">
        <f>IFERROR(O422*('Key inputs_EB_MIN'!O$69)/SUM('Key inputs_EB_MIN'!O$69:O$71),0)</f>
        <v>0</v>
      </c>
      <c r="P462" s="176">
        <f>IFERROR(P422*('Key inputs_EB_MIN'!P$69)/SUM('Key inputs_EB_MIN'!P$69:P$71),0)</f>
        <v>0</v>
      </c>
      <c r="Q462" s="176">
        <f>IFERROR(Q422*('Key inputs_EB_MIN'!Q$69)/SUM('Key inputs_EB_MIN'!Q$69:Q$71),0)</f>
        <v>0</v>
      </c>
      <c r="R462" s="176">
        <f>IFERROR(R422*('Key inputs_EB_MIN'!R$69)/SUM('Key inputs_EB_MIN'!R$69:R$71),0)</f>
        <v>0</v>
      </c>
      <c r="S462" s="176">
        <f>IFERROR(S422*('Key inputs_EB_MIN'!S$69)/SUM('Key inputs_EB_MIN'!S$69:S$71),0)</f>
        <v>0</v>
      </c>
      <c r="T462" s="176">
        <f>IFERROR(T422*('Key inputs_EB_MIN'!T$69)/SUM('Key inputs_EB_MIN'!T$69:T$71),0)</f>
        <v>0</v>
      </c>
      <c r="U462" s="176">
        <f>IFERROR(U422*('Key inputs_EB_MIN'!U$69)/SUM('Key inputs_EB_MIN'!U$69:U$71),0)</f>
        <v>0</v>
      </c>
      <c r="V462" s="176">
        <f>IFERROR(V422*('Key inputs_EB_MIN'!V$69)/SUM('Key inputs_EB_MIN'!V$69:V$71),0)</f>
        <v>0</v>
      </c>
      <c r="W462" s="176">
        <f>IFERROR(W422*('Key inputs_EB_MIN'!W$69)/SUM('Key inputs_EB_MIN'!W$69:W$71),0)</f>
        <v>0</v>
      </c>
      <c r="X462" s="176">
        <f>IFERROR(X422*('Key inputs_EB_MIN'!X$69)/SUM('Key inputs_EB_MIN'!X$69:X$71),0)</f>
        <v>0</v>
      </c>
      <c r="Y462" s="176">
        <f>IFERROR(Y422*('Key inputs_EB_MIN'!Y$69)/SUM('Key inputs_EB_MIN'!Y$69:Y$71),0)</f>
        <v>0</v>
      </c>
      <c r="Z462" s="176">
        <f>IFERROR(Z422*('Key inputs_EB_MIN'!Z$69)/SUM('Key inputs_EB_MIN'!Z$69:Z$71),0)</f>
        <v>0</v>
      </c>
      <c r="AA462" s="176">
        <f>IFERROR(AA422*('Key inputs_EB_MIN'!AA$69)/SUM('Key inputs_EB_MIN'!AA$69:AA$71),0)</f>
        <v>0</v>
      </c>
      <c r="AB462" s="176">
        <f>IFERROR(AB422*('Key inputs_EB_MIN'!AB$69)/SUM('Key inputs_EB_MIN'!AB$69:AB$71),0)</f>
        <v>0</v>
      </c>
      <c r="AC462" s="176">
        <f>IFERROR(AC422*('Key inputs_EB_MIN'!AC$69)/SUM('Key inputs_EB_MIN'!AC$69:AC$71),0)</f>
        <v>0</v>
      </c>
      <c r="AD462" s="176">
        <f>IFERROR(AD422*('Key inputs_EB_MIN'!AD$69)/SUM('Key inputs_EB_MIN'!AD$69:AD$71),0)</f>
        <v>0</v>
      </c>
      <c r="AE462" s="176">
        <f>IFERROR(AE422*('Key inputs_EB_MIN'!AE$69)/SUM('Key inputs_EB_MIN'!AE$69:AE$71),0)</f>
        <v>0</v>
      </c>
      <c r="AF462" s="287">
        <f>IFERROR(AF422*('Key inputs_EB_MIN'!AF$69)/SUM('Key inputs_EB_MIN'!AF$69:AF$71),0)</f>
        <v>0</v>
      </c>
    </row>
    <row r="463" spans="1:32" s="59" customFormat="1">
      <c r="A463" s="95" t="s">
        <v>728</v>
      </c>
      <c r="B463" s="95" t="s">
        <v>752</v>
      </c>
      <c r="C463" s="71" t="s">
        <v>527</v>
      </c>
      <c r="D463" s="74" t="s">
        <v>387</v>
      </c>
      <c r="E463" s="176">
        <f>IFERROR(E423*('Key inputs_EB_MIN'!E$69)/SUM('Key inputs_EB_MIN'!E$69:E$71),0)</f>
        <v>0</v>
      </c>
      <c r="F463" s="176">
        <f>IFERROR(F423*('Key inputs_EB_MIN'!F$69)/SUM('Key inputs_EB_MIN'!F$69:F$71),0)</f>
        <v>0</v>
      </c>
      <c r="G463" s="176">
        <f>IFERROR(G423*('Key inputs_EB_MIN'!G$69)/SUM('Key inputs_EB_MIN'!G$69:G$71),0)</f>
        <v>0</v>
      </c>
      <c r="H463" s="176">
        <f>IFERROR(H423*('Key inputs_EB_MIN'!H$69)/SUM('Key inputs_EB_MIN'!H$69:H$71),0)</f>
        <v>0</v>
      </c>
      <c r="I463" s="176">
        <f>IFERROR(I423*('Key inputs_EB_MIN'!I$69)/SUM('Key inputs_EB_MIN'!I$69:I$71),0)</f>
        <v>0</v>
      </c>
      <c r="J463" s="176">
        <f>IFERROR(J423*('Key inputs_EB_MIN'!J$69)/SUM('Key inputs_EB_MIN'!J$69:J$71),0)</f>
        <v>0</v>
      </c>
      <c r="K463" s="176">
        <f>IFERROR(K423*('Key inputs_EB_MIN'!K$69)/SUM('Key inputs_EB_MIN'!K$69:K$71),0)</f>
        <v>0</v>
      </c>
      <c r="L463" s="176">
        <f>IFERROR(L423*('Key inputs_EB_MIN'!L$69)/SUM('Key inputs_EB_MIN'!L$69:L$71),0)</f>
        <v>0</v>
      </c>
      <c r="M463" s="176">
        <f>IFERROR(M423*('Key inputs_EB_MIN'!M$69)/SUM('Key inputs_EB_MIN'!M$69:M$71),0)</f>
        <v>0</v>
      </c>
      <c r="N463" s="176">
        <f>IFERROR(N423*('Key inputs_EB_MIN'!N$69)/SUM('Key inputs_EB_MIN'!N$69:N$71),0)</f>
        <v>0</v>
      </c>
      <c r="O463" s="176">
        <f>IFERROR(O423*('Key inputs_EB_MIN'!O$69)/SUM('Key inputs_EB_MIN'!O$69:O$71),0)</f>
        <v>0</v>
      </c>
      <c r="P463" s="176">
        <f>IFERROR(P423*('Key inputs_EB_MIN'!P$69)/SUM('Key inputs_EB_MIN'!P$69:P$71),0)</f>
        <v>0</v>
      </c>
      <c r="Q463" s="176">
        <f>IFERROR(Q423*('Key inputs_EB_MIN'!Q$69)/SUM('Key inputs_EB_MIN'!Q$69:Q$71),0)</f>
        <v>0</v>
      </c>
      <c r="R463" s="176">
        <f>IFERROR(R423*('Key inputs_EB_MIN'!R$69)/SUM('Key inputs_EB_MIN'!R$69:R$71),0)</f>
        <v>0</v>
      </c>
      <c r="S463" s="176">
        <f>IFERROR(S423*('Key inputs_EB_MIN'!S$69)/SUM('Key inputs_EB_MIN'!S$69:S$71),0)</f>
        <v>0</v>
      </c>
      <c r="T463" s="176">
        <f>IFERROR(T423*('Key inputs_EB_MIN'!T$69)/SUM('Key inputs_EB_MIN'!T$69:T$71),0)</f>
        <v>0</v>
      </c>
      <c r="U463" s="176">
        <f>IFERROR(U423*('Key inputs_EB_MIN'!U$69)/SUM('Key inputs_EB_MIN'!U$69:U$71),0)</f>
        <v>0</v>
      </c>
      <c r="V463" s="176">
        <f>IFERROR(V423*('Key inputs_EB_MIN'!V$69)/SUM('Key inputs_EB_MIN'!V$69:V$71),0)</f>
        <v>0</v>
      </c>
      <c r="W463" s="176">
        <f>IFERROR(W423*('Key inputs_EB_MIN'!W$69)/SUM('Key inputs_EB_MIN'!W$69:W$71),0)</f>
        <v>0</v>
      </c>
      <c r="X463" s="176">
        <f>IFERROR(X423*('Key inputs_EB_MIN'!X$69)/SUM('Key inputs_EB_MIN'!X$69:X$71),0)</f>
        <v>0</v>
      </c>
      <c r="Y463" s="176">
        <f>IFERROR(Y423*('Key inputs_EB_MIN'!Y$69)/SUM('Key inputs_EB_MIN'!Y$69:Y$71),0)</f>
        <v>0</v>
      </c>
      <c r="Z463" s="176">
        <f>IFERROR(Z423*('Key inputs_EB_MIN'!Z$69)/SUM('Key inputs_EB_MIN'!Z$69:Z$71),0)</f>
        <v>0</v>
      </c>
      <c r="AA463" s="176">
        <f>IFERROR(AA423*('Key inputs_EB_MIN'!AA$69)/SUM('Key inputs_EB_MIN'!AA$69:AA$71),0)</f>
        <v>0</v>
      </c>
      <c r="AB463" s="176">
        <f>IFERROR(AB423*('Key inputs_EB_MIN'!AB$69)/SUM('Key inputs_EB_MIN'!AB$69:AB$71),0)</f>
        <v>0</v>
      </c>
      <c r="AC463" s="176">
        <f>IFERROR(AC423*('Key inputs_EB_MIN'!AC$69)/SUM('Key inputs_EB_MIN'!AC$69:AC$71),0)</f>
        <v>0</v>
      </c>
      <c r="AD463" s="176">
        <f>IFERROR(AD423*('Key inputs_EB_MIN'!AD$69)/SUM('Key inputs_EB_MIN'!AD$69:AD$71),0)</f>
        <v>0</v>
      </c>
      <c r="AE463" s="176">
        <f>IFERROR(AE423*('Key inputs_EB_MIN'!AE$69)/SUM('Key inputs_EB_MIN'!AE$69:AE$71),0)</f>
        <v>0</v>
      </c>
      <c r="AF463" s="287">
        <f>IFERROR(AF423*('Key inputs_EB_MIN'!AF$69)/SUM('Key inputs_EB_MIN'!AF$69:AF$71),0)</f>
        <v>0</v>
      </c>
    </row>
    <row r="464" spans="1:32" s="59" customFormat="1">
      <c r="A464" s="95" t="s">
        <v>728</v>
      </c>
      <c r="B464" s="95" t="s">
        <v>752</v>
      </c>
      <c r="C464" s="71" t="s">
        <v>529</v>
      </c>
      <c r="D464" s="74" t="s">
        <v>387</v>
      </c>
      <c r="E464" s="176">
        <f>IFERROR(E424*('Key inputs_EB_MIN'!E$69)/SUM('Key inputs_EB_MIN'!E$69:E$71),0)</f>
        <v>0</v>
      </c>
      <c r="F464" s="176">
        <f>IFERROR(F424*('Key inputs_EB_MIN'!F$69)/SUM('Key inputs_EB_MIN'!F$69:F$71),0)</f>
        <v>0</v>
      </c>
      <c r="G464" s="176">
        <f>IFERROR(G424*('Key inputs_EB_MIN'!G$69)/SUM('Key inputs_EB_MIN'!G$69:G$71),0)</f>
        <v>0</v>
      </c>
      <c r="H464" s="176">
        <f>IFERROR(H424*('Key inputs_EB_MIN'!H$69)/SUM('Key inputs_EB_MIN'!H$69:H$71),0)</f>
        <v>0</v>
      </c>
      <c r="I464" s="176">
        <f>IFERROR(I424*('Key inputs_EB_MIN'!I$69)/SUM('Key inputs_EB_MIN'!I$69:I$71),0)</f>
        <v>0</v>
      </c>
      <c r="J464" s="176">
        <f>IFERROR(J424*('Key inputs_EB_MIN'!J$69)/SUM('Key inputs_EB_MIN'!J$69:J$71),0)</f>
        <v>0</v>
      </c>
      <c r="K464" s="176">
        <f>IFERROR(K424*('Key inputs_EB_MIN'!K$69)/SUM('Key inputs_EB_MIN'!K$69:K$71),0)</f>
        <v>0</v>
      </c>
      <c r="L464" s="176">
        <f>IFERROR(L424*('Key inputs_EB_MIN'!L$69)/SUM('Key inputs_EB_MIN'!L$69:L$71),0)</f>
        <v>0</v>
      </c>
      <c r="M464" s="176">
        <f>IFERROR(M424*('Key inputs_EB_MIN'!M$69)/SUM('Key inputs_EB_MIN'!M$69:M$71),0)</f>
        <v>0</v>
      </c>
      <c r="N464" s="176">
        <f>IFERROR(N424*('Key inputs_EB_MIN'!N$69)/SUM('Key inputs_EB_MIN'!N$69:N$71),0)</f>
        <v>0</v>
      </c>
      <c r="O464" s="176">
        <f>IFERROR(O424*('Key inputs_EB_MIN'!O$69)/SUM('Key inputs_EB_MIN'!O$69:O$71),0)</f>
        <v>0</v>
      </c>
      <c r="P464" s="176">
        <f>IFERROR(P424*('Key inputs_EB_MIN'!P$69)/SUM('Key inputs_EB_MIN'!P$69:P$71),0)</f>
        <v>0</v>
      </c>
      <c r="Q464" s="176">
        <f>IFERROR(Q424*('Key inputs_EB_MIN'!Q$69)/SUM('Key inputs_EB_MIN'!Q$69:Q$71),0)</f>
        <v>0</v>
      </c>
      <c r="R464" s="176">
        <f>IFERROR(R424*('Key inputs_EB_MIN'!R$69)/SUM('Key inputs_EB_MIN'!R$69:R$71),0)</f>
        <v>0</v>
      </c>
      <c r="S464" s="176">
        <f>IFERROR(S424*('Key inputs_EB_MIN'!S$69)/SUM('Key inputs_EB_MIN'!S$69:S$71),0)</f>
        <v>0</v>
      </c>
      <c r="T464" s="176">
        <f>IFERROR(T424*('Key inputs_EB_MIN'!T$69)/SUM('Key inputs_EB_MIN'!T$69:T$71),0)</f>
        <v>0</v>
      </c>
      <c r="U464" s="176">
        <f>IFERROR(U424*('Key inputs_EB_MIN'!U$69)/SUM('Key inputs_EB_MIN'!U$69:U$71),0)</f>
        <v>0</v>
      </c>
      <c r="V464" s="176">
        <f>IFERROR(V424*('Key inputs_EB_MIN'!V$69)/SUM('Key inputs_EB_MIN'!V$69:V$71),0)</f>
        <v>0</v>
      </c>
      <c r="W464" s="176">
        <f>IFERROR(W424*('Key inputs_EB_MIN'!W$69)/SUM('Key inputs_EB_MIN'!W$69:W$71),0)</f>
        <v>0</v>
      </c>
      <c r="X464" s="176">
        <f>IFERROR(X424*('Key inputs_EB_MIN'!X$69)/SUM('Key inputs_EB_MIN'!X$69:X$71),0)</f>
        <v>0</v>
      </c>
      <c r="Y464" s="176">
        <f>IFERROR(Y424*('Key inputs_EB_MIN'!Y$69)/SUM('Key inputs_EB_MIN'!Y$69:Y$71),0)</f>
        <v>0</v>
      </c>
      <c r="Z464" s="176">
        <f>IFERROR(Z424*('Key inputs_EB_MIN'!Z$69)/SUM('Key inputs_EB_MIN'!Z$69:Z$71),0)</f>
        <v>0</v>
      </c>
      <c r="AA464" s="176">
        <f>IFERROR(AA424*('Key inputs_EB_MIN'!AA$69)/SUM('Key inputs_EB_MIN'!AA$69:AA$71),0)</f>
        <v>0</v>
      </c>
      <c r="AB464" s="176">
        <f>IFERROR(AB424*('Key inputs_EB_MIN'!AB$69)/SUM('Key inputs_EB_MIN'!AB$69:AB$71),0)</f>
        <v>0</v>
      </c>
      <c r="AC464" s="176">
        <f>IFERROR(AC424*('Key inputs_EB_MIN'!AC$69)/SUM('Key inputs_EB_MIN'!AC$69:AC$71),0)</f>
        <v>0</v>
      </c>
      <c r="AD464" s="176">
        <f>IFERROR(AD424*('Key inputs_EB_MIN'!AD$69)/SUM('Key inputs_EB_MIN'!AD$69:AD$71),0)</f>
        <v>0</v>
      </c>
      <c r="AE464" s="176">
        <f>IFERROR(AE424*('Key inputs_EB_MIN'!AE$69)/SUM('Key inputs_EB_MIN'!AE$69:AE$71),0)</f>
        <v>0</v>
      </c>
      <c r="AF464" s="287">
        <f>IFERROR(AF424*('Key inputs_EB_MIN'!AF$69)/SUM('Key inputs_EB_MIN'!AF$69:AF$71),0)</f>
        <v>0</v>
      </c>
    </row>
    <row r="465" spans="1:32" s="59" customFormat="1">
      <c r="A465" s="95" t="s">
        <v>728</v>
      </c>
      <c r="B465" s="95" t="s">
        <v>752</v>
      </c>
      <c r="C465" s="71" t="s">
        <v>531</v>
      </c>
      <c r="D465" s="74" t="s">
        <v>387</v>
      </c>
      <c r="E465" s="176">
        <f>IFERROR(E425*('Key inputs_EB_MIN'!E$69)/SUM('Key inputs_EB_MIN'!E$69:E$71),0)</f>
        <v>0</v>
      </c>
      <c r="F465" s="176">
        <f>IFERROR(F425*('Key inputs_EB_MIN'!F$69)/SUM('Key inputs_EB_MIN'!F$69:F$71),0)</f>
        <v>0</v>
      </c>
      <c r="G465" s="176">
        <f>IFERROR(G425*('Key inputs_EB_MIN'!G$69)/SUM('Key inputs_EB_MIN'!G$69:G$71),0)</f>
        <v>0</v>
      </c>
      <c r="H465" s="176">
        <f>IFERROR(H425*('Key inputs_EB_MIN'!H$69)/SUM('Key inputs_EB_MIN'!H$69:H$71),0)</f>
        <v>0</v>
      </c>
      <c r="I465" s="176">
        <f>IFERROR(I425*('Key inputs_EB_MIN'!I$69)/SUM('Key inputs_EB_MIN'!I$69:I$71),0)</f>
        <v>0</v>
      </c>
      <c r="J465" s="176">
        <f>IFERROR(J425*('Key inputs_EB_MIN'!J$69)/SUM('Key inputs_EB_MIN'!J$69:J$71),0)</f>
        <v>0</v>
      </c>
      <c r="K465" s="176">
        <f>IFERROR(K425*('Key inputs_EB_MIN'!K$69)/SUM('Key inputs_EB_MIN'!K$69:K$71),0)</f>
        <v>0</v>
      </c>
      <c r="L465" s="176">
        <f>IFERROR(L425*('Key inputs_EB_MIN'!L$69)/SUM('Key inputs_EB_MIN'!L$69:L$71),0)</f>
        <v>0</v>
      </c>
      <c r="M465" s="176">
        <f>IFERROR(M425*('Key inputs_EB_MIN'!M$69)/SUM('Key inputs_EB_MIN'!M$69:M$71),0)</f>
        <v>0</v>
      </c>
      <c r="N465" s="176">
        <f>IFERROR(N425*('Key inputs_EB_MIN'!N$69)/SUM('Key inputs_EB_MIN'!N$69:N$71),0)</f>
        <v>0</v>
      </c>
      <c r="O465" s="176">
        <f>IFERROR(O425*('Key inputs_EB_MIN'!O$69)/SUM('Key inputs_EB_MIN'!O$69:O$71),0)</f>
        <v>0</v>
      </c>
      <c r="P465" s="176">
        <f>IFERROR(P425*('Key inputs_EB_MIN'!P$69)/SUM('Key inputs_EB_MIN'!P$69:P$71),0)</f>
        <v>0</v>
      </c>
      <c r="Q465" s="176">
        <f>IFERROR(Q425*('Key inputs_EB_MIN'!Q$69)/SUM('Key inputs_EB_MIN'!Q$69:Q$71),0)</f>
        <v>0</v>
      </c>
      <c r="R465" s="176">
        <f>IFERROR(R425*('Key inputs_EB_MIN'!R$69)/SUM('Key inputs_EB_MIN'!R$69:R$71),0)</f>
        <v>0</v>
      </c>
      <c r="S465" s="176">
        <f>IFERROR(S425*('Key inputs_EB_MIN'!S$69)/SUM('Key inputs_EB_MIN'!S$69:S$71),0)</f>
        <v>0</v>
      </c>
      <c r="T465" s="176">
        <f>IFERROR(T425*('Key inputs_EB_MIN'!T$69)/SUM('Key inputs_EB_MIN'!T$69:T$71),0)</f>
        <v>0</v>
      </c>
      <c r="U465" s="176">
        <f>IFERROR(U425*('Key inputs_EB_MIN'!U$69)/SUM('Key inputs_EB_MIN'!U$69:U$71),0)</f>
        <v>0</v>
      </c>
      <c r="V465" s="176">
        <f>IFERROR(V425*('Key inputs_EB_MIN'!V$69)/SUM('Key inputs_EB_MIN'!V$69:V$71),0)</f>
        <v>0</v>
      </c>
      <c r="W465" s="176">
        <f>IFERROR(W425*('Key inputs_EB_MIN'!W$69)/SUM('Key inputs_EB_MIN'!W$69:W$71),0)</f>
        <v>0</v>
      </c>
      <c r="X465" s="176">
        <f>IFERROR(X425*('Key inputs_EB_MIN'!X$69)/SUM('Key inputs_EB_MIN'!X$69:X$71),0)</f>
        <v>0</v>
      </c>
      <c r="Y465" s="176">
        <f>IFERROR(Y425*('Key inputs_EB_MIN'!Y$69)/SUM('Key inputs_EB_MIN'!Y$69:Y$71),0)</f>
        <v>0</v>
      </c>
      <c r="Z465" s="176">
        <f>IFERROR(Z425*('Key inputs_EB_MIN'!Z$69)/SUM('Key inputs_EB_MIN'!Z$69:Z$71),0)</f>
        <v>0</v>
      </c>
      <c r="AA465" s="176">
        <f>IFERROR(AA425*('Key inputs_EB_MIN'!AA$69)/SUM('Key inputs_EB_MIN'!AA$69:AA$71),0)</f>
        <v>0</v>
      </c>
      <c r="AB465" s="176">
        <f>IFERROR(AB425*('Key inputs_EB_MIN'!AB$69)/SUM('Key inputs_EB_MIN'!AB$69:AB$71),0)</f>
        <v>0</v>
      </c>
      <c r="AC465" s="176">
        <f>IFERROR(AC425*('Key inputs_EB_MIN'!AC$69)/SUM('Key inputs_EB_MIN'!AC$69:AC$71),0)</f>
        <v>0</v>
      </c>
      <c r="AD465" s="176">
        <f>IFERROR(AD425*('Key inputs_EB_MIN'!AD$69)/SUM('Key inputs_EB_MIN'!AD$69:AD$71),0)</f>
        <v>0</v>
      </c>
      <c r="AE465" s="176">
        <f>IFERROR(AE425*('Key inputs_EB_MIN'!AE$69)/SUM('Key inputs_EB_MIN'!AE$69:AE$71),0)</f>
        <v>0</v>
      </c>
      <c r="AF465" s="287">
        <f>IFERROR(AF425*('Key inputs_EB_MIN'!AF$69)/SUM('Key inputs_EB_MIN'!AF$69:AF$71),0)</f>
        <v>0</v>
      </c>
    </row>
    <row r="466" spans="1:32" s="59" customFormat="1">
      <c r="A466" s="95" t="s">
        <v>728</v>
      </c>
      <c r="B466" s="95" t="s">
        <v>752</v>
      </c>
      <c r="C466" s="71" t="s">
        <v>533</v>
      </c>
      <c r="D466" s="74" t="s">
        <v>387</v>
      </c>
      <c r="E466" s="176">
        <f>IFERROR(E426*('Key inputs_EB_MIN'!E$69)/SUM('Key inputs_EB_MIN'!E$69:E$71),0)</f>
        <v>0</v>
      </c>
      <c r="F466" s="176">
        <f>IFERROR(F426*('Key inputs_EB_MIN'!F$69)/SUM('Key inputs_EB_MIN'!F$69:F$71),0)</f>
        <v>0</v>
      </c>
      <c r="G466" s="176">
        <f>IFERROR(G426*('Key inputs_EB_MIN'!G$69)/SUM('Key inputs_EB_MIN'!G$69:G$71),0)</f>
        <v>0</v>
      </c>
      <c r="H466" s="176">
        <f>IFERROR(H426*('Key inputs_EB_MIN'!H$69)/SUM('Key inputs_EB_MIN'!H$69:H$71),0)</f>
        <v>0</v>
      </c>
      <c r="I466" s="176">
        <f>IFERROR(I426*('Key inputs_EB_MIN'!I$69)/SUM('Key inputs_EB_MIN'!I$69:I$71),0)</f>
        <v>0</v>
      </c>
      <c r="J466" s="176">
        <f>IFERROR(J426*('Key inputs_EB_MIN'!J$69)/SUM('Key inputs_EB_MIN'!J$69:J$71),0)</f>
        <v>0</v>
      </c>
      <c r="K466" s="176">
        <f>IFERROR(K426*('Key inputs_EB_MIN'!K$69)/SUM('Key inputs_EB_MIN'!K$69:K$71),0)</f>
        <v>0</v>
      </c>
      <c r="L466" s="176">
        <f>IFERROR(L426*('Key inputs_EB_MIN'!L$69)/SUM('Key inputs_EB_MIN'!L$69:L$71),0)</f>
        <v>0</v>
      </c>
      <c r="M466" s="176">
        <f>IFERROR(M426*('Key inputs_EB_MIN'!M$69)/SUM('Key inputs_EB_MIN'!M$69:M$71),0)</f>
        <v>0</v>
      </c>
      <c r="N466" s="176">
        <f>IFERROR(N426*('Key inputs_EB_MIN'!N$69)/SUM('Key inputs_EB_MIN'!N$69:N$71),0)</f>
        <v>0</v>
      </c>
      <c r="O466" s="176">
        <f>IFERROR(O426*('Key inputs_EB_MIN'!O$69)/SUM('Key inputs_EB_MIN'!O$69:O$71),0)</f>
        <v>0</v>
      </c>
      <c r="P466" s="176">
        <f>IFERROR(P426*('Key inputs_EB_MIN'!P$69)/SUM('Key inputs_EB_MIN'!P$69:P$71),0)</f>
        <v>0</v>
      </c>
      <c r="Q466" s="176">
        <f>IFERROR(Q426*('Key inputs_EB_MIN'!Q$69)/SUM('Key inputs_EB_MIN'!Q$69:Q$71),0)</f>
        <v>0</v>
      </c>
      <c r="R466" s="176">
        <f>IFERROR(R426*('Key inputs_EB_MIN'!R$69)/SUM('Key inputs_EB_MIN'!R$69:R$71),0)</f>
        <v>0</v>
      </c>
      <c r="S466" s="176">
        <f>IFERROR(S426*('Key inputs_EB_MIN'!S$69)/SUM('Key inputs_EB_MIN'!S$69:S$71),0)</f>
        <v>0</v>
      </c>
      <c r="T466" s="176">
        <f>IFERROR(T426*('Key inputs_EB_MIN'!T$69)/SUM('Key inputs_EB_MIN'!T$69:T$71),0)</f>
        <v>0</v>
      </c>
      <c r="U466" s="176">
        <f>IFERROR(U426*('Key inputs_EB_MIN'!U$69)/SUM('Key inputs_EB_MIN'!U$69:U$71),0)</f>
        <v>0</v>
      </c>
      <c r="V466" s="176">
        <f>IFERROR(V426*('Key inputs_EB_MIN'!V$69)/SUM('Key inputs_EB_MIN'!V$69:V$71),0)</f>
        <v>0</v>
      </c>
      <c r="W466" s="176">
        <f>IFERROR(W426*('Key inputs_EB_MIN'!W$69)/SUM('Key inputs_EB_MIN'!W$69:W$71),0)</f>
        <v>0</v>
      </c>
      <c r="X466" s="176">
        <f>IFERROR(X426*('Key inputs_EB_MIN'!X$69)/SUM('Key inputs_EB_MIN'!X$69:X$71),0)</f>
        <v>0</v>
      </c>
      <c r="Y466" s="176">
        <f>IFERROR(Y426*('Key inputs_EB_MIN'!Y$69)/SUM('Key inputs_EB_MIN'!Y$69:Y$71),0)</f>
        <v>0</v>
      </c>
      <c r="Z466" s="176">
        <f>IFERROR(Z426*('Key inputs_EB_MIN'!Z$69)/SUM('Key inputs_EB_MIN'!Z$69:Z$71),0)</f>
        <v>0</v>
      </c>
      <c r="AA466" s="176">
        <f>IFERROR(AA426*('Key inputs_EB_MIN'!AA$69)/SUM('Key inputs_EB_MIN'!AA$69:AA$71),0)</f>
        <v>0</v>
      </c>
      <c r="AB466" s="176">
        <f>IFERROR(AB426*('Key inputs_EB_MIN'!AB$69)/SUM('Key inputs_EB_MIN'!AB$69:AB$71),0)</f>
        <v>0</v>
      </c>
      <c r="AC466" s="176">
        <f>IFERROR(AC426*('Key inputs_EB_MIN'!AC$69)/SUM('Key inputs_EB_MIN'!AC$69:AC$71),0)</f>
        <v>0</v>
      </c>
      <c r="AD466" s="176">
        <f>IFERROR(AD426*('Key inputs_EB_MIN'!AD$69)/SUM('Key inputs_EB_MIN'!AD$69:AD$71),0)</f>
        <v>0</v>
      </c>
      <c r="AE466" s="176">
        <f>IFERROR(AE426*('Key inputs_EB_MIN'!AE$69)/SUM('Key inputs_EB_MIN'!AE$69:AE$71),0)</f>
        <v>0</v>
      </c>
      <c r="AF466" s="287">
        <f>IFERROR(AF426*('Key inputs_EB_MIN'!AF$69)/SUM('Key inputs_EB_MIN'!AF$69:AF$71),0)</f>
        <v>0</v>
      </c>
    </row>
    <row r="467" spans="1:32" s="59" customFormat="1">
      <c r="A467" s="95" t="s">
        <v>728</v>
      </c>
      <c r="B467" s="95" t="s">
        <v>752</v>
      </c>
      <c r="C467" s="71" t="s">
        <v>535</v>
      </c>
      <c r="D467" s="74" t="s">
        <v>387</v>
      </c>
      <c r="E467" s="176">
        <f>IFERROR(E427*('Key inputs_EB_MIN'!E$69)/SUM('Key inputs_EB_MIN'!E$69:E$71),0)</f>
        <v>0</v>
      </c>
      <c r="F467" s="176">
        <f>IFERROR(F427*('Key inputs_EB_MIN'!F$69)/SUM('Key inputs_EB_MIN'!F$69:F$71),0)</f>
        <v>-14928.256122760611</v>
      </c>
      <c r="G467" s="176">
        <f>IFERROR(G427*('Key inputs_EB_MIN'!G$69)/SUM('Key inputs_EB_MIN'!G$69:G$71),0)</f>
        <v>-3114.7872736580102</v>
      </c>
      <c r="H467" s="176">
        <f>IFERROR(H427*('Key inputs_EB_MIN'!H$69)/SUM('Key inputs_EB_MIN'!H$69:H$71),0)</f>
        <v>-40045.378853536728</v>
      </c>
      <c r="I467" s="176">
        <f>IFERROR(I427*('Key inputs_EB_MIN'!I$69)/SUM('Key inputs_EB_MIN'!I$69:I$71),0)</f>
        <v>-527.71129413772655</v>
      </c>
      <c r="J467" s="176">
        <f>IFERROR(J427*('Key inputs_EB_MIN'!J$69)/SUM('Key inputs_EB_MIN'!J$69:J$71),0)</f>
        <v>-6956.6781274157192</v>
      </c>
      <c r="K467" s="176">
        <f>IFERROR(K427*('Key inputs_EB_MIN'!K$69)/SUM('Key inputs_EB_MIN'!K$69:K$71),0)</f>
        <v>0</v>
      </c>
      <c r="L467" s="176">
        <f>IFERROR(L427*('Key inputs_EB_MIN'!L$69)/SUM('Key inputs_EB_MIN'!L$69:L$71),0)</f>
        <v>0</v>
      </c>
      <c r="M467" s="176">
        <f>IFERROR(M427*('Key inputs_EB_MIN'!M$69)/SUM('Key inputs_EB_MIN'!M$69:M$71),0)</f>
        <v>-147815.19862822999</v>
      </c>
      <c r="N467" s="176">
        <f>IFERROR(N427*('Key inputs_EB_MIN'!N$69)/SUM('Key inputs_EB_MIN'!N$69:N$71),0)</f>
        <v>-214232.96713957022</v>
      </c>
      <c r="O467" s="176">
        <f>IFERROR(O427*('Key inputs_EB_MIN'!O$69)/SUM('Key inputs_EB_MIN'!O$69:O$71),0)</f>
        <v>0</v>
      </c>
      <c r="P467" s="176">
        <f>IFERROR(P427*('Key inputs_EB_MIN'!P$69)/SUM('Key inputs_EB_MIN'!P$69:P$71),0)</f>
        <v>-14419.998484188762</v>
      </c>
      <c r="Q467" s="176">
        <f>IFERROR(Q427*('Key inputs_EB_MIN'!Q$69)/SUM('Key inputs_EB_MIN'!Q$69:Q$71),0)</f>
        <v>-427.66779661593387</v>
      </c>
      <c r="R467" s="176">
        <f>IFERROR(R427*('Key inputs_EB_MIN'!R$69)/SUM('Key inputs_EB_MIN'!R$69:R$71),0)</f>
        <v>-53605.789568578235</v>
      </c>
      <c r="S467" s="176">
        <f>IFERROR(S427*('Key inputs_EB_MIN'!S$69)/SUM('Key inputs_EB_MIN'!S$69:S$71),0)</f>
        <v>-303.79994597573835</v>
      </c>
      <c r="T467" s="176">
        <f>IFERROR(T427*('Key inputs_EB_MIN'!T$69)/SUM('Key inputs_EB_MIN'!T$69:T$71),0)</f>
        <v>-451.86087849639205</v>
      </c>
      <c r="U467" s="176">
        <f>IFERROR(U427*('Key inputs_EB_MIN'!U$69)/SUM('Key inputs_EB_MIN'!U$69:U$71),0)</f>
        <v>0</v>
      </c>
      <c r="V467" s="176">
        <f>IFERROR(V427*('Key inputs_EB_MIN'!V$69)/SUM('Key inputs_EB_MIN'!V$69:V$71),0)</f>
        <v>0</v>
      </c>
      <c r="W467" s="176">
        <f>IFERROR(W427*('Key inputs_EB_MIN'!W$69)/SUM('Key inputs_EB_MIN'!W$69:W$71),0)</f>
        <v>0</v>
      </c>
      <c r="X467" s="176">
        <f>IFERROR(X427*('Key inputs_EB_MIN'!X$69)/SUM('Key inputs_EB_MIN'!X$69:X$71),0)</f>
        <v>0</v>
      </c>
      <c r="Y467" s="176">
        <f>IFERROR(Y427*('Key inputs_EB_MIN'!Y$69)/SUM('Key inputs_EB_MIN'!Y$69:Y$71),0)</f>
        <v>-16047.932163112002</v>
      </c>
      <c r="Z467" s="176">
        <f>IFERROR(Z427*('Key inputs_EB_MIN'!Z$69)/SUM('Key inputs_EB_MIN'!Z$69:Z$71),0)</f>
        <v>-172.40749880219047</v>
      </c>
      <c r="AA467" s="176">
        <f>IFERROR(AA427*('Key inputs_EB_MIN'!AA$69)/SUM('Key inputs_EB_MIN'!AA$69:AA$71),0)</f>
        <v>-36576.877146304229</v>
      </c>
      <c r="AB467" s="176">
        <f>IFERROR(AB427*('Key inputs_EB_MIN'!AB$69)/SUM('Key inputs_EB_MIN'!AB$69:AB$71),0)</f>
        <v>0</v>
      </c>
      <c r="AC467" s="176">
        <f>IFERROR(AC427*('Key inputs_EB_MIN'!AC$69)/SUM('Key inputs_EB_MIN'!AC$69:AC$71),0)</f>
        <v>0</v>
      </c>
      <c r="AD467" s="176">
        <f>IFERROR(AD427*('Key inputs_EB_MIN'!AD$69)/SUM('Key inputs_EB_MIN'!AD$69:AD$71),0)</f>
        <v>-60986.69055430391</v>
      </c>
      <c r="AE467" s="176">
        <f>IFERROR(AE427*('Key inputs_EB_MIN'!AE$69)/SUM('Key inputs_EB_MIN'!AE$69:AE$71),0)</f>
        <v>-1511.8490074257531</v>
      </c>
      <c r="AF467" s="287">
        <f>IFERROR(AF427*('Key inputs_EB_MIN'!AF$69)/SUM('Key inputs_EB_MIN'!AF$69:AF$71),0)</f>
        <v>-102226.39832035727</v>
      </c>
    </row>
    <row r="468" spans="1:32" s="59" customFormat="1">
      <c r="A468" s="95" t="s">
        <v>728</v>
      </c>
      <c r="B468" s="95" t="s">
        <v>752</v>
      </c>
      <c r="C468" s="71" t="s">
        <v>537</v>
      </c>
      <c r="D468" s="74" t="s">
        <v>387</v>
      </c>
      <c r="E468" s="176">
        <f>IFERROR(E428*('Key inputs_EB_MIN'!E$69)/SUM('Key inputs_EB_MIN'!E$69:E$71),0)</f>
        <v>0</v>
      </c>
      <c r="F468" s="176">
        <f>IFERROR(F428*('Key inputs_EB_MIN'!F$69)/SUM('Key inputs_EB_MIN'!F$69:F$71),0)</f>
        <v>-1215.8938948876628</v>
      </c>
      <c r="G468" s="366">
        <f>IFERROR(G428*('Key inputs_EB_MIN'!G$69)/SUM('Key inputs_EB_MIN'!G$69:G$71),0)</f>
        <v>-415.55354856100195</v>
      </c>
      <c r="H468" s="176">
        <f>IFERROR(H428*('Key inputs_EB_MIN'!H$69)/SUM('Key inputs_EB_MIN'!H$69:H$71),0)</f>
        <v>-294.41016187778791</v>
      </c>
      <c r="I468" s="176">
        <f>IFERROR(I428*('Key inputs_EB_MIN'!I$69)/SUM('Key inputs_EB_MIN'!I$69:I$71),0)</f>
        <v>-2767.2660964745528</v>
      </c>
      <c r="J468" s="176">
        <f>IFERROR(J428*('Key inputs_EB_MIN'!J$69)/SUM('Key inputs_EB_MIN'!J$69:J$71),0)</f>
        <v>-20066.430422849386</v>
      </c>
      <c r="K468" s="176">
        <f>IFERROR(K428*('Key inputs_EB_MIN'!K$69)/SUM('Key inputs_EB_MIN'!K$69:K$71),0)</f>
        <v>-53.85709854064676</v>
      </c>
      <c r="L468" s="176">
        <f>IFERROR(L428*('Key inputs_EB_MIN'!L$69)/SUM('Key inputs_EB_MIN'!L$69:L$71),0)</f>
        <v>0</v>
      </c>
      <c r="M468" s="176">
        <f>IFERROR(M428*('Key inputs_EB_MIN'!M$69)/SUM('Key inputs_EB_MIN'!M$69:M$71),0)</f>
        <v>-35144.650639723266</v>
      </c>
      <c r="N468" s="176">
        <f>IFERROR(N428*('Key inputs_EB_MIN'!N$69)/SUM('Key inputs_EB_MIN'!N$69:N$71),0)</f>
        <v>-48465.675347832243</v>
      </c>
      <c r="O468" s="176">
        <f>IFERROR(O428*('Key inputs_EB_MIN'!O$69)/SUM('Key inputs_EB_MIN'!O$69:O$71),0)</f>
        <v>0</v>
      </c>
      <c r="P468" s="176">
        <f>IFERROR(P428*('Key inputs_EB_MIN'!P$69)/SUM('Key inputs_EB_MIN'!P$69:P$71),0)</f>
        <v>-84134.936947378126</v>
      </c>
      <c r="Q468" s="176">
        <f>IFERROR(Q428*('Key inputs_EB_MIN'!Q$69)/SUM('Key inputs_EB_MIN'!Q$69:Q$71),0)</f>
        <v>-702.61968132893958</v>
      </c>
      <c r="R468" s="176">
        <f>IFERROR(R428*('Key inputs_EB_MIN'!R$69)/SUM('Key inputs_EB_MIN'!R$69:R$71),0)</f>
        <v>-12724.676957928077</v>
      </c>
      <c r="S468" s="176">
        <f>IFERROR(S428*('Key inputs_EB_MIN'!S$69)/SUM('Key inputs_EB_MIN'!S$69:S$71),0)</f>
        <v>-2001.7427031462855</v>
      </c>
      <c r="T468" s="176">
        <f>IFERROR(T428*('Key inputs_EB_MIN'!T$69)/SUM('Key inputs_EB_MIN'!T$69:T$71),0)</f>
        <v>-1511.9368527557222</v>
      </c>
      <c r="U468" s="176">
        <f>IFERROR(U428*('Key inputs_EB_MIN'!U$69)/SUM('Key inputs_EB_MIN'!U$69:U$71),0)</f>
        <v>-1998.4171938917709</v>
      </c>
      <c r="V468" s="176">
        <f>IFERROR(V428*('Key inputs_EB_MIN'!V$69)/SUM('Key inputs_EB_MIN'!V$69:V$71),0)</f>
        <v>0</v>
      </c>
      <c r="W468" s="176">
        <f>IFERROR(W428*('Key inputs_EB_MIN'!W$69)/SUM('Key inputs_EB_MIN'!W$69:W$71),0)</f>
        <v>0</v>
      </c>
      <c r="X468" s="176">
        <f>IFERROR(X428*('Key inputs_EB_MIN'!X$69)/SUM('Key inputs_EB_MIN'!X$69:X$71),0)</f>
        <v>0</v>
      </c>
      <c r="Y468" s="176">
        <f>IFERROR(Y428*('Key inputs_EB_MIN'!Y$69)/SUM('Key inputs_EB_MIN'!Y$69:Y$71),0)</f>
        <v>-8825.5635982427284</v>
      </c>
      <c r="Z468" s="176">
        <f>IFERROR(Z428*('Key inputs_EB_MIN'!Z$69)/SUM('Key inputs_EB_MIN'!Z$69:Z$71),0)</f>
        <v>-640.01571095762029</v>
      </c>
      <c r="AA468" s="176">
        <f>IFERROR(AA428*('Key inputs_EB_MIN'!AA$69)/SUM('Key inputs_EB_MIN'!AA$69:AA$71),0)</f>
        <v>0</v>
      </c>
      <c r="AB468" s="176">
        <f>IFERROR(AB428*('Key inputs_EB_MIN'!AB$69)/SUM('Key inputs_EB_MIN'!AB$69:AB$71),0)</f>
        <v>-5826.0120084372284</v>
      </c>
      <c r="AC468" s="176">
        <f>IFERROR(AC428*('Key inputs_EB_MIN'!AC$69)/SUM('Key inputs_EB_MIN'!AC$69:AC$71),0)</f>
        <v>0</v>
      </c>
      <c r="AD468" s="176">
        <f>IFERROR(AD428*('Key inputs_EB_MIN'!AD$69)/SUM('Key inputs_EB_MIN'!AD$69:AD$71),0)</f>
        <v>-163873.11482105017</v>
      </c>
      <c r="AE468" s="176">
        <f>IFERROR(AE428*('Key inputs_EB_MIN'!AE$69)/SUM('Key inputs_EB_MIN'!AE$69:AE$71),0)</f>
        <v>0</v>
      </c>
      <c r="AF468" s="287">
        <f>IFERROR(AF428*('Key inputs_EB_MIN'!AF$69)/SUM('Key inputs_EB_MIN'!AF$69:AF$71),0)</f>
        <v>-59724.796677941769</v>
      </c>
    </row>
    <row r="469" spans="1:32" s="59" customFormat="1">
      <c r="A469" s="95" t="s">
        <v>728</v>
      </c>
      <c r="B469" s="95" t="s">
        <v>752</v>
      </c>
      <c r="C469" s="71" t="s">
        <v>541</v>
      </c>
      <c r="D469" s="74" t="s">
        <v>387</v>
      </c>
      <c r="E469" s="176">
        <f>IFERROR(E429*('Key inputs_EB_MIN'!E$69)/SUM('Key inputs_EB_MIN'!E$69:E$71),0)</f>
        <v>0</v>
      </c>
      <c r="F469" s="176">
        <f>IFERROR(F429*('Key inputs_EB_MIN'!F$69)/SUM('Key inputs_EB_MIN'!F$69:F$71),0)</f>
        <v>-113830.46029254745</v>
      </c>
      <c r="G469" s="176">
        <f>IFERROR(G429*('Key inputs_EB_MIN'!G$69)/SUM('Key inputs_EB_MIN'!G$69:G$71),0)</f>
        <v>0</v>
      </c>
      <c r="H469" s="176">
        <f>IFERROR(H429*('Key inputs_EB_MIN'!H$69)/SUM('Key inputs_EB_MIN'!H$69:H$71),0)</f>
        <v>-2849.7778971774092</v>
      </c>
      <c r="I469" s="176">
        <f>IFERROR(I429*('Key inputs_EB_MIN'!I$69)/SUM('Key inputs_EB_MIN'!I$69:I$71),0)</f>
        <v>-5890.6101381264116</v>
      </c>
      <c r="J469" s="176">
        <f>IFERROR(J429*('Key inputs_EB_MIN'!J$69)/SUM('Key inputs_EB_MIN'!J$69:J$71),0)</f>
        <v>-66360.092726043906</v>
      </c>
      <c r="K469" s="176">
        <f>IFERROR(K429*('Key inputs_EB_MIN'!K$69)/SUM('Key inputs_EB_MIN'!K$69:K$71),0)</f>
        <v>-73950.987430204026</v>
      </c>
      <c r="L469" s="176">
        <f>IFERROR(L429*('Key inputs_EB_MIN'!L$69)/SUM('Key inputs_EB_MIN'!L$69:L$71),0)</f>
        <v>-1240.0816779772188</v>
      </c>
      <c r="M469" s="176">
        <f>IFERROR(M429*('Key inputs_EB_MIN'!M$69)/SUM('Key inputs_EB_MIN'!M$69:M$71),0)</f>
        <v>-143263.93357534497</v>
      </c>
      <c r="N469" s="176">
        <f>IFERROR(N429*('Key inputs_EB_MIN'!N$69)/SUM('Key inputs_EB_MIN'!N$69:N$71),0)</f>
        <v>-862572.70802961884</v>
      </c>
      <c r="O469" s="176">
        <f>IFERROR(O429*('Key inputs_EB_MIN'!O$69)/SUM('Key inputs_EB_MIN'!O$69:O$71),0)</f>
        <v>0</v>
      </c>
      <c r="P469" s="176">
        <f>IFERROR(P429*('Key inputs_EB_MIN'!P$69)/SUM('Key inputs_EB_MIN'!P$69:P$71),0)</f>
        <v>-261006.43104697709</v>
      </c>
      <c r="Q469" s="176">
        <f>IFERROR(Q429*('Key inputs_EB_MIN'!Q$69)/SUM('Key inputs_EB_MIN'!Q$69:Q$71),0)</f>
        <v>-6135.7627518670051</v>
      </c>
      <c r="R469" s="176">
        <f>IFERROR(R429*('Key inputs_EB_MIN'!R$69)/SUM('Key inputs_EB_MIN'!R$69:R$71),0)</f>
        <v>-154035.7025849341</v>
      </c>
      <c r="S469" s="176">
        <f>IFERROR(S429*('Key inputs_EB_MIN'!S$69)/SUM('Key inputs_EB_MIN'!S$69:S$71),0)</f>
        <v>-7659.0871209184288</v>
      </c>
      <c r="T469" s="176">
        <f>IFERROR(T429*('Key inputs_EB_MIN'!T$69)/SUM('Key inputs_EB_MIN'!T$69:T$71),0)</f>
        <v>-7819.6267444272071</v>
      </c>
      <c r="U469" s="176">
        <f>IFERROR(U429*('Key inputs_EB_MIN'!U$69)/SUM('Key inputs_EB_MIN'!U$69:U$71),0)</f>
        <v>-10666.586250492766</v>
      </c>
      <c r="V469" s="176">
        <f>IFERROR(V429*('Key inputs_EB_MIN'!V$69)/SUM('Key inputs_EB_MIN'!V$69:V$71),0)</f>
        <v>-89436.389570302519</v>
      </c>
      <c r="W469" s="176">
        <f>IFERROR(W429*('Key inputs_EB_MIN'!W$69)/SUM('Key inputs_EB_MIN'!W$69:W$71),0)</f>
        <v>-13369.73930556999</v>
      </c>
      <c r="X469" s="176">
        <f>IFERROR(X429*('Key inputs_EB_MIN'!X$69)/SUM('Key inputs_EB_MIN'!X$69:X$71),0)</f>
        <v>-192.28689546543822</v>
      </c>
      <c r="Y469" s="176">
        <f>IFERROR(Y429*('Key inputs_EB_MIN'!Y$69)/SUM('Key inputs_EB_MIN'!Y$69:Y$71),0)</f>
        <v>-220922.70500900637</v>
      </c>
      <c r="Z469" s="176">
        <f>IFERROR(Z429*('Key inputs_EB_MIN'!Z$69)/SUM('Key inputs_EB_MIN'!Z$69:Z$71),0)</f>
        <v>-486.38903341179554</v>
      </c>
      <c r="AA469" s="176">
        <f>IFERROR(AA429*('Key inputs_EB_MIN'!AA$69)/SUM('Key inputs_EB_MIN'!AA$69:AA$71),0)</f>
        <v>-622237.27166222828</v>
      </c>
      <c r="AB469" s="176">
        <f>IFERROR(AB429*('Key inputs_EB_MIN'!AB$69)/SUM('Key inputs_EB_MIN'!AB$69:AB$71),0)</f>
        <v>-332563.63647317525</v>
      </c>
      <c r="AC469" s="176">
        <f>IFERROR(AC429*('Key inputs_EB_MIN'!AC$69)/SUM('Key inputs_EB_MIN'!AC$69:AC$71),0)</f>
        <v>-102212.81875788697</v>
      </c>
      <c r="AD469" s="176">
        <f>IFERROR(AD429*('Key inputs_EB_MIN'!AD$69)/SUM('Key inputs_EB_MIN'!AD$69:AD$71),0)</f>
        <v>-199759.01926935589</v>
      </c>
      <c r="AE469" s="176">
        <f>IFERROR(AE429*('Key inputs_EB_MIN'!AE$69)/SUM('Key inputs_EB_MIN'!AE$69:AE$71),0)</f>
        <v>0</v>
      </c>
      <c r="AF469" s="287">
        <f>IFERROR(AF429*('Key inputs_EB_MIN'!AF$69)/SUM('Key inputs_EB_MIN'!AF$69:AF$71),0)</f>
        <v>-615580.29242234316</v>
      </c>
    </row>
    <row r="470" spans="1:32" s="59" customFormat="1">
      <c r="A470" s="95" t="s">
        <v>728</v>
      </c>
      <c r="B470" s="95" t="s">
        <v>752</v>
      </c>
      <c r="C470" s="71" t="s">
        <v>543</v>
      </c>
      <c r="D470" s="74" t="s">
        <v>387</v>
      </c>
      <c r="E470" s="176">
        <f>IFERROR(E430*('Key inputs_EB_MIN'!E$69)/SUM('Key inputs_EB_MIN'!E$69:E$71),0)</f>
        <v>0</v>
      </c>
      <c r="F470" s="176">
        <f>IFERROR(F430*('Key inputs_EB_MIN'!F$69)/SUM('Key inputs_EB_MIN'!F$69:F$71),0)</f>
        <v>0</v>
      </c>
      <c r="G470" s="176">
        <f>IFERROR(G430*('Key inputs_EB_MIN'!G$69)/SUM('Key inputs_EB_MIN'!G$69:G$71),0)</f>
        <v>0</v>
      </c>
      <c r="H470" s="176">
        <f>IFERROR(H430*('Key inputs_EB_MIN'!H$69)/SUM('Key inputs_EB_MIN'!H$69:H$71),0)</f>
        <v>0</v>
      </c>
      <c r="I470" s="176">
        <f>IFERROR(I430*('Key inputs_EB_MIN'!I$69)/SUM('Key inputs_EB_MIN'!I$69:I$71),0)</f>
        <v>-3.545818467487747E-2</v>
      </c>
      <c r="J470" s="176">
        <f>IFERROR(J430*('Key inputs_EB_MIN'!J$69)/SUM('Key inputs_EB_MIN'!J$69:J$71),0)</f>
        <v>0</v>
      </c>
      <c r="K470" s="176">
        <f>IFERROR(K430*('Key inputs_EB_MIN'!K$69)/SUM('Key inputs_EB_MIN'!K$69:K$71),0)</f>
        <v>0</v>
      </c>
      <c r="L470" s="176">
        <f>IFERROR(L430*('Key inputs_EB_MIN'!L$69)/SUM('Key inputs_EB_MIN'!L$69:L$71),0)</f>
        <v>0</v>
      </c>
      <c r="M470" s="176">
        <f>IFERROR(M430*('Key inputs_EB_MIN'!M$69)/SUM('Key inputs_EB_MIN'!M$69:M$71),0)</f>
        <v>0</v>
      </c>
      <c r="N470" s="176">
        <f>IFERROR(N430*('Key inputs_EB_MIN'!N$69)/SUM('Key inputs_EB_MIN'!N$69:N$71),0)</f>
        <v>0</v>
      </c>
      <c r="O470" s="176">
        <f>IFERROR(O430*('Key inputs_EB_MIN'!O$69)/SUM('Key inputs_EB_MIN'!O$69:O$71),0)</f>
        <v>0</v>
      </c>
      <c r="P470" s="176">
        <f>IFERROR(P430*('Key inputs_EB_MIN'!P$69)/SUM('Key inputs_EB_MIN'!P$69:P$71),0)</f>
        <v>-2514.2915091020577</v>
      </c>
      <c r="Q470" s="176">
        <f>IFERROR(Q430*('Key inputs_EB_MIN'!Q$69)/SUM('Key inputs_EB_MIN'!Q$69:Q$71),0)</f>
        <v>0</v>
      </c>
      <c r="R470" s="176">
        <f>IFERROR(R430*('Key inputs_EB_MIN'!R$69)/SUM('Key inputs_EB_MIN'!R$69:R$71),0)</f>
        <v>0</v>
      </c>
      <c r="S470" s="176">
        <f>IFERROR(S430*('Key inputs_EB_MIN'!S$69)/SUM('Key inputs_EB_MIN'!S$69:S$71),0)</f>
        <v>-3.5529491891206817</v>
      </c>
      <c r="T470" s="176">
        <f>IFERROR(T430*('Key inputs_EB_MIN'!T$69)/SUM('Key inputs_EB_MIN'!T$69:T$71),0)</f>
        <v>0</v>
      </c>
      <c r="U470" s="176">
        <f>IFERROR(U430*('Key inputs_EB_MIN'!U$69)/SUM('Key inputs_EB_MIN'!U$69:U$71),0)</f>
        <v>0</v>
      </c>
      <c r="V470" s="176">
        <f>IFERROR(V430*('Key inputs_EB_MIN'!V$69)/SUM('Key inputs_EB_MIN'!V$69:V$71),0)</f>
        <v>0</v>
      </c>
      <c r="W470" s="176">
        <f>IFERROR(W430*('Key inputs_EB_MIN'!W$69)/SUM('Key inputs_EB_MIN'!W$69:W$71),0)</f>
        <v>0</v>
      </c>
      <c r="X470" s="176">
        <f>IFERROR(X430*('Key inputs_EB_MIN'!X$69)/SUM('Key inputs_EB_MIN'!X$69:X$71),0)</f>
        <v>0</v>
      </c>
      <c r="Y470" s="176">
        <f>IFERROR(Y430*('Key inputs_EB_MIN'!Y$69)/SUM('Key inputs_EB_MIN'!Y$69:Y$71),0)</f>
        <v>0</v>
      </c>
      <c r="Z470" s="176">
        <f>IFERROR(Z430*('Key inputs_EB_MIN'!Z$69)/SUM('Key inputs_EB_MIN'!Z$69:Z$71),0)</f>
        <v>0</v>
      </c>
      <c r="AA470" s="176">
        <f>IFERROR(AA430*('Key inputs_EB_MIN'!AA$69)/SUM('Key inputs_EB_MIN'!AA$69:AA$71),0)</f>
        <v>0</v>
      </c>
      <c r="AB470" s="176">
        <f>IFERROR(AB430*('Key inputs_EB_MIN'!AB$69)/SUM('Key inputs_EB_MIN'!AB$69:AB$71),0)</f>
        <v>0</v>
      </c>
      <c r="AC470" s="176">
        <f>IFERROR(AC430*('Key inputs_EB_MIN'!AC$69)/SUM('Key inputs_EB_MIN'!AC$69:AC$71),0)</f>
        <v>0</v>
      </c>
      <c r="AD470" s="176">
        <f>IFERROR(AD430*('Key inputs_EB_MIN'!AD$69)/SUM('Key inputs_EB_MIN'!AD$69:AD$71),0)</f>
        <v>0</v>
      </c>
      <c r="AE470" s="176">
        <f>IFERROR(AE430*('Key inputs_EB_MIN'!AE$69)/SUM('Key inputs_EB_MIN'!AE$69:AE$71),0)</f>
        <v>0</v>
      </c>
      <c r="AF470" s="287">
        <f>IFERROR(AF430*('Key inputs_EB_MIN'!AF$69)/SUM('Key inputs_EB_MIN'!AF$69:AF$71),0)</f>
        <v>-33751.870141804029</v>
      </c>
    </row>
    <row r="471" spans="1:32" s="59" customFormat="1">
      <c r="A471" s="95" t="s">
        <v>728</v>
      </c>
      <c r="B471" s="95" t="s">
        <v>752</v>
      </c>
      <c r="C471" s="71" t="s">
        <v>545</v>
      </c>
      <c r="D471" s="74" t="s">
        <v>387</v>
      </c>
      <c r="E471" s="176">
        <f>IFERROR(E431*('Key inputs_EB_MIN'!E$69)/SUM('Key inputs_EB_MIN'!E$69:E$71),0)</f>
        <v>0</v>
      </c>
      <c r="F471" s="176">
        <f>IFERROR(F431*('Key inputs_EB_MIN'!F$69)/SUM('Key inputs_EB_MIN'!F$69:F$71),0)</f>
        <v>0</v>
      </c>
      <c r="G471" s="176">
        <f>IFERROR(G431*('Key inputs_EB_MIN'!G$69)/SUM('Key inputs_EB_MIN'!G$69:G$71),0)</f>
        <v>0</v>
      </c>
      <c r="H471" s="176">
        <f>IFERROR(H431*('Key inputs_EB_MIN'!H$69)/SUM('Key inputs_EB_MIN'!H$69:H$71),0)</f>
        <v>0</v>
      </c>
      <c r="I471" s="176">
        <f>IFERROR(I431*('Key inputs_EB_MIN'!I$69)/SUM('Key inputs_EB_MIN'!I$69:I$71),0)</f>
        <v>0</v>
      </c>
      <c r="J471" s="176">
        <f>IFERROR(J431*('Key inputs_EB_MIN'!J$69)/SUM('Key inputs_EB_MIN'!J$69:J$71),0)</f>
        <v>-12227.820958175895</v>
      </c>
      <c r="K471" s="176">
        <f>IFERROR(K431*('Key inputs_EB_MIN'!K$69)/SUM('Key inputs_EB_MIN'!K$69:K$71),0)</f>
        <v>0</v>
      </c>
      <c r="L471" s="176">
        <f>IFERROR(L431*('Key inputs_EB_MIN'!L$69)/SUM('Key inputs_EB_MIN'!L$69:L$71),0)</f>
        <v>0</v>
      </c>
      <c r="M471" s="176">
        <f>IFERROR(M431*('Key inputs_EB_MIN'!M$69)/SUM('Key inputs_EB_MIN'!M$69:M$71),0)</f>
        <v>0</v>
      </c>
      <c r="N471" s="176">
        <f>IFERROR(N431*('Key inputs_EB_MIN'!N$69)/SUM('Key inputs_EB_MIN'!N$69:N$71),0)</f>
        <v>0</v>
      </c>
      <c r="O471" s="176">
        <f>IFERROR(O431*('Key inputs_EB_MIN'!O$69)/SUM('Key inputs_EB_MIN'!O$69:O$71),0)</f>
        <v>0</v>
      </c>
      <c r="P471" s="176">
        <f>IFERROR(P431*('Key inputs_EB_MIN'!P$69)/SUM('Key inputs_EB_MIN'!P$69:P$71),0)</f>
        <v>-15525.007668550945</v>
      </c>
      <c r="Q471" s="176">
        <f>IFERROR(Q431*('Key inputs_EB_MIN'!Q$69)/SUM('Key inputs_EB_MIN'!Q$69:Q$71),0)</f>
        <v>-702.98528180411142</v>
      </c>
      <c r="R471" s="176">
        <f>IFERROR(R431*('Key inputs_EB_MIN'!R$69)/SUM('Key inputs_EB_MIN'!R$69:R$71),0)</f>
        <v>0</v>
      </c>
      <c r="S471" s="176">
        <f>IFERROR(S431*('Key inputs_EB_MIN'!S$69)/SUM('Key inputs_EB_MIN'!S$69:S$71),0)</f>
        <v>-0.32851308137443724</v>
      </c>
      <c r="T471" s="176">
        <f>IFERROR(T431*('Key inputs_EB_MIN'!T$69)/SUM('Key inputs_EB_MIN'!T$69:T$71),0)</f>
        <v>-23.681708633772516</v>
      </c>
      <c r="U471" s="176">
        <f>IFERROR(U431*('Key inputs_EB_MIN'!U$69)/SUM('Key inputs_EB_MIN'!U$69:U$71),0)</f>
        <v>-6.4815878030201359</v>
      </c>
      <c r="V471" s="176">
        <f>IFERROR(V431*('Key inputs_EB_MIN'!V$69)/SUM('Key inputs_EB_MIN'!V$69:V$71),0)</f>
        <v>0</v>
      </c>
      <c r="W471" s="176">
        <f>IFERROR(W431*('Key inputs_EB_MIN'!W$69)/SUM('Key inputs_EB_MIN'!W$69:W$71),0)</f>
        <v>0</v>
      </c>
      <c r="X471" s="176">
        <f>IFERROR(X431*('Key inputs_EB_MIN'!X$69)/SUM('Key inputs_EB_MIN'!X$69:X$71),0)</f>
        <v>0</v>
      </c>
      <c r="Y471" s="176">
        <f>IFERROR(Y431*('Key inputs_EB_MIN'!Y$69)/SUM('Key inputs_EB_MIN'!Y$69:Y$71),0)</f>
        <v>0</v>
      </c>
      <c r="Z471" s="176">
        <f>IFERROR(Z431*('Key inputs_EB_MIN'!Z$69)/SUM('Key inputs_EB_MIN'!Z$69:Z$71),0)</f>
        <v>0</v>
      </c>
      <c r="AA471" s="176">
        <f>IFERROR(AA431*('Key inputs_EB_MIN'!AA$69)/SUM('Key inputs_EB_MIN'!AA$69:AA$71),0)</f>
        <v>0</v>
      </c>
      <c r="AB471" s="176">
        <f>IFERROR(AB431*('Key inputs_EB_MIN'!AB$69)/SUM('Key inputs_EB_MIN'!AB$69:AB$71),0)</f>
        <v>0</v>
      </c>
      <c r="AC471" s="176">
        <f>IFERROR(AC431*('Key inputs_EB_MIN'!AC$69)/SUM('Key inputs_EB_MIN'!AC$69:AC$71),0)</f>
        <v>0</v>
      </c>
      <c r="AD471" s="176">
        <f>IFERROR(AD431*('Key inputs_EB_MIN'!AD$69)/SUM('Key inputs_EB_MIN'!AD$69:AD$71),0)</f>
        <v>-46854.592106506054</v>
      </c>
      <c r="AE471" s="176">
        <f>IFERROR(AE431*('Key inputs_EB_MIN'!AE$69)/SUM('Key inputs_EB_MIN'!AE$69:AE$71),0)</f>
        <v>0</v>
      </c>
      <c r="AF471" s="287">
        <f>IFERROR(AF431*('Key inputs_EB_MIN'!AF$69)/SUM('Key inputs_EB_MIN'!AF$69:AF$71),0)</f>
        <v>0</v>
      </c>
    </row>
    <row r="472" spans="1:32" s="59" customFormat="1">
      <c r="A472" s="95" t="s">
        <v>728</v>
      </c>
      <c r="B472" s="95" t="s">
        <v>752</v>
      </c>
      <c r="C472" s="71" t="s">
        <v>548</v>
      </c>
      <c r="D472" s="74" t="s">
        <v>387</v>
      </c>
      <c r="E472" s="176">
        <f>IFERROR(E432*('Key inputs_EB_MIN'!E$69)/SUM('Key inputs_EB_MIN'!E$69:E$71),0)</f>
        <v>0</v>
      </c>
      <c r="F472" s="176">
        <f>IFERROR(F432*('Key inputs_EB_MIN'!F$69)/SUM('Key inputs_EB_MIN'!F$69:F$71),0)</f>
        <v>0</v>
      </c>
      <c r="G472" s="176">
        <f>IFERROR(G432*('Key inputs_EB_MIN'!G$69)/SUM('Key inputs_EB_MIN'!G$69:G$71),0)</f>
        <v>0</v>
      </c>
      <c r="H472" s="176">
        <f>IFERROR(H432*('Key inputs_EB_MIN'!H$69)/SUM('Key inputs_EB_MIN'!H$69:H$71),0)</f>
        <v>0</v>
      </c>
      <c r="I472" s="176">
        <f>IFERROR(I432*('Key inputs_EB_MIN'!I$69)/SUM('Key inputs_EB_MIN'!I$69:I$71),0)</f>
        <v>0</v>
      </c>
      <c r="J472" s="176">
        <f>IFERROR(J432*('Key inputs_EB_MIN'!J$69)/SUM('Key inputs_EB_MIN'!J$69:J$71),0)</f>
        <v>0</v>
      </c>
      <c r="K472" s="176">
        <f>IFERROR(K432*('Key inputs_EB_MIN'!K$69)/SUM('Key inputs_EB_MIN'!K$69:K$71),0)</f>
        <v>0</v>
      </c>
      <c r="L472" s="176">
        <f>IFERROR(L432*('Key inputs_EB_MIN'!L$69)/SUM('Key inputs_EB_MIN'!L$69:L$71),0)</f>
        <v>0</v>
      </c>
      <c r="M472" s="176">
        <f>IFERROR(M432*('Key inputs_EB_MIN'!M$69)/SUM('Key inputs_EB_MIN'!M$69:M$71),0)</f>
        <v>0</v>
      </c>
      <c r="N472" s="176">
        <f>IFERROR(N432*('Key inputs_EB_MIN'!N$69)/SUM('Key inputs_EB_MIN'!N$69:N$71),0)</f>
        <v>0</v>
      </c>
      <c r="O472" s="176">
        <f>IFERROR(O432*('Key inputs_EB_MIN'!O$69)/SUM('Key inputs_EB_MIN'!O$69:O$71),0)</f>
        <v>0</v>
      </c>
      <c r="P472" s="176">
        <f>IFERROR(P432*('Key inputs_EB_MIN'!P$69)/SUM('Key inputs_EB_MIN'!P$69:P$71),0)</f>
        <v>-283.83313690867112</v>
      </c>
      <c r="Q472" s="176">
        <f>IFERROR(Q432*('Key inputs_EB_MIN'!Q$69)/SUM('Key inputs_EB_MIN'!Q$69:Q$71),0)</f>
        <v>0</v>
      </c>
      <c r="R472" s="176">
        <f>IFERROR(R432*('Key inputs_EB_MIN'!R$69)/SUM('Key inputs_EB_MIN'!R$69:R$71),0)</f>
        <v>-390.88367574920312</v>
      </c>
      <c r="S472" s="176">
        <f>IFERROR(S432*('Key inputs_EB_MIN'!S$69)/SUM('Key inputs_EB_MIN'!S$69:S$71),0)</f>
        <v>0</v>
      </c>
      <c r="T472" s="176">
        <f>IFERROR(T432*('Key inputs_EB_MIN'!T$69)/SUM('Key inputs_EB_MIN'!T$69:T$71),0)</f>
        <v>0</v>
      </c>
      <c r="U472" s="176">
        <f>IFERROR(U432*('Key inputs_EB_MIN'!U$69)/SUM('Key inputs_EB_MIN'!U$69:U$71),0)</f>
        <v>0</v>
      </c>
      <c r="V472" s="176">
        <f>IFERROR(V432*('Key inputs_EB_MIN'!V$69)/SUM('Key inputs_EB_MIN'!V$69:V$71),0)</f>
        <v>0</v>
      </c>
      <c r="W472" s="176">
        <f>IFERROR(W432*('Key inputs_EB_MIN'!W$69)/SUM('Key inputs_EB_MIN'!W$69:W$71),0)</f>
        <v>0</v>
      </c>
      <c r="X472" s="176">
        <f>IFERROR(X432*('Key inputs_EB_MIN'!X$69)/SUM('Key inputs_EB_MIN'!X$69:X$71),0)</f>
        <v>0</v>
      </c>
      <c r="Y472" s="176">
        <f>IFERROR(Y432*('Key inputs_EB_MIN'!Y$69)/SUM('Key inputs_EB_MIN'!Y$69:Y$71),0)</f>
        <v>-2082.5644882003462</v>
      </c>
      <c r="Z472" s="176">
        <f>IFERROR(Z432*('Key inputs_EB_MIN'!Z$69)/SUM('Key inputs_EB_MIN'!Z$69:Z$71),0)</f>
        <v>0</v>
      </c>
      <c r="AA472" s="176">
        <f>IFERROR(AA432*('Key inputs_EB_MIN'!AA$69)/SUM('Key inputs_EB_MIN'!AA$69:AA$71),0)</f>
        <v>0</v>
      </c>
      <c r="AB472" s="176">
        <f>IFERROR(AB432*('Key inputs_EB_MIN'!AB$69)/SUM('Key inputs_EB_MIN'!AB$69:AB$71),0)</f>
        <v>0</v>
      </c>
      <c r="AC472" s="176">
        <f>IFERROR(AC432*('Key inputs_EB_MIN'!AC$69)/SUM('Key inputs_EB_MIN'!AC$69:AC$71),0)</f>
        <v>0</v>
      </c>
      <c r="AD472" s="176">
        <f>IFERROR(AD432*('Key inputs_EB_MIN'!AD$69)/SUM('Key inputs_EB_MIN'!AD$69:AD$71),0)</f>
        <v>0</v>
      </c>
      <c r="AE472" s="176">
        <f>IFERROR(AE432*('Key inputs_EB_MIN'!AE$69)/SUM('Key inputs_EB_MIN'!AE$69:AE$71),0)</f>
        <v>-3344.642318912609</v>
      </c>
      <c r="AF472" s="287">
        <f>IFERROR(AF432*('Key inputs_EB_MIN'!AF$69)/SUM('Key inputs_EB_MIN'!AF$69:AF$71),0)</f>
        <v>-1983.7988682453392</v>
      </c>
    </row>
    <row r="473" spans="1:32" s="59" customFormat="1">
      <c r="A473" s="95" t="s">
        <v>728</v>
      </c>
      <c r="B473" s="95" t="s">
        <v>752</v>
      </c>
      <c r="C473" s="71" t="s">
        <v>550</v>
      </c>
      <c r="D473" s="74" t="s">
        <v>387</v>
      </c>
      <c r="E473" s="176">
        <f>IFERROR(E433*('Key inputs_EB_MIN'!E$69)/SUM('Key inputs_EB_MIN'!E$69:E$71),0)</f>
        <v>0</v>
      </c>
      <c r="F473" s="176">
        <f>IFERROR(F433*('Key inputs_EB_MIN'!F$69)/SUM('Key inputs_EB_MIN'!F$69:F$71),0)</f>
        <v>0</v>
      </c>
      <c r="G473" s="176">
        <f>IFERROR(G433*('Key inputs_EB_MIN'!G$69)/SUM('Key inputs_EB_MIN'!G$69:G$71),0)</f>
        <v>0</v>
      </c>
      <c r="H473" s="176">
        <f>IFERROR(H433*('Key inputs_EB_MIN'!H$69)/SUM('Key inputs_EB_MIN'!H$69:H$71),0)</f>
        <v>0</v>
      </c>
      <c r="I473" s="176">
        <f>IFERROR(I433*('Key inputs_EB_MIN'!I$69)/SUM('Key inputs_EB_MIN'!I$69:I$71),0)</f>
        <v>0</v>
      </c>
      <c r="J473" s="176">
        <f>IFERROR(J433*('Key inputs_EB_MIN'!J$69)/SUM('Key inputs_EB_MIN'!J$69:J$71),0)</f>
        <v>0</v>
      </c>
      <c r="K473" s="176">
        <f>IFERROR(K433*('Key inputs_EB_MIN'!K$69)/SUM('Key inputs_EB_MIN'!K$69:K$71),0)</f>
        <v>0</v>
      </c>
      <c r="L473" s="176">
        <f>IFERROR(L433*('Key inputs_EB_MIN'!L$69)/SUM('Key inputs_EB_MIN'!L$69:L$71),0)</f>
        <v>0</v>
      </c>
      <c r="M473" s="176">
        <f>IFERROR(M433*('Key inputs_EB_MIN'!M$69)/SUM('Key inputs_EB_MIN'!M$69:M$71),0)</f>
        <v>0</v>
      </c>
      <c r="N473" s="176">
        <f>IFERROR(N433*('Key inputs_EB_MIN'!N$69)/SUM('Key inputs_EB_MIN'!N$69:N$71),0)</f>
        <v>-582.93489619657817</v>
      </c>
      <c r="O473" s="176">
        <f>IFERROR(O433*('Key inputs_EB_MIN'!O$69)/SUM('Key inputs_EB_MIN'!O$69:O$71),0)</f>
        <v>0</v>
      </c>
      <c r="P473" s="176">
        <f>IFERROR(P433*('Key inputs_EB_MIN'!P$69)/SUM('Key inputs_EB_MIN'!P$69:P$71),0)</f>
        <v>0</v>
      </c>
      <c r="Q473" s="176">
        <f>IFERROR(Q433*('Key inputs_EB_MIN'!Q$69)/SUM('Key inputs_EB_MIN'!Q$69:Q$71),0)</f>
        <v>0</v>
      </c>
      <c r="R473" s="176">
        <f>IFERROR(R433*('Key inputs_EB_MIN'!R$69)/SUM('Key inputs_EB_MIN'!R$69:R$71),0)</f>
        <v>0</v>
      </c>
      <c r="S473" s="176">
        <f>IFERROR(S433*('Key inputs_EB_MIN'!S$69)/SUM('Key inputs_EB_MIN'!S$69:S$71),0)</f>
        <v>0</v>
      </c>
      <c r="T473" s="176">
        <f>IFERROR(T433*('Key inputs_EB_MIN'!T$69)/SUM('Key inputs_EB_MIN'!T$69:T$71),0)</f>
        <v>0</v>
      </c>
      <c r="U473" s="176">
        <f>IFERROR(U433*('Key inputs_EB_MIN'!U$69)/SUM('Key inputs_EB_MIN'!U$69:U$71),0)</f>
        <v>0</v>
      </c>
      <c r="V473" s="176">
        <f>IFERROR(V433*('Key inputs_EB_MIN'!V$69)/SUM('Key inputs_EB_MIN'!V$69:V$71),0)</f>
        <v>0</v>
      </c>
      <c r="W473" s="176">
        <f>IFERROR(W433*('Key inputs_EB_MIN'!W$69)/SUM('Key inputs_EB_MIN'!W$69:W$71),0)</f>
        <v>0</v>
      </c>
      <c r="X473" s="176">
        <f>IFERROR(X433*('Key inputs_EB_MIN'!X$69)/SUM('Key inputs_EB_MIN'!X$69:X$71),0)</f>
        <v>0</v>
      </c>
      <c r="Y473" s="176">
        <f>IFERROR(Y433*('Key inputs_EB_MIN'!Y$69)/SUM('Key inputs_EB_MIN'!Y$69:Y$71),0)</f>
        <v>0</v>
      </c>
      <c r="Z473" s="176">
        <f>IFERROR(Z433*('Key inputs_EB_MIN'!Z$69)/SUM('Key inputs_EB_MIN'!Z$69:Z$71),0)</f>
        <v>0</v>
      </c>
      <c r="AA473" s="176">
        <f>IFERROR(AA433*('Key inputs_EB_MIN'!AA$69)/SUM('Key inputs_EB_MIN'!AA$69:AA$71),0)</f>
        <v>0</v>
      </c>
      <c r="AB473" s="176">
        <f>IFERROR(AB433*('Key inputs_EB_MIN'!AB$69)/SUM('Key inputs_EB_MIN'!AB$69:AB$71),0)</f>
        <v>0</v>
      </c>
      <c r="AC473" s="176">
        <f>IFERROR(AC433*('Key inputs_EB_MIN'!AC$69)/SUM('Key inputs_EB_MIN'!AC$69:AC$71),0)</f>
        <v>0</v>
      </c>
      <c r="AD473" s="176">
        <f>IFERROR(AD433*('Key inputs_EB_MIN'!AD$69)/SUM('Key inputs_EB_MIN'!AD$69:AD$71),0)</f>
        <v>0</v>
      </c>
      <c r="AE473" s="176">
        <f>IFERROR(AE433*('Key inputs_EB_MIN'!AE$69)/SUM('Key inputs_EB_MIN'!AE$69:AE$71),0)</f>
        <v>-196.61659469463294</v>
      </c>
      <c r="AF473" s="287">
        <f>IFERROR(AF433*('Key inputs_EB_MIN'!AF$69)/SUM('Key inputs_EB_MIN'!AF$69:AF$71),0)</f>
        <v>0</v>
      </c>
    </row>
    <row r="474" spans="1:32" s="59" customFormat="1">
      <c r="A474" s="95" t="s">
        <v>728</v>
      </c>
      <c r="B474" s="95" t="s">
        <v>752</v>
      </c>
      <c r="C474" s="71" t="s">
        <v>552</v>
      </c>
      <c r="D474" s="74" t="s">
        <v>387</v>
      </c>
      <c r="E474" s="176">
        <f>IFERROR(E434*('Key inputs_EB_MIN'!E$69)/SUM('Key inputs_EB_MIN'!E$69:E$71),0)</f>
        <v>0</v>
      </c>
      <c r="F474" s="176">
        <f>IFERROR(F434*('Key inputs_EB_MIN'!F$69)/SUM('Key inputs_EB_MIN'!F$69:F$71),0)</f>
        <v>0</v>
      </c>
      <c r="G474" s="176">
        <f>IFERROR(G434*('Key inputs_EB_MIN'!G$69)/SUM('Key inputs_EB_MIN'!G$69:G$71),0)</f>
        <v>0</v>
      </c>
      <c r="H474" s="176">
        <f>IFERROR(H434*('Key inputs_EB_MIN'!H$69)/SUM('Key inputs_EB_MIN'!H$69:H$71),0)</f>
        <v>0</v>
      </c>
      <c r="I474" s="176">
        <f>IFERROR(I434*('Key inputs_EB_MIN'!I$69)/SUM('Key inputs_EB_MIN'!I$69:I$71),0)</f>
        <v>-28.498514521305701</v>
      </c>
      <c r="J474" s="176">
        <f>IFERROR(J434*('Key inputs_EB_MIN'!J$69)/SUM('Key inputs_EB_MIN'!J$69:J$71),0)</f>
        <v>-615.72593085096491</v>
      </c>
      <c r="K474" s="176">
        <f>IFERROR(K434*('Key inputs_EB_MIN'!K$69)/SUM('Key inputs_EB_MIN'!K$69:K$71),0)</f>
        <v>-2594.4105176619491</v>
      </c>
      <c r="L474" s="176">
        <f>IFERROR(L434*('Key inputs_EB_MIN'!L$69)/SUM('Key inputs_EB_MIN'!L$69:L$71),0)</f>
        <v>0</v>
      </c>
      <c r="M474" s="176">
        <f>IFERROR(M434*('Key inputs_EB_MIN'!M$69)/SUM('Key inputs_EB_MIN'!M$69:M$71),0)</f>
        <v>0</v>
      </c>
      <c r="N474" s="176">
        <f>IFERROR(N434*('Key inputs_EB_MIN'!N$69)/SUM('Key inputs_EB_MIN'!N$69:N$71),0)</f>
        <v>-6225.9486635941521</v>
      </c>
      <c r="O474" s="176">
        <f>IFERROR(O434*('Key inputs_EB_MIN'!O$69)/SUM('Key inputs_EB_MIN'!O$69:O$71),0)</f>
        <v>-156.96933774382248</v>
      </c>
      <c r="P474" s="176">
        <f>IFERROR(P434*('Key inputs_EB_MIN'!P$69)/SUM('Key inputs_EB_MIN'!P$69:P$71),0)</f>
        <v>-49.480192758275443</v>
      </c>
      <c r="Q474" s="176">
        <f>IFERROR(Q434*('Key inputs_EB_MIN'!Q$69)/SUM('Key inputs_EB_MIN'!Q$69:Q$71),0)</f>
        <v>-114.65713452694625</v>
      </c>
      <c r="R474" s="176">
        <f>IFERROR(R434*('Key inputs_EB_MIN'!R$69)/SUM('Key inputs_EB_MIN'!R$69:R$71),0)</f>
        <v>-4.7816938976104026</v>
      </c>
      <c r="S474" s="176">
        <f>IFERROR(S434*('Key inputs_EB_MIN'!S$69)/SUM('Key inputs_EB_MIN'!S$69:S$71),0)</f>
        <v>0</v>
      </c>
      <c r="T474" s="176">
        <f>IFERROR(T434*('Key inputs_EB_MIN'!T$69)/SUM('Key inputs_EB_MIN'!T$69:T$71),0)</f>
        <v>0</v>
      </c>
      <c r="U474" s="176">
        <f>IFERROR(U434*('Key inputs_EB_MIN'!U$69)/SUM('Key inputs_EB_MIN'!U$69:U$71),0)</f>
        <v>0</v>
      </c>
      <c r="V474" s="176">
        <f>IFERROR(V434*('Key inputs_EB_MIN'!V$69)/SUM('Key inputs_EB_MIN'!V$69:V$71),0)</f>
        <v>-4.245164102559337</v>
      </c>
      <c r="W474" s="176">
        <f>IFERROR(W434*('Key inputs_EB_MIN'!W$69)/SUM('Key inputs_EB_MIN'!W$69:W$71),0)</f>
        <v>0</v>
      </c>
      <c r="X474" s="176">
        <f>IFERROR(X434*('Key inputs_EB_MIN'!X$69)/SUM('Key inputs_EB_MIN'!X$69:X$71),0)</f>
        <v>0</v>
      </c>
      <c r="Y474" s="176">
        <f>IFERROR(Y434*('Key inputs_EB_MIN'!Y$69)/SUM('Key inputs_EB_MIN'!Y$69:Y$71),0)</f>
        <v>0</v>
      </c>
      <c r="Z474" s="176">
        <f>IFERROR(Z434*('Key inputs_EB_MIN'!Z$69)/SUM('Key inputs_EB_MIN'!Z$69:Z$71),0)</f>
        <v>0</v>
      </c>
      <c r="AA474" s="176">
        <f>IFERROR(AA434*('Key inputs_EB_MIN'!AA$69)/SUM('Key inputs_EB_MIN'!AA$69:AA$71),0)</f>
        <v>-22114.223862928277</v>
      </c>
      <c r="AB474" s="176">
        <f>IFERROR(AB434*('Key inputs_EB_MIN'!AB$69)/SUM('Key inputs_EB_MIN'!AB$69:AB$71),0)</f>
        <v>0</v>
      </c>
      <c r="AC474" s="176">
        <f>IFERROR(AC434*('Key inputs_EB_MIN'!AC$69)/SUM('Key inputs_EB_MIN'!AC$69:AC$71),0)</f>
        <v>0</v>
      </c>
      <c r="AD474" s="176">
        <f>IFERROR(AD434*('Key inputs_EB_MIN'!AD$69)/SUM('Key inputs_EB_MIN'!AD$69:AD$71),0)</f>
        <v>-497.38065771704913</v>
      </c>
      <c r="AE474" s="176">
        <f>IFERROR(AE434*('Key inputs_EB_MIN'!AE$69)/SUM('Key inputs_EB_MIN'!AE$69:AE$71),0)</f>
        <v>-27690.014705253052</v>
      </c>
      <c r="AF474" s="287">
        <f>IFERROR(AF434*('Key inputs_EB_MIN'!AF$69)/SUM('Key inputs_EB_MIN'!AF$69:AF$71),0)</f>
        <v>0</v>
      </c>
    </row>
    <row r="475" spans="1:32" s="59" customFormat="1">
      <c r="A475" s="95" t="s">
        <v>728</v>
      </c>
      <c r="B475" s="95" t="s">
        <v>752</v>
      </c>
      <c r="C475" s="71" t="s">
        <v>554</v>
      </c>
      <c r="D475" s="74" t="s">
        <v>387</v>
      </c>
      <c r="E475" s="176">
        <f>IFERROR(E435*('Key inputs_EB_MIN'!E$69)/SUM('Key inputs_EB_MIN'!E$69:E$71),0)</f>
        <v>0</v>
      </c>
      <c r="F475" s="176">
        <f>IFERROR(F435*('Key inputs_EB_MIN'!F$69)/SUM('Key inputs_EB_MIN'!F$69:F$71),0)</f>
        <v>0</v>
      </c>
      <c r="G475" s="176">
        <f>IFERROR(G435*('Key inputs_EB_MIN'!G$69)/SUM('Key inputs_EB_MIN'!G$69:G$71),0)</f>
        <v>0</v>
      </c>
      <c r="H475" s="176">
        <f>IFERROR(H435*('Key inputs_EB_MIN'!H$69)/SUM('Key inputs_EB_MIN'!H$69:H$71),0)</f>
        <v>0</v>
      </c>
      <c r="I475" s="176">
        <f>IFERROR(I435*('Key inputs_EB_MIN'!I$69)/SUM('Key inputs_EB_MIN'!I$69:I$71),0)</f>
        <v>0</v>
      </c>
      <c r="J475" s="176">
        <f>IFERROR(J435*('Key inputs_EB_MIN'!J$69)/SUM('Key inputs_EB_MIN'!J$69:J$71),0)</f>
        <v>0</v>
      </c>
      <c r="K475" s="176">
        <f>IFERROR(K435*('Key inputs_EB_MIN'!K$69)/SUM('Key inputs_EB_MIN'!K$69:K$71),0)</f>
        <v>0</v>
      </c>
      <c r="L475" s="176">
        <f>IFERROR(L435*('Key inputs_EB_MIN'!L$69)/SUM('Key inputs_EB_MIN'!L$69:L$71),0)</f>
        <v>0</v>
      </c>
      <c r="M475" s="176">
        <f>IFERROR(M435*('Key inputs_EB_MIN'!M$69)/SUM('Key inputs_EB_MIN'!M$69:M$71),0)</f>
        <v>0</v>
      </c>
      <c r="N475" s="176">
        <f>IFERROR(N435*('Key inputs_EB_MIN'!N$69)/SUM('Key inputs_EB_MIN'!N$69:N$71),0)</f>
        <v>0</v>
      </c>
      <c r="O475" s="176">
        <f>IFERROR(O435*('Key inputs_EB_MIN'!O$69)/SUM('Key inputs_EB_MIN'!O$69:O$71),0)</f>
        <v>0</v>
      </c>
      <c r="P475" s="176">
        <f>IFERROR(P435*('Key inputs_EB_MIN'!P$69)/SUM('Key inputs_EB_MIN'!P$69:P$71),0)</f>
        <v>-24988.335624028205</v>
      </c>
      <c r="Q475" s="176">
        <f>IFERROR(Q435*('Key inputs_EB_MIN'!Q$69)/SUM('Key inputs_EB_MIN'!Q$69:Q$71),0)</f>
        <v>0</v>
      </c>
      <c r="R475" s="176">
        <f>IFERROR(R435*('Key inputs_EB_MIN'!R$69)/SUM('Key inputs_EB_MIN'!R$69:R$71),0)</f>
        <v>0</v>
      </c>
      <c r="S475" s="176">
        <f>IFERROR(S435*('Key inputs_EB_MIN'!S$69)/SUM('Key inputs_EB_MIN'!S$69:S$71),0)</f>
        <v>0</v>
      </c>
      <c r="T475" s="176">
        <f>IFERROR(T435*('Key inputs_EB_MIN'!T$69)/SUM('Key inputs_EB_MIN'!T$69:T$71),0)</f>
        <v>0</v>
      </c>
      <c r="U475" s="176">
        <f>IFERROR(U435*('Key inputs_EB_MIN'!U$69)/SUM('Key inputs_EB_MIN'!U$69:U$71),0)</f>
        <v>0</v>
      </c>
      <c r="V475" s="176">
        <f>IFERROR(V435*('Key inputs_EB_MIN'!V$69)/SUM('Key inputs_EB_MIN'!V$69:V$71),0)</f>
        <v>0</v>
      </c>
      <c r="W475" s="176">
        <f>IFERROR(W435*('Key inputs_EB_MIN'!W$69)/SUM('Key inputs_EB_MIN'!W$69:W$71),0)</f>
        <v>0</v>
      </c>
      <c r="X475" s="176">
        <f>IFERROR(X435*('Key inputs_EB_MIN'!X$69)/SUM('Key inputs_EB_MIN'!X$69:X$71),0)</f>
        <v>0</v>
      </c>
      <c r="Y475" s="176">
        <f>IFERROR(Y435*('Key inputs_EB_MIN'!Y$69)/SUM('Key inputs_EB_MIN'!Y$69:Y$71),0)</f>
        <v>0</v>
      </c>
      <c r="Z475" s="176">
        <f>IFERROR(Z435*('Key inputs_EB_MIN'!Z$69)/SUM('Key inputs_EB_MIN'!Z$69:Z$71),0)</f>
        <v>0</v>
      </c>
      <c r="AA475" s="176">
        <f>IFERROR(AA435*('Key inputs_EB_MIN'!AA$69)/SUM('Key inputs_EB_MIN'!AA$69:AA$71),0)</f>
        <v>0</v>
      </c>
      <c r="AB475" s="176">
        <f>IFERROR(AB435*('Key inputs_EB_MIN'!AB$69)/SUM('Key inputs_EB_MIN'!AB$69:AB$71),0)</f>
        <v>0</v>
      </c>
      <c r="AC475" s="176">
        <f>IFERROR(AC435*('Key inputs_EB_MIN'!AC$69)/SUM('Key inputs_EB_MIN'!AC$69:AC$71),0)</f>
        <v>0</v>
      </c>
      <c r="AD475" s="176">
        <f>IFERROR(AD435*('Key inputs_EB_MIN'!AD$69)/SUM('Key inputs_EB_MIN'!AD$69:AD$71),0)</f>
        <v>0</v>
      </c>
      <c r="AE475" s="176">
        <f>IFERROR(AE435*('Key inputs_EB_MIN'!AE$69)/SUM('Key inputs_EB_MIN'!AE$69:AE$71),0)</f>
        <v>0</v>
      </c>
      <c r="AF475" s="287">
        <f>IFERROR(AF435*('Key inputs_EB_MIN'!AF$69)/SUM('Key inputs_EB_MIN'!AF$69:AF$71),0)</f>
        <v>0</v>
      </c>
    </row>
    <row r="476" spans="1:32" s="59" customFormat="1">
      <c r="A476" s="95" t="s">
        <v>728</v>
      </c>
      <c r="B476" s="95" t="s">
        <v>752</v>
      </c>
      <c r="C476" s="71" t="s">
        <v>556</v>
      </c>
      <c r="D476" s="74" t="s">
        <v>387</v>
      </c>
      <c r="E476" s="176">
        <f>IFERROR(E436*('Key inputs_EB_MIN'!E$69)/SUM('Key inputs_EB_MIN'!E$69:E$71),0)</f>
        <v>-3249.6813013599717</v>
      </c>
      <c r="F476" s="176">
        <f>IFERROR(F436*('Key inputs_EB_MIN'!F$69)/SUM('Key inputs_EB_MIN'!F$69:F$71),0)</f>
        <v>-547.61116697339526</v>
      </c>
      <c r="G476" s="176">
        <f>IFERROR(G436*('Key inputs_EB_MIN'!G$69)/SUM('Key inputs_EB_MIN'!G$69:G$71),0)</f>
        <v>-3296.1331002151296</v>
      </c>
      <c r="H476" s="176">
        <f>IFERROR(H436*('Key inputs_EB_MIN'!H$69)/SUM('Key inputs_EB_MIN'!H$69:H$71),0)</f>
        <v>0</v>
      </c>
      <c r="I476" s="176">
        <f>IFERROR(I436*('Key inputs_EB_MIN'!I$69)/SUM('Key inputs_EB_MIN'!I$69:I$71),0)</f>
        <v>-93.767199473564872</v>
      </c>
      <c r="J476" s="176">
        <f>IFERROR(J436*('Key inputs_EB_MIN'!J$69)/SUM('Key inputs_EB_MIN'!J$69:J$71),0)</f>
        <v>-20645.665487682905</v>
      </c>
      <c r="K476" s="176">
        <f>IFERROR(K436*('Key inputs_EB_MIN'!K$69)/SUM('Key inputs_EB_MIN'!K$69:K$71),0)</f>
        <v>0</v>
      </c>
      <c r="L476" s="176">
        <f>IFERROR(L436*('Key inputs_EB_MIN'!L$69)/SUM('Key inputs_EB_MIN'!L$69:L$71),0)</f>
        <v>0</v>
      </c>
      <c r="M476" s="176">
        <f>IFERROR(M436*('Key inputs_EB_MIN'!M$69)/SUM('Key inputs_EB_MIN'!M$69:M$71),0)</f>
        <v>0</v>
      </c>
      <c r="N476" s="176">
        <f>IFERROR(N436*('Key inputs_EB_MIN'!N$69)/SUM('Key inputs_EB_MIN'!N$69:N$71),0)</f>
        <v>0</v>
      </c>
      <c r="O476" s="176">
        <f>IFERROR(O436*('Key inputs_EB_MIN'!O$69)/SUM('Key inputs_EB_MIN'!O$69:O$71),0)</f>
        <v>0</v>
      </c>
      <c r="P476" s="176">
        <f>IFERROR(P436*('Key inputs_EB_MIN'!P$69)/SUM('Key inputs_EB_MIN'!P$69:P$71),0)</f>
        <v>-62802.204690158593</v>
      </c>
      <c r="Q476" s="176">
        <f>IFERROR(Q436*('Key inputs_EB_MIN'!Q$69)/SUM('Key inputs_EB_MIN'!Q$69:Q$71),0)</f>
        <v>-28.785548793265779</v>
      </c>
      <c r="R476" s="176">
        <f>IFERROR(R436*('Key inputs_EB_MIN'!R$69)/SUM('Key inputs_EB_MIN'!R$69:R$71),0)</f>
        <v>0</v>
      </c>
      <c r="S476" s="176">
        <f>IFERROR(S436*('Key inputs_EB_MIN'!S$69)/SUM('Key inputs_EB_MIN'!S$69:S$71),0)</f>
        <v>-24.865089947832598</v>
      </c>
      <c r="T476" s="176">
        <f>IFERROR(T436*('Key inputs_EB_MIN'!T$69)/SUM('Key inputs_EB_MIN'!T$69:T$71),0)</f>
        <v>0</v>
      </c>
      <c r="U476" s="176">
        <f>IFERROR(U436*('Key inputs_EB_MIN'!U$69)/SUM('Key inputs_EB_MIN'!U$69:U$71),0)</f>
        <v>0</v>
      </c>
      <c r="V476" s="176">
        <f>IFERROR(V436*('Key inputs_EB_MIN'!V$69)/SUM('Key inputs_EB_MIN'!V$69:V$71),0)</f>
        <v>-4289.1612539309644</v>
      </c>
      <c r="W476" s="176">
        <f>IFERROR(W436*('Key inputs_EB_MIN'!W$69)/SUM('Key inputs_EB_MIN'!W$69:W$71),0)</f>
        <v>0</v>
      </c>
      <c r="X476" s="176">
        <f>IFERROR(X436*('Key inputs_EB_MIN'!X$69)/SUM('Key inputs_EB_MIN'!X$69:X$71),0)</f>
        <v>0</v>
      </c>
      <c r="Y476" s="176">
        <f>IFERROR(Y436*('Key inputs_EB_MIN'!Y$69)/SUM('Key inputs_EB_MIN'!Y$69:Y$71),0)</f>
        <v>-2370.4206688378567</v>
      </c>
      <c r="Z476" s="176">
        <f>IFERROR(Z436*('Key inputs_EB_MIN'!Z$69)/SUM('Key inputs_EB_MIN'!Z$69:Z$71),0)</f>
        <v>0</v>
      </c>
      <c r="AA476" s="176">
        <f>IFERROR(AA436*('Key inputs_EB_MIN'!AA$69)/SUM('Key inputs_EB_MIN'!AA$69:AA$71),0)</f>
        <v>-82114.568302877859</v>
      </c>
      <c r="AB476" s="176">
        <f>IFERROR(AB436*('Key inputs_EB_MIN'!AB$69)/SUM('Key inputs_EB_MIN'!AB$69:AB$71),0)</f>
        <v>0</v>
      </c>
      <c r="AC476" s="176">
        <f>IFERROR(AC436*('Key inputs_EB_MIN'!AC$69)/SUM('Key inputs_EB_MIN'!AC$69:AC$71),0)</f>
        <v>0</v>
      </c>
      <c r="AD476" s="176">
        <f>IFERROR(AD436*('Key inputs_EB_MIN'!AD$69)/SUM('Key inputs_EB_MIN'!AD$69:AD$71),0)</f>
        <v>-1715.1633279613011</v>
      </c>
      <c r="AE476" s="176">
        <f>IFERROR(AE436*('Key inputs_EB_MIN'!AE$69)/SUM('Key inputs_EB_MIN'!AE$69:AE$71),0)</f>
        <v>0</v>
      </c>
      <c r="AF476" s="287">
        <f>IFERROR(AF436*('Key inputs_EB_MIN'!AF$69)/SUM('Key inputs_EB_MIN'!AF$69:AF$71),0)</f>
        <v>0</v>
      </c>
    </row>
    <row r="477" spans="1:32" s="59" customFormat="1">
      <c r="A477" s="95" t="s">
        <v>728</v>
      </c>
      <c r="B477" s="95" t="s">
        <v>752</v>
      </c>
      <c r="C477" s="71" t="s">
        <v>558</v>
      </c>
      <c r="D477" s="74" t="s">
        <v>387</v>
      </c>
      <c r="E477" s="176">
        <f>IFERROR(E437*('Key inputs_EB_MIN'!E$69)/SUM('Key inputs_EB_MIN'!E$69:E$71),0)</f>
        <v>0</v>
      </c>
      <c r="F477" s="176">
        <f>IFERROR(F437*('Key inputs_EB_MIN'!F$69)/SUM('Key inputs_EB_MIN'!F$69:F$71),0)</f>
        <v>0</v>
      </c>
      <c r="G477" s="176">
        <f>IFERROR(G437*('Key inputs_EB_MIN'!G$69)/SUM('Key inputs_EB_MIN'!G$69:G$71),0)</f>
        <v>0</v>
      </c>
      <c r="H477" s="176">
        <f>IFERROR(H437*('Key inputs_EB_MIN'!H$69)/SUM('Key inputs_EB_MIN'!H$69:H$71),0)</f>
        <v>0</v>
      </c>
      <c r="I477" s="176">
        <f>IFERROR(I437*('Key inputs_EB_MIN'!I$69)/SUM('Key inputs_EB_MIN'!I$69:I$71),0)</f>
        <v>-29.775630977561764</v>
      </c>
      <c r="J477" s="176">
        <f>IFERROR(J437*('Key inputs_EB_MIN'!J$69)/SUM('Key inputs_EB_MIN'!J$69:J$71),0)</f>
        <v>0</v>
      </c>
      <c r="K477" s="176">
        <f>IFERROR(K437*('Key inputs_EB_MIN'!K$69)/SUM('Key inputs_EB_MIN'!K$69:K$71),0)</f>
        <v>0</v>
      </c>
      <c r="L477" s="176">
        <f>IFERROR(L437*('Key inputs_EB_MIN'!L$69)/SUM('Key inputs_EB_MIN'!L$69:L$71),0)</f>
        <v>0</v>
      </c>
      <c r="M477" s="176">
        <f>IFERROR(M437*('Key inputs_EB_MIN'!M$69)/SUM('Key inputs_EB_MIN'!M$69:M$71),0)</f>
        <v>0</v>
      </c>
      <c r="N477" s="176">
        <f>IFERROR(N437*('Key inputs_EB_MIN'!N$69)/SUM('Key inputs_EB_MIN'!N$69:N$71),0)</f>
        <v>-106104.74058417157</v>
      </c>
      <c r="O477" s="176">
        <f>IFERROR(O437*('Key inputs_EB_MIN'!O$69)/SUM('Key inputs_EB_MIN'!O$69:O$71),0)</f>
        <v>0</v>
      </c>
      <c r="P477" s="176">
        <f>IFERROR(P437*('Key inputs_EB_MIN'!P$69)/SUM('Key inputs_EB_MIN'!P$69:P$71),0)</f>
        <v>-6806.4897281865951</v>
      </c>
      <c r="Q477" s="176">
        <f>IFERROR(Q437*('Key inputs_EB_MIN'!Q$69)/SUM('Key inputs_EB_MIN'!Q$69:Q$71),0)</f>
        <v>-0.88374653043659757</v>
      </c>
      <c r="R477" s="176">
        <f>IFERROR(R437*('Key inputs_EB_MIN'!R$69)/SUM('Key inputs_EB_MIN'!R$69:R$71),0)</f>
        <v>0</v>
      </c>
      <c r="S477" s="176">
        <f>IFERROR(S437*('Key inputs_EB_MIN'!S$69)/SUM('Key inputs_EB_MIN'!S$69:S$71),0)</f>
        <v>-10.479817690147515</v>
      </c>
      <c r="T477" s="176">
        <f>IFERROR(T437*('Key inputs_EB_MIN'!T$69)/SUM('Key inputs_EB_MIN'!T$69:T$71),0)</f>
        <v>0</v>
      </c>
      <c r="U477" s="176">
        <f>IFERROR(U437*('Key inputs_EB_MIN'!U$69)/SUM('Key inputs_EB_MIN'!U$69:U$71),0)</f>
        <v>0</v>
      </c>
      <c r="V477" s="176">
        <f>IFERROR(V437*('Key inputs_EB_MIN'!V$69)/SUM('Key inputs_EB_MIN'!V$69:V$71),0)</f>
        <v>0</v>
      </c>
      <c r="W477" s="176">
        <f>IFERROR(W437*('Key inputs_EB_MIN'!W$69)/SUM('Key inputs_EB_MIN'!W$69:W$71),0)</f>
        <v>0</v>
      </c>
      <c r="X477" s="176">
        <f>IFERROR(X437*('Key inputs_EB_MIN'!X$69)/SUM('Key inputs_EB_MIN'!X$69:X$71),0)</f>
        <v>0</v>
      </c>
      <c r="Y477" s="176">
        <f>IFERROR(Y437*('Key inputs_EB_MIN'!Y$69)/SUM('Key inputs_EB_MIN'!Y$69:Y$71),0)</f>
        <v>0</v>
      </c>
      <c r="Z477" s="176">
        <f>IFERROR(Z437*('Key inputs_EB_MIN'!Z$69)/SUM('Key inputs_EB_MIN'!Z$69:Z$71),0)</f>
        <v>0</v>
      </c>
      <c r="AA477" s="176">
        <f>IFERROR(AA437*('Key inputs_EB_MIN'!AA$69)/SUM('Key inputs_EB_MIN'!AA$69:AA$71),0)</f>
        <v>0</v>
      </c>
      <c r="AB477" s="176">
        <f>IFERROR(AB437*('Key inputs_EB_MIN'!AB$69)/SUM('Key inputs_EB_MIN'!AB$69:AB$71),0)</f>
        <v>0</v>
      </c>
      <c r="AC477" s="176">
        <f>IFERROR(AC437*('Key inputs_EB_MIN'!AC$69)/SUM('Key inputs_EB_MIN'!AC$69:AC$71),0)</f>
        <v>0</v>
      </c>
      <c r="AD477" s="176">
        <f>IFERROR(AD437*('Key inputs_EB_MIN'!AD$69)/SUM('Key inputs_EB_MIN'!AD$69:AD$71),0)</f>
        <v>0</v>
      </c>
      <c r="AE477" s="176">
        <f>IFERROR(AE437*('Key inputs_EB_MIN'!AE$69)/SUM('Key inputs_EB_MIN'!AE$69:AE$71),0)</f>
        <v>-104.07425459125817</v>
      </c>
      <c r="AF477" s="287">
        <f>IFERROR(AF437*('Key inputs_EB_MIN'!AF$69)/SUM('Key inputs_EB_MIN'!AF$69:AF$71),0)</f>
        <v>0</v>
      </c>
    </row>
    <row r="478" spans="1:32" s="59" customFormat="1">
      <c r="A478" s="97" t="s">
        <v>728</v>
      </c>
      <c r="B478" s="76" t="s">
        <v>752</v>
      </c>
      <c r="C478" s="76" t="s">
        <v>560</v>
      </c>
      <c r="D478" s="77" t="s">
        <v>387</v>
      </c>
      <c r="E478" s="288">
        <f>IFERROR(E438*('Key inputs_EB_MIN'!E$69)/SUM('Key inputs_EB_MIN'!E$69:E$71),0)</f>
        <v>0</v>
      </c>
      <c r="F478" s="289">
        <f>IFERROR(F438*('Key inputs_EB_MIN'!F$69)/SUM('Key inputs_EB_MIN'!F$69:F$71),0)</f>
        <v>0</v>
      </c>
      <c r="G478" s="289">
        <f>IFERROR(G438*('Key inputs_EB_MIN'!G$69)/SUM('Key inputs_EB_MIN'!G$69:G$71),0)</f>
        <v>0</v>
      </c>
      <c r="H478" s="289">
        <f>IFERROR(H438*('Key inputs_EB_MIN'!H$69)/SUM('Key inputs_EB_MIN'!H$69:H$71),0)</f>
        <v>0</v>
      </c>
      <c r="I478" s="289">
        <f>IFERROR(I438*('Key inputs_EB_MIN'!I$69)/SUM('Key inputs_EB_MIN'!I$69:I$71),0)</f>
        <v>0</v>
      </c>
      <c r="J478" s="289">
        <f>IFERROR(J438*('Key inputs_EB_MIN'!J$69)/SUM('Key inputs_EB_MIN'!J$69:J$71),0)</f>
        <v>0</v>
      </c>
      <c r="K478" s="289">
        <f>IFERROR(K438*('Key inputs_EB_MIN'!K$69)/SUM('Key inputs_EB_MIN'!K$69:K$71),0)</f>
        <v>0</v>
      </c>
      <c r="L478" s="289">
        <f>IFERROR(L438*('Key inputs_EB_MIN'!L$69)/SUM('Key inputs_EB_MIN'!L$69:L$71),0)</f>
        <v>0</v>
      </c>
      <c r="M478" s="289">
        <f>IFERROR(M438*('Key inputs_EB_MIN'!M$69)/SUM('Key inputs_EB_MIN'!M$69:M$71),0)</f>
        <v>0</v>
      </c>
      <c r="N478" s="289">
        <f>IFERROR(N438*('Key inputs_EB_MIN'!N$69)/SUM('Key inputs_EB_MIN'!N$69:N$71),0)</f>
        <v>0</v>
      </c>
      <c r="O478" s="289">
        <f>IFERROR(O438*('Key inputs_EB_MIN'!O$69)/SUM('Key inputs_EB_MIN'!O$69:O$71),0)</f>
        <v>0</v>
      </c>
      <c r="P478" s="289">
        <f>IFERROR(P438*('Key inputs_EB_MIN'!P$69)/SUM('Key inputs_EB_MIN'!P$69:P$71),0)</f>
        <v>0</v>
      </c>
      <c r="Q478" s="289">
        <f>IFERROR(Q438*('Key inputs_EB_MIN'!Q$69)/SUM('Key inputs_EB_MIN'!Q$69:Q$71),0)</f>
        <v>0</v>
      </c>
      <c r="R478" s="289">
        <f>IFERROR(R438*('Key inputs_EB_MIN'!R$69)/SUM('Key inputs_EB_MIN'!R$69:R$71),0)</f>
        <v>0</v>
      </c>
      <c r="S478" s="289">
        <f>IFERROR(S438*('Key inputs_EB_MIN'!S$69)/SUM('Key inputs_EB_MIN'!S$69:S$71),0)</f>
        <v>0</v>
      </c>
      <c r="T478" s="289">
        <f>IFERROR(T438*('Key inputs_EB_MIN'!T$69)/SUM('Key inputs_EB_MIN'!T$69:T$71),0)</f>
        <v>0</v>
      </c>
      <c r="U478" s="289">
        <f>IFERROR(U438*('Key inputs_EB_MIN'!U$69)/SUM('Key inputs_EB_MIN'!U$69:U$71),0)</f>
        <v>0</v>
      </c>
      <c r="V478" s="289">
        <f>IFERROR(V438*('Key inputs_EB_MIN'!V$69)/SUM('Key inputs_EB_MIN'!V$69:V$71),0)</f>
        <v>0</v>
      </c>
      <c r="W478" s="289">
        <f>IFERROR(W438*('Key inputs_EB_MIN'!W$69)/SUM('Key inputs_EB_MIN'!W$69:W$71),0)</f>
        <v>0</v>
      </c>
      <c r="X478" s="289">
        <f>IFERROR(X438*('Key inputs_EB_MIN'!X$69)/SUM('Key inputs_EB_MIN'!X$69:X$71),0)</f>
        <v>0</v>
      </c>
      <c r="Y478" s="289">
        <f>IFERROR(Y438*('Key inputs_EB_MIN'!Y$69)/SUM('Key inputs_EB_MIN'!Y$69:Y$71),0)</f>
        <v>0</v>
      </c>
      <c r="Z478" s="289">
        <f>IFERROR(Z438*('Key inputs_EB_MIN'!Z$69)/SUM('Key inputs_EB_MIN'!Z$69:Z$71),0)</f>
        <v>0</v>
      </c>
      <c r="AA478" s="289">
        <f>IFERROR(AA438*('Key inputs_EB_MIN'!AA$69)/SUM('Key inputs_EB_MIN'!AA$69:AA$71),0)</f>
        <v>0</v>
      </c>
      <c r="AB478" s="289">
        <f>IFERROR(AB438*('Key inputs_EB_MIN'!AB$69)/SUM('Key inputs_EB_MIN'!AB$69:AB$71),0)</f>
        <v>0</v>
      </c>
      <c r="AC478" s="289">
        <f>IFERROR(AC438*('Key inputs_EB_MIN'!AC$69)/SUM('Key inputs_EB_MIN'!AC$69:AC$71),0)</f>
        <v>0</v>
      </c>
      <c r="AD478" s="289">
        <f>IFERROR(AD438*('Key inputs_EB_MIN'!AD$69)/SUM('Key inputs_EB_MIN'!AD$69:AD$71),0)</f>
        <v>0</v>
      </c>
      <c r="AE478" s="289">
        <f>IFERROR(AE438*('Key inputs_EB_MIN'!AE$69)/SUM('Key inputs_EB_MIN'!AE$69:AE$71),0)</f>
        <v>0</v>
      </c>
      <c r="AF478" s="290">
        <f>IFERROR(AF438*('Key inputs_EB_MIN'!AF$69)/SUM('Key inputs_EB_MIN'!AF$69:AF$71),0)</f>
        <v>0</v>
      </c>
    </row>
    <row r="480" spans="1:32" s="60" customFormat="1" ht="14.4">
      <c r="A480" s="86"/>
      <c r="B480" s="86"/>
      <c r="C480" s="63"/>
      <c r="D480" s="63"/>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86"/>
    </row>
    <row r="481" spans="1:32" s="59" customFormat="1">
      <c r="A481" s="90" t="s">
        <v>717</v>
      </c>
      <c r="B481" s="90" t="s">
        <v>727</v>
      </c>
      <c r="C481" s="68" t="s">
        <v>718</v>
      </c>
      <c r="D481" s="68" t="s">
        <v>375</v>
      </c>
      <c r="E481" s="69" t="s">
        <v>172</v>
      </c>
      <c r="F481" s="69" t="s">
        <v>175</v>
      </c>
      <c r="G481" s="69" t="s">
        <v>178</v>
      </c>
      <c r="H481" s="69" t="s">
        <v>181</v>
      </c>
      <c r="I481" s="69" t="s">
        <v>184</v>
      </c>
      <c r="J481" s="69" t="s">
        <v>187</v>
      </c>
      <c r="K481" s="69" t="s">
        <v>190</v>
      </c>
      <c r="L481" s="69" t="s">
        <v>193</v>
      </c>
      <c r="M481" s="69" t="s">
        <v>196</v>
      </c>
      <c r="N481" s="69" t="s">
        <v>198</v>
      </c>
      <c r="O481" s="69" t="s">
        <v>200</v>
      </c>
      <c r="P481" s="69" t="s">
        <v>202</v>
      </c>
      <c r="Q481" s="69" t="s">
        <v>205</v>
      </c>
      <c r="R481" s="69" t="s">
        <v>208</v>
      </c>
      <c r="S481" s="69" t="s">
        <v>211</v>
      </c>
      <c r="T481" s="69" t="s">
        <v>214</v>
      </c>
      <c r="U481" s="69" t="s">
        <v>217</v>
      </c>
      <c r="V481" s="69" t="s">
        <v>220</v>
      </c>
      <c r="W481" s="69" t="s">
        <v>223</v>
      </c>
      <c r="X481" s="69" t="s">
        <v>225</v>
      </c>
      <c r="Y481" s="69" t="s">
        <v>227</v>
      </c>
      <c r="Z481" s="69" t="s">
        <v>230</v>
      </c>
      <c r="AA481" s="69" t="s">
        <v>233</v>
      </c>
      <c r="AB481" s="69" t="s">
        <v>236</v>
      </c>
      <c r="AC481" s="69" t="s">
        <v>238</v>
      </c>
      <c r="AD481" s="69" t="s">
        <v>240</v>
      </c>
      <c r="AE481" s="69" t="s">
        <v>243</v>
      </c>
      <c r="AF481" s="91" t="s">
        <v>245</v>
      </c>
    </row>
    <row r="482" spans="1:32" s="59" customFormat="1">
      <c r="A482" s="95" t="s">
        <v>728</v>
      </c>
      <c r="B482" s="95" t="s">
        <v>746</v>
      </c>
      <c r="C482" s="71" t="s">
        <v>515</v>
      </c>
      <c r="D482" s="74" t="s">
        <v>387</v>
      </c>
      <c r="E482" s="176">
        <f>SUMIFS(E$7:E$26,$C$7:$C$26,$C482)*SUMIFS(E$32:E$350,$C$32:$C$350,$B482,$B$32:$B$350,$C482)</f>
        <v>0</v>
      </c>
      <c r="F482" s="176">
        <f t="shared" ref="F482:AF491" si="26">SUMIFS(F$7:F$26,$C$7:$C$26,$C482)*SUMIFS(F$32:F$350,$C$32:$C$350,$B482,$B$32:$B$350,$C482)</f>
        <v>0</v>
      </c>
      <c r="G482" s="176">
        <f>SUMIFS(G$7:G$26,$C$7:$C$26,$C482)*SUMIFS(G$32:G$350,$C$32:$C$350,$B482,$B$32:$B$350,$C482)</f>
        <v>0</v>
      </c>
      <c r="H482" s="176">
        <f t="shared" si="26"/>
        <v>0</v>
      </c>
      <c r="I482" s="176">
        <f t="shared" si="26"/>
        <v>0</v>
      </c>
      <c r="J482" s="176">
        <f t="shared" si="26"/>
        <v>0</v>
      </c>
      <c r="K482" s="176">
        <f t="shared" si="26"/>
        <v>0</v>
      </c>
      <c r="L482" s="176">
        <f t="shared" si="26"/>
        <v>0</v>
      </c>
      <c r="M482" s="176">
        <f t="shared" si="26"/>
        <v>0</v>
      </c>
      <c r="N482" s="176">
        <f t="shared" si="26"/>
        <v>0</v>
      </c>
      <c r="O482" s="176">
        <f t="shared" si="26"/>
        <v>0</v>
      </c>
      <c r="P482" s="176">
        <f t="shared" si="26"/>
        <v>0</v>
      </c>
      <c r="Q482" s="176">
        <f t="shared" si="26"/>
        <v>0</v>
      </c>
      <c r="R482" s="176">
        <f t="shared" si="26"/>
        <v>0</v>
      </c>
      <c r="S482" s="176">
        <f t="shared" si="26"/>
        <v>0</v>
      </c>
      <c r="T482" s="176">
        <f t="shared" si="26"/>
        <v>0</v>
      </c>
      <c r="U482" s="176">
        <f t="shared" si="26"/>
        <v>0</v>
      </c>
      <c r="V482" s="176">
        <f t="shared" si="26"/>
        <v>0</v>
      </c>
      <c r="W482" s="176">
        <f t="shared" si="26"/>
        <v>0</v>
      </c>
      <c r="X482" s="176">
        <f t="shared" si="26"/>
        <v>0</v>
      </c>
      <c r="Y482" s="176">
        <f t="shared" si="26"/>
        <v>0</v>
      </c>
      <c r="Z482" s="176">
        <f t="shared" si="26"/>
        <v>0</v>
      </c>
      <c r="AA482" s="176">
        <f t="shared" si="26"/>
        <v>0</v>
      </c>
      <c r="AB482" s="176">
        <f t="shared" si="26"/>
        <v>0</v>
      </c>
      <c r="AC482" s="176">
        <f t="shared" si="26"/>
        <v>0</v>
      </c>
      <c r="AD482" s="176">
        <f t="shared" si="26"/>
        <v>0</v>
      </c>
      <c r="AE482" s="176">
        <f t="shared" si="26"/>
        <v>0</v>
      </c>
      <c r="AF482" s="286">
        <f t="shared" si="26"/>
        <v>0</v>
      </c>
    </row>
    <row r="483" spans="1:32" s="59" customFormat="1">
      <c r="A483" s="95" t="s">
        <v>728</v>
      </c>
      <c r="B483" s="95" t="s">
        <v>746</v>
      </c>
      <c r="C483" s="71" t="s">
        <v>521</v>
      </c>
      <c r="D483" s="74" t="s">
        <v>387</v>
      </c>
      <c r="E483" s="176">
        <f t="shared" ref="E483:T501" si="27">SUMIFS(E$7:E$26,$C$7:$C$26,$C483)*SUMIFS(E$32:E$350,$C$32:$C$350,$B483,$B$32:$B$350,$C483)</f>
        <v>0</v>
      </c>
      <c r="F483" s="176">
        <f t="shared" si="26"/>
        <v>0</v>
      </c>
      <c r="G483" s="176">
        <f t="shared" si="26"/>
        <v>0</v>
      </c>
      <c r="H483" s="176">
        <f t="shared" si="26"/>
        <v>0</v>
      </c>
      <c r="I483" s="176">
        <f t="shared" si="26"/>
        <v>0</v>
      </c>
      <c r="J483" s="176">
        <f t="shared" si="26"/>
        <v>0</v>
      </c>
      <c r="K483" s="176">
        <f t="shared" si="26"/>
        <v>0</v>
      </c>
      <c r="L483" s="176">
        <f t="shared" si="26"/>
        <v>0</v>
      </c>
      <c r="M483" s="176">
        <f t="shared" si="26"/>
        <v>0</v>
      </c>
      <c r="N483" s="176">
        <f t="shared" si="26"/>
        <v>0</v>
      </c>
      <c r="O483" s="176">
        <f t="shared" si="26"/>
        <v>0</v>
      </c>
      <c r="P483" s="176">
        <f t="shared" si="26"/>
        <v>0</v>
      </c>
      <c r="Q483" s="176">
        <f t="shared" si="26"/>
        <v>0</v>
      </c>
      <c r="R483" s="176">
        <f t="shared" si="26"/>
        <v>0</v>
      </c>
      <c r="S483" s="176">
        <f t="shared" si="26"/>
        <v>0</v>
      </c>
      <c r="T483" s="176">
        <f t="shared" si="26"/>
        <v>0</v>
      </c>
      <c r="U483" s="176">
        <f t="shared" si="26"/>
        <v>0</v>
      </c>
      <c r="V483" s="176">
        <f t="shared" si="26"/>
        <v>0</v>
      </c>
      <c r="W483" s="176">
        <f t="shared" si="26"/>
        <v>0</v>
      </c>
      <c r="X483" s="176">
        <f t="shared" si="26"/>
        <v>0</v>
      </c>
      <c r="Y483" s="176">
        <f t="shared" si="26"/>
        <v>0</v>
      </c>
      <c r="Z483" s="176">
        <f t="shared" si="26"/>
        <v>0</v>
      </c>
      <c r="AA483" s="176">
        <f t="shared" si="26"/>
        <v>0</v>
      </c>
      <c r="AB483" s="176">
        <f t="shared" si="26"/>
        <v>0</v>
      </c>
      <c r="AC483" s="176">
        <f t="shared" si="26"/>
        <v>0</v>
      </c>
      <c r="AD483" s="176">
        <f t="shared" si="26"/>
        <v>0</v>
      </c>
      <c r="AE483" s="176">
        <f t="shared" si="26"/>
        <v>0</v>
      </c>
      <c r="AF483" s="287">
        <f t="shared" si="26"/>
        <v>0</v>
      </c>
    </row>
    <row r="484" spans="1:32" s="59" customFormat="1">
      <c r="A484" s="95" t="s">
        <v>728</v>
      </c>
      <c r="B484" s="95" t="s">
        <v>746</v>
      </c>
      <c r="C484" s="71" t="s">
        <v>523</v>
      </c>
      <c r="D484" s="74" t="s">
        <v>387</v>
      </c>
      <c r="E484" s="176">
        <f t="shared" si="27"/>
        <v>0</v>
      </c>
      <c r="F484" s="176">
        <f t="shared" si="26"/>
        <v>0</v>
      </c>
      <c r="G484" s="176">
        <f t="shared" si="26"/>
        <v>0</v>
      </c>
      <c r="H484" s="176">
        <f t="shared" si="26"/>
        <v>0</v>
      </c>
      <c r="I484" s="176">
        <f t="shared" si="26"/>
        <v>0</v>
      </c>
      <c r="J484" s="176">
        <f t="shared" si="26"/>
        <v>0</v>
      </c>
      <c r="K484" s="176">
        <f t="shared" si="26"/>
        <v>0</v>
      </c>
      <c r="L484" s="176">
        <f t="shared" si="26"/>
        <v>0</v>
      </c>
      <c r="M484" s="176">
        <f t="shared" si="26"/>
        <v>0</v>
      </c>
      <c r="N484" s="176">
        <f t="shared" si="26"/>
        <v>0</v>
      </c>
      <c r="O484" s="176">
        <f t="shared" si="26"/>
        <v>0</v>
      </c>
      <c r="P484" s="176">
        <f t="shared" si="26"/>
        <v>0</v>
      </c>
      <c r="Q484" s="176">
        <f t="shared" si="26"/>
        <v>0</v>
      </c>
      <c r="R484" s="176">
        <f t="shared" si="26"/>
        <v>0</v>
      </c>
      <c r="S484" s="176">
        <f t="shared" si="26"/>
        <v>0</v>
      </c>
      <c r="T484" s="176">
        <f t="shared" si="26"/>
        <v>0</v>
      </c>
      <c r="U484" s="176">
        <f t="shared" si="26"/>
        <v>0</v>
      </c>
      <c r="V484" s="176">
        <f t="shared" si="26"/>
        <v>0</v>
      </c>
      <c r="W484" s="176">
        <f t="shared" si="26"/>
        <v>0</v>
      </c>
      <c r="X484" s="176">
        <f t="shared" si="26"/>
        <v>0</v>
      </c>
      <c r="Y484" s="176">
        <f t="shared" si="26"/>
        <v>0</v>
      </c>
      <c r="Z484" s="176">
        <f t="shared" si="26"/>
        <v>0</v>
      </c>
      <c r="AA484" s="176">
        <f t="shared" si="26"/>
        <v>0</v>
      </c>
      <c r="AB484" s="176">
        <f t="shared" si="26"/>
        <v>0</v>
      </c>
      <c r="AC484" s="176">
        <f t="shared" si="26"/>
        <v>0</v>
      </c>
      <c r="AD484" s="176">
        <f t="shared" si="26"/>
        <v>0</v>
      </c>
      <c r="AE484" s="176">
        <f t="shared" si="26"/>
        <v>0</v>
      </c>
      <c r="AF484" s="287">
        <f t="shared" si="26"/>
        <v>0</v>
      </c>
    </row>
    <row r="485" spans="1:32" s="59" customFormat="1">
      <c r="A485" s="95" t="s">
        <v>728</v>
      </c>
      <c r="B485" s="95" t="s">
        <v>746</v>
      </c>
      <c r="C485" s="71" t="s">
        <v>525</v>
      </c>
      <c r="D485" s="74" t="s">
        <v>387</v>
      </c>
      <c r="E485" s="176">
        <f t="shared" si="27"/>
        <v>0</v>
      </c>
      <c r="F485" s="176">
        <f t="shared" si="26"/>
        <v>0</v>
      </c>
      <c r="G485" s="176">
        <f t="shared" si="26"/>
        <v>0</v>
      </c>
      <c r="H485" s="176">
        <f t="shared" si="26"/>
        <v>0</v>
      </c>
      <c r="I485" s="176">
        <f t="shared" si="26"/>
        <v>0</v>
      </c>
      <c r="J485" s="176">
        <f t="shared" si="26"/>
        <v>0</v>
      </c>
      <c r="K485" s="176">
        <f t="shared" si="26"/>
        <v>0</v>
      </c>
      <c r="L485" s="176">
        <f t="shared" si="26"/>
        <v>0</v>
      </c>
      <c r="M485" s="176">
        <f t="shared" si="26"/>
        <v>0</v>
      </c>
      <c r="N485" s="176">
        <f t="shared" si="26"/>
        <v>0</v>
      </c>
      <c r="O485" s="176">
        <f t="shared" si="26"/>
        <v>0</v>
      </c>
      <c r="P485" s="176">
        <f t="shared" si="26"/>
        <v>0</v>
      </c>
      <c r="Q485" s="176">
        <f t="shared" si="26"/>
        <v>0</v>
      </c>
      <c r="R485" s="176">
        <f t="shared" si="26"/>
        <v>0</v>
      </c>
      <c r="S485" s="176">
        <f t="shared" si="26"/>
        <v>0</v>
      </c>
      <c r="T485" s="176">
        <f t="shared" si="26"/>
        <v>0</v>
      </c>
      <c r="U485" s="176">
        <f t="shared" si="26"/>
        <v>0</v>
      </c>
      <c r="V485" s="176">
        <f t="shared" si="26"/>
        <v>0</v>
      </c>
      <c r="W485" s="176">
        <f t="shared" si="26"/>
        <v>0</v>
      </c>
      <c r="X485" s="176">
        <f t="shared" si="26"/>
        <v>0</v>
      </c>
      <c r="Y485" s="176">
        <f t="shared" si="26"/>
        <v>0</v>
      </c>
      <c r="Z485" s="176">
        <f t="shared" si="26"/>
        <v>0</v>
      </c>
      <c r="AA485" s="176">
        <f t="shared" si="26"/>
        <v>0</v>
      </c>
      <c r="AB485" s="176">
        <f t="shared" si="26"/>
        <v>0</v>
      </c>
      <c r="AC485" s="176">
        <f t="shared" si="26"/>
        <v>0</v>
      </c>
      <c r="AD485" s="176">
        <f t="shared" si="26"/>
        <v>0</v>
      </c>
      <c r="AE485" s="176">
        <f t="shared" si="26"/>
        <v>0</v>
      </c>
      <c r="AF485" s="287">
        <f t="shared" si="26"/>
        <v>0</v>
      </c>
    </row>
    <row r="486" spans="1:32" s="59" customFormat="1">
      <c r="A486" s="95" t="s">
        <v>728</v>
      </c>
      <c r="B486" s="95" t="s">
        <v>746</v>
      </c>
      <c r="C486" s="71" t="s">
        <v>527</v>
      </c>
      <c r="D486" s="74" t="s">
        <v>387</v>
      </c>
      <c r="E486" s="176">
        <f t="shared" si="27"/>
        <v>0</v>
      </c>
      <c r="F486" s="176">
        <f t="shared" si="26"/>
        <v>0</v>
      </c>
      <c r="G486" s="176">
        <f t="shared" si="26"/>
        <v>0</v>
      </c>
      <c r="H486" s="176">
        <f t="shared" si="26"/>
        <v>0</v>
      </c>
      <c r="I486" s="176">
        <f t="shared" si="26"/>
        <v>0</v>
      </c>
      <c r="J486" s="176">
        <f t="shared" si="26"/>
        <v>0</v>
      </c>
      <c r="K486" s="176">
        <f t="shared" si="26"/>
        <v>0</v>
      </c>
      <c r="L486" s="176">
        <f t="shared" si="26"/>
        <v>0</v>
      </c>
      <c r="M486" s="176">
        <f t="shared" si="26"/>
        <v>0</v>
      </c>
      <c r="N486" s="176">
        <f t="shared" si="26"/>
        <v>0</v>
      </c>
      <c r="O486" s="176">
        <f t="shared" si="26"/>
        <v>0</v>
      </c>
      <c r="P486" s="176">
        <f t="shared" si="26"/>
        <v>0</v>
      </c>
      <c r="Q486" s="176">
        <f t="shared" si="26"/>
        <v>0</v>
      </c>
      <c r="R486" s="176">
        <f t="shared" si="26"/>
        <v>0</v>
      </c>
      <c r="S486" s="176">
        <f t="shared" si="26"/>
        <v>0</v>
      </c>
      <c r="T486" s="176">
        <f t="shared" si="26"/>
        <v>0</v>
      </c>
      <c r="U486" s="176">
        <f t="shared" si="26"/>
        <v>0</v>
      </c>
      <c r="V486" s="176">
        <f t="shared" si="26"/>
        <v>0</v>
      </c>
      <c r="W486" s="176">
        <f t="shared" si="26"/>
        <v>0</v>
      </c>
      <c r="X486" s="176">
        <f t="shared" si="26"/>
        <v>0</v>
      </c>
      <c r="Y486" s="176">
        <f t="shared" si="26"/>
        <v>0</v>
      </c>
      <c r="Z486" s="176">
        <f t="shared" si="26"/>
        <v>0</v>
      </c>
      <c r="AA486" s="176">
        <f t="shared" si="26"/>
        <v>0</v>
      </c>
      <c r="AB486" s="176">
        <f t="shared" si="26"/>
        <v>0</v>
      </c>
      <c r="AC486" s="176">
        <f t="shared" si="26"/>
        <v>0</v>
      </c>
      <c r="AD486" s="176">
        <f t="shared" si="26"/>
        <v>0</v>
      </c>
      <c r="AE486" s="176">
        <f t="shared" si="26"/>
        <v>0</v>
      </c>
      <c r="AF486" s="287">
        <f t="shared" si="26"/>
        <v>0</v>
      </c>
    </row>
    <row r="487" spans="1:32" s="59" customFormat="1">
      <c r="A487" s="95" t="s">
        <v>728</v>
      </c>
      <c r="B487" s="95" t="s">
        <v>746</v>
      </c>
      <c r="C487" s="71" t="s">
        <v>529</v>
      </c>
      <c r="D487" s="74" t="s">
        <v>387</v>
      </c>
      <c r="E487" s="176">
        <f t="shared" si="27"/>
        <v>0</v>
      </c>
      <c r="F487" s="176">
        <f t="shared" si="26"/>
        <v>0</v>
      </c>
      <c r="G487" s="176">
        <f t="shared" si="26"/>
        <v>0</v>
      </c>
      <c r="H487" s="176">
        <f t="shared" si="26"/>
        <v>0</v>
      </c>
      <c r="I487" s="176">
        <f t="shared" si="26"/>
        <v>0</v>
      </c>
      <c r="J487" s="176">
        <f t="shared" si="26"/>
        <v>0</v>
      </c>
      <c r="K487" s="176">
        <f t="shared" si="26"/>
        <v>0</v>
      </c>
      <c r="L487" s="176">
        <f t="shared" si="26"/>
        <v>0</v>
      </c>
      <c r="M487" s="176">
        <f t="shared" si="26"/>
        <v>0</v>
      </c>
      <c r="N487" s="176">
        <f t="shared" si="26"/>
        <v>0</v>
      </c>
      <c r="O487" s="176">
        <f t="shared" si="26"/>
        <v>0</v>
      </c>
      <c r="P487" s="176">
        <f t="shared" si="26"/>
        <v>0</v>
      </c>
      <c r="Q487" s="176">
        <f t="shared" si="26"/>
        <v>0</v>
      </c>
      <c r="R487" s="176">
        <f t="shared" si="26"/>
        <v>0</v>
      </c>
      <c r="S487" s="176">
        <f t="shared" si="26"/>
        <v>0</v>
      </c>
      <c r="T487" s="176">
        <f t="shared" si="26"/>
        <v>0</v>
      </c>
      <c r="U487" s="176">
        <f t="shared" si="26"/>
        <v>0</v>
      </c>
      <c r="V487" s="176">
        <f t="shared" si="26"/>
        <v>0</v>
      </c>
      <c r="W487" s="176">
        <f t="shared" si="26"/>
        <v>0</v>
      </c>
      <c r="X487" s="176">
        <f t="shared" si="26"/>
        <v>0</v>
      </c>
      <c r="Y487" s="176">
        <f t="shared" si="26"/>
        <v>0</v>
      </c>
      <c r="Z487" s="176">
        <f t="shared" si="26"/>
        <v>0</v>
      </c>
      <c r="AA487" s="176">
        <f t="shared" si="26"/>
        <v>0</v>
      </c>
      <c r="AB487" s="176">
        <f t="shared" si="26"/>
        <v>0</v>
      </c>
      <c r="AC487" s="176">
        <f t="shared" si="26"/>
        <v>0</v>
      </c>
      <c r="AD487" s="176">
        <f t="shared" si="26"/>
        <v>0</v>
      </c>
      <c r="AE487" s="176">
        <f t="shared" si="26"/>
        <v>0</v>
      </c>
      <c r="AF487" s="287">
        <f t="shared" si="26"/>
        <v>0</v>
      </c>
    </row>
    <row r="488" spans="1:32" s="59" customFormat="1">
      <c r="A488" s="95" t="s">
        <v>728</v>
      </c>
      <c r="B488" s="95" t="s">
        <v>746</v>
      </c>
      <c r="C488" s="71" t="s">
        <v>531</v>
      </c>
      <c r="D488" s="74" t="s">
        <v>387</v>
      </c>
      <c r="E488" s="176">
        <f t="shared" si="27"/>
        <v>0</v>
      </c>
      <c r="F488" s="176">
        <f t="shared" si="26"/>
        <v>0</v>
      </c>
      <c r="G488" s="176">
        <f t="shared" si="26"/>
        <v>0</v>
      </c>
      <c r="H488" s="176">
        <f t="shared" si="26"/>
        <v>0</v>
      </c>
      <c r="I488" s="176">
        <f t="shared" si="26"/>
        <v>0</v>
      </c>
      <c r="J488" s="176">
        <f t="shared" si="26"/>
        <v>0</v>
      </c>
      <c r="K488" s="176">
        <f t="shared" si="26"/>
        <v>0</v>
      </c>
      <c r="L488" s="176">
        <f t="shared" si="26"/>
        <v>0</v>
      </c>
      <c r="M488" s="176">
        <f t="shared" si="26"/>
        <v>0</v>
      </c>
      <c r="N488" s="176">
        <f t="shared" si="26"/>
        <v>0</v>
      </c>
      <c r="O488" s="176">
        <f t="shared" si="26"/>
        <v>0</v>
      </c>
      <c r="P488" s="176">
        <f t="shared" si="26"/>
        <v>0</v>
      </c>
      <c r="Q488" s="176">
        <f t="shared" si="26"/>
        <v>0</v>
      </c>
      <c r="R488" s="176">
        <f t="shared" si="26"/>
        <v>0</v>
      </c>
      <c r="S488" s="176">
        <f t="shared" si="26"/>
        <v>0</v>
      </c>
      <c r="T488" s="176">
        <f t="shared" si="26"/>
        <v>0</v>
      </c>
      <c r="U488" s="176">
        <f t="shared" si="26"/>
        <v>0</v>
      </c>
      <c r="V488" s="176">
        <f t="shared" si="26"/>
        <v>0</v>
      </c>
      <c r="W488" s="176">
        <f t="shared" si="26"/>
        <v>0</v>
      </c>
      <c r="X488" s="176">
        <f t="shared" si="26"/>
        <v>0</v>
      </c>
      <c r="Y488" s="176">
        <f t="shared" si="26"/>
        <v>0</v>
      </c>
      <c r="Z488" s="176">
        <f t="shared" si="26"/>
        <v>0</v>
      </c>
      <c r="AA488" s="176">
        <f t="shared" si="26"/>
        <v>0</v>
      </c>
      <c r="AB488" s="176">
        <f t="shared" si="26"/>
        <v>0</v>
      </c>
      <c r="AC488" s="176">
        <f t="shared" si="26"/>
        <v>0</v>
      </c>
      <c r="AD488" s="176">
        <f t="shared" si="26"/>
        <v>0</v>
      </c>
      <c r="AE488" s="176">
        <f t="shared" si="26"/>
        <v>0</v>
      </c>
      <c r="AF488" s="287">
        <f t="shared" si="26"/>
        <v>0</v>
      </c>
    </row>
    <row r="489" spans="1:32" s="59" customFormat="1">
      <c r="A489" s="95" t="s">
        <v>728</v>
      </c>
      <c r="B489" s="95" t="s">
        <v>746</v>
      </c>
      <c r="C489" s="71" t="s">
        <v>533</v>
      </c>
      <c r="D489" s="74" t="s">
        <v>387</v>
      </c>
      <c r="E489" s="176">
        <f t="shared" si="27"/>
        <v>0</v>
      </c>
      <c r="F489" s="176">
        <f t="shared" si="26"/>
        <v>0</v>
      </c>
      <c r="G489" s="176">
        <f t="shared" si="26"/>
        <v>0</v>
      </c>
      <c r="H489" s="176">
        <f t="shared" si="26"/>
        <v>0</v>
      </c>
      <c r="I489" s="176">
        <f t="shared" si="26"/>
        <v>0</v>
      </c>
      <c r="J489" s="176">
        <f t="shared" si="26"/>
        <v>0</v>
      </c>
      <c r="K489" s="176">
        <f t="shared" si="26"/>
        <v>0</v>
      </c>
      <c r="L489" s="176">
        <f t="shared" si="26"/>
        <v>0</v>
      </c>
      <c r="M489" s="176">
        <f t="shared" si="26"/>
        <v>0</v>
      </c>
      <c r="N489" s="176">
        <f t="shared" si="26"/>
        <v>0</v>
      </c>
      <c r="O489" s="176">
        <f t="shared" si="26"/>
        <v>0</v>
      </c>
      <c r="P489" s="176">
        <f t="shared" si="26"/>
        <v>0</v>
      </c>
      <c r="Q489" s="176">
        <f t="shared" si="26"/>
        <v>0</v>
      </c>
      <c r="R489" s="176">
        <f t="shared" si="26"/>
        <v>0</v>
      </c>
      <c r="S489" s="176">
        <f t="shared" si="26"/>
        <v>0</v>
      </c>
      <c r="T489" s="176">
        <f t="shared" si="26"/>
        <v>0</v>
      </c>
      <c r="U489" s="176">
        <f t="shared" si="26"/>
        <v>0</v>
      </c>
      <c r="V489" s="176">
        <f t="shared" si="26"/>
        <v>0</v>
      </c>
      <c r="W489" s="176">
        <f t="shared" si="26"/>
        <v>0</v>
      </c>
      <c r="X489" s="176">
        <f t="shared" si="26"/>
        <v>0</v>
      </c>
      <c r="Y489" s="176">
        <f t="shared" si="26"/>
        <v>0</v>
      </c>
      <c r="Z489" s="176">
        <f t="shared" si="26"/>
        <v>0</v>
      </c>
      <c r="AA489" s="176">
        <f t="shared" si="26"/>
        <v>0</v>
      </c>
      <c r="AB489" s="176">
        <f t="shared" si="26"/>
        <v>0</v>
      </c>
      <c r="AC489" s="176">
        <f t="shared" si="26"/>
        <v>0</v>
      </c>
      <c r="AD489" s="176">
        <f t="shared" si="26"/>
        <v>0</v>
      </c>
      <c r="AE489" s="176">
        <f t="shared" si="26"/>
        <v>0</v>
      </c>
      <c r="AF489" s="287">
        <f t="shared" si="26"/>
        <v>0</v>
      </c>
    </row>
    <row r="490" spans="1:32" s="59" customFormat="1">
      <c r="A490" s="95" t="s">
        <v>728</v>
      </c>
      <c r="B490" s="95" t="s">
        <v>746</v>
      </c>
      <c r="C490" s="71" t="s">
        <v>535</v>
      </c>
      <c r="D490" s="74" t="s">
        <v>387</v>
      </c>
      <c r="E490" s="176">
        <f t="shared" si="27"/>
        <v>0</v>
      </c>
      <c r="F490" s="176">
        <f t="shared" si="26"/>
        <v>0</v>
      </c>
      <c r="G490" s="176">
        <f t="shared" si="26"/>
        <v>0</v>
      </c>
      <c r="H490" s="176">
        <f t="shared" si="26"/>
        <v>0</v>
      </c>
      <c r="I490" s="176">
        <f t="shared" si="26"/>
        <v>0</v>
      </c>
      <c r="J490" s="176">
        <f t="shared" si="26"/>
        <v>0</v>
      </c>
      <c r="K490" s="176">
        <f t="shared" si="26"/>
        <v>0</v>
      </c>
      <c r="L490" s="176">
        <f t="shared" si="26"/>
        <v>0</v>
      </c>
      <c r="M490" s="176">
        <f t="shared" si="26"/>
        <v>0</v>
      </c>
      <c r="N490" s="176">
        <f t="shared" si="26"/>
        <v>0</v>
      </c>
      <c r="O490" s="176">
        <f t="shared" si="26"/>
        <v>0</v>
      </c>
      <c r="P490" s="176">
        <f t="shared" si="26"/>
        <v>0</v>
      </c>
      <c r="Q490" s="176">
        <f t="shared" si="26"/>
        <v>0</v>
      </c>
      <c r="R490" s="176">
        <f t="shared" si="26"/>
        <v>0</v>
      </c>
      <c r="S490" s="176">
        <f t="shared" si="26"/>
        <v>0</v>
      </c>
      <c r="T490" s="176">
        <f t="shared" si="26"/>
        <v>0</v>
      </c>
      <c r="U490" s="176">
        <f t="shared" si="26"/>
        <v>0</v>
      </c>
      <c r="V490" s="176">
        <f t="shared" si="26"/>
        <v>0</v>
      </c>
      <c r="W490" s="176">
        <f t="shared" si="26"/>
        <v>0</v>
      </c>
      <c r="X490" s="176">
        <f t="shared" si="26"/>
        <v>0</v>
      </c>
      <c r="Y490" s="176">
        <f t="shared" si="26"/>
        <v>0</v>
      </c>
      <c r="Z490" s="176">
        <f t="shared" si="26"/>
        <v>0</v>
      </c>
      <c r="AA490" s="176">
        <f t="shared" si="26"/>
        <v>0</v>
      </c>
      <c r="AB490" s="176">
        <f t="shared" si="26"/>
        <v>0</v>
      </c>
      <c r="AC490" s="176">
        <f t="shared" si="26"/>
        <v>0</v>
      </c>
      <c r="AD490" s="176">
        <f t="shared" si="26"/>
        <v>0</v>
      </c>
      <c r="AE490" s="176">
        <f t="shared" si="26"/>
        <v>0</v>
      </c>
      <c r="AF490" s="287">
        <f t="shared" si="26"/>
        <v>0</v>
      </c>
    </row>
    <row r="491" spans="1:32" s="59" customFormat="1">
      <c r="A491" s="95" t="s">
        <v>728</v>
      </c>
      <c r="B491" s="95" t="s">
        <v>746</v>
      </c>
      <c r="C491" s="71" t="s">
        <v>537</v>
      </c>
      <c r="D491" s="74" t="s">
        <v>387</v>
      </c>
      <c r="E491" s="176">
        <f t="shared" si="27"/>
        <v>0</v>
      </c>
      <c r="F491" s="176">
        <f t="shared" si="26"/>
        <v>0</v>
      </c>
      <c r="G491" s="176">
        <f t="shared" si="26"/>
        <v>0</v>
      </c>
      <c r="H491" s="176">
        <f t="shared" si="26"/>
        <v>0</v>
      </c>
      <c r="I491" s="176">
        <f t="shared" si="26"/>
        <v>0</v>
      </c>
      <c r="J491" s="176">
        <f t="shared" si="26"/>
        <v>0</v>
      </c>
      <c r="K491" s="176">
        <f t="shared" si="26"/>
        <v>0</v>
      </c>
      <c r="L491" s="176">
        <f t="shared" si="26"/>
        <v>0</v>
      </c>
      <c r="M491" s="176">
        <f t="shared" si="26"/>
        <v>0</v>
      </c>
      <c r="N491" s="176">
        <f t="shared" si="26"/>
        <v>0</v>
      </c>
      <c r="O491" s="176">
        <f t="shared" si="26"/>
        <v>0</v>
      </c>
      <c r="P491" s="176">
        <f t="shared" si="26"/>
        <v>0</v>
      </c>
      <c r="Q491" s="176">
        <f t="shared" si="26"/>
        <v>0</v>
      </c>
      <c r="R491" s="176">
        <f t="shared" si="26"/>
        <v>-63.461772909969994</v>
      </c>
      <c r="S491" s="176">
        <f t="shared" ref="S491:AF501" si="28">SUMIFS(S$7:S$26,$C$7:$C$26,$C491)*SUMIFS(S$32:S$350,$C$32:$C$350,$B491,$B$32:$B$350,$C491)</f>
        <v>-92.711187765308694</v>
      </c>
      <c r="T491" s="176">
        <f t="shared" si="28"/>
        <v>-4356.6384734637113</v>
      </c>
      <c r="U491" s="176">
        <f t="shared" si="28"/>
        <v>0</v>
      </c>
      <c r="V491" s="176">
        <f t="shared" si="28"/>
        <v>0</v>
      </c>
      <c r="W491" s="176">
        <f t="shared" si="28"/>
        <v>0</v>
      </c>
      <c r="X491" s="176">
        <f t="shared" si="28"/>
        <v>0</v>
      </c>
      <c r="Y491" s="176">
        <f t="shared" si="28"/>
        <v>0</v>
      </c>
      <c r="Z491" s="176">
        <f t="shared" si="28"/>
        <v>0</v>
      </c>
      <c r="AA491" s="176">
        <f t="shared" si="28"/>
        <v>0</v>
      </c>
      <c r="AB491" s="176">
        <f t="shared" si="28"/>
        <v>0</v>
      </c>
      <c r="AC491" s="176">
        <f t="shared" si="28"/>
        <v>0</v>
      </c>
      <c r="AD491" s="176">
        <f t="shared" si="28"/>
        <v>0</v>
      </c>
      <c r="AE491" s="176">
        <f t="shared" si="28"/>
        <v>0</v>
      </c>
      <c r="AF491" s="287">
        <f t="shared" si="28"/>
        <v>0</v>
      </c>
    </row>
    <row r="492" spans="1:32" s="59" customFormat="1">
      <c r="A492" s="95" t="s">
        <v>728</v>
      </c>
      <c r="B492" s="95" t="s">
        <v>746</v>
      </c>
      <c r="C492" s="71" t="s">
        <v>541</v>
      </c>
      <c r="D492" s="74" t="s">
        <v>387</v>
      </c>
      <c r="E492" s="176">
        <f t="shared" si="27"/>
        <v>0</v>
      </c>
      <c r="F492" s="176">
        <f t="shared" si="27"/>
        <v>0</v>
      </c>
      <c r="G492" s="176">
        <f t="shared" si="27"/>
        <v>0</v>
      </c>
      <c r="H492" s="176">
        <f t="shared" si="27"/>
        <v>0</v>
      </c>
      <c r="I492" s="176">
        <f t="shared" si="27"/>
        <v>0</v>
      </c>
      <c r="J492" s="176">
        <f t="shared" si="27"/>
        <v>0</v>
      </c>
      <c r="K492" s="176">
        <f t="shared" si="27"/>
        <v>0</v>
      </c>
      <c r="L492" s="176">
        <f t="shared" si="27"/>
        <v>0</v>
      </c>
      <c r="M492" s="176">
        <f t="shared" si="27"/>
        <v>0</v>
      </c>
      <c r="N492" s="176">
        <f t="shared" si="27"/>
        <v>0</v>
      </c>
      <c r="O492" s="176">
        <f t="shared" si="27"/>
        <v>0</v>
      </c>
      <c r="P492" s="176">
        <f t="shared" si="27"/>
        <v>0</v>
      </c>
      <c r="Q492" s="176">
        <f t="shared" si="27"/>
        <v>0</v>
      </c>
      <c r="R492" s="176">
        <f t="shared" si="27"/>
        <v>0</v>
      </c>
      <c r="S492" s="176">
        <f t="shared" si="27"/>
        <v>0</v>
      </c>
      <c r="T492" s="176">
        <f t="shared" si="27"/>
        <v>0</v>
      </c>
      <c r="U492" s="176">
        <f t="shared" si="28"/>
        <v>0</v>
      </c>
      <c r="V492" s="176">
        <f t="shared" si="28"/>
        <v>0</v>
      </c>
      <c r="W492" s="176">
        <f t="shared" si="28"/>
        <v>0</v>
      </c>
      <c r="X492" s="176">
        <f t="shared" si="28"/>
        <v>0</v>
      </c>
      <c r="Y492" s="176">
        <f t="shared" si="28"/>
        <v>0</v>
      </c>
      <c r="Z492" s="176">
        <f t="shared" si="28"/>
        <v>0</v>
      </c>
      <c r="AA492" s="176">
        <f t="shared" si="28"/>
        <v>0</v>
      </c>
      <c r="AB492" s="176">
        <f t="shared" si="28"/>
        <v>0</v>
      </c>
      <c r="AC492" s="176">
        <f t="shared" si="28"/>
        <v>0</v>
      </c>
      <c r="AD492" s="176">
        <f t="shared" si="28"/>
        <v>0</v>
      </c>
      <c r="AE492" s="176">
        <f t="shared" si="28"/>
        <v>0</v>
      </c>
      <c r="AF492" s="287">
        <f t="shared" si="28"/>
        <v>0</v>
      </c>
    </row>
    <row r="493" spans="1:32" s="59" customFormat="1">
      <c r="A493" s="95" t="s">
        <v>728</v>
      </c>
      <c r="B493" s="95" t="s">
        <v>746</v>
      </c>
      <c r="C493" s="71" t="s">
        <v>543</v>
      </c>
      <c r="D493" s="74" t="s">
        <v>387</v>
      </c>
      <c r="E493" s="176">
        <f t="shared" si="27"/>
        <v>0</v>
      </c>
      <c r="F493" s="176">
        <f t="shared" si="27"/>
        <v>0</v>
      </c>
      <c r="G493" s="176">
        <f t="shared" si="27"/>
        <v>0</v>
      </c>
      <c r="H493" s="176">
        <f t="shared" si="27"/>
        <v>0</v>
      </c>
      <c r="I493" s="176">
        <f t="shared" si="27"/>
        <v>0</v>
      </c>
      <c r="J493" s="176">
        <f t="shared" si="27"/>
        <v>0</v>
      </c>
      <c r="K493" s="176">
        <f t="shared" si="27"/>
        <v>0</v>
      </c>
      <c r="L493" s="176">
        <f t="shared" si="27"/>
        <v>0</v>
      </c>
      <c r="M493" s="176">
        <f t="shared" si="27"/>
        <v>0</v>
      </c>
      <c r="N493" s="176">
        <f t="shared" si="27"/>
        <v>0</v>
      </c>
      <c r="O493" s="176">
        <f t="shared" si="27"/>
        <v>0</v>
      </c>
      <c r="P493" s="176">
        <f t="shared" si="27"/>
        <v>0</v>
      </c>
      <c r="Q493" s="176">
        <f t="shared" si="27"/>
        <v>0</v>
      </c>
      <c r="R493" s="176">
        <f t="shared" si="27"/>
        <v>0</v>
      </c>
      <c r="S493" s="176">
        <f t="shared" si="27"/>
        <v>0</v>
      </c>
      <c r="T493" s="176">
        <f t="shared" si="27"/>
        <v>0</v>
      </c>
      <c r="U493" s="176">
        <f t="shared" si="28"/>
        <v>0</v>
      </c>
      <c r="V493" s="176">
        <f t="shared" si="28"/>
        <v>0</v>
      </c>
      <c r="W493" s="176">
        <f t="shared" si="28"/>
        <v>0</v>
      </c>
      <c r="X493" s="176">
        <f t="shared" si="28"/>
        <v>0</v>
      </c>
      <c r="Y493" s="176">
        <f t="shared" si="28"/>
        <v>0</v>
      </c>
      <c r="Z493" s="176">
        <f t="shared" si="28"/>
        <v>0</v>
      </c>
      <c r="AA493" s="176">
        <f t="shared" si="28"/>
        <v>0</v>
      </c>
      <c r="AB493" s="176">
        <f t="shared" si="28"/>
        <v>0</v>
      </c>
      <c r="AC493" s="176">
        <f t="shared" si="28"/>
        <v>0</v>
      </c>
      <c r="AD493" s="176">
        <f t="shared" si="28"/>
        <v>0</v>
      </c>
      <c r="AE493" s="176">
        <f t="shared" si="28"/>
        <v>0</v>
      </c>
      <c r="AF493" s="287">
        <f t="shared" si="28"/>
        <v>0</v>
      </c>
    </row>
    <row r="494" spans="1:32" s="59" customFormat="1">
      <c r="A494" s="95" t="s">
        <v>728</v>
      </c>
      <c r="B494" s="95" t="s">
        <v>746</v>
      </c>
      <c r="C494" s="71" t="s">
        <v>545</v>
      </c>
      <c r="D494" s="74" t="s">
        <v>387</v>
      </c>
      <c r="E494" s="176">
        <f t="shared" si="27"/>
        <v>0</v>
      </c>
      <c r="F494" s="176">
        <f t="shared" si="27"/>
        <v>0</v>
      </c>
      <c r="G494" s="176">
        <f t="shared" si="27"/>
        <v>0</v>
      </c>
      <c r="H494" s="176">
        <f t="shared" si="27"/>
        <v>0</v>
      </c>
      <c r="I494" s="176">
        <f t="shared" si="27"/>
        <v>0</v>
      </c>
      <c r="J494" s="176">
        <f t="shared" si="27"/>
        <v>0</v>
      </c>
      <c r="K494" s="176">
        <f t="shared" si="27"/>
        <v>0</v>
      </c>
      <c r="L494" s="176">
        <f t="shared" si="27"/>
        <v>0</v>
      </c>
      <c r="M494" s="176">
        <f t="shared" si="27"/>
        <v>0</v>
      </c>
      <c r="N494" s="176">
        <f t="shared" si="27"/>
        <v>0</v>
      </c>
      <c r="O494" s="176">
        <f t="shared" si="27"/>
        <v>0</v>
      </c>
      <c r="P494" s="176">
        <f t="shared" si="27"/>
        <v>0</v>
      </c>
      <c r="Q494" s="176">
        <f t="shared" si="27"/>
        <v>0</v>
      </c>
      <c r="R494" s="176">
        <f t="shared" si="27"/>
        <v>0</v>
      </c>
      <c r="S494" s="176">
        <f t="shared" si="27"/>
        <v>0</v>
      </c>
      <c r="T494" s="176">
        <f t="shared" si="27"/>
        <v>0</v>
      </c>
      <c r="U494" s="176">
        <f t="shared" si="28"/>
        <v>0</v>
      </c>
      <c r="V494" s="176">
        <f t="shared" si="28"/>
        <v>0</v>
      </c>
      <c r="W494" s="176">
        <f t="shared" si="28"/>
        <v>0</v>
      </c>
      <c r="X494" s="176">
        <f t="shared" si="28"/>
        <v>0</v>
      </c>
      <c r="Y494" s="176">
        <f t="shared" si="28"/>
        <v>0</v>
      </c>
      <c r="Z494" s="176">
        <f t="shared" si="28"/>
        <v>0</v>
      </c>
      <c r="AA494" s="176">
        <f t="shared" si="28"/>
        <v>0</v>
      </c>
      <c r="AB494" s="176">
        <f t="shared" si="28"/>
        <v>0</v>
      </c>
      <c r="AC494" s="176">
        <f t="shared" si="28"/>
        <v>0</v>
      </c>
      <c r="AD494" s="176">
        <f t="shared" si="28"/>
        <v>0</v>
      </c>
      <c r="AE494" s="176">
        <f t="shared" si="28"/>
        <v>0</v>
      </c>
      <c r="AF494" s="287">
        <f t="shared" si="28"/>
        <v>0</v>
      </c>
    </row>
    <row r="495" spans="1:32" s="59" customFormat="1">
      <c r="A495" s="95" t="s">
        <v>728</v>
      </c>
      <c r="B495" s="95" t="s">
        <v>746</v>
      </c>
      <c r="C495" s="71" t="s">
        <v>548</v>
      </c>
      <c r="D495" s="74" t="s">
        <v>387</v>
      </c>
      <c r="E495" s="176">
        <f t="shared" si="27"/>
        <v>0</v>
      </c>
      <c r="F495" s="176">
        <f t="shared" si="27"/>
        <v>0</v>
      </c>
      <c r="G495" s="176">
        <f t="shared" si="27"/>
        <v>0</v>
      </c>
      <c r="H495" s="176">
        <f t="shared" si="27"/>
        <v>0</v>
      </c>
      <c r="I495" s="176">
        <f t="shared" si="27"/>
        <v>0</v>
      </c>
      <c r="J495" s="176">
        <f t="shared" si="27"/>
        <v>0</v>
      </c>
      <c r="K495" s="176">
        <f t="shared" si="27"/>
        <v>0</v>
      </c>
      <c r="L495" s="176">
        <f t="shared" si="27"/>
        <v>0</v>
      </c>
      <c r="M495" s="176">
        <f t="shared" si="27"/>
        <v>0</v>
      </c>
      <c r="N495" s="176">
        <f t="shared" si="27"/>
        <v>0</v>
      </c>
      <c r="O495" s="176">
        <f t="shared" si="27"/>
        <v>0</v>
      </c>
      <c r="P495" s="176">
        <f t="shared" si="27"/>
        <v>0</v>
      </c>
      <c r="Q495" s="176">
        <f t="shared" si="27"/>
        <v>0</v>
      </c>
      <c r="R495" s="176">
        <f t="shared" si="27"/>
        <v>0</v>
      </c>
      <c r="S495" s="176">
        <f t="shared" si="27"/>
        <v>0</v>
      </c>
      <c r="T495" s="176">
        <f t="shared" si="27"/>
        <v>0</v>
      </c>
      <c r="U495" s="176">
        <f t="shared" si="28"/>
        <v>0</v>
      </c>
      <c r="V495" s="176">
        <f t="shared" si="28"/>
        <v>0</v>
      </c>
      <c r="W495" s="176">
        <f t="shared" si="28"/>
        <v>0</v>
      </c>
      <c r="X495" s="176">
        <f t="shared" si="28"/>
        <v>0</v>
      </c>
      <c r="Y495" s="176">
        <f t="shared" si="28"/>
        <v>0</v>
      </c>
      <c r="Z495" s="176">
        <f t="shared" si="28"/>
        <v>0</v>
      </c>
      <c r="AA495" s="176">
        <f t="shared" si="28"/>
        <v>0</v>
      </c>
      <c r="AB495" s="176">
        <f t="shared" si="28"/>
        <v>0</v>
      </c>
      <c r="AC495" s="176">
        <f t="shared" si="28"/>
        <v>0</v>
      </c>
      <c r="AD495" s="176">
        <f t="shared" si="28"/>
        <v>0</v>
      </c>
      <c r="AE495" s="176">
        <f t="shared" si="28"/>
        <v>0</v>
      </c>
      <c r="AF495" s="287">
        <f t="shared" si="28"/>
        <v>0</v>
      </c>
    </row>
    <row r="496" spans="1:32" s="59" customFormat="1">
      <c r="A496" s="95" t="s">
        <v>728</v>
      </c>
      <c r="B496" s="95" t="s">
        <v>746</v>
      </c>
      <c r="C496" s="71" t="s">
        <v>550</v>
      </c>
      <c r="D496" s="74" t="s">
        <v>387</v>
      </c>
      <c r="E496" s="176">
        <f t="shared" si="27"/>
        <v>0</v>
      </c>
      <c r="F496" s="176">
        <f t="shared" si="27"/>
        <v>0</v>
      </c>
      <c r="G496" s="176">
        <f t="shared" si="27"/>
        <v>0</v>
      </c>
      <c r="H496" s="176">
        <f t="shared" si="27"/>
        <v>0</v>
      </c>
      <c r="I496" s="176">
        <f t="shared" si="27"/>
        <v>0</v>
      </c>
      <c r="J496" s="176">
        <f t="shared" si="27"/>
        <v>0</v>
      </c>
      <c r="K496" s="176">
        <f t="shared" si="27"/>
        <v>0</v>
      </c>
      <c r="L496" s="176">
        <f t="shared" si="27"/>
        <v>0</v>
      </c>
      <c r="M496" s="176">
        <f t="shared" si="27"/>
        <v>0</v>
      </c>
      <c r="N496" s="176">
        <f t="shared" si="27"/>
        <v>0</v>
      </c>
      <c r="O496" s="176">
        <f t="shared" si="27"/>
        <v>0</v>
      </c>
      <c r="P496" s="176">
        <f t="shared" si="27"/>
        <v>0</v>
      </c>
      <c r="Q496" s="176">
        <f t="shared" si="27"/>
        <v>0</v>
      </c>
      <c r="R496" s="176">
        <f t="shared" si="27"/>
        <v>0</v>
      </c>
      <c r="S496" s="176">
        <f t="shared" si="27"/>
        <v>0</v>
      </c>
      <c r="T496" s="176">
        <f t="shared" si="27"/>
        <v>0</v>
      </c>
      <c r="U496" s="176">
        <f t="shared" si="28"/>
        <v>0</v>
      </c>
      <c r="V496" s="176">
        <f t="shared" si="28"/>
        <v>0</v>
      </c>
      <c r="W496" s="176">
        <f t="shared" si="28"/>
        <v>0</v>
      </c>
      <c r="X496" s="176">
        <f t="shared" si="28"/>
        <v>0</v>
      </c>
      <c r="Y496" s="176">
        <f t="shared" si="28"/>
        <v>0</v>
      </c>
      <c r="Z496" s="176">
        <f t="shared" si="28"/>
        <v>0</v>
      </c>
      <c r="AA496" s="176">
        <f t="shared" si="28"/>
        <v>0</v>
      </c>
      <c r="AB496" s="176">
        <f t="shared" si="28"/>
        <v>0</v>
      </c>
      <c r="AC496" s="176">
        <f t="shared" si="28"/>
        <v>0</v>
      </c>
      <c r="AD496" s="176">
        <f t="shared" si="28"/>
        <v>0</v>
      </c>
      <c r="AE496" s="176">
        <f t="shared" si="28"/>
        <v>0</v>
      </c>
      <c r="AF496" s="287">
        <f t="shared" si="28"/>
        <v>0</v>
      </c>
    </row>
    <row r="497" spans="1:32" s="59" customFormat="1">
      <c r="A497" s="95" t="s">
        <v>728</v>
      </c>
      <c r="B497" s="95" t="s">
        <v>746</v>
      </c>
      <c r="C497" s="71" t="s">
        <v>552</v>
      </c>
      <c r="D497" s="74" t="s">
        <v>387</v>
      </c>
      <c r="E497" s="176">
        <f t="shared" si="27"/>
        <v>0</v>
      </c>
      <c r="F497" s="176">
        <f t="shared" si="27"/>
        <v>0</v>
      </c>
      <c r="G497" s="176">
        <f t="shared" si="27"/>
        <v>0</v>
      </c>
      <c r="H497" s="176">
        <f t="shared" si="27"/>
        <v>0</v>
      </c>
      <c r="I497" s="176">
        <f t="shared" si="27"/>
        <v>0</v>
      </c>
      <c r="J497" s="176">
        <f t="shared" si="27"/>
        <v>0</v>
      </c>
      <c r="K497" s="176">
        <f t="shared" si="27"/>
        <v>0</v>
      </c>
      <c r="L497" s="176">
        <f t="shared" si="27"/>
        <v>0</v>
      </c>
      <c r="M497" s="176">
        <f t="shared" si="27"/>
        <v>0</v>
      </c>
      <c r="N497" s="176">
        <f t="shared" si="27"/>
        <v>0</v>
      </c>
      <c r="O497" s="176">
        <f t="shared" si="27"/>
        <v>0</v>
      </c>
      <c r="P497" s="176">
        <f t="shared" si="27"/>
        <v>0</v>
      </c>
      <c r="Q497" s="176">
        <f t="shared" si="27"/>
        <v>0</v>
      </c>
      <c r="R497" s="176">
        <f t="shared" si="27"/>
        <v>0</v>
      </c>
      <c r="S497" s="176">
        <f t="shared" si="27"/>
        <v>0</v>
      </c>
      <c r="T497" s="176">
        <f t="shared" si="27"/>
        <v>0</v>
      </c>
      <c r="U497" s="176">
        <f t="shared" si="28"/>
        <v>0</v>
      </c>
      <c r="V497" s="176">
        <f t="shared" si="28"/>
        <v>0</v>
      </c>
      <c r="W497" s="176">
        <f t="shared" si="28"/>
        <v>0</v>
      </c>
      <c r="X497" s="176">
        <f t="shared" si="28"/>
        <v>0</v>
      </c>
      <c r="Y497" s="176">
        <f t="shared" si="28"/>
        <v>0</v>
      </c>
      <c r="Z497" s="176">
        <f t="shared" si="28"/>
        <v>0</v>
      </c>
      <c r="AA497" s="176">
        <f t="shared" si="28"/>
        <v>0</v>
      </c>
      <c r="AB497" s="176">
        <f t="shared" si="28"/>
        <v>0</v>
      </c>
      <c r="AC497" s="176">
        <f t="shared" si="28"/>
        <v>0</v>
      </c>
      <c r="AD497" s="176">
        <f t="shared" si="28"/>
        <v>0</v>
      </c>
      <c r="AE497" s="176">
        <f t="shared" si="28"/>
        <v>0</v>
      </c>
      <c r="AF497" s="287">
        <f t="shared" si="28"/>
        <v>0</v>
      </c>
    </row>
    <row r="498" spans="1:32" s="59" customFormat="1">
      <c r="A498" s="95" t="s">
        <v>728</v>
      </c>
      <c r="B498" s="95" t="s">
        <v>746</v>
      </c>
      <c r="C498" s="71" t="s">
        <v>554</v>
      </c>
      <c r="D498" s="74" t="s">
        <v>387</v>
      </c>
      <c r="E498" s="176">
        <f t="shared" si="27"/>
        <v>0</v>
      </c>
      <c r="F498" s="176">
        <f t="shared" si="27"/>
        <v>0</v>
      </c>
      <c r="G498" s="176">
        <f t="shared" si="27"/>
        <v>0</v>
      </c>
      <c r="H498" s="176">
        <f t="shared" si="27"/>
        <v>0</v>
      </c>
      <c r="I498" s="176">
        <f t="shared" si="27"/>
        <v>0</v>
      </c>
      <c r="J498" s="176">
        <f t="shared" si="27"/>
        <v>0</v>
      </c>
      <c r="K498" s="176">
        <f t="shared" si="27"/>
        <v>0</v>
      </c>
      <c r="L498" s="176">
        <f t="shared" si="27"/>
        <v>0</v>
      </c>
      <c r="M498" s="176">
        <f t="shared" si="27"/>
        <v>0</v>
      </c>
      <c r="N498" s="176">
        <f t="shared" si="27"/>
        <v>0</v>
      </c>
      <c r="O498" s="176">
        <f t="shared" si="27"/>
        <v>0</v>
      </c>
      <c r="P498" s="176">
        <f t="shared" si="27"/>
        <v>0</v>
      </c>
      <c r="Q498" s="176">
        <f t="shared" si="27"/>
        <v>0</v>
      </c>
      <c r="R498" s="176">
        <f t="shared" si="27"/>
        <v>0</v>
      </c>
      <c r="S498" s="176">
        <f t="shared" si="27"/>
        <v>0</v>
      </c>
      <c r="T498" s="176">
        <f t="shared" si="27"/>
        <v>0</v>
      </c>
      <c r="U498" s="176">
        <f t="shared" si="28"/>
        <v>0</v>
      </c>
      <c r="V498" s="176">
        <f t="shared" si="28"/>
        <v>0</v>
      </c>
      <c r="W498" s="176">
        <f t="shared" si="28"/>
        <v>0</v>
      </c>
      <c r="X498" s="176">
        <f t="shared" si="28"/>
        <v>0</v>
      </c>
      <c r="Y498" s="176">
        <f t="shared" si="28"/>
        <v>0</v>
      </c>
      <c r="Z498" s="176">
        <f t="shared" si="28"/>
        <v>0</v>
      </c>
      <c r="AA498" s="176">
        <f t="shared" si="28"/>
        <v>0</v>
      </c>
      <c r="AB498" s="176">
        <f t="shared" si="28"/>
        <v>0</v>
      </c>
      <c r="AC498" s="176">
        <f t="shared" si="28"/>
        <v>0</v>
      </c>
      <c r="AD498" s="176">
        <f t="shared" si="28"/>
        <v>0</v>
      </c>
      <c r="AE498" s="176">
        <f t="shared" si="28"/>
        <v>0</v>
      </c>
      <c r="AF498" s="287">
        <f t="shared" si="28"/>
        <v>0</v>
      </c>
    </row>
    <row r="499" spans="1:32" s="59" customFormat="1">
      <c r="A499" s="95" t="s">
        <v>728</v>
      </c>
      <c r="B499" s="95" t="s">
        <v>746</v>
      </c>
      <c r="C499" s="71" t="s">
        <v>556</v>
      </c>
      <c r="D499" s="74" t="s">
        <v>387</v>
      </c>
      <c r="E499" s="176">
        <f t="shared" si="27"/>
        <v>0</v>
      </c>
      <c r="F499" s="176">
        <f t="shared" si="27"/>
        <v>0</v>
      </c>
      <c r="G499" s="176">
        <f t="shared" si="27"/>
        <v>0</v>
      </c>
      <c r="H499" s="176">
        <f t="shared" si="27"/>
        <v>0</v>
      </c>
      <c r="I499" s="176">
        <f t="shared" si="27"/>
        <v>0</v>
      </c>
      <c r="J499" s="176">
        <f t="shared" si="27"/>
        <v>0</v>
      </c>
      <c r="K499" s="176">
        <f t="shared" si="27"/>
        <v>0</v>
      </c>
      <c r="L499" s="176">
        <f t="shared" si="27"/>
        <v>0</v>
      </c>
      <c r="M499" s="176">
        <f t="shared" si="27"/>
        <v>0</v>
      </c>
      <c r="N499" s="176">
        <f t="shared" si="27"/>
        <v>0</v>
      </c>
      <c r="O499" s="176">
        <f t="shared" si="27"/>
        <v>0</v>
      </c>
      <c r="P499" s="176">
        <f t="shared" si="27"/>
        <v>0</v>
      </c>
      <c r="Q499" s="176">
        <f t="shared" si="27"/>
        <v>0</v>
      </c>
      <c r="R499" s="176">
        <f t="shared" si="27"/>
        <v>0</v>
      </c>
      <c r="S499" s="176">
        <f t="shared" si="27"/>
        <v>0</v>
      </c>
      <c r="T499" s="176">
        <f t="shared" si="27"/>
        <v>0</v>
      </c>
      <c r="U499" s="176">
        <f t="shared" si="28"/>
        <v>0</v>
      </c>
      <c r="V499" s="176">
        <f t="shared" si="28"/>
        <v>0</v>
      </c>
      <c r="W499" s="176">
        <f t="shared" si="28"/>
        <v>0</v>
      </c>
      <c r="X499" s="176">
        <f t="shared" si="28"/>
        <v>0</v>
      </c>
      <c r="Y499" s="176">
        <f t="shared" si="28"/>
        <v>0</v>
      </c>
      <c r="Z499" s="176">
        <f t="shared" si="28"/>
        <v>0</v>
      </c>
      <c r="AA499" s="176">
        <f t="shared" si="28"/>
        <v>0</v>
      </c>
      <c r="AB499" s="176">
        <f t="shared" si="28"/>
        <v>0</v>
      </c>
      <c r="AC499" s="176">
        <f t="shared" si="28"/>
        <v>0</v>
      </c>
      <c r="AD499" s="176">
        <f t="shared" si="28"/>
        <v>0</v>
      </c>
      <c r="AE499" s="176">
        <f t="shared" si="28"/>
        <v>0</v>
      </c>
      <c r="AF499" s="287">
        <f t="shared" si="28"/>
        <v>0</v>
      </c>
    </row>
    <row r="500" spans="1:32" s="59" customFormat="1">
      <c r="A500" s="95" t="s">
        <v>728</v>
      </c>
      <c r="B500" s="95" t="s">
        <v>746</v>
      </c>
      <c r="C500" s="71" t="s">
        <v>558</v>
      </c>
      <c r="D500" s="74" t="s">
        <v>387</v>
      </c>
      <c r="E500" s="176">
        <f t="shared" si="27"/>
        <v>0</v>
      </c>
      <c r="F500" s="176">
        <f t="shared" si="27"/>
        <v>0</v>
      </c>
      <c r="G500" s="176">
        <f t="shared" si="27"/>
        <v>0</v>
      </c>
      <c r="H500" s="176">
        <f t="shared" si="27"/>
        <v>0</v>
      </c>
      <c r="I500" s="176">
        <f>SUMIFS(I$7:I$26,$C$7:$C$26,$C500)*SUMIFS(I$32:I$350,$C$32:$C$350,$B500,$B$32:$B$350,$C500)</f>
        <v>0</v>
      </c>
      <c r="J500" s="176">
        <f t="shared" si="27"/>
        <v>0</v>
      </c>
      <c r="K500" s="176">
        <f t="shared" si="27"/>
        <v>0</v>
      </c>
      <c r="L500" s="176">
        <f t="shared" si="27"/>
        <v>0</v>
      </c>
      <c r="M500" s="176">
        <f t="shared" si="27"/>
        <v>0</v>
      </c>
      <c r="N500" s="176">
        <f t="shared" si="27"/>
        <v>0</v>
      </c>
      <c r="O500" s="176">
        <f t="shared" si="27"/>
        <v>0</v>
      </c>
      <c r="P500" s="176">
        <f t="shared" si="27"/>
        <v>0</v>
      </c>
      <c r="Q500" s="176">
        <f t="shared" si="27"/>
        <v>0</v>
      </c>
      <c r="R500" s="176">
        <f t="shared" si="27"/>
        <v>0</v>
      </c>
      <c r="S500" s="176">
        <f t="shared" si="27"/>
        <v>0</v>
      </c>
      <c r="T500" s="176">
        <f t="shared" si="27"/>
        <v>0</v>
      </c>
      <c r="U500" s="176">
        <f t="shared" si="28"/>
        <v>0</v>
      </c>
      <c r="V500" s="176">
        <f t="shared" si="28"/>
        <v>0</v>
      </c>
      <c r="W500" s="176">
        <f t="shared" si="28"/>
        <v>0</v>
      </c>
      <c r="X500" s="176">
        <f t="shared" si="28"/>
        <v>0</v>
      </c>
      <c r="Y500" s="176">
        <f t="shared" si="28"/>
        <v>0</v>
      </c>
      <c r="Z500" s="176">
        <f t="shared" si="28"/>
        <v>0</v>
      </c>
      <c r="AA500" s="176">
        <f t="shared" si="28"/>
        <v>0</v>
      </c>
      <c r="AB500" s="176">
        <f t="shared" si="28"/>
        <v>0</v>
      </c>
      <c r="AC500" s="176">
        <f t="shared" si="28"/>
        <v>0</v>
      </c>
      <c r="AD500" s="176">
        <f t="shared" si="28"/>
        <v>0</v>
      </c>
      <c r="AE500" s="176">
        <f t="shared" si="28"/>
        <v>0</v>
      </c>
      <c r="AF500" s="287">
        <f t="shared" si="28"/>
        <v>0</v>
      </c>
    </row>
    <row r="501" spans="1:32" s="59" customFormat="1">
      <c r="A501" s="97" t="s">
        <v>728</v>
      </c>
      <c r="B501" s="76" t="s">
        <v>746</v>
      </c>
      <c r="C501" s="76" t="s">
        <v>560</v>
      </c>
      <c r="D501" s="77" t="s">
        <v>387</v>
      </c>
      <c r="E501" s="288">
        <f t="shared" si="27"/>
        <v>0</v>
      </c>
      <c r="F501" s="289">
        <f t="shared" si="27"/>
        <v>0</v>
      </c>
      <c r="G501" s="289">
        <f t="shared" si="27"/>
        <v>0</v>
      </c>
      <c r="H501" s="289">
        <f t="shared" si="27"/>
        <v>0</v>
      </c>
      <c r="I501" s="289">
        <f t="shared" si="27"/>
        <v>0</v>
      </c>
      <c r="J501" s="289">
        <f t="shared" si="27"/>
        <v>0</v>
      </c>
      <c r="K501" s="289">
        <f t="shared" si="27"/>
        <v>0</v>
      </c>
      <c r="L501" s="289">
        <f t="shared" si="27"/>
        <v>0</v>
      </c>
      <c r="M501" s="289">
        <f t="shared" si="27"/>
        <v>0</v>
      </c>
      <c r="N501" s="289">
        <f t="shared" si="27"/>
        <v>0</v>
      </c>
      <c r="O501" s="289">
        <f t="shared" si="27"/>
        <v>0</v>
      </c>
      <c r="P501" s="289">
        <f t="shared" si="27"/>
        <v>0</v>
      </c>
      <c r="Q501" s="289">
        <f t="shared" si="27"/>
        <v>0</v>
      </c>
      <c r="R501" s="289">
        <f t="shared" si="27"/>
        <v>0</v>
      </c>
      <c r="S501" s="289">
        <f t="shared" si="27"/>
        <v>0</v>
      </c>
      <c r="T501" s="289">
        <f t="shared" si="27"/>
        <v>0</v>
      </c>
      <c r="U501" s="289">
        <f t="shared" si="28"/>
        <v>0</v>
      </c>
      <c r="V501" s="289">
        <f t="shared" si="28"/>
        <v>0</v>
      </c>
      <c r="W501" s="289">
        <f t="shared" si="28"/>
        <v>0</v>
      </c>
      <c r="X501" s="289">
        <f t="shared" si="28"/>
        <v>0</v>
      </c>
      <c r="Y501" s="289">
        <f t="shared" si="28"/>
        <v>0</v>
      </c>
      <c r="Z501" s="289">
        <f t="shared" si="28"/>
        <v>0</v>
      </c>
      <c r="AA501" s="289">
        <f t="shared" si="28"/>
        <v>0</v>
      </c>
      <c r="AB501" s="289">
        <f t="shared" si="28"/>
        <v>0</v>
      </c>
      <c r="AC501" s="289">
        <f t="shared" si="28"/>
        <v>0</v>
      </c>
      <c r="AD501" s="289">
        <f t="shared" si="28"/>
        <v>0</v>
      </c>
      <c r="AE501" s="289">
        <f t="shared" si="28"/>
        <v>0</v>
      </c>
      <c r="AF501" s="290">
        <f t="shared" si="28"/>
        <v>0</v>
      </c>
    </row>
    <row r="503" spans="1:32" s="60" customFormat="1" ht="14.4">
      <c r="A503" s="86"/>
      <c r="B503" s="86"/>
      <c r="C503" s="63"/>
      <c r="D503" s="63"/>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86"/>
    </row>
    <row r="504" spans="1:32" s="59" customFormat="1">
      <c r="A504" s="90" t="s">
        <v>717</v>
      </c>
      <c r="B504" s="90" t="s">
        <v>727</v>
      </c>
      <c r="C504" s="68" t="s">
        <v>718</v>
      </c>
      <c r="D504" s="68" t="s">
        <v>375</v>
      </c>
      <c r="E504" s="69" t="s">
        <v>172</v>
      </c>
      <c r="F504" s="69" t="s">
        <v>175</v>
      </c>
      <c r="G504" s="69" t="s">
        <v>178</v>
      </c>
      <c r="H504" s="69" t="s">
        <v>181</v>
      </c>
      <c r="I504" s="69" t="s">
        <v>184</v>
      </c>
      <c r="J504" s="69" t="s">
        <v>187</v>
      </c>
      <c r="K504" s="69" t="s">
        <v>190</v>
      </c>
      <c r="L504" s="69" t="s">
        <v>193</v>
      </c>
      <c r="M504" s="69" t="s">
        <v>196</v>
      </c>
      <c r="N504" s="69" t="s">
        <v>198</v>
      </c>
      <c r="O504" s="69" t="s">
        <v>200</v>
      </c>
      <c r="P504" s="69" t="s">
        <v>202</v>
      </c>
      <c r="Q504" s="69" t="s">
        <v>205</v>
      </c>
      <c r="R504" s="69" t="s">
        <v>208</v>
      </c>
      <c r="S504" s="69" t="s">
        <v>211</v>
      </c>
      <c r="T504" s="69" t="s">
        <v>214</v>
      </c>
      <c r="U504" s="69" t="s">
        <v>217</v>
      </c>
      <c r="V504" s="69" t="s">
        <v>220</v>
      </c>
      <c r="W504" s="69" t="s">
        <v>223</v>
      </c>
      <c r="X504" s="69" t="s">
        <v>225</v>
      </c>
      <c r="Y504" s="69" t="s">
        <v>227</v>
      </c>
      <c r="Z504" s="69" t="s">
        <v>230</v>
      </c>
      <c r="AA504" s="69" t="s">
        <v>233</v>
      </c>
      <c r="AB504" s="69" t="s">
        <v>236</v>
      </c>
      <c r="AC504" s="69" t="s">
        <v>238</v>
      </c>
      <c r="AD504" s="69" t="s">
        <v>240</v>
      </c>
      <c r="AE504" s="69" t="s">
        <v>243</v>
      </c>
      <c r="AF504" s="91" t="s">
        <v>245</v>
      </c>
    </row>
    <row r="505" spans="1:32" s="59" customFormat="1">
      <c r="A505" s="95" t="s">
        <v>728</v>
      </c>
      <c r="B505" s="95" t="s">
        <v>737</v>
      </c>
      <c r="C505" s="71" t="s">
        <v>515</v>
      </c>
      <c r="D505" s="74" t="s">
        <v>387</v>
      </c>
      <c r="E505" s="176">
        <f>SUMIFS(E$7:E$26,$C$7:$C$26,$C505)*SUMIFS(E$32:E$350,$C$32:$C$350,$B505,$B$32:$B$350,$C505)</f>
        <v>0</v>
      </c>
      <c r="F505" s="176">
        <f t="shared" ref="F505:AF514" si="29">SUMIFS(F$7:F$26,$C$7:$C$26,$C505)*SUMIFS(F$32:F$350,$C$32:$C$350,$B505,$B$32:$B$350,$C505)</f>
        <v>0</v>
      </c>
      <c r="G505" s="176">
        <f>SUMIFS(G$7:G$26,$C$7:$C$26,$C505)*SUMIFS(G$32:G$350,$C$32:$C$350,$B505,$B$32:$B$350,$C505)</f>
        <v>0</v>
      </c>
      <c r="H505" s="176">
        <f t="shared" si="29"/>
        <v>0</v>
      </c>
      <c r="I505" s="176">
        <f t="shared" si="29"/>
        <v>0</v>
      </c>
      <c r="J505" s="176">
        <f t="shared" si="29"/>
        <v>0</v>
      </c>
      <c r="K505" s="176">
        <f t="shared" si="29"/>
        <v>0</v>
      </c>
      <c r="L505" s="176">
        <f t="shared" si="29"/>
        <v>0</v>
      </c>
      <c r="M505" s="176">
        <f t="shared" si="29"/>
        <v>0</v>
      </c>
      <c r="N505" s="176">
        <f t="shared" si="29"/>
        <v>0</v>
      </c>
      <c r="O505" s="176">
        <f t="shared" si="29"/>
        <v>0</v>
      </c>
      <c r="P505" s="176">
        <f t="shared" si="29"/>
        <v>0</v>
      </c>
      <c r="Q505" s="176">
        <f t="shared" si="29"/>
        <v>0</v>
      </c>
      <c r="R505" s="176">
        <f t="shared" si="29"/>
        <v>0</v>
      </c>
      <c r="S505" s="176">
        <f t="shared" si="29"/>
        <v>0</v>
      </c>
      <c r="T505" s="176">
        <f t="shared" si="29"/>
        <v>0</v>
      </c>
      <c r="U505" s="176">
        <f t="shared" si="29"/>
        <v>0</v>
      </c>
      <c r="V505" s="176">
        <f t="shared" si="29"/>
        <v>0</v>
      </c>
      <c r="W505" s="176">
        <f t="shared" si="29"/>
        <v>0</v>
      </c>
      <c r="X505" s="176">
        <f t="shared" si="29"/>
        <v>0</v>
      </c>
      <c r="Y505" s="176">
        <f t="shared" si="29"/>
        <v>0</v>
      </c>
      <c r="Z505" s="176">
        <f t="shared" si="29"/>
        <v>0</v>
      </c>
      <c r="AA505" s="176">
        <f t="shared" si="29"/>
        <v>0</v>
      </c>
      <c r="AB505" s="176">
        <f t="shared" si="29"/>
        <v>0</v>
      </c>
      <c r="AC505" s="176">
        <f t="shared" si="29"/>
        <v>0</v>
      </c>
      <c r="AD505" s="176">
        <f t="shared" si="29"/>
        <v>0</v>
      </c>
      <c r="AE505" s="176">
        <f t="shared" si="29"/>
        <v>0</v>
      </c>
      <c r="AF505" s="286">
        <f t="shared" si="29"/>
        <v>0</v>
      </c>
    </row>
    <row r="506" spans="1:32" s="59" customFormat="1">
      <c r="A506" s="95" t="s">
        <v>728</v>
      </c>
      <c r="B506" s="95" t="s">
        <v>737</v>
      </c>
      <c r="C506" s="71" t="s">
        <v>521</v>
      </c>
      <c r="D506" s="74" t="s">
        <v>387</v>
      </c>
      <c r="E506" s="176">
        <f t="shared" ref="E506:T524" si="30">SUMIFS(E$7:E$26,$C$7:$C$26,$C506)*SUMIFS(E$32:E$350,$C$32:$C$350,$B506,$B$32:$B$350,$C506)</f>
        <v>0</v>
      </c>
      <c r="F506" s="176">
        <f t="shared" si="29"/>
        <v>0</v>
      </c>
      <c r="G506" s="176">
        <f t="shared" si="29"/>
        <v>0</v>
      </c>
      <c r="H506" s="176">
        <f t="shared" si="29"/>
        <v>0</v>
      </c>
      <c r="I506" s="176">
        <f t="shared" si="29"/>
        <v>-343.23908968469266</v>
      </c>
      <c r="J506" s="176">
        <f t="shared" si="29"/>
        <v>0</v>
      </c>
      <c r="K506" s="176">
        <f t="shared" si="29"/>
        <v>0</v>
      </c>
      <c r="L506" s="176">
        <f t="shared" si="29"/>
        <v>0</v>
      </c>
      <c r="M506" s="176">
        <f t="shared" si="29"/>
        <v>0</v>
      </c>
      <c r="N506" s="176">
        <f t="shared" si="29"/>
        <v>0</v>
      </c>
      <c r="O506" s="176">
        <f t="shared" si="29"/>
        <v>0</v>
      </c>
      <c r="P506" s="176">
        <f t="shared" si="29"/>
        <v>0</v>
      </c>
      <c r="Q506" s="176">
        <f t="shared" si="29"/>
        <v>0</v>
      </c>
      <c r="R506" s="176">
        <f t="shared" si="29"/>
        <v>-2018.3864638273224</v>
      </c>
      <c r="S506" s="176">
        <f t="shared" si="29"/>
        <v>-6173.1870808589774</v>
      </c>
      <c r="T506" s="176">
        <f t="shared" si="29"/>
        <v>-13092.296565831664</v>
      </c>
      <c r="U506" s="176">
        <f t="shared" si="29"/>
        <v>-22583.913464803045</v>
      </c>
      <c r="V506" s="176">
        <f t="shared" si="29"/>
        <v>0</v>
      </c>
      <c r="W506" s="176">
        <f t="shared" si="29"/>
        <v>0</v>
      </c>
      <c r="X506" s="176">
        <f t="shared" si="29"/>
        <v>-57681</v>
      </c>
      <c r="Y506" s="176">
        <f t="shared" si="29"/>
        <v>0</v>
      </c>
      <c r="Z506" s="176">
        <f t="shared" si="29"/>
        <v>-9134.8176888869166</v>
      </c>
      <c r="AA506" s="176">
        <f t="shared" si="29"/>
        <v>-4105</v>
      </c>
      <c r="AB506" s="176">
        <f t="shared" si="29"/>
        <v>0</v>
      </c>
      <c r="AC506" s="176">
        <f t="shared" si="29"/>
        <v>0</v>
      </c>
      <c r="AD506" s="176">
        <f t="shared" si="29"/>
        <v>-3778</v>
      </c>
      <c r="AE506" s="176">
        <f t="shared" si="29"/>
        <v>-48902.936243436154</v>
      </c>
      <c r="AF506" s="287">
        <f t="shared" si="29"/>
        <v>-392.00000000000006</v>
      </c>
    </row>
    <row r="507" spans="1:32" s="59" customFormat="1">
      <c r="A507" s="95" t="s">
        <v>728</v>
      </c>
      <c r="B507" s="95" t="s">
        <v>737</v>
      </c>
      <c r="C507" s="71" t="s">
        <v>523</v>
      </c>
      <c r="D507" s="74" t="s">
        <v>387</v>
      </c>
      <c r="E507" s="176">
        <f t="shared" si="30"/>
        <v>0</v>
      </c>
      <c r="F507" s="176">
        <f t="shared" si="29"/>
        <v>0</v>
      </c>
      <c r="G507" s="176">
        <f t="shared" si="29"/>
        <v>0</v>
      </c>
      <c r="H507" s="176">
        <f t="shared" si="29"/>
        <v>0</v>
      </c>
      <c r="I507" s="176">
        <f t="shared" si="29"/>
        <v>0</v>
      </c>
      <c r="J507" s="176">
        <f t="shared" si="29"/>
        <v>0</v>
      </c>
      <c r="K507" s="176">
        <f t="shared" si="29"/>
        <v>0</v>
      </c>
      <c r="L507" s="176">
        <f t="shared" si="29"/>
        <v>0</v>
      </c>
      <c r="M507" s="176">
        <f t="shared" si="29"/>
        <v>0</v>
      </c>
      <c r="N507" s="176">
        <f t="shared" si="29"/>
        <v>0</v>
      </c>
      <c r="O507" s="176">
        <f t="shared" si="29"/>
        <v>0</v>
      </c>
      <c r="P507" s="176">
        <f t="shared" si="29"/>
        <v>0</v>
      </c>
      <c r="Q507" s="176">
        <f t="shared" si="29"/>
        <v>0</v>
      </c>
      <c r="R507" s="176">
        <f t="shared" si="29"/>
        <v>0</v>
      </c>
      <c r="S507" s="176">
        <f t="shared" si="29"/>
        <v>0</v>
      </c>
      <c r="T507" s="176">
        <f t="shared" si="29"/>
        <v>0</v>
      </c>
      <c r="U507" s="176">
        <f t="shared" si="29"/>
        <v>0</v>
      </c>
      <c r="V507" s="176">
        <f t="shared" si="29"/>
        <v>0</v>
      </c>
      <c r="W507" s="176">
        <f t="shared" si="29"/>
        <v>0</v>
      </c>
      <c r="X507" s="176">
        <f t="shared" si="29"/>
        <v>0</v>
      </c>
      <c r="Y507" s="176">
        <f t="shared" si="29"/>
        <v>0</v>
      </c>
      <c r="Z507" s="176">
        <f t="shared" si="29"/>
        <v>0</v>
      </c>
      <c r="AA507" s="176">
        <f t="shared" si="29"/>
        <v>0</v>
      </c>
      <c r="AB507" s="176">
        <f t="shared" si="29"/>
        <v>0</v>
      </c>
      <c r="AC507" s="176">
        <f t="shared" si="29"/>
        <v>0</v>
      </c>
      <c r="AD507" s="176">
        <f t="shared" si="29"/>
        <v>0</v>
      </c>
      <c r="AE507" s="176">
        <f t="shared" si="29"/>
        <v>0</v>
      </c>
      <c r="AF507" s="287">
        <f t="shared" si="29"/>
        <v>0</v>
      </c>
    </row>
    <row r="508" spans="1:32" s="59" customFormat="1">
      <c r="A508" s="95" t="s">
        <v>728</v>
      </c>
      <c r="B508" s="95" t="s">
        <v>737</v>
      </c>
      <c r="C508" s="71" t="s">
        <v>525</v>
      </c>
      <c r="D508" s="74" t="s">
        <v>387</v>
      </c>
      <c r="E508" s="176">
        <f t="shared" si="30"/>
        <v>0</v>
      </c>
      <c r="F508" s="176">
        <f t="shared" si="29"/>
        <v>0</v>
      </c>
      <c r="G508" s="176">
        <f t="shared" si="29"/>
        <v>0</v>
      </c>
      <c r="H508" s="176">
        <f t="shared" si="29"/>
        <v>0</v>
      </c>
      <c r="I508" s="176">
        <f t="shared" si="29"/>
        <v>0</v>
      </c>
      <c r="J508" s="176">
        <f t="shared" si="29"/>
        <v>0</v>
      </c>
      <c r="K508" s="176">
        <f t="shared" si="29"/>
        <v>0</v>
      </c>
      <c r="L508" s="176">
        <f t="shared" si="29"/>
        <v>0</v>
      </c>
      <c r="M508" s="176">
        <f t="shared" si="29"/>
        <v>0</v>
      </c>
      <c r="N508" s="176">
        <f t="shared" si="29"/>
        <v>0</v>
      </c>
      <c r="O508" s="176">
        <f t="shared" si="29"/>
        <v>0</v>
      </c>
      <c r="P508" s="176">
        <f t="shared" si="29"/>
        <v>0</v>
      </c>
      <c r="Q508" s="176">
        <f t="shared" si="29"/>
        <v>0</v>
      </c>
      <c r="R508" s="176">
        <f t="shared" si="29"/>
        <v>0</v>
      </c>
      <c r="S508" s="176">
        <f t="shared" si="29"/>
        <v>0</v>
      </c>
      <c r="T508" s="176">
        <f t="shared" si="29"/>
        <v>0</v>
      </c>
      <c r="U508" s="176">
        <f t="shared" si="29"/>
        <v>0</v>
      </c>
      <c r="V508" s="176">
        <f t="shared" si="29"/>
        <v>0</v>
      </c>
      <c r="W508" s="176">
        <f t="shared" si="29"/>
        <v>0</v>
      </c>
      <c r="X508" s="176">
        <f t="shared" si="29"/>
        <v>0</v>
      </c>
      <c r="Y508" s="176">
        <f t="shared" si="29"/>
        <v>0</v>
      </c>
      <c r="Z508" s="176">
        <f t="shared" si="29"/>
        <v>0</v>
      </c>
      <c r="AA508" s="176">
        <f t="shared" si="29"/>
        <v>0</v>
      </c>
      <c r="AB508" s="176">
        <f t="shared" si="29"/>
        <v>0</v>
      </c>
      <c r="AC508" s="176">
        <f t="shared" si="29"/>
        <v>0</v>
      </c>
      <c r="AD508" s="176">
        <f t="shared" si="29"/>
        <v>0</v>
      </c>
      <c r="AE508" s="176">
        <f t="shared" si="29"/>
        <v>0</v>
      </c>
      <c r="AF508" s="287">
        <f t="shared" si="29"/>
        <v>0</v>
      </c>
    </row>
    <row r="509" spans="1:32" s="59" customFormat="1">
      <c r="A509" s="95" t="s">
        <v>728</v>
      </c>
      <c r="B509" s="95" t="s">
        <v>737</v>
      </c>
      <c r="C509" s="71" t="s">
        <v>527</v>
      </c>
      <c r="D509" s="74" t="s">
        <v>387</v>
      </c>
      <c r="E509" s="176">
        <f t="shared" si="30"/>
        <v>0</v>
      </c>
      <c r="F509" s="176">
        <f t="shared" si="29"/>
        <v>0</v>
      </c>
      <c r="G509" s="176">
        <f t="shared" si="29"/>
        <v>0</v>
      </c>
      <c r="H509" s="176">
        <f t="shared" si="29"/>
        <v>0</v>
      </c>
      <c r="I509" s="176">
        <f t="shared" si="29"/>
        <v>0</v>
      </c>
      <c r="J509" s="176">
        <f t="shared" si="29"/>
        <v>0</v>
      </c>
      <c r="K509" s="176">
        <f t="shared" si="29"/>
        <v>0</v>
      </c>
      <c r="L509" s="176">
        <f t="shared" si="29"/>
        <v>0</v>
      </c>
      <c r="M509" s="176">
        <f t="shared" si="29"/>
        <v>0</v>
      </c>
      <c r="N509" s="176">
        <f t="shared" si="29"/>
        <v>0</v>
      </c>
      <c r="O509" s="176">
        <f t="shared" si="29"/>
        <v>0</v>
      </c>
      <c r="P509" s="176">
        <f t="shared" si="29"/>
        <v>-531880.84809726663</v>
      </c>
      <c r="Q509" s="176">
        <f t="shared" si="29"/>
        <v>0</v>
      </c>
      <c r="R509" s="176">
        <f t="shared" si="29"/>
        <v>0</v>
      </c>
      <c r="S509" s="176">
        <f t="shared" si="29"/>
        <v>-2388.6757055377075</v>
      </c>
      <c r="T509" s="176">
        <f t="shared" si="29"/>
        <v>0</v>
      </c>
      <c r="U509" s="176">
        <f t="shared" si="29"/>
        <v>-837.71245197245696</v>
      </c>
      <c r="V509" s="176">
        <f t="shared" si="29"/>
        <v>0</v>
      </c>
      <c r="W509" s="176">
        <f t="shared" si="29"/>
        <v>0</v>
      </c>
      <c r="X509" s="176">
        <f t="shared" si="29"/>
        <v>-2487.4320968049965</v>
      </c>
      <c r="Y509" s="176">
        <f t="shared" si="29"/>
        <v>0</v>
      </c>
      <c r="Z509" s="176">
        <f t="shared" si="29"/>
        <v>0</v>
      </c>
      <c r="AA509" s="176">
        <f t="shared" si="29"/>
        <v>0</v>
      </c>
      <c r="AB509" s="176">
        <f t="shared" si="29"/>
        <v>0</v>
      </c>
      <c r="AC509" s="176">
        <f t="shared" si="29"/>
        <v>0</v>
      </c>
      <c r="AD509" s="176">
        <f t="shared" si="29"/>
        <v>0</v>
      </c>
      <c r="AE509" s="176">
        <f t="shared" si="29"/>
        <v>0</v>
      </c>
      <c r="AF509" s="287">
        <f t="shared" si="29"/>
        <v>0</v>
      </c>
    </row>
    <row r="510" spans="1:32" s="59" customFormat="1">
      <c r="A510" s="95" t="s">
        <v>728</v>
      </c>
      <c r="B510" s="95" t="s">
        <v>737</v>
      </c>
      <c r="C510" s="71" t="s">
        <v>529</v>
      </c>
      <c r="D510" s="74" t="s">
        <v>387</v>
      </c>
      <c r="E510" s="176">
        <f t="shared" si="30"/>
        <v>0</v>
      </c>
      <c r="F510" s="176">
        <f t="shared" si="29"/>
        <v>0</v>
      </c>
      <c r="G510" s="176">
        <f t="shared" si="29"/>
        <v>0</v>
      </c>
      <c r="H510" s="176">
        <f t="shared" si="29"/>
        <v>0</v>
      </c>
      <c r="I510" s="176">
        <f t="shared" si="29"/>
        <v>0</v>
      </c>
      <c r="J510" s="176">
        <f t="shared" si="29"/>
        <v>0</v>
      </c>
      <c r="K510" s="176">
        <f t="shared" si="29"/>
        <v>0</v>
      </c>
      <c r="L510" s="176">
        <f t="shared" si="29"/>
        <v>0</v>
      </c>
      <c r="M510" s="176">
        <f t="shared" si="29"/>
        <v>0</v>
      </c>
      <c r="N510" s="176">
        <f t="shared" si="29"/>
        <v>0</v>
      </c>
      <c r="O510" s="176">
        <f t="shared" si="29"/>
        <v>0</v>
      </c>
      <c r="P510" s="176">
        <f t="shared" si="29"/>
        <v>0</v>
      </c>
      <c r="Q510" s="176">
        <f t="shared" si="29"/>
        <v>0</v>
      </c>
      <c r="R510" s="176">
        <f t="shared" si="29"/>
        <v>0</v>
      </c>
      <c r="S510" s="176">
        <f t="shared" si="29"/>
        <v>0</v>
      </c>
      <c r="T510" s="176">
        <f t="shared" si="29"/>
        <v>0</v>
      </c>
      <c r="U510" s="176">
        <f t="shared" si="29"/>
        <v>0</v>
      </c>
      <c r="V510" s="176">
        <f t="shared" si="29"/>
        <v>0</v>
      </c>
      <c r="W510" s="176">
        <f t="shared" si="29"/>
        <v>0</v>
      </c>
      <c r="X510" s="176">
        <f t="shared" si="29"/>
        <v>0</v>
      </c>
      <c r="Y510" s="176">
        <f t="shared" si="29"/>
        <v>0</v>
      </c>
      <c r="Z510" s="176">
        <f t="shared" si="29"/>
        <v>0</v>
      </c>
      <c r="AA510" s="176">
        <f t="shared" si="29"/>
        <v>0</v>
      </c>
      <c r="AB510" s="176">
        <f t="shared" si="29"/>
        <v>0</v>
      </c>
      <c r="AC510" s="176">
        <f t="shared" si="29"/>
        <v>0</v>
      </c>
      <c r="AD510" s="176">
        <f t="shared" si="29"/>
        <v>0</v>
      </c>
      <c r="AE510" s="176">
        <f t="shared" si="29"/>
        <v>0</v>
      </c>
      <c r="AF510" s="287">
        <f t="shared" si="29"/>
        <v>0</v>
      </c>
    </row>
    <row r="511" spans="1:32" s="59" customFormat="1">
      <c r="A511" s="95" t="s">
        <v>728</v>
      </c>
      <c r="B511" s="95" t="s">
        <v>737</v>
      </c>
      <c r="C511" s="71" t="s">
        <v>531</v>
      </c>
      <c r="D511" s="74" t="s">
        <v>387</v>
      </c>
      <c r="E511" s="176">
        <f t="shared" si="30"/>
        <v>0</v>
      </c>
      <c r="F511" s="176">
        <f t="shared" si="29"/>
        <v>0</v>
      </c>
      <c r="G511" s="176">
        <f t="shared" si="29"/>
        <v>0</v>
      </c>
      <c r="H511" s="176">
        <f t="shared" si="29"/>
        <v>0</v>
      </c>
      <c r="I511" s="176">
        <f t="shared" si="29"/>
        <v>-21373</v>
      </c>
      <c r="J511" s="176">
        <f t="shared" si="29"/>
        <v>-14455</v>
      </c>
      <c r="K511" s="176">
        <f t="shared" si="29"/>
        <v>0</v>
      </c>
      <c r="L511" s="176">
        <f t="shared" si="29"/>
        <v>0</v>
      </c>
      <c r="M511" s="176">
        <f t="shared" si="29"/>
        <v>-8330</v>
      </c>
      <c r="N511" s="176">
        <f t="shared" si="29"/>
        <v>0</v>
      </c>
      <c r="O511" s="176">
        <f t="shared" si="29"/>
        <v>0</v>
      </c>
      <c r="P511" s="176">
        <f t="shared" si="29"/>
        <v>-369374.83114535769</v>
      </c>
      <c r="Q511" s="176">
        <f t="shared" si="29"/>
        <v>-21117.344559205052</v>
      </c>
      <c r="R511" s="176">
        <f t="shared" si="29"/>
        <v>-5570.6302147304223</v>
      </c>
      <c r="S511" s="176">
        <f t="shared" si="29"/>
        <v>-55905.069996105311</v>
      </c>
      <c r="T511" s="176">
        <f t="shared" si="29"/>
        <v>-4583</v>
      </c>
      <c r="U511" s="176">
        <f t="shared" si="29"/>
        <v>-26224.61879398688</v>
      </c>
      <c r="V511" s="176">
        <f t="shared" si="29"/>
        <v>0</v>
      </c>
      <c r="W511" s="176">
        <f t="shared" si="29"/>
        <v>-61097</v>
      </c>
      <c r="X511" s="176">
        <f t="shared" si="29"/>
        <v>-58700</v>
      </c>
      <c r="Y511" s="176">
        <f t="shared" si="29"/>
        <v>-1746</v>
      </c>
      <c r="Z511" s="176">
        <f t="shared" si="29"/>
        <v>-9026.3172530716711</v>
      </c>
      <c r="AA511" s="176">
        <f t="shared" si="29"/>
        <v>-2632</v>
      </c>
      <c r="AB511" s="176">
        <f t="shared" si="29"/>
        <v>0</v>
      </c>
      <c r="AC511" s="176">
        <f t="shared" si="29"/>
        <v>0</v>
      </c>
      <c r="AD511" s="176">
        <f t="shared" si="29"/>
        <v>-42118</v>
      </c>
      <c r="AE511" s="176">
        <f t="shared" si="29"/>
        <v>-14264.126640136579</v>
      </c>
      <c r="AF511" s="287">
        <f t="shared" si="29"/>
        <v>-21455</v>
      </c>
    </row>
    <row r="512" spans="1:32" s="59" customFormat="1">
      <c r="A512" s="95" t="s">
        <v>728</v>
      </c>
      <c r="B512" s="95" t="s">
        <v>737</v>
      </c>
      <c r="C512" s="71" t="s">
        <v>533</v>
      </c>
      <c r="D512" s="74" t="s">
        <v>387</v>
      </c>
      <c r="E512" s="176">
        <f t="shared" si="30"/>
        <v>0</v>
      </c>
      <c r="F512" s="176">
        <f t="shared" si="29"/>
        <v>0</v>
      </c>
      <c r="G512" s="176">
        <f t="shared" si="29"/>
        <v>0</v>
      </c>
      <c r="H512" s="176">
        <f t="shared" si="29"/>
        <v>-770</v>
      </c>
      <c r="I512" s="176">
        <f t="shared" si="29"/>
        <v>0</v>
      </c>
      <c r="J512" s="176">
        <f t="shared" si="29"/>
        <v>0</v>
      </c>
      <c r="K512" s="176">
        <f t="shared" si="29"/>
        <v>0</v>
      </c>
      <c r="L512" s="176">
        <f t="shared" si="29"/>
        <v>0</v>
      </c>
      <c r="M512" s="176">
        <f t="shared" si="29"/>
        <v>0</v>
      </c>
      <c r="N512" s="176">
        <f t="shared" si="29"/>
        <v>0</v>
      </c>
      <c r="O512" s="176">
        <f t="shared" si="29"/>
        <v>0</v>
      </c>
      <c r="P512" s="176">
        <f t="shared" si="29"/>
        <v>-13865.723968565815</v>
      </c>
      <c r="Q512" s="176">
        <f t="shared" si="29"/>
        <v>0</v>
      </c>
      <c r="R512" s="176">
        <f t="shared" si="29"/>
        <v>0</v>
      </c>
      <c r="S512" s="176">
        <f t="shared" si="29"/>
        <v>0</v>
      </c>
      <c r="T512" s="176">
        <f t="shared" si="29"/>
        <v>-1645</v>
      </c>
      <c r="U512" s="176">
        <f t="shared" si="29"/>
        <v>0</v>
      </c>
      <c r="V512" s="176">
        <f t="shared" si="29"/>
        <v>0</v>
      </c>
      <c r="W512" s="176">
        <f t="shared" si="29"/>
        <v>0</v>
      </c>
      <c r="X512" s="176">
        <f t="shared" si="29"/>
        <v>0</v>
      </c>
      <c r="Y512" s="176">
        <f t="shared" si="29"/>
        <v>0</v>
      </c>
      <c r="Z512" s="176">
        <f t="shared" si="29"/>
        <v>0</v>
      </c>
      <c r="AA512" s="176">
        <f t="shared" si="29"/>
        <v>0</v>
      </c>
      <c r="AB512" s="176">
        <f t="shared" si="29"/>
        <v>-1576</v>
      </c>
      <c r="AC512" s="176">
        <f t="shared" si="29"/>
        <v>0</v>
      </c>
      <c r="AD512" s="176">
        <f t="shared" si="29"/>
        <v>0</v>
      </c>
      <c r="AE512" s="176">
        <f t="shared" si="29"/>
        <v>0</v>
      </c>
      <c r="AF512" s="287">
        <f t="shared" si="29"/>
        <v>0</v>
      </c>
    </row>
    <row r="513" spans="1:32" s="59" customFormat="1">
      <c r="A513" s="95" t="s">
        <v>728</v>
      </c>
      <c r="B513" s="95" t="s">
        <v>737</v>
      </c>
      <c r="C513" s="71" t="s">
        <v>535</v>
      </c>
      <c r="D513" s="74" t="s">
        <v>387</v>
      </c>
      <c r="E513" s="176">
        <f t="shared" si="30"/>
        <v>0</v>
      </c>
      <c r="F513" s="176">
        <f t="shared" si="29"/>
        <v>0</v>
      </c>
      <c r="G513" s="176">
        <f t="shared" si="29"/>
        <v>0</v>
      </c>
      <c r="H513" s="176">
        <f t="shared" si="29"/>
        <v>0</v>
      </c>
      <c r="I513" s="176">
        <f t="shared" si="29"/>
        <v>0</v>
      </c>
      <c r="J513" s="176">
        <f t="shared" si="29"/>
        <v>0</v>
      </c>
      <c r="K513" s="176">
        <f t="shared" si="29"/>
        <v>0</v>
      </c>
      <c r="L513" s="176">
        <f t="shared" si="29"/>
        <v>0</v>
      </c>
      <c r="M513" s="176">
        <f t="shared" si="29"/>
        <v>0</v>
      </c>
      <c r="N513" s="176">
        <f t="shared" si="29"/>
        <v>0</v>
      </c>
      <c r="O513" s="176">
        <f t="shared" si="29"/>
        <v>0</v>
      </c>
      <c r="P513" s="176">
        <f t="shared" si="29"/>
        <v>0</v>
      </c>
      <c r="Q513" s="176">
        <f t="shared" si="29"/>
        <v>0</v>
      </c>
      <c r="R513" s="176">
        <f t="shared" si="29"/>
        <v>0</v>
      </c>
      <c r="S513" s="176">
        <f t="shared" si="29"/>
        <v>-2.1663499802817907</v>
      </c>
      <c r="T513" s="176">
        <f t="shared" si="29"/>
        <v>0</v>
      </c>
      <c r="U513" s="176">
        <f t="shared" si="29"/>
        <v>-59.659038265542478</v>
      </c>
      <c r="V513" s="176">
        <f t="shared" si="29"/>
        <v>0</v>
      </c>
      <c r="W513" s="176">
        <f t="shared" si="29"/>
        <v>0</v>
      </c>
      <c r="X513" s="176">
        <f t="shared" si="29"/>
        <v>-816.2178173115999</v>
      </c>
      <c r="Y513" s="176">
        <f t="shared" si="29"/>
        <v>0</v>
      </c>
      <c r="Z513" s="176">
        <f t="shared" si="29"/>
        <v>0</v>
      </c>
      <c r="AA513" s="176">
        <f t="shared" si="29"/>
        <v>0</v>
      </c>
      <c r="AB513" s="176">
        <f t="shared" si="29"/>
        <v>0</v>
      </c>
      <c r="AC513" s="176">
        <f t="shared" si="29"/>
        <v>0</v>
      </c>
      <c r="AD513" s="176">
        <f t="shared" si="29"/>
        <v>0</v>
      </c>
      <c r="AE513" s="176">
        <f t="shared" si="29"/>
        <v>0</v>
      </c>
      <c r="AF513" s="287">
        <f t="shared" si="29"/>
        <v>0</v>
      </c>
    </row>
    <row r="514" spans="1:32" s="59" customFormat="1">
      <c r="A514" s="95" t="s">
        <v>728</v>
      </c>
      <c r="B514" s="95" t="s">
        <v>737</v>
      </c>
      <c r="C514" s="71" t="s">
        <v>537</v>
      </c>
      <c r="D514" s="74" t="s">
        <v>387</v>
      </c>
      <c r="E514" s="176">
        <f t="shared" si="30"/>
        <v>0</v>
      </c>
      <c r="F514" s="176">
        <f t="shared" si="29"/>
        <v>0</v>
      </c>
      <c r="G514" s="176">
        <f t="shared" si="29"/>
        <v>0</v>
      </c>
      <c r="H514" s="176">
        <f t="shared" si="29"/>
        <v>0</v>
      </c>
      <c r="I514" s="176">
        <f t="shared" si="29"/>
        <v>-474.99046864109357</v>
      </c>
      <c r="J514" s="176">
        <f t="shared" si="29"/>
        <v>0</v>
      </c>
      <c r="K514" s="176">
        <f t="shared" si="29"/>
        <v>0</v>
      </c>
      <c r="L514" s="176">
        <f t="shared" si="29"/>
        <v>0</v>
      </c>
      <c r="M514" s="176">
        <f t="shared" si="29"/>
        <v>0</v>
      </c>
      <c r="N514" s="176">
        <f t="shared" si="29"/>
        <v>0</v>
      </c>
      <c r="O514" s="176">
        <f t="shared" si="29"/>
        <v>0</v>
      </c>
      <c r="P514" s="176">
        <f t="shared" si="29"/>
        <v>0</v>
      </c>
      <c r="Q514" s="176">
        <f t="shared" si="29"/>
        <v>-1605.4761487661408</v>
      </c>
      <c r="R514" s="176">
        <f t="shared" si="29"/>
        <v>0</v>
      </c>
      <c r="S514" s="176">
        <f t="shared" ref="S514:AF524" si="31">SUMIFS(S$7:S$26,$C$7:$C$26,$C514)*SUMIFS(S$32:S$350,$C$32:$C$350,$B514,$B$32:$B$350,$C514)</f>
        <v>-3528.9988724617024</v>
      </c>
      <c r="T514" s="176">
        <f t="shared" si="31"/>
        <v>-172.30168605137203</v>
      </c>
      <c r="U514" s="176">
        <f t="shared" si="31"/>
        <v>-1315.4388488982866</v>
      </c>
      <c r="V514" s="176">
        <f t="shared" si="31"/>
        <v>0</v>
      </c>
      <c r="W514" s="176">
        <f t="shared" si="31"/>
        <v>-1206</v>
      </c>
      <c r="X514" s="176">
        <f t="shared" si="31"/>
        <v>-8553.2713401595793</v>
      </c>
      <c r="Y514" s="176">
        <f t="shared" si="31"/>
        <v>0</v>
      </c>
      <c r="Z514" s="176">
        <f t="shared" si="31"/>
        <v>0</v>
      </c>
      <c r="AA514" s="176">
        <f t="shared" si="31"/>
        <v>-164.73598875364112</v>
      </c>
      <c r="AB514" s="176">
        <f t="shared" si="31"/>
        <v>0</v>
      </c>
      <c r="AC514" s="176">
        <f t="shared" si="31"/>
        <v>0</v>
      </c>
      <c r="AD514" s="176">
        <f t="shared" si="31"/>
        <v>0</v>
      </c>
      <c r="AE514" s="176">
        <f t="shared" si="31"/>
        <v>0</v>
      </c>
      <c r="AF514" s="287">
        <f t="shared" si="31"/>
        <v>-1396.0401793561298</v>
      </c>
    </row>
    <row r="515" spans="1:32" s="59" customFormat="1">
      <c r="A515" s="95" t="s">
        <v>728</v>
      </c>
      <c r="B515" s="95" t="s">
        <v>737</v>
      </c>
      <c r="C515" s="71" t="s">
        <v>541</v>
      </c>
      <c r="D515" s="74" t="s">
        <v>387</v>
      </c>
      <c r="E515" s="176">
        <f t="shared" si="30"/>
        <v>0</v>
      </c>
      <c r="F515" s="176">
        <f t="shared" si="30"/>
        <v>0</v>
      </c>
      <c r="G515" s="176">
        <f t="shared" si="30"/>
        <v>0</v>
      </c>
      <c r="H515" s="176">
        <f t="shared" si="30"/>
        <v>0</v>
      </c>
      <c r="I515" s="176">
        <f t="shared" si="30"/>
        <v>0</v>
      </c>
      <c r="J515" s="176">
        <f t="shared" si="30"/>
        <v>0</v>
      </c>
      <c r="K515" s="176">
        <f t="shared" si="30"/>
        <v>0</v>
      </c>
      <c r="L515" s="176">
        <f t="shared" si="30"/>
        <v>0</v>
      </c>
      <c r="M515" s="176">
        <f t="shared" si="30"/>
        <v>0</v>
      </c>
      <c r="N515" s="176">
        <f t="shared" si="30"/>
        <v>0</v>
      </c>
      <c r="O515" s="176">
        <f t="shared" si="30"/>
        <v>0</v>
      </c>
      <c r="P515" s="176">
        <f t="shared" si="30"/>
        <v>0</v>
      </c>
      <c r="Q515" s="176">
        <f t="shared" si="30"/>
        <v>0</v>
      </c>
      <c r="R515" s="176">
        <f t="shared" si="30"/>
        <v>-1000.2127827022438</v>
      </c>
      <c r="S515" s="176">
        <f t="shared" si="30"/>
        <v>-19.73697166889756</v>
      </c>
      <c r="T515" s="176">
        <f t="shared" si="30"/>
        <v>-335.69985803902995</v>
      </c>
      <c r="U515" s="176">
        <f t="shared" si="31"/>
        <v>-407.74417495279954</v>
      </c>
      <c r="V515" s="176">
        <f t="shared" si="31"/>
        <v>0</v>
      </c>
      <c r="W515" s="176">
        <f t="shared" si="31"/>
        <v>0</v>
      </c>
      <c r="X515" s="176">
        <f t="shared" si="31"/>
        <v>-545.1475035983666</v>
      </c>
      <c r="Y515" s="176">
        <f t="shared" si="31"/>
        <v>0</v>
      </c>
      <c r="Z515" s="176">
        <f t="shared" si="31"/>
        <v>0</v>
      </c>
      <c r="AA515" s="176">
        <f t="shared" si="31"/>
        <v>0</v>
      </c>
      <c r="AB515" s="176">
        <f t="shared" si="31"/>
        <v>0</v>
      </c>
      <c r="AC515" s="176">
        <f t="shared" si="31"/>
        <v>0</v>
      </c>
      <c r="AD515" s="176">
        <f t="shared" si="31"/>
        <v>0</v>
      </c>
      <c r="AE515" s="176">
        <f t="shared" si="31"/>
        <v>0</v>
      </c>
      <c r="AF515" s="287">
        <f t="shared" si="31"/>
        <v>0</v>
      </c>
    </row>
    <row r="516" spans="1:32" s="59" customFormat="1">
      <c r="A516" s="95" t="s">
        <v>728</v>
      </c>
      <c r="B516" s="95" t="s">
        <v>737</v>
      </c>
      <c r="C516" s="71" t="s">
        <v>543</v>
      </c>
      <c r="D516" s="74" t="s">
        <v>387</v>
      </c>
      <c r="E516" s="176">
        <f t="shared" si="30"/>
        <v>0</v>
      </c>
      <c r="F516" s="176">
        <f t="shared" si="30"/>
        <v>0</v>
      </c>
      <c r="G516" s="176">
        <f t="shared" si="30"/>
        <v>0</v>
      </c>
      <c r="H516" s="176">
        <f t="shared" si="30"/>
        <v>0</v>
      </c>
      <c r="I516" s="176">
        <f t="shared" si="30"/>
        <v>0</v>
      </c>
      <c r="J516" s="176">
        <f t="shared" si="30"/>
        <v>0</v>
      </c>
      <c r="K516" s="176">
        <f t="shared" si="30"/>
        <v>0</v>
      </c>
      <c r="L516" s="176">
        <f t="shared" si="30"/>
        <v>0</v>
      </c>
      <c r="M516" s="176">
        <f t="shared" si="30"/>
        <v>0</v>
      </c>
      <c r="N516" s="176">
        <f t="shared" si="30"/>
        <v>0</v>
      </c>
      <c r="O516" s="176">
        <f t="shared" si="30"/>
        <v>0</v>
      </c>
      <c r="P516" s="176">
        <f t="shared" si="30"/>
        <v>0</v>
      </c>
      <c r="Q516" s="176">
        <f t="shared" si="30"/>
        <v>0</v>
      </c>
      <c r="R516" s="176">
        <f t="shared" si="30"/>
        <v>0</v>
      </c>
      <c r="S516" s="176">
        <f t="shared" si="30"/>
        <v>0</v>
      </c>
      <c r="T516" s="176">
        <f t="shared" si="30"/>
        <v>0</v>
      </c>
      <c r="U516" s="176">
        <f t="shared" si="31"/>
        <v>0</v>
      </c>
      <c r="V516" s="176">
        <f t="shared" si="31"/>
        <v>0</v>
      </c>
      <c r="W516" s="176">
        <f t="shared" si="31"/>
        <v>0</v>
      </c>
      <c r="X516" s="176">
        <f t="shared" si="31"/>
        <v>0</v>
      </c>
      <c r="Y516" s="176">
        <f t="shared" si="31"/>
        <v>0</v>
      </c>
      <c r="Z516" s="176">
        <f t="shared" si="31"/>
        <v>0</v>
      </c>
      <c r="AA516" s="176">
        <f t="shared" si="31"/>
        <v>0</v>
      </c>
      <c r="AB516" s="176">
        <f t="shared" si="31"/>
        <v>0</v>
      </c>
      <c r="AC516" s="176">
        <f t="shared" si="31"/>
        <v>0</v>
      </c>
      <c r="AD516" s="176">
        <f t="shared" si="31"/>
        <v>0</v>
      </c>
      <c r="AE516" s="176">
        <f t="shared" si="31"/>
        <v>0</v>
      </c>
      <c r="AF516" s="287">
        <f t="shared" si="31"/>
        <v>0</v>
      </c>
    </row>
    <row r="517" spans="1:32" s="59" customFormat="1">
      <c r="A517" s="95" t="s">
        <v>728</v>
      </c>
      <c r="B517" s="95" t="s">
        <v>737</v>
      </c>
      <c r="C517" s="71" t="s">
        <v>545</v>
      </c>
      <c r="D517" s="74" t="s">
        <v>387</v>
      </c>
      <c r="E517" s="176">
        <f t="shared" si="30"/>
        <v>0</v>
      </c>
      <c r="F517" s="176">
        <f t="shared" si="30"/>
        <v>0</v>
      </c>
      <c r="G517" s="176">
        <f t="shared" si="30"/>
        <v>0</v>
      </c>
      <c r="H517" s="176">
        <f t="shared" si="30"/>
        <v>0</v>
      </c>
      <c r="I517" s="176">
        <f t="shared" si="30"/>
        <v>0</v>
      </c>
      <c r="J517" s="176">
        <f t="shared" si="30"/>
        <v>0</v>
      </c>
      <c r="K517" s="176">
        <f t="shared" si="30"/>
        <v>0</v>
      </c>
      <c r="L517" s="176">
        <f t="shared" si="30"/>
        <v>0</v>
      </c>
      <c r="M517" s="176">
        <f t="shared" si="30"/>
        <v>0</v>
      </c>
      <c r="N517" s="176">
        <f t="shared" si="30"/>
        <v>0</v>
      </c>
      <c r="O517" s="176">
        <f t="shared" si="30"/>
        <v>0</v>
      </c>
      <c r="P517" s="176">
        <f t="shared" si="30"/>
        <v>0</v>
      </c>
      <c r="Q517" s="176">
        <f t="shared" si="30"/>
        <v>-8234.0149291219695</v>
      </c>
      <c r="R517" s="176">
        <f t="shared" si="30"/>
        <v>0</v>
      </c>
      <c r="S517" s="176">
        <f t="shared" si="30"/>
        <v>-4376.8031672475663</v>
      </c>
      <c r="T517" s="176">
        <f t="shared" si="30"/>
        <v>-368.57692354207893</v>
      </c>
      <c r="U517" s="176">
        <f t="shared" si="31"/>
        <v>-2086.2927691634045</v>
      </c>
      <c r="V517" s="176">
        <f t="shared" si="31"/>
        <v>0</v>
      </c>
      <c r="W517" s="176">
        <f t="shared" si="31"/>
        <v>0</v>
      </c>
      <c r="X517" s="176">
        <f t="shared" si="31"/>
        <v>0</v>
      </c>
      <c r="Y517" s="176">
        <f t="shared" si="31"/>
        <v>0</v>
      </c>
      <c r="Z517" s="176">
        <f t="shared" si="31"/>
        <v>0</v>
      </c>
      <c r="AA517" s="176">
        <f t="shared" si="31"/>
        <v>0</v>
      </c>
      <c r="AB517" s="176">
        <f t="shared" si="31"/>
        <v>0</v>
      </c>
      <c r="AC517" s="176">
        <f t="shared" si="31"/>
        <v>0</v>
      </c>
      <c r="AD517" s="176">
        <f t="shared" si="31"/>
        <v>0</v>
      </c>
      <c r="AE517" s="176">
        <f t="shared" si="31"/>
        <v>0</v>
      </c>
      <c r="AF517" s="287">
        <f t="shared" si="31"/>
        <v>0</v>
      </c>
    </row>
    <row r="518" spans="1:32" s="59" customFormat="1">
      <c r="A518" s="95" t="s">
        <v>728</v>
      </c>
      <c r="B518" s="95" t="s">
        <v>737</v>
      </c>
      <c r="C518" s="71" t="s">
        <v>548</v>
      </c>
      <c r="D518" s="74" t="s">
        <v>387</v>
      </c>
      <c r="E518" s="176">
        <f t="shared" si="30"/>
        <v>0</v>
      </c>
      <c r="F518" s="176">
        <f t="shared" si="30"/>
        <v>0</v>
      </c>
      <c r="G518" s="176">
        <f t="shared" si="30"/>
        <v>0</v>
      </c>
      <c r="H518" s="176">
        <f t="shared" si="30"/>
        <v>0</v>
      </c>
      <c r="I518" s="176">
        <f t="shared" si="30"/>
        <v>0</v>
      </c>
      <c r="J518" s="176">
        <f t="shared" si="30"/>
        <v>0</v>
      </c>
      <c r="K518" s="176">
        <f t="shared" si="30"/>
        <v>0</v>
      </c>
      <c r="L518" s="176">
        <f t="shared" si="30"/>
        <v>0</v>
      </c>
      <c r="M518" s="176">
        <f t="shared" si="30"/>
        <v>0</v>
      </c>
      <c r="N518" s="176">
        <f t="shared" si="30"/>
        <v>0</v>
      </c>
      <c r="O518" s="176">
        <f t="shared" si="30"/>
        <v>0</v>
      </c>
      <c r="P518" s="176">
        <f t="shared" si="30"/>
        <v>0</v>
      </c>
      <c r="Q518" s="176">
        <f t="shared" si="30"/>
        <v>0</v>
      </c>
      <c r="R518" s="176">
        <f t="shared" si="30"/>
        <v>0</v>
      </c>
      <c r="S518" s="176">
        <f t="shared" si="30"/>
        <v>0</v>
      </c>
      <c r="T518" s="176">
        <f t="shared" si="30"/>
        <v>0</v>
      </c>
      <c r="U518" s="176">
        <f t="shared" si="31"/>
        <v>0</v>
      </c>
      <c r="V518" s="176">
        <f t="shared" si="31"/>
        <v>0</v>
      </c>
      <c r="W518" s="176">
        <f t="shared" si="31"/>
        <v>0</v>
      </c>
      <c r="X518" s="176">
        <f t="shared" si="31"/>
        <v>0</v>
      </c>
      <c r="Y518" s="176">
        <f t="shared" si="31"/>
        <v>0</v>
      </c>
      <c r="Z518" s="176">
        <f t="shared" si="31"/>
        <v>0</v>
      </c>
      <c r="AA518" s="176">
        <f t="shared" si="31"/>
        <v>0</v>
      </c>
      <c r="AB518" s="176">
        <f t="shared" si="31"/>
        <v>0</v>
      </c>
      <c r="AC518" s="176">
        <f t="shared" si="31"/>
        <v>0</v>
      </c>
      <c r="AD518" s="176">
        <f t="shared" si="31"/>
        <v>0</v>
      </c>
      <c r="AE518" s="176">
        <f t="shared" si="31"/>
        <v>0</v>
      </c>
      <c r="AF518" s="287">
        <f t="shared" si="31"/>
        <v>0</v>
      </c>
    </row>
    <row r="519" spans="1:32" s="59" customFormat="1">
      <c r="A519" s="95" t="s">
        <v>728</v>
      </c>
      <c r="B519" s="95" t="s">
        <v>737</v>
      </c>
      <c r="C519" s="71" t="s">
        <v>550</v>
      </c>
      <c r="D519" s="74" t="s">
        <v>387</v>
      </c>
      <c r="E519" s="176">
        <f t="shared" si="30"/>
        <v>0</v>
      </c>
      <c r="F519" s="176">
        <f t="shared" si="30"/>
        <v>0</v>
      </c>
      <c r="G519" s="176">
        <f t="shared" si="30"/>
        <v>0</v>
      </c>
      <c r="H519" s="176">
        <f t="shared" si="30"/>
        <v>0</v>
      </c>
      <c r="I519" s="176">
        <f t="shared" si="30"/>
        <v>0</v>
      </c>
      <c r="J519" s="176">
        <f t="shared" si="30"/>
        <v>0</v>
      </c>
      <c r="K519" s="176">
        <f t="shared" si="30"/>
        <v>0</v>
      </c>
      <c r="L519" s="176">
        <f t="shared" si="30"/>
        <v>0</v>
      </c>
      <c r="M519" s="176">
        <f t="shared" si="30"/>
        <v>0</v>
      </c>
      <c r="N519" s="176">
        <f t="shared" si="30"/>
        <v>0</v>
      </c>
      <c r="O519" s="176">
        <f t="shared" si="30"/>
        <v>0</v>
      </c>
      <c r="P519" s="176">
        <f t="shared" si="30"/>
        <v>0</v>
      </c>
      <c r="Q519" s="176">
        <f t="shared" si="30"/>
        <v>0</v>
      </c>
      <c r="R519" s="176">
        <f t="shared" si="30"/>
        <v>0</v>
      </c>
      <c r="S519" s="176">
        <f t="shared" si="30"/>
        <v>0</v>
      </c>
      <c r="T519" s="176">
        <f t="shared" si="30"/>
        <v>0</v>
      </c>
      <c r="U519" s="176">
        <f t="shared" si="31"/>
        <v>0</v>
      </c>
      <c r="V519" s="176">
        <f t="shared" si="31"/>
        <v>0</v>
      </c>
      <c r="W519" s="176">
        <f t="shared" si="31"/>
        <v>0</v>
      </c>
      <c r="X519" s="176">
        <f t="shared" si="31"/>
        <v>-216.57247471280152</v>
      </c>
      <c r="Y519" s="176">
        <f t="shared" si="31"/>
        <v>0</v>
      </c>
      <c r="Z519" s="176">
        <f t="shared" si="31"/>
        <v>0</v>
      </c>
      <c r="AA519" s="176">
        <f t="shared" si="31"/>
        <v>0</v>
      </c>
      <c r="AB519" s="176">
        <f t="shared" si="31"/>
        <v>0</v>
      </c>
      <c r="AC519" s="176">
        <f t="shared" si="31"/>
        <v>0</v>
      </c>
      <c r="AD519" s="176">
        <f t="shared" si="31"/>
        <v>0</v>
      </c>
      <c r="AE519" s="176">
        <f t="shared" si="31"/>
        <v>0</v>
      </c>
      <c r="AF519" s="287">
        <f t="shared" si="31"/>
        <v>0</v>
      </c>
    </row>
    <row r="520" spans="1:32" s="59" customFormat="1">
      <c r="A520" s="95" t="s">
        <v>728</v>
      </c>
      <c r="B520" s="95" t="s">
        <v>737</v>
      </c>
      <c r="C520" s="71" t="s">
        <v>552</v>
      </c>
      <c r="D520" s="74" t="s">
        <v>387</v>
      </c>
      <c r="E520" s="176">
        <f t="shared" si="30"/>
        <v>0</v>
      </c>
      <c r="F520" s="176">
        <f t="shared" si="30"/>
        <v>0</v>
      </c>
      <c r="G520" s="176">
        <f t="shared" si="30"/>
        <v>0</v>
      </c>
      <c r="H520" s="176">
        <f t="shared" si="30"/>
        <v>0</v>
      </c>
      <c r="I520" s="176">
        <f t="shared" si="30"/>
        <v>0</v>
      </c>
      <c r="J520" s="176">
        <f t="shared" si="30"/>
        <v>0</v>
      </c>
      <c r="K520" s="176">
        <f t="shared" si="30"/>
        <v>0</v>
      </c>
      <c r="L520" s="176">
        <f t="shared" si="30"/>
        <v>0</v>
      </c>
      <c r="M520" s="176">
        <f t="shared" si="30"/>
        <v>0</v>
      </c>
      <c r="N520" s="176">
        <f t="shared" si="30"/>
        <v>0</v>
      </c>
      <c r="O520" s="176">
        <f t="shared" si="30"/>
        <v>0</v>
      </c>
      <c r="P520" s="176">
        <f t="shared" si="30"/>
        <v>0</v>
      </c>
      <c r="Q520" s="176">
        <f t="shared" si="30"/>
        <v>0</v>
      </c>
      <c r="R520" s="176">
        <f t="shared" si="30"/>
        <v>0</v>
      </c>
      <c r="S520" s="176">
        <f t="shared" si="30"/>
        <v>0</v>
      </c>
      <c r="T520" s="176">
        <f t="shared" si="30"/>
        <v>0</v>
      </c>
      <c r="U520" s="176">
        <f t="shared" si="31"/>
        <v>0</v>
      </c>
      <c r="V520" s="176">
        <f t="shared" si="31"/>
        <v>0</v>
      </c>
      <c r="W520" s="176">
        <f t="shared" si="31"/>
        <v>0</v>
      </c>
      <c r="X520" s="176">
        <f t="shared" si="31"/>
        <v>-15.195644756648266</v>
      </c>
      <c r="Y520" s="176">
        <f t="shared" si="31"/>
        <v>0</v>
      </c>
      <c r="Z520" s="176">
        <f t="shared" si="31"/>
        <v>0</v>
      </c>
      <c r="AA520" s="176">
        <f t="shared" si="31"/>
        <v>0</v>
      </c>
      <c r="AB520" s="176">
        <f t="shared" si="31"/>
        <v>0</v>
      </c>
      <c r="AC520" s="176">
        <f t="shared" si="31"/>
        <v>0</v>
      </c>
      <c r="AD520" s="176">
        <f t="shared" si="31"/>
        <v>0</v>
      </c>
      <c r="AE520" s="176">
        <f t="shared" si="31"/>
        <v>0</v>
      </c>
      <c r="AF520" s="287">
        <f t="shared" si="31"/>
        <v>0</v>
      </c>
    </row>
    <row r="521" spans="1:32" s="59" customFormat="1">
      <c r="A521" s="95" t="s">
        <v>728</v>
      </c>
      <c r="B521" s="95" t="s">
        <v>737</v>
      </c>
      <c r="C521" s="71" t="s">
        <v>554</v>
      </c>
      <c r="D521" s="74" t="s">
        <v>387</v>
      </c>
      <c r="E521" s="176">
        <f t="shared" si="30"/>
        <v>0</v>
      </c>
      <c r="F521" s="176">
        <f t="shared" si="30"/>
        <v>0</v>
      </c>
      <c r="G521" s="176">
        <f t="shared" si="30"/>
        <v>0</v>
      </c>
      <c r="H521" s="176">
        <f t="shared" si="30"/>
        <v>0</v>
      </c>
      <c r="I521" s="176">
        <f t="shared" si="30"/>
        <v>0</v>
      </c>
      <c r="J521" s="176">
        <f t="shared" si="30"/>
        <v>0</v>
      </c>
      <c r="K521" s="176">
        <f t="shared" si="30"/>
        <v>0</v>
      </c>
      <c r="L521" s="176">
        <f t="shared" si="30"/>
        <v>0</v>
      </c>
      <c r="M521" s="176">
        <f t="shared" si="30"/>
        <v>0</v>
      </c>
      <c r="N521" s="176">
        <f t="shared" si="30"/>
        <v>0</v>
      </c>
      <c r="O521" s="176">
        <f t="shared" si="30"/>
        <v>0</v>
      </c>
      <c r="P521" s="176">
        <f t="shared" si="30"/>
        <v>0</v>
      </c>
      <c r="Q521" s="176">
        <f t="shared" si="30"/>
        <v>0</v>
      </c>
      <c r="R521" s="176">
        <f t="shared" si="30"/>
        <v>0</v>
      </c>
      <c r="S521" s="176">
        <f t="shared" si="30"/>
        <v>0</v>
      </c>
      <c r="T521" s="176">
        <f t="shared" si="30"/>
        <v>0</v>
      </c>
      <c r="U521" s="176">
        <f t="shared" si="31"/>
        <v>0</v>
      </c>
      <c r="V521" s="176">
        <f t="shared" si="31"/>
        <v>0</v>
      </c>
      <c r="W521" s="176">
        <f t="shared" si="31"/>
        <v>0</v>
      </c>
      <c r="X521" s="176">
        <f t="shared" si="31"/>
        <v>0</v>
      </c>
      <c r="Y521" s="176">
        <f t="shared" si="31"/>
        <v>0</v>
      </c>
      <c r="Z521" s="176">
        <f t="shared" si="31"/>
        <v>0</v>
      </c>
      <c r="AA521" s="176">
        <f t="shared" si="31"/>
        <v>0</v>
      </c>
      <c r="AB521" s="176">
        <f t="shared" si="31"/>
        <v>0</v>
      </c>
      <c r="AC521" s="176">
        <f t="shared" si="31"/>
        <v>0</v>
      </c>
      <c r="AD521" s="176">
        <f t="shared" si="31"/>
        <v>0</v>
      </c>
      <c r="AE521" s="176">
        <f t="shared" si="31"/>
        <v>0</v>
      </c>
      <c r="AF521" s="287">
        <f t="shared" si="31"/>
        <v>0</v>
      </c>
    </row>
    <row r="522" spans="1:32" s="59" customFormat="1">
      <c r="A522" s="95" t="s">
        <v>728</v>
      </c>
      <c r="B522" s="95" t="s">
        <v>737</v>
      </c>
      <c r="C522" s="71" t="s">
        <v>556</v>
      </c>
      <c r="D522" s="74" t="s">
        <v>387</v>
      </c>
      <c r="E522" s="176">
        <f t="shared" si="30"/>
        <v>0</v>
      </c>
      <c r="F522" s="176">
        <f t="shared" si="30"/>
        <v>0</v>
      </c>
      <c r="G522" s="176">
        <f t="shared" si="30"/>
        <v>0</v>
      </c>
      <c r="H522" s="176">
        <f t="shared" si="30"/>
        <v>0</v>
      </c>
      <c r="I522" s="176">
        <f t="shared" si="30"/>
        <v>0</v>
      </c>
      <c r="J522" s="176">
        <f t="shared" si="30"/>
        <v>0</v>
      </c>
      <c r="K522" s="176">
        <f t="shared" si="30"/>
        <v>0</v>
      </c>
      <c r="L522" s="176">
        <f t="shared" si="30"/>
        <v>0</v>
      </c>
      <c r="M522" s="176">
        <f t="shared" si="30"/>
        <v>0</v>
      </c>
      <c r="N522" s="176">
        <f t="shared" si="30"/>
        <v>0</v>
      </c>
      <c r="O522" s="176">
        <f t="shared" si="30"/>
        <v>0</v>
      </c>
      <c r="P522" s="176">
        <f t="shared" si="30"/>
        <v>0</v>
      </c>
      <c r="Q522" s="176">
        <f t="shared" si="30"/>
        <v>0</v>
      </c>
      <c r="R522" s="176">
        <f t="shared" si="30"/>
        <v>0</v>
      </c>
      <c r="S522" s="176">
        <f t="shared" si="30"/>
        <v>0</v>
      </c>
      <c r="T522" s="176">
        <f t="shared" si="30"/>
        <v>0</v>
      </c>
      <c r="U522" s="176">
        <f t="shared" si="31"/>
        <v>0</v>
      </c>
      <c r="V522" s="176">
        <f t="shared" si="31"/>
        <v>0</v>
      </c>
      <c r="W522" s="176">
        <f t="shared" si="31"/>
        <v>0</v>
      </c>
      <c r="X522" s="176">
        <f t="shared" si="31"/>
        <v>0</v>
      </c>
      <c r="Y522" s="176">
        <f t="shared" si="31"/>
        <v>0</v>
      </c>
      <c r="Z522" s="176">
        <f t="shared" si="31"/>
        <v>0</v>
      </c>
      <c r="AA522" s="176">
        <f t="shared" si="31"/>
        <v>0</v>
      </c>
      <c r="AB522" s="176">
        <f t="shared" si="31"/>
        <v>0</v>
      </c>
      <c r="AC522" s="176">
        <f t="shared" si="31"/>
        <v>0</v>
      </c>
      <c r="AD522" s="176">
        <f t="shared" si="31"/>
        <v>0</v>
      </c>
      <c r="AE522" s="176">
        <f t="shared" si="31"/>
        <v>0</v>
      </c>
      <c r="AF522" s="287">
        <f t="shared" si="31"/>
        <v>0</v>
      </c>
    </row>
    <row r="523" spans="1:32" s="59" customFormat="1">
      <c r="A523" s="95" t="s">
        <v>728</v>
      </c>
      <c r="B523" s="95" t="s">
        <v>737</v>
      </c>
      <c r="C523" s="71" t="s">
        <v>558</v>
      </c>
      <c r="D523" s="74" t="s">
        <v>387</v>
      </c>
      <c r="E523" s="176">
        <f t="shared" si="30"/>
        <v>0</v>
      </c>
      <c r="F523" s="176">
        <f t="shared" si="30"/>
        <v>0</v>
      </c>
      <c r="G523" s="176">
        <f t="shared" si="30"/>
        <v>0</v>
      </c>
      <c r="H523" s="176">
        <f t="shared" si="30"/>
        <v>0</v>
      </c>
      <c r="I523" s="176">
        <f>SUMIFS(I$7:I$26,$C$7:$C$26,$C523)*SUMIFS(I$32:I$350,$C$32:$C$350,$B523,$B$32:$B$350,$C523)</f>
        <v>0</v>
      </c>
      <c r="J523" s="176">
        <f t="shared" si="30"/>
        <v>0</v>
      </c>
      <c r="K523" s="176">
        <f t="shared" si="30"/>
        <v>0</v>
      </c>
      <c r="L523" s="176">
        <f t="shared" si="30"/>
        <v>0</v>
      </c>
      <c r="M523" s="176">
        <f t="shared" si="30"/>
        <v>0</v>
      </c>
      <c r="N523" s="176">
        <f t="shared" si="30"/>
        <v>0</v>
      </c>
      <c r="O523" s="176">
        <f t="shared" si="30"/>
        <v>0</v>
      </c>
      <c r="P523" s="176">
        <f t="shared" si="30"/>
        <v>0</v>
      </c>
      <c r="Q523" s="176">
        <f t="shared" si="30"/>
        <v>0</v>
      </c>
      <c r="R523" s="176">
        <f t="shared" si="30"/>
        <v>0</v>
      </c>
      <c r="S523" s="176">
        <f t="shared" si="30"/>
        <v>0</v>
      </c>
      <c r="T523" s="176">
        <f t="shared" si="30"/>
        <v>0</v>
      </c>
      <c r="U523" s="176">
        <f t="shared" si="31"/>
        <v>0</v>
      </c>
      <c r="V523" s="176">
        <f t="shared" si="31"/>
        <v>0</v>
      </c>
      <c r="W523" s="176">
        <f t="shared" si="31"/>
        <v>0</v>
      </c>
      <c r="X523" s="176">
        <f t="shared" si="31"/>
        <v>0</v>
      </c>
      <c r="Y523" s="176">
        <f t="shared" si="31"/>
        <v>0</v>
      </c>
      <c r="Z523" s="176">
        <f t="shared" si="31"/>
        <v>0</v>
      </c>
      <c r="AA523" s="176">
        <f t="shared" si="31"/>
        <v>0</v>
      </c>
      <c r="AB523" s="176">
        <f t="shared" si="31"/>
        <v>0</v>
      </c>
      <c r="AC523" s="176">
        <f t="shared" si="31"/>
        <v>0</v>
      </c>
      <c r="AD523" s="176">
        <f t="shared" si="31"/>
        <v>0</v>
      </c>
      <c r="AE523" s="176">
        <f t="shared" si="31"/>
        <v>0</v>
      </c>
      <c r="AF523" s="287">
        <f t="shared" si="31"/>
        <v>0</v>
      </c>
    </row>
    <row r="524" spans="1:32" s="59" customFormat="1">
      <c r="A524" s="97" t="s">
        <v>728</v>
      </c>
      <c r="B524" s="76" t="s">
        <v>737</v>
      </c>
      <c r="C524" s="76" t="s">
        <v>560</v>
      </c>
      <c r="D524" s="77" t="s">
        <v>387</v>
      </c>
      <c r="E524" s="288">
        <f t="shared" si="30"/>
        <v>0</v>
      </c>
      <c r="F524" s="289">
        <f t="shared" si="30"/>
        <v>0</v>
      </c>
      <c r="G524" s="289">
        <f t="shared" si="30"/>
        <v>0</v>
      </c>
      <c r="H524" s="289">
        <f t="shared" si="30"/>
        <v>0</v>
      </c>
      <c r="I524" s="289">
        <f t="shared" si="30"/>
        <v>0</v>
      </c>
      <c r="J524" s="289">
        <f t="shared" si="30"/>
        <v>0</v>
      </c>
      <c r="K524" s="289">
        <f t="shared" si="30"/>
        <v>0</v>
      </c>
      <c r="L524" s="289">
        <f t="shared" si="30"/>
        <v>0</v>
      </c>
      <c r="M524" s="289">
        <f t="shared" si="30"/>
        <v>0</v>
      </c>
      <c r="N524" s="289">
        <f t="shared" si="30"/>
        <v>0</v>
      </c>
      <c r="O524" s="289">
        <f t="shared" si="30"/>
        <v>0</v>
      </c>
      <c r="P524" s="289">
        <f t="shared" si="30"/>
        <v>0</v>
      </c>
      <c r="Q524" s="289">
        <f t="shared" si="30"/>
        <v>0</v>
      </c>
      <c r="R524" s="289">
        <f t="shared" si="30"/>
        <v>0</v>
      </c>
      <c r="S524" s="289">
        <f t="shared" si="30"/>
        <v>0</v>
      </c>
      <c r="T524" s="289">
        <f t="shared" si="30"/>
        <v>0</v>
      </c>
      <c r="U524" s="289">
        <f t="shared" si="31"/>
        <v>0</v>
      </c>
      <c r="V524" s="289">
        <f t="shared" si="31"/>
        <v>0</v>
      </c>
      <c r="W524" s="289">
        <f t="shared" si="31"/>
        <v>0</v>
      </c>
      <c r="X524" s="289">
        <f t="shared" si="31"/>
        <v>0</v>
      </c>
      <c r="Y524" s="289">
        <f t="shared" si="31"/>
        <v>0</v>
      </c>
      <c r="Z524" s="289">
        <f t="shared" si="31"/>
        <v>0</v>
      </c>
      <c r="AA524" s="289">
        <f t="shared" si="31"/>
        <v>0</v>
      </c>
      <c r="AB524" s="289">
        <f t="shared" si="31"/>
        <v>0</v>
      </c>
      <c r="AC524" s="289">
        <f t="shared" si="31"/>
        <v>0</v>
      </c>
      <c r="AD524" s="289">
        <f t="shared" si="31"/>
        <v>0</v>
      </c>
      <c r="AE524" s="289">
        <f t="shared" si="31"/>
        <v>0</v>
      </c>
      <c r="AF524" s="290">
        <f t="shared" si="31"/>
        <v>0</v>
      </c>
    </row>
    <row r="526" spans="1:32" s="60" customFormat="1" ht="14.4">
      <c r="A526" s="86"/>
      <c r="B526" s="86"/>
      <c r="C526" s="63"/>
      <c r="D526" s="63"/>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86"/>
    </row>
    <row r="527" spans="1:32" s="59" customFormat="1">
      <c r="A527" s="90" t="s">
        <v>717</v>
      </c>
      <c r="B527" s="90" t="s">
        <v>727</v>
      </c>
      <c r="C527" s="68" t="s">
        <v>718</v>
      </c>
      <c r="D527" s="68" t="s">
        <v>375</v>
      </c>
      <c r="E527" s="69" t="s">
        <v>172</v>
      </c>
      <c r="F527" s="69" t="s">
        <v>175</v>
      </c>
      <c r="G527" s="69" t="s">
        <v>178</v>
      </c>
      <c r="H527" s="69" t="s">
        <v>181</v>
      </c>
      <c r="I527" s="69" t="s">
        <v>184</v>
      </c>
      <c r="J527" s="69" t="s">
        <v>187</v>
      </c>
      <c r="K527" s="69" t="s">
        <v>190</v>
      </c>
      <c r="L527" s="69" t="s">
        <v>193</v>
      </c>
      <c r="M527" s="69" t="s">
        <v>196</v>
      </c>
      <c r="N527" s="69" t="s">
        <v>198</v>
      </c>
      <c r="O527" s="69" t="s">
        <v>200</v>
      </c>
      <c r="P527" s="69" t="s">
        <v>202</v>
      </c>
      <c r="Q527" s="69" t="s">
        <v>205</v>
      </c>
      <c r="R527" s="69" t="s">
        <v>208</v>
      </c>
      <c r="S527" s="69" t="s">
        <v>211</v>
      </c>
      <c r="T527" s="69" t="s">
        <v>214</v>
      </c>
      <c r="U527" s="69" t="s">
        <v>217</v>
      </c>
      <c r="V527" s="69" t="s">
        <v>220</v>
      </c>
      <c r="W527" s="69" t="s">
        <v>223</v>
      </c>
      <c r="X527" s="69" t="s">
        <v>225</v>
      </c>
      <c r="Y527" s="69" t="s">
        <v>227</v>
      </c>
      <c r="Z527" s="69" t="s">
        <v>230</v>
      </c>
      <c r="AA527" s="69" t="s">
        <v>233</v>
      </c>
      <c r="AB527" s="69" t="s">
        <v>236</v>
      </c>
      <c r="AC527" s="69" t="s">
        <v>238</v>
      </c>
      <c r="AD527" s="69" t="s">
        <v>240</v>
      </c>
      <c r="AE527" s="69" t="s">
        <v>243</v>
      </c>
      <c r="AF527" s="91" t="s">
        <v>245</v>
      </c>
    </row>
    <row r="528" spans="1:32" s="59" customFormat="1">
      <c r="A528" s="95" t="s">
        <v>728</v>
      </c>
      <c r="B528" s="95" t="s">
        <v>745</v>
      </c>
      <c r="C528" s="71" t="s">
        <v>515</v>
      </c>
      <c r="D528" s="74" t="s">
        <v>387</v>
      </c>
      <c r="E528" s="176">
        <f>SUMIFS(E$7:E$26,$C$7:$C$26,$C528)*SUMIFS(E$32:E$350,$C$32:$C$350,$B528,$B$32:$B$350,$C528)</f>
        <v>0</v>
      </c>
      <c r="F528" s="176">
        <f t="shared" ref="F528:AF537" si="32">SUMIFS(F$7:F$26,$C$7:$C$26,$C528)*SUMIFS(F$32:F$350,$C$32:$C$350,$B528,$B$32:$B$350,$C528)</f>
        <v>0</v>
      </c>
      <c r="G528" s="176">
        <f>SUMIFS(G$7:G$26,$C$7:$C$26,$C528)*SUMIFS(G$32:G$350,$C$32:$C$350,$B528,$B$32:$B$350,$C528)</f>
        <v>0</v>
      </c>
      <c r="H528" s="176">
        <f t="shared" si="32"/>
        <v>0</v>
      </c>
      <c r="I528" s="176">
        <f t="shared" si="32"/>
        <v>0</v>
      </c>
      <c r="J528" s="176">
        <f t="shared" si="32"/>
        <v>0</v>
      </c>
      <c r="K528" s="176">
        <f t="shared" si="32"/>
        <v>0</v>
      </c>
      <c r="L528" s="176">
        <f t="shared" si="32"/>
        <v>0</v>
      </c>
      <c r="M528" s="176">
        <f t="shared" si="32"/>
        <v>0</v>
      </c>
      <c r="N528" s="176">
        <f t="shared" si="32"/>
        <v>0</v>
      </c>
      <c r="O528" s="176">
        <f t="shared" si="32"/>
        <v>0</v>
      </c>
      <c r="P528" s="176">
        <f t="shared" si="32"/>
        <v>0</v>
      </c>
      <c r="Q528" s="176">
        <f t="shared" si="32"/>
        <v>0</v>
      </c>
      <c r="R528" s="176">
        <f t="shared" si="32"/>
        <v>0</v>
      </c>
      <c r="S528" s="176">
        <f t="shared" si="32"/>
        <v>0</v>
      </c>
      <c r="T528" s="176">
        <f t="shared" si="32"/>
        <v>0</v>
      </c>
      <c r="U528" s="176">
        <f t="shared" si="32"/>
        <v>0</v>
      </c>
      <c r="V528" s="176">
        <f t="shared" si="32"/>
        <v>0</v>
      </c>
      <c r="W528" s="176">
        <f t="shared" si="32"/>
        <v>0</v>
      </c>
      <c r="X528" s="176">
        <f t="shared" si="32"/>
        <v>0</v>
      </c>
      <c r="Y528" s="176">
        <f t="shared" si="32"/>
        <v>0</v>
      </c>
      <c r="Z528" s="176">
        <f t="shared" si="32"/>
        <v>0</v>
      </c>
      <c r="AA528" s="176">
        <f t="shared" si="32"/>
        <v>0</v>
      </c>
      <c r="AB528" s="176">
        <f t="shared" si="32"/>
        <v>0</v>
      </c>
      <c r="AC528" s="176">
        <f t="shared" si="32"/>
        <v>0</v>
      </c>
      <c r="AD528" s="176">
        <f t="shared" si="32"/>
        <v>0</v>
      </c>
      <c r="AE528" s="176">
        <f t="shared" si="32"/>
        <v>0</v>
      </c>
      <c r="AF528" s="286">
        <f t="shared" si="32"/>
        <v>0</v>
      </c>
    </row>
    <row r="529" spans="1:32" s="59" customFormat="1">
      <c r="A529" s="95" t="s">
        <v>728</v>
      </c>
      <c r="B529" s="95" t="s">
        <v>745</v>
      </c>
      <c r="C529" s="71" t="s">
        <v>521</v>
      </c>
      <c r="D529" s="74" t="s">
        <v>387</v>
      </c>
      <c r="E529" s="176">
        <f t="shared" ref="E529:T547" si="33">SUMIFS(E$7:E$26,$C$7:$C$26,$C529)*SUMIFS(E$32:E$350,$C$32:$C$350,$B529,$B$32:$B$350,$C529)</f>
        <v>0</v>
      </c>
      <c r="F529" s="176">
        <f t="shared" si="32"/>
        <v>0</v>
      </c>
      <c r="G529" s="176">
        <f t="shared" si="32"/>
        <v>0</v>
      </c>
      <c r="H529" s="176">
        <f t="shared" si="32"/>
        <v>0</v>
      </c>
      <c r="I529" s="176">
        <f t="shared" si="32"/>
        <v>0</v>
      </c>
      <c r="J529" s="176">
        <f t="shared" si="32"/>
        <v>0</v>
      </c>
      <c r="K529" s="176">
        <f t="shared" si="32"/>
        <v>0</v>
      </c>
      <c r="L529" s="176">
        <f t="shared" si="32"/>
        <v>0</v>
      </c>
      <c r="M529" s="176">
        <f t="shared" si="32"/>
        <v>0</v>
      </c>
      <c r="N529" s="176">
        <f t="shared" si="32"/>
        <v>0</v>
      </c>
      <c r="O529" s="176">
        <f t="shared" si="32"/>
        <v>0</v>
      </c>
      <c r="P529" s="176">
        <f t="shared" si="32"/>
        <v>0</v>
      </c>
      <c r="Q529" s="176">
        <f t="shared" si="32"/>
        <v>0</v>
      </c>
      <c r="R529" s="176">
        <f t="shared" si="32"/>
        <v>0</v>
      </c>
      <c r="S529" s="176">
        <f t="shared" si="32"/>
        <v>0</v>
      </c>
      <c r="T529" s="176">
        <f t="shared" si="32"/>
        <v>0</v>
      </c>
      <c r="U529" s="176">
        <f t="shared" si="32"/>
        <v>0</v>
      </c>
      <c r="V529" s="176">
        <f t="shared" si="32"/>
        <v>0</v>
      </c>
      <c r="W529" s="176">
        <f t="shared" si="32"/>
        <v>0</v>
      </c>
      <c r="X529" s="176">
        <f t="shared" si="32"/>
        <v>0</v>
      </c>
      <c r="Y529" s="176">
        <f t="shared" si="32"/>
        <v>0</v>
      </c>
      <c r="Z529" s="176">
        <f t="shared" si="32"/>
        <v>0</v>
      </c>
      <c r="AA529" s="176">
        <f t="shared" si="32"/>
        <v>0</v>
      </c>
      <c r="AB529" s="176">
        <f t="shared" si="32"/>
        <v>0</v>
      </c>
      <c r="AC529" s="176">
        <f t="shared" si="32"/>
        <v>0</v>
      </c>
      <c r="AD529" s="176">
        <f t="shared" si="32"/>
        <v>0</v>
      </c>
      <c r="AE529" s="176">
        <f t="shared" si="32"/>
        <v>0</v>
      </c>
      <c r="AF529" s="287">
        <f t="shared" si="32"/>
        <v>0</v>
      </c>
    </row>
    <row r="530" spans="1:32" s="59" customFormat="1">
      <c r="A530" s="95" t="s">
        <v>728</v>
      </c>
      <c r="B530" s="95" t="s">
        <v>745</v>
      </c>
      <c r="C530" s="71" t="s">
        <v>523</v>
      </c>
      <c r="D530" s="74" t="s">
        <v>387</v>
      </c>
      <c r="E530" s="176">
        <f t="shared" si="33"/>
        <v>0</v>
      </c>
      <c r="F530" s="176">
        <f t="shared" si="32"/>
        <v>0</v>
      </c>
      <c r="G530" s="176">
        <f t="shared" si="32"/>
        <v>0</v>
      </c>
      <c r="H530" s="176">
        <f t="shared" si="32"/>
        <v>0</v>
      </c>
      <c r="I530" s="176">
        <f t="shared" si="32"/>
        <v>0</v>
      </c>
      <c r="J530" s="176">
        <f t="shared" si="32"/>
        <v>0</v>
      </c>
      <c r="K530" s="176">
        <f t="shared" si="32"/>
        <v>0</v>
      </c>
      <c r="L530" s="176">
        <f t="shared" si="32"/>
        <v>0</v>
      </c>
      <c r="M530" s="176">
        <f t="shared" si="32"/>
        <v>0</v>
      </c>
      <c r="N530" s="176">
        <f t="shared" si="32"/>
        <v>0</v>
      </c>
      <c r="O530" s="176">
        <f t="shared" si="32"/>
        <v>0</v>
      </c>
      <c r="P530" s="176">
        <f t="shared" si="32"/>
        <v>0</v>
      </c>
      <c r="Q530" s="176">
        <f t="shared" si="32"/>
        <v>0</v>
      </c>
      <c r="R530" s="176">
        <f t="shared" si="32"/>
        <v>0</v>
      </c>
      <c r="S530" s="176">
        <f t="shared" si="32"/>
        <v>0</v>
      </c>
      <c r="T530" s="176">
        <f t="shared" si="32"/>
        <v>0</v>
      </c>
      <c r="U530" s="176">
        <f t="shared" si="32"/>
        <v>0</v>
      </c>
      <c r="V530" s="176">
        <f t="shared" si="32"/>
        <v>0</v>
      </c>
      <c r="W530" s="176">
        <f t="shared" si="32"/>
        <v>0</v>
      </c>
      <c r="X530" s="176">
        <f t="shared" si="32"/>
        <v>0</v>
      </c>
      <c r="Y530" s="176">
        <f t="shared" si="32"/>
        <v>0</v>
      </c>
      <c r="Z530" s="176">
        <f t="shared" si="32"/>
        <v>0</v>
      </c>
      <c r="AA530" s="176">
        <f t="shared" si="32"/>
        <v>0</v>
      </c>
      <c r="AB530" s="176">
        <f t="shared" si="32"/>
        <v>0</v>
      </c>
      <c r="AC530" s="176">
        <f t="shared" si="32"/>
        <v>0</v>
      </c>
      <c r="AD530" s="176">
        <f t="shared" si="32"/>
        <v>0</v>
      </c>
      <c r="AE530" s="176">
        <f t="shared" si="32"/>
        <v>0</v>
      </c>
      <c r="AF530" s="287">
        <f t="shared" si="32"/>
        <v>0</v>
      </c>
    </row>
    <row r="531" spans="1:32" s="59" customFormat="1">
      <c r="A531" s="95" t="s">
        <v>728</v>
      </c>
      <c r="B531" s="95" t="s">
        <v>745</v>
      </c>
      <c r="C531" s="71" t="s">
        <v>525</v>
      </c>
      <c r="D531" s="74" t="s">
        <v>387</v>
      </c>
      <c r="E531" s="176">
        <f t="shared" si="33"/>
        <v>0</v>
      </c>
      <c r="F531" s="176">
        <f t="shared" si="32"/>
        <v>0</v>
      </c>
      <c r="G531" s="176">
        <f t="shared" si="32"/>
        <v>0</v>
      </c>
      <c r="H531" s="176">
        <f t="shared" si="32"/>
        <v>0</v>
      </c>
      <c r="I531" s="176">
        <f t="shared" si="32"/>
        <v>0</v>
      </c>
      <c r="J531" s="176">
        <f t="shared" si="32"/>
        <v>0</v>
      </c>
      <c r="K531" s="176">
        <f t="shared" si="32"/>
        <v>0</v>
      </c>
      <c r="L531" s="176">
        <f t="shared" si="32"/>
        <v>0</v>
      </c>
      <c r="M531" s="176">
        <f t="shared" si="32"/>
        <v>0</v>
      </c>
      <c r="N531" s="176">
        <f t="shared" si="32"/>
        <v>0</v>
      </c>
      <c r="O531" s="176">
        <f t="shared" si="32"/>
        <v>0</v>
      </c>
      <c r="P531" s="176">
        <f t="shared" si="32"/>
        <v>0</v>
      </c>
      <c r="Q531" s="176">
        <f t="shared" si="32"/>
        <v>0</v>
      </c>
      <c r="R531" s="176">
        <f t="shared" si="32"/>
        <v>0</v>
      </c>
      <c r="S531" s="176">
        <f t="shared" si="32"/>
        <v>0</v>
      </c>
      <c r="T531" s="176">
        <f t="shared" si="32"/>
        <v>0</v>
      </c>
      <c r="U531" s="176">
        <f t="shared" si="32"/>
        <v>0</v>
      </c>
      <c r="V531" s="176">
        <f t="shared" si="32"/>
        <v>0</v>
      </c>
      <c r="W531" s="176">
        <f t="shared" si="32"/>
        <v>0</v>
      </c>
      <c r="X531" s="176">
        <f t="shared" si="32"/>
        <v>0</v>
      </c>
      <c r="Y531" s="176">
        <f t="shared" si="32"/>
        <v>0</v>
      </c>
      <c r="Z531" s="176">
        <f t="shared" si="32"/>
        <v>0</v>
      </c>
      <c r="AA531" s="176">
        <f t="shared" si="32"/>
        <v>0</v>
      </c>
      <c r="AB531" s="176">
        <f t="shared" si="32"/>
        <v>0</v>
      </c>
      <c r="AC531" s="176">
        <f t="shared" si="32"/>
        <v>0</v>
      </c>
      <c r="AD531" s="176">
        <f t="shared" si="32"/>
        <v>0</v>
      </c>
      <c r="AE531" s="176">
        <f t="shared" si="32"/>
        <v>0</v>
      </c>
      <c r="AF531" s="287">
        <f t="shared" si="32"/>
        <v>0</v>
      </c>
    </row>
    <row r="532" spans="1:32" s="59" customFormat="1">
      <c r="A532" s="95" t="s">
        <v>728</v>
      </c>
      <c r="B532" s="95" t="s">
        <v>745</v>
      </c>
      <c r="C532" s="71" t="s">
        <v>527</v>
      </c>
      <c r="D532" s="74" t="s">
        <v>387</v>
      </c>
      <c r="E532" s="176">
        <f t="shared" si="33"/>
        <v>0</v>
      </c>
      <c r="F532" s="176">
        <f t="shared" si="32"/>
        <v>0</v>
      </c>
      <c r="G532" s="176">
        <f t="shared" si="32"/>
        <v>0</v>
      </c>
      <c r="H532" s="176">
        <f t="shared" si="32"/>
        <v>-670237.98299757543</v>
      </c>
      <c r="I532" s="176">
        <f t="shared" si="32"/>
        <v>0</v>
      </c>
      <c r="J532" s="176">
        <f t="shared" si="32"/>
        <v>0</v>
      </c>
      <c r="K532" s="176">
        <f t="shared" si="32"/>
        <v>0</v>
      </c>
      <c r="L532" s="176">
        <f t="shared" si="32"/>
        <v>0</v>
      </c>
      <c r="M532" s="176">
        <f t="shared" si="32"/>
        <v>0</v>
      </c>
      <c r="N532" s="176">
        <f t="shared" si="32"/>
        <v>0</v>
      </c>
      <c r="O532" s="176">
        <f t="shared" si="32"/>
        <v>0</v>
      </c>
      <c r="P532" s="176">
        <f t="shared" si="32"/>
        <v>0</v>
      </c>
      <c r="Q532" s="176">
        <f t="shared" si="32"/>
        <v>0</v>
      </c>
      <c r="R532" s="176">
        <f t="shared" si="32"/>
        <v>0</v>
      </c>
      <c r="S532" s="176">
        <f t="shared" si="32"/>
        <v>0</v>
      </c>
      <c r="T532" s="176">
        <f t="shared" si="32"/>
        <v>0</v>
      </c>
      <c r="U532" s="176">
        <f t="shared" si="32"/>
        <v>0</v>
      </c>
      <c r="V532" s="176">
        <f t="shared" si="32"/>
        <v>0</v>
      </c>
      <c r="W532" s="176">
        <f t="shared" si="32"/>
        <v>0</v>
      </c>
      <c r="X532" s="176">
        <f t="shared" si="32"/>
        <v>0</v>
      </c>
      <c r="Y532" s="176">
        <f t="shared" si="32"/>
        <v>0</v>
      </c>
      <c r="Z532" s="176">
        <f t="shared" si="32"/>
        <v>0</v>
      </c>
      <c r="AA532" s="176">
        <f t="shared" si="32"/>
        <v>0</v>
      </c>
      <c r="AB532" s="176">
        <f t="shared" si="32"/>
        <v>0</v>
      </c>
      <c r="AC532" s="176">
        <f t="shared" si="32"/>
        <v>0</v>
      </c>
      <c r="AD532" s="176">
        <f t="shared" si="32"/>
        <v>0</v>
      </c>
      <c r="AE532" s="176">
        <f t="shared" si="32"/>
        <v>0</v>
      </c>
      <c r="AF532" s="287">
        <f t="shared" si="32"/>
        <v>0</v>
      </c>
    </row>
    <row r="533" spans="1:32" s="59" customFormat="1">
      <c r="A533" s="95" t="s">
        <v>728</v>
      </c>
      <c r="B533" s="95" t="s">
        <v>745</v>
      </c>
      <c r="C533" s="71" t="s">
        <v>529</v>
      </c>
      <c r="D533" s="74" t="s">
        <v>387</v>
      </c>
      <c r="E533" s="176">
        <f t="shared" si="33"/>
        <v>0</v>
      </c>
      <c r="F533" s="176">
        <f t="shared" si="32"/>
        <v>0</v>
      </c>
      <c r="G533" s="176">
        <f t="shared" si="32"/>
        <v>0</v>
      </c>
      <c r="H533" s="176">
        <f t="shared" si="32"/>
        <v>0</v>
      </c>
      <c r="I533" s="176">
        <f t="shared" si="32"/>
        <v>0</v>
      </c>
      <c r="J533" s="176">
        <f t="shared" si="32"/>
        <v>0</v>
      </c>
      <c r="K533" s="176">
        <f t="shared" si="32"/>
        <v>0</v>
      </c>
      <c r="L533" s="176">
        <f t="shared" si="32"/>
        <v>0</v>
      </c>
      <c r="M533" s="176">
        <f t="shared" si="32"/>
        <v>0</v>
      </c>
      <c r="N533" s="176">
        <f t="shared" si="32"/>
        <v>0</v>
      </c>
      <c r="O533" s="176">
        <f t="shared" si="32"/>
        <v>0</v>
      </c>
      <c r="P533" s="176">
        <f t="shared" si="32"/>
        <v>0</v>
      </c>
      <c r="Q533" s="176">
        <f t="shared" si="32"/>
        <v>0</v>
      </c>
      <c r="R533" s="176">
        <f t="shared" si="32"/>
        <v>0</v>
      </c>
      <c r="S533" s="176">
        <f t="shared" si="32"/>
        <v>0</v>
      </c>
      <c r="T533" s="176">
        <f t="shared" si="32"/>
        <v>0</v>
      </c>
      <c r="U533" s="176">
        <f t="shared" si="32"/>
        <v>0</v>
      </c>
      <c r="V533" s="176">
        <f t="shared" si="32"/>
        <v>0</v>
      </c>
      <c r="W533" s="176">
        <f t="shared" si="32"/>
        <v>0</v>
      </c>
      <c r="X533" s="176">
        <f t="shared" si="32"/>
        <v>0</v>
      </c>
      <c r="Y533" s="176">
        <f t="shared" si="32"/>
        <v>0</v>
      </c>
      <c r="Z533" s="176">
        <f t="shared" si="32"/>
        <v>0</v>
      </c>
      <c r="AA533" s="176">
        <f t="shared" si="32"/>
        <v>0</v>
      </c>
      <c r="AB533" s="176">
        <f t="shared" si="32"/>
        <v>0</v>
      </c>
      <c r="AC533" s="176">
        <f t="shared" si="32"/>
        <v>0</v>
      </c>
      <c r="AD533" s="176">
        <f t="shared" si="32"/>
        <v>0</v>
      </c>
      <c r="AE533" s="176">
        <f t="shared" si="32"/>
        <v>0</v>
      </c>
      <c r="AF533" s="287">
        <f t="shared" si="32"/>
        <v>0</v>
      </c>
    </row>
    <row r="534" spans="1:32" s="59" customFormat="1">
      <c r="A534" s="95" t="s">
        <v>728</v>
      </c>
      <c r="B534" s="95" t="s">
        <v>745</v>
      </c>
      <c r="C534" s="71" t="s">
        <v>531</v>
      </c>
      <c r="D534" s="74" t="s">
        <v>387</v>
      </c>
      <c r="E534" s="176">
        <f t="shared" si="33"/>
        <v>0</v>
      </c>
      <c r="F534" s="176">
        <f t="shared" si="32"/>
        <v>0</v>
      </c>
      <c r="G534" s="176">
        <f t="shared" si="32"/>
        <v>0</v>
      </c>
      <c r="H534" s="176">
        <f t="shared" si="32"/>
        <v>0</v>
      </c>
      <c r="I534" s="176">
        <f t="shared" si="32"/>
        <v>0</v>
      </c>
      <c r="J534" s="176">
        <f t="shared" si="32"/>
        <v>0</v>
      </c>
      <c r="K534" s="176">
        <f t="shared" si="32"/>
        <v>0</v>
      </c>
      <c r="L534" s="176">
        <f t="shared" si="32"/>
        <v>0</v>
      </c>
      <c r="M534" s="176">
        <f t="shared" si="32"/>
        <v>0</v>
      </c>
      <c r="N534" s="176">
        <f t="shared" si="32"/>
        <v>0</v>
      </c>
      <c r="O534" s="176">
        <f t="shared" si="32"/>
        <v>0</v>
      </c>
      <c r="P534" s="176">
        <f t="shared" si="32"/>
        <v>0</v>
      </c>
      <c r="Q534" s="176">
        <f t="shared" si="32"/>
        <v>0</v>
      </c>
      <c r="R534" s="176">
        <f t="shared" si="32"/>
        <v>0</v>
      </c>
      <c r="S534" s="176">
        <f t="shared" si="32"/>
        <v>0</v>
      </c>
      <c r="T534" s="176">
        <f t="shared" si="32"/>
        <v>0</v>
      </c>
      <c r="U534" s="176">
        <f t="shared" si="32"/>
        <v>0</v>
      </c>
      <c r="V534" s="176">
        <f t="shared" si="32"/>
        <v>0</v>
      </c>
      <c r="W534" s="176">
        <f t="shared" si="32"/>
        <v>0</v>
      </c>
      <c r="X534" s="176">
        <f t="shared" si="32"/>
        <v>0</v>
      </c>
      <c r="Y534" s="176">
        <f t="shared" si="32"/>
        <v>0</v>
      </c>
      <c r="Z534" s="176">
        <f t="shared" si="32"/>
        <v>0</v>
      </c>
      <c r="AA534" s="176">
        <f t="shared" si="32"/>
        <v>0</v>
      </c>
      <c r="AB534" s="176">
        <f t="shared" si="32"/>
        <v>0</v>
      </c>
      <c r="AC534" s="176">
        <f t="shared" si="32"/>
        <v>0</v>
      </c>
      <c r="AD534" s="176">
        <f t="shared" si="32"/>
        <v>0</v>
      </c>
      <c r="AE534" s="176">
        <f t="shared" si="32"/>
        <v>0</v>
      </c>
      <c r="AF534" s="287">
        <f t="shared" si="32"/>
        <v>0</v>
      </c>
    </row>
    <row r="535" spans="1:32" s="59" customFormat="1">
      <c r="A535" s="95" t="s">
        <v>728</v>
      </c>
      <c r="B535" s="95" t="s">
        <v>745</v>
      </c>
      <c r="C535" s="71" t="s">
        <v>533</v>
      </c>
      <c r="D535" s="74" t="s">
        <v>387</v>
      </c>
      <c r="E535" s="176">
        <f t="shared" si="33"/>
        <v>0</v>
      </c>
      <c r="F535" s="176">
        <f t="shared" si="32"/>
        <v>0</v>
      </c>
      <c r="G535" s="176">
        <f t="shared" si="32"/>
        <v>0</v>
      </c>
      <c r="H535" s="176">
        <f t="shared" si="32"/>
        <v>0</v>
      </c>
      <c r="I535" s="176">
        <f t="shared" si="32"/>
        <v>0</v>
      </c>
      <c r="J535" s="176">
        <f t="shared" si="32"/>
        <v>0</v>
      </c>
      <c r="K535" s="176">
        <f t="shared" si="32"/>
        <v>0</v>
      </c>
      <c r="L535" s="176">
        <f t="shared" si="32"/>
        <v>0</v>
      </c>
      <c r="M535" s="176">
        <f t="shared" si="32"/>
        <v>0</v>
      </c>
      <c r="N535" s="176">
        <f t="shared" si="32"/>
        <v>0</v>
      </c>
      <c r="O535" s="176">
        <f t="shared" si="32"/>
        <v>0</v>
      </c>
      <c r="P535" s="176">
        <f t="shared" si="32"/>
        <v>0</v>
      </c>
      <c r="Q535" s="176">
        <f t="shared" si="32"/>
        <v>0</v>
      </c>
      <c r="R535" s="176">
        <f t="shared" si="32"/>
        <v>0</v>
      </c>
      <c r="S535" s="176">
        <f t="shared" si="32"/>
        <v>0</v>
      </c>
      <c r="T535" s="176">
        <f t="shared" si="32"/>
        <v>0</v>
      </c>
      <c r="U535" s="176">
        <f t="shared" si="32"/>
        <v>0</v>
      </c>
      <c r="V535" s="176">
        <f t="shared" si="32"/>
        <v>0</v>
      </c>
      <c r="W535" s="176">
        <f t="shared" si="32"/>
        <v>0</v>
      </c>
      <c r="X535" s="176">
        <f t="shared" si="32"/>
        <v>0</v>
      </c>
      <c r="Y535" s="176">
        <f t="shared" si="32"/>
        <v>0</v>
      </c>
      <c r="Z535" s="176">
        <f t="shared" si="32"/>
        <v>0</v>
      </c>
      <c r="AA535" s="176">
        <f t="shared" si="32"/>
        <v>0</v>
      </c>
      <c r="AB535" s="176">
        <f t="shared" si="32"/>
        <v>0</v>
      </c>
      <c r="AC535" s="176">
        <f t="shared" si="32"/>
        <v>0</v>
      </c>
      <c r="AD535" s="176">
        <f t="shared" si="32"/>
        <v>0</v>
      </c>
      <c r="AE535" s="176">
        <f t="shared" si="32"/>
        <v>0</v>
      </c>
      <c r="AF535" s="287">
        <f t="shared" si="32"/>
        <v>0</v>
      </c>
    </row>
    <row r="536" spans="1:32" s="59" customFormat="1">
      <c r="A536" s="95" t="s">
        <v>728</v>
      </c>
      <c r="B536" s="95" t="s">
        <v>745</v>
      </c>
      <c r="C536" s="71" t="s">
        <v>535</v>
      </c>
      <c r="D536" s="74" t="s">
        <v>387</v>
      </c>
      <c r="E536" s="176">
        <f t="shared" si="33"/>
        <v>0</v>
      </c>
      <c r="F536" s="176">
        <f t="shared" si="32"/>
        <v>0</v>
      </c>
      <c r="G536" s="176">
        <f t="shared" si="32"/>
        <v>0</v>
      </c>
      <c r="H536" s="176">
        <f t="shared" si="32"/>
        <v>0</v>
      </c>
      <c r="I536" s="176">
        <f t="shared" si="32"/>
        <v>0</v>
      </c>
      <c r="J536" s="176">
        <f t="shared" si="32"/>
        <v>0</v>
      </c>
      <c r="K536" s="176">
        <f t="shared" si="32"/>
        <v>0</v>
      </c>
      <c r="L536" s="176">
        <f t="shared" si="32"/>
        <v>0</v>
      </c>
      <c r="M536" s="176">
        <f t="shared" si="32"/>
        <v>0</v>
      </c>
      <c r="N536" s="176">
        <f t="shared" si="32"/>
        <v>0</v>
      </c>
      <c r="O536" s="176">
        <f t="shared" si="32"/>
        <v>0</v>
      </c>
      <c r="P536" s="176">
        <f t="shared" si="32"/>
        <v>0</v>
      </c>
      <c r="Q536" s="176">
        <f t="shared" si="32"/>
        <v>0</v>
      </c>
      <c r="R536" s="176">
        <f t="shared" si="32"/>
        <v>0</v>
      </c>
      <c r="S536" s="176">
        <f t="shared" si="32"/>
        <v>0</v>
      </c>
      <c r="T536" s="176">
        <f t="shared" si="32"/>
        <v>0</v>
      </c>
      <c r="U536" s="176">
        <f t="shared" si="32"/>
        <v>0</v>
      </c>
      <c r="V536" s="176">
        <f t="shared" si="32"/>
        <v>0</v>
      </c>
      <c r="W536" s="176">
        <f t="shared" si="32"/>
        <v>0</v>
      </c>
      <c r="X536" s="176">
        <f t="shared" si="32"/>
        <v>0</v>
      </c>
      <c r="Y536" s="176">
        <f t="shared" si="32"/>
        <v>0</v>
      </c>
      <c r="Z536" s="176">
        <f t="shared" si="32"/>
        <v>0</v>
      </c>
      <c r="AA536" s="176">
        <f t="shared" si="32"/>
        <v>0</v>
      </c>
      <c r="AB536" s="176">
        <f t="shared" si="32"/>
        <v>0</v>
      </c>
      <c r="AC536" s="176">
        <f t="shared" si="32"/>
        <v>0</v>
      </c>
      <c r="AD536" s="176">
        <f t="shared" si="32"/>
        <v>0</v>
      </c>
      <c r="AE536" s="176">
        <f t="shared" si="32"/>
        <v>0</v>
      </c>
      <c r="AF536" s="287">
        <f t="shared" si="32"/>
        <v>0</v>
      </c>
    </row>
    <row r="537" spans="1:32" s="59" customFormat="1">
      <c r="A537" s="95" t="s">
        <v>728</v>
      </c>
      <c r="B537" s="95" t="s">
        <v>745</v>
      </c>
      <c r="C537" s="71" t="s">
        <v>537</v>
      </c>
      <c r="D537" s="74" t="s">
        <v>387</v>
      </c>
      <c r="E537" s="176">
        <f t="shared" si="33"/>
        <v>0</v>
      </c>
      <c r="F537" s="176">
        <f t="shared" si="32"/>
        <v>0</v>
      </c>
      <c r="G537" s="176">
        <f t="shared" si="32"/>
        <v>0</v>
      </c>
      <c r="H537" s="176">
        <f t="shared" si="32"/>
        <v>-11939.651594949139</v>
      </c>
      <c r="I537" s="176">
        <f t="shared" si="32"/>
        <v>0</v>
      </c>
      <c r="J537" s="176">
        <f t="shared" si="32"/>
        <v>0</v>
      </c>
      <c r="K537" s="176">
        <f t="shared" si="32"/>
        <v>0</v>
      </c>
      <c r="L537" s="176">
        <f t="shared" si="32"/>
        <v>0</v>
      </c>
      <c r="M537" s="176">
        <f t="shared" si="32"/>
        <v>0</v>
      </c>
      <c r="N537" s="176">
        <f t="shared" si="32"/>
        <v>0</v>
      </c>
      <c r="O537" s="176">
        <f t="shared" si="32"/>
        <v>0</v>
      </c>
      <c r="P537" s="176">
        <f t="shared" si="32"/>
        <v>0</v>
      </c>
      <c r="Q537" s="176">
        <f t="shared" si="32"/>
        <v>0</v>
      </c>
      <c r="R537" s="176">
        <f t="shared" si="32"/>
        <v>0</v>
      </c>
      <c r="S537" s="176">
        <f t="shared" ref="S537:AF547" si="34">SUMIFS(S$7:S$26,$C$7:$C$26,$C537)*SUMIFS(S$32:S$350,$C$32:$C$350,$B537,$B$32:$B$350,$C537)</f>
        <v>-665.62571484987836</v>
      </c>
      <c r="T537" s="176">
        <f t="shared" si="34"/>
        <v>0</v>
      </c>
      <c r="U537" s="176">
        <f t="shared" si="34"/>
        <v>0</v>
      </c>
      <c r="V537" s="176">
        <f t="shared" si="34"/>
        <v>0</v>
      </c>
      <c r="W537" s="176">
        <f t="shared" si="34"/>
        <v>0</v>
      </c>
      <c r="X537" s="176">
        <f t="shared" si="34"/>
        <v>0</v>
      </c>
      <c r="Y537" s="176">
        <f t="shared" si="34"/>
        <v>0</v>
      </c>
      <c r="Z537" s="176">
        <f t="shared" si="34"/>
        <v>0</v>
      </c>
      <c r="AA537" s="176">
        <f t="shared" si="34"/>
        <v>0</v>
      </c>
      <c r="AB537" s="176">
        <f t="shared" si="34"/>
        <v>0</v>
      </c>
      <c r="AC537" s="176">
        <f t="shared" si="34"/>
        <v>0</v>
      </c>
      <c r="AD537" s="176">
        <f t="shared" si="34"/>
        <v>0</v>
      </c>
      <c r="AE537" s="176">
        <f t="shared" si="34"/>
        <v>0</v>
      </c>
      <c r="AF537" s="287">
        <f t="shared" si="34"/>
        <v>0</v>
      </c>
    </row>
    <row r="538" spans="1:32" s="59" customFormat="1">
      <c r="A538" s="95" t="s">
        <v>728</v>
      </c>
      <c r="B538" s="95" t="s">
        <v>745</v>
      </c>
      <c r="C538" s="71" t="s">
        <v>541</v>
      </c>
      <c r="D538" s="74" t="s">
        <v>387</v>
      </c>
      <c r="E538" s="176">
        <f t="shared" si="33"/>
        <v>0</v>
      </c>
      <c r="F538" s="176">
        <f t="shared" si="33"/>
        <v>0</v>
      </c>
      <c r="G538" s="176">
        <f t="shared" si="33"/>
        <v>0</v>
      </c>
      <c r="H538" s="176">
        <f t="shared" si="33"/>
        <v>0</v>
      </c>
      <c r="I538" s="176">
        <f t="shared" si="33"/>
        <v>0</v>
      </c>
      <c r="J538" s="176">
        <f t="shared" si="33"/>
        <v>0</v>
      </c>
      <c r="K538" s="176">
        <f t="shared" si="33"/>
        <v>0</v>
      </c>
      <c r="L538" s="176">
        <f t="shared" si="33"/>
        <v>0</v>
      </c>
      <c r="M538" s="176">
        <f t="shared" si="33"/>
        <v>0</v>
      </c>
      <c r="N538" s="176">
        <f t="shared" si="33"/>
        <v>0</v>
      </c>
      <c r="O538" s="176">
        <f t="shared" si="33"/>
        <v>0</v>
      </c>
      <c r="P538" s="176">
        <f t="shared" si="33"/>
        <v>0</v>
      </c>
      <c r="Q538" s="176">
        <f t="shared" si="33"/>
        <v>0</v>
      </c>
      <c r="R538" s="176">
        <f t="shared" si="33"/>
        <v>0</v>
      </c>
      <c r="S538" s="176">
        <f t="shared" si="33"/>
        <v>0</v>
      </c>
      <c r="T538" s="176">
        <f t="shared" si="33"/>
        <v>0</v>
      </c>
      <c r="U538" s="176">
        <f t="shared" si="34"/>
        <v>0</v>
      </c>
      <c r="V538" s="176">
        <f t="shared" si="34"/>
        <v>0</v>
      </c>
      <c r="W538" s="176">
        <f t="shared" si="34"/>
        <v>0</v>
      </c>
      <c r="X538" s="176">
        <f t="shared" si="34"/>
        <v>0</v>
      </c>
      <c r="Y538" s="176">
        <f t="shared" si="34"/>
        <v>0</v>
      </c>
      <c r="Z538" s="176">
        <f t="shared" si="34"/>
        <v>0</v>
      </c>
      <c r="AA538" s="176">
        <f t="shared" si="34"/>
        <v>0</v>
      </c>
      <c r="AB538" s="176">
        <f t="shared" si="34"/>
        <v>0</v>
      </c>
      <c r="AC538" s="176">
        <f t="shared" si="34"/>
        <v>0</v>
      </c>
      <c r="AD538" s="176">
        <f t="shared" si="34"/>
        <v>0</v>
      </c>
      <c r="AE538" s="176">
        <f t="shared" si="34"/>
        <v>0</v>
      </c>
      <c r="AF538" s="287">
        <f t="shared" si="34"/>
        <v>0</v>
      </c>
    </row>
    <row r="539" spans="1:32" s="59" customFormat="1">
      <c r="A539" s="95" t="s">
        <v>728</v>
      </c>
      <c r="B539" s="95" t="s">
        <v>745</v>
      </c>
      <c r="C539" s="71" t="s">
        <v>543</v>
      </c>
      <c r="D539" s="74" t="s">
        <v>387</v>
      </c>
      <c r="E539" s="176">
        <f t="shared" si="33"/>
        <v>0</v>
      </c>
      <c r="F539" s="176">
        <f t="shared" si="33"/>
        <v>0</v>
      </c>
      <c r="G539" s="176">
        <f t="shared" si="33"/>
        <v>0</v>
      </c>
      <c r="H539" s="176">
        <f t="shared" si="33"/>
        <v>0</v>
      </c>
      <c r="I539" s="176">
        <f t="shared" si="33"/>
        <v>0</v>
      </c>
      <c r="J539" s="176">
        <f t="shared" si="33"/>
        <v>0</v>
      </c>
      <c r="K539" s="176">
        <f t="shared" si="33"/>
        <v>0</v>
      </c>
      <c r="L539" s="176">
        <f t="shared" si="33"/>
        <v>0</v>
      </c>
      <c r="M539" s="176">
        <f t="shared" si="33"/>
        <v>0</v>
      </c>
      <c r="N539" s="176">
        <f t="shared" si="33"/>
        <v>0</v>
      </c>
      <c r="O539" s="176">
        <f t="shared" si="33"/>
        <v>0</v>
      </c>
      <c r="P539" s="176">
        <f t="shared" si="33"/>
        <v>0</v>
      </c>
      <c r="Q539" s="176">
        <f t="shared" si="33"/>
        <v>0</v>
      </c>
      <c r="R539" s="176">
        <f t="shared" si="33"/>
        <v>0</v>
      </c>
      <c r="S539" s="176">
        <f t="shared" si="33"/>
        <v>0</v>
      </c>
      <c r="T539" s="176">
        <f t="shared" si="33"/>
        <v>0</v>
      </c>
      <c r="U539" s="176">
        <f t="shared" si="34"/>
        <v>0</v>
      </c>
      <c r="V539" s="176">
        <f t="shared" si="34"/>
        <v>0</v>
      </c>
      <c r="W539" s="176">
        <f t="shared" si="34"/>
        <v>0</v>
      </c>
      <c r="X539" s="176">
        <f t="shared" si="34"/>
        <v>0</v>
      </c>
      <c r="Y539" s="176">
        <f t="shared" si="34"/>
        <v>0</v>
      </c>
      <c r="Z539" s="176">
        <f t="shared" si="34"/>
        <v>0</v>
      </c>
      <c r="AA539" s="176">
        <f t="shared" si="34"/>
        <v>0</v>
      </c>
      <c r="AB539" s="176">
        <f t="shared" si="34"/>
        <v>0</v>
      </c>
      <c r="AC539" s="176">
        <f t="shared" si="34"/>
        <v>0</v>
      </c>
      <c r="AD539" s="176">
        <f t="shared" si="34"/>
        <v>0</v>
      </c>
      <c r="AE539" s="176">
        <f t="shared" si="34"/>
        <v>0</v>
      </c>
      <c r="AF539" s="287">
        <f t="shared" si="34"/>
        <v>0</v>
      </c>
    </row>
    <row r="540" spans="1:32" s="59" customFormat="1">
      <c r="A540" s="95" t="s">
        <v>728</v>
      </c>
      <c r="B540" s="95" t="s">
        <v>745</v>
      </c>
      <c r="C540" s="71" t="s">
        <v>545</v>
      </c>
      <c r="D540" s="74" t="s">
        <v>387</v>
      </c>
      <c r="E540" s="176">
        <f t="shared" si="33"/>
        <v>0</v>
      </c>
      <c r="F540" s="176">
        <f t="shared" si="33"/>
        <v>0</v>
      </c>
      <c r="G540" s="176">
        <f t="shared" si="33"/>
        <v>0</v>
      </c>
      <c r="H540" s="176">
        <f t="shared" si="33"/>
        <v>0</v>
      </c>
      <c r="I540" s="176">
        <f t="shared" si="33"/>
        <v>0</v>
      </c>
      <c r="J540" s="176">
        <f t="shared" si="33"/>
        <v>0</v>
      </c>
      <c r="K540" s="176">
        <f t="shared" si="33"/>
        <v>0</v>
      </c>
      <c r="L540" s="176">
        <f t="shared" si="33"/>
        <v>0</v>
      </c>
      <c r="M540" s="176">
        <f t="shared" si="33"/>
        <v>0</v>
      </c>
      <c r="N540" s="176">
        <f t="shared" si="33"/>
        <v>0</v>
      </c>
      <c r="O540" s="176">
        <f t="shared" si="33"/>
        <v>0</v>
      </c>
      <c r="P540" s="176">
        <f t="shared" si="33"/>
        <v>0</v>
      </c>
      <c r="Q540" s="176">
        <f t="shared" si="33"/>
        <v>0</v>
      </c>
      <c r="R540" s="176">
        <f t="shared" si="33"/>
        <v>0</v>
      </c>
      <c r="S540" s="176">
        <f t="shared" si="33"/>
        <v>-320.00132826246238</v>
      </c>
      <c r="T540" s="176">
        <f t="shared" si="33"/>
        <v>0</v>
      </c>
      <c r="U540" s="176">
        <f t="shared" si="34"/>
        <v>0</v>
      </c>
      <c r="V540" s="176">
        <f t="shared" si="34"/>
        <v>0</v>
      </c>
      <c r="W540" s="176">
        <f t="shared" si="34"/>
        <v>0</v>
      </c>
      <c r="X540" s="176">
        <f t="shared" si="34"/>
        <v>0</v>
      </c>
      <c r="Y540" s="176">
        <f t="shared" si="34"/>
        <v>0</v>
      </c>
      <c r="Z540" s="176">
        <f t="shared" si="34"/>
        <v>0</v>
      </c>
      <c r="AA540" s="176">
        <f t="shared" si="34"/>
        <v>0</v>
      </c>
      <c r="AB540" s="176">
        <f t="shared" si="34"/>
        <v>0</v>
      </c>
      <c r="AC540" s="176">
        <f t="shared" si="34"/>
        <v>0</v>
      </c>
      <c r="AD540" s="176">
        <f t="shared" si="34"/>
        <v>0</v>
      </c>
      <c r="AE540" s="176">
        <f t="shared" si="34"/>
        <v>0</v>
      </c>
      <c r="AF540" s="287">
        <f t="shared" si="34"/>
        <v>0</v>
      </c>
    </row>
    <row r="541" spans="1:32" s="59" customFormat="1">
      <c r="A541" s="95" t="s">
        <v>728</v>
      </c>
      <c r="B541" s="95" t="s">
        <v>745</v>
      </c>
      <c r="C541" s="71" t="s">
        <v>548</v>
      </c>
      <c r="D541" s="74" t="s">
        <v>387</v>
      </c>
      <c r="E541" s="176">
        <f t="shared" si="33"/>
        <v>0</v>
      </c>
      <c r="F541" s="176">
        <f t="shared" si="33"/>
        <v>0</v>
      </c>
      <c r="G541" s="176">
        <f t="shared" si="33"/>
        <v>0</v>
      </c>
      <c r="H541" s="176">
        <f t="shared" si="33"/>
        <v>0</v>
      </c>
      <c r="I541" s="176">
        <f t="shared" si="33"/>
        <v>0</v>
      </c>
      <c r="J541" s="176">
        <f t="shared" si="33"/>
        <v>0</v>
      </c>
      <c r="K541" s="176">
        <f t="shared" si="33"/>
        <v>0</v>
      </c>
      <c r="L541" s="176">
        <f t="shared" si="33"/>
        <v>0</v>
      </c>
      <c r="M541" s="176">
        <f t="shared" si="33"/>
        <v>0</v>
      </c>
      <c r="N541" s="176">
        <f t="shared" si="33"/>
        <v>0</v>
      </c>
      <c r="O541" s="176">
        <f t="shared" si="33"/>
        <v>0</v>
      </c>
      <c r="P541" s="176">
        <f t="shared" si="33"/>
        <v>0</v>
      </c>
      <c r="Q541" s="176">
        <f t="shared" si="33"/>
        <v>0</v>
      </c>
      <c r="R541" s="176">
        <f t="shared" si="33"/>
        <v>0</v>
      </c>
      <c r="S541" s="176">
        <f t="shared" si="33"/>
        <v>0</v>
      </c>
      <c r="T541" s="176">
        <f t="shared" si="33"/>
        <v>0</v>
      </c>
      <c r="U541" s="176">
        <f t="shared" si="34"/>
        <v>0</v>
      </c>
      <c r="V541" s="176">
        <f t="shared" si="34"/>
        <v>0</v>
      </c>
      <c r="W541" s="176">
        <f t="shared" si="34"/>
        <v>0</v>
      </c>
      <c r="X541" s="176">
        <f t="shared" si="34"/>
        <v>0</v>
      </c>
      <c r="Y541" s="176">
        <f t="shared" si="34"/>
        <v>0</v>
      </c>
      <c r="Z541" s="176">
        <f t="shared" si="34"/>
        <v>0</v>
      </c>
      <c r="AA541" s="176">
        <f t="shared" si="34"/>
        <v>0</v>
      </c>
      <c r="AB541" s="176">
        <f t="shared" si="34"/>
        <v>0</v>
      </c>
      <c r="AC541" s="176">
        <f t="shared" si="34"/>
        <v>0</v>
      </c>
      <c r="AD541" s="176">
        <f t="shared" si="34"/>
        <v>0</v>
      </c>
      <c r="AE541" s="176">
        <f t="shared" si="34"/>
        <v>0</v>
      </c>
      <c r="AF541" s="287">
        <f t="shared" si="34"/>
        <v>0</v>
      </c>
    </row>
    <row r="542" spans="1:32" s="59" customFormat="1">
      <c r="A542" s="95" t="s">
        <v>728</v>
      </c>
      <c r="B542" s="95" t="s">
        <v>745</v>
      </c>
      <c r="C542" s="71" t="s">
        <v>550</v>
      </c>
      <c r="D542" s="74" t="s">
        <v>387</v>
      </c>
      <c r="E542" s="176">
        <f t="shared" si="33"/>
        <v>0</v>
      </c>
      <c r="F542" s="176">
        <f t="shared" si="33"/>
        <v>0</v>
      </c>
      <c r="G542" s="176">
        <f t="shared" si="33"/>
        <v>0</v>
      </c>
      <c r="H542" s="176">
        <f t="shared" si="33"/>
        <v>0</v>
      </c>
      <c r="I542" s="176">
        <f t="shared" si="33"/>
        <v>0</v>
      </c>
      <c r="J542" s="176">
        <f t="shared" si="33"/>
        <v>0</v>
      </c>
      <c r="K542" s="176">
        <f t="shared" si="33"/>
        <v>0</v>
      </c>
      <c r="L542" s="176">
        <f t="shared" si="33"/>
        <v>0</v>
      </c>
      <c r="M542" s="176">
        <f t="shared" si="33"/>
        <v>0</v>
      </c>
      <c r="N542" s="176">
        <f t="shared" si="33"/>
        <v>0</v>
      </c>
      <c r="O542" s="176">
        <f t="shared" si="33"/>
        <v>0</v>
      </c>
      <c r="P542" s="176">
        <f t="shared" si="33"/>
        <v>0</v>
      </c>
      <c r="Q542" s="176">
        <f t="shared" si="33"/>
        <v>0</v>
      </c>
      <c r="R542" s="176">
        <f t="shared" si="33"/>
        <v>0</v>
      </c>
      <c r="S542" s="176">
        <f t="shared" si="33"/>
        <v>0</v>
      </c>
      <c r="T542" s="176">
        <f t="shared" si="33"/>
        <v>0</v>
      </c>
      <c r="U542" s="176">
        <f t="shared" si="34"/>
        <v>0</v>
      </c>
      <c r="V542" s="176">
        <f t="shared" si="34"/>
        <v>0</v>
      </c>
      <c r="W542" s="176">
        <f t="shared" si="34"/>
        <v>0</v>
      </c>
      <c r="X542" s="176">
        <f t="shared" si="34"/>
        <v>0</v>
      </c>
      <c r="Y542" s="176">
        <f t="shared" si="34"/>
        <v>0</v>
      </c>
      <c r="Z542" s="176">
        <f t="shared" si="34"/>
        <v>0</v>
      </c>
      <c r="AA542" s="176">
        <f t="shared" si="34"/>
        <v>0</v>
      </c>
      <c r="AB542" s="176">
        <f t="shared" si="34"/>
        <v>0</v>
      </c>
      <c r="AC542" s="176">
        <f t="shared" si="34"/>
        <v>0</v>
      </c>
      <c r="AD542" s="176">
        <f t="shared" si="34"/>
        <v>0</v>
      </c>
      <c r="AE542" s="176">
        <f t="shared" si="34"/>
        <v>0</v>
      </c>
      <c r="AF542" s="287">
        <f t="shared" si="34"/>
        <v>0</v>
      </c>
    </row>
    <row r="543" spans="1:32" s="59" customFormat="1">
      <c r="A543" s="95" t="s">
        <v>728</v>
      </c>
      <c r="B543" s="95" t="s">
        <v>745</v>
      </c>
      <c r="C543" s="71" t="s">
        <v>552</v>
      </c>
      <c r="D543" s="74" t="s">
        <v>387</v>
      </c>
      <c r="E543" s="176">
        <f t="shared" si="33"/>
        <v>0</v>
      </c>
      <c r="F543" s="176">
        <f t="shared" si="33"/>
        <v>0</v>
      </c>
      <c r="G543" s="176">
        <f t="shared" si="33"/>
        <v>0</v>
      </c>
      <c r="H543" s="176">
        <f t="shared" si="33"/>
        <v>0</v>
      </c>
      <c r="I543" s="176">
        <f t="shared" si="33"/>
        <v>0</v>
      </c>
      <c r="J543" s="176">
        <f t="shared" si="33"/>
        <v>0</v>
      </c>
      <c r="K543" s="176">
        <f t="shared" si="33"/>
        <v>0</v>
      </c>
      <c r="L543" s="176">
        <f t="shared" si="33"/>
        <v>0</v>
      </c>
      <c r="M543" s="176">
        <f t="shared" si="33"/>
        <v>0</v>
      </c>
      <c r="N543" s="176">
        <f t="shared" si="33"/>
        <v>0</v>
      </c>
      <c r="O543" s="176">
        <f t="shared" si="33"/>
        <v>0</v>
      </c>
      <c r="P543" s="176">
        <f t="shared" si="33"/>
        <v>0</v>
      </c>
      <c r="Q543" s="176">
        <f t="shared" si="33"/>
        <v>0</v>
      </c>
      <c r="R543" s="176">
        <f t="shared" si="33"/>
        <v>0</v>
      </c>
      <c r="S543" s="176">
        <f t="shared" si="33"/>
        <v>0</v>
      </c>
      <c r="T543" s="176">
        <f t="shared" si="33"/>
        <v>0</v>
      </c>
      <c r="U543" s="176">
        <f t="shared" si="34"/>
        <v>0</v>
      </c>
      <c r="V543" s="176">
        <f t="shared" si="34"/>
        <v>0</v>
      </c>
      <c r="W543" s="176">
        <f t="shared" si="34"/>
        <v>0</v>
      </c>
      <c r="X543" s="176">
        <f t="shared" si="34"/>
        <v>0</v>
      </c>
      <c r="Y543" s="176">
        <f t="shared" si="34"/>
        <v>0</v>
      </c>
      <c r="Z543" s="176">
        <f t="shared" si="34"/>
        <v>0</v>
      </c>
      <c r="AA543" s="176">
        <f t="shared" si="34"/>
        <v>0</v>
      </c>
      <c r="AB543" s="176">
        <f t="shared" si="34"/>
        <v>0</v>
      </c>
      <c r="AC543" s="176">
        <f t="shared" si="34"/>
        <v>0</v>
      </c>
      <c r="AD543" s="176">
        <f t="shared" si="34"/>
        <v>0</v>
      </c>
      <c r="AE543" s="176">
        <f t="shared" si="34"/>
        <v>0</v>
      </c>
      <c r="AF543" s="287">
        <f t="shared" si="34"/>
        <v>0</v>
      </c>
    </row>
    <row r="544" spans="1:32" s="59" customFormat="1">
      <c r="A544" s="95" t="s">
        <v>728</v>
      </c>
      <c r="B544" s="95" t="s">
        <v>745</v>
      </c>
      <c r="C544" s="71" t="s">
        <v>554</v>
      </c>
      <c r="D544" s="74" t="s">
        <v>387</v>
      </c>
      <c r="E544" s="176">
        <f t="shared" si="33"/>
        <v>0</v>
      </c>
      <c r="F544" s="176">
        <f t="shared" si="33"/>
        <v>0</v>
      </c>
      <c r="G544" s="176">
        <f t="shared" si="33"/>
        <v>0</v>
      </c>
      <c r="H544" s="176">
        <f t="shared" si="33"/>
        <v>0</v>
      </c>
      <c r="I544" s="176">
        <f t="shared" si="33"/>
        <v>0</v>
      </c>
      <c r="J544" s="176">
        <f t="shared" si="33"/>
        <v>0</v>
      </c>
      <c r="K544" s="176">
        <f t="shared" si="33"/>
        <v>0</v>
      </c>
      <c r="L544" s="176">
        <f t="shared" si="33"/>
        <v>0</v>
      </c>
      <c r="M544" s="176">
        <f t="shared" si="33"/>
        <v>0</v>
      </c>
      <c r="N544" s="176">
        <f t="shared" si="33"/>
        <v>0</v>
      </c>
      <c r="O544" s="176">
        <f t="shared" si="33"/>
        <v>0</v>
      </c>
      <c r="P544" s="176">
        <f t="shared" si="33"/>
        <v>0</v>
      </c>
      <c r="Q544" s="176">
        <f t="shared" si="33"/>
        <v>0</v>
      </c>
      <c r="R544" s="176">
        <f t="shared" si="33"/>
        <v>0</v>
      </c>
      <c r="S544" s="176">
        <f t="shared" si="33"/>
        <v>0</v>
      </c>
      <c r="T544" s="176">
        <f t="shared" si="33"/>
        <v>0</v>
      </c>
      <c r="U544" s="176">
        <f t="shared" si="34"/>
        <v>0</v>
      </c>
      <c r="V544" s="176">
        <f t="shared" si="34"/>
        <v>0</v>
      </c>
      <c r="W544" s="176">
        <f t="shared" si="34"/>
        <v>0</v>
      </c>
      <c r="X544" s="176">
        <f t="shared" si="34"/>
        <v>0</v>
      </c>
      <c r="Y544" s="176">
        <f t="shared" si="34"/>
        <v>0</v>
      </c>
      <c r="Z544" s="176">
        <f t="shared" si="34"/>
        <v>0</v>
      </c>
      <c r="AA544" s="176">
        <f t="shared" si="34"/>
        <v>0</v>
      </c>
      <c r="AB544" s="176">
        <f t="shared" si="34"/>
        <v>0</v>
      </c>
      <c r="AC544" s="176">
        <f t="shared" si="34"/>
        <v>0</v>
      </c>
      <c r="AD544" s="176">
        <f t="shared" si="34"/>
        <v>0</v>
      </c>
      <c r="AE544" s="176">
        <f t="shared" si="34"/>
        <v>0</v>
      </c>
      <c r="AF544" s="287">
        <f t="shared" si="34"/>
        <v>0</v>
      </c>
    </row>
    <row r="545" spans="1:32" s="59" customFormat="1">
      <c r="A545" s="95" t="s">
        <v>728</v>
      </c>
      <c r="B545" s="95" t="s">
        <v>745</v>
      </c>
      <c r="C545" s="71" t="s">
        <v>556</v>
      </c>
      <c r="D545" s="74" t="s">
        <v>387</v>
      </c>
      <c r="E545" s="176">
        <f t="shared" si="33"/>
        <v>0</v>
      </c>
      <c r="F545" s="176">
        <f t="shared" si="33"/>
        <v>0</v>
      </c>
      <c r="G545" s="176">
        <f t="shared" si="33"/>
        <v>0</v>
      </c>
      <c r="H545" s="176">
        <f t="shared" si="33"/>
        <v>0</v>
      </c>
      <c r="I545" s="176">
        <f t="shared" si="33"/>
        <v>0</v>
      </c>
      <c r="J545" s="176">
        <f t="shared" si="33"/>
        <v>0</v>
      </c>
      <c r="K545" s="176">
        <f t="shared" si="33"/>
        <v>0</v>
      </c>
      <c r="L545" s="176">
        <f t="shared" si="33"/>
        <v>0</v>
      </c>
      <c r="M545" s="176">
        <f t="shared" si="33"/>
        <v>0</v>
      </c>
      <c r="N545" s="176">
        <f t="shared" si="33"/>
        <v>0</v>
      </c>
      <c r="O545" s="176">
        <f t="shared" si="33"/>
        <v>0</v>
      </c>
      <c r="P545" s="176">
        <f t="shared" si="33"/>
        <v>0</v>
      </c>
      <c r="Q545" s="176">
        <f t="shared" si="33"/>
        <v>0</v>
      </c>
      <c r="R545" s="176">
        <f t="shared" si="33"/>
        <v>0</v>
      </c>
      <c r="S545" s="176">
        <f t="shared" si="33"/>
        <v>0</v>
      </c>
      <c r="T545" s="176">
        <f t="shared" si="33"/>
        <v>0</v>
      </c>
      <c r="U545" s="176">
        <f t="shared" si="34"/>
        <v>0</v>
      </c>
      <c r="V545" s="176">
        <f t="shared" si="34"/>
        <v>0</v>
      </c>
      <c r="W545" s="176">
        <f t="shared" si="34"/>
        <v>0</v>
      </c>
      <c r="X545" s="176">
        <f t="shared" si="34"/>
        <v>0</v>
      </c>
      <c r="Y545" s="176">
        <f t="shared" si="34"/>
        <v>0</v>
      </c>
      <c r="Z545" s="176">
        <f t="shared" si="34"/>
        <v>0</v>
      </c>
      <c r="AA545" s="176">
        <f t="shared" si="34"/>
        <v>0</v>
      </c>
      <c r="AB545" s="176">
        <f t="shared" si="34"/>
        <v>0</v>
      </c>
      <c r="AC545" s="176">
        <f t="shared" si="34"/>
        <v>0</v>
      </c>
      <c r="AD545" s="176">
        <f t="shared" si="34"/>
        <v>0</v>
      </c>
      <c r="AE545" s="176">
        <f t="shared" si="34"/>
        <v>0</v>
      </c>
      <c r="AF545" s="287">
        <f t="shared" si="34"/>
        <v>0</v>
      </c>
    </row>
    <row r="546" spans="1:32" s="59" customFormat="1">
      <c r="A546" s="95" t="s">
        <v>728</v>
      </c>
      <c r="B546" s="95" t="s">
        <v>745</v>
      </c>
      <c r="C546" s="71" t="s">
        <v>558</v>
      </c>
      <c r="D546" s="74" t="s">
        <v>387</v>
      </c>
      <c r="E546" s="176">
        <f t="shared" si="33"/>
        <v>0</v>
      </c>
      <c r="F546" s="176">
        <f t="shared" si="33"/>
        <v>0</v>
      </c>
      <c r="G546" s="176">
        <f t="shared" si="33"/>
        <v>0</v>
      </c>
      <c r="H546" s="176">
        <f t="shared" si="33"/>
        <v>0</v>
      </c>
      <c r="I546" s="176">
        <f>SUMIFS(I$7:I$26,$C$7:$C$26,$C546)*SUMIFS(I$32:I$350,$C$32:$C$350,$B546,$B$32:$B$350,$C546)</f>
        <v>0</v>
      </c>
      <c r="J546" s="176">
        <f t="shared" si="33"/>
        <v>0</v>
      </c>
      <c r="K546" s="176">
        <f t="shared" si="33"/>
        <v>0</v>
      </c>
      <c r="L546" s="176">
        <f t="shared" si="33"/>
        <v>0</v>
      </c>
      <c r="M546" s="176">
        <f t="shared" si="33"/>
        <v>0</v>
      </c>
      <c r="N546" s="176">
        <f t="shared" si="33"/>
        <v>0</v>
      </c>
      <c r="O546" s="176">
        <f t="shared" si="33"/>
        <v>0</v>
      </c>
      <c r="P546" s="176">
        <f t="shared" si="33"/>
        <v>0</v>
      </c>
      <c r="Q546" s="176">
        <f t="shared" si="33"/>
        <v>0</v>
      </c>
      <c r="R546" s="176">
        <f t="shared" si="33"/>
        <v>0</v>
      </c>
      <c r="S546" s="176">
        <f t="shared" si="33"/>
        <v>0</v>
      </c>
      <c r="T546" s="176">
        <f t="shared" si="33"/>
        <v>0</v>
      </c>
      <c r="U546" s="176">
        <f t="shared" si="34"/>
        <v>0</v>
      </c>
      <c r="V546" s="176">
        <f t="shared" si="34"/>
        <v>0</v>
      </c>
      <c r="W546" s="176">
        <f t="shared" si="34"/>
        <v>0</v>
      </c>
      <c r="X546" s="176">
        <f t="shared" si="34"/>
        <v>0</v>
      </c>
      <c r="Y546" s="176">
        <f t="shared" si="34"/>
        <v>0</v>
      </c>
      <c r="Z546" s="176">
        <f t="shared" si="34"/>
        <v>0</v>
      </c>
      <c r="AA546" s="176">
        <f t="shared" si="34"/>
        <v>0</v>
      </c>
      <c r="AB546" s="176">
        <f t="shared" si="34"/>
        <v>0</v>
      </c>
      <c r="AC546" s="176">
        <f t="shared" si="34"/>
        <v>0</v>
      </c>
      <c r="AD546" s="176">
        <f t="shared" si="34"/>
        <v>0</v>
      </c>
      <c r="AE546" s="176">
        <f t="shared" si="34"/>
        <v>0</v>
      </c>
      <c r="AF546" s="287">
        <f t="shared" si="34"/>
        <v>0</v>
      </c>
    </row>
    <row r="547" spans="1:32" s="59" customFormat="1">
      <c r="A547" s="97" t="s">
        <v>728</v>
      </c>
      <c r="B547" s="76" t="s">
        <v>745</v>
      </c>
      <c r="C547" s="76" t="s">
        <v>560</v>
      </c>
      <c r="D547" s="77" t="s">
        <v>387</v>
      </c>
      <c r="E547" s="288">
        <f t="shared" si="33"/>
        <v>0</v>
      </c>
      <c r="F547" s="289">
        <f t="shared" si="33"/>
        <v>0</v>
      </c>
      <c r="G547" s="289">
        <f t="shared" si="33"/>
        <v>0</v>
      </c>
      <c r="H547" s="289">
        <f t="shared" si="33"/>
        <v>0</v>
      </c>
      <c r="I547" s="289">
        <f t="shared" si="33"/>
        <v>0</v>
      </c>
      <c r="J547" s="289">
        <f t="shared" si="33"/>
        <v>0</v>
      </c>
      <c r="K547" s="289">
        <f t="shared" si="33"/>
        <v>0</v>
      </c>
      <c r="L547" s="289">
        <f t="shared" si="33"/>
        <v>0</v>
      </c>
      <c r="M547" s="289">
        <f t="shared" si="33"/>
        <v>0</v>
      </c>
      <c r="N547" s="289">
        <f t="shared" si="33"/>
        <v>0</v>
      </c>
      <c r="O547" s="289">
        <f t="shared" si="33"/>
        <v>0</v>
      </c>
      <c r="P547" s="289">
        <f t="shared" si="33"/>
        <v>0</v>
      </c>
      <c r="Q547" s="289">
        <f t="shared" si="33"/>
        <v>0</v>
      </c>
      <c r="R547" s="289">
        <f t="shared" si="33"/>
        <v>0</v>
      </c>
      <c r="S547" s="289">
        <f t="shared" si="33"/>
        <v>0</v>
      </c>
      <c r="T547" s="289">
        <f t="shared" si="33"/>
        <v>0</v>
      </c>
      <c r="U547" s="289">
        <f t="shared" si="34"/>
        <v>0</v>
      </c>
      <c r="V547" s="289">
        <f t="shared" si="34"/>
        <v>0</v>
      </c>
      <c r="W547" s="289">
        <f t="shared" si="34"/>
        <v>0</v>
      </c>
      <c r="X547" s="289">
        <f t="shared" si="34"/>
        <v>0</v>
      </c>
      <c r="Y547" s="289">
        <f t="shared" si="34"/>
        <v>0</v>
      </c>
      <c r="Z547" s="289">
        <f t="shared" si="34"/>
        <v>0</v>
      </c>
      <c r="AA547" s="289">
        <f t="shared" si="34"/>
        <v>0</v>
      </c>
      <c r="AB547" s="289">
        <f t="shared" si="34"/>
        <v>0</v>
      </c>
      <c r="AC547" s="289">
        <f t="shared" si="34"/>
        <v>0</v>
      </c>
      <c r="AD547" s="289">
        <f t="shared" si="34"/>
        <v>0</v>
      </c>
      <c r="AE547" s="289">
        <f t="shared" si="34"/>
        <v>0</v>
      </c>
      <c r="AF547" s="290">
        <f t="shared" si="34"/>
        <v>0</v>
      </c>
    </row>
    <row r="549" spans="1:32" s="60" customFormat="1" ht="14.4">
      <c r="A549" s="86"/>
      <c r="B549" s="86"/>
      <c r="C549" s="63"/>
      <c r="D549" s="63"/>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86"/>
    </row>
    <row r="550" spans="1:32" s="59" customFormat="1">
      <c r="A550" s="90" t="s">
        <v>717</v>
      </c>
      <c r="B550" s="90" t="s">
        <v>727</v>
      </c>
      <c r="C550" s="68" t="s">
        <v>718</v>
      </c>
      <c r="D550" s="68" t="s">
        <v>375</v>
      </c>
      <c r="E550" s="69" t="s">
        <v>172</v>
      </c>
      <c r="F550" s="69" t="s">
        <v>175</v>
      </c>
      <c r="G550" s="69" t="s">
        <v>178</v>
      </c>
      <c r="H550" s="69" t="s">
        <v>181</v>
      </c>
      <c r="I550" s="69" t="s">
        <v>184</v>
      </c>
      <c r="J550" s="69" t="s">
        <v>187</v>
      </c>
      <c r="K550" s="69" t="s">
        <v>190</v>
      </c>
      <c r="L550" s="69" t="s">
        <v>193</v>
      </c>
      <c r="M550" s="69" t="s">
        <v>196</v>
      </c>
      <c r="N550" s="69" t="s">
        <v>198</v>
      </c>
      <c r="O550" s="69" t="s">
        <v>200</v>
      </c>
      <c r="P550" s="69" t="s">
        <v>202</v>
      </c>
      <c r="Q550" s="69" t="s">
        <v>205</v>
      </c>
      <c r="R550" s="69" t="s">
        <v>208</v>
      </c>
      <c r="S550" s="69" t="s">
        <v>211</v>
      </c>
      <c r="T550" s="69" t="s">
        <v>214</v>
      </c>
      <c r="U550" s="69" t="s">
        <v>217</v>
      </c>
      <c r="V550" s="69" t="s">
        <v>220</v>
      </c>
      <c r="W550" s="69" t="s">
        <v>223</v>
      </c>
      <c r="X550" s="69" t="s">
        <v>225</v>
      </c>
      <c r="Y550" s="69" t="s">
        <v>227</v>
      </c>
      <c r="Z550" s="69" t="s">
        <v>230</v>
      </c>
      <c r="AA550" s="69" t="s">
        <v>233</v>
      </c>
      <c r="AB550" s="69" t="s">
        <v>236</v>
      </c>
      <c r="AC550" s="69" t="s">
        <v>238</v>
      </c>
      <c r="AD550" s="69" t="s">
        <v>240</v>
      </c>
      <c r="AE550" s="69" t="s">
        <v>243</v>
      </c>
      <c r="AF550" s="91" t="s">
        <v>245</v>
      </c>
    </row>
    <row r="551" spans="1:32" s="59" customFormat="1">
      <c r="A551" s="95" t="s">
        <v>728</v>
      </c>
      <c r="B551" s="95" t="s">
        <v>739</v>
      </c>
      <c r="C551" s="71" t="s">
        <v>515</v>
      </c>
      <c r="D551" s="74" t="s">
        <v>387</v>
      </c>
      <c r="E551" s="176">
        <f>SUMIFS(E$7:E$26,$C$7:$C$26,$C551)*SUMIFS(E$32:E$350,$C$32:$C$350,$B551,$B$32:$B$350,$C551)</f>
        <v>0</v>
      </c>
      <c r="F551" s="176">
        <f t="shared" ref="F551:AF560" si="35">SUMIFS(F$7:F$26,$C$7:$C$26,$C551)*SUMIFS(F$32:F$350,$C$32:$C$350,$B551,$B$32:$B$350,$C551)</f>
        <v>0</v>
      </c>
      <c r="G551" s="176">
        <f>SUMIFS(G$7:G$26,$C$7:$C$26,$C551)*SUMIFS(G$32:G$350,$C$32:$C$350,$B551,$B$32:$B$350,$C551)</f>
        <v>0</v>
      </c>
      <c r="H551" s="176">
        <f t="shared" si="35"/>
        <v>0</v>
      </c>
      <c r="I551" s="176">
        <f t="shared" si="35"/>
        <v>0</v>
      </c>
      <c r="J551" s="176">
        <f t="shared" si="35"/>
        <v>0</v>
      </c>
      <c r="K551" s="176">
        <f t="shared" si="35"/>
        <v>0</v>
      </c>
      <c r="L551" s="176">
        <f t="shared" si="35"/>
        <v>0</v>
      </c>
      <c r="M551" s="176">
        <f t="shared" si="35"/>
        <v>0</v>
      </c>
      <c r="N551" s="176">
        <f t="shared" si="35"/>
        <v>0</v>
      </c>
      <c r="O551" s="176">
        <f t="shared" si="35"/>
        <v>0</v>
      </c>
      <c r="P551" s="176">
        <f t="shared" si="35"/>
        <v>0</v>
      </c>
      <c r="Q551" s="176">
        <f t="shared" si="35"/>
        <v>0</v>
      </c>
      <c r="R551" s="176">
        <f t="shared" si="35"/>
        <v>0</v>
      </c>
      <c r="S551" s="176">
        <f t="shared" si="35"/>
        <v>0</v>
      </c>
      <c r="T551" s="176">
        <f t="shared" si="35"/>
        <v>0</v>
      </c>
      <c r="U551" s="176">
        <f t="shared" si="35"/>
        <v>0</v>
      </c>
      <c r="V551" s="176">
        <f t="shared" si="35"/>
        <v>0</v>
      </c>
      <c r="W551" s="176">
        <f t="shared" si="35"/>
        <v>0</v>
      </c>
      <c r="X551" s="176">
        <f t="shared" si="35"/>
        <v>0</v>
      </c>
      <c r="Y551" s="176">
        <f t="shared" si="35"/>
        <v>0</v>
      </c>
      <c r="Z551" s="176">
        <f t="shared" si="35"/>
        <v>0</v>
      </c>
      <c r="AA551" s="176">
        <f t="shared" si="35"/>
        <v>0</v>
      </c>
      <c r="AB551" s="176">
        <f t="shared" si="35"/>
        <v>0</v>
      </c>
      <c r="AC551" s="176">
        <f t="shared" si="35"/>
        <v>0</v>
      </c>
      <c r="AD551" s="176">
        <f t="shared" si="35"/>
        <v>0</v>
      </c>
      <c r="AE551" s="176">
        <f t="shared" si="35"/>
        <v>0</v>
      </c>
      <c r="AF551" s="286">
        <f t="shared" si="35"/>
        <v>0</v>
      </c>
    </row>
    <row r="552" spans="1:32" s="59" customFormat="1">
      <c r="A552" s="95" t="s">
        <v>728</v>
      </c>
      <c r="B552" s="95" t="s">
        <v>739</v>
      </c>
      <c r="C552" s="71" t="s">
        <v>521</v>
      </c>
      <c r="D552" s="74" t="s">
        <v>387</v>
      </c>
      <c r="E552" s="176">
        <f t="shared" ref="E552:T570" si="36">SUMIFS(E$7:E$26,$C$7:$C$26,$C552)*SUMIFS(E$32:E$350,$C$32:$C$350,$B552,$B$32:$B$350,$C552)</f>
        <v>0</v>
      </c>
      <c r="F552" s="176">
        <f t="shared" si="35"/>
        <v>0</v>
      </c>
      <c r="G552" s="176">
        <f t="shared" si="35"/>
        <v>0</v>
      </c>
      <c r="H552" s="176">
        <f t="shared" si="35"/>
        <v>0</v>
      </c>
      <c r="I552" s="176">
        <f t="shared" si="35"/>
        <v>0</v>
      </c>
      <c r="J552" s="176">
        <f t="shared" si="35"/>
        <v>0</v>
      </c>
      <c r="K552" s="176">
        <f t="shared" si="35"/>
        <v>0</v>
      </c>
      <c r="L552" s="176">
        <f t="shared" si="35"/>
        <v>0</v>
      </c>
      <c r="M552" s="176">
        <f t="shared" si="35"/>
        <v>0</v>
      </c>
      <c r="N552" s="176">
        <f t="shared" si="35"/>
        <v>0</v>
      </c>
      <c r="O552" s="176">
        <f t="shared" si="35"/>
        <v>0</v>
      </c>
      <c r="P552" s="176">
        <f t="shared" si="35"/>
        <v>0</v>
      </c>
      <c r="Q552" s="176">
        <f t="shared" si="35"/>
        <v>0</v>
      </c>
      <c r="R552" s="176">
        <f t="shared" si="35"/>
        <v>0</v>
      </c>
      <c r="S552" s="176">
        <f t="shared" si="35"/>
        <v>0</v>
      </c>
      <c r="T552" s="176">
        <f t="shared" si="35"/>
        <v>0</v>
      </c>
      <c r="U552" s="176">
        <f t="shared" si="35"/>
        <v>0</v>
      </c>
      <c r="V552" s="176">
        <f t="shared" si="35"/>
        <v>0</v>
      </c>
      <c r="W552" s="176">
        <f t="shared" si="35"/>
        <v>0</v>
      </c>
      <c r="X552" s="176">
        <f t="shared" si="35"/>
        <v>0</v>
      </c>
      <c r="Y552" s="176">
        <f t="shared" si="35"/>
        <v>0</v>
      </c>
      <c r="Z552" s="176">
        <f t="shared" si="35"/>
        <v>0</v>
      </c>
      <c r="AA552" s="176">
        <f t="shared" si="35"/>
        <v>0</v>
      </c>
      <c r="AB552" s="176">
        <f t="shared" si="35"/>
        <v>0</v>
      </c>
      <c r="AC552" s="176">
        <f t="shared" si="35"/>
        <v>0</v>
      </c>
      <c r="AD552" s="176">
        <f t="shared" si="35"/>
        <v>0</v>
      </c>
      <c r="AE552" s="176">
        <f t="shared" si="35"/>
        <v>0</v>
      </c>
      <c r="AF552" s="287">
        <f t="shared" si="35"/>
        <v>0</v>
      </c>
    </row>
    <row r="553" spans="1:32" s="59" customFormat="1">
      <c r="A553" s="95" t="s">
        <v>728</v>
      </c>
      <c r="B553" s="95" t="s">
        <v>739</v>
      </c>
      <c r="C553" s="71" t="s">
        <v>523</v>
      </c>
      <c r="D553" s="74" t="s">
        <v>387</v>
      </c>
      <c r="E553" s="176">
        <f t="shared" si="36"/>
        <v>0</v>
      </c>
      <c r="F553" s="176">
        <f t="shared" si="35"/>
        <v>0</v>
      </c>
      <c r="G553" s="176">
        <f t="shared" si="35"/>
        <v>0</v>
      </c>
      <c r="H553" s="176">
        <f t="shared" si="35"/>
        <v>0</v>
      </c>
      <c r="I553" s="176">
        <f t="shared" si="35"/>
        <v>0</v>
      </c>
      <c r="J553" s="176">
        <f t="shared" si="35"/>
        <v>0</v>
      </c>
      <c r="K553" s="176">
        <f t="shared" si="35"/>
        <v>0</v>
      </c>
      <c r="L553" s="176">
        <f t="shared" si="35"/>
        <v>0</v>
      </c>
      <c r="M553" s="176">
        <f t="shared" si="35"/>
        <v>0</v>
      </c>
      <c r="N553" s="176">
        <f t="shared" si="35"/>
        <v>0</v>
      </c>
      <c r="O553" s="176">
        <f t="shared" si="35"/>
        <v>0</v>
      </c>
      <c r="P553" s="176">
        <f t="shared" si="35"/>
        <v>0</v>
      </c>
      <c r="Q553" s="176">
        <f t="shared" si="35"/>
        <v>0</v>
      </c>
      <c r="R553" s="176">
        <f t="shared" si="35"/>
        <v>0</v>
      </c>
      <c r="S553" s="176">
        <f t="shared" si="35"/>
        <v>0</v>
      </c>
      <c r="T553" s="176">
        <f t="shared" si="35"/>
        <v>0</v>
      </c>
      <c r="U553" s="176">
        <f t="shared" si="35"/>
        <v>0</v>
      </c>
      <c r="V553" s="176">
        <f t="shared" si="35"/>
        <v>0</v>
      </c>
      <c r="W553" s="176">
        <f t="shared" si="35"/>
        <v>0</v>
      </c>
      <c r="X553" s="176">
        <f t="shared" si="35"/>
        <v>0</v>
      </c>
      <c r="Y553" s="176">
        <f t="shared" si="35"/>
        <v>0</v>
      </c>
      <c r="Z553" s="176">
        <f t="shared" si="35"/>
        <v>0</v>
      </c>
      <c r="AA553" s="176">
        <f t="shared" si="35"/>
        <v>0</v>
      </c>
      <c r="AB553" s="176">
        <f t="shared" si="35"/>
        <v>0</v>
      </c>
      <c r="AC553" s="176">
        <f t="shared" si="35"/>
        <v>0</v>
      </c>
      <c r="AD553" s="176">
        <f t="shared" si="35"/>
        <v>0</v>
      </c>
      <c r="AE553" s="176">
        <f t="shared" si="35"/>
        <v>0</v>
      </c>
      <c r="AF553" s="287">
        <f t="shared" si="35"/>
        <v>0</v>
      </c>
    </row>
    <row r="554" spans="1:32" s="59" customFormat="1">
      <c r="A554" s="95" t="s">
        <v>728</v>
      </c>
      <c r="B554" s="95" t="s">
        <v>739</v>
      </c>
      <c r="C554" s="71" t="s">
        <v>525</v>
      </c>
      <c r="D554" s="74" t="s">
        <v>387</v>
      </c>
      <c r="E554" s="176">
        <f t="shared" si="36"/>
        <v>0</v>
      </c>
      <c r="F554" s="176">
        <f t="shared" si="35"/>
        <v>0</v>
      </c>
      <c r="G554" s="176">
        <f t="shared" si="35"/>
        <v>0</v>
      </c>
      <c r="H554" s="176">
        <f t="shared" si="35"/>
        <v>0</v>
      </c>
      <c r="I554" s="176">
        <f t="shared" si="35"/>
        <v>0</v>
      </c>
      <c r="J554" s="176">
        <f t="shared" si="35"/>
        <v>0</v>
      </c>
      <c r="K554" s="176">
        <f t="shared" si="35"/>
        <v>0</v>
      </c>
      <c r="L554" s="176">
        <f t="shared" si="35"/>
        <v>0</v>
      </c>
      <c r="M554" s="176">
        <f t="shared" si="35"/>
        <v>0</v>
      </c>
      <c r="N554" s="176">
        <f t="shared" si="35"/>
        <v>0</v>
      </c>
      <c r="O554" s="176">
        <f t="shared" si="35"/>
        <v>0</v>
      </c>
      <c r="P554" s="176">
        <f t="shared" si="35"/>
        <v>0</v>
      </c>
      <c r="Q554" s="176">
        <f t="shared" si="35"/>
        <v>0</v>
      </c>
      <c r="R554" s="176">
        <f t="shared" si="35"/>
        <v>0</v>
      </c>
      <c r="S554" s="176">
        <f t="shared" si="35"/>
        <v>0</v>
      </c>
      <c r="T554" s="176">
        <f t="shared" si="35"/>
        <v>0</v>
      </c>
      <c r="U554" s="176">
        <f t="shared" si="35"/>
        <v>0</v>
      </c>
      <c r="V554" s="176">
        <f t="shared" si="35"/>
        <v>0</v>
      </c>
      <c r="W554" s="176">
        <f t="shared" si="35"/>
        <v>0</v>
      </c>
      <c r="X554" s="176">
        <f t="shared" si="35"/>
        <v>0</v>
      </c>
      <c r="Y554" s="176">
        <f t="shared" si="35"/>
        <v>0</v>
      </c>
      <c r="Z554" s="176">
        <f t="shared" si="35"/>
        <v>0</v>
      </c>
      <c r="AA554" s="176">
        <f t="shared" si="35"/>
        <v>0</v>
      </c>
      <c r="AB554" s="176">
        <f t="shared" si="35"/>
        <v>0</v>
      </c>
      <c r="AC554" s="176">
        <f t="shared" si="35"/>
        <v>0</v>
      </c>
      <c r="AD554" s="176">
        <f t="shared" si="35"/>
        <v>0</v>
      </c>
      <c r="AE554" s="176">
        <f t="shared" si="35"/>
        <v>0</v>
      </c>
      <c r="AF554" s="287">
        <f t="shared" si="35"/>
        <v>0</v>
      </c>
    </row>
    <row r="555" spans="1:32" s="59" customFormat="1">
      <c r="A555" s="95" t="s">
        <v>728</v>
      </c>
      <c r="B555" s="95" t="s">
        <v>739</v>
      </c>
      <c r="C555" s="71" t="s">
        <v>527</v>
      </c>
      <c r="D555" s="74" t="s">
        <v>387</v>
      </c>
      <c r="E555" s="176">
        <f t="shared" si="36"/>
        <v>0</v>
      </c>
      <c r="F555" s="176">
        <f t="shared" si="35"/>
        <v>0</v>
      </c>
      <c r="G555" s="176">
        <f t="shared" si="35"/>
        <v>0</v>
      </c>
      <c r="H555" s="176">
        <f t="shared" si="35"/>
        <v>0</v>
      </c>
      <c r="I555" s="176">
        <f t="shared" si="35"/>
        <v>0</v>
      </c>
      <c r="J555" s="176">
        <f t="shared" si="35"/>
        <v>0</v>
      </c>
      <c r="K555" s="176">
        <f t="shared" si="35"/>
        <v>0</v>
      </c>
      <c r="L555" s="176">
        <f t="shared" si="35"/>
        <v>0</v>
      </c>
      <c r="M555" s="176">
        <f t="shared" si="35"/>
        <v>0</v>
      </c>
      <c r="N555" s="176">
        <f t="shared" si="35"/>
        <v>0</v>
      </c>
      <c r="O555" s="176">
        <f t="shared" si="35"/>
        <v>0</v>
      </c>
      <c r="P555" s="176">
        <f t="shared" si="35"/>
        <v>0</v>
      </c>
      <c r="Q555" s="176">
        <f t="shared" si="35"/>
        <v>0</v>
      </c>
      <c r="R555" s="176">
        <f t="shared" si="35"/>
        <v>0</v>
      </c>
      <c r="S555" s="176">
        <f t="shared" si="35"/>
        <v>0</v>
      </c>
      <c r="T555" s="176">
        <f t="shared" si="35"/>
        <v>0</v>
      </c>
      <c r="U555" s="176">
        <f t="shared" si="35"/>
        <v>0</v>
      </c>
      <c r="V555" s="176">
        <f t="shared" si="35"/>
        <v>0</v>
      </c>
      <c r="W555" s="176">
        <f t="shared" si="35"/>
        <v>0</v>
      </c>
      <c r="X555" s="176">
        <f t="shared" si="35"/>
        <v>0</v>
      </c>
      <c r="Y555" s="176">
        <f t="shared" si="35"/>
        <v>0</v>
      </c>
      <c r="Z555" s="176">
        <f t="shared" si="35"/>
        <v>0</v>
      </c>
      <c r="AA555" s="176">
        <f t="shared" si="35"/>
        <v>0</v>
      </c>
      <c r="AB555" s="176">
        <f t="shared" si="35"/>
        <v>0</v>
      </c>
      <c r="AC555" s="176">
        <f t="shared" si="35"/>
        <v>0</v>
      </c>
      <c r="AD555" s="176">
        <f t="shared" si="35"/>
        <v>0</v>
      </c>
      <c r="AE555" s="176">
        <f t="shared" si="35"/>
        <v>0</v>
      </c>
      <c r="AF555" s="287">
        <f t="shared" si="35"/>
        <v>0</v>
      </c>
    </row>
    <row r="556" spans="1:32" s="59" customFormat="1">
      <c r="A556" s="95" t="s">
        <v>728</v>
      </c>
      <c r="B556" s="95" t="s">
        <v>739</v>
      </c>
      <c r="C556" s="71" t="s">
        <v>529</v>
      </c>
      <c r="D556" s="74" t="s">
        <v>387</v>
      </c>
      <c r="E556" s="176">
        <f t="shared" si="36"/>
        <v>0</v>
      </c>
      <c r="F556" s="176">
        <f t="shared" si="35"/>
        <v>0</v>
      </c>
      <c r="G556" s="176">
        <f t="shared" si="35"/>
        <v>0</v>
      </c>
      <c r="H556" s="176">
        <f t="shared" si="35"/>
        <v>0</v>
      </c>
      <c r="I556" s="176">
        <f t="shared" si="35"/>
        <v>0</v>
      </c>
      <c r="J556" s="176">
        <f t="shared" si="35"/>
        <v>0</v>
      </c>
      <c r="K556" s="176">
        <f t="shared" si="35"/>
        <v>0</v>
      </c>
      <c r="L556" s="176">
        <f t="shared" si="35"/>
        <v>0</v>
      </c>
      <c r="M556" s="176">
        <f t="shared" si="35"/>
        <v>0</v>
      </c>
      <c r="N556" s="176">
        <f t="shared" si="35"/>
        <v>0</v>
      </c>
      <c r="O556" s="176">
        <f t="shared" si="35"/>
        <v>0</v>
      </c>
      <c r="P556" s="176">
        <f t="shared" si="35"/>
        <v>0</v>
      </c>
      <c r="Q556" s="176">
        <f t="shared" si="35"/>
        <v>0</v>
      </c>
      <c r="R556" s="176">
        <f t="shared" si="35"/>
        <v>0</v>
      </c>
      <c r="S556" s="176">
        <f t="shared" si="35"/>
        <v>0</v>
      </c>
      <c r="T556" s="176">
        <f t="shared" si="35"/>
        <v>0</v>
      </c>
      <c r="U556" s="176">
        <f t="shared" si="35"/>
        <v>0</v>
      </c>
      <c r="V556" s="176">
        <f t="shared" si="35"/>
        <v>0</v>
      </c>
      <c r="W556" s="176">
        <f t="shared" si="35"/>
        <v>0</v>
      </c>
      <c r="X556" s="176">
        <f t="shared" si="35"/>
        <v>0</v>
      </c>
      <c r="Y556" s="176">
        <f t="shared" si="35"/>
        <v>0</v>
      </c>
      <c r="Z556" s="176">
        <f t="shared" si="35"/>
        <v>0</v>
      </c>
      <c r="AA556" s="176">
        <f t="shared" si="35"/>
        <v>0</v>
      </c>
      <c r="AB556" s="176">
        <f t="shared" si="35"/>
        <v>0</v>
      </c>
      <c r="AC556" s="176">
        <f t="shared" si="35"/>
        <v>0</v>
      </c>
      <c r="AD556" s="176">
        <f t="shared" si="35"/>
        <v>0</v>
      </c>
      <c r="AE556" s="176">
        <f t="shared" si="35"/>
        <v>0</v>
      </c>
      <c r="AF556" s="287">
        <f t="shared" si="35"/>
        <v>0</v>
      </c>
    </row>
    <row r="557" spans="1:32" s="59" customFormat="1">
      <c r="A557" s="95" t="s">
        <v>728</v>
      </c>
      <c r="B557" s="95" t="s">
        <v>739</v>
      </c>
      <c r="C557" s="71" t="s">
        <v>531</v>
      </c>
      <c r="D557" s="74" t="s">
        <v>387</v>
      </c>
      <c r="E557" s="176">
        <f t="shared" si="36"/>
        <v>0</v>
      </c>
      <c r="F557" s="176">
        <f t="shared" si="35"/>
        <v>0</v>
      </c>
      <c r="G557" s="176">
        <f t="shared" si="35"/>
        <v>0</v>
      </c>
      <c r="H557" s="176">
        <f t="shared" si="35"/>
        <v>0</v>
      </c>
      <c r="I557" s="176">
        <f t="shared" si="35"/>
        <v>0</v>
      </c>
      <c r="J557" s="176">
        <f t="shared" si="35"/>
        <v>0</v>
      </c>
      <c r="K557" s="176">
        <f t="shared" si="35"/>
        <v>0</v>
      </c>
      <c r="L557" s="176">
        <f t="shared" si="35"/>
        <v>0</v>
      </c>
      <c r="M557" s="176">
        <f t="shared" si="35"/>
        <v>0</v>
      </c>
      <c r="N557" s="176">
        <f t="shared" si="35"/>
        <v>0</v>
      </c>
      <c r="O557" s="176">
        <f t="shared" si="35"/>
        <v>0</v>
      </c>
      <c r="P557" s="176">
        <f t="shared" si="35"/>
        <v>0</v>
      </c>
      <c r="Q557" s="176">
        <f t="shared" si="35"/>
        <v>0</v>
      </c>
      <c r="R557" s="176">
        <f t="shared" si="35"/>
        <v>0</v>
      </c>
      <c r="S557" s="176">
        <f t="shared" si="35"/>
        <v>0</v>
      </c>
      <c r="T557" s="176">
        <f t="shared" si="35"/>
        <v>0</v>
      </c>
      <c r="U557" s="176">
        <f t="shared" si="35"/>
        <v>0</v>
      </c>
      <c r="V557" s="176">
        <f t="shared" si="35"/>
        <v>0</v>
      </c>
      <c r="W557" s="176">
        <f t="shared" si="35"/>
        <v>0</v>
      </c>
      <c r="X557" s="176">
        <f t="shared" si="35"/>
        <v>0</v>
      </c>
      <c r="Y557" s="176">
        <f t="shared" si="35"/>
        <v>0</v>
      </c>
      <c r="Z557" s="176">
        <f t="shared" si="35"/>
        <v>0</v>
      </c>
      <c r="AA557" s="176">
        <f t="shared" si="35"/>
        <v>0</v>
      </c>
      <c r="AB557" s="176">
        <f t="shared" si="35"/>
        <v>0</v>
      </c>
      <c r="AC557" s="176">
        <f t="shared" si="35"/>
        <v>0</v>
      </c>
      <c r="AD557" s="176">
        <f t="shared" si="35"/>
        <v>0</v>
      </c>
      <c r="AE557" s="176">
        <f t="shared" si="35"/>
        <v>0</v>
      </c>
      <c r="AF557" s="287">
        <f t="shared" si="35"/>
        <v>0</v>
      </c>
    </row>
    <row r="558" spans="1:32" s="59" customFormat="1">
      <c r="A558" s="95" t="s">
        <v>728</v>
      </c>
      <c r="B558" s="95" t="s">
        <v>739</v>
      </c>
      <c r="C558" s="71" t="s">
        <v>533</v>
      </c>
      <c r="D558" s="74" t="s">
        <v>387</v>
      </c>
      <c r="E558" s="176">
        <f t="shared" si="36"/>
        <v>0</v>
      </c>
      <c r="F558" s="176">
        <f t="shared" si="35"/>
        <v>0</v>
      </c>
      <c r="G558" s="176">
        <f t="shared" si="35"/>
        <v>0</v>
      </c>
      <c r="H558" s="176">
        <f t="shared" si="35"/>
        <v>0</v>
      </c>
      <c r="I558" s="176">
        <f t="shared" si="35"/>
        <v>0</v>
      </c>
      <c r="J558" s="176">
        <f t="shared" si="35"/>
        <v>0</v>
      </c>
      <c r="K558" s="176">
        <f t="shared" si="35"/>
        <v>0</v>
      </c>
      <c r="L558" s="176">
        <f t="shared" si="35"/>
        <v>0</v>
      </c>
      <c r="M558" s="176">
        <f t="shared" si="35"/>
        <v>0</v>
      </c>
      <c r="N558" s="176">
        <f t="shared" si="35"/>
        <v>0</v>
      </c>
      <c r="O558" s="176">
        <f t="shared" si="35"/>
        <v>0</v>
      </c>
      <c r="P558" s="176">
        <f t="shared" si="35"/>
        <v>0</v>
      </c>
      <c r="Q558" s="176">
        <f t="shared" si="35"/>
        <v>0</v>
      </c>
      <c r="R558" s="176">
        <f t="shared" si="35"/>
        <v>0</v>
      </c>
      <c r="S558" s="176">
        <f t="shared" si="35"/>
        <v>0</v>
      </c>
      <c r="T558" s="176">
        <f t="shared" si="35"/>
        <v>0</v>
      </c>
      <c r="U558" s="176">
        <f t="shared" si="35"/>
        <v>0</v>
      </c>
      <c r="V558" s="176">
        <f t="shared" si="35"/>
        <v>0</v>
      </c>
      <c r="W558" s="176">
        <f t="shared" si="35"/>
        <v>0</v>
      </c>
      <c r="X558" s="176">
        <f t="shared" si="35"/>
        <v>0</v>
      </c>
      <c r="Y558" s="176">
        <f t="shared" si="35"/>
        <v>0</v>
      </c>
      <c r="Z558" s="176">
        <f t="shared" si="35"/>
        <v>0</v>
      </c>
      <c r="AA558" s="176">
        <f t="shared" si="35"/>
        <v>0</v>
      </c>
      <c r="AB558" s="176">
        <f t="shared" si="35"/>
        <v>0</v>
      </c>
      <c r="AC558" s="176">
        <f t="shared" si="35"/>
        <v>0</v>
      </c>
      <c r="AD558" s="176">
        <f t="shared" si="35"/>
        <v>0</v>
      </c>
      <c r="AE558" s="176">
        <f t="shared" si="35"/>
        <v>0</v>
      </c>
      <c r="AF558" s="287">
        <f t="shared" si="35"/>
        <v>0</v>
      </c>
    </row>
    <row r="559" spans="1:32" s="59" customFormat="1">
      <c r="A559" s="95" t="s">
        <v>728</v>
      </c>
      <c r="B559" s="95" t="s">
        <v>739</v>
      </c>
      <c r="C559" s="71" t="s">
        <v>535</v>
      </c>
      <c r="D559" s="74" t="s">
        <v>387</v>
      </c>
      <c r="E559" s="176">
        <f t="shared" si="36"/>
        <v>0</v>
      </c>
      <c r="F559" s="176">
        <f t="shared" si="35"/>
        <v>0</v>
      </c>
      <c r="G559" s="176">
        <f t="shared" si="35"/>
        <v>0</v>
      </c>
      <c r="H559" s="176">
        <f t="shared" si="35"/>
        <v>0</v>
      </c>
      <c r="I559" s="176">
        <f t="shared" si="35"/>
        <v>0</v>
      </c>
      <c r="J559" s="176">
        <f t="shared" si="35"/>
        <v>0</v>
      </c>
      <c r="K559" s="176">
        <f t="shared" si="35"/>
        <v>0</v>
      </c>
      <c r="L559" s="176">
        <f t="shared" si="35"/>
        <v>0</v>
      </c>
      <c r="M559" s="176">
        <f t="shared" si="35"/>
        <v>0</v>
      </c>
      <c r="N559" s="176">
        <f t="shared" si="35"/>
        <v>0</v>
      </c>
      <c r="O559" s="176">
        <f t="shared" si="35"/>
        <v>0</v>
      </c>
      <c r="P559" s="176">
        <f t="shared" si="35"/>
        <v>0</v>
      </c>
      <c r="Q559" s="176">
        <f t="shared" si="35"/>
        <v>0</v>
      </c>
      <c r="R559" s="176">
        <f t="shared" si="35"/>
        <v>0</v>
      </c>
      <c r="S559" s="176">
        <f t="shared" si="35"/>
        <v>0</v>
      </c>
      <c r="T559" s="176">
        <f t="shared" si="35"/>
        <v>0</v>
      </c>
      <c r="U559" s="176">
        <f t="shared" si="35"/>
        <v>0</v>
      </c>
      <c r="V559" s="176">
        <f t="shared" si="35"/>
        <v>0</v>
      </c>
      <c r="W559" s="176">
        <f t="shared" si="35"/>
        <v>0</v>
      </c>
      <c r="X559" s="176">
        <f t="shared" si="35"/>
        <v>0</v>
      </c>
      <c r="Y559" s="176">
        <f t="shared" si="35"/>
        <v>0</v>
      </c>
      <c r="Z559" s="176">
        <f t="shared" si="35"/>
        <v>0</v>
      </c>
      <c r="AA559" s="176">
        <f t="shared" si="35"/>
        <v>0</v>
      </c>
      <c r="AB559" s="176">
        <f t="shared" si="35"/>
        <v>0</v>
      </c>
      <c r="AC559" s="176">
        <f t="shared" si="35"/>
        <v>0</v>
      </c>
      <c r="AD559" s="176">
        <f t="shared" si="35"/>
        <v>0</v>
      </c>
      <c r="AE559" s="176">
        <f t="shared" si="35"/>
        <v>0</v>
      </c>
      <c r="AF559" s="287">
        <f t="shared" si="35"/>
        <v>0</v>
      </c>
    </row>
    <row r="560" spans="1:32" s="59" customFormat="1">
      <c r="A560" s="95" t="s">
        <v>728</v>
      </c>
      <c r="B560" s="95" t="s">
        <v>739</v>
      </c>
      <c r="C560" s="71" t="s">
        <v>537</v>
      </c>
      <c r="D560" s="74" t="s">
        <v>387</v>
      </c>
      <c r="E560" s="176">
        <f t="shared" si="36"/>
        <v>0</v>
      </c>
      <c r="F560" s="176">
        <f t="shared" si="35"/>
        <v>0</v>
      </c>
      <c r="G560" s="176">
        <f t="shared" si="35"/>
        <v>0</v>
      </c>
      <c r="H560" s="176">
        <f t="shared" si="35"/>
        <v>0</v>
      </c>
      <c r="I560" s="176">
        <f t="shared" si="35"/>
        <v>0</v>
      </c>
      <c r="J560" s="176">
        <f t="shared" si="35"/>
        <v>0</v>
      </c>
      <c r="K560" s="176">
        <f t="shared" si="35"/>
        <v>0</v>
      </c>
      <c r="L560" s="176">
        <f t="shared" si="35"/>
        <v>0</v>
      </c>
      <c r="M560" s="176">
        <f t="shared" si="35"/>
        <v>0</v>
      </c>
      <c r="N560" s="176">
        <f t="shared" si="35"/>
        <v>0</v>
      </c>
      <c r="O560" s="176">
        <f t="shared" si="35"/>
        <v>0</v>
      </c>
      <c r="P560" s="176">
        <f t="shared" si="35"/>
        <v>0</v>
      </c>
      <c r="Q560" s="176">
        <f t="shared" si="35"/>
        <v>0</v>
      </c>
      <c r="R560" s="176">
        <f t="shared" si="35"/>
        <v>0</v>
      </c>
      <c r="S560" s="176">
        <f t="shared" ref="S560:AF570" si="37">SUMIFS(S$7:S$26,$C$7:$C$26,$C560)*SUMIFS(S$32:S$350,$C$32:$C$350,$B560,$B$32:$B$350,$C560)</f>
        <v>0</v>
      </c>
      <c r="T560" s="176">
        <f t="shared" si="37"/>
        <v>0</v>
      </c>
      <c r="U560" s="176">
        <f t="shared" si="37"/>
        <v>0</v>
      </c>
      <c r="V560" s="176">
        <f t="shared" si="37"/>
        <v>0</v>
      </c>
      <c r="W560" s="176">
        <f t="shared" si="37"/>
        <v>0</v>
      </c>
      <c r="X560" s="176">
        <f t="shared" si="37"/>
        <v>0</v>
      </c>
      <c r="Y560" s="176">
        <f t="shared" si="37"/>
        <v>0</v>
      </c>
      <c r="Z560" s="176">
        <f t="shared" si="37"/>
        <v>0</v>
      </c>
      <c r="AA560" s="176">
        <f t="shared" si="37"/>
        <v>0</v>
      </c>
      <c r="AB560" s="176">
        <f t="shared" si="37"/>
        <v>0</v>
      </c>
      <c r="AC560" s="176">
        <f t="shared" si="37"/>
        <v>0</v>
      </c>
      <c r="AD560" s="176">
        <f t="shared" si="37"/>
        <v>0</v>
      </c>
      <c r="AE560" s="176">
        <f t="shared" si="37"/>
        <v>0</v>
      </c>
      <c r="AF560" s="287">
        <f t="shared" si="37"/>
        <v>0</v>
      </c>
    </row>
    <row r="561" spans="1:32" s="59" customFormat="1">
      <c r="A561" s="95" t="s">
        <v>728</v>
      </c>
      <c r="B561" s="95" t="s">
        <v>739</v>
      </c>
      <c r="C561" s="71" t="s">
        <v>541</v>
      </c>
      <c r="D561" s="74" t="s">
        <v>387</v>
      </c>
      <c r="E561" s="176">
        <f t="shared" si="36"/>
        <v>0</v>
      </c>
      <c r="F561" s="176">
        <f t="shared" si="36"/>
        <v>0</v>
      </c>
      <c r="G561" s="176">
        <f t="shared" si="36"/>
        <v>0</v>
      </c>
      <c r="H561" s="176">
        <f t="shared" si="36"/>
        <v>0</v>
      </c>
      <c r="I561" s="176">
        <f t="shared" si="36"/>
        <v>0</v>
      </c>
      <c r="J561" s="176">
        <f t="shared" si="36"/>
        <v>0</v>
      </c>
      <c r="K561" s="176">
        <f t="shared" si="36"/>
        <v>0</v>
      </c>
      <c r="L561" s="176">
        <f t="shared" si="36"/>
        <v>0</v>
      </c>
      <c r="M561" s="176">
        <f t="shared" si="36"/>
        <v>0</v>
      </c>
      <c r="N561" s="176">
        <f t="shared" si="36"/>
        <v>0</v>
      </c>
      <c r="O561" s="176">
        <f t="shared" si="36"/>
        <v>0</v>
      </c>
      <c r="P561" s="176">
        <f t="shared" si="36"/>
        <v>0</v>
      </c>
      <c r="Q561" s="176">
        <f t="shared" si="36"/>
        <v>0</v>
      </c>
      <c r="R561" s="176">
        <f t="shared" si="36"/>
        <v>0</v>
      </c>
      <c r="S561" s="176">
        <f t="shared" si="36"/>
        <v>0</v>
      </c>
      <c r="T561" s="176">
        <f t="shared" si="36"/>
        <v>0</v>
      </c>
      <c r="U561" s="176">
        <f t="shared" si="37"/>
        <v>0</v>
      </c>
      <c r="V561" s="176">
        <f t="shared" si="37"/>
        <v>0</v>
      </c>
      <c r="W561" s="176">
        <f t="shared" si="37"/>
        <v>0</v>
      </c>
      <c r="X561" s="176">
        <f t="shared" si="37"/>
        <v>0</v>
      </c>
      <c r="Y561" s="176">
        <f t="shared" si="37"/>
        <v>-27724.67188820408</v>
      </c>
      <c r="Z561" s="176">
        <f t="shared" si="37"/>
        <v>0</v>
      </c>
      <c r="AA561" s="176">
        <f t="shared" si="37"/>
        <v>0</v>
      </c>
      <c r="AB561" s="176">
        <f t="shared" si="37"/>
        <v>0</v>
      </c>
      <c r="AC561" s="176">
        <f t="shared" si="37"/>
        <v>0</v>
      </c>
      <c r="AD561" s="176">
        <f t="shared" si="37"/>
        <v>0</v>
      </c>
      <c r="AE561" s="176">
        <f t="shared" si="37"/>
        <v>0</v>
      </c>
      <c r="AF561" s="287">
        <f t="shared" si="37"/>
        <v>0</v>
      </c>
    </row>
    <row r="562" spans="1:32" s="59" customFormat="1">
      <c r="A562" s="95" t="s">
        <v>728</v>
      </c>
      <c r="B562" s="95" t="s">
        <v>739</v>
      </c>
      <c r="C562" s="71" t="s">
        <v>543</v>
      </c>
      <c r="D562" s="74" t="s">
        <v>387</v>
      </c>
      <c r="E562" s="176">
        <f t="shared" si="36"/>
        <v>0</v>
      </c>
      <c r="F562" s="176">
        <f t="shared" si="36"/>
        <v>0</v>
      </c>
      <c r="G562" s="176">
        <f t="shared" si="36"/>
        <v>0</v>
      </c>
      <c r="H562" s="176">
        <f t="shared" si="36"/>
        <v>0</v>
      </c>
      <c r="I562" s="176">
        <f t="shared" si="36"/>
        <v>0</v>
      </c>
      <c r="J562" s="176">
        <f t="shared" si="36"/>
        <v>0</v>
      </c>
      <c r="K562" s="176">
        <f t="shared" si="36"/>
        <v>0</v>
      </c>
      <c r="L562" s="176">
        <f t="shared" si="36"/>
        <v>0</v>
      </c>
      <c r="M562" s="176">
        <f t="shared" si="36"/>
        <v>0</v>
      </c>
      <c r="N562" s="176">
        <f t="shared" si="36"/>
        <v>0</v>
      </c>
      <c r="O562" s="176">
        <f t="shared" si="36"/>
        <v>0</v>
      </c>
      <c r="P562" s="176">
        <f t="shared" si="36"/>
        <v>0</v>
      </c>
      <c r="Q562" s="176">
        <f t="shared" si="36"/>
        <v>0</v>
      </c>
      <c r="R562" s="176">
        <f t="shared" si="36"/>
        <v>0</v>
      </c>
      <c r="S562" s="176">
        <f t="shared" si="36"/>
        <v>0</v>
      </c>
      <c r="T562" s="176">
        <f t="shared" si="36"/>
        <v>0</v>
      </c>
      <c r="U562" s="176">
        <f t="shared" si="37"/>
        <v>0</v>
      </c>
      <c r="V562" s="176">
        <f t="shared" si="37"/>
        <v>0</v>
      </c>
      <c r="W562" s="176">
        <f t="shared" si="37"/>
        <v>0</v>
      </c>
      <c r="X562" s="176">
        <f t="shared" si="37"/>
        <v>0</v>
      </c>
      <c r="Y562" s="176">
        <f t="shared" si="37"/>
        <v>0</v>
      </c>
      <c r="Z562" s="176">
        <f t="shared" si="37"/>
        <v>0</v>
      </c>
      <c r="AA562" s="176">
        <f t="shared" si="37"/>
        <v>0</v>
      </c>
      <c r="AB562" s="176">
        <f t="shared" si="37"/>
        <v>0</v>
      </c>
      <c r="AC562" s="176">
        <f t="shared" si="37"/>
        <v>0</v>
      </c>
      <c r="AD562" s="176">
        <f t="shared" si="37"/>
        <v>0</v>
      </c>
      <c r="AE562" s="176">
        <f t="shared" si="37"/>
        <v>0</v>
      </c>
      <c r="AF562" s="287">
        <f t="shared" si="37"/>
        <v>0</v>
      </c>
    </row>
    <row r="563" spans="1:32" s="59" customFormat="1">
      <c r="A563" s="95" t="s">
        <v>728</v>
      </c>
      <c r="B563" s="95" t="s">
        <v>739</v>
      </c>
      <c r="C563" s="71" t="s">
        <v>545</v>
      </c>
      <c r="D563" s="74" t="s">
        <v>387</v>
      </c>
      <c r="E563" s="176">
        <f t="shared" si="36"/>
        <v>0</v>
      </c>
      <c r="F563" s="176">
        <f t="shared" si="36"/>
        <v>0</v>
      </c>
      <c r="G563" s="176">
        <f t="shared" si="36"/>
        <v>0</v>
      </c>
      <c r="H563" s="176">
        <f t="shared" si="36"/>
        <v>0</v>
      </c>
      <c r="I563" s="176">
        <f t="shared" si="36"/>
        <v>0</v>
      </c>
      <c r="J563" s="176">
        <f t="shared" si="36"/>
        <v>0</v>
      </c>
      <c r="K563" s="176">
        <f t="shared" si="36"/>
        <v>0</v>
      </c>
      <c r="L563" s="176">
        <f t="shared" si="36"/>
        <v>0</v>
      </c>
      <c r="M563" s="176">
        <f t="shared" si="36"/>
        <v>0</v>
      </c>
      <c r="N563" s="176">
        <f t="shared" si="36"/>
        <v>0</v>
      </c>
      <c r="O563" s="176">
        <f t="shared" si="36"/>
        <v>0</v>
      </c>
      <c r="P563" s="176">
        <f t="shared" si="36"/>
        <v>0</v>
      </c>
      <c r="Q563" s="176">
        <f t="shared" si="36"/>
        <v>0</v>
      </c>
      <c r="R563" s="176">
        <f t="shared" si="36"/>
        <v>0</v>
      </c>
      <c r="S563" s="176">
        <f t="shared" si="36"/>
        <v>0</v>
      </c>
      <c r="T563" s="176">
        <f t="shared" si="36"/>
        <v>0</v>
      </c>
      <c r="U563" s="176">
        <f t="shared" si="37"/>
        <v>0</v>
      </c>
      <c r="V563" s="176">
        <f t="shared" si="37"/>
        <v>0</v>
      </c>
      <c r="W563" s="176">
        <f t="shared" si="37"/>
        <v>0</v>
      </c>
      <c r="X563" s="176">
        <f t="shared" si="37"/>
        <v>0</v>
      </c>
      <c r="Y563" s="176">
        <f t="shared" si="37"/>
        <v>0</v>
      </c>
      <c r="Z563" s="176">
        <f t="shared" si="37"/>
        <v>0</v>
      </c>
      <c r="AA563" s="176">
        <f t="shared" si="37"/>
        <v>0</v>
      </c>
      <c r="AB563" s="176">
        <f t="shared" si="37"/>
        <v>0</v>
      </c>
      <c r="AC563" s="176">
        <f t="shared" si="37"/>
        <v>0</v>
      </c>
      <c r="AD563" s="176">
        <f t="shared" si="37"/>
        <v>0</v>
      </c>
      <c r="AE563" s="176">
        <f t="shared" si="37"/>
        <v>0</v>
      </c>
      <c r="AF563" s="287">
        <f t="shared" si="37"/>
        <v>0</v>
      </c>
    </row>
    <row r="564" spans="1:32" s="59" customFormat="1">
      <c r="A564" s="95" t="s">
        <v>728</v>
      </c>
      <c r="B564" s="95" t="s">
        <v>739</v>
      </c>
      <c r="C564" s="71" t="s">
        <v>548</v>
      </c>
      <c r="D564" s="74" t="s">
        <v>387</v>
      </c>
      <c r="E564" s="176">
        <f t="shared" si="36"/>
        <v>0</v>
      </c>
      <c r="F564" s="176">
        <f t="shared" si="36"/>
        <v>0</v>
      </c>
      <c r="G564" s="176">
        <f t="shared" si="36"/>
        <v>0</v>
      </c>
      <c r="H564" s="176">
        <f t="shared" si="36"/>
        <v>0</v>
      </c>
      <c r="I564" s="176">
        <f t="shared" si="36"/>
        <v>0</v>
      </c>
      <c r="J564" s="176">
        <f t="shared" si="36"/>
        <v>0</v>
      </c>
      <c r="K564" s="176">
        <f t="shared" si="36"/>
        <v>0</v>
      </c>
      <c r="L564" s="176">
        <f t="shared" si="36"/>
        <v>0</v>
      </c>
      <c r="M564" s="176">
        <f t="shared" si="36"/>
        <v>0</v>
      </c>
      <c r="N564" s="176">
        <f t="shared" si="36"/>
        <v>0</v>
      </c>
      <c r="O564" s="176">
        <f t="shared" si="36"/>
        <v>0</v>
      </c>
      <c r="P564" s="176">
        <f t="shared" si="36"/>
        <v>0</v>
      </c>
      <c r="Q564" s="176">
        <f t="shared" si="36"/>
        <v>0</v>
      </c>
      <c r="R564" s="176">
        <f t="shared" si="36"/>
        <v>0</v>
      </c>
      <c r="S564" s="176">
        <f t="shared" si="36"/>
        <v>0</v>
      </c>
      <c r="T564" s="176">
        <f t="shared" si="36"/>
        <v>0</v>
      </c>
      <c r="U564" s="176">
        <f t="shared" si="37"/>
        <v>0</v>
      </c>
      <c r="V564" s="176">
        <f t="shared" si="37"/>
        <v>0</v>
      </c>
      <c r="W564" s="176">
        <f t="shared" si="37"/>
        <v>0</v>
      </c>
      <c r="X564" s="176">
        <f t="shared" si="37"/>
        <v>0</v>
      </c>
      <c r="Y564" s="176">
        <f t="shared" si="37"/>
        <v>0</v>
      </c>
      <c r="Z564" s="176">
        <f t="shared" si="37"/>
        <v>0</v>
      </c>
      <c r="AA564" s="176">
        <f t="shared" si="37"/>
        <v>0</v>
      </c>
      <c r="AB564" s="176">
        <f t="shared" si="37"/>
        <v>0</v>
      </c>
      <c r="AC564" s="176">
        <f t="shared" si="37"/>
        <v>0</v>
      </c>
      <c r="AD564" s="176">
        <f t="shared" si="37"/>
        <v>0</v>
      </c>
      <c r="AE564" s="176">
        <f t="shared" si="37"/>
        <v>0</v>
      </c>
      <c r="AF564" s="287">
        <f t="shared" si="37"/>
        <v>0</v>
      </c>
    </row>
    <row r="565" spans="1:32" s="59" customFormat="1">
      <c r="A565" s="95" t="s">
        <v>728</v>
      </c>
      <c r="B565" s="95" t="s">
        <v>739</v>
      </c>
      <c r="C565" s="71" t="s">
        <v>550</v>
      </c>
      <c r="D565" s="74" t="s">
        <v>387</v>
      </c>
      <c r="E565" s="176">
        <f t="shared" si="36"/>
        <v>0</v>
      </c>
      <c r="F565" s="176">
        <f t="shared" si="36"/>
        <v>0</v>
      </c>
      <c r="G565" s="176">
        <f t="shared" si="36"/>
        <v>0</v>
      </c>
      <c r="H565" s="176">
        <f t="shared" si="36"/>
        <v>0</v>
      </c>
      <c r="I565" s="176">
        <f t="shared" si="36"/>
        <v>0</v>
      </c>
      <c r="J565" s="176">
        <f t="shared" si="36"/>
        <v>0</v>
      </c>
      <c r="K565" s="176">
        <f t="shared" si="36"/>
        <v>0</v>
      </c>
      <c r="L565" s="176">
        <f t="shared" si="36"/>
        <v>0</v>
      </c>
      <c r="M565" s="176">
        <f t="shared" si="36"/>
        <v>0</v>
      </c>
      <c r="N565" s="176">
        <f t="shared" si="36"/>
        <v>0</v>
      </c>
      <c r="O565" s="176">
        <f t="shared" si="36"/>
        <v>0</v>
      </c>
      <c r="P565" s="176">
        <f t="shared" si="36"/>
        <v>0</v>
      </c>
      <c r="Q565" s="176">
        <f t="shared" si="36"/>
        <v>0</v>
      </c>
      <c r="R565" s="176">
        <f t="shared" si="36"/>
        <v>0</v>
      </c>
      <c r="S565" s="176">
        <f t="shared" si="36"/>
        <v>0</v>
      </c>
      <c r="T565" s="176">
        <f t="shared" si="36"/>
        <v>0</v>
      </c>
      <c r="U565" s="176">
        <f t="shared" si="37"/>
        <v>0</v>
      </c>
      <c r="V565" s="176">
        <f t="shared" si="37"/>
        <v>0</v>
      </c>
      <c r="W565" s="176">
        <f t="shared" si="37"/>
        <v>0</v>
      </c>
      <c r="X565" s="176">
        <f t="shared" si="37"/>
        <v>0</v>
      </c>
      <c r="Y565" s="176">
        <f t="shared" si="37"/>
        <v>0</v>
      </c>
      <c r="Z565" s="176">
        <f t="shared" si="37"/>
        <v>0</v>
      </c>
      <c r="AA565" s="176">
        <f t="shared" si="37"/>
        <v>0</v>
      </c>
      <c r="AB565" s="176">
        <f t="shared" si="37"/>
        <v>0</v>
      </c>
      <c r="AC565" s="176">
        <f t="shared" si="37"/>
        <v>0</v>
      </c>
      <c r="AD565" s="176">
        <f t="shared" si="37"/>
        <v>0</v>
      </c>
      <c r="AE565" s="176">
        <f t="shared" si="37"/>
        <v>0</v>
      </c>
      <c r="AF565" s="287">
        <f t="shared" si="37"/>
        <v>0</v>
      </c>
    </row>
    <row r="566" spans="1:32" s="59" customFormat="1">
      <c r="A566" s="95" t="s">
        <v>728</v>
      </c>
      <c r="B566" s="95" t="s">
        <v>739</v>
      </c>
      <c r="C566" s="71" t="s">
        <v>552</v>
      </c>
      <c r="D566" s="74" t="s">
        <v>387</v>
      </c>
      <c r="E566" s="176">
        <f t="shared" si="36"/>
        <v>0</v>
      </c>
      <c r="F566" s="176">
        <f t="shared" si="36"/>
        <v>0</v>
      </c>
      <c r="G566" s="176">
        <f t="shared" si="36"/>
        <v>0</v>
      </c>
      <c r="H566" s="176">
        <f t="shared" si="36"/>
        <v>0</v>
      </c>
      <c r="I566" s="176">
        <f t="shared" si="36"/>
        <v>0</v>
      </c>
      <c r="J566" s="176">
        <f t="shared" si="36"/>
        <v>0</v>
      </c>
      <c r="K566" s="176">
        <f t="shared" si="36"/>
        <v>0</v>
      </c>
      <c r="L566" s="176">
        <f t="shared" si="36"/>
        <v>0</v>
      </c>
      <c r="M566" s="176">
        <f t="shared" si="36"/>
        <v>0</v>
      </c>
      <c r="N566" s="176">
        <f t="shared" si="36"/>
        <v>0</v>
      </c>
      <c r="O566" s="176">
        <f t="shared" si="36"/>
        <v>0</v>
      </c>
      <c r="P566" s="176">
        <f t="shared" si="36"/>
        <v>0</v>
      </c>
      <c r="Q566" s="176">
        <f t="shared" si="36"/>
        <v>0</v>
      </c>
      <c r="R566" s="176">
        <f t="shared" si="36"/>
        <v>0</v>
      </c>
      <c r="S566" s="176">
        <f t="shared" si="36"/>
        <v>0</v>
      </c>
      <c r="T566" s="176">
        <f t="shared" si="36"/>
        <v>0</v>
      </c>
      <c r="U566" s="176">
        <f t="shared" si="37"/>
        <v>0</v>
      </c>
      <c r="V566" s="176">
        <f t="shared" si="37"/>
        <v>0</v>
      </c>
      <c r="W566" s="176">
        <f t="shared" si="37"/>
        <v>0</v>
      </c>
      <c r="X566" s="176">
        <f t="shared" si="37"/>
        <v>0</v>
      </c>
      <c r="Y566" s="176">
        <f t="shared" si="37"/>
        <v>0</v>
      </c>
      <c r="Z566" s="176">
        <f t="shared" si="37"/>
        <v>0</v>
      </c>
      <c r="AA566" s="176">
        <f t="shared" si="37"/>
        <v>0</v>
      </c>
      <c r="AB566" s="176">
        <f t="shared" si="37"/>
        <v>0</v>
      </c>
      <c r="AC566" s="176">
        <f t="shared" si="37"/>
        <v>0</v>
      </c>
      <c r="AD566" s="176">
        <f t="shared" si="37"/>
        <v>0</v>
      </c>
      <c r="AE566" s="176">
        <f t="shared" si="37"/>
        <v>0</v>
      </c>
      <c r="AF566" s="287">
        <f t="shared" si="37"/>
        <v>0</v>
      </c>
    </row>
    <row r="567" spans="1:32" s="59" customFormat="1">
      <c r="A567" s="95" t="s">
        <v>728</v>
      </c>
      <c r="B567" s="95" t="s">
        <v>739</v>
      </c>
      <c r="C567" s="71" t="s">
        <v>554</v>
      </c>
      <c r="D567" s="74" t="s">
        <v>387</v>
      </c>
      <c r="E567" s="176">
        <f t="shared" si="36"/>
        <v>0</v>
      </c>
      <c r="F567" s="176">
        <f t="shared" si="36"/>
        <v>0</v>
      </c>
      <c r="G567" s="176">
        <f t="shared" si="36"/>
        <v>0</v>
      </c>
      <c r="H567" s="176">
        <f t="shared" si="36"/>
        <v>0</v>
      </c>
      <c r="I567" s="176">
        <f t="shared" si="36"/>
        <v>0</v>
      </c>
      <c r="J567" s="176">
        <f t="shared" si="36"/>
        <v>0</v>
      </c>
      <c r="K567" s="176">
        <f t="shared" si="36"/>
        <v>0</v>
      </c>
      <c r="L567" s="176">
        <f t="shared" si="36"/>
        <v>0</v>
      </c>
      <c r="M567" s="176">
        <f t="shared" si="36"/>
        <v>0</v>
      </c>
      <c r="N567" s="176">
        <f t="shared" si="36"/>
        <v>0</v>
      </c>
      <c r="O567" s="176">
        <f t="shared" si="36"/>
        <v>0</v>
      </c>
      <c r="P567" s="176">
        <f t="shared" si="36"/>
        <v>0</v>
      </c>
      <c r="Q567" s="176">
        <f t="shared" si="36"/>
        <v>0</v>
      </c>
      <c r="R567" s="176">
        <f t="shared" si="36"/>
        <v>0</v>
      </c>
      <c r="S567" s="176">
        <f t="shared" si="36"/>
        <v>0</v>
      </c>
      <c r="T567" s="176">
        <f t="shared" si="36"/>
        <v>0</v>
      </c>
      <c r="U567" s="176">
        <f t="shared" si="37"/>
        <v>0</v>
      </c>
      <c r="V567" s="176">
        <f t="shared" si="37"/>
        <v>0</v>
      </c>
      <c r="W567" s="176">
        <f t="shared" si="37"/>
        <v>0</v>
      </c>
      <c r="X567" s="176">
        <f t="shared" si="37"/>
        <v>0</v>
      </c>
      <c r="Y567" s="176">
        <f t="shared" si="37"/>
        <v>0</v>
      </c>
      <c r="Z567" s="176">
        <f t="shared" si="37"/>
        <v>0</v>
      </c>
      <c r="AA567" s="176">
        <f t="shared" si="37"/>
        <v>0</v>
      </c>
      <c r="AB567" s="176">
        <f t="shared" si="37"/>
        <v>0</v>
      </c>
      <c r="AC567" s="176">
        <f t="shared" si="37"/>
        <v>0</v>
      </c>
      <c r="AD567" s="176">
        <f t="shared" si="37"/>
        <v>0</v>
      </c>
      <c r="AE567" s="176">
        <f t="shared" si="37"/>
        <v>0</v>
      </c>
      <c r="AF567" s="287">
        <f t="shared" si="37"/>
        <v>0</v>
      </c>
    </row>
    <row r="568" spans="1:32" s="59" customFormat="1">
      <c r="A568" s="95" t="s">
        <v>728</v>
      </c>
      <c r="B568" s="95" t="s">
        <v>739</v>
      </c>
      <c r="C568" s="71" t="s">
        <v>556</v>
      </c>
      <c r="D568" s="74" t="s">
        <v>387</v>
      </c>
      <c r="E568" s="176">
        <f t="shared" si="36"/>
        <v>0</v>
      </c>
      <c r="F568" s="176">
        <f t="shared" si="36"/>
        <v>0</v>
      </c>
      <c r="G568" s="176">
        <f t="shared" si="36"/>
        <v>0</v>
      </c>
      <c r="H568" s="176">
        <f t="shared" si="36"/>
        <v>0</v>
      </c>
      <c r="I568" s="176">
        <f t="shared" si="36"/>
        <v>0</v>
      </c>
      <c r="J568" s="176">
        <f t="shared" si="36"/>
        <v>0</v>
      </c>
      <c r="K568" s="176">
        <f t="shared" si="36"/>
        <v>0</v>
      </c>
      <c r="L568" s="176">
        <f t="shared" si="36"/>
        <v>0</v>
      </c>
      <c r="M568" s="176">
        <f t="shared" si="36"/>
        <v>0</v>
      </c>
      <c r="N568" s="176">
        <f t="shared" si="36"/>
        <v>0</v>
      </c>
      <c r="O568" s="176">
        <f t="shared" si="36"/>
        <v>0</v>
      </c>
      <c r="P568" s="176">
        <f t="shared" si="36"/>
        <v>0</v>
      </c>
      <c r="Q568" s="176">
        <f t="shared" si="36"/>
        <v>0</v>
      </c>
      <c r="R568" s="176">
        <f t="shared" si="36"/>
        <v>0</v>
      </c>
      <c r="S568" s="176">
        <f t="shared" si="36"/>
        <v>0</v>
      </c>
      <c r="T568" s="176">
        <f t="shared" si="36"/>
        <v>0</v>
      </c>
      <c r="U568" s="176">
        <f t="shared" si="37"/>
        <v>0</v>
      </c>
      <c r="V568" s="176">
        <f t="shared" si="37"/>
        <v>0</v>
      </c>
      <c r="W568" s="176">
        <f t="shared" si="37"/>
        <v>0</v>
      </c>
      <c r="X568" s="176">
        <f t="shared" si="37"/>
        <v>0</v>
      </c>
      <c r="Y568" s="176">
        <f t="shared" si="37"/>
        <v>0</v>
      </c>
      <c r="Z568" s="176">
        <f t="shared" si="37"/>
        <v>0</v>
      </c>
      <c r="AA568" s="176">
        <f t="shared" si="37"/>
        <v>0</v>
      </c>
      <c r="AB568" s="176">
        <f t="shared" si="37"/>
        <v>0</v>
      </c>
      <c r="AC568" s="176">
        <f t="shared" si="37"/>
        <v>0</v>
      </c>
      <c r="AD568" s="176">
        <f t="shared" si="37"/>
        <v>0</v>
      </c>
      <c r="AE568" s="176">
        <f t="shared" si="37"/>
        <v>0</v>
      </c>
      <c r="AF568" s="287">
        <f t="shared" si="37"/>
        <v>0</v>
      </c>
    </row>
    <row r="569" spans="1:32" s="59" customFormat="1">
      <c r="A569" s="95" t="s">
        <v>728</v>
      </c>
      <c r="B569" s="95" t="s">
        <v>739</v>
      </c>
      <c r="C569" s="71" t="s">
        <v>558</v>
      </c>
      <c r="D569" s="74" t="s">
        <v>387</v>
      </c>
      <c r="E569" s="176">
        <f t="shared" si="36"/>
        <v>0</v>
      </c>
      <c r="F569" s="176">
        <f t="shared" si="36"/>
        <v>0</v>
      </c>
      <c r="G569" s="176">
        <f t="shared" si="36"/>
        <v>0</v>
      </c>
      <c r="H569" s="176">
        <f t="shared" si="36"/>
        <v>0</v>
      </c>
      <c r="I569" s="176">
        <f>SUMIFS(I$7:I$26,$C$7:$C$26,$C569)*SUMIFS(I$32:I$350,$C$32:$C$350,$B569,$B$32:$B$350,$C569)</f>
        <v>0</v>
      </c>
      <c r="J569" s="176">
        <f t="shared" si="36"/>
        <v>0</v>
      </c>
      <c r="K569" s="176">
        <f t="shared" si="36"/>
        <v>0</v>
      </c>
      <c r="L569" s="176">
        <f t="shared" si="36"/>
        <v>0</v>
      </c>
      <c r="M569" s="176">
        <f t="shared" si="36"/>
        <v>0</v>
      </c>
      <c r="N569" s="176">
        <f t="shared" si="36"/>
        <v>0</v>
      </c>
      <c r="O569" s="176">
        <f t="shared" si="36"/>
        <v>0</v>
      </c>
      <c r="P569" s="176">
        <f t="shared" si="36"/>
        <v>0</v>
      </c>
      <c r="Q569" s="176">
        <f t="shared" si="36"/>
        <v>0</v>
      </c>
      <c r="R569" s="176">
        <f t="shared" si="36"/>
        <v>0</v>
      </c>
      <c r="S569" s="176">
        <f t="shared" si="36"/>
        <v>0</v>
      </c>
      <c r="T569" s="176">
        <f t="shared" si="36"/>
        <v>0</v>
      </c>
      <c r="U569" s="176">
        <f t="shared" si="37"/>
        <v>0</v>
      </c>
      <c r="V569" s="176">
        <f t="shared" si="37"/>
        <v>0</v>
      </c>
      <c r="W569" s="176">
        <f t="shared" si="37"/>
        <v>0</v>
      </c>
      <c r="X569" s="176">
        <f t="shared" si="37"/>
        <v>0</v>
      </c>
      <c r="Y569" s="176">
        <f t="shared" si="37"/>
        <v>0</v>
      </c>
      <c r="Z569" s="176">
        <f t="shared" si="37"/>
        <v>0</v>
      </c>
      <c r="AA569" s="176">
        <f t="shared" si="37"/>
        <v>0</v>
      </c>
      <c r="AB569" s="176">
        <f t="shared" si="37"/>
        <v>0</v>
      </c>
      <c r="AC569" s="176">
        <f t="shared" si="37"/>
        <v>0</v>
      </c>
      <c r="AD569" s="176">
        <f t="shared" si="37"/>
        <v>0</v>
      </c>
      <c r="AE569" s="176">
        <f t="shared" si="37"/>
        <v>0</v>
      </c>
      <c r="AF569" s="287">
        <f t="shared" si="37"/>
        <v>0</v>
      </c>
    </row>
    <row r="570" spans="1:32" s="59" customFormat="1">
      <c r="A570" s="97" t="s">
        <v>728</v>
      </c>
      <c r="B570" s="76" t="s">
        <v>739</v>
      </c>
      <c r="C570" s="76" t="s">
        <v>560</v>
      </c>
      <c r="D570" s="77" t="s">
        <v>387</v>
      </c>
      <c r="E570" s="288">
        <f t="shared" si="36"/>
        <v>0</v>
      </c>
      <c r="F570" s="289">
        <f t="shared" si="36"/>
        <v>0</v>
      </c>
      <c r="G570" s="289">
        <f t="shared" si="36"/>
        <v>0</v>
      </c>
      <c r="H570" s="289">
        <f t="shared" si="36"/>
        <v>0</v>
      </c>
      <c r="I570" s="289">
        <f t="shared" si="36"/>
        <v>0</v>
      </c>
      <c r="J570" s="289">
        <f t="shared" si="36"/>
        <v>0</v>
      </c>
      <c r="K570" s="289">
        <f t="shared" si="36"/>
        <v>0</v>
      </c>
      <c r="L570" s="289">
        <f t="shared" si="36"/>
        <v>0</v>
      </c>
      <c r="M570" s="289">
        <f t="shared" si="36"/>
        <v>0</v>
      </c>
      <c r="N570" s="289">
        <f t="shared" si="36"/>
        <v>0</v>
      </c>
      <c r="O570" s="289">
        <f t="shared" si="36"/>
        <v>0</v>
      </c>
      <c r="P570" s="289">
        <f t="shared" si="36"/>
        <v>0</v>
      </c>
      <c r="Q570" s="289">
        <f t="shared" si="36"/>
        <v>0</v>
      </c>
      <c r="R570" s="289">
        <f t="shared" si="36"/>
        <v>0</v>
      </c>
      <c r="S570" s="289">
        <f t="shared" si="36"/>
        <v>0</v>
      </c>
      <c r="T570" s="289">
        <f t="shared" si="36"/>
        <v>0</v>
      </c>
      <c r="U570" s="289">
        <f t="shared" si="37"/>
        <v>0</v>
      </c>
      <c r="V570" s="289">
        <f t="shared" si="37"/>
        <v>0</v>
      </c>
      <c r="W570" s="289">
        <f t="shared" si="37"/>
        <v>0</v>
      </c>
      <c r="X570" s="289">
        <f t="shared" si="37"/>
        <v>0</v>
      </c>
      <c r="Y570" s="289">
        <f t="shared" si="37"/>
        <v>0</v>
      </c>
      <c r="Z570" s="289">
        <f t="shared" si="37"/>
        <v>0</v>
      </c>
      <c r="AA570" s="289">
        <f t="shared" si="37"/>
        <v>0</v>
      </c>
      <c r="AB570" s="289">
        <f t="shared" si="37"/>
        <v>0</v>
      </c>
      <c r="AC570" s="289">
        <f t="shared" si="37"/>
        <v>0</v>
      </c>
      <c r="AD570" s="289">
        <f t="shared" si="37"/>
        <v>0</v>
      </c>
      <c r="AE570" s="289">
        <f t="shared" si="37"/>
        <v>0</v>
      </c>
      <c r="AF570" s="290">
        <f t="shared" si="37"/>
        <v>0</v>
      </c>
    </row>
    <row r="572" spans="1:32" s="60" customFormat="1" ht="14.4">
      <c r="A572" s="86"/>
      <c r="B572" s="86"/>
      <c r="C572" s="63"/>
      <c r="D572" s="63"/>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86"/>
    </row>
    <row r="573" spans="1:32" s="59" customFormat="1">
      <c r="A573" s="90" t="s">
        <v>717</v>
      </c>
      <c r="B573" s="90" t="s">
        <v>727</v>
      </c>
      <c r="C573" s="68" t="s">
        <v>718</v>
      </c>
      <c r="D573" s="68" t="s">
        <v>375</v>
      </c>
      <c r="E573" s="69" t="s">
        <v>172</v>
      </c>
      <c r="F573" s="69" t="s">
        <v>175</v>
      </c>
      <c r="G573" s="69" t="s">
        <v>178</v>
      </c>
      <c r="H573" s="69" t="s">
        <v>181</v>
      </c>
      <c r="I573" s="69" t="s">
        <v>184</v>
      </c>
      <c r="J573" s="69" t="s">
        <v>187</v>
      </c>
      <c r="K573" s="69" t="s">
        <v>190</v>
      </c>
      <c r="L573" s="69" t="s">
        <v>193</v>
      </c>
      <c r="M573" s="69" t="s">
        <v>196</v>
      </c>
      <c r="N573" s="69" t="s">
        <v>198</v>
      </c>
      <c r="O573" s="69" t="s">
        <v>200</v>
      </c>
      <c r="P573" s="69" t="s">
        <v>202</v>
      </c>
      <c r="Q573" s="69" t="s">
        <v>205</v>
      </c>
      <c r="R573" s="69" t="s">
        <v>208</v>
      </c>
      <c r="S573" s="69" t="s">
        <v>211</v>
      </c>
      <c r="T573" s="69" t="s">
        <v>214</v>
      </c>
      <c r="U573" s="69" t="s">
        <v>217</v>
      </c>
      <c r="V573" s="69" t="s">
        <v>220</v>
      </c>
      <c r="W573" s="69" t="s">
        <v>223</v>
      </c>
      <c r="X573" s="69" t="s">
        <v>225</v>
      </c>
      <c r="Y573" s="69" t="s">
        <v>227</v>
      </c>
      <c r="Z573" s="69" t="s">
        <v>230</v>
      </c>
      <c r="AA573" s="69" t="s">
        <v>233</v>
      </c>
      <c r="AB573" s="69" t="s">
        <v>236</v>
      </c>
      <c r="AC573" s="69" t="s">
        <v>238</v>
      </c>
      <c r="AD573" s="69" t="s">
        <v>240</v>
      </c>
      <c r="AE573" s="69" t="s">
        <v>243</v>
      </c>
      <c r="AF573" s="91" t="s">
        <v>245</v>
      </c>
    </row>
    <row r="574" spans="1:32" s="59" customFormat="1">
      <c r="A574" s="95" t="s">
        <v>728</v>
      </c>
      <c r="B574" s="95" t="s">
        <v>734</v>
      </c>
      <c r="C574" s="71" t="s">
        <v>515</v>
      </c>
      <c r="D574" s="74" t="s">
        <v>387</v>
      </c>
      <c r="E574" s="176">
        <f>SUMIFS(E$7:E$26,$C$7:$C$26,$C574)*SUMIFS(E$32:E$350,$C$32:$C$350,$B574,$B$32:$B$350,$C574)</f>
        <v>0</v>
      </c>
      <c r="F574" s="176">
        <f t="shared" ref="F574:AF583" si="38">SUMIFS(F$7:F$26,$C$7:$C$26,$C574)*SUMIFS(F$32:F$350,$C$32:$C$350,$B574,$B$32:$B$350,$C574)</f>
        <v>0</v>
      </c>
      <c r="G574" s="176">
        <f>SUMIFS(G$7:G$26,$C$7:$C$26,$C574)*SUMIFS(G$32:G$350,$C$32:$C$350,$B574,$B$32:$B$350,$C574)</f>
        <v>0</v>
      </c>
      <c r="H574" s="176">
        <f t="shared" si="38"/>
        <v>0</v>
      </c>
      <c r="I574" s="176">
        <f t="shared" si="38"/>
        <v>0</v>
      </c>
      <c r="J574" s="176">
        <f t="shared" si="38"/>
        <v>0</v>
      </c>
      <c r="K574" s="176">
        <f t="shared" si="38"/>
        <v>0</v>
      </c>
      <c r="L574" s="176">
        <f t="shared" si="38"/>
        <v>0</v>
      </c>
      <c r="M574" s="176">
        <f t="shared" si="38"/>
        <v>0</v>
      </c>
      <c r="N574" s="176">
        <f t="shared" si="38"/>
        <v>0</v>
      </c>
      <c r="O574" s="176">
        <f t="shared" si="38"/>
        <v>0</v>
      </c>
      <c r="P574" s="176">
        <f t="shared" si="38"/>
        <v>0</v>
      </c>
      <c r="Q574" s="176">
        <f t="shared" si="38"/>
        <v>0</v>
      </c>
      <c r="R574" s="176">
        <f t="shared" si="38"/>
        <v>0</v>
      </c>
      <c r="S574" s="176">
        <f t="shared" si="38"/>
        <v>0</v>
      </c>
      <c r="T574" s="176">
        <f t="shared" si="38"/>
        <v>0</v>
      </c>
      <c r="U574" s="176">
        <f t="shared" si="38"/>
        <v>-543</v>
      </c>
      <c r="V574" s="176">
        <f t="shared" si="38"/>
        <v>0</v>
      </c>
      <c r="W574" s="176">
        <f t="shared" si="38"/>
        <v>0</v>
      </c>
      <c r="X574" s="176">
        <f t="shared" si="38"/>
        <v>0</v>
      </c>
      <c r="Y574" s="176">
        <f t="shared" si="38"/>
        <v>-1</v>
      </c>
      <c r="Z574" s="176">
        <f t="shared" si="38"/>
        <v>0</v>
      </c>
      <c r="AA574" s="176">
        <f t="shared" si="38"/>
        <v>0</v>
      </c>
      <c r="AB574" s="176">
        <f t="shared" si="38"/>
        <v>0</v>
      </c>
      <c r="AC574" s="176">
        <f t="shared" si="38"/>
        <v>0</v>
      </c>
      <c r="AD574" s="176">
        <f t="shared" si="38"/>
        <v>0</v>
      </c>
      <c r="AE574" s="176">
        <f t="shared" si="38"/>
        <v>0</v>
      </c>
      <c r="AF574" s="286">
        <f t="shared" si="38"/>
        <v>0</v>
      </c>
    </row>
    <row r="575" spans="1:32" s="59" customFormat="1">
      <c r="A575" s="95" t="s">
        <v>728</v>
      </c>
      <c r="B575" s="95" t="s">
        <v>734</v>
      </c>
      <c r="C575" s="71" t="s">
        <v>521</v>
      </c>
      <c r="D575" s="74" t="s">
        <v>387</v>
      </c>
      <c r="E575" s="176">
        <f t="shared" ref="E575:T593" si="39">SUMIFS(E$7:E$26,$C$7:$C$26,$C575)*SUMIFS(E$32:E$350,$C$32:$C$350,$B575,$B$32:$B$350,$C575)</f>
        <v>0</v>
      </c>
      <c r="F575" s="176">
        <f t="shared" si="38"/>
        <v>0</v>
      </c>
      <c r="G575" s="176">
        <f t="shared" si="38"/>
        <v>0</v>
      </c>
      <c r="H575" s="176">
        <f t="shared" si="38"/>
        <v>0</v>
      </c>
      <c r="I575" s="176">
        <f t="shared" si="38"/>
        <v>0</v>
      </c>
      <c r="J575" s="176">
        <f t="shared" si="38"/>
        <v>0</v>
      </c>
      <c r="K575" s="176">
        <f t="shared" si="38"/>
        <v>0</v>
      </c>
      <c r="L575" s="176">
        <f t="shared" si="38"/>
        <v>0</v>
      </c>
      <c r="M575" s="176">
        <f t="shared" si="38"/>
        <v>0</v>
      </c>
      <c r="N575" s="176">
        <f t="shared" si="38"/>
        <v>0</v>
      </c>
      <c r="O575" s="176">
        <f t="shared" si="38"/>
        <v>0</v>
      </c>
      <c r="P575" s="176">
        <f t="shared" si="38"/>
        <v>0</v>
      </c>
      <c r="Q575" s="176">
        <f t="shared" si="38"/>
        <v>0</v>
      </c>
      <c r="R575" s="176">
        <f t="shared" si="38"/>
        <v>0</v>
      </c>
      <c r="S575" s="176">
        <f t="shared" si="38"/>
        <v>0</v>
      </c>
      <c r="T575" s="176">
        <f t="shared" si="38"/>
        <v>0</v>
      </c>
      <c r="U575" s="176">
        <f t="shared" si="38"/>
        <v>0</v>
      </c>
      <c r="V575" s="176">
        <f t="shared" si="38"/>
        <v>0</v>
      </c>
      <c r="W575" s="176">
        <f t="shared" si="38"/>
        <v>0</v>
      </c>
      <c r="X575" s="176">
        <f t="shared" si="38"/>
        <v>0</v>
      </c>
      <c r="Y575" s="176">
        <f t="shared" si="38"/>
        <v>0</v>
      </c>
      <c r="Z575" s="176">
        <f t="shared" si="38"/>
        <v>0</v>
      </c>
      <c r="AA575" s="176">
        <f t="shared" si="38"/>
        <v>0</v>
      </c>
      <c r="AB575" s="176">
        <f t="shared" si="38"/>
        <v>0</v>
      </c>
      <c r="AC575" s="176">
        <f t="shared" si="38"/>
        <v>0</v>
      </c>
      <c r="AD575" s="176">
        <f t="shared" si="38"/>
        <v>0</v>
      </c>
      <c r="AE575" s="176">
        <f t="shared" si="38"/>
        <v>0</v>
      </c>
      <c r="AF575" s="287">
        <f t="shared" si="38"/>
        <v>0</v>
      </c>
    </row>
    <row r="576" spans="1:32" s="59" customFormat="1">
      <c r="A576" s="95" t="s">
        <v>728</v>
      </c>
      <c r="B576" s="95" t="s">
        <v>734</v>
      </c>
      <c r="C576" s="71" t="s">
        <v>523</v>
      </c>
      <c r="D576" s="74" t="s">
        <v>387</v>
      </c>
      <c r="E576" s="176">
        <f t="shared" si="39"/>
        <v>0</v>
      </c>
      <c r="F576" s="176">
        <f t="shared" si="38"/>
        <v>0</v>
      </c>
      <c r="G576" s="176">
        <f t="shared" si="38"/>
        <v>0</v>
      </c>
      <c r="H576" s="176">
        <f t="shared" si="38"/>
        <v>0</v>
      </c>
      <c r="I576" s="176">
        <f t="shared" si="38"/>
        <v>0</v>
      </c>
      <c r="J576" s="176">
        <f t="shared" si="38"/>
        <v>0</v>
      </c>
      <c r="K576" s="176">
        <f t="shared" si="38"/>
        <v>0</v>
      </c>
      <c r="L576" s="176">
        <f t="shared" si="38"/>
        <v>0</v>
      </c>
      <c r="M576" s="176">
        <f t="shared" si="38"/>
        <v>0</v>
      </c>
      <c r="N576" s="176">
        <f t="shared" si="38"/>
        <v>0</v>
      </c>
      <c r="O576" s="176">
        <f t="shared" si="38"/>
        <v>0</v>
      </c>
      <c r="P576" s="176">
        <f t="shared" si="38"/>
        <v>0</v>
      </c>
      <c r="Q576" s="176">
        <f t="shared" si="38"/>
        <v>0</v>
      </c>
      <c r="R576" s="176">
        <f t="shared" si="38"/>
        <v>0</v>
      </c>
      <c r="S576" s="176">
        <f t="shared" si="38"/>
        <v>0</v>
      </c>
      <c r="T576" s="176">
        <f t="shared" si="38"/>
        <v>0</v>
      </c>
      <c r="U576" s="176">
        <f t="shared" si="38"/>
        <v>0</v>
      </c>
      <c r="V576" s="176">
        <f t="shared" si="38"/>
        <v>0</v>
      </c>
      <c r="W576" s="176">
        <f t="shared" si="38"/>
        <v>0</v>
      </c>
      <c r="X576" s="176">
        <f t="shared" si="38"/>
        <v>0</v>
      </c>
      <c r="Y576" s="176">
        <f t="shared" si="38"/>
        <v>0</v>
      </c>
      <c r="Z576" s="176">
        <f t="shared" si="38"/>
        <v>0</v>
      </c>
      <c r="AA576" s="176">
        <f t="shared" si="38"/>
        <v>0</v>
      </c>
      <c r="AB576" s="176">
        <f t="shared" si="38"/>
        <v>0</v>
      </c>
      <c r="AC576" s="176">
        <f t="shared" si="38"/>
        <v>0</v>
      </c>
      <c r="AD576" s="176">
        <f t="shared" si="38"/>
        <v>0</v>
      </c>
      <c r="AE576" s="176">
        <f t="shared" si="38"/>
        <v>0</v>
      </c>
      <c r="AF576" s="287">
        <f t="shared" si="38"/>
        <v>0</v>
      </c>
    </row>
    <row r="577" spans="1:32" s="59" customFormat="1">
      <c r="A577" s="95" t="s">
        <v>728</v>
      </c>
      <c r="B577" s="95" t="s">
        <v>734</v>
      </c>
      <c r="C577" s="71" t="s">
        <v>525</v>
      </c>
      <c r="D577" s="74" t="s">
        <v>387</v>
      </c>
      <c r="E577" s="176">
        <f t="shared" si="39"/>
        <v>0</v>
      </c>
      <c r="F577" s="176">
        <f t="shared" si="38"/>
        <v>0</v>
      </c>
      <c r="G577" s="176">
        <f t="shared" si="38"/>
        <v>0</v>
      </c>
      <c r="H577" s="176">
        <f t="shared" si="38"/>
        <v>0</v>
      </c>
      <c r="I577" s="176">
        <f t="shared" si="38"/>
        <v>0</v>
      </c>
      <c r="J577" s="176">
        <f t="shared" si="38"/>
        <v>0</v>
      </c>
      <c r="K577" s="176">
        <f t="shared" si="38"/>
        <v>0</v>
      </c>
      <c r="L577" s="176">
        <f t="shared" si="38"/>
        <v>0</v>
      </c>
      <c r="M577" s="176">
        <f t="shared" si="38"/>
        <v>0</v>
      </c>
      <c r="N577" s="176">
        <f t="shared" si="38"/>
        <v>0</v>
      </c>
      <c r="O577" s="176">
        <f t="shared" si="38"/>
        <v>0</v>
      </c>
      <c r="P577" s="176">
        <f t="shared" si="38"/>
        <v>0</v>
      </c>
      <c r="Q577" s="176">
        <f t="shared" si="38"/>
        <v>0</v>
      </c>
      <c r="R577" s="176">
        <f t="shared" si="38"/>
        <v>0</v>
      </c>
      <c r="S577" s="176">
        <f t="shared" si="38"/>
        <v>-0.95492631285134677</v>
      </c>
      <c r="T577" s="176">
        <f t="shared" si="38"/>
        <v>0</v>
      </c>
      <c r="U577" s="176">
        <f t="shared" si="38"/>
        <v>-284.60982745661767</v>
      </c>
      <c r="V577" s="176">
        <f t="shared" si="38"/>
        <v>0</v>
      </c>
      <c r="W577" s="176">
        <f t="shared" si="38"/>
        <v>0</v>
      </c>
      <c r="X577" s="176">
        <f t="shared" si="38"/>
        <v>0</v>
      </c>
      <c r="Y577" s="176">
        <f t="shared" si="38"/>
        <v>0</v>
      </c>
      <c r="Z577" s="176">
        <f t="shared" si="38"/>
        <v>0</v>
      </c>
      <c r="AA577" s="176">
        <f t="shared" si="38"/>
        <v>0</v>
      </c>
      <c r="AB577" s="176">
        <f t="shared" si="38"/>
        <v>0</v>
      </c>
      <c r="AC577" s="176">
        <f t="shared" si="38"/>
        <v>0</v>
      </c>
      <c r="AD577" s="176">
        <f t="shared" si="38"/>
        <v>0</v>
      </c>
      <c r="AE577" s="176">
        <f t="shared" si="38"/>
        <v>0</v>
      </c>
      <c r="AF577" s="287">
        <f t="shared" si="38"/>
        <v>0</v>
      </c>
    </row>
    <row r="578" spans="1:32" s="59" customFormat="1">
      <c r="A578" s="95" t="s">
        <v>728</v>
      </c>
      <c r="B578" s="95" t="s">
        <v>734</v>
      </c>
      <c r="C578" s="71" t="s">
        <v>527</v>
      </c>
      <c r="D578" s="74" t="s">
        <v>387</v>
      </c>
      <c r="E578" s="176">
        <f t="shared" si="39"/>
        <v>0</v>
      </c>
      <c r="F578" s="176">
        <f t="shared" si="38"/>
        <v>0</v>
      </c>
      <c r="G578" s="176">
        <f t="shared" si="38"/>
        <v>0</v>
      </c>
      <c r="H578" s="176">
        <f t="shared" si="38"/>
        <v>0</v>
      </c>
      <c r="I578" s="176">
        <f t="shared" si="38"/>
        <v>0</v>
      </c>
      <c r="J578" s="176">
        <f t="shared" si="38"/>
        <v>0</v>
      </c>
      <c r="K578" s="176">
        <f t="shared" si="38"/>
        <v>0</v>
      </c>
      <c r="L578" s="176">
        <f t="shared" si="38"/>
        <v>0</v>
      </c>
      <c r="M578" s="176">
        <f t="shared" si="38"/>
        <v>0</v>
      </c>
      <c r="N578" s="176">
        <f t="shared" si="38"/>
        <v>0</v>
      </c>
      <c r="O578" s="176">
        <f t="shared" si="38"/>
        <v>0</v>
      </c>
      <c r="P578" s="176">
        <f t="shared" si="38"/>
        <v>0</v>
      </c>
      <c r="Q578" s="176">
        <f t="shared" si="38"/>
        <v>0</v>
      </c>
      <c r="R578" s="176">
        <f t="shared" si="38"/>
        <v>0</v>
      </c>
      <c r="S578" s="176">
        <f t="shared" si="38"/>
        <v>-765.44228062673028</v>
      </c>
      <c r="T578" s="176">
        <f t="shared" si="38"/>
        <v>0</v>
      </c>
      <c r="U578" s="176">
        <f t="shared" si="38"/>
        <v>0</v>
      </c>
      <c r="V578" s="176">
        <f t="shared" si="38"/>
        <v>0</v>
      </c>
      <c r="W578" s="176">
        <f t="shared" si="38"/>
        <v>0</v>
      </c>
      <c r="X578" s="176">
        <f t="shared" si="38"/>
        <v>-2208.567903195004</v>
      </c>
      <c r="Y578" s="176">
        <f t="shared" si="38"/>
        <v>0</v>
      </c>
      <c r="Z578" s="176">
        <f t="shared" si="38"/>
        <v>0</v>
      </c>
      <c r="AA578" s="176">
        <f t="shared" si="38"/>
        <v>0</v>
      </c>
      <c r="AB578" s="176">
        <f t="shared" si="38"/>
        <v>0</v>
      </c>
      <c r="AC578" s="176">
        <f t="shared" si="38"/>
        <v>0</v>
      </c>
      <c r="AD578" s="176">
        <f t="shared" si="38"/>
        <v>0</v>
      </c>
      <c r="AE578" s="176">
        <f t="shared" si="38"/>
        <v>0</v>
      </c>
      <c r="AF578" s="287">
        <f t="shared" si="38"/>
        <v>0</v>
      </c>
    </row>
    <row r="579" spans="1:32" s="59" customFormat="1">
      <c r="A579" s="95" t="s">
        <v>728</v>
      </c>
      <c r="B579" s="95" t="s">
        <v>734</v>
      </c>
      <c r="C579" s="71" t="s">
        <v>529</v>
      </c>
      <c r="D579" s="74" t="s">
        <v>387</v>
      </c>
      <c r="E579" s="176">
        <f t="shared" si="39"/>
        <v>0</v>
      </c>
      <c r="F579" s="176">
        <f t="shared" si="38"/>
        <v>0</v>
      </c>
      <c r="G579" s="176">
        <f t="shared" si="38"/>
        <v>0</v>
      </c>
      <c r="H579" s="176">
        <f t="shared" si="38"/>
        <v>0</v>
      </c>
      <c r="I579" s="176">
        <f t="shared" si="38"/>
        <v>0</v>
      </c>
      <c r="J579" s="176">
        <f t="shared" si="38"/>
        <v>0</v>
      </c>
      <c r="K579" s="176">
        <f t="shared" si="38"/>
        <v>0</v>
      </c>
      <c r="L579" s="176">
        <f t="shared" si="38"/>
        <v>0</v>
      </c>
      <c r="M579" s="176">
        <f t="shared" si="38"/>
        <v>0</v>
      </c>
      <c r="N579" s="176">
        <f t="shared" si="38"/>
        <v>0</v>
      </c>
      <c r="O579" s="176">
        <f t="shared" si="38"/>
        <v>0</v>
      </c>
      <c r="P579" s="176">
        <f t="shared" si="38"/>
        <v>0</v>
      </c>
      <c r="Q579" s="176">
        <f t="shared" si="38"/>
        <v>0</v>
      </c>
      <c r="R579" s="176">
        <f t="shared" si="38"/>
        <v>0</v>
      </c>
      <c r="S579" s="176">
        <f t="shared" si="38"/>
        <v>0</v>
      </c>
      <c r="T579" s="176">
        <f t="shared" si="38"/>
        <v>0</v>
      </c>
      <c r="U579" s="176">
        <f t="shared" si="38"/>
        <v>0</v>
      </c>
      <c r="V579" s="176">
        <f t="shared" si="38"/>
        <v>0</v>
      </c>
      <c r="W579" s="176">
        <f t="shared" si="38"/>
        <v>0</v>
      </c>
      <c r="X579" s="176">
        <f t="shared" si="38"/>
        <v>0</v>
      </c>
      <c r="Y579" s="176">
        <f t="shared" si="38"/>
        <v>0</v>
      </c>
      <c r="Z579" s="176">
        <f t="shared" si="38"/>
        <v>0</v>
      </c>
      <c r="AA579" s="176">
        <f t="shared" si="38"/>
        <v>0</v>
      </c>
      <c r="AB579" s="176">
        <f t="shared" si="38"/>
        <v>0</v>
      </c>
      <c r="AC579" s="176">
        <f t="shared" si="38"/>
        <v>0</v>
      </c>
      <c r="AD579" s="176">
        <f t="shared" si="38"/>
        <v>0</v>
      </c>
      <c r="AE579" s="176">
        <f t="shared" si="38"/>
        <v>0</v>
      </c>
      <c r="AF579" s="287">
        <f t="shared" si="38"/>
        <v>0</v>
      </c>
    </row>
    <row r="580" spans="1:32" s="59" customFormat="1">
      <c r="A580" s="95" t="s">
        <v>728</v>
      </c>
      <c r="B580" s="95" t="s">
        <v>734</v>
      </c>
      <c r="C580" s="71" t="s">
        <v>531</v>
      </c>
      <c r="D580" s="74" t="s">
        <v>387</v>
      </c>
      <c r="E580" s="176">
        <f t="shared" si="39"/>
        <v>0</v>
      </c>
      <c r="F580" s="176">
        <f t="shared" si="38"/>
        <v>0</v>
      </c>
      <c r="G580" s="176">
        <f t="shared" si="38"/>
        <v>0</v>
      </c>
      <c r="H580" s="176">
        <f t="shared" si="38"/>
        <v>0</v>
      </c>
      <c r="I580" s="176">
        <f t="shared" si="38"/>
        <v>0</v>
      </c>
      <c r="J580" s="176">
        <f t="shared" si="38"/>
        <v>0</v>
      </c>
      <c r="K580" s="176">
        <f t="shared" si="38"/>
        <v>0</v>
      </c>
      <c r="L580" s="176">
        <f t="shared" si="38"/>
        <v>0</v>
      </c>
      <c r="M580" s="176">
        <f t="shared" si="38"/>
        <v>0</v>
      </c>
      <c r="N580" s="176">
        <f t="shared" si="38"/>
        <v>0</v>
      </c>
      <c r="O580" s="176">
        <f t="shared" si="38"/>
        <v>0</v>
      </c>
      <c r="P580" s="176">
        <f t="shared" si="38"/>
        <v>0</v>
      </c>
      <c r="Q580" s="176">
        <f t="shared" si="38"/>
        <v>0</v>
      </c>
      <c r="R580" s="176">
        <f t="shared" si="38"/>
        <v>0</v>
      </c>
      <c r="S580" s="176">
        <f t="shared" si="38"/>
        <v>0</v>
      </c>
      <c r="T580" s="176">
        <f t="shared" si="38"/>
        <v>0</v>
      </c>
      <c r="U580" s="176">
        <f t="shared" si="38"/>
        <v>-589.13966806700614</v>
      </c>
      <c r="V580" s="176">
        <f t="shared" si="38"/>
        <v>0</v>
      </c>
      <c r="W580" s="176">
        <f t="shared" si="38"/>
        <v>0</v>
      </c>
      <c r="X580" s="176">
        <f t="shared" si="38"/>
        <v>0</v>
      </c>
      <c r="Y580" s="176">
        <f t="shared" si="38"/>
        <v>0</v>
      </c>
      <c r="Z580" s="176">
        <f t="shared" si="38"/>
        <v>0</v>
      </c>
      <c r="AA580" s="176">
        <f t="shared" si="38"/>
        <v>0</v>
      </c>
      <c r="AB580" s="176">
        <f t="shared" si="38"/>
        <v>0</v>
      </c>
      <c r="AC580" s="176">
        <f t="shared" si="38"/>
        <v>0</v>
      </c>
      <c r="AD580" s="176">
        <f t="shared" si="38"/>
        <v>0</v>
      </c>
      <c r="AE580" s="176">
        <f t="shared" si="38"/>
        <v>0</v>
      </c>
      <c r="AF580" s="287">
        <f t="shared" si="38"/>
        <v>0</v>
      </c>
    </row>
    <row r="581" spans="1:32" s="59" customFormat="1">
      <c r="A581" s="95" t="s">
        <v>728</v>
      </c>
      <c r="B581" s="95" t="s">
        <v>734</v>
      </c>
      <c r="C581" s="71" t="s">
        <v>533</v>
      </c>
      <c r="D581" s="74" t="s">
        <v>387</v>
      </c>
      <c r="E581" s="176">
        <f t="shared" si="39"/>
        <v>0</v>
      </c>
      <c r="F581" s="176">
        <f t="shared" si="38"/>
        <v>0</v>
      </c>
      <c r="G581" s="176">
        <f t="shared" si="38"/>
        <v>0</v>
      </c>
      <c r="H581" s="176">
        <f t="shared" si="38"/>
        <v>0</v>
      </c>
      <c r="I581" s="176">
        <f t="shared" si="38"/>
        <v>0</v>
      </c>
      <c r="J581" s="176">
        <f t="shared" si="38"/>
        <v>0</v>
      </c>
      <c r="K581" s="176">
        <f t="shared" si="38"/>
        <v>0</v>
      </c>
      <c r="L581" s="176">
        <f t="shared" si="38"/>
        <v>0</v>
      </c>
      <c r="M581" s="176">
        <f t="shared" si="38"/>
        <v>0</v>
      </c>
      <c r="N581" s="176">
        <f t="shared" si="38"/>
        <v>0</v>
      </c>
      <c r="O581" s="176">
        <f t="shared" si="38"/>
        <v>0</v>
      </c>
      <c r="P581" s="176">
        <f t="shared" si="38"/>
        <v>0</v>
      </c>
      <c r="Q581" s="176">
        <f t="shared" si="38"/>
        <v>0</v>
      </c>
      <c r="R581" s="176">
        <f t="shared" si="38"/>
        <v>0</v>
      </c>
      <c r="S581" s="176">
        <f t="shared" si="38"/>
        <v>0</v>
      </c>
      <c r="T581" s="176">
        <f t="shared" si="38"/>
        <v>0</v>
      </c>
      <c r="U581" s="176">
        <f t="shared" si="38"/>
        <v>0</v>
      </c>
      <c r="V581" s="176">
        <f t="shared" si="38"/>
        <v>0</v>
      </c>
      <c r="W581" s="176">
        <f t="shared" si="38"/>
        <v>0</v>
      </c>
      <c r="X581" s="176">
        <f t="shared" si="38"/>
        <v>0</v>
      </c>
      <c r="Y581" s="176">
        <f t="shared" si="38"/>
        <v>0</v>
      </c>
      <c r="Z581" s="176">
        <f t="shared" si="38"/>
        <v>0</v>
      </c>
      <c r="AA581" s="176">
        <f t="shared" si="38"/>
        <v>0</v>
      </c>
      <c r="AB581" s="176">
        <f t="shared" si="38"/>
        <v>0</v>
      </c>
      <c r="AC581" s="176">
        <f t="shared" si="38"/>
        <v>0</v>
      </c>
      <c r="AD581" s="176">
        <f t="shared" si="38"/>
        <v>0</v>
      </c>
      <c r="AE581" s="176">
        <f t="shared" si="38"/>
        <v>0</v>
      </c>
      <c r="AF581" s="287">
        <f t="shared" si="38"/>
        <v>0</v>
      </c>
    </row>
    <row r="582" spans="1:32" s="59" customFormat="1">
      <c r="A582" s="95" t="s">
        <v>728</v>
      </c>
      <c r="B582" s="95" t="s">
        <v>734</v>
      </c>
      <c r="C582" s="71" t="s">
        <v>535</v>
      </c>
      <c r="D582" s="74" t="s">
        <v>387</v>
      </c>
      <c r="E582" s="176">
        <f t="shared" si="39"/>
        <v>0</v>
      </c>
      <c r="F582" s="176">
        <f t="shared" si="38"/>
        <v>0</v>
      </c>
      <c r="G582" s="176">
        <f t="shared" si="38"/>
        <v>-170.42577002570951</v>
      </c>
      <c r="H582" s="176">
        <f t="shared" si="38"/>
        <v>0</v>
      </c>
      <c r="I582" s="176">
        <f t="shared" si="38"/>
        <v>0</v>
      </c>
      <c r="J582" s="176">
        <f t="shared" si="38"/>
        <v>-151.86156371744295</v>
      </c>
      <c r="K582" s="176">
        <f t="shared" si="38"/>
        <v>-1522</v>
      </c>
      <c r="L582" s="176">
        <f t="shared" si="38"/>
        <v>0</v>
      </c>
      <c r="M582" s="176">
        <f t="shared" si="38"/>
        <v>-1133.2306034482758</v>
      </c>
      <c r="N582" s="176">
        <f t="shared" si="38"/>
        <v>-787.48431946890582</v>
      </c>
      <c r="O582" s="176">
        <f t="shared" si="38"/>
        <v>0</v>
      </c>
      <c r="P582" s="176">
        <f t="shared" si="38"/>
        <v>-14340.436428966281</v>
      </c>
      <c r="Q582" s="176">
        <f t="shared" si="38"/>
        <v>0</v>
      </c>
      <c r="R582" s="176">
        <f t="shared" si="38"/>
        <v>0</v>
      </c>
      <c r="S582" s="176">
        <f t="shared" si="38"/>
        <v>-355.28139676621373</v>
      </c>
      <c r="T582" s="176">
        <f t="shared" si="38"/>
        <v>-3477.2651766402305</v>
      </c>
      <c r="U582" s="176">
        <f t="shared" si="38"/>
        <v>-5717.1256369869361</v>
      </c>
      <c r="V582" s="176">
        <f t="shared" si="38"/>
        <v>-107415.00812836482</v>
      </c>
      <c r="W582" s="176">
        <f t="shared" si="38"/>
        <v>0</v>
      </c>
      <c r="X582" s="176">
        <f t="shared" si="38"/>
        <v>-2715.7821826884006</v>
      </c>
      <c r="Y582" s="176">
        <f t="shared" si="38"/>
        <v>-3379.9498061532813</v>
      </c>
      <c r="Z582" s="176">
        <f t="shared" si="38"/>
        <v>-4541.305269650361</v>
      </c>
      <c r="AA582" s="176">
        <f t="shared" si="38"/>
        <v>-10017.698224924743</v>
      </c>
      <c r="AB582" s="176">
        <f t="shared" si="38"/>
        <v>0</v>
      </c>
      <c r="AC582" s="176">
        <f t="shared" si="38"/>
        <v>-207</v>
      </c>
      <c r="AD582" s="176">
        <f t="shared" si="38"/>
        <v>0</v>
      </c>
      <c r="AE582" s="176">
        <f t="shared" si="38"/>
        <v>-199.73658627780893</v>
      </c>
      <c r="AF582" s="287">
        <f t="shared" si="38"/>
        <v>-8425.5581383897388</v>
      </c>
    </row>
    <row r="583" spans="1:32" s="59" customFormat="1">
      <c r="A583" s="95" t="s">
        <v>728</v>
      </c>
      <c r="B583" s="95" t="s">
        <v>734</v>
      </c>
      <c r="C583" s="71" t="s">
        <v>537</v>
      </c>
      <c r="D583" s="74" t="s">
        <v>387</v>
      </c>
      <c r="E583" s="176">
        <f t="shared" si="39"/>
        <v>0</v>
      </c>
      <c r="F583" s="176">
        <f t="shared" si="38"/>
        <v>-1858.137870596378</v>
      </c>
      <c r="G583" s="367">
        <f t="shared" si="38"/>
        <v>-5.120381230317415</v>
      </c>
      <c r="H583" s="176">
        <f t="shared" si="38"/>
        <v>-27602.973551147275</v>
      </c>
      <c r="I583" s="176">
        <f t="shared" si="38"/>
        <v>-5057.3589975129698</v>
      </c>
      <c r="J583" s="176">
        <f t="shared" si="38"/>
        <v>-3322.0813143220971</v>
      </c>
      <c r="K583" s="176">
        <f t="shared" si="38"/>
        <v>0</v>
      </c>
      <c r="L583" s="176">
        <f t="shared" si="38"/>
        <v>0</v>
      </c>
      <c r="M583" s="176">
        <f t="shared" si="38"/>
        <v>-15037.2</v>
      </c>
      <c r="N583" s="176">
        <f t="shared" si="38"/>
        <v>-29742.934511209987</v>
      </c>
      <c r="O583" s="176">
        <f t="shared" si="38"/>
        <v>-2114.5871557666414</v>
      </c>
      <c r="P583" s="176">
        <f t="shared" si="38"/>
        <v>-415510.09962122008</v>
      </c>
      <c r="Q583" s="176">
        <f t="shared" si="38"/>
        <v>-8926.4137997726157</v>
      </c>
      <c r="R583" s="176">
        <f t="shared" si="38"/>
        <v>-15441.004287009857</v>
      </c>
      <c r="S583" s="176">
        <f t="shared" ref="S583:AF593" si="40">SUMIFS(S$7:S$26,$C$7:$C$26,$C583)*SUMIFS(S$32:S$350,$C$32:$C$350,$B583,$B$32:$B$350,$C583)</f>
        <v>-20647.719811075433</v>
      </c>
      <c r="T583" s="176">
        <f t="shared" si="40"/>
        <v>-45470.719865310602</v>
      </c>
      <c r="U583" s="176">
        <f t="shared" si="40"/>
        <v>-43824.494053992879</v>
      </c>
      <c r="V583" s="176">
        <f t="shared" si="40"/>
        <v>0</v>
      </c>
      <c r="W583" s="176">
        <f t="shared" si="40"/>
        <v>-19116</v>
      </c>
      <c r="X583" s="176">
        <f t="shared" si="40"/>
        <v>-33564.743715171273</v>
      </c>
      <c r="Y583" s="176">
        <f t="shared" si="40"/>
        <v>-9977.8285698627151</v>
      </c>
      <c r="Z583" s="176">
        <f t="shared" si="40"/>
        <v>-11826.451884393613</v>
      </c>
      <c r="AA583" s="176">
        <f t="shared" si="40"/>
        <v>-40823.283840904049</v>
      </c>
      <c r="AB583" s="176">
        <f t="shared" si="40"/>
        <v>-5011.8415006721252</v>
      </c>
      <c r="AC583" s="176">
        <f t="shared" si="40"/>
        <v>0</v>
      </c>
      <c r="AD583" s="176">
        <f t="shared" si="40"/>
        <v>-108051.77758357402</v>
      </c>
      <c r="AE583" s="176">
        <f t="shared" si="40"/>
        <v>-47618.64021459753</v>
      </c>
      <c r="AF583" s="287">
        <f t="shared" si="40"/>
        <v>-199791.66619851787</v>
      </c>
    </row>
    <row r="584" spans="1:32" s="59" customFormat="1">
      <c r="A584" s="95" t="s">
        <v>728</v>
      </c>
      <c r="B584" s="95" t="s">
        <v>734</v>
      </c>
      <c r="C584" s="71" t="s">
        <v>541</v>
      </c>
      <c r="D584" s="74" t="s">
        <v>387</v>
      </c>
      <c r="E584" s="176">
        <f t="shared" si="39"/>
        <v>0</v>
      </c>
      <c r="F584" s="176">
        <f t="shared" si="39"/>
        <v>-26382.257293432707</v>
      </c>
      <c r="G584" s="176">
        <f t="shared" si="39"/>
        <v>-3110.1326736009287</v>
      </c>
      <c r="H584" s="176">
        <f t="shared" si="39"/>
        <v>0</v>
      </c>
      <c r="I584" s="176">
        <f t="shared" si="39"/>
        <v>-7593.9947079161839</v>
      </c>
      <c r="J584" s="176">
        <f t="shared" si="39"/>
        <v>-7146.8184186148237</v>
      </c>
      <c r="K584" s="176">
        <f t="shared" si="39"/>
        <v>-526.64704472011681</v>
      </c>
      <c r="L584" s="176">
        <f t="shared" si="39"/>
        <v>0</v>
      </c>
      <c r="M584" s="176">
        <f t="shared" si="39"/>
        <v>-92646.035438993902</v>
      </c>
      <c r="N584" s="176">
        <f t="shared" si="39"/>
        <v>-56906.873255169936</v>
      </c>
      <c r="O584" s="176">
        <f t="shared" si="39"/>
        <v>-7575.1873346839475</v>
      </c>
      <c r="P584" s="176">
        <f t="shared" si="39"/>
        <v>-286921.31479967292</v>
      </c>
      <c r="Q584" s="176">
        <f t="shared" si="39"/>
        <v>-14170.536565263103</v>
      </c>
      <c r="R584" s="176">
        <f t="shared" si="39"/>
        <v>-8546.7154605354099</v>
      </c>
      <c r="S584" s="176">
        <f t="shared" si="39"/>
        <v>-73830.157315503486</v>
      </c>
      <c r="T584" s="176">
        <f t="shared" si="39"/>
        <v>-195830.78038695469</v>
      </c>
      <c r="U584" s="176">
        <f t="shared" si="40"/>
        <v>-139751.20321602223</v>
      </c>
      <c r="V584" s="176">
        <f t="shared" si="40"/>
        <v>0</v>
      </c>
      <c r="W584" s="176">
        <f t="shared" si="40"/>
        <v>-281010.78014781821</v>
      </c>
      <c r="X584" s="176">
        <f t="shared" si="40"/>
        <v>-7909.4857877728891</v>
      </c>
      <c r="Y584" s="176">
        <f t="shared" si="40"/>
        <v>-38252.886807816649</v>
      </c>
      <c r="Z584" s="176">
        <f t="shared" si="40"/>
        <v>-63309.251335009889</v>
      </c>
      <c r="AA584" s="176">
        <f t="shared" si="40"/>
        <v>-292371.0044524257</v>
      </c>
      <c r="AB584" s="176">
        <f t="shared" si="40"/>
        <v>-154656.99819429603</v>
      </c>
      <c r="AC584" s="176">
        <f t="shared" si="40"/>
        <v>-3771.5297420285469</v>
      </c>
      <c r="AD584" s="176">
        <f t="shared" si="40"/>
        <v>0</v>
      </c>
      <c r="AE584" s="176">
        <f t="shared" si="40"/>
        <v>0</v>
      </c>
      <c r="AF584" s="287">
        <f t="shared" si="40"/>
        <v>-926463.91575721547</v>
      </c>
    </row>
    <row r="585" spans="1:32" s="59" customFormat="1">
      <c r="A585" s="95" t="s">
        <v>728</v>
      </c>
      <c r="B585" s="95" t="s">
        <v>734</v>
      </c>
      <c r="C585" s="71" t="s">
        <v>543</v>
      </c>
      <c r="D585" s="74" t="s">
        <v>387</v>
      </c>
      <c r="E585" s="176">
        <f t="shared" si="39"/>
        <v>0</v>
      </c>
      <c r="F585" s="176">
        <f t="shared" si="39"/>
        <v>0</v>
      </c>
      <c r="G585" s="176">
        <f t="shared" si="39"/>
        <v>0</v>
      </c>
      <c r="H585" s="176">
        <f t="shared" si="39"/>
        <v>0</v>
      </c>
      <c r="I585" s="176">
        <f t="shared" si="39"/>
        <v>0</v>
      </c>
      <c r="J585" s="176">
        <f t="shared" si="39"/>
        <v>0</v>
      </c>
      <c r="K585" s="176">
        <f t="shared" si="39"/>
        <v>0</v>
      </c>
      <c r="L585" s="176">
        <f t="shared" si="39"/>
        <v>0</v>
      </c>
      <c r="M585" s="176">
        <f t="shared" si="39"/>
        <v>0</v>
      </c>
      <c r="N585" s="176">
        <f t="shared" si="39"/>
        <v>-2546</v>
      </c>
      <c r="O585" s="176">
        <f t="shared" si="39"/>
        <v>0</v>
      </c>
      <c r="P585" s="176">
        <f t="shared" si="39"/>
        <v>-778.87006369426751</v>
      </c>
      <c r="Q585" s="176">
        <f t="shared" si="39"/>
        <v>0</v>
      </c>
      <c r="R585" s="176">
        <f t="shared" si="39"/>
        <v>0</v>
      </c>
      <c r="S585" s="176">
        <f t="shared" si="39"/>
        <v>0</v>
      </c>
      <c r="T585" s="176">
        <f t="shared" si="39"/>
        <v>0</v>
      </c>
      <c r="U585" s="176">
        <f t="shared" si="40"/>
        <v>0</v>
      </c>
      <c r="V585" s="176">
        <f t="shared" si="40"/>
        <v>0</v>
      </c>
      <c r="W585" s="176">
        <f t="shared" si="40"/>
        <v>0</v>
      </c>
      <c r="X585" s="176">
        <f t="shared" si="40"/>
        <v>-22</v>
      </c>
      <c r="Y585" s="176">
        <f t="shared" si="40"/>
        <v>-4532.6359985368017</v>
      </c>
      <c r="Z585" s="176">
        <f t="shared" si="40"/>
        <v>0</v>
      </c>
      <c r="AA585" s="176">
        <f t="shared" si="40"/>
        <v>0</v>
      </c>
      <c r="AB585" s="176">
        <f t="shared" si="40"/>
        <v>0</v>
      </c>
      <c r="AC585" s="176">
        <f t="shared" si="40"/>
        <v>0</v>
      </c>
      <c r="AD585" s="176">
        <f t="shared" si="40"/>
        <v>0</v>
      </c>
      <c r="AE585" s="176">
        <f t="shared" si="40"/>
        <v>0</v>
      </c>
      <c r="AF585" s="287">
        <f t="shared" si="40"/>
        <v>-1736.9794487432328</v>
      </c>
    </row>
    <row r="586" spans="1:32" s="59" customFormat="1">
      <c r="A586" s="95" t="s">
        <v>728</v>
      </c>
      <c r="B586" s="95" t="s">
        <v>734</v>
      </c>
      <c r="C586" s="71" t="s">
        <v>545</v>
      </c>
      <c r="D586" s="74" t="s">
        <v>387</v>
      </c>
      <c r="E586" s="176">
        <f t="shared" si="39"/>
        <v>0</v>
      </c>
      <c r="F586" s="176">
        <f t="shared" si="39"/>
        <v>0</v>
      </c>
      <c r="G586" s="176">
        <f t="shared" si="39"/>
        <v>0</v>
      </c>
      <c r="H586" s="176">
        <f t="shared" si="39"/>
        <v>0</v>
      </c>
      <c r="I586" s="176">
        <f t="shared" si="39"/>
        <v>0</v>
      </c>
      <c r="J586" s="176">
        <f t="shared" si="39"/>
        <v>0</v>
      </c>
      <c r="K586" s="176">
        <f t="shared" si="39"/>
        <v>0</v>
      </c>
      <c r="L586" s="176">
        <f t="shared" si="39"/>
        <v>0</v>
      </c>
      <c r="M586" s="176">
        <f t="shared" si="39"/>
        <v>0</v>
      </c>
      <c r="N586" s="176">
        <f t="shared" si="39"/>
        <v>0</v>
      </c>
      <c r="O586" s="176">
        <f t="shared" si="39"/>
        <v>0</v>
      </c>
      <c r="P586" s="176">
        <f t="shared" si="39"/>
        <v>-634408.68355165969</v>
      </c>
      <c r="Q586" s="176">
        <f t="shared" si="39"/>
        <v>-22707.252482653268</v>
      </c>
      <c r="R586" s="176">
        <f t="shared" si="39"/>
        <v>-13348</v>
      </c>
      <c r="S586" s="176">
        <f t="shared" si="39"/>
        <v>-2331.2496765580709</v>
      </c>
      <c r="T586" s="176">
        <f t="shared" si="39"/>
        <v>-46353.143859525415</v>
      </c>
      <c r="U586" s="176">
        <f t="shared" si="40"/>
        <v>-19581.34635677854</v>
      </c>
      <c r="V586" s="176">
        <f t="shared" si="40"/>
        <v>0</v>
      </c>
      <c r="W586" s="176">
        <f t="shared" si="40"/>
        <v>0</v>
      </c>
      <c r="X586" s="176">
        <f t="shared" si="40"/>
        <v>0</v>
      </c>
      <c r="Y586" s="176">
        <f t="shared" si="40"/>
        <v>0</v>
      </c>
      <c r="Z586" s="176">
        <f t="shared" si="40"/>
        <v>0</v>
      </c>
      <c r="AA586" s="176">
        <f t="shared" si="40"/>
        <v>0</v>
      </c>
      <c r="AB586" s="176">
        <f t="shared" si="40"/>
        <v>0</v>
      </c>
      <c r="AC586" s="176">
        <f t="shared" si="40"/>
        <v>0</v>
      </c>
      <c r="AD586" s="176">
        <f t="shared" si="40"/>
        <v>-384590.61546755687</v>
      </c>
      <c r="AE586" s="176">
        <f t="shared" si="40"/>
        <v>-1233</v>
      </c>
      <c r="AF586" s="287">
        <f t="shared" si="40"/>
        <v>-61749</v>
      </c>
    </row>
    <row r="587" spans="1:32" s="59" customFormat="1">
      <c r="A587" s="95" t="s">
        <v>728</v>
      </c>
      <c r="B587" s="95" t="s">
        <v>734</v>
      </c>
      <c r="C587" s="71" t="s">
        <v>548</v>
      </c>
      <c r="D587" s="74" t="s">
        <v>387</v>
      </c>
      <c r="E587" s="176">
        <f t="shared" si="39"/>
        <v>0</v>
      </c>
      <c r="F587" s="176">
        <f t="shared" si="39"/>
        <v>-9344</v>
      </c>
      <c r="G587" s="176">
        <f t="shared" si="39"/>
        <v>-1609.7570429313996</v>
      </c>
      <c r="H587" s="176">
        <f t="shared" si="39"/>
        <v>0</v>
      </c>
      <c r="I587" s="176">
        <f t="shared" si="39"/>
        <v>-3391.3414223308164</v>
      </c>
      <c r="J587" s="176">
        <f t="shared" si="39"/>
        <v>-2093</v>
      </c>
      <c r="K587" s="176">
        <f t="shared" si="39"/>
        <v>-102838</v>
      </c>
      <c r="L587" s="176">
        <f t="shared" si="39"/>
        <v>-4543</v>
      </c>
      <c r="M587" s="176">
        <f t="shared" si="39"/>
        <v>-31197</v>
      </c>
      <c r="N587" s="176">
        <f t="shared" si="39"/>
        <v>-579</v>
      </c>
      <c r="O587" s="176">
        <f t="shared" si="39"/>
        <v>-8910.4659985090711</v>
      </c>
      <c r="P587" s="176">
        <f t="shared" si="39"/>
        <v>-15985.214809640236</v>
      </c>
      <c r="Q587" s="176">
        <f t="shared" si="39"/>
        <v>-31512.738176431492</v>
      </c>
      <c r="R587" s="176">
        <f t="shared" si="39"/>
        <v>-15513.795549587569</v>
      </c>
      <c r="S587" s="176">
        <f t="shared" si="39"/>
        <v>-54831.002906750808</v>
      </c>
      <c r="T587" s="176">
        <f t="shared" si="39"/>
        <v>-119452</v>
      </c>
      <c r="U587" s="176">
        <f t="shared" si="40"/>
        <v>-169947.73452176165</v>
      </c>
      <c r="V587" s="176">
        <f t="shared" si="40"/>
        <v>0</v>
      </c>
      <c r="W587" s="176">
        <f t="shared" si="40"/>
        <v>0</v>
      </c>
      <c r="X587" s="176">
        <f t="shared" si="40"/>
        <v>-135185</v>
      </c>
      <c r="Y587" s="176">
        <f t="shared" si="40"/>
        <v>-164981.7329326281</v>
      </c>
      <c r="Z587" s="176">
        <f t="shared" si="40"/>
        <v>-111728</v>
      </c>
      <c r="AA587" s="176">
        <f t="shared" si="40"/>
        <v>-249017</v>
      </c>
      <c r="AB587" s="176">
        <f t="shared" si="40"/>
        <v>-136963</v>
      </c>
      <c r="AC587" s="176">
        <f t="shared" si="40"/>
        <v>-1619</v>
      </c>
      <c r="AD587" s="176">
        <f t="shared" si="40"/>
        <v>0</v>
      </c>
      <c r="AE587" s="176">
        <f t="shared" si="40"/>
        <v>-114219.28623288649</v>
      </c>
      <c r="AF587" s="287">
        <f t="shared" si="40"/>
        <v>-593.07439709581695</v>
      </c>
    </row>
    <row r="588" spans="1:32" s="59" customFormat="1">
      <c r="A588" s="95" t="s">
        <v>728</v>
      </c>
      <c r="B588" s="95" t="s">
        <v>734</v>
      </c>
      <c r="C588" s="71" t="s">
        <v>550</v>
      </c>
      <c r="D588" s="74" t="s">
        <v>387</v>
      </c>
      <c r="E588" s="176">
        <f t="shared" si="39"/>
        <v>0</v>
      </c>
      <c r="F588" s="176">
        <f t="shared" si="39"/>
        <v>0</v>
      </c>
      <c r="G588" s="176">
        <f t="shared" si="39"/>
        <v>0</v>
      </c>
      <c r="H588" s="176">
        <f t="shared" si="39"/>
        <v>0</v>
      </c>
      <c r="I588" s="176">
        <f t="shared" si="39"/>
        <v>0</v>
      </c>
      <c r="J588" s="176">
        <f t="shared" si="39"/>
        <v>0</v>
      </c>
      <c r="K588" s="176">
        <f t="shared" si="39"/>
        <v>0</v>
      </c>
      <c r="L588" s="176">
        <f t="shared" si="39"/>
        <v>0</v>
      </c>
      <c r="M588" s="176">
        <f t="shared" si="39"/>
        <v>0</v>
      </c>
      <c r="N588" s="176">
        <f t="shared" si="39"/>
        <v>0</v>
      </c>
      <c r="O588" s="176">
        <f t="shared" si="39"/>
        <v>0</v>
      </c>
      <c r="P588" s="176">
        <f t="shared" si="39"/>
        <v>-115.93548387096774</v>
      </c>
      <c r="Q588" s="176">
        <f t="shared" si="39"/>
        <v>0</v>
      </c>
      <c r="R588" s="176">
        <f t="shared" si="39"/>
        <v>0</v>
      </c>
      <c r="S588" s="176">
        <f t="shared" si="39"/>
        <v>0</v>
      </c>
      <c r="T588" s="176">
        <f t="shared" si="39"/>
        <v>0</v>
      </c>
      <c r="U588" s="176">
        <f t="shared" si="40"/>
        <v>0</v>
      </c>
      <c r="V588" s="176">
        <f t="shared" si="40"/>
        <v>0</v>
      </c>
      <c r="W588" s="176">
        <f t="shared" si="40"/>
        <v>0</v>
      </c>
      <c r="X588" s="176">
        <f t="shared" si="40"/>
        <v>-3309.4275252871985</v>
      </c>
      <c r="Y588" s="176">
        <f t="shared" si="40"/>
        <v>-4862.9209619898193</v>
      </c>
      <c r="Z588" s="176">
        <f t="shared" si="40"/>
        <v>0</v>
      </c>
      <c r="AA588" s="176">
        <f t="shared" si="40"/>
        <v>0</v>
      </c>
      <c r="AB588" s="176">
        <f t="shared" si="40"/>
        <v>0</v>
      </c>
      <c r="AC588" s="176">
        <f t="shared" si="40"/>
        <v>0</v>
      </c>
      <c r="AD588" s="176">
        <f t="shared" si="40"/>
        <v>0</v>
      </c>
      <c r="AE588" s="176">
        <f t="shared" si="40"/>
        <v>0</v>
      </c>
      <c r="AF588" s="287">
        <f t="shared" si="40"/>
        <v>-5225</v>
      </c>
    </row>
    <row r="589" spans="1:32" s="59" customFormat="1">
      <c r="A589" s="95" t="s">
        <v>728</v>
      </c>
      <c r="B589" s="95" t="s">
        <v>734</v>
      </c>
      <c r="C589" s="71" t="s">
        <v>552</v>
      </c>
      <c r="D589" s="74" t="s">
        <v>387</v>
      </c>
      <c r="E589" s="176">
        <f t="shared" si="39"/>
        <v>0</v>
      </c>
      <c r="F589" s="176">
        <f t="shared" si="39"/>
        <v>0</v>
      </c>
      <c r="G589" s="176">
        <f t="shared" si="39"/>
        <v>-355</v>
      </c>
      <c r="H589" s="176">
        <f t="shared" si="39"/>
        <v>0</v>
      </c>
      <c r="I589" s="176">
        <f t="shared" si="39"/>
        <v>0</v>
      </c>
      <c r="J589" s="176">
        <f t="shared" si="39"/>
        <v>-37.259783624949911</v>
      </c>
      <c r="K589" s="176">
        <f t="shared" si="39"/>
        <v>0</v>
      </c>
      <c r="L589" s="176">
        <f t="shared" si="39"/>
        <v>0</v>
      </c>
      <c r="M589" s="176">
        <f t="shared" si="39"/>
        <v>0</v>
      </c>
      <c r="N589" s="176">
        <f t="shared" si="39"/>
        <v>-3727.5942378383538</v>
      </c>
      <c r="O589" s="176">
        <f t="shared" si="39"/>
        <v>-5588.2259651214781</v>
      </c>
      <c r="P589" s="176">
        <f t="shared" si="39"/>
        <v>-514293.08233581774</v>
      </c>
      <c r="Q589" s="176">
        <f t="shared" si="39"/>
        <v>0</v>
      </c>
      <c r="R589" s="176">
        <f t="shared" si="39"/>
        <v>0</v>
      </c>
      <c r="S589" s="176">
        <f t="shared" si="39"/>
        <v>-1053.1754351652648</v>
      </c>
      <c r="T589" s="176">
        <f t="shared" si="39"/>
        <v>-36136.016495341872</v>
      </c>
      <c r="U589" s="176">
        <f t="shared" si="40"/>
        <v>-54994.484677133223</v>
      </c>
      <c r="V589" s="176">
        <f t="shared" si="40"/>
        <v>0</v>
      </c>
      <c r="W589" s="176">
        <f t="shared" si="40"/>
        <v>0</v>
      </c>
      <c r="X589" s="176">
        <f t="shared" si="40"/>
        <v>-16998.804355243352</v>
      </c>
      <c r="Y589" s="176">
        <f t="shared" si="40"/>
        <v>-35939.758276233835</v>
      </c>
      <c r="Z589" s="176">
        <f t="shared" si="40"/>
        <v>0</v>
      </c>
      <c r="AA589" s="176">
        <f t="shared" si="40"/>
        <v>-48358.793736435618</v>
      </c>
      <c r="AB589" s="176">
        <f t="shared" si="40"/>
        <v>0</v>
      </c>
      <c r="AC589" s="176">
        <f t="shared" si="40"/>
        <v>-166</v>
      </c>
      <c r="AD589" s="176">
        <f t="shared" si="40"/>
        <v>0</v>
      </c>
      <c r="AE589" s="176">
        <f t="shared" si="40"/>
        <v>-41651.362283001137</v>
      </c>
      <c r="AF589" s="287">
        <f t="shared" si="40"/>
        <v>-26957</v>
      </c>
    </row>
    <row r="590" spans="1:32" s="59" customFormat="1">
      <c r="A590" s="95" t="s">
        <v>728</v>
      </c>
      <c r="B590" s="95" t="s">
        <v>734</v>
      </c>
      <c r="C590" s="71" t="s">
        <v>554</v>
      </c>
      <c r="D590" s="74" t="s">
        <v>387</v>
      </c>
      <c r="E590" s="176">
        <f t="shared" si="39"/>
        <v>0</v>
      </c>
      <c r="F590" s="176">
        <f t="shared" si="39"/>
        <v>0</v>
      </c>
      <c r="G590" s="176">
        <f t="shared" si="39"/>
        <v>0</v>
      </c>
      <c r="H590" s="176">
        <f t="shared" si="39"/>
        <v>0</v>
      </c>
      <c r="I590" s="176">
        <f t="shared" si="39"/>
        <v>0</v>
      </c>
      <c r="J590" s="176">
        <f t="shared" si="39"/>
        <v>0</v>
      </c>
      <c r="K590" s="176">
        <f t="shared" si="39"/>
        <v>0</v>
      </c>
      <c r="L590" s="176">
        <f t="shared" si="39"/>
        <v>0</v>
      </c>
      <c r="M590" s="176">
        <f t="shared" si="39"/>
        <v>0</v>
      </c>
      <c r="N590" s="176">
        <f t="shared" si="39"/>
        <v>0</v>
      </c>
      <c r="O590" s="176">
        <f t="shared" si="39"/>
        <v>0</v>
      </c>
      <c r="P590" s="176">
        <f t="shared" si="39"/>
        <v>-20580.396698762037</v>
      </c>
      <c r="Q590" s="176">
        <f t="shared" si="39"/>
        <v>0</v>
      </c>
      <c r="R590" s="176">
        <f t="shared" si="39"/>
        <v>0</v>
      </c>
      <c r="S590" s="176">
        <f t="shared" si="39"/>
        <v>0</v>
      </c>
      <c r="T590" s="176">
        <f t="shared" si="39"/>
        <v>0</v>
      </c>
      <c r="U590" s="176">
        <f t="shared" si="40"/>
        <v>0</v>
      </c>
      <c r="V590" s="176">
        <f t="shared" si="40"/>
        <v>0</v>
      </c>
      <c r="W590" s="176">
        <f t="shared" si="40"/>
        <v>0</v>
      </c>
      <c r="X590" s="176">
        <f t="shared" si="40"/>
        <v>-1206</v>
      </c>
      <c r="Y590" s="176">
        <f t="shared" si="40"/>
        <v>-5</v>
      </c>
      <c r="Z590" s="176">
        <f t="shared" si="40"/>
        <v>0</v>
      </c>
      <c r="AA590" s="176">
        <f t="shared" si="40"/>
        <v>-4276</v>
      </c>
      <c r="AB590" s="176">
        <f t="shared" si="40"/>
        <v>0</v>
      </c>
      <c r="AC590" s="176">
        <f t="shared" si="40"/>
        <v>0</v>
      </c>
      <c r="AD590" s="176">
        <f t="shared" si="40"/>
        <v>0</v>
      </c>
      <c r="AE590" s="176">
        <f t="shared" si="40"/>
        <v>0</v>
      </c>
      <c r="AF590" s="287">
        <f t="shared" si="40"/>
        <v>-21</v>
      </c>
    </row>
    <row r="591" spans="1:32" s="59" customFormat="1">
      <c r="A591" s="95" t="s">
        <v>728</v>
      </c>
      <c r="B591" s="95" t="s">
        <v>734</v>
      </c>
      <c r="C591" s="71" t="s">
        <v>556</v>
      </c>
      <c r="D591" s="74" t="s">
        <v>387</v>
      </c>
      <c r="E591" s="176">
        <f t="shared" si="39"/>
        <v>0</v>
      </c>
      <c r="F591" s="176">
        <f t="shared" si="39"/>
        <v>-15596.497206240065</v>
      </c>
      <c r="G591" s="176">
        <f t="shared" si="39"/>
        <v>-965.32744865048392</v>
      </c>
      <c r="H591" s="176">
        <f t="shared" si="39"/>
        <v>0</v>
      </c>
      <c r="I591" s="176">
        <f t="shared" si="39"/>
        <v>0</v>
      </c>
      <c r="J591" s="176">
        <f t="shared" si="39"/>
        <v>-136.62853271744936</v>
      </c>
      <c r="K591" s="176">
        <f t="shared" si="39"/>
        <v>-7035</v>
      </c>
      <c r="L591" s="176">
        <f t="shared" si="39"/>
        <v>0</v>
      </c>
      <c r="M591" s="176">
        <f t="shared" si="39"/>
        <v>0</v>
      </c>
      <c r="N591" s="176">
        <f t="shared" si="39"/>
        <v>0</v>
      </c>
      <c r="O591" s="176">
        <f t="shared" si="39"/>
        <v>0</v>
      </c>
      <c r="P591" s="176">
        <f t="shared" si="39"/>
        <v>0</v>
      </c>
      <c r="Q591" s="176">
        <f t="shared" si="39"/>
        <v>0</v>
      </c>
      <c r="R591" s="176">
        <f t="shared" si="39"/>
        <v>0</v>
      </c>
      <c r="S591" s="176">
        <f t="shared" si="39"/>
        <v>0</v>
      </c>
      <c r="T591" s="176">
        <f t="shared" si="39"/>
        <v>0</v>
      </c>
      <c r="U591" s="176">
        <f t="shared" si="40"/>
        <v>0</v>
      </c>
      <c r="V591" s="176">
        <f t="shared" si="40"/>
        <v>-63812.615755150764</v>
      </c>
      <c r="W591" s="176">
        <f t="shared" si="40"/>
        <v>0</v>
      </c>
      <c r="X591" s="176">
        <f t="shared" si="40"/>
        <v>0</v>
      </c>
      <c r="Y591" s="176">
        <f t="shared" si="40"/>
        <v>-8608.6295337217434</v>
      </c>
      <c r="Z591" s="176">
        <f t="shared" si="40"/>
        <v>0</v>
      </c>
      <c r="AA591" s="176">
        <f t="shared" si="40"/>
        <v>0</v>
      </c>
      <c r="AB591" s="176">
        <f t="shared" si="40"/>
        <v>0</v>
      </c>
      <c r="AC591" s="176">
        <f t="shared" si="40"/>
        <v>0</v>
      </c>
      <c r="AD591" s="176">
        <f t="shared" si="40"/>
        <v>0</v>
      </c>
      <c r="AE591" s="176">
        <f t="shared" si="40"/>
        <v>0</v>
      </c>
      <c r="AF591" s="287">
        <f t="shared" si="40"/>
        <v>0</v>
      </c>
    </row>
    <row r="592" spans="1:32" s="59" customFormat="1">
      <c r="A592" s="95" t="s">
        <v>728</v>
      </c>
      <c r="B592" s="95" t="s">
        <v>734</v>
      </c>
      <c r="C592" s="71" t="s">
        <v>558</v>
      </c>
      <c r="D592" s="74" t="s">
        <v>387</v>
      </c>
      <c r="E592" s="176">
        <f t="shared" si="39"/>
        <v>-990</v>
      </c>
      <c r="F592" s="176">
        <f t="shared" si="39"/>
        <v>0</v>
      </c>
      <c r="G592" s="176">
        <f t="shared" si="39"/>
        <v>0</v>
      </c>
      <c r="H592" s="176">
        <f t="shared" si="39"/>
        <v>0</v>
      </c>
      <c r="I592" s="176">
        <f>SUMIFS(I$7:I$26,$C$7:$C$26,$C592)*SUMIFS(I$32:I$350,$C$32:$C$350,$B592,$B$32:$B$350,$C592)</f>
        <v>-33577.877597488063</v>
      </c>
      <c r="J592" s="176">
        <f t="shared" si="39"/>
        <v>-17799.185936923906</v>
      </c>
      <c r="K592" s="176">
        <f t="shared" si="39"/>
        <v>-590</v>
      </c>
      <c r="L592" s="176">
        <f t="shared" si="39"/>
        <v>0</v>
      </c>
      <c r="M592" s="176">
        <f t="shared" si="39"/>
        <v>0</v>
      </c>
      <c r="N592" s="176">
        <f t="shared" si="39"/>
        <v>-83574.087643941923</v>
      </c>
      <c r="O592" s="176">
        <f t="shared" si="39"/>
        <v>0</v>
      </c>
      <c r="P592" s="176">
        <f t="shared" si="39"/>
        <v>-1954948.3171695694</v>
      </c>
      <c r="Q592" s="176">
        <f t="shared" si="39"/>
        <v>-1953.0116903714425</v>
      </c>
      <c r="R592" s="176">
        <f t="shared" si="39"/>
        <v>-65886</v>
      </c>
      <c r="S592" s="176">
        <f t="shared" si="39"/>
        <v>-71614.819325589589</v>
      </c>
      <c r="T592" s="176">
        <f t="shared" si="39"/>
        <v>-303819.08353391918</v>
      </c>
      <c r="U592" s="176">
        <f t="shared" si="40"/>
        <v>-202845.80292639552</v>
      </c>
      <c r="V592" s="176">
        <f t="shared" si="40"/>
        <v>0</v>
      </c>
      <c r="W592" s="176">
        <f t="shared" si="40"/>
        <v>-765765</v>
      </c>
      <c r="X592" s="176">
        <f t="shared" si="40"/>
        <v>-124781</v>
      </c>
      <c r="Y592" s="176">
        <f t="shared" si="40"/>
        <v>-2807</v>
      </c>
      <c r="Z592" s="176">
        <f t="shared" si="40"/>
        <v>-465</v>
      </c>
      <c r="AA592" s="176">
        <f t="shared" si="40"/>
        <v>-17271.660092459941</v>
      </c>
      <c r="AB592" s="176">
        <f t="shared" si="40"/>
        <v>-14373</v>
      </c>
      <c r="AC592" s="176">
        <f t="shared" si="40"/>
        <v>-25</v>
      </c>
      <c r="AD592" s="176">
        <f t="shared" si="40"/>
        <v>0</v>
      </c>
      <c r="AE592" s="176">
        <f t="shared" si="40"/>
        <v>-55972.256504396457</v>
      </c>
      <c r="AF592" s="287">
        <f t="shared" si="40"/>
        <v>-675494</v>
      </c>
    </row>
    <row r="593" spans="1:32" s="59" customFormat="1">
      <c r="A593" s="97" t="s">
        <v>728</v>
      </c>
      <c r="B593" s="76" t="s">
        <v>734</v>
      </c>
      <c r="C593" s="76" t="s">
        <v>560</v>
      </c>
      <c r="D593" s="77" t="s">
        <v>387</v>
      </c>
      <c r="E593" s="288">
        <f t="shared" si="39"/>
        <v>0</v>
      </c>
      <c r="F593" s="289">
        <f t="shared" si="39"/>
        <v>0</v>
      </c>
      <c r="G593" s="289">
        <f t="shared" si="39"/>
        <v>0</v>
      </c>
      <c r="H593" s="289">
        <f t="shared" si="39"/>
        <v>0</v>
      </c>
      <c r="I593" s="289">
        <f t="shared" si="39"/>
        <v>0</v>
      </c>
      <c r="J593" s="289">
        <f t="shared" si="39"/>
        <v>0</v>
      </c>
      <c r="K593" s="289">
        <f t="shared" si="39"/>
        <v>0</v>
      </c>
      <c r="L593" s="289">
        <f t="shared" si="39"/>
        <v>0</v>
      </c>
      <c r="M593" s="289">
        <f t="shared" si="39"/>
        <v>0</v>
      </c>
      <c r="N593" s="289">
        <f t="shared" si="39"/>
        <v>0</v>
      </c>
      <c r="O593" s="289">
        <f t="shared" si="39"/>
        <v>0</v>
      </c>
      <c r="P593" s="289">
        <f t="shared" si="39"/>
        <v>0</v>
      </c>
      <c r="Q593" s="289">
        <f t="shared" si="39"/>
        <v>0</v>
      </c>
      <c r="R593" s="289">
        <f t="shared" si="39"/>
        <v>0</v>
      </c>
      <c r="S593" s="289">
        <f t="shared" si="39"/>
        <v>0</v>
      </c>
      <c r="T593" s="289">
        <f t="shared" si="39"/>
        <v>0</v>
      </c>
      <c r="U593" s="289">
        <f t="shared" si="40"/>
        <v>0</v>
      </c>
      <c r="V593" s="289">
        <f t="shared" si="40"/>
        <v>0</v>
      </c>
      <c r="W593" s="289">
        <f t="shared" si="40"/>
        <v>0</v>
      </c>
      <c r="X593" s="289">
        <f t="shared" si="40"/>
        <v>0</v>
      </c>
      <c r="Y593" s="289">
        <f t="shared" si="40"/>
        <v>0</v>
      </c>
      <c r="Z593" s="289">
        <f t="shared" si="40"/>
        <v>0</v>
      </c>
      <c r="AA593" s="289">
        <f t="shared" si="40"/>
        <v>0</v>
      </c>
      <c r="AB593" s="289">
        <f t="shared" si="40"/>
        <v>0</v>
      </c>
      <c r="AC593" s="289">
        <f t="shared" si="40"/>
        <v>0</v>
      </c>
      <c r="AD593" s="289">
        <f t="shared" si="40"/>
        <v>-5683</v>
      </c>
      <c r="AE593" s="289">
        <f t="shared" si="40"/>
        <v>0</v>
      </c>
      <c r="AF593" s="290">
        <f t="shared" si="40"/>
        <v>0</v>
      </c>
    </row>
    <row r="595" spans="1:32" s="60" customFormat="1" ht="14.4">
      <c r="A595" s="86"/>
      <c r="B595" s="86"/>
      <c r="C595" s="63"/>
      <c r="D595" s="63"/>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86"/>
    </row>
    <row r="596" spans="1:32" s="59" customFormat="1">
      <c r="A596" s="90" t="s">
        <v>717</v>
      </c>
      <c r="B596" s="90" t="s">
        <v>727</v>
      </c>
      <c r="C596" s="68" t="s">
        <v>718</v>
      </c>
      <c r="D596" s="68" t="s">
        <v>375</v>
      </c>
      <c r="E596" s="69" t="s">
        <v>172</v>
      </c>
      <c r="F596" s="69" t="s">
        <v>175</v>
      </c>
      <c r="G596" s="69" t="s">
        <v>178</v>
      </c>
      <c r="H596" s="69" t="s">
        <v>181</v>
      </c>
      <c r="I596" s="69" t="s">
        <v>184</v>
      </c>
      <c r="J596" s="69" t="s">
        <v>187</v>
      </c>
      <c r="K596" s="69" t="s">
        <v>190</v>
      </c>
      <c r="L596" s="69" t="s">
        <v>193</v>
      </c>
      <c r="M596" s="69" t="s">
        <v>196</v>
      </c>
      <c r="N596" s="69" t="s">
        <v>198</v>
      </c>
      <c r="O596" s="69" t="s">
        <v>200</v>
      </c>
      <c r="P596" s="69" t="s">
        <v>202</v>
      </c>
      <c r="Q596" s="69" t="s">
        <v>205</v>
      </c>
      <c r="R596" s="69" t="s">
        <v>208</v>
      </c>
      <c r="S596" s="69" t="s">
        <v>211</v>
      </c>
      <c r="T596" s="69" t="s">
        <v>214</v>
      </c>
      <c r="U596" s="69" t="s">
        <v>217</v>
      </c>
      <c r="V596" s="69" t="s">
        <v>220</v>
      </c>
      <c r="W596" s="69" t="s">
        <v>223</v>
      </c>
      <c r="X596" s="69" t="s">
        <v>225</v>
      </c>
      <c r="Y596" s="69" t="s">
        <v>227</v>
      </c>
      <c r="Z596" s="69" t="s">
        <v>230</v>
      </c>
      <c r="AA596" s="69" t="s">
        <v>233</v>
      </c>
      <c r="AB596" s="69" t="s">
        <v>236</v>
      </c>
      <c r="AC596" s="69" t="s">
        <v>238</v>
      </c>
      <c r="AD596" s="69" t="s">
        <v>240</v>
      </c>
      <c r="AE596" s="69" t="s">
        <v>243</v>
      </c>
      <c r="AF596" s="91" t="s">
        <v>245</v>
      </c>
    </row>
    <row r="597" spans="1:32" s="59" customFormat="1">
      <c r="A597" s="95" t="s">
        <v>728</v>
      </c>
      <c r="B597" s="95" t="s">
        <v>736</v>
      </c>
      <c r="C597" s="71" t="s">
        <v>515</v>
      </c>
      <c r="D597" s="74" t="s">
        <v>387</v>
      </c>
      <c r="E597" s="176">
        <f t="shared" ref="E597:E616" si="41">SUMIFS(E$7:E$26,$C$7:$C$26,$C597)*SUM(SUMIFS(E$32:E$350,$C$32:$C$350,"Own use by LNG/regasification plants",$B$32:$B$350,$C597))</f>
        <v>0</v>
      </c>
      <c r="F597" s="176">
        <f t="shared" ref="F597:AF606" si="42">SUMIFS(F$7:F$26,$C$7:$C$26,$C597)*SUM(SUMIFS(F$32:F$350,$C$32:$C$350,"Own use by LNG/regasification plants",$B$32:$B$350,$C597))</f>
        <v>0</v>
      </c>
      <c r="G597" s="176">
        <f t="shared" si="42"/>
        <v>0</v>
      </c>
      <c r="H597" s="176">
        <f t="shared" si="42"/>
        <v>0</v>
      </c>
      <c r="I597" s="176">
        <f t="shared" si="42"/>
        <v>0</v>
      </c>
      <c r="J597" s="176">
        <f t="shared" si="42"/>
        <v>0</v>
      </c>
      <c r="K597" s="176">
        <f t="shared" si="42"/>
        <v>0</v>
      </c>
      <c r="L597" s="176">
        <f t="shared" si="42"/>
        <v>0</v>
      </c>
      <c r="M597" s="176">
        <f t="shared" si="42"/>
        <v>0</v>
      </c>
      <c r="N597" s="176">
        <f t="shared" si="42"/>
        <v>0</v>
      </c>
      <c r="O597" s="176">
        <f t="shared" si="42"/>
        <v>0</v>
      </c>
      <c r="P597" s="176">
        <f t="shared" si="42"/>
        <v>0</v>
      </c>
      <c r="Q597" s="176">
        <f t="shared" si="42"/>
        <v>0</v>
      </c>
      <c r="R597" s="176">
        <f t="shared" si="42"/>
        <v>0</v>
      </c>
      <c r="S597" s="176">
        <f t="shared" si="42"/>
        <v>0</v>
      </c>
      <c r="T597" s="176">
        <f t="shared" si="42"/>
        <v>0</v>
      </c>
      <c r="U597" s="176">
        <f t="shared" si="42"/>
        <v>0</v>
      </c>
      <c r="V597" s="176">
        <f t="shared" si="42"/>
        <v>0</v>
      </c>
      <c r="W597" s="176">
        <f t="shared" si="42"/>
        <v>0</v>
      </c>
      <c r="X597" s="176">
        <f t="shared" si="42"/>
        <v>0</v>
      </c>
      <c r="Y597" s="176">
        <f t="shared" si="42"/>
        <v>0</v>
      </c>
      <c r="Z597" s="176">
        <f t="shared" si="42"/>
        <v>0</v>
      </c>
      <c r="AA597" s="176">
        <f t="shared" si="42"/>
        <v>0</v>
      </c>
      <c r="AB597" s="176">
        <f t="shared" si="42"/>
        <v>0</v>
      </c>
      <c r="AC597" s="176">
        <f t="shared" si="42"/>
        <v>0</v>
      </c>
      <c r="AD597" s="176">
        <f t="shared" si="42"/>
        <v>0</v>
      </c>
      <c r="AE597" s="176">
        <f t="shared" si="42"/>
        <v>0</v>
      </c>
      <c r="AF597" s="286">
        <f t="shared" si="42"/>
        <v>0</v>
      </c>
    </row>
    <row r="598" spans="1:32" s="59" customFormat="1">
      <c r="A598" s="95" t="s">
        <v>728</v>
      </c>
      <c r="B598" s="95" t="s">
        <v>736</v>
      </c>
      <c r="C598" s="71" t="s">
        <v>521</v>
      </c>
      <c r="D598" s="74" t="s">
        <v>387</v>
      </c>
      <c r="E598" s="176">
        <f t="shared" si="41"/>
        <v>0</v>
      </c>
      <c r="F598" s="176">
        <f t="shared" ref="F598:T598" si="43">SUMIFS(F$7:F$26,$C$7:$C$26,$C598)*SUM(SUMIFS(F$32:F$350,$C$32:$C$350,"Own use by LNG/regasification plants",$B$32:$B$350,$C598))</f>
        <v>0</v>
      </c>
      <c r="G598" s="176">
        <f t="shared" si="43"/>
        <v>0</v>
      </c>
      <c r="H598" s="176">
        <f t="shared" si="43"/>
        <v>0</v>
      </c>
      <c r="I598" s="176">
        <f t="shared" si="43"/>
        <v>0</v>
      </c>
      <c r="J598" s="176">
        <f t="shared" si="43"/>
        <v>0</v>
      </c>
      <c r="K598" s="176">
        <f t="shared" si="43"/>
        <v>0</v>
      </c>
      <c r="L598" s="176">
        <f t="shared" si="43"/>
        <v>0</v>
      </c>
      <c r="M598" s="176">
        <f t="shared" si="43"/>
        <v>0</v>
      </c>
      <c r="N598" s="176">
        <f t="shared" si="43"/>
        <v>0</v>
      </c>
      <c r="O598" s="176">
        <f t="shared" si="43"/>
        <v>0</v>
      </c>
      <c r="P598" s="176">
        <f t="shared" si="43"/>
        <v>0</v>
      </c>
      <c r="Q598" s="176">
        <f t="shared" si="43"/>
        <v>0</v>
      </c>
      <c r="R598" s="176">
        <f t="shared" si="43"/>
        <v>0</v>
      </c>
      <c r="S598" s="176">
        <f t="shared" si="43"/>
        <v>0</v>
      </c>
      <c r="T598" s="176">
        <f t="shared" si="43"/>
        <v>0</v>
      </c>
      <c r="U598" s="176">
        <f t="shared" si="42"/>
        <v>0</v>
      </c>
      <c r="V598" s="176">
        <f t="shared" si="42"/>
        <v>0</v>
      </c>
      <c r="W598" s="176">
        <f t="shared" si="42"/>
        <v>0</v>
      </c>
      <c r="X598" s="176">
        <f t="shared" si="42"/>
        <v>0</v>
      </c>
      <c r="Y598" s="176">
        <f t="shared" si="42"/>
        <v>0</v>
      </c>
      <c r="Z598" s="176">
        <f t="shared" si="42"/>
        <v>0</v>
      </c>
      <c r="AA598" s="176">
        <f t="shared" si="42"/>
        <v>0</v>
      </c>
      <c r="AB598" s="176">
        <f t="shared" si="42"/>
        <v>0</v>
      </c>
      <c r="AC598" s="176">
        <f t="shared" si="42"/>
        <v>0</v>
      </c>
      <c r="AD598" s="176">
        <f t="shared" si="42"/>
        <v>0</v>
      </c>
      <c r="AE598" s="176">
        <f t="shared" si="42"/>
        <v>0</v>
      </c>
      <c r="AF598" s="287">
        <f t="shared" si="42"/>
        <v>0</v>
      </c>
    </row>
    <row r="599" spans="1:32" s="59" customFormat="1">
      <c r="A599" s="95" t="s">
        <v>728</v>
      </c>
      <c r="B599" s="95" t="s">
        <v>736</v>
      </c>
      <c r="C599" s="71" t="s">
        <v>523</v>
      </c>
      <c r="D599" s="74" t="s">
        <v>387</v>
      </c>
      <c r="E599" s="176">
        <f t="shared" si="41"/>
        <v>0</v>
      </c>
      <c r="F599" s="176">
        <f t="shared" si="42"/>
        <v>0</v>
      </c>
      <c r="G599" s="176">
        <f t="shared" si="42"/>
        <v>0</v>
      </c>
      <c r="H599" s="176">
        <f t="shared" si="42"/>
        <v>0</v>
      </c>
      <c r="I599" s="176">
        <f t="shared" si="42"/>
        <v>0</v>
      </c>
      <c r="J599" s="176">
        <f t="shared" si="42"/>
        <v>0</v>
      </c>
      <c r="K599" s="176">
        <f t="shared" si="42"/>
        <v>0</v>
      </c>
      <c r="L599" s="176">
        <f t="shared" si="42"/>
        <v>0</v>
      </c>
      <c r="M599" s="176">
        <f t="shared" si="42"/>
        <v>0</v>
      </c>
      <c r="N599" s="176">
        <f t="shared" si="42"/>
        <v>0</v>
      </c>
      <c r="O599" s="176">
        <f t="shared" si="42"/>
        <v>0</v>
      </c>
      <c r="P599" s="176">
        <f t="shared" si="42"/>
        <v>0</v>
      </c>
      <c r="Q599" s="176">
        <f t="shared" si="42"/>
        <v>0</v>
      </c>
      <c r="R599" s="176">
        <f t="shared" si="42"/>
        <v>0</v>
      </c>
      <c r="S599" s="176">
        <f t="shared" si="42"/>
        <v>0</v>
      </c>
      <c r="T599" s="176">
        <f t="shared" si="42"/>
        <v>0</v>
      </c>
      <c r="U599" s="176">
        <f t="shared" si="42"/>
        <v>0</v>
      </c>
      <c r="V599" s="176">
        <f t="shared" si="42"/>
        <v>0</v>
      </c>
      <c r="W599" s="176">
        <f t="shared" si="42"/>
        <v>0</v>
      </c>
      <c r="X599" s="176">
        <f t="shared" si="42"/>
        <v>0</v>
      </c>
      <c r="Y599" s="176">
        <f t="shared" si="42"/>
        <v>0</v>
      </c>
      <c r="Z599" s="176">
        <f t="shared" si="42"/>
        <v>0</v>
      </c>
      <c r="AA599" s="176">
        <f t="shared" si="42"/>
        <v>0</v>
      </c>
      <c r="AB599" s="176">
        <f t="shared" si="42"/>
        <v>0</v>
      </c>
      <c r="AC599" s="176">
        <f t="shared" si="42"/>
        <v>0</v>
      </c>
      <c r="AD599" s="176">
        <f t="shared" si="42"/>
        <v>0</v>
      </c>
      <c r="AE599" s="176">
        <f t="shared" si="42"/>
        <v>0</v>
      </c>
      <c r="AF599" s="287">
        <f t="shared" si="42"/>
        <v>0</v>
      </c>
    </row>
    <row r="600" spans="1:32" s="59" customFormat="1">
      <c r="A600" s="95" t="s">
        <v>728</v>
      </c>
      <c r="B600" s="95" t="s">
        <v>736</v>
      </c>
      <c r="C600" s="71" t="s">
        <v>525</v>
      </c>
      <c r="D600" s="74" t="s">
        <v>387</v>
      </c>
      <c r="E600" s="176">
        <f t="shared" si="41"/>
        <v>0</v>
      </c>
      <c r="F600" s="176">
        <f t="shared" si="42"/>
        <v>0</v>
      </c>
      <c r="G600" s="176">
        <f t="shared" si="42"/>
        <v>0</v>
      </c>
      <c r="H600" s="176">
        <f t="shared" si="42"/>
        <v>0</v>
      </c>
      <c r="I600" s="176">
        <f t="shared" si="42"/>
        <v>0</v>
      </c>
      <c r="J600" s="176">
        <f t="shared" si="42"/>
        <v>0</v>
      </c>
      <c r="K600" s="176">
        <f t="shared" si="42"/>
        <v>0</v>
      </c>
      <c r="L600" s="176">
        <f t="shared" si="42"/>
        <v>0</v>
      </c>
      <c r="M600" s="176">
        <f t="shared" si="42"/>
        <v>0</v>
      </c>
      <c r="N600" s="176">
        <f t="shared" si="42"/>
        <v>0</v>
      </c>
      <c r="O600" s="176">
        <f t="shared" si="42"/>
        <v>0</v>
      </c>
      <c r="P600" s="176">
        <f t="shared" si="42"/>
        <v>0</v>
      </c>
      <c r="Q600" s="176">
        <f t="shared" si="42"/>
        <v>0</v>
      </c>
      <c r="R600" s="176">
        <f t="shared" si="42"/>
        <v>0</v>
      </c>
      <c r="S600" s="176">
        <f t="shared" si="42"/>
        <v>0</v>
      </c>
      <c r="T600" s="176">
        <f t="shared" si="42"/>
        <v>0</v>
      </c>
      <c r="U600" s="176">
        <f t="shared" si="42"/>
        <v>0</v>
      </c>
      <c r="V600" s="176">
        <f t="shared" si="42"/>
        <v>0</v>
      </c>
      <c r="W600" s="176">
        <f t="shared" si="42"/>
        <v>0</v>
      </c>
      <c r="X600" s="176">
        <f t="shared" si="42"/>
        <v>0</v>
      </c>
      <c r="Y600" s="176">
        <f t="shared" si="42"/>
        <v>0</v>
      </c>
      <c r="Z600" s="176">
        <f t="shared" si="42"/>
        <v>0</v>
      </c>
      <c r="AA600" s="176">
        <f t="shared" si="42"/>
        <v>0</v>
      </c>
      <c r="AB600" s="176">
        <f t="shared" si="42"/>
        <v>0</v>
      </c>
      <c r="AC600" s="176">
        <f t="shared" si="42"/>
        <v>0</v>
      </c>
      <c r="AD600" s="176">
        <f t="shared" si="42"/>
        <v>0</v>
      </c>
      <c r="AE600" s="176">
        <f t="shared" si="42"/>
        <v>0</v>
      </c>
      <c r="AF600" s="287">
        <f t="shared" si="42"/>
        <v>0</v>
      </c>
    </row>
    <row r="601" spans="1:32" s="59" customFormat="1">
      <c r="A601" s="95" t="s">
        <v>728</v>
      </c>
      <c r="B601" s="95" t="s">
        <v>736</v>
      </c>
      <c r="C601" s="71" t="s">
        <v>527</v>
      </c>
      <c r="D601" s="74" t="s">
        <v>387</v>
      </c>
      <c r="E601" s="176">
        <f t="shared" si="41"/>
        <v>0</v>
      </c>
      <c r="F601" s="176">
        <f t="shared" si="42"/>
        <v>0</v>
      </c>
      <c r="G601" s="176">
        <f t="shared" si="42"/>
        <v>0</v>
      </c>
      <c r="H601" s="176">
        <f t="shared" si="42"/>
        <v>0</v>
      </c>
      <c r="I601" s="176">
        <f t="shared" si="42"/>
        <v>0</v>
      </c>
      <c r="J601" s="176">
        <f t="shared" si="42"/>
        <v>0</v>
      </c>
      <c r="K601" s="176">
        <f t="shared" si="42"/>
        <v>0</v>
      </c>
      <c r="L601" s="176">
        <f t="shared" si="42"/>
        <v>0</v>
      </c>
      <c r="M601" s="176">
        <f t="shared" si="42"/>
        <v>0</v>
      </c>
      <c r="N601" s="176">
        <f t="shared" si="42"/>
        <v>0</v>
      </c>
      <c r="O601" s="176">
        <f t="shared" si="42"/>
        <v>0</v>
      </c>
      <c r="P601" s="176">
        <f t="shared" si="42"/>
        <v>0</v>
      </c>
      <c r="Q601" s="176">
        <f t="shared" si="42"/>
        <v>0</v>
      </c>
      <c r="R601" s="176">
        <f t="shared" si="42"/>
        <v>0</v>
      </c>
      <c r="S601" s="176">
        <f t="shared" si="42"/>
        <v>0</v>
      </c>
      <c r="T601" s="176">
        <f t="shared" si="42"/>
        <v>0</v>
      </c>
      <c r="U601" s="176">
        <f t="shared" si="42"/>
        <v>0</v>
      </c>
      <c r="V601" s="176">
        <f t="shared" si="42"/>
        <v>0</v>
      </c>
      <c r="W601" s="176">
        <f t="shared" si="42"/>
        <v>0</v>
      </c>
      <c r="X601" s="176">
        <f t="shared" si="42"/>
        <v>0</v>
      </c>
      <c r="Y601" s="176">
        <f t="shared" si="42"/>
        <v>0</v>
      </c>
      <c r="Z601" s="176">
        <f t="shared" si="42"/>
        <v>0</v>
      </c>
      <c r="AA601" s="176">
        <f t="shared" si="42"/>
        <v>0</v>
      </c>
      <c r="AB601" s="176">
        <f t="shared" si="42"/>
        <v>0</v>
      </c>
      <c r="AC601" s="176">
        <f t="shared" si="42"/>
        <v>0</v>
      </c>
      <c r="AD601" s="176">
        <f t="shared" si="42"/>
        <v>0</v>
      </c>
      <c r="AE601" s="176">
        <f t="shared" si="42"/>
        <v>0</v>
      </c>
      <c r="AF601" s="287">
        <f t="shared" si="42"/>
        <v>0</v>
      </c>
    </row>
    <row r="602" spans="1:32" s="59" customFormat="1">
      <c r="A602" s="95" t="s">
        <v>728</v>
      </c>
      <c r="B602" s="95" t="s">
        <v>736</v>
      </c>
      <c r="C602" s="71" t="s">
        <v>529</v>
      </c>
      <c r="D602" s="74" t="s">
        <v>387</v>
      </c>
      <c r="E602" s="176">
        <f t="shared" si="41"/>
        <v>0</v>
      </c>
      <c r="F602" s="176">
        <f t="shared" si="42"/>
        <v>0</v>
      </c>
      <c r="G602" s="176">
        <f t="shared" si="42"/>
        <v>0</v>
      </c>
      <c r="H602" s="176">
        <f t="shared" si="42"/>
        <v>0</v>
      </c>
      <c r="I602" s="176">
        <f t="shared" si="42"/>
        <v>0</v>
      </c>
      <c r="J602" s="176">
        <f t="shared" si="42"/>
        <v>0</v>
      </c>
      <c r="K602" s="176">
        <f t="shared" si="42"/>
        <v>0</v>
      </c>
      <c r="L602" s="176">
        <f t="shared" si="42"/>
        <v>0</v>
      </c>
      <c r="M602" s="176">
        <f t="shared" si="42"/>
        <v>0</v>
      </c>
      <c r="N602" s="176">
        <f t="shared" si="42"/>
        <v>0</v>
      </c>
      <c r="O602" s="176">
        <f t="shared" si="42"/>
        <v>0</v>
      </c>
      <c r="P602" s="176">
        <f t="shared" si="42"/>
        <v>0</v>
      </c>
      <c r="Q602" s="176">
        <f t="shared" si="42"/>
        <v>0</v>
      </c>
      <c r="R602" s="176">
        <f t="shared" si="42"/>
        <v>0</v>
      </c>
      <c r="S602" s="176">
        <f t="shared" si="42"/>
        <v>0</v>
      </c>
      <c r="T602" s="176">
        <f t="shared" si="42"/>
        <v>0</v>
      </c>
      <c r="U602" s="176">
        <f t="shared" si="42"/>
        <v>0</v>
      </c>
      <c r="V602" s="176">
        <f t="shared" si="42"/>
        <v>0</v>
      </c>
      <c r="W602" s="176">
        <f t="shared" si="42"/>
        <v>0</v>
      </c>
      <c r="X602" s="176">
        <f t="shared" si="42"/>
        <v>0</v>
      </c>
      <c r="Y602" s="176">
        <f t="shared" si="42"/>
        <v>0</v>
      </c>
      <c r="Z602" s="176">
        <f t="shared" si="42"/>
        <v>0</v>
      </c>
      <c r="AA602" s="176">
        <f t="shared" si="42"/>
        <v>0</v>
      </c>
      <c r="AB602" s="176">
        <f t="shared" si="42"/>
        <v>0</v>
      </c>
      <c r="AC602" s="176">
        <f t="shared" si="42"/>
        <v>0</v>
      </c>
      <c r="AD602" s="176">
        <f t="shared" si="42"/>
        <v>0</v>
      </c>
      <c r="AE602" s="176">
        <f t="shared" si="42"/>
        <v>0</v>
      </c>
      <c r="AF602" s="287">
        <f t="shared" si="42"/>
        <v>0</v>
      </c>
    </row>
    <row r="603" spans="1:32" s="59" customFormat="1">
      <c r="A603" s="95" t="s">
        <v>728</v>
      </c>
      <c r="B603" s="95" t="s">
        <v>736</v>
      </c>
      <c r="C603" s="71" t="s">
        <v>531</v>
      </c>
      <c r="D603" s="74" t="s">
        <v>387</v>
      </c>
      <c r="E603" s="176">
        <f t="shared" si="41"/>
        <v>0</v>
      </c>
      <c r="F603" s="176">
        <f t="shared" si="42"/>
        <v>0</v>
      </c>
      <c r="G603" s="176">
        <f t="shared" si="42"/>
        <v>0</v>
      </c>
      <c r="H603" s="176">
        <f t="shared" si="42"/>
        <v>0</v>
      </c>
      <c r="I603" s="176">
        <f t="shared" si="42"/>
        <v>0</v>
      </c>
      <c r="J603" s="176">
        <f t="shared" si="42"/>
        <v>0</v>
      </c>
      <c r="K603" s="176">
        <f t="shared" si="42"/>
        <v>0</v>
      </c>
      <c r="L603" s="176">
        <f t="shared" si="42"/>
        <v>0</v>
      </c>
      <c r="M603" s="176">
        <f t="shared" si="42"/>
        <v>0</v>
      </c>
      <c r="N603" s="176">
        <f t="shared" si="42"/>
        <v>0</v>
      </c>
      <c r="O603" s="176">
        <f t="shared" si="42"/>
        <v>0</v>
      </c>
      <c r="P603" s="176">
        <f t="shared" si="42"/>
        <v>0</v>
      </c>
      <c r="Q603" s="176">
        <f t="shared" si="42"/>
        <v>0</v>
      </c>
      <c r="R603" s="176">
        <f t="shared" si="42"/>
        <v>0</v>
      </c>
      <c r="S603" s="176">
        <f t="shared" si="42"/>
        <v>0</v>
      </c>
      <c r="T603" s="176">
        <f t="shared" si="42"/>
        <v>0</v>
      </c>
      <c r="U603" s="176">
        <f t="shared" si="42"/>
        <v>0</v>
      </c>
      <c r="V603" s="176">
        <f t="shared" si="42"/>
        <v>0</v>
      </c>
      <c r="W603" s="176">
        <f t="shared" si="42"/>
        <v>0</v>
      </c>
      <c r="X603" s="176">
        <f t="shared" si="42"/>
        <v>0</v>
      </c>
      <c r="Y603" s="176">
        <f t="shared" si="42"/>
        <v>0</v>
      </c>
      <c r="Z603" s="176">
        <f t="shared" si="42"/>
        <v>0</v>
      </c>
      <c r="AA603" s="176">
        <f t="shared" si="42"/>
        <v>0</v>
      </c>
      <c r="AB603" s="176">
        <f t="shared" si="42"/>
        <v>0</v>
      </c>
      <c r="AC603" s="176">
        <f t="shared" si="42"/>
        <v>0</v>
      </c>
      <c r="AD603" s="176">
        <f t="shared" si="42"/>
        <v>0</v>
      </c>
      <c r="AE603" s="176">
        <f t="shared" si="42"/>
        <v>0</v>
      </c>
      <c r="AF603" s="287">
        <f t="shared" si="42"/>
        <v>0</v>
      </c>
    </row>
    <row r="604" spans="1:32" s="59" customFormat="1">
      <c r="A604" s="95" t="s">
        <v>728</v>
      </c>
      <c r="B604" s="95" t="s">
        <v>736</v>
      </c>
      <c r="C604" s="71" t="s">
        <v>533</v>
      </c>
      <c r="D604" s="74" t="s">
        <v>387</v>
      </c>
      <c r="E604" s="176">
        <f t="shared" si="41"/>
        <v>0</v>
      </c>
      <c r="F604" s="176">
        <f t="shared" si="42"/>
        <v>0</v>
      </c>
      <c r="G604" s="176">
        <f t="shared" si="42"/>
        <v>0</v>
      </c>
      <c r="H604" s="176">
        <f t="shared" si="42"/>
        <v>0</v>
      </c>
      <c r="I604" s="176">
        <f t="shared" si="42"/>
        <v>0</v>
      </c>
      <c r="J604" s="176">
        <f t="shared" si="42"/>
        <v>0</v>
      </c>
      <c r="K604" s="176">
        <f t="shared" si="42"/>
        <v>0</v>
      </c>
      <c r="L604" s="176">
        <f t="shared" si="42"/>
        <v>0</v>
      </c>
      <c r="M604" s="176">
        <f t="shared" si="42"/>
        <v>0</v>
      </c>
      <c r="N604" s="176">
        <f t="shared" si="42"/>
        <v>0</v>
      </c>
      <c r="O604" s="176">
        <f t="shared" si="42"/>
        <v>0</v>
      </c>
      <c r="P604" s="176">
        <f t="shared" si="42"/>
        <v>0</v>
      </c>
      <c r="Q604" s="176">
        <f t="shared" si="42"/>
        <v>0</v>
      </c>
      <c r="R604" s="176">
        <f t="shared" si="42"/>
        <v>0</v>
      </c>
      <c r="S604" s="176">
        <f t="shared" si="42"/>
        <v>0</v>
      </c>
      <c r="T604" s="176">
        <f t="shared" si="42"/>
        <v>0</v>
      </c>
      <c r="U604" s="176">
        <f t="shared" si="42"/>
        <v>0</v>
      </c>
      <c r="V604" s="176">
        <f t="shared" si="42"/>
        <v>0</v>
      </c>
      <c r="W604" s="176">
        <f t="shared" si="42"/>
        <v>0</v>
      </c>
      <c r="X604" s="176">
        <f t="shared" si="42"/>
        <v>0</v>
      </c>
      <c r="Y604" s="176">
        <f t="shared" si="42"/>
        <v>0</v>
      </c>
      <c r="Z604" s="176">
        <f t="shared" si="42"/>
        <v>0</v>
      </c>
      <c r="AA604" s="176">
        <f t="shared" si="42"/>
        <v>0</v>
      </c>
      <c r="AB604" s="176">
        <f t="shared" si="42"/>
        <v>0</v>
      </c>
      <c r="AC604" s="176">
        <f t="shared" si="42"/>
        <v>0</v>
      </c>
      <c r="AD604" s="176">
        <f t="shared" si="42"/>
        <v>0</v>
      </c>
      <c r="AE604" s="176">
        <f t="shared" si="42"/>
        <v>0</v>
      </c>
      <c r="AF604" s="287">
        <f t="shared" si="42"/>
        <v>0</v>
      </c>
    </row>
    <row r="605" spans="1:32" s="59" customFormat="1">
      <c r="A605" s="95" t="s">
        <v>728</v>
      </c>
      <c r="B605" s="95" t="s">
        <v>736</v>
      </c>
      <c r="C605" s="71" t="s">
        <v>535</v>
      </c>
      <c r="D605" s="74" t="s">
        <v>387</v>
      </c>
      <c r="E605" s="176">
        <f t="shared" si="41"/>
        <v>0</v>
      </c>
      <c r="F605" s="176">
        <f t="shared" si="42"/>
        <v>0</v>
      </c>
      <c r="G605" s="176">
        <f t="shared" si="42"/>
        <v>0</v>
      </c>
      <c r="H605" s="176">
        <f t="shared" si="42"/>
        <v>0</v>
      </c>
      <c r="I605" s="176">
        <f t="shared" si="42"/>
        <v>0</v>
      </c>
      <c r="J605" s="176">
        <f t="shared" si="42"/>
        <v>0</v>
      </c>
      <c r="K605" s="176">
        <f t="shared" si="42"/>
        <v>0</v>
      </c>
      <c r="L605" s="176">
        <f t="shared" si="42"/>
        <v>0</v>
      </c>
      <c r="M605" s="176">
        <f t="shared" si="42"/>
        <v>0</v>
      </c>
      <c r="N605" s="176">
        <f t="shared" si="42"/>
        <v>0</v>
      </c>
      <c r="O605" s="176">
        <f t="shared" si="42"/>
        <v>0</v>
      </c>
      <c r="P605" s="176">
        <f t="shared" si="42"/>
        <v>0</v>
      </c>
      <c r="Q605" s="176">
        <f t="shared" si="42"/>
        <v>0</v>
      </c>
      <c r="R605" s="176">
        <f t="shared" si="42"/>
        <v>0</v>
      </c>
      <c r="S605" s="176">
        <f t="shared" si="42"/>
        <v>0</v>
      </c>
      <c r="T605" s="176">
        <f t="shared" si="42"/>
        <v>0</v>
      </c>
      <c r="U605" s="176">
        <f t="shared" si="42"/>
        <v>0</v>
      </c>
      <c r="V605" s="176">
        <f t="shared" si="42"/>
        <v>0</v>
      </c>
      <c r="W605" s="176">
        <f t="shared" si="42"/>
        <v>0</v>
      </c>
      <c r="X605" s="176">
        <f t="shared" si="42"/>
        <v>0</v>
      </c>
      <c r="Y605" s="176">
        <f t="shared" si="42"/>
        <v>0</v>
      </c>
      <c r="Z605" s="176">
        <f t="shared" si="42"/>
        <v>0</v>
      </c>
      <c r="AA605" s="176">
        <f t="shared" si="42"/>
        <v>0</v>
      </c>
      <c r="AB605" s="176">
        <f t="shared" si="42"/>
        <v>0</v>
      </c>
      <c r="AC605" s="176">
        <f t="shared" si="42"/>
        <v>0</v>
      </c>
      <c r="AD605" s="176">
        <f t="shared" si="42"/>
        <v>0</v>
      </c>
      <c r="AE605" s="176">
        <f t="shared" si="42"/>
        <v>0</v>
      </c>
      <c r="AF605" s="287">
        <f t="shared" si="42"/>
        <v>0</v>
      </c>
    </row>
    <row r="606" spans="1:32" s="59" customFormat="1">
      <c r="A606" s="95" t="s">
        <v>728</v>
      </c>
      <c r="B606" s="95" t="s">
        <v>736</v>
      </c>
      <c r="C606" s="71" t="s">
        <v>537</v>
      </c>
      <c r="D606" s="74" t="s">
        <v>387</v>
      </c>
      <c r="E606" s="176">
        <f t="shared" si="41"/>
        <v>0</v>
      </c>
      <c r="F606" s="176">
        <f t="shared" si="42"/>
        <v>-672.92051004800487</v>
      </c>
      <c r="G606" s="176">
        <f t="shared" si="42"/>
        <v>0</v>
      </c>
      <c r="H606" s="176">
        <f t="shared" si="42"/>
        <v>0</v>
      </c>
      <c r="I606" s="176">
        <f t="shared" si="42"/>
        <v>-23347.056060048075</v>
      </c>
      <c r="J606" s="176">
        <f t="shared" si="42"/>
        <v>0</v>
      </c>
      <c r="K606" s="176">
        <f t="shared" si="42"/>
        <v>-1103.5502068115813</v>
      </c>
      <c r="L606" s="176">
        <f t="shared" si="42"/>
        <v>0</v>
      </c>
      <c r="M606" s="176">
        <f t="shared" si="42"/>
        <v>0</v>
      </c>
      <c r="N606" s="176">
        <f t="shared" si="42"/>
        <v>0</v>
      </c>
      <c r="O606" s="176">
        <f t="shared" si="42"/>
        <v>-572.41284423335844</v>
      </c>
      <c r="P606" s="176">
        <f t="shared" si="42"/>
        <v>0</v>
      </c>
      <c r="Q606" s="176">
        <f t="shared" si="42"/>
        <v>0</v>
      </c>
      <c r="R606" s="176">
        <f t="shared" si="42"/>
        <v>0</v>
      </c>
      <c r="S606" s="176">
        <f t="shared" si="42"/>
        <v>-143.59945624933923</v>
      </c>
      <c r="T606" s="176">
        <f t="shared" si="42"/>
        <v>0</v>
      </c>
      <c r="U606" s="176">
        <f t="shared" si="42"/>
        <v>-218.05315655138048</v>
      </c>
      <c r="V606" s="176">
        <f t="shared" si="42"/>
        <v>0</v>
      </c>
      <c r="W606" s="176">
        <f t="shared" si="42"/>
        <v>0</v>
      </c>
      <c r="X606" s="176">
        <f t="shared" si="42"/>
        <v>-2152.3840794945054</v>
      </c>
      <c r="Y606" s="176">
        <f t="shared" si="42"/>
        <v>0</v>
      </c>
      <c r="Z606" s="176">
        <f t="shared" si="42"/>
        <v>0</v>
      </c>
      <c r="AA606" s="176">
        <f t="shared" si="42"/>
        <v>0</v>
      </c>
      <c r="AB606" s="176">
        <f t="shared" si="42"/>
        <v>0</v>
      </c>
      <c r="AC606" s="176">
        <f t="shared" si="42"/>
        <v>-871</v>
      </c>
      <c r="AD606" s="176">
        <f t="shared" si="42"/>
        <v>0</v>
      </c>
      <c r="AE606" s="176">
        <f t="shared" si="42"/>
        <v>0</v>
      </c>
      <c r="AF606" s="287">
        <f t="shared" si="42"/>
        <v>0</v>
      </c>
    </row>
    <row r="607" spans="1:32" s="59" customFormat="1">
      <c r="A607" s="95" t="s">
        <v>728</v>
      </c>
      <c r="B607" s="95" t="s">
        <v>736</v>
      </c>
      <c r="C607" s="71" t="s">
        <v>541</v>
      </c>
      <c r="D607" s="74" t="s">
        <v>387</v>
      </c>
      <c r="E607" s="176">
        <f t="shared" si="41"/>
        <v>0</v>
      </c>
      <c r="F607" s="176">
        <f t="shared" ref="F607:AF616" si="44">SUMIFS(F$7:F$26,$C$7:$C$26,$C607)*SUM(SUMIFS(F$32:F$350,$C$32:$C$350,"Own use by LNG/regasification plants",$B$32:$B$350,$C607))</f>
        <v>-115804.52912876372</v>
      </c>
      <c r="G607" s="176">
        <f t="shared" si="44"/>
        <v>-164.98717764730108</v>
      </c>
      <c r="H607" s="176">
        <f t="shared" si="44"/>
        <v>-16356.809719036894</v>
      </c>
      <c r="I607" s="176">
        <f t="shared" si="44"/>
        <v>-294005.33900800598</v>
      </c>
      <c r="J607" s="176">
        <f t="shared" si="44"/>
        <v>0</v>
      </c>
      <c r="K607" s="176">
        <f t="shared" si="44"/>
        <v>-234797.36627887349</v>
      </c>
      <c r="L607" s="176">
        <f t="shared" si="44"/>
        <v>0</v>
      </c>
      <c r="M607" s="176">
        <f t="shared" si="44"/>
        <v>0</v>
      </c>
      <c r="N607" s="176">
        <f t="shared" si="44"/>
        <v>0</v>
      </c>
      <c r="O607" s="176">
        <f t="shared" si="44"/>
        <v>-291.81266531605291</v>
      </c>
      <c r="P607" s="176">
        <f t="shared" si="44"/>
        <v>0</v>
      </c>
      <c r="Q607" s="176">
        <f t="shared" si="44"/>
        <v>0</v>
      </c>
      <c r="R607" s="176">
        <f t="shared" si="44"/>
        <v>-9302.244657549656</v>
      </c>
      <c r="S607" s="176">
        <f t="shared" si="44"/>
        <v>-2137.6205281376278</v>
      </c>
      <c r="T607" s="176">
        <f t="shared" si="44"/>
        <v>-4161.1833403161345</v>
      </c>
      <c r="U607" s="176">
        <f t="shared" si="44"/>
        <v>-1869.3208226174377</v>
      </c>
      <c r="V607" s="176">
        <f t="shared" si="44"/>
        <v>0</v>
      </c>
      <c r="W607" s="176">
        <f t="shared" si="44"/>
        <v>0</v>
      </c>
      <c r="X607" s="176">
        <f t="shared" si="44"/>
        <v>-20016.333301240542</v>
      </c>
      <c r="Y607" s="176">
        <f t="shared" si="44"/>
        <v>-103476.64712438674</v>
      </c>
      <c r="Z607" s="176">
        <f t="shared" si="44"/>
        <v>0</v>
      </c>
      <c r="AA607" s="176">
        <f t="shared" si="44"/>
        <v>-495492.83064090996</v>
      </c>
      <c r="AB607" s="176">
        <f t="shared" si="44"/>
        <v>0</v>
      </c>
      <c r="AC607" s="176">
        <f t="shared" si="44"/>
        <v>-76158.825414117382</v>
      </c>
      <c r="AD607" s="176">
        <f t="shared" si="44"/>
        <v>-1398.9403049289679</v>
      </c>
      <c r="AE607" s="176">
        <f t="shared" si="44"/>
        <v>-4605</v>
      </c>
      <c r="AF607" s="287">
        <f t="shared" si="44"/>
        <v>0</v>
      </c>
    </row>
    <row r="608" spans="1:32" s="59" customFormat="1">
      <c r="A608" s="95" t="s">
        <v>728</v>
      </c>
      <c r="B608" s="95" t="s">
        <v>736</v>
      </c>
      <c r="C608" s="71" t="s">
        <v>543</v>
      </c>
      <c r="D608" s="74" t="s">
        <v>387</v>
      </c>
      <c r="E608" s="176">
        <f t="shared" si="41"/>
        <v>0</v>
      </c>
      <c r="F608" s="176">
        <f t="shared" si="44"/>
        <v>0</v>
      </c>
      <c r="G608" s="176">
        <f t="shared" si="44"/>
        <v>0</v>
      </c>
      <c r="H608" s="176">
        <f t="shared" si="44"/>
        <v>0</v>
      </c>
      <c r="I608" s="176">
        <f t="shared" si="44"/>
        <v>0</v>
      </c>
      <c r="J608" s="176">
        <f t="shared" si="44"/>
        <v>0</v>
      </c>
      <c r="K608" s="176">
        <f t="shared" si="44"/>
        <v>0</v>
      </c>
      <c r="L608" s="176">
        <f t="shared" si="44"/>
        <v>0</v>
      </c>
      <c r="M608" s="176">
        <f t="shared" si="44"/>
        <v>0</v>
      </c>
      <c r="N608" s="176">
        <f t="shared" si="44"/>
        <v>0</v>
      </c>
      <c r="O608" s="176">
        <f t="shared" si="44"/>
        <v>0</v>
      </c>
      <c r="P608" s="176">
        <f t="shared" si="44"/>
        <v>0</v>
      </c>
      <c r="Q608" s="176">
        <f t="shared" si="44"/>
        <v>0</v>
      </c>
      <c r="R608" s="176">
        <f t="shared" si="44"/>
        <v>0</v>
      </c>
      <c r="S608" s="176">
        <f t="shared" si="44"/>
        <v>0</v>
      </c>
      <c r="T608" s="176">
        <f t="shared" si="44"/>
        <v>0</v>
      </c>
      <c r="U608" s="176">
        <f t="shared" si="44"/>
        <v>0</v>
      </c>
      <c r="V608" s="176">
        <f t="shared" si="44"/>
        <v>0</v>
      </c>
      <c r="W608" s="176">
        <f t="shared" si="44"/>
        <v>0</v>
      </c>
      <c r="X608" s="176">
        <f t="shared" si="44"/>
        <v>0</v>
      </c>
      <c r="Y608" s="176">
        <f t="shared" si="44"/>
        <v>0</v>
      </c>
      <c r="Z608" s="176">
        <f t="shared" si="44"/>
        <v>0</v>
      </c>
      <c r="AA608" s="176">
        <f t="shared" si="44"/>
        <v>0</v>
      </c>
      <c r="AB608" s="176">
        <f t="shared" si="44"/>
        <v>0</v>
      </c>
      <c r="AC608" s="176">
        <f t="shared" si="44"/>
        <v>0</v>
      </c>
      <c r="AD608" s="176">
        <f t="shared" si="44"/>
        <v>0</v>
      </c>
      <c r="AE608" s="176">
        <f t="shared" si="44"/>
        <v>0</v>
      </c>
      <c r="AF608" s="287">
        <f t="shared" si="44"/>
        <v>0</v>
      </c>
    </row>
    <row r="609" spans="1:32" s="59" customFormat="1">
      <c r="A609" s="95" t="s">
        <v>728</v>
      </c>
      <c r="B609" s="95" t="s">
        <v>736</v>
      </c>
      <c r="C609" s="71" t="s">
        <v>545</v>
      </c>
      <c r="D609" s="74" t="s">
        <v>387</v>
      </c>
      <c r="E609" s="176">
        <f t="shared" si="41"/>
        <v>0</v>
      </c>
      <c r="F609" s="176">
        <f t="shared" si="44"/>
        <v>0</v>
      </c>
      <c r="G609" s="176">
        <f t="shared" si="44"/>
        <v>0</v>
      </c>
      <c r="H609" s="176">
        <f t="shared" si="44"/>
        <v>0</v>
      </c>
      <c r="I609" s="176">
        <f t="shared" si="44"/>
        <v>0</v>
      </c>
      <c r="J609" s="176">
        <f t="shared" si="44"/>
        <v>0</v>
      </c>
      <c r="K609" s="176">
        <f t="shared" si="44"/>
        <v>0</v>
      </c>
      <c r="L609" s="176">
        <f t="shared" si="44"/>
        <v>0</v>
      </c>
      <c r="M609" s="176">
        <f t="shared" si="44"/>
        <v>0</v>
      </c>
      <c r="N609" s="176">
        <f t="shared" si="44"/>
        <v>0</v>
      </c>
      <c r="O609" s="176">
        <f t="shared" si="44"/>
        <v>0</v>
      </c>
      <c r="P609" s="176">
        <f t="shared" si="44"/>
        <v>0</v>
      </c>
      <c r="Q609" s="176">
        <f t="shared" si="44"/>
        <v>0</v>
      </c>
      <c r="R609" s="176">
        <f t="shared" si="44"/>
        <v>0</v>
      </c>
      <c r="S609" s="176">
        <f t="shared" si="44"/>
        <v>0</v>
      </c>
      <c r="T609" s="176">
        <f t="shared" si="44"/>
        <v>0</v>
      </c>
      <c r="U609" s="176">
        <f t="shared" si="44"/>
        <v>-2.4318258358797311</v>
      </c>
      <c r="V609" s="176">
        <f t="shared" si="44"/>
        <v>0</v>
      </c>
      <c r="W609" s="176">
        <f t="shared" si="44"/>
        <v>0</v>
      </c>
      <c r="X609" s="176">
        <f t="shared" si="44"/>
        <v>0</v>
      </c>
      <c r="Y609" s="176">
        <f t="shared" si="44"/>
        <v>0</v>
      </c>
      <c r="Z609" s="176">
        <f t="shared" si="44"/>
        <v>0</v>
      </c>
      <c r="AA609" s="176">
        <f t="shared" si="44"/>
        <v>0</v>
      </c>
      <c r="AB609" s="176">
        <f t="shared" si="44"/>
        <v>0</v>
      </c>
      <c r="AC609" s="176">
        <f t="shared" si="44"/>
        <v>0</v>
      </c>
      <c r="AD609" s="176">
        <f t="shared" si="44"/>
        <v>0</v>
      </c>
      <c r="AE609" s="176">
        <f t="shared" si="44"/>
        <v>0</v>
      </c>
      <c r="AF609" s="287">
        <f t="shared" si="44"/>
        <v>0</v>
      </c>
    </row>
    <row r="610" spans="1:32" s="59" customFormat="1">
      <c r="A610" s="95" t="s">
        <v>728</v>
      </c>
      <c r="B610" s="95" t="s">
        <v>736</v>
      </c>
      <c r="C610" s="71" t="s">
        <v>548</v>
      </c>
      <c r="D610" s="74" t="s">
        <v>387</v>
      </c>
      <c r="E610" s="176">
        <f t="shared" si="41"/>
        <v>0</v>
      </c>
      <c r="F610" s="176">
        <f t="shared" si="44"/>
        <v>0</v>
      </c>
      <c r="G610" s="176">
        <f t="shared" si="44"/>
        <v>0</v>
      </c>
      <c r="H610" s="176">
        <f t="shared" si="44"/>
        <v>0</v>
      </c>
      <c r="I610" s="176">
        <f t="shared" si="44"/>
        <v>0</v>
      </c>
      <c r="J610" s="176">
        <f t="shared" si="44"/>
        <v>0</v>
      </c>
      <c r="K610" s="176">
        <f t="shared" si="44"/>
        <v>0</v>
      </c>
      <c r="L610" s="176">
        <f t="shared" si="44"/>
        <v>0</v>
      </c>
      <c r="M610" s="176">
        <f t="shared" si="44"/>
        <v>0</v>
      </c>
      <c r="N610" s="176">
        <f t="shared" si="44"/>
        <v>0</v>
      </c>
      <c r="O610" s="176">
        <f t="shared" si="44"/>
        <v>0</v>
      </c>
      <c r="P610" s="176">
        <f t="shared" si="44"/>
        <v>0</v>
      </c>
      <c r="Q610" s="176">
        <f t="shared" si="44"/>
        <v>0</v>
      </c>
      <c r="R610" s="176">
        <f t="shared" si="44"/>
        <v>0</v>
      </c>
      <c r="S610" s="176">
        <f t="shared" si="44"/>
        <v>0</v>
      </c>
      <c r="T610" s="176">
        <f t="shared" si="44"/>
        <v>0</v>
      </c>
      <c r="U610" s="176">
        <f t="shared" si="44"/>
        <v>0</v>
      </c>
      <c r="V610" s="176">
        <f t="shared" si="44"/>
        <v>0</v>
      </c>
      <c r="W610" s="176">
        <f t="shared" si="44"/>
        <v>0</v>
      </c>
      <c r="X610" s="176">
        <f t="shared" si="44"/>
        <v>0</v>
      </c>
      <c r="Y610" s="176">
        <f t="shared" si="44"/>
        <v>0</v>
      </c>
      <c r="Z610" s="176">
        <f t="shared" si="44"/>
        <v>0</v>
      </c>
      <c r="AA610" s="176">
        <f t="shared" si="44"/>
        <v>0</v>
      </c>
      <c r="AB610" s="176">
        <f t="shared" si="44"/>
        <v>0</v>
      </c>
      <c r="AC610" s="176">
        <f t="shared" si="44"/>
        <v>0</v>
      </c>
      <c r="AD610" s="176">
        <f t="shared" si="44"/>
        <v>0</v>
      </c>
      <c r="AE610" s="176">
        <f t="shared" si="44"/>
        <v>0</v>
      </c>
      <c r="AF610" s="287">
        <f t="shared" si="44"/>
        <v>0</v>
      </c>
    </row>
    <row r="611" spans="1:32" s="59" customFormat="1">
      <c r="A611" s="95" t="s">
        <v>728</v>
      </c>
      <c r="B611" s="95" t="s">
        <v>736</v>
      </c>
      <c r="C611" s="71" t="s">
        <v>550</v>
      </c>
      <c r="D611" s="74" t="s">
        <v>387</v>
      </c>
      <c r="E611" s="176">
        <f t="shared" si="41"/>
        <v>0</v>
      </c>
      <c r="F611" s="176">
        <f t="shared" si="44"/>
        <v>0</v>
      </c>
      <c r="G611" s="176">
        <f t="shared" si="44"/>
        <v>0</v>
      </c>
      <c r="H611" s="176">
        <f t="shared" si="44"/>
        <v>0</v>
      </c>
      <c r="I611" s="176">
        <f t="shared" si="44"/>
        <v>0</v>
      </c>
      <c r="J611" s="176">
        <f t="shared" si="44"/>
        <v>0</v>
      </c>
      <c r="K611" s="176">
        <f t="shared" si="44"/>
        <v>0</v>
      </c>
      <c r="L611" s="176">
        <f t="shared" si="44"/>
        <v>0</v>
      </c>
      <c r="M611" s="176">
        <f t="shared" si="44"/>
        <v>0</v>
      </c>
      <c r="N611" s="176">
        <f t="shared" si="44"/>
        <v>0</v>
      </c>
      <c r="O611" s="176">
        <f t="shared" si="44"/>
        <v>0</v>
      </c>
      <c r="P611" s="176">
        <f t="shared" si="44"/>
        <v>0</v>
      </c>
      <c r="Q611" s="176">
        <f t="shared" si="44"/>
        <v>0</v>
      </c>
      <c r="R611" s="176">
        <f t="shared" si="44"/>
        <v>0</v>
      </c>
      <c r="S611" s="176">
        <f t="shared" si="44"/>
        <v>0</v>
      </c>
      <c r="T611" s="176">
        <f t="shared" si="44"/>
        <v>0</v>
      </c>
      <c r="U611" s="176">
        <f t="shared" si="44"/>
        <v>0</v>
      </c>
      <c r="V611" s="176">
        <f t="shared" si="44"/>
        <v>0</v>
      </c>
      <c r="W611" s="176">
        <f t="shared" si="44"/>
        <v>0</v>
      </c>
      <c r="X611" s="176">
        <f t="shared" si="44"/>
        <v>0</v>
      </c>
      <c r="Y611" s="176">
        <f t="shared" si="44"/>
        <v>0</v>
      </c>
      <c r="Z611" s="176">
        <f t="shared" si="44"/>
        <v>0</v>
      </c>
      <c r="AA611" s="176">
        <f t="shared" si="44"/>
        <v>0</v>
      </c>
      <c r="AB611" s="176">
        <f t="shared" si="44"/>
        <v>0</v>
      </c>
      <c r="AC611" s="176">
        <f t="shared" si="44"/>
        <v>0</v>
      </c>
      <c r="AD611" s="176">
        <f t="shared" si="44"/>
        <v>0</v>
      </c>
      <c r="AE611" s="176">
        <f t="shared" si="44"/>
        <v>0</v>
      </c>
      <c r="AF611" s="287">
        <f t="shared" si="44"/>
        <v>0</v>
      </c>
    </row>
    <row r="612" spans="1:32" s="59" customFormat="1">
      <c r="A612" s="95" t="s">
        <v>728</v>
      </c>
      <c r="B612" s="95" t="s">
        <v>736</v>
      </c>
      <c r="C612" s="71" t="s">
        <v>552</v>
      </c>
      <c r="D612" s="74" t="s">
        <v>387</v>
      </c>
      <c r="E612" s="176">
        <f t="shared" si="41"/>
        <v>0</v>
      </c>
      <c r="F612" s="176">
        <f t="shared" si="44"/>
        <v>0</v>
      </c>
      <c r="G612" s="176">
        <f t="shared" si="44"/>
        <v>0</v>
      </c>
      <c r="H612" s="176">
        <f t="shared" si="44"/>
        <v>0</v>
      </c>
      <c r="I612" s="176">
        <f t="shared" si="44"/>
        <v>0</v>
      </c>
      <c r="J612" s="176">
        <f t="shared" si="44"/>
        <v>0</v>
      </c>
      <c r="K612" s="176">
        <f t="shared" si="44"/>
        <v>0</v>
      </c>
      <c r="L612" s="176">
        <f t="shared" si="44"/>
        <v>0</v>
      </c>
      <c r="M612" s="176">
        <f t="shared" si="44"/>
        <v>0</v>
      </c>
      <c r="N612" s="176">
        <f t="shared" si="44"/>
        <v>0</v>
      </c>
      <c r="O612" s="176">
        <f t="shared" si="44"/>
        <v>0</v>
      </c>
      <c r="P612" s="176">
        <f t="shared" si="44"/>
        <v>0</v>
      </c>
      <c r="Q612" s="176">
        <f t="shared" si="44"/>
        <v>0</v>
      </c>
      <c r="R612" s="176">
        <f t="shared" si="44"/>
        <v>0</v>
      </c>
      <c r="S612" s="176">
        <f t="shared" si="44"/>
        <v>0</v>
      </c>
      <c r="T612" s="176">
        <f t="shared" si="44"/>
        <v>0</v>
      </c>
      <c r="U612" s="176">
        <f t="shared" si="44"/>
        <v>0</v>
      </c>
      <c r="V612" s="176">
        <f t="shared" si="44"/>
        <v>0</v>
      </c>
      <c r="W612" s="176">
        <f t="shared" si="44"/>
        <v>0</v>
      </c>
      <c r="X612" s="176">
        <f t="shared" si="44"/>
        <v>0</v>
      </c>
      <c r="Y612" s="176">
        <f t="shared" si="44"/>
        <v>0</v>
      </c>
      <c r="Z612" s="176">
        <f t="shared" si="44"/>
        <v>0</v>
      </c>
      <c r="AA612" s="176">
        <f t="shared" si="44"/>
        <v>0</v>
      </c>
      <c r="AB612" s="176">
        <f t="shared" si="44"/>
        <v>0</v>
      </c>
      <c r="AC612" s="176">
        <f t="shared" si="44"/>
        <v>0</v>
      </c>
      <c r="AD612" s="176">
        <f t="shared" si="44"/>
        <v>0</v>
      </c>
      <c r="AE612" s="176">
        <f t="shared" si="44"/>
        <v>0</v>
      </c>
      <c r="AF612" s="287">
        <f t="shared" si="44"/>
        <v>0</v>
      </c>
    </row>
    <row r="613" spans="1:32" s="59" customFormat="1">
      <c r="A613" s="95" t="s">
        <v>728</v>
      </c>
      <c r="B613" s="95" t="s">
        <v>736</v>
      </c>
      <c r="C613" s="71" t="s">
        <v>554</v>
      </c>
      <c r="D613" s="74" t="s">
        <v>387</v>
      </c>
      <c r="E613" s="176">
        <f t="shared" si="41"/>
        <v>0</v>
      </c>
      <c r="F613" s="176">
        <f t="shared" si="44"/>
        <v>0</v>
      </c>
      <c r="G613" s="176">
        <f t="shared" si="44"/>
        <v>0</v>
      </c>
      <c r="H613" s="176">
        <f t="shared" si="44"/>
        <v>0</v>
      </c>
      <c r="I613" s="176">
        <f t="shared" si="44"/>
        <v>0</v>
      </c>
      <c r="J613" s="176">
        <f t="shared" si="44"/>
        <v>0</v>
      </c>
      <c r="K613" s="176">
        <f t="shared" si="44"/>
        <v>0</v>
      </c>
      <c r="L613" s="176">
        <f t="shared" si="44"/>
        <v>0</v>
      </c>
      <c r="M613" s="176">
        <f t="shared" si="44"/>
        <v>0</v>
      </c>
      <c r="N613" s="176">
        <f t="shared" si="44"/>
        <v>0</v>
      </c>
      <c r="O613" s="176">
        <f t="shared" si="44"/>
        <v>0</v>
      </c>
      <c r="P613" s="176">
        <f t="shared" si="44"/>
        <v>0</v>
      </c>
      <c r="Q613" s="176">
        <f t="shared" si="44"/>
        <v>0</v>
      </c>
      <c r="R613" s="176">
        <f t="shared" si="44"/>
        <v>0</v>
      </c>
      <c r="S613" s="176">
        <f t="shared" si="44"/>
        <v>0</v>
      </c>
      <c r="T613" s="176">
        <f t="shared" si="44"/>
        <v>0</v>
      </c>
      <c r="U613" s="176">
        <f t="shared" si="44"/>
        <v>0</v>
      </c>
      <c r="V613" s="176">
        <f t="shared" si="44"/>
        <v>0</v>
      </c>
      <c r="W613" s="176">
        <f t="shared" si="44"/>
        <v>0</v>
      </c>
      <c r="X613" s="176">
        <f t="shared" si="44"/>
        <v>0</v>
      </c>
      <c r="Y613" s="176">
        <f t="shared" si="44"/>
        <v>0</v>
      </c>
      <c r="Z613" s="176">
        <f t="shared" si="44"/>
        <v>0</v>
      </c>
      <c r="AA613" s="176">
        <f t="shared" si="44"/>
        <v>0</v>
      </c>
      <c r="AB613" s="176">
        <f t="shared" si="44"/>
        <v>0</v>
      </c>
      <c r="AC613" s="176">
        <f t="shared" si="44"/>
        <v>0</v>
      </c>
      <c r="AD613" s="176">
        <f t="shared" si="44"/>
        <v>0</v>
      </c>
      <c r="AE613" s="176">
        <f t="shared" si="44"/>
        <v>0</v>
      </c>
      <c r="AF613" s="287">
        <f t="shared" si="44"/>
        <v>0</v>
      </c>
    </row>
    <row r="614" spans="1:32" s="59" customFormat="1">
      <c r="A614" s="95" t="s">
        <v>728</v>
      </c>
      <c r="B614" s="95" t="s">
        <v>736</v>
      </c>
      <c r="C614" s="71" t="s">
        <v>556</v>
      </c>
      <c r="D614" s="74" t="s">
        <v>387</v>
      </c>
      <c r="E614" s="176">
        <f t="shared" si="41"/>
        <v>0</v>
      </c>
      <c r="F614" s="176">
        <f t="shared" si="44"/>
        <v>0</v>
      </c>
      <c r="G614" s="176">
        <f t="shared" si="44"/>
        <v>0</v>
      </c>
      <c r="H614" s="176">
        <f t="shared" si="44"/>
        <v>0</v>
      </c>
      <c r="I614" s="176">
        <f t="shared" si="44"/>
        <v>0</v>
      </c>
      <c r="J614" s="176">
        <f t="shared" si="44"/>
        <v>0</v>
      </c>
      <c r="K614" s="176">
        <f t="shared" si="44"/>
        <v>0</v>
      </c>
      <c r="L614" s="176">
        <f t="shared" si="44"/>
        <v>0</v>
      </c>
      <c r="M614" s="176">
        <f t="shared" si="44"/>
        <v>0</v>
      </c>
      <c r="N614" s="176">
        <f t="shared" si="44"/>
        <v>0</v>
      </c>
      <c r="O614" s="176">
        <f t="shared" si="44"/>
        <v>0</v>
      </c>
      <c r="P614" s="176">
        <f t="shared" si="44"/>
        <v>0</v>
      </c>
      <c r="Q614" s="176">
        <f t="shared" si="44"/>
        <v>0</v>
      </c>
      <c r="R614" s="176">
        <f t="shared" si="44"/>
        <v>0</v>
      </c>
      <c r="S614" s="176">
        <f t="shared" si="44"/>
        <v>0</v>
      </c>
      <c r="T614" s="176">
        <f t="shared" si="44"/>
        <v>0</v>
      </c>
      <c r="U614" s="176">
        <f t="shared" si="44"/>
        <v>0</v>
      </c>
      <c r="V614" s="176">
        <f t="shared" si="44"/>
        <v>0</v>
      </c>
      <c r="W614" s="176">
        <f t="shared" si="44"/>
        <v>0</v>
      </c>
      <c r="X614" s="176">
        <f t="shared" si="44"/>
        <v>0</v>
      </c>
      <c r="Y614" s="176">
        <f t="shared" si="44"/>
        <v>0</v>
      </c>
      <c r="Z614" s="176">
        <f t="shared" si="44"/>
        <v>0</v>
      </c>
      <c r="AA614" s="176">
        <f t="shared" si="44"/>
        <v>0</v>
      </c>
      <c r="AB614" s="176">
        <f t="shared" si="44"/>
        <v>0</v>
      </c>
      <c r="AC614" s="176">
        <f t="shared" si="44"/>
        <v>0</v>
      </c>
      <c r="AD614" s="176">
        <f t="shared" si="44"/>
        <v>0</v>
      </c>
      <c r="AE614" s="176">
        <f t="shared" si="44"/>
        <v>0</v>
      </c>
      <c r="AF614" s="287">
        <f t="shared" si="44"/>
        <v>0</v>
      </c>
    </row>
    <row r="615" spans="1:32" s="59" customFormat="1">
      <c r="A615" s="95" t="s">
        <v>728</v>
      </c>
      <c r="B615" s="95" t="s">
        <v>736</v>
      </c>
      <c r="C615" s="71" t="s">
        <v>558</v>
      </c>
      <c r="D615" s="74" t="s">
        <v>387</v>
      </c>
      <c r="E615" s="176">
        <f t="shared" si="41"/>
        <v>0</v>
      </c>
      <c r="F615" s="176">
        <f t="shared" si="44"/>
        <v>0</v>
      </c>
      <c r="G615" s="176">
        <f t="shared" si="44"/>
        <v>0</v>
      </c>
      <c r="H615" s="176">
        <f t="shared" si="44"/>
        <v>0</v>
      </c>
      <c r="I615" s="176">
        <f t="shared" si="44"/>
        <v>0</v>
      </c>
      <c r="J615" s="176">
        <f t="shared" si="44"/>
        <v>0</v>
      </c>
      <c r="K615" s="176">
        <f t="shared" si="44"/>
        <v>0</v>
      </c>
      <c r="L615" s="176">
        <f t="shared" si="44"/>
        <v>0</v>
      </c>
      <c r="M615" s="176">
        <f t="shared" si="44"/>
        <v>0</v>
      </c>
      <c r="N615" s="176">
        <f t="shared" si="44"/>
        <v>0</v>
      </c>
      <c r="O615" s="176">
        <f t="shared" si="44"/>
        <v>0</v>
      </c>
      <c r="P615" s="176">
        <f t="shared" si="44"/>
        <v>0</v>
      </c>
      <c r="Q615" s="176">
        <f t="shared" si="44"/>
        <v>0</v>
      </c>
      <c r="R615" s="176">
        <f t="shared" si="44"/>
        <v>0</v>
      </c>
      <c r="S615" s="176">
        <f t="shared" si="44"/>
        <v>0</v>
      </c>
      <c r="T615" s="176">
        <f t="shared" si="44"/>
        <v>0</v>
      </c>
      <c r="U615" s="176">
        <f t="shared" si="44"/>
        <v>0</v>
      </c>
      <c r="V615" s="176">
        <f t="shared" si="44"/>
        <v>0</v>
      </c>
      <c r="W615" s="176">
        <f t="shared" si="44"/>
        <v>0</v>
      </c>
      <c r="X615" s="176">
        <f t="shared" si="44"/>
        <v>0</v>
      </c>
      <c r="Y615" s="176">
        <f t="shared" si="44"/>
        <v>0</v>
      </c>
      <c r="Z615" s="176">
        <f t="shared" si="44"/>
        <v>0</v>
      </c>
      <c r="AA615" s="176">
        <f t="shared" si="44"/>
        <v>0</v>
      </c>
      <c r="AB615" s="176">
        <f t="shared" si="44"/>
        <v>0</v>
      </c>
      <c r="AC615" s="176">
        <f t="shared" si="44"/>
        <v>0</v>
      </c>
      <c r="AD615" s="176">
        <f t="shared" si="44"/>
        <v>0</v>
      </c>
      <c r="AE615" s="176">
        <f t="shared" si="44"/>
        <v>0</v>
      </c>
      <c r="AF615" s="287">
        <f t="shared" si="44"/>
        <v>0</v>
      </c>
    </row>
    <row r="616" spans="1:32" s="59" customFormat="1">
      <c r="A616" s="97" t="s">
        <v>728</v>
      </c>
      <c r="B616" s="76" t="s">
        <v>736</v>
      </c>
      <c r="C616" s="76" t="s">
        <v>560</v>
      </c>
      <c r="D616" s="77" t="s">
        <v>387</v>
      </c>
      <c r="E616" s="288">
        <f t="shared" si="41"/>
        <v>0</v>
      </c>
      <c r="F616" s="289">
        <f t="shared" si="44"/>
        <v>0</v>
      </c>
      <c r="G616" s="289">
        <f t="shared" si="44"/>
        <v>0</v>
      </c>
      <c r="H616" s="289">
        <f t="shared" si="44"/>
        <v>0</v>
      </c>
      <c r="I616" s="289">
        <f t="shared" si="44"/>
        <v>0</v>
      </c>
      <c r="J616" s="289">
        <f t="shared" si="44"/>
        <v>0</v>
      </c>
      <c r="K616" s="289">
        <f t="shared" si="44"/>
        <v>0</v>
      </c>
      <c r="L616" s="289">
        <f t="shared" si="44"/>
        <v>0</v>
      </c>
      <c r="M616" s="289">
        <f t="shared" si="44"/>
        <v>0</v>
      </c>
      <c r="N616" s="289">
        <f t="shared" si="44"/>
        <v>0</v>
      </c>
      <c r="O616" s="289">
        <f t="shared" si="44"/>
        <v>0</v>
      </c>
      <c r="P616" s="289">
        <f t="shared" si="44"/>
        <v>0</v>
      </c>
      <c r="Q616" s="289">
        <f t="shared" si="44"/>
        <v>0</v>
      </c>
      <c r="R616" s="289">
        <f t="shared" ref="R616:AF616" si="45">SUMIFS(R$7:R$26,$C$7:$C$26,$C616)*SUM(SUMIFS(R$32:R$350,$C$32:$C$350,"Own use by LNG/regasification plants",$B$32:$B$350,$C616))</f>
        <v>0</v>
      </c>
      <c r="S616" s="289">
        <f t="shared" si="45"/>
        <v>0</v>
      </c>
      <c r="T616" s="289">
        <f t="shared" si="45"/>
        <v>0</v>
      </c>
      <c r="U616" s="289">
        <f t="shared" si="45"/>
        <v>0</v>
      </c>
      <c r="V616" s="289">
        <f t="shared" si="45"/>
        <v>0</v>
      </c>
      <c r="W616" s="289">
        <f t="shared" si="45"/>
        <v>0</v>
      </c>
      <c r="X616" s="289">
        <f t="shared" si="45"/>
        <v>0</v>
      </c>
      <c r="Y616" s="289">
        <f t="shared" si="45"/>
        <v>0</v>
      </c>
      <c r="Z616" s="289">
        <f t="shared" si="45"/>
        <v>0</v>
      </c>
      <c r="AA616" s="289">
        <f t="shared" si="45"/>
        <v>0</v>
      </c>
      <c r="AB616" s="289">
        <f t="shared" si="45"/>
        <v>0</v>
      </c>
      <c r="AC616" s="289">
        <f t="shared" si="45"/>
        <v>0</v>
      </c>
      <c r="AD616" s="289">
        <f t="shared" si="45"/>
        <v>0</v>
      </c>
      <c r="AE616" s="289">
        <f t="shared" si="45"/>
        <v>0</v>
      </c>
      <c r="AF616" s="290">
        <f t="shared" si="45"/>
        <v>0</v>
      </c>
    </row>
    <row r="618" spans="1:32" s="60" customFormat="1" ht="14.4">
      <c r="A618" s="86"/>
      <c r="B618" s="86"/>
      <c r="C618" s="63"/>
      <c r="D618" s="63"/>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86"/>
    </row>
    <row r="619" spans="1:32" s="59" customFormat="1">
      <c r="A619" s="90" t="s">
        <v>717</v>
      </c>
      <c r="B619" s="90" t="s">
        <v>727</v>
      </c>
      <c r="C619" s="68" t="s">
        <v>718</v>
      </c>
      <c r="D619" s="68" t="s">
        <v>375</v>
      </c>
      <c r="E619" s="69" t="s">
        <v>172</v>
      </c>
      <c r="F619" s="69" t="s">
        <v>175</v>
      </c>
      <c r="G619" s="69" t="s">
        <v>178</v>
      </c>
      <c r="H619" s="69" t="s">
        <v>181</v>
      </c>
      <c r="I619" s="69" t="s">
        <v>184</v>
      </c>
      <c r="J619" s="69" t="s">
        <v>187</v>
      </c>
      <c r="K619" s="69" t="s">
        <v>190</v>
      </c>
      <c r="L619" s="69" t="s">
        <v>193</v>
      </c>
      <c r="M619" s="69" t="s">
        <v>196</v>
      </c>
      <c r="N619" s="69" t="s">
        <v>198</v>
      </c>
      <c r="O619" s="69" t="s">
        <v>200</v>
      </c>
      <c r="P619" s="69" t="s">
        <v>202</v>
      </c>
      <c r="Q619" s="69" t="s">
        <v>205</v>
      </c>
      <c r="R619" s="69" t="s">
        <v>208</v>
      </c>
      <c r="S619" s="69" t="s">
        <v>211</v>
      </c>
      <c r="T619" s="69" t="s">
        <v>214</v>
      </c>
      <c r="U619" s="69" t="s">
        <v>217</v>
      </c>
      <c r="V619" s="69" t="s">
        <v>220</v>
      </c>
      <c r="W619" s="69" t="s">
        <v>223</v>
      </c>
      <c r="X619" s="69" t="s">
        <v>225</v>
      </c>
      <c r="Y619" s="69" t="s">
        <v>227</v>
      </c>
      <c r="Z619" s="69" t="s">
        <v>230</v>
      </c>
      <c r="AA619" s="69" t="s">
        <v>233</v>
      </c>
      <c r="AB619" s="69" t="s">
        <v>236</v>
      </c>
      <c r="AC619" s="69" t="s">
        <v>238</v>
      </c>
      <c r="AD619" s="69" t="s">
        <v>240</v>
      </c>
      <c r="AE619" s="69" t="s">
        <v>243</v>
      </c>
      <c r="AF619" s="91" t="s">
        <v>245</v>
      </c>
    </row>
    <row r="620" spans="1:32" s="59" customFormat="1">
      <c r="A620" s="95" t="s">
        <v>728</v>
      </c>
      <c r="B620" s="95" t="s">
        <v>753</v>
      </c>
      <c r="C620" s="71" t="s">
        <v>515</v>
      </c>
      <c r="D620" s="74" t="s">
        <v>387</v>
      </c>
      <c r="E620" s="176" cm="1">
        <f t="array" ref="E620">SUMIFS(E$7:E$26,$C$7:$C$26,$C620)*SUM(SUMIFS(E$32:E$350,$C$32:$C$350,{"Other energy industry own use","Own use by pump-storage plants","Own use by gas works","Own use by briquetting plants","Own use by charcoal plants","Own use by biogas production plants"},$B$32:$B$350,$C620))</f>
        <v>0</v>
      </c>
      <c r="F620" s="176" cm="1">
        <f t="array" ref="F620">SUMIFS(F$7:F$26,$C$7:$C$26,$C620)*SUM(SUMIFS(F$32:F$350,$C$32:$C$350,{"Other energy industry own use","Own use by pump-storage plants","Own use by gas works","Own use by briquetting plants","Own use by charcoal plants"},$B$32:$B$350,$C620))</f>
        <v>0</v>
      </c>
      <c r="G620" s="176" cm="1">
        <f t="array" ref="G620">SUMIFS(G$7:G$26,$C$7:$C$26,$C620)*SUM(SUMIFS(G$32:G$350,$C$32:$C$350,{"Other energy industry own use","Own use by pump-storage plants","Own use by gas works","Own use by briquetting plants","Own use by charcoal plants"},$B$32:$B$350,$C620))</f>
        <v>0</v>
      </c>
      <c r="H620" s="176" cm="1">
        <f t="array" ref="H620">SUMIFS(H$7:H$26,$C$7:$C$26,$C620)*SUM(SUMIFS(H$32:H$350,$C$32:$C$350,{"Other energy industry own use","Own use by pump-storage plants","Own use by gas works","Own use by briquetting plants","Own use by charcoal plants"},$B$32:$B$350,$C620))</f>
        <v>0</v>
      </c>
      <c r="I620" s="176" cm="1">
        <f t="array" ref="I620">SUMIFS(I$7:I$26,$C$7:$C$26,$C620)*SUM(SUMIFS(I$32:I$350,$C$32:$C$350,{"Other energy industry own use","Own use by pump-storage plants","Own use by gas works","Own use by briquetting plants","Own use by charcoal plants"},$B$32:$B$350,$C620))</f>
        <v>0</v>
      </c>
      <c r="J620" s="176" cm="1">
        <f t="array" ref="J620">SUMIFS(J$7:J$26,$C$7:$C$26,$C620)*SUM(SUMIFS(J$32:J$350,$C$32:$C$350,{"Other energy industry own use","Own use by pump-storage plants","Own use by gas works","Own use by briquetting plants","Own use by charcoal plants"},$B$32:$B$350,$C620))</f>
        <v>0</v>
      </c>
      <c r="K620" s="176" cm="1">
        <f t="array" ref="K620">SUMIFS(K$7:K$26,$C$7:$C$26,$C620)*SUM(SUMIFS(K$32:K$350,$C$32:$C$350,{"Other energy industry own use","Own use by pump-storage plants","Own use by gas works","Own use by briquetting plants","Own use by charcoal plants"},$B$32:$B$350,$C620))</f>
        <v>0</v>
      </c>
      <c r="L620" s="176" cm="1">
        <f t="array" ref="L620">SUMIFS(L$7:L$26,$C$7:$C$26,$C620)*SUM(SUMIFS(L$32:L$350,$C$32:$C$350,{"Other energy industry own use","Own use by pump-storage plants","Own use by gas works","Own use by briquetting plants","Own use by charcoal plants"},$B$32:$B$350,$C620))</f>
        <v>0</v>
      </c>
      <c r="M620" s="176" cm="1">
        <f t="array" ref="M620">SUMIFS(M$7:M$26,$C$7:$C$26,$C620)*SUM(SUMIFS(M$32:M$350,$C$32:$C$350,{"Other energy industry own use","Own use by pump-storage plants","Own use by gas works","Own use by briquetting plants","Own use by charcoal plants"},$B$32:$B$350,$C620))</f>
        <v>0</v>
      </c>
      <c r="N620" s="176" cm="1">
        <f t="array" ref="N620">SUMIFS(N$7:N$26,$C$7:$C$26,$C620)*SUM(SUMIFS(N$32:N$350,$C$32:$C$350,{"Other energy industry own use","Own use by pump-storage plants","Own use by gas works","Own use by briquetting plants","Own use by charcoal plants"},$B$32:$B$350,$C620))</f>
        <v>0</v>
      </c>
      <c r="O620" s="176" cm="1">
        <f t="array" ref="O620">SUMIFS(O$7:O$26,$C$7:$C$26,$C620)*SUM(SUMIFS(O$32:O$350,$C$32:$C$350,{"Other energy industry own use","Own use by pump-storage plants","Own use by gas works","Own use by briquetting plants","Own use by charcoal plants"},$B$32:$B$350,$C620))</f>
        <v>0</v>
      </c>
      <c r="P620" s="176" cm="1">
        <f t="array" ref="P620">SUMIFS(P$7:P$26,$C$7:$C$26,$C620)*SUM(SUMIFS(P$32:P$350,$C$32:$C$350,{"Other energy industry own use","Own use by pump-storage plants","Own use by gas works","Own use by briquetting plants","Own use by charcoal plants"},$B$32:$B$350,$C620))</f>
        <v>0</v>
      </c>
      <c r="Q620" s="176" cm="1">
        <f t="array" ref="Q620">SUMIFS(Q$7:Q$26,$C$7:$C$26,$C620)*SUM(SUMIFS(Q$32:Q$350,$C$32:$C$350,{"Other energy industry own use","Own use by pump-storage plants","Own use by gas works","Own use by briquetting plants","Own use by charcoal plants"},$B$32:$B$350,$C620))</f>
        <v>0</v>
      </c>
      <c r="R620" s="176" cm="1">
        <f t="array" ref="R620">SUMIFS(R$7:R$26,$C$7:$C$26,$C620)*SUM(SUMIFS(R$32:R$350,$C$32:$C$350,{"Other energy industry own use","Own use by pump-storage plants","Own use by gas works","Own use by briquetting plants","Own use by charcoal plants"},$B$32:$B$350,$C620))</f>
        <v>0</v>
      </c>
      <c r="S620" s="176" cm="1">
        <f t="array" ref="S620">SUMIFS(S$7:S$26,$C$7:$C$26,$C620)*SUM(SUMIFS(S$32:S$350,$C$32:$C$350,{"Other energy industry own use","Own use by pump-storage plants","Own use by gas works","Own use by briquetting plants","Own use by charcoal plants"},$B$32:$B$350,$C620))</f>
        <v>0</v>
      </c>
      <c r="T620" s="176" cm="1">
        <f t="array" ref="T620">SUMIFS(T$7:T$26,$C$7:$C$26,$C620)*SUM(SUMIFS(T$32:T$350,$C$32:$C$350,{"Other energy industry own use","Own use by pump-storage plants","Own use by gas works","Own use by briquetting plants","Own use by charcoal plants"},$B$32:$B$350,$C620))</f>
        <v>0</v>
      </c>
      <c r="U620" s="176" cm="1">
        <f t="array" ref="U620">SUMIFS(U$7:U$26,$C$7:$C$26,$C620)*SUM(SUMIFS(U$32:U$350,$C$32:$C$350,{"Other energy industry own use","Own use by pump-storage plants","Own use by gas works","Own use by briquetting plants","Own use by charcoal plants"},$B$32:$B$350,$C620))</f>
        <v>0</v>
      </c>
      <c r="V620" s="176" cm="1">
        <f t="array" ref="V620">SUMIFS(V$7:V$26,$C$7:$C$26,$C620)*SUM(SUMIFS(V$32:V$350,$C$32:$C$350,{"Other energy industry own use","Own use by pump-storage plants","Own use by gas works","Own use by briquetting plants","Own use by charcoal plants"},$B$32:$B$350,$C620))</f>
        <v>0</v>
      </c>
      <c r="W620" s="176" cm="1">
        <f t="array" ref="W620">SUMIFS(W$7:W$26,$C$7:$C$26,$C620)*SUM(SUMIFS(W$32:W$350,$C$32:$C$350,{"Other energy industry own use","Own use by pump-storage plants","Own use by gas works","Own use by briquetting plants","Own use by charcoal plants"},$B$32:$B$350,$C620))</f>
        <v>0</v>
      </c>
      <c r="X620" s="176" cm="1">
        <f t="array" ref="X620">SUMIFS(X$7:X$26,$C$7:$C$26,$C620)*SUM(SUMIFS(X$32:X$350,$C$32:$C$350,{"Other energy industry own use","Own use by pump-storage plants","Own use by gas works","Own use by briquetting plants","Own use by charcoal plants"},$B$32:$B$350,$C620))</f>
        <v>0</v>
      </c>
      <c r="Y620" s="176" cm="1">
        <f t="array" ref="Y620">SUMIFS(Y$7:Y$26,$C$7:$C$26,$C620)*SUM(SUMIFS(Y$32:Y$350,$C$32:$C$350,{"Other energy industry own use","Own use by pump-storage plants","Own use by gas works","Own use by briquetting plants","Own use by charcoal plants"},$B$32:$B$350,$C620))</f>
        <v>0</v>
      </c>
      <c r="Z620" s="176" cm="1">
        <f t="array" ref="Z620">SUMIFS(Z$7:Z$26,$C$7:$C$26,$C620)*SUM(SUMIFS(Z$32:Z$350,$C$32:$C$350,{"Other energy industry own use","Own use by pump-storage plants","Own use by gas works","Own use by briquetting plants","Own use by charcoal plants"},$B$32:$B$350,$C620))</f>
        <v>0</v>
      </c>
      <c r="AA620" s="176" cm="1">
        <f t="array" ref="AA620">SUMIFS(AA$7:AA$26,$C$7:$C$26,$C620)*SUM(SUMIFS(AA$32:AA$350,$C$32:$C$350,{"Other energy industry own use","Own use by pump-storage plants","Own use by gas works","Own use by briquetting plants","Own use by charcoal plants"},$B$32:$B$350,$C620))</f>
        <v>0</v>
      </c>
      <c r="AB620" s="176" cm="1">
        <f t="array" ref="AB620">SUMIFS(AB$7:AB$26,$C$7:$C$26,$C620)*SUM(SUMIFS(AB$32:AB$350,$C$32:$C$350,{"Other energy industry own use","Own use by pump-storage plants","Own use by gas works","Own use by briquetting plants","Own use by charcoal plants"},$B$32:$B$350,$C620))</f>
        <v>0</v>
      </c>
      <c r="AC620" s="176" cm="1">
        <f t="array" ref="AC620">SUMIFS(AC$7:AC$26,$C$7:$C$26,$C620)*SUM(SUMIFS(AC$32:AC$350,$C$32:$C$350,{"Other energy industry own use","Own use by pump-storage plants","Own use by gas works","Own use by briquetting plants","Own use by charcoal plants"},$B$32:$B$350,$C620))</f>
        <v>0</v>
      </c>
      <c r="AD620" s="176" cm="1">
        <f t="array" ref="AD620">SUMIFS(AD$7:AD$26,$C$7:$C$26,$C620)*SUM(SUMIFS(AD$32:AD$350,$C$32:$C$350,{"Other energy industry own use","Own use by pump-storage plants","Own use by gas works","Own use by briquetting plants","Own use by charcoal plants"},$B$32:$B$350,$C620))</f>
        <v>0</v>
      </c>
      <c r="AE620" s="176" cm="1">
        <f t="array" ref="AE620">SUMIFS(AE$7:AE$26,$C$7:$C$26,$C620)*SUM(SUMIFS(AE$32:AE$350,$C$32:$C$350,{"Other energy industry own use","Own use by pump-storage plants","Own use by gas works","Own use by briquetting plants","Own use by charcoal plants"},$B$32:$B$350,$C620))</f>
        <v>0</v>
      </c>
      <c r="AF620" s="286" cm="1">
        <f t="array" ref="AF620">SUMIFS(AF$7:AF$26,$C$7:$C$26,$C620)*SUM(SUMIFS(AF$32:AF$350,$C$32:$C$350,{"Other energy industry own use","Own use by pump-storage plants","Own use by gas works","Own use by briquetting plants","Own use by charcoal plants"},$B$32:$B$350,$C620))</f>
        <v>0</v>
      </c>
    </row>
    <row r="621" spans="1:32" s="59" customFormat="1">
      <c r="A621" s="95" t="s">
        <v>728</v>
      </c>
      <c r="B621" s="95" t="s">
        <v>753</v>
      </c>
      <c r="C621" s="71" t="s">
        <v>521</v>
      </c>
      <c r="D621" s="74" t="s">
        <v>387</v>
      </c>
      <c r="E621" s="176" cm="1">
        <f t="array" ref="E621">SUMIFS(E$7:E$26,$C$7:$C$26,$C621)*SUM(SUMIFS(E$32:E$350,$C$32:$C$350,{"Other energy industry own use","Own use by pump-storage plants","Own use by gas works","Own use by briquetting plants","Own use by charcoal plants"},$B$32:$B$350,$C621))</f>
        <v>0</v>
      </c>
      <c r="F621" s="176" cm="1">
        <f t="array" ref="F621">SUMIFS(F$7:F$26,$C$7:$C$26,$C621)*SUM(SUMIFS(F$32:F$350,$C$32:$C$350,{"Other energy industry own use","Own use by pump-storage plants","Own use by gas works","Own use by briquetting plants","Own use by charcoal plants"},$B$32:$B$350,$C621))</f>
        <v>0</v>
      </c>
      <c r="G621" s="176" cm="1">
        <f t="array" ref="G621">SUMIFS(G$7:G$26,$C$7:$C$26,$C621)*SUM(SUMIFS(G$32:G$350,$C$32:$C$350,{"Other energy industry own use","Own use by pump-storage plants","Own use by gas works","Own use by briquetting plants","Own use by charcoal plants"},$B$32:$B$350,$C621))</f>
        <v>0</v>
      </c>
      <c r="H621" s="176" cm="1">
        <f t="array" ref="H621">SUMIFS(H$7:H$26,$C$7:$C$26,$C621)*SUM(SUMIFS(H$32:H$350,$C$32:$C$350,{"Other energy industry own use","Own use by pump-storage plants","Own use by gas works","Own use by briquetting plants","Own use by charcoal plants"},$B$32:$B$350,$C621))</f>
        <v>0</v>
      </c>
      <c r="I621" s="176" cm="1">
        <f t="array" ref="I621">SUMIFS(I$7:I$26,$C$7:$C$26,$C621)*SUM(SUMIFS(I$32:I$350,$C$32:$C$350,{"Other energy industry own use","Own use by pump-storage plants","Own use by gas works","Own use by briquetting plants","Own use by charcoal plants"},$B$32:$B$350,$C621))</f>
        <v>0</v>
      </c>
      <c r="J621" s="176" cm="1">
        <f t="array" ref="J621">SUMIFS(J$7:J$26,$C$7:$C$26,$C621)*SUM(SUMIFS(J$32:J$350,$C$32:$C$350,{"Other energy industry own use","Own use by pump-storage plants","Own use by gas works","Own use by briquetting plants","Own use by charcoal plants"},$B$32:$B$350,$C621))</f>
        <v>0</v>
      </c>
      <c r="K621" s="176" cm="1">
        <f t="array" ref="K621">SUMIFS(K$7:K$26,$C$7:$C$26,$C621)*SUM(SUMIFS(K$32:K$350,$C$32:$C$350,{"Other energy industry own use","Own use by pump-storage plants","Own use by gas works","Own use by briquetting plants","Own use by charcoal plants"},$B$32:$B$350,$C621))</f>
        <v>0</v>
      </c>
      <c r="L621" s="176" cm="1">
        <f t="array" ref="L621">SUMIFS(L$7:L$26,$C$7:$C$26,$C621)*SUM(SUMIFS(L$32:L$350,$C$32:$C$350,{"Other energy industry own use","Own use by pump-storage plants","Own use by gas works","Own use by briquetting plants","Own use by charcoal plants"},$B$32:$B$350,$C621))</f>
        <v>0</v>
      </c>
      <c r="M621" s="176" cm="1">
        <f t="array" ref="M621">SUMIFS(M$7:M$26,$C$7:$C$26,$C621)*SUM(SUMIFS(M$32:M$350,$C$32:$C$350,{"Other energy industry own use","Own use by pump-storage plants","Own use by gas works","Own use by briquetting plants","Own use by charcoal plants"},$B$32:$B$350,$C621))</f>
        <v>0</v>
      </c>
      <c r="N621" s="176" cm="1">
        <f t="array" ref="N621">SUMIFS(N$7:N$26,$C$7:$C$26,$C621)*SUM(SUMIFS(N$32:N$350,$C$32:$C$350,{"Other energy industry own use","Own use by pump-storage plants","Own use by gas works","Own use by briquetting plants","Own use by charcoal plants"},$B$32:$B$350,$C621))</f>
        <v>0</v>
      </c>
      <c r="O621" s="176" cm="1">
        <f t="array" ref="O621">SUMIFS(O$7:O$26,$C$7:$C$26,$C621)*SUM(SUMIFS(O$32:O$350,$C$32:$C$350,{"Other energy industry own use","Own use by pump-storage plants","Own use by gas works","Own use by briquetting plants","Own use by charcoal plants"},$B$32:$B$350,$C621))</f>
        <v>0</v>
      </c>
      <c r="P621" s="176" cm="1">
        <f t="array" ref="P621">SUMIFS(P$7:P$26,$C$7:$C$26,$C621)*SUM(SUMIFS(P$32:P$350,$C$32:$C$350,{"Other energy industry own use","Own use by pump-storage plants","Own use by gas works","Own use by briquetting plants","Own use by charcoal plants"},$B$32:$B$350,$C621))</f>
        <v>0</v>
      </c>
      <c r="Q621" s="176" cm="1">
        <f t="array" ref="Q621">SUMIFS(Q$7:Q$26,$C$7:$C$26,$C621)*SUM(SUMIFS(Q$32:Q$350,$C$32:$C$350,{"Other energy industry own use","Own use by pump-storage plants","Own use by gas works","Own use by briquetting plants","Own use by charcoal plants"},$B$32:$B$350,$C621))</f>
        <v>0</v>
      </c>
      <c r="R621" s="176" cm="1">
        <f t="array" ref="R621">SUMIFS(R$7:R$26,$C$7:$C$26,$C621)*SUM(SUMIFS(R$32:R$350,$C$32:$C$350,{"Other energy industry own use","Own use by pump-storage plants","Own use by gas works","Own use by briquetting plants","Own use by charcoal plants"},$B$32:$B$350,$C621))</f>
        <v>0</v>
      </c>
      <c r="S621" s="176" cm="1">
        <f t="array" ref="S621">SUMIFS(S$7:S$26,$C$7:$C$26,$C621)*SUM(SUMIFS(S$32:S$350,$C$32:$C$350,{"Other energy industry own use","Own use by pump-storage plants","Own use by gas works","Own use by briquetting plants","Own use by charcoal plants"},$B$32:$B$350,$C621))</f>
        <v>0</v>
      </c>
      <c r="T621" s="176" cm="1">
        <f t="array" ref="T621">SUMIFS(T$7:T$26,$C$7:$C$26,$C621)*SUM(SUMIFS(T$32:T$350,$C$32:$C$350,{"Other energy industry own use","Own use by pump-storage plants","Own use by gas works","Own use by briquetting plants","Own use by charcoal plants"},$B$32:$B$350,$C621))</f>
        <v>-12942.258419138792</v>
      </c>
      <c r="U621" s="176" cm="1">
        <f t="array" ref="U621">SUMIFS(U$7:U$26,$C$7:$C$26,$C621)*SUM(SUMIFS(U$32:U$350,$C$32:$C$350,{"Other energy industry own use","Own use by pump-storage plants","Own use by gas works","Own use by briquetting plants","Own use by charcoal plants"},$B$32:$B$350,$C621))</f>
        <v>-89.165113631182365</v>
      </c>
      <c r="V621" s="176" cm="1">
        <f t="array" ref="V621">SUMIFS(V$7:V$26,$C$7:$C$26,$C621)*SUM(SUMIFS(V$32:V$350,$C$32:$C$350,{"Other energy industry own use","Own use by pump-storage plants","Own use by gas works","Own use by briquetting plants","Own use by charcoal plants"},$B$32:$B$350,$C621))</f>
        <v>0</v>
      </c>
      <c r="W621" s="176" cm="1">
        <f t="array" ref="W621">SUMIFS(W$7:W$26,$C$7:$C$26,$C621)*SUM(SUMIFS(W$32:W$350,$C$32:$C$350,{"Other energy industry own use","Own use by pump-storage plants","Own use by gas works","Own use by briquetting plants","Own use by charcoal plants"},$B$32:$B$350,$C621))</f>
        <v>0</v>
      </c>
      <c r="X621" s="176" cm="1">
        <f t="array" ref="X621">SUMIFS(X$7:X$26,$C$7:$C$26,$C621)*SUM(SUMIFS(X$32:X$350,$C$32:$C$350,{"Other energy industry own use","Own use by pump-storage plants","Own use by gas works","Own use by briquetting plants","Own use by charcoal plants"},$B$32:$B$350,$C621))</f>
        <v>0</v>
      </c>
      <c r="Y621" s="176" cm="1">
        <f t="array" ref="Y621">SUMIFS(Y$7:Y$26,$C$7:$C$26,$C621)*SUM(SUMIFS(Y$32:Y$350,$C$32:$C$350,{"Other energy industry own use","Own use by pump-storage plants","Own use by gas works","Own use by briquetting plants","Own use by charcoal plants"},$B$32:$B$350,$C621))</f>
        <v>0</v>
      </c>
      <c r="Z621" s="176" cm="1">
        <f t="array" ref="Z621">SUMIFS(Z$7:Z$26,$C$7:$C$26,$C621)*SUM(SUMIFS(Z$32:Z$350,$C$32:$C$350,{"Other energy industry own use","Own use by pump-storage plants","Own use by gas works","Own use by briquetting plants","Own use by charcoal plants"},$B$32:$B$350,$C621))</f>
        <v>0</v>
      </c>
      <c r="AA621" s="176" cm="1">
        <f t="array" ref="AA621">SUMIFS(AA$7:AA$26,$C$7:$C$26,$C621)*SUM(SUMIFS(AA$32:AA$350,$C$32:$C$350,{"Other energy industry own use","Own use by pump-storage plants","Own use by gas works","Own use by briquetting plants","Own use by charcoal plants"},$B$32:$B$350,$C621))</f>
        <v>0</v>
      </c>
      <c r="AB621" s="176" cm="1">
        <f t="array" ref="AB621">SUMIFS(AB$7:AB$26,$C$7:$C$26,$C621)*SUM(SUMIFS(AB$32:AB$350,$C$32:$C$350,{"Other energy industry own use","Own use by pump-storage plants","Own use by gas works","Own use by briquetting plants","Own use by charcoal plants"},$B$32:$B$350,$C621))</f>
        <v>0</v>
      </c>
      <c r="AC621" s="176" cm="1">
        <f t="array" ref="AC621">SUMIFS(AC$7:AC$26,$C$7:$C$26,$C621)*SUM(SUMIFS(AC$32:AC$350,$C$32:$C$350,{"Other energy industry own use","Own use by pump-storage plants","Own use by gas works","Own use by briquetting plants","Own use by charcoal plants"},$B$32:$B$350,$C621))</f>
        <v>0</v>
      </c>
      <c r="AD621" s="176" cm="1">
        <f t="array" ref="AD621">SUMIFS(AD$7:AD$26,$C$7:$C$26,$C621)*SUM(SUMIFS(AD$32:AD$350,$C$32:$C$350,{"Other energy industry own use","Own use by pump-storage plants","Own use by gas works","Own use by briquetting plants","Own use by charcoal plants"},$B$32:$B$350,$C621))</f>
        <v>0</v>
      </c>
      <c r="AE621" s="176" cm="1">
        <f t="array" ref="AE621">SUMIFS(AE$7:AE$26,$C$7:$C$26,$C621)*SUM(SUMIFS(AE$32:AE$350,$C$32:$C$350,{"Other energy industry own use","Own use by pump-storage plants","Own use by gas works","Own use by briquetting plants","Own use by charcoal plants"},$B$32:$B$350,$C621))</f>
        <v>0</v>
      </c>
      <c r="AF621" s="287" cm="1">
        <f t="array" ref="AF621">SUMIFS(AF$7:AF$26,$C$7:$C$26,$C621)*SUM(SUMIFS(AF$32:AF$350,$C$32:$C$350,{"Other energy industry own use","Own use by pump-storage plants","Own use by gas works","Own use by briquetting plants","Own use by charcoal plants"},$B$32:$B$350,$C621))</f>
        <v>0</v>
      </c>
    </row>
    <row r="622" spans="1:32" s="59" customFormat="1">
      <c r="A622" s="95" t="s">
        <v>728</v>
      </c>
      <c r="B622" s="95" t="s">
        <v>753</v>
      </c>
      <c r="C622" s="71" t="s">
        <v>523</v>
      </c>
      <c r="D622" s="74" t="s">
        <v>387</v>
      </c>
      <c r="E622" s="176" cm="1">
        <f t="array" ref="E622">SUMIFS(E$7:E$26,$C$7:$C$26,$C622)*SUM(SUMIFS(E$32:E$350,$C$32:$C$350,{"Other energy industry own use","Own use by pump-storage plants","Own use by gas works","Own use by briquetting plants","Own use by charcoal plants"},$B$32:$B$350,$C622))</f>
        <v>0</v>
      </c>
      <c r="F622" s="176" cm="1">
        <f t="array" ref="F622">SUMIFS(F$7:F$26,$C$7:$C$26,$C622)*SUM(SUMIFS(F$32:F$350,$C$32:$C$350,{"Other energy industry own use","Own use by pump-storage plants","Own use by gas works","Own use by briquetting plants","Own use by charcoal plants"},$B$32:$B$350,$C622))</f>
        <v>0</v>
      </c>
      <c r="G622" s="176" cm="1">
        <f t="array" ref="G622">SUMIFS(G$7:G$26,$C$7:$C$26,$C622)*SUM(SUMIFS(G$32:G$350,$C$32:$C$350,{"Other energy industry own use","Own use by pump-storage plants","Own use by gas works","Own use by briquetting plants","Own use by charcoal plants"},$B$32:$B$350,$C622))</f>
        <v>0</v>
      </c>
      <c r="H622" s="176" cm="1">
        <f t="array" ref="H622">SUMIFS(H$7:H$26,$C$7:$C$26,$C622)*SUM(SUMIFS(H$32:H$350,$C$32:$C$350,{"Other energy industry own use","Own use by pump-storage plants","Own use by gas works","Own use by briquetting plants","Own use by charcoal plants"},$B$32:$B$350,$C622))</f>
        <v>0</v>
      </c>
      <c r="I622" s="176" cm="1">
        <f t="array" ref="I622">SUMIFS(I$7:I$26,$C$7:$C$26,$C622)*SUM(SUMIFS(I$32:I$350,$C$32:$C$350,{"Other energy industry own use","Own use by pump-storage plants","Own use by gas works","Own use by briquetting plants","Own use by charcoal plants"},$B$32:$B$350,$C622))</f>
        <v>0</v>
      </c>
      <c r="J622" s="176" cm="1">
        <f t="array" ref="J622">SUMIFS(J$7:J$26,$C$7:$C$26,$C622)*SUM(SUMIFS(J$32:J$350,$C$32:$C$350,{"Other energy industry own use","Own use by pump-storage plants","Own use by gas works","Own use by briquetting plants","Own use by charcoal plants"},$B$32:$B$350,$C622))</f>
        <v>0</v>
      </c>
      <c r="K622" s="176" cm="1">
        <f t="array" ref="K622">SUMIFS(K$7:K$26,$C$7:$C$26,$C622)*SUM(SUMIFS(K$32:K$350,$C$32:$C$350,{"Other energy industry own use","Own use by pump-storage plants","Own use by gas works","Own use by briquetting plants","Own use by charcoal plants"},$B$32:$B$350,$C622))</f>
        <v>0</v>
      </c>
      <c r="L622" s="176" cm="1">
        <f t="array" ref="L622">SUMIFS(L$7:L$26,$C$7:$C$26,$C622)*SUM(SUMIFS(L$32:L$350,$C$32:$C$350,{"Other energy industry own use","Own use by pump-storage plants","Own use by gas works","Own use by briquetting plants","Own use by charcoal plants"},$B$32:$B$350,$C622))</f>
        <v>0</v>
      </c>
      <c r="M622" s="176" cm="1">
        <f t="array" ref="M622">SUMIFS(M$7:M$26,$C$7:$C$26,$C622)*SUM(SUMIFS(M$32:M$350,$C$32:$C$350,{"Other energy industry own use","Own use by pump-storage plants","Own use by gas works","Own use by briquetting plants","Own use by charcoal plants"},$B$32:$B$350,$C622))</f>
        <v>0</v>
      </c>
      <c r="N622" s="176" cm="1">
        <f t="array" ref="N622">SUMIFS(N$7:N$26,$C$7:$C$26,$C622)*SUM(SUMIFS(N$32:N$350,$C$32:$C$350,{"Other energy industry own use","Own use by pump-storage plants","Own use by gas works","Own use by briquetting plants","Own use by charcoal plants"},$B$32:$B$350,$C622))</f>
        <v>0</v>
      </c>
      <c r="O622" s="176" cm="1">
        <f t="array" ref="O622">SUMIFS(O$7:O$26,$C$7:$C$26,$C622)*SUM(SUMIFS(O$32:O$350,$C$32:$C$350,{"Other energy industry own use","Own use by pump-storage plants","Own use by gas works","Own use by briquetting plants","Own use by charcoal plants"},$B$32:$B$350,$C622))</f>
        <v>0</v>
      </c>
      <c r="P622" s="176" cm="1">
        <f t="array" ref="P622">SUMIFS(P$7:P$26,$C$7:$C$26,$C622)*SUM(SUMIFS(P$32:P$350,$C$32:$C$350,{"Other energy industry own use","Own use by pump-storage plants","Own use by gas works","Own use by briquetting plants","Own use by charcoal plants"},$B$32:$B$350,$C622))</f>
        <v>0</v>
      </c>
      <c r="Q622" s="176" cm="1">
        <f t="array" ref="Q622">SUMIFS(Q$7:Q$26,$C$7:$C$26,$C622)*SUM(SUMIFS(Q$32:Q$350,$C$32:$C$350,{"Other energy industry own use","Own use by pump-storage plants","Own use by gas works","Own use by briquetting plants","Own use by charcoal plants"},$B$32:$B$350,$C622))</f>
        <v>0</v>
      </c>
      <c r="R622" s="176" cm="1">
        <f t="array" ref="R622">SUMIFS(R$7:R$26,$C$7:$C$26,$C622)*SUM(SUMIFS(R$32:R$350,$C$32:$C$350,{"Other energy industry own use","Own use by pump-storage plants","Own use by gas works","Own use by briquetting plants","Own use by charcoal plants"},$B$32:$B$350,$C622))</f>
        <v>0</v>
      </c>
      <c r="S622" s="176" cm="1">
        <f t="array" ref="S622">SUMIFS(S$7:S$26,$C$7:$C$26,$C622)*SUM(SUMIFS(S$32:S$350,$C$32:$C$350,{"Other energy industry own use","Own use by pump-storage plants","Own use by gas works","Own use by briquetting plants","Own use by charcoal plants"},$B$32:$B$350,$C622))</f>
        <v>0</v>
      </c>
      <c r="T622" s="176" cm="1">
        <f t="array" ref="T622">SUMIFS(T$7:T$26,$C$7:$C$26,$C622)*SUM(SUMIFS(T$32:T$350,$C$32:$C$350,{"Other energy industry own use","Own use by pump-storage plants","Own use by gas works","Own use by briquetting plants","Own use by charcoal plants"},$B$32:$B$350,$C622))</f>
        <v>0</v>
      </c>
      <c r="U622" s="176" cm="1">
        <f t="array" ref="U622">SUMIFS(U$7:U$26,$C$7:$C$26,$C622)*SUM(SUMIFS(U$32:U$350,$C$32:$C$350,{"Other energy industry own use","Own use by pump-storage plants","Own use by gas works","Own use by briquetting plants","Own use by charcoal plants"},$B$32:$B$350,$C622))</f>
        <v>-1008.4614011660697</v>
      </c>
      <c r="V622" s="176" cm="1">
        <f t="array" ref="V622">SUMIFS(V$7:V$26,$C$7:$C$26,$C622)*SUM(SUMIFS(V$32:V$350,$C$32:$C$350,{"Other energy industry own use","Own use by pump-storage plants","Own use by gas works","Own use by briquetting plants","Own use by charcoal plants"},$B$32:$B$350,$C622))</f>
        <v>0</v>
      </c>
      <c r="W622" s="176" cm="1">
        <f t="array" ref="W622">SUMIFS(W$7:W$26,$C$7:$C$26,$C622)*SUM(SUMIFS(W$32:W$350,$C$32:$C$350,{"Other energy industry own use","Own use by pump-storage plants","Own use by gas works","Own use by briquetting plants","Own use by charcoal plants"},$B$32:$B$350,$C622))</f>
        <v>0</v>
      </c>
      <c r="X622" s="176" cm="1">
        <f t="array" ref="X622">SUMIFS(X$7:X$26,$C$7:$C$26,$C622)*SUM(SUMIFS(X$32:X$350,$C$32:$C$350,{"Other energy industry own use","Own use by pump-storage plants","Own use by gas works","Own use by briquetting plants","Own use by charcoal plants"},$B$32:$B$350,$C622))</f>
        <v>0</v>
      </c>
      <c r="Y622" s="176" cm="1">
        <f t="array" ref="Y622">SUMIFS(Y$7:Y$26,$C$7:$C$26,$C622)*SUM(SUMIFS(Y$32:Y$350,$C$32:$C$350,{"Other energy industry own use","Own use by pump-storage plants","Own use by gas works","Own use by briquetting plants","Own use by charcoal plants"},$B$32:$B$350,$C622))</f>
        <v>0</v>
      </c>
      <c r="Z622" s="176" cm="1">
        <f t="array" ref="Z622">SUMIFS(Z$7:Z$26,$C$7:$C$26,$C622)*SUM(SUMIFS(Z$32:Z$350,$C$32:$C$350,{"Other energy industry own use","Own use by pump-storage plants","Own use by gas works","Own use by briquetting plants","Own use by charcoal plants"},$B$32:$B$350,$C622))</f>
        <v>0</v>
      </c>
      <c r="AA622" s="176" cm="1">
        <f t="array" ref="AA622">SUMIFS(AA$7:AA$26,$C$7:$C$26,$C622)*SUM(SUMIFS(AA$32:AA$350,$C$32:$C$350,{"Other energy industry own use","Own use by pump-storage plants","Own use by gas works","Own use by briquetting plants","Own use by charcoal plants"},$B$32:$B$350,$C622))</f>
        <v>0</v>
      </c>
      <c r="AB622" s="176" cm="1">
        <f t="array" ref="AB622">SUMIFS(AB$7:AB$26,$C$7:$C$26,$C622)*SUM(SUMIFS(AB$32:AB$350,$C$32:$C$350,{"Other energy industry own use","Own use by pump-storage plants","Own use by gas works","Own use by briquetting plants","Own use by charcoal plants"},$B$32:$B$350,$C622))</f>
        <v>0</v>
      </c>
      <c r="AC622" s="176" cm="1">
        <f t="array" ref="AC622">SUMIFS(AC$7:AC$26,$C$7:$C$26,$C622)*SUM(SUMIFS(AC$32:AC$350,$C$32:$C$350,{"Other energy industry own use","Own use by pump-storage plants","Own use by gas works","Own use by briquetting plants","Own use by charcoal plants"},$B$32:$B$350,$C622))</f>
        <v>0</v>
      </c>
      <c r="AD622" s="176" cm="1">
        <f t="array" ref="AD622">SUMIFS(AD$7:AD$26,$C$7:$C$26,$C622)*SUM(SUMIFS(AD$32:AD$350,$C$32:$C$350,{"Other energy industry own use","Own use by pump-storage plants","Own use by gas works","Own use by briquetting plants","Own use by charcoal plants"},$B$32:$B$350,$C622))</f>
        <v>0</v>
      </c>
      <c r="AE622" s="176" cm="1">
        <f t="array" ref="AE622">SUMIFS(AE$7:AE$26,$C$7:$C$26,$C622)*SUM(SUMIFS(AE$32:AE$350,$C$32:$C$350,{"Other energy industry own use","Own use by pump-storage plants","Own use by gas works","Own use by briquetting plants","Own use by charcoal plants"},$B$32:$B$350,$C622))</f>
        <v>0</v>
      </c>
      <c r="AF622" s="287" cm="1">
        <f t="array" ref="AF622">SUMIFS(AF$7:AF$26,$C$7:$C$26,$C622)*SUM(SUMIFS(AF$32:AF$350,$C$32:$C$350,{"Other energy industry own use","Own use by pump-storage plants","Own use by gas works","Own use by briquetting plants","Own use by charcoal plants"},$B$32:$B$350,$C622))</f>
        <v>0</v>
      </c>
    </row>
    <row r="623" spans="1:32" s="59" customFormat="1">
      <c r="A623" s="95" t="s">
        <v>728</v>
      </c>
      <c r="B623" s="95" t="s">
        <v>753</v>
      </c>
      <c r="C623" s="71" t="s">
        <v>525</v>
      </c>
      <c r="D623" s="74" t="s">
        <v>387</v>
      </c>
      <c r="E623" s="176" cm="1">
        <f t="array" ref="E623">SUMIFS(E$7:E$26,$C$7:$C$26,$C623)*SUM(SUMIFS(E$32:E$350,$C$32:$C$350,{"Other energy industry own use","Own use by pump-storage plants","Own use by gas works","Own use by briquetting plants","Own use by charcoal plants"},$B$32:$B$350,$C623))</f>
        <v>-28</v>
      </c>
      <c r="F623" s="176" cm="1">
        <f t="array" ref="F623">SUMIFS(F$7:F$26,$C$7:$C$26,$C623)*SUM(SUMIFS(F$32:F$350,$C$32:$C$350,{"Other energy industry own use","Own use by pump-storage plants","Own use by gas works","Own use by briquetting plants","Own use by charcoal plants"},$B$32:$B$350,$C623))</f>
        <v>0</v>
      </c>
      <c r="G623" s="176" cm="1">
        <f t="array" ref="G623">SUMIFS(G$7:G$26,$C$7:$C$26,$C623)*SUM(SUMIFS(G$32:G$350,$C$32:$C$350,{"Other energy industry own use","Own use by pump-storage plants","Own use by gas works","Own use by briquetting plants","Own use by charcoal plants"},$B$32:$B$350,$C623))</f>
        <v>0</v>
      </c>
      <c r="H623" s="176" cm="1">
        <f t="array" ref="H623">SUMIFS(H$7:H$26,$C$7:$C$26,$C623)*SUM(SUMIFS(H$32:H$350,$C$32:$C$350,{"Other energy industry own use","Own use by pump-storage plants","Own use by gas works","Own use by briquetting plants","Own use by charcoal plants"},$B$32:$B$350,$C623))</f>
        <v>-207</v>
      </c>
      <c r="I623" s="176" cm="1">
        <f t="array" ref="I623">SUMIFS(I$7:I$26,$C$7:$C$26,$C623)*SUM(SUMIFS(I$32:I$350,$C$32:$C$350,{"Other energy industry own use","Own use by pump-storage plants","Own use by gas works","Own use by briquetting plants","Own use by charcoal plants"},$B$32:$B$350,$C623))</f>
        <v>0</v>
      </c>
      <c r="J623" s="176" cm="1">
        <f t="array" ref="J623">SUMIFS(J$7:J$26,$C$7:$C$26,$C623)*SUM(SUMIFS(J$32:J$350,$C$32:$C$350,{"Other energy industry own use","Own use by pump-storage plants","Own use by gas works","Own use by briquetting plants","Own use by charcoal plants"},$B$32:$B$350,$C623))</f>
        <v>0</v>
      </c>
      <c r="K623" s="176" cm="1">
        <f t="array" ref="K623">SUMIFS(K$7:K$26,$C$7:$C$26,$C623)*SUM(SUMIFS(K$32:K$350,$C$32:$C$350,{"Other energy industry own use","Own use by pump-storage plants","Own use by gas works","Own use by briquetting plants","Own use by charcoal plants"},$B$32:$B$350,$C623))</f>
        <v>0</v>
      </c>
      <c r="L623" s="176" cm="1">
        <f t="array" ref="L623">SUMIFS(L$7:L$26,$C$7:$C$26,$C623)*SUM(SUMIFS(L$32:L$350,$C$32:$C$350,{"Other energy industry own use","Own use by pump-storage plants","Own use by gas works","Own use by briquetting plants","Own use by charcoal plants"},$B$32:$B$350,$C623))</f>
        <v>0</v>
      </c>
      <c r="M623" s="176" cm="1">
        <f t="array" ref="M623">SUMIFS(M$7:M$26,$C$7:$C$26,$C623)*SUM(SUMIFS(M$32:M$350,$C$32:$C$350,{"Other energy industry own use","Own use by pump-storage plants","Own use by gas works","Own use by briquetting plants","Own use by charcoal plants"},$B$32:$B$350,$C623))</f>
        <v>-548933</v>
      </c>
      <c r="N623" s="176" cm="1">
        <f t="array" ref="N623">SUMIFS(N$7:N$26,$C$7:$C$26,$C623)*SUM(SUMIFS(N$32:N$350,$C$32:$C$350,{"Other energy industry own use","Own use by pump-storage plants","Own use by gas works","Own use by briquetting plants","Own use by charcoal plants"},$B$32:$B$350,$C623))</f>
        <v>0</v>
      </c>
      <c r="O623" s="176" cm="1">
        <f t="array" ref="O623">SUMIFS(O$7:O$26,$C$7:$C$26,$C623)*SUM(SUMIFS(O$32:O$350,$C$32:$C$350,{"Other energy industry own use","Own use by pump-storage plants","Own use by gas works","Own use by briquetting plants","Own use by charcoal plants"},$B$32:$B$350,$C623))</f>
        <v>0</v>
      </c>
      <c r="P623" s="176" cm="1">
        <f t="array" ref="P623">SUMIFS(P$7:P$26,$C$7:$C$26,$C623)*SUM(SUMIFS(P$32:P$350,$C$32:$C$350,{"Other energy industry own use","Own use by pump-storage plants","Own use by gas works","Own use by briquetting plants","Own use by charcoal plants"},$B$32:$B$350,$C623))</f>
        <v>-559</v>
      </c>
      <c r="Q623" s="176" cm="1">
        <f t="array" ref="Q623">SUMIFS(Q$7:Q$26,$C$7:$C$26,$C623)*SUM(SUMIFS(Q$32:Q$350,$C$32:$C$350,{"Other energy industry own use","Own use by pump-storage plants","Own use by gas works","Own use by briquetting plants","Own use by charcoal plants"},$B$32:$B$350,$C623))</f>
        <v>-20</v>
      </c>
      <c r="R623" s="176" cm="1">
        <f t="array" ref="R623">SUMIFS(R$7:R$26,$C$7:$C$26,$C623)*SUM(SUMIFS(R$32:R$350,$C$32:$C$350,{"Other energy industry own use","Own use by pump-storage plants","Own use by gas works","Own use by briquetting plants","Own use by charcoal plants"},$B$32:$B$350,$C623))</f>
        <v>0</v>
      </c>
      <c r="S623" s="176" cm="1">
        <f t="array" ref="S623">SUMIFS(S$7:S$26,$C$7:$C$26,$C623)*SUM(SUMIFS(S$32:S$350,$C$32:$C$350,{"Other energy industry own use","Own use by pump-storage plants","Own use by gas works","Own use by briquetting plants","Own use by charcoal plants"},$B$32:$B$350,$C623))</f>
        <v>-20.045073687148655</v>
      </c>
      <c r="T623" s="176" cm="1">
        <f t="array" ref="T623">SUMIFS(T$7:T$26,$C$7:$C$26,$C623)*SUM(SUMIFS(T$32:T$350,$C$32:$C$350,{"Other energy industry own use","Own use by pump-storage plants","Own use by gas works","Own use by briquetting plants","Own use by charcoal plants"},$B$32:$B$350,$C623))</f>
        <v>0</v>
      </c>
      <c r="U623" s="176" cm="1">
        <f t="array" ref="U623">SUMIFS(U$7:U$26,$C$7:$C$26,$C623)*SUM(SUMIFS(U$32:U$350,$C$32:$C$350,{"Other energy industry own use","Own use by pump-storage plants","Own use by gas works","Own use by briquetting plants","Own use by charcoal plants"},$B$32:$B$350,$C623))</f>
        <v>-1230.3901725433823</v>
      </c>
      <c r="V623" s="176" cm="1">
        <f t="array" ref="V623">SUMIFS(V$7:V$26,$C$7:$C$26,$C623)*SUM(SUMIFS(V$32:V$350,$C$32:$C$350,{"Other energy industry own use","Own use by pump-storage plants","Own use by gas works","Own use by briquetting plants","Own use by charcoal plants"},$B$32:$B$350,$C623))</f>
        <v>0</v>
      </c>
      <c r="W623" s="176" cm="1">
        <f t="array" ref="W623">SUMIFS(W$7:W$26,$C$7:$C$26,$C623)*SUM(SUMIFS(W$32:W$350,$C$32:$C$350,{"Other energy industry own use","Own use by pump-storage plants","Own use by gas works","Own use by briquetting plants","Own use by charcoal plants"},$B$32:$B$350,$C623))</f>
        <v>0</v>
      </c>
      <c r="X623" s="176" cm="1">
        <f t="array" ref="X623">SUMIFS(X$7:X$26,$C$7:$C$26,$C623)*SUM(SUMIFS(X$32:X$350,$C$32:$C$350,{"Other energy industry own use","Own use by pump-storage plants","Own use by gas works","Own use by briquetting plants","Own use by charcoal plants"},$B$32:$B$350,$C623))</f>
        <v>0</v>
      </c>
      <c r="Y623" s="176" cm="1">
        <f t="array" ref="Y623">SUMIFS(Y$7:Y$26,$C$7:$C$26,$C623)*SUM(SUMIFS(Y$32:Y$350,$C$32:$C$350,{"Other energy industry own use","Own use by pump-storage plants","Own use by gas works","Own use by briquetting plants","Own use by charcoal plants"},$B$32:$B$350,$C623))</f>
        <v>-1423</v>
      </c>
      <c r="Z623" s="176" cm="1">
        <f t="array" ref="Z623">SUMIFS(Z$7:Z$26,$C$7:$C$26,$C623)*SUM(SUMIFS(Z$32:Z$350,$C$32:$C$350,{"Other energy industry own use","Own use by pump-storage plants","Own use by gas works","Own use by briquetting plants","Own use by charcoal plants"},$B$32:$B$350,$C623))</f>
        <v>0</v>
      </c>
      <c r="AA623" s="176" cm="1">
        <f t="array" ref="AA623">SUMIFS(AA$7:AA$26,$C$7:$C$26,$C623)*SUM(SUMIFS(AA$32:AA$350,$C$32:$C$350,{"Other energy industry own use","Own use by pump-storage plants","Own use by gas works","Own use by briquetting plants","Own use by charcoal plants"},$B$32:$B$350,$C623))</f>
        <v>0</v>
      </c>
      <c r="AB623" s="176" cm="1">
        <f t="array" ref="AB623">SUMIFS(AB$7:AB$26,$C$7:$C$26,$C623)*SUM(SUMIFS(AB$32:AB$350,$C$32:$C$350,{"Other energy industry own use","Own use by pump-storage plants","Own use by gas works","Own use by briquetting plants","Own use by charcoal plants"},$B$32:$B$350,$C623))</f>
        <v>0</v>
      </c>
      <c r="AC623" s="176" cm="1">
        <f t="array" ref="AC623">SUMIFS(AC$7:AC$26,$C$7:$C$26,$C623)*SUM(SUMIFS(AC$32:AC$350,$C$32:$C$350,{"Other energy industry own use","Own use by pump-storage plants","Own use by gas works","Own use by briquetting plants","Own use by charcoal plants"},$B$32:$B$350,$C623))</f>
        <v>0</v>
      </c>
      <c r="AD623" s="176" cm="1">
        <f t="array" ref="AD623">SUMIFS(AD$7:AD$26,$C$7:$C$26,$C623)*SUM(SUMIFS(AD$32:AD$350,$C$32:$C$350,{"Other energy industry own use","Own use by pump-storage plants","Own use by gas works","Own use by briquetting plants","Own use by charcoal plants"},$B$32:$B$350,$C623))</f>
        <v>0</v>
      </c>
      <c r="AE623" s="176" cm="1">
        <f t="array" ref="AE623">SUMIFS(AE$7:AE$26,$C$7:$C$26,$C623)*SUM(SUMIFS(AE$32:AE$350,$C$32:$C$350,{"Other energy industry own use","Own use by pump-storage plants","Own use by gas works","Own use by briquetting plants","Own use by charcoal plants"},$B$32:$B$350,$C623))</f>
        <v>0</v>
      </c>
      <c r="AF623" s="287" cm="1">
        <f t="array" ref="AF623">SUMIFS(AF$7:AF$26,$C$7:$C$26,$C623)*SUM(SUMIFS(AF$32:AF$350,$C$32:$C$350,{"Other energy industry own use","Own use by pump-storage plants","Own use by gas works","Own use by briquetting plants","Own use by charcoal plants"},$B$32:$B$350,$C623))</f>
        <v>0</v>
      </c>
    </row>
    <row r="624" spans="1:32" s="59" customFormat="1">
      <c r="A624" s="95" t="s">
        <v>728</v>
      </c>
      <c r="B624" s="95" t="s">
        <v>753</v>
      </c>
      <c r="C624" s="71" t="s">
        <v>527</v>
      </c>
      <c r="D624" s="74" t="s">
        <v>387</v>
      </c>
      <c r="E624" s="176" cm="1">
        <f t="array" ref="E624">SUMIFS(E$7:E$26,$C$7:$C$26,$C624)*SUM(SUMIFS(E$32:E$350,$C$32:$C$350,{"Other energy industry own use","Own use by pump-storage plants","Own use by gas works","Own use by briquetting plants","Own use by charcoal plants"},$B$32:$B$350,$C624))</f>
        <v>0</v>
      </c>
      <c r="F624" s="176" cm="1">
        <f t="array" ref="F624">SUMIFS(F$7:F$26,$C$7:$C$26,$C624)*SUM(SUMIFS(F$32:F$350,$C$32:$C$350,{"Other energy industry own use","Own use by pump-storage plants","Own use by gas works","Own use by briquetting plants","Own use by charcoal plants"},$B$32:$B$350,$C624))</f>
        <v>0</v>
      </c>
      <c r="G624" s="176" cm="1">
        <f t="array" ref="G624">SUMIFS(G$7:G$26,$C$7:$C$26,$C624)*SUM(SUMIFS(G$32:G$350,$C$32:$C$350,{"Other energy industry own use","Own use by pump-storage plants","Own use by gas works","Own use by briquetting plants","Own use by charcoal plants"},$B$32:$B$350,$C624))</f>
        <v>-144</v>
      </c>
      <c r="H624" s="176" cm="1">
        <f t="array" ref="H624">SUMIFS(H$7:H$26,$C$7:$C$26,$C624)*SUM(SUMIFS(H$32:H$350,$C$32:$C$350,{"Other energy industry own use","Own use by pump-storage plants","Own use by gas works","Own use by briquetting plants","Own use by charcoal plants"},$B$32:$B$350,$C624))</f>
        <v>-1070.577363607101</v>
      </c>
      <c r="I624" s="176" cm="1">
        <f t="array" ref="I624">SUMIFS(I$7:I$26,$C$7:$C$26,$C624)*SUM(SUMIFS(I$32:I$350,$C$32:$C$350,{"Other energy industry own use","Own use by pump-storage plants","Own use by gas works","Own use by briquetting plants","Own use by charcoal plants"},$B$32:$B$350,$C624))</f>
        <v>0</v>
      </c>
      <c r="J624" s="176" cm="1">
        <f t="array" ref="J624">SUMIFS(J$7:J$26,$C$7:$C$26,$C624)*SUM(SUMIFS(J$32:J$350,$C$32:$C$350,{"Other energy industry own use","Own use by pump-storage plants","Own use by gas works","Own use by briquetting plants","Own use by charcoal plants"},$B$32:$B$350,$C624))</f>
        <v>0</v>
      </c>
      <c r="K624" s="176" cm="1">
        <f t="array" ref="K624">SUMIFS(K$7:K$26,$C$7:$C$26,$C624)*SUM(SUMIFS(K$32:K$350,$C$32:$C$350,{"Other energy industry own use","Own use by pump-storage plants","Own use by gas works","Own use by briquetting plants","Own use by charcoal plants"},$B$32:$B$350,$C624))</f>
        <v>0</v>
      </c>
      <c r="L624" s="176" cm="1">
        <f t="array" ref="L624">SUMIFS(L$7:L$26,$C$7:$C$26,$C624)*SUM(SUMIFS(L$32:L$350,$C$32:$C$350,{"Other energy industry own use","Own use by pump-storage plants","Own use by gas works","Own use by briquetting plants","Own use by charcoal plants"},$B$32:$B$350,$C624))</f>
        <v>0</v>
      </c>
      <c r="M624" s="176" cm="1">
        <f t="array" ref="M624">SUMIFS(M$7:M$26,$C$7:$C$26,$C624)*SUM(SUMIFS(M$32:M$350,$C$32:$C$350,{"Other energy industry own use","Own use by pump-storage plants","Own use by gas works","Own use by briquetting plants","Own use by charcoal plants"},$B$32:$B$350,$C624))</f>
        <v>0</v>
      </c>
      <c r="N624" s="176" cm="1">
        <f t="array" ref="N624">SUMIFS(N$7:N$26,$C$7:$C$26,$C624)*SUM(SUMIFS(N$32:N$350,$C$32:$C$350,{"Other energy industry own use","Own use by pump-storage plants","Own use by gas works","Own use by briquetting plants","Own use by charcoal plants"},$B$32:$B$350,$C624))</f>
        <v>0</v>
      </c>
      <c r="O624" s="176" cm="1">
        <f t="array" ref="O624">SUMIFS(O$7:O$26,$C$7:$C$26,$C624)*SUM(SUMIFS(O$32:O$350,$C$32:$C$350,{"Other energy industry own use","Own use by pump-storage plants","Own use by gas works","Own use by briquetting plants","Own use by charcoal plants"},$B$32:$B$350,$C624))</f>
        <v>0</v>
      </c>
      <c r="P624" s="176" cm="1">
        <f t="array" ref="P624">SUMIFS(P$7:P$26,$C$7:$C$26,$C624)*SUM(SUMIFS(P$32:P$350,$C$32:$C$350,{"Other energy industry own use","Own use by pump-storage plants","Own use by gas works","Own use by briquetting plants","Own use by charcoal plants"},$B$32:$B$350,$C624))</f>
        <v>-29385.693567804312</v>
      </c>
      <c r="Q624" s="176" cm="1">
        <f t="array" ref="Q624">SUMIFS(Q$7:Q$26,$C$7:$C$26,$C624)*SUM(SUMIFS(Q$32:Q$350,$C$32:$C$350,{"Other energy industry own use","Own use by pump-storage plants","Own use by gas works","Own use by briquetting plants","Own use by charcoal plants"},$B$32:$B$350,$C624))</f>
        <v>-518.72957463061982</v>
      </c>
      <c r="R624" s="176" cm="1">
        <f t="array" ref="R624">SUMIFS(R$7:R$26,$C$7:$C$26,$C624)*SUM(SUMIFS(R$32:R$350,$C$32:$C$350,{"Other energy industry own use","Own use by pump-storage plants","Own use by gas works","Own use by briquetting plants","Own use by charcoal plants"},$B$32:$B$350,$C624))</f>
        <v>0</v>
      </c>
      <c r="S624" s="176" cm="1">
        <f t="array" ref="S624">SUMIFS(S$7:S$26,$C$7:$C$26,$C624)*SUM(SUMIFS(S$32:S$350,$C$32:$C$350,{"Other energy industry own use","Own use by pump-storage plants","Own use by gas works","Own use by briquetting plants","Own use by charcoal plants"},$B$32:$B$350,$C624))</f>
        <v>-1265.5271565438352</v>
      </c>
      <c r="T624" s="176" cm="1">
        <f t="array" ref="T624">SUMIFS(T$7:T$26,$C$7:$C$26,$C624)*SUM(SUMIFS(T$32:T$350,$C$32:$C$350,{"Other energy industry own use","Own use by pump-storage plants","Own use by gas works","Own use by briquetting plants","Own use by charcoal plants"},$B$32:$B$350,$C624))</f>
        <v>0</v>
      </c>
      <c r="U624" s="176" cm="1">
        <f t="array" ref="U624">SUMIFS(U$7:U$26,$C$7:$C$26,$C624)*SUM(SUMIFS(U$32:U$350,$C$32:$C$350,{"Other energy industry own use","Own use by pump-storage plants","Own use by gas works","Own use by briquetting plants","Own use by charcoal plants"},$B$32:$B$350,$C624))</f>
        <v>-5704.6794831040452</v>
      </c>
      <c r="V624" s="176" cm="1">
        <f t="array" ref="V624">SUMIFS(V$7:V$26,$C$7:$C$26,$C624)*SUM(SUMIFS(V$32:V$350,$C$32:$C$350,{"Other energy industry own use","Own use by pump-storage plants","Own use by gas works","Own use by briquetting plants","Own use by charcoal plants"},$B$32:$B$350,$C624))</f>
        <v>-61472</v>
      </c>
      <c r="W624" s="176" cm="1">
        <f t="array" ref="W624">SUMIFS(W$7:W$26,$C$7:$C$26,$C624)*SUM(SUMIFS(W$32:W$350,$C$32:$C$350,{"Other energy industry own use","Own use by pump-storage plants","Own use by gas works","Own use by briquetting plants","Own use by charcoal plants"},$B$32:$B$350,$C624))</f>
        <v>0</v>
      </c>
      <c r="X624" s="176" cm="1">
        <f t="array" ref="X624">SUMIFS(X$7:X$26,$C$7:$C$26,$C624)*SUM(SUMIFS(X$32:X$350,$C$32:$C$350,{"Other energy industry own use","Own use by pump-storage plants","Own use by gas works","Own use by briquetting plants","Own use by charcoal plants"},$B$32:$B$350,$C624))</f>
        <v>0</v>
      </c>
      <c r="Y624" s="176" cm="1">
        <f t="array" ref="Y624">SUMIFS(Y$7:Y$26,$C$7:$C$26,$C624)*SUM(SUMIFS(Y$32:Y$350,$C$32:$C$350,{"Other energy industry own use","Own use by pump-storage plants","Own use by gas works","Own use by briquetting plants","Own use by charcoal plants"},$B$32:$B$350,$C624))</f>
        <v>0</v>
      </c>
      <c r="Z624" s="176" cm="1">
        <f t="array" ref="Z624">SUMIFS(Z$7:Z$26,$C$7:$C$26,$C624)*SUM(SUMIFS(Z$32:Z$350,$C$32:$C$350,{"Other energy industry own use","Own use by pump-storage plants","Own use by gas works","Own use by briquetting plants","Own use by charcoal plants"},$B$32:$B$350,$C624))</f>
        <v>-466</v>
      </c>
      <c r="AA624" s="176" cm="1">
        <f t="array" ref="AA624">SUMIFS(AA$7:AA$26,$C$7:$C$26,$C624)*SUM(SUMIFS(AA$32:AA$350,$C$32:$C$350,{"Other energy industry own use","Own use by pump-storage plants","Own use by gas works","Own use by briquetting plants","Own use by charcoal plants"},$B$32:$B$350,$C624))</f>
        <v>0</v>
      </c>
      <c r="AB624" s="176" cm="1">
        <f t="array" ref="AB624">SUMIFS(AB$7:AB$26,$C$7:$C$26,$C624)*SUM(SUMIFS(AB$32:AB$350,$C$32:$C$350,{"Other energy industry own use","Own use by pump-storage plants","Own use by gas works","Own use by briquetting plants","Own use by charcoal plants"},$B$32:$B$350,$C624))</f>
        <v>0</v>
      </c>
      <c r="AC624" s="176" cm="1">
        <f t="array" ref="AC624">SUMIFS(AC$7:AC$26,$C$7:$C$26,$C624)*SUM(SUMIFS(AC$32:AC$350,$C$32:$C$350,{"Other energy industry own use","Own use by pump-storage plants","Own use by gas works","Own use by briquetting plants","Own use by charcoal plants"},$B$32:$B$350,$C624))</f>
        <v>0</v>
      </c>
      <c r="AD624" s="176" cm="1">
        <f t="array" ref="AD624">SUMIFS(AD$7:AD$26,$C$7:$C$26,$C624)*SUM(SUMIFS(AD$32:AD$350,$C$32:$C$350,{"Other energy industry own use","Own use by pump-storage plants","Own use by gas works","Own use by briquetting plants","Own use by charcoal plants"},$B$32:$B$350,$C624))</f>
        <v>0</v>
      </c>
      <c r="AE624" s="176" cm="1">
        <f t="array" ref="AE624">SUMIFS(AE$7:AE$26,$C$7:$C$26,$C624)*SUM(SUMIFS(AE$32:AE$350,$C$32:$C$350,{"Other energy industry own use","Own use by pump-storage plants","Own use by gas works","Own use by briquetting plants","Own use by charcoal plants"},$B$32:$B$350,$C624))</f>
        <v>0</v>
      </c>
      <c r="AF624" s="287" cm="1">
        <f t="array" ref="AF624">SUMIFS(AF$7:AF$26,$C$7:$C$26,$C624)*SUM(SUMIFS(AF$32:AF$350,$C$32:$C$350,{"Other energy industry own use","Own use by pump-storage plants","Own use by gas works","Own use by briquetting plants","Own use by charcoal plants"},$B$32:$B$350,$C624))</f>
        <v>0</v>
      </c>
    </row>
    <row r="625" spans="1:32" s="59" customFormat="1">
      <c r="A625" s="95" t="s">
        <v>728</v>
      </c>
      <c r="B625" s="95" t="s">
        <v>753</v>
      </c>
      <c r="C625" s="71" t="s">
        <v>529</v>
      </c>
      <c r="D625" s="74" t="s">
        <v>387</v>
      </c>
      <c r="E625" s="176" cm="1">
        <f t="array" ref="E625">SUMIFS(E$7:E$26,$C$7:$C$26,$C625)*SUM(SUMIFS(E$32:E$350,$C$32:$C$350,{"Other energy industry own use","Own use by pump-storage plants","Own use by gas works","Own use by briquetting plants","Own use by charcoal plants"},$B$32:$B$350,$C625))</f>
        <v>0</v>
      </c>
      <c r="F625" s="176" cm="1">
        <f t="array" ref="F625">SUMIFS(F$7:F$26,$C$7:$C$26,$C625)*SUM(SUMIFS(F$32:F$350,$C$32:$C$350,{"Other energy industry own use","Own use by pump-storage plants","Own use by gas works","Own use by briquetting plants","Own use by charcoal plants"},$B$32:$B$350,$C625))</f>
        <v>0</v>
      </c>
      <c r="G625" s="176" cm="1">
        <f t="array" ref="G625">SUMIFS(G$7:G$26,$C$7:$C$26,$C625)*SUM(SUMIFS(G$32:G$350,$C$32:$C$350,{"Other energy industry own use","Own use by pump-storage plants","Own use by gas works","Own use by briquetting plants","Own use by charcoal plants"},$B$32:$B$350,$C625))</f>
        <v>0</v>
      </c>
      <c r="H625" s="176" cm="1">
        <f t="array" ref="H625">SUMIFS(H$7:H$26,$C$7:$C$26,$C625)*SUM(SUMIFS(H$32:H$350,$C$32:$C$350,{"Other energy industry own use","Own use by pump-storage plants","Own use by gas works","Own use by briquetting plants","Own use by charcoal plants"},$B$32:$B$350,$C625))</f>
        <v>0</v>
      </c>
      <c r="I625" s="176" cm="1">
        <f t="array" ref="I625">SUMIFS(I$7:I$26,$C$7:$C$26,$C625)*SUM(SUMIFS(I$32:I$350,$C$32:$C$350,{"Other energy industry own use","Own use by pump-storage plants","Own use by gas works","Own use by briquetting plants","Own use by charcoal plants"},$B$32:$B$350,$C625))</f>
        <v>0</v>
      </c>
      <c r="J625" s="176" cm="1">
        <f t="array" ref="J625">SUMIFS(J$7:J$26,$C$7:$C$26,$C625)*SUM(SUMIFS(J$32:J$350,$C$32:$C$350,{"Other energy industry own use","Own use by pump-storage plants","Own use by gas works","Own use by briquetting plants","Own use by charcoal plants"},$B$32:$B$350,$C625))</f>
        <v>0</v>
      </c>
      <c r="K625" s="176" cm="1">
        <f t="array" ref="K625">SUMIFS(K$7:K$26,$C$7:$C$26,$C625)*SUM(SUMIFS(K$32:K$350,$C$32:$C$350,{"Other energy industry own use","Own use by pump-storage plants","Own use by gas works","Own use by briquetting plants","Own use by charcoal plants"},$B$32:$B$350,$C625))</f>
        <v>0</v>
      </c>
      <c r="L625" s="176" cm="1">
        <f t="array" ref="L625">SUMIFS(L$7:L$26,$C$7:$C$26,$C625)*SUM(SUMIFS(L$32:L$350,$C$32:$C$350,{"Other energy industry own use","Own use by pump-storage plants","Own use by gas works","Own use by briquetting plants","Own use by charcoal plants"},$B$32:$B$350,$C625))</f>
        <v>0</v>
      </c>
      <c r="M625" s="176" cm="1">
        <f t="array" ref="M625">SUMIFS(M$7:M$26,$C$7:$C$26,$C625)*SUM(SUMIFS(M$32:M$350,$C$32:$C$350,{"Other energy industry own use","Own use by pump-storage plants","Own use by gas works","Own use by briquetting plants","Own use by charcoal plants"},$B$32:$B$350,$C625))</f>
        <v>0</v>
      </c>
      <c r="N625" s="176" cm="1">
        <f t="array" ref="N625">SUMIFS(N$7:N$26,$C$7:$C$26,$C625)*SUM(SUMIFS(N$32:N$350,$C$32:$C$350,{"Other energy industry own use","Own use by pump-storage plants","Own use by gas works","Own use by briquetting plants","Own use by charcoal plants"},$B$32:$B$350,$C625))</f>
        <v>0</v>
      </c>
      <c r="O625" s="176" cm="1">
        <f t="array" ref="O625">SUMIFS(O$7:O$26,$C$7:$C$26,$C625)*SUM(SUMIFS(O$32:O$350,$C$32:$C$350,{"Other energy industry own use","Own use by pump-storage plants","Own use by gas works","Own use by briquetting plants","Own use by charcoal plants"},$B$32:$B$350,$C625))</f>
        <v>0</v>
      </c>
      <c r="P625" s="176" cm="1">
        <f t="array" ref="P625">SUMIFS(P$7:P$26,$C$7:$C$26,$C625)*SUM(SUMIFS(P$32:P$350,$C$32:$C$350,{"Other energy industry own use","Own use by pump-storage plants","Own use by gas works","Own use by briquetting plants","Own use by charcoal plants"},$B$32:$B$350,$C625))</f>
        <v>0</v>
      </c>
      <c r="Q625" s="176" cm="1">
        <f t="array" ref="Q625">SUMIFS(Q$7:Q$26,$C$7:$C$26,$C625)*SUM(SUMIFS(Q$32:Q$350,$C$32:$C$350,{"Other energy industry own use","Own use by pump-storage plants","Own use by gas works","Own use by briquetting plants","Own use by charcoal plants"},$B$32:$B$350,$C625))</f>
        <v>-1188</v>
      </c>
      <c r="R625" s="176" cm="1">
        <f t="array" ref="R625">SUMIFS(R$7:R$26,$C$7:$C$26,$C625)*SUM(SUMIFS(R$32:R$350,$C$32:$C$350,{"Other energy industry own use","Own use by pump-storage plants","Own use by gas works","Own use by briquetting plants","Own use by charcoal plants"},$B$32:$B$350,$C625))</f>
        <v>0</v>
      </c>
      <c r="S625" s="176" cm="1">
        <f t="array" ref="S625">SUMIFS(S$7:S$26,$C$7:$C$26,$C625)*SUM(SUMIFS(S$32:S$350,$C$32:$C$350,{"Other energy industry own use","Own use by pump-storage plants","Own use by gas works","Own use by briquetting plants","Own use by charcoal plants"},$B$32:$B$350,$C625))</f>
        <v>-1.6976814989498892</v>
      </c>
      <c r="T625" s="176" cm="1">
        <f t="array" ref="T625">SUMIFS(T$7:T$26,$C$7:$C$26,$C625)*SUM(SUMIFS(T$32:T$350,$C$32:$C$350,{"Other energy industry own use","Own use by pump-storage plants","Own use by gas works","Own use by briquetting plants","Own use by charcoal plants"},$B$32:$B$350,$C625))</f>
        <v>0</v>
      </c>
      <c r="U625" s="176" cm="1">
        <f t="array" ref="U625">SUMIFS(U$7:U$26,$C$7:$C$26,$C625)*SUM(SUMIFS(U$32:U$350,$C$32:$C$350,{"Other energy industry own use","Own use by pump-storage plants","Own use by gas works","Own use by briquetting plants","Own use by charcoal plants"},$B$32:$B$350,$C625))</f>
        <v>-6426</v>
      </c>
      <c r="V625" s="176" cm="1">
        <f t="array" ref="V625">SUMIFS(V$7:V$26,$C$7:$C$26,$C625)*SUM(SUMIFS(V$32:V$350,$C$32:$C$350,{"Other energy industry own use","Own use by pump-storage plants","Own use by gas works","Own use by briquetting plants","Own use by charcoal plants"},$B$32:$B$350,$C625))</f>
        <v>0</v>
      </c>
      <c r="W625" s="176" cm="1">
        <f t="array" ref="W625">SUMIFS(W$7:W$26,$C$7:$C$26,$C625)*SUM(SUMIFS(W$32:W$350,$C$32:$C$350,{"Other energy industry own use","Own use by pump-storage plants","Own use by gas works","Own use by briquetting plants","Own use by charcoal plants"},$B$32:$B$350,$C625))</f>
        <v>0</v>
      </c>
      <c r="X625" s="176" cm="1">
        <f t="array" ref="X625">SUMIFS(X$7:X$26,$C$7:$C$26,$C625)*SUM(SUMIFS(X$32:X$350,$C$32:$C$350,{"Other energy industry own use","Own use by pump-storage plants","Own use by gas works","Own use by briquetting plants","Own use by charcoal plants"},$B$32:$B$350,$C625))</f>
        <v>0</v>
      </c>
      <c r="Y625" s="176" cm="1">
        <f t="array" ref="Y625">SUMIFS(Y$7:Y$26,$C$7:$C$26,$C625)*SUM(SUMIFS(Y$32:Y$350,$C$32:$C$350,{"Other energy industry own use","Own use by pump-storage plants","Own use by gas works","Own use by briquetting plants","Own use by charcoal plants"},$B$32:$B$350,$C625))</f>
        <v>0</v>
      </c>
      <c r="Z625" s="176" cm="1">
        <f t="array" ref="Z625">SUMIFS(Z$7:Z$26,$C$7:$C$26,$C625)*SUM(SUMIFS(Z$32:Z$350,$C$32:$C$350,{"Other energy industry own use","Own use by pump-storage plants","Own use by gas works","Own use by briquetting plants","Own use by charcoal plants"},$B$32:$B$350,$C625))</f>
        <v>0</v>
      </c>
      <c r="AA625" s="176" cm="1">
        <f t="array" ref="AA625">SUMIFS(AA$7:AA$26,$C$7:$C$26,$C625)*SUM(SUMIFS(AA$32:AA$350,$C$32:$C$350,{"Other energy industry own use","Own use by pump-storage plants","Own use by gas works","Own use by briquetting plants","Own use by charcoal plants"},$B$32:$B$350,$C625))</f>
        <v>0</v>
      </c>
      <c r="AB625" s="176" cm="1">
        <f t="array" ref="AB625">SUMIFS(AB$7:AB$26,$C$7:$C$26,$C625)*SUM(SUMIFS(AB$32:AB$350,$C$32:$C$350,{"Other energy industry own use","Own use by pump-storage plants","Own use by gas works","Own use by briquetting plants","Own use by charcoal plants"},$B$32:$B$350,$C625))</f>
        <v>0</v>
      </c>
      <c r="AC625" s="176" cm="1">
        <f t="array" ref="AC625">SUMIFS(AC$7:AC$26,$C$7:$C$26,$C625)*SUM(SUMIFS(AC$32:AC$350,$C$32:$C$350,{"Other energy industry own use","Own use by pump-storage plants","Own use by gas works","Own use by briquetting plants","Own use by charcoal plants"},$B$32:$B$350,$C625))</f>
        <v>0</v>
      </c>
      <c r="AD625" s="176" cm="1">
        <f t="array" ref="AD625">SUMIFS(AD$7:AD$26,$C$7:$C$26,$C625)*SUM(SUMIFS(AD$32:AD$350,$C$32:$C$350,{"Other energy industry own use","Own use by pump-storage plants","Own use by gas works","Own use by briquetting plants","Own use by charcoal plants"},$B$32:$B$350,$C625))</f>
        <v>0</v>
      </c>
      <c r="AE625" s="176" cm="1">
        <f t="array" ref="AE625">SUMIFS(AE$7:AE$26,$C$7:$C$26,$C625)*SUM(SUMIFS(AE$32:AE$350,$C$32:$C$350,{"Other energy industry own use","Own use by pump-storage plants","Own use by gas works","Own use by briquetting plants","Own use by charcoal plants"},$B$32:$B$350,$C625))</f>
        <v>0</v>
      </c>
      <c r="AF625" s="287" cm="1">
        <f t="array" ref="AF625">SUMIFS(AF$7:AF$26,$C$7:$C$26,$C625)*SUM(SUMIFS(AF$32:AF$350,$C$32:$C$350,{"Other energy industry own use","Own use by pump-storage plants","Own use by gas works","Own use by briquetting plants","Own use by charcoal plants"},$B$32:$B$350,$C625))</f>
        <v>0</v>
      </c>
    </row>
    <row r="626" spans="1:32" s="59" customFormat="1">
      <c r="A626" s="95" t="s">
        <v>728</v>
      </c>
      <c r="B626" s="95" t="s">
        <v>753</v>
      </c>
      <c r="C626" s="71" t="s">
        <v>531</v>
      </c>
      <c r="D626" s="74" t="s">
        <v>387</v>
      </c>
      <c r="E626" s="176" cm="1">
        <f t="array" ref="E626">SUMIFS(E$7:E$26,$C$7:$C$26,$C626)*SUM(SUMIFS(E$32:E$350,$C$32:$C$350,{"Other energy industry own use","Own use by pump-storage plants","Own use by gas works","Own use by briquetting plants","Own use by charcoal plants"},$B$32:$B$350,$C626))</f>
        <v>0</v>
      </c>
      <c r="F626" s="176" cm="1">
        <f t="array" ref="F626">SUMIFS(F$7:F$26,$C$7:$C$26,$C626)*SUM(SUMIFS(F$32:F$350,$C$32:$C$350,{"Other energy industry own use","Own use by pump-storage plants","Own use by gas works","Own use by briquetting plants","Own use by charcoal plants"},$B$32:$B$350,$C626))</f>
        <v>0</v>
      </c>
      <c r="G626" s="176" cm="1">
        <f t="array" ref="G626">SUMIFS(G$7:G$26,$C$7:$C$26,$C626)*SUM(SUMIFS(G$32:G$350,$C$32:$C$350,{"Other energy industry own use","Own use by pump-storage plants","Own use by gas works","Own use by briquetting plants","Own use by charcoal plants"},$B$32:$B$350,$C626))</f>
        <v>0</v>
      </c>
      <c r="H626" s="176" cm="1">
        <f t="array" ref="H626">SUMIFS(H$7:H$26,$C$7:$C$26,$C626)*SUM(SUMIFS(H$32:H$350,$C$32:$C$350,{"Other energy industry own use","Own use by pump-storage plants","Own use by gas works","Own use by briquetting plants","Own use by charcoal plants"},$B$32:$B$350,$C626))</f>
        <v>0</v>
      </c>
      <c r="I626" s="176" cm="1">
        <f t="array" ref="I626">SUMIFS(I$7:I$26,$C$7:$C$26,$C626)*SUM(SUMIFS(I$32:I$350,$C$32:$C$350,{"Other energy industry own use","Own use by pump-storage plants","Own use by gas works","Own use by briquetting plants","Own use by charcoal plants"},$B$32:$B$350,$C626))</f>
        <v>0</v>
      </c>
      <c r="J626" s="176" cm="1">
        <f t="array" ref="J626">SUMIFS(J$7:J$26,$C$7:$C$26,$C626)*SUM(SUMIFS(J$32:J$350,$C$32:$C$350,{"Other energy industry own use","Own use by pump-storage plants","Own use by gas works","Own use by briquetting plants","Own use by charcoal plants"},$B$32:$B$350,$C626))</f>
        <v>0</v>
      </c>
      <c r="K626" s="176" cm="1">
        <f t="array" ref="K626">SUMIFS(K$7:K$26,$C$7:$C$26,$C626)*SUM(SUMIFS(K$32:K$350,$C$32:$C$350,{"Other energy industry own use","Own use by pump-storage plants","Own use by gas works","Own use by briquetting plants","Own use by charcoal plants"},$B$32:$B$350,$C626))</f>
        <v>0</v>
      </c>
      <c r="L626" s="176" cm="1">
        <f t="array" ref="L626">SUMIFS(L$7:L$26,$C$7:$C$26,$C626)*SUM(SUMIFS(L$32:L$350,$C$32:$C$350,{"Other energy industry own use","Own use by pump-storage plants","Own use by gas works","Own use by briquetting plants","Own use by charcoal plants"},$B$32:$B$350,$C626))</f>
        <v>0</v>
      </c>
      <c r="M626" s="176" cm="1">
        <f t="array" ref="M626">SUMIFS(M$7:M$26,$C$7:$C$26,$C626)*SUM(SUMIFS(M$32:M$350,$C$32:$C$350,{"Other energy industry own use","Own use by pump-storage plants","Own use by gas works","Own use by briquetting plants","Own use by charcoal plants"},$B$32:$B$350,$C626))</f>
        <v>0</v>
      </c>
      <c r="N626" s="176" cm="1">
        <f t="array" ref="N626">SUMIFS(N$7:N$26,$C$7:$C$26,$C626)*SUM(SUMIFS(N$32:N$350,$C$32:$C$350,{"Other energy industry own use","Own use by pump-storage plants","Own use by gas works","Own use by briquetting plants","Own use by charcoal plants"},$B$32:$B$350,$C626))</f>
        <v>0</v>
      </c>
      <c r="O626" s="176" cm="1">
        <f t="array" ref="O626">SUMIFS(O$7:O$26,$C$7:$C$26,$C626)*SUM(SUMIFS(O$32:O$350,$C$32:$C$350,{"Other energy industry own use","Own use by pump-storage plants","Own use by gas works","Own use by briquetting plants","Own use by charcoal plants"},$B$32:$B$350,$C626))</f>
        <v>0</v>
      </c>
      <c r="P626" s="176" cm="1">
        <f t="array" ref="P626">SUMIFS(P$7:P$26,$C$7:$C$26,$C626)*SUM(SUMIFS(P$32:P$350,$C$32:$C$350,{"Other energy industry own use","Own use by pump-storage plants","Own use by gas works","Own use by briquetting plants","Own use by charcoal plants"},$B$32:$B$350,$C626))</f>
        <v>-1595.9546232876712</v>
      </c>
      <c r="Q626" s="176" cm="1">
        <f t="array" ref="Q626">SUMIFS(Q$7:Q$26,$C$7:$C$26,$C626)*SUM(SUMIFS(Q$32:Q$350,$C$32:$C$350,{"Other energy industry own use","Own use by pump-storage plants","Own use by gas works","Own use by briquetting plants","Own use by charcoal plants"},$B$32:$B$350,$C626))</f>
        <v>0</v>
      </c>
      <c r="R626" s="176" cm="1">
        <f t="array" ref="R626">SUMIFS(R$7:R$26,$C$7:$C$26,$C626)*SUM(SUMIFS(R$32:R$350,$C$32:$C$350,{"Other energy industry own use","Own use by pump-storage plants","Own use by gas works","Own use by briquetting plants","Own use by charcoal plants"},$B$32:$B$350,$C626))</f>
        <v>0</v>
      </c>
      <c r="S626" s="176" cm="1">
        <f t="array" ref="S626">SUMIFS(S$7:S$26,$C$7:$C$26,$C626)*SUM(SUMIFS(S$32:S$350,$C$32:$C$350,{"Other energy industry own use","Own use by pump-storage plants","Own use by gas works","Own use by briquetting plants","Own use by charcoal plants"},$B$32:$B$350,$C626))</f>
        <v>-792.98517714056197</v>
      </c>
      <c r="T626" s="176" cm="1">
        <f t="array" ref="T626">SUMIFS(T$7:T$26,$C$7:$C$26,$C626)*SUM(SUMIFS(T$32:T$350,$C$32:$C$350,{"Other energy industry own use","Own use by pump-storage plants","Own use by gas works","Own use by briquetting plants","Own use by charcoal plants"},$B$32:$B$350,$C626))</f>
        <v>0</v>
      </c>
      <c r="U626" s="176" cm="1">
        <f t="array" ref="U626">SUMIFS(U$7:U$26,$C$7:$C$26,$C626)*SUM(SUMIFS(U$32:U$350,$C$32:$C$350,{"Other energy industry own use","Own use by pump-storage plants","Own use by gas works","Own use by briquetting plants","Own use by charcoal plants"},$B$32:$B$350,$C626))</f>
        <v>0</v>
      </c>
      <c r="V626" s="176" cm="1">
        <f t="array" ref="V626">SUMIFS(V$7:V$26,$C$7:$C$26,$C626)*SUM(SUMIFS(V$32:V$350,$C$32:$C$350,{"Other energy industry own use","Own use by pump-storage plants","Own use by gas works","Own use by briquetting plants","Own use by charcoal plants"},$B$32:$B$350,$C626))</f>
        <v>0</v>
      </c>
      <c r="W626" s="176" cm="1">
        <f t="array" ref="W626">SUMIFS(W$7:W$26,$C$7:$C$26,$C626)*SUM(SUMIFS(W$32:W$350,$C$32:$C$350,{"Other energy industry own use","Own use by pump-storage plants","Own use by gas works","Own use by briquetting plants","Own use by charcoal plants"},$B$32:$B$350,$C626))</f>
        <v>0</v>
      </c>
      <c r="X626" s="176" cm="1">
        <f t="array" ref="X626">SUMIFS(X$7:X$26,$C$7:$C$26,$C626)*SUM(SUMIFS(X$32:X$350,$C$32:$C$350,{"Other energy industry own use","Own use by pump-storage plants","Own use by gas works","Own use by briquetting plants","Own use by charcoal plants"},$B$32:$B$350,$C626))</f>
        <v>0</v>
      </c>
      <c r="Y626" s="176" cm="1">
        <f t="array" ref="Y626">SUMIFS(Y$7:Y$26,$C$7:$C$26,$C626)*SUM(SUMIFS(Y$32:Y$350,$C$32:$C$350,{"Other energy industry own use","Own use by pump-storage plants","Own use by gas works","Own use by briquetting plants","Own use by charcoal plants"},$B$32:$B$350,$C626))</f>
        <v>0</v>
      </c>
      <c r="Z626" s="176" cm="1">
        <f t="array" ref="Z626">SUMIFS(Z$7:Z$26,$C$7:$C$26,$C626)*SUM(SUMIFS(Z$32:Z$350,$C$32:$C$350,{"Other energy industry own use","Own use by pump-storage plants","Own use by gas works","Own use by briquetting plants","Own use by charcoal plants"},$B$32:$B$350,$C626))</f>
        <v>0</v>
      </c>
      <c r="AA626" s="176" cm="1">
        <f t="array" ref="AA626">SUMIFS(AA$7:AA$26,$C$7:$C$26,$C626)*SUM(SUMIFS(AA$32:AA$350,$C$32:$C$350,{"Other energy industry own use","Own use by pump-storage plants","Own use by gas works","Own use by briquetting plants","Own use by charcoal plants"},$B$32:$B$350,$C626))</f>
        <v>0</v>
      </c>
      <c r="AB626" s="176" cm="1">
        <f t="array" ref="AB626">SUMIFS(AB$7:AB$26,$C$7:$C$26,$C626)*SUM(SUMIFS(AB$32:AB$350,$C$32:$C$350,{"Other energy industry own use","Own use by pump-storage plants","Own use by gas works","Own use by briquetting plants","Own use by charcoal plants"},$B$32:$B$350,$C626))</f>
        <v>0</v>
      </c>
      <c r="AC626" s="176" cm="1">
        <f t="array" ref="AC626">SUMIFS(AC$7:AC$26,$C$7:$C$26,$C626)*SUM(SUMIFS(AC$32:AC$350,$C$32:$C$350,{"Other energy industry own use","Own use by pump-storage plants","Own use by gas works","Own use by briquetting plants","Own use by charcoal plants"},$B$32:$B$350,$C626))</f>
        <v>0</v>
      </c>
      <c r="AD626" s="176" cm="1">
        <f t="array" ref="AD626">SUMIFS(AD$7:AD$26,$C$7:$C$26,$C626)*SUM(SUMIFS(AD$32:AD$350,$C$32:$C$350,{"Other energy industry own use","Own use by pump-storage plants","Own use by gas works","Own use by briquetting plants","Own use by charcoal plants"},$B$32:$B$350,$C626))</f>
        <v>0</v>
      </c>
      <c r="AE626" s="176" cm="1">
        <f t="array" ref="AE626">SUMIFS(AE$7:AE$26,$C$7:$C$26,$C626)*SUM(SUMIFS(AE$32:AE$350,$C$32:$C$350,{"Other energy industry own use","Own use by pump-storage plants","Own use by gas works","Own use by briquetting plants","Own use by charcoal plants"},$B$32:$B$350,$C626))</f>
        <v>0</v>
      </c>
      <c r="AF626" s="287" cm="1">
        <f t="array" ref="AF626">SUMIFS(AF$7:AF$26,$C$7:$C$26,$C626)*SUM(SUMIFS(AF$32:AF$350,$C$32:$C$350,{"Other energy industry own use","Own use by pump-storage plants","Own use by gas works","Own use by briquetting plants","Own use by charcoal plants"},$B$32:$B$350,$C626))</f>
        <v>0</v>
      </c>
    </row>
    <row r="627" spans="1:32" s="59" customFormat="1">
      <c r="A627" s="95" t="s">
        <v>728</v>
      </c>
      <c r="B627" s="95" t="s">
        <v>753</v>
      </c>
      <c r="C627" s="71" t="s">
        <v>533</v>
      </c>
      <c r="D627" s="74" t="s">
        <v>387</v>
      </c>
      <c r="E627" s="176" cm="1">
        <f t="array" ref="E627">SUMIFS(E$7:E$26,$C$7:$C$26,$C627)*SUM(SUMIFS(E$32:E$350,$C$32:$C$350,{"Other energy industry own use","Own use by pump-storage plants","Own use by gas works","Own use by briquetting plants","Own use by charcoal plants"},$B$32:$B$350,$C627))</f>
        <v>0</v>
      </c>
      <c r="F627" s="176" cm="1">
        <f t="array" ref="F627">SUMIFS(F$7:F$26,$C$7:$C$26,$C627)*SUM(SUMIFS(F$32:F$350,$C$32:$C$350,{"Other energy industry own use","Own use by pump-storage plants","Own use by gas works","Own use by briquetting plants","Own use by charcoal plants"},$B$32:$B$350,$C627))</f>
        <v>0</v>
      </c>
      <c r="G627" s="176" cm="1">
        <f t="array" ref="G627">SUMIFS(G$7:G$26,$C$7:$C$26,$C627)*SUM(SUMIFS(G$32:G$350,$C$32:$C$350,{"Other energy industry own use","Own use by pump-storage plants","Own use by gas works","Own use by briquetting plants","Own use by charcoal plants"},$B$32:$B$350,$C627))</f>
        <v>0</v>
      </c>
      <c r="H627" s="176" cm="1">
        <f t="array" ref="H627">SUMIFS(H$7:H$26,$C$7:$C$26,$C627)*SUM(SUMIFS(H$32:H$350,$C$32:$C$350,{"Other energy industry own use","Own use by pump-storage plants","Own use by gas works","Own use by briquetting plants","Own use by charcoal plants"},$B$32:$B$350,$C627))</f>
        <v>0</v>
      </c>
      <c r="I627" s="176" cm="1">
        <f t="array" ref="I627">SUMIFS(I$7:I$26,$C$7:$C$26,$C627)*SUM(SUMIFS(I$32:I$350,$C$32:$C$350,{"Other energy industry own use","Own use by pump-storage plants","Own use by gas works","Own use by briquetting plants","Own use by charcoal plants"},$B$32:$B$350,$C627))</f>
        <v>0</v>
      </c>
      <c r="J627" s="176" cm="1">
        <f t="array" ref="J627">SUMIFS(J$7:J$26,$C$7:$C$26,$C627)*SUM(SUMIFS(J$32:J$350,$C$32:$C$350,{"Other energy industry own use","Own use by pump-storage plants","Own use by gas works","Own use by briquetting plants","Own use by charcoal plants"},$B$32:$B$350,$C627))</f>
        <v>0</v>
      </c>
      <c r="K627" s="176" cm="1">
        <f t="array" ref="K627">SUMIFS(K$7:K$26,$C$7:$C$26,$C627)*SUM(SUMIFS(K$32:K$350,$C$32:$C$350,{"Other energy industry own use","Own use by pump-storage plants","Own use by gas works","Own use by briquetting plants","Own use by charcoal plants"},$B$32:$B$350,$C627))</f>
        <v>0</v>
      </c>
      <c r="L627" s="176" cm="1">
        <f t="array" ref="L627">SUMIFS(L$7:L$26,$C$7:$C$26,$C627)*SUM(SUMIFS(L$32:L$350,$C$32:$C$350,{"Other energy industry own use","Own use by pump-storage plants","Own use by gas works","Own use by briquetting plants","Own use by charcoal plants"},$B$32:$B$350,$C627))</f>
        <v>0</v>
      </c>
      <c r="M627" s="176" cm="1">
        <f t="array" ref="M627">SUMIFS(M$7:M$26,$C$7:$C$26,$C627)*SUM(SUMIFS(M$32:M$350,$C$32:$C$350,{"Other energy industry own use","Own use by pump-storage plants","Own use by gas works","Own use by briquetting plants","Own use by charcoal plants"},$B$32:$B$350,$C627))</f>
        <v>0</v>
      </c>
      <c r="N627" s="176" cm="1">
        <f t="array" ref="N627">SUMIFS(N$7:N$26,$C$7:$C$26,$C627)*SUM(SUMIFS(N$32:N$350,$C$32:$C$350,{"Other energy industry own use","Own use by pump-storage plants","Own use by gas works","Own use by briquetting plants","Own use by charcoal plants"},$B$32:$B$350,$C627))</f>
        <v>0</v>
      </c>
      <c r="O627" s="176" cm="1">
        <f t="array" ref="O627">SUMIFS(O$7:O$26,$C$7:$C$26,$C627)*SUM(SUMIFS(O$32:O$350,$C$32:$C$350,{"Other energy industry own use","Own use by pump-storage plants","Own use by gas works","Own use by briquetting plants","Own use by charcoal plants"},$B$32:$B$350,$C627))</f>
        <v>0</v>
      </c>
      <c r="P627" s="176" cm="1">
        <f t="array" ref="P627">SUMIFS(P$7:P$26,$C$7:$C$26,$C627)*SUM(SUMIFS(P$32:P$350,$C$32:$C$350,{"Other energy industry own use","Own use by pump-storage plants","Own use by gas works","Own use by briquetting plants","Own use by charcoal plants"},$B$32:$B$350,$C627))</f>
        <v>0</v>
      </c>
      <c r="Q627" s="176" cm="1">
        <f t="array" ref="Q627">SUMIFS(Q$7:Q$26,$C$7:$C$26,$C627)*SUM(SUMIFS(Q$32:Q$350,$C$32:$C$350,{"Other energy industry own use","Own use by pump-storage plants","Own use by gas works","Own use by briquetting plants","Own use by charcoal plants"},$B$32:$B$350,$C627))</f>
        <v>0</v>
      </c>
      <c r="R627" s="176" cm="1">
        <f t="array" ref="R627">SUMIFS(R$7:R$26,$C$7:$C$26,$C627)*SUM(SUMIFS(R$32:R$350,$C$32:$C$350,{"Other energy industry own use","Own use by pump-storage plants","Own use by gas works","Own use by briquetting plants","Own use by charcoal plants"},$B$32:$B$350,$C627))</f>
        <v>0</v>
      </c>
      <c r="S627" s="176" cm="1">
        <f t="array" ref="S627">SUMIFS(S$7:S$26,$C$7:$C$26,$C627)*SUM(SUMIFS(S$32:S$350,$C$32:$C$350,{"Other energy industry own use","Own use by pump-storage plants","Own use by gas works","Own use by briquetting plants","Own use by charcoal plants"},$B$32:$B$350,$C627))</f>
        <v>0</v>
      </c>
      <c r="T627" s="176" cm="1">
        <f t="array" ref="T627">SUMIFS(T$7:T$26,$C$7:$C$26,$C627)*SUM(SUMIFS(T$32:T$350,$C$32:$C$350,{"Other energy industry own use","Own use by pump-storage plants","Own use by gas works","Own use by briquetting plants","Own use by charcoal plants"},$B$32:$B$350,$C627))</f>
        <v>0</v>
      </c>
      <c r="U627" s="176" cm="1">
        <f t="array" ref="U627">SUMIFS(U$7:U$26,$C$7:$C$26,$C627)*SUM(SUMIFS(U$32:U$350,$C$32:$C$350,{"Other energy industry own use","Own use by pump-storage plants","Own use by gas works","Own use by briquetting plants","Own use by charcoal plants"},$B$32:$B$350,$C627))</f>
        <v>0</v>
      </c>
      <c r="V627" s="176" cm="1">
        <f t="array" ref="V627">SUMIFS(V$7:V$26,$C$7:$C$26,$C627)*SUM(SUMIFS(V$32:V$350,$C$32:$C$350,{"Other energy industry own use","Own use by pump-storage plants","Own use by gas works","Own use by briquetting plants","Own use by charcoal plants"},$B$32:$B$350,$C627))</f>
        <v>-197</v>
      </c>
      <c r="W627" s="176" cm="1">
        <f t="array" ref="W627">SUMIFS(W$7:W$26,$C$7:$C$26,$C627)*SUM(SUMIFS(W$32:W$350,$C$32:$C$350,{"Other energy industry own use","Own use by pump-storage plants","Own use by gas works","Own use by briquetting plants","Own use by charcoal plants"},$B$32:$B$350,$C627))</f>
        <v>0</v>
      </c>
      <c r="X627" s="176" cm="1">
        <f t="array" ref="X627">SUMIFS(X$7:X$26,$C$7:$C$26,$C627)*SUM(SUMIFS(X$32:X$350,$C$32:$C$350,{"Other energy industry own use","Own use by pump-storage plants","Own use by gas works","Own use by briquetting plants","Own use by charcoal plants"},$B$32:$B$350,$C627))</f>
        <v>0</v>
      </c>
      <c r="Y627" s="176" cm="1">
        <f t="array" ref="Y627">SUMIFS(Y$7:Y$26,$C$7:$C$26,$C627)*SUM(SUMIFS(Y$32:Y$350,$C$32:$C$350,{"Other energy industry own use","Own use by pump-storage plants","Own use by gas works","Own use by briquetting plants","Own use by charcoal plants"},$B$32:$B$350,$C627))</f>
        <v>0</v>
      </c>
      <c r="Z627" s="176" cm="1">
        <f t="array" ref="Z627">SUMIFS(Z$7:Z$26,$C$7:$C$26,$C627)*SUM(SUMIFS(Z$32:Z$350,$C$32:$C$350,{"Other energy industry own use","Own use by pump-storage plants","Own use by gas works","Own use by briquetting plants","Own use by charcoal plants"},$B$32:$B$350,$C627))</f>
        <v>0</v>
      </c>
      <c r="AA627" s="176" cm="1">
        <f t="array" ref="AA627">SUMIFS(AA$7:AA$26,$C$7:$C$26,$C627)*SUM(SUMIFS(AA$32:AA$350,$C$32:$C$350,{"Other energy industry own use","Own use by pump-storage plants","Own use by gas works","Own use by briquetting plants","Own use by charcoal plants"},$B$32:$B$350,$C627))</f>
        <v>0</v>
      </c>
      <c r="AB627" s="176" cm="1">
        <f t="array" ref="AB627">SUMIFS(AB$7:AB$26,$C$7:$C$26,$C627)*SUM(SUMIFS(AB$32:AB$350,$C$32:$C$350,{"Other energy industry own use","Own use by pump-storage plants","Own use by gas works","Own use by briquetting plants","Own use by charcoal plants"},$B$32:$B$350,$C627))</f>
        <v>0</v>
      </c>
      <c r="AC627" s="176" cm="1">
        <f t="array" ref="AC627">SUMIFS(AC$7:AC$26,$C$7:$C$26,$C627)*SUM(SUMIFS(AC$32:AC$350,$C$32:$C$350,{"Other energy industry own use","Own use by pump-storage plants","Own use by gas works","Own use by briquetting plants","Own use by charcoal plants"},$B$32:$B$350,$C627))</f>
        <v>0</v>
      </c>
      <c r="AD627" s="176" cm="1">
        <f t="array" ref="AD627">SUMIFS(AD$7:AD$26,$C$7:$C$26,$C627)*SUM(SUMIFS(AD$32:AD$350,$C$32:$C$350,{"Other energy industry own use","Own use by pump-storage plants","Own use by gas works","Own use by briquetting plants","Own use by charcoal plants"},$B$32:$B$350,$C627))</f>
        <v>0</v>
      </c>
      <c r="AE627" s="176" cm="1">
        <f t="array" ref="AE627">SUMIFS(AE$7:AE$26,$C$7:$C$26,$C627)*SUM(SUMIFS(AE$32:AE$350,$C$32:$C$350,{"Other energy industry own use","Own use by pump-storage plants","Own use by gas works","Own use by briquetting plants","Own use by charcoal plants"},$B$32:$B$350,$C627))</f>
        <v>0</v>
      </c>
      <c r="AF627" s="287" cm="1">
        <f t="array" ref="AF627">SUMIFS(AF$7:AF$26,$C$7:$C$26,$C627)*SUM(SUMIFS(AF$32:AF$350,$C$32:$C$350,{"Other energy industry own use","Own use by pump-storage plants","Own use by gas works","Own use by briquetting plants","Own use by charcoal plants"},$B$32:$B$350,$C627))</f>
        <v>0</v>
      </c>
    </row>
    <row r="628" spans="1:32" s="59" customFormat="1">
      <c r="A628" s="95" t="s">
        <v>728</v>
      </c>
      <c r="B628" s="95" t="s">
        <v>753</v>
      </c>
      <c r="C628" s="71" t="s">
        <v>535</v>
      </c>
      <c r="D628" s="74" t="s">
        <v>387</v>
      </c>
      <c r="E628" s="176" cm="1">
        <f t="array" ref="E628">SUMIFS(E$7:E$26,$C$7:$C$26,$C628)*SUM(SUMIFS(E$32:E$350,$C$32:$C$350,{"Other energy industry own use","Own use by pump-storage plants","Own use by gas works","Own use by briquetting plants","Own use by charcoal plants"},$B$32:$B$350,$C628))</f>
        <v>0</v>
      </c>
      <c r="F628" s="176" cm="1">
        <f t="array" ref="F628">SUMIFS(F$7:F$26,$C$7:$C$26,$C628)*SUM(SUMIFS(F$32:F$350,$C$32:$C$350,{"Other energy industry own use","Own use by pump-storage plants","Own use by gas works","Own use by briquetting plants","Own use by charcoal plants"},$B$32:$B$350,$C628))</f>
        <v>0</v>
      </c>
      <c r="G628" s="176" cm="1">
        <f t="array" ref="G628">SUMIFS(G$7:G$26,$C$7:$C$26,$C628)*SUM(SUMIFS(G$32:G$350,$C$32:$C$350,{"Other energy industry own use","Own use by pump-storage plants","Own use by gas works","Own use by briquetting plants","Own use by charcoal plants"},$B$32:$B$350,$C628))</f>
        <v>0</v>
      </c>
      <c r="H628" s="176" cm="1">
        <f t="array" ref="H628">SUMIFS(H$7:H$26,$C$7:$C$26,$C628)*SUM(SUMIFS(H$32:H$350,$C$32:$C$350,{"Other energy industry own use","Own use by pump-storage plants","Own use by gas works","Own use by briquetting plants","Own use by charcoal plants"},$B$32:$B$350,$C628))</f>
        <v>0</v>
      </c>
      <c r="I628" s="176" cm="1">
        <f t="array" ref="I628">SUMIFS(I$7:I$26,$C$7:$C$26,$C628)*SUM(SUMIFS(I$32:I$350,$C$32:$C$350,{"Other energy industry own use","Own use by pump-storage plants","Own use by gas works","Own use by briquetting plants","Own use by charcoal plants"},$B$32:$B$350,$C628))</f>
        <v>-1538.1502058101544</v>
      </c>
      <c r="J628" s="176" cm="1">
        <f t="array" ref="J628">SUMIFS(J$7:J$26,$C$7:$C$26,$C628)*SUM(SUMIFS(J$32:J$350,$C$32:$C$350,{"Other energy industry own use","Own use by pump-storage plants","Own use by gas works","Own use by briquetting plants","Own use by charcoal plants"},$B$32:$B$350,$C628))</f>
        <v>-81.047411364026132</v>
      </c>
      <c r="K628" s="176" cm="1">
        <f t="array" ref="K628">SUMIFS(K$7:K$26,$C$7:$C$26,$C628)*SUM(SUMIFS(K$32:K$350,$C$32:$C$350,{"Other energy industry own use","Own use by pump-storage plants","Own use by gas works","Own use by briquetting plants","Own use by charcoal plants"},$B$32:$B$350,$C628))</f>
        <v>0</v>
      </c>
      <c r="L628" s="176" cm="1">
        <f t="array" ref="L628">SUMIFS(L$7:L$26,$C$7:$C$26,$C628)*SUM(SUMIFS(L$32:L$350,$C$32:$C$350,{"Other energy industry own use","Own use by pump-storage plants","Own use by gas works","Own use by briquetting plants","Own use by charcoal plants"},$B$32:$B$350,$C628))</f>
        <v>0</v>
      </c>
      <c r="M628" s="176" cm="1">
        <f t="array" ref="M628">SUMIFS(M$7:M$26,$C$7:$C$26,$C628)*SUM(SUMIFS(M$32:M$350,$C$32:$C$350,{"Other energy industry own use","Own use by pump-storage plants","Own use by gas works","Own use by briquetting plants","Own use by charcoal plants"},$B$32:$B$350,$C628))</f>
        <v>0</v>
      </c>
      <c r="N628" s="176" cm="1">
        <f t="array" ref="N628">SUMIFS(N$7:N$26,$C$7:$C$26,$C628)*SUM(SUMIFS(N$32:N$350,$C$32:$C$350,{"Other energy industry own use","Own use by pump-storage plants","Own use by gas works","Own use by briquetting plants","Own use by charcoal plants"},$B$32:$B$350,$C628))</f>
        <v>0</v>
      </c>
      <c r="O628" s="176" cm="1">
        <f t="array" ref="O628">SUMIFS(O$7:O$26,$C$7:$C$26,$C628)*SUM(SUMIFS(O$32:O$350,$C$32:$C$350,{"Other energy industry own use","Own use by pump-storage plants","Own use by gas works","Own use by briquetting plants","Own use by charcoal plants"},$B$32:$B$350,$C628))</f>
        <v>0</v>
      </c>
      <c r="P628" s="176" cm="1">
        <f t="array" ref="P628">SUMIFS(P$7:P$26,$C$7:$C$26,$C628)*SUM(SUMIFS(P$32:P$350,$C$32:$C$350,{"Other energy industry own use","Own use by pump-storage plants","Own use by gas works","Own use by briquetting plants","Own use by charcoal plants"},$B$32:$B$350,$C628))</f>
        <v>-877.98590381426209</v>
      </c>
      <c r="Q628" s="176" cm="1">
        <f t="array" ref="Q628">SUMIFS(Q$7:Q$26,$C$7:$C$26,$C628)*SUM(SUMIFS(Q$32:Q$350,$C$32:$C$350,{"Other energy industry own use","Own use by pump-storage plants","Own use by gas works","Own use by briquetting plants","Own use by charcoal plants"},$B$32:$B$350,$C628))</f>
        <v>-947.94550891571612</v>
      </c>
      <c r="R628" s="176" cm="1">
        <f t="array" ref="R628">SUMIFS(R$7:R$26,$C$7:$C$26,$C628)*SUM(SUMIFS(R$32:R$350,$C$32:$C$350,{"Other energy industry own use","Own use by pump-storage plants","Own use by gas works","Own use by briquetting plants","Own use by charcoal plants"},$B$32:$B$350,$C628))</f>
        <v>0</v>
      </c>
      <c r="S628" s="176" cm="1">
        <f t="array" ref="S628">SUMIFS(S$7:S$26,$C$7:$C$26,$C628)*SUM(SUMIFS(S$32:S$350,$C$32:$C$350,{"Other energy industry own use","Own use by pump-storage plants","Own use by gas works","Own use by briquetting plants","Own use by charcoal plants"},$B$32:$B$350,$C628))</f>
        <v>-559.76076434947834</v>
      </c>
      <c r="T628" s="176" cm="1">
        <f t="array" ref="T628">SUMIFS(T$7:T$26,$C$7:$C$26,$C628)*SUM(SUMIFS(T$32:T$350,$C$32:$C$350,{"Other energy industry own use","Own use by pump-storage plants","Own use by gas works","Own use by briquetting plants","Own use by charcoal plants"},$B$32:$B$350,$C628))</f>
        <v>0</v>
      </c>
      <c r="U628" s="176" cm="1">
        <f t="array" ref="U628">SUMIFS(U$7:U$26,$C$7:$C$26,$C628)*SUM(SUMIFS(U$32:U$350,$C$32:$C$350,{"Other energy industry own use","Own use by pump-storage plants","Own use by gas works","Own use by briquetting plants","Own use by charcoal plants"},$B$32:$B$350,$C628))</f>
        <v>-5.9659038265542481</v>
      </c>
      <c r="V628" s="176" cm="1">
        <f t="array" ref="V628">SUMIFS(V$7:V$26,$C$7:$C$26,$C628)*SUM(SUMIFS(V$32:V$350,$C$32:$C$350,{"Other energy industry own use","Own use by pump-storage plants","Own use by gas works","Own use by briquetting plants","Own use by charcoal plants"},$B$32:$B$350,$C628))</f>
        <v>0</v>
      </c>
      <c r="W628" s="176" cm="1">
        <f t="array" ref="W628">SUMIFS(W$7:W$26,$C$7:$C$26,$C628)*SUM(SUMIFS(W$32:W$350,$C$32:$C$350,{"Other energy industry own use","Own use by pump-storage plants","Own use by gas works","Own use by briquetting plants","Own use by charcoal plants"},$B$32:$B$350,$C628))</f>
        <v>0</v>
      </c>
      <c r="X628" s="176" cm="1">
        <f t="array" ref="X628">SUMIFS(X$7:X$26,$C$7:$C$26,$C628)*SUM(SUMIFS(X$32:X$350,$C$32:$C$350,{"Other energy industry own use","Own use by pump-storage plants","Own use by gas works","Own use by briquetting plants","Own use by charcoal plants"},$B$32:$B$350,$C628))</f>
        <v>0</v>
      </c>
      <c r="Y628" s="176" cm="1">
        <f t="array" ref="Y628">SUMIFS(Y$7:Y$26,$C$7:$C$26,$C628)*SUM(SUMIFS(Y$32:Y$350,$C$32:$C$350,{"Other energy industry own use","Own use by pump-storage plants","Own use by gas works","Own use by briquetting plants","Own use by charcoal plants"},$B$32:$B$350,$C628))</f>
        <v>0</v>
      </c>
      <c r="Z628" s="176" cm="1">
        <f t="array" ref="Z628">SUMIFS(Z$7:Z$26,$C$7:$C$26,$C628)*SUM(SUMIFS(Z$32:Z$350,$C$32:$C$350,{"Other energy industry own use","Own use by pump-storage plants","Own use by gas works","Own use by briquetting plants","Own use by charcoal plants"},$B$32:$B$350,$C628))</f>
        <v>0</v>
      </c>
      <c r="AA628" s="176" cm="1">
        <f t="array" ref="AA628">SUMIFS(AA$7:AA$26,$C$7:$C$26,$C628)*SUM(SUMIFS(AA$32:AA$350,$C$32:$C$350,{"Other energy industry own use","Own use by pump-storage plants","Own use by gas works","Own use by briquetting plants","Own use by charcoal plants"},$B$32:$B$350,$C628))</f>
        <v>-295.26579186533007</v>
      </c>
      <c r="AB628" s="176" cm="1">
        <f t="array" ref="AB628">SUMIFS(AB$7:AB$26,$C$7:$C$26,$C628)*SUM(SUMIFS(AB$32:AB$350,$C$32:$C$350,{"Other energy industry own use","Own use by pump-storage plants","Own use by gas works","Own use by briquetting plants","Own use by charcoal plants"},$B$32:$B$350,$C628))</f>
        <v>0</v>
      </c>
      <c r="AC628" s="176" cm="1">
        <f t="array" ref="AC628">SUMIFS(AC$7:AC$26,$C$7:$C$26,$C628)*SUM(SUMIFS(AC$32:AC$350,$C$32:$C$350,{"Other energy industry own use","Own use by pump-storage plants","Own use by gas works","Own use by briquetting plants","Own use by charcoal plants"},$B$32:$B$350,$C628))</f>
        <v>0</v>
      </c>
      <c r="AD628" s="176" cm="1">
        <f t="array" ref="AD628">SUMIFS(AD$7:AD$26,$C$7:$C$26,$C628)*SUM(SUMIFS(AD$32:AD$350,$C$32:$C$350,{"Other energy industry own use","Own use by pump-storage plants","Own use by gas works","Own use by briquetting plants","Own use by charcoal plants"},$B$32:$B$350,$C628))</f>
        <v>0</v>
      </c>
      <c r="AE628" s="176" cm="1">
        <f t="array" ref="AE628">SUMIFS(AE$7:AE$26,$C$7:$C$26,$C628)*SUM(SUMIFS(AE$32:AE$350,$C$32:$C$350,{"Other energy industry own use","Own use by pump-storage plants","Own use by gas works","Own use by briquetting plants","Own use by charcoal plants"},$B$32:$B$350,$C628))</f>
        <v>0</v>
      </c>
      <c r="AF628" s="287" cm="1">
        <f t="array" ref="AF628">SUMIFS(AF$7:AF$26,$C$7:$C$26,$C628)*SUM(SUMIFS(AF$32:AF$350,$C$32:$C$350,{"Other energy industry own use","Own use by pump-storage plants","Own use by gas works","Own use by briquetting plants","Own use by charcoal plants"},$B$32:$B$350,$C628))</f>
        <v>0</v>
      </c>
    </row>
    <row r="629" spans="1:32" s="59" customFormat="1">
      <c r="A629" s="95" t="s">
        <v>728</v>
      </c>
      <c r="B629" s="95" t="s">
        <v>753</v>
      </c>
      <c r="C629" s="71" t="s">
        <v>537</v>
      </c>
      <c r="D629" s="74" t="s">
        <v>387</v>
      </c>
      <c r="E629" s="176" cm="1">
        <f t="array" ref="E629">SUMIFS(E$7:E$26,$C$7:$C$26,$C629)*SUM(SUMIFS(E$32:E$350,$C$32:$C$350,{"Other energy industry own use","Own use by pump-storage plants","Own use by gas works","Own use by briquetting plants","Own use by charcoal plants"},$B$32:$B$350,$C629))</f>
        <v>0</v>
      </c>
      <c r="F629" s="176" cm="1">
        <f t="array" ref="F629">SUMIFS(F$7:F$26,$C$7:$C$26,$C629)*SUM(SUMIFS(F$32:F$350,$C$32:$C$350,{"Other energy industry own use","Own use by pump-storage plants","Own use by gas works","Own use by briquetting plants","Own use by charcoal plants"},$B$32:$B$350,$C629))</f>
        <v>-1857.6974775924198</v>
      </c>
      <c r="G629" s="176" cm="1">
        <f t="array" ref="G629">SUMIFS(G$7:G$26,$C$7:$C$26,$C629)*SUM(SUMIFS(G$32:G$350,$C$32:$C$350,{"Other energy industry own use","Own use by pump-storage plants","Own use by gas works","Own use by briquetting plants","Own use by charcoal plants"},$B$32:$B$350,$C629))</f>
        <v>-156.23331886480545</v>
      </c>
      <c r="H629" s="176" cm="1">
        <f t="array" ref="H629">SUMIFS(H$7:H$26,$C$7:$C$26,$C629)*SUM(SUMIFS(H$32:H$350,$C$32:$C$350,{"Other energy industry own use","Own use by pump-storage plants","Own use by gas works","Own use by briquetting plants","Own use by charcoal plants"},$B$32:$B$350,$C629))</f>
        <v>-20595.714373088951</v>
      </c>
      <c r="I629" s="176" cm="1">
        <f t="array" ref="I629">SUMIFS(I$7:I$26,$C$7:$C$26,$C629)*SUM(SUMIFS(I$32:I$350,$C$32:$C$350,{"Other energy industry own use","Own use by pump-storage plants","Own use by gas works","Own use by briquetting plants","Own use by charcoal plants"},$B$32:$B$350,$C629))</f>
        <v>-4504.389540097075</v>
      </c>
      <c r="J629" s="176" cm="1">
        <f t="array" ref="J629">SUMIFS(J$7:J$26,$C$7:$C$26,$C629)*SUM(SUMIFS(J$32:J$350,$C$32:$C$350,{"Other energy industry own use","Own use by pump-storage plants","Own use by gas works","Own use by briquetting plants","Own use by charcoal plants"},$B$32:$B$350,$C629))</f>
        <v>-772.33716991095048</v>
      </c>
      <c r="K629" s="176" cm="1">
        <f t="array" ref="K629">SUMIFS(K$7:K$26,$C$7:$C$26,$C629)*SUM(SUMIFS(K$32:K$350,$C$32:$C$350,{"Other energy industry own use","Own use by pump-storage plants","Own use by gas works","Own use by briquetting plants","Own use by charcoal plants"},$B$32:$B$350,$C629))</f>
        <v>0</v>
      </c>
      <c r="L629" s="176" cm="1">
        <f t="array" ref="L629">SUMIFS(L$7:L$26,$C$7:$C$26,$C629)*SUM(SUMIFS(L$32:L$350,$C$32:$C$350,{"Other energy industry own use","Own use by pump-storage plants","Own use by gas works","Own use by briquetting plants","Own use by charcoal plants"},$B$32:$B$350,$C629))</f>
        <v>0</v>
      </c>
      <c r="M629" s="176" cm="1">
        <f t="array" ref="M629">SUMIFS(M$7:M$26,$C$7:$C$26,$C629)*SUM(SUMIFS(M$32:M$350,$C$32:$C$350,{"Other energy industry own use","Own use by pump-storage plants","Own use by gas works","Own use by briquetting plants","Own use by charcoal plants"},$B$32:$B$350,$C629))</f>
        <v>-34063.200000000004</v>
      </c>
      <c r="N629" s="176" cm="1">
        <f t="array" ref="N629">SUMIFS(N$7:N$26,$C$7:$C$26,$C629)*SUM(SUMIFS(N$32:N$350,$C$32:$C$350,{"Other energy industry own use","Own use by pump-storage plants","Own use by gas works","Own use by briquetting plants","Own use by charcoal plants"},$B$32:$B$350,$C629))</f>
        <v>-1056.6767462957362</v>
      </c>
      <c r="O629" s="176" cm="1">
        <f t="array" ref="O629">SUMIFS(O$7:O$26,$C$7:$C$26,$C629)*SUM(SUMIFS(O$32:O$350,$C$32:$C$350,{"Other energy industry own use","Own use by pump-storage plants","Own use by gas works","Own use by briquetting plants","Own use by charcoal plants"},$B$32:$B$350,$C629))</f>
        <v>0</v>
      </c>
      <c r="P629" s="176" cm="1">
        <f t="array" ref="P629">SUMIFS(P$7:P$26,$C$7:$C$26,$C629)*SUM(SUMIFS(P$32:P$350,$C$32:$C$350,{"Other energy industry own use","Own use by pump-storage plants","Own use by gas works","Own use by briquetting plants","Own use by charcoal plants"},$B$32:$B$350,$C629))</f>
        <v>-64409.558535197015</v>
      </c>
      <c r="Q629" s="176" cm="1">
        <f t="array" ref="Q629">SUMIFS(Q$7:Q$26,$C$7:$C$26,$C629)*SUM(SUMIFS(Q$32:Q$350,$C$32:$C$350,{"Other energy industry own use","Own use by pump-storage plants","Own use by gas works","Own use by briquetting plants","Own use by charcoal plants"},$B$32:$B$350,$C629))</f>
        <v>-10339.83738329514</v>
      </c>
      <c r="R629" s="176" cm="1">
        <f t="array" ref="R629">SUMIFS(R$7:R$26,$C$7:$C$26,$C629)*SUM(SUMIFS(R$32:R$350,$C$32:$C$350,{"Other energy industry own use","Own use by pump-storage plants","Own use by gas works","Own use by briquetting plants","Own use by charcoal plants"},$B$32:$B$350,$C629))</f>
        <v>-29371.27777578629</v>
      </c>
      <c r="S629" s="176" cm="1">
        <f t="array" ref="S629">SUMIFS(S$7:S$26,$C$7:$C$26,$C629)*SUM(SUMIFS(S$32:S$350,$C$32:$C$350,{"Other energy industry own use","Own use by pump-storage plants","Own use by gas works","Own use by briquetting plants","Own use by charcoal plants"},$B$32:$B$350,$C629))</f>
        <v>-34528.16488932303</v>
      </c>
      <c r="T629" s="176" cm="1">
        <f t="array" ref="T629">SUMIFS(T$7:T$26,$C$7:$C$26,$C629)*SUM(SUMIFS(T$32:T$350,$C$32:$C$350,{"Other energy industry own use","Own use by pump-storage plants","Own use by gas works","Own use by briquetting plants","Own use by charcoal plants"},$B$32:$B$350,$C629))</f>
        <v>-79627.414665779172</v>
      </c>
      <c r="U629" s="176" cm="1">
        <f t="array" ref="U629">SUMIFS(U$7:U$26,$C$7:$C$26,$C629)*SUM(SUMIFS(U$32:U$350,$C$32:$C$350,{"Other energy industry own use","Own use by pump-storage plants","Own use by gas works","Own use by briquetting plants","Own use by charcoal plants"},$B$32:$B$350,$C629))</f>
        <v>-75479.447761234551</v>
      </c>
      <c r="V629" s="176" cm="1">
        <f t="array" ref="V629">SUMIFS(V$7:V$26,$C$7:$C$26,$C629)*SUM(SUMIFS(V$32:V$350,$C$32:$C$350,{"Other energy industry own use","Own use by pump-storage plants","Own use by gas works","Own use by briquetting plants","Own use by charcoal plants"},$B$32:$B$350,$C629))</f>
        <v>0</v>
      </c>
      <c r="W629" s="176" cm="1">
        <f t="array" ref="W629">SUMIFS(W$7:W$26,$C$7:$C$26,$C629)*SUM(SUMIFS(W$32:W$350,$C$32:$C$350,{"Other energy industry own use","Own use by pump-storage plants","Own use by gas works","Own use by briquetting plants","Own use by charcoal plants"},$B$32:$B$350,$C629))</f>
        <v>0</v>
      </c>
      <c r="X629" s="176" cm="1">
        <f t="array" ref="X629">SUMIFS(X$7:X$26,$C$7:$C$26,$C629)*SUM(SUMIFS(X$32:X$350,$C$32:$C$350,{"Other energy industry own use","Own use by pump-storage plants","Own use by gas works","Own use by briquetting plants","Own use by charcoal plants"},$B$32:$B$350,$C629))</f>
        <v>-34886.600865174645</v>
      </c>
      <c r="Y629" s="176" cm="1">
        <f t="array" ref="Y629">SUMIFS(Y$7:Y$26,$C$7:$C$26,$C629)*SUM(SUMIFS(Y$32:Y$350,$C$32:$C$350,{"Other energy industry own use","Own use by pump-storage plants","Own use by gas works","Own use by briquetting plants","Own use by charcoal plants"},$B$32:$B$350,$C629))</f>
        <v>-1166.1329570054534</v>
      </c>
      <c r="Z629" s="176" cm="1">
        <f t="array" ref="Z629">SUMIFS(Z$7:Z$26,$C$7:$C$26,$C629)*SUM(SUMIFS(Z$32:Z$350,$C$32:$C$350,{"Other energy industry own use","Own use by pump-storage plants","Own use by gas works","Own use by briquetting plants","Own use by charcoal plants"},$B$32:$B$350,$C629))</f>
        <v>-180.53471733100938</v>
      </c>
      <c r="AA629" s="176" cm="1">
        <f t="array" ref="AA629">SUMIFS(AA$7:AA$26,$C$7:$C$26,$C629)*SUM(SUMIFS(AA$32:AA$350,$C$32:$C$350,{"Other energy industry own use","Own use by pump-storage plants","Own use by gas works","Own use by briquetting plants","Own use by charcoal plants"},$B$32:$B$350,$C629))</f>
        <v>-40716.282086852298</v>
      </c>
      <c r="AB629" s="176" cm="1">
        <f t="array" ref="AB629">SUMIFS(AB$7:AB$26,$C$7:$C$26,$C629)*SUM(SUMIFS(AB$32:AB$350,$C$32:$C$350,{"Other energy industry own use","Own use by pump-storage plants","Own use by gas works","Own use by briquetting plants","Own use by charcoal plants"},$B$32:$B$350,$C629))</f>
        <v>0</v>
      </c>
      <c r="AC629" s="176" cm="1">
        <f t="array" ref="AC629">SUMIFS(AC$7:AC$26,$C$7:$C$26,$C629)*SUM(SUMIFS(AC$32:AC$350,$C$32:$C$350,{"Other energy industry own use","Own use by pump-storage plants","Own use by gas works","Own use by briquetting plants","Own use by charcoal plants"},$B$32:$B$350,$C629))</f>
        <v>0</v>
      </c>
      <c r="AD629" s="176" cm="1">
        <f t="array" ref="AD629">SUMIFS(AD$7:AD$26,$C$7:$C$26,$C629)*SUM(SUMIFS(AD$32:AD$350,$C$32:$C$350,{"Other energy industry own use","Own use by pump-storage plants","Own use by gas works","Own use by briquetting plants","Own use by charcoal plants"},$B$32:$B$350,$C629))</f>
        <v>-116633.9737495914</v>
      </c>
      <c r="AE629" s="176" cm="1">
        <f t="array" ref="AE629">SUMIFS(AE$7:AE$26,$C$7:$C$26,$C629)*SUM(SUMIFS(AE$32:AE$350,$C$32:$C$350,{"Other energy industry own use","Own use by pump-storage plants","Own use by gas works","Own use by briquetting plants","Own use by charcoal plants"},$B$32:$B$350,$C629))</f>
        <v>-15136.359785402468</v>
      </c>
      <c r="AF629" s="287" cm="1">
        <f t="array" ref="AF629">SUMIFS(AF$7:AF$26,$C$7:$C$26,$C629)*SUM(SUMIFS(AF$32:AF$350,$C$32:$C$350,{"Other energy industry own use","Own use by pump-storage plants","Own use by gas works","Own use by briquetting plants","Own use by charcoal plants"},$B$32:$B$350,$C629))</f>
        <v>-125026.29559305609</v>
      </c>
    </row>
    <row r="630" spans="1:32" s="59" customFormat="1">
      <c r="A630" s="95" t="s">
        <v>728</v>
      </c>
      <c r="B630" s="95" t="s">
        <v>753</v>
      </c>
      <c r="C630" s="71" t="s">
        <v>541</v>
      </c>
      <c r="D630" s="74" t="s">
        <v>387</v>
      </c>
      <c r="E630" s="176" cm="1">
        <f t="array" ref="E630">SUMIFS(E$7:E$26,$C$7:$C$26,$C630)*SUM(SUMIFS(E$32:E$350,$C$32:$C$350,{"Other energy industry own use","Own use by pump-storage plants","Own use by gas works","Own use by briquetting plants","Own use by charcoal plants"},$B$32:$B$350,$C630))</f>
        <v>0</v>
      </c>
      <c r="F630" s="176" cm="1">
        <f t="array" ref="F630">SUMIFS(F$7:F$26,$C$7:$C$26,$C630)*SUM(SUMIFS(F$32:F$350,$C$32:$C$350,{"Other energy industry own use","Own use by pump-storage plants","Own use by gas works","Own use by briquetting plants","Own use by charcoal plants"},$B$32:$B$350,$C630))</f>
        <v>-5617.7653518457355</v>
      </c>
      <c r="G630" s="176" cm="1">
        <f t="array" ref="G630">SUMIFS(G$7:G$26,$C$7:$C$26,$C630)*SUM(SUMIFS(G$32:G$350,$C$32:$C$350,{"Other energy industry own use","Own use by pump-storage plants","Own use by gas works","Own use by briquetting plants","Own use by charcoal plants"},$B$32:$B$350,$C630))</f>
        <v>-2826.8801487517708</v>
      </c>
      <c r="H630" s="176" cm="1">
        <f t="array" ref="H630">SUMIFS(H$7:H$26,$C$7:$C$26,$C630)*SUM(SUMIFS(H$32:H$350,$C$32:$C$350,{"Other energy industry own use","Own use by pump-storage plants","Own use by gas works","Own use by briquetting plants","Own use by charcoal plants"},$B$32:$B$350,$C630))</f>
        <v>0</v>
      </c>
      <c r="I630" s="176" cm="1">
        <f t="array" ref="I630">SUMIFS(I$7:I$26,$C$7:$C$26,$C630)*SUM(SUMIFS(I$32:I$350,$C$32:$C$350,{"Other energy industry own use","Own use by pump-storage plants","Own use by gas works","Own use by briquetting plants","Own use by charcoal plants"},$B$32:$B$350,$C630))</f>
        <v>-16691.037499981074</v>
      </c>
      <c r="J630" s="176" cm="1">
        <f t="array" ref="J630">SUMIFS(J$7:J$26,$C$7:$C$26,$C630)*SUM(SUMIFS(J$32:J$350,$C$32:$C$350,{"Other energy industry own use","Own use by pump-storage plants","Own use by gas works","Own use by briquetting plants","Own use by charcoal plants"},$B$32:$B$350,$C630))</f>
        <v>-264921.91419551277</v>
      </c>
      <c r="K630" s="176" cm="1">
        <f t="array" ref="K630">SUMIFS(K$7:K$26,$C$7:$C$26,$C630)*SUM(SUMIFS(K$32:K$350,$C$32:$C$350,{"Other energy industry own use","Own use by pump-storage plants","Own use by gas works","Own use by briquetting plants","Own use by charcoal plants"},$B$32:$B$350,$C630))</f>
        <v>-464.87079968201311</v>
      </c>
      <c r="L630" s="176" cm="1">
        <f t="array" ref="L630">SUMIFS(L$7:L$26,$C$7:$C$26,$C630)*SUM(SUMIFS(L$32:L$350,$C$32:$C$350,{"Other energy industry own use","Own use by pump-storage plants","Own use by gas works","Own use by briquetting plants","Own use by charcoal plants"},$B$32:$B$350,$C630))</f>
        <v>0</v>
      </c>
      <c r="M630" s="176" cm="1">
        <f t="array" ref="M630">SUMIFS(M$7:M$26,$C$7:$C$26,$C630)*SUM(SUMIFS(M$32:M$350,$C$32:$C$350,{"Other energy industry own use","Own use by pump-storage plants","Own use by gas works","Own use by briquetting plants","Own use by charcoal plants"},$B$32:$B$350,$C630))</f>
        <v>0</v>
      </c>
      <c r="N630" s="176" cm="1">
        <f t="array" ref="N630">SUMIFS(N$7:N$26,$C$7:$C$26,$C630)*SUM(SUMIFS(N$32:N$350,$C$32:$C$350,{"Other energy industry own use","Own use by pump-storage plants","Own use by gas works","Own use by briquetting plants","Own use by charcoal plants"},$B$32:$B$350,$C630))</f>
        <v>0</v>
      </c>
      <c r="O630" s="176" cm="1">
        <f t="array" ref="O630">SUMIFS(O$7:O$26,$C$7:$C$26,$C630)*SUM(SUMIFS(O$32:O$350,$C$32:$C$350,{"Other energy industry own use","Own use by pump-storage plants","Own use by gas works","Own use by briquetting plants","Own use by charcoal plants"},$B$32:$B$350,$C630))</f>
        <v>0</v>
      </c>
      <c r="P630" s="176" cm="1">
        <f t="array" ref="P630">SUMIFS(P$7:P$26,$C$7:$C$26,$C630)*SUM(SUMIFS(P$32:P$350,$C$32:$C$350,{"Other energy industry own use","Own use by pump-storage plants","Own use by gas works","Own use by briquetting plants","Own use by charcoal plants"},$B$32:$B$350,$C630))</f>
        <v>-48112.876533115283</v>
      </c>
      <c r="Q630" s="176" cm="1">
        <f t="array" ref="Q630">SUMIFS(Q$7:Q$26,$C$7:$C$26,$C630)*SUM(SUMIFS(Q$32:Q$350,$C$32:$C$350,{"Other energy industry own use","Own use by pump-storage plants","Own use by gas works","Own use by briquetting plants","Own use by charcoal plants"},$B$32:$B$350,$C630))</f>
        <v>-584.6570138026126</v>
      </c>
      <c r="R630" s="176" cm="1">
        <f t="array" ref="R630">SUMIFS(R$7:R$26,$C$7:$C$26,$C630)*SUM(SUMIFS(R$32:R$350,$C$32:$C$350,{"Other energy industry own use","Own use by pump-storage plants","Own use by gas works","Own use by briquetting plants","Own use by charcoal plants"},$B$32:$B$350,$C630))</f>
        <v>-10451.013401504903</v>
      </c>
      <c r="S630" s="176" cm="1">
        <f t="array" ref="S630">SUMIFS(S$7:S$26,$C$7:$C$26,$C630)*SUM(SUMIFS(S$32:S$350,$C$32:$C$350,{"Other energy industry own use","Own use by pump-storage plants","Own use by gas works","Own use by briquetting plants","Own use by charcoal plants"},$B$32:$B$350,$C630))</f>
        <v>-1705.627177816119</v>
      </c>
      <c r="T630" s="176" cm="1">
        <f t="array" ref="T630">SUMIFS(T$7:T$26,$C$7:$C$26,$C630)*SUM(SUMIFS(T$32:T$350,$C$32:$C$350,{"Other energy industry own use","Own use by pump-storage plants","Own use by gas works","Own use by briquetting plants","Own use by charcoal plants"},$B$32:$B$350,$C630))</f>
        <v>-8256.6613084178007</v>
      </c>
      <c r="U630" s="176" cm="1">
        <f t="array" ref="U630">SUMIFS(U$7:U$26,$C$7:$C$26,$C630)*SUM(SUMIFS(U$32:U$350,$C$32:$C$350,{"Other energy industry own use","Own use by pump-storage plants","Own use by gas works","Own use by briquetting plants","Own use by charcoal plants"},$B$32:$B$350,$C630))</f>
        <v>-1323.1501419483652</v>
      </c>
      <c r="V630" s="176" cm="1">
        <f t="array" ref="V630">SUMIFS(V$7:V$26,$C$7:$C$26,$C630)*SUM(SUMIFS(V$32:V$350,$C$32:$C$350,{"Other energy industry own use","Own use by pump-storage plants","Own use by gas works","Own use by briquetting plants","Own use by charcoal plants"},$B$32:$B$350,$C630))</f>
        <v>0</v>
      </c>
      <c r="W630" s="176" cm="1">
        <f t="array" ref="W630">SUMIFS(W$7:W$26,$C$7:$C$26,$C630)*SUM(SUMIFS(W$32:W$350,$C$32:$C$350,{"Other energy industry own use","Own use by pump-storage plants","Own use by gas works","Own use by briquetting plants","Own use by charcoal plants"},$B$32:$B$350,$C630))</f>
        <v>0</v>
      </c>
      <c r="X630" s="176" cm="1">
        <f t="array" ref="X630">SUMIFS(X$7:X$26,$C$7:$C$26,$C630)*SUM(SUMIFS(X$32:X$350,$C$32:$C$350,{"Other energy industry own use","Own use by pump-storage plants","Own use by gas works","Own use by briquetting plants","Own use by charcoal plants"},$B$32:$B$350,$C630))</f>
        <v>0</v>
      </c>
      <c r="Y630" s="176" cm="1">
        <f t="array" ref="Y630">SUMIFS(Y$7:Y$26,$C$7:$C$26,$C630)*SUM(SUMIFS(Y$32:Y$350,$C$32:$C$350,{"Other energy industry own use","Own use by pump-storage plants","Own use by gas works","Own use by briquetting plants","Own use by charcoal plants"},$B$32:$B$350,$C630))</f>
        <v>-34471.939314061463</v>
      </c>
      <c r="Z630" s="176" cm="1">
        <f t="array" ref="Z630">SUMIFS(Z$7:Z$26,$C$7:$C$26,$C630)*SUM(SUMIFS(Z$32:Z$350,$C$32:$C$350,{"Other energy industry own use","Own use by pump-storage plants","Own use by gas works","Own use by briquetting plants","Own use by charcoal plants"},$B$32:$B$350,$C630))</f>
        <v>-299.51627623455516</v>
      </c>
      <c r="AA630" s="176" cm="1">
        <f t="array" ref="AA630">SUMIFS(AA$7:AA$26,$C$7:$C$26,$C630)*SUM(SUMIFS(AA$32:AA$350,$C$32:$C$350,{"Other energy industry own use","Own use by pump-storage plants","Own use by gas works","Own use by briquetting plants","Own use by charcoal plants"},$B$32:$B$350,$C630))</f>
        <v>0</v>
      </c>
      <c r="AB630" s="176" cm="1">
        <f t="array" ref="AB630">SUMIFS(AB$7:AB$26,$C$7:$C$26,$C630)*SUM(SUMIFS(AB$32:AB$350,$C$32:$C$350,{"Other energy industry own use","Own use by pump-storage plants","Own use by gas works","Own use by briquetting plants","Own use by charcoal plants"},$B$32:$B$350,$C630))</f>
        <v>-10914.306929674687</v>
      </c>
      <c r="AC630" s="176" cm="1">
        <f t="array" ref="AC630">SUMIFS(AC$7:AC$26,$C$7:$C$26,$C630)*SUM(SUMIFS(AC$32:AC$350,$C$32:$C$350,{"Other energy industry own use","Own use by pump-storage plants","Own use by gas works","Own use by briquetting plants","Own use by charcoal plants"},$B$32:$B$350,$C630))</f>
        <v>0</v>
      </c>
      <c r="AD630" s="176" cm="1">
        <f t="array" ref="AD630">SUMIFS(AD$7:AD$26,$C$7:$C$26,$C630)*SUM(SUMIFS(AD$32:AD$350,$C$32:$C$350,{"Other energy industry own use","Own use by pump-storage plants","Own use by gas works","Own use by briquetting plants","Own use by charcoal plants"},$B$32:$B$350,$C630))</f>
        <v>-236074.55032984584</v>
      </c>
      <c r="AE630" s="176" cm="1">
        <f t="array" ref="AE630">SUMIFS(AE$7:AE$26,$C$7:$C$26,$C630)*SUM(SUMIFS(AE$32:AE$350,$C$32:$C$350,{"Other energy industry own use","Own use by pump-storage plants","Own use by gas works","Own use by briquetting plants","Own use by charcoal plants"},$B$32:$B$350,$C630))</f>
        <v>0</v>
      </c>
      <c r="AF630" s="287" cm="1">
        <f t="array" ref="AF630">SUMIFS(AF$7:AF$26,$C$7:$C$26,$C630)*SUM(SUMIFS(AF$32:AF$350,$C$32:$C$350,{"Other energy industry own use","Own use by pump-storage plants","Own use by gas works","Own use by briquetting plants","Own use by charcoal plants"},$B$32:$B$350,$C630))</f>
        <v>0</v>
      </c>
    </row>
    <row r="631" spans="1:32" s="59" customFormat="1">
      <c r="A631" s="95" t="s">
        <v>728</v>
      </c>
      <c r="B631" s="95" t="s">
        <v>753</v>
      </c>
      <c r="C631" s="71" t="s">
        <v>543</v>
      </c>
      <c r="D631" s="74" t="s">
        <v>387</v>
      </c>
      <c r="E631" s="176" cm="1">
        <f t="array" ref="E631">SUMIFS(E$7:E$26,$C$7:$C$26,$C631)*SUM(SUMIFS(E$32:E$350,$C$32:$C$350,{"Other energy industry own use","Own use by pump-storage plants","Own use by gas works","Own use by briquetting plants","Own use by charcoal plants"},$B$32:$B$350,$C631))</f>
        <v>0</v>
      </c>
      <c r="F631" s="176" cm="1">
        <f t="array" ref="F631">SUMIFS(F$7:F$26,$C$7:$C$26,$C631)*SUM(SUMIFS(F$32:F$350,$C$32:$C$350,{"Other energy industry own use","Own use by pump-storage plants","Own use by gas works","Own use by briquetting plants","Own use by charcoal plants"},$B$32:$B$350,$C631))</f>
        <v>0</v>
      </c>
      <c r="G631" s="176" cm="1">
        <f t="array" ref="G631">SUMIFS(G$7:G$26,$C$7:$C$26,$C631)*SUM(SUMIFS(G$32:G$350,$C$32:$C$350,{"Other energy industry own use","Own use by pump-storage plants","Own use by gas works","Own use by briquetting plants","Own use by charcoal plants"},$B$32:$B$350,$C631))</f>
        <v>0</v>
      </c>
      <c r="H631" s="176" cm="1">
        <f t="array" ref="H631">SUMIFS(H$7:H$26,$C$7:$C$26,$C631)*SUM(SUMIFS(H$32:H$350,$C$32:$C$350,{"Other energy industry own use","Own use by pump-storage plants","Own use by gas works","Own use by briquetting plants","Own use by charcoal plants"},$B$32:$B$350,$C631))</f>
        <v>0</v>
      </c>
      <c r="I631" s="176" cm="1">
        <f t="array" ref="I631">SUMIFS(I$7:I$26,$C$7:$C$26,$C631)*SUM(SUMIFS(I$32:I$350,$C$32:$C$350,{"Other energy industry own use","Own use by pump-storage plants","Own use by gas works","Own use by briquetting plants","Own use by charcoal plants"},$B$32:$B$350,$C631))</f>
        <v>-0.89999999999999991</v>
      </c>
      <c r="J631" s="176" cm="1">
        <f t="array" ref="J631">SUMIFS(J$7:J$26,$C$7:$C$26,$C631)*SUM(SUMIFS(J$32:J$350,$C$32:$C$350,{"Other energy industry own use","Own use by pump-storage plants","Own use by gas works","Own use by briquetting plants","Own use by charcoal plants"},$B$32:$B$350,$C631))</f>
        <v>0</v>
      </c>
      <c r="K631" s="176" cm="1">
        <f t="array" ref="K631">SUMIFS(K$7:K$26,$C$7:$C$26,$C631)*SUM(SUMIFS(K$32:K$350,$C$32:$C$350,{"Other energy industry own use","Own use by pump-storage plants","Own use by gas works","Own use by briquetting plants","Own use by charcoal plants"},$B$32:$B$350,$C631))</f>
        <v>0</v>
      </c>
      <c r="L631" s="176" cm="1">
        <f t="array" ref="L631">SUMIFS(L$7:L$26,$C$7:$C$26,$C631)*SUM(SUMIFS(L$32:L$350,$C$32:$C$350,{"Other energy industry own use","Own use by pump-storage plants","Own use by gas works","Own use by briquetting plants","Own use by charcoal plants"},$B$32:$B$350,$C631))</f>
        <v>0</v>
      </c>
      <c r="M631" s="176" cm="1">
        <f t="array" ref="M631">SUMIFS(M$7:M$26,$C$7:$C$26,$C631)*SUM(SUMIFS(M$32:M$350,$C$32:$C$350,{"Other energy industry own use","Own use by pump-storage plants","Own use by gas works","Own use by briquetting plants","Own use by charcoal plants"},$B$32:$B$350,$C631))</f>
        <v>0</v>
      </c>
      <c r="N631" s="176" cm="1">
        <f t="array" ref="N631">SUMIFS(N$7:N$26,$C$7:$C$26,$C631)*SUM(SUMIFS(N$32:N$350,$C$32:$C$350,{"Other energy industry own use","Own use by pump-storage plants","Own use by gas works","Own use by briquetting plants","Own use by charcoal plants"},$B$32:$B$350,$C631))</f>
        <v>0</v>
      </c>
      <c r="O631" s="176" cm="1">
        <f t="array" ref="O631">SUMIFS(O$7:O$26,$C$7:$C$26,$C631)*SUM(SUMIFS(O$32:O$350,$C$32:$C$350,{"Other energy industry own use","Own use by pump-storage plants","Own use by gas works","Own use by briquetting plants","Own use by charcoal plants"},$B$32:$B$350,$C631))</f>
        <v>0</v>
      </c>
      <c r="P631" s="176" cm="1">
        <f t="array" ref="P631">SUMIFS(P$7:P$26,$C$7:$C$26,$C631)*SUM(SUMIFS(P$32:P$350,$C$32:$C$350,{"Other energy industry own use","Own use by pump-storage plants","Own use by gas works","Own use by briquetting plants","Own use by charcoal plants"},$B$32:$B$350,$C631))</f>
        <v>-1641.4203821656047</v>
      </c>
      <c r="Q631" s="176" cm="1">
        <f t="array" ref="Q631">SUMIFS(Q$7:Q$26,$C$7:$C$26,$C631)*SUM(SUMIFS(Q$32:Q$350,$C$32:$C$350,{"Other energy industry own use","Own use by pump-storage plants","Own use by gas works","Own use by briquetting plants","Own use by charcoal plants"},$B$32:$B$350,$C631))</f>
        <v>0</v>
      </c>
      <c r="R631" s="176" cm="1">
        <f t="array" ref="R631">SUMIFS(R$7:R$26,$C$7:$C$26,$C631)*SUM(SUMIFS(R$32:R$350,$C$32:$C$350,{"Other energy industry own use","Own use by pump-storage plants","Own use by gas works","Own use by briquetting plants","Own use by charcoal plants"},$B$32:$B$350,$C631))</f>
        <v>0</v>
      </c>
      <c r="S631" s="176" cm="1">
        <f t="array" ref="S631">SUMIFS(S$7:S$26,$C$7:$C$26,$C631)*SUM(SUMIFS(S$32:S$350,$C$32:$C$350,{"Other energy industry own use","Own use by pump-storage plants","Own use by gas works","Own use by briquetting plants","Own use by charcoal plants"},$B$32:$B$350,$C631))</f>
        <v>-0.72151898734177222</v>
      </c>
      <c r="T631" s="176" cm="1">
        <f t="array" ref="T631">SUMIFS(T$7:T$26,$C$7:$C$26,$C631)*SUM(SUMIFS(T$32:T$350,$C$32:$C$350,{"Other energy industry own use","Own use by pump-storage plants","Own use by gas works","Own use by briquetting plants","Own use by charcoal plants"},$B$32:$B$350,$C631))</f>
        <v>-1</v>
      </c>
      <c r="U631" s="176" cm="1">
        <f t="array" ref="U631">SUMIFS(U$7:U$26,$C$7:$C$26,$C631)*SUM(SUMIFS(U$32:U$350,$C$32:$C$350,{"Other energy industry own use","Own use by pump-storage plants","Own use by gas works","Own use by briquetting plants","Own use by charcoal plants"},$B$32:$B$350,$C631))</f>
        <v>-6</v>
      </c>
      <c r="V631" s="176" cm="1">
        <f t="array" ref="V631">SUMIFS(V$7:V$26,$C$7:$C$26,$C631)*SUM(SUMIFS(V$32:V$350,$C$32:$C$350,{"Other energy industry own use","Own use by pump-storage plants","Own use by gas works","Own use by briquetting plants","Own use by charcoal plants"},$B$32:$B$350,$C631))</f>
        <v>-2715</v>
      </c>
      <c r="W631" s="176" cm="1">
        <f t="array" ref="W631">SUMIFS(W$7:W$26,$C$7:$C$26,$C631)*SUM(SUMIFS(W$32:W$350,$C$32:$C$350,{"Other energy industry own use","Own use by pump-storage plants","Own use by gas works","Own use by briquetting plants","Own use by charcoal plants"},$B$32:$B$350,$C631))</f>
        <v>0</v>
      </c>
      <c r="X631" s="176" cm="1">
        <f t="array" ref="X631">SUMIFS(X$7:X$26,$C$7:$C$26,$C631)*SUM(SUMIFS(X$32:X$350,$C$32:$C$350,{"Other energy industry own use","Own use by pump-storage plants","Own use by gas works","Own use by briquetting plants","Own use by charcoal plants"},$B$32:$B$350,$C631))</f>
        <v>0</v>
      </c>
      <c r="Y631" s="176" cm="1">
        <f t="array" ref="Y631">SUMIFS(Y$7:Y$26,$C$7:$C$26,$C631)*SUM(SUMIFS(Y$32:Y$350,$C$32:$C$350,{"Other energy industry own use","Own use by pump-storage plants","Own use by gas works","Own use by briquetting plants","Own use by charcoal plants"},$B$32:$B$350,$C631))</f>
        <v>-135.36400146319872</v>
      </c>
      <c r="Z631" s="176" cm="1">
        <f t="array" ref="Z631">SUMIFS(Z$7:Z$26,$C$7:$C$26,$C631)*SUM(SUMIFS(Z$32:Z$350,$C$32:$C$350,{"Other energy industry own use","Own use by pump-storage plants","Own use by gas works","Own use by briquetting plants","Own use by charcoal plants"},$B$32:$B$350,$C631))</f>
        <v>0</v>
      </c>
      <c r="AA631" s="176" cm="1">
        <f t="array" ref="AA631">SUMIFS(AA$7:AA$26,$C$7:$C$26,$C631)*SUM(SUMIFS(AA$32:AA$350,$C$32:$C$350,{"Other energy industry own use","Own use by pump-storage plants","Own use by gas works","Own use by briquetting plants","Own use by charcoal plants"},$B$32:$B$350,$C631))</f>
        <v>0</v>
      </c>
      <c r="AB631" s="176" cm="1">
        <f t="array" ref="AB631">SUMIFS(AB$7:AB$26,$C$7:$C$26,$C631)*SUM(SUMIFS(AB$32:AB$350,$C$32:$C$350,{"Other energy industry own use","Own use by pump-storage plants","Own use by gas works","Own use by briquetting plants","Own use by charcoal plants"},$B$32:$B$350,$C631))</f>
        <v>0</v>
      </c>
      <c r="AC631" s="176" cm="1">
        <f t="array" ref="AC631">SUMIFS(AC$7:AC$26,$C$7:$C$26,$C631)*SUM(SUMIFS(AC$32:AC$350,$C$32:$C$350,{"Other energy industry own use","Own use by pump-storage plants","Own use by gas works","Own use by briquetting plants","Own use by charcoal plants"},$B$32:$B$350,$C631))</f>
        <v>0</v>
      </c>
      <c r="AD631" s="176" cm="1">
        <f t="array" ref="AD631">SUMIFS(AD$7:AD$26,$C$7:$C$26,$C631)*SUM(SUMIFS(AD$32:AD$350,$C$32:$C$350,{"Other energy industry own use","Own use by pump-storage plants","Own use by gas works","Own use by briquetting plants","Own use by charcoal plants"},$B$32:$B$350,$C631))</f>
        <v>0</v>
      </c>
      <c r="AE631" s="176" cm="1">
        <f t="array" ref="AE631">SUMIFS(AE$7:AE$26,$C$7:$C$26,$C631)*SUM(SUMIFS(AE$32:AE$350,$C$32:$C$350,{"Other energy industry own use","Own use by pump-storage plants","Own use by gas works","Own use by briquetting plants","Own use by charcoal plants"},$B$32:$B$350,$C631))</f>
        <v>0</v>
      </c>
      <c r="AF631" s="287" cm="1">
        <f t="array" ref="AF631">SUMIFS(AF$7:AF$26,$C$7:$C$26,$C631)*SUM(SUMIFS(AF$32:AF$350,$C$32:$C$350,{"Other energy industry own use","Own use by pump-storage plants","Own use by gas works","Own use by briquetting plants","Own use by charcoal plants"},$B$32:$B$350,$C631))</f>
        <v>0</v>
      </c>
    </row>
    <row r="632" spans="1:32" s="59" customFormat="1">
      <c r="A632" s="95" t="s">
        <v>728</v>
      </c>
      <c r="B632" s="95" t="s">
        <v>753</v>
      </c>
      <c r="C632" s="71" t="s">
        <v>545</v>
      </c>
      <c r="D632" s="74" t="s">
        <v>387</v>
      </c>
      <c r="E632" s="176" cm="1">
        <f t="array" ref="E632">SUMIFS(E$7:E$26,$C$7:$C$26,$C632)*SUM(SUMIFS(E$32:E$350,$C$32:$C$350,{"Other energy industry own use","Own use by pump-storage plants","Own use by gas works","Own use by briquetting plants","Own use by charcoal plants"},$B$32:$B$350,$C632))</f>
        <v>0</v>
      </c>
      <c r="F632" s="176" cm="1">
        <f t="array" ref="F632">SUMIFS(F$7:F$26,$C$7:$C$26,$C632)*SUM(SUMIFS(F$32:F$350,$C$32:$C$350,{"Other energy industry own use","Own use by pump-storage plants","Own use by gas works","Own use by briquetting plants","Own use by charcoal plants"},$B$32:$B$350,$C632))</f>
        <v>0</v>
      </c>
      <c r="G632" s="176" cm="1">
        <f t="array" ref="G632">SUMIFS(G$7:G$26,$C$7:$C$26,$C632)*SUM(SUMIFS(G$32:G$350,$C$32:$C$350,{"Other energy industry own use","Own use by pump-storage plants","Own use by gas works","Own use by briquetting plants","Own use by charcoal plants"},$B$32:$B$350,$C632))</f>
        <v>0</v>
      </c>
      <c r="H632" s="176" cm="1">
        <f t="array" ref="H632">SUMIFS(H$7:H$26,$C$7:$C$26,$C632)*SUM(SUMIFS(H$32:H$350,$C$32:$C$350,{"Other energy industry own use","Own use by pump-storage plants","Own use by gas works","Own use by briquetting plants","Own use by charcoal plants"},$B$32:$B$350,$C632))</f>
        <v>0</v>
      </c>
      <c r="I632" s="176" cm="1">
        <f t="array" ref="I632">SUMIFS(I$7:I$26,$C$7:$C$26,$C632)*SUM(SUMIFS(I$32:I$350,$C$32:$C$350,{"Other energy industry own use","Own use by pump-storage plants","Own use by gas works","Own use by briquetting plants","Own use by charcoal plants"},$B$32:$B$350,$C632))</f>
        <v>0</v>
      </c>
      <c r="J632" s="176" cm="1">
        <f t="array" ref="J632">SUMIFS(J$7:J$26,$C$7:$C$26,$C632)*SUM(SUMIFS(J$32:J$350,$C$32:$C$350,{"Other energy industry own use","Own use by pump-storage plants","Own use by gas works","Own use by briquetting plants","Own use by charcoal plants"},$B$32:$B$350,$C632))</f>
        <v>0</v>
      </c>
      <c r="K632" s="176" cm="1">
        <f t="array" ref="K632">SUMIFS(K$7:K$26,$C$7:$C$26,$C632)*SUM(SUMIFS(K$32:K$350,$C$32:$C$350,{"Other energy industry own use","Own use by pump-storage plants","Own use by gas works","Own use by briquetting plants","Own use by charcoal plants"},$B$32:$B$350,$C632))</f>
        <v>0</v>
      </c>
      <c r="L632" s="176" cm="1">
        <f t="array" ref="L632">SUMIFS(L$7:L$26,$C$7:$C$26,$C632)*SUM(SUMIFS(L$32:L$350,$C$32:$C$350,{"Other energy industry own use","Own use by pump-storage plants","Own use by gas works","Own use by briquetting plants","Own use by charcoal plants"},$B$32:$B$350,$C632))</f>
        <v>0</v>
      </c>
      <c r="M632" s="176" cm="1">
        <f t="array" ref="M632">SUMIFS(M$7:M$26,$C$7:$C$26,$C632)*SUM(SUMIFS(M$32:M$350,$C$32:$C$350,{"Other energy industry own use","Own use by pump-storage plants","Own use by gas works","Own use by briquetting plants","Own use by charcoal plants"},$B$32:$B$350,$C632))</f>
        <v>0</v>
      </c>
      <c r="N632" s="176" cm="1">
        <f t="array" ref="N632">SUMIFS(N$7:N$26,$C$7:$C$26,$C632)*SUM(SUMIFS(N$32:N$350,$C$32:$C$350,{"Other energy industry own use","Own use by pump-storage plants","Own use by gas works","Own use by briquetting plants","Own use by charcoal plants"},$B$32:$B$350,$C632))</f>
        <v>0</v>
      </c>
      <c r="O632" s="176" cm="1">
        <f t="array" ref="O632">SUMIFS(O$7:O$26,$C$7:$C$26,$C632)*SUM(SUMIFS(O$32:O$350,$C$32:$C$350,{"Other energy industry own use","Own use by pump-storage plants","Own use by gas works","Own use by briquetting plants","Own use by charcoal plants"},$B$32:$B$350,$C632))</f>
        <v>0</v>
      </c>
      <c r="P632" s="176" cm="1">
        <f t="array" ref="P632">SUMIFS(P$7:P$26,$C$7:$C$26,$C632)*SUM(SUMIFS(P$32:P$350,$C$32:$C$350,{"Other energy industry own use","Own use by pump-storage plants","Own use by gas works","Own use by briquetting plants","Own use by charcoal plants"},$B$32:$B$350,$C632))</f>
        <v>-22012.706368873718</v>
      </c>
      <c r="Q632" s="176" cm="1">
        <f t="array" ref="Q632">SUMIFS(Q$7:Q$26,$C$7:$C$26,$C632)*SUM(SUMIFS(Q$32:Q$350,$C$32:$C$350,{"Other energy industry own use","Own use by pump-storage plants","Own use by gas works","Own use by briquetting plants","Own use by charcoal plants"},$B$32:$B$350,$C632))</f>
        <v>-1772.5898314396479</v>
      </c>
      <c r="R632" s="176" cm="1">
        <f t="array" ref="R632">SUMIFS(R$7:R$26,$C$7:$C$26,$C632)*SUM(SUMIFS(R$32:R$350,$C$32:$C$350,{"Other energy industry own use","Own use by pump-storage plants","Own use by gas works","Own use by briquetting plants","Own use by charcoal plants"},$B$32:$B$350,$C632))</f>
        <v>0</v>
      </c>
      <c r="S632" s="176" cm="1">
        <f t="array" ref="S632">SUMIFS(S$7:S$26,$C$7:$C$26,$C632)*SUM(SUMIFS(S$32:S$350,$C$32:$C$350,{"Other energy industry own use","Own use by pump-storage plants","Own use by gas works","Own use by briquetting plants","Own use by charcoal plants"},$B$32:$B$350,$C632))</f>
        <v>-22491.149356329453</v>
      </c>
      <c r="T632" s="176" cm="1">
        <f t="array" ref="T632">SUMIFS(T$7:T$26,$C$7:$C$26,$C632)*SUM(SUMIFS(T$32:T$350,$C$32:$C$350,{"Other energy industry own use","Own use by pump-storage plants","Own use by gas works","Own use by briquetting plants","Own use by charcoal plants"},$B$32:$B$350,$C632))</f>
        <v>-18559.337441953143</v>
      </c>
      <c r="U632" s="176" cm="1">
        <f t="array" ref="U632">SUMIFS(U$7:U$26,$C$7:$C$26,$C632)*SUM(SUMIFS(U$32:U$350,$C$32:$C$350,{"Other energy industry own use","Own use by pump-storage plants","Own use by gas works","Own use by briquetting plants","Own use by charcoal plants"},$B$32:$B$350,$C632))</f>
        <v>-10173.188743135121</v>
      </c>
      <c r="V632" s="176" cm="1">
        <f t="array" ref="V632">SUMIFS(V$7:V$26,$C$7:$C$26,$C632)*SUM(SUMIFS(V$32:V$350,$C$32:$C$350,{"Other energy industry own use","Own use by pump-storage plants","Own use by gas works","Own use by briquetting plants","Own use by charcoal plants"},$B$32:$B$350,$C632))</f>
        <v>0</v>
      </c>
      <c r="W632" s="176" cm="1">
        <f t="array" ref="W632">SUMIFS(W$7:W$26,$C$7:$C$26,$C632)*SUM(SUMIFS(W$32:W$350,$C$32:$C$350,{"Other energy industry own use","Own use by pump-storage plants","Own use by gas works","Own use by briquetting plants","Own use by charcoal plants"},$B$32:$B$350,$C632))</f>
        <v>0</v>
      </c>
      <c r="X632" s="176" cm="1">
        <f t="array" ref="X632">SUMIFS(X$7:X$26,$C$7:$C$26,$C632)*SUM(SUMIFS(X$32:X$350,$C$32:$C$350,{"Other energy industry own use","Own use by pump-storage plants","Own use by gas works","Own use by briquetting plants","Own use by charcoal plants"},$B$32:$B$350,$C632))</f>
        <v>0</v>
      </c>
      <c r="Y632" s="176" cm="1">
        <f t="array" ref="Y632">SUMIFS(Y$7:Y$26,$C$7:$C$26,$C632)*SUM(SUMIFS(Y$32:Y$350,$C$32:$C$350,{"Other energy industry own use","Own use by pump-storage plants","Own use by gas works","Own use by briquetting plants","Own use by charcoal plants"},$B$32:$B$350,$C632))</f>
        <v>0</v>
      </c>
      <c r="Z632" s="176" cm="1">
        <f t="array" ref="Z632">SUMIFS(Z$7:Z$26,$C$7:$C$26,$C632)*SUM(SUMIFS(Z$32:Z$350,$C$32:$C$350,{"Other energy industry own use","Own use by pump-storage plants","Own use by gas works","Own use by briquetting plants","Own use by charcoal plants"},$B$32:$B$350,$C632))</f>
        <v>0</v>
      </c>
      <c r="AA632" s="176" cm="1">
        <f t="array" ref="AA632">SUMIFS(AA$7:AA$26,$C$7:$C$26,$C632)*SUM(SUMIFS(AA$32:AA$350,$C$32:$C$350,{"Other energy industry own use","Own use by pump-storage plants","Own use by gas works","Own use by briquetting plants","Own use by charcoal plants"},$B$32:$B$350,$C632))</f>
        <v>0</v>
      </c>
      <c r="AB632" s="176" cm="1">
        <f t="array" ref="AB632">SUMIFS(AB$7:AB$26,$C$7:$C$26,$C632)*SUM(SUMIFS(AB$32:AB$350,$C$32:$C$350,{"Other energy industry own use","Own use by pump-storage plants","Own use by gas works","Own use by briquetting plants","Own use by charcoal plants"},$B$32:$B$350,$C632))</f>
        <v>0</v>
      </c>
      <c r="AC632" s="176" cm="1">
        <f t="array" ref="AC632">SUMIFS(AC$7:AC$26,$C$7:$C$26,$C632)*SUM(SUMIFS(AC$32:AC$350,$C$32:$C$350,{"Other energy industry own use","Own use by pump-storage plants","Own use by gas works","Own use by briquetting plants","Own use by charcoal plants"},$B$32:$B$350,$C632))</f>
        <v>0</v>
      </c>
      <c r="AD632" s="176" cm="1">
        <f t="array" ref="AD632">SUMIFS(AD$7:AD$26,$C$7:$C$26,$C632)*SUM(SUMIFS(AD$32:AD$350,$C$32:$C$350,{"Other energy industry own use","Own use by pump-storage plants","Own use by gas works","Own use by briquetting plants","Own use by charcoal plants"},$B$32:$B$350,$C632))</f>
        <v>-12386.023196936774</v>
      </c>
      <c r="AE632" s="176" cm="1">
        <f t="array" ref="AE632">SUMIFS(AE$7:AE$26,$C$7:$C$26,$C632)*SUM(SUMIFS(AE$32:AE$350,$C$32:$C$350,{"Other energy industry own use","Own use by pump-storage plants","Own use by gas works","Own use by briquetting plants","Own use by charcoal plants"},$B$32:$B$350,$C632))</f>
        <v>0</v>
      </c>
      <c r="AF632" s="287" cm="1">
        <f t="array" ref="AF632">SUMIFS(AF$7:AF$26,$C$7:$C$26,$C632)*SUM(SUMIFS(AF$32:AF$350,$C$32:$C$350,{"Other energy industry own use","Own use by pump-storage plants","Own use by gas works","Own use by briquetting plants","Own use by charcoal plants"},$B$32:$B$350,$C632))</f>
        <v>0</v>
      </c>
    </row>
    <row r="633" spans="1:32" s="59" customFormat="1">
      <c r="A633" s="95" t="s">
        <v>728</v>
      </c>
      <c r="B633" s="95" t="s">
        <v>753</v>
      </c>
      <c r="C633" s="71" t="s">
        <v>548</v>
      </c>
      <c r="D633" s="74" t="s">
        <v>387</v>
      </c>
      <c r="E633" s="176" cm="1">
        <f t="array" ref="E633">SUMIFS(E$7:E$26,$C$7:$C$26,$C633)*SUM(SUMIFS(E$32:E$350,$C$32:$C$350,{"Other energy industry own use","Own use by pump-storage plants","Own use by gas works","Own use by briquetting plants","Own use by charcoal plants"},$B$32:$B$350,$C633))</f>
        <v>0</v>
      </c>
      <c r="F633" s="176" cm="1">
        <f t="array" ref="F633">SUMIFS(F$7:F$26,$C$7:$C$26,$C633)*SUM(SUMIFS(F$32:F$350,$C$32:$C$350,{"Other energy industry own use","Own use by pump-storage plants","Own use by gas works","Own use by briquetting plants","Own use by charcoal plants"},$B$32:$B$350,$C633))</f>
        <v>0</v>
      </c>
      <c r="G633" s="176" cm="1">
        <f t="array" ref="G633">SUMIFS(G$7:G$26,$C$7:$C$26,$C633)*SUM(SUMIFS(G$32:G$350,$C$32:$C$350,{"Other energy industry own use","Own use by pump-storage plants","Own use by gas works","Own use by briquetting plants","Own use by charcoal plants"},$B$32:$B$350,$C633))</f>
        <v>-558.24295706860039</v>
      </c>
      <c r="H633" s="176" cm="1">
        <f t="array" ref="H633">SUMIFS(H$7:H$26,$C$7:$C$26,$C633)*SUM(SUMIFS(H$32:H$350,$C$32:$C$350,{"Other energy industry own use","Own use by pump-storage plants","Own use by gas works","Own use by briquetting plants","Own use by charcoal plants"},$B$32:$B$350,$C633))</f>
        <v>0</v>
      </c>
      <c r="I633" s="176" cm="1">
        <f t="array" ref="I633">SUMIFS(I$7:I$26,$C$7:$C$26,$C633)*SUM(SUMIFS(I$32:I$350,$C$32:$C$350,{"Other energy industry own use","Own use by pump-storage plants","Own use by gas works","Own use by briquetting plants","Own use by charcoal plants"},$B$32:$B$350,$C633))</f>
        <v>-4694.6897397452985</v>
      </c>
      <c r="J633" s="176" cm="1">
        <f t="array" ref="J633">SUMIFS(J$7:J$26,$C$7:$C$26,$C633)*SUM(SUMIFS(J$32:J$350,$C$32:$C$350,{"Other energy industry own use","Own use by pump-storage plants","Own use by gas works","Own use by briquetting plants","Own use by charcoal plants"},$B$32:$B$350,$C633))</f>
        <v>0</v>
      </c>
      <c r="K633" s="176" cm="1">
        <f t="array" ref="K633">SUMIFS(K$7:K$26,$C$7:$C$26,$C633)*SUM(SUMIFS(K$32:K$350,$C$32:$C$350,{"Other energy industry own use","Own use by pump-storage plants","Own use by gas works","Own use by briquetting plants","Own use by charcoal plants"},$B$32:$B$350,$C633))</f>
        <v>0</v>
      </c>
      <c r="L633" s="176" cm="1">
        <f t="array" ref="L633">SUMIFS(L$7:L$26,$C$7:$C$26,$C633)*SUM(SUMIFS(L$32:L$350,$C$32:$C$350,{"Other energy industry own use","Own use by pump-storage plants","Own use by gas works","Own use by briquetting plants","Own use by charcoal plants"},$B$32:$B$350,$C633))</f>
        <v>0</v>
      </c>
      <c r="M633" s="176" cm="1">
        <f t="array" ref="M633">SUMIFS(M$7:M$26,$C$7:$C$26,$C633)*SUM(SUMIFS(M$32:M$350,$C$32:$C$350,{"Other energy industry own use","Own use by pump-storage plants","Own use by gas works","Own use by briquetting plants","Own use by charcoal plants"},$B$32:$B$350,$C633))</f>
        <v>0</v>
      </c>
      <c r="N633" s="176" cm="1">
        <f t="array" ref="N633">SUMIFS(N$7:N$26,$C$7:$C$26,$C633)*SUM(SUMIFS(N$32:N$350,$C$32:$C$350,{"Other energy industry own use","Own use by pump-storage plants","Own use by gas works","Own use by briquetting plants","Own use by charcoal plants"},$B$32:$B$350,$C633))</f>
        <v>0</v>
      </c>
      <c r="O633" s="176" cm="1">
        <f t="array" ref="O633">SUMIFS(O$7:O$26,$C$7:$C$26,$C633)*SUM(SUMIFS(O$32:O$350,$C$32:$C$350,{"Other energy industry own use","Own use by pump-storage plants","Own use by gas works","Own use by briquetting plants","Own use by charcoal plants"},$B$32:$B$350,$C633))</f>
        <v>-441.53400149093022</v>
      </c>
      <c r="P633" s="176" cm="1">
        <f t="array" ref="P633">SUMIFS(P$7:P$26,$C$7:$C$26,$C633)*SUM(SUMIFS(P$32:P$350,$C$32:$C$350,{"Other energy industry own use","Own use by pump-storage plants","Own use by gas works","Own use by briquetting plants","Own use by charcoal plants"},$B$32:$B$350,$C633))</f>
        <v>-64.221096751659104</v>
      </c>
      <c r="Q633" s="176" cm="1">
        <f t="array" ref="Q633">SUMIFS(Q$7:Q$26,$C$7:$C$26,$C633)*SUM(SUMIFS(Q$32:Q$350,$C$32:$C$350,{"Other energy industry own use","Own use by pump-storage plants","Own use by gas works","Own use by briquetting plants","Own use by charcoal plants"},$B$32:$B$350,$C633))</f>
        <v>-557.2618235685087</v>
      </c>
      <c r="R633" s="176" cm="1">
        <f t="array" ref="R633">SUMIFS(R$7:R$26,$C$7:$C$26,$C633)*SUM(SUMIFS(R$32:R$350,$C$32:$C$350,{"Other energy industry own use","Own use by pump-storage plants","Own use by gas works","Own use by briquetting plants","Own use by charcoal plants"},$B$32:$B$350,$C633))</f>
        <v>0</v>
      </c>
      <c r="S633" s="176" cm="1">
        <f t="array" ref="S633">SUMIFS(S$7:S$26,$C$7:$C$26,$C633)*SUM(SUMIFS(S$32:S$350,$C$32:$C$350,{"Other energy industry own use","Own use by pump-storage plants","Own use by gas works","Own use by briquetting plants","Own use by charcoal plants"},$B$32:$B$350,$C633))</f>
        <v>0</v>
      </c>
      <c r="T633" s="176" cm="1">
        <f t="array" ref="T633">SUMIFS(T$7:T$26,$C$7:$C$26,$C633)*SUM(SUMIFS(T$32:T$350,$C$32:$C$350,{"Other energy industry own use","Own use by pump-storage plants","Own use by gas works","Own use by briquetting plants","Own use by charcoal plants"},$B$32:$B$350,$C633))</f>
        <v>0</v>
      </c>
      <c r="U633" s="176" cm="1">
        <f t="array" ref="U633">SUMIFS(U$7:U$26,$C$7:$C$26,$C633)*SUM(SUMIFS(U$32:U$350,$C$32:$C$350,{"Other energy industry own use","Own use by pump-storage plants","Own use by gas works","Own use by briquetting plants","Own use by charcoal plants"},$B$32:$B$350,$C633))</f>
        <v>-1406.2654782383408</v>
      </c>
      <c r="V633" s="176" cm="1">
        <f t="array" ref="V633">SUMIFS(V$7:V$26,$C$7:$C$26,$C633)*SUM(SUMIFS(V$32:V$350,$C$32:$C$350,{"Other energy industry own use","Own use by pump-storage plants","Own use by gas works","Own use by briquetting plants","Own use by charcoal plants"},$B$32:$B$350,$C633))</f>
        <v>0</v>
      </c>
      <c r="W633" s="176" cm="1">
        <f t="array" ref="W633">SUMIFS(W$7:W$26,$C$7:$C$26,$C633)*SUM(SUMIFS(W$32:W$350,$C$32:$C$350,{"Other energy industry own use","Own use by pump-storage plants","Own use by gas works","Own use by briquetting plants","Own use by charcoal plants"},$B$32:$B$350,$C633))</f>
        <v>0</v>
      </c>
      <c r="X633" s="176" cm="1">
        <f t="array" ref="X633">SUMIFS(X$7:X$26,$C$7:$C$26,$C633)*SUM(SUMIFS(X$32:X$350,$C$32:$C$350,{"Other energy industry own use","Own use by pump-storage plants","Own use by gas works","Own use by briquetting plants","Own use by charcoal plants"},$B$32:$B$350,$C633))</f>
        <v>0</v>
      </c>
      <c r="Y633" s="176" cm="1">
        <f t="array" ref="Y633">SUMIFS(Y$7:Y$26,$C$7:$C$26,$C633)*SUM(SUMIFS(Y$32:Y$350,$C$32:$C$350,{"Other energy industry own use","Own use by pump-storage plants","Own use by gas works","Own use by briquetting plants","Own use by charcoal plants"},$B$32:$B$350,$C633))</f>
        <v>-746.84081932605056</v>
      </c>
      <c r="Z633" s="176" cm="1">
        <f t="array" ref="Z633">SUMIFS(Z$7:Z$26,$C$7:$C$26,$C633)*SUM(SUMIFS(Z$32:Z$350,$C$32:$C$350,{"Other energy industry own use","Own use by pump-storage plants","Own use by gas works","Own use by briquetting plants","Own use by charcoal plants"},$B$32:$B$350,$C633))</f>
        <v>0</v>
      </c>
      <c r="AA633" s="176" cm="1">
        <f t="array" ref="AA633">SUMIFS(AA$7:AA$26,$C$7:$C$26,$C633)*SUM(SUMIFS(AA$32:AA$350,$C$32:$C$350,{"Other energy industry own use","Own use by pump-storage plants","Own use by gas works","Own use by briquetting plants","Own use by charcoal plants"},$B$32:$B$350,$C633))</f>
        <v>0</v>
      </c>
      <c r="AB633" s="176" cm="1">
        <f t="array" ref="AB633">SUMIFS(AB$7:AB$26,$C$7:$C$26,$C633)*SUM(SUMIFS(AB$32:AB$350,$C$32:$C$350,{"Other energy industry own use","Own use by pump-storage plants","Own use by gas works","Own use by briquetting plants","Own use by charcoal plants"},$B$32:$B$350,$C633))</f>
        <v>0</v>
      </c>
      <c r="AC633" s="176" cm="1">
        <f t="array" ref="AC633">SUMIFS(AC$7:AC$26,$C$7:$C$26,$C633)*SUM(SUMIFS(AC$32:AC$350,$C$32:$C$350,{"Other energy industry own use","Own use by pump-storage plants","Own use by gas works","Own use by briquetting plants","Own use by charcoal plants"},$B$32:$B$350,$C633))</f>
        <v>0</v>
      </c>
      <c r="AD633" s="176" cm="1">
        <f t="array" ref="AD633">SUMIFS(AD$7:AD$26,$C$7:$C$26,$C633)*SUM(SUMIFS(AD$32:AD$350,$C$32:$C$350,{"Other energy industry own use","Own use by pump-storage plants","Own use by gas works","Own use by briquetting plants","Own use by charcoal plants"},$B$32:$B$350,$C633))</f>
        <v>-54780</v>
      </c>
      <c r="AE633" s="176" cm="1">
        <f t="array" ref="AE633">SUMIFS(AE$7:AE$26,$C$7:$C$26,$C633)*SUM(SUMIFS(AE$32:AE$350,$C$32:$C$350,{"Other energy industry own use","Own use by pump-storage plants","Own use by gas works","Own use by briquetting plants","Own use by charcoal plants"},$B$32:$B$350,$C633))</f>
        <v>0</v>
      </c>
      <c r="AF633" s="287" cm="1">
        <f t="array" ref="AF633">SUMIFS(AF$7:AF$26,$C$7:$C$26,$C633)*SUM(SUMIFS(AF$32:AF$350,$C$32:$C$350,{"Other energy industry own use","Own use by pump-storage plants","Own use by gas works","Own use by briquetting plants","Own use by charcoal plants"},$B$32:$B$350,$C633))</f>
        <v>-51.706990826517249</v>
      </c>
    </row>
    <row r="634" spans="1:32" s="59" customFormat="1">
      <c r="A634" s="95" t="s">
        <v>728</v>
      </c>
      <c r="B634" s="95" t="s">
        <v>753</v>
      </c>
      <c r="C634" s="71" t="s">
        <v>550</v>
      </c>
      <c r="D634" s="74" t="s">
        <v>387</v>
      </c>
      <c r="E634" s="176" cm="1">
        <f t="array" ref="E634">SUMIFS(E$7:E$26,$C$7:$C$26,$C634)*SUM(SUMIFS(E$32:E$350,$C$32:$C$350,{"Other energy industry own use","Own use by pump-storage plants","Own use by gas works","Own use by briquetting plants","Own use by charcoal plants"},$B$32:$B$350,$C634))</f>
        <v>0</v>
      </c>
      <c r="F634" s="176" cm="1">
        <f t="array" ref="F634">SUMIFS(F$7:F$26,$C$7:$C$26,$C634)*SUM(SUMIFS(F$32:F$350,$C$32:$C$350,{"Other energy industry own use","Own use by pump-storage plants","Own use by gas works","Own use by briquetting plants","Own use by charcoal plants"},$B$32:$B$350,$C634))</f>
        <v>0</v>
      </c>
      <c r="G634" s="176" cm="1">
        <f t="array" ref="G634">SUMIFS(G$7:G$26,$C$7:$C$26,$C634)*SUM(SUMIFS(G$32:G$350,$C$32:$C$350,{"Other energy industry own use","Own use by pump-storage plants","Own use by gas works","Own use by briquetting plants","Own use by charcoal plants"},$B$32:$B$350,$C634))</f>
        <v>0</v>
      </c>
      <c r="H634" s="176" cm="1">
        <f t="array" ref="H634">SUMIFS(H$7:H$26,$C$7:$C$26,$C634)*SUM(SUMIFS(H$32:H$350,$C$32:$C$350,{"Other energy industry own use","Own use by pump-storage plants","Own use by gas works","Own use by briquetting plants","Own use by charcoal plants"},$B$32:$B$350,$C634))</f>
        <v>0</v>
      </c>
      <c r="I634" s="176" cm="1">
        <f t="array" ref="I634">SUMIFS(I$7:I$26,$C$7:$C$26,$C634)*SUM(SUMIFS(I$32:I$350,$C$32:$C$350,{"Other energy industry own use","Own use by pump-storage plants","Own use by gas works","Own use by briquetting plants","Own use by charcoal plants"},$B$32:$B$350,$C634))</f>
        <v>-623</v>
      </c>
      <c r="J634" s="176" cm="1">
        <f t="array" ref="J634">SUMIFS(J$7:J$26,$C$7:$C$26,$C634)*SUM(SUMIFS(J$32:J$350,$C$32:$C$350,{"Other energy industry own use","Own use by pump-storage plants","Own use by gas works","Own use by briquetting plants","Own use by charcoal plants"},$B$32:$B$350,$C634))</f>
        <v>0</v>
      </c>
      <c r="K634" s="176" cm="1">
        <f t="array" ref="K634">SUMIFS(K$7:K$26,$C$7:$C$26,$C634)*SUM(SUMIFS(K$32:K$350,$C$32:$C$350,{"Other energy industry own use","Own use by pump-storage plants","Own use by gas works","Own use by briquetting plants","Own use by charcoal plants"},$B$32:$B$350,$C634))</f>
        <v>0</v>
      </c>
      <c r="L634" s="176" cm="1">
        <f t="array" ref="L634">SUMIFS(L$7:L$26,$C$7:$C$26,$C634)*SUM(SUMIFS(L$32:L$350,$C$32:$C$350,{"Other energy industry own use","Own use by pump-storage plants","Own use by gas works","Own use by briquetting plants","Own use by charcoal plants"},$B$32:$B$350,$C634))</f>
        <v>0</v>
      </c>
      <c r="M634" s="176" cm="1">
        <f t="array" ref="M634">SUMIFS(M$7:M$26,$C$7:$C$26,$C634)*SUM(SUMIFS(M$32:M$350,$C$32:$C$350,{"Other energy industry own use","Own use by pump-storage plants","Own use by gas works","Own use by briquetting plants","Own use by charcoal plants"},$B$32:$B$350,$C634))</f>
        <v>0</v>
      </c>
      <c r="N634" s="176" cm="1">
        <f t="array" ref="N634">SUMIFS(N$7:N$26,$C$7:$C$26,$C634)*SUM(SUMIFS(N$32:N$350,$C$32:$C$350,{"Other energy industry own use","Own use by pump-storage plants","Own use by gas works","Own use by briquetting plants","Own use by charcoal plants"},$B$32:$B$350,$C634))</f>
        <v>0</v>
      </c>
      <c r="O634" s="176" cm="1">
        <f t="array" ref="O634">SUMIFS(O$7:O$26,$C$7:$C$26,$C634)*SUM(SUMIFS(O$32:O$350,$C$32:$C$350,{"Other energy industry own use","Own use by pump-storage plants","Own use by gas works","Own use by briquetting plants","Own use by charcoal plants"},$B$32:$B$350,$C634))</f>
        <v>0</v>
      </c>
      <c r="P634" s="176" cm="1">
        <f t="array" ref="P634">SUMIFS(P$7:P$26,$C$7:$C$26,$C634)*SUM(SUMIFS(P$32:P$350,$C$32:$C$350,{"Other energy industry own use","Own use by pump-storage plants","Own use by gas works","Own use by briquetting plants","Own use by charcoal plants"},$B$32:$B$350,$C634))</f>
        <v>0</v>
      </c>
      <c r="Q634" s="176" cm="1">
        <f t="array" ref="Q634">SUMIFS(Q$7:Q$26,$C$7:$C$26,$C634)*SUM(SUMIFS(Q$32:Q$350,$C$32:$C$350,{"Other energy industry own use","Own use by pump-storage plants","Own use by gas works","Own use by briquetting plants","Own use by charcoal plants"},$B$32:$B$350,$C634))</f>
        <v>0</v>
      </c>
      <c r="R634" s="176" cm="1">
        <f t="array" ref="R634">SUMIFS(R$7:R$26,$C$7:$C$26,$C634)*SUM(SUMIFS(R$32:R$350,$C$32:$C$350,{"Other energy industry own use","Own use by pump-storage plants","Own use by gas works","Own use by briquetting plants","Own use by charcoal plants"},$B$32:$B$350,$C634))</f>
        <v>0</v>
      </c>
      <c r="S634" s="176" cm="1">
        <f t="array" ref="S634">SUMIFS(S$7:S$26,$C$7:$C$26,$C634)*SUM(SUMIFS(S$32:S$350,$C$32:$C$350,{"Other energy industry own use","Own use by pump-storage plants","Own use by gas works","Own use by briquetting plants","Own use by charcoal plants"},$B$32:$B$350,$C634))</f>
        <v>-34.533333333333331</v>
      </c>
      <c r="T634" s="176" cm="1">
        <f t="array" ref="T634">SUMIFS(T$7:T$26,$C$7:$C$26,$C634)*SUM(SUMIFS(T$32:T$350,$C$32:$C$350,{"Other energy industry own use","Own use by pump-storage plants","Own use by gas works","Own use by briquetting plants","Own use by charcoal plants"},$B$32:$B$350,$C634))</f>
        <v>0</v>
      </c>
      <c r="U634" s="176" cm="1">
        <f t="array" ref="U634">SUMIFS(U$7:U$26,$C$7:$C$26,$C634)*SUM(SUMIFS(U$32:U$350,$C$32:$C$350,{"Other energy industry own use","Own use by pump-storage plants","Own use by gas works","Own use by briquetting plants","Own use by charcoal plants"},$B$32:$B$350,$C634))</f>
        <v>0</v>
      </c>
      <c r="V634" s="176" cm="1">
        <f t="array" ref="V634">SUMIFS(V$7:V$26,$C$7:$C$26,$C634)*SUM(SUMIFS(V$32:V$350,$C$32:$C$350,{"Other energy industry own use","Own use by pump-storage plants","Own use by gas works","Own use by briquetting plants","Own use by charcoal plants"},$B$32:$B$350,$C634))</f>
        <v>-258</v>
      </c>
      <c r="W634" s="176" cm="1">
        <f t="array" ref="W634">SUMIFS(W$7:W$26,$C$7:$C$26,$C634)*SUM(SUMIFS(W$32:W$350,$C$32:$C$350,{"Other energy industry own use","Own use by pump-storage plants","Own use by gas works","Own use by briquetting plants","Own use by charcoal plants"},$B$32:$B$350,$C634))</f>
        <v>0</v>
      </c>
      <c r="X634" s="176" cm="1">
        <f t="array" ref="X634">SUMIFS(X$7:X$26,$C$7:$C$26,$C634)*SUM(SUMIFS(X$32:X$350,$C$32:$C$350,{"Other energy industry own use","Own use by pump-storage plants","Own use by gas works","Own use by briquetting plants","Own use by charcoal plants"},$B$32:$B$350,$C634))</f>
        <v>0</v>
      </c>
      <c r="Y634" s="176" cm="1">
        <f t="array" ref="Y634">SUMIFS(Y$7:Y$26,$C$7:$C$26,$C634)*SUM(SUMIFS(Y$32:Y$350,$C$32:$C$350,{"Other energy industry own use","Own use by pump-storage plants","Own use by gas works","Own use by briquetting plants","Own use by charcoal plants"},$B$32:$B$350,$C634))</f>
        <v>-26.079038010180756</v>
      </c>
      <c r="Z634" s="176" cm="1">
        <f t="array" ref="Z634">SUMIFS(Z$7:Z$26,$C$7:$C$26,$C634)*SUM(SUMIFS(Z$32:Z$350,$C$32:$C$350,{"Other energy industry own use","Own use by pump-storage plants","Own use by gas works","Own use by briquetting plants","Own use by charcoal plants"},$B$32:$B$350,$C634))</f>
        <v>0</v>
      </c>
      <c r="AA634" s="176" cm="1">
        <f t="array" ref="AA634">SUMIFS(AA$7:AA$26,$C$7:$C$26,$C634)*SUM(SUMIFS(AA$32:AA$350,$C$32:$C$350,{"Other energy industry own use","Own use by pump-storage plants","Own use by gas works","Own use by briquetting plants","Own use by charcoal plants"},$B$32:$B$350,$C634))</f>
        <v>0</v>
      </c>
      <c r="AB634" s="176" cm="1">
        <f t="array" ref="AB634">SUMIFS(AB$7:AB$26,$C$7:$C$26,$C634)*SUM(SUMIFS(AB$32:AB$350,$C$32:$C$350,{"Other energy industry own use","Own use by pump-storage plants","Own use by gas works","Own use by briquetting plants","Own use by charcoal plants"},$B$32:$B$350,$C634))</f>
        <v>0</v>
      </c>
      <c r="AC634" s="176" cm="1">
        <f t="array" ref="AC634">SUMIFS(AC$7:AC$26,$C$7:$C$26,$C634)*SUM(SUMIFS(AC$32:AC$350,$C$32:$C$350,{"Other energy industry own use","Own use by pump-storage plants","Own use by gas works","Own use by briquetting plants","Own use by charcoal plants"},$B$32:$B$350,$C634))</f>
        <v>0</v>
      </c>
      <c r="AD634" s="176" cm="1">
        <f t="array" ref="AD634">SUMIFS(AD$7:AD$26,$C$7:$C$26,$C634)*SUM(SUMIFS(AD$32:AD$350,$C$32:$C$350,{"Other energy industry own use","Own use by pump-storage plants","Own use by gas works","Own use by briquetting plants","Own use by charcoal plants"},$B$32:$B$350,$C634))</f>
        <v>0</v>
      </c>
      <c r="AE634" s="176" cm="1">
        <f t="array" ref="AE634">SUMIFS(AE$7:AE$26,$C$7:$C$26,$C634)*SUM(SUMIFS(AE$32:AE$350,$C$32:$C$350,{"Other energy industry own use","Own use by pump-storage plants","Own use by gas works","Own use by briquetting plants","Own use by charcoal plants"},$B$32:$B$350,$C634))</f>
        <v>0</v>
      </c>
      <c r="AF634" s="287" cm="1">
        <f t="array" ref="AF634">SUMIFS(AF$7:AF$26,$C$7:$C$26,$C634)*SUM(SUMIFS(AF$32:AF$350,$C$32:$C$350,{"Other energy industry own use","Own use by pump-storage plants","Own use by gas works","Own use by briquetting plants","Own use by charcoal plants"},$B$32:$B$350,$C634))</f>
        <v>0</v>
      </c>
    </row>
    <row r="635" spans="1:32" s="59" customFormat="1">
      <c r="A635" s="95" t="s">
        <v>728</v>
      </c>
      <c r="B635" s="95" t="s">
        <v>753</v>
      </c>
      <c r="C635" s="71" t="s">
        <v>552</v>
      </c>
      <c r="D635" s="74" t="s">
        <v>387</v>
      </c>
      <c r="E635" s="176" cm="1">
        <f t="array" ref="E635">SUMIFS(E$7:E$26,$C$7:$C$26,$C635)*SUM(SUMIFS(E$32:E$350,$C$32:$C$350,{"Other energy industry own use","Own use by pump-storage plants","Own use by gas works","Own use by briquetting plants","Own use by charcoal plants"},$B$32:$B$350,$C635))</f>
        <v>0</v>
      </c>
      <c r="F635" s="176" cm="1">
        <f t="array" ref="F635">SUMIFS(F$7:F$26,$C$7:$C$26,$C635)*SUM(SUMIFS(F$32:F$350,$C$32:$C$350,{"Other energy industry own use","Own use by pump-storage plants","Own use by gas works","Own use by briquetting plants","Own use by charcoal plants"},$B$32:$B$350,$C635))</f>
        <v>-867</v>
      </c>
      <c r="G635" s="176" cm="1">
        <f t="array" ref="G635">SUMIFS(G$7:G$26,$C$7:$C$26,$C635)*SUM(SUMIFS(G$32:G$350,$C$32:$C$350,{"Other energy industry own use","Own use by pump-storage plants","Own use by gas works","Own use by briquetting plants","Own use by charcoal plants"},$B$32:$B$350,$C635))</f>
        <v>0</v>
      </c>
      <c r="H635" s="176" cm="1">
        <f t="array" ref="H635">SUMIFS(H$7:H$26,$C$7:$C$26,$C635)*SUM(SUMIFS(H$32:H$350,$C$32:$C$350,{"Other energy industry own use","Own use by pump-storage plants","Own use by gas works","Own use by briquetting plants","Own use by charcoal plants"},$B$32:$B$350,$C635))</f>
        <v>0</v>
      </c>
      <c r="I635" s="176" cm="1">
        <f t="array" ref="I635">SUMIFS(I$7:I$26,$C$7:$C$26,$C635)*SUM(SUMIFS(I$32:I$350,$C$32:$C$350,{"Other energy industry own use","Own use by pump-storage plants","Own use by gas works","Own use by briquetting plants","Own use by charcoal plants"},$B$32:$B$350,$C635))</f>
        <v>-313.62475129327504</v>
      </c>
      <c r="J635" s="176" cm="1">
        <f t="array" ref="J635">SUMIFS(J$7:J$26,$C$7:$C$26,$C635)*SUM(SUMIFS(J$32:J$350,$C$32:$C$350,{"Other energy industry own use","Own use by pump-storage plants","Own use by gas works","Own use by briquetting plants","Own use by charcoal plants"},$B$32:$B$350,$C635))</f>
        <v>-5207.4983304394282</v>
      </c>
      <c r="K635" s="176" cm="1">
        <f t="array" ref="K635">SUMIFS(K$7:K$26,$C$7:$C$26,$C635)*SUM(SUMIFS(K$32:K$350,$C$32:$C$350,{"Other energy industry own use","Own use by pump-storage plants","Own use by gas works","Own use by briquetting plants","Own use by charcoal plants"},$B$32:$B$350,$C635))</f>
        <v>0</v>
      </c>
      <c r="L635" s="176" cm="1">
        <f t="array" ref="L635">SUMIFS(L$7:L$26,$C$7:$C$26,$C635)*SUM(SUMIFS(L$32:L$350,$C$32:$C$350,{"Other energy industry own use","Own use by pump-storage plants","Own use by gas works","Own use by briquetting plants","Own use by charcoal plants"},$B$32:$B$350,$C635))</f>
        <v>0</v>
      </c>
      <c r="M635" s="176" cm="1">
        <f t="array" ref="M635">SUMIFS(M$7:M$26,$C$7:$C$26,$C635)*SUM(SUMIFS(M$32:M$350,$C$32:$C$350,{"Other energy industry own use","Own use by pump-storage plants","Own use by gas works","Own use by briquetting plants","Own use by charcoal plants"},$B$32:$B$350,$C635))</f>
        <v>0</v>
      </c>
      <c r="N635" s="176" cm="1">
        <f t="array" ref="N635">SUMIFS(N$7:N$26,$C$7:$C$26,$C635)*SUM(SUMIFS(N$32:N$350,$C$32:$C$350,{"Other energy industry own use","Own use by pump-storage plants","Own use by gas works","Own use by briquetting plants","Own use by charcoal plants"},$B$32:$B$350,$C635))</f>
        <v>0</v>
      </c>
      <c r="O635" s="176" cm="1">
        <f t="array" ref="O635">SUMIFS(O$7:O$26,$C$7:$C$26,$C635)*SUM(SUMIFS(O$32:O$350,$C$32:$C$350,{"Other energy industry own use","Own use by pump-storage plants","Own use by gas works","Own use by briquetting plants","Own use by charcoal plants"},$B$32:$B$350,$C635))</f>
        <v>0</v>
      </c>
      <c r="P635" s="176" cm="1">
        <f t="array" ref="P635">SUMIFS(P$7:P$26,$C$7:$C$26,$C635)*SUM(SUMIFS(P$32:P$350,$C$32:$C$350,{"Other energy industry own use","Own use by pump-storage plants","Own use by gas works","Own use by briquetting plants","Own use by charcoal plants"},$B$32:$B$350,$C635))</f>
        <v>-27.245150442922029</v>
      </c>
      <c r="Q635" s="176" cm="1">
        <f t="array" ref="Q635">SUMIFS(Q$7:Q$26,$C$7:$C$26,$C635)*SUM(SUMIFS(Q$32:Q$350,$C$32:$C$350,{"Other energy industry own use","Own use by pump-storage plants","Own use by gas works","Own use by briquetting plants","Own use by charcoal plants"},$B$32:$B$350,$C635))</f>
        <v>0</v>
      </c>
      <c r="R635" s="176" cm="1">
        <f t="array" ref="R635">SUMIFS(R$7:R$26,$C$7:$C$26,$C635)*SUM(SUMIFS(R$32:R$350,$C$32:$C$350,{"Other energy industry own use","Own use by pump-storage plants","Own use by gas works","Own use by briquetting plants","Own use by charcoal plants"},$B$32:$B$350,$C635))</f>
        <v>0</v>
      </c>
      <c r="S635" s="176" cm="1">
        <f t="array" ref="S635">SUMIFS(S$7:S$26,$C$7:$C$26,$C635)*SUM(SUMIFS(S$32:S$350,$C$32:$C$350,{"Other energy industry own use","Own use by pump-storage plants","Own use by gas works","Own use by briquetting plants","Own use by charcoal plants"},$B$32:$B$350,$C635))</f>
        <v>-9820.4944259730109</v>
      </c>
      <c r="T635" s="176" cm="1">
        <f t="array" ref="T635">SUMIFS(T$7:T$26,$C$7:$C$26,$C635)*SUM(SUMIFS(T$32:T$350,$C$32:$C$350,{"Other energy industry own use","Own use by pump-storage plants","Own use by gas works","Own use by briquetting plants","Own use by charcoal plants"},$B$32:$B$350,$C635))</f>
        <v>-5.9835046581280196</v>
      </c>
      <c r="U635" s="176" cm="1">
        <f t="array" ref="U635">SUMIFS(U$7:U$26,$C$7:$C$26,$C635)*SUM(SUMIFS(U$32:U$350,$C$32:$C$350,{"Other energy industry own use","Own use by pump-storage plants","Own use by gas works","Own use by briquetting plants","Own use by charcoal plants"},$B$32:$B$350,$C635))</f>
        <v>-14706.515322866777</v>
      </c>
      <c r="V635" s="176" cm="1">
        <f t="array" ref="V635">SUMIFS(V$7:V$26,$C$7:$C$26,$C635)*SUM(SUMIFS(V$32:V$350,$C$32:$C$350,{"Other energy industry own use","Own use by pump-storage plants","Own use by gas works","Own use by briquetting plants","Own use by charcoal plants"},$B$32:$B$350,$C635))</f>
        <v>0</v>
      </c>
      <c r="W635" s="176" cm="1">
        <f t="array" ref="W635">SUMIFS(W$7:W$26,$C$7:$C$26,$C635)*SUM(SUMIFS(W$32:W$350,$C$32:$C$350,{"Other energy industry own use","Own use by pump-storage plants","Own use by gas works","Own use by briquetting plants","Own use by charcoal plants"},$B$32:$B$350,$C635))</f>
        <v>0</v>
      </c>
      <c r="X635" s="176" cm="1">
        <f t="array" ref="X635">SUMIFS(X$7:X$26,$C$7:$C$26,$C635)*SUM(SUMIFS(X$32:X$350,$C$32:$C$350,{"Other energy industry own use","Own use by pump-storage plants","Own use by gas works","Own use by briquetting plants","Own use by charcoal plants"},$B$32:$B$350,$C635))</f>
        <v>0</v>
      </c>
      <c r="Y635" s="176" cm="1">
        <f t="array" ref="Y635">SUMIFS(Y$7:Y$26,$C$7:$C$26,$C635)*SUM(SUMIFS(Y$32:Y$350,$C$32:$C$350,{"Other energy industry own use","Own use by pump-storage plants","Own use by gas works","Own use by briquetting plants","Own use by charcoal plants"},$B$32:$B$350,$C635))</f>
        <v>-1358.2417237661657</v>
      </c>
      <c r="Z635" s="176" cm="1">
        <f t="array" ref="Z635">SUMIFS(Z$7:Z$26,$C$7:$C$26,$C635)*SUM(SUMIFS(Z$32:Z$350,$C$32:$C$350,{"Other energy industry own use","Own use by pump-storage plants","Own use by gas works","Own use by briquetting plants","Own use by charcoal plants"},$B$32:$B$350,$C635))</f>
        <v>0</v>
      </c>
      <c r="AA635" s="176" cm="1">
        <f t="array" ref="AA635">SUMIFS(AA$7:AA$26,$C$7:$C$26,$C635)*SUM(SUMIFS(AA$32:AA$350,$C$32:$C$350,{"Other energy industry own use","Own use by pump-storage plants","Own use by gas works","Own use by briquetting plants","Own use by charcoal plants"},$B$32:$B$350,$C635))</f>
        <v>0</v>
      </c>
      <c r="AB635" s="176" cm="1">
        <f t="array" ref="AB635">SUMIFS(AB$7:AB$26,$C$7:$C$26,$C635)*SUM(SUMIFS(AB$32:AB$350,$C$32:$C$350,{"Other energy industry own use","Own use by pump-storage plants","Own use by gas works","Own use by briquetting plants","Own use by charcoal plants"},$B$32:$B$350,$C635))</f>
        <v>0</v>
      </c>
      <c r="AC635" s="176" cm="1">
        <f t="array" ref="AC635">SUMIFS(AC$7:AC$26,$C$7:$C$26,$C635)*SUM(SUMIFS(AC$32:AC$350,$C$32:$C$350,{"Other energy industry own use","Own use by pump-storage plants","Own use by gas works","Own use by briquetting plants","Own use by charcoal plants"},$B$32:$B$350,$C635))</f>
        <v>0</v>
      </c>
      <c r="AD635" s="176" cm="1">
        <f t="array" ref="AD635">SUMIFS(AD$7:AD$26,$C$7:$C$26,$C635)*SUM(SUMIFS(AD$32:AD$350,$C$32:$C$350,{"Other energy industry own use","Own use by pump-storage plants","Own use by gas works","Own use by briquetting plants","Own use by charcoal plants"},$B$32:$B$350,$C635))</f>
        <v>-11490.057619709914</v>
      </c>
      <c r="AE635" s="176" cm="1">
        <f t="array" ref="AE635">SUMIFS(AE$7:AE$26,$C$7:$C$26,$C635)*SUM(SUMIFS(AE$32:AE$350,$C$32:$C$350,{"Other energy industry own use","Own use by pump-storage plants","Own use by gas works","Own use by briquetting plants","Own use by charcoal plants"},$B$32:$B$350,$C635))</f>
        <v>0</v>
      </c>
      <c r="AF635" s="287" cm="1">
        <f t="array" ref="AF635">SUMIFS(AF$7:AF$26,$C$7:$C$26,$C635)*SUM(SUMIFS(AF$32:AF$350,$C$32:$C$350,{"Other energy industry own use","Own use by pump-storage plants","Own use by gas works","Own use by briquetting plants","Own use by charcoal plants"},$B$32:$B$350,$C635))</f>
        <v>0</v>
      </c>
    </row>
    <row r="636" spans="1:32" s="59" customFormat="1">
      <c r="A636" s="95" t="s">
        <v>728</v>
      </c>
      <c r="B636" s="95" t="s">
        <v>753</v>
      </c>
      <c r="C636" s="71" t="s">
        <v>554</v>
      </c>
      <c r="D636" s="74" t="s">
        <v>387</v>
      </c>
      <c r="E636" s="176" cm="1">
        <f t="array" ref="E636">SUMIFS(E$7:E$26,$C$7:$C$26,$C636)*SUM(SUMIFS(E$32:E$350,$C$32:$C$350,{"Other energy industry own use","Own use by pump-storage plants","Own use by gas works","Own use by briquetting plants","Own use by charcoal plants"},$B$32:$B$350,$C636))</f>
        <v>0</v>
      </c>
      <c r="F636" s="176" cm="1">
        <f t="array" ref="F636">SUMIFS(F$7:F$26,$C$7:$C$26,$C636)*SUM(SUMIFS(F$32:F$350,$C$32:$C$350,{"Other energy industry own use","Own use by pump-storage plants","Own use by gas works","Own use by briquetting plants","Own use by charcoal plants"},$B$32:$B$350,$C636))</f>
        <v>0</v>
      </c>
      <c r="G636" s="176" cm="1">
        <f t="array" ref="G636">SUMIFS(G$7:G$26,$C$7:$C$26,$C636)*SUM(SUMIFS(G$32:G$350,$C$32:$C$350,{"Other energy industry own use","Own use by pump-storage plants","Own use by gas works","Own use by briquetting plants","Own use by charcoal plants"},$B$32:$B$350,$C636))</f>
        <v>0</v>
      </c>
      <c r="H636" s="176" cm="1">
        <f t="array" ref="H636">SUMIFS(H$7:H$26,$C$7:$C$26,$C636)*SUM(SUMIFS(H$32:H$350,$C$32:$C$350,{"Other energy industry own use","Own use by pump-storage plants","Own use by gas works","Own use by briquetting plants","Own use by charcoal plants"},$B$32:$B$350,$C636))</f>
        <v>0</v>
      </c>
      <c r="I636" s="176" cm="1">
        <f t="array" ref="I636">SUMIFS(I$7:I$26,$C$7:$C$26,$C636)*SUM(SUMIFS(I$32:I$350,$C$32:$C$350,{"Other energy industry own use","Own use by pump-storage plants","Own use by gas works","Own use by briquetting plants","Own use by charcoal plants"},$B$32:$B$350,$C636))</f>
        <v>0</v>
      </c>
      <c r="J636" s="176" cm="1">
        <f t="array" ref="J636">SUMIFS(J$7:J$26,$C$7:$C$26,$C636)*SUM(SUMIFS(J$32:J$350,$C$32:$C$350,{"Other energy industry own use","Own use by pump-storage plants","Own use by gas works","Own use by briquetting plants","Own use by charcoal plants"},$B$32:$B$350,$C636))</f>
        <v>0</v>
      </c>
      <c r="K636" s="176" cm="1">
        <f t="array" ref="K636">SUMIFS(K$7:K$26,$C$7:$C$26,$C636)*SUM(SUMIFS(K$32:K$350,$C$32:$C$350,{"Other energy industry own use","Own use by pump-storage plants","Own use by gas works","Own use by briquetting plants","Own use by charcoal plants"},$B$32:$B$350,$C636))</f>
        <v>0</v>
      </c>
      <c r="L636" s="176" cm="1">
        <f t="array" ref="L636">SUMIFS(L$7:L$26,$C$7:$C$26,$C636)*SUM(SUMIFS(L$32:L$350,$C$32:$C$350,{"Other energy industry own use","Own use by pump-storage plants","Own use by gas works","Own use by briquetting plants","Own use by charcoal plants"},$B$32:$B$350,$C636))</f>
        <v>0</v>
      </c>
      <c r="M636" s="176" cm="1">
        <f t="array" ref="M636">SUMIFS(M$7:M$26,$C$7:$C$26,$C636)*SUM(SUMIFS(M$32:M$350,$C$32:$C$350,{"Other energy industry own use","Own use by pump-storage plants","Own use by gas works","Own use by briquetting plants","Own use by charcoal plants"},$B$32:$B$350,$C636))</f>
        <v>0</v>
      </c>
      <c r="N636" s="176" cm="1">
        <f t="array" ref="N636">SUMIFS(N$7:N$26,$C$7:$C$26,$C636)*SUM(SUMIFS(N$32:N$350,$C$32:$C$350,{"Other energy industry own use","Own use by pump-storage plants","Own use by gas works","Own use by briquetting plants","Own use by charcoal plants"},$B$32:$B$350,$C636))</f>
        <v>0</v>
      </c>
      <c r="O636" s="176" cm="1">
        <f t="array" ref="O636">SUMIFS(O$7:O$26,$C$7:$C$26,$C636)*SUM(SUMIFS(O$32:O$350,$C$32:$C$350,{"Other energy industry own use","Own use by pump-storage plants","Own use by gas works","Own use by briquetting plants","Own use by charcoal plants"},$B$32:$B$350,$C636))</f>
        <v>0</v>
      </c>
      <c r="P636" s="176" cm="1">
        <f t="array" ref="P636">SUMIFS(P$7:P$26,$C$7:$C$26,$C636)*SUM(SUMIFS(P$32:P$350,$C$32:$C$350,{"Other energy industry own use","Own use by pump-storage plants","Own use by gas works","Own use by briquetting plants","Own use by charcoal plants"},$B$32:$B$350,$C636))</f>
        <v>0</v>
      </c>
      <c r="Q636" s="176" cm="1">
        <f t="array" ref="Q636">SUMIFS(Q$7:Q$26,$C$7:$C$26,$C636)*SUM(SUMIFS(Q$32:Q$350,$C$32:$C$350,{"Other energy industry own use","Own use by pump-storage plants","Own use by gas works","Own use by briquetting plants","Own use by charcoal plants"},$B$32:$B$350,$C636))</f>
        <v>0</v>
      </c>
      <c r="R636" s="176" cm="1">
        <f t="array" ref="R636">SUMIFS(R$7:R$26,$C$7:$C$26,$C636)*SUM(SUMIFS(R$32:R$350,$C$32:$C$350,{"Other energy industry own use","Own use by pump-storage plants","Own use by gas works","Own use by briquetting plants","Own use by charcoal plants"},$B$32:$B$350,$C636))</f>
        <v>0</v>
      </c>
      <c r="S636" s="176" cm="1">
        <f t="array" ref="S636">SUMIFS(S$7:S$26,$C$7:$C$26,$C636)*SUM(SUMIFS(S$32:S$350,$C$32:$C$350,{"Other energy industry own use","Own use by pump-storage plants","Own use by gas works","Own use by briquetting plants","Own use by charcoal plants"},$B$32:$B$350,$C636))</f>
        <v>0</v>
      </c>
      <c r="T636" s="176" cm="1">
        <f t="array" ref="T636">SUMIFS(T$7:T$26,$C$7:$C$26,$C636)*SUM(SUMIFS(T$32:T$350,$C$32:$C$350,{"Other energy industry own use","Own use by pump-storage plants","Own use by gas works","Own use by briquetting plants","Own use by charcoal plants"},$B$32:$B$350,$C636))</f>
        <v>0</v>
      </c>
      <c r="U636" s="176" cm="1">
        <f t="array" ref="U636">SUMIFS(U$7:U$26,$C$7:$C$26,$C636)*SUM(SUMIFS(U$32:U$350,$C$32:$C$350,{"Other energy industry own use","Own use by pump-storage plants","Own use by gas works","Own use by briquetting plants","Own use by charcoal plants"},$B$32:$B$350,$C636))</f>
        <v>0</v>
      </c>
      <c r="V636" s="176" cm="1">
        <f t="array" ref="V636">SUMIFS(V$7:V$26,$C$7:$C$26,$C636)*SUM(SUMIFS(V$32:V$350,$C$32:$C$350,{"Other energy industry own use","Own use by pump-storage plants","Own use by gas works","Own use by briquetting plants","Own use by charcoal plants"},$B$32:$B$350,$C636))</f>
        <v>0</v>
      </c>
      <c r="W636" s="176" cm="1">
        <f t="array" ref="W636">SUMIFS(W$7:W$26,$C$7:$C$26,$C636)*SUM(SUMIFS(W$32:W$350,$C$32:$C$350,{"Other energy industry own use","Own use by pump-storage plants","Own use by gas works","Own use by briquetting plants","Own use by charcoal plants"},$B$32:$B$350,$C636))</f>
        <v>0</v>
      </c>
      <c r="X636" s="176" cm="1">
        <f t="array" ref="X636">SUMIFS(X$7:X$26,$C$7:$C$26,$C636)*SUM(SUMIFS(X$32:X$350,$C$32:$C$350,{"Other energy industry own use","Own use by pump-storage plants","Own use by gas works","Own use by briquetting plants","Own use by charcoal plants"},$B$32:$B$350,$C636))</f>
        <v>0</v>
      </c>
      <c r="Y636" s="176" cm="1">
        <f t="array" ref="Y636">SUMIFS(Y$7:Y$26,$C$7:$C$26,$C636)*SUM(SUMIFS(Y$32:Y$350,$C$32:$C$350,{"Other energy industry own use","Own use by pump-storage plants","Own use by gas works","Own use by briquetting plants","Own use by charcoal plants"},$B$32:$B$350,$C636))</f>
        <v>0</v>
      </c>
      <c r="Z636" s="176" cm="1">
        <f t="array" ref="Z636">SUMIFS(Z$7:Z$26,$C$7:$C$26,$C636)*SUM(SUMIFS(Z$32:Z$350,$C$32:$C$350,{"Other energy industry own use","Own use by pump-storage plants","Own use by gas works","Own use by briquetting plants","Own use by charcoal plants"},$B$32:$B$350,$C636))</f>
        <v>0</v>
      </c>
      <c r="AA636" s="176" cm="1">
        <f t="array" ref="AA636">SUMIFS(AA$7:AA$26,$C$7:$C$26,$C636)*SUM(SUMIFS(AA$32:AA$350,$C$32:$C$350,{"Other energy industry own use","Own use by pump-storage plants","Own use by gas works","Own use by briquetting plants","Own use by charcoal plants"},$B$32:$B$350,$C636))</f>
        <v>0</v>
      </c>
      <c r="AB636" s="176" cm="1">
        <f t="array" ref="AB636">SUMIFS(AB$7:AB$26,$C$7:$C$26,$C636)*SUM(SUMIFS(AB$32:AB$350,$C$32:$C$350,{"Other energy industry own use","Own use by pump-storage plants","Own use by gas works","Own use by briquetting plants","Own use by charcoal plants"},$B$32:$B$350,$C636))</f>
        <v>0</v>
      </c>
      <c r="AC636" s="176" cm="1">
        <f t="array" ref="AC636">SUMIFS(AC$7:AC$26,$C$7:$C$26,$C636)*SUM(SUMIFS(AC$32:AC$350,$C$32:$C$350,{"Other energy industry own use","Own use by pump-storage plants","Own use by gas works","Own use by briquetting plants","Own use by charcoal plants"},$B$32:$B$350,$C636))</f>
        <v>0</v>
      </c>
      <c r="AD636" s="176" cm="1">
        <f t="array" ref="AD636">SUMIFS(AD$7:AD$26,$C$7:$C$26,$C636)*SUM(SUMIFS(AD$32:AD$350,$C$32:$C$350,{"Other energy industry own use","Own use by pump-storage plants","Own use by gas works","Own use by briquetting plants","Own use by charcoal plants"},$B$32:$B$350,$C636))</f>
        <v>0</v>
      </c>
      <c r="AE636" s="176" cm="1">
        <f t="array" ref="AE636">SUMIFS(AE$7:AE$26,$C$7:$C$26,$C636)*SUM(SUMIFS(AE$32:AE$350,$C$32:$C$350,{"Other energy industry own use","Own use by pump-storage plants","Own use by gas works","Own use by briquetting plants","Own use by charcoal plants"},$B$32:$B$350,$C636))</f>
        <v>0</v>
      </c>
      <c r="AF636" s="287" cm="1">
        <f t="array" ref="AF636">SUMIFS(AF$7:AF$26,$C$7:$C$26,$C636)*SUM(SUMIFS(AF$32:AF$350,$C$32:$C$350,{"Other energy industry own use","Own use by pump-storage plants","Own use by gas works","Own use by briquetting plants","Own use by charcoal plants"},$B$32:$B$350,$C636))</f>
        <v>0</v>
      </c>
    </row>
    <row r="637" spans="1:32" s="59" customFormat="1">
      <c r="A637" s="95" t="s">
        <v>728</v>
      </c>
      <c r="B637" s="95" t="s">
        <v>753</v>
      </c>
      <c r="C637" s="71" t="s">
        <v>556</v>
      </c>
      <c r="D637" s="74" t="s">
        <v>387</v>
      </c>
      <c r="E637" s="176" cm="1">
        <f t="array" ref="E637">SUMIFS(E$7:E$26,$C$7:$C$26,$C637)*SUM(SUMIFS(E$32:E$350,$C$32:$C$350,{"Other energy industry own use","Own use by pump-storage plants","Own use by gas works","Own use by briquetting plants","Own use by charcoal plants"},$B$32:$B$350,$C637))</f>
        <v>0</v>
      </c>
      <c r="F637" s="176" cm="1">
        <f t="array" ref="F637">SUMIFS(F$7:F$26,$C$7:$C$26,$C637)*SUM(SUMIFS(F$32:F$350,$C$32:$C$350,{"Other energy industry own use","Own use by pump-storage plants","Own use by gas works","Own use by briquetting plants","Own use by charcoal plants"},$B$32:$B$350,$C637))</f>
        <v>0</v>
      </c>
      <c r="G637" s="176" cm="1">
        <f t="array" ref="G637">SUMIFS(G$7:G$26,$C$7:$C$26,$C637)*SUM(SUMIFS(G$32:G$350,$C$32:$C$350,{"Other energy industry own use","Own use by pump-storage plants","Own use by gas works","Own use by briquetting plants","Own use by charcoal plants"},$B$32:$B$350,$C637))</f>
        <v>0</v>
      </c>
      <c r="H637" s="176" cm="1">
        <f t="array" ref="H637">SUMIFS(H$7:H$26,$C$7:$C$26,$C637)*SUM(SUMIFS(H$32:H$350,$C$32:$C$350,{"Other energy industry own use","Own use by pump-storage plants","Own use by gas works","Own use by briquetting plants","Own use by charcoal plants"},$B$32:$B$350,$C637))</f>
        <v>0</v>
      </c>
      <c r="I637" s="176" cm="1">
        <f t="array" ref="I637">SUMIFS(I$7:I$26,$C$7:$C$26,$C637)*SUM(SUMIFS(I$32:I$350,$C$32:$C$350,{"Other energy industry own use","Own use by pump-storage plants","Own use by gas works","Own use by briquetting plants","Own use by charcoal plants"},$B$32:$B$350,$C637))</f>
        <v>0</v>
      </c>
      <c r="J637" s="176" cm="1">
        <f t="array" ref="J637">SUMIFS(J$7:J$26,$C$7:$C$26,$C637)*SUM(SUMIFS(J$32:J$350,$C$32:$C$350,{"Other energy industry own use","Own use by pump-storage plants","Own use by gas works","Own use by briquetting plants","Own use by charcoal plants"},$B$32:$B$350,$C637))</f>
        <v>0</v>
      </c>
      <c r="K637" s="176" cm="1">
        <f t="array" ref="K637">SUMIFS(K$7:K$26,$C$7:$C$26,$C637)*SUM(SUMIFS(K$32:K$350,$C$32:$C$350,{"Other energy industry own use","Own use by pump-storage plants","Own use by gas works","Own use by briquetting plants","Own use by charcoal plants"},$B$32:$B$350,$C637))</f>
        <v>0</v>
      </c>
      <c r="L637" s="176" cm="1">
        <f t="array" ref="L637">SUMIFS(L$7:L$26,$C$7:$C$26,$C637)*SUM(SUMIFS(L$32:L$350,$C$32:$C$350,{"Other energy industry own use","Own use by pump-storage plants","Own use by gas works","Own use by briquetting plants","Own use by charcoal plants"},$B$32:$B$350,$C637))</f>
        <v>0</v>
      </c>
      <c r="M637" s="176" cm="1">
        <f t="array" ref="M637">SUMIFS(M$7:M$26,$C$7:$C$26,$C637)*SUM(SUMIFS(M$32:M$350,$C$32:$C$350,{"Other energy industry own use","Own use by pump-storage plants","Own use by gas works","Own use by briquetting plants","Own use by charcoal plants"},$B$32:$B$350,$C637))</f>
        <v>0</v>
      </c>
      <c r="N637" s="176" cm="1">
        <f t="array" ref="N637">SUMIFS(N$7:N$26,$C$7:$C$26,$C637)*SUM(SUMIFS(N$32:N$350,$C$32:$C$350,{"Other energy industry own use","Own use by pump-storage plants","Own use by gas works","Own use by briquetting plants","Own use by charcoal plants"},$B$32:$B$350,$C637))</f>
        <v>0</v>
      </c>
      <c r="O637" s="176" cm="1">
        <f t="array" ref="O637">SUMIFS(O$7:O$26,$C$7:$C$26,$C637)*SUM(SUMIFS(O$32:O$350,$C$32:$C$350,{"Other energy industry own use","Own use by pump-storage plants","Own use by gas works","Own use by briquetting plants","Own use by charcoal plants"},$B$32:$B$350,$C637))</f>
        <v>0</v>
      </c>
      <c r="P637" s="176" cm="1">
        <f t="array" ref="P637">SUMIFS(P$7:P$26,$C$7:$C$26,$C637)*SUM(SUMIFS(P$32:P$350,$C$32:$C$350,{"Other energy industry own use","Own use by pump-storage plants","Own use by gas works","Own use by briquetting plants","Own use by charcoal plants"},$B$32:$B$350,$C637))</f>
        <v>0</v>
      </c>
      <c r="Q637" s="176" cm="1">
        <f t="array" ref="Q637">SUMIFS(Q$7:Q$26,$C$7:$C$26,$C637)*SUM(SUMIFS(Q$32:Q$350,$C$32:$C$350,{"Other energy industry own use","Own use by pump-storage plants","Own use by gas works","Own use by briquetting plants","Own use by charcoal plants"},$B$32:$B$350,$C637))</f>
        <v>-19.12282367047186</v>
      </c>
      <c r="R637" s="176" cm="1">
        <f t="array" ref="R637">SUMIFS(R$7:R$26,$C$7:$C$26,$C637)*SUM(SUMIFS(R$32:R$350,$C$32:$C$350,{"Other energy industry own use","Own use by pump-storage plants","Own use by gas works","Own use by briquetting plants","Own use by charcoal plants"},$B$32:$B$350,$C637))</f>
        <v>0</v>
      </c>
      <c r="S637" s="176" cm="1">
        <f t="array" ref="S637">SUMIFS(S$7:S$26,$C$7:$C$26,$C637)*SUM(SUMIFS(S$32:S$350,$C$32:$C$350,{"Other energy industry own use","Own use by pump-storage plants","Own use by gas works","Own use by briquetting plants","Own use by charcoal plants"},$B$32:$B$350,$C637))</f>
        <v>0</v>
      </c>
      <c r="T637" s="176" cm="1">
        <f t="array" ref="T637">SUMIFS(T$7:T$26,$C$7:$C$26,$C637)*SUM(SUMIFS(T$32:T$350,$C$32:$C$350,{"Other energy industry own use","Own use by pump-storage plants","Own use by gas works","Own use by briquetting plants","Own use by charcoal plants"},$B$32:$B$350,$C637))</f>
        <v>0</v>
      </c>
      <c r="U637" s="176" cm="1">
        <f t="array" ref="U637">SUMIFS(U$7:U$26,$C$7:$C$26,$C637)*SUM(SUMIFS(U$32:U$350,$C$32:$C$350,{"Other energy industry own use","Own use by pump-storage plants","Own use by gas works","Own use by briquetting plants","Own use by charcoal plants"},$B$32:$B$350,$C637))</f>
        <v>0</v>
      </c>
      <c r="V637" s="176" cm="1">
        <f t="array" ref="V637">SUMIFS(V$7:V$26,$C$7:$C$26,$C637)*SUM(SUMIFS(V$32:V$350,$C$32:$C$350,{"Other energy industry own use","Own use by pump-storage plants","Own use by gas works","Own use by briquetting plants","Own use by charcoal plants"},$B$32:$B$350,$C637))</f>
        <v>0</v>
      </c>
      <c r="W637" s="176" cm="1">
        <f t="array" ref="W637">SUMIFS(W$7:W$26,$C$7:$C$26,$C637)*SUM(SUMIFS(W$32:W$350,$C$32:$C$350,{"Other energy industry own use","Own use by pump-storage plants","Own use by gas works","Own use by briquetting plants","Own use by charcoal plants"},$B$32:$B$350,$C637))</f>
        <v>0</v>
      </c>
      <c r="X637" s="176" cm="1">
        <f t="array" ref="X637">SUMIFS(X$7:X$26,$C$7:$C$26,$C637)*SUM(SUMIFS(X$32:X$350,$C$32:$C$350,{"Other energy industry own use","Own use by pump-storage plants","Own use by gas works","Own use by briquetting plants","Own use by charcoal plants"},$B$32:$B$350,$C637))</f>
        <v>0</v>
      </c>
      <c r="Y637" s="176" cm="1">
        <f t="array" ref="Y637">SUMIFS(Y$7:Y$26,$C$7:$C$26,$C637)*SUM(SUMIFS(Y$32:Y$350,$C$32:$C$350,{"Other energy industry own use","Own use by pump-storage plants","Own use by gas works","Own use by briquetting plants","Own use by charcoal plants"},$B$32:$B$350,$C637))</f>
        <v>0</v>
      </c>
      <c r="Z637" s="176" cm="1">
        <f t="array" ref="Z637">SUMIFS(Z$7:Z$26,$C$7:$C$26,$C637)*SUM(SUMIFS(Z$32:Z$350,$C$32:$C$350,{"Other energy industry own use","Own use by pump-storage plants","Own use by gas works","Own use by briquetting plants","Own use by charcoal plants"},$B$32:$B$350,$C637))</f>
        <v>0</v>
      </c>
      <c r="AA637" s="176" cm="1">
        <f t="array" ref="AA637">SUMIFS(AA$7:AA$26,$C$7:$C$26,$C637)*SUM(SUMIFS(AA$32:AA$350,$C$32:$C$350,{"Other energy industry own use","Own use by pump-storage plants","Own use by gas works","Own use by briquetting plants","Own use by charcoal plants"},$B$32:$B$350,$C637))</f>
        <v>0</v>
      </c>
      <c r="AB637" s="176" cm="1">
        <f t="array" ref="AB637">SUMIFS(AB$7:AB$26,$C$7:$C$26,$C637)*SUM(SUMIFS(AB$32:AB$350,$C$32:$C$350,{"Other energy industry own use","Own use by pump-storage plants","Own use by gas works","Own use by briquetting plants","Own use by charcoal plants"},$B$32:$B$350,$C637))</f>
        <v>0</v>
      </c>
      <c r="AC637" s="176" cm="1">
        <f t="array" ref="AC637">SUMIFS(AC$7:AC$26,$C$7:$C$26,$C637)*SUM(SUMIFS(AC$32:AC$350,$C$32:$C$350,{"Other energy industry own use","Own use by pump-storage plants","Own use by gas works","Own use by briquetting plants","Own use by charcoal plants"},$B$32:$B$350,$C637))</f>
        <v>0</v>
      </c>
      <c r="AD637" s="176" cm="1">
        <f t="array" ref="AD637">SUMIFS(AD$7:AD$26,$C$7:$C$26,$C637)*SUM(SUMIFS(AD$32:AD$350,$C$32:$C$350,{"Other energy industry own use","Own use by pump-storage plants","Own use by gas works","Own use by briquetting plants","Own use by charcoal plants"},$B$32:$B$350,$C637))</f>
        <v>0</v>
      </c>
      <c r="AE637" s="176" cm="1">
        <f t="array" ref="AE637">SUMIFS(AE$7:AE$26,$C$7:$C$26,$C637)*SUM(SUMIFS(AE$32:AE$350,$C$32:$C$350,{"Other energy industry own use","Own use by pump-storage plants","Own use by gas works","Own use by briquetting plants","Own use by charcoal plants"},$B$32:$B$350,$C637))</f>
        <v>0</v>
      </c>
      <c r="AF637" s="287" cm="1">
        <f t="array" ref="AF637">SUMIFS(AF$7:AF$26,$C$7:$C$26,$C637)*SUM(SUMIFS(AF$32:AF$350,$C$32:$C$350,{"Other energy industry own use","Own use by pump-storage plants","Own use by gas works","Own use by briquetting plants","Own use by charcoal plants"},$B$32:$B$350,$C637))</f>
        <v>0</v>
      </c>
    </row>
    <row r="638" spans="1:32" s="59" customFormat="1">
      <c r="A638" s="95" t="s">
        <v>728</v>
      </c>
      <c r="B638" s="95" t="s">
        <v>753</v>
      </c>
      <c r="C638" s="71" t="s">
        <v>558</v>
      </c>
      <c r="D638" s="74" t="s">
        <v>387</v>
      </c>
      <c r="E638" s="176" cm="1">
        <f t="array" ref="E638">SUMIFS(E$7:E$26,$C$7:$C$26,$C638)*SUM(SUMIFS(E$32:E$350,$C$32:$C$350,{"Other energy industry own use","Own use by pump-storage plants","Own use by gas works","Own use by briquetting plants","Own use by charcoal plants"},$B$32:$B$350,$C638))</f>
        <v>0</v>
      </c>
      <c r="F638" s="176" cm="1">
        <f t="array" ref="F638">SUMIFS(F$7:F$26,$C$7:$C$26,$C638)*SUM(SUMIFS(F$32:F$350,$C$32:$C$350,{"Other energy industry own use","Own use by pump-storage plants","Own use by gas works","Own use by briquetting plants","Own use by charcoal plants"},$B$32:$B$350,$C638))</f>
        <v>0</v>
      </c>
      <c r="G638" s="176" cm="1">
        <f t="array" ref="G638">SUMIFS(G$7:G$26,$C$7:$C$26,$C638)*SUM(SUMIFS(G$32:G$350,$C$32:$C$350,{"Other energy industry own use","Own use by pump-storage plants","Own use by gas works","Own use by briquetting plants","Own use by charcoal plants"},$B$32:$B$350,$C638))</f>
        <v>0</v>
      </c>
      <c r="H638" s="176" cm="1">
        <f t="array" ref="H638">SUMIFS(H$7:H$26,$C$7:$C$26,$C638)*SUM(SUMIFS(H$32:H$350,$C$32:$C$350,{"Other energy industry own use","Own use by pump-storage plants","Own use by gas works","Own use by briquetting plants","Own use by charcoal plants"},$B$32:$B$350,$C638))</f>
        <v>0</v>
      </c>
      <c r="I638" s="176" cm="1">
        <f t="array" ref="I638">SUMIFS(I$7:I$26,$C$7:$C$26,$C638)*SUM(SUMIFS(I$32:I$350,$C$32:$C$350,{"Other energy industry own use","Own use by pump-storage plants","Own use by gas works","Own use by briquetting plants","Own use by charcoal plants"},$B$32:$B$350,$C638))</f>
        <v>-7313.834429483707</v>
      </c>
      <c r="J638" s="176" cm="1">
        <f t="array" ref="J638">SUMIFS(J$7:J$26,$C$7:$C$26,$C638)*SUM(SUMIFS(J$32:J$350,$C$32:$C$350,{"Other energy industry own use","Own use by pump-storage plants","Own use by gas works","Own use by briquetting plants","Own use by charcoal plants"},$B$32:$B$350,$C638))</f>
        <v>-55.814063076094214</v>
      </c>
      <c r="K638" s="176" cm="1">
        <f t="array" ref="K638">SUMIFS(K$7:K$26,$C$7:$C$26,$C638)*SUM(SUMIFS(K$32:K$350,$C$32:$C$350,{"Other energy industry own use","Own use by pump-storage plants","Own use by gas works","Own use by briquetting plants","Own use by charcoal plants"},$B$32:$B$350,$C638))</f>
        <v>0</v>
      </c>
      <c r="L638" s="176" cm="1">
        <f t="array" ref="L638">SUMIFS(L$7:L$26,$C$7:$C$26,$C638)*SUM(SUMIFS(L$32:L$350,$C$32:$C$350,{"Other energy industry own use","Own use by pump-storage plants","Own use by gas works","Own use by briquetting plants","Own use by charcoal plants"},$B$32:$B$350,$C638))</f>
        <v>0</v>
      </c>
      <c r="M638" s="176" cm="1">
        <f t="array" ref="M638">SUMIFS(M$7:M$26,$C$7:$C$26,$C638)*SUM(SUMIFS(M$32:M$350,$C$32:$C$350,{"Other energy industry own use","Own use by pump-storage plants","Own use by gas works","Own use by briquetting plants","Own use by charcoal plants"},$B$32:$B$350,$C638))</f>
        <v>0</v>
      </c>
      <c r="N638" s="176" cm="1">
        <f t="array" ref="N638">SUMIFS(N$7:N$26,$C$7:$C$26,$C638)*SUM(SUMIFS(N$32:N$350,$C$32:$C$350,{"Other energy industry own use","Own use by pump-storage plants","Own use by gas works","Own use by briquetting plants","Own use by charcoal plants"},$B$32:$B$350,$C638))</f>
        <v>0</v>
      </c>
      <c r="O638" s="176" cm="1">
        <f t="array" ref="O638">SUMIFS(O$7:O$26,$C$7:$C$26,$C638)*SUM(SUMIFS(O$32:O$350,$C$32:$C$350,{"Other energy industry own use","Own use by pump-storage plants","Own use by gas works","Own use by briquetting plants","Own use by charcoal plants"},$B$32:$B$350,$C638))</f>
        <v>0</v>
      </c>
      <c r="P638" s="176" cm="1">
        <f t="array" ref="P638">SUMIFS(P$7:P$26,$C$7:$C$26,$C638)*SUM(SUMIFS(P$32:P$350,$C$32:$C$350,{"Other energy industry own use","Own use by pump-storage plants","Own use by gas works","Own use by briquetting plants","Own use by charcoal plants"},$B$32:$B$350,$C638))</f>
        <v>-910.90692204621519</v>
      </c>
      <c r="Q638" s="176" cm="1">
        <f t="array" ref="Q638">SUMIFS(Q$7:Q$26,$C$7:$C$26,$C638)*SUM(SUMIFS(Q$32:Q$350,$C$32:$C$350,{"Other energy industry own use","Own use by pump-storage plants","Own use by gas works","Own use by briquetting plants","Own use by charcoal plants"},$B$32:$B$350,$C638))</f>
        <v>-110.41762421320085</v>
      </c>
      <c r="R638" s="176" cm="1">
        <f t="array" ref="R638">SUMIFS(R$7:R$26,$C$7:$C$26,$C638)*SUM(SUMIFS(R$32:R$350,$C$32:$C$350,{"Other energy industry own use","Own use by pump-storage plants","Own use by gas works","Own use by briquetting plants","Own use by charcoal plants"},$B$32:$B$350,$C638))</f>
        <v>0</v>
      </c>
      <c r="S638" s="176" cm="1">
        <f t="array" ref="S638">SUMIFS(S$7:S$26,$C$7:$C$26,$C638)*SUM(SUMIFS(S$32:S$350,$C$32:$C$350,{"Other energy industry own use","Own use by pump-storage plants","Own use by gas works","Own use by briquetting plants","Own use by charcoal plants"},$B$32:$B$350,$C638))</f>
        <v>-4271.4514674571737</v>
      </c>
      <c r="T638" s="176" cm="1">
        <f t="array" ref="T638">SUMIFS(T$7:T$26,$C$7:$C$26,$C638)*SUM(SUMIFS(T$32:T$350,$C$32:$C$350,{"Other energy industry own use","Own use by pump-storage plants","Own use by gas works","Own use by briquetting plants","Own use by charcoal plants"},$B$32:$B$350,$C638))</f>
        <v>-5.9164660808035618</v>
      </c>
      <c r="U638" s="176" cm="1">
        <f t="array" ref="U638">SUMIFS(U$7:U$26,$C$7:$C$26,$C638)*SUM(SUMIFS(U$32:U$350,$C$32:$C$350,{"Other energy industry own use","Own use by pump-storage plants","Own use by gas works","Own use by briquetting plants","Own use by charcoal plants"},$B$32:$B$350,$C638))</f>
        <v>-675.1970736044675</v>
      </c>
      <c r="V638" s="176" cm="1">
        <f t="array" ref="V638">SUMIFS(V$7:V$26,$C$7:$C$26,$C638)*SUM(SUMIFS(V$32:V$350,$C$32:$C$350,{"Other energy industry own use","Own use by pump-storage plants","Own use by gas works","Own use by briquetting plants","Own use by charcoal plants"},$B$32:$B$350,$C638))</f>
        <v>0</v>
      </c>
      <c r="W638" s="176" cm="1">
        <f t="array" ref="W638">SUMIFS(W$7:W$26,$C$7:$C$26,$C638)*SUM(SUMIFS(W$32:W$350,$C$32:$C$350,{"Other energy industry own use","Own use by pump-storage plants","Own use by gas works","Own use by briquetting plants","Own use by charcoal plants"},$B$32:$B$350,$C638))</f>
        <v>0</v>
      </c>
      <c r="X638" s="176" cm="1">
        <f t="array" ref="X638">SUMIFS(X$7:X$26,$C$7:$C$26,$C638)*SUM(SUMIFS(X$32:X$350,$C$32:$C$350,{"Other energy industry own use","Own use by pump-storage plants","Own use by gas works","Own use by briquetting plants","Own use by charcoal plants"},$B$32:$B$350,$C638))</f>
        <v>0</v>
      </c>
      <c r="Y638" s="176" cm="1">
        <f t="array" ref="Y638">SUMIFS(Y$7:Y$26,$C$7:$C$26,$C638)*SUM(SUMIFS(Y$32:Y$350,$C$32:$C$350,{"Other energy industry own use","Own use by pump-storage plants","Own use by gas works","Own use by briquetting plants","Own use by charcoal plants"},$B$32:$B$350,$C638))</f>
        <v>0</v>
      </c>
      <c r="Z638" s="176" cm="1">
        <f t="array" ref="Z638">SUMIFS(Z$7:Z$26,$C$7:$C$26,$C638)*SUM(SUMIFS(Z$32:Z$350,$C$32:$C$350,{"Other energy industry own use","Own use by pump-storage plants","Own use by gas works","Own use by briquetting plants","Own use by charcoal plants"},$B$32:$B$350,$C638))</f>
        <v>0</v>
      </c>
      <c r="AA638" s="176" cm="1">
        <f t="array" ref="AA638">SUMIFS(AA$7:AA$26,$C$7:$C$26,$C638)*SUM(SUMIFS(AA$32:AA$350,$C$32:$C$350,{"Other energy industry own use","Own use by pump-storage plants","Own use by gas works","Own use by briquetting plants","Own use by charcoal plants"},$B$32:$B$350,$C638))</f>
        <v>-351.33990754006004</v>
      </c>
      <c r="AB638" s="176" cm="1">
        <f t="array" ref="AB638">SUMIFS(AB$7:AB$26,$C$7:$C$26,$C638)*SUM(SUMIFS(AB$32:AB$350,$C$32:$C$350,{"Other energy industry own use","Own use by pump-storage plants","Own use by gas works","Own use by briquetting plants","Own use by charcoal plants"},$B$32:$B$350,$C638))</f>
        <v>0</v>
      </c>
      <c r="AC638" s="176" cm="1">
        <f t="array" ref="AC638">SUMIFS(AC$7:AC$26,$C$7:$C$26,$C638)*SUM(SUMIFS(AC$32:AC$350,$C$32:$C$350,{"Other energy industry own use","Own use by pump-storage plants","Own use by gas works","Own use by briquetting plants","Own use by charcoal plants"},$B$32:$B$350,$C638))</f>
        <v>0</v>
      </c>
      <c r="AD638" s="176" cm="1">
        <f t="array" ref="AD638">SUMIFS(AD$7:AD$26,$C$7:$C$26,$C638)*SUM(SUMIFS(AD$32:AD$350,$C$32:$C$350,{"Other energy industry own use","Own use by pump-storage plants","Own use by gas works","Own use by briquetting plants","Own use by charcoal plants"},$B$32:$B$350,$C638))</f>
        <v>0</v>
      </c>
      <c r="AE638" s="176" cm="1">
        <f t="array" ref="AE638">SUMIFS(AE$7:AE$26,$C$7:$C$26,$C638)*SUM(SUMIFS(AE$32:AE$350,$C$32:$C$350,{"Other energy industry own use","Own use by pump-storage plants","Own use by gas works","Own use by briquetting plants","Own use by charcoal plants"},$B$32:$B$350,$C638))</f>
        <v>0</v>
      </c>
      <c r="AF638" s="287" cm="1">
        <f t="array" ref="AF638">SUMIFS(AF$7:AF$26,$C$7:$C$26,$C638)*SUM(SUMIFS(AF$32:AF$350,$C$32:$C$350,{"Other energy industry own use","Own use by pump-storage plants","Own use by gas works","Own use by briquetting plants","Own use by charcoal plants"},$B$32:$B$350,$C638))</f>
        <v>0</v>
      </c>
    </row>
    <row r="639" spans="1:32" s="59" customFormat="1">
      <c r="A639" s="97" t="s">
        <v>728</v>
      </c>
      <c r="B639" s="76" t="s">
        <v>753</v>
      </c>
      <c r="C639" s="76" t="s">
        <v>560</v>
      </c>
      <c r="D639" s="77" t="s">
        <v>387</v>
      </c>
      <c r="E639" s="288" cm="1">
        <f t="array" ref="E639">SUMIFS(E$7:E$26,$C$7:$C$26,$C639)*SUM(SUMIFS(E$32:E$350,$C$32:$C$350,{"Other energy industry own use","Own use by pump-storage plants","Own use by gas works","Own use by briquetting plants","Own use by charcoal plants"},$B$32:$B$350,$C639))</f>
        <v>0</v>
      </c>
      <c r="F639" s="289" cm="1">
        <f t="array" ref="F639">SUMIFS(F$7:F$26,$C$7:$C$26,$C639)*SUM(SUMIFS(F$32:F$350,$C$32:$C$350,{"Other energy industry own use","Own use by pump-storage plants","Own use by gas works","Own use by briquetting plants","Own use by charcoal plants"},$B$32:$B$350,$C639))</f>
        <v>0</v>
      </c>
      <c r="G639" s="289" cm="1">
        <f t="array" ref="G639">SUMIFS(G$7:G$26,$C$7:$C$26,$C639)*SUM(SUMIFS(G$32:G$350,$C$32:$C$350,{"Other energy industry own use","Own use by pump-storage plants","Own use by gas works","Own use by briquetting plants","Own use by charcoal plants"},$B$32:$B$350,$C639))</f>
        <v>0</v>
      </c>
      <c r="H639" s="289" cm="1">
        <f t="array" ref="H639">SUMIFS(H$7:H$26,$C$7:$C$26,$C639)*SUM(SUMIFS(H$32:H$350,$C$32:$C$350,{"Other energy industry own use","Own use by pump-storage plants","Own use by gas works","Own use by briquetting plants","Own use by charcoal plants"},$B$32:$B$350,$C639))</f>
        <v>0</v>
      </c>
      <c r="I639" s="289" cm="1">
        <f t="array" ref="I639">SUMIFS(I$7:I$26,$C$7:$C$26,$C639)*SUM(SUMIFS(I$32:I$350,$C$32:$C$350,{"Other energy industry own use","Own use by pump-storage plants","Own use by gas works","Own use by briquetting plants","Own use by charcoal plants"},$B$32:$B$350,$C639))</f>
        <v>0</v>
      </c>
      <c r="J639" s="289" cm="1">
        <f t="array" ref="J639">SUMIFS(J$7:J$26,$C$7:$C$26,$C639)*SUM(SUMIFS(J$32:J$350,$C$32:$C$350,{"Other energy industry own use","Own use by pump-storage plants","Own use by gas works","Own use by briquetting plants","Own use by charcoal plants"},$B$32:$B$350,$C639))</f>
        <v>0</v>
      </c>
      <c r="K639" s="289" cm="1">
        <f t="array" ref="K639">SUMIFS(K$7:K$26,$C$7:$C$26,$C639)*SUM(SUMIFS(K$32:K$350,$C$32:$C$350,{"Other energy industry own use","Own use by pump-storage plants","Own use by gas works","Own use by briquetting plants","Own use by charcoal plants"},$B$32:$B$350,$C639))</f>
        <v>0</v>
      </c>
      <c r="L639" s="289" cm="1">
        <f t="array" ref="L639">SUMIFS(L$7:L$26,$C$7:$C$26,$C639)*SUM(SUMIFS(L$32:L$350,$C$32:$C$350,{"Other energy industry own use","Own use by pump-storage plants","Own use by gas works","Own use by briquetting plants","Own use by charcoal plants"},$B$32:$B$350,$C639))</f>
        <v>0</v>
      </c>
      <c r="M639" s="289" cm="1">
        <f t="array" ref="M639">SUMIFS(M$7:M$26,$C$7:$C$26,$C639)*SUM(SUMIFS(M$32:M$350,$C$32:$C$350,{"Other energy industry own use","Own use by pump-storage plants","Own use by gas works","Own use by briquetting plants","Own use by charcoal plants"},$B$32:$B$350,$C639))</f>
        <v>0</v>
      </c>
      <c r="N639" s="289" cm="1">
        <f t="array" ref="N639">SUMIFS(N$7:N$26,$C$7:$C$26,$C639)*SUM(SUMIFS(N$32:N$350,$C$32:$C$350,{"Other energy industry own use","Own use by pump-storage plants","Own use by gas works","Own use by briquetting plants","Own use by charcoal plants"},$B$32:$B$350,$C639))</f>
        <v>0</v>
      </c>
      <c r="O639" s="289" cm="1">
        <f t="array" ref="O639">SUMIFS(O$7:O$26,$C$7:$C$26,$C639)*SUM(SUMIFS(O$32:O$350,$C$32:$C$350,{"Other energy industry own use","Own use by pump-storage plants","Own use by gas works","Own use by briquetting plants","Own use by charcoal plants"},$B$32:$B$350,$C639))</f>
        <v>0</v>
      </c>
      <c r="P639" s="289" cm="1">
        <f t="array" ref="P639">SUMIFS(P$7:P$26,$C$7:$C$26,$C639)*SUM(SUMIFS(P$32:P$350,$C$32:$C$350,{"Other energy industry own use","Own use by pump-storage plants","Own use by gas works","Own use by briquetting plants","Own use by charcoal plants"},$B$32:$B$350,$C639))</f>
        <v>0</v>
      </c>
      <c r="Q639" s="289" cm="1">
        <f t="array" ref="Q639">SUMIFS(Q$7:Q$26,$C$7:$C$26,$C639)*SUM(SUMIFS(Q$32:Q$350,$C$32:$C$350,{"Other energy industry own use","Own use by pump-storage plants","Own use by gas works","Own use by briquetting plants","Own use by charcoal plants"},$B$32:$B$350,$C639))</f>
        <v>0</v>
      </c>
      <c r="R639" s="289" cm="1">
        <f t="array" ref="R639">SUMIFS(R$7:R$26,$C$7:$C$26,$C639)*SUM(SUMIFS(R$32:R$350,$C$32:$C$350,{"Other energy industry own use","Own use by pump-storage plants","Own use by gas works","Own use by briquetting plants","Own use by charcoal plants"},$B$32:$B$350,$C639))</f>
        <v>0</v>
      </c>
      <c r="S639" s="289" cm="1">
        <f t="array" ref="S639">SUMIFS(S$7:S$26,$C$7:$C$26,$C639)*SUM(SUMIFS(S$32:S$350,$C$32:$C$350,{"Other energy industry own use","Own use by pump-storage plants","Own use by gas works","Own use by briquetting plants","Own use by charcoal plants"},$B$32:$B$350,$C639))</f>
        <v>0</v>
      </c>
      <c r="T639" s="289" cm="1">
        <f t="array" ref="T639">SUMIFS(T$7:T$26,$C$7:$C$26,$C639)*SUM(SUMIFS(T$32:T$350,$C$32:$C$350,{"Other energy industry own use","Own use by pump-storage plants","Own use by gas works","Own use by briquetting plants","Own use by charcoal plants"},$B$32:$B$350,$C639))</f>
        <v>0</v>
      </c>
      <c r="U639" s="289" cm="1">
        <f t="array" ref="U639">SUMIFS(U$7:U$26,$C$7:$C$26,$C639)*SUM(SUMIFS(U$32:U$350,$C$32:$C$350,{"Other energy industry own use","Own use by pump-storage plants","Own use by gas works","Own use by briquetting plants","Own use by charcoal plants"},$B$32:$B$350,$C639))</f>
        <v>-2159</v>
      </c>
      <c r="V639" s="289" cm="1">
        <f t="array" ref="V639">SUMIFS(V$7:V$26,$C$7:$C$26,$C639)*SUM(SUMIFS(V$32:V$350,$C$32:$C$350,{"Other energy industry own use","Own use by pump-storage plants","Own use by gas works","Own use by briquetting plants","Own use by charcoal plants"},$B$32:$B$350,$C639))</f>
        <v>0</v>
      </c>
      <c r="W639" s="289" cm="1">
        <f t="array" ref="W639">SUMIFS(W$7:W$26,$C$7:$C$26,$C639)*SUM(SUMIFS(W$32:W$350,$C$32:$C$350,{"Other energy industry own use","Own use by pump-storage plants","Own use by gas works","Own use by briquetting plants","Own use by charcoal plants"},$B$32:$B$350,$C639))</f>
        <v>0</v>
      </c>
      <c r="X639" s="289" cm="1">
        <f t="array" ref="X639">SUMIFS(X$7:X$26,$C$7:$C$26,$C639)*SUM(SUMIFS(X$32:X$350,$C$32:$C$350,{"Other energy industry own use","Own use by pump-storage plants","Own use by gas works","Own use by briquetting plants","Own use by charcoal plants"},$B$32:$B$350,$C639))</f>
        <v>0</v>
      </c>
      <c r="Y639" s="289" cm="1">
        <f t="array" ref="Y639">SUMIFS(Y$7:Y$26,$C$7:$C$26,$C639)*SUM(SUMIFS(Y$32:Y$350,$C$32:$C$350,{"Other energy industry own use","Own use by pump-storage plants","Own use by gas works","Own use by briquetting plants","Own use by charcoal plants"},$B$32:$B$350,$C639))</f>
        <v>0</v>
      </c>
      <c r="Z639" s="289" cm="1">
        <f t="array" ref="Z639">SUMIFS(Z$7:Z$26,$C$7:$C$26,$C639)*SUM(SUMIFS(Z$32:Z$350,$C$32:$C$350,{"Other energy industry own use","Own use by pump-storage plants","Own use by gas works","Own use by briquetting plants","Own use by charcoal plants"},$B$32:$B$350,$C639))</f>
        <v>0</v>
      </c>
      <c r="AA639" s="289" cm="1">
        <f t="array" ref="AA639">SUMIFS(AA$7:AA$26,$C$7:$C$26,$C639)*SUM(SUMIFS(AA$32:AA$350,$C$32:$C$350,{"Other energy industry own use","Own use by pump-storage plants","Own use by gas works","Own use by briquetting plants","Own use by charcoal plants"},$B$32:$B$350,$C639))</f>
        <v>0</v>
      </c>
      <c r="AB639" s="289" cm="1">
        <f t="array" ref="AB639">SUMIFS(AB$7:AB$26,$C$7:$C$26,$C639)*SUM(SUMIFS(AB$32:AB$350,$C$32:$C$350,{"Other energy industry own use","Own use by pump-storage plants","Own use by gas works","Own use by briquetting plants","Own use by charcoal plants"},$B$32:$B$350,$C639))</f>
        <v>0</v>
      </c>
      <c r="AC639" s="289" cm="1">
        <f t="array" ref="AC639">SUMIFS(AC$7:AC$26,$C$7:$C$26,$C639)*SUM(SUMIFS(AC$32:AC$350,$C$32:$C$350,{"Other energy industry own use","Own use by pump-storage plants","Own use by gas works","Own use by briquetting plants","Own use by charcoal plants"},$B$32:$B$350,$C639))</f>
        <v>0</v>
      </c>
      <c r="AD639" s="289" cm="1">
        <f t="array" ref="AD639">SUMIFS(AD$7:AD$26,$C$7:$C$26,$C639)*SUM(SUMIFS(AD$32:AD$350,$C$32:$C$350,{"Other energy industry own use","Own use by pump-storage plants","Own use by gas works","Own use by briquetting plants","Own use by charcoal plants"},$B$32:$B$350,$C639))</f>
        <v>0</v>
      </c>
      <c r="AE639" s="289" cm="1">
        <f t="array" ref="AE639">SUMIFS(AE$7:AE$26,$C$7:$C$26,$C639)*SUM(SUMIFS(AE$32:AE$350,$C$32:$C$350,{"Other energy industry own use","Own use by pump-storage plants","Own use by gas works","Own use by briquetting plants","Own use by charcoal plants"},$B$32:$B$350,$C639))</f>
        <v>0</v>
      </c>
      <c r="AF639" s="290" cm="1">
        <f t="array" ref="AF639">SUMIFS(AF$7:AF$26,$C$7:$C$26,$C639)*SUM(SUMIFS(AF$32:AF$350,$C$32:$C$350,{"Other energy industry own use","Own use by pump-storage plants","Own use by gas works","Own use by briquetting plants","Own use by charcoal plants"},$B$32:$B$350,$C639))</f>
        <v>0</v>
      </c>
    </row>
    <row r="641" spans="4:32" s="251" customFormat="1">
      <c r="D641" s="251" t="s">
        <v>754</v>
      </c>
      <c r="E641" s="335">
        <f>E620+E574+E551+E528+E505+E482+E459+E439+E396+E376-E7</f>
        <v>0</v>
      </c>
      <c r="F641" s="335">
        <f t="shared" ref="F641:AF641" si="46">F620+F574+F551+F528+F505+F482+F459+F439+F396+F376-F7</f>
        <v>0</v>
      </c>
      <c r="G641" s="335">
        <f t="shared" si="46"/>
        <v>0</v>
      </c>
      <c r="H641" s="335">
        <f t="shared" si="46"/>
        <v>0</v>
      </c>
      <c r="I641" s="335">
        <f t="shared" si="46"/>
        <v>0</v>
      </c>
      <c r="J641" s="335">
        <f t="shared" si="46"/>
        <v>0</v>
      </c>
      <c r="K641" s="335">
        <f t="shared" si="46"/>
        <v>0</v>
      </c>
      <c r="L641" s="335">
        <f t="shared" si="46"/>
        <v>0</v>
      </c>
      <c r="M641" s="335">
        <f t="shared" si="46"/>
        <v>0</v>
      </c>
      <c r="N641" s="335">
        <f t="shared" si="46"/>
        <v>0</v>
      </c>
      <c r="O641" s="335">
        <f t="shared" si="46"/>
        <v>0</v>
      </c>
      <c r="P641" s="335">
        <f t="shared" si="46"/>
        <v>0</v>
      </c>
      <c r="Q641" s="335">
        <f t="shared" si="46"/>
        <v>0</v>
      </c>
      <c r="R641" s="335">
        <f t="shared" si="46"/>
        <v>0</v>
      </c>
      <c r="S641" s="335">
        <f t="shared" si="46"/>
        <v>0</v>
      </c>
      <c r="T641" s="335">
        <f t="shared" si="46"/>
        <v>0</v>
      </c>
      <c r="U641" s="335">
        <f t="shared" si="46"/>
        <v>0</v>
      </c>
      <c r="V641" s="335">
        <f t="shared" si="46"/>
        <v>0</v>
      </c>
      <c r="W641" s="335">
        <f t="shared" si="46"/>
        <v>0</v>
      </c>
      <c r="X641" s="335">
        <f t="shared" si="46"/>
        <v>0</v>
      </c>
      <c r="Y641" s="335">
        <f t="shared" si="46"/>
        <v>0</v>
      </c>
      <c r="Z641" s="335">
        <f t="shared" si="46"/>
        <v>0</v>
      </c>
      <c r="AA641" s="335">
        <f t="shared" si="46"/>
        <v>0</v>
      </c>
      <c r="AB641" s="335">
        <f t="shared" si="46"/>
        <v>0</v>
      </c>
      <c r="AC641" s="335">
        <f t="shared" si="46"/>
        <v>0</v>
      </c>
      <c r="AD641" s="335">
        <f t="shared" si="46"/>
        <v>0</v>
      </c>
      <c r="AE641" s="335">
        <f t="shared" si="46"/>
        <v>0</v>
      </c>
      <c r="AF641" s="335">
        <f t="shared" si="46"/>
        <v>0</v>
      </c>
    </row>
  </sheetData>
  <autoFilter ref="B30:AF350" xr:uid="{65F40CD7-CA96-4076-83D8-AA59FE92A231}"/>
  <mergeCells count="1">
    <mergeCell ref="A1:F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005F0-6E27-4D57-BD87-AECB316DE1A8}">
  <sheetPr>
    <tabColor theme="4" tint="0.39997558519241921"/>
  </sheetPr>
  <dimension ref="A1:AH93"/>
  <sheetViews>
    <sheetView workbookViewId="0">
      <pane xSplit="4" ySplit="4" topLeftCell="E29" activePane="bottomRight" state="frozen"/>
      <selection pane="topRight" activeCell="E1" sqref="E1"/>
      <selection pane="bottomLeft" activeCell="A5" sqref="A5"/>
      <selection pane="bottomRight" activeCell="E8" sqref="E8"/>
    </sheetView>
  </sheetViews>
  <sheetFormatPr defaultRowHeight="15.6"/>
  <cols>
    <col min="1" max="1" width="32.5" bestFit="1" customWidth="1"/>
    <col min="2" max="2" width="24.19921875" bestFit="1" customWidth="1"/>
    <col min="3" max="3" width="23.5" bestFit="1" customWidth="1"/>
    <col min="4" max="4" width="11.59765625" bestFit="1" customWidth="1"/>
    <col min="5" max="6" width="9" bestFit="1" customWidth="1"/>
    <col min="7" max="9" width="11.19921875" bestFit="1" customWidth="1"/>
    <col min="10" max="10" width="12.69921875" bestFit="1" customWidth="1"/>
    <col min="11" max="11" width="11.8984375" bestFit="1" customWidth="1"/>
    <col min="12" max="13" width="9" bestFit="1" customWidth="1"/>
    <col min="14" max="14" width="11.19921875" bestFit="1" customWidth="1"/>
    <col min="15" max="15" width="7.5" bestFit="1" customWidth="1"/>
    <col min="16" max="16" width="11.19921875" bestFit="1" customWidth="1"/>
    <col min="17" max="17" width="10.19921875" bestFit="1" customWidth="1"/>
    <col min="18" max="18" width="9" bestFit="1" customWidth="1"/>
    <col min="19" max="19" width="9.19921875" bestFit="1" customWidth="1"/>
    <col min="20" max="21" width="9" bestFit="1" customWidth="1"/>
    <col min="22" max="22" width="10" bestFit="1" customWidth="1"/>
    <col min="23" max="23" width="10.19921875" bestFit="1" customWidth="1"/>
    <col min="24" max="24" width="8.09765625" bestFit="1" customWidth="1"/>
    <col min="25" max="25" width="9" bestFit="1" customWidth="1"/>
    <col min="26" max="26" width="8.09765625" bestFit="1" customWidth="1"/>
    <col min="27" max="27" width="10" bestFit="1" customWidth="1"/>
    <col min="28" max="29" width="9" bestFit="1" customWidth="1"/>
    <col min="30" max="30" width="11.19921875" bestFit="1" customWidth="1"/>
    <col min="31" max="31" width="9" bestFit="1" customWidth="1"/>
    <col min="32" max="32" width="10" bestFit="1" customWidth="1"/>
  </cols>
  <sheetData>
    <row r="1" spans="1:34" s="59" customFormat="1" ht="14.4" customHeight="1">
      <c r="A1" s="586" t="s">
        <v>755</v>
      </c>
      <c r="B1" s="586"/>
      <c r="C1" s="586"/>
      <c r="D1" s="586"/>
      <c r="E1" s="586"/>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row>
    <row r="2" spans="1:34" s="60" customFormat="1" ht="18" customHeight="1">
      <c r="A2" s="586"/>
      <c r="B2" s="586"/>
      <c r="C2" s="586"/>
      <c r="D2" s="586"/>
      <c r="E2" s="586"/>
      <c r="G2" s="59"/>
      <c r="K2" s="61"/>
      <c r="AC2" s="61"/>
      <c r="AE2" s="61"/>
      <c r="AG2" s="61"/>
    </row>
    <row r="3" spans="1:34" s="60" customFormat="1" ht="14.4">
      <c r="A3" s="62"/>
      <c r="B3" s="63"/>
      <c r="C3" s="63"/>
      <c r="D3" s="63"/>
      <c r="E3" s="64"/>
      <c r="F3" s="62"/>
      <c r="G3" s="65"/>
      <c r="H3" s="65"/>
      <c r="I3" s="65"/>
      <c r="J3" s="65"/>
      <c r="K3" s="65"/>
      <c r="L3" s="65"/>
      <c r="M3" s="65"/>
      <c r="N3" s="65"/>
      <c r="O3" s="65"/>
      <c r="P3" s="65"/>
      <c r="Q3" s="65"/>
      <c r="R3" s="65"/>
      <c r="S3" s="65"/>
      <c r="T3" s="65"/>
      <c r="U3" s="65"/>
      <c r="V3" s="65"/>
      <c r="W3" s="65"/>
      <c r="X3" s="65"/>
      <c r="Y3" s="65"/>
      <c r="Z3" s="65"/>
      <c r="AA3" s="65"/>
      <c r="AB3" s="65"/>
      <c r="AC3" s="65"/>
      <c r="AD3" s="65"/>
      <c r="AE3" s="65"/>
      <c r="AF3" s="65"/>
      <c r="AG3" s="66"/>
    </row>
    <row r="4" spans="1:34" s="59" customFormat="1">
      <c r="A4" s="67" t="s">
        <v>717</v>
      </c>
      <c r="B4" s="68" t="s">
        <v>718</v>
      </c>
      <c r="C4" s="68"/>
      <c r="D4" s="68" t="s">
        <v>375</v>
      </c>
      <c r="E4" s="69" t="s">
        <v>172</v>
      </c>
      <c r="F4" s="69" t="s">
        <v>175</v>
      </c>
      <c r="G4" s="69" t="s">
        <v>178</v>
      </c>
      <c r="H4" s="69" t="s">
        <v>181</v>
      </c>
      <c r="I4" s="69" t="s">
        <v>184</v>
      </c>
      <c r="J4" s="69" t="s">
        <v>187</v>
      </c>
      <c r="K4" s="69" t="s">
        <v>190</v>
      </c>
      <c r="L4" s="69" t="s">
        <v>193</v>
      </c>
      <c r="M4" s="69" t="s">
        <v>196</v>
      </c>
      <c r="N4" s="69" t="s">
        <v>198</v>
      </c>
      <c r="O4" s="69" t="s">
        <v>200</v>
      </c>
      <c r="P4" s="69" t="s">
        <v>202</v>
      </c>
      <c r="Q4" s="69" t="s">
        <v>205</v>
      </c>
      <c r="R4" s="69" t="s">
        <v>208</v>
      </c>
      <c r="S4" s="69" t="s">
        <v>211</v>
      </c>
      <c r="T4" s="69" t="s">
        <v>214</v>
      </c>
      <c r="U4" s="69" t="s">
        <v>217</v>
      </c>
      <c r="V4" s="69" t="s">
        <v>220</v>
      </c>
      <c r="W4" s="69" t="s">
        <v>223</v>
      </c>
      <c r="X4" s="69" t="s">
        <v>225</v>
      </c>
      <c r="Y4" s="69" t="s">
        <v>227</v>
      </c>
      <c r="Z4" s="69" t="s">
        <v>230</v>
      </c>
      <c r="AA4" s="69" t="s">
        <v>233</v>
      </c>
      <c r="AB4" s="69" t="s">
        <v>236</v>
      </c>
      <c r="AC4" s="69" t="s">
        <v>238</v>
      </c>
      <c r="AD4" s="69" t="s">
        <v>240</v>
      </c>
      <c r="AE4" s="69" t="s">
        <v>243</v>
      </c>
      <c r="AF4" s="69" t="s">
        <v>245</v>
      </c>
      <c r="AG4" s="70"/>
    </row>
    <row r="5" spans="1:34" s="59" customFormat="1">
      <c r="A5" s="59" t="s">
        <v>756</v>
      </c>
      <c r="B5" s="71" t="s">
        <v>515</v>
      </c>
      <c r="C5" s="71" t="s">
        <v>757</v>
      </c>
      <c r="D5" s="72" t="s">
        <v>387</v>
      </c>
      <c r="E5" s="73">
        <v>0</v>
      </c>
      <c r="F5" s="73">
        <v>0</v>
      </c>
      <c r="G5" s="73">
        <v>0</v>
      </c>
      <c r="H5" s="73">
        <v>0</v>
      </c>
      <c r="I5" s="73">
        <v>149</v>
      </c>
      <c r="J5" s="73">
        <v>10</v>
      </c>
      <c r="K5" s="73">
        <v>101622</v>
      </c>
      <c r="L5" s="73">
        <v>0</v>
      </c>
      <c r="M5" s="73">
        <v>142711</v>
      </c>
      <c r="N5" s="73">
        <v>10415</v>
      </c>
      <c r="O5" s="73">
        <v>0</v>
      </c>
      <c r="P5" s="73">
        <v>307544</v>
      </c>
      <c r="Q5" s="73">
        <v>424</v>
      </c>
      <c r="R5" s="73">
        <v>35655</v>
      </c>
      <c r="S5" s="73">
        <v>70497</v>
      </c>
      <c r="T5" s="73">
        <v>223742</v>
      </c>
      <c r="U5" s="73">
        <v>260099</v>
      </c>
      <c r="V5" s="73">
        <v>238984</v>
      </c>
      <c r="W5" s="73">
        <v>0</v>
      </c>
      <c r="X5" s="73">
        <v>339</v>
      </c>
      <c r="Y5" s="73">
        <v>100062</v>
      </c>
      <c r="Z5" s="73">
        <v>4184</v>
      </c>
      <c r="AA5" s="73">
        <v>0</v>
      </c>
      <c r="AB5" s="73">
        <v>0</v>
      </c>
      <c r="AC5" s="73">
        <v>0</v>
      </c>
      <c r="AD5" s="73">
        <v>0</v>
      </c>
      <c r="AE5" s="73">
        <v>35137</v>
      </c>
      <c r="AF5" s="73">
        <v>180579</v>
      </c>
      <c r="AG5" s="70"/>
    </row>
    <row r="6" spans="1:34" s="59" customFormat="1">
      <c r="A6" s="59" t="s">
        <v>756</v>
      </c>
      <c r="B6" s="71" t="s">
        <v>517</v>
      </c>
      <c r="C6" s="71" t="s">
        <v>758</v>
      </c>
      <c r="D6" s="74" t="s">
        <v>387</v>
      </c>
      <c r="E6" s="73">
        <v>170</v>
      </c>
      <c r="F6" s="73">
        <v>0</v>
      </c>
      <c r="G6" s="73">
        <v>371</v>
      </c>
      <c r="H6" s="73">
        <v>1718</v>
      </c>
      <c r="I6" s="73">
        <v>5503</v>
      </c>
      <c r="J6" s="73">
        <v>0</v>
      </c>
      <c r="K6" s="73">
        <v>38298</v>
      </c>
      <c r="L6" s="73">
        <v>0</v>
      </c>
      <c r="M6" s="73">
        <v>765261</v>
      </c>
      <c r="N6" s="73">
        <v>41390</v>
      </c>
      <c r="O6" s="73">
        <v>0</v>
      </c>
      <c r="P6" s="73">
        <v>114696</v>
      </c>
      <c r="Q6" s="73">
        <v>2056</v>
      </c>
      <c r="R6" s="73">
        <v>11263</v>
      </c>
      <c r="S6" s="73">
        <v>30608</v>
      </c>
      <c r="T6" s="73">
        <v>48756</v>
      </c>
      <c r="U6" s="73">
        <v>49397</v>
      </c>
      <c r="V6" s="73">
        <v>30329</v>
      </c>
      <c r="W6" s="73">
        <v>0</v>
      </c>
      <c r="X6" s="73">
        <v>1234</v>
      </c>
      <c r="Y6" s="73">
        <v>55602</v>
      </c>
      <c r="Z6" s="73">
        <v>2504</v>
      </c>
      <c r="AA6" s="73">
        <v>0</v>
      </c>
      <c r="AB6" s="73">
        <v>0</v>
      </c>
      <c r="AC6" s="73">
        <v>0</v>
      </c>
      <c r="AD6" s="73">
        <v>0</v>
      </c>
      <c r="AE6" s="73">
        <v>0</v>
      </c>
      <c r="AF6" s="73">
        <v>1281170</v>
      </c>
      <c r="AG6" s="70"/>
    </row>
    <row r="7" spans="1:34" s="59" customFormat="1">
      <c r="A7" s="59" t="s">
        <v>756</v>
      </c>
      <c r="B7" s="71" t="s">
        <v>523</v>
      </c>
      <c r="C7" s="71" t="s">
        <v>759</v>
      </c>
      <c r="D7" s="74" t="s">
        <v>387</v>
      </c>
      <c r="E7" s="73">
        <v>51</v>
      </c>
      <c r="F7" s="73">
        <v>0</v>
      </c>
      <c r="G7" s="73">
        <v>42</v>
      </c>
      <c r="H7" s="73">
        <v>0</v>
      </c>
      <c r="I7" s="73">
        <v>14826</v>
      </c>
      <c r="J7" s="73">
        <v>43</v>
      </c>
      <c r="K7" s="73">
        <v>48547</v>
      </c>
      <c r="L7" s="73">
        <v>7267</v>
      </c>
      <c r="M7" s="73">
        <v>6995</v>
      </c>
      <c r="N7" s="73">
        <v>12402</v>
      </c>
      <c r="O7" s="73">
        <v>2566</v>
      </c>
      <c r="P7" s="73">
        <v>0</v>
      </c>
      <c r="Q7" s="73">
        <v>2055</v>
      </c>
      <c r="R7" s="73">
        <v>72100</v>
      </c>
      <c r="S7" s="73">
        <v>43088</v>
      </c>
      <c r="T7" s="73">
        <v>113103</v>
      </c>
      <c r="U7" s="73">
        <v>292354</v>
      </c>
      <c r="V7" s="73">
        <v>435</v>
      </c>
      <c r="W7" s="73">
        <v>0</v>
      </c>
      <c r="X7" s="73">
        <v>44</v>
      </c>
      <c r="Y7" s="73">
        <v>1516</v>
      </c>
      <c r="Z7" s="73">
        <v>21985</v>
      </c>
      <c r="AA7" s="73">
        <v>177</v>
      </c>
      <c r="AB7" s="73">
        <v>1133</v>
      </c>
      <c r="AC7" s="73">
        <v>0</v>
      </c>
      <c r="AD7" s="73">
        <v>0</v>
      </c>
      <c r="AE7" s="73">
        <v>6201</v>
      </c>
      <c r="AF7" s="73">
        <v>121560</v>
      </c>
      <c r="AG7" s="70"/>
    </row>
    <row r="8" spans="1:34" s="59" customFormat="1">
      <c r="A8" s="59" t="s">
        <v>756</v>
      </c>
      <c r="B8" s="71" t="s">
        <v>525</v>
      </c>
      <c r="C8" s="71" t="s">
        <v>760</v>
      </c>
      <c r="D8" s="74" t="s">
        <v>387</v>
      </c>
      <c r="E8" s="73">
        <v>4050237</v>
      </c>
      <c r="F8" s="73">
        <v>296873</v>
      </c>
      <c r="G8" s="73">
        <v>3223134</v>
      </c>
      <c r="H8" s="73">
        <v>1336199</v>
      </c>
      <c r="I8" s="73">
        <v>225089</v>
      </c>
      <c r="J8" s="73">
        <v>92062</v>
      </c>
      <c r="K8" s="73">
        <v>1580782</v>
      </c>
      <c r="L8" s="73">
        <v>1440157</v>
      </c>
      <c r="M8" s="73">
        <v>2408785</v>
      </c>
      <c r="N8" s="73">
        <v>546731</v>
      </c>
      <c r="O8" s="73">
        <v>348701</v>
      </c>
      <c r="P8" s="73">
        <v>1842442</v>
      </c>
      <c r="Q8" s="73">
        <v>405104</v>
      </c>
      <c r="R8" s="73">
        <v>200656</v>
      </c>
      <c r="S8" s="73">
        <v>1279846</v>
      </c>
      <c r="T8" s="73">
        <v>1147936</v>
      </c>
      <c r="U8" s="73">
        <v>1897708</v>
      </c>
      <c r="V8" s="73">
        <v>2006386</v>
      </c>
      <c r="W8" s="73">
        <v>6546334</v>
      </c>
      <c r="X8" s="73">
        <v>142268</v>
      </c>
      <c r="Y8" s="73">
        <v>1401466</v>
      </c>
      <c r="Z8" s="73">
        <v>67840</v>
      </c>
      <c r="AA8" s="73">
        <v>85647</v>
      </c>
      <c r="AB8" s="73">
        <v>389843</v>
      </c>
      <c r="AC8" s="73">
        <v>2875789</v>
      </c>
      <c r="AD8" s="73">
        <v>147715</v>
      </c>
      <c r="AE8" s="73">
        <v>96322</v>
      </c>
      <c r="AF8" s="73">
        <v>2459331</v>
      </c>
      <c r="AG8" s="70"/>
    </row>
    <row r="9" spans="1:34" s="59" customFormat="1">
      <c r="B9" s="71"/>
      <c r="C9" s="71" t="s">
        <v>617</v>
      </c>
      <c r="D9" s="74" t="s">
        <v>387</v>
      </c>
      <c r="E9" s="73">
        <v>482906</v>
      </c>
      <c r="F9" s="73">
        <v>4677</v>
      </c>
      <c r="G9" s="73">
        <v>21608</v>
      </c>
      <c r="H9" s="73">
        <v>215937</v>
      </c>
      <c r="I9" s="73">
        <v>5154</v>
      </c>
      <c r="J9" s="73">
        <v>1959</v>
      </c>
      <c r="K9" s="73">
        <v>287431</v>
      </c>
      <c r="L9" s="73">
        <v>410265</v>
      </c>
      <c r="M9" s="73">
        <v>355711</v>
      </c>
      <c r="N9" s="73">
        <v>0</v>
      </c>
      <c r="O9" s="73">
        <v>0</v>
      </c>
      <c r="P9" s="73">
        <v>1698241</v>
      </c>
      <c r="Q9" s="73">
        <v>7433</v>
      </c>
      <c r="R9" s="73">
        <v>99424</v>
      </c>
      <c r="S9" s="73">
        <v>74041</v>
      </c>
      <c r="T9" s="73">
        <v>59862</v>
      </c>
      <c r="U9" s="73">
        <v>56461</v>
      </c>
      <c r="V9" s="73">
        <v>476076</v>
      </c>
      <c r="W9" s="73">
        <v>1308880</v>
      </c>
      <c r="X9" s="73">
        <v>203087</v>
      </c>
      <c r="Y9" s="73">
        <v>39124</v>
      </c>
      <c r="Z9" s="73">
        <v>23334</v>
      </c>
      <c r="AA9" s="73">
        <v>5878</v>
      </c>
      <c r="AB9" s="73">
        <v>0</v>
      </c>
      <c r="AC9" s="73">
        <v>2071262</v>
      </c>
      <c r="AD9" s="73">
        <v>379</v>
      </c>
      <c r="AE9" s="73">
        <v>0</v>
      </c>
      <c r="AF9" s="73">
        <v>33020</v>
      </c>
      <c r="AG9" s="70"/>
    </row>
    <row r="10" spans="1:34" s="59" customFormat="1">
      <c r="A10" s="59" t="s">
        <v>756</v>
      </c>
      <c r="B10" s="71" t="s">
        <v>527</v>
      </c>
      <c r="C10" s="71" t="s">
        <v>413</v>
      </c>
      <c r="D10" s="74" t="s">
        <v>387</v>
      </c>
      <c r="E10" s="73">
        <v>18391</v>
      </c>
      <c r="F10" s="73">
        <v>0</v>
      </c>
      <c r="G10" s="73">
        <v>4887</v>
      </c>
      <c r="H10" s="73">
        <v>6668744</v>
      </c>
      <c r="I10" s="73">
        <v>12215378</v>
      </c>
      <c r="J10" s="73">
        <v>3225258</v>
      </c>
      <c r="K10" s="73">
        <v>566823</v>
      </c>
      <c r="L10" s="73">
        <v>126477</v>
      </c>
      <c r="M10" s="73">
        <v>93824</v>
      </c>
      <c r="N10" s="73">
        <v>1174356</v>
      </c>
      <c r="O10" s="73">
        <v>22903</v>
      </c>
      <c r="P10" s="73">
        <v>80516487</v>
      </c>
      <c r="Q10" s="73">
        <v>633377</v>
      </c>
      <c r="R10" s="73">
        <v>71782</v>
      </c>
      <c r="S10" s="73">
        <v>1593506</v>
      </c>
      <c r="T10" s="73">
        <v>0</v>
      </c>
      <c r="U10" s="73">
        <v>0</v>
      </c>
      <c r="V10" s="73">
        <v>16393959</v>
      </c>
      <c r="W10" s="73">
        <v>10998474</v>
      </c>
      <c r="X10" s="73">
        <v>17404</v>
      </c>
      <c r="Y10" s="73">
        <v>2458377</v>
      </c>
      <c r="Z10" s="73">
        <v>48680</v>
      </c>
      <c r="AA10" s="73">
        <v>48690</v>
      </c>
      <c r="AB10" s="73">
        <v>155723</v>
      </c>
      <c r="AC10" s="73">
        <v>1409</v>
      </c>
      <c r="AD10" s="73">
        <v>9496361</v>
      </c>
      <c r="AE10" s="73">
        <v>19366</v>
      </c>
      <c r="AF10" s="73">
        <v>13869951</v>
      </c>
      <c r="AG10" s="70"/>
    </row>
    <row r="11" spans="1:34" s="59" customFormat="1">
      <c r="A11" s="59" t="s">
        <v>756</v>
      </c>
      <c r="B11" s="71" t="s">
        <v>529</v>
      </c>
      <c r="C11" s="71" t="s">
        <v>414</v>
      </c>
      <c r="D11" s="74" t="s">
        <v>387</v>
      </c>
      <c r="E11" s="73">
        <v>447</v>
      </c>
      <c r="F11" s="73">
        <v>0</v>
      </c>
      <c r="G11" s="73">
        <v>0</v>
      </c>
      <c r="H11" s="73">
        <v>0</v>
      </c>
      <c r="I11" s="73">
        <v>455665</v>
      </c>
      <c r="J11" s="73">
        <v>351582</v>
      </c>
      <c r="K11" s="73">
        <v>308325</v>
      </c>
      <c r="L11" s="73">
        <v>763</v>
      </c>
      <c r="M11" s="73">
        <v>0</v>
      </c>
      <c r="N11" s="73">
        <v>95371</v>
      </c>
      <c r="O11" s="73">
        <v>0</v>
      </c>
      <c r="P11" s="73">
        <v>0</v>
      </c>
      <c r="Q11" s="73">
        <v>570309</v>
      </c>
      <c r="R11" s="73">
        <v>0</v>
      </c>
      <c r="S11" s="73">
        <v>1544363</v>
      </c>
      <c r="T11" s="73">
        <v>129267</v>
      </c>
      <c r="U11" s="73">
        <v>1257475</v>
      </c>
      <c r="V11" s="73">
        <v>0</v>
      </c>
      <c r="W11" s="73">
        <v>0</v>
      </c>
      <c r="X11" s="73">
        <v>0</v>
      </c>
      <c r="Y11" s="73">
        <v>47</v>
      </c>
      <c r="Z11" s="73">
        <v>681356</v>
      </c>
      <c r="AA11" s="73">
        <v>6</v>
      </c>
      <c r="AB11" s="73">
        <v>4505</v>
      </c>
      <c r="AC11" s="73">
        <v>0</v>
      </c>
      <c r="AD11" s="73">
        <v>1414623</v>
      </c>
      <c r="AE11" s="73">
        <v>0</v>
      </c>
      <c r="AF11" s="73">
        <v>602157</v>
      </c>
      <c r="AG11" s="70"/>
    </row>
    <row r="12" spans="1:34" s="59" customFormat="1">
      <c r="A12" s="59" t="s">
        <v>756</v>
      </c>
      <c r="B12" s="71" t="s">
        <v>541</v>
      </c>
      <c r="C12" s="71" t="s">
        <v>418</v>
      </c>
      <c r="D12" s="74" t="s">
        <v>387</v>
      </c>
      <c r="E12" s="73">
        <v>37427</v>
      </c>
      <c r="F12" s="73">
        <v>6073175</v>
      </c>
      <c r="G12" s="73">
        <v>477722</v>
      </c>
      <c r="H12" s="73">
        <v>446848</v>
      </c>
      <c r="I12" s="73">
        <v>5112203</v>
      </c>
      <c r="J12" s="73">
        <v>6636175</v>
      </c>
      <c r="K12" s="73">
        <v>5338060</v>
      </c>
      <c r="L12" s="73">
        <v>2014395</v>
      </c>
      <c r="M12" s="73">
        <v>866830</v>
      </c>
      <c r="N12" s="73">
        <v>6785746</v>
      </c>
      <c r="O12" s="73">
        <v>53723</v>
      </c>
      <c r="P12" s="73">
        <v>6986554</v>
      </c>
      <c r="Q12" s="73">
        <v>701170</v>
      </c>
      <c r="R12" s="73">
        <v>5696458</v>
      </c>
      <c r="S12" s="73">
        <v>587681</v>
      </c>
      <c r="T12" s="73">
        <v>170316</v>
      </c>
      <c r="U12" s="73">
        <v>1422551</v>
      </c>
      <c r="V12" s="73">
        <v>2647981</v>
      </c>
      <c r="W12" s="73">
        <v>1061698</v>
      </c>
      <c r="X12" s="73">
        <v>87518</v>
      </c>
      <c r="Y12" s="73">
        <v>4670024</v>
      </c>
      <c r="Z12" s="73">
        <v>441844</v>
      </c>
      <c r="AA12" s="73">
        <v>23692214</v>
      </c>
      <c r="AB12" s="73">
        <v>994309</v>
      </c>
      <c r="AC12" s="73">
        <v>1562518</v>
      </c>
      <c r="AD12" s="73">
        <v>26963430</v>
      </c>
      <c r="AE12" s="73">
        <v>8597</v>
      </c>
      <c r="AF12" s="73">
        <v>33385194</v>
      </c>
      <c r="AG12" s="70"/>
    </row>
    <row r="13" spans="1:34" s="59" customFormat="1">
      <c r="A13" s="59" t="s">
        <v>756</v>
      </c>
      <c r="B13" s="71" t="s">
        <v>761</v>
      </c>
      <c r="C13" s="71" t="s">
        <v>762</v>
      </c>
      <c r="D13" s="74" t="s">
        <v>387</v>
      </c>
      <c r="E13" s="73">
        <v>0</v>
      </c>
      <c r="F13" s="73">
        <v>15386</v>
      </c>
      <c r="G13" s="73">
        <v>0</v>
      </c>
      <c r="H13" s="73">
        <v>22287</v>
      </c>
      <c r="I13" s="73">
        <v>17918</v>
      </c>
      <c r="J13" s="73">
        <v>487</v>
      </c>
      <c r="K13" s="73">
        <v>1397</v>
      </c>
      <c r="L13" s="73">
        <v>19</v>
      </c>
      <c r="M13" s="73">
        <v>0</v>
      </c>
      <c r="N13" s="73">
        <v>1810</v>
      </c>
      <c r="O13" s="73">
        <v>2919</v>
      </c>
      <c r="P13" s="73">
        <v>0</v>
      </c>
      <c r="Q13" s="73">
        <v>574</v>
      </c>
      <c r="R13" s="73">
        <v>4931</v>
      </c>
      <c r="S13" s="73">
        <v>6869</v>
      </c>
      <c r="T13" s="73">
        <v>111214</v>
      </c>
      <c r="U13" s="73">
        <v>44516</v>
      </c>
      <c r="V13" s="73">
        <v>0</v>
      </c>
      <c r="W13" s="73">
        <v>0</v>
      </c>
      <c r="X13" s="73">
        <v>7736</v>
      </c>
      <c r="Y13" s="73">
        <v>1482</v>
      </c>
      <c r="Z13" s="73">
        <v>71224</v>
      </c>
      <c r="AA13" s="73">
        <v>4904</v>
      </c>
      <c r="AB13" s="73">
        <v>13796</v>
      </c>
      <c r="AC13" s="73">
        <v>0</v>
      </c>
      <c r="AD13" s="73">
        <v>0</v>
      </c>
      <c r="AE13" s="73">
        <v>1848</v>
      </c>
      <c r="AF13" s="73">
        <v>151097</v>
      </c>
      <c r="AG13" s="70"/>
    </row>
    <row r="14" spans="1:34" s="59" customFormat="1">
      <c r="A14" s="59" t="s">
        <v>756</v>
      </c>
      <c r="B14" s="71" t="s">
        <v>763</v>
      </c>
      <c r="C14" s="71" t="s">
        <v>604</v>
      </c>
      <c r="D14" s="74" t="s">
        <v>387</v>
      </c>
      <c r="E14" s="73">
        <v>188449</v>
      </c>
      <c r="F14" s="73">
        <v>0</v>
      </c>
      <c r="G14" s="73">
        <v>0</v>
      </c>
      <c r="H14" s="73">
        <v>0</v>
      </c>
      <c r="I14" s="73">
        <v>303197</v>
      </c>
      <c r="J14" s="73">
        <v>680</v>
      </c>
      <c r="K14" s="73">
        <v>15239</v>
      </c>
      <c r="L14" s="73">
        <v>0</v>
      </c>
      <c r="M14" s="73">
        <v>0</v>
      </c>
      <c r="N14" s="73">
        <v>0</v>
      </c>
      <c r="O14" s="73">
        <v>7272</v>
      </c>
      <c r="P14" s="73">
        <v>0</v>
      </c>
      <c r="Q14" s="73">
        <v>220</v>
      </c>
      <c r="R14" s="73">
        <v>442524</v>
      </c>
      <c r="S14" s="73">
        <v>45164</v>
      </c>
      <c r="T14" s="73">
        <v>311874</v>
      </c>
      <c r="U14" s="73">
        <v>39969</v>
      </c>
      <c r="V14" s="73">
        <v>841053</v>
      </c>
      <c r="W14" s="73">
        <v>0</v>
      </c>
      <c r="X14" s="73">
        <v>107841</v>
      </c>
      <c r="Y14" s="73">
        <v>157516</v>
      </c>
      <c r="Z14" s="73">
        <v>404073</v>
      </c>
      <c r="AA14" s="73">
        <v>0</v>
      </c>
      <c r="AB14" s="73">
        <v>192636</v>
      </c>
      <c r="AC14" s="73">
        <v>0</v>
      </c>
      <c r="AD14" s="73">
        <v>15576</v>
      </c>
      <c r="AE14" s="73">
        <v>9410</v>
      </c>
      <c r="AF14" s="73">
        <v>675183</v>
      </c>
      <c r="AG14" s="70"/>
    </row>
    <row r="15" spans="1:34" s="59" customFormat="1">
      <c r="A15" s="59" t="s">
        <v>756</v>
      </c>
      <c r="B15" s="71" t="s">
        <v>764</v>
      </c>
      <c r="C15" s="71" t="s">
        <v>609</v>
      </c>
      <c r="D15" s="74" t="s">
        <v>387</v>
      </c>
      <c r="E15" s="73">
        <v>0</v>
      </c>
      <c r="F15" s="73">
        <v>0</v>
      </c>
      <c r="G15" s="73">
        <v>0</v>
      </c>
      <c r="H15" s="73">
        <v>0</v>
      </c>
      <c r="I15" s="73">
        <v>0</v>
      </c>
      <c r="J15" s="73">
        <v>0</v>
      </c>
      <c r="K15" s="73">
        <v>0</v>
      </c>
      <c r="L15" s="73">
        <v>0</v>
      </c>
      <c r="M15" s="73">
        <v>0</v>
      </c>
      <c r="N15" s="73">
        <v>4</v>
      </c>
      <c r="O15" s="73">
        <v>0</v>
      </c>
      <c r="P15" s="73">
        <v>0</v>
      </c>
      <c r="Q15" s="73">
        <v>0</v>
      </c>
      <c r="R15" s="73">
        <v>51</v>
      </c>
      <c r="S15" s="73">
        <v>0</v>
      </c>
      <c r="T15" s="73">
        <v>1712</v>
      </c>
      <c r="U15" s="73">
        <v>0</v>
      </c>
      <c r="V15" s="73">
        <v>0</v>
      </c>
      <c r="W15" s="73">
        <v>0</v>
      </c>
      <c r="X15" s="73">
        <v>0</v>
      </c>
      <c r="Y15" s="73">
        <v>0</v>
      </c>
      <c r="Z15" s="73">
        <v>0</v>
      </c>
      <c r="AA15" s="73">
        <v>0</v>
      </c>
      <c r="AB15" s="73">
        <v>0</v>
      </c>
      <c r="AC15" s="73">
        <v>0</v>
      </c>
      <c r="AD15" s="73">
        <v>0</v>
      </c>
      <c r="AE15" s="73">
        <v>1445</v>
      </c>
      <c r="AF15" s="73">
        <v>0</v>
      </c>
      <c r="AG15" s="70"/>
    </row>
    <row r="16" spans="1:34" s="59" customFormat="1">
      <c r="A16" s="59" t="s">
        <v>756</v>
      </c>
      <c r="B16" s="71" t="s">
        <v>765</v>
      </c>
      <c r="C16" s="71" t="s">
        <v>607</v>
      </c>
      <c r="D16" s="74" t="s">
        <v>387</v>
      </c>
      <c r="E16" s="73">
        <v>130274</v>
      </c>
      <c r="F16" s="73">
        <v>49672</v>
      </c>
      <c r="G16" s="73">
        <v>123134</v>
      </c>
      <c r="H16" s="73">
        <v>159656</v>
      </c>
      <c r="I16" s="73">
        <v>148789</v>
      </c>
      <c r="J16" s="73">
        <v>221649</v>
      </c>
      <c r="K16" s="73">
        <v>280447</v>
      </c>
      <c r="L16" s="73">
        <v>193893</v>
      </c>
      <c r="M16" s="73">
        <v>1432370</v>
      </c>
      <c r="N16" s="73">
        <v>1417353</v>
      </c>
      <c r="O16" s="73">
        <v>77389</v>
      </c>
      <c r="P16" s="73">
        <v>4618998</v>
      </c>
      <c r="Q16" s="73">
        <v>111518</v>
      </c>
      <c r="R16" s="73">
        <v>666042</v>
      </c>
      <c r="S16" s="73">
        <v>150401</v>
      </c>
      <c r="T16" s="73">
        <v>516538</v>
      </c>
      <c r="U16" s="73">
        <v>534691</v>
      </c>
      <c r="V16" s="73">
        <v>416098</v>
      </c>
      <c r="W16" s="73">
        <v>597225</v>
      </c>
      <c r="X16" s="73">
        <v>300488</v>
      </c>
      <c r="Y16" s="73">
        <v>995078</v>
      </c>
      <c r="Z16" s="73">
        <v>325340</v>
      </c>
      <c r="AA16" s="73">
        <v>72101</v>
      </c>
      <c r="AB16" s="73">
        <v>81573</v>
      </c>
      <c r="AC16" s="73">
        <v>30646</v>
      </c>
      <c r="AD16" s="73">
        <v>701461</v>
      </c>
      <c r="AE16" s="73">
        <v>18716</v>
      </c>
      <c r="AF16" s="73">
        <v>1079743</v>
      </c>
      <c r="AG16" s="75"/>
    </row>
    <row r="17" spans="1:34" s="295" customFormat="1">
      <c r="A17" s="295" t="s">
        <v>756</v>
      </c>
      <c r="B17" s="296" t="s">
        <v>766</v>
      </c>
      <c r="C17" s="296" t="s">
        <v>767</v>
      </c>
      <c r="D17" s="297" t="s">
        <v>387</v>
      </c>
      <c r="E17" s="298">
        <v>0</v>
      </c>
      <c r="F17" s="298">
        <v>0</v>
      </c>
      <c r="G17" s="298">
        <v>0</v>
      </c>
      <c r="H17" s="298">
        <v>143122</v>
      </c>
      <c r="I17" s="298">
        <v>0</v>
      </c>
      <c r="J17" s="298">
        <v>23736</v>
      </c>
      <c r="K17" s="298">
        <v>0</v>
      </c>
      <c r="L17" s="298">
        <v>98647</v>
      </c>
      <c r="M17" s="298">
        <v>174193</v>
      </c>
      <c r="N17" s="298">
        <v>1092928</v>
      </c>
      <c r="O17" s="298">
        <v>0</v>
      </c>
      <c r="P17" s="298">
        <v>3762180</v>
      </c>
      <c r="Q17" s="298">
        <v>902470</v>
      </c>
      <c r="R17" s="298">
        <v>893477</v>
      </c>
      <c r="S17" s="298">
        <v>1035088</v>
      </c>
      <c r="T17" s="298">
        <v>4939494</v>
      </c>
      <c r="U17" s="298">
        <v>2295047</v>
      </c>
      <c r="V17" s="298">
        <v>0</v>
      </c>
      <c r="W17" s="298">
        <v>501898</v>
      </c>
      <c r="X17" s="298">
        <v>688813</v>
      </c>
      <c r="Y17" s="298">
        <v>85612</v>
      </c>
      <c r="Z17" s="298">
        <v>0</v>
      </c>
      <c r="AA17" s="298">
        <v>63396</v>
      </c>
      <c r="AB17" s="298">
        <v>120852</v>
      </c>
      <c r="AC17" s="298">
        <v>0</v>
      </c>
      <c r="AD17" s="298">
        <v>2271275</v>
      </c>
      <c r="AE17" s="298">
        <v>1575824</v>
      </c>
      <c r="AF17" s="298">
        <v>9107965</v>
      </c>
      <c r="AG17" s="299"/>
    </row>
    <row r="18" spans="1:34" s="59" customFormat="1">
      <c r="A18" s="59" t="s">
        <v>756</v>
      </c>
      <c r="B18" s="71" t="s">
        <v>556</v>
      </c>
      <c r="C18" s="71" t="s">
        <v>422</v>
      </c>
      <c r="D18" s="74" t="s">
        <v>387</v>
      </c>
      <c r="E18" s="73">
        <v>530379</v>
      </c>
      <c r="F18" s="73">
        <v>6697045</v>
      </c>
      <c r="G18" s="73">
        <v>2595730</v>
      </c>
      <c r="H18" s="73">
        <v>3016464</v>
      </c>
      <c r="I18" s="73">
        <v>846366</v>
      </c>
      <c r="J18" s="73">
        <v>6066740</v>
      </c>
      <c r="K18" s="73">
        <v>2280097</v>
      </c>
      <c r="L18" s="73">
        <v>225254</v>
      </c>
      <c r="M18" s="73">
        <v>6678073</v>
      </c>
      <c r="N18" s="73">
        <v>11603195</v>
      </c>
      <c r="O18" s="73">
        <v>7011</v>
      </c>
      <c r="P18" s="73">
        <v>8848902</v>
      </c>
      <c r="Q18" s="73">
        <v>221463</v>
      </c>
      <c r="R18" s="73">
        <v>5837663</v>
      </c>
      <c r="S18" s="73">
        <v>267259</v>
      </c>
      <c r="T18" s="73">
        <v>248221</v>
      </c>
      <c r="U18" s="73">
        <v>432300</v>
      </c>
      <c r="V18" s="73">
        <v>2242669</v>
      </c>
      <c r="W18" s="73">
        <v>1475301</v>
      </c>
      <c r="X18" s="73">
        <v>8974</v>
      </c>
      <c r="Y18" s="73">
        <v>8007548</v>
      </c>
      <c r="Z18" s="73">
        <v>198206</v>
      </c>
      <c r="AA18" s="73">
        <v>58700654</v>
      </c>
      <c r="AB18" s="73">
        <v>4153746</v>
      </c>
      <c r="AC18" s="73">
        <v>4360019</v>
      </c>
      <c r="AD18" s="73">
        <v>24507469</v>
      </c>
      <c r="AE18" s="73">
        <v>33549</v>
      </c>
      <c r="AF18" s="73">
        <v>33069515</v>
      </c>
      <c r="AG18" s="75"/>
    </row>
    <row r="19" spans="1:34" s="59" customFormat="1">
      <c r="A19" s="59" t="s">
        <v>756</v>
      </c>
      <c r="B19" s="71" t="s">
        <v>768</v>
      </c>
      <c r="C19" s="71" t="s">
        <v>611</v>
      </c>
      <c r="D19" s="74" t="s">
        <v>387</v>
      </c>
      <c r="E19" s="73">
        <v>1908</v>
      </c>
      <c r="F19" s="73">
        <v>13198</v>
      </c>
      <c r="G19" s="73">
        <v>3383</v>
      </c>
      <c r="H19" s="73">
        <v>17344</v>
      </c>
      <c r="I19" s="73">
        <v>53609</v>
      </c>
      <c r="J19" s="73">
        <v>3646</v>
      </c>
      <c r="K19" s="73">
        <v>27214</v>
      </c>
      <c r="L19" s="73">
        <v>4963</v>
      </c>
      <c r="M19" s="73">
        <v>23958</v>
      </c>
      <c r="N19" s="73">
        <v>16388</v>
      </c>
      <c r="O19" s="73">
        <v>22099</v>
      </c>
      <c r="P19" s="73">
        <v>794809</v>
      </c>
      <c r="Q19" s="73">
        <v>11257</v>
      </c>
      <c r="R19" s="73">
        <v>51791</v>
      </c>
      <c r="S19" s="73">
        <v>30564</v>
      </c>
      <c r="T19" s="73">
        <v>196170</v>
      </c>
      <c r="U19" s="73">
        <v>203444</v>
      </c>
      <c r="V19" s="73">
        <v>22893</v>
      </c>
      <c r="W19" s="73">
        <v>193513</v>
      </c>
      <c r="X19" s="73">
        <v>237850</v>
      </c>
      <c r="Y19" s="73">
        <v>24116</v>
      </c>
      <c r="Z19" s="73">
        <v>52768</v>
      </c>
      <c r="AA19" s="73">
        <v>19328</v>
      </c>
      <c r="AB19" s="73">
        <v>24273</v>
      </c>
      <c r="AC19" s="73">
        <v>150</v>
      </c>
      <c r="AD19" s="73">
        <v>4567</v>
      </c>
      <c r="AE19" s="73">
        <v>38921</v>
      </c>
      <c r="AF19" s="73">
        <v>338897</v>
      </c>
      <c r="AG19" s="75"/>
    </row>
    <row r="20" spans="1:34" s="59" customFormat="1">
      <c r="A20" s="59" t="s">
        <v>756</v>
      </c>
      <c r="B20" s="71" t="s">
        <v>560</v>
      </c>
      <c r="C20" s="71" t="s">
        <v>623</v>
      </c>
      <c r="D20" s="74" t="s">
        <v>387</v>
      </c>
      <c r="E20" s="73">
        <v>0</v>
      </c>
      <c r="F20" s="73">
        <v>2305</v>
      </c>
      <c r="G20" s="73">
        <v>1424</v>
      </c>
      <c r="H20" s="73">
        <v>0</v>
      </c>
      <c r="I20" s="73">
        <v>3194</v>
      </c>
      <c r="J20" s="73">
        <v>3075</v>
      </c>
      <c r="K20" s="73">
        <v>23390</v>
      </c>
      <c r="L20" s="73">
        <v>0</v>
      </c>
      <c r="M20" s="73">
        <v>0</v>
      </c>
      <c r="N20" s="73">
        <v>15960</v>
      </c>
      <c r="O20" s="73">
        <v>0</v>
      </c>
      <c r="P20" s="73">
        <v>178551</v>
      </c>
      <c r="Q20" s="73">
        <v>368</v>
      </c>
      <c r="R20" s="73">
        <v>158435</v>
      </c>
      <c r="S20" s="73">
        <v>100129</v>
      </c>
      <c r="T20" s="73">
        <v>194612</v>
      </c>
      <c r="U20" s="73">
        <v>466133</v>
      </c>
      <c r="V20" s="73">
        <v>181</v>
      </c>
      <c r="W20" s="73">
        <v>0</v>
      </c>
      <c r="X20" s="73">
        <v>242773</v>
      </c>
      <c r="Y20" s="73">
        <v>1185</v>
      </c>
      <c r="Z20" s="73">
        <v>40618</v>
      </c>
      <c r="AA20" s="73">
        <v>46</v>
      </c>
      <c r="AB20" s="73">
        <v>554</v>
      </c>
      <c r="AC20" s="73">
        <v>0</v>
      </c>
      <c r="AD20" s="73">
        <v>269914</v>
      </c>
      <c r="AE20" s="73">
        <v>128617</v>
      </c>
      <c r="AF20" s="73">
        <v>235244</v>
      </c>
      <c r="AG20" s="70"/>
    </row>
    <row r="21" spans="1:34" s="59" customFormat="1">
      <c r="A21" s="59" t="s">
        <v>756</v>
      </c>
      <c r="B21" s="71" t="s">
        <v>769</v>
      </c>
      <c r="C21" s="71" t="s">
        <v>770</v>
      </c>
      <c r="D21" s="74" t="s">
        <v>387</v>
      </c>
      <c r="E21" s="73">
        <v>8016</v>
      </c>
      <c r="F21" s="73">
        <v>29560</v>
      </c>
      <c r="G21" s="73">
        <v>857</v>
      </c>
      <c r="H21" s="73">
        <v>21481</v>
      </c>
      <c r="I21" s="73">
        <v>71480</v>
      </c>
      <c r="J21" s="73">
        <v>4363</v>
      </c>
      <c r="K21" s="73">
        <v>13428</v>
      </c>
      <c r="L21" s="73">
        <v>10704</v>
      </c>
      <c r="M21" s="73">
        <v>201551</v>
      </c>
      <c r="N21" s="73">
        <v>122021</v>
      </c>
      <c r="O21" s="73">
        <v>16860</v>
      </c>
      <c r="P21" s="73">
        <v>1397034.0327944944</v>
      </c>
      <c r="Q21" s="73">
        <v>13307</v>
      </c>
      <c r="R21" s="73">
        <v>132817.26078874033</v>
      </c>
      <c r="S21" s="73">
        <v>97883</v>
      </c>
      <c r="T21" s="73">
        <v>450944.34475148382</v>
      </c>
      <c r="U21" s="73">
        <v>587852.69479399023</v>
      </c>
      <c r="V21" s="73">
        <v>4356.1131166961195</v>
      </c>
      <c r="W21" s="73">
        <v>267706</v>
      </c>
      <c r="X21" s="73">
        <v>25754.06694670517</v>
      </c>
      <c r="Y21" s="73">
        <v>74257</v>
      </c>
      <c r="Z21" s="73">
        <v>81895</v>
      </c>
      <c r="AA21" s="73">
        <v>2278</v>
      </c>
      <c r="AB21" s="73">
        <v>58060</v>
      </c>
      <c r="AC21" s="73">
        <v>11</v>
      </c>
      <c r="AD21" s="73">
        <v>1181</v>
      </c>
      <c r="AE21" s="73">
        <v>7295.9059383202102</v>
      </c>
      <c r="AF21" s="73">
        <v>1036377.063961282</v>
      </c>
      <c r="AG21" s="70"/>
    </row>
    <row r="22" spans="1:34" s="59" customFormat="1">
      <c r="A22" s="59" t="s">
        <v>756</v>
      </c>
      <c r="B22" s="76" t="s">
        <v>771</v>
      </c>
      <c r="C22" s="76" t="s">
        <v>772</v>
      </c>
      <c r="D22" s="77" t="s">
        <v>387</v>
      </c>
      <c r="E22" s="73">
        <v>0</v>
      </c>
      <c r="F22" s="73">
        <v>0</v>
      </c>
      <c r="G22" s="73">
        <v>0</v>
      </c>
      <c r="H22" s="73">
        <v>0</v>
      </c>
      <c r="I22" s="73">
        <v>0</v>
      </c>
      <c r="J22" s="73">
        <v>0</v>
      </c>
      <c r="K22" s="73">
        <v>0</v>
      </c>
      <c r="L22" s="73">
        <v>0</v>
      </c>
      <c r="M22" s="73">
        <v>0</v>
      </c>
      <c r="N22" s="73">
        <v>0</v>
      </c>
      <c r="O22" s="73">
        <v>0</v>
      </c>
      <c r="P22" s="73">
        <v>40710.967205505629</v>
      </c>
      <c r="Q22" s="73">
        <v>0</v>
      </c>
      <c r="R22" s="73">
        <v>113170.73921125967</v>
      </c>
      <c r="S22" s="73">
        <v>0</v>
      </c>
      <c r="T22" s="73">
        <v>37.655248516190397</v>
      </c>
      <c r="U22" s="73">
        <v>141981.3052060098</v>
      </c>
      <c r="V22" s="73">
        <v>602.88688330388015</v>
      </c>
      <c r="W22" s="73">
        <v>0</v>
      </c>
      <c r="X22" s="73">
        <v>359.93305329482803</v>
      </c>
      <c r="Y22" s="73">
        <v>0</v>
      </c>
      <c r="Z22" s="73">
        <v>0</v>
      </c>
      <c r="AA22" s="73">
        <v>0</v>
      </c>
      <c r="AB22" s="73">
        <v>0</v>
      </c>
      <c r="AC22" s="73">
        <v>0</v>
      </c>
      <c r="AD22" s="73">
        <v>0</v>
      </c>
      <c r="AE22" s="73">
        <v>733.09406167979</v>
      </c>
      <c r="AF22" s="73">
        <v>356.93603871789185</v>
      </c>
      <c r="AG22" s="75"/>
    </row>
    <row r="23" spans="1:34" s="59" customFormat="1">
      <c r="A23" s="78"/>
      <c r="B23" s="76"/>
      <c r="C23" s="76"/>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0"/>
    </row>
    <row r="24" spans="1:34" s="59" customFormat="1" ht="12.6" customHeight="1">
      <c r="A24" s="59" t="s">
        <v>773</v>
      </c>
      <c r="B24" s="71" t="s">
        <v>515</v>
      </c>
      <c r="C24" s="71" t="s">
        <v>757</v>
      </c>
      <c r="D24" s="72" t="s">
        <v>387</v>
      </c>
      <c r="E24" s="73">
        <v>0</v>
      </c>
      <c r="F24" s="73">
        <v>0</v>
      </c>
      <c r="G24" s="73">
        <v>0</v>
      </c>
      <c r="H24" s="73">
        <v>0</v>
      </c>
      <c r="I24" s="73">
        <v>-6</v>
      </c>
      <c r="J24" s="73">
        <v>0</v>
      </c>
      <c r="K24" s="73">
        <v>-1884</v>
      </c>
      <c r="L24" s="73">
        <v>0</v>
      </c>
      <c r="M24" s="73">
        <v>0</v>
      </c>
      <c r="N24" s="73">
        <v>-1820</v>
      </c>
      <c r="O24" s="73">
        <v>0</v>
      </c>
      <c r="P24" s="73">
        <v>0</v>
      </c>
      <c r="Q24" s="73">
        <v>0</v>
      </c>
      <c r="R24" s="73">
        <v>0</v>
      </c>
      <c r="S24" s="73">
        <v>-1104</v>
      </c>
      <c r="T24" s="73">
        <v>-8</v>
      </c>
      <c r="U24" s="73">
        <v>0</v>
      </c>
      <c r="V24" s="73">
        <v>-17667</v>
      </c>
      <c r="W24" s="73">
        <v>0</v>
      </c>
      <c r="X24" s="73">
        <v>0</v>
      </c>
      <c r="Y24" s="73">
        <v>-2245</v>
      </c>
      <c r="Z24" s="73">
        <v>0</v>
      </c>
      <c r="AA24" s="73">
        <v>0</v>
      </c>
      <c r="AB24" s="73">
        <v>0</v>
      </c>
      <c r="AC24" s="73">
        <v>0</v>
      </c>
      <c r="AD24" s="73">
        <v>0</v>
      </c>
      <c r="AE24" s="73">
        <v>-78</v>
      </c>
      <c r="AF24" s="73">
        <v>0</v>
      </c>
      <c r="AG24" s="70"/>
    </row>
    <row r="25" spans="1:34" s="59" customFormat="1">
      <c r="A25" s="59" t="s">
        <v>773</v>
      </c>
      <c r="B25" s="71" t="s">
        <v>517</v>
      </c>
      <c r="C25" s="71" t="s">
        <v>758</v>
      </c>
      <c r="D25" s="74" t="s">
        <v>387</v>
      </c>
      <c r="E25" s="73">
        <v>0</v>
      </c>
      <c r="F25" s="73">
        <v>0</v>
      </c>
      <c r="G25" s="73">
        <v>-2</v>
      </c>
      <c r="H25" s="73">
        <v>0</v>
      </c>
      <c r="I25" s="73">
        <v>-4</v>
      </c>
      <c r="J25" s="73">
        <v>0</v>
      </c>
      <c r="K25" s="73">
        <v>-273</v>
      </c>
      <c r="L25" s="73">
        <v>0</v>
      </c>
      <c r="M25" s="73">
        <v>0</v>
      </c>
      <c r="N25" s="73">
        <v>0</v>
      </c>
      <c r="O25" s="73">
        <v>0</v>
      </c>
      <c r="P25" s="73">
        <v>0</v>
      </c>
      <c r="Q25" s="73">
        <v>0</v>
      </c>
      <c r="R25" s="73">
        <v>0</v>
      </c>
      <c r="S25" s="73">
        <v>-273</v>
      </c>
      <c r="T25" s="73">
        <v>-546</v>
      </c>
      <c r="U25" s="73">
        <v>0</v>
      </c>
      <c r="V25" s="73">
        <v>0</v>
      </c>
      <c r="W25" s="73">
        <v>0</v>
      </c>
      <c r="X25" s="73">
        <v>0</v>
      </c>
      <c r="Y25" s="73">
        <v>-60</v>
      </c>
      <c r="Z25" s="73">
        <v>0</v>
      </c>
      <c r="AA25" s="73">
        <v>0</v>
      </c>
      <c r="AB25" s="73">
        <v>0</v>
      </c>
      <c r="AC25" s="73">
        <v>0</v>
      </c>
      <c r="AD25" s="73">
        <v>0</v>
      </c>
      <c r="AE25" s="73">
        <v>0</v>
      </c>
      <c r="AF25" s="73">
        <v>0</v>
      </c>
      <c r="AG25" s="70"/>
    </row>
    <row r="26" spans="1:34" s="59" customFormat="1">
      <c r="A26" s="59" t="s">
        <v>773</v>
      </c>
      <c r="B26" s="71" t="s">
        <v>525</v>
      </c>
      <c r="C26" s="71" t="s">
        <v>760</v>
      </c>
      <c r="D26" s="74" t="s">
        <v>387</v>
      </c>
      <c r="E26" s="73">
        <v>0</v>
      </c>
      <c r="F26" s="73">
        <v>0</v>
      </c>
      <c r="G26" s="73">
        <v>0</v>
      </c>
      <c r="H26" s="73">
        <v>0</v>
      </c>
      <c r="I26" s="73">
        <v>0</v>
      </c>
      <c r="J26" s="73">
        <v>0</v>
      </c>
      <c r="K26" s="73">
        <v>0</v>
      </c>
      <c r="L26" s="73">
        <v>0</v>
      </c>
      <c r="M26" s="73">
        <v>0</v>
      </c>
      <c r="N26" s="73">
        <v>0</v>
      </c>
      <c r="O26" s="73">
        <v>0</v>
      </c>
      <c r="P26" s="73">
        <v>0</v>
      </c>
      <c r="Q26" s="73">
        <v>-2383</v>
      </c>
      <c r="R26" s="73">
        <v>0</v>
      </c>
      <c r="S26" s="73">
        <v>-3504</v>
      </c>
      <c r="T26" s="73">
        <v>-2</v>
      </c>
      <c r="U26" s="73">
        <v>0</v>
      </c>
      <c r="V26" s="73">
        <v>0</v>
      </c>
      <c r="W26" s="73">
        <v>0</v>
      </c>
      <c r="X26" s="73">
        <v>0</v>
      </c>
      <c r="Y26" s="73">
        <v>0</v>
      </c>
      <c r="Z26" s="73">
        <v>0</v>
      </c>
      <c r="AA26" s="73">
        <v>0</v>
      </c>
      <c r="AB26" s="73">
        <v>0</v>
      </c>
      <c r="AC26" s="73">
        <v>0</v>
      </c>
      <c r="AD26" s="73">
        <v>-2236</v>
      </c>
      <c r="AE26" s="73">
        <v>0</v>
      </c>
      <c r="AF26" s="73">
        <v>0</v>
      </c>
      <c r="AG26" s="70"/>
      <c r="AH26" s="58"/>
    </row>
    <row r="27" spans="1:34" s="59" customFormat="1">
      <c r="A27" s="59" t="s">
        <v>773</v>
      </c>
      <c r="B27" s="71" t="s">
        <v>527</v>
      </c>
      <c r="C27" s="71" t="s">
        <v>413</v>
      </c>
      <c r="D27" s="74" t="s">
        <v>387</v>
      </c>
      <c r="E27" s="73">
        <v>-13218</v>
      </c>
      <c r="F27" s="73">
        <v>-152</v>
      </c>
      <c r="G27" s="73">
        <v>0</v>
      </c>
      <c r="H27" s="73">
        <v>0</v>
      </c>
      <c r="I27" s="73">
        <v>-242376</v>
      </c>
      <c r="J27" s="73">
        <v>-10660</v>
      </c>
      <c r="K27" s="73">
        <v>-46383</v>
      </c>
      <c r="L27" s="73">
        <v>-4816</v>
      </c>
      <c r="M27" s="73">
        <v>-854</v>
      </c>
      <c r="N27" s="73">
        <v>-2359</v>
      </c>
      <c r="O27" s="73">
        <v>0</v>
      </c>
      <c r="P27" s="73">
        <v>-1762609</v>
      </c>
      <c r="Q27" s="73">
        <v>-67590</v>
      </c>
      <c r="R27" s="73">
        <v>-1970</v>
      </c>
      <c r="S27" s="73">
        <v>-149052</v>
      </c>
      <c r="T27" s="73">
        <v>0</v>
      </c>
      <c r="U27" s="73">
        <v>-20</v>
      </c>
      <c r="V27" s="73">
        <v>-74257</v>
      </c>
      <c r="W27" s="73">
        <v>0</v>
      </c>
      <c r="X27" s="73">
        <v>0</v>
      </c>
      <c r="Y27" s="73">
        <v>-104946</v>
      </c>
      <c r="Z27" s="73">
        <v>0</v>
      </c>
      <c r="AA27" s="73">
        <v>0</v>
      </c>
      <c r="AB27" s="73">
        <v>0</v>
      </c>
      <c r="AC27" s="73">
        <v>0</v>
      </c>
      <c r="AD27" s="73">
        <v>-184254</v>
      </c>
      <c r="AE27" s="73">
        <v>-16496</v>
      </c>
      <c r="AF27" s="73">
        <v>-769605</v>
      </c>
      <c r="AG27" s="70"/>
    </row>
    <row r="28" spans="1:34" s="59" customFormat="1">
      <c r="A28" s="59" t="s">
        <v>773</v>
      </c>
      <c r="B28" s="71" t="s">
        <v>529</v>
      </c>
      <c r="C28" s="71" t="s">
        <v>414</v>
      </c>
      <c r="D28" s="74" t="s">
        <v>387</v>
      </c>
      <c r="E28" s="73">
        <v>0</v>
      </c>
      <c r="F28" s="73">
        <v>0</v>
      </c>
      <c r="G28" s="73">
        <v>0</v>
      </c>
      <c r="H28" s="73">
        <v>0</v>
      </c>
      <c r="I28" s="73">
        <v>-207</v>
      </c>
      <c r="J28" s="73">
        <v>0</v>
      </c>
      <c r="K28" s="73">
        <v>-9779</v>
      </c>
      <c r="L28" s="73">
        <v>0</v>
      </c>
      <c r="M28" s="73">
        <v>0</v>
      </c>
      <c r="N28" s="73">
        <v>-378</v>
      </c>
      <c r="O28" s="73">
        <v>0</v>
      </c>
      <c r="P28" s="73">
        <v>0</v>
      </c>
      <c r="Q28" s="73">
        <v>-9390</v>
      </c>
      <c r="R28" s="73">
        <v>-13</v>
      </c>
      <c r="S28" s="73">
        <v>-12580</v>
      </c>
      <c r="T28" s="73">
        <v>0</v>
      </c>
      <c r="U28" s="73">
        <v>0</v>
      </c>
      <c r="V28" s="73">
        <v>0</v>
      </c>
      <c r="W28" s="73">
        <v>0</v>
      </c>
      <c r="X28" s="73">
        <v>0</v>
      </c>
      <c r="Y28" s="73">
        <v>0</v>
      </c>
      <c r="Z28" s="73">
        <v>0</v>
      </c>
      <c r="AA28" s="73">
        <v>0</v>
      </c>
      <c r="AB28" s="73">
        <v>0</v>
      </c>
      <c r="AC28" s="73">
        <v>0</v>
      </c>
      <c r="AD28" s="73">
        <v>-20843</v>
      </c>
      <c r="AE28" s="73">
        <v>0</v>
      </c>
      <c r="AF28" s="73">
        <v>-13164</v>
      </c>
      <c r="AG28" s="70"/>
    </row>
    <row r="29" spans="1:34" s="59" customFormat="1">
      <c r="A29" s="59" t="s">
        <v>773</v>
      </c>
      <c r="B29" s="71" t="s">
        <v>533</v>
      </c>
      <c r="C29" s="71" t="s">
        <v>774</v>
      </c>
      <c r="D29" s="74" t="s">
        <v>387</v>
      </c>
      <c r="E29" s="73">
        <v>0</v>
      </c>
      <c r="F29" s="73">
        <v>0</v>
      </c>
      <c r="G29" s="73">
        <v>0</v>
      </c>
      <c r="H29" s="73">
        <v>0</v>
      </c>
      <c r="I29" s="73">
        <v>0</v>
      </c>
      <c r="J29" s="73">
        <v>0</v>
      </c>
      <c r="K29" s="73">
        <v>0</v>
      </c>
      <c r="L29" s="73">
        <v>0</v>
      </c>
      <c r="M29" s="73">
        <v>-1358</v>
      </c>
      <c r="N29" s="73">
        <v>-3158</v>
      </c>
      <c r="O29" s="73">
        <v>0</v>
      </c>
      <c r="P29" s="73">
        <v>-46056</v>
      </c>
      <c r="Q29" s="73">
        <v>-1472</v>
      </c>
      <c r="R29" s="73">
        <v>0</v>
      </c>
      <c r="S29" s="73">
        <v>-10647</v>
      </c>
      <c r="T29" s="73">
        <v>-4347</v>
      </c>
      <c r="U29" s="73">
        <v>-5561</v>
      </c>
      <c r="V29" s="73">
        <v>0</v>
      </c>
      <c r="W29" s="73">
        <v>0</v>
      </c>
      <c r="X29" s="73">
        <v>0</v>
      </c>
      <c r="Y29" s="73">
        <v>-1335</v>
      </c>
      <c r="Z29" s="73">
        <v>-2978</v>
      </c>
      <c r="AA29" s="73">
        <v>0</v>
      </c>
      <c r="AB29" s="73">
        <v>0</v>
      </c>
      <c r="AC29" s="73">
        <v>0</v>
      </c>
      <c r="AD29" s="73">
        <v>-441</v>
      </c>
      <c r="AE29" s="73">
        <v>0</v>
      </c>
      <c r="AF29" s="73">
        <v>-2251</v>
      </c>
      <c r="AG29" s="70"/>
    </row>
    <row r="30" spans="1:34" s="59" customFormat="1">
      <c r="A30" s="59" t="s">
        <v>773</v>
      </c>
      <c r="B30" s="71" t="s">
        <v>535</v>
      </c>
      <c r="C30" s="71" t="s">
        <v>457</v>
      </c>
      <c r="D30" s="74" t="s">
        <v>387</v>
      </c>
      <c r="E30" s="73">
        <v>-3349</v>
      </c>
      <c r="F30" s="73">
        <v>0</v>
      </c>
      <c r="G30" s="73">
        <v>0</v>
      </c>
      <c r="H30" s="73">
        <v>-86</v>
      </c>
      <c r="I30" s="73">
        <v>-6525</v>
      </c>
      <c r="J30" s="73">
        <v>-3818</v>
      </c>
      <c r="K30" s="73">
        <v>0</v>
      </c>
      <c r="L30" s="73">
        <v>0</v>
      </c>
      <c r="M30" s="73">
        <v>-7384</v>
      </c>
      <c r="N30" s="73">
        <v>0</v>
      </c>
      <c r="O30" s="73">
        <v>-10</v>
      </c>
      <c r="P30" s="73">
        <v>0</v>
      </c>
      <c r="Q30" s="73">
        <v>0</v>
      </c>
      <c r="R30" s="73">
        <v>-6654</v>
      </c>
      <c r="S30" s="73">
        <v>-3858</v>
      </c>
      <c r="T30" s="73">
        <v>-1590</v>
      </c>
      <c r="U30" s="73">
        <v>-65761</v>
      </c>
      <c r="V30" s="73">
        <v>-12481</v>
      </c>
      <c r="W30" s="73">
        <v>0</v>
      </c>
      <c r="X30" s="73">
        <v>0</v>
      </c>
      <c r="Y30" s="73">
        <v>0</v>
      </c>
      <c r="Z30" s="73">
        <v>0</v>
      </c>
      <c r="AA30" s="73">
        <v>0</v>
      </c>
      <c r="AB30" s="73">
        <v>0</v>
      </c>
      <c r="AC30" s="73">
        <v>0</v>
      </c>
      <c r="AD30" s="73">
        <v>-5061</v>
      </c>
      <c r="AE30" s="73">
        <v>0</v>
      </c>
      <c r="AF30" s="73">
        <v>0</v>
      </c>
      <c r="AG30" s="70"/>
    </row>
    <row r="31" spans="1:34" s="59" customFormat="1">
      <c r="A31" s="59" t="s">
        <v>773</v>
      </c>
      <c r="B31" s="71" t="s">
        <v>541</v>
      </c>
      <c r="C31" s="71" t="s">
        <v>418</v>
      </c>
      <c r="D31" s="74" t="s">
        <v>387</v>
      </c>
      <c r="E31" s="73">
        <v>0</v>
      </c>
      <c r="F31" s="73">
        <v>-1229</v>
      </c>
      <c r="G31" s="73">
        <v>0</v>
      </c>
      <c r="H31" s="73">
        <v>0</v>
      </c>
      <c r="I31" s="73">
        <v>0</v>
      </c>
      <c r="J31" s="73">
        <v>0</v>
      </c>
      <c r="K31" s="73">
        <v>-418</v>
      </c>
      <c r="L31" s="73">
        <v>0</v>
      </c>
      <c r="M31" s="73">
        <v>0</v>
      </c>
      <c r="N31" s="73">
        <v>0</v>
      </c>
      <c r="O31" s="73">
        <v>-1940</v>
      </c>
      <c r="P31" s="73">
        <v>0</v>
      </c>
      <c r="Q31" s="73">
        <v>-108945</v>
      </c>
      <c r="R31" s="73">
        <v>-23459</v>
      </c>
      <c r="S31" s="73">
        <v>-288094</v>
      </c>
      <c r="T31" s="73">
        <v>-132273</v>
      </c>
      <c r="U31" s="73">
        <v>-312356</v>
      </c>
      <c r="V31" s="73">
        <v>0</v>
      </c>
      <c r="W31" s="73">
        <v>0</v>
      </c>
      <c r="X31" s="73">
        <v>-2816</v>
      </c>
      <c r="Y31" s="73">
        <v>0</v>
      </c>
      <c r="Z31" s="73">
        <v>0</v>
      </c>
      <c r="AA31" s="73">
        <v>0</v>
      </c>
      <c r="AB31" s="73">
        <v>0</v>
      </c>
      <c r="AC31" s="73">
        <v>0</v>
      </c>
      <c r="AD31" s="73">
        <v>-309732</v>
      </c>
      <c r="AE31" s="73">
        <v>0</v>
      </c>
      <c r="AF31" s="73">
        <v>-478193</v>
      </c>
      <c r="AG31" s="70"/>
    </row>
    <row r="32" spans="1:34" s="59" customFormat="1">
      <c r="A32" s="59" t="s">
        <v>773</v>
      </c>
      <c r="B32" s="71" t="s">
        <v>543</v>
      </c>
      <c r="C32" s="71" t="s">
        <v>459</v>
      </c>
      <c r="D32" s="74" t="s">
        <v>387</v>
      </c>
      <c r="E32" s="73">
        <v>-3069</v>
      </c>
      <c r="F32" s="73">
        <v>0</v>
      </c>
      <c r="G32" s="73">
        <v>0</v>
      </c>
      <c r="H32" s="73">
        <v>0</v>
      </c>
      <c r="I32" s="73">
        <v>-2613</v>
      </c>
      <c r="J32" s="73">
        <v>0</v>
      </c>
      <c r="K32" s="73">
        <v>-10957</v>
      </c>
      <c r="L32" s="73">
        <v>0</v>
      </c>
      <c r="M32" s="73">
        <v>-10101</v>
      </c>
      <c r="N32" s="73">
        <v>0</v>
      </c>
      <c r="O32" s="73">
        <v>-728</v>
      </c>
      <c r="P32" s="73">
        <v>0</v>
      </c>
      <c r="Q32" s="73">
        <v>0</v>
      </c>
      <c r="R32" s="73">
        <v>0</v>
      </c>
      <c r="S32" s="73">
        <v>0</v>
      </c>
      <c r="T32" s="73">
        <v>-3926</v>
      </c>
      <c r="U32" s="73">
        <v>0</v>
      </c>
      <c r="V32" s="73">
        <v>0</v>
      </c>
      <c r="W32" s="73">
        <v>0</v>
      </c>
      <c r="X32" s="73">
        <v>0</v>
      </c>
      <c r="Y32" s="73">
        <v>0</v>
      </c>
      <c r="Z32" s="73">
        <v>0</v>
      </c>
      <c r="AA32" s="73">
        <v>0</v>
      </c>
      <c r="AB32" s="73">
        <v>0</v>
      </c>
      <c r="AC32" s="73">
        <v>0</v>
      </c>
      <c r="AD32" s="73">
        <v>-1349</v>
      </c>
      <c r="AE32" s="73">
        <v>0</v>
      </c>
      <c r="AF32" s="73">
        <v>-10757</v>
      </c>
      <c r="AG32" s="70"/>
    </row>
    <row r="33" spans="1:33" s="59" customFormat="1">
      <c r="A33" s="59" t="s">
        <v>773</v>
      </c>
      <c r="B33" s="71" t="s">
        <v>548</v>
      </c>
      <c r="C33" s="71" t="s">
        <v>461</v>
      </c>
      <c r="D33" s="74" t="s">
        <v>387</v>
      </c>
      <c r="E33" s="73">
        <v>-1180</v>
      </c>
      <c r="F33" s="73">
        <v>0</v>
      </c>
      <c r="G33" s="73">
        <v>-15690</v>
      </c>
      <c r="H33" s="73">
        <v>-24182</v>
      </c>
      <c r="I33" s="73">
        <v>0</v>
      </c>
      <c r="J33" s="73">
        <v>-1129</v>
      </c>
      <c r="K33" s="73">
        <v>-11152</v>
      </c>
      <c r="L33" s="73">
        <v>0</v>
      </c>
      <c r="M33" s="73">
        <v>-1175</v>
      </c>
      <c r="N33" s="73">
        <v>0</v>
      </c>
      <c r="O33" s="73">
        <v>-2223</v>
      </c>
      <c r="P33" s="73">
        <v>-25483</v>
      </c>
      <c r="Q33" s="73">
        <v>0</v>
      </c>
      <c r="R33" s="73">
        <v>0</v>
      </c>
      <c r="S33" s="73">
        <v>0</v>
      </c>
      <c r="T33" s="73">
        <v>-61</v>
      </c>
      <c r="U33" s="73">
        <v>-24060</v>
      </c>
      <c r="V33" s="73">
        <v>0</v>
      </c>
      <c r="W33" s="73">
        <v>0</v>
      </c>
      <c r="X33" s="73">
        <v>0</v>
      </c>
      <c r="Y33" s="73">
        <v>0</v>
      </c>
      <c r="Z33" s="73">
        <v>0</v>
      </c>
      <c r="AA33" s="73">
        <v>0</v>
      </c>
      <c r="AB33" s="73">
        <v>0</v>
      </c>
      <c r="AC33" s="73">
        <v>0</v>
      </c>
      <c r="AD33" s="73">
        <v>0</v>
      </c>
      <c r="AE33" s="73">
        <v>0</v>
      </c>
      <c r="AF33" s="73">
        <v>-2722</v>
      </c>
      <c r="AG33" s="70"/>
    </row>
    <row r="34" spans="1:33" s="59" customFormat="1">
      <c r="A34" s="59" t="s">
        <v>773</v>
      </c>
      <c r="B34" s="71" t="s">
        <v>550</v>
      </c>
      <c r="C34" s="71" t="s">
        <v>463</v>
      </c>
      <c r="D34" s="74" t="s">
        <v>387</v>
      </c>
      <c r="E34" s="73">
        <v>0</v>
      </c>
      <c r="F34" s="73">
        <v>0</v>
      </c>
      <c r="G34" s="73">
        <v>-2924</v>
      </c>
      <c r="H34" s="73">
        <v>0</v>
      </c>
      <c r="I34" s="73">
        <v>-2007</v>
      </c>
      <c r="J34" s="73">
        <v>-79</v>
      </c>
      <c r="K34" s="73">
        <v>-40852</v>
      </c>
      <c r="L34" s="73">
        <v>0</v>
      </c>
      <c r="M34" s="73">
        <v>-3164</v>
      </c>
      <c r="N34" s="73">
        <v>0</v>
      </c>
      <c r="O34" s="73">
        <v>-565</v>
      </c>
      <c r="P34" s="73">
        <v>-2085</v>
      </c>
      <c r="Q34" s="73">
        <v>0</v>
      </c>
      <c r="R34" s="73">
        <v>-7169</v>
      </c>
      <c r="S34" s="73">
        <v>-797</v>
      </c>
      <c r="T34" s="73">
        <v>0</v>
      </c>
      <c r="U34" s="73">
        <v>-22329</v>
      </c>
      <c r="V34" s="73">
        <v>0</v>
      </c>
      <c r="W34" s="73">
        <v>-3131</v>
      </c>
      <c r="X34" s="73">
        <v>-8887</v>
      </c>
      <c r="Y34" s="73">
        <v>0</v>
      </c>
      <c r="Z34" s="73">
        <v>0</v>
      </c>
      <c r="AA34" s="73">
        <v>0</v>
      </c>
      <c r="AB34" s="73">
        <v>0</v>
      </c>
      <c r="AC34" s="73">
        <v>0</v>
      </c>
      <c r="AD34" s="73">
        <v>0</v>
      </c>
      <c r="AE34" s="73">
        <v>0</v>
      </c>
      <c r="AF34" s="73">
        <v>0</v>
      </c>
      <c r="AG34" s="70"/>
    </row>
    <row r="35" spans="1:33" s="59" customFormat="1">
      <c r="A35" s="59" t="s">
        <v>773</v>
      </c>
      <c r="B35" s="71" t="s">
        <v>552</v>
      </c>
      <c r="C35" s="71" t="s">
        <v>465</v>
      </c>
      <c r="D35" s="74" t="s">
        <v>387</v>
      </c>
      <c r="E35" s="73">
        <v>-1555</v>
      </c>
      <c r="F35" s="73">
        <v>0</v>
      </c>
      <c r="G35" s="73">
        <v>-1459</v>
      </c>
      <c r="H35" s="73">
        <v>-29810</v>
      </c>
      <c r="I35" s="73">
        <v>0</v>
      </c>
      <c r="J35" s="73">
        <v>-677</v>
      </c>
      <c r="K35" s="73">
        <v>0</v>
      </c>
      <c r="L35" s="73">
        <v>0</v>
      </c>
      <c r="M35" s="73">
        <v>0</v>
      </c>
      <c r="N35" s="73">
        <v>0</v>
      </c>
      <c r="O35" s="73">
        <v>-2539</v>
      </c>
      <c r="P35" s="73">
        <v>-3925</v>
      </c>
      <c r="Q35" s="73">
        <v>0</v>
      </c>
      <c r="R35" s="73">
        <v>0</v>
      </c>
      <c r="S35" s="73">
        <v>0</v>
      </c>
      <c r="T35" s="73">
        <v>0</v>
      </c>
      <c r="U35" s="73">
        <v>0</v>
      </c>
      <c r="V35" s="73">
        <v>0</v>
      </c>
      <c r="W35" s="73">
        <v>0</v>
      </c>
      <c r="X35" s="73">
        <v>-15802</v>
      </c>
      <c r="Y35" s="73">
        <v>0</v>
      </c>
      <c r="Z35" s="73">
        <v>0</v>
      </c>
      <c r="AA35" s="73">
        <v>0</v>
      </c>
      <c r="AB35" s="73">
        <v>0</v>
      </c>
      <c r="AC35" s="73">
        <v>0</v>
      </c>
      <c r="AD35" s="73">
        <v>0</v>
      </c>
      <c r="AE35" s="73">
        <v>0</v>
      </c>
      <c r="AF35" s="73">
        <v>-17132</v>
      </c>
      <c r="AG35" s="70"/>
    </row>
    <row r="36" spans="1:33" s="59" customFormat="1">
      <c r="A36" s="59" t="s">
        <v>773</v>
      </c>
      <c r="B36" s="71" t="s">
        <v>554</v>
      </c>
      <c r="C36" s="71" t="s">
        <v>775</v>
      </c>
      <c r="D36" s="74" t="s">
        <v>387</v>
      </c>
      <c r="E36" s="73">
        <v>-222</v>
      </c>
      <c r="F36" s="73">
        <v>0</v>
      </c>
      <c r="G36" s="73">
        <v>-111</v>
      </c>
      <c r="H36" s="73">
        <v>0</v>
      </c>
      <c r="I36" s="73">
        <v>0</v>
      </c>
      <c r="J36" s="73">
        <v>-336</v>
      </c>
      <c r="K36" s="73">
        <v>0</v>
      </c>
      <c r="L36" s="73">
        <v>0</v>
      </c>
      <c r="M36" s="73">
        <v>0</v>
      </c>
      <c r="N36" s="73">
        <v>0</v>
      </c>
      <c r="O36" s="73">
        <v>-859</v>
      </c>
      <c r="P36" s="73">
        <v>-8578</v>
      </c>
      <c r="Q36" s="73">
        <v>0</v>
      </c>
      <c r="R36" s="73">
        <v>0</v>
      </c>
      <c r="S36" s="73">
        <v>-504</v>
      </c>
      <c r="T36" s="73">
        <v>-868</v>
      </c>
      <c r="U36" s="73">
        <v>-2523</v>
      </c>
      <c r="V36" s="73">
        <v>-1683</v>
      </c>
      <c r="W36" s="73">
        <v>0</v>
      </c>
      <c r="X36" s="73">
        <v>-7103</v>
      </c>
      <c r="Y36" s="73">
        <v>0</v>
      </c>
      <c r="Z36" s="73">
        <v>0</v>
      </c>
      <c r="AA36" s="73">
        <v>0</v>
      </c>
      <c r="AB36" s="73">
        <v>0</v>
      </c>
      <c r="AC36" s="73">
        <v>0</v>
      </c>
      <c r="AD36" s="73">
        <v>-1113</v>
      </c>
      <c r="AE36" s="73">
        <v>0</v>
      </c>
      <c r="AF36" s="73">
        <v>0</v>
      </c>
      <c r="AG36" s="70"/>
    </row>
    <row r="37" spans="1:33" s="59" customFormat="1">
      <c r="A37" s="59" t="s">
        <v>773</v>
      </c>
      <c r="B37" s="71" t="s">
        <v>556</v>
      </c>
      <c r="C37" s="71" t="s">
        <v>776</v>
      </c>
      <c r="D37" s="74" t="s">
        <v>387</v>
      </c>
      <c r="E37" s="525">
        <v>0</v>
      </c>
      <c r="F37" s="525">
        <v>-5509</v>
      </c>
      <c r="G37" s="525">
        <v>-12851</v>
      </c>
      <c r="H37" s="525">
        <v>-81613</v>
      </c>
      <c r="I37" s="525">
        <v>-4715</v>
      </c>
      <c r="J37" s="525">
        <v>0</v>
      </c>
      <c r="K37" s="525">
        <v>0</v>
      </c>
      <c r="L37" s="525">
        <v>0</v>
      </c>
      <c r="M37" s="525">
        <v>-71944</v>
      </c>
      <c r="N37" s="525">
        <v>0</v>
      </c>
      <c r="O37" s="525">
        <v>-1337</v>
      </c>
      <c r="P37" s="525">
        <v>-661768</v>
      </c>
      <c r="Q37" s="525">
        <v>-6864</v>
      </c>
      <c r="R37" s="525">
        <v>0</v>
      </c>
      <c r="S37" s="525">
        <v>-22257</v>
      </c>
      <c r="T37" s="525">
        <v>-22386</v>
      </c>
      <c r="U37" s="525">
        <v>-55242</v>
      </c>
      <c r="V37" s="525">
        <v>0</v>
      </c>
      <c r="W37" s="525">
        <v>0</v>
      </c>
      <c r="X37" s="525">
        <v>0</v>
      </c>
      <c r="Y37" s="525">
        <v>0</v>
      </c>
      <c r="Z37" s="525">
        <v>-13343</v>
      </c>
      <c r="AA37" s="525">
        <v>0</v>
      </c>
      <c r="AB37" s="525">
        <v>0</v>
      </c>
      <c r="AC37" s="525">
        <v>-44387</v>
      </c>
      <c r="AD37" s="525">
        <v>0</v>
      </c>
      <c r="AE37" s="525">
        <v>-65020</v>
      </c>
      <c r="AF37" s="525">
        <v>0</v>
      </c>
      <c r="AG37" s="70"/>
    </row>
    <row r="38" spans="1:33" s="59" customFormat="1">
      <c r="A38" s="59" t="s">
        <v>773</v>
      </c>
      <c r="B38" s="71" t="s">
        <v>783</v>
      </c>
      <c r="C38" s="71" t="s">
        <v>420</v>
      </c>
      <c r="D38" s="74" t="s">
        <v>387</v>
      </c>
      <c r="E38" s="525">
        <v>0</v>
      </c>
      <c r="F38" s="525">
        <v>0</v>
      </c>
      <c r="G38" s="525">
        <v>0</v>
      </c>
      <c r="H38" s="525">
        <v>0</v>
      </c>
      <c r="I38" s="525">
        <v>0</v>
      </c>
      <c r="J38" s="525">
        <v>0</v>
      </c>
      <c r="K38" s="525">
        <v>0</v>
      </c>
      <c r="L38" s="525">
        <v>0</v>
      </c>
      <c r="M38" s="525">
        <v>0</v>
      </c>
      <c r="N38" s="525">
        <v>0</v>
      </c>
      <c r="O38" s="525">
        <v>0</v>
      </c>
      <c r="P38" s="525">
        <v>0</v>
      </c>
      <c r="Q38" s="525">
        <v>0</v>
      </c>
      <c r="R38" s="525">
        <v>0</v>
      </c>
      <c r="S38" s="525">
        <v>-490</v>
      </c>
      <c r="T38" s="525">
        <v>0</v>
      </c>
      <c r="U38" s="525">
        <v>0</v>
      </c>
      <c r="V38" s="525">
        <v>0</v>
      </c>
      <c r="W38" s="525">
        <v>0</v>
      </c>
      <c r="X38" s="525">
        <v>0</v>
      </c>
      <c r="Y38" s="525">
        <v>0</v>
      </c>
      <c r="Z38" s="525">
        <v>0</v>
      </c>
      <c r="AA38" s="525">
        <v>0</v>
      </c>
      <c r="AB38" s="525">
        <v>0</v>
      </c>
      <c r="AC38" s="525">
        <v>-12387</v>
      </c>
      <c r="AD38" s="525">
        <v>0</v>
      </c>
      <c r="AE38" s="525">
        <v>0</v>
      </c>
      <c r="AF38" s="525">
        <v>0</v>
      </c>
      <c r="AG38" s="70"/>
    </row>
    <row r="39" spans="1:33" s="59" customFormat="1">
      <c r="A39" s="59" t="s">
        <v>773</v>
      </c>
      <c r="B39" s="71" t="s">
        <v>558</v>
      </c>
      <c r="C39" s="71" t="s">
        <v>777</v>
      </c>
      <c r="D39" s="74" t="s">
        <v>387</v>
      </c>
      <c r="E39" s="73">
        <v>0</v>
      </c>
      <c r="F39" s="73">
        <v>0</v>
      </c>
      <c r="G39" s="73">
        <v>0</v>
      </c>
      <c r="H39" s="73">
        <v>0</v>
      </c>
      <c r="I39" s="73">
        <v>-18</v>
      </c>
      <c r="J39" s="73">
        <v>-918</v>
      </c>
      <c r="K39" s="73">
        <v>0</v>
      </c>
      <c r="L39" s="73">
        <v>0</v>
      </c>
      <c r="M39" s="73">
        <v>-1019</v>
      </c>
      <c r="N39" s="73">
        <v>0</v>
      </c>
      <c r="O39" s="73">
        <v>-2382</v>
      </c>
      <c r="P39" s="73">
        <v>-159733</v>
      </c>
      <c r="Q39" s="73">
        <v>0</v>
      </c>
      <c r="R39" s="73">
        <v>-7625</v>
      </c>
      <c r="S39" s="73">
        <v>-172</v>
      </c>
      <c r="T39" s="73">
        <v>0</v>
      </c>
      <c r="U39" s="73">
        <v>-25941</v>
      </c>
      <c r="V39" s="73">
        <v>0</v>
      </c>
      <c r="W39" s="73">
        <v>0</v>
      </c>
      <c r="X39" s="73">
        <v>-7713</v>
      </c>
      <c r="Y39" s="73">
        <v>0</v>
      </c>
      <c r="Z39" s="73">
        <v>0</v>
      </c>
      <c r="AA39" s="73">
        <v>0</v>
      </c>
      <c r="AB39" s="73">
        <v>0</v>
      </c>
      <c r="AC39" s="73">
        <v>0</v>
      </c>
      <c r="AD39" s="73">
        <v>-77</v>
      </c>
      <c r="AE39" s="73">
        <v>0</v>
      </c>
      <c r="AF39" s="73">
        <v>-1540</v>
      </c>
      <c r="AG39" s="70"/>
    </row>
    <row r="40" spans="1:33" s="59" customFormat="1">
      <c r="A40" s="59" t="s">
        <v>773</v>
      </c>
      <c r="B40" s="76" t="s">
        <v>560</v>
      </c>
      <c r="C40" s="76" t="s">
        <v>623</v>
      </c>
      <c r="D40" s="77" t="s">
        <v>387</v>
      </c>
      <c r="E40" s="73">
        <v>0</v>
      </c>
      <c r="F40" s="73">
        <v>0</v>
      </c>
      <c r="G40" s="73">
        <v>0</v>
      </c>
      <c r="H40" s="73">
        <v>0</v>
      </c>
      <c r="I40" s="73">
        <v>0</v>
      </c>
      <c r="J40" s="73">
        <v>0</v>
      </c>
      <c r="K40" s="73">
        <v>0</v>
      </c>
      <c r="L40" s="73">
        <v>0</v>
      </c>
      <c r="M40" s="73">
        <v>0</v>
      </c>
      <c r="N40" s="73">
        <v>0</v>
      </c>
      <c r="O40" s="73">
        <v>0</v>
      </c>
      <c r="P40" s="73">
        <v>0</v>
      </c>
      <c r="Q40" s="73">
        <v>0</v>
      </c>
      <c r="R40" s="73">
        <v>0</v>
      </c>
      <c r="S40" s="73">
        <v>0</v>
      </c>
      <c r="T40" s="73">
        <v>-79</v>
      </c>
      <c r="U40" s="73">
        <v>0</v>
      </c>
      <c r="V40" s="73">
        <v>0</v>
      </c>
      <c r="W40" s="73">
        <v>0</v>
      </c>
      <c r="X40" s="73">
        <v>0</v>
      </c>
      <c r="Y40" s="73">
        <v>0</v>
      </c>
      <c r="Z40" s="73">
        <v>0</v>
      </c>
      <c r="AA40" s="73">
        <v>0</v>
      </c>
      <c r="AB40" s="73">
        <v>0</v>
      </c>
      <c r="AC40" s="73">
        <v>0</v>
      </c>
      <c r="AD40" s="73">
        <v>-1777</v>
      </c>
      <c r="AE40" s="73">
        <v>0</v>
      </c>
      <c r="AF40" s="73">
        <v>0</v>
      </c>
      <c r="AG40" s="70"/>
    </row>
    <row r="41" spans="1:33" s="59" customFormat="1">
      <c r="A41" s="78"/>
      <c r="B41" s="79"/>
      <c r="C41" s="78"/>
      <c r="D41" s="78"/>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0"/>
    </row>
    <row r="42" spans="1:33" s="59" customFormat="1">
      <c r="A42" s="59" t="s">
        <v>778</v>
      </c>
      <c r="B42" s="71" t="s">
        <v>515</v>
      </c>
      <c r="C42" s="71" t="s">
        <v>757</v>
      </c>
      <c r="D42" s="72" t="s">
        <v>387</v>
      </c>
      <c r="E42" s="73">
        <v>0</v>
      </c>
      <c r="F42" s="73">
        <v>0</v>
      </c>
      <c r="G42" s="73">
        <v>0</v>
      </c>
      <c r="H42" s="73">
        <v>0</v>
      </c>
      <c r="I42" s="73">
        <v>0</v>
      </c>
      <c r="J42" s="73">
        <v>0</v>
      </c>
      <c r="K42" s="73">
        <v>0</v>
      </c>
      <c r="L42" s="73">
        <v>0</v>
      </c>
      <c r="M42" s="73">
        <v>0</v>
      </c>
      <c r="N42" s="73">
        <v>0</v>
      </c>
      <c r="O42" s="73">
        <v>0</v>
      </c>
      <c r="P42" s="73">
        <v>0</v>
      </c>
      <c r="Q42" s="73">
        <v>0</v>
      </c>
      <c r="R42" s="73">
        <v>81</v>
      </c>
      <c r="S42" s="73">
        <v>0</v>
      </c>
      <c r="T42" s="73">
        <v>0</v>
      </c>
      <c r="U42" s="73">
        <v>3627</v>
      </c>
      <c r="V42" s="73">
        <v>0</v>
      </c>
      <c r="W42" s="73">
        <v>0</v>
      </c>
      <c r="X42" s="73">
        <v>0</v>
      </c>
      <c r="Y42" s="73">
        <v>0</v>
      </c>
      <c r="Z42" s="73">
        <v>0</v>
      </c>
      <c r="AA42" s="73">
        <v>0</v>
      </c>
      <c r="AB42" s="73">
        <v>0</v>
      </c>
      <c r="AC42" s="73">
        <v>0</v>
      </c>
      <c r="AD42" s="73">
        <v>0</v>
      </c>
      <c r="AE42" s="73">
        <v>0</v>
      </c>
      <c r="AF42" s="73">
        <v>5170</v>
      </c>
      <c r="AG42" s="70"/>
    </row>
    <row r="43" spans="1:33" s="59" customFormat="1">
      <c r="A43" s="59" t="s">
        <v>778</v>
      </c>
      <c r="B43" s="71" t="s">
        <v>517</v>
      </c>
      <c r="C43" s="71" t="s">
        <v>758</v>
      </c>
      <c r="D43" s="74" t="s">
        <v>387</v>
      </c>
      <c r="E43" s="73">
        <v>0</v>
      </c>
      <c r="F43" s="73">
        <v>0</v>
      </c>
      <c r="G43" s="73">
        <v>0</v>
      </c>
      <c r="H43" s="73">
        <v>0</v>
      </c>
      <c r="I43" s="73">
        <v>0</v>
      </c>
      <c r="J43" s="73">
        <v>0</v>
      </c>
      <c r="K43" s="73">
        <v>0</v>
      </c>
      <c r="L43" s="73">
        <v>0</v>
      </c>
      <c r="M43" s="73">
        <v>9096</v>
      </c>
      <c r="N43" s="73">
        <v>0</v>
      </c>
      <c r="O43" s="73">
        <v>0</v>
      </c>
      <c r="P43" s="73">
        <v>0</v>
      </c>
      <c r="Q43" s="73">
        <v>0</v>
      </c>
      <c r="R43" s="73">
        <v>0</v>
      </c>
      <c r="S43" s="73">
        <v>0</v>
      </c>
      <c r="T43" s="73">
        <v>0</v>
      </c>
      <c r="U43" s="73">
        <v>0</v>
      </c>
      <c r="V43" s="73">
        <v>0</v>
      </c>
      <c r="W43" s="73">
        <v>0</v>
      </c>
      <c r="X43" s="73">
        <v>0</v>
      </c>
      <c r="Y43" s="73">
        <v>0</v>
      </c>
      <c r="Z43" s="73">
        <v>0</v>
      </c>
      <c r="AA43" s="73">
        <v>0</v>
      </c>
      <c r="AB43" s="73">
        <v>0</v>
      </c>
      <c r="AC43" s="73">
        <v>0</v>
      </c>
      <c r="AD43" s="73">
        <v>0</v>
      </c>
      <c r="AE43" s="73">
        <v>0</v>
      </c>
      <c r="AF43" s="73">
        <v>4296</v>
      </c>
      <c r="AG43" s="70"/>
    </row>
    <row r="44" spans="1:33" s="59" customFormat="1">
      <c r="A44" s="59" t="s">
        <v>778</v>
      </c>
      <c r="B44" s="71" t="s">
        <v>525</v>
      </c>
      <c r="C44" s="71" t="s">
        <v>760</v>
      </c>
      <c r="D44" s="74" t="s">
        <v>387</v>
      </c>
      <c r="E44" s="73">
        <v>0</v>
      </c>
      <c r="F44" s="73">
        <v>0</v>
      </c>
      <c r="G44" s="73">
        <v>0</v>
      </c>
      <c r="H44" s="73">
        <v>0</v>
      </c>
      <c r="I44" s="73">
        <v>0</v>
      </c>
      <c r="J44" s="73">
        <v>58</v>
      </c>
      <c r="K44" s="73">
        <v>0</v>
      </c>
      <c r="L44" s="73">
        <v>1378</v>
      </c>
      <c r="M44" s="73">
        <v>0</v>
      </c>
      <c r="N44" s="73">
        <v>0</v>
      </c>
      <c r="O44" s="73">
        <v>1788</v>
      </c>
      <c r="P44" s="73">
        <v>0</v>
      </c>
      <c r="Q44" s="73">
        <v>0</v>
      </c>
      <c r="R44" s="73">
        <v>0</v>
      </c>
      <c r="S44" s="73">
        <v>0</v>
      </c>
      <c r="T44" s="73">
        <v>0</v>
      </c>
      <c r="U44" s="73">
        <v>504</v>
      </c>
      <c r="V44" s="73">
        <v>0</v>
      </c>
      <c r="W44" s="73">
        <v>0</v>
      </c>
      <c r="X44" s="73">
        <v>23</v>
      </c>
      <c r="Y44" s="73">
        <v>0</v>
      </c>
      <c r="Z44" s="73">
        <v>0</v>
      </c>
      <c r="AA44" s="73">
        <v>0</v>
      </c>
      <c r="AB44" s="73">
        <v>0</v>
      </c>
      <c r="AC44" s="73">
        <v>0</v>
      </c>
      <c r="AD44" s="73">
        <v>0</v>
      </c>
      <c r="AE44" s="73">
        <v>0</v>
      </c>
      <c r="AF44" s="73">
        <v>0</v>
      </c>
      <c r="AG44" s="70"/>
    </row>
    <row r="45" spans="1:33" s="59" customFormat="1">
      <c r="A45" s="59" t="s">
        <v>778</v>
      </c>
      <c r="B45" s="71" t="s">
        <v>527</v>
      </c>
      <c r="C45" s="71" t="s">
        <v>413</v>
      </c>
      <c r="D45" s="74" t="s">
        <v>387</v>
      </c>
      <c r="E45" s="73">
        <v>0</v>
      </c>
      <c r="F45" s="73">
        <v>0</v>
      </c>
      <c r="G45" s="73">
        <v>0</v>
      </c>
      <c r="H45" s="73">
        <v>25094</v>
      </c>
      <c r="I45" s="73">
        <v>0</v>
      </c>
      <c r="J45" s="73">
        <v>0</v>
      </c>
      <c r="K45" s="73">
        <v>0</v>
      </c>
      <c r="L45" s="73">
        <v>0</v>
      </c>
      <c r="M45" s="73">
        <v>0</v>
      </c>
      <c r="N45" s="73">
        <v>0</v>
      </c>
      <c r="O45" s="73">
        <v>4946</v>
      </c>
      <c r="P45" s="73">
        <v>0</v>
      </c>
      <c r="Q45" s="73">
        <v>0</v>
      </c>
      <c r="R45" s="73">
        <v>0</v>
      </c>
      <c r="S45" s="73">
        <v>0</v>
      </c>
      <c r="T45" s="73">
        <v>15626</v>
      </c>
      <c r="U45" s="73">
        <v>32088</v>
      </c>
      <c r="V45" s="73">
        <v>0</v>
      </c>
      <c r="W45" s="73">
        <v>377277</v>
      </c>
      <c r="X45" s="73">
        <v>0</v>
      </c>
      <c r="Y45" s="73">
        <v>0</v>
      </c>
      <c r="Z45" s="73">
        <v>6801</v>
      </c>
      <c r="AA45" s="73">
        <v>66</v>
      </c>
      <c r="AB45" s="73">
        <v>15373</v>
      </c>
      <c r="AC45" s="73">
        <v>0</v>
      </c>
      <c r="AD45" s="73">
        <v>0</v>
      </c>
      <c r="AE45" s="73">
        <v>0</v>
      </c>
      <c r="AF45" s="73">
        <v>0</v>
      </c>
      <c r="AG45" s="70"/>
    </row>
    <row r="46" spans="1:33" s="59" customFormat="1">
      <c r="A46" s="59" t="s">
        <v>778</v>
      </c>
      <c r="B46" s="71" t="s">
        <v>529</v>
      </c>
      <c r="C46" s="71" t="s">
        <v>414</v>
      </c>
      <c r="D46" s="74" t="s">
        <v>387</v>
      </c>
      <c r="E46" s="73">
        <v>0</v>
      </c>
      <c r="F46" s="73">
        <v>0</v>
      </c>
      <c r="G46" s="73">
        <v>0</v>
      </c>
      <c r="H46" s="73">
        <v>0</v>
      </c>
      <c r="I46" s="73">
        <v>0</v>
      </c>
      <c r="J46" s="73">
        <v>0</v>
      </c>
      <c r="K46" s="73">
        <v>0</v>
      </c>
      <c r="L46" s="73">
        <v>0</v>
      </c>
      <c r="M46" s="73">
        <v>0</v>
      </c>
      <c r="N46" s="73">
        <v>0</v>
      </c>
      <c r="O46" s="73">
        <v>0</v>
      </c>
      <c r="P46" s="73">
        <v>0</v>
      </c>
      <c r="Q46" s="73">
        <v>0</v>
      </c>
      <c r="R46" s="73">
        <v>0</v>
      </c>
      <c r="S46" s="73">
        <v>0</v>
      </c>
      <c r="T46" s="73">
        <v>0</v>
      </c>
      <c r="U46" s="73">
        <v>30553</v>
      </c>
      <c r="V46" s="73">
        <v>0</v>
      </c>
      <c r="W46" s="73">
        <v>0</v>
      </c>
      <c r="X46" s="73">
        <v>0</v>
      </c>
      <c r="Y46" s="73">
        <v>0</v>
      </c>
      <c r="Z46" s="73">
        <v>0</v>
      </c>
      <c r="AA46" s="73">
        <v>0</v>
      </c>
      <c r="AB46" s="73">
        <v>462</v>
      </c>
      <c r="AC46" s="73">
        <v>0</v>
      </c>
      <c r="AD46" s="73">
        <v>0</v>
      </c>
      <c r="AE46" s="73">
        <v>0</v>
      </c>
      <c r="AF46" s="73">
        <v>0</v>
      </c>
      <c r="AG46" s="70"/>
    </row>
    <row r="47" spans="1:33" s="59" customFormat="1">
      <c r="A47" s="59" t="s">
        <v>778</v>
      </c>
      <c r="B47" s="71" t="s">
        <v>533</v>
      </c>
      <c r="C47" s="71" t="s">
        <v>774</v>
      </c>
      <c r="D47" s="74" t="s">
        <v>387</v>
      </c>
      <c r="E47" s="73">
        <v>0</v>
      </c>
      <c r="F47" s="73">
        <v>85</v>
      </c>
      <c r="G47" s="73">
        <v>0</v>
      </c>
      <c r="H47" s="73">
        <v>0</v>
      </c>
      <c r="I47" s="73">
        <v>0</v>
      </c>
      <c r="J47" s="73">
        <v>944</v>
      </c>
      <c r="K47" s="73">
        <v>1410</v>
      </c>
      <c r="L47" s="73">
        <v>0</v>
      </c>
      <c r="M47" s="73">
        <v>0</v>
      </c>
      <c r="N47" s="73">
        <v>0</v>
      </c>
      <c r="O47" s="73">
        <v>938</v>
      </c>
      <c r="P47" s="73">
        <v>0</v>
      </c>
      <c r="Q47" s="73">
        <v>0</v>
      </c>
      <c r="R47" s="73">
        <v>4687</v>
      </c>
      <c r="S47" s="73">
        <v>0</v>
      </c>
      <c r="T47" s="73">
        <v>0</v>
      </c>
      <c r="U47" s="73">
        <v>0</v>
      </c>
      <c r="V47" s="73">
        <v>0</v>
      </c>
      <c r="W47" s="73">
        <v>0</v>
      </c>
      <c r="X47" s="73">
        <v>955</v>
      </c>
      <c r="Y47" s="73">
        <v>0</v>
      </c>
      <c r="Z47" s="73">
        <v>0</v>
      </c>
      <c r="AA47" s="73">
        <v>0</v>
      </c>
      <c r="AB47" s="73">
        <v>0</v>
      </c>
      <c r="AC47" s="73">
        <v>0</v>
      </c>
      <c r="AD47" s="73">
        <v>0</v>
      </c>
      <c r="AE47" s="73">
        <v>0</v>
      </c>
      <c r="AF47" s="73">
        <v>0</v>
      </c>
      <c r="AG47" s="70"/>
    </row>
    <row r="48" spans="1:33" s="59" customFormat="1">
      <c r="A48" s="59" t="s">
        <v>778</v>
      </c>
      <c r="B48" s="71" t="s">
        <v>535</v>
      </c>
      <c r="C48" s="71" t="s">
        <v>457</v>
      </c>
      <c r="D48" s="74" t="s">
        <v>387</v>
      </c>
      <c r="E48" s="73">
        <v>0</v>
      </c>
      <c r="F48" s="73">
        <v>12956</v>
      </c>
      <c r="G48" s="73">
        <v>0</v>
      </c>
      <c r="H48" s="73">
        <v>0</v>
      </c>
      <c r="I48" s="73">
        <v>0</v>
      </c>
      <c r="J48" s="73">
        <v>0</v>
      </c>
      <c r="K48" s="73">
        <v>0</v>
      </c>
      <c r="L48" s="73">
        <v>0</v>
      </c>
      <c r="M48" s="73">
        <v>0</v>
      </c>
      <c r="N48" s="73">
        <v>1970</v>
      </c>
      <c r="O48" s="73">
        <v>0</v>
      </c>
      <c r="P48" s="73">
        <v>0</v>
      </c>
      <c r="Q48" s="73">
        <v>0</v>
      </c>
      <c r="R48" s="73">
        <v>0</v>
      </c>
      <c r="S48" s="73">
        <v>0</v>
      </c>
      <c r="T48" s="73">
        <v>0</v>
      </c>
      <c r="U48" s="73">
        <v>0</v>
      </c>
      <c r="V48" s="73">
        <v>0</v>
      </c>
      <c r="W48" s="73">
        <v>0</v>
      </c>
      <c r="X48" s="73">
        <v>0</v>
      </c>
      <c r="Y48" s="73">
        <v>39559</v>
      </c>
      <c r="Z48" s="73">
        <v>0</v>
      </c>
      <c r="AA48" s="73">
        <v>13649</v>
      </c>
      <c r="AB48" s="73">
        <v>17923</v>
      </c>
      <c r="AC48" s="73">
        <v>0</v>
      </c>
      <c r="AD48" s="73">
        <v>0</v>
      </c>
      <c r="AE48" s="73">
        <v>2517</v>
      </c>
      <c r="AF48" s="73">
        <v>0</v>
      </c>
      <c r="AG48" s="70"/>
    </row>
    <row r="49" spans="1:33" s="59" customFormat="1">
      <c r="A49" s="59" t="s">
        <v>778</v>
      </c>
      <c r="B49" s="71" t="s">
        <v>541</v>
      </c>
      <c r="C49" s="71" t="s">
        <v>418</v>
      </c>
      <c r="D49" s="74" t="s">
        <v>387</v>
      </c>
      <c r="E49" s="73">
        <v>0</v>
      </c>
      <c r="F49" s="73">
        <v>0</v>
      </c>
      <c r="G49" s="73">
        <v>0</v>
      </c>
      <c r="H49" s="73">
        <v>0</v>
      </c>
      <c r="I49" s="73">
        <v>602</v>
      </c>
      <c r="J49" s="73">
        <v>33157</v>
      </c>
      <c r="K49" s="73">
        <v>0</v>
      </c>
      <c r="L49" s="73">
        <v>0</v>
      </c>
      <c r="M49" s="73">
        <v>0</v>
      </c>
      <c r="N49" s="73">
        <v>52604</v>
      </c>
      <c r="O49" s="73">
        <v>0</v>
      </c>
      <c r="P49" s="73">
        <v>0</v>
      </c>
      <c r="Q49" s="73">
        <v>0</v>
      </c>
      <c r="R49" s="73">
        <v>0</v>
      </c>
      <c r="S49" s="73">
        <v>0</v>
      </c>
      <c r="T49" s="73">
        <v>0</v>
      </c>
      <c r="U49" s="73">
        <v>0</v>
      </c>
      <c r="V49" s="73">
        <v>0</v>
      </c>
      <c r="W49" s="73">
        <v>0</v>
      </c>
      <c r="X49" s="73">
        <v>0</v>
      </c>
      <c r="Y49" s="73">
        <v>1310</v>
      </c>
      <c r="Z49" s="73">
        <v>2475</v>
      </c>
      <c r="AA49" s="73">
        <v>0</v>
      </c>
      <c r="AB49" s="73">
        <v>9090</v>
      </c>
      <c r="AC49" s="73">
        <v>0</v>
      </c>
      <c r="AD49" s="73">
        <v>0</v>
      </c>
      <c r="AE49" s="73">
        <v>19308</v>
      </c>
      <c r="AF49" s="73">
        <v>0</v>
      </c>
      <c r="AG49" s="70"/>
    </row>
    <row r="50" spans="1:33" s="59" customFormat="1">
      <c r="A50" s="59" t="s">
        <v>778</v>
      </c>
      <c r="B50" s="71" t="s">
        <v>543</v>
      </c>
      <c r="C50" s="71" t="s">
        <v>459</v>
      </c>
      <c r="D50" s="74" t="s">
        <v>387</v>
      </c>
      <c r="E50" s="73">
        <v>0</v>
      </c>
      <c r="F50" s="73">
        <v>3099</v>
      </c>
      <c r="G50" s="73">
        <v>0</v>
      </c>
      <c r="H50" s="73">
        <v>0</v>
      </c>
      <c r="I50" s="73">
        <v>0</v>
      </c>
      <c r="J50" s="73">
        <v>0</v>
      </c>
      <c r="K50" s="73">
        <v>0</v>
      </c>
      <c r="L50" s="73">
        <v>0</v>
      </c>
      <c r="M50" s="73">
        <v>0</v>
      </c>
      <c r="N50" s="73">
        <v>638</v>
      </c>
      <c r="O50" s="73">
        <v>0</v>
      </c>
      <c r="P50" s="73">
        <v>0</v>
      </c>
      <c r="Q50" s="73">
        <v>181</v>
      </c>
      <c r="R50" s="73">
        <v>0</v>
      </c>
      <c r="S50" s="73">
        <v>0</v>
      </c>
      <c r="T50" s="73">
        <v>0</v>
      </c>
      <c r="U50" s="73">
        <v>0</v>
      </c>
      <c r="V50" s="73">
        <v>0</v>
      </c>
      <c r="W50" s="73">
        <v>0</v>
      </c>
      <c r="X50" s="73">
        <v>0</v>
      </c>
      <c r="Y50" s="73">
        <v>0</v>
      </c>
      <c r="Z50" s="73">
        <v>0</v>
      </c>
      <c r="AA50" s="73">
        <v>65968</v>
      </c>
      <c r="AB50" s="73">
        <v>29737</v>
      </c>
      <c r="AC50" s="73">
        <v>20566</v>
      </c>
      <c r="AD50" s="73">
        <v>0</v>
      </c>
      <c r="AE50" s="73">
        <v>4334</v>
      </c>
      <c r="AF50" s="73">
        <v>0</v>
      </c>
      <c r="AG50" s="70"/>
    </row>
    <row r="51" spans="1:33" s="59" customFormat="1">
      <c r="A51" s="59" t="s">
        <v>778</v>
      </c>
      <c r="B51" s="71" t="s">
        <v>548</v>
      </c>
      <c r="C51" s="71" t="s">
        <v>461</v>
      </c>
      <c r="D51" s="74" t="s">
        <v>387</v>
      </c>
      <c r="E51" s="73">
        <v>0</v>
      </c>
      <c r="F51" s="73">
        <v>0</v>
      </c>
      <c r="G51" s="73">
        <v>0</v>
      </c>
      <c r="H51" s="73">
        <v>0</v>
      </c>
      <c r="I51" s="73">
        <v>0</v>
      </c>
      <c r="J51" s="73">
        <v>0</v>
      </c>
      <c r="K51" s="73">
        <v>0</v>
      </c>
      <c r="L51" s="73">
        <v>2709</v>
      </c>
      <c r="M51" s="73">
        <v>0</v>
      </c>
      <c r="N51" s="73">
        <v>829</v>
      </c>
      <c r="O51" s="73">
        <v>0</v>
      </c>
      <c r="P51" s="73">
        <v>0</v>
      </c>
      <c r="Q51" s="73">
        <v>119</v>
      </c>
      <c r="R51" s="73">
        <v>0</v>
      </c>
      <c r="S51" s="73">
        <v>0</v>
      </c>
      <c r="T51" s="73">
        <v>0</v>
      </c>
      <c r="U51" s="73">
        <v>0</v>
      </c>
      <c r="V51" s="73">
        <v>0</v>
      </c>
      <c r="W51" s="73">
        <v>0</v>
      </c>
      <c r="X51" s="73">
        <v>0</v>
      </c>
      <c r="Y51" s="73">
        <v>3077</v>
      </c>
      <c r="Z51" s="73">
        <v>2256</v>
      </c>
      <c r="AA51" s="73">
        <v>27967</v>
      </c>
      <c r="AB51" s="73">
        <v>2611</v>
      </c>
      <c r="AC51" s="73">
        <v>19449</v>
      </c>
      <c r="AD51" s="73">
        <v>0</v>
      </c>
      <c r="AE51" s="73">
        <v>7580</v>
      </c>
      <c r="AF51" s="73">
        <v>0</v>
      </c>
      <c r="AG51" s="70"/>
    </row>
    <row r="52" spans="1:33" s="59" customFormat="1">
      <c r="A52" s="59" t="s">
        <v>778</v>
      </c>
      <c r="B52" s="71" t="s">
        <v>550</v>
      </c>
      <c r="C52" s="71" t="s">
        <v>463</v>
      </c>
      <c r="D52" s="74" t="s">
        <v>387</v>
      </c>
      <c r="E52" s="73">
        <v>0</v>
      </c>
      <c r="F52" s="73">
        <v>437</v>
      </c>
      <c r="G52" s="73">
        <v>0</v>
      </c>
      <c r="H52" s="73">
        <v>0</v>
      </c>
      <c r="I52" s="73">
        <v>0</v>
      </c>
      <c r="J52" s="73">
        <v>0</v>
      </c>
      <c r="K52" s="73">
        <v>0</v>
      </c>
      <c r="L52" s="73">
        <v>209</v>
      </c>
      <c r="M52" s="73">
        <v>0</v>
      </c>
      <c r="N52" s="73">
        <v>1245</v>
      </c>
      <c r="O52" s="73">
        <v>0</v>
      </c>
      <c r="P52" s="73">
        <v>0</v>
      </c>
      <c r="Q52" s="73">
        <v>0</v>
      </c>
      <c r="R52" s="73">
        <v>0</v>
      </c>
      <c r="S52" s="73">
        <v>0</v>
      </c>
      <c r="T52" s="73">
        <v>0</v>
      </c>
      <c r="U52" s="73">
        <v>0</v>
      </c>
      <c r="V52" s="73">
        <v>0</v>
      </c>
      <c r="W52" s="73">
        <v>0</v>
      </c>
      <c r="X52" s="73">
        <v>0</v>
      </c>
      <c r="Y52" s="73">
        <v>3150</v>
      </c>
      <c r="Z52" s="73">
        <v>0</v>
      </c>
      <c r="AA52" s="73">
        <v>4593</v>
      </c>
      <c r="AB52" s="73">
        <v>13880</v>
      </c>
      <c r="AC52" s="73">
        <v>0</v>
      </c>
      <c r="AD52" s="73">
        <v>0</v>
      </c>
      <c r="AE52" s="73">
        <v>0</v>
      </c>
      <c r="AF52" s="73">
        <v>0</v>
      </c>
      <c r="AG52" s="70"/>
    </row>
    <row r="53" spans="1:33" s="59" customFormat="1">
      <c r="A53" s="59" t="s">
        <v>778</v>
      </c>
      <c r="B53" s="71" t="s">
        <v>552</v>
      </c>
      <c r="C53" s="71" t="s">
        <v>465</v>
      </c>
      <c r="D53" s="74" t="s">
        <v>387</v>
      </c>
      <c r="E53" s="73">
        <v>0</v>
      </c>
      <c r="F53" s="73">
        <v>1798</v>
      </c>
      <c r="G53" s="73">
        <v>0</v>
      </c>
      <c r="H53" s="73">
        <v>0</v>
      </c>
      <c r="I53" s="73">
        <v>0</v>
      </c>
      <c r="J53" s="73">
        <v>0</v>
      </c>
      <c r="K53" s="73">
        <v>0</v>
      </c>
      <c r="L53" s="73">
        <v>4</v>
      </c>
      <c r="M53" s="73">
        <v>0</v>
      </c>
      <c r="N53" s="73">
        <v>1077</v>
      </c>
      <c r="O53" s="73">
        <v>0</v>
      </c>
      <c r="P53" s="73">
        <v>0</v>
      </c>
      <c r="Q53" s="73">
        <v>136</v>
      </c>
      <c r="R53" s="73">
        <v>0</v>
      </c>
      <c r="S53" s="73">
        <v>0</v>
      </c>
      <c r="T53" s="73">
        <v>0</v>
      </c>
      <c r="U53" s="73">
        <v>0</v>
      </c>
      <c r="V53" s="73">
        <v>0</v>
      </c>
      <c r="W53" s="73">
        <v>0</v>
      </c>
      <c r="X53" s="73">
        <v>0</v>
      </c>
      <c r="Y53" s="73">
        <v>6797</v>
      </c>
      <c r="Z53" s="73">
        <v>2548</v>
      </c>
      <c r="AA53" s="73">
        <v>0</v>
      </c>
      <c r="AB53" s="73">
        <v>0</v>
      </c>
      <c r="AC53" s="73">
        <v>17062</v>
      </c>
      <c r="AD53" s="73">
        <v>0</v>
      </c>
      <c r="AE53" s="73">
        <v>0</v>
      </c>
      <c r="AF53" s="73">
        <v>0</v>
      </c>
      <c r="AG53" s="70"/>
    </row>
    <row r="54" spans="1:33" s="59" customFormat="1">
      <c r="A54" s="59" t="s">
        <v>778</v>
      </c>
      <c r="B54" s="71" t="s">
        <v>554</v>
      </c>
      <c r="C54" s="71" t="s">
        <v>775</v>
      </c>
      <c r="D54" s="74" t="s">
        <v>387</v>
      </c>
      <c r="E54" s="73">
        <v>0</v>
      </c>
      <c r="F54" s="73">
        <v>2597</v>
      </c>
      <c r="G54" s="73">
        <v>0</v>
      </c>
      <c r="H54" s="73">
        <v>0</v>
      </c>
      <c r="I54" s="73">
        <v>0</v>
      </c>
      <c r="J54" s="73">
        <v>0</v>
      </c>
      <c r="K54" s="73">
        <v>0</v>
      </c>
      <c r="L54" s="73">
        <v>0</v>
      </c>
      <c r="M54" s="73">
        <v>0</v>
      </c>
      <c r="N54" s="73">
        <v>555</v>
      </c>
      <c r="O54" s="73">
        <v>0</v>
      </c>
      <c r="P54" s="73">
        <v>0</v>
      </c>
      <c r="Q54" s="73">
        <v>0</v>
      </c>
      <c r="R54" s="73">
        <v>0</v>
      </c>
      <c r="S54" s="73">
        <v>0</v>
      </c>
      <c r="T54" s="73">
        <v>0</v>
      </c>
      <c r="U54" s="73">
        <v>0</v>
      </c>
      <c r="V54" s="73">
        <v>0</v>
      </c>
      <c r="W54" s="73">
        <v>0</v>
      </c>
      <c r="X54" s="73">
        <v>0</v>
      </c>
      <c r="Y54" s="73">
        <v>171</v>
      </c>
      <c r="Z54" s="73">
        <v>0</v>
      </c>
      <c r="AA54" s="73">
        <v>2099</v>
      </c>
      <c r="AB54" s="73">
        <v>0</v>
      </c>
      <c r="AC54" s="73">
        <v>0</v>
      </c>
      <c r="AD54" s="73">
        <v>0</v>
      </c>
      <c r="AE54" s="73">
        <v>10558</v>
      </c>
      <c r="AF54" s="73">
        <v>0</v>
      </c>
      <c r="AG54" s="70"/>
    </row>
    <row r="55" spans="1:33" s="59" customFormat="1">
      <c r="A55" s="59" t="s">
        <v>778</v>
      </c>
      <c r="B55" s="71" t="s">
        <v>556</v>
      </c>
      <c r="C55" s="71" t="s">
        <v>776</v>
      </c>
      <c r="D55" s="74" t="s">
        <v>387</v>
      </c>
      <c r="E55" s="526">
        <v>0</v>
      </c>
      <c r="F55" s="526">
        <v>0</v>
      </c>
      <c r="G55" s="526">
        <v>0</v>
      </c>
      <c r="H55" s="526">
        <v>0</v>
      </c>
      <c r="I55" s="526">
        <v>0</v>
      </c>
      <c r="J55" s="526">
        <v>17276</v>
      </c>
      <c r="K55" s="526">
        <v>131751</v>
      </c>
      <c r="L55" s="526">
        <v>0</v>
      </c>
      <c r="M55" s="526">
        <v>0</v>
      </c>
      <c r="N55" s="526">
        <v>39790</v>
      </c>
      <c r="O55" s="526">
        <v>0</v>
      </c>
      <c r="P55" s="526">
        <v>0</v>
      </c>
      <c r="Q55" s="526">
        <v>0</v>
      </c>
      <c r="R55" s="526">
        <v>17789</v>
      </c>
      <c r="S55" s="526">
        <v>0</v>
      </c>
      <c r="T55" s="526">
        <v>0</v>
      </c>
      <c r="U55" s="526">
        <v>0</v>
      </c>
      <c r="V55" s="526">
        <v>74134</v>
      </c>
      <c r="W55" s="526">
        <v>0</v>
      </c>
      <c r="X55" s="526">
        <v>63496</v>
      </c>
      <c r="Y55" s="526">
        <v>54378</v>
      </c>
      <c r="Z55" s="526">
        <v>0</v>
      </c>
      <c r="AA55" s="526">
        <v>305351</v>
      </c>
      <c r="AB55" s="526">
        <v>86322</v>
      </c>
      <c r="AC55" s="526">
        <v>0</v>
      </c>
      <c r="AD55" s="526">
        <v>66179</v>
      </c>
      <c r="AE55" s="526">
        <v>0</v>
      </c>
      <c r="AF55" s="526">
        <v>188214</v>
      </c>
      <c r="AG55" s="70"/>
    </row>
    <row r="56" spans="1:33" s="59" customFormat="1">
      <c r="A56" s="59" t="s">
        <v>778</v>
      </c>
      <c r="B56" s="71" t="s">
        <v>783</v>
      </c>
      <c r="C56" s="71" t="s">
        <v>420</v>
      </c>
      <c r="D56" s="74" t="s">
        <v>387</v>
      </c>
      <c r="E56" s="526">
        <v>0</v>
      </c>
      <c r="F56" s="526">
        <v>0</v>
      </c>
      <c r="G56" s="526">
        <v>0</v>
      </c>
      <c r="H56" s="526">
        <v>0</v>
      </c>
      <c r="I56" s="526">
        <v>0</v>
      </c>
      <c r="J56" s="526">
        <v>0</v>
      </c>
      <c r="K56" s="526">
        <v>0</v>
      </c>
      <c r="L56" s="526">
        <v>0</v>
      </c>
      <c r="M56" s="526">
        <v>0</v>
      </c>
      <c r="N56" s="526">
        <v>29079</v>
      </c>
      <c r="O56" s="526">
        <v>0</v>
      </c>
      <c r="P56" s="526">
        <v>0</v>
      </c>
      <c r="Q56" s="526">
        <v>0</v>
      </c>
      <c r="R56" s="526">
        <v>980</v>
      </c>
      <c r="S56" s="526">
        <v>0</v>
      </c>
      <c r="T56" s="526">
        <v>0</v>
      </c>
      <c r="U56" s="526">
        <v>0</v>
      </c>
      <c r="V56" s="526">
        <v>0</v>
      </c>
      <c r="W56" s="526">
        <v>0</v>
      </c>
      <c r="X56" s="526">
        <v>0</v>
      </c>
      <c r="Y56" s="526">
        <v>0</v>
      </c>
      <c r="Z56" s="526">
        <v>0</v>
      </c>
      <c r="AA56" s="526">
        <v>2064</v>
      </c>
      <c r="AB56" s="526">
        <v>0</v>
      </c>
      <c r="AC56" s="526">
        <v>0</v>
      </c>
      <c r="AD56" s="526">
        <v>0</v>
      </c>
      <c r="AE56" s="526">
        <v>0</v>
      </c>
      <c r="AF56" s="526">
        <v>4413</v>
      </c>
      <c r="AG56" s="70"/>
    </row>
    <row r="57" spans="1:33" s="59" customFormat="1">
      <c r="A57" s="59" t="s">
        <v>778</v>
      </c>
      <c r="B57" s="76" t="s">
        <v>558</v>
      </c>
      <c r="C57" s="71" t="s">
        <v>777</v>
      </c>
      <c r="D57" s="77" t="s">
        <v>387</v>
      </c>
      <c r="E57" s="73">
        <v>0</v>
      </c>
      <c r="F57" s="73">
        <v>2301</v>
      </c>
      <c r="G57" s="73">
        <v>0</v>
      </c>
      <c r="H57" s="73">
        <v>0</v>
      </c>
      <c r="I57" s="73">
        <v>0</v>
      </c>
      <c r="J57" s="73">
        <v>0</v>
      </c>
      <c r="K57" s="73">
        <v>0</v>
      </c>
      <c r="L57" s="73">
        <v>0</v>
      </c>
      <c r="M57" s="73">
        <v>0</v>
      </c>
      <c r="N57" s="73">
        <v>7669</v>
      </c>
      <c r="O57" s="73">
        <v>0</v>
      </c>
      <c r="P57" s="73">
        <v>0</v>
      </c>
      <c r="Q57" s="73">
        <v>268</v>
      </c>
      <c r="R57" s="73">
        <v>0</v>
      </c>
      <c r="S57" s="73">
        <v>0</v>
      </c>
      <c r="T57" s="73">
        <v>0</v>
      </c>
      <c r="U57" s="73">
        <v>0</v>
      </c>
      <c r="V57" s="73">
        <v>0</v>
      </c>
      <c r="W57" s="73">
        <v>0</v>
      </c>
      <c r="X57" s="73">
        <v>0</v>
      </c>
      <c r="Y57" s="73">
        <v>44</v>
      </c>
      <c r="Z57" s="73">
        <v>4119</v>
      </c>
      <c r="AA57" s="73">
        <v>12658</v>
      </c>
      <c r="AB57" s="73">
        <v>1039</v>
      </c>
      <c r="AC57" s="73">
        <v>0</v>
      </c>
      <c r="AD57" s="73">
        <v>0</v>
      </c>
      <c r="AE57" s="73">
        <v>0</v>
      </c>
      <c r="AF57" s="73">
        <v>0</v>
      </c>
      <c r="AG57" s="70"/>
    </row>
    <row r="58" spans="1:33" s="59" customFormat="1">
      <c r="A58" s="78"/>
      <c r="B58" s="79"/>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0"/>
    </row>
    <row r="59" spans="1:33" s="59" customFormat="1">
      <c r="A59" s="59" t="s">
        <v>779</v>
      </c>
      <c r="B59" s="71" t="s">
        <v>537</v>
      </c>
      <c r="C59" s="71" t="s">
        <v>780</v>
      </c>
      <c r="D59" s="74" t="s">
        <v>387</v>
      </c>
      <c r="E59" s="73">
        <v>-44958</v>
      </c>
      <c r="F59" s="73">
        <v>-211859</v>
      </c>
      <c r="G59" s="73">
        <v>-45850</v>
      </c>
      <c r="H59" s="73">
        <v>-114373</v>
      </c>
      <c r="I59" s="73">
        <v>-50332</v>
      </c>
      <c r="J59" s="73">
        <v>-85040</v>
      </c>
      <c r="K59" s="73">
        <v>-143518</v>
      </c>
      <c r="L59" s="73">
        <v>-107336</v>
      </c>
      <c r="M59" s="73">
        <v>-380329</v>
      </c>
      <c r="N59" s="73">
        <v>-120773</v>
      </c>
      <c r="O59" s="73">
        <v>-12853</v>
      </c>
      <c r="P59" s="73">
        <v>-1214579</v>
      </c>
      <c r="Q59" s="73">
        <v>-103891</v>
      </c>
      <c r="R59" s="73">
        <v>-138223</v>
      </c>
      <c r="S59" s="73">
        <v>-114626</v>
      </c>
      <c r="T59" s="73">
        <v>-322859</v>
      </c>
      <c r="U59" s="73">
        <v>-206878</v>
      </c>
      <c r="V59" s="73">
        <v>-182094</v>
      </c>
      <c r="W59" s="73">
        <v>-959497</v>
      </c>
      <c r="X59" s="73">
        <v>-158744</v>
      </c>
      <c r="Y59" s="73">
        <v>-316477</v>
      </c>
      <c r="Z59" s="73">
        <v>-154835</v>
      </c>
      <c r="AA59" s="73">
        <v>-552404</v>
      </c>
      <c r="AB59" s="73">
        <v>-144064</v>
      </c>
      <c r="AC59" s="73">
        <v>-17876</v>
      </c>
      <c r="AD59" s="73">
        <v>-356678</v>
      </c>
      <c r="AE59" s="73">
        <v>-68402</v>
      </c>
      <c r="AF59" s="73">
        <v>-878803</v>
      </c>
      <c r="AG59" s="70"/>
    </row>
    <row r="60" spans="1:33" s="59" customFormat="1">
      <c r="A60" s="59" t="s">
        <v>779</v>
      </c>
      <c r="B60" s="71" t="s">
        <v>545</v>
      </c>
      <c r="C60" s="71" t="s">
        <v>621</v>
      </c>
      <c r="D60" s="74" t="s">
        <v>387</v>
      </c>
      <c r="E60" s="73">
        <v>0</v>
      </c>
      <c r="F60" s="73">
        <v>0</v>
      </c>
      <c r="G60" s="73">
        <v>0</v>
      </c>
      <c r="H60" s="73">
        <v>0</v>
      </c>
      <c r="I60" s="73">
        <v>0</v>
      </c>
      <c r="J60" s="73">
        <v>-43867</v>
      </c>
      <c r="K60" s="73">
        <v>0</v>
      </c>
      <c r="L60" s="73">
        <v>0</v>
      </c>
      <c r="M60" s="73">
        <v>0</v>
      </c>
      <c r="N60" s="73">
        <v>0</v>
      </c>
      <c r="O60" s="73">
        <v>0</v>
      </c>
      <c r="P60" s="73">
        <v>-52976</v>
      </c>
      <c r="Q60" s="73">
        <v>-36153</v>
      </c>
      <c r="R60" s="73">
        <v>-8189</v>
      </c>
      <c r="S60" s="73">
        <v>-71275</v>
      </c>
      <c r="T60" s="73">
        <v>-15647</v>
      </c>
      <c r="U60" s="73">
        <v>-82524</v>
      </c>
      <c r="V60" s="73">
        <v>0</v>
      </c>
      <c r="W60" s="73">
        <v>0</v>
      </c>
      <c r="X60" s="73">
        <v>0</v>
      </c>
      <c r="Y60" s="73">
        <v>-3</v>
      </c>
      <c r="Z60" s="73">
        <v>-2963</v>
      </c>
      <c r="AA60" s="73">
        <v>0</v>
      </c>
      <c r="AB60" s="73">
        <v>0</v>
      </c>
      <c r="AC60" s="73">
        <v>0</v>
      </c>
      <c r="AD60" s="73">
        <v>-271809</v>
      </c>
      <c r="AE60" s="73">
        <v>-2338</v>
      </c>
      <c r="AF60" s="73">
        <v>-55477</v>
      </c>
      <c r="AG60" s="70"/>
    </row>
    <row r="61" spans="1:33" s="59" customFormat="1">
      <c r="A61" s="80" t="s">
        <v>779</v>
      </c>
      <c r="B61" s="76" t="s">
        <v>541</v>
      </c>
      <c r="C61" s="76" t="s">
        <v>418</v>
      </c>
      <c r="D61" s="77" t="s">
        <v>387</v>
      </c>
      <c r="E61" s="81">
        <v>0</v>
      </c>
      <c r="F61" s="82">
        <v>-24970</v>
      </c>
      <c r="G61" s="82">
        <v>0</v>
      </c>
      <c r="H61" s="82">
        <v>0</v>
      </c>
      <c r="I61" s="82">
        <v>-3253</v>
      </c>
      <c r="J61" s="82">
        <v>-77198</v>
      </c>
      <c r="K61" s="82">
        <v>-39020</v>
      </c>
      <c r="L61" s="82">
        <v>-87044</v>
      </c>
      <c r="M61" s="82">
        <v>-15830</v>
      </c>
      <c r="N61" s="82">
        <v>-327579</v>
      </c>
      <c r="O61" s="82">
        <v>-3154</v>
      </c>
      <c r="P61" s="82">
        <v>-76559</v>
      </c>
      <c r="Q61" s="82">
        <v>-32400</v>
      </c>
      <c r="R61" s="82">
        <v>-11309</v>
      </c>
      <c r="S61" s="82">
        <v>-16104</v>
      </c>
      <c r="T61" s="82">
        <v>-37767</v>
      </c>
      <c r="U61" s="82">
        <v>-4271</v>
      </c>
      <c r="V61" s="82">
        <v>-217220</v>
      </c>
      <c r="W61" s="82">
        <v>0</v>
      </c>
      <c r="X61" s="82">
        <v>0</v>
      </c>
      <c r="Y61" s="82">
        <v>-106602</v>
      </c>
      <c r="Z61" s="82">
        <v>-116</v>
      </c>
      <c r="AA61" s="82">
        <v>-7677</v>
      </c>
      <c r="AB61" s="82">
        <v>0</v>
      </c>
      <c r="AC61" s="82">
        <v>0</v>
      </c>
      <c r="AD61" s="82">
        <v>-249334</v>
      </c>
      <c r="AE61" s="82">
        <v>0</v>
      </c>
      <c r="AF61" s="83">
        <v>0</v>
      </c>
      <c r="AG61" s="70"/>
    </row>
    <row r="64" spans="1:33" s="274" customFormat="1">
      <c r="A64" s="274" t="s">
        <v>781</v>
      </c>
    </row>
    <row r="66" spans="1:33" s="59" customFormat="1">
      <c r="A66" s="291" t="s">
        <v>756</v>
      </c>
      <c r="B66" s="88" t="s">
        <v>556</v>
      </c>
      <c r="C66" s="88" t="s">
        <v>422</v>
      </c>
      <c r="D66" s="72" t="s">
        <v>782</v>
      </c>
      <c r="E66" s="293">
        <f>SUMIFS('UN(2023)EnergyStat_OilProd'!$M$4:$M$31,'UN(2023)EnergyStat_OilProd'!$J$4:$J$31,E$4)</f>
        <v>1</v>
      </c>
      <c r="F66" s="293">
        <f>SUMIFS('UN(2023)EnergyStat_OilProd'!$M$4:$M$31,'UN(2023)EnergyStat_OilProd'!$J$4:$J$31,F$4)</f>
        <v>0.8526799434624549</v>
      </c>
      <c r="G66" s="293">
        <f>SUMIFS('UN(2023)EnergyStat_OilProd'!$M$4:$M$31,'UN(2023)EnergyStat_OilProd'!$J$4:$J$31,G$4)</f>
        <v>0.98347853011254238</v>
      </c>
      <c r="H66" s="293">
        <f>SUMIFS('UN(2023)EnergyStat_OilProd'!$M$4:$M$31,'UN(2023)EnergyStat_OilProd'!$J$4:$J$31,H$4)</f>
        <v>0.95688971472452578</v>
      </c>
      <c r="I66" s="293">
        <f>SUMIFS('UN(2023)EnergyStat_OilProd'!$M$4:$M$31,'UN(2023)EnergyStat_OilProd'!$J$4:$J$31,I$4)</f>
        <v>0.86623052290103431</v>
      </c>
      <c r="J66" s="293">
        <f>SUMIFS('UN(2023)EnergyStat_OilProd'!$M$4:$M$31,'UN(2023)EnergyStat_OilProd'!$J$4:$J$31,J$4)</f>
        <v>0.86411460304974452</v>
      </c>
      <c r="K66" s="293">
        <f>SUMIFS('UN(2023)EnergyStat_OilProd'!$M$4:$M$31,'UN(2023)EnergyStat_OilProd'!$J$4:$J$31,K$4)</f>
        <v>0.8163012383602144</v>
      </c>
      <c r="L66" s="293">
        <f>SUMIFS('UN(2023)EnergyStat_OilProd'!$M$4:$M$31,'UN(2023)EnergyStat_OilProd'!$J$4:$J$31,L$4)</f>
        <v>0.85015047508338648</v>
      </c>
      <c r="M66" s="293">
        <f>SUMIFS('UN(2023)EnergyStat_OilProd'!$M$4:$M$31,'UN(2023)EnergyStat_OilProd'!$J$4:$J$31,M$4)</f>
        <v>0.95973275330803953</v>
      </c>
      <c r="N66" s="293">
        <f>SUMIFS('UN(2023)EnergyStat_OilProd'!$M$4:$M$31,'UN(2023)EnergyStat_OilProd'!$J$4:$J$31,N$4)</f>
        <v>0.92742447682411566</v>
      </c>
      <c r="O66" s="293">
        <f>SUMIFS('UN(2023)EnergyStat_OilProd'!$M$4:$M$31,'UN(2023)EnergyStat_OilProd'!$J$4:$J$31,O$4)</f>
        <v>0.32786748033854096</v>
      </c>
      <c r="P66" s="293">
        <f>SUMIFS('UN(2023)EnergyStat_OilProd'!$M$4:$M$31,'UN(2023)EnergyStat_OilProd'!$J$4:$J$31,P$4)</f>
        <v>1</v>
      </c>
      <c r="Q66" s="293">
        <f>SUMIFS('UN(2023)EnergyStat_OilProd'!$M$4:$M$31,'UN(2023)EnergyStat_OilProd'!$J$4:$J$31,Q$4)</f>
        <v>0.85375583241125996</v>
      </c>
      <c r="R66" s="293">
        <f>SUMIFS('UN(2023)EnergyStat_OilProd'!$M$4:$M$31,'UN(2023)EnergyStat_OilProd'!$J$4:$J$31,R$4)</f>
        <v>0.90482424220626656</v>
      </c>
      <c r="S66" s="293">
        <f>SUMIFS('UN(2023)EnergyStat_OilProd'!$M$4:$M$31,'UN(2023)EnergyStat_OilProd'!$J$4:$J$31,S$4)</f>
        <v>0.94230079134564926</v>
      </c>
      <c r="T66" s="293">
        <f>SUMIFS('UN(2023)EnergyStat_OilProd'!$M$4:$M$31,'UN(2023)EnergyStat_OilProd'!$J$4:$J$31,T$4)</f>
        <v>1</v>
      </c>
      <c r="U66" s="293">
        <f>SUMIFS('UN(2023)EnergyStat_OilProd'!$M$4:$M$31,'UN(2023)EnergyStat_OilProd'!$J$4:$J$31,U$4)</f>
        <v>0.98467997297603582</v>
      </c>
      <c r="V66" s="293">
        <f>SUMIFS('UN(2023)EnergyStat_OilProd'!$M$4:$M$31,'UN(2023)EnergyStat_OilProd'!$J$4:$J$31,V$4)</f>
        <v>0.96116122227347711</v>
      </c>
      <c r="W66" s="293">
        <f>SUMIFS('UN(2023)EnergyStat_OilProd'!$M$4:$M$31,'UN(2023)EnergyStat_OilProd'!$J$4:$J$31,W$4)</f>
        <v>0.86601656121821702</v>
      </c>
      <c r="X66" s="293">
        <f>SUMIFS('UN(2023)EnergyStat_OilProd'!$M$4:$M$31,'UN(2023)EnergyStat_OilProd'!$J$4:$J$31,X$4)</f>
        <v>0.49512341097321882</v>
      </c>
      <c r="Y66" s="293">
        <f>SUMIFS('UN(2023)EnergyStat_OilProd'!$M$4:$M$31,'UN(2023)EnergyStat_OilProd'!$J$4:$J$31,Y$4)</f>
        <v>0.9229177073954854</v>
      </c>
      <c r="Z66" s="293">
        <f>SUMIFS('UN(2023)EnergyStat_OilProd'!$M$4:$M$31,'UN(2023)EnergyStat_OilProd'!$J$4:$J$31,Z$4)</f>
        <v>0.98102689102519092</v>
      </c>
      <c r="AA66" s="293">
        <f>SUMIFS('UN(2023)EnergyStat_OilProd'!$M$4:$M$31,'UN(2023)EnergyStat_OilProd'!$J$4:$J$31,AA$4)</f>
        <v>0.87078917321118321</v>
      </c>
      <c r="AB66" s="293">
        <f>SUMIFS('UN(2023)EnergyStat_OilProd'!$M$4:$M$31,'UN(2023)EnergyStat_OilProd'!$J$4:$J$31,AB$4)</f>
        <v>0.93735937860565299</v>
      </c>
      <c r="AC66" s="293">
        <f>SUMIFS('UN(2023)EnergyStat_OilProd'!$M$4:$M$31,'UN(2023)EnergyStat_OilProd'!$J$4:$J$31,AC$4)</f>
        <v>0.94871073473892631</v>
      </c>
      <c r="AD66" s="293">
        <f>SUMIFS('UN(2023)EnergyStat_OilProd'!$M$4:$M$31,'UN(2023)EnergyStat_OilProd'!$J$4:$J$31,AD$4)</f>
        <v>0.93789995323354258</v>
      </c>
      <c r="AE66" s="293">
        <f>SUMIFS('UN(2023)EnergyStat_OilProd'!$M$4:$M$31,'UN(2023)EnergyStat_OilProd'!$J$4:$J$31,AE$4)</f>
        <v>1</v>
      </c>
      <c r="AF66" s="293">
        <f>SUMIFS('UN(2023)EnergyStat_OilProd'!$M$4:$M$31,'UN(2023)EnergyStat_OilProd'!$J$4:$J$31,AF$4)</f>
        <v>0.80684774464247289</v>
      </c>
      <c r="AG66" s="70"/>
    </row>
    <row r="67" spans="1:33" s="59" customFormat="1">
      <c r="A67" s="271" t="s">
        <v>756</v>
      </c>
      <c r="B67" s="76" t="s">
        <v>783</v>
      </c>
      <c r="C67" s="76" t="s">
        <v>420</v>
      </c>
      <c r="D67" s="77" t="s">
        <v>782</v>
      </c>
      <c r="E67" s="294">
        <f>SUMIFS('UN(2023)EnergyStat_OilProd'!$N$4:$N$31,'UN(2023)EnergyStat_OilProd'!$J$4:$J$31,E$4)</f>
        <v>0</v>
      </c>
      <c r="F67" s="294">
        <f>SUMIFS('UN(2023)EnergyStat_OilProd'!$N$4:$N$31,'UN(2023)EnergyStat_OilProd'!$J$4:$J$31,F$4)</f>
        <v>0.14732005653754518</v>
      </c>
      <c r="G67" s="294">
        <f>SUMIFS('UN(2023)EnergyStat_OilProd'!$N$4:$N$31,'UN(2023)EnergyStat_OilProd'!$J$4:$J$31,G$4)</f>
        <v>1.6521469887457677E-2</v>
      </c>
      <c r="H67" s="294">
        <f>SUMIFS('UN(2023)EnergyStat_OilProd'!$N$4:$N$31,'UN(2023)EnergyStat_OilProd'!$J$4:$J$31,H$4)</f>
        <v>4.3110285275474169E-2</v>
      </c>
      <c r="I67" s="294">
        <f>SUMIFS('UN(2023)EnergyStat_OilProd'!$N$4:$N$31,'UN(2023)EnergyStat_OilProd'!$J$4:$J$31,I$4)</f>
        <v>0.13376947709896561</v>
      </c>
      <c r="J67" s="294">
        <f>SUMIFS('UN(2023)EnergyStat_OilProd'!$N$4:$N$31,'UN(2023)EnergyStat_OilProd'!$J$4:$J$31,J$4)</f>
        <v>0.13588539695025553</v>
      </c>
      <c r="K67" s="294">
        <f>SUMIFS('UN(2023)EnergyStat_OilProd'!$N$4:$N$31,'UN(2023)EnergyStat_OilProd'!$J$4:$J$31,K$4)</f>
        <v>0.18369876163978568</v>
      </c>
      <c r="L67" s="294">
        <f>SUMIFS('UN(2023)EnergyStat_OilProd'!$N$4:$N$31,'UN(2023)EnergyStat_OilProd'!$J$4:$J$31,L$4)</f>
        <v>0.14984952491661355</v>
      </c>
      <c r="M67" s="294">
        <f>SUMIFS('UN(2023)EnergyStat_OilProd'!$N$4:$N$31,'UN(2023)EnergyStat_OilProd'!$J$4:$J$31,M$4)</f>
        <v>4.0267246691960433E-2</v>
      </c>
      <c r="N67" s="294">
        <f>SUMIFS('UN(2023)EnergyStat_OilProd'!$N$4:$N$31,'UN(2023)EnergyStat_OilProd'!$J$4:$J$31,N$4)</f>
        <v>7.2575523175884324E-2</v>
      </c>
      <c r="O67" s="294">
        <f>SUMIFS('UN(2023)EnergyStat_OilProd'!$N$4:$N$31,'UN(2023)EnergyStat_OilProd'!$J$4:$J$31,O$4)</f>
        <v>0.67213251966145904</v>
      </c>
      <c r="P67" s="294">
        <f>SUMIFS('UN(2023)EnergyStat_OilProd'!$N$4:$N$31,'UN(2023)EnergyStat_OilProd'!$J$4:$J$31,P$4)</f>
        <v>0</v>
      </c>
      <c r="Q67" s="294">
        <f>SUMIFS('UN(2023)EnergyStat_OilProd'!$N$4:$N$31,'UN(2023)EnergyStat_OilProd'!$J$4:$J$31,Q$4)</f>
        <v>0.14624416758874001</v>
      </c>
      <c r="R67" s="294">
        <f>SUMIFS('UN(2023)EnergyStat_OilProd'!$N$4:$N$31,'UN(2023)EnergyStat_OilProd'!$J$4:$J$31,R$4)</f>
        <v>9.5175757793733454E-2</v>
      </c>
      <c r="S67" s="294">
        <f>SUMIFS('UN(2023)EnergyStat_OilProd'!$N$4:$N$31,'UN(2023)EnergyStat_OilProd'!$J$4:$J$31,S$4)</f>
        <v>5.7699208654350617E-2</v>
      </c>
      <c r="T67" s="294">
        <f>SUMIFS('UN(2023)EnergyStat_OilProd'!$N$4:$N$31,'UN(2023)EnergyStat_OilProd'!$J$4:$J$31,T$4)</f>
        <v>0</v>
      </c>
      <c r="U67" s="294">
        <f>SUMIFS('UN(2023)EnergyStat_OilProd'!$N$4:$N$31,'UN(2023)EnergyStat_OilProd'!$J$4:$J$31,U$4)</f>
        <v>1.5320027023964101E-2</v>
      </c>
      <c r="V67" s="294">
        <f>SUMIFS('UN(2023)EnergyStat_OilProd'!$N$4:$N$31,'UN(2023)EnergyStat_OilProd'!$J$4:$J$31,V$4)</f>
        <v>3.8838777726522895E-2</v>
      </c>
      <c r="W67" s="294">
        <f>SUMIFS('UN(2023)EnergyStat_OilProd'!$N$4:$N$31,'UN(2023)EnergyStat_OilProd'!$J$4:$J$31,W$4)</f>
        <v>0.1339834387817829</v>
      </c>
      <c r="X67" s="294">
        <f>SUMIFS('UN(2023)EnergyStat_OilProd'!$N$4:$N$31,'UN(2023)EnergyStat_OilProd'!$J$4:$J$31,X$4)</f>
        <v>0.50487658902678123</v>
      </c>
      <c r="Y67" s="294">
        <f>SUMIFS('UN(2023)EnergyStat_OilProd'!$N$4:$N$31,'UN(2023)EnergyStat_OilProd'!$J$4:$J$31,Y$4)</f>
        <v>7.7082292604514616E-2</v>
      </c>
      <c r="Z67" s="294">
        <f>SUMIFS('UN(2023)EnergyStat_OilProd'!$N$4:$N$31,'UN(2023)EnergyStat_OilProd'!$J$4:$J$31,Z$4)</f>
        <v>1.8973108974809028E-2</v>
      </c>
      <c r="AA67" s="294">
        <f>SUMIFS('UN(2023)EnergyStat_OilProd'!$N$4:$N$31,'UN(2023)EnergyStat_OilProd'!$J$4:$J$31,AA$4)</f>
        <v>0.12921082678881682</v>
      </c>
      <c r="AB67" s="294">
        <f>SUMIFS('UN(2023)EnergyStat_OilProd'!$N$4:$N$31,'UN(2023)EnergyStat_OilProd'!$J$4:$J$31,AB$4)</f>
        <v>6.2640621394347007E-2</v>
      </c>
      <c r="AC67" s="294">
        <f>SUMIFS('UN(2023)EnergyStat_OilProd'!$N$4:$N$31,'UN(2023)EnergyStat_OilProd'!$J$4:$J$31,AC$4)</f>
        <v>5.1289265261073622E-2</v>
      </c>
      <c r="AD67" s="294">
        <f>SUMIFS('UN(2023)EnergyStat_OilProd'!$N$4:$N$31,'UN(2023)EnergyStat_OilProd'!$J$4:$J$31,AD$4)</f>
        <v>6.2100046766457348E-2</v>
      </c>
      <c r="AE67" s="294">
        <f>SUMIFS('UN(2023)EnergyStat_OilProd'!$N$4:$N$31,'UN(2023)EnergyStat_OilProd'!$J$4:$J$31,AE$4)</f>
        <v>0</v>
      </c>
      <c r="AF67" s="294">
        <f>SUMIFS('UN(2023)EnergyStat_OilProd'!$N$4:$N$31,'UN(2023)EnergyStat_OilProd'!$J$4:$J$31,AF$4)</f>
        <v>0.19315225535752717</v>
      </c>
      <c r="AG67" s="70"/>
    </row>
    <row r="69" spans="1:33" s="59" customFormat="1">
      <c r="A69" s="291" t="s">
        <v>756</v>
      </c>
      <c r="B69" s="291" t="s">
        <v>556</v>
      </c>
      <c r="C69" s="88" t="s">
        <v>422</v>
      </c>
      <c r="D69" s="72" t="s">
        <v>387</v>
      </c>
      <c r="E69" s="522">
        <v>530379</v>
      </c>
      <c r="F69" s="521">
        <v>5619204</v>
      </c>
      <c r="G69" s="521">
        <v>2520859</v>
      </c>
      <c r="H69" s="521">
        <v>2835957</v>
      </c>
      <c r="I69" s="521">
        <v>586889</v>
      </c>
      <c r="J69" s="521">
        <v>5597824</v>
      </c>
      <c r="K69" s="521">
        <v>1489534</v>
      </c>
      <c r="L69" s="521">
        <v>157001</v>
      </c>
      <c r="M69" s="521">
        <v>6404346</v>
      </c>
      <c r="N69" s="521">
        <v>11514023</v>
      </c>
      <c r="O69" s="521">
        <v>7011</v>
      </c>
      <c r="P69" s="521">
        <v>8848902</v>
      </c>
      <c r="Q69" s="521">
        <v>178392</v>
      </c>
      <c r="R69" s="521">
        <v>5013876</v>
      </c>
      <c r="S69" s="521">
        <v>250096</v>
      </c>
      <c r="T69" s="521">
        <v>248153</v>
      </c>
      <c r="U69" s="521">
        <v>391095</v>
      </c>
      <c r="V69" s="521">
        <v>2175026</v>
      </c>
      <c r="W69" s="521">
        <v>1095320</v>
      </c>
      <c r="X69" s="521">
        <v>4284</v>
      </c>
      <c r="Y69" s="521">
        <v>7032196</v>
      </c>
      <c r="Z69" s="521">
        <v>190030</v>
      </c>
      <c r="AA69" s="521">
        <v>49858911</v>
      </c>
      <c r="AB69" s="521">
        <v>3686338</v>
      </c>
      <c r="AC69" s="521">
        <v>4308280</v>
      </c>
      <c r="AD69" s="521">
        <v>22858881</v>
      </c>
      <c r="AE69" s="521">
        <v>33549</v>
      </c>
      <c r="AF69" s="524">
        <v>22478214</v>
      </c>
    </row>
    <row r="70" spans="1:33" s="59" customFormat="1">
      <c r="A70" s="70" t="s">
        <v>756</v>
      </c>
      <c r="B70" s="70" t="s">
        <v>783</v>
      </c>
      <c r="C70" s="71" t="s">
        <v>420</v>
      </c>
      <c r="D70" s="74" t="s">
        <v>387</v>
      </c>
      <c r="E70" s="523">
        <v>0</v>
      </c>
      <c r="F70" s="519">
        <v>1077841</v>
      </c>
      <c r="G70" s="519">
        <v>74871</v>
      </c>
      <c r="H70" s="519">
        <v>180507</v>
      </c>
      <c r="I70" s="519">
        <v>259477</v>
      </c>
      <c r="J70" s="519">
        <v>468916</v>
      </c>
      <c r="K70" s="519">
        <v>790563</v>
      </c>
      <c r="L70" s="519">
        <v>68253</v>
      </c>
      <c r="M70" s="519">
        <v>273727</v>
      </c>
      <c r="N70" s="519">
        <v>89172</v>
      </c>
      <c r="O70" s="519">
        <v>0</v>
      </c>
      <c r="P70" s="519">
        <v>0</v>
      </c>
      <c r="Q70" s="519">
        <v>43071</v>
      </c>
      <c r="R70" s="519">
        <v>823787</v>
      </c>
      <c r="S70" s="519">
        <v>17163</v>
      </c>
      <c r="T70" s="519">
        <v>68</v>
      </c>
      <c r="U70" s="519">
        <v>41205</v>
      </c>
      <c r="V70" s="519">
        <v>67643</v>
      </c>
      <c r="W70" s="519">
        <v>379981</v>
      </c>
      <c r="X70" s="519">
        <v>4690</v>
      </c>
      <c r="Y70" s="519">
        <v>975352</v>
      </c>
      <c r="Z70" s="519">
        <v>8176</v>
      </c>
      <c r="AA70" s="519">
        <v>8841743</v>
      </c>
      <c r="AB70" s="519">
        <v>467408</v>
      </c>
      <c r="AC70" s="519">
        <v>51739</v>
      </c>
      <c r="AD70" s="519">
        <v>1648588</v>
      </c>
      <c r="AE70" s="519">
        <v>0</v>
      </c>
      <c r="AF70" s="520">
        <v>10591301</v>
      </c>
    </row>
    <row r="71" spans="1:33">
      <c r="A71" s="271" t="s">
        <v>756</v>
      </c>
      <c r="B71" s="271" t="s">
        <v>541</v>
      </c>
      <c r="C71" s="76" t="s">
        <v>418</v>
      </c>
      <c r="D71" s="77" t="s">
        <v>387</v>
      </c>
      <c r="E71" s="289">
        <f>E$12</f>
        <v>37427</v>
      </c>
      <c r="F71" s="289">
        <f t="shared" ref="F71:AF71" si="0">F$12</f>
        <v>6073175</v>
      </c>
      <c r="G71" s="289">
        <f t="shared" si="0"/>
        <v>477722</v>
      </c>
      <c r="H71" s="289">
        <f t="shared" si="0"/>
        <v>446848</v>
      </c>
      <c r="I71" s="289">
        <f t="shared" si="0"/>
        <v>5112203</v>
      </c>
      <c r="J71" s="289">
        <f t="shared" si="0"/>
        <v>6636175</v>
      </c>
      <c r="K71" s="289">
        <f t="shared" si="0"/>
        <v>5338060</v>
      </c>
      <c r="L71" s="289">
        <f t="shared" si="0"/>
        <v>2014395</v>
      </c>
      <c r="M71" s="289">
        <f t="shared" si="0"/>
        <v>866830</v>
      </c>
      <c r="N71" s="289">
        <f t="shared" si="0"/>
        <v>6785746</v>
      </c>
      <c r="O71" s="289">
        <f t="shared" si="0"/>
        <v>53723</v>
      </c>
      <c r="P71" s="289">
        <f t="shared" si="0"/>
        <v>6986554</v>
      </c>
      <c r="Q71" s="289">
        <f t="shared" si="0"/>
        <v>701170</v>
      </c>
      <c r="R71" s="289">
        <f t="shared" si="0"/>
        <v>5696458</v>
      </c>
      <c r="S71" s="289">
        <f t="shared" si="0"/>
        <v>587681</v>
      </c>
      <c r="T71" s="289">
        <f t="shared" si="0"/>
        <v>170316</v>
      </c>
      <c r="U71" s="289">
        <f t="shared" si="0"/>
        <v>1422551</v>
      </c>
      <c r="V71" s="289">
        <f t="shared" si="0"/>
        <v>2647981</v>
      </c>
      <c r="W71" s="289">
        <f t="shared" si="0"/>
        <v>1061698</v>
      </c>
      <c r="X71" s="289">
        <f t="shared" si="0"/>
        <v>87518</v>
      </c>
      <c r="Y71" s="289">
        <f t="shared" si="0"/>
        <v>4670024</v>
      </c>
      <c r="Z71" s="289">
        <f t="shared" si="0"/>
        <v>441844</v>
      </c>
      <c r="AA71" s="289">
        <f t="shared" si="0"/>
        <v>23692214</v>
      </c>
      <c r="AB71" s="289">
        <f t="shared" si="0"/>
        <v>994309</v>
      </c>
      <c r="AC71" s="289">
        <f t="shared" si="0"/>
        <v>1562518</v>
      </c>
      <c r="AD71" s="289">
        <f t="shared" si="0"/>
        <v>26963430</v>
      </c>
      <c r="AE71" s="289">
        <f t="shared" si="0"/>
        <v>8597</v>
      </c>
      <c r="AF71" s="290">
        <f t="shared" si="0"/>
        <v>33385194</v>
      </c>
    </row>
    <row r="72" spans="1:33">
      <c r="E72" s="176"/>
      <c r="F72" s="176"/>
      <c r="G72" s="176"/>
      <c r="H72" s="176"/>
      <c r="I72" s="176"/>
      <c r="J72" s="176"/>
      <c r="K72" s="176"/>
      <c r="L72" s="176"/>
      <c r="M72" s="176"/>
      <c r="N72" s="176"/>
      <c r="O72" s="176"/>
      <c r="P72" s="176"/>
      <c r="Q72" s="176"/>
      <c r="R72" s="176"/>
      <c r="S72" s="176"/>
      <c r="T72" s="176"/>
      <c r="U72" s="176"/>
      <c r="V72" s="176"/>
      <c r="W72" s="176"/>
      <c r="X72" s="176"/>
      <c r="Y72" s="176"/>
      <c r="Z72" s="176"/>
      <c r="AA72" s="176"/>
      <c r="AB72" s="176"/>
      <c r="AC72" s="176"/>
      <c r="AD72" s="176"/>
      <c r="AE72" s="176"/>
      <c r="AF72" s="176"/>
    </row>
    <row r="73" spans="1:33" s="312" customFormat="1">
      <c r="A73" s="312" t="s">
        <v>784</v>
      </c>
    </row>
    <row r="75" spans="1:33" s="59" customFormat="1">
      <c r="A75" s="67" t="s">
        <v>717</v>
      </c>
      <c r="B75" s="68" t="s">
        <v>718</v>
      </c>
      <c r="C75" s="68"/>
      <c r="D75" s="68" t="s">
        <v>375</v>
      </c>
      <c r="E75" s="69" t="s">
        <v>172</v>
      </c>
      <c r="F75" s="69" t="s">
        <v>175</v>
      </c>
      <c r="G75" s="69" t="s">
        <v>178</v>
      </c>
      <c r="H75" s="69" t="s">
        <v>181</v>
      </c>
      <c r="I75" s="69" t="s">
        <v>184</v>
      </c>
      <c r="J75" s="69" t="s">
        <v>187</v>
      </c>
      <c r="K75" s="69" t="s">
        <v>190</v>
      </c>
      <c r="L75" s="69" t="s">
        <v>193</v>
      </c>
      <c r="M75" s="69" t="s">
        <v>196</v>
      </c>
      <c r="N75" s="69" t="s">
        <v>198</v>
      </c>
      <c r="O75" s="69" t="s">
        <v>200</v>
      </c>
      <c r="P75" s="69" t="s">
        <v>202</v>
      </c>
      <c r="Q75" s="69" t="s">
        <v>205</v>
      </c>
      <c r="R75" s="69" t="s">
        <v>208</v>
      </c>
      <c r="S75" s="69" t="s">
        <v>211</v>
      </c>
      <c r="T75" s="69" t="s">
        <v>214</v>
      </c>
      <c r="U75" s="69" t="s">
        <v>217</v>
      </c>
      <c r="V75" s="69" t="s">
        <v>220</v>
      </c>
      <c r="W75" s="69" t="s">
        <v>223</v>
      </c>
      <c r="X75" s="69" t="s">
        <v>225</v>
      </c>
      <c r="Y75" s="69" t="s">
        <v>227</v>
      </c>
      <c r="Z75" s="69" t="s">
        <v>230</v>
      </c>
      <c r="AA75" s="69" t="s">
        <v>233</v>
      </c>
      <c r="AB75" s="69" t="s">
        <v>236</v>
      </c>
      <c r="AC75" s="69" t="s">
        <v>238</v>
      </c>
      <c r="AD75" s="69" t="s">
        <v>240</v>
      </c>
      <c r="AE75" s="69" t="s">
        <v>243</v>
      </c>
      <c r="AF75" s="69" t="s">
        <v>245</v>
      </c>
      <c r="AG75" s="70"/>
    </row>
    <row r="76" spans="1:33" s="59" customFormat="1">
      <c r="A76" s="291" t="s">
        <v>756</v>
      </c>
      <c r="B76" s="88" t="s">
        <v>423</v>
      </c>
      <c r="C76" s="88" t="s">
        <v>424</v>
      </c>
      <c r="D76" s="72" t="s">
        <v>387</v>
      </c>
      <c r="E76" s="293">
        <f>SUMIFS('NEA(2020)_Uranium'!$T:$T,'NEA(2020)_Uranium'!$N:$N,E$75)*Legend!$B$91</f>
        <v>0</v>
      </c>
      <c r="F76" s="293">
        <f>SUMIFS('NEA(2020)_Uranium'!$T:$T,'NEA(2020)_Uranium'!$N:$N,F$75)*Legend!$B$91</f>
        <v>0</v>
      </c>
      <c r="G76" s="293">
        <f>SUMIFS('NEA(2020)_Uranium'!$T:$T,'NEA(2020)_Uranium'!$N:$N,G$75)*Legend!$B$91</f>
        <v>254131.71999999997</v>
      </c>
      <c r="H76" s="293">
        <f>SUMIFS('NEA(2020)_Uranium'!$T:$T,'NEA(2020)_Uranium'!$N:$N,H$75)*Legend!$B$91</f>
        <v>453574.75999999995</v>
      </c>
      <c r="I76" s="293">
        <f>SUMIFS('NEA(2020)_Uranium'!$T:$T,'NEA(2020)_Uranium'!$N:$N,I$75)*Legend!$B$91</f>
        <v>550466.12</v>
      </c>
      <c r="J76" s="293">
        <f>SUMIFS('NEA(2020)_Uranium'!$T:$T,'NEA(2020)_Uranium'!$N:$N,J$75)*Legend!$B$91</f>
        <v>2189877.92</v>
      </c>
      <c r="K76" s="293">
        <f>SUMIFS('NEA(2020)_Uranium'!$T:$T,'NEA(2020)_Uranium'!$N:$N,K$75)*Legend!$B$91</f>
        <v>0</v>
      </c>
      <c r="L76" s="293">
        <f>SUMIFS('NEA(2020)_Uranium'!$T:$T,'NEA(2020)_Uranium'!$N:$N,L$75)*Legend!$B$91</f>
        <v>0</v>
      </c>
      <c r="M76" s="293">
        <f>SUMIFS('NEA(2020)_Uranium'!$T:$T,'NEA(2020)_Uranium'!$N:$N,M$75)*Legend!$B$91</f>
        <v>0</v>
      </c>
      <c r="N76" s="293">
        <f>SUMIFS('NEA(2020)_Uranium'!$T:$T,'NEA(2020)_Uranium'!$N:$N,N$75)*Legend!$B$91</f>
        <v>578018.55999999994</v>
      </c>
      <c r="O76" s="293">
        <f>SUMIFS('NEA(2020)_Uranium'!$T:$T,'NEA(2020)_Uranium'!$N:$N,O$75)*Legend!$B$91</f>
        <v>0</v>
      </c>
      <c r="P76" s="293">
        <f>SUMIFS('NEA(2020)_Uranium'!$T:$T,'NEA(2020)_Uranium'!$N:$N,P$75)*Legend!$B$91</f>
        <v>133184</v>
      </c>
      <c r="Q76" s="293">
        <f>SUMIFS('NEA(2020)_Uranium'!$T:$T,'NEA(2020)_Uranium'!$N:$N,Q$75)*Legend!$B$91</f>
        <v>62429.999999999993</v>
      </c>
      <c r="R76" s="293">
        <f>SUMIFS('NEA(2020)_Uranium'!$T:$T,'NEA(2020)_Uranium'!$N:$N,R$75)*Legend!$B$91</f>
        <v>0</v>
      </c>
      <c r="S76" s="293">
        <f>SUMIFS('NEA(2020)_Uranium'!$T:$T,'NEA(2020)_Uranium'!$N:$N,S$75)*Legend!$B$91</f>
        <v>3246.3599999999997</v>
      </c>
      <c r="T76" s="293">
        <f>SUMIFS('NEA(2020)_Uranium'!$T:$T,'NEA(2020)_Uranium'!$N:$N,T$75)*Legend!$B$91</f>
        <v>0</v>
      </c>
      <c r="U76" s="293">
        <f>SUMIFS('NEA(2020)_Uranium'!$T:$T,'NEA(2020)_Uranium'!$N:$N,U$75)*Legend!$B$91</f>
        <v>0</v>
      </c>
      <c r="V76" s="293">
        <f>SUMIFS('NEA(2020)_Uranium'!$T:$T,'NEA(2020)_Uranium'!$N:$N,V$75)*Legend!$B$91</f>
        <v>0</v>
      </c>
      <c r="W76" s="293">
        <f>SUMIFS('NEA(2020)_Uranium'!$T:$T,'NEA(2020)_Uranium'!$N:$N,W$75)*Legend!$B$91</f>
        <v>33296</v>
      </c>
      <c r="X76" s="293">
        <f>SUMIFS('NEA(2020)_Uranium'!$T:$T,'NEA(2020)_Uranium'!$N:$N,X$75)*Legend!$B$91</f>
        <v>0</v>
      </c>
      <c r="Y76" s="293">
        <f>SUMIFS('NEA(2020)_Uranium'!$T:$T,'NEA(2020)_Uranium'!$N:$N,Y$75)*Legend!$B$91</f>
        <v>0</v>
      </c>
      <c r="Z76" s="293">
        <f>SUMIFS('NEA(2020)_Uranium'!$T:$T,'NEA(2020)_Uranium'!$N:$N,Z$75)*Legend!$B$91</f>
        <v>0</v>
      </c>
      <c r="AA76" s="293">
        <f>SUMIFS('NEA(2020)_Uranium'!$T:$T,'NEA(2020)_Uranium'!$N:$N,AA$75)*Legend!$B$91</f>
        <v>1748.04</v>
      </c>
      <c r="AB76" s="293">
        <f>SUMIFS('NEA(2020)_Uranium'!$T:$T,'NEA(2020)_Uranium'!$N:$N,AB$75)*Legend!$B$91</f>
        <v>0</v>
      </c>
      <c r="AC76" s="293">
        <f>SUMIFS('NEA(2020)_Uranium'!$T:$T,'NEA(2020)_Uranium'!$N:$N,AC$75)*Legend!$B$91</f>
        <v>0</v>
      </c>
      <c r="AD76" s="293">
        <f>SUMIFS('NEA(2020)_Uranium'!$T:$T,'NEA(2020)_Uranium'!$N:$N,AD$75)*Legend!$B$91</f>
        <v>241395.99999999997</v>
      </c>
      <c r="AE76" s="293">
        <f>SUMIFS('NEA(2020)_Uranium'!$T:$T,'NEA(2020)_Uranium'!$N:$N,AE$75)*Legend!$B$91</f>
        <v>0</v>
      </c>
      <c r="AF76" s="293">
        <f>SUMIFS('NEA(2020)_Uranium'!$T:$T,'NEA(2020)_Uranium'!$N:$N,AF$75)*Legend!$B$91</f>
        <v>5577.08</v>
      </c>
      <c r="AG76" s="70"/>
    </row>
    <row r="84" spans="1:32">
      <c r="D84" t="s">
        <v>2674</v>
      </c>
      <c r="E84" s="338">
        <v>20022.486705896739</v>
      </c>
      <c r="F84" s="338">
        <v>0</v>
      </c>
      <c r="G84" s="338">
        <v>2497.3630513931998</v>
      </c>
      <c r="H84" s="338">
        <v>0</v>
      </c>
      <c r="I84" s="338">
        <v>0</v>
      </c>
      <c r="J84" s="338">
        <v>0</v>
      </c>
      <c r="K84" s="338">
        <v>1.4210854715202004E-10</v>
      </c>
      <c r="L84" s="338">
        <v>0</v>
      </c>
      <c r="M84" s="338">
        <v>0</v>
      </c>
      <c r="N84" s="338">
        <v>0</v>
      </c>
      <c r="O84" s="338">
        <v>0</v>
      </c>
      <c r="P84" s="338">
        <v>0</v>
      </c>
      <c r="Q84" s="338">
        <v>0</v>
      </c>
      <c r="R84" s="338">
        <v>0</v>
      </c>
      <c r="S84" s="338">
        <v>0</v>
      </c>
      <c r="T84" s="338">
        <v>0</v>
      </c>
      <c r="U84" s="338">
        <v>0</v>
      </c>
      <c r="V84" s="338">
        <v>0</v>
      </c>
      <c r="W84" s="338">
        <v>0</v>
      </c>
      <c r="X84" s="338">
        <v>0</v>
      </c>
      <c r="Y84" s="338">
        <v>28682.999999999731</v>
      </c>
      <c r="Z84" s="338">
        <v>0</v>
      </c>
      <c r="AA84" s="338">
        <v>841193.13253311382</v>
      </c>
      <c r="AB84" s="338">
        <v>0</v>
      </c>
      <c r="AC84" s="338">
        <v>0</v>
      </c>
      <c r="AD84" s="338">
        <v>10577.64764488999</v>
      </c>
      <c r="AE84" s="338">
        <v>0</v>
      </c>
      <c r="AF84" s="338">
        <v>0</v>
      </c>
    </row>
    <row r="87" spans="1:32">
      <c r="A87" t="s">
        <v>2676</v>
      </c>
    </row>
    <row r="88" spans="1:32">
      <c r="A88" s="291" t="s">
        <v>756</v>
      </c>
      <c r="B88" s="88" t="s">
        <v>556</v>
      </c>
      <c r="C88" s="88" t="s">
        <v>422</v>
      </c>
      <c r="D88" s="72" t="s">
        <v>782</v>
      </c>
      <c r="E88" s="293">
        <f>SUMIFS('UN(2023)EnergyStat_OilProd'!$M$4:$M$31,'UN(2023)EnergyStat_OilProd'!$J$4:$J$31,E$4)</f>
        <v>1</v>
      </c>
      <c r="F88" s="293">
        <f>SUMIFS('UN(2023)EnergyStat_OilProd'!$M$4:$M$31,'UN(2023)EnergyStat_OilProd'!$J$4:$J$31,F$4)</f>
        <v>0.8526799434624549</v>
      </c>
      <c r="G88" s="293">
        <f>SUMIFS('UN(2023)EnergyStat_OilProd'!$M$4:$M$31,'UN(2023)EnergyStat_OilProd'!$J$4:$J$31,G$4)</f>
        <v>0.98347853011254238</v>
      </c>
      <c r="H88" s="293">
        <f>SUMIFS('UN(2023)EnergyStat_OilProd'!$M$4:$M$31,'UN(2023)EnergyStat_OilProd'!$J$4:$J$31,H$4)</f>
        <v>0.95688971472452578</v>
      </c>
      <c r="I88" s="293">
        <f>SUMIFS('UN(2023)EnergyStat_OilProd'!$M$4:$M$31,'UN(2023)EnergyStat_OilProd'!$J$4:$J$31,I$4)</f>
        <v>0.86623052290103431</v>
      </c>
      <c r="J88" s="293">
        <f>SUMIFS('UN(2023)EnergyStat_OilProd'!$M$4:$M$31,'UN(2023)EnergyStat_OilProd'!$J$4:$J$31,J$4)</f>
        <v>0.86411460304974452</v>
      </c>
      <c r="K88" s="293">
        <f>SUMIFS('UN(2023)EnergyStat_OilProd'!$M$4:$M$31,'UN(2023)EnergyStat_OilProd'!$J$4:$J$31,K$4)</f>
        <v>0.8163012383602144</v>
      </c>
      <c r="L88" s="293">
        <f>SUMIFS('UN(2023)EnergyStat_OilProd'!$M$4:$M$31,'UN(2023)EnergyStat_OilProd'!$J$4:$J$31,L$4)</f>
        <v>0.85015047508338648</v>
      </c>
      <c r="M88" s="293">
        <f>SUMIFS('UN(2023)EnergyStat_OilProd'!$M$4:$M$31,'UN(2023)EnergyStat_OilProd'!$J$4:$J$31,M$4)</f>
        <v>0.95973275330803953</v>
      </c>
      <c r="N88" s="293">
        <f>SUMIFS('UN(2023)EnergyStat_OilProd'!$M$4:$M$31,'UN(2023)EnergyStat_OilProd'!$J$4:$J$31,N$4)</f>
        <v>0.92742447682411566</v>
      </c>
      <c r="O88" s="293">
        <f>SUMIFS('UN(2023)EnergyStat_OilProd'!$M$4:$M$31,'UN(2023)EnergyStat_OilProd'!$J$4:$J$31,O$4)</f>
        <v>0.32786748033854096</v>
      </c>
      <c r="P88" s="293">
        <f>SUMIFS('UN(2023)EnergyStat_OilProd'!$M$4:$M$31,'UN(2023)EnergyStat_OilProd'!$J$4:$J$31,P$4)</f>
        <v>1</v>
      </c>
      <c r="Q88" s="293">
        <f>SUMIFS('UN(2023)EnergyStat_OilProd'!$M$4:$M$31,'UN(2023)EnergyStat_OilProd'!$J$4:$J$31,Q$4)</f>
        <v>0.85375583241125996</v>
      </c>
      <c r="R88" s="293">
        <f>SUMIFS('UN(2023)EnergyStat_OilProd'!$M$4:$M$31,'UN(2023)EnergyStat_OilProd'!$J$4:$J$31,R$4)</f>
        <v>0.90482424220626656</v>
      </c>
      <c r="S88" s="293">
        <f>SUMIFS('UN(2023)EnergyStat_OilProd'!$M$4:$M$31,'UN(2023)EnergyStat_OilProd'!$J$4:$J$31,S$4)</f>
        <v>0.94230079134564926</v>
      </c>
      <c r="T88" s="293">
        <f>SUMIFS('UN(2023)EnergyStat_OilProd'!$M$4:$M$31,'UN(2023)EnergyStat_OilProd'!$J$4:$J$31,T$4)</f>
        <v>1</v>
      </c>
      <c r="U88" s="293">
        <f>SUMIFS('UN(2023)EnergyStat_OilProd'!$M$4:$M$31,'UN(2023)EnergyStat_OilProd'!$J$4:$J$31,U$4)</f>
        <v>0.98467997297603582</v>
      </c>
      <c r="V88" s="293">
        <f>SUMIFS('UN(2023)EnergyStat_OilProd'!$M$4:$M$31,'UN(2023)EnergyStat_OilProd'!$J$4:$J$31,V$4)</f>
        <v>0.96116122227347711</v>
      </c>
      <c r="W88" s="293">
        <f>SUMIFS('UN(2023)EnergyStat_OilProd'!$M$4:$M$31,'UN(2023)EnergyStat_OilProd'!$J$4:$J$31,W$4)</f>
        <v>0.86601656121821702</v>
      </c>
      <c r="X88" s="293">
        <f>SUMIFS('UN(2023)EnergyStat_OilProd'!$M$4:$M$31,'UN(2023)EnergyStat_OilProd'!$J$4:$J$31,X$4)</f>
        <v>0.49512341097321882</v>
      </c>
      <c r="Y88" s="293">
        <f>SUMIFS('UN(2023)EnergyStat_OilProd'!$M$4:$M$31,'UN(2023)EnergyStat_OilProd'!$J$4:$J$31,Y$4)</f>
        <v>0.9229177073954854</v>
      </c>
      <c r="Z88" s="293">
        <f>SUMIFS('UN(2023)EnergyStat_OilProd'!$M$4:$M$31,'UN(2023)EnergyStat_OilProd'!$J$4:$J$31,Z$4)</f>
        <v>0.98102689102519092</v>
      </c>
      <c r="AA88" s="293">
        <f>SUMIFS('UN(2023)EnergyStat_OilProd'!$M$4:$M$31,'UN(2023)EnergyStat_OilProd'!$J$4:$J$31,AA$4)</f>
        <v>0.87078917321118321</v>
      </c>
      <c r="AB88" s="293">
        <f>SUMIFS('UN(2023)EnergyStat_OilProd'!$M$4:$M$31,'UN(2023)EnergyStat_OilProd'!$J$4:$J$31,AB$4)</f>
        <v>0.93735937860565299</v>
      </c>
      <c r="AC88" s="293">
        <f>SUMIFS('UN(2023)EnergyStat_OilProd'!$M$4:$M$31,'UN(2023)EnergyStat_OilProd'!$J$4:$J$31,AC$4)</f>
        <v>0.94871073473892631</v>
      </c>
      <c r="AD88" s="293">
        <f>SUMIFS('UN(2023)EnergyStat_OilProd'!$M$4:$M$31,'UN(2023)EnergyStat_OilProd'!$J$4:$J$31,AD$4)</f>
        <v>0.93789995323354258</v>
      </c>
      <c r="AE88" s="293">
        <f>SUMIFS('UN(2023)EnergyStat_OilProd'!$M$4:$M$31,'UN(2023)EnergyStat_OilProd'!$J$4:$J$31,AE$4)</f>
        <v>1</v>
      </c>
      <c r="AF88" s="293">
        <f>SUMIFS('UN(2023)EnergyStat_OilProd'!$M$4:$M$31,'UN(2023)EnergyStat_OilProd'!$J$4:$J$31,AF$4)</f>
        <v>0.80684774464247289</v>
      </c>
    </row>
    <row r="89" spans="1:32">
      <c r="A89" s="271" t="s">
        <v>756</v>
      </c>
      <c r="B89" s="76" t="s">
        <v>783</v>
      </c>
      <c r="C89" s="76" t="s">
        <v>420</v>
      </c>
      <c r="D89" s="77" t="s">
        <v>782</v>
      </c>
      <c r="E89" s="294">
        <f>SUMIFS('UN(2023)EnergyStat_OilProd'!$N$4:$N$31,'UN(2023)EnergyStat_OilProd'!$J$4:$J$31,E$4)</f>
        <v>0</v>
      </c>
      <c r="F89" s="294">
        <f>SUMIFS('UN(2023)EnergyStat_OilProd'!$N$4:$N$31,'UN(2023)EnergyStat_OilProd'!$J$4:$J$31,F$4)</f>
        <v>0.14732005653754518</v>
      </c>
      <c r="G89" s="294">
        <f>SUMIFS('UN(2023)EnergyStat_OilProd'!$N$4:$N$31,'UN(2023)EnergyStat_OilProd'!$J$4:$J$31,G$4)</f>
        <v>1.6521469887457677E-2</v>
      </c>
      <c r="H89" s="294">
        <f>SUMIFS('UN(2023)EnergyStat_OilProd'!$N$4:$N$31,'UN(2023)EnergyStat_OilProd'!$J$4:$J$31,H$4)</f>
        <v>4.3110285275474169E-2</v>
      </c>
      <c r="I89" s="294">
        <f>SUMIFS('UN(2023)EnergyStat_OilProd'!$N$4:$N$31,'UN(2023)EnergyStat_OilProd'!$J$4:$J$31,I$4)</f>
        <v>0.13376947709896561</v>
      </c>
      <c r="J89" s="294">
        <f>SUMIFS('UN(2023)EnergyStat_OilProd'!$N$4:$N$31,'UN(2023)EnergyStat_OilProd'!$J$4:$J$31,J$4)</f>
        <v>0.13588539695025553</v>
      </c>
      <c r="K89" s="294">
        <f>SUMIFS('UN(2023)EnergyStat_OilProd'!$N$4:$N$31,'UN(2023)EnergyStat_OilProd'!$J$4:$J$31,K$4)</f>
        <v>0.18369876163978568</v>
      </c>
      <c r="L89" s="294">
        <f>SUMIFS('UN(2023)EnergyStat_OilProd'!$N$4:$N$31,'UN(2023)EnergyStat_OilProd'!$J$4:$J$31,L$4)</f>
        <v>0.14984952491661355</v>
      </c>
      <c r="M89" s="294">
        <f>SUMIFS('UN(2023)EnergyStat_OilProd'!$N$4:$N$31,'UN(2023)EnergyStat_OilProd'!$J$4:$J$31,M$4)</f>
        <v>4.0267246691960433E-2</v>
      </c>
      <c r="N89" s="294">
        <f>SUMIFS('UN(2023)EnergyStat_OilProd'!$N$4:$N$31,'UN(2023)EnergyStat_OilProd'!$J$4:$J$31,N$4)</f>
        <v>7.2575523175884324E-2</v>
      </c>
      <c r="O89" s="294">
        <f>SUMIFS('UN(2023)EnergyStat_OilProd'!$N$4:$N$31,'UN(2023)EnergyStat_OilProd'!$J$4:$J$31,O$4)</f>
        <v>0.67213251966145904</v>
      </c>
      <c r="P89" s="294">
        <f>SUMIFS('UN(2023)EnergyStat_OilProd'!$N$4:$N$31,'UN(2023)EnergyStat_OilProd'!$J$4:$J$31,P$4)</f>
        <v>0</v>
      </c>
      <c r="Q89" s="294">
        <f>SUMIFS('UN(2023)EnergyStat_OilProd'!$N$4:$N$31,'UN(2023)EnergyStat_OilProd'!$J$4:$J$31,Q$4)</f>
        <v>0.14624416758874001</v>
      </c>
      <c r="R89" s="294">
        <f>SUMIFS('UN(2023)EnergyStat_OilProd'!$N$4:$N$31,'UN(2023)EnergyStat_OilProd'!$J$4:$J$31,R$4)</f>
        <v>9.5175757793733454E-2</v>
      </c>
      <c r="S89" s="294">
        <f>SUMIFS('UN(2023)EnergyStat_OilProd'!$N$4:$N$31,'UN(2023)EnergyStat_OilProd'!$J$4:$J$31,S$4)</f>
        <v>5.7699208654350617E-2</v>
      </c>
      <c r="T89" s="294">
        <f>SUMIFS('UN(2023)EnergyStat_OilProd'!$N$4:$N$31,'UN(2023)EnergyStat_OilProd'!$J$4:$J$31,T$4)</f>
        <v>0</v>
      </c>
      <c r="U89" s="294">
        <f>SUMIFS('UN(2023)EnergyStat_OilProd'!$N$4:$N$31,'UN(2023)EnergyStat_OilProd'!$J$4:$J$31,U$4)</f>
        <v>1.5320027023964101E-2</v>
      </c>
      <c r="V89" s="294">
        <f>SUMIFS('UN(2023)EnergyStat_OilProd'!$N$4:$N$31,'UN(2023)EnergyStat_OilProd'!$J$4:$J$31,V$4)</f>
        <v>3.8838777726522895E-2</v>
      </c>
      <c r="W89" s="294">
        <f>SUMIFS('UN(2023)EnergyStat_OilProd'!$N$4:$N$31,'UN(2023)EnergyStat_OilProd'!$J$4:$J$31,W$4)</f>
        <v>0.1339834387817829</v>
      </c>
      <c r="X89" s="294">
        <f>SUMIFS('UN(2023)EnergyStat_OilProd'!$N$4:$N$31,'UN(2023)EnergyStat_OilProd'!$J$4:$J$31,X$4)</f>
        <v>0.50487658902678123</v>
      </c>
      <c r="Y89" s="294">
        <f>SUMIFS('UN(2023)EnergyStat_OilProd'!$N$4:$N$31,'UN(2023)EnergyStat_OilProd'!$J$4:$J$31,Y$4)</f>
        <v>7.7082292604514616E-2</v>
      </c>
      <c r="Z89" s="294">
        <f>SUMIFS('UN(2023)EnergyStat_OilProd'!$N$4:$N$31,'UN(2023)EnergyStat_OilProd'!$J$4:$J$31,Z$4)</f>
        <v>1.8973108974809028E-2</v>
      </c>
      <c r="AA89" s="294">
        <f>SUMIFS('UN(2023)EnergyStat_OilProd'!$N$4:$N$31,'UN(2023)EnergyStat_OilProd'!$J$4:$J$31,AA$4)</f>
        <v>0.12921082678881682</v>
      </c>
      <c r="AB89" s="294">
        <f>SUMIFS('UN(2023)EnergyStat_OilProd'!$N$4:$N$31,'UN(2023)EnergyStat_OilProd'!$J$4:$J$31,AB$4)</f>
        <v>6.2640621394347007E-2</v>
      </c>
      <c r="AC89" s="294">
        <f>SUMIFS('UN(2023)EnergyStat_OilProd'!$N$4:$N$31,'UN(2023)EnergyStat_OilProd'!$J$4:$J$31,AC$4)</f>
        <v>5.1289265261073622E-2</v>
      </c>
      <c r="AD89" s="294">
        <f>SUMIFS('UN(2023)EnergyStat_OilProd'!$N$4:$N$31,'UN(2023)EnergyStat_OilProd'!$J$4:$J$31,AD$4)</f>
        <v>6.2100046766457348E-2</v>
      </c>
      <c r="AE89" s="294">
        <f>SUMIFS('UN(2023)EnergyStat_OilProd'!$N$4:$N$31,'UN(2023)EnergyStat_OilProd'!$J$4:$J$31,AE$4)</f>
        <v>0</v>
      </c>
      <c r="AF89" s="294">
        <f>SUMIFS('UN(2023)EnergyStat_OilProd'!$N$4:$N$31,'UN(2023)EnergyStat_OilProd'!$J$4:$J$31,AF$4)</f>
        <v>0.19315225535752717</v>
      </c>
    </row>
    <row r="91" spans="1:32">
      <c r="A91" s="291" t="s">
        <v>756</v>
      </c>
      <c r="B91" s="291" t="s">
        <v>556</v>
      </c>
      <c r="C91" s="88" t="s">
        <v>422</v>
      </c>
      <c r="D91" s="72" t="s">
        <v>387</v>
      </c>
      <c r="E91" s="359">
        <f>E$66*E$18+E$84</f>
        <v>550401.48670589679</v>
      </c>
      <c r="F91" s="292">
        <f>F$66*F$18+F$84</f>
        <v>5710435.9519655164</v>
      </c>
      <c r="G91" s="292">
        <f t="shared" ref="G91:AF91" si="1">G$66*G$18+G$84</f>
        <v>2555342.0880204225</v>
      </c>
      <c r="H91" s="292">
        <f t="shared" si="1"/>
        <v>2886423.3764368021</v>
      </c>
      <c r="I91" s="292">
        <f t="shared" si="1"/>
        <v>733148.06274565682</v>
      </c>
      <c r="J91" s="292">
        <f t="shared" si="1"/>
        <v>5242358.6269060075</v>
      </c>
      <c r="K91" s="292">
        <f t="shared" si="1"/>
        <v>1861246.00468141</v>
      </c>
      <c r="L91" s="292">
        <f t="shared" si="1"/>
        <v>191499.79511443313</v>
      </c>
      <c r="M91" s="292">
        <f t="shared" si="1"/>
        <v>6409165.3870820794</v>
      </c>
      <c r="N91" s="292">
        <f t="shared" si="1"/>
        <v>10761087.052363195</v>
      </c>
      <c r="O91" s="292">
        <f t="shared" si="1"/>
        <v>2298.6789046535105</v>
      </c>
      <c r="P91" s="292">
        <f t="shared" si="1"/>
        <v>8848902</v>
      </c>
      <c r="Q91" s="292">
        <f t="shared" si="1"/>
        <v>189075.32791329487</v>
      </c>
      <c r="R91" s="292">
        <f t="shared" si="1"/>
        <v>5282059.000230561</v>
      </c>
      <c r="S91" s="292">
        <f t="shared" si="1"/>
        <v>251838.36719424688</v>
      </c>
      <c r="T91" s="292">
        <f t="shared" si="1"/>
        <v>248221</v>
      </c>
      <c r="U91" s="292">
        <f t="shared" si="1"/>
        <v>425677.15231754031</v>
      </c>
      <c r="V91" s="292">
        <f t="shared" si="1"/>
        <v>2155566.4771948368</v>
      </c>
      <c r="W91" s="292">
        <f t="shared" si="1"/>
        <v>1277635.0987817969</v>
      </c>
      <c r="X91" s="292">
        <f t="shared" si="1"/>
        <v>4443.2374900736659</v>
      </c>
      <c r="Y91" s="292">
        <f t="shared" si="1"/>
        <v>7418990.8420193046</v>
      </c>
      <c r="Z91" s="292">
        <f t="shared" si="1"/>
        <v>194445.415962539</v>
      </c>
      <c r="AA91" s="292">
        <f t="shared" si="1"/>
        <v>51957087.096148849</v>
      </c>
      <c r="AB91" s="292">
        <f t="shared" si="1"/>
        <v>3893552.7694457169</v>
      </c>
      <c r="AC91" s="292">
        <f t="shared" si="1"/>
        <v>4136396.8289656788</v>
      </c>
      <c r="AD91" s="292">
        <f t="shared" si="1"/>
        <v>22996131.676617384</v>
      </c>
      <c r="AE91" s="292">
        <f t="shared" si="1"/>
        <v>33549</v>
      </c>
      <c r="AF91" s="286">
        <f t="shared" si="1"/>
        <v>26682063.594170425</v>
      </c>
    </row>
    <row r="92" spans="1:32">
      <c r="A92" s="70" t="s">
        <v>756</v>
      </c>
      <c r="B92" s="70" t="s">
        <v>783</v>
      </c>
      <c r="C92" s="71" t="s">
        <v>420</v>
      </c>
      <c r="D92" s="74" t="s">
        <v>387</v>
      </c>
      <c r="E92" s="176">
        <f>E$67*E$18</f>
        <v>0</v>
      </c>
      <c r="F92" s="176">
        <f>F$67*F$18</f>
        <v>986609.04803448427</v>
      </c>
      <c r="G92" s="176">
        <f>G$67*G$18</f>
        <v>42885.275030970515</v>
      </c>
      <c r="H92" s="176">
        <f>H$67*H$18</f>
        <v>130040.62356319792</v>
      </c>
      <c r="I92" s="176">
        <f>I$67*I$18</f>
        <v>113217.93725434312</v>
      </c>
      <c r="J92" s="176">
        <f t="shared" ref="J92:AF92" si="2">J$67*J$18</f>
        <v>824381.37309399329</v>
      </c>
      <c r="K92" s="176">
        <f t="shared" si="2"/>
        <v>418850.99531859043</v>
      </c>
      <c r="L92" s="176">
        <f t="shared" si="2"/>
        <v>33754.204885566869</v>
      </c>
      <c r="M92" s="176">
        <f t="shared" si="2"/>
        <v>268907.61291792028</v>
      </c>
      <c r="N92" s="176">
        <f t="shared" si="2"/>
        <v>842107.94763680513</v>
      </c>
      <c r="O92" s="176">
        <f t="shared" si="2"/>
        <v>4712.3210953464895</v>
      </c>
      <c r="P92" s="176">
        <f t="shared" si="2"/>
        <v>0</v>
      </c>
      <c r="Q92" s="176">
        <f t="shared" si="2"/>
        <v>32387.67208670513</v>
      </c>
      <c r="R92" s="176">
        <f t="shared" si="2"/>
        <v>555603.99976943946</v>
      </c>
      <c r="S92" s="176">
        <f t="shared" si="2"/>
        <v>15420.632805753092</v>
      </c>
      <c r="T92" s="176">
        <f t="shared" si="2"/>
        <v>0</v>
      </c>
      <c r="U92" s="176">
        <f t="shared" si="2"/>
        <v>6622.847682459681</v>
      </c>
      <c r="V92" s="176">
        <f t="shared" si="2"/>
        <v>87102.522805163375</v>
      </c>
      <c r="W92" s="176">
        <f t="shared" si="2"/>
        <v>197665.9012182031</v>
      </c>
      <c r="X92" s="176">
        <f t="shared" si="2"/>
        <v>4530.762509926335</v>
      </c>
      <c r="Y92" s="176">
        <f t="shared" si="2"/>
        <v>617240.15798069583</v>
      </c>
      <c r="Z92" s="176">
        <f t="shared" si="2"/>
        <v>3760.5840374609979</v>
      </c>
      <c r="AA92" s="176">
        <f t="shared" si="2"/>
        <v>7584760.0363842668</v>
      </c>
      <c r="AB92" s="176">
        <f t="shared" si="2"/>
        <v>260193.23055428331</v>
      </c>
      <c r="AC92" s="176">
        <f t="shared" si="2"/>
        <v>223622.17103432096</v>
      </c>
      <c r="AD92" s="176">
        <f t="shared" si="2"/>
        <v>1521914.9710275037</v>
      </c>
      <c r="AE92" s="176">
        <f t="shared" si="2"/>
        <v>0</v>
      </c>
      <c r="AF92" s="287">
        <f t="shared" si="2"/>
        <v>6387451.4058295749</v>
      </c>
    </row>
    <row r="93" spans="1:32">
      <c r="A93" s="271" t="s">
        <v>756</v>
      </c>
      <c r="B93" s="271" t="s">
        <v>541</v>
      </c>
      <c r="C93" s="76" t="s">
        <v>418</v>
      </c>
      <c r="D93" s="77" t="s">
        <v>387</v>
      </c>
      <c r="E93" s="289">
        <f>E$12</f>
        <v>37427</v>
      </c>
      <c r="F93" s="289">
        <f t="shared" ref="F93:AF93" si="3">F$12</f>
        <v>6073175</v>
      </c>
      <c r="G93" s="289">
        <f t="shared" si="3"/>
        <v>477722</v>
      </c>
      <c r="H93" s="289">
        <f t="shared" si="3"/>
        <v>446848</v>
      </c>
      <c r="I93" s="289">
        <f t="shared" si="3"/>
        <v>5112203</v>
      </c>
      <c r="J93" s="289">
        <f t="shared" si="3"/>
        <v>6636175</v>
      </c>
      <c r="K93" s="289">
        <f t="shared" si="3"/>
        <v>5338060</v>
      </c>
      <c r="L93" s="289">
        <f t="shared" si="3"/>
        <v>2014395</v>
      </c>
      <c r="M93" s="289">
        <f t="shared" si="3"/>
        <v>866830</v>
      </c>
      <c r="N93" s="289">
        <f t="shared" si="3"/>
        <v>6785746</v>
      </c>
      <c r="O93" s="289">
        <f t="shared" si="3"/>
        <v>53723</v>
      </c>
      <c r="P93" s="289">
        <f t="shared" si="3"/>
        <v>6986554</v>
      </c>
      <c r="Q93" s="289">
        <f t="shared" si="3"/>
        <v>701170</v>
      </c>
      <c r="R93" s="289">
        <f t="shared" si="3"/>
        <v>5696458</v>
      </c>
      <c r="S93" s="289">
        <f t="shared" si="3"/>
        <v>587681</v>
      </c>
      <c r="T93" s="289">
        <f t="shared" si="3"/>
        <v>170316</v>
      </c>
      <c r="U93" s="289">
        <f t="shared" si="3"/>
        <v>1422551</v>
      </c>
      <c r="V93" s="289">
        <f t="shared" si="3"/>
        <v>2647981</v>
      </c>
      <c r="W93" s="289">
        <f t="shared" si="3"/>
        <v>1061698</v>
      </c>
      <c r="X93" s="289">
        <f t="shared" si="3"/>
        <v>87518</v>
      </c>
      <c r="Y93" s="289">
        <f t="shared" si="3"/>
        <v>4670024</v>
      </c>
      <c r="Z93" s="289">
        <f t="shared" si="3"/>
        <v>441844</v>
      </c>
      <c r="AA93" s="289">
        <f t="shared" si="3"/>
        <v>23692214</v>
      </c>
      <c r="AB93" s="289">
        <f t="shared" si="3"/>
        <v>994309</v>
      </c>
      <c r="AC93" s="289">
        <f t="shared" si="3"/>
        <v>1562518</v>
      </c>
      <c r="AD93" s="289">
        <f t="shared" si="3"/>
        <v>26963430</v>
      </c>
      <c r="AE93" s="289">
        <f t="shared" si="3"/>
        <v>8597</v>
      </c>
      <c r="AF93" s="290">
        <f t="shared" si="3"/>
        <v>33385194</v>
      </c>
    </row>
  </sheetData>
  <mergeCells count="1">
    <mergeCell ref="A1:E2"/>
  </mergeCells>
  <pageMargins left="0.7" right="0.7" top="0.75" bottom="0.75" header="0.3" footer="0.3"/>
  <pageSetup orientation="portrait" horizontalDpi="0" verticalDpi="0"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1C96C-5CD6-4CD2-AFD0-FEDF9E0D7FC9}">
  <sheetPr>
    <tabColor theme="4" tint="0.39997558519241921"/>
  </sheetPr>
  <dimension ref="A1:AF40"/>
  <sheetViews>
    <sheetView workbookViewId="0">
      <selection activeCell="N33" sqref="N33"/>
    </sheetView>
  </sheetViews>
  <sheetFormatPr defaultColWidth="7.69921875" defaultRowHeight="15.6"/>
  <cols>
    <col min="1" max="1" width="10.69921875" style="60" bestFit="1" customWidth="1"/>
    <col min="2" max="2" width="29" style="60" bestFit="1" customWidth="1"/>
    <col min="3" max="3" width="14" style="59" bestFit="1" customWidth="1"/>
    <col min="4" max="4" width="7.69921875" style="59"/>
    <col min="5" max="5" width="7.8984375" style="59" bestFit="1" customWidth="1"/>
    <col min="6" max="6" width="8.3984375" style="59" bestFit="1" customWidth="1"/>
    <col min="7" max="10" width="7.8984375" style="59" bestFit="1" customWidth="1"/>
    <col min="11" max="11" width="8.8984375" style="59" bestFit="1" customWidth="1"/>
    <col min="12" max="12" width="7.8984375" style="59" bestFit="1" customWidth="1"/>
    <col min="13" max="14" width="8.3984375" style="59" bestFit="1" customWidth="1"/>
    <col min="15" max="15" width="7.8984375" style="59" bestFit="1" customWidth="1"/>
    <col min="16" max="16" width="8.3984375" style="59" bestFit="1" customWidth="1"/>
    <col min="17" max="17" width="7.8984375" style="59" bestFit="1" customWidth="1"/>
    <col min="18" max="21" width="8.3984375" style="59" bestFit="1" customWidth="1"/>
    <col min="22" max="22" width="7.8984375" style="59" bestFit="1" customWidth="1"/>
    <col min="23" max="28" width="8.3984375" style="59" bestFit="1" customWidth="1"/>
    <col min="29" max="29" width="7.8984375" style="59" bestFit="1" customWidth="1"/>
    <col min="30" max="30" width="8.8984375" style="59" bestFit="1" customWidth="1"/>
    <col min="31" max="31" width="7.8984375" style="59" bestFit="1" customWidth="1"/>
    <col min="32" max="32" width="9.3984375" style="59" bestFit="1" customWidth="1"/>
    <col min="33" max="16384" width="7.69921875" style="59"/>
  </cols>
  <sheetData>
    <row r="1" spans="1:32">
      <c r="A1" s="586" t="s">
        <v>785</v>
      </c>
      <c r="B1" s="586"/>
      <c r="C1" s="586"/>
      <c r="D1" s="586"/>
      <c r="E1" s="586"/>
    </row>
    <row r="2" spans="1:32">
      <c r="A2" s="586"/>
      <c r="B2" s="586"/>
      <c r="C2" s="586"/>
      <c r="D2" s="586"/>
      <c r="E2" s="586"/>
    </row>
    <row r="4" spans="1:32">
      <c r="A4" s="86"/>
      <c r="B4" s="86"/>
      <c r="C4" s="88"/>
      <c r="D4" s="88"/>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7"/>
    </row>
    <row r="5" spans="1:32">
      <c r="A5" s="90" t="s">
        <v>717</v>
      </c>
      <c r="B5" s="90" t="s">
        <v>727</v>
      </c>
      <c r="C5" s="68" t="s">
        <v>718</v>
      </c>
      <c r="D5" s="68" t="s">
        <v>375</v>
      </c>
      <c r="E5" s="69" t="s">
        <v>172</v>
      </c>
      <c r="F5" s="69" t="s">
        <v>175</v>
      </c>
      <c r="G5" s="69" t="s">
        <v>178</v>
      </c>
      <c r="H5" s="69" t="s">
        <v>181</v>
      </c>
      <c r="I5" s="69" t="s">
        <v>184</v>
      </c>
      <c r="J5" s="69" t="s">
        <v>187</v>
      </c>
      <c r="K5" s="69" t="s">
        <v>190</v>
      </c>
      <c r="L5" s="69" t="s">
        <v>193</v>
      </c>
      <c r="M5" s="69" t="s">
        <v>196</v>
      </c>
      <c r="N5" s="69" t="s">
        <v>198</v>
      </c>
      <c r="O5" s="69" t="s">
        <v>200</v>
      </c>
      <c r="P5" s="69" t="s">
        <v>202</v>
      </c>
      <c r="Q5" s="69" t="s">
        <v>205</v>
      </c>
      <c r="R5" s="69" t="s">
        <v>208</v>
      </c>
      <c r="S5" s="69" t="s">
        <v>211</v>
      </c>
      <c r="T5" s="69" t="s">
        <v>214</v>
      </c>
      <c r="U5" s="69" t="s">
        <v>217</v>
      </c>
      <c r="V5" s="69" t="s">
        <v>220</v>
      </c>
      <c r="W5" s="69" t="s">
        <v>223</v>
      </c>
      <c r="X5" s="69" t="s">
        <v>225</v>
      </c>
      <c r="Y5" s="69" t="s">
        <v>227</v>
      </c>
      <c r="Z5" s="69" t="s">
        <v>230</v>
      </c>
      <c r="AA5" s="69" t="s">
        <v>233</v>
      </c>
      <c r="AB5" s="69" t="s">
        <v>236</v>
      </c>
      <c r="AC5" s="69" t="s">
        <v>238</v>
      </c>
      <c r="AD5" s="69" t="s">
        <v>240</v>
      </c>
      <c r="AE5" s="69" t="s">
        <v>243</v>
      </c>
      <c r="AF5" s="91" t="s">
        <v>245</v>
      </c>
    </row>
    <row r="6" spans="1:32">
      <c r="A6" s="95" t="s">
        <v>786</v>
      </c>
      <c r="B6" s="95" t="s">
        <v>786</v>
      </c>
      <c r="C6" s="71" t="s">
        <v>787</v>
      </c>
      <c r="D6" s="74" t="s">
        <v>387</v>
      </c>
      <c r="E6" s="73">
        <v>0</v>
      </c>
      <c r="F6" s="73">
        <v>0</v>
      </c>
      <c r="G6" s="73">
        <v>0</v>
      </c>
      <c r="H6" s="73">
        <v>854</v>
      </c>
      <c r="I6" s="73">
        <v>0</v>
      </c>
      <c r="J6" s="73">
        <v>258</v>
      </c>
      <c r="K6" s="73">
        <v>0</v>
      </c>
      <c r="L6" s="73">
        <v>0</v>
      </c>
      <c r="M6" s="73">
        <v>0</v>
      </c>
      <c r="N6" s="73">
        <v>313</v>
      </c>
      <c r="O6" s="73">
        <v>0</v>
      </c>
      <c r="P6" s="73">
        <v>31</v>
      </c>
      <c r="Q6" s="73">
        <v>0</v>
      </c>
      <c r="R6" s="73">
        <v>0</v>
      </c>
      <c r="S6" s="73">
        <v>4</v>
      </c>
      <c r="T6" s="73">
        <v>0</v>
      </c>
      <c r="U6" s="73">
        <v>0</v>
      </c>
      <c r="V6" s="73">
        <v>0</v>
      </c>
      <c r="W6" s="73">
        <v>0</v>
      </c>
      <c r="X6" s="73">
        <v>0</v>
      </c>
      <c r="Y6" s="73">
        <v>0</v>
      </c>
      <c r="Z6" s="73">
        <v>0</v>
      </c>
      <c r="AA6" s="73">
        <v>124</v>
      </c>
      <c r="AB6" s="73">
        <v>0</v>
      </c>
      <c r="AC6" s="73">
        <v>0</v>
      </c>
      <c r="AD6" s="73">
        <v>8755</v>
      </c>
      <c r="AE6" s="73">
        <v>51</v>
      </c>
      <c r="AF6" s="93">
        <v>0</v>
      </c>
    </row>
    <row r="7" spans="1:32">
      <c r="A7" s="95" t="s">
        <v>786</v>
      </c>
      <c r="B7" s="95" t="s">
        <v>786</v>
      </c>
      <c r="C7" s="71" t="s">
        <v>788</v>
      </c>
      <c r="D7" s="74" t="s">
        <v>387</v>
      </c>
      <c r="E7" s="73">
        <v>0</v>
      </c>
      <c r="F7" s="73">
        <v>98</v>
      </c>
      <c r="G7" s="73">
        <v>38</v>
      </c>
      <c r="H7" s="73">
        <v>286</v>
      </c>
      <c r="I7" s="73">
        <v>785</v>
      </c>
      <c r="J7" s="73">
        <v>2591</v>
      </c>
      <c r="K7" s="73">
        <v>0</v>
      </c>
      <c r="L7" s="73">
        <v>0</v>
      </c>
      <c r="M7" s="73">
        <v>0</v>
      </c>
      <c r="N7" s="73">
        <v>23213</v>
      </c>
      <c r="O7" s="73">
        <v>0</v>
      </c>
      <c r="P7" s="73">
        <v>15635</v>
      </c>
      <c r="Q7" s="73">
        <v>2323</v>
      </c>
      <c r="R7" s="73">
        <v>0</v>
      </c>
      <c r="S7" s="73">
        <v>1396</v>
      </c>
      <c r="T7" s="73">
        <v>4671</v>
      </c>
      <c r="U7" s="73">
        <v>940</v>
      </c>
      <c r="V7" s="73">
        <v>0</v>
      </c>
      <c r="W7" s="73">
        <v>0</v>
      </c>
      <c r="X7" s="73">
        <v>0</v>
      </c>
      <c r="Y7" s="73">
        <v>0</v>
      </c>
      <c r="Z7" s="73">
        <v>1044</v>
      </c>
      <c r="AA7" s="73">
        <v>0</v>
      </c>
      <c r="AB7" s="73">
        <v>0</v>
      </c>
      <c r="AC7" s="73">
        <v>0</v>
      </c>
      <c r="AD7" s="73">
        <v>80284</v>
      </c>
      <c r="AE7" s="73">
        <v>0</v>
      </c>
      <c r="AF7" s="93">
        <v>0</v>
      </c>
    </row>
    <row r="8" spans="1:32">
      <c r="A8" s="95" t="s">
        <v>786</v>
      </c>
      <c r="B8" s="95" t="s">
        <v>786</v>
      </c>
      <c r="C8" s="71" t="s">
        <v>789</v>
      </c>
      <c r="D8" s="74" t="s">
        <v>387</v>
      </c>
      <c r="E8" s="73">
        <v>0</v>
      </c>
      <c r="F8" s="73">
        <v>4102</v>
      </c>
      <c r="G8" s="73">
        <v>0</v>
      </c>
      <c r="H8" s="73">
        <v>0</v>
      </c>
      <c r="I8" s="73">
        <v>15644</v>
      </c>
      <c r="J8" s="73">
        <v>94608</v>
      </c>
      <c r="K8" s="73">
        <v>0</v>
      </c>
      <c r="L8" s="73">
        <v>0</v>
      </c>
      <c r="M8" s="73">
        <v>0</v>
      </c>
      <c r="N8" s="73">
        <v>148213</v>
      </c>
      <c r="O8" s="73">
        <v>0</v>
      </c>
      <c r="P8" s="73">
        <v>0</v>
      </c>
      <c r="Q8" s="73">
        <v>79752</v>
      </c>
      <c r="R8" s="73">
        <v>604</v>
      </c>
      <c r="S8" s="73">
        <v>30051</v>
      </c>
      <c r="T8" s="73">
        <v>10145</v>
      </c>
      <c r="U8" s="73">
        <v>38561</v>
      </c>
      <c r="V8" s="73">
        <v>0</v>
      </c>
      <c r="W8" s="73">
        <v>18949</v>
      </c>
      <c r="X8" s="73">
        <v>0</v>
      </c>
      <c r="Y8" s="73">
        <v>35654</v>
      </c>
      <c r="Z8" s="73">
        <v>10789</v>
      </c>
      <c r="AA8" s="73">
        <v>16016</v>
      </c>
      <c r="AB8" s="73">
        <v>0</v>
      </c>
      <c r="AC8" s="73">
        <v>0</v>
      </c>
      <c r="AD8" s="73">
        <v>1156677</v>
      </c>
      <c r="AE8" s="73">
        <v>0</v>
      </c>
      <c r="AF8" s="93">
        <v>930738</v>
      </c>
    </row>
    <row r="9" spans="1:32">
      <c r="A9" s="95" t="s">
        <v>786</v>
      </c>
      <c r="B9" s="95" t="s">
        <v>786</v>
      </c>
      <c r="C9" s="71" t="s">
        <v>790</v>
      </c>
      <c r="D9" s="74" t="s">
        <v>387</v>
      </c>
      <c r="E9" s="73">
        <v>0</v>
      </c>
      <c r="F9" s="73">
        <v>0</v>
      </c>
      <c r="G9" s="73">
        <v>0</v>
      </c>
      <c r="H9" s="73">
        <v>0</v>
      </c>
      <c r="I9" s="73">
        <v>0</v>
      </c>
      <c r="J9" s="73">
        <v>0</v>
      </c>
      <c r="K9" s="73">
        <v>0</v>
      </c>
      <c r="L9" s="73">
        <v>0</v>
      </c>
      <c r="M9" s="73">
        <v>0</v>
      </c>
      <c r="N9" s="73">
        <v>299</v>
      </c>
      <c r="O9" s="73">
        <v>0</v>
      </c>
      <c r="P9" s="73">
        <v>49</v>
      </c>
      <c r="Q9" s="73">
        <v>0</v>
      </c>
      <c r="R9" s="73">
        <v>0</v>
      </c>
      <c r="S9" s="73">
        <v>0</v>
      </c>
      <c r="T9" s="73">
        <v>0</v>
      </c>
      <c r="U9" s="73">
        <v>0</v>
      </c>
      <c r="V9" s="73">
        <v>0</v>
      </c>
      <c r="W9" s="73">
        <v>0</v>
      </c>
      <c r="X9" s="73">
        <v>0</v>
      </c>
      <c r="Y9" s="73">
        <v>0</v>
      </c>
      <c r="Z9" s="73">
        <v>0</v>
      </c>
      <c r="AA9" s="73">
        <v>0</v>
      </c>
      <c r="AB9" s="73">
        <v>0</v>
      </c>
      <c r="AC9" s="73">
        <v>0</v>
      </c>
      <c r="AD9" s="73">
        <v>1190</v>
      </c>
      <c r="AE9" s="73">
        <v>0</v>
      </c>
      <c r="AF9" s="93">
        <v>0</v>
      </c>
    </row>
    <row r="10" spans="1:32">
      <c r="A10" s="95" t="s">
        <v>786</v>
      </c>
      <c r="B10" s="95" t="s">
        <v>786</v>
      </c>
      <c r="C10" s="71" t="s">
        <v>791</v>
      </c>
      <c r="D10" s="74" t="s">
        <v>387</v>
      </c>
      <c r="E10" s="73">
        <v>0</v>
      </c>
      <c r="F10" s="73">
        <v>0</v>
      </c>
      <c r="G10" s="73">
        <v>0</v>
      </c>
      <c r="H10" s="73">
        <v>0</v>
      </c>
      <c r="I10" s="73">
        <v>0</v>
      </c>
      <c r="J10" s="73">
        <v>0</v>
      </c>
      <c r="K10" s="73">
        <v>0</v>
      </c>
      <c r="L10" s="73">
        <v>0</v>
      </c>
      <c r="M10" s="73">
        <v>0</v>
      </c>
      <c r="N10" s="73">
        <v>0</v>
      </c>
      <c r="O10" s="73">
        <v>0</v>
      </c>
      <c r="P10" s="73">
        <v>6491</v>
      </c>
      <c r="Q10" s="73">
        <v>0</v>
      </c>
      <c r="R10" s="73">
        <v>0</v>
      </c>
      <c r="S10" s="73">
        <v>0</v>
      </c>
      <c r="T10" s="73">
        <v>0</v>
      </c>
      <c r="U10" s="73">
        <v>0</v>
      </c>
      <c r="V10" s="73">
        <v>0</v>
      </c>
      <c r="W10" s="73">
        <v>0</v>
      </c>
      <c r="X10" s="73">
        <v>0</v>
      </c>
      <c r="Y10" s="73">
        <v>0</v>
      </c>
      <c r="Z10" s="73">
        <v>0</v>
      </c>
      <c r="AA10" s="73">
        <v>0</v>
      </c>
      <c r="AB10" s="73">
        <v>0</v>
      </c>
      <c r="AC10" s="73">
        <v>0</v>
      </c>
      <c r="AD10" s="73">
        <v>12</v>
      </c>
      <c r="AE10" s="73">
        <v>5</v>
      </c>
      <c r="AF10" s="93">
        <v>0</v>
      </c>
    </row>
    <row r="11" spans="1:32">
      <c r="A11" s="95" t="s">
        <v>786</v>
      </c>
      <c r="B11" s="95" t="s">
        <v>786</v>
      </c>
      <c r="C11" s="71" t="s">
        <v>792</v>
      </c>
      <c r="D11" s="74" t="s">
        <v>387</v>
      </c>
      <c r="E11" s="73">
        <v>0</v>
      </c>
      <c r="F11" s="73">
        <v>0</v>
      </c>
      <c r="G11" s="73">
        <v>0</v>
      </c>
      <c r="H11" s="73">
        <v>0</v>
      </c>
      <c r="I11" s="73">
        <v>0</v>
      </c>
      <c r="J11" s="73">
        <v>0</v>
      </c>
      <c r="K11" s="73">
        <v>0</v>
      </c>
      <c r="L11" s="73">
        <v>0</v>
      </c>
      <c r="M11" s="73">
        <v>0</v>
      </c>
      <c r="N11" s="73">
        <v>0</v>
      </c>
      <c r="O11" s="73">
        <v>0</v>
      </c>
      <c r="P11" s="73">
        <v>0</v>
      </c>
      <c r="Q11" s="73">
        <v>0</v>
      </c>
      <c r="R11" s="73">
        <v>0</v>
      </c>
      <c r="S11" s="73">
        <v>0</v>
      </c>
      <c r="T11" s="73">
        <v>0</v>
      </c>
      <c r="U11" s="73">
        <v>0</v>
      </c>
      <c r="V11" s="73">
        <v>0</v>
      </c>
      <c r="W11" s="73">
        <v>0</v>
      </c>
      <c r="X11" s="73">
        <v>0</v>
      </c>
      <c r="Y11" s="73">
        <v>0</v>
      </c>
      <c r="Z11" s="73">
        <v>0</v>
      </c>
      <c r="AA11" s="73">
        <v>1042</v>
      </c>
      <c r="AB11" s="73">
        <v>0</v>
      </c>
      <c r="AC11" s="73">
        <v>0</v>
      </c>
      <c r="AD11" s="73">
        <v>0</v>
      </c>
      <c r="AE11" s="73">
        <v>0</v>
      </c>
      <c r="AF11" s="93">
        <v>0</v>
      </c>
    </row>
    <row r="12" spans="1:32">
      <c r="A12" s="95" t="s">
        <v>786</v>
      </c>
      <c r="B12" s="95" t="s">
        <v>786</v>
      </c>
      <c r="C12" s="71" t="s">
        <v>793</v>
      </c>
      <c r="D12" s="74" t="s">
        <v>387</v>
      </c>
      <c r="E12" s="73">
        <v>0</v>
      </c>
      <c r="F12" s="73">
        <v>0</v>
      </c>
      <c r="G12" s="73">
        <v>0</v>
      </c>
      <c r="H12" s="73">
        <v>7</v>
      </c>
      <c r="I12" s="73">
        <v>0</v>
      </c>
      <c r="J12" s="73">
        <v>0</v>
      </c>
      <c r="K12" s="73">
        <v>0</v>
      </c>
      <c r="L12" s="73">
        <v>0</v>
      </c>
      <c r="M12" s="73">
        <v>0</v>
      </c>
      <c r="N12" s="73">
        <v>0</v>
      </c>
      <c r="O12" s="73">
        <v>3</v>
      </c>
      <c r="P12" s="73">
        <v>5</v>
      </c>
      <c r="Q12" s="73">
        <v>0</v>
      </c>
      <c r="R12" s="73">
        <v>0</v>
      </c>
      <c r="S12" s="73">
        <v>0</v>
      </c>
      <c r="T12" s="73">
        <v>0</v>
      </c>
      <c r="U12" s="73">
        <v>0</v>
      </c>
      <c r="V12" s="73">
        <v>0</v>
      </c>
      <c r="W12" s="73">
        <v>0</v>
      </c>
      <c r="X12" s="73">
        <v>0</v>
      </c>
      <c r="Y12" s="73">
        <v>0</v>
      </c>
      <c r="Z12" s="73">
        <v>0</v>
      </c>
      <c r="AA12" s="73">
        <v>0</v>
      </c>
      <c r="AB12" s="73">
        <v>0</v>
      </c>
      <c r="AC12" s="73">
        <v>0</v>
      </c>
      <c r="AD12" s="73">
        <v>39</v>
      </c>
      <c r="AE12" s="73">
        <v>0</v>
      </c>
      <c r="AF12" s="93">
        <v>0</v>
      </c>
    </row>
    <row r="13" spans="1:32">
      <c r="A13" s="97" t="s">
        <v>786</v>
      </c>
      <c r="B13" s="76" t="s">
        <v>786</v>
      </c>
      <c r="C13" s="76" t="s">
        <v>794</v>
      </c>
      <c r="D13" s="77" t="s">
        <v>387</v>
      </c>
      <c r="E13" s="81">
        <v>0</v>
      </c>
      <c r="F13" s="82">
        <v>0</v>
      </c>
      <c r="G13" s="82">
        <v>0</v>
      </c>
      <c r="H13" s="82">
        <v>0</v>
      </c>
      <c r="I13" s="82">
        <v>0</v>
      </c>
      <c r="J13" s="82">
        <v>63</v>
      </c>
      <c r="K13" s="82">
        <v>0</v>
      </c>
      <c r="L13" s="82">
        <v>0</v>
      </c>
      <c r="M13" s="82">
        <v>0</v>
      </c>
      <c r="N13" s="82">
        <v>0</v>
      </c>
      <c r="O13" s="82">
        <v>0</v>
      </c>
      <c r="P13" s="82">
        <v>0</v>
      </c>
      <c r="Q13" s="82">
        <v>0</v>
      </c>
      <c r="R13" s="82">
        <v>0</v>
      </c>
      <c r="S13" s="82">
        <v>0</v>
      </c>
      <c r="T13" s="82">
        <v>0</v>
      </c>
      <c r="U13" s="82">
        <v>0</v>
      </c>
      <c r="V13" s="82">
        <v>0</v>
      </c>
      <c r="W13" s="82">
        <v>0</v>
      </c>
      <c r="X13" s="82">
        <v>0</v>
      </c>
      <c r="Y13" s="82">
        <v>0</v>
      </c>
      <c r="Z13" s="82">
        <v>0</v>
      </c>
      <c r="AA13" s="82">
        <v>0</v>
      </c>
      <c r="AB13" s="82">
        <v>0</v>
      </c>
      <c r="AC13" s="82">
        <v>0</v>
      </c>
      <c r="AD13" s="82">
        <v>0</v>
      </c>
      <c r="AE13" s="82">
        <v>0</v>
      </c>
      <c r="AF13" s="83">
        <v>0</v>
      </c>
    </row>
    <row r="15" spans="1:32">
      <c r="A15" s="88" t="s">
        <v>786</v>
      </c>
      <c r="B15" s="87" t="s">
        <v>795</v>
      </c>
      <c r="C15" s="88" t="s">
        <v>535</v>
      </c>
      <c r="D15" s="72" t="s">
        <v>387</v>
      </c>
      <c r="E15" s="292">
        <f>E6*'Key inputs_Pipelines'!C$4/SUM('Key inputs_Pipelines'!C$4:C$6)</f>
        <v>0</v>
      </c>
      <c r="F15" s="292">
        <f>F6*'Key inputs_Pipelines'!D$4/SUM('Key inputs_Pipelines'!D$4:D$6)</f>
        <v>0</v>
      </c>
      <c r="G15" s="292">
        <f>G6*'Key inputs_Pipelines'!E$4/SUM('Key inputs_Pipelines'!E$4:E$6)</f>
        <v>0</v>
      </c>
      <c r="H15" s="292">
        <f>H6*'Key inputs_Pipelines'!F$4/SUM('Key inputs_Pipelines'!F$4:F$6)</f>
        <v>104.90759395364756</v>
      </c>
      <c r="I15" s="292">
        <f>I6*'Key inputs_Pipelines'!G$4/SUM('Key inputs_Pipelines'!G$4:G$6)</f>
        <v>0</v>
      </c>
      <c r="J15" s="292">
        <f>J6*'Key inputs_Pipelines'!H$4/SUM('Key inputs_Pipelines'!H$4:H$6)</f>
        <v>134.78166154152726</v>
      </c>
      <c r="K15" s="292">
        <f>K6*'Key inputs_Pipelines'!I$4/SUM('Key inputs_Pipelines'!I$4:I$6)</f>
        <v>0</v>
      </c>
      <c r="L15" s="292">
        <f>L6*'Key inputs_Pipelines'!J$4/SUM('Key inputs_Pipelines'!J$4:J$6)</f>
        <v>0</v>
      </c>
      <c r="M15" s="292">
        <f>M6*'Key inputs_Pipelines'!K$4/SUM('Key inputs_Pipelines'!K$4:K$6)</f>
        <v>0</v>
      </c>
      <c r="N15" s="292">
        <f>N6*'Key inputs_Pipelines'!L$4/SUM('Key inputs_Pipelines'!L$4:L$6)</f>
        <v>114.81731824653582</v>
      </c>
      <c r="O15" s="292">
        <f>O6*'Key inputs_Pipelines'!M$4/SUM('Key inputs_Pipelines'!M$4:M$6)</f>
        <v>0</v>
      </c>
      <c r="P15" s="292">
        <f>P6*'Key inputs_Pipelines'!N$4/SUM('Key inputs_Pipelines'!N$4:N$6)</f>
        <v>13.401621363274774</v>
      </c>
      <c r="Q15" s="292">
        <f>Q6*'Key inputs_Pipelines'!O$4/SUM('Key inputs_Pipelines'!O$4:O$6)</f>
        <v>0</v>
      </c>
      <c r="R15" s="292">
        <f>R6*'Key inputs_Pipelines'!P$4/SUM('Key inputs_Pipelines'!P$4:P$6)</f>
        <v>0</v>
      </c>
      <c r="S15" s="292">
        <f>S6*'Key inputs_Pipelines'!Q$4/SUM('Key inputs_Pipelines'!Q$4:Q$6)</f>
        <v>2.4794129714575619</v>
      </c>
      <c r="T15" s="292">
        <f>T6*'Key inputs_Pipelines'!R$4/SUM('Key inputs_Pipelines'!R$4:R$6)</f>
        <v>0</v>
      </c>
      <c r="U15" s="292">
        <f>U6*'Key inputs_Pipelines'!S$4/SUM('Key inputs_Pipelines'!S$4:S$6)</f>
        <v>0</v>
      </c>
      <c r="V15" s="292">
        <f>V6*'Key inputs_Pipelines'!T$4/SUM('Key inputs_Pipelines'!T$4:T$6)</f>
        <v>0</v>
      </c>
      <c r="W15" s="292">
        <f>W6*'Key inputs_Pipelines'!U$4/SUM('Key inputs_Pipelines'!U$4:U$6)</f>
        <v>0</v>
      </c>
      <c r="X15" s="292">
        <f>X6*'Key inputs_Pipelines'!V$4/SUM('Key inputs_Pipelines'!V$4:V$6)</f>
        <v>0</v>
      </c>
      <c r="Y15" s="292">
        <f>Y6*'Key inputs_Pipelines'!W$4/SUM('Key inputs_Pipelines'!W$4:W$6)</f>
        <v>0</v>
      </c>
      <c r="Z15" s="292">
        <f>Z6*'Key inputs_Pipelines'!X$4/SUM('Key inputs_Pipelines'!X$4:X$6)</f>
        <v>0</v>
      </c>
      <c r="AA15" s="292">
        <f>AA6*'Key inputs_Pipelines'!Y$4/SUM('Key inputs_Pipelines'!Y$4:Y$6)</f>
        <v>35.44394706045815</v>
      </c>
      <c r="AB15" s="292">
        <f>AB6*'Key inputs_Pipelines'!Z$4/SUM('Key inputs_Pipelines'!Z$4:Z$6)</f>
        <v>0</v>
      </c>
      <c r="AC15" s="292">
        <f>AC6*'Key inputs_Pipelines'!AA$4/SUM('Key inputs_Pipelines'!AA$4:AA$6)</f>
        <v>0</v>
      </c>
      <c r="AD15" s="292">
        <f>AD6*'Key inputs_Pipelines'!AB$4/SUM('Key inputs_Pipelines'!AB$4:AB$6)</f>
        <v>4565.3407191477099</v>
      </c>
      <c r="AE15" s="292">
        <f>AE6*'Key inputs_Pipelines'!AC$4/SUM('Key inputs_Pipelines'!AC$4:AC$6)</f>
        <v>24.705255878284923</v>
      </c>
      <c r="AF15" s="286">
        <f>AF6*'Key inputs_Pipelines'!AD$4/SUM('Key inputs_Pipelines'!AD$4:AD$6)</f>
        <v>0</v>
      </c>
    </row>
    <row r="16" spans="1:32">
      <c r="A16" s="71" t="s">
        <v>786</v>
      </c>
      <c r="B16" s="95" t="s">
        <v>795</v>
      </c>
      <c r="C16" s="71" t="s">
        <v>537</v>
      </c>
      <c r="D16" s="74" t="s">
        <v>387</v>
      </c>
      <c r="E16" s="176">
        <f>E7*'Key inputs_Pipelines'!C$4/SUM('Key inputs_Pipelines'!C$4:C$6)</f>
        <v>0</v>
      </c>
      <c r="F16" s="176">
        <f>F7*'Key inputs_Pipelines'!D$4/SUM('Key inputs_Pipelines'!D$4:D$6)</f>
        <v>46.606178280405508</v>
      </c>
      <c r="G16" s="176">
        <f>G7*'Key inputs_Pipelines'!E$4/SUM('Key inputs_Pipelines'!E$4:E$6)</f>
        <v>5.906529856330927</v>
      </c>
      <c r="H16" s="176">
        <f>H7*'Key inputs_Pipelines'!F$4/SUM('Key inputs_Pipelines'!F$4:F$6)</f>
        <v>35.132988139043562</v>
      </c>
      <c r="I16" s="176">
        <f>I7*'Key inputs_Pipelines'!G$4/SUM('Key inputs_Pipelines'!G$4:G$6)</f>
        <v>673.50843347170269</v>
      </c>
      <c r="J16" s="176">
        <f>J7*'Key inputs_Pipelines'!H$4/SUM('Key inputs_Pipelines'!H$4:H$6)</f>
        <v>1353.5631203647176</v>
      </c>
      <c r="K16" s="176">
        <f>K7*'Key inputs_Pipelines'!I$4/SUM('Key inputs_Pipelines'!I$4:I$6)</f>
        <v>0</v>
      </c>
      <c r="L16" s="176">
        <f>L7*'Key inputs_Pipelines'!J$4/SUM('Key inputs_Pipelines'!J$4:J$6)</f>
        <v>0</v>
      </c>
      <c r="M16" s="176">
        <f>M7*'Key inputs_Pipelines'!K$4/SUM('Key inputs_Pipelines'!K$4:K$6)</f>
        <v>0</v>
      </c>
      <c r="N16" s="176">
        <f>N7*'Key inputs_Pipelines'!L$4/SUM('Key inputs_Pipelines'!L$4:L$6)</f>
        <v>8515.1898033764737</v>
      </c>
      <c r="O16" s="176">
        <f>O7*'Key inputs_Pipelines'!M$4/SUM('Key inputs_Pipelines'!M$4:M$6)</f>
        <v>0</v>
      </c>
      <c r="P16" s="176">
        <f>P7*'Key inputs_Pipelines'!N$4/SUM('Key inputs_Pipelines'!N$4:N$6)</f>
        <v>6759.1725811226161</v>
      </c>
      <c r="Q16" s="176">
        <f>Q7*'Key inputs_Pipelines'!O$4/SUM('Key inputs_Pipelines'!O$4:O$6)</f>
        <v>1765.4017469568073</v>
      </c>
      <c r="R16" s="176">
        <f>R7*'Key inputs_Pipelines'!P$4/SUM('Key inputs_Pipelines'!P$4:P$6)</f>
        <v>0</v>
      </c>
      <c r="S16" s="176">
        <f>S7*'Key inputs_Pipelines'!Q$4/SUM('Key inputs_Pipelines'!Q$4:Q$6)</f>
        <v>865.31512703868907</v>
      </c>
      <c r="T16" s="176">
        <f>T7*'Key inputs_Pipelines'!R$4/SUM('Key inputs_Pipelines'!R$4:R$6)</f>
        <v>1900.4695022754147</v>
      </c>
      <c r="U16" s="176">
        <f>U7*'Key inputs_Pipelines'!S$4/SUM('Key inputs_Pipelines'!S$4:S$6)</f>
        <v>711.91811970699086</v>
      </c>
      <c r="V16" s="176">
        <f>V7*'Key inputs_Pipelines'!T$4/SUM('Key inputs_Pipelines'!T$4:T$6)</f>
        <v>0</v>
      </c>
      <c r="W16" s="176">
        <f>W7*'Key inputs_Pipelines'!U$4/SUM('Key inputs_Pipelines'!U$4:U$6)</f>
        <v>0</v>
      </c>
      <c r="X16" s="176">
        <f>X7*'Key inputs_Pipelines'!V$4/SUM('Key inputs_Pipelines'!V$4:V$6)</f>
        <v>0</v>
      </c>
      <c r="Y16" s="176">
        <f>Y7*'Key inputs_Pipelines'!W$4/SUM('Key inputs_Pipelines'!W$4:W$6)</f>
        <v>0</v>
      </c>
      <c r="Z16" s="176">
        <f>Z7*'Key inputs_Pipelines'!X$4/SUM('Key inputs_Pipelines'!X$4:X$6)</f>
        <v>675.68470409327085</v>
      </c>
      <c r="AA16" s="176">
        <f>AA7*'Key inputs_Pipelines'!Y$4/SUM('Key inputs_Pipelines'!Y$4:Y$6)</f>
        <v>0</v>
      </c>
      <c r="AB16" s="176">
        <f>AB7*'Key inputs_Pipelines'!Z$4/SUM('Key inputs_Pipelines'!Z$4:Z$6)</f>
        <v>0</v>
      </c>
      <c r="AC16" s="176">
        <f>AC7*'Key inputs_Pipelines'!AA$4/SUM('Key inputs_Pipelines'!AA$4:AA$6)</f>
        <v>0</v>
      </c>
      <c r="AD16" s="176">
        <f>AD7*'Key inputs_Pipelines'!AB$4/SUM('Key inputs_Pipelines'!AB$4:AB$6)</f>
        <v>41864.513340497404</v>
      </c>
      <c r="AE16" s="176">
        <f>AE7*'Key inputs_Pipelines'!AC$4/SUM('Key inputs_Pipelines'!AC$4:AC$6)</f>
        <v>0</v>
      </c>
      <c r="AF16" s="287">
        <f>AF7*'Key inputs_Pipelines'!AD$4/SUM('Key inputs_Pipelines'!AD$4:AD$6)</f>
        <v>0</v>
      </c>
    </row>
    <row r="17" spans="1:32">
      <c r="A17" s="71" t="s">
        <v>786</v>
      </c>
      <c r="B17" s="95" t="s">
        <v>795</v>
      </c>
      <c r="C17" s="71" t="s">
        <v>541</v>
      </c>
      <c r="D17" s="74" t="s">
        <v>387</v>
      </c>
      <c r="E17" s="176">
        <f>E8*'Key inputs_Pipelines'!C$4/SUM('Key inputs_Pipelines'!C$4:C$6)</f>
        <v>0</v>
      </c>
      <c r="F17" s="176">
        <f>F8*'Key inputs_Pipelines'!D$4/SUM('Key inputs_Pipelines'!D$4:D$6)</f>
        <v>1950.8014623084018</v>
      </c>
      <c r="G17" s="176">
        <f>G8*'Key inputs_Pipelines'!E$4/SUM('Key inputs_Pipelines'!E$4:E$6)</f>
        <v>0</v>
      </c>
      <c r="H17" s="176">
        <f>H8*'Key inputs_Pipelines'!F$4/SUM('Key inputs_Pipelines'!F$4:F$6)</f>
        <v>0</v>
      </c>
      <c r="I17" s="176">
        <f>I8*'Key inputs_Pipelines'!G$4/SUM('Key inputs_Pipelines'!G$4:G$6)</f>
        <v>13422.122207937984</v>
      </c>
      <c r="J17" s="176">
        <f>J8*'Key inputs_Pipelines'!H$4/SUM('Key inputs_Pipelines'!H$4:H$6)</f>
        <v>49424.121841553533</v>
      </c>
      <c r="K17" s="176">
        <f>K8*'Key inputs_Pipelines'!I$4/SUM('Key inputs_Pipelines'!I$4:I$6)</f>
        <v>0</v>
      </c>
      <c r="L17" s="176">
        <f>L8*'Key inputs_Pipelines'!J$4/SUM('Key inputs_Pipelines'!J$4:J$6)</f>
        <v>0</v>
      </c>
      <c r="M17" s="176">
        <f>M8*'Key inputs_Pipelines'!K$4/SUM('Key inputs_Pipelines'!K$4:K$6)</f>
        <v>0</v>
      </c>
      <c r="N17" s="176">
        <f>N8*'Key inputs_Pipelines'!L$4/SUM('Key inputs_Pipelines'!L$4:L$6)</f>
        <v>54368.751403430717</v>
      </c>
      <c r="O17" s="176">
        <f>O8*'Key inputs_Pipelines'!M$4/SUM('Key inputs_Pipelines'!M$4:M$6)</f>
        <v>0</v>
      </c>
      <c r="P17" s="176">
        <f>P8*'Key inputs_Pipelines'!N$4/SUM('Key inputs_Pipelines'!N$4:N$6)</f>
        <v>0</v>
      </c>
      <c r="Q17" s="176">
        <f>Q8*'Key inputs_Pipelines'!O$4/SUM('Key inputs_Pipelines'!O$4:O$6)</f>
        <v>60608.833458157249</v>
      </c>
      <c r="R17" s="176">
        <f>R8*'Key inputs_Pipelines'!P$4/SUM('Key inputs_Pipelines'!P$4:P$6)</f>
        <v>298.32002763255718</v>
      </c>
      <c r="S17" s="176">
        <f>S8*'Key inputs_Pipelines'!Q$4/SUM('Key inputs_Pipelines'!Q$4:Q$6)</f>
        <v>18627.209801317797</v>
      </c>
      <c r="T17" s="176">
        <f>T8*'Key inputs_Pipelines'!R$4/SUM('Key inputs_Pipelines'!R$4:R$6)</f>
        <v>4127.6521302898918</v>
      </c>
      <c r="U17" s="176">
        <f>U8*'Key inputs_Pipelines'!S$4/SUM('Key inputs_Pipelines'!S$4:S$6)</f>
        <v>29204.54746172476</v>
      </c>
      <c r="V17" s="176">
        <f>V8*'Key inputs_Pipelines'!T$4/SUM('Key inputs_Pipelines'!T$4:T$6)</f>
        <v>0</v>
      </c>
      <c r="W17" s="176">
        <f>W8*'Key inputs_Pipelines'!U$4/SUM('Key inputs_Pipelines'!U$4:U$6)</f>
        <v>7929.887005079624</v>
      </c>
      <c r="X17" s="176">
        <f>X8*'Key inputs_Pipelines'!V$4/SUM('Key inputs_Pipelines'!V$4:V$6)</f>
        <v>0</v>
      </c>
      <c r="Y17" s="176">
        <f>Y8*'Key inputs_Pipelines'!W$4/SUM('Key inputs_Pipelines'!W$4:W$6)</f>
        <v>13057.546087912311</v>
      </c>
      <c r="Z17" s="176">
        <f>Z8*'Key inputs_Pipelines'!X$4/SUM('Key inputs_Pipelines'!X$4:X$6)</f>
        <v>6982.7224832014354</v>
      </c>
      <c r="AA17" s="176">
        <f>AA8*'Key inputs_Pipelines'!Y$4/SUM('Key inputs_Pipelines'!Y$4:Y$6)</f>
        <v>4577.9859364540134</v>
      </c>
      <c r="AB17" s="176">
        <f>AB8*'Key inputs_Pipelines'!Z$4/SUM('Key inputs_Pipelines'!Z$4:Z$6)</f>
        <v>0</v>
      </c>
      <c r="AC17" s="176">
        <f>AC8*'Key inputs_Pipelines'!AA$4/SUM('Key inputs_Pipelines'!AA$4:AA$6)</f>
        <v>0</v>
      </c>
      <c r="AD17" s="176">
        <f>AD8*'Key inputs_Pipelines'!AB$4/SUM('Key inputs_Pipelines'!AB$4:AB$6)</f>
        <v>603155.29491737473</v>
      </c>
      <c r="AE17" s="176">
        <f>AE8*'Key inputs_Pipelines'!AC$4/SUM('Key inputs_Pipelines'!AC$4:AC$6)</f>
        <v>0</v>
      </c>
      <c r="AF17" s="287">
        <f>AF8*'Key inputs_Pipelines'!AD$4/SUM('Key inputs_Pipelines'!AD$4:AD$6)</f>
        <v>464811.41054340277</v>
      </c>
    </row>
    <row r="18" spans="1:32">
      <c r="A18" s="71" t="s">
        <v>786</v>
      </c>
      <c r="B18" s="95" t="s">
        <v>795</v>
      </c>
      <c r="C18" s="71" t="s">
        <v>543</v>
      </c>
      <c r="D18" s="74" t="s">
        <v>387</v>
      </c>
      <c r="E18" s="176">
        <f>E9*'Key inputs_Pipelines'!C$4/SUM('Key inputs_Pipelines'!C$4:C$6)</f>
        <v>0</v>
      </c>
      <c r="F18" s="176">
        <f>F9*'Key inputs_Pipelines'!D$4/SUM('Key inputs_Pipelines'!D$4:D$6)</f>
        <v>0</v>
      </c>
      <c r="G18" s="176">
        <f>G9*'Key inputs_Pipelines'!E$4/SUM('Key inputs_Pipelines'!E$4:E$6)</f>
        <v>0</v>
      </c>
      <c r="H18" s="176">
        <f>H9*'Key inputs_Pipelines'!F$4/SUM('Key inputs_Pipelines'!F$4:F$6)</f>
        <v>0</v>
      </c>
      <c r="I18" s="176">
        <f>I9*'Key inputs_Pipelines'!G$4/SUM('Key inputs_Pipelines'!G$4:G$6)</f>
        <v>0</v>
      </c>
      <c r="J18" s="176">
        <f>J9*'Key inputs_Pipelines'!H$4/SUM('Key inputs_Pipelines'!H$4:H$6)</f>
        <v>0</v>
      </c>
      <c r="K18" s="176">
        <f>K9*'Key inputs_Pipelines'!I$4/SUM('Key inputs_Pipelines'!I$4:I$6)</f>
        <v>0</v>
      </c>
      <c r="L18" s="176">
        <f>L9*'Key inputs_Pipelines'!J$4/SUM('Key inputs_Pipelines'!J$4:J$6)</f>
        <v>0</v>
      </c>
      <c r="M18" s="176">
        <f>M9*'Key inputs_Pipelines'!K$4/SUM('Key inputs_Pipelines'!K$4:K$6)</f>
        <v>0</v>
      </c>
      <c r="N18" s="176">
        <f>N9*'Key inputs_Pipelines'!L$4/SUM('Key inputs_Pipelines'!L$4:L$6)</f>
        <v>109.68171934732975</v>
      </c>
      <c r="O18" s="176">
        <f>O9*'Key inputs_Pipelines'!M$4/SUM('Key inputs_Pipelines'!M$4:M$6)</f>
        <v>0</v>
      </c>
      <c r="P18" s="176">
        <f>P9*'Key inputs_Pipelines'!N$4/SUM('Key inputs_Pipelines'!N$4:N$6)</f>
        <v>21.183207961305289</v>
      </c>
      <c r="Q18" s="176">
        <f>Q9*'Key inputs_Pipelines'!O$4/SUM('Key inputs_Pipelines'!O$4:O$6)</f>
        <v>0</v>
      </c>
      <c r="R18" s="176">
        <f>R9*'Key inputs_Pipelines'!P$4/SUM('Key inputs_Pipelines'!P$4:P$6)</f>
        <v>0</v>
      </c>
      <c r="S18" s="176">
        <f>S9*'Key inputs_Pipelines'!Q$4/SUM('Key inputs_Pipelines'!Q$4:Q$6)</f>
        <v>0</v>
      </c>
      <c r="T18" s="176">
        <f>T9*'Key inputs_Pipelines'!R$4/SUM('Key inputs_Pipelines'!R$4:R$6)</f>
        <v>0</v>
      </c>
      <c r="U18" s="176">
        <f>U9*'Key inputs_Pipelines'!S$4/SUM('Key inputs_Pipelines'!S$4:S$6)</f>
        <v>0</v>
      </c>
      <c r="V18" s="176">
        <f>V9*'Key inputs_Pipelines'!T$4/SUM('Key inputs_Pipelines'!T$4:T$6)</f>
        <v>0</v>
      </c>
      <c r="W18" s="176">
        <f>W9*'Key inputs_Pipelines'!U$4/SUM('Key inputs_Pipelines'!U$4:U$6)</f>
        <v>0</v>
      </c>
      <c r="X18" s="176">
        <f>X9*'Key inputs_Pipelines'!V$4/SUM('Key inputs_Pipelines'!V$4:V$6)</f>
        <v>0</v>
      </c>
      <c r="Y18" s="176">
        <f>Y9*'Key inputs_Pipelines'!W$4/SUM('Key inputs_Pipelines'!W$4:W$6)</f>
        <v>0</v>
      </c>
      <c r="Z18" s="176">
        <f>Z9*'Key inputs_Pipelines'!X$4/SUM('Key inputs_Pipelines'!X$4:X$6)</f>
        <v>0</v>
      </c>
      <c r="AA18" s="176">
        <f>AA9*'Key inputs_Pipelines'!Y$4/SUM('Key inputs_Pipelines'!Y$4:Y$6)</f>
        <v>0</v>
      </c>
      <c r="AB18" s="176">
        <f>AB9*'Key inputs_Pipelines'!Z$4/SUM('Key inputs_Pipelines'!Z$4:Z$6)</f>
        <v>0</v>
      </c>
      <c r="AC18" s="176">
        <f>AC9*'Key inputs_Pipelines'!AA$4/SUM('Key inputs_Pipelines'!AA$4:AA$6)</f>
        <v>0</v>
      </c>
      <c r="AD18" s="176">
        <f>AD9*'Key inputs_Pipelines'!AB$4/SUM('Key inputs_Pipelines'!AB$4:AB$6)</f>
        <v>620.5317482336693</v>
      </c>
      <c r="AE18" s="176">
        <f>AE9*'Key inputs_Pipelines'!AC$4/SUM('Key inputs_Pipelines'!AC$4:AC$6)</f>
        <v>0</v>
      </c>
      <c r="AF18" s="287">
        <f>AF9*'Key inputs_Pipelines'!AD$4/SUM('Key inputs_Pipelines'!AD$4:AD$6)</f>
        <v>0</v>
      </c>
    </row>
    <row r="19" spans="1:32">
      <c r="A19" s="71" t="s">
        <v>786</v>
      </c>
      <c r="B19" s="95" t="s">
        <v>795</v>
      </c>
      <c r="C19" s="71" t="s">
        <v>548</v>
      </c>
      <c r="D19" s="74" t="s">
        <v>387</v>
      </c>
      <c r="E19" s="176">
        <f>E10*'Key inputs_Pipelines'!C$4/SUM('Key inputs_Pipelines'!C$4:C$6)</f>
        <v>0</v>
      </c>
      <c r="F19" s="176">
        <f>F10*'Key inputs_Pipelines'!D$4/SUM('Key inputs_Pipelines'!D$4:D$6)</f>
        <v>0</v>
      </c>
      <c r="G19" s="176">
        <f>G10*'Key inputs_Pipelines'!E$4/SUM('Key inputs_Pipelines'!E$4:E$6)</f>
        <v>0</v>
      </c>
      <c r="H19" s="176">
        <f>H10*'Key inputs_Pipelines'!F$4/SUM('Key inputs_Pipelines'!F$4:F$6)</f>
        <v>0</v>
      </c>
      <c r="I19" s="176">
        <f>I10*'Key inputs_Pipelines'!G$4/SUM('Key inputs_Pipelines'!G$4:G$6)</f>
        <v>0</v>
      </c>
      <c r="J19" s="176">
        <f>J10*'Key inputs_Pipelines'!H$4/SUM('Key inputs_Pipelines'!H$4:H$6)</f>
        <v>0</v>
      </c>
      <c r="K19" s="176">
        <f>K10*'Key inputs_Pipelines'!I$4/SUM('Key inputs_Pipelines'!I$4:I$6)</f>
        <v>0</v>
      </c>
      <c r="L19" s="176">
        <f>L10*'Key inputs_Pipelines'!J$4/SUM('Key inputs_Pipelines'!J$4:J$6)</f>
        <v>0</v>
      </c>
      <c r="M19" s="176">
        <f>M10*'Key inputs_Pipelines'!K$4/SUM('Key inputs_Pipelines'!K$4:K$6)</f>
        <v>0</v>
      </c>
      <c r="N19" s="176">
        <f>N10*'Key inputs_Pipelines'!L$4/SUM('Key inputs_Pipelines'!L$4:L$6)</f>
        <v>0</v>
      </c>
      <c r="O19" s="176">
        <f>O10*'Key inputs_Pipelines'!M$4/SUM('Key inputs_Pipelines'!M$4:M$6)</f>
        <v>0</v>
      </c>
      <c r="P19" s="176">
        <f>P10*'Key inputs_Pipelines'!N$4/SUM('Key inputs_Pipelines'!N$4:N$6)</f>
        <v>2806.1265893231148</v>
      </c>
      <c r="Q19" s="176">
        <f>Q10*'Key inputs_Pipelines'!O$4/SUM('Key inputs_Pipelines'!O$4:O$6)</f>
        <v>0</v>
      </c>
      <c r="R19" s="176">
        <f>R10*'Key inputs_Pipelines'!P$4/SUM('Key inputs_Pipelines'!P$4:P$6)</f>
        <v>0</v>
      </c>
      <c r="S19" s="176">
        <f>S10*'Key inputs_Pipelines'!Q$4/SUM('Key inputs_Pipelines'!Q$4:Q$6)</f>
        <v>0</v>
      </c>
      <c r="T19" s="176">
        <f>T10*'Key inputs_Pipelines'!R$4/SUM('Key inputs_Pipelines'!R$4:R$6)</f>
        <v>0</v>
      </c>
      <c r="U19" s="176">
        <f>U10*'Key inputs_Pipelines'!S$4/SUM('Key inputs_Pipelines'!S$4:S$6)</f>
        <v>0</v>
      </c>
      <c r="V19" s="176">
        <f>V10*'Key inputs_Pipelines'!T$4/SUM('Key inputs_Pipelines'!T$4:T$6)</f>
        <v>0</v>
      </c>
      <c r="W19" s="176">
        <f>W10*'Key inputs_Pipelines'!U$4/SUM('Key inputs_Pipelines'!U$4:U$6)</f>
        <v>0</v>
      </c>
      <c r="X19" s="176">
        <f>X10*'Key inputs_Pipelines'!V$4/SUM('Key inputs_Pipelines'!V$4:V$6)</f>
        <v>0</v>
      </c>
      <c r="Y19" s="176">
        <f>Y10*'Key inputs_Pipelines'!W$4/SUM('Key inputs_Pipelines'!W$4:W$6)</f>
        <v>0</v>
      </c>
      <c r="Z19" s="176">
        <f>Z10*'Key inputs_Pipelines'!X$4/SUM('Key inputs_Pipelines'!X$4:X$6)</f>
        <v>0</v>
      </c>
      <c r="AA19" s="176">
        <f>AA10*'Key inputs_Pipelines'!Y$4/SUM('Key inputs_Pipelines'!Y$4:Y$6)</f>
        <v>0</v>
      </c>
      <c r="AB19" s="176">
        <f>AB10*'Key inputs_Pipelines'!Z$4/SUM('Key inputs_Pipelines'!Z$4:Z$6)</f>
        <v>0</v>
      </c>
      <c r="AC19" s="176">
        <f>AC10*'Key inputs_Pipelines'!AA$4/SUM('Key inputs_Pipelines'!AA$4:AA$6)</f>
        <v>0</v>
      </c>
      <c r="AD19" s="176">
        <f>AD10*'Key inputs_Pipelines'!AB$4/SUM('Key inputs_Pipelines'!AB$4:AB$6)</f>
        <v>6.2574630073983464</v>
      </c>
      <c r="AE19" s="176">
        <f>AE10*'Key inputs_Pipelines'!AC$4/SUM('Key inputs_Pipelines'!AC$4:AC$6)</f>
        <v>2.4220839096357767</v>
      </c>
      <c r="AF19" s="287">
        <f>AF10*'Key inputs_Pipelines'!AD$4/SUM('Key inputs_Pipelines'!AD$4:AD$6)</f>
        <v>0</v>
      </c>
    </row>
    <row r="20" spans="1:32">
      <c r="A20" s="71" t="s">
        <v>786</v>
      </c>
      <c r="B20" s="95" t="s">
        <v>795</v>
      </c>
      <c r="C20" s="71" t="s">
        <v>550</v>
      </c>
      <c r="D20" s="74" t="s">
        <v>387</v>
      </c>
      <c r="E20" s="176">
        <f>E11*'Key inputs_Pipelines'!C$4/SUM('Key inputs_Pipelines'!C$4:C$6)</f>
        <v>0</v>
      </c>
      <c r="F20" s="176">
        <f>F11*'Key inputs_Pipelines'!D$4/SUM('Key inputs_Pipelines'!D$4:D$6)</f>
        <v>0</v>
      </c>
      <c r="G20" s="176">
        <f>G11*'Key inputs_Pipelines'!E$4/SUM('Key inputs_Pipelines'!E$4:E$6)</f>
        <v>0</v>
      </c>
      <c r="H20" s="176">
        <f>H11*'Key inputs_Pipelines'!F$4/SUM('Key inputs_Pipelines'!F$4:F$6)</f>
        <v>0</v>
      </c>
      <c r="I20" s="176">
        <f>I11*'Key inputs_Pipelines'!G$4/SUM('Key inputs_Pipelines'!G$4:G$6)</f>
        <v>0</v>
      </c>
      <c r="J20" s="176">
        <f>J11*'Key inputs_Pipelines'!H$4/SUM('Key inputs_Pipelines'!H$4:H$6)</f>
        <v>0</v>
      </c>
      <c r="K20" s="176">
        <f>K11*'Key inputs_Pipelines'!I$4/SUM('Key inputs_Pipelines'!I$4:I$6)</f>
        <v>0</v>
      </c>
      <c r="L20" s="176">
        <f>L11*'Key inputs_Pipelines'!J$4/SUM('Key inputs_Pipelines'!J$4:J$6)</f>
        <v>0</v>
      </c>
      <c r="M20" s="176">
        <f>M11*'Key inputs_Pipelines'!K$4/SUM('Key inputs_Pipelines'!K$4:K$6)</f>
        <v>0</v>
      </c>
      <c r="N20" s="176">
        <f>N11*'Key inputs_Pipelines'!L$4/SUM('Key inputs_Pipelines'!L$4:L$6)</f>
        <v>0</v>
      </c>
      <c r="O20" s="176">
        <f>O11*'Key inputs_Pipelines'!M$4/SUM('Key inputs_Pipelines'!M$4:M$6)</f>
        <v>0</v>
      </c>
      <c r="P20" s="176">
        <f>P11*'Key inputs_Pipelines'!N$4/SUM('Key inputs_Pipelines'!N$4:N$6)</f>
        <v>0</v>
      </c>
      <c r="Q20" s="176">
        <f>Q11*'Key inputs_Pipelines'!O$4/SUM('Key inputs_Pipelines'!O$4:O$6)</f>
        <v>0</v>
      </c>
      <c r="R20" s="176">
        <f>R11*'Key inputs_Pipelines'!P$4/SUM('Key inputs_Pipelines'!P$4:P$6)</f>
        <v>0</v>
      </c>
      <c r="S20" s="176">
        <f>S11*'Key inputs_Pipelines'!Q$4/SUM('Key inputs_Pipelines'!Q$4:Q$6)</f>
        <v>0</v>
      </c>
      <c r="T20" s="176">
        <f>T11*'Key inputs_Pipelines'!R$4/SUM('Key inputs_Pipelines'!R$4:R$6)</f>
        <v>0</v>
      </c>
      <c r="U20" s="176">
        <f>U11*'Key inputs_Pipelines'!S$4/SUM('Key inputs_Pipelines'!S$4:S$6)</f>
        <v>0</v>
      </c>
      <c r="V20" s="176">
        <f>V11*'Key inputs_Pipelines'!T$4/SUM('Key inputs_Pipelines'!T$4:T$6)</f>
        <v>0</v>
      </c>
      <c r="W20" s="176">
        <f>W11*'Key inputs_Pipelines'!U$4/SUM('Key inputs_Pipelines'!U$4:U$6)</f>
        <v>0</v>
      </c>
      <c r="X20" s="176">
        <f>X11*'Key inputs_Pipelines'!V$4/SUM('Key inputs_Pipelines'!V$4:V$6)</f>
        <v>0</v>
      </c>
      <c r="Y20" s="176">
        <f>Y11*'Key inputs_Pipelines'!W$4/SUM('Key inputs_Pipelines'!W$4:W$6)</f>
        <v>0</v>
      </c>
      <c r="Z20" s="176">
        <f>Z11*'Key inputs_Pipelines'!X$4/SUM('Key inputs_Pipelines'!X$4:X$6)</f>
        <v>0</v>
      </c>
      <c r="AA20" s="176">
        <f>AA11*'Key inputs_Pipelines'!Y$4/SUM('Key inputs_Pipelines'!Y$4:Y$6)</f>
        <v>297.84349062094668</v>
      </c>
      <c r="AB20" s="176">
        <f>AB11*'Key inputs_Pipelines'!Z$4/SUM('Key inputs_Pipelines'!Z$4:Z$6)</f>
        <v>0</v>
      </c>
      <c r="AC20" s="176">
        <f>AC11*'Key inputs_Pipelines'!AA$4/SUM('Key inputs_Pipelines'!AA$4:AA$6)</f>
        <v>0</v>
      </c>
      <c r="AD20" s="176">
        <f>AD11*'Key inputs_Pipelines'!AB$4/SUM('Key inputs_Pipelines'!AB$4:AB$6)</f>
        <v>0</v>
      </c>
      <c r="AE20" s="176">
        <f>AE11*'Key inputs_Pipelines'!AC$4/SUM('Key inputs_Pipelines'!AC$4:AC$6)</f>
        <v>0</v>
      </c>
      <c r="AF20" s="287">
        <f>AF11*'Key inputs_Pipelines'!AD$4/SUM('Key inputs_Pipelines'!AD$4:AD$6)</f>
        <v>0</v>
      </c>
    </row>
    <row r="21" spans="1:32">
      <c r="A21" s="71" t="s">
        <v>786</v>
      </c>
      <c r="B21" s="95" t="s">
        <v>795</v>
      </c>
      <c r="C21" s="71" t="s">
        <v>552</v>
      </c>
      <c r="D21" s="74" t="s">
        <v>387</v>
      </c>
      <c r="E21" s="176">
        <f>E12*'Key inputs_Pipelines'!C$4/SUM('Key inputs_Pipelines'!C$4:C$6)</f>
        <v>0</v>
      </c>
      <c r="F21" s="176">
        <f>F12*'Key inputs_Pipelines'!D$4/SUM('Key inputs_Pipelines'!D$4:D$6)</f>
        <v>0</v>
      </c>
      <c r="G21" s="176">
        <f>G12*'Key inputs_Pipelines'!E$4/SUM('Key inputs_Pipelines'!E$4:E$6)</f>
        <v>0</v>
      </c>
      <c r="H21" s="176">
        <f>H12*'Key inputs_Pipelines'!F$4/SUM('Key inputs_Pipelines'!F$4:F$6)</f>
        <v>0.85989831109547188</v>
      </c>
      <c r="I21" s="176">
        <f>I12*'Key inputs_Pipelines'!G$4/SUM('Key inputs_Pipelines'!G$4:G$6)</f>
        <v>0</v>
      </c>
      <c r="J21" s="176">
        <f>J12*'Key inputs_Pipelines'!H$4/SUM('Key inputs_Pipelines'!H$4:H$6)</f>
        <v>0</v>
      </c>
      <c r="K21" s="176">
        <f>K12*'Key inputs_Pipelines'!I$4/SUM('Key inputs_Pipelines'!I$4:I$6)</f>
        <v>0</v>
      </c>
      <c r="L21" s="176">
        <f>L12*'Key inputs_Pipelines'!J$4/SUM('Key inputs_Pipelines'!J$4:J$6)</f>
        <v>0</v>
      </c>
      <c r="M21" s="176">
        <f>M12*'Key inputs_Pipelines'!K$4/SUM('Key inputs_Pipelines'!K$4:K$6)</f>
        <v>0</v>
      </c>
      <c r="N21" s="176">
        <f>N12*'Key inputs_Pipelines'!L$4/SUM('Key inputs_Pipelines'!L$4:L$6)</f>
        <v>0</v>
      </c>
      <c r="O21" s="176">
        <f>O12*'Key inputs_Pipelines'!M$4/SUM('Key inputs_Pipelines'!M$4:M$6)</f>
        <v>2.6536865676556789</v>
      </c>
      <c r="P21" s="176">
        <f>P12*'Key inputs_Pipelines'!N$4/SUM('Key inputs_Pipelines'!N$4:N$6)</f>
        <v>2.161551832786254</v>
      </c>
      <c r="Q21" s="176">
        <f>Q12*'Key inputs_Pipelines'!O$4/SUM('Key inputs_Pipelines'!O$4:O$6)</f>
        <v>0</v>
      </c>
      <c r="R21" s="176">
        <f>R12*'Key inputs_Pipelines'!P$4/SUM('Key inputs_Pipelines'!P$4:P$6)</f>
        <v>0</v>
      </c>
      <c r="S21" s="176">
        <f>S12*'Key inputs_Pipelines'!Q$4/SUM('Key inputs_Pipelines'!Q$4:Q$6)</f>
        <v>0</v>
      </c>
      <c r="T21" s="176">
        <f>T12*'Key inputs_Pipelines'!R$4/SUM('Key inputs_Pipelines'!R$4:R$6)</f>
        <v>0</v>
      </c>
      <c r="U21" s="176">
        <f>U12*'Key inputs_Pipelines'!S$4/SUM('Key inputs_Pipelines'!S$4:S$6)</f>
        <v>0</v>
      </c>
      <c r="V21" s="176">
        <f>V12*'Key inputs_Pipelines'!T$4/SUM('Key inputs_Pipelines'!T$4:T$6)</f>
        <v>0</v>
      </c>
      <c r="W21" s="176">
        <f>W12*'Key inputs_Pipelines'!U$4/SUM('Key inputs_Pipelines'!U$4:U$6)</f>
        <v>0</v>
      </c>
      <c r="X21" s="176">
        <f>X12*'Key inputs_Pipelines'!V$4/SUM('Key inputs_Pipelines'!V$4:V$6)</f>
        <v>0</v>
      </c>
      <c r="Y21" s="176">
        <f>Y12*'Key inputs_Pipelines'!W$4/SUM('Key inputs_Pipelines'!W$4:W$6)</f>
        <v>0</v>
      </c>
      <c r="Z21" s="176">
        <f>Z12*'Key inputs_Pipelines'!X$4/SUM('Key inputs_Pipelines'!X$4:X$6)</f>
        <v>0</v>
      </c>
      <c r="AA21" s="176">
        <f>AA12*'Key inputs_Pipelines'!Y$4/SUM('Key inputs_Pipelines'!Y$4:Y$6)</f>
        <v>0</v>
      </c>
      <c r="AB21" s="176">
        <f>AB12*'Key inputs_Pipelines'!Z$4/SUM('Key inputs_Pipelines'!Z$4:Z$6)</f>
        <v>0</v>
      </c>
      <c r="AC21" s="176">
        <f>AC12*'Key inputs_Pipelines'!AA$4/SUM('Key inputs_Pipelines'!AA$4:AA$6)</f>
        <v>0</v>
      </c>
      <c r="AD21" s="176">
        <f>AD12*'Key inputs_Pipelines'!AB$4/SUM('Key inputs_Pipelines'!AB$4:AB$6)</f>
        <v>20.336754774044625</v>
      </c>
      <c r="AE21" s="176">
        <f>AE12*'Key inputs_Pipelines'!AC$4/SUM('Key inputs_Pipelines'!AC$4:AC$6)</f>
        <v>0</v>
      </c>
      <c r="AF21" s="287">
        <f>AF12*'Key inputs_Pipelines'!AD$4/SUM('Key inputs_Pipelines'!AD$4:AD$6)</f>
        <v>0</v>
      </c>
    </row>
    <row r="22" spans="1:32">
      <c r="A22" s="76" t="s">
        <v>786</v>
      </c>
      <c r="B22" s="76" t="s">
        <v>795</v>
      </c>
      <c r="C22" s="76" t="s">
        <v>556</v>
      </c>
      <c r="D22" s="77" t="s">
        <v>387</v>
      </c>
      <c r="E22" s="288">
        <f>E13*'Key inputs_Pipelines'!C$4/SUM('Key inputs_Pipelines'!C$4:C$6)</f>
        <v>0</v>
      </c>
      <c r="F22" s="289">
        <f>F13*'Key inputs_Pipelines'!D$4/SUM('Key inputs_Pipelines'!D$4:D$6)</f>
        <v>0</v>
      </c>
      <c r="G22" s="289">
        <f>G13*'Key inputs_Pipelines'!E$4/SUM('Key inputs_Pipelines'!E$4:E$6)</f>
        <v>0</v>
      </c>
      <c r="H22" s="289">
        <f>H13*'Key inputs_Pipelines'!F$4/SUM('Key inputs_Pipelines'!F$4:F$6)</f>
        <v>0</v>
      </c>
      <c r="I22" s="289">
        <f>I13*'Key inputs_Pipelines'!G$4/SUM('Key inputs_Pipelines'!G$4:G$6)</f>
        <v>0</v>
      </c>
      <c r="J22" s="289">
        <f>J13*'Key inputs_Pipelines'!H$4/SUM('Key inputs_Pipelines'!H$4:H$6)</f>
        <v>32.911801074093866</v>
      </c>
      <c r="K22" s="289">
        <f>K13*'Key inputs_Pipelines'!I$4/SUM('Key inputs_Pipelines'!I$4:I$6)</f>
        <v>0</v>
      </c>
      <c r="L22" s="289">
        <f>L13*'Key inputs_Pipelines'!J$4/SUM('Key inputs_Pipelines'!J$4:J$6)</f>
        <v>0</v>
      </c>
      <c r="M22" s="289">
        <f>M13*'Key inputs_Pipelines'!K$4/SUM('Key inputs_Pipelines'!K$4:K$6)</f>
        <v>0</v>
      </c>
      <c r="N22" s="289">
        <f>N13*'Key inputs_Pipelines'!L$4/SUM('Key inputs_Pipelines'!L$4:L$6)</f>
        <v>0</v>
      </c>
      <c r="O22" s="289">
        <f>O13*'Key inputs_Pipelines'!M$4/SUM('Key inputs_Pipelines'!M$4:M$6)</f>
        <v>0</v>
      </c>
      <c r="P22" s="289">
        <f>P13*'Key inputs_Pipelines'!N$4/SUM('Key inputs_Pipelines'!N$4:N$6)</f>
        <v>0</v>
      </c>
      <c r="Q22" s="289">
        <f>Q13*'Key inputs_Pipelines'!O$4/SUM('Key inputs_Pipelines'!O$4:O$6)</f>
        <v>0</v>
      </c>
      <c r="R22" s="289">
        <f>R13*'Key inputs_Pipelines'!P$4/SUM('Key inputs_Pipelines'!P$4:P$6)</f>
        <v>0</v>
      </c>
      <c r="S22" s="289">
        <f>S13*'Key inputs_Pipelines'!Q$4/SUM('Key inputs_Pipelines'!Q$4:Q$6)</f>
        <v>0</v>
      </c>
      <c r="T22" s="289">
        <f>T13*'Key inputs_Pipelines'!R$4/SUM('Key inputs_Pipelines'!R$4:R$6)</f>
        <v>0</v>
      </c>
      <c r="U22" s="289">
        <f>U13*'Key inputs_Pipelines'!S$4/SUM('Key inputs_Pipelines'!S$4:S$6)</f>
        <v>0</v>
      </c>
      <c r="V22" s="289">
        <f>V13*'Key inputs_Pipelines'!T$4/SUM('Key inputs_Pipelines'!T$4:T$6)</f>
        <v>0</v>
      </c>
      <c r="W22" s="289">
        <f>W13*'Key inputs_Pipelines'!U$4/SUM('Key inputs_Pipelines'!U$4:U$6)</f>
        <v>0</v>
      </c>
      <c r="X22" s="289">
        <f>X13*'Key inputs_Pipelines'!V$4/SUM('Key inputs_Pipelines'!V$4:V$6)</f>
        <v>0</v>
      </c>
      <c r="Y22" s="289">
        <f>Y13*'Key inputs_Pipelines'!W$4/SUM('Key inputs_Pipelines'!W$4:W$6)</f>
        <v>0</v>
      </c>
      <c r="Z22" s="289">
        <f>Z13*'Key inputs_Pipelines'!X$4/SUM('Key inputs_Pipelines'!X$4:X$6)</f>
        <v>0</v>
      </c>
      <c r="AA22" s="289">
        <f>AA13*'Key inputs_Pipelines'!Y$4/SUM('Key inputs_Pipelines'!Y$4:Y$6)</f>
        <v>0</v>
      </c>
      <c r="AB22" s="289">
        <f>AB13*'Key inputs_Pipelines'!Z$4/SUM('Key inputs_Pipelines'!Z$4:Z$6)</f>
        <v>0</v>
      </c>
      <c r="AC22" s="289">
        <f>AC13*'Key inputs_Pipelines'!AA$4/SUM('Key inputs_Pipelines'!AA$4:AA$6)</f>
        <v>0</v>
      </c>
      <c r="AD22" s="289">
        <f>AD13*'Key inputs_Pipelines'!AB$4/SUM('Key inputs_Pipelines'!AB$4:AB$6)</f>
        <v>0</v>
      </c>
      <c r="AE22" s="289">
        <f>AE13*'Key inputs_Pipelines'!AC$4/SUM('Key inputs_Pipelines'!AC$4:AC$6)</f>
        <v>0</v>
      </c>
      <c r="AF22" s="290">
        <f>AF13*'Key inputs_Pipelines'!AD$4/SUM('Key inputs_Pipelines'!AD$4:AD$6)</f>
        <v>0</v>
      </c>
    </row>
    <row r="23" spans="1:32">
      <c r="A23" s="95" t="s">
        <v>786</v>
      </c>
      <c r="B23" s="95" t="s">
        <v>796</v>
      </c>
      <c r="C23" s="71" t="s">
        <v>535</v>
      </c>
      <c r="D23" s="74" t="s">
        <v>387</v>
      </c>
      <c r="E23" s="176">
        <f>E6*'Key inputs_Pipelines'!C$5/SUM('Key inputs_Pipelines'!C$4:C$6)</f>
        <v>0</v>
      </c>
      <c r="F23" s="176">
        <f>F6*'Key inputs_Pipelines'!D$5/SUM('Key inputs_Pipelines'!D$4:D$6)</f>
        <v>0</v>
      </c>
      <c r="G23" s="176">
        <f>G6*'Key inputs_Pipelines'!E$5/SUM('Key inputs_Pipelines'!E$4:E$6)</f>
        <v>0</v>
      </c>
      <c r="H23" s="176">
        <f>H6*'Key inputs_Pipelines'!F$5/SUM('Key inputs_Pipelines'!F$4:F$6)</f>
        <v>42.378068295686809</v>
      </c>
      <c r="I23" s="176">
        <f>I6*'Key inputs_Pipelines'!G$5/SUM('Key inputs_Pipelines'!G$4:G$6)</f>
        <v>0</v>
      </c>
      <c r="J23" s="176">
        <f>J6*'Key inputs_Pipelines'!H$5/SUM('Key inputs_Pipelines'!H$4:H$6)</f>
        <v>9.4764029746017737</v>
      </c>
      <c r="K23" s="176">
        <f>K6*'Key inputs_Pipelines'!I$5/SUM('Key inputs_Pipelines'!I$4:I$6)</f>
        <v>0</v>
      </c>
      <c r="L23" s="176">
        <f>L6*'Key inputs_Pipelines'!J$5/SUM('Key inputs_Pipelines'!J$4:J$6)</f>
        <v>0</v>
      </c>
      <c r="M23" s="176">
        <f>M6*'Key inputs_Pipelines'!K$5/SUM('Key inputs_Pipelines'!K$4:K$6)</f>
        <v>0</v>
      </c>
      <c r="N23" s="176">
        <f>N6*'Key inputs_Pipelines'!L$5/SUM('Key inputs_Pipelines'!L$4:L$6)</f>
        <v>1.9854588753092643</v>
      </c>
      <c r="O23" s="176">
        <f>O6*'Key inputs_Pipelines'!M$5/SUM('Key inputs_Pipelines'!M$4:M$6)</f>
        <v>0</v>
      </c>
      <c r="P23" s="176">
        <f>P6*'Key inputs_Pipelines'!N$5/SUM('Key inputs_Pipelines'!N$4:N$6)</f>
        <v>0</v>
      </c>
      <c r="Q23" s="176">
        <f>Q6*'Key inputs_Pipelines'!O$5/SUM('Key inputs_Pipelines'!O$4:O$6)</f>
        <v>0</v>
      </c>
      <c r="R23" s="176">
        <f>R6*'Key inputs_Pipelines'!P$5/SUM('Key inputs_Pipelines'!P$4:P$6)</f>
        <v>0</v>
      </c>
      <c r="S23" s="176">
        <f>S6*'Key inputs_Pipelines'!Q$5/SUM('Key inputs_Pipelines'!Q$4:Q$6)</f>
        <v>7.2410312446933175E-2</v>
      </c>
      <c r="T23" s="176">
        <f>T6*'Key inputs_Pipelines'!R$5/SUM('Key inputs_Pipelines'!R$4:R$6)</f>
        <v>0</v>
      </c>
      <c r="U23" s="176">
        <f>U6*'Key inputs_Pipelines'!S$5/SUM('Key inputs_Pipelines'!S$4:S$6)</f>
        <v>0</v>
      </c>
      <c r="V23" s="176">
        <f>V6*'Key inputs_Pipelines'!T$5/SUM('Key inputs_Pipelines'!T$4:T$6)</f>
        <v>0</v>
      </c>
      <c r="W23" s="176">
        <f>W6*'Key inputs_Pipelines'!U$5/SUM('Key inputs_Pipelines'!U$4:U$6)</f>
        <v>0</v>
      </c>
      <c r="X23" s="176">
        <f>X6*'Key inputs_Pipelines'!V$5/SUM('Key inputs_Pipelines'!V$4:V$6)</f>
        <v>0</v>
      </c>
      <c r="Y23" s="176">
        <f>Y6*'Key inputs_Pipelines'!W$5/SUM('Key inputs_Pipelines'!W$4:W$6)</f>
        <v>0</v>
      </c>
      <c r="Z23" s="176">
        <f>Z6*'Key inputs_Pipelines'!X$5/SUM('Key inputs_Pipelines'!X$4:X$6)</f>
        <v>0</v>
      </c>
      <c r="AA23" s="176">
        <f>AA6*'Key inputs_Pipelines'!Y$5/SUM('Key inputs_Pipelines'!Y$4:Y$6)</f>
        <v>13.230482686038087</v>
      </c>
      <c r="AB23" s="176">
        <f>AB6*'Key inputs_Pipelines'!Z$5/SUM('Key inputs_Pipelines'!Z$4:Z$6)</f>
        <v>0</v>
      </c>
      <c r="AC23" s="176">
        <f>AC6*'Key inputs_Pipelines'!AA$5/SUM('Key inputs_Pipelines'!AA$4:AA$6)</f>
        <v>0</v>
      </c>
      <c r="AD23" s="176">
        <f>AD6*'Key inputs_Pipelines'!AB$5/SUM('Key inputs_Pipelines'!AB$4:AB$6)</f>
        <v>279.132362815053</v>
      </c>
      <c r="AE23" s="176">
        <f>AE6*'Key inputs_Pipelines'!AC$5/SUM('Key inputs_Pipelines'!AC$4:AC$6)</f>
        <v>0</v>
      </c>
      <c r="AF23" s="287">
        <f>AF6*'Key inputs_Pipelines'!AD$5/SUM('Key inputs_Pipelines'!AD$4:AD$6)</f>
        <v>0</v>
      </c>
    </row>
    <row r="24" spans="1:32">
      <c r="A24" s="95" t="s">
        <v>786</v>
      </c>
      <c r="B24" s="95" t="s">
        <v>796</v>
      </c>
      <c r="C24" s="71" t="s">
        <v>537</v>
      </c>
      <c r="D24" s="74" t="s">
        <v>387</v>
      </c>
      <c r="E24" s="176">
        <f>E7*'Key inputs_Pipelines'!C$5/SUM('Key inputs_Pipelines'!C$4:C$6)</f>
        <v>0</v>
      </c>
      <c r="F24" s="176">
        <f>F7*'Key inputs_Pipelines'!D$5/SUM('Key inputs_Pipelines'!D$4:D$6)</f>
        <v>8.27146423475868</v>
      </c>
      <c r="G24" s="176">
        <f>G7*'Key inputs_Pipelines'!E$5/SUM('Key inputs_Pipelines'!E$4:E$6)</f>
        <v>0.92570113344864347</v>
      </c>
      <c r="H24" s="176">
        <f>H7*'Key inputs_Pipelines'!F$5/SUM('Key inputs_Pipelines'!F$4:F$6)</f>
        <v>14.192186806283875</v>
      </c>
      <c r="I24" s="176">
        <f>I7*'Key inputs_Pipelines'!G$5/SUM('Key inputs_Pipelines'!G$4:G$6)</f>
        <v>34.180835723626657</v>
      </c>
      <c r="J24" s="176">
        <f>J7*'Key inputs_Pipelines'!H$5/SUM('Key inputs_Pipelines'!H$4:H$6)</f>
        <v>95.168062430981379</v>
      </c>
      <c r="K24" s="176">
        <f>K7*'Key inputs_Pipelines'!I$5/SUM('Key inputs_Pipelines'!I$4:I$6)</f>
        <v>0</v>
      </c>
      <c r="L24" s="176">
        <f>L7*'Key inputs_Pipelines'!J$5/SUM('Key inputs_Pipelines'!J$4:J$6)</f>
        <v>0</v>
      </c>
      <c r="M24" s="176">
        <f>M7*'Key inputs_Pipelines'!K$5/SUM('Key inputs_Pipelines'!K$4:K$6)</f>
        <v>0</v>
      </c>
      <c r="N24" s="176">
        <f>N7*'Key inputs_Pipelines'!L$5/SUM('Key inputs_Pipelines'!L$4:L$6)</f>
        <v>147.24746604649826</v>
      </c>
      <c r="O24" s="176">
        <f>O7*'Key inputs_Pipelines'!M$5/SUM('Key inputs_Pipelines'!M$4:M$6)</f>
        <v>0</v>
      </c>
      <c r="P24" s="176">
        <f>P7*'Key inputs_Pipelines'!N$5/SUM('Key inputs_Pipelines'!N$4:N$6)</f>
        <v>0</v>
      </c>
      <c r="Q24" s="176">
        <f>Q7*'Key inputs_Pipelines'!O$5/SUM('Key inputs_Pipelines'!O$4:O$6)</f>
        <v>108.4439132352734</v>
      </c>
      <c r="R24" s="176">
        <f>R7*'Key inputs_Pipelines'!P$5/SUM('Key inputs_Pipelines'!P$4:P$6)</f>
        <v>0</v>
      </c>
      <c r="S24" s="176">
        <f>S7*'Key inputs_Pipelines'!Q$5/SUM('Key inputs_Pipelines'!Q$4:Q$6)</f>
        <v>25.271199043979678</v>
      </c>
      <c r="T24" s="176">
        <f>T7*'Key inputs_Pipelines'!R$5/SUM('Key inputs_Pipelines'!R$4:R$6)</f>
        <v>0.75877736768552695</v>
      </c>
      <c r="U24" s="176">
        <f>U7*'Key inputs_Pipelines'!S$5/SUM('Key inputs_Pipelines'!S$4:S$6)</f>
        <v>20.621113845849152</v>
      </c>
      <c r="V24" s="176">
        <f>V7*'Key inputs_Pipelines'!T$5/SUM('Key inputs_Pipelines'!T$4:T$6)</f>
        <v>0</v>
      </c>
      <c r="W24" s="176">
        <f>W7*'Key inputs_Pipelines'!U$5/SUM('Key inputs_Pipelines'!U$4:U$6)</f>
        <v>0</v>
      </c>
      <c r="X24" s="176">
        <f>X7*'Key inputs_Pipelines'!V$5/SUM('Key inputs_Pipelines'!V$4:V$6)</f>
        <v>0</v>
      </c>
      <c r="Y24" s="176">
        <f>Y7*'Key inputs_Pipelines'!W$5/SUM('Key inputs_Pipelines'!W$4:W$6)</f>
        <v>0</v>
      </c>
      <c r="Z24" s="176">
        <f>Z7*'Key inputs_Pipelines'!X$5/SUM('Key inputs_Pipelines'!X$4:X$6)</f>
        <v>12.433405145102014</v>
      </c>
      <c r="AA24" s="176">
        <f>AA7*'Key inputs_Pipelines'!Y$5/SUM('Key inputs_Pipelines'!Y$4:Y$6)</f>
        <v>0</v>
      </c>
      <c r="AB24" s="176">
        <f>AB7*'Key inputs_Pipelines'!Z$5/SUM('Key inputs_Pipelines'!Z$4:Z$6)</f>
        <v>0</v>
      </c>
      <c r="AC24" s="176">
        <f>AC7*'Key inputs_Pipelines'!AA$5/SUM('Key inputs_Pipelines'!AA$4:AA$6)</f>
        <v>0</v>
      </c>
      <c r="AD24" s="176">
        <f>AD7*'Key inputs_Pipelines'!AB$5/SUM('Key inputs_Pipelines'!AB$4:AB$6)</f>
        <v>2559.6644907188711</v>
      </c>
      <c r="AE24" s="176">
        <f>AE7*'Key inputs_Pipelines'!AC$5/SUM('Key inputs_Pipelines'!AC$4:AC$6)</f>
        <v>0</v>
      </c>
      <c r="AF24" s="287">
        <f>AF7*'Key inputs_Pipelines'!AD$5/SUM('Key inputs_Pipelines'!AD$4:AD$6)</f>
        <v>0</v>
      </c>
    </row>
    <row r="25" spans="1:32">
      <c r="A25" s="95" t="s">
        <v>786</v>
      </c>
      <c r="B25" s="95" t="s">
        <v>796</v>
      </c>
      <c r="C25" s="71" t="s">
        <v>541</v>
      </c>
      <c r="D25" s="74" t="s">
        <v>387</v>
      </c>
      <c r="E25" s="176">
        <f>E8*'Key inputs_Pipelines'!C$5/SUM('Key inputs_Pipelines'!C$4:C$6)</f>
        <v>0</v>
      </c>
      <c r="F25" s="176">
        <f>F8*'Key inputs_Pipelines'!D$5/SUM('Key inputs_Pipelines'!D$4:D$6)</f>
        <v>346.21986011204194</v>
      </c>
      <c r="G25" s="176">
        <f>G8*'Key inputs_Pipelines'!E$5/SUM('Key inputs_Pipelines'!E$4:E$6)</f>
        <v>0</v>
      </c>
      <c r="H25" s="176">
        <f>H8*'Key inputs_Pipelines'!F$5/SUM('Key inputs_Pipelines'!F$4:F$6)</f>
        <v>0</v>
      </c>
      <c r="I25" s="176">
        <f>I8*'Key inputs_Pipelines'!G$5/SUM('Key inputs_Pipelines'!G$4:G$6)</f>
        <v>681.17833638269485</v>
      </c>
      <c r="J25" s="176">
        <f>J8*'Key inputs_Pipelines'!H$5/SUM('Key inputs_Pipelines'!H$4:H$6)</f>
        <v>3474.9749326400179</v>
      </c>
      <c r="K25" s="176">
        <f>K8*'Key inputs_Pipelines'!I$5/SUM('Key inputs_Pipelines'!I$4:I$6)</f>
        <v>0</v>
      </c>
      <c r="L25" s="176">
        <f>L8*'Key inputs_Pipelines'!J$5/SUM('Key inputs_Pipelines'!J$4:J$6)</f>
        <v>0</v>
      </c>
      <c r="M25" s="176">
        <f>M8*'Key inputs_Pipelines'!K$5/SUM('Key inputs_Pipelines'!K$4:K$6)</f>
        <v>0</v>
      </c>
      <c r="N25" s="176">
        <f>N8*'Key inputs_Pipelines'!L$5/SUM('Key inputs_Pipelines'!L$4:L$6)</f>
        <v>940.16235235211502</v>
      </c>
      <c r="O25" s="176">
        <f>O8*'Key inputs_Pipelines'!M$5/SUM('Key inputs_Pipelines'!M$4:M$6)</f>
        <v>0</v>
      </c>
      <c r="P25" s="176">
        <f>P8*'Key inputs_Pipelines'!N$5/SUM('Key inputs_Pipelines'!N$4:N$6)</f>
        <v>0</v>
      </c>
      <c r="Q25" s="176">
        <f>Q8*'Key inputs_Pipelines'!O$5/SUM('Key inputs_Pipelines'!O$4:O$6)</f>
        <v>3723.0387293756021</v>
      </c>
      <c r="R25" s="176">
        <f>R8*'Key inputs_Pipelines'!P$5/SUM('Key inputs_Pipelines'!P$4:P$6)</f>
        <v>43.0492070546672</v>
      </c>
      <c r="S25" s="176">
        <f>S8*'Key inputs_Pipelines'!Q$5/SUM('Key inputs_Pipelines'!Q$4:Q$6)</f>
        <v>544.00057483569719</v>
      </c>
      <c r="T25" s="176">
        <f>T8*'Key inputs_Pipelines'!R$5/SUM('Key inputs_Pipelines'!R$4:R$6)</f>
        <v>1.6479975155576259</v>
      </c>
      <c r="U25" s="176">
        <f>U8*'Key inputs_Pipelines'!S$5/SUM('Key inputs_Pipelines'!S$4:S$6)</f>
        <v>845.92635213807353</v>
      </c>
      <c r="V25" s="176">
        <f>V8*'Key inputs_Pipelines'!T$5/SUM('Key inputs_Pipelines'!T$4:T$6)</f>
        <v>0</v>
      </c>
      <c r="W25" s="176">
        <f>W8*'Key inputs_Pipelines'!U$5/SUM('Key inputs_Pipelines'!U$4:U$6)</f>
        <v>2838.1012247147123</v>
      </c>
      <c r="X25" s="176">
        <f>X8*'Key inputs_Pipelines'!V$5/SUM('Key inputs_Pipelines'!V$4:V$6)</f>
        <v>0</v>
      </c>
      <c r="Y25" s="176">
        <f>Y8*'Key inputs_Pipelines'!W$5/SUM('Key inputs_Pipelines'!W$4:W$6)</f>
        <v>2726.3526204586205</v>
      </c>
      <c r="Z25" s="176">
        <f>Z8*'Key inputs_Pipelines'!X$5/SUM('Key inputs_Pipelines'!X$4:X$6)</f>
        <v>128.49042922462226</v>
      </c>
      <c r="AA25" s="176">
        <f>AA8*'Key inputs_Pipelines'!Y$5/SUM('Key inputs_Pipelines'!Y$4:Y$6)</f>
        <v>1708.866215319242</v>
      </c>
      <c r="AB25" s="176">
        <f>AB8*'Key inputs_Pipelines'!Z$5/SUM('Key inputs_Pipelines'!Z$4:Z$6)</f>
        <v>0</v>
      </c>
      <c r="AC25" s="176">
        <f>AC8*'Key inputs_Pipelines'!AA$5/SUM('Key inputs_Pipelines'!AA$4:AA$6)</f>
        <v>0</v>
      </c>
      <c r="AD25" s="176">
        <f>AD8*'Key inputs_Pipelines'!AB$5/SUM('Key inputs_Pipelines'!AB$4:AB$6)</f>
        <v>36877.896518997957</v>
      </c>
      <c r="AE25" s="176">
        <f>AE8*'Key inputs_Pipelines'!AC$5/SUM('Key inputs_Pipelines'!AC$4:AC$6)</f>
        <v>0</v>
      </c>
      <c r="AF25" s="287">
        <f>AF8*'Key inputs_Pipelines'!AD$5/SUM('Key inputs_Pipelines'!AD$4:AD$6)</f>
        <v>147520.74737245741</v>
      </c>
    </row>
    <row r="26" spans="1:32">
      <c r="A26" s="95" t="s">
        <v>786</v>
      </c>
      <c r="B26" s="95" t="s">
        <v>796</v>
      </c>
      <c r="C26" s="71" t="s">
        <v>543</v>
      </c>
      <c r="D26" s="74" t="s">
        <v>387</v>
      </c>
      <c r="E26" s="176">
        <f>E9*'Key inputs_Pipelines'!C$5/SUM('Key inputs_Pipelines'!C$4:C$6)</f>
        <v>0</v>
      </c>
      <c r="F26" s="176">
        <f>F9*'Key inputs_Pipelines'!D$5/SUM('Key inputs_Pipelines'!D$4:D$6)</f>
        <v>0</v>
      </c>
      <c r="G26" s="176">
        <f>G9*'Key inputs_Pipelines'!E$5/SUM('Key inputs_Pipelines'!E$4:E$6)</f>
        <v>0</v>
      </c>
      <c r="H26" s="176">
        <f>H9*'Key inputs_Pipelines'!F$5/SUM('Key inputs_Pipelines'!F$4:F$6)</f>
        <v>0</v>
      </c>
      <c r="I26" s="176">
        <f>I9*'Key inputs_Pipelines'!G$5/SUM('Key inputs_Pipelines'!G$4:G$6)</f>
        <v>0</v>
      </c>
      <c r="J26" s="176">
        <f>J9*'Key inputs_Pipelines'!H$5/SUM('Key inputs_Pipelines'!H$4:H$6)</f>
        <v>0</v>
      </c>
      <c r="K26" s="176">
        <f>K9*'Key inputs_Pipelines'!I$5/SUM('Key inputs_Pipelines'!I$4:I$6)</f>
        <v>0</v>
      </c>
      <c r="L26" s="176">
        <f>L9*'Key inputs_Pipelines'!J$5/SUM('Key inputs_Pipelines'!J$4:J$6)</f>
        <v>0</v>
      </c>
      <c r="M26" s="176">
        <f>M9*'Key inputs_Pipelines'!K$5/SUM('Key inputs_Pipelines'!K$4:K$6)</f>
        <v>0</v>
      </c>
      <c r="N26" s="176">
        <f>N9*'Key inputs_Pipelines'!L$5/SUM('Key inputs_Pipelines'!L$4:L$6)</f>
        <v>1.8966524080430354</v>
      </c>
      <c r="O26" s="176">
        <f>O9*'Key inputs_Pipelines'!M$5/SUM('Key inputs_Pipelines'!M$4:M$6)</f>
        <v>0</v>
      </c>
      <c r="P26" s="176">
        <f>P9*'Key inputs_Pipelines'!N$5/SUM('Key inputs_Pipelines'!N$4:N$6)</f>
        <v>0</v>
      </c>
      <c r="Q26" s="176">
        <f>Q9*'Key inputs_Pipelines'!O$5/SUM('Key inputs_Pipelines'!O$4:O$6)</f>
        <v>0</v>
      </c>
      <c r="R26" s="176">
        <f>R9*'Key inputs_Pipelines'!P$5/SUM('Key inputs_Pipelines'!P$4:P$6)</f>
        <v>0</v>
      </c>
      <c r="S26" s="176">
        <f>S9*'Key inputs_Pipelines'!Q$5/SUM('Key inputs_Pipelines'!Q$4:Q$6)</f>
        <v>0</v>
      </c>
      <c r="T26" s="176">
        <f>T9*'Key inputs_Pipelines'!R$5/SUM('Key inputs_Pipelines'!R$4:R$6)</f>
        <v>0</v>
      </c>
      <c r="U26" s="176">
        <f>U9*'Key inputs_Pipelines'!S$5/SUM('Key inputs_Pipelines'!S$4:S$6)</f>
        <v>0</v>
      </c>
      <c r="V26" s="176">
        <f>V9*'Key inputs_Pipelines'!T$5/SUM('Key inputs_Pipelines'!T$4:T$6)</f>
        <v>0</v>
      </c>
      <c r="W26" s="176">
        <f>W9*'Key inputs_Pipelines'!U$5/SUM('Key inputs_Pipelines'!U$4:U$6)</f>
        <v>0</v>
      </c>
      <c r="X26" s="176">
        <f>X9*'Key inputs_Pipelines'!V$5/SUM('Key inputs_Pipelines'!V$4:V$6)</f>
        <v>0</v>
      </c>
      <c r="Y26" s="176">
        <f>Y9*'Key inputs_Pipelines'!W$5/SUM('Key inputs_Pipelines'!W$4:W$6)</f>
        <v>0</v>
      </c>
      <c r="Z26" s="176">
        <f>Z9*'Key inputs_Pipelines'!X$5/SUM('Key inputs_Pipelines'!X$4:X$6)</f>
        <v>0</v>
      </c>
      <c r="AA26" s="176">
        <f>AA9*'Key inputs_Pipelines'!Y$5/SUM('Key inputs_Pipelines'!Y$4:Y$6)</f>
        <v>0</v>
      </c>
      <c r="AB26" s="176">
        <f>AB9*'Key inputs_Pipelines'!Z$5/SUM('Key inputs_Pipelines'!Z$4:Z$6)</f>
        <v>0</v>
      </c>
      <c r="AC26" s="176">
        <f>AC9*'Key inputs_Pipelines'!AA$5/SUM('Key inputs_Pipelines'!AA$4:AA$6)</f>
        <v>0</v>
      </c>
      <c r="AD26" s="176">
        <f>AD9*'Key inputs_Pipelines'!AB$5/SUM('Key inputs_Pipelines'!AB$4:AB$6)</f>
        <v>37.940321159327596</v>
      </c>
      <c r="AE26" s="176">
        <f>AE9*'Key inputs_Pipelines'!AC$5/SUM('Key inputs_Pipelines'!AC$4:AC$6)</f>
        <v>0</v>
      </c>
      <c r="AF26" s="287">
        <f>AF9*'Key inputs_Pipelines'!AD$5/SUM('Key inputs_Pipelines'!AD$4:AD$6)</f>
        <v>0</v>
      </c>
    </row>
    <row r="27" spans="1:32">
      <c r="A27" s="95" t="s">
        <v>786</v>
      </c>
      <c r="B27" s="95" t="s">
        <v>796</v>
      </c>
      <c r="C27" s="71" t="s">
        <v>548</v>
      </c>
      <c r="D27" s="74" t="s">
        <v>387</v>
      </c>
      <c r="E27" s="176">
        <f>E10*'Key inputs_Pipelines'!C$5/SUM('Key inputs_Pipelines'!C$4:C$6)</f>
        <v>0</v>
      </c>
      <c r="F27" s="176">
        <f>F10*'Key inputs_Pipelines'!D$5/SUM('Key inputs_Pipelines'!D$4:D$6)</f>
        <v>0</v>
      </c>
      <c r="G27" s="176">
        <f>G10*'Key inputs_Pipelines'!E$5/SUM('Key inputs_Pipelines'!E$4:E$6)</f>
        <v>0</v>
      </c>
      <c r="H27" s="176">
        <f>H10*'Key inputs_Pipelines'!F$5/SUM('Key inputs_Pipelines'!F$4:F$6)</f>
        <v>0</v>
      </c>
      <c r="I27" s="176">
        <f>I10*'Key inputs_Pipelines'!G$5/SUM('Key inputs_Pipelines'!G$4:G$6)</f>
        <v>0</v>
      </c>
      <c r="J27" s="176">
        <f>J10*'Key inputs_Pipelines'!H$5/SUM('Key inputs_Pipelines'!H$4:H$6)</f>
        <v>0</v>
      </c>
      <c r="K27" s="176">
        <f>K10*'Key inputs_Pipelines'!I$5/SUM('Key inputs_Pipelines'!I$4:I$6)</f>
        <v>0</v>
      </c>
      <c r="L27" s="176">
        <f>L10*'Key inputs_Pipelines'!J$5/SUM('Key inputs_Pipelines'!J$4:J$6)</f>
        <v>0</v>
      </c>
      <c r="M27" s="176">
        <f>M10*'Key inputs_Pipelines'!K$5/SUM('Key inputs_Pipelines'!K$4:K$6)</f>
        <v>0</v>
      </c>
      <c r="N27" s="176">
        <f>N10*'Key inputs_Pipelines'!L$5/SUM('Key inputs_Pipelines'!L$4:L$6)</f>
        <v>0</v>
      </c>
      <c r="O27" s="176">
        <f>O10*'Key inputs_Pipelines'!M$5/SUM('Key inputs_Pipelines'!M$4:M$6)</f>
        <v>0</v>
      </c>
      <c r="P27" s="176">
        <f>P10*'Key inputs_Pipelines'!N$5/SUM('Key inputs_Pipelines'!N$4:N$6)</f>
        <v>0</v>
      </c>
      <c r="Q27" s="176">
        <f>Q10*'Key inputs_Pipelines'!O$5/SUM('Key inputs_Pipelines'!O$4:O$6)</f>
        <v>0</v>
      </c>
      <c r="R27" s="176">
        <f>R10*'Key inputs_Pipelines'!P$5/SUM('Key inputs_Pipelines'!P$4:P$6)</f>
        <v>0</v>
      </c>
      <c r="S27" s="176">
        <f>S10*'Key inputs_Pipelines'!Q$5/SUM('Key inputs_Pipelines'!Q$4:Q$6)</f>
        <v>0</v>
      </c>
      <c r="T27" s="176">
        <f>T10*'Key inputs_Pipelines'!R$5/SUM('Key inputs_Pipelines'!R$4:R$6)</f>
        <v>0</v>
      </c>
      <c r="U27" s="176">
        <f>U10*'Key inputs_Pipelines'!S$5/SUM('Key inputs_Pipelines'!S$4:S$6)</f>
        <v>0</v>
      </c>
      <c r="V27" s="176">
        <f>V10*'Key inputs_Pipelines'!T$5/SUM('Key inputs_Pipelines'!T$4:T$6)</f>
        <v>0</v>
      </c>
      <c r="W27" s="176">
        <f>W10*'Key inputs_Pipelines'!U$5/SUM('Key inputs_Pipelines'!U$4:U$6)</f>
        <v>0</v>
      </c>
      <c r="X27" s="176">
        <f>X10*'Key inputs_Pipelines'!V$5/SUM('Key inputs_Pipelines'!V$4:V$6)</f>
        <v>0</v>
      </c>
      <c r="Y27" s="176">
        <f>Y10*'Key inputs_Pipelines'!W$5/SUM('Key inputs_Pipelines'!W$4:W$6)</f>
        <v>0</v>
      </c>
      <c r="Z27" s="176">
        <f>Z10*'Key inputs_Pipelines'!X$5/SUM('Key inputs_Pipelines'!X$4:X$6)</f>
        <v>0</v>
      </c>
      <c r="AA27" s="176">
        <f>AA10*'Key inputs_Pipelines'!Y$5/SUM('Key inputs_Pipelines'!Y$4:Y$6)</f>
        <v>0</v>
      </c>
      <c r="AB27" s="176">
        <f>AB10*'Key inputs_Pipelines'!Z$5/SUM('Key inputs_Pipelines'!Z$4:Z$6)</f>
        <v>0</v>
      </c>
      <c r="AC27" s="176">
        <f>AC10*'Key inputs_Pipelines'!AA$5/SUM('Key inputs_Pipelines'!AA$4:AA$6)</f>
        <v>0</v>
      </c>
      <c r="AD27" s="176">
        <f>AD10*'Key inputs_Pipelines'!AB$5/SUM('Key inputs_Pipelines'!AB$4:AB$6)</f>
        <v>0.38259147387557241</v>
      </c>
      <c r="AE27" s="176">
        <f>AE10*'Key inputs_Pipelines'!AC$5/SUM('Key inputs_Pipelines'!AC$4:AC$6)</f>
        <v>0</v>
      </c>
      <c r="AF27" s="287">
        <f>AF10*'Key inputs_Pipelines'!AD$5/SUM('Key inputs_Pipelines'!AD$4:AD$6)</f>
        <v>0</v>
      </c>
    </row>
    <row r="28" spans="1:32">
      <c r="A28" s="95" t="s">
        <v>786</v>
      </c>
      <c r="B28" s="95" t="s">
        <v>796</v>
      </c>
      <c r="C28" s="71" t="s">
        <v>550</v>
      </c>
      <c r="D28" s="74" t="s">
        <v>387</v>
      </c>
      <c r="E28" s="176">
        <f>E11*'Key inputs_Pipelines'!C$5/SUM('Key inputs_Pipelines'!C$4:C$6)</f>
        <v>0</v>
      </c>
      <c r="F28" s="176">
        <f>F11*'Key inputs_Pipelines'!D$5/SUM('Key inputs_Pipelines'!D$4:D$6)</f>
        <v>0</v>
      </c>
      <c r="G28" s="176">
        <f>G11*'Key inputs_Pipelines'!E$5/SUM('Key inputs_Pipelines'!E$4:E$6)</f>
        <v>0</v>
      </c>
      <c r="H28" s="176">
        <f>H11*'Key inputs_Pipelines'!F$5/SUM('Key inputs_Pipelines'!F$4:F$6)</f>
        <v>0</v>
      </c>
      <c r="I28" s="176">
        <f>I11*'Key inputs_Pipelines'!G$5/SUM('Key inputs_Pipelines'!G$4:G$6)</f>
        <v>0</v>
      </c>
      <c r="J28" s="176">
        <f>J11*'Key inputs_Pipelines'!H$5/SUM('Key inputs_Pipelines'!H$4:H$6)</f>
        <v>0</v>
      </c>
      <c r="K28" s="176">
        <f>K11*'Key inputs_Pipelines'!I$5/SUM('Key inputs_Pipelines'!I$4:I$6)</f>
        <v>0</v>
      </c>
      <c r="L28" s="176">
        <f>L11*'Key inputs_Pipelines'!J$5/SUM('Key inputs_Pipelines'!J$4:J$6)</f>
        <v>0</v>
      </c>
      <c r="M28" s="176">
        <f>M11*'Key inputs_Pipelines'!K$5/SUM('Key inputs_Pipelines'!K$4:K$6)</f>
        <v>0</v>
      </c>
      <c r="N28" s="176">
        <f>N11*'Key inputs_Pipelines'!L$5/SUM('Key inputs_Pipelines'!L$4:L$6)</f>
        <v>0</v>
      </c>
      <c r="O28" s="176">
        <f>O11*'Key inputs_Pipelines'!M$5/SUM('Key inputs_Pipelines'!M$4:M$6)</f>
        <v>0</v>
      </c>
      <c r="P28" s="176">
        <f>P11*'Key inputs_Pipelines'!N$5/SUM('Key inputs_Pipelines'!N$4:N$6)</f>
        <v>0</v>
      </c>
      <c r="Q28" s="176">
        <f>Q11*'Key inputs_Pipelines'!O$5/SUM('Key inputs_Pipelines'!O$4:O$6)</f>
        <v>0</v>
      </c>
      <c r="R28" s="176">
        <f>R11*'Key inputs_Pipelines'!P$5/SUM('Key inputs_Pipelines'!P$4:P$6)</f>
        <v>0</v>
      </c>
      <c r="S28" s="176">
        <f>S11*'Key inputs_Pipelines'!Q$5/SUM('Key inputs_Pipelines'!Q$4:Q$6)</f>
        <v>0</v>
      </c>
      <c r="T28" s="176">
        <f>T11*'Key inputs_Pipelines'!R$5/SUM('Key inputs_Pipelines'!R$4:R$6)</f>
        <v>0</v>
      </c>
      <c r="U28" s="176">
        <f>U11*'Key inputs_Pipelines'!S$5/SUM('Key inputs_Pipelines'!S$4:S$6)</f>
        <v>0</v>
      </c>
      <c r="V28" s="176">
        <f>V11*'Key inputs_Pipelines'!T$5/SUM('Key inputs_Pipelines'!T$4:T$6)</f>
        <v>0</v>
      </c>
      <c r="W28" s="176">
        <f>W11*'Key inputs_Pipelines'!U$5/SUM('Key inputs_Pipelines'!U$4:U$6)</f>
        <v>0</v>
      </c>
      <c r="X28" s="176">
        <f>X11*'Key inputs_Pipelines'!V$5/SUM('Key inputs_Pipelines'!V$4:V$6)</f>
        <v>0</v>
      </c>
      <c r="Y28" s="176">
        <f>Y11*'Key inputs_Pipelines'!W$5/SUM('Key inputs_Pipelines'!W$4:W$6)</f>
        <v>0</v>
      </c>
      <c r="Z28" s="176">
        <f>Z11*'Key inputs_Pipelines'!X$5/SUM('Key inputs_Pipelines'!X$4:X$6)</f>
        <v>0</v>
      </c>
      <c r="AA28" s="176">
        <f>AA11*'Key inputs_Pipelines'!Y$5/SUM('Key inputs_Pipelines'!Y$4:Y$6)</f>
        <v>111.17873353912651</v>
      </c>
      <c r="AB28" s="176">
        <f>AB11*'Key inputs_Pipelines'!Z$5/SUM('Key inputs_Pipelines'!Z$4:Z$6)</f>
        <v>0</v>
      </c>
      <c r="AC28" s="176">
        <f>AC11*'Key inputs_Pipelines'!AA$5/SUM('Key inputs_Pipelines'!AA$4:AA$6)</f>
        <v>0</v>
      </c>
      <c r="AD28" s="176">
        <f>AD11*'Key inputs_Pipelines'!AB$5/SUM('Key inputs_Pipelines'!AB$4:AB$6)</f>
        <v>0</v>
      </c>
      <c r="AE28" s="176">
        <f>AE11*'Key inputs_Pipelines'!AC$5/SUM('Key inputs_Pipelines'!AC$4:AC$6)</f>
        <v>0</v>
      </c>
      <c r="AF28" s="287">
        <f>AF11*'Key inputs_Pipelines'!AD$5/SUM('Key inputs_Pipelines'!AD$4:AD$6)</f>
        <v>0</v>
      </c>
    </row>
    <row r="29" spans="1:32">
      <c r="A29" s="95" t="s">
        <v>786</v>
      </c>
      <c r="B29" s="95" t="s">
        <v>796</v>
      </c>
      <c r="C29" s="71" t="s">
        <v>552</v>
      </c>
      <c r="D29" s="74" t="s">
        <v>387</v>
      </c>
      <c r="E29" s="176">
        <f>E12*'Key inputs_Pipelines'!C$5/SUM('Key inputs_Pipelines'!C$4:C$6)</f>
        <v>0</v>
      </c>
      <c r="F29" s="176">
        <f>F12*'Key inputs_Pipelines'!D$5/SUM('Key inputs_Pipelines'!D$4:D$6)</f>
        <v>0</v>
      </c>
      <c r="G29" s="176">
        <f>G12*'Key inputs_Pipelines'!E$5/SUM('Key inputs_Pipelines'!E$4:E$6)</f>
        <v>0</v>
      </c>
      <c r="H29" s="176">
        <f>H12*'Key inputs_Pipelines'!F$5/SUM('Key inputs_Pipelines'!F$4:F$6)</f>
        <v>0.34736121553841648</v>
      </c>
      <c r="I29" s="176">
        <f>I12*'Key inputs_Pipelines'!G$5/SUM('Key inputs_Pipelines'!G$4:G$6)</f>
        <v>0</v>
      </c>
      <c r="J29" s="176">
        <f>J12*'Key inputs_Pipelines'!H$5/SUM('Key inputs_Pipelines'!H$4:H$6)</f>
        <v>0</v>
      </c>
      <c r="K29" s="176">
        <f>K12*'Key inputs_Pipelines'!I$5/SUM('Key inputs_Pipelines'!I$4:I$6)</f>
        <v>0</v>
      </c>
      <c r="L29" s="176">
        <f>L12*'Key inputs_Pipelines'!J$5/SUM('Key inputs_Pipelines'!J$4:J$6)</f>
        <v>0</v>
      </c>
      <c r="M29" s="176">
        <f>M12*'Key inputs_Pipelines'!K$5/SUM('Key inputs_Pipelines'!K$4:K$6)</f>
        <v>0</v>
      </c>
      <c r="N29" s="176">
        <f>N12*'Key inputs_Pipelines'!L$5/SUM('Key inputs_Pipelines'!L$4:L$6)</f>
        <v>0</v>
      </c>
      <c r="O29" s="176">
        <f>O12*'Key inputs_Pipelines'!M$5/SUM('Key inputs_Pipelines'!M$4:M$6)</f>
        <v>0</v>
      </c>
      <c r="P29" s="176">
        <f>P12*'Key inputs_Pipelines'!N$5/SUM('Key inputs_Pipelines'!N$4:N$6)</f>
        <v>0</v>
      </c>
      <c r="Q29" s="176">
        <f>Q12*'Key inputs_Pipelines'!O$5/SUM('Key inputs_Pipelines'!O$4:O$6)</f>
        <v>0</v>
      </c>
      <c r="R29" s="176">
        <f>R12*'Key inputs_Pipelines'!P$5/SUM('Key inputs_Pipelines'!P$4:P$6)</f>
        <v>0</v>
      </c>
      <c r="S29" s="176">
        <f>S12*'Key inputs_Pipelines'!Q$5/SUM('Key inputs_Pipelines'!Q$4:Q$6)</f>
        <v>0</v>
      </c>
      <c r="T29" s="176">
        <f>T12*'Key inputs_Pipelines'!R$5/SUM('Key inputs_Pipelines'!R$4:R$6)</f>
        <v>0</v>
      </c>
      <c r="U29" s="176">
        <f>U12*'Key inputs_Pipelines'!S$5/SUM('Key inputs_Pipelines'!S$4:S$6)</f>
        <v>0</v>
      </c>
      <c r="V29" s="176">
        <f>V12*'Key inputs_Pipelines'!T$5/SUM('Key inputs_Pipelines'!T$4:T$6)</f>
        <v>0</v>
      </c>
      <c r="W29" s="176">
        <f>W12*'Key inputs_Pipelines'!U$5/SUM('Key inputs_Pipelines'!U$4:U$6)</f>
        <v>0</v>
      </c>
      <c r="X29" s="176">
        <f>X12*'Key inputs_Pipelines'!V$5/SUM('Key inputs_Pipelines'!V$4:V$6)</f>
        <v>0</v>
      </c>
      <c r="Y29" s="176">
        <f>Y12*'Key inputs_Pipelines'!W$5/SUM('Key inputs_Pipelines'!W$4:W$6)</f>
        <v>0</v>
      </c>
      <c r="Z29" s="176">
        <f>Z12*'Key inputs_Pipelines'!X$5/SUM('Key inputs_Pipelines'!X$4:X$6)</f>
        <v>0</v>
      </c>
      <c r="AA29" s="176">
        <f>AA12*'Key inputs_Pipelines'!Y$5/SUM('Key inputs_Pipelines'!Y$4:Y$6)</f>
        <v>0</v>
      </c>
      <c r="AB29" s="176">
        <f>AB12*'Key inputs_Pipelines'!Z$5/SUM('Key inputs_Pipelines'!Z$4:Z$6)</f>
        <v>0</v>
      </c>
      <c r="AC29" s="176">
        <f>AC12*'Key inputs_Pipelines'!AA$5/SUM('Key inputs_Pipelines'!AA$4:AA$6)</f>
        <v>0</v>
      </c>
      <c r="AD29" s="176">
        <f>AD12*'Key inputs_Pipelines'!AB$5/SUM('Key inputs_Pipelines'!AB$4:AB$6)</f>
        <v>1.2434222900956102</v>
      </c>
      <c r="AE29" s="176">
        <f>AE12*'Key inputs_Pipelines'!AC$5/SUM('Key inputs_Pipelines'!AC$4:AC$6)</f>
        <v>0</v>
      </c>
      <c r="AF29" s="287">
        <f>AF12*'Key inputs_Pipelines'!AD$5/SUM('Key inputs_Pipelines'!AD$4:AD$6)</f>
        <v>0</v>
      </c>
    </row>
    <row r="30" spans="1:32">
      <c r="A30" s="97" t="s">
        <v>786</v>
      </c>
      <c r="B30" s="76" t="s">
        <v>796</v>
      </c>
      <c r="C30" s="76" t="s">
        <v>556</v>
      </c>
      <c r="D30" s="77" t="s">
        <v>387</v>
      </c>
      <c r="E30" s="288">
        <f>E13*'Key inputs_Pipelines'!C$5/SUM('Key inputs_Pipelines'!C$4:C$6)</f>
        <v>0</v>
      </c>
      <c r="F30" s="289">
        <f>F13*'Key inputs_Pipelines'!D$5/SUM('Key inputs_Pipelines'!D$4:D$6)</f>
        <v>0</v>
      </c>
      <c r="G30" s="289">
        <f>G13*'Key inputs_Pipelines'!E$5/SUM('Key inputs_Pipelines'!E$4:E$6)</f>
        <v>0</v>
      </c>
      <c r="H30" s="289">
        <f>H13*'Key inputs_Pipelines'!F$5/SUM('Key inputs_Pipelines'!F$4:F$6)</f>
        <v>0</v>
      </c>
      <c r="I30" s="289">
        <f>I13*'Key inputs_Pipelines'!G$5/SUM('Key inputs_Pipelines'!G$4:G$6)</f>
        <v>0</v>
      </c>
      <c r="J30" s="289">
        <f>J13*'Key inputs_Pipelines'!H$5/SUM('Key inputs_Pipelines'!H$4:H$6)</f>
        <v>2.3140053775190377</v>
      </c>
      <c r="K30" s="289">
        <f>K13*'Key inputs_Pipelines'!I$5/SUM('Key inputs_Pipelines'!I$4:I$6)</f>
        <v>0</v>
      </c>
      <c r="L30" s="289">
        <f>L13*'Key inputs_Pipelines'!J$5/SUM('Key inputs_Pipelines'!J$4:J$6)</f>
        <v>0</v>
      </c>
      <c r="M30" s="289">
        <f>M13*'Key inputs_Pipelines'!K$5/SUM('Key inputs_Pipelines'!K$4:K$6)</f>
        <v>0</v>
      </c>
      <c r="N30" s="289">
        <f>N13*'Key inputs_Pipelines'!L$5/SUM('Key inputs_Pipelines'!L$4:L$6)</f>
        <v>0</v>
      </c>
      <c r="O30" s="289">
        <f>O13*'Key inputs_Pipelines'!M$5/SUM('Key inputs_Pipelines'!M$4:M$6)</f>
        <v>0</v>
      </c>
      <c r="P30" s="289">
        <f>P13*'Key inputs_Pipelines'!N$5/SUM('Key inputs_Pipelines'!N$4:N$6)</f>
        <v>0</v>
      </c>
      <c r="Q30" s="289">
        <f>Q13*'Key inputs_Pipelines'!O$5/SUM('Key inputs_Pipelines'!O$4:O$6)</f>
        <v>0</v>
      </c>
      <c r="R30" s="289">
        <f>R13*'Key inputs_Pipelines'!P$5/SUM('Key inputs_Pipelines'!P$4:P$6)</f>
        <v>0</v>
      </c>
      <c r="S30" s="289">
        <f>S13*'Key inputs_Pipelines'!Q$5/SUM('Key inputs_Pipelines'!Q$4:Q$6)</f>
        <v>0</v>
      </c>
      <c r="T30" s="289">
        <f>T13*'Key inputs_Pipelines'!R$5/SUM('Key inputs_Pipelines'!R$4:R$6)</f>
        <v>0</v>
      </c>
      <c r="U30" s="289">
        <f>U13*'Key inputs_Pipelines'!S$5/SUM('Key inputs_Pipelines'!S$4:S$6)</f>
        <v>0</v>
      </c>
      <c r="V30" s="289">
        <f>V13*'Key inputs_Pipelines'!T$5/SUM('Key inputs_Pipelines'!T$4:T$6)</f>
        <v>0</v>
      </c>
      <c r="W30" s="289">
        <f>W13*'Key inputs_Pipelines'!U$5/SUM('Key inputs_Pipelines'!U$4:U$6)</f>
        <v>0</v>
      </c>
      <c r="X30" s="289">
        <f>X13*'Key inputs_Pipelines'!V$5/SUM('Key inputs_Pipelines'!V$4:V$6)</f>
        <v>0</v>
      </c>
      <c r="Y30" s="289">
        <f>Y13*'Key inputs_Pipelines'!W$5/SUM('Key inputs_Pipelines'!W$4:W$6)</f>
        <v>0</v>
      </c>
      <c r="Z30" s="289">
        <f>Z13*'Key inputs_Pipelines'!X$5/SUM('Key inputs_Pipelines'!X$4:X$6)</f>
        <v>0</v>
      </c>
      <c r="AA30" s="289">
        <f>AA13*'Key inputs_Pipelines'!Y$5/SUM('Key inputs_Pipelines'!Y$4:Y$6)</f>
        <v>0</v>
      </c>
      <c r="AB30" s="289">
        <f>AB13*'Key inputs_Pipelines'!Z$5/SUM('Key inputs_Pipelines'!Z$4:Z$6)</f>
        <v>0</v>
      </c>
      <c r="AC30" s="289">
        <f>AC13*'Key inputs_Pipelines'!AA$5/SUM('Key inputs_Pipelines'!AA$4:AA$6)</f>
        <v>0</v>
      </c>
      <c r="AD30" s="289">
        <f>AD13*'Key inputs_Pipelines'!AB$5/SUM('Key inputs_Pipelines'!AB$4:AB$6)</f>
        <v>0</v>
      </c>
      <c r="AE30" s="289">
        <f>AE13*'Key inputs_Pipelines'!AC$5/SUM('Key inputs_Pipelines'!AC$4:AC$6)</f>
        <v>0</v>
      </c>
      <c r="AF30" s="290">
        <f>AF13*'Key inputs_Pipelines'!AD$5/SUM('Key inputs_Pipelines'!AD$4:AD$6)</f>
        <v>0</v>
      </c>
    </row>
    <row r="31" spans="1:32">
      <c r="A31" s="95" t="s">
        <v>786</v>
      </c>
      <c r="B31" s="95" t="s">
        <v>797</v>
      </c>
      <c r="C31" s="71" t="s">
        <v>535</v>
      </c>
      <c r="D31" s="74" t="s">
        <v>387</v>
      </c>
      <c r="E31" s="176">
        <f>E6*'Key inputs_Pipelines'!C$6/SUM('Key inputs_Pipelines'!C$4:C$6)</f>
        <v>0</v>
      </c>
      <c r="F31" s="176">
        <f>F6*'Key inputs_Pipelines'!D$6/SUM('Key inputs_Pipelines'!D$4:D$6)</f>
        <v>0</v>
      </c>
      <c r="G31" s="176">
        <f>G6*'Key inputs_Pipelines'!E$6/SUM('Key inputs_Pipelines'!E$4:E$6)</f>
        <v>0</v>
      </c>
      <c r="H31" s="176">
        <f>H6*'Key inputs_Pipelines'!F$6/SUM('Key inputs_Pipelines'!F$4:F$6)</f>
        <v>706.71433775066566</v>
      </c>
      <c r="I31" s="176">
        <f>I6*'Key inputs_Pipelines'!G$6/SUM('Key inputs_Pipelines'!G$4:G$6)</f>
        <v>0</v>
      </c>
      <c r="J31" s="176">
        <f>J6*'Key inputs_Pipelines'!H$6/SUM('Key inputs_Pipelines'!H$4:H$6)</f>
        <v>113.74193548387096</v>
      </c>
      <c r="K31" s="176">
        <f>K6*'Key inputs_Pipelines'!I$6/SUM('Key inputs_Pipelines'!I$4:I$6)</f>
        <v>0</v>
      </c>
      <c r="L31" s="176">
        <f>L6*'Key inputs_Pipelines'!J$6/SUM('Key inputs_Pipelines'!J$4:J$6)</f>
        <v>0</v>
      </c>
      <c r="M31" s="176">
        <f>M6*'Key inputs_Pipelines'!K$6/SUM('Key inputs_Pipelines'!K$4:K$6)</f>
        <v>0</v>
      </c>
      <c r="N31" s="176">
        <f>N6*'Key inputs_Pipelines'!L$6/SUM('Key inputs_Pipelines'!L$4:L$6)</f>
        <v>196.19722287815492</v>
      </c>
      <c r="O31" s="176">
        <f>O6*'Key inputs_Pipelines'!M$6/SUM('Key inputs_Pipelines'!M$4:M$6)</f>
        <v>0</v>
      </c>
      <c r="P31" s="176">
        <f>P6*'Key inputs_Pipelines'!N$6/SUM('Key inputs_Pipelines'!N$4:N$6)</f>
        <v>17.598378636725226</v>
      </c>
      <c r="Q31" s="176">
        <f>Q6*'Key inputs_Pipelines'!O$6/SUM('Key inputs_Pipelines'!O$4:O$6)</f>
        <v>0</v>
      </c>
      <c r="R31" s="176">
        <f>R6*'Key inputs_Pipelines'!P$6/SUM('Key inputs_Pipelines'!P$4:P$6)</f>
        <v>0</v>
      </c>
      <c r="S31" s="176">
        <f>S6*'Key inputs_Pipelines'!Q$6/SUM('Key inputs_Pipelines'!Q$4:Q$6)</f>
        <v>1.448176716095505</v>
      </c>
      <c r="T31" s="176">
        <f>T6*'Key inputs_Pipelines'!R$6/SUM('Key inputs_Pipelines'!R$4:R$6)</f>
        <v>0</v>
      </c>
      <c r="U31" s="176">
        <f>U6*'Key inputs_Pipelines'!S$6/SUM('Key inputs_Pipelines'!S$4:S$6)</f>
        <v>0</v>
      </c>
      <c r="V31" s="176">
        <f>V6*'Key inputs_Pipelines'!T$6/SUM('Key inputs_Pipelines'!T$4:T$6)</f>
        <v>0</v>
      </c>
      <c r="W31" s="176">
        <f>W6*'Key inputs_Pipelines'!U$6/SUM('Key inputs_Pipelines'!U$4:U$6)</f>
        <v>0</v>
      </c>
      <c r="X31" s="176">
        <f>X6*'Key inputs_Pipelines'!V$6/SUM('Key inputs_Pipelines'!V$4:V$6)</f>
        <v>0</v>
      </c>
      <c r="Y31" s="176">
        <f>Y6*'Key inputs_Pipelines'!W$6/SUM('Key inputs_Pipelines'!W$4:W$6)</f>
        <v>0</v>
      </c>
      <c r="Z31" s="176">
        <f>Z6*'Key inputs_Pipelines'!X$6/SUM('Key inputs_Pipelines'!X$4:X$6)</f>
        <v>0</v>
      </c>
      <c r="AA31" s="176">
        <f>AA6*'Key inputs_Pipelines'!Y$6/SUM('Key inputs_Pipelines'!Y$4:Y$6)</f>
        <v>75.32557025350377</v>
      </c>
      <c r="AB31" s="176">
        <f>AB6*'Key inputs_Pipelines'!Z$6/SUM('Key inputs_Pipelines'!Z$4:Z$6)</f>
        <v>0</v>
      </c>
      <c r="AC31" s="176">
        <f>AC6*'Key inputs_Pipelines'!AA$6/SUM('Key inputs_Pipelines'!AA$4:AA$6)</f>
        <v>0</v>
      </c>
      <c r="AD31" s="176">
        <f>AD6*'Key inputs_Pipelines'!AB$6/SUM('Key inputs_Pipelines'!AB$4:AB$6)</f>
        <v>3910.526918037237</v>
      </c>
      <c r="AE31" s="176">
        <f>AE6*'Key inputs_Pipelines'!AC$6/SUM('Key inputs_Pipelines'!AC$4:AC$6)</f>
        <v>26.294744121715077</v>
      </c>
      <c r="AF31" s="287">
        <f>AF6*'Key inputs_Pipelines'!AD$6/SUM('Key inputs_Pipelines'!AD$4:AD$6)</f>
        <v>0</v>
      </c>
    </row>
    <row r="32" spans="1:32">
      <c r="A32" s="95" t="s">
        <v>786</v>
      </c>
      <c r="B32" s="95" t="s">
        <v>797</v>
      </c>
      <c r="C32" s="71" t="s">
        <v>537</v>
      </c>
      <c r="D32" s="74" t="s">
        <v>387</v>
      </c>
      <c r="E32" s="176">
        <f>E7*'Key inputs_Pipelines'!C$6/SUM('Key inputs_Pipelines'!C$4:C$6)</f>
        <v>0</v>
      </c>
      <c r="F32" s="176">
        <f>F7*'Key inputs_Pipelines'!D$6/SUM('Key inputs_Pipelines'!D$4:D$6)</f>
        <v>43.12235748483581</v>
      </c>
      <c r="G32" s="176">
        <f>G7*'Key inputs_Pipelines'!E$6/SUM('Key inputs_Pipelines'!E$4:E$6)</f>
        <v>31.167769010220429</v>
      </c>
      <c r="H32" s="176">
        <f>H7*'Key inputs_Pipelines'!F$6/SUM('Key inputs_Pipelines'!F$4:F$6)</f>
        <v>236.67482505467257</v>
      </c>
      <c r="I32" s="176">
        <f>I7*'Key inputs_Pipelines'!G$6/SUM('Key inputs_Pipelines'!G$4:G$6)</f>
        <v>77.310730804670655</v>
      </c>
      <c r="J32" s="176">
        <f>J7*'Key inputs_Pipelines'!H$6/SUM('Key inputs_Pipelines'!H$4:H$6)</f>
        <v>1142.2688172043011</v>
      </c>
      <c r="K32" s="176">
        <f>K7*'Key inputs_Pipelines'!I$6/SUM('Key inputs_Pipelines'!I$4:I$6)</f>
        <v>0</v>
      </c>
      <c r="L32" s="176">
        <f>L7*'Key inputs_Pipelines'!J$6/SUM('Key inputs_Pipelines'!J$4:J$6)</f>
        <v>0</v>
      </c>
      <c r="M32" s="176">
        <f>M7*'Key inputs_Pipelines'!K$6/SUM('Key inputs_Pipelines'!K$4:K$6)</f>
        <v>0</v>
      </c>
      <c r="N32" s="176">
        <f>N7*'Key inputs_Pipelines'!L$6/SUM('Key inputs_Pipelines'!L$4:L$6)</f>
        <v>14550.562730577029</v>
      </c>
      <c r="O32" s="176">
        <f>O7*'Key inputs_Pipelines'!M$6/SUM('Key inputs_Pipelines'!M$4:M$6)</f>
        <v>0</v>
      </c>
      <c r="P32" s="176">
        <f>P7*'Key inputs_Pipelines'!N$6/SUM('Key inputs_Pipelines'!N$4:N$6)</f>
        <v>8875.8274188773848</v>
      </c>
      <c r="Q32" s="176">
        <f>Q7*'Key inputs_Pipelines'!O$6/SUM('Key inputs_Pipelines'!O$4:O$6)</f>
        <v>449.15433980791931</v>
      </c>
      <c r="R32" s="176">
        <f>R7*'Key inputs_Pipelines'!P$6/SUM('Key inputs_Pipelines'!P$4:P$6)</f>
        <v>0</v>
      </c>
      <c r="S32" s="176">
        <f>S7*'Key inputs_Pipelines'!Q$6/SUM('Key inputs_Pipelines'!Q$4:Q$6)</f>
        <v>505.41367391733127</v>
      </c>
      <c r="T32" s="176">
        <f>T7*'Key inputs_Pipelines'!R$6/SUM('Key inputs_Pipelines'!R$4:R$6)</f>
        <v>2769.7717203568996</v>
      </c>
      <c r="U32" s="176">
        <f>U7*'Key inputs_Pipelines'!S$6/SUM('Key inputs_Pipelines'!S$4:S$6)</f>
        <v>207.46076644716001</v>
      </c>
      <c r="V32" s="176">
        <f>V7*'Key inputs_Pipelines'!T$6/SUM('Key inputs_Pipelines'!T$4:T$6)</f>
        <v>0</v>
      </c>
      <c r="W32" s="176">
        <f>W7*'Key inputs_Pipelines'!U$6/SUM('Key inputs_Pipelines'!U$4:U$6)</f>
        <v>0</v>
      </c>
      <c r="X32" s="176">
        <f>X7*'Key inputs_Pipelines'!V$6/SUM('Key inputs_Pipelines'!V$4:V$6)</f>
        <v>0</v>
      </c>
      <c r="Y32" s="176">
        <f>Y7*'Key inputs_Pipelines'!W$6/SUM('Key inputs_Pipelines'!W$4:W$6)</f>
        <v>0</v>
      </c>
      <c r="Z32" s="176">
        <f>Z7*'Key inputs_Pipelines'!X$6/SUM('Key inputs_Pipelines'!X$4:X$6)</f>
        <v>355.88189076162718</v>
      </c>
      <c r="AA32" s="176">
        <f>AA7*'Key inputs_Pipelines'!Y$6/SUM('Key inputs_Pipelines'!Y$4:Y$6)</f>
        <v>0</v>
      </c>
      <c r="AB32" s="176">
        <f>AB7*'Key inputs_Pipelines'!Z$6/SUM('Key inputs_Pipelines'!Z$4:Z$6)</f>
        <v>0</v>
      </c>
      <c r="AC32" s="176">
        <f>AC7*'Key inputs_Pipelines'!AA$6/SUM('Key inputs_Pipelines'!AA$4:AA$6)</f>
        <v>0</v>
      </c>
      <c r="AD32" s="176">
        <f>AD7*'Key inputs_Pipelines'!AB$6/SUM('Key inputs_Pipelines'!AB$4:AB$6)</f>
        <v>35859.822168783729</v>
      </c>
      <c r="AE32" s="176">
        <f>AE7*'Key inputs_Pipelines'!AC$6/SUM('Key inputs_Pipelines'!AC$4:AC$6)</f>
        <v>0</v>
      </c>
      <c r="AF32" s="287">
        <f>AF7*'Key inputs_Pipelines'!AD$6/SUM('Key inputs_Pipelines'!AD$4:AD$6)</f>
        <v>0</v>
      </c>
    </row>
    <row r="33" spans="1:32">
      <c r="A33" s="95" t="s">
        <v>786</v>
      </c>
      <c r="B33" s="95" t="s">
        <v>797</v>
      </c>
      <c r="C33" s="71" t="s">
        <v>541</v>
      </c>
      <c r="D33" s="74" t="s">
        <v>387</v>
      </c>
      <c r="E33" s="176">
        <f>E8*'Key inputs_Pipelines'!C$6/SUM('Key inputs_Pipelines'!C$4:C$6)</f>
        <v>0</v>
      </c>
      <c r="F33" s="176">
        <f>F8*'Key inputs_Pipelines'!D$6/SUM('Key inputs_Pipelines'!D$4:D$6)</f>
        <v>1804.9786775795562</v>
      </c>
      <c r="G33" s="176">
        <f>G8*'Key inputs_Pipelines'!E$6/SUM('Key inputs_Pipelines'!E$4:E$6)</f>
        <v>0</v>
      </c>
      <c r="H33" s="176">
        <f>H8*'Key inputs_Pipelines'!F$6/SUM('Key inputs_Pipelines'!F$4:F$6)</f>
        <v>0</v>
      </c>
      <c r="I33" s="176">
        <f>I8*'Key inputs_Pipelines'!G$6/SUM('Key inputs_Pipelines'!G$4:G$6)</f>
        <v>1540.6994556793218</v>
      </c>
      <c r="J33" s="176">
        <f>J8*'Key inputs_Pipelines'!H$6/SUM('Key inputs_Pipelines'!H$4:H$6)</f>
        <v>41708.903225806454</v>
      </c>
      <c r="K33" s="176">
        <f>K8*'Key inputs_Pipelines'!I$6/SUM('Key inputs_Pipelines'!I$4:I$6)</f>
        <v>0</v>
      </c>
      <c r="L33" s="176">
        <f>L8*'Key inputs_Pipelines'!J$6/SUM('Key inputs_Pipelines'!J$4:J$6)</f>
        <v>0</v>
      </c>
      <c r="M33" s="176">
        <f>M8*'Key inputs_Pipelines'!K$6/SUM('Key inputs_Pipelines'!K$4:K$6)</f>
        <v>0</v>
      </c>
      <c r="N33" s="176">
        <f>N8*'Key inputs_Pipelines'!L$6/SUM('Key inputs_Pipelines'!L$4:L$6)</f>
        <v>92904.086244217164</v>
      </c>
      <c r="O33" s="176">
        <f>O8*'Key inputs_Pipelines'!M$6/SUM('Key inputs_Pipelines'!M$4:M$6)</f>
        <v>0</v>
      </c>
      <c r="P33" s="176">
        <f>P8*'Key inputs_Pipelines'!N$6/SUM('Key inputs_Pipelines'!N$4:N$6)</f>
        <v>0</v>
      </c>
      <c r="Q33" s="176">
        <f>Q8*'Key inputs_Pipelines'!O$6/SUM('Key inputs_Pipelines'!O$4:O$6)</f>
        <v>15420.127812467146</v>
      </c>
      <c r="R33" s="176">
        <f>R8*'Key inputs_Pipelines'!P$6/SUM('Key inputs_Pipelines'!P$4:P$6)</f>
        <v>262.63076531277562</v>
      </c>
      <c r="S33" s="176">
        <f>S8*'Key inputs_Pipelines'!Q$6/SUM('Key inputs_Pipelines'!Q$4:Q$6)</f>
        <v>10879.789623846505</v>
      </c>
      <c r="T33" s="176">
        <f>T8*'Key inputs_Pipelines'!R$6/SUM('Key inputs_Pipelines'!R$4:R$6)</f>
        <v>6015.6998721945511</v>
      </c>
      <c r="U33" s="176">
        <f>U8*'Key inputs_Pipelines'!S$6/SUM('Key inputs_Pipelines'!S$4:S$6)</f>
        <v>8510.5261861371673</v>
      </c>
      <c r="V33" s="176">
        <f>V8*'Key inputs_Pipelines'!T$6/SUM('Key inputs_Pipelines'!T$4:T$6)</f>
        <v>0</v>
      </c>
      <c r="W33" s="176">
        <f>W8*'Key inputs_Pipelines'!U$6/SUM('Key inputs_Pipelines'!U$4:U$6)</f>
        <v>8181.0117702056641</v>
      </c>
      <c r="X33" s="176">
        <f>X8*'Key inputs_Pipelines'!V$6/SUM('Key inputs_Pipelines'!V$4:V$6)</f>
        <v>0</v>
      </c>
      <c r="Y33" s="176">
        <f>Y8*'Key inputs_Pipelines'!W$6/SUM('Key inputs_Pipelines'!W$4:W$6)</f>
        <v>19870.101291629067</v>
      </c>
      <c r="Z33" s="176">
        <f>Z8*'Key inputs_Pipelines'!X$6/SUM('Key inputs_Pipelines'!X$4:X$6)</f>
        <v>3677.7870875739422</v>
      </c>
      <c r="AA33" s="176">
        <f>AA8*'Key inputs_Pipelines'!Y$6/SUM('Key inputs_Pipelines'!Y$4:Y$6)</f>
        <v>9729.1478482267448</v>
      </c>
      <c r="AB33" s="176">
        <f>AB8*'Key inputs_Pipelines'!Z$6/SUM('Key inputs_Pipelines'!Z$4:Z$6)</f>
        <v>0</v>
      </c>
      <c r="AC33" s="176">
        <f>AC8*'Key inputs_Pipelines'!AA$6/SUM('Key inputs_Pipelines'!AA$4:AA$6)</f>
        <v>0</v>
      </c>
      <c r="AD33" s="176">
        <f>AD8*'Key inputs_Pipelines'!AB$6/SUM('Key inputs_Pipelines'!AB$4:AB$6)</f>
        <v>516643.8085636273</v>
      </c>
      <c r="AE33" s="176">
        <f>AE8*'Key inputs_Pipelines'!AC$6/SUM('Key inputs_Pipelines'!AC$4:AC$6)</f>
        <v>0</v>
      </c>
      <c r="AF33" s="287">
        <f>AF8*'Key inputs_Pipelines'!AD$6/SUM('Key inputs_Pipelines'!AD$4:AD$6)</f>
        <v>318405.84208413982</v>
      </c>
    </row>
    <row r="34" spans="1:32">
      <c r="A34" s="95" t="s">
        <v>786</v>
      </c>
      <c r="B34" s="95" t="s">
        <v>797</v>
      </c>
      <c r="C34" s="71" t="s">
        <v>543</v>
      </c>
      <c r="D34" s="74" t="s">
        <v>387</v>
      </c>
      <c r="E34" s="176">
        <f>E9*'Key inputs_Pipelines'!C$6/SUM('Key inputs_Pipelines'!C$4:C$6)</f>
        <v>0</v>
      </c>
      <c r="F34" s="176">
        <f>F9*'Key inputs_Pipelines'!D$6/SUM('Key inputs_Pipelines'!D$4:D$6)</f>
        <v>0</v>
      </c>
      <c r="G34" s="176">
        <f>G9*'Key inputs_Pipelines'!E$6/SUM('Key inputs_Pipelines'!E$4:E$6)</f>
        <v>0</v>
      </c>
      <c r="H34" s="176">
        <f>H9*'Key inputs_Pipelines'!F$6/SUM('Key inputs_Pipelines'!F$4:F$6)</f>
        <v>0</v>
      </c>
      <c r="I34" s="176">
        <f>I9*'Key inputs_Pipelines'!G$6/SUM('Key inputs_Pipelines'!G$4:G$6)</f>
        <v>0</v>
      </c>
      <c r="J34" s="176">
        <f>J9*'Key inputs_Pipelines'!H$6/SUM('Key inputs_Pipelines'!H$4:H$6)</f>
        <v>0</v>
      </c>
      <c r="K34" s="176">
        <f>K9*'Key inputs_Pipelines'!I$6/SUM('Key inputs_Pipelines'!I$4:I$6)</f>
        <v>0</v>
      </c>
      <c r="L34" s="176">
        <f>L9*'Key inputs_Pipelines'!J$6/SUM('Key inputs_Pipelines'!J$4:J$6)</f>
        <v>0</v>
      </c>
      <c r="M34" s="176">
        <f>M9*'Key inputs_Pipelines'!K$6/SUM('Key inputs_Pipelines'!K$4:K$6)</f>
        <v>0</v>
      </c>
      <c r="N34" s="176">
        <f>N9*'Key inputs_Pipelines'!L$6/SUM('Key inputs_Pipelines'!L$4:L$6)</f>
        <v>187.42162824462721</v>
      </c>
      <c r="O34" s="176">
        <f>O9*'Key inputs_Pipelines'!M$6/SUM('Key inputs_Pipelines'!M$4:M$6)</f>
        <v>0</v>
      </c>
      <c r="P34" s="176">
        <f>P9*'Key inputs_Pipelines'!N$6/SUM('Key inputs_Pipelines'!N$4:N$6)</f>
        <v>27.816792038694711</v>
      </c>
      <c r="Q34" s="176">
        <f>Q9*'Key inputs_Pipelines'!O$6/SUM('Key inputs_Pipelines'!O$4:O$6)</f>
        <v>0</v>
      </c>
      <c r="R34" s="176">
        <f>R9*'Key inputs_Pipelines'!P$6/SUM('Key inputs_Pipelines'!P$4:P$6)</f>
        <v>0</v>
      </c>
      <c r="S34" s="176">
        <f>S9*'Key inputs_Pipelines'!Q$6/SUM('Key inputs_Pipelines'!Q$4:Q$6)</f>
        <v>0</v>
      </c>
      <c r="T34" s="176">
        <f>T9*'Key inputs_Pipelines'!R$6/SUM('Key inputs_Pipelines'!R$4:R$6)</f>
        <v>0</v>
      </c>
      <c r="U34" s="176">
        <f>U9*'Key inputs_Pipelines'!S$6/SUM('Key inputs_Pipelines'!S$4:S$6)</f>
        <v>0</v>
      </c>
      <c r="V34" s="176">
        <f>V9*'Key inputs_Pipelines'!T$6/SUM('Key inputs_Pipelines'!T$4:T$6)</f>
        <v>0</v>
      </c>
      <c r="W34" s="176">
        <f>W9*'Key inputs_Pipelines'!U$6/SUM('Key inputs_Pipelines'!U$4:U$6)</f>
        <v>0</v>
      </c>
      <c r="X34" s="176">
        <f>X9*'Key inputs_Pipelines'!V$6/SUM('Key inputs_Pipelines'!V$4:V$6)</f>
        <v>0</v>
      </c>
      <c r="Y34" s="176">
        <f>Y9*'Key inputs_Pipelines'!W$6/SUM('Key inputs_Pipelines'!W$4:W$6)</f>
        <v>0</v>
      </c>
      <c r="Z34" s="176">
        <f>Z9*'Key inputs_Pipelines'!X$6/SUM('Key inputs_Pipelines'!X$4:X$6)</f>
        <v>0</v>
      </c>
      <c r="AA34" s="176">
        <f>AA9*'Key inputs_Pipelines'!Y$6/SUM('Key inputs_Pipelines'!Y$4:Y$6)</f>
        <v>0</v>
      </c>
      <c r="AB34" s="176">
        <f>AB9*'Key inputs_Pipelines'!Z$6/SUM('Key inputs_Pipelines'!Z$4:Z$6)</f>
        <v>0</v>
      </c>
      <c r="AC34" s="176">
        <f>AC9*'Key inputs_Pipelines'!AA$6/SUM('Key inputs_Pipelines'!AA$4:AA$6)</f>
        <v>0</v>
      </c>
      <c r="AD34" s="176">
        <f>AD9*'Key inputs_Pipelines'!AB$6/SUM('Key inputs_Pipelines'!AB$4:AB$6)</f>
        <v>531.5279306070031</v>
      </c>
      <c r="AE34" s="176">
        <f>AE9*'Key inputs_Pipelines'!AC$6/SUM('Key inputs_Pipelines'!AC$4:AC$6)</f>
        <v>0</v>
      </c>
      <c r="AF34" s="287">
        <f>AF9*'Key inputs_Pipelines'!AD$6/SUM('Key inputs_Pipelines'!AD$4:AD$6)</f>
        <v>0</v>
      </c>
    </row>
    <row r="35" spans="1:32">
      <c r="A35" s="95" t="s">
        <v>786</v>
      </c>
      <c r="B35" s="95" t="s">
        <v>797</v>
      </c>
      <c r="C35" s="71" t="s">
        <v>548</v>
      </c>
      <c r="D35" s="74" t="s">
        <v>387</v>
      </c>
      <c r="E35" s="176">
        <f>E10*'Key inputs_Pipelines'!C$6/SUM('Key inputs_Pipelines'!C$4:C$6)</f>
        <v>0</v>
      </c>
      <c r="F35" s="176">
        <f>F10*'Key inputs_Pipelines'!D$6/SUM('Key inputs_Pipelines'!D$4:D$6)</f>
        <v>0</v>
      </c>
      <c r="G35" s="176">
        <f>G10*'Key inputs_Pipelines'!E$6/SUM('Key inputs_Pipelines'!E$4:E$6)</f>
        <v>0</v>
      </c>
      <c r="H35" s="176">
        <f>H10*'Key inputs_Pipelines'!F$6/SUM('Key inputs_Pipelines'!F$4:F$6)</f>
        <v>0</v>
      </c>
      <c r="I35" s="176">
        <f>I10*'Key inputs_Pipelines'!G$6/SUM('Key inputs_Pipelines'!G$4:G$6)</f>
        <v>0</v>
      </c>
      <c r="J35" s="176">
        <f>J10*'Key inputs_Pipelines'!H$6/SUM('Key inputs_Pipelines'!H$4:H$6)</f>
        <v>0</v>
      </c>
      <c r="K35" s="176">
        <f>K10*'Key inputs_Pipelines'!I$6/SUM('Key inputs_Pipelines'!I$4:I$6)</f>
        <v>0</v>
      </c>
      <c r="L35" s="176">
        <f>L10*'Key inputs_Pipelines'!J$6/SUM('Key inputs_Pipelines'!J$4:J$6)</f>
        <v>0</v>
      </c>
      <c r="M35" s="176">
        <f>M10*'Key inputs_Pipelines'!K$6/SUM('Key inputs_Pipelines'!K$4:K$6)</f>
        <v>0</v>
      </c>
      <c r="N35" s="176">
        <f>N10*'Key inputs_Pipelines'!L$6/SUM('Key inputs_Pipelines'!L$4:L$6)</f>
        <v>0</v>
      </c>
      <c r="O35" s="176">
        <f>O10*'Key inputs_Pipelines'!M$6/SUM('Key inputs_Pipelines'!M$4:M$6)</f>
        <v>0</v>
      </c>
      <c r="P35" s="176">
        <f>P10*'Key inputs_Pipelines'!N$6/SUM('Key inputs_Pipelines'!N$4:N$6)</f>
        <v>3684.8734106768852</v>
      </c>
      <c r="Q35" s="176">
        <f>Q10*'Key inputs_Pipelines'!O$6/SUM('Key inputs_Pipelines'!O$4:O$6)</f>
        <v>0</v>
      </c>
      <c r="R35" s="176">
        <f>R10*'Key inputs_Pipelines'!P$6/SUM('Key inputs_Pipelines'!P$4:P$6)</f>
        <v>0</v>
      </c>
      <c r="S35" s="176">
        <f>S10*'Key inputs_Pipelines'!Q$6/SUM('Key inputs_Pipelines'!Q$4:Q$6)</f>
        <v>0</v>
      </c>
      <c r="T35" s="176">
        <f>T10*'Key inputs_Pipelines'!R$6/SUM('Key inputs_Pipelines'!R$4:R$6)</f>
        <v>0</v>
      </c>
      <c r="U35" s="176">
        <f>U10*'Key inputs_Pipelines'!S$6/SUM('Key inputs_Pipelines'!S$4:S$6)</f>
        <v>0</v>
      </c>
      <c r="V35" s="176">
        <f>V10*'Key inputs_Pipelines'!T$6/SUM('Key inputs_Pipelines'!T$4:T$6)</f>
        <v>0</v>
      </c>
      <c r="W35" s="176">
        <f>W10*'Key inputs_Pipelines'!U$6/SUM('Key inputs_Pipelines'!U$4:U$6)</f>
        <v>0</v>
      </c>
      <c r="X35" s="176">
        <f>X10*'Key inputs_Pipelines'!V$6/SUM('Key inputs_Pipelines'!V$4:V$6)</f>
        <v>0</v>
      </c>
      <c r="Y35" s="176">
        <f>Y10*'Key inputs_Pipelines'!W$6/SUM('Key inputs_Pipelines'!W$4:W$6)</f>
        <v>0</v>
      </c>
      <c r="Z35" s="176">
        <f>Z10*'Key inputs_Pipelines'!X$6/SUM('Key inputs_Pipelines'!X$4:X$6)</f>
        <v>0</v>
      </c>
      <c r="AA35" s="176">
        <f>AA10*'Key inputs_Pipelines'!Y$6/SUM('Key inputs_Pipelines'!Y$4:Y$6)</f>
        <v>0</v>
      </c>
      <c r="AB35" s="176">
        <f>AB10*'Key inputs_Pipelines'!Z$6/SUM('Key inputs_Pipelines'!Z$4:Z$6)</f>
        <v>0</v>
      </c>
      <c r="AC35" s="176">
        <f>AC10*'Key inputs_Pipelines'!AA$6/SUM('Key inputs_Pipelines'!AA$4:AA$6)</f>
        <v>0</v>
      </c>
      <c r="AD35" s="176">
        <f>AD10*'Key inputs_Pipelines'!AB$6/SUM('Key inputs_Pipelines'!AB$4:AB$6)</f>
        <v>5.3599455187260814</v>
      </c>
      <c r="AE35" s="176">
        <f>AE10*'Key inputs_Pipelines'!AC$6/SUM('Key inputs_Pipelines'!AC$4:AC$6)</f>
        <v>2.5779160903642233</v>
      </c>
      <c r="AF35" s="287">
        <f>AF10*'Key inputs_Pipelines'!AD$6/SUM('Key inputs_Pipelines'!AD$4:AD$6)</f>
        <v>0</v>
      </c>
    </row>
    <row r="36" spans="1:32">
      <c r="A36" s="95" t="s">
        <v>786</v>
      </c>
      <c r="B36" s="95" t="s">
        <v>797</v>
      </c>
      <c r="C36" s="71" t="s">
        <v>550</v>
      </c>
      <c r="D36" s="74" t="s">
        <v>387</v>
      </c>
      <c r="E36" s="176">
        <f>E11*'Key inputs_Pipelines'!C$6/SUM('Key inputs_Pipelines'!C$4:C$6)</f>
        <v>0</v>
      </c>
      <c r="F36" s="176">
        <f>F11*'Key inputs_Pipelines'!D$6/SUM('Key inputs_Pipelines'!D$4:D$6)</f>
        <v>0</v>
      </c>
      <c r="G36" s="176">
        <f>G11*'Key inputs_Pipelines'!E$6/SUM('Key inputs_Pipelines'!E$4:E$6)</f>
        <v>0</v>
      </c>
      <c r="H36" s="176">
        <f>H11*'Key inputs_Pipelines'!F$6/SUM('Key inputs_Pipelines'!F$4:F$6)</f>
        <v>0</v>
      </c>
      <c r="I36" s="176">
        <f>I11*'Key inputs_Pipelines'!G$6/SUM('Key inputs_Pipelines'!G$4:G$6)</f>
        <v>0</v>
      </c>
      <c r="J36" s="176">
        <f>J11*'Key inputs_Pipelines'!H$6/SUM('Key inputs_Pipelines'!H$4:H$6)</f>
        <v>0</v>
      </c>
      <c r="K36" s="176">
        <f>K11*'Key inputs_Pipelines'!I$6/SUM('Key inputs_Pipelines'!I$4:I$6)</f>
        <v>0</v>
      </c>
      <c r="L36" s="176">
        <f>L11*'Key inputs_Pipelines'!J$6/SUM('Key inputs_Pipelines'!J$4:J$6)</f>
        <v>0</v>
      </c>
      <c r="M36" s="176">
        <f>M11*'Key inputs_Pipelines'!K$6/SUM('Key inputs_Pipelines'!K$4:K$6)</f>
        <v>0</v>
      </c>
      <c r="N36" s="176">
        <f>N11*'Key inputs_Pipelines'!L$6/SUM('Key inputs_Pipelines'!L$4:L$6)</f>
        <v>0</v>
      </c>
      <c r="O36" s="176">
        <f>O11*'Key inputs_Pipelines'!M$6/SUM('Key inputs_Pipelines'!M$4:M$6)</f>
        <v>0</v>
      </c>
      <c r="P36" s="176">
        <f>P11*'Key inputs_Pipelines'!N$6/SUM('Key inputs_Pipelines'!N$4:N$6)</f>
        <v>0</v>
      </c>
      <c r="Q36" s="176">
        <f>Q11*'Key inputs_Pipelines'!O$6/SUM('Key inputs_Pipelines'!O$4:O$6)</f>
        <v>0</v>
      </c>
      <c r="R36" s="176">
        <f>R11*'Key inputs_Pipelines'!P$6/SUM('Key inputs_Pipelines'!P$4:P$6)</f>
        <v>0</v>
      </c>
      <c r="S36" s="176">
        <f>S11*'Key inputs_Pipelines'!Q$6/SUM('Key inputs_Pipelines'!Q$4:Q$6)</f>
        <v>0</v>
      </c>
      <c r="T36" s="176">
        <f>T11*'Key inputs_Pipelines'!R$6/SUM('Key inputs_Pipelines'!R$4:R$6)</f>
        <v>0</v>
      </c>
      <c r="U36" s="176">
        <f>U11*'Key inputs_Pipelines'!S$6/SUM('Key inputs_Pipelines'!S$4:S$6)</f>
        <v>0</v>
      </c>
      <c r="V36" s="176">
        <f>V11*'Key inputs_Pipelines'!T$6/SUM('Key inputs_Pipelines'!T$4:T$6)</f>
        <v>0</v>
      </c>
      <c r="W36" s="176">
        <f>W11*'Key inputs_Pipelines'!U$6/SUM('Key inputs_Pipelines'!U$4:U$6)</f>
        <v>0</v>
      </c>
      <c r="X36" s="176">
        <f>X11*'Key inputs_Pipelines'!V$6/SUM('Key inputs_Pipelines'!V$4:V$6)</f>
        <v>0</v>
      </c>
      <c r="Y36" s="176">
        <f>Y11*'Key inputs_Pipelines'!W$6/SUM('Key inputs_Pipelines'!W$4:W$6)</f>
        <v>0</v>
      </c>
      <c r="Z36" s="176">
        <f>Z11*'Key inputs_Pipelines'!X$6/SUM('Key inputs_Pipelines'!X$4:X$6)</f>
        <v>0</v>
      </c>
      <c r="AA36" s="176">
        <f>AA11*'Key inputs_Pipelines'!Y$6/SUM('Key inputs_Pipelines'!Y$4:Y$6)</f>
        <v>632.97777583992684</v>
      </c>
      <c r="AB36" s="176">
        <f>AB11*'Key inputs_Pipelines'!Z$6/SUM('Key inputs_Pipelines'!Z$4:Z$6)</f>
        <v>0</v>
      </c>
      <c r="AC36" s="176">
        <f>AC11*'Key inputs_Pipelines'!AA$6/SUM('Key inputs_Pipelines'!AA$4:AA$6)</f>
        <v>0</v>
      </c>
      <c r="AD36" s="176">
        <f>AD11*'Key inputs_Pipelines'!AB$6/SUM('Key inputs_Pipelines'!AB$4:AB$6)</f>
        <v>0</v>
      </c>
      <c r="AE36" s="176">
        <f>AE11*'Key inputs_Pipelines'!AC$6/SUM('Key inputs_Pipelines'!AC$4:AC$6)</f>
        <v>0</v>
      </c>
      <c r="AF36" s="287">
        <f>AF11*'Key inputs_Pipelines'!AD$6/SUM('Key inputs_Pipelines'!AD$4:AD$6)</f>
        <v>0</v>
      </c>
    </row>
    <row r="37" spans="1:32">
      <c r="A37" s="95" t="s">
        <v>786</v>
      </c>
      <c r="B37" s="95" t="s">
        <v>797</v>
      </c>
      <c r="C37" s="71" t="s">
        <v>552</v>
      </c>
      <c r="D37" s="74" t="s">
        <v>387</v>
      </c>
      <c r="E37" s="176">
        <f>E12*'Key inputs_Pipelines'!C$6/SUM('Key inputs_Pipelines'!C$4:C$6)</f>
        <v>0</v>
      </c>
      <c r="F37" s="176">
        <f>F12*'Key inputs_Pipelines'!D$6/SUM('Key inputs_Pipelines'!D$4:D$6)</f>
        <v>0</v>
      </c>
      <c r="G37" s="176">
        <f>G12*'Key inputs_Pipelines'!E$6/SUM('Key inputs_Pipelines'!E$4:E$6)</f>
        <v>0</v>
      </c>
      <c r="H37" s="176">
        <f>H12*'Key inputs_Pipelines'!F$6/SUM('Key inputs_Pipelines'!F$4:F$6)</f>
        <v>5.7927404733661119</v>
      </c>
      <c r="I37" s="176">
        <f>I12*'Key inputs_Pipelines'!G$6/SUM('Key inputs_Pipelines'!G$4:G$6)</f>
        <v>0</v>
      </c>
      <c r="J37" s="176">
        <f>J12*'Key inputs_Pipelines'!H$6/SUM('Key inputs_Pipelines'!H$4:H$6)</f>
        <v>0</v>
      </c>
      <c r="K37" s="176">
        <f>K12*'Key inputs_Pipelines'!I$6/SUM('Key inputs_Pipelines'!I$4:I$6)</f>
        <v>0</v>
      </c>
      <c r="L37" s="176">
        <f>L12*'Key inputs_Pipelines'!J$6/SUM('Key inputs_Pipelines'!J$4:J$6)</f>
        <v>0</v>
      </c>
      <c r="M37" s="176">
        <f>M12*'Key inputs_Pipelines'!K$6/SUM('Key inputs_Pipelines'!K$4:K$6)</f>
        <v>0</v>
      </c>
      <c r="N37" s="176">
        <f>N12*'Key inputs_Pipelines'!L$6/SUM('Key inputs_Pipelines'!L$4:L$6)</f>
        <v>0</v>
      </c>
      <c r="O37" s="176">
        <f>O12*'Key inputs_Pipelines'!M$6/SUM('Key inputs_Pipelines'!M$4:M$6)</f>
        <v>0.34631343234432116</v>
      </c>
      <c r="P37" s="176">
        <f>P12*'Key inputs_Pipelines'!N$6/SUM('Key inputs_Pipelines'!N$4:N$6)</f>
        <v>2.838448167213746</v>
      </c>
      <c r="Q37" s="176">
        <f>Q12*'Key inputs_Pipelines'!O$6/SUM('Key inputs_Pipelines'!O$4:O$6)</f>
        <v>0</v>
      </c>
      <c r="R37" s="176">
        <f>R12*'Key inputs_Pipelines'!P$6/SUM('Key inputs_Pipelines'!P$4:P$6)</f>
        <v>0</v>
      </c>
      <c r="S37" s="176">
        <f>S12*'Key inputs_Pipelines'!Q$6/SUM('Key inputs_Pipelines'!Q$4:Q$6)</f>
        <v>0</v>
      </c>
      <c r="T37" s="176">
        <f>T12*'Key inputs_Pipelines'!R$6/SUM('Key inputs_Pipelines'!R$4:R$6)</f>
        <v>0</v>
      </c>
      <c r="U37" s="176">
        <f>U12*'Key inputs_Pipelines'!S$6/SUM('Key inputs_Pipelines'!S$4:S$6)</f>
        <v>0</v>
      </c>
      <c r="V37" s="176">
        <f>V12*'Key inputs_Pipelines'!T$6/SUM('Key inputs_Pipelines'!T$4:T$6)</f>
        <v>0</v>
      </c>
      <c r="W37" s="176">
        <f>W12*'Key inputs_Pipelines'!U$6/SUM('Key inputs_Pipelines'!U$4:U$6)</f>
        <v>0</v>
      </c>
      <c r="X37" s="176">
        <f>X12*'Key inputs_Pipelines'!V$6/SUM('Key inputs_Pipelines'!V$4:V$6)</f>
        <v>0</v>
      </c>
      <c r="Y37" s="176">
        <f>Y12*'Key inputs_Pipelines'!W$6/SUM('Key inputs_Pipelines'!W$4:W$6)</f>
        <v>0</v>
      </c>
      <c r="Z37" s="176">
        <f>Z12*'Key inputs_Pipelines'!X$6/SUM('Key inputs_Pipelines'!X$4:X$6)</f>
        <v>0</v>
      </c>
      <c r="AA37" s="176">
        <f>AA12*'Key inputs_Pipelines'!Y$6/SUM('Key inputs_Pipelines'!Y$4:Y$6)</f>
        <v>0</v>
      </c>
      <c r="AB37" s="176">
        <f>AB12*'Key inputs_Pipelines'!Z$6/SUM('Key inputs_Pipelines'!Z$4:Z$6)</f>
        <v>0</v>
      </c>
      <c r="AC37" s="176">
        <f>AC12*'Key inputs_Pipelines'!AA$6/SUM('Key inputs_Pipelines'!AA$4:AA$6)</f>
        <v>0</v>
      </c>
      <c r="AD37" s="176">
        <f>AD12*'Key inputs_Pipelines'!AB$6/SUM('Key inputs_Pipelines'!AB$4:AB$6)</f>
        <v>17.419822935859763</v>
      </c>
      <c r="AE37" s="176">
        <f>AE12*'Key inputs_Pipelines'!AC$6/SUM('Key inputs_Pipelines'!AC$4:AC$6)</f>
        <v>0</v>
      </c>
      <c r="AF37" s="287">
        <f>AF12*'Key inputs_Pipelines'!AD$6/SUM('Key inputs_Pipelines'!AD$4:AD$6)</f>
        <v>0</v>
      </c>
    </row>
    <row r="38" spans="1:32">
      <c r="A38" s="97" t="s">
        <v>786</v>
      </c>
      <c r="B38" s="76" t="s">
        <v>797</v>
      </c>
      <c r="C38" s="76" t="s">
        <v>556</v>
      </c>
      <c r="D38" s="77" t="s">
        <v>387</v>
      </c>
      <c r="E38" s="288">
        <f>E13*'Key inputs_Pipelines'!C$6/SUM('Key inputs_Pipelines'!C$4:C$6)</f>
        <v>0</v>
      </c>
      <c r="F38" s="289">
        <f>F13*'Key inputs_Pipelines'!D$6/SUM('Key inputs_Pipelines'!D$4:D$6)</f>
        <v>0</v>
      </c>
      <c r="G38" s="289">
        <f>G13*'Key inputs_Pipelines'!E$6/SUM('Key inputs_Pipelines'!E$4:E$6)</f>
        <v>0</v>
      </c>
      <c r="H38" s="289">
        <f>H13*'Key inputs_Pipelines'!F$6/SUM('Key inputs_Pipelines'!F$4:F$6)</f>
        <v>0</v>
      </c>
      <c r="I38" s="289">
        <f>I13*'Key inputs_Pipelines'!G$6/SUM('Key inputs_Pipelines'!G$4:G$6)</f>
        <v>0</v>
      </c>
      <c r="J38" s="289">
        <f>J13*'Key inputs_Pipelines'!H$6/SUM('Key inputs_Pipelines'!H$4:H$6)</f>
        <v>27.774193548387096</v>
      </c>
      <c r="K38" s="289">
        <f>K13*'Key inputs_Pipelines'!I$6/SUM('Key inputs_Pipelines'!I$4:I$6)</f>
        <v>0</v>
      </c>
      <c r="L38" s="289">
        <f>L13*'Key inputs_Pipelines'!J$6/SUM('Key inputs_Pipelines'!J$4:J$6)</f>
        <v>0</v>
      </c>
      <c r="M38" s="289">
        <f>M13*'Key inputs_Pipelines'!K$6/SUM('Key inputs_Pipelines'!K$4:K$6)</f>
        <v>0</v>
      </c>
      <c r="N38" s="289">
        <f>N13*'Key inputs_Pipelines'!L$6/SUM('Key inputs_Pipelines'!L$4:L$6)</f>
        <v>0</v>
      </c>
      <c r="O38" s="289">
        <f>O13*'Key inputs_Pipelines'!M$6/SUM('Key inputs_Pipelines'!M$4:M$6)</f>
        <v>0</v>
      </c>
      <c r="P38" s="289">
        <f>P13*'Key inputs_Pipelines'!N$6/SUM('Key inputs_Pipelines'!N$4:N$6)</f>
        <v>0</v>
      </c>
      <c r="Q38" s="289">
        <f>Q13*'Key inputs_Pipelines'!O$6/SUM('Key inputs_Pipelines'!O$4:O$6)</f>
        <v>0</v>
      </c>
      <c r="R38" s="289">
        <f>R13*'Key inputs_Pipelines'!P$6/SUM('Key inputs_Pipelines'!P$4:P$6)</f>
        <v>0</v>
      </c>
      <c r="S38" s="289">
        <f>S13*'Key inputs_Pipelines'!Q$6/SUM('Key inputs_Pipelines'!Q$4:Q$6)</f>
        <v>0</v>
      </c>
      <c r="T38" s="289">
        <f>T13*'Key inputs_Pipelines'!R$6/SUM('Key inputs_Pipelines'!R$4:R$6)</f>
        <v>0</v>
      </c>
      <c r="U38" s="289">
        <f>U13*'Key inputs_Pipelines'!S$6/SUM('Key inputs_Pipelines'!S$4:S$6)</f>
        <v>0</v>
      </c>
      <c r="V38" s="289">
        <f>V13*'Key inputs_Pipelines'!T$6/SUM('Key inputs_Pipelines'!T$4:T$6)</f>
        <v>0</v>
      </c>
      <c r="W38" s="289">
        <f>W13*'Key inputs_Pipelines'!U$6/SUM('Key inputs_Pipelines'!U$4:U$6)</f>
        <v>0</v>
      </c>
      <c r="X38" s="289">
        <f>X13*'Key inputs_Pipelines'!V$6/SUM('Key inputs_Pipelines'!V$4:V$6)</f>
        <v>0</v>
      </c>
      <c r="Y38" s="289">
        <f>Y13*'Key inputs_Pipelines'!W$6/SUM('Key inputs_Pipelines'!W$4:W$6)</f>
        <v>0</v>
      </c>
      <c r="Z38" s="289">
        <f>Z13*'Key inputs_Pipelines'!X$6/SUM('Key inputs_Pipelines'!X$4:X$6)</f>
        <v>0</v>
      </c>
      <c r="AA38" s="289">
        <f>AA13*'Key inputs_Pipelines'!Y$6/SUM('Key inputs_Pipelines'!Y$4:Y$6)</f>
        <v>0</v>
      </c>
      <c r="AB38" s="289">
        <f>AB13*'Key inputs_Pipelines'!Z$6/SUM('Key inputs_Pipelines'!Z$4:Z$6)</f>
        <v>0</v>
      </c>
      <c r="AC38" s="289">
        <f>AC13*'Key inputs_Pipelines'!AA$6/SUM('Key inputs_Pipelines'!AA$4:AA$6)</f>
        <v>0</v>
      </c>
      <c r="AD38" s="289">
        <f>AD13*'Key inputs_Pipelines'!AB$6/SUM('Key inputs_Pipelines'!AB$4:AB$6)</f>
        <v>0</v>
      </c>
      <c r="AE38" s="289">
        <f>AE13*'Key inputs_Pipelines'!AC$6/SUM('Key inputs_Pipelines'!AC$4:AC$6)</f>
        <v>0</v>
      </c>
      <c r="AF38" s="290">
        <f>AF13*'Key inputs_Pipelines'!AD$6/SUM('Key inputs_Pipelines'!AD$4:AD$6)</f>
        <v>0</v>
      </c>
    </row>
    <row r="40" spans="1:32">
      <c r="D40" s="59" t="s">
        <v>724</v>
      </c>
      <c r="E40" s="357">
        <f>SUM(E15:E38)-SUM(E6:E13)</f>
        <v>0</v>
      </c>
      <c r="F40" s="357">
        <f t="shared" ref="F40:AF40" si="0">SUM(F15:F38)-SUM(F6:F13)</f>
        <v>0</v>
      </c>
      <c r="G40" s="357">
        <f t="shared" si="0"/>
        <v>0</v>
      </c>
      <c r="H40" s="357">
        <f t="shared" si="0"/>
        <v>0</v>
      </c>
      <c r="I40" s="357">
        <f t="shared" si="0"/>
        <v>0</v>
      </c>
      <c r="J40" s="357">
        <f t="shared" si="0"/>
        <v>0</v>
      </c>
      <c r="K40" s="357">
        <f t="shared" si="0"/>
        <v>0</v>
      </c>
      <c r="L40" s="357">
        <f t="shared" si="0"/>
        <v>0</v>
      </c>
      <c r="M40" s="357">
        <f t="shared" si="0"/>
        <v>0</v>
      </c>
      <c r="N40" s="357">
        <f t="shared" si="0"/>
        <v>0</v>
      </c>
      <c r="O40" s="357">
        <f t="shared" si="0"/>
        <v>0</v>
      </c>
      <c r="P40" s="357">
        <f t="shared" si="0"/>
        <v>0</v>
      </c>
      <c r="Q40" s="357">
        <f t="shared" si="0"/>
        <v>0</v>
      </c>
      <c r="R40" s="357">
        <f t="shared" si="0"/>
        <v>0</v>
      </c>
      <c r="S40" s="357">
        <f t="shared" si="0"/>
        <v>0</v>
      </c>
      <c r="T40" s="357">
        <f t="shared" si="0"/>
        <v>0</v>
      </c>
      <c r="U40" s="357">
        <f t="shared" si="0"/>
        <v>0</v>
      </c>
      <c r="V40" s="357">
        <f t="shared" si="0"/>
        <v>0</v>
      </c>
      <c r="W40" s="357">
        <f t="shared" si="0"/>
        <v>0</v>
      </c>
      <c r="X40" s="357">
        <f t="shared" si="0"/>
        <v>0</v>
      </c>
      <c r="Y40" s="357">
        <f t="shared" si="0"/>
        <v>0</v>
      </c>
      <c r="Z40" s="357">
        <f t="shared" si="0"/>
        <v>0</v>
      </c>
      <c r="AA40" s="357">
        <f t="shared" si="0"/>
        <v>0</v>
      </c>
      <c r="AB40" s="357">
        <f t="shared" si="0"/>
        <v>0</v>
      </c>
      <c r="AC40" s="357">
        <f t="shared" si="0"/>
        <v>0</v>
      </c>
      <c r="AD40" s="357">
        <f t="shared" si="0"/>
        <v>0</v>
      </c>
      <c r="AE40" s="357">
        <f t="shared" si="0"/>
        <v>0</v>
      </c>
      <c r="AF40" s="357">
        <f t="shared" si="0"/>
        <v>0</v>
      </c>
    </row>
  </sheetData>
  <mergeCells count="1">
    <mergeCell ref="A1:E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340A0-80F4-4186-8E7C-0CC3BF3A03CA}">
  <sheetPr>
    <tabColor theme="4" tint="0.39997558519241921"/>
  </sheetPr>
  <dimension ref="A1:AE19"/>
  <sheetViews>
    <sheetView workbookViewId="0">
      <selection activeCell="X30" sqref="X30"/>
    </sheetView>
  </sheetViews>
  <sheetFormatPr defaultColWidth="7.69921875" defaultRowHeight="15.6"/>
  <cols>
    <col min="1" max="1" width="9.09765625" style="60" bestFit="1" customWidth="1"/>
    <col min="2" max="2" width="26" style="59" customWidth="1"/>
    <col min="3" max="3" width="7.69921875" style="59"/>
    <col min="4" max="4" width="6.3984375" style="59" bestFit="1" customWidth="1"/>
    <col min="5" max="5" width="7.3984375" style="59" bestFit="1" customWidth="1"/>
    <col min="6" max="6" width="6.3984375" style="59" bestFit="1" customWidth="1"/>
    <col min="7" max="13" width="7.3984375" style="59" bestFit="1" customWidth="1"/>
    <col min="14" max="14" width="6.3984375" style="59" bestFit="1" customWidth="1"/>
    <col min="15" max="15" width="8.8984375" style="59" bestFit="1" customWidth="1"/>
    <col min="16" max="25" width="7.3984375" style="59" bestFit="1" customWidth="1"/>
    <col min="26" max="26" width="8.8984375" style="59" bestFit="1" customWidth="1"/>
    <col min="27" max="27" width="7.3984375" style="59" bestFit="1" customWidth="1"/>
    <col min="28" max="28" width="6.3984375" style="59" bestFit="1" customWidth="1"/>
    <col min="29" max="31" width="8.8984375" style="59" bestFit="1" customWidth="1"/>
    <col min="32" max="16384" width="7.69921875" style="59"/>
  </cols>
  <sheetData>
    <row r="1" spans="1:31">
      <c r="A1" s="586" t="s">
        <v>798</v>
      </c>
      <c r="B1" s="586"/>
      <c r="C1" s="586"/>
      <c r="D1" s="586"/>
    </row>
    <row r="2" spans="1:31">
      <c r="A2" s="586"/>
      <c r="B2" s="586"/>
      <c r="C2" s="586"/>
      <c r="D2" s="586"/>
    </row>
    <row r="4" spans="1:31" s="60" customFormat="1" ht="14.4">
      <c r="A4" s="86"/>
      <c r="B4" s="63"/>
      <c r="C4" s="63"/>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86"/>
    </row>
    <row r="5" spans="1:31">
      <c r="A5" s="90" t="s">
        <v>717</v>
      </c>
      <c r="B5" s="68" t="s">
        <v>718</v>
      </c>
      <c r="C5" s="68" t="s">
        <v>375</v>
      </c>
      <c r="D5" s="69" t="s">
        <v>172</v>
      </c>
      <c r="E5" s="69" t="s">
        <v>175</v>
      </c>
      <c r="F5" s="69" t="s">
        <v>178</v>
      </c>
      <c r="G5" s="69" t="s">
        <v>181</v>
      </c>
      <c r="H5" s="69" t="s">
        <v>184</v>
      </c>
      <c r="I5" s="69" t="s">
        <v>187</v>
      </c>
      <c r="J5" s="69" t="s">
        <v>190</v>
      </c>
      <c r="K5" s="69" t="s">
        <v>193</v>
      </c>
      <c r="L5" s="69" t="s">
        <v>196</v>
      </c>
      <c r="M5" s="69" t="s">
        <v>198</v>
      </c>
      <c r="N5" s="69" t="s">
        <v>200</v>
      </c>
      <c r="O5" s="69" t="s">
        <v>202</v>
      </c>
      <c r="P5" s="69" t="s">
        <v>205</v>
      </c>
      <c r="Q5" s="69" t="s">
        <v>208</v>
      </c>
      <c r="R5" s="69" t="s">
        <v>211</v>
      </c>
      <c r="S5" s="69" t="s">
        <v>214</v>
      </c>
      <c r="T5" s="69" t="s">
        <v>217</v>
      </c>
      <c r="U5" s="69" t="s">
        <v>220</v>
      </c>
      <c r="V5" s="69" t="s">
        <v>223</v>
      </c>
      <c r="W5" s="69" t="s">
        <v>225</v>
      </c>
      <c r="X5" s="69" t="s">
        <v>227</v>
      </c>
      <c r="Y5" s="69" t="s">
        <v>230</v>
      </c>
      <c r="Z5" s="69" t="s">
        <v>233</v>
      </c>
      <c r="AA5" s="69" t="s">
        <v>236</v>
      </c>
      <c r="AB5" s="69" t="s">
        <v>238</v>
      </c>
      <c r="AC5" s="69" t="s">
        <v>240</v>
      </c>
      <c r="AD5" s="69" t="s">
        <v>243</v>
      </c>
      <c r="AE5" s="91" t="s">
        <v>245</v>
      </c>
    </row>
    <row r="6" spans="1:31">
      <c r="A6" s="95" t="s">
        <v>799</v>
      </c>
      <c r="B6" s="71" t="s">
        <v>521</v>
      </c>
      <c r="C6" s="74" t="s">
        <v>387</v>
      </c>
      <c r="D6" s="73">
        <v>0</v>
      </c>
      <c r="E6" s="73">
        <v>0</v>
      </c>
      <c r="F6" s="73">
        <v>0</v>
      </c>
      <c r="G6" s="73">
        <v>0</v>
      </c>
      <c r="H6" s="73">
        <v>0</v>
      </c>
      <c r="I6" s="73">
        <v>0</v>
      </c>
      <c r="J6" s="73">
        <v>0</v>
      </c>
      <c r="K6" s="73">
        <v>0</v>
      </c>
      <c r="L6" s="73">
        <v>0</v>
      </c>
      <c r="M6" s="73">
        <v>0</v>
      </c>
      <c r="N6" s="73">
        <v>0</v>
      </c>
      <c r="O6" s="73">
        <v>0</v>
      </c>
      <c r="P6" s="73">
        <v>151</v>
      </c>
      <c r="Q6" s="73">
        <v>0</v>
      </c>
      <c r="R6" s="73">
        <v>0</v>
      </c>
      <c r="S6" s="73">
        <v>0</v>
      </c>
      <c r="T6" s="73">
        <v>0</v>
      </c>
      <c r="U6" s="73">
        <v>0</v>
      </c>
      <c r="V6" s="73">
        <v>0</v>
      </c>
      <c r="W6" s="73">
        <v>0</v>
      </c>
      <c r="X6" s="73">
        <v>0</v>
      </c>
      <c r="Y6" s="73">
        <v>0</v>
      </c>
      <c r="Z6" s="73">
        <v>0</v>
      </c>
      <c r="AA6" s="73">
        <v>0</v>
      </c>
      <c r="AB6" s="73">
        <v>0</v>
      </c>
      <c r="AC6" s="73">
        <v>0</v>
      </c>
      <c r="AD6" s="73">
        <v>0</v>
      </c>
      <c r="AE6" s="92">
        <v>0</v>
      </c>
    </row>
    <row r="7" spans="1:31">
      <c r="A7" s="95" t="s">
        <v>799</v>
      </c>
      <c r="B7" s="71" t="s">
        <v>527</v>
      </c>
      <c r="C7" s="74" t="s">
        <v>387</v>
      </c>
      <c r="D7" s="73">
        <v>0</v>
      </c>
      <c r="E7" s="73">
        <v>0</v>
      </c>
      <c r="F7" s="73">
        <v>0</v>
      </c>
      <c r="G7" s="73">
        <v>43280</v>
      </c>
      <c r="H7" s="73">
        <v>0</v>
      </c>
      <c r="I7" s="73">
        <v>0</v>
      </c>
      <c r="J7" s="73">
        <v>13577</v>
      </c>
      <c r="K7" s="73">
        <v>0</v>
      </c>
      <c r="L7" s="73">
        <v>0</v>
      </c>
      <c r="M7" s="73">
        <v>1713</v>
      </c>
      <c r="N7" s="73">
        <v>0</v>
      </c>
      <c r="O7" s="73">
        <v>2608131</v>
      </c>
      <c r="P7" s="73">
        <v>7338</v>
      </c>
      <c r="Q7" s="73">
        <v>6190</v>
      </c>
      <c r="R7" s="73">
        <v>8388</v>
      </c>
      <c r="S7" s="73">
        <v>4616</v>
      </c>
      <c r="T7" s="73">
        <v>4697</v>
      </c>
      <c r="U7" s="73">
        <v>18648</v>
      </c>
      <c r="V7" s="73">
        <v>0</v>
      </c>
      <c r="W7" s="73">
        <v>12</v>
      </c>
      <c r="X7" s="73">
        <v>543</v>
      </c>
      <c r="Y7" s="73">
        <v>0</v>
      </c>
      <c r="Z7" s="73">
        <v>11170</v>
      </c>
      <c r="AA7" s="73">
        <v>1904</v>
      </c>
      <c r="AB7" s="73">
        <v>0</v>
      </c>
      <c r="AC7" s="73">
        <v>8315</v>
      </c>
      <c r="AD7" s="73">
        <v>16403</v>
      </c>
      <c r="AE7" s="93">
        <v>0</v>
      </c>
    </row>
    <row r="8" spans="1:31">
      <c r="A8" s="95" t="s">
        <v>799</v>
      </c>
      <c r="B8" s="71" t="s">
        <v>529</v>
      </c>
      <c r="C8" s="74" t="s">
        <v>387</v>
      </c>
      <c r="D8" s="73">
        <v>0</v>
      </c>
      <c r="E8" s="73">
        <v>0</v>
      </c>
      <c r="F8" s="73">
        <v>0</v>
      </c>
      <c r="G8" s="73">
        <v>0</v>
      </c>
      <c r="H8" s="73">
        <v>0</v>
      </c>
      <c r="I8" s="73">
        <v>0</v>
      </c>
      <c r="J8" s="73">
        <v>0</v>
      </c>
      <c r="K8" s="73">
        <v>0</v>
      </c>
      <c r="L8" s="73">
        <v>0</v>
      </c>
      <c r="M8" s="73">
        <v>0</v>
      </c>
      <c r="N8" s="73">
        <v>0</v>
      </c>
      <c r="O8" s="73">
        <v>0</v>
      </c>
      <c r="P8" s="73">
        <v>215</v>
      </c>
      <c r="Q8" s="73">
        <v>0</v>
      </c>
      <c r="R8" s="73">
        <v>0</v>
      </c>
      <c r="S8" s="73">
        <v>5</v>
      </c>
      <c r="T8" s="73">
        <v>312</v>
      </c>
      <c r="U8" s="73">
        <v>0</v>
      </c>
      <c r="V8" s="73">
        <v>0</v>
      </c>
      <c r="W8" s="73">
        <v>0</v>
      </c>
      <c r="X8" s="73">
        <v>209</v>
      </c>
      <c r="Y8" s="73">
        <v>0</v>
      </c>
      <c r="Z8" s="73">
        <v>0</v>
      </c>
      <c r="AA8" s="73">
        <v>0</v>
      </c>
      <c r="AB8" s="73">
        <v>0</v>
      </c>
      <c r="AC8" s="73">
        <v>0</v>
      </c>
      <c r="AD8" s="73">
        <v>0</v>
      </c>
      <c r="AE8" s="93">
        <v>0</v>
      </c>
    </row>
    <row r="9" spans="1:31">
      <c r="A9" s="95" t="s">
        <v>799</v>
      </c>
      <c r="B9" s="71" t="s">
        <v>531</v>
      </c>
      <c r="C9" s="74" t="s">
        <v>387</v>
      </c>
      <c r="D9" s="73">
        <v>0</v>
      </c>
      <c r="E9" s="73">
        <v>0</v>
      </c>
      <c r="F9" s="73">
        <v>0</v>
      </c>
      <c r="G9" s="73">
        <v>0</v>
      </c>
      <c r="H9" s="73">
        <v>0</v>
      </c>
      <c r="I9" s="73">
        <v>0</v>
      </c>
      <c r="J9" s="73">
        <v>0</v>
      </c>
      <c r="K9" s="73">
        <v>0</v>
      </c>
      <c r="L9" s="73">
        <v>0</v>
      </c>
      <c r="M9" s="73">
        <v>0</v>
      </c>
      <c r="N9" s="73">
        <v>0</v>
      </c>
      <c r="O9" s="73">
        <v>0</v>
      </c>
      <c r="P9" s="73">
        <v>0</v>
      </c>
      <c r="Q9" s="73">
        <v>0</v>
      </c>
      <c r="R9" s="73">
        <v>0</v>
      </c>
      <c r="S9" s="73">
        <v>0</v>
      </c>
      <c r="T9" s="73">
        <v>0</v>
      </c>
      <c r="U9" s="73">
        <v>0</v>
      </c>
      <c r="V9" s="73">
        <v>0</v>
      </c>
      <c r="W9" s="73">
        <v>1495</v>
      </c>
      <c r="X9" s="73">
        <v>0</v>
      </c>
      <c r="Y9" s="73">
        <v>0</v>
      </c>
      <c r="Z9" s="73">
        <v>0</v>
      </c>
      <c r="AA9" s="73">
        <v>0</v>
      </c>
      <c r="AB9" s="73">
        <v>0</v>
      </c>
      <c r="AC9" s="73">
        <v>0</v>
      </c>
      <c r="AD9" s="73">
        <v>0</v>
      </c>
      <c r="AE9" s="93">
        <v>0</v>
      </c>
    </row>
    <row r="10" spans="1:31">
      <c r="A10" s="95" t="s">
        <v>799</v>
      </c>
      <c r="B10" s="71" t="s">
        <v>533</v>
      </c>
      <c r="C10" s="74" t="s">
        <v>387</v>
      </c>
      <c r="D10" s="73">
        <v>0</v>
      </c>
      <c r="E10" s="73">
        <v>0</v>
      </c>
      <c r="F10" s="73">
        <v>0</v>
      </c>
      <c r="G10" s="73">
        <v>0</v>
      </c>
      <c r="H10" s="73">
        <v>0</v>
      </c>
      <c r="I10" s="73">
        <v>0</v>
      </c>
      <c r="J10" s="73">
        <v>0</v>
      </c>
      <c r="K10" s="73">
        <v>0</v>
      </c>
      <c r="L10" s="73">
        <v>0</v>
      </c>
      <c r="M10" s="73">
        <v>387</v>
      </c>
      <c r="N10" s="73">
        <v>0</v>
      </c>
      <c r="O10" s="73">
        <v>418079</v>
      </c>
      <c r="P10" s="73">
        <v>14861</v>
      </c>
      <c r="Q10" s="73">
        <v>2162</v>
      </c>
      <c r="R10" s="73">
        <v>13070</v>
      </c>
      <c r="S10" s="73">
        <v>6488</v>
      </c>
      <c r="T10" s="73">
        <v>24015</v>
      </c>
      <c r="U10" s="73">
        <v>3439</v>
      </c>
      <c r="V10" s="73">
        <v>0</v>
      </c>
      <c r="W10" s="73">
        <v>25926</v>
      </c>
      <c r="X10" s="73">
        <v>0</v>
      </c>
      <c r="Y10" s="73">
        <v>0</v>
      </c>
      <c r="Z10" s="73">
        <v>15084</v>
      </c>
      <c r="AA10" s="73">
        <v>0</v>
      </c>
      <c r="AB10" s="73">
        <v>0</v>
      </c>
      <c r="AC10" s="73">
        <v>0</v>
      </c>
      <c r="AD10" s="73">
        <v>0</v>
      </c>
      <c r="AE10" s="93">
        <v>0</v>
      </c>
    </row>
    <row r="11" spans="1:31">
      <c r="A11" s="95" t="s">
        <v>799</v>
      </c>
      <c r="B11" s="71" t="s">
        <v>535</v>
      </c>
      <c r="C11" s="74" t="s">
        <v>387</v>
      </c>
      <c r="D11" s="73">
        <v>0</v>
      </c>
      <c r="E11" s="73">
        <v>0</v>
      </c>
      <c r="F11" s="73">
        <v>0</v>
      </c>
      <c r="G11" s="73">
        <v>0</v>
      </c>
      <c r="H11" s="73">
        <v>0</v>
      </c>
      <c r="I11" s="73">
        <v>199</v>
      </c>
      <c r="J11" s="73">
        <v>1</v>
      </c>
      <c r="K11" s="73">
        <v>0</v>
      </c>
      <c r="L11" s="73">
        <v>0</v>
      </c>
      <c r="M11" s="73">
        <v>0</v>
      </c>
      <c r="N11" s="73">
        <v>0</v>
      </c>
      <c r="O11" s="73">
        <v>7866</v>
      </c>
      <c r="P11" s="73">
        <v>22</v>
      </c>
      <c r="Q11" s="73">
        <v>0</v>
      </c>
      <c r="R11" s="73">
        <v>545</v>
      </c>
      <c r="S11" s="73">
        <v>39309</v>
      </c>
      <c r="T11" s="73">
        <v>15151</v>
      </c>
      <c r="U11" s="73">
        <v>611</v>
      </c>
      <c r="V11" s="73">
        <v>0</v>
      </c>
      <c r="W11" s="73">
        <v>5650</v>
      </c>
      <c r="X11" s="73">
        <v>0</v>
      </c>
      <c r="Y11" s="73">
        <v>0</v>
      </c>
      <c r="Z11" s="73">
        <v>0</v>
      </c>
      <c r="AA11" s="73">
        <v>0</v>
      </c>
      <c r="AB11" s="73">
        <v>0</v>
      </c>
      <c r="AC11" s="73">
        <v>0</v>
      </c>
      <c r="AD11" s="73">
        <v>0</v>
      </c>
      <c r="AE11" s="93">
        <v>165567</v>
      </c>
    </row>
    <row r="12" spans="1:31">
      <c r="A12" s="95" t="s">
        <v>799</v>
      </c>
      <c r="B12" s="71" t="s">
        <v>541</v>
      </c>
      <c r="C12" s="74" t="s">
        <v>387</v>
      </c>
      <c r="D12" s="73">
        <v>0</v>
      </c>
      <c r="E12" s="73">
        <v>380586</v>
      </c>
      <c r="F12" s="73">
        <v>0</v>
      </c>
      <c r="G12" s="73">
        <v>0</v>
      </c>
      <c r="H12" s="73">
        <v>91297</v>
      </c>
      <c r="I12" s="73">
        <v>35924</v>
      </c>
      <c r="J12" s="73">
        <v>564995</v>
      </c>
      <c r="K12" s="73">
        <v>212572</v>
      </c>
      <c r="L12" s="73">
        <v>12263</v>
      </c>
      <c r="M12" s="73">
        <v>108710</v>
      </c>
      <c r="N12" s="73">
        <v>33191</v>
      </c>
      <c r="O12" s="73">
        <v>370504</v>
      </c>
      <c r="P12" s="73">
        <v>123454</v>
      </c>
      <c r="Q12" s="73">
        <v>36934</v>
      </c>
      <c r="R12" s="73">
        <v>198446</v>
      </c>
      <c r="S12" s="73">
        <v>114048</v>
      </c>
      <c r="T12" s="73">
        <v>326583</v>
      </c>
      <c r="U12" s="73">
        <v>285460</v>
      </c>
      <c r="V12" s="73">
        <v>850597</v>
      </c>
      <c r="W12" s="73">
        <v>9042</v>
      </c>
      <c r="X12" s="73">
        <v>465331</v>
      </c>
      <c r="Y12" s="73">
        <v>32868</v>
      </c>
      <c r="Z12" s="73">
        <v>1015099</v>
      </c>
      <c r="AA12" s="73">
        <v>12519</v>
      </c>
      <c r="AB12" s="73">
        <v>55149</v>
      </c>
      <c r="AC12" s="73">
        <v>1902795</v>
      </c>
      <c r="AD12" s="73">
        <v>0</v>
      </c>
      <c r="AE12" s="93">
        <v>997607</v>
      </c>
    </row>
    <row r="13" spans="1:31">
      <c r="A13" s="95" t="s">
        <v>799</v>
      </c>
      <c r="B13" s="71" t="s">
        <v>543</v>
      </c>
      <c r="C13" s="74" t="s">
        <v>387</v>
      </c>
      <c r="D13" s="73">
        <v>0</v>
      </c>
      <c r="E13" s="73">
        <v>0</v>
      </c>
      <c r="F13" s="73">
        <v>680</v>
      </c>
      <c r="G13" s="73">
        <v>0</v>
      </c>
      <c r="H13" s="73">
        <v>0</v>
      </c>
      <c r="I13" s="73">
        <v>1</v>
      </c>
      <c r="J13" s="73">
        <v>0</v>
      </c>
      <c r="K13" s="73">
        <v>0</v>
      </c>
      <c r="L13" s="73">
        <v>0</v>
      </c>
      <c r="M13" s="73">
        <v>0</v>
      </c>
      <c r="N13" s="73">
        <v>0</v>
      </c>
      <c r="O13" s="73">
        <v>983</v>
      </c>
      <c r="P13" s="73">
        <v>0</v>
      </c>
      <c r="Q13" s="73">
        <v>0</v>
      </c>
      <c r="R13" s="73">
        <v>0</v>
      </c>
      <c r="S13" s="73">
        <v>996</v>
      </c>
      <c r="T13" s="73">
        <v>125196</v>
      </c>
      <c r="U13" s="73">
        <v>74</v>
      </c>
      <c r="V13" s="73">
        <v>0</v>
      </c>
      <c r="W13" s="73">
        <v>0</v>
      </c>
      <c r="X13" s="73">
        <v>6696</v>
      </c>
      <c r="Y13" s="73">
        <v>0</v>
      </c>
      <c r="Z13" s="73">
        <v>0</v>
      </c>
      <c r="AA13" s="73">
        <v>0</v>
      </c>
      <c r="AB13" s="73">
        <v>0</v>
      </c>
      <c r="AC13" s="73">
        <v>0</v>
      </c>
      <c r="AD13" s="73">
        <v>0</v>
      </c>
      <c r="AE13" s="93">
        <v>0</v>
      </c>
    </row>
    <row r="14" spans="1:31">
      <c r="A14" s="95" t="s">
        <v>799</v>
      </c>
      <c r="B14" s="71" t="s">
        <v>548</v>
      </c>
      <c r="C14" s="74" t="s">
        <v>387</v>
      </c>
      <c r="D14" s="73">
        <v>0</v>
      </c>
      <c r="E14" s="73">
        <v>0</v>
      </c>
      <c r="F14" s="73">
        <v>0</v>
      </c>
      <c r="G14" s="73">
        <v>0</v>
      </c>
      <c r="H14" s="73">
        <v>0</v>
      </c>
      <c r="I14" s="73">
        <v>590</v>
      </c>
      <c r="J14" s="73">
        <v>279</v>
      </c>
      <c r="K14" s="73">
        <v>0</v>
      </c>
      <c r="L14" s="73">
        <v>0</v>
      </c>
      <c r="M14" s="73">
        <v>0</v>
      </c>
      <c r="N14" s="73">
        <v>0</v>
      </c>
      <c r="O14" s="73">
        <v>12984</v>
      </c>
      <c r="P14" s="73">
        <v>40</v>
      </c>
      <c r="Q14" s="73">
        <v>0</v>
      </c>
      <c r="R14" s="73">
        <v>0</v>
      </c>
      <c r="S14" s="73">
        <v>5666</v>
      </c>
      <c r="T14" s="73">
        <v>30018</v>
      </c>
      <c r="U14" s="73">
        <v>0</v>
      </c>
      <c r="V14" s="73">
        <v>0</v>
      </c>
      <c r="W14" s="73">
        <v>17455</v>
      </c>
      <c r="X14" s="73">
        <v>0</v>
      </c>
      <c r="Y14" s="73">
        <v>0</v>
      </c>
      <c r="Z14" s="73">
        <v>0</v>
      </c>
      <c r="AA14" s="73">
        <v>0</v>
      </c>
      <c r="AB14" s="73">
        <v>0</v>
      </c>
      <c r="AC14" s="73">
        <v>0</v>
      </c>
      <c r="AD14" s="73">
        <v>0</v>
      </c>
      <c r="AE14" s="93">
        <v>0</v>
      </c>
    </row>
    <row r="15" spans="1:31">
      <c r="A15" s="95" t="s">
        <v>799</v>
      </c>
      <c r="B15" s="71" t="s">
        <v>550</v>
      </c>
      <c r="C15" s="74" t="s">
        <v>387</v>
      </c>
      <c r="D15" s="73">
        <v>0</v>
      </c>
      <c r="E15" s="73">
        <v>278</v>
      </c>
      <c r="F15" s="73">
        <v>5</v>
      </c>
      <c r="G15" s="73">
        <v>0</v>
      </c>
      <c r="H15" s="73">
        <v>200</v>
      </c>
      <c r="I15" s="73">
        <v>169</v>
      </c>
      <c r="J15" s="73">
        <v>0</v>
      </c>
      <c r="K15" s="73">
        <v>0</v>
      </c>
      <c r="L15" s="73">
        <v>91</v>
      </c>
      <c r="M15" s="73">
        <v>0</v>
      </c>
      <c r="N15" s="73">
        <v>0</v>
      </c>
      <c r="O15" s="73">
        <v>535</v>
      </c>
      <c r="P15" s="73">
        <v>0</v>
      </c>
      <c r="Q15" s="73">
        <v>0</v>
      </c>
      <c r="R15" s="73">
        <v>4</v>
      </c>
      <c r="S15" s="73">
        <v>7334</v>
      </c>
      <c r="T15" s="73">
        <v>2964</v>
      </c>
      <c r="U15" s="73">
        <v>0</v>
      </c>
      <c r="V15" s="73">
        <v>0</v>
      </c>
      <c r="W15" s="73">
        <v>28617</v>
      </c>
      <c r="X15" s="73">
        <v>316</v>
      </c>
      <c r="Y15" s="73">
        <v>0</v>
      </c>
      <c r="Z15" s="73">
        <v>9582</v>
      </c>
      <c r="AA15" s="73">
        <v>0</v>
      </c>
      <c r="AB15" s="73">
        <v>0</v>
      </c>
      <c r="AC15" s="73">
        <v>0</v>
      </c>
      <c r="AD15" s="73">
        <v>0</v>
      </c>
      <c r="AE15" s="93">
        <v>0</v>
      </c>
    </row>
    <row r="16" spans="1:31">
      <c r="A16" s="95" t="s">
        <v>799</v>
      </c>
      <c r="B16" s="71" t="s">
        <v>552</v>
      </c>
      <c r="C16" s="74" t="s">
        <v>387</v>
      </c>
      <c r="D16" s="73">
        <v>0</v>
      </c>
      <c r="E16" s="73">
        <v>0</v>
      </c>
      <c r="F16" s="73">
        <v>0</v>
      </c>
      <c r="G16" s="73">
        <v>0</v>
      </c>
      <c r="H16" s="73">
        <v>6061</v>
      </c>
      <c r="I16" s="73">
        <v>6905</v>
      </c>
      <c r="J16" s="73">
        <v>226751</v>
      </c>
      <c r="K16" s="73">
        <v>0</v>
      </c>
      <c r="L16" s="73">
        <v>0</v>
      </c>
      <c r="M16" s="73">
        <v>131455</v>
      </c>
      <c r="N16" s="73">
        <v>0</v>
      </c>
      <c r="O16" s="73">
        <v>243869</v>
      </c>
      <c r="P16" s="73">
        <v>866</v>
      </c>
      <c r="Q16" s="73">
        <v>105062</v>
      </c>
      <c r="R16" s="73">
        <v>32720</v>
      </c>
      <c r="S16" s="73">
        <v>190640</v>
      </c>
      <c r="T16" s="73">
        <v>308990</v>
      </c>
      <c r="U16" s="73">
        <v>189</v>
      </c>
      <c r="V16" s="73">
        <v>0</v>
      </c>
      <c r="W16" s="73">
        <v>162930</v>
      </c>
      <c r="X16" s="73">
        <v>0</v>
      </c>
      <c r="Y16" s="73">
        <v>0</v>
      </c>
      <c r="Z16" s="73">
        <v>493018</v>
      </c>
      <c r="AA16" s="73">
        <v>1417</v>
      </c>
      <c r="AB16" s="73">
        <v>0</v>
      </c>
      <c r="AC16" s="73">
        <v>383695</v>
      </c>
      <c r="AD16" s="73">
        <v>200757</v>
      </c>
      <c r="AE16" s="93">
        <v>1202962</v>
      </c>
    </row>
    <row r="17" spans="1:31">
      <c r="A17" s="95" t="s">
        <v>799</v>
      </c>
      <c r="B17" s="71" t="s">
        <v>554</v>
      </c>
      <c r="C17" s="74" t="s">
        <v>387</v>
      </c>
      <c r="D17" s="73">
        <v>1329</v>
      </c>
      <c r="E17" s="73">
        <v>1572</v>
      </c>
      <c r="F17" s="73">
        <v>423</v>
      </c>
      <c r="G17" s="73">
        <v>14691</v>
      </c>
      <c r="H17" s="73">
        <v>109</v>
      </c>
      <c r="I17" s="73">
        <v>10558</v>
      </c>
      <c r="J17" s="73">
        <v>813198</v>
      </c>
      <c r="K17" s="73">
        <v>19080</v>
      </c>
      <c r="L17" s="73">
        <v>269051</v>
      </c>
      <c r="M17" s="73">
        <v>91062</v>
      </c>
      <c r="N17" s="73">
        <v>0</v>
      </c>
      <c r="O17" s="73">
        <v>2342341</v>
      </c>
      <c r="P17" s="73">
        <v>10719</v>
      </c>
      <c r="Q17" s="73">
        <v>48849</v>
      </c>
      <c r="R17" s="73">
        <v>134441</v>
      </c>
      <c r="S17" s="73">
        <v>382460</v>
      </c>
      <c r="T17" s="73">
        <v>700404</v>
      </c>
      <c r="U17" s="73">
        <v>43792</v>
      </c>
      <c r="V17" s="73">
        <v>0</v>
      </c>
      <c r="W17" s="73">
        <v>949551</v>
      </c>
      <c r="X17" s="73">
        <v>8195</v>
      </c>
      <c r="Y17" s="73">
        <v>74264</v>
      </c>
      <c r="Z17" s="73">
        <v>322288</v>
      </c>
      <c r="AA17" s="73">
        <v>36041</v>
      </c>
      <c r="AB17" s="73">
        <v>0</v>
      </c>
      <c r="AC17" s="73">
        <v>366794</v>
      </c>
      <c r="AD17" s="73">
        <v>1857510</v>
      </c>
      <c r="AE17" s="93">
        <v>355333</v>
      </c>
    </row>
    <row r="18" spans="1:31">
      <c r="A18" s="95" t="s">
        <v>799</v>
      </c>
      <c r="B18" s="71" t="s">
        <v>556</v>
      </c>
      <c r="C18" s="74" t="s">
        <v>387</v>
      </c>
      <c r="D18" s="73">
        <v>0</v>
      </c>
      <c r="E18" s="73">
        <v>0</v>
      </c>
      <c r="F18" s="73">
        <v>0</v>
      </c>
      <c r="G18" s="73">
        <v>0</v>
      </c>
      <c r="H18" s="73">
        <v>0</v>
      </c>
      <c r="I18" s="73">
        <v>0</v>
      </c>
      <c r="J18" s="73">
        <v>25444</v>
      </c>
      <c r="K18" s="73">
        <v>0</v>
      </c>
      <c r="L18" s="73">
        <v>0</v>
      </c>
      <c r="M18" s="73">
        <v>0</v>
      </c>
      <c r="N18" s="73">
        <v>0</v>
      </c>
      <c r="O18" s="73">
        <v>0</v>
      </c>
      <c r="P18" s="73">
        <v>276</v>
      </c>
      <c r="Q18" s="73">
        <v>0</v>
      </c>
      <c r="R18" s="73">
        <v>0</v>
      </c>
      <c r="S18" s="73">
        <v>0</v>
      </c>
      <c r="T18" s="73">
        <v>61480</v>
      </c>
      <c r="U18" s="73">
        <v>0</v>
      </c>
      <c r="V18" s="73">
        <v>0</v>
      </c>
      <c r="W18" s="73">
        <v>1754</v>
      </c>
      <c r="X18" s="73">
        <v>0</v>
      </c>
      <c r="Y18" s="73">
        <v>0</v>
      </c>
      <c r="Z18" s="73">
        <v>0</v>
      </c>
      <c r="AA18" s="73">
        <v>0</v>
      </c>
      <c r="AB18" s="73">
        <v>0</v>
      </c>
      <c r="AC18" s="73">
        <v>0</v>
      </c>
      <c r="AD18" s="73">
        <v>0</v>
      </c>
      <c r="AE18" s="93">
        <v>355065</v>
      </c>
    </row>
    <row r="19" spans="1:31">
      <c r="A19" s="97" t="s">
        <v>799</v>
      </c>
      <c r="B19" s="76" t="s">
        <v>558</v>
      </c>
      <c r="C19" s="77" t="s">
        <v>387</v>
      </c>
      <c r="D19" s="81">
        <v>64034</v>
      </c>
      <c r="E19" s="82">
        <v>124947</v>
      </c>
      <c r="F19" s="82">
        <v>16500</v>
      </c>
      <c r="G19" s="82">
        <v>139415</v>
      </c>
      <c r="H19" s="82">
        <v>185315</v>
      </c>
      <c r="I19" s="82">
        <v>114184</v>
      </c>
      <c r="J19" s="82">
        <v>272250</v>
      </c>
      <c r="K19" s="82">
        <v>56979</v>
      </c>
      <c r="L19" s="82">
        <v>282586</v>
      </c>
      <c r="M19" s="82">
        <v>622485</v>
      </c>
      <c r="N19" s="82">
        <v>2336</v>
      </c>
      <c r="O19" s="82">
        <v>3276739</v>
      </c>
      <c r="P19" s="82">
        <v>113826</v>
      </c>
      <c r="Q19" s="82">
        <v>232577</v>
      </c>
      <c r="R19" s="82">
        <v>268574</v>
      </c>
      <c r="S19" s="82">
        <v>428667</v>
      </c>
      <c r="T19" s="82">
        <v>398787</v>
      </c>
      <c r="U19" s="82">
        <v>307343</v>
      </c>
      <c r="V19" s="82">
        <v>716806</v>
      </c>
      <c r="W19" s="82">
        <v>219042</v>
      </c>
      <c r="X19" s="82">
        <v>233021</v>
      </c>
      <c r="Y19" s="82">
        <v>227197</v>
      </c>
      <c r="Z19" s="82">
        <v>1526003</v>
      </c>
      <c r="AA19" s="82">
        <v>119074</v>
      </c>
      <c r="AB19" s="82">
        <v>2979</v>
      </c>
      <c r="AC19" s="82">
        <v>797337</v>
      </c>
      <c r="AD19" s="82">
        <v>179110</v>
      </c>
      <c r="AE19" s="83">
        <v>3425259</v>
      </c>
    </row>
  </sheetData>
  <mergeCells count="1">
    <mergeCell ref="A1:D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DBE03-8634-4932-A947-B8250DEE88B6}">
  <sheetPr>
    <tabColor theme="4" tint="0.39997558519241921"/>
  </sheetPr>
  <dimension ref="A1:S77"/>
  <sheetViews>
    <sheetView topLeftCell="A41" workbookViewId="0">
      <pane xSplit="1" ySplit="9" topLeftCell="E50" activePane="bottomRight" state="frozen"/>
      <selection activeCell="A41" sqref="A41"/>
      <selection pane="topRight" activeCell="B41" sqref="B41"/>
      <selection pane="bottomLeft" activeCell="A50" sqref="A50"/>
      <selection pane="bottomRight" activeCell="H55" sqref="H55"/>
    </sheetView>
  </sheetViews>
  <sheetFormatPr defaultRowHeight="15.6"/>
  <cols>
    <col min="1" max="1" width="30.3984375" bestFit="1" customWidth="1"/>
    <col min="2" max="2" width="26.8984375" bestFit="1" customWidth="1"/>
    <col min="3" max="4" width="26.8984375" customWidth="1"/>
    <col min="5" max="5" width="27" bestFit="1" customWidth="1"/>
    <col min="6" max="6" width="23.19921875" bestFit="1" customWidth="1"/>
    <col min="7" max="7" width="27" bestFit="1" customWidth="1"/>
    <col min="8" max="8" width="20.8984375" bestFit="1" customWidth="1"/>
    <col min="9" max="9" width="15.5" bestFit="1" customWidth="1"/>
    <col min="10" max="10" width="32.19921875" bestFit="1" customWidth="1"/>
    <col min="11" max="13" width="13.69921875" bestFit="1" customWidth="1"/>
    <col min="14" max="14" width="14.69921875" bestFit="1" customWidth="1"/>
    <col min="15" max="18" width="13.69921875" bestFit="1" customWidth="1"/>
  </cols>
  <sheetData>
    <row r="1" spans="1:18">
      <c r="A1" s="345" t="s">
        <v>800</v>
      </c>
    </row>
    <row r="4" spans="1:18">
      <c r="A4" s="227"/>
      <c r="B4" s="228"/>
      <c r="C4" s="594" t="s">
        <v>801</v>
      </c>
      <c r="D4" s="595"/>
      <c r="E4" s="594" t="s">
        <v>802</v>
      </c>
      <c r="F4" s="597"/>
      <c r="G4" s="595"/>
      <c r="H4" s="594" t="s">
        <v>803</v>
      </c>
      <c r="I4" s="597"/>
      <c r="J4" s="595"/>
      <c r="K4" s="594" t="s">
        <v>424</v>
      </c>
      <c r="L4" s="597"/>
      <c r="M4" s="597"/>
      <c r="N4" s="597"/>
      <c r="O4" s="597"/>
      <c r="P4" s="597"/>
      <c r="Q4" s="597"/>
      <c r="R4" s="595"/>
    </row>
    <row r="5" spans="1:18">
      <c r="A5" s="215"/>
      <c r="B5" s="218"/>
      <c r="C5" s="590">
        <v>2019</v>
      </c>
      <c r="D5" s="591"/>
      <c r="E5" s="590">
        <v>2019</v>
      </c>
      <c r="F5" s="596"/>
      <c r="G5" s="591"/>
      <c r="H5" s="590">
        <v>2019</v>
      </c>
      <c r="I5" s="596"/>
      <c r="J5" s="591"/>
      <c r="K5" s="590">
        <v>2019</v>
      </c>
      <c r="L5" s="596"/>
      <c r="M5" s="596"/>
      <c r="N5" s="596"/>
      <c r="O5" s="596"/>
      <c r="P5" s="596"/>
      <c r="Q5" s="596"/>
      <c r="R5" s="591"/>
    </row>
    <row r="6" spans="1:18">
      <c r="A6" s="215"/>
      <c r="B6" s="218"/>
      <c r="C6" s="592" t="s">
        <v>112</v>
      </c>
      <c r="D6" s="593"/>
      <c r="E6" s="592" t="s">
        <v>112</v>
      </c>
      <c r="F6" s="598"/>
      <c r="G6" s="593"/>
      <c r="H6" s="592" t="s">
        <v>112</v>
      </c>
      <c r="I6" s="598"/>
      <c r="J6" s="593"/>
      <c r="K6" s="592" t="s">
        <v>112</v>
      </c>
      <c r="L6" s="598"/>
      <c r="M6" s="598"/>
      <c r="N6" s="598"/>
      <c r="O6" s="598"/>
      <c r="P6" s="598"/>
      <c r="Q6" s="598"/>
      <c r="R6" s="593"/>
    </row>
    <row r="7" spans="1:18">
      <c r="A7" s="215"/>
      <c r="B7" s="218"/>
      <c r="C7" s="215" t="s">
        <v>804</v>
      </c>
      <c r="D7" s="218" t="s">
        <v>805</v>
      </c>
      <c r="E7" s="215" t="s">
        <v>806</v>
      </c>
      <c r="F7" s="227" t="s">
        <v>807</v>
      </c>
      <c r="G7" s="218" t="s">
        <v>808</v>
      </c>
      <c r="H7" s="232" t="s">
        <v>2717</v>
      </c>
      <c r="I7" s="215" t="s">
        <v>2718</v>
      </c>
      <c r="J7" s="215" t="s">
        <v>2719</v>
      </c>
      <c r="K7" s="590" t="s">
        <v>809</v>
      </c>
      <c r="L7" s="596"/>
      <c r="M7" s="596"/>
      <c r="N7" s="596"/>
      <c r="O7" s="596" t="s">
        <v>810</v>
      </c>
      <c r="P7" s="596"/>
      <c r="Q7" s="596"/>
      <c r="R7" s="591"/>
    </row>
    <row r="8" spans="1:18">
      <c r="A8" s="229" t="s">
        <v>811</v>
      </c>
      <c r="B8" s="230"/>
      <c r="C8" s="229"/>
      <c r="D8" s="230"/>
      <c r="E8" s="229"/>
      <c r="F8" s="229"/>
      <c r="G8" s="230"/>
      <c r="H8" s="235"/>
      <c r="I8" s="229"/>
      <c r="J8" s="229"/>
      <c r="K8" s="229" t="s">
        <v>812</v>
      </c>
      <c r="L8" s="236" t="s">
        <v>813</v>
      </c>
      <c r="M8" s="236" t="s">
        <v>814</v>
      </c>
      <c r="N8" s="236" t="s">
        <v>815</v>
      </c>
      <c r="O8" s="236" t="s">
        <v>812</v>
      </c>
      <c r="P8" s="236" t="s">
        <v>813</v>
      </c>
      <c r="Q8" s="236" t="s">
        <v>814</v>
      </c>
      <c r="R8" s="230" t="s">
        <v>815</v>
      </c>
    </row>
    <row r="9" spans="1:18">
      <c r="A9" s="215" t="s">
        <v>172</v>
      </c>
      <c r="B9" s="218" t="s">
        <v>173</v>
      </c>
      <c r="C9" s="219">
        <f>('EI(2024)_CoalRSV'!B$42*SUM('Key inputs_EB_MIN'!$E$10)/SUM('Key inputs_EB_MIN'!$E$10,'Key inputs_EB_MIN'!$F$10:$G$10,'Key inputs_EB_MIN'!$AC$10))*Legend!$B$87</f>
        <v>81499.388342042366</v>
      </c>
      <c r="D9" s="220">
        <f>('EI(2024)_CoalRSV'!C$42*SUM('Key inputs_EB_MIN'!$E$11)/SUM('Key inputs_EB_MIN'!$E$11,'Key inputs_EB_MIN'!$F$11:$G$11,'Key inputs_EB_MIN'!$AC$11))*Legend!$B$87</f>
        <v>1650</v>
      </c>
      <c r="E9" s="219">
        <f>('EI(2024)_OilRSV'!$AO$60+'EI(2024)_OilRSV'!$AO$61+'EI(2024)_OilRSV'!$AO$63*1/3)*Legend!$B$82*Legend!$B$84*10^3</f>
        <v>38221.076906920047</v>
      </c>
      <c r="F9" s="219">
        <f>$E9*SUMIFS('UN(2023)EnergyStat_OilProd'!$M$4:$M$31,'UN(2023)EnergyStat_OilProd'!$J$4:$J$31,$A9)</f>
        <v>38221.076906920047</v>
      </c>
      <c r="G9" s="209">
        <f>$E9*SUMIFS('UN(2023)EnergyStat_OilProd'!$N$4:$N$31,'UN(2023)EnergyStat_OilProd'!$J$4:$J$31,$A9)</f>
        <v>0</v>
      </c>
      <c r="H9" s="233">
        <f>'EI(2024)_GasRSV'!$AO$61*'Key inputs_EB_MIN'!$E$12/SUM('Key inputs_EB_MIN'!$E$12,'Key inputs_EB_MIN'!$G$12,'Key inputs_EB_MIN'!$H$12)*Legend!$B$86*10^3</f>
        <v>2200.4191381885216</v>
      </c>
      <c r="I9" s="219">
        <f>H9*(('Welsby(2022)'!$D$5+'Welsby(2022)'!$D$6)/'Welsby(2022)'!$D$12)/(('Welsby(2022)'!$D$3+'Welsby(2022)'!$D$4)/'Welsby(2022)'!$D$12)</f>
        <v>2105.3392988840797</v>
      </c>
      <c r="J9" s="219">
        <f>H9*(('Welsby(2022)'!$D$7+'Welsby(2022)'!$D$8+'Welsby(2022)'!$D$9+'Welsby(2022)'!$D$10+'Welsby(2022)'!$D$11)/'Welsby(2022)'!$D$12)/(('Welsby(2022)'!$D$3+'Welsby(2022)'!$D$4)/'Welsby(2022)'!$D$12)</f>
        <v>7837.2953255233142</v>
      </c>
      <c r="K9" s="219">
        <f>SUMIFS('NEA(2020)_Uranium'!$B:$B,'NEA(2020)_Uranium'!$N:$N,$A9)*Legend!$B$91</f>
        <v>0</v>
      </c>
      <c r="L9" s="209">
        <f>SUMIFS('NEA(2020)_Uranium'!$C:$C,'NEA(2020)_Uranium'!$N:$N,$A9)*Legend!$B$91</f>
        <v>3188092</v>
      </c>
      <c r="M9" s="209">
        <f>SUMIFS('NEA(2020)_Uranium'!$D:$D,'NEA(2020)_Uranium'!$N:$N,$A9)*Legend!$B$91</f>
        <v>3304628</v>
      </c>
      <c r="N9" s="209">
        <f>SUMIFS('NEA(2020)_Uranium'!$E:$E,'NEA(2020)_Uranium'!$N:$N,$A9)*Legend!$B$91</f>
        <v>3720828</v>
      </c>
      <c r="O9" s="209">
        <f>SUMIFS('NEA(2020)_Uranium'!$I:$I,'NEA(2020)_Uranium'!$N:$N,$A9)*Legend!$B$91</f>
        <v>0</v>
      </c>
      <c r="P9" s="209">
        <f>SUMIFS('NEA(2020)_Uranium'!$J:$J,'NEA(2020)_Uranium'!$N:$N,$A9)*Legend!$B$91</f>
        <v>707540</v>
      </c>
      <c r="Q9" s="209">
        <f>SUMIFS('NEA(2020)_Uranium'!$K:$K,'NEA(2020)_Uranium'!$N:$N,$A9)*Legend!$B$91</f>
        <v>1539940</v>
      </c>
      <c r="R9" s="220">
        <f>SUMIFS('NEA(2020)_Uranium'!$L:$L,'NEA(2020)_Uranium'!$N:$N,$A9)*Legend!$B$91</f>
        <v>1756364</v>
      </c>
    </row>
    <row r="10" spans="1:18">
      <c r="A10" s="215" t="s">
        <v>175</v>
      </c>
      <c r="B10" s="218" t="s">
        <v>176</v>
      </c>
      <c r="C10" s="219">
        <f>('EI(2024)_CoalRSV'!B$42*SUM('Key inputs_EB_MIN'!$F$10)/SUM('Key inputs_EB_MIN'!$E$10,'Key inputs_EB_MIN'!$F$10:$G$10,'Key inputs_EB_MIN'!$AC$10))*Legend!$B$87</f>
        <v>0</v>
      </c>
      <c r="D10" s="220">
        <f>('EI(2024)_CoalRSV'!C$42*SUM('Key inputs_EB_MIN'!$F$11)/SUM('Key inputs_EB_MIN'!$E$11,'Key inputs_EB_MIN'!$F$11:$G$11,'Key inputs_EB_MIN'!$AC$11))*Legend!$B$87</f>
        <v>0</v>
      </c>
      <c r="E10" s="219">
        <f>('EI(2024)_OilRSV'!$AO$51+'EI(2024)_OilRSV'!$AO$55+'EI(2024)_OilRSV'!$AO$62+'EI(2024)_OilRSV'!$AO$58)*Legend!$B$82*Legend!$B$84*10^3</f>
        <v>392435.94599999994</v>
      </c>
      <c r="F10" s="219">
        <f>$E10*SUMIFS('UN(2023)EnergyStat_OilProd'!$M$4:$M$31,'UN(2023)EnergyStat_OilProd'!$J$4:$J$31,$A10)</f>
        <v>334622.26024791494</v>
      </c>
      <c r="G10" s="220">
        <f>$E10*SUMIFS('UN(2023)EnergyStat_OilProd'!$N$4:$N$31,'UN(2023)EnergyStat_OilProd'!$J$4:$J$31,$A10)</f>
        <v>57813.685752085017</v>
      </c>
      <c r="H10" s="233">
        <f>('EI(2024)_GasRSV'!$AO$58+'EI(2024)_GasRSV'!$AO$57+'EI(2024)_GasRSV'!$AO$59)*Legend!$B$86*10^3</f>
        <v>284488.81159728125</v>
      </c>
      <c r="I10" s="219">
        <f>H10*(('Welsby(2022)'!$D$5+'Welsby(2022)'!$D$6)/'Welsby(2022)'!$D$12)/(('Welsby(2022)'!$D$3+'Welsby(2022)'!$D$4)/'Welsby(2022)'!$D$12)</f>
        <v>272196.08517023828</v>
      </c>
      <c r="J10" s="219">
        <f>H10*(('Welsby(2022)'!$D$7+'Welsby(2022)'!$D$8+'Welsby(2022)'!$D$9+'Welsby(2022)'!$D$10+'Welsby(2022)'!$D$11)/'Welsby(2022)'!$D$12)/(('Welsby(2022)'!$D$3+'Welsby(2022)'!$D$4)/'Welsby(2022)'!$D$12)</f>
        <v>1013271.8783434029</v>
      </c>
      <c r="K10" s="219">
        <f>SUMIFS('NEA(2020)_Uranium'!$B:$B,'NEA(2020)_Uranium'!$N:$N,$A10)*Legend!$B$91</f>
        <v>0</v>
      </c>
      <c r="L10" s="209">
        <f>SUMIFS('NEA(2020)_Uranium'!$C:$C,'NEA(2020)_Uranium'!$N:$N,$A10)*Legend!$B$91</f>
        <v>0</v>
      </c>
      <c r="M10" s="209">
        <f>SUMIFS('NEA(2020)_Uranium'!$D:$D,'NEA(2020)_Uranium'!$N:$N,$A10)*Legend!$B$91</f>
        <v>0</v>
      </c>
      <c r="N10" s="209">
        <f>SUMIFS('NEA(2020)_Uranium'!$E:$E,'NEA(2020)_Uranium'!$N:$N,$A10)*Legend!$B$91</f>
        <v>1623180</v>
      </c>
      <c r="O10" s="209">
        <f>SUMIFS('NEA(2020)_Uranium'!$I:$I,'NEA(2020)_Uranium'!$N:$N,$A10)*Legend!$B$91</f>
        <v>0</v>
      </c>
      <c r="P10" s="209">
        <f>SUMIFS('NEA(2020)_Uranium'!$J:$J,'NEA(2020)_Uranium'!$N:$N,$A10)*Legend!$B$91</f>
        <v>0</v>
      </c>
      <c r="Q10" s="209">
        <f>SUMIFS('NEA(2020)_Uranium'!$K:$K,'NEA(2020)_Uranium'!$N:$N,$A10)*Legend!$B$91</f>
        <v>33296</v>
      </c>
      <c r="R10" s="220">
        <f>SUMIFS('NEA(2020)_Uranium'!$L:$L,'NEA(2020)_Uranium'!$N:$N,$A10)*Legend!$B$91</f>
        <v>158156</v>
      </c>
    </row>
    <row r="11" spans="1:18">
      <c r="A11" s="215" t="s">
        <v>178</v>
      </c>
      <c r="B11" s="218" t="s">
        <v>179</v>
      </c>
      <c r="C11" s="219">
        <f>('EI(2024)_CoalRSV'!B$42*SUM('Key inputs_EB_MIN'!$G$10)/SUM('Key inputs_EB_MIN'!$E$10,'Key inputs_EB_MIN'!$F$10:$G$10,'Key inputs_EB_MIN'!$AC$10))*Legend!$B$87</f>
        <v>21656.653299307327</v>
      </c>
      <c r="D11" s="220">
        <f>('EI(2024)_CoalRSV'!C$42*SUM('Key inputs_EB_MIN'!$G$11)/SUM('Key inputs_EB_MIN'!$E$11,'Key inputs_EB_MIN'!$F$11:$G$11,'Key inputs_EB_MIN'!$AC$11))*Legend!$B$87</f>
        <v>0</v>
      </c>
      <c r="E11" s="219">
        <f>('EI(2024)_OilRSV'!$AO$54+'EI(2024)_OilRSV'!$AO$57+'EI(2024)_OilRSV'!$AO$53+'EI(2024)_OilRSV'!$AO$56+'EI(2024)_OilRSV'!$AO$63*1/3)*Legend!$B$82*Legend!$B$84*10^3</f>
        <v>53408.43490692004</v>
      </c>
      <c r="F11" s="219">
        <f>$E11*SUMIFS('UN(2023)EnergyStat_OilProd'!$M$4:$M$31,'UN(2023)EnergyStat_OilProd'!$J$4:$J$31,$A11)</f>
        <v>52526.049057869117</v>
      </c>
      <c r="G11" s="220">
        <f>$E11*SUMIFS('UN(2023)EnergyStat_OilProd'!$N$4:$N$31,'UN(2023)EnergyStat_OilProd'!$J$4:$J$31,$A11)</f>
        <v>882.38584905092296</v>
      </c>
      <c r="H11" s="233">
        <f>'EI(2024)_GasRSV'!$AO$61*'Key inputs_EB_MIN'!$G$12/SUM('Key inputs_EB_MIN'!$E$12,'Key inputs_EB_MIN'!$G$12,'Key inputs_EB_MIN'!$H$12)*Legend!$B$86*10^3</f>
        <v>28086.371644366282</v>
      </c>
      <c r="I11" s="219">
        <f>H11*(('Welsby(2022)'!$D$5+'Welsby(2022)'!$D$6)/'Welsby(2022)'!$D$12)/(('Welsby(2022)'!$D$3+'Welsby(2022)'!$D$4)/'Welsby(2022)'!$D$12)</f>
        <v>26872.762993066506</v>
      </c>
      <c r="J11" s="219">
        <f>H11*(('Welsby(2022)'!$D$7+'Welsby(2022)'!$D$8+'Welsby(2022)'!$D$9+'Welsby(2022)'!$D$10+'Welsby(2022)'!$D$11)/'Welsby(2022)'!$D$12)/(('Welsby(2022)'!$D$3+'Welsby(2022)'!$D$4)/'Welsby(2022)'!$D$12)</f>
        <v>100036.02739999596</v>
      </c>
      <c r="K11" s="219">
        <f>SUMIFS('NEA(2020)_Uranium'!$B:$B,'NEA(2020)_Uranium'!$N:$N,$A11)*Legend!$B$91</f>
        <v>0</v>
      </c>
      <c r="L11" s="209">
        <f>SUMIFS('NEA(2020)_Uranium'!$C:$C,'NEA(2020)_Uranium'!$N:$N,$A11)*Legend!$B$91</f>
        <v>824076</v>
      </c>
      <c r="M11" s="209">
        <f>SUMIFS('NEA(2020)_Uranium'!$D:$D,'NEA(2020)_Uranium'!$N:$N,$A11)*Legend!$B$91</f>
        <v>24189544</v>
      </c>
      <c r="N11" s="209">
        <f>SUMIFS('NEA(2020)_Uranium'!$E:$E,'NEA(2020)_Uranium'!$N:$N,$A11)*Legend!$B$91</f>
        <v>31156731.999999996</v>
      </c>
      <c r="O11" s="209">
        <f>SUMIFS('NEA(2020)_Uranium'!$I:$I,'NEA(2020)_Uranium'!$N:$N,$A11)*Legend!$B$91</f>
        <v>0</v>
      </c>
      <c r="P11" s="209">
        <f>SUMIFS('NEA(2020)_Uranium'!$J:$J,'NEA(2020)_Uranium'!$N:$N,$A11)*Legend!$B$91</f>
        <v>0</v>
      </c>
      <c r="Q11" s="209">
        <f>SUMIFS('NEA(2020)_Uranium'!$K:$K,'NEA(2020)_Uranium'!$N:$N,$A11)*Legend!$B$91</f>
        <v>4569876</v>
      </c>
      <c r="R11" s="220">
        <f>SUMIFS('NEA(2020)_Uranium'!$L:$L,'NEA(2020)_Uranium'!$N:$N,$A11)*Legend!$B$91</f>
        <v>13043708</v>
      </c>
    </row>
    <row r="12" spans="1:18">
      <c r="A12" s="215" t="s">
        <v>181</v>
      </c>
      <c r="B12" s="218" t="s">
        <v>182</v>
      </c>
      <c r="C12" s="219">
        <f>('EI(2024)_CoalRSV'!B$41+'EI(2024)_CoalRSV'!B$40)*Legend!$B$87</f>
        <v>259875</v>
      </c>
      <c r="D12" s="220">
        <f>('EI(2024)_CoalRSV'!C$41+'EI(2024)_CoalRSV'!C$40)*Legend!$B$87</f>
        <v>0</v>
      </c>
      <c r="E12" s="219">
        <f>('EI(2024)_OilRSV'!$AO$52+'EI(2024)_OilRSV'!$AO$63*1/3)*Legend!$B$82*Legend!$B$84*10^3</f>
        <v>55250.253906920057</v>
      </c>
      <c r="F12" s="219">
        <f>$E12*SUMIFS('UN(2023)EnergyStat_OilProd'!$M$4:$M$31,'UN(2023)EnergyStat_OilProd'!$J$4:$J$31,$A12)</f>
        <v>52868.399699450347</v>
      </c>
      <c r="G12" s="220">
        <f>$E12*SUMIFS('UN(2023)EnergyStat_OilProd'!$N$4:$N$31,'UN(2023)EnergyStat_OilProd'!$J$4:$J$31,$A12)</f>
        <v>2381.8542074697048</v>
      </c>
      <c r="H12" s="233">
        <f>'EI(2024)_GasRSV'!$AO$61*'Key inputs_EB_MIN'!$H$12/SUM('Key inputs_EB_MIN'!$E$12,'Key inputs_EB_MIN'!$G$12,'Key inputs_EB_MIN'!$H$12)*Legend!$B$86*10^3</f>
        <v>26271.218400119284</v>
      </c>
      <c r="I12" s="219">
        <f>H12*(('Welsby(2022)'!$D$5+'Welsby(2022)'!$D$6)/'Welsby(2022)'!$D$12)/(('Welsby(2022)'!$D$3+'Welsby(2022)'!$D$4)/'Welsby(2022)'!$D$12)</f>
        <v>25136.042296410425</v>
      </c>
      <c r="J12" s="219">
        <f>H12*(('Welsby(2022)'!$D$7+'Welsby(2022)'!$D$8+'Welsby(2022)'!$D$9+'Welsby(2022)'!$D$10+'Welsby(2022)'!$D$11)/'Welsby(2022)'!$D$12)/(('Welsby(2022)'!$D$3+'Welsby(2022)'!$D$4)/'Welsby(2022)'!$D$12)</f>
        <v>93570.94454857301</v>
      </c>
      <c r="K12" s="219">
        <f>SUMIFS('NEA(2020)_Uranium'!$B:$B,'NEA(2020)_Uranium'!$N:$N,$A12)*Legend!$B$91</f>
        <v>0</v>
      </c>
      <c r="L12" s="209">
        <f>SUMIFS('NEA(2020)_Uranium'!$C:$C,'NEA(2020)_Uranium'!$N:$N,$A12)*Legend!$B$91</f>
        <v>13842812</v>
      </c>
      <c r="M12" s="209">
        <f>SUMIFS('NEA(2020)_Uranium'!$D:$D,'NEA(2020)_Uranium'!$N:$N,$A12)*Legend!$B$91</f>
        <v>45665464</v>
      </c>
      <c r="N12" s="209">
        <f>SUMIFS('NEA(2020)_Uranium'!$E:$E,'NEA(2020)_Uranium'!$N:$N,$A12)*Legend!$B$91</f>
        <v>51051092</v>
      </c>
      <c r="O12" s="209">
        <f>SUMIFS('NEA(2020)_Uranium'!$I:$I,'NEA(2020)_Uranium'!$N:$N,$A12)*Legend!$B$91</f>
        <v>0</v>
      </c>
      <c r="P12" s="209">
        <f>SUMIFS('NEA(2020)_Uranium'!$J:$J,'NEA(2020)_Uranium'!$N:$N,$A12)*Legend!$B$91</f>
        <v>5135908</v>
      </c>
      <c r="Q12" s="209">
        <f>SUMIFS('NEA(2020)_Uranium'!$K:$K,'NEA(2020)_Uranium'!$N:$N,$A12)*Legend!$B$91</f>
        <v>28193388</v>
      </c>
      <c r="R12" s="220">
        <f>SUMIFS('NEA(2020)_Uranium'!$L:$L,'NEA(2020)_Uranium'!$N:$N,$A12)*Legend!$B$91</f>
        <v>38140568</v>
      </c>
    </row>
    <row r="13" spans="1:18">
      <c r="A13" s="215" t="s">
        <v>238</v>
      </c>
      <c r="B13" s="218" t="s">
        <v>239</v>
      </c>
      <c r="C13" s="219">
        <f>('EI(2024)_CoalRSV'!B$42*SUM('Key inputs_EB_MIN'!$AC$10)/SUM('Key inputs_EB_MIN'!$E$10,'Key inputs_EB_MIN'!$F$10:$G$10,'Key inputs_EB_MIN'!$AC$10))*Legend!$B$87</f>
        <v>6243.9583586503022</v>
      </c>
      <c r="D13" s="220">
        <f>('EI(2024)_CoalRSV'!C$42*SUM('Key inputs_EB_MIN'!$AC$11)/SUM('Key inputs_EB_MIN'!$E$11,'Key inputs_EB_MIN'!$F$11:$G$11,'Key inputs_EB_MIN'!$AC$11))*Legend!$B$87</f>
        <v>0</v>
      </c>
      <c r="E13" s="219">
        <f>'EI(2024)_OilRSV'!$AO$59*Legend!$B$82*Legend!$B$84*10^3</f>
        <v>225729.91000000003</v>
      </c>
      <c r="F13" s="219">
        <f>$E13*SUMIFS('UN(2023)EnergyStat_OilProd'!$M$4:$M$31,'UN(2023)EnergyStat_OilProd'!$J$4:$J$31,$A13)</f>
        <v>214152.38876865173</v>
      </c>
      <c r="G13" s="220">
        <f>$E13*SUMIFS('UN(2023)EnergyStat_OilProd'!$N$4:$N$31,'UN(2023)EnergyStat_OilProd'!$J$4:$J$31,$A13)</f>
        <v>11577.521231348277</v>
      </c>
      <c r="H13" s="233">
        <f>'EI(2024)_GasRSV'!$AO$60*Legend!$B$86*10^3</f>
        <v>197027.26019999996</v>
      </c>
      <c r="I13" s="219">
        <f>H13*(('Welsby(2022)'!$D$5+'Welsby(2022)'!$D$6)/'Welsby(2022)'!$D$12)/(('Welsby(2022)'!$D$3+'Welsby(2022)'!$D$4)/'Welsby(2022)'!$D$12)</f>
        <v>188513.73661111109</v>
      </c>
      <c r="J13" s="219">
        <f>H13*(('Welsby(2022)'!$D$7+'Welsby(2022)'!$D$8+'Welsby(2022)'!$D$9+'Welsby(2022)'!$D$10+'Welsby(2022)'!$D$11)/'Welsby(2022)'!$D$12)/(('Welsby(2022)'!$D$3+'Welsby(2022)'!$D$4)/'Welsby(2022)'!$D$12)</f>
        <v>701757.58725555544</v>
      </c>
      <c r="K13" s="219">
        <f>SUMIFS('NEA(2020)_Uranium'!$B:$B,'NEA(2020)_Uranium'!$N:$N,$A13)*Legend!$B$91</f>
        <v>0</v>
      </c>
      <c r="L13" s="209">
        <f>SUMIFS('NEA(2020)_Uranium'!$C:$C,'NEA(2020)_Uranium'!$N:$N,$A13)*Legend!$B$91</f>
        <v>0</v>
      </c>
      <c r="M13" s="209">
        <f>SUMIFS('NEA(2020)_Uranium'!$D:$D,'NEA(2020)_Uranium'!$N:$N,$A13)*Legend!$B$91</f>
        <v>0</v>
      </c>
      <c r="N13" s="209">
        <f>SUMIFS('NEA(2020)_Uranium'!$E:$E,'NEA(2020)_Uranium'!$N:$N,$A13)*Legend!$B$91</f>
        <v>0</v>
      </c>
      <c r="O13" s="209">
        <f>SUMIFS('NEA(2020)_Uranium'!$I:$I,'NEA(2020)_Uranium'!$N:$N,$A13)*Legend!$B$91</f>
        <v>0</v>
      </c>
      <c r="P13" s="209">
        <f>SUMIFS('NEA(2020)_Uranium'!$J:$J,'NEA(2020)_Uranium'!$N:$N,$A13)*Legend!$B$91</f>
        <v>0</v>
      </c>
      <c r="Q13" s="209">
        <f>SUMIFS('NEA(2020)_Uranium'!$K:$K,'NEA(2020)_Uranium'!$N:$N,$A13)*Legend!$B$91</f>
        <v>0</v>
      </c>
      <c r="R13" s="220">
        <f>SUMIFS('NEA(2020)_Uranium'!$L:$L,'NEA(2020)_Uranium'!$N:$N,$A13)*Legend!$B$91</f>
        <v>0</v>
      </c>
    </row>
    <row r="14" spans="1:18">
      <c r="A14" s="215" t="s">
        <v>240</v>
      </c>
      <c r="B14" s="218" t="s">
        <v>241</v>
      </c>
      <c r="C14" s="219">
        <f>'EI(2024)_CoalRSV'!B35*Legend!$B$87</f>
        <v>1792975</v>
      </c>
      <c r="D14" s="220">
        <f>'EI(2024)_CoalRSV'!C35*Legend!$B$87</f>
        <v>2261174.9999999995</v>
      </c>
      <c r="E14" s="219">
        <f>'EI(2024)_OilRSV'!$AO$32*Legend!$B$82*Legend!$B$84*10^3</f>
        <v>659654.13966479979</v>
      </c>
      <c r="F14" s="219">
        <f>$E14*SUMIFS('UN(2023)EnergyStat_OilProd'!$M$4:$M$31,'UN(2023)EnergyStat_OilProd'!$J$4:$J$31,$A14)</f>
        <v>618689.58674192848</v>
      </c>
      <c r="G14" s="220">
        <f>$E14*SUMIFS('UN(2023)EnergyStat_OilProd'!$N$4:$N$31,'UN(2023)EnergyStat_OilProd'!$J$4:$J$31,$A14)</f>
        <v>40964.552922871255</v>
      </c>
      <c r="H14" s="233">
        <f>'EI(2024)_GasRSV'!$AO$36*Legend!$B$86*10^3</f>
        <v>1352042.6764550444</v>
      </c>
      <c r="I14" s="219">
        <f>H14*(('Welsby(2022)'!$D$5+'Welsby(2022)'!$D$6)/'Welsby(2022)'!$D$12)/(('Welsby(2022)'!$D$3+'Welsby(2022)'!$D$4)/'Welsby(2022)'!$D$12)</f>
        <v>1293621.0793242711</v>
      </c>
      <c r="J14" s="219">
        <f>H14*(('Welsby(2022)'!$D$7+'Welsby(2022)'!$D$8+'Welsby(2022)'!$D$9+'Welsby(2022)'!$D$10+'Welsby(2022)'!$D$11)/'Welsby(2022)'!$D$12)/(('Welsby(2022)'!$D$3+'Welsby(2022)'!$D$4)/'Welsby(2022)'!$D$12)</f>
        <v>4815608.7920651892</v>
      </c>
      <c r="K14" s="219">
        <f>SUMIFS('NEA(2020)_Uranium'!$B:$B,'NEA(2020)_Uranium'!$N:$N,$A14)*Legend!$B$91</f>
        <v>0</v>
      </c>
      <c r="L14" s="209">
        <f>SUMIFS('NEA(2020)_Uranium'!$C:$C,'NEA(2020)_Uranium'!$N:$N,$A14)*Legend!$B$91</f>
        <v>1939491.9999999998</v>
      </c>
      <c r="M14" s="209">
        <f>SUMIFS('NEA(2020)_Uranium'!$D:$D,'NEA(2020)_Uranium'!$N:$N,$A14)*Legend!$B$91</f>
        <v>17580288</v>
      </c>
      <c r="N14" s="209">
        <f>SUMIFS('NEA(2020)_Uranium'!$E:$E,'NEA(2020)_Uranium'!$N:$N,$A14)*Legend!$B$91</f>
        <v>21359384</v>
      </c>
      <c r="O14" s="209">
        <f>SUMIFS('NEA(2020)_Uranium'!$I:$I,'NEA(2020)_Uranium'!$N:$N,$A14)*Legend!$B$91</f>
        <v>0</v>
      </c>
      <c r="P14" s="209">
        <f>SUMIFS('NEA(2020)_Uranium'!$J:$J,'NEA(2020)_Uranium'!$N:$N,$A14)*Legend!$B$91</f>
        <v>1223628</v>
      </c>
      <c r="Q14" s="209">
        <f>SUMIFS('NEA(2020)_Uranium'!$K:$K,'NEA(2020)_Uranium'!$N:$N,$A14)*Legend!$B$91</f>
        <v>22874352</v>
      </c>
      <c r="R14" s="220">
        <f>SUMIFS('NEA(2020)_Uranium'!$L:$L,'NEA(2020)_Uranium'!$N:$N,$A14)*Legend!$B$91</f>
        <v>33737172</v>
      </c>
    </row>
    <row r="15" spans="1:18">
      <c r="A15" s="215" t="s">
        <v>187</v>
      </c>
      <c r="B15" s="218" t="s">
        <v>188</v>
      </c>
      <c r="C15" s="219">
        <f>('EI(2024)_CoalRSV'!B34+'EI(2024)_CoalRSV'!B36+'EI(2024)_CoalRSV'!B37+'EI(2024)_CoalRSV'!B51)*Legend!$B$87</f>
        <v>741475</v>
      </c>
      <c r="D15" s="220">
        <f>('EI(2024)_CoalRSV'!C34+'EI(2024)_CoalRSV'!C36+'EI(2024)_CoalRSV'!C37+'EI(2024)_CoalRSV'!C51)*Legend!$B$87</f>
        <v>33749.999999999993</v>
      </c>
      <c r="E15" s="219">
        <f>('EI(2024)_OilRSV'!$AO$31+'EI(2024)_OilRSV'!$AO$33+'EI(2024)_OilRSV'!$AO$30+'EI(2024)_OilRSV'!$AO$35)*Legend!$B$82*Legend!$B$84*10^3</f>
        <v>233709.08600000001</v>
      </c>
      <c r="F15" s="219">
        <f>$E15*SUMIFS('UN(2023)EnergyStat_OilProd'!$M$4:$M$31,'UN(2023)EnergyStat_OilProd'!$J$4:$J$31,$A15)</f>
        <v>201951.43407800861</v>
      </c>
      <c r="G15" s="220">
        <f>$E15*SUMIFS('UN(2023)EnergyStat_OilProd'!$N$4:$N$31,'UN(2023)EnergyStat_OilProd'!$J$4:$J$31,$A15)</f>
        <v>31757.651921991408</v>
      </c>
      <c r="H15" s="233">
        <f>('EI(2024)_GasRSV'!AO34+'EI(2024)_GasRSV'!$AO$35+'EI(2024)_GasRSV'!$AO$39+'EI(2024)_GasRSV'!$AO$37+'EI(2024)_GasRSV'!$AO$40)*Legend!$B$86*10^3</f>
        <v>691571.72616425471</v>
      </c>
      <c r="I15" s="219">
        <f>H15*(('Welsby(2022)'!$D$5+'Welsby(2022)'!$D$6)/'Welsby(2022)'!$D$12)/(('Welsby(2022)'!$D$3+'Welsby(2022)'!$D$4)/'Welsby(2022)'!$D$12)</f>
        <v>661688.99725592276</v>
      </c>
      <c r="J15" s="219">
        <f>H15*(('Welsby(2022)'!$D$7+'Welsby(2022)'!$D$8+'Welsby(2022)'!$D$9+'Welsby(2022)'!$D$10+'Welsby(2022)'!$D$11)/'Welsby(2022)'!$D$12)/(('Welsby(2022)'!$D$3+'Welsby(2022)'!$D$4)/'Welsby(2022)'!$D$12)</f>
        <v>2463190.6543010799</v>
      </c>
      <c r="K15" s="219">
        <f>SUMIFS('NEA(2020)_Uranium'!$B:$B,'NEA(2020)_Uranium'!$N:$N,$A15)*Legend!$B$91</f>
        <v>25196748</v>
      </c>
      <c r="L15" s="209">
        <f>SUMIFS('NEA(2020)_Uranium'!$C:$C,'NEA(2020)_Uranium'!$N:$N,$A15)*Legend!$B$91</f>
        <v>33928624</v>
      </c>
      <c r="M15" s="209">
        <f>SUMIFS('NEA(2020)_Uranium'!$D:$D,'NEA(2020)_Uranium'!$N:$N,$A15)*Legend!$B$91</f>
        <v>46314736</v>
      </c>
      <c r="N15" s="209">
        <f>SUMIFS('NEA(2020)_Uranium'!$E:$E,'NEA(2020)_Uranium'!$N:$N,$A15)*Legend!$B$91</f>
        <v>47946240</v>
      </c>
      <c r="O15" s="209">
        <f>SUMIFS('NEA(2020)_Uranium'!$I:$I,'NEA(2020)_Uranium'!$N:$N,$A15)*Legend!$B$91</f>
        <v>23531948</v>
      </c>
      <c r="P15" s="209">
        <f>SUMIFS('NEA(2020)_Uranium'!$J:$J,'NEA(2020)_Uranium'!$N:$N,$A15)*Legend!$B$91</f>
        <v>35576776</v>
      </c>
      <c r="Q15" s="209">
        <f>SUMIFS('NEA(2020)_Uranium'!$K:$K,'NEA(2020)_Uranium'!$N:$N,$A15)*Legend!$B$91</f>
        <v>52116564</v>
      </c>
      <c r="R15" s="220">
        <f>SUMIFS('NEA(2020)_Uranium'!$L:$L,'NEA(2020)_Uranium'!$N:$N,$A15)*Legend!$B$91</f>
        <v>55670912</v>
      </c>
    </row>
    <row r="16" spans="1:18">
      <c r="A16" s="215" t="s">
        <v>190</v>
      </c>
      <c r="B16" s="218" t="s">
        <v>191</v>
      </c>
      <c r="C16" s="219">
        <f>('EI(2024)_CoalRSV'!B55+'EI(2024)_CoalRSV'!B57*'Key inputs_EB_MIN'!$K$10/SUM('Key inputs_EB_MIN'!$K$10,'Key inputs_EB_MIN'!$L$10))*Legend!$B$87</f>
        <v>29044.262332323673</v>
      </c>
      <c r="D16" s="220">
        <f>('EI(2024)_CoalRSV'!C55+'EI(2024)_CoalRSV'!C57*'Key inputs_EB_MIN'!$K$11/SUM('Key inputs_EB_MIN'!$K$11,'Key inputs_EB_MIN'!$L$11))*Legend!$B$87</f>
        <v>44680.19576948959</v>
      </c>
      <c r="E16" s="219">
        <f>('EI(2024)_OilRSV'!$AO$72+'EI(2024)_OilRSV'!$AO$71+'EI(2024)_OilRSV'!$AO$67)*Legend!$B$82*Legend!$B$84*10^3</f>
        <v>24993.361449999997</v>
      </c>
      <c r="F16" s="219">
        <f>$E16*SUMIFS('UN(2023)EnergyStat_OilProd'!$M$4:$M$31,'UN(2023)EnergyStat_OilProd'!$J$4:$J$31,$A16)</f>
        <v>20402.111902419441</v>
      </c>
      <c r="G16" s="220">
        <f>$E16*SUMIFS('UN(2023)EnergyStat_OilProd'!$N$4:$N$31,'UN(2023)EnergyStat_OilProd'!$J$4:$J$31,$A16)</f>
        <v>4591.2495475805581</v>
      </c>
      <c r="H16" s="233">
        <f>('EI(2024)_GasRSV'!$AO$74+'EI(2024)_GasRSV'!$AO$70+'EI(2024)_GasRSV'!$AO$71+'EI(2024)_GasRSV'!$AO$66+'EI(2024)_GasRSV'!$AO$73)*Legend!$B$86*10^3</f>
        <v>68276.467021557502</v>
      </c>
      <c r="I16" s="219">
        <f>H16*(('Welsby(2022)'!$D$5+'Welsby(2022)'!$D$6)/'Welsby(2022)'!$D$12)/(('Welsby(2022)'!$D$3+'Welsby(2022)'!$D$4)/'Welsby(2022)'!$D$12)</f>
        <v>65326.249310749474</v>
      </c>
      <c r="J16" s="219">
        <f>H16*(('Welsby(2022)'!$D$7+'Welsby(2022)'!$D$8+'Welsby(2022)'!$D$9+'Welsby(2022)'!$D$10+'Welsby(2022)'!$D$11)/'Welsby(2022)'!$D$12)/(('Welsby(2022)'!$D$3+'Welsby(2022)'!$D$4)/'Welsby(2022)'!$D$12)</f>
        <v>243182.23130517703</v>
      </c>
      <c r="K16" s="219">
        <f>SUMIFS('NEA(2020)_Uranium'!$B:$B,'NEA(2020)_Uranium'!$N:$N,$A16)*Legend!$B$91</f>
        <v>0</v>
      </c>
      <c r="L16" s="209">
        <f>SUMIFS('NEA(2020)_Uranium'!$C:$C,'NEA(2020)_Uranium'!$N:$N,$A16)*Legend!$B$91</f>
        <v>0</v>
      </c>
      <c r="M16" s="209">
        <f>SUMIFS('NEA(2020)_Uranium'!$D:$D,'NEA(2020)_Uranium'!$N:$N,$A16)*Legend!$B$91</f>
        <v>0</v>
      </c>
      <c r="N16" s="209">
        <f>SUMIFS('NEA(2020)_Uranium'!$E:$E,'NEA(2020)_Uranium'!$N:$N,$A16)*Legend!$B$91</f>
        <v>0</v>
      </c>
      <c r="O16" s="209">
        <f>SUMIFS('NEA(2020)_Uranium'!$I:$I,'NEA(2020)_Uranium'!$N:$N,$A16)*Legend!$B$91</f>
        <v>0</v>
      </c>
      <c r="P16" s="209">
        <f>SUMIFS('NEA(2020)_Uranium'!$J:$J,'NEA(2020)_Uranium'!$N:$N,$A16)*Legend!$B$91</f>
        <v>0</v>
      </c>
      <c r="Q16" s="209">
        <f>SUMIFS('NEA(2020)_Uranium'!$K:$K,'NEA(2020)_Uranium'!$N:$N,$A16)*Legend!$B$91</f>
        <v>0</v>
      </c>
      <c r="R16" s="220">
        <f>SUMIFS('NEA(2020)_Uranium'!$L:$L,'NEA(2020)_Uranium'!$N:$N,$A16)*Legend!$B$91</f>
        <v>0</v>
      </c>
    </row>
    <row r="17" spans="1:18">
      <c r="A17" s="215" t="s">
        <v>202</v>
      </c>
      <c r="B17" s="218" t="s">
        <v>203</v>
      </c>
      <c r="C17" s="219">
        <f>'EI(2024)_CoalRSV'!B47*Legend!$B$87</f>
        <v>3376725</v>
      </c>
      <c r="D17" s="220">
        <f>'EI(2024)_CoalRSV'!C47*Legend!$B$87</f>
        <v>203199.99999999997</v>
      </c>
      <c r="E17" s="219">
        <f>'EI(2024)_OilRSV'!$AO$68*Legend!$B$82*Legend!$B$84*10^3</f>
        <v>158866.11240821998</v>
      </c>
      <c r="F17" s="219">
        <f>$E17*SUMIFS('UN(2023)EnergyStat_OilProd'!$M$4:$M$31,'UN(2023)EnergyStat_OilProd'!$J$4:$J$31,$A17)</f>
        <v>158866.11240821998</v>
      </c>
      <c r="G17" s="220">
        <f>$E17*SUMIFS('UN(2023)EnergyStat_OilProd'!$N$4:$N$31,'UN(2023)EnergyStat_OilProd'!$J$4:$J$31,$A17)</f>
        <v>0</v>
      </c>
      <c r="H17" s="233">
        <f>'EI(2024)_GasRSV'!$AO$67*Legend!$B$86*10^3</f>
        <v>302347.7876106195</v>
      </c>
      <c r="I17" s="219">
        <f>H17*(('Welsby(2022)'!$D$5+'Welsby(2022)'!$D$6)/'Welsby(2022)'!$D$12)/(('Welsby(2022)'!$D$3+'Welsby(2022)'!$D$4)/'Welsby(2022)'!$D$12)</f>
        <v>289283.37703485205</v>
      </c>
      <c r="J17" s="219">
        <f>H17*(('Welsby(2022)'!$D$7+'Welsby(2022)'!$D$8+'Welsby(2022)'!$D$9+'Welsby(2022)'!$D$10+'Welsby(2022)'!$D$11)/'Welsby(2022)'!$D$12)/(('Welsby(2022)'!$D$3+'Welsby(2022)'!$D$4)/'Welsby(2022)'!$D$12)</f>
        <v>1076880.7003168361</v>
      </c>
      <c r="K17" s="219">
        <f>SUMIFS('NEA(2020)_Uranium'!$B:$B,'NEA(2020)_Uranium'!$N:$N,$A17)*Legend!$B$91</f>
        <v>3088204</v>
      </c>
      <c r="L17" s="209">
        <f>SUMIFS('NEA(2020)_Uranium'!$C:$C,'NEA(2020)_Uranium'!$N:$N,$A17)*Legend!$B$91</f>
        <v>5368980</v>
      </c>
      <c r="M17" s="209">
        <f>SUMIFS('NEA(2020)_Uranium'!$D:$D,'NEA(2020)_Uranium'!$N:$N,$A17)*Legend!$B$91</f>
        <v>9905560</v>
      </c>
      <c r="N17" s="209">
        <f>SUMIFS('NEA(2020)_Uranium'!$E:$E,'NEA(2020)_Uranium'!$N:$N,$A17)*Legend!$B$91</f>
        <v>10205224</v>
      </c>
      <c r="O17" s="209">
        <f>SUMIFS('NEA(2020)_Uranium'!$I:$I,'NEA(2020)_Uranium'!$N:$N,$A17)*Legend!$B$91</f>
        <v>4070435.9999999995</v>
      </c>
      <c r="P17" s="209">
        <f>SUMIFS('NEA(2020)_Uranium'!$J:$J,'NEA(2020)_Uranium'!$N:$N,$A17)*Legend!$B$91</f>
        <v>7466628</v>
      </c>
      <c r="Q17" s="209">
        <f>SUMIFS('NEA(2020)_Uranium'!$K:$K,'NEA(2020)_Uranium'!$N:$N,$A17)*Legend!$B$91</f>
        <v>10812876</v>
      </c>
      <c r="R17" s="220">
        <f>SUMIFS('NEA(2020)_Uranium'!$L:$L,'NEA(2020)_Uranium'!$N:$N,$A17)*Legend!$B$91</f>
        <v>12244604</v>
      </c>
    </row>
    <row r="18" spans="1:18">
      <c r="A18" s="215" t="s">
        <v>220</v>
      </c>
      <c r="B18" s="218" t="s">
        <v>221</v>
      </c>
      <c r="C18" s="219">
        <f>('EI(2024)_CoalRSV'!B49+'EI(2024)_CoalRSV'!B56)*Legend!$B$87</f>
        <v>656424.99999999988</v>
      </c>
      <c r="D18" s="220">
        <f>('EI(2024)_CoalRSV'!C49+'EI(2024)_CoalRSV'!C56)*Legend!$B$87</f>
        <v>299300.00000000006</v>
      </c>
      <c r="E18" s="219">
        <f>('EI(2024)_OilRSV'!$AO$70+'EI(2024)_OilRSV'!$AO$73)*Legend!$B$82*Legend!$B$84*10^3</f>
        <v>42123.012430000002</v>
      </c>
      <c r="F18" s="219">
        <f>$E18*SUMIFS('UN(2023)EnergyStat_OilProd'!$M$4:$M$31,'UN(2023)EnergyStat_OilProd'!$J$4:$J$31,$A18)</f>
        <v>40487.006113059673</v>
      </c>
      <c r="G18" s="220">
        <f>$E18*SUMIFS('UN(2023)EnergyStat_OilProd'!$N$4:$N$31,'UN(2023)EnergyStat_OilProd'!$J$4:$J$31,$A18)</f>
        <v>1636.0063169403311</v>
      </c>
      <c r="H18" s="233">
        <f>('EI(2024)_GasRSV'!$AO$69+'EI(2024)_GasRSV'!$AO$75)*Legend!$B$86*10^3</f>
        <v>74717.173409721858</v>
      </c>
      <c r="I18" s="219">
        <f>H18*(('Welsby(2022)'!$D$5+'Welsby(2022)'!$D$6)/'Welsby(2022)'!$D$12)/(('Welsby(2022)'!$D$3+'Welsby(2022)'!$D$4)/'Welsby(2022)'!$D$12)</f>
        <v>71488.653571030183</v>
      </c>
      <c r="J18" s="219">
        <f>H18*(('Welsby(2022)'!$D$7+'Welsby(2022)'!$D$8+'Welsby(2022)'!$D$9+'Welsby(2022)'!$D$10+'Welsby(2022)'!$D$11)/'Welsby(2022)'!$D$12)/(('Welsby(2022)'!$D$3+'Welsby(2022)'!$D$4)/'Welsby(2022)'!$D$12)</f>
        <v>266122.27813215746</v>
      </c>
      <c r="K18" s="219">
        <f>SUMIFS('NEA(2020)_Uranium'!$B:$B,'NEA(2020)_Uranium'!$N:$N,$A18)*Legend!$B$91</f>
        <v>0</v>
      </c>
      <c r="L18" s="209">
        <f>SUMIFS('NEA(2020)_Uranium'!$C:$C,'NEA(2020)_Uranium'!$N:$N,$A18)*Legend!$B$91</f>
        <v>124859.99999999999</v>
      </c>
      <c r="M18" s="209">
        <f>SUMIFS('NEA(2020)_Uranium'!$D:$D,'NEA(2020)_Uranium'!$N:$N,$A18)*Legend!$B$91</f>
        <v>441172</v>
      </c>
      <c r="N18" s="209">
        <f>SUMIFS('NEA(2020)_Uranium'!$E:$E,'NEA(2020)_Uranium'!$N:$N,$A18)*Legend!$B$91</f>
        <v>516087.99999999994</v>
      </c>
      <c r="O18" s="209">
        <f>SUMIFS('NEA(2020)_Uranium'!$I:$I,'NEA(2020)_Uranium'!$N:$N,$A18)*Legend!$B$91</f>
        <v>0</v>
      </c>
      <c r="P18" s="209">
        <f>SUMIFS('NEA(2020)_Uranium'!$J:$J,'NEA(2020)_Uranium'!$N:$N,$A18)*Legend!$B$91</f>
        <v>0</v>
      </c>
      <c r="Q18" s="209">
        <f>SUMIFS('NEA(2020)_Uranium'!$K:$K,'NEA(2020)_Uranium'!$N:$N,$A18)*Legend!$B$91</f>
        <v>249719.99999999997</v>
      </c>
      <c r="R18" s="220">
        <f>SUMIFS('NEA(2020)_Uranium'!$L:$L,'NEA(2020)_Uranium'!$N:$N,$A18)*Legend!$B$91</f>
        <v>499439.99999999994</v>
      </c>
    </row>
    <row r="19" spans="1:18">
      <c r="A19" s="215" t="s">
        <v>223</v>
      </c>
      <c r="B19" s="218" t="s">
        <v>224</v>
      </c>
      <c r="C19" s="219">
        <f>'EI(2024)_CoalRSV'!B48*Legend!$B$87</f>
        <v>2649475</v>
      </c>
      <c r="D19" s="220">
        <f>'EI(2024)_CoalRSV'!C48*Legend!$B$87</f>
        <v>126825</v>
      </c>
      <c r="E19" s="219">
        <f>'EI(2024)_OilRSV'!$AO$69*Legend!$B$82*Legend!$B$84*10^3</f>
        <v>28518.298988382594</v>
      </c>
      <c r="F19" s="219">
        <f>$E19*SUMIFS('UN(2023)EnergyStat_OilProd'!$M$4:$M$31,'UN(2023)EnergyStat_OilProd'!$J$4:$J$31,$A19)</f>
        <v>24697.319221712052</v>
      </c>
      <c r="G19" s="220">
        <f>$E19*SUMIFS('UN(2023)EnergyStat_OilProd'!$N$4:$N$31,'UN(2023)EnergyStat_OilProd'!$J$4:$J$31,$A19)</f>
        <v>3820.9797666705404</v>
      </c>
      <c r="H19" s="233">
        <f>'EI(2024)_GasRSV'!$AO$68*Legend!$B$86*10^3</f>
        <v>47839.179232202383</v>
      </c>
      <c r="I19" s="219">
        <f>H19*(('Welsby(2022)'!$D$5+'Welsby(2022)'!$D$6)/'Welsby(2022)'!$D$12)/(('Welsby(2022)'!$D$3+'Welsby(2022)'!$D$4)/'Welsby(2022)'!$D$12)</f>
        <v>45772.054203650434</v>
      </c>
      <c r="J19" s="219">
        <f>H19*(('Welsby(2022)'!$D$7+'Welsby(2022)'!$D$8+'Welsby(2022)'!$D$9+'Welsby(2022)'!$D$10+'Welsby(2022)'!$D$11)/'Welsby(2022)'!$D$12)/(('Welsby(2022)'!$D$3+'Welsby(2022)'!$D$4)/'Welsby(2022)'!$D$12)</f>
        <v>170390.16306778256</v>
      </c>
      <c r="K19" s="219">
        <f>SUMIFS('NEA(2020)_Uranium'!$B:$B,'NEA(2020)_Uranium'!$N:$N,$A19)*Legend!$B$91</f>
        <v>0</v>
      </c>
      <c r="L19" s="209">
        <f>SUMIFS('NEA(2020)_Uranium'!$C:$C,'NEA(2020)_Uranium'!$N:$N,$A19)*Legend!$B$91</f>
        <v>0</v>
      </c>
      <c r="M19" s="209">
        <f>SUMIFS('NEA(2020)_Uranium'!$D:$D,'NEA(2020)_Uranium'!$N:$N,$A19)*Legend!$B$91</f>
        <v>0</v>
      </c>
      <c r="N19" s="209">
        <f>SUMIFS('NEA(2020)_Uranium'!$E:$E,'NEA(2020)_Uranium'!$N:$N,$A19)*Legend!$B$91</f>
        <v>15649119.999999998</v>
      </c>
      <c r="O19" s="209">
        <f>SUMIFS('NEA(2020)_Uranium'!$I:$I,'NEA(2020)_Uranium'!$N:$N,$A19)*Legend!$B$91</f>
        <v>0</v>
      </c>
      <c r="P19" s="209">
        <f>SUMIFS('NEA(2020)_Uranium'!$J:$J,'NEA(2020)_Uranium'!$N:$N,$A19)*Legend!$B$91</f>
        <v>0</v>
      </c>
      <c r="Q19" s="209">
        <f>SUMIFS('NEA(2020)_Uranium'!$K:$K,'NEA(2020)_Uranium'!$N:$N,$A19)*Legend!$B$91</f>
        <v>0</v>
      </c>
      <c r="R19" s="220">
        <f>SUMIFS('NEA(2020)_Uranium'!$L:$L,'NEA(2020)_Uranium'!$N:$N,$A19)*Legend!$B$91</f>
        <v>665920</v>
      </c>
    </row>
    <row r="20" spans="1:18">
      <c r="A20" s="215" t="s">
        <v>193</v>
      </c>
      <c r="B20" s="218" t="s">
        <v>194</v>
      </c>
      <c r="C20" s="219">
        <f>('EI(2024)_CoalRSV'!B53+'EI(2024)_CoalRSV'!B57*'Key inputs_EB_MIN'!$L$10/SUM('Key inputs_EB_MIN'!$K$10,'Key inputs_EB_MIN'!$L$10))*Legend!$B$87</f>
        <v>11655.737667676331</v>
      </c>
      <c r="D20" s="220">
        <f>('EI(2024)_CoalRSV'!C53+'EI(2024)_CoalRSV'!C57*'Key inputs_EB_MIN'!$L$11/SUM('Key inputs_EB_MIN'!$K$11,'Key inputs_EB_MIN'!$L$11))*Legend!$B$87</f>
        <v>71469.804230510403</v>
      </c>
      <c r="E20" s="225">
        <f>('EI(2024)_OilRSV'!$AO$74*'Key inputs_EB_MIN'!$L$18/SUM('Key inputs_EB_MIN'!$L$18,'Key inputs_EB_MIN'!$X$18,'Key inputs_EB_MIN'!$AE$18))*Legend!$B$82*Legend!$B$84*10^3</f>
        <v>7034.7950432775879</v>
      </c>
      <c r="F20" s="219">
        <f>$E20*SUMIFS('UN(2023)EnergyStat_OilProd'!$M$4:$M$31,'UN(2023)EnergyStat_OilProd'!$J$4:$J$31,$A20)</f>
        <v>5980.6343481566937</v>
      </c>
      <c r="G20" s="220">
        <f>$E20*SUMIFS('UN(2023)EnergyStat_OilProd'!$N$4:$N$31,'UN(2023)EnergyStat_OilProd'!$J$4:$J$31,$A20)</f>
        <v>1054.1606951208944</v>
      </c>
      <c r="H20" s="233">
        <f>('EI(2024)_GasRSV'!$AO$65+'EI(2024)_GasRSV'!$AO$72)*Legend!$B$86*10^3</f>
        <v>18175.331843270265</v>
      </c>
      <c r="I20" s="219">
        <f>H20*(('Welsby(2022)'!$D$5+'Welsby(2022)'!$D$6)/'Welsby(2022)'!$D$12)/(('Welsby(2022)'!$D$3+'Welsby(2022)'!$D$4)/'Welsby(2022)'!$D$12)</f>
        <v>17389.97799819069</v>
      </c>
      <c r="J20" s="219">
        <f>H20*(('Welsby(2022)'!$D$7+'Welsby(2022)'!$D$8+'Welsby(2022)'!$D$9+'Welsby(2022)'!$D$10+'Welsby(2022)'!$D$11)/'Welsby(2022)'!$D$12)/(('Welsby(2022)'!$D$3+'Welsby(2022)'!$D$4)/'Welsby(2022)'!$D$12)</f>
        <v>64735.595515845329</v>
      </c>
      <c r="K20" s="219">
        <f>SUMIFS('NEA(2020)_Uranium'!$B:$B,'NEA(2020)_Uranium'!$N:$N,$A20)*Legend!$B$91</f>
        <v>0</v>
      </c>
      <c r="L20" s="209">
        <f>SUMIFS('NEA(2020)_Uranium'!$C:$C,'NEA(2020)_Uranium'!$N:$N,$A20)*Legend!$B$91</f>
        <v>0</v>
      </c>
      <c r="M20" s="209">
        <f>SUMIFS('NEA(2020)_Uranium'!$D:$D,'NEA(2020)_Uranium'!$N:$N,$A20)*Legend!$B$91</f>
        <v>0</v>
      </c>
      <c r="N20" s="209">
        <f>SUMIFS('NEA(2020)_Uranium'!$E:$E,'NEA(2020)_Uranium'!$N:$N,$A20)*Legend!$B$91</f>
        <v>0</v>
      </c>
      <c r="O20" s="209">
        <f>SUMIFS('NEA(2020)_Uranium'!$I:$I,'NEA(2020)_Uranium'!$N:$N,$A20)*Legend!$B$91</f>
        <v>0</v>
      </c>
      <c r="P20" s="209">
        <f>SUMIFS('NEA(2020)_Uranium'!$J:$J,'NEA(2020)_Uranium'!$N:$N,$A20)*Legend!$B$91</f>
        <v>0</v>
      </c>
      <c r="Q20" s="209">
        <f>SUMIFS('NEA(2020)_Uranium'!$K:$K,'NEA(2020)_Uranium'!$N:$N,$A20)*Legend!$B$91</f>
        <v>0</v>
      </c>
      <c r="R20" s="220">
        <f>SUMIFS('NEA(2020)_Uranium'!$L:$L,'NEA(2020)_Uranium'!$N:$N,$A20)*Legend!$B$91</f>
        <v>0</v>
      </c>
    </row>
    <row r="21" spans="1:18">
      <c r="A21" s="215" t="s">
        <v>225</v>
      </c>
      <c r="B21" s="218" t="s">
        <v>226</v>
      </c>
      <c r="C21" s="219">
        <f>('EI(2024)_CoalRSV'!B50)*Legend!$B$87</f>
        <v>8499.9999999999982</v>
      </c>
      <c r="D21" s="220">
        <f>('EI(2024)_CoalRSV'!C50)*Legend!$B$87</f>
        <v>250</v>
      </c>
      <c r="E21" s="219">
        <f>('EI(2024)_OilRSV'!$AO$74*'Key inputs_EB_MIN'!$X$18/SUM('Key inputs_EB_MIN'!$L$18,'Key inputs_EB_MIN'!$X$18,'Key inputs_EB_MIN'!$AE$18))*Legend!$B$82*Legend!$B$84*10^3</f>
        <v>280.26250685170106</v>
      </c>
      <c r="F21" s="219">
        <f>$E21*SUMIFS('UN(2023)EnergyStat_OilProd'!$M$4:$M$31,'UN(2023)EnergyStat_OilProd'!$J$4:$J$31,$A21)</f>
        <v>138.76452836031933</v>
      </c>
      <c r="G21" s="220">
        <f>$E21*SUMIFS('UN(2023)EnergyStat_OilProd'!$N$4:$N$31,'UN(2023)EnergyStat_OilProd'!$J$4:$J$31,$A21)</f>
        <v>141.49797849138173</v>
      </c>
      <c r="H21" s="233">
        <f>('EI(2024)_GasRSV'!$AO$76*'Key inputs_EB_MIN'!$X$12/SUM('Key inputs_EB_MIN'!$X$12,'Key inputs_EB_MIN'!$AE$12))*Legend!$B$86*10^3</f>
        <v>6259.00258001368</v>
      </c>
      <c r="I21" s="219">
        <f>H21*(('Welsby(2022)'!$D$5+'Welsby(2022)'!$D$6)/'Welsby(2022)'!$D$12)/(('Welsby(2022)'!$D$3+'Welsby(2022)'!$D$4)/'Welsby(2022)'!$D$12)</f>
        <v>5988.5518512476583</v>
      </c>
      <c r="J21" s="219">
        <f>H21*(('Welsby(2022)'!$D$7+'Welsby(2022)'!$D$8+'Welsby(2022)'!$D$9+'Welsby(2022)'!$D$10+'Welsby(2022)'!$D$11)/'Welsby(2022)'!$D$12)/(('Welsby(2022)'!$D$3+'Welsby(2022)'!$D$4)/'Welsby(2022)'!$D$12)</f>
        <v>22292.867213999343</v>
      </c>
      <c r="K21" s="219">
        <f>SUMIFS('NEA(2020)_Uranium'!$B:$B,'NEA(2020)_Uranium'!$N:$N,$A21)*Legend!$B$91</f>
        <v>0</v>
      </c>
      <c r="L21" s="209">
        <f>SUMIFS('NEA(2020)_Uranium'!$C:$C,'NEA(2020)_Uranium'!$N:$N,$A21)*Legend!$B$91</f>
        <v>0</v>
      </c>
      <c r="M21" s="209">
        <f>SUMIFS('NEA(2020)_Uranium'!$D:$D,'NEA(2020)_Uranium'!$N:$N,$A21)*Legend!$B$91</f>
        <v>549384</v>
      </c>
      <c r="N21" s="209">
        <f>SUMIFS('NEA(2020)_Uranium'!$E:$E,'NEA(2020)_Uranium'!$N:$N,$A21)*Legend!$B$91</f>
        <v>549384</v>
      </c>
      <c r="O21" s="209">
        <f>SUMIFS('NEA(2020)_Uranium'!$I:$I,'NEA(2020)_Uranium'!$N:$N,$A21)*Legend!$B$91</f>
        <v>0</v>
      </c>
      <c r="P21" s="209">
        <f>SUMIFS('NEA(2020)_Uranium'!$J:$J,'NEA(2020)_Uranium'!$N:$N,$A21)*Legend!$B$91</f>
        <v>0</v>
      </c>
      <c r="Q21" s="209">
        <f>SUMIFS('NEA(2020)_Uranium'!$K:$K,'NEA(2020)_Uranium'!$N:$N,$A21)*Legend!$B$91</f>
        <v>0</v>
      </c>
      <c r="R21" s="220">
        <f>SUMIFS('NEA(2020)_Uranium'!$L:$L,'NEA(2020)_Uranium'!$N:$N,$A21)*Legend!$B$91</f>
        <v>0</v>
      </c>
    </row>
    <row r="22" spans="1:18">
      <c r="A22" s="215" t="s">
        <v>243</v>
      </c>
      <c r="B22" s="218" t="s">
        <v>244</v>
      </c>
      <c r="C22" s="219">
        <f>'EI(2024)_CoalRSV'!B54*Legend!$B$87</f>
        <v>8150</v>
      </c>
      <c r="D22" s="220">
        <f>'EI(2024)_CoalRSV'!C54*Legend!$B$87</f>
        <v>0</v>
      </c>
      <c r="E22" s="219">
        <f>('EI(2024)_OilRSV'!$AO$74*'Key inputs_EB_MIN'!$AE$18/SUM('Key inputs_EB_MIN'!$L$18,'Key inputs_EB_MIN'!$X$18,'Key inputs_EB_MIN'!$AE$18))*Legend!$B$82*Legend!$B$84*10^3</f>
        <v>1047.7520439455893</v>
      </c>
      <c r="F22" s="219">
        <f>$E22*SUMIFS('UN(2023)EnergyStat_OilProd'!$M$4:$M$31,'UN(2023)EnergyStat_OilProd'!$J$4:$J$31,$A22)</f>
        <v>1047.7520439455893</v>
      </c>
      <c r="G22" s="220">
        <f>$E22*SUMIFS('UN(2023)EnergyStat_OilProd'!$N$4:$N$31,'UN(2023)EnergyStat_OilProd'!$J$4:$J$31,$A22)</f>
        <v>0</v>
      </c>
      <c r="H22" s="233">
        <f>('EI(2024)_GasRSV'!$AO$76*'Key inputs_EB_MIN'!$AE$12/SUM('Key inputs_EB_MIN'!$X$12,'Key inputs_EB_MIN'!$AE$12))*Legend!$B$86*10^3</f>
        <v>614.82946571422565</v>
      </c>
      <c r="I22" s="219">
        <f>H22*(('Welsby(2022)'!$D$5+'Welsby(2022)'!$D$6)/'Welsby(2022)'!$D$12)/(('Welsby(2022)'!$D$3+'Welsby(2022)'!$D$4)/'Welsby(2022)'!$D$12)</f>
        <v>588.26276040558639</v>
      </c>
      <c r="J22" s="219">
        <f>H22*(('Welsby(2022)'!$D$7+'Welsby(2022)'!$D$8+'Welsby(2022)'!$D$9+'Welsby(2022)'!$D$10+'Welsby(2022)'!$D$11)/'Welsby(2022)'!$D$12)/(('Welsby(2022)'!$D$3+'Welsby(2022)'!$D$4)/'Welsby(2022)'!$D$12)</f>
        <v>2189.855566154989</v>
      </c>
      <c r="K22" s="219">
        <f>SUMIFS('NEA(2020)_Uranium'!$B:$B,'NEA(2020)_Uranium'!$N:$N,$A22)*Legend!$B$91</f>
        <v>0</v>
      </c>
      <c r="L22" s="209">
        <f>SUMIFS('NEA(2020)_Uranium'!$C:$C,'NEA(2020)_Uranium'!$N:$N,$A22)*Legend!$B$91</f>
        <v>0</v>
      </c>
      <c r="M22" s="209">
        <f>SUMIFS('NEA(2020)_Uranium'!$D:$D,'NEA(2020)_Uranium'!$N:$N,$A22)*Legend!$B$91</f>
        <v>0</v>
      </c>
      <c r="N22" s="209">
        <f>SUMIFS('NEA(2020)_Uranium'!$E:$E,'NEA(2020)_Uranium'!$N:$N,$A22)*Legend!$B$91</f>
        <v>0</v>
      </c>
      <c r="O22" s="209">
        <f>SUMIFS('NEA(2020)_Uranium'!$I:$I,'NEA(2020)_Uranium'!$N:$N,$A22)*Legend!$B$91</f>
        <v>0</v>
      </c>
      <c r="P22" s="209">
        <f>SUMIFS('NEA(2020)_Uranium'!$J:$J,'NEA(2020)_Uranium'!$N:$N,$A22)*Legend!$B$91</f>
        <v>0</v>
      </c>
      <c r="Q22" s="209">
        <f>SUMIFS('NEA(2020)_Uranium'!$K:$K,'NEA(2020)_Uranium'!$N:$N,$A22)*Legend!$B$91</f>
        <v>0</v>
      </c>
      <c r="R22" s="220">
        <f>SUMIFS('NEA(2020)_Uranium'!$L:$L,'NEA(2020)_Uranium'!$N:$N,$A22)*Legend!$B$91</f>
        <v>0</v>
      </c>
    </row>
    <row r="23" spans="1:18">
      <c r="A23" s="215" t="s">
        <v>184</v>
      </c>
      <c r="B23" s="218" t="s">
        <v>185</v>
      </c>
      <c r="C23" s="219">
        <f>('EI(2024)_CoalRSV'!B46+'EI(2024)_CoalRSV'!B52)*Legend!$B$87</f>
        <v>1863600</v>
      </c>
      <c r="D23" s="220">
        <f>('EI(2024)_CoalRSV'!C46+'EI(2024)_CoalRSV'!C52)*Legend!$B$87</f>
        <v>2081450</v>
      </c>
      <c r="E23" s="219">
        <f>'EI(2024)_OilRSV'!$AO$66*Legend!$B$82*Legend!$B$84*10^3</f>
        <v>14626.503283954027</v>
      </c>
      <c r="F23" s="219">
        <f>$E23*SUMIFS('UN(2023)EnergyStat_OilProd'!$M$4:$M$31,'UN(2023)EnergyStat_OilProd'!$J$4:$J$31,$A23)</f>
        <v>12669.923587873192</v>
      </c>
      <c r="G23" s="220">
        <f>$E23*SUMIFS('UN(2023)EnergyStat_OilProd'!$N$4:$N$31,'UN(2023)EnergyStat_OilProd'!$J$4:$J$31,$A23)</f>
        <v>1956.5796960808336</v>
      </c>
      <c r="H23" s="233">
        <f>'EI(2024)_GasRSV'!$AO$64*Legend!$B$86*10^3</f>
        <v>86025.438160909907</v>
      </c>
      <c r="I23" s="219">
        <f>H23*(('Welsby(2022)'!$D$5+'Welsby(2022)'!$D$6)/'Welsby(2022)'!$D$12)/(('Welsby(2022)'!$D$3+'Welsby(2022)'!$D$4)/'Welsby(2022)'!$D$12)</f>
        <v>82308.289598401461</v>
      </c>
      <c r="J23" s="219">
        <f>H23*(('Welsby(2022)'!$D$7+'Welsby(2022)'!$D$8+'Welsby(2022)'!$D$9+'Welsby(2022)'!$D$10+'Welsby(2022)'!$D$11)/'Welsby(2022)'!$D$12)/(('Welsby(2022)'!$D$3+'Welsby(2022)'!$D$4)/'Welsby(2022)'!$D$12)</f>
        <v>306399.24579533964</v>
      </c>
      <c r="K23" s="219">
        <f>SUMIFS('NEA(2020)_Uranium'!$B:$B,'NEA(2020)_Uranium'!$N:$N,$A23)*Legend!$B$91</f>
        <v>0</v>
      </c>
      <c r="L23" s="209">
        <f>SUMIFS('NEA(2020)_Uranium'!$C:$C,'NEA(2020)_Uranium'!$N:$N,$A23)*Legend!$B$91</f>
        <v>0</v>
      </c>
      <c r="M23" s="209">
        <f>SUMIFS('NEA(2020)_Uranium'!$D:$D,'NEA(2020)_Uranium'!$N:$N,$A23)*Legend!$B$91</f>
        <v>98547836</v>
      </c>
      <c r="N23" s="209">
        <f>SUMIFS('NEA(2020)_Uranium'!$E:$E,'NEA(2020)_Uranium'!$N:$N,$A23)*Legend!$B$91</f>
        <v>106946752</v>
      </c>
      <c r="O23" s="209">
        <f>SUMIFS('NEA(2020)_Uranium'!$I:$I,'NEA(2020)_Uranium'!$N:$N,$A23)*Legend!$B$91</f>
        <v>0</v>
      </c>
      <c r="P23" s="209">
        <f>SUMIFS('NEA(2020)_Uranium'!$J:$J,'NEA(2020)_Uranium'!$N:$N,$A23)*Legend!$B$91</f>
        <v>0</v>
      </c>
      <c r="Q23" s="209">
        <f>SUMIFS('NEA(2020)_Uranium'!$K:$K,'NEA(2020)_Uranium'!$N:$N,$A23)*Legend!$B$91</f>
        <v>42352512</v>
      </c>
      <c r="R23" s="220">
        <f>SUMIFS('NEA(2020)_Uranium'!$L:$L,'NEA(2020)_Uranium'!$N:$N,$A23)*Legend!$B$91</f>
        <v>63645303.999999993</v>
      </c>
    </row>
    <row r="24" spans="1:18">
      <c r="A24" s="215" t="s">
        <v>245</v>
      </c>
      <c r="B24" s="218" t="s">
        <v>246</v>
      </c>
      <c r="C24" s="219">
        <f>'EI(2024)_CoalRSV'!B10*Legend!$B$87</f>
        <v>5473450</v>
      </c>
      <c r="D24" s="220">
        <f>'EI(2024)_CoalRSV'!C10*Legend!$B$87</f>
        <v>750075</v>
      </c>
      <c r="E24" s="219">
        <f>'EI(2024)_OilRSV'!$AO$9*Legend!$B$82*Legend!$B$84*10^3</f>
        <v>420724.08299999998</v>
      </c>
      <c r="F24" s="219">
        <f>$E24*SUMIFS('UN(2023)EnergyStat_OilProd'!$M$4:$M$31,'UN(2023)EnergyStat_OilProd'!$J$4:$J$31,$A24)</f>
        <v>339460.27748532256</v>
      </c>
      <c r="G24" s="220">
        <f>$E24*SUMIFS('UN(2023)EnergyStat_OilProd'!$N$4:$N$31,'UN(2023)EnergyStat_OilProd'!$J$4:$J$31,$A24)</f>
        <v>81263.805514677457</v>
      </c>
      <c r="H24" s="233">
        <f>'EI(2024)_GasRSV'!$AO$9*Legend!$B$86*10^3</f>
        <v>454273.35920439748</v>
      </c>
      <c r="I24" s="219">
        <f>H24*(('Welsby(2022)'!$D$5+'Welsby(2022)'!$D$6)/'Welsby(2022)'!$D$12)/(('Welsby(2022)'!$D$3+'Welsby(2022)'!$D$4)/'Welsby(2022)'!$D$12)</f>
        <v>434644.26343630627</v>
      </c>
      <c r="J24" s="219">
        <f>H24*(('Welsby(2022)'!$D$7+'Welsby(2022)'!$D$8+'Welsby(2022)'!$D$9+'Welsby(2022)'!$D$10+'Welsby(2022)'!$D$11)/'Welsby(2022)'!$D$12)/(('Welsby(2022)'!$D$3+'Welsby(2022)'!$D$4)/'Welsby(2022)'!$D$12)</f>
        <v>1617998.3225983786</v>
      </c>
      <c r="K24" s="219">
        <f>SUMIFS('NEA(2020)_Uranium'!$B:$B,'NEA(2020)_Uranium'!$N:$N,$A24)*Legend!$B$91</f>
        <v>0</v>
      </c>
      <c r="L24" s="209">
        <f>SUMIFS('NEA(2020)_Uranium'!$C:$C,'NEA(2020)_Uranium'!$N:$N,$A24)*Legend!$B$91</f>
        <v>1157036</v>
      </c>
      <c r="M24" s="209">
        <f>SUMIFS('NEA(2020)_Uranium'!$D:$D,'NEA(2020)_Uranium'!$N:$N,$A24)*Legend!$B$91</f>
        <v>3987195.9999999995</v>
      </c>
      <c r="N24" s="209">
        <f>SUMIFS('NEA(2020)_Uranium'!$E:$E,'NEA(2020)_Uranium'!$N:$N,$A24)*Legend!$B$91</f>
        <v>8482156</v>
      </c>
      <c r="O24" s="209">
        <f>SUMIFS('NEA(2020)_Uranium'!$I:$I,'NEA(2020)_Uranium'!$N:$N,$A24)*Legend!$B$91</f>
        <v>0</v>
      </c>
      <c r="P24" s="209">
        <f>SUMIFS('NEA(2020)_Uranium'!$J:$J,'NEA(2020)_Uranium'!$N:$N,$A24)*Legend!$B$91</f>
        <v>0</v>
      </c>
      <c r="Q24" s="209">
        <f>SUMIFS('NEA(2020)_Uranium'!$K:$K,'NEA(2020)_Uranium'!$N:$N,$A24)*Legend!$B$91</f>
        <v>0</v>
      </c>
      <c r="R24" s="220">
        <f>SUMIFS('NEA(2020)_Uranium'!$L:$L,'NEA(2020)_Uranium'!$N:$N,$A24)*Legend!$B$91</f>
        <v>0</v>
      </c>
    </row>
    <row r="25" spans="1:18">
      <c r="A25" s="215" t="s">
        <v>198</v>
      </c>
      <c r="B25" s="218" t="s">
        <v>199</v>
      </c>
      <c r="C25" s="219">
        <f>'EI(2024)_CoalRSV'!B8*Legend!$B$87</f>
        <v>108650</v>
      </c>
      <c r="D25" s="220">
        <f>'EI(2024)_CoalRSV'!C8*Legend!$B$87</f>
        <v>55900</v>
      </c>
      <c r="E25" s="219">
        <f>'EI(2024)_OilRSV'!$AO$7*Legend!$B$82*Legend!$B$84*10^3</f>
        <v>1034875.3220008111</v>
      </c>
      <c r="F25" s="219">
        <f>$E25*SUMIFS('UN(2023)EnergyStat_OilProd'!$M$4:$M$31,'UN(2023)EnergyStat_OilProd'!$J$4:$J$31,$A25)</f>
        <v>959768.70408479043</v>
      </c>
      <c r="G25" s="220">
        <f>$E25*SUMIFS('UN(2023)EnergyStat_OilProd'!$N$4:$N$31,'UN(2023)EnergyStat_OilProd'!$J$4:$J$31,$A25)</f>
        <v>75106.617916020623</v>
      </c>
      <c r="H25" s="233">
        <f>'EI(2024)_GasRSV'!$AO$7*Legend!$B$86*10^3</f>
        <v>71786.439726299985</v>
      </c>
      <c r="I25" s="219">
        <f>H25*(('Welsby(2022)'!$D$5+'Welsby(2022)'!$D$6)/'Welsby(2022)'!$D$12)/(('Welsby(2022)'!$D$3+'Welsby(2022)'!$D$4)/'Welsby(2022)'!$D$12)</f>
        <v>68684.556528249988</v>
      </c>
      <c r="J25" s="219">
        <f>H25*(('Welsby(2022)'!$D$7+'Welsby(2022)'!$D$8+'Welsby(2022)'!$D$9+'Welsby(2022)'!$D$10+'Welsby(2022)'!$D$11)/'Welsby(2022)'!$D$12)/(('Welsby(2022)'!$D$3+'Welsby(2022)'!$D$4)/'Welsby(2022)'!$D$12)</f>
        <v>255683.80075354993</v>
      </c>
      <c r="K25" s="219">
        <f>SUMIFS('NEA(2020)_Uranium'!$B:$B,'NEA(2020)_Uranium'!$N:$N,$A25)*Legend!$B$91</f>
        <v>21517540</v>
      </c>
      <c r="L25" s="209">
        <f>SUMIFS('NEA(2020)_Uranium'!$C:$C,'NEA(2020)_Uranium'!$N:$N,$A25)*Legend!$B$91</f>
        <v>21517540</v>
      </c>
      <c r="M25" s="209">
        <f>SUMIFS('NEA(2020)_Uranium'!$D:$D,'NEA(2020)_Uranium'!$N:$N,$A25)*Legend!$B$91</f>
        <v>38423584</v>
      </c>
      <c r="N25" s="209">
        <f>SUMIFS('NEA(2020)_Uranium'!$E:$E,'NEA(2020)_Uranium'!$N:$N,$A25)*Legend!$B$91</f>
        <v>54289128</v>
      </c>
      <c r="O25" s="209">
        <f>SUMIFS('NEA(2020)_Uranium'!$I:$I,'NEA(2020)_Uranium'!$N:$N,$A25)*Legend!$B$91</f>
        <v>158156</v>
      </c>
      <c r="P25" s="209">
        <f>SUMIFS('NEA(2020)_Uranium'!$J:$J,'NEA(2020)_Uranium'!$N:$N,$A25)*Legend!$B$91</f>
        <v>907316</v>
      </c>
      <c r="Q25" s="209">
        <f>SUMIFS('NEA(2020)_Uranium'!$K:$K,'NEA(2020)_Uranium'!$N:$N,$A25)*Legend!$B$91</f>
        <v>8598692</v>
      </c>
      <c r="R25" s="220">
        <f>SUMIFS('NEA(2020)_Uranium'!$L:$L,'NEA(2020)_Uranium'!$N:$N,$A25)*Legend!$B$91</f>
        <v>18379392</v>
      </c>
    </row>
    <row r="26" spans="1:18">
      <c r="A26" s="215" t="s">
        <v>227</v>
      </c>
      <c r="B26" s="218" t="s">
        <v>228</v>
      </c>
      <c r="C26" s="219">
        <f>('EI(2024)_CoalRSV'!B14+'EI(2024)_CoalRSV'!B15+'EI(2024)_CoalRSV'!B16*'Key inputs_EB_MIN'!$Y$10/SUM('Key inputs_EB_MIN'!$Y$10,'Key inputs_EB_MIN'!$O$10))*Legend!$B$87</f>
        <v>176313.32787915916</v>
      </c>
      <c r="D26" s="220">
        <f>('EI(2024)_CoalRSV'!C14+'EI(2024)_CoalRSV'!C15+'EI(2024)_CoalRSV'!C16*'Key inputs_EB_MIN'!$Y$11/SUM('Key inputs_EB_MIN'!$Y$11,'Key inputs_EB_MIN'!$O$11))*Legend!$B$87</f>
        <v>600</v>
      </c>
      <c r="E26" s="219">
        <f>('EI(2024)_OilRSV'!$AO$12+'EI(2024)_OilRSV'!$AO$18+'EI(2024)_OilRSV'!$AO$14+'EI(2024)_OilRSV'!$AO$16+'EI(2024)_OilRSV'!$AO$15+'EI(2024)_OilRSV'!$AO$17)*Legend!$B$82*Legend!$B$84*10^3</f>
        <v>1900544.0115105743</v>
      </c>
      <c r="F26" s="219">
        <f>$E26*SUMIFS('UN(2023)EnergyStat_OilProd'!$M$4:$M$31,'UN(2023)EnergyStat_OilProd'!$J$4:$J$31,$A26)</f>
        <v>1754045.7219075582</v>
      </c>
      <c r="G26" s="220">
        <f>$E26*SUMIFS('UN(2023)EnergyStat_OilProd'!$N$4:$N$31,'UN(2023)EnergyStat_OilProd'!$J$4:$J$31,$A26)</f>
        <v>146498.28960301608</v>
      </c>
      <c r="H26" s="233">
        <f>(SUM('EI(2024)_GasRSV'!$AO$12+'EI(2024)_GasRSV'!$AO$13+'EI(2024)_GasRSV'!$AO$15+'EI(2024)_GasRSV'!$AO$16+'EI(2024)_GasRSV'!$AO$17+'EI(2024)_GasRSV'!$AO$18))*Legend!$B$86*10^3</f>
        <v>270359.17141088302</v>
      </c>
      <c r="I26" s="219">
        <f>H26*(('Welsby(2022)'!$D$5+'Welsby(2022)'!$D$6)/'Welsby(2022)'!$D$12)/(('Welsby(2022)'!$D$3+'Welsby(2022)'!$D$4)/'Welsby(2022)'!$D$12)</f>
        <v>258676.98499189428</v>
      </c>
      <c r="J26" s="219">
        <f>H26*(('Welsby(2022)'!$D$7+'Welsby(2022)'!$D$8+'Welsby(2022)'!$D$9+'Welsby(2022)'!$D$10+'Welsby(2022)'!$D$11)/'Welsby(2022)'!$D$12)/(('Welsby(2022)'!$D$3+'Welsby(2022)'!$D$4)/'Welsby(2022)'!$D$12)</f>
        <v>962945.93767950323</v>
      </c>
      <c r="K26" s="219">
        <f>SUMIFS('NEA(2020)_Uranium'!$B:$B,'NEA(2020)_Uranium'!$N:$N,$A26)*Legend!$B$91</f>
        <v>0</v>
      </c>
      <c r="L26" s="209">
        <f>SUMIFS('NEA(2020)_Uranium'!$C:$C,'NEA(2020)_Uranium'!$N:$N,$A26)*Legend!$B$91</f>
        <v>1589884</v>
      </c>
      <c r="M26" s="209">
        <f>SUMIFS('NEA(2020)_Uranium'!$D:$D,'NEA(2020)_Uranium'!$N:$N,$A26)*Legend!$B$91</f>
        <v>2080999.9999999998</v>
      </c>
      <c r="N26" s="209">
        <f>SUMIFS('NEA(2020)_Uranium'!$E:$E,'NEA(2020)_Uranium'!$N:$N,$A26)*Legend!$B$91</f>
        <v>2322396</v>
      </c>
      <c r="O26" s="209">
        <f>SUMIFS('NEA(2020)_Uranium'!$I:$I,'NEA(2020)_Uranium'!$N:$N,$A26)*Legend!$B$91</f>
        <v>199776</v>
      </c>
      <c r="P26" s="209">
        <f>SUMIFS('NEA(2020)_Uranium'!$J:$J,'NEA(2020)_Uranium'!$N:$N,$A26)*Legend!$B$91</f>
        <v>2672004</v>
      </c>
      <c r="Q26" s="209">
        <f>SUMIFS('NEA(2020)_Uranium'!$K:$K,'NEA(2020)_Uranium'!$N:$N,$A26)*Legend!$B$91</f>
        <v>3920603.9999999995</v>
      </c>
      <c r="R26" s="220">
        <f>SUMIFS('NEA(2020)_Uranium'!$L:$L,'NEA(2020)_Uranium'!$N:$N,$A26)*Legend!$B$91</f>
        <v>4070435.9999999995</v>
      </c>
    </row>
    <row r="27" spans="1:18">
      <c r="A27" s="215" t="s">
        <v>196</v>
      </c>
      <c r="B27" s="218" t="s">
        <v>197</v>
      </c>
      <c r="C27" s="219">
        <f>'EI(2024)_CoalRSV'!B13*Legend!$B$87</f>
        <v>38675</v>
      </c>
      <c r="D27" s="220">
        <f>'EI(2024)_CoalRSV'!C13*Legend!$B$87</f>
        <v>126225</v>
      </c>
      <c r="E27" s="219">
        <f>'EI(2024)_OilRSV'!$AO$13*Legend!$B$82*Legend!$B$84*10^3</f>
        <v>77800.637399999992</v>
      </c>
      <c r="F27" s="219">
        <f>$E27*SUMIFS('UN(2023)EnergyStat_OilProd'!$M$4:$M$31,'UN(2023)EnergyStat_OilProd'!$J$4:$J$31,$A27)</f>
        <v>74667.819941022433</v>
      </c>
      <c r="G27" s="220">
        <f>$E27*SUMIFS('UN(2023)EnergyStat_OilProd'!$N$4:$N$31,'UN(2023)EnergyStat_OilProd'!$J$4:$J$31,$A27)</f>
        <v>3132.8174589775626</v>
      </c>
      <c r="H27" s="233">
        <f>'EI(2024)_GasRSV'!$AO$14*Legend!$B$86*10^3</f>
        <v>13510.031868089998</v>
      </c>
      <c r="I27" s="219">
        <f>H27*(('Welsby(2022)'!$D$5+'Welsby(2022)'!$D$6)/'Welsby(2022)'!$D$12)/(('Welsby(2022)'!$D$3+'Welsby(2022)'!$D$4)/'Welsby(2022)'!$D$12)</f>
        <v>12926.265058974999</v>
      </c>
      <c r="J27" s="219">
        <f>H27*(('Welsby(2022)'!$D$7+'Welsby(2022)'!$D$8+'Welsby(2022)'!$D$9+'Welsby(2022)'!$D$10+'Welsby(2022)'!$D$11)/'Welsby(2022)'!$D$12)/(('Welsby(2022)'!$D$3+'Welsby(2022)'!$D$4)/'Welsby(2022)'!$D$12)</f>
        <v>48119.06412276499</v>
      </c>
      <c r="K27" s="219">
        <f>SUMIFS('NEA(2020)_Uranium'!$B:$B,'NEA(2020)_Uranium'!$N:$N,$A27)*Legend!$B$91</f>
        <v>11495444</v>
      </c>
      <c r="L27" s="209">
        <f>SUMIFS('NEA(2020)_Uranium'!$C:$C,'NEA(2020)_Uranium'!$N:$N,$A27)*Legend!$B$91</f>
        <v>12977116</v>
      </c>
      <c r="M27" s="209">
        <f>SUMIFS('NEA(2020)_Uranium'!$D:$D,'NEA(2020)_Uranium'!$N:$N,$A27)*Legend!$B$91</f>
        <v>12977116</v>
      </c>
      <c r="N27" s="209">
        <f>SUMIFS('NEA(2020)_Uranium'!$E:$E,'NEA(2020)_Uranium'!$N:$N,$A27)*Legend!$B$91</f>
        <v>12977116</v>
      </c>
      <c r="O27" s="209">
        <f>SUMIFS('NEA(2020)_Uranium'!$I:$I,'NEA(2020)_Uranium'!$N:$N,$A27)*Legend!$B$91</f>
        <v>0</v>
      </c>
      <c r="P27" s="209">
        <f>SUMIFS('NEA(2020)_Uranium'!$J:$J,'NEA(2020)_Uranium'!$N:$N,$A27)*Legend!$B$91</f>
        <v>6118140</v>
      </c>
      <c r="Q27" s="209">
        <f>SUMIFS('NEA(2020)_Uranium'!$K:$K,'NEA(2020)_Uranium'!$N:$N,$A27)*Legend!$B$91</f>
        <v>10063716</v>
      </c>
      <c r="R27" s="220">
        <f>SUMIFS('NEA(2020)_Uranium'!$L:$L,'NEA(2020)_Uranium'!$N:$N,$A27)*Legend!$B$91</f>
        <v>10063716</v>
      </c>
    </row>
    <row r="28" spans="1:18">
      <c r="A28" s="215" t="s">
        <v>236</v>
      </c>
      <c r="B28" s="218" t="s">
        <v>237</v>
      </c>
      <c r="C28" s="219">
        <f>'EI(2024)_CoalRSV'!B9*Legend!$B$87</f>
        <v>29000</v>
      </c>
      <c r="D28" s="220">
        <f>'EI(2024)_CoalRSV'!C9*Legend!$B$87</f>
        <v>1275</v>
      </c>
      <c r="E28" s="219">
        <f>'EI(2024)_OilRSV'!$AO$8*Legend!$B$82*Legend!$B$84*10^3</f>
        <v>37117.119719999988</v>
      </c>
      <c r="F28" s="219">
        <f>$E28*SUMIFS('UN(2023)EnergyStat_OilProd'!$M$4:$M$31,'UN(2023)EnergyStat_OilProd'!$J$4:$J$31,$A28)</f>
        <v>34792.08027637082</v>
      </c>
      <c r="G28" s="220">
        <f>$E28*SUMIFS('UN(2023)EnergyStat_OilProd'!$N$4:$N$31,'UN(2023)EnergyStat_OilProd'!$J$4:$J$31,$A28)</f>
        <v>2325.0394436291704</v>
      </c>
      <c r="H28" s="233">
        <f>'EI(2024)_GasRSV'!$AO$8*Legend!$B$86*10^3</f>
        <v>6410.5180159680012</v>
      </c>
      <c r="I28" s="219">
        <f>H28*(('Welsby(2022)'!$D$5+'Welsby(2022)'!$D$6)/'Welsby(2022)'!$D$12)/(('Welsby(2022)'!$D$3+'Welsby(2022)'!$D$4)/'Welsby(2022)'!$D$12)</f>
        <v>6133.5203239200018</v>
      </c>
      <c r="J28" s="219">
        <f>H28*(('Welsby(2022)'!$D$7+'Welsby(2022)'!$D$8+'Welsby(2022)'!$D$9+'Welsby(2022)'!$D$10+'Welsby(2022)'!$D$11)/'Welsby(2022)'!$D$12)/(('Welsby(2022)'!$D$3+'Welsby(2022)'!$D$4)/'Welsby(2022)'!$D$12)</f>
        <v>22832.524044528003</v>
      </c>
      <c r="K28" s="219">
        <f>SUMIFS('NEA(2020)_Uranium'!$B:$B,'NEA(2020)_Uranium'!$N:$N,$A28)*Legend!$B$91</f>
        <v>0</v>
      </c>
      <c r="L28" s="209">
        <f>SUMIFS('NEA(2020)_Uranium'!$C:$C,'NEA(2020)_Uranium'!$N:$N,$A28)*Legend!$B$91</f>
        <v>0</v>
      </c>
      <c r="M28" s="209">
        <f>SUMIFS('NEA(2020)_Uranium'!$D:$D,'NEA(2020)_Uranium'!$N:$N,$A28)*Legend!$B$91</f>
        <v>149832</v>
      </c>
      <c r="N28" s="209">
        <f>SUMIFS('NEA(2020)_Uranium'!$E:$E,'NEA(2020)_Uranium'!$N:$N,$A28)*Legend!$B$91</f>
        <v>149832</v>
      </c>
      <c r="O28" s="209">
        <f>SUMIFS('NEA(2020)_Uranium'!$I:$I,'NEA(2020)_Uranium'!$N:$N,$A28)*Legend!$B$91</f>
        <v>0</v>
      </c>
      <c r="P28" s="209">
        <f>SUMIFS('NEA(2020)_Uranium'!$J:$J,'NEA(2020)_Uranium'!$N:$N,$A28)*Legend!$B$91</f>
        <v>0</v>
      </c>
      <c r="Q28" s="209">
        <f>SUMIFS('NEA(2020)_Uranium'!$K:$K,'NEA(2020)_Uranium'!$N:$N,$A28)*Legend!$B$91</f>
        <v>149832</v>
      </c>
      <c r="R28" s="220">
        <f>SUMIFS('NEA(2020)_Uranium'!$L:$L,'NEA(2020)_Uranium'!$N:$N,$A28)*Legend!$B$91</f>
        <v>266368</v>
      </c>
    </row>
    <row r="29" spans="1:18">
      <c r="A29" s="215" t="s">
        <v>200</v>
      </c>
      <c r="B29" s="218" t="s">
        <v>201</v>
      </c>
      <c r="C29" s="219">
        <f>('EI(2024)_CoalRSV'!B16*'Key inputs_EB_MIN'!$O$10/SUM('Key inputs_EB_MIN'!$Y$10,'Key inputs_EB_MIN'!$O$10))*Legend!$B$87</f>
        <v>411.67212084085634</v>
      </c>
      <c r="D29" s="220">
        <f>('EI(2024)_CoalRSV'!C16*'Key inputs_EB_MIN'!$O$11/SUM('Key inputs_EB_MIN'!$Y$11,'Key inputs_EB_MIN'!$O$11))*Legend!$B$87</f>
        <v>0</v>
      </c>
      <c r="E29" s="219">
        <f>'EI(2024)_OilRSV'!$AO$19*Legend!$B$82*Legend!$B$84*10^3</f>
        <v>4416.5297204392273</v>
      </c>
      <c r="F29" s="219">
        <f>$E29*SUMIFS('UN(2023)EnergyStat_OilProd'!$M$4:$M$31,'UN(2023)EnergyStat_OilProd'!$J$4:$J$31,$A29)</f>
        <v>1448.0364712806902</v>
      </c>
      <c r="G29" s="220">
        <f>$E29*SUMIFS('UN(2023)EnergyStat_OilProd'!$N$4:$N$31,'UN(2023)EnergyStat_OilProd'!$J$4:$J$31,$A29)</f>
        <v>2968.4932491585373</v>
      </c>
      <c r="H29" s="233">
        <f>('EI(2024)_GasRSV'!$AO$19)*Legend!$B$86*10^3</f>
        <v>1918.9736628007142</v>
      </c>
      <c r="I29" s="219">
        <f>H29*(('Welsby(2022)'!$D$5+'Welsby(2022)'!$D$6)/'Welsby(2022)'!$D$12)/(('Welsby(2022)'!$D$3+'Welsby(2022)'!$D$4)/'Welsby(2022)'!$D$12)</f>
        <v>1836.0550477414245</v>
      </c>
      <c r="J29" s="219">
        <f>H29*(('Welsby(2022)'!$D$7+'Welsby(2022)'!$D$8+'Welsby(2022)'!$D$9+'Welsby(2022)'!$D$10+'Welsby(2022)'!$D$11)/'Welsby(2022)'!$D$12)/(('Welsby(2022)'!$D$3+'Welsby(2022)'!$D$4)/'Welsby(2022)'!$D$12)</f>
        <v>6834.8629841729144</v>
      </c>
      <c r="K29" s="219">
        <f>SUMIFS('NEA(2020)_Uranium'!$B:$B,'NEA(2020)_Uranium'!$N:$N,$A29)*Legend!$B$91</f>
        <v>0</v>
      </c>
      <c r="L29" s="209">
        <f>SUMIFS('NEA(2020)_Uranium'!$C:$C,'NEA(2020)_Uranium'!$N:$N,$A29)*Legend!$B$91</f>
        <v>0</v>
      </c>
      <c r="M29" s="209">
        <f>SUMIFS('NEA(2020)_Uranium'!$D:$D,'NEA(2020)_Uranium'!$N:$N,$A29)*Legend!$B$91</f>
        <v>0</v>
      </c>
      <c r="N29" s="209">
        <f>SUMIFS('NEA(2020)_Uranium'!$E:$E,'NEA(2020)_Uranium'!$N:$N,$A29)*Legend!$B$91</f>
        <v>49944</v>
      </c>
      <c r="O29" s="209">
        <f>SUMIFS('NEA(2020)_Uranium'!$I:$I,'NEA(2020)_Uranium'!$N:$N,$A29)*Legend!$B$91</f>
        <v>0</v>
      </c>
      <c r="P29" s="209">
        <f>SUMIFS('NEA(2020)_Uranium'!$J:$J,'NEA(2020)_Uranium'!$N:$N,$A29)*Legend!$B$91</f>
        <v>0</v>
      </c>
      <c r="Q29" s="209">
        <f>SUMIFS('NEA(2020)_Uranium'!$K:$K,'NEA(2020)_Uranium'!$N:$N,$A29)*Legend!$B$91</f>
        <v>0</v>
      </c>
      <c r="R29" s="220">
        <f>SUMIFS('NEA(2020)_Uranium'!$L:$L,'NEA(2020)_Uranium'!$N:$N,$A29)*Legend!$B$91</f>
        <v>74916</v>
      </c>
    </row>
    <row r="30" spans="1:18">
      <c r="A30" s="215" t="s">
        <v>205</v>
      </c>
      <c r="B30" s="218" t="s">
        <v>206</v>
      </c>
      <c r="C30" s="221">
        <f>('EI(2024)_CoalRSV'!B29+'EI(2024)_CoalRSV'!B26)*Legend!$B$87</f>
        <v>811025</v>
      </c>
      <c r="D30" s="222">
        <f>('EI(2024)_CoalRSV'!C29+'EI(2024)_CoalRSV'!C26)*Legend!$B$87</f>
        <v>236200</v>
      </c>
      <c r="E30" s="219">
        <f>('EI(2024)_OilRSV'!$AO$36+'EI(2024)_OilRSV'!$AO$27*'Key inputs_EB_MIN'!$Q$18/SUM('Key inputs_EB_MIN'!$Q$18,'Key inputs_EB_MIN'!$S$18,'Key inputs_EB_MIN'!$T$18,'Key inputs_EB_MIN'!$U$18))*Legend!$B$82*Legend!$B$84*10^3</f>
        <v>3376.2714877705703</v>
      </c>
      <c r="F30" s="219">
        <f>$E30*SUMIFS('UN(2023)EnergyStat_OilProd'!$M$4:$M$31,'UN(2023)EnergyStat_OilProd'!$J$4:$J$31,$A30)</f>
        <v>2882.5114744879666</v>
      </c>
      <c r="G30" s="220">
        <f>$E30*SUMIFS('UN(2023)EnergyStat_OilProd'!$N$4:$N$31,'UN(2023)EnergyStat_OilProd'!$J$4:$J$31,$A30)</f>
        <v>493.76001328260384</v>
      </c>
      <c r="H30" s="233">
        <f>'EI(2024)_GasRSV'!$AO$29*Legend!$B$86*10^3</f>
        <v>39283.594817309291</v>
      </c>
      <c r="I30" s="219">
        <f>H30*(('Welsby(2022)'!$D$5+'Welsby(2022)'!$D$6)/'Welsby(2022)'!$D$12)/(('Welsby(2022)'!$D$3+'Welsby(2022)'!$D$4)/'Welsby(2022)'!$D$12)</f>
        <v>37586.155535079881</v>
      </c>
      <c r="J30" s="219">
        <f>H30*(('Welsby(2022)'!$D$7+'Welsby(2022)'!$D$8+'Welsby(2022)'!$D$9+'Welsby(2022)'!$D$10+'Welsby(2022)'!$D$11)/'Welsby(2022)'!$D$12)/(('Welsby(2022)'!$D$3+'Welsby(2022)'!$D$4)/'Welsby(2022)'!$D$12)</f>
        <v>139917.49512091026</v>
      </c>
      <c r="K30" s="219">
        <f>SUMIFS('NEA(2020)_Uranium'!$B:$B,'NEA(2020)_Uranium'!$N:$N,$A30)*Legend!$B$91</f>
        <v>0</v>
      </c>
      <c r="L30" s="209">
        <f>SUMIFS('NEA(2020)_Uranium'!$C:$C,'NEA(2020)_Uranium'!$N:$N,$A30)*Legend!$B$91</f>
        <v>3845687.9999999995</v>
      </c>
      <c r="M30" s="209">
        <f>SUMIFS('NEA(2020)_Uranium'!$D:$D,'NEA(2020)_Uranium'!$N:$N,$A30)*Legend!$B$91</f>
        <v>6234676</v>
      </c>
      <c r="N30" s="209">
        <f>SUMIFS('NEA(2020)_Uranium'!$E:$E,'NEA(2020)_Uranium'!$N:$N,$A30)*Legend!$B$91</f>
        <v>10163604</v>
      </c>
      <c r="O30" s="209">
        <f>SUMIFS('NEA(2020)_Uranium'!$I:$I,'NEA(2020)_Uranium'!$N:$N,$A30)*Legend!$B$91</f>
        <v>0</v>
      </c>
      <c r="P30" s="209">
        <f>SUMIFS('NEA(2020)_Uranium'!$J:$J,'NEA(2020)_Uranium'!$N:$N,$A30)*Legend!$B$91</f>
        <v>2222508</v>
      </c>
      <c r="Q30" s="209">
        <f>SUMIFS('NEA(2020)_Uranium'!$K:$K,'NEA(2020)_Uranium'!$N:$N,$A30)*Legend!$B$91</f>
        <v>2813512</v>
      </c>
      <c r="R30" s="220">
        <f>SUMIFS('NEA(2020)_Uranium'!$L:$L,'NEA(2020)_Uranium'!$N:$N,$A30)*Legend!$B$91</f>
        <v>5393952</v>
      </c>
    </row>
    <row r="31" spans="1:18">
      <c r="A31" s="215" t="s">
        <v>208</v>
      </c>
      <c r="B31" s="218" t="s">
        <v>209</v>
      </c>
      <c r="C31" s="505">
        <f>('EI(2024)_CoalRSV'!B30+'EI(2024)_CoalRSV'!B31*'Key inputs_EB_MIN'!$R$10/SUM('Key inputs_EB_MIN'!$R$10,'Key inputs_EB_MIN'!$U$10,'Key inputs_EB_MIN'!$T$10))*Legend!$B$87</f>
        <v>28375</v>
      </c>
      <c r="D31" s="506">
        <f>('EI(2024)_CoalRSV'!C30+'EI(2024)_CoalRSV'!C31*'Key inputs_EB_MIN'!$T$11/SUM('Key inputs_EB_MIN'!$R$11,'Key inputs_EB_MIN'!$U$11,'Key inputs_EB_MIN'!$T$11))*Legend!$B$87</f>
        <v>12052.871478616787</v>
      </c>
      <c r="E31" s="219">
        <f>('EI(2024)_OilRSV'!$AO$24+'EI(2024)_OilRSV'!$AO$26)*Legend!$B$82*Legend!$B$84*10^3</f>
        <v>67449.673507079147</v>
      </c>
      <c r="F31" s="219">
        <f>$E31*SUMIFS('UN(2023)EnergyStat_OilProd'!$M$4:$M$31,'UN(2023)EnergyStat_OilProd'!$J$4:$J$31,$A31)</f>
        <v>61030.099718102982</v>
      </c>
      <c r="G31" s="220">
        <f>$E31*SUMIFS('UN(2023)EnergyStat_OilProd'!$N$4:$N$31,'UN(2023)EnergyStat_OilProd'!$J$4:$J$31,$A31)</f>
        <v>6419.5737889761649</v>
      </c>
      <c r="H31" s="233">
        <f>('EI(2024)_GasRSV'!$AO$26+'EI(2024)_GasRSV'!$AO$30)*Legend!$B$86*10^3</f>
        <v>61907.666139715584</v>
      </c>
      <c r="I31" s="219">
        <f>H31*(('Welsby(2022)'!$D$5+'Welsby(2022)'!$D$6)/'Welsby(2022)'!$D$12)/(('Welsby(2022)'!$D$3+'Welsby(2022)'!$D$4)/'Welsby(2022)'!$D$12)</f>
        <v>59232.643528740227</v>
      </c>
      <c r="J31" s="219">
        <f>H31*(('Welsby(2022)'!$D$7+'Welsby(2022)'!$D$8+'Welsby(2022)'!$D$9+'Welsby(2022)'!$D$10+'Welsby(2022)'!$D$11)/'Welsby(2022)'!$D$12)/(('Welsby(2022)'!$D$3+'Welsby(2022)'!$D$4)/'Welsby(2022)'!$D$12)</f>
        <v>220498.29236182649</v>
      </c>
      <c r="K31" s="219">
        <f>SUMIFS('NEA(2020)_Uranium'!$B:$B,'NEA(2020)_Uranium'!$N:$N,$A31)*Legend!$B$91</f>
        <v>0</v>
      </c>
      <c r="L31" s="209">
        <f>SUMIFS('NEA(2020)_Uranium'!$C:$C,'NEA(2020)_Uranium'!$N:$N,$A31)*Legend!$B$91</f>
        <v>0</v>
      </c>
      <c r="M31" s="209">
        <f>SUMIFS('NEA(2020)_Uranium'!$D:$D,'NEA(2020)_Uranium'!$N:$N,$A31)*Legend!$B$91</f>
        <v>0</v>
      </c>
      <c r="N31" s="209">
        <f>SUMIFS('NEA(2020)_Uranium'!$E:$E,'NEA(2020)_Uranium'!$N:$N,$A31)*Legend!$B$91</f>
        <v>0</v>
      </c>
      <c r="O31" s="209">
        <f>SUMIFS('NEA(2020)_Uranium'!$I:$I,'NEA(2020)_Uranium'!$N:$N,$A31)*Legend!$B$91</f>
        <v>0</v>
      </c>
      <c r="P31" s="209">
        <f>SUMIFS('NEA(2020)_Uranium'!$J:$J,'NEA(2020)_Uranium'!$N:$N,$A31)*Legend!$B$91</f>
        <v>0</v>
      </c>
      <c r="Q31" s="209">
        <f>SUMIFS('NEA(2020)_Uranium'!$K:$K,'NEA(2020)_Uranium'!$N:$N,$A31)*Legend!$B$91</f>
        <v>0</v>
      </c>
      <c r="R31" s="220">
        <f>SUMIFS('NEA(2020)_Uranium'!$L:$L,'NEA(2020)_Uranium'!$N:$N,$A31)*Legend!$B$91</f>
        <v>0</v>
      </c>
    </row>
    <row r="32" spans="1:18">
      <c r="A32" s="215" t="s">
        <v>211</v>
      </c>
      <c r="B32" s="218" t="s">
        <v>212</v>
      </c>
      <c r="C32" s="505">
        <f>('EI(2024)_CoalRSV'!B19+'EI(2024)_CoalRSV'!B20+'EI(2024)_CoalRSV'!B23+'EI(2024)_CoalRSV'!B24+'EI(2024)_CoalRSV'!B25)*Legend!$B$87</f>
        <v>602250</v>
      </c>
      <c r="D32" s="506">
        <f>('EI(2024)_CoalRSV'!C19+'EI(2024)_CoalRSV'!C20+'EI(2024)_CoalRSV'!C23+'EI(2024)_CoalRSV'!C24+'EI(2024)_CoalRSV'!C25)*Legend!$B$87</f>
        <v>336650</v>
      </c>
      <c r="E32" s="219">
        <f>('EI(2024)_OilRSV'!$AO$25+'EI(2024)_OilRSV'!$AO$27*'Key inputs_EB_MIN'!$S$18/SUM('Key inputs_EB_MIN'!$Q$18,'Key inputs_EB_MIN'!$S$18,'Key inputs_EB_MIN'!$T$18,'Key inputs_EB_MIN'!$U$18))*Legend!$B$82*Legend!$B$84*10^3</f>
        <v>5899.7608833081595</v>
      </c>
      <c r="F32" s="219">
        <f>$E32*SUMIFS('UN(2023)EnergyStat_OilProd'!$M$4:$M$31,'UN(2023)EnergyStat_OilProd'!$J$4:$J$31,$A32)</f>
        <v>5559.3493490913852</v>
      </c>
      <c r="G32" s="220">
        <f>$E32*SUMIFS('UN(2023)EnergyStat_OilProd'!$N$4:$N$31,'UN(2023)EnergyStat_OilProd'!$J$4:$J$31,$A32)</f>
        <v>340.41153421677342</v>
      </c>
      <c r="H32" s="233">
        <f>('EI(2024)_GasRSV'!$AO$27+'EI(2024)_GasRSV'!$AO$28+'EI(2024)_GasRSV'!$AO$31*'Key inputs_EB_MIN'!$S$12/SUM('Key inputs_EB_MIN'!$S$12,'Key inputs_EB_MIN'!$T$12,'Key inputs_EB_MIN'!$U$12))*Legend!$B$86*10^3</f>
        <v>6313.6937802484472</v>
      </c>
      <c r="I32" s="219">
        <f>H32*(('Welsby(2022)'!$D$5+'Welsby(2022)'!$D$6)/'Welsby(2022)'!$D$12)/(('Welsby(2022)'!$D$3+'Welsby(2022)'!$D$4)/'Welsby(2022)'!$D$12)</f>
        <v>6040.8798514722803</v>
      </c>
      <c r="J32" s="219">
        <f>H32*(('Welsby(2022)'!$D$7+'Welsby(2022)'!$D$8+'Welsby(2022)'!$D$9+'Welsby(2022)'!$D$10+'Welsby(2022)'!$D$11)/'Welsby(2022)'!$D$12)/(('Welsby(2022)'!$D$3+'Welsby(2022)'!$D$4)/'Welsby(2022)'!$D$12)</f>
        <v>22487.662414835519</v>
      </c>
      <c r="K32" s="219">
        <f>SUMIFS('NEA(2020)_Uranium'!$B:$B,'NEA(2020)_Uranium'!$N:$N,$A32)*Legend!$B$91</f>
        <v>0</v>
      </c>
      <c r="L32" s="209">
        <f>SUMIFS('NEA(2020)_Uranium'!$C:$C,'NEA(2020)_Uranium'!$N:$N,$A32)*Legend!$B$91</f>
        <v>874020</v>
      </c>
      <c r="M32" s="209">
        <f>SUMIFS('NEA(2020)_Uranium'!$D:$D,'NEA(2020)_Uranium'!$N:$N,$A32)*Legend!$B$91</f>
        <v>1198656</v>
      </c>
      <c r="N32" s="209">
        <f>SUMIFS('NEA(2020)_Uranium'!$E:$E,'NEA(2020)_Uranium'!$N:$N,$A32)*Legend!$B$91</f>
        <v>5360656</v>
      </c>
      <c r="O32" s="209">
        <f>SUMIFS('NEA(2020)_Uranium'!$I:$I,'NEA(2020)_Uranium'!$N:$N,$A32)*Legend!$B$91</f>
        <v>0</v>
      </c>
      <c r="P32" s="209">
        <f>SUMIFS('NEA(2020)_Uranium'!$J:$J,'NEA(2020)_Uranium'!$N:$N,$A32)*Legend!$B$91</f>
        <v>640948</v>
      </c>
      <c r="Q32" s="209">
        <f>SUMIFS('NEA(2020)_Uranium'!$K:$K,'NEA(2020)_Uranium'!$N:$N,$A32)*Legend!$B$91</f>
        <v>1481672</v>
      </c>
      <c r="R32" s="220">
        <f>SUMIFS('NEA(2020)_Uranium'!$L:$L,'NEA(2020)_Uranium'!$N:$N,$A32)*Legend!$B$91</f>
        <v>8290703.9999999991</v>
      </c>
    </row>
    <row r="33" spans="1:19">
      <c r="A33" s="215" t="s">
        <v>217</v>
      </c>
      <c r="B33" s="218" t="s">
        <v>218</v>
      </c>
      <c r="C33" s="505">
        <f>('EI(2024)_CoalRSV'!B21+'EI(2024)_CoalRSV'!B31*'Key inputs_EB_MIN'!$U$10/SUM('Key inputs_EB_MIN'!$R$10,'Key inputs_EB_MIN'!$U$10,'Key inputs_EB_MIN'!$T$10))*Legend!$B$87</f>
        <v>0</v>
      </c>
      <c r="D33" s="506">
        <f>('EI(2024)_CoalRSV'!C21+'EI(2024)_CoalRSV'!C31*'Key inputs_EB_MIN'!$U$11/SUM('Key inputs_EB_MIN'!$R$11,'Key inputs_EB_MIN'!$U$11,'Key inputs_EB_MIN'!$T$11))*Legend!$B$87</f>
        <v>1014747.1285213833</v>
      </c>
      <c r="E33" s="219">
        <f>('EI(2024)_OilRSV'!$AO$22+'EI(2024)_OilRSV'!$AO$27*'Key inputs_EB_MIN'!$U$18/SUM('Key inputs_EB_MIN'!$Q$18,'Key inputs_EB_MIN'!$S$18,'Key inputs_EB_MIN'!$T$18,'Key inputs_EB_MIN'!$U$18))*Legend!$B$82*Legend!$B$84*10^3</f>
        <v>6221.5850951643597</v>
      </c>
      <c r="F33" s="219">
        <f>$E33*SUMIFS('UN(2023)EnergyStat_OilProd'!$M$4:$M$31,'UN(2023)EnergyStat_OilProd'!$J$4:$J$31,$A33)</f>
        <v>6126.270243374549</v>
      </c>
      <c r="G33" s="220">
        <f>$E33*SUMIFS('UN(2023)EnergyStat_OilProd'!$N$4:$N$31,'UN(2023)EnergyStat_OilProd'!$J$4:$J$31,$A33)</f>
        <v>95.314851789810263</v>
      </c>
      <c r="H33" s="233">
        <f>('EI(2024)_GasRSV'!$AO$23+'EI(2024)_GasRSV'!$AO$25+'EI(2024)_GasRSV'!$AO$22+'EI(2024)_GasRSV'!$AO$31*'Key inputs_EB_MIN'!$U$12/SUM('Key inputs_EB_MIN'!$S$12,'Key inputs_EB_MIN'!$T$12,'Key inputs_EB_MIN'!$U$12))*Legend!$B$86*10^3</f>
        <v>8642.9613045289771</v>
      </c>
      <c r="I33" s="219">
        <f>H33*(('Welsby(2022)'!$D$5+'Welsby(2022)'!$D$6)/'Welsby(2022)'!$D$12)/(('Welsby(2022)'!$D$3+'Welsby(2022)'!$D$4)/'Welsby(2022)'!$D$12)</f>
        <v>8269.500013592542</v>
      </c>
      <c r="J33" s="219">
        <f>H33*(('Welsby(2022)'!$D$7+'Welsby(2022)'!$D$8+'Welsby(2022)'!$D$9+'Welsby(2022)'!$D$10+'Welsby(2022)'!$D$11)/'Welsby(2022)'!$D$12)/(('Welsby(2022)'!$D$3+'Welsby(2022)'!$D$4)/'Welsby(2022)'!$D$12)</f>
        <v>30783.880695760614</v>
      </c>
      <c r="K33" s="219">
        <f>SUMIFS('NEA(2020)_Uranium'!$B:$B,'NEA(2020)_Uranium'!$N:$N,$A33)*Legend!$B$91</f>
        <v>0</v>
      </c>
      <c r="L33" s="209">
        <f>SUMIFS('NEA(2020)_Uranium'!$C:$C,'NEA(2020)_Uranium'!$N:$N,$A33)*Legend!$B$91</f>
        <v>0</v>
      </c>
      <c r="M33" s="209">
        <f>SUMIFS('NEA(2020)_Uranium'!$D:$D,'NEA(2020)_Uranium'!$N:$N,$A33)*Legend!$B$91</f>
        <v>507763.99999999994</v>
      </c>
      <c r="N33" s="209">
        <f>SUMIFS('NEA(2020)_Uranium'!$E:$E,'NEA(2020)_Uranium'!$N:$N,$A33)*Legend!$B$91</f>
        <v>5036020</v>
      </c>
      <c r="O33" s="209">
        <f>SUMIFS('NEA(2020)_Uranium'!$I:$I,'NEA(2020)_Uranium'!$N:$N,$A33)*Legend!$B$91</f>
        <v>0</v>
      </c>
      <c r="P33" s="209">
        <f>SUMIFS('NEA(2020)_Uranium'!$J:$J,'NEA(2020)_Uranium'!$N:$N,$A33)*Legend!$B$91</f>
        <v>0</v>
      </c>
      <c r="Q33" s="209">
        <f>SUMIFS('NEA(2020)_Uranium'!$K:$K,'NEA(2020)_Uranium'!$N:$N,$A33)*Legend!$B$91</f>
        <v>391228</v>
      </c>
      <c r="R33" s="220">
        <f>SUMIFS('NEA(2020)_Uranium'!$L:$L,'NEA(2020)_Uranium'!$N:$N,$A33)*Legend!$B$91</f>
        <v>5935012</v>
      </c>
    </row>
    <row r="34" spans="1:19">
      <c r="A34" s="215" t="s">
        <v>214</v>
      </c>
      <c r="B34" s="218" t="s">
        <v>215</v>
      </c>
      <c r="C34" s="505">
        <f>('EI(2024)_CoalRSV'!B22+'EI(2024)_CoalRSV'!B27+'EI(2024)_CoalRSV'!B31*'Key inputs_EB_MIN'!$T$10/SUM('Key inputs_EB_MIN'!$R$10,'Key inputs_EB_MIN'!$U$10,'Key inputs_EB_MIN'!$T$10))*Legend!$B$87</f>
        <v>21700.000000000004</v>
      </c>
      <c r="D34" s="506">
        <f>('EI(2024)_CoalRSV'!C22+'EI(2024)_CoalRSV'!C27+'EI(2024)_CoalRSV'!C31*'Key inputs_EB_MIN'!$R$11/SUM('Key inputs_EB_MIN'!$R$11,'Key inputs_EB_MIN'!$U$11,'Key inputs_EB_MIN'!$T$11))*Legend!$B$87</f>
        <v>79875</v>
      </c>
      <c r="E34" s="219">
        <f>('EI(2024)_OilRSV'!$AO$23+'EI(2024)_OilRSV'!$AO$27*'Key inputs_EB_MIN'!$T$18/SUM('Key inputs_EB_MIN'!$Q$18,'Key inputs_EB_MIN'!$S$18,'Key inputs_EB_MIN'!$T$18,'Key inputs_EB_MIN'!$U$18))*Legend!$B$82*Legend!$B$84*10^3</f>
        <v>5446.1529112815106</v>
      </c>
      <c r="F34" s="219">
        <f>$E34*SUMIFS('UN(2023)EnergyStat_OilProd'!$M$4:$M$31,'UN(2023)EnergyStat_OilProd'!$J$4:$J$31,$A34)</f>
        <v>5446.1529112815106</v>
      </c>
      <c r="G34" s="220">
        <f>$E34*SUMIFS('UN(2023)EnergyStat_OilProd'!$N$4:$N$31,'UN(2023)EnergyStat_OilProd'!$J$4:$J$31,$A34)</f>
        <v>0</v>
      </c>
      <c r="H34" s="233">
        <f>('EI(2024)_GasRSV'!$AO$24+'EI(2024)_GasRSV'!$AO$31*'Key inputs_EB_MIN'!$T$12/SUM('Key inputs_EB_MIN'!$S$12,'Key inputs_EB_MIN'!$T$12,'Key inputs_EB_MIN'!$U$12))*Legend!$B$86*10^3</f>
        <v>1822.6557046028433</v>
      </c>
      <c r="I34" s="219">
        <f>H34*(('Welsby(2022)'!$D$5+'Welsby(2022)'!$D$6)/'Welsby(2022)'!$D$12)/(('Welsby(2022)'!$D$3+'Welsby(2022)'!$D$4)/'Welsby(2022)'!$D$12)</f>
        <v>1743.8989766261775</v>
      </c>
      <c r="J34" s="219">
        <f>H34*(('Welsby(2022)'!$D$7+'Welsby(2022)'!$D$8+'Welsby(2022)'!$D$9+'Welsby(2022)'!$D$10+'Welsby(2022)'!$D$11)/'Welsby(2022)'!$D$12)/(('Welsby(2022)'!$D$3+'Welsby(2022)'!$D$4)/'Welsby(2022)'!$D$12)</f>
        <v>6491.8045775051896</v>
      </c>
      <c r="K34" s="219">
        <f>SUMIFS('NEA(2020)_Uranium'!$B:$B,'NEA(2020)_Uranium'!$N:$N,$A34)*Legend!$B$91</f>
        <v>674244</v>
      </c>
      <c r="L34" s="209">
        <f>SUMIFS('NEA(2020)_Uranium'!$C:$C,'NEA(2020)_Uranium'!$N:$N,$A34)*Legend!$B$91</f>
        <v>2364016</v>
      </c>
      <c r="M34" s="209">
        <f>SUMIFS('NEA(2020)_Uranium'!$D:$D,'NEA(2020)_Uranium'!$N:$N,$A34)*Legend!$B$91</f>
        <v>2488876</v>
      </c>
      <c r="N34" s="209">
        <f>SUMIFS('NEA(2020)_Uranium'!$E:$E,'NEA(2020)_Uranium'!$N:$N,$A34)*Legend!$B$91</f>
        <v>2572116</v>
      </c>
      <c r="O34" s="209">
        <f>SUMIFS('NEA(2020)_Uranium'!$I:$I,'NEA(2020)_Uranium'!$N:$N,$A34)*Legend!$B$91</f>
        <v>0</v>
      </c>
      <c r="P34" s="209">
        <f>SUMIFS('NEA(2020)_Uranium'!$J:$J,'NEA(2020)_Uranium'!$N:$N,$A34)*Legend!$B$91</f>
        <v>890668</v>
      </c>
      <c r="Q34" s="209">
        <f>SUMIFS('NEA(2020)_Uranium'!$K:$K,'NEA(2020)_Uranium'!$N:$N,$A34)*Legend!$B$91</f>
        <v>973907.99999999988</v>
      </c>
      <c r="R34" s="220">
        <f>SUMIFS('NEA(2020)_Uranium'!$L:$L,'NEA(2020)_Uranium'!$N:$N,$A34)*Legend!$B$91</f>
        <v>1473348</v>
      </c>
    </row>
    <row r="35" spans="1:19">
      <c r="A35" s="215" t="s">
        <v>233</v>
      </c>
      <c r="B35" s="218" t="s">
        <v>234</v>
      </c>
      <c r="C35" s="219">
        <f>('EI(2024)_CoalRSV'!B43*'Key inputs_EB_MIN'!$AA$10/SUM('Key inputs_EB_MIN'!$Z$10,'Key inputs_EB_MIN'!$AA$10))*Legend!$B$87</f>
        <v>15039.044366848106</v>
      </c>
      <c r="D35" s="220">
        <f>('EI(2024)_CoalRSV'!C43*'Key inputs_EB_MIN'!$AA$11/SUM('Key inputs_EB_MIN'!$Z$11,'Key inputs_EB_MIN'!$AA$11))*Legend!$B$87+10</f>
        <v>10</v>
      </c>
      <c r="E35" s="219">
        <f>('EI(2024)_OilRSV'!$AO$39+'EI(2024)_OilRSV'!$AO$44+'EI(2024)_OilRSV'!$AO$46+'EI(2024)_OilRSV'!$AO$40+'EI(2024)_OilRSV'!$AO$43+'EI(2024)_OilRSV'!$AO$41+'EI(2024)_OilRSV'!$AO$42+'EI(2024)_OilRSV'!$AO$47)*Legend!$B$82*Legend!$B$84*10^3</f>
        <v>5099048.3660000004</v>
      </c>
      <c r="F35" s="219">
        <f>$E35*SUMIFS('UN(2023)EnergyStat_OilProd'!$M$4:$M$31,'UN(2023)EnergyStat_OilProd'!$J$4:$J$31,$A35)</f>
        <v>4440196.1107929749</v>
      </c>
      <c r="G35" s="220">
        <f>$E35*SUMIFS('UN(2023)EnergyStat_OilProd'!$N$4:$N$31,'UN(2023)EnergyStat_OilProd'!$J$4:$J$31,$A35)</f>
        <v>658852.25520702545</v>
      </c>
      <c r="H35" s="233">
        <f>('EI(2024)_GasRSV'!$AO$44+'EI(2024)_GasRSV'!$AO$50+'EI(2024)_GasRSV'!$AO$52+'EI(2024)_GasRSV'!$AO$45+'EI(2024)_GasRSV'!$AO$49+'EI(2024)_GasRSV'!$AO$47+'EI(2024)_GasRSV'!$AO$48+'EI(2024)_GasRSV'!$AO$43+'EI(2024)_GasRSV'!$AO$53)*Legend!$B$86*10^3</f>
        <v>2697229.4612552519</v>
      </c>
      <c r="I35" s="219">
        <f>H35*(('Welsby(2022)'!$D$5+'Welsby(2022)'!$D$6)/'Welsby(2022)'!$D$12)/(('Welsby(2022)'!$D$3+'Welsby(2022)'!$D$4)/'Welsby(2022)'!$D$12)</f>
        <v>2580682.5092257042</v>
      </c>
      <c r="J35" s="219">
        <f>H35*(('Welsby(2022)'!$D$7+'Welsby(2022)'!$D$8+'Welsby(2022)'!$D$9+'Welsby(2022)'!$D$10+'Welsby(2022)'!$D$11)/'Welsby(2022)'!$D$12)/(('Welsby(2022)'!$D$3+'Welsby(2022)'!$D$4)/'Welsby(2022)'!$D$12)</f>
        <v>9606798.7601498794</v>
      </c>
      <c r="K35" s="219">
        <f>SUMIFS('NEA(2020)_Uranium'!$B:$B,'NEA(2020)_Uranium'!$N:$N,$A35)*Legend!$B$91</f>
        <v>0</v>
      </c>
      <c r="L35" s="209">
        <f>SUMIFS('NEA(2020)_Uranium'!$C:$C,'NEA(2020)_Uranium'!$N:$N,$A35)*Legend!$B$91</f>
        <v>0</v>
      </c>
      <c r="M35" s="209">
        <f>SUMIFS('NEA(2020)_Uranium'!$D:$D,'NEA(2020)_Uranium'!$N:$N,$A35)*Legend!$B$91</f>
        <v>266368</v>
      </c>
      <c r="N35" s="209">
        <f>SUMIFS('NEA(2020)_Uranium'!$E:$E,'NEA(2020)_Uranium'!$N:$N,$A35)*Legend!$B$91</f>
        <v>266368</v>
      </c>
      <c r="O35" s="209">
        <f>SUMIFS('NEA(2020)_Uranium'!$I:$I,'NEA(2020)_Uranium'!$N:$N,$A35)*Legend!$B$91</f>
        <v>0</v>
      </c>
      <c r="P35" s="209">
        <f>SUMIFS('NEA(2020)_Uranium'!$J:$J,'NEA(2020)_Uranium'!$N:$N,$A35)*Legend!$B$91</f>
        <v>0</v>
      </c>
      <c r="Q35" s="209">
        <f>SUMIFS('NEA(2020)_Uranium'!$K:$K,'NEA(2020)_Uranium'!$N:$N,$A35)*Legend!$B$91</f>
        <v>349608</v>
      </c>
      <c r="R35" s="220">
        <f>SUMIFS('NEA(2020)_Uranium'!$L:$L,'NEA(2020)_Uranium'!$N:$N,$A35)*Legend!$B$91</f>
        <v>349608</v>
      </c>
    </row>
    <row r="36" spans="1:19">
      <c r="A36" s="229" t="s">
        <v>230</v>
      </c>
      <c r="B36" s="230" t="s">
        <v>231</v>
      </c>
      <c r="C36" s="223">
        <f>('EI(2024)_CoalRSV'!B28+'EI(2024)_CoalRSV'!B43*'Key inputs_EB_MIN'!$Z$10/SUM('Key inputs_EB_MIN'!$Z$10,'Key inputs_EB_MIN'!$AA$10))*Legend!$B$87</f>
        <v>28785.955633151894</v>
      </c>
      <c r="D36" s="224">
        <f>('EI(2024)_CoalRSV'!C28+'EI(2024)_CoalRSV'!C43*'Key inputs_EB_MIN'!$Z$11/SUM('Key inputs_EB_MIN'!$Z$11,'Key inputs_EB_MIN'!$AA$11))*Legend!$B$87</f>
        <v>274375</v>
      </c>
      <c r="E36" s="223">
        <f>('EI(2024)_OilRSV'!$AO$48+'EI(2024)_OilRSV'!$AO$45)*Legend!$B$82*Legend!$B$84*10^3</f>
        <v>16487.217169999996</v>
      </c>
      <c r="F36" s="223">
        <f>$E36*SUMIFS('UN(2023)EnergyStat_OilProd'!$M$4:$M$31,'UN(2023)EnergyStat_OilProd'!$J$4:$J$31,$A36)</f>
        <v>16174.403401942243</v>
      </c>
      <c r="G36" s="224">
        <f>$E36*SUMIFS('UN(2023)EnergyStat_OilProd'!$N$4:$N$31,'UN(2023)EnergyStat_OilProd'!$J$4:$J$31,$A36)</f>
        <v>312.81376805775244</v>
      </c>
      <c r="H36" s="234">
        <f>('EI(2024)_GasRSV'!$AO$46+'EI(2024)_GasRSV'!$AO$51+'EI(2024)_GasRSV'!$AO$54)*Legend!$B$86*10^3</f>
        <v>30241.337837230156</v>
      </c>
      <c r="I36" s="223">
        <f>H36*(('Welsby(2022)'!$D$5+'Welsby(2022)'!$D$6)/'Welsby(2022)'!$D$12)/(('Welsby(2022)'!$D$3+'Welsby(2022)'!$D$4)/'Welsby(2022)'!$D$12)</f>
        <v>28934.61336278194</v>
      </c>
      <c r="J36" s="223">
        <f>H36*(('Welsby(2022)'!$D$7+'Welsby(2022)'!$D$8+'Welsby(2022)'!$D$9+'Welsby(2022)'!$D$10+'Welsby(2022)'!$D$11)/'Welsby(2022)'!$D$12)/(('Welsby(2022)'!$D$3+'Welsby(2022)'!$D$4)/'Welsby(2022)'!$D$12)</f>
        <v>107711.43167951728</v>
      </c>
      <c r="K36" s="223">
        <f>SUMIFS('NEA(2020)_Uranium'!$B:$B,'NEA(2020)_Uranium'!$N:$N,$A36)*Legend!$B$91</f>
        <v>0</v>
      </c>
      <c r="L36" s="226">
        <f>SUMIFS('NEA(2020)_Uranium'!$C:$C,'NEA(2020)_Uranium'!$N:$N,$A36)*Legend!$B$91</f>
        <v>0</v>
      </c>
      <c r="M36" s="226">
        <f>SUMIFS('NEA(2020)_Uranium'!$D:$D,'NEA(2020)_Uranium'!$N:$N,$A36)*Legend!$B$91</f>
        <v>807428</v>
      </c>
      <c r="N36" s="226">
        <f>SUMIFS('NEA(2020)_Uranium'!$E:$E,'NEA(2020)_Uranium'!$N:$N,$A36)*Legend!$B$91</f>
        <v>807428</v>
      </c>
      <c r="O36" s="226">
        <f>SUMIFS('NEA(2020)_Uranium'!$I:$I,'NEA(2020)_Uranium'!$N:$N,$A36)*Legend!$B$91</f>
        <v>0</v>
      </c>
      <c r="P36" s="226">
        <f>SUMIFS('NEA(2020)_Uranium'!$J:$J,'NEA(2020)_Uranium'!$N:$N,$A36)*Legend!$B$91</f>
        <v>0</v>
      </c>
      <c r="Q36" s="226">
        <f>SUMIFS('NEA(2020)_Uranium'!$K:$K,'NEA(2020)_Uranium'!$N:$N,$A36)*Legend!$B$91</f>
        <v>4603172</v>
      </c>
      <c r="R36" s="224">
        <f>SUMIFS('NEA(2020)_Uranium'!$L:$L,'NEA(2020)_Uranium'!$N:$N,$A36)*Legend!$B$91</f>
        <v>4694736</v>
      </c>
    </row>
    <row r="37" spans="1:19">
      <c r="K37" s="176"/>
      <c r="L37" s="176"/>
      <c r="M37" s="176"/>
      <c r="N37" s="176"/>
      <c r="O37" s="176"/>
      <c r="P37" s="176"/>
      <c r="Q37" s="176"/>
      <c r="R37" s="176"/>
    </row>
    <row r="38" spans="1:19">
      <c r="B38" t="s">
        <v>816</v>
      </c>
      <c r="K38" s="176"/>
      <c r="L38" s="176"/>
      <c r="M38" s="176"/>
      <c r="N38" s="176"/>
      <c r="O38" s="176"/>
      <c r="P38" s="176"/>
      <c r="Q38" s="176"/>
      <c r="R38" s="176"/>
    </row>
    <row r="39" spans="1:19">
      <c r="A39" t="s">
        <v>817</v>
      </c>
      <c r="B39" s="433">
        <v>0.4</v>
      </c>
      <c r="K39" s="176"/>
      <c r="L39" s="176"/>
      <c r="M39" s="176"/>
      <c r="N39" s="176"/>
      <c r="O39" s="176"/>
      <c r="P39" s="176"/>
      <c r="Q39" s="176"/>
      <c r="R39" s="176"/>
    </row>
    <row r="40" spans="1:19">
      <c r="A40" t="s">
        <v>818</v>
      </c>
      <c r="B40" s="433">
        <v>0.2</v>
      </c>
      <c r="K40" s="176"/>
      <c r="L40" s="176"/>
      <c r="M40" s="176"/>
      <c r="N40" s="176"/>
      <c r="O40" s="176"/>
      <c r="P40" s="176"/>
      <c r="Q40" s="176"/>
      <c r="R40" s="176"/>
    </row>
    <row r="41" spans="1:19">
      <c r="K41" s="176"/>
      <c r="L41" s="176"/>
      <c r="M41" s="176"/>
      <c r="N41" s="176"/>
      <c r="O41" s="176"/>
      <c r="P41" s="176"/>
      <c r="Q41" s="176"/>
      <c r="R41" s="176"/>
    </row>
    <row r="42" spans="1:19">
      <c r="K42" s="176"/>
      <c r="L42" s="176"/>
      <c r="M42" s="176"/>
      <c r="N42" s="176"/>
      <c r="O42" s="176"/>
      <c r="P42" s="176"/>
      <c r="Q42" s="176"/>
      <c r="R42" s="176"/>
    </row>
    <row r="43" spans="1:19">
      <c r="E43" s="174"/>
      <c r="F43" s="174"/>
      <c r="G43" s="174"/>
      <c r="J43" s="173"/>
      <c r="K43" s="174"/>
      <c r="L43" s="174"/>
      <c r="M43" s="174"/>
      <c r="N43" s="174"/>
      <c r="O43" s="174"/>
      <c r="P43" s="174"/>
      <c r="Q43" s="174"/>
      <c r="R43" s="174"/>
    </row>
    <row r="44" spans="1:19">
      <c r="G44" s="173"/>
      <c r="J44" s="173"/>
    </row>
    <row r="45" spans="1:19" ht="10.5" customHeight="1">
      <c r="A45" s="345" t="s">
        <v>819</v>
      </c>
      <c r="E45" s="173"/>
      <c r="F45" s="173"/>
      <c r="J45" s="173"/>
      <c r="L45" s="251"/>
      <c r="O45" s="251"/>
    </row>
    <row r="46" spans="1:19">
      <c r="G46" s="173"/>
      <c r="H46" s="107"/>
    </row>
    <row r="47" spans="1:19">
      <c r="A47" s="387"/>
      <c r="B47" s="587" t="s">
        <v>776</v>
      </c>
      <c r="C47" s="587"/>
      <c r="D47" s="587"/>
      <c r="E47" s="588" t="s">
        <v>418</v>
      </c>
      <c r="F47" s="587"/>
      <c r="G47" s="589"/>
      <c r="H47" s="388" t="s">
        <v>820</v>
      </c>
      <c r="I47" s="388"/>
      <c r="J47" s="389"/>
      <c r="K47" s="388" t="s">
        <v>821</v>
      </c>
      <c r="L47" s="388"/>
      <c r="M47" s="389"/>
      <c r="N47" s="388" t="s">
        <v>822</v>
      </c>
      <c r="O47" s="388"/>
      <c r="P47" s="389"/>
      <c r="Q47" s="174"/>
      <c r="R47" s="174"/>
      <c r="S47" s="174"/>
    </row>
    <row r="48" spans="1:19">
      <c r="A48" s="216"/>
      <c r="B48" s="387" t="s">
        <v>823</v>
      </c>
      <c r="C48" s="388" t="s">
        <v>824</v>
      </c>
      <c r="D48" s="388" t="s">
        <v>825</v>
      </c>
      <c r="E48" s="387" t="s">
        <v>823</v>
      </c>
      <c r="F48" s="388" t="s">
        <v>824</v>
      </c>
      <c r="G48" s="389" t="s">
        <v>825</v>
      </c>
      <c r="H48" s="388" t="s">
        <v>823</v>
      </c>
      <c r="I48" s="388" t="s">
        <v>824</v>
      </c>
      <c r="J48" s="389" t="s">
        <v>825</v>
      </c>
      <c r="K48" s="388" t="s">
        <v>823</v>
      </c>
      <c r="L48" s="388" t="s">
        <v>824</v>
      </c>
      <c r="M48" s="389" t="s">
        <v>825</v>
      </c>
      <c r="N48" s="388" t="s">
        <v>823</v>
      </c>
      <c r="O48" s="388" t="s">
        <v>824</v>
      </c>
      <c r="P48" s="389" t="s">
        <v>825</v>
      </c>
      <c r="Q48" s="174"/>
      <c r="R48" s="174"/>
      <c r="S48" s="174"/>
    </row>
    <row r="49" spans="1:19">
      <c r="A49" s="216"/>
      <c r="B49" s="216" t="s">
        <v>826</v>
      </c>
      <c r="C49" s="174" t="s">
        <v>826</v>
      </c>
      <c r="D49" s="174" t="s">
        <v>826</v>
      </c>
      <c r="E49" s="216" t="s">
        <v>826</v>
      </c>
      <c r="F49" s="174" t="s">
        <v>826</v>
      </c>
      <c r="G49" s="390" t="s">
        <v>826</v>
      </c>
      <c r="H49" s="174" t="s">
        <v>827</v>
      </c>
      <c r="I49" s="338">
        <v>0.4</v>
      </c>
      <c r="J49" s="390"/>
      <c r="K49" s="174" t="s">
        <v>827</v>
      </c>
      <c r="L49" s="338">
        <v>0.4</v>
      </c>
      <c r="M49" s="390"/>
      <c r="N49" s="174" t="s">
        <v>827</v>
      </c>
      <c r="O49" s="338">
        <v>0.4</v>
      </c>
      <c r="P49" s="390"/>
      <c r="Q49" s="174"/>
      <c r="R49" s="174"/>
      <c r="S49" s="174"/>
    </row>
    <row r="50" spans="1:19">
      <c r="A50" s="216" t="s">
        <v>172</v>
      </c>
      <c r="B50" s="387" cm="1">
        <f t="array" ref="B50">SUMPRODUCT('Aguilera(2014)'!$H$14:$AI$14*('Aguilera(2014)'!$H$12:$AI$12=$A50))/10^6*Legend!$B$114</f>
        <v>6.8907834721961625E-3</v>
      </c>
      <c r="C50" s="388">
        <f>B50*'WSJ(2016)Breakout'!$O$12</f>
        <v>2.8464441626061435E-3</v>
      </c>
      <c r="D50" s="388">
        <f>B50-C50</f>
        <v>4.0443393095900195E-3</v>
      </c>
      <c r="E50" s="565">
        <f>E52</f>
        <v>5.0000000000000001E-3</v>
      </c>
      <c r="F50" s="388">
        <f>E50*'WSJ(2016)Breakout'!$O$12</f>
        <v>2.0653995108766295E-3</v>
      </c>
      <c r="G50" s="389">
        <f>E50-F50</f>
        <v>2.9346004891233706E-3</v>
      </c>
      <c r="H50" s="568">
        <f>H53</f>
        <v>4000</v>
      </c>
      <c r="I50" s="388">
        <f>H50*I$49</f>
        <v>1600</v>
      </c>
      <c r="J50" s="389">
        <f>H50-I50</f>
        <v>2400</v>
      </c>
      <c r="K50" s="388">
        <f>H50*1.05</f>
        <v>4200</v>
      </c>
      <c r="L50" s="388">
        <f>K50*L$49</f>
        <v>1680</v>
      </c>
      <c r="M50" s="389">
        <f>K50-L50</f>
        <v>2520</v>
      </c>
      <c r="N50" s="358" t="e" cm="1">
        <f t="array" ref="N50">IF(ISERROR(_xlfn.XLOOKUP($A50,'IEA(2020)Coal'!$G:$G,'IEA(2020)Coal'!$G:$G)),SUMPRODUCT('IEA(2020)Coal'!$H$4:$H$83*('IEA(2020)Coal'!$G$4:$G$83="All"),'IEA(2020)Coal'!$I$4:$I$83*('IEA(2020)Coal'!$G$4:$G$83="All"))/SUMPRODUCT('IEA(2020)Coal'!$H$4:$H$83*('IEA(2020)Coal'!$G$4:$G$83="All")),SUMPRODUCT('IEA(2020)Coal'!$H$4:$H$83*('IEA(2020)Coal'!$G$4:$G$83=$A50),'IEA(2020)Coal'!$I$4:$I$83*('IEA(2020)Coal'!$G$4:$G$83=$A50))/SUMPRODUCT('IEA(2020)Coal'!$H$4:$H$83*('IEA(2020)Coal'!$G$4:$G$83=$A50)))/Legend!$B$90*10^3</f>
        <v>#DIV/0!</v>
      </c>
      <c r="O50" s="388" t="e">
        <f>N50*O$49</f>
        <v>#DIV/0!</v>
      </c>
      <c r="P50" s="389" t="e">
        <f>N50-O50</f>
        <v>#DIV/0!</v>
      </c>
      <c r="Q50" s="174"/>
      <c r="R50" s="174"/>
      <c r="S50" s="174"/>
    </row>
    <row r="51" spans="1:19">
      <c r="A51" s="216" t="s">
        <v>175</v>
      </c>
      <c r="B51" s="216" cm="1">
        <f t="array" ref="B51">SUMPRODUCT('Aguilera(2014)'!$H$14:$AI$14*('Aguilera(2014)'!$H$12:$AI$12=$A51))/10^6*Legend!$B$114</f>
        <v>4.1333532178376639E-3</v>
      </c>
      <c r="C51" s="174">
        <f>B51*'WSJ(2016)Breakout'!$O$12</f>
        <v>1.7074051428804509E-3</v>
      </c>
      <c r="D51" s="174">
        <f t="shared" ref="D51:D77" si="0">B51-C51</f>
        <v>2.425948074957213E-3</v>
      </c>
      <c r="E51" s="566">
        <f>4/1000</f>
        <v>4.0000000000000001E-3</v>
      </c>
      <c r="F51" s="174">
        <f>E51*'WSJ(2016)Breakout'!$O$12</f>
        <v>1.6523196087013037E-3</v>
      </c>
      <c r="G51" s="390">
        <f t="shared" ref="G51:G77" si="1">E51-F51</f>
        <v>2.3476803912986961E-3</v>
      </c>
      <c r="H51" s="569">
        <f>5*1000</f>
        <v>5000</v>
      </c>
      <c r="I51" s="174">
        <f t="shared" ref="I51:I77" si="2">H51*I$49</f>
        <v>2000</v>
      </c>
      <c r="J51" s="390">
        <f t="shared" ref="J51:J77" si="3">H51-I51</f>
        <v>3000</v>
      </c>
      <c r="K51" s="174">
        <f t="shared" ref="K51:K77" si="4">H51*1.05</f>
        <v>5250</v>
      </c>
      <c r="L51" s="174">
        <f t="shared" ref="L51:L77" si="5">K51*L$49</f>
        <v>2100</v>
      </c>
      <c r="M51" s="390">
        <f t="shared" ref="M51:M77" si="6">K51-L51</f>
        <v>3150</v>
      </c>
      <c r="N51" s="174" t="e" cm="1">
        <f t="array" ref="N51">IF(ISERROR(_xlfn.XLOOKUP($A51,'IEA(2020)Coal'!$G:$G,'IEA(2020)Coal'!$G:$G)),SUMPRODUCT('IEA(2020)Coal'!$H$4:$H$83*('IEA(2020)Coal'!$G$4:$G$83="All"),'IEA(2020)Coal'!$I$4:$I$83*('IEA(2020)Coal'!$G$4:$G$83="All"))/SUMPRODUCT('IEA(2020)Coal'!$H$4:$H$83*('IEA(2020)Coal'!$G$4:$G$83="All")),SUMPRODUCT('IEA(2020)Coal'!$H$4:$H$83*('IEA(2020)Coal'!$G$4:$G$83=$A51),'IEA(2020)Coal'!$I$4:$I$83*('IEA(2020)Coal'!$G$4:$G$83=$A51))/SUMPRODUCT('IEA(2020)Coal'!$H$4:$H$83*('IEA(2020)Coal'!$G$4:$G$83=$A51)))/Legend!$B$90*10^3</f>
        <v>#DIV/0!</v>
      </c>
      <c r="O51" s="174" t="e">
        <f t="shared" ref="O51:O77" si="7">N51*O$49</f>
        <v>#DIV/0!</v>
      </c>
      <c r="P51" s="390" t="e">
        <f t="shared" ref="P51:P77" si="8">N51-O51</f>
        <v>#DIV/0!</v>
      </c>
      <c r="Q51" s="174"/>
      <c r="R51" s="174"/>
      <c r="S51" s="174"/>
    </row>
    <row r="52" spans="1:19">
      <c r="A52" s="216" t="s">
        <v>178</v>
      </c>
      <c r="B52" s="216" cm="1">
        <f t="array" ref="B52">SUMPRODUCT('Aguilera(2014)'!$H$14:$AI$14*('Aguilera(2014)'!$H$12:$AI$12=$A52))/10^6*Legend!$B$114</f>
        <v>4.1333532178376639E-3</v>
      </c>
      <c r="C52" s="174">
        <f>B52*'WSJ(2016)Breakout'!$O$12</f>
        <v>1.7074051428804509E-3</v>
      </c>
      <c r="D52" s="174">
        <f t="shared" si="0"/>
        <v>2.425948074957213E-3</v>
      </c>
      <c r="E52" s="566">
        <f>E53</f>
        <v>5.0000000000000001E-3</v>
      </c>
      <c r="F52" s="174">
        <f>E52*'WSJ(2016)Breakout'!$O$12</f>
        <v>2.0653995108766295E-3</v>
      </c>
      <c r="G52" s="390">
        <f t="shared" si="1"/>
        <v>2.9346004891233706E-3</v>
      </c>
      <c r="H52" s="569">
        <f>H53</f>
        <v>4000</v>
      </c>
      <c r="I52" s="174">
        <f t="shared" si="2"/>
        <v>1600</v>
      </c>
      <c r="J52" s="390">
        <f t="shared" si="3"/>
        <v>2400</v>
      </c>
      <c r="K52" s="174">
        <f t="shared" si="4"/>
        <v>4200</v>
      </c>
      <c r="L52" s="174">
        <f t="shared" si="5"/>
        <v>1680</v>
      </c>
      <c r="M52" s="390">
        <f t="shared" si="6"/>
        <v>2520</v>
      </c>
      <c r="N52" s="174" t="e" cm="1">
        <f t="array" ref="N52">IF(ISERROR(_xlfn.XLOOKUP($A52,'IEA(2020)Coal'!$G:$G,'IEA(2020)Coal'!$G:$G)),SUMPRODUCT('IEA(2020)Coal'!$H$4:$H$83*('IEA(2020)Coal'!$G$4:$G$83="All"),'IEA(2020)Coal'!$I$4:$I$83*('IEA(2020)Coal'!$G$4:$G$83="All"))/SUMPRODUCT('IEA(2020)Coal'!$H$4:$H$83*('IEA(2020)Coal'!$G$4:$G$83="All")),SUMPRODUCT('IEA(2020)Coal'!$H$4:$H$83*('IEA(2020)Coal'!$G$4:$G$83=$A52),'IEA(2020)Coal'!$I$4:$I$83*('IEA(2020)Coal'!$G$4:$G$83=$A52))/SUMPRODUCT('IEA(2020)Coal'!$H$4:$H$83*('IEA(2020)Coal'!$G$4:$G$83=$A52)))/Legend!$B$90*10^3</f>
        <v>#DIV/0!</v>
      </c>
      <c r="O52" s="174" t="e">
        <f t="shared" si="7"/>
        <v>#DIV/0!</v>
      </c>
      <c r="P52" s="390" t="e">
        <f t="shared" si="8"/>
        <v>#DIV/0!</v>
      </c>
      <c r="Q52" s="174"/>
      <c r="R52" s="174"/>
      <c r="S52" s="174"/>
    </row>
    <row r="53" spans="1:19">
      <c r="A53" s="216" t="s">
        <v>181</v>
      </c>
      <c r="B53" s="216" cm="1">
        <f t="array" ref="B53">SUMPRODUCT('Aguilera(2014)'!$H$14:$AI$14*('Aguilera(2014)'!$H$12:$AI$12=$A53))/10^6*Legend!$B$114</f>
        <v>6.8907834721961625E-3</v>
      </c>
      <c r="C53" s="174">
        <f>B53*'WSJ(2016)Breakout'!$O$12</f>
        <v>2.8464441626061435E-3</v>
      </c>
      <c r="D53" s="174">
        <f t="shared" si="0"/>
        <v>4.0443393095900195E-3</v>
      </c>
      <c r="E53" s="566">
        <f>5/1000</f>
        <v>5.0000000000000001E-3</v>
      </c>
      <c r="F53" s="174">
        <f>E53*'WSJ(2016)Breakout'!$O$12</f>
        <v>2.0653995108766295E-3</v>
      </c>
      <c r="G53" s="390">
        <f t="shared" si="1"/>
        <v>2.9346004891233706E-3</v>
      </c>
      <c r="H53" s="569">
        <f>4*1000</f>
        <v>4000</v>
      </c>
      <c r="I53" s="174">
        <f t="shared" si="2"/>
        <v>1600</v>
      </c>
      <c r="J53" s="390">
        <f t="shared" si="3"/>
        <v>2400</v>
      </c>
      <c r="K53" s="174">
        <f t="shared" si="4"/>
        <v>4200</v>
      </c>
      <c r="L53" s="174">
        <f t="shared" si="5"/>
        <v>1680</v>
      </c>
      <c r="M53" s="390">
        <f t="shared" si="6"/>
        <v>2520</v>
      </c>
      <c r="N53" s="174" cm="1">
        <f t="array" ref="N53">IF(ISERROR(_xlfn.XLOOKUP($A53,'IEA(2020)Coal'!$G:$G,'IEA(2020)Coal'!$G:$G)),SUMPRODUCT('IEA(2020)Coal'!$H$4:$H$83*('IEA(2020)Coal'!$G$4:$G$83="All"),'IEA(2020)Coal'!$I$4:$I$83*('IEA(2020)Coal'!$G$4:$G$83="All"))/SUMPRODUCT('IEA(2020)Coal'!$H$4:$H$83*('IEA(2020)Coal'!$G$4:$G$83="All")),SUMPRODUCT('IEA(2020)Coal'!$H$4:$H$83*('IEA(2020)Coal'!$G$4:$G$83=$A53),'IEA(2020)Coal'!$I$4:$I$83*('IEA(2020)Coal'!$G$4:$G$83=$A53))/SUMPRODUCT('IEA(2020)Coal'!$H$4:$H$83*('IEA(2020)Coal'!$G$4:$G$83=$A53)))/Legend!$B$90*10^3</f>
        <v>3530.0546448087425</v>
      </c>
      <c r="O53" s="174">
        <f t="shared" si="7"/>
        <v>1412.021857923497</v>
      </c>
      <c r="P53" s="390">
        <f t="shared" si="8"/>
        <v>2118.0327868852455</v>
      </c>
      <c r="Q53" s="174"/>
      <c r="R53" s="174"/>
      <c r="S53" s="174"/>
    </row>
    <row r="54" spans="1:19">
      <c r="A54" s="216" t="s">
        <v>184</v>
      </c>
      <c r="B54" s="216" cm="1">
        <f t="array" ref="B54">SUMPRODUCT('Aguilera(2014)'!$H$14:$AI$14*('Aguilera(2014)'!$H$12:$AI$12=$A54))/10^6*Legend!$B$114</f>
        <v>6.8907834721961625E-3</v>
      </c>
      <c r="C54" s="174">
        <f>B54*'WSJ(2016)Breakout'!$O$12</f>
        <v>2.8464441626061435E-3</v>
      </c>
      <c r="D54" s="174">
        <f t="shared" si="0"/>
        <v>4.0443393095900195E-3</v>
      </c>
      <c r="E54" s="566">
        <f>5/1000</f>
        <v>5.0000000000000001E-3</v>
      </c>
      <c r="F54" s="174">
        <f>E54*'WSJ(2016)Breakout'!$O$12</f>
        <v>2.0653995108766295E-3</v>
      </c>
      <c r="G54" s="390">
        <f t="shared" si="1"/>
        <v>2.9346004891233706E-3</v>
      </c>
      <c r="H54" s="569">
        <f>4*1000</f>
        <v>4000</v>
      </c>
      <c r="I54" s="174">
        <f t="shared" si="2"/>
        <v>1600</v>
      </c>
      <c r="J54" s="390">
        <f t="shared" si="3"/>
        <v>2400</v>
      </c>
      <c r="K54" s="569">
        <f t="shared" si="4"/>
        <v>4200</v>
      </c>
      <c r="L54" s="174">
        <f t="shared" si="5"/>
        <v>1680</v>
      </c>
      <c r="M54" s="390">
        <f t="shared" si="6"/>
        <v>2520</v>
      </c>
      <c r="N54" s="174" cm="1">
        <f t="array" ref="N54">IF(ISERROR(_xlfn.XLOOKUP($A54,'IEA(2020)Coal'!$G:$G,'IEA(2020)Coal'!$G:$G)),SUMPRODUCT('IEA(2020)Coal'!$H$4:$H$83*('IEA(2020)Coal'!$G$4:$G$83="All"),'IEA(2020)Coal'!$I$4:$I$83*('IEA(2020)Coal'!$G$4:$G$83="All"))/SUMPRODUCT('IEA(2020)Coal'!$H$4:$H$83*('IEA(2020)Coal'!$G$4:$G$83="All")),SUMPRODUCT('IEA(2020)Coal'!$H$4:$H$83*('IEA(2020)Coal'!$G$4:$G$83=$A54),'IEA(2020)Coal'!$I$4:$I$83*('IEA(2020)Coal'!$G$4:$G$83=$A54))/SUMPRODUCT('IEA(2020)Coal'!$H$4:$H$83*('IEA(2020)Coal'!$G$4:$G$83=$A54)))/Legend!$B$90*10^3</f>
        <v>2662.416514875531</v>
      </c>
      <c r="O54" s="174">
        <f t="shared" si="7"/>
        <v>1064.9666059502124</v>
      </c>
      <c r="P54" s="390">
        <f t="shared" si="8"/>
        <v>1597.4499089253186</v>
      </c>
      <c r="Q54" s="174"/>
      <c r="R54" s="174"/>
      <c r="S54" s="174"/>
    </row>
    <row r="55" spans="1:19">
      <c r="A55" s="216" t="s">
        <v>187</v>
      </c>
      <c r="B55" s="216" cm="1">
        <f t="array" ref="B55">SUMPRODUCT('Aguilera(2014)'!$H$14:$AI$14*('Aguilera(2014)'!$H$12:$AI$12=$A55))/10^6*Legend!$B$114</f>
        <v>6.8907834721961625E-3</v>
      </c>
      <c r="C55" s="174">
        <f>B55*'WSJ(2016)Breakout'!$O$12</f>
        <v>2.8464441626061435E-3</v>
      </c>
      <c r="D55" s="174">
        <f t="shared" si="0"/>
        <v>4.0443393095900195E-3</v>
      </c>
      <c r="E55" s="566">
        <f>E54</f>
        <v>5.0000000000000001E-3</v>
      </c>
      <c r="F55" s="174">
        <f>E55*'WSJ(2016)Breakout'!$O$12</f>
        <v>2.0653995108766295E-3</v>
      </c>
      <c r="G55" s="390">
        <f t="shared" si="1"/>
        <v>2.9346004891233706E-3</v>
      </c>
      <c r="H55" s="569">
        <f>H56</f>
        <v>5000</v>
      </c>
      <c r="I55" s="174">
        <f t="shared" si="2"/>
        <v>2000</v>
      </c>
      <c r="J55" s="390">
        <f t="shared" si="3"/>
        <v>3000</v>
      </c>
      <c r="K55" s="569">
        <f t="shared" si="4"/>
        <v>5250</v>
      </c>
      <c r="L55" s="174">
        <f t="shared" si="5"/>
        <v>2100</v>
      </c>
      <c r="M55" s="390">
        <f t="shared" si="6"/>
        <v>3150</v>
      </c>
      <c r="N55" s="174" t="e" cm="1">
        <f t="array" ref="N55">IF(ISERROR(_xlfn.XLOOKUP($A55,'IEA(2020)Coal'!$G:$G,'IEA(2020)Coal'!$G:$G)),SUMPRODUCT('IEA(2020)Coal'!$H$4:$H$83*('IEA(2020)Coal'!$G$4:$G$83="All"),'IEA(2020)Coal'!$I$4:$I$83*('IEA(2020)Coal'!$G$4:$G$83="All"))/SUMPRODUCT('IEA(2020)Coal'!$H$4:$H$83*('IEA(2020)Coal'!$G$4:$G$83="All")),SUMPRODUCT('IEA(2020)Coal'!$H$4:$H$83*('IEA(2020)Coal'!$G$4:$G$83=$A55),'IEA(2020)Coal'!$I$4:$I$83*('IEA(2020)Coal'!$G$4:$G$83=$A55))/SUMPRODUCT('IEA(2020)Coal'!$H$4:$H$83*('IEA(2020)Coal'!$G$4:$G$83=$A55)))/Legend!$B$90*10^3</f>
        <v>#DIV/0!</v>
      </c>
      <c r="O55" s="174" t="e">
        <f t="shared" si="7"/>
        <v>#DIV/0!</v>
      </c>
      <c r="P55" s="390" t="e">
        <f t="shared" si="8"/>
        <v>#DIV/0!</v>
      </c>
      <c r="Q55" s="174"/>
      <c r="R55" s="174"/>
      <c r="S55" s="174"/>
    </row>
    <row r="56" spans="1:19">
      <c r="A56" s="216" t="s">
        <v>190</v>
      </c>
      <c r="B56" s="216" cm="1">
        <f t="array" ref="B56">SUMPRODUCT('Aguilera(2014)'!$H$14:$AI$14*('Aguilera(2014)'!$H$12:$AI$12=$A56))/10^6*Legend!$B$114</f>
        <v>6.8907834721961625E-3</v>
      </c>
      <c r="C56" s="174">
        <f>B56*'WSJ(2016)Breakout'!$O$12</f>
        <v>2.8464441626061435E-3</v>
      </c>
      <c r="D56" s="174">
        <f t="shared" si="0"/>
        <v>4.0443393095900195E-3</v>
      </c>
      <c r="E56" s="566">
        <f>7.5/1000</f>
        <v>7.4999999999999997E-3</v>
      </c>
      <c r="F56" s="174">
        <f>E56*'WSJ(2016)Breakout'!$O$12</f>
        <v>3.0980992663149445E-3</v>
      </c>
      <c r="G56" s="390">
        <f t="shared" si="1"/>
        <v>4.4019007336850557E-3</v>
      </c>
      <c r="H56" s="569">
        <f>5*1000</f>
        <v>5000</v>
      </c>
      <c r="I56" s="174">
        <f t="shared" si="2"/>
        <v>2000</v>
      </c>
      <c r="J56" s="390">
        <f t="shared" si="3"/>
        <v>3000</v>
      </c>
      <c r="K56" s="569">
        <f t="shared" si="4"/>
        <v>5250</v>
      </c>
      <c r="L56" s="174">
        <f t="shared" si="5"/>
        <v>2100</v>
      </c>
      <c r="M56" s="390">
        <f t="shared" si="6"/>
        <v>3150</v>
      </c>
      <c r="N56" s="174" t="e" cm="1">
        <f t="array" ref="N56">IF(ISERROR(_xlfn.XLOOKUP($A56,'IEA(2020)Coal'!$G:$G,'IEA(2020)Coal'!$G:$G)),SUMPRODUCT('IEA(2020)Coal'!$H$4:$H$83*('IEA(2020)Coal'!$G$4:$G$83="All"),'IEA(2020)Coal'!$I$4:$I$83*('IEA(2020)Coal'!$G$4:$G$83="All"))/SUMPRODUCT('IEA(2020)Coal'!$H$4:$H$83*('IEA(2020)Coal'!$G$4:$G$83="All")),SUMPRODUCT('IEA(2020)Coal'!$H$4:$H$83*('IEA(2020)Coal'!$G$4:$G$83=$A56),'IEA(2020)Coal'!$I$4:$I$83*('IEA(2020)Coal'!$G$4:$G$83=$A56))/SUMPRODUCT('IEA(2020)Coal'!$H$4:$H$83*('IEA(2020)Coal'!$G$4:$G$83=$A56)))/Legend!$B$90*10^3</f>
        <v>#DIV/0!</v>
      </c>
      <c r="O56" s="174" t="e">
        <f t="shared" si="7"/>
        <v>#DIV/0!</v>
      </c>
      <c r="P56" s="390" t="e">
        <f t="shared" si="8"/>
        <v>#DIV/0!</v>
      </c>
      <c r="Q56" s="174"/>
      <c r="R56" s="174"/>
      <c r="S56" s="174"/>
    </row>
    <row r="57" spans="1:19">
      <c r="A57" s="216" t="s">
        <v>193</v>
      </c>
      <c r="B57" s="216" cm="1">
        <f t="array" ref="B57">SUMPRODUCT('Aguilera(2014)'!$H$14:$AI$14*('Aguilera(2014)'!$H$12:$AI$12=$A57))/10^6*Legend!$B$114</f>
        <v>6.8907834721961625E-3</v>
      </c>
      <c r="C57" s="174">
        <f>B57*'WSJ(2016)Breakout'!$O$12</f>
        <v>2.8464441626061435E-3</v>
      </c>
      <c r="D57" s="174">
        <f t="shared" si="0"/>
        <v>4.0443393095900195E-3</v>
      </c>
      <c r="E57" s="566">
        <f>E56</f>
        <v>7.4999999999999997E-3</v>
      </c>
      <c r="F57" s="174">
        <f>E57*'WSJ(2016)Breakout'!$O$12</f>
        <v>3.0980992663149445E-3</v>
      </c>
      <c r="G57" s="390">
        <f t="shared" si="1"/>
        <v>4.4019007336850557E-3</v>
      </c>
      <c r="H57" s="569">
        <f>H58</f>
        <v>5000</v>
      </c>
      <c r="I57" s="174">
        <f t="shared" si="2"/>
        <v>2000</v>
      </c>
      <c r="J57" s="390">
        <f t="shared" si="3"/>
        <v>3000</v>
      </c>
      <c r="K57" s="569">
        <f t="shared" si="4"/>
        <v>5250</v>
      </c>
      <c r="L57" s="174">
        <f t="shared" si="5"/>
        <v>2100</v>
      </c>
      <c r="M57" s="390">
        <f t="shared" si="6"/>
        <v>3150</v>
      </c>
      <c r="N57" s="174" t="e" cm="1">
        <f t="array" ref="N57">IF(ISERROR(_xlfn.XLOOKUP($A57,'IEA(2020)Coal'!$G:$G,'IEA(2020)Coal'!$G:$G)),SUMPRODUCT('IEA(2020)Coal'!$H$4:$H$83*('IEA(2020)Coal'!$G$4:$G$83="All"),'IEA(2020)Coal'!$I$4:$I$83*('IEA(2020)Coal'!$G$4:$G$83="All"))/SUMPRODUCT('IEA(2020)Coal'!$H$4:$H$83*('IEA(2020)Coal'!$G$4:$G$83="All")),SUMPRODUCT('IEA(2020)Coal'!$H$4:$H$83*('IEA(2020)Coal'!$G$4:$G$83=$A57),'IEA(2020)Coal'!$I$4:$I$83*('IEA(2020)Coal'!$G$4:$G$83=$A57))/SUMPRODUCT('IEA(2020)Coal'!$H$4:$H$83*('IEA(2020)Coal'!$G$4:$G$83=$A57)))/Legend!$B$90*10^3</f>
        <v>#DIV/0!</v>
      </c>
      <c r="O57" s="174" t="e">
        <f t="shared" si="7"/>
        <v>#DIV/0!</v>
      </c>
      <c r="P57" s="390" t="e">
        <f t="shared" si="8"/>
        <v>#DIV/0!</v>
      </c>
      <c r="Q57" s="174"/>
      <c r="R57" s="174"/>
      <c r="S57" s="174"/>
    </row>
    <row r="58" spans="1:19">
      <c r="A58" s="216" t="s">
        <v>196</v>
      </c>
      <c r="B58" s="216" cm="1">
        <f t="array" ref="B58">SUMPRODUCT('Aguilera(2014)'!$H$14:$AI$14*('Aguilera(2014)'!$H$12:$AI$12=$A58))/10^6*Legend!$B$114</f>
        <v>6.8907834721961625E-3</v>
      </c>
      <c r="C58" s="174">
        <f>B58*'WSJ(2016)Breakout'!$C$12</f>
        <v>3.1581584018261196E-3</v>
      </c>
      <c r="D58" s="174">
        <f t="shared" si="0"/>
        <v>3.732625070370043E-3</v>
      </c>
      <c r="E58" s="566">
        <f>6/1000</f>
        <v>6.0000000000000001E-3</v>
      </c>
      <c r="F58" s="174">
        <f>E58*'WSJ(2016)Breakout'!$C$12</f>
        <v>2.749897814582976E-3</v>
      </c>
      <c r="G58" s="390">
        <f t="shared" si="1"/>
        <v>3.2501021854170241E-3</v>
      </c>
      <c r="H58" s="569">
        <f>5*1000</f>
        <v>5000</v>
      </c>
      <c r="I58" s="174">
        <f t="shared" si="2"/>
        <v>2000</v>
      </c>
      <c r="J58" s="390">
        <f t="shared" si="3"/>
        <v>3000</v>
      </c>
      <c r="K58" s="569">
        <f t="shared" si="4"/>
        <v>5250</v>
      </c>
      <c r="L58" s="174">
        <f t="shared" si="5"/>
        <v>2100</v>
      </c>
      <c r="M58" s="390">
        <f t="shared" si="6"/>
        <v>3150</v>
      </c>
      <c r="N58" s="174" t="e" cm="1">
        <f t="array" ref="N58">IF(ISERROR(_xlfn.XLOOKUP($A58,'IEA(2020)Coal'!$G:$G,'IEA(2020)Coal'!$G:$G)),SUMPRODUCT('IEA(2020)Coal'!$H$4:$H$83*('IEA(2020)Coal'!$G$4:$G$83="All"),'IEA(2020)Coal'!$I$4:$I$83*('IEA(2020)Coal'!$G$4:$G$83="All"))/SUMPRODUCT('IEA(2020)Coal'!$H$4:$H$83*('IEA(2020)Coal'!$G$4:$G$83="All")),SUMPRODUCT('IEA(2020)Coal'!$H$4:$H$83*('IEA(2020)Coal'!$G$4:$G$83=$A58),'IEA(2020)Coal'!$I$4:$I$83*('IEA(2020)Coal'!$G$4:$G$83=$A58))/SUMPRODUCT('IEA(2020)Coal'!$H$4:$H$83*('IEA(2020)Coal'!$G$4:$G$83=$A58)))/Legend!$B$90*10^3</f>
        <v>#DIV/0!</v>
      </c>
      <c r="O58" s="174" t="e">
        <f t="shared" si="7"/>
        <v>#DIV/0!</v>
      </c>
      <c r="P58" s="390" t="e">
        <f t="shared" si="8"/>
        <v>#DIV/0!</v>
      </c>
      <c r="Q58" s="174"/>
      <c r="R58" s="174"/>
      <c r="S58" s="174"/>
    </row>
    <row r="59" spans="1:19">
      <c r="A59" s="216" t="s">
        <v>198</v>
      </c>
      <c r="B59" s="216" cm="1">
        <f t="array" ref="B59">SUMPRODUCT('Aguilera(2014)'!$H$14:$AI$14*('Aguilera(2014)'!$H$12:$AI$12=$A59))/10^6*Legend!$B$114</f>
        <v>7.5074526866547499E-3</v>
      </c>
      <c r="C59" s="174">
        <f>B59*'WSJ(2016)Breakout'!$F$12</f>
        <v>2.7235669962073408E-3</v>
      </c>
      <c r="D59" s="174">
        <f t="shared" si="0"/>
        <v>4.7838856904474092E-3</v>
      </c>
      <c r="E59" s="566">
        <f>5/1000</f>
        <v>5.0000000000000001E-3</v>
      </c>
      <c r="F59" s="174">
        <f>E59*'WSJ(2016)Breakout'!$F$12</f>
        <v>1.8139088648861912E-3</v>
      </c>
      <c r="G59" s="390">
        <f t="shared" si="1"/>
        <v>3.1860911351138089E-3</v>
      </c>
      <c r="H59" s="569">
        <f>5*1000</f>
        <v>5000</v>
      </c>
      <c r="I59" s="174">
        <f t="shared" si="2"/>
        <v>2000</v>
      </c>
      <c r="J59" s="390">
        <f t="shared" si="3"/>
        <v>3000</v>
      </c>
      <c r="K59" s="569">
        <f t="shared" si="4"/>
        <v>5250</v>
      </c>
      <c r="L59" s="174">
        <f t="shared" si="5"/>
        <v>2100</v>
      </c>
      <c r="M59" s="390">
        <f t="shared" si="6"/>
        <v>3150</v>
      </c>
      <c r="N59" s="174" t="e" cm="1">
        <f t="array" ref="N59">IF(ISERROR(_xlfn.XLOOKUP($A59,'IEA(2020)Coal'!$G:$G,'IEA(2020)Coal'!$G:$G)),SUMPRODUCT('IEA(2020)Coal'!$H$4:$H$83*('IEA(2020)Coal'!$G$4:$G$83="All"),'IEA(2020)Coal'!$I$4:$I$83*('IEA(2020)Coal'!$G$4:$G$83="All"))/SUMPRODUCT('IEA(2020)Coal'!$H$4:$H$83*('IEA(2020)Coal'!$G$4:$G$83="All")),SUMPRODUCT('IEA(2020)Coal'!$H$4:$H$83*('IEA(2020)Coal'!$G$4:$G$83=$A59),'IEA(2020)Coal'!$I$4:$I$83*('IEA(2020)Coal'!$G$4:$G$83=$A59))/SUMPRODUCT('IEA(2020)Coal'!$H$4:$H$83*('IEA(2020)Coal'!$G$4:$G$83=$A59)))/Legend!$B$90*10^3</f>
        <v>#DIV/0!</v>
      </c>
      <c r="O59" s="174" t="e">
        <f t="shared" si="7"/>
        <v>#DIV/0!</v>
      </c>
      <c r="P59" s="390" t="e">
        <f t="shared" si="8"/>
        <v>#DIV/0!</v>
      </c>
      <c r="Q59" s="174"/>
      <c r="R59" s="174"/>
      <c r="S59" s="174"/>
    </row>
    <row r="60" spans="1:19">
      <c r="A60" s="216" t="s">
        <v>200</v>
      </c>
      <c r="B60" s="216" cm="1">
        <f t="array" ref="B60">SUMPRODUCT('Aguilera(2014)'!$H$14:$AI$14*('Aguilera(2014)'!$H$12:$AI$12=$A60))/10^6*Legend!$B$114</f>
        <v>6.8907834721961625E-3</v>
      </c>
      <c r="C60" s="174">
        <f>B60*'WSJ(2016)Breakout'!$O$12</f>
        <v>2.8464441626061435E-3</v>
      </c>
      <c r="D60" s="174">
        <f t="shared" si="0"/>
        <v>4.0443393095900195E-3</v>
      </c>
      <c r="E60" s="566">
        <f>6/1000</f>
        <v>6.0000000000000001E-3</v>
      </c>
      <c r="F60" s="174">
        <f>E60*'WSJ(2016)Breakout'!$O$12</f>
        <v>2.4784794130519555E-3</v>
      </c>
      <c r="G60" s="390">
        <f t="shared" si="1"/>
        <v>3.5215205869480446E-3</v>
      </c>
      <c r="H60" s="569">
        <f>H59</f>
        <v>5000</v>
      </c>
      <c r="I60" s="174">
        <f t="shared" si="2"/>
        <v>2000</v>
      </c>
      <c r="J60" s="390">
        <f t="shared" si="3"/>
        <v>3000</v>
      </c>
      <c r="K60" s="569">
        <f t="shared" si="4"/>
        <v>5250</v>
      </c>
      <c r="L60" s="174">
        <f t="shared" si="5"/>
        <v>2100</v>
      </c>
      <c r="M60" s="390">
        <f t="shared" si="6"/>
        <v>3150</v>
      </c>
      <c r="N60" s="174" t="e" cm="1">
        <f t="array" ref="N60">IF(ISERROR(_xlfn.XLOOKUP($A60,'IEA(2020)Coal'!$G:$G,'IEA(2020)Coal'!$G:$G)),SUMPRODUCT('IEA(2020)Coal'!$H$4:$H$83*('IEA(2020)Coal'!$G$4:$G$83="All"),'IEA(2020)Coal'!$I$4:$I$83*('IEA(2020)Coal'!$G$4:$G$83="All"))/SUMPRODUCT('IEA(2020)Coal'!$H$4:$H$83*('IEA(2020)Coal'!$G$4:$G$83="All")),SUMPRODUCT('IEA(2020)Coal'!$H$4:$H$83*('IEA(2020)Coal'!$G$4:$G$83=$A60),'IEA(2020)Coal'!$I$4:$I$83*('IEA(2020)Coal'!$G$4:$G$83=$A60))/SUMPRODUCT('IEA(2020)Coal'!$H$4:$H$83*('IEA(2020)Coal'!$G$4:$G$83=$A60)))/Legend!$B$90*10^3</f>
        <v>#DIV/0!</v>
      </c>
      <c r="O60" s="174" t="e">
        <f t="shared" si="7"/>
        <v>#DIV/0!</v>
      </c>
      <c r="P60" s="390" t="e">
        <f t="shared" si="8"/>
        <v>#DIV/0!</v>
      </c>
      <c r="Q60" s="174"/>
      <c r="R60" s="174"/>
      <c r="S60" s="174"/>
    </row>
    <row r="61" spans="1:19">
      <c r="A61" s="216" t="s">
        <v>202</v>
      </c>
      <c r="B61" s="216" cm="1">
        <f t="array" ref="B61">SUMPRODUCT('Aguilera(2014)'!$H$14:$AI$14*('Aguilera(2014)'!$H$12:$AI$12=$A61))/10^6*Legend!$B$114</f>
        <v>6.8907834721961625E-3</v>
      </c>
      <c r="C61" s="174">
        <f>B61*'WSJ(2016)Breakout'!$O$12</f>
        <v>2.8464441626061435E-3</v>
      </c>
      <c r="D61" s="174">
        <f t="shared" si="0"/>
        <v>4.0443393095900195E-3</v>
      </c>
      <c r="E61" s="566">
        <f>8/1000</f>
        <v>8.0000000000000002E-3</v>
      </c>
      <c r="F61" s="174">
        <f>E61*'WSJ(2016)Breakout'!$O$12</f>
        <v>3.3046392174026075E-3</v>
      </c>
      <c r="G61" s="390">
        <f t="shared" si="1"/>
        <v>4.6953607825973923E-3</v>
      </c>
      <c r="H61" s="569">
        <f>4*1000</f>
        <v>4000</v>
      </c>
      <c r="I61" s="174">
        <f t="shared" si="2"/>
        <v>1600</v>
      </c>
      <c r="J61" s="390">
        <f t="shared" si="3"/>
        <v>2400</v>
      </c>
      <c r="K61" s="569">
        <f t="shared" si="4"/>
        <v>4200</v>
      </c>
      <c r="L61" s="174">
        <f t="shared" si="5"/>
        <v>1680</v>
      </c>
      <c r="M61" s="390">
        <f t="shared" si="6"/>
        <v>2520</v>
      </c>
      <c r="N61" s="174" t="e" cm="1">
        <f t="array" ref="N61">IF(ISERROR(_xlfn.XLOOKUP($A61,'IEA(2020)Coal'!$G:$G,'IEA(2020)Coal'!$G:$G)),SUMPRODUCT('IEA(2020)Coal'!$H$4:$H$83*('IEA(2020)Coal'!$G$4:$G$83="All"),'IEA(2020)Coal'!$I$4:$I$83*('IEA(2020)Coal'!$G$4:$G$83="All"))/SUMPRODUCT('IEA(2020)Coal'!$H$4:$H$83*('IEA(2020)Coal'!$G$4:$G$83="All")),SUMPRODUCT('IEA(2020)Coal'!$H$4:$H$83*('IEA(2020)Coal'!$G$4:$G$83=$A61),'IEA(2020)Coal'!$I$4:$I$83*('IEA(2020)Coal'!$G$4:$G$83=$A61))/SUMPRODUCT('IEA(2020)Coal'!$H$4:$H$83*('IEA(2020)Coal'!$G$4:$G$83=$A61)))/Legend!$B$90*10^3</f>
        <v>#DIV/0!</v>
      </c>
      <c r="O61" s="174" t="e">
        <f t="shared" si="7"/>
        <v>#DIV/0!</v>
      </c>
      <c r="P61" s="390" t="e">
        <f t="shared" si="8"/>
        <v>#DIV/0!</v>
      </c>
      <c r="Q61" s="174"/>
      <c r="R61" s="174"/>
      <c r="S61" s="174"/>
    </row>
    <row r="62" spans="1:19">
      <c r="A62" s="216" t="s">
        <v>205</v>
      </c>
      <c r="B62" s="216" cm="1">
        <f t="array" ref="B62">SUMPRODUCT('Aguilera(2014)'!$H$14:$AI$14*('Aguilera(2014)'!$H$12:$AI$12=$A62))/10^6*Legend!$B$114</f>
        <v>6.8907834721961625E-3</v>
      </c>
      <c r="C62" s="174">
        <f>B62*'WSJ(2016)Breakout'!$O$12</f>
        <v>2.8464441626061435E-3</v>
      </c>
      <c r="D62" s="174">
        <f t="shared" si="0"/>
        <v>4.0443393095900195E-3</v>
      </c>
      <c r="E62" s="566">
        <f>10/1000</f>
        <v>0.01</v>
      </c>
      <c r="F62" s="174">
        <f>E62*'WSJ(2016)Breakout'!$O$12</f>
        <v>4.130799021753259E-3</v>
      </c>
      <c r="G62" s="390">
        <f t="shared" si="1"/>
        <v>5.8692009782467412E-3</v>
      </c>
      <c r="H62" s="569">
        <f>7.5*1000</f>
        <v>7500</v>
      </c>
      <c r="I62" s="174">
        <f t="shared" si="2"/>
        <v>3000</v>
      </c>
      <c r="J62" s="390">
        <f t="shared" si="3"/>
        <v>4500</v>
      </c>
      <c r="K62" s="569">
        <f t="shared" si="4"/>
        <v>7875</v>
      </c>
      <c r="L62" s="174">
        <f t="shared" si="5"/>
        <v>3150</v>
      </c>
      <c r="M62" s="390">
        <f t="shared" si="6"/>
        <v>4725</v>
      </c>
      <c r="N62" s="174" t="e" cm="1">
        <f t="array" ref="N62">IF(ISERROR(_xlfn.XLOOKUP($A62,'IEA(2020)Coal'!$G:$G,'IEA(2020)Coal'!$G:$G)),SUMPRODUCT('IEA(2020)Coal'!$H$4:$H$83*('IEA(2020)Coal'!$G$4:$G$83="All"),'IEA(2020)Coal'!$I$4:$I$83*('IEA(2020)Coal'!$G$4:$G$83="All"))/SUMPRODUCT('IEA(2020)Coal'!$H$4:$H$83*('IEA(2020)Coal'!$G$4:$G$83="All")),SUMPRODUCT('IEA(2020)Coal'!$H$4:$H$83*('IEA(2020)Coal'!$G$4:$G$83=$A62),'IEA(2020)Coal'!$I$4:$I$83*('IEA(2020)Coal'!$G$4:$G$83=$A62))/SUMPRODUCT('IEA(2020)Coal'!$H$4:$H$83*('IEA(2020)Coal'!$G$4:$G$83=$A62)))/Legend!$B$90*10^3</f>
        <v>#DIV/0!</v>
      </c>
      <c r="O62" s="174" t="e">
        <f t="shared" si="7"/>
        <v>#DIV/0!</v>
      </c>
      <c r="P62" s="390" t="e">
        <f t="shared" si="8"/>
        <v>#DIV/0!</v>
      </c>
      <c r="Q62" s="174"/>
      <c r="R62" s="174"/>
      <c r="S62" s="174"/>
    </row>
    <row r="63" spans="1:19">
      <c r="A63" s="216" t="s">
        <v>208</v>
      </c>
      <c r="B63" s="216" cm="1">
        <f t="array" ref="B63">SUMPRODUCT('Aguilera(2014)'!$H$14:$AI$14*('Aguilera(2014)'!$H$12:$AI$12=$A63))/10^6*Legend!$B$114</f>
        <v>6.8907834721961625E-3</v>
      </c>
      <c r="C63" s="174">
        <f>B63*AVERAGE('WSJ(2016)Breakout'!$B$12,'WSJ(2016)Breakout'!$H$12)</f>
        <v>3.9760034962800861E-3</v>
      </c>
      <c r="D63" s="174">
        <f t="shared" si="0"/>
        <v>2.9147799759160764E-3</v>
      </c>
      <c r="E63" s="566">
        <f>10/1000</f>
        <v>0.01</v>
      </c>
      <c r="F63" s="174">
        <f>E63*AVERAGE('WSJ(2016)Breakout'!$B$12,'WSJ(2016)Breakout'!$H$12)</f>
        <v>5.7700311036081552E-3</v>
      </c>
      <c r="G63" s="390">
        <f t="shared" si="1"/>
        <v>4.229968896391845E-3</v>
      </c>
      <c r="H63" s="569">
        <f>7.5*1000</f>
        <v>7500</v>
      </c>
      <c r="I63" s="174">
        <f t="shared" si="2"/>
        <v>3000</v>
      </c>
      <c r="J63" s="390">
        <f t="shared" si="3"/>
        <v>4500</v>
      </c>
      <c r="K63" s="569">
        <f t="shared" si="4"/>
        <v>7875</v>
      </c>
      <c r="L63" s="174">
        <f t="shared" si="5"/>
        <v>3150</v>
      </c>
      <c r="M63" s="390">
        <f t="shared" si="6"/>
        <v>4725</v>
      </c>
      <c r="N63" s="174" t="e" cm="1">
        <f t="array" ref="N63">IF(ISERROR(_xlfn.XLOOKUP($A63,'IEA(2020)Coal'!$G:$G,'IEA(2020)Coal'!$G:$G)),SUMPRODUCT('IEA(2020)Coal'!$H$4:$H$83*('IEA(2020)Coal'!$G$4:$G$83="All"),'IEA(2020)Coal'!$I$4:$I$83*('IEA(2020)Coal'!$G$4:$G$83="All"))/SUMPRODUCT('IEA(2020)Coal'!$H$4:$H$83*('IEA(2020)Coal'!$G$4:$G$83="All")),SUMPRODUCT('IEA(2020)Coal'!$H$4:$H$83*('IEA(2020)Coal'!$G$4:$G$83=$A63),'IEA(2020)Coal'!$I$4:$I$83*('IEA(2020)Coal'!$G$4:$G$83=$A63))/SUMPRODUCT('IEA(2020)Coal'!$H$4:$H$83*('IEA(2020)Coal'!$G$4:$G$83=$A63)))/Legend!$B$90*10^3</f>
        <v>#DIV/0!</v>
      </c>
      <c r="O63" s="174" t="e">
        <f t="shared" si="7"/>
        <v>#DIV/0!</v>
      </c>
      <c r="P63" s="390" t="e">
        <f t="shared" si="8"/>
        <v>#DIV/0!</v>
      </c>
      <c r="Q63" s="174"/>
      <c r="R63" s="174"/>
      <c r="S63" s="174"/>
    </row>
    <row r="64" spans="1:19">
      <c r="A64" s="216" t="s">
        <v>211</v>
      </c>
      <c r="B64" s="216" cm="1">
        <f t="array" ref="B64">SUMPRODUCT('Aguilera(2014)'!$H$14:$AI$14*('Aguilera(2014)'!$H$12:$AI$12=$A64))/10^6*Legend!$B$114</f>
        <v>6.8907834721961625E-3</v>
      </c>
      <c r="C64" s="174">
        <f>B64*'WSJ(2016)Breakout'!$O$12</f>
        <v>2.8464441626061435E-3</v>
      </c>
      <c r="D64" s="174">
        <f t="shared" si="0"/>
        <v>4.0443393095900195E-3</v>
      </c>
      <c r="E64" s="566">
        <f>10/1000</f>
        <v>0.01</v>
      </c>
      <c r="F64" s="174">
        <f>E64*'WSJ(2016)Breakout'!$O$12</f>
        <v>4.130799021753259E-3</v>
      </c>
      <c r="G64" s="390">
        <f t="shared" si="1"/>
        <v>5.8692009782467412E-3</v>
      </c>
      <c r="H64" s="569">
        <f>7.5*1000</f>
        <v>7500</v>
      </c>
      <c r="I64" s="174">
        <f t="shared" si="2"/>
        <v>3000</v>
      </c>
      <c r="J64" s="390">
        <f t="shared" si="3"/>
        <v>4500</v>
      </c>
      <c r="K64" s="569">
        <f t="shared" si="4"/>
        <v>7875</v>
      </c>
      <c r="L64" s="174">
        <f t="shared" si="5"/>
        <v>3150</v>
      </c>
      <c r="M64" s="390">
        <f t="shared" si="6"/>
        <v>4725</v>
      </c>
      <c r="N64" s="174" t="e" cm="1">
        <f t="array" ref="N64">IF(ISERROR(_xlfn.XLOOKUP($A64,'IEA(2020)Coal'!$G:$G,'IEA(2020)Coal'!$G:$G)),SUMPRODUCT('IEA(2020)Coal'!$H$4:$H$83*('IEA(2020)Coal'!$G$4:$G$83="All"),'IEA(2020)Coal'!$I$4:$I$83*('IEA(2020)Coal'!$G$4:$G$83="All"))/SUMPRODUCT('IEA(2020)Coal'!$H$4:$H$83*('IEA(2020)Coal'!$G$4:$G$83="All")),SUMPRODUCT('IEA(2020)Coal'!$H$4:$H$83*('IEA(2020)Coal'!$G$4:$G$83=$A64),'IEA(2020)Coal'!$I$4:$I$83*('IEA(2020)Coal'!$G$4:$G$83=$A64))/SUMPRODUCT('IEA(2020)Coal'!$H$4:$H$83*('IEA(2020)Coal'!$G$4:$G$83=$A64)))/Legend!$B$90*10^3</f>
        <v>#DIV/0!</v>
      </c>
      <c r="O64" s="174" t="e">
        <f t="shared" si="7"/>
        <v>#DIV/0!</v>
      </c>
      <c r="P64" s="390" t="e">
        <f t="shared" si="8"/>
        <v>#DIV/0!</v>
      </c>
      <c r="Q64" s="174"/>
      <c r="R64" s="174"/>
      <c r="S64" s="174"/>
    </row>
    <row r="65" spans="1:19">
      <c r="A65" s="216" t="s">
        <v>214</v>
      </c>
      <c r="B65" s="216" cm="1">
        <f t="array" ref="B65">SUMPRODUCT('Aguilera(2014)'!$H$14:$AI$14*('Aguilera(2014)'!$H$12:$AI$12=$A65))/10^6*Legend!$B$114</f>
        <v>6.8907834721961625E-3</v>
      </c>
      <c r="C65" s="174">
        <f>B65*'WSJ(2016)Breakout'!$O$12</f>
        <v>2.8464441626061435E-3</v>
      </c>
      <c r="D65" s="174">
        <f t="shared" si="0"/>
        <v>4.0443393095900195E-3</v>
      </c>
      <c r="E65" s="566">
        <f>10/1000</f>
        <v>0.01</v>
      </c>
      <c r="F65" s="174">
        <f>E65*'WSJ(2016)Breakout'!$O$12</f>
        <v>4.130799021753259E-3</v>
      </c>
      <c r="G65" s="390">
        <f t="shared" si="1"/>
        <v>5.8692009782467412E-3</v>
      </c>
      <c r="H65" s="569">
        <f>7.5*1000</f>
        <v>7500</v>
      </c>
      <c r="I65" s="174">
        <f t="shared" si="2"/>
        <v>3000</v>
      </c>
      <c r="J65" s="390">
        <f t="shared" si="3"/>
        <v>4500</v>
      </c>
      <c r="K65" s="569">
        <f t="shared" si="4"/>
        <v>7875</v>
      </c>
      <c r="L65" s="174">
        <f t="shared" si="5"/>
        <v>3150</v>
      </c>
      <c r="M65" s="390">
        <f t="shared" si="6"/>
        <v>4725</v>
      </c>
      <c r="N65" s="174" t="e" cm="1">
        <f t="array" ref="N65">IF(ISERROR(_xlfn.XLOOKUP($A65,'IEA(2020)Coal'!$G:$G,'IEA(2020)Coal'!$G:$G)),SUMPRODUCT('IEA(2020)Coal'!$H$4:$H$83*('IEA(2020)Coal'!$G$4:$G$83="All"),'IEA(2020)Coal'!$I$4:$I$83*('IEA(2020)Coal'!$G$4:$G$83="All"))/SUMPRODUCT('IEA(2020)Coal'!$H$4:$H$83*('IEA(2020)Coal'!$G$4:$G$83="All")),SUMPRODUCT('IEA(2020)Coal'!$H$4:$H$83*('IEA(2020)Coal'!$G$4:$G$83=$A65),'IEA(2020)Coal'!$I$4:$I$83*('IEA(2020)Coal'!$G$4:$G$83=$A65))/SUMPRODUCT('IEA(2020)Coal'!$H$4:$H$83*('IEA(2020)Coal'!$G$4:$G$83=$A65)))/Legend!$B$90*10^3</f>
        <v>#DIV/0!</v>
      </c>
      <c r="O65" s="174" t="e">
        <f t="shared" si="7"/>
        <v>#DIV/0!</v>
      </c>
      <c r="P65" s="390" t="e">
        <f t="shared" si="8"/>
        <v>#DIV/0!</v>
      </c>
      <c r="Q65" s="174"/>
      <c r="R65" s="174"/>
      <c r="S65" s="174"/>
    </row>
    <row r="66" spans="1:19">
      <c r="A66" s="216" t="s">
        <v>217</v>
      </c>
      <c r="B66" s="216" cm="1">
        <f t="array" ref="B66">SUMPRODUCT('Aguilera(2014)'!$H$14:$AI$14*('Aguilera(2014)'!$H$12:$AI$12=$A66))/10^6*Legend!$B$114</f>
        <v>6.8907834721961625E-3</v>
      </c>
      <c r="C66" s="174">
        <f>B66*'WSJ(2016)Breakout'!$O$12</f>
        <v>2.8464441626061435E-3</v>
      </c>
      <c r="D66" s="174">
        <f t="shared" si="0"/>
        <v>4.0443393095900195E-3</v>
      </c>
      <c r="E66" s="566">
        <f>10/1000</f>
        <v>0.01</v>
      </c>
      <c r="F66" s="174">
        <f>E66*'WSJ(2016)Breakout'!$O$12</f>
        <v>4.130799021753259E-3</v>
      </c>
      <c r="G66" s="390">
        <f t="shared" si="1"/>
        <v>5.8692009782467412E-3</v>
      </c>
      <c r="H66" s="569">
        <f>7.5*1000</f>
        <v>7500</v>
      </c>
      <c r="I66" s="174">
        <f t="shared" si="2"/>
        <v>3000</v>
      </c>
      <c r="J66" s="390">
        <f t="shared" si="3"/>
        <v>4500</v>
      </c>
      <c r="K66" s="569">
        <f t="shared" si="4"/>
        <v>7875</v>
      </c>
      <c r="L66" s="174">
        <f t="shared" si="5"/>
        <v>3150</v>
      </c>
      <c r="M66" s="390">
        <f t="shared" si="6"/>
        <v>4725</v>
      </c>
      <c r="N66" s="174" t="e" cm="1">
        <f t="array" ref="N66">IF(ISERROR(_xlfn.XLOOKUP($A66,'IEA(2020)Coal'!$G:$G,'IEA(2020)Coal'!$G:$G)),SUMPRODUCT('IEA(2020)Coal'!$H$4:$H$83*('IEA(2020)Coal'!$G$4:$G$83="All"),'IEA(2020)Coal'!$I$4:$I$83*('IEA(2020)Coal'!$G$4:$G$83="All"))/SUMPRODUCT('IEA(2020)Coal'!$H$4:$H$83*('IEA(2020)Coal'!$G$4:$G$83="All")),SUMPRODUCT('IEA(2020)Coal'!$H$4:$H$83*('IEA(2020)Coal'!$G$4:$G$83=$A66),'IEA(2020)Coal'!$I$4:$I$83*('IEA(2020)Coal'!$G$4:$G$83=$A66))/SUMPRODUCT('IEA(2020)Coal'!$H$4:$H$83*('IEA(2020)Coal'!$G$4:$G$83=$A66)))/Legend!$B$90*10^3</f>
        <v>#DIV/0!</v>
      </c>
      <c r="O66" s="174" t="e">
        <f t="shared" si="7"/>
        <v>#DIV/0!</v>
      </c>
      <c r="P66" s="390" t="e">
        <f t="shared" si="8"/>
        <v>#DIV/0!</v>
      </c>
      <c r="Q66" s="174"/>
      <c r="R66" s="174"/>
      <c r="S66" s="174"/>
    </row>
    <row r="67" spans="1:19">
      <c r="A67" s="216" t="s">
        <v>220</v>
      </c>
      <c r="B67" s="216" cm="1">
        <f t="array" ref="B67">SUMPRODUCT('Aguilera(2014)'!$H$14:$AI$14*('Aguilera(2014)'!$H$12:$AI$12=$A67))/10^6*Legend!$B$114</f>
        <v>6.8907834721961625E-3</v>
      </c>
      <c r="C67" s="174">
        <f>B67*'WSJ(2016)Breakout'!$J$12</f>
        <v>2.6749699023062208E-3</v>
      </c>
      <c r="D67" s="174">
        <f t="shared" si="0"/>
        <v>4.2158135698899413E-3</v>
      </c>
      <c r="E67" s="566">
        <f>5/1000</f>
        <v>5.0000000000000001E-3</v>
      </c>
      <c r="F67" s="174">
        <f>E67*'WSJ(2016)Breakout'!$J$12</f>
        <v>1.9409766052724924E-3</v>
      </c>
      <c r="G67" s="390">
        <f t="shared" si="1"/>
        <v>3.0590233947275077E-3</v>
      </c>
      <c r="H67" s="569">
        <f>4*1000</f>
        <v>4000</v>
      </c>
      <c r="I67" s="174">
        <f t="shared" si="2"/>
        <v>1600</v>
      </c>
      <c r="J67" s="390">
        <f t="shared" si="3"/>
        <v>2400</v>
      </c>
      <c r="K67" s="569">
        <f t="shared" si="4"/>
        <v>4200</v>
      </c>
      <c r="L67" s="174">
        <f t="shared" si="5"/>
        <v>1680</v>
      </c>
      <c r="M67" s="390">
        <f t="shared" si="6"/>
        <v>2520</v>
      </c>
      <c r="N67" s="174" cm="1">
        <f t="array" ref="N67">IF(ISERROR(_xlfn.XLOOKUP($A67,'IEA(2020)Coal'!$G:$G,'IEA(2020)Coal'!$G:$G)),SUMPRODUCT('IEA(2020)Coal'!$H$4:$H$83*('IEA(2020)Coal'!$G$4:$G$83="All"),'IEA(2020)Coal'!$I$4:$I$83*('IEA(2020)Coal'!$G$4:$G$83="All"))/SUMPRODUCT('IEA(2020)Coal'!$H$4:$H$83*('IEA(2020)Coal'!$G$4:$G$83="All")),SUMPRODUCT('IEA(2020)Coal'!$H$4:$H$83*('IEA(2020)Coal'!$G$4:$G$83=$A67),'IEA(2020)Coal'!$I$4:$I$83*('IEA(2020)Coal'!$G$4:$G$83=$A67))/SUMPRODUCT('IEA(2020)Coal'!$H$4:$H$83*('IEA(2020)Coal'!$G$4:$G$83=$A67)))/Legend!$B$90*10^3</f>
        <v>2210.3858254677934</v>
      </c>
      <c r="O67" s="174">
        <f t="shared" si="7"/>
        <v>884.15433018711747</v>
      </c>
      <c r="P67" s="390">
        <f t="shared" si="8"/>
        <v>1326.231495280676</v>
      </c>
      <c r="Q67" s="174"/>
      <c r="R67" s="174"/>
      <c r="S67" s="174"/>
    </row>
    <row r="68" spans="1:19">
      <c r="A68" s="216" t="s">
        <v>223</v>
      </c>
      <c r="B68" s="216" cm="1">
        <f t="array" ref="B68">SUMPRODUCT('Aguilera(2014)'!$H$14:$AI$14*('Aguilera(2014)'!$H$12:$AI$12=$A68))/10^6*Legend!$B$114</f>
        <v>6.8907834721961625E-3</v>
      </c>
      <c r="C68" s="174">
        <f>B68*'WSJ(2016)Breakout'!$O$12</f>
        <v>2.8464441626061435E-3</v>
      </c>
      <c r="D68" s="174">
        <f t="shared" si="0"/>
        <v>4.0443393095900195E-3</v>
      </c>
      <c r="E68" s="566">
        <f>8.5/1000</f>
        <v>8.5000000000000006E-3</v>
      </c>
      <c r="F68" s="174">
        <f>E68*'WSJ(2016)Breakout'!$O$12</f>
        <v>3.5111791684902705E-3</v>
      </c>
      <c r="G68" s="390">
        <f t="shared" si="1"/>
        <v>4.9888208315097306E-3</v>
      </c>
      <c r="H68" s="569">
        <f>5*1000</f>
        <v>5000</v>
      </c>
      <c r="I68" s="174">
        <f t="shared" si="2"/>
        <v>2000</v>
      </c>
      <c r="J68" s="390">
        <f t="shared" si="3"/>
        <v>3000</v>
      </c>
      <c r="K68" s="569">
        <f t="shared" si="4"/>
        <v>5250</v>
      </c>
      <c r="L68" s="174">
        <f t="shared" si="5"/>
        <v>2100</v>
      </c>
      <c r="M68" s="390">
        <f t="shared" si="6"/>
        <v>3150</v>
      </c>
      <c r="N68" s="174" t="e" cm="1">
        <f t="array" ref="N68">IF(ISERROR(_xlfn.XLOOKUP($A68,'IEA(2020)Coal'!$G:$G,'IEA(2020)Coal'!$G:$G)),SUMPRODUCT('IEA(2020)Coal'!$H$4:$H$83*('IEA(2020)Coal'!$G$4:$G$83="All"),'IEA(2020)Coal'!$I$4:$I$83*('IEA(2020)Coal'!$G$4:$G$83="All"))/SUMPRODUCT('IEA(2020)Coal'!$H$4:$H$83*('IEA(2020)Coal'!$G$4:$G$83="All")),SUMPRODUCT('IEA(2020)Coal'!$H$4:$H$83*('IEA(2020)Coal'!$G$4:$G$83=$A68),'IEA(2020)Coal'!$I$4:$I$83*('IEA(2020)Coal'!$G$4:$G$83=$A68))/SUMPRODUCT('IEA(2020)Coal'!$H$4:$H$83*('IEA(2020)Coal'!$G$4:$G$83=$A68)))/Legend!$B$90*10^3</f>
        <v>#DIV/0!</v>
      </c>
      <c r="O68" s="174" t="e">
        <f t="shared" si="7"/>
        <v>#DIV/0!</v>
      </c>
      <c r="P68" s="390" t="e">
        <f t="shared" si="8"/>
        <v>#DIV/0!</v>
      </c>
      <c r="Q68" s="174"/>
      <c r="R68" s="174"/>
      <c r="S68" s="174"/>
    </row>
    <row r="69" spans="1:19">
      <c r="A69" s="216" t="s">
        <v>225</v>
      </c>
      <c r="B69" s="216" cm="1">
        <f t="array" ref="B69">SUMPRODUCT('Aguilera(2014)'!$H$14:$AI$14*('Aguilera(2014)'!$H$12:$AI$12=$A69))/10^6*Legend!$B$114</f>
        <v>6.8907834721961625E-3</v>
      </c>
      <c r="C69" s="174">
        <f>B69*'WSJ(2016)Breakout'!$O$12</f>
        <v>2.8464441626061435E-3</v>
      </c>
      <c r="D69" s="174">
        <f t="shared" si="0"/>
        <v>4.0443393095900195E-3</v>
      </c>
      <c r="E69" s="566">
        <f>E68</f>
        <v>8.5000000000000006E-3</v>
      </c>
      <c r="F69" s="174">
        <f>E69*'WSJ(2016)Breakout'!$O$12</f>
        <v>3.5111791684902705E-3</v>
      </c>
      <c r="G69" s="390">
        <f t="shared" si="1"/>
        <v>4.9888208315097306E-3</v>
      </c>
      <c r="H69" s="569">
        <f>H65</f>
        <v>7500</v>
      </c>
      <c r="I69" s="174">
        <f t="shared" si="2"/>
        <v>3000</v>
      </c>
      <c r="J69" s="390">
        <f t="shared" si="3"/>
        <v>4500</v>
      </c>
      <c r="K69" s="569">
        <f t="shared" si="4"/>
        <v>7875</v>
      </c>
      <c r="L69" s="174">
        <f t="shared" si="5"/>
        <v>3150</v>
      </c>
      <c r="M69" s="390">
        <f t="shared" si="6"/>
        <v>4725</v>
      </c>
      <c r="N69" s="174" t="e" cm="1">
        <f t="array" ref="N69">IF(ISERROR(_xlfn.XLOOKUP($A69,'IEA(2020)Coal'!$G:$G,'IEA(2020)Coal'!$G:$G)),SUMPRODUCT('IEA(2020)Coal'!$H$4:$H$83*('IEA(2020)Coal'!$G$4:$G$83="All"),'IEA(2020)Coal'!$I$4:$I$83*('IEA(2020)Coal'!$G$4:$G$83="All"))/SUMPRODUCT('IEA(2020)Coal'!$H$4:$H$83*('IEA(2020)Coal'!$G$4:$G$83="All")),SUMPRODUCT('IEA(2020)Coal'!$H$4:$H$83*('IEA(2020)Coal'!$G$4:$G$83=$A69),'IEA(2020)Coal'!$I$4:$I$83*('IEA(2020)Coal'!$G$4:$G$83=$A69))/SUMPRODUCT('IEA(2020)Coal'!$H$4:$H$83*('IEA(2020)Coal'!$G$4:$G$83=$A69)))/Legend!$B$90*10^3</f>
        <v>#DIV/0!</v>
      </c>
      <c r="O69" s="174" t="e">
        <f t="shared" si="7"/>
        <v>#DIV/0!</v>
      </c>
      <c r="P69" s="390" t="e">
        <f t="shared" si="8"/>
        <v>#DIV/0!</v>
      </c>
      <c r="Q69" s="174"/>
      <c r="R69" s="174"/>
      <c r="S69" s="174"/>
    </row>
    <row r="70" spans="1:19">
      <c r="A70" s="216" t="s">
        <v>227</v>
      </c>
      <c r="B70" s="216" cm="1">
        <f t="array" ref="B70">SUMPRODUCT('Aguilera(2014)'!$H$14:$AI$14*('Aguilera(2014)'!$H$12:$AI$12=$A70))/10^6*Legend!$B$114</f>
        <v>6.8907834721961625E-3</v>
      </c>
      <c r="C70" s="174">
        <f>B70*'WSJ(2016)Breakout'!$E$12</f>
        <v>1.6795328011730835E-3</v>
      </c>
      <c r="D70" s="174">
        <f t="shared" si="0"/>
        <v>5.2112506710230789E-3</v>
      </c>
      <c r="E70" s="566">
        <f>6/1000</f>
        <v>6.0000000000000001E-3</v>
      </c>
      <c r="F70" s="174">
        <f>E70*'WSJ(2016)Breakout'!$E$12</f>
        <v>1.4624166972738728E-3</v>
      </c>
      <c r="G70" s="390">
        <f t="shared" si="1"/>
        <v>4.5375833027261276E-3</v>
      </c>
      <c r="H70" s="569">
        <f>H60</f>
        <v>5000</v>
      </c>
      <c r="I70" s="174">
        <f t="shared" si="2"/>
        <v>2000</v>
      </c>
      <c r="J70" s="390">
        <f t="shared" si="3"/>
        <v>3000</v>
      </c>
      <c r="K70" s="569">
        <f t="shared" si="4"/>
        <v>5250</v>
      </c>
      <c r="L70" s="174">
        <f t="shared" si="5"/>
        <v>2100</v>
      </c>
      <c r="M70" s="390">
        <f t="shared" si="6"/>
        <v>3150</v>
      </c>
      <c r="N70" s="174" t="e" cm="1">
        <f t="array" ref="N70">IF(ISERROR(_xlfn.XLOOKUP($A70,'IEA(2020)Coal'!$G:$G,'IEA(2020)Coal'!$G:$G)),SUMPRODUCT('IEA(2020)Coal'!$H$4:$H$83*('IEA(2020)Coal'!$G$4:$G$83="All"),'IEA(2020)Coal'!$I$4:$I$83*('IEA(2020)Coal'!$G$4:$G$83="All"))/SUMPRODUCT('IEA(2020)Coal'!$H$4:$H$83*('IEA(2020)Coal'!$G$4:$G$83="All")),SUMPRODUCT('IEA(2020)Coal'!$H$4:$H$83*('IEA(2020)Coal'!$G$4:$G$83=$A70),'IEA(2020)Coal'!$I$4:$I$83*('IEA(2020)Coal'!$G$4:$G$83=$A70))/SUMPRODUCT('IEA(2020)Coal'!$H$4:$H$83*('IEA(2020)Coal'!$G$4:$G$83=$A70)))/Legend!$B$90*10^3</f>
        <v>#DIV/0!</v>
      </c>
      <c r="O70" s="174" t="e">
        <f t="shared" si="7"/>
        <v>#DIV/0!</v>
      </c>
      <c r="P70" s="390" t="e">
        <f t="shared" si="8"/>
        <v>#DIV/0!</v>
      </c>
      <c r="Q70" s="174"/>
      <c r="R70" s="174"/>
      <c r="S70" s="174"/>
    </row>
    <row r="71" spans="1:19">
      <c r="A71" s="216" t="s">
        <v>230</v>
      </c>
      <c r="B71" s="216" cm="1">
        <f t="array" ref="B71">SUMPRODUCT('Aguilera(2014)'!$H$14:$AI$14*('Aguilera(2014)'!$H$12:$AI$12=$A71))/10^6*Legend!$B$114</f>
        <v>6.8907834721961625E-3</v>
      </c>
      <c r="C71" s="174">
        <f>B71*'WSJ(2016)Breakout'!$O$12</f>
        <v>2.8464441626061435E-3</v>
      </c>
      <c r="D71" s="174">
        <f t="shared" si="0"/>
        <v>4.0443393095900195E-3</v>
      </c>
      <c r="E71" s="566">
        <f>7.5/1000</f>
        <v>7.4999999999999997E-3</v>
      </c>
      <c r="F71" s="174">
        <f>E71*'WSJ(2016)Breakout'!$O$12</f>
        <v>3.0980992663149445E-3</v>
      </c>
      <c r="G71" s="390">
        <f t="shared" si="1"/>
        <v>4.4019007336850557E-3</v>
      </c>
      <c r="H71" s="569">
        <f>6*1000</f>
        <v>6000</v>
      </c>
      <c r="I71" s="174">
        <f t="shared" si="2"/>
        <v>2400</v>
      </c>
      <c r="J71" s="390">
        <f t="shared" si="3"/>
        <v>3600</v>
      </c>
      <c r="K71" s="569">
        <f t="shared" si="4"/>
        <v>6300</v>
      </c>
      <c r="L71" s="174">
        <f t="shared" si="5"/>
        <v>2520</v>
      </c>
      <c r="M71" s="390">
        <f t="shared" si="6"/>
        <v>3780</v>
      </c>
      <c r="N71" s="174" t="e" cm="1">
        <f t="array" ref="N71">IF(ISERROR(_xlfn.XLOOKUP($A71,'IEA(2020)Coal'!$G:$G,'IEA(2020)Coal'!$G:$G)),SUMPRODUCT('IEA(2020)Coal'!$H$4:$H$83*('IEA(2020)Coal'!$G$4:$G$83="All"),'IEA(2020)Coal'!$I$4:$I$83*('IEA(2020)Coal'!$G$4:$G$83="All"))/SUMPRODUCT('IEA(2020)Coal'!$H$4:$H$83*('IEA(2020)Coal'!$G$4:$G$83="All")),SUMPRODUCT('IEA(2020)Coal'!$H$4:$H$83*('IEA(2020)Coal'!$G$4:$G$83=$A71),'IEA(2020)Coal'!$I$4:$I$83*('IEA(2020)Coal'!$G$4:$G$83=$A71))/SUMPRODUCT('IEA(2020)Coal'!$H$4:$H$83*('IEA(2020)Coal'!$G$4:$G$83=$A71)))/Legend!$B$90*10^3</f>
        <v>#DIV/0!</v>
      </c>
      <c r="O71" s="174" t="e">
        <f t="shared" si="7"/>
        <v>#DIV/0!</v>
      </c>
      <c r="P71" s="390" t="e">
        <f t="shared" si="8"/>
        <v>#DIV/0!</v>
      </c>
      <c r="Q71" s="174"/>
      <c r="R71" s="174"/>
      <c r="S71" s="174"/>
    </row>
    <row r="72" spans="1:19">
      <c r="A72" s="216" t="s">
        <v>233</v>
      </c>
      <c r="B72" s="216" cm="1">
        <f t="array" ref="B72">SUMPRODUCT('Aguilera(2014)'!$H$14:$AI$14*('Aguilera(2014)'!$H$12:$AI$12=$A72))/10^6*Legend!$B$114</f>
        <v>2.2677916377422569E-3</v>
      </c>
      <c r="C72" s="174">
        <f>B72*AVERAGE('WSJ(2016)Breakout'!$L$12:$N$12)</f>
        <v>1.0252875075175858E-3</v>
      </c>
      <c r="D72" s="174">
        <f t="shared" si="0"/>
        <v>1.2425041302246711E-3</v>
      </c>
      <c r="E72" s="566">
        <f>3/1000</f>
        <v>3.0000000000000001E-3</v>
      </c>
      <c r="F72" s="174">
        <f>E72*AVERAGE('WSJ(2016)Breakout'!$L$12:$N$12)</f>
        <v>1.3563250130047182E-3</v>
      </c>
      <c r="G72" s="390">
        <f t="shared" si="1"/>
        <v>1.6436749869952819E-3</v>
      </c>
      <c r="H72" s="569">
        <f>H66</f>
        <v>7500</v>
      </c>
      <c r="I72" s="174">
        <f t="shared" si="2"/>
        <v>3000</v>
      </c>
      <c r="J72" s="390">
        <f t="shared" si="3"/>
        <v>4500</v>
      </c>
      <c r="K72" s="569">
        <f t="shared" si="4"/>
        <v>7875</v>
      </c>
      <c r="L72" s="174">
        <f t="shared" si="5"/>
        <v>3150</v>
      </c>
      <c r="M72" s="390">
        <f t="shared" si="6"/>
        <v>4725</v>
      </c>
      <c r="N72" s="174" t="e" cm="1">
        <f t="array" ref="N72">IF(ISERROR(_xlfn.XLOOKUP($A72,'IEA(2020)Coal'!$G:$G,'IEA(2020)Coal'!$G:$G)),SUMPRODUCT('IEA(2020)Coal'!$H$4:$H$83*('IEA(2020)Coal'!$G$4:$G$83="All"),'IEA(2020)Coal'!$I$4:$I$83*('IEA(2020)Coal'!$G$4:$G$83="All"))/SUMPRODUCT('IEA(2020)Coal'!$H$4:$H$83*('IEA(2020)Coal'!$G$4:$G$83="All")),SUMPRODUCT('IEA(2020)Coal'!$H$4:$H$83*('IEA(2020)Coal'!$G$4:$G$83=$A72),'IEA(2020)Coal'!$I$4:$I$83*('IEA(2020)Coal'!$G$4:$G$83=$A72))/SUMPRODUCT('IEA(2020)Coal'!$H$4:$H$83*('IEA(2020)Coal'!$G$4:$G$83=$A72)))/Legend!$B$90*10^3</f>
        <v>#DIV/0!</v>
      </c>
      <c r="O72" s="174" t="e">
        <f t="shared" si="7"/>
        <v>#DIV/0!</v>
      </c>
      <c r="P72" s="390" t="e">
        <f t="shared" si="8"/>
        <v>#DIV/0!</v>
      </c>
      <c r="Q72" s="174"/>
      <c r="R72" s="174"/>
      <c r="S72" s="174"/>
    </row>
    <row r="73" spans="1:19">
      <c r="A73" s="216" t="s">
        <v>236</v>
      </c>
      <c r="B73" s="216" cm="1">
        <f t="array" ref="B73">SUMPRODUCT('Aguilera(2014)'!$H$14:$AI$14*('Aguilera(2014)'!$H$12:$AI$12=$A73))/10^6*Legend!$B$114</f>
        <v>6.8907834721961625E-3</v>
      </c>
      <c r="C73" s="174">
        <f>B73*'WSJ(2016)Breakout'!$O$12</f>
        <v>2.8464441626061435E-3</v>
      </c>
      <c r="D73" s="174">
        <f t="shared" si="0"/>
        <v>4.0443393095900195E-3</v>
      </c>
      <c r="E73" s="566">
        <f>5/1000</f>
        <v>5.0000000000000001E-3</v>
      </c>
      <c r="F73" s="174">
        <f>E73*'WSJ(2016)Breakout'!$O$12</f>
        <v>2.0653995108766295E-3</v>
      </c>
      <c r="G73" s="390">
        <f t="shared" si="1"/>
        <v>2.9346004891233706E-3</v>
      </c>
      <c r="H73" s="569">
        <f>5*1000</f>
        <v>5000</v>
      </c>
      <c r="I73" s="174">
        <f t="shared" si="2"/>
        <v>2000</v>
      </c>
      <c r="J73" s="390">
        <f t="shared" si="3"/>
        <v>3000</v>
      </c>
      <c r="K73" s="569">
        <f t="shared" si="4"/>
        <v>5250</v>
      </c>
      <c r="L73" s="174">
        <f t="shared" si="5"/>
        <v>2100</v>
      </c>
      <c r="M73" s="390">
        <f t="shared" si="6"/>
        <v>3150</v>
      </c>
      <c r="N73" s="174" t="e" cm="1">
        <f t="array" ref="N73">IF(ISERROR(_xlfn.XLOOKUP($A73,'IEA(2020)Coal'!$G:$G,'IEA(2020)Coal'!$G:$G)),SUMPRODUCT('IEA(2020)Coal'!$H$4:$H$83*('IEA(2020)Coal'!$G$4:$G$83="All"),'IEA(2020)Coal'!$I$4:$I$83*('IEA(2020)Coal'!$G$4:$G$83="All"))/SUMPRODUCT('IEA(2020)Coal'!$H$4:$H$83*('IEA(2020)Coal'!$G$4:$G$83="All")),SUMPRODUCT('IEA(2020)Coal'!$H$4:$H$83*('IEA(2020)Coal'!$G$4:$G$83=$A73),'IEA(2020)Coal'!$I$4:$I$83*('IEA(2020)Coal'!$G$4:$G$83=$A73))/SUMPRODUCT('IEA(2020)Coal'!$H$4:$H$83*('IEA(2020)Coal'!$G$4:$G$83=$A73)))/Legend!$B$90*10^3</f>
        <v>#DIV/0!</v>
      </c>
      <c r="O73" s="174" t="e">
        <f t="shared" si="7"/>
        <v>#DIV/0!</v>
      </c>
      <c r="P73" s="390" t="e">
        <f t="shared" si="8"/>
        <v>#DIV/0!</v>
      </c>
      <c r="Q73" s="174"/>
      <c r="R73" s="174"/>
      <c r="S73" s="174"/>
    </row>
    <row r="74" spans="1:19">
      <c r="A74" s="216" t="s">
        <v>238</v>
      </c>
      <c r="B74" s="216" cm="1">
        <f t="array" ref="B74">SUMPRODUCT('Aguilera(2014)'!$H$14:$AI$14*('Aguilera(2014)'!$H$12:$AI$12=$A74))/10^6*Legend!$B$114</f>
        <v>4.1333532178376639E-3</v>
      </c>
      <c r="C74" s="174">
        <f>B74*'WSJ(2016)Breakout'!$D$12</f>
        <v>1.8758861657630788E-3</v>
      </c>
      <c r="D74" s="174">
        <f t="shared" si="0"/>
        <v>2.2574670520745851E-3</v>
      </c>
      <c r="E74" s="566">
        <f>4/1000</f>
        <v>4.0000000000000001E-3</v>
      </c>
      <c r="F74" s="174">
        <f>E74*'WSJ(2016)Breakout'!$D$12</f>
        <v>1.8153649755047417E-3</v>
      </c>
      <c r="G74" s="390">
        <f t="shared" si="1"/>
        <v>2.1846350244952581E-3</v>
      </c>
      <c r="H74" s="569">
        <f>5*1000</f>
        <v>5000</v>
      </c>
      <c r="I74" s="174">
        <f t="shared" si="2"/>
        <v>2000</v>
      </c>
      <c r="J74" s="390">
        <f t="shared" si="3"/>
        <v>3000</v>
      </c>
      <c r="K74" s="569">
        <f t="shared" si="4"/>
        <v>5250</v>
      </c>
      <c r="L74" s="174">
        <f t="shared" si="5"/>
        <v>2100</v>
      </c>
      <c r="M74" s="390">
        <f t="shared" si="6"/>
        <v>3150</v>
      </c>
      <c r="N74" s="174" t="e" cm="1">
        <f t="array" ref="N74">IF(ISERROR(_xlfn.XLOOKUP($A74,'IEA(2020)Coal'!$G:$G,'IEA(2020)Coal'!$G:$G)),SUMPRODUCT('IEA(2020)Coal'!$H$4:$H$83*('IEA(2020)Coal'!$G$4:$G$83="All"),'IEA(2020)Coal'!$I$4:$I$83*('IEA(2020)Coal'!$G$4:$G$83="All"))/SUMPRODUCT('IEA(2020)Coal'!$H$4:$H$83*('IEA(2020)Coal'!$G$4:$G$83="All")),SUMPRODUCT('IEA(2020)Coal'!$H$4:$H$83*('IEA(2020)Coal'!$G$4:$G$83=$A74),'IEA(2020)Coal'!$I$4:$I$83*('IEA(2020)Coal'!$G$4:$G$83=$A74))/SUMPRODUCT('IEA(2020)Coal'!$H$4:$H$83*('IEA(2020)Coal'!$G$4:$G$83=$A74)))/Legend!$B$90*10^3</f>
        <v>#DIV/0!</v>
      </c>
      <c r="O74" s="174" t="e">
        <f t="shared" si="7"/>
        <v>#DIV/0!</v>
      </c>
      <c r="P74" s="390" t="e">
        <f t="shared" si="8"/>
        <v>#DIV/0!</v>
      </c>
      <c r="Q74" s="174"/>
      <c r="R74" s="174"/>
      <c r="S74" s="174"/>
    </row>
    <row r="75" spans="1:19">
      <c r="A75" s="216" t="s">
        <v>240</v>
      </c>
      <c r="B75" s="216" cm="1">
        <f t="array" ref="B75">SUMPRODUCT('Aguilera(2014)'!$H$14:$AI$14*('Aguilera(2014)'!$H$12:$AI$12=$A75))/10^6*Legend!$B$114</f>
        <v>6.8907834721961625E-3</v>
      </c>
      <c r="C75" s="174">
        <f>B75*'WSJ(2016)Breakout'!$K$12</f>
        <v>1.8170582643904007E-3</v>
      </c>
      <c r="D75" s="174">
        <f t="shared" si="0"/>
        <v>5.0737252078057616E-3</v>
      </c>
      <c r="E75" s="566">
        <f>4/1000</f>
        <v>4.0000000000000001E-3</v>
      </c>
      <c r="F75" s="174">
        <f>E75*'WSJ(2016)Breakout'!$K$12</f>
        <v>1.0547760043380296E-3</v>
      </c>
      <c r="G75" s="390">
        <f t="shared" si="1"/>
        <v>2.9452239956619707E-3</v>
      </c>
      <c r="H75" s="569">
        <f>3.25*1000</f>
        <v>3250</v>
      </c>
      <c r="I75" s="174">
        <f t="shared" si="2"/>
        <v>1300</v>
      </c>
      <c r="J75" s="390">
        <f t="shared" si="3"/>
        <v>1950</v>
      </c>
      <c r="K75" s="569">
        <f t="shared" si="4"/>
        <v>3412.5</v>
      </c>
      <c r="L75" s="174">
        <f t="shared" si="5"/>
        <v>1365</v>
      </c>
      <c r="M75" s="390">
        <f t="shared" si="6"/>
        <v>2047.5</v>
      </c>
      <c r="N75" s="174" cm="1">
        <f t="array" ref="N75">IF(ISERROR(_xlfn.XLOOKUP($A75,'IEA(2020)Coal'!$G:$G,'IEA(2020)Coal'!$G:$G)),SUMPRODUCT('IEA(2020)Coal'!$H$4:$H$83*('IEA(2020)Coal'!$G$4:$G$83="All"),'IEA(2020)Coal'!$I$4:$I$83*('IEA(2020)Coal'!$G$4:$G$83="All"))/SUMPRODUCT('IEA(2020)Coal'!$H$4:$H$83*('IEA(2020)Coal'!$G$4:$G$83="All")),SUMPRODUCT('IEA(2020)Coal'!$H$4:$H$83*('IEA(2020)Coal'!$G$4:$G$83=$A75),'IEA(2020)Coal'!$I$4:$I$83*('IEA(2020)Coal'!$G$4:$G$83=$A75))/SUMPRODUCT('IEA(2020)Coal'!$H$4:$H$83*('IEA(2020)Coal'!$G$4:$G$83=$A75)))/Legend!$B$90*10^3</f>
        <v>1836.0655737704919</v>
      </c>
      <c r="O75" s="174">
        <f t="shared" si="7"/>
        <v>734.4262295081968</v>
      </c>
      <c r="P75" s="390">
        <f t="shared" si="8"/>
        <v>1101.6393442622953</v>
      </c>
      <c r="Q75" s="174"/>
      <c r="R75" s="174"/>
      <c r="S75" s="174"/>
    </row>
    <row r="76" spans="1:19">
      <c r="A76" s="216" t="s">
        <v>243</v>
      </c>
      <c r="B76" s="216" cm="1">
        <f t="array" ref="B76">SUMPRODUCT('Aguilera(2014)'!$H$14:$AI$14*('Aguilera(2014)'!$H$12:$AI$12=$A76))/10^6*Legend!$B$114</f>
        <v>6.8907834721961625E-3</v>
      </c>
      <c r="C76" s="174">
        <f>B76*'WSJ(2016)Breakout'!$O$12</f>
        <v>2.8464441626061435E-3</v>
      </c>
      <c r="D76" s="174">
        <f t="shared" si="0"/>
        <v>4.0443393095900195E-3</v>
      </c>
      <c r="E76" s="566">
        <f>E69</f>
        <v>8.5000000000000006E-3</v>
      </c>
      <c r="F76" s="174">
        <f>E76*'WSJ(2016)Breakout'!$O$12</f>
        <v>3.5111791684902705E-3</v>
      </c>
      <c r="G76" s="390">
        <f t="shared" si="1"/>
        <v>4.9888208315097306E-3</v>
      </c>
      <c r="H76" s="569">
        <f>H72</f>
        <v>7500</v>
      </c>
      <c r="I76" s="174">
        <f t="shared" si="2"/>
        <v>3000</v>
      </c>
      <c r="J76" s="390">
        <f t="shared" si="3"/>
        <v>4500</v>
      </c>
      <c r="K76" s="569">
        <f t="shared" si="4"/>
        <v>7875</v>
      </c>
      <c r="L76" s="174">
        <f t="shared" si="5"/>
        <v>3150</v>
      </c>
      <c r="M76" s="390">
        <f t="shared" si="6"/>
        <v>4725</v>
      </c>
      <c r="N76" s="174" t="e" cm="1">
        <f t="array" ref="N76">IF(ISERROR(_xlfn.XLOOKUP($A76,'IEA(2020)Coal'!$G:$G,'IEA(2020)Coal'!$G:$G)),SUMPRODUCT('IEA(2020)Coal'!$H$4:$H$83*('IEA(2020)Coal'!$G$4:$G$83="All"),'IEA(2020)Coal'!$I$4:$I$83*('IEA(2020)Coal'!$G$4:$G$83="All"))/SUMPRODUCT('IEA(2020)Coal'!$H$4:$H$83*('IEA(2020)Coal'!$G$4:$G$83="All")),SUMPRODUCT('IEA(2020)Coal'!$H$4:$H$83*('IEA(2020)Coal'!$G$4:$G$83=$A76),'IEA(2020)Coal'!$I$4:$I$83*('IEA(2020)Coal'!$G$4:$G$83=$A76))/SUMPRODUCT('IEA(2020)Coal'!$H$4:$H$83*('IEA(2020)Coal'!$G$4:$G$83=$A76)))/Legend!$B$90*10^3</f>
        <v>#DIV/0!</v>
      </c>
      <c r="O76" s="174" t="e">
        <f t="shared" si="7"/>
        <v>#DIV/0!</v>
      </c>
      <c r="P76" s="390" t="e">
        <f t="shared" si="8"/>
        <v>#DIV/0!</v>
      </c>
      <c r="Q76" s="174"/>
      <c r="R76" s="174"/>
      <c r="S76" s="174"/>
    </row>
    <row r="77" spans="1:19">
      <c r="A77" s="391" t="s">
        <v>245</v>
      </c>
      <c r="B77" s="391" cm="1">
        <f t="array" ref="B77">SUMPRODUCT('Aguilera(2014)'!$H$14:$AI$14*('Aguilera(2014)'!$H$12:$AI$12=$A77))/10^6*Legend!$B$114</f>
        <v>6.8907834721961625E-3</v>
      </c>
      <c r="C77" s="392">
        <f>B77*AVERAGE('WSJ(2016)Breakout'!$I$12,'WSJ(2016)Breakout'!$G$12)</f>
        <v>2.3743666907680878E-3</v>
      </c>
      <c r="D77" s="392">
        <f t="shared" si="0"/>
        <v>4.5164167814280747E-3</v>
      </c>
      <c r="E77" s="567">
        <f>5/1000</f>
        <v>5.0000000000000001E-3</v>
      </c>
      <c r="F77" s="392">
        <f>E77*AVERAGE('WSJ(2016)Breakout'!$I$12,'WSJ(2016)Breakout'!$G$12)</f>
        <v>1.7228568422941268E-3</v>
      </c>
      <c r="G77" s="393">
        <f t="shared" si="1"/>
        <v>3.2771431577058733E-3</v>
      </c>
      <c r="H77" s="570">
        <f>4*1000</f>
        <v>4000</v>
      </c>
      <c r="I77" s="392">
        <f t="shared" si="2"/>
        <v>1600</v>
      </c>
      <c r="J77" s="393">
        <f t="shared" si="3"/>
        <v>2400</v>
      </c>
      <c r="K77" s="570">
        <f t="shared" si="4"/>
        <v>4200</v>
      </c>
      <c r="L77" s="392">
        <f t="shared" si="5"/>
        <v>1680</v>
      </c>
      <c r="M77" s="393">
        <f t="shared" si="6"/>
        <v>2520</v>
      </c>
      <c r="N77" s="392" t="e" cm="1">
        <f t="array" ref="N77">IF(ISERROR(_xlfn.XLOOKUP($A77,'IEA(2020)Coal'!$G:$G,'IEA(2020)Coal'!$G:$G)),SUMPRODUCT('IEA(2020)Coal'!$H$4:$H$83*('IEA(2020)Coal'!$G$4:$G$83="All"),'IEA(2020)Coal'!$I$4:$I$83*('IEA(2020)Coal'!$G$4:$G$83="All"))/SUMPRODUCT('IEA(2020)Coal'!$H$4:$H$83*('IEA(2020)Coal'!$G$4:$G$83="All")),SUMPRODUCT('IEA(2020)Coal'!$H$4:$H$83*('IEA(2020)Coal'!$G$4:$G$83=$A77),'IEA(2020)Coal'!$I$4:$I$83*('IEA(2020)Coal'!$G$4:$G$83=$A77))/SUMPRODUCT('IEA(2020)Coal'!$H$4:$H$83*('IEA(2020)Coal'!$G$4:$G$83=$A77)))/Legend!$B$90*10^3</f>
        <v>#DIV/0!</v>
      </c>
      <c r="O77" s="392" t="e">
        <f t="shared" si="7"/>
        <v>#DIV/0!</v>
      </c>
      <c r="P77" s="393" t="e">
        <f t="shared" si="8"/>
        <v>#DIV/0!</v>
      </c>
      <c r="Q77" s="174"/>
      <c r="R77" s="174"/>
      <c r="S77" s="174"/>
    </row>
  </sheetData>
  <sortState xmlns:xlrd2="http://schemas.microsoft.com/office/spreadsheetml/2017/richdata2" ref="A50:A77">
    <sortCondition ref="A50:A77"/>
  </sortState>
  <mergeCells count="16">
    <mergeCell ref="H4:J4"/>
    <mergeCell ref="H5:J5"/>
    <mergeCell ref="H6:J6"/>
    <mergeCell ref="K7:N7"/>
    <mergeCell ref="O7:R7"/>
    <mergeCell ref="K4:R4"/>
    <mergeCell ref="K5:R5"/>
    <mergeCell ref="K6:R6"/>
    <mergeCell ref="B47:D47"/>
    <mergeCell ref="E47:G47"/>
    <mergeCell ref="C5:D5"/>
    <mergeCell ref="C6:D6"/>
    <mergeCell ref="C4:D4"/>
    <mergeCell ref="E5:G5"/>
    <mergeCell ref="E4:G4"/>
    <mergeCell ref="E6:G6"/>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5E8A0-837A-4861-BC1D-9DC8BA0B5350}">
  <sheetPr>
    <tabColor theme="4" tint="0.39997558519241921"/>
  </sheetPr>
  <dimension ref="A1:AG195"/>
  <sheetViews>
    <sheetView workbookViewId="0">
      <pane xSplit="4" ySplit="5" topLeftCell="Z6" activePane="bottomRight" state="frozen"/>
      <selection pane="topRight" activeCell="E1" sqref="E1"/>
      <selection pane="bottomLeft" activeCell="A6" sqref="A6"/>
      <selection pane="bottomRight" activeCell="AC12" sqref="AC12"/>
    </sheetView>
  </sheetViews>
  <sheetFormatPr defaultRowHeight="15.6"/>
  <cols>
    <col min="1" max="1" width="37.5" bestFit="1" customWidth="1"/>
    <col min="2" max="2" width="31.3984375" bestFit="1" customWidth="1"/>
    <col min="3" max="3" width="26.8984375" bestFit="1" customWidth="1"/>
    <col min="4" max="4" width="28.09765625" bestFit="1" customWidth="1"/>
    <col min="5" max="5" width="12.8984375" bestFit="1" customWidth="1"/>
    <col min="6" max="6" width="13.3984375" bestFit="1" customWidth="1"/>
    <col min="7" max="10" width="12.8984375" bestFit="1" customWidth="1"/>
    <col min="11" max="11" width="13.3984375" bestFit="1" customWidth="1"/>
    <col min="12" max="13" width="12.69921875" bestFit="1" customWidth="1"/>
    <col min="14" max="14" width="13.3984375" bestFit="1" customWidth="1"/>
    <col min="15" max="15" width="13.8984375" bestFit="1" customWidth="1"/>
    <col min="16" max="16" width="14.3984375" bestFit="1" customWidth="1"/>
    <col min="17" max="18" width="14" bestFit="1" customWidth="1"/>
    <col min="19" max="19" width="13.8984375" bestFit="1" customWidth="1"/>
    <col min="20" max="20" width="14" bestFit="1" customWidth="1"/>
    <col min="21" max="21" width="13.69921875" bestFit="1" customWidth="1"/>
    <col min="22" max="22" width="13.8984375" bestFit="1" customWidth="1"/>
    <col min="23" max="23" width="13.69921875" bestFit="1" customWidth="1"/>
    <col min="24" max="24" width="14" bestFit="1" customWidth="1"/>
    <col min="25" max="25" width="12.8984375" bestFit="1" customWidth="1"/>
    <col min="26" max="26" width="13.8984375" bestFit="1" customWidth="1"/>
    <col min="27" max="27" width="14" bestFit="1" customWidth="1"/>
    <col min="28" max="28" width="13.3984375" bestFit="1" customWidth="1"/>
    <col min="29" max="29" width="14" bestFit="1" customWidth="1"/>
    <col min="30" max="30" width="13.69921875" bestFit="1" customWidth="1"/>
    <col min="31" max="31" width="13.8984375" bestFit="1" customWidth="1"/>
    <col min="32" max="32" width="13.3984375" bestFit="1" customWidth="1"/>
  </cols>
  <sheetData>
    <row r="1" spans="1:33">
      <c r="A1" s="345" t="s">
        <v>828</v>
      </c>
    </row>
    <row r="3" spans="1:33">
      <c r="A3" s="175" t="s">
        <v>829</v>
      </c>
    </row>
    <row r="5" spans="1:33">
      <c r="E5" t="s">
        <v>172</v>
      </c>
      <c r="F5" t="s">
        <v>175</v>
      </c>
      <c r="G5" t="s">
        <v>178</v>
      </c>
      <c r="H5" t="s">
        <v>181</v>
      </c>
      <c r="I5" t="s">
        <v>184</v>
      </c>
      <c r="J5" t="s">
        <v>187</v>
      </c>
      <c r="K5" t="s">
        <v>190</v>
      </c>
      <c r="L5" t="s">
        <v>193</v>
      </c>
      <c r="M5" t="s">
        <v>196</v>
      </c>
      <c r="N5" t="s">
        <v>198</v>
      </c>
      <c r="O5" t="s">
        <v>200</v>
      </c>
      <c r="P5" t="s">
        <v>202</v>
      </c>
      <c r="Q5" t="s">
        <v>205</v>
      </c>
      <c r="R5" t="s">
        <v>208</v>
      </c>
      <c r="S5" t="s">
        <v>211</v>
      </c>
      <c r="T5" t="s">
        <v>214</v>
      </c>
      <c r="U5" t="s">
        <v>217</v>
      </c>
      <c r="V5" t="s">
        <v>220</v>
      </c>
      <c r="W5" t="s">
        <v>223</v>
      </c>
      <c r="X5" t="s">
        <v>225</v>
      </c>
      <c r="Y5" t="s">
        <v>227</v>
      </c>
      <c r="Z5" t="s">
        <v>230</v>
      </c>
      <c r="AA5" t="s">
        <v>233</v>
      </c>
      <c r="AB5" t="s">
        <v>236</v>
      </c>
      <c r="AC5" t="s">
        <v>238</v>
      </c>
      <c r="AD5" t="s">
        <v>240</v>
      </c>
      <c r="AE5" t="s">
        <v>243</v>
      </c>
      <c r="AF5" t="s">
        <v>245</v>
      </c>
    </row>
    <row r="6" spans="1:33">
      <c r="A6" t="s">
        <v>830</v>
      </c>
      <c r="B6" t="s">
        <v>831</v>
      </c>
      <c r="C6" t="s">
        <v>387</v>
      </c>
      <c r="E6" s="173">
        <v>256930.19999999998</v>
      </c>
      <c r="F6" s="173">
        <v>4250220.5477999998</v>
      </c>
      <c r="G6" s="173">
        <v>603764.81999999995</v>
      </c>
      <c r="H6" s="173">
        <v>1277544.0924</v>
      </c>
      <c r="I6" s="173">
        <v>1259834.1367349999</v>
      </c>
      <c r="J6" s="173">
        <v>2224195.0189999999</v>
      </c>
      <c r="K6" s="173">
        <v>7269048.2463999996</v>
      </c>
      <c r="L6" s="173">
        <v>1006071.6599999999</v>
      </c>
      <c r="M6" s="173">
        <v>5219033.82</v>
      </c>
      <c r="N6" s="173">
        <v>4156363.86</v>
      </c>
      <c r="O6" s="173">
        <v>497752.37372520001</v>
      </c>
      <c r="P6" s="173">
        <v>36008200</v>
      </c>
      <c r="Q6" s="173">
        <v>3103712.1629999997</v>
      </c>
      <c r="R6" s="173">
        <v>3613820.7350000003</v>
      </c>
      <c r="S6" s="173">
        <v>4257715.0780000007</v>
      </c>
      <c r="T6" s="173">
        <v>12367507.856000001</v>
      </c>
      <c r="U6" s="173">
        <v>11242249.420399999</v>
      </c>
      <c r="V6" s="173">
        <v>3746054.1599999992</v>
      </c>
      <c r="W6" s="173">
        <v>10569331.799999999</v>
      </c>
      <c r="X6" s="173">
        <v>7229481.2800000003</v>
      </c>
      <c r="Y6" s="173">
        <v>8141049.4554000013</v>
      </c>
      <c r="Z6" s="173">
        <v>3298219.8602100001</v>
      </c>
      <c r="AA6" s="173">
        <v>19043946.449999996</v>
      </c>
      <c r="AB6" s="173">
        <v>3558840.4095000001</v>
      </c>
      <c r="AC6" s="173">
        <v>454428.9</v>
      </c>
      <c r="AD6" s="173">
        <v>12148560</v>
      </c>
      <c r="AE6" s="173">
        <v>6742435.6860000007</v>
      </c>
      <c r="AF6" s="173">
        <v>40313851.68</v>
      </c>
    </row>
    <row r="7" spans="1:33">
      <c r="A7" t="s">
        <v>830</v>
      </c>
      <c r="B7" t="s">
        <v>690</v>
      </c>
      <c r="C7" t="s">
        <v>387</v>
      </c>
      <c r="E7" s="173">
        <f>E6/'UN(2023)EnergyStat_Refineries'!D20</f>
        <v>256930.19999999998</v>
      </c>
      <c r="F7" s="173">
        <f>F6/'UN(2023)EnergyStat_Refineries'!E20</f>
        <v>4531082.277833919</v>
      </c>
      <c r="G7" s="173">
        <f>G6/'UN(2023)EnergyStat_Refineries'!F20</f>
        <v>656623.07552848931</v>
      </c>
      <c r="H7" s="173">
        <f>H6/'UN(2023)EnergyStat_Refineries'!G20</f>
        <v>1280868.4543180712</v>
      </c>
      <c r="I7" s="173">
        <f>I6/'UN(2023)EnergyStat_Refineries'!H20</f>
        <v>1356680.0453249847</v>
      </c>
      <c r="J7" s="173">
        <f>J6/'UN(2023)EnergyStat_Refineries'!I20</f>
        <v>2427113.3877151455</v>
      </c>
      <c r="K7" s="173">
        <f>K6/'UN(2023)EnergyStat_Refineries'!J20</f>
        <v>7697710.4370571729</v>
      </c>
      <c r="L7" s="173">
        <f>L6/'UN(2023)EnergyStat_Refineries'!K20</f>
        <v>1020447.7198730145</v>
      </c>
      <c r="M7" s="173">
        <f>M6/'UN(2023)EnergyStat_Refineries'!L20</f>
        <v>5565141.2937974306</v>
      </c>
      <c r="N7" s="173">
        <f>N6/'UN(2023)EnergyStat_Refineries'!M20</f>
        <v>7292368.7031852268</v>
      </c>
      <c r="O7" s="173">
        <f>O6/'UN(2023)EnergyStat_Refineries'!N20</f>
        <v>572664.42686724477</v>
      </c>
      <c r="P7" s="173">
        <f>P6/'UN(2023)EnergyStat_Refineries'!O20</f>
        <v>41306760.143204123</v>
      </c>
      <c r="Q7" s="173">
        <f>Q6/'UN(2023)EnergyStat_Refineries'!P20</f>
        <v>3321464.2510585105</v>
      </c>
      <c r="R7" s="173">
        <f>R6/'UN(2023)EnergyStat_Refineries'!Q20</f>
        <v>4106804.0013080668</v>
      </c>
      <c r="S7" s="173">
        <f>S6/'UN(2023)EnergyStat_Refineries'!R20</f>
        <v>4549764.3639558116</v>
      </c>
      <c r="T7" s="173">
        <f>T6/'UN(2023)EnergyStat_Refineries'!S20</f>
        <v>13451571.337923802</v>
      </c>
      <c r="U7" s="173">
        <f>U6/'UN(2023)EnergyStat_Refineries'!T20</f>
        <v>12572003.345489489</v>
      </c>
      <c r="V7" s="173">
        <f>V6/'UN(2023)EnergyStat_Refineries'!U20</f>
        <v>3746054.1599999992</v>
      </c>
      <c r="W7" s="173">
        <f>W6/'UN(2023)EnergyStat_Refineries'!V20</f>
        <v>10976976.236044435</v>
      </c>
      <c r="X7" s="173">
        <f>X6/'UN(2023)EnergyStat_Refineries'!W20</f>
        <v>7497309.0970611218</v>
      </c>
      <c r="Y7" s="173">
        <f>Y6/'UN(2023)EnergyStat_Refineries'!X20</f>
        <v>9323245.6292526089</v>
      </c>
      <c r="Z7" s="173">
        <f>Z6/'UN(2023)EnergyStat_Refineries'!Y20</f>
        <v>3696754.8217113549</v>
      </c>
      <c r="AA7" s="173">
        <f>AA6/'UN(2023)EnergyStat_Refineries'!Z20</f>
        <v>20999032.004112002</v>
      </c>
      <c r="AB7" s="173">
        <f>AB6/'UN(2023)EnergyStat_Refineries'!AA20</f>
        <v>3798093.8785765334</v>
      </c>
      <c r="AC7" s="173">
        <f>AC6/'UN(2023)EnergyStat_Refineries'!AB20</f>
        <v>582649.27529751102</v>
      </c>
      <c r="AD7" s="173">
        <f>AD6/'UN(2023)EnergyStat_Refineries'!AC20</f>
        <v>13719076.377126245</v>
      </c>
      <c r="AE7" s="173">
        <f>AE6/'UN(2023)EnergyStat_Refineries'!AD20</f>
        <v>7708304.2972963843</v>
      </c>
      <c r="AF7" s="173">
        <f>AF6/'UN(2023)EnergyStat_Refineries'!AE20</f>
        <v>42350096.993226826</v>
      </c>
    </row>
    <row r="8" spans="1:33" ht="16.5" customHeight="1"/>
    <row r="9" spans="1:33">
      <c r="A9" s="345" t="s">
        <v>832</v>
      </c>
    </row>
    <row r="10" spans="1:33">
      <c r="E10" t="s">
        <v>172</v>
      </c>
      <c r="F10" t="s">
        <v>175</v>
      </c>
      <c r="G10" t="s">
        <v>178</v>
      </c>
      <c r="H10" t="s">
        <v>181</v>
      </c>
      <c r="I10" t="s">
        <v>184</v>
      </c>
      <c r="J10" t="s">
        <v>187</v>
      </c>
      <c r="K10" t="s">
        <v>190</v>
      </c>
      <c r="L10" t="s">
        <v>193</v>
      </c>
      <c r="M10" t="s">
        <v>196</v>
      </c>
      <c r="N10" t="s">
        <v>198</v>
      </c>
      <c r="O10" t="s">
        <v>200</v>
      </c>
      <c r="P10" t="s">
        <v>202</v>
      </c>
      <c r="Q10" t="s">
        <v>205</v>
      </c>
      <c r="R10" t="s">
        <v>208</v>
      </c>
      <c r="S10" t="s">
        <v>211</v>
      </c>
      <c r="T10" t="s">
        <v>214</v>
      </c>
      <c r="U10" t="s">
        <v>217</v>
      </c>
      <c r="V10" t="s">
        <v>220</v>
      </c>
      <c r="W10" t="s">
        <v>223</v>
      </c>
      <c r="X10" t="s">
        <v>225</v>
      </c>
      <c r="Y10" t="s">
        <v>227</v>
      </c>
      <c r="Z10" t="s">
        <v>230</v>
      </c>
      <c r="AA10" t="s">
        <v>233</v>
      </c>
      <c r="AB10" t="s">
        <v>236</v>
      </c>
      <c r="AC10" t="s">
        <v>238</v>
      </c>
      <c r="AD10" t="s">
        <v>240</v>
      </c>
      <c r="AE10" t="s">
        <v>243</v>
      </c>
      <c r="AF10" t="s">
        <v>245</v>
      </c>
    </row>
    <row r="11" spans="1:33" s="59" customFormat="1">
      <c r="A11" s="95" t="s">
        <v>722</v>
      </c>
      <c r="B11" s="71" t="s">
        <v>833</v>
      </c>
      <c r="C11" s="74" t="s">
        <v>387</v>
      </c>
      <c r="D11" s="373"/>
      <c r="E11" s="73">
        <f>IFERROR('Key inputs_EB_TRF'!D23*'UN(2023)EnergyStat_Refineries'!D12,0)</f>
        <v>0</v>
      </c>
      <c r="F11" s="73">
        <f>IFERROR('Key inputs_EB_TRF'!E23*'UN(2023)EnergyStat_Refineries'!E12,0)</f>
        <v>0</v>
      </c>
      <c r="G11" s="73">
        <f>IFERROR('Key inputs_EB_TRF'!F23*'UN(2023)EnergyStat_Refineries'!F12,0)</f>
        <v>0</v>
      </c>
      <c r="H11" s="73">
        <f>IFERROR('Key inputs_EB_TRF'!G23*'UN(2023)EnergyStat_Refineries'!G12,0)</f>
        <v>0</v>
      </c>
      <c r="I11" s="73">
        <f>IFERROR('Key inputs_EB_TRF'!H23*'UN(2023)EnergyStat_Refineries'!H12,0)</f>
        <v>0</v>
      </c>
      <c r="J11" s="73">
        <f>IFERROR('Key inputs_EB_TRF'!I23*'UN(2023)EnergyStat_Refineries'!I12,0)</f>
        <v>0</v>
      </c>
      <c r="K11" s="73">
        <f>IFERROR('Key inputs_EB_TRF'!J23*'UN(2023)EnergyStat_Refineries'!J12,0)</f>
        <v>0</v>
      </c>
      <c r="L11" s="73">
        <f>IFERROR('Key inputs_EB_TRF'!K23*'UN(2023)EnergyStat_Refineries'!K12,0)</f>
        <v>0</v>
      </c>
      <c r="M11" s="73">
        <f>IFERROR('Key inputs_EB_TRF'!L23*'UN(2023)EnergyStat_Refineries'!L12,0)</f>
        <v>0</v>
      </c>
      <c r="N11" s="73">
        <f>IFERROR('Key inputs_EB_TRF'!M23*'UN(2023)EnergyStat_Refineries'!M12,0)</f>
        <v>0</v>
      </c>
      <c r="O11" s="73">
        <f>IFERROR('Key inputs_EB_TRF'!N23*'UN(2023)EnergyStat_Refineries'!N12,0)</f>
        <v>0</v>
      </c>
      <c r="P11" s="73">
        <f>IFERROR('Key inputs_EB_TRF'!O23*'UN(2023)EnergyStat_Refineries'!O12,0)</f>
        <v>-113785</v>
      </c>
      <c r="Q11" s="73">
        <f>IFERROR('Key inputs_EB_TRF'!P23*'UN(2023)EnergyStat_Refineries'!P12,0)</f>
        <v>0</v>
      </c>
      <c r="R11" s="73">
        <f>IFERROR('Key inputs_EB_TRF'!Q23*'UN(2023)EnergyStat_Refineries'!Q12,0)</f>
        <v>0</v>
      </c>
      <c r="S11" s="73">
        <f>IFERROR('Key inputs_EB_TRF'!R23*'UN(2023)EnergyStat_Refineries'!R12,0)</f>
        <v>0</v>
      </c>
      <c r="T11" s="73">
        <f>IFERROR('Key inputs_EB_TRF'!S23*'UN(2023)EnergyStat_Refineries'!S12,0)</f>
        <v>0</v>
      </c>
      <c r="U11" s="73">
        <f>IFERROR('Key inputs_EB_TRF'!T23*'UN(2023)EnergyStat_Refineries'!T12,0)</f>
        <v>0</v>
      </c>
      <c r="V11" s="73">
        <f>IFERROR('Key inputs_EB_TRF'!U23*'UN(2023)EnergyStat_Refineries'!U12,0)</f>
        <v>0</v>
      </c>
      <c r="W11" s="73">
        <f>IFERROR('Key inputs_EB_TRF'!V23*'UN(2023)EnergyStat_Refineries'!V12,0)</f>
        <v>0</v>
      </c>
      <c r="X11" s="73">
        <f>IFERROR('Key inputs_EB_TRF'!W23*'UN(2023)EnergyStat_Refineries'!W12,0)</f>
        <v>0</v>
      </c>
      <c r="Y11" s="73">
        <f>IFERROR('Key inputs_EB_TRF'!X23*'UN(2023)EnergyStat_Refineries'!X12,0)</f>
        <v>0</v>
      </c>
      <c r="Z11" s="73">
        <f>IFERROR('Key inputs_EB_TRF'!Y23*'UN(2023)EnergyStat_Refineries'!Y12,0)</f>
        <v>0</v>
      </c>
      <c r="AA11" s="73">
        <f>IFERROR('Key inputs_EB_TRF'!Z23*'UN(2023)EnergyStat_Refineries'!Z12,0)</f>
        <v>0</v>
      </c>
      <c r="AB11" s="73">
        <f>IFERROR('Key inputs_EB_TRF'!AA23*'UN(2023)EnergyStat_Refineries'!AA12,0)</f>
        <v>0</v>
      </c>
      <c r="AC11" s="73">
        <f>IFERROR('Key inputs_EB_TRF'!AB23*'UN(2023)EnergyStat_Refineries'!AB12,0)</f>
        <v>0</v>
      </c>
      <c r="AD11" s="73">
        <f>IFERROR('Key inputs_EB_TRF'!AC23*'UN(2023)EnergyStat_Refineries'!AC12,0)</f>
        <v>0</v>
      </c>
      <c r="AE11" s="73">
        <f>IFERROR('Key inputs_EB_TRF'!AD23*'UN(2023)EnergyStat_Refineries'!AD12,0)</f>
        <v>0</v>
      </c>
      <c r="AF11" s="73">
        <f>IFERROR('Key inputs_EB_TRF'!AE23*'UN(2023)EnergyStat_Refineries'!AE12,0)</f>
        <v>0</v>
      </c>
      <c r="AG11" s="70"/>
    </row>
    <row r="12" spans="1:33" s="59" customFormat="1">
      <c r="A12" s="95" t="s">
        <v>722</v>
      </c>
      <c r="B12" s="71" t="s">
        <v>834</v>
      </c>
      <c r="C12" s="74" t="s">
        <v>387</v>
      </c>
      <c r="D12" s="373"/>
      <c r="E12" s="527">
        <v>-149721</v>
      </c>
      <c r="F12" s="527">
        <v>-2047246</v>
      </c>
      <c r="G12" s="527">
        <v>-307214</v>
      </c>
      <c r="H12" s="527">
        <v>-1169083</v>
      </c>
      <c r="I12" s="527">
        <v>-1230814</v>
      </c>
      <c r="J12" s="527">
        <v>-1321072</v>
      </c>
      <c r="K12" s="527">
        <v>-4987770</v>
      </c>
      <c r="L12" s="527">
        <v>-642029</v>
      </c>
      <c r="M12" s="527">
        <v>-4045073</v>
      </c>
      <c r="N12" s="527">
        <v>-4878030</v>
      </c>
      <c r="O12" s="527">
        <v>-430309</v>
      </c>
      <c r="P12" s="527">
        <v>-31798001</v>
      </c>
      <c r="Q12" s="527">
        <v>-1007574</v>
      </c>
      <c r="R12" s="527">
        <v>-2739304</v>
      </c>
      <c r="S12" s="527">
        <v>-3372528</v>
      </c>
      <c r="T12" s="527">
        <v>-9267541</v>
      </c>
      <c r="U12" s="527">
        <v>-9972022</v>
      </c>
      <c r="V12" s="527">
        <v>-2897727</v>
      </c>
      <c r="W12" s="527">
        <v>-10591072</v>
      </c>
      <c r="X12" s="527">
        <v>-6347819</v>
      </c>
      <c r="Y12" s="527">
        <v>-3339599</v>
      </c>
      <c r="Z12" s="527">
        <v>-2456860</v>
      </c>
      <c r="AA12" s="527">
        <v>-10793144</v>
      </c>
      <c r="AB12" s="527">
        <v>-1184602</v>
      </c>
      <c r="AC12" s="527">
        <v>-91396</v>
      </c>
      <c r="AD12" s="527">
        <v>-11350730</v>
      </c>
      <c r="AE12" s="527">
        <v>-6139385</v>
      </c>
      <c r="AF12" s="527">
        <v>-30928861</v>
      </c>
      <c r="AG12" s="70"/>
    </row>
    <row r="13" spans="1:33">
      <c r="A13" s="95" t="s">
        <v>722</v>
      </c>
      <c r="B13" t="s">
        <v>419</v>
      </c>
      <c r="C13" s="74" t="s">
        <v>387</v>
      </c>
      <c r="D13" s="373"/>
      <c r="E13" s="527">
        <v>0</v>
      </c>
      <c r="F13" s="527">
        <v>-565794</v>
      </c>
      <c r="G13" s="527">
        <v>-43945</v>
      </c>
      <c r="H13" s="527">
        <v>-130092</v>
      </c>
      <c r="I13" s="527">
        <v>-117766</v>
      </c>
      <c r="J13" s="527">
        <v>-241173</v>
      </c>
      <c r="K13" s="527">
        <v>-386601</v>
      </c>
      <c r="L13" s="527">
        <v>-33944</v>
      </c>
      <c r="M13" s="527">
        <v>-224274</v>
      </c>
      <c r="N13" s="527">
        <v>-154774</v>
      </c>
      <c r="O13" s="527">
        <v>0</v>
      </c>
      <c r="P13" s="527">
        <v>0</v>
      </c>
      <c r="Q13" s="527">
        <v>-44040</v>
      </c>
      <c r="R13" s="527">
        <v>-450384</v>
      </c>
      <c r="S13" s="527">
        <v>-15485</v>
      </c>
      <c r="T13" s="527">
        <v>-9278</v>
      </c>
      <c r="U13" s="527">
        <v>-227291</v>
      </c>
      <c r="V13" s="527">
        <v>-73442</v>
      </c>
      <c r="W13" s="527">
        <v>-230584</v>
      </c>
      <c r="X13" s="527">
        <v>-121012</v>
      </c>
      <c r="Y13" s="527">
        <v>-571756</v>
      </c>
      <c r="Z13" s="527">
        <v>-4397</v>
      </c>
      <c r="AA13" s="527">
        <v>-4814387</v>
      </c>
      <c r="AB13" s="527">
        <v>-269085</v>
      </c>
      <c r="AC13" s="527">
        <v>0</v>
      </c>
      <c r="AD13" s="527">
        <v>-1632906</v>
      </c>
      <c r="AE13" s="527">
        <v>0</v>
      </c>
      <c r="AF13" s="527">
        <v>-5343823</v>
      </c>
    </row>
    <row r="16" spans="1:33">
      <c r="A16" s="345" t="s">
        <v>835</v>
      </c>
    </row>
    <row r="18" spans="1:32" s="59" customFormat="1">
      <c r="A18" s="95" t="s">
        <v>722</v>
      </c>
      <c r="B18" s="71" t="s">
        <v>456</v>
      </c>
      <c r="C18" s="74" t="s">
        <v>387</v>
      </c>
      <c r="D18" s="373"/>
      <c r="E18" s="73">
        <f>'Key inputs_EB_TRF'!D67+'Key inputs_EB_MIN'!E48</f>
        <v>74204</v>
      </c>
      <c r="F18" s="73">
        <f>'Key inputs_EB_TRF'!E67+'Key inputs_EB_MIN'!F48</f>
        <v>812362</v>
      </c>
      <c r="G18" s="73">
        <f>'Key inputs_EB_TRF'!F67+'Key inputs_EB_MIN'!G48</f>
        <v>138634</v>
      </c>
      <c r="H18" s="73">
        <f>'Key inputs_EB_TRF'!G67+'Key inputs_EB_MIN'!H48</f>
        <v>560151</v>
      </c>
      <c r="I18" s="73">
        <f>'Key inputs_EB_TRF'!H67+'Key inputs_EB_MIN'!I48</f>
        <v>447703</v>
      </c>
      <c r="J18" s="73">
        <f>'Key inputs_EB_TRF'!I67+'Key inputs_EB_MIN'!J48</f>
        <v>458021</v>
      </c>
      <c r="K18" s="73">
        <f>'Key inputs_EB_TRF'!J67+'Key inputs_EB_MIN'!K48</f>
        <v>1655327</v>
      </c>
      <c r="L18" s="73">
        <f>'Key inputs_EB_TRF'!K67+'Key inputs_EB_MIN'!L48</f>
        <v>248572</v>
      </c>
      <c r="M18" s="73">
        <f>'Key inputs_EB_TRF'!L67+'Key inputs_EB_MIN'!M48</f>
        <v>2630823</v>
      </c>
      <c r="N18" s="73">
        <f>'Key inputs_EB_TRF'!M67+'Key inputs_EB_MIN'!N48</f>
        <v>1779009</v>
      </c>
      <c r="O18" s="73">
        <f>'Key inputs_EB_TRF'!N67+'Key inputs_EB_MIN'!O48</f>
        <v>137214</v>
      </c>
      <c r="P18" s="73">
        <f>'Key inputs_EB_TRF'!O67+'Key inputs_EB_MIN'!P48</f>
        <v>7510618</v>
      </c>
      <c r="Q18" s="73">
        <f>'Key inputs_EB_TRF'!P67+'Key inputs_EB_MIN'!Q48</f>
        <v>370735</v>
      </c>
      <c r="R18" s="73">
        <f>'Key inputs_EB_TRF'!Q67+'Key inputs_EB_MIN'!R48</f>
        <v>1212233</v>
      </c>
      <c r="S18" s="73">
        <f>'Key inputs_EB_TRF'!R67+'Key inputs_EB_MIN'!S48</f>
        <v>1517137</v>
      </c>
      <c r="T18" s="73">
        <f>'Key inputs_EB_TRF'!S67+'Key inputs_EB_MIN'!T48</f>
        <v>3932926</v>
      </c>
      <c r="U18" s="73">
        <f>'Key inputs_EB_TRF'!T67+'Key inputs_EB_MIN'!U48</f>
        <v>3962857</v>
      </c>
      <c r="V18" s="73">
        <f>'Key inputs_EB_TRF'!U67+'Key inputs_EB_MIN'!V48</f>
        <v>1083928</v>
      </c>
      <c r="W18" s="73">
        <f>'Key inputs_EB_TRF'!V67+'Key inputs_EB_MIN'!W48</f>
        <v>4787115</v>
      </c>
      <c r="X18" s="73">
        <f>'Key inputs_EB_TRF'!W67+'Key inputs_EB_MIN'!X48</f>
        <v>1966776</v>
      </c>
      <c r="Y18" s="73">
        <f>'Key inputs_EB_TRF'!X67+'Key inputs_EB_MIN'!Y48</f>
        <v>1287424</v>
      </c>
      <c r="Z18" s="73">
        <f>'Key inputs_EB_TRF'!Y67+'Key inputs_EB_MIN'!Z48</f>
        <v>886758</v>
      </c>
      <c r="AA18" s="73">
        <f>'Key inputs_EB_TRF'!Z67+'Key inputs_EB_MIN'!AA48</f>
        <v>5215522</v>
      </c>
      <c r="AB18" s="73">
        <f>'Key inputs_EB_TRF'!AA67+'Key inputs_EB_MIN'!AB48</f>
        <v>336846</v>
      </c>
      <c r="AC18" s="73">
        <f>'Key inputs_EB_TRF'!AB67+'Key inputs_EB_MIN'!AC48</f>
        <v>4211</v>
      </c>
      <c r="AD18" s="73">
        <f>'Key inputs_EB_TRF'!AC67+'Key inputs_EB_MIN'!AD48</f>
        <v>4228964</v>
      </c>
      <c r="AE18" s="73">
        <f>'Key inputs_EB_TRF'!AD67+'Key inputs_EB_MIN'!AE48</f>
        <v>2114000</v>
      </c>
      <c r="AF18" s="73">
        <f>'Key inputs_EB_TRF'!AE67+'Key inputs_EB_MIN'!AF48</f>
        <v>10959733</v>
      </c>
    </row>
    <row r="19" spans="1:32" s="59" customFormat="1">
      <c r="A19" s="95" t="s">
        <v>722</v>
      </c>
      <c r="B19" s="71" t="s">
        <v>458</v>
      </c>
      <c r="C19" s="74" t="s">
        <v>387</v>
      </c>
      <c r="D19" s="373"/>
      <c r="E19" s="73">
        <f>'Key inputs_EB_TRF'!D68+'Key inputs_EB_MIN'!E50</f>
        <v>37474</v>
      </c>
      <c r="F19" s="73">
        <f>'Key inputs_EB_TRF'!E68+'Key inputs_EB_MIN'!F50</f>
        <v>392809</v>
      </c>
      <c r="G19" s="73">
        <f>'Key inputs_EB_TRF'!F68+'Key inputs_EB_MIN'!G50</f>
        <v>55649</v>
      </c>
      <c r="H19" s="73">
        <f>'Key inputs_EB_TRF'!G68+'Key inputs_EB_MIN'!H50</f>
        <v>331264</v>
      </c>
      <c r="I19" s="73">
        <f>'Key inputs_EB_TRF'!H68+'Key inputs_EB_MIN'!I50</f>
        <v>477267</v>
      </c>
      <c r="J19" s="73">
        <f>'Key inputs_EB_TRF'!I68+'Key inputs_EB_MIN'!J50</f>
        <v>445609</v>
      </c>
      <c r="K19" s="73">
        <f>'Key inputs_EB_TRF'!J68+'Key inputs_EB_MIN'!K50</f>
        <v>1140395</v>
      </c>
      <c r="L19" s="73">
        <f>'Key inputs_EB_TRF'!K68+'Key inputs_EB_MIN'!L50</f>
        <v>104947</v>
      </c>
      <c r="M19" s="73">
        <f>'Key inputs_EB_TRF'!L68+'Key inputs_EB_MIN'!M50</f>
        <v>173466</v>
      </c>
      <c r="N19" s="73">
        <f>'Key inputs_EB_TRF'!M68+'Key inputs_EB_MIN'!N50</f>
        <v>1602913</v>
      </c>
      <c r="O19" s="73">
        <f>'Key inputs_EB_TRF'!N68+'Key inputs_EB_MIN'!O50</f>
        <v>141537</v>
      </c>
      <c r="P19" s="73">
        <f>'Key inputs_EB_TRF'!O68+'Key inputs_EB_MIN'!P50</f>
        <v>6968627</v>
      </c>
      <c r="Q19" s="73">
        <f>'Key inputs_EB_TRF'!P68+'Key inputs_EB_MIN'!Q50</f>
        <v>188362</v>
      </c>
      <c r="R19" s="73">
        <f>'Key inputs_EB_TRF'!Q68+'Key inputs_EB_MIN'!R50</f>
        <v>1079668</v>
      </c>
      <c r="S19" s="73">
        <f>'Key inputs_EB_TRF'!R68+'Key inputs_EB_MIN'!S50</f>
        <v>772054</v>
      </c>
      <c r="T19" s="73">
        <f>'Key inputs_EB_TRF'!S68+'Key inputs_EB_MIN'!T50</f>
        <v>1954792</v>
      </c>
      <c r="U19" s="73">
        <f>'Key inputs_EB_TRF'!T68+'Key inputs_EB_MIN'!U50</f>
        <v>2954240</v>
      </c>
      <c r="V19" s="73">
        <f>'Key inputs_EB_TRF'!U68+'Key inputs_EB_MIN'!V50</f>
        <v>903140</v>
      </c>
      <c r="W19" s="73">
        <f>'Key inputs_EB_TRF'!V68+'Key inputs_EB_MIN'!W50</f>
        <v>1857895</v>
      </c>
      <c r="X19" s="73">
        <f>'Key inputs_EB_TRF'!W68+'Key inputs_EB_MIN'!X50</f>
        <v>1600841</v>
      </c>
      <c r="Y19" s="73">
        <f>'Key inputs_EB_TRF'!X68+'Key inputs_EB_MIN'!Y50</f>
        <v>894951</v>
      </c>
      <c r="Z19" s="73">
        <f>'Key inputs_EB_TRF'!Y68+'Key inputs_EB_MIN'!Z50</f>
        <v>420538</v>
      </c>
      <c r="AA19" s="73">
        <f>'Key inputs_EB_TRF'!Z68+'Key inputs_EB_MIN'!AA50</f>
        <v>2638133</v>
      </c>
      <c r="AB19" s="73">
        <f>'Key inputs_EB_TRF'!AA68+'Key inputs_EB_MIN'!AB50</f>
        <v>425522</v>
      </c>
      <c r="AC19" s="73">
        <f>'Key inputs_EB_TRF'!AB68+'Key inputs_EB_MIN'!AC50</f>
        <v>25523</v>
      </c>
      <c r="AD19" s="73">
        <f>'Key inputs_EB_TRF'!AC68+'Key inputs_EB_MIN'!AD50</f>
        <v>1765271</v>
      </c>
      <c r="AE19" s="73">
        <f>'Key inputs_EB_TRF'!AD68+'Key inputs_EB_MIN'!AE50</f>
        <v>932272</v>
      </c>
      <c r="AF19" s="73">
        <f>'Key inputs_EB_TRF'!AE68+'Key inputs_EB_MIN'!AF50</f>
        <v>16003845</v>
      </c>
    </row>
    <row r="20" spans="1:32" s="59" customFormat="1">
      <c r="A20" s="95" t="s">
        <v>722</v>
      </c>
      <c r="B20" s="71" t="s">
        <v>460</v>
      </c>
      <c r="C20" s="74" t="s">
        <v>387</v>
      </c>
      <c r="D20" s="373"/>
      <c r="E20" s="73">
        <f>'Key inputs_EB_TRF'!D69+'Key inputs_EB_MIN'!E51</f>
        <v>4631</v>
      </c>
      <c r="F20" s="73">
        <f>'Key inputs_EB_TRF'!E69+'Key inputs_EB_MIN'!F51</f>
        <v>661338</v>
      </c>
      <c r="G20" s="73">
        <f>'Key inputs_EB_TRF'!F69+'Key inputs_EB_MIN'!G51</f>
        <v>67930</v>
      </c>
      <c r="H20" s="73">
        <f>'Key inputs_EB_TRF'!G69+'Key inputs_EB_MIN'!H51</f>
        <v>147476</v>
      </c>
      <c r="I20" s="73">
        <f>'Key inputs_EB_TRF'!H69+'Key inputs_EB_MIN'!I51</f>
        <v>49267</v>
      </c>
      <c r="J20" s="73">
        <f>'Key inputs_EB_TRF'!I69+'Key inputs_EB_MIN'!J51</f>
        <v>208440</v>
      </c>
      <c r="K20" s="73">
        <f>'Key inputs_EB_TRF'!J69+'Key inputs_EB_MIN'!K51</f>
        <v>386193</v>
      </c>
      <c r="L20" s="73">
        <f>'Key inputs_EB_TRF'!K69+'Key inputs_EB_MIN'!L51</f>
        <v>144659</v>
      </c>
      <c r="M20" s="73">
        <f>'Key inputs_EB_TRF'!L69+'Key inputs_EB_MIN'!M51</f>
        <v>487651</v>
      </c>
      <c r="N20" s="73">
        <f>'Key inputs_EB_TRF'!M69+'Key inputs_EB_MIN'!N51</f>
        <v>138345</v>
      </c>
      <c r="O20" s="73">
        <f>'Key inputs_EB_TRF'!N69+'Key inputs_EB_MIN'!O51</f>
        <v>46989</v>
      </c>
      <c r="P20" s="73">
        <f>'Key inputs_EB_TRF'!O69+'Key inputs_EB_MIN'!P51</f>
        <v>1629806</v>
      </c>
      <c r="Q20" s="73">
        <f>'Key inputs_EB_TRF'!P69+'Key inputs_EB_MIN'!Q51</f>
        <v>210924</v>
      </c>
      <c r="R20" s="73">
        <f>'Key inputs_EB_TRF'!Q69+'Key inputs_EB_MIN'!R51</f>
        <v>164266</v>
      </c>
      <c r="S20" s="73">
        <f>'Key inputs_EB_TRF'!R69+'Key inputs_EB_MIN'!S51</f>
        <v>299016</v>
      </c>
      <c r="T20" s="73">
        <f>'Key inputs_EB_TRF'!S69+'Key inputs_EB_MIN'!T51</f>
        <v>888609</v>
      </c>
      <c r="U20" s="73">
        <f>'Key inputs_EB_TRF'!T69+'Key inputs_EB_MIN'!U51</f>
        <v>1162688</v>
      </c>
      <c r="V20" s="73">
        <f>'Key inputs_EB_TRF'!U69+'Key inputs_EB_MIN'!V51</f>
        <v>81518</v>
      </c>
      <c r="W20" s="73">
        <f>'Key inputs_EB_TRF'!V69+'Key inputs_EB_MIN'!W51</f>
        <v>253464</v>
      </c>
      <c r="X20" s="73">
        <f>'Key inputs_EB_TRF'!W69+'Key inputs_EB_MIN'!X51</f>
        <v>733620</v>
      </c>
      <c r="Y20" s="73">
        <f>'Key inputs_EB_TRF'!X69+'Key inputs_EB_MIN'!Y51</f>
        <v>1036642</v>
      </c>
      <c r="Z20" s="73">
        <f>'Key inputs_EB_TRF'!Y69+'Key inputs_EB_MIN'!Z51</f>
        <v>345931</v>
      </c>
      <c r="AA20" s="73">
        <f>'Key inputs_EB_TRF'!Z69+'Key inputs_EB_MIN'!AA51</f>
        <v>3002346</v>
      </c>
      <c r="AB20" s="73">
        <f>'Key inputs_EB_TRF'!AA69+'Key inputs_EB_MIN'!AB51</f>
        <v>364415</v>
      </c>
      <c r="AC20" s="73">
        <f>'Key inputs_EB_TRF'!AB69+'Key inputs_EB_MIN'!AC51</f>
        <v>28834</v>
      </c>
      <c r="AD20" s="73">
        <f>'Key inputs_EB_TRF'!AC69+'Key inputs_EB_MIN'!AD51</f>
        <v>2286296</v>
      </c>
      <c r="AE20" s="73">
        <f>'Key inputs_EB_TRF'!AD69+'Key inputs_EB_MIN'!AE51</f>
        <v>371069</v>
      </c>
      <c r="AF20" s="73">
        <f>'Key inputs_EB_TRF'!AE69+'Key inputs_EB_MIN'!AF51</f>
        <v>683591</v>
      </c>
    </row>
    <row r="21" spans="1:32" s="59" customFormat="1">
      <c r="A21" s="95" t="s">
        <v>722</v>
      </c>
      <c r="B21" s="71" t="s">
        <v>462</v>
      </c>
      <c r="C21" s="74" t="s">
        <v>387</v>
      </c>
      <c r="D21" s="373"/>
      <c r="E21" s="73">
        <f>'Key inputs_EB_TRF'!D70+'Key inputs_EB_MIN'!E52</f>
        <v>2145</v>
      </c>
      <c r="F21" s="73">
        <f>'Key inputs_EB_TRF'!E70+'Key inputs_EB_MIN'!F52</f>
        <v>182057</v>
      </c>
      <c r="G21" s="73">
        <f>'Key inputs_EB_TRF'!F70+'Key inputs_EB_MIN'!G52</f>
        <v>22506</v>
      </c>
      <c r="H21" s="73">
        <f>'Key inputs_EB_TRF'!G70+'Key inputs_EB_MIN'!H52</f>
        <v>140219</v>
      </c>
      <c r="I21" s="73">
        <f>'Key inputs_EB_TRF'!H70+'Key inputs_EB_MIN'!I52</f>
        <v>200547</v>
      </c>
      <c r="J21" s="73">
        <f>'Key inputs_EB_TRF'!I70+'Key inputs_EB_MIN'!J52</f>
        <v>89891</v>
      </c>
      <c r="K21" s="73">
        <f>'Key inputs_EB_TRF'!J70+'Key inputs_EB_MIN'!K52</f>
        <v>928458</v>
      </c>
      <c r="L21" s="73">
        <f>'Key inputs_EB_TRF'!K70+'Key inputs_EB_MIN'!L52</f>
        <v>54375</v>
      </c>
      <c r="M21" s="73">
        <f>'Key inputs_EB_TRF'!L70+'Key inputs_EB_MIN'!M52</f>
        <v>216892</v>
      </c>
      <c r="N21" s="73">
        <f>'Key inputs_EB_TRF'!M70+'Key inputs_EB_MIN'!N52</f>
        <v>237601</v>
      </c>
      <c r="O21" s="73">
        <f>'Key inputs_EB_TRF'!N70+'Key inputs_EB_MIN'!O52</f>
        <v>45121</v>
      </c>
      <c r="P21" s="73">
        <f>'Key inputs_EB_TRF'!O70+'Key inputs_EB_MIN'!P52</f>
        <v>2442713</v>
      </c>
      <c r="Q21" s="73">
        <f>'Key inputs_EB_TRF'!P70+'Key inputs_EB_MIN'!Q52</f>
        <v>25915</v>
      </c>
      <c r="R21" s="73">
        <f>'Key inputs_EB_TRF'!Q70+'Key inputs_EB_MIN'!R52</f>
        <v>311452</v>
      </c>
      <c r="S21" s="73">
        <f>'Key inputs_EB_TRF'!R70+'Key inputs_EB_MIN'!S52</f>
        <v>136194</v>
      </c>
      <c r="T21" s="73">
        <f>'Key inputs_EB_TRF'!S70+'Key inputs_EB_MIN'!T52</f>
        <v>732553</v>
      </c>
      <c r="U21" s="73">
        <f>'Key inputs_EB_TRF'!T70+'Key inputs_EB_MIN'!U52</f>
        <v>723187</v>
      </c>
      <c r="V21" s="73">
        <f>'Key inputs_EB_TRF'!U70+'Key inputs_EB_MIN'!V52</f>
        <v>296294</v>
      </c>
      <c r="W21" s="73">
        <f>'Key inputs_EB_TRF'!V70+'Key inputs_EB_MIN'!W52</f>
        <v>730028</v>
      </c>
      <c r="X21" s="73">
        <f>'Key inputs_EB_TRF'!W70+'Key inputs_EB_MIN'!X52</f>
        <v>1006617</v>
      </c>
      <c r="Y21" s="73">
        <f>'Key inputs_EB_TRF'!X70+'Key inputs_EB_MIN'!Y52</f>
        <v>204558</v>
      </c>
      <c r="Z21" s="73">
        <f>'Key inputs_EB_TRF'!Y70+'Key inputs_EB_MIN'!Z52</f>
        <v>331281</v>
      </c>
      <c r="AA21" s="73">
        <f>'Key inputs_EB_TRF'!Z70+'Key inputs_EB_MIN'!AA52</f>
        <v>1794410</v>
      </c>
      <c r="AB21" s="73">
        <f>'Key inputs_EB_TRF'!AA70+'Key inputs_EB_MIN'!AB52</f>
        <v>68612</v>
      </c>
      <c r="AC21" s="73">
        <f>'Key inputs_EB_TRF'!AB70+'Key inputs_EB_MIN'!AC52</f>
        <v>3375</v>
      </c>
      <c r="AD21" s="73">
        <f>'Key inputs_EB_TRF'!AC70+'Key inputs_EB_MIN'!AD52</f>
        <v>609643</v>
      </c>
      <c r="AE21" s="73">
        <f>'Key inputs_EB_TRF'!AD70+'Key inputs_EB_MIN'!AE52</f>
        <v>961310</v>
      </c>
      <c r="AF21" s="73">
        <f>'Key inputs_EB_TRF'!AE70+'Key inputs_EB_MIN'!AF52</f>
        <v>3486534</v>
      </c>
    </row>
    <row r="22" spans="1:32" s="59" customFormat="1">
      <c r="A22" s="95" t="s">
        <v>722</v>
      </c>
      <c r="B22" s="71" t="s">
        <v>464</v>
      </c>
      <c r="C22" s="74" t="s">
        <v>387</v>
      </c>
      <c r="D22" s="373"/>
      <c r="E22" s="73">
        <f>'Key inputs_EB_TRF'!D71+'Key inputs_EB_MIN'!E53</f>
        <v>12100</v>
      </c>
      <c r="F22" s="73">
        <f>'Key inputs_EB_TRF'!E71+'Key inputs_EB_MIN'!F53</f>
        <v>66918</v>
      </c>
      <c r="G22" s="73">
        <f>'Key inputs_EB_TRF'!F71+'Key inputs_EB_MIN'!G53</f>
        <v>10745</v>
      </c>
      <c r="H22" s="73">
        <f>'Key inputs_EB_TRF'!G71+'Key inputs_EB_MIN'!H53</f>
        <v>57646</v>
      </c>
      <c r="I22" s="73">
        <f>'Key inputs_EB_TRF'!H71+'Key inputs_EB_MIN'!I53</f>
        <v>27886</v>
      </c>
      <c r="J22" s="73">
        <f>'Key inputs_EB_TRF'!I71+'Key inputs_EB_MIN'!J53</f>
        <v>156162</v>
      </c>
      <c r="K22" s="73">
        <f>'Key inputs_EB_TRF'!J71+'Key inputs_EB_MIN'!K53</f>
        <v>163325</v>
      </c>
      <c r="L22" s="73">
        <f>'Key inputs_EB_TRF'!K71+'Key inputs_EB_MIN'!L53</f>
        <v>14347</v>
      </c>
      <c r="M22" s="73">
        <f>'Key inputs_EB_TRF'!L71+'Key inputs_EB_MIN'!M53</f>
        <v>191445</v>
      </c>
      <c r="N22" s="73">
        <f>'Key inputs_EB_TRF'!M71+'Key inputs_EB_MIN'!N53</f>
        <v>227955</v>
      </c>
      <c r="O22" s="73">
        <f>'Key inputs_EB_TRF'!N71+'Key inputs_EB_MIN'!O53</f>
        <v>35246</v>
      </c>
      <c r="P22" s="73">
        <f>'Key inputs_EB_TRF'!O71+'Key inputs_EB_MIN'!P53</f>
        <v>2023674</v>
      </c>
      <c r="Q22" s="73">
        <f>'Key inputs_EB_TRF'!P71+'Key inputs_EB_MIN'!Q53</f>
        <v>41297</v>
      </c>
      <c r="R22" s="73">
        <f>'Key inputs_EB_TRF'!Q71+'Key inputs_EB_MIN'!R53</f>
        <v>175480</v>
      </c>
      <c r="S22" s="73">
        <f>'Key inputs_EB_TRF'!R71+'Key inputs_EB_MIN'!S53</f>
        <v>145348</v>
      </c>
      <c r="T22" s="73">
        <f>'Key inputs_EB_TRF'!S71+'Key inputs_EB_MIN'!T53</f>
        <v>278968</v>
      </c>
      <c r="U22" s="73">
        <f>'Key inputs_EB_TRF'!T71+'Key inputs_EB_MIN'!U53</f>
        <v>365414</v>
      </c>
      <c r="V22" s="73">
        <f>'Key inputs_EB_TRF'!U71+'Key inputs_EB_MIN'!V53</f>
        <v>63697</v>
      </c>
      <c r="W22" s="73">
        <f>'Key inputs_EB_TRF'!V71+'Key inputs_EB_MIN'!W53</f>
        <v>526572</v>
      </c>
      <c r="X22" s="73">
        <f>'Key inputs_EB_TRF'!W71+'Key inputs_EB_MIN'!X53</f>
        <v>149008</v>
      </c>
      <c r="Y22" s="73">
        <f>'Key inputs_EB_TRF'!X71+'Key inputs_EB_MIN'!Y53</f>
        <v>140524</v>
      </c>
      <c r="Z22" s="73">
        <f>'Key inputs_EB_TRF'!Y71+'Key inputs_EB_MIN'!Z53</f>
        <v>75213</v>
      </c>
      <c r="AA22" s="73">
        <f>'Key inputs_EB_TRF'!Z71+'Key inputs_EB_MIN'!AA53</f>
        <v>423541</v>
      </c>
      <c r="AB22" s="73">
        <f>'Key inputs_EB_TRF'!AA71+'Key inputs_EB_MIN'!AB53</f>
        <v>444</v>
      </c>
      <c r="AC22" s="73">
        <f>'Key inputs_EB_TRF'!AB71+'Key inputs_EB_MIN'!AC53</f>
        <v>17211</v>
      </c>
      <c r="AD22" s="73">
        <f>'Key inputs_EB_TRF'!AC71+'Key inputs_EB_MIN'!AD53</f>
        <v>1419670</v>
      </c>
      <c r="AE22" s="73">
        <f>'Key inputs_EB_TRF'!AD71+'Key inputs_EB_MIN'!AE53</f>
        <v>176783</v>
      </c>
      <c r="AF22" s="73">
        <f>'Key inputs_EB_TRF'!AE71+'Key inputs_EB_MIN'!AF53</f>
        <v>474745</v>
      </c>
    </row>
    <row r="23" spans="1:32" s="59" customFormat="1">
      <c r="A23" s="95" t="s">
        <v>722</v>
      </c>
      <c r="B23" s="71" t="s">
        <v>466</v>
      </c>
      <c r="C23" s="74" t="s">
        <v>387</v>
      </c>
      <c r="D23" s="373"/>
      <c r="E23" s="73">
        <f>'Key inputs_EB_TRF'!D72+'Key inputs_EB_MIN'!E54</f>
        <v>198</v>
      </c>
      <c r="F23" s="73">
        <f>'Key inputs_EB_TRF'!E72+'Key inputs_EB_MIN'!F54</f>
        <v>351239</v>
      </c>
      <c r="G23" s="73">
        <f>'Key inputs_EB_TRF'!F72+'Key inputs_EB_MIN'!G54</f>
        <v>3838</v>
      </c>
      <c r="H23" s="73">
        <f>'Key inputs_EB_TRF'!G72+'Key inputs_EB_MIN'!H54</f>
        <v>32523</v>
      </c>
      <c r="I23" s="73">
        <f>'Key inputs_EB_TRF'!H72+'Key inputs_EB_MIN'!I54</f>
        <v>109</v>
      </c>
      <c r="J23" s="73">
        <f>'Key inputs_EB_TRF'!I72+'Key inputs_EB_MIN'!J54</f>
        <v>10110</v>
      </c>
      <c r="K23" s="73">
        <f>'Key inputs_EB_TRF'!J72+'Key inputs_EB_MIN'!K54</f>
        <v>581534</v>
      </c>
      <c r="L23" s="73">
        <f>'Key inputs_EB_TRF'!K72+'Key inputs_EB_MIN'!L54</f>
        <v>30444</v>
      </c>
      <c r="M23" s="73">
        <f>'Key inputs_EB_TRF'!L72+'Key inputs_EB_MIN'!M54</f>
        <v>94040</v>
      </c>
      <c r="N23" s="73">
        <f>'Key inputs_EB_TRF'!M72+'Key inputs_EB_MIN'!N54</f>
        <v>98999</v>
      </c>
      <c r="O23" s="73">
        <f>'Key inputs_EB_TRF'!N72+'Key inputs_EB_MIN'!O54</f>
        <v>690</v>
      </c>
      <c r="P23" s="73">
        <f>'Key inputs_EB_TRF'!O72+'Key inputs_EB_MIN'!P54</f>
        <v>2433574</v>
      </c>
      <c r="Q23" s="73">
        <f>'Key inputs_EB_TRF'!P72+'Key inputs_EB_MIN'!Q54</f>
        <v>11270</v>
      </c>
      <c r="R23" s="73">
        <f>'Key inputs_EB_TRF'!Q72+'Key inputs_EB_MIN'!R54</f>
        <v>77370</v>
      </c>
      <c r="S23" s="73">
        <f>'Key inputs_EB_TRF'!R72+'Key inputs_EB_MIN'!S54</f>
        <v>181535</v>
      </c>
      <c r="T23" s="73">
        <f>'Key inputs_EB_TRF'!S72+'Key inputs_EB_MIN'!T54</f>
        <v>440039</v>
      </c>
      <c r="U23" s="73">
        <f>'Key inputs_EB_TRF'!T72+'Key inputs_EB_MIN'!U54</f>
        <v>470019</v>
      </c>
      <c r="V23" s="73">
        <f>'Key inputs_EB_TRF'!U72+'Key inputs_EB_MIN'!V54</f>
        <v>21326</v>
      </c>
      <c r="W23" s="73">
        <f>'Key inputs_EB_TRF'!V72+'Key inputs_EB_MIN'!W54</f>
        <v>727899</v>
      </c>
      <c r="X23" s="73">
        <f>'Key inputs_EB_TRF'!W72+'Key inputs_EB_MIN'!X54</f>
        <v>487354</v>
      </c>
      <c r="Y23" s="73">
        <f>'Key inputs_EB_TRF'!X72+'Key inputs_EB_MIN'!Y54</f>
        <v>27918</v>
      </c>
      <c r="Z23" s="73">
        <f>'Key inputs_EB_TRF'!Y72+'Key inputs_EB_MIN'!Z54</f>
        <v>80588</v>
      </c>
      <c r="AA23" s="73">
        <f>'Key inputs_EB_TRF'!Z72+'Key inputs_EB_MIN'!AA54</f>
        <v>963271</v>
      </c>
      <c r="AB23" s="73">
        <f>'Key inputs_EB_TRF'!AA72+'Key inputs_EB_MIN'!AB54</f>
        <v>67917</v>
      </c>
      <c r="AC23" s="73">
        <f>'Key inputs_EB_TRF'!AB72+'Key inputs_EB_MIN'!AC54</f>
        <v>1424</v>
      </c>
      <c r="AD23" s="73">
        <f>'Key inputs_EB_TRF'!AC72+'Key inputs_EB_MIN'!AD54</f>
        <v>1167119</v>
      </c>
      <c r="AE23" s="73">
        <f>'Key inputs_EB_TRF'!AD72+'Key inputs_EB_MIN'!AE54</f>
        <v>1132538</v>
      </c>
      <c r="AF23" s="73">
        <f>'Key inputs_EB_TRF'!AE72+'Key inputs_EB_MIN'!AF54</f>
        <v>322082</v>
      </c>
    </row>
    <row r="24" spans="1:32" s="59" customFormat="1">
      <c r="A24" s="95" t="s">
        <v>722</v>
      </c>
      <c r="B24" s="71" t="s">
        <v>470</v>
      </c>
      <c r="C24" s="74" t="s">
        <v>387</v>
      </c>
      <c r="D24" s="373"/>
      <c r="E24" s="73">
        <f>'Key inputs_EB_TRF'!D73+'Key inputs_EB_MIN'!E57</f>
        <v>9026</v>
      </c>
      <c r="F24" s="73">
        <f>'Key inputs_EB_TRF'!E73+'Key inputs_EB_MIN'!F57</f>
        <v>82018</v>
      </c>
      <c r="G24" s="73">
        <f>'Key inputs_EB_TRF'!F73+'Key inputs_EB_MIN'!G57</f>
        <v>9778.5291517147216</v>
      </c>
      <c r="H24" s="73">
        <f>'Key inputs_EB_TRF'!G73+'Key inputs_EB_MIN'!H57</f>
        <v>30112</v>
      </c>
      <c r="I24" s="73">
        <f>'Key inputs_EB_TRF'!H73+'Key inputs_EB_MIN'!I57</f>
        <v>146699</v>
      </c>
      <c r="J24" s="73">
        <f>'Key inputs_EB_TRF'!I73+'Key inputs_EB_MIN'!J57</f>
        <v>130107</v>
      </c>
      <c r="K24" s="73">
        <f>'Key inputs_EB_TRF'!J73+'Key inputs_EB_MIN'!K57</f>
        <v>321692</v>
      </c>
      <c r="L24" s="73">
        <f>'Key inputs_EB_TRF'!K73+'Key inputs_EB_MIN'!L57</f>
        <v>21323</v>
      </c>
      <c r="M24" s="73">
        <f>'Key inputs_EB_TRF'!L73+'Key inputs_EB_MIN'!M57</f>
        <v>475068</v>
      </c>
      <c r="N24" s="73">
        <f>'Key inputs_EB_TRF'!M73+'Key inputs_EB_MIN'!N57</f>
        <v>723911</v>
      </c>
      <c r="O24" s="73">
        <f>'Key inputs_EB_TRF'!N73+'Key inputs_EB_MIN'!O57</f>
        <v>16327</v>
      </c>
      <c r="P24" s="73">
        <f>'Key inputs_EB_TRF'!O73+'Key inputs_EB_MIN'!P57</f>
        <v>8903065</v>
      </c>
      <c r="Q24" s="73">
        <f>'Key inputs_EB_TRF'!P73+'Key inputs_EB_MIN'!Q57</f>
        <v>107257</v>
      </c>
      <c r="R24" s="73">
        <f>'Key inputs_EB_TRF'!Q73+'Key inputs_EB_MIN'!R57</f>
        <v>170376</v>
      </c>
      <c r="S24" s="73">
        <f>'Key inputs_EB_TRF'!R73+'Key inputs_EB_MIN'!S57</f>
        <v>334981</v>
      </c>
      <c r="T24" s="73">
        <f>'Key inputs_EB_TRF'!S73+'Key inputs_EB_MIN'!T57</f>
        <v>1050203</v>
      </c>
      <c r="U24" s="73">
        <f>'Key inputs_EB_TRF'!T73+'Key inputs_EB_MIN'!U57</f>
        <v>563488</v>
      </c>
      <c r="V24" s="73">
        <f>'Key inputs_EB_TRF'!U73+'Key inputs_EB_MIN'!V57</f>
        <v>227310</v>
      </c>
      <c r="W24" s="73">
        <f>'Key inputs_EB_TRF'!V73+'Key inputs_EB_MIN'!W57</f>
        <v>1922474</v>
      </c>
      <c r="X24" s="73">
        <f>'Key inputs_EB_TRF'!W73+'Key inputs_EB_MIN'!X57</f>
        <v>524657</v>
      </c>
      <c r="Y24" s="73">
        <f>'Key inputs_EB_TRF'!X73+'Key inputs_EB_MIN'!Y57</f>
        <v>259803</v>
      </c>
      <c r="Z24" s="73">
        <f>'Key inputs_EB_TRF'!Y73+'Key inputs_EB_MIN'!Z57</f>
        <v>254749</v>
      </c>
      <c r="AA24" s="73">
        <f>'Key inputs_EB_TRF'!Z73+'Key inputs_EB_MIN'!AA57</f>
        <v>1045810</v>
      </c>
      <c r="AB24" s="73">
        <f>'Key inputs_EB_TRF'!AA73+'Key inputs_EB_MIN'!AB57</f>
        <v>98627</v>
      </c>
      <c r="AC24" s="73">
        <f>'Key inputs_EB_TRF'!AB73+'Key inputs_EB_MIN'!AC57</f>
        <v>25</v>
      </c>
      <c r="AD24" s="73">
        <f>'Key inputs_EB_TRF'!AC73+'Key inputs_EB_MIN'!AD57</f>
        <v>1509580</v>
      </c>
      <c r="AE24" s="73">
        <f>'Key inputs_EB_TRF'!AD73+'Key inputs_EB_MIN'!AE57</f>
        <v>462539</v>
      </c>
      <c r="AF24" s="73">
        <f>'Key inputs_EB_TRF'!AE73+'Key inputs_EB_MIN'!AF57</f>
        <v>3482850</v>
      </c>
    </row>
    <row r="26" spans="1:32">
      <c r="E26">
        <f>SUM(E18:E24)/SUM(E11:E13)</f>
        <v>-0.93358981038064137</v>
      </c>
      <c r="F26">
        <f t="shared" ref="F26:K26" si="0">SUM(F18:F24)/SUM(F11:F13)</f>
        <v>-0.97539302880935619</v>
      </c>
      <c r="G26">
        <f t="shared" si="0"/>
        <v>-0.88017259746073628</v>
      </c>
      <c r="H26">
        <f t="shared" si="0"/>
        <v>-1.0001662593568996</v>
      </c>
      <c r="I26">
        <f t="shared" si="0"/>
        <v>-1.0006658855981847</v>
      </c>
      <c r="J26">
        <f t="shared" si="0"/>
        <v>-0.9590941241610631</v>
      </c>
      <c r="K26">
        <f t="shared" si="0"/>
        <v>-0.96326137514511001</v>
      </c>
      <c r="L26">
        <f t="shared" ref="L26:AF26" si="1">SUM(L18:L24)/SUM(L11:L13)</f>
        <v>-0.91522442464417952</v>
      </c>
      <c r="M26">
        <f t="shared" si="1"/>
        <v>-1.0000089006585784</v>
      </c>
      <c r="N26">
        <f t="shared" si="1"/>
        <v>-0.95547790058981041</v>
      </c>
      <c r="O26">
        <f t="shared" si="1"/>
        <v>-0.9833026964344227</v>
      </c>
      <c r="P26">
        <f t="shared" si="1"/>
        <v>-1.0000091188879243</v>
      </c>
      <c r="Q26">
        <f t="shared" si="1"/>
        <v>-0.90885058586135214</v>
      </c>
      <c r="R26">
        <f t="shared" si="1"/>
        <v>-1.0003627314019428</v>
      </c>
      <c r="S26">
        <f t="shared" si="1"/>
        <v>-0.99948406337283835</v>
      </c>
      <c r="T26">
        <f t="shared" si="1"/>
        <v>-1.0001370081705809</v>
      </c>
      <c r="U26">
        <f t="shared" si="1"/>
        <v>-1.0002529582139503</v>
      </c>
      <c r="V26">
        <f t="shared" si="1"/>
        <v>-0.90106385735715466</v>
      </c>
      <c r="W26">
        <f t="shared" si="1"/>
        <v>-0.99850217009300613</v>
      </c>
      <c r="X26">
        <f t="shared" si="1"/>
        <v>-1.0000064926723236</v>
      </c>
      <c r="Y26">
        <f t="shared" si="1"/>
        <v>-0.98477893210920509</v>
      </c>
      <c r="Z26">
        <f t="shared" si="1"/>
        <v>-0.97310358081256854</v>
      </c>
      <c r="AA26">
        <f t="shared" si="1"/>
        <v>-0.96639455657656548</v>
      </c>
      <c r="AB26">
        <f t="shared" si="1"/>
        <v>-0.93719143116778236</v>
      </c>
      <c r="AC26">
        <f t="shared" si="1"/>
        <v>-0.88190949275679464</v>
      </c>
      <c r="AD26">
        <f t="shared" si="1"/>
        <v>-1.0002238972195463</v>
      </c>
      <c r="AE26">
        <f t="shared" si="1"/>
        <v>-1.0018122336357795</v>
      </c>
      <c r="AF26">
        <f t="shared" si="1"/>
        <v>-0.97630988652507766</v>
      </c>
    </row>
    <row r="27" spans="1:32">
      <c r="A27" s="345" t="s">
        <v>836</v>
      </c>
    </row>
    <row r="29" spans="1:32" s="60" customFormat="1" ht="14.4">
      <c r="A29" s="63"/>
      <c r="B29" s="86"/>
      <c r="C29" s="63"/>
      <c r="D29" s="63"/>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86"/>
    </row>
    <row r="30" spans="1:32" s="59" customFormat="1">
      <c r="A30" s="68" t="s">
        <v>717</v>
      </c>
      <c r="B30" s="90" t="s">
        <v>727</v>
      </c>
      <c r="C30" s="68" t="s">
        <v>718</v>
      </c>
      <c r="D30" s="68" t="s">
        <v>375</v>
      </c>
      <c r="E30" s="69" t="s">
        <v>172</v>
      </c>
      <c r="F30" s="69" t="s">
        <v>175</v>
      </c>
      <c r="G30" s="69" t="s">
        <v>178</v>
      </c>
      <c r="H30" s="69" t="s">
        <v>181</v>
      </c>
      <c r="I30" s="69" t="s">
        <v>184</v>
      </c>
      <c r="J30" s="69" t="s">
        <v>187</v>
      </c>
      <c r="K30" s="69" t="s">
        <v>190</v>
      </c>
      <c r="L30" s="69" t="s">
        <v>193</v>
      </c>
      <c r="M30" s="69" t="s">
        <v>196</v>
      </c>
      <c r="N30" s="69" t="s">
        <v>198</v>
      </c>
      <c r="O30" s="69" t="s">
        <v>200</v>
      </c>
      <c r="P30" s="69" t="s">
        <v>202</v>
      </c>
      <c r="Q30" s="69" t="s">
        <v>205</v>
      </c>
      <c r="R30" s="69" t="s">
        <v>208</v>
      </c>
      <c r="S30" s="69" t="s">
        <v>211</v>
      </c>
      <c r="T30" s="69" t="s">
        <v>214</v>
      </c>
      <c r="U30" s="69" t="s">
        <v>217</v>
      </c>
      <c r="V30" s="69" t="s">
        <v>220</v>
      </c>
      <c r="W30" s="69" t="s">
        <v>223</v>
      </c>
      <c r="X30" s="69" t="s">
        <v>225</v>
      </c>
      <c r="Y30" s="69" t="s">
        <v>227</v>
      </c>
      <c r="Z30" s="69" t="s">
        <v>230</v>
      </c>
      <c r="AA30" s="69" t="s">
        <v>233</v>
      </c>
      <c r="AB30" s="69" t="s">
        <v>236</v>
      </c>
      <c r="AC30" s="69" t="s">
        <v>238</v>
      </c>
      <c r="AD30" s="69" t="s">
        <v>240</v>
      </c>
      <c r="AE30" s="69" t="s">
        <v>243</v>
      </c>
      <c r="AF30" s="91" t="s">
        <v>245</v>
      </c>
    </row>
    <row r="31" spans="1:32" s="59" customFormat="1">
      <c r="A31" s="71" t="s">
        <v>728</v>
      </c>
      <c r="B31" s="95" t="s">
        <v>734</v>
      </c>
      <c r="C31" s="71" t="s">
        <v>515</v>
      </c>
      <c r="D31" s="74" t="s">
        <v>387</v>
      </c>
      <c r="E31" s="209">
        <f>SUMIFS('Key inputs_EB_OWN'!E$7:E$26,'Key inputs_EB_OWN'!$C$7:$C$26,$C31)*SUMIFS('Key inputs_EB_OWN'!E$31:E$350,'Key inputs_EB_OWN'!$C$31:$C$350,$B31,'Key inputs_EB_OWN'!$B$31:$B$350,$C31)</f>
        <v>0</v>
      </c>
      <c r="F31" s="209">
        <f>SUMIFS('Key inputs_EB_OWN'!F$7:F$26,'Key inputs_EB_OWN'!$C$7:$C$26,$C31)*SUMIFS('Key inputs_EB_OWN'!F$31:F$350,'Key inputs_EB_OWN'!$C$31:$C$350,$B31,'Key inputs_EB_OWN'!$B$31:$B$350,$C31)</f>
        <v>0</v>
      </c>
      <c r="G31" s="209">
        <f>SUMIFS('Key inputs_EB_OWN'!G$7:G$26,'Key inputs_EB_OWN'!$C$7:$C$26,$C31)*SUMIFS('Key inputs_EB_OWN'!G$31:G$350,'Key inputs_EB_OWN'!$C$31:$C$350,$B31,'Key inputs_EB_OWN'!$B$31:$B$350,$C31)</f>
        <v>0</v>
      </c>
      <c r="H31" s="209">
        <f>SUMIFS('Key inputs_EB_OWN'!H$7:H$26,'Key inputs_EB_OWN'!$C$7:$C$26,$C31)*SUMIFS('Key inputs_EB_OWN'!H$31:H$350,'Key inputs_EB_OWN'!$C$31:$C$350,$B31,'Key inputs_EB_OWN'!$B$31:$B$350,$C31)</f>
        <v>0</v>
      </c>
      <c r="I31" s="209">
        <f>SUMIFS('Key inputs_EB_OWN'!I$7:I$26,'Key inputs_EB_OWN'!$C$7:$C$26,$C31)*SUMIFS('Key inputs_EB_OWN'!I$31:I$350,'Key inputs_EB_OWN'!$C$31:$C$350,$B31,'Key inputs_EB_OWN'!$B$31:$B$350,$C31)</f>
        <v>0</v>
      </c>
      <c r="J31" s="209">
        <f>SUMIFS('Key inputs_EB_OWN'!J$7:J$26,'Key inputs_EB_OWN'!$C$7:$C$26,$C31)*SUMIFS('Key inputs_EB_OWN'!J$31:J$350,'Key inputs_EB_OWN'!$C$31:$C$350,$B31,'Key inputs_EB_OWN'!$B$31:$B$350,$C31)</f>
        <v>0</v>
      </c>
      <c r="K31" s="209">
        <f>SUMIFS('Key inputs_EB_OWN'!K$7:K$26,'Key inputs_EB_OWN'!$C$7:$C$26,$C31)*SUMIFS('Key inputs_EB_OWN'!K$31:K$350,'Key inputs_EB_OWN'!$C$31:$C$350,$B31,'Key inputs_EB_OWN'!$B$31:$B$350,$C31)</f>
        <v>0</v>
      </c>
      <c r="L31" s="209">
        <f>SUMIFS('Key inputs_EB_OWN'!L$7:L$26,'Key inputs_EB_OWN'!$C$7:$C$26,$C31)*SUMIFS('Key inputs_EB_OWN'!L$31:L$350,'Key inputs_EB_OWN'!$C$31:$C$350,$B31,'Key inputs_EB_OWN'!$B$31:$B$350,$C31)</f>
        <v>0</v>
      </c>
      <c r="M31" s="209">
        <f>SUMIFS('Key inputs_EB_OWN'!M$7:M$26,'Key inputs_EB_OWN'!$C$7:$C$26,$C31)*SUMIFS('Key inputs_EB_OWN'!M$31:M$350,'Key inputs_EB_OWN'!$C$31:$C$350,$B31,'Key inputs_EB_OWN'!$B$31:$B$350,$C31)</f>
        <v>0</v>
      </c>
      <c r="N31" s="209">
        <f>SUMIFS('Key inputs_EB_OWN'!N$7:N$26,'Key inputs_EB_OWN'!$C$7:$C$26,$C31)*SUMIFS('Key inputs_EB_OWN'!N$31:N$350,'Key inputs_EB_OWN'!$C$31:$C$350,$B31,'Key inputs_EB_OWN'!$B$31:$B$350,$C31)</f>
        <v>0</v>
      </c>
      <c r="O31" s="209">
        <f>SUMIFS('Key inputs_EB_OWN'!O$7:O$26,'Key inputs_EB_OWN'!$C$7:$C$26,$C31)*SUMIFS('Key inputs_EB_OWN'!O$31:O$350,'Key inputs_EB_OWN'!$C$31:$C$350,$B31,'Key inputs_EB_OWN'!$B$31:$B$350,$C31)</f>
        <v>0</v>
      </c>
      <c r="P31" s="209">
        <f>SUMIFS('Key inputs_EB_OWN'!P$7:P$26,'Key inputs_EB_OWN'!$C$7:$C$26,$C31)*SUMIFS('Key inputs_EB_OWN'!P$31:P$350,'Key inputs_EB_OWN'!$C$31:$C$350,$B31,'Key inputs_EB_OWN'!$B$31:$B$350,$C31)</f>
        <v>0</v>
      </c>
      <c r="Q31" s="209">
        <f>SUMIFS('Key inputs_EB_OWN'!Q$7:Q$26,'Key inputs_EB_OWN'!$C$7:$C$26,$C31)*SUMIFS('Key inputs_EB_OWN'!Q$31:Q$350,'Key inputs_EB_OWN'!$C$31:$C$350,$B31,'Key inputs_EB_OWN'!$B$31:$B$350,$C31)</f>
        <v>0</v>
      </c>
      <c r="R31" s="209">
        <f>SUMIFS('Key inputs_EB_OWN'!R$7:R$26,'Key inputs_EB_OWN'!$C$7:$C$26,$C31)*SUMIFS('Key inputs_EB_OWN'!R$31:R$350,'Key inputs_EB_OWN'!$C$31:$C$350,$B31,'Key inputs_EB_OWN'!$B$31:$B$350,$C31)</f>
        <v>0</v>
      </c>
      <c r="S31" s="209">
        <f>SUMIFS('Key inputs_EB_OWN'!S$7:S$26,'Key inputs_EB_OWN'!$C$7:$C$26,$C31)*SUMIFS('Key inputs_EB_OWN'!S$31:S$350,'Key inputs_EB_OWN'!$C$31:$C$350,$B31,'Key inputs_EB_OWN'!$B$31:$B$350,$C31)</f>
        <v>0</v>
      </c>
      <c r="T31" s="209">
        <f>SUMIFS('Key inputs_EB_OWN'!T$7:T$26,'Key inputs_EB_OWN'!$C$7:$C$26,$C31)*SUMIFS('Key inputs_EB_OWN'!T$31:T$350,'Key inputs_EB_OWN'!$C$31:$C$350,$B31,'Key inputs_EB_OWN'!$B$31:$B$350,$C31)</f>
        <v>0</v>
      </c>
      <c r="U31" s="209">
        <f>SUMIFS('Key inputs_EB_OWN'!U$7:U$26,'Key inputs_EB_OWN'!$C$7:$C$26,$C31)*SUMIFS('Key inputs_EB_OWN'!U$31:U$350,'Key inputs_EB_OWN'!$C$31:$C$350,$B31,'Key inputs_EB_OWN'!$B$31:$B$350,$C31)</f>
        <v>-543</v>
      </c>
      <c r="V31" s="209">
        <f>SUMIFS('Key inputs_EB_OWN'!V$7:V$26,'Key inputs_EB_OWN'!$C$7:$C$26,$C31)*SUMIFS('Key inputs_EB_OWN'!V$31:V$350,'Key inputs_EB_OWN'!$C$31:$C$350,$B31,'Key inputs_EB_OWN'!$B$31:$B$350,$C31)</f>
        <v>0</v>
      </c>
      <c r="W31" s="209">
        <f>SUMIFS('Key inputs_EB_OWN'!W$7:W$26,'Key inputs_EB_OWN'!$C$7:$C$26,$C31)*SUMIFS('Key inputs_EB_OWN'!W$31:W$350,'Key inputs_EB_OWN'!$C$31:$C$350,$B31,'Key inputs_EB_OWN'!$B$31:$B$350,$C31)</f>
        <v>0</v>
      </c>
      <c r="X31" s="209">
        <f>SUMIFS('Key inputs_EB_OWN'!X$7:X$26,'Key inputs_EB_OWN'!$C$7:$C$26,$C31)*SUMIFS('Key inputs_EB_OWN'!X$31:X$350,'Key inputs_EB_OWN'!$C$31:$C$350,$B31,'Key inputs_EB_OWN'!$B$31:$B$350,$C31)</f>
        <v>0</v>
      </c>
      <c r="Y31" s="209">
        <f>SUMIFS('Key inputs_EB_OWN'!Y$7:Y$26,'Key inputs_EB_OWN'!$C$7:$C$26,$C31)*SUMIFS('Key inputs_EB_OWN'!Y$31:Y$350,'Key inputs_EB_OWN'!$C$31:$C$350,$B31,'Key inputs_EB_OWN'!$B$31:$B$350,$C31)</f>
        <v>-1</v>
      </c>
      <c r="Z31" s="209">
        <f>SUMIFS('Key inputs_EB_OWN'!Z$7:Z$26,'Key inputs_EB_OWN'!$C$7:$C$26,$C31)*SUMIFS('Key inputs_EB_OWN'!Z$31:Z$350,'Key inputs_EB_OWN'!$C$31:$C$350,$B31,'Key inputs_EB_OWN'!$B$31:$B$350,$C31)</f>
        <v>0</v>
      </c>
      <c r="AA31" s="209">
        <f>SUMIFS('Key inputs_EB_OWN'!AA$7:AA$26,'Key inputs_EB_OWN'!$C$7:$C$26,$C31)*SUMIFS('Key inputs_EB_OWN'!AA$31:AA$350,'Key inputs_EB_OWN'!$C$31:$C$350,$B31,'Key inputs_EB_OWN'!$B$31:$B$350,$C31)</f>
        <v>0</v>
      </c>
      <c r="AB31" s="209">
        <f>SUMIFS('Key inputs_EB_OWN'!AB$7:AB$26,'Key inputs_EB_OWN'!$C$7:$C$26,$C31)*SUMIFS('Key inputs_EB_OWN'!AB$31:AB$350,'Key inputs_EB_OWN'!$C$31:$C$350,$B31,'Key inputs_EB_OWN'!$B$31:$B$350,$C31)</f>
        <v>0</v>
      </c>
      <c r="AC31" s="209">
        <f>SUMIFS('Key inputs_EB_OWN'!AC$7:AC$26,'Key inputs_EB_OWN'!$C$7:$C$26,$C31)*SUMIFS('Key inputs_EB_OWN'!AC$31:AC$350,'Key inputs_EB_OWN'!$C$31:$C$350,$B31,'Key inputs_EB_OWN'!$B$31:$B$350,$C31)</f>
        <v>0</v>
      </c>
      <c r="AD31" s="209">
        <f>SUMIFS('Key inputs_EB_OWN'!AD$7:AD$26,'Key inputs_EB_OWN'!$C$7:$C$26,$C31)*SUMIFS('Key inputs_EB_OWN'!AD$31:AD$350,'Key inputs_EB_OWN'!$C$31:$C$350,$B31,'Key inputs_EB_OWN'!$B$31:$B$350,$C31)</f>
        <v>0</v>
      </c>
      <c r="AE31" s="209">
        <f>SUMIFS('Key inputs_EB_OWN'!AE$7:AE$26,'Key inputs_EB_OWN'!$C$7:$C$26,$C31)*SUMIFS('Key inputs_EB_OWN'!AE$31:AE$350,'Key inputs_EB_OWN'!$C$31:$C$350,$B31,'Key inputs_EB_OWN'!$B$31:$B$350,$C31)</f>
        <v>0</v>
      </c>
      <c r="AF31" s="220">
        <f>SUMIFS('Key inputs_EB_OWN'!AF$7:AF$26,'Key inputs_EB_OWN'!$C$7:$C$26,$C31)*SUMIFS('Key inputs_EB_OWN'!AF$31:AF$350,'Key inputs_EB_OWN'!$C$31:$C$350,$B31,'Key inputs_EB_OWN'!$B$31:$B$350,$C31)</f>
        <v>0</v>
      </c>
    </row>
    <row r="32" spans="1:32" s="59" customFormat="1">
      <c r="A32" s="71" t="s">
        <v>728</v>
      </c>
      <c r="B32" s="95" t="s">
        <v>734</v>
      </c>
      <c r="C32" s="71" t="s">
        <v>521</v>
      </c>
      <c r="D32" s="74" t="s">
        <v>387</v>
      </c>
      <c r="E32" s="209">
        <f>SUMIFS('Key inputs_EB_OWN'!E$7:E$26,'Key inputs_EB_OWN'!$C$7:$C$26,$C32)*SUMIFS('Key inputs_EB_OWN'!E$31:E$350,'Key inputs_EB_OWN'!$C$31:$C$350,$B32,'Key inputs_EB_OWN'!$B$31:$B$350,$C32)</f>
        <v>0</v>
      </c>
      <c r="F32" s="209">
        <f>SUMIFS('Key inputs_EB_OWN'!F$7:F$26,'Key inputs_EB_OWN'!$C$7:$C$26,$C32)*SUMIFS('Key inputs_EB_OWN'!F$31:F$350,'Key inputs_EB_OWN'!$C$31:$C$350,$B32,'Key inputs_EB_OWN'!$B$31:$B$350,$C32)</f>
        <v>0</v>
      </c>
      <c r="G32" s="209">
        <f>SUMIFS('Key inputs_EB_OWN'!G$7:G$26,'Key inputs_EB_OWN'!$C$7:$C$26,$C32)*SUMIFS('Key inputs_EB_OWN'!G$31:G$350,'Key inputs_EB_OWN'!$C$31:$C$350,$B32,'Key inputs_EB_OWN'!$B$31:$B$350,$C32)</f>
        <v>0</v>
      </c>
      <c r="H32" s="209">
        <f>SUMIFS('Key inputs_EB_OWN'!H$7:H$26,'Key inputs_EB_OWN'!$C$7:$C$26,$C32)*SUMIFS('Key inputs_EB_OWN'!H$31:H$350,'Key inputs_EB_OWN'!$C$31:$C$350,$B32,'Key inputs_EB_OWN'!$B$31:$B$350,$C32)</f>
        <v>0</v>
      </c>
      <c r="I32" s="209">
        <f>SUMIFS('Key inputs_EB_OWN'!I$7:I$26,'Key inputs_EB_OWN'!$C$7:$C$26,$C32)*SUMIFS('Key inputs_EB_OWN'!I$31:I$350,'Key inputs_EB_OWN'!$C$31:$C$350,$B32,'Key inputs_EB_OWN'!$B$31:$B$350,$C32)</f>
        <v>0</v>
      </c>
      <c r="J32" s="209">
        <f>SUMIFS('Key inputs_EB_OWN'!J$7:J$26,'Key inputs_EB_OWN'!$C$7:$C$26,$C32)*SUMIFS('Key inputs_EB_OWN'!J$31:J$350,'Key inputs_EB_OWN'!$C$31:$C$350,$B32,'Key inputs_EB_OWN'!$B$31:$B$350,$C32)</f>
        <v>0</v>
      </c>
      <c r="K32" s="209">
        <f>SUMIFS('Key inputs_EB_OWN'!K$7:K$26,'Key inputs_EB_OWN'!$C$7:$C$26,$C32)*SUMIFS('Key inputs_EB_OWN'!K$31:K$350,'Key inputs_EB_OWN'!$C$31:$C$350,$B32,'Key inputs_EB_OWN'!$B$31:$B$350,$C32)</f>
        <v>0</v>
      </c>
      <c r="L32" s="209">
        <f>SUMIFS('Key inputs_EB_OWN'!L$7:L$26,'Key inputs_EB_OWN'!$C$7:$C$26,$C32)*SUMIFS('Key inputs_EB_OWN'!L$31:L$350,'Key inputs_EB_OWN'!$C$31:$C$350,$B32,'Key inputs_EB_OWN'!$B$31:$B$350,$C32)</f>
        <v>0</v>
      </c>
      <c r="M32" s="209">
        <f>SUMIFS('Key inputs_EB_OWN'!M$7:M$26,'Key inputs_EB_OWN'!$C$7:$C$26,$C32)*SUMIFS('Key inputs_EB_OWN'!M$31:M$350,'Key inputs_EB_OWN'!$C$31:$C$350,$B32,'Key inputs_EB_OWN'!$B$31:$B$350,$C32)</f>
        <v>0</v>
      </c>
      <c r="N32" s="209">
        <f>SUMIFS('Key inputs_EB_OWN'!N$7:N$26,'Key inputs_EB_OWN'!$C$7:$C$26,$C32)*SUMIFS('Key inputs_EB_OWN'!N$31:N$350,'Key inputs_EB_OWN'!$C$31:$C$350,$B32,'Key inputs_EB_OWN'!$B$31:$B$350,$C32)</f>
        <v>0</v>
      </c>
      <c r="O32" s="209">
        <f>SUMIFS('Key inputs_EB_OWN'!O$7:O$26,'Key inputs_EB_OWN'!$C$7:$C$26,$C32)*SUMIFS('Key inputs_EB_OWN'!O$31:O$350,'Key inputs_EB_OWN'!$C$31:$C$350,$B32,'Key inputs_EB_OWN'!$B$31:$B$350,$C32)</f>
        <v>0</v>
      </c>
      <c r="P32" s="209">
        <f>SUMIFS('Key inputs_EB_OWN'!P$7:P$26,'Key inputs_EB_OWN'!$C$7:$C$26,$C32)*SUMIFS('Key inputs_EB_OWN'!P$31:P$350,'Key inputs_EB_OWN'!$C$31:$C$350,$B32,'Key inputs_EB_OWN'!$B$31:$B$350,$C32)</f>
        <v>0</v>
      </c>
      <c r="Q32" s="209">
        <f>SUMIFS('Key inputs_EB_OWN'!Q$7:Q$26,'Key inputs_EB_OWN'!$C$7:$C$26,$C32)*SUMIFS('Key inputs_EB_OWN'!Q$31:Q$350,'Key inputs_EB_OWN'!$C$31:$C$350,$B32,'Key inputs_EB_OWN'!$B$31:$B$350,$C32)</f>
        <v>0</v>
      </c>
      <c r="R32" s="209">
        <f>SUMIFS('Key inputs_EB_OWN'!R$7:R$26,'Key inputs_EB_OWN'!$C$7:$C$26,$C32)*SUMIFS('Key inputs_EB_OWN'!R$31:R$350,'Key inputs_EB_OWN'!$C$31:$C$350,$B32,'Key inputs_EB_OWN'!$B$31:$B$350,$C32)</f>
        <v>0</v>
      </c>
      <c r="S32" s="209">
        <f>SUMIFS('Key inputs_EB_OWN'!S$7:S$26,'Key inputs_EB_OWN'!$C$7:$C$26,$C32)*SUMIFS('Key inputs_EB_OWN'!S$31:S$350,'Key inputs_EB_OWN'!$C$31:$C$350,$B32,'Key inputs_EB_OWN'!$B$31:$B$350,$C32)</f>
        <v>0</v>
      </c>
      <c r="T32" s="209">
        <f>SUMIFS('Key inputs_EB_OWN'!T$7:T$26,'Key inputs_EB_OWN'!$C$7:$C$26,$C32)*SUMIFS('Key inputs_EB_OWN'!T$31:T$350,'Key inputs_EB_OWN'!$C$31:$C$350,$B32,'Key inputs_EB_OWN'!$B$31:$B$350,$C32)</f>
        <v>0</v>
      </c>
      <c r="U32" s="209">
        <f>SUMIFS('Key inputs_EB_OWN'!U$7:U$26,'Key inputs_EB_OWN'!$C$7:$C$26,$C32)*SUMIFS('Key inputs_EB_OWN'!U$31:U$350,'Key inputs_EB_OWN'!$C$31:$C$350,$B32,'Key inputs_EB_OWN'!$B$31:$B$350,$C32)</f>
        <v>0</v>
      </c>
      <c r="V32" s="209">
        <f>SUMIFS('Key inputs_EB_OWN'!V$7:V$26,'Key inputs_EB_OWN'!$C$7:$C$26,$C32)*SUMIFS('Key inputs_EB_OWN'!V$31:V$350,'Key inputs_EB_OWN'!$C$31:$C$350,$B32,'Key inputs_EB_OWN'!$B$31:$B$350,$C32)</f>
        <v>0</v>
      </c>
      <c r="W32" s="209">
        <f>SUMIFS('Key inputs_EB_OWN'!W$7:W$26,'Key inputs_EB_OWN'!$C$7:$C$26,$C32)*SUMIFS('Key inputs_EB_OWN'!W$31:W$350,'Key inputs_EB_OWN'!$C$31:$C$350,$B32,'Key inputs_EB_OWN'!$B$31:$B$350,$C32)</f>
        <v>0</v>
      </c>
      <c r="X32" s="209">
        <f>SUMIFS('Key inputs_EB_OWN'!X$7:X$26,'Key inputs_EB_OWN'!$C$7:$C$26,$C32)*SUMIFS('Key inputs_EB_OWN'!X$31:X$350,'Key inputs_EB_OWN'!$C$31:$C$350,$B32,'Key inputs_EB_OWN'!$B$31:$B$350,$C32)</f>
        <v>0</v>
      </c>
      <c r="Y32" s="209">
        <f>SUMIFS('Key inputs_EB_OWN'!Y$7:Y$26,'Key inputs_EB_OWN'!$C$7:$C$26,$C32)*SUMIFS('Key inputs_EB_OWN'!Y$31:Y$350,'Key inputs_EB_OWN'!$C$31:$C$350,$B32,'Key inputs_EB_OWN'!$B$31:$B$350,$C32)</f>
        <v>0</v>
      </c>
      <c r="Z32" s="209">
        <f>SUMIFS('Key inputs_EB_OWN'!Z$7:Z$26,'Key inputs_EB_OWN'!$C$7:$C$26,$C32)*SUMIFS('Key inputs_EB_OWN'!Z$31:Z$350,'Key inputs_EB_OWN'!$C$31:$C$350,$B32,'Key inputs_EB_OWN'!$B$31:$B$350,$C32)</f>
        <v>0</v>
      </c>
      <c r="AA32" s="209">
        <f>SUMIFS('Key inputs_EB_OWN'!AA$7:AA$26,'Key inputs_EB_OWN'!$C$7:$C$26,$C32)*SUMIFS('Key inputs_EB_OWN'!AA$31:AA$350,'Key inputs_EB_OWN'!$C$31:$C$350,$B32,'Key inputs_EB_OWN'!$B$31:$B$350,$C32)</f>
        <v>0</v>
      </c>
      <c r="AB32" s="209">
        <f>SUMIFS('Key inputs_EB_OWN'!AB$7:AB$26,'Key inputs_EB_OWN'!$C$7:$C$26,$C32)*SUMIFS('Key inputs_EB_OWN'!AB$31:AB$350,'Key inputs_EB_OWN'!$C$31:$C$350,$B32,'Key inputs_EB_OWN'!$B$31:$B$350,$C32)</f>
        <v>0</v>
      </c>
      <c r="AC32" s="209">
        <f>SUMIFS('Key inputs_EB_OWN'!AC$7:AC$26,'Key inputs_EB_OWN'!$C$7:$C$26,$C32)*SUMIFS('Key inputs_EB_OWN'!AC$31:AC$350,'Key inputs_EB_OWN'!$C$31:$C$350,$B32,'Key inputs_EB_OWN'!$B$31:$B$350,$C32)</f>
        <v>0</v>
      </c>
      <c r="AD32" s="209">
        <f>SUMIFS('Key inputs_EB_OWN'!AD$7:AD$26,'Key inputs_EB_OWN'!$C$7:$C$26,$C32)*SUMIFS('Key inputs_EB_OWN'!AD$31:AD$350,'Key inputs_EB_OWN'!$C$31:$C$350,$B32,'Key inputs_EB_OWN'!$B$31:$B$350,$C32)</f>
        <v>0</v>
      </c>
      <c r="AE32" s="209">
        <f>SUMIFS('Key inputs_EB_OWN'!AE$7:AE$26,'Key inputs_EB_OWN'!$C$7:$C$26,$C32)*SUMIFS('Key inputs_EB_OWN'!AE$31:AE$350,'Key inputs_EB_OWN'!$C$31:$C$350,$B32,'Key inputs_EB_OWN'!$B$31:$B$350,$C32)</f>
        <v>0</v>
      </c>
      <c r="AF32" s="220">
        <f>SUMIFS('Key inputs_EB_OWN'!AF$7:AF$26,'Key inputs_EB_OWN'!$C$7:$C$26,$C32)*SUMIFS('Key inputs_EB_OWN'!AF$31:AF$350,'Key inputs_EB_OWN'!$C$31:$C$350,$B32,'Key inputs_EB_OWN'!$B$31:$B$350,$C32)</f>
        <v>0</v>
      </c>
    </row>
    <row r="33" spans="1:32" s="59" customFormat="1">
      <c r="A33" s="71" t="s">
        <v>728</v>
      </c>
      <c r="B33" s="95" t="s">
        <v>734</v>
      </c>
      <c r="C33" s="71" t="s">
        <v>523</v>
      </c>
      <c r="D33" s="74" t="s">
        <v>387</v>
      </c>
      <c r="E33" s="209">
        <f>SUMIFS('Key inputs_EB_OWN'!E$7:E$26,'Key inputs_EB_OWN'!$C$7:$C$26,$C33)*SUMIFS('Key inputs_EB_OWN'!E$31:E$350,'Key inputs_EB_OWN'!$C$31:$C$350,$B33,'Key inputs_EB_OWN'!$B$31:$B$350,$C33)</f>
        <v>0</v>
      </c>
      <c r="F33" s="209">
        <f>SUMIFS('Key inputs_EB_OWN'!F$7:F$26,'Key inputs_EB_OWN'!$C$7:$C$26,$C33)*SUMIFS('Key inputs_EB_OWN'!F$31:F$350,'Key inputs_EB_OWN'!$C$31:$C$350,$B33,'Key inputs_EB_OWN'!$B$31:$B$350,$C33)</f>
        <v>0</v>
      </c>
      <c r="G33" s="209">
        <f>SUMIFS('Key inputs_EB_OWN'!G$7:G$26,'Key inputs_EB_OWN'!$C$7:$C$26,$C33)*SUMIFS('Key inputs_EB_OWN'!G$31:G$350,'Key inputs_EB_OWN'!$C$31:$C$350,$B33,'Key inputs_EB_OWN'!$B$31:$B$350,$C33)</f>
        <v>0</v>
      </c>
      <c r="H33" s="209">
        <f>SUMIFS('Key inputs_EB_OWN'!H$7:H$26,'Key inputs_EB_OWN'!$C$7:$C$26,$C33)*SUMIFS('Key inputs_EB_OWN'!H$31:H$350,'Key inputs_EB_OWN'!$C$31:$C$350,$B33,'Key inputs_EB_OWN'!$B$31:$B$350,$C33)</f>
        <v>0</v>
      </c>
      <c r="I33" s="209">
        <f>SUMIFS('Key inputs_EB_OWN'!I$7:I$26,'Key inputs_EB_OWN'!$C$7:$C$26,$C33)*SUMIFS('Key inputs_EB_OWN'!I$31:I$350,'Key inputs_EB_OWN'!$C$31:$C$350,$B33,'Key inputs_EB_OWN'!$B$31:$B$350,$C33)</f>
        <v>0</v>
      </c>
      <c r="J33" s="209">
        <f>SUMIFS('Key inputs_EB_OWN'!J$7:J$26,'Key inputs_EB_OWN'!$C$7:$C$26,$C33)*SUMIFS('Key inputs_EB_OWN'!J$31:J$350,'Key inputs_EB_OWN'!$C$31:$C$350,$B33,'Key inputs_EB_OWN'!$B$31:$B$350,$C33)</f>
        <v>0</v>
      </c>
      <c r="K33" s="209">
        <f>SUMIFS('Key inputs_EB_OWN'!K$7:K$26,'Key inputs_EB_OWN'!$C$7:$C$26,$C33)*SUMIFS('Key inputs_EB_OWN'!K$31:K$350,'Key inputs_EB_OWN'!$C$31:$C$350,$B33,'Key inputs_EB_OWN'!$B$31:$B$350,$C33)</f>
        <v>0</v>
      </c>
      <c r="L33" s="209">
        <f>SUMIFS('Key inputs_EB_OWN'!L$7:L$26,'Key inputs_EB_OWN'!$C$7:$C$26,$C33)*SUMIFS('Key inputs_EB_OWN'!L$31:L$350,'Key inputs_EB_OWN'!$C$31:$C$350,$B33,'Key inputs_EB_OWN'!$B$31:$B$350,$C33)</f>
        <v>0</v>
      </c>
      <c r="M33" s="209">
        <f>SUMIFS('Key inputs_EB_OWN'!M$7:M$26,'Key inputs_EB_OWN'!$C$7:$C$26,$C33)*SUMIFS('Key inputs_EB_OWN'!M$31:M$350,'Key inputs_EB_OWN'!$C$31:$C$350,$B33,'Key inputs_EB_OWN'!$B$31:$B$350,$C33)</f>
        <v>0</v>
      </c>
      <c r="N33" s="209">
        <f>SUMIFS('Key inputs_EB_OWN'!N$7:N$26,'Key inputs_EB_OWN'!$C$7:$C$26,$C33)*SUMIFS('Key inputs_EB_OWN'!N$31:N$350,'Key inputs_EB_OWN'!$C$31:$C$350,$B33,'Key inputs_EB_OWN'!$B$31:$B$350,$C33)</f>
        <v>0</v>
      </c>
      <c r="O33" s="209">
        <f>SUMIFS('Key inputs_EB_OWN'!O$7:O$26,'Key inputs_EB_OWN'!$C$7:$C$26,$C33)*SUMIFS('Key inputs_EB_OWN'!O$31:O$350,'Key inputs_EB_OWN'!$C$31:$C$350,$B33,'Key inputs_EB_OWN'!$B$31:$B$350,$C33)</f>
        <v>0</v>
      </c>
      <c r="P33" s="209">
        <f>SUMIFS('Key inputs_EB_OWN'!P$7:P$26,'Key inputs_EB_OWN'!$C$7:$C$26,$C33)*SUMIFS('Key inputs_EB_OWN'!P$31:P$350,'Key inputs_EB_OWN'!$C$31:$C$350,$B33,'Key inputs_EB_OWN'!$B$31:$B$350,$C33)</f>
        <v>0</v>
      </c>
      <c r="Q33" s="209">
        <f>SUMIFS('Key inputs_EB_OWN'!Q$7:Q$26,'Key inputs_EB_OWN'!$C$7:$C$26,$C33)*SUMIFS('Key inputs_EB_OWN'!Q$31:Q$350,'Key inputs_EB_OWN'!$C$31:$C$350,$B33,'Key inputs_EB_OWN'!$B$31:$B$350,$C33)</f>
        <v>0</v>
      </c>
      <c r="R33" s="209">
        <f>SUMIFS('Key inputs_EB_OWN'!R$7:R$26,'Key inputs_EB_OWN'!$C$7:$C$26,$C33)*SUMIFS('Key inputs_EB_OWN'!R$31:R$350,'Key inputs_EB_OWN'!$C$31:$C$350,$B33,'Key inputs_EB_OWN'!$B$31:$B$350,$C33)</f>
        <v>0</v>
      </c>
      <c r="S33" s="209">
        <f>SUMIFS('Key inputs_EB_OWN'!S$7:S$26,'Key inputs_EB_OWN'!$C$7:$C$26,$C33)*SUMIFS('Key inputs_EB_OWN'!S$31:S$350,'Key inputs_EB_OWN'!$C$31:$C$350,$B33,'Key inputs_EB_OWN'!$B$31:$B$350,$C33)</f>
        <v>0</v>
      </c>
      <c r="T33" s="209">
        <f>SUMIFS('Key inputs_EB_OWN'!T$7:T$26,'Key inputs_EB_OWN'!$C$7:$C$26,$C33)*SUMIFS('Key inputs_EB_OWN'!T$31:T$350,'Key inputs_EB_OWN'!$C$31:$C$350,$B33,'Key inputs_EB_OWN'!$B$31:$B$350,$C33)</f>
        <v>0</v>
      </c>
      <c r="U33" s="209">
        <f>SUMIFS('Key inputs_EB_OWN'!U$7:U$26,'Key inputs_EB_OWN'!$C$7:$C$26,$C33)*SUMIFS('Key inputs_EB_OWN'!U$31:U$350,'Key inputs_EB_OWN'!$C$31:$C$350,$B33,'Key inputs_EB_OWN'!$B$31:$B$350,$C33)</f>
        <v>0</v>
      </c>
      <c r="V33" s="209">
        <f>SUMIFS('Key inputs_EB_OWN'!V$7:V$26,'Key inputs_EB_OWN'!$C$7:$C$26,$C33)*SUMIFS('Key inputs_EB_OWN'!V$31:V$350,'Key inputs_EB_OWN'!$C$31:$C$350,$B33,'Key inputs_EB_OWN'!$B$31:$B$350,$C33)</f>
        <v>0</v>
      </c>
      <c r="W33" s="209">
        <f>SUMIFS('Key inputs_EB_OWN'!W$7:W$26,'Key inputs_EB_OWN'!$C$7:$C$26,$C33)*SUMIFS('Key inputs_EB_OWN'!W$31:W$350,'Key inputs_EB_OWN'!$C$31:$C$350,$B33,'Key inputs_EB_OWN'!$B$31:$B$350,$C33)</f>
        <v>0</v>
      </c>
      <c r="X33" s="209">
        <f>SUMIFS('Key inputs_EB_OWN'!X$7:X$26,'Key inputs_EB_OWN'!$C$7:$C$26,$C33)*SUMIFS('Key inputs_EB_OWN'!X$31:X$350,'Key inputs_EB_OWN'!$C$31:$C$350,$B33,'Key inputs_EB_OWN'!$B$31:$B$350,$C33)</f>
        <v>0</v>
      </c>
      <c r="Y33" s="209">
        <f>SUMIFS('Key inputs_EB_OWN'!Y$7:Y$26,'Key inputs_EB_OWN'!$C$7:$C$26,$C33)*SUMIFS('Key inputs_EB_OWN'!Y$31:Y$350,'Key inputs_EB_OWN'!$C$31:$C$350,$B33,'Key inputs_EB_OWN'!$B$31:$B$350,$C33)</f>
        <v>0</v>
      </c>
      <c r="Z33" s="209">
        <f>SUMIFS('Key inputs_EB_OWN'!Z$7:Z$26,'Key inputs_EB_OWN'!$C$7:$C$26,$C33)*SUMIFS('Key inputs_EB_OWN'!Z$31:Z$350,'Key inputs_EB_OWN'!$C$31:$C$350,$B33,'Key inputs_EB_OWN'!$B$31:$B$350,$C33)</f>
        <v>0</v>
      </c>
      <c r="AA33" s="209">
        <f>SUMIFS('Key inputs_EB_OWN'!AA$7:AA$26,'Key inputs_EB_OWN'!$C$7:$C$26,$C33)*SUMIFS('Key inputs_EB_OWN'!AA$31:AA$350,'Key inputs_EB_OWN'!$C$31:$C$350,$B33,'Key inputs_EB_OWN'!$B$31:$B$350,$C33)</f>
        <v>0</v>
      </c>
      <c r="AB33" s="209">
        <f>SUMIFS('Key inputs_EB_OWN'!AB$7:AB$26,'Key inputs_EB_OWN'!$C$7:$C$26,$C33)*SUMIFS('Key inputs_EB_OWN'!AB$31:AB$350,'Key inputs_EB_OWN'!$C$31:$C$350,$B33,'Key inputs_EB_OWN'!$B$31:$B$350,$C33)</f>
        <v>0</v>
      </c>
      <c r="AC33" s="209">
        <f>SUMIFS('Key inputs_EB_OWN'!AC$7:AC$26,'Key inputs_EB_OWN'!$C$7:$C$26,$C33)*SUMIFS('Key inputs_EB_OWN'!AC$31:AC$350,'Key inputs_EB_OWN'!$C$31:$C$350,$B33,'Key inputs_EB_OWN'!$B$31:$B$350,$C33)</f>
        <v>0</v>
      </c>
      <c r="AD33" s="209">
        <f>SUMIFS('Key inputs_EB_OWN'!AD$7:AD$26,'Key inputs_EB_OWN'!$C$7:$C$26,$C33)*SUMIFS('Key inputs_EB_OWN'!AD$31:AD$350,'Key inputs_EB_OWN'!$C$31:$C$350,$B33,'Key inputs_EB_OWN'!$B$31:$B$350,$C33)</f>
        <v>0</v>
      </c>
      <c r="AE33" s="209">
        <f>SUMIFS('Key inputs_EB_OWN'!AE$7:AE$26,'Key inputs_EB_OWN'!$C$7:$C$26,$C33)*SUMIFS('Key inputs_EB_OWN'!AE$31:AE$350,'Key inputs_EB_OWN'!$C$31:$C$350,$B33,'Key inputs_EB_OWN'!$B$31:$B$350,$C33)</f>
        <v>0</v>
      </c>
      <c r="AF33" s="220">
        <f>SUMIFS('Key inputs_EB_OWN'!AF$7:AF$26,'Key inputs_EB_OWN'!$C$7:$C$26,$C33)*SUMIFS('Key inputs_EB_OWN'!AF$31:AF$350,'Key inputs_EB_OWN'!$C$31:$C$350,$B33,'Key inputs_EB_OWN'!$B$31:$B$350,$C33)</f>
        <v>0</v>
      </c>
    </row>
    <row r="34" spans="1:32" s="59" customFormat="1">
      <c r="A34" s="71" t="s">
        <v>728</v>
      </c>
      <c r="B34" s="95" t="s">
        <v>734</v>
      </c>
      <c r="C34" s="71" t="s">
        <v>525</v>
      </c>
      <c r="D34" s="74" t="s">
        <v>387</v>
      </c>
      <c r="E34" s="209">
        <f>SUMIFS('Key inputs_EB_OWN'!E$7:E$26,'Key inputs_EB_OWN'!$C$7:$C$26,$C34)*SUMIFS('Key inputs_EB_OWN'!E$31:E$350,'Key inputs_EB_OWN'!$C$31:$C$350,$B34,'Key inputs_EB_OWN'!$B$31:$B$350,$C34)</f>
        <v>0</v>
      </c>
      <c r="F34" s="209">
        <f>SUMIFS('Key inputs_EB_OWN'!F$7:F$26,'Key inputs_EB_OWN'!$C$7:$C$26,$C34)*SUMIFS('Key inputs_EB_OWN'!F$31:F$350,'Key inputs_EB_OWN'!$C$31:$C$350,$B34,'Key inputs_EB_OWN'!$B$31:$B$350,$C34)</f>
        <v>0</v>
      </c>
      <c r="G34" s="209">
        <f>SUMIFS('Key inputs_EB_OWN'!G$7:G$26,'Key inputs_EB_OWN'!$C$7:$C$26,$C34)*SUMIFS('Key inputs_EB_OWN'!G$31:G$350,'Key inputs_EB_OWN'!$C$31:$C$350,$B34,'Key inputs_EB_OWN'!$B$31:$B$350,$C34)</f>
        <v>0</v>
      </c>
      <c r="H34" s="209">
        <f>SUMIFS('Key inputs_EB_OWN'!H$7:H$26,'Key inputs_EB_OWN'!$C$7:$C$26,$C34)*SUMIFS('Key inputs_EB_OWN'!H$31:H$350,'Key inputs_EB_OWN'!$C$31:$C$350,$B34,'Key inputs_EB_OWN'!$B$31:$B$350,$C34)</f>
        <v>0</v>
      </c>
      <c r="I34" s="209">
        <f>SUMIFS('Key inputs_EB_OWN'!I$7:I$26,'Key inputs_EB_OWN'!$C$7:$C$26,$C34)*SUMIFS('Key inputs_EB_OWN'!I$31:I$350,'Key inputs_EB_OWN'!$C$31:$C$350,$B34,'Key inputs_EB_OWN'!$B$31:$B$350,$C34)</f>
        <v>0</v>
      </c>
      <c r="J34" s="209">
        <f>SUMIFS('Key inputs_EB_OWN'!J$7:J$26,'Key inputs_EB_OWN'!$C$7:$C$26,$C34)*SUMIFS('Key inputs_EB_OWN'!J$31:J$350,'Key inputs_EB_OWN'!$C$31:$C$350,$B34,'Key inputs_EB_OWN'!$B$31:$B$350,$C34)</f>
        <v>0</v>
      </c>
      <c r="K34" s="209">
        <f>SUMIFS('Key inputs_EB_OWN'!K$7:K$26,'Key inputs_EB_OWN'!$C$7:$C$26,$C34)*SUMIFS('Key inputs_EB_OWN'!K$31:K$350,'Key inputs_EB_OWN'!$C$31:$C$350,$B34,'Key inputs_EB_OWN'!$B$31:$B$350,$C34)</f>
        <v>0</v>
      </c>
      <c r="L34" s="209">
        <f>SUMIFS('Key inputs_EB_OWN'!L$7:L$26,'Key inputs_EB_OWN'!$C$7:$C$26,$C34)*SUMIFS('Key inputs_EB_OWN'!L$31:L$350,'Key inputs_EB_OWN'!$C$31:$C$350,$B34,'Key inputs_EB_OWN'!$B$31:$B$350,$C34)</f>
        <v>0</v>
      </c>
      <c r="M34" s="209">
        <f>SUMIFS('Key inputs_EB_OWN'!M$7:M$26,'Key inputs_EB_OWN'!$C$7:$C$26,$C34)*SUMIFS('Key inputs_EB_OWN'!M$31:M$350,'Key inputs_EB_OWN'!$C$31:$C$350,$B34,'Key inputs_EB_OWN'!$B$31:$B$350,$C34)</f>
        <v>0</v>
      </c>
      <c r="N34" s="209">
        <f>SUMIFS('Key inputs_EB_OWN'!N$7:N$26,'Key inputs_EB_OWN'!$C$7:$C$26,$C34)*SUMIFS('Key inputs_EB_OWN'!N$31:N$350,'Key inputs_EB_OWN'!$C$31:$C$350,$B34,'Key inputs_EB_OWN'!$B$31:$B$350,$C34)</f>
        <v>0</v>
      </c>
      <c r="O34" s="209">
        <f>SUMIFS('Key inputs_EB_OWN'!O$7:O$26,'Key inputs_EB_OWN'!$C$7:$C$26,$C34)*SUMIFS('Key inputs_EB_OWN'!O$31:O$350,'Key inputs_EB_OWN'!$C$31:$C$350,$B34,'Key inputs_EB_OWN'!$B$31:$B$350,$C34)</f>
        <v>0</v>
      </c>
      <c r="P34" s="209">
        <f>SUMIFS('Key inputs_EB_OWN'!P$7:P$26,'Key inputs_EB_OWN'!$C$7:$C$26,$C34)*SUMIFS('Key inputs_EB_OWN'!P$31:P$350,'Key inputs_EB_OWN'!$C$31:$C$350,$B34,'Key inputs_EB_OWN'!$B$31:$B$350,$C34)</f>
        <v>0</v>
      </c>
      <c r="Q34" s="209">
        <f>SUMIFS('Key inputs_EB_OWN'!Q$7:Q$26,'Key inputs_EB_OWN'!$C$7:$C$26,$C34)*SUMIFS('Key inputs_EB_OWN'!Q$31:Q$350,'Key inputs_EB_OWN'!$C$31:$C$350,$B34,'Key inputs_EB_OWN'!$B$31:$B$350,$C34)</f>
        <v>0</v>
      </c>
      <c r="R34" s="209">
        <f>SUMIFS('Key inputs_EB_OWN'!R$7:R$26,'Key inputs_EB_OWN'!$C$7:$C$26,$C34)*SUMIFS('Key inputs_EB_OWN'!R$31:R$350,'Key inputs_EB_OWN'!$C$31:$C$350,$B34,'Key inputs_EB_OWN'!$B$31:$B$350,$C34)</f>
        <v>0</v>
      </c>
      <c r="S34" s="209">
        <f>SUMIFS('Key inputs_EB_OWN'!S$7:S$26,'Key inputs_EB_OWN'!$C$7:$C$26,$C34)*SUMIFS('Key inputs_EB_OWN'!S$31:S$350,'Key inputs_EB_OWN'!$C$31:$C$350,$B34,'Key inputs_EB_OWN'!$B$31:$B$350,$C34)</f>
        <v>-0.95492631285134677</v>
      </c>
      <c r="T34" s="209">
        <f>SUMIFS('Key inputs_EB_OWN'!T$7:T$26,'Key inputs_EB_OWN'!$C$7:$C$26,$C34)*SUMIFS('Key inputs_EB_OWN'!T$31:T$350,'Key inputs_EB_OWN'!$C$31:$C$350,$B34,'Key inputs_EB_OWN'!$B$31:$B$350,$C34)</f>
        <v>0</v>
      </c>
      <c r="U34" s="209">
        <f>SUMIFS('Key inputs_EB_OWN'!U$7:U$26,'Key inputs_EB_OWN'!$C$7:$C$26,$C34)*SUMIFS('Key inputs_EB_OWN'!U$31:U$350,'Key inputs_EB_OWN'!$C$31:$C$350,$B34,'Key inputs_EB_OWN'!$B$31:$B$350,$C34)</f>
        <v>-284.60982745661767</v>
      </c>
      <c r="V34" s="209">
        <f>SUMIFS('Key inputs_EB_OWN'!V$7:V$26,'Key inputs_EB_OWN'!$C$7:$C$26,$C34)*SUMIFS('Key inputs_EB_OWN'!V$31:V$350,'Key inputs_EB_OWN'!$C$31:$C$350,$B34,'Key inputs_EB_OWN'!$B$31:$B$350,$C34)</f>
        <v>0</v>
      </c>
      <c r="W34" s="209">
        <f>SUMIFS('Key inputs_EB_OWN'!W$7:W$26,'Key inputs_EB_OWN'!$C$7:$C$26,$C34)*SUMIFS('Key inputs_EB_OWN'!W$31:W$350,'Key inputs_EB_OWN'!$C$31:$C$350,$B34,'Key inputs_EB_OWN'!$B$31:$B$350,$C34)</f>
        <v>0</v>
      </c>
      <c r="X34" s="209">
        <f>SUMIFS('Key inputs_EB_OWN'!X$7:X$26,'Key inputs_EB_OWN'!$C$7:$C$26,$C34)*SUMIFS('Key inputs_EB_OWN'!X$31:X$350,'Key inputs_EB_OWN'!$C$31:$C$350,$B34,'Key inputs_EB_OWN'!$B$31:$B$350,$C34)</f>
        <v>0</v>
      </c>
      <c r="Y34" s="209">
        <f>SUMIFS('Key inputs_EB_OWN'!Y$7:Y$26,'Key inputs_EB_OWN'!$C$7:$C$26,$C34)*SUMIFS('Key inputs_EB_OWN'!Y$31:Y$350,'Key inputs_EB_OWN'!$C$31:$C$350,$B34,'Key inputs_EB_OWN'!$B$31:$B$350,$C34)</f>
        <v>0</v>
      </c>
      <c r="Z34" s="209">
        <f>SUMIFS('Key inputs_EB_OWN'!Z$7:Z$26,'Key inputs_EB_OWN'!$C$7:$C$26,$C34)*SUMIFS('Key inputs_EB_OWN'!Z$31:Z$350,'Key inputs_EB_OWN'!$C$31:$C$350,$B34,'Key inputs_EB_OWN'!$B$31:$B$350,$C34)</f>
        <v>0</v>
      </c>
      <c r="AA34" s="209">
        <f>SUMIFS('Key inputs_EB_OWN'!AA$7:AA$26,'Key inputs_EB_OWN'!$C$7:$C$26,$C34)*SUMIFS('Key inputs_EB_OWN'!AA$31:AA$350,'Key inputs_EB_OWN'!$C$31:$C$350,$B34,'Key inputs_EB_OWN'!$B$31:$B$350,$C34)</f>
        <v>0</v>
      </c>
      <c r="AB34" s="209">
        <f>SUMIFS('Key inputs_EB_OWN'!AB$7:AB$26,'Key inputs_EB_OWN'!$C$7:$C$26,$C34)*SUMIFS('Key inputs_EB_OWN'!AB$31:AB$350,'Key inputs_EB_OWN'!$C$31:$C$350,$B34,'Key inputs_EB_OWN'!$B$31:$B$350,$C34)</f>
        <v>0</v>
      </c>
      <c r="AC34" s="209">
        <f>SUMIFS('Key inputs_EB_OWN'!AC$7:AC$26,'Key inputs_EB_OWN'!$C$7:$C$26,$C34)*SUMIFS('Key inputs_EB_OWN'!AC$31:AC$350,'Key inputs_EB_OWN'!$C$31:$C$350,$B34,'Key inputs_EB_OWN'!$B$31:$B$350,$C34)</f>
        <v>0</v>
      </c>
      <c r="AD34" s="209">
        <f>SUMIFS('Key inputs_EB_OWN'!AD$7:AD$26,'Key inputs_EB_OWN'!$C$7:$C$26,$C34)*SUMIFS('Key inputs_EB_OWN'!AD$31:AD$350,'Key inputs_EB_OWN'!$C$31:$C$350,$B34,'Key inputs_EB_OWN'!$B$31:$B$350,$C34)</f>
        <v>0</v>
      </c>
      <c r="AE34" s="209">
        <f>SUMIFS('Key inputs_EB_OWN'!AE$7:AE$26,'Key inputs_EB_OWN'!$C$7:$C$26,$C34)*SUMIFS('Key inputs_EB_OWN'!AE$31:AE$350,'Key inputs_EB_OWN'!$C$31:$C$350,$B34,'Key inputs_EB_OWN'!$B$31:$B$350,$C34)</f>
        <v>0</v>
      </c>
      <c r="AF34" s="220">
        <f>SUMIFS('Key inputs_EB_OWN'!AF$7:AF$26,'Key inputs_EB_OWN'!$C$7:$C$26,$C34)*SUMIFS('Key inputs_EB_OWN'!AF$31:AF$350,'Key inputs_EB_OWN'!$C$31:$C$350,$B34,'Key inputs_EB_OWN'!$B$31:$B$350,$C34)</f>
        <v>0</v>
      </c>
    </row>
    <row r="35" spans="1:32" s="59" customFormat="1">
      <c r="A35" s="71" t="s">
        <v>728</v>
      </c>
      <c r="B35" s="95" t="s">
        <v>734</v>
      </c>
      <c r="C35" s="71" t="s">
        <v>527</v>
      </c>
      <c r="D35" s="74" t="s">
        <v>387</v>
      </c>
      <c r="E35" s="209">
        <f>SUMIFS('Key inputs_EB_OWN'!E$7:E$26,'Key inputs_EB_OWN'!$C$7:$C$26,$C35)*SUMIFS('Key inputs_EB_OWN'!E$31:E$350,'Key inputs_EB_OWN'!$C$31:$C$350,$B35,'Key inputs_EB_OWN'!$B$31:$B$350,$C35)</f>
        <v>0</v>
      </c>
      <c r="F35" s="209">
        <f>SUMIFS('Key inputs_EB_OWN'!F$7:F$26,'Key inputs_EB_OWN'!$C$7:$C$26,$C35)*SUMIFS('Key inputs_EB_OWN'!F$31:F$350,'Key inputs_EB_OWN'!$C$31:$C$350,$B35,'Key inputs_EB_OWN'!$B$31:$B$350,$C35)</f>
        <v>0</v>
      </c>
      <c r="G35" s="209">
        <f>SUMIFS('Key inputs_EB_OWN'!G$7:G$26,'Key inputs_EB_OWN'!$C$7:$C$26,$C35)*SUMIFS('Key inputs_EB_OWN'!G$31:G$350,'Key inputs_EB_OWN'!$C$31:$C$350,$B35,'Key inputs_EB_OWN'!$B$31:$B$350,$C35)</f>
        <v>0</v>
      </c>
      <c r="H35" s="209">
        <f>SUMIFS('Key inputs_EB_OWN'!H$7:H$26,'Key inputs_EB_OWN'!$C$7:$C$26,$C35)*SUMIFS('Key inputs_EB_OWN'!H$31:H$350,'Key inputs_EB_OWN'!$C$31:$C$350,$B35,'Key inputs_EB_OWN'!$B$31:$B$350,$C35)</f>
        <v>0</v>
      </c>
      <c r="I35" s="209">
        <f>SUMIFS('Key inputs_EB_OWN'!I$7:I$26,'Key inputs_EB_OWN'!$C$7:$C$26,$C35)*SUMIFS('Key inputs_EB_OWN'!I$31:I$350,'Key inputs_EB_OWN'!$C$31:$C$350,$B35,'Key inputs_EB_OWN'!$B$31:$B$350,$C35)</f>
        <v>0</v>
      </c>
      <c r="J35" s="209">
        <f>SUMIFS('Key inputs_EB_OWN'!J$7:J$26,'Key inputs_EB_OWN'!$C$7:$C$26,$C35)*SUMIFS('Key inputs_EB_OWN'!J$31:J$350,'Key inputs_EB_OWN'!$C$31:$C$350,$B35,'Key inputs_EB_OWN'!$B$31:$B$350,$C35)</f>
        <v>0</v>
      </c>
      <c r="K35" s="209">
        <f>SUMIFS('Key inputs_EB_OWN'!K$7:K$26,'Key inputs_EB_OWN'!$C$7:$C$26,$C35)*SUMIFS('Key inputs_EB_OWN'!K$31:K$350,'Key inputs_EB_OWN'!$C$31:$C$350,$B35,'Key inputs_EB_OWN'!$B$31:$B$350,$C35)</f>
        <v>0</v>
      </c>
      <c r="L35" s="209">
        <f>SUMIFS('Key inputs_EB_OWN'!L$7:L$26,'Key inputs_EB_OWN'!$C$7:$C$26,$C35)*SUMIFS('Key inputs_EB_OWN'!L$31:L$350,'Key inputs_EB_OWN'!$C$31:$C$350,$B35,'Key inputs_EB_OWN'!$B$31:$B$350,$C35)</f>
        <v>0</v>
      </c>
      <c r="M35" s="209">
        <f>SUMIFS('Key inputs_EB_OWN'!M$7:M$26,'Key inputs_EB_OWN'!$C$7:$C$26,$C35)*SUMIFS('Key inputs_EB_OWN'!M$31:M$350,'Key inputs_EB_OWN'!$C$31:$C$350,$B35,'Key inputs_EB_OWN'!$B$31:$B$350,$C35)</f>
        <v>0</v>
      </c>
      <c r="N35" s="209">
        <f>SUMIFS('Key inputs_EB_OWN'!N$7:N$26,'Key inputs_EB_OWN'!$C$7:$C$26,$C35)*SUMIFS('Key inputs_EB_OWN'!N$31:N$350,'Key inputs_EB_OWN'!$C$31:$C$350,$B35,'Key inputs_EB_OWN'!$B$31:$B$350,$C35)</f>
        <v>0</v>
      </c>
      <c r="O35" s="209">
        <f>SUMIFS('Key inputs_EB_OWN'!O$7:O$26,'Key inputs_EB_OWN'!$C$7:$C$26,$C35)*SUMIFS('Key inputs_EB_OWN'!O$31:O$350,'Key inputs_EB_OWN'!$C$31:$C$350,$B35,'Key inputs_EB_OWN'!$B$31:$B$350,$C35)</f>
        <v>0</v>
      </c>
      <c r="P35" s="209">
        <f>SUMIFS('Key inputs_EB_OWN'!P$7:P$26,'Key inputs_EB_OWN'!$C$7:$C$26,$C35)*SUMIFS('Key inputs_EB_OWN'!P$31:P$350,'Key inputs_EB_OWN'!$C$31:$C$350,$B35,'Key inputs_EB_OWN'!$B$31:$B$350,$C35)</f>
        <v>0</v>
      </c>
      <c r="Q35" s="209">
        <f>SUMIFS('Key inputs_EB_OWN'!Q$7:Q$26,'Key inputs_EB_OWN'!$C$7:$C$26,$C35)*SUMIFS('Key inputs_EB_OWN'!Q$31:Q$350,'Key inputs_EB_OWN'!$C$31:$C$350,$B35,'Key inputs_EB_OWN'!$B$31:$B$350,$C35)</f>
        <v>0</v>
      </c>
      <c r="R35" s="209">
        <f>SUMIFS('Key inputs_EB_OWN'!R$7:R$26,'Key inputs_EB_OWN'!$C$7:$C$26,$C35)*SUMIFS('Key inputs_EB_OWN'!R$31:R$350,'Key inputs_EB_OWN'!$C$31:$C$350,$B35,'Key inputs_EB_OWN'!$B$31:$B$350,$C35)</f>
        <v>0</v>
      </c>
      <c r="S35" s="209">
        <f>SUMIFS('Key inputs_EB_OWN'!S$7:S$26,'Key inputs_EB_OWN'!$C$7:$C$26,$C35)*SUMIFS('Key inputs_EB_OWN'!S$31:S$350,'Key inputs_EB_OWN'!$C$31:$C$350,$B35,'Key inputs_EB_OWN'!$B$31:$B$350,$C35)</f>
        <v>-765.44228062673028</v>
      </c>
      <c r="T35" s="209">
        <f>SUMIFS('Key inputs_EB_OWN'!T$7:T$26,'Key inputs_EB_OWN'!$C$7:$C$26,$C35)*SUMIFS('Key inputs_EB_OWN'!T$31:T$350,'Key inputs_EB_OWN'!$C$31:$C$350,$B35,'Key inputs_EB_OWN'!$B$31:$B$350,$C35)</f>
        <v>0</v>
      </c>
      <c r="U35" s="209">
        <f>SUMIFS('Key inputs_EB_OWN'!U$7:U$26,'Key inputs_EB_OWN'!$C$7:$C$26,$C35)*SUMIFS('Key inputs_EB_OWN'!U$31:U$350,'Key inputs_EB_OWN'!$C$31:$C$350,$B35,'Key inputs_EB_OWN'!$B$31:$B$350,$C35)</f>
        <v>0</v>
      </c>
      <c r="V35" s="209">
        <f>SUMIFS('Key inputs_EB_OWN'!V$7:V$26,'Key inputs_EB_OWN'!$C$7:$C$26,$C35)*SUMIFS('Key inputs_EB_OWN'!V$31:V$350,'Key inputs_EB_OWN'!$C$31:$C$350,$B35,'Key inputs_EB_OWN'!$B$31:$B$350,$C35)</f>
        <v>0</v>
      </c>
      <c r="W35" s="209">
        <f>SUMIFS('Key inputs_EB_OWN'!W$7:W$26,'Key inputs_EB_OWN'!$C$7:$C$26,$C35)*SUMIFS('Key inputs_EB_OWN'!W$31:W$350,'Key inputs_EB_OWN'!$C$31:$C$350,$B35,'Key inputs_EB_OWN'!$B$31:$B$350,$C35)</f>
        <v>0</v>
      </c>
      <c r="X35" s="209">
        <f>SUMIFS('Key inputs_EB_OWN'!X$7:X$26,'Key inputs_EB_OWN'!$C$7:$C$26,$C35)*SUMIFS('Key inputs_EB_OWN'!X$31:X$350,'Key inputs_EB_OWN'!$C$31:$C$350,$B35,'Key inputs_EB_OWN'!$B$31:$B$350,$C35)</f>
        <v>-2208.567903195004</v>
      </c>
      <c r="Y35" s="209">
        <f>SUMIFS('Key inputs_EB_OWN'!Y$7:Y$26,'Key inputs_EB_OWN'!$C$7:$C$26,$C35)*SUMIFS('Key inputs_EB_OWN'!Y$31:Y$350,'Key inputs_EB_OWN'!$C$31:$C$350,$B35,'Key inputs_EB_OWN'!$B$31:$B$350,$C35)</f>
        <v>0</v>
      </c>
      <c r="Z35" s="209">
        <f>SUMIFS('Key inputs_EB_OWN'!Z$7:Z$26,'Key inputs_EB_OWN'!$C$7:$C$26,$C35)*SUMIFS('Key inputs_EB_OWN'!Z$31:Z$350,'Key inputs_EB_OWN'!$C$31:$C$350,$B35,'Key inputs_EB_OWN'!$B$31:$B$350,$C35)</f>
        <v>0</v>
      </c>
      <c r="AA35" s="209">
        <f>SUMIFS('Key inputs_EB_OWN'!AA$7:AA$26,'Key inputs_EB_OWN'!$C$7:$C$26,$C35)*SUMIFS('Key inputs_EB_OWN'!AA$31:AA$350,'Key inputs_EB_OWN'!$C$31:$C$350,$B35,'Key inputs_EB_OWN'!$B$31:$B$350,$C35)</f>
        <v>0</v>
      </c>
      <c r="AB35" s="209">
        <f>SUMIFS('Key inputs_EB_OWN'!AB$7:AB$26,'Key inputs_EB_OWN'!$C$7:$C$26,$C35)*SUMIFS('Key inputs_EB_OWN'!AB$31:AB$350,'Key inputs_EB_OWN'!$C$31:$C$350,$B35,'Key inputs_EB_OWN'!$B$31:$B$350,$C35)</f>
        <v>0</v>
      </c>
      <c r="AC35" s="209">
        <f>SUMIFS('Key inputs_EB_OWN'!AC$7:AC$26,'Key inputs_EB_OWN'!$C$7:$C$26,$C35)*SUMIFS('Key inputs_EB_OWN'!AC$31:AC$350,'Key inputs_EB_OWN'!$C$31:$C$350,$B35,'Key inputs_EB_OWN'!$B$31:$B$350,$C35)</f>
        <v>0</v>
      </c>
      <c r="AD35" s="209">
        <f>SUMIFS('Key inputs_EB_OWN'!AD$7:AD$26,'Key inputs_EB_OWN'!$C$7:$C$26,$C35)*SUMIFS('Key inputs_EB_OWN'!AD$31:AD$350,'Key inputs_EB_OWN'!$C$31:$C$350,$B35,'Key inputs_EB_OWN'!$B$31:$B$350,$C35)</f>
        <v>0</v>
      </c>
      <c r="AE35" s="209">
        <f>SUMIFS('Key inputs_EB_OWN'!AE$7:AE$26,'Key inputs_EB_OWN'!$C$7:$C$26,$C35)*SUMIFS('Key inputs_EB_OWN'!AE$31:AE$350,'Key inputs_EB_OWN'!$C$31:$C$350,$B35,'Key inputs_EB_OWN'!$B$31:$B$350,$C35)</f>
        <v>0</v>
      </c>
      <c r="AF35" s="220">
        <f>SUMIFS('Key inputs_EB_OWN'!AF$7:AF$26,'Key inputs_EB_OWN'!$C$7:$C$26,$C35)*SUMIFS('Key inputs_EB_OWN'!AF$31:AF$350,'Key inputs_EB_OWN'!$C$31:$C$350,$B35,'Key inputs_EB_OWN'!$B$31:$B$350,$C35)</f>
        <v>0</v>
      </c>
    </row>
    <row r="36" spans="1:32" s="59" customFormat="1">
      <c r="A36" s="71" t="s">
        <v>728</v>
      </c>
      <c r="B36" s="95" t="s">
        <v>734</v>
      </c>
      <c r="C36" s="71" t="s">
        <v>529</v>
      </c>
      <c r="D36" s="74" t="s">
        <v>387</v>
      </c>
      <c r="E36" s="209">
        <f>SUMIFS('Key inputs_EB_OWN'!E$7:E$26,'Key inputs_EB_OWN'!$C$7:$C$26,$C36)*SUMIFS('Key inputs_EB_OWN'!E$31:E$350,'Key inputs_EB_OWN'!$C$31:$C$350,$B36,'Key inputs_EB_OWN'!$B$31:$B$350,$C36)</f>
        <v>0</v>
      </c>
      <c r="F36" s="209">
        <f>SUMIFS('Key inputs_EB_OWN'!F$7:F$26,'Key inputs_EB_OWN'!$C$7:$C$26,$C36)*SUMIFS('Key inputs_EB_OWN'!F$31:F$350,'Key inputs_EB_OWN'!$C$31:$C$350,$B36,'Key inputs_EB_OWN'!$B$31:$B$350,$C36)</f>
        <v>0</v>
      </c>
      <c r="G36" s="209">
        <f>SUMIFS('Key inputs_EB_OWN'!G$7:G$26,'Key inputs_EB_OWN'!$C$7:$C$26,$C36)*SUMIFS('Key inputs_EB_OWN'!G$31:G$350,'Key inputs_EB_OWN'!$C$31:$C$350,$B36,'Key inputs_EB_OWN'!$B$31:$B$350,$C36)</f>
        <v>0</v>
      </c>
      <c r="H36" s="209">
        <f>SUMIFS('Key inputs_EB_OWN'!H$7:H$26,'Key inputs_EB_OWN'!$C$7:$C$26,$C36)*SUMIFS('Key inputs_EB_OWN'!H$31:H$350,'Key inputs_EB_OWN'!$C$31:$C$350,$B36,'Key inputs_EB_OWN'!$B$31:$B$350,$C36)</f>
        <v>0</v>
      </c>
      <c r="I36" s="209">
        <f>SUMIFS('Key inputs_EB_OWN'!I$7:I$26,'Key inputs_EB_OWN'!$C$7:$C$26,$C36)*SUMIFS('Key inputs_EB_OWN'!I$31:I$350,'Key inputs_EB_OWN'!$C$31:$C$350,$B36,'Key inputs_EB_OWN'!$B$31:$B$350,$C36)</f>
        <v>0</v>
      </c>
      <c r="J36" s="209">
        <f>SUMIFS('Key inputs_EB_OWN'!J$7:J$26,'Key inputs_EB_OWN'!$C$7:$C$26,$C36)*SUMIFS('Key inputs_EB_OWN'!J$31:J$350,'Key inputs_EB_OWN'!$C$31:$C$350,$B36,'Key inputs_EB_OWN'!$B$31:$B$350,$C36)</f>
        <v>0</v>
      </c>
      <c r="K36" s="209">
        <f>SUMIFS('Key inputs_EB_OWN'!K$7:K$26,'Key inputs_EB_OWN'!$C$7:$C$26,$C36)*SUMIFS('Key inputs_EB_OWN'!K$31:K$350,'Key inputs_EB_OWN'!$C$31:$C$350,$B36,'Key inputs_EB_OWN'!$B$31:$B$350,$C36)</f>
        <v>0</v>
      </c>
      <c r="L36" s="209">
        <f>SUMIFS('Key inputs_EB_OWN'!L$7:L$26,'Key inputs_EB_OWN'!$C$7:$C$26,$C36)*SUMIFS('Key inputs_EB_OWN'!L$31:L$350,'Key inputs_EB_OWN'!$C$31:$C$350,$B36,'Key inputs_EB_OWN'!$B$31:$B$350,$C36)</f>
        <v>0</v>
      </c>
      <c r="M36" s="209">
        <f>SUMIFS('Key inputs_EB_OWN'!M$7:M$26,'Key inputs_EB_OWN'!$C$7:$C$26,$C36)*SUMIFS('Key inputs_EB_OWN'!M$31:M$350,'Key inputs_EB_OWN'!$C$31:$C$350,$B36,'Key inputs_EB_OWN'!$B$31:$B$350,$C36)</f>
        <v>0</v>
      </c>
      <c r="N36" s="209">
        <f>SUMIFS('Key inputs_EB_OWN'!N$7:N$26,'Key inputs_EB_OWN'!$C$7:$C$26,$C36)*SUMIFS('Key inputs_EB_OWN'!N$31:N$350,'Key inputs_EB_OWN'!$C$31:$C$350,$B36,'Key inputs_EB_OWN'!$B$31:$B$350,$C36)</f>
        <v>0</v>
      </c>
      <c r="O36" s="209">
        <f>SUMIFS('Key inputs_EB_OWN'!O$7:O$26,'Key inputs_EB_OWN'!$C$7:$C$26,$C36)*SUMIFS('Key inputs_EB_OWN'!O$31:O$350,'Key inputs_EB_OWN'!$C$31:$C$350,$B36,'Key inputs_EB_OWN'!$B$31:$B$350,$C36)</f>
        <v>0</v>
      </c>
      <c r="P36" s="209">
        <f>SUMIFS('Key inputs_EB_OWN'!P$7:P$26,'Key inputs_EB_OWN'!$C$7:$C$26,$C36)*SUMIFS('Key inputs_EB_OWN'!P$31:P$350,'Key inputs_EB_OWN'!$C$31:$C$350,$B36,'Key inputs_EB_OWN'!$B$31:$B$350,$C36)</f>
        <v>0</v>
      </c>
      <c r="Q36" s="209">
        <f>SUMIFS('Key inputs_EB_OWN'!Q$7:Q$26,'Key inputs_EB_OWN'!$C$7:$C$26,$C36)*SUMIFS('Key inputs_EB_OWN'!Q$31:Q$350,'Key inputs_EB_OWN'!$C$31:$C$350,$B36,'Key inputs_EB_OWN'!$B$31:$B$350,$C36)</f>
        <v>0</v>
      </c>
      <c r="R36" s="209">
        <f>SUMIFS('Key inputs_EB_OWN'!R$7:R$26,'Key inputs_EB_OWN'!$C$7:$C$26,$C36)*SUMIFS('Key inputs_EB_OWN'!R$31:R$350,'Key inputs_EB_OWN'!$C$31:$C$350,$B36,'Key inputs_EB_OWN'!$B$31:$B$350,$C36)</f>
        <v>0</v>
      </c>
      <c r="S36" s="209">
        <f>SUMIFS('Key inputs_EB_OWN'!S$7:S$26,'Key inputs_EB_OWN'!$C$7:$C$26,$C36)*SUMIFS('Key inputs_EB_OWN'!S$31:S$350,'Key inputs_EB_OWN'!$C$31:$C$350,$B36,'Key inputs_EB_OWN'!$B$31:$B$350,$C36)</f>
        <v>0</v>
      </c>
      <c r="T36" s="209">
        <f>SUMIFS('Key inputs_EB_OWN'!T$7:T$26,'Key inputs_EB_OWN'!$C$7:$C$26,$C36)*SUMIFS('Key inputs_EB_OWN'!T$31:T$350,'Key inputs_EB_OWN'!$C$31:$C$350,$B36,'Key inputs_EB_OWN'!$B$31:$B$350,$C36)</f>
        <v>0</v>
      </c>
      <c r="U36" s="209">
        <f>SUMIFS('Key inputs_EB_OWN'!U$7:U$26,'Key inputs_EB_OWN'!$C$7:$C$26,$C36)*SUMIFS('Key inputs_EB_OWN'!U$31:U$350,'Key inputs_EB_OWN'!$C$31:$C$350,$B36,'Key inputs_EB_OWN'!$B$31:$B$350,$C36)</f>
        <v>0</v>
      </c>
      <c r="V36" s="209">
        <f>SUMIFS('Key inputs_EB_OWN'!V$7:V$26,'Key inputs_EB_OWN'!$C$7:$C$26,$C36)*SUMIFS('Key inputs_EB_OWN'!V$31:V$350,'Key inputs_EB_OWN'!$C$31:$C$350,$B36,'Key inputs_EB_OWN'!$B$31:$B$350,$C36)</f>
        <v>0</v>
      </c>
      <c r="W36" s="209">
        <f>SUMIFS('Key inputs_EB_OWN'!W$7:W$26,'Key inputs_EB_OWN'!$C$7:$C$26,$C36)*SUMIFS('Key inputs_EB_OWN'!W$31:W$350,'Key inputs_EB_OWN'!$C$31:$C$350,$B36,'Key inputs_EB_OWN'!$B$31:$B$350,$C36)</f>
        <v>0</v>
      </c>
      <c r="X36" s="209">
        <f>SUMIFS('Key inputs_EB_OWN'!X$7:X$26,'Key inputs_EB_OWN'!$C$7:$C$26,$C36)*SUMIFS('Key inputs_EB_OWN'!X$31:X$350,'Key inputs_EB_OWN'!$C$31:$C$350,$B36,'Key inputs_EB_OWN'!$B$31:$B$350,$C36)</f>
        <v>0</v>
      </c>
      <c r="Y36" s="209">
        <f>SUMIFS('Key inputs_EB_OWN'!Y$7:Y$26,'Key inputs_EB_OWN'!$C$7:$C$26,$C36)*SUMIFS('Key inputs_EB_OWN'!Y$31:Y$350,'Key inputs_EB_OWN'!$C$31:$C$350,$B36,'Key inputs_EB_OWN'!$B$31:$B$350,$C36)</f>
        <v>0</v>
      </c>
      <c r="Z36" s="209">
        <f>SUMIFS('Key inputs_EB_OWN'!Z$7:Z$26,'Key inputs_EB_OWN'!$C$7:$C$26,$C36)*SUMIFS('Key inputs_EB_OWN'!Z$31:Z$350,'Key inputs_EB_OWN'!$C$31:$C$350,$B36,'Key inputs_EB_OWN'!$B$31:$B$350,$C36)</f>
        <v>0</v>
      </c>
      <c r="AA36" s="209">
        <f>SUMIFS('Key inputs_EB_OWN'!AA$7:AA$26,'Key inputs_EB_OWN'!$C$7:$C$26,$C36)*SUMIFS('Key inputs_EB_OWN'!AA$31:AA$350,'Key inputs_EB_OWN'!$C$31:$C$350,$B36,'Key inputs_EB_OWN'!$B$31:$B$350,$C36)</f>
        <v>0</v>
      </c>
      <c r="AB36" s="209">
        <f>SUMIFS('Key inputs_EB_OWN'!AB$7:AB$26,'Key inputs_EB_OWN'!$C$7:$C$26,$C36)*SUMIFS('Key inputs_EB_OWN'!AB$31:AB$350,'Key inputs_EB_OWN'!$C$31:$C$350,$B36,'Key inputs_EB_OWN'!$B$31:$B$350,$C36)</f>
        <v>0</v>
      </c>
      <c r="AC36" s="209">
        <f>SUMIFS('Key inputs_EB_OWN'!AC$7:AC$26,'Key inputs_EB_OWN'!$C$7:$C$26,$C36)*SUMIFS('Key inputs_EB_OWN'!AC$31:AC$350,'Key inputs_EB_OWN'!$C$31:$C$350,$B36,'Key inputs_EB_OWN'!$B$31:$B$350,$C36)</f>
        <v>0</v>
      </c>
      <c r="AD36" s="209">
        <f>SUMIFS('Key inputs_EB_OWN'!AD$7:AD$26,'Key inputs_EB_OWN'!$C$7:$C$26,$C36)*SUMIFS('Key inputs_EB_OWN'!AD$31:AD$350,'Key inputs_EB_OWN'!$C$31:$C$350,$B36,'Key inputs_EB_OWN'!$B$31:$B$350,$C36)</f>
        <v>0</v>
      </c>
      <c r="AE36" s="209">
        <f>SUMIFS('Key inputs_EB_OWN'!AE$7:AE$26,'Key inputs_EB_OWN'!$C$7:$C$26,$C36)*SUMIFS('Key inputs_EB_OWN'!AE$31:AE$350,'Key inputs_EB_OWN'!$C$31:$C$350,$B36,'Key inputs_EB_OWN'!$B$31:$B$350,$C36)</f>
        <v>0</v>
      </c>
      <c r="AF36" s="220">
        <f>SUMIFS('Key inputs_EB_OWN'!AF$7:AF$26,'Key inputs_EB_OWN'!$C$7:$C$26,$C36)*SUMIFS('Key inputs_EB_OWN'!AF$31:AF$350,'Key inputs_EB_OWN'!$C$31:$C$350,$B36,'Key inputs_EB_OWN'!$B$31:$B$350,$C36)</f>
        <v>0</v>
      </c>
    </row>
    <row r="37" spans="1:32" s="59" customFormat="1">
      <c r="A37" s="71" t="s">
        <v>728</v>
      </c>
      <c r="B37" s="95" t="s">
        <v>734</v>
      </c>
      <c r="C37" s="71" t="s">
        <v>531</v>
      </c>
      <c r="D37" s="74" t="s">
        <v>387</v>
      </c>
      <c r="E37" s="209">
        <f>SUMIFS('Key inputs_EB_OWN'!E$7:E$26,'Key inputs_EB_OWN'!$C$7:$C$26,$C37)*SUMIFS('Key inputs_EB_OWN'!E$31:E$350,'Key inputs_EB_OWN'!$C$31:$C$350,$B37,'Key inputs_EB_OWN'!$B$31:$B$350,$C37)</f>
        <v>0</v>
      </c>
      <c r="F37" s="209">
        <f>SUMIFS('Key inputs_EB_OWN'!F$7:F$26,'Key inputs_EB_OWN'!$C$7:$C$26,$C37)*SUMIFS('Key inputs_EB_OWN'!F$31:F$350,'Key inputs_EB_OWN'!$C$31:$C$350,$B37,'Key inputs_EB_OWN'!$B$31:$B$350,$C37)</f>
        <v>0</v>
      </c>
      <c r="G37" s="209">
        <f>SUMIFS('Key inputs_EB_OWN'!G$7:G$26,'Key inputs_EB_OWN'!$C$7:$C$26,$C37)*SUMIFS('Key inputs_EB_OWN'!G$31:G$350,'Key inputs_EB_OWN'!$C$31:$C$350,$B37,'Key inputs_EB_OWN'!$B$31:$B$350,$C37)</f>
        <v>0</v>
      </c>
      <c r="H37" s="209">
        <f>SUMIFS('Key inputs_EB_OWN'!H$7:H$26,'Key inputs_EB_OWN'!$C$7:$C$26,$C37)*SUMIFS('Key inputs_EB_OWN'!H$31:H$350,'Key inputs_EB_OWN'!$C$31:$C$350,$B37,'Key inputs_EB_OWN'!$B$31:$B$350,$C37)</f>
        <v>0</v>
      </c>
      <c r="I37" s="209">
        <f>SUMIFS('Key inputs_EB_OWN'!I$7:I$26,'Key inputs_EB_OWN'!$C$7:$C$26,$C37)*SUMIFS('Key inputs_EB_OWN'!I$31:I$350,'Key inputs_EB_OWN'!$C$31:$C$350,$B37,'Key inputs_EB_OWN'!$B$31:$B$350,$C37)</f>
        <v>0</v>
      </c>
      <c r="J37" s="209">
        <f>SUMIFS('Key inputs_EB_OWN'!J$7:J$26,'Key inputs_EB_OWN'!$C$7:$C$26,$C37)*SUMIFS('Key inputs_EB_OWN'!J$31:J$350,'Key inputs_EB_OWN'!$C$31:$C$350,$B37,'Key inputs_EB_OWN'!$B$31:$B$350,$C37)</f>
        <v>0</v>
      </c>
      <c r="K37" s="209">
        <f>SUMIFS('Key inputs_EB_OWN'!K$7:K$26,'Key inputs_EB_OWN'!$C$7:$C$26,$C37)*SUMIFS('Key inputs_EB_OWN'!K$31:K$350,'Key inputs_EB_OWN'!$C$31:$C$350,$B37,'Key inputs_EB_OWN'!$B$31:$B$350,$C37)</f>
        <v>0</v>
      </c>
      <c r="L37" s="209">
        <f>SUMIFS('Key inputs_EB_OWN'!L$7:L$26,'Key inputs_EB_OWN'!$C$7:$C$26,$C37)*SUMIFS('Key inputs_EB_OWN'!L$31:L$350,'Key inputs_EB_OWN'!$C$31:$C$350,$B37,'Key inputs_EB_OWN'!$B$31:$B$350,$C37)</f>
        <v>0</v>
      </c>
      <c r="M37" s="209">
        <f>SUMIFS('Key inputs_EB_OWN'!M$7:M$26,'Key inputs_EB_OWN'!$C$7:$C$26,$C37)*SUMIFS('Key inputs_EB_OWN'!M$31:M$350,'Key inputs_EB_OWN'!$C$31:$C$350,$B37,'Key inputs_EB_OWN'!$B$31:$B$350,$C37)</f>
        <v>0</v>
      </c>
      <c r="N37" s="209">
        <f>SUMIFS('Key inputs_EB_OWN'!N$7:N$26,'Key inputs_EB_OWN'!$C$7:$C$26,$C37)*SUMIFS('Key inputs_EB_OWN'!N$31:N$350,'Key inputs_EB_OWN'!$C$31:$C$350,$B37,'Key inputs_EB_OWN'!$B$31:$B$350,$C37)</f>
        <v>0</v>
      </c>
      <c r="O37" s="209">
        <f>SUMIFS('Key inputs_EB_OWN'!O$7:O$26,'Key inputs_EB_OWN'!$C$7:$C$26,$C37)*SUMIFS('Key inputs_EB_OWN'!O$31:O$350,'Key inputs_EB_OWN'!$C$31:$C$350,$B37,'Key inputs_EB_OWN'!$B$31:$B$350,$C37)</f>
        <v>0</v>
      </c>
      <c r="P37" s="209">
        <f>SUMIFS('Key inputs_EB_OWN'!P$7:P$26,'Key inputs_EB_OWN'!$C$7:$C$26,$C37)*SUMIFS('Key inputs_EB_OWN'!P$31:P$350,'Key inputs_EB_OWN'!$C$31:$C$350,$B37,'Key inputs_EB_OWN'!$B$31:$B$350,$C37)</f>
        <v>0</v>
      </c>
      <c r="Q37" s="209">
        <f>SUMIFS('Key inputs_EB_OWN'!Q$7:Q$26,'Key inputs_EB_OWN'!$C$7:$C$26,$C37)*SUMIFS('Key inputs_EB_OWN'!Q$31:Q$350,'Key inputs_EB_OWN'!$C$31:$C$350,$B37,'Key inputs_EB_OWN'!$B$31:$B$350,$C37)</f>
        <v>0</v>
      </c>
      <c r="R37" s="209">
        <f>SUMIFS('Key inputs_EB_OWN'!R$7:R$26,'Key inputs_EB_OWN'!$C$7:$C$26,$C37)*SUMIFS('Key inputs_EB_OWN'!R$31:R$350,'Key inputs_EB_OWN'!$C$31:$C$350,$B37,'Key inputs_EB_OWN'!$B$31:$B$350,$C37)</f>
        <v>0</v>
      </c>
      <c r="S37" s="209">
        <f>SUMIFS('Key inputs_EB_OWN'!S$7:S$26,'Key inputs_EB_OWN'!$C$7:$C$26,$C37)*SUMIFS('Key inputs_EB_OWN'!S$31:S$350,'Key inputs_EB_OWN'!$C$31:$C$350,$B37,'Key inputs_EB_OWN'!$B$31:$B$350,$C37)</f>
        <v>0</v>
      </c>
      <c r="T37" s="209">
        <f>SUMIFS('Key inputs_EB_OWN'!T$7:T$26,'Key inputs_EB_OWN'!$C$7:$C$26,$C37)*SUMIFS('Key inputs_EB_OWN'!T$31:T$350,'Key inputs_EB_OWN'!$C$31:$C$350,$B37,'Key inputs_EB_OWN'!$B$31:$B$350,$C37)</f>
        <v>0</v>
      </c>
      <c r="U37" s="209">
        <f>SUMIFS('Key inputs_EB_OWN'!U$7:U$26,'Key inputs_EB_OWN'!$C$7:$C$26,$C37)*SUMIFS('Key inputs_EB_OWN'!U$31:U$350,'Key inputs_EB_OWN'!$C$31:$C$350,$B37,'Key inputs_EB_OWN'!$B$31:$B$350,$C37)</f>
        <v>-589.13966806700614</v>
      </c>
      <c r="V37" s="209">
        <f>SUMIFS('Key inputs_EB_OWN'!V$7:V$26,'Key inputs_EB_OWN'!$C$7:$C$26,$C37)*SUMIFS('Key inputs_EB_OWN'!V$31:V$350,'Key inputs_EB_OWN'!$C$31:$C$350,$B37,'Key inputs_EB_OWN'!$B$31:$B$350,$C37)</f>
        <v>0</v>
      </c>
      <c r="W37" s="209">
        <f>SUMIFS('Key inputs_EB_OWN'!W$7:W$26,'Key inputs_EB_OWN'!$C$7:$C$26,$C37)*SUMIFS('Key inputs_EB_OWN'!W$31:W$350,'Key inputs_EB_OWN'!$C$31:$C$350,$B37,'Key inputs_EB_OWN'!$B$31:$B$350,$C37)</f>
        <v>0</v>
      </c>
      <c r="X37" s="209">
        <f>SUMIFS('Key inputs_EB_OWN'!X$7:X$26,'Key inputs_EB_OWN'!$C$7:$C$26,$C37)*SUMIFS('Key inputs_EB_OWN'!X$31:X$350,'Key inputs_EB_OWN'!$C$31:$C$350,$B37,'Key inputs_EB_OWN'!$B$31:$B$350,$C37)</f>
        <v>0</v>
      </c>
      <c r="Y37" s="209">
        <f>SUMIFS('Key inputs_EB_OWN'!Y$7:Y$26,'Key inputs_EB_OWN'!$C$7:$C$26,$C37)*SUMIFS('Key inputs_EB_OWN'!Y$31:Y$350,'Key inputs_EB_OWN'!$C$31:$C$350,$B37,'Key inputs_EB_OWN'!$B$31:$B$350,$C37)</f>
        <v>0</v>
      </c>
      <c r="Z37" s="209">
        <f>SUMIFS('Key inputs_EB_OWN'!Z$7:Z$26,'Key inputs_EB_OWN'!$C$7:$C$26,$C37)*SUMIFS('Key inputs_EB_OWN'!Z$31:Z$350,'Key inputs_EB_OWN'!$C$31:$C$350,$B37,'Key inputs_EB_OWN'!$B$31:$B$350,$C37)</f>
        <v>0</v>
      </c>
      <c r="AA37" s="209">
        <f>SUMIFS('Key inputs_EB_OWN'!AA$7:AA$26,'Key inputs_EB_OWN'!$C$7:$C$26,$C37)*SUMIFS('Key inputs_EB_OWN'!AA$31:AA$350,'Key inputs_EB_OWN'!$C$31:$C$350,$B37,'Key inputs_EB_OWN'!$B$31:$B$350,$C37)</f>
        <v>0</v>
      </c>
      <c r="AB37" s="209">
        <f>SUMIFS('Key inputs_EB_OWN'!AB$7:AB$26,'Key inputs_EB_OWN'!$C$7:$C$26,$C37)*SUMIFS('Key inputs_EB_OWN'!AB$31:AB$350,'Key inputs_EB_OWN'!$C$31:$C$350,$B37,'Key inputs_EB_OWN'!$B$31:$B$350,$C37)</f>
        <v>0</v>
      </c>
      <c r="AC37" s="209">
        <f>SUMIFS('Key inputs_EB_OWN'!AC$7:AC$26,'Key inputs_EB_OWN'!$C$7:$C$26,$C37)*SUMIFS('Key inputs_EB_OWN'!AC$31:AC$350,'Key inputs_EB_OWN'!$C$31:$C$350,$B37,'Key inputs_EB_OWN'!$B$31:$B$350,$C37)</f>
        <v>0</v>
      </c>
      <c r="AD37" s="209">
        <f>SUMIFS('Key inputs_EB_OWN'!AD$7:AD$26,'Key inputs_EB_OWN'!$C$7:$C$26,$C37)*SUMIFS('Key inputs_EB_OWN'!AD$31:AD$350,'Key inputs_EB_OWN'!$C$31:$C$350,$B37,'Key inputs_EB_OWN'!$B$31:$B$350,$C37)</f>
        <v>0</v>
      </c>
      <c r="AE37" s="209">
        <f>SUMIFS('Key inputs_EB_OWN'!AE$7:AE$26,'Key inputs_EB_OWN'!$C$7:$C$26,$C37)*SUMIFS('Key inputs_EB_OWN'!AE$31:AE$350,'Key inputs_EB_OWN'!$C$31:$C$350,$B37,'Key inputs_EB_OWN'!$B$31:$B$350,$C37)</f>
        <v>0</v>
      </c>
      <c r="AF37" s="220">
        <f>SUMIFS('Key inputs_EB_OWN'!AF$7:AF$26,'Key inputs_EB_OWN'!$C$7:$C$26,$C37)*SUMIFS('Key inputs_EB_OWN'!AF$31:AF$350,'Key inputs_EB_OWN'!$C$31:$C$350,$B37,'Key inputs_EB_OWN'!$B$31:$B$350,$C37)</f>
        <v>0</v>
      </c>
    </row>
    <row r="38" spans="1:32" s="59" customFormat="1">
      <c r="A38" s="71" t="s">
        <v>728</v>
      </c>
      <c r="B38" s="95" t="s">
        <v>734</v>
      </c>
      <c r="C38" s="71" t="s">
        <v>533</v>
      </c>
      <c r="D38" s="74" t="s">
        <v>387</v>
      </c>
      <c r="E38" s="209">
        <f>SUMIFS('Key inputs_EB_OWN'!E$7:E$26,'Key inputs_EB_OWN'!$C$7:$C$26,$C38)*SUMIFS('Key inputs_EB_OWN'!E$31:E$350,'Key inputs_EB_OWN'!$C$31:$C$350,$B38,'Key inputs_EB_OWN'!$B$31:$B$350,$C38)</f>
        <v>0</v>
      </c>
      <c r="F38" s="209">
        <f>SUMIFS('Key inputs_EB_OWN'!F$7:F$26,'Key inputs_EB_OWN'!$C$7:$C$26,$C38)*SUMIFS('Key inputs_EB_OWN'!F$31:F$350,'Key inputs_EB_OWN'!$C$31:$C$350,$B38,'Key inputs_EB_OWN'!$B$31:$B$350,$C38)</f>
        <v>0</v>
      </c>
      <c r="G38" s="209">
        <f>SUMIFS('Key inputs_EB_OWN'!G$7:G$26,'Key inputs_EB_OWN'!$C$7:$C$26,$C38)*SUMIFS('Key inputs_EB_OWN'!G$31:G$350,'Key inputs_EB_OWN'!$C$31:$C$350,$B38,'Key inputs_EB_OWN'!$B$31:$B$350,$C38)</f>
        <v>0</v>
      </c>
      <c r="H38" s="209">
        <f>SUMIFS('Key inputs_EB_OWN'!H$7:H$26,'Key inputs_EB_OWN'!$C$7:$C$26,$C38)*SUMIFS('Key inputs_EB_OWN'!H$31:H$350,'Key inputs_EB_OWN'!$C$31:$C$350,$B38,'Key inputs_EB_OWN'!$B$31:$B$350,$C38)</f>
        <v>0</v>
      </c>
      <c r="I38" s="209">
        <f>SUMIFS('Key inputs_EB_OWN'!I$7:I$26,'Key inputs_EB_OWN'!$C$7:$C$26,$C38)*SUMIFS('Key inputs_EB_OWN'!I$31:I$350,'Key inputs_EB_OWN'!$C$31:$C$350,$B38,'Key inputs_EB_OWN'!$B$31:$B$350,$C38)</f>
        <v>0</v>
      </c>
      <c r="J38" s="209">
        <f>SUMIFS('Key inputs_EB_OWN'!J$7:J$26,'Key inputs_EB_OWN'!$C$7:$C$26,$C38)*SUMIFS('Key inputs_EB_OWN'!J$31:J$350,'Key inputs_EB_OWN'!$C$31:$C$350,$B38,'Key inputs_EB_OWN'!$B$31:$B$350,$C38)</f>
        <v>0</v>
      </c>
      <c r="K38" s="209">
        <f>SUMIFS('Key inputs_EB_OWN'!K$7:K$26,'Key inputs_EB_OWN'!$C$7:$C$26,$C38)*SUMIFS('Key inputs_EB_OWN'!K$31:K$350,'Key inputs_EB_OWN'!$C$31:$C$350,$B38,'Key inputs_EB_OWN'!$B$31:$B$350,$C38)</f>
        <v>0</v>
      </c>
      <c r="L38" s="209">
        <f>SUMIFS('Key inputs_EB_OWN'!L$7:L$26,'Key inputs_EB_OWN'!$C$7:$C$26,$C38)*SUMIFS('Key inputs_EB_OWN'!L$31:L$350,'Key inputs_EB_OWN'!$C$31:$C$350,$B38,'Key inputs_EB_OWN'!$B$31:$B$350,$C38)</f>
        <v>0</v>
      </c>
      <c r="M38" s="209">
        <f>SUMIFS('Key inputs_EB_OWN'!M$7:M$26,'Key inputs_EB_OWN'!$C$7:$C$26,$C38)*SUMIFS('Key inputs_EB_OWN'!M$31:M$350,'Key inputs_EB_OWN'!$C$31:$C$350,$B38,'Key inputs_EB_OWN'!$B$31:$B$350,$C38)</f>
        <v>0</v>
      </c>
      <c r="N38" s="209">
        <f>SUMIFS('Key inputs_EB_OWN'!N$7:N$26,'Key inputs_EB_OWN'!$C$7:$C$26,$C38)*SUMIFS('Key inputs_EB_OWN'!N$31:N$350,'Key inputs_EB_OWN'!$C$31:$C$350,$B38,'Key inputs_EB_OWN'!$B$31:$B$350,$C38)</f>
        <v>0</v>
      </c>
      <c r="O38" s="209">
        <f>SUMIFS('Key inputs_EB_OWN'!O$7:O$26,'Key inputs_EB_OWN'!$C$7:$C$26,$C38)*SUMIFS('Key inputs_EB_OWN'!O$31:O$350,'Key inputs_EB_OWN'!$C$31:$C$350,$B38,'Key inputs_EB_OWN'!$B$31:$B$350,$C38)</f>
        <v>0</v>
      </c>
      <c r="P38" s="209">
        <f>SUMIFS('Key inputs_EB_OWN'!P$7:P$26,'Key inputs_EB_OWN'!$C$7:$C$26,$C38)*SUMIFS('Key inputs_EB_OWN'!P$31:P$350,'Key inputs_EB_OWN'!$C$31:$C$350,$B38,'Key inputs_EB_OWN'!$B$31:$B$350,$C38)</f>
        <v>0</v>
      </c>
      <c r="Q38" s="209">
        <f>SUMIFS('Key inputs_EB_OWN'!Q$7:Q$26,'Key inputs_EB_OWN'!$C$7:$C$26,$C38)*SUMIFS('Key inputs_EB_OWN'!Q$31:Q$350,'Key inputs_EB_OWN'!$C$31:$C$350,$B38,'Key inputs_EB_OWN'!$B$31:$B$350,$C38)</f>
        <v>0</v>
      </c>
      <c r="R38" s="209">
        <f>SUMIFS('Key inputs_EB_OWN'!R$7:R$26,'Key inputs_EB_OWN'!$C$7:$C$26,$C38)*SUMIFS('Key inputs_EB_OWN'!R$31:R$350,'Key inputs_EB_OWN'!$C$31:$C$350,$B38,'Key inputs_EB_OWN'!$B$31:$B$350,$C38)</f>
        <v>0</v>
      </c>
      <c r="S38" s="209">
        <f>SUMIFS('Key inputs_EB_OWN'!S$7:S$26,'Key inputs_EB_OWN'!$C$7:$C$26,$C38)*SUMIFS('Key inputs_EB_OWN'!S$31:S$350,'Key inputs_EB_OWN'!$C$31:$C$350,$B38,'Key inputs_EB_OWN'!$B$31:$B$350,$C38)</f>
        <v>0</v>
      </c>
      <c r="T38" s="209">
        <f>SUMIFS('Key inputs_EB_OWN'!T$7:T$26,'Key inputs_EB_OWN'!$C$7:$C$26,$C38)*SUMIFS('Key inputs_EB_OWN'!T$31:T$350,'Key inputs_EB_OWN'!$C$31:$C$350,$B38,'Key inputs_EB_OWN'!$B$31:$B$350,$C38)</f>
        <v>0</v>
      </c>
      <c r="U38" s="209">
        <f>SUMIFS('Key inputs_EB_OWN'!U$7:U$26,'Key inputs_EB_OWN'!$C$7:$C$26,$C38)*SUMIFS('Key inputs_EB_OWN'!U$31:U$350,'Key inputs_EB_OWN'!$C$31:$C$350,$B38,'Key inputs_EB_OWN'!$B$31:$B$350,$C38)</f>
        <v>0</v>
      </c>
      <c r="V38" s="209">
        <f>SUMIFS('Key inputs_EB_OWN'!V$7:V$26,'Key inputs_EB_OWN'!$C$7:$C$26,$C38)*SUMIFS('Key inputs_EB_OWN'!V$31:V$350,'Key inputs_EB_OWN'!$C$31:$C$350,$B38,'Key inputs_EB_OWN'!$B$31:$B$350,$C38)</f>
        <v>0</v>
      </c>
      <c r="W38" s="209">
        <f>SUMIFS('Key inputs_EB_OWN'!W$7:W$26,'Key inputs_EB_OWN'!$C$7:$C$26,$C38)*SUMIFS('Key inputs_EB_OWN'!W$31:W$350,'Key inputs_EB_OWN'!$C$31:$C$350,$B38,'Key inputs_EB_OWN'!$B$31:$B$350,$C38)</f>
        <v>0</v>
      </c>
      <c r="X38" s="209">
        <f>SUMIFS('Key inputs_EB_OWN'!X$7:X$26,'Key inputs_EB_OWN'!$C$7:$C$26,$C38)*SUMIFS('Key inputs_EB_OWN'!X$31:X$350,'Key inputs_EB_OWN'!$C$31:$C$350,$B38,'Key inputs_EB_OWN'!$B$31:$B$350,$C38)</f>
        <v>0</v>
      </c>
      <c r="Y38" s="209">
        <f>SUMIFS('Key inputs_EB_OWN'!Y$7:Y$26,'Key inputs_EB_OWN'!$C$7:$C$26,$C38)*SUMIFS('Key inputs_EB_OWN'!Y$31:Y$350,'Key inputs_EB_OWN'!$C$31:$C$350,$B38,'Key inputs_EB_OWN'!$B$31:$B$350,$C38)</f>
        <v>0</v>
      </c>
      <c r="Z38" s="209">
        <f>SUMIFS('Key inputs_EB_OWN'!Z$7:Z$26,'Key inputs_EB_OWN'!$C$7:$C$26,$C38)*SUMIFS('Key inputs_EB_OWN'!Z$31:Z$350,'Key inputs_EB_OWN'!$C$31:$C$350,$B38,'Key inputs_EB_OWN'!$B$31:$B$350,$C38)</f>
        <v>0</v>
      </c>
      <c r="AA38" s="209">
        <f>SUMIFS('Key inputs_EB_OWN'!AA$7:AA$26,'Key inputs_EB_OWN'!$C$7:$C$26,$C38)*SUMIFS('Key inputs_EB_OWN'!AA$31:AA$350,'Key inputs_EB_OWN'!$C$31:$C$350,$B38,'Key inputs_EB_OWN'!$B$31:$B$350,$C38)</f>
        <v>0</v>
      </c>
      <c r="AB38" s="209">
        <f>SUMIFS('Key inputs_EB_OWN'!AB$7:AB$26,'Key inputs_EB_OWN'!$C$7:$C$26,$C38)*SUMIFS('Key inputs_EB_OWN'!AB$31:AB$350,'Key inputs_EB_OWN'!$C$31:$C$350,$B38,'Key inputs_EB_OWN'!$B$31:$B$350,$C38)</f>
        <v>0</v>
      </c>
      <c r="AC38" s="209">
        <f>SUMIFS('Key inputs_EB_OWN'!AC$7:AC$26,'Key inputs_EB_OWN'!$C$7:$C$26,$C38)*SUMIFS('Key inputs_EB_OWN'!AC$31:AC$350,'Key inputs_EB_OWN'!$C$31:$C$350,$B38,'Key inputs_EB_OWN'!$B$31:$B$350,$C38)</f>
        <v>0</v>
      </c>
      <c r="AD38" s="209">
        <f>SUMIFS('Key inputs_EB_OWN'!AD$7:AD$26,'Key inputs_EB_OWN'!$C$7:$C$26,$C38)*SUMIFS('Key inputs_EB_OWN'!AD$31:AD$350,'Key inputs_EB_OWN'!$C$31:$C$350,$B38,'Key inputs_EB_OWN'!$B$31:$B$350,$C38)</f>
        <v>0</v>
      </c>
      <c r="AE38" s="209">
        <f>SUMIFS('Key inputs_EB_OWN'!AE$7:AE$26,'Key inputs_EB_OWN'!$C$7:$C$26,$C38)*SUMIFS('Key inputs_EB_OWN'!AE$31:AE$350,'Key inputs_EB_OWN'!$C$31:$C$350,$B38,'Key inputs_EB_OWN'!$B$31:$B$350,$C38)</f>
        <v>0</v>
      </c>
      <c r="AF38" s="220">
        <f>SUMIFS('Key inputs_EB_OWN'!AF$7:AF$26,'Key inputs_EB_OWN'!$C$7:$C$26,$C38)*SUMIFS('Key inputs_EB_OWN'!AF$31:AF$350,'Key inputs_EB_OWN'!$C$31:$C$350,$B38,'Key inputs_EB_OWN'!$B$31:$B$350,$C38)</f>
        <v>0</v>
      </c>
    </row>
    <row r="39" spans="1:32" s="59" customFormat="1">
      <c r="A39" s="71" t="s">
        <v>728</v>
      </c>
      <c r="B39" s="95" t="s">
        <v>734</v>
      </c>
      <c r="C39" s="71" t="s">
        <v>535</v>
      </c>
      <c r="D39" s="74" t="s">
        <v>387</v>
      </c>
      <c r="E39" s="209">
        <f>SUMIFS('Key inputs_EB_OWN'!E$7:E$26,'Key inputs_EB_OWN'!$C$7:$C$26,$C39)*SUMIFS('Key inputs_EB_OWN'!E$31:E$350,'Key inputs_EB_OWN'!$C$31:$C$350,$B39,'Key inputs_EB_OWN'!$B$31:$B$350,$C39)</f>
        <v>0</v>
      </c>
      <c r="F39" s="209">
        <f>SUMIFS('Key inputs_EB_OWN'!F$7:F$26,'Key inputs_EB_OWN'!$C$7:$C$26,$C39)*SUMIFS('Key inputs_EB_OWN'!F$31:F$350,'Key inputs_EB_OWN'!$C$31:$C$350,$B39,'Key inputs_EB_OWN'!$B$31:$B$350,$C39)</f>
        <v>0</v>
      </c>
      <c r="G39" s="209">
        <f>SUMIFS('Key inputs_EB_OWN'!G$7:G$26,'Key inputs_EB_OWN'!$C$7:$C$26,$C39)*SUMIFS('Key inputs_EB_OWN'!G$31:G$350,'Key inputs_EB_OWN'!$C$31:$C$350,$B39,'Key inputs_EB_OWN'!$B$31:$B$350,$C39)</f>
        <v>-170.42577002570951</v>
      </c>
      <c r="H39" s="209">
        <f>SUMIFS('Key inputs_EB_OWN'!H$7:H$26,'Key inputs_EB_OWN'!$C$7:$C$26,$C39)*SUMIFS('Key inputs_EB_OWN'!H$31:H$350,'Key inputs_EB_OWN'!$C$31:$C$350,$B39,'Key inputs_EB_OWN'!$B$31:$B$350,$C39)</f>
        <v>0</v>
      </c>
      <c r="I39" s="209">
        <f>SUMIFS('Key inputs_EB_OWN'!I$7:I$26,'Key inputs_EB_OWN'!$C$7:$C$26,$C39)*SUMIFS('Key inputs_EB_OWN'!I$31:I$350,'Key inputs_EB_OWN'!$C$31:$C$350,$B39,'Key inputs_EB_OWN'!$B$31:$B$350,$C39)</f>
        <v>0</v>
      </c>
      <c r="J39" s="209">
        <f>SUMIFS('Key inputs_EB_OWN'!J$7:J$26,'Key inputs_EB_OWN'!$C$7:$C$26,$C39)*SUMIFS('Key inputs_EB_OWN'!J$31:J$350,'Key inputs_EB_OWN'!$C$31:$C$350,$B39,'Key inputs_EB_OWN'!$B$31:$B$350,$C39)</f>
        <v>-151.86156371744295</v>
      </c>
      <c r="K39" s="209">
        <f>SUMIFS('Key inputs_EB_OWN'!K$7:K$26,'Key inputs_EB_OWN'!$C$7:$C$26,$C39)*SUMIFS('Key inputs_EB_OWN'!K$31:K$350,'Key inputs_EB_OWN'!$C$31:$C$350,$B39,'Key inputs_EB_OWN'!$B$31:$B$350,$C39)</f>
        <v>-1522</v>
      </c>
      <c r="L39" s="209">
        <f>SUMIFS('Key inputs_EB_OWN'!L$7:L$26,'Key inputs_EB_OWN'!$C$7:$C$26,$C39)*SUMIFS('Key inputs_EB_OWN'!L$31:L$350,'Key inputs_EB_OWN'!$C$31:$C$350,$B39,'Key inputs_EB_OWN'!$B$31:$B$350,$C39)</f>
        <v>0</v>
      </c>
      <c r="M39" s="209">
        <f>SUMIFS('Key inputs_EB_OWN'!M$7:M$26,'Key inputs_EB_OWN'!$C$7:$C$26,$C39)*SUMIFS('Key inputs_EB_OWN'!M$31:M$350,'Key inputs_EB_OWN'!$C$31:$C$350,$B39,'Key inputs_EB_OWN'!$B$31:$B$350,$C39)</f>
        <v>-1133.2306034482758</v>
      </c>
      <c r="N39" s="209">
        <f>SUMIFS('Key inputs_EB_OWN'!N$7:N$26,'Key inputs_EB_OWN'!$C$7:$C$26,$C39)*SUMIFS('Key inputs_EB_OWN'!N$31:N$350,'Key inputs_EB_OWN'!$C$31:$C$350,$B39,'Key inputs_EB_OWN'!$B$31:$B$350,$C39)</f>
        <v>-787.48431946890582</v>
      </c>
      <c r="O39" s="209">
        <f>SUMIFS('Key inputs_EB_OWN'!O$7:O$26,'Key inputs_EB_OWN'!$C$7:$C$26,$C39)*SUMIFS('Key inputs_EB_OWN'!O$31:O$350,'Key inputs_EB_OWN'!$C$31:$C$350,$B39,'Key inputs_EB_OWN'!$B$31:$B$350,$C39)</f>
        <v>0</v>
      </c>
      <c r="P39" s="209">
        <f>SUMIFS('Key inputs_EB_OWN'!P$7:P$26,'Key inputs_EB_OWN'!$C$7:$C$26,$C39)*SUMIFS('Key inputs_EB_OWN'!P$31:P$350,'Key inputs_EB_OWN'!$C$31:$C$350,$B39,'Key inputs_EB_OWN'!$B$31:$B$350,$C39)</f>
        <v>-14340.436428966281</v>
      </c>
      <c r="Q39" s="209">
        <f>SUMIFS('Key inputs_EB_OWN'!Q$7:Q$26,'Key inputs_EB_OWN'!$C$7:$C$26,$C39)*SUMIFS('Key inputs_EB_OWN'!Q$31:Q$350,'Key inputs_EB_OWN'!$C$31:$C$350,$B39,'Key inputs_EB_OWN'!$B$31:$B$350,$C39)</f>
        <v>0</v>
      </c>
      <c r="R39" s="209">
        <f>SUMIFS('Key inputs_EB_OWN'!R$7:R$26,'Key inputs_EB_OWN'!$C$7:$C$26,$C39)*SUMIFS('Key inputs_EB_OWN'!R$31:R$350,'Key inputs_EB_OWN'!$C$31:$C$350,$B39,'Key inputs_EB_OWN'!$B$31:$B$350,$C39)</f>
        <v>0</v>
      </c>
      <c r="S39" s="209">
        <f>SUMIFS('Key inputs_EB_OWN'!S$7:S$26,'Key inputs_EB_OWN'!$C$7:$C$26,$C39)*SUMIFS('Key inputs_EB_OWN'!S$31:S$350,'Key inputs_EB_OWN'!$C$31:$C$350,$B39,'Key inputs_EB_OWN'!$B$31:$B$350,$C39)</f>
        <v>-355.28139676621373</v>
      </c>
      <c r="T39" s="209">
        <f>SUMIFS('Key inputs_EB_OWN'!T$7:T$26,'Key inputs_EB_OWN'!$C$7:$C$26,$C39)*SUMIFS('Key inputs_EB_OWN'!T$31:T$350,'Key inputs_EB_OWN'!$C$31:$C$350,$B39,'Key inputs_EB_OWN'!$B$31:$B$350,$C39)</f>
        <v>-3477.2651766402305</v>
      </c>
      <c r="U39" s="209">
        <f>SUMIFS('Key inputs_EB_OWN'!U$7:U$26,'Key inputs_EB_OWN'!$C$7:$C$26,$C39)*SUMIFS('Key inputs_EB_OWN'!U$31:U$350,'Key inputs_EB_OWN'!$C$31:$C$350,$B39,'Key inputs_EB_OWN'!$B$31:$B$350,$C39)</f>
        <v>-5717.1256369869361</v>
      </c>
      <c r="V39" s="209">
        <f>SUMIFS('Key inputs_EB_OWN'!V$7:V$26,'Key inputs_EB_OWN'!$C$7:$C$26,$C39)*SUMIFS('Key inputs_EB_OWN'!V$31:V$350,'Key inputs_EB_OWN'!$C$31:$C$350,$B39,'Key inputs_EB_OWN'!$B$31:$B$350,$C39)</f>
        <v>-107415.00812836482</v>
      </c>
      <c r="W39" s="209">
        <f>SUMIFS('Key inputs_EB_OWN'!W$7:W$26,'Key inputs_EB_OWN'!$C$7:$C$26,$C39)*SUMIFS('Key inputs_EB_OWN'!W$31:W$350,'Key inputs_EB_OWN'!$C$31:$C$350,$B39,'Key inputs_EB_OWN'!$B$31:$B$350,$C39)</f>
        <v>0</v>
      </c>
      <c r="X39" s="209">
        <f>SUMIFS('Key inputs_EB_OWN'!X$7:X$26,'Key inputs_EB_OWN'!$C$7:$C$26,$C39)*SUMIFS('Key inputs_EB_OWN'!X$31:X$350,'Key inputs_EB_OWN'!$C$31:$C$350,$B39,'Key inputs_EB_OWN'!$B$31:$B$350,$C39)</f>
        <v>-2715.7821826884006</v>
      </c>
      <c r="Y39" s="209">
        <f>SUMIFS('Key inputs_EB_OWN'!Y$7:Y$26,'Key inputs_EB_OWN'!$C$7:$C$26,$C39)*SUMIFS('Key inputs_EB_OWN'!Y$31:Y$350,'Key inputs_EB_OWN'!$C$31:$C$350,$B39,'Key inputs_EB_OWN'!$B$31:$B$350,$C39)</f>
        <v>-3379.9498061532813</v>
      </c>
      <c r="Z39" s="209">
        <f>SUMIFS('Key inputs_EB_OWN'!Z$7:Z$26,'Key inputs_EB_OWN'!$C$7:$C$26,$C39)*SUMIFS('Key inputs_EB_OWN'!Z$31:Z$350,'Key inputs_EB_OWN'!$C$31:$C$350,$B39,'Key inputs_EB_OWN'!$B$31:$B$350,$C39)</f>
        <v>-4541.305269650361</v>
      </c>
      <c r="AA39" s="209">
        <f>SUMIFS('Key inputs_EB_OWN'!AA$7:AA$26,'Key inputs_EB_OWN'!$C$7:$C$26,$C39)*SUMIFS('Key inputs_EB_OWN'!AA$31:AA$350,'Key inputs_EB_OWN'!$C$31:$C$350,$B39,'Key inputs_EB_OWN'!$B$31:$B$350,$C39)</f>
        <v>-10017.698224924743</v>
      </c>
      <c r="AB39" s="209">
        <f>SUMIFS('Key inputs_EB_OWN'!AB$7:AB$26,'Key inputs_EB_OWN'!$C$7:$C$26,$C39)*SUMIFS('Key inputs_EB_OWN'!AB$31:AB$350,'Key inputs_EB_OWN'!$C$31:$C$350,$B39,'Key inputs_EB_OWN'!$B$31:$B$350,$C39)</f>
        <v>0</v>
      </c>
      <c r="AC39" s="209">
        <f>SUMIFS('Key inputs_EB_OWN'!AC$7:AC$26,'Key inputs_EB_OWN'!$C$7:$C$26,$C39)*SUMIFS('Key inputs_EB_OWN'!AC$31:AC$350,'Key inputs_EB_OWN'!$C$31:$C$350,$B39,'Key inputs_EB_OWN'!$B$31:$B$350,$C39)</f>
        <v>-207</v>
      </c>
      <c r="AD39" s="209">
        <f>SUMIFS('Key inputs_EB_OWN'!AD$7:AD$26,'Key inputs_EB_OWN'!$C$7:$C$26,$C39)*SUMIFS('Key inputs_EB_OWN'!AD$31:AD$350,'Key inputs_EB_OWN'!$C$31:$C$350,$B39,'Key inputs_EB_OWN'!$B$31:$B$350,$C39)</f>
        <v>0</v>
      </c>
      <c r="AE39" s="209">
        <f>SUMIFS('Key inputs_EB_OWN'!AE$7:AE$26,'Key inputs_EB_OWN'!$C$7:$C$26,$C39)*SUMIFS('Key inputs_EB_OWN'!AE$31:AE$350,'Key inputs_EB_OWN'!$C$31:$C$350,$B39,'Key inputs_EB_OWN'!$B$31:$B$350,$C39)</f>
        <v>-199.73658627780893</v>
      </c>
      <c r="AF39" s="220">
        <f>SUMIFS('Key inputs_EB_OWN'!AF$7:AF$26,'Key inputs_EB_OWN'!$C$7:$C$26,$C39)*SUMIFS('Key inputs_EB_OWN'!AF$31:AF$350,'Key inputs_EB_OWN'!$C$31:$C$350,$B39,'Key inputs_EB_OWN'!$B$31:$B$350,$C39)</f>
        <v>-8425.5581383897388</v>
      </c>
    </row>
    <row r="40" spans="1:32" s="59" customFormat="1">
      <c r="A40" s="71" t="s">
        <v>728</v>
      </c>
      <c r="B40" s="95" t="s">
        <v>734</v>
      </c>
      <c r="C40" s="71" t="s">
        <v>537</v>
      </c>
      <c r="D40" s="74" t="s">
        <v>387</v>
      </c>
      <c r="E40" s="209">
        <f>SUMIFS('Key inputs_EB_OWN'!E$7:E$26,'Key inputs_EB_OWN'!$C$7:$C$26,$C40)*SUMIFS('Key inputs_EB_OWN'!E$31:E$350,'Key inputs_EB_OWN'!$C$31:$C$350,$B40,'Key inputs_EB_OWN'!$B$31:$B$350,$C40)</f>
        <v>0</v>
      </c>
      <c r="F40" s="209">
        <f>SUMIFS('Key inputs_EB_OWN'!F$7:F$26,'Key inputs_EB_OWN'!$C$7:$C$26,$C40)*SUMIFS('Key inputs_EB_OWN'!F$31:F$350,'Key inputs_EB_OWN'!$C$31:$C$350,$B40,'Key inputs_EB_OWN'!$B$31:$B$350,$C40)</f>
        <v>-1858.137870596378</v>
      </c>
      <c r="G40" s="209">
        <f>SUMIFS('Key inputs_EB_OWN'!G$7:G$26,'Key inputs_EB_OWN'!$C$7:$C$26,$C40)*SUMIFS('Key inputs_EB_OWN'!G$31:G$350,'Key inputs_EB_OWN'!$C$31:$C$350,$B40,'Key inputs_EB_OWN'!$B$31:$B$350,$C40)</f>
        <v>-5.120381230317415</v>
      </c>
      <c r="H40" s="209">
        <f>SUMIFS('Key inputs_EB_OWN'!H$7:H$26,'Key inputs_EB_OWN'!$C$7:$C$26,$C40)*SUMIFS('Key inputs_EB_OWN'!H$31:H$350,'Key inputs_EB_OWN'!$C$31:$C$350,$B40,'Key inputs_EB_OWN'!$B$31:$B$350,$C40)</f>
        <v>-27602.973551147275</v>
      </c>
      <c r="I40" s="209">
        <f>SUMIFS('Key inputs_EB_OWN'!I$7:I$26,'Key inputs_EB_OWN'!$C$7:$C$26,$C40)*SUMIFS('Key inputs_EB_OWN'!I$31:I$350,'Key inputs_EB_OWN'!$C$31:$C$350,$B40,'Key inputs_EB_OWN'!$B$31:$B$350,$C40)</f>
        <v>-5057.3589975129698</v>
      </c>
      <c r="J40" s="209">
        <f>SUMIFS('Key inputs_EB_OWN'!J$7:J$26,'Key inputs_EB_OWN'!$C$7:$C$26,$C40)*SUMIFS('Key inputs_EB_OWN'!J$31:J$350,'Key inputs_EB_OWN'!$C$31:$C$350,$B40,'Key inputs_EB_OWN'!$B$31:$B$350,$C40)</f>
        <v>-3322.0813143220971</v>
      </c>
      <c r="K40" s="209">
        <f>SUMIFS('Key inputs_EB_OWN'!K$7:K$26,'Key inputs_EB_OWN'!$C$7:$C$26,$C40)*SUMIFS('Key inputs_EB_OWN'!K$31:K$350,'Key inputs_EB_OWN'!$C$31:$C$350,$B40,'Key inputs_EB_OWN'!$B$31:$B$350,$C40)</f>
        <v>0</v>
      </c>
      <c r="L40" s="209">
        <f>SUMIFS('Key inputs_EB_OWN'!L$7:L$26,'Key inputs_EB_OWN'!$C$7:$C$26,$C40)*SUMIFS('Key inputs_EB_OWN'!L$31:L$350,'Key inputs_EB_OWN'!$C$31:$C$350,$B40,'Key inputs_EB_OWN'!$B$31:$B$350,$C40)</f>
        <v>0</v>
      </c>
      <c r="M40" s="209">
        <f>SUMIFS('Key inputs_EB_OWN'!M$7:M$26,'Key inputs_EB_OWN'!$C$7:$C$26,$C40)*SUMIFS('Key inputs_EB_OWN'!M$31:M$350,'Key inputs_EB_OWN'!$C$31:$C$350,$B40,'Key inputs_EB_OWN'!$B$31:$B$350,$C40)</f>
        <v>-15037.2</v>
      </c>
      <c r="N40" s="209">
        <f>SUMIFS('Key inputs_EB_OWN'!N$7:N$26,'Key inputs_EB_OWN'!$C$7:$C$26,$C40)*SUMIFS('Key inputs_EB_OWN'!N$31:N$350,'Key inputs_EB_OWN'!$C$31:$C$350,$B40,'Key inputs_EB_OWN'!$B$31:$B$350,$C40)</f>
        <v>-29742.934511209987</v>
      </c>
      <c r="O40" s="209">
        <f>SUMIFS('Key inputs_EB_OWN'!O$7:O$26,'Key inputs_EB_OWN'!$C$7:$C$26,$C40)*SUMIFS('Key inputs_EB_OWN'!O$31:O$350,'Key inputs_EB_OWN'!$C$31:$C$350,$B40,'Key inputs_EB_OWN'!$B$31:$B$350,$C40)</f>
        <v>-2114.5871557666414</v>
      </c>
      <c r="P40" s="209">
        <f>SUMIFS('Key inputs_EB_OWN'!P$7:P$26,'Key inputs_EB_OWN'!$C$7:$C$26,$C40)*SUMIFS('Key inputs_EB_OWN'!P$31:P$350,'Key inputs_EB_OWN'!$C$31:$C$350,$B40,'Key inputs_EB_OWN'!$B$31:$B$350,$C40)</f>
        <v>-415510.09962122008</v>
      </c>
      <c r="Q40" s="209">
        <f>SUMIFS('Key inputs_EB_OWN'!Q$7:Q$26,'Key inputs_EB_OWN'!$C$7:$C$26,$C40)*SUMIFS('Key inputs_EB_OWN'!Q$31:Q$350,'Key inputs_EB_OWN'!$C$31:$C$350,$B40,'Key inputs_EB_OWN'!$B$31:$B$350,$C40)</f>
        <v>-8926.4137997726157</v>
      </c>
      <c r="R40" s="209">
        <f>SUMIFS('Key inputs_EB_OWN'!R$7:R$26,'Key inputs_EB_OWN'!$C$7:$C$26,$C40)*SUMIFS('Key inputs_EB_OWN'!R$31:R$350,'Key inputs_EB_OWN'!$C$31:$C$350,$B40,'Key inputs_EB_OWN'!$B$31:$B$350,$C40)</f>
        <v>-15441.004287009857</v>
      </c>
      <c r="S40" s="209">
        <f>SUMIFS('Key inputs_EB_OWN'!S$7:S$26,'Key inputs_EB_OWN'!$C$7:$C$26,$C40)*SUMIFS('Key inputs_EB_OWN'!S$31:S$350,'Key inputs_EB_OWN'!$C$31:$C$350,$B40,'Key inputs_EB_OWN'!$B$31:$B$350,$C40)</f>
        <v>-20647.719811075433</v>
      </c>
      <c r="T40" s="209">
        <f>SUMIFS('Key inputs_EB_OWN'!T$7:T$26,'Key inputs_EB_OWN'!$C$7:$C$26,$C40)*SUMIFS('Key inputs_EB_OWN'!T$31:T$350,'Key inputs_EB_OWN'!$C$31:$C$350,$B40,'Key inputs_EB_OWN'!$B$31:$B$350,$C40)</f>
        <v>-45470.719865310602</v>
      </c>
      <c r="U40" s="209">
        <f>SUMIFS('Key inputs_EB_OWN'!U$7:U$26,'Key inputs_EB_OWN'!$C$7:$C$26,$C40)*SUMIFS('Key inputs_EB_OWN'!U$31:U$350,'Key inputs_EB_OWN'!$C$31:$C$350,$B40,'Key inputs_EB_OWN'!$B$31:$B$350,$C40)</f>
        <v>-43824.494053992879</v>
      </c>
      <c r="V40" s="209">
        <f>SUMIFS('Key inputs_EB_OWN'!V$7:V$26,'Key inputs_EB_OWN'!$C$7:$C$26,$C40)*SUMIFS('Key inputs_EB_OWN'!V$31:V$350,'Key inputs_EB_OWN'!$C$31:$C$350,$B40,'Key inputs_EB_OWN'!$B$31:$B$350,$C40)</f>
        <v>0</v>
      </c>
      <c r="W40" s="209">
        <f>SUMIFS('Key inputs_EB_OWN'!W$7:W$26,'Key inputs_EB_OWN'!$C$7:$C$26,$C40)*SUMIFS('Key inputs_EB_OWN'!W$31:W$350,'Key inputs_EB_OWN'!$C$31:$C$350,$B40,'Key inputs_EB_OWN'!$B$31:$B$350,$C40)</f>
        <v>-19116</v>
      </c>
      <c r="X40" s="209">
        <f>SUMIFS('Key inputs_EB_OWN'!X$7:X$26,'Key inputs_EB_OWN'!$C$7:$C$26,$C40)*SUMIFS('Key inputs_EB_OWN'!X$31:X$350,'Key inputs_EB_OWN'!$C$31:$C$350,$B40,'Key inputs_EB_OWN'!$B$31:$B$350,$C40)</f>
        <v>-33564.743715171273</v>
      </c>
      <c r="Y40" s="209">
        <f>SUMIFS('Key inputs_EB_OWN'!Y$7:Y$26,'Key inputs_EB_OWN'!$C$7:$C$26,$C40)*SUMIFS('Key inputs_EB_OWN'!Y$31:Y$350,'Key inputs_EB_OWN'!$C$31:$C$350,$B40,'Key inputs_EB_OWN'!$B$31:$B$350,$C40)</f>
        <v>-9977.8285698627151</v>
      </c>
      <c r="Z40" s="209">
        <f>SUMIFS('Key inputs_EB_OWN'!Z$7:Z$26,'Key inputs_EB_OWN'!$C$7:$C$26,$C40)*SUMIFS('Key inputs_EB_OWN'!Z$31:Z$350,'Key inputs_EB_OWN'!$C$31:$C$350,$B40,'Key inputs_EB_OWN'!$B$31:$B$350,$C40)</f>
        <v>-11826.451884393613</v>
      </c>
      <c r="AA40" s="209">
        <f>SUMIFS('Key inputs_EB_OWN'!AA$7:AA$26,'Key inputs_EB_OWN'!$C$7:$C$26,$C40)*SUMIFS('Key inputs_EB_OWN'!AA$31:AA$350,'Key inputs_EB_OWN'!$C$31:$C$350,$B40,'Key inputs_EB_OWN'!$B$31:$B$350,$C40)</f>
        <v>-40823.283840904049</v>
      </c>
      <c r="AB40" s="209">
        <f>SUMIFS('Key inputs_EB_OWN'!AB$7:AB$26,'Key inputs_EB_OWN'!$C$7:$C$26,$C40)*SUMIFS('Key inputs_EB_OWN'!AB$31:AB$350,'Key inputs_EB_OWN'!$C$31:$C$350,$B40,'Key inputs_EB_OWN'!$B$31:$B$350,$C40)</f>
        <v>-5011.8415006721252</v>
      </c>
      <c r="AC40" s="209">
        <f>SUMIFS('Key inputs_EB_OWN'!AC$7:AC$26,'Key inputs_EB_OWN'!$C$7:$C$26,$C40)*SUMIFS('Key inputs_EB_OWN'!AC$31:AC$350,'Key inputs_EB_OWN'!$C$31:$C$350,$B40,'Key inputs_EB_OWN'!$B$31:$B$350,$C40)</f>
        <v>0</v>
      </c>
      <c r="AD40" s="209">
        <f>SUMIFS('Key inputs_EB_OWN'!AD$7:AD$26,'Key inputs_EB_OWN'!$C$7:$C$26,$C40)*SUMIFS('Key inputs_EB_OWN'!AD$31:AD$350,'Key inputs_EB_OWN'!$C$31:$C$350,$B40,'Key inputs_EB_OWN'!$B$31:$B$350,$C40)</f>
        <v>-108051.77758357402</v>
      </c>
      <c r="AE40" s="209">
        <f>SUMIFS('Key inputs_EB_OWN'!AE$7:AE$26,'Key inputs_EB_OWN'!$C$7:$C$26,$C40)*SUMIFS('Key inputs_EB_OWN'!AE$31:AE$350,'Key inputs_EB_OWN'!$C$31:$C$350,$B40,'Key inputs_EB_OWN'!$B$31:$B$350,$C40)</f>
        <v>-47618.64021459753</v>
      </c>
      <c r="AF40" s="220">
        <f>SUMIFS('Key inputs_EB_OWN'!AF$7:AF$26,'Key inputs_EB_OWN'!$C$7:$C$26,$C40)*SUMIFS('Key inputs_EB_OWN'!AF$31:AF$350,'Key inputs_EB_OWN'!$C$31:$C$350,$B40,'Key inputs_EB_OWN'!$B$31:$B$350,$C40)</f>
        <v>-199791.66619851787</v>
      </c>
    </row>
    <row r="41" spans="1:32" s="59" customFormat="1">
      <c r="A41" s="71" t="s">
        <v>728</v>
      </c>
      <c r="B41" s="95" t="s">
        <v>734</v>
      </c>
      <c r="C41" s="71" t="s">
        <v>541</v>
      </c>
      <c r="D41" s="74" t="s">
        <v>387</v>
      </c>
      <c r="E41" s="209">
        <f>SUMIFS('Key inputs_EB_OWN'!E$7:E$26,'Key inputs_EB_OWN'!$C$7:$C$26,$C41)*SUMIFS('Key inputs_EB_OWN'!E$31:E$350,'Key inputs_EB_OWN'!$C$31:$C$350,$B41,'Key inputs_EB_OWN'!$B$31:$B$350,$C41)</f>
        <v>0</v>
      </c>
      <c r="F41" s="209">
        <f>SUMIFS('Key inputs_EB_OWN'!F$7:F$26,'Key inputs_EB_OWN'!$C$7:$C$26,$C41)*SUMIFS('Key inputs_EB_OWN'!F$31:F$350,'Key inputs_EB_OWN'!$C$31:$C$350,$B41,'Key inputs_EB_OWN'!$B$31:$B$350,$C41)</f>
        <v>-26382.257293432707</v>
      </c>
      <c r="G41" s="209">
        <f>SUMIFS('Key inputs_EB_OWN'!G$7:G$26,'Key inputs_EB_OWN'!$C$7:$C$26,$C41)*SUMIFS('Key inputs_EB_OWN'!G$31:G$350,'Key inputs_EB_OWN'!$C$31:$C$350,$B41,'Key inputs_EB_OWN'!$B$31:$B$350,$C41)</f>
        <v>-3110.1326736009287</v>
      </c>
      <c r="H41" s="209">
        <f>SUMIFS('Key inputs_EB_OWN'!H$7:H$26,'Key inputs_EB_OWN'!$C$7:$C$26,$C41)*SUMIFS('Key inputs_EB_OWN'!H$31:H$350,'Key inputs_EB_OWN'!$C$31:$C$350,$B41,'Key inputs_EB_OWN'!$B$31:$B$350,$C41)</f>
        <v>0</v>
      </c>
      <c r="I41" s="209">
        <f>SUMIFS('Key inputs_EB_OWN'!I$7:I$26,'Key inputs_EB_OWN'!$C$7:$C$26,$C41)*SUMIFS('Key inputs_EB_OWN'!I$31:I$350,'Key inputs_EB_OWN'!$C$31:$C$350,$B41,'Key inputs_EB_OWN'!$B$31:$B$350,$C41)</f>
        <v>-7593.9947079161839</v>
      </c>
      <c r="J41" s="209">
        <f>SUMIFS('Key inputs_EB_OWN'!J$7:J$26,'Key inputs_EB_OWN'!$C$7:$C$26,$C41)*SUMIFS('Key inputs_EB_OWN'!J$31:J$350,'Key inputs_EB_OWN'!$C$31:$C$350,$B41,'Key inputs_EB_OWN'!$B$31:$B$350,$C41)</f>
        <v>-7146.8184186148237</v>
      </c>
      <c r="K41" s="209">
        <f>SUMIFS('Key inputs_EB_OWN'!K$7:K$26,'Key inputs_EB_OWN'!$C$7:$C$26,$C41)*SUMIFS('Key inputs_EB_OWN'!K$31:K$350,'Key inputs_EB_OWN'!$C$31:$C$350,$B41,'Key inputs_EB_OWN'!$B$31:$B$350,$C41)</f>
        <v>-526.64704472011681</v>
      </c>
      <c r="L41" s="209">
        <f>SUMIFS('Key inputs_EB_OWN'!L$7:L$26,'Key inputs_EB_OWN'!$C$7:$C$26,$C41)*SUMIFS('Key inputs_EB_OWN'!L$31:L$350,'Key inputs_EB_OWN'!$C$31:$C$350,$B41,'Key inputs_EB_OWN'!$B$31:$B$350,$C41)</f>
        <v>0</v>
      </c>
      <c r="M41" s="209">
        <f>SUMIFS('Key inputs_EB_OWN'!M$7:M$26,'Key inputs_EB_OWN'!$C$7:$C$26,$C41)*SUMIFS('Key inputs_EB_OWN'!M$31:M$350,'Key inputs_EB_OWN'!$C$31:$C$350,$B41,'Key inputs_EB_OWN'!$B$31:$B$350,$C41)</f>
        <v>-92646.035438993902</v>
      </c>
      <c r="N41" s="209">
        <f>SUMIFS('Key inputs_EB_OWN'!N$7:N$26,'Key inputs_EB_OWN'!$C$7:$C$26,$C41)*SUMIFS('Key inputs_EB_OWN'!N$31:N$350,'Key inputs_EB_OWN'!$C$31:$C$350,$B41,'Key inputs_EB_OWN'!$B$31:$B$350,$C41)</f>
        <v>-56906.873255169936</v>
      </c>
      <c r="O41" s="209">
        <f>SUMIFS('Key inputs_EB_OWN'!O$7:O$26,'Key inputs_EB_OWN'!$C$7:$C$26,$C41)*SUMIFS('Key inputs_EB_OWN'!O$31:O$350,'Key inputs_EB_OWN'!$C$31:$C$350,$B41,'Key inputs_EB_OWN'!$B$31:$B$350,$C41)</f>
        <v>-7575.1873346839475</v>
      </c>
      <c r="P41" s="209">
        <f>SUMIFS('Key inputs_EB_OWN'!P$7:P$26,'Key inputs_EB_OWN'!$C$7:$C$26,$C41)*SUMIFS('Key inputs_EB_OWN'!P$31:P$350,'Key inputs_EB_OWN'!$C$31:$C$350,$B41,'Key inputs_EB_OWN'!$B$31:$B$350,$C41)</f>
        <v>-286921.31479967292</v>
      </c>
      <c r="Q41" s="209">
        <f>SUMIFS('Key inputs_EB_OWN'!Q$7:Q$26,'Key inputs_EB_OWN'!$C$7:$C$26,$C41)*SUMIFS('Key inputs_EB_OWN'!Q$31:Q$350,'Key inputs_EB_OWN'!$C$31:$C$350,$B41,'Key inputs_EB_OWN'!$B$31:$B$350,$C41)</f>
        <v>-14170.536565263103</v>
      </c>
      <c r="R41" s="209">
        <f>SUMIFS('Key inputs_EB_OWN'!R$7:R$26,'Key inputs_EB_OWN'!$C$7:$C$26,$C41)*SUMIFS('Key inputs_EB_OWN'!R$31:R$350,'Key inputs_EB_OWN'!$C$31:$C$350,$B41,'Key inputs_EB_OWN'!$B$31:$B$350,$C41)</f>
        <v>-8546.7154605354099</v>
      </c>
      <c r="S41" s="209">
        <f>SUMIFS('Key inputs_EB_OWN'!S$7:S$26,'Key inputs_EB_OWN'!$C$7:$C$26,$C41)*SUMIFS('Key inputs_EB_OWN'!S$31:S$350,'Key inputs_EB_OWN'!$C$31:$C$350,$B41,'Key inputs_EB_OWN'!$B$31:$B$350,$C41)</f>
        <v>-73830.157315503486</v>
      </c>
      <c r="T41" s="209">
        <f>SUMIFS('Key inputs_EB_OWN'!T$7:T$26,'Key inputs_EB_OWN'!$C$7:$C$26,$C41)*SUMIFS('Key inputs_EB_OWN'!T$31:T$350,'Key inputs_EB_OWN'!$C$31:$C$350,$B41,'Key inputs_EB_OWN'!$B$31:$B$350,$C41)</f>
        <v>-195830.78038695469</v>
      </c>
      <c r="U41" s="209">
        <f>SUMIFS('Key inputs_EB_OWN'!U$7:U$26,'Key inputs_EB_OWN'!$C$7:$C$26,$C41)*SUMIFS('Key inputs_EB_OWN'!U$31:U$350,'Key inputs_EB_OWN'!$C$31:$C$350,$B41,'Key inputs_EB_OWN'!$B$31:$B$350,$C41)</f>
        <v>-139751.20321602223</v>
      </c>
      <c r="V41" s="209">
        <f>SUMIFS('Key inputs_EB_OWN'!V$7:V$26,'Key inputs_EB_OWN'!$C$7:$C$26,$C41)*SUMIFS('Key inputs_EB_OWN'!V$31:V$350,'Key inputs_EB_OWN'!$C$31:$C$350,$B41,'Key inputs_EB_OWN'!$B$31:$B$350,$C41)</f>
        <v>0</v>
      </c>
      <c r="W41" s="209">
        <f>SUMIFS('Key inputs_EB_OWN'!W$7:W$26,'Key inputs_EB_OWN'!$C$7:$C$26,$C41)*SUMIFS('Key inputs_EB_OWN'!W$31:W$350,'Key inputs_EB_OWN'!$C$31:$C$350,$B41,'Key inputs_EB_OWN'!$B$31:$B$350,$C41)</f>
        <v>-281010.78014781821</v>
      </c>
      <c r="X41" s="209">
        <f>SUMIFS('Key inputs_EB_OWN'!X$7:X$26,'Key inputs_EB_OWN'!$C$7:$C$26,$C41)*SUMIFS('Key inputs_EB_OWN'!X$31:X$350,'Key inputs_EB_OWN'!$C$31:$C$350,$B41,'Key inputs_EB_OWN'!$B$31:$B$350,$C41)</f>
        <v>-7909.4857877728891</v>
      </c>
      <c r="Y41" s="209">
        <f>SUMIFS('Key inputs_EB_OWN'!Y$7:Y$26,'Key inputs_EB_OWN'!$C$7:$C$26,$C41)*SUMIFS('Key inputs_EB_OWN'!Y$31:Y$350,'Key inputs_EB_OWN'!$C$31:$C$350,$B41,'Key inputs_EB_OWN'!$B$31:$B$350,$C41)</f>
        <v>-38252.886807816649</v>
      </c>
      <c r="Z41" s="209">
        <f>SUMIFS('Key inputs_EB_OWN'!Z$7:Z$26,'Key inputs_EB_OWN'!$C$7:$C$26,$C41)*SUMIFS('Key inputs_EB_OWN'!Z$31:Z$350,'Key inputs_EB_OWN'!$C$31:$C$350,$B41,'Key inputs_EB_OWN'!$B$31:$B$350,$C41)</f>
        <v>-63309.251335009889</v>
      </c>
      <c r="AA41" s="209">
        <f>SUMIFS('Key inputs_EB_OWN'!AA$7:AA$26,'Key inputs_EB_OWN'!$C$7:$C$26,$C41)*SUMIFS('Key inputs_EB_OWN'!AA$31:AA$350,'Key inputs_EB_OWN'!$C$31:$C$350,$B41,'Key inputs_EB_OWN'!$B$31:$B$350,$C41)</f>
        <v>-292371.0044524257</v>
      </c>
      <c r="AB41" s="209">
        <f>SUMIFS('Key inputs_EB_OWN'!AB$7:AB$26,'Key inputs_EB_OWN'!$C$7:$C$26,$C41)*SUMIFS('Key inputs_EB_OWN'!AB$31:AB$350,'Key inputs_EB_OWN'!$C$31:$C$350,$B41,'Key inputs_EB_OWN'!$B$31:$B$350,$C41)</f>
        <v>-154656.99819429603</v>
      </c>
      <c r="AC41" s="209">
        <f>SUMIFS('Key inputs_EB_OWN'!AC$7:AC$26,'Key inputs_EB_OWN'!$C$7:$C$26,$C41)*SUMIFS('Key inputs_EB_OWN'!AC$31:AC$350,'Key inputs_EB_OWN'!$C$31:$C$350,$B41,'Key inputs_EB_OWN'!$B$31:$B$350,$C41)</f>
        <v>-3771.5297420285469</v>
      </c>
      <c r="AD41" s="209">
        <f>SUMIFS('Key inputs_EB_OWN'!AD$7:AD$26,'Key inputs_EB_OWN'!$C$7:$C$26,$C41)*SUMIFS('Key inputs_EB_OWN'!AD$31:AD$350,'Key inputs_EB_OWN'!$C$31:$C$350,$B41,'Key inputs_EB_OWN'!$B$31:$B$350,$C41)</f>
        <v>0</v>
      </c>
      <c r="AE41" s="209">
        <f>SUMIFS('Key inputs_EB_OWN'!AE$7:AE$26,'Key inputs_EB_OWN'!$C$7:$C$26,$C41)*SUMIFS('Key inputs_EB_OWN'!AE$31:AE$350,'Key inputs_EB_OWN'!$C$31:$C$350,$B41,'Key inputs_EB_OWN'!$B$31:$B$350,$C41)</f>
        <v>0</v>
      </c>
      <c r="AF41" s="220">
        <f>SUMIFS('Key inputs_EB_OWN'!AF$7:AF$26,'Key inputs_EB_OWN'!$C$7:$C$26,$C41)*SUMIFS('Key inputs_EB_OWN'!AF$31:AF$350,'Key inputs_EB_OWN'!$C$31:$C$350,$B41,'Key inputs_EB_OWN'!$B$31:$B$350,$C41)</f>
        <v>-926463.91575721547</v>
      </c>
    </row>
    <row r="42" spans="1:32" s="59" customFormat="1">
      <c r="A42" s="71" t="s">
        <v>728</v>
      </c>
      <c r="B42" s="95" t="s">
        <v>734</v>
      </c>
      <c r="C42" s="71" t="s">
        <v>543</v>
      </c>
      <c r="D42" s="74" t="s">
        <v>387</v>
      </c>
      <c r="E42" s="209">
        <f>SUMIFS('Key inputs_EB_OWN'!E$7:E$26,'Key inputs_EB_OWN'!$C$7:$C$26,$C42)*SUMIFS('Key inputs_EB_OWN'!E$31:E$350,'Key inputs_EB_OWN'!$C$31:$C$350,$B42,'Key inputs_EB_OWN'!$B$31:$B$350,$C42)</f>
        <v>0</v>
      </c>
      <c r="F42" s="209">
        <f>SUMIFS('Key inputs_EB_OWN'!F$7:F$26,'Key inputs_EB_OWN'!$C$7:$C$26,$C42)*SUMIFS('Key inputs_EB_OWN'!F$31:F$350,'Key inputs_EB_OWN'!$C$31:$C$350,$B42,'Key inputs_EB_OWN'!$B$31:$B$350,$C42)</f>
        <v>0</v>
      </c>
      <c r="G42" s="209">
        <f>SUMIFS('Key inputs_EB_OWN'!G$7:G$26,'Key inputs_EB_OWN'!$C$7:$C$26,$C42)*SUMIFS('Key inputs_EB_OWN'!G$31:G$350,'Key inputs_EB_OWN'!$C$31:$C$350,$B42,'Key inputs_EB_OWN'!$B$31:$B$350,$C42)</f>
        <v>0</v>
      </c>
      <c r="H42" s="209">
        <f>SUMIFS('Key inputs_EB_OWN'!H$7:H$26,'Key inputs_EB_OWN'!$C$7:$C$26,$C42)*SUMIFS('Key inputs_EB_OWN'!H$31:H$350,'Key inputs_EB_OWN'!$C$31:$C$350,$B42,'Key inputs_EB_OWN'!$B$31:$B$350,$C42)</f>
        <v>0</v>
      </c>
      <c r="I42" s="209">
        <f>SUMIFS('Key inputs_EB_OWN'!I$7:I$26,'Key inputs_EB_OWN'!$C$7:$C$26,$C42)*SUMIFS('Key inputs_EB_OWN'!I$31:I$350,'Key inputs_EB_OWN'!$C$31:$C$350,$B42,'Key inputs_EB_OWN'!$B$31:$B$350,$C42)</f>
        <v>0</v>
      </c>
      <c r="J42" s="209">
        <f>SUMIFS('Key inputs_EB_OWN'!J$7:J$26,'Key inputs_EB_OWN'!$C$7:$C$26,$C42)*SUMIFS('Key inputs_EB_OWN'!J$31:J$350,'Key inputs_EB_OWN'!$C$31:$C$350,$B42,'Key inputs_EB_OWN'!$B$31:$B$350,$C42)</f>
        <v>0</v>
      </c>
      <c r="K42" s="209">
        <f>SUMIFS('Key inputs_EB_OWN'!K$7:K$26,'Key inputs_EB_OWN'!$C$7:$C$26,$C42)*SUMIFS('Key inputs_EB_OWN'!K$31:K$350,'Key inputs_EB_OWN'!$C$31:$C$350,$B42,'Key inputs_EB_OWN'!$B$31:$B$350,$C42)</f>
        <v>0</v>
      </c>
      <c r="L42" s="209">
        <f>SUMIFS('Key inputs_EB_OWN'!L$7:L$26,'Key inputs_EB_OWN'!$C$7:$C$26,$C42)*SUMIFS('Key inputs_EB_OWN'!L$31:L$350,'Key inputs_EB_OWN'!$C$31:$C$350,$B42,'Key inputs_EB_OWN'!$B$31:$B$350,$C42)</f>
        <v>0</v>
      </c>
      <c r="M42" s="209">
        <f>SUMIFS('Key inputs_EB_OWN'!M$7:M$26,'Key inputs_EB_OWN'!$C$7:$C$26,$C42)*SUMIFS('Key inputs_EB_OWN'!M$31:M$350,'Key inputs_EB_OWN'!$C$31:$C$350,$B42,'Key inputs_EB_OWN'!$B$31:$B$350,$C42)</f>
        <v>0</v>
      </c>
      <c r="N42" s="209">
        <f>SUMIFS('Key inputs_EB_OWN'!N$7:N$26,'Key inputs_EB_OWN'!$C$7:$C$26,$C42)*SUMIFS('Key inputs_EB_OWN'!N$31:N$350,'Key inputs_EB_OWN'!$C$31:$C$350,$B42,'Key inputs_EB_OWN'!$B$31:$B$350,$C42)</f>
        <v>-2546</v>
      </c>
      <c r="O42" s="209">
        <f>SUMIFS('Key inputs_EB_OWN'!O$7:O$26,'Key inputs_EB_OWN'!$C$7:$C$26,$C42)*SUMIFS('Key inputs_EB_OWN'!O$31:O$350,'Key inputs_EB_OWN'!$C$31:$C$350,$B42,'Key inputs_EB_OWN'!$B$31:$B$350,$C42)</f>
        <v>0</v>
      </c>
      <c r="P42" s="209">
        <f>SUMIFS('Key inputs_EB_OWN'!P$7:P$26,'Key inputs_EB_OWN'!$C$7:$C$26,$C42)*SUMIFS('Key inputs_EB_OWN'!P$31:P$350,'Key inputs_EB_OWN'!$C$31:$C$350,$B42,'Key inputs_EB_OWN'!$B$31:$B$350,$C42)</f>
        <v>-778.87006369426751</v>
      </c>
      <c r="Q42" s="209">
        <f>SUMIFS('Key inputs_EB_OWN'!Q$7:Q$26,'Key inputs_EB_OWN'!$C$7:$C$26,$C42)*SUMIFS('Key inputs_EB_OWN'!Q$31:Q$350,'Key inputs_EB_OWN'!$C$31:$C$350,$B42,'Key inputs_EB_OWN'!$B$31:$B$350,$C42)</f>
        <v>0</v>
      </c>
      <c r="R42" s="209">
        <f>SUMIFS('Key inputs_EB_OWN'!R$7:R$26,'Key inputs_EB_OWN'!$C$7:$C$26,$C42)*SUMIFS('Key inputs_EB_OWN'!R$31:R$350,'Key inputs_EB_OWN'!$C$31:$C$350,$B42,'Key inputs_EB_OWN'!$B$31:$B$350,$C42)</f>
        <v>0</v>
      </c>
      <c r="S42" s="209">
        <f>SUMIFS('Key inputs_EB_OWN'!S$7:S$26,'Key inputs_EB_OWN'!$C$7:$C$26,$C42)*SUMIFS('Key inputs_EB_OWN'!S$31:S$350,'Key inputs_EB_OWN'!$C$31:$C$350,$B42,'Key inputs_EB_OWN'!$B$31:$B$350,$C42)</f>
        <v>0</v>
      </c>
      <c r="T42" s="209">
        <f>SUMIFS('Key inputs_EB_OWN'!T$7:T$26,'Key inputs_EB_OWN'!$C$7:$C$26,$C42)*SUMIFS('Key inputs_EB_OWN'!T$31:T$350,'Key inputs_EB_OWN'!$C$31:$C$350,$B42,'Key inputs_EB_OWN'!$B$31:$B$350,$C42)</f>
        <v>0</v>
      </c>
      <c r="U42" s="209">
        <f>SUMIFS('Key inputs_EB_OWN'!U$7:U$26,'Key inputs_EB_OWN'!$C$7:$C$26,$C42)*SUMIFS('Key inputs_EB_OWN'!U$31:U$350,'Key inputs_EB_OWN'!$C$31:$C$350,$B42,'Key inputs_EB_OWN'!$B$31:$B$350,$C42)</f>
        <v>0</v>
      </c>
      <c r="V42" s="209">
        <f>SUMIFS('Key inputs_EB_OWN'!V$7:V$26,'Key inputs_EB_OWN'!$C$7:$C$26,$C42)*SUMIFS('Key inputs_EB_OWN'!V$31:V$350,'Key inputs_EB_OWN'!$C$31:$C$350,$B42,'Key inputs_EB_OWN'!$B$31:$B$350,$C42)</f>
        <v>0</v>
      </c>
      <c r="W42" s="209">
        <f>SUMIFS('Key inputs_EB_OWN'!W$7:W$26,'Key inputs_EB_OWN'!$C$7:$C$26,$C42)*SUMIFS('Key inputs_EB_OWN'!W$31:W$350,'Key inputs_EB_OWN'!$C$31:$C$350,$B42,'Key inputs_EB_OWN'!$B$31:$B$350,$C42)</f>
        <v>0</v>
      </c>
      <c r="X42" s="209">
        <f>SUMIFS('Key inputs_EB_OWN'!X$7:X$26,'Key inputs_EB_OWN'!$C$7:$C$26,$C42)*SUMIFS('Key inputs_EB_OWN'!X$31:X$350,'Key inputs_EB_OWN'!$C$31:$C$350,$B42,'Key inputs_EB_OWN'!$B$31:$B$350,$C42)</f>
        <v>-22</v>
      </c>
      <c r="Y42" s="209">
        <f>SUMIFS('Key inputs_EB_OWN'!Y$7:Y$26,'Key inputs_EB_OWN'!$C$7:$C$26,$C42)*SUMIFS('Key inputs_EB_OWN'!Y$31:Y$350,'Key inputs_EB_OWN'!$C$31:$C$350,$B42,'Key inputs_EB_OWN'!$B$31:$B$350,$C42)</f>
        <v>-4532.6359985368017</v>
      </c>
      <c r="Z42" s="209">
        <f>SUMIFS('Key inputs_EB_OWN'!Z$7:Z$26,'Key inputs_EB_OWN'!$C$7:$C$26,$C42)*SUMIFS('Key inputs_EB_OWN'!Z$31:Z$350,'Key inputs_EB_OWN'!$C$31:$C$350,$B42,'Key inputs_EB_OWN'!$B$31:$B$350,$C42)</f>
        <v>0</v>
      </c>
      <c r="AA42" s="209">
        <f>SUMIFS('Key inputs_EB_OWN'!AA$7:AA$26,'Key inputs_EB_OWN'!$C$7:$C$26,$C42)*SUMIFS('Key inputs_EB_OWN'!AA$31:AA$350,'Key inputs_EB_OWN'!$C$31:$C$350,$B42,'Key inputs_EB_OWN'!$B$31:$B$350,$C42)</f>
        <v>0</v>
      </c>
      <c r="AB42" s="209">
        <f>SUMIFS('Key inputs_EB_OWN'!AB$7:AB$26,'Key inputs_EB_OWN'!$C$7:$C$26,$C42)*SUMIFS('Key inputs_EB_OWN'!AB$31:AB$350,'Key inputs_EB_OWN'!$C$31:$C$350,$B42,'Key inputs_EB_OWN'!$B$31:$B$350,$C42)</f>
        <v>0</v>
      </c>
      <c r="AC42" s="209">
        <f>SUMIFS('Key inputs_EB_OWN'!AC$7:AC$26,'Key inputs_EB_OWN'!$C$7:$C$26,$C42)*SUMIFS('Key inputs_EB_OWN'!AC$31:AC$350,'Key inputs_EB_OWN'!$C$31:$C$350,$B42,'Key inputs_EB_OWN'!$B$31:$B$350,$C42)</f>
        <v>0</v>
      </c>
      <c r="AD42" s="209">
        <f>SUMIFS('Key inputs_EB_OWN'!AD$7:AD$26,'Key inputs_EB_OWN'!$C$7:$C$26,$C42)*SUMIFS('Key inputs_EB_OWN'!AD$31:AD$350,'Key inputs_EB_OWN'!$C$31:$C$350,$B42,'Key inputs_EB_OWN'!$B$31:$B$350,$C42)</f>
        <v>0</v>
      </c>
      <c r="AE42" s="209">
        <f>SUMIFS('Key inputs_EB_OWN'!AE$7:AE$26,'Key inputs_EB_OWN'!$C$7:$C$26,$C42)*SUMIFS('Key inputs_EB_OWN'!AE$31:AE$350,'Key inputs_EB_OWN'!$C$31:$C$350,$B42,'Key inputs_EB_OWN'!$B$31:$B$350,$C42)</f>
        <v>0</v>
      </c>
      <c r="AF42" s="220">
        <f>SUMIFS('Key inputs_EB_OWN'!AF$7:AF$26,'Key inputs_EB_OWN'!$C$7:$C$26,$C42)*SUMIFS('Key inputs_EB_OWN'!AF$31:AF$350,'Key inputs_EB_OWN'!$C$31:$C$350,$B42,'Key inputs_EB_OWN'!$B$31:$B$350,$C42)</f>
        <v>-1736.9794487432328</v>
      </c>
    </row>
    <row r="43" spans="1:32" s="59" customFormat="1">
      <c r="A43" s="71" t="s">
        <v>728</v>
      </c>
      <c r="B43" s="95" t="s">
        <v>734</v>
      </c>
      <c r="C43" s="71" t="s">
        <v>545</v>
      </c>
      <c r="D43" s="74" t="s">
        <v>387</v>
      </c>
      <c r="E43" s="209">
        <f>SUMIFS('Key inputs_EB_OWN'!E$7:E$26,'Key inputs_EB_OWN'!$C$7:$C$26,$C43)*SUMIFS('Key inputs_EB_OWN'!E$31:E$350,'Key inputs_EB_OWN'!$C$31:$C$350,$B43,'Key inputs_EB_OWN'!$B$31:$B$350,$C43)</f>
        <v>0</v>
      </c>
      <c r="F43" s="209">
        <f>SUMIFS('Key inputs_EB_OWN'!F$7:F$26,'Key inputs_EB_OWN'!$C$7:$C$26,$C43)*SUMIFS('Key inputs_EB_OWN'!F$31:F$350,'Key inputs_EB_OWN'!$C$31:$C$350,$B43,'Key inputs_EB_OWN'!$B$31:$B$350,$C43)</f>
        <v>0</v>
      </c>
      <c r="G43" s="209">
        <f>SUMIFS('Key inputs_EB_OWN'!G$7:G$26,'Key inputs_EB_OWN'!$C$7:$C$26,$C43)*SUMIFS('Key inputs_EB_OWN'!G$31:G$350,'Key inputs_EB_OWN'!$C$31:$C$350,$B43,'Key inputs_EB_OWN'!$B$31:$B$350,$C43)</f>
        <v>0</v>
      </c>
      <c r="H43" s="209">
        <f>SUMIFS('Key inputs_EB_OWN'!H$7:H$26,'Key inputs_EB_OWN'!$C$7:$C$26,$C43)*SUMIFS('Key inputs_EB_OWN'!H$31:H$350,'Key inputs_EB_OWN'!$C$31:$C$350,$B43,'Key inputs_EB_OWN'!$B$31:$B$350,$C43)</f>
        <v>0</v>
      </c>
      <c r="I43" s="209">
        <f>SUMIFS('Key inputs_EB_OWN'!I$7:I$26,'Key inputs_EB_OWN'!$C$7:$C$26,$C43)*SUMIFS('Key inputs_EB_OWN'!I$31:I$350,'Key inputs_EB_OWN'!$C$31:$C$350,$B43,'Key inputs_EB_OWN'!$B$31:$B$350,$C43)</f>
        <v>0</v>
      </c>
      <c r="J43" s="209">
        <f>SUMIFS('Key inputs_EB_OWN'!J$7:J$26,'Key inputs_EB_OWN'!$C$7:$C$26,$C43)*SUMIFS('Key inputs_EB_OWN'!J$31:J$350,'Key inputs_EB_OWN'!$C$31:$C$350,$B43,'Key inputs_EB_OWN'!$B$31:$B$350,$C43)</f>
        <v>0</v>
      </c>
      <c r="K43" s="209">
        <f>SUMIFS('Key inputs_EB_OWN'!K$7:K$26,'Key inputs_EB_OWN'!$C$7:$C$26,$C43)*SUMIFS('Key inputs_EB_OWN'!K$31:K$350,'Key inputs_EB_OWN'!$C$31:$C$350,$B43,'Key inputs_EB_OWN'!$B$31:$B$350,$C43)</f>
        <v>0</v>
      </c>
      <c r="L43" s="209">
        <f>SUMIFS('Key inputs_EB_OWN'!L$7:L$26,'Key inputs_EB_OWN'!$C$7:$C$26,$C43)*SUMIFS('Key inputs_EB_OWN'!L$31:L$350,'Key inputs_EB_OWN'!$C$31:$C$350,$B43,'Key inputs_EB_OWN'!$B$31:$B$350,$C43)</f>
        <v>0</v>
      </c>
      <c r="M43" s="209">
        <f>SUMIFS('Key inputs_EB_OWN'!M$7:M$26,'Key inputs_EB_OWN'!$C$7:$C$26,$C43)*SUMIFS('Key inputs_EB_OWN'!M$31:M$350,'Key inputs_EB_OWN'!$C$31:$C$350,$B43,'Key inputs_EB_OWN'!$B$31:$B$350,$C43)</f>
        <v>0</v>
      </c>
      <c r="N43" s="209">
        <f>SUMIFS('Key inputs_EB_OWN'!N$7:N$26,'Key inputs_EB_OWN'!$C$7:$C$26,$C43)*SUMIFS('Key inputs_EB_OWN'!N$31:N$350,'Key inputs_EB_OWN'!$C$31:$C$350,$B43,'Key inputs_EB_OWN'!$B$31:$B$350,$C43)</f>
        <v>0</v>
      </c>
      <c r="O43" s="209">
        <f>SUMIFS('Key inputs_EB_OWN'!O$7:O$26,'Key inputs_EB_OWN'!$C$7:$C$26,$C43)*SUMIFS('Key inputs_EB_OWN'!O$31:O$350,'Key inputs_EB_OWN'!$C$31:$C$350,$B43,'Key inputs_EB_OWN'!$B$31:$B$350,$C43)</f>
        <v>0</v>
      </c>
      <c r="P43" s="209">
        <f>SUMIFS('Key inputs_EB_OWN'!P$7:P$26,'Key inputs_EB_OWN'!$C$7:$C$26,$C43)*SUMIFS('Key inputs_EB_OWN'!P$31:P$350,'Key inputs_EB_OWN'!$C$31:$C$350,$B43,'Key inputs_EB_OWN'!$B$31:$B$350,$C43)</f>
        <v>-634408.68355165969</v>
      </c>
      <c r="Q43" s="209">
        <f>SUMIFS('Key inputs_EB_OWN'!Q$7:Q$26,'Key inputs_EB_OWN'!$C$7:$C$26,$C43)*SUMIFS('Key inputs_EB_OWN'!Q$31:Q$350,'Key inputs_EB_OWN'!$C$31:$C$350,$B43,'Key inputs_EB_OWN'!$B$31:$B$350,$C43)</f>
        <v>-22707.252482653268</v>
      </c>
      <c r="R43" s="209">
        <f>SUMIFS('Key inputs_EB_OWN'!R$7:R$26,'Key inputs_EB_OWN'!$C$7:$C$26,$C43)*SUMIFS('Key inputs_EB_OWN'!R$31:R$350,'Key inputs_EB_OWN'!$C$31:$C$350,$B43,'Key inputs_EB_OWN'!$B$31:$B$350,$C43)</f>
        <v>-13348</v>
      </c>
      <c r="S43" s="209">
        <f>SUMIFS('Key inputs_EB_OWN'!S$7:S$26,'Key inputs_EB_OWN'!$C$7:$C$26,$C43)*SUMIFS('Key inputs_EB_OWN'!S$31:S$350,'Key inputs_EB_OWN'!$C$31:$C$350,$B43,'Key inputs_EB_OWN'!$B$31:$B$350,$C43)</f>
        <v>-2331.2496765580709</v>
      </c>
      <c r="T43" s="209">
        <f>SUMIFS('Key inputs_EB_OWN'!T$7:T$26,'Key inputs_EB_OWN'!$C$7:$C$26,$C43)*SUMIFS('Key inputs_EB_OWN'!T$31:T$350,'Key inputs_EB_OWN'!$C$31:$C$350,$B43,'Key inputs_EB_OWN'!$B$31:$B$350,$C43)</f>
        <v>-46353.143859525415</v>
      </c>
      <c r="U43" s="209">
        <f>SUMIFS('Key inputs_EB_OWN'!U$7:U$26,'Key inputs_EB_OWN'!$C$7:$C$26,$C43)*SUMIFS('Key inputs_EB_OWN'!U$31:U$350,'Key inputs_EB_OWN'!$C$31:$C$350,$B43,'Key inputs_EB_OWN'!$B$31:$B$350,$C43)</f>
        <v>-19581.34635677854</v>
      </c>
      <c r="V43" s="209">
        <f>SUMIFS('Key inputs_EB_OWN'!V$7:V$26,'Key inputs_EB_OWN'!$C$7:$C$26,$C43)*SUMIFS('Key inputs_EB_OWN'!V$31:V$350,'Key inputs_EB_OWN'!$C$31:$C$350,$B43,'Key inputs_EB_OWN'!$B$31:$B$350,$C43)</f>
        <v>0</v>
      </c>
      <c r="W43" s="209">
        <f>SUMIFS('Key inputs_EB_OWN'!W$7:W$26,'Key inputs_EB_OWN'!$C$7:$C$26,$C43)*SUMIFS('Key inputs_EB_OWN'!W$31:W$350,'Key inputs_EB_OWN'!$C$31:$C$350,$B43,'Key inputs_EB_OWN'!$B$31:$B$350,$C43)</f>
        <v>0</v>
      </c>
      <c r="X43" s="209">
        <f>SUMIFS('Key inputs_EB_OWN'!X$7:X$26,'Key inputs_EB_OWN'!$C$7:$C$26,$C43)*SUMIFS('Key inputs_EB_OWN'!X$31:X$350,'Key inputs_EB_OWN'!$C$31:$C$350,$B43,'Key inputs_EB_OWN'!$B$31:$B$350,$C43)</f>
        <v>0</v>
      </c>
      <c r="Y43" s="209">
        <f>SUMIFS('Key inputs_EB_OWN'!Y$7:Y$26,'Key inputs_EB_OWN'!$C$7:$C$26,$C43)*SUMIFS('Key inputs_EB_OWN'!Y$31:Y$350,'Key inputs_EB_OWN'!$C$31:$C$350,$B43,'Key inputs_EB_OWN'!$B$31:$B$350,$C43)</f>
        <v>0</v>
      </c>
      <c r="Z43" s="209">
        <f>SUMIFS('Key inputs_EB_OWN'!Z$7:Z$26,'Key inputs_EB_OWN'!$C$7:$C$26,$C43)*SUMIFS('Key inputs_EB_OWN'!Z$31:Z$350,'Key inputs_EB_OWN'!$C$31:$C$350,$B43,'Key inputs_EB_OWN'!$B$31:$B$350,$C43)</f>
        <v>0</v>
      </c>
      <c r="AA43" s="209">
        <f>SUMIFS('Key inputs_EB_OWN'!AA$7:AA$26,'Key inputs_EB_OWN'!$C$7:$C$26,$C43)*SUMIFS('Key inputs_EB_OWN'!AA$31:AA$350,'Key inputs_EB_OWN'!$C$31:$C$350,$B43,'Key inputs_EB_OWN'!$B$31:$B$350,$C43)</f>
        <v>0</v>
      </c>
      <c r="AB43" s="209">
        <f>SUMIFS('Key inputs_EB_OWN'!AB$7:AB$26,'Key inputs_EB_OWN'!$C$7:$C$26,$C43)*SUMIFS('Key inputs_EB_OWN'!AB$31:AB$350,'Key inputs_EB_OWN'!$C$31:$C$350,$B43,'Key inputs_EB_OWN'!$B$31:$B$350,$C43)</f>
        <v>0</v>
      </c>
      <c r="AC43" s="209">
        <f>SUMIFS('Key inputs_EB_OWN'!AC$7:AC$26,'Key inputs_EB_OWN'!$C$7:$C$26,$C43)*SUMIFS('Key inputs_EB_OWN'!AC$31:AC$350,'Key inputs_EB_OWN'!$C$31:$C$350,$B43,'Key inputs_EB_OWN'!$B$31:$B$350,$C43)</f>
        <v>0</v>
      </c>
      <c r="AD43" s="209">
        <f>SUMIFS('Key inputs_EB_OWN'!AD$7:AD$26,'Key inputs_EB_OWN'!$C$7:$C$26,$C43)*SUMIFS('Key inputs_EB_OWN'!AD$31:AD$350,'Key inputs_EB_OWN'!$C$31:$C$350,$B43,'Key inputs_EB_OWN'!$B$31:$B$350,$C43)</f>
        <v>-384590.61546755687</v>
      </c>
      <c r="AE43" s="209">
        <f>SUMIFS('Key inputs_EB_OWN'!AE$7:AE$26,'Key inputs_EB_OWN'!$C$7:$C$26,$C43)*SUMIFS('Key inputs_EB_OWN'!AE$31:AE$350,'Key inputs_EB_OWN'!$C$31:$C$350,$B43,'Key inputs_EB_OWN'!$B$31:$B$350,$C43)</f>
        <v>-1233</v>
      </c>
      <c r="AF43" s="220">
        <f>SUMIFS('Key inputs_EB_OWN'!AF$7:AF$26,'Key inputs_EB_OWN'!$C$7:$C$26,$C43)*SUMIFS('Key inputs_EB_OWN'!AF$31:AF$350,'Key inputs_EB_OWN'!$C$31:$C$350,$B43,'Key inputs_EB_OWN'!$B$31:$B$350,$C43)</f>
        <v>-61749</v>
      </c>
    </row>
    <row r="44" spans="1:32" s="59" customFormat="1">
      <c r="A44" s="71" t="s">
        <v>728</v>
      </c>
      <c r="B44" s="95" t="s">
        <v>734</v>
      </c>
      <c r="C44" s="71" t="s">
        <v>548</v>
      </c>
      <c r="D44" s="74" t="s">
        <v>387</v>
      </c>
      <c r="E44" s="209">
        <f>SUMIFS('Key inputs_EB_OWN'!E$7:E$26,'Key inputs_EB_OWN'!$C$7:$C$26,$C44)*SUMIFS('Key inputs_EB_OWN'!E$31:E$350,'Key inputs_EB_OWN'!$C$31:$C$350,$B44,'Key inputs_EB_OWN'!$B$31:$B$350,$C44)</f>
        <v>0</v>
      </c>
      <c r="F44" s="209">
        <f>SUMIFS('Key inputs_EB_OWN'!F$7:F$26,'Key inputs_EB_OWN'!$C$7:$C$26,$C44)*SUMIFS('Key inputs_EB_OWN'!F$31:F$350,'Key inputs_EB_OWN'!$C$31:$C$350,$B44,'Key inputs_EB_OWN'!$B$31:$B$350,$C44)</f>
        <v>-9344</v>
      </c>
      <c r="G44" s="209">
        <f>SUMIFS('Key inputs_EB_OWN'!G$7:G$26,'Key inputs_EB_OWN'!$C$7:$C$26,$C44)*SUMIFS('Key inputs_EB_OWN'!G$31:G$350,'Key inputs_EB_OWN'!$C$31:$C$350,$B44,'Key inputs_EB_OWN'!$B$31:$B$350,$C44)</f>
        <v>-1609.7570429313996</v>
      </c>
      <c r="H44" s="209">
        <f>SUMIFS('Key inputs_EB_OWN'!H$7:H$26,'Key inputs_EB_OWN'!$C$7:$C$26,$C44)*SUMIFS('Key inputs_EB_OWN'!H$31:H$350,'Key inputs_EB_OWN'!$C$31:$C$350,$B44,'Key inputs_EB_OWN'!$B$31:$B$350,$C44)</f>
        <v>0</v>
      </c>
      <c r="I44" s="209">
        <f>SUMIFS('Key inputs_EB_OWN'!I$7:I$26,'Key inputs_EB_OWN'!$C$7:$C$26,$C44)*SUMIFS('Key inputs_EB_OWN'!I$31:I$350,'Key inputs_EB_OWN'!$C$31:$C$350,$B44,'Key inputs_EB_OWN'!$B$31:$B$350,$C44)</f>
        <v>-3391.3414223308164</v>
      </c>
      <c r="J44" s="209">
        <f>SUMIFS('Key inputs_EB_OWN'!J$7:J$26,'Key inputs_EB_OWN'!$C$7:$C$26,$C44)*SUMIFS('Key inputs_EB_OWN'!J$31:J$350,'Key inputs_EB_OWN'!$C$31:$C$350,$B44,'Key inputs_EB_OWN'!$B$31:$B$350,$C44)</f>
        <v>-2093</v>
      </c>
      <c r="K44" s="209">
        <f>SUMIFS('Key inputs_EB_OWN'!K$7:K$26,'Key inputs_EB_OWN'!$C$7:$C$26,$C44)*SUMIFS('Key inputs_EB_OWN'!K$31:K$350,'Key inputs_EB_OWN'!$C$31:$C$350,$B44,'Key inputs_EB_OWN'!$B$31:$B$350,$C44)</f>
        <v>-102838</v>
      </c>
      <c r="L44" s="209">
        <f>SUMIFS('Key inputs_EB_OWN'!L$7:L$26,'Key inputs_EB_OWN'!$C$7:$C$26,$C44)*SUMIFS('Key inputs_EB_OWN'!L$31:L$350,'Key inputs_EB_OWN'!$C$31:$C$350,$B44,'Key inputs_EB_OWN'!$B$31:$B$350,$C44)</f>
        <v>-4543</v>
      </c>
      <c r="M44" s="209">
        <f>SUMIFS('Key inputs_EB_OWN'!M$7:M$26,'Key inputs_EB_OWN'!$C$7:$C$26,$C44)*SUMIFS('Key inputs_EB_OWN'!M$31:M$350,'Key inputs_EB_OWN'!$C$31:$C$350,$B44,'Key inputs_EB_OWN'!$B$31:$B$350,$C44)</f>
        <v>-31197</v>
      </c>
      <c r="N44" s="209">
        <f>SUMIFS('Key inputs_EB_OWN'!N$7:N$26,'Key inputs_EB_OWN'!$C$7:$C$26,$C44)*SUMIFS('Key inputs_EB_OWN'!N$31:N$350,'Key inputs_EB_OWN'!$C$31:$C$350,$B44,'Key inputs_EB_OWN'!$B$31:$B$350,$C44)</f>
        <v>-579</v>
      </c>
      <c r="O44" s="209">
        <f>SUMIFS('Key inputs_EB_OWN'!O$7:O$26,'Key inputs_EB_OWN'!$C$7:$C$26,$C44)*SUMIFS('Key inputs_EB_OWN'!O$31:O$350,'Key inputs_EB_OWN'!$C$31:$C$350,$B44,'Key inputs_EB_OWN'!$B$31:$B$350,$C44)</f>
        <v>-8910.4659985090711</v>
      </c>
      <c r="P44" s="209">
        <f>SUMIFS('Key inputs_EB_OWN'!P$7:P$26,'Key inputs_EB_OWN'!$C$7:$C$26,$C44)*SUMIFS('Key inputs_EB_OWN'!P$31:P$350,'Key inputs_EB_OWN'!$C$31:$C$350,$B44,'Key inputs_EB_OWN'!$B$31:$B$350,$C44)</f>
        <v>-15985.214809640236</v>
      </c>
      <c r="Q44" s="209">
        <f>SUMIFS('Key inputs_EB_OWN'!Q$7:Q$26,'Key inputs_EB_OWN'!$C$7:$C$26,$C44)*SUMIFS('Key inputs_EB_OWN'!Q$31:Q$350,'Key inputs_EB_OWN'!$C$31:$C$350,$B44,'Key inputs_EB_OWN'!$B$31:$B$350,$C44)</f>
        <v>-31512.738176431492</v>
      </c>
      <c r="R44" s="209">
        <f>SUMIFS('Key inputs_EB_OWN'!R$7:R$26,'Key inputs_EB_OWN'!$C$7:$C$26,$C44)*SUMIFS('Key inputs_EB_OWN'!R$31:R$350,'Key inputs_EB_OWN'!$C$31:$C$350,$B44,'Key inputs_EB_OWN'!$B$31:$B$350,$C44)</f>
        <v>-15513.795549587569</v>
      </c>
      <c r="S44" s="209">
        <f>SUMIFS('Key inputs_EB_OWN'!S$7:S$26,'Key inputs_EB_OWN'!$C$7:$C$26,$C44)*SUMIFS('Key inputs_EB_OWN'!S$31:S$350,'Key inputs_EB_OWN'!$C$31:$C$350,$B44,'Key inputs_EB_OWN'!$B$31:$B$350,$C44)</f>
        <v>-54831.002906750808</v>
      </c>
      <c r="T44" s="209">
        <f>SUMIFS('Key inputs_EB_OWN'!T$7:T$26,'Key inputs_EB_OWN'!$C$7:$C$26,$C44)*SUMIFS('Key inputs_EB_OWN'!T$31:T$350,'Key inputs_EB_OWN'!$C$31:$C$350,$B44,'Key inputs_EB_OWN'!$B$31:$B$350,$C44)</f>
        <v>-119452</v>
      </c>
      <c r="U44" s="209">
        <f>SUMIFS('Key inputs_EB_OWN'!U$7:U$26,'Key inputs_EB_OWN'!$C$7:$C$26,$C44)*SUMIFS('Key inputs_EB_OWN'!U$31:U$350,'Key inputs_EB_OWN'!$C$31:$C$350,$B44,'Key inputs_EB_OWN'!$B$31:$B$350,$C44)</f>
        <v>-169947.73452176165</v>
      </c>
      <c r="V44" s="209">
        <f>SUMIFS('Key inputs_EB_OWN'!V$7:V$26,'Key inputs_EB_OWN'!$C$7:$C$26,$C44)*SUMIFS('Key inputs_EB_OWN'!V$31:V$350,'Key inputs_EB_OWN'!$C$31:$C$350,$B44,'Key inputs_EB_OWN'!$B$31:$B$350,$C44)</f>
        <v>0</v>
      </c>
      <c r="W44" s="209">
        <f>SUMIFS('Key inputs_EB_OWN'!W$7:W$26,'Key inputs_EB_OWN'!$C$7:$C$26,$C44)*SUMIFS('Key inputs_EB_OWN'!W$31:W$350,'Key inputs_EB_OWN'!$C$31:$C$350,$B44,'Key inputs_EB_OWN'!$B$31:$B$350,$C44)</f>
        <v>0</v>
      </c>
      <c r="X44" s="209">
        <f>SUMIFS('Key inputs_EB_OWN'!X$7:X$26,'Key inputs_EB_OWN'!$C$7:$C$26,$C44)*SUMIFS('Key inputs_EB_OWN'!X$31:X$350,'Key inputs_EB_OWN'!$C$31:$C$350,$B44,'Key inputs_EB_OWN'!$B$31:$B$350,$C44)</f>
        <v>-135185</v>
      </c>
      <c r="Y44" s="209">
        <f>SUMIFS('Key inputs_EB_OWN'!Y$7:Y$26,'Key inputs_EB_OWN'!$C$7:$C$26,$C44)*SUMIFS('Key inputs_EB_OWN'!Y$31:Y$350,'Key inputs_EB_OWN'!$C$31:$C$350,$B44,'Key inputs_EB_OWN'!$B$31:$B$350,$C44)</f>
        <v>-164981.7329326281</v>
      </c>
      <c r="Z44" s="209">
        <f>SUMIFS('Key inputs_EB_OWN'!Z$7:Z$26,'Key inputs_EB_OWN'!$C$7:$C$26,$C44)*SUMIFS('Key inputs_EB_OWN'!Z$31:Z$350,'Key inputs_EB_OWN'!$C$31:$C$350,$B44,'Key inputs_EB_OWN'!$B$31:$B$350,$C44)</f>
        <v>-111728</v>
      </c>
      <c r="AA44" s="209">
        <f>SUMIFS('Key inputs_EB_OWN'!AA$7:AA$26,'Key inputs_EB_OWN'!$C$7:$C$26,$C44)*SUMIFS('Key inputs_EB_OWN'!AA$31:AA$350,'Key inputs_EB_OWN'!$C$31:$C$350,$B44,'Key inputs_EB_OWN'!$B$31:$B$350,$C44)</f>
        <v>-249017</v>
      </c>
      <c r="AB44" s="209">
        <f>SUMIFS('Key inputs_EB_OWN'!AB$7:AB$26,'Key inputs_EB_OWN'!$C$7:$C$26,$C44)*SUMIFS('Key inputs_EB_OWN'!AB$31:AB$350,'Key inputs_EB_OWN'!$C$31:$C$350,$B44,'Key inputs_EB_OWN'!$B$31:$B$350,$C44)</f>
        <v>-136963</v>
      </c>
      <c r="AC44" s="209">
        <f>SUMIFS('Key inputs_EB_OWN'!AC$7:AC$26,'Key inputs_EB_OWN'!$C$7:$C$26,$C44)*SUMIFS('Key inputs_EB_OWN'!AC$31:AC$350,'Key inputs_EB_OWN'!$C$31:$C$350,$B44,'Key inputs_EB_OWN'!$B$31:$B$350,$C44)</f>
        <v>-1619</v>
      </c>
      <c r="AD44" s="209">
        <f>SUMIFS('Key inputs_EB_OWN'!AD$7:AD$26,'Key inputs_EB_OWN'!$C$7:$C$26,$C44)*SUMIFS('Key inputs_EB_OWN'!AD$31:AD$350,'Key inputs_EB_OWN'!$C$31:$C$350,$B44,'Key inputs_EB_OWN'!$B$31:$B$350,$C44)</f>
        <v>0</v>
      </c>
      <c r="AE44" s="209">
        <f>SUMIFS('Key inputs_EB_OWN'!AE$7:AE$26,'Key inputs_EB_OWN'!$C$7:$C$26,$C44)*SUMIFS('Key inputs_EB_OWN'!AE$31:AE$350,'Key inputs_EB_OWN'!$C$31:$C$350,$B44,'Key inputs_EB_OWN'!$B$31:$B$350,$C44)</f>
        <v>-114219.28623288649</v>
      </c>
      <c r="AF44" s="220">
        <f>SUMIFS('Key inputs_EB_OWN'!AF$7:AF$26,'Key inputs_EB_OWN'!$C$7:$C$26,$C44)*SUMIFS('Key inputs_EB_OWN'!AF$31:AF$350,'Key inputs_EB_OWN'!$C$31:$C$350,$B44,'Key inputs_EB_OWN'!$B$31:$B$350,$C44)</f>
        <v>-593.07439709581695</v>
      </c>
    </row>
    <row r="45" spans="1:32" s="59" customFormat="1">
      <c r="A45" s="71" t="s">
        <v>728</v>
      </c>
      <c r="B45" s="95" t="s">
        <v>734</v>
      </c>
      <c r="C45" s="71" t="s">
        <v>550</v>
      </c>
      <c r="D45" s="74" t="s">
        <v>387</v>
      </c>
      <c r="E45" s="209">
        <f>SUMIFS('Key inputs_EB_OWN'!E$7:E$26,'Key inputs_EB_OWN'!$C$7:$C$26,$C45)*SUMIFS('Key inputs_EB_OWN'!E$31:E$350,'Key inputs_EB_OWN'!$C$31:$C$350,$B45,'Key inputs_EB_OWN'!$B$31:$B$350,$C45)</f>
        <v>0</v>
      </c>
      <c r="F45" s="209">
        <f>SUMIFS('Key inputs_EB_OWN'!F$7:F$26,'Key inputs_EB_OWN'!$C$7:$C$26,$C45)*SUMIFS('Key inputs_EB_OWN'!F$31:F$350,'Key inputs_EB_OWN'!$C$31:$C$350,$B45,'Key inputs_EB_OWN'!$B$31:$B$350,$C45)</f>
        <v>0</v>
      </c>
      <c r="G45" s="209">
        <f>SUMIFS('Key inputs_EB_OWN'!G$7:G$26,'Key inputs_EB_OWN'!$C$7:$C$26,$C45)*SUMIFS('Key inputs_EB_OWN'!G$31:G$350,'Key inputs_EB_OWN'!$C$31:$C$350,$B45,'Key inputs_EB_OWN'!$B$31:$B$350,$C45)</f>
        <v>0</v>
      </c>
      <c r="H45" s="209">
        <f>SUMIFS('Key inputs_EB_OWN'!H$7:H$26,'Key inputs_EB_OWN'!$C$7:$C$26,$C45)*SUMIFS('Key inputs_EB_OWN'!H$31:H$350,'Key inputs_EB_OWN'!$C$31:$C$350,$B45,'Key inputs_EB_OWN'!$B$31:$B$350,$C45)</f>
        <v>0</v>
      </c>
      <c r="I45" s="209">
        <f>SUMIFS('Key inputs_EB_OWN'!I$7:I$26,'Key inputs_EB_OWN'!$C$7:$C$26,$C45)*SUMIFS('Key inputs_EB_OWN'!I$31:I$350,'Key inputs_EB_OWN'!$C$31:$C$350,$B45,'Key inputs_EB_OWN'!$B$31:$B$350,$C45)</f>
        <v>0</v>
      </c>
      <c r="J45" s="209">
        <f>SUMIFS('Key inputs_EB_OWN'!J$7:J$26,'Key inputs_EB_OWN'!$C$7:$C$26,$C45)*SUMIFS('Key inputs_EB_OWN'!J$31:J$350,'Key inputs_EB_OWN'!$C$31:$C$350,$B45,'Key inputs_EB_OWN'!$B$31:$B$350,$C45)</f>
        <v>0</v>
      </c>
      <c r="K45" s="209">
        <f>SUMIFS('Key inputs_EB_OWN'!K$7:K$26,'Key inputs_EB_OWN'!$C$7:$C$26,$C45)*SUMIFS('Key inputs_EB_OWN'!K$31:K$350,'Key inputs_EB_OWN'!$C$31:$C$350,$B45,'Key inputs_EB_OWN'!$B$31:$B$350,$C45)</f>
        <v>0</v>
      </c>
      <c r="L45" s="209">
        <f>SUMIFS('Key inputs_EB_OWN'!L$7:L$26,'Key inputs_EB_OWN'!$C$7:$C$26,$C45)*SUMIFS('Key inputs_EB_OWN'!L$31:L$350,'Key inputs_EB_OWN'!$C$31:$C$350,$B45,'Key inputs_EB_OWN'!$B$31:$B$350,$C45)</f>
        <v>0</v>
      </c>
      <c r="M45" s="209">
        <f>SUMIFS('Key inputs_EB_OWN'!M$7:M$26,'Key inputs_EB_OWN'!$C$7:$C$26,$C45)*SUMIFS('Key inputs_EB_OWN'!M$31:M$350,'Key inputs_EB_OWN'!$C$31:$C$350,$B45,'Key inputs_EB_OWN'!$B$31:$B$350,$C45)</f>
        <v>0</v>
      </c>
      <c r="N45" s="209">
        <f>SUMIFS('Key inputs_EB_OWN'!N$7:N$26,'Key inputs_EB_OWN'!$C$7:$C$26,$C45)*SUMIFS('Key inputs_EB_OWN'!N$31:N$350,'Key inputs_EB_OWN'!$C$31:$C$350,$B45,'Key inputs_EB_OWN'!$B$31:$B$350,$C45)</f>
        <v>0</v>
      </c>
      <c r="O45" s="209">
        <f>SUMIFS('Key inputs_EB_OWN'!O$7:O$26,'Key inputs_EB_OWN'!$C$7:$C$26,$C45)*SUMIFS('Key inputs_EB_OWN'!O$31:O$350,'Key inputs_EB_OWN'!$C$31:$C$350,$B45,'Key inputs_EB_OWN'!$B$31:$B$350,$C45)</f>
        <v>0</v>
      </c>
      <c r="P45" s="209">
        <f>SUMIFS('Key inputs_EB_OWN'!P$7:P$26,'Key inputs_EB_OWN'!$C$7:$C$26,$C45)*SUMIFS('Key inputs_EB_OWN'!P$31:P$350,'Key inputs_EB_OWN'!$C$31:$C$350,$B45,'Key inputs_EB_OWN'!$B$31:$B$350,$C45)</f>
        <v>-115.93548387096774</v>
      </c>
      <c r="Q45" s="209">
        <f>SUMIFS('Key inputs_EB_OWN'!Q$7:Q$26,'Key inputs_EB_OWN'!$C$7:$C$26,$C45)*SUMIFS('Key inputs_EB_OWN'!Q$31:Q$350,'Key inputs_EB_OWN'!$C$31:$C$350,$B45,'Key inputs_EB_OWN'!$B$31:$B$350,$C45)</f>
        <v>0</v>
      </c>
      <c r="R45" s="209">
        <f>SUMIFS('Key inputs_EB_OWN'!R$7:R$26,'Key inputs_EB_OWN'!$C$7:$C$26,$C45)*SUMIFS('Key inputs_EB_OWN'!R$31:R$350,'Key inputs_EB_OWN'!$C$31:$C$350,$B45,'Key inputs_EB_OWN'!$B$31:$B$350,$C45)</f>
        <v>0</v>
      </c>
      <c r="S45" s="209">
        <f>SUMIFS('Key inputs_EB_OWN'!S$7:S$26,'Key inputs_EB_OWN'!$C$7:$C$26,$C45)*SUMIFS('Key inputs_EB_OWN'!S$31:S$350,'Key inputs_EB_OWN'!$C$31:$C$350,$B45,'Key inputs_EB_OWN'!$B$31:$B$350,$C45)</f>
        <v>0</v>
      </c>
      <c r="T45" s="209">
        <f>SUMIFS('Key inputs_EB_OWN'!T$7:T$26,'Key inputs_EB_OWN'!$C$7:$C$26,$C45)*SUMIFS('Key inputs_EB_OWN'!T$31:T$350,'Key inputs_EB_OWN'!$C$31:$C$350,$B45,'Key inputs_EB_OWN'!$B$31:$B$350,$C45)</f>
        <v>0</v>
      </c>
      <c r="U45" s="209">
        <f>SUMIFS('Key inputs_EB_OWN'!U$7:U$26,'Key inputs_EB_OWN'!$C$7:$C$26,$C45)*SUMIFS('Key inputs_EB_OWN'!U$31:U$350,'Key inputs_EB_OWN'!$C$31:$C$350,$B45,'Key inputs_EB_OWN'!$B$31:$B$350,$C45)</f>
        <v>0</v>
      </c>
      <c r="V45" s="209">
        <f>SUMIFS('Key inputs_EB_OWN'!V$7:V$26,'Key inputs_EB_OWN'!$C$7:$C$26,$C45)*SUMIFS('Key inputs_EB_OWN'!V$31:V$350,'Key inputs_EB_OWN'!$C$31:$C$350,$B45,'Key inputs_EB_OWN'!$B$31:$B$350,$C45)</f>
        <v>0</v>
      </c>
      <c r="W45" s="209">
        <f>SUMIFS('Key inputs_EB_OWN'!W$7:W$26,'Key inputs_EB_OWN'!$C$7:$C$26,$C45)*SUMIFS('Key inputs_EB_OWN'!W$31:W$350,'Key inputs_EB_OWN'!$C$31:$C$350,$B45,'Key inputs_EB_OWN'!$B$31:$B$350,$C45)</f>
        <v>0</v>
      </c>
      <c r="X45" s="209">
        <f>SUMIFS('Key inputs_EB_OWN'!X$7:X$26,'Key inputs_EB_OWN'!$C$7:$C$26,$C45)*SUMIFS('Key inputs_EB_OWN'!X$31:X$350,'Key inputs_EB_OWN'!$C$31:$C$350,$B45,'Key inputs_EB_OWN'!$B$31:$B$350,$C45)</f>
        <v>-3309.4275252871985</v>
      </c>
      <c r="Y45" s="209">
        <f>SUMIFS('Key inputs_EB_OWN'!Y$7:Y$26,'Key inputs_EB_OWN'!$C$7:$C$26,$C45)*SUMIFS('Key inputs_EB_OWN'!Y$31:Y$350,'Key inputs_EB_OWN'!$C$31:$C$350,$B45,'Key inputs_EB_OWN'!$B$31:$B$350,$C45)</f>
        <v>-4862.9209619898193</v>
      </c>
      <c r="Z45" s="209">
        <f>SUMIFS('Key inputs_EB_OWN'!Z$7:Z$26,'Key inputs_EB_OWN'!$C$7:$C$26,$C45)*SUMIFS('Key inputs_EB_OWN'!Z$31:Z$350,'Key inputs_EB_OWN'!$C$31:$C$350,$B45,'Key inputs_EB_OWN'!$B$31:$B$350,$C45)</f>
        <v>0</v>
      </c>
      <c r="AA45" s="209">
        <f>SUMIFS('Key inputs_EB_OWN'!AA$7:AA$26,'Key inputs_EB_OWN'!$C$7:$C$26,$C45)*SUMIFS('Key inputs_EB_OWN'!AA$31:AA$350,'Key inputs_EB_OWN'!$C$31:$C$350,$B45,'Key inputs_EB_OWN'!$B$31:$B$350,$C45)</f>
        <v>0</v>
      </c>
      <c r="AB45" s="209">
        <f>SUMIFS('Key inputs_EB_OWN'!AB$7:AB$26,'Key inputs_EB_OWN'!$C$7:$C$26,$C45)*SUMIFS('Key inputs_EB_OWN'!AB$31:AB$350,'Key inputs_EB_OWN'!$C$31:$C$350,$B45,'Key inputs_EB_OWN'!$B$31:$B$350,$C45)</f>
        <v>0</v>
      </c>
      <c r="AC45" s="209">
        <f>SUMIFS('Key inputs_EB_OWN'!AC$7:AC$26,'Key inputs_EB_OWN'!$C$7:$C$26,$C45)*SUMIFS('Key inputs_EB_OWN'!AC$31:AC$350,'Key inputs_EB_OWN'!$C$31:$C$350,$B45,'Key inputs_EB_OWN'!$B$31:$B$350,$C45)</f>
        <v>0</v>
      </c>
      <c r="AD45" s="209">
        <f>SUMIFS('Key inputs_EB_OWN'!AD$7:AD$26,'Key inputs_EB_OWN'!$C$7:$C$26,$C45)*SUMIFS('Key inputs_EB_OWN'!AD$31:AD$350,'Key inputs_EB_OWN'!$C$31:$C$350,$B45,'Key inputs_EB_OWN'!$B$31:$B$350,$C45)</f>
        <v>0</v>
      </c>
      <c r="AE45" s="209">
        <f>SUMIFS('Key inputs_EB_OWN'!AE$7:AE$26,'Key inputs_EB_OWN'!$C$7:$C$26,$C45)*SUMIFS('Key inputs_EB_OWN'!AE$31:AE$350,'Key inputs_EB_OWN'!$C$31:$C$350,$B45,'Key inputs_EB_OWN'!$B$31:$B$350,$C45)</f>
        <v>0</v>
      </c>
      <c r="AF45" s="220">
        <f>SUMIFS('Key inputs_EB_OWN'!AF$7:AF$26,'Key inputs_EB_OWN'!$C$7:$C$26,$C45)*SUMIFS('Key inputs_EB_OWN'!AF$31:AF$350,'Key inputs_EB_OWN'!$C$31:$C$350,$B45,'Key inputs_EB_OWN'!$B$31:$B$350,$C45)</f>
        <v>-5225</v>
      </c>
    </row>
    <row r="46" spans="1:32" s="59" customFormat="1">
      <c r="A46" s="71" t="s">
        <v>728</v>
      </c>
      <c r="B46" s="95" t="s">
        <v>734</v>
      </c>
      <c r="C46" s="71" t="s">
        <v>552</v>
      </c>
      <c r="D46" s="74" t="s">
        <v>387</v>
      </c>
      <c r="E46" s="209">
        <f>SUMIFS('Key inputs_EB_OWN'!E$7:E$26,'Key inputs_EB_OWN'!$C$7:$C$26,$C46)*SUMIFS('Key inputs_EB_OWN'!E$31:E$350,'Key inputs_EB_OWN'!$C$31:$C$350,$B46,'Key inputs_EB_OWN'!$B$31:$B$350,$C46)</f>
        <v>0</v>
      </c>
      <c r="F46" s="209">
        <f>SUMIFS('Key inputs_EB_OWN'!F$7:F$26,'Key inputs_EB_OWN'!$C$7:$C$26,$C46)*SUMIFS('Key inputs_EB_OWN'!F$31:F$350,'Key inputs_EB_OWN'!$C$31:$C$350,$B46,'Key inputs_EB_OWN'!$B$31:$B$350,$C46)</f>
        <v>0</v>
      </c>
      <c r="G46" s="209">
        <f>SUMIFS('Key inputs_EB_OWN'!G$7:G$26,'Key inputs_EB_OWN'!$C$7:$C$26,$C46)*SUMIFS('Key inputs_EB_OWN'!G$31:G$350,'Key inputs_EB_OWN'!$C$31:$C$350,$B46,'Key inputs_EB_OWN'!$B$31:$B$350,$C46)</f>
        <v>-355</v>
      </c>
      <c r="H46" s="209">
        <f>SUMIFS('Key inputs_EB_OWN'!H$7:H$26,'Key inputs_EB_OWN'!$C$7:$C$26,$C46)*SUMIFS('Key inputs_EB_OWN'!H$31:H$350,'Key inputs_EB_OWN'!$C$31:$C$350,$B46,'Key inputs_EB_OWN'!$B$31:$B$350,$C46)</f>
        <v>0</v>
      </c>
      <c r="I46" s="209">
        <f>SUMIFS('Key inputs_EB_OWN'!I$7:I$26,'Key inputs_EB_OWN'!$C$7:$C$26,$C46)*SUMIFS('Key inputs_EB_OWN'!I$31:I$350,'Key inputs_EB_OWN'!$C$31:$C$350,$B46,'Key inputs_EB_OWN'!$B$31:$B$350,$C46)</f>
        <v>0</v>
      </c>
      <c r="J46" s="209">
        <f>SUMIFS('Key inputs_EB_OWN'!J$7:J$26,'Key inputs_EB_OWN'!$C$7:$C$26,$C46)*SUMIFS('Key inputs_EB_OWN'!J$31:J$350,'Key inputs_EB_OWN'!$C$31:$C$350,$B46,'Key inputs_EB_OWN'!$B$31:$B$350,$C46)</f>
        <v>-37.259783624949911</v>
      </c>
      <c r="K46" s="209">
        <f>SUMIFS('Key inputs_EB_OWN'!K$7:K$26,'Key inputs_EB_OWN'!$C$7:$C$26,$C46)*SUMIFS('Key inputs_EB_OWN'!K$31:K$350,'Key inputs_EB_OWN'!$C$31:$C$350,$B46,'Key inputs_EB_OWN'!$B$31:$B$350,$C46)</f>
        <v>0</v>
      </c>
      <c r="L46" s="209">
        <f>SUMIFS('Key inputs_EB_OWN'!L$7:L$26,'Key inputs_EB_OWN'!$C$7:$C$26,$C46)*SUMIFS('Key inputs_EB_OWN'!L$31:L$350,'Key inputs_EB_OWN'!$C$31:$C$350,$B46,'Key inputs_EB_OWN'!$B$31:$B$350,$C46)</f>
        <v>0</v>
      </c>
      <c r="M46" s="209">
        <f>SUMIFS('Key inputs_EB_OWN'!M$7:M$26,'Key inputs_EB_OWN'!$C$7:$C$26,$C46)*SUMIFS('Key inputs_EB_OWN'!M$31:M$350,'Key inputs_EB_OWN'!$C$31:$C$350,$B46,'Key inputs_EB_OWN'!$B$31:$B$350,$C46)</f>
        <v>0</v>
      </c>
      <c r="N46" s="209">
        <f>SUMIFS('Key inputs_EB_OWN'!N$7:N$26,'Key inputs_EB_OWN'!$C$7:$C$26,$C46)*SUMIFS('Key inputs_EB_OWN'!N$31:N$350,'Key inputs_EB_OWN'!$C$31:$C$350,$B46,'Key inputs_EB_OWN'!$B$31:$B$350,$C46)</f>
        <v>-3727.5942378383538</v>
      </c>
      <c r="O46" s="209">
        <f>SUMIFS('Key inputs_EB_OWN'!O$7:O$26,'Key inputs_EB_OWN'!$C$7:$C$26,$C46)*SUMIFS('Key inputs_EB_OWN'!O$31:O$350,'Key inputs_EB_OWN'!$C$31:$C$350,$B46,'Key inputs_EB_OWN'!$B$31:$B$350,$C46)</f>
        <v>-5588.2259651214781</v>
      </c>
      <c r="P46" s="209">
        <f>SUMIFS('Key inputs_EB_OWN'!P$7:P$26,'Key inputs_EB_OWN'!$C$7:$C$26,$C46)*SUMIFS('Key inputs_EB_OWN'!P$31:P$350,'Key inputs_EB_OWN'!$C$31:$C$350,$B46,'Key inputs_EB_OWN'!$B$31:$B$350,$C46)</f>
        <v>-514293.08233581774</v>
      </c>
      <c r="Q46" s="209">
        <f>SUMIFS('Key inputs_EB_OWN'!Q$7:Q$26,'Key inputs_EB_OWN'!$C$7:$C$26,$C46)*SUMIFS('Key inputs_EB_OWN'!Q$31:Q$350,'Key inputs_EB_OWN'!$C$31:$C$350,$B46,'Key inputs_EB_OWN'!$B$31:$B$350,$C46)</f>
        <v>0</v>
      </c>
      <c r="R46" s="209">
        <f>SUMIFS('Key inputs_EB_OWN'!R$7:R$26,'Key inputs_EB_OWN'!$C$7:$C$26,$C46)*SUMIFS('Key inputs_EB_OWN'!R$31:R$350,'Key inputs_EB_OWN'!$C$31:$C$350,$B46,'Key inputs_EB_OWN'!$B$31:$B$350,$C46)</f>
        <v>0</v>
      </c>
      <c r="S46" s="209">
        <f>SUMIFS('Key inputs_EB_OWN'!S$7:S$26,'Key inputs_EB_OWN'!$C$7:$C$26,$C46)*SUMIFS('Key inputs_EB_OWN'!S$31:S$350,'Key inputs_EB_OWN'!$C$31:$C$350,$B46,'Key inputs_EB_OWN'!$B$31:$B$350,$C46)</f>
        <v>-1053.1754351652648</v>
      </c>
      <c r="T46" s="209">
        <f>SUMIFS('Key inputs_EB_OWN'!T$7:T$26,'Key inputs_EB_OWN'!$C$7:$C$26,$C46)*SUMIFS('Key inputs_EB_OWN'!T$31:T$350,'Key inputs_EB_OWN'!$C$31:$C$350,$B46,'Key inputs_EB_OWN'!$B$31:$B$350,$C46)</f>
        <v>-36136.016495341872</v>
      </c>
      <c r="U46" s="209">
        <f>SUMIFS('Key inputs_EB_OWN'!U$7:U$26,'Key inputs_EB_OWN'!$C$7:$C$26,$C46)*SUMIFS('Key inputs_EB_OWN'!U$31:U$350,'Key inputs_EB_OWN'!$C$31:$C$350,$B46,'Key inputs_EB_OWN'!$B$31:$B$350,$C46)</f>
        <v>-54994.484677133223</v>
      </c>
      <c r="V46" s="209">
        <f>SUMIFS('Key inputs_EB_OWN'!V$7:V$26,'Key inputs_EB_OWN'!$C$7:$C$26,$C46)*SUMIFS('Key inputs_EB_OWN'!V$31:V$350,'Key inputs_EB_OWN'!$C$31:$C$350,$B46,'Key inputs_EB_OWN'!$B$31:$B$350,$C46)</f>
        <v>0</v>
      </c>
      <c r="W46" s="209">
        <f>SUMIFS('Key inputs_EB_OWN'!W$7:W$26,'Key inputs_EB_OWN'!$C$7:$C$26,$C46)*SUMIFS('Key inputs_EB_OWN'!W$31:W$350,'Key inputs_EB_OWN'!$C$31:$C$350,$B46,'Key inputs_EB_OWN'!$B$31:$B$350,$C46)</f>
        <v>0</v>
      </c>
      <c r="X46" s="209">
        <f>SUMIFS('Key inputs_EB_OWN'!X$7:X$26,'Key inputs_EB_OWN'!$C$7:$C$26,$C46)*SUMIFS('Key inputs_EB_OWN'!X$31:X$350,'Key inputs_EB_OWN'!$C$31:$C$350,$B46,'Key inputs_EB_OWN'!$B$31:$B$350,$C46)</f>
        <v>-16998.804355243352</v>
      </c>
      <c r="Y46" s="209">
        <f>SUMIFS('Key inputs_EB_OWN'!Y$7:Y$26,'Key inputs_EB_OWN'!$C$7:$C$26,$C46)*SUMIFS('Key inputs_EB_OWN'!Y$31:Y$350,'Key inputs_EB_OWN'!$C$31:$C$350,$B46,'Key inputs_EB_OWN'!$B$31:$B$350,$C46)</f>
        <v>-35939.758276233835</v>
      </c>
      <c r="Z46" s="209">
        <f>SUMIFS('Key inputs_EB_OWN'!Z$7:Z$26,'Key inputs_EB_OWN'!$C$7:$C$26,$C46)*SUMIFS('Key inputs_EB_OWN'!Z$31:Z$350,'Key inputs_EB_OWN'!$C$31:$C$350,$B46,'Key inputs_EB_OWN'!$B$31:$B$350,$C46)</f>
        <v>0</v>
      </c>
      <c r="AA46" s="209">
        <f>SUMIFS('Key inputs_EB_OWN'!AA$7:AA$26,'Key inputs_EB_OWN'!$C$7:$C$26,$C46)*SUMIFS('Key inputs_EB_OWN'!AA$31:AA$350,'Key inputs_EB_OWN'!$C$31:$C$350,$B46,'Key inputs_EB_OWN'!$B$31:$B$350,$C46)</f>
        <v>-48358.793736435618</v>
      </c>
      <c r="AB46" s="209">
        <f>SUMIFS('Key inputs_EB_OWN'!AB$7:AB$26,'Key inputs_EB_OWN'!$C$7:$C$26,$C46)*SUMIFS('Key inputs_EB_OWN'!AB$31:AB$350,'Key inputs_EB_OWN'!$C$31:$C$350,$B46,'Key inputs_EB_OWN'!$B$31:$B$350,$C46)</f>
        <v>0</v>
      </c>
      <c r="AC46" s="209">
        <f>SUMIFS('Key inputs_EB_OWN'!AC$7:AC$26,'Key inputs_EB_OWN'!$C$7:$C$26,$C46)*SUMIFS('Key inputs_EB_OWN'!AC$31:AC$350,'Key inputs_EB_OWN'!$C$31:$C$350,$B46,'Key inputs_EB_OWN'!$B$31:$B$350,$C46)</f>
        <v>-166</v>
      </c>
      <c r="AD46" s="209">
        <f>SUMIFS('Key inputs_EB_OWN'!AD$7:AD$26,'Key inputs_EB_OWN'!$C$7:$C$26,$C46)*SUMIFS('Key inputs_EB_OWN'!AD$31:AD$350,'Key inputs_EB_OWN'!$C$31:$C$350,$B46,'Key inputs_EB_OWN'!$B$31:$B$350,$C46)</f>
        <v>0</v>
      </c>
      <c r="AE46" s="209">
        <f>SUMIFS('Key inputs_EB_OWN'!AE$7:AE$26,'Key inputs_EB_OWN'!$C$7:$C$26,$C46)*SUMIFS('Key inputs_EB_OWN'!AE$31:AE$350,'Key inputs_EB_OWN'!$C$31:$C$350,$B46,'Key inputs_EB_OWN'!$B$31:$B$350,$C46)</f>
        <v>-41651.362283001137</v>
      </c>
      <c r="AF46" s="220">
        <f>SUMIFS('Key inputs_EB_OWN'!AF$7:AF$26,'Key inputs_EB_OWN'!$C$7:$C$26,$C46)*SUMIFS('Key inputs_EB_OWN'!AF$31:AF$350,'Key inputs_EB_OWN'!$C$31:$C$350,$B46,'Key inputs_EB_OWN'!$B$31:$B$350,$C46)</f>
        <v>-26957</v>
      </c>
    </row>
    <row r="47" spans="1:32" s="59" customFormat="1">
      <c r="A47" s="71" t="s">
        <v>728</v>
      </c>
      <c r="B47" s="95" t="s">
        <v>734</v>
      </c>
      <c r="C47" s="71" t="s">
        <v>554</v>
      </c>
      <c r="D47" s="74" t="s">
        <v>387</v>
      </c>
      <c r="E47" s="209">
        <f>SUMIFS('Key inputs_EB_OWN'!E$7:E$26,'Key inputs_EB_OWN'!$C$7:$C$26,$C47)*SUMIFS('Key inputs_EB_OWN'!E$31:E$350,'Key inputs_EB_OWN'!$C$31:$C$350,$B47,'Key inputs_EB_OWN'!$B$31:$B$350,$C47)</f>
        <v>0</v>
      </c>
      <c r="F47" s="209">
        <f>SUMIFS('Key inputs_EB_OWN'!F$7:F$26,'Key inputs_EB_OWN'!$C$7:$C$26,$C47)*SUMIFS('Key inputs_EB_OWN'!F$31:F$350,'Key inputs_EB_OWN'!$C$31:$C$350,$B47,'Key inputs_EB_OWN'!$B$31:$B$350,$C47)</f>
        <v>0</v>
      </c>
      <c r="G47" s="209">
        <f>SUMIFS('Key inputs_EB_OWN'!G$7:G$26,'Key inputs_EB_OWN'!$C$7:$C$26,$C47)*SUMIFS('Key inputs_EB_OWN'!G$31:G$350,'Key inputs_EB_OWN'!$C$31:$C$350,$B47,'Key inputs_EB_OWN'!$B$31:$B$350,$C47)</f>
        <v>0</v>
      </c>
      <c r="H47" s="209">
        <f>SUMIFS('Key inputs_EB_OWN'!H$7:H$26,'Key inputs_EB_OWN'!$C$7:$C$26,$C47)*SUMIFS('Key inputs_EB_OWN'!H$31:H$350,'Key inputs_EB_OWN'!$C$31:$C$350,$B47,'Key inputs_EB_OWN'!$B$31:$B$350,$C47)</f>
        <v>0</v>
      </c>
      <c r="I47" s="209">
        <f>SUMIFS('Key inputs_EB_OWN'!I$7:I$26,'Key inputs_EB_OWN'!$C$7:$C$26,$C47)*SUMIFS('Key inputs_EB_OWN'!I$31:I$350,'Key inputs_EB_OWN'!$C$31:$C$350,$B47,'Key inputs_EB_OWN'!$B$31:$B$350,$C47)</f>
        <v>0</v>
      </c>
      <c r="J47" s="209">
        <f>SUMIFS('Key inputs_EB_OWN'!J$7:J$26,'Key inputs_EB_OWN'!$C$7:$C$26,$C47)*SUMIFS('Key inputs_EB_OWN'!J$31:J$350,'Key inputs_EB_OWN'!$C$31:$C$350,$B47,'Key inputs_EB_OWN'!$B$31:$B$350,$C47)</f>
        <v>0</v>
      </c>
      <c r="K47" s="209">
        <f>SUMIFS('Key inputs_EB_OWN'!K$7:K$26,'Key inputs_EB_OWN'!$C$7:$C$26,$C47)*SUMIFS('Key inputs_EB_OWN'!K$31:K$350,'Key inputs_EB_OWN'!$C$31:$C$350,$B47,'Key inputs_EB_OWN'!$B$31:$B$350,$C47)</f>
        <v>0</v>
      </c>
      <c r="L47" s="209">
        <f>SUMIFS('Key inputs_EB_OWN'!L$7:L$26,'Key inputs_EB_OWN'!$C$7:$C$26,$C47)*SUMIFS('Key inputs_EB_OWN'!L$31:L$350,'Key inputs_EB_OWN'!$C$31:$C$350,$B47,'Key inputs_EB_OWN'!$B$31:$B$350,$C47)</f>
        <v>0</v>
      </c>
      <c r="M47" s="209">
        <f>SUMIFS('Key inputs_EB_OWN'!M$7:M$26,'Key inputs_EB_OWN'!$C$7:$C$26,$C47)*SUMIFS('Key inputs_EB_OWN'!M$31:M$350,'Key inputs_EB_OWN'!$C$31:$C$350,$B47,'Key inputs_EB_OWN'!$B$31:$B$350,$C47)</f>
        <v>0</v>
      </c>
      <c r="N47" s="209">
        <f>SUMIFS('Key inputs_EB_OWN'!N$7:N$26,'Key inputs_EB_OWN'!$C$7:$C$26,$C47)*SUMIFS('Key inputs_EB_OWN'!N$31:N$350,'Key inputs_EB_OWN'!$C$31:$C$350,$B47,'Key inputs_EB_OWN'!$B$31:$B$350,$C47)</f>
        <v>0</v>
      </c>
      <c r="O47" s="209">
        <f>SUMIFS('Key inputs_EB_OWN'!O$7:O$26,'Key inputs_EB_OWN'!$C$7:$C$26,$C47)*SUMIFS('Key inputs_EB_OWN'!O$31:O$350,'Key inputs_EB_OWN'!$C$31:$C$350,$B47,'Key inputs_EB_OWN'!$B$31:$B$350,$C47)</f>
        <v>0</v>
      </c>
      <c r="P47" s="209">
        <f>SUMIFS('Key inputs_EB_OWN'!P$7:P$26,'Key inputs_EB_OWN'!$C$7:$C$26,$C47)*SUMIFS('Key inputs_EB_OWN'!P$31:P$350,'Key inputs_EB_OWN'!$C$31:$C$350,$B47,'Key inputs_EB_OWN'!$B$31:$B$350,$C47)</f>
        <v>-20580.396698762037</v>
      </c>
      <c r="Q47" s="209">
        <f>SUMIFS('Key inputs_EB_OWN'!Q$7:Q$26,'Key inputs_EB_OWN'!$C$7:$C$26,$C47)*SUMIFS('Key inputs_EB_OWN'!Q$31:Q$350,'Key inputs_EB_OWN'!$C$31:$C$350,$B47,'Key inputs_EB_OWN'!$B$31:$B$350,$C47)</f>
        <v>0</v>
      </c>
      <c r="R47" s="209">
        <f>SUMIFS('Key inputs_EB_OWN'!R$7:R$26,'Key inputs_EB_OWN'!$C$7:$C$26,$C47)*SUMIFS('Key inputs_EB_OWN'!R$31:R$350,'Key inputs_EB_OWN'!$C$31:$C$350,$B47,'Key inputs_EB_OWN'!$B$31:$B$350,$C47)</f>
        <v>0</v>
      </c>
      <c r="S47" s="209">
        <f>SUMIFS('Key inputs_EB_OWN'!S$7:S$26,'Key inputs_EB_OWN'!$C$7:$C$26,$C47)*SUMIFS('Key inputs_EB_OWN'!S$31:S$350,'Key inputs_EB_OWN'!$C$31:$C$350,$B47,'Key inputs_EB_OWN'!$B$31:$B$350,$C47)</f>
        <v>0</v>
      </c>
      <c r="T47" s="209">
        <f>SUMIFS('Key inputs_EB_OWN'!T$7:T$26,'Key inputs_EB_OWN'!$C$7:$C$26,$C47)*SUMIFS('Key inputs_EB_OWN'!T$31:T$350,'Key inputs_EB_OWN'!$C$31:$C$350,$B47,'Key inputs_EB_OWN'!$B$31:$B$350,$C47)</f>
        <v>0</v>
      </c>
      <c r="U47" s="209">
        <f>SUMIFS('Key inputs_EB_OWN'!U$7:U$26,'Key inputs_EB_OWN'!$C$7:$C$26,$C47)*SUMIFS('Key inputs_EB_OWN'!U$31:U$350,'Key inputs_EB_OWN'!$C$31:$C$350,$B47,'Key inputs_EB_OWN'!$B$31:$B$350,$C47)</f>
        <v>0</v>
      </c>
      <c r="V47" s="209">
        <f>SUMIFS('Key inputs_EB_OWN'!V$7:V$26,'Key inputs_EB_OWN'!$C$7:$C$26,$C47)*SUMIFS('Key inputs_EB_OWN'!V$31:V$350,'Key inputs_EB_OWN'!$C$31:$C$350,$B47,'Key inputs_EB_OWN'!$B$31:$B$350,$C47)</f>
        <v>0</v>
      </c>
      <c r="W47" s="209">
        <f>SUMIFS('Key inputs_EB_OWN'!W$7:W$26,'Key inputs_EB_OWN'!$C$7:$C$26,$C47)*SUMIFS('Key inputs_EB_OWN'!W$31:W$350,'Key inputs_EB_OWN'!$C$31:$C$350,$B47,'Key inputs_EB_OWN'!$B$31:$B$350,$C47)</f>
        <v>0</v>
      </c>
      <c r="X47" s="209">
        <f>SUMIFS('Key inputs_EB_OWN'!X$7:X$26,'Key inputs_EB_OWN'!$C$7:$C$26,$C47)*SUMIFS('Key inputs_EB_OWN'!X$31:X$350,'Key inputs_EB_OWN'!$C$31:$C$350,$B47,'Key inputs_EB_OWN'!$B$31:$B$350,$C47)</f>
        <v>-1206</v>
      </c>
      <c r="Y47" s="209">
        <f>SUMIFS('Key inputs_EB_OWN'!Y$7:Y$26,'Key inputs_EB_OWN'!$C$7:$C$26,$C47)*SUMIFS('Key inputs_EB_OWN'!Y$31:Y$350,'Key inputs_EB_OWN'!$C$31:$C$350,$B47,'Key inputs_EB_OWN'!$B$31:$B$350,$C47)</f>
        <v>-5</v>
      </c>
      <c r="Z47" s="209">
        <f>SUMIFS('Key inputs_EB_OWN'!Z$7:Z$26,'Key inputs_EB_OWN'!$C$7:$C$26,$C47)*SUMIFS('Key inputs_EB_OWN'!Z$31:Z$350,'Key inputs_EB_OWN'!$C$31:$C$350,$B47,'Key inputs_EB_OWN'!$B$31:$B$350,$C47)</f>
        <v>0</v>
      </c>
      <c r="AA47" s="209">
        <f>SUMIFS('Key inputs_EB_OWN'!AA$7:AA$26,'Key inputs_EB_OWN'!$C$7:$C$26,$C47)*SUMIFS('Key inputs_EB_OWN'!AA$31:AA$350,'Key inputs_EB_OWN'!$C$31:$C$350,$B47,'Key inputs_EB_OWN'!$B$31:$B$350,$C47)</f>
        <v>-4276</v>
      </c>
      <c r="AB47" s="209">
        <f>SUMIFS('Key inputs_EB_OWN'!AB$7:AB$26,'Key inputs_EB_OWN'!$C$7:$C$26,$C47)*SUMIFS('Key inputs_EB_OWN'!AB$31:AB$350,'Key inputs_EB_OWN'!$C$31:$C$350,$B47,'Key inputs_EB_OWN'!$B$31:$B$350,$C47)</f>
        <v>0</v>
      </c>
      <c r="AC47" s="209">
        <f>SUMIFS('Key inputs_EB_OWN'!AC$7:AC$26,'Key inputs_EB_OWN'!$C$7:$C$26,$C47)*SUMIFS('Key inputs_EB_OWN'!AC$31:AC$350,'Key inputs_EB_OWN'!$C$31:$C$350,$B47,'Key inputs_EB_OWN'!$B$31:$B$350,$C47)</f>
        <v>0</v>
      </c>
      <c r="AD47" s="209">
        <f>SUMIFS('Key inputs_EB_OWN'!AD$7:AD$26,'Key inputs_EB_OWN'!$C$7:$C$26,$C47)*SUMIFS('Key inputs_EB_OWN'!AD$31:AD$350,'Key inputs_EB_OWN'!$C$31:$C$350,$B47,'Key inputs_EB_OWN'!$B$31:$B$350,$C47)</f>
        <v>0</v>
      </c>
      <c r="AE47" s="209">
        <f>SUMIFS('Key inputs_EB_OWN'!AE$7:AE$26,'Key inputs_EB_OWN'!$C$7:$C$26,$C47)*SUMIFS('Key inputs_EB_OWN'!AE$31:AE$350,'Key inputs_EB_OWN'!$C$31:$C$350,$B47,'Key inputs_EB_OWN'!$B$31:$B$350,$C47)</f>
        <v>0</v>
      </c>
      <c r="AF47" s="220">
        <f>SUMIFS('Key inputs_EB_OWN'!AF$7:AF$26,'Key inputs_EB_OWN'!$C$7:$C$26,$C47)*SUMIFS('Key inputs_EB_OWN'!AF$31:AF$350,'Key inputs_EB_OWN'!$C$31:$C$350,$B47,'Key inputs_EB_OWN'!$B$31:$B$350,$C47)</f>
        <v>-21</v>
      </c>
    </row>
    <row r="48" spans="1:32" s="59" customFormat="1">
      <c r="A48" s="71" t="s">
        <v>728</v>
      </c>
      <c r="B48" s="95" t="s">
        <v>734</v>
      </c>
      <c r="C48" s="71" t="s">
        <v>556</v>
      </c>
      <c r="D48" s="74" t="s">
        <v>387</v>
      </c>
      <c r="E48" s="209">
        <f>SUMIFS('Key inputs_EB_OWN'!E$7:E$26,'Key inputs_EB_OWN'!$C$7:$C$26,$C48)*SUMIFS('Key inputs_EB_OWN'!E$31:E$350,'Key inputs_EB_OWN'!$C$31:$C$350,$B48,'Key inputs_EB_OWN'!$B$31:$B$350,$C48)</f>
        <v>0</v>
      </c>
      <c r="F48" s="209">
        <f>SUMIFS('Key inputs_EB_OWN'!F$7:F$26,'Key inputs_EB_OWN'!$C$7:$C$26,$C48)*SUMIFS('Key inputs_EB_OWN'!F$31:F$350,'Key inputs_EB_OWN'!$C$31:$C$350,$B48,'Key inputs_EB_OWN'!$B$31:$B$350,$C48)</f>
        <v>-15596.497206240065</v>
      </c>
      <c r="G48" s="209">
        <f>SUMIFS('Key inputs_EB_OWN'!G$7:G$26,'Key inputs_EB_OWN'!$C$7:$C$26,$C48)*SUMIFS('Key inputs_EB_OWN'!G$31:G$350,'Key inputs_EB_OWN'!$C$31:$C$350,$B48,'Key inputs_EB_OWN'!$B$31:$B$350,$C48)</f>
        <v>-965.32744865048392</v>
      </c>
      <c r="H48" s="209">
        <f>SUMIFS('Key inputs_EB_OWN'!H$7:H$26,'Key inputs_EB_OWN'!$C$7:$C$26,$C48)*SUMIFS('Key inputs_EB_OWN'!H$31:H$350,'Key inputs_EB_OWN'!$C$31:$C$350,$B48,'Key inputs_EB_OWN'!$B$31:$B$350,$C48)</f>
        <v>0</v>
      </c>
      <c r="I48" s="209">
        <f>SUMIFS('Key inputs_EB_OWN'!I$7:I$26,'Key inputs_EB_OWN'!$C$7:$C$26,$C48)*SUMIFS('Key inputs_EB_OWN'!I$31:I$350,'Key inputs_EB_OWN'!$C$31:$C$350,$B48,'Key inputs_EB_OWN'!$B$31:$B$350,$C48)</f>
        <v>0</v>
      </c>
      <c r="J48" s="209">
        <f>SUMIFS('Key inputs_EB_OWN'!J$7:J$26,'Key inputs_EB_OWN'!$C$7:$C$26,$C48)*SUMIFS('Key inputs_EB_OWN'!J$31:J$350,'Key inputs_EB_OWN'!$C$31:$C$350,$B48,'Key inputs_EB_OWN'!$B$31:$B$350,$C48)</f>
        <v>-136.62853271744936</v>
      </c>
      <c r="K48" s="209">
        <f>SUMIFS('Key inputs_EB_OWN'!K$7:K$26,'Key inputs_EB_OWN'!$C$7:$C$26,$C48)*SUMIFS('Key inputs_EB_OWN'!K$31:K$350,'Key inputs_EB_OWN'!$C$31:$C$350,$B48,'Key inputs_EB_OWN'!$B$31:$B$350,$C48)</f>
        <v>-7035</v>
      </c>
      <c r="L48" s="209">
        <f>SUMIFS('Key inputs_EB_OWN'!L$7:L$26,'Key inputs_EB_OWN'!$C$7:$C$26,$C48)*SUMIFS('Key inputs_EB_OWN'!L$31:L$350,'Key inputs_EB_OWN'!$C$31:$C$350,$B48,'Key inputs_EB_OWN'!$B$31:$B$350,$C48)</f>
        <v>0</v>
      </c>
      <c r="M48" s="209">
        <f>SUMIFS('Key inputs_EB_OWN'!M$7:M$26,'Key inputs_EB_OWN'!$C$7:$C$26,$C48)*SUMIFS('Key inputs_EB_OWN'!M$31:M$350,'Key inputs_EB_OWN'!$C$31:$C$350,$B48,'Key inputs_EB_OWN'!$B$31:$B$350,$C48)</f>
        <v>0</v>
      </c>
      <c r="N48" s="209">
        <f>SUMIFS('Key inputs_EB_OWN'!N$7:N$26,'Key inputs_EB_OWN'!$C$7:$C$26,$C48)*SUMIFS('Key inputs_EB_OWN'!N$31:N$350,'Key inputs_EB_OWN'!$C$31:$C$350,$B48,'Key inputs_EB_OWN'!$B$31:$B$350,$C48)</f>
        <v>0</v>
      </c>
      <c r="O48" s="209">
        <f>SUMIFS('Key inputs_EB_OWN'!O$7:O$26,'Key inputs_EB_OWN'!$C$7:$C$26,$C48)*SUMIFS('Key inputs_EB_OWN'!O$31:O$350,'Key inputs_EB_OWN'!$C$31:$C$350,$B48,'Key inputs_EB_OWN'!$B$31:$B$350,$C48)</f>
        <v>0</v>
      </c>
      <c r="P48" s="209">
        <f>SUMIFS('Key inputs_EB_OWN'!P$7:P$26,'Key inputs_EB_OWN'!$C$7:$C$26,$C48)*SUMIFS('Key inputs_EB_OWN'!P$31:P$350,'Key inputs_EB_OWN'!$C$31:$C$350,$B48,'Key inputs_EB_OWN'!$B$31:$B$350,$C48)</f>
        <v>0</v>
      </c>
      <c r="Q48" s="209">
        <f>SUMIFS('Key inputs_EB_OWN'!Q$7:Q$26,'Key inputs_EB_OWN'!$C$7:$C$26,$C48)*SUMIFS('Key inputs_EB_OWN'!Q$31:Q$350,'Key inputs_EB_OWN'!$C$31:$C$350,$B48,'Key inputs_EB_OWN'!$B$31:$B$350,$C48)</f>
        <v>0</v>
      </c>
      <c r="R48" s="209">
        <f>SUMIFS('Key inputs_EB_OWN'!R$7:R$26,'Key inputs_EB_OWN'!$C$7:$C$26,$C48)*SUMIFS('Key inputs_EB_OWN'!R$31:R$350,'Key inputs_EB_OWN'!$C$31:$C$350,$B48,'Key inputs_EB_OWN'!$B$31:$B$350,$C48)</f>
        <v>0</v>
      </c>
      <c r="S48" s="209">
        <f>SUMIFS('Key inputs_EB_OWN'!S$7:S$26,'Key inputs_EB_OWN'!$C$7:$C$26,$C48)*SUMIFS('Key inputs_EB_OWN'!S$31:S$350,'Key inputs_EB_OWN'!$C$31:$C$350,$B48,'Key inputs_EB_OWN'!$B$31:$B$350,$C48)</f>
        <v>0</v>
      </c>
      <c r="T48" s="209">
        <f>SUMIFS('Key inputs_EB_OWN'!T$7:T$26,'Key inputs_EB_OWN'!$C$7:$C$26,$C48)*SUMIFS('Key inputs_EB_OWN'!T$31:T$350,'Key inputs_EB_OWN'!$C$31:$C$350,$B48,'Key inputs_EB_OWN'!$B$31:$B$350,$C48)</f>
        <v>0</v>
      </c>
      <c r="U48" s="209">
        <f>SUMIFS('Key inputs_EB_OWN'!U$7:U$26,'Key inputs_EB_OWN'!$C$7:$C$26,$C48)*SUMIFS('Key inputs_EB_OWN'!U$31:U$350,'Key inputs_EB_OWN'!$C$31:$C$350,$B48,'Key inputs_EB_OWN'!$B$31:$B$350,$C48)</f>
        <v>0</v>
      </c>
      <c r="V48" s="209">
        <f>SUMIFS('Key inputs_EB_OWN'!V$7:V$26,'Key inputs_EB_OWN'!$C$7:$C$26,$C48)*SUMIFS('Key inputs_EB_OWN'!V$31:V$350,'Key inputs_EB_OWN'!$C$31:$C$350,$B48,'Key inputs_EB_OWN'!$B$31:$B$350,$C48)</f>
        <v>-63812.615755150764</v>
      </c>
      <c r="W48" s="209">
        <f>SUMIFS('Key inputs_EB_OWN'!W$7:W$26,'Key inputs_EB_OWN'!$C$7:$C$26,$C48)*SUMIFS('Key inputs_EB_OWN'!W$31:W$350,'Key inputs_EB_OWN'!$C$31:$C$350,$B48,'Key inputs_EB_OWN'!$B$31:$B$350,$C48)</f>
        <v>0</v>
      </c>
      <c r="X48" s="209">
        <f>SUMIFS('Key inputs_EB_OWN'!X$7:X$26,'Key inputs_EB_OWN'!$C$7:$C$26,$C48)*SUMIFS('Key inputs_EB_OWN'!X$31:X$350,'Key inputs_EB_OWN'!$C$31:$C$350,$B48,'Key inputs_EB_OWN'!$B$31:$B$350,$C48)</f>
        <v>0</v>
      </c>
      <c r="Y48" s="209">
        <f>SUMIFS('Key inputs_EB_OWN'!Y$7:Y$26,'Key inputs_EB_OWN'!$C$7:$C$26,$C48)*SUMIFS('Key inputs_EB_OWN'!Y$31:Y$350,'Key inputs_EB_OWN'!$C$31:$C$350,$B48,'Key inputs_EB_OWN'!$B$31:$B$350,$C48)</f>
        <v>-8608.6295337217434</v>
      </c>
      <c r="Z48" s="209">
        <f>SUMIFS('Key inputs_EB_OWN'!Z$7:Z$26,'Key inputs_EB_OWN'!$C$7:$C$26,$C48)*SUMIFS('Key inputs_EB_OWN'!Z$31:Z$350,'Key inputs_EB_OWN'!$C$31:$C$350,$B48,'Key inputs_EB_OWN'!$B$31:$B$350,$C48)</f>
        <v>0</v>
      </c>
      <c r="AA48" s="209">
        <f>SUMIFS('Key inputs_EB_OWN'!AA$7:AA$26,'Key inputs_EB_OWN'!$C$7:$C$26,$C48)*SUMIFS('Key inputs_EB_OWN'!AA$31:AA$350,'Key inputs_EB_OWN'!$C$31:$C$350,$B48,'Key inputs_EB_OWN'!$B$31:$B$350,$C48)</f>
        <v>0</v>
      </c>
      <c r="AB48" s="209">
        <f>SUMIFS('Key inputs_EB_OWN'!AB$7:AB$26,'Key inputs_EB_OWN'!$C$7:$C$26,$C48)*SUMIFS('Key inputs_EB_OWN'!AB$31:AB$350,'Key inputs_EB_OWN'!$C$31:$C$350,$B48,'Key inputs_EB_OWN'!$B$31:$B$350,$C48)</f>
        <v>0</v>
      </c>
      <c r="AC48" s="209">
        <f>SUMIFS('Key inputs_EB_OWN'!AC$7:AC$26,'Key inputs_EB_OWN'!$C$7:$C$26,$C48)*SUMIFS('Key inputs_EB_OWN'!AC$31:AC$350,'Key inputs_EB_OWN'!$C$31:$C$350,$B48,'Key inputs_EB_OWN'!$B$31:$B$350,$C48)</f>
        <v>0</v>
      </c>
      <c r="AD48" s="209">
        <f>SUMIFS('Key inputs_EB_OWN'!AD$7:AD$26,'Key inputs_EB_OWN'!$C$7:$C$26,$C48)*SUMIFS('Key inputs_EB_OWN'!AD$31:AD$350,'Key inputs_EB_OWN'!$C$31:$C$350,$B48,'Key inputs_EB_OWN'!$B$31:$B$350,$C48)</f>
        <v>0</v>
      </c>
      <c r="AE48" s="209">
        <f>SUMIFS('Key inputs_EB_OWN'!AE$7:AE$26,'Key inputs_EB_OWN'!$C$7:$C$26,$C48)*SUMIFS('Key inputs_EB_OWN'!AE$31:AE$350,'Key inputs_EB_OWN'!$C$31:$C$350,$B48,'Key inputs_EB_OWN'!$B$31:$B$350,$C48)</f>
        <v>0</v>
      </c>
      <c r="AF48" s="220">
        <f>SUMIFS('Key inputs_EB_OWN'!AF$7:AF$26,'Key inputs_EB_OWN'!$C$7:$C$26,$C48)*SUMIFS('Key inputs_EB_OWN'!AF$31:AF$350,'Key inputs_EB_OWN'!$C$31:$C$350,$B48,'Key inputs_EB_OWN'!$B$31:$B$350,$C48)</f>
        <v>0</v>
      </c>
    </row>
    <row r="49" spans="1:32" s="59" customFormat="1">
      <c r="A49" s="71" t="s">
        <v>728</v>
      </c>
      <c r="B49" s="95" t="s">
        <v>734</v>
      </c>
      <c r="C49" s="71" t="s">
        <v>558</v>
      </c>
      <c r="D49" s="74" t="s">
        <v>387</v>
      </c>
      <c r="E49" s="209">
        <f>SUMIFS('Key inputs_EB_OWN'!E$7:E$26,'Key inputs_EB_OWN'!$C$7:$C$26,$C49)*SUMIFS('Key inputs_EB_OWN'!E$31:E$350,'Key inputs_EB_OWN'!$C$31:$C$350,$B49,'Key inputs_EB_OWN'!$B$31:$B$350,$C49)</f>
        <v>-990</v>
      </c>
      <c r="F49" s="209">
        <f>SUMIFS('Key inputs_EB_OWN'!F$7:F$26,'Key inputs_EB_OWN'!$C$7:$C$26,$C49)*SUMIFS('Key inputs_EB_OWN'!F$31:F$350,'Key inputs_EB_OWN'!$C$31:$C$350,$B49,'Key inputs_EB_OWN'!$B$31:$B$350,$C49)</f>
        <v>0</v>
      </c>
      <c r="G49" s="209">
        <f>SUMIFS('Key inputs_EB_OWN'!G$7:G$26,'Key inputs_EB_OWN'!$C$7:$C$26,$C49)*SUMIFS('Key inputs_EB_OWN'!G$31:G$350,'Key inputs_EB_OWN'!$C$31:$C$350,$B49,'Key inputs_EB_OWN'!$B$31:$B$350,$C49)</f>
        <v>0</v>
      </c>
      <c r="H49" s="209">
        <f>SUMIFS('Key inputs_EB_OWN'!H$7:H$26,'Key inputs_EB_OWN'!$C$7:$C$26,$C49)*SUMIFS('Key inputs_EB_OWN'!H$31:H$350,'Key inputs_EB_OWN'!$C$31:$C$350,$B49,'Key inputs_EB_OWN'!$B$31:$B$350,$C49)</f>
        <v>0</v>
      </c>
      <c r="I49" s="209">
        <f>SUMIFS('Key inputs_EB_OWN'!I$7:I$26,'Key inputs_EB_OWN'!$C$7:$C$26,$C49)*SUMIFS('Key inputs_EB_OWN'!I$31:I$350,'Key inputs_EB_OWN'!$C$31:$C$350,$B49,'Key inputs_EB_OWN'!$B$31:$B$350,$C49)</f>
        <v>-33577.877597488063</v>
      </c>
      <c r="J49" s="209">
        <f>SUMIFS('Key inputs_EB_OWN'!J$7:J$26,'Key inputs_EB_OWN'!$C$7:$C$26,$C49)*SUMIFS('Key inputs_EB_OWN'!J$31:J$350,'Key inputs_EB_OWN'!$C$31:$C$350,$B49,'Key inputs_EB_OWN'!$B$31:$B$350,$C49)</f>
        <v>-17799.185936923906</v>
      </c>
      <c r="K49" s="209">
        <f>SUMIFS('Key inputs_EB_OWN'!K$7:K$26,'Key inputs_EB_OWN'!$C$7:$C$26,$C49)*SUMIFS('Key inputs_EB_OWN'!K$31:K$350,'Key inputs_EB_OWN'!$C$31:$C$350,$B49,'Key inputs_EB_OWN'!$B$31:$B$350,$C49)</f>
        <v>-590</v>
      </c>
      <c r="L49" s="209">
        <f>SUMIFS('Key inputs_EB_OWN'!L$7:L$26,'Key inputs_EB_OWN'!$C$7:$C$26,$C49)*SUMIFS('Key inputs_EB_OWN'!L$31:L$350,'Key inputs_EB_OWN'!$C$31:$C$350,$B49,'Key inputs_EB_OWN'!$B$31:$B$350,$C49)</f>
        <v>0</v>
      </c>
      <c r="M49" s="209">
        <f>SUMIFS('Key inputs_EB_OWN'!M$7:M$26,'Key inputs_EB_OWN'!$C$7:$C$26,$C49)*SUMIFS('Key inputs_EB_OWN'!M$31:M$350,'Key inputs_EB_OWN'!$C$31:$C$350,$B49,'Key inputs_EB_OWN'!$B$31:$B$350,$C49)</f>
        <v>0</v>
      </c>
      <c r="N49" s="209">
        <f>SUMIFS('Key inputs_EB_OWN'!N$7:N$26,'Key inputs_EB_OWN'!$C$7:$C$26,$C49)*SUMIFS('Key inputs_EB_OWN'!N$31:N$350,'Key inputs_EB_OWN'!$C$31:$C$350,$B49,'Key inputs_EB_OWN'!$B$31:$B$350,$C49)</f>
        <v>-83574.087643941923</v>
      </c>
      <c r="O49" s="209">
        <f>SUMIFS('Key inputs_EB_OWN'!O$7:O$26,'Key inputs_EB_OWN'!$C$7:$C$26,$C49)*SUMIFS('Key inputs_EB_OWN'!O$31:O$350,'Key inputs_EB_OWN'!$C$31:$C$350,$B49,'Key inputs_EB_OWN'!$B$31:$B$350,$C49)</f>
        <v>0</v>
      </c>
      <c r="P49" s="209">
        <f>SUMIFS('Key inputs_EB_OWN'!P$7:P$26,'Key inputs_EB_OWN'!$C$7:$C$26,$C49)*SUMIFS('Key inputs_EB_OWN'!P$31:P$350,'Key inputs_EB_OWN'!$C$31:$C$350,$B49,'Key inputs_EB_OWN'!$B$31:$B$350,$C49)</f>
        <v>-1954948.3171695694</v>
      </c>
      <c r="Q49" s="209">
        <f>SUMIFS('Key inputs_EB_OWN'!Q$7:Q$26,'Key inputs_EB_OWN'!$C$7:$C$26,$C49)*SUMIFS('Key inputs_EB_OWN'!Q$31:Q$350,'Key inputs_EB_OWN'!$C$31:$C$350,$B49,'Key inputs_EB_OWN'!$B$31:$B$350,$C49)</f>
        <v>-1953.0116903714425</v>
      </c>
      <c r="R49" s="209">
        <f>SUMIFS('Key inputs_EB_OWN'!R$7:R$26,'Key inputs_EB_OWN'!$C$7:$C$26,$C49)*SUMIFS('Key inputs_EB_OWN'!R$31:R$350,'Key inputs_EB_OWN'!$C$31:$C$350,$B49,'Key inputs_EB_OWN'!$B$31:$B$350,$C49)</f>
        <v>-65886</v>
      </c>
      <c r="S49" s="209">
        <f>SUMIFS('Key inputs_EB_OWN'!S$7:S$26,'Key inputs_EB_OWN'!$C$7:$C$26,$C49)*SUMIFS('Key inputs_EB_OWN'!S$31:S$350,'Key inputs_EB_OWN'!$C$31:$C$350,$B49,'Key inputs_EB_OWN'!$B$31:$B$350,$C49)</f>
        <v>-71614.819325589589</v>
      </c>
      <c r="T49" s="209">
        <f>SUMIFS('Key inputs_EB_OWN'!T$7:T$26,'Key inputs_EB_OWN'!$C$7:$C$26,$C49)*SUMIFS('Key inputs_EB_OWN'!T$31:T$350,'Key inputs_EB_OWN'!$C$31:$C$350,$B49,'Key inputs_EB_OWN'!$B$31:$B$350,$C49)</f>
        <v>-303819.08353391918</v>
      </c>
      <c r="U49" s="209">
        <f>SUMIFS('Key inputs_EB_OWN'!U$7:U$26,'Key inputs_EB_OWN'!$C$7:$C$26,$C49)*SUMIFS('Key inputs_EB_OWN'!U$31:U$350,'Key inputs_EB_OWN'!$C$31:$C$350,$B49,'Key inputs_EB_OWN'!$B$31:$B$350,$C49)</f>
        <v>-202845.80292639552</v>
      </c>
      <c r="V49" s="209">
        <f>SUMIFS('Key inputs_EB_OWN'!V$7:V$26,'Key inputs_EB_OWN'!$C$7:$C$26,$C49)*SUMIFS('Key inputs_EB_OWN'!V$31:V$350,'Key inputs_EB_OWN'!$C$31:$C$350,$B49,'Key inputs_EB_OWN'!$B$31:$B$350,$C49)</f>
        <v>0</v>
      </c>
      <c r="W49" s="209">
        <f>SUMIFS('Key inputs_EB_OWN'!W$7:W$26,'Key inputs_EB_OWN'!$C$7:$C$26,$C49)*SUMIFS('Key inputs_EB_OWN'!W$31:W$350,'Key inputs_EB_OWN'!$C$31:$C$350,$B49,'Key inputs_EB_OWN'!$B$31:$B$350,$C49)</f>
        <v>-765765</v>
      </c>
      <c r="X49" s="209">
        <f>SUMIFS('Key inputs_EB_OWN'!X$7:X$26,'Key inputs_EB_OWN'!$C$7:$C$26,$C49)*SUMIFS('Key inputs_EB_OWN'!X$31:X$350,'Key inputs_EB_OWN'!$C$31:$C$350,$B49,'Key inputs_EB_OWN'!$B$31:$B$350,$C49)</f>
        <v>-124781</v>
      </c>
      <c r="Y49" s="209">
        <f>SUMIFS('Key inputs_EB_OWN'!Y$7:Y$26,'Key inputs_EB_OWN'!$C$7:$C$26,$C49)*SUMIFS('Key inputs_EB_OWN'!Y$31:Y$350,'Key inputs_EB_OWN'!$C$31:$C$350,$B49,'Key inputs_EB_OWN'!$B$31:$B$350,$C49)</f>
        <v>-2807</v>
      </c>
      <c r="Z49" s="209">
        <f>SUMIFS('Key inputs_EB_OWN'!Z$7:Z$26,'Key inputs_EB_OWN'!$C$7:$C$26,$C49)*SUMIFS('Key inputs_EB_OWN'!Z$31:Z$350,'Key inputs_EB_OWN'!$C$31:$C$350,$B49,'Key inputs_EB_OWN'!$B$31:$B$350,$C49)</f>
        <v>-465</v>
      </c>
      <c r="AA49" s="209">
        <f>SUMIFS('Key inputs_EB_OWN'!AA$7:AA$26,'Key inputs_EB_OWN'!$C$7:$C$26,$C49)*SUMIFS('Key inputs_EB_OWN'!AA$31:AA$350,'Key inputs_EB_OWN'!$C$31:$C$350,$B49,'Key inputs_EB_OWN'!$B$31:$B$350,$C49)</f>
        <v>-17271.660092459941</v>
      </c>
      <c r="AB49" s="209">
        <f>SUMIFS('Key inputs_EB_OWN'!AB$7:AB$26,'Key inputs_EB_OWN'!$C$7:$C$26,$C49)*SUMIFS('Key inputs_EB_OWN'!AB$31:AB$350,'Key inputs_EB_OWN'!$C$31:$C$350,$B49,'Key inputs_EB_OWN'!$B$31:$B$350,$C49)</f>
        <v>-14373</v>
      </c>
      <c r="AC49" s="209">
        <f>SUMIFS('Key inputs_EB_OWN'!AC$7:AC$26,'Key inputs_EB_OWN'!$C$7:$C$26,$C49)*SUMIFS('Key inputs_EB_OWN'!AC$31:AC$350,'Key inputs_EB_OWN'!$C$31:$C$350,$B49,'Key inputs_EB_OWN'!$B$31:$B$350,$C49)</f>
        <v>-25</v>
      </c>
      <c r="AD49" s="209">
        <f>SUMIFS('Key inputs_EB_OWN'!AD$7:AD$26,'Key inputs_EB_OWN'!$C$7:$C$26,$C49)*SUMIFS('Key inputs_EB_OWN'!AD$31:AD$350,'Key inputs_EB_OWN'!$C$31:$C$350,$B49,'Key inputs_EB_OWN'!$B$31:$B$350,$C49)</f>
        <v>0</v>
      </c>
      <c r="AE49" s="209">
        <f>SUMIFS('Key inputs_EB_OWN'!AE$7:AE$26,'Key inputs_EB_OWN'!$C$7:$C$26,$C49)*SUMIFS('Key inputs_EB_OWN'!AE$31:AE$350,'Key inputs_EB_OWN'!$C$31:$C$350,$B49,'Key inputs_EB_OWN'!$B$31:$B$350,$C49)</f>
        <v>-55972.256504396457</v>
      </c>
      <c r="AF49" s="220">
        <f>SUMIFS('Key inputs_EB_OWN'!AF$7:AF$26,'Key inputs_EB_OWN'!$C$7:$C$26,$C49)*SUMIFS('Key inputs_EB_OWN'!AF$31:AF$350,'Key inputs_EB_OWN'!$C$31:$C$350,$B49,'Key inputs_EB_OWN'!$B$31:$B$350,$C49)</f>
        <v>-675494</v>
      </c>
    </row>
    <row r="50" spans="1:32" s="59" customFormat="1">
      <c r="A50" s="76" t="s">
        <v>728</v>
      </c>
      <c r="B50" s="76" t="s">
        <v>734</v>
      </c>
      <c r="C50" s="76" t="s">
        <v>560</v>
      </c>
      <c r="D50" s="77" t="s">
        <v>387</v>
      </c>
      <c r="E50" s="226">
        <f>SUMIFS('Key inputs_EB_OWN'!E$7:E$26,'Key inputs_EB_OWN'!$C$7:$C$26,$C50)*SUMIFS('Key inputs_EB_OWN'!E$31:E$350,'Key inputs_EB_OWN'!$C$31:$C$350,$B50,'Key inputs_EB_OWN'!$B$31:$B$350,$C50)</f>
        <v>0</v>
      </c>
      <c r="F50" s="226">
        <f>SUMIFS('Key inputs_EB_OWN'!F$7:F$26,'Key inputs_EB_OWN'!$C$7:$C$26,$C50)*SUMIFS('Key inputs_EB_OWN'!F$31:F$350,'Key inputs_EB_OWN'!$C$31:$C$350,$B50,'Key inputs_EB_OWN'!$B$31:$B$350,$C50)</f>
        <v>0</v>
      </c>
      <c r="G50" s="226">
        <f>SUMIFS('Key inputs_EB_OWN'!G$7:G$26,'Key inputs_EB_OWN'!$C$7:$C$26,$C50)*SUMIFS('Key inputs_EB_OWN'!G$31:G$350,'Key inputs_EB_OWN'!$C$31:$C$350,$B50,'Key inputs_EB_OWN'!$B$31:$B$350,$C50)</f>
        <v>0</v>
      </c>
      <c r="H50" s="226">
        <f>SUMIFS('Key inputs_EB_OWN'!H$7:H$26,'Key inputs_EB_OWN'!$C$7:$C$26,$C50)*SUMIFS('Key inputs_EB_OWN'!H$31:H$350,'Key inputs_EB_OWN'!$C$31:$C$350,$B50,'Key inputs_EB_OWN'!$B$31:$B$350,$C50)</f>
        <v>0</v>
      </c>
      <c r="I50" s="226">
        <f>SUMIFS('Key inputs_EB_OWN'!I$7:I$26,'Key inputs_EB_OWN'!$C$7:$C$26,$C50)*SUMIFS('Key inputs_EB_OWN'!I$31:I$350,'Key inputs_EB_OWN'!$C$31:$C$350,$B50,'Key inputs_EB_OWN'!$B$31:$B$350,$C50)</f>
        <v>0</v>
      </c>
      <c r="J50" s="226">
        <f>SUMIFS('Key inputs_EB_OWN'!J$7:J$26,'Key inputs_EB_OWN'!$C$7:$C$26,$C50)*SUMIFS('Key inputs_EB_OWN'!J$31:J$350,'Key inputs_EB_OWN'!$C$31:$C$350,$B50,'Key inputs_EB_OWN'!$B$31:$B$350,$C50)</f>
        <v>0</v>
      </c>
      <c r="K50" s="226">
        <f>SUMIFS('Key inputs_EB_OWN'!K$7:K$26,'Key inputs_EB_OWN'!$C$7:$C$26,$C50)*SUMIFS('Key inputs_EB_OWN'!K$31:K$350,'Key inputs_EB_OWN'!$C$31:$C$350,$B50,'Key inputs_EB_OWN'!$B$31:$B$350,$C50)</f>
        <v>0</v>
      </c>
      <c r="L50" s="226">
        <f>SUMIFS('Key inputs_EB_OWN'!L$7:L$26,'Key inputs_EB_OWN'!$C$7:$C$26,$C50)*SUMIFS('Key inputs_EB_OWN'!L$31:L$350,'Key inputs_EB_OWN'!$C$31:$C$350,$B50,'Key inputs_EB_OWN'!$B$31:$B$350,$C50)</f>
        <v>0</v>
      </c>
      <c r="M50" s="226">
        <f>SUMIFS('Key inputs_EB_OWN'!M$7:M$26,'Key inputs_EB_OWN'!$C$7:$C$26,$C50)*SUMIFS('Key inputs_EB_OWN'!M$31:M$350,'Key inputs_EB_OWN'!$C$31:$C$350,$B50,'Key inputs_EB_OWN'!$B$31:$B$350,$C50)</f>
        <v>0</v>
      </c>
      <c r="N50" s="226">
        <f>SUMIFS('Key inputs_EB_OWN'!N$7:N$26,'Key inputs_EB_OWN'!$C$7:$C$26,$C50)*SUMIFS('Key inputs_EB_OWN'!N$31:N$350,'Key inputs_EB_OWN'!$C$31:$C$350,$B50,'Key inputs_EB_OWN'!$B$31:$B$350,$C50)</f>
        <v>0</v>
      </c>
      <c r="O50" s="226">
        <f>SUMIFS('Key inputs_EB_OWN'!O$7:O$26,'Key inputs_EB_OWN'!$C$7:$C$26,$C50)*SUMIFS('Key inputs_EB_OWN'!O$31:O$350,'Key inputs_EB_OWN'!$C$31:$C$350,$B50,'Key inputs_EB_OWN'!$B$31:$B$350,$C50)</f>
        <v>0</v>
      </c>
      <c r="P50" s="226">
        <f>SUMIFS('Key inputs_EB_OWN'!P$7:P$26,'Key inputs_EB_OWN'!$C$7:$C$26,$C50)*SUMIFS('Key inputs_EB_OWN'!P$31:P$350,'Key inputs_EB_OWN'!$C$31:$C$350,$B50,'Key inputs_EB_OWN'!$B$31:$B$350,$C50)</f>
        <v>0</v>
      </c>
      <c r="Q50" s="226">
        <f>SUMIFS('Key inputs_EB_OWN'!Q$7:Q$26,'Key inputs_EB_OWN'!$C$7:$C$26,$C50)*SUMIFS('Key inputs_EB_OWN'!Q$31:Q$350,'Key inputs_EB_OWN'!$C$31:$C$350,$B50,'Key inputs_EB_OWN'!$B$31:$B$350,$C50)</f>
        <v>0</v>
      </c>
      <c r="R50" s="226">
        <f>SUMIFS('Key inputs_EB_OWN'!R$7:R$26,'Key inputs_EB_OWN'!$C$7:$C$26,$C50)*SUMIFS('Key inputs_EB_OWN'!R$31:R$350,'Key inputs_EB_OWN'!$C$31:$C$350,$B50,'Key inputs_EB_OWN'!$B$31:$B$350,$C50)</f>
        <v>0</v>
      </c>
      <c r="S50" s="226">
        <f>SUMIFS('Key inputs_EB_OWN'!S$7:S$26,'Key inputs_EB_OWN'!$C$7:$C$26,$C50)*SUMIFS('Key inputs_EB_OWN'!S$31:S$350,'Key inputs_EB_OWN'!$C$31:$C$350,$B50,'Key inputs_EB_OWN'!$B$31:$B$350,$C50)</f>
        <v>0</v>
      </c>
      <c r="T50" s="226">
        <f>SUMIFS('Key inputs_EB_OWN'!T$7:T$26,'Key inputs_EB_OWN'!$C$7:$C$26,$C50)*SUMIFS('Key inputs_EB_OWN'!T$31:T$350,'Key inputs_EB_OWN'!$C$31:$C$350,$B50,'Key inputs_EB_OWN'!$B$31:$B$350,$C50)</f>
        <v>0</v>
      </c>
      <c r="U50" s="226">
        <f>SUMIFS('Key inputs_EB_OWN'!U$7:U$26,'Key inputs_EB_OWN'!$C$7:$C$26,$C50)*SUMIFS('Key inputs_EB_OWN'!U$31:U$350,'Key inputs_EB_OWN'!$C$31:$C$350,$B50,'Key inputs_EB_OWN'!$B$31:$B$350,$C50)</f>
        <v>0</v>
      </c>
      <c r="V50" s="226">
        <f>SUMIFS('Key inputs_EB_OWN'!V$7:V$26,'Key inputs_EB_OWN'!$C$7:$C$26,$C50)*SUMIFS('Key inputs_EB_OWN'!V$31:V$350,'Key inputs_EB_OWN'!$C$31:$C$350,$B50,'Key inputs_EB_OWN'!$B$31:$B$350,$C50)</f>
        <v>0</v>
      </c>
      <c r="W50" s="226">
        <f>SUMIFS('Key inputs_EB_OWN'!W$7:W$26,'Key inputs_EB_OWN'!$C$7:$C$26,$C50)*SUMIFS('Key inputs_EB_OWN'!W$31:W$350,'Key inputs_EB_OWN'!$C$31:$C$350,$B50,'Key inputs_EB_OWN'!$B$31:$B$350,$C50)</f>
        <v>0</v>
      </c>
      <c r="X50" s="226">
        <f>SUMIFS('Key inputs_EB_OWN'!X$7:X$26,'Key inputs_EB_OWN'!$C$7:$C$26,$C50)*SUMIFS('Key inputs_EB_OWN'!X$31:X$350,'Key inputs_EB_OWN'!$C$31:$C$350,$B50,'Key inputs_EB_OWN'!$B$31:$B$350,$C50)</f>
        <v>0</v>
      </c>
      <c r="Y50" s="226">
        <f>SUMIFS('Key inputs_EB_OWN'!Y$7:Y$26,'Key inputs_EB_OWN'!$C$7:$C$26,$C50)*SUMIFS('Key inputs_EB_OWN'!Y$31:Y$350,'Key inputs_EB_OWN'!$C$31:$C$350,$B50,'Key inputs_EB_OWN'!$B$31:$B$350,$C50)</f>
        <v>0</v>
      </c>
      <c r="Z50" s="226">
        <f>SUMIFS('Key inputs_EB_OWN'!Z$7:Z$26,'Key inputs_EB_OWN'!$C$7:$C$26,$C50)*SUMIFS('Key inputs_EB_OWN'!Z$31:Z$350,'Key inputs_EB_OWN'!$C$31:$C$350,$B50,'Key inputs_EB_OWN'!$B$31:$B$350,$C50)</f>
        <v>0</v>
      </c>
      <c r="AA50" s="226">
        <f>SUMIFS('Key inputs_EB_OWN'!AA$7:AA$26,'Key inputs_EB_OWN'!$C$7:$C$26,$C50)*SUMIFS('Key inputs_EB_OWN'!AA$31:AA$350,'Key inputs_EB_OWN'!$C$31:$C$350,$B50,'Key inputs_EB_OWN'!$B$31:$B$350,$C50)</f>
        <v>0</v>
      </c>
      <c r="AB50" s="226">
        <f>SUMIFS('Key inputs_EB_OWN'!AB$7:AB$26,'Key inputs_EB_OWN'!$C$7:$C$26,$C50)*SUMIFS('Key inputs_EB_OWN'!AB$31:AB$350,'Key inputs_EB_OWN'!$C$31:$C$350,$B50,'Key inputs_EB_OWN'!$B$31:$B$350,$C50)</f>
        <v>0</v>
      </c>
      <c r="AC50" s="226">
        <f>SUMIFS('Key inputs_EB_OWN'!AC$7:AC$26,'Key inputs_EB_OWN'!$C$7:$C$26,$C50)*SUMIFS('Key inputs_EB_OWN'!AC$31:AC$350,'Key inputs_EB_OWN'!$C$31:$C$350,$B50,'Key inputs_EB_OWN'!$B$31:$B$350,$C50)</f>
        <v>0</v>
      </c>
      <c r="AD50" s="226">
        <f>SUMIFS('Key inputs_EB_OWN'!AD$7:AD$26,'Key inputs_EB_OWN'!$C$7:$C$26,$C50)*SUMIFS('Key inputs_EB_OWN'!AD$31:AD$350,'Key inputs_EB_OWN'!$C$31:$C$350,$B50,'Key inputs_EB_OWN'!$B$31:$B$350,$C50)</f>
        <v>-5683</v>
      </c>
      <c r="AE50" s="226">
        <f>SUMIFS('Key inputs_EB_OWN'!AE$7:AE$26,'Key inputs_EB_OWN'!$C$7:$C$26,$C50)*SUMIFS('Key inputs_EB_OWN'!AE$31:AE$350,'Key inputs_EB_OWN'!$C$31:$C$350,$B50,'Key inputs_EB_OWN'!$B$31:$B$350,$C50)</f>
        <v>0</v>
      </c>
      <c r="AF50" s="224">
        <f>SUMIFS('Key inputs_EB_OWN'!AF$7:AF$26,'Key inputs_EB_OWN'!$C$7:$C$26,$C50)*SUMIFS('Key inputs_EB_OWN'!AF$31:AF$350,'Key inputs_EB_OWN'!$C$31:$C$350,$B50,'Key inputs_EB_OWN'!$B$31:$B$350,$C50)</f>
        <v>0</v>
      </c>
    </row>
    <row r="52" spans="1:32">
      <c r="A52" s="265" t="s">
        <v>837</v>
      </c>
      <c r="E52" s="69" t="s">
        <v>172</v>
      </c>
      <c r="F52" s="69" t="s">
        <v>175</v>
      </c>
      <c r="G52" s="69" t="s">
        <v>178</v>
      </c>
      <c r="H52" s="69" t="s">
        <v>181</v>
      </c>
      <c r="I52" s="69" t="s">
        <v>184</v>
      </c>
      <c r="J52" s="69" t="s">
        <v>187</v>
      </c>
      <c r="K52" s="69" t="s">
        <v>190</v>
      </c>
      <c r="L52" s="69" t="s">
        <v>193</v>
      </c>
      <c r="M52" s="69" t="s">
        <v>196</v>
      </c>
      <c r="N52" s="69" t="s">
        <v>198</v>
      </c>
      <c r="O52" s="69" t="s">
        <v>200</v>
      </c>
      <c r="P52" s="69" t="s">
        <v>202</v>
      </c>
      <c r="Q52" s="69" t="s">
        <v>205</v>
      </c>
      <c r="R52" s="69" t="s">
        <v>208</v>
      </c>
      <c r="S52" s="69" t="s">
        <v>211</v>
      </c>
      <c r="T52" s="69" t="s">
        <v>214</v>
      </c>
      <c r="U52" s="69" t="s">
        <v>217</v>
      </c>
      <c r="V52" s="69" t="s">
        <v>220</v>
      </c>
      <c r="W52" s="69" t="s">
        <v>223</v>
      </c>
      <c r="X52" s="69" t="s">
        <v>225</v>
      </c>
      <c r="Y52" s="69" t="s">
        <v>227</v>
      </c>
      <c r="Z52" s="69" t="s">
        <v>230</v>
      </c>
      <c r="AA52" s="69" t="s">
        <v>233</v>
      </c>
      <c r="AB52" s="69" t="s">
        <v>236</v>
      </c>
      <c r="AC52" s="69" t="s">
        <v>238</v>
      </c>
      <c r="AD52" s="69" t="s">
        <v>240</v>
      </c>
      <c r="AE52" s="69" t="s">
        <v>243</v>
      </c>
      <c r="AF52" s="91" t="s">
        <v>245</v>
      </c>
    </row>
    <row r="53" spans="1:32">
      <c r="A53" t="s">
        <v>838</v>
      </c>
      <c r="B53" t="s">
        <v>839</v>
      </c>
      <c r="D53" s="373" t="s">
        <v>387</v>
      </c>
      <c r="E53" s="173">
        <f>SUM('IEA(2023)_H2'!C21:C23)</f>
        <v>2320.3916094721944</v>
      </c>
      <c r="F53" s="173">
        <f>SUM('IEA(2023)_H2'!D21:D23)</f>
        <v>31728.431154784652</v>
      </c>
      <c r="G53" s="173">
        <f>SUM('IEA(2023)_H2'!E21:E23)</f>
        <v>4761.2344822195346</v>
      </c>
      <c r="H53" s="173">
        <f>SUM('IEA(2023)_H2'!F21:F23)</f>
        <v>18118.569766275818</v>
      </c>
      <c r="I53" s="173">
        <f>SUM('IEA(2023)_H2'!G21:G23)</f>
        <v>19075.283216254968</v>
      </c>
      <c r="J53" s="173">
        <f>SUM('IEA(2023)_H2'!H21:H23)</f>
        <v>37804.981155635134</v>
      </c>
      <c r="K53" s="173">
        <f>SUM('IEA(2023)_H2'!I21:I23)</f>
        <v>142734.49960232471</v>
      </c>
      <c r="L53" s="173">
        <f>SUM('IEA(2023)_H2'!J21:J23)</f>
        <v>18372.877667811652</v>
      </c>
      <c r="M53" s="173">
        <f>SUM('IEA(2023)_H2'!K21:K23)</f>
        <v>62690.961514433642</v>
      </c>
      <c r="N53" s="173">
        <f>SUM('IEA(2023)_H2'!L21:L23)</f>
        <v>153333.77061017192</v>
      </c>
      <c r="O53" s="173">
        <f>SUM('IEA(2023)_H2'!M21:M23)</f>
        <v>6668.9735780576584</v>
      </c>
      <c r="P53" s="173">
        <f>SUM('IEA(2023)_H2'!N21:N23)</f>
        <v>1044525.5474452546</v>
      </c>
      <c r="Q53" s="173">
        <f>SUM('IEA(2023)_H2'!O21:O23)</f>
        <v>21846.895320387754</v>
      </c>
      <c r="R53" s="173">
        <f>SUM('IEA(2023)_H2'!P21:P23)</f>
        <v>59395.426776315639</v>
      </c>
      <c r="S53" s="173">
        <f>SUM('IEA(2023)_H2'!Q21:Q23)</f>
        <v>73125.414293219801</v>
      </c>
      <c r="T53" s="173">
        <f>SUM('IEA(2023)_H2'!R21:R23)</f>
        <v>200945.04036864947</v>
      </c>
      <c r="U53" s="173">
        <f>SUM('IEA(2023)_H2'!S21:S23)</f>
        <v>216220.06995675128</v>
      </c>
      <c r="V53" s="173">
        <f>SUM('IEA(2023)_H2'!T21:T23)</f>
        <v>82923.954658924835</v>
      </c>
      <c r="W53" s="173">
        <f>SUM('IEA(2023)_H2'!U21:U23)</f>
        <v>433576.64233576803</v>
      </c>
      <c r="X53" s="173">
        <f>SUM('IEA(2023)_H2'!V21:V23)</f>
        <v>181654.88154648856</v>
      </c>
      <c r="Y53" s="173">
        <f>SUM('IEA(2023)_H2'!W21:W23)</f>
        <v>51757.452185075788</v>
      </c>
      <c r="Z53" s="173">
        <f>SUM('IEA(2023)_H2'!X21:X23)</f>
        <v>70307.709195285148</v>
      </c>
      <c r="AA53" s="173">
        <f>SUM('IEA(2023)_H2'!Y21:Y23)</f>
        <v>512408.75912408408</v>
      </c>
      <c r="AB53" s="173">
        <f>SUM('IEA(2023)_H2'!Z21:Z23)</f>
        <v>37236.239082652399</v>
      </c>
      <c r="AC53" s="173">
        <f>SUM('IEA(2023)_H2'!AA21:AA23)</f>
        <v>1416.4647012731725</v>
      </c>
      <c r="AD53" s="173">
        <f>SUM('IEA(2023)_H2'!AB21:AB23)</f>
        <v>175914.79253668041</v>
      </c>
      <c r="AE53" s="173">
        <f>SUM('IEA(2023)_H2'!AC21:AC23)</f>
        <v>175690.14726842215</v>
      </c>
      <c r="AF53" s="173">
        <f>SUM('IEA(2023)_H2'!AD21:AD23)</f>
        <v>972203.712934913</v>
      </c>
    </row>
    <row r="54" spans="1:32">
      <c r="C54" t="s">
        <v>840</v>
      </c>
      <c r="E54" s="173">
        <f>'IEA(2023)_H2'!C21</f>
        <v>832.72118243155035</v>
      </c>
      <c r="F54" s="173">
        <f>'IEA(2023)_H2'!D21</f>
        <v>11386.412793450896</v>
      </c>
      <c r="G54" s="173">
        <f>'IEA(2023)_H2'!E21</f>
        <v>1708.6688262803902</v>
      </c>
      <c r="H54" s="173">
        <f>'IEA(2023)_H2'!F21</f>
        <v>6502.2286661231492</v>
      </c>
      <c r="I54" s="173">
        <f>'IEA(2023)_H2'!G21</f>
        <v>6845.565347768892</v>
      </c>
      <c r="J54" s="173">
        <f>'IEA(2023)_H2'!H21</f>
        <v>13567.110172788362</v>
      </c>
      <c r="K54" s="173">
        <f>'IEA(2023)_H2'!I21</f>
        <v>51223.268002446966</v>
      </c>
      <c r="L54" s="173">
        <f>'IEA(2023)_H2'!J21</f>
        <v>6593.4923888517342</v>
      </c>
      <c r="M54" s="173">
        <f>'IEA(2023)_H2'!K21</f>
        <v>22497.966027357139</v>
      </c>
      <c r="N54" s="173">
        <f>'IEA(2023)_H2'!L21</f>
        <v>55027.038646392117</v>
      </c>
      <c r="O54" s="173">
        <f>'IEA(2023)_H2'!M21</f>
        <v>2393.3010018029399</v>
      </c>
      <c r="P54" s="173">
        <f>'IEA(2023)_H2'!N21</f>
        <v>374849.89404285199</v>
      </c>
      <c r="Q54" s="173">
        <f>'IEA(2023)_H2'!O21</f>
        <v>7840.2164657842814</v>
      </c>
      <c r="R54" s="173">
        <f>'IEA(2023)_H2'!P21</f>
        <v>21315.294286661574</v>
      </c>
      <c r="S54" s="173">
        <f>'IEA(2023)_H2'!Q21</f>
        <v>26242.588193937649</v>
      </c>
      <c r="T54" s="173">
        <f>'IEA(2023)_H2'!R21</f>
        <v>72113.341100039237</v>
      </c>
      <c r="U54" s="173">
        <f>'IEA(2023)_H2'!S21</f>
        <v>77595.105750608011</v>
      </c>
      <c r="V54" s="173">
        <f>'IEA(2023)_H2'!T21</f>
        <v>29758.999857436611</v>
      </c>
      <c r="W54" s="173">
        <f>'IEA(2023)_H2'!U21</f>
        <v>155598.06922533546</v>
      </c>
      <c r="X54" s="173">
        <f>'IEA(2023)_H2'!V21</f>
        <v>65190.663135634743</v>
      </c>
      <c r="Y54" s="173">
        <f>'IEA(2023)_H2'!W21</f>
        <v>18574.246953515027</v>
      </c>
      <c r="Z54" s="173">
        <f>'IEA(2023)_H2'!X21</f>
        <v>25231.395638630456</v>
      </c>
      <c r="AA54" s="173">
        <f>'IEA(2023)_H2'!Y21</f>
        <v>183888.62726630364</v>
      </c>
      <c r="AB54" s="173">
        <f>'IEA(2023)_H2'!Z21</f>
        <v>13363.005154661492</v>
      </c>
      <c r="AC54" s="173">
        <f>'IEA(2023)_H2'!AA21</f>
        <v>508.32805811819287</v>
      </c>
      <c r="AD54" s="173">
        <f>'IEA(2023)_H2'!AB21</f>
        <v>63130.711837760049</v>
      </c>
      <c r="AE54" s="173">
        <f>'IEA(2023)_H2'!AC21</f>
        <v>63050.093172941575</v>
      </c>
      <c r="AF54" s="173">
        <f>'IEA(2023)_H2'!AD21</f>
        <v>348895.68730325368</v>
      </c>
    </row>
    <row r="55" spans="1:32">
      <c r="C55" t="s">
        <v>841</v>
      </c>
      <c r="E55" s="173">
        <f>'IEA(2023)_H2'!C22</f>
        <v>1075.9880447149301</v>
      </c>
      <c r="F55" s="173">
        <f>'IEA(2023)_H2'!D22</f>
        <v>14712.780575807417</v>
      </c>
      <c r="G55" s="173">
        <f>'IEA(2023)_H2'!E22</f>
        <v>2207.8305058679321</v>
      </c>
      <c r="H55" s="173">
        <f>'IEA(2023)_H2'!F22</f>
        <v>8401.7561416198423</v>
      </c>
      <c r="I55" s="173">
        <f>'IEA(2023)_H2'!G22</f>
        <v>8845.3934268924349</v>
      </c>
      <c r="J55" s="173">
        <f>'IEA(2023)_H2'!H22</f>
        <v>17530.535616524376</v>
      </c>
      <c r="K55" s="173">
        <f>'IEA(2023)_H2'!I22</f>
        <v>66187.368767207096</v>
      </c>
      <c r="L55" s="173">
        <f>'IEA(2023)_H2'!J22</f>
        <v>8519.6811766062183</v>
      </c>
      <c r="M55" s="173">
        <f>'IEA(2023)_H2'!K22</f>
        <v>29070.405540967247</v>
      </c>
      <c r="N55" s="173">
        <f>'IEA(2023)_H2'!L22</f>
        <v>71102.353307136247</v>
      </c>
      <c r="O55" s="173">
        <f>'IEA(2023)_H2'!M22</f>
        <v>3092.4675865993208</v>
      </c>
      <c r="P55" s="173">
        <f>'IEA(2023)_H2'!N22</f>
        <v>484356.60466211458</v>
      </c>
      <c r="Q55" s="173">
        <f>'IEA(2023)_H2'!O22</f>
        <v>10130.616781631428</v>
      </c>
      <c r="R55" s="173">
        <f>'IEA(2023)_H2'!P22</f>
        <v>27542.234190630272</v>
      </c>
      <c r="S55" s="173">
        <f>'IEA(2023)_H2'!Q22</f>
        <v>33908.96227306567</v>
      </c>
      <c r="T55" s="173">
        <f>'IEA(2023)_H2'!R22</f>
        <v>93180.159848365773</v>
      </c>
      <c r="U55" s="173">
        <f>'IEA(2023)_H2'!S22</f>
        <v>100263.33889123557</v>
      </c>
      <c r="V55" s="173">
        <f>'IEA(2023)_H2'!T22</f>
        <v>38452.640265227281</v>
      </c>
      <c r="W55" s="173">
        <f>'IEA(2023)_H2'!U22</f>
        <v>201053.6849540862</v>
      </c>
      <c r="X55" s="173">
        <f>'IEA(2023)_H2'!V22</f>
        <v>84235.126523573432</v>
      </c>
      <c r="Y55" s="173">
        <f>'IEA(2023)_H2'!W22</f>
        <v>24000.4314567892</v>
      </c>
      <c r="Z55" s="173">
        <f>'IEA(2023)_H2'!X22</f>
        <v>32602.365151039525</v>
      </c>
      <c r="AA55" s="173">
        <f>'IEA(2023)_H2'!Y22</f>
        <v>237608.90040028119</v>
      </c>
      <c r="AB55" s="173">
        <f>'IEA(2023)_H2'!Z22</f>
        <v>17266.804413326736</v>
      </c>
      <c r="AC55" s="173">
        <f>'IEA(2023)_H2'!AA22</f>
        <v>656.82838970328646</v>
      </c>
      <c r="AD55" s="173">
        <f>'IEA(2023)_H2'!AB22</f>
        <v>81573.391700476903</v>
      </c>
      <c r="AE55" s="173">
        <f>'IEA(2023)_H2'!AC22</f>
        <v>81469.221515599085</v>
      </c>
      <c r="AF55" s="173">
        <f>'IEA(2023)_H2'!AD22</f>
        <v>450820.27011094795</v>
      </c>
    </row>
    <row r="56" spans="1:32">
      <c r="A56" s="251"/>
      <c r="B56" t="s">
        <v>842</v>
      </c>
      <c r="D56" s="59" t="s">
        <v>843</v>
      </c>
      <c r="E56" s="419">
        <f t="shared" ref="E56:AF56" si="2">-E53/E12</f>
        <v>1.5498103869678899E-2</v>
      </c>
      <c r="F56" s="419">
        <f t="shared" si="2"/>
        <v>1.5498103869678901E-2</v>
      </c>
      <c r="G56" s="419">
        <f t="shared" si="2"/>
        <v>1.5498103869678903E-2</v>
      </c>
      <c r="H56" s="419">
        <f t="shared" si="2"/>
        <v>1.5498103869678899E-2</v>
      </c>
      <c r="I56" s="419">
        <f t="shared" si="2"/>
        <v>1.5498103869678901E-2</v>
      </c>
      <c r="J56" s="419">
        <f t="shared" si="2"/>
        <v>2.8616896850160427E-2</v>
      </c>
      <c r="K56" s="419">
        <f t="shared" si="2"/>
        <v>2.8616896850160434E-2</v>
      </c>
      <c r="L56" s="419">
        <f t="shared" si="2"/>
        <v>2.8616896850160431E-2</v>
      </c>
      <c r="M56" s="419">
        <f t="shared" si="2"/>
        <v>1.5498103869678901E-2</v>
      </c>
      <c r="N56" s="419">
        <f t="shared" si="2"/>
        <v>3.1433543994229624E-2</v>
      </c>
      <c r="O56" s="419">
        <f t="shared" si="2"/>
        <v>1.5498103869678901E-2</v>
      </c>
      <c r="P56" s="419">
        <f t="shared" si="2"/>
        <v>3.2848780256509037E-2</v>
      </c>
      <c r="Q56" s="419">
        <f t="shared" si="2"/>
        <v>2.168267077196092E-2</v>
      </c>
      <c r="R56" s="419">
        <f t="shared" si="2"/>
        <v>2.168267077196092E-2</v>
      </c>
      <c r="S56" s="419">
        <f t="shared" si="2"/>
        <v>2.1682670771960916E-2</v>
      </c>
      <c r="T56" s="419">
        <f t="shared" si="2"/>
        <v>2.168267077196092E-2</v>
      </c>
      <c r="U56" s="419">
        <f t="shared" si="2"/>
        <v>2.168267077196092E-2</v>
      </c>
      <c r="V56" s="419">
        <f t="shared" si="2"/>
        <v>2.8616896850160431E-2</v>
      </c>
      <c r="W56" s="419">
        <f t="shared" si="2"/>
        <v>4.0937937381198809E-2</v>
      </c>
      <c r="X56" s="419">
        <f t="shared" si="2"/>
        <v>2.8616896850160434E-2</v>
      </c>
      <c r="Y56" s="419">
        <f t="shared" si="2"/>
        <v>1.5498103869678901E-2</v>
      </c>
      <c r="Z56" s="419">
        <f t="shared" si="2"/>
        <v>2.8616896850160427E-2</v>
      </c>
      <c r="AA56" s="419">
        <f t="shared" si="2"/>
        <v>4.7475393557621773E-2</v>
      </c>
      <c r="AB56" s="419">
        <f t="shared" si="2"/>
        <v>3.1433543994229624E-2</v>
      </c>
      <c r="AC56" s="419">
        <f t="shared" si="2"/>
        <v>1.5498103869678898E-2</v>
      </c>
      <c r="AD56" s="419">
        <f t="shared" si="2"/>
        <v>1.5498103869678903E-2</v>
      </c>
      <c r="AE56" s="419">
        <f t="shared" si="2"/>
        <v>2.8616896850160424E-2</v>
      </c>
      <c r="AF56" s="419">
        <f t="shared" si="2"/>
        <v>3.143354399422963E-2</v>
      </c>
    </row>
    <row r="57" spans="1:32">
      <c r="A57" t="s">
        <v>728</v>
      </c>
      <c r="B57" t="s">
        <v>734</v>
      </c>
      <c r="C57" t="s">
        <v>844</v>
      </c>
      <c r="D57" t="s">
        <v>387</v>
      </c>
      <c r="E57" s="173">
        <f t="shared" ref="E57:AF57" si="3">E$56*E$12</f>
        <v>-2320.3916094721944</v>
      </c>
      <c r="F57" s="173">
        <f t="shared" si="3"/>
        <v>-31728.431154784652</v>
      </c>
      <c r="G57" s="173">
        <f t="shared" si="3"/>
        <v>-4761.2344822195346</v>
      </c>
      <c r="H57" s="173">
        <f t="shared" si="3"/>
        <v>-18118.569766275818</v>
      </c>
      <c r="I57" s="173">
        <f t="shared" si="3"/>
        <v>-19075.283216254968</v>
      </c>
      <c r="J57" s="173">
        <f t="shared" si="3"/>
        <v>-37804.981155635134</v>
      </c>
      <c r="K57" s="173">
        <f t="shared" si="3"/>
        <v>-142734.49960232471</v>
      </c>
      <c r="L57" s="173">
        <f t="shared" si="3"/>
        <v>-18372.877667811652</v>
      </c>
      <c r="M57" s="173">
        <f t="shared" si="3"/>
        <v>-62690.961514433642</v>
      </c>
      <c r="N57" s="173">
        <f t="shared" si="3"/>
        <v>-153333.77061017192</v>
      </c>
      <c r="O57" s="173">
        <f t="shared" si="3"/>
        <v>-6668.9735780576584</v>
      </c>
      <c r="P57" s="173">
        <f t="shared" si="3"/>
        <v>-1044525.5474452546</v>
      </c>
      <c r="Q57" s="173">
        <f t="shared" si="3"/>
        <v>-21846.895320387754</v>
      </c>
      <c r="R57" s="173">
        <f t="shared" si="3"/>
        <v>-59395.426776315639</v>
      </c>
      <c r="S57" s="173">
        <f t="shared" si="3"/>
        <v>-73125.414293219801</v>
      </c>
      <c r="T57" s="173">
        <f t="shared" si="3"/>
        <v>-200945.04036864947</v>
      </c>
      <c r="U57" s="173">
        <f t="shared" si="3"/>
        <v>-216220.06995675128</v>
      </c>
      <c r="V57" s="173">
        <f t="shared" si="3"/>
        <v>-82923.954658924835</v>
      </c>
      <c r="W57" s="173">
        <f t="shared" si="3"/>
        <v>-433576.64233576803</v>
      </c>
      <c r="X57" s="173">
        <f t="shared" si="3"/>
        <v>-181654.88154648856</v>
      </c>
      <c r="Y57" s="173">
        <f t="shared" si="3"/>
        <v>-51757.452185075788</v>
      </c>
      <c r="Z57" s="173">
        <f t="shared" si="3"/>
        <v>-70307.709195285148</v>
      </c>
      <c r="AA57" s="173">
        <f t="shared" si="3"/>
        <v>-512408.75912408408</v>
      </c>
      <c r="AB57" s="173">
        <f t="shared" si="3"/>
        <v>-37236.239082652399</v>
      </c>
      <c r="AC57" s="173">
        <f t="shared" si="3"/>
        <v>-1416.4647012731725</v>
      </c>
      <c r="AD57" s="173">
        <f t="shared" si="3"/>
        <v>-175914.79253668041</v>
      </c>
      <c r="AE57" s="173">
        <f t="shared" si="3"/>
        <v>-175690.14726842215</v>
      </c>
      <c r="AF57" s="173">
        <f t="shared" si="3"/>
        <v>-972203.712934913</v>
      </c>
    </row>
    <row r="58" spans="1:32">
      <c r="C58" t="s">
        <v>840</v>
      </c>
      <c r="D58" t="s">
        <v>845</v>
      </c>
      <c r="E58" s="418">
        <v>1</v>
      </c>
      <c r="F58" s="418">
        <v>0.6</v>
      </c>
      <c r="G58" s="418">
        <v>0.7</v>
      </c>
      <c r="H58" s="418">
        <v>1</v>
      </c>
      <c r="I58" s="418">
        <v>0.8</v>
      </c>
      <c r="J58" s="418">
        <v>0.9</v>
      </c>
      <c r="K58" s="418">
        <v>1</v>
      </c>
      <c r="L58" s="418">
        <v>1</v>
      </c>
      <c r="M58" s="173">
        <f t="shared" ref="M58:AC58" si="4">M54/SUM(M$54:M$55)</f>
        <v>0.43627450980392024</v>
      </c>
      <c r="N58" s="418">
        <v>0.8</v>
      </c>
      <c r="O58" s="173">
        <f t="shared" si="4"/>
        <v>0.43627450980392024</v>
      </c>
      <c r="P58" s="418">
        <v>0.9</v>
      </c>
      <c r="Q58" s="418">
        <v>0.8</v>
      </c>
      <c r="R58" s="418">
        <v>1</v>
      </c>
      <c r="S58" s="173">
        <f t="shared" si="4"/>
        <v>0.43627450980392035</v>
      </c>
      <c r="T58" s="173">
        <f t="shared" si="4"/>
        <v>0.43627450980392035</v>
      </c>
      <c r="U58" s="418">
        <v>0.7</v>
      </c>
      <c r="V58" s="418">
        <v>1</v>
      </c>
      <c r="W58" s="418">
        <v>0.7</v>
      </c>
      <c r="X58" s="418">
        <v>1</v>
      </c>
      <c r="Y58" s="418">
        <v>0.7</v>
      </c>
      <c r="Z58" s="418">
        <v>0.5</v>
      </c>
      <c r="AA58" s="418">
        <v>0.7</v>
      </c>
      <c r="AB58" s="173">
        <f t="shared" si="4"/>
        <v>0.4362745098039203</v>
      </c>
      <c r="AC58" s="173">
        <f t="shared" si="4"/>
        <v>0.43627450980392024</v>
      </c>
      <c r="AD58" s="418">
        <v>1</v>
      </c>
      <c r="AE58" s="418">
        <v>1</v>
      </c>
      <c r="AF58" s="418">
        <v>0.5</v>
      </c>
    </row>
    <row r="59" spans="1:32">
      <c r="C59" t="s">
        <v>841</v>
      </c>
      <c r="D59" t="s">
        <v>845</v>
      </c>
      <c r="E59" s="418">
        <f t="shared" ref="E59:L59" si="5">1-E58</f>
        <v>0</v>
      </c>
      <c r="F59" s="418">
        <f t="shared" si="5"/>
        <v>0.4</v>
      </c>
      <c r="G59" s="418">
        <f t="shared" si="5"/>
        <v>0.30000000000000004</v>
      </c>
      <c r="H59" s="418">
        <f t="shared" si="5"/>
        <v>0</v>
      </c>
      <c r="I59" s="418">
        <f t="shared" si="5"/>
        <v>0.19999999999999996</v>
      </c>
      <c r="J59" s="418">
        <f t="shared" si="5"/>
        <v>9.9999999999999978E-2</v>
      </c>
      <c r="K59" s="418">
        <f t="shared" si="5"/>
        <v>0</v>
      </c>
      <c r="L59" s="418">
        <f t="shared" si="5"/>
        <v>0</v>
      </c>
      <c r="M59" s="173">
        <f t="shared" ref="M59:AC59" si="6">M55/SUM(M$54:M$55)</f>
        <v>0.56372549019607976</v>
      </c>
      <c r="N59" s="418">
        <f>1-N58</f>
        <v>0.19999999999999996</v>
      </c>
      <c r="O59" s="173">
        <f t="shared" si="6"/>
        <v>0.56372549019607965</v>
      </c>
      <c r="P59" s="418">
        <f>1-P58</f>
        <v>9.9999999999999978E-2</v>
      </c>
      <c r="Q59" s="418">
        <f>1-Q58</f>
        <v>0.19999999999999996</v>
      </c>
      <c r="R59" s="418">
        <f>1-R58</f>
        <v>0</v>
      </c>
      <c r="S59" s="173">
        <f t="shared" si="6"/>
        <v>0.56372549019607965</v>
      </c>
      <c r="T59" s="173">
        <f t="shared" si="6"/>
        <v>0.56372549019607965</v>
      </c>
      <c r="U59" s="418">
        <f t="shared" ref="U59:AA59" si="7">1-U58</f>
        <v>0.30000000000000004</v>
      </c>
      <c r="V59" s="418">
        <f t="shared" si="7"/>
        <v>0</v>
      </c>
      <c r="W59" s="418">
        <f t="shared" si="7"/>
        <v>0.30000000000000004</v>
      </c>
      <c r="X59" s="418">
        <f t="shared" si="7"/>
        <v>0</v>
      </c>
      <c r="Y59" s="418">
        <f t="shared" si="7"/>
        <v>0.30000000000000004</v>
      </c>
      <c r="Z59" s="418">
        <f t="shared" si="7"/>
        <v>0.5</v>
      </c>
      <c r="AA59" s="418">
        <f t="shared" si="7"/>
        <v>0.30000000000000004</v>
      </c>
      <c r="AB59" s="173">
        <f t="shared" si="6"/>
        <v>0.56372549019607965</v>
      </c>
      <c r="AC59" s="173">
        <f t="shared" si="6"/>
        <v>0.56372549019607976</v>
      </c>
      <c r="AD59" s="418">
        <f>1-AD58</f>
        <v>0</v>
      </c>
      <c r="AE59" s="418">
        <f>1-AE58</f>
        <v>0</v>
      </c>
      <c r="AF59" s="418">
        <f>1-AF58</f>
        <v>0.5</v>
      </c>
    </row>
    <row r="60" spans="1:32">
      <c r="A60" t="s">
        <v>728</v>
      </c>
      <c r="B60" t="s">
        <v>734</v>
      </c>
      <c r="C60" t="s">
        <v>840</v>
      </c>
      <c r="E60" s="173">
        <f>E$57*E58</f>
        <v>-2320.3916094721944</v>
      </c>
      <c r="F60" s="173">
        <f t="shared" ref="F60:AF60" si="8">F$57*F58</f>
        <v>-19037.058692870789</v>
      </c>
      <c r="G60" s="173">
        <f t="shared" si="8"/>
        <v>-3332.864137553674</v>
      </c>
      <c r="H60" s="173">
        <f t="shared" si="8"/>
        <v>-18118.569766275818</v>
      </c>
      <c r="I60" s="173">
        <f t="shared" si="8"/>
        <v>-15260.226573003974</v>
      </c>
      <c r="J60" s="173">
        <f t="shared" si="8"/>
        <v>-34024.483040071624</v>
      </c>
      <c r="K60" s="173">
        <f t="shared" si="8"/>
        <v>-142734.49960232471</v>
      </c>
      <c r="L60" s="173">
        <f t="shared" si="8"/>
        <v>-18372.877667811652</v>
      </c>
      <c r="M60" s="173">
        <f t="shared" si="8"/>
        <v>-27350.468503845965</v>
      </c>
      <c r="N60" s="173">
        <f t="shared" si="8"/>
        <v>-122667.01648813754</v>
      </c>
      <c r="O60" s="173">
        <f t="shared" si="8"/>
        <v>-2909.5031786624008</v>
      </c>
      <c r="P60" s="173">
        <f t="shared" si="8"/>
        <v>-940072.99270072917</v>
      </c>
      <c r="Q60" s="173">
        <f t="shared" si="8"/>
        <v>-17477.516256310202</v>
      </c>
      <c r="R60" s="173">
        <f t="shared" si="8"/>
        <v>-59395.426776315639</v>
      </c>
      <c r="S60" s="173">
        <f t="shared" si="8"/>
        <v>-31902.754274983061</v>
      </c>
      <c r="T60" s="173">
        <f t="shared" si="8"/>
        <v>-87667.19898436153</v>
      </c>
      <c r="U60" s="173">
        <f t="shared" si="8"/>
        <v>-151354.04896972587</v>
      </c>
      <c r="V60" s="173">
        <f t="shared" si="8"/>
        <v>-82923.954658924835</v>
      </c>
      <c r="W60" s="173">
        <f t="shared" si="8"/>
        <v>-303503.64963503758</v>
      </c>
      <c r="X60" s="173">
        <f t="shared" si="8"/>
        <v>-181654.88154648856</v>
      </c>
      <c r="Y60" s="173">
        <f t="shared" si="8"/>
        <v>-36230.21652955305</v>
      </c>
      <c r="Z60" s="173">
        <f t="shared" si="8"/>
        <v>-35153.854597642574</v>
      </c>
      <c r="AA60" s="173">
        <f t="shared" si="8"/>
        <v>-358686.13138685882</v>
      </c>
      <c r="AB60" s="173">
        <f t="shared" si="8"/>
        <v>-16245.221952725755</v>
      </c>
      <c r="AC60" s="173">
        <f t="shared" si="8"/>
        <v>-617.96744320250968</v>
      </c>
      <c r="AD60" s="173">
        <f t="shared" si="8"/>
        <v>-175914.79253668041</v>
      </c>
      <c r="AE60" s="173">
        <f t="shared" si="8"/>
        <v>-175690.14726842215</v>
      </c>
      <c r="AF60" s="173">
        <f t="shared" si="8"/>
        <v>-486101.8564674565</v>
      </c>
    </row>
    <row r="61" spans="1:32">
      <c r="A61" t="s">
        <v>728</v>
      </c>
      <c r="B61" t="s">
        <v>734</v>
      </c>
      <c r="C61" t="s">
        <v>841</v>
      </c>
      <c r="E61" s="173">
        <f>E$57*E59</f>
        <v>0</v>
      </c>
      <c r="F61" s="173">
        <f t="shared" ref="F61:AF61" si="9">F$57*F59</f>
        <v>-12691.372461913861</v>
      </c>
      <c r="G61" s="173">
        <f t="shared" si="9"/>
        <v>-1428.3703446658606</v>
      </c>
      <c r="H61" s="173">
        <f t="shared" si="9"/>
        <v>0</v>
      </c>
      <c r="I61" s="173">
        <f t="shared" si="9"/>
        <v>-3815.0566432509927</v>
      </c>
      <c r="J61" s="173">
        <f t="shared" si="9"/>
        <v>-3780.4981155635128</v>
      </c>
      <c r="K61" s="173">
        <f t="shared" si="9"/>
        <v>0</v>
      </c>
      <c r="L61" s="173">
        <f t="shared" si="9"/>
        <v>0</v>
      </c>
      <c r="M61" s="173">
        <f t="shared" si="9"/>
        <v>-35340.493010587677</v>
      </c>
      <c r="N61" s="173">
        <f t="shared" si="9"/>
        <v>-30666.754122034377</v>
      </c>
      <c r="O61" s="173">
        <f t="shared" si="9"/>
        <v>-3759.4703993952567</v>
      </c>
      <c r="P61" s="173">
        <f t="shared" si="9"/>
        <v>-104452.55474452543</v>
      </c>
      <c r="Q61" s="173">
        <f t="shared" si="9"/>
        <v>-4369.3790640775496</v>
      </c>
      <c r="R61" s="173">
        <f t="shared" si="9"/>
        <v>0</v>
      </c>
      <c r="S61" s="173">
        <f t="shared" si="9"/>
        <v>-41222.66001823674</v>
      </c>
      <c r="T61" s="173">
        <f t="shared" si="9"/>
        <v>-113277.84138428794</v>
      </c>
      <c r="U61" s="173">
        <f t="shared" si="9"/>
        <v>-64866.020987025397</v>
      </c>
      <c r="V61" s="173">
        <f t="shared" si="9"/>
        <v>0</v>
      </c>
      <c r="W61" s="173">
        <f t="shared" si="9"/>
        <v>-130072.99270073044</v>
      </c>
      <c r="X61" s="173">
        <f t="shared" si="9"/>
        <v>0</v>
      </c>
      <c r="Y61" s="173">
        <f t="shared" si="9"/>
        <v>-15527.235655522738</v>
      </c>
      <c r="Z61" s="173">
        <f t="shared" si="9"/>
        <v>-35153.854597642574</v>
      </c>
      <c r="AA61" s="173">
        <f t="shared" si="9"/>
        <v>-153722.62773722524</v>
      </c>
      <c r="AB61" s="173">
        <f t="shared" si="9"/>
        <v>-20991.017129926644</v>
      </c>
      <c r="AC61" s="173">
        <f t="shared" si="9"/>
        <v>-798.49725807066284</v>
      </c>
      <c r="AD61" s="173">
        <f t="shared" si="9"/>
        <v>0</v>
      </c>
      <c r="AE61" s="173">
        <f t="shared" si="9"/>
        <v>0</v>
      </c>
      <c r="AF61" s="173">
        <f t="shared" si="9"/>
        <v>-486101.8564674565</v>
      </c>
    </row>
    <row r="62" spans="1:32">
      <c r="C62" s="174"/>
      <c r="E62" s="173"/>
      <c r="F62" s="173"/>
      <c r="G62" s="173"/>
      <c r="H62" s="173"/>
      <c r="I62" s="173"/>
      <c r="J62" s="173"/>
      <c r="K62" s="173"/>
      <c r="L62" s="173"/>
      <c r="M62" s="173"/>
      <c r="N62" s="173"/>
      <c r="O62" s="173"/>
      <c r="P62" s="173"/>
      <c r="Q62" s="173"/>
      <c r="R62" s="173"/>
      <c r="S62" s="173"/>
      <c r="T62" s="173"/>
      <c r="U62" s="173"/>
      <c r="V62" s="173"/>
      <c r="W62" s="173"/>
      <c r="X62" s="173"/>
      <c r="Y62" s="173"/>
      <c r="Z62" s="173"/>
      <c r="AA62" s="173"/>
      <c r="AB62" s="173"/>
      <c r="AC62" s="173"/>
      <c r="AD62" s="173"/>
      <c r="AE62" s="173"/>
      <c r="AF62" s="173"/>
    </row>
    <row r="63" spans="1:32">
      <c r="A63" s="175" t="s">
        <v>846</v>
      </c>
      <c r="E63" s="173"/>
      <c r="F63" s="173"/>
      <c r="G63" s="173"/>
      <c r="H63" s="173"/>
      <c r="I63" s="173"/>
      <c r="J63" s="173"/>
      <c r="K63" s="173"/>
      <c r="L63" s="173"/>
      <c r="M63" s="173"/>
      <c r="N63" s="173"/>
      <c r="O63" s="173"/>
      <c r="P63" s="173"/>
      <c r="Q63" s="173"/>
      <c r="R63" s="173"/>
      <c r="S63" s="173"/>
      <c r="T63" s="173"/>
      <c r="U63" s="173"/>
      <c r="V63" s="173"/>
      <c r="W63" s="173"/>
      <c r="X63" s="173"/>
      <c r="Y63" s="173"/>
      <c r="Z63" s="173"/>
      <c r="AA63" s="173"/>
      <c r="AB63" s="173"/>
      <c r="AC63" s="173"/>
      <c r="AD63" s="173"/>
      <c r="AE63" s="173"/>
      <c r="AF63" s="173"/>
    </row>
    <row r="64" spans="1:32">
      <c r="B64" t="s">
        <v>847</v>
      </c>
      <c r="E64" s="338">
        <v>0.71</v>
      </c>
      <c r="F64" s="338">
        <v>0.71</v>
      </c>
      <c r="G64" s="338">
        <v>0.71</v>
      </c>
      <c r="H64" s="338">
        <v>0.71</v>
      </c>
      <c r="I64" s="338">
        <v>0.71</v>
      </c>
      <c r="J64" s="338">
        <v>0.71</v>
      </c>
      <c r="K64" s="338">
        <v>0.71</v>
      </c>
      <c r="L64" s="338">
        <v>0.71</v>
      </c>
      <c r="M64" s="338">
        <v>0.71</v>
      </c>
      <c r="N64" s="338">
        <v>0.71</v>
      </c>
      <c r="O64" s="338">
        <v>0.71</v>
      </c>
      <c r="P64" s="338">
        <v>0.71</v>
      </c>
      <c r="Q64" s="338">
        <v>0.71</v>
      </c>
      <c r="R64" s="338">
        <v>0.71</v>
      </c>
      <c r="S64" s="338">
        <v>0.71</v>
      </c>
      <c r="T64" s="338">
        <v>0.71</v>
      </c>
      <c r="U64" s="338">
        <v>0.71</v>
      </c>
      <c r="V64" s="338">
        <v>0.71</v>
      </c>
      <c r="W64" s="338">
        <v>0.71</v>
      </c>
      <c r="X64" s="338">
        <v>0.71</v>
      </c>
      <c r="Y64" s="338">
        <v>0.71</v>
      </c>
      <c r="Z64" s="338">
        <v>0.71</v>
      </c>
      <c r="AA64" s="338">
        <v>0.71</v>
      </c>
      <c r="AB64" s="338">
        <v>0.71</v>
      </c>
      <c r="AC64" s="338">
        <v>0.71</v>
      </c>
      <c r="AD64" s="338">
        <v>0.71</v>
      </c>
      <c r="AE64" s="338">
        <v>0.71</v>
      </c>
      <c r="AF64" s="338">
        <v>0.71</v>
      </c>
    </row>
    <row r="65" spans="1:32">
      <c r="B65" t="s">
        <v>848</v>
      </c>
      <c r="C65" t="s">
        <v>541</v>
      </c>
      <c r="E65" s="173">
        <f t="shared" ref="E65:AF65" si="10">E61/E64</f>
        <v>0</v>
      </c>
      <c r="F65" s="173">
        <f t="shared" si="10"/>
        <v>-17875.172481568818</v>
      </c>
      <c r="G65" s="173">
        <f t="shared" si="10"/>
        <v>-2011.7892178392403</v>
      </c>
      <c r="H65" s="173">
        <f t="shared" si="10"/>
        <v>0</v>
      </c>
      <c r="I65" s="173">
        <f t="shared" si="10"/>
        <v>-5373.319215846469</v>
      </c>
      <c r="J65" s="173">
        <f t="shared" si="10"/>
        <v>-5324.6452331880464</v>
      </c>
      <c r="K65" s="173">
        <f t="shared" si="10"/>
        <v>0</v>
      </c>
      <c r="L65" s="173">
        <f t="shared" si="10"/>
        <v>0</v>
      </c>
      <c r="M65" s="173">
        <f t="shared" si="10"/>
        <v>-49775.342268433349</v>
      </c>
      <c r="N65" s="173">
        <f t="shared" si="10"/>
        <v>-43192.611439485037</v>
      </c>
      <c r="O65" s="173">
        <f t="shared" si="10"/>
        <v>-5295.0287315426149</v>
      </c>
      <c r="P65" s="173">
        <f t="shared" si="10"/>
        <v>-147116.27428806399</v>
      </c>
      <c r="Q65" s="173">
        <f t="shared" si="10"/>
        <v>-6154.055019827535</v>
      </c>
      <c r="R65" s="173">
        <f t="shared" si="10"/>
        <v>0</v>
      </c>
      <c r="S65" s="173">
        <f t="shared" si="10"/>
        <v>-58060.084532727808</v>
      </c>
      <c r="T65" s="173">
        <f t="shared" si="10"/>
        <v>-159546.25547082809</v>
      </c>
      <c r="U65" s="173">
        <f t="shared" si="10"/>
        <v>-91360.592939472393</v>
      </c>
      <c r="V65" s="173">
        <f t="shared" si="10"/>
        <v>0</v>
      </c>
      <c r="W65" s="173">
        <f t="shared" si="10"/>
        <v>-183201.39817004287</v>
      </c>
      <c r="X65" s="173">
        <f t="shared" si="10"/>
        <v>0</v>
      </c>
      <c r="Y65" s="173">
        <f t="shared" si="10"/>
        <v>-21869.345993693998</v>
      </c>
      <c r="Z65" s="173">
        <f t="shared" si="10"/>
        <v>-49512.471264285319</v>
      </c>
      <c r="AA65" s="173">
        <f t="shared" si="10"/>
        <v>-216510.74329186653</v>
      </c>
      <c r="AB65" s="173">
        <f t="shared" si="10"/>
        <v>-29564.812859051613</v>
      </c>
      <c r="AC65" s="173">
        <f t="shared" si="10"/>
        <v>-1124.6440254516378</v>
      </c>
      <c r="AD65" s="173">
        <f t="shared" si="10"/>
        <v>0</v>
      </c>
      <c r="AE65" s="173">
        <f t="shared" si="10"/>
        <v>0</v>
      </c>
      <c r="AF65" s="173">
        <f t="shared" si="10"/>
        <v>-684650.50206684018</v>
      </c>
    </row>
    <row r="67" spans="1:32">
      <c r="B67" t="s">
        <v>849</v>
      </c>
      <c r="C67" t="s">
        <v>541</v>
      </c>
      <c r="E67" s="173">
        <f t="shared" ref="E67:AF67" si="11">E41-E65</f>
        <v>0</v>
      </c>
      <c r="F67" s="173">
        <f t="shared" si="11"/>
        <v>-8507.0848118638896</v>
      </c>
      <c r="G67" s="173">
        <f t="shared" si="11"/>
        <v>-1098.3434557616883</v>
      </c>
      <c r="H67" s="173">
        <f t="shared" si="11"/>
        <v>0</v>
      </c>
      <c r="I67" s="173">
        <f t="shared" si="11"/>
        <v>-2220.6754920697149</v>
      </c>
      <c r="J67" s="173">
        <f t="shared" si="11"/>
        <v>-1822.1731854267773</v>
      </c>
      <c r="K67" s="173">
        <f t="shared" si="11"/>
        <v>-526.64704472011681</v>
      </c>
      <c r="L67" s="173">
        <f t="shared" si="11"/>
        <v>0</v>
      </c>
      <c r="M67" s="173">
        <f t="shared" si="11"/>
        <v>-42870.693170560553</v>
      </c>
      <c r="N67" s="173">
        <f t="shared" si="11"/>
        <v>-13714.261815684898</v>
      </c>
      <c r="O67" s="173">
        <f t="shared" si="11"/>
        <v>-2280.1586031413326</v>
      </c>
      <c r="P67" s="173">
        <f t="shared" si="11"/>
        <v>-139805.04051160894</v>
      </c>
      <c r="Q67" s="173">
        <f t="shared" si="11"/>
        <v>-8016.4815454355676</v>
      </c>
      <c r="R67" s="173">
        <f t="shared" si="11"/>
        <v>-8546.7154605354099</v>
      </c>
      <c r="S67" s="173">
        <f t="shared" si="11"/>
        <v>-15770.072782775678</v>
      </c>
      <c r="T67" s="173">
        <f t="shared" si="11"/>
        <v>-36284.524916126597</v>
      </c>
      <c r="U67" s="173">
        <f t="shared" si="11"/>
        <v>-48390.610276549836</v>
      </c>
      <c r="V67" s="173">
        <f t="shared" si="11"/>
        <v>0</v>
      </c>
      <c r="W67" s="173">
        <f t="shared" si="11"/>
        <v>-97809.381977775338</v>
      </c>
      <c r="X67" s="173">
        <f t="shared" si="11"/>
        <v>-7909.4857877728891</v>
      </c>
      <c r="Y67" s="173">
        <f t="shared" si="11"/>
        <v>-16383.540814122651</v>
      </c>
      <c r="Z67" s="173">
        <f t="shared" si="11"/>
        <v>-13796.78007072457</v>
      </c>
      <c r="AA67" s="173">
        <f t="shared" si="11"/>
        <v>-75860.261160559166</v>
      </c>
      <c r="AB67" s="173">
        <f t="shared" si="11"/>
        <v>-125092.18533524442</v>
      </c>
      <c r="AC67" s="173">
        <f t="shared" si="11"/>
        <v>-2646.8857165769091</v>
      </c>
      <c r="AD67" s="173">
        <f t="shared" si="11"/>
        <v>0</v>
      </c>
      <c r="AE67" s="173">
        <f t="shared" si="11"/>
        <v>0</v>
      </c>
      <c r="AF67" s="173">
        <f t="shared" si="11"/>
        <v>-241813.41369037528</v>
      </c>
    </row>
    <row r="69" spans="1:32">
      <c r="E69" s="174"/>
      <c r="F69" s="174"/>
      <c r="G69" s="174"/>
      <c r="H69" s="174"/>
      <c r="I69" s="174"/>
      <c r="J69" s="174"/>
      <c r="K69" s="174"/>
      <c r="L69" s="174"/>
      <c r="M69" s="174"/>
      <c r="N69" s="174"/>
      <c r="O69" s="174"/>
      <c r="P69" s="174"/>
      <c r="Q69" s="174"/>
      <c r="R69" s="174"/>
      <c r="S69" s="174"/>
      <c r="T69" s="174"/>
      <c r="U69" s="174"/>
      <c r="V69" s="174"/>
      <c r="W69" s="174"/>
      <c r="X69" s="174"/>
      <c r="Y69" s="174"/>
      <c r="Z69" s="174"/>
      <c r="AA69" s="174"/>
      <c r="AB69" s="174"/>
      <c r="AC69" s="174"/>
      <c r="AD69" s="174"/>
      <c r="AE69" s="174"/>
      <c r="AF69" s="174"/>
    </row>
    <row r="70" spans="1:32">
      <c r="E70" s="174"/>
      <c r="F70" s="174"/>
      <c r="G70" s="174"/>
      <c r="H70" s="174"/>
      <c r="I70" s="174"/>
      <c r="J70" s="174"/>
      <c r="K70" s="174"/>
      <c r="L70" s="174"/>
      <c r="M70" s="174"/>
      <c r="N70" s="174"/>
      <c r="O70" s="174"/>
      <c r="P70" s="174"/>
      <c r="Q70" s="174"/>
      <c r="R70" s="174"/>
      <c r="S70" s="174"/>
      <c r="T70" s="174"/>
      <c r="U70" s="174"/>
      <c r="V70" s="174"/>
      <c r="W70" s="174"/>
      <c r="X70" s="174"/>
      <c r="Y70" s="174"/>
      <c r="Z70" s="174"/>
      <c r="AA70" s="174"/>
      <c r="AB70" s="174"/>
      <c r="AC70" s="174"/>
      <c r="AD70" s="174"/>
      <c r="AE70" s="174"/>
      <c r="AF70" s="174"/>
    </row>
    <row r="71" spans="1:32">
      <c r="A71" s="175" t="s">
        <v>850</v>
      </c>
    </row>
    <row r="72" spans="1:32">
      <c r="A72" s="270" t="s">
        <v>780</v>
      </c>
      <c r="B72" s="228"/>
    </row>
    <row r="73" spans="1:32">
      <c r="A73" s="215" t="s">
        <v>851</v>
      </c>
      <c r="B73" s="349">
        <v>0.01</v>
      </c>
    </row>
    <row r="74" spans="1:32">
      <c r="A74" s="215" t="s">
        <v>852</v>
      </c>
      <c r="B74" s="349">
        <v>3.5000000000000003E-2</v>
      </c>
    </row>
    <row r="75" spans="1:32">
      <c r="A75" s="215" t="s">
        <v>853</v>
      </c>
      <c r="B75" s="349">
        <f>1-B73-B74-B76</f>
        <v>0.88500000000000001</v>
      </c>
    </row>
    <row r="76" spans="1:32">
      <c r="A76" s="229" t="s">
        <v>854</v>
      </c>
      <c r="B76" s="350">
        <v>7.0000000000000007E-2</v>
      </c>
    </row>
    <row r="77" spans="1:32">
      <c r="A77" s="351" t="s">
        <v>855</v>
      </c>
      <c r="B77" s="228"/>
    </row>
    <row r="78" spans="1:32">
      <c r="A78" s="215" t="s">
        <v>851</v>
      </c>
      <c r="B78" s="349">
        <v>0.32</v>
      </c>
    </row>
    <row r="79" spans="1:32">
      <c r="A79" s="215" t="s">
        <v>852</v>
      </c>
      <c r="B79" s="349">
        <v>0.64</v>
      </c>
    </row>
    <row r="80" spans="1:32">
      <c r="A80" s="215" t="s">
        <v>853</v>
      </c>
      <c r="B80" s="349">
        <f>1-B81-B79-B78</f>
        <v>2.9999999999999971E-2</v>
      </c>
    </row>
    <row r="81" spans="1:32">
      <c r="A81" s="229" t="s">
        <v>854</v>
      </c>
      <c r="B81" s="350">
        <v>0.01</v>
      </c>
    </row>
    <row r="83" spans="1:32" s="60" customFormat="1" ht="14.4">
      <c r="A83" s="63"/>
      <c r="B83" s="86"/>
      <c r="C83" s="63"/>
      <c r="D83" s="63"/>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86"/>
    </row>
    <row r="84" spans="1:32" s="59" customFormat="1">
      <c r="A84" s="68" t="s">
        <v>717</v>
      </c>
      <c r="B84" s="90" t="s">
        <v>708</v>
      </c>
      <c r="C84" s="68" t="s">
        <v>718</v>
      </c>
      <c r="D84" s="68" t="s">
        <v>375</v>
      </c>
      <c r="E84" s="69" t="s">
        <v>172</v>
      </c>
      <c r="F84" s="69" t="s">
        <v>175</v>
      </c>
      <c r="G84" s="69" t="s">
        <v>178</v>
      </c>
      <c r="H84" s="69" t="s">
        <v>181</v>
      </c>
      <c r="I84" s="69" t="s">
        <v>184</v>
      </c>
      <c r="J84" s="69" t="s">
        <v>187</v>
      </c>
      <c r="K84" s="69" t="s">
        <v>190</v>
      </c>
      <c r="L84" s="69" t="s">
        <v>193</v>
      </c>
      <c r="M84" s="69" t="s">
        <v>196</v>
      </c>
      <c r="N84" s="69" t="s">
        <v>198</v>
      </c>
      <c r="O84" s="69" t="s">
        <v>200</v>
      </c>
      <c r="P84" s="69" t="s">
        <v>202</v>
      </c>
      <c r="Q84" s="69" t="s">
        <v>205</v>
      </c>
      <c r="R84" s="69" t="s">
        <v>208</v>
      </c>
      <c r="S84" s="69" t="s">
        <v>211</v>
      </c>
      <c r="T84" s="69" t="s">
        <v>214</v>
      </c>
      <c r="U84" s="69" t="s">
        <v>217</v>
      </c>
      <c r="V84" s="69" t="s">
        <v>220</v>
      </c>
      <c r="W84" s="69" t="s">
        <v>223</v>
      </c>
      <c r="X84" s="69" t="s">
        <v>225</v>
      </c>
      <c r="Y84" s="69" t="s">
        <v>227</v>
      </c>
      <c r="Z84" s="69" t="s">
        <v>230</v>
      </c>
      <c r="AA84" s="69" t="s">
        <v>233</v>
      </c>
      <c r="AB84" s="69" t="s">
        <v>236</v>
      </c>
      <c r="AC84" s="69" t="s">
        <v>238</v>
      </c>
      <c r="AD84" s="69" t="s">
        <v>240</v>
      </c>
      <c r="AE84" s="69" t="s">
        <v>243</v>
      </c>
      <c r="AF84" s="91" t="s">
        <v>245</v>
      </c>
    </row>
    <row r="85" spans="1:32" s="59" customFormat="1">
      <c r="A85" s="71" t="s">
        <v>856</v>
      </c>
      <c r="B85" s="95" t="s">
        <v>851</v>
      </c>
      <c r="C85" s="71" t="s">
        <v>515</v>
      </c>
      <c r="D85" s="74" t="s">
        <v>387</v>
      </c>
      <c r="E85" s="209">
        <f t="shared" ref="E85:AF85" si="12">E31*$B$78</f>
        <v>0</v>
      </c>
      <c r="F85" s="209">
        <f t="shared" si="12"/>
        <v>0</v>
      </c>
      <c r="G85" s="209">
        <f t="shared" si="12"/>
        <v>0</v>
      </c>
      <c r="H85" s="209">
        <f t="shared" si="12"/>
        <v>0</v>
      </c>
      <c r="I85" s="209">
        <f t="shared" si="12"/>
        <v>0</v>
      </c>
      <c r="J85" s="209">
        <f t="shared" si="12"/>
        <v>0</v>
      </c>
      <c r="K85" s="209">
        <f t="shared" si="12"/>
        <v>0</v>
      </c>
      <c r="L85" s="209">
        <f t="shared" si="12"/>
        <v>0</v>
      </c>
      <c r="M85" s="209">
        <f t="shared" si="12"/>
        <v>0</v>
      </c>
      <c r="N85" s="209">
        <f t="shared" si="12"/>
        <v>0</v>
      </c>
      <c r="O85" s="209">
        <f t="shared" si="12"/>
        <v>0</v>
      </c>
      <c r="P85" s="209">
        <f t="shared" si="12"/>
        <v>0</v>
      </c>
      <c r="Q85" s="209">
        <f t="shared" si="12"/>
        <v>0</v>
      </c>
      <c r="R85" s="209">
        <f t="shared" si="12"/>
        <v>0</v>
      </c>
      <c r="S85" s="209">
        <f t="shared" si="12"/>
        <v>0</v>
      </c>
      <c r="T85" s="209">
        <f t="shared" si="12"/>
        <v>0</v>
      </c>
      <c r="U85" s="209">
        <f t="shared" si="12"/>
        <v>-173.76</v>
      </c>
      <c r="V85" s="209">
        <f t="shared" si="12"/>
        <v>0</v>
      </c>
      <c r="W85" s="209">
        <f t="shared" si="12"/>
        <v>0</v>
      </c>
      <c r="X85" s="209">
        <f t="shared" si="12"/>
        <v>0</v>
      </c>
      <c r="Y85" s="209">
        <f t="shared" si="12"/>
        <v>-0.32</v>
      </c>
      <c r="Z85" s="209">
        <f t="shared" si="12"/>
        <v>0</v>
      </c>
      <c r="AA85" s="209">
        <f t="shared" si="12"/>
        <v>0</v>
      </c>
      <c r="AB85" s="209">
        <f t="shared" si="12"/>
        <v>0</v>
      </c>
      <c r="AC85" s="209">
        <f t="shared" si="12"/>
        <v>0</v>
      </c>
      <c r="AD85" s="209">
        <f t="shared" si="12"/>
        <v>0</v>
      </c>
      <c r="AE85" s="209">
        <f t="shared" si="12"/>
        <v>0</v>
      </c>
      <c r="AF85" s="220">
        <f t="shared" si="12"/>
        <v>0</v>
      </c>
    </row>
    <row r="86" spans="1:32" s="59" customFormat="1">
      <c r="A86" s="71" t="s">
        <v>856</v>
      </c>
      <c r="B86" s="95" t="s">
        <v>851</v>
      </c>
      <c r="C86" s="71" t="s">
        <v>521</v>
      </c>
      <c r="D86" s="74" t="s">
        <v>387</v>
      </c>
      <c r="E86" s="209">
        <f t="shared" ref="E86:AF86" si="13">E32*$B$78</f>
        <v>0</v>
      </c>
      <c r="F86" s="209">
        <f t="shared" si="13"/>
        <v>0</v>
      </c>
      <c r="G86" s="209">
        <f t="shared" si="13"/>
        <v>0</v>
      </c>
      <c r="H86" s="209">
        <f t="shared" si="13"/>
        <v>0</v>
      </c>
      <c r="I86" s="209">
        <f t="shared" si="13"/>
        <v>0</v>
      </c>
      <c r="J86" s="209">
        <f t="shared" si="13"/>
        <v>0</v>
      </c>
      <c r="K86" s="209">
        <f t="shared" si="13"/>
        <v>0</v>
      </c>
      <c r="L86" s="209">
        <f t="shared" si="13"/>
        <v>0</v>
      </c>
      <c r="M86" s="209">
        <f t="shared" si="13"/>
        <v>0</v>
      </c>
      <c r="N86" s="209">
        <f t="shared" si="13"/>
        <v>0</v>
      </c>
      <c r="O86" s="209">
        <f t="shared" si="13"/>
        <v>0</v>
      </c>
      <c r="P86" s="209">
        <f t="shared" si="13"/>
        <v>0</v>
      </c>
      <c r="Q86" s="209">
        <f t="shared" si="13"/>
        <v>0</v>
      </c>
      <c r="R86" s="209">
        <f t="shared" si="13"/>
        <v>0</v>
      </c>
      <c r="S86" s="209">
        <f t="shared" si="13"/>
        <v>0</v>
      </c>
      <c r="T86" s="209">
        <f t="shared" si="13"/>
        <v>0</v>
      </c>
      <c r="U86" s="209">
        <f t="shared" si="13"/>
        <v>0</v>
      </c>
      <c r="V86" s="209">
        <f t="shared" si="13"/>
        <v>0</v>
      </c>
      <c r="W86" s="209">
        <f t="shared" si="13"/>
        <v>0</v>
      </c>
      <c r="X86" s="209">
        <f t="shared" si="13"/>
        <v>0</v>
      </c>
      <c r="Y86" s="209">
        <f t="shared" si="13"/>
        <v>0</v>
      </c>
      <c r="Z86" s="209">
        <f t="shared" si="13"/>
        <v>0</v>
      </c>
      <c r="AA86" s="209">
        <f t="shared" si="13"/>
        <v>0</v>
      </c>
      <c r="AB86" s="209">
        <f t="shared" si="13"/>
        <v>0</v>
      </c>
      <c r="AC86" s="209">
        <f t="shared" si="13"/>
        <v>0</v>
      </c>
      <c r="AD86" s="209">
        <f t="shared" si="13"/>
        <v>0</v>
      </c>
      <c r="AE86" s="209">
        <f t="shared" si="13"/>
        <v>0</v>
      </c>
      <c r="AF86" s="220">
        <f t="shared" si="13"/>
        <v>0</v>
      </c>
    </row>
    <row r="87" spans="1:32" s="59" customFormat="1">
      <c r="A87" s="71" t="s">
        <v>856</v>
      </c>
      <c r="B87" s="95" t="s">
        <v>851</v>
      </c>
      <c r="C87" s="71" t="s">
        <v>523</v>
      </c>
      <c r="D87" s="74" t="s">
        <v>387</v>
      </c>
      <c r="E87" s="209">
        <f t="shared" ref="E87:AF87" si="14">E33*$B$78</f>
        <v>0</v>
      </c>
      <c r="F87" s="209">
        <f t="shared" si="14"/>
        <v>0</v>
      </c>
      <c r="G87" s="209">
        <f t="shared" si="14"/>
        <v>0</v>
      </c>
      <c r="H87" s="209">
        <f t="shared" si="14"/>
        <v>0</v>
      </c>
      <c r="I87" s="209">
        <f t="shared" si="14"/>
        <v>0</v>
      </c>
      <c r="J87" s="209">
        <f t="shared" si="14"/>
        <v>0</v>
      </c>
      <c r="K87" s="209">
        <f t="shared" si="14"/>
        <v>0</v>
      </c>
      <c r="L87" s="209">
        <f t="shared" si="14"/>
        <v>0</v>
      </c>
      <c r="M87" s="209">
        <f t="shared" si="14"/>
        <v>0</v>
      </c>
      <c r="N87" s="209">
        <f t="shared" si="14"/>
        <v>0</v>
      </c>
      <c r="O87" s="209">
        <f t="shared" si="14"/>
        <v>0</v>
      </c>
      <c r="P87" s="209">
        <f t="shared" si="14"/>
        <v>0</v>
      </c>
      <c r="Q87" s="209">
        <f t="shared" si="14"/>
        <v>0</v>
      </c>
      <c r="R87" s="209">
        <f t="shared" si="14"/>
        <v>0</v>
      </c>
      <c r="S87" s="209">
        <f t="shared" si="14"/>
        <v>0</v>
      </c>
      <c r="T87" s="209">
        <f t="shared" si="14"/>
        <v>0</v>
      </c>
      <c r="U87" s="209">
        <f t="shared" si="14"/>
        <v>0</v>
      </c>
      <c r="V87" s="209">
        <f t="shared" si="14"/>
        <v>0</v>
      </c>
      <c r="W87" s="209">
        <f t="shared" si="14"/>
        <v>0</v>
      </c>
      <c r="X87" s="209">
        <f t="shared" si="14"/>
        <v>0</v>
      </c>
      <c r="Y87" s="209">
        <f t="shared" si="14"/>
        <v>0</v>
      </c>
      <c r="Z87" s="209">
        <f t="shared" si="14"/>
        <v>0</v>
      </c>
      <c r="AA87" s="209">
        <f t="shared" si="14"/>
        <v>0</v>
      </c>
      <c r="AB87" s="209">
        <f t="shared" si="14"/>
        <v>0</v>
      </c>
      <c r="AC87" s="209">
        <f t="shared" si="14"/>
        <v>0</v>
      </c>
      <c r="AD87" s="209">
        <f t="shared" si="14"/>
        <v>0</v>
      </c>
      <c r="AE87" s="209">
        <f t="shared" si="14"/>
        <v>0</v>
      </c>
      <c r="AF87" s="220">
        <f t="shared" si="14"/>
        <v>0</v>
      </c>
    </row>
    <row r="88" spans="1:32" s="59" customFormat="1">
      <c r="A88" s="71" t="s">
        <v>856</v>
      </c>
      <c r="B88" s="95" t="s">
        <v>851</v>
      </c>
      <c r="C88" s="71" t="s">
        <v>525</v>
      </c>
      <c r="D88" s="74" t="s">
        <v>387</v>
      </c>
      <c r="E88" s="209">
        <f t="shared" ref="E88:AF88" si="15">E34*$B$78</f>
        <v>0</v>
      </c>
      <c r="F88" s="209">
        <f t="shared" si="15"/>
        <v>0</v>
      </c>
      <c r="G88" s="209">
        <f t="shared" si="15"/>
        <v>0</v>
      </c>
      <c r="H88" s="209">
        <f t="shared" si="15"/>
        <v>0</v>
      </c>
      <c r="I88" s="209">
        <f t="shared" si="15"/>
        <v>0</v>
      </c>
      <c r="J88" s="209">
        <f t="shared" si="15"/>
        <v>0</v>
      </c>
      <c r="K88" s="209">
        <f t="shared" si="15"/>
        <v>0</v>
      </c>
      <c r="L88" s="209">
        <f t="shared" si="15"/>
        <v>0</v>
      </c>
      <c r="M88" s="209">
        <f t="shared" si="15"/>
        <v>0</v>
      </c>
      <c r="N88" s="209">
        <f t="shared" si="15"/>
        <v>0</v>
      </c>
      <c r="O88" s="209">
        <f t="shared" si="15"/>
        <v>0</v>
      </c>
      <c r="P88" s="209">
        <f t="shared" si="15"/>
        <v>0</v>
      </c>
      <c r="Q88" s="209">
        <f t="shared" si="15"/>
        <v>0</v>
      </c>
      <c r="R88" s="209">
        <f t="shared" si="15"/>
        <v>0</v>
      </c>
      <c r="S88" s="209">
        <f t="shared" si="15"/>
        <v>-0.30557642011243097</v>
      </c>
      <c r="T88" s="209">
        <f t="shared" si="15"/>
        <v>0</v>
      </c>
      <c r="U88" s="209">
        <f t="shared" si="15"/>
        <v>-91.075144786117662</v>
      </c>
      <c r="V88" s="209">
        <f t="shared" si="15"/>
        <v>0</v>
      </c>
      <c r="W88" s="209">
        <f t="shared" si="15"/>
        <v>0</v>
      </c>
      <c r="X88" s="209">
        <f t="shared" si="15"/>
        <v>0</v>
      </c>
      <c r="Y88" s="209">
        <f t="shared" si="15"/>
        <v>0</v>
      </c>
      <c r="Z88" s="209">
        <f t="shared" si="15"/>
        <v>0</v>
      </c>
      <c r="AA88" s="209">
        <f t="shared" si="15"/>
        <v>0</v>
      </c>
      <c r="AB88" s="209">
        <f t="shared" si="15"/>
        <v>0</v>
      </c>
      <c r="AC88" s="209">
        <f t="shared" si="15"/>
        <v>0</v>
      </c>
      <c r="AD88" s="209">
        <f t="shared" si="15"/>
        <v>0</v>
      </c>
      <c r="AE88" s="209">
        <f t="shared" si="15"/>
        <v>0</v>
      </c>
      <c r="AF88" s="220">
        <f t="shared" si="15"/>
        <v>0</v>
      </c>
    </row>
    <row r="89" spans="1:32" s="59" customFormat="1">
      <c r="A89" s="71" t="s">
        <v>856</v>
      </c>
      <c r="B89" s="95" t="s">
        <v>851</v>
      </c>
      <c r="C89" s="71" t="s">
        <v>527</v>
      </c>
      <c r="D89" s="74" t="s">
        <v>387</v>
      </c>
      <c r="E89" s="209">
        <f t="shared" ref="E89:AF89" si="16">E35*$B$78</f>
        <v>0</v>
      </c>
      <c r="F89" s="209">
        <f t="shared" si="16"/>
        <v>0</v>
      </c>
      <c r="G89" s="209">
        <f t="shared" si="16"/>
        <v>0</v>
      </c>
      <c r="H89" s="209">
        <f t="shared" si="16"/>
        <v>0</v>
      </c>
      <c r="I89" s="209">
        <f t="shared" si="16"/>
        <v>0</v>
      </c>
      <c r="J89" s="209">
        <f t="shared" si="16"/>
        <v>0</v>
      </c>
      <c r="K89" s="209">
        <f t="shared" si="16"/>
        <v>0</v>
      </c>
      <c r="L89" s="209">
        <f t="shared" si="16"/>
        <v>0</v>
      </c>
      <c r="M89" s="209">
        <f t="shared" si="16"/>
        <v>0</v>
      </c>
      <c r="N89" s="209">
        <f t="shared" si="16"/>
        <v>0</v>
      </c>
      <c r="O89" s="209">
        <f t="shared" si="16"/>
        <v>0</v>
      </c>
      <c r="P89" s="209">
        <f t="shared" si="16"/>
        <v>0</v>
      </c>
      <c r="Q89" s="209">
        <f t="shared" si="16"/>
        <v>0</v>
      </c>
      <c r="R89" s="209">
        <f t="shared" si="16"/>
        <v>0</v>
      </c>
      <c r="S89" s="209">
        <f t="shared" si="16"/>
        <v>-244.9415298005537</v>
      </c>
      <c r="T89" s="209">
        <f t="shared" si="16"/>
        <v>0</v>
      </c>
      <c r="U89" s="209">
        <f t="shared" si="16"/>
        <v>0</v>
      </c>
      <c r="V89" s="209">
        <f t="shared" si="16"/>
        <v>0</v>
      </c>
      <c r="W89" s="209">
        <f t="shared" si="16"/>
        <v>0</v>
      </c>
      <c r="X89" s="209">
        <f t="shared" si="16"/>
        <v>-706.74172902240127</v>
      </c>
      <c r="Y89" s="209">
        <f t="shared" si="16"/>
        <v>0</v>
      </c>
      <c r="Z89" s="209">
        <f t="shared" si="16"/>
        <v>0</v>
      </c>
      <c r="AA89" s="209">
        <f t="shared" si="16"/>
        <v>0</v>
      </c>
      <c r="AB89" s="209">
        <f t="shared" si="16"/>
        <v>0</v>
      </c>
      <c r="AC89" s="209">
        <f t="shared" si="16"/>
        <v>0</v>
      </c>
      <c r="AD89" s="209">
        <f t="shared" si="16"/>
        <v>0</v>
      </c>
      <c r="AE89" s="209">
        <f t="shared" si="16"/>
        <v>0</v>
      </c>
      <c r="AF89" s="220">
        <f t="shared" si="16"/>
        <v>0</v>
      </c>
    </row>
    <row r="90" spans="1:32" s="59" customFormat="1">
      <c r="A90" s="71" t="s">
        <v>856</v>
      </c>
      <c r="B90" s="95" t="s">
        <v>851</v>
      </c>
      <c r="C90" s="71" t="s">
        <v>529</v>
      </c>
      <c r="D90" s="74" t="s">
        <v>387</v>
      </c>
      <c r="E90" s="209">
        <f t="shared" ref="E90:AF90" si="17">E36*$B$78</f>
        <v>0</v>
      </c>
      <c r="F90" s="209">
        <f t="shared" si="17"/>
        <v>0</v>
      </c>
      <c r="G90" s="209">
        <f t="shared" si="17"/>
        <v>0</v>
      </c>
      <c r="H90" s="209">
        <f t="shared" si="17"/>
        <v>0</v>
      </c>
      <c r="I90" s="209">
        <f t="shared" si="17"/>
        <v>0</v>
      </c>
      <c r="J90" s="209">
        <f t="shared" si="17"/>
        <v>0</v>
      </c>
      <c r="K90" s="209">
        <f t="shared" si="17"/>
        <v>0</v>
      </c>
      <c r="L90" s="209">
        <f t="shared" si="17"/>
        <v>0</v>
      </c>
      <c r="M90" s="209">
        <f t="shared" si="17"/>
        <v>0</v>
      </c>
      <c r="N90" s="209">
        <f t="shared" si="17"/>
        <v>0</v>
      </c>
      <c r="O90" s="209">
        <f t="shared" si="17"/>
        <v>0</v>
      </c>
      <c r="P90" s="209">
        <f t="shared" si="17"/>
        <v>0</v>
      </c>
      <c r="Q90" s="209">
        <f t="shared" si="17"/>
        <v>0</v>
      </c>
      <c r="R90" s="209">
        <f t="shared" si="17"/>
        <v>0</v>
      </c>
      <c r="S90" s="209">
        <f t="shared" si="17"/>
        <v>0</v>
      </c>
      <c r="T90" s="209">
        <f t="shared" si="17"/>
        <v>0</v>
      </c>
      <c r="U90" s="209">
        <f t="shared" si="17"/>
        <v>0</v>
      </c>
      <c r="V90" s="209">
        <f t="shared" si="17"/>
        <v>0</v>
      </c>
      <c r="W90" s="209">
        <f t="shared" si="17"/>
        <v>0</v>
      </c>
      <c r="X90" s="209">
        <f t="shared" si="17"/>
        <v>0</v>
      </c>
      <c r="Y90" s="209">
        <f t="shared" si="17"/>
        <v>0</v>
      </c>
      <c r="Z90" s="209">
        <f t="shared" si="17"/>
        <v>0</v>
      </c>
      <c r="AA90" s="209">
        <f t="shared" si="17"/>
        <v>0</v>
      </c>
      <c r="AB90" s="209">
        <f t="shared" si="17"/>
        <v>0</v>
      </c>
      <c r="AC90" s="209">
        <f t="shared" si="17"/>
        <v>0</v>
      </c>
      <c r="AD90" s="209">
        <f t="shared" si="17"/>
        <v>0</v>
      </c>
      <c r="AE90" s="209">
        <f t="shared" si="17"/>
        <v>0</v>
      </c>
      <c r="AF90" s="220">
        <f t="shared" si="17"/>
        <v>0</v>
      </c>
    </row>
    <row r="91" spans="1:32" s="59" customFormat="1">
      <c r="A91" s="71" t="s">
        <v>856</v>
      </c>
      <c r="B91" s="95" t="s">
        <v>851</v>
      </c>
      <c r="C91" s="71" t="s">
        <v>531</v>
      </c>
      <c r="D91" s="74" t="s">
        <v>387</v>
      </c>
      <c r="E91" s="209">
        <f t="shared" ref="E91:AF91" si="18">E37*$B$78</f>
        <v>0</v>
      </c>
      <c r="F91" s="209">
        <f t="shared" si="18"/>
        <v>0</v>
      </c>
      <c r="G91" s="209">
        <f t="shared" si="18"/>
        <v>0</v>
      </c>
      <c r="H91" s="209">
        <f t="shared" si="18"/>
        <v>0</v>
      </c>
      <c r="I91" s="209">
        <f t="shared" si="18"/>
        <v>0</v>
      </c>
      <c r="J91" s="209">
        <f t="shared" si="18"/>
        <v>0</v>
      </c>
      <c r="K91" s="209">
        <f t="shared" si="18"/>
        <v>0</v>
      </c>
      <c r="L91" s="209">
        <f t="shared" si="18"/>
        <v>0</v>
      </c>
      <c r="M91" s="209">
        <f t="shared" si="18"/>
        <v>0</v>
      </c>
      <c r="N91" s="209">
        <f t="shared" si="18"/>
        <v>0</v>
      </c>
      <c r="O91" s="209">
        <f t="shared" si="18"/>
        <v>0</v>
      </c>
      <c r="P91" s="209">
        <f t="shared" si="18"/>
        <v>0</v>
      </c>
      <c r="Q91" s="209">
        <f t="shared" si="18"/>
        <v>0</v>
      </c>
      <c r="R91" s="209">
        <f t="shared" si="18"/>
        <v>0</v>
      </c>
      <c r="S91" s="209">
        <f t="shared" si="18"/>
        <v>0</v>
      </c>
      <c r="T91" s="209">
        <f t="shared" si="18"/>
        <v>0</v>
      </c>
      <c r="U91" s="209">
        <f t="shared" si="18"/>
        <v>-188.52469378144198</v>
      </c>
      <c r="V91" s="209">
        <f t="shared" si="18"/>
        <v>0</v>
      </c>
      <c r="W91" s="209">
        <f t="shared" si="18"/>
        <v>0</v>
      </c>
      <c r="X91" s="209">
        <f t="shared" si="18"/>
        <v>0</v>
      </c>
      <c r="Y91" s="209">
        <f t="shared" si="18"/>
        <v>0</v>
      </c>
      <c r="Z91" s="209">
        <f t="shared" si="18"/>
        <v>0</v>
      </c>
      <c r="AA91" s="209">
        <f t="shared" si="18"/>
        <v>0</v>
      </c>
      <c r="AB91" s="209">
        <f t="shared" si="18"/>
        <v>0</v>
      </c>
      <c r="AC91" s="209">
        <f t="shared" si="18"/>
        <v>0</v>
      </c>
      <c r="AD91" s="209">
        <f t="shared" si="18"/>
        <v>0</v>
      </c>
      <c r="AE91" s="209">
        <f t="shared" si="18"/>
        <v>0</v>
      </c>
      <c r="AF91" s="220">
        <f t="shared" si="18"/>
        <v>0</v>
      </c>
    </row>
    <row r="92" spans="1:32" s="59" customFormat="1">
      <c r="A92" s="71" t="s">
        <v>856</v>
      </c>
      <c r="B92" s="95" t="s">
        <v>851</v>
      </c>
      <c r="C92" s="71" t="s">
        <v>533</v>
      </c>
      <c r="D92" s="74" t="s">
        <v>387</v>
      </c>
      <c r="E92" s="209">
        <f t="shared" ref="E92:AF92" si="19">E38*$B$78</f>
        <v>0</v>
      </c>
      <c r="F92" s="209">
        <f t="shared" si="19"/>
        <v>0</v>
      </c>
      <c r="G92" s="209">
        <f t="shared" si="19"/>
        <v>0</v>
      </c>
      <c r="H92" s="209">
        <f t="shared" si="19"/>
        <v>0</v>
      </c>
      <c r="I92" s="209">
        <f t="shared" si="19"/>
        <v>0</v>
      </c>
      <c r="J92" s="209">
        <f t="shared" si="19"/>
        <v>0</v>
      </c>
      <c r="K92" s="209">
        <f t="shared" si="19"/>
        <v>0</v>
      </c>
      <c r="L92" s="209">
        <f t="shared" si="19"/>
        <v>0</v>
      </c>
      <c r="M92" s="209">
        <f t="shared" si="19"/>
        <v>0</v>
      </c>
      <c r="N92" s="209">
        <f t="shared" si="19"/>
        <v>0</v>
      </c>
      <c r="O92" s="209">
        <f t="shared" si="19"/>
        <v>0</v>
      </c>
      <c r="P92" s="209">
        <f t="shared" si="19"/>
        <v>0</v>
      </c>
      <c r="Q92" s="209">
        <f t="shared" si="19"/>
        <v>0</v>
      </c>
      <c r="R92" s="209">
        <f t="shared" si="19"/>
        <v>0</v>
      </c>
      <c r="S92" s="209">
        <f t="shared" si="19"/>
        <v>0</v>
      </c>
      <c r="T92" s="209">
        <f t="shared" si="19"/>
        <v>0</v>
      </c>
      <c r="U92" s="209">
        <f t="shared" si="19"/>
        <v>0</v>
      </c>
      <c r="V92" s="209">
        <f t="shared" si="19"/>
        <v>0</v>
      </c>
      <c r="W92" s="209">
        <f t="shared" si="19"/>
        <v>0</v>
      </c>
      <c r="X92" s="209">
        <f t="shared" si="19"/>
        <v>0</v>
      </c>
      <c r="Y92" s="209">
        <f t="shared" si="19"/>
        <v>0</v>
      </c>
      <c r="Z92" s="209">
        <f t="shared" si="19"/>
        <v>0</v>
      </c>
      <c r="AA92" s="209">
        <f t="shared" si="19"/>
        <v>0</v>
      </c>
      <c r="AB92" s="209">
        <f t="shared" si="19"/>
        <v>0</v>
      </c>
      <c r="AC92" s="209">
        <f t="shared" si="19"/>
        <v>0</v>
      </c>
      <c r="AD92" s="209">
        <f t="shared" si="19"/>
        <v>0</v>
      </c>
      <c r="AE92" s="209">
        <f t="shared" si="19"/>
        <v>0</v>
      </c>
      <c r="AF92" s="220">
        <f t="shared" si="19"/>
        <v>0</v>
      </c>
    </row>
    <row r="93" spans="1:32" s="59" customFormat="1">
      <c r="A93" s="71" t="s">
        <v>856</v>
      </c>
      <c r="B93" s="95" t="s">
        <v>851</v>
      </c>
      <c r="C93" s="71" t="s">
        <v>535</v>
      </c>
      <c r="D93" s="74" t="s">
        <v>387</v>
      </c>
      <c r="E93" s="209">
        <f t="shared" ref="E93:AF93" si="20">E39*$B$78</f>
        <v>0</v>
      </c>
      <c r="F93" s="209">
        <f t="shared" si="20"/>
        <v>0</v>
      </c>
      <c r="G93" s="209">
        <f t="shared" si="20"/>
        <v>-54.536246408227044</v>
      </c>
      <c r="H93" s="209">
        <f t="shared" si="20"/>
        <v>0</v>
      </c>
      <c r="I93" s="209">
        <f t="shared" si="20"/>
        <v>0</v>
      </c>
      <c r="J93" s="209">
        <f t="shared" si="20"/>
        <v>-48.595700389581744</v>
      </c>
      <c r="K93" s="209">
        <f t="shared" si="20"/>
        <v>-487.04</v>
      </c>
      <c r="L93" s="209">
        <f t="shared" si="20"/>
        <v>0</v>
      </c>
      <c r="M93" s="209">
        <f t="shared" si="20"/>
        <v>-362.63379310344828</v>
      </c>
      <c r="N93" s="209">
        <f t="shared" si="20"/>
        <v>-251.99498223004986</v>
      </c>
      <c r="O93" s="209">
        <f t="shared" si="20"/>
        <v>0</v>
      </c>
      <c r="P93" s="209">
        <f t="shared" si="20"/>
        <v>-4588.9396572692103</v>
      </c>
      <c r="Q93" s="209">
        <f t="shared" si="20"/>
        <v>0</v>
      </c>
      <c r="R93" s="209">
        <f t="shared" si="20"/>
        <v>0</v>
      </c>
      <c r="S93" s="209">
        <f t="shared" si="20"/>
        <v>-113.6900469651884</v>
      </c>
      <c r="T93" s="209">
        <f t="shared" si="20"/>
        <v>-1112.7248565248738</v>
      </c>
      <c r="U93" s="209">
        <f t="shared" si="20"/>
        <v>-1829.4802038358196</v>
      </c>
      <c r="V93" s="209">
        <f t="shared" si="20"/>
        <v>-34372.802601076743</v>
      </c>
      <c r="W93" s="209">
        <f t="shared" si="20"/>
        <v>0</v>
      </c>
      <c r="X93" s="209">
        <f t="shared" si="20"/>
        <v>-869.05029846028822</v>
      </c>
      <c r="Y93" s="209">
        <f t="shared" si="20"/>
        <v>-1081.5839379690501</v>
      </c>
      <c r="Z93" s="209">
        <f t="shared" si="20"/>
        <v>-1453.2176862881156</v>
      </c>
      <c r="AA93" s="209">
        <f t="shared" si="20"/>
        <v>-3205.6634319759178</v>
      </c>
      <c r="AB93" s="209">
        <f t="shared" si="20"/>
        <v>0</v>
      </c>
      <c r="AC93" s="209">
        <f t="shared" si="20"/>
        <v>-66.239999999999995</v>
      </c>
      <c r="AD93" s="209">
        <f t="shared" si="20"/>
        <v>0</v>
      </c>
      <c r="AE93" s="209">
        <f t="shared" si="20"/>
        <v>-63.915707608898856</v>
      </c>
      <c r="AF93" s="220">
        <f t="shared" si="20"/>
        <v>-2696.1786042847166</v>
      </c>
    </row>
    <row r="94" spans="1:32" s="59" customFormat="1">
      <c r="A94" s="71" t="s">
        <v>856</v>
      </c>
      <c r="B94" s="95" t="s">
        <v>851</v>
      </c>
      <c r="C94" s="71" t="s">
        <v>537</v>
      </c>
      <c r="D94" s="74" t="s">
        <v>387</v>
      </c>
      <c r="E94" s="209">
        <f t="shared" ref="E94:AF94" si="21">E40*$B$73</f>
        <v>0</v>
      </c>
      <c r="F94" s="209">
        <f t="shared" si="21"/>
        <v>-18.581378705963779</v>
      </c>
      <c r="G94" s="209">
        <f t="shared" si="21"/>
        <v>-5.1203812303174154E-2</v>
      </c>
      <c r="H94" s="209">
        <f t="shared" si="21"/>
        <v>-276.02973551147278</v>
      </c>
      <c r="I94" s="209">
        <f t="shared" si="21"/>
        <v>-50.5735899751297</v>
      </c>
      <c r="J94" s="209">
        <f t="shared" si="21"/>
        <v>-33.220813143220973</v>
      </c>
      <c r="K94" s="209">
        <f t="shared" si="21"/>
        <v>0</v>
      </c>
      <c r="L94" s="209">
        <f t="shared" si="21"/>
        <v>0</v>
      </c>
      <c r="M94" s="209">
        <f t="shared" si="21"/>
        <v>-150.37200000000001</v>
      </c>
      <c r="N94" s="209">
        <f t="shared" si="21"/>
        <v>-297.4293451120999</v>
      </c>
      <c r="O94" s="209">
        <f t="shared" si="21"/>
        <v>-21.145871557666414</v>
      </c>
      <c r="P94" s="209">
        <f t="shared" si="21"/>
        <v>-4155.1009962122007</v>
      </c>
      <c r="Q94" s="209">
        <f t="shared" si="21"/>
        <v>-89.264137997726152</v>
      </c>
      <c r="R94" s="209">
        <f t="shared" si="21"/>
        <v>-154.41004287009858</v>
      </c>
      <c r="S94" s="209">
        <f t="shared" si="21"/>
        <v>-206.47719811075433</v>
      </c>
      <c r="T94" s="209">
        <f t="shared" si="21"/>
        <v>-454.70719865310605</v>
      </c>
      <c r="U94" s="209">
        <f t="shared" si="21"/>
        <v>-438.24494053992879</v>
      </c>
      <c r="V94" s="209">
        <f t="shared" si="21"/>
        <v>0</v>
      </c>
      <c r="W94" s="209">
        <f t="shared" si="21"/>
        <v>-191.16</v>
      </c>
      <c r="X94" s="209">
        <f t="shared" si="21"/>
        <v>-335.64743715171272</v>
      </c>
      <c r="Y94" s="209">
        <f t="shared" si="21"/>
        <v>-99.778285698627158</v>
      </c>
      <c r="Z94" s="209">
        <f t="shared" si="21"/>
        <v>-118.26451884393613</v>
      </c>
      <c r="AA94" s="209">
        <f t="shared" si="21"/>
        <v>-408.23283840904048</v>
      </c>
      <c r="AB94" s="209">
        <f t="shared" si="21"/>
        <v>-50.11841500672125</v>
      </c>
      <c r="AC94" s="209">
        <f t="shared" si="21"/>
        <v>0</v>
      </c>
      <c r="AD94" s="209">
        <f t="shared" si="21"/>
        <v>-1080.5177758357402</v>
      </c>
      <c r="AE94" s="209">
        <f t="shared" si="21"/>
        <v>-476.18640214597531</v>
      </c>
      <c r="AF94" s="220">
        <f t="shared" si="21"/>
        <v>-1997.9166619851787</v>
      </c>
    </row>
    <row r="95" spans="1:32" s="59" customFormat="1">
      <c r="A95" s="71" t="s">
        <v>856</v>
      </c>
      <c r="B95" s="95" t="s">
        <v>851</v>
      </c>
      <c r="C95" s="71" t="s">
        <v>541</v>
      </c>
      <c r="D95" s="74" t="s">
        <v>387</v>
      </c>
      <c r="E95" s="209">
        <f>E67*$B$78</f>
        <v>0</v>
      </c>
      <c r="F95" s="209">
        <f>F67*$B$78</f>
        <v>-2722.2671397964446</v>
      </c>
      <c r="G95" s="209">
        <f t="shared" ref="G95:AF95" si="22">G67*$B$78</f>
        <v>-351.46990584374026</v>
      </c>
      <c r="H95" s="209">
        <f t="shared" si="22"/>
        <v>0</v>
      </c>
      <c r="I95" s="209">
        <f t="shared" si="22"/>
        <v>-710.61615746230882</v>
      </c>
      <c r="J95" s="209">
        <f t="shared" si="22"/>
        <v>-583.09541933656874</v>
      </c>
      <c r="K95" s="209">
        <f t="shared" si="22"/>
        <v>-168.52705431043739</v>
      </c>
      <c r="L95" s="209">
        <f t="shared" si="22"/>
        <v>0</v>
      </c>
      <c r="M95" s="209">
        <f t="shared" si="22"/>
        <v>-13718.621814579377</v>
      </c>
      <c r="N95" s="209">
        <f t="shared" si="22"/>
        <v>-4388.5637810191674</v>
      </c>
      <c r="O95" s="209">
        <f t="shared" si="22"/>
        <v>-729.65075300522642</v>
      </c>
      <c r="P95" s="209">
        <f t="shared" si="22"/>
        <v>-44737.612963714862</v>
      </c>
      <c r="Q95" s="209">
        <f t="shared" si="22"/>
        <v>-2565.2740945393816</v>
      </c>
      <c r="R95" s="209">
        <f t="shared" si="22"/>
        <v>-2734.9489473713311</v>
      </c>
      <c r="S95" s="209">
        <f t="shared" si="22"/>
        <v>-5046.4232904882174</v>
      </c>
      <c r="T95" s="209">
        <f t="shared" si="22"/>
        <v>-11611.047973160512</v>
      </c>
      <c r="U95" s="209">
        <f t="shared" si="22"/>
        <v>-15484.995288495948</v>
      </c>
      <c r="V95" s="209">
        <f t="shared" si="22"/>
        <v>0</v>
      </c>
      <c r="W95" s="209">
        <f t="shared" si="22"/>
        <v>-31299.00223288811</v>
      </c>
      <c r="X95" s="209">
        <f t="shared" si="22"/>
        <v>-2531.0354520873248</v>
      </c>
      <c r="Y95" s="209">
        <f t="shared" si="22"/>
        <v>-5242.7330605192483</v>
      </c>
      <c r="Z95" s="209">
        <f t="shared" si="22"/>
        <v>-4414.969622631862</v>
      </c>
      <c r="AA95" s="209">
        <f t="shared" si="22"/>
        <v>-24275.283571378935</v>
      </c>
      <c r="AB95" s="209">
        <f t="shared" si="22"/>
        <v>-40029.499307278216</v>
      </c>
      <c r="AC95" s="209">
        <f t="shared" si="22"/>
        <v>-847.0034293046109</v>
      </c>
      <c r="AD95" s="209">
        <f t="shared" si="22"/>
        <v>0</v>
      </c>
      <c r="AE95" s="209">
        <f t="shared" si="22"/>
        <v>0</v>
      </c>
      <c r="AF95" s="220">
        <f t="shared" si="22"/>
        <v>-77380.292380920087</v>
      </c>
    </row>
    <row r="96" spans="1:32" s="59" customFormat="1">
      <c r="A96" s="71" t="s">
        <v>856</v>
      </c>
      <c r="B96" s="95" t="s">
        <v>851</v>
      </c>
      <c r="C96" s="71" t="s">
        <v>543</v>
      </c>
      <c r="D96" s="74" t="s">
        <v>387</v>
      </c>
      <c r="E96" s="209">
        <f t="shared" ref="E96:AF96" si="23">E42*$B$78</f>
        <v>0</v>
      </c>
      <c r="F96" s="209">
        <f t="shared" si="23"/>
        <v>0</v>
      </c>
      <c r="G96" s="209">
        <f t="shared" si="23"/>
        <v>0</v>
      </c>
      <c r="H96" s="209">
        <f t="shared" si="23"/>
        <v>0</v>
      </c>
      <c r="I96" s="209">
        <f t="shared" si="23"/>
        <v>0</v>
      </c>
      <c r="J96" s="209">
        <f t="shared" si="23"/>
        <v>0</v>
      </c>
      <c r="K96" s="209">
        <f t="shared" si="23"/>
        <v>0</v>
      </c>
      <c r="L96" s="209">
        <f t="shared" si="23"/>
        <v>0</v>
      </c>
      <c r="M96" s="209">
        <f t="shared" si="23"/>
        <v>0</v>
      </c>
      <c r="N96" s="209">
        <f t="shared" si="23"/>
        <v>-814.72</v>
      </c>
      <c r="O96" s="209">
        <f t="shared" si="23"/>
        <v>0</v>
      </c>
      <c r="P96" s="209">
        <f t="shared" si="23"/>
        <v>-249.2384203821656</v>
      </c>
      <c r="Q96" s="209">
        <f t="shared" si="23"/>
        <v>0</v>
      </c>
      <c r="R96" s="209">
        <f t="shared" si="23"/>
        <v>0</v>
      </c>
      <c r="S96" s="209">
        <f t="shared" si="23"/>
        <v>0</v>
      </c>
      <c r="T96" s="209">
        <f t="shared" si="23"/>
        <v>0</v>
      </c>
      <c r="U96" s="209">
        <f t="shared" si="23"/>
        <v>0</v>
      </c>
      <c r="V96" s="209">
        <f t="shared" si="23"/>
        <v>0</v>
      </c>
      <c r="W96" s="209">
        <f t="shared" si="23"/>
        <v>0</v>
      </c>
      <c r="X96" s="209">
        <f t="shared" si="23"/>
        <v>-7.04</v>
      </c>
      <c r="Y96" s="209">
        <f t="shared" si="23"/>
        <v>-1450.4435195317765</v>
      </c>
      <c r="Z96" s="209">
        <f t="shared" si="23"/>
        <v>0</v>
      </c>
      <c r="AA96" s="209">
        <f t="shared" si="23"/>
        <v>0</v>
      </c>
      <c r="AB96" s="209">
        <f t="shared" si="23"/>
        <v>0</v>
      </c>
      <c r="AC96" s="209">
        <f t="shared" si="23"/>
        <v>0</v>
      </c>
      <c r="AD96" s="209">
        <f t="shared" si="23"/>
        <v>0</v>
      </c>
      <c r="AE96" s="209">
        <f t="shared" si="23"/>
        <v>0</v>
      </c>
      <c r="AF96" s="220">
        <f t="shared" si="23"/>
        <v>-555.83342359783444</v>
      </c>
    </row>
    <row r="97" spans="1:32" s="59" customFormat="1">
      <c r="A97" s="71" t="s">
        <v>856</v>
      </c>
      <c r="B97" s="95" t="s">
        <v>851</v>
      </c>
      <c r="C97" s="71" t="s">
        <v>545</v>
      </c>
      <c r="D97" s="74" t="s">
        <v>387</v>
      </c>
      <c r="E97" s="209">
        <f t="shared" ref="E97:AE97" si="24">E43*$B$78</f>
        <v>0</v>
      </c>
      <c r="F97" s="209">
        <f t="shared" si="24"/>
        <v>0</v>
      </c>
      <c r="G97" s="209">
        <f t="shared" si="24"/>
        <v>0</v>
      </c>
      <c r="H97" s="209">
        <f t="shared" si="24"/>
        <v>0</v>
      </c>
      <c r="I97" s="209">
        <f t="shared" si="24"/>
        <v>0</v>
      </c>
      <c r="J97" s="209">
        <f t="shared" si="24"/>
        <v>0</v>
      </c>
      <c r="K97" s="209">
        <f t="shared" si="24"/>
        <v>0</v>
      </c>
      <c r="L97" s="209">
        <f t="shared" si="24"/>
        <v>0</v>
      </c>
      <c r="M97" s="209">
        <f t="shared" si="24"/>
        <v>0</v>
      </c>
      <c r="N97" s="209">
        <f t="shared" si="24"/>
        <v>0</v>
      </c>
      <c r="O97" s="209">
        <f t="shared" si="24"/>
        <v>0</v>
      </c>
      <c r="P97" s="209">
        <f t="shared" si="24"/>
        <v>-203010.77873653109</v>
      </c>
      <c r="Q97" s="209">
        <f t="shared" si="24"/>
        <v>-7266.3207944490459</v>
      </c>
      <c r="R97" s="209">
        <f t="shared" si="24"/>
        <v>-4271.3599999999997</v>
      </c>
      <c r="S97" s="209">
        <f t="shared" si="24"/>
        <v>-745.99989649858264</v>
      </c>
      <c r="T97" s="209">
        <f t="shared" si="24"/>
        <v>-14833.006035048133</v>
      </c>
      <c r="U97" s="209">
        <f t="shared" si="24"/>
        <v>-6266.0308341691334</v>
      </c>
      <c r="V97" s="209">
        <f t="shared" si="24"/>
        <v>0</v>
      </c>
      <c r="W97" s="209">
        <f t="shared" si="24"/>
        <v>0</v>
      </c>
      <c r="X97" s="209">
        <f t="shared" si="24"/>
        <v>0</v>
      </c>
      <c r="Y97" s="209">
        <f t="shared" si="24"/>
        <v>0</v>
      </c>
      <c r="Z97" s="209">
        <f t="shared" si="24"/>
        <v>0</v>
      </c>
      <c r="AA97" s="209">
        <f t="shared" si="24"/>
        <v>0</v>
      </c>
      <c r="AB97" s="209">
        <f t="shared" si="24"/>
        <v>0</v>
      </c>
      <c r="AC97" s="209">
        <f t="shared" si="24"/>
        <v>0</v>
      </c>
      <c r="AD97" s="209">
        <f t="shared" si="24"/>
        <v>-123068.9969496182</v>
      </c>
      <c r="AE97" s="209">
        <f t="shared" si="24"/>
        <v>-394.56</v>
      </c>
      <c r="AF97" s="220">
        <f>AF43*$B$78</f>
        <v>-19759.68</v>
      </c>
    </row>
    <row r="98" spans="1:32" s="59" customFormat="1">
      <c r="A98" s="71" t="s">
        <v>856</v>
      </c>
      <c r="B98" s="95" t="s">
        <v>851</v>
      </c>
      <c r="C98" s="71" t="s">
        <v>548</v>
      </c>
      <c r="D98" s="74" t="s">
        <v>387</v>
      </c>
      <c r="E98" s="209">
        <f t="shared" ref="E98:AF98" si="25">E44*$B$78</f>
        <v>0</v>
      </c>
      <c r="F98" s="209">
        <f t="shared" si="25"/>
        <v>-2990.08</v>
      </c>
      <c r="G98" s="209">
        <f t="shared" si="25"/>
        <v>-515.1222537380479</v>
      </c>
      <c r="H98" s="209">
        <f t="shared" si="25"/>
        <v>0</v>
      </c>
      <c r="I98" s="209">
        <f t="shared" si="25"/>
        <v>-1085.2292551458613</v>
      </c>
      <c r="J98" s="209">
        <f t="shared" si="25"/>
        <v>-669.76</v>
      </c>
      <c r="K98" s="209">
        <f t="shared" si="25"/>
        <v>-32908.160000000003</v>
      </c>
      <c r="L98" s="209">
        <f t="shared" si="25"/>
        <v>-1453.76</v>
      </c>
      <c r="M98" s="209">
        <f t="shared" si="25"/>
        <v>-9983.0400000000009</v>
      </c>
      <c r="N98" s="209">
        <f t="shared" si="25"/>
        <v>-185.28</v>
      </c>
      <c r="O98" s="209">
        <f t="shared" si="25"/>
        <v>-2851.349119522903</v>
      </c>
      <c r="P98" s="209">
        <f t="shared" si="25"/>
        <v>-5115.268739084876</v>
      </c>
      <c r="Q98" s="209">
        <f t="shared" si="25"/>
        <v>-10084.076216458077</v>
      </c>
      <c r="R98" s="209">
        <f t="shared" si="25"/>
        <v>-4964.4145758680224</v>
      </c>
      <c r="S98" s="209">
        <f t="shared" si="25"/>
        <v>-17545.92093016026</v>
      </c>
      <c r="T98" s="209">
        <f t="shared" si="25"/>
        <v>-38224.639999999999</v>
      </c>
      <c r="U98" s="209">
        <f t="shared" si="25"/>
        <v>-54383.275046963732</v>
      </c>
      <c r="V98" s="209">
        <f t="shared" si="25"/>
        <v>0</v>
      </c>
      <c r="W98" s="209">
        <f t="shared" si="25"/>
        <v>0</v>
      </c>
      <c r="X98" s="209">
        <f t="shared" si="25"/>
        <v>-43259.200000000004</v>
      </c>
      <c r="Y98" s="209">
        <f t="shared" si="25"/>
        <v>-52794.154538440991</v>
      </c>
      <c r="Z98" s="209">
        <f t="shared" si="25"/>
        <v>-35752.959999999999</v>
      </c>
      <c r="AA98" s="209">
        <f t="shared" si="25"/>
        <v>-79685.440000000002</v>
      </c>
      <c r="AB98" s="209">
        <f t="shared" si="25"/>
        <v>-43828.160000000003</v>
      </c>
      <c r="AC98" s="209">
        <f t="shared" si="25"/>
        <v>-518.08000000000004</v>
      </c>
      <c r="AD98" s="209">
        <f t="shared" si="25"/>
        <v>0</v>
      </c>
      <c r="AE98" s="209">
        <f t="shared" si="25"/>
        <v>-36550.171594523679</v>
      </c>
      <c r="AF98" s="220">
        <f t="shared" si="25"/>
        <v>-189.78380707066142</v>
      </c>
    </row>
    <row r="99" spans="1:32" s="59" customFormat="1">
      <c r="A99" s="71" t="s">
        <v>856</v>
      </c>
      <c r="B99" s="95" t="s">
        <v>851</v>
      </c>
      <c r="C99" s="71" t="s">
        <v>550</v>
      </c>
      <c r="D99" s="74" t="s">
        <v>387</v>
      </c>
      <c r="E99" s="209">
        <f t="shared" ref="E99:AF99" si="26">E45*$B$78</f>
        <v>0</v>
      </c>
      <c r="F99" s="209">
        <f t="shared" si="26"/>
        <v>0</v>
      </c>
      <c r="G99" s="209">
        <f t="shared" si="26"/>
        <v>0</v>
      </c>
      <c r="H99" s="209">
        <f t="shared" si="26"/>
        <v>0</v>
      </c>
      <c r="I99" s="209">
        <f t="shared" si="26"/>
        <v>0</v>
      </c>
      <c r="J99" s="209">
        <f t="shared" si="26"/>
        <v>0</v>
      </c>
      <c r="K99" s="209">
        <f t="shared" si="26"/>
        <v>0</v>
      </c>
      <c r="L99" s="209">
        <f t="shared" si="26"/>
        <v>0</v>
      </c>
      <c r="M99" s="209">
        <f t="shared" si="26"/>
        <v>0</v>
      </c>
      <c r="N99" s="209">
        <f t="shared" si="26"/>
        <v>0</v>
      </c>
      <c r="O99" s="209">
        <f t="shared" si="26"/>
        <v>0</v>
      </c>
      <c r="P99" s="209">
        <f t="shared" si="26"/>
        <v>-37.099354838709679</v>
      </c>
      <c r="Q99" s="209">
        <f t="shared" si="26"/>
        <v>0</v>
      </c>
      <c r="R99" s="209">
        <f t="shared" si="26"/>
        <v>0</v>
      </c>
      <c r="S99" s="209">
        <f t="shared" si="26"/>
        <v>0</v>
      </c>
      <c r="T99" s="209">
        <f t="shared" si="26"/>
        <v>0</v>
      </c>
      <c r="U99" s="209">
        <f t="shared" si="26"/>
        <v>0</v>
      </c>
      <c r="V99" s="209">
        <f t="shared" si="26"/>
        <v>0</v>
      </c>
      <c r="W99" s="209">
        <f t="shared" si="26"/>
        <v>0</v>
      </c>
      <c r="X99" s="209">
        <f t="shared" si="26"/>
        <v>-1059.0168080919036</v>
      </c>
      <c r="Y99" s="209">
        <f t="shared" si="26"/>
        <v>-1556.1347078367421</v>
      </c>
      <c r="Z99" s="209">
        <f t="shared" si="26"/>
        <v>0</v>
      </c>
      <c r="AA99" s="209">
        <f t="shared" si="26"/>
        <v>0</v>
      </c>
      <c r="AB99" s="209">
        <f t="shared" si="26"/>
        <v>0</v>
      </c>
      <c r="AC99" s="209">
        <f t="shared" si="26"/>
        <v>0</v>
      </c>
      <c r="AD99" s="209">
        <f t="shared" si="26"/>
        <v>0</v>
      </c>
      <c r="AE99" s="209">
        <f t="shared" si="26"/>
        <v>0</v>
      </c>
      <c r="AF99" s="220">
        <f t="shared" si="26"/>
        <v>-1672</v>
      </c>
    </row>
    <row r="100" spans="1:32" s="59" customFormat="1">
      <c r="A100" s="71" t="s">
        <v>856</v>
      </c>
      <c r="B100" s="95" t="s">
        <v>851</v>
      </c>
      <c r="C100" s="71" t="s">
        <v>552</v>
      </c>
      <c r="D100" s="74" t="s">
        <v>387</v>
      </c>
      <c r="E100" s="209">
        <f t="shared" ref="E100:AF100" si="27">E46*$B$78</f>
        <v>0</v>
      </c>
      <c r="F100" s="209">
        <f t="shared" si="27"/>
        <v>0</v>
      </c>
      <c r="G100" s="209">
        <f t="shared" si="27"/>
        <v>-113.60000000000001</v>
      </c>
      <c r="H100" s="209">
        <f t="shared" si="27"/>
        <v>0</v>
      </c>
      <c r="I100" s="209">
        <f t="shared" si="27"/>
        <v>0</v>
      </c>
      <c r="J100" s="209">
        <f t="shared" si="27"/>
        <v>-11.923130759983971</v>
      </c>
      <c r="K100" s="209">
        <f t="shared" si="27"/>
        <v>0</v>
      </c>
      <c r="L100" s="209">
        <f t="shared" si="27"/>
        <v>0</v>
      </c>
      <c r="M100" s="209">
        <f t="shared" si="27"/>
        <v>0</v>
      </c>
      <c r="N100" s="209">
        <f t="shared" si="27"/>
        <v>-1192.8301561082733</v>
      </c>
      <c r="O100" s="209">
        <f t="shared" si="27"/>
        <v>-1788.232308838873</v>
      </c>
      <c r="P100" s="209">
        <f t="shared" si="27"/>
        <v>-164573.78634746169</v>
      </c>
      <c r="Q100" s="209">
        <f t="shared" si="27"/>
        <v>0</v>
      </c>
      <c r="R100" s="209">
        <f t="shared" si="27"/>
        <v>0</v>
      </c>
      <c r="S100" s="209">
        <f t="shared" si="27"/>
        <v>-337.01613925288478</v>
      </c>
      <c r="T100" s="209">
        <f t="shared" si="27"/>
        <v>-11563.5252785094</v>
      </c>
      <c r="U100" s="209">
        <f t="shared" si="27"/>
        <v>-17598.235096682631</v>
      </c>
      <c r="V100" s="209">
        <f t="shared" si="27"/>
        <v>0</v>
      </c>
      <c r="W100" s="209">
        <f t="shared" si="27"/>
        <v>0</v>
      </c>
      <c r="X100" s="209">
        <f t="shared" si="27"/>
        <v>-5439.6173936778723</v>
      </c>
      <c r="Y100" s="209">
        <f t="shared" si="27"/>
        <v>-11500.722648394827</v>
      </c>
      <c r="Z100" s="209">
        <f t="shared" si="27"/>
        <v>0</v>
      </c>
      <c r="AA100" s="209">
        <f t="shared" si="27"/>
        <v>-15474.813995659399</v>
      </c>
      <c r="AB100" s="209">
        <f t="shared" si="27"/>
        <v>0</v>
      </c>
      <c r="AC100" s="209">
        <f t="shared" si="27"/>
        <v>-53.120000000000005</v>
      </c>
      <c r="AD100" s="209">
        <f t="shared" si="27"/>
        <v>0</v>
      </c>
      <c r="AE100" s="209">
        <f t="shared" si="27"/>
        <v>-13328.435930560365</v>
      </c>
      <c r="AF100" s="220">
        <f t="shared" si="27"/>
        <v>-8626.24</v>
      </c>
    </row>
    <row r="101" spans="1:32" s="59" customFormat="1">
      <c r="A101" s="71" t="s">
        <v>856</v>
      </c>
      <c r="B101" s="95" t="s">
        <v>851</v>
      </c>
      <c r="C101" s="71" t="s">
        <v>554</v>
      </c>
      <c r="D101" s="74" t="s">
        <v>387</v>
      </c>
      <c r="E101" s="209">
        <f t="shared" ref="E101:AF101" si="28">E47*$B$78</f>
        <v>0</v>
      </c>
      <c r="F101" s="209">
        <f t="shared" si="28"/>
        <v>0</v>
      </c>
      <c r="G101" s="209">
        <f t="shared" si="28"/>
        <v>0</v>
      </c>
      <c r="H101" s="209">
        <f t="shared" si="28"/>
        <v>0</v>
      </c>
      <c r="I101" s="209">
        <f t="shared" si="28"/>
        <v>0</v>
      </c>
      <c r="J101" s="209">
        <f t="shared" si="28"/>
        <v>0</v>
      </c>
      <c r="K101" s="209">
        <f t="shared" si="28"/>
        <v>0</v>
      </c>
      <c r="L101" s="209">
        <f t="shared" si="28"/>
        <v>0</v>
      </c>
      <c r="M101" s="209">
        <f t="shared" si="28"/>
        <v>0</v>
      </c>
      <c r="N101" s="209">
        <f t="shared" si="28"/>
        <v>0</v>
      </c>
      <c r="O101" s="209">
        <f t="shared" si="28"/>
        <v>0</v>
      </c>
      <c r="P101" s="209">
        <f t="shared" si="28"/>
        <v>-6585.7269436038523</v>
      </c>
      <c r="Q101" s="209">
        <f t="shared" si="28"/>
        <v>0</v>
      </c>
      <c r="R101" s="209">
        <f t="shared" si="28"/>
        <v>0</v>
      </c>
      <c r="S101" s="209">
        <f t="shared" si="28"/>
        <v>0</v>
      </c>
      <c r="T101" s="209">
        <f t="shared" si="28"/>
        <v>0</v>
      </c>
      <c r="U101" s="209">
        <f t="shared" si="28"/>
        <v>0</v>
      </c>
      <c r="V101" s="209">
        <f t="shared" si="28"/>
        <v>0</v>
      </c>
      <c r="W101" s="209">
        <f t="shared" si="28"/>
        <v>0</v>
      </c>
      <c r="X101" s="209">
        <f t="shared" si="28"/>
        <v>-385.92</v>
      </c>
      <c r="Y101" s="209">
        <f t="shared" si="28"/>
        <v>-1.6</v>
      </c>
      <c r="Z101" s="209">
        <f t="shared" si="28"/>
        <v>0</v>
      </c>
      <c r="AA101" s="209">
        <f t="shared" si="28"/>
        <v>-1368.32</v>
      </c>
      <c r="AB101" s="209">
        <f t="shared" si="28"/>
        <v>0</v>
      </c>
      <c r="AC101" s="209">
        <f t="shared" si="28"/>
        <v>0</v>
      </c>
      <c r="AD101" s="209">
        <f t="shared" si="28"/>
        <v>0</v>
      </c>
      <c r="AE101" s="209">
        <f t="shared" si="28"/>
        <v>0</v>
      </c>
      <c r="AF101" s="220">
        <f t="shared" si="28"/>
        <v>-6.72</v>
      </c>
    </row>
    <row r="102" spans="1:32" s="59" customFormat="1">
      <c r="A102" s="71" t="s">
        <v>856</v>
      </c>
      <c r="B102" s="95" t="s">
        <v>851</v>
      </c>
      <c r="C102" s="71" t="s">
        <v>556</v>
      </c>
      <c r="D102" s="74" t="s">
        <v>387</v>
      </c>
      <c r="E102" s="209">
        <f t="shared" ref="E102:AF102" si="29">E48*$B$78</f>
        <v>0</v>
      </c>
      <c r="F102" s="209">
        <f t="shared" si="29"/>
        <v>-4990.8791059968207</v>
      </c>
      <c r="G102" s="209">
        <f t="shared" si="29"/>
        <v>-308.90478356815487</v>
      </c>
      <c r="H102" s="209">
        <f t="shared" si="29"/>
        <v>0</v>
      </c>
      <c r="I102" s="209">
        <f t="shared" si="29"/>
        <v>0</v>
      </c>
      <c r="J102" s="209">
        <f t="shared" si="29"/>
        <v>-43.721130469583798</v>
      </c>
      <c r="K102" s="209">
        <f t="shared" si="29"/>
        <v>-2251.2000000000003</v>
      </c>
      <c r="L102" s="209">
        <f t="shared" si="29"/>
        <v>0</v>
      </c>
      <c r="M102" s="209">
        <f t="shared" si="29"/>
        <v>0</v>
      </c>
      <c r="N102" s="209">
        <f t="shared" si="29"/>
        <v>0</v>
      </c>
      <c r="O102" s="209">
        <f t="shared" si="29"/>
        <v>0</v>
      </c>
      <c r="P102" s="209">
        <f t="shared" si="29"/>
        <v>0</v>
      </c>
      <c r="Q102" s="209">
        <f t="shared" si="29"/>
        <v>0</v>
      </c>
      <c r="R102" s="209">
        <f t="shared" si="29"/>
        <v>0</v>
      </c>
      <c r="S102" s="209">
        <f t="shared" si="29"/>
        <v>0</v>
      </c>
      <c r="T102" s="209">
        <f t="shared" si="29"/>
        <v>0</v>
      </c>
      <c r="U102" s="209">
        <f t="shared" si="29"/>
        <v>0</v>
      </c>
      <c r="V102" s="209">
        <f t="shared" si="29"/>
        <v>-20420.037041648244</v>
      </c>
      <c r="W102" s="209">
        <f t="shared" si="29"/>
        <v>0</v>
      </c>
      <c r="X102" s="209">
        <f t="shared" si="29"/>
        <v>0</v>
      </c>
      <c r="Y102" s="209">
        <f t="shared" si="29"/>
        <v>-2754.761450790958</v>
      </c>
      <c r="Z102" s="209">
        <f t="shared" si="29"/>
        <v>0</v>
      </c>
      <c r="AA102" s="209">
        <f t="shared" si="29"/>
        <v>0</v>
      </c>
      <c r="AB102" s="209">
        <f t="shared" si="29"/>
        <v>0</v>
      </c>
      <c r="AC102" s="209">
        <f t="shared" si="29"/>
        <v>0</v>
      </c>
      <c r="AD102" s="209">
        <f t="shared" si="29"/>
        <v>0</v>
      </c>
      <c r="AE102" s="209">
        <f t="shared" si="29"/>
        <v>0</v>
      </c>
      <c r="AF102" s="220">
        <f t="shared" si="29"/>
        <v>0</v>
      </c>
    </row>
    <row r="103" spans="1:32" s="59" customFormat="1">
      <c r="A103" s="71" t="s">
        <v>856</v>
      </c>
      <c r="B103" s="95" t="s">
        <v>851</v>
      </c>
      <c r="C103" s="71" t="s">
        <v>558</v>
      </c>
      <c r="D103" s="74" t="s">
        <v>387</v>
      </c>
      <c r="E103" s="209">
        <f t="shared" ref="E103:AF103" si="30">E49*$B$78</f>
        <v>-316.8</v>
      </c>
      <c r="F103" s="209">
        <f t="shared" si="30"/>
        <v>0</v>
      </c>
      <c r="G103" s="209">
        <f t="shared" si="30"/>
        <v>0</v>
      </c>
      <c r="H103" s="209">
        <f t="shared" si="30"/>
        <v>0</v>
      </c>
      <c r="I103" s="209">
        <f t="shared" si="30"/>
        <v>-10744.920831196181</v>
      </c>
      <c r="J103" s="209">
        <f t="shared" si="30"/>
        <v>-5695.7394998156506</v>
      </c>
      <c r="K103" s="209">
        <f t="shared" si="30"/>
        <v>-188.8</v>
      </c>
      <c r="L103" s="209">
        <f t="shared" si="30"/>
        <v>0</v>
      </c>
      <c r="M103" s="209">
        <f t="shared" si="30"/>
        <v>0</v>
      </c>
      <c r="N103" s="209">
        <f t="shared" si="30"/>
        <v>-26743.708046061416</v>
      </c>
      <c r="O103" s="209">
        <f t="shared" si="30"/>
        <v>0</v>
      </c>
      <c r="P103" s="209">
        <f t="shared" si="30"/>
        <v>-625583.46149426221</v>
      </c>
      <c r="Q103" s="209">
        <f t="shared" si="30"/>
        <v>-624.96374091886162</v>
      </c>
      <c r="R103" s="209">
        <f t="shared" si="30"/>
        <v>-21083.52</v>
      </c>
      <c r="S103" s="209">
        <f t="shared" si="30"/>
        <v>-22916.742184188668</v>
      </c>
      <c r="T103" s="209">
        <f t="shared" si="30"/>
        <v>-97222.106730854139</v>
      </c>
      <c r="U103" s="209">
        <f t="shared" si="30"/>
        <v>-64910.656936446569</v>
      </c>
      <c r="V103" s="209">
        <f t="shared" si="30"/>
        <v>0</v>
      </c>
      <c r="W103" s="209">
        <f t="shared" si="30"/>
        <v>-245044.80000000002</v>
      </c>
      <c r="X103" s="209">
        <f t="shared" si="30"/>
        <v>-39929.919999999998</v>
      </c>
      <c r="Y103" s="209">
        <f t="shared" si="30"/>
        <v>-898.24</v>
      </c>
      <c r="Z103" s="209">
        <f t="shared" si="30"/>
        <v>-148.80000000000001</v>
      </c>
      <c r="AA103" s="209">
        <f t="shared" si="30"/>
        <v>-5526.9312295871814</v>
      </c>
      <c r="AB103" s="209">
        <f t="shared" si="30"/>
        <v>-4599.3599999999997</v>
      </c>
      <c r="AC103" s="209">
        <f t="shared" si="30"/>
        <v>-8</v>
      </c>
      <c r="AD103" s="209">
        <f t="shared" si="30"/>
        <v>0</v>
      </c>
      <c r="AE103" s="209">
        <f t="shared" si="30"/>
        <v>-17911.122081406866</v>
      </c>
      <c r="AF103" s="220">
        <f t="shared" si="30"/>
        <v>-216158.08000000002</v>
      </c>
    </row>
    <row r="104" spans="1:32" s="59" customFormat="1">
      <c r="A104" s="76" t="s">
        <v>856</v>
      </c>
      <c r="B104" s="76" t="s">
        <v>851</v>
      </c>
      <c r="C104" s="76" t="s">
        <v>560</v>
      </c>
      <c r="D104" s="77" t="s">
        <v>387</v>
      </c>
      <c r="E104" s="223">
        <f t="shared" ref="E104:AF104" si="31">E50*$B$78</f>
        <v>0</v>
      </c>
      <c r="F104" s="226">
        <f t="shared" si="31"/>
        <v>0</v>
      </c>
      <c r="G104" s="226">
        <f t="shared" si="31"/>
        <v>0</v>
      </c>
      <c r="H104" s="226">
        <f t="shared" si="31"/>
        <v>0</v>
      </c>
      <c r="I104" s="226">
        <f t="shared" si="31"/>
        <v>0</v>
      </c>
      <c r="J104" s="226">
        <f t="shared" si="31"/>
        <v>0</v>
      </c>
      <c r="K104" s="226">
        <f t="shared" si="31"/>
        <v>0</v>
      </c>
      <c r="L104" s="226">
        <f t="shared" si="31"/>
        <v>0</v>
      </c>
      <c r="M104" s="226">
        <f t="shared" si="31"/>
        <v>0</v>
      </c>
      <c r="N104" s="226">
        <f t="shared" si="31"/>
        <v>0</v>
      </c>
      <c r="O104" s="226">
        <f t="shared" si="31"/>
        <v>0</v>
      </c>
      <c r="P104" s="226">
        <f t="shared" si="31"/>
        <v>0</v>
      </c>
      <c r="Q104" s="226">
        <f t="shared" si="31"/>
        <v>0</v>
      </c>
      <c r="R104" s="226">
        <f t="shared" si="31"/>
        <v>0</v>
      </c>
      <c r="S104" s="226">
        <f t="shared" si="31"/>
        <v>0</v>
      </c>
      <c r="T104" s="226">
        <f t="shared" si="31"/>
        <v>0</v>
      </c>
      <c r="U104" s="226">
        <f t="shared" si="31"/>
        <v>0</v>
      </c>
      <c r="V104" s="226">
        <f t="shared" si="31"/>
        <v>0</v>
      </c>
      <c r="W104" s="226">
        <f t="shared" si="31"/>
        <v>0</v>
      </c>
      <c r="X104" s="226">
        <f t="shared" si="31"/>
        <v>0</v>
      </c>
      <c r="Y104" s="226">
        <f t="shared" si="31"/>
        <v>0</v>
      </c>
      <c r="Z104" s="226">
        <f t="shared" si="31"/>
        <v>0</v>
      </c>
      <c r="AA104" s="226">
        <f t="shared" si="31"/>
        <v>0</v>
      </c>
      <c r="AB104" s="226">
        <f t="shared" si="31"/>
        <v>0</v>
      </c>
      <c r="AC104" s="226">
        <f t="shared" si="31"/>
        <v>0</v>
      </c>
      <c r="AD104" s="226">
        <f t="shared" si="31"/>
        <v>-1818.56</v>
      </c>
      <c r="AE104" s="226">
        <f t="shared" si="31"/>
        <v>0</v>
      </c>
      <c r="AF104" s="224">
        <f t="shared" si="31"/>
        <v>0</v>
      </c>
    </row>
    <row r="105" spans="1:32" s="59" customFormat="1">
      <c r="A105" s="71" t="s">
        <v>856</v>
      </c>
      <c r="B105" s="95" t="s">
        <v>852</v>
      </c>
      <c r="C105" s="71" t="s">
        <v>515</v>
      </c>
      <c r="D105" s="74" t="s">
        <v>387</v>
      </c>
      <c r="E105" s="209">
        <f t="shared" ref="E105:AF105" si="32">E31*$B$79</f>
        <v>0</v>
      </c>
      <c r="F105" s="209">
        <f t="shared" si="32"/>
        <v>0</v>
      </c>
      <c r="G105" s="209">
        <f t="shared" si="32"/>
        <v>0</v>
      </c>
      <c r="H105" s="209">
        <f t="shared" si="32"/>
        <v>0</v>
      </c>
      <c r="I105" s="209">
        <f t="shared" si="32"/>
        <v>0</v>
      </c>
      <c r="J105" s="209">
        <f t="shared" si="32"/>
        <v>0</v>
      </c>
      <c r="K105" s="209">
        <f t="shared" si="32"/>
        <v>0</v>
      </c>
      <c r="L105" s="209">
        <f t="shared" si="32"/>
        <v>0</v>
      </c>
      <c r="M105" s="209">
        <f t="shared" si="32"/>
        <v>0</v>
      </c>
      <c r="N105" s="209">
        <f t="shared" si="32"/>
        <v>0</v>
      </c>
      <c r="O105" s="209">
        <f t="shared" si="32"/>
        <v>0</v>
      </c>
      <c r="P105" s="209">
        <f t="shared" si="32"/>
        <v>0</v>
      </c>
      <c r="Q105" s="209">
        <f t="shared" si="32"/>
        <v>0</v>
      </c>
      <c r="R105" s="209">
        <f t="shared" si="32"/>
        <v>0</v>
      </c>
      <c r="S105" s="209">
        <f t="shared" si="32"/>
        <v>0</v>
      </c>
      <c r="T105" s="209">
        <f t="shared" si="32"/>
        <v>0</v>
      </c>
      <c r="U105" s="209">
        <f t="shared" si="32"/>
        <v>-347.52</v>
      </c>
      <c r="V105" s="209">
        <f t="shared" si="32"/>
        <v>0</v>
      </c>
      <c r="W105" s="209">
        <f t="shared" si="32"/>
        <v>0</v>
      </c>
      <c r="X105" s="209">
        <f t="shared" si="32"/>
        <v>0</v>
      </c>
      <c r="Y105" s="209">
        <f t="shared" si="32"/>
        <v>-0.64</v>
      </c>
      <c r="Z105" s="209">
        <f t="shared" si="32"/>
        <v>0</v>
      </c>
      <c r="AA105" s="209">
        <f t="shared" si="32"/>
        <v>0</v>
      </c>
      <c r="AB105" s="209">
        <f t="shared" si="32"/>
        <v>0</v>
      </c>
      <c r="AC105" s="209">
        <f t="shared" si="32"/>
        <v>0</v>
      </c>
      <c r="AD105" s="209">
        <f t="shared" si="32"/>
        <v>0</v>
      </c>
      <c r="AE105" s="209">
        <f t="shared" si="32"/>
        <v>0</v>
      </c>
      <c r="AF105" s="220">
        <f t="shared" si="32"/>
        <v>0</v>
      </c>
    </row>
    <row r="106" spans="1:32" s="59" customFormat="1">
      <c r="A106" s="71" t="s">
        <v>856</v>
      </c>
      <c r="B106" s="95" t="s">
        <v>852</v>
      </c>
      <c r="C106" s="71" t="s">
        <v>521</v>
      </c>
      <c r="D106" s="74" t="s">
        <v>387</v>
      </c>
      <c r="E106" s="209">
        <f t="shared" ref="E106:AF106" si="33">E32*$B$79</f>
        <v>0</v>
      </c>
      <c r="F106" s="209">
        <f t="shared" si="33"/>
        <v>0</v>
      </c>
      <c r="G106" s="209">
        <f t="shared" si="33"/>
        <v>0</v>
      </c>
      <c r="H106" s="209">
        <f t="shared" si="33"/>
        <v>0</v>
      </c>
      <c r="I106" s="209">
        <f t="shared" si="33"/>
        <v>0</v>
      </c>
      <c r="J106" s="209">
        <f t="shared" si="33"/>
        <v>0</v>
      </c>
      <c r="K106" s="209">
        <f t="shared" si="33"/>
        <v>0</v>
      </c>
      <c r="L106" s="209">
        <f t="shared" si="33"/>
        <v>0</v>
      </c>
      <c r="M106" s="209">
        <f t="shared" si="33"/>
        <v>0</v>
      </c>
      <c r="N106" s="209">
        <f t="shared" si="33"/>
        <v>0</v>
      </c>
      <c r="O106" s="209">
        <f t="shared" si="33"/>
        <v>0</v>
      </c>
      <c r="P106" s="209">
        <f t="shared" si="33"/>
        <v>0</v>
      </c>
      <c r="Q106" s="209">
        <f t="shared" si="33"/>
        <v>0</v>
      </c>
      <c r="R106" s="209">
        <f t="shared" si="33"/>
        <v>0</v>
      </c>
      <c r="S106" s="209">
        <f t="shared" si="33"/>
        <v>0</v>
      </c>
      <c r="T106" s="209">
        <f t="shared" si="33"/>
        <v>0</v>
      </c>
      <c r="U106" s="209">
        <f t="shared" si="33"/>
        <v>0</v>
      </c>
      <c r="V106" s="209">
        <f t="shared" si="33"/>
        <v>0</v>
      </c>
      <c r="W106" s="209">
        <f t="shared" si="33"/>
        <v>0</v>
      </c>
      <c r="X106" s="209">
        <f t="shared" si="33"/>
        <v>0</v>
      </c>
      <c r="Y106" s="209">
        <f t="shared" si="33"/>
        <v>0</v>
      </c>
      <c r="Z106" s="209">
        <f t="shared" si="33"/>
        <v>0</v>
      </c>
      <c r="AA106" s="209">
        <f t="shared" si="33"/>
        <v>0</v>
      </c>
      <c r="AB106" s="209">
        <f t="shared" si="33"/>
        <v>0</v>
      </c>
      <c r="AC106" s="209">
        <f t="shared" si="33"/>
        <v>0</v>
      </c>
      <c r="AD106" s="209">
        <f t="shared" si="33"/>
        <v>0</v>
      </c>
      <c r="AE106" s="209">
        <f t="shared" si="33"/>
        <v>0</v>
      </c>
      <c r="AF106" s="220">
        <f t="shared" si="33"/>
        <v>0</v>
      </c>
    </row>
    <row r="107" spans="1:32" s="59" customFormat="1">
      <c r="A107" s="71" t="s">
        <v>856</v>
      </c>
      <c r="B107" s="95" t="s">
        <v>852</v>
      </c>
      <c r="C107" s="71" t="s">
        <v>523</v>
      </c>
      <c r="D107" s="74" t="s">
        <v>387</v>
      </c>
      <c r="E107" s="209">
        <f t="shared" ref="E107:AF107" si="34">E33*$B$79</f>
        <v>0</v>
      </c>
      <c r="F107" s="209">
        <f t="shared" si="34"/>
        <v>0</v>
      </c>
      <c r="G107" s="209">
        <f t="shared" si="34"/>
        <v>0</v>
      </c>
      <c r="H107" s="209">
        <f t="shared" si="34"/>
        <v>0</v>
      </c>
      <c r="I107" s="209">
        <f t="shared" si="34"/>
        <v>0</v>
      </c>
      <c r="J107" s="209">
        <f t="shared" si="34"/>
        <v>0</v>
      </c>
      <c r="K107" s="209">
        <f t="shared" si="34"/>
        <v>0</v>
      </c>
      <c r="L107" s="209">
        <f t="shared" si="34"/>
        <v>0</v>
      </c>
      <c r="M107" s="209">
        <f t="shared" si="34"/>
        <v>0</v>
      </c>
      <c r="N107" s="209">
        <f t="shared" si="34"/>
        <v>0</v>
      </c>
      <c r="O107" s="209">
        <f t="shared" si="34"/>
        <v>0</v>
      </c>
      <c r="P107" s="209">
        <f t="shared" si="34"/>
        <v>0</v>
      </c>
      <c r="Q107" s="209">
        <f t="shared" si="34"/>
        <v>0</v>
      </c>
      <c r="R107" s="209">
        <f t="shared" si="34"/>
        <v>0</v>
      </c>
      <c r="S107" s="209">
        <f t="shared" si="34"/>
        <v>0</v>
      </c>
      <c r="T107" s="209">
        <f t="shared" si="34"/>
        <v>0</v>
      </c>
      <c r="U107" s="209">
        <f t="shared" si="34"/>
        <v>0</v>
      </c>
      <c r="V107" s="209">
        <f t="shared" si="34"/>
        <v>0</v>
      </c>
      <c r="W107" s="209">
        <f t="shared" si="34"/>
        <v>0</v>
      </c>
      <c r="X107" s="209">
        <f t="shared" si="34"/>
        <v>0</v>
      </c>
      <c r="Y107" s="209">
        <f t="shared" si="34"/>
        <v>0</v>
      </c>
      <c r="Z107" s="209">
        <f t="shared" si="34"/>
        <v>0</v>
      </c>
      <c r="AA107" s="209">
        <f t="shared" si="34"/>
        <v>0</v>
      </c>
      <c r="AB107" s="209">
        <f t="shared" si="34"/>
        <v>0</v>
      </c>
      <c r="AC107" s="209">
        <f t="shared" si="34"/>
        <v>0</v>
      </c>
      <c r="AD107" s="209">
        <f t="shared" si="34"/>
        <v>0</v>
      </c>
      <c r="AE107" s="209">
        <f t="shared" si="34"/>
        <v>0</v>
      </c>
      <c r="AF107" s="220">
        <f t="shared" si="34"/>
        <v>0</v>
      </c>
    </row>
    <row r="108" spans="1:32" s="59" customFormat="1">
      <c r="A108" s="71" t="s">
        <v>856</v>
      </c>
      <c r="B108" s="95" t="s">
        <v>852</v>
      </c>
      <c r="C108" s="71" t="s">
        <v>525</v>
      </c>
      <c r="D108" s="74" t="s">
        <v>387</v>
      </c>
      <c r="E108" s="209">
        <f t="shared" ref="E108:AF108" si="35">E34*$B$79</f>
        <v>0</v>
      </c>
      <c r="F108" s="209">
        <f t="shared" si="35"/>
        <v>0</v>
      </c>
      <c r="G108" s="209">
        <f t="shared" si="35"/>
        <v>0</v>
      </c>
      <c r="H108" s="209">
        <f t="shared" si="35"/>
        <v>0</v>
      </c>
      <c r="I108" s="209">
        <f t="shared" si="35"/>
        <v>0</v>
      </c>
      <c r="J108" s="209">
        <f t="shared" si="35"/>
        <v>0</v>
      </c>
      <c r="K108" s="209">
        <f t="shared" si="35"/>
        <v>0</v>
      </c>
      <c r="L108" s="209">
        <f t="shared" si="35"/>
        <v>0</v>
      </c>
      <c r="M108" s="209">
        <f t="shared" si="35"/>
        <v>0</v>
      </c>
      <c r="N108" s="209">
        <f t="shared" si="35"/>
        <v>0</v>
      </c>
      <c r="O108" s="209">
        <f t="shared" si="35"/>
        <v>0</v>
      </c>
      <c r="P108" s="209">
        <f t="shared" si="35"/>
        <v>0</v>
      </c>
      <c r="Q108" s="209">
        <f t="shared" si="35"/>
        <v>0</v>
      </c>
      <c r="R108" s="209">
        <f t="shared" si="35"/>
        <v>0</v>
      </c>
      <c r="S108" s="209">
        <f t="shared" si="35"/>
        <v>-0.61115284022486194</v>
      </c>
      <c r="T108" s="209">
        <f t="shared" si="35"/>
        <v>0</v>
      </c>
      <c r="U108" s="209">
        <f t="shared" si="35"/>
        <v>-182.15028957223532</v>
      </c>
      <c r="V108" s="209">
        <f t="shared" si="35"/>
        <v>0</v>
      </c>
      <c r="W108" s="209">
        <f t="shared" si="35"/>
        <v>0</v>
      </c>
      <c r="X108" s="209">
        <f t="shared" si="35"/>
        <v>0</v>
      </c>
      <c r="Y108" s="209">
        <f t="shared" si="35"/>
        <v>0</v>
      </c>
      <c r="Z108" s="209">
        <f t="shared" si="35"/>
        <v>0</v>
      </c>
      <c r="AA108" s="209">
        <f t="shared" si="35"/>
        <v>0</v>
      </c>
      <c r="AB108" s="209">
        <f t="shared" si="35"/>
        <v>0</v>
      </c>
      <c r="AC108" s="209">
        <f t="shared" si="35"/>
        <v>0</v>
      </c>
      <c r="AD108" s="209">
        <f t="shared" si="35"/>
        <v>0</v>
      </c>
      <c r="AE108" s="209">
        <f t="shared" si="35"/>
        <v>0</v>
      </c>
      <c r="AF108" s="220">
        <f t="shared" si="35"/>
        <v>0</v>
      </c>
    </row>
    <row r="109" spans="1:32" s="59" customFormat="1">
      <c r="A109" s="71" t="s">
        <v>856</v>
      </c>
      <c r="B109" s="95" t="s">
        <v>852</v>
      </c>
      <c r="C109" s="71" t="s">
        <v>527</v>
      </c>
      <c r="D109" s="74" t="s">
        <v>387</v>
      </c>
      <c r="E109" s="209">
        <f t="shared" ref="E109:AF109" si="36">E35*$B$79</f>
        <v>0</v>
      </c>
      <c r="F109" s="209">
        <f t="shared" si="36"/>
        <v>0</v>
      </c>
      <c r="G109" s="209">
        <f t="shared" si="36"/>
        <v>0</v>
      </c>
      <c r="H109" s="209">
        <f t="shared" si="36"/>
        <v>0</v>
      </c>
      <c r="I109" s="209">
        <f t="shared" si="36"/>
        <v>0</v>
      </c>
      <c r="J109" s="209">
        <f t="shared" si="36"/>
        <v>0</v>
      </c>
      <c r="K109" s="209">
        <f t="shared" si="36"/>
        <v>0</v>
      </c>
      <c r="L109" s="209">
        <f t="shared" si="36"/>
        <v>0</v>
      </c>
      <c r="M109" s="209">
        <f t="shared" si="36"/>
        <v>0</v>
      </c>
      <c r="N109" s="209">
        <f t="shared" si="36"/>
        <v>0</v>
      </c>
      <c r="O109" s="209">
        <f t="shared" si="36"/>
        <v>0</v>
      </c>
      <c r="P109" s="209">
        <f t="shared" si="36"/>
        <v>0</v>
      </c>
      <c r="Q109" s="209">
        <f t="shared" si="36"/>
        <v>0</v>
      </c>
      <c r="R109" s="209">
        <f t="shared" si="36"/>
        <v>0</v>
      </c>
      <c r="S109" s="209">
        <f t="shared" si="36"/>
        <v>-489.88305960110739</v>
      </c>
      <c r="T109" s="209">
        <f t="shared" si="36"/>
        <v>0</v>
      </c>
      <c r="U109" s="209">
        <f t="shared" si="36"/>
        <v>0</v>
      </c>
      <c r="V109" s="209">
        <f t="shared" si="36"/>
        <v>0</v>
      </c>
      <c r="W109" s="209">
        <f t="shared" si="36"/>
        <v>0</v>
      </c>
      <c r="X109" s="209">
        <f t="shared" si="36"/>
        <v>-1413.4834580448025</v>
      </c>
      <c r="Y109" s="209">
        <f t="shared" si="36"/>
        <v>0</v>
      </c>
      <c r="Z109" s="209">
        <f t="shared" si="36"/>
        <v>0</v>
      </c>
      <c r="AA109" s="209">
        <f t="shared" si="36"/>
        <v>0</v>
      </c>
      <c r="AB109" s="209">
        <f t="shared" si="36"/>
        <v>0</v>
      </c>
      <c r="AC109" s="209">
        <f t="shared" si="36"/>
        <v>0</v>
      </c>
      <c r="AD109" s="209">
        <f t="shared" si="36"/>
        <v>0</v>
      </c>
      <c r="AE109" s="209">
        <f t="shared" si="36"/>
        <v>0</v>
      </c>
      <c r="AF109" s="220">
        <f t="shared" si="36"/>
        <v>0</v>
      </c>
    </row>
    <row r="110" spans="1:32" s="59" customFormat="1">
      <c r="A110" s="71" t="s">
        <v>856</v>
      </c>
      <c r="B110" s="95" t="s">
        <v>852</v>
      </c>
      <c r="C110" s="71" t="s">
        <v>529</v>
      </c>
      <c r="D110" s="74" t="s">
        <v>387</v>
      </c>
      <c r="E110" s="209">
        <f t="shared" ref="E110:AF110" si="37">E36*$B$79</f>
        <v>0</v>
      </c>
      <c r="F110" s="209">
        <f t="shared" si="37"/>
        <v>0</v>
      </c>
      <c r="G110" s="209">
        <f t="shared" si="37"/>
        <v>0</v>
      </c>
      <c r="H110" s="209">
        <f t="shared" si="37"/>
        <v>0</v>
      </c>
      <c r="I110" s="209">
        <f t="shared" si="37"/>
        <v>0</v>
      </c>
      <c r="J110" s="209">
        <f t="shared" si="37"/>
        <v>0</v>
      </c>
      <c r="K110" s="209">
        <f t="shared" si="37"/>
        <v>0</v>
      </c>
      <c r="L110" s="209">
        <f t="shared" si="37"/>
        <v>0</v>
      </c>
      <c r="M110" s="209">
        <f t="shared" si="37"/>
        <v>0</v>
      </c>
      <c r="N110" s="209">
        <f t="shared" si="37"/>
        <v>0</v>
      </c>
      <c r="O110" s="209">
        <f t="shared" si="37"/>
        <v>0</v>
      </c>
      <c r="P110" s="209">
        <f t="shared" si="37"/>
        <v>0</v>
      </c>
      <c r="Q110" s="209">
        <f t="shared" si="37"/>
        <v>0</v>
      </c>
      <c r="R110" s="209">
        <f t="shared" si="37"/>
        <v>0</v>
      </c>
      <c r="S110" s="209">
        <f t="shared" si="37"/>
        <v>0</v>
      </c>
      <c r="T110" s="209">
        <f t="shared" si="37"/>
        <v>0</v>
      </c>
      <c r="U110" s="209">
        <f t="shared" si="37"/>
        <v>0</v>
      </c>
      <c r="V110" s="209">
        <f t="shared" si="37"/>
        <v>0</v>
      </c>
      <c r="W110" s="209">
        <f t="shared" si="37"/>
        <v>0</v>
      </c>
      <c r="X110" s="209">
        <f t="shared" si="37"/>
        <v>0</v>
      </c>
      <c r="Y110" s="209">
        <f t="shared" si="37"/>
        <v>0</v>
      </c>
      <c r="Z110" s="209">
        <f t="shared" si="37"/>
        <v>0</v>
      </c>
      <c r="AA110" s="209">
        <f t="shared" si="37"/>
        <v>0</v>
      </c>
      <c r="AB110" s="209">
        <f t="shared" si="37"/>
        <v>0</v>
      </c>
      <c r="AC110" s="209">
        <f t="shared" si="37"/>
        <v>0</v>
      </c>
      <c r="AD110" s="209">
        <f t="shared" si="37"/>
        <v>0</v>
      </c>
      <c r="AE110" s="209">
        <f t="shared" si="37"/>
        <v>0</v>
      </c>
      <c r="AF110" s="220">
        <f t="shared" si="37"/>
        <v>0</v>
      </c>
    </row>
    <row r="111" spans="1:32" s="59" customFormat="1">
      <c r="A111" s="71" t="s">
        <v>856</v>
      </c>
      <c r="B111" s="95" t="s">
        <v>852</v>
      </c>
      <c r="C111" s="71" t="s">
        <v>531</v>
      </c>
      <c r="D111" s="74" t="s">
        <v>387</v>
      </c>
      <c r="E111" s="209">
        <f t="shared" ref="E111:AF111" si="38">E37*$B$79</f>
        <v>0</v>
      </c>
      <c r="F111" s="209">
        <f t="shared" si="38"/>
        <v>0</v>
      </c>
      <c r="G111" s="209">
        <f t="shared" si="38"/>
        <v>0</v>
      </c>
      <c r="H111" s="209">
        <f t="shared" si="38"/>
        <v>0</v>
      </c>
      <c r="I111" s="209">
        <f t="shared" si="38"/>
        <v>0</v>
      </c>
      <c r="J111" s="209">
        <f t="shared" si="38"/>
        <v>0</v>
      </c>
      <c r="K111" s="209">
        <f t="shared" si="38"/>
        <v>0</v>
      </c>
      <c r="L111" s="209">
        <f t="shared" si="38"/>
        <v>0</v>
      </c>
      <c r="M111" s="209">
        <f t="shared" si="38"/>
        <v>0</v>
      </c>
      <c r="N111" s="209">
        <f t="shared" si="38"/>
        <v>0</v>
      </c>
      <c r="O111" s="209">
        <f t="shared" si="38"/>
        <v>0</v>
      </c>
      <c r="P111" s="209">
        <f t="shared" si="38"/>
        <v>0</v>
      </c>
      <c r="Q111" s="209">
        <f t="shared" si="38"/>
        <v>0</v>
      </c>
      <c r="R111" s="209">
        <f t="shared" si="38"/>
        <v>0</v>
      </c>
      <c r="S111" s="209">
        <f t="shared" si="38"/>
        <v>0</v>
      </c>
      <c r="T111" s="209">
        <f t="shared" si="38"/>
        <v>0</v>
      </c>
      <c r="U111" s="209">
        <f t="shared" si="38"/>
        <v>-377.04938756288396</v>
      </c>
      <c r="V111" s="209">
        <f t="shared" si="38"/>
        <v>0</v>
      </c>
      <c r="W111" s="209">
        <f t="shared" si="38"/>
        <v>0</v>
      </c>
      <c r="X111" s="209">
        <f t="shared" si="38"/>
        <v>0</v>
      </c>
      <c r="Y111" s="209">
        <f t="shared" si="38"/>
        <v>0</v>
      </c>
      <c r="Z111" s="209">
        <f t="shared" si="38"/>
        <v>0</v>
      </c>
      <c r="AA111" s="209">
        <f t="shared" si="38"/>
        <v>0</v>
      </c>
      <c r="AB111" s="209">
        <f t="shared" si="38"/>
        <v>0</v>
      </c>
      <c r="AC111" s="209">
        <f t="shared" si="38"/>
        <v>0</v>
      </c>
      <c r="AD111" s="209">
        <f t="shared" si="38"/>
        <v>0</v>
      </c>
      <c r="AE111" s="209">
        <f t="shared" si="38"/>
        <v>0</v>
      </c>
      <c r="AF111" s="220">
        <f t="shared" si="38"/>
        <v>0</v>
      </c>
    </row>
    <row r="112" spans="1:32" s="59" customFormat="1">
      <c r="A112" s="71" t="s">
        <v>856</v>
      </c>
      <c r="B112" s="95" t="s">
        <v>852</v>
      </c>
      <c r="C112" s="71" t="s">
        <v>533</v>
      </c>
      <c r="D112" s="74" t="s">
        <v>387</v>
      </c>
      <c r="E112" s="209">
        <f t="shared" ref="E112:AF112" si="39">E38*$B$79</f>
        <v>0</v>
      </c>
      <c r="F112" s="209">
        <f t="shared" si="39"/>
        <v>0</v>
      </c>
      <c r="G112" s="209">
        <f t="shared" si="39"/>
        <v>0</v>
      </c>
      <c r="H112" s="209">
        <f t="shared" si="39"/>
        <v>0</v>
      </c>
      <c r="I112" s="209">
        <f t="shared" si="39"/>
        <v>0</v>
      </c>
      <c r="J112" s="209">
        <f t="shared" si="39"/>
        <v>0</v>
      </c>
      <c r="K112" s="209">
        <f t="shared" si="39"/>
        <v>0</v>
      </c>
      <c r="L112" s="209">
        <f t="shared" si="39"/>
        <v>0</v>
      </c>
      <c r="M112" s="209">
        <f t="shared" si="39"/>
        <v>0</v>
      </c>
      <c r="N112" s="209">
        <f t="shared" si="39"/>
        <v>0</v>
      </c>
      <c r="O112" s="209">
        <f t="shared" si="39"/>
        <v>0</v>
      </c>
      <c r="P112" s="209">
        <f t="shared" si="39"/>
        <v>0</v>
      </c>
      <c r="Q112" s="209">
        <f t="shared" si="39"/>
        <v>0</v>
      </c>
      <c r="R112" s="209">
        <f t="shared" si="39"/>
        <v>0</v>
      </c>
      <c r="S112" s="209">
        <f t="shared" si="39"/>
        <v>0</v>
      </c>
      <c r="T112" s="209">
        <f t="shared" si="39"/>
        <v>0</v>
      </c>
      <c r="U112" s="209">
        <f t="shared" si="39"/>
        <v>0</v>
      </c>
      <c r="V112" s="209">
        <f t="shared" si="39"/>
        <v>0</v>
      </c>
      <c r="W112" s="209">
        <f t="shared" si="39"/>
        <v>0</v>
      </c>
      <c r="X112" s="209">
        <f t="shared" si="39"/>
        <v>0</v>
      </c>
      <c r="Y112" s="209">
        <f t="shared" si="39"/>
        <v>0</v>
      </c>
      <c r="Z112" s="209">
        <f t="shared" si="39"/>
        <v>0</v>
      </c>
      <c r="AA112" s="209">
        <f t="shared" si="39"/>
        <v>0</v>
      </c>
      <c r="AB112" s="209">
        <f t="shared" si="39"/>
        <v>0</v>
      </c>
      <c r="AC112" s="209">
        <f t="shared" si="39"/>
        <v>0</v>
      </c>
      <c r="AD112" s="209">
        <f t="shared" si="39"/>
        <v>0</v>
      </c>
      <c r="AE112" s="209">
        <f t="shared" si="39"/>
        <v>0</v>
      </c>
      <c r="AF112" s="220">
        <f t="shared" si="39"/>
        <v>0</v>
      </c>
    </row>
    <row r="113" spans="1:32" s="59" customFormat="1">
      <c r="A113" s="71" t="s">
        <v>856</v>
      </c>
      <c r="B113" s="95" t="s">
        <v>852</v>
      </c>
      <c r="C113" s="71" t="s">
        <v>535</v>
      </c>
      <c r="D113" s="74" t="s">
        <v>387</v>
      </c>
      <c r="E113" s="209">
        <f t="shared" ref="E113:AF113" si="40">E39*$B$79</f>
        <v>0</v>
      </c>
      <c r="F113" s="209">
        <f t="shared" si="40"/>
        <v>0</v>
      </c>
      <c r="G113" s="209">
        <f t="shared" si="40"/>
        <v>-109.07249281645409</v>
      </c>
      <c r="H113" s="209">
        <f t="shared" si="40"/>
        <v>0</v>
      </c>
      <c r="I113" s="209">
        <f t="shared" si="40"/>
        <v>0</v>
      </c>
      <c r="J113" s="209">
        <f t="shared" si="40"/>
        <v>-97.191400779163487</v>
      </c>
      <c r="K113" s="209">
        <f t="shared" si="40"/>
        <v>-974.08</v>
      </c>
      <c r="L113" s="209">
        <f t="shared" si="40"/>
        <v>0</v>
      </c>
      <c r="M113" s="209">
        <f t="shared" si="40"/>
        <v>-725.26758620689657</v>
      </c>
      <c r="N113" s="209">
        <f t="shared" si="40"/>
        <v>-503.98996446009971</v>
      </c>
      <c r="O113" s="209">
        <f t="shared" si="40"/>
        <v>0</v>
      </c>
      <c r="P113" s="209">
        <f t="shared" si="40"/>
        <v>-9177.8793145384207</v>
      </c>
      <c r="Q113" s="209">
        <f t="shared" si="40"/>
        <v>0</v>
      </c>
      <c r="R113" s="209">
        <f t="shared" si="40"/>
        <v>0</v>
      </c>
      <c r="S113" s="209">
        <f t="shared" si="40"/>
        <v>-227.3800939303768</v>
      </c>
      <c r="T113" s="209">
        <f t="shared" si="40"/>
        <v>-2225.4497130497475</v>
      </c>
      <c r="U113" s="209">
        <f t="shared" si="40"/>
        <v>-3658.9604076716391</v>
      </c>
      <c r="V113" s="209">
        <f t="shared" si="40"/>
        <v>-68745.605202153485</v>
      </c>
      <c r="W113" s="209">
        <f t="shared" si="40"/>
        <v>0</v>
      </c>
      <c r="X113" s="209">
        <f t="shared" si="40"/>
        <v>-1738.1005969205764</v>
      </c>
      <c r="Y113" s="209">
        <f t="shared" si="40"/>
        <v>-2163.1678759381002</v>
      </c>
      <c r="Z113" s="209">
        <f t="shared" si="40"/>
        <v>-2906.4353725762312</v>
      </c>
      <c r="AA113" s="209">
        <f t="shared" si="40"/>
        <v>-6411.3268639518355</v>
      </c>
      <c r="AB113" s="209">
        <f t="shared" si="40"/>
        <v>0</v>
      </c>
      <c r="AC113" s="209">
        <f t="shared" si="40"/>
        <v>-132.47999999999999</v>
      </c>
      <c r="AD113" s="209">
        <f t="shared" si="40"/>
        <v>0</v>
      </c>
      <c r="AE113" s="209">
        <f t="shared" si="40"/>
        <v>-127.83141521779771</v>
      </c>
      <c r="AF113" s="220">
        <f t="shared" si="40"/>
        <v>-5392.3572085694332</v>
      </c>
    </row>
    <row r="114" spans="1:32" s="59" customFormat="1">
      <c r="A114" s="71" t="s">
        <v>856</v>
      </c>
      <c r="B114" s="95" t="s">
        <v>852</v>
      </c>
      <c r="C114" s="71" t="s">
        <v>537</v>
      </c>
      <c r="D114" s="74" t="s">
        <v>387</v>
      </c>
      <c r="E114" s="209">
        <f t="shared" ref="E114:AF114" si="41">E40*$B$74</f>
        <v>0</v>
      </c>
      <c r="F114" s="209">
        <f t="shared" si="41"/>
        <v>-65.03482547087323</v>
      </c>
      <c r="G114" s="209">
        <f t="shared" si="41"/>
        <v>-0.17921334306110953</v>
      </c>
      <c r="H114" s="209">
        <f t="shared" si="41"/>
        <v>-966.1040742901547</v>
      </c>
      <c r="I114" s="209">
        <f t="shared" si="41"/>
        <v>-177.00756491295397</v>
      </c>
      <c r="J114" s="209">
        <f t="shared" si="41"/>
        <v>-116.27284600127341</v>
      </c>
      <c r="K114" s="209">
        <f t="shared" si="41"/>
        <v>0</v>
      </c>
      <c r="L114" s="209">
        <f t="shared" si="41"/>
        <v>0</v>
      </c>
      <c r="M114" s="209">
        <f t="shared" si="41"/>
        <v>-526.30200000000002</v>
      </c>
      <c r="N114" s="209">
        <f t="shared" si="41"/>
        <v>-1041.0027078923497</v>
      </c>
      <c r="O114" s="209">
        <f t="shared" si="41"/>
        <v>-74.010550451832458</v>
      </c>
      <c r="P114" s="209">
        <f t="shared" si="41"/>
        <v>-14542.853486742704</v>
      </c>
      <c r="Q114" s="209">
        <f t="shared" si="41"/>
        <v>-312.42448299204159</v>
      </c>
      <c r="R114" s="209">
        <f t="shared" si="41"/>
        <v>-540.43515004534504</v>
      </c>
      <c r="S114" s="209">
        <f t="shared" si="41"/>
        <v>-722.67019338764021</v>
      </c>
      <c r="T114" s="209">
        <f t="shared" si="41"/>
        <v>-1591.4751952858712</v>
      </c>
      <c r="U114" s="209">
        <f t="shared" si="41"/>
        <v>-1533.857291889751</v>
      </c>
      <c r="V114" s="209">
        <f t="shared" si="41"/>
        <v>0</v>
      </c>
      <c r="W114" s="209">
        <f t="shared" si="41"/>
        <v>-669.06000000000006</v>
      </c>
      <c r="X114" s="209">
        <f t="shared" si="41"/>
        <v>-1174.7660300309947</v>
      </c>
      <c r="Y114" s="209">
        <f t="shared" si="41"/>
        <v>-349.22399994519509</v>
      </c>
      <c r="Z114" s="209">
        <f t="shared" si="41"/>
        <v>-413.92581595377652</v>
      </c>
      <c r="AA114" s="209">
        <f t="shared" si="41"/>
        <v>-1428.8149344316419</v>
      </c>
      <c r="AB114" s="209">
        <f t="shared" si="41"/>
        <v>-175.4144525235244</v>
      </c>
      <c r="AC114" s="209">
        <f t="shared" si="41"/>
        <v>0</v>
      </c>
      <c r="AD114" s="209">
        <f t="shared" si="41"/>
        <v>-3781.8122154250909</v>
      </c>
      <c r="AE114" s="209">
        <f t="shared" si="41"/>
        <v>-1666.6524075109137</v>
      </c>
      <c r="AF114" s="220">
        <f t="shared" si="41"/>
        <v>-6992.7083169481257</v>
      </c>
    </row>
    <row r="115" spans="1:32" s="59" customFormat="1">
      <c r="A115" s="71" t="s">
        <v>856</v>
      </c>
      <c r="B115" s="95" t="s">
        <v>852</v>
      </c>
      <c r="C115" s="71" t="s">
        <v>541</v>
      </c>
      <c r="D115" s="74" t="s">
        <v>387</v>
      </c>
      <c r="E115" s="209">
        <f>E67*$B$79</f>
        <v>0</v>
      </c>
      <c r="F115" s="209">
        <f t="shared" ref="F115:AF115" si="42">F67*$B$79</f>
        <v>-5444.5342795928891</v>
      </c>
      <c r="G115" s="209">
        <f t="shared" si="42"/>
        <v>-702.93981168748053</v>
      </c>
      <c r="H115" s="209">
        <f t="shared" si="42"/>
        <v>0</v>
      </c>
      <c r="I115" s="209">
        <f t="shared" si="42"/>
        <v>-1421.2323149246176</v>
      </c>
      <c r="J115" s="209">
        <f t="shared" si="42"/>
        <v>-1166.1908386731375</v>
      </c>
      <c r="K115" s="209">
        <f t="shared" si="42"/>
        <v>-337.05410862087479</v>
      </c>
      <c r="L115" s="209">
        <f t="shared" si="42"/>
        <v>0</v>
      </c>
      <c r="M115" s="209">
        <f t="shared" si="42"/>
        <v>-27437.243629158755</v>
      </c>
      <c r="N115" s="209">
        <f t="shared" si="42"/>
        <v>-8777.1275620383349</v>
      </c>
      <c r="O115" s="209">
        <f t="shared" si="42"/>
        <v>-1459.3015060104528</v>
      </c>
      <c r="P115" s="209">
        <f t="shared" si="42"/>
        <v>-89475.225927429725</v>
      </c>
      <c r="Q115" s="209">
        <f t="shared" si="42"/>
        <v>-5130.5481890787632</v>
      </c>
      <c r="R115" s="209">
        <f t="shared" si="42"/>
        <v>-5469.8978947426622</v>
      </c>
      <c r="S115" s="209">
        <f t="shared" si="42"/>
        <v>-10092.846580976435</v>
      </c>
      <c r="T115" s="209">
        <f t="shared" si="42"/>
        <v>-23222.095946321024</v>
      </c>
      <c r="U115" s="209">
        <f t="shared" si="42"/>
        <v>-30969.990576991895</v>
      </c>
      <c r="V115" s="209">
        <f t="shared" si="42"/>
        <v>0</v>
      </c>
      <c r="W115" s="209">
        <f t="shared" si="42"/>
        <v>-62598.004465776219</v>
      </c>
      <c r="X115" s="209">
        <f t="shared" si="42"/>
        <v>-5062.0709041746495</v>
      </c>
      <c r="Y115" s="209">
        <f t="shared" si="42"/>
        <v>-10485.466121038497</v>
      </c>
      <c r="Z115" s="209">
        <f t="shared" si="42"/>
        <v>-8829.9392452637239</v>
      </c>
      <c r="AA115" s="209">
        <f t="shared" si="42"/>
        <v>-48550.567142757871</v>
      </c>
      <c r="AB115" s="209">
        <f t="shared" si="42"/>
        <v>-80058.998614556433</v>
      </c>
      <c r="AC115" s="209">
        <f t="shared" si="42"/>
        <v>-1694.0068586092218</v>
      </c>
      <c r="AD115" s="209">
        <f t="shared" si="42"/>
        <v>0</v>
      </c>
      <c r="AE115" s="209">
        <f t="shared" si="42"/>
        <v>0</v>
      </c>
      <c r="AF115" s="220">
        <f t="shared" si="42"/>
        <v>-154760.58476184017</v>
      </c>
    </row>
    <row r="116" spans="1:32" s="59" customFormat="1">
      <c r="A116" s="71" t="s">
        <v>856</v>
      </c>
      <c r="B116" s="95" t="s">
        <v>852</v>
      </c>
      <c r="C116" s="71" t="s">
        <v>543</v>
      </c>
      <c r="D116" s="74" t="s">
        <v>387</v>
      </c>
      <c r="E116" s="209">
        <f t="shared" ref="E116:AF116" si="43">E42*$B$79</f>
        <v>0</v>
      </c>
      <c r="F116" s="209">
        <f t="shared" si="43"/>
        <v>0</v>
      </c>
      <c r="G116" s="209">
        <f t="shared" si="43"/>
        <v>0</v>
      </c>
      <c r="H116" s="209">
        <f t="shared" si="43"/>
        <v>0</v>
      </c>
      <c r="I116" s="209">
        <f t="shared" si="43"/>
        <v>0</v>
      </c>
      <c r="J116" s="209">
        <f t="shared" si="43"/>
        <v>0</v>
      </c>
      <c r="K116" s="209">
        <f t="shared" si="43"/>
        <v>0</v>
      </c>
      <c r="L116" s="209">
        <f t="shared" si="43"/>
        <v>0</v>
      </c>
      <c r="M116" s="209">
        <f t="shared" si="43"/>
        <v>0</v>
      </c>
      <c r="N116" s="209">
        <f t="shared" si="43"/>
        <v>-1629.44</v>
      </c>
      <c r="O116" s="209">
        <f t="shared" si="43"/>
        <v>0</v>
      </c>
      <c r="P116" s="209">
        <f t="shared" si="43"/>
        <v>-498.4768407643312</v>
      </c>
      <c r="Q116" s="209">
        <f t="shared" si="43"/>
        <v>0</v>
      </c>
      <c r="R116" s="209">
        <f t="shared" si="43"/>
        <v>0</v>
      </c>
      <c r="S116" s="209">
        <f t="shared" si="43"/>
        <v>0</v>
      </c>
      <c r="T116" s="209">
        <f t="shared" si="43"/>
        <v>0</v>
      </c>
      <c r="U116" s="209">
        <f t="shared" si="43"/>
        <v>0</v>
      </c>
      <c r="V116" s="209">
        <f t="shared" si="43"/>
        <v>0</v>
      </c>
      <c r="W116" s="209">
        <f t="shared" si="43"/>
        <v>0</v>
      </c>
      <c r="X116" s="209">
        <f t="shared" si="43"/>
        <v>-14.08</v>
      </c>
      <c r="Y116" s="209">
        <f t="shared" si="43"/>
        <v>-2900.8870390635529</v>
      </c>
      <c r="Z116" s="209">
        <f t="shared" si="43"/>
        <v>0</v>
      </c>
      <c r="AA116" s="209">
        <f t="shared" si="43"/>
        <v>0</v>
      </c>
      <c r="AB116" s="209">
        <f t="shared" si="43"/>
        <v>0</v>
      </c>
      <c r="AC116" s="209">
        <f t="shared" si="43"/>
        <v>0</v>
      </c>
      <c r="AD116" s="209">
        <f t="shared" si="43"/>
        <v>0</v>
      </c>
      <c r="AE116" s="209">
        <f t="shared" si="43"/>
        <v>0</v>
      </c>
      <c r="AF116" s="220">
        <f t="shared" si="43"/>
        <v>-1111.6668471956689</v>
      </c>
    </row>
    <row r="117" spans="1:32" s="59" customFormat="1">
      <c r="A117" s="71" t="s">
        <v>856</v>
      </c>
      <c r="B117" s="95" t="s">
        <v>852</v>
      </c>
      <c r="C117" s="71" t="s">
        <v>545</v>
      </c>
      <c r="D117" s="74" t="s">
        <v>387</v>
      </c>
      <c r="E117" s="209">
        <f t="shared" ref="E117:AF117" si="44">E43*$B$79</f>
        <v>0</v>
      </c>
      <c r="F117" s="209">
        <f t="shared" si="44"/>
        <v>0</v>
      </c>
      <c r="G117" s="209">
        <f t="shared" si="44"/>
        <v>0</v>
      </c>
      <c r="H117" s="209">
        <f t="shared" si="44"/>
        <v>0</v>
      </c>
      <c r="I117" s="209">
        <f t="shared" si="44"/>
        <v>0</v>
      </c>
      <c r="J117" s="209">
        <f t="shared" si="44"/>
        <v>0</v>
      </c>
      <c r="K117" s="209">
        <f t="shared" si="44"/>
        <v>0</v>
      </c>
      <c r="L117" s="209">
        <f t="shared" si="44"/>
        <v>0</v>
      </c>
      <c r="M117" s="209">
        <f t="shared" si="44"/>
        <v>0</v>
      </c>
      <c r="N117" s="209">
        <f t="shared" si="44"/>
        <v>0</v>
      </c>
      <c r="O117" s="209">
        <f t="shared" si="44"/>
        <v>0</v>
      </c>
      <c r="P117" s="209">
        <f t="shared" si="44"/>
        <v>-406021.55747306219</v>
      </c>
      <c r="Q117" s="209">
        <f t="shared" si="44"/>
        <v>-14532.641588898092</v>
      </c>
      <c r="R117" s="209">
        <f t="shared" si="44"/>
        <v>-8542.7199999999993</v>
      </c>
      <c r="S117" s="209">
        <f t="shared" si="44"/>
        <v>-1491.9997929971653</v>
      </c>
      <c r="T117" s="209">
        <f t="shared" si="44"/>
        <v>-29666.012070096265</v>
      </c>
      <c r="U117" s="209">
        <f t="shared" si="44"/>
        <v>-12532.061668338267</v>
      </c>
      <c r="V117" s="209">
        <f t="shared" si="44"/>
        <v>0</v>
      </c>
      <c r="W117" s="209">
        <f t="shared" si="44"/>
        <v>0</v>
      </c>
      <c r="X117" s="209">
        <f t="shared" si="44"/>
        <v>0</v>
      </c>
      <c r="Y117" s="209">
        <f t="shared" si="44"/>
        <v>0</v>
      </c>
      <c r="Z117" s="209">
        <f t="shared" si="44"/>
        <v>0</v>
      </c>
      <c r="AA117" s="209">
        <f t="shared" si="44"/>
        <v>0</v>
      </c>
      <c r="AB117" s="209">
        <f t="shared" si="44"/>
        <v>0</v>
      </c>
      <c r="AC117" s="209">
        <f t="shared" si="44"/>
        <v>0</v>
      </c>
      <c r="AD117" s="209">
        <f t="shared" si="44"/>
        <v>-246137.9938992364</v>
      </c>
      <c r="AE117" s="209">
        <f t="shared" si="44"/>
        <v>-789.12</v>
      </c>
      <c r="AF117" s="220">
        <f t="shared" si="44"/>
        <v>-39519.360000000001</v>
      </c>
    </row>
    <row r="118" spans="1:32" s="59" customFormat="1">
      <c r="A118" s="71" t="s">
        <v>856</v>
      </c>
      <c r="B118" s="95" t="s">
        <v>852</v>
      </c>
      <c r="C118" s="71" t="s">
        <v>548</v>
      </c>
      <c r="D118" s="74" t="s">
        <v>387</v>
      </c>
      <c r="E118" s="209">
        <f t="shared" ref="E118:AF118" si="45">E44*$B$79</f>
        <v>0</v>
      </c>
      <c r="F118" s="209">
        <f t="shared" si="45"/>
        <v>-5980.16</v>
      </c>
      <c r="G118" s="209">
        <f t="shared" si="45"/>
        <v>-1030.2445074760958</v>
      </c>
      <c r="H118" s="209">
        <f t="shared" si="45"/>
        <v>0</v>
      </c>
      <c r="I118" s="209">
        <f t="shared" si="45"/>
        <v>-2170.4585102917226</v>
      </c>
      <c r="J118" s="209">
        <f t="shared" si="45"/>
        <v>-1339.52</v>
      </c>
      <c r="K118" s="209">
        <f t="shared" si="45"/>
        <v>-65816.320000000007</v>
      </c>
      <c r="L118" s="209">
        <f t="shared" si="45"/>
        <v>-2907.52</v>
      </c>
      <c r="M118" s="209">
        <f t="shared" si="45"/>
        <v>-19966.080000000002</v>
      </c>
      <c r="N118" s="209">
        <f t="shared" si="45"/>
        <v>-370.56</v>
      </c>
      <c r="O118" s="209">
        <f t="shared" si="45"/>
        <v>-5702.6982390458061</v>
      </c>
      <c r="P118" s="209">
        <f t="shared" si="45"/>
        <v>-10230.537478169752</v>
      </c>
      <c r="Q118" s="209">
        <f t="shared" si="45"/>
        <v>-20168.152432916155</v>
      </c>
      <c r="R118" s="209">
        <f t="shared" si="45"/>
        <v>-9928.8291517360449</v>
      </c>
      <c r="S118" s="209">
        <f t="shared" si="45"/>
        <v>-35091.841860320521</v>
      </c>
      <c r="T118" s="209">
        <f t="shared" si="45"/>
        <v>-76449.279999999999</v>
      </c>
      <c r="U118" s="209">
        <f t="shared" si="45"/>
        <v>-108766.55009392746</v>
      </c>
      <c r="V118" s="209">
        <f t="shared" si="45"/>
        <v>0</v>
      </c>
      <c r="W118" s="209">
        <f t="shared" si="45"/>
        <v>0</v>
      </c>
      <c r="X118" s="209">
        <f t="shared" si="45"/>
        <v>-86518.400000000009</v>
      </c>
      <c r="Y118" s="209">
        <f t="shared" si="45"/>
        <v>-105588.30907688198</v>
      </c>
      <c r="Z118" s="209">
        <f t="shared" si="45"/>
        <v>-71505.919999999998</v>
      </c>
      <c r="AA118" s="209">
        <f t="shared" si="45"/>
        <v>-159370.88</v>
      </c>
      <c r="AB118" s="209">
        <f t="shared" si="45"/>
        <v>-87656.320000000007</v>
      </c>
      <c r="AC118" s="209">
        <f t="shared" si="45"/>
        <v>-1036.1600000000001</v>
      </c>
      <c r="AD118" s="209">
        <f t="shared" si="45"/>
        <v>0</v>
      </c>
      <c r="AE118" s="209">
        <f t="shared" si="45"/>
        <v>-73100.343189047358</v>
      </c>
      <c r="AF118" s="220">
        <f t="shared" si="45"/>
        <v>-379.56761414132285</v>
      </c>
    </row>
    <row r="119" spans="1:32" s="59" customFormat="1">
      <c r="A119" s="71" t="s">
        <v>856</v>
      </c>
      <c r="B119" s="95" t="s">
        <v>852</v>
      </c>
      <c r="C119" s="71" t="s">
        <v>550</v>
      </c>
      <c r="D119" s="74" t="s">
        <v>387</v>
      </c>
      <c r="E119" s="209">
        <f t="shared" ref="E119:AF119" si="46">E45*$B$79</f>
        <v>0</v>
      </c>
      <c r="F119" s="209">
        <f t="shared" si="46"/>
        <v>0</v>
      </c>
      <c r="G119" s="209">
        <f t="shared" si="46"/>
        <v>0</v>
      </c>
      <c r="H119" s="209">
        <f t="shared" si="46"/>
        <v>0</v>
      </c>
      <c r="I119" s="209">
        <f t="shared" si="46"/>
        <v>0</v>
      </c>
      <c r="J119" s="209">
        <f t="shared" si="46"/>
        <v>0</v>
      </c>
      <c r="K119" s="209">
        <f t="shared" si="46"/>
        <v>0</v>
      </c>
      <c r="L119" s="209">
        <f t="shared" si="46"/>
        <v>0</v>
      </c>
      <c r="M119" s="209">
        <f t="shared" si="46"/>
        <v>0</v>
      </c>
      <c r="N119" s="209">
        <f t="shared" si="46"/>
        <v>0</v>
      </c>
      <c r="O119" s="209">
        <f t="shared" si="46"/>
        <v>0</v>
      </c>
      <c r="P119" s="209">
        <f t="shared" si="46"/>
        <v>-74.198709677419359</v>
      </c>
      <c r="Q119" s="209">
        <f t="shared" si="46"/>
        <v>0</v>
      </c>
      <c r="R119" s="209">
        <f t="shared" si="46"/>
        <v>0</v>
      </c>
      <c r="S119" s="209">
        <f t="shared" si="46"/>
        <v>0</v>
      </c>
      <c r="T119" s="209">
        <f t="shared" si="46"/>
        <v>0</v>
      </c>
      <c r="U119" s="209">
        <f t="shared" si="46"/>
        <v>0</v>
      </c>
      <c r="V119" s="209">
        <f t="shared" si="46"/>
        <v>0</v>
      </c>
      <c r="W119" s="209">
        <f t="shared" si="46"/>
        <v>0</v>
      </c>
      <c r="X119" s="209">
        <f t="shared" si="46"/>
        <v>-2118.0336161838072</v>
      </c>
      <c r="Y119" s="209">
        <f t="shared" si="46"/>
        <v>-3112.2694156734842</v>
      </c>
      <c r="Z119" s="209">
        <f t="shared" si="46"/>
        <v>0</v>
      </c>
      <c r="AA119" s="209">
        <f t="shared" si="46"/>
        <v>0</v>
      </c>
      <c r="AB119" s="209">
        <f t="shared" si="46"/>
        <v>0</v>
      </c>
      <c r="AC119" s="209">
        <f t="shared" si="46"/>
        <v>0</v>
      </c>
      <c r="AD119" s="209">
        <f t="shared" si="46"/>
        <v>0</v>
      </c>
      <c r="AE119" s="209">
        <f t="shared" si="46"/>
        <v>0</v>
      </c>
      <c r="AF119" s="220">
        <f t="shared" si="46"/>
        <v>-3344</v>
      </c>
    </row>
    <row r="120" spans="1:32" s="59" customFormat="1">
      <c r="A120" s="71" t="s">
        <v>856</v>
      </c>
      <c r="B120" s="95" t="s">
        <v>852</v>
      </c>
      <c r="C120" s="71" t="s">
        <v>552</v>
      </c>
      <c r="D120" s="74" t="s">
        <v>387</v>
      </c>
      <c r="E120" s="209">
        <f t="shared" ref="E120:AF120" si="47">E46*$B$79</f>
        <v>0</v>
      </c>
      <c r="F120" s="209">
        <f t="shared" si="47"/>
        <v>0</v>
      </c>
      <c r="G120" s="209">
        <f t="shared" si="47"/>
        <v>-227.20000000000002</v>
      </c>
      <c r="H120" s="209">
        <f t="shared" si="47"/>
        <v>0</v>
      </c>
      <c r="I120" s="209">
        <f t="shared" si="47"/>
        <v>0</v>
      </c>
      <c r="J120" s="209">
        <f t="shared" si="47"/>
        <v>-23.846261519967943</v>
      </c>
      <c r="K120" s="209">
        <f t="shared" si="47"/>
        <v>0</v>
      </c>
      <c r="L120" s="209">
        <f t="shared" si="47"/>
        <v>0</v>
      </c>
      <c r="M120" s="209">
        <f t="shared" si="47"/>
        <v>0</v>
      </c>
      <c r="N120" s="209">
        <f t="shared" si="47"/>
        <v>-2385.6603122165466</v>
      </c>
      <c r="O120" s="209">
        <f t="shared" si="47"/>
        <v>-3576.464617677746</v>
      </c>
      <c r="P120" s="209">
        <f t="shared" si="47"/>
        <v>-329147.57269492338</v>
      </c>
      <c r="Q120" s="209">
        <f t="shared" si="47"/>
        <v>0</v>
      </c>
      <c r="R120" s="209">
        <f t="shared" si="47"/>
        <v>0</v>
      </c>
      <c r="S120" s="209">
        <f t="shared" si="47"/>
        <v>-674.03227850576957</v>
      </c>
      <c r="T120" s="209">
        <f t="shared" si="47"/>
        <v>-23127.0505570188</v>
      </c>
      <c r="U120" s="209">
        <f t="shared" si="47"/>
        <v>-35196.470193365261</v>
      </c>
      <c r="V120" s="209">
        <f t="shared" si="47"/>
        <v>0</v>
      </c>
      <c r="W120" s="209">
        <f t="shared" si="47"/>
        <v>0</v>
      </c>
      <c r="X120" s="209">
        <f t="shared" si="47"/>
        <v>-10879.234787355745</v>
      </c>
      <c r="Y120" s="209">
        <f t="shared" si="47"/>
        <v>-23001.445296789654</v>
      </c>
      <c r="Z120" s="209">
        <f t="shared" si="47"/>
        <v>0</v>
      </c>
      <c r="AA120" s="209">
        <f t="shared" si="47"/>
        <v>-30949.627991318797</v>
      </c>
      <c r="AB120" s="209">
        <f t="shared" si="47"/>
        <v>0</v>
      </c>
      <c r="AC120" s="209">
        <f t="shared" si="47"/>
        <v>-106.24000000000001</v>
      </c>
      <c r="AD120" s="209">
        <f t="shared" si="47"/>
        <v>0</v>
      </c>
      <c r="AE120" s="209">
        <f t="shared" si="47"/>
        <v>-26656.87186112073</v>
      </c>
      <c r="AF120" s="220">
        <f t="shared" si="47"/>
        <v>-17252.48</v>
      </c>
    </row>
    <row r="121" spans="1:32" s="59" customFormat="1">
      <c r="A121" s="71" t="s">
        <v>856</v>
      </c>
      <c r="B121" s="95" t="s">
        <v>852</v>
      </c>
      <c r="C121" s="71" t="s">
        <v>554</v>
      </c>
      <c r="D121" s="74" t="s">
        <v>387</v>
      </c>
      <c r="E121" s="209">
        <f t="shared" ref="E121:AF121" si="48">E47*$B$79</f>
        <v>0</v>
      </c>
      <c r="F121" s="209">
        <f t="shared" si="48"/>
        <v>0</v>
      </c>
      <c r="G121" s="209">
        <f t="shared" si="48"/>
        <v>0</v>
      </c>
      <c r="H121" s="209">
        <f t="shared" si="48"/>
        <v>0</v>
      </c>
      <c r="I121" s="209">
        <f t="shared" si="48"/>
        <v>0</v>
      </c>
      <c r="J121" s="209">
        <f t="shared" si="48"/>
        <v>0</v>
      </c>
      <c r="K121" s="209">
        <f t="shared" si="48"/>
        <v>0</v>
      </c>
      <c r="L121" s="209">
        <f t="shared" si="48"/>
        <v>0</v>
      </c>
      <c r="M121" s="209">
        <f t="shared" si="48"/>
        <v>0</v>
      </c>
      <c r="N121" s="209">
        <f t="shared" si="48"/>
        <v>0</v>
      </c>
      <c r="O121" s="209">
        <f t="shared" si="48"/>
        <v>0</v>
      </c>
      <c r="P121" s="209">
        <f t="shared" si="48"/>
        <v>-13171.453887207705</v>
      </c>
      <c r="Q121" s="209">
        <f t="shared" si="48"/>
        <v>0</v>
      </c>
      <c r="R121" s="209">
        <f t="shared" si="48"/>
        <v>0</v>
      </c>
      <c r="S121" s="209">
        <f t="shared" si="48"/>
        <v>0</v>
      </c>
      <c r="T121" s="209">
        <f t="shared" si="48"/>
        <v>0</v>
      </c>
      <c r="U121" s="209">
        <f t="shared" si="48"/>
        <v>0</v>
      </c>
      <c r="V121" s="209">
        <f t="shared" si="48"/>
        <v>0</v>
      </c>
      <c r="W121" s="209">
        <f t="shared" si="48"/>
        <v>0</v>
      </c>
      <c r="X121" s="209">
        <f t="shared" si="48"/>
        <v>-771.84</v>
      </c>
      <c r="Y121" s="209">
        <f t="shared" si="48"/>
        <v>-3.2</v>
      </c>
      <c r="Z121" s="209">
        <f t="shared" si="48"/>
        <v>0</v>
      </c>
      <c r="AA121" s="209">
        <f t="shared" si="48"/>
        <v>-2736.64</v>
      </c>
      <c r="AB121" s="209">
        <f t="shared" si="48"/>
        <v>0</v>
      </c>
      <c r="AC121" s="209">
        <f t="shared" si="48"/>
        <v>0</v>
      </c>
      <c r="AD121" s="209">
        <f t="shared" si="48"/>
        <v>0</v>
      </c>
      <c r="AE121" s="209">
        <f t="shared" si="48"/>
        <v>0</v>
      </c>
      <c r="AF121" s="220">
        <f t="shared" si="48"/>
        <v>-13.44</v>
      </c>
    </row>
    <row r="122" spans="1:32" s="59" customFormat="1">
      <c r="A122" s="71" t="s">
        <v>856</v>
      </c>
      <c r="B122" s="95" t="s">
        <v>852</v>
      </c>
      <c r="C122" s="71" t="s">
        <v>556</v>
      </c>
      <c r="D122" s="74" t="s">
        <v>387</v>
      </c>
      <c r="E122" s="209">
        <f t="shared" ref="E122:AF122" si="49">E48*$B$79</f>
        <v>0</v>
      </c>
      <c r="F122" s="209">
        <f t="shared" si="49"/>
        <v>-9981.7582119936415</v>
      </c>
      <c r="G122" s="209">
        <f t="shared" si="49"/>
        <v>-617.80956713630974</v>
      </c>
      <c r="H122" s="209">
        <f t="shared" si="49"/>
        <v>0</v>
      </c>
      <c r="I122" s="209">
        <f t="shared" si="49"/>
        <v>0</v>
      </c>
      <c r="J122" s="209">
        <f t="shared" si="49"/>
        <v>-87.442260939167596</v>
      </c>
      <c r="K122" s="209">
        <f t="shared" si="49"/>
        <v>-4502.4000000000005</v>
      </c>
      <c r="L122" s="209">
        <f t="shared" si="49"/>
        <v>0</v>
      </c>
      <c r="M122" s="209">
        <f t="shared" si="49"/>
        <v>0</v>
      </c>
      <c r="N122" s="209">
        <f t="shared" si="49"/>
        <v>0</v>
      </c>
      <c r="O122" s="209">
        <f t="shared" si="49"/>
        <v>0</v>
      </c>
      <c r="P122" s="209">
        <f t="shared" si="49"/>
        <v>0</v>
      </c>
      <c r="Q122" s="209">
        <f t="shared" si="49"/>
        <v>0</v>
      </c>
      <c r="R122" s="209">
        <f t="shared" si="49"/>
        <v>0</v>
      </c>
      <c r="S122" s="209">
        <f t="shared" si="49"/>
        <v>0</v>
      </c>
      <c r="T122" s="209">
        <f t="shared" si="49"/>
        <v>0</v>
      </c>
      <c r="U122" s="209">
        <f t="shared" si="49"/>
        <v>0</v>
      </c>
      <c r="V122" s="209">
        <f t="shared" si="49"/>
        <v>-40840.074083296488</v>
      </c>
      <c r="W122" s="209">
        <f t="shared" si="49"/>
        <v>0</v>
      </c>
      <c r="X122" s="209">
        <f t="shared" si="49"/>
        <v>0</v>
      </c>
      <c r="Y122" s="209">
        <f t="shared" si="49"/>
        <v>-5509.5229015819159</v>
      </c>
      <c r="Z122" s="209">
        <f t="shared" si="49"/>
        <v>0</v>
      </c>
      <c r="AA122" s="209">
        <f t="shared" si="49"/>
        <v>0</v>
      </c>
      <c r="AB122" s="209">
        <f t="shared" si="49"/>
        <v>0</v>
      </c>
      <c r="AC122" s="209">
        <f t="shared" si="49"/>
        <v>0</v>
      </c>
      <c r="AD122" s="209">
        <f t="shared" si="49"/>
        <v>0</v>
      </c>
      <c r="AE122" s="209">
        <f t="shared" si="49"/>
        <v>0</v>
      </c>
      <c r="AF122" s="220">
        <f t="shared" si="49"/>
        <v>0</v>
      </c>
    </row>
    <row r="123" spans="1:32" s="59" customFormat="1">
      <c r="A123" s="71" t="s">
        <v>856</v>
      </c>
      <c r="B123" s="95" t="s">
        <v>852</v>
      </c>
      <c r="C123" s="71" t="s">
        <v>558</v>
      </c>
      <c r="D123" s="74" t="s">
        <v>387</v>
      </c>
      <c r="E123" s="209">
        <f t="shared" ref="E123:AF123" si="50">E49*$B$79</f>
        <v>-633.6</v>
      </c>
      <c r="F123" s="209">
        <f t="shared" si="50"/>
        <v>0</v>
      </c>
      <c r="G123" s="209">
        <f t="shared" si="50"/>
        <v>0</v>
      </c>
      <c r="H123" s="209">
        <f t="shared" si="50"/>
        <v>0</v>
      </c>
      <c r="I123" s="209">
        <f t="shared" si="50"/>
        <v>-21489.841662392362</v>
      </c>
      <c r="J123" s="209">
        <f t="shared" si="50"/>
        <v>-11391.478999631301</v>
      </c>
      <c r="K123" s="209">
        <f t="shared" si="50"/>
        <v>-377.6</v>
      </c>
      <c r="L123" s="209">
        <f t="shared" si="50"/>
        <v>0</v>
      </c>
      <c r="M123" s="209">
        <f t="shared" si="50"/>
        <v>0</v>
      </c>
      <c r="N123" s="209">
        <f t="shared" si="50"/>
        <v>-53487.416092122832</v>
      </c>
      <c r="O123" s="209">
        <f t="shared" si="50"/>
        <v>0</v>
      </c>
      <c r="P123" s="209">
        <f t="shared" si="50"/>
        <v>-1251166.9229885244</v>
      </c>
      <c r="Q123" s="209">
        <f t="shared" si="50"/>
        <v>-1249.9274818377232</v>
      </c>
      <c r="R123" s="209">
        <f t="shared" si="50"/>
        <v>-42167.040000000001</v>
      </c>
      <c r="S123" s="209">
        <f t="shared" si="50"/>
        <v>-45833.484368377336</v>
      </c>
      <c r="T123" s="209">
        <f t="shared" si="50"/>
        <v>-194444.21346170828</v>
      </c>
      <c r="U123" s="209">
        <f t="shared" si="50"/>
        <v>-129821.31387289314</v>
      </c>
      <c r="V123" s="209">
        <f t="shared" si="50"/>
        <v>0</v>
      </c>
      <c r="W123" s="209">
        <f t="shared" si="50"/>
        <v>-490089.60000000003</v>
      </c>
      <c r="X123" s="209">
        <f t="shared" si="50"/>
        <v>-79859.839999999997</v>
      </c>
      <c r="Y123" s="209">
        <f t="shared" si="50"/>
        <v>-1796.48</v>
      </c>
      <c r="Z123" s="209">
        <f t="shared" si="50"/>
        <v>-297.60000000000002</v>
      </c>
      <c r="AA123" s="209">
        <f t="shared" si="50"/>
        <v>-11053.862459174363</v>
      </c>
      <c r="AB123" s="209">
        <f t="shared" si="50"/>
        <v>-9198.7199999999993</v>
      </c>
      <c r="AC123" s="209">
        <f t="shared" si="50"/>
        <v>-16</v>
      </c>
      <c r="AD123" s="209">
        <f t="shared" si="50"/>
        <v>0</v>
      </c>
      <c r="AE123" s="209">
        <f t="shared" si="50"/>
        <v>-35822.244162813731</v>
      </c>
      <c r="AF123" s="220">
        <f t="shared" si="50"/>
        <v>-432316.16000000003</v>
      </c>
    </row>
    <row r="124" spans="1:32" s="59" customFormat="1">
      <c r="A124" s="76" t="s">
        <v>856</v>
      </c>
      <c r="B124" s="76" t="s">
        <v>852</v>
      </c>
      <c r="C124" s="76" t="s">
        <v>560</v>
      </c>
      <c r="D124" s="77" t="s">
        <v>387</v>
      </c>
      <c r="E124" s="223">
        <f t="shared" ref="E124:AF124" si="51">E50*$B$79</f>
        <v>0</v>
      </c>
      <c r="F124" s="226">
        <f t="shared" si="51"/>
        <v>0</v>
      </c>
      <c r="G124" s="226">
        <f t="shared" si="51"/>
        <v>0</v>
      </c>
      <c r="H124" s="226">
        <f t="shared" si="51"/>
        <v>0</v>
      </c>
      <c r="I124" s="226">
        <f t="shared" si="51"/>
        <v>0</v>
      </c>
      <c r="J124" s="226">
        <f t="shared" si="51"/>
        <v>0</v>
      </c>
      <c r="K124" s="226">
        <f t="shared" si="51"/>
        <v>0</v>
      </c>
      <c r="L124" s="226">
        <f t="shared" si="51"/>
        <v>0</v>
      </c>
      <c r="M124" s="226">
        <f t="shared" si="51"/>
        <v>0</v>
      </c>
      <c r="N124" s="226">
        <f t="shared" si="51"/>
        <v>0</v>
      </c>
      <c r="O124" s="226">
        <f t="shared" si="51"/>
        <v>0</v>
      </c>
      <c r="P124" s="226">
        <f t="shared" si="51"/>
        <v>0</v>
      </c>
      <c r="Q124" s="226">
        <f t="shared" si="51"/>
        <v>0</v>
      </c>
      <c r="R124" s="226">
        <f t="shared" si="51"/>
        <v>0</v>
      </c>
      <c r="S124" s="226">
        <f t="shared" si="51"/>
        <v>0</v>
      </c>
      <c r="T124" s="226">
        <f t="shared" si="51"/>
        <v>0</v>
      </c>
      <c r="U124" s="226">
        <f t="shared" si="51"/>
        <v>0</v>
      </c>
      <c r="V124" s="226">
        <f t="shared" si="51"/>
        <v>0</v>
      </c>
      <c r="W124" s="226">
        <f t="shared" si="51"/>
        <v>0</v>
      </c>
      <c r="X124" s="226">
        <f t="shared" si="51"/>
        <v>0</v>
      </c>
      <c r="Y124" s="226">
        <f t="shared" si="51"/>
        <v>0</v>
      </c>
      <c r="Z124" s="226">
        <f t="shared" si="51"/>
        <v>0</v>
      </c>
      <c r="AA124" s="226">
        <f t="shared" si="51"/>
        <v>0</v>
      </c>
      <c r="AB124" s="226">
        <f t="shared" si="51"/>
        <v>0</v>
      </c>
      <c r="AC124" s="226">
        <f t="shared" si="51"/>
        <v>0</v>
      </c>
      <c r="AD124" s="226">
        <f t="shared" si="51"/>
        <v>-3637.12</v>
      </c>
      <c r="AE124" s="226">
        <f t="shared" si="51"/>
        <v>0</v>
      </c>
      <c r="AF124" s="224">
        <f t="shared" si="51"/>
        <v>0</v>
      </c>
    </row>
    <row r="125" spans="1:32" s="59" customFormat="1">
      <c r="A125" s="71" t="s">
        <v>856</v>
      </c>
      <c r="B125" s="95" t="s">
        <v>853</v>
      </c>
      <c r="C125" s="71" t="s">
        <v>515</v>
      </c>
      <c r="D125" s="74" t="s">
        <v>387</v>
      </c>
      <c r="E125" s="209">
        <f t="shared" ref="E125:AF125" si="52">E31*$B$80</f>
        <v>0</v>
      </c>
      <c r="F125" s="209">
        <f t="shared" si="52"/>
        <v>0</v>
      </c>
      <c r="G125" s="209">
        <f t="shared" si="52"/>
        <v>0</v>
      </c>
      <c r="H125" s="209">
        <f t="shared" si="52"/>
        <v>0</v>
      </c>
      <c r="I125" s="209">
        <f t="shared" si="52"/>
        <v>0</v>
      </c>
      <c r="J125" s="209">
        <f t="shared" si="52"/>
        <v>0</v>
      </c>
      <c r="K125" s="209">
        <f t="shared" si="52"/>
        <v>0</v>
      </c>
      <c r="L125" s="209">
        <f t="shared" si="52"/>
        <v>0</v>
      </c>
      <c r="M125" s="209">
        <f t="shared" si="52"/>
        <v>0</v>
      </c>
      <c r="N125" s="209">
        <f t="shared" si="52"/>
        <v>0</v>
      </c>
      <c r="O125" s="209">
        <f t="shared" si="52"/>
        <v>0</v>
      </c>
      <c r="P125" s="209">
        <f t="shared" si="52"/>
        <v>0</v>
      </c>
      <c r="Q125" s="209">
        <f t="shared" si="52"/>
        <v>0</v>
      </c>
      <c r="R125" s="209">
        <f t="shared" si="52"/>
        <v>0</v>
      </c>
      <c r="S125" s="209">
        <f t="shared" si="52"/>
        <v>0</v>
      </c>
      <c r="T125" s="209">
        <f t="shared" si="52"/>
        <v>0</v>
      </c>
      <c r="U125" s="209">
        <f t="shared" si="52"/>
        <v>-16.289999999999985</v>
      </c>
      <c r="V125" s="209">
        <f t="shared" si="52"/>
        <v>0</v>
      </c>
      <c r="W125" s="209">
        <f t="shared" si="52"/>
        <v>0</v>
      </c>
      <c r="X125" s="209">
        <f t="shared" si="52"/>
        <v>0</v>
      </c>
      <c r="Y125" s="209">
        <f t="shared" si="52"/>
        <v>-2.9999999999999971E-2</v>
      </c>
      <c r="Z125" s="209">
        <f t="shared" si="52"/>
        <v>0</v>
      </c>
      <c r="AA125" s="209">
        <f t="shared" si="52"/>
        <v>0</v>
      </c>
      <c r="AB125" s="209">
        <f t="shared" si="52"/>
        <v>0</v>
      </c>
      <c r="AC125" s="209">
        <f t="shared" si="52"/>
        <v>0</v>
      </c>
      <c r="AD125" s="209">
        <f t="shared" si="52"/>
        <v>0</v>
      </c>
      <c r="AE125" s="209">
        <f t="shared" si="52"/>
        <v>0</v>
      </c>
      <c r="AF125" s="220">
        <f t="shared" si="52"/>
        <v>0</v>
      </c>
    </row>
    <row r="126" spans="1:32" s="59" customFormat="1">
      <c r="A126" s="71" t="s">
        <v>856</v>
      </c>
      <c r="B126" s="95" t="s">
        <v>853</v>
      </c>
      <c r="C126" s="71" t="s">
        <v>521</v>
      </c>
      <c r="D126" s="74" t="s">
        <v>387</v>
      </c>
      <c r="E126" s="209">
        <f t="shared" ref="E126:AF126" si="53">E32*$B$80</f>
        <v>0</v>
      </c>
      <c r="F126" s="209">
        <f t="shared" si="53"/>
        <v>0</v>
      </c>
      <c r="G126" s="209">
        <f t="shared" si="53"/>
        <v>0</v>
      </c>
      <c r="H126" s="209">
        <f t="shared" si="53"/>
        <v>0</v>
      </c>
      <c r="I126" s="209">
        <f t="shared" si="53"/>
        <v>0</v>
      </c>
      <c r="J126" s="209">
        <f t="shared" si="53"/>
        <v>0</v>
      </c>
      <c r="K126" s="209">
        <f t="shared" si="53"/>
        <v>0</v>
      </c>
      <c r="L126" s="209">
        <f t="shared" si="53"/>
        <v>0</v>
      </c>
      <c r="M126" s="209">
        <f t="shared" si="53"/>
        <v>0</v>
      </c>
      <c r="N126" s="209">
        <f t="shared" si="53"/>
        <v>0</v>
      </c>
      <c r="O126" s="209">
        <f t="shared" si="53"/>
        <v>0</v>
      </c>
      <c r="P126" s="209">
        <f t="shared" si="53"/>
        <v>0</v>
      </c>
      <c r="Q126" s="209">
        <f t="shared" si="53"/>
        <v>0</v>
      </c>
      <c r="R126" s="209">
        <f t="shared" si="53"/>
        <v>0</v>
      </c>
      <c r="S126" s="209">
        <f t="shared" si="53"/>
        <v>0</v>
      </c>
      <c r="T126" s="209">
        <f t="shared" si="53"/>
        <v>0</v>
      </c>
      <c r="U126" s="209">
        <f t="shared" si="53"/>
        <v>0</v>
      </c>
      <c r="V126" s="209">
        <f t="shared" si="53"/>
        <v>0</v>
      </c>
      <c r="W126" s="209">
        <f t="shared" si="53"/>
        <v>0</v>
      </c>
      <c r="X126" s="209">
        <f t="shared" si="53"/>
        <v>0</v>
      </c>
      <c r="Y126" s="209">
        <f t="shared" si="53"/>
        <v>0</v>
      </c>
      <c r="Z126" s="209">
        <f t="shared" si="53"/>
        <v>0</v>
      </c>
      <c r="AA126" s="209">
        <f t="shared" si="53"/>
        <v>0</v>
      </c>
      <c r="AB126" s="209">
        <f t="shared" si="53"/>
        <v>0</v>
      </c>
      <c r="AC126" s="209">
        <f t="shared" si="53"/>
        <v>0</v>
      </c>
      <c r="AD126" s="209">
        <f t="shared" si="53"/>
        <v>0</v>
      </c>
      <c r="AE126" s="209">
        <f t="shared" si="53"/>
        <v>0</v>
      </c>
      <c r="AF126" s="220">
        <f t="shared" si="53"/>
        <v>0</v>
      </c>
    </row>
    <row r="127" spans="1:32" s="59" customFormat="1">
      <c r="A127" s="71" t="s">
        <v>856</v>
      </c>
      <c r="B127" s="95" t="s">
        <v>853</v>
      </c>
      <c r="C127" s="71" t="s">
        <v>523</v>
      </c>
      <c r="D127" s="74" t="s">
        <v>387</v>
      </c>
      <c r="E127" s="209">
        <f t="shared" ref="E127:AF127" si="54">E33*$B$80</f>
        <v>0</v>
      </c>
      <c r="F127" s="209">
        <f t="shared" si="54"/>
        <v>0</v>
      </c>
      <c r="G127" s="209">
        <f t="shared" si="54"/>
        <v>0</v>
      </c>
      <c r="H127" s="209">
        <f t="shared" si="54"/>
        <v>0</v>
      </c>
      <c r="I127" s="209">
        <f t="shared" si="54"/>
        <v>0</v>
      </c>
      <c r="J127" s="209">
        <f t="shared" si="54"/>
        <v>0</v>
      </c>
      <c r="K127" s="209">
        <f t="shared" si="54"/>
        <v>0</v>
      </c>
      <c r="L127" s="209">
        <f t="shared" si="54"/>
        <v>0</v>
      </c>
      <c r="M127" s="209">
        <f t="shared" si="54"/>
        <v>0</v>
      </c>
      <c r="N127" s="209">
        <f t="shared" si="54"/>
        <v>0</v>
      </c>
      <c r="O127" s="209">
        <f t="shared" si="54"/>
        <v>0</v>
      </c>
      <c r="P127" s="209">
        <f t="shared" si="54"/>
        <v>0</v>
      </c>
      <c r="Q127" s="209">
        <f t="shared" si="54"/>
        <v>0</v>
      </c>
      <c r="R127" s="209">
        <f t="shared" si="54"/>
        <v>0</v>
      </c>
      <c r="S127" s="209">
        <f t="shared" si="54"/>
        <v>0</v>
      </c>
      <c r="T127" s="209">
        <f t="shared" si="54"/>
        <v>0</v>
      </c>
      <c r="U127" s="209">
        <f t="shared" si="54"/>
        <v>0</v>
      </c>
      <c r="V127" s="209">
        <f t="shared" si="54"/>
        <v>0</v>
      </c>
      <c r="W127" s="209">
        <f t="shared" si="54"/>
        <v>0</v>
      </c>
      <c r="X127" s="209">
        <f t="shared" si="54"/>
        <v>0</v>
      </c>
      <c r="Y127" s="209">
        <f t="shared" si="54"/>
        <v>0</v>
      </c>
      <c r="Z127" s="209">
        <f t="shared" si="54"/>
        <v>0</v>
      </c>
      <c r="AA127" s="209">
        <f t="shared" si="54"/>
        <v>0</v>
      </c>
      <c r="AB127" s="209">
        <f t="shared" si="54"/>
        <v>0</v>
      </c>
      <c r="AC127" s="209">
        <f t="shared" si="54"/>
        <v>0</v>
      </c>
      <c r="AD127" s="209">
        <f t="shared" si="54"/>
        <v>0</v>
      </c>
      <c r="AE127" s="209">
        <f t="shared" si="54"/>
        <v>0</v>
      </c>
      <c r="AF127" s="220">
        <f t="shared" si="54"/>
        <v>0</v>
      </c>
    </row>
    <row r="128" spans="1:32" s="59" customFormat="1">
      <c r="A128" s="71" t="s">
        <v>856</v>
      </c>
      <c r="B128" s="95" t="s">
        <v>853</v>
      </c>
      <c r="C128" s="71" t="s">
        <v>525</v>
      </c>
      <c r="D128" s="74" t="s">
        <v>387</v>
      </c>
      <c r="E128" s="209">
        <f t="shared" ref="E128:AF128" si="55">E34*$B$80</f>
        <v>0</v>
      </c>
      <c r="F128" s="209">
        <f t="shared" si="55"/>
        <v>0</v>
      </c>
      <c r="G128" s="209">
        <f t="shared" si="55"/>
        <v>0</v>
      </c>
      <c r="H128" s="209">
        <f t="shared" si="55"/>
        <v>0</v>
      </c>
      <c r="I128" s="209">
        <f t="shared" si="55"/>
        <v>0</v>
      </c>
      <c r="J128" s="209">
        <f t="shared" si="55"/>
        <v>0</v>
      </c>
      <c r="K128" s="209">
        <f t="shared" si="55"/>
        <v>0</v>
      </c>
      <c r="L128" s="209">
        <f t="shared" si="55"/>
        <v>0</v>
      </c>
      <c r="M128" s="209">
        <f t="shared" si="55"/>
        <v>0</v>
      </c>
      <c r="N128" s="209">
        <f t="shared" si="55"/>
        <v>0</v>
      </c>
      <c r="O128" s="209">
        <f t="shared" si="55"/>
        <v>0</v>
      </c>
      <c r="P128" s="209">
        <f t="shared" si="55"/>
        <v>0</v>
      </c>
      <c r="Q128" s="209">
        <f t="shared" si="55"/>
        <v>0</v>
      </c>
      <c r="R128" s="209">
        <f t="shared" si="55"/>
        <v>0</v>
      </c>
      <c r="S128" s="209">
        <f t="shared" si="55"/>
        <v>-2.8647789385540374E-2</v>
      </c>
      <c r="T128" s="209">
        <f t="shared" si="55"/>
        <v>0</v>
      </c>
      <c r="U128" s="209">
        <f t="shared" si="55"/>
        <v>-8.5382948236985214</v>
      </c>
      <c r="V128" s="209">
        <f t="shared" si="55"/>
        <v>0</v>
      </c>
      <c r="W128" s="209">
        <f t="shared" si="55"/>
        <v>0</v>
      </c>
      <c r="X128" s="209">
        <f t="shared" si="55"/>
        <v>0</v>
      </c>
      <c r="Y128" s="209">
        <f t="shared" si="55"/>
        <v>0</v>
      </c>
      <c r="Z128" s="209">
        <f t="shared" si="55"/>
        <v>0</v>
      </c>
      <c r="AA128" s="209">
        <f t="shared" si="55"/>
        <v>0</v>
      </c>
      <c r="AB128" s="209">
        <f t="shared" si="55"/>
        <v>0</v>
      </c>
      <c r="AC128" s="209">
        <f t="shared" si="55"/>
        <v>0</v>
      </c>
      <c r="AD128" s="209">
        <f t="shared" si="55"/>
        <v>0</v>
      </c>
      <c r="AE128" s="209">
        <f t="shared" si="55"/>
        <v>0</v>
      </c>
      <c r="AF128" s="220">
        <f t="shared" si="55"/>
        <v>0</v>
      </c>
    </row>
    <row r="129" spans="1:32" s="59" customFormat="1">
      <c r="A129" s="71" t="s">
        <v>856</v>
      </c>
      <c r="B129" s="95" t="s">
        <v>853</v>
      </c>
      <c r="C129" s="71" t="s">
        <v>527</v>
      </c>
      <c r="D129" s="74" t="s">
        <v>387</v>
      </c>
      <c r="E129" s="209">
        <f t="shared" ref="E129:AF129" si="56">E35*$B$80</f>
        <v>0</v>
      </c>
      <c r="F129" s="209">
        <f t="shared" si="56"/>
        <v>0</v>
      </c>
      <c r="G129" s="209">
        <f t="shared" si="56"/>
        <v>0</v>
      </c>
      <c r="H129" s="209">
        <f t="shared" si="56"/>
        <v>0</v>
      </c>
      <c r="I129" s="209">
        <f t="shared" si="56"/>
        <v>0</v>
      </c>
      <c r="J129" s="209">
        <f t="shared" si="56"/>
        <v>0</v>
      </c>
      <c r="K129" s="209">
        <f t="shared" si="56"/>
        <v>0</v>
      </c>
      <c r="L129" s="209">
        <f t="shared" si="56"/>
        <v>0</v>
      </c>
      <c r="M129" s="209">
        <f t="shared" si="56"/>
        <v>0</v>
      </c>
      <c r="N129" s="209">
        <f t="shared" si="56"/>
        <v>0</v>
      </c>
      <c r="O129" s="209">
        <f t="shared" si="56"/>
        <v>0</v>
      </c>
      <c r="P129" s="209">
        <f t="shared" si="56"/>
        <v>0</v>
      </c>
      <c r="Q129" s="209">
        <f t="shared" si="56"/>
        <v>0</v>
      </c>
      <c r="R129" s="209">
        <f t="shared" si="56"/>
        <v>0</v>
      </c>
      <c r="S129" s="209">
        <f t="shared" si="56"/>
        <v>-22.963268418801885</v>
      </c>
      <c r="T129" s="209">
        <f t="shared" si="56"/>
        <v>0</v>
      </c>
      <c r="U129" s="209">
        <f t="shared" si="56"/>
        <v>0</v>
      </c>
      <c r="V129" s="209">
        <f t="shared" si="56"/>
        <v>0</v>
      </c>
      <c r="W129" s="209">
        <f t="shared" si="56"/>
        <v>0</v>
      </c>
      <c r="X129" s="209">
        <f t="shared" si="56"/>
        <v>-66.257037095850052</v>
      </c>
      <c r="Y129" s="209">
        <f t="shared" si="56"/>
        <v>0</v>
      </c>
      <c r="Z129" s="209">
        <f t="shared" si="56"/>
        <v>0</v>
      </c>
      <c r="AA129" s="209">
        <f t="shared" si="56"/>
        <v>0</v>
      </c>
      <c r="AB129" s="209">
        <f t="shared" si="56"/>
        <v>0</v>
      </c>
      <c r="AC129" s="209">
        <f t="shared" si="56"/>
        <v>0</v>
      </c>
      <c r="AD129" s="209">
        <f t="shared" si="56"/>
        <v>0</v>
      </c>
      <c r="AE129" s="209">
        <f t="shared" si="56"/>
        <v>0</v>
      </c>
      <c r="AF129" s="220">
        <f t="shared" si="56"/>
        <v>0</v>
      </c>
    </row>
    <row r="130" spans="1:32" s="59" customFormat="1">
      <c r="A130" s="71" t="s">
        <v>856</v>
      </c>
      <c r="B130" s="95" t="s">
        <v>853</v>
      </c>
      <c r="C130" s="71" t="s">
        <v>529</v>
      </c>
      <c r="D130" s="74" t="s">
        <v>387</v>
      </c>
      <c r="E130" s="209">
        <f t="shared" ref="E130:AF130" si="57">E36*$B$80</f>
        <v>0</v>
      </c>
      <c r="F130" s="209">
        <f t="shared" si="57"/>
        <v>0</v>
      </c>
      <c r="G130" s="209">
        <f t="shared" si="57"/>
        <v>0</v>
      </c>
      <c r="H130" s="209">
        <f t="shared" si="57"/>
        <v>0</v>
      </c>
      <c r="I130" s="209">
        <f t="shared" si="57"/>
        <v>0</v>
      </c>
      <c r="J130" s="209">
        <f t="shared" si="57"/>
        <v>0</v>
      </c>
      <c r="K130" s="209">
        <f t="shared" si="57"/>
        <v>0</v>
      </c>
      <c r="L130" s="209">
        <f t="shared" si="57"/>
        <v>0</v>
      </c>
      <c r="M130" s="209">
        <f t="shared" si="57"/>
        <v>0</v>
      </c>
      <c r="N130" s="209">
        <f t="shared" si="57"/>
        <v>0</v>
      </c>
      <c r="O130" s="209">
        <f t="shared" si="57"/>
        <v>0</v>
      </c>
      <c r="P130" s="209">
        <f t="shared" si="57"/>
        <v>0</v>
      </c>
      <c r="Q130" s="209">
        <f t="shared" si="57"/>
        <v>0</v>
      </c>
      <c r="R130" s="209">
        <f t="shared" si="57"/>
        <v>0</v>
      </c>
      <c r="S130" s="209">
        <f t="shared" si="57"/>
        <v>0</v>
      </c>
      <c r="T130" s="209">
        <f t="shared" si="57"/>
        <v>0</v>
      </c>
      <c r="U130" s="209">
        <f t="shared" si="57"/>
        <v>0</v>
      </c>
      <c r="V130" s="209">
        <f t="shared" si="57"/>
        <v>0</v>
      </c>
      <c r="W130" s="209">
        <f t="shared" si="57"/>
        <v>0</v>
      </c>
      <c r="X130" s="209">
        <f t="shared" si="57"/>
        <v>0</v>
      </c>
      <c r="Y130" s="209">
        <f t="shared" si="57"/>
        <v>0</v>
      </c>
      <c r="Z130" s="209">
        <f t="shared" si="57"/>
        <v>0</v>
      </c>
      <c r="AA130" s="209">
        <f t="shared" si="57"/>
        <v>0</v>
      </c>
      <c r="AB130" s="209">
        <f t="shared" si="57"/>
        <v>0</v>
      </c>
      <c r="AC130" s="209">
        <f t="shared" si="57"/>
        <v>0</v>
      </c>
      <c r="AD130" s="209">
        <f t="shared" si="57"/>
        <v>0</v>
      </c>
      <c r="AE130" s="209">
        <f t="shared" si="57"/>
        <v>0</v>
      </c>
      <c r="AF130" s="220">
        <f t="shared" si="57"/>
        <v>0</v>
      </c>
    </row>
    <row r="131" spans="1:32" s="59" customFormat="1">
      <c r="A131" s="71" t="s">
        <v>856</v>
      </c>
      <c r="B131" s="95" t="s">
        <v>853</v>
      </c>
      <c r="C131" s="71" t="s">
        <v>531</v>
      </c>
      <c r="D131" s="74" t="s">
        <v>387</v>
      </c>
      <c r="E131" s="209">
        <f t="shared" ref="E131:AF131" si="58">E37*$B$80</f>
        <v>0</v>
      </c>
      <c r="F131" s="209">
        <f t="shared" si="58"/>
        <v>0</v>
      </c>
      <c r="G131" s="209">
        <f t="shared" si="58"/>
        <v>0</v>
      </c>
      <c r="H131" s="209">
        <f t="shared" si="58"/>
        <v>0</v>
      </c>
      <c r="I131" s="209">
        <f t="shared" si="58"/>
        <v>0</v>
      </c>
      <c r="J131" s="209">
        <f t="shared" si="58"/>
        <v>0</v>
      </c>
      <c r="K131" s="209">
        <f t="shared" si="58"/>
        <v>0</v>
      </c>
      <c r="L131" s="209">
        <f t="shared" si="58"/>
        <v>0</v>
      </c>
      <c r="M131" s="209">
        <f t="shared" si="58"/>
        <v>0</v>
      </c>
      <c r="N131" s="209">
        <f t="shared" si="58"/>
        <v>0</v>
      </c>
      <c r="O131" s="209">
        <f t="shared" si="58"/>
        <v>0</v>
      </c>
      <c r="P131" s="209">
        <f t="shared" si="58"/>
        <v>0</v>
      </c>
      <c r="Q131" s="209">
        <f t="shared" si="58"/>
        <v>0</v>
      </c>
      <c r="R131" s="209">
        <f t="shared" si="58"/>
        <v>0</v>
      </c>
      <c r="S131" s="209">
        <f t="shared" si="58"/>
        <v>0</v>
      </c>
      <c r="T131" s="209">
        <f t="shared" si="58"/>
        <v>0</v>
      </c>
      <c r="U131" s="209">
        <f t="shared" si="58"/>
        <v>-17.674190042010167</v>
      </c>
      <c r="V131" s="209">
        <f t="shared" si="58"/>
        <v>0</v>
      </c>
      <c r="W131" s="209">
        <f t="shared" si="58"/>
        <v>0</v>
      </c>
      <c r="X131" s="209">
        <f t="shared" si="58"/>
        <v>0</v>
      </c>
      <c r="Y131" s="209">
        <f t="shared" si="58"/>
        <v>0</v>
      </c>
      <c r="Z131" s="209">
        <f t="shared" si="58"/>
        <v>0</v>
      </c>
      <c r="AA131" s="209">
        <f t="shared" si="58"/>
        <v>0</v>
      </c>
      <c r="AB131" s="209">
        <f t="shared" si="58"/>
        <v>0</v>
      </c>
      <c r="AC131" s="209">
        <f t="shared" si="58"/>
        <v>0</v>
      </c>
      <c r="AD131" s="209">
        <f t="shared" si="58"/>
        <v>0</v>
      </c>
      <c r="AE131" s="209">
        <f t="shared" si="58"/>
        <v>0</v>
      </c>
      <c r="AF131" s="220">
        <f t="shared" si="58"/>
        <v>0</v>
      </c>
    </row>
    <row r="132" spans="1:32" s="59" customFormat="1">
      <c r="A132" s="71" t="s">
        <v>856</v>
      </c>
      <c r="B132" s="95" t="s">
        <v>853</v>
      </c>
      <c r="C132" s="71" t="s">
        <v>533</v>
      </c>
      <c r="D132" s="74" t="s">
        <v>387</v>
      </c>
      <c r="E132" s="209">
        <f t="shared" ref="E132:AF132" si="59">E38*$B$80</f>
        <v>0</v>
      </c>
      <c r="F132" s="209">
        <f t="shared" si="59"/>
        <v>0</v>
      </c>
      <c r="G132" s="209">
        <f t="shared" si="59"/>
        <v>0</v>
      </c>
      <c r="H132" s="209">
        <f t="shared" si="59"/>
        <v>0</v>
      </c>
      <c r="I132" s="209">
        <f t="shared" si="59"/>
        <v>0</v>
      </c>
      <c r="J132" s="209">
        <f t="shared" si="59"/>
        <v>0</v>
      </c>
      <c r="K132" s="209">
        <f t="shared" si="59"/>
        <v>0</v>
      </c>
      <c r="L132" s="209">
        <f t="shared" si="59"/>
        <v>0</v>
      </c>
      <c r="M132" s="209">
        <f t="shared" si="59"/>
        <v>0</v>
      </c>
      <c r="N132" s="209">
        <f t="shared" si="59"/>
        <v>0</v>
      </c>
      <c r="O132" s="209">
        <f t="shared" si="59"/>
        <v>0</v>
      </c>
      <c r="P132" s="209">
        <f t="shared" si="59"/>
        <v>0</v>
      </c>
      <c r="Q132" s="209">
        <f t="shared" si="59"/>
        <v>0</v>
      </c>
      <c r="R132" s="209">
        <f t="shared" si="59"/>
        <v>0</v>
      </c>
      <c r="S132" s="209">
        <f t="shared" si="59"/>
        <v>0</v>
      </c>
      <c r="T132" s="209">
        <f t="shared" si="59"/>
        <v>0</v>
      </c>
      <c r="U132" s="209">
        <f t="shared" si="59"/>
        <v>0</v>
      </c>
      <c r="V132" s="209">
        <f t="shared" si="59"/>
        <v>0</v>
      </c>
      <c r="W132" s="209">
        <f t="shared" si="59"/>
        <v>0</v>
      </c>
      <c r="X132" s="209">
        <f t="shared" si="59"/>
        <v>0</v>
      </c>
      <c r="Y132" s="209">
        <f t="shared" si="59"/>
        <v>0</v>
      </c>
      <c r="Z132" s="209">
        <f t="shared" si="59"/>
        <v>0</v>
      </c>
      <c r="AA132" s="209">
        <f t="shared" si="59"/>
        <v>0</v>
      </c>
      <c r="AB132" s="209">
        <f t="shared" si="59"/>
        <v>0</v>
      </c>
      <c r="AC132" s="209">
        <f t="shared" si="59"/>
        <v>0</v>
      </c>
      <c r="AD132" s="209">
        <f t="shared" si="59"/>
        <v>0</v>
      </c>
      <c r="AE132" s="209">
        <f t="shared" si="59"/>
        <v>0</v>
      </c>
      <c r="AF132" s="220">
        <f t="shared" si="59"/>
        <v>0</v>
      </c>
    </row>
    <row r="133" spans="1:32" s="59" customFormat="1">
      <c r="A133" s="71" t="s">
        <v>856</v>
      </c>
      <c r="B133" s="95" t="s">
        <v>853</v>
      </c>
      <c r="C133" s="71" t="s">
        <v>535</v>
      </c>
      <c r="D133" s="74" t="s">
        <v>387</v>
      </c>
      <c r="E133" s="209">
        <f t="shared" ref="E133:AF133" si="60">E39*$B$80</f>
        <v>0</v>
      </c>
      <c r="F133" s="209">
        <f t="shared" si="60"/>
        <v>0</v>
      </c>
      <c r="G133" s="209">
        <f t="shared" si="60"/>
        <v>-5.11277310077128</v>
      </c>
      <c r="H133" s="209">
        <f t="shared" si="60"/>
        <v>0</v>
      </c>
      <c r="I133" s="209">
        <f t="shared" si="60"/>
        <v>0</v>
      </c>
      <c r="J133" s="209">
        <f t="shared" si="60"/>
        <v>-4.5558469115232842</v>
      </c>
      <c r="K133" s="209">
        <f t="shared" si="60"/>
        <v>-45.659999999999954</v>
      </c>
      <c r="L133" s="209">
        <f t="shared" si="60"/>
        <v>0</v>
      </c>
      <c r="M133" s="209">
        <f t="shared" si="60"/>
        <v>-33.996918103448245</v>
      </c>
      <c r="N133" s="209">
        <f t="shared" si="60"/>
        <v>-23.624529584067151</v>
      </c>
      <c r="O133" s="209">
        <f t="shared" si="60"/>
        <v>0</v>
      </c>
      <c r="P133" s="209">
        <f t="shared" si="60"/>
        <v>-430.21309286898799</v>
      </c>
      <c r="Q133" s="209">
        <f t="shared" si="60"/>
        <v>0</v>
      </c>
      <c r="R133" s="209">
        <f t="shared" si="60"/>
        <v>0</v>
      </c>
      <c r="S133" s="209">
        <f t="shared" si="60"/>
        <v>-10.658441902986402</v>
      </c>
      <c r="T133" s="209">
        <f t="shared" si="60"/>
        <v>-104.31795529920682</v>
      </c>
      <c r="U133" s="209">
        <f t="shared" si="60"/>
        <v>-171.51376910960792</v>
      </c>
      <c r="V133" s="209">
        <f t="shared" si="60"/>
        <v>-3222.4502438509417</v>
      </c>
      <c r="W133" s="209">
        <f t="shared" si="60"/>
        <v>0</v>
      </c>
      <c r="X133" s="209">
        <f t="shared" si="60"/>
        <v>-81.473465480651939</v>
      </c>
      <c r="Y133" s="209">
        <f t="shared" si="60"/>
        <v>-101.39849418459835</v>
      </c>
      <c r="Z133" s="209">
        <f t="shared" si="60"/>
        <v>-136.23915808951071</v>
      </c>
      <c r="AA133" s="209">
        <f t="shared" si="60"/>
        <v>-300.53094674774201</v>
      </c>
      <c r="AB133" s="209">
        <f t="shared" si="60"/>
        <v>0</v>
      </c>
      <c r="AC133" s="209">
        <f t="shared" si="60"/>
        <v>-6.2099999999999937</v>
      </c>
      <c r="AD133" s="209">
        <f t="shared" si="60"/>
        <v>0</v>
      </c>
      <c r="AE133" s="209">
        <f t="shared" si="60"/>
        <v>-5.9920975883342624</v>
      </c>
      <c r="AF133" s="220">
        <f t="shared" si="60"/>
        <v>-252.76674415169191</v>
      </c>
    </row>
    <row r="134" spans="1:32" s="59" customFormat="1">
      <c r="A134" s="71" t="s">
        <v>856</v>
      </c>
      <c r="B134" s="95" t="s">
        <v>853</v>
      </c>
      <c r="C134" s="71" t="s">
        <v>537</v>
      </c>
      <c r="D134" s="74" t="s">
        <v>387</v>
      </c>
      <c r="E134" s="209">
        <f t="shared" ref="E134:AF134" si="61">E40*$B$75</f>
        <v>0</v>
      </c>
      <c r="F134" s="209">
        <f t="shared" si="61"/>
        <v>-1644.4520154777945</v>
      </c>
      <c r="G134" s="209">
        <f t="shared" si="61"/>
        <v>-4.5315373888309125</v>
      </c>
      <c r="H134" s="209">
        <f t="shared" si="61"/>
        <v>-24428.631592765338</v>
      </c>
      <c r="I134" s="209">
        <f t="shared" si="61"/>
        <v>-4475.7627127989781</v>
      </c>
      <c r="J134" s="209">
        <f t="shared" si="61"/>
        <v>-2940.041963175056</v>
      </c>
      <c r="K134" s="209">
        <f t="shared" si="61"/>
        <v>0</v>
      </c>
      <c r="L134" s="209">
        <f t="shared" si="61"/>
        <v>0</v>
      </c>
      <c r="M134" s="209">
        <f t="shared" si="61"/>
        <v>-13307.922</v>
      </c>
      <c r="N134" s="209">
        <f t="shared" si="61"/>
        <v>-26322.49704242084</v>
      </c>
      <c r="O134" s="209">
        <f t="shared" si="61"/>
        <v>-1871.4096328534777</v>
      </c>
      <c r="P134" s="209">
        <f t="shared" si="61"/>
        <v>-367726.4381647798</v>
      </c>
      <c r="Q134" s="209">
        <f t="shared" si="61"/>
        <v>-7899.8762127987648</v>
      </c>
      <c r="R134" s="209">
        <f t="shared" si="61"/>
        <v>-13665.288794003724</v>
      </c>
      <c r="S134" s="209">
        <f t="shared" si="61"/>
        <v>-18273.232032801759</v>
      </c>
      <c r="T134" s="209">
        <f t="shared" si="61"/>
        <v>-40241.587080799887</v>
      </c>
      <c r="U134" s="209">
        <f t="shared" si="61"/>
        <v>-38784.677237783697</v>
      </c>
      <c r="V134" s="209">
        <f t="shared" si="61"/>
        <v>0</v>
      </c>
      <c r="W134" s="209">
        <f t="shared" si="61"/>
        <v>-16917.66</v>
      </c>
      <c r="X134" s="209">
        <f t="shared" si="61"/>
        <v>-29704.798187926575</v>
      </c>
      <c r="Y134" s="209">
        <f t="shared" si="61"/>
        <v>-8830.3782843285026</v>
      </c>
      <c r="Z134" s="209">
        <f t="shared" si="61"/>
        <v>-10466.409917688348</v>
      </c>
      <c r="AA134" s="209">
        <f t="shared" si="61"/>
        <v>-36128.606199200083</v>
      </c>
      <c r="AB134" s="209">
        <f t="shared" si="61"/>
        <v>-4435.4797280948305</v>
      </c>
      <c r="AC134" s="209">
        <f t="shared" si="61"/>
        <v>0</v>
      </c>
      <c r="AD134" s="209">
        <f t="shared" si="61"/>
        <v>-95625.823161463006</v>
      </c>
      <c r="AE134" s="209">
        <f t="shared" si="61"/>
        <v>-42142.496589918817</v>
      </c>
      <c r="AF134" s="220">
        <f t="shared" si="61"/>
        <v>-176815.62458568832</v>
      </c>
    </row>
    <row r="135" spans="1:32" s="59" customFormat="1">
      <c r="A135" s="71" t="s">
        <v>856</v>
      </c>
      <c r="B135" s="95" t="s">
        <v>853</v>
      </c>
      <c r="C135" s="71" t="s">
        <v>541</v>
      </c>
      <c r="D135" s="74" t="s">
        <v>387</v>
      </c>
      <c r="E135" s="209">
        <f>E67*$B$80</f>
        <v>0</v>
      </c>
      <c r="F135" s="209">
        <f t="shared" ref="F135:AF135" si="62">F67*$B$80</f>
        <v>-255.21254435591644</v>
      </c>
      <c r="G135" s="209">
        <f t="shared" si="62"/>
        <v>-32.950303672850616</v>
      </c>
      <c r="H135" s="209">
        <f t="shared" si="62"/>
        <v>0</v>
      </c>
      <c r="I135" s="209">
        <f t="shared" si="62"/>
        <v>-66.620264762091381</v>
      </c>
      <c r="J135" s="209">
        <f t="shared" si="62"/>
        <v>-54.66519556280327</v>
      </c>
      <c r="K135" s="209">
        <f t="shared" si="62"/>
        <v>-15.79941134160349</v>
      </c>
      <c r="L135" s="209">
        <f t="shared" si="62"/>
        <v>0</v>
      </c>
      <c r="M135" s="209">
        <f t="shared" si="62"/>
        <v>-1286.1207951168153</v>
      </c>
      <c r="N135" s="209">
        <f t="shared" si="62"/>
        <v>-411.42785447054655</v>
      </c>
      <c r="O135" s="209">
        <f t="shared" si="62"/>
        <v>-68.404758094239909</v>
      </c>
      <c r="P135" s="209">
        <f t="shared" si="62"/>
        <v>-4194.1512153482645</v>
      </c>
      <c r="Q135" s="209">
        <f t="shared" si="62"/>
        <v>-240.4944463630668</v>
      </c>
      <c r="R135" s="209">
        <f t="shared" si="62"/>
        <v>-256.40146381606206</v>
      </c>
      <c r="S135" s="209">
        <f t="shared" si="62"/>
        <v>-473.10218348326987</v>
      </c>
      <c r="T135" s="209">
        <f t="shared" si="62"/>
        <v>-1088.5357474837967</v>
      </c>
      <c r="U135" s="209">
        <f t="shared" si="62"/>
        <v>-1451.7183082964937</v>
      </c>
      <c r="V135" s="209">
        <f t="shared" si="62"/>
        <v>0</v>
      </c>
      <c r="W135" s="209">
        <f t="shared" si="62"/>
        <v>-2934.2814593332573</v>
      </c>
      <c r="X135" s="209">
        <f t="shared" si="62"/>
        <v>-237.28457363318645</v>
      </c>
      <c r="Y135" s="209">
        <f t="shared" si="62"/>
        <v>-491.50622442367904</v>
      </c>
      <c r="Z135" s="209">
        <f t="shared" si="62"/>
        <v>-413.90340212173669</v>
      </c>
      <c r="AA135" s="209">
        <f t="shared" si="62"/>
        <v>-2275.8078348167728</v>
      </c>
      <c r="AB135" s="209">
        <f t="shared" si="62"/>
        <v>-3752.7655600573289</v>
      </c>
      <c r="AC135" s="209">
        <f t="shared" si="62"/>
        <v>-79.406571497307198</v>
      </c>
      <c r="AD135" s="209">
        <f t="shared" si="62"/>
        <v>0</v>
      </c>
      <c r="AE135" s="209">
        <f t="shared" si="62"/>
        <v>0</v>
      </c>
      <c r="AF135" s="220">
        <f t="shared" si="62"/>
        <v>-7254.4024107112518</v>
      </c>
    </row>
    <row r="136" spans="1:32" s="59" customFormat="1">
      <c r="A136" s="71" t="s">
        <v>856</v>
      </c>
      <c r="B136" s="95" t="s">
        <v>853</v>
      </c>
      <c r="C136" s="71" t="s">
        <v>543</v>
      </c>
      <c r="D136" s="74" t="s">
        <v>387</v>
      </c>
      <c r="E136" s="209">
        <f t="shared" ref="E136:AF136" si="63">E42*$B$80</f>
        <v>0</v>
      </c>
      <c r="F136" s="209">
        <f t="shared" si="63"/>
        <v>0</v>
      </c>
      <c r="G136" s="209">
        <f t="shared" si="63"/>
        <v>0</v>
      </c>
      <c r="H136" s="209">
        <f t="shared" si="63"/>
        <v>0</v>
      </c>
      <c r="I136" s="209">
        <f t="shared" si="63"/>
        <v>0</v>
      </c>
      <c r="J136" s="209">
        <f t="shared" si="63"/>
        <v>0</v>
      </c>
      <c r="K136" s="209">
        <f t="shared" si="63"/>
        <v>0</v>
      </c>
      <c r="L136" s="209">
        <f t="shared" si="63"/>
        <v>0</v>
      </c>
      <c r="M136" s="209">
        <f t="shared" si="63"/>
        <v>0</v>
      </c>
      <c r="N136" s="209">
        <f t="shared" si="63"/>
        <v>-76.379999999999924</v>
      </c>
      <c r="O136" s="209">
        <f t="shared" si="63"/>
        <v>0</v>
      </c>
      <c r="P136" s="209">
        <f t="shared" si="63"/>
        <v>-23.366101910828004</v>
      </c>
      <c r="Q136" s="209">
        <f t="shared" si="63"/>
        <v>0</v>
      </c>
      <c r="R136" s="209">
        <f t="shared" si="63"/>
        <v>0</v>
      </c>
      <c r="S136" s="209">
        <f t="shared" si="63"/>
        <v>0</v>
      </c>
      <c r="T136" s="209">
        <f t="shared" si="63"/>
        <v>0</v>
      </c>
      <c r="U136" s="209">
        <f t="shared" si="63"/>
        <v>0</v>
      </c>
      <c r="V136" s="209">
        <f t="shared" si="63"/>
        <v>0</v>
      </c>
      <c r="W136" s="209">
        <f t="shared" si="63"/>
        <v>0</v>
      </c>
      <c r="X136" s="209">
        <f t="shared" si="63"/>
        <v>-0.65999999999999936</v>
      </c>
      <c r="Y136" s="209">
        <f t="shared" si="63"/>
        <v>-135.97907995610393</v>
      </c>
      <c r="Z136" s="209">
        <f t="shared" si="63"/>
        <v>0</v>
      </c>
      <c r="AA136" s="209">
        <f t="shared" si="63"/>
        <v>0</v>
      </c>
      <c r="AB136" s="209">
        <f t="shared" si="63"/>
        <v>0</v>
      </c>
      <c r="AC136" s="209">
        <f t="shared" si="63"/>
        <v>0</v>
      </c>
      <c r="AD136" s="209">
        <f t="shared" si="63"/>
        <v>0</v>
      </c>
      <c r="AE136" s="209">
        <f t="shared" si="63"/>
        <v>0</v>
      </c>
      <c r="AF136" s="220">
        <f t="shared" si="63"/>
        <v>-52.109383462296933</v>
      </c>
    </row>
    <row r="137" spans="1:32" s="59" customFormat="1">
      <c r="A137" s="71" t="s">
        <v>856</v>
      </c>
      <c r="B137" s="95" t="s">
        <v>853</v>
      </c>
      <c r="C137" s="71" t="s">
        <v>545</v>
      </c>
      <c r="D137" s="74" t="s">
        <v>387</v>
      </c>
      <c r="E137" s="209">
        <f t="shared" ref="E137:AF137" si="64">E43*$B$80</f>
        <v>0</v>
      </c>
      <c r="F137" s="209">
        <f t="shared" si="64"/>
        <v>0</v>
      </c>
      <c r="G137" s="209">
        <f t="shared" si="64"/>
        <v>0</v>
      </c>
      <c r="H137" s="209">
        <f t="shared" si="64"/>
        <v>0</v>
      </c>
      <c r="I137" s="209">
        <f t="shared" si="64"/>
        <v>0</v>
      </c>
      <c r="J137" s="209">
        <f t="shared" si="64"/>
        <v>0</v>
      </c>
      <c r="K137" s="209">
        <f t="shared" si="64"/>
        <v>0</v>
      </c>
      <c r="L137" s="209">
        <f t="shared" si="64"/>
        <v>0</v>
      </c>
      <c r="M137" s="209">
        <f t="shared" si="64"/>
        <v>0</v>
      </c>
      <c r="N137" s="209">
        <f t="shared" si="64"/>
        <v>0</v>
      </c>
      <c r="O137" s="209">
        <f t="shared" si="64"/>
        <v>0</v>
      </c>
      <c r="P137" s="209">
        <f t="shared" si="64"/>
        <v>-19032.260506549774</v>
      </c>
      <c r="Q137" s="209">
        <f t="shared" si="64"/>
        <v>-681.21757447959737</v>
      </c>
      <c r="R137" s="209">
        <f t="shared" si="64"/>
        <v>-400.4399999999996</v>
      </c>
      <c r="S137" s="209">
        <f t="shared" si="64"/>
        <v>-69.937490296742055</v>
      </c>
      <c r="T137" s="209">
        <f t="shared" si="64"/>
        <v>-1390.5943157857612</v>
      </c>
      <c r="U137" s="209">
        <f t="shared" si="64"/>
        <v>-587.44039070335566</v>
      </c>
      <c r="V137" s="209">
        <f t="shared" si="64"/>
        <v>0</v>
      </c>
      <c r="W137" s="209">
        <f t="shared" si="64"/>
        <v>0</v>
      </c>
      <c r="X137" s="209">
        <f t="shared" si="64"/>
        <v>0</v>
      </c>
      <c r="Y137" s="209">
        <f t="shared" si="64"/>
        <v>0</v>
      </c>
      <c r="Z137" s="209">
        <f t="shared" si="64"/>
        <v>0</v>
      </c>
      <c r="AA137" s="209">
        <f t="shared" si="64"/>
        <v>0</v>
      </c>
      <c r="AB137" s="209">
        <f t="shared" si="64"/>
        <v>0</v>
      </c>
      <c r="AC137" s="209">
        <f t="shared" si="64"/>
        <v>0</v>
      </c>
      <c r="AD137" s="209">
        <f t="shared" si="64"/>
        <v>-11537.718464026695</v>
      </c>
      <c r="AE137" s="209">
        <f t="shared" si="64"/>
        <v>-36.989999999999966</v>
      </c>
      <c r="AF137" s="220">
        <f t="shared" si="64"/>
        <v>-1852.4699999999982</v>
      </c>
    </row>
    <row r="138" spans="1:32" s="59" customFormat="1">
      <c r="A138" s="71" t="s">
        <v>856</v>
      </c>
      <c r="B138" s="95" t="s">
        <v>853</v>
      </c>
      <c r="C138" s="71" t="s">
        <v>548</v>
      </c>
      <c r="D138" s="74" t="s">
        <v>387</v>
      </c>
      <c r="E138" s="209">
        <f t="shared" ref="E138:AF138" si="65">E44*$B$80</f>
        <v>0</v>
      </c>
      <c r="F138" s="209">
        <f t="shared" si="65"/>
        <v>-280.31999999999971</v>
      </c>
      <c r="G138" s="209">
        <f t="shared" si="65"/>
        <v>-48.292711287941941</v>
      </c>
      <c r="H138" s="209">
        <f t="shared" si="65"/>
        <v>0</v>
      </c>
      <c r="I138" s="209">
        <f t="shared" si="65"/>
        <v>-101.7402426699244</v>
      </c>
      <c r="J138" s="209">
        <f t="shared" si="65"/>
        <v>-62.789999999999942</v>
      </c>
      <c r="K138" s="209">
        <f t="shared" si="65"/>
        <v>-3085.1399999999971</v>
      </c>
      <c r="L138" s="209">
        <f t="shared" si="65"/>
        <v>-136.28999999999988</v>
      </c>
      <c r="M138" s="209">
        <f t="shared" si="65"/>
        <v>-935.90999999999906</v>
      </c>
      <c r="N138" s="209">
        <f t="shared" si="65"/>
        <v>-17.369999999999983</v>
      </c>
      <c r="O138" s="209">
        <f t="shared" si="65"/>
        <v>-267.31397995527186</v>
      </c>
      <c r="P138" s="209">
        <f t="shared" si="65"/>
        <v>-479.55644428920664</v>
      </c>
      <c r="Q138" s="209">
        <f t="shared" si="65"/>
        <v>-945.38214529294385</v>
      </c>
      <c r="R138" s="209">
        <f t="shared" si="65"/>
        <v>-465.41386648762659</v>
      </c>
      <c r="S138" s="209">
        <f t="shared" si="65"/>
        <v>-1644.9300872025226</v>
      </c>
      <c r="T138" s="209">
        <f t="shared" si="65"/>
        <v>-3583.5599999999968</v>
      </c>
      <c r="U138" s="209">
        <f t="shared" si="65"/>
        <v>-5098.4320356528451</v>
      </c>
      <c r="V138" s="209">
        <f t="shared" si="65"/>
        <v>0</v>
      </c>
      <c r="W138" s="209">
        <f t="shared" si="65"/>
        <v>0</v>
      </c>
      <c r="X138" s="209">
        <f t="shared" si="65"/>
        <v>-4055.5499999999961</v>
      </c>
      <c r="Y138" s="209">
        <f t="shared" si="65"/>
        <v>-4949.4519879788386</v>
      </c>
      <c r="Z138" s="209">
        <f t="shared" si="65"/>
        <v>-3351.839999999997</v>
      </c>
      <c r="AA138" s="209">
        <f t="shared" si="65"/>
        <v>-7470.5099999999929</v>
      </c>
      <c r="AB138" s="209">
        <f t="shared" si="65"/>
        <v>-4108.8899999999958</v>
      </c>
      <c r="AC138" s="209">
        <f t="shared" si="65"/>
        <v>-48.569999999999951</v>
      </c>
      <c r="AD138" s="209">
        <f t="shared" si="65"/>
        <v>0</v>
      </c>
      <c r="AE138" s="209">
        <f t="shared" si="65"/>
        <v>-3426.5785869865913</v>
      </c>
      <c r="AF138" s="220">
        <f t="shared" si="65"/>
        <v>-17.792231912874492</v>
      </c>
    </row>
    <row r="139" spans="1:32" s="59" customFormat="1">
      <c r="A139" s="71" t="s">
        <v>856</v>
      </c>
      <c r="B139" s="95" t="s">
        <v>853</v>
      </c>
      <c r="C139" s="71" t="s">
        <v>550</v>
      </c>
      <c r="D139" s="74" t="s">
        <v>387</v>
      </c>
      <c r="E139" s="209">
        <f t="shared" ref="E139:AF139" si="66">E45*$B$80</f>
        <v>0</v>
      </c>
      <c r="F139" s="209">
        <f t="shared" si="66"/>
        <v>0</v>
      </c>
      <c r="G139" s="209">
        <f t="shared" si="66"/>
        <v>0</v>
      </c>
      <c r="H139" s="209">
        <f t="shared" si="66"/>
        <v>0</v>
      </c>
      <c r="I139" s="209">
        <f t="shared" si="66"/>
        <v>0</v>
      </c>
      <c r="J139" s="209">
        <f t="shared" si="66"/>
        <v>0</v>
      </c>
      <c r="K139" s="209">
        <f t="shared" si="66"/>
        <v>0</v>
      </c>
      <c r="L139" s="209">
        <f t="shared" si="66"/>
        <v>0</v>
      </c>
      <c r="M139" s="209">
        <f t="shared" si="66"/>
        <v>0</v>
      </c>
      <c r="N139" s="209">
        <f t="shared" si="66"/>
        <v>0</v>
      </c>
      <c r="O139" s="209">
        <f t="shared" si="66"/>
        <v>0</v>
      </c>
      <c r="P139" s="209">
        <f t="shared" si="66"/>
        <v>-3.4780645161290291</v>
      </c>
      <c r="Q139" s="209">
        <f t="shared" si="66"/>
        <v>0</v>
      </c>
      <c r="R139" s="209">
        <f t="shared" si="66"/>
        <v>0</v>
      </c>
      <c r="S139" s="209">
        <f t="shared" si="66"/>
        <v>0</v>
      </c>
      <c r="T139" s="209">
        <f t="shared" si="66"/>
        <v>0</v>
      </c>
      <c r="U139" s="209">
        <f t="shared" si="66"/>
        <v>0</v>
      </c>
      <c r="V139" s="209">
        <f t="shared" si="66"/>
        <v>0</v>
      </c>
      <c r="W139" s="209">
        <f t="shared" si="66"/>
        <v>0</v>
      </c>
      <c r="X139" s="209">
        <f t="shared" si="66"/>
        <v>-99.282825758615857</v>
      </c>
      <c r="Y139" s="209">
        <f t="shared" si="66"/>
        <v>-145.88762885969444</v>
      </c>
      <c r="Z139" s="209">
        <f t="shared" si="66"/>
        <v>0</v>
      </c>
      <c r="AA139" s="209">
        <f t="shared" si="66"/>
        <v>0</v>
      </c>
      <c r="AB139" s="209">
        <f t="shared" si="66"/>
        <v>0</v>
      </c>
      <c r="AC139" s="209">
        <f t="shared" si="66"/>
        <v>0</v>
      </c>
      <c r="AD139" s="209">
        <f t="shared" si="66"/>
        <v>0</v>
      </c>
      <c r="AE139" s="209">
        <f t="shared" si="66"/>
        <v>0</v>
      </c>
      <c r="AF139" s="220">
        <f t="shared" si="66"/>
        <v>-156.74999999999986</v>
      </c>
    </row>
    <row r="140" spans="1:32" s="59" customFormat="1">
      <c r="A140" s="71" t="s">
        <v>856</v>
      </c>
      <c r="B140" s="95" t="s">
        <v>853</v>
      </c>
      <c r="C140" s="71" t="s">
        <v>552</v>
      </c>
      <c r="D140" s="74" t="s">
        <v>387</v>
      </c>
      <c r="E140" s="209">
        <f t="shared" ref="E140:AF140" si="67">E46*$B$80</f>
        <v>0</v>
      </c>
      <c r="F140" s="209">
        <f t="shared" si="67"/>
        <v>0</v>
      </c>
      <c r="G140" s="209">
        <f t="shared" si="67"/>
        <v>-10.64999999999999</v>
      </c>
      <c r="H140" s="209">
        <f t="shared" si="67"/>
        <v>0</v>
      </c>
      <c r="I140" s="209">
        <f t="shared" si="67"/>
        <v>0</v>
      </c>
      <c r="J140" s="209">
        <f t="shared" si="67"/>
        <v>-1.1177935087484963</v>
      </c>
      <c r="K140" s="209">
        <f t="shared" si="67"/>
        <v>0</v>
      </c>
      <c r="L140" s="209">
        <f t="shared" si="67"/>
        <v>0</v>
      </c>
      <c r="M140" s="209">
        <f t="shared" si="67"/>
        <v>0</v>
      </c>
      <c r="N140" s="209">
        <f t="shared" si="67"/>
        <v>-111.82782713515051</v>
      </c>
      <c r="O140" s="209">
        <f t="shared" si="67"/>
        <v>-167.64677895364417</v>
      </c>
      <c r="P140" s="209">
        <f t="shared" si="67"/>
        <v>-15428.792470074517</v>
      </c>
      <c r="Q140" s="209">
        <f t="shared" si="67"/>
        <v>0</v>
      </c>
      <c r="R140" s="209">
        <f t="shared" si="67"/>
        <v>0</v>
      </c>
      <c r="S140" s="209">
        <f t="shared" si="67"/>
        <v>-31.595263054957915</v>
      </c>
      <c r="T140" s="209">
        <f t="shared" si="67"/>
        <v>-1084.0804948602552</v>
      </c>
      <c r="U140" s="209">
        <f t="shared" si="67"/>
        <v>-1649.8345403139951</v>
      </c>
      <c r="V140" s="209">
        <f t="shared" si="67"/>
        <v>0</v>
      </c>
      <c r="W140" s="209">
        <f t="shared" si="67"/>
        <v>0</v>
      </c>
      <c r="X140" s="209">
        <f t="shared" si="67"/>
        <v>-509.96413065730007</v>
      </c>
      <c r="Y140" s="209">
        <f t="shared" si="67"/>
        <v>-1078.192748287014</v>
      </c>
      <c r="Z140" s="209">
        <f t="shared" si="67"/>
        <v>0</v>
      </c>
      <c r="AA140" s="209">
        <f t="shared" si="67"/>
        <v>-1450.7638120930671</v>
      </c>
      <c r="AB140" s="209">
        <f t="shared" si="67"/>
        <v>0</v>
      </c>
      <c r="AC140" s="209">
        <f t="shared" si="67"/>
        <v>-4.9799999999999951</v>
      </c>
      <c r="AD140" s="209">
        <f t="shared" si="67"/>
        <v>0</v>
      </c>
      <c r="AE140" s="209">
        <f t="shared" si="67"/>
        <v>-1249.5408684900328</v>
      </c>
      <c r="AF140" s="220">
        <f t="shared" si="67"/>
        <v>-808.70999999999924</v>
      </c>
    </row>
    <row r="141" spans="1:32" s="59" customFormat="1">
      <c r="A141" s="71" t="s">
        <v>856</v>
      </c>
      <c r="B141" s="95" t="s">
        <v>853</v>
      </c>
      <c r="C141" s="71" t="s">
        <v>554</v>
      </c>
      <c r="D141" s="74" t="s">
        <v>387</v>
      </c>
      <c r="E141" s="209">
        <f t="shared" ref="E141:AF141" si="68">E47*$B$80</f>
        <v>0</v>
      </c>
      <c r="F141" s="209">
        <f t="shared" si="68"/>
        <v>0</v>
      </c>
      <c r="G141" s="209">
        <f t="shared" si="68"/>
        <v>0</v>
      </c>
      <c r="H141" s="209">
        <f t="shared" si="68"/>
        <v>0</v>
      </c>
      <c r="I141" s="209">
        <f t="shared" si="68"/>
        <v>0</v>
      </c>
      <c r="J141" s="209">
        <f t="shared" si="68"/>
        <v>0</v>
      </c>
      <c r="K141" s="209">
        <f t="shared" si="68"/>
        <v>0</v>
      </c>
      <c r="L141" s="209">
        <f t="shared" si="68"/>
        <v>0</v>
      </c>
      <c r="M141" s="209">
        <f t="shared" si="68"/>
        <v>0</v>
      </c>
      <c r="N141" s="209">
        <f t="shared" si="68"/>
        <v>0</v>
      </c>
      <c r="O141" s="209">
        <f t="shared" si="68"/>
        <v>0</v>
      </c>
      <c r="P141" s="209">
        <f t="shared" si="68"/>
        <v>-617.4119009628605</v>
      </c>
      <c r="Q141" s="209">
        <f t="shared" si="68"/>
        <v>0</v>
      </c>
      <c r="R141" s="209">
        <f t="shared" si="68"/>
        <v>0</v>
      </c>
      <c r="S141" s="209">
        <f t="shared" si="68"/>
        <v>0</v>
      </c>
      <c r="T141" s="209">
        <f t="shared" si="68"/>
        <v>0</v>
      </c>
      <c r="U141" s="209">
        <f t="shared" si="68"/>
        <v>0</v>
      </c>
      <c r="V141" s="209">
        <f t="shared" si="68"/>
        <v>0</v>
      </c>
      <c r="W141" s="209">
        <f t="shared" si="68"/>
        <v>0</v>
      </c>
      <c r="X141" s="209">
        <f t="shared" si="68"/>
        <v>-36.179999999999964</v>
      </c>
      <c r="Y141" s="209">
        <f t="shared" si="68"/>
        <v>-0.14999999999999986</v>
      </c>
      <c r="Z141" s="209">
        <f t="shared" si="68"/>
        <v>0</v>
      </c>
      <c r="AA141" s="209">
        <f t="shared" si="68"/>
        <v>-128.27999999999989</v>
      </c>
      <c r="AB141" s="209">
        <f t="shared" si="68"/>
        <v>0</v>
      </c>
      <c r="AC141" s="209">
        <f t="shared" si="68"/>
        <v>0</v>
      </c>
      <c r="AD141" s="209">
        <f t="shared" si="68"/>
        <v>0</v>
      </c>
      <c r="AE141" s="209">
        <f t="shared" si="68"/>
        <v>0</v>
      </c>
      <c r="AF141" s="220">
        <f t="shared" si="68"/>
        <v>-0.62999999999999945</v>
      </c>
    </row>
    <row r="142" spans="1:32" s="59" customFormat="1">
      <c r="A142" s="71" t="s">
        <v>856</v>
      </c>
      <c r="B142" s="95" t="s">
        <v>853</v>
      </c>
      <c r="C142" s="71" t="s">
        <v>556</v>
      </c>
      <c r="D142" s="74" t="s">
        <v>387</v>
      </c>
      <c r="E142" s="209">
        <f t="shared" ref="E142:AF142" si="69">E48*$B$80</f>
        <v>0</v>
      </c>
      <c r="F142" s="209">
        <f t="shared" si="69"/>
        <v>-467.89491618720149</v>
      </c>
      <c r="G142" s="209">
        <f t="shared" si="69"/>
        <v>-28.959823459514489</v>
      </c>
      <c r="H142" s="209">
        <f t="shared" si="69"/>
        <v>0</v>
      </c>
      <c r="I142" s="209">
        <f t="shared" si="69"/>
        <v>0</v>
      </c>
      <c r="J142" s="209">
        <f t="shared" si="69"/>
        <v>-4.0988559815234771</v>
      </c>
      <c r="K142" s="209">
        <f t="shared" si="69"/>
        <v>-211.04999999999978</v>
      </c>
      <c r="L142" s="209">
        <f t="shared" si="69"/>
        <v>0</v>
      </c>
      <c r="M142" s="209">
        <f t="shared" si="69"/>
        <v>0</v>
      </c>
      <c r="N142" s="209">
        <f t="shared" si="69"/>
        <v>0</v>
      </c>
      <c r="O142" s="209">
        <f t="shared" si="69"/>
        <v>0</v>
      </c>
      <c r="P142" s="209">
        <f t="shared" si="69"/>
        <v>0</v>
      </c>
      <c r="Q142" s="209">
        <f t="shared" si="69"/>
        <v>0</v>
      </c>
      <c r="R142" s="209">
        <f t="shared" si="69"/>
        <v>0</v>
      </c>
      <c r="S142" s="209">
        <f t="shared" si="69"/>
        <v>0</v>
      </c>
      <c r="T142" s="209">
        <f t="shared" si="69"/>
        <v>0</v>
      </c>
      <c r="U142" s="209">
        <f t="shared" si="69"/>
        <v>0</v>
      </c>
      <c r="V142" s="209">
        <f t="shared" si="69"/>
        <v>-1914.3784726545211</v>
      </c>
      <c r="W142" s="209">
        <f t="shared" si="69"/>
        <v>0</v>
      </c>
      <c r="X142" s="209">
        <f t="shared" si="69"/>
        <v>0</v>
      </c>
      <c r="Y142" s="209">
        <f t="shared" si="69"/>
        <v>-258.25888601165207</v>
      </c>
      <c r="Z142" s="209">
        <f t="shared" si="69"/>
        <v>0</v>
      </c>
      <c r="AA142" s="209">
        <f t="shared" si="69"/>
        <v>0</v>
      </c>
      <c r="AB142" s="209">
        <f t="shared" si="69"/>
        <v>0</v>
      </c>
      <c r="AC142" s="209">
        <f t="shared" si="69"/>
        <v>0</v>
      </c>
      <c r="AD142" s="209">
        <f t="shared" si="69"/>
        <v>0</v>
      </c>
      <c r="AE142" s="209">
        <f t="shared" si="69"/>
        <v>0</v>
      </c>
      <c r="AF142" s="220">
        <f t="shared" si="69"/>
        <v>0</v>
      </c>
    </row>
    <row r="143" spans="1:32" s="59" customFormat="1">
      <c r="A143" s="71" t="s">
        <v>856</v>
      </c>
      <c r="B143" s="95" t="s">
        <v>853</v>
      </c>
      <c r="C143" s="71" t="s">
        <v>558</v>
      </c>
      <c r="D143" s="74" t="s">
        <v>387</v>
      </c>
      <c r="E143" s="209">
        <f t="shared" ref="E143:AF143" si="70">E49*$B$80</f>
        <v>-29.699999999999971</v>
      </c>
      <c r="F143" s="209">
        <f t="shared" si="70"/>
        <v>0</v>
      </c>
      <c r="G143" s="209">
        <f t="shared" si="70"/>
        <v>0</v>
      </c>
      <c r="H143" s="209">
        <f t="shared" si="70"/>
        <v>0</v>
      </c>
      <c r="I143" s="209">
        <f t="shared" si="70"/>
        <v>-1007.336327924641</v>
      </c>
      <c r="J143" s="209">
        <f t="shared" si="70"/>
        <v>-533.97557810771673</v>
      </c>
      <c r="K143" s="209">
        <f t="shared" si="70"/>
        <v>-17.699999999999982</v>
      </c>
      <c r="L143" s="209">
        <f t="shared" si="70"/>
        <v>0</v>
      </c>
      <c r="M143" s="209">
        <f t="shared" si="70"/>
        <v>0</v>
      </c>
      <c r="N143" s="209">
        <f t="shared" si="70"/>
        <v>-2507.2226293182553</v>
      </c>
      <c r="O143" s="209">
        <f t="shared" si="70"/>
        <v>0</v>
      </c>
      <c r="P143" s="209">
        <f t="shared" si="70"/>
        <v>-58648.449515087028</v>
      </c>
      <c r="Q143" s="209">
        <f t="shared" si="70"/>
        <v>-58.590350711143216</v>
      </c>
      <c r="R143" s="209">
        <f t="shared" si="70"/>
        <v>-1976.5799999999981</v>
      </c>
      <c r="S143" s="209">
        <f t="shared" si="70"/>
        <v>-2148.4445797676858</v>
      </c>
      <c r="T143" s="209">
        <f t="shared" si="70"/>
        <v>-9114.5725060175664</v>
      </c>
      <c r="U143" s="209">
        <f t="shared" si="70"/>
        <v>-6085.3740877918599</v>
      </c>
      <c r="V143" s="209">
        <f t="shared" si="70"/>
        <v>0</v>
      </c>
      <c r="W143" s="209">
        <f t="shared" si="70"/>
        <v>-22972.949999999979</v>
      </c>
      <c r="X143" s="209">
        <f t="shared" si="70"/>
        <v>-3743.4299999999962</v>
      </c>
      <c r="Y143" s="209">
        <f t="shared" si="70"/>
        <v>-84.209999999999923</v>
      </c>
      <c r="Z143" s="209">
        <f t="shared" si="70"/>
        <v>-13.949999999999987</v>
      </c>
      <c r="AA143" s="209">
        <f t="shared" si="70"/>
        <v>-518.14980277379777</v>
      </c>
      <c r="AB143" s="209">
        <f t="shared" si="70"/>
        <v>-431.1899999999996</v>
      </c>
      <c r="AC143" s="209">
        <f t="shared" si="70"/>
        <v>-0.74999999999999933</v>
      </c>
      <c r="AD143" s="209">
        <f t="shared" si="70"/>
        <v>0</v>
      </c>
      <c r="AE143" s="209">
        <f t="shared" si="70"/>
        <v>-1679.1676951318921</v>
      </c>
      <c r="AF143" s="220">
        <f t="shared" si="70"/>
        <v>-20264.819999999982</v>
      </c>
    </row>
    <row r="144" spans="1:32" s="59" customFormat="1">
      <c r="A144" s="76" t="s">
        <v>856</v>
      </c>
      <c r="B144" s="76" t="s">
        <v>853</v>
      </c>
      <c r="C144" s="76" t="s">
        <v>560</v>
      </c>
      <c r="D144" s="77" t="s">
        <v>387</v>
      </c>
      <c r="E144" s="223">
        <f t="shared" ref="E144:AF144" si="71">E50*$B$80</f>
        <v>0</v>
      </c>
      <c r="F144" s="226">
        <f t="shared" si="71"/>
        <v>0</v>
      </c>
      <c r="G144" s="226">
        <f t="shared" si="71"/>
        <v>0</v>
      </c>
      <c r="H144" s="226">
        <f t="shared" si="71"/>
        <v>0</v>
      </c>
      <c r="I144" s="226">
        <f t="shared" si="71"/>
        <v>0</v>
      </c>
      <c r="J144" s="226">
        <f t="shared" si="71"/>
        <v>0</v>
      </c>
      <c r="K144" s="226">
        <f t="shared" si="71"/>
        <v>0</v>
      </c>
      <c r="L144" s="226">
        <f t="shared" si="71"/>
        <v>0</v>
      </c>
      <c r="M144" s="226">
        <f t="shared" si="71"/>
        <v>0</v>
      </c>
      <c r="N144" s="226">
        <f t="shared" si="71"/>
        <v>0</v>
      </c>
      <c r="O144" s="226">
        <f t="shared" si="71"/>
        <v>0</v>
      </c>
      <c r="P144" s="226">
        <f t="shared" si="71"/>
        <v>0</v>
      </c>
      <c r="Q144" s="226">
        <f t="shared" si="71"/>
        <v>0</v>
      </c>
      <c r="R144" s="226">
        <f t="shared" si="71"/>
        <v>0</v>
      </c>
      <c r="S144" s="226">
        <f t="shared" si="71"/>
        <v>0</v>
      </c>
      <c r="T144" s="226">
        <f t="shared" si="71"/>
        <v>0</v>
      </c>
      <c r="U144" s="226">
        <f t="shared" si="71"/>
        <v>0</v>
      </c>
      <c r="V144" s="226">
        <f t="shared" si="71"/>
        <v>0</v>
      </c>
      <c r="W144" s="226">
        <f t="shared" si="71"/>
        <v>0</v>
      </c>
      <c r="X144" s="226">
        <f t="shared" si="71"/>
        <v>0</v>
      </c>
      <c r="Y144" s="226">
        <f t="shared" si="71"/>
        <v>0</v>
      </c>
      <c r="Z144" s="226">
        <f t="shared" si="71"/>
        <v>0</v>
      </c>
      <c r="AA144" s="226">
        <f t="shared" si="71"/>
        <v>0</v>
      </c>
      <c r="AB144" s="226">
        <f t="shared" si="71"/>
        <v>0</v>
      </c>
      <c r="AC144" s="226">
        <f t="shared" si="71"/>
        <v>0</v>
      </c>
      <c r="AD144" s="226">
        <f t="shared" si="71"/>
        <v>-170.48999999999984</v>
      </c>
      <c r="AE144" s="226">
        <f t="shared" si="71"/>
        <v>0</v>
      </c>
      <c r="AF144" s="224">
        <f t="shared" si="71"/>
        <v>0</v>
      </c>
    </row>
    <row r="145" spans="1:32" s="59" customFormat="1">
      <c r="A145" s="71" t="s">
        <v>856</v>
      </c>
      <c r="B145" s="95" t="s">
        <v>854</v>
      </c>
      <c r="C145" s="71" t="s">
        <v>515</v>
      </c>
      <c r="D145" s="74" t="s">
        <v>387</v>
      </c>
      <c r="E145" s="209">
        <f t="shared" ref="E145:AF145" si="72">E31*$B$81</f>
        <v>0</v>
      </c>
      <c r="F145" s="209">
        <f t="shared" si="72"/>
        <v>0</v>
      </c>
      <c r="G145" s="209">
        <f t="shared" si="72"/>
        <v>0</v>
      </c>
      <c r="H145" s="209">
        <f t="shared" si="72"/>
        <v>0</v>
      </c>
      <c r="I145" s="209">
        <f t="shared" si="72"/>
        <v>0</v>
      </c>
      <c r="J145" s="209">
        <f t="shared" si="72"/>
        <v>0</v>
      </c>
      <c r="K145" s="209">
        <f t="shared" si="72"/>
        <v>0</v>
      </c>
      <c r="L145" s="209">
        <f t="shared" si="72"/>
        <v>0</v>
      </c>
      <c r="M145" s="209">
        <f t="shared" si="72"/>
        <v>0</v>
      </c>
      <c r="N145" s="209">
        <f t="shared" si="72"/>
        <v>0</v>
      </c>
      <c r="O145" s="209">
        <f t="shared" si="72"/>
        <v>0</v>
      </c>
      <c r="P145" s="209">
        <f t="shared" si="72"/>
        <v>0</v>
      </c>
      <c r="Q145" s="209">
        <f t="shared" si="72"/>
        <v>0</v>
      </c>
      <c r="R145" s="209">
        <f t="shared" si="72"/>
        <v>0</v>
      </c>
      <c r="S145" s="209">
        <f t="shared" si="72"/>
        <v>0</v>
      </c>
      <c r="T145" s="209">
        <f t="shared" si="72"/>
        <v>0</v>
      </c>
      <c r="U145" s="209">
        <f t="shared" si="72"/>
        <v>-5.43</v>
      </c>
      <c r="V145" s="209">
        <f t="shared" si="72"/>
        <v>0</v>
      </c>
      <c r="W145" s="209">
        <f t="shared" si="72"/>
        <v>0</v>
      </c>
      <c r="X145" s="209">
        <f t="shared" si="72"/>
        <v>0</v>
      </c>
      <c r="Y145" s="209">
        <f t="shared" si="72"/>
        <v>-0.01</v>
      </c>
      <c r="Z145" s="209">
        <f t="shared" si="72"/>
        <v>0</v>
      </c>
      <c r="AA145" s="209">
        <f t="shared" si="72"/>
        <v>0</v>
      </c>
      <c r="AB145" s="209">
        <f t="shared" si="72"/>
        <v>0</v>
      </c>
      <c r="AC145" s="209">
        <f t="shared" si="72"/>
        <v>0</v>
      </c>
      <c r="AD145" s="209">
        <f t="shared" si="72"/>
        <v>0</v>
      </c>
      <c r="AE145" s="209">
        <f t="shared" si="72"/>
        <v>0</v>
      </c>
      <c r="AF145" s="220">
        <f t="shared" si="72"/>
        <v>0</v>
      </c>
    </row>
    <row r="146" spans="1:32" s="59" customFormat="1">
      <c r="A146" s="71" t="s">
        <v>856</v>
      </c>
      <c r="B146" s="95" t="s">
        <v>854</v>
      </c>
      <c r="C146" s="71" t="s">
        <v>521</v>
      </c>
      <c r="D146" s="74" t="s">
        <v>387</v>
      </c>
      <c r="E146" s="209">
        <f t="shared" ref="E146:AF146" si="73">E32*$B$81</f>
        <v>0</v>
      </c>
      <c r="F146" s="209">
        <f t="shared" si="73"/>
        <v>0</v>
      </c>
      <c r="G146" s="209">
        <f t="shared" si="73"/>
        <v>0</v>
      </c>
      <c r="H146" s="209">
        <f t="shared" si="73"/>
        <v>0</v>
      </c>
      <c r="I146" s="209">
        <f t="shared" si="73"/>
        <v>0</v>
      </c>
      <c r="J146" s="209">
        <f t="shared" si="73"/>
        <v>0</v>
      </c>
      <c r="K146" s="209">
        <f t="shared" si="73"/>
        <v>0</v>
      </c>
      <c r="L146" s="209">
        <f t="shared" si="73"/>
        <v>0</v>
      </c>
      <c r="M146" s="209">
        <f t="shared" si="73"/>
        <v>0</v>
      </c>
      <c r="N146" s="209">
        <f t="shared" si="73"/>
        <v>0</v>
      </c>
      <c r="O146" s="209">
        <f t="shared" si="73"/>
        <v>0</v>
      </c>
      <c r="P146" s="209">
        <f t="shared" si="73"/>
        <v>0</v>
      </c>
      <c r="Q146" s="209">
        <f t="shared" si="73"/>
        <v>0</v>
      </c>
      <c r="R146" s="209">
        <f t="shared" si="73"/>
        <v>0</v>
      </c>
      <c r="S146" s="209">
        <f t="shared" si="73"/>
        <v>0</v>
      </c>
      <c r="T146" s="209">
        <f t="shared" si="73"/>
        <v>0</v>
      </c>
      <c r="U146" s="209">
        <f t="shared" si="73"/>
        <v>0</v>
      </c>
      <c r="V146" s="209">
        <f t="shared" si="73"/>
        <v>0</v>
      </c>
      <c r="W146" s="209">
        <f t="shared" si="73"/>
        <v>0</v>
      </c>
      <c r="X146" s="209">
        <f t="shared" si="73"/>
        <v>0</v>
      </c>
      <c r="Y146" s="209">
        <f t="shared" si="73"/>
        <v>0</v>
      </c>
      <c r="Z146" s="209">
        <f t="shared" si="73"/>
        <v>0</v>
      </c>
      <c r="AA146" s="209">
        <f t="shared" si="73"/>
        <v>0</v>
      </c>
      <c r="AB146" s="209">
        <f t="shared" si="73"/>
        <v>0</v>
      </c>
      <c r="AC146" s="209">
        <f t="shared" si="73"/>
        <v>0</v>
      </c>
      <c r="AD146" s="209">
        <f t="shared" si="73"/>
        <v>0</v>
      </c>
      <c r="AE146" s="209">
        <f t="shared" si="73"/>
        <v>0</v>
      </c>
      <c r="AF146" s="220">
        <f t="shared" si="73"/>
        <v>0</v>
      </c>
    </row>
    <row r="147" spans="1:32" s="59" customFormat="1">
      <c r="A147" s="71" t="s">
        <v>856</v>
      </c>
      <c r="B147" s="95" t="s">
        <v>854</v>
      </c>
      <c r="C147" s="71" t="s">
        <v>523</v>
      </c>
      <c r="D147" s="74" t="s">
        <v>387</v>
      </c>
      <c r="E147" s="209">
        <f t="shared" ref="E147:AF147" si="74">E33*$B$81</f>
        <v>0</v>
      </c>
      <c r="F147" s="209">
        <f t="shared" si="74"/>
        <v>0</v>
      </c>
      <c r="G147" s="209">
        <f t="shared" si="74"/>
        <v>0</v>
      </c>
      <c r="H147" s="209">
        <f t="shared" si="74"/>
        <v>0</v>
      </c>
      <c r="I147" s="209">
        <f t="shared" si="74"/>
        <v>0</v>
      </c>
      <c r="J147" s="209">
        <f t="shared" si="74"/>
        <v>0</v>
      </c>
      <c r="K147" s="209">
        <f t="shared" si="74"/>
        <v>0</v>
      </c>
      <c r="L147" s="209">
        <f t="shared" si="74"/>
        <v>0</v>
      </c>
      <c r="M147" s="209">
        <f t="shared" si="74"/>
        <v>0</v>
      </c>
      <c r="N147" s="209">
        <f t="shared" si="74"/>
        <v>0</v>
      </c>
      <c r="O147" s="209">
        <f t="shared" si="74"/>
        <v>0</v>
      </c>
      <c r="P147" s="209">
        <f t="shared" si="74"/>
        <v>0</v>
      </c>
      <c r="Q147" s="209">
        <f t="shared" si="74"/>
        <v>0</v>
      </c>
      <c r="R147" s="209">
        <f t="shared" si="74"/>
        <v>0</v>
      </c>
      <c r="S147" s="209">
        <f t="shared" si="74"/>
        <v>0</v>
      </c>
      <c r="T147" s="209">
        <f t="shared" si="74"/>
        <v>0</v>
      </c>
      <c r="U147" s="209">
        <f t="shared" si="74"/>
        <v>0</v>
      </c>
      <c r="V147" s="209">
        <f t="shared" si="74"/>
        <v>0</v>
      </c>
      <c r="W147" s="209">
        <f t="shared" si="74"/>
        <v>0</v>
      </c>
      <c r="X147" s="209">
        <f t="shared" si="74"/>
        <v>0</v>
      </c>
      <c r="Y147" s="209">
        <f t="shared" si="74"/>
        <v>0</v>
      </c>
      <c r="Z147" s="209">
        <f t="shared" si="74"/>
        <v>0</v>
      </c>
      <c r="AA147" s="209">
        <f t="shared" si="74"/>
        <v>0</v>
      </c>
      <c r="AB147" s="209">
        <f t="shared" si="74"/>
        <v>0</v>
      </c>
      <c r="AC147" s="209">
        <f t="shared" si="74"/>
        <v>0</v>
      </c>
      <c r="AD147" s="209">
        <f t="shared" si="74"/>
        <v>0</v>
      </c>
      <c r="AE147" s="209">
        <f t="shared" si="74"/>
        <v>0</v>
      </c>
      <c r="AF147" s="220">
        <f t="shared" si="74"/>
        <v>0</v>
      </c>
    </row>
    <row r="148" spans="1:32" s="59" customFormat="1">
      <c r="A148" s="71" t="s">
        <v>856</v>
      </c>
      <c r="B148" s="95" t="s">
        <v>854</v>
      </c>
      <c r="C148" s="71" t="s">
        <v>525</v>
      </c>
      <c r="D148" s="74" t="s">
        <v>387</v>
      </c>
      <c r="E148" s="209">
        <f t="shared" ref="E148:AF148" si="75">E34*$B$81</f>
        <v>0</v>
      </c>
      <c r="F148" s="209">
        <f t="shared" si="75"/>
        <v>0</v>
      </c>
      <c r="G148" s="209">
        <f t="shared" si="75"/>
        <v>0</v>
      </c>
      <c r="H148" s="209">
        <f t="shared" si="75"/>
        <v>0</v>
      </c>
      <c r="I148" s="209">
        <f t="shared" si="75"/>
        <v>0</v>
      </c>
      <c r="J148" s="209">
        <f t="shared" si="75"/>
        <v>0</v>
      </c>
      <c r="K148" s="209">
        <f t="shared" si="75"/>
        <v>0</v>
      </c>
      <c r="L148" s="209">
        <f t="shared" si="75"/>
        <v>0</v>
      </c>
      <c r="M148" s="209">
        <f t="shared" si="75"/>
        <v>0</v>
      </c>
      <c r="N148" s="209">
        <f t="shared" si="75"/>
        <v>0</v>
      </c>
      <c r="O148" s="209">
        <f t="shared" si="75"/>
        <v>0</v>
      </c>
      <c r="P148" s="209">
        <f t="shared" si="75"/>
        <v>0</v>
      </c>
      <c r="Q148" s="209">
        <f t="shared" si="75"/>
        <v>0</v>
      </c>
      <c r="R148" s="209">
        <f t="shared" si="75"/>
        <v>0</v>
      </c>
      <c r="S148" s="209">
        <f t="shared" si="75"/>
        <v>-9.5492631285134678E-3</v>
      </c>
      <c r="T148" s="209">
        <f t="shared" si="75"/>
        <v>0</v>
      </c>
      <c r="U148" s="209">
        <f t="shared" si="75"/>
        <v>-2.8460982745661769</v>
      </c>
      <c r="V148" s="209">
        <f t="shared" si="75"/>
        <v>0</v>
      </c>
      <c r="W148" s="209">
        <f t="shared" si="75"/>
        <v>0</v>
      </c>
      <c r="X148" s="209">
        <f t="shared" si="75"/>
        <v>0</v>
      </c>
      <c r="Y148" s="209">
        <f t="shared" si="75"/>
        <v>0</v>
      </c>
      <c r="Z148" s="209">
        <f t="shared" si="75"/>
        <v>0</v>
      </c>
      <c r="AA148" s="209">
        <f t="shared" si="75"/>
        <v>0</v>
      </c>
      <c r="AB148" s="209">
        <f t="shared" si="75"/>
        <v>0</v>
      </c>
      <c r="AC148" s="209">
        <f t="shared" si="75"/>
        <v>0</v>
      </c>
      <c r="AD148" s="209">
        <f t="shared" si="75"/>
        <v>0</v>
      </c>
      <c r="AE148" s="209">
        <f t="shared" si="75"/>
        <v>0</v>
      </c>
      <c r="AF148" s="220">
        <f t="shared" si="75"/>
        <v>0</v>
      </c>
    </row>
    <row r="149" spans="1:32" s="59" customFormat="1">
      <c r="A149" s="71" t="s">
        <v>856</v>
      </c>
      <c r="B149" s="95" t="s">
        <v>854</v>
      </c>
      <c r="C149" s="71" t="s">
        <v>527</v>
      </c>
      <c r="D149" s="74" t="s">
        <v>387</v>
      </c>
      <c r="E149" s="209">
        <f t="shared" ref="E149:AF149" si="76">E35*$B$81</f>
        <v>0</v>
      </c>
      <c r="F149" s="209">
        <f t="shared" si="76"/>
        <v>0</v>
      </c>
      <c r="G149" s="209">
        <f t="shared" si="76"/>
        <v>0</v>
      </c>
      <c r="H149" s="209">
        <f t="shared" si="76"/>
        <v>0</v>
      </c>
      <c r="I149" s="209">
        <f t="shared" si="76"/>
        <v>0</v>
      </c>
      <c r="J149" s="209">
        <f t="shared" si="76"/>
        <v>0</v>
      </c>
      <c r="K149" s="209">
        <f t="shared" si="76"/>
        <v>0</v>
      </c>
      <c r="L149" s="209">
        <f t="shared" si="76"/>
        <v>0</v>
      </c>
      <c r="M149" s="209">
        <f t="shared" si="76"/>
        <v>0</v>
      </c>
      <c r="N149" s="209">
        <f t="shared" si="76"/>
        <v>0</v>
      </c>
      <c r="O149" s="209">
        <f t="shared" si="76"/>
        <v>0</v>
      </c>
      <c r="P149" s="209">
        <f t="shared" si="76"/>
        <v>0</v>
      </c>
      <c r="Q149" s="209">
        <f t="shared" si="76"/>
        <v>0</v>
      </c>
      <c r="R149" s="209">
        <f t="shared" si="76"/>
        <v>0</v>
      </c>
      <c r="S149" s="209">
        <f t="shared" si="76"/>
        <v>-7.654422806267303</v>
      </c>
      <c r="T149" s="209">
        <f t="shared" si="76"/>
        <v>0</v>
      </c>
      <c r="U149" s="209">
        <f t="shared" si="76"/>
        <v>0</v>
      </c>
      <c r="V149" s="209">
        <f t="shared" si="76"/>
        <v>0</v>
      </c>
      <c r="W149" s="209">
        <f t="shared" si="76"/>
        <v>0</v>
      </c>
      <c r="X149" s="209">
        <f t="shared" si="76"/>
        <v>-22.08567903195004</v>
      </c>
      <c r="Y149" s="209">
        <f t="shared" si="76"/>
        <v>0</v>
      </c>
      <c r="Z149" s="209">
        <f t="shared" si="76"/>
        <v>0</v>
      </c>
      <c r="AA149" s="209">
        <f t="shared" si="76"/>
        <v>0</v>
      </c>
      <c r="AB149" s="209">
        <f t="shared" si="76"/>
        <v>0</v>
      </c>
      <c r="AC149" s="209">
        <f t="shared" si="76"/>
        <v>0</v>
      </c>
      <c r="AD149" s="209">
        <f t="shared" si="76"/>
        <v>0</v>
      </c>
      <c r="AE149" s="209">
        <f t="shared" si="76"/>
        <v>0</v>
      </c>
      <c r="AF149" s="220">
        <f t="shared" si="76"/>
        <v>0</v>
      </c>
    </row>
    <row r="150" spans="1:32" s="59" customFormat="1">
      <c r="A150" s="71" t="s">
        <v>856</v>
      </c>
      <c r="B150" s="95" t="s">
        <v>854</v>
      </c>
      <c r="C150" s="71" t="s">
        <v>529</v>
      </c>
      <c r="D150" s="74" t="s">
        <v>387</v>
      </c>
      <c r="E150" s="209">
        <f t="shared" ref="E150:AF150" si="77">E36*$B$81</f>
        <v>0</v>
      </c>
      <c r="F150" s="209">
        <f t="shared" si="77"/>
        <v>0</v>
      </c>
      <c r="G150" s="209">
        <f t="shared" si="77"/>
        <v>0</v>
      </c>
      <c r="H150" s="209">
        <f t="shared" si="77"/>
        <v>0</v>
      </c>
      <c r="I150" s="209">
        <f t="shared" si="77"/>
        <v>0</v>
      </c>
      <c r="J150" s="209">
        <f t="shared" si="77"/>
        <v>0</v>
      </c>
      <c r="K150" s="209">
        <f t="shared" si="77"/>
        <v>0</v>
      </c>
      <c r="L150" s="209">
        <f t="shared" si="77"/>
        <v>0</v>
      </c>
      <c r="M150" s="209">
        <f t="shared" si="77"/>
        <v>0</v>
      </c>
      <c r="N150" s="209">
        <f t="shared" si="77"/>
        <v>0</v>
      </c>
      <c r="O150" s="209">
        <f t="shared" si="77"/>
        <v>0</v>
      </c>
      <c r="P150" s="209">
        <f t="shared" si="77"/>
        <v>0</v>
      </c>
      <c r="Q150" s="209">
        <f t="shared" si="77"/>
        <v>0</v>
      </c>
      <c r="R150" s="209">
        <f t="shared" si="77"/>
        <v>0</v>
      </c>
      <c r="S150" s="209">
        <f t="shared" si="77"/>
        <v>0</v>
      </c>
      <c r="T150" s="209">
        <f t="shared" si="77"/>
        <v>0</v>
      </c>
      <c r="U150" s="209">
        <f t="shared" si="77"/>
        <v>0</v>
      </c>
      <c r="V150" s="209">
        <f t="shared" si="77"/>
        <v>0</v>
      </c>
      <c r="W150" s="209">
        <f t="shared" si="77"/>
        <v>0</v>
      </c>
      <c r="X150" s="209">
        <f t="shared" si="77"/>
        <v>0</v>
      </c>
      <c r="Y150" s="209">
        <f t="shared" si="77"/>
        <v>0</v>
      </c>
      <c r="Z150" s="209">
        <f t="shared" si="77"/>
        <v>0</v>
      </c>
      <c r="AA150" s="209">
        <f t="shared" si="77"/>
        <v>0</v>
      </c>
      <c r="AB150" s="209">
        <f t="shared" si="77"/>
        <v>0</v>
      </c>
      <c r="AC150" s="209">
        <f t="shared" si="77"/>
        <v>0</v>
      </c>
      <c r="AD150" s="209">
        <f t="shared" si="77"/>
        <v>0</v>
      </c>
      <c r="AE150" s="209">
        <f t="shared" si="77"/>
        <v>0</v>
      </c>
      <c r="AF150" s="220">
        <f t="shared" si="77"/>
        <v>0</v>
      </c>
    </row>
    <row r="151" spans="1:32" s="59" customFormat="1">
      <c r="A151" s="71" t="s">
        <v>856</v>
      </c>
      <c r="B151" s="95" t="s">
        <v>854</v>
      </c>
      <c r="C151" s="71" t="s">
        <v>531</v>
      </c>
      <c r="D151" s="74" t="s">
        <v>387</v>
      </c>
      <c r="E151" s="209">
        <f t="shared" ref="E151:AF151" si="78">E37*$B$81</f>
        <v>0</v>
      </c>
      <c r="F151" s="209">
        <f t="shared" si="78"/>
        <v>0</v>
      </c>
      <c r="G151" s="209">
        <f t="shared" si="78"/>
        <v>0</v>
      </c>
      <c r="H151" s="209">
        <f t="shared" si="78"/>
        <v>0</v>
      </c>
      <c r="I151" s="209">
        <f t="shared" si="78"/>
        <v>0</v>
      </c>
      <c r="J151" s="209">
        <f t="shared" si="78"/>
        <v>0</v>
      </c>
      <c r="K151" s="209">
        <f t="shared" si="78"/>
        <v>0</v>
      </c>
      <c r="L151" s="209">
        <f t="shared" si="78"/>
        <v>0</v>
      </c>
      <c r="M151" s="209">
        <f t="shared" si="78"/>
        <v>0</v>
      </c>
      <c r="N151" s="209">
        <f t="shared" si="78"/>
        <v>0</v>
      </c>
      <c r="O151" s="209">
        <f t="shared" si="78"/>
        <v>0</v>
      </c>
      <c r="P151" s="209">
        <f t="shared" si="78"/>
        <v>0</v>
      </c>
      <c r="Q151" s="209">
        <f t="shared" si="78"/>
        <v>0</v>
      </c>
      <c r="R151" s="209">
        <f t="shared" si="78"/>
        <v>0</v>
      </c>
      <c r="S151" s="209">
        <f t="shared" si="78"/>
        <v>0</v>
      </c>
      <c r="T151" s="209">
        <f t="shared" si="78"/>
        <v>0</v>
      </c>
      <c r="U151" s="209">
        <f t="shared" si="78"/>
        <v>-5.8913966806700619</v>
      </c>
      <c r="V151" s="209">
        <f t="shared" si="78"/>
        <v>0</v>
      </c>
      <c r="W151" s="209">
        <f t="shared" si="78"/>
        <v>0</v>
      </c>
      <c r="X151" s="209">
        <f t="shared" si="78"/>
        <v>0</v>
      </c>
      <c r="Y151" s="209">
        <f t="shared" si="78"/>
        <v>0</v>
      </c>
      <c r="Z151" s="209">
        <f t="shared" si="78"/>
        <v>0</v>
      </c>
      <c r="AA151" s="209">
        <f t="shared" si="78"/>
        <v>0</v>
      </c>
      <c r="AB151" s="209">
        <f t="shared" si="78"/>
        <v>0</v>
      </c>
      <c r="AC151" s="209">
        <f t="shared" si="78"/>
        <v>0</v>
      </c>
      <c r="AD151" s="209">
        <f t="shared" si="78"/>
        <v>0</v>
      </c>
      <c r="AE151" s="209">
        <f t="shared" si="78"/>
        <v>0</v>
      </c>
      <c r="AF151" s="220">
        <f t="shared" si="78"/>
        <v>0</v>
      </c>
    </row>
    <row r="152" spans="1:32" s="59" customFormat="1">
      <c r="A152" s="71" t="s">
        <v>856</v>
      </c>
      <c r="B152" s="95" t="s">
        <v>854</v>
      </c>
      <c r="C152" s="71" t="s">
        <v>533</v>
      </c>
      <c r="D152" s="74" t="s">
        <v>387</v>
      </c>
      <c r="E152" s="209">
        <f t="shared" ref="E152:AF152" si="79">E38*$B$81</f>
        <v>0</v>
      </c>
      <c r="F152" s="209">
        <f t="shared" si="79"/>
        <v>0</v>
      </c>
      <c r="G152" s="209">
        <f t="shared" si="79"/>
        <v>0</v>
      </c>
      <c r="H152" s="209">
        <f t="shared" si="79"/>
        <v>0</v>
      </c>
      <c r="I152" s="209">
        <f t="shared" si="79"/>
        <v>0</v>
      </c>
      <c r="J152" s="209">
        <f t="shared" si="79"/>
        <v>0</v>
      </c>
      <c r="K152" s="209">
        <f t="shared" si="79"/>
        <v>0</v>
      </c>
      <c r="L152" s="209">
        <f t="shared" si="79"/>
        <v>0</v>
      </c>
      <c r="M152" s="209">
        <f t="shared" si="79"/>
        <v>0</v>
      </c>
      <c r="N152" s="209">
        <f t="shared" si="79"/>
        <v>0</v>
      </c>
      <c r="O152" s="209">
        <f t="shared" si="79"/>
        <v>0</v>
      </c>
      <c r="P152" s="209">
        <f t="shared" si="79"/>
        <v>0</v>
      </c>
      <c r="Q152" s="209">
        <f t="shared" si="79"/>
        <v>0</v>
      </c>
      <c r="R152" s="209">
        <f t="shared" si="79"/>
        <v>0</v>
      </c>
      <c r="S152" s="209">
        <f t="shared" si="79"/>
        <v>0</v>
      </c>
      <c r="T152" s="209">
        <f t="shared" si="79"/>
        <v>0</v>
      </c>
      <c r="U152" s="209">
        <f t="shared" si="79"/>
        <v>0</v>
      </c>
      <c r="V152" s="209">
        <f t="shared" si="79"/>
        <v>0</v>
      </c>
      <c r="W152" s="209">
        <f t="shared" si="79"/>
        <v>0</v>
      </c>
      <c r="X152" s="209">
        <f t="shared" si="79"/>
        <v>0</v>
      </c>
      <c r="Y152" s="209">
        <f t="shared" si="79"/>
        <v>0</v>
      </c>
      <c r="Z152" s="209">
        <f t="shared" si="79"/>
        <v>0</v>
      </c>
      <c r="AA152" s="209">
        <f t="shared" si="79"/>
        <v>0</v>
      </c>
      <c r="AB152" s="209">
        <f t="shared" si="79"/>
        <v>0</v>
      </c>
      <c r="AC152" s="209">
        <f t="shared" si="79"/>
        <v>0</v>
      </c>
      <c r="AD152" s="209">
        <f t="shared" si="79"/>
        <v>0</v>
      </c>
      <c r="AE152" s="209">
        <f t="shared" si="79"/>
        <v>0</v>
      </c>
      <c r="AF152" s="220">
        <f t="shared" si="79"/>
        <v>0</v>
      </c>
    </row>
    <row r="153" spans="1:32" s="59" customFormat="1">
      <c r="A153" s="71" t="s">
        <v>856</v>
      </c>
      <c r="B153" s="95" t="s">
        <v>854</v>
      </c>
      <c r="C153" s="71" t="s">
        <v>535</v>
      </c>
      <c r="D153" s="74" t="s">
        <v>387</v>
      </c>
      <c r="E153" s="209">
        <f t="shared" ref="E153:AF153" si="80">E39*$B$81</f>
        <v>0</v>
      </c>
      <c r="F153" s="209">
        <f t="shared" si="80"/>
        <v>0</v>
      </c>
      <c r="G153" s="209">
        <f t="shared" si="80"/>
        <v>-1.7042577002570951</v>
      </c>
      <c r="H153" s="209">
        <f t="shared" si="80"/>
        <v>0</v>
      </c>
      <c r="I153" s="209">
        <f t="shared" si="80"/>
        <v>0</v>
      </c>
      <c r="J153" s="209">
        <f t="shared" si="80"/>
        <v>-1.5186156371744295</v>
      </c>
      <c r="K153" s="209">
        <f t="shared" si="80"/>
        <v>-15.22</v>
      </c>
      <c r="L153" s="209">
        <f t="shared" si="80"/>
        <v>0</v>
      </c>
      <c r="M153" s="209">
        <f t="shared" si="80"/>
        <v>-11.332306034482759</v>
      </c>
      <c r="N153" s="209">
        <f t="shared" si="80"/>
        <v>-7.874843194689058</v>
      </c>
      <c r="O153" s="209">
        <f t="shared" si="80"/>
        <v>0</v>
      </c>
      <c r="P153" s="209">
        <f t="shared" si="80"/>
        <v>-143.40436428966282</v>
      </c>
      <c r="Q153" s="209">
        <f t="shared" si="80"/>
        <v>0</v>
      </c>
      <c r="R153" s="209">
        <f t="shared" si="80"/>
        <v>0</v>
      </c>
      <c r="S153" s="209">
        <f t="shared" si="80"/>
        <v>-3.5528139676621375</v>
      </c>
      <c r="T153" s="209">
        <f t="shared" si="80"/>
        <v>-34.772651766402305</v>
      </c>
      <c r="U153" s="209">
        <f t="shared" si="80"/>
        <v>-57.171256369869361</v>
      </c>
      <c r="V153" s="209">
        <f t="shared" si="80"/>
        <v>-1074.1500812836482</v>
      </c>
      <c r="W153" s="209">
        <f t="shared" si="80"/>
        <v>0</v>
      </c>
      <c r="X153" s="209">
        <f t="shared" si="80"/>
        <v>-27.157821826884007</v>
      </c>
      <c r="Y153" s="209">
        <f t="shared" si="80"/>
        <v>-33.799498061532816</v>
      </c>
      <c r="Z153" s="209">
        <f t="shared" si="80"/>
        <v>-45.413052696503613</v>
      </c>
      <c r="AA153" s="209">
        <f t="shared" si="80"/>
        <v>-100.17698224924743</v>
      </c>
      <c r="AB153" s="209">
        <f t="shared" si="80"/>
        <v>0</v>
      </c>
      <c r="AC153" s="209">
        <f t="shared" si="80"/>
        <v>-2.0699999999999998</v>
      </c>
      <c r="AD153" s="209">
        <f t="shared" si="80"/>
        <v>0</v>
      </c>
      <c r="AE153" s="209">
        <f t="shared" si="80"/>
        <v>-1.9973658627780893</v>
      </c>
      <c r="AF153" s="220">
        <f t="shared" si="80"/>
        <v>-84.255581383897393</v>
      </c>
    </row>
    <row r="154" spans="1:32" s="59" customFormat="1">
      <c r="A154" s="71" t="s">
        <v>856</v>
      </c>
      <c r="B154" s="95" t="s">
        <v>854</v>
      </c>
      <c r="C154" s="71" t="s">
        <v>537</v>
      </c>
      <c r="D154" s="74" t="s">
        <v>387</v>
      </c>
      <c r="E154" s="209">
        <f t="shared" ref="E154:AF154" si="81">E40*$B$76</f>
        <v>0</v>
      </c>
      <c r="F154" s="209">
        <f t="shared" si="81"/>
        <v>-130.06965094174646</v>
      </c>
      <c r="G154" s="209">
        <f t="shared" si="81"/>
        <v>-0.35842668612221906</v>
      </c>
      <c r="H154" s="209">
        <f t="shared" si="81"/>
        <v>-1932.2081485803094</v>
      </c>
      <c r="I154" s="209">
        <f t="shared" si="81"/>
        <v>-354.01512982590793</v>
      </c>
      <c r="J154" s="209">
        <f t="shared" si="81"/>
        <v>-232.54569200254682</v>
      </c>
      <c r="K154" s="209">
        <f t="shared" si="81"/>
        <v>0</v>
      </c>
      <c r="L154" s="209">
        <f t="shared" si="81"/>
        <v>0</v>
      </c>
      <c r="M154" s="209">
        <f t="shared" si="81"/>
        <v>-1052.604</v>
      </c>
      <c r="N154" s="209">
        <f t="shared" si="81"/>
        <v>-2082.0054157846994</v>
      </c>
      <c r="O154" s="209">
        <f t="shared" si="81"/>
        <v>-148.02110090366492</v>
      </c>
      <c r="P154" s="209">
        <f t="shared" si="81"/>
        <v>-29085.706973485409</v>
      </c>
      <c r="Q154" s="209">
        <f t="shared" si="81"/>
        <v>-624.84896598408318</v>
      </c>
      <c r="R154" s="209">
        <f t="shared" si="81"/>
        <v>-1080.8703000906901</v>
      </c>
      <c r="S154" s="209">
        <f t="shared" si="81"/>
        <v>-1445.3403867752804</v>
      </c>
      <c r="T154" s="209">
        <f t="shared" si="81"/>
        <v>-3182.9503905717424</v>
      </c>
      <c r="U154" s="209">
        <f t="shared" si="81"/>
        <v>-3067.7145837795019</v>
      </c>
      <c r="V154" s="209">
        <f t="shared" si="81"/>
        <v>0</v>
      </c>
      <c r="W154" s="209">
        <f t="shared" si="81"/>
        <v>-1338.1200000000001</v>
      </c>
      <c r="X154" s="209">
        <f t="shared" si="81"/>
        <v>-2349.5320600619893</v>
      </c>
      <c r="Y154" s="209">
        <f t="shared" si="81"/>
        <v>-698.44799989039018</v>
      </c>
      <c r="Z154" s="209">
        <f t="shared" si="81"/>
        <v>-827.85163190755304</v>
      </c>
      <c r="AA154" s="209">
        <f t="shared" si="81"/>
        <v>-2857.6298688632837</v>
      </c>
      <c r="AB154" s="209">
        <f t="shared" si="81"/>
        <v>-350.82890504704881</v>
      </c>
      <c r="AC154" s="209">
        <f t="shared" si="81"/>
        <v>0</v>
      </c>
      <c r="AD154" s="209">
        <f t="shared" si="81"/>
        <v>-7563.6244308501819</v>
      </c>
      <c r="AE154" s="209">
        <f t="shared" si="81"/>
        <v>-3333.3048150218274</v>
      </c>
      <c r="AF154" s="220">
        <f t="shared" si="81"/>
        <v>-13985.416633896251</v>
      </c>
    </row>
    <row r="155" spans="1:32" s="59" customFormat="1">
      <c r="A155" s="71" t="s">
        <v>856</v>
      </c>
      <c r="B155" s="95" t="s">
        <v>854</v>
      </c>
      <c r="C155" s="71" t="s">
        <v>541</v>
      </c>
      <c r="D155" s="74" t="s">
        <v>387</v>
      </c>
      <c r="E155" s="209">
        <f>E67*$B$81</f>
        <v>0</v>
      </c>
      <c r="F155" s="209">
        <f t="shared" ref="F155:AF155" si="82">F67*$B$81</f>
        <v>-85.070848118638892</v>
      </c>
      <c r="G155" s="209">
        <f t="shared" si="82"/>
        <v>-10.983434557616883</v>
      </c>
      <c r="H155" s="209">
        <f t="shared" si="82"/>
        <v>0</v>
      </c>
      <c r="I155" s="209">
        <f t="shared" si="82"/>
        <v>-22.206754920697151</v>
      </c>
      <c r="J155" s="209">
        <f t="shared" si="82"/>
        <v>-18.221731854267773</v>
      </c>
      <c r="K155" s="209">
        <f t="shared" si="82"/>
        <v>-5.2664704472011685</v>
      </c>
      <c r="L155" s="209">
        <f t="shared" si="82"/>
        <v>0</v>
      </c>
      <c r="M155" s="209">
        <f t="shared" si="82"/>
        <v>-428.70693170560554</v>
      </c>
      <c r="N155" s="209">
        <f t="shared" si="82"/>
        <v>-137.14261815684898</v>
      </c>
      <c r="O155" s="209">
        <f t="shared" si="82"/>
        <v>-22.801586031413326</v>
      </c>
      <c r="P155" s="209">
        <f t="shared" si="82"/>
        <v>-1398.0504051160895</v>
      </c>
      <c r="Q155" s="209">
        <f t="shared" si="82"/>
        <v>-80.164815454355676</v>
      </c>
      <c r="R155" s="209">
        <f t="shared" si="82"/>
        <v>-85.467154605354096</v>
      </c>
      <c r="S155" s="209">
        <f t="shared" si="82"/>
        <v>-157.70072782775679</v>
      </c>
      <c r="T155" s="209">
        <f t="shared" si="82"/>
        <v>-362.845249161266</v>
      </c>
      <c r="U155" s="209">
        <f t="shared" si="82"/>
        <v>-483.90610276549836</v>
      </c>
      <c r="V155" s="209">
        <f t="shared" si="82"/>
        <v>0</v>
      </c>
      <c r="W155" s="209">
        <f t="shared" si="82"/>
        <v>-978.09381977775342</v>
      </c>
      <c r="X155" s="209">
        <f t="shared" si="82"/>
        <v>-79.094857877728899</v>
      </c>
      <c r="Y155" s="209">
        <f t="shared" si="82"/>
        <v>-163.83540814122651</v>
      </c>
      <c r="Z155" s="209">
        <f t="shared" si="82"/>
        <v>-137.96780070724569</v>
      </c>
      <c r="AA155" s="209">
        <f t="shared" si="82"/>
        <v>-758.60261160559173</v>
      </c>
      <c r="AB155" s="209">
        <f t="shared" si="82"/>
        <v>-1250.9218533524443</v>
      </c>
      <c r="AC155" s="209">
        <f t="shared" si="82"/>
        <v>-26.468857165769091</v>
      </c>
      <c r="AD155" s="209">
        <f t="shared" si="82"/>
        <v>0</v>
      </c>
      <c r="AE155" s="209">
        <f t="shared" si="82"/>
        <v>0</v>
      </c>
      <c r="AF155" s="220">
        <f t="shared" si="82"/>
        <v>-2418.1341369037527</v>
      </c>
    </row>
    <row r="156" spans="1:32" s="59" customFormat="1">
      <c r="A156" s="71" t="s">
        <v>856</v>
      </c>
      <c r="B156" s="95" t="s">
        <v>854</v>
      </c>
      <c r="C156" s="71" t="s">
        <v>543</v>
      </c>
      <c r="D156" s="74" t="s">
        <v>387</v>
      </c>
      <c r="E156" s="209">
        <f t="shared" ref="E156:AF156" si="83">E42*$B$81</f>
        <v>0</v>
      </c>
      <c r="F156" s="209">
        <f t="shared" si="83"/>
        <v>0</v>
      </c>
      <c r="G156" s="209">
        <f t="shared" si="83"/>
        <v>0</v>
      </c>
      <c r="H156" s="209">
        <f t="shared" si="83"/>
        <v>0</v>
      </c>
      <c r="I156" s="209">
        <f t="shared" si="83"/>
        <v>0</v>
      </c>
      <c r="J156" s="209">
        <f t="shared" si="83"/>
        <v>0</v>
      </c>
      <c r="K156" s="209">
        <f t="shared" si="83"/>
        <v>0</v>
      </c>
      <c r="L156" s="209">
        <f t="shared" si="83"/>
        <v>0</v>
      </c>
      <c r="M156" s="209">
        <f t="shared" si="83"/>
        <v>0</v>
      </c>
      <c r="N156" s="209">
        <f t="shared" si="83"/>
        <v>-25.46</v>
      </c>
      <c r="O156" s="209">
        <f t="shared" si="83"/>
        <v>0</v>
      </c>
      <c r="P156" s="209">
        <f t="shared" si="83"/>
        <v>-7.788700636942675</v>
      </c>
      <c r="Q156" s="209">
        <f t="shared" si="83"/>
        <v>0</v>
      </c>
      <c r="R156" s="209">
        <f t="shared" si="83"/>
        <v>0</v>
      </c>
      <c r="S156" s="209">
        <f t="shared" si="83"/>
        <v>0</v>
      </c>
      <c r="T156" s="209">
        <f t="shared" si="83"/>
        <v>0</v>
      </c>
      <c r="U156" s="209">
        <f t="shared" si="83"/>
        <v>0</v>
      </c>
      <c r="V156" s="209">
        <f t="shared" si="83"/>
        <v>0</v>
      </c>
      <c r="W156" s="209">
        <f t="shared" si="83"/>
        <v>0</v>
      </c>
      <c r="X156" s="209">
        <f t="shared" si="83"/>
        <v>-0.22</v>
      </c>
      <c r="Y156" s="209">
        <f t="shared" si="83"/>
        <v>-45.326359985368015</v>
      </c>
      <c r="Z156" s="209">
        <f t="shared" si="83"/>
        <v>0</v>
      </c>
      <c r="AA156" s="209">
        <f t="shared" si="83"/>
        <v>0</v>
      </c>
      <c r="AB156" s="209">
        <f t="shared" si="83"/>
        <v>0</v>
      </c>
      <c r="AC156" s="209">
        <f t="shared" si="83"/>
        <v>0</v>
      </c>
      <c r="AD156" s="209">
        <f t="shared" si="83"/>
        <v>0</v>
      </c>
      <c r="AE156" s="209">
        <f t="shared" si="83"/>
        <v>0</v>
      </c>
      <c r="AF156" s="220">
        <f t="shared" si="83"/>
        <v>-17.369794487432326</v>
      </c>
    </row>
    <row r="157" spans="1:32" s="59" customFormat="1">
      <c r="A157" s="71" t="s">
        <v>856</v>
      </c>
      <c r="B157" s="95" t="s">
        <v>854</v>
      </c>
      <c r="C157" s="71" t="s">
        <v>545</v>
      </c>
      <c r="D157" s="74" t="s">
        <v>387</v>
      </c>
      <c r="E157" s="209">
        <f t="shared" ref="E157:AF157" si="84">E43*$B$81</f>
        <v>0</v>
      </c>
      <c r="F157" s="209">
        <f>F43*$B$81</f>
        <v>0</v>
      </c>
      <c r="G157" s="209">
        <f t="shared" si="84"/>
        <v>0</v>
      </c>
      <c r="H157" s="209">
        <f t="shared" si="84"/>
        <v>0</v>
      </c>
      <c r="I157" s="209">
        <f t="shared" si="84"/>
        <v>0</v>
      </c>
      <c r="J157" s="209">
        <f t="shared" si="84"/>
        <v>0</v>
      </c>
      <c r="K157" s="209">
        <f t="shared" si="84"/>
        <v>0</v>
      </c>
      <c r="L157" s="209">
        <f t="shared" si="84"/>
        <v>0</v>
      </c>
      <c r="M157" s="209">
        <f t="shared" si="84"/>
        <v>0</v>
      </c>
      <c r="N157" s="209">
        <f t="shared" si="84"/>
        <v>0</v>
      </c>
      <c r="O157" s="209">
        <f t="shared" si="84"/>
        <v>0</v>
      </c>
      <c r="P157" s="209">
        <f t="shared" si="84"/>
        <v>-6344.0868355165967</v>
      </c>
      <c r="Q157" s="209">
        <f t="shared" si="84"/>
        <v>-227.07252482653269</v>
      </c>
      <c r="R157" s="209">
        <f t="shared" si="84"/>
        <v>-133.47999999999999</v>
      </c>
      <c r="S157" s="209">
        <f t="shared" si="84"/>
        <v>-23.312496765580708</v>
      </c>
      <c r="T157" s="209">
        <f t="shared" si="84"/>
        <v>-463.53143859525414</v>
      </c>
      <c r="U157" s="209">
        <f t="shared" si="84"/>
        <v>-195.81346356778542</v>
      </c>
      <c r="V157" s="209">
        <f t="shared" si="84"/>
        <v>0</v>
      </c>
      <c r="W157" s="209">
        <f t="shared" si="84"/>
        <v>0</v>
      </c>
      <c r="X157" s="209">
        <f t="shared" si="84"/>
        <v>0</v>
      </c>
      <c r="Y157" s="209">
        <f t="shared" si="84"/>
        <v>0</v>
      </c>
      <c r="Z157" s="209">
        <f t="shared" si="84"/>
        <v>0</v>
      </c>
      <c r="AA157" s="209">
        <f t="shared" si="84"/>
        <v>0</v>
      </c>
      <c r="AB157" s="209">
        <f t="shared" si="84"/>
        <v>0</v>
      </c>
      <c r="AC157" s="209">
        <f t="shared" si="84"/>
        <v>0</v>
      </c>
      <c r="AD157" s="209">
        <f t="shared" si="84"/>
        <v>-3845.9061546755688</v>
      </c>
      <c r="AE157" s="209">
        <f t="shared" si="84"/>
        <v>-12.33</v>
      </c>
      <c r="AF157" s="220">
        <f t="shared" si="84"/>
        <v>-617.49</v>
      </c>
    </row>
    <row r="158" spans="1:32" s="59" customFormat="1">
      <c r="A158" s="71" t="s">
        <v>856</v>
      </c>
      <c r="B158" s="95" t="s">
        <v>854</v>
      </c>
      <c r="C158" s="71" t="s">
        <v>548</v>
      </c>
      <c r="D158" s="74" t="s">
        <v>387</v>
      </c>
      <c r="E158" s="209">
        <f t="shared" ref="E158:AF158" si="85">E44*$B$81</f>
        <v>0</v>
      </c>
      <c r="F158" s="209">
        <f t="shared" si="85"/>
        <v>-93.44</v>
      </c>
      <c r="G158" s="209">
        <f t="shared" si="85"/>
        <v>-16.097570429313997</v>
      </c>
      <c r="H158" s="209">
        <f t="shared" si="85"/>
        <v>0</v>
      </c>
      <c r="I158" s="209">
        <f t="shared" si="85"/>
        <v>-33.913414223308166</v>
      </c>
      <c r="J158" s="209">
        <f t="shared" si="85"/>
        <v>-20.93</v>
      </c>
      <c r="K158" s="209">
        <f t="shared" si="85"/>
        <v>-1028.3800000000001</v>
      </c>
      <c r="L158" s="209">
        <f t="shared" si="85"/>
        <v>-45.43</v>
      </c>
      <c r="M158" s="209">
        <f t="shared" si="85"/>
        <v>-311.97000000000003</v>
      </c>
      <c r="N158" s="209">
        <f t="shared" si="85"/>
        <v>-5.79</v>
      </c>
      <c r="O158" s="209">
        <f t="shared" si="85"/>
        <v>-89.10465998509072</v>
      </c>
      <c r="P158" s="209">
        <f t="shared" si="85"/>
        <v>-159.85214809640237</v>
      </c>
      <c r="Q158" s="209">
        <f t="shared" si="85"/>
        <v>-315.12738176431492</v>
      </c>
      <c r="R158" s="209">
        <f t="shared" si="85"/>
        <v>-155.1379554958757</v>
      </c>
      <c r="S158" s="209">
        <f t="shared" si="85"/>
        <v>-548.31002906750814</v>
      </c>
      <c r="T158" s="209">
        <f t="shared" si="85"/>
        <v>-1194.52</v>
      </c>
      <c r="U158" s="209">
        <f t="shared" si="85"/>
        <v>-1699.4773452176166</v>
      </c>
      <c r="V158" s="209">
        <f t="shared" si="85"/>
        <v>0</v>
      </c>
      <c r="W158" s="209">
        <f t="shared" si="85"/>
        <v>0</v>
      </c>
      <c r="X158" s="209">
        <f t="shared" si="85"/>
        <v>-1351.8500000000001</v>
      </c>
      <c r="Y158" s="209">
        <f t="shared" si="85"/>
        <v>-1649.817329326281</v>
      </c>
      <c r="Z158" s="209">
        <f t="shared" si="85"/>
        <v>-1117.28</v>
      </c>
      <c r="AA158" s="209">
        <f t="shared" si="85"/>
        <v>-2490.17</v>
      </c>
      <c r="AB158" s="209">
        <f t="shared" si="85"/>
        <v>-1369.63</v>
      </c>
      <c r="AC158" s="209">
        <f t="shared" si="85"/>
        <v>-16.190000000000001</v>
      </c>
      <c r="AD158" s="209">
        <f t="shared" si="85"/>
        <v>0</v>
      </c>
      <c r="AE158" s="209">
        <f t="shared" si="85"/>
        <v>-1142.192862328865</v>
      </c>
      <c r="AF158" s="220">
        <f t="shared" si="85"/>
        <v>-5.9307439709581695</v>
      </c>
    </row>
    <row r="159" spans="1:32" s="59" customFormat="1">
      <c r="A159" s="71" t="s">
        <v>856</v>
      </c>
      <c r="B159" s="95" t="s">
        <v>854</v>
      </c>
      <c r="C159" s="71" t="s">
        <v>550</v>
      </c>
      <c r="D159" s="74" t="s">
        <v>387</v>
      </c>
      <c r="E159" s="209">
        <f t="shared" ref="E159:AF159" si="86">E45*$B$81</f>
        <v>0</v>
      </c>
      <c r="F159" s="209">
        <f t="shared" si="86"/>
        <v>0</v>
      </c>
      <c r="G159" s="209">
        <f t="shared" si="86"/>
        <v>0</v>
      </c>
      <c r="H159" s="209">
        <f t="shared" si="86"/>
        <v>0</v>
      </c>
      <c r="I159" s="209">
        <f t="shared" si="86"/>
        <v>0</v>
      </c>
      <c r="J159" s="209">
        <f t="shared" si="86"/>
        <v>0</v>
      </c>
      <c r="K159" s="209">
        <f t="shared" si="86"/>
        <v>0</v>
      </c>
      <c r="L159" s="209">
        <f t="shared" si="86"/>
        <v>0</v>
      </c>
      <c r="M159" s="209">
        <f t="shared" si="86"/>
        <v>0</v>
      </c>
      <c r="N159" s="209">
        <f t="shared" si="86"/>
        <v>0</v>
      </c>
      <c r="O159" s="209">
        <f t="shared" si="86"/>
        <v>0</v>
      </c>
      <c r="P159" s="209">
        <f t="shared" si="86"/>
        <v>-1.1593548387096775</v>
      </c>
      <c r="Q159" s="209">
        <f t="shared" si="86"/>
        <v>0</v>
      </c>
      <c r="R159" s="209">
        <f t="shared" si="86"/>
        <v>0</v>
      </c>
      <c r="S159" s="209">
        <f t="shared" si="86"/>
        <v>0</v>
      </c>
      <c r="T159" s="209">
        <f t="shared" si="86"/>
        <v>0</v>
      </c>
      <c r="U159" s="209">
        <f t="shared" si="86"/>
        <v>0</v>
      </c>
      <c r="V159" s="209">
        <f t="shared" si="86"/>
        <v>0</v>
      </c>
      <c r="W159" s="209">
        <f t="shared" si="86"/>
        <v>0</v>
      </c>
      <c r="X159" s="209">
        <f t="shared" si="86"/>
        <v>-33.094275252871988</v>
      </c>
      <c r="Y159" s="209">
        <f t="shared" si="86"/>
        <v>-48.629209619898191</v>
      </c>
      <c r="Z159" s="209">
        <f t="shared" si="86"/>
        <v>0</v>
      </c>
      <c r="AA159" s="209">
        <f t="shared" si="86"/>
        <v>0</v>
      </c>
      <c r="AB159" s="209">
        <f t="shared" si="86"/>
        <v>0</v>
      </c>
      <c r="AC159" s="209">
        <f t="shared" si="86"/>
        <v>0</v>
      </c>
      <c r="AD159" s="209">
        <f t="shared" si="86"/>
        <v>0</v>
      </c>
      <c r="AE159" s="209">
        <f t="shared" si="86"/>
        <v>0</v>
      </c>
      <c r="AF159" s="220">
        <f t="shared" si="86"/>
        <v>-52.25</v>
      </c>
    </row>
    <row r="160" spans="1:32" s="59" customFormat="1">
      <c r="A160" s="71" t="s">
        <v>856</v>
      </c>
      <c r="B160" s="95" t="s">
        <v>854</v>
      </c>
      <c r="C160" s="71" t="s">
        <v>552</v>
      </c>
      <c r="D160" s="74" t="s">
        <v>387</v>
      </c>
      <c r="E160" s="209">
        <f t="shared" ref="E160:AF160" si="87">E46*$B$81</f>
        <v>0</v>
      </c>
      <c r="F160" s="209">
        <f t="shared" si="87"/>
        <v>0</v>
      </c>
      <c r="G160" s="209">
        <f t="shared" si="87"/>
        <v>-3.5500000000000003</v>
      </c>
      <c r="H160" s="209">
        <f t="shared" si="87"/>
        <v>0</v>
      </c>
      <c r="I160" s="209">
        <f t="shared" si="87"/>
        <v>0</v>
      </c>
      <c r="J160" s="209">
        <f t="shared" si="87"/>
        <v>-0.3725978362494991</v>
      </c>
      <c r="K160" s="209">
        <f t="shared" si="87"/>
        <v>0</v>
      </c>
      <c r="L160" s="209">
        <f t="shared" si="87"/>
        <v>0</v>
      </c>
      <c r="M160" s="209">
        <f t="shared" si="87"/>
        <v>0</v>
      </c>
      <c r="N160" s="209">
        <f t="shared" si="87"/>
        <v>-37.27594237838354</v>
      </c>
      <c r="O160" s="209">
        <f t="shared" si="87"/>
        <v>-55.882259651214781</v>
      </c>
      <c r="P160" s="209">
        <f t="shared" si="87"/>
        <v>-5142.9308233581778</v>
      </c>
      <c r="Q160" s="209">
        <f t="shared" si="87"/>
        <v>0</v>
      </c>
      <c r="R160" s="209">
        <f t="shared" si="87"/>
        <v>0</v>
      </c>
      <c r="S160" s="209">
        <f t="shared" si="87"/>
        <v>-10.53175435165265</v>
      </c>
      <c r="T160" s="209">
        <f t="shared" si="87"/>
        <v>-361.36016495341875</v>
      </c>
      <c r="U160" s="209">
        <f t="shared" si="87"/>
        <v>-549.94484677133221</v>
      </c>
      <c r="V160" s="209">
        <f t="shared" si="87"/>
        <v>0</v>
      </c>
      <c r="W160" s="209">
        <f t="shared" si="87"/>
        <v>0</v>
      </c>
      <c r="X160" s="209">
        <f t="shared" si="87"/>
        <v>-169.98804355243351</v>
      </c>
      <c r="Y160" s="209">
        <f t="shared" si="87"/>
        <v>-359.39758276233835</v>
      </c>
      <c r="Z160" s="209">
        <f t="shared" si="87"/>
        <v>0</v>
      </c>
      <c r="AA160" s="209">
        <f t="shared" si="87"/>
        <v>-483.58793736435621</v>
      </c>
      <c r="AB160" s="209">
        <f t="shared" si="87"/>
        <v>0</v>
      </c>
      <c r="AC160" s="209">
        <f t="shared" si="87"/>
        <v>-1.6600000000000001</v>
      </c>
      <c r="AD160" s="209">
        <f t="shared" si="87"/>
        <v>0</v>
      </c>
      <c r="AE160" s="209">
        <f t="shared" si="87"/>
        <v>-416.5136228300114</v>
      </c>
      <c r="AF160" s="220">
        <f t="shared" si="87"/>
        <v>-269.57</v>
      </c>
    </row>
    <row r="161" spans="1:32" s="59" customFormat="1">
      <c r="A161" s="71" t="s">
        <v>856</v>
      </c>
      <c r="B161" s="95" t="s">
        <v>854</v>
      </c>
      <c r="C161" s="71" t="s">
        <v>554</v>
      </c>
      <c r="D161" s="74" t="s">
        <v>387</v>
      </c>
      <c r="E161" s="209">
        <f t="shared" ref="E161:AF161" si="88">E47*$B$81</f>
        <v>0</v>
      </c>
      <c r="F161" s="209">
        <f t="shared" si="88"/>
        <v>0</v>
      </c>
      <c r="G161" s="209">
        <f t="shared" si="88"/>
        <v>0</v>
      </c>
      <c r="H161" s="209">
        <f t="shared" si="88"/>
        <v>0</v>
      </c>
      <c r="I161" s="209">
        <f t="shared" si="88"/>
        <v>0</v>
      </c>
      <c r="J161" s="209">
        <f t="shared" si="88"/>
        <v>0</v>
      </c>
      <c r="K161" s="209">
        <f t="shared" si="88"/>
        <v>0</v>
      </c>
      <c r="L161" s="209">
        <f t="shared" si="88"/>
        <v>0</v>
      </c>
      <c r="M161" s="209">
        <f t="shared" si="88"/>
        <v>0</v>
      </c>
      <c r="N161" s="209">
        <f t="shared" si="88"/>
        <v>0</v>
      </c>
      <c r="O161" s="209">
        <f t="shared" si="88"/>
        <v>0</v>
      </c>
      <c r="P161" s="209">
        <f t="shared" si="88"/>
        <v>-205.80396698762038</v>
      </c>
      <c r="Q161" s="209">
        <f t="shared" si="88"/>
        <v>0</v>
      </c>
      <c r="R161" s="209">
        <f t="shared" si="88"/>
        <v>0</v>
      </c>
      <c r="S161" s="209">
        <f t="shared" si="88"/>
        <v>0</v>
      </c>
      <c r="T161" s="209">
        <f t="shared" si="88"/>
        <v>0</v>
      </c>
      <c r="U161" s="209">
        <f t="shared" si="88"/>
        <v>0</v>
      </c>
      <c r="V161" s="209">
        <f t="shared" si="88"/>
        <v>0</v>
      </c>
      <c r="W161" s="209">
        <f t="shared" si="88"/>
        <v>0</v>
      </c>
      <c r="X161" s="209">
        <f t="shared" si="88"/>
        <v>-12.06</v>
      </c>
      <c r="Y161" s="209">
        <f t="shared" si="88"/>
        <v>-0.05</v>
      </c>
      <c r="Z161" s="209">
        <f t="shared" si="88"/>
        <v>0</v>
      </c>
      <c r="AA161" s="209">
        <f t="shared" si="88"/>
        <v>-42.76</v>
      </c>
      <c r="AB161" s="209">
        <f t="shared" si="88"/>
        <v>0</v>
      </c>
      <c r="AC161" s="209">
        <f t="shared" si="88"/>
        <v>0</v>
      </c>
      <c r="AD161" s="209">
        <f t="shared" si="88"/>
        <v>0</v>
      </c>
      <c r="AE161" s="209">
        <f t="shared" si="88"/>
        <v>0</v>
      </c>
      <c r="AF161" s="220">
        <f t="shared" si="88"/>
        <v>-0.21</v>
      </c>
    </row>
    <row r="162" spans="1:32" s="59" customFormat="1">
      <c r="A162" s="71" t="s">
        <v>856</v>
      </c>
      <c r="B162" s="95" t="s">
        <v>854</v>
      </c>
      <c r="C162" s="71" t="s">
        <v>556</v>
      </c>
      <c r="D162" s="74" t="s">
        <v>387</v>
      </c>
      <c r="E162" s="209">
        <f t="shared" ref="E162:AF162" si="89">E48*$B$81</f>
        <v>0</v>
      </c>
      <c r="F162" s="209">
        <f t="shared" si="89"/>
        <v>-155.96497206240065</v>
      </c>
      <c r="G162" s="209">
        <f t="shared" si="89"/>
        <v>-9.6532744865048397</v>
      </c>
      <c r="H162" s="209">
        <f t="shared" si="89"/>
        <v>0</v>
      </c>
      <c r="I162" s="209">
        <f t="shared" si="89"/>
        <v>0</v>
      </c>
      <c r="J162" s="209">
        <f t="shared" si="89"/>
        <v>-1.3662853271744937</v>
      </c>
      <c r="K162" s="209">
        <f t="shared" si="89"/>
        <v>-70.350000000000009</v>
      </c>
      <c r="L162" s="209">
        <f t="shared" si="89"/>
        <v>0</v>
      </c>
      <c r="M162" s="209">
        <f t="shared" si="89"/>
        <v>0</v>
      </c>
      <c r="N162" s="209">
        <f t="shared" si="89"/>
        <v>0</v>
      </c>
      <c r="O162" s="209">
        <f t="shared" si="89"/>
        <v>0</v>
      </c>
      <c r="P162" s="209">
        <f t="shared" si="89"/>
        <v>0</v>
      </c>
      <c r="Q162" s="209">
        <f t="shared" si="89"/>
        <v>0</v>
      </c>
      <c r="R162" s="209">
        <f t="shared" si="89"/>
        <v>0</v>
      </c>
      <c r="S162" s="209">
        <f t="shared" si="89"/>
        <v>0</v>
      </c>
      <c r="T162" s="209">
        <f t="shared" si="89"/>
        <v>0</v>
      </c>
      <c r="U162" s="209">
        <f t="shared" si="89"/>
        <v>0</v>
      </c>
      <c r="V162" s="209">
        <f t="shared" si="89"/>
        <v>-638.12615755150762</v>
      </c>
      <c r="W162" s="209">
        <f t="shared" si="89"/>
        <v>0</v>
      </c>
      <c r="X162" s="209">
        <f t="shared" si="89"/>
        <v>0</v>
      </c>
      <c r="Y162" s="209">
        <f t="shared" si="89"/>
        <v>-86.086295337217436</v>
      </c>
      <c r="Z162" s="209">
        <f t="shared" si="89"/>
        <v>0</v>
      </c>
      <c r="AA162" s="209">
        <f t="shared" si="89"/>
        <v>0</v>
      </c>
      <c r="AB162" s="209">
        <f t="shared" si="89"/>
        <v>0</v>
      </c>
      <c r="AC162" s="209">
        <f t="shared" si="89"/>
        <v>0</v>
      </c>
      <c r="AD162" s="209">
        <f t="shared" si="89"/>
        <v>0</v>
      </c>
      <c r="AE162" s="209">
        <f t="shared" si="89"/>
        <v>0</v>
      </c>
      <c r="AF162" s="220">
        <f t="shared" si="89"/>
        <v>0</v>
      </c>
    </row>
    <row r="163" spans="1:32" s="59" customFormat="1">
      <c r="A163" s="71" t="s">
        <v>856</v>
      </c>
      <c r="B163" s="95" t="s">
        <v>854</v>
      </c>
      <c r="C163" s="71" t="s">
        <v>558</v>
      </c>
      <c r="D163" s="74" t="s">
        <v>387</v>
      </c>
      <c r="E163" s="209">
        <f t="shared" ref="E163:AF163" si="90">E49*$B$81</f>
        <v>-9.9</v>
      </c>
      <c r="F163" s="209">
        <f t="shared" si="90"/>
        <v>0</v>
      </c>
      <c r="G163" s="209">
        <f t="shared" si="90"/>
        <v>0</v>
      </c>
      <c r="H163" s="209">
        <f t="shared" si="90"/>
        <v>0</v>
      </c>
      <c r="I163" s="209">
        <f t="shared" si="90"/>
        <v>-335.77877597488066</v>
      </c>
      <c r="J163" s="209">
        <f t="shared" si="90"/>
        <v>-177.99185936923908</v>
      </c>
      <c r="K163" s="209">
        <f t="shared" si="90"/>
        <v>-5.9</v>
      </c>
      <c r="L163" s="209">
        <f t="shared" si="90"/>
        <v>0</v>
      </c>
      <c r="M163" s="209">
        <f t="shared" si="90"/>
        <v>0</v>
      </c>
      <c r="N163" s="209">
        <f t="shared" si="90"/>
        <v>-835.74087643941925</v>
      </c>
      <c r="O163" s="209">
        <f t="shared" si="90"/>
        <v>0</v>
      </c>
      <c r="P163" s="209">
        <f t="shared" si="90"/>
        <v>-19549.483171695694</v>
      </c>
      <c r="Q163" s="209">
        <f t="shared" si="90"/>
        <v>-19.530116903714426</v>
      </c>
      <c r="R163" s="209">
        <f t="shared" si="90"/>
        <v>-658.86</v>
      </c>
      <c r="S163" s="209">
        <f t="shared" si="90"/>
        <v>-716.14819325589588</v>
      </c>
      <c r="T163" s="209">
        <f t="shared" si="90"/>
        <v>-3038.1908353391918</v>
      </c>
      <c r="U163" s="209">
        <f t="shared" si="90"/>
        <v>-2028.4580292639553</v>
      </c>
      <c r="V163" s="209">
        <f t="shared" si="90"/>
        <v>0</v>
      </c>
      <c r="W163" s="209">
        <f t="shared" si="90"/>
        <v>-7657.6500000000005</v>
      </c>
      <c r="X163" s="209">
        <f t="shared" si="90"/>
        <v>-1247.81</v>
      </c>
      <c r="Y163" s="209">
        <f t="shared" si="90"/>
        <v>-28.07</v>
      </c>
      <c r="Z163" s="209">
        <f t="shared" si="90"/>
        <v>-4.6500000000000004</v>
      </c>
      <c r="AA163" s="209">
        <f t="shared" si="90"/>
        <v>-172.71660092459942</v>
      </c>
      <c r="AB163" s="209">
        <f t="shared" si="90"/>
        <v>-143.72999999999999</v>
      </c>
      <c r="AC163" s="209">
        <f t="shared" si="90"/>
        <v>-0.25</v>
      </c>
      <c r="AD163" s="209">
        <f t="shared" si="90"/>
        <v>0</v>
      </c>
      <c r="AE163" s="209">
        <f t="shared" si="90"/>
        <v>-559.72256504396455</v>
      </c>
      <c r="AF163" s="220">
        <f t="shared" si="90"/>
        <v>-6754.9400000000005</v>
      </c>
    </row>
    <row r="164" spans="1:32" s="59" customFormat="1">
      <c r="A164" s="76" t="s">
        <v>856</v>
      </c>
      <c r="B164" s="76" t="s">
        <v>854</v>
      </c>
      <c r="C164" s="76" t="s">
        <v>560</v>
      </c>
      <c r="D164" s="77" t="s">
        <v>387</v>
      </c>
      <c r="E164" s="223">
        <f t="shared" ref="E164:AF164" si="91">E50*$B$81</f>
        <v>0</v>
      </c>
      <c r="F164" s="226">
        <f t="shared" si="91"/>
        <v>0</v>
      </c>
      <c r="G164" s="226">
        <f t="shared" si="91"/>
        <v>0</v>
      </c>
      <c r="H164" s="226">
        <f t="shared" si="91"/>
        <v>0</v>
      </c>
      <c r="I164" s="226">
        <f t="shared" si="91"/>
        <v>0</v>
      </c>
      <c r="J164" s="226">
        <f t="shared" si="91"/>
        <v>0</v>
      </c>
      <c r="K164" s="226">
        <f t="shared" si="91"/>
        <v>0</v>
      </c>
      <c r="L164" s="226">
        <f t="shared" si="91"/>
        <v>0</v>
      </c>
      <c r="M164" s="226">
        <f t="shared" si="91"/>
        <v>0</v>
      </c>
      <c r="N164" s="226">
        <f t="shared" si="91"/>
        <v>0</v>
      </c>
      <c r="O164" s="226">
        <f t="shared" si="91"/>
        <v>0</v>
      </c>
      <c r="P164" s="226">
        <f t="shared" si="91"/>
        <v>0</v>
      </c>
      <c r="Q164" s="226">
        <f t="shared" si="91"/>
        <v>0</v>
      </c>
      <c r="R164" s="226">
        <f t="shared" si="91"/>
        <v>0</v>
      </c>
      <c r="S164" s="226">
        <f t="shared" si="91"/>
        <v>0</v>
      </c>
      <c r="T164" s="226">
        <f t="shared" si="91"/>
        <v>0</v>
      </c>
      <c r="U164" s="226">
        <f t="shared" si="91"/>
        <v>0</v>
      </c>
      <c r="V164" s="226">
        <f t="shared" si="91"/>
        <v>0</v>
      </c>
      <c r="W164" s="226">
        <f t="shared" si="91"/>
        <v>0</v>
      </c>
      <c r="X164" s="226">
        <f t="shared" si="91"/>
        <v>0</v>
      </c>
      <c r="Y164" s="226">
        <f t="shared" si="91"/>
        <v>0</v>
      </c>
      <c r="Z164" s="226">
        <f t="shared" si="91"/>
        <v>0</v>
      </c>
      <c r="AA164" s="226">
        <f t="shared" si="91"/>
        <v>0</v>
      </c>
      <c r="AB164" s="226">
        <f t="shared" si="91"/>
        <v>0</v>
      </c>
      <c r="AC164" s="226">
        <f t="shared" si="91"/>
        <v>0</v>
      </c>
      <c r="AD164" s="226">
        <f t="shared" si="91"/>
        <v>-56.83</v>
      </c>
      <c r="AE164" s="226">
        <f t="shared" si="91"/>
        <v>0</v>
      </c>
      <c r="AF164" s="224">
        <f t="shared" si="91"/>
        <v>0</v>
      </c>
    </row>
    <row r="167" spans="1:32">
      <c r="A167" s="345" t="s">
        <v>857</v>
      </c>
    </row>
    <row r="169" spans="1:32">
      <c r="C169" s="420" t="s">
        <v>858</v>
      </c>
      <c r="D169" t="s">
        <v>859</v>
      </c>
      <c r="E169" t="s">
        <v>860</v>
      </c>
      <c r="F169" t="s">
        <v>861</v>
      </c>
      <c r="G169" s="596" t="s">
        <v>862</v>
      </c>
      <c r="H169" s="596"/>
    </row>
    <row r="170" spans="1:32">
      <c r="C170" t="s">
        <v>688</v>
      </c>
      <c r="D170" t="s">
        <v>688</v>
      </c>
      <c r="E170" t="s">
        <v>674</v>
      </c>
    </row>
    <row r="171" spans="1:32">
      <c r="A171" t="s">
        <v>863</v>
      </c>
      <c r="C171" s="348">
        <f>'Favennec (2022) Refinning'!$D$4/('Favennec (2022) Refinning'!$C$4*24*365*Legend!$B$82*Legend!$B$84*10^-3)</f>
        <v>6.99595018435728E-4</v>
      </c>
      <c r="D171" s="348">
        <f>'Favennec (2022) Refinning'!$C$16/('Favennec (2022) Refinning'!$C$4*24*365*Legend!$B$82*Legend!$B$84*10^-3)+'Favennec (2022) Refinning'!$C$19*C171+'Favennec (2022) Refinning'!$C$22/(Legend!$B$82*Legend!$B$84*10^-3)*10^-6</f>
        <v>4.9902112665020464E-4</v>
      </c>
      <c r="E171" s="348">
        <f>'Favennec (2022) Refinning'!C10/(Legend!$B$82*Legend!$B$84*10^-3)*10^-6</f>
        <v>1.6342539630658602E-4</v>
      </c>
      <c r="G171">
        <v>2010</v>
      </c>
      <c r="H171">
        <v>2050</v>
      </c>
    </row>
    <row r="172" spans="1:32">
      <c r="A172" t="s">
        <v>851</v>
      </c>
      <c r="B172" t="s">
        <v>418</v>
      </c>
      <c r="C172" s="173">
        <f>'Panos(2016)_Boilers'!$C$7*10^3*Legend!$B$105*Legend!$B$106*10^-6</f>
        <v>1.3875840000000002</v>
      </c>
      <c r="D172" s="173">
        <f>'Panos(2016)_Boilers'!$E$7*10^3*Legend!$B$105*Legend!$B$106*10^-6</f>
        <v>1.2614400000000001E-2</v>
      </c>
      <c r="F172">
        <f>'Panos(2016)_Boilers'!$H$7</f>
        <v>15</v>
      </c>
      <c r="G172" s="174">
        <f>'Panos(2016)_Boilers'!$F$7</f>
        <v>0.8</v>
      </c>
      <c r="H172" s="174">
        <f>'Panos(2016)_Boilers'!$G$7</f>
        <v>0.82</v>
      </c>
    </row>
    <row r="173" spans="1:32">
      <c r="B173" t="s">
        <v>864</v>
      </c>
      <c r="C173" s="173">
        <f>'Panos(2016)_Boilers'!$C$6*10^3*Legend!$B$105*Legend!$B$106*10^-6</f>
        <v>1.0406880000000001</v>
      </c>
      <c r="D173" s="173">
        <f>'Panos(2016)_Boilers'!$E$6*10^3*Legend!$B$105*Legend!$B$106*10^-6</f>
        <v>9.4608000000000001E-3</v>
      </c>
      <c r="F173">
        <f>'Panos(2016)_Boilers'!$H$6</f>
        <v>15</v>
      </c>
      <c r="G173" s="174">
        <f>'Panos(2016)_Boilers'!$F$6</f>
        <v>0.77</v>
      </c>
      <c r="H173" s="174">
        <f>'Panos(2016)_Boilers'!$G$6</f>
        <v>0.8</v>
      </c>
    </row>
    <row r="174" spans="1:32">
      <c r="B174" t="s">
        <v>760</v>
      </c>
      <c r="C174" s="173">
        <f>'Panos(2016)_Boilers'!$C$12*10^3*Legend!$B$105*Legend!$B$106*10^-6</f>
        <v>2.3021279999999997</v>
      </c>
      <c r="D174" s="173">
        <f>'Panos(2016)_Boilers'!$E$12*10^3*Legend!$B$105*Legend!$B$106*10^-6</f>
        <v>1.89216E-2</v>
      </c>
      <c r="F174">
        <f>'Panos(2016)_Boilers'!$H$12</f>
        <v>15</v>
      </c>
      <c r="G174" s="174">
        <f>'Panos(2016)_Boilers'!$F$12</f>
        <v>0.59</v>
      </c>
      <c r="H174" s="174">
        <f>'Panos(2016)_Boilers'!$G$12</f>
        <v>0.6</v>
      </c>
    </row>
    <row r="175" spans="1:32">
      <c r="B175" t="s">
        <v>865</v>
      </c>
      <c r="C175" s="173">
        <f>'Panos(2016)_Boilers'!$C$13*10^3*Legend!$B$105*Legend!$B$106*10^-6</f>
        <v>1.829088</v>
      </c>
      <c r="D175" s="173">
        <f>'Panos(2016)_Boilers'!$E$13*10^3*Legend!$B$105*Legend!$B$106*10^-6</f>
        <v>1.5768000000000001E-2</v>
      </c>
      <c r="F175">
        <f>'Panos(2016)_Boilers'!$H$13</f>
        <v>15</v>
      </c>
      <c r="G175" s="174">
        <f>'Panos(2016)_Boilers'!$F$13</f>
        <v>0.66</v>
      </c>
      <c r="H175" s="174">
        <f>'Panos(2016)_Boilers'!$G$13</f>
        <v>0.68</v>
      </c>
    </row>
    <row r="176" spans="1:32">
      <c r="B176" t="s">
        <v>620</v>
      </c>
      <c r="C176" s="173">
        <f>'Panos(2016)_Boilers'!$C$9*10^3*Legend!$B$105*Legend!$B$106*10^-6</f>
        <v>0.94608000000000003</v>
      </c>
      <c r="D176" s="173">
        <f>'Panos(2016)_Boilers'!$E$9*10^3*Legend!$B$105*Legend!$B$106*10^-6</f>
        <v>9.4608000000000001E-3</v>
      </c>
      <c r="F176">
        <f>'Panos(2016)_Boilers'!$H$9</f>
        <v>15</v>
      </c>
      <c r="G176" s="174">
        <f>'Panos(2016)_Boilers'!$F$9</f>
        <v>0.84</v>
      </c>
      <c r="H176" s="174">
        <f>'Panos(2016)_Boilers'!$G$9</f>
        <v>0.85</v>
      </c>
    </row>
    <row r="177" spans="1:8">
      <c r="A177" s="236"/>
      <c r="B177" s="236" t="s">
        <v>621</v>
      </c>
      <c r="C177" s="226">
        <f>C176</f>
        <v>0.94608000000000003</v>
      </c>
      <c r="D177" s="226">
        <f>D176</f>
        <v>9.4608000000000001E-3</v>
      </c>
      <c r="E177" s="236"/>
      <c r="F177" s="236">
        <f>F176</f>
        <v>15</v>
      </c>
      <c r="G177" s="427">
        <v>0.99</v>
      </c>
      <c r="H177" s="427">
        <v>0.99</v>
      </c>
    </row>
    <row r="178" spans="1:8">
      <c r="A178" t="s">
        <v>852</v>
      </c>
      <c r="B178" t="s">
        <v>418</v>
      </c>
      <c r="C178" s="418">
        <f>C$172*0.1</f>
        <v>0.13875840000000003</v>
      </c>
      <c r="D178" s="418">
        <f>D$172*0.1</f>
        <v>1.2614400000000002E-3</v>
      </c>
      <c r="F178" s="338">
        <f>F172</f>
        <v>15</v>
      </c>
      <c r="G178" s="425">
        <f>G172</f>
        <v>0.8</v>
      </c>
      <c r="H178" s="425">
        <f>H172</f>
        <v>0.82</v>
      </c>
    </row>
    <row r="179" spans="1:8">
      <c r="B179" t="s">
        <v>864</v>
      </c>
      <c r="C179" s="418">
        <f>C$173*0.1</f>
        <v>0.10406880000000002</v>
      </c>
      <c r="D179" s="418">
        <f>D$173*0.1</f>
        <v>9.4608000000000008E-4</v>
      </c>
      <c r="F179" s="338">
        <f t="shared" ref="F179:F195" si="92">F173</f>
        <v>15</v>
      </c>
      <c r="G179" s="425">
        <f t="shared" ref="G179:H179" si="93">G173</f>
        <v>0.77</v>
      </c>
      <c r="H179" s="425">
        <f t="shared" si="93"/>
        <v>0.8</v>
      </c>
    </row>
    <row r="180" spans="1:8">
      <c r="B180" t="s">
        <v>760</v>
      </c>
      <c r="C180" s="418">
        <f>C$174*0.1</f>
        <v>0.2302128</v>
      </c>
      <c r="D180" s="418">
        <f>D$174*0.1</f>
        <v>1.8921600000000002E-3</v>
      </c>
      <c r="F180" s="338">
        <f t="shared" si="92"/>
        <v>15</v>
      </c>
      <c r="G180" s="425">
        <f t="shared" ref="G180:H180" si="94">G174</f>
        <v>0.59</v>
      </c>
      <c r="H180" s="425">
        <f t="shared" si="94"/>
        <v>0.6</v>
      </c>
    </row>
    <row r="181" spans="1:8">
      <c r="B181" t="s">
        <v>865</v>
      </c>
      <c r="C181" s="418">
        <f>C$175*0.1</f>
        <v>0.18290880000000001</v>
      </c>
      <c r="D181" s="418">
        <f>D$175*0.1</f>
        <v>1.5768000000000002E-3</v>
      </c>
      <c r="F181" s="338">
        <f t="shared" si="92"/>
        <v>15</v>
      </c>
      <c r="G181" s="425">
        <f t="shared" ref="G181:H181" si="95">G175</f>
        <v>0.66</v>
      </c>
      <c r="H181" s="425">
        <f t="shared" si="95"/>
        <v>0.68</v>
      </c>
    </row>
    <row r="182" spans="1:8">
      <c r="B182" t="s">
        <v>620</v>
      </c>
      <c r="C182" s="418">
        <f>C$176*0.1</f>
        <v>9.4608000000000012E-2</v>
      </c>
      <c r="D182" s="418">
        <f>D$176*0.1</f>
        <v>9.4608000000000008E-4</v>
      </c>
      <c r="F182" s="338">
        <f t="shared" si="92"/>
        <v>15</v>
      </c>
      <c r="G182" s="425">
        <f t="shared" ref="G182:H182" si="96">G176</f>
        <v>0.84</v>
      </c>
      <c r="H182" s="425">
        <f t="shared" si="96"/>
        <v>0.85</v>
      </c>
    </row>
    <row r="183" spans="1:8">
      <c r="A183" s="236"/>
      <c r="B183" s="236" t="s">
        <v>621</v>
      </c>
      <c r="C183" s="428">
        <f>C$177*0.1</f>
        <v>9.4608000000000012E-2</v>
      </c>
      <c r="D183" s="428">
        <f>D$177*0.1</f>
        <v>9.4608000000000008E-4</v>
      </c>
      <c r="E183" s="236"/>
      <c r="F183" s="427">
        <f t="shared" si="92"/>
        <v>15</v>
      </c>
      <c r="G183" s="429">
        <f t="shared" ref="G183:H183" si="97">G177</f>
        <v>0.99</v>
      </c>
      <c r="H183" s="429">
        <f t="shared" si="97"/>
        <v>0.99</v>
      </c>
    </row>
    <row r="184" spans="1:8">
      <c r="A184" t="s">
        <v>853</v>
      </c>
      <c r="B184" t="s">
        <v>418</v>
      </c>
      <c r="C184" s="418">
        <f>C$172*0.1</f>
        <v>0.13875840000000003</v>
      </c>
      <c r="D184" s="418">
        <f>D$172*0.1</f>
        <v>1.2614400000000002E-3</v>
      </c>
      <c r="F184" s="338">
        <f t="shared" si="92"/>
        <v>15</v>
      </c>
      <c r="G184" s="425">
        <f t="shared" ref="G184:H184" si="98">G178</f>
        <v>0.8</v>
      </c>
      <c r="H184" s="425">
        <f t="shared" si="98"/>
        <v>0.82</v>
      </c>
    </row>
    <row r="185" spans="1:8">
      <c r="B185" t="s">
        <v>864</v>
      </c>
      <c r="C185" s="418">
        <f>C$173*0.1</f>
        <v>0.10406880000000002</v>
      </c>
      <c r="D185" s="418">
        <f>D$173*0.1</f>
        <v>9.4608000000000008E-4</v>
      </c>
      <c r="F185" s="338">
        <f t="shared" si="92"/>
        <v>15</v>
      </c>
      <c r="G185" s="425">
        <f t="shared" ref="G185:H185" si="99">G179</f>
        <v>0.77</v>
      </c>
      <c r="H185" s="425">
        <f t="shared" si="99"/>
        <v>0.8</v>
      </c>
    </row>
    <row r="186" spans="1:8">
      <c r="B186" t="s">
        <v>760</v>
      </c>
      <c r="C186" s="418">
        <f>C$174*0.1</f>
        <v>0.2302128</v>
      </c>
      <c r="D186" s="418">
        <f>D$174*0.1</f>
        <v>1.8921600000000002E-3</v>
      </c>
      <c r="F186" s="338">
        <f t="shared" si="92"/>
        <v>15</v>
      </c>
      <c r="G186" s="425">
        <f t="shared" ref="G186:H186" si="100">G180</f>
        <v>0.59</v>
      </c>
      <c r="H186" s="425">
        <f t="shared" si="100"/>
        <v>0.6</v>
      </c>
    </row>
    <row r="187" spans="1:8">
      <c r="B187" t="s">
        <v>865</v>
      </c>
      <c r="C187" s="418">
        <f>C$175*0.1</f>
        <v>0.18290880000000001</v>
      </c>
      <c r="D187" s="418">
        <f>D$175*0.1</f>
        <v>1.5768000000000002E-3</v>
      </c>
      <c r="F187" s="338">
        <f t="shared" si="92"/>
        <v>15</v>
      </c>
      <c r="G187" s="425">
        <f t="shared" ref="G187:H187" si="101">G181</f>
        <v>0.66</v>
      </c>
      <c r="H187" s="425">
        <f t="shared" si="101"/>
        <v>0.68</v>
      </c>
    </row>
    <row r="188" spans="1:8">
      <c r="B188" t="s">
        <v>620</v>
      </c>
      <c r="C188" s="418">
        <f>C$176*0.1</f>
        <v>9.4608000000000012E-2</v>
      </c>
      <c r="D188" s="418">
        <f>D$176*0.1</f>
        <v>9.4608000000000008E-4</v>
      </c>
      <c r="F188" s="338">
        <f t="shared" si="92"/>
        <v>15</v>
      </c>
      <c r="G188" s="425">
        <f t="shared" ref="G188:H188" si="102">G182</f>
        <v>0.84</v>
      </c>
      <c r="H188" s="425">
        <f t="shared" si="102"/>
        <v>0.85</v>
      </c>
    </row>
    <row r="189" spans="1:8">
      <c r="A189" s="236"/>
      <c r="B189" s="236" t="s">
        <v>621</v>
      </c>
      <c r="C189" s="428">
        <f>C$177*0.1</f>
        <v>9.4608000000000012E-2</v>
      </c>
      <c r="D189" s="428">
        <f>D$177*0.1</f>
        <v>9.4608000000000008E-4</v>
      </c>
      <c r="E189" s="236"/>
      <c r="F189" s="427">
        <f t="shared" si="92"/>
        <v>15</v>
      </c>
      <c r="G189" s="429">
        <f t="shared" ref="G189:H189" si="103">G183</f>
        <v>0.99</v>
      </c>
      <c r="H189" s="429">
        <f t="shared" si="103"/>
        <v>0.99</v>
      </c>
    </row>
    <row r="190" spans="1:8">
      <c r="A190" t="s">
        <v>854</v>
      </c>
      <c r="B190" t="s">
        <v>418</v>
      </c>
      <c r="C190" s="418">
        <f>C$172*0.1</f>
        <v>0.13875840000000003</v>
      </c>
      <c r="D190" s="418">
        <f>D$172*0.1</f>
        <v>1.2614400000000002E-3</v>
      </c>
      <c r="F190" s="338">
        <f t="shared" si="92"/>
        <v>15</v>
      </c>
      <c r="G190" s="425">
        <f t="shared" ref="G190:H190" si="104">G184</f>
        <v>0.8</v>
      </c>
      <c r="H190" s="425">
        <f t="shared" si="104"/>
        <v>0.82</v>
      </c>
    </row>
    <row r="191" spans="1:8">
      <c r="B191" t="s">
        <v>864</v>
      </c>
      <c r="C191" s="418">
        <f>C$173*0.1</f>
        <v>0.10406880000000002</v>
      </c>
      <c r="D191" s="418">
        <f>D$173*0.1</f>
        <v>9.4608000000000008E-4</v>
      </c>
      <c r="F191" s="338">
        <f t="shared" si="92"/>
        <v>15</v>
      </c>
      <c r="G191" s="425">
        <f t="shared" ref="G191:H191" si="105">G185</f>
        <v>0.77</v>
      </c>
      <c r="H191" s="425">
        <f t="shared" si="105"/>
        <v>0.8</v>
      </c>
    </row>
    <row r="192" spans="1:8">
      <c r="B192" t="s">
        <v>760</v>
      </c>
      <c r="C192" s="418">
        <f>C$174*0.1</f>
        <v>0.2302128</v>
      </c>
      <c r="D192" s="418">
        <f>D$174*0.1</f>
        <v>1.8921600000000002E-3</v>
      </c>
      <c r="F192" s="338">
        <f t="shared" si="92"/>
        <v>15</v>
      </c>
      <c r="G192" s="425">
        <f t="shared" ref="G192:H192" si="106">G186</f>
        <v>0.59</v>
      </c>
      <c r="H192" s="425">
        <f t="shared" si="106"/>
        <v>0.6</v>
      </c>
    </row>
    <row r="193" spans="1:8">
      <c r="B193" t="s">
        <v>865</v>
      </c>
      <c r="C193" s="418">
        <f>C$175*0.1</f>
        <v>0.18290880000000001</v>
      </c>
      <c r="D193" s="418">
        <f>D$175*0.1</f>
        <v>1.5768000000000002E-3</v>
      </c>
      <c r="F193" s="338">
        <f t="shared" si="92"/>
        <v>15</v>
      </c>
      <c r="G193" s="425">
        <f t="shared" ref="G193:H193" si="107">G187</f>
        <v>0.66</v>
      </c>
      <c r="H193" s="425">
        <f t="shared" si="107"/>
        <v>0.68</v>
      </c>
    </row>
    <row r="194" spans="1:8">
      <c r="B194" t="s">
        <v>620</v>
      </c>
      <c r="C194" s="418">
        <f>C$176*0.1</f>
        <v>9.4608000000000012E-2</v>
      </c>
      <c r="D194" s="418">
        <f>D$176*0.1</f>
        <v>9.4608000000000008E-4</v>
      </c>
      <c r="F194" s="338">
        <f t="shared" si="92"/>
        <v>15</v>
      </c>
      <c r="G194" s="425">
        <f t="shared" ref="G194:H194" si="108">G188</f>
        <v>0.84</v>
      </c>
      <c r="H194" s="425">
        <f t="shared" si="108"/>
        <v>0.85</v>
      </c>
    </row>
    <row r="195" spans="1:8">
      <c r="A195" s="236"/>
      <c r="B195" s="236" t="s">
        <v>621</v>
      </c>
      <c r="C195" s="428">
        <f>C$177*0.1</f>
        <v>9.4608000000000012E-2</v>
      </c>
      <c r="D195" s="428">
        <f>D$177*0.1</f>
        <v>9.4608000000000008E-4</v>
      </c>
      <c r="E195" s="236"/>
      <c r="F195" s="427">
        <f t="shared" si="92"/>
        <v>15</v>
      </c>
      <c r="G195" s="429">
        <f t="shared" ref="G195:H195" si="109">G189</f>
        <v>0.99</v>
      </c>
      <c r="H195" s="429">
        <f t="shared" si="109"/>
        <v>0.99</v>
      </c>
    </row>
  </sheetData>
  <mergeCells count="1">
    <mergeCell ref="G169:H16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5D02F-CED2-472F-AE41-2E1087241A19}">
  <sheetPr>
    <tabColor theme="4" tint="0.39997558519241921"/>
  </sheetPr>
  <dimension ref="A1:AD24"/>
  <sheetViews>
    <sheetView workbookViewId="0">
      <selection activeCell="C6" sqref="C6"/>
    </sheetView>
  </sheetViews>
  <sheetFormatPr defaultRowHeight="15.6"/>
  <cols>
    <col min="1" max="1" width="35.59765625" bestFit="1" customWidth="1"/>
    <col min="2" max="2" width="10" bestFit="1" customWidth="1"/>
    <col min="3" max="3" width="17.3984375" bestFit="1" customWidth="1"/>
    <col min="4" max="4" width="16.19921875" bestFit="1" customWidth="1"/>
    <col min="5" max="5" width="13.69921875" bestFit="1" customWidth="1"/>
    <col min="6" max="8" width="14.69921875" bestFit="1" customWidth="1"/>
    <col min="9" max="9" width="13.69921875" bestFit="1" customWidth="1"/>
    <col min="10" max="12" width="14.69921875" bestFit="1" customWidth="1"/>
    <col min="13" max="13" width="9.09765625" bestFit="1" customWidth="1"/>
    <col min="14" max="14" width="14.69921875" bestFit="1" customWidth="1"/>
    <col min="15" max="15" width="13.69921875" bestFit="1" customWidth="1"/>
    <col min="16" max="16" width="14.69921875" bestFit="1" customWidth="1"/>
    <col min="17" max="17" width="13.69921875" bestFit="1" customWidth="1"/>
    <col min="18" max="18" width="14.69921875" bestFit="1" customWidth="1"/>
    <col min="19" max="20" width="13.69921875" bestFit="1" customWidth="1"/>
    <col min="21" max="21" width="14.69921875" bestFit="1" customWidth="1"/>
    <col min="22" max="22" width="9.09765625" bestFit="1" customWidth="1"/>
    <col min="23" max="28" width="14.69921875" bestFit="1" customWidth="1"/>
    <col min="29" max="29" width="9.09765625" bestFit="1" customWidth="1"/>
    <col min="30" max="30" width="14.69921875" bestFit="1" customWidth="1"/>
  </cols>
  <sheetData>
    <row r="1" spans="1:30">
      <c r="A1" s="345" t="s">
        <v>866</v>
      </c>
    </row>
    <row r="3" spans="1:30">
      <c r="A3" s="175" t="s">
        <v>867</v>
      </c>
      <c r="C3" t="s">
        <v>172</v>
      </c>
      <c r="D3" t="s">
        <v>175</v>
      </c>
      <c r="E3" t="s">
        <v>178</v>
      </c>
      <c r="F3" t="s">
        <v>181</v>
      </c>
      <c r="G3" t="s">
        <v>184</v>
      </c>
      <c r="H3" t="s">
        <v>187</v>
      </c>
      <c r="I3" t="s">
        <v>190</v>
      </c>
      <c r="J3" t="s">
        <v>193</v>
      </c>
      <c r="K3" t="s">
        <v>196</v>
      </c>
      <c r="L3" t="s">
        <v>198</v>
      </c>
      <c r="M3" t="s">
        <v>200</v>
      </c>
      <c r="N3" t="s">
        <v>202</v>
      </c>
      <c r="O3" t="s">
        <v>205</v>
      </c>
      <c r="P3" t="s">
        <v>208</v>
      </c>
      <c r="Q3" t="s">
        <v>211</v>
      </c>
      <c r="R3" t="s">
        <v>214</v>
      </c>
      <c r="S3" t="s">
        <v>217</v>
      </c>
      <c r="T3" t="s">
        <v>220</v>
      </c>
      <c r="U3" t="s">
        <v>223</v>
      </c>
      <c r="V3" t="s">
        <v>225</v>
      </c>
      <c r="W3" t="s">
        <v>227</v>
      </c>
      <c r="X3" t="s">
        <v>230</v>
      </c>
      <c r="Y3" t="s">
        <v>233</v>
      </c>
      <c r="Z3" t="s">
        <v>236</v>
      </c>
      <c r="AA3" t="s">
        <v>238</v>
      </c>
      <c r="AB3" t="s">
        <v>240</v>
      </c>
      <c r="AC3" t="s">
        <v>243</v>
      </c>
      <c r="AD3" t="s">
        <v>245</v>
      </c>
    </row>
    <row r="4" spans="1:30">
      <c r="A4" t="s">
        <v>868</v>
      </c>
      <c r="B4" t="s">
        <v>387</v>
      </c>
      <c r="C4" s="176">
        <f>'Key inputs_EB_TRF'!D78+'Key inputs_EB_MIN'!E71+'Key inputs_EB_MIN'!E49</f>
        <v>37427</v>
      </c>
      <c r="D4" s="176">
        <f>'Key inputs_EB_TRF'!E78+'Key inputs_EB_MIN'!F71+'Key inputs_EB_MIN'!F49</f>
        <v>6073175</v>
      </c>
      <c r="E4" s="176">
        <f>'Key inputs_EB_TRF'!F78+'Key inputs_EB_MIN'!G71+'Key inputs_EB_MIN'!G49</f>
        <v>477722</v>
      </c>
      <c r="F4" s="176">
        <f>'Key inputs_EB_TRF'!G78+'Key inputs_EB_MIN'!H71+'Key inputs_EB_MIN'!H49</f>
        <v>446848</v>
      </c>
      <c r="G4" s="176">
        <f>'Key inputs_EB_TRF'!H78+'Key inputs_EB_MIN'!I71+'Key inputs_EB_MIN'!I49</f>
        <v>5112805</v>
      </c>
      <c r="H4" s="176">
        <f>'Key inputs_EB_TRF'!I78+'Key inputs_EB_MIN'!J71+'Key inputs_EB_MIN'!J49</f>
        <v>6669332</v>
      </c>
      <c r="I4" s="176">
        <f>'Key inputs_EB_TRF'!J78+'Key inputs_EB_MIN'!K71+'Key inputs_EB_MIN'!K49</f>
        <v>5338060</v>
      </c>
      <c r="J4" s="176">
        <f>'Key inputs_EB_TRF'!K78+'Key inputs_EB_MIN'!L71+'Key inputs_EB_MIN'!L49</f>
        <v>2014395</v>
      </c>
      <c r="K4" s="176">
        <f>'Key inputs_EB_TRF'!L78+'Key inputs_EB_MIN'!M71+'Key inputs_EB_MIN'!M49</f>
        <v>866830</v>
      </c>
      <c r="L4" s="176">
        <f>'Key inputs_EB_TRF'!M78+'Key inputs_EB_MIN'!N71+'Key inputs_EB_MIN'!N49</f>
        <v>6838350</v>
      </c>
      <c r="M4" s="176">
        <f>'Key inputs_EB_TRF'!N78+'Key inputs_EB_MIN'!O71+'Key inputs_EB_MIN'!O49</f>
        <v>53723</v>
      </c>
      <c r="N4" s="176">
        <f>'Key inputs_EB_TRF'!O78+'Key inputs_EB_MIN'!P71+'Key inputs_EB_MIN'!P49</f>
        <v>6986554</v>
      </c>
      <c r="O4" s="176">
        <f>'Key inputs_EB_TRF'!P78+'Key inputs_EB_MIN'!Q71+'Key inputs_EB_MIN'!Q49</f>
        <v>701170</v>
      </c>
      <c r="P4" s="176">
        <f>'Key inputs_EB_TRF'!Q78+'Key inputs_EB_MIN'!R71+'Key inputs_EB_MIN'!R49</f>
        <v>5715425</v>
      </c>
      <c r="Q4" s="176">
        <f>'Key inputs_EB_TRF'!R78+'Key inputs_EB_MIN'!S71+'Key inputs_EB_MIN'!S49</f>
        <v>587681</v>
      </c>
      <c r="R4" s="176">
        <f>'Key inputs_EB_TRF'!S78+'Key inputs_EB_MIN'!T71+'Key inputs_EB_MIN'!T49</f>
        <v>170316</v>
      </c>
      <c r="S4" s="176">
        <f>'Key inputs_EB_TRF'!T78+'Key inputs_EB_MIN'!U71+'Key inputs_EB_MIN'!U49</f>
        <v>1422551</v>
      </c>
      <c r="T4" s="176">
        <f>'Key inputs_EB_TRF'!U78+'Key inputs_EB_MIN'!V71+'Key inputs_EB_MIN'!V49</f>
        <v>2647981</v>
      </c>
      <c r="U4" s="176">
        <f>'Key inputs_EB_TRF'!V78+'Key inputs_EB_MIN'!W71+'Key inputs_EB_MIN'!W49</f>
        <v>1061698</v>
      </c>
      <c r="V4" s="176">
        <f>'Key inputs_EB_TRF'!W78+'Key inputs_EB_MIN'!X71+'Key inputs_EB_MIN'!X49</f>
        <v>157446</v>
      </c>
      <c r="W4" s="176">
        <f>'Key inputs_EB_TRF'!X78+'Key inputs_EB_MIN'!Y71+'Key inputs_EB_MIN'!Y49</f>
        <v>4671334</v>
      </c>
      <c r="X4" s="176">
        <f>'Key inputs_EB_TRF'!Y78+'Key inputs_EB_MIN'!Z71+'Key inputs_EB_MIN'!Z49</f>
        <v>444319</v>
      </c>
      <c r="Y4" s="176">
        <f>'Key inputs_EB_TRF'!Z78+'Key inputs_EB_MIN'!AA71+'Key inputs_EB_MIN'!AA49</f>
        <v>23692214</v>
      </c>
      <c r="Z4" s="176">
        <f>'Key inputs_EB_TRF'!AA78+'Key inputs_EB_MIN'!AB71+'Key inputs_EB_MIN'!AB49</f>
        <v>1011928</v>
      </c>
      <c r="AA4" s="176">
        <f>'Key inputs_EB_TRF'!AB78+'Key inputs_EB_MIN'!AC71+'Key inputs_EB_MIN'!AC49</f>
        <v>1562518</v>
      </c>
      <c r="AB4" s="176">
        <f>'Key inputs_EB_TRF'!AC78+'Key inputs_EB_MIN'!AD71+'Key inputs_EB_MIN'!AD49</f>
        <v>26963430</v>
      </c>
      <c r="AC4" s="176">
        <f>'Key inputs_EB_TRF'!AD78+'Key inputs_EB_MIN'!AE71+'Key inputs_EB_MIN'!AE49</f>
        <v>31521</v>
      </c>
      <c r="AD4" s="176">
        <f>'Key inputs_EB_TRF'!AE78+'Key inputs_EB_MIN'!AF71+'Key inputs_EB_MIN'!AF49</f>
        <v>33385194</v>
      </c>
    </row>
    <row r="5" spans="1:30">
      <c r="A5" t="s">
        <v>420</v>
      </c>
      <c r="B5" t="s">
        <v>387</v>
      </c>
      <c r="C5" s="176">
        <f>'Key inputs_EB_MIN'!E70+'Key inputs_EB_MIN'!E56</f>
        <v>0</v>
      </c>
      <c r="D5" s="176">
        <f>'Key inputs_EB_MIN'!F70+'Key inputs_EB_MIN'!F56</f>
        <v>1077841</v>
      </c>
      <c r="E5" s="176">
        <f>'Key inputs_EB_MIN'!G70+'Key inputs_EB_MIN'!G56</f>
        <v>74871</v>
      </c>
      <c r="F5" s="176">
        <f>'Key inputs_EB_MIN'!H70+'Key inputs_EB_MIN'!H56</f>
        <v>180507</v>
      </c>
      <c r="G5" s="176">
        <f>'Key inputs_EB_MIN'!I70+'Key inputs_EB_MIN'!I56</f>
        <v>259477</v>
      </c>
      <c r="H5" s="176">
        <f>'Key inputs_EB_MIN'!J70+'Key inputs_EB_MIN'!J56</f>
        <v>468916</v>
      </c>
      <c r="I5" s="176">
        <f>'Key inputs_EB_MIN'!K70+'Key inputs_EB_MIN'!K56</f>
        <v>790563</v>
      </c>
      <c r="J5" s="176">
        <f>'Key inputs_EB_MIN'!L70+'Key inputs_EB_MIN'!L56</f>
        <v>68253</v>
      </c>
      <c r="K5" s="176">
        <f>'Key inputs_EB_MIN'!M70+'Key inputs_EB_MIN'!M56</f>
        <v>273727</v>
      </c>
      <c r="L5" s="176">
        <f>'Key inputs_EB_MIN'!N70+'Key inputs_EB_MIN'!N56</f>
        <v>118251</v>
      </c>
      <c r="M5" s="176">
        <f>'Key inputs_EB_MIN'!O70+'Key inputs_EB_MIN'!O56</f>
        <v>0</v>
      </c>
      <c r="N5" s="176">
        <f>'Key inputs_EB_MIN'!P70+'Key inputs_EB_MIN'!P56</f>
        <v>0</v>
      </c>
      <c r="O5" s="176">
        <f>'Key inputs_EB_MIN'!Q70+'Key inputs_EB_MIN'!Q56</f>
        <v>43071</v>
      </c>
      <c r="P5" s="176">
        <f>'Key inputs_EB_MIN'!R70+'Key inputs_EB_MIN'!R56</f>
        <v>824767</v>
      </c>
      <c r="Q5" s="176">
        <f>'Key inputs_EB_MIN'!S70+'Key inputs_EB_MIN'!S56</f>
        <v>17163</v>
      </c>
      <c r="R5" s="176">
        <f>'Key inputs_EB_MIN'!T70+'Key inputs_EB_MIN'!T56</f>
        <v>68</v>
      </c>
      <c r="S5" s="176">
        <f>'Key inputs_EB_MIN'!U70+'Key inputs_EB_MIN'!U56</f>
        <v>41205</v>
      </c>
      <c r="T5" s="176">
        <f>'Key inputs_EB_MIN'!V70+'Key inputs_EB_MIN'!V56</f>
        <v>67643</v>
      </c>
      <c r="U5" s="176">
        <f>'Key inputs_EB_MIN'!W70+'Key inputs_EB_MIN'!W56</f>
        <v>379981</v>
      </c>
      <c r="V5" s="176">
        <f>'Key inputs_EB_MIN'!X70+'Key inputs_EB_MIN'!X56</f>
        <v>4690</v>
      </c>
      <c r="W5" s="176">
        <f>'Key inputs_EB_MIN'!Y70+'Key inputs_EB_MIN'!Y56</f>
        <v>975352</v>
      </c>
      <c r="X5" s="176">
        <f>'Key inputs_EB_MIN'!Z70+'Key inputs_EB_MIN'!Z56</f>
        <v>8176</v>
      </c>
      <c r="Y5" s="176">
        <f>'Key inputs_EB_MIN'!AA70+'Key inputs_EB_MIN'!AA56</f>
        <v>8843807</v>
      </c>
      <c r="Z5" s="176">
        <f>'Key inputs_EB_MIN'!AB70+'Key inputs_EB_MIN'!AB56</f>
        <v>467408</v>
      </c>
      <c r="AA5" s="176">
        <f>'Key inputs_EB_MIN'!AC70+'Key inputs_EB_MIN'!AC56</f>
        <v>51739</v>
      </c>
      <c r="AB5" s="176">
        <f>'Key inputs_EB_MIN'!AD70+'Key inputs_EB_MIN'!AD56</f>
        <v>1648588</v>
      </c>
      <c r="AC5" s="176">
        <f>'Key inputs_EB_MIN'!AE70+'Key inputs_EB_MIN'!AE56</f>
        <v>0</v>
      </c>
      <c r="AD5" s="176">
        <f>'Key inputs_EB_MIN'!AF70+'Key inputs_EB_MIN'!AF56</f>
        <v>10595714</v>
      </c>
    </row>
    <row r="6" spans="1:30">
      <c r="A6" t="s">
        <v>776</v>
      </c>
      <c r="B6" t="s">
        <v>387</v>
      </c>
      <c r="C6" s="176">
        <f>'Key inputs_EB_MIN'!E69+'Key inputs_EB_TRF'!D82+'Key inputs_EB_TRF'!D65+'Key inputs_EB_MIN'!E55</f>
        <v>530379</v>
      </c>
      <c r="D6" s="176">
        <f>'Key inputs_EB_MIN'!F69+'Key inputs_EB_TRF'!E82+'Key inputs_EB_TRF'!E65+'Key inputs_EB_MIN'!F55</f>
        <v>5619204</v>
      </c>
      <c r="E6" s="176">
        <f>'Key inputs_EB_MIN'!G69+'Key inputs_EB_TRF'!F82+'Key inputs_EB_TRF'!F65+'Key inputs_EB_MIN'!G55</f>
        <v>2520859</v>
      </c>
      <c r="F6" s="176">
        <f>'Key inputs_EB_MIN'!H69+'Key inputs_EB_TRF'!G82+'Key inputs_EB_TRF'!G65+'Key inputs_EB_MIN'!H55</f>
        <v>3010210</v>
      </c>
      <c r="G6" s="176">
        <f>'Key inputs_EB_MIN'!I69+'Key inputs_EB_TRF'!H82+'Key inputs_EB_TRF'!H65+'Key inputs_EB_MIN'!I55</f>
        <v>586889</v>
      </c>
      <c r="H6" s="176">
        <f>'Key inputs_EB_MIN'!J69+'Key inputs_EB_TRF'!I82+'Key inputs_EB_TRF'!I65+'Key inputs_EB_MIN'!J55</f>
        <v>5628234</v>
      </c>
      <c r="I6" s="176">
        <f>'Key inputs_EB_MIN'!K69+'Key inputs_EB_TRF'!J82+'Key inputs_EB_TRF'!J65+'Key inputs_EB_MIN'!K55</f>
        <v>1641056</v>
      </c>
      <c r="J6" s="176">
        <f>'Key inputs_EB_MIN'!L69+'Key inputs_EB_TRF'!K82+'Key inputs_EB_TRF'!K65+'Key inputs_EB_MIN'!L55</f>
        <v>157001</v>
      </c>
      <c r="K6" s="176">
        <f>'Key inputs_EB_MIN'!M69+'Key inputs_EB_TRF'!L82+'Key inputs_EB_TRF'!L65+'Key inputs_EB_MIN'!M55</f>
        <v>6404346</v>
      </c>
      <c r="L6" s="176">
        <f>'Key inputs_EB_MIN'!N69+'Key inputs_EB_TRF'!M82+'Key inputs_EB_TRF'!M65+'Key inputs_EB_MIN'!N55</f>
        <v>11685217</v>
      </c>
      <c r="M6" s="176">
        <f>'Key inputs_EB_MIN'!O69+'Key inputs_EB_TRF'!N82+'Key inputs_EB_TRF'!N65+'Key inputs_EB_MIN'!O55</f>
        <v>7011</v>
      </c>
      <c r="N6" s="176">
        <f>'Key inputs_EB_MIN'!P69+'Key inputs_EB_TRF'!O82+'Key inputs_EB_TRF'!O65+'Key inputs_EB_MIN'!P55</f>
        <v>9174414</v>
      </c>
      <c r="O6" s="176">
        <f>'Key inputs_EB_MIN'!Q69+'Key inputs_EB_TRF'!P82+'Key inputs_EB_TRF'!P65+'Key inputs_EB_MIN'!Q55</f>
        <v>178392</v>
      </c>
      <c r="P6" s="176">
        <f>'Key inputs_EB_MIN'!R69+'Key inputs_EB_TRF'!Q82+'Key inputs_EB_TRF'!Q65+'Key inputs_EB_MIN'!R55</f>
        <v>5031665</v>
      </c>
      <c r="Q6" s="176">
        <f>'Key inputs_EB_MIN'!S69+'Key inputs_EB_TRF'!R82+'Key inputs_EB_TRF'!R65+'Key inputs_EB_MIN'!S55</f>
        <v>343253</v>
      </c>
      <c r="R6" s="176">
        <f>'Key inputs_EB_MIN'!T69+'Key inputs_EB_TRF'!S82+'Key inputs_EB_TRF'!S65+'Key inputs_EB_MIN'!T55</f>
        <v>248221</v>
      </c>
      <c r="S6" s="176">
        <f>'Key inputs_EB_MIN'!U69+'Key inputs_EB_TRF'!T82+'Key inputs_EB_TRF'!T65+'Key inputs_EB_MIN'!U55</f>
        <v>414547</v>
      </c>
      <c r="T6" s="176">
        <f>'Key inputs_EB_MIN'!V69+'Key inputs_EB_TRF'!U82+'Key inputs_EB_TRF'!U65+'Key inputs_EB_MIN'!V55</f>
        <v>2249160</v>
      </c>
      <c r="U6" s="176">
        <f>'Key inputs_EB_MIN'!W69+'Key inputs_EB_TRF'!V82+'Key inputs_EB_TRF'!V65+'Key inputs_EB_MIN'!W55</f>
        <v>1095320</v>
      </c>
      <c r="V6" s="176">
        <f>'Key inputs_EB_MIN'!X69+'Key inputs_EB_TRF'!W82+'Key inputs_EB_TRF'!W65+'Key inputs_EB_MIN'!X55</f>
        <v>67780</v>
      </c>
      <c r="W6" s="176">
        <f>'Key inputs_EB_MIN'!Y69+'Key inputs_EB_TRF'!X82+'Key inputs_EB_TRF'!X65+'Key inputs_EB_MIN'!Y55</f>
        <v>7108524</v>
      </c>
      <c r="X6" s="176">
        <f>'Key inputs_EB_MIN'!Z69+'Key inputs_EB_TRF'!Y82+'Key inputs_EB_TRF'!Y65+'Key inputs_EB_MIN'!Z55</f>
        <v>234022</v>
      </c>
      <c r="Y6" s="176">
        <f>'Key inputs_EB_MIN'!AA69+'Key inputs_EB_TRF'!Z82+'Key inputs_EB_TRF'!Z65+'Key inputs_EB_MIN'!AA55</f>
        <v>50350756</v>
      </c>
      <c r="Z6" s="176">
        <f>'Key inputs_EB_MIN'!AB69+'Key inputs_EB_TRF'!AA82+'Key inputs_EB_TRF'!AA65+'Key inputs_EB_MIN'!AB55</f>
        <v>3773958</v>
      </c>
      <c r="AA6" s="176">
        <f>'Key inputs_EB_MIN'!AC69+'Key inputs_EB_TRF'!AB82+'Key inputs_EB_TRF'!AB65+'Key inputs_EB_MIN'!AC55</f>
        <v>4315495</v>
      </c>
      <c r="AB6" s="176">
        <f>'Key inputs_EB_MIN'!AD69+'Key inputs_EB_TRF'!AC82+'Key inputs_EB_TRF'!AC65+'Key inputs_EB_MIN'!AD55</f>
        <v>23096024</v>
      </c>
      <c r="AC6" s="176">
        <f>'Key inputs_EB_MIN'!AE69+'Key inputs_EB_TRF'!AD82+'Key inputs_EB_TRF'!AD65+'Key inputs_EB_MIN'!AE55</f>
        <v>33549</v>
      </c>
      <c r="AD6" s="176">
        <f>'Key inputs_EB_MIN'!AF69+'Key inputs_EB_TRF'!AE82+'Key inputs_EB_TRF'!AE65+'Key inputs_EB_MIN'!AF55</f>
        <v>22869578</v>
      </c>
    </row>
    <row r="8" spans="1:30">
      <c r="A8" s="345" t="s">
        <v>869</v>
      </c>
    </row>
    <row r="10" spans="1:30">
      <c r="C10" t="s">
        <v>172</v>
      </c>
      <c r="D10" t="s">
        <v>175</v>
      </c>
      <c r="E10" t="s">
        <v>178</v>
      </c>
      <c r="F10" t="s">
        <v>181</v>
      </c>
      <c r="G10" t="s">
        <v>184</v>
      </c>
      <c r="H10" t="s">
        <v>187</v>
      </c>
      <c r="I10" t="s">
        <v>190</v>
      </c>
      <c r="J10" t="s">
        <v>193</v>
      </c>
      <c r="K10" t="s">
        <v>196</v>
      </c>
      <c r="L10" t="s">
        <v>198</v>
      </c>
      <c r="M10" t="s">
        <v>200</v>
      </c>
      <c r="N10" t="s">
        <v>202</v>
      </c>
      <c r="O10" t="s">
        <v>205</v>
      </c>
      <c r="P10" t="s">
        <v>208</v>
      </c>
      <c r="Q10" t="s">
        <v>211</v>
      </c>
      <c r="R10" t="s">
        <v>214</v>
      </c>
      <c r="S10" t="s">
        <v>217</v>
      </c>
      <c r="T10" t="s">
        <v>220</v>
      </c>
      <c r="U10" t="s">
        <v>223</v>
      </c>
      <c r="V10" t="s">
        <v>225</v>
      </c>
      <c r="W10" t="s">
        <v>227</v>
      </c>
      <c r="X10" t="s">
        <v>230</v>
      </c>
      <c r="Y10" t="s">
        <v>233</v>
      </c>
      <c r="Z10" t="s">
        <v>236</v>
      </c>
      <c r="AA10" t="s">
        <v>238</v>
      </c>
      <c r="AB10" t="s">
        <v>240</v>
      </c>
      <c r="AC10" t="s">
        <v>243</v>
      </c>
      <c r="AD10" t="s">
        <v>245</v>
      </c>
    </row>
    <row r="11" spans="1:30">
      <c r="A11" t="s">
        <v>870</v>
      </c>
      <c r="B11" t="s">
        <v>871</v>
      </c>
      <c r="C11" s="173">
        <f>IFERROR(SUMIFS('GEM(2023)_GAS'!$B:$B,'GEM(2023)_GAS'!$A:$A,C$10),0)</f>
        <v>333333333.33333331</v>
      </c>
      <c r="D11" s="173">
        <f>IFERROR(SUMIFS('GEM(2023)_GAS'!$B:$B,'GEM(2023)_GAS'!$A:$A,D$10),0)</f>
        <v>2434862636.9707537</v>
      </c>
      <c r="E11" s="173">
        <f>IFERROR(SUMIFS('GEM(2023)_GAS'!$B:$B,'GEM(2023)_GAS'!$A:$A,E$10),0)</f>
        <v>64516129.032258064</v>
      </c>
      <c r="F11" s="173">
        <f>IFERROR(SUMIFS('GEM(2023)_GAS'!$B:$B,'GEM(2023)_GAS'!$A:$A,F$10),0)</f>
        <v>0</v>
      </c>
      <c r="G11" s="173">
        <f>IFERROR(SUMIFS('GEM(2023)_GAS'!$B:$B,'GEM(2023)_GAS'!$A:$A,G$10),0)</f>
        <v>255258589.04387128</v>
      </c>
      <c r="H11" s="173">
        <f>IFERROR(SUMIFS('GEM(2023)_GAS'!$B:$B,'GEM(2023)_GAS'!$A:$A,H$10),0)</f>
        <v>129868052.6829526</v>
      </c>
      <c r="I11" s="173">
        <f>IFERROR(SUMIFS('GEM(2023)_GAS'!$B:$B,'GEM(2023)_GAS'!$A:$A,I$10),0)</f>
        <v>80000000</v>
      </c>
      <c r="J11" s="173">
        <f>IFERROR(SUMIFS('GEM(2023)_GAS'!$B:$B,'GEM(2023)_GAS'!$A:$A,J$10),0)</f>
        <v>209892339.8242445</v>
      </c>
      <c r="K11" s="173">
        <f>IFERROR(SUMIFS('GEM(2023)_GAS'!$B:$B,'GEM(2023)_GAS'!$A:$A,K$10),0)</f>
        <v>236444557.83008996</v>
      </c>
      <c r="L11" s="173">
        <f>IFERROR(SUMIFS('GEM(2023)_GAS'!$B:$B,'GEM(2023)_GAS'!$A:$A,L$10),0)</f>
        <v>126203834.71686113</v>
      </c>
      <c r="M11" s="173">
        <f>IFERROR(SUMIFS('GEM(2023)_GAS'!$B:$B,'GEM(2023)_GAS'!$A:$A,M$10),0)</f>
        <v>0</v>
      </c>
      <c r="N11" s="173">
        <f>IFERROR(SUMIFS('GEM(2023)_GAS'!$B:$B,'GEM(2023)_GAS'!$A:$A,N$10),0)</f>
        <v>167183272.48711917</v>
      </c>
      <c r="O11" s="173">
        <f>IFERROR(SUMIFS('GEM(2023)_GAS'!$B:$B,'GEM(2023)_GAS'!$A:$A,O$10),0)</f>
        <v>36751645.99179022</v>
      </c>
      <c r="P11" s="173">
        <f>IFERROR(SUMIFS('GEM(2023)_GAS'!$B:$B,'GEM(2023)_GAS'!$A:$A,P$10),0)</f>
        <v>228900000</v>
      </c>
      <c r="Q11" s="173">
        <f>IFERROR(SUMIFS('GEM(2023)_GAS'!$B:$B,'GEM(2023)_GAS'!$A:$A,Q$10),0)</f>
        <v>64463389.289457455</v>
      </c>
      <c r="R11" s="173">
        <f>IFERROR(SUMIFS('GEM(2023)_GAS'!$B:$B,'GEM(2023)_GAS'!$A:$A,R$10),0)</f>
        <v>116565689.77312164</v>
      </c>
      <c r="S11" s="173">
        <f>IFERROR(SUMIFS('GEM(2023)_GAS'!$B:$B,'GEM(2023)_GAS'!$A:$A,S$10),0)</f>
        <v>45681992.703179814</v>
      </c>
      <c r="T11" s="173">
        <f>IFERROR(SUMIFS('GEM(2023)_GAS'!$B:$B,'GEM(2023)_GAS'!$A:$A,T$10),0)</f>
        <v>77369439.071566731</v>
      </c>
      <c r="U11" s="173">
        <f>IFERROR(SUMIFS('GEM(2023)_GAS'!$B:$B,'GEM(2023)_GAS'!$A:$A,U$10),0)</f>
        <v>126410502.94977464</v>
      </c>
      <c r="V11" s="173">
        <f>IFERROR(SUMIFS('GEM(2023)_GAS'!$B:$B,'GEM(2023)_GAS'!$A:$A,V$10),0)</f>
        <v>0</v>
      </c>
      <c r="W11" s="173">
        <f>IFERROR(SUMIFS('GEM(2023)_GAS'!$B:$B,'GEM(2023)_GAS'!$A:$A,W$10),0)</f>
        <v>336104948.76995093</v>
      </c>
      <c r="X11" s="173">
        <f>IFERROR(SUMIFS('GEM(2023)_GAS'!$B:$B,'GEM(2023)_GAS'!$A:$A,X$10),0)</f>
        <v>262550046.09318998</v>
      </c>
      <c r="Y11" s="173">
        <f>IFERROR(SUMIFS('GEM(2023)_GAS'!$B:$B,'GEM(2023)_GAS'!$A:$A,Y$10),0)</f>
        <v>382814300.11281222</v>
      </c>
      <c r="Z11" s="173">
        <f>IFERROR(SUMIFS('GEM(2023)_GAS'!$B:$B,'GEM(2023)_GAS'!$A:$A,Z$10),0)</f>
        <v>219071328.80968413</v>
      </c>
      <c r="AA11" s="173">
        <f>IFERROR(SUMIFS('GEM(2023)_GAS'!$B:$B,'GEM(2023)_GAS'!$A:$A,AA$10),0)</f>
        <v>448833640.27010435</v>
      </c>
      <c r="AB11" s="173">
        <f>IFERROR(SUMIFS('GEM(2023)_GAS'!$B:$B,'GEM(2023)_GAS'!$A:$A,AB$10),0)</f>
        <v>416138654.89545751</v>
      </c>
      <c r="AC11" s="173">
        <f>IFERROR(SUMIFS('GEM(2023)_GAS'!$B:$B,'GEM(2023)_GAS'!$A:$A,AC$10),0)</f>
        <v>0</v>
      </c>
      <c r="AD11" s="173">
        <f>IFERROR(SUMIFS('GEM(2023)_GAS'!$B:$B,'GEM(2023)_GAS'!$A:$A,AD$10),0)</f>
        <v>103624424.21445504</v>
      </c>
    </row>
    <row r="12" spans="1:30">
      <c r="A12" t="s">
        <v>870</v>
      </c>
      <c r="B12" t="s">
        <v>872</v>
      </c>
      <c r="C12" s="173">
        <f>IF(C11=0,AVERAGEIF($C$11:$AD$11,"&lt;&gt;0")/(Legend!$B$86*10^3),C11/(Legend!$B$86*10^3))*10^-6</f>
        <v>9.2592592592592587E-3</v>
      </c>
      <c r="D12" s="173">
        <f>IF(D11=0,AVERAGEIF($C$11:$AD$11,"&lt;&gt;0")/(Legend!$B$86*10^3),D11/(Legend!$B$86*10^3))*10^-6</f>
        <v>6.7635073249187591E-2</v>
      </c>
      <c r="E12" s="173">
        <f>IF(E11=0,AVERAGEIF($C$11:$AD$11,"&lt;&gt;0")/(Legend!$B$86*10^3),E11/(Legend!$B$86*10^3))*10^-6</f>
        <v>1.7921146953405018E-3</v>
      </c>
      <c r="F12" s="173">
        <f>IF(F11=0,AVERAGEIF($C$11:$AD$11,"&lt;&gt;0")/(Legend!$B$86*10^3),F11/(Legend!$B$86*10^3))*10^-6</f>
        <v>7.9894013297060508E-3</v>
      </c>
      <c r="G12" s="173">
        <f>IF(G11=0,AVERAGEIF($C$11:$AD$11,"&lt;&gt;0")/(Legend!$B$86*10^3),G11/(Legend!$B$86*10^3))*10^-6</f>
        <v>7.0905163623297572E-3</v>
      </c>
      <c r="H12" s="173">
        <f>IF(H11=0,AVERAGEIF($C$11:$AD$11,"&lt;&gt;0")/(Legend!$B$86*10^3),H11/(Legend!$B$86*10^3))*10^-6</f>
        <v>3.6074459078597942E-3</v>
      </c>
      <c r="I12" s="173">
        <f>IF(I11=0,AVERAGEIF($C$11:$AD$11,"&lt;&gt;0")/(Legend!$B$86*10^3),I11/(Legend!$B$86*10^3))*10^-6</f>
        <v>2.2222222222222222E-3</v>
      </c>
      <c r="J12" s="173">
        <f>IF(J11=0,AVERAGEIF($C$11:$AD$11,"&lt;&gt;0")/(Legend!$B$86*10^3),J11/(Legend!$B$86*10^3))*10^-6</f>
        <v>5.8303427728956803E-3</v>
      </c>
      <c r="K12" s="173">
        <f>IF(K11=0,AVERAGEIF($C$11:$AD$11,"&lt;&gt;0")/(Legend!$B$86*10^3),K11/(Legend!$B$86*10^3))*10^-6</f>
        <v>6.5679043841691655E-3</v>
      </c>
      <c r="L12" s="173">
        <f>IF(L11=0,AVERAGEIF($C$11:$AD$11,"&lt;&gt;0")/(Legend!$B$86*10^3),L11/(Legend!$B$86*10^3))*10^-6</f>
        <v>3.5056620754683643E-3</v>
      </c>
      <c r="M12" s="173">
        <f>IF(M11=0,AVERAGEIF($C$11:$AD$11,"&lt;&gt;0")/(Legend!$B$86*10^3),M11/(Legend!$B$86*10^3))*10^-6</f>
        <v>7.9894013297060508E-3</v>
      </c>
      <c r="N12" s="173">
        <f>IF(N11=0,AVERAGEIF($C$11:$AD$11,"&lt;&gt;0")/(Legend!$B$86*10^3),N11/(Legend!$B$86*10^3))*10^-6</f>
        <v>4.643979791308866E-3</v>
      </c>
      <c r="O12" s="173">
        <f>IF(O11=0,AVERAGEIF($C$11:$AD$11,"&lt;&gt;0")/(Legend!$B$86*10^3),O11/(Legend!$B$86*10^3))*10^-6</f>
        <v>1.020879055327506E-3</v>
      </c>
      <c r="P12" s="173">
        <f>IF(P11=0,AVERAGEIF($C$11:$AD$11,"&lt;&gt;0")/(Legend!$B$86*10^3),P11/(Legend!$B$86*10^3))*10^-6</f>
        <v>6.358333333333333E-3</v>
      </c>
      <c r="Q12" s="173">
        <f>IF(Q11=0,AVERAGEIF($C$11:$AD$11,"&lt;&gt;0")/(Legend!$B$86*10^3),Q11/(Legend!$B$86*10^3))*10^-6</f>
        <v>1.7906497024849292E-3</v>
      </c>
      <c r="R12" s="173">
        <f>IF(R11=0,AVERAGEIF($C$11:$AD$11,"&lt;&gt;0")/(Legend!$B$86*10^3),R11/(Legend!$B$86*10^3))*10^-6</f>
        <v>3.2379358270311566E-3</v>
      </c>
      <c r="S12" s="173">
        <f>IF(S11=0,AVERAGEIF($C$11:$AD$11,"&lt;&gt;0")/(Legend!$B$86*10^3),S11/(Legend!$B$86*10^3))*10^-6</f>
        <v>1.2689442417549949E-3</v>
      </c>
      <c r="T12" s="173">
        <f>IF(T11=0,AVERAGEIF($C$11:$AD$11,"&lt;&gt;0")/(Legend!$B$86*10^3),T11/(Legend!$B$86*10^3))*10^-6</f>
        <v>2.149151085321298E-3</v>
      </c>
      <c r="U12" s="173">
        <f>IF(U11=0,AVERAGEIF($C$11:$AD$11,"&lt;&gt;0")/(Legend!$B$86*10^3),U11/(Legend!$B$86*10^3))*10^-6</f>
        <v>3.5114028597159619E-3</v>
      </c>
      <c r="V12" s="173">
        <f>IF(V11=0,AVERAGEIF($C$11:$AD$11,"&lt;&gt;0")/(Legend!$B$86*10^3),V11/(Legend!$B$86*10^3))*10^-6</f>
        <v>7.9894013297060508E-3</v>
      </c>
      <c r="W12" s="173">
        <f>IF(W11=0,AVERAGEIF($C$11:$AD$11,"&lt;&gt;0")/(Legend!$B$86*10^3),W11/(Legend!$B$86*10^3))*10^-6</f>
        <v>9.3362485769430802E-3</v>
      </c>
      <c r="X12" s="173">
        <f>IF(X11=0,AVERAGEIF($C$11:$AD$11,"&lt;&gt;0")/(Legend!$B$86*10^3),X11/(Legend!$B$86*10^3))*10^-6</f>
        <v>7.2930568359219437E-3</v>
      </c>
      <c r="Y12" s="173">
        <f>IF(Y11=0,AVERAGEIF($C$11:$AD$11,"&lt;&gt;0")/(Legend!$B$86*10^3),Y11/(Legend!$B$86*10^3))*10^-6</f>
        <v>1.0633730558689228E-2</v>
      </c>
      <c r="Z12" s="173">
        <f>IF(Z11=0,AVERAGEIF($C$11:$AD$11,"&lt;&gt;0")/(Legend!$B$86*10^3),Z11/(Legend!$B$86*10^3))*10^-6</f>
        <v>6.0853146891578927E-3</v>
      </c>
      <c r="AA12" s="173">
        <f>IF(AA11=0,AVERAGEIF($C$11:$AD$11,"&lt;&gt;0")/(Legend!$B$86*10^3),AA11/(Legend!$B$86*10^3))*10^-6</f>
        <v>1.2467601118614009E-2</v>
      </c>
      <c r="AB12" s="173">
        <f>IF(AB11=0,AVERAGEIF($C$11:$AD$11,"&lt;&gt;0")/(Legend!$B$86*10^3),AB11/(Legend!$B$86*10^3))*10^-6</f>
        <v>1.1559407080429374E-2</v>
      </c>
      <c r="AC12" s="173">
        <f>IF(AC11=0,AVERAGEIF($C$11:$AD$11,"&lt;&gt;0")/(Legend!$B$86*10^3),AC11/(Legend!$B$86*10^3))*10^-6</f>
        <v>7.9894013297060508E-3</v>
      </c>
      <c r="AD12" s="173">
        <f>IF(AD11=0,AVERAGEIF($C$11:$AD$11,"&lt;&gt;0")/(Legend!$B$86*10^3),AD11/(Legend!$B$86*10^3))*10^-6</f>
        <v>2.8784562281793063E-3</v>
      </c>
    </row>
    <row r="14" spans="1:30">
      <c r="A14" s="345" t="s">
        <v>873</v>
      </c>
    </row>
    <row r="16" spans="1:30">
      <c r="C16" t="s">
        <v>172</v>
      </c>
      <c r="D16" t="s">
        <v>175</v>
      </c>
      <c r="E16" t="s">
        <v>178</v>
      </c>
      <c r="F16" t="s">
        <v>181</v>
      </c>
      <c r="G16" t="s">
        <v>184</v>
      </c>
      <c r="H16" t="s">
        <v>187</v>
      </c>
      <c r="I16" t="s">
        <v>190</v>
      </c>
      <c r="J16" t="s">
        <v>193</v>
      </c>
      <c r="K16" t="s">
        <v>196</v>
      </c>
      <c r="L16" t="s">
        <v>198</v>
      </c>
      <c r="M16" t="s">
        <v>200</v>
      </c>
      <c r="N16" t="s">
        <v>202</v>
      </c>
      <c r="O16" t="s">
        <v>205</v>
      </c>
      <c r="P16" t="s">
        <v>208</v>
      </c>
      <c r="Q16" t="s">
        <v>211</v>
      </c>
      <c r="R16" t="s">
        <v>214</v>
      </c>
      <c r="S16" t="s">
        <v>217</v>
      </c>
      <c r="T16" t="s">
        <v>220</v>
      </c>
      <c r="U16" t="s">
        <v>223</v>
      </c>
      <c r="V16" t="s">
        <v>225</v>
      </c>
      <c r="W16" t="s">
        <v>227</v>
      </c>
      <c r="X16" t="s">
        <v>230</v>
      </c>
      <c r="Y16" t="s">
        <v>233</v>
      </c>
      <c r="Z16" t="s">
        <v>236</v>
      </c>
      <c r="AA16" t="s">
        <v>238</v>
      </c>
      <c r="AB16" t="s">
        <v>240</v>
      </c>
      <c r="AC16" t="s">
        <v>243</v>
      </c>
      <c r="AD16" t="s">
        <v>245</v>
      </c>
    </row>
    <row r="17" spans="1:30">
      <c r="A17" t="s">
        <v>870</v>
      </c>
      <c r="B17" t="s">
        <v>874</v>
      </c>
      <c r="C17" s="173">
        <f>IFERROR(SUMIFS('GEM(2024)_NGL'!$B:$B,'GEM(2024)_NGL'!$A:$A,C$16),0)</f>
        <v>0</v>
      </c>
      <c r="D17" s="173">
        <f>IFERROR(SUMIFS('GEM(2024)_NGL'!$B:$B,'GEM(2024)_NGL'!$A:$A,D$16),0)</f>
        <v>0</v>
      </c>
      <c r="E17" s="173">
        <f>IFERROR(SUMIFS('GEM(2024)_NGL'!$B:$B,'GEM(2024)_NGL'!$A:$A,E$16),0)</f>
        <v>0</v>
      </c>
      <c r="F17" s="173">
        <f>IFERROR(SUMIFS('GEM(2024)_NGL'!$B:$B,'GEM(2024)_NGL'!$A:$A,F$16),0)</f>
        <v>0</v>
      </c>
      <c r="G17" s="173">
        <f>IFERROR(SUMIFS('GEM(2024)_NGL'!$B:$B,'GEM(2024)_NGL'!$A:$A,G$16),0)</f>
        <v>26305.43584543512</v>
      </c>
      <c r="H17" s="173">
        <f>IFERROR(SUMIFS('GEM(2024)_NGL'!$B:$B,'GEM(2024)_NGL'!$A:$A,H$16),0)</f>
        <v>471.74553006171658</v>
      </c>
      <c r="I17" s="173">
        <f>IFERROR(SUMIFS('GEM(2024)_NGL'!$B:$B,'GEM(2024)_NGL'!$A:$A,I$16),0)</f>
        <v>0</v>
      </c>
      <c r="J17" s="173">
        <f>IFERROR(SUMIFS('GEM(2024)_NGL'!$B:$B,'GEM(2024)_NGL'!$A:$A,J$16),0)</f>
        <v>0</v>
      </c>
      <c r="K17" s="173">
        <f>IFERROR(SUMIFS('GEM(2024)_NGL'!$B:$B,'GEM(2024)_NGL'!$A:$A,K$16),0)</f>
        <v>0</v>
      </c>
      <c r="L17" s="173">
        <f>IFERROR(SUMIFS('GEM(2024)_NGL'!$B:$B,'GEM(2024)_NGL'!$A:$A,L$16),0)</f>
        <v>2477.8697136853166</v>
      </c>
      <c r="M17" s="173">
        <f>IFERROR(SUMIFS('GEM(2024)_NGL'!$B:$B,'GEM(2024)_NGL'!$A:$A,M$16),0)</f>
        <v>0</v>
      </c>
      <c r="N17" s="173">
        <f>IFERROR(SUMIFS('GEM(2024)_NGL'!$B:$B,'GEM(2024)_NGL'!$A:$A,N$16),0)</f>
        <v>3303.8907880279257</v>
      </c>
      <c r="O17" s="173">
        <f>IFERROR(SUMIFS('GEM(2024)_NGL'!$B:$B,'GEM(2024)_NGL'!$A:$A,O$16),0)</f>
        <v>0</v>
      </c>
      <c r="P17" s="173">
        <f>IFERROR(SUMIFS('GEM(2024)_NGL'!$B:$B,'GEM(2024)_NGL'!$A:$A,P$16),0)</f>
        <v>0</v>
      </c>
      <c r="Q17" s="173">
        <f>IFERROR(SUMIFS('GEM(2024)_NGL'!$B:$B,'GEM(2024)_NGL'!$A:$A,Q$16),0)</f>
        <v>0</v>
      </c>
      <c r="R17" s="173">
        <f>IFERROR(SUMIFS('GEM(2024)_NGL'!$B:$B,'GEM(2024)_NGL'!$A:$A,R$16),0)</f>
        <v>0</v>
      </c>
      <c r="S17" s="173">
        <f>IFERROR(SUMIFS('GEM(2024)_NGL'!$B:$B,'GEM(2024)_NGL'!$A:$A,S$16),0)</f>
        <v>0</v>
      </c>
      <c r="T17" s="173">
        <f>IFERROR(SUMIFS('GEM(2024)_NGL'!$B:$B,'GEM(2024)_NGL'!$A:$A,T$16),0)</f>
        <v>0</v>
      </c>
      <c r="U17" s="173">
        <f>IFERROR(SUMIFS('GEM(2024)_NGL'!$B:$B,'GEM(2024)_NGL'!$A:$A,U$16),0)</f>
        <v>0</v>
      </c>
      <c r="V17" s="173">
        <f>IFERROR(SUMIFS('GEM(2024)_NGL'!$B:$B,'GEM(2024)_NGL'!$A:$A,V$16),0)</f>
        <v>0</v>
      </c>
      <c r="W17" s="173">
        <f>IFERROR(SUMIFS('GEM(2024)_NGL'!$B:$B,'GEM(2024)_NGL'!$A:$A,W$16),0)</f>
        <v>18338.808152072939</v>
      </c>
      <c r="X17" s="173">
        <f>IFERROR(SUMIFS('GEM(2024)_NGL'!$B:$B,'GEM(2024)_NGL'!$A:$A,X$16),0)</f>
        <v>0</v>
      </c>
      <c r="Y17" s="173">
        <f>IFERROR(SUMIFS('GEM(2024)_NGL'!$B:$B,'GEM(2024)_NGL'!$A:$A,Y$16),0)</f>
        <v>0</v>
      </c>
      <c r="Z17" s="173">
        <f>IFERROR(SUMIFS('GEM(2024)_NGL'!$B:$B,'GEM(2024)_NGL'!$A:$A,Z$16),0)</f>
        <v>0</v>
      </c>
      <c r="AA17" s="173">
        <f>IFERROR(SUMIFS('GEM(2024)_NGL'!$B:$B,'GEM(2024)_NGL'!$A:$A,AA$16),0)</f>
        <v>0</v>
      </c>
      <c r="AB17" s="173">
        <f>IFERROR(SUMIFS('GEM(2024)_NGL'!$B:$B,'GEM(2024)_NGL'!$A:$A,AB$16),0)</f>
        <v>3529.9463372678861</v>
      </c>
      <c r="AC17" s="173">
        <f>IFERROR(SUMIFS('GEM(2024)_NGL'!$B:$B,'GEM(2024)_NGL'!$A:$A,AC$16),0)</f>
        <v>0</v>
      </c>
      <c r="AD17" s="173">
        <f>IFERROR(SUMIFS('GEM(2024)_NGL'!$B:$B,'GEM(2024)_NGL'!$A:$A,AD$16),0)</f>
        <v>5150.0851121043434</v>
      </c>
    </row>
    <row r="18" spans="1:30">
      <c r="A18" t="s">
        <v>870</v>
      </c>
      <c r="B18" t="s">
        <v>872</v>
      </c>
      <c r="C18" s="173">
        <f>IF(C17=0,AVERAGEIF($C$17:$AD$17,"&lt;&gt;0")/(Legend!$B$82*Legend!$B$84*365*10^-3),C17/(Legend!$B$82*Legend!$B$84*365*10^-3))*10^-6</f>
        <v>3.8107720349183616E-3</v>
      </c>
      <c r="D18" s="173">
        <f>IF(D17=0,AVERAGEIF($C$17:$AD$17,"&lt;&gt;0")/(Legend!$B$82*Legend!$B$84*365*10^-3),D17/(Legend!$B$82*Legend!$B$84*365*10^-3))*10^-6</f>
        <v>3.8107720349183616E-3</v>
      </c>
      <c r="E18" s="173">
        <f>IF(E17=0,AVERAGEIF($C$17:$AD$17,"&lt;&gt;0")/(Legend!$B$82*Legend!$B$84*365*10^-3),E17/(Legend!$B$82*Legend!$B$84*365*10^-3))*10^-6</f>
        <v>3.8107720349183616E-3</v>
      </c>
      <c r="F18" s="173">
        <f>IF(F17=0,AVERAGEIF($C$17:$AD$17,"&lt;&gt;0")/(Legend!$B$82*Legend!$B$84*365*10^-3),F17/(Legend!$B$82*Legend!$B$84*365*10^-3))*10^-6</f>
        <v>3.8107720349183616E-3</v>
      </c>
      <c r="G18" s="173">
        <f>IF(G17=0,AVERAGEIF($C$17:$AD$17,"&lt;&gt;0")/(Legend!$B$82*Legend!$B$84*365*10^-3),G17/(Legend!$B$82*Legend!$B$84*365*10^-3))*10^-6</f>
        <v>1.1778017200158107E-2</v>
      </c>
      <c r="H18" s="173">
        <f>IF(H17=0,AVERAGEIF($C$17:$AD$17,"&lt;&gt;0")/(Legend!$B$82*Legend!$B$84*365*10^-3),H17/(Legend!$B$82*Legend!$B$84*365*10^-3))*10^-6</f>
        <v>2.1121972659231925E-4</v>
      </c>
      <c r="I18" s="173">
        <f>IF(I17=0,AVERAGEIF($C$17:$AD$17,"&lt;&gt;0")/(Legend!$B$82*Legend!$B$84*365*10^-3),I17/(Legend!$B$82*Legend!$B$84*365*10^-3))*10^-6</f>
        <v>3.8107720349183616E-3</v>
      </c>
      <c r="J18" s="173">
        <f>IF(J17=0,AVERAGEIF($C$17:$AD$17,"&lt;&gt;0")/(Legend!$B$82*Legend!$B$84*365*10^-3),J17/(Legend!$B$82*Legend!$B$84*365*10^-3))*10^-6</f>
        <v>3.8107720349183616E-3</v>
      </c>
      <c r="K18" s="173">
        <f>IF(K17=0,AVERAGEIF($C$17:$AD$17,"&lt;&gt;0")/(Legend!$B$82*Legend!$B$84*365*10^-3),K17/(Legend!$B$82*Legend!$B$84*365*10^-3))*10^-6</f>
        <v>3.8107720349183616E-3</v>
      </c>
      <c r="L18" s="173">
        <f>IF(L17=0,AVERAGEIF($C$17:$AD$17,"&lt;&gt;0")/(Legend!$B$82*Legend!$B$84*365*10^-3),L17/(Legend!$B$82*Legend!$B$84*365*10^-3))*10^-6</f>
        <v>1.1094433971372869E-3</v>
      </c>
      <c r="M18" s="173">
        <f>IF(M17=0,AVERAGEIF($C$17:$AD$17,"&lt;&gt;0")/(Legend!$B$82*Legend!$B$84*365*10^-3),M17/(Legend!$B$82*Legend!$B$84*365*10^-3))*10^-6</f>
        <v>3.8107720349183616E-3</v>
      </c>
      <c r="N18" s="173">
        <f>IF(N17=0,AVERAGEIF($C$17:$AD$17,"&lt;&gt;0")/(Legend!$B$82*Legend!$B$84*365*10^-3),N17/(Legend!$B$82*Legend!$B$84*365*10^-3))*10^-6</f>
        <v>1.4792867435264182E-3</v>
      </c>
      <c r="O18" s="173">
        <f>IF(O17=0,AVERAGEIF($C$17:$AD$17,"&lt;&gt;0")/(Legend!$B$82*Legend!$B$84*365*10^-3),O17/(Legend!$B$82*Legend!$B$84*365*10^-3))*10^-6</f>
        <v>3.8107720349183616E-3</v>
      </c>
      <c r="P18" s="173">
        <f>IF(P17=0,AVERAGEIF($C$17:$AD$17,"&lt;&gt;0")/(Legend!$B$82*Legend!$B$84*365*10^-3),P17/(Legend!$B$82*Legend!$B$84*365*10^-3))*10^-6</f>
        <v>3.8107720349183616E-3</v>
      </c>
      <c r="Q18" s="173">
        <f>IF(Q17=0,AVERAGEIF($C$17:$AD$17,"&lt;&gt;0")/(Legend!$B$82*Legend!$B$84*365*10^-3),Q17/(Legend!$B$82*Legend!$B$84*365*10^-3))*10^-6</f>
        <v>3.8107720349183616E-3</v>
      </c>
      <c r="R18" s="173">
        <f>IF(R17=0,AVERAGEIF($C$17:$AD$17,"&lt;&gt;0")/(Legend!$B$82*Legend!$B$84*365*10^-3),R17/(Legend!$B$82*Legend!$B$84*365*10^-3))*10^-6</f>
        <v>3.8107720349183616E-3</v>
      </c>
      <c r="S18" s="173">
        <f>IF(S17=0,AVERAGEIF($C$17:$AD$17,"&lt;&gt;0")/(Legend!$B$82*Legend!$B$84*365*10^-3),S17/(Legend!$B$82*Legend!$B$84*365*10^-3))*10^-6</f>
        <v>3.8107720349183616E-3</v>
      </c>
      <c r="T18" s="173">
        <f>IF(T17=0,AVERAGEIF($C$17:$AD$17,"&lt;&gt;0")/(Legend!$B$82*Legend!$B$84*365*10^-3),T17/(Legend!$B$82*Legend!$B$84*365*10^-3))*10^-6</f>
        <v>3.8107720349183616E-3</v>
      </c>
      <c r="U18" s="173">
        <f>IF(U17=0,AVERAGEIF($C$17:$AD$17,"&lt;&gt;0")/(Legend!$B$82*Legend!$B$84*365*10^-3),U17/(Legend!$B$82*Legend!$B$84*365*10^-3))*10^-6</f>
        <v>3.8107720349183616E-3</v>
      </c>
      <c r="V18" s="173">
        <f>IF(V17=0,AVERAGEIF($C$17:$AD$17,"&lt;&gt;0")/(Legend!$B$82*Legend!$B$84*365*10^-3),V17/(Legend!$B$82*Legend!$B$84*365*10^-3))*10^-6</f>
        <v>3.8107720349183616E-3</v>
      </c>
      <c r="W18" s="173">
        <f>IF(W17=0,AVERAGEIF($C$17:$AD$17,"&lt;&gt;0")/(Legend!$B$82*Legend!$B$84*365*10^-3),W17/(Legend!$B$82*Legend!$B$84*365*10^-3))*10^-6</f>
        <v>8.2110328494327967E-3</v>
      </c>
      <c r="X18" s="173">
        <f>IF(X17=0,AVERAGEIF($C$17:$AD$17,"&lt;&gt;0")/(Legend!$B$82*Legend!$B$84*365*10^-3),X17/(Legend!$B$82*Legend!$B$84*365*10^-3))*10^-6</f>
        <v>3.8107720349183616E-3</v>
      </c>
      <c r="Y18" s="173">
        <f>IF(Y17=0,AVERAGEIF($C$17:$AD$17,"&lt;&gt;0")/(Legend!$B$82*Legend!$B$84*365*10^-3),Y17/(Legend!$B$82*Legend!$B$84*365*10^-3))*10^-6</f>
        <v>3.8107720349183616E-3</v>
      </c>
      <c r="Z18" s="173">
        <f>IF(Z17=0,AVERAGEIF($C$17:$AD$17,"&lt;&gt;0")/(Legend!$B$82*Legend!$B$84*365*10^-3),Z17/(Legend!$B$82*Legend!$B$84*365*10^-3))*10^-6</f>
        <v>3.8107720349183616E-3</v>
      </c>
      <c r="AA18" s="173">
        <f>IF(AA17=0,AVERAGEIF($C$17:$AD$17,"&lt;&gt;0")/(Legend!$B$82*Legend!$B$84*365*10^-3),AA17/(Legend!$B$82*Legend!$B$84*365*10^-3))*10^-6</f>
        <v>3.8107720349183616E-3</v>
      </c>
      <c r="AB18" s="173">
        <f>IF(AB17=0,AVERAGEIF($C$17:$AD$17,"&lt;&gt;0")/(Legend!$B$82*Legend!$B$84*365*10^-3),AB17/(Legend!$B$82*Legend!$B$84*365*10^-3))*10^-6</f>
        <v>1.5805010386547565E-3</v>
      </c>
      <c r="AC18" s="173">
        <f>IF(AC17=0,AVERAGEIF($C$17:$AD$17,"&lt;&gt;0")/(Legend!$B$82*Legend!$B$84*365*10^-3),AC17/(Legend!$B$82*Legend!$B$84*365*10^-3))*10^-6</f>
        <v>3.8107720349183616E-3</v>
      </c>
      <c r="AD18" s="173">
        <f>IF(AD17=0,AVERAGEIF($C$17:$AD$17,"&lt;&gt;0")/(Legend!$B$82*Legend!$B$84*365*10^-3),AD17/(Legend!$B$82*Legend!$B$84*365*10^-3))*10^-6</f>
        <v>2.3059032889268518E-3</v>
      </c>
    </row>
    <row r="20" spans="1:30">
      <c r="A20" s="345" t="s">
        <v>875</v>
      </c>
    </row>
    <row r="22" spans="1:30">
      <c r="C22" t="s">
        <v>172</v>
      </c>
      <c r="D22" t="s">
        <v>175</v>
      </c>
      <c r="E22" t="s">
        <v>178</v>
      </c>
      <c r="F22" t="s">
        <v>181</v>
      </c>
      <c r="G22" t="s">
        <v>184</v>
      </c>
      <c r="H22" t="s">
        <v>187</v>
      </c>
      <c r="I22" t="s">
        <v>190</v>
      </c>
      <c r="J22" t="s">
        <v>193</v>
      </c>
      <c r="K22" t="s">
        <v>196</v>
      </c>
      <c r="L22" t="s">
        <v>198</v>
      </c>
      <c r="M22" t="s">
        <v>200</v>
      </c>
      <c r="N22" t="s">
        <v>202</v>
      </c>
      <c r="O22" t="s">
        <v>205</v>
      </c>
      <c r="P22" t="s">
        <v>208</v>
      </c>
      <c r="Q22" t="s">
        <v>211</v>
      </c>
      <c r="R22" t="s">
        <v>214</v>
      </c>
      <c r="S22" t="s">
        <v>217</v>
      </c>
      <c r="T22" t="s">
        <v>220</v>
      </c>
      <c r="U22" t="s">
        <v>223</v>
      </c>
      <c r="V22" t="s">
        <v>225</v>
      </c>
      <c r="W22" t="s">
        <v>227</v>
      </c>
      <c r="X22" t="s">
        <v>230</v>
      </c>
      <c r="Y22" t="s">
        <v>233</v>
      </c>
      <c r="Z22" t="s">
        <v>236</v>
      </c>
      <c r="AA22" t="s">
        <v>238</v>
      </c>
      <c r="AB22" t="s">
        <v>240</v>
      </c>
      <c r="AC22" t="s">
        <v>243</v>
      </c>
      <c r="AD22" t="s">
        <v>245</v>
      </c>
    </row>
    <row r="23" spans="1:30">
      <c r="A23" t="s">
        <v>870</v>
      </c>
      <c r="B23" t="s">
        <v>874</v>
      </c>
      <c r="C23" s="173">
        <f>IFERROR(SUMIFS('GEM(2024)_OIL'!$C:$C,'GEM(2024)_OIL'!$A:$A,C$10),0)</f>
        <v>44388.235759507108</v>
      </c>
      <c r="D23" s="173">
        <f>IFERROR(SUMIFS('GEM(2024)_OIL'!$C:$C,'GEM(2024)_OIL'!$A:$A,D$10),0)</f>
        <v>1344.7069606063681</v>
      </c>
      <c r="E23" s="173">
        <f>IFERROR(SUMIFS('GEM(2024)_OIL'!$C:$C,'GEM(2024)_OIL'!$A:$A,E$10),0)</f>
        <v>48222.222222222226</v>
      </c>
      <c r="F23" s="173">
        <f>IFERROR(SUMIFS('GEM(2024)_OIL'!$C:$C,'GEM(2024)_OIL'!$A:$A,F$10),0)</f>
        <v>0</v>
      </c>
      <c r="G23" s="173">
        <f>IFERROR(SUMIFS('GEM(2024)_OIL'!$C:$C,'GEM(2024)_OIL'!$A:$A,G$10),0)</f>
        <v>9716.7400472611989</v>
      </c>
      <c r="H23" s="173">
        <f>IFERROR(SUMIFS('GEM(2024)_OIL'!$C:$C,'GEM(2024)_OIL'!$A:$A,H$10),0)</f>
        <v>1415.4474805433865</v>
      </c>
      <c r="I23" s="173">
        <f>IFERROR(SUMIFS('GEM(2024)_OIL'!$C:$C,'GEM(2024)_OIL'!$A:$A,I$10),0)</f>
        <v>3393.6651583710409</v>
      </c>
      <c r="J23" s="173">
        <f>IFERROR(SUMIFS('GEM(2024)_OIL'!$C:$C,'GEM(2024)_OIL'!$A:$A,J$10),0)</f>
        <v>0</v>
      </c>
      <c r="K23" s="173">
        <f>IFERROR(SUMIFS('GEM(2024)_OIL'!$C:$C,'GEM(2024)_OIL'!$A:$A,K$10),0)</f>
        <v>0</v>
      </c>
      <c r="L23" s="173">
        <f>IFERROR(SUMIFS('GEM(2024)_OIL'!$C:$C,'GEM(2024)_OIL'!$A:$A,L$10),0)</f>
        <v>15965.826488011531</v>
      </c>
      <c r="M23" s="173">
        <f>IFERROR(SUMIFS('GEM(2024)_OIL'!$C:$C,'GEM(2024)_OIL'!$A:$A,M$10),0)</f>
        <v>0</v>
      </c>
      <c r="N23" s="173">
        <f>IFERROR(SUMIFS('GEM(2024)_OIL'!$C:$C,'GEM(2024)_OIL'!$A:$A,N$10),0)</f>
        <v>1496.8564190248417</v>
      </c>
      <c r="O23" s="173">
        <f>IFERROR(SUMIFS('GEM(2024)_OIL'!$C:$C,'GEM(2024)_OIL'!$A:$A,O$10),0)</f>
        <v>9224.0373287264229</v>
      </c>
      <c r="P23" s="173">
        <f>IFERROR(SUMIFS('GEM(2024)_OIL'!$C:$C,'GEM(2024)_OIL'!$A:$A,P$10),0)</f>
        <v>0</v>
      </c>
      <c r="Q23" s="173">
        <f>IFERROR(SUMIFS('GEM(2024)_OIL'!$C:$C,'GEM(2024)_OIL'!$A:$A,Q$10),0)</f>
        <v>1276.7811070292194</v>
      </c>
      <c r="R23" s="173">
        <f>IFERROR(SUMIFS('GEM(2024)_OIL'!$C:$C,'GEM(2024)_OIL'!$A:$A,R$10),0)</f>
        <v>0</v>
      </c>
      <c r="S23" s="173">
        <f>IFERROR(SUMIFS('GEM(2024)_OIL'!$C:$C,'GEM(2024)_OIL'!$A:$A,S$10),0)</f>
        <v>298.77216590698862</v>
      </c>
      <c r="T23" s="173">
        <f>IFERROR(SUMIFS('GEM(2024)_OIL'!$C:$C,'GEM(2024)_OIL'!$A:$A,T$10),0)</f>
        <v>6179.7619047619046</v>
      </c>
      <c r="U23" s="173">
        <f>IFERROR(SUMIFS('GEM(2024)_OIL'!$C:$C,'GEM(2024)_OIL'!$A:$A,U$10),0)</f>
        <v>1785.3628746569163</v>
      </c>
      <c r="V23" s="173">
        <f>IFERROR(SUMIFS('GEM(2024)_OIL'!$C:$C,'GEM(2024)_OIL'!$A:$A,V$10),0)</f>
        <v>0</v>
      </c>
      <c r="W23" s="173">
        <f>IFERROR(SUMIFS('GEM(2024)_OIL'!$C:$C,'GEM(2024)_OIL'!$A:$A,W$10),0)</f>
        <v>3735.6688417110731</v>
      </c>
      <c r="X23" s="173">
        <f>IFERROR(SUMIFS('GEM(2024)_OIL'!$C:$C,'GEM(2024)_OIL'!$A:$A,X$10),0)</f>
        <v>0</v>
      </c>
      <c r="Y23" s="173">
        <f>IFERROR(SUMIFS('GEM(2024)_OIL'!$C:$C,'GEM(2024)_OIL'!$A:$A,Y$10),0)</f>
        <v>3818.7200252086614</v>
      </c>
      <c r="Z23" s="173">
        <f>IFERROR(SUMIFS('GEM(2024)_OIL'!$C:$C,'GEM(2024)_OIL'!$A:$A,Z$10),0)</f>
        <v>0</v>
      </c>
      <c r="AA23" s="173">
        <f>IFERROR(SUMIFS('GEM(2024)_OIL'!$C:$C,'GEM(2024)_OIL'!$A:$A,AA$10),0)</f>
        <v>7333.333333333333</v>
      </c>
      <c r="AB23" s="173">
        <f>IFERROR(SUMIFS('GEM(2024)_OIL'!$C:$C,'GEM(2024)_OIL'!$A:$A,AB$10),0)</f>
        <v>3956.115944569277</v>
      </c>
      <c r="AC23" s="173">
        <f>IFERROR(SUMIFS('GEM(2024)_OIL'!$C:$C,'GEM(2024)_OIL'!$A:$A,AC$10),0)</f>
        <v>0</v>
      </c>
      <c r="AD23" s="173">
        <f>IFERROR(SUMIFS('GEM(2024)_OIL'!$C:$C,'GEM(2024)_OIL'!$A:$A,AD$10),0)</f>
        <v>3030.3786383566894</v>
      </c>
    </row>
    <row r="24" spans="1:30">
      <c r="A24" t="s">
        <v>870</v>
      </c>
      <c r="B24" t="s">
        <v>872</v>
      </c>
      <c r="C24" s="173">
        <f>IF(C23=0,AVERAGEIF($C$23:$AD$23,"&lt;&gt;0")/(Legend!$B$82*Legend!$B$84*365*10^-3),C23/(Legend!$B$82*Legend!$B$84*365*10^-3))*10^-6</f>
        <v>1.9874424713281158E-2</v>
      </c>
      <c r="D24" s="173">
        <f>IF(D23=0,AVERAGEIF($C$23:$AD$23,"&lt;&gt;0")/(Legend!$B$82*Legend!$B$84*365*10^-3),D23/(Legend!$B$82*Legend!$B$84*365*10^-3))*10^-6</f>
        <v>6.0208018617348077E-4</v>
      </c>
      <c r="E24" s="173">
        <f>IF(E23=0,AVERAGEIF($C$23:$AD$23,"&lt;&gt;0")/(Legend!$B$82*Legend!$B$84*365*10^-3),E23/(Legend!$B$82*Legend!$B$84*365*10^-3))*10^-6</f>
        <v>2.1591056924523087E-2</v>
      </c>
      <c r="F24" s="173">
        <f>IF(F23=0,AVERAGEIF($C$23:$AD$23,"&lt;&gt;0")/(Legend!$B$82*Legend!$B$84*365*10^-3),F23/(Legend!$B$82*Legend!$B$84*365*10^-3))*10^-6</f>
        <v>4.1436579553669117E-3</v>
      </c>
      <c r="G24" s="173">
        <f>IF(G23=0,AVERAGEIF($C$23:$AD$23,"&lt;&gt;0")/(Legend!$B$82*Legend!$B$84*365*10^-3),G23/(Legend!$B$82*Legend!$B$84*365*10^-3))*10^-6</f>
        <v>4.3505810767992797E-3</v>
      </c>
      <c r="H24" s="173">
        <f>IF(H23=0,AVERAGEIF($C$23:$AD$23,"&lt;&gt;0")/(Legend!$B$82*Legend!$B$84*365*10^-3),H23/(Legend!$B$82*Legend!$B$84*365*10^-3))*10^-6</f>
        <v>6.3375360399715527E-4</v>
      </c>
      <c r="I24" s="173">
        <f>IF(I23=0,AVERAGEIF($C$23:$AD$23,"&lt;&gt;0")/(Legend!$B$82*Legend!$B$84*365*10^-3),I23/(Legend!$B$82*Legend!$B$84*365*10^-3))*10^-6</f>
        <v>1.5194823929825766E-3</v>
      </c>
      <c r="J24" s="173">
        <f>IF(J23=0,AVERAGEIF($C$23:$AD$23,"&lt;&gt;0")/(Legend!$B$82*Legend!$B$84*365*10^-3),J23/(Legend!$B$82*Legend!$B$84*365*10^-3))*10^-6</f>
        <v>4.1436579553669117E-3</v>
      </c>
      <c r="K24" s="173">
        <f>IF(K23=0,AVERAGEIF($C$23:$AD$23,"&lt;&gt;0")/(Legend!$B$82*Legend!$B$84*365*10^-3),K23/(Legend!$B$82*Legend!$B$84*365*10^-3))*10^-6</f>
        <v>4.1436579553669117E-3</v>
      </c>
      <c r="L24" s="173">
        <f>IF(L23=0,AVERAGEIF($C$23:$AD$23,"&lt;&gt;0")/(Legend!$B$82*Legend!$B$84*365*10^-3),L23/(Legend!$B$82*Legend!$B$84*365*10^-3))*10^-6</f>
        <v>7.1485521127821177E-3</v>
      </c>
      <c r="M24" s="173">
        <f>IF(M23=0,AVERAGEIF($C$23:$AD$23,"&lt;&gt;0")/(Legend!$B$82*Legend!$B$84*365*10^-3),M23/(Legend!$B$82*Legend!$B$84*365*10^-3))*10^-6</f>
        <v>4.1436579553669117E-3</v>
      </c>
      <c r="N24" s="173">
        <f>IF(N23=0,AVERAGEIF($C$23:$AD$23,"&lt;&gt;0")/(Legend!$B$82*Legend!$B$84*365*10^-3),N23/(Legend!$B$82*Legend!$B$84*365*10^-3))*10^-6</f>
        <v>6.7020370820052597E-4</v>
      </c>
      <c r="O24" s="173">
        <f>IF(O23=0,AVERAGEIF($C$23:$AD$23,"&lt;&gt;0")/(Legend!$B$82*Legend!$B$84*365*10^-3),O23/(Legend!$B$82*Legend!$B$84*365*10^-3))*10^-6</f>
        <v>4.1299779616270106E-3</v>
      </c>
      <c r="P24" s="173">
        <f>IF(P23=0,AVERAGEIF($C$23:$AD$23,"&lt;&gt;0")/(Legend!$B$82*Legend!$B$84*365*10^-3),P23/(Legend!$B$82*Legend!$B$84*365*10^-3))*10^-6</f>
        <v>4.1436579553669117E-3</v>
      </c>
      <c r="Q24" s="173">
        <f>IF(Q23=0,AVERAGEIF($C$23:$AD$23,"&lt;&gt;0")/(Legend!$B$82*Legend!$B$84*365*10^-3),Q23/(Legend!$B$82*Legend!$B$84*365*10^-3))*10^-6</f>
        <v>5.7166700935071724E-4</v>
      </c>
      <c r="R24" s="173">
        <f>IF(R23=0,AVERAGEIF($C$23:$AD$23,"&lt;&gt;0")/(Legend!$B$82*Legend!$B$84*365*10^-3),R23/(Legend!$B$82*Legend!$B$84*365*10^-3))*10^-6</f>
        <v>4.1436579553669117E-3</v>
      </c>
      <c r="S24" s="173">
        <f>IF(S23=0,AVERAGEIF($C$23:$AD$23,"&lt;&gt;0")/(Legend!$B$82*Legend!$B$84*365*10^-3),S23/(Legend!$B$82*Legend!$B$84*365*10^-3))*10^-6</f>
        <v>1.3377249210610052E-4</v>
      </c>
      <c r="T24" s="173">
        <f>IF(T23=0,AVERAGEIF($C$23:$AD$23,"&lt;&gt;0")/(Legend!$B$82*Legend!$B$84*365*10^-3),T23/(Legend!$B$82*Legend!$B$84*365*10^-3))*10^-6</f>
        <v>2.7669316119618005E-3</v>
      </c>
      <c r="U24" s="173">
        <f>IF(U23=0,AVERAGEIF($C$23:$AD$23,"&lt;&gt;0")/(Legend!$B$82*Legend!$B$84*365*10^-3),U23/(Legend!$B$82*Legend!$B$84*365*10^-3))*10^-6</f>
        <v>7.9937982285444454E-4</v>
      </c>
      <c r="V24" s="173">
        <f>IF(V23=0,AVERAGEIF($C$23:$AD$23,"&lt;&gt;0")/(Legend!$B$82*Legend!$B$84*365*10^-3),V23/(Legend!$B$82*Legend!$B$84*365*10^-3))*10^-6</f>
        <v>4.1436579553669117E-3</v>
      </c>
      <c r="W24" s="173">
        <f>IF(W23=0,AVERAGEIF($C$23:$AD$23,"&lt;&gt;0")/(Legend!$B$82*Legend!$B$84*365*10^-3),W23/(Legend!$B$82*Legend!$B$84*365*10^-3))*10^-6</f>
        <v>1.6726113997994447E-3</v>
      </c>
      <c r="X24" s="173">
        <f>IF(X23=0,AVERAGEIF($C$23:$AD$23,"&lt;&gt;0")/(Legend!$B$82*Legend!$B$84*365*10^-3),X23/(Legend!$B$82*Legend!$B$84*365*10^-3))*10^-6</f>
        <v>4.1436579553669117E-3</v>
      </c>
      <c r="Y24" s="173">
        <f>IF(Y23=0,AVERAGEIF($C$23:$AD$23,"&lt;&gt;0")/(Legend!$B$82*Legend!$B$84*365*10^-3),Y23/(Legend!$B$82*Legend!$B$84*365*10^-3))*10^-6</f>
        <v>1.7097968041195114E-3</v>
      </c>
      <c r="Z24" s="173">
        <f>IF(Z23=0,AVERAGEIF($C$23:$AD$23,"&lt;&gt;0")/(Legend!$B$82*Legend!$B$84*365*10^-3),Z23/(Legend!$B$82*Legend!$B$84*365*10^-3))*10^-6</f>
        <v>4.1436579553669117E-3</v>
      </c>
      <c r="AA24" s="173">
        <f>IF(AA23=0,AVERAGEIF($C$23:$AD$23,"&lt;&gt;0")/(Legend!$B$82*Legend!$B$84*365*10^-3),AA23/(Legend!$B$82*Legend!$B$84*365*10^-3))*10^-6</f>
        <v>3.2834326198583493E-3</v>
      </c>
      <c r="AB24" s="173">
        <f>IF(AB23=0,AVERAGEIF($C$23:$AD$23,"&lt;&gt;0")/(Legend!$B$82*Legend!$B$84*365*10^-3),AB23/(Legend!$B$82*Legend!$B$84*365*10^-3))*10^-6</f>
        <v>1.7713145645918849E-3</v>
      </c>
      <c r="AC24" s="173">
        <f>IF(AC23=0,AVERAGEIF($C$23:$AD$23,"&lt;&gt;0")/(Legend!$B$82*Legend!$B$84*365*10^-3),AC23/(Legend!$B$82*Legend!$B$84*365*10^-3))*10^-6</f>
        <v>4.1436579553669117E-3</v>
      </c>
      <c r="AD24" s="173">
        <f>IF(AD23=0,AVERAGEIF($C$23:$AD$23,"&lt;&gt;0")/(Legend!$B$82*Legend!$B$84*365*10^-3),AD23/(Legend!$B$82*Legend!$B$84*365*10^-3))*10^-6</f>
        <v>1.3568241915957657E-3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BFE0-6D2B-4F80-A244-51F3065E3864}">
  <sheetPr>
    <tabColor theme="4" tint="0.39997558519241921"/>
  </sheetPr>
  <dimension ref="A1:AE41"/>
  <sheetViews>
    <sheetView workbookViewId="0">
      <selection activeCell="D20" sqref="D20:AE20"/>
    </sheetView>
  </sheetViews>
  <sheetFormatPr defaultColWidth="7.69921875" defaultRowHeight="15.6"/>
  <cols>
    <col min="1" max="1" width="9.3984375" style="59" bestFit="1" customWidth="1"/>
    <col min="2" max="2" width="25.09765625" style="59" bestFit="1" customWidth="1"/>
    <col min="3" max="3" width="4.5" style="59" bestFit="1" customWidth="1"/>
    <col min="4" max="4" width="8" style="59" bestFit="1" customWidth="1"/>
    <col min="5" max="7" width="9.5" style="59" bestFit="1" customWidth="1"/>
    <col min="8" max="8" width="10.5" style="59" bestFit="1" customWidth="1"/>
    <col min="9" max="10" width="9.5" style="59" bestFit="1" customWidth="1"/>
    <col min="11" max="11" width="7.3984375" style="59" bestFit="1" customWidth="1"/>
    <col min="12" max="13" width="9.5" style="59" bestFit="1" customWidth="1"/>
    <col min="14" max="14" width="7.3984375" style="59" bestFit="1" customWidth="1"/>
    <col min="15" max="15" width="9.8984375" style="59" bestFit="1" customWidth="1"/>
    <col min="16" max="16" width="8.8984375" style="59" bestFit="1" customWidth="1"/>
    <col min="17" max="17" width="9.5" style="59" bestFit="1" customWidth="1"/>
    <col min="18" max="18" width="8.8984375" style="59" bestFit="1" customWidth="1"/>
    <col min="19" max="19" width="9.5" style="59" bestFit="1" customWidth="1"/>
    <col min="20" max="20" width="9.8984375" style="59" bestFit="1" customWidth="1"/>
    <col min="21" max="21" width="10.5" style="59" bestFit="1" customWidth="1"/>
    <col min="22" max="22" width="9.5" style="59" bestFit="1" customWidth="1"/>
    <col min="23" max="23" width="8.8984375" style="59" bestFit="1" customWidth="1"/>
    <col min="24" max="24" width="9.5" style="59" bestFit="1" customWidth="1"/>
    <col min="25" max="25" width="8.8984375" style="59" bestFit="1" customWidth="1"/>
    <col min="26" max="26" width="10.5" style="59" bestFit="1" customWidth="1"/>
    <col min="27" max="28" width="9.5" style="59" bestFit="1" customWidth="1"/>
    <col min="29" max="29" width="10.5" style="59" bestFit="1" customWidth="1"/>
    <col min="30" max="30" width="9.5" style="59" bestFit="1" customWidth="1"/>
    <col min="31" max="31" width="9.8984375" style="59" bestFit="1" customWidth="1"/>
    <col min="32" max="32" width="7.69921875" style="59"/>
    <col min="33" max="33" width="14.59765625" style="59" bestFit="1" customWidth="1"/>
    <col min="34" max="16384" width="7.69921875" style="59"/>
  </cols>
  <sheetData>
    <row r="1" spans="1:31" ht="21">
      <c r="A1" s="586" t="s">
        <v>876</v>
      </c>
      <c r="B1" s="84"/>
      <c r="C1" s="84"/>
      <c r="D1" s="84"/>
    </row>
    <row r="2" spans="1:31" ht="21">
      <c r="A2" s="586"/>
      <c r="B2" s="84"/>
      <c r="C2" s="84"/>
      <c r="D2" s="84"/>
      <c r="S2" s="58"/>
      <c r="U2" s="58"/>
      <c r="Z2" s="58"/>
    </row>
    <row r="3" spans="1:31" ht="21">
      <c r="A3" s="85"/>
      <c r="B3" s="84"/>
      <c r="C3" s="84"/>
      <c r="D3" s="84"/>
    </row>
    <row r="4" spans="1:31">
      <c r="A4" s="86"/>
      <c r="B4" s="87"/>
      <c r="C4" s="88"/>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7"/>
    </row>
    <row r="5" spans="1:31">
      <c r="A5" s="90" t="s">
        <v>717</v>
      </c>
      <c r="B5" s="68" t="s">
        <v>718</v>
      </c>
      <c r="C5" s="68" t="s">
        <v>375</v>
      </c>
      <c r="D5" s="69" t="s">
        <v>172</v>
      </c>
      <c r="E5" s="69" t="s">
        <v>175</v>
      </c>
      <c r="F5" s="69" t="s">
        <v>178</v>
      </c>
      <c r="G5" s="69" t="s">
        <v>181</v>
      </c>
      <c r="H5" s="69" t="s">
        <v>184</v>
      </c>
      <c r="I5" s="69" t="s">
        <v>187</v>
      </c>
      <c r="J5" s="69" t="s">
        <v>190</v>
      </c>
      <c r="K5" s="69" t="s">
        <v>193</v>
      </c>
      <c r="L5" s="69" t="s">
        <v>196</v>
      </c>
      <c r="M5" s="69" t="s">
        <v>198</v>
      </c>
      <c r="N5" s="69" t="s">
        <v>200</v>
      </c>
      <c r="O5" s="69" t="s">
        <v>202</v>
      </c>
      <c r="P5" s="69" t="s">
        <v>205</v>
      </c>
      <c r="Q5" s="69" t="s">
        <v>208</v>
      </c>
      <c r="R5" s="69" t="s">
        <v>211</v>
      </c>
      <c r="S5" s="69" t="s">
        <v>214</v>
      </c>
      <c r="T5" s="69" t="s">
        <v>217</v>
      </c>
      <c r="U5" s="69" t="s">
        <v>220</v>
      </c>
      <c r="V5" s="69" t="s">
        <v>223</v>
      </c>
      <c r="W5" s="69" t="s">
        <v>225</v>
      </c>
      <c r="X5" s="69" t="s">
        <v>227</v>
      </c>
      <c r="Y5" s="69" t="s">
        <v>230</v>
      </c>
      <c r="Z5" s="69" t="s">
        <v>233</v>
      </c>
      <c r="AA5" s="69" t="s">
        <v>236</v>
      </c>
      <c r="AB5" s="69" t="s">
        <v>238</v>
      </c>
      <c r="AC5" s="69" t="s">
        <v>240</v>
      </c>
      <c r="AD5" s="69" t="s">
        <v>243</v>
      </c>
      <c r="AE5" s="91" t="s">
        <v>245</v>
      </c>
    </row>
    <row r="6" spans="1:31">
      <c r="A6" s="71" t="s">
        <v>877</v>
      </c>
      <c r="B6" s="71" t="s">
        <v>515</v>
      </c>
      <c r="C6" s="74" t="s">
        <v>387</v>
      </c>
      <c r="D6" s="73">
        <v>0</v>
      </c>
      <c r="E6" s="73">
        <v>0</v>
      </c>
      <c r="F6" s="73">
        <v>0</v>
      </c>
      <c r="G6" s="73">
        <v>0</v>
      </c>
      <c r="H6" s="73">
        <v>0</v>
      </c>
      <c r="I6" s="73">
        <v>0</v>
      </c>
      <c r="J6" s="73">
        <v>0</v>
      </c>
      <c r="K6" s="73">
        <v>0</v>
      </c>
      <c r="L6" s="73">
        <v>0</v>
      </c>
      <c r="M6" s="73">
        <v>14645</v>
      </c>
      <c r="N6" s="73">
        <v>0</v>
      </c>
      <c r="O6" s="73">
        <v>0</v>
      </c>
      <c r="P6" s="73">
        <v>4358</v>
      </c>
      <c r="Q6" s="73">
        <v>47194</v>
      </c>
      <c r="R6" s="73">
        <v>40666</v>
      </c>
      <c r="S6" s="73">
        <v>157632</v>
      </c>
      <c r="T6" s="73">
        <v>106012</v>
      </c>
      <c r="U6" s="73">
        <v>0</v>
      </c>
      <c r="V6" s="73">
        <v>0</v>
      </c>
      <c r="W6" s="73">
        <v>27</v>
      </c>
      <c r="X6" s="73">
        <v>5829</v>
      </c>
      <c r="Y6" s="73">
        <v>0</v>
      </c>
      <c r="Z6" s="73">
        <v>0</v>
      </c>
      <c r="AA6" s="73">
        <v>0</v>
      </c>
      <c r="AB6" s="73">
        <v>0</v>
      </c>
      <c r="AC6" s="73">
        <v>0</v>
      </c>
      <c r="AD6" s="73">
        <v>0</v>
      </c>
      <c r="AE6" s="92">
        <v>48719</v>
      </c>
    </row>
    <row r="7" spans="1:31">
      <c r="A7" s="71" t="s">
        <v>877</v>
      </c>
      <c r="B7" s="71" t="s">
        <v>517</v>
      </c>
      <c r="C7" s="74" t="s">
        <v>387</v>
      </c>
      <c r="D7" s="73">
        <v>0</v>
      </c>
      <c r="E7" s="73">
        <v>0</v>
      </c>
      <c r="F7" s="73">
        <v>0</v>
      </c>
      <c r="G7" s="73">
        <v>0</v>
      </c>
      <c r="H7" s="73">
        <v>0</v>
      </c>
      <c r="I7" s="73">
        <v>0</v>
      </c>
      <c r="J7" s="73">
        <v>0</v>
      </c>
      <c r="K7" s="73">
        <v>0</v>
      </c>
      <c r="L7" s="73">
        <v>30472</v>
      </c>
      <c r="M7" s="73">
        <v>30090</v>
      </c>
      <c r="N7" s="73">
        <v>0</v>
      </c>
      <c r="O7" s="73">
        <v>0</v>
      </c>
      <c r="P7" s="73">
        <v>2340</v>
      </c>
      <c r="Q7" s="73">
        <v>13608</v>
      </c>
      <c r="R7" s="73">
        <v>13258</v>
      </c>
      <c r="S7" s="73">
        <v>9643</v>
      </c>
      <c r="T7" s="73">
        <v>49847</v>
      </c>
      <c r="U7" s="73">
        <v>6561</v>
      </c>
      <c r="V7" s="73">
        <v>0</v>
      </c>
      <c r="W7" s="73">
        <v>15556</v>
      </c>
      <c r="X7" s="73">
        <v>11194</v>
      </c>
      <c r="Y7" s="73">
        <v>0</v>
      </c>
      <c r="Z7" s="73">
        <v>0</v>
      </c>
      <c r="AA7" s="73">
        <v>0</v>
      </c>
      <c r="AB7" s="73">
        <v>0</v>
      </c>
      <c r="AC7" s="73">
        <v>0</v>
      </c>
      <c r="AD7" s="73">
        <v>0</v>
      </c>
      <c r="AE7" s="93">
        <v>19883</v>
      </c>
    </row>
    <row r="8" spans="1:31">
      <c r="A8" s="71" t="s">
        <v>877</v>
      </c>
      <c r="B8" s="71" t="s">
        <v>525</v>
      </c>
      <c r="C8" s="74" t="s">
        <v>387</v>
      </c>
      <c r="D8" s="73">
        <v>123926</v>
      </c>
      <c r="E8" s="73">
        <v>54</v>
      </c>
      <c r="F8" s="73">
        <v>70</v>
      </c>
      <c r="G8" s="73">
        <v>9333</v>
      </c>
      <c r="H8" s="73">
        <v>1784</v>
      </c>
      <c r="I8" s="73">
        <v>2016</v>
      </c>
      <c r="J8" s="73">
        <v>7718</v>
      </c>
      <c r="K8" s="73">
        <v>2985</v>
      </c>
      <c r="L8" s="73">
        <v>0</v>
      </c>
      <c r="M8" s="73">
        <v>9309</v>
      </c>
      <c r="N8" s="73">
        <v>0</v>
      </c>
      <c r="O8" s="73">
        <v>9927</v>
      </c>
      <c r="P8" s="73">
        <v>5425</v>
      </c>
      <c r="Q8" s="73">
        <v>172792</v>
      </c>
      <c r="R8" s="73">
        <v>72376</v>
      </c>
      <c r="S8" s="73">
        <v>87672</v>
      </c>
      <c r="T8" s="73">
        <v>207488</v>
      </c>
      <c r="U8" s="73">
        <v>185798</v>
      </c>
      <c r="V8" s="73">
        <v>0</v>
      </c>
      <c r="W8" s="73">
        <v>54360</v>
      </c>
      <c r="X8" s="73">
        <v>459</v>
      </c>
      <c r="Y8" s="73">
        <v>2436</v>
      </c>
      <c r="Z8" s="73">
        <v>3255</v>
      </c>
      <c r="AA8" s="73">
        <v>0</v>
      </c>
      <c r="AB8" s="73">
        <v>0</v>
      </c>
      <c r="AC8" s="73">
        <v>413</v>
      </c>
      <c r="AD8" s="73">
        <v>0</v>
      </c>
      <c r="AE8" s="93">
        <v>2234</v>
      </c>
    </row>
    <row r="9" spans="1:31">
      <c r="A9" s="71" t="s">
        <v>877</v>
      </c>
      <c r="B9" s="71" t="s">
        <v>527</v>
      </c>
      <c r="C9" s="74" t="s">
        <v>387</v>
      </c>
      <c r="D9" s="73">
        <v>54163</v>
      </c>
      <c r="E9" s="73">
        <v>396118</v>
      </c>
      <c r="F9" s="73">
        <v>26597</v>
      </c>
      <c r="G9" s="73">
        <v>115337</v>
      </c>
      <c r="H9" s="73">
        <v>26058</v>
      </c>
      <c r="I9" s="73">
        <v>41206</v>
      </c>
      <c r="J9" s="73">
        <v>1283224</v>
      </c>
      <c r="K9" s="73">
        <v>709183</v>
      </c>
      <c r="L9" s="73">
        <v>551822</v>
      </c>
      <c r="M9" s="73">
        <v>178169</v>
      </c>
      <c r="N9" s="73">
        <v>303938</v>
      </c>
      <c r="O9" s="73">
        <v>5759698</v>
      </c>
      <c r="P9" s="73">
        <v>688845</v>
      </c>
      <c r="Q9" s="73">
        <v>200510</v>
      </c>
      <c r="R9" s="73">
        <v>723765</v>
      </c>
      <c r="S9" s="73">
        <v>745337</v>
      </c>
      <c r="T9" s="73">
        <v>1697838</v>
      </c>
      <c r="U9" s="73">
        <v>1817473</v>
      </c>
      <c r="V9" s="73">
        <v>6061453</v>
      </c>
      <c r="W9" s="73">
        <v>4821899</v>
      </c>
      <c r="X9" s="73">
        <v>166342</v>
      </c>
      <c r="Y9" s="73">
        <v>1153102</v>
      </c>
      <c r="Z9" s="73">
        <v>112030</v>
      </c>
      <c r="AA9" s="73">
        <v>227974</v>
      </c>
      <c r="AB9" s="73">
        <v>0</v>
      </c>
      <c r="AC9" s="73">
        <v>556619</v>
      </c>
      <c r="AD9" s="73">
        <v>3305532</v>
      </c>
      <c r="AE9" s="93">
        <v>133958</v>
      </c>
    </row>
    <row r="10" spans="1:31">
      <c r="A10" s="71" t="s">
        <v>877</v>
      </c>
      <c r="B10" s="71" t="s">
        <v>529</v>
      </c>
      <c r="C10" s="74" t="s">
        <v>387</v>
      </c>
      <c r="D10" s="73">
        <v>17408</v>
      </c>
      <c r="E10" s="73">
        <v>0</v>
      </c>
      <c r="F10" s="73">
        <v>0</v>
      </c>
      <c r="G10" s="73">
        <v>0</v>
      </c>
      <c r="H10" s="73">
        <v>2</v>
      </c>
      <c r="I10" s="73">
        <v>7531</v>
      </c>
      <c r="J10" s="73">
        <v>381603</v>
      </c>
      <c r="K10" s="73">
        <v>343</v>
      </c>
      <c r="L10" s="73">
        <v>0</v>
      </c>
      <c r="M10" s="73">
        <v>110</v>
      </c>
      <c r="N10" s="73">
        <v>0</v>
      </c>
      <c r="O10" s="73">
        <v>0</v>
      </c>
      <c r="P10" s="73">
        <v>5472</v>
      </c>
      <c r="Q10" s="73">
        <v>1281</v>
      </c>
      <c r="R10" s="73">
        <v>12657</v>
      </c>
      <c r="S10" s="73">
        <v>68591</v>
      </c>
      <c r="T10" s="73">
        <v>142276</v>
      </c>
      <c r="U10" s="73">
        <v>0</v>
      </c>
      <c r="V10" s="73">
        <v>0</v>
      </c>
      <c r="W10" s="73">
        <v>0</v>
      </c>
      <c r="X10" s="73">
        <v>257</v>
      </c>
      <c r="Y10" s="73">
        <v>142412</v>
      </c>
      <c r="Z10" s="73">
        <v>4</v>
      </c>
      <c r="AA10" s="73">
        <v>6594</v>
      </c>
      <c r="AB10" s="73">
        <v>0</v>
      </c>
      <c r="AC10" s="73">
        <v>28721</v>
      </c>
      <c r="AD10" s="73">
        <v>0</v>
      </c>
      <c r="AE10" s="93">
        <v>845</v>
      </c>
    </row>
    <row r="11" spans="1:31">
      <c r="A11" s="71" t="s">
        <v>877</v>
      </c>
      <c r="B11" s="71" t="s">
        <v>533</v>
      </c>
      <c r="C11" s="74" t="s">
        <v>387</v>
      </c>
      <c r="D11" s="73">
        <v>533</v>
      </c>
      <c r="E11" s="73">
        <v>11985</v>
      </c>
      <c r="F11" s="73">
        <v>0</v>
      </c>
      <c r="G11" s="73">
        <v>1925</v>
      </c>
      <c r="H11" s="73">
        <v>12117</v>
      </c>
      <c r="I11" s="73">
        <v>36538</v>
      </c>
      <c r="J11" s="73">
        <v>3653</v>
      </c>
      <c r="K11" s="73">
        <v>0</v>
      </c>
      <c r="L11" s="73">
        <v>37758</v>
      </c>
      <c r="M11" s="73">
        <v>18072</v>
      </c>
      <c r="N11" s="73">
        <v>29</v>
      </c>
      <c r="O11" s="73">
        <v>14803</v>
      </c>
      <c r="P11" s="73">
        <v>48311</v>
      </c>
      <c r="Q11" s="73">
        <v>36890</v>
      </c>
      <c r="R11" s="73">
        <v>57068</v>
      </c>
      <c r="S11" s="73">
        <v>58550</v>
      </c>
      <c r="T11" s="73">
        <v>133223</v>
      </c>
      <c r="U11" s="73">
        <v>48026</v>
      </c>
      <c r="V11" s="73">
        <v>81075</v>
      </c>
      <c r="W11" s="73">
        <v>20631</v>
      </c>
      <c r="X11" s="73">
        <v>3585</v>
      </c>
      <c r="Y11" s="73">
        <v>19378</v>
      </c>
      <c r="Z11" s="73">
        <v>12319</v>
      </c>
      <c r="AA11" s="73">
        <v>33220</v>
      </c>
      <c r="AB11" s="73">
        <v>0</v>
      </c>
      <c r="AC11" s="73">
        <v>1913</v>
      </c>
      <c r="AD11" s="73">
        <v>8807</v>
      </c>
      <c r="AE11" s="93">
        <v>3031</v>
      </c>
    </row>
    <row r="12" spans="1:31">
      <c r="A12" s="71" t="s">
        <v>877</v>
      </c>
      <c r="B12" s="71" t="s">
        <v>535</v>
      </c>
      <c r="C12" s="74" t="s">
        <v>387</v>
      </c>
      <c r="D12" s="73">
        <v>502025</v>
      </c>
      <c r="E12" s="73">
        <v>707850</v>
      </c>
      <c r="F12" s="73">
        <v>416400</v>
      </c>
      <c r="G12" s="73">
        <v>449791</v>
      </c>
      <c r="H12" s="73">
        <v>813561</v>
      </c>
      <c r="I12" s="73">
        <v>143879</v>
      </c>
      <c r="J12" s="73">
        <v>1610750</v>
      </c>
      <c r="K12" s="73">
        <v>424026</v>
      </c>
      <c r="L12" s="73">
        <v>501619</v>
      </c>
      <c r="M12" s="73">
        <v>54707</v>
      </c>
      <c r="N12" s="73">
        <v>228612</v>
      </c>
      <c r="O12" s="73">
        <v>65551</v>
      </c>
      <c r="P12" s="73">
        <v>455754</v>
      </c>
      <c r="Q12" s="73">
        <v>1056899</v>
      </c>
      <c r="R12" s="73">
        <v>889109</v>
      </c>
      <c r="S12" s="73">
        <v>1889480</v>
      </c>
      <c r="T12" s="73">
        <v>2580487</v>
      </c>
      <c r="U12" s="73">
        <v>662538</v>
      </c>
      <c r="V12" s="73">
        <v>118453</v>
      </c>
      <c r="W12" s="73">
        <v>35594</v>
      </c>
      <c r="X12" s="73">
        <v>1178911</v>
      </c>
      <c r="Y12" s="73">
        <v>771953</v>
      </c>
      <c r="Z12" s="73">
        <v>142823</v>
      </c>
      <c r="AA12" s="73">
        <v>507005</v>
      </c>
      <c r="AB12" s="73">
        <v>189010</v>
      </c>
      <c r="AC12" s="73">
        <v>2491</v>
      </c>
      <c r="AD12" s="73">
        <v>10991</v>
      </c>
      <c r="AE12" s="93">
        <v>675720</v>
      </c>
    </row>
    <row r="13" spans="1:31">
      <c r="A13" s="71" t="s">
        <v>877</v>
      </c>
      <c r="B13" s="71" t="s">
        <v>537</v>
      </c>
      <c r="C13" s="74" t="s">
        <v>387</v>
      </c>
      <c r="D13" s="73">
        <v>4859</v>
      </c>
      <c r="E13" s="73">
        <v>8564</v>
      </c>
      <c r="F13" s="73">
        <v>21523</v>
      </c>
      <c r="G13" s="73">
        <v>87480</v>
      </c>
      <c r="H13" s="73">
        <v>0</v>
      </c>
      <c r="I13" s="73">
        <v>52889</v>
      </c>
      <c r="J13" s="73">
        <v>126258</v>
      </c>
      <c r="K13" s="73">
        <v>32796</v>
      </c>
      <c r="L13" s="73">
        <v>90562</v>
      </c>
      <c r="M13" s="73">
        <v>48002</v>
      </c>
      <c r="N13" s="73">
        <v>0</v>
      </c>
      <c r="O13" s="73">
        <v>62068</v>
      </c>
      <c r="P13" s="73">
        <v>89104</v>
      </c>
      <c r="Q13" s="73">
        <v>239089</v>
      </c>
      <c r="R13" s="73">
        <v>410345</v>
      </c>
      <c r="S13" s="73">
        <v>353342</v>
      </c>
      <c r="T13" s="73">
        <v>567911</v>
      </c>
      <c r="U13" s="73">
        <v>8644</v>
      </c>
      <c r="V13" s="73">
        <v>22864</v>
      </c>
      <c r="W13" s="73">
        <v>0</v>
      </c>
      <c r="X13" s="73">
        <v>57090</v>
      </c>
      <c r="Y13" s="73">
        <v>31644</v>
      </c>
      <c r="Z13" s="73">
        <v>136919</v>
      </c>
      <c r="AA13" s="73">
        <v>14065</v>
      </c>
      <c r="AB13" s="73">
        <v>0</v>
      </c>
      <c r="AC13" s="73">
        <v>5825</v>
      </c>
      <c r="AD13" s="73">
        <v>0</v>
      </c>
      <c r="AE13" s="93">
        <v>212589</v>
      </c>
    </row>
    <row r="14" spans="1:31">
      <c r="A14" s="71" t="s">
        <v>877</v>
      </c>
      <c r="B14" s="71" t="s">
        <v>541</v>
      </c>
      <c r="C14" s="74" t="s">
        <v>387</v>
      </c>
      <c r="D14" s="73">
        <v>0</v>
      </c>
      <c r="E14" s="73">
        <v>184068</v>
      </c>
      <c r="F14" s="73">
        <v>27573</v>
      </c>
      <c r="G14" s="73">
        <v>126218</v>
      </c>
      <c r="H14" s="73">
        <v>181783</v>
      </c>
      <c r="I14" s="73">
        <v>757746</v>
      </c>
      <c r="J14" s="73">
        <v>1221934</v>
      </c>
      <c r="K14" s="73">
        <v>368666</v>
      </c>
      <c r="L14" s="73">
        <v>341743</v>
      </c>
      <c r="M14" s="73">
        <v>917150</v>
      </c>
      <c r="N14" s="73">
        <v>170072</v>
      </c>
      <c r="O14" s="73">
        <v>4792857</v>
      </c>
      <c r="P14" s="73">
        <v>1242474</v>
      </c>
      <c r="Q14" s="73">
        <v>1782206</v>
      </c>
      <c r="R14" s="73">
        <v>2282479</v>
      </c>
      <c r="S14" s="73">
        <v>6255573</v>
      </c>
      <c r="T14" s="73">
        <v>6566064</v>
      </c>
      <c r="U14" s="73">
        <v>1</v>
      </c>
      <c r="V14" s="73">
        <v>1260845</v>
      </c>
      <c r="W14" s="73">
        <v>3789908</v>
      </c>
      <c r="X14" s="73">
        <v>275413</v>
      </c>
      <c r="Y14" s="73">
        <v>1868478</v>
      </c>
      <c r="Z14" s="73">
        <v>1228476</v>
      </c>
      <c r="AA14" s="73">
        <v>1486140</v>
      </c>
      <c r="AB14" s="73">
        <v>0</v>
      </c>
      <c r="AC14" s="73">
        <v>313554</v>
      </c>
      <c r="AD14" s="73">
        <v>1929536</v>
      </c>
      <c r="AE14" s="93">
        <v>2630256</v>
      </c>
    </row>
    <row r="15" spans="1:31">
      <c r="A15" s="71" t="s">
        <v>877</v>
      </c>
      <c r="B15" s="71" t="s">
        <v>543</v>
      </c>
      <c r="C15" s="74" t="s">
        <v>387</v>
      </c>
      <c r="D15" s="73">
        <v>200467</v>
      </c>
      <c r="E15" s="73">
        <v>342061</v>
      </c>
      <c r="F15" s="73">
        <v>257146</v>
      </c>
      <c r="G15" s="73">
        <v>173819</v>
      </c>
      <c r="H15" s="73">
        <v>238816</v>
      </c>
      <c r="I15" s="73">
        <v>127850</v>
      </c>
      <c r="J15" s="73">
        <v>1379333</v>
      </c>
      <c r="K15" s="73">
        <v>346462</v>
      </c>
      <c r="L15" s="73">
        <v>34086</v>
      </c>
      <c r="M15" s="73">
        <v>291944</v>
      </c>
      <c r="N15" s="73">
        <v>11424</v>
      </c>
      <c r="O15" s="73">
        <v>19777</v>
      </c>
      <c r="P15" s="73">
        <v>77303</v>
      </c>
      <c r="Q15" s="73">
        <v>257997</v>
      </c>
      <c r="R15" s="73">
        <v>169929</v>
      </c>
      <c r="S15" s="73">
        <v>229169</v>
      </c>
      <c r="T15" s="73">
        <v>671578</v>
      </c>
      <c r="U15" s="73">
        <v>863461</v>
      </c>
      <c r="V15" s="73">
        <v>96155</v>
      </c>
      <c r="W15" s="73">
        <v>81363</v>
      </c>
      <c r="X15" s="73">
        <v>732451</v>
      </c>
      <c r="Y15" s="73">
        <v>202587</v>
      </c>
      <c r="Z15" s="73">
        <v>922537</v>
      </c>
      <c r="AA15" s="73">
        <v>1049373</v>
      </c>
      <c r="AB15" s="73">
        <v>611410</v>
      </c>
      <c r="AC15" s="73">
        <v>76</v>
      </c>
      <c r="AD15" s="73">
        <v>740</v>
      </c>
      <c r="AE15" s="93">
        <v>2244960</v>
      </c>
    </row>
    <row r="16" spans="1:31">
      <c r="A16" s="71" t="s">
        <v>877</v>
      </c>
      <c r="B16" s="71" t="s">
        <v>548</v>
      </c>
      <c r="C16" s="74" t="s">
        <v>387</v>
      </c>
      <c r="D16" s="73">
        <v>95731</v>
      </c>
      <c r="E16" s="73">
        <v>50979</v>
      </c>
      <c r="F16" s="73">
        <v>93655</v>
      </c>
      <c r="G16" s="73">
        <v>8821</v>
      </c>
      <c r="H16" s="73">
        <v>25803</v>
      </c>
      <c r="I16" s="73">
        <v>8406</v>
      </c>
      <c r="J16" s="73">
        <v>2779497</v>
      </c>
      <c r="K16" s="73">
        <v>211566</v>
      </c>
      <c r="L16" s="73">
        <v>2158</v>
      </c>
      <c r="M16" s="73">
        <v>21897</v>
      </c>
      <c r="N16" s="73">
        <v>527</v>
      </c>
      <c r="O16" s="73">
        <v>684357</v>
      </c>
      <c r="P16" s="73">
        <v>3212</v>
      </c>
      <c r="Q16" s="73">
        <v>218953</v>
      </c>
      <c r="R16" s="73">
        <v>43082</v>
      </c>
      <c r="S16" s="73">
        <v>697544</v>
      </c>
      <c r="T16" s="73">
        <v>946264</v>
      </c>
      <c r="U16" s="73">
        <v>74216</v>
      </c>
      <c r="V16" s="73">
        <v>132966</v>
      </c>
      <c r="W16" s="73">
        <v>20124</v>
      </c>
      <c r="X16" s="73">
        <v>479069</v>
      </c>
      <c r="Y16" s="73">
        <v>166439</v>
      </c>
      <c r="Z16" s="73">
        <v>1006318</v>
      </c>
      <c r="AA16" s="73">
        <v>306590</v>
      </c>
      <c r="AB16" s="73">
        <v>1106</v>
      </c>
      <c r="AC16" s="73">
        <v>3886</v>
      </c>
      <c r="AD16" s="73">
        <v>203946</v>
      </c>
      <c r="AE16" s="93">
        <v>504107</v>
      </c>
    </row>
    <row r="17" spans="1:31">
      <c r="A17" s="71" t="s">
        <v>877</v>
      </c>
      <c r="B17" s="71" t="s">
        <v>550</v>
      </c>
      <c r="C17" s="74" t="s">
        <v>387</v>
      </c>
      <c r="D17" s="73">
        <v>122915</v>
      </c>
      <c r="E17" s="73">
        <v>51749</v>
      </c>
      <c r="F17" s="73">
        <v>55889</v>
      </c>
      <c r="G17" s="73">
        <v>25612</v>
      </c>
      <c r="H17" s="73">
        <v>202136</v>
      </c>
      <c r="I17" s="73">
        <v>22284</v>
      </c>
      <c r="J17" s="73">
        <v>153765</v>
      </c>
      <c r="K17" s="73">
        <v>55811</v>
      </c>
      <c r="L17" s="73">
        <v>36124</v>
      </c>
      <c r="M17" s="73">
        <v>143141</v>
      </c>
      <c r="N17" s="73">
        <v>19765</v>
      </c>
      <c r="O17" s="73">
        <v>217552</v>
      </c>
      <c r="P17" s="73">
        <v>8913</v>
      </c>
      <c r="Q17" s="73">
        <v>576143</v>
      </c>
      <c r="R17" s="73">
        <v>38105</v>
      </c>
      <c r="S17" s="73">
        <v>478418</v>
      </c>
      <c r="T17" s="73">
        <v>779903</v>
      </c>
      <c r="U17" s="73">
        <v>177019</v>
      </c>
      <c r="V17" s="73">
        <v>2661</v>
      </c>
      <c r="W17" s="73">
        <v>110597</v>
      </c>
      <c r="X17" s="73">
        <v>188962</v>
      </c>
      <c r="Y17" s="73">
        <v>54304</v>
      </c>
      <c r="Z17" s="73">
        <v>9636</v>
      </c>
      <c r="AA17" s="73">
        <v>105765</v>
      </c>
      <c r="AB17" s="73">
        <v>59457</v>
      </c>
      <c r="AC17" s="73">
        <v>1154</v>
      </c>
      <c r="AD17" s="73">
        <v>216</v>
      </c>
      <c r="AE17" s="93">
        <v>485730</v>
      </c>
    </row>
    <row r="18" spans="1:31">
      <c r="A18" s="71" t="s">
        <v>877</v>
      </c>
      <c r="B18" s="71" t="s">
        <v>552</v>
      </c>
      <c r="C18" s="74" t="s">
        <v>387</v>
      </c>
      <c r="D18" s="73">
        <v>37300</v>
      </c>
      <c r="E18" s="73">
        <v>252654</v>
      </c>
      <c r="F18" s="73">
        <v>59059</v>
      </c>
      <c r="G18" s="73">
        <v>30763</v>
      </c>
      <c r="H18" s="73">
        <v>20005</v>
      </c>
      <c r="I18" s="73">
        <v>56004</v>
      </c>
      <c r="J18" s="73">
        <v>135989</v>
      </c>
      <c r="K18" s="73">
        <v>58591</v>
      </c>
      <c r="L18" s="73">
        <v>90966</v>
      </c>
      <c r="M18" s="73">
        <v>0</v>
      </c>
      <c r="N18" s="73">
        <v>44449</v>
      </c>
      <c r="O18" s="73">
        <v>1306341</v>
      </c>
      <c r="P18" s="73">
        <v>103660</v>
      </c>
      <c r="Q18" s="73">
        <v>57617</v>
      </c>
      <c r="R18" s="73">
        <v>207850</v>
      </c>
      <c r="S18" s="73">
        <v>411010</v>
      </c>
      <c r="T18" s="73">
        <v>424356</v>
      </c>
      <c r="U18" s="73">
        <v>386092</v>
      </c>
      <c r="V18" s="73">
        <v>701162</v>
      </c>
      <c r="W18" s="73">
        <v>461879</v>
      </c>
      <c r="X18" s="73">
        <v>281524</v>
      </c>
      <c r="Y18" s="73">
        <v>213421</v>
      </c>
      <c r="Z18" s="73">
        <v>7277</v>
      </c>
      <c r="AA18" s="73">
        <v>260953</v>
      </c>
      <c r="AB18" s="73">
        <v>35</v>
      </c>
      <c r="AC18" s="73">
        <v>4996</v>
      </c>
      <c r="AD18" s="73">
        <v>394055</v>
      </c>
      <c r="AE18" s="93">
        <v>381148</v>
      </c>
    </row>
    <row r="19" spans="1:31">
      <c r="A19" s="71" t="s">
        <v>877</v>
      </c>
      <c r="B19" s="71" t="s">
        <v>554</v>
      </c>
      <c r="C19" s="74" t="s">
        <v>387</v>
      </c>
      <c r="D19" s="73">
        <v>1622</v>
      </c>
      <c r="E19" s="73">
        <v>0</v>
      </c>
      <c r="F19" s="73">
        <v>0</v>
      </c>
      <c r="G19" s="73">
        <v>0</v>
      </c>
      <c r="H19" s="73">
        <v>0</v>
      </c>
      <c r="I19" s="73">
        <v>0</v>
      </c>
      <c r="J19" s="73">
        <v>417808</v>
      </c>
      <c r="K19" s="73">
        <v>0</v>
      </c>
      <c r="L19" s="73">
        <v>175011</v>
      </c>
      <c r="M19" s="73">
        <v>0</v>
      </c>
      <c r="N19" s="73">
        <v>169</v>
      </c>
      <c r="O19" s="73">
        <v>380133</v>
      </c>
      <c r="P19" s="73">
        <v>324</v>
      </c>
      <c r="Q19" s="73">
        <v>43236</v>
      </c>
      <c r="R19" s="73">
        <v>19357</v>
      </c>
      <c r="S19" s="73">
        <v>194670</v>
      </c>
      <c r="T19" s="73">
        <v>879147</v>
      </c>
      <c r="U19" s="73">
        <v>31549</v>
      </c>
      <c r="V19" s="73">
        <v>63969</v>
      </c>
      <c r="W19" s="73">
        <v>766184</v>
      </c>
      <c r="X19" s="73">
        <v>52145</v>
      </c>
      <c r="Y19" s="73">
        <v>31270</v>
      </c>
      <c r="Z19" s="73">
        <v>8522</v>
      </c>
      <c r="AA19" s="73">
        <v>17669</v>
      </c>
      <c r="AB19" s="73">
        <v>0</v>
      </c>
      <c r="AC19" s="73">
        <v>605</v>
      </c>
      <c r="AD19" s="73">
        <v>960681</v>
      </c>
      <c r="AE19" s="93">
        <v>33273</v>
      </c>
    </row>
    <row r="20" spans="1:31">
      <c r="A20" s="71" t="s">
        <v>877</v>
      </c>
      <c r="B20" s="71" t="s">
        <v>556</v>
      </c>
      <c r="C20" s="74" t="s">
        <v>387</v>
      </c>
      <c r="D20" s="73">
        <v>61545</v>
      </c>
      <c r="E20" s="73">
        <v>233672</v>
      </c>
      <c r="F20" s="73">
        <v>214120</v>
      </c>
      <c r="G20" s="73">
        <v>960907</v>
      </c>
      <c r="H20" s="73">
        <v>1190551</v>
      </c>
      <c r="I20" s="73">
        <v>41498</v>
      </c>
      <c r="J20" s="73">
        <v>4334014</v>
      </c>
      <c r="K20" s="73">
        <v>505244</v>
      </c>
      <c r="L20" s="73">
        <v>393550</v>
      </c>
      <c r="M20" s="73">
        <v>1884623</v>
      </c>
      <c r="N20" s="73">
        <v>424636</v>
      </c>
      <c r="O20" s="73">
        <v>23465434</v>
      </c>
      <c r="P20" s="73">
        <v>935783</v>
      </c>
      <c r="Q20" s="73">
        <v>2265495</v>
      </c>
      <c r="R20" s="73">
        <v>3123608</v>
      </c>
      <c r="S20" s="73">
        <v>9075495</v>
      </c>
      <c r="T20" s="73">
        <v>10027631</v>
      </c>
      <c r="U20" s="73">
        <v>1140685</v>
      </c>
      <c r="V20" s="73">
        <v>9495752</v>
      </c>
      <c r="W20" s="73">
        <v>6407416</v>
      </c>
      <c r="X20" s="73">
        <v>540448</v>
      </c>
      <c r="Y20" s="73">
        <v>2236270</v>
      </c>
      <c r="Z20" s="73">
        <v>525345</v>
      </c>
      <c r="AA20" s="73">
        <v>17565</v>
      </c>
      <c r="AB20" s="73">
        <v>0</v>
      </c>
      <c r="AC20" s="73">
        <v>7419</v>
      </c>
      <c r="AD20" s="73">
        <v>6173360</v>
      </c>
      <c r="AE20" s="93">
        <v>14721003</v>
      </c>
    </row>
    <row r="21" spans="1:31">
      <c r="A21" s="71" t="s">
        <v>877</v>
      </c>
      <c r="B21" s="71" t="s">
        <v>558</v>
      </c>
      <c r="C21" s="74" t="s">
        <v>387</v>
      </c>
      <c r="D21" s="73">
        <v>74534</v>
      </c>
      <c r="E21" s="73">
        <v>113590</v>
      </c>
      <c r="F21" s="73">
        <v>63739</v>
      </c>
      <c r="G21" s="73">
        <v>117024</v>
      </c>
      <c r="H21" s="73">
        <v>90620</v>
      </c>
      <c r="I21" s="73">
        <v>41080</v>
      </c>
      <c r="J21" s="73">
        <v>150347</v>
      </c>
      <c r="K21" s="73">
        <v>45455</v>
      </c>
      <c r="L21" s="73">
        <v>126631</v>
      </c>
      <c r="M21" s="73">
        <v>85504</v>
      </c>
      <c r="N21" s="73">
        <v>8985</v>
      </c>
      <c r="O21" s="73">
        <v>753231</v>
      </c>
      <c r="P21" s="73">
        <v>87604</v>
      </c>
      <c r="Q21" s="73">
        <v>172921</v>
      </c>
      <c r="R21" s="73">
        <v>214953</v>
      </c>
      <c r="S21" s="73">
        <v>356249</v>
      </c>
      <c r="T21" s="73">
        <v>1202104</v>
      </c>
      <c r="U21" s="73">
        <v>125693</v>
      </c>
      <c r="V21" s="73">
        <v>623673</v>
      </c>
      <c r="W21" s="73">
        <v>132523</v>
      </c>
      <c r="X21" s="73">
        <v>102273</v>
      </c>
      <c r="Y21" s="73">
        <v>126997</v>
      </c>
      <c r="Z21" s="73">
        <v>151542</v>
      </c>
      <c r="AA21" s="73">
        <v>150964</v>
      </c>
      <c r="AB21" s="73">
        <v>3282</v>
      </c>
      <c r="AC21" s="73">
        <v>36992</v>
      </c>
      <c r="AD21" s="73">
        <v>2509</v>
      </c>
      <c r="AE21" s="93">
        <v>417730</v>
      </c>
    </row>
    <row r="22" spans="1:31">
      <c r="A22" s="94"/>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row>
    <row r="23" spans="1:31">
      <c r="A23" s="71" t="s">
        <v>878</v>
      </c>
      <c r="B23" s="71" t="s">
        <v>515</v>
      </c>
      <c r="C23" s="74" t="s">
        <v>387</v>
      </c>
      <c r="D23" s="73">
        <v>0</v>
      </c>
      <c r="E23" s="73">
        <v>0</v>
      </c>
      <c r="F23" s="73">
        <v>0</v>
      </c>
      <c r="G23" s="73">
        <v>0</v>
      </c>
      <c r="H23" s="73">
        <v>0</v>
      </c>
      <c r="I23" s="73">
        <v>0</v>
      </c>
      <c r="J23" s="73">
        <v>-31740</v>
      </c>
      <c r="K23" s="73">
        <v>0</v>
      </c>
      <c r="L23" s="73">
        <v>0</v>
      </c>
      <c r="M23" s="73">
        <v>-6329</v>
      </c>
      <c r="N23" s="73">
        <v>0</v>
      </c>
      <c r="O23" s="73">
        <v>0</v>
      </c>
      <c r="P23" s="73">
        <v>0</v>
      </c>
      <c r="Q23" s="73">
        <v>-11109</v>
      </c>
      <c r="R23" s="73">
        <v>-27801</v>
      </c>
      <c r="S23" s="73">
        <v>-113064</v>
      </c>
      <c r="T23" s="73">
        <v>-149887</v>
      </c>
      <c r="U23" s="73">
        <v>-32775</v>
      </c>
      <c r="V23" s="73">
        <v>0</v>
      </c>
      <c r="W23" s="73">
        <v>0</v>
      </c>
      <c r="X23" s="73">
        <v>-40813</v>
      </c>
      <c r="Y23" s="73">
        <v>0</v>
      </c>
      <c r="Z23" s="73">
        <v>0</v>
      </c>
      <c r="AA23" s="73">
        <v>0</v>
      </c>
      <c r="AB23" s="73">
        <v>0</v>
      </c>
      <c r="AC23" s="73">
        <v>0</v>
      </c>
      <c r="AD23" s="73">
        <v>0</v>
      </c>
      <c r="AE23" s="93">
        <v>-11564</v>
      </c>
    </row>
    <row r="24" spans="1:31">
      <c r="A24" s="71" t="s">
        <v>878</v>
      </c>
      <c r="B24" s="71" t="s">
        <v>517</v>
      </c>
      <c r="C24" s="74" t="s">
        <v>387</v>
      </c>
      <c r="D24" s="73">
        <v>0</v>
      </c>
      <c r="E24" s="73">
        <v>0</v>
      </c>
      <c r="F24" s="73">
        <v>0</v>
      </c>
      <c r="G24" s="73">
        <v>0</v>
      </c>
      <c r="H24" s="73">
        <v>0</v>
      </c>
      <c r="I24" s="73">
        <v>0</v>
      </c>
      <c r="J24" s="73">
        <v>0</v>
      </c>
      <c r="K24" s="73">
        <v>0</v>
      </c>
      <c r="L24" s="73">
        <v>-41272</v>
      </c>
      <c r="M24" s="73">
        <v>-156</v>
      </c>
      <c r="N24" s="73">
        <v>0</v>
      </c>
      <c r="O24" s="73">
        <v>0</v>
      </c>
      <c r="P24" s="73">
        <v>-165</v>
      </c>
      <c r="Q24" s="73">
        <v>-1</v>
      </c>
      <c r="R24" s="73">
        <v>-17347</v>
      </c>
      <c r="S24" s="73">
        <v>-13482</v>
      </c>
      <c r="T24" s="73">
        <v>-26173</v>
      </c>
      <c r="U24" s="73">
        <v>-103</v>
      </c>
      <c r="V24" s="73">
        <v>0</v>
      </c>
      <c r="W24" s="73">
        <v>0</v>
      </c>
      <c r="X24" s="73">
        <v>-917</v>
      </c>
      <c r="Y24" s="73">
        <v>0</v>
      </c>
      <c r="Z24" s="73">
        <v>0</v>
      </c>
      <c r="AA24" s="73">
        <v>0</v>
      </c>
      <c r="AB24" s="73">
        <v>0</v>
      </c>
      <c r="AC24" s="73">
        <v>0</v>
      </c>
      <c r="AD24" s="73">
        <v>0</v>
      </c>
      <c r="AE24" s="93">
        <v>-120724</v>
      </c>
    </row>
    <row r="25" spans="1:31">
      <c r="A25" s="71" t="s">
        <v>878</v>
      </c>
      <c r="B25" s="71" t="s">
        <v>525</v>
      </c>
      <c r="C25" s="74" t="s">
        <v>387</v>
      </c>
      <c r="D25" s="73">
        <v>-278</v>
      </c>
      <c r="E25" s="73">
        <v>-2250</v>
      </c>
      <c r="F25" s="73">
        <v>-755</v>
      </c>
      <c r="G25" s="73">
        <v>-12265</v>
      </c>
      <c r="H25" s="73">
        <v>-76</v>
      </c>
      <c r="I25" s="73">
        <v>-144</v>
      </c>
      <c r="J25" s="73">
        <v>-4810</v>
      </c>
      <c r="K25" s="73">
        <v>-81</v>
      </c>
      <c r="L25" s="73">
        <v>0</v>
      </c>
      <c r="M25" s="73">
        <v>-97810</v>
      </c>
      <c r="N25" s="73">
        <v>0</v>
      </c>
      <c r="O25" s="73">
        <v>-3411</v>
      </c>
      <c r="P25" s="73">
        <v>-50390</v>
      </c>
      <c r="Q25" s="73">
        <v>-13308</v>
      </c>
      <c r="R25" s="73">
        <v>-269600</v>
      </c>
      <c r="S25" s="73">
        <v>-62117</v>
      </c>
      <c r="T25" s="73">
        <v>-150608</v>
      </c>
      <c r="U25" s="73">
        <v>-283306</v>
      </c>
      <c r="V25" s="73">
        <v>0</v>
      </c>
      <c r="W25" s="73">
        <v>-45</v>
      </c>
      <c r="X25" s="73">
        <v>-6413</v>
      </c>
      <c r="Y25" s="73">
        <v>-36</v>
      </c>
      <c r="Z25" s="73">
        <v>-87</v>
      </c>
      <c r="AA25" s="73">
        <v>0</v>
      </c>
      <c r="AB25" s="73">
        <v>0</v>
      </c>
      <c r="AC25" s="73">
        <v>-3107</v>
      </c>
      <c r="AD25" s="73">
        <v>0</v>
      </c>
      <c r="AE25" s="93">
        <v>-936</v>
      </c>
    </row>
    <row r="26" spans="1:31">
      <c r="A26" s="71" t="s">
        <v>878</v>
      </c>
      <c r="B26" s="71" t="s">
        <v>527</v>
      </c>
      <c r="C26" s="74" t="s">
        <v>387</v>
      </c>
      <c r="D26" s="73">
        <v>0</v>
      </c>
      <c r="E26" s="73">
        <v>0</v>
      </c>
      <c r="F26" s="73">
        <v>-19</v>
      </c>
      <c r="G26" s="73">
        <v>-2163696</v>
      </c>
      <c r="H26" s="73">
        <v>-10619524</v>
      </c>
      <c r="I26" s="73">
        <v>-1322373</v>
      </c>
      <c r="J26" s="73">
        <v>-12451</v>
      </c>
      <c r="K26" s="73">
        <v>-318</v>
      </c>
      <c r="L26" s="73">
        <v>0</v>
      </c>
      <c r="M26" s="73">
        <v>-891749</v>
      </c>
      <c r="N26" s="73">
        <v>0</v>
      </c>
      <c r="O26" s="73">
        <v>-125070</v>
      </c>
      <c r="P26" s="73">
        <v>-84644</v>
      </c>
      <c r="Q26" s="73">
        <v>-22266</v>
      </c>
      <c r="R26" s="73">
        <v>-141766</v>
      </c>
      <c r="S26" s="73">
        <v>-37074</v>
      </c>
      <c r="T26" s="73">
        <v>-19446</v>
      </c>
      <c r="U26" s="73">
        <v>-11491204</v>
      </c>
      <c r="V26" s="73">
        <v>-17565</v>
      </c>
      <c r="W26" s="73">
        <v>-82</v>
      </c>
      <c r="X26" s="73">
        <v>-2085245</v>
      </c>
      <c r="Y26" s="73">
        <v>-1402</v>
      </c>
      <c r="Z26" s="73">
        <v>-5436</v>
      </c>
      <c r="AA26" s="73">
        <v>-145</v>
      </c>
      <c r="AB26" s="73">
        <v>0</v>
      </c>
      <c r="AC26" s="73">
        <v>-5396968</v>
      </c>
      <c r="AD26" s="73">
        <v>0</v>
      </c>
      <c r="AE26" s="93">
        <v>-2261827</v>
      </c>
    </row>
    <row r="27" spans="1:31">
      <c r="A27" s="71" t="s">
        <v>878</v>
      </c>
      <c r="B27" s="71" t="s">
        <v>529</v>
      </c>
      <c r="C27" s="74" t="s">
        <v>387</v>
      </c>
      <c r="D27" s="73">
        <v>0</v>
      </c>
      <c r="E27" s="73">
        <v>0</v>
      </c>
      <c r="F27" s="73">
        <v>0</v>
      </c>
      <c r="G27" s="73">
        <v>0</v>
      </c>
      <c r="H27" s="73">
        <v>0</v>
      </c>
      <c r="I27" s="73">
        <v>-272341</v>
      </c>
      <c r="J27" s="73">
        <v>0</v>
      </c>
      <c r="K27" s="73">
        <v>-1106</v>
      </c>
      <c r="L27" s="73">
        <v>0</v>
      </c>
      <c r="M27" s="73">
        <v>-2903</v>
      </c>
      <c r="N27" s="73">
        <v>0</v>
      </c>
      <c r="O27" s="73">
        <v>0</v>
      </c>
      <c r="P27" s="73">
        <v>-9114</v>
      </c>
      <c r="Q27" s="73">
        <v>0</v>
      </c>
      <c r="R27" s="73">
        <v>-35427</v>
      </c>
      <c r="S27" s="73">
        <v>0</v>
      </c>
      <c r="T27" s="73">
        <v>0</v>
      </c>
      <c r="U27" s="73">
        <v>0</v>
      </c>
      <c r="V27" s="73">
        <v>0</v>
      </c>
      <c r="W27" s="73">
        <v>0</v>
      </c>
      <c r="X27" s="73">
        <v>0</v>
      </c>
      <c r="Y27" s="73">
        <v>-38</v>
      </c>
      <c r="Z27" s="73">
        <v>-8</v>
      </c>
      <c r="AA27" s="73">
        <v>0</v>
      </c>
      <c r="AB27" s="73">
        <v>0</v>
      </c>
      <c r="AC27" s="73">
        <v>-493940</v>
      </c>
      <c r="AD27" s="73">
        <v>0</v>
      </c>
      <c r="AE27" s="93">
        <v>-1230</v>
      </c>
    </row>
    <row r="28" spans="1:31">
      <c r="A28" s="71" t="s">
        <v>878</v>
      </c>
      <c r="B28" s="71" t="s">
        <v>533</v>
      </c>
      <c r="C28" s="74" t="s">
        <v>387</v>
      </c>
      <c r="D28" s="73">
        <v>0</v>
      </c>
      <c r="E28" s="73">
        <v>-4565</v>
      </c>
      <c r="F28" s="73">
        <v>0</v>
      </c>
      <c r="G28" s="73">
        <v>-3022</v>
      </c>
      <c r="H28" s="73">
        <v>-17739</v>
      </c>
      <c r="I28" s="73">
        <v>-2818</v>
      </c>
      <c r="J28" s="73">
        <v>0</v>
      </c>
      <c r="K28" s="73">
        <v>0</v>
      </c>
      <c r="L28" s="73">
        <v>0</v>
      </c>
      <c r="M28" s="73">
        <v>-3328</v>
      </c>
      <c r="N28" s="73">
        <v>-1563</v>
      </c>
      <c r="O28" s="73">
        <v>-185204</v>
      </c>
      <c r="P28" s="73">
        <v>-12439</v>
      </c>
      <c r="Q28" s="73">
        <v>-118</v>
      </c>
      <c r="R28" s="73">
        <v>-216091</v>
      </c>
      <c r="S28" s="73">
        <v>-12369</v>
      </c>
      <c r="T28" s="73">
        <v>-58387</v>
      </c>
      <c r="U28" s="73">
        <v>0</v>
      </c>
      <c r="V28" s="73">
        <v>-620</v>
      </c>
      <c r="W28" s="73">
        <v>-46554</v>
      </c>
      <c r="X28" s="73">
        <v>-63257</v>
      </c>
      <c r="Y28" s="73">
        <v>-3947</v>
      </c>
      <c r="Z28" s="73">
        <v>-10180</v>
      </c>
      <c r="AA28" s="73">
        <v>0</v>
      </c>
      <c r="AB28" s="73">
        <v>0</v>
      </c>
      <c r="AC28" s="73">
        <v>-81184</v>
      </c>
      <c r="AD28" s="73">
        <v>0</v>
      </c>
      <c r="AE28" s="93">
        <v>-25343</v>
      </c>
    </row>
    <row r="29" spans="1:31">
      <c r="A29" s="71" t="s">
        <v>878</v>
      </c>
      <c r="B29" s="71" t="s">
        <v>535</v>
      </c>
      <c r="C29" s="74" t="s">
        <v>387</v>
      </c>
      <c r="D29" s="73">
        <v>0</v>
      </c>
      <c r="E29" s="73">
        <v>0</v>
      </c>
      <c r="F29" s="73">
        <v>-42266</v>
      </c>
      <c r="G29" s="73">
        <v>-48453</v>
      </c>
      <c r="H29" s="73">
        <v>-6532</v>
      </c>
      <c r="I29" s="73">
        <v>-59492</v>
      </c>
      <c r="J29" s="73">
        <v>-1273702</v>
      </c>
      <c r="K29" s="73">
        <v>0</v>
      </c>
      <c r="L29" s="73">
        <v>-1967</v>
      </c>
      <c r="M29" s="73">
        <v>-322906</v>
      </c>
      <c r="N29" s="73">
        <v>-710</v>
      </c>
      <c r="O29" s="73">
        <v>-870229</v>
      </c>
      <c r="P29" s="73">
        <v>-182990</v>
      </c>
      <c r="Q29" s="73">
        <v>-357753</v>
      </c>
      <c r="R29" s="73">
        <v>-517177</v>
      </c>
      <c r="S29" s="73">
        <v>-1113726</v>
      </c>
      <c r="T29" s="73">
        <v>-2226700</v>
      </c>
      <c r="U29" s="73">
        <v>-34396</v>
      </c>
      <c r="V29" s="73">
        <v>-1292330</v>
      </c>
      <c r="W29" s="73">
        <v>-364988</v>
      </c>
      <c r="X29" s="73">
        <v>-143453</v>
      </c>
      <c r="Y29" s="73">
        <v>-166215</v>
      </c>
      <c r="Z29" s="73">
        <v>-2166722</v>
      </c>
      <c r="AA29" s="73">
        <v>-24960</v>
      </c>
      <c r="AB29" s="73">
        <v>0</v>
      </c>
      <c r="AC29" s="73">
        <v>-2104678</v>
      </c>
      <c r="AD29" s="73">
        <v>-1063121</v>
      </c>
      <c r="AE29" s="93">
        <v>-2700523</v>
      </c>
    </row>
    <row r="30" spans="1:31">
      <c r="A30" s="71" t="s">
        <v>878</v>
      </c>
      <c r="B30" s="71" t="s">
        <v>537</v>
      </c>
      <c r="C30" s="74" t="s">
        <v>387</v>
      </c>
      <c r="D30" s="73">
        <v>-4917</v>
      </c>
      <c r="E30" s="73">
        <v>-11602</v>
      </c>
      <c r="F30" s="73">
        <v>-13677</v>
      </c>
      <c r="G30" s="73">
        <v>-99946</v>
      </c>
      <c r="H30" s="73">
        <v>0</v>
      </c>
      <c r="I30" s="73">
        <v>-53147</v>
      </c>
      <c r="J30" s="73">
        <v>-101586</v>
      </c>
      <c r="K30" s="73">
        <v>-23277</v>
      </c>
      <c r="L30" s="73">
        <v>-741</v>
      </c>
      <c r="M30" s="73">
        <v>-224859</v>
      </c>
      <c r="N30" s="73">
        <v>0</v>
      </c>
      <c r="O30" s="73">
        <v>-80586</v>
      </c>
      <c r="P30" s="73">
        <v>-99712</v>
      </c>
      <c r="Q30" s="73">
        <v>-191542</v>
      </c>
      <c r="R30" s="73">
        <v>-327680</v>
      </c>
      <c r="S30" s="73">
        <v>-360439</v>
      </c>
      <c r="T30" s="73">
        <v>-676029</v>
      </c>
      <c r="U30" s="73">
        <v>-4879</v>
      </c>
      <c r="V30" s="73">
        <v>-35328</v>
      </c>
      <c r="W30" s="73">
        <v>0</v>
      </c>
      <c r="X30" s="73">
        <v>-151942</v>
      </c>
      <c r="Y30" s="73">
        <v>-35527</v>
      </c>
      <c r="Z30" s="73">
        <v>-26434</v>
      </c>
      <c r="AA30" s="73">
        <v>-11479</v>
      </c>
      <c r="AB30" s="73">
        <v>0</v>
      </c>
      <c r="AC30" s="73">
        <v>-74627</v>
      </c>
      <c r="AD30" s="73">
        <v>0</v>
      </c>
      <c r="AE30" s="93">
        <v>-74476</v>
      </c>
    </row>
    <row r="31" spans="1:31" ht="15" customHeight="1">
      <c r="A31" s="71" t="s">
        <v>878</v>
      </c>
      <c r="B31" s="71" t="s">
        <v>541</v>
      </c>
      <c r="C31" s="74" t="s">
        <v>387</v>
      </c>
      <c r="D31" s="73">
        <v>0</v>
      </c>
      <c r="E31" s="73">
        <v>-1870917</v>
      </c>
      <c r="F31" s="73">
        <v>-220754</v>
      </c>
      <c r="G31" s="73">
        <v>-327804</v>
      </c>
      <c r="H31" s="73">
        <v>-3686091</v>
      </c>
      <c r="I31" s="73">
        <v>-3939067</v>
      </c>
      <c r="J31" s="73">
        <v>-2605623</v>
      </c>
      <c r="K31" s="73">
        <v>0</v>
      </c>
      <c r="L31" s="73">
        <v>0</v>
      </c>
      <c r="M31" s="73">
        <v>-2692600</v>
      </c>
      <c r="N31" s="73">
        <v>0</v>
      </c>
      <c r="O31" s="73">
        <v>-126779</v>
      </c>
      <c r="P31" s="73">
        <v>0</v>
      </c>
      <c r="Q31" s="73">
        <v>-4308754</v>
      </c>
      <c r="R31" s="73">
        <v>-311516</v>
      </c>
      <c r="S31" s="73">
        <v>-458173</v>
      </c>
      <c r="T31" s="73">
        <v>-1734770</v>
      </c>
      <c r="U31" s="73">
        <v>-528502</v>
      </c>
      <c r="V31" s="73">
        <v>0</v>
      </c>
      <c r="W31" s="73">
        <v>0</v>
      </c>
      <c r="X31" s="73">
        <v>-1243385</v>
      </c>
      <c r="Y31" s="73">
        <v>-43076</v>
      </c>
      <c r="Z31" s="73">
        <v>-6125905</v>
      </c>
      <c r="AA31" s="73">
        <v>-392</v>
      </c>
      <c r="AB31" s="73">
        <v>-937080</v>
      </c>
      <c r="AC31" s="73">
        <v>-8940619</v>
      </c>
      <c r="AD31" s="73">
        <v>0</v>
      </c>
      <c r="AE31" s="93">
        <v>-4589619</v>
      </c>
    </row>
    <row r="32" spans="1:31">
      <c r="A32" s="71" t="s">
        <v>878</v>
      </c>
      <c r="B32" s="71" t="s">
        <v>543</v>
      </c>
      <c r="C32" s="74" t="s">
        <v>387</v>
      </c>
      <c r="D32" s="73">
        <v>-4679</v>
      </c>
      <c r="E32" s="73">
        <v>-12868</v>
      </c>
      <c r="F32" s="73">
        <v>-10794</v>
      </c>
      <c r="G32" s="73">
        <v>-33682</v>
      </c>
      <c r="H32" s="73">
        <v>-9692</v>
      </c>
      <c r="I32" s="73">
        <v>-74281</v>
      </c>
      <c r="J32" s="73">
        <v>-1345420</v>
      </c>
      <c r="K32" s="73">
        <v>0</v>
      </c>
      <c r="L32" s="73">
        <v>-73947</v>
      </c>
      <c r="M32" s="73">
        <v>-386444</v>
      </c>
      <c r="N32" s="73">
        <v>-3426</v>
      </c>
      <c r="O32" s="73">
        <v>-806256</v>
      </c>
      <c r="P32" s="73">
        <v>-88775</v>
      </c>
      <c r="Q32" s="73">
        <v>-678168</v>
      </c>
      <c r="R32" s="73">
        <v>-443348</v>
      </c>
      <c r="S32" s="73">
        <v>-1103812</v>
      </c>
      <c r="T32" s="73">
        <v>-2166734</v>
      </c>
      <c r="U32" s="73">
        <v>-17899</v>
      </c>
      <c r="V32" s="73">
        <v>-627970</v>
      </c>
      <c r="W32" s="73">
        <v>-112127</v>
      </c>
      <c r="X32" s="73">
        <v>-237826</v>
      </c>
      <c r="Y32" s="73">
        <v>-183671</v>
      </c>
      <c r="Z32" s="73">
        <v>-483351</v>
      </c>
      <c r="AA32" s="73">
        <v>0</v>
      </c>
      <c r="AB32" s="73">
        <v>0</v>
      </c>
      <c r="AC32" s="73">
        <v>-256188</v>
      </c>
      <c r="AD32" s="73">
        <v>-506053</v>
      </c>
      <c r="AE32" s="93">
        <v>-1966863</v>
      </c>
    </row>
    <row r="33" spans="1:31">
      <c r="A33" s="71" t="s">
        <v>878</v>
      </c>
      <c r="B33" s="71" t="s">
        <v>548</v>
      </c>
      <c r="C33" s="74" t="s">
        <v>387</v>
      </c>
      <c r="D33" s="73">
        <v>-63</v>
      </c>
      <c r="E33" s="73">
        <v>-238456</v>
      </c>
      <c r="F33" s="73">
        <v>-29405</v>
      </c>
      <c r="G33" s="73">
        <v>-31943</v>
      </c>
      <c r="H33" s="73">
        <v>-14403</v>
      </c>
      <c r="I33" s="73">
        <v>-124711</v>
      </c>
      <c r="J33" s="73">
        <v>-1052589</v>
      </c>
      <c r="K33" s="73">
        <v>-1</v>
      </c>
      <c r="L33" s="73">
        <v>-219286</v>
      </c>
      <c r="M33" s="73">
        <v>-72596</v>
      </c>
      <c r="N33" s="73">
        <v>-6826</v>
      </c>
      <c r="O33" s="73">
        <v>-419547</v>
      </c>
      <c r="P33" s="73">
        <v>-155305</v>
      </c>
      <c r="Q33" s="73">
        <v>-166654</v>
      </c>
      <c r="R33" s="73">
        <v>-216051</v>
      </c>
      <c r="S33" s="73">
        <v>-561935</v>
      </c>
      <c r="T33" s="73">
        <v>-959873</v>
      </c>
      <c r="U33" s="73">
        <v>-25295</v>
      </c>
      <c r="V33" s="73">
        <v>-57504</v>
      </c>
      <c r="W33" s="73">
        <v>-110766</v>
      </c>
      <c r="X33" s="73">
        <v>-337665</v>
      </c>
      <c r="Y33" s="73">
        <v>-159857</v>
      </c>
      <c r="Z33" s="73">
        <v>-1229387</v>
      </c>
      <c r="AA33" s="73">
        <v>-153417</v>
      </c>
      <c r="AB33" s="73">
        <v>0</v>
      </c>
      <c r="AC33" s="73">
        <v>-1849940</v>
      </c>
      <c r="AD33" s="73">
        <v>-99127</v>
      </c>
      <c r="AE33" s="93">
        <v>-498619</v>
      </c>
    </row>
    <row r="34" spans="1:31">
      <c r="A34" s="71" t="s">
        <v>878</v>
      </c>
      <c r="B34" s="71" t="s">
        <v>550</v>
      </c>
      <c r="C34" s="74" t="s">
        <v>387</v>
      </c>
      <c r="D34" s="73">
        <v>-10</v>
      </c>
      <c r="E34" s="73">
        <v>-89593</v>
      </c>
      <c r="F34" s="73">
        <v>-3733</v>
      </c>
      <c r="G34" s="73">
        <v>-8991</v>
      </c>
      <c r="H34" s="73">
        <v>-708</v>
      </c>
      <c r="I34" s="73">
        <v>-9236</v>
      </c>
      <c r="J34" s="73">
        <v>-262321</v>
      </c>
      <c r="K34" s="73">
        <v>-1439</v>
      </c>
      <c r="L34" s="73">
        <v>-3368</v>
      </c>
      <c r="M34" s="73">
        <v>-41608</v>
      </c>
      <c r="N34" s="73">
        <v>0</v>
      </c>
      <c r="O34" s="73">
        <v>-669440</v>
      </c>
      <c r="P34" s="73">
        <v>-14143</v>
      </c>
      <c r="Q34" s="73">
        <v>-59690</v>
      </c>
      <c r="R34" s="73">
        <v>-47272</v>
      </c>
      <c r="S34" s="73">
        <v>-175300</v>
      </c>
      <c r="T34" s="73">
        <v>-493210</v>
      </c>
      <c r="U34" s="73">
        <v>-33848</v>
      </c>
      <c r="V34" s="73">
        <v>-270007</v>
      </c>
      <c r="W34" s="73">
        <v>-122829</v>
      </c>
      <c r="X34" s="73">
        <v>-20171</v>
      </c>
      <c r="Y34" s="73">
        <v>-42565</v>
      </c>
      <c r="Z34" s="73">
        <v>-719016</v>
      </c>
      <c r="AA34" s="73">
        <v>0</v>
      </c>
      <c r="AB34" s="73">
        <v>0</v>
      </c>
      <c r="AC34" s="73">
        <v>-108056</v>
      </c>
      <c r="AD34" s="73">
        <v>-568277</v>
      </c>
      <c r="AE34" s="93">
        <v>-418898</v>
      </c>
    </row>
    <row r="35" spans="1:31">
      <c r="A35" s="71" t="s">
        <v>878</v>
      </c>
      <c r="B35" s="71" t="s">
        <v>552</v>
      </c>
      <c r="C35" s="74" t="s">
        <v>387</v>
      </c>
      <c r="D35" s="73">
        <v>-4216</v>
      </c>
      <c r="E35" s="73">
        <v>-365758</v>
      </c>
      <c r="F35" s="73">
        <v>-35260</v>
      </c>
      <c r="G35" s="73">
        <v>-82629</v>
      </c>
      <c r="H35" s="73">
        <v>-114639</v>
      </c>
      <c r="I35" s="73">
        <v>-100916</v>
      </c>
      <c r="J35" s="73">
        <v>-48304</v>
      </c>
      <c r="K35" s="73">
        <v>0</v>
      </c>
      <c r="L35" s="73">
        <v>0</v>
      </c>
      <c r="M35" s="73">
        <v>0</v>
      </c>
      <c r="N35" s="73">
        <v>-7393</v>
      </c>
      <c r="O35" s="73">
        <v>-78286</v>
      </c>
      <c r="P35" s="73">
        <v>-24407</v>
      </c>
      <c r="Q35" s="73">
        <v>-397421</v>
      </c>
      <c r="R35" s="73">
        <v>-92316</v>
      </c>
      <c r="S35" s="73">
        <v>-119553</v>
      </c>
      <c r="T35" s="73">
        <v>-222974</v>
      </c>
      <c r="U35" s="73">
        <v>-16788</v>
      </c>
      <c r="V35" s="73">
        <v>-25809</v>
      </c>
      <c r="W35" s="73">
        <v>-3027</v>
      </c>
      <c r="X35" s="73">
        <v>-162885</v>
      </c>
      <c r="Y35" s="73">
        <v>-13616</v>
      </c>
      <c r="Z35" s="73">
        <v>-1816819</v>
      </c>
      <c r="AA35" s="73">
        <v>-1191</v>
      </c>
      <c r="AB35" s="73">
        <v>0</v>
      </c>
      <c r="AC35" s="73">
        <v>-247772</v>
      </c>
      <c r="AD35" s="73">
        <v>-26407</v>
      </c>
      <c r="AE35" s="93">
        <v>-2380770</v>
      </c>
    </row>
    <row r="36" spans="1:31">
      <c r="A36" s="71" t="s">
        <v>878</v>
      </c>
      <c r="B36" s="71" t="s">
        <v>554</v>
      </c>
      <c r="C36" s="74" t="s">
        <v>387</v>
      </c>
      <c r="D36" s="73">
        <v>0</v>
      </c>
      <c r="E36" s="73">
        <v>-358598</v>
      </c>
      <c r="F36" s="73">
        <v>-3304</v>
      </c>
      <c r="G36" s="73">
        <v>-17831</v>
      </c>
      <c r="H36" s="73">
        <v>0</v>
      </c>
      <c r="I36" s="73">
        <v>0</v>
      </c>
      <c r="J36" s="73">
        <v>-193973</v>
      </c>
      <c r="K36" s="73">
        <v>-5867</v>
      </c>
      <c r="L36" s="73">
        <v>0</v>
      </c>
      <c r="M36" s="73">
        <v>-7937</v>
      </c>
      <c r="N36" s="73">
        <v>0</v>
      </c>
      <c r="O36" s="73">
        <v>0</v>
      </c>
      <c r="P36" s="73">
        <v>-875</v>
      </c>
      <c r="Q36" s="73">
        <v>-102072</v>
      </c>
      <c r="R36" s="73">
        <v>-47488</v>
      </c>
      <c r="S36" s="73">
        <v>-251381</v>
      </c>
      <c r="T36" s="73">
        <v>-561489</v>
      </c>
      <c r="U36" s="73">
        <v>-7400</v>
      </c>
      <c r="V36" s="73">
        <v>-327198</v>
      </c>
      <c r="W36" s="73">
        <v>-87</v>
      </c>
      <c r="X36" s="73">
        <v>-64015</v>
      </c>
      <c r="Y36" s="73">
        <v>-37594</v>
      </c>
      <c r="Z36" s="73">
        <v>-1036553</v>
      </c>
      <c r="AA36" s="73">
        <v>-48707</v>
      </c>
      <c r="AB36" s="73">
        <v>-1424</v>
      </c>
      <c r="AC36" s="73">
        <v>-799817</v>
      </c>
      <c r="AD36" s="73">
        <v>-203735</v>
      </c>
      <c r="AE36" s="93">
        <v>0</v>
      </c>
    </row>
    <row r="37" spans="1:31">
      <c r="A37" s="76" t="s">
        <v>878</v>
      </c>
      <c r="B37" s="76" t="s">
        <v>556</v>
      </c>
      <c r="C37" s="77" t="s">
        <v>387</v>
      </c>
      <c r="D37" s="73">
        <v>-406998</v>
      </c>
      <c r="E37" s="73">
        <v>-3848250</v>
      </c>
      <c r="F37" s="73">
        <v>-2406637</v>
      </c>
      <c r="G37" s="73">
        <v>-2723989</v>
      </c>
      <c r="H37" s="73">
        <v>-539159</v>
      </c>
      <c r="I37" s="73">
        <v>-4418235</v>
      </c>
      <c r="J37" s="73">
        <v>-992215</v>
      </c>
      <c r="K37" s="73">
        <v>-20216</v>
      </c>
      <c r="L37" s="73">
        <v>-2680879</v>
      </c>
      <c r="M37" s="73">
        <v>-8655286</v>
      </c>
      <c r="N37" s="73">
        <v>0</v>
      </c>
      <c r="O37" s="73">
        <v>-34195</v>
      </c>
      <c r="P37" s="73">
        <v>-97438</v>
      </c>
      <c r="Q37" s="73">
        <v>-4492496</v>
      </c>
      <c r="R37" s="73">
        <v>-72239</v>
      </c>
      <c r="S37" s="73">
        <v>-24579</v>
      </c>
      <c r="T37" s="73">
        <v>-140723</v>
      </c>
      <c r="U37" s="73">
        <v>-345189</v>
      </c>
      <c r="V37" s="73">
        <v>0</v>
      </c>
      <c r="W37" s="73">
        <v>0</v>
      </c>
      <c r="X37" s="73">
        <v>-4249044</v>
      </c>
      <c r="Y37" s="73">
        <v>0</v>
      </c>
      <c r="Z37" s="73">
        <v>-38966429</v>
      </c>
      <c r="AA37" s="73">
        <v>-2606921</v>
      </c>
      <c r="AB37" s="73">
        <v>-4219064</v>
      </c>
      <c r="AC37" s="73">
        <v>-11740200</v>
      </c>
      <c r="AD37" s="73">
        <v>-2504</v>
      </c>
      <c r="AE37" s="93">
        <v>-6720184</v>
      </c>
    </row>
    <row r="38" spans="1:31">
      <c r="A38" s="76" t="s">
        <v>878</v>
      </c>
      <c r="B38" s="76" t="s">
        <v>558</v>
      </c>
      <c r="C38" s="77" t="s">
        <v>387</v>
      </c>
      <c r="D38" s="81">
        <v>-586</v>
      </c>
      <c r="E38" s="82">
        <v>-2317</v>
      </c>
      <c r="F38" s="82">
        <v>-51684.52915171472</v>
      </c>
      <c r="G38" s="82">
        <v>-7027</v>
      </c>
      <c r="H38" s="82">
        <v>-12774</v>
      </c>
      <c r="I38" s="82">
        <v>-17453</v>
      </c>
      <c r="J38" s="82">
        <v>-292054</v>
      </c>
      <c r="K38" s="82">
        <v>-256</v>
      </c>
      <c r="L38" s="82">
        <v>-29314</v>
      </c>
      <c r="M38" s="82">
        <v>-195125</v>
      </c>
      <c r="N38" s="82">
        <v>-3305</v>
      </c>
      <c r="O38" s="82">
        <v>-98289</v>
      </c>
      <c r="P38" s="82">
        <v>-44311</v>
      </c>
      <c r="Q38" s="82">
        <v>-100767</v>
      </c>
      <c r="R38" s="82">
        <v>-142723</v>
      </c>
      <c r="S38" s="82">
        <v>-398885</v>
      </c>
      <c r="T38" s="82">
        <v>-1042771</v>
      </c>
      <c r="U38" s="82">
        <v>-39371</v>
      </c>
      <c r="V38" s="82">
        <v>-175692</v>
      </c>
      <c r="W38" s="82">
        <v>-27003</v>
      </c>
      <c r="X38" s="82">
        <v>-69321</v>
      </c>
      <c r="Y38" s="82">
        <v>-25398</v>
      </c>
      <c r="Z38" s="82">
        <v>-565775</v>
      </c>
      <c r="AA38" s="82">
        <v>0</v>
      </c>
      <c r="AB38" s="82">
        <v>0</v>
      </c>
      <c r="AC38" s="82">
        <v>-615186</v>
      </c>
      <c r="AD38" s="82">
        <v>-215120</v>
      </c>
      <c r="AE38" s="83">
        <v>-1419099</v>
      </c>
    </row>
    <row r="41" spans="1:31">
      <c r="F41" s="58"/>
    </row>
  </sheetData>
  <mergeCells count="1">
    <mergeCell ref="A1:A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403AD-55C1-4E81-A51E-762A40871A51}">
  <sheetPr>
    <tabColor theme="4" tint="0.39997558519241921"/>
  </sheetPr>
  <dimension ref="A1:AK244"/>
  <sheetViews>
    <sheetView topLeftCell="A190" workbookViewId="0">
      <selection activeCell="A206" sqref="A206"/>
    </sheetView>
  </sheetViews>
  <sheetFormatPr defaultRowHeight="15.6"/>
  <cols>
    <col min="1" max="1" width="35.19921875" bestFit="1" customWidth="1"/>
    <col min="2" max="2" width="35.09765625" bestFit="1" customWidth="1"/>
    <col min="3" max="3" width="25.8984375" bestFit="1" customWidth="1"/>
    <col min="4" max="4" width="21.5" bestFit="1" customWidth="1"/>
    <col min="5" max="5" width="25.8984375" bestFit="1" customWidth="1"/>
    <col min="6" max="9" width="13.69921875" bestFit="1" customWidth="1"/>
    <col min="10" max="11" width="11.69921875" bestFit="1" customWidth="1"/>
    <col min="12" max="12" width="10.09765625" bestFit="1" customWidth="1"/>
    <col min="13" max="13" width="12.59765625" bestFit="1" customWidth="1"/>
    <col min="14" max="14" width="9.69921875" bestFit="1" customWidth="1"/>
    <col min="15" max="15" width="11.09765625" bestFit="1" customWidth="1"/>
    <col min="16" max="16" width="11.69921875" bestFit="1" customWidth="1"/>
    <col min="17" max="20" width="11.09765625" bestFit="1" customWidth="1"/>
    <col min="21" max="21" width="12.59765625" bestFit="1" customWidth="1"/>
    <col min="22" max="24" width="11.09765625" bestFit="1" customWidth="1"/>
    <col min="25" max="25" width="11.69921875" bestFit="1" customWidth="1"/>
    <col min="26" max="26" width="10.09765625" bestFit="1" customWidth="1"/>
    <col min="27" max="27" width="11.69921875" bestFit="1" customWidth="1"/>
    <col min="28" max="28" width="12.59765625" bestFit="1" customWidth="1"/>
    <col min="29" max="29" width="11.09765625" bestFit="1" customWidth="1"/>
    <col min="30" max="30" width="11.69921875" bestFit="1" customWidth="1"/>
    <col min="31" max="31" width="10.69921875" bestFit="1" customWidth="1"/>
    <col min="32" max="32" width="11.69921875" bestFit="1" customWidth="1"/>
  </cols>
  <sheetData>
    <row r="1" spans="1:29">
      <c r="A1" s="345" t="s">
        <v>879</v>
      </c>
    </row>
    <row r="3" spans="1:29">
      <c r="A3" s="175" t="s">
        <v>880</v>
      </c>
    </row>
    <row r="5" spans="1:29">
      <c r="A5" s="175" t="s">
        <v>387</v>
      </c>
    </row>
    <row r="6" spans="1:29">
      <c r="A6" s="227" t="s">
        <v>881</v>
      </c>
      <c r="B6" s="358" t="s">
        <v>172</v>
      </c>
      <c r="C6" s="358" t="s">
        <v>175</v>
      </c>
      <c r="D6" s="358" t="s">
        <v>178</v>
      </c>
      <c r="E6" s="358" t="s">
        <v>181</v>
      </c>
      <c r="F6" s="358" t="s">
        <v>184</v>
      </c>
      <c r="G6" s="358" t="s">
        <v>187</v>
      </c>
      <c r="H6" s="358" t="s">
        <v>190</v>
      </c>
      <c r="I6" s="358" t="s">
        <v>193</v>
      </c>
      <c r="J6" s="358" t="s">
        <v>196</v>
      </c>
      <c r="K6" s="358" t="s">
        <v>198</v>
      </c>
      <c r="L6" s="358" t="s">
        <v>200</v>
      </c>
      <c r="M6" s="358" t="s">
        <v>202</v>
      </c>
      <c r="N6" s="358" t="s">
        <v>205</v>
      </c>
      <c r="O6" s="358" t="s">
        <v>208</v>
      </c>
      <c r="P6" s="358" t="s">
        <v>211</v>
      </c>
      <c r="Q6" s="358" t="s">
        <v>214</v>
      </c>
      <c r="R6" s="358" t="s">
        <v>217</v>
      </c>
      <c r="S6" s="358" t="s">
        <v>220</v>
      </c>
      <c r="T6" s="358" t="s">
        <v>223</v>
      </c>
      <c r="U6" s="358" t="s">
        <v>225</v>
      </c>
      <c r="V6" s="358" t="s">
        <v>227</v>
      </c>
      <c r="W6" s="358" t="s">
        <v>230</v>
      </c>
      <c r="X6" s="358" t="s">
        <v>233</v>
      </c>
      <c r="Y6" s="358" t="s">
        <v>236</v>
      </c>
      <c r="Z6" s="358" t="s">
        <v>238</v>
      </c>
      <c r="AA6" s="358" t="s">
        <v>240</v>
      </c>
      <c r="AB6" s="358" t="s">
        <v>243</v>
      </c>
      <c r="AC6" s="228" t="s">
        <v>245</v>
      </c>
    </row>
    <row r="7" spans="1:29">
      <c r="A7" s="215" t="s">
        <v>172</v>
      </c>
      <c r="B7" s="209" cm="1">
        <f t="array" ref="B7">IF(SUMPRODUCT(('IGU(2020)_LNG_TRADE'!$C$3:$V$3=$A7)*('IGU(2020)_LNG_TRADE'!$A$5:$A$46=B$6))=0,0,SUMPRODUCT(('IGU(2020)_LNG_TRADE'!$C$3:$V$3=$A7)*('IGU(2020)_LNG_TRADE'!$A$5:$A$46=B$6)*'IGU(2020)_LNG_TRADE'!$C$5:$V$46)*10^6*Legend!$B$92*Legend!$B$82*Legend!$B$84*10^-3)</f>
        <v>0</v>
      </c>
      <c r="C7" s="209" cm="1">
        <f t="array" ref="C7">IF(SUMPRODUCT(('IGU(2020)_LNG_TRADE'!$C$3:$V$3=$A7)*('IGU(2020)_LNG_TRADE'!$A$5:$A$46=C$6))=0,0,SUMPRODUCT(('IGU(2020)_LNG_TRADE'!$C$3:$V$3=$A7)*('IGU(2020)_LNG_TRADE'!$A$5:$A$46=C$6)*'IGU(2020)_LNG_TRADE'!$C$5:$V$46)*10^6*Legend!$B$92*Legend!$B$82*Legend!$B$84*10^-3)</f>
        <v>0</v>
      </c>
      <c r="D7" s="209" cm="1">
        <f t="array" ref="D7">IF(SUMPRODUCT(('IGU(2020)_LNG_TRADE'!$C$3:$V$3=$A7)*('IGU(2020)_LNG_TRADE'!$A$5:$A$46=D$6))=0,0,SUMPRODUCT(('IGU(2020)_LNG_TRADE'!$C$3:$V$3=$A7)*('IGU(2020)_LNG_TRADE'!$A$5:$A$46=D$6)*'IGU(2020)_LNG_TRADE'!$C$5:$V$46)*10^6*Legend!$B$92*Legend!$B$82*Legend!$B$84*10^-3)</f>
        <v>0</v>
      </c>
      <c r="E7" s="209" cm="1">
        <f t="array" ref="E7">IF(SUMPRODUCT(('IGU(2020)_LNG_TRADE'!$C$3:$V$3=$A7)*('IGU(2020)_LNG_TRADE'!$A$5:$A$46=E$6))=0,0,SUMPRODUCT(('IGU(2020)_LNG_TRADE'!$C$3:$V$3=$A7)*('IGU(2020)_LNG_TRADE'!$A$5:$A$46=E$6)*'IGU(2020)_LNG_TRADE'!$C$5:$V$46)*10^6*Legend!$B$92*Legend!$B$82*Legend!$B$84*10^-3)</f>
        <v>0</v>
      </c>
      <c r="F7" s="209" cm="1">
        <f t="array" ref="F7">IF(SUMPRODUCT(('IGU(2020)_LNG_TRADE'!$C$3:$V$3=$A7)*('IGU(2020)_LNG_TRADE'!$A$5:$A$46=F$6))=0,0,SUMPRODUCT(('IGU(2020)_LNG_TRADE'!$C$3:$V$3=$A7)*('IGU(2020)_LNG_TRADE'!$A$5:$A$46=F$6)*'IGU(2020)_LNG_TRADE'!$C$5:$V$46)*10^6*Legend!$B$92*Legend!$B$82*Legend!$B$84*10^-3)</f>
        <v>0</v>
      </c>
      <c r="G7" s="209" cm="1">
        <f t="array" ref="G7">IF(SUMPRODUCT(('IGU(2020)_LNG_TRADE'!$C$3:$V$3=$A7)*('IGU(2020)_LNG_TRADE'!$A$5:$A$46=G$6))=0,0,SUMPRODUCT(('IGU(2020)_LNG_TRADE'!$C$3:$V$3=$A7)*('IGU(2020)_LNG_TRADE'!$A$5:$A$46=G$6)*'IGU(2020)_LNG_TRADE'!$C$5:$V$46)*10^6*Legend!$B$92*Legend!$B$82*Legend!$B$84*10^-3)</f>
        <v>0</v>
      </c>
      <c r="H7" s="209" cm="1">
        <f t="array" ref="H7">IF(SUMPRODUCT(('IGU(2020)_LNG_TRADE'!$C$3:$V$3=$A7)*('IGU(2020)_LNG_TRADE'!$A$5:$A$46=H$6))=0,0,SUMPRODUCT(('IGU(2020)_LNG_TRADE'!$C$3:$V$3=$A7)*('IGU(2020)_LNG_TRADE'!$A$5:$A$46=H$6)*'IGU(2020)_LNG_TRADE'!$C$5:$V$46)*10^6*Legend!$B$92*Legend!$B$82*Legend!$B$84*10^-3)</f>
        <v>0</v>
      </c>
      <c r="I7" s="209" cm="1">
        <f t="array" ref="I7">IF(SUMPRODUCT(('IGU(2020)_LNG_TRADE'!$C$3:$V$3=$A7)*('IGU(2020)_LNG_TRADE'!$A$5:$A$46=I$6))=0,0,SUMPRODUCT(('IGU(2020)_LNG_TRADE'!$C$3:$V$3=$A7)*('IGU(2020)_LNG_TRADE'!$A$5:$A$46=I$6)*'IGU(2020)_LNG_TRADE'!$C$5:$V$46)*10^6*Legend!$B$92*Legend!$B$82*Legend!$B$84*10^-3)</f>
        <v>0</v>
      </c>
      <c r="J7" s="209" cm="1">
        <f t="array" ref="J7">IF(SUMPRODUCT(('IGU(2020)_LNG_TRADE'!$C$3:$V$3=$A7)*('IGU(2020)_LNG_TRADE'!$A$5:$A$46=J$6))=0,0,SUMPRODUCT(('IGU(2020)_LNG_TRADE'!$C$3:$V$3=$A7)*('IGU(2020)_LNG_TRADE'!$A$5:$A$46=J$6)*'IGU(2020)_LNG_TRADE'!$C$5:$V$46)*10^6*Legend!$B$92*Legend!$B$82*Legend!$B$84*10^-3)</f>
        <v>0</v>
      </c>
      <c r="K7" s="209" cm="1">
        <f t="array" ref="K7">IF(SUMPRODUCT(('IGU(2020)_LNG_TRADE'!$C$3:$V$3=$A7)*('IGU(2020)_LNG_TRADE'!$A$5:$A$46=K$6))=0,0,SUMPRODUCT(('IGU(2020)_LNG_TRADE'!$C$3:$V$3=$A7)*('IGU(2020)_LNG_TRADE'!$A$5:$A$46=K$6)*'IGU(2020)_LNG_TRADE'!$C$5:$V$46)*10^6*Legend!$B$92*Legend!$B$82*Legend!$B$84*10^-3)</f>
        <v>0</v>
      </c>
      <c r="L7" s="209" cm="1">
        <f t="array" ref="L7">IF(SUMPRODUCT(('IGU(2020)_LNG_TRADE'!$C$3:$V$3=$A7)*('IGU(2020)_LNG_TRADE'!$A$5:$A$46=L$6))=0,0,SUMPRODUCT(('IGU(2020)_LNG_TRADE'!$C$3:$V$3=$A7)*('IGU(2020)_LNG_TRADE'!$A$5:$A$46=L$6)*'IGU(2020)_LNG_TRADE'!$C$5:$V$46)*10^6*Legend!$B$92*Legend!$B$82*Legend!$B$84*10^-3)</f>
        <v>0</v>
      </c>
      <c r="M7" s="209" cm="1">
        <f t="array" ref="M7">IF(SUMPRODUCT(('IGU(2020)_LNG_TRADE'!$C$3:$V$3=$A7)*('IGU(2020)_LNG_TRADE'!$A$5:$A$46=M$6))=0,0,SUMPRODUCT(('IGU(2020)_LNG_TRADE'!$C$3:$V$3=$A7)*('IGU(2020)_LNG_TRADE'!$A$5:$A$46=M$6)*'IGU(2020)_LNG_TRADE'!$C$5:$V$46)*10^6*Legend!$B$92*Legend!$B$82*Legend!$B$84*10^-3)</f>
        <v>0</v>
      </c>
      <c r="N7" s="209" cm="1">
        <f t="array" ref="N7">IF(SUMPRODUCT(('IGU(2020)_LNG_TRADE'!$C$3:$V$3=$A7)*('IGU(2020)_LNG_TRADE'!$A$5:$A$46=N$6))=0,0,SUMPRODUCT(('IGU(2020)_LNG_TRADE'!$C$3:$V$3=$A7)*('IGU(2020)_LNG_TRADE'!$A$5:$A$46=N$6)*'IGU(2020)_LNG_TRADE'!$C$5:$V$46)*10^6*Legend!$B$92*Legend!$B$82*Legend!$B$84*10^-3)</f>
        <v>0</v>
      </c>
      <c r="O7" s="209" cm="1">
        <f t="array" ref="O7">IF(SUMPRODUCT(('IGU(2020)_LNG_TRADE'!$C$3:$V$3=$A7)*('IGU(2020)_LNG_TRADE'!$A$5:$A$46=O$6))=0,0,SUMPRODUCT(('IGU(2020)_LNG_TRADE'!$C$3:$V$3=$A7)*('IGU(2020)_LNG_TRADE'!$A$5:$A$46=O$6)*'IGU(2020)_LNG_TRADE'!$C$5:$V$46)*10^6*Legend!$B$92*Legend!$B$82*Legend!$B$84*10^-3)</f>
        <v>0</v>
      </c>
      <c r="P7" s="209" cm="1">
        <f t="array" ref="P7">IF(SUMPRODUCT(('IGU(2020)_LNG_TRADE'!$C$3:$V$3=$A7)*('IGU(2020)_LNG_TRADE'!$A$5:$A$46=P$6))=0,0,SUMPRODUCT(('IGU(2020)_LNG_TRADE'!$C$3:$V$3=$A7)*('IGU(2020)_LNG_TRADE'!$A$5:$A$46=P$6)*'IGU(2020)_LNG_TRADE'!$C$5:$V$46)*10^6*Legend!$B$92*Legend!$B$82*Legend!$B$84*10^-3)</f>
        <v>0</v>
      </c>
      <c r="Q7" s="209" cm="1">
        <f t="array" ref="Q7">IF(SUMPRODUCT(('IGU(2020)_LNG_TRADE'!$C$3:$V$3=$A7)*('IGU(2020)_LNG_TRADE'!$A$5:$A$46=Q$6))=0,0,SUMPRODUCT(('IGU(2020)_LNG_TRADE'!$C$3:$V$3=$A7)*('IGU(2020)_LNG_TRADE'!$A$5:$A$46=Q$6)*'IGU(2020)_LNG_TRADE'!$C$5:$V$46)*10^6*Legend!$B$92*Legend!$B$82*Legend!$B$84*10^-3)</f>
        <v>0</v>
      </c>
      <c r="R7" s="209" cm="1">
        <f t="array" ref="R7">IF(SUMPRODUCT(('IGU(2020)_LNG_TRADE'!$C$3:$V$3=$A7)*('IGU(2020)_LNG_TRADE'!$A$5:$A$46=R$6))=0,0,SUMPRODUCT(('IGU(2020)_LNG_TRADE'!$C$3:$V$3=$A7)*('IGU(2020)_LNG_TRADE'!$A$5:$A$46=R$6)*'IGU(2020)_LNG_TRADE'!$C$5:$V$46)*10^6*Legend!$B$92*Legend!$B$82*Legend!$B$84*10^-3)</f>
        <v>0</v>
      </c>
      <c r="S7" s="209" cm="1">
        <f t="array" ref="S7">IF(SUMPRODUCT(('IGU(2020)_LNG_TRADE'!$C$3:$V$3=$A7)*('IGU(2020)_LNG_TRADE'!$A$5:$A$46=S$6))=0,0,SUMPRODUCT(('IGU(2020)_LNG_TRADE'!$C$3:$V$3=$A7)*('IGU(2020)_LNG_TRADE'!$A$5:$A$46=S$6)*'IGU(2020)_LNG_TRADE'!$C$5:$V$46)*10^6*Legend!$B$92*Legend!$B$82*Legend!$B$84*10^-3)</f>
        <v>0</v>
      </c>
      <c r="T7" s="209" cm="1">
        <f t="array" ref="T7">IF(SUMPRODUCT(('IGU(2020)_LNG_TRADE'!$C$3:$V$3=$A7)*('IGU(2020)_LNG_TRADE'!$A$5:$A$46=T$6))=0,0,SUMPRODUCT(('IGU(2020)_LNG_TRADE'!$C$3:$V$3=$A7)*('IGU(2020)_LNG_TRADE'!$A$5:$A$46=T$6)*'IGU(2020)_LNG_TRADE'!$C$5:$V$46)*10^6*Legend!$B$92*Legend!$B$82*Legend!$B$84*10^-3)</f>
        <v>0</v>
      </c>
      <c r="U7" s="209" cm="1">
        <f t="array" ref="U7">IF(SUMPRODUCT(('IGU(2020)_LNG_TRADE'!$C$3:$V$3=$A7)*('IGU(2020)_LNG_TRADE'!$A$5:$A$46=U$6))=0,0,SUMPRODUCT(('IGU(2020)_LNG_TRADE'!$C$3:$V$3=$A7)*('IGU(2020)_LNG_TRADE'!$A$5:$A$46=U$6)*'IGU(2020)_LNG_TRADE'!$C$5:$V$46)*10^6*Legend!$B$92*Legend!$B$82*Legend!$B$84*10^-3)</f>
        <v>0</v>
      </c>
      <c r="V7" s="209" cm="1">
        <f t="array" ref="V7">IF(SUMPRODUCT(('IGU(2020)_LNG_TRADE'!$C$3:$V$3=$A7)*('IGU(2020)_LNG_TRADE'!$A$5:$A$46=V$6))=0,0,SUMPRODUCT(('IGU(2020)_LNG_TRADE'!$C$3:$V$3=$A7)*('IGU(2020)_LNG_TRADE'!$A$5:$A$46=V$6)*'IGU(2020)_LNG_TRADE'!$C$5:$V$46)*10^6*Legend!$B$92*Legend!$B$82*Legend!$B$84*10^-3)</f>
        <v>0</v>
      </c>
      <c r="W7" s="209" cm="1">
        <f t="array" ref="W7">IF(SUMPRODUCT(('IGU(2020)_LNG_TRADE'!$C$3:$V$3=$A7)*('IGU(2020)_LNG_TRADE'!$A$5:$A$46=W$6))=0,0,SUMPRODUCT(('IGU(2020)_LNG_TRADE'!$C$3:$V$3=$A7)*('IGU(2020)_LNG_TRADE'!$A$5:$A$46=W$6)*'IGU(2020)_LNG_TRADE'!$C$5:$V$46)*10^6*Legend!$B$92*Legend!$B$82*Legend!$B$84*10^-3)</f>
        <v>0</v>
      </c>
      <c r="X7" s="209" cm="1">
        <f t="array" ref="X7">IF(SUMPRODUCT(('IGU(2020)_LNG_TRADE'!$C$3:$V$3=$A7)*('IGU(2020)_LNG_TRADE'!$A$5:$A$46=X$6))=0,0,SUMPRODUCT(('IGU(2020)_LNG_TRADE'!$C$3:$V$3=$A7)*('IGU(2020)_LNG_TRADE'!$A$5:$A$46=X$6)*'IGU(2020)_LNG_TRADE'!$C$5:$V$46)*10^6*Legend!$B$92*Legend!$B$82*Legend!$B$84*10^-3)</f>
        <v>0</v>
      </c>
      <c r="Y7" s="209" cm="1">
        <f t="array" ref="Y7">IF(SUMPRODUCT(('IGU(2020)_LNG_TRADE'!$C$3:$V$3=$A7)*('IGU(2020)_LNG_TRADE'!$A$5:$A$46=Y$6))=0,0,SUMPRODUCT(('IGU(2020)_LNG_TRADE'!$C$3:$V$3=$A7)*('IGU(2020)_LNG_TRADE'!$A$5:$A$46=Y$6)*'IGU(2020)_LNG_TRADE'!$C$5:$V$46)*10^6*Legend!$B$92*Legend!$B$82*Legend!$B$84*10^-3)</f>
        <v>0</v>
      </c>
      <c r="Z7" s="209" cm="1">
        <f t="array" ref="Z7">IF(SUMPRODUCT(('IGU(2020)_LNG_TRADE'!$C$3:$V$3=$A7)*('IGU(2020)_LNG_TRADE'!$A$5:$A$46=Z$6))=0,0,SUMPRODUCT(('IGU(2020)_LNG_TRADE'!$C$3:$V$3=$A7)*('IGU(2020)_LNG_TRADE'!$A$5:$A$46=Z$6)*'IGU(2020)_LNG_TRADE'!$C$5:$V$46)*10^6*Legend!$B$92*Legend!$B$82*Legend!$B$84*10^-3)</f>
        <v>0</v>
      </c>
      <c r="AA7" s="209" cm="1">
        <f t="array" ref="AA7">IF(SUMPRODUCT(('IGU(2020)_LNG_TRADE'!$C$3:$V$3=$A7)*('IGU(2020)_LNG_TRADE'!$A$5:$A$46=AA$6))=0,0,SUMPRODUCT(('IGU(2020)_LNG_TRADE'!$C$3:$V$3=$A7)*('IGU(2020)_LNG_TRADE'!$A$5:$A$46=AA$6)*'IGU(2020)_LNG_TRADE'!$C$5:$V$46)*10^6*Legend!$B$92*Legend!$B$82*Legend!$B$84*10^-3)</f>
        <v>0</v>
      </c>
      <c r="AB7" s="209" cm="1">
        <f t="array" ref="AB7">IF(SUMPRODUCT(('IGU(2020)_LNG_TRADE'!$C$3:$V$3=$A7)*('IGU(2020)_LNG_TRADE'!$A$5:$A$46=AB$6))=0,0,SUMPRODUCT(('IGU(2020)_LNG_TRADE'!$C$3:$V$3=$A7)*('IGU(2020)_LNG_TRADE'!$A$5:$A$46=AB$6)*'IGU(2020)_LNG_TRADE'!$C$5:$V$46)*10^6*Legend!$B$92*Legend!$B$82*Legend!$B$84*10^-3)</f>
        <v>0</v>
      </c>
      <c r="AC7" s="220" cm="1">
        <f t="array" ref="AC7">IF(SUMPRODUCT(('IGU(2020)_LNG_TRADE'!$C$3:$V$3=$A7)*('IGU(2020)_LNG_TRADE'!$A$5:$A$46=AC$6))=0,0,SUMPRODUCT(('IGU(2020)_LNG_TRADE'!$C$3:$V$3=$A7)*('IGU(2020)_LNG_TRADE'!$A$5:$A$46=AC$6)*'IGU(2020)_LNG_TRADE'!$C$5:$V$46)*10^6*Legend!$B$92*Legend!$B$82*Legend!$B$84*10^-3)</f>
        <v>0</v>
      </c>
    </row>
    <row r="8" spans="1:29">
      <c r="A8" s="215" t="s">
        <v>175</v>
      </c>
      <c r="B8" s="209" cm="1">
        <f t="array" ref="B8">IF(SUMPRODUCT(('IGU(2020)_LNG_TRADE'!$C$3:$V$3=$A8)*('IGU(2020)_LNG_TRADE'!$A$5:$A$46=B$6))=0,0,SUMPRODUCT(('IGU(2020)_LNG_TRADE'!$C$3:$V$3=$A8)*('IGU(2020)_LNG_TRADE'!$A$5:$A$46=B$6)*'IGU(2020)_LNG_TRADE'!$C$5:$V$46)*10^6*Legend!$B$92*Legend!$B$82*Legend!$B$84*10^-3)</f>
        <v>0</v>
      </c>
      <c r="C8" s="209" cm="1">
        <f t="array" ref="C8">IF(SUMPRODUCT(('IGU(2020)_LNG_TRADE'!$C$3:$V$3=$A8)*('IGU(2020)_LNG_TRADE'!$A$5:$A$46=C$6))=0,0,SUMPRODUCT(('IGU(2020)_LNG_TRADE'!$C$3:$V$3=$A8)*('IGU(2020)_LNG_TRADE'!$A$5:$A$46=C$6)*'IGU(2020)_LNG_TRADE'!$C$5:$V$46)*10^6*Legend!$B$92*Legend!$B$82*Legend!$B$84*10^-3)</f>
        <v>5631.3156999999983</v>
      </c>
      <c r="D8" s="209" cm="1">
        <f t="array" ref="D8">IF(SUMPRODUCT(('IGU(2020)_LNG_TRADE'!$C$3:$V$3=$A8)*('IGU(2020)_LNG_TRADE'!$A$5:$A$46=D$6))=0,0,SUMPRODUCT(('IGU(2020)_LNG_TRADE'!$C$3:$V$3=$A8)*('IGU(2020)_LNG_TRADE'!$A$5:$A$46=D$6)*'IGU(2020)_LNG_TRADE'!$C$5:$V$46)*10^6*Legend!$B$92*Legend!$B$82*Legend!$B$84*10^-3)</f>
        <v>0</v>
      </c>
      <c r="E8" s="209" cm="1">
        <f t="array" ref="E8">IF(SUMPRODUCT(('IGU(2020)_LNG_TRADE'!$C$3:$V$3=$A8)*('IGU(2020)_LNG_TRADE'!$A$5:$A$46=E$6))=0,0,SUMPRODUCT(('IGU(2020)_LNG_TRADE'!$C$3:$V$3=$A8)*('IGU(2020)_LNG_TRADE'!$A$5:$A$46=E$6)*'IGU(2020)_LNG_TRADE'!$C$5:$V$46)*10^6*Legend!$B$92*Legend!$B$82*Legend!$B$84*10^-3)</f>
        <v>0</v>
      </c>
      <c r="F8" s="209" cm="1">
        <f t="array" ref="F8">IF(SUMPRODUCT(('IGU(2020)_LNG_TRADE'!$C$3:$V$3=$A8)*('IGU(2020)_LNG_TRADE'!$A$5:$A$46=F$6))=0,0,SUMPRODUCT(('IGU(2020)_LNG_TRADE'!$C$3:$V$3=$A8)*('IGU(2020)_LNG_TRADE'!$A$5:$A$46=F$6)*'IGU(2020)_LNG_TRADE'!$C$5:$V$46)*10^6*Legend!$B$92*Legend!$B$82*Legend!$B$84*10^-3)</f>
        <v>0</v>
      </c>
      <c r="G8" s="209" cm="1">
        <f t="array" ref="G8">IF(SUMPRODUCT(('IGU(2020)_LNG_TRADE'!$C$3:$V$3=$A8)*('IGU(2020)_LNG_TRADE'!$A$5:$A$46=G$6))=0,0,SUMPRODUCT(('IGU(2020)_LNG_TRADE'!$C$3:$V$3=$A8)*('IGU(2020)_LNG_TRADE'!$A$5:$A$46=G$6)*'IGU(2020)_LNG_TRADE'!$C$5:$V$46)*10^6*Legend!$B$92*Legend!$B$82*Legend!$B$84*10^-3)</f>
        <v>0</v>
      </c>
      <c r="H8" s="209" cm="1">
        <f t="array" ref="H8">IF(SUMPRODUCT(('IGU(2020)_LNG_TRADE'!$C$3:$V$3=$A8)*('IGU(2020)_LNG_TRADE'!$A$5:$A$46=H$6))=0,0,SUMPRODUCT(('IGU(2020)_LNG_TRADE'!$C$3:$V$3=$A8)*('IGU(2020)_LNG_TRADE'!$A$5:$A$46=H$6)*'IGU(2020)_LNG_TRADE'!$C$5:$V$46)*10^6*Legend!$B$92*Legend!$B$82*Legend!$B$84*10^-3)</f>
        <v>28156.5785</v>
      </c>
      <c r="I8" s="209" cm="1">
        <f t="array" ref="I8">IF(SUMPRODUCT(('IGU(2020)_LNG_TRADE'!$C$3:$V$3=$A8)*('IGU(2020)_LNG_TRADE'!$A$5:$A$46=I$6))=0,0,SUMPRODUCT(('IGU(2020)_LNG_TRADE'!$C$3:$V$3=$A8)*('IGU(2020)_LNG_TRADE'!$A$5:$A$46=I$6)*'IGU(2020)_LNG_TRADE'!$C$5:$V$46)*10^6*Legend!$B$92*Legend!$B$82*Legend!$B$84*10^-3)</f>
        <v>73207.104099999968</v>
      </c>
      <c r="J8" s="209" cm="1">
        <f t="array" ref="J8">IF(SUMPRODUCT(('IGU(2020)_LNG_TRADE'!$C$3:$V$3=$A8)*('IGU(2020)_LNG_TRADE'!$A$5:$A$46=J$6))=0,0,SUMPRODUCT(('IGU(2020)_LNG_TRADE'!$C$3:$V$3=$A8)*('IGU(2020)_LNG_TRADE'!$A$5:$A$46=J$6)*'IGU(2020)_LNG_TRADE'!$C$5:$V$46)*10^6*Legend!$B$92*Legend!$B$82*Legend!$B$84*10^-3)</f>
        <v>0</v>
      </c>
      <c r="K8" s="209" cm="1">
        <f t="array" ref="K8">IF(SUMPRODUCT(('IGU(2020)_LNG_TRADE'!$C$3:$V$3=$A8)*('IGU(2020)_LNG_TRADE'!$A$5:$A$46=K$6))=0,0,SUMPRODUCT(('IGU(2020)_LNG_TRADE'!$C$3:$V$3=$A8)*('IGU(2020)_LNG_TRADE'!$A$5:$A$46=K$6)*'IGU(2020)_LNG_TRADE'!$C$5:$V$46)*10^6*Legend!$B$92*Legend!$B$82*Legend!$B$84*10^-3)</f>
        <v>0</v>
      </c>
      <c r="L8" s="209" cm="1">
        <f t="array" ref="L8">IF(SUMPRODUCT(('IGU(2020)_LNG_TRADE'!$C$3:$V$3=$A8)*('IGU(2020)_LNG_TRADE'!$A$5:$A$46=L$6))=0,0,SUMPRODUCT(('IGU(2020)_LNG_TRADE'!$C$3:$V$3=$A8)*('IGU(2020)_LNG_TRADE'!$A$5:$A$46=L$6)*'IGU(2020)_LNG_TRADE'!$C$5:$V$46)*10^6*Legend!$B$92*Legend!$B$82*Legend!$B$84*10^-3)</f>
        <v>0</v>
      </c>
      <c r="M8" s="209" cm="1">
        <f t="array" ref="M8">IF(SUMPRODUCT(('IGU(2020)_LNG_TRADE'!$C$3:$V$3=$A8)*('IGU(2020)_LNG_TRADE'!$A$5:$A$46=M$6))=0,0,SUMPRODUCT(('IGU(2020)_LNG_TRADE'!$C$3:$V$3=$A8)*('IGU(2020)_LNG_TRADE'!$A$5:$A$46=M$6)*'IGU(2020)_LNG_TRADE'!$C$5:$V$46)*10^6*Legend!$B$92*Legend!$B$82*Legend!$B$84*10^-3)</f>
        <v>16893.947100000001</v>
      </c>
      <c r="N8" s="209" cm="1">
        <f t="array" ref="N8">IF(SUMPRODUCT(('IGU(2020)_LNG_TRADE'!$C$3:$V$3=$A8)*('IGU(2020)_LNG_TRADE'!$A$5:$A$46=N$6))=0,0,SUMPRODUCT(('IGU(2020)_LNG_TRADE'!$C$3:$V$3=$A8)*('IGU(2020)_LNG_TRADE'!$A$5:$A$46=N$6)*'IGU(2020)_LNG_TRADE'!$C$5:$V$46)*10^6*Legend!$B$92*Legend!$B$82*Legend!$B$84*10^-3)</f>
        <v>0</v>
      </c>
      <c r="O8" s="209" cm="1">
        <f t="array" ref="O8">IF(SUMPRODUCT(('IGU(2020)_LNG_TRADE'!$C$3:$V$3=$A8)*('IGU(2020)_LNG_TRADE'!$A$5:$A$46=O$6))=0,0,SUMPRODUCT(('IGU(2020)_LNG_TRADE'!$C$3:$V$3=$A8)*('IGU(2020)_LNG_TRADE'!$A$5:$A$46=O$6)*'IGU(2020)_LNG_TRADE'!$C$5:$V$46)*10^6*Legend!$B$92*Legend!$B$82*Legend!$B$84*10^-3)</f>
        <v>39419.209900000002</v>
      </c>
      <c r="P8" s="209" cm="1">
        <f t="array" ref="P8">IF(SUMPRODUCT(('IGU(2020)_LNG_TRADE'!$C$3:$V$3=$A8)*('IGU(2020)_LNG_TRADE'!$A$5:$A$46=P$6))=0,0,SUMPRODUCT(('IGU(2020)_LNG_TRADE'!$C$3:$V$3=$A8)*('IGU(2020)_LNG_TRADE'!$A$5:$A$46=P$6)*'IGU(2020)_LNG_TRADE'!$C$5:$V$46)*10^6*Legend!$B$92*Legend!$B$82*Legend!$B$84*10^-3)</f>
        <v>0</v>
      </c>
      <c r="Q8" s="209" cm="1">
        <f t="array" ref="Q8">IF(SUMPRODUCT(('IGU(2020)_LNG_TRADE'!$C$3:$V$3=$A8)*('IGU(2020)_LNG_TRADE'!$A$5:$A$46=Q$6))=0,0,SUMPRODUCT(('IGU(2020)_LNG_TRADE'!$C$3:$V$3=$A8)*('IGU(2020)_LNG_TRADE'!$A$5:$A$46=Q$6)*'IGU(2020)_LNG_TRADE'!$C$5:$V$46)*10^6*Legend!$B$92*Legend!$B$82*Legend!$B$84*10^-3)</f>
        <v>394192.09899999993</v>
      </c>
      <c r="R8" s="209" cm="1">
        <f t="array" ref="R8">IF(SUMPRODUCT(('IGU(2020)_LNG_TRADE'!$C$3:$V$3=$A8)*('IGU(2020)_LNG_TRADE'!$A$5:$A$46=R$6))=0,0,SUMPRODUCT(('IGU(2020)_LNG_TRADE'!$C$3:$V$3=$A8)*('IGU(2020)_LNG_TRADE'!$A$5:$A$46=R$6)*'IGU(2020)_LNG_TRADE'!$C$5:$V$46)*10^6*Legend!$B$92*Legend!$B$82*Legend!$B$84*10^-3)</f>
        <v>11262.631399999997</v>
      </c>
      <c r="S8" s="209" cm="1">
        <f t="array" ref="S8">IF(SUMPRODUCT(('IGU(2020)_LNG_TRADE'!$C$3:$V$3=$A8)*('IGU(2020)_LNG_TRADE'!$A$5:$A$46=S$6))=0,0,SUMPRODUCT(('IGU(2020)_LNG_TRADE'!$C$3:$V$3=$A8)*('IGU(2020)_LNG_TRADE'!$A$5:$A$46=S$6)*'IGU(2020)_LNG_TRADE'!$C$5:$V$46)*10^6*Legend!$B$92*Legend!$B$82*Legend!$B$84*10^-3)</f>
        <v>0</v>
      </c>
      <c r="T8" s="209" cm="1">
        <f t="array" ref="T8">IF(SUMPRODUCT(('IGU(2020)_LNG_TRADE'!$C$3:$V$3=$A8)*('IGU(2020)_LNG_TRADE'!$A$5:$A$46=T$6))=0,0,SUMPRODUCT(('IGU(2020)_LNG_TRADE'!$C$3:$V$3=$A8)*('IGU(2020)_LNG_TRADE'!$A$5:$A$46=T$6)*'IGU(2020)_LNG_TRADE'!$C$5:$V$46)*10^6*Legend!$B$92*Legend!$B$82*Legend!$B$84*10^-3)</f>
        <v>22525.262799999993</v>
      </c>
      <c r="U8" s="209" cm="1">
        <f t="array" ref="U8">IF(SUMPRODUCT(('IGU(2020)_LNG_TRADE'!$C$3:$V$3=$A8)*('IGU(2020)_LNG_TRADE'!$A$5:$A$46=U$6))=0,0,SUMPRODUCT(('IGU(2020)_LNG_TRADE'!$C$3:$V$3=$A8)*('IGU(2020)_LNG_TRADE'!$A$5:$A$46=U$6)*'IGU(2020)_LNG_TRADE'!$C$5:$V$46)*10^6*Legend!$B$92*Legend!$B$82*Legend!$B$84*10^-3)</f>
        <v>11262.631399999997</v>
      </c>
      <c r="V8" s="209" cm="1">
        <f t="array" ref="V8">IF(SUMPRODUCT(('IGU(2020)_LNG_TRADE'!$C$3:$V$3=$A8)*('IGU(2020)_LNG_TRADE'!$A$5:$A$46=V$6))=0,0,SUMPRODUCT(('IGU(2020)_LNG_TRADE'!$C$3:$V$3=$A8)*('IGU(2020)_LNG_TRADE'!$A$5:$A$46=V$6)*'IGU(2020)_LNG_TRADE'!$C$5:$V$46)*10^6*Legend!$B$92*Legend!$B$82*Legend!$B$84*10^-3)</f>
        <v>0</v>
      </c>
      <c r="W8" s="209" cm="1">
        <f t="array" ref="W8">IF(SUMPRODUCT(('IGU(2020)_LNG_TRADE'!$C$3:$V$3=$A8)*('IGU(2020)_LNG_TRADE'!$A$5:$A$46=W$6))=0,0,SUMPRODUCT(('IGU(2020)_LNG_TRADE'!$C$3:$V$3=$A8)*('IGU(2020)_LNG_TRADE'!$A$5:$A$46=W$6)*'IGU(2020)_LNG_TRADE'!$C$5:$V$46)*10^6*Legend!$B$92*Legend!$B$82*Legend!$B$84*10^-3)</f>
        <v>259040.52220000001</v>
      </c>
      <c r="X8" s="209" cm="1">
        <f t="array" ref="X8">IF(SUMPRODUCT(('IGU(2020)_LNG_TRADE'!$C$3:$V$3=$A8)*('IGU(2020)_LNG_TRADE'!$A$5:$A$46=X$6))=0,0,SUMPRODUCT(('IGU(2020)_LNG_TRADE'!$C$3:$V$3=$A8)*('IGU(2020)_LNG_TRADE'!$A$5:$A$46=X$6)*'IGU(2020)_LNG_TRADE'!$C$5:$V$46)*10^6*Legend!$B$92*Legend!$B$82*Legend!$B$84*10^-3)</f>
        <v>16893.947100000001</v>
      </c>
      <c r="Y8" s="209" cm="1">
        <f t="array" ref="Y8">IF(SUMPRODUCT(('IGU(2020)_LNG_TRADE'!$C$3:$V$3=$A8)*('IGU(2020)_LNG_TRADE'!$A$5:$A$46=Y$6))=0,0,SUMPRODUCT(('IGU(2020)_LNG_TRADE'!$C$3:$V$3=$A8)*('IGU(2020)_LNG_TRADE'!$A$5:$A$46=Y$6)*'IGU(2020)_LNG_TRADE'!$C$5:$V$46)*10^6*Legend!$B$92*Legend!$B$82*Legend!$B$84*10^-3)</f>
        <v>0</v>
      </c>
      <c r="Z8" s="209" cm="1">
        <f t="array" ref="Z8">IF(SUMPRODUCT(('IGU(2020)_LNG_TRADE'!$C$3:$V$3=$A8)*('IGU(2020)_LNG_TRADE'!$A$5:$A$46=Z$6))=0,0,SUMPRODUCT(('IGU(2020)_LNG_TRADE'!$C$3:$V$3=$A8)*('IGU(2020)_LNG_TRADE'!$A$5:$A$46=Z$6)*'IGU(2020)_LNG_TRADE'!$C$5:$V$46)*10^6*Legend!$B$92*Legend!$B$82*Legend!$B$84*10^-3)</f>
        <v>0</v>
      </c>
      <c r="AA8" s="209" cm="1">
        <f t="array" ref="AA8">IF(SUMPRODUCT(('IGU(2020)_LNG_TRADE'!$C$3:$V$3=$A8)*('IGU(2020)_LNG_TRADE'!$A$5:$A$46=AA$6))=0,0,SUMPRODUCT(('IGU(2020)_LNG_TRADE'!$C$3:$V$3=$A8)*('IGU(2020)_LNG_TRADE'!$A$5:$A$46=AA$6)*'IGU(2020)_LNG_TRADE'!$C$5:$V$46)*10^6*Legend!$B$92*Legend!$B$82*Legend!$B$84*10^-3)</f>
        <v>0</v>
      </c>
      <c r="AB8" s="209" cm="1">
        <f t="array" ref="AB8">IF(SUMPRODUCT(('IGU(2020)_LNG_TRADE'!$C$3:$V$3=$A8)*('IGU(2020)_LNG_TRADE'!$A$5:$A$46=AB$6))=0,0,SUMPRODUCT(('IGU(2020)_LNG_TRADE'!$C$3:$V$3=$A8)*('IGU(2020)_LNG_TRADE'!$A$5:$A$46=AB$6)*'IGU(2020)_LNG_TRADE'!$C$5:$V$46)*10^6*Legend!$B$92*Legend!$B$82*Legend!$B$84*10^-3)</f>
        <v>11262.631399999997</v>
      </c>
      <c r="AC8" s="220" cm="1">
        <f t="array" ref="AC8">IF(SUMPRODUCT(('IGU(2020)_LNG_TRADE'!$C$3:$V$3=$A8)*('IGU(2020)_LNG_TRADE'!$A$5:$A$46=AC$6))=0,0,SUMPRODUCT(('IGU(2020)_LNG_TRADE'!$C$3:$V$3=$A8)*('IGU(2020)_LNG_TRADE'!$A$5:$A$46=AC$6)*'IGU(2020)_LNG_TRADE'!$C$5:$V$46)*10^6*Legend!$B$92*Legend!$B$82*Legend!$B$84*10^-3)</f>
        <v>0</v>
      </c>
    </row>
    <row r="9" spans="1:29">
      <c r="A9" s="215" t="s">
        <v>178</v>
      </c>
      <c r="B9" s="209" cm="1">
        <f t="array" ref="B9">IF(SUMPRODUCT(('IGU(2020)_LNG_TRADE'!$C$3:$V$3=$A9)*('IGU(2020)_LNG_TRADE'!$A$5:$A$46=B$6))=0,0,SUMPRODUCT(('IGU(2020)_LNG_TRADE'!$C$3:$V$3=$A9)*('IGU(2020)_LNG_TRADE'!$A$5:$A$46=B$6)*'IGU(2020)_LNG_TRADE'!$C$5:$V$46)*10^6*Legend!$B$92*Legend!$B$82*Legend!$B$84*10^-3)</f>
        <v>0</v>
      </c>
      <c r="C9" s="209" cm="1">
        <f t="array" ref="C9">IF(SUMPRODUCT(('IGU(2020)_LNG_TRADE'!$C$3:$V$3=$A9)*('IGU(2020)_LNG_TRADE'!$A$5:$A$46=C$6))=0,0,SUMPRODUCT(('IGU(2020)_LNG_TRADE'!$C$3:$V$3=$A9)*('IGU(2020)_LNG_TRADE'!$A$5:$A$46=C$6)*'IGU(2020)_LNG_TRADE'!$C$5:$V$46)*10^6*Legend!$B$92*Legend!$B$82*Legend!$B$84*10^-3)</f>
        <v>0</v>
      </c>
      <c r="D9" s="209" cm="1">
        <f t="array" ref="D9">IF(SUMPRODUCT(('IGU(2020)_LNG_TRADE'!$C$3:$V$3=$A9)*('IGU(2020)_LNG_TRADE'!$A$5:$A$46=D$6))=0,0,SUMPRODUCT(('IGU(2020)_LNG_TRADE'!$C$3:$V$3=$A9)*('IGU(2020)_LNG_TRADE'!$A$5:$A$46=D$6)*'IGU(2020)_LNG_TRADE'!$C$5:$V$46)*10^6*Legend!$B$92*Legend!$B$82*Legend!$B$84*10^-3)</f>
        <v>0</v>
      </c>
      <c r="E9" s="209" cm="1">
        <f t="array" ref="E9">IF(SUMPRODUCT(('IGU(2020)_LNG_TRADE'!$C$3:$V$3=$A9)*('IGU(2020)_LNG_TRADE'!$A$5:$A$46=E$6))=0,0,SUMPRODUCT(('IGU(2020)_LNG_TRADE'!$C$3:$V$3=$A9)*('IGU(2020)_LNG_TRADE'!$A$5:$A$46=E$6)*'IGU(2020)_LNG_TRADE'!$C$5:$V$46)*10^6*Legend!$B$92*Legend!$B$82*Legend!$B$84*10^-3)</f>
        <v>0</v>
      </c>
      <c r="F9" s="209" cm="1">
        <f t="array" ref="F9">IF(SUMPRODUCT(('IGU(2020)_LNG_TRADE'!$C$3:$V$3=$A9)*('IGU(2020)_LNG_TRADE'!$A$5:$A$46=F$6))=0,0,SUMPRODUCT(('IGU(2020)_LNG_TRADE'!$C$3:$V$3=$A9)*('IGU(2020)_LNG_TRADE'!$A$5:$A$46=F$6)*'IGU(2020)_LNG_TRADE'!$C$5:$V$46)*10^6*Legend!$B$92*Legend!$B$82*Legend!$B$84*10^-3)</f>
        <v>0</v>
      </c>
      <c r="G9" s="209" cm="1">
        <f t="array" ref="G9">IF(SUMPRODUCT(('IGU(2020)_LNG_TRADE'!$C$3:$V$3=$A9)*('IGU(2020)_LNG_TRADE'!$A$5:$A$46=G$6))=0,0,SUMPRODUCT(('IGU(2020)_LNG_TRADE'!$C$3:$V$3=$A9)*('IGU(2020)_LNG_TRADE'!$A$5:$A$46=G$6)*'IGU(2020)_LNG_TRADE'!$C$5:$V$46)*10^6*Legend!$B$92*Legend!$B$82*Legend!$B$84*10^-3)</f>
        <v>0</v>
      </c>
      <c r="H9" s="209" cm="1">
        <f t="array" ref="H9">IF(SUMPRODUCT(('IGU(2020)_LNG_TRADE'!$C$3:$V$3=$A9)*('IGU(2020)_LNG_TRADE'!$A$5:$A$46=H$6))=0,0,SUMPRODUCT(('IGU(2020)_LNG_TRADE'!$C$3:$V$3=$A9)*('IGU(2020)_LNG_TRADE'!$A$5:$A$46=H$6)*'IGU(2020)_LNG_TRADE'!$C$5:$V$46)*10^6*Legend!$B$92*Legend!$B$82*Legend!$B$84*10^-3)</f>
        <v>22525.262799999993</v>
      </c>
      <c r="I9" s="209" cm="1">
        <f t="array" ref="I9">IF(SUMPRODUCT(('IGU(2020)_LNG_TRADE'!$C$3:$V$3=$A9)*('IGU(2020)_LNG_TRADE'!$A$5:$A$46=I$6))=0,0,SUMPRODUCT(('IGU(2020)_LNG_TRADE'!$C$3:$V$3=$A9)*('IGU(2020)_LNG_TRADE'!$A$5:$A$46=I$6)*'IGU(2020)_LNG_TRADE'!$C$5:$V$46)*10^6*Legend!$B$92*Legend!$B$82*Legend!$B$84*10^-3)</f>
        <v>11262.631399999997</v>
      </c>
      <c r="J9" s="209" cm="1">
        <f t="array" ref="J9">IF(SUMPRODUCT(('IGU(2020)_LNG_TRADE'!$C$3:$V$3=$A9)*('IGU(2020)_LNG_TRADE'!$A$5:$A$46=J$6))=0,0,SUMPRODUCT(('IGU(2020)_LNG_TRADE'!$C$3:$V$3=$A9)*('IGU(2020)_LNG_TRADE'!$A$5:$A$46=J$6)*'IGU(2020)_LNG_TRADE'!$C$5:$V$46)*10^6*Legend!$B$92*Legend!$B$82*Legend!$B$84*10^-3)</f>
        <v>11262.631399999997</v>
      </c>
      <c r="K9" s="209" cm="1">
        <f t="array" ref="K9">IF(SUMPRODUCT(('IGU(2020)_LNG_TRADE'!$C$3:$V$3=$A9)*('IGU(2020)_LNG_TRADE'!$A$5:$A$46=K$6))=0,0,SUMPRODUCT(('IGU(2020)_LNG_TRADE'!$C$3:$V$3=$A9)*('IGU(2020)_LNG_TRADE'!$A$5:$A$46=K$6)*'IGU(2020)_LNG_TRADE'!$C$5:$V$46)*10^6*Legend!$B$92*Legend!$B$82*Legend!$B$84*10^-3)</f>
        <v>0</v>
      </c>
      <c r="L9" s="209" cm="1">
        <f t="array" ref="L9">IF(SUMPRODUCT(('IGU(2020)_LNG_TRADE'!$C$3:$V$3=$A9)*('IGU(2020)_LNG_TRADE'!$A$5:$A$46=L$6))=0,0,SUMPRODUCT(('IGU(2020)_LNG_TRADE'!$C$3:$V$3=$A9)*('IGU(2020)_LNG_TRADE'!$A$5:$A$46=L$6)*'IGU(2020)_LNG_TRADE'!$C$5:$V$46)*10^6*Legend!$B$92*Legend!$B$82*Legend!$B$84*10^-3)</f>
        <v>5631.3156999999983</v>
      </c>
      <c r="M9" s="209" cm="1">
        <f t="array" ref="M9">IF(SUMPRODUCT(('IGU(2020)_LNG_TRADE'!$C$3:$V$3=$A9)*('IGU(2020)_LNG_TRADE'!$A$5:$A$46=M$6))=0,0,SUMPRODUCT(('IGU(2020)_LNG_TRADE'!$C$3:$V$3=$A9)*('IGU(2020)_LNG_TRADE'!$A$5:$A$46=M$6)*'IGU(2020)_LNG_TRADE'!$C$5:$V$46)*10^6*Legend!$B$92*Legend!$B$82*Legend!$B$84*10^-3)</f>
        <v>50681.841299999993</v>
      </c>
      <c r="N9" s="209" cm="1">
        <f t="array" ref="N9">IF(SUMPRODUCT(('IGU(2020)_LNG_TRADE'!$C$3:$V$3=$A9)*('IGU(2020)_LNG_TRADE'!$A$5:$A$46=N$6))=0,0,SUMPRODUCT(('IGU(2020)_LNG_TRADE'!$C$3:$V$3=$A9)*('IGU(2020)_LNG_TRADE'!$A$5:$A$46=N$6)*'IGU(2020)_LNG_TRADE'!$C$5:$V$46)*10^6*Legend!$B$92*Legend!$B$82*Legend!$B$84*10^-3)</f>
        <v>0</v>
      </c>
      <c r="O9" s="209" cm="1">
        <f t="array" ref="O9">IF(SUMPRODUCT(('IGU(2020)_LNG_TRADE'!$C$3:$V$3=$A9)*('IGU(2020)_LNG_TRADE'!$A$5:$A$46=O$6))=0,0,SUMPRODUCT(('IGU(2020)_LNG_TRADE'!$C$3:$V$3=$A9)*('IGU(2020)_LNG_TRADE'!$A$5:$A$46=O$6)*'IGU(2020)_LNG_TRADE'!$C$5:$V$46)*10^6*Legend!$B$92*Legend!$B$82*Legend!$B$84*10^-3)</f>
        <v>16893.947100000001</v>
      </c>
      <c r="P9" s="209" cm="1">
        <f t="array" ref="P9">IF(SUMPRODUCT(('IGU(2020)_LNG_TRADE'!$C$3:$V$3=$A9)*('IGU(2020)_LNG_TRADE'!$A$5:$A$46=P$6))=0,0,SUMPRODUCT(('IGU(2020)_LNG_TRADE'!$C$3:$V$3=$A9)*('IGU(2020)_LNG_TRADE'!$A$5:$A$46=P$6)*'IGU(2020)_LNG_TRADE'!$C$5:$V$46)*10^6*Legend!$B$92*Legend!$B$82*Legend!$B$84*10^-3)</f>
        <v>0</v>
      </c>
      <c r="Q9" s="209" cm="1">
        <f t="array" ref="Q9">IF(SUMPRODUCT(('IGU(2020)_LNG_TRADE'!$C$3:$V$3=$A9)*('IGU(2020)_LNG_TRADE'!$A$5:$A$46=Q$6))=0,0,SUMPRODUCT(('IGU(2020)_LNG_TRADE'!$C$3:$V$3=$A9)*('IGU(2020)_LNG_TRADE'!$A$5:$A$46=Q$6)*'IGU(2020)_LNG_TRADE'!$C$5:$V$46)*10^6*Legend!$B$92*Legend!$B$82*Legend!$B$84*10^-3)</f>
        <v>16893.947100000001</v>
      </c>
      <c r="R9" s="209" cm="1">
        <f t="array" ref="R9">IF(SUMPRODUCT(('IGU(2020)_LNG_TRADE'!$C$3:$V$3=$A9)*('IGU(2020)_LNG_TRADE'!$A$5:$A$46=R$6))=0,0,SUMPRODUCT(('IGU(2020)_LNG_TRADE'!$C$3:$V$3=$A9)*('IGU(2020)_LNG_TRADE'!$A$5:$A$46=R$6)*'IGU(2020)_LNG_TRADE'!$C$5:$V$46)*10^6*Legend!$B$92*Legend!$B$82*Legend!$B$84*10^-3)</f>
        <v>0</v>
      </c>
      <c r="S9" s="209" cm="1">
        <f t="array" ref="S9">IF(SUMPRODUCT(('IGU(2020)_LNG_TRADE'!$C$3:$V$3=$A9)*('IGU(2020)_LNG_TRADE'!$A$5:$A$46=S$6))=0,0,SUMPRODUCT(('IGU(2020)_LNG_TRADE'!$C$3:$V$3=$A9)*('IGU(2020)_LNG_TRADE'!$A$5:$A$46=S$6)*'IGU(2020)_LNG_TRADE'!$C$5:$V$46)*10^6*Legend!$B$92*Legend!$B$82*Legend!$B$84*10^-3)</f>
        <v>0</v>
      </c>
      <c r="T9" s="209" cm="1">
        <f t="array" ref="T9">IF(SUMPRODUCT(('IGU(2020)_LNG_TRADE'!$C$3:$V$3=$A9)*('IGU(2020)_LNG_TRADE'!$A$5:$A$46=T$6))=0,0,SUMPRODUCT(('IGU(2020)_LNG_TRADE'!$C$3:$V$3=$A9)*('IGU(2020)_LNG_TRADE'!$A$5:$A$46=T$6)*'IGU(2020)_LNG_TRADE'!$C$5:$V$46)*10^6*Legend!$B$92*Legend!$B$82*Legend!$B$84*10^-3)</f>
        <v>50681.841299999993</v>
      </c>
      <c r="U9" s="209" cm="1">
        <f t="array" ref="U9">IF(SUMPRODUCT(('IGU(2020)_LNG_TRADE'!$C$3:$V$3=$A9)*('IGU(2020)_LNG_TRADE'!$A$5:$A$46=U$6))=0,0,SUMPRODUCT(('IGU(2020)_LNG_TRADE'!$C$3:$V$3=$A9)*('IGU(2020)_LNG_TRADE'!$A$5:$A$46=U$6)*'IGU(2020)_LNG_TRADE'!$C$5:$V$46)*10^6*Legend!$B$92*Legend!$B$82*Legend!$B$84*10^-3)</f>
        <v>5631.3156999999983</v>
      </c>
      <c r="V9" s="209" cm="1">
        <f t="array" ref="V9">IF(SUMPRODUCT(('IGU(2020)_LNG_TRADE'!$C$3:$V$3=$A9)*('IGU(2020)_LNG_TRADE'!$A$5:$A$46=V$6))=0,0,SUMPRODUCT(('IGU(2020)_LNG_TRADE'!$C$3:$V$3=$A9)*('IGU(2020)_LNG_TRADE'!$A$5:$A$46=V$6)*'IGU(2020)_LNG_TRADE'!$C$5:$V$46)*10^6*Legend!$B$92*Legend!$B$82*Legend!$B$84*10^-3)</f>
        <v>0</v>
      </c>
      <c r="W9" s="209" cm="1">
        <f t="array" ref="W9">IF(SUMPRODUCT(('IGU(2020)_LNG_TRADE'!$C$3:$V$3=$A9)*('IGU(2020)_LNG_TRADE'!$A$5:$A$46=W$6))=0,0,SUMPRODUCT(('IGU(2020)_LNG_TRADE'!$C$3:$V$3=$A9)*('IGU(2020)_LNG_TRADE'!$A$5:$A$46=W$6)*'IGU(2020)_LNG_TRADE'!$C$5:$V$46)*10^6*Legend!$B$92*Legend!$B$82*Legend!$B$84*10^-3)</f>
        <v>5631.3156999999983</v>
      </c>
      <c r="X9" s="209" cm="1">
        <f t="array" ref="X9">IF(SUMPRODUCT(('IGU(2020)_LNG_TRADE'!$C$3:$V$3=$A9)*('IGU(2020)_LNG_TRADE'!$A$5:$A$46=X$6))=0,0,SUMPRODUCT(('IGU(2020)_LNG_TRADE'!$C$3:$V$3=$A9)*('IGU(2020)_LNG_TRADE'!$A$5:$A$46=X$6)*'IGU(2020)_LNG_TRADE'!$C$5:$V$46)*10^6*Legend!$B$92*Legend!$B$82*Legend!$B$84*10^-3)</f>
        <v>0</v>
      </c>
      <c r="Y9" s="209" cm="1">
        <f t="array" ref="Y9">IF(SUMPRODUCT(('IGU(2020)_LNG_TRADE'!$C$3:$V$3=$A9)*('IGU(2020)_LNG_TRADE'!$A$5:$A$46=Y$6))=0,0,SUMPRODUCT(('IGU(2020)_LNG_TRADE'!$C$3:$V$3=$A9)*('IGU(2020)_LNG_TRADE'!$A$5:$A$46=Y$6)*'IGU(2020)_LNG_TRADE'!$C$5:$V$46)*10^6*Legend!$B$92*Legend!$B$82*Legend!$B$84*10^-3)</f>
        <v>16893.947099999998</v>
      </c>
      <c r="Z9" s="209" cm="1">
        <f t="array" ref="Z9">IF(SUMPRODUCT(('IGU(2020)_LNG_TRADE'!$C$3:$V$3=$A9)*('IGU(2020)_LNG_TRADE'!$A$5:$A$46=Z$6))=0,0,SUMPRODUCT(('IGU(2020)_LNG_TRADE'!$C$3:$V$3=$A9)*('IGU(2020)_LNG_TRADE'!$A$5:$A$46=Z$6)*'IGU(2020)_LNG_TRADE'!$C$5:$V$46)*10^6*Legend!$B$92*Legend!$B$82*Legend!$B$84*10^-3)</f>
        <v>0</v>
      </c>
      <c r="AA9" s="209" cm="1">
        <f t="array" ref="AA9">IF(SUMPRODUCT(('IGU(2020)_LNG_TRADE'!$C$3:$V$3=$A9)*('IGU(2020)_LNG_TRADE'!$A$5:$A$46=AA$6))=0,0,SUMPRODUCT(('IGU(2020)_LNG_TRADE'!$C$3:$V$3=$A9)*('IGU(2020)_LNG_TRADE'!$A$5:$A$46=AA$6)*'IGU(2020)_LNG_TRADE'!$C$5:$V$46)*10^6*Legend!$B$92*Legend!$B$82*Legend!$B$84*10^-3)</f>
        <v>0</v>
      </c>
      <c r="AB9" s="209" cm="1">
        <f t="array" ref="AB9">IF(SUMPRODUCT(('IGU(2020)_LNG_TRADE'!$C$3:$V$3=$A9)*('IGU(2020)_LNG_TRADE'!$A$5:$A$46=AB$6))=0,0,SUMPRODUCT(('IGU(2020)_LNG_TRADE'!$C$3:$V$3=$A9)*('IGU(2020)_LNG_TRADE'!$A$5:$A$46=AB$6)*'IGU(2020)_LNG_TRADE'!$C$5:$V$46)*10^6*Legend!$B$92*Legend!$B$82*Legend!$B$84*10^-3)</f>
        <v>16893.947100000001</v>
      </c>
      <c r="AC9" s="220" cm="1">
        <f t="array" ref="AC9">IF(SUMPRODUCT(('IGU(2020)_LNG_TRADE'!$C$3:$V$3=$A9)*('IGU(2020)_LNG_TRADE'!$A$5:$A$46=AC$6))=0,0,SUMPRODUCT(('IGU(2020)_LNG_TRADE'!$C$3:$V$3=$A9)*('IGU(2020)_LNG_TRADE'!$A$5:$A$46=AC$6)*'IGU(2020)_LNG_TRADE'!$C$5:$V$46)*10^6*Legend!$B$92*Legend!$B$82*Legend!$B$84*10^-3)</f>
        <v>0</v>
      </c>
    </row>
    <row r="10" spans="1:29">
      <c r="A10" s="215" t="s">
        <v>181</v>
      </c>
      <c r="B10" s="209" cm="1">
        <f t="array" ref="B10">IF(SUMPRODUCT(('IGU(2020)_LNG_TRADE'!$C$3:$V$3=$A10)*('IGU(2020)_LNG_TRADE'!$A$5:$A$46=B$6))=0,0,SUMPRODUCT(('IGU(2020)_LNG_TRADE'!$C$3:$V$3=$A10)*('IGU(2020)_LNG_TRADE'!$A$5:$A$46=B$6)*'IGU(2020)_LNG_TRADE'!$C$5:$V$46)*10^6*Legend!$B$92*Legend!$B$82*Legend!$B$84*10^-3)</f>
        <v>0</v>
      </c>
      <c r="C10" s="209" cm="1">
        <f t="array" ref="C10">IF(SUMPRODUCT(('IGU(2020)_LNG_TRADE'!$C$3:$V$3=$A10)*('IGU(2020)_LNG_TRADE'!$A$5:$A$46=C$6))=0,0,SUMPRODUCT(('IGU(2020)_LNG_TRADE'!$C$3:$V$3=$A10)*('IGU(2020)_LNG_TRADE'!$A$5:$A$46=C$6)*'IGU(2020)_LNG_TRADE'!$C$5:$V$46)*10^6*Legend!$B$92*Legend!$B$82*Legend!$B$84*10^-3)</f>
        <v>0</v>
      </c>
      <c r="D10" s="209" cm="1">
        <f t="array" ref="D10">IF(SUMPRODUCT(('IGU(2020)_LNG_TRADE'!$C$3:$V$3=$A10)*('IGU(2020)_LNG_TRADE'!$A$5:$A$46=D$6))=0,0,SUMPRODUCT(('IGU(2020)_LNG_TRADE'!$C$3:$V$3=$A10)*('IGU(2020)_LNG_TRADE'!$A$5:$A$46=D$6)*'IGU(2020)_LNG_TRADE'!$C$5:$V$46)*10^6*Legend!$B$92*Legend!$B$82*Legend!$B$84*10^-3)</f>
        <v>0</v>
      </c>
      <c r="E10" s="209" cm="1">
        <f t="array" ref="E10">IF(SUMPRODUCT(('IGU(2020)_LNG_TRADE'!$C$3:$V$3=$A10)*('IGU(2020)_LNG_TRADE'!$A$5:$A$46=E$6))=0,0,SUMPRODUCT(('IGU(2020)_LNG_TRADE'!$C$3:$V$3=$A10)*('IGU(2020)_LNG_TRADE'!$A$5:$A$46=E$6)*'IGU(2020)_LNG_TRADE'!$C$5:$V$46)*10^6*Legend!$B$92*Legend!$B$82*Legend!$B$84*10^-3)</f>
        <v>0</v>
      </c>
      <c r="F10" s="209" cm="1">
        <f t="array" ref="F10">IF(SUMPRODUCT(('IGU(2020)_LNG_TRADE'!$C$3:$V$3=$A10)*('IGU(2020)_LNG_TRADE'!$A$5:$A$46=F$6))=0,0,SUMPRODUCT(('IGU(2020)_LNG_TRADE'!$C$3:$V$3=$A10)*('IGU(2020)_LNG_TRADE'!$A$5:$A$46=F$6)*'IGU(2020)_LNG_TRADE'!$C$5:$V$46)*10^6*Legend!$B$92*Legend!$B$82*Legend!$B$84*10^-3)</f>
        <v>0</v>
      </c>
      <c r="G10" s="209" cm="1">
        <f t="array" ref="G10">IF(SUMPRODUCT(('IGU(2020)_LNG_TRADE'!$C$3:$V$3=$A10)*('IGU(2020)_LNG_TRADE'!$A$5:$A$46=G$6))=0,0,SUMPRODUCT(('IGU(2020)_LNG_TRADE'!$C$3:$V$3=$A10)*('IGU(2020)_LNG_TRADE'!$A$5:$A$46=G$6)*'IGU(2020)_LNG_TRADE'!$C$5:$V$46)*10^6*Legend!$B$92*Legend!$B$82*Legend!$B$84*10^-3)</f>
        <v>0</v>
      </c>
      <c r="H10" s="209" cm="1">
        <f t="array" ref="H10">IF(SUMPRODUCT(('IGU(2020)_LNG_TRADE'!$C$3:$V$3=$A10)*('IGU(2020)_LNG_TRADE'!$A$5:$A$46=H$6))=0,0,SUMPRODUCT(('IGU(2020)_LNG_TRADE'!$C$3:$V$3=$A10)*('IGU(2020)_LNG_TRADE'!$A$5:$A$46=H$6)*'IGU(2020)_LNG_TRADE'!$C$5:$V$46)*10^6*Legend!$B$92*Legend!$B$82*Legend!$B$84*10^-3)</f>
        <v>11262.631399999997</v>
      </c>
      <c r="I10" s="209" cm="1">
        <f t="array" ref="I10">IF(SUMPRODUCT(('IGU(2020)_LNG_TRADE'!$C$3:$V$3=$A10)*('IGU(2020)_LNG_TRADE'!$A$5:$A$46=I$6))=0,0,SUMPRODUCT(('IGU(2020)_LNG_TRADE'!$C$3:$V$3=$A10)*('IGU(2020)_LNG_TRADE'!$A$5:$A$46=I$6)*'IGU(2020)_LNG_TRADE'!$C$5:$V$46)*10^6*Legend!$B$92*Legend!$B$82*Legend!$B$84*10^-3)</f>
        <v>0</v>
      </c>
      <c r="J10" s="209" cm="1">
        <f t="array" ref="J10">IF(SUMPRODUCT(('IGU(2020)_LNG_TRADE'!$C$3:$V$3=$A10)*('IGU(2020)_LNG_TRADE'!$A$5:$A$46=J$6))=0,0,SUMPRODUCT(('IGU(2020)_LNG_TRADE'!$C$3:$V$3=$A10)*('IGU(2020)_LNG_TRADE'!$A$5:$A$46=J$6)*'IGU(2020)_LNG_TRADE'!$C$5:$V$46)*10^6*Legend!$B$92*Legend!$B$82*Legend!$B$84*10^-3)</f>
        <v>5631.3156999999983</v>
      </c>
      <c r="K10" s="209" cm="1">
        <f t="array" ref="K10">IF(SUMPRODUCT(('IGU(2020)_LNG_TRADE'!$C$3:$V$3=$A10)*('IGU(2020)_LNG_TRADE'!$A$5:$A$46=K$6))=0,0,SUMPRODUCT(('IGU(2020)_LNG_TRADE'!$C$3:$V$3=$A10)*('IGU(2020)_LNG_TRADE'!$A$5:$A$46=K$6)*'IGU(2020)_LNG_TRADE'!$C$5:$V$46)*10^6*Legend!$B$92*Legend!$B$82*Legend!$B$84*10^-3)</f>
        <v>5631.3156999999983</v>
      </c>
      <c r="L10" s="209" cm="1">
        <f t="array" ref="L10">IF(SUMPRODUCT(('IGU(2020)_LNG_TRADE'!$C$3:$V$3=$A10)*('IGU(2020)_LNG_TRADE'!$A$5:$A$46=L$6))=0,0,SUMPRODUCT(('IGU(2020)_LNG_TRADE'!$C$3:$V$3=$A10)*('IGU(2020)_LNG_TRADE'!$A$5:$A$46=L$6)*'IGU(2020)_LNG_TRADE'!$C$5:$V$46)*10^6*Legend!$B$92*Legend!$B$82*Legend!$B$84*10^-3)</f>
        <v>0</v>
      </c>
      <c r="M10" s="209" cm="1">
        <f t="array" ref="M10">IF(SUMPRODUCT(('IGU(2020)_LNG_TRADE'!$C$3:$V$3=$A10)*('IGU(2020)_LNG_TRADE'!$A$5:$A$46=M$6))=0,0,SUMPRODUCT(('IGU(2020)_LNG_TRADE'!$C$3:$V$3=$A10)*('IGU(2020)_LNG_TRADE'!$A$5:$A$46=M$6)*'IGU(2020)_LNG_TRADE'!$C$5:$V$46)*10^6*Legend!$B$92*Legend!$B$82*Legend!$B$84*10^-3)</f>
        <v>5631.3156999999983</v>
      </c>
      <c r="N10" s="209" cm="1">
        <f t="array" ref="N10">IF(SUMPRODUCT(('IGU(2020)_LNG_TRADE'!$C$3:$V$3=$A10)*('IGU(2020)_LNG_TRADE'!$A$5:$A$46=N$6))=0,0,SUMPRODUCT(('IGU(2020)_LNG_TRADE'!$C$3:$V$3=$A10)*('IGU(2020)_LNG_TRADE'!$A$5:$A$46=N$6)*'IGU(2020)_LNG_TRADE'!$C$5:$V$46)*10^6*Legend!$B$92*Legend!$B$82*Legend!$B$84*10^-3)</f>
        <v>0</v>
      </c>
      <c r="O10" s="209" cm="1">
        <f t="array" ref="O10">IF(SUMPRODUCT(('IGU(2020)_LNG_TRADE'!$C$3:$V$3=$A10)*('IGU(2020)_LNG_TRADE'!$A$5:$A$46=O$6))=0,0,SUMPRODUCT(('IGU(2020)_LNG_TRADE'!$C$3:$V$3=$A10)*('IGU(2020)_LNG_TRADE'!$A$5:$A$46=O$6)*'IGU(2020)_LNG_TRADE'!$C$5:$V$46)*10^6*Legend!$B$92*Legend!$B$82*Legend!$B$84*10^-3)</f>
        <v>5631.3156999999983</v>
      </c>
      <c r="P10" s="209" cm="1">
        <f t="array" ref="P10">IF(SUMPRODUCT(('IGU(2020)_LNG_TRADE'!$C$3:$V$3=$A10)*('IGU(2020)_LNG_TRADE'!$A$5:$A$46=P$6))=0,0,SUMPRODUCT(('IGU(2020)_LNG_TRADE'!$C$3:$V$3=$A10)*('IGU(2020)_LNG_TRADE'!$A$5:$A$46=P$6)*'IGU(2020)_LNG_TRADE'!$C$5:$V$46)*10^6*Legend!$B$92*Legend!$B$82*Legend!$B$84*10^-3)</f>
        <v>0</v>
      </c>
      <c r="Q10" s="209" cm="1">
        <f t="array" ref="Q10">IF(SUMPRODUCT(('IGU(2020)_LNG_TRADE'!$C$3:$V$3=$A10)*('IGU(2020)_LNG_TRADE'!$A$5:$A$46=Q$6))=0,0,SUMPRODUCT(('IGU(2020)_LNG_TRADE'!$C$3:$V$3=$A10)*('IGU(2020)_LNG_TRADE'!$A$5:$A$46=Q$6)*'IGU(2020)_LNG_TRADE'!$C$5:$V$46)*10^6*Legend!$B$92*Legend!$B$82*Legend!$B$84*10^-3)</f>
        <v>33787.894200000002</v>
      </c>
      <c r="R10" s="209" cm="1">
        <f t="array" ref="R10">IF(SUMPRODUCT(('IGU(2020)_LNG_TRADE'!$C$3:$V$3=$A10)*('IGU(2020)_LNG_TRADE'!$A$5:$A$46=R$6))=0,0,SUMPRODUCT(('IGU(2020)_LNG_TRADE'!$C$3:$V$3=$A10)*('IGU(2020)_LNG_TRADE'!$A$5:$A$46=R$6)*'IGU(2020)_LNG_TRADE'!$C$5:$V$46)*10^6*Legend!$B$92*Legend!$B$82*Legend!$B$84*10^-3)</f>
        <v>16893.947100000001</v>
      </c>
      <c r="S10" s="209" cm="1">
        <f t="array" ref="S10">IF(SUMPRODUCT(('IGU(2020)_LNG_TRADE'!$C$3:$V$3=$A10)*('IGU(2020)_LNG_TRADE'!$A$5:$A$46=S$6))=0,0,SUMPRODUCT(('IGU(2020)_LNG_TRADE'!$C$3:$V$3=$A10)*('IGU(2020)_LNG_TRADE'!$A$5:$A$46=S$6)*'IGU(2020)_LNG_TRADE'!$C$5:$V$46)*10^6*Legend!$B$92*Legend!$B$82*Legend!$B$84*10^-3)</f>
        <v>0</v>
      </c>
      <c r="T10" s="209" cm="1">
        <f t="array" ref="T10">IF(SUMPRODUCT(('IGU(2020)_LNG_TRADE'!$C$3:$V$3=$A10)*('IGU(2020)_LNG_TRADE'!$A$5:$A$46=T$6))=0,0,SUMPRODUCT(('IGU(2020)_LNG_TRADE'!$C$3:$V$3=$A10)*('IGU(2020)_LNG_TRADE'!$A$5:$A$46=T$6)*'IGU(2020)_LNG_TRADE'!$C$5:$V$46)*10^6*Legend!$B$92*Legend!$B$82*Legend!$B$84*10^-3)</f>
        <v>163308.15529999998</v>
      </c>
      <c r="U10" s="209" cm="1">
        <f t="array" ref="U10">IF(SUMPRODUCT(('IGU(2020)_LNG_TRADE'!$C$3:$V$3=$A10)*('IGU(2020)_LNG_TRADE'!$A$5:$A$46=U$6))=0,0,SUMPRODUCT(('IGU(2020)_LNG_TRADE'!$C$3:$V$3=$A10)*('IGU(2020)_LNG_TRADE'!$A$5:$A$46=U$6)*'IGU(2020)_LNG_TRADE'!$C$5:$V$46)*10^6*Legend!$B$92*Legend!$B$82*Legend!$B$84*10^-3)</f>
        <v>0</v>
      </c>
      <c r="V10" s="209" cm="1">
        <f t="array" ref="V10">IF(SUMPRODUCT(('IGU(2020)_LNG_TRADE'!$C$3:$V$3=$A10)*('IGU(2020)_LNG_TRADE'!$A$5:$A$46=V$6))=0,0,SUMPRODUCT(('IGU(2020)_LNG_TRADE'!$C$3:$V$3=$A10)*('IGU(2020)_LNG_TRADE'!$A$5:$A$46=V$6)*'IGU(2020)_LNG_TRADE'!$C$5:$V$46)*10^6*Legend!$B$92*Legend!$B$82*Legend!$B$84*10^-3)</f>
        <v>0</v>
      </c>
      <c r="W10" s="209" cm="1">
        <f t="array" ref="W10">IF(SUMPRODUCT(('IGU(2020)_LNG_TRADE'!$C$3:$V$3=$A10)*('IGU(2020)_LNG_TRADE'!$A$5:$A$46=W$6))=0,0,SUMPRODUCT(('IGU(2020)_LNG_TRADE'!$C$3:$V$3=$A10)*('IGU(2020)_LNG_TRADE'!$A$5:$A$46=W$6)*'IGU(2020)_LNG_TRADE'!$C$5:$V$46)*10^6*Legend!$B$92*Legend!$B$82*Legend!$B$84*10^-3)</f>
        <v>0</v>
      </c>
      <c r="X10" s="209" cm="1">
        <f t="array" ref="X10">IF(SUMPRODUCT(('IGU(2020)_LNG_TRADE'!$C$3:$V$3=$A10)*('IGU(2020)_LNG_TRADE'!$A$5:$A$46=X$6))=0,0,SUMPRODUCT(('IGU(2020)_LNG_TRADE'!$C$3:$V$3=$A10)*('IGU(2020)_LNG_TRADE'!$A$5:$A$46=X$6)*'IGU(2020)_LNG_TRADE'!$C$5:$V$46)*10^6*Legend!$B$92*Legend!$B$82*Legend!$B$84*10^-3)</f>
        <v>11262.631399999997</v>
      </c>
      <c r="Y10" s="209" cm="1">
        <f t="array" ref="Y10">IF(SUMPRODUCT(('IGU(2020)_LNG_TRADE'!$C$3:$V$3=$A10)*('IGU(2020)_LNG_TRADE'!$A$5:$A$46=Y$6))=0,0,SUMPRODUCT(('IGU(2020)_LNG_TRADE'!$C$3:$V$3=$A10)*('IGU(2020)_LNG_TRADE'!$A$5:$A$46=Y$6)*'IGU(2020)_LNG_TRADE'!$C$5:$V$46)*10^6*Legend!$B$92*Legend!$B$82*Legend!$B$84*10^-3)</f>
        <v>0</v>
      </c>
      <c r="Z10" s="209" cm="1">
        <f t="array" ref="Z10">IF(SUMPRODUCT(('IGU(2020)_LNG_TRADE'!$C$3:$V$3=$A10)*('IGU(2020)_LNG_TRADE'!$A$5:$A$46=Z$6))=0,0,SUMPRODUCT(('IGU(2020)_LNG_TRADE'!$C$3:$V$3=$A10)*('IGU(2020)_LNG_TRADE'!$A$5:$A$46=Z$6)*'IGU(2020)_LNG_TRADE'!$C$5:$V$46)*10^6*Legend!$B$92*Legend!$B$82*Legend!$B$84*10^-3)</f>
        <v>0</v>
      </c>
      <c r="AA10" s="209" cm="1">
        <f t="array" ref="AA10">IF(SUMPRODUCT(('IGU(2020)_LNG_TRADE'!$C$3:$V$3=$A10)*('IGU(2020)_LNG_TRADE'!$A$5:$A$46=AA$6))=0,0,SUMPRODUCT(('IGU(2020)_LNG_TRADE'!$C$3:$V$3=$A10)*('IGU(2020)_LNG_TRADE'!$A$5:$A$46=AA$6)*'IGU(2020)_LNG_TRADE'!$C$5:$V$46)*10^6*Legend!$B$92*Legend!$B$82*Legend!$B$84*10^-3)</f>
        <v>0</v>
      </c>
      <c r="AB10" s="209" cm="1">
        <f t="array" ref="AB10">IF(SUMPRODUCT(('IGU(2020)_LNG_TRADE'!$C$3:$V$3=$A10)*('IGU(2020)_LNG_TRADE'!$A$5:$A$46=AB$6))=0,0,SUMPRODUCT(('IGU(2020)_LNG_TRADE'!$C$3:$V$3=$A10)*('IGU(2020)_LNG_TRADE'!$A$5:$A$46=AB$6)*'IGU(2020)_LNG_TRADE'!$C$5:$V$46)*10^6*Legend!$B$92*Legend!$B$82*Legend!$B$84*10^-3)</f>
        <v>0</v>
      </c>
      <c r="AC10" s="220" cm="1">
        <f t="array" ref="AC10">IF(SUMPRODUCT(('IGU(2020)_LNG_TRADE'!$C$3:$V$3=$A10)*('IGU(2020)_LNG_TRADE'!$A$5:$A$46=AC$6))=0,0,SUMPRODUCT(('IGU(2020)_LNG_TRADE'!$C$3:$V$3=$A10)*('IGU(2020)_LNG_TRADE'!$A$5:$A$46=AC$6)*'IGU(2020)_LNG_TRADE'!$C$5:$V$46)*10^6*Legend!$B$92*Legend!$B$82*Legend!$B$84*10^-3)</f>
        <v>0</v>
      </c>
    </row>
    <row r="11" spans="1:29">
      <c r="A11" s="215" t="s">
        <v>184</v>
      </c>
      <c r="B11" s="209" cm="1">
        <f t="array" ref="B11">IF(SUMPRODUCT(('IGU(2020)_LNG_TRADE'!$C$3:$V$3=$A11)*('IGU(2020)_LNG_TRADE'!$A$5:$A$46=B$6))=0,0,SUMPRODUCT(('IGU(2020)_LNG_TRADE'!$C$3:$V$3=$A11)*('IGU(2020)_LNG_TRADE'!$A$5:$A$46=B$6)*'IGU(2020)_LNG_TRADE'!$C$5:$V$46)*10^6*Legend!$B$92*Legend!$B$82*Legend!$B$84*10^-3)</f>
        <v>0</v>
      </c>
      <c r="C11" s="209" cm="1">
        <f t="array" ref="C11">IF(SUMPRODUCT(('IGU(2020)_LNG_TRADE'!$C$3:$V$3=$A11)*('IGU(2020)_LNG_TRADE'!$A$5:$A$46=C$6))=0,0,SUMPRODUCT(('IGU(2020)_LNG_TRADE'!$C$3:$V$3=$A11)*('IGU(2020)_LNG_TRADE'!$A$5:$A$46=C$6)*'IGU(2020)_LNG_TRADE'!$C$5:$V$46)*10^6*Legend!$B$92*Legend!$B$82*Legend!$B$84*10^-3)</f>
        <v>0</v>
      </c>
      <c r="D11" s="209" cm="1">
        <f t="array" ref="D11">IF(SUMPRODUCT(('IGU(2020)_LNG_TRADE'!$C$3:$V$3=$A11)*('IGU(2020)_LNG_TRADE'!$A$5:$A$46=D$6))=0,0,SUMPRODUCT(('IGU(2020)_LNG_TRADE'!$C$3:$V$3=$A11)*('IGU(2020)_LNG_TRADE'!$A$5:$A$46=D$6)*'IGU(2020)_LNG_TRADE'!$C$5:$V$46)*10^6*Legend!$B$92*Legend!$B$82*Legend!$B$84*10^-3)</f>
        <v>0</v>
      </c>
      <c r="E11" s="209" cm="1">
        <f t="array" ref="E11">IF(SUMPRODUCT(('IGU(2020)_LNG_TRADE'!$C$3:$V$3=$A11)*('IGU(2020)_LNG_TRADE'!$A$5:$A$46=E$6))=0,0,SUMPRODUCT(('IGU(2020)_LNG_TRADE'!$C$3:$V$3=$A11)*('IGU(2020)_LNG_TRADE'!$A$5:$A$46=E$6)*'IGU(2020)_LNG_TRADE'!$C$5:$V$46)*10^6*Legend!$B$92*Legend!$B$82*Legend!$B$84*10^-3)</f>
        <v>0</v>
      </c>
      <c r="F11" s="209" cm="1">
        <f t="array" ref="F11">IF(SUMPRODUCT(('IGU(2020)_LNG_TRADE'!$C$3:$V$3=$A11)*('IGU(2020)_LNG_TRADE'!$A$5:$A$46=F$6))=0,0,SUMPRODUCT(('IGU(2020)_LNG_TRADE'!$C$3:$V$3=$A11)*('IGU(2020)_LNG_TRADE'!$A$5:$A$46=F$6)*'IGU(2020)_LNG_TRADE'!$C$5:$V$46)*10^6*Legend!$B$92*Legend!$B$82*Legend!$B$84*10^-3)</f>
        <v>0</v>
      </c>
      <c r="G11" s="209" cm="1">
        <f t="array" ref="G11">IF(SUMPRODUCT(('IGU(2020)_LNG_TRADE'!$C$3:$V$3=$A11)*('IGU(2020)_LNG_TRADE'!$A$5:$A$46=G$6))=0,0,SUMPRODUCT(('IGU(2020)_LNG_TRADE'!$C$3:$V$3=$A11)*('IGU(2020)_LNG_TRADE'!$A$5:$A$46=G$6)*'IGU(2020)_LNG_TRADE'!$C$5:$V$46)*10^6*Legend!$B$92*Legend!$B$82*Legend!$B$84*10^-3)</f>
        <v>0</v>
      </c>
      <c r="H11" s="209" cm="1">
        <f t="array" ref="H11">IF(SUMPRODUCT(('IGU(2020)_LNG_TRADE'!$C$3:$V$3=$A11)*('IGU(2020)_LNG_TRADE'!$A$5:$A$46=H$6))=0,0,SUMPRODUCT(('IGU(2020)_LNG_TRADE'!$C$3:$V$3=$A11)*('IGU(2020)_LNG_TRADE'!$A$5:$A$46=H$6)*'IGU(2020)_LNG_TRADE'!$C$5:$V$46)*10^6*Legend!$B$92*Legend!$B$82*Legend!$B$84*10^-3)</f>
        <v>236515.25939999998</v>
      </c>
      <c r="I11" s="209" cm="1">
        <f t="array" ref="I11">IF(SUMPRODUCT(('IGU(2020)_LNG_TRADE'!$C$3:$V$3=$A11)*('IGU(2020)_LNG_TRADE'!$A$5:$A$46=I$6))=0,0,SUMPRODUCT(('IGU(2020)_LNG_TRADE'!$C$3:$V$3=$A11)*('IGU(2020)_LNG_TRADE'!$A$5:$A$46=I$6)*'IGU(2020)_LNG_TRADE'!$C$5:$V$46)*10^6*Legend!$B$92*Legend!$B$82*Legend!$B$84*10^-3)</f>
        <v>0</v>
      </c>
      <c r="J11" s="209" cm="1">
        <f t="array" ref="J11">IF(SUMPRODUCT(('IGU(2020)_LNG_TRADE'!$C$3:$V$3=$A11)*('IGU(2020)_LNG_TRADE'!$A$5:$A$46=J$6))=0,0,SUMPRODUCT(('IGU(2020)_LNG_TRADE'!$C$3:$V$3=$A11)*('IGU(2020)_LNG_TRADE'!$A$5:$A$46=J$6)*'IGU(2020)_LNG_TRADE'!$C$5:$V$46)*10^6*Legend!$B$92*Legend!$B$82*Legend!$B$84*10^-3)</f>
        <v>0</v>
      </c>
      <c r="K11" s="209" cm="1">
        <f t="array" ref="K11">IF(SUMPRODUCT(('IGU(2020)_LNG_TRADE'!$C$3:$V$3=$A11)*('IGU(2020)_LNG_TRADE'!$A$5:$A$46=K$6))=0,0,SUMPRODUCT(('IGU(2020)_LNG_TRADE'!$C$3:$V$3=$A11)*('IGU(2020)_LNG_TRADE'!$A$5:$A$46=K$6)*'IGU(2020)_LNG_TRADE'!$C$5:$V$46)*10^6*Legend!$B$92*Legend!$B$82*Legend!$B$84*10^-3)</f>
        <v>0</v>
      </c>
      <c r="L11" s="209" cm="1">
        <f t="array" ref="L11">IF(SUMPRODUCT(('IGU(2020)_LNG_TRADE'!$C$3:$V$3=$A11)*('IGU(2020)_LNG_TRADE'!$A$5:$A$46=L$6))=0,0,SUMPRODUCT(('IGU(2020)_LNG_TRADE'!$C$3:$V$3=$A11)*('IGU(2020)_LNG_TRADE'!$A$5:$A$46=L$6)*'IGU(2020)_LNG_TRADE'!$C$5:$V$46)*10^6*Legend!$B$92*Legend!$B$82*Legend!$B$84*10^-3)</f>
        <v>0</v>
      </c>
      <c r="M11" s="209" cm="1">
        <f t="array" ref="M11">IF(SUMPRODUCT(('IGU(2020)_LNG_TRADE'!$C$3:$V$3=$A11)*('IGU(2020)_LNG_TRADE'!$A$5:$A$46=M$6))=0,0,SUMPRODUCT(('IGU(2020)_LNG_TRADE'!$C$3:$V$3=$A11)*('IGU(2020)_LNG_TRADE'!$A$5:$A$46=M$6)*'IGU(2020)_LNG_TRADE'!$C$5:$V$46)*10^6*Legend!$B$92*Legend!$B$82*Legend!$B$84*10^-3)</f>
        <v>1588031.0273999996</v>
      </c>
      <c r="N11" s="209" cm="1">
        <f t="array" ref="N11">IF(SUMPRODUCT(('IGU(2020)_LNG_TRADE'!$C$3:$V$3=$A11)*('IGU(2020)_LNG_TRADE'!$A$5:$A$46=N$6))=0,0,SUMPRODUCT(('IGU(2020)_LNG_TRADE'!$C$3:$V$3=$A11)*('IGU(2020)_LNG_TRADE'!$A$5:$A$46=N$6)*'IGU(2020)_LNG_TRADE'!$C$5:$V$46)*10^6*Legend!$B$92*Legend!$B$82*Legend!$B$84*10^-3)</f>
        <v>0</v>
      </c>
      <c r="O11" s="209" cm="1">
        <f t="array" ref="O11">IF(SUMPRODUCT(('IGU(2020)_LNG_TRADE'!$C$3:$V$3=$A11)*('IGU(2020)_LNG_TRADE'!$A$5:$A$46=O$6))=0,0,SUMPRODUCT(('IGU(2020)_LNG_TRADE'!$C$3:$V$3=$A11)*('IGU(2020)_LNG_TRADE'!$A$5:$A$46=O$6)*'IGU(2020)_LNG_TRADE'!$C$5:$V$46)*10^6*Legend!$B$92*Legend!$B$82*Legend!$B$84*10^-3)</f>
        <v>0</v>
      </c>
      <c r="P11" s="209" cm="1">
        <f t="array" ref="P11">IF(SUMPRODUCT(('IGU(2020)_LNG_TRADE'!$C$3:$V$3=$A11)*('IGU(2020)_LNG_TRADE'!$A$5:$A$46=P$6))=0,0,SUMPRODUCT(('IGU(2020)_LNG_TRADE'!$C$3:$V$3=$A11)*('IGU(2020)_LNG_TRADE'!$A$5:$A$46=P$6)*'IGU(2020)_LNG_TRADE'!$C$5:$V$46)*10^6*Legend!$B$92*Legend!$B$82*Legend!$B$84*10^-3)</f>
        <v>0</v>
      </c>
      <c r="Q11" s="209" cm="1">
        <f t="array" ref="Q11">IF(SUMPRODUCT(('IGU(2020)_LNG_TRADE'!$C$3:$V$3=$A11)*('IGU(2020)_LNG_TRADE'!$A$5:$A$46=Q$6))=0,0,SUMPRODUCT(('IGU(2020)_LNG_TRADE'!$C$3:$V$3=$A11)*('IGU(2020)_LNG_TRADE'!$A$5:$A$46=Q$6)*'IGU(2020)_LNG_TRADE'!$C$5:$V$46)*10^6*Legend!$B$92*Legend!$B$82*Legend!$B$84*10^-3)</f>
        <v>0</v>
      </c>
      <c r="R11" s="209" cm="1">
        <f t="array" ref="R11">IF(SUMPRODUCT(('IGU(2020)_LNG_TRADE'!$C$3:$V$3=$A11)*('IGU(2020)_LNG_TRADE'!$A$5:$A$46=R$6))=0,0,SUMPRODUCT(('IGU(2020)_LNG_TRADE'!$C$3:$V$3=$A11)*('IGU(2020)_LNG_TRADE'!$A$5:$A$46=R$6)*'IGU(2020)_LNG_TRADE'!$C$5:$V$46)*10^6*Legend!$B$92*Legend!$B$82*Legend!$B$84*10^-3)</f>
        <v>0</v>
      </c>
      <c r="S11" s="209" cm="1">
        <f t="array" ref="S11">IF(SUMPRODUCT(('IGU(2020)_LNG_TRADE'!$C$3:$V$3=$A11)*('IGU(2020)_LNG_TRADE'!$A$5:$A$46=S$6))=0,0,SUMPRODUCT(('IGU(2020)_LNG_TRADE'!$C$3:$V$3=$A11)*('IGU(2020)_LNG_TRADE'!$A$5:$A$46=S$6)*'IGU(2020)_LNG_TRADE'!$C$5:$V$46)*10^6*Legend!$B$92*Legend!$B$82*Legend!$B$84*10^-3)</f>
        <v>5631.3156999999983</v>
      </c>
      <c r="T11" s="209" cm="1">
        <f t="array" ref="T11">IF(SUMPRODUCT(('IGU(2020)_LNG_TRADE'!$C$3:$V$3=$A11)*('IGU(2020)_LNG_TRADE'!$A$5:$A$46=T$6))=0,0,SUMPRODUCT(('IGU(2020)_LNG_TRADE'!$C$3:$V$3=$A11)*('IGU(2020)_LNG_TRADE'!$A$5:$A$46=T$6)*'IGU(2020)_LNG_TRADE'!$C$5:$V$46)*10^6*Legend!$B$92*Legend!$B$82*Legend!$B$84*10^-3)</f>
        <v>56313.156999999999</v>
      </c>
      <c r="U11" s="209" cm="1">
        <f t="array" ref="U11">IF(SUMPRODUCT(('IGU(2020)_LNG_TRADE'!$C$3:$V$3=$A11)*('IGU(2020)_LNG_TRADE'!$A$5:$A$46=U$6))=0,0,SUMPRODUCT(('IGU(2020)_LNG_TRADE'!$C$3:$V$3=$A11)*('IGU(2020)_LNG_TRADE'!$A$5:$A$46=U$6)*'IGU(2020)_LNG_TRADE'!$C$5:$V$46)*10^6*Legend!$B$92*Legend!$B$82*Legend!$B$84*10^-3)</f>
        <v>1678132.0785999999</v>
      </c>
      <c r="V11" s="209" cm="1">
        <f t="array" ref="V11">IF(SUMPRODUCT(('IGU(2020)_LNG_TRADE'!$C$3:$V$3=$A11)*('IGU(2020)_LNG_TRADE'!$A$5:$A$46=V$6))=0,0,SUMPRODUCT(('IGU(2020)_LNG_TRADE'!$C$3:$V$3=$A11)*('IGU(2020)_LNG_TRADE'!$A$5:$A$46=V$6)*'IGU(2020)_LNG_TRADE'!$C$5:$V$46)*10^6*Legend!$B$92*Legend!$B$82*Legend!$B$84*10^-3)</f>
        <v>0</v>
      </c>
      <c r="W11" s="209" cm="1">
        <f t="array" ref="W11">IF(SUMPRODUCT(('IGU(2020)_LNG_TRADE'!$C$3:$V$3=$A11)*('IGU(2020)_LNG_TRADE'!$A$5:$A$46=W$6))=0,0,SUMPRODUCT(('IGU(2020)_LNG_TRADE'!$C$3:$V$3=$A11)*('IGU(2020)_LNG_TRADE'!$A$5:$A$46=W$6)*'IGU(2020)_LNG_TRADE'!$C$5:$V$46)*10^6*Legend!$B$92*Legend!$B$82*Legend!$B$84*10^-3)</f>
        <v>0</v>
      </c>
      <c r="X11" s="209" cm="1">
        <f t="array" ref="X11">IF(SUMPRODUCT(('IGU(2020)_LNG_TRADE'!$C$3:$V$3=$A11)*('IGU(2020)_LNG_TRADE'!$A$5:$A$46=X$6))=0,0,SUMPRODUCT(('IGU(2020)_LNG_TRADE'!$C$3:$V$3=$A11)*('IGU(2020)_LNG_TRADE'!$A$5:$A$46=X$6)*'IGU(2020)_LNG_TRADE'!$C$5:$V$46)*10^6*Legend!$B$92*Legend!$B$82*Legend!$B$84*10^-3)</f>
        <v>5631.3156999999983</v>
      </c>
      <c r="Y11" s="209" cm="1">
        <f t="array" ref="Y11">IF(SUMPRODUCT(('IGU(2020)_LNG_TRADE'!$C$3:$V$3=$A11)*('IGU(2020)_LNG_TRADE'!$A$5:$A$46=Y$6))=0,0,SUMPRODUCT(('IGU(2020)_LNG_TRADE'!$C$3:$V$3=$A11)*('IGU(2020)_LNG_TRADE'!$A$5:$A$46=Y$6)*'IGU(2020)_LNG_TRADE'!$C$5:$V$46)*10^6*Legend!$B$92*Legend!$B$82*Legend!$B$84*10^-3)</f>
        <v>0</v>
      </c>
      <c r="Z11" s="209" cm="1">
        <f t="array" ref="Z11">IF(SUMPRODUCT(('IGU(2020)_LNG_TRADE'!$C$3:$V$3=$A11)*('IGU(2020)_LNG_TRADE'!$A$5:$A$46=Z$6))=0,0,SUMPRODUCT(('IGU(2020)_LNG_TRADE'!$C$3:$V$3=$A11)*('IGU(2020)_LNG_TRADE'!$A$5:$A$46=Z$6)*'IGU(2020)_LNG_TRADE'!$C$5:$V$46)*10^6*Legend!$B$92*Legend!$B$82*Legend!$B$84*10^-3)</f>
        <v>0</v>
      </c>
      <c r="AA11" s="209" cm="1">
        <f t="array" ref="AA11">IF(SUMPRODUCT(('IGU(2020)_LNG_TRADE'!$C$3:$V$3=$A11)*('IGU(2020)_LNG_TRADE'!$A$5:$A$46=AA$6))=0,0,SUMPRODUCT(('IGU(2020)_LNG_TRADE'!$C$3:$V$3=$A11)*('IGU(2020)_LNG_TRADE'!$A$5:$A$46=AA$6)*'IGU(2020)_LNG_TRADE'!$C$5:$V$46)*10^6*Legend!$B$92*Legend!$B$82*Legend!$B$84*10^-3)</f>
        <v>0</v>
      </c>
      <c r="AB11" s="209" cm="1">
        <f t="array" ref="AB11">IF(SUMPRODUCT(('IGU(2020)_LNG_TRADE'!$C$3:$V$3=$A11)*('IGU(2020)_LNG_TRADE'!$A$5:$A$46=AB$6))=0,0,SUMPRODUCT(('IGU(2020)_LNG_TRADE'!$C$3:$V$3=$A11)*('IGU(2020)_LNG_TRADE'!$A$5:$A$46=AB$6)*'IGU(2020)_LNG_TRADE'!$C$5:$V$46)*10^6*Legend!$B$92*Legend!$B$82*Legend!$B$84*10^-3)</f>
        <v>675757.88399999996</v>
      </c>
      <c r="AC11" s="220" cm="1">
        <f t="array" ref="AC11">IF(SUMPRODUCT(('IGU(2020)_LNG_TRADE'!$C$3:$V$3=$A11)*('IGU(2020)_LNG_TRADE'!$A$5:$A$46=AC$6))=0,0,SUMPRODUCT(('IGU(2020)_LNG_TRADE'!$C$3:$V$3=$A11)*('IGU(2020)_LNG_TRADE'!$A$5:$A$46=AC$6)*'IGU(2020)_LNG_TRADE'!$C$5:$V$46)*10^6*Legend!$B$92*Legend!$B$82*Legend!$B$84*10^-3)</f>
        <v>0</v>
      </c>
    </row>
    <row r="12" spans="1:29">
      <c r="A12" s="215" t="s">
        <v>187</v>
      </c>
      <c r="B12" s="209" cm="1">
        <f t="array" ref="B12">IF(SUMPRODUCT(('IGU(2020)_LNG_TRADE'!$C$3:$V$3=$A12)*('IGU(2020)_LNG_TRADE'!$A$5:$A$46=B$6))=0,0,SUMPRODUCT(('IGU(2020)_LNG_TRADE'!$C$3:$V$3=$A12)*('IGU(2020)_LNG_TRADE'!$A$5:$A$46=B$6)*'IGU(2020)_LNG_TRADE'!$C$5:$V$46)*10^6*Legend!$B$92*Legend!$B$82*Legend!$B$84*10^-3)</f>
        <v>0</v>
      </c>
      <c r="C12" s="209" cm="1">
        <f t="array" ref="C12">IF(SUMPRODUCT(('IGU(2020)_LNG_TRADE'!$C$3:$V$3=$A12)*('IGU(2020)_LNG_TRADE'!$A$5:$A$46=C$6))=0,0,SUMPRODUCT(('IGU(2020)_LNG_TRADE'!$C$3:$V$3=$A12)*('IGU(2020)_LNG_TRADE'!$A$5:$A$46=C$6)*'IGU(2020)_LNG_TRADE'!$C$5:$V$46)*10^6*Legend!$B$92*Legend!$B$82*Legend!$B$84*10^-3)</f>
        <v>0</v>
      </c>
      <c r="D12" s="209" cm="1">
        <f t="array" ref="D12">IF(SUMPRODUCT(('IGU(2020)_LNG_TRADE'!$C$3:$V$3=$A12)*('IGU(2020)_LNG_TRADE'!$A$5:$A$46=D$6))=0,0,SUMPRODUCT(('IGU(2020)_LNG_TRADE'!$C$3:$V$3=$A12)*('IGU(2020)_LNG_TRADE'!$A$5:$A$46=D$6)*'IGU(2020)_LNG_TRADE'!$C$5:$V$46)*10^6*Legend!$B$92*Legend!$B$82*Legend!$B$84*10^-3)</f>
        <v>0</v>
      </c>
      <c r="E12" s="209" cm="1">
        <f t="array" ref="E12">IF(SUMPRODUCT(('IGU(2020)_LNG_TRADE'!$C$3:$V$3=$A12)*('IGU(2020)_LNG_TRADE'!$A$5:$A$46=E$6))=0,0,SUMPRODUCT(('IGU(2020)_LNG_TRADE'!$C$3:$V$3=$A12)*('IGU(2020)_LNG_TRADE'!$A$5:$A$46=E$6)*'IGU(2020)_LNG_TRADE'!$C$5:$V$46)*10^6*Legend!$B$92*Legend!$B$82*Legend!$B$84*10^-3)</f>
        <v>0</v>
      </c>
      <c r="F12" s="209" cm="1">
        <f t="array" ref="F12">IF(SUMPRODUCT(('IGU(2020)_LNG_TRADE'!$C$3:$V$3=$A12)*('IGU(2020)_LNG_TRADE'!$A$5:$A$46=F$6))=0,0,SUMPRODUCT(('IGU(2020)_LNG_TRADE'!$C$3:$V$3=$A12)*('IGU(2020)_LNG_TRADE'!$A$5:$A$46=F$6)*'IGU(2020)_LNG_TRADE'!$C$5:$V$46)*10^6*Legend!$B$92*Legend!$B$82*Legend!$B$84*10^-3)</f>
        <v>0</v>
      </c>
      <c r="G12" s="209" cm="1">
        <f t="array" ref="G12">IF(SUMPRODUCT(('IGU(2020)_LNG_TRADE'!$C$3:$V$3=$A12)*('IGU(2020)_LNG_TRADE'!$A$5:$A$46=G$6))=0,0,SUMPRODUCT(('IGU(2020)_LNG_TRADE'!$C$3:$V$3=$A12)*('IGU(2020)_LNG_TRADE'!$A$5:$A$46=G$6)*'IGU(2020)_LNG_TRADE'!$C$5:$V$46)*10^6*Legend!$B$92*Legend!$B$82*Legend!$B$84*10^-3)</f>
        <v>0</v>
      </c>
      <c r="H12" s="209" cm="1">
        <f t="array" ref="H12">IF(SUMPRODUCT(('IGU(2020)_LNG_TRADE'!$C$3:$V$3=$A12)*('IGU(2020)_LNG_TRADE'!$A$5:$A$46=H$6))=0,0,SUMPRODUCT(('IGU(2020)_LNG_TRADE'!$C$3:$V$3=$A12)*('IGU(2020)_LNG_TRADE'!$A$5:$A$46=H$6)*'IGU(2020)_LNG_TRADE'!$C$5:$V$46)*10^6*Legend!$B$92*Legend!$B$82*Legend!$B$84*10^-3)</f>
        <v>0</v>
      </c>
      <c r="I12" s="209" cm="1">
        <f t="array" ref="I12">IF(SUMPRODUCT(('IGU(2020)_LNG_TRADE'!$C$3:$V$3=$A12)*('IGU(2020)_LNG_TRADE'!$A$5:$A$46=I$6))=0,0,SUMPRODUCT(('IGU(2020)_LNG_TRADE'!$C$3:$V$3=$A12)*('IGU(2020)_LNG_TRADE'!$A$5:$A$46=I$6)*'IGU(2020)_LNG_TRADE'!$C$5:$V$46)*10^6*Legend!$B$92*Legend!$B$82*Legend!$B$84*10^-3)</f>
        <v>0</v>
      </c>
      <c r="J12" s="209" cm="1">
        <f t="array" ref="J12">IF(SUMPRODUCT(('IGU(2020)_LNG_TRADE'!$C$3:$V$3=$A12)*('IGU(2020)_LNG_TRADE'!$A$5:$A$46=J$6))=0,0,SUMPRODUCT(('IGU(2020)_LNG_TRADE'!$C$3:$V$3=$A12)*('IGU(2020)_LNG_TRADE'!$A$5:$A$46=J$6)*'IGU(2020)_LNG_TRADE'!$C$5:$V$46)*10^6*Legend!$B$92*Legend!$B$82*Legend!$B$84*10^-3)</f>
        <v>0</v>
      </c>
      <c r="K12" s="209" cm="1">
        <f t="array" ref="K12">IF(SUMPRODUCT(('IGU(2020)_LNG_TRADE'!$C$3:$V$3=$A12)*('IGU(2020)_LNG_TRADE'!$A$5:$A$46=K$6))=0,0,SUMPRODUCT(('IGU(2020)_LNG_TRADE'!$C$3:$V$3=$A12)*('IGU(2020)_LNG_TRADE'!$A$5:$A$46=K$6)*'IGU(2020)_LNG_TRADE'!$C$5:$V$46)*10^6*Legend!$B$92*Legend!$B$82*Legend!$B$84*10^-3)</f>
        <v>0</v>
      </c>
      <c r="L12" s="209" cm="1">
        <f t="array" ref="L12">IF(SUMPRODUCT(('IGU(2020)_LNG_TRADE'!$C$3:$V$3=$A12)*('IGU(2020)_LNG_TRADE'!$A$5:$A$46=L$6))=0,0,SUMPRODUCT(('IGU(2020)_LNG_TRADE'!$C$3:$V$3=$A12)*('IGU(2020)_LNG_TRADE'!$A$5:$A$46=L$6)*'IGU(2020)_LNG_TRADE'!$C$5:$V$46)*10^6*Legend!$B$92*Legend!$B$82*Legend!$B$84*10^-3)</f>
        <v>0</v>
      </c>
      <c r="M12" s="209" cm="1">
        <f t="array" ref="M12">IF(SUMPRODUCT(('IGU(2020)_LNG_TRADE'!$C$3:$V$3=$A12)*('IGU(2020)_LNG_TRADE'!$A$5:$A$46=M$6))=0,0,SUMPRODUCT(('IGU(2020)_LNG_TRADE'!$C$3:$V$3=$A12)*('IGU(2020)_LNG_TRADE'!$A$5:$A$46=M$6)*'IGU(2020)_LNG_TRADE'!$C$5:$V$46)*10^6*Legend!$B$92*Legend!$B$82*Legend!$B$84*10^-3)</f>
        <v>0</v>
      </c>
      <c r="N12" s="209" cm="1">
        <f t="array" ref="N12">IF(SUMPRODUCT(('IGU(2020)_LNG_TRADE'!$C$3:$V$3=$A12)*('IGU(2020)_LNG_TRADE'!$A$5:$A$46=N$6))=0,0,SUMPRODUCT(('IGU(2020)_LNG_TRADE'!$C$3:$V$3=$A12)*('IGU(2020)_LNG_TRADE'!$A$5:$A$46=N$6)*'IGU(2020)_LNG_TRADE'!$C$5:$V$46)*10^6*Legend!$B$92*Legend!$B$82*Legend!$B$84*10^-3)</f>
        <v>0</v>
      </c>
      <c r="O12" s="209" cm="1">
        <f t="array" ref="O12">IF(SUMPRODUCT(('IGU(2020)_LNG_TRADE'!$C$3:$V$3=$A12)*('IGU(2020)_LNG_TRADE'!$A$5:$A$46=O$6))=0,0,SUMPRODUCT(('IGU(2020)_LNG_TRADE'!$C$3:$V$3=$A12)*('IGU(2020)_LNG_TRADE'!$A$5:$A$46=O$6)*'IGU(2020)_LNG_TRADE'!$C$5:$V$46)*10^6*Legend!$B$92*Legend!$B$82*Legend!$B$84*10^-3)</f>
        <v>0</v>
      </c>
      <c r="P12" s="209" cm="1">
        <f t="array" ref="P12">IF(SUMPRODUCT(('IGU(2020)_LNG_TRADE'!$C$3:$V$3=$A12)*('IGU(2020)_LNG_TRADE'!$A$5:$A$46=P$6))=0,0,SUMPRODUCT(('IGU(2020)_LNG_TRADE'!$C$3:$V$3=$A12)*('IGU(2020)_LNG_TRADE'!$A$5:$A$46=P$6)*'IGU(2020)_LNG_TRADE'!$C$5:$V$46)*10^6*Legend!$B$92*Legend!$B$82*Legend!$B$84*10^-3)</f>
        <v>0</v>
      </c>
      <c r="Q12" s="209" cm="1">
        <f t="array" ref="Q12">IF(SUMPRODUCT(('IGU(2020)_LNG_TRADE'!$C$3:$V$3=$A12)*('IGU(2020)_LNG_TRADE'!$A$5:$A$46=Q$6))=0,0,SUMPRODUCT(('IGU(2020)_LNG_TRADE'!$C$3:$V$3=$A12)*('IGU(2020)_LNG_TRADE'!$A$5:$A$46=Q$6)*'IGU(2020)_LNG_TRADE'!$C$5:$V$46)*10^6*Legend!$B$92*Legend!$B$82*Legend!$B$84*10^-3)</f>
        <v>0</v>
      </c>
      <c r="R12" s="209" cm="1">
        <f t="array" ref="R12">IF(SUMPRODUCT(('IGU(2020)_LNG_TRADE'!$C$3:$V$3=$A12)*('IGU(2020)_LNG_TRADE'!$A$5:$A$46=R$6))=0,0,SUMPRODUCT(('IGU(2020)_LNG_TRADE'!$C$3:$V$3=$A12)*('IGU(2020)_LNG_TRADE'!$A$5:$A$46=R$6)*'IGU(2020)_LNG_TRADE'!$C$5:$V$46)*10^6*Legend!$B$92*Legend!$B$82*Legend!$B$84*10^-3)</f>
        <v>0</v>
      </c>
      <c r="S12" s="209" cm="1">
        <f t="array" ref="S12">IF(SUMPRODUCT(('IGU(2020)_LNG_TRADE'!$C$3:$V$3=$A12)*('IGU(2020)_LNG_TRADE'!$A$5:$A$46=S$6))=0,0,SUMPRODUCT(('IGU(2020)_LNG_TRADE'!$C$3:$V$3=$A12)*('IGU(2020)_LNG_TRADE'!$A$5:$A$46=S$6)*'IGU(2020)_LNG_TRADE'!$C$5:$V$46)*10^6*Legend!$B$92*Legend!$B$82*Legend!$B$84*10^-3)</f>
        <v>0</v>
      </c>
      <c r="T12" s="209" cm="1">
        <f t="array" ref="T12">IF(SUMPRODUCT(('IGU(2020)_LNG_TRADE'!$C$3:$V$3=$A12)*('IGU(2020)_LNG_TRADE'!$A$5:$A$46=T$6))=0,0,SUMPRODUCT(('IGU(2020)_LNG_TRADE'!$C$3:$V$3=$A12)*('IGU(2020)_LNG_TRADE'!$A$5:$A$46=T$6)*'IGU(2020)_LNG_TRADE'!$C$5:$V$46)*10^6*Legend!$B$92*Legend!$B$82*Legend!$B$84*10^-3)</f>
        <v>0</v>
      </c>
      <c r="U12" s="209" cm="1">
        <f t="array" ref="U12">IF(SUMPRODUCT(('IGU(2020)_LNG_TRADE'!$C$3:$V$3=$A12)*('IGU(2020)_LNG_TRADE'!$A$5:$A$46=U$6))=0,0,SUMPRODUCT(('IGU(2020)_LNG_TRADE'!$C$3:$V$3=$A12)*('IGU(2020)_LNG_TRADE'!$A$5:$A$46=U$6)*'IGU(2020)_LNG_TRADE'!$C$5:$V$46)*10^6*Legend!$B$92*Legend!$B$82*Legend!$B$84*10^-3)</f>
        <v>0</v>
      </c>
      <c r="V12" s="209" cm="1">
        <f t="array" ref="V12">IF(SUMPRODUCT(('IGU(2020)_LNG_TRADE'!$C$3:$V$3=$A12)*('IGU(2020)_LNG_TRADE'!$A$5:$A$46=V$6))=0,0,SUMPRODUCT(('IGU(2020)_LNG_TRADE'!$C$3:$V$3=$A12)*('IGU(2020)_LNG_TRADE'!$A$5:$A$46=V$6)*'IGU(2020)_LNG_TRADE'!$C$5:$V$46)*10^6*Legend!$B$92*Legend!$B$82*Legend!$B$84*10^-3)</f>
        <v>0</v>
      </c>
      <c r="W12" s="209" cm="1">
        <f t="array" ref="W12">IF(SUMPRODUCT(('IGU(2020)_LNG_TRADE'!$C$3:$V$3=$A12)*('IGU(2020)_LNG_TRADE'!$A$5:$A$46=W$6))=0,0,SUMPRODUCT(('IGU(2020)_LNG_TRADE'!$C$3:$V$3=$A12)*('IGU(2020)_LNG_TRADE'!$A$5:$A$46=W$6)*'IGU(2020)_LNG_TRADE'!$C$5:$V$46)*10^6*Legend!$B$92*Legend!$B$82*Legend!$B$84*10^-3)</f>
        <v>0</v>
      </c>
      <c r="X12" s="209" cm="1">
        <f t="array" ref="X12">IF(SUMPRODUCT(('IGU(2020)_LNG_TRADE'!$C$3:$V$3=$A12)*('IGU(2020)_LNG_TRADE'!$A$5:$A$46=X$6))=0,0,SUMPRODUCT(('IGU(2020)_LNG_TRADE'!$C$3:$V$3=$A12)*('IGU(2020)_LNG_TRADE'!$A$5:$A$46=X$6)*'IGU(2020)_LNG_TRADE'!$C$5:$V$46)*10^6*Legend!$B$92*Legend!$B$82*Legend!$B$84*10^-3)</f>
        <v>0</v>
      </c>
      <c r="Y12" s="209" cm="1">
        <f t="array" ref="Y12">IF(SUMPRODUCT(('IGU(2020)_LNG_TRADE'!$C$3:$V$3=$A12)*('IGU(2020)_LNG_TRADE'!$A$5:$A$46=Y$6))=0,0,SUMPRODUCT(('IGU(2020)_LNG_TRADE'!$C$3:$V$3=$A12)*('IGU(2020)_LNG_TRADE'!$A$5:$A$46=Y$6)*'IGU(2020)_LNG_TRADE'!$C$5:$V$46)*10^6*Legend!$B$92*Legend!$B$82*Legend!$B$84*10^-3)</f>
        <v>0</v>
      </c>
      <c r="Z12" s="209" cm="1">
        <f t="array" ref="Z12">IF(SUMPRODUCT(('IGU(2020)_LNG_TRADE'!$C$3:$V$3=$A12)*('IGU(2020)_LNG_TRADE'!$A$5:$A$46=Z$6))=0,0,SUMPRODUCT(('IGU(2020)_LNG_TRADE'!$C$3:$V$3=$A12)*('IGU(2020)_LNG_TRADE'!$A$5:$A$46=Z$6)*'IGU(2020)_LNG_TRADE'!$C$5:$V$46)*10^6*Legend!$B$92*Legend!$B$82*Legend!$B$84*10^-3)</f>
        <v>0</v>
      </c>
      <c r="AA12" s="209" cm="1">
        <f t="array" ref="AA12">IF(SUMPRODUCT(('IGU(2020)_LNG_TRADE'!$C$3:$V$3=$A12)*('IGU(2020)_LNG_TRADE'!$A$5:$A$46=AA$6))=0,0,SUMPRODUCT(('IGU(2020)_LNG_TRADE'!$C$3:$V$3=$A12)*('IGU(2020)_LNG_TRADE'!$A$5:$A$46=AA$6)*'IGU(2020)_LNG_TRADE'!$C$5:$V$46)*10^6*Legend!$B$92*Legend!$B$82*Legend!$B$84*10^-3)</f>
        <v>0</v>
      </c>
      <c r="AB12" s="209" cm="1">
        <f t="array" ref="AB12">IF(SUMPRODUCT(('IGU(2020)_LNG_TRADE'!$C$3:$V$3=$A12)*('IGU(2020)_LNG_TRADE'!$A$5:$A$46=AB$6))=0,0,SUMPRODUCT(('IGU(2020)_LNG_TRADE'!$C$3:$V$3=$A12)*('IGU(2020)_LNG_TRADE'!$A$5:$A$46=AB$6)*'IGU(2020)_LNG_TRADE'!$C$5:$V$46)*10^6*Legend!$B$92*Legend!$B$82*Legend!$B$84*10^-3)</f>
        <v>0</v>
      </c>
      <c r="AC12" s="220" cm="1">
        <f t="array" ref="AC12">IF(SUMPRODUCT(('IGU(2020)_LNG_TRADE'!$C$3:$V$3=$A12)*('IGU(2020)_LNG_TRADE'!$A$5:$A$46=AC$6))=0,0,SUMPRODUCT(('IGU(2020)_LNG_TRADE'!$C$3:$V$3=$A12)*('IGU(2020)_LNG_TRADE'!$A$5:$A$46=AC$6)*'IGU(2020)_LNG_TRADE'!$C$5:$V$46)*10^6*Legend!$B$92*Legend!$B$82*Legend!$B$84*10^-3)</f>
        <v>0</v>
      </c>
    </row>
    <row r="13" spans="1:29">
      <c r="A13" s="215" t="s">
        <v>190</v>
      </c>
      <c r="B13" s="209" cm="1">
        <f t="array" ref="B13">IF(SUMPRODUCT(('IGU(2020)_LNG_TRADE'!$C$3:$V$3=$A13)*('IGU(2020)_LNG_TRADE'!$A$5:$A$46=B$6))=0,0,SUMPRODUCT(('IGU(2020)_LNG_TRADE'!$C$3:$V$3=$A13)*('IGU(2020)_LNG_TRADE'!$A$5:$A$46=B$6)*'IGU(2020)_LNG_TRADE'!$C$5:$V$46)*10^6*Legend!$B$92*Legend!$B$82*Legend!$B$84*10^-3)</f>
        <v>0</v>
      </c>
      <c r="C13" s="209" cm="1">
        <f t="array" ref="C13">IF(SUMPRODUCT(('IGU(2020)_LNG_TRADE'!$C$3:$V$3=$A13)*('IGU(2020)_LNG_TRADE'!$A$5:$A$46=C$6))=0,0,SUMPRODUCT(('IGU(2020)_LNG_TRADE'!$C$3:$V$3=$A13)*('IGU(2020)_LNG_TRADE'!$A$5:$A$46=C$6)*'IGU(2020)_LNG_TRADE'!$C$5:$V$46)*10^6*Legend!$B$92*Legend!$B$82*Legend!$B$84*10^-3)</f>
        <v>0</v>
      </c>
      <c r="D13" s="209" cm="1">
        <f t="array" ref="D13">IF(SUMPRODUCT(('IGU(2020)_LNG_TRADE'!$C$3:$V$3=$A13)*('IGU(2020)_LNG_TRADE'!$A$5:$A$46=D$6))=0,0,SUMPRODUCT(('IGU(2020)_LNG_TRADE'!$C$3:$V$3=$A13)*('IGU(2020)_LNG_TRADE'!$A$5:$A$46=D$6)*'IGU(2020)_LNG_TRADE'!$C$5:$V$46)*10^6*Legend!$B$92*Legend!$B$82*Legend!$B$84*10^-3)</f>
        <v>0</v>
      </c>
      <c r="E13" s="209" cm="1">
        <f t="array" ref="E13">IF(SUMPRODUCT(('IGU(2020)_LNG_TRADE'!$C$3:$V$3=$A13)*('IGU(2020)_LNG_TRADE'!$A$5:$A$46=E$6))=0,0,SUMPRODUCT(('IGU(2020)_LNG_TRADE'!$C$3:$V$3=$A13)*('IGU(2020)_LNG_TRADE'!$A$5:$A$46=E$6)*'IGU(2020)_LNG_TRADE'!$C$5:$V$46)*10^6*Legend!$B$92*Legend!$B$82*Legend!$B$84*10^-3)</f>
        <v>0</v>
      </c>
      <c r="F13" s="209" cm="1">
        <f t="array" ref="F13">IF(SUMPRODUCT(('IGU(2020)_LNG_TRADE'!$C$3:$V$3=$A13)*('IGU(2020)_LNG_TRADE'!$A$5:$A$46=F$6))=0,0,SUMPRODUCT(('IGU(2020)_LNG_TRADE'!$C$3:$V$3=$A13)*('IGU(2020)_LNG_TRADE'!$A$5:$A$46=F$6)*'IGU(2020)_LNG_TRADE'!$C$5:$V$46)*10^6*Legend!$B$92*Legend!$B$82*Legend!$B$84*10^-3)</f>
        <v>0</v>
      </c>
      <c r="G13" s="209" cm="1">
        <f t="array" ref="G13">IF(SUMPRODUCT(('IGU(2020)_LNG_TRADE'!$C$3:$V$3=$A13)*('IGU(2020)_LNG_TRADE'!$A$5:$A$46=G$6))=0,0,SUMPRODUCT(('IGU(2020)_LNG_TRADE'!$C$3:$V$3=$A13)*('IGU(2020)_LNG_TRADE'!$A$5:$A$46=G$6)*'IGU(2020)_LNG_TRADE'!$C$5:$V$46)*10^6*Legend!$B$92*Legend!$B$82*Legend!$B$84*10^-3)</f>
        <v>0</v>
      </c>
      <c r="H13" s="209" cm="1">
        <f t="array" ref="H13">IF(SUMPRODUCT(('IGU(2020)_LNG_TRADE'!$C$3:$V$3=$A13)*('IGU(2020)_LNG_TRADE'!$A$5:$A$46=H$6))=0,0,SUMPRODUCT(('IGU(2020)_LNG_TRADE'!$C$3:$V$3=$A13)*('IGU(2020)_LNG_TRADE'!$A$5:$A$46=H$6)*'IGU(2020)_LNG_TRADE'!$C$5:$V$46)*10^6*Legend!$B$92*Legend!$B$82*Legend!$B$84*10^-3)</f>
        <v>129520.2611</v>
      </c>
      <c r="I13" s="209" cm="1">
        <f t="array" ref="I13">IF(SUMPRODUCT(('IGU(2020)_LNG_TRADE'!$C$3:$V$3=$A13)*('IGU(2020)_LNG_TRADE'!$A$5:$A$46=I$6))=0,0,SUMPRODUCT(('IGU(2020)_LNG_TRADE'!$C$3:$V$3=$A13)*('IGU(2020)_LNG_TRADE'!$A$5:$A$46=I$6)*'IGU(2020)_LNG_TRADE'!$C$5:$V$46)*10^6*Legend!$B$92*Legend!$B$82*Legend!$B$84*10^-3)</f>
        <v>11262.631399999997</v>
      </c>
      <c r="J13" s="209" cm="1">
        <f t="array" ref="J13">IF(SUMPRODUCT(('IGU(2020)_LNG_TRADE'!$C$3:$V$3=$A13)*('IGU(2020)_LNG_TRADE'!$A$5:$A$46=J$6))=0,0,SUMPRODUCT(('IGU(2020)_LNG_TRADE'!$C$3:$V$3=$A13)*('IGU(2020)_LNG_TRADE'!$A$5:$A$46=J$6)*'IGU(2020)_LNG_TRADE'!$C$5:$V$46)*10^6*Legend!$B$92*Legend!$B$82*Legend!$B$84*10^-3)</f>
        <v>0</v>
      </c>
      <c r="K13" s="209" cm="1">
        <f t="array" ref="K13">IF(SUMPRODUCT(('IGU(2020)_LNG_TRADE'!$C$3:$V$3=$A13)*('IGU(2020)_LNG_TRADE'!$A$5:$A$46=K$6))=0,0,SUMPRODUCT(('IGU(2020)_LNG_TRADE'!$C$3:$V$3=$A13)*('IGU(2020)_LNG_TRADE'!$A$5:$A$46=K$6)*'IGU(2020)_LNG_TRADE'!$C$5:$V$46)*10^6*Legend!$B$92*Legend!$B$82*Legend!$B$84*10^-3)</f>
        <v>0</v>
      </c>
      <c r="L13" s="209" cm="1">
        <f t="array" ref="L13">IF(SUMPRODUCT(('IGU(2020)_LNG_TRADE'!$C$3:$V$3=$A13)*('IGU(2020)_LNG_TRADE'!$A$5:$A$46=L$6))=0,0,SUMPRODUCT(('IGU(2020)_LNG_TRADE'!$C$3:$V$3=$A13)*('IGU(2020)_LNG_TRADE'!$A$5:$A$46=L$6)*'IGU(2020)_LNG_TRADE'!$C$5:$V$46)*10^6*Legend!$B$92*Legend!$B$82*Legend!$B$84*10^-3)</f>
        <v>0</v>
      </c>
      <c r="M13" s="209" cm="1">
        <f t="array" ref="M13">IF(SUMPRODUCT(('IGU(2020)_LNG_TRADE'!$C$3:$V$3=$A13)*('IGU(2020)_LNG_TRADE'!$A$5:$A$46=M$6))=0,0,SUMPRODUCT(('IGU(2020)_LNG_TRADE'!$C$3:$V$3=$A13)*('IGU(2020)_LNG_TRADE'!$A$5:$A$46=M$6)*'IGU(2020)_LNG_TRADE'!$C$5:$V$46)*10^6*Legend!$B$92*Legend!$B$82*Legend!$B$84*10^-3)</f>
        <v>613813.41129999969</v>
      </c>
      <c r="N13" s="209" cm="1">
        <f t="array" ref="N13">IF(SUMPRODUCT(('IGU(2020)_LNG_TRADE'!$C$3:$V$3=$A13)*('IGU(2020)_LNG_TRADE'!$A$5:$A$46=N$6))=0,0,SUMPRODUCT(('IGU(2020)_LNG_TRADE'!$C$3:$V$3=$A13)*('IGU(2020)_LNG_TRADE'!$A$5:$A$46=N$6)*'IGU(2020)_LNG_TRADE'!$C$5:$V$46)*10^6*Legend!$B$92*Legend!$B$82*Legend!$B$84*10^-3)</f>
        <v>0</v>
      </c>
      <c r="O13" s="209" cm="1">
        <f t="array" ref="O13">IF(SUMPRODUCT(('IGU(2020)_LNG_TRADE'!$C$3:$V$3=$A13)*('IGU(2020)_LNG_TRADE'!$A$5:$A$46=O$6))=0,0,SUMPRODUCT(('IGU(2020)_LNG_TRADE'!$C$3:$V$3=$A13)*('IGU(2020)_LNG_TRADE'!$A$5:$A$46=O$6)*'IGU(2020)_LNG_TRADE'!$C$5:$V$46)*10^6*Legend!$B$92*Legend!$B$82*Legend!$B$84*10^-3)</f>
        <v>0</v>
      </c>
      <c r="P13" s="209" cm="1">
        <f t="array" ref="P13">IF(SUMPRODUCT(('IGU(2020)_LNG_TRADE'!$C$3:$V$3=$A13)*('IGU(2020)_LNG_TRADE'!$A$5:$A$46=P$6))=0,0,SUMPRODUCT(('IGU(2020)_LNG_TRADE'!$C$3:$V$3=$A13)*('IGU(2020)_LNG_TRADE'!$A$5:$A$46=P$6)*'IGU(2020)_LNG_TRADE'!$C$5:$V$46)*10^6*Legend!$B$92*Legend!$B$82*Legend!$B$84*10^-3)</f>
        <v>0</v>
      </c>
      <c r="Q13" s="209" cm="1">
        <f t="array" ref="Q13">IF(SUMPRODUCT(('IGU(2020)_LNG_TRADE'!$C$3:$V$3=$A13)*('IGU(2020)_LNG_TRADE'!$A$5:$A$46=Q$6))=0,0,SUMPRODUCT(('IGU(2020)_LNG_TRADE'!$C$3:$V$3=$A13)*('IGU(2020)_LNG_TRADE'!$A$5:$A$46=Q$6)*'IGU(2020)_LNG_TRADE'!$C$5:$V$46)*10^6*Legend!$B$92*Legend!$B$82*Legend!$B$84*10^-3)</f>
        <v>0</v>
      </c>
      <c r="R13" s="209" cm="1">
        <f t="array" ref="R13">IF(SUMPRODUCT(('IGU(2020)_LNG_TRADE'!$C$3:$V$3=$A13)*('IGU(2020)_LNG_TRADE'!$A$5:$A$46=R$6))=0,0,SUMPRODUCT(('IGU(2020)_LNG_TRADE'!$C$3:$V$3=$A13)*('IGU(2020)_LNG_TRADE'!$A$5:$A$46=R$6)*'IGU(2020)_LNG_TRADE'!$C$5:$V$46)*10^6*Legend!$B$92*Legend!$B$82*Legend!$B$84*10^-3)</f>
        <v>0</v>
      </c>
      <c r="S13" s="209" cm="1">
        <f t="array" ref="S13">IF(SUMPRODUCT(('IGU(2020)_LNG_TRADE'!$C$3:$V$3=$A13)*('IGU(2020)_LNG_TRADE'!$A$5:$A$46=S$6))=0,0,SUMPRODUCT(('IGU(2020)_LNG_TRADE'!$C$3:$V$3=$A13)*('IGU(2020)_LNG_TRADE'!$A$5:$A$46=S$6)*'IGU(2020)_LNG_TRADE'!$C$5:$V$46)*10^6*Legend!$B$92*Legend!$B$82*Legend!$B$84*10^-3)</f>
        <v>0</v>
      </c>
      <c r="T13" s="209" cm="1">
        <f t="array" ref="T13">IF(SUMPRODUCT(('IGU(2020)_LNG_TRADE'!$C$3:$V$3=$A13)*('IGU(2020)_LNG_TRADE'!$A$5:$A$46=T$6))=0,0,SUMPRODUCT(('IGU(2020)_LNG_TRADE'!$C$3:$V$3=$A13)*('IGU(2020)_LNG_TRADE'!$A$5:$A$46=T$6)*'IGU(2020)_LNG_TRADE'!$C$5:$V$46)*10^6*Legend!$B$92*Legend!$B$82*Legend!$B$84*10^-3)</f>
        <v>22525.262799999993</v>
      </c>
      <c r="U13" s="209" cm="1">
        <f t="array" ref="U13">IF(SUMPRODUCT(('IGU(2020)_LNG_TRADE'!$C$3:$V$3=$A13)*('IGU(2020)_LNG_TRADE'!$A$5:$A$46=U$6))=0,0,SUMPRODUCT(('IGU(2020)_LNG_TRADE'!$C$3:$V$3=$A13)*('IGU(2020)_LNG_TRADE'!$A$5:$A$46=U$6)*'IGU(2020)_LNG_TRADE'!$C$5:$V$46)*10^6*Legend!$B$92*Legend!$B$82*Legend!$B$84*10^-3)</f>
        <v>979848.93180000002</v>
      </c>
      <c r="V13" s="209" cm="1">
        <f t="array" ref="V13">IF(SUMPRODUCT(('IGU(2020)_LNG_TRADE'!$C$3:$V$3=$A13)*('IGU(2020)_LNG_TRADE'!$A$5:$A$46=V$6))=0,0,SUMPRODUCT(('IGU(2020)_LNG_TRADE'!$C$3:$V$3=$A13)*('IGU(2020)_LNG_TRADE'!$A$5:$A$46=V$6)*'IGU(2020)_LNG_TRADE'!$C$5:$V$46)*10^6*Legend!$B$92*Legend!$B$82*Legend!$B$84*10^-3)</f>
        <v>0</v>
      </c>
      <c r="W13" s="209" cm="1">
        <f t="array" ref="W13">IF(SUMPRODUCT(('IGU(2020)_LNG_TRADE'!$C$3:$V$3=$A13)*('IGU(2020)_LNG_TRADE'!$A$5:$A$46=W$6))=0,0,SUMPRODUCT(('IGU(2020)_LNG_TRADE'!$C$3:$V$3=$A13)*('IGU(2020)_LNG_TRADE'!$A$5:$A$46=W$6)*'IGU(2020)_LNG_TRADE'!$C$5:$V$46)*10^6*Legend!$B$92*Legend!$B$82*Legend!$B$84*10^-3)</f>
        <v>0</v>
      </c>
      <c r="X13" s="209" cm="1">
        <f t="array" ref="X13">IF(SUMPRODUCT(('IGU(2020)_LNG_TRADE'!$C$3:$V$3=$A13)*('IGU(2020)_LNG_TRADE'!$A$5:$A$46=X$6))=0,0,SUMPRODUCT(('IGU(2020)_LNG_TRADE'!$C$3:$V$3=$A13)*('IGU(2020)_LNG_TRADE'!$A$5:$A$46=X$6)*'IGU(2020)_LNG_TRADE'!$C$5:$V$46)*10^6*Legend!$B$92*Legend!$B$82*Legend!$B$84*10^-3)</f>
        <v>0</v>
      </c>
      <c r="Y13" s="209" cm="1">
        <f t="array" ref="Y13">IF(SUMPRODUCT(('IGU(2020)_LNG_TRADE'!$C$3:$V$3=$A13)*('IGU(2020)_LNG_TRADE'!$A$5:$A$46=Y$6))=0,0,SUMPRODUCT(('IGU(2020)_LNG_TRADE'!$C$3:$V$3=$A13)*('IGU(2020)_LNG_TRADE'!$A$5:$A$46=Y$6)*'IGU(2020)_LNG_TRADE'!$C$5:$V$46)*10^6*Legend!$B$92*Legend!$B$82*Legend!$B$84*10^-3)</f>
        <v>0</v>
      </c>
      <c r="Z13" s="209" cm="1">
        <f t="array" ref="Z13">IF(SUMPRODUCT(('IGU(2020)_LNG_TRADE'!$C$3:$V$3=$A13)*('IGU(2020)_LNG_TRADE'!$A$5:$A$46=Z$6))=0,0,SUMPRODUCT(('IGU(2020)_LNG_TRADE'!$C$3:$V$3=$A13)*('IGU(2020)_LNG_TRADE'!$A$5:$A$46=Z$6)*'IGU(2020)_LNG_TRADE'!$C$5:$V$46)*10^6*Legend!$B$92*Legend!$B$82*Legend!$B$84*10^-3)</f>
        <v>0</v>
      </c>
      <c r="AA13" s="209" cm="1">
        <f t="array" ref="AA13">IF(SUMPRODUCT(('IGU(2020)_LNG_TRADE'!$C$3:$V$3=$A13)*('IGU(2020)_LNG_TRADE'!$A$5:$A$46=AA$6))=0,0,SUMPRODUCT(('IGU(2020)_LNG_TRADE'!$C$3:$V$3=$A13)*('IGU(2020)_LNG_TRADE'!$A$5:$A$46=AA$6)*'IGU(2020)_LNG_TRADE'!$C$5:$V$46)*10^6*Legend!$B$92*Legend!$B$82*Legend!$B$84*10^-3)</f>
        <v>0</v>
      </c>
      <c r="AB13" s="209" cm="1">
        <f t="array" ref="AB13">IF(SUMPRODUCT(('IGU(2020)_LNG_TRADE'!$C$3:$V$3=$A13)*('IGU(2020)_LNG_TRADE'!$A$5:$A$46=AB$6))=0,0,SUMPRODUCT(('IGU(2020)_LNG_TRADE'!$C$3:$V$3=$A13)*('IGU(2020)_LNG_TRADE'!$A$5:$A$46=AB$6)*'IGU(2020)_LNG_TRADE'!$C$5:$V$46)*10^6*Legend!$B$92*Legend!$B$82*Legend!$B$84*10^-3)</f>
        <v>551868.93859999999</v>
      </c>
      <c r="AC13" s="220" cm="1">
        <f t="array" ref="AC13">IF(SUMPRODUCT(('IGU(2020)_LNG_TRADE'!$C$3:$V$3=$A13)*('IGU(2020)_LNG_TRADE'!$A$5:$A$46=AC$6))=0,0,SUMPRODUCT(('IGU(2020)_LNG_TRADE'!$C$3:$V$3=$A13)*('IGU(2020)_LNG_TRADE'!$A$5:$A$46=AC$6)*'IGU(2020)_LNG_TRADE'!$C$5:$V$46)*10^6*Legend!$B$92*Legend!$B$82*Legend!$B$84*10^-3)</f>
        <v>0</v>
      </c>
    </row>
    <row r="14" spans="1:29">
      <c r="A14" s="215" t="s">
        <v>193</v>
      </c>
      <c r="B14" s="209" cm="1">
        <f t="array" ref="B14">IF(SUMPRODUCT(('IGU(2020)_LNG_TRADE'!$C$3:$V$3=$A14)*('IGU(2020)_LNG_TRADE'!$A$5:$A$46=B$6))=0,0,SUMPRODUCT(('IGU(2020)_LNG_TRADE'!$C$3:$V$3=$A14)*('IGU(2020)_LNG_TRADE'!$A$5:$A$46=B$6)*'IGU(2020)_LNG_TRADE'!$C$5:$V$46)*10^6*Legend!$B$92*Legend!$B$82*Legend!$B$84*10^-3)</f>
        <v>0</v>
      </c>
      <c r="C14" s="209" cm="1">
        <f t="array" ref="C14">IF(SUMPRODUCT(('IGU(2020)_LNG_TRADE'!$C$3:$V$3=$A14)*('IGU(2020)_LNG_TRADE'!$A$5:$A$46=C$6))=0,0,SUMPRODUCT(('IGU(2020)_LNG_TRADE'!$C$3:$V$3=$A14)*('IGU(2020)_LNG_TRADE'!$A$5:$A$46=C$6)*'IGU(2020)_LNG_TRADE'!$C$5:$V$46)*10^6*Legend!$B$92*Legend!$B$82*Legend!$B$84*10^-3)</f>
        <v>0</v>
      </c>
      <c r="D14" s="209" cm="1">
        <f t="array" ref="D14">IF(SUMPRODUCT(('IGU(2020)_LNG_TRADE'!$C$3:$V$3=$A14)*('IGU(2020)_LNG_TRADE'!$A$5:$A$46=D$6))=0,0,SUMPRODUCT(('IGU(2020)_LNG_TRADE'!$C$3:$V$3=$A14)*('IGU(2020)_LNG_TRADE'!$A$5:$A$46=D$6)*'IGU(2020)_LNG_TRADE'!$C$5:$V$46)*10^6*Legend!$B$92*Legend!$B$82*Legend!$B$84*10^-3)</f>
        <v>0</v>
      </c>
      <c r="E14" s="209" cm="1">
        <f t="array" ref="E14">IF(SUMPRODUCT(('IGU(2020)_LNG_TRADE'!$C$3:$V$3=$A14)*('IGU(2020)_LNG_TRADE'!$A$5:$A$46=E$6))=0,0,SUMPRODUCT(('IGU(2020)_LNG_TRADE'!$C$3:$V$3=$A14)*('IGU(2020)_LNG_TRADE'!$A$5:$A$46=E$6)*'IGU(2020)_LNG_TRADE'!$C$5:$V$46)*10^6*Legend!$B$92*Legend!$B$82*Legend!$B$84*10^-3)</f>
        <v>0</v>
      </c>
      <c r="F14" s="209" cm="1">
        <f t="array" ref="F14">IF(SUMPRODUCT(('IGU(2020)_LNG_TRADE'!$C$3:$V$3=$A14)*('IGU(2020)_LNG_TRADE'!$A$5:$A$46=F$6))=0,0,SUMPRODUCT(('IGU(2020)_LNG_TRADE'!$C$3:$V$3=$A14)*('IGU(2020)_LNG_TRADE'!$A$5:$A$46=F$6)*'IGU(2020)_LNG_TRADE'!$C$5:$V$46)*10^6*Legend!$B$92*Legend!$B$82*Legend!$B$84*10^-3)</f>
        <v>0</v>
      </c>
      <c r="G14" s="209" cm="1">
        <f t="array" ref="G14">IF(SUMPRODUCT(('IGU(2020)_LNG_TRADE'!$C$3:$V$3=$A14)*('IGU(2020)_LNG_TRADE'!$A$5:$A$46=G$6))=0,0,SUMPRODUCT(('IGU(2020)_LNG_TRADE'!$C$3:$V$3=$A14)*('IGU(2020)_LNG_TRADE'!$A$5:$A$46=G$6)*'IGU(2020)_LNG_TRADE'!$C$5:$V$46)*10^6*Legend!$B$92*Legend!$B$82*Legend!$B$84*10^-3)</f>
        <v>0</v>
      </c>
      <c r="H14" s="209" cm="1">
        <f t="array" ref="H14">IF(SUMPRODUCT(('IGU(2020)_LNG_TRADE'!$C$3:$V$3=$A14)*('IGU(2020)_LNG_TRADE'!$A$5:$A$46=H$6))=0,0,SUMPRODUCT(('IGU(2020)_LNG_TRADE'!$C$3:$V$3=$A14)*('IGU(2020)_LNG_TRADE'!$A$5:$A$46=H$6)*'IGU(2020)_LNG_TRADE'!$C$5:$V$46)*10^6*Legend!$B$92*Legend!$B$82*Legend!$B$84*10^-3)</f>
        <v>0</v>
      </c>
      <c r="I14" s="209" cm="1">
        <f t="array" ref="I14">IF(SUMPRODUCT(('IGU(2020)_LNG_TRADE'!$C$3:$V$3=$A14)*('IGU(2020)_LNG_TRADE'!$A$5:$A$46=I$6))=0,0,SUMPRODUCT(('IGU(2020)_LNG_TRADE'!$C$3:$V$3=$A14)*('IGU(2020)_LNG_TRADE'!$A$5:$A$46=I$6)*'IGU(2020)_LNG_TRADE'!$C$5:$V$46)*10^6*Legend!$B$92*Legend!$B$82*Legend!$B$84*10^-3)</f>
        <v>0</v>
      </c>
      <c r="J14" s="209" cm="1">
        <f t="array" ref="J14">IF(SUMPRODUCT(('IGU(2020)_LNG_TRADE'!$C$3:$V$3=$A14)*('IGU(2020)_LNG_TRADE'!$A$5:$A$46=J$6))=0,0,SUMPRODUCT(('IGU(2020)_LNG_TRADE'!$C$3:$V$3=$A14)*('IGU(2020)_LNG_TRADE'!$A$5:$A$46=J$6)*'IGU(2020)_LNG_TRADE'!$C$5:$V$46)*10^6*Legend!$B$92*Legend!$B$82*Legend!$B$84*10^-3)</f>
        <v>0</v>
      </c>
      <c r="K14" s="209" cm="1">
        <f t="array" ref="K14">IF(SUMPRODUCT(('IGU(2020)_LNG_TRADE'!$C$3:$V$3=$A14)*('IGU(2020)_LNG_TRADE'!$A$5:$A$46=K$6))=0,0,SUMPRODUCT(('IGU(2020)_LNG_TRADE'!$C$3:$V$3=$A14)*('IGU(2020)_LNG_TRADE'!$A$5:$A$46=K$6)*'IGU(2020)_LNG_TRADE'!$C$5:$V$46)*10^6*Legend!$B$92*Legend!$B$82*Legend!$B$84*10^-3)</f>
        <v>0</v>
      </c>
      <c r="L14" s="209" cm="1">
        <f t="array" ref="L14">IF(SUMPRODUCT(('IGU(2020)_LNG_TRADE'!$C$3:$V$3=$A14)*('IGU(2020)_LNG_TRADE'!$A$5:$A$46=L$6))=0,0,SUMPRODUCT(('IGU(2020)_LNG_TRADE'!$C$3:$V$3=$A14)*('IGU(2020)_LNG_TRADE'!$A$5:$A$46=L$6)*'IGU(2020)_LNG_TRADE'!$C$5:$V$46)*10^6*Legend!$B$92*Legend!$B$82*Legend!$B$84*10^-3)</f>
        <v>0</v>
      </c>
      <c r="M14" s="209" cm="1">
        <f t="array" ref="M14">IF(SUMPRODUCT(('IGU(2020)_LNG_TRADE'!$C$3:$V$3=$A14)*('IGU(2020)_LNG_TRADE'!$A$5:$A$46=M$6))=0,0,SUMPRODUCT(('IGU(2020)_LNG_TRADE'!$C$3:$V$3=$A14)*('IGU(2020)_LNG_TRADE'!$A$5:$A$46=M$6)*'IGU(2020)_LNG_TRADE'!$C$5:$V$46)*10^6*Legend!$B$92*Legend!$B$82*Legend!$B$84*10^-3)</f>
        <v>0</v>
      </c>
      <c r="N14" s="209" cm="1">
        <f t="array" ref="N14">IF(SUMPRODUCT(('IGU(2020)_LNG_TRADE'!$C$3:$V$3=$A14)*('IGU(2020)_LNG_TRADE'!$A$5:$A$46=N$6))=0,0,SUMPRODUCT(('IGU(2020)_LNG_TRADE'!$C$3:$V$3=$A14)*('IGU(2020)_LNG_TRADE'!$A$5:$A$46=N$6)*'IGU(2020)_LNG_TRADE'!$C$5:$V$46)*10^6*Legend!$B$92*Legend!$B$82*Legend!$B$84*10^-3)</f>
        <v>0</v>
      </c>
      <c r="O14" s="209" cm="1">
        <f t="array" ref="O14">IF(SUMPRODUCT(('IGU(2020)_LNG_TRADE'!$C$3:$V$3=$A14)*('IGU(2020)_LNG_TRADE'!$A$5:$A$46=O$6))=0,0,SUMPRODUCT(('IGU(2020)_LNG_TRADE'!$C$3:$V$3=$A14)*('IGU(2020)_LNG_TRADE'!$A$5:$A$46=O$6)*'IGU(2020)_LNG_TRADE'!$C$5:$V$46)*10^6*Legend!$B$92*Legend!$B$82*Legend!$B$84*10^-3)</f>
        <v>0</v>
      </c>
      <c r="P14" s="209" cm="1">
        <f t="array" ref="P14">IF(SUMPRODUCT(('IGU(2020)_LNG_TRADE'!$C$3:$V$3=$A14)*('IGU(2020)_LNG_TRADE'!$A$5:$A$46=P$6))=0,0,SUMPRODUCT(('IGU(2020)_LNG_TRADE'!$C$3:$V$3=$A14)*('IGU(2020)_LNG_TRADE'!$A$5:$A$46=P$6)*'IGU(2020)_LNG_TRADE'!$C$5:$V$46)*10^6*Legend!$B$92*Legend!$B$82*Legend!$B$84*10^-3)</f>
        <v>0</v>
      </c>
      <c r="Q14" s="209" cm="1">
        <f t="array" ref="Q14">IF(SUMPRODUCT(('IGU(2020)_LNG_TRADE'!$C$3:$V$3=$A14)*('IGU(2020)_LNG_TRADE'!$A$5:$A$46=Q$6))=0,0,SUMPRODUCT(('IGU(2020)_LNG_TRADE'!$C$3:$V$3=$A14)*('IGU(2020)_LNG_TRADE'!$A$5:$A$46=Q$6)*'IGU(2020)_LNG_TRADE'!$C$5:$V$46)*10^6*Legend!$B$92*Legend!$B$82*Legend!$B$84*10^-3)</f>
        <v>0</v>
      </c>
      <c r="R14" s="209" cm="1">
        <f t="array" ref="R14">IF(SUMPRODUCT(('IGU(2020)_LNG_TRADE'!$C$3:$V$3=$A14)*('IGU(2020)_LNG_TRADE'!$A$5:$A$46=R$6))=0,0,SUMPRODUCT(('IGU(2020)_LNG_TRADE'!$C$3:$V$3=$A14)*('IGU(2020)_LNG_TRADE'!$A$5:$A$46=R$6)*'IGU(2020)_LNG_TRADE'!$C$5:$V$46)*10^6*Legend!$B$92*Legend!$B$82*Legend!$B$84*10^-3)</f>
        <v>0</v>
      </c>
      <c r="S14" s="209" cm="1">
        <f t="array" ref="S14">IF(SUMPRODUCT(('IGU(2020)_LNG_TRADE'!$C$3:$V$3=$A14)*('IGU(2020)_LNG_TRADE'!$A$5:$A$46=S$6))=0,0,SUMPRODUCT(('IGU(2020)_LNG_TRADE'!$C$3:$V$3=$A14)*('IGU(2020)_LNG_TRADE'!$A$5:$A$46=S$6)*'IGU(2020)_LNG_TRADE'!$C$5:$V$46)*10^6*Legend!$B$92*Legend!$B$82*Legend!$B$84*10^-3)</f>
        <v>0</v>
      </c>
      <c r="T14" s="209" cm="1">
        <f t="array" ref="T14">IF(SUMPRODUCT(('IGU(2020)_LNG_TRADE'!$C$3:$V$3=$A14)*('IGU(2020)_LNG_TRADE'!$A$5:$A$46=T$6))=0,0,SUMPRODUCT(('IGU(2020)_LNG_TRADE'!$C$3:$V$3=$A14)*('IGU(2020)_LNG_TRADE'!$A$5:$A$46=T$6)*'IGU(2020)_LNG_TRADE'!$C$5:$V$46)*10^6*Legend!$B$92*Legend!$B$82*Legend!$B$84*10^-3)</f>
        <v>0</v>
      </c>
      <c r="U14" s="209" cm="1">
        <f t="array" ref="U14">IF(SUMPRODUCT(('IGU(2020)_LNG_TRADE'!$C$3:$V$3=$A14)*('IGU(2020)_LNG_TRADE'!$A$5:$A$46=U$6))=0,0,SUMPRODUCT(('IGU(2020)_LNG_TRADE'!$C$3:$V$3=$A14)*('IGU(2020)_LNG_TRADE'!$A$5:$A$46=U$6)*'IGU(2020)_LNG_TRADE'!$C$5:$V$46)*10^6*Legend!$B$92*Legend!$B$82*Legend!$B$84*10^-3)</f>
        <v>0</v>
      </c>
      <c r="V14" s="209" cm="1">
        <f t="array" ref="V14">IF(SUMPRODUCT(('IGU(2020)_LNG_TRADE'!$C$3:$V$3=$A14)*('IGU(2020)_LNG_TRADE'!$A$5:$A$46=V$6))=0,0,SUMPRODUCT(('IGU(2020)_LNG_TRADE'!$C$3:$V$3=$A14)*('IGU(2020)_LNG_TRADE'!$A$5:$A$46=V$6)*'IGU(2020)_LNG_TRADE'!$C$5:$V$46)*10^6*Legend!$B$92*Legend!$B$82*Legend!$B$84*10^-3)</f>
        <v>0</v>
      </c>
      <c r="W14" s="209" cm="1">
        <f t="array" ref="W14">IF(SUMPRODUCT(('IGU(2020)_LNG_TRADE'!$C$3:$V$3=$A14)*('IGU(2020)_LNG_TRADE'!$A$5:$A$46=W$6))=0,0,SUMPRODUCT(('IGU(2020)_LNG_TRADE'!$C$3:$V$3=$A14)*('IGU(2020)_LNG_TRADE'!$A$5:$A$46=W$6)*'IGU(2020)_LNG_TRADE'!$C$5:$V$46)*10^6*Legend!$B$92*Legend!$B$82*Legend!$B$84*10^-3)</f>
        <v>0</v>
      </c>
      <c r="X14" s="209" cm="1">
        <f t="array" ref="X14">IF(SUMPRODUCT(('IGU(2020)_LNG_TRADE'!$C$3:$V$3=$A14)*('IGU(2020)_LNG_TRADE'!$A$5:$A$46=X$6))=0,0,SUMPRODUCT(('IGU(2020)_LNG_TRADE'!$C$3:$V$3=$A14)*('IGU(2020)_LNG_TRADE'!$A$5:$A$46=X$6)*'IGU(2020)_LNG_TRADE'!$C$5:$V$46)*10^6*Legend!$B$92*Legend!$B$82*Legend!$B$84*10^-3)</f>
        <v>0</v>
      </c>
      <c r="Y14" s="209" cm="1">
        <f t="array" ref="Y14">IF(SUMPRODUCT(('IGU(2020)_LNG_TRADE'!$C$3:$V$3=$A14)*('IGU(2020)_LNG_TRADE'!$A$5:$A$46=Y$6))=0,0,SUMPRODUCT(('IGU(2020)_LNG_TRADE'!$C$3:$V$3=$A14)*('IGU(2020)_LNG_TRADE'!$A$5:$A$46=Y$6)*'IGU(2020)_LNG_TRADE'!$C$5:$V$46)*10^6*Legend!$B$92*Legend!$B$82*Legend!$B$84*10^-3)</f>
        <v>0</v>
      </c>
      <c r="Z14" s="209" cm="1">
        <f t="array" ref="Z14">IF(SUMPRODUCT(('IGU(2020)_LNG_TRADE'!$C$3:$V$3=$A14)*('IGU(2020)_LNG_TRADE'!$A$5:$A$46=Z$6))=0,0,SUMPRODUCT(('IGU(2020)_LNG_TRADE'!$C$3:$V$3=$A14)*('IGU(2020)_LNG_TRADE'!$A$5:$A$46=Z$6)*'IGU(2020)_LNG_TRADE'!$C$5:$V$46)*10^6*Legend!$B$92*Legend!$B$82*Legend!$B$84*10^-3)</f>
        <v>0</v>
      </c>
      <c r="AA14" s="209" cm="1">
        <f t="array" ref="AA14">IF(SUMPRODUCT(('IGU(2020)_LNG_TRADE'!$C$3:$V$3=$A14)*('IGU(2020)_LNG_TRADE'!$A$5:$A$46=AA$6))=0,0,SUMPRODUCT(('IGU(2020)_LNG_TRADE'!$C$3:$V$3=$A14)*('IGU(2020)_LNG_TRADE'!$A$5:$A$46=AA$6)*'IGU(2020)_LNG_TRADE'!$C$5:$V$46)*10^6*Legend!$B$92*Legend!$B$82*Legend!$B$84*10^-3)</f>
        <v>0</v>
      </c>
      <c r="AB14" s="209" cm="1">
        <f t="array" ref="AB14">IF(SUMPRODUCT(('IGU(2020)_LNG_TRADE'!$C$3:$V$3=$A14)*('IGU(2020)_LNG_TRADE'!$A$5:$A$46=AB$6))=0,0,SUMPRODUCT(('IGU(2020)_LNG_TRADE'!$C$3:$V$3=$A14)*('IGU(2020)_LNG_TRADE'!$A$5:$A$46=AB$6)*'IGU(2020)_LNG_TRADE'!$C$5:$V$46)*10^6*Legend!$B$92*Legend!$B$82*Legend!$B$84*10^-3)</f>
        <v>0</v>
      </c>
      <c r="AC14" s="220" cm="1">
        <f t="array" ref="AC14">IF(SUMPRODUCT(('IGU(2020)_LNG_TRADE'!$C$3:$V$3=$A14)*('IGU(2020)_LNG_TRADE'!$A$5:$A$46=AC$6))=0,0,SUMPRODUCT(('IGU(2020)_LNG_TRADE'!$C$3:$V$3=$A14)*('IGU(2020)_LNG_TRADE'!$A$5:$A$46=AC$6)*'IGU(2020)_LNG_TRADE'!$C$5:$V$46)*10^6*Legend!$B$92*Legend!$B$82*Legend!$B$84*10^-3)</f>
        <v>0</v>
      </c>
    </row>
    <row r="15" spans="1:29">
      <c r="A15" s="215" t="s">
        <v>196</v>
      </c>
      <c r="B15" s="209" cm="1">
        <f t="array" ref="B15">IF(SUMPRODUCT(('IGU(2020)_LNG_TRADE'!$C$3:$V$3=$A15)*('IGU(2020)_LNG_TRADE'!$A$5:$A$46=B$6))=0,0,SUMPRODUCT(('IGU(2020)_LNG_TRADE'!$C$3:$V$3=$A15)*('IGU(2020)_LNG_TRADE'!$A$5:$A$46=B$6)*'IGU(2020)_LNG_TRADE'!$C$5:$V$46)*10^6*Legend!$B$92*Legend!$B$82*Legend!$B$84*10^-3)</f>
        <v>0</v>
      </c>
      <c r="C15" s="209" cm="1">
        <f t="array" ref="C15">IF(SUMPRODUCT(('IGU(2020)_LNG_TRADE'!$C$3:$V$3=$A15)*('IGU(2020)_LNG_TRADE'!$A$5:$A$46=C$6))=0,0,SUMPRODUCT(('IGU(2020)_LNG_TRADE'!$C$3:$V$3=$A15)*('IGU(2020)_LNG_TRADE'!$A$5:$A$46=C$6)*'IGU(2020)_LNG_TRADE'!$C$5:$V$46)*10^6*Legend!$B$92*Legend!$B$82*Legend!$B$84*10^-3)</f>
        <v>0</v>
      </c>
      <c r="D15" s="209" cm="1">
        <f t="array" ref="D15">IF(SUMPRODUCT(('IGU(2020)_LNG_TRADE'!$C$3:$V$3=$A15)*('IGU(2020)_LNG_TRADE'!$A$5:$A$46=D$6))=0,0,SUMPRODUCT(('IGU(2020)_LNG_TRADE'!$C$3:$V$3=$A15)*('IGU(2020)_LNG_TRADE'!$A$5:$A$46=D$6)*'IGU(2020)_LNG_TRADE'!$C$5:$V$46)*10^6*Legend!$B$92*Legend!$B$82*Legend!$B$84*10^-3)</f>
        <v>0</v>
      </c>
      <c r="E15" s="209" cm="1">
        <f t="array" ref="E15">IF(SUMPRODUCT(('IGU(2020)_LNG_TRADE'!$C$3:$V$3=$A15)*('IGU(2020)_LNG_TRADE'!$A$5:$A$46=E$6))=0,0,SUMPRODUCT(('IGU(2020)_LNG_TRADE'!$C$3:$V$3=$A15)*('IGU(2020)_LNG_TRADE'!$A$5:$A$46=E$6)*'IGU(2020)_LNG_TRADE'!$C$5:$V$46)*10^6*Legend!$B$92*Legend!$B$82*Legend!$B$84*10^-3)</f>
        <v>0</v>
      </c>
      <c r="F15" s="209" cm="1">
        <f t="array" ref="F15">IF(SUMPRODUCT(('IGU(2020)_LNG_TRADE'!$C$3:$V$3=$A15)*('IGU(2020)_LNG_TRADE'!$A$5:$A$46=F$6))=0,0,SUMPRODUCT(('IGU(2020)_LNG_TRADE'!$C$3:$V$3=$A15)*('IGU(2020)_LNG_TRADE'!$A$5:$A$46=F$6)*'IGU(2020)_LNG_TRADE'!$C$5:$V$46)*10^6*Legend!$B$92*Legend!$B$82*Legend!$B$84*10^-3)</f>
        <v>0</v>
      </c>
      <c r="G15" s="209" cm="1">
        <f t="array" ref="G15">IF(SUMPRODUCT(('IGU(2020)_LNG_TRADE'!$C$3:$V$3=$A15)*('IGU(2020)_LNG_TRADE'!$A$5:$A$46=G$6))=0,0,SUMPRODUCT(('IGU(2020)_LNG_TRADE'!$C$3:$V$3=$A15)*('IGU(2020)_LNG_TRADE'!$A$5:$A$46=G$6)*'IGU(2020)_LNG_TRADE'!$C$5:$V$46)*10^6*Legend!$B$92*Legend!$B$82*Legend!$B$84*10^-3)</f>
        <v>0</v>
      </c>
      <c r="H15" s="209" cm="1">
        <f t="array" ref="H15">IF(SUMPRODUCT(('IGU(2020)_LNG_TRADE'!$C$3:$V$3=$A15)*('IGU(2020)_LNG_TRADE'!$A$5:$A$46=H$6))=0,0,SUMPRODUCT(('IGU(2020)_LNG_TRADE'!$C$3:$V$3=$A15)*('IGU(2020)_LNG_TRADE'!$A$5:$A$46=H$6)*'IGU(2020)_LNG_TRADE'!$C$5:$V$46)*10^6*Legend!$B$92*Legend!$B$82*Legend!$B$84*10^-3)</f>
        <v>0</v>
      </c>
      <c r="I15" s="209" cm="1">
        <f t="array" ref="I15">IF(SUMPRODUCT(('IGU(2020)_LNG_TRADE'!$C$3:$V$3=$A15)*('IGU(2020)_LNG_TRADE'!$A$5:$A$46=I$6))=0,0,SUMPRODUCT(('IGU(2020)_LNG_TRADE'!$C$3:$V$3=$A15)*('IGU(2020)_LNG_TRADE'!$A$5:$A$46=I$6)*'IGU(2020)_LNG_TRADE'!$C$5:$V$46)*10^6*Legend!$B$92*Legend!$B$82*Legend!$B$84*10^-3)</f>
        <v>0</v>
      </c>
      <c r="J15" s="209" cm="1">
        <f t="array" ref="J15">IF(SUMPRODUCT(('IGU(2020)_LNG_TRADE'!$C$3:$V$3=$A15)*('IGU(2020)_LNG_TRADE'!$A$5:$A$46=J$6))=0,0,SUMPRODUCT(('IGU(2020)_LNG_TRADE'!$C$3:$V$3=$A15)*('IGU(2020)_LNG_TRADE'!$A$5:$A$46=J$6)*'IGU(2020)_LNG_TRADE'!$C$5:$V$46)*10^6*Legend!$B$92*Legend!$B$82*Legend!$B$84*10^-3)</f>
        <v>0</v>
      </c>
      <c r="K15" s="209" cm="1">
        <f t="array" ref="K15">IF(SUMPRODUCT(('IGU(2020)_LNG_TRADE'!$C$3:$V$3=$A15)*('IGU(2020)_LNG_TRADE'!$A$5:$A$46=K$6))=0,0,SUMPRODUCT(('IGU(2020)_LNG_TRADE'!$C$3:$V$3=$A15)*('IGU(2020)_LNG_TRADE'!$A$5:$A$46=K$6)*'IGU(2020)_LNG_TRADE'!$C$5:$V$46)*10^6*Legend!$B$92*Legend!$B$82*Legend!$B$84*10^-3)</f>
        <v>0</v>
      </c>
      <c r="L15" s="209" cm="1">
        <f t="array" ref="L15">IF(SUMPRODUCT(('IGU(2020)_LNG_TRADE'!$C$3:$V$3=$A15)*('IGU(2020)_LNG_TRADE'!$A$5:$A$46=L$6))=0,0,SUMPRODUCT(('IGU(2020)_LNG_TRADE'!$C$3:$V$3=$A15)*('IGU(2020)_LNG_TRADE'!$A$5:$A$46=L$6)*'IGU(2020)_LNG_TRADE'!$C$5:$V$46)*10^6*Legend!$B$92*Legend!$B$82*Legend!$B$84*10^-3)</f>
        <v>0</v>
      </c>
      <c r="M15" s="209" cm="1">
        <f t="array" ref="M15">IF(SUMPRODUCT(('IGU(2020)_LNG_TRADE'!$C$3:$V$3=$A15)*('IGU(2020)_LNG_TRADE'!$A$5:$A$46=M$6))=0,0,SUMPRODUCT(('IGU(2020)_LNG_TRADE'!$C$3:$V$3=$A15)*('IGU(2020)_LNG_TRADE'!$A$5:$A$46=M$6)*'IGU(2020)_LNG_TRADE'!$C$5:$V$46)*10^6*Legend!$B$92*Legend!$B$82*Legend!$B$84*10^-3)</f>
        <v>0</v>
      </c>
      <c r="N15" s="209" cm="1">
        <f t="array" ref="N15">IF(SUMPRODUCT(('IGU(2020)_LNG_TRADE'!$C$3:$V$3=$A15)*('IGU(2020)_LNG_TRADE'!$A$5:$A$46=N$6))=0,0,SUMPRODUCT(('IGU(2020)_LNG_TRADE'!$C$3:$V$3=$A15)*('IGU(2020)_LNG_TRADE'!$A$5:$A$46=N$6)*'IGU(2020)_LNG_TRADE'!$C$5:$V$46)*10^6*Legend!$B$92*Legend!$B$82*Legend!$B$84*10^-3)</f>
        <v>0</v>
      </c>
      <c r="O15" s="209" cm="1">
        <f t="array" ref="O15">IF(SUMPRODUCT(('IGU(2020)_LNG_TRADE'!$C$3:$V$3=$A15)*('IGU(2020)_LNG_TRADE'!$A$5:$A$46=O$6))=0,0,SUMPRODUCT(('IGU(2020)_LNG_TRADE'!$C$3:$V$3=$A15)*('IGU(2020)_LNG_TRADE'!$A$5:$A$46=O$6)*'IGU(2020)_LNG_TRADE'!$C$5:$V$46)*10^6*Legend!$B$92*Legend!$B$82*Legend!$B$84*10^-3)</f>
        <v>0</v>
      </c>
      <c r="P15" s="209" cm="1">
        <f t="array" ref="P15">IF(SUMPRODUCT(('IGU(2020)_LNG_TRADE'!$C$3:$V$3=$A15)*('IGU(2020)_LNG_TRADE'!$A$5:$A$46=P$6))=0,0,SUMPRODUCT(('IGU(2020)_LNG_TRADE'!$C$3:$V$3=$A15)*('IGU(2020)_LNG_TRADE'!$A$5:$A$46=P$6)*'IGU(2020)_LNG_TRADE'!$C$5:$V$46)*10^6*Legend!$B$92*Legend!$B$82*Legend!$B$84*10^-3)</f>
        <v>0</v>
      </c>
      <c r="Q15" s="209" cm="1">
        <f t="array" ref="Q15">IF(SUMPRODUCT(('IGU(2020)_LNG_TRADE'!$C$3:$V$3=$A15)*('IGU(2020)_LNG_TRADE'!$A$5:$A$46=Q$6))=0,0,SUMPRODUCT(('IGU(2020)_LNG_TRADE'!$C$3:$V$3=$A15)*('IGU(2020)_LNG_TRADE'!$A$5:$A$46=Q$6)*'IGU(2020)_LNG_TRADE'!$C$5:$V$46)*10^6*Legend!$B$92*Legend!$B$82*Legend!$B$84*10^-3)</f>
        <v>0</v>
      </c>
      <c r="R15" s="209" cm="1">
        <f t="array" ref="R15">IF(SUMPRODUCT(('IGU(2020)_LNG_TRADE'!$C$3:$V$3=$A15)*('IGU(2020)_LNG_TRADE'!$A$5:$A$46=R$6))=0,0,SUMPRODUCT(('IGU(2020)_LNG_TRADE'!$C$3:$V$3=$A15)*('IGU(2020)_LNG_TRADE'!$A$5:$A$46=R$6)*'IGU(2020)_LNG_TRADE'!$C$5:$V$46)*10^6*Legend!$B$92*Legend!$B$82*Legend!$B$84*10^-3)</f>
        <v>0</v>
      </c>
      <c r="S15" s="209" cm="1">
        <f t="array" ref="S15">IF(SUMPRODUCT(('IGU(2020)_LNG_TRADE'!$C$3:$V$3=$A15)*('IGU(2020)_LNG_TRADE'!$A$5:$A$46=S$6))=0,0,SUMPRODUCT(('IGU(2020)_LNG_TRADE'!$C$3:$V$3=$A15)*('IGU(2020)_LNG_TRADE'!$A$5:$A$46=S$6)*'IGU(2020)_LNG_TRADE'!$C$5:$V$46)*10^6*Legend!$B$92*Legend!$B$82*Legend!$B$84*10^-3)</f>
        <v>0</v>
      </c>
      <c r="T15" s="209" cm="1">
        <f t="array" ref="T15">IF(SUMPRODUCT(('IGU(2020)_LNG_TRADE'!$C$3:$V$3=$A15)*('IGU(2020)_LNG_TRADE'!$A$5:$A$46=T$6))=0,0,SUMPRODUCT(('IGU(2020)_LNG_TRADE'!$C$3:$V$3=$A15)*('IGU(2020)_LNG_TRADE'!$A$5:$A$46=T$6)*'IGU(2020)_LNG_TRADE'!$C$5:$V$46)*10^6*Legend!$B$92*Legend!$B$82*Legend!$B$84*10^-3)</f>
        <v>0</v>
      </c>
      <c r="U15" s="209" cm="1">
        <f t="array" ref="U15">IF(SUMPRODUCT(('IGU(2020)_LNG_TRADE'!$C$3:$V$3=$A15)*('IGU(2020)_LNG_TRADE'!$A$5:$A$46=U$6))=0,0,SUMPRODUCT(('IGU(2020)_LNG_TRADE'!$C$3:$V$3=$A15)*('IGU(2020)_LNG_TRADE'!$A$5:$A$46=U$6)*'IGU(2020)_LNG_TRADE'!$C$5:$V$46)*10^6*Legend!$B$92*Legend!$B$82*Legend!$B$84*10^-3)</f>
        <v>0</v>
      </c>
      <c r="V15" s="209" cm="1">
        <f t="array" ref="V15">IF(SUMPRODUCT(('IGU(2020)_LNG_TRADE'!$C$3:$V$3=$A15)*('IGU(2020)_LNG_TRADE'!$A$5:$A$46=V$6))=0,0,SUMPRODUCT(('IGU(2020)_LNG_TRADE'!$C$3:$V$3=$A15)*('IGU(2020)_LNG_TRADE'!$A$5:$A$46=V$6)*'IGU(2020)_LNG_TRADE'!$C$5:$V$46)*10^6*Legend!$B$92*Legend!$B$82*Legend!$B$84*10^-3)</f>
        <v>0</v>
      </c>
      <c r="W15" s="209" cm="1">
        <f t="array" ref="W15">IF(SUMPRODUCT(('IGU(2020)_LNG_TRADE'!$C$3:$V$3=$A15)*('IGU(2020)_LNG_TRADE'!$A$5:$A$46=W$6))=0,0,SUMPRODUCT(('IGU(2020)_LNG_TRADE'!$C$3:$V$3=$A15)*('IGU(2020)_LNG_TRADE'!$A$5:$A$46=W$6)*'IGU(2020)_LNG_TRADE'!$C$5:$V$46)*10^6*Legend!$B$92*Legend!$B$82*Legend!$B$84*10^-3)</f>
        <v>0</v>
      </c>
      <c r="X15" s="209" cm="1">
        <f t="array" ref="X15">IF(SUMPRODUCT(('IGU(2020)_LNG_TRADE'!$C$3:$V$3=$A15)*('IGU(2020)_LNG_TRADE'!$A$5:$A$46=X$6))=0,0,SUMPRODUCT(('IGU(2020)_LNG_TRADE'!$C$3:$V$3=$A15)*('IGU(2020)_LNG_TRADE'!$A$5:$A$46=X$6)*'IGU(2020)_LNG_TRADE'!$C$5:$V$46)*10^6*Legend!$B$92*Legend!$B$82*Legend!$B$84*10^-3)</f>
        <v>0</v>
      </c>
      <c r="Y15" s="209" cm="1">
        <f t="array" ref="Y15">IF(SUMPRODUCT(('IGU(2020)_LNG_TRADE'!$C$3:$V$3=$A15)*('IGU(2020)_LNG_TRADE'!$A$5:$A$46=Y$6))=0,0,SUMPRODUCT(('IGU(2020)_LNG_TRADE'!$C$3:$V$3=$A15)*('IGU(2020)_LNG_TRADE'!$A$5:$A$46=Y$6)*'IGU(2020)_LNG_TRADE'!$C$5:$V$46)*10^6*Legend!$B$92*Legend!$B$82*Legend!$B$84*10^-3)</f>
        <v>0</v>
      </c>
      <c r="Z15" s="209" cm="1">
        <f t="array" ref="Z15">IF(SUMPRODUCT(('IGU(2020)_LNG_TRADE'!$C$3:$V$3=$A15)*('IGU(2020)_LNG_TRADE'!$A$5:$A$46=Z$6))=0,0,SUMPRODUCT(('IGU(2020)_LNG_TRADE'!$C$3:$V$3=$A15)*('IGU(2020)_LNG_TRADE'!$A$5:$A$46=Z$6)*'IGU(2020)_LNG_TRADE'!$C$5:$V$46)*10^6*Legend!$B$92*Legend!$B$82*Legend!$B$84*10^-3)</f>
        <v>0</v>
      </c>
      <c r="AA15" s="209" cm="1">
        <f t="array" ref="AA15">IF(SUMPRODUCT(('IGU(2020)_LNG_TRADE'!$C$3:$V$3=$A15)*('IGU(2020)_LNG_TRADE'!$A$5:$A$46=AA$6))=0,0,SUMPRODUCT(('IGU(2020)_LNG_TRADE'!$C$3:$V$3=$A15)*('IGU(2020)_LNG_TRADE'!$A$5:$A$46=AA$6)*'IGU(2020)_LNG_TRADE'!$C$5:$V$46)*10^6*Legend!$B$92*Legend!$B$82*Legend!$B$84*10^-3)</f>
        <v>0</v>
      </c>
      <c r="AB15" s="209" cm="1">
        <f t="array" ref="AB15">IF(SUMPRODUCT(('IGU(2020)_LNG_TRADE'!$C$3:$V$3=$A15)*('IGU(2020)_LNG_TRADE'!$A$5:$A$46=AB$6))=0,0,SUMPRODUCT(('IGU(2020)_LNG_TRADE'!$C$3:$V$3=$A15)*('IGU(2020)_LNG_TRADE'!$A$5:$A$46=AB$6)*'IGU(2020)_LNG_TRADE'!$C$5:$V$46)*10^6*Legend!$B$92*Legend!$B$82*Legend!$B$84*10^-3)</f>
        <v>0</v>
      </c>
      <c r="AC15" s="220" cm="1">
        <f t="array" ref="AC15">IF(SUMPRODUCT(('IGU(2020)_LNG_TRADE'!$C$3:$V$3=$A15)*('IGU(2020)_LNG_TRADE'!$A$5:$A$46=AC$6))=0,0,SUMPRODUCT(('IGU(2020)_LNG_TRADE'!$C$3:$V$3=$A15)*('IGU(2020)_LNG_TRADE'!$A$5:$A$46=AC$6)*'IGU(2020)_LNG_TRADE'!$C$5:$V$46)*10^6*Legend!$B$92*Legend!$B$82*Legend!$B$84*10^-3)</f>
        <v>0</v>
      </c>
    </row>
    <row r="16" spans="1:29">
      <c r="A16" s="215" t="s">
        <v>198</v>
      </c>
      <c r="B16" s="209" cm="1">
        <f t="array" ref="B16">IF(SUMPRODUCT(('IGU(2020)_LNG_TRADE'!$C$3:$V$3=$A16)*('IGU(2020)_LNG_TRADE'!$A$5:$A$46=B$6))=0,0,SUMPRODUCT(('IGU(2020)_LNG_TRADE'!$C$3:$V$3=$A16)*('IGU(2020)_LNG_TRADE'!$A$5:$A$46=B$6)*'IGU(2020)_LNG_TRADE'!$C$5:$V$46)*10^6*Legend!$B$92*Legend!$B$82*Legend!$B$84*10^-3)</f>
        <v>0</v>
      </c>
      <c r="C16" s="209" cm="1">
        <f t="array" ref="C16">IF(SUMPRODUCT(('IGU(2020)_LNG_TRADE'!$C$3:$V$3=$A16)*('IGU(2020)_LNG_TRADE'!$A$5:$A$46=C$6))=0,0,SUMPRODUCT(('IGU(2020)_LNG_TRADE'!$C$3:$V$3=$A16)*('IGU(2020)_LNG_TRADE'!$A$5:$A$46=C$6)*'IGU(2020)_LNG_TRADE'!$C$5:$V$46)*10^6*Legend!$B$92*Legend!$B$82*Legend!$B$84*10^-3)</f>
        <v>0</v>
      </c>
      <c r="D16" s="209" cm="1">
        <f t="array" ref="D16">IF(SUMPRODUCT(('IGU(2020)_LNG_TRADE'!$C$3:$V$3=$A16)*('IGU(2020)_LNG_TRADE'!$A$5:$A$46=D$6))=0,0,SUMPRODUCT(('IGU(2020)_LNG_TRADE'!$C$3:$V$3=$A16)*('IGU(2020)_LNG_TRADE'!$A$5:$A$46=D$6)*'IGU(2020)_LNG_TRADE'!$C$5:$V$46)*10^6*Legend!$B$92*Legend!$B$82*Legend!$B$84*10^-3)</f>
        <v>0</v>
      </c>
      <c r="E16" s="209" cm="1">
        <f t="array" ref="E16">IF(SUMPRODUCT(('IGU(2020)_LNG_TRADE'!$C$3:$V$3=$A16)*('IGU(2020)_LNG_TRADE'!$A$5:$A$46=E$6))=0,0,SUMPRODUCT(('IGU(2020)_LNG_TRADE'!$C$3:$V$3=$A16)*('IGU(2020)_LNG_TRADE'!$A$5:$A$46=E$6)*'IGU(2020)_LNG_TRADE'!$C$5:$V$46)*10^6*Legend!$B$92*Legend!$B$82*Legend!$B$84*10^-3)</f>
        <v>0</v>
      </c>
      <c r="F16" s="209" cm="1">
        <f t="array" ref="F16">IF(SUMPRODUCT(('IGU(2020)_LNG_TRADE'!$C$3:$V$3=$A16)*('IGU(2020)_LNG_TRADE'!$A$5:$A$46=F$6))=0,0,SUMPRODUCT(('IGU(2020)_LNG_TRADE'!$C$3:$V$3=$A16)*('IGU(2020)_LNG_TRADE'!$A$5:$A$46=F$6)*'IGU(2020)_LNG_TRADE'!$C$5:$V$46)*10^6*Legend!$B$92*Legend!$B$82*Legend!$B$84*10^-3)</f>
        <v>0</v>
      </c>
      <c r="G16" s="209" cm="1">
        <f t="array" ref="G16">IF(SUMPRODUCT(('IGU(2020)_LNG_TRADE'!$C$3:$V$3=$A16)*('IGU(2020)_LNG_TRADE'!$A$5:$A$46=G$6))=0,0,SUMPRODUCT(('IGU(2020)_LNG_TRADE'!$C$3:$V$3=$A16)*('IGU(2020)_LNG_TRADE'!$A$5:$A$46=G$6)*'IGU(2020)_LNG_TRADE'!$C$5:$V$46)*10^6*Legend!$B$92*Legend!$B$82*Legend!$B$84*10^-3)</f>
        <v>0</v>
      </c>
      <c r="H16" s="209" cm="1">
        <f t="array" ref="H16">IF(SUMPRODUCT(('IGU(2020)_LNG_TRADE'!$C$3:$V$3=$A16)*('IGU(2020)_LNG_TRADE'!$A$5:$A$46=H$6))=0,0,SUMPRODUCT(('IGU(2020)_LNG_TRADE'!$C$3:$V$3=$A16)*('IGU(2020)_LNG_TRADE'!$A$5:$A$46=H$6)*'IGU(2020)_LNG_TRADE'!$C$5:$V$46)*10^6*Legend!$B$92*Legend!$B$82*Legend!$B$84*10^-3)</f>
        <v>0</v>
      </c>
      <c r="I16" s="209" cm="1">
        <f t="array" ref="I16">IF(SUMPRODUCT(('IGU(2020)_LNG_TRADE'!$C$3:$V$3=$A16)*('IGU(2020)_LNG_TRADE'!$A$5:$A$46=I$6))=0,0,SUMPRODUCT(('IGU(2020)_LNG_TRADE'!$C$3:$V$3=$A16)*('IGU(2020)_LNG_TRADE'!$A$5:$A$46=I$6)*'IGU(2020)_LNG_TRADE'!$C$5:$V$46)*10^6*Legend!$B$92*Legend!$B$82*Legend!$B$84*10^-3)</f>
        <v>0</v>
      </c>
      <c r="J16" s="209" cm="1">
        <f t="array" ref="J16">IF(SUMPRODUCT(('IGU(2020)_LNG_TRADE'!$C$3:$V$3=$A16)*('IGU(2020)_LNG_TRADE'!$A$5:$A$46=J$6))=0,0,SUMPRODUCT(('IGU(2020)_LNG_TRADE'!$C$3:$V$3=$A16)*('IGU(2020)_LNG_TRADE'!$A$5:$A$46=J$6)*'IGU(2020)_LNG_TRADE'!$C$5:$V$46)*10^6*Legend!$B$92*Legend!$B$82*Legend!$B$84*10^-3)</f>
        <v>0</v>
      </c>
      <c r="K16" s="209" cm="1">
        <f t="array" ref="K16">IF(SUMPRODUCT(('IGU(2020)_LNG_TRADE'!$C$3:$V$3=$A16)*('IGU(2020)_LNG_TRADE'!$A$5:$A$46=K$6))=0,0,SUMPRODUCT(('IGU(2020)_LNG_TRADE'!$C$3:$V$3=$A16)*('IGU(2020)_LNG_TRADE'!$A$5:$A$46=K$6)*'IGU(2020)_LNG_TRADE'!$C$5:$V$46)*10^6*Legend!$B$92*Legend!$B$82*Legend!$B$84*10^-3)</f>
        <v>0</v>
      </c>
      <c r="L16" s="209" cm="1">
        <f t="array" ref="L16">IF(SUMPRODUCT(('IGU(2020)_LNG_TRADE'!$C$3:$V$3=$A16)*('IGU(2020)_LNG_TRADE'!$A$5:$A$46=L$6))=0,0,SUMPRODUCT(('IGU(2020)_LNG_TRADE'!$C$3:$V$3=$A16)*('IGU(2020)_LNG_TRADE'!$A$5:$A$46=L$6)*'IGU(2020)_LNG_TRADE'!$C$5:$V$46)*10^6*Legend!$B$92*Legend!$B$82*Legend!$B$84*10^-3)</f>
        <v>0</v>
      </c>
      <c r="M16" s="209" cm="1">
        <f t="array" ref="M16">IF(SUMPRODUCT(('IGU(2020)_LNG_TRADE'!$C$3:$V$3=$A16)*('IGU(2020)_LNG_TRADE'!$A$5:$A$46=M$6))=0,0,SUMPRODUCT(('IGU(2020)_LNG_TRADE'!$C$3:$V$3=$A16)*('IGU(2020)_LNG_TRADE'!$A$5:$A$46=M$6)*'IGU(2020)_LNG_TRADE'!$C$5:$V$46)*10^6*Legend!$B$92*Legend!$B$82*Legend!$B$84*10^-3)</f>
        <v>0</v>
      </c>
      <c r="N16" s="209" cm="1">
        <f t="array" ref="N16">IF(SUMPRODUCT(('IGU(2020)_LNG_TRADE'!$C$3:$V$3=$A16)*('IGU(2020)_LNG_TRADE'!$A$5:$A$46=N$6))=0,0,SUMPRODUCT(('IGU(2020)_LNG_TRADE'!$C$3:$V$3=$A16)*('IGU(2020)_LNG_TRADE'!$A$5:$A$46=N$6)*'IGU(2020)_LNG_TRADE'!$C$5:$V$46)*10^6*Legend!$B$92*Legend!$B$82*Legend!$B$84*10^-3)</f>
        <v>0</v>
      </c>
      <c r="O16" s="209" cm="1">
        <f t="array" ref="O16">IF(SUMPRODUCT(('IGU(2020)_LNG_TRADE'!$C$3:$V$3=$A16)*('IGU(2020)_LNG_TRADE'!$A$5:$A$46=O$6))=0,0,SUMPRODUCT(('IGU(2020)_LNG_TRADE'!$C$3:$V$3=$A16)*('IGU(2020)_LNG_TRADE'!$A$5:$A$46=O$6)*'IGU(2020)_LNG_TRADE'!$C$5:$V$46)*10^6*Legend!$B$92*Legend!$B$82*Legend!$B$84*10^-3)</f>
        <v>0</v>
      </c>
      <c r="P16" s="209" cm="1">
        <f t="array" ref="P16">IF(SUMPRODUCT(('IGU(2020)_LNG_TRADE'!$C$3:$V$3=$A16)*('IGU(2020)_LNG_TRADE'!$A$5:$A$46=P$6))=0,0,SUMPRODUCT(('IGU(2020)_LNG_TRADE'!$C$3:$V$3=$A16)*('IGU(2020)_LNG_TRADE'!$A$5:$A$46=P$6)*'IGU(2020)_LNG_TRADE'!$C$5:$V$46)*10^6*Legend!$B$92*Legend!$B$82*Legend!$B$84*10^-3)</f>
        <v>0</v>
      </c>
      <c r="Q16" s="209" cm="1">
        <f t="array" ref="Q16">IF(SUMPRODUCT(('IGU(2020)_LNG_TRADE'!$C$3:$V$3=$A16)*('IGU(2020)_LNG_TRADE'!$A$5:$A$46=Q$6))=0,0,SUMPRODUCT(('IGU(2020)_LNG_TRADE'!$C$3:$V$3=$A16)*('IGU(2020)_LNG_TRADE'!$A$5:$A$46=Q$6)*'IGU(2020)_LNG_TRADE'!$C$5:$V$46)*10^6*Legend!$B$92*Legend!$B$82*Legend!$B$84*10^-3)</f>
        <v>0</v>
      </c>
      <c r="R16" s="209" cm="1">
        <f t="array" ref="R16">IF(SUMPRODUCT(('IGU(2020)_LNG_TRADE'!$C$3:$V$3=$A16)*('IGU(2020)_LNG_TRADE'!$A$5:$A$46=R$6))=0,0,SUMPRODUCT(('IGU(2020)_LNG_TRADE'!$C$3:$V$3=$A16)*('IGU(2020)_LNG_TRADE'!$A$5:$A$46=R$6)*'IGU(2020)_LNG_TRADE'!$C$5:$V$46)*10^6*Legend!$B$92*Legend!$B$82*Legend!$B$84*10^-3)</f>
        <v>0</v>
      </c>
      <c r="S16" s="209" cm="1">
        <f t="array" ref="S16">IF(SUMPRODUCT(('IGU(2020)_LNG_TRADE'!$C$3:$V$3=$A16)*('IGU(2020)_LNG_TRADE'!$A$5:$A$46=S$6))=0,0,SUMPRODUCT(('IGU(2020)_LNG_TRADE'!$C$3:$V$3=$A16)*('IGU(2020)_LNG_TRADE'!$A$5:$A$46=S$6)*'IGU(2020)_LNG_TRADE'!$C$5:$V$46)*10^6*Legend!$B$92*Legend!$B$82*Legend!$B$84*10^-3)</f>
        <v>0</v>
      </c>
      <c r="T16" s="209" cm="1">
        <f t="array" ref="T16">IF(SUMPRODUCT(('IGU(2020)_LNG_TRADE'!$C$3:$V$3=$A16)*('IGU(2020)_LNG_TRADE'!$A$5:$A$46=T$6))=0,0,SUMPRODUCT(('IGU(2020)_LNG_TRADE'!$C$3:$V$3=$A16)*('IGU(2020)_LNG_TRADE'!$A$5:$A$46=T$6)*'IGU(2020)_LNG_TRADE'!$C$5:$V$46)*10^6*Legend!$B$92*Legend!$B$82*Legend!$B$84*10^-3)</f>
        <v>0</v>
      </c>
      <c r="U16" s="209" cm="1">
        <f t="array" ref="U16">IF(SUMPRODUCT(('IGU(2020)_LNG_TRADE'!$C$3:$V$3=$A16)*('IGU(2020)_LNG_TRADE'!$A$5:$A$46=U$6))=0,0,SUMPRODUCT(('IGU(2020)_LNG_TRADE'!$C$3:$V$3=$A16)*('IGU(2020)_LNG_TRADE'!$A$5:$A$46=U$6)*'IGU(2020)_LNG_TRADE'!$C$5:$V$46)*10^6*Legend!$B$92*Legend!$B$82*Legend!$B$84*10^-3)</f>
        <v>0</v>
      </c>
      <c r="V16" s="209" cm="1">
        <f t="array" ref="V16">IF(SUMPRODUCT(('IGU(2020)_LNG_TRADE'!$C$3:$V$3=$A16)*('IGU(2020)_LNG_TRADE'!$A$5:$A$46=V$6))=0,0,SUMPRODUCT(('IGU(2020)_LNG_TRADE'!$C$3:$V$3=$A16)*('IGU(2020)_LNG_TRADE'!$A$5:$A$46=V$6)*'IGU(2020)_LNG_TRADE'!$C$5:$V$46)*10^6*Legend!$B$92*Legend!$B$82*Legend!$B$84*10^-3)</f>
        <v>0</v>
      </c>
      <c r="W16" s="209" cm="1">
        <f t="array" ref="W16">IF(SUMPRODUCT(('IGU(2020)_LNG_TRADE'!$C$3:$V$3=$A16)*('IGU(2020)_LNG_TRADE'!$A$5:$A$46=W$6))=0,0,SUMPRODUCT(('IGU(2020)_LNG_TRADE'!$C$3:$V$3=$A16)*('IGU(2020)_LNG_TRADE'!$A$5:$A$46=W$6)*'IGU(2020)_LNG_TRADE'!$C$5:$V$46)*10^6*Legend!$B$92*Legend!$B$82*Legend!$B$84*10^-3)</f>
        <v>0</v>
      </c>
      <c r="X16" s="209" cm="1">
        <f t="array" ref="X16">IF(SUMPRODUCT(('IGU(2020)_LNG_TRADE'!$C$3:$V$3=$A16)*('IGU(2020)_LNG_TRADE'!$A$5:$A$46=X$6))=0,0,SUMPRODUCT(('IGU(2020)_LNG_TRADE'!$C$3:$V$3=$A16)*('IGU(2020)_LNG_TRADE'!$A$5:$A$46=X$6)*'IGU(2020)_LNG_TRADE'!$C$5:$V$46)*10^6*Legend!$B$92*Legend!$B$82*Legend!$B$84*10^-3)</f>
        <v>0</v>
      </c>
      <c r="Y16" s="209" cm="1">
        <f t="array" ref="Y16">IF(SUMPRODUCT(('IGU(2020)_LNG_TRADE'!$C$3:$V$3=$A16)*('IGU(2020)_LNG_TRADE'!$A$5:$A$46=Y$6))=0,0,SUMPRODUCT(('IGU(2020)_LNG_TRADE'!$C$3:$V$3=$A16)*('IGU(2020)_LNG_TRADE'!$A$5:$A$46=Y$6)*'IGU(2020)_LNG_TRADE'!$C$5:$V$46)*10^6*Legend!$B$92*Legend!$B$82*Legend!$B$84*10^-3)</f>
        <v>0</v>
      </c>
      <c r="Z16" s="209" cm="1">
        <f t="array" ref="Z16">IF(SUMPRODUCT(('IGU(2020)_LNG_TRADE'!$C$3:$V$3=$A16)*('IGU(2020)_LNG_TRADE'!$A$5:$A$46=Z$6))=0,0,SUMPRODUCT(('IGU(2020)_LNG_TRADE'!$C$3:$V$3=$A16)*('IGU(2020)_LNG_TRADE'!$A$5:$A$46=Z$6)*'IGU(2020)_LNG_TRADE'!$C$5:$V$46)*10^6*Legend!$B$92*Legend!$B$82*Legend!$B$84*10^-3)</f>
        <v>0</v>
      </c>
      <c r="AA16" s="209" cm="1">
        <f t="array" ref="AA16">IF(SUMPRODUCT(('IGU(2020)_LNG_TRADE'!$C$3:$V$3=$A16)*('IGU(2020)_LNG_TRADE'!$A$5:$A$46=AA$6))=0,0,SUMPRODUCT(('IGU(2020)_LNG_TRADE'!$C$3:$V$3=$A16)*('IGU(2020)_LNG_TRADE'!$A$5:$A$46=AA$6)*'IGU(2020)_LNG_TRADE'!$C$5:$V$46)*10^6*Legend!$B$92*Legend!$B$82*Legend!$B$84*10^-3)</f>
        <v>0</v>
      </c>
      <c r="AB16" s="209" cm="1">
        <f t="array" ref="AB16">IF(SUMPRODUCT(('IGU(2020)_LNG_TRADE'!$C$3:$V$3=$A16)*('IGU(2020)_LNG_TRADE'!$A$5:$A$46=AB$6))=0,0,SUMPRODUCT(('IGU(2020)_LNG_TRADE'!$C$3:$V$3=$A16)*('IGU(2020)_LNG_TRADE'!$A$5:$A$46=AB$6)*'IGU(2020)_LNG_TRADE'!$C$5:$V$46)*10^6*Legend!$B$92*Legend!$B$82*Legend!$B$84*10^-3)</f>
        <v>0</v>
      </c>
      <c r="AC16" s="220" cm="1">
        <f t="array" ref="AC16">IF(SUMPRODUCT(('IGU(2020)_LNG_TRADE'!$C$3:$V$3=$A16)*('IGU(2020)_LNG_TRADE'!$A$5:$A$46=AC$6))=0,0,SUMPRODUCT(('IGU(2020)_LNG_TRADE'!$C$3:$V$3=$A16)*('IGU(2020)_LNG_TRADE'!$A$5:$A$46=AC$6)*'IGU(2020)_LNG_TRADE'!$C$5:$V$46)*10^6*Legend!$B$92*Legend!$B$82*Legend!$B$84*10^-3)</f>
        <v>0</v>
      </c>
    </row>
    <row r="17" spans="1:29">
      <c r="A17" s="215" t="s">
        <v>200</v>
      </c>
      <c r="B17" s="209" cm="1">
        <f t="array" ref="B17">IF(SUMPRODUCT(('IGU(2020)_LNG_TRADE'!$C$3:$V$3=$A17)*('IGU(2020)_LNG_TRADE'!$A$5:$A$46=B$6))=0,0,SUMPRODUCT(('IGU(2020)_LNG_TRADE'!$C$3:$V$3=$A17)*('IGU(2020)_LNG_TRADE'!$A$5:$A$46=B$6)*'IGU(2020)_LNG_TRADE'!$C$5:$V$46)*10^6*Legend!$B$92*Legend!$B$82*Legend!$B$84*10^-3)</f>
        <v>0</v>
      </c>
      <c r="C17" s="209" cm="1">
        <f t="array" ref="C17">IF(SUMPRODUCT(('IGU(2020)_LNG_TRADE'!$C$3:$V$3=$A17)*('IGU(2020)_LNG_TRADE'!$A$5:$A$46=C$6))=0,0,SUMPRODUCT(('IGU(2020)_LNG_TRADE'!$C$3:$V$3=$A17)*('IGU(2020)_LNG_TRADE'!$A$5:$A$46=C$6)*'IGU(2020)_LNG_TRADE'!$C$5:$V$46)*10^6*Legend!$B$92*Legend!$B$82*Legend!$B$84*10^-3)</f>
        <v>0</v>
      </c>
      <c r="D17" s="209" cm="1">
        <f t="array" ref="D17">IF(SUMPRODUCT(('IGU(2020)_LNG_TRADE'!$C$3:$V$3=$A17)*('IGU(2020)_LNG_TRADE'!$A$5:$A$46=D$6))=0,0,SUMPRODUCT(('IGU(2020)_LNG_TRADE'!$C$3:$V$3=$A17)*('IGU(2020)_LNG_TRADE'!$A$5:$A$46=D$6)*'IGU(2020)_LNG_TRADE'!$C$5:$V$46)*10^6*Legend!$B$92*Legend!$B$82*Legend!$B$84*10^-3)</f>
        <v>0</v>
      </c>
      <c r="E17" s="209" cm="1">
        <f t="array" ref="E17">IF(SUMPRODUCT(('IGU(2020)_LNG_TRADE'!$C$3:$V$3=$A17)*('IGU(2020)_LNG_TRADE'!$A$5:$A$46=E$6))=0,0,SUMPRODUCT(('IGU(2020)_LNG_TRADE'!$C$3:$V$3=$A17)*('IGU(2020)_LNG_TRADE'!$A$5:$A$46=E$6)*'IGU(2020)_LNG_TRADE'!$C$5:$V$46)*10^6*Legend!$B$92*Legend!$B$82*Legend!$B$84*10^-3)</f>
        <v>0</v>
      </c>
      <c r="F17" s="209" cm="1">
        <f t="array" ref="F17">IF(SUMPRODUCT(('IGU(2020)_LNG_TRADE'!$C$3:$V$3=$A17)*('IGU(2020)_LNG_TRADE'!$A$5:$A$46=F$6))=0,0,SUMPRODUCT(('IGU(2020)_LNG_TRADE'!$C$3:$V$3=$A17)*('IGU(2020)_LNG_TRADE'!$A$5:$A$46=F$6)*'IGU(2020)_LNG_TRADE'!$C$5:$V$46)*10^6*Legend!$B$92*Legend!$B$82*Legend!$B$84*10^-3)</f>
        <v>0</v>
      </c>
      <c r="G17" s="209" cm="1">
        <f t="array" ref="G17">IF(SUMPRODUCT(('IGU(2020)_LNG_TRADE'!$C$3:$V$3=$A17)*('IGU(2020)_LNG_TRADE'!$A$5:$A$46=G$6))=0,0,SUMPRODUCT(('IGU(2020)_LNG_TRADE'!$C$3:$V$3=$A17)*('IGU(2020)_LNG_TRADE'!$A$5:$A$46=G$6)*'IGU(2020)_LNG_TRADE'!$C$5:$V$46)*10^6*Legend!$B$92*Legend!$B$82*Legend!$B$84*10^-3)</f>
        <v>0</v>
      </c>
      <c r="H17" s="209" cm="1">
        <f t="array" ref="H17">IF(SUMPRODUCT(('IGU(2020)_LNG_TRADE'!$C$3:$V$3=$A17)*('IGU(2020)_LNG_TRADE'!$A$5:$A$46=H$6))=0,0,SUMPRODUCT(('IGU(2020)_LNG_TRADE'!$C$3:$V$3=$A17)*('IGU(2020)_LNG_TRADE'!$A$5:$A$46=H$6)*'IGU(2020)_LNG_TRADE'!$C$5:$V$46)*10^6*Legend!$B$92*Legend!$B$82*Legend!$B$84*10^-3)</f>
        <v>0</v>
      </c>
      <c r="I17" s="209" cm="1">
        <f t="array" ref="I17">IF(SUMPRODUCT(('IGU(2020)_LNG_TRADE'!$C$3:$V$3=$A17)*('IGU(2020)_LNG_TRADE'!$A$5:$A$46=I$6))=0,0,SUMPRODUCT(('IGU(2020)_LNG_TRADE'!$C$3:$V$3=$A17)*('IGU(2020)_LNG_TRADE'!$A$5:$A$46=I$6)*'IGU(2020)_LNG_TRADE'!$C$5:$V$46)*10^6*Legend!$B$92*Legend!$B$82*Legend!$B$84*10^-3)</f>
        <v>0</v>
      </c>
      <c r="J17" s="209" cm="1">
        <f t="array" ref="J17">IF(SUMPRODUCT(('IGU(2020)_LNG_TRADE'!$C$3:$V$3=$A17)*('IGU(2020)_LNG_TRADE'!$A$5:$A$46=J$6))=0,0,SUMPRODUCT(('IGU(2020)_LNG_TRADE'!$C$3:$V$3=$A17)*('IGU(2020)_LNG_TRADE'!$A$5:$A$46=J$6)*'IGU(2020)_LNG_TRADE'!$C$5:$V$46)*10^6*Legend!$B$92*Legend!$B$82*Legend!$B$84*10^-3)</f>
        <v>0</v>
      </c>
      <c r="K17" s="209" cm="1">
        <f t="array" ref="K17">IF(SUMPRODUCT(('IGU(2020)_LNG_TRADE'!$C$3:$V$3=$A17)*('IGU(2020)_LNG_TRADE'!$A$5:$A$46=K$6))=0,0,SUMPRODUCT(('IGU(2020)_LNG_TRADE'!$C$3:$V$3=$A17)*('IGU(2020)_LNG_TRADE'!$A$5:$A$46=K$6)*'IGU(2020)_LNG_TRADE'!$C$5:$V$46)*10^6*Legend!$B$92*Legend!$B$82*Legend!$B$84*10^-3)</f>
        <v>0</v>
      </c>
      <c r="L17" s="209" cm="1">
        <f t="array" ref="L17">IF(SUMPRODUCT(('IGU(2020)_LNG_TRADE'!$C$3:$V$3=$A17)*('IGU(2020)_LNG_TRADE'!$A$5:$A$46=L$6))=0,0,SUMPRODUCT(('IGU(2020)_LNG_TRADE'!$C$3:$V$3=$A17)*('IGU(2020)_LNG_TRADE'!$A$5:$A$46=L$6)*'IGU(2020)_LNG_TRADE'!$C$5:$V$46)*10^6*Legend!$B$92*Legend!$B$82*Legend!$B$84*10^-3)</f>
        <v>0</v>
      </c>
      <c r="M17" s="209" cm="1">
        <f t="array" ref="M17">IF(SUMPRODUCT(('IGU(2020)_LNG_TRADE'!$C$3:$V$3=$A17)*('IGU(2020)_LNG_TRADE'!$A$5:$A$46=M$6))=0,0,SUMPRODUCT(('IGU(2020)_LNG_TRADE'!$C$3:$V$3=$A17)*('IGU(2020)_LNG_TRADE'!$A$5:$A$46=M$6)*'IGU(2020)_LNG_TRADE'!$C$5:$V$46)*10^6*Legend!$B$92*Legend!$B$82*Legend!$B$84*10^-3)</f>
        <v>0</v>
      </c>
      <c r="N17" s="209" cm="1">
        <f t="array" ref="N17">IF(SUMPRODUCT(('IGU(2020)_LNG_TRADE'!$C$3:$V$3=$A17)*('IGU(2020)_LNG_TRADE'!$A$5:$A$46=N$6))=0,0,SUMPRODUCT(('IGU(2020)_LNG_TRADE'!$C$3:$V$3=$A17)*('IGU(2020)_LNG_TRADE'!$A$5:$A$46=N$6)*'IGU(2020)_LNG_TRADE'!$C$5:$V$46)*10^6*Legend!$B$92*Legend!$B$82*Legend!$B$84*10^-3)</f>
        <v>0</v>
      </c>
      <c r="O17" s="209" cm="1">
        <f t="array" ref="O17">IF(SUMPRODUCT(('IGU(2020)_LNG_TRADE'!$C$3:$V$3=$A17)*('IGU(2020)_LNG_TRADE'!$A$5:$A$46=O$6))=0,0,SUMPRODUCT(('IGU(2020)_LNG_TRADE'!$C$3:$V$3=$A17)*('IGU(2020)_LNG_TRADE'!$A$5:$A$46=O$6)*'IGU(2020)_LNG_TRADE'!$C$5:$V$46)*10^6*Legend!$B$92*Legend!$B$82*Legend!$B$84*10^-3)</f>
        <v>0</v>
      </c>
      <c r="P17" s="209" cm="1">
        <f t="array" ref="P17">IF(SUMPRODUCT(('IGU(2020)_LNG_TRADE'!$C$3:$V$3=$A17)*('IGU(2020)_LNG_TRADE'!$A$5:$A$46=P$6))=0,0,SUMPRODUCT(('IGU(2020)_LNG_TRADE'!$C$3:$V$3=$A17)*('IGU(2020)_LNG_TRADE'!$A$5:$A$46=P$6)*'IGU(2020)_LNG_TRADE'!$C$5:$V$46)*10^6*Legend!$B$92*Legend!$B$82*Legend!$B$84*10^-3)</f>
        <v>0</v>
      </c>
      <c r="Q17" s="209" cm="1">
        <f t="array" ref="Q17">IF(SUMPRODUCT(('IGU(2020)_LNG_TRADE'!$C$3:$V$3=$A17)*('IGU(2020)_LNG_TRADE'!$A$5:$A$46=Q$6))=0,0,SUMPRODUCT(('IGU(2020)_LNG_TRADE'!$C$3:$V$3=$A17)*('IGU(2020)_LNG_TRADE'!$A$5:$A$46=Q$6)*'IGU(2020)_LNG_TRADE'!$C$5:$V$46)*10^6*Legend!$B$92*Legend!$B$82*Legend!$B$84*10^-3)</f>
        <v>0</v>
      </c>
      <c r="R17" s="209" cm="1">
        <f t="array" ref="R17">IF(SUMPRODUCT(('IGU(2020)_LNG_TRADE'!$C$3:$V$3=$A17)*('IGU(2020)_LNG_TRADE'!$A$5:$A$46=R$6))=0,0,SUMPRODUCT(('IGU(2020)_LNG_TRADE'!$C$3:$V$3=$A17)*('IGU(2020)_LNG_TRADE'!$A$5:$A$46=R$6)*'IGU(2020)_LNG_TRADE'!$C$5:$V$46)*10^6*Legend!$B$92*Legend!$B$82*Legend!$B$84*10^-3)</f>
        <v>0</v>
      </c>
      <c r="S17" s="209" cm="1">
        <f t="array" ref="S17">IF(SUMPRODUCT(('IGU(2020)_LNG_TRADE'!$C$3:$V$3=$A17)*('IGU(2020)_LNG_TRADE'!$A$5:$A$46=S$6))=0,0,SUMPRODUCT(('IGU(2020)_LNG_TRADE'!$C$3:$V$3=$A17)*('IGU(2020)_LNG_TRADE'!$A$5:$A$46=S$6)*'IGU(2020)_LNG_TRADE'!$C$5:$V$46)*10^6*Legend!$B$92*Legend!$B$82*Legend!$B$84*10^-3)</f>
        <v>0</v>
      </c>
      <c r="T17" s="209" cm="1">
        <f t="array" ref="T17">IF(SUMPRODUCT(('IGU(2020)_LNG_TRADE'!$C$3:$V$3=$A17)*('IGU(2020)_LNG_TRADE'!$A$5:$A$46=T$6))=0,0,SUMPRODUCT(('IGU(2020)_LNG_TRADE'!$C$3:$V$3=$A17)*('IGU(2020)_LNG_TRADE'!$A$5:$A$46=T$6)*'IGU(2020)_LNG_TRADE'!$C$5:$V$46)*10^6*Legend!$B$92*Legend!$B$82*Legend!$B$84*10^-3)</f>
        <v>0</v>
      </c>
      <c r="U17" s="209" cm="1">
        <f t="array" ref="U17">IF(SUMPRODUCT(('IGU(2020)_LNG_TRADE'!$C$3:$V$3=$A17)*('IGU(2020)_LNG_TRADE'!$A$5:$A$46=U$6))=0,0,SUMPRODUCT(('IGU(2020)_LNG_TRADE'!$C$3:$V$3=$A17)*('IGU(2020)_LNG_TRADE'!$A$5:$A$46=U$6)*'IGU(2020)_LNG_TRADE'!$C$5:$V$46)*10^6*Legend!$B$92*Legend!$B$82*Legend!$B$84*10^-3)</f>
        <v>0</v>
      </c>
      <c r="V17" s="209" cm="1">
        <f t="array" ref="V17">IF(SUMPRODUCT(('IGU(2020)_LNG_TRADE'!$C$3:$V$3=$A17)*('IGU(2020)_LNG_TRADE'!$A$5:$A$46=V$6))=0,0,SUMPRODUCT(('IGU(2020)_LNG_TRADE'!$C$3:$V$3=$A17)*('IGU(2020)_LNG_TRADE'!$A$5:$A$46=V$6)*'IGU(2020)_LNG_TRADE'!$C$5:$V$46)*10^6*Legend!$B$92*Legend!$B$82*Legend!$B$84*10^-3)</f>
        <v>0</v>
      </c>
      <c r="W17" s="209" cm="1">
        <f t="array" ref="W17">IF(SUMPRODUCT(('IGU(2020)_LNG_TRADE'!$C$3:$V$3=$A17)*('IGU(2020)_LNG_TRADE'!$A$5:$A$46=W$6))=0,0,SUMPRODUCT(('IGU(2020)_LNG_TRADE'!$C$3:$V$3=$A17)*('IGU(2020)_LNG_TRADE'!$A$5:$A$46=W$6)*'IGU(2020)_LNG_TRADE'!$C$5:$V$46)*10^6*Legend!$B$92*Legend!$B$82*Legend!$B$84*10^-3)</f>
        <v>0</v>
      </c>
      <c r="X17" s="209" cm="1">
        <f t="array" ref="X17">IF(SUMPRODUCT(('IGU(2020)_LNG_TRADE'!$C$3:$V$3=$A17)*('IGU(2020)_LNG_TRADE'!$A$5:$A$46=X$6))=0,0,SUMPRODUCT(('IGU(2020)_LNG_TRADE'!$C$3:$V$3=$A17)*('IGU(2020)_LNG_TRADE'!$A$5:$A$46=X$6)*'IGU(2020)_LNG_TRADE'!$C$5:$V$46)*10^6*Legend!$B$92*Legend!$B$82*Legend!$B$84*10^-3)</f>
        <v>0</v>
      </c>
      <c r="Y17" s="209" cm="1">
        <f t="array" ref="Y17">IF(SUMPRODUCT(('IGU(2020)_LNG_TRADE'!$C$3:$V$3=$A17)*('IGU(2020)_LNG_TRADE'!$A$5:$A$46=Y$6))=0,0,SUMPRODUCT(('IGU(2020)_LNG_TRADE'!$C$3:$V$3=$A17)*('IGU(2020)_LNG_TRADE'!$A$5:$A$46=Y$6)*'IGU(2020)_LNG_TRADE'!$C$5:$V$46)*10^6*Legend!$B$92*Legend!$B$82*Legend!$B$84*10^-3)</f>
        <v>0</v>
      </c>
      <c r="Z17" s="209" cm="1">
        <f t="array" ref="Z17">IF(SUMPRODUCT(('IGU(2020)_LNG_TRADE'!$C$3:$V$3=$A17)*('IGU(2020)_LNG_TRADE'!$A$5:$A$46=Z$6))=0,0,SUMPRODUCT(('IGU(2020)_LNG_TRADE'!$C$3:$V$3=$A17)*('IGU(2020)_LNG_TRADE'!$A$5:$A$46=Z$6)*'IGU(2020)_LNG_TRADE'!$C$5:$V$46)*10^6*Legend!$B$92*Legend!$B$82*Legend!$B$84*10^-3)</f>
        <v>0</v>
      </c>
      <c r="AA17" s="209" cm="1">
        <f t="array" ref="AA17">IF(SUMPRODUCT(('IGU(2020)_LNG_TRADE'!$C$3:$V$3=$A17)*('IGU(2020)_LNG_TRADE'!$A$5:$A$46=AA$6))=0,0,SUMPRODUCT(('IGU(2020)_LNG_TRADE'!$C$3:$V$3=$A17)*('IGU(2020)_LNG_TRADE'!$A$5:$A$46=AA$6)*'IGU(2020)_LNG_TRADE'!$C$5:$V$46)*10^6*Legend!$B$92*Legend!$B$82*Legend!$B$84*10^-3)</f>
        <v>0</v>
      </c>
      <c r="AB17" s="209" cm="1">
        <f t="array" ref="AB17">IF(SUMPRODUCT(('IGU(2020)_LNG_TRADE'!$C$3:$V$3=$A17)*('IGU(2020)_LNG_TRADE'!$A$5:$A$46=AB$6))=0,0,SUMPRODUCT(('IGU(2020)_LNG_TRADE'!$C$3:$V$3=$A17)*('IGU(2020)_LNG_TRADE'!$A$5:$A$46=AB$6)*'IGU(2020)_LNG_TRADE'!$C$5:$V$46)*10^6*Legend!$B$92*Legend!$B$82*Legend!$B$84*10^-3)</f>
        <v>0</v>
      </c>
      <c r="AC17" s="220" cm="1">
        <f t="array" ref="AC17">IF(SUMPRODUCT(('IGU(2020)_LNG_TRADE'!$C$3:$V$3=$A17)*('IGU(2020)_LNG_TRADE'!$A$5:$A$46=AC$6))=0,0,SUMPRODUCT(('IGU(2020)_LNG_TRADE'!$C$3:$V$3=$A17)*('IGU(2020)_LNG_TRADE'!$A$5:$A$46=AC$6)*'IGU(2020)_LNG_TRADE'!$C$5:$V$46)*10^6*Legend!$B$92*Legend!$B$82*Legend!$B$84*10^-3)</f>
        <v>0</v>
      </c>
    </row>
    <row r="18" spans="1:29">
      <c r="A18" s="215" t="s">
        <v>202</v>
      </c>
      <c r="B18" s="209" cm="1">
        <f t="array" ref="B18">IF(SUMPRODUCT(('IGU(2020)_LNG_TRADE'!$C$3:$V$3=$A18)*('IGU(2020)_LNG_TRADE'!$A$5:$A$46=B$6))=0,0,SUMPRODUCT(('IGU(2020)_LNG_TRADE'!$C$3:$V$3=$A18)*('IGU(2020)_LNG_TRADE'!$A$5:$A$46=B$6)*'IGU(2020)_LNG_TRADE'!$C$5:$V$46)*10^6*Legend!$B$92*Legend!$B$82*Legend!$B$84*10^-3)</f>
        <v>0</v>
      </c>
      <c r="C18" s="209" cm="1">
        <f t="array" ref="C18">IF(SUMPRODUCT(('IGU(2020)_LNG_TRADE'!$C$3:$V$3=$A18)*('IGU(2020)_LNG_TRADE'!$A$5:$A$46=C$6))=0,0,SUMPRODUCT(('IGU(2020)_LNG_TRADE'!$C$3:$V$3=$A18)*('IGU(2020)_LNG_TRADE'!$A$5:$A$46=C$6)*'IGU(2020)_LNG_TRADE'!$C$5:$V$46)*10^6*Legend!$B$92*Legend!$B$82*Legend!$B$84*10^-3)</f>
        <v>0</v>
      </c>
      <c r="D18" s="209" cm="1">
        <f t="array" ref="D18">IF(SUMPRODUCT(('IGU(2020)_LNG_TRADE'!$C$3:$V$3=$A18)*('IGU(2020)_LNG_TRADE'!$A$5:$A$46=D$6))=0,0,SUMPRODUCT(('IGU(2020)_LNG_TRADE'!$C$3:$V$3=$A18)*('IGU(2020)_LNG_TRADE'!$A$5:$A$46=D$6)*'IGU(2020)_LNG_TRADE'!$C$5:$V$46)*10^6*Legend!$B$92*Legend!$B$82*Legend!$B$84*10^-3)</f>
        <v>0</v>
      </c>
      <c r="E18" s="209" cm="1">
        <f t="array" ref="E18">IF(SUMPRODUCT(('IGU(2020)_LNG_TRADE'!$C$3:$V$3=$A18)*('IGU(2020)_LNG_TRADE'!$A$5:$A$46=E$6))=0,0,SUMPRODUCT(('IGU(2020)_LNG_TRADE'!$C$3:$V$3=$A18)*('IGU(2020)_LNG_TRADE'!$A$5:$A$46=E$6)*'IGU(2020)_LNG_TRADE'!$C$5:$V$46)*10^6*Legend!$B$92*Legend!$B$82*Legend!$B$84*10^-3)</f>
        <v>0</v>
      </c>
      <c r="F18" s="209" cm="1">
        <f t="array" ref="F18">IF(SUMPRODUCT(('IGU(2020)_LNG_TRADE'!$C$3:$V$3=$A18)*('IGU(2020)_LNG_TRADE'!$A$5:$A$46=F$6))=0,0,SUMPRODUCT(('IGU(2020)_LNG_TRADE'!$C$3:$V$3=$A18)*('IGU(2020)_LNG_TRADE'!$A$5:$A$46=F$6)*'IGU(2020)_LNG_TRADE'!$C$5:$V$46)*10^6*Legend!$B$92*Legend!$B$82*Legend!$B$84*10^-3)</f>
        <v>0</v>
      </c>
      <c r="G18" s="209" cm="1">
        <f t="array" ref="G18">IF(SUMPRODUCT(('IGU(2020)_LNG_TRADE'!$C$3:$V$3=$A18)*('IGU(2020)_LNG_TRADE'!$A$5:$A$46=G$6))=0,0,SUMPRODUCT(('IGU(2020)_LNG_TRADE'!$C$3:$V$3=$A18)*('IGU(2020)_LNG_TRADE'!$A$5:$A$46=G$6)*'IGU(2020)_LNG_TRADE'!$C$5:$V$46)*10^6*Legend!$B$92*Legend!$B$82*Legend!$B$84*10^-3)</f>
        <v>0</v>
      </c>
      <c r="H18" s="209" cm="1">
        <f t="array" ref="H18">IF(SUMPRODUCT(('IGU(2020)_LNG_TRADE'!$C$3:$V$3=$A18)*('IGU(2020)_LNG_TRADE'!$A$5:$A$46=H$6))=0,0,SUMPRODUCT(('IGU(2020)_LNG_TRADE'!$C$3:$V$3=$A18)*('IGU(2020)_LNG_TRADE'!$A$5:$A$46=H$6)*'IGU(2020)_LNG_TRADE'!$C$5:$V$46)*10^6*Legend!$B$92*Legend!$B$82*Legend!$B$84*10^-3)</f>
        <v>0</v>
      </c>
      <c r="I18" s="209" cm="1">
        <f t="array" ref="I18">IF(SUMPRODUCT(('IGU(2020)_LNG_TRADE'!$C$3:$V$3=$A18)*('IGU(2020)_LNG_TRADE'!$A$5:$A$46=I$6))=0,0,SUMPRODUCT(('IGU(2020)_LNG_TRADE'!$C$3:$V$3=$A18)*('IGU(2020)_LNG_TRADE'!$A$5:$A$46=I$6)*'IGU(2020)_LNG_TRADE'!$C$5:$V$46)*10^6*Legend!$B$92*Legend!$B$82*Legend!$B$84*10^-3)</f>
        <v>0</v>
      </c>
      <c r="J18" s="209" cm="1">
        <f t="array" ref="J18">IF(SUMPRODUCT(('IGU(2020)_LNG_TRADE'!$C$3:$V$3=$A18)*('IGU(2020)_LNG_TRADE'!$A$5:$A$46=J$6))=0,0,SUMPRODUCT(('IGU(2020)_LNG_TRADE'!$C$3:$V$3=$A18)*('IGU(2020)_LNG_TRADE'!$A$5:$A$46=J$6)*'IGU(2020)_LNG_TRADE'!$C$5:$V$46)*10^6*Legend!$B$92*Legend!$B$82*Legend!$B$84*10^-3)</f>
        <v>0</v>
      </c>
      <c r="K18" s="209" cm="1">
        <f t="array" ref="K18">IF(SUMPRODUCT(('IGU(2020)_LNG_TRADE'!$C$3:$V$3=$A18)*('IGU(2020)_LNG_TRADE'!$A$5:$A$46=K$6))=0,0,SUMPRODUCT(('IGU(2020)_LNG_TRADE'!$C$3:$V$3=$A18)*('IGU(2020)_LNG_TRADE'!$A$5:$A$46=K$6)*'IGU(2020)_LNG_TRADE'!$C$5:$V$46)*10^6*Legend!$B$92*Legend!$B$82*Legend!$B$84*10^-3)</f>
        <v>0</v>
      </c>
      <c r="L18" s="209" cm="1">
        <f t="array" ref="L18">IF(SUMPRODUCT(('IGU(2020)_LNG_TRADE'!$C$3:$V$3=$A18)*('IGU(2020)_LNG_TRADE'!$A$5:$A$46=L$6))=0,0,SUMPRODUCT(('IGU(2020)_LNG_TRADE'!$C$3:$V$3=$A18)*('IGU(2020)_LNG_TRADE'!$A$5:$A$46=L$6)*'IGU(2020)_LNG_TRADE'!$C$5:$V$46)*10^6*Legend!$B$92*Legend!$B$82*Legend!$B$84*10^-3)</f>
        <v>0</v>
      </c>
      <c r="M18" s="209" cm="1">
        <f t="array" ref="M18">IF(SUMPRODUCT(('IGU(2020)_LNG_TRADE'!$C$3:$V$3=$A18)*('IGU(2020)_LNG_TRADE'!$A$5:$A$46=M$6))=0,0,SUMPRODUCT(('IGU(2020)_LNG_TRADE'!$C$3:$V$3=$A18)*('IGU(2020)_LNG_TRADE'!$A$5:$A$46=M$6)*'IGU(2020)_LNG_TRADE'!$C$5:$V$46)*10^6*Legend!$B$92*Legend!$B$82*Legend!$B$84*10^-3)</f>
        <v>0</v>
      </c>
      <c r="N18" s="209" cm="1">
        <f t="array" ref="N18">IF(SUMPRODUCT(('IGU(2020)_LNG_TRADE'!$C$3:$V$3=$A18)*('IGU(2020)_LNG_TRADE'!$A$5:$A$46=N$6))=0,0,SUMPRODUCT(('IGU(2020)_LNG_TRADE'!$C$3:$V$3=$A18)*('IGU(2020)_LNG_TRADE'!$A$5:$A$46=N$6)*'IGU(2020)_LNG_TRADE'!$C$5:$V$46)*10^6*Legend!$B$92*Legend!$B$82*Legend!$B$84*10^-3)</f>
        <v>0</v>
      </c>
      <c r="O18" s="209" cm="1">
        <f t="array" ref="O18">IF(SUMPRODUCT(('IGU(2020)_LNG_TRADE'!$C$3:$V$3=$A18)*('IGU(2020)_LNG_TRADE'!$A$5:$A$46=O$6))=0,0,SUMPRODUCT(('IGU(2020)_LNG_TRADE'!$C$3:$V$3=$A18)*('IGU(2020)_LNG_TRADE'!$A$5:$A$46=O$6)*'IGU(2020)_LNG_TRADE'!$C$5:$V$46)*10^6*Legend!$B$92*Legend!$B$82*Legend!$B$84*10^-3)</f>
        <v>0</v>
      </c>
      <c r="P18" s="209" cm="1">
        <f t="array" ref="P18">IF(SUMPRODUCT(('IGU(2020)_LNG_TRADE'!$C$3:$V$3=$A18)*('IGU(2020)_LNG_TRADE'!$A$5:$A$46=P$6))=0,0,SUMPRODUCT(('IGU(2020)_LNG_TRADE'!$C$3:$V$3=$A18)*('IGU(2020)_LNG_TRADE'!$A$5:$A$46=P$6)*'IGU(2020)_LNG_TRADE'!$C$5:$V$46)*10^6*Legend!$B$92*Legend!$B$82*Legend!$B$84*10^-3)</f>
        <v>0</v>
      </c>
      <c r="Q18" s="209" cm="1">
        <f t="array" ref="Q18">IF(SUMPRODUCT(('IGU(2020)_LNG_TRADE'!$C$3:$V$3=$A18)*('IGU(2020)_LNG_TRADE'!$A$5:$A$46=Q$6))=0,0,SUMPRODUCT(('IGU(2020)_LNG_TRADE'!$C$3:$V$3=$A18)*('IGU(2020)_LNG_TRADE'!$A$5:$A$46=Q$6)*'IGU(2020)_LNG_TRADE'!$C$5:$V$46)*10^6*Legend!$B$92*Legend!$B$82*Legend!$B$84*10^-3)</f>
        <v>0</v>
      </c>
      <c r="R18" s="209" cm="1">
        <f t="array" ref="R18">IF(SUMPRODUCT(('IGU(2020)_LNG_TRADE'!$C$3:$V$3=$A18)*('IGU(2020)_LNG_TRADE'!$A$5:$A$46=R$6))=0,0,SUMPRODUCT(('IGU(2020)_LNG_TRADE'!$C$3:$V$3=$A18)*('IGU(2020)_LNG_TRADE'!$A$5:$A$46=R$6)*'IGU(2020)_LNG_TRADE'!$C$5:$V$46)*10^6*Legend!$B$92*Legend!$B$82*Legend!$B$84*10^-3)</f>
        <v>0</v>
      </c>
      <c r="S18" s="209" cm="1">
        <f t="array" ref="S18">IF(SUMPRODUCT(('IGU(2020)_LNG_TRADE'!$C$3:$V$3=$A18)*('IGU(2020)_LNG_TRADE'!$A$5:$A$46=S$6))=0,0,SUMPRODUCT(('IGU(2020)_LNG_TRADE'!$C$3:$V$3=$A18)*('IGU(2020)_LNG_TRADE'!$A$5:$A$46=S$6)*'IGU(2020)_LNG_TRADE'!$C$5:$V$46)*10^6*Legend!$B$92*Legend!$B$82*Legend!$B$84*10^-3)</f>
        <v>0</v>
      </c>
      <c r="T18" s="209" cm="1">
        <f t="array" ref="T18">IF(SUMPRODUCT(('IGU(2020)_LNG_TRADE'!$C$3:$V$3=$A18)*('IGU(2020)_LNG_TRADE'!$A$5:$A$46=T$6))=0,0,SUMPRODUCT(('IGU(2020)_LNG_TRADE'!$C$3:$V$3=$A18)*('IGU(2020)_LNG_TRADE'!$A$5:$A$46=T$6)*'IGU(2020)_LNG_TRADE'!$C$5:$V$46)*10^6*Legend!$B$92*Legend!$B$82*Legend!$B$84*10^-3)</f>
        <v>0</v>
      </c>
      <c r="U18" s="209" cm="1">
        <f t="array" ref="U18">IF(SUMPRODUCT(('IGU(2020)_LNG_TRADE'!$C$3:$V$3=$A18)*('IGU(2020)_LNG_TRADE'!$A$5:$A$46=U$6))=0,0,SUMPRODUCT(('IGU(2020)_LNG_TRADE'!$C$3:$V$3=$A18)*('IGU(2020)_LNG_TRADE'!$A$5:$A$46=U$6)*'IGU(2020)_LNG_TRADE'!$C$5:$V$46)*10^6*Legend!$B$92*Legend!$B$82*Legend!$B$84*10^-3)</f>
        <v>0</v>
      </c>
      <c r="V18" s="209" cm="1">
        <f t="array" ref="V18">IF(SUMPRODUCT(('IGU(2020)_LNG_TRADE'!$C$3:$V$3=$A18)*('IGU(2020)_LNG_TRADE'!$A$5:$A$46=V$6))=0,0,SUMPRODUCT(('IGU(2020)_LNG_TRADE'!$C$3:$V$3=$A18)*('IGU(2020)_LNG_TRADE'!$A$5:$A$46=V$6)*'IGU(2020)_LNG_TRADE'!$C$5:$V$46)*10^6*Legend!$B$92*Legend!$B$82*Legend!$B$84*10^-3)</f>
        <v>0</v>
      </c>
      <c r="W18" s="209" cm="1">
        <f t="array" ref="W18">IF(SUMPRODUCT(('IGU(2020)_LNG_TRADE'!$C$3:$V$3=$A18)*('IGU(2020)_LNG_TRADE'!$A$5:$A$46=W$6))=0,0,SUMPRODUCT(('IGU(2020)_LNG_TRADE'!$C$3:$V$3=$A18)*('IGU(2020)_LNG_TRADE'!$A$5:$A$46=W$6)*'IGU(2020)_LNG_TRADE'!$C$5:$V$46)*10^6*Legend!$B$92*Legend!$B$82*Legend!$B$84*10^-3)</f>
        <v>0</v>
      </c>
      <c r="X18" s="209" cm="1">
        <f t="array" ref="X18">IF(SUMPRODUCT(('IGU(2020)_LNG_TRADE'!$C$3:$V$3=$A18)*('IGU(2020)_LNG_TRADE'!$A$5:$A$46=X$6))=0,0,SUMPRODUCT(('IGU(2020)_LNG_TRADE'!$C$3:$V$3=$A18)*('IGU(2020)_LNG_TRADE'!$A$5:$A$46=X$6)*'IGU(2020)_LNG_TRADE'!$C$5:$V$46)*10^6*Legend!$B$92*Legend!$B$82*Legend!$B$84*10^-3)</f>
        <v>0</v>
      </c>
      <c r="Y18" s="209" cm="1">
        <f t="array" ref="Y18">IF(SUMPRODUCT(('IGU(2020)_LNG_TRADE'!$C$3:$V$3=$A18)*('IGU(2020)_LNG_TRADE'!$A$5:$A$46=Y$6))=0,0,SUMPRODUCT(('IGU(2020)_LNG_TRADE'!$C$3:$V$3=$A18)*('IGU(2020)_LNG_TRADE'!$A$5:$A$46=Y$6)*'IGU(2020)_LNG_TRADE'!$C$5:$V$46)*10^6*Legend!$B$92*Legend!$B$82*Legend!$B$84*10^-3)</f>
        <v>0</v>
      </c>
      <c r="Z18" s="209" cm="1">
        <f t="array" ref="Z18">IF(SUMPRODUCT(('IGU(2020)_LNG_TRADE'!$C$3:$V$3=$A18)*('IGU(2020)_LNG_TRADE'!$A$5:$A$46=Z$6))=0,0,SUMPRODUCT(('IGU(2020)_LNG_TRADE'!$C$3:$V$3=$A18)*('IGU(2020)_LNG_TRADE'!$A$5:$A$46=Z$6)*'IGU(2020)_LNG_TRADE'!$C$5:$V$46)*10^6*Legend!$B$92*Legend!$B$82*Legend!$B$84*10^-3)</f>
        <v>0</v>
      </c>
      <c r="AA18" s="209" cm="1">
        <f t="array" ref="AA18">IF(SUMPRODUCT(('IGU(2020)_LNG_TRADE'!$C$3:$V$3=$A18)*('IGU(2020)_LNG_TRADE'!$A$5:$A$46=AA$6))=0,0,SUMPRODUCT(('IGU(2020)_LNG_TRADE'!$C$3:$V$3=$A18)*('IGU(2020)_LNG_TRADE'!$A$5:$A$46=AA$6)*'IGU(2020)_LNG_TRADE'!$C$5:$V$46)*10^6*Legend!$B$92*Legend!$B$82*Legend!$B$84*10^-3)</f>
        <v>0</v>
      </c>
      <c r="AB18" s="209" cm="1">
        <f t="array" ref="AB18">IF(SUMPRODUCT(('IGU(2020)_LNG_TRADE'!$C$3:$V$3=$A18)*('IGU(2020)_LNG_TRADE'!$A$5:$A$46=AB$6))=0,0,SUMPRODUCT(('IGU(2020)_LNG_TRADE'!$C$3:$V$3=$A18)*('IGU(2020)_LNG_TRADE'!$A$5:$A$46=AB$6)*'IGU(2020)_LNG_TRADE'!$C$5:$V$46)*10^6*Legend!$B$92*Legend!$B$82*Legend!$B$84*10^-3)</f>
        <v>0</v>
      </c>
      <c r="AC18" s="220" cm="1">
        <f t="array" ref="AC18">IF(SUMPRODUCT(('IGU(2020)_LNG_TRADE'!$C$3:$V$3=$A18)*('IGU(2020)_LNG_TRADE'!$A$5:$A$46=AC$6))=0,0,SUMPRODUCT(('IGU(2020)_LNG_TRADE'!$C$3:$V$3=$A18)*('IGU(2020)_LNG_TRADE'!$A$5:$A$46=AC$6)*'IGU(2020)_LNG_TRADE'!$C$5:$V$46)*10^6*Legend!$B$92*Legend!$B$82*Legend!$B$84*10^-3)</f>
        <v>0</v>
      </c>
    </row>
    <row r="19" spans="1:29">
      <c r="A19" s="215" t="s">
        <v>205</v>
      </c>
      <c r="B19" s="209" cm="1">
        <f t="array" ref="B19">IF(SUMPRODUCT(('IGU(2020)_LNG_TRADE'!$C$3:$V$3=$A19)*('IGU(2020)_LNG_TRADE'!$A$5:$A$46=B$6))=0,0,SUMPRODUCT(('IGU(2020)_LNG_TRADE'!$C$3:$V$3=$A19)*('IGU(2020)_LNG_TRADE'!$A$5:$A$46=B$6)*'IGU(2020)_LNG_TRADE'!$C$5:$V$46)*10^6*Legend!$B$92*Legend!$B$82*Legend!$B$84*10^-3)</f>
        <v>0</v>
      </c>
      <c r="C19" s="209" cm="1">
        <f t="array" ref="C19">IF(SUMPRODUCT(('IGU(2020)_LNG_TRADE'!$C$3:$V$3=$A19)*('IGU(2020)_LNG_TRADE'!$A$5:$A$46=C$6))=0,0,SUMPRODUCT(('IGU(2020)_LNG_TRADE'!$C$3:$V$3=$A19)*('IGU(2020)_LNG_TRADE'!$A$5:$A$46=C$6)*'IGU(2020)_LNG_TRADE'!$C$5:$V$46)*10^6*Legend!$B$92*Legend!$B$82*Legend!$B$84*10^-3)</f>
        <v>0</v>
      </c>
      <c r="D19" s="209" cm="1">
        <f t="array" ref="D19">IF(SUMPRODUCT(('IGU(2020)_LNG_TRADE'!$C$3:$V$3=$A19)*('IGU(2020)_LNG_TRADE'!$A$5:$A$46=D$6))=0,0,SUMPRODUCT(('IGU(2020)_LNG_TRADE'!$C$3:$V$3=$A19)*('IGU(2020)_LNG_TRADE'!$A$5:$A$46=D$6)*'IGU(2020)_LNG_TRADE'!$C$5:$V$46)*10^6*Legend!$B$92*Legend!$B$82*Legend!$B$84*10^-3)</f>
        <v>0</v>
      </c>
      <c r="E19" s="209" cm="1">
        <f t="array" ref="E19">IF(SUMPRODUCT(('IGU(2020)_LNG_TRADE'!$C$3:$V$3=$A19)*('IGU(2020)_LNG_TRADE'!$A$5:$A$46=E$6))=0,0,SUMPRODUCT(('IGU(2020)_LNG_TRADE'!$C$3:$V$3=$A19)*('IGU(2020)_LNG_TRADE'!$A$5:$A$46=E$6)*'IGU(2020)_LNG_TRADE'!$C$5:$V$46)*10^6*Legend!$B$92*Legend!$B$82*Legend!$B$84*10^-3)</f>
        <v>0</v>
      </c>
      <c r="F19" s="209" cm="1">
        <f t="array" ref="F19">IF(SUMPRODUCT(('IGU(2020)_LNG_TRADE'!$C$3:$V$3=$A19)*('IGU(2020)_LNG_TRADE'!$A$5:$A$46=F$6))=0,0,SUMPRODUCT(('IGU(2020)_LNG_TRADE'!$C$3:$V$3=$A19)*('IGU(2020)_LNG_TRADE'!$A$5:$A$46=F$6)*'IGU(2020)_LNG_TRADE'!$C$5:$V$46)*10^6*Legend!$B$92*Legend!$B$82*Legend!$B$84*10^-3)</f>
        <v>0</v>
      </c>
      <c r="G19" s="209" cm="1">
        <f t="array" ref="G19">IF(SUMPRODUCT(('IGU(2020)_LNG_TRADE'!$C$3:$V$3=$A19)*('IGU(2020)_LNG_TRADE'!$A$5:$A$46=G$6))=0,0,SUMPRODUCT(('IGU(2020)_LNG_TRADE'!$C$3:$V$3=$A19)*('IGU(2020)_LNG_TRADE'!$A$5:$A$46=G$6)*'IGU(2020)_LNG_TRADE'!$C$5:$V$46)*10^6*Legend!$B$92*Legend!$B$82*Legend!$B$84*10^-3)</f>
        <v>0</v>
      </c>
      <c r="H19" s="209" cm="1">
        <f t="array" ref="H19">IF(SUMPRODUCT(('IGU(2020)_LNG_TRADE'!$C$3:$V$3=$A19)*('IGU(2020)_LNG_TRADE'!$A$5:$A$46=H$6))=0,0,SUMPRODUCT(('IGU(2020)_LNG_TRADE'!$C$3:$V$3=$A19)*('IGU(2020)_LNG_TRADE'!$A$5:$A$46=H$6)*'IGU(2020)_LNG_TRADE'!$C$5:$V$46)*10^6*Legend!$B$92*Legend!$B$82*Legend!$B$84*10^-3)</f>
        <v>0</v>
      </c>
      <c r="I19" s="209" cm="1">
        <f t="array" ref="I19">IF(SUMPRODUCT(('IGU(2020)_LNG_TRADE'!$C$3:$V$3=$A19)*('IGU(2020)_LNG_TRADE'!$A$5:$A$46=I$6))=0,0,SUMPRODUCT(('IGU(2020)_LNG_TRADE'!$C$3:$V$3=$A19)*('IGU(2020)_LNG_TRADE'!$A$5:$A$46=I$6)*'IGU(2020)_LNG_TRADE'!$C$5:$V$46)*10^6*Legend!$B$92*Legend!$B$82*Legend!$B$84*10^-3)</f>
        <v>0</v>
      </c>
      <c r="J19" s="209" cm="1">
        <f t="array" ref="J19">IF(SUMPRODUCT(('IGU(2020)_LNG_TRADE'!$C$3:$V$3=$A19)*('IGU(2020)_LNG_TRADE'!$A$5:$A$46=J$6))=0,0,SUMPRODUCT(('IGU(2020)_LNG_TRADE'!$C$3:$V$3=$A19)*('IGU(2020)_LNG_TRADE'!$A$5:$A$46=J$6)*'IGU(2020)_LNG_TRADE'!$C$5:$V$46)*10^6*Legend!$B$92*Legend!$B$82*Legend!$B$84*10^-3)</f>
        <v>0</v>
      </c>
      <c r="K19" s="209" cm="1">
        <f t="array" ref="K19">IF(SUMPRODUCT(('IGU(2020)_LNG_TRADE'!$C$3:$V$3=$A19)*('IGU(2020)_LNG_TRADE'!$A$5:$A$46=K$6))=0,0,SUMPRODUCT(('IGU(2020)_LNG_TRADE'!$C$3:$V$3=$A19)*('IGU(2020)_LNG_TRADE'!$A$5:$A$46=K$6)*'IGU(2020)_LNG_TRADE'!$C$5:$V$46)*10^6*Legend!$B$92*Legend!$B$82*Legend!$B$84*10^-3)</f>
        <v>0</v>
      </c>
      <c r="L19" s="209" cm="1">
        <f t="array" ref="L19">IF(SUMPRODUCT(('IGU(2020)_LNG_TRADE'!$C$3:$V$3=$A19)*('IGU(2020)_LNG_TRADE'!$A$5:$A$46=L$6))=0,0,SUMPRODUCT(('IGU(2020)_LNG_TRADE'!$C$3:$V$3=$A19)*('IGU(2020)_LNG_TRADE'!$A$5:$A$46=L$6)*'IGU(2020)_LNG_TRADE'!$C$5:$V$46)*10^6*Legend!$B$92*Legend!$B$82*Legend!$B$84*10^-3)</f>
        <v>0</v>
      </c>
      <c r="M19" s="209" cm="1">
        <f t="array" ref="M19">IF(SUMPRODUCT(('IGU(2020)_LNG_TRADE'!$C$3:$V$3=$A19)*('IGU(2020)_LNG_TRADE'!$A$5:$A$46=M$6))=0,0,SUMPRODUCT(('IGU(2020)_LNG_TRADE'!$C$3:$V$3=$A19)*('IGU(2020)_LNG_TRADE'!$A$5:$A$46=M$6)*'IGU(2020)_LNG_TRADE'!$C$5:$V$46)*10^6*Legend!$B$92*Legend!$B$82*Legend!$B$84*10^-3)</f>
        <v>0</v>
      </c>
      <c r="N19" s="209" cm="1">
        <f t="array" ref="N19">IF(SUMPRODUCT(('IGU(2020)_LNG_TRADE'!$C$3:$V$3=$A19)*('IGU(2020)_LNG_TRADE'!$A$5:$A$46=N$6))=0,0,SUMPRODUCT(('IGU(2020)_LNG_TRADE'!$C$3:$V$3=$A19)*('IGU(2020)_LNG_TRADE'!$A$5:$A$46=N$6)*'IGU(2020)_LNG_TRADE'!$C$5:$V$46)*10^6*Legend!$B$92*Legend!$B$82*Legend!$B$84*10^-3)</f>
        <v>0</v>
      </c>
      <c r="O19" s="209" cm="1">
        <f t="array" ref="O19">IF(SUMPRODUCT(('IGU(2020)_LNG_TRADE'!$C$3:$V$3=$A19)*('IGU(2020)_LNG_TRADE'!$A$5:$A$46=O$6))=0,0,SUMPRODUCT(('IGU(2020)_LNG_TRADE'!$C$3:$V$3=$A19)*('IGU(2020)_LNG_TRADE'!$A$5:$A$46=O$6)*'IGU(2020)_LNG_TRADE'!$C$5:$V$46)*10^6*Legend!$B$92*Legend!$B$82*Legend!$B$84*10^-3)</f>
        <v>0</v>
      </c>
      <c r="P19" s="209" cm="1">
        <f t="array" ref="P19">IF(SUMPRODUCT(('IGU(2020)_LNG_TRADE'!$C$3:$V$3=$A19)*('IGU(2020)_LNG_TRADE'!$A$5:$A$46=P$6))=0,0,SUMPRODUCT(('IGU(2020)_LNG_TRADE'!$C$3:$V$3=$A19)*('IGU(2020)_LNG_TRADE'!$A$5:$A$46=P$6)*'IGU(2020)_LNG_TRADE'!$C$5:$V$46)*10^6*Legend!$B$92*Legend!$B$82*Legend!$B$84*10^-3)</f>
        <v>0</v>
      </c>
      <c r="Q19" s="209" cm="1">
        <f t="array" ref="Q19">IF(SUMPRODUCT(('IGU(2020)_LNG_TRADE'!$C$3:$V$3=$A19)*('IGU(2020)_LNG_TRADE'!$A$5:$A$46=Q$6))=0,0,SUMPRODUCT(('IGU(2020)_LNG_TRADE'!$C$3:$V$3=$A19)*('IGU(2020)_LNG_TRADE'!$A$5:$A$46=Q$6)*'IGU(2020)_LNG_TRADE'!$C$5:$V$46)*10^6*Legend!$B$92*Legend!$B$82*Legend!$B$84*10^-3)</f>
        <v>0</v>
      </c>
      <c r="R19" s="209" cm="1">
        <f t="array" ref="R19">IF(SUMPRODUCT(('IGU(2020)_LNG_TRADE'!$C$3:$V$3=$A19)*('IGU(2020)_LNG_TRADE'!$A$5:$A$46=R$6))=0,0,SUMPRODUCT(('IGU(2020)_LNG_TRADE'!$C$3:$V$3=$A19)*('IGU(2020)_LNG_TRADE'!$A$5:$A$46=R$6)*'IGU(2020)_LNG_TRADE'!$C$5:$V$46)*10^6*Legend!$B$92*Legend!$B$82*Legend!$B$84*10^-3)</f>
        <v>0</v>
      </c>
      <c r="S19" s="209" cm="1">
        <f t="array" ref="S19">IF(SUMPRODUCT(('IGU(2020)_LNG_TRADE'!$C$3:$V$3=$A19)*('IGU(2020)_LNG_TRADE'!$A$5:$A$46=S$6))=0,0,SUMPRODUCT(('IGU(2020)_LNG_TRADE'!$C$3:$V$3=$A19)*('IGU(2020)_LNG_TRADE'!$A$5:$A$46=S$6)*'IGU(2020)_LNG_TRADE'!$C$5:$V$46)*10^6*Legend!$B$92*Legend!$B$82*Legend!$B$84*10^-3)</f>
        <v>0</v>
      </c>
      <c r="T19" s="209" cm="1">
        <f t="array" ref="T19">IF(SUMPRODUCT(('IGU(2020)_LNG_TRADE'!$C$3:$V$3=$A19)*('IGU(2020)_LNG_TRADE'!$A$5:$A$46=T$6))=0,0,SUMPRODUCT(('IGU(2020)_LNG_TRADE'!$C$3:$V$3=$A19)*('IGU(2020)_LNG_TRADE'!$A$5:$A$46=T$6)*'IGU(2020)_LNG_TRADE'!$C$5:$V$46)*10^6*Legend!$B$92*Legend!$B$82*Legend!$B$84*10^-3)</f>
        <v>0</v>
      </c>
      <c r="U19" s="209" cm="1">
        <f t="array" ref="U19">IF(SUMPRODUCT(('IGU(2020)_LNG_TRADE'!$C$3:$V$3=$A19)*('IGU(2020)_LNG_TRADE'!$A$5:$A$46=U$6))=0,0,SUMPRODUCT(('IGU(2020)_LNG_TRADE'!$C$3:$V$3=$A19)*('IGU(2020)_LNG_TRADE'!$A$5:$A$46=U$6)*'IGU(2020)_LNG_TRADE'!$C$5:$V$46)*10^6*Legend!$B$92*Legend!$B$82*Legend!$B$84*10^-3)</f>
        <v>0</v>
      </c>
      <c r="V19" s="209" cm="1">
        <f t="array" ref="V19">IF(SUMPRODUCT(('IGU(2020)_LNG_TRADE'!$C$3:$V$3=$A19)*('IGU(2020)_LNG_TRADE'!$A$5:$A$46=V$6))=0,0,SUMPRODUCT(('IGU(2020)_LNG_TRADE'!$C$3:$V$3=$A19)*('IGU(2020)_LNG_TRADE'!$A$5:$A$46=V$6)*'IGU(2020)_LNG_TRADE'!$C$5:$V$46)*10^6*Legend!$B$92*Legend!$B$82*Legend!$B$84*10^-3)</f>
        <v>0</v>
      </c>
      <c r="W19" s="209" cm="1">
        <f t="array" ref="W19">IF(SUMPRODUCT(('IGU(2020)_LNG_TRADE'!$C$3:$V$3=$A19)*('IGU(2020)_LNG_TRADE'!$A$5:$A$46=W$6))=0,0,SUMPRODUCT(('IGU(2020)_LNG_TRADE'!$C$3:$V$3=$A19)*('IGU(2020)_LNG_TRADE'!$A$5:$A$46=W$6)*'IGU(2020)_LNG_TRADE'!$C$5:$V$46)*10^6*Legend!$B$92*Legend!$B$82*Legend!$B$84*10^-3)</f>
        <v>0</v>
      </c>
      <c r="X19" s="209" cm="1">
        <f t="array" ref="X19">IF(SUMPRODUCT(('IGU(2020)_LNG_TRADE'!$C$3:$V$3=$A19)*('IGU(2020)_LNG_TRADE'!$A$5:$A$46=X$6))=0,0,SUMPRODUCT(('IGU(2020)_LNG_TRADE'!$C$3:$V$3=$A19)*('IGU(2020)_LNG_TRADE'!$A$5:$A$46=X$6)*'IGU(2020)_LNG_TRADE'!$C$5:$V$46)*10^6*Legend!$B$92*Legend!$B$82*Legend!$B$84*10^-3)</f>
        <v>0</v>
      </c>
      <c r="Y19" s="209" cm="1">
        <f t="array" ref="Y19">IF(SUMPRODUCT(('IGU(2020)_LNG_TRADE'!$C$3:$V$3=$A19)*('IGU(2020)_LNG_TRADE'!$A$5:$A$46=Y$6))=0,0,SUMPRODUCT(('IGU(2020)_LNG_TRADE'!$C$3:$V$3=$A19)*('IGU(2020)_LNG_TRADE'!$A$5:$A$46=Y$6)*'IGU(2020)_LNG_TRADE'!$C$5:$V$46)*10^6*Legend!$B$92*Legend!$B$82*Legend!$B$84*10^-3)</f>
        <v>0</v>
      </c>
      <c r="Z19" s="209" cm="1">
        <f t="array" ref="Z19">IF(SUMPRODUCT(('IGU(2020)_LNG_TRADE'!$C$3:$V$3=$A19)*('IGU(2020)_LNG_TRADE'!$A$5:$A$46=Z$6))=0,0,SUMPRODUCT(('IGU(2020)_LNG_TRADE'!$C$3:$V$3=$A19)*('IGU(2020)_LNG_TRADE'!$A$5:$A$46=Z$6)*'IGU(2020)_LNG_TRADE'!$C$5:$V$46)*10^6*Legend!$B$92*Legend!$B$82*Legend!$B$84*10^-3)</f>
        <v>0</v>
      </c>
      <c r="AA19" s="209" cm="1">
        <f t="array" ref="AA19">IF(SUMPRODUCT(('IGU(2020)_LNG_TRADE'!$C$3:$V$3=$A19)*('IGU(2020)_LNG_TRADE'!$A$5:$A$46=AA$6))=0,0,SUMPRODUCT(('IGU(2020)_LNG_TRADE'!$C$3:$V$3=$A19)*('IGU(2020)_LNG_TRADE'!$A$5:$A$46=AA$6)*'IGU(2020)_LNG_TRADE'!$C$5:$V$46)*10^6*Legend!$B$92*Legend!$B$82*Legend!$B$84*10^-3)</f>
        <v>0</v>
      </c>
      <c r="AB19" s="209" cm="1">
        <f t="array" ref="AB19">IF(SUMPRODUCT(('IGU(2020)_LNG_TRADE'!$C$3:$V$3=$A19)*('IGU(2020)_LNG_TRADE'!$A$5:$A$46=AB$6))=0,0,SUMPRODUCT(('IGU(2020)_LNG_TRADE'!$C$3:$V$3=$A19)*('IGU(2020)_LNG_TRADE'!$A$5:$A$46=AB$6)*'IGU(2020)_LNG_TRADE'!$C$5:$V$46)*10^6*Legend!$B$92*Legend!$B$82*Legend!$B$84*10^-3)</f>
        <v>0</v>
      </c>
      <c r="AC19" s="220" cm="1">
        <f t="array" ref="AC19">IF(SUMPRODUCT(('IGU(2020)_LNG_TRADE'!$C$3:$V$3=$A19)*('IGU(2020)_LNG_TRADE'!$A$5:$A$46=AC$6))=0,0,SUMPRODUCT(('IGU(2020)_LNG_TRADE'!$C$3:$V$3=$A19)*('IGU(2020)_LNG_TRADE'!$A$5:$A$46=AC$6)*'IGU(2020)_LNG_TRADE'!$C$5:$V$46)*10^6*Legend!$B$92*Legend!$B$82*Legend!$B$84*10^-3)</f>
        <v>0</v>
      </c>
    </row>
    <row r="20" spans="1:29">
      <c r="A20" s="215" t="s">
        <v>208</v>
      </c>
      <c r="B20" s="209" cm="1">
        <f t="array" ref="B20">IF(SUMPRODUCT(('IGU(2020)_LNG_TRADE'!$C$3:$V$3=$A20)*('IGU(2020)_LNG_TRADE'!$A$5:$A$46=B$6))=0,0,SUMPRODUCT(('IGU(2020)_LNG_TRADE'!$C$3:$V$3=$A20)*('IGU(2020)_LNG_TRADE'!$A$5:$A$46=B$6)*'IGU(2020)_LNG_TRADE'!$C$5:$V$46)*10^6*Legend!$B$92*Legend!$B$82*Legend!$B$84*10^-3)</f>
        <v>0</v>
      </c>
      <c r="C20" s="209" cm="1">
        <f t="array" ref="C20">IF(SUMPRODUCT(('IGU(2020)_LNG_TRADE'!$C$3:$V$3=$A20)*('IGU(2020)_LNG_TRADE'!$A$5:$A$46=C$6))=0,0,SUMPRODUCT(('IGU(2020)_LNG_TRADE'!$C$3:$V$3=$A20)*('IGU(2020)_LNG_TRADE'!$A$5:$A$46=C$6)*'IGU(2020)_LNG_TRADE'!$C$5:$V$46)*10^6*Legend!$B$92*Legend!$B$82*Legend!$B$84*10^-3)</f>
        <v>0</v>
      </c>
      <c r="D20" s="209" cm="1">
        <f t="array" ref="D20">IF(SUMPRODUCT(('IGU(2020)_LNG_TRADE'!$C$3:$V$3=$A20)*('IGU(2020)_LNG_TRADE'!$A$5:$A$46=D$6))=0,0,SUMPRODUCT(('IGU(2020)_LNG_TRADE'!$C$3:$V$3=$A20)*('IGU(2020)_LNG_TRADE'!$A$5:$A$46=D$6)*'IGU(2020)_LNG_TRADE'!$C$5:$V$46)*10^6*Legend!$B$92*Legend!$B$82*Legend!$B$84*10^-3)</f>
        <v>0</v>
      </c>
      <c r="E20" s="209" cm="1">
        <f t="array" ref="E20">IF(SUMPRODUCT(('IGU(2020)_LNG_TRADE'!$C$3:$V$3=$A20)*('IGU(2020)_LNG_TRADE'!$A$5:$A$46=E$6))=0,0,SUMPRODUCT(('IGU(2020)_LNG_TRADE'!$C$3:$V$3=$A20)*('IGU(2020)_LNG_TRADE'!$A$5:$A$46=E$6)*'IGU(2020)_LNG_TRADE'!$C$5:$V$46)*10^6*Legend!$B$92*Legend!$B$82*Legend!$B$84*10^-3)</f>
        <v>0</v>
      </c>
      <c r="F20" s="209" cm="1">
        <f t="array" ref="F20">IF(SUMPRODUCT(('IGU(2020)_LNG_TRADE'!$C$3:$V$3=$A20)*('IGU(2020)_LNG_TRADE'!$A$5:$A$46=F$6))=0,0,SUMPRODUCT(('IGU(2020)_LNG_TRADE'!$C$3:$V$3=$A20)*('IGU(2020)_LNG_TRADE'!$A$5:$A$46=F$6)*'IGU(2020)_LNG_TRADE'!$C$5:$V$46)*10^6*Legend!$B$92*Legend!$B$82*Legend!$B$84*10^-3)</f>
        <v>0</v>
      </c>
      <c r="G20" s="209" cm="1">
        <f t="array" ref="G20">IF(SUMPRODUCT(('IGU(2020)_LNG_TRADE'!$C$3:$V$3=$A20)*('IGU(2020)_LNG_TRADE'!$A$5:$A$46=G$6))=0,0,SUMPRODUCT(('IGU(2020)_LNG_TRADE'!$C$3:$V$3=$A20)*('IGU(2020)_LNG_TRADE'!$A$5:$A$46=G$6)*'IGU(2020)_LNG_TRADE'!$C$5:$V$46)*10^6*Legend!$B$92*Legend!$B$82*Legend!$B$84*10^-3)</f>
        <v>0</v>
      </c>
      <c r="H20" s="209" cm="1">
        <f t="array" ref="H20">IF(SUMPRODUCT(('IGU(2020)_LNG_TRADE'!$C$3:$V$3=$A20)*('IGU(2020)_LNG_TRADE'!$A$5:$A$46=H$6))=0,0,SUMPRODUCT(('IGU(2020)_LNG_TRADE'!$C$3:$V$3=$A20)*('IGU(2020)_LNG_TRADE'!$A$5:$A$46=H$6)*'IGU(2020)_LNG_TRADE'!$C$5:$V$46)*10^6*Legend!$B$92*Legend!$B$82*Legend!$B$84*10^-3)</f>
        <v>0</v>
      </c>
      <c r="I20" s="209" cm="1">
        <f t="array" ref="I20">IF(SUMPRODUCT(('IGU(2020)_LNG_TRADE'!$C$3:$V$3=$A20)*('IGU(2020)_LNG_TRADE'!$A$5:$A$46=I$6))=0,0,SUMPRODUCT(('IGU(2020)_LNG_TRADE'!$C$3:$V$3=$A20)*('IGU(2020)_LNG_TRADE'!$A$5:$A$46=I$6)*'IGU(2020)_LNG_TRADE'!$C$5:$V$46)*10^6*Legend!$B$92*Legend!$B$82*Legend!$B$84*10^-3)</f>
        <v>0</v>
      </c>
      <c r="J20" s="209" cm="1">
        <f t="array" ref="J20">IF(SUMPRODUCT(('IGU(2020)_LNG_TRADE'!$C$3:$V$3=$A20)*('IGU(2020)_LNG_TRADE'!$A$5:$A$46=J$6))=0,0,SUMPRODUCT(('IGU(2020)_LNG_TRADE'!$C$3:$V$3=$A20)*('IGU(2020)_LNG_TRADE'!$A$5:$A$46=J$6)*'IGU(2020)_LNG_TRADE'!$C$5:$V$46)*10^6*Legend!$B$92*Legend!$B$82*Legend!$B$84*10^-3)</f>
        <v>11262.631399999997</v>
      </c>
      <c r="K20" s="209" cm="1">
        <f t="array" ref="K20">IF(SUMPRODUCT(('IGU(2020)_LNG_TRADE'!$C$3:$V$3=$A20)*('IGU(2020)_LNG_TRADE'!$A$5:$A$46=K$6))=0,0,SUMPRODUCT(('IGU(2020)_LNG_TRADE'!$C$3:$V$3=$A20)*('IGU(2020)_LNG_TRADE'!$A$5:$A$46=K$6)*'IGU(2020)_LNG_TRADE'!$C$5:$V$46)*10^6*Legend!$B$92*Legend!$B$82*Legend!$B$84*10^-3)</f>
        <v>0</v>
      </c>
      <c r="L20" s="209" cm="1">
        <f t="array" ref="L20">IF(SUMPRODUCT(('IGU(2020)_LNG_TRADE'!$C$3:$V$3=$A20)*('IGU(2020)_LNG_TRADE'!$A$5:$A$46=L$6))=0,0,SUMPRODUCT(('IGU(2020)_LNG_TRADE'!$C$3:$V$3=$A20)*('IGU(2020)_LNG_TRADE'!$A$5:$A$46=L$6)*'IGU(2020)_LNG_TRADE'!$C$5:$V$46)*10^6*Legend!$B$92*Legend!$B$82*Legend!$B$84*10^-3)</f>
        <v>0</v>
      </c>
      <c r="M20" s="209" cm="1">
        <f t="array" ref="M20">IF(SUMPRODUCT(('IGU(2020)_LNG_TRADE'!$C$3:$V$3=$A20)*('IGU(2020)_LNG_TRADE'!$A$5:$A$46=M$6))=0,0,SUMPRODUCT(('IGU(2020)_LNG_TRADE'!$C$3:$V$3=$A20)*('IGU(2020)_LNG_TRADE'!$A$5:$A$46=M$6)*'IGU(2020)_LNG_TRADE'!$C$5:$V$46)*10^6*Legend!$B$92*Legend!$B$82*Legend!$B$84*10^-3)</f>
        <v>5631.3156999999983</v>
      </c>
      <c r="N20" s="209" cm="1">
        <f t="array" ref="N20">IF(SUMPRODUCT(('IGU(2020)_LNG_TRADE'!$C$3:$V$3=$A20)*('IGU(2020)_LNG_TRADE'!$A$5:$A$46=N$6))=0,0,SUMPRODUCT(('IGU(2020)_LNG_TRADE'!$C$3:$V$3=$A20)*('IGU(2020)_LNG_TRADE'!$A$5:$A$46=N$6)*'IGU(2020)_LNG_TRADE'!$C$5:$V$46)*10^6*Legend!$B$92*Legend!$B$82*Legend!$B$84*10^-3)</f>
        <v>0</v>
      </c>
      <c r="O20" s="209" cm="1">
        <f t="array" ref="O20">IF(SUMPRODUCT(('IGU(2020)_LNG_TRADE'!$C$3:$V$3=$A20)*('IGU(2020)_LNG_TRADE'!$A$5:$A$46=O$6))=0,0,SUMPRODUCT(('IGU(2020)_LNG_TRADE'!$C$3:$V$3=$A20)*('IGU(2020)_LNG_TRADE'!$A$5:$A$46=O$6)*'IGU(2020)_LNG_TRADE'!$C$5:$V$46)*10^6*Legend!$B$92*Legend!$B$82*Legend!$B$84*10^-3)</f>
        <v>22525.262799999993</v>
      </c>
      <c r="P20" s="209" cm="1">
        <f t="array" ref="P20">IF(SUMPRODUCT(('IGU(2020)_LNG_TRADE'!$C$3:$V$3=$A20)*('IGU(2020)_LNG_TRADE'!$A$5:$A$46=P$6))=0,0,SUMPRODUCT(('IGU(2020)_LNG_TRADE'!$C$3:$V$3=$A20)*('IGU(2020)_LNG_TRADE'!$A$5:$A$46=P$6)*'IGU(2020)_LNG_TRADE'!$C$5:$V$46)*10^6*Legend!$B$92*Legend!$B$82*Legend!$B$84*10^-3)</f>
        <v>61944.472699999998</v>
      </c>
      <c r="Q20" s="209" cm="1">
        <f t="array" ref="Q20">IF(SUMPRODUCT(('IGU(2020)_LNG_TRADE'!$C$3:$V$3=$A20)*('IGU(2020)_LNG_TRADE'!$A$5:$A$46=Q$6))=0,0,SUMPRODUCT(('IGU(2020)_LNG_TRADE'!$C$3:$V$3=$A20)*('IGU(2020)_LNG_TRADE'!$A$5:$A$46=Q$6)*'IGU(2020)_LNG_TRADE'!$C$5:$V$46)*10^6*Legend!$B$92*Legend!$B$82*Legend!$B$84*10^-3)</f>
        <v>123888.9454</v>
      </c>
      <c r="R20" s="209" cm="1">
        <f t="array" ref="R20">IF(SUMPRODUCT(('IGU(2020)_LNG_TRADE'!$C$3:$V$3=$A20)*('IGU(2020)_LNG_TRADE'!$A$5:$A$46=R$6))=0,0,SUMPRODUCT(('IGU(2020)_LNG_TRADE'!$C$3:$V$3=$A20)*('IGU(2020)_LNG_TRADE'!$A$5:$A$46=R$6)*'IGU(2020)_LNG_TRADE'!$C$5:$V$46)*10^6*Legend!$B$92*Legend!$B$82*Legend!$B$84*10^-3)</f>
        <v>22525.262799999993</v>
      </c>
      <c r="S20" s="209" cm="1">
        <f t="array" ref="S20">IF(SUMPRODUCT(('IGU(2020)_LNG_TRADE'!$C$3:$V$3=$A20)*('IGU(2020)_LNG_TRADE'!$A$5:$A$46=S$6))=0,0,SUMPRODUCT(('IGU(2020)_LNG_TRADE'!$C$3:$V$3=$A20)*('IGU(2020)_LNG_TRADE'!$A$5:$A$46=S$6)*'IGU(2020)_LNG_TRADE'!$C$5:$V$46)*10^6*Legend!$B$92*Legend!$B$82*Legend!$B$84*10^-3)</f>
        <v>0</v>
      </c>
      <c r="T20" s="209" cm="1">
        <f t="array" ref="T20">IF(SUMPRODUCT(('IGU(2020)_LNG_TRADE'!$C$3:$V$3=$A20)*('IGU(2020)_LNG_TRADE'!$A$5:$A$46=T$6))=0,0,SUMPRODUCT(('IGU(2020)_LNG_TRADE'!$C$3:$V$3=$A20)*('IGU(2020)_LNG_TRADE'!$A$5:$A$46=T$6)*'IGU(2020)_LNG_TRADE'!$C$5:$V$46)*10^6*Legend!$B$92*Legend!$B$82*Legend!$B$84*10^-3)</f>
        <v>5631.3156999999983</v>
      </c>
      <c r="U20" s="209" cm="1">
        <f t="array" ref="U20">IF(SUMPRODUCT(('IGU(2020)_LNG_TRADE'!$C$3:$V$3=$A20)*('IGU(2020)_LNG_TRADE'!$A$5:$A$46=U$6))=0,0,SUMPRODUCT(('IGU(2020)_LNG_TRADE'!$C$3:$V$3=$A20)*('IGU(2020)_LNG_TRADE'!$A$5:$A$46=U$6)*'IGU(2020)_LNG_TRADE'!$C$5:$V$46)*10^6*Legend!$B$92*Legend!$B$82*Legend!$B$84*10^-3)</f>
        <v>0</v>
      </c>
      <c r="V20" s="209" cm="1">
        <f t="array" ref="V20">IF(SUMPRODUCT(('IGU(2020)_LNG_TRADE'!$C$3:$V$3=$A20)*('IGU(2020)_LNG_TRADE'!$A$5:$A$46=V$6))=0,0,SUMPRODUCT(('IGU(2020)_LNG_TRADE'!$C$3:$V$3=$A20)*('IGU(2020)_LNG_TRADE'!$A$5:$A$46=V$6)*'IGU(2020)_LNG_TRADE'!$C$5:$V$46)*10^6*Legend!$B$92*Legend!$B$82*Legend!$B$84*10^-3)</f>
        <v>11262.631399999997</v>
      </c>
      <c r="W20" s="209" cm="1">
        <f t="array" ref="W20">IF(SUMPRODUCT(('IGU(2020)_LNG_TRADE'!$C$3:$V$3=$A20)*('IGU(2020)_LNG_TRADE'!$A$5:$A$46=W$6))=0,0,SUMPRODUCT(('IGU(2020)_LNG_TRADE'!$C$3:$V$3=$A20)*('IGU(2020)_LNG_TRADE'!$A$5:$A$46=W$6)*'IGU(2020)_LNG_TRADE'!$C$5:$V$46)*10^6*Legend!$B$92*Legend!$B$82*Legend!$B$84*10^-3)</f>
        <v>5631.3156999999983</v>
      </c>
      <c r="X20" s="209" cm="1">
        <f t="array" ref="X20">IF(SUMPRODUCT(('IGU(2020)_LNG_TRADE'!$C$3:$V$3=$A20)*('IGU(2020)_LNG_TRADE'!$A$5:$A$46=X$6))=0,0,SUMPRODUCT(('IGU(2020)_LNG_TRADE'!$C$3:$V$3=$A20)*('IGU(2020)_LNG_TRADE'!$A$5:$A$46=X$6)*'IGU(2020)_LNG_TRADE'!$C$5:$V$46)*10^6*Legend!$B$92*Legend!$B$82*Legend!$B$84*10^-3)</f>
        <v>0</v>
      </c>
      <c r="Y20" s="209" cm="1">
        <f t="array" ref="Y20">IF(SUMPRODUCT(('IGU(2020)_LNG_TRADE'!$C$3:$V$3=$A20)*('IGU(2020)_LNG_TRADE'!$A$5:$A$46=Y$6))=0,0,SUMPRODUCT(('IGU(2020)_LNG_TRADE'!$C$3:$V$3=$A20)*('IGU(2020)_LNG_TRADE'!$A$5:$A$46=Y$6)*'IGU(2020)_LNG_TRADE'!$C$5:$V$46)*10^6*Legend!$B$92*Legend!$B$82*Legend!$B$84*10^-3)</f>
        <v>0</v>
      </c>
      <c r="Z20" s="209" cm="1">
        <f t="array" ref="Z20">IF(SUMPRODUCT(('IGU(2020)_LNG_TRADE'!$C$3:$V$3=$A20)*('IGU(2020)_LNG_TRADE'!$A$5:$A$46=Z$6))=0,0,SUMPRODUCT(('IGU(2020)_LNG_TRADE'!$C$3:$V$3=$A20)*('IGU(2020)_LNG_TRADE'!$A$5:$A$46=Z$6)*'IGU(2020)_LNG_TRADE'!$C$5:$V$46)*10^6*Legend!$B$92*Legend!$B$82*Legend!$B$84*10^-3)</f>
        <v>0</v>
      </c>
      <c r="AA20" s="209" cm="1">
        <f t="array" ref="AA20">IF(SUMPRODUCT(('IGU(2020)_LNG_TRADE'!$C$3:$V$3=$A20)*('IGU(2020)_LNG_TRADE'!$A$5:$A$46=AA$6))=0,0,SUMPRODUCT(('IGU(2020)_LNG_TRADE'!$C$3:$V$3=$A20)*('IGU(2020)_LNG_TRADE'!$A$5:$A$46=AA$6)*'IGU(2020)_LNG_TRADE'!$C$5:$V$46)*10^6*Legend!$B$92*Legend!$B$82*Legend!$B$84*10^-3)</f>
        <v>0</v>
      </c>
      <c r="AB20" s="209" cm="1">
        <f t="array" ref="AB20">IF(SUMPRODUCT(('IGU(2020)_LNG_TRADE'!$C$3:$V$3=$A20)*('IGU(2020)_LNG_TRADE'!$A$5:$A$46=AB$6))=0,0,SUMPRODUCT(('IGU(2020)_LNG_TRADE'!$C$3:$V$3=$A20)*('IGU(2020)_LNG_TRADE'!$A$5:$A$46=AB$6)*'IGU(2020)_LNG_TRADE'!$C$5:$V$46)*10^6*Legend!$B$92*Legend!$B$82*Legend!$B$84*10^-3)</f>
        <v>0</v>
      </c>
      <c r="AC20" s="220" cm="1">
        <f t="array" ref="AC20">IF(SUMPRODUCT(('IGU(2020)_LNG_TRADE'!$C$3:$V$3=$A20)*('IGU(2020)_LNG_TRADE'!$A$5:$A$46=AC$6))=0,0,SUMPRODUCT(('IGU(2020)_LNG_TRADE'!$C$3:$V$3=$A20)*('IGU(2020)_LNG_TRADE'!$A$5:$A$46=AC$6)*'IGU(2020)_LNG_TRADE'!$C$5:$V$46)*10^6*Legend!$B$92*Legend!$B$82*Legend!$B$84*10^-3)</f>
        <v>0</v>
      </c>
    </row>
    <row r="21" spans="1:29">
      <c r="A21" s="215" t="s">
        <v>211</v>
      </c>
      <c r="B21" s="209" cm="1">
        <f t="array" ref="B21">IF(SUMPRODUCT(('IGU(2020)_LNG_TRADE'!$C$3:$V$3=$A21)*('IGU(2020)_LNG_TRADE'!$A$5:$A$46=B$6))=0,0,SUMPRODUCT(('IGU(2020)_LNG_TRADE'!$C$3:$V$3=$A21)*('IGU(2020)_LNG_TRADE'!$A$5:$A$46=B$6)*'IGU(2020)_LNG_TRADE'!$C$5:$V$46)*10^6*Legend!$B$92*Legend!$B$82*Legend!$B$84*10^-3)</f>
        <v>0</v>
      </c>
      <c r="C21" s="209" cm="1">
        <f t="array" ref="C21">IF(SUMPRODUCT(('IGU(2020)_LNG_TRADE'!$C$3:$V$3=$A21)*('IGU(2020)_LNG_TRADE'!$A$5:$A$46=C$6))=0,0,SUMPRODUCT(('IGU(2020)_LNG_TRADE'!$C$3:$V$3=$A21)*('IGU(2020)_LNG_TRADE'!$A$5:$A$46=C$6)*'IGU(2020)_LNG_TRADE'!$C$5:$V$46)*10^6*Legend!$B$92*Legend!$B$82*Legend!$B$84*10^-3)</f>
        <v>0</v>
      </c>
      <c r="D21" s="209" cm="1">
        <f t="array" ref="D21">IF(SUMPRODUCT(('IGU(2020)_LNG_TRADE'!$C$3:$V$3=$A21)*('IGU(2020)_LNG_TRADE'!$A$5:$A$46=D$6))=0,0,SUMPRODUCT(('IGU(2020)_LNG_TRADE'!$C$3:$V$3=$A21)*('IGU(2020)_LNG_TRADE'!$A$5:$A$46=D$6)*'IGU(2020)_LNG_TRADE'!$C$5:$V$46)*10^6*Legend!$B$92*Legend!$B$82*Legend!$B$84*10^-3)</f>
        <v>0</v>
      </c>
      <c r="E21" s="209" cm="1">
        <f t="array" ref="E21">IF(SUMPRODUCT(('IGU(2020)_LNG_TRADE'!$C$3:$V$3=$A21)*('IGU(2020)_LNG_TRADE'!$A$5:$A$46=E$6))=0,0,SUMPRODUCT(('IGU(2020)_LNG_TRADE'!$C$3:$V$3=$A21)*('IGU(2020)_LNG_TRADE'!$A$5:$A$46=E$6)*'IGU(2020)_LNG_TRADE'!$C$5:$V$46)*10^6*Legend!$B$92*Legend!$B$82*Legend!$B$84*10^-3)</f>
        <v>0</v>
      </c>
      <c r="F21" s="209" cm="1">
        <f t="array" ref="F21">IF(SUMPRODUCT(('IGU(2020)_LNG_TRADE'!$C$3:$V$3=$A21)*('IGU(2020)_LNG_TRADE'!$A$5:$A$46=F$6))=0,0,SUMPRODUCT(('IGU(2020)_LNG_TRADE'!$C$3:$V$3=$A21)*('IGU(2020)_LNG_TRADE'!$A$5:$A$46=F$6)*'IGU(2020)_LNG_TRADE'!$C$5:$V$46)*10^6*Legend!$B$92*Legend!$B$82*Legend!$B$84*10^-3)</f>
        <v>0</v>
      </c>
      <c r="G21" s="209" cm="1">
        <f t="array" ref="G21">IF(SUMPRODUCT(('IGU(2020)_LNG_TRADE'!$C$3:$V$3=$A21)*('IGU(2020)_LNG_TRADE'!$A$5:$A$46=G$6))=0,0,SUMPRODUCT(('IGU(2020)_LNG_TRADE'!$C$3:$V$3=$A21)*('IGU(2020)_LNG_TRADE'!$A$5:$A$46=G$6)*'IGU(2020)_LNG_TRADE'!$C$5:$V$46)*10^6*Legend!$B$92*Legend!$B$82*Legend!$B$84*10^-3)</f>
        <v>0</v>
      </c>
      <c r="H21" s="209" cm="1">
        <f t="array" ref="H21">IF(SUMPRODUCT(('IGU(2020)_LNG_TRADE'!$C$3:$V$3=$A21)*('IGU(2020)_LNG_TRADE'!$A$5:$A$46=H$6))=0,0,SUMPRODUCT(('IGU(2020)_LNG_TRADE'!$C$3:$V$3=$A21)*('IGU(2020)_LNG_TRADE'!$A$5:$A$46=H$6)*'IGU(2020)_LNG_TRADE'!$C$5:$V$46)*10^6*Legend!$B$92*Legend!$B$82*Legend!$B$84*10^-3)</f>
        <v>0</v>
      </c>
      <c r="I21" s="209" cm="1">
        <f t="array" ref="I21">IF(SUMPRODUCT(('IGU(2020)_LNG_TRADE'!$C$3:$V$3=$A21)*('IGU(2020)_LNG_TRADE'!$A$5:$A$46=I$6))=0,0,SUMPRODUCT(('IGU(2020)_LNG_TRADE'!$C$3:$V$3=$A21)*('IGU(2020)_LNG_TRADE'!$A$5:$A$46=I$6)*'IGU(2020)_LNG_TRADE'!$C$5:$V$46)*10^6*Legend!$B$92*Legend!$B$82*Legend!$B$84*10^-3)</f>
        <v>0</v>
      </c>
      <c r="J21" s="209" cm="1">
        <f t="array" ref="J21">IF(SUMPRODUCT(('IGU(2020)_LNG_TRADE'!$C$3:$V$3=$A21)*('IGU(2020)_LNG_TRADE'!$A$5:$A$46=J$6))=0,0,SUMPRODUCT(('IGU(2020)_LNG_TRADE'!$C$3:$V$3=$A21)*('IGU(2020)_LNG_TRADE'!$A$5:$A$46=J$6)*'IGU(2020)_LNG_TRADE'!$C$5:$V$46)*10^6*Legend!$B$92*Legend!$B$82*Legend!$B$84*10^-3)</f>
        <v>0</v>
      </c>
      <c r="K21" s="209" cm="1">
        <f t="array" ref="K21">IF(SUMPRODUCT(('IGU(2020)_LNG_TRADE'!$C$3:$V$3=$A21)*('IGU(2020)_LNG_TRADE'!$A$5:$A$46=K$6))=0,0,SUMPRODUCT(('IGU(2020)_LNG_TRADE'!$C$3:$V$3=$A21)*('IGU(2020)_LNG_TRADE'!$A$5:$A$46=K$6)*'IGU(2020)_LNG_TRADE'!$C$5:$V$46)*10^6*Legend!$B$92*Legend!$B$82*Legend!$B$84*10^-3)</f>
        <v>0</v>
      </c>
      <c r="L21" s="209" cm="1">
        <f t="array" ref="L21">IF(SUMPRODUCT(('IGU(2020)_LNG_TRADE'!$C$3:$V$3=$A21)*('IGU(2020)_LNG_TRADE'!$A$5:$A$46=L$6))=0,0,SUMPRODUCT(('IGU(2020)_LNG_TRADE'!$C$3:$V$3=$A21)*('IGU(2020)_LNG_TRADE'!$A$5:$A$46=L$6)*'IGU(2020)_LNG_TRADE'!$C$5:$V$46)*10^6*Legend!$B$92*Legend!$B$82*Legend!$B$84*10^-3)</f>
        <v>0</v>
      </c>
      <c r="M21" s="209" cm="1">
        <f t="array" ref="M21">IF(SUMPRODUCT(('IGU(2020)_LNG_TRADE'!$C$3:$V$3=$A21)*('IGU(2020)_LNG_TRADE'!$A$5:$A$46=M$6))=0,0,SUMPRODUCT(('IGU(2020)_LNG_TRADE'!$C$3:$V$3=$A21)*('IGU(2020)_LNG_TRADE'!$A$5:$A$46=M$6)*'IGU(2020)_LNG_TRADE'!$C$5:$V$46)*10^6*Legend!$B$92*Legend!$B$82*Legend!$B$84*10^-3)</f>
        <v>0</v>
      </c>
      <c r="N21" s="209" cm="1">
        <f t="array" ref="N21">IF(SUMPRODUCT(('IGU(2020)_LNG_TRADE'!$C$3:$V$3=$A21)*('IGU(2020)_LNG_TRADE'!$A$5:$A$46=N$6))=0,0,SUMPRODUCT(('IGU(2020)_LNG_TRADE'!$C$3:$V$3=$A21)*('IGU(2020)_LNG_TRADE'!$A$5:$A$46=N$6)*'IGU(2020)_LNG_TRADE'!$C$5:$V$46)*10^6*Legend!$B$92*Legend!$B$82*Legend!$B$84*10^-3)</f>
        <v>0</v>
      </c>
      <c r="O21" s="209" cm="1">
        <f t="array" ref="O21">IF(SUMPRODUCT(('IGU(2020)_LNG_TRADE'!$C$3:$V$3=$A21)*('IGU(2020)_LNG_TRADE'!$A$5:$A$46=O$6))=0,0,SUMPRODUCT(('IGU(2020)_LNG_TRADE'!$C$3:$V$3=$A21)*('IGU(2020)_LNG_TRADE'!$A$5:$A$46=O$6)*'IGU(2020)_LNG_TRADE'!$C$5:$V$46)*10^6*Legend!$B$92*Legend!$B$82*Legend!$B$84*10^-3)</f>
        <v>0</v>
      </c>
      <c r="P21" s="209" cm="1">
        <f t="array" ref="P21">IF(SUMPRODUCT(('IGU(2020)_LNG_TRADE'!$C$3:$V$3=$A21)*('IGU(2020)_LNG_TRADE'!$A$5:$A$46=P$6))=0,0,SUMPRODUCT(('IGU(2020)_LNG_TRADE'!$C$3:$V$3=$A21)*('IGU(2020)_LNG_TRADE'!$A$5:$A$46=P$6)*'IGU(2020)_LNG_TRADE'!$C$5:$V$46)*10^6*Legend!$B$92*Legend!$B$82*Legend!$B$84*10^-3)</f>
        <v>0</v>
      </c>
      <c r="Q21" s="209" cm="1">
        <f t="array" ref="Q21">IF(SUMPRODUCT(('IGU(2020)_LNG_TRADE'!$C$3:$V$3=$A21)*('IGU(2020)_LNG_TRADE'!$A$5:$A$46=Q$6))=0,0,SUMPRODUCT(('IGU(2020)_LNG_TRADE'!$C$3:$V$3=$A21)*('IGU(2020)_LNG_TRADE'!$A$5:$A$46=Q$6)*'IGU(2020)_LNG_TRADE'!$C$5:$V$46)*10^6*Legend!$B$92*Legend!$B$82*Legend!$B$84*10^-3)</f>
        <v>0</v>
      </c>
      <c r="R21" s="209" cm="1">
        <f t="array" ref="R21">IF(SUMPRODUCT(('IGU(2020)_LNG_TRADE'!$C$3:$V$3=$A21)*('IGU(2020)_LNG_TRADE'!$A$5:$A$46=R$6))=0,0,SUMPRODUCT(('IGU(2020)_LNG_TRADE'!$C$3:$V$3=$A21)*('IGU(2020)_LNG_TRADE'!$A$5:$A$46=R$6)*'IGU(2020)_LNG_TRADE'!$C$5:$V$46)*10^6*Legend!$B$92*Legend!$B$82*Legend!$B$84*10^-3)</f>
        <v>0</v>
      </c>
      <c r="S21" s="209" cm="1">
        <f t="array" ref="S21">IF(SUMPRODUCT(('IGU(2020)_LNG_TRADE'!$C$3:$V$3=$A21)*('IGU(2020)_LNG_TRADE'!$A$5:$A$46=S$6))=0,0,SUMPRODUCT(('IGU(2020)_LNG_TRADE'!$C$3:$V$3=$A21)*('IGU(2020)_LNG_TRADE'!$A$5:$A$46=S$6)*'IGU(2020)_LNG_TRADE'!$C$5:$V$46)*10^6*Legend!$B$92*Legend!$B$82*Legend!$B$84*10^-3)</f>
        <v>0</v>
      </c>
      <c r="T21" s="209" cm="1">
        <f t="array" ref="T21">IF(SUMPRODUCT(('IGU(2020)_LNG_TRADE'!$C$3:$V$3=$A21)*('IGU(2020)_LNG_TRADE'!$A$5:$A$46=T$6))=0,0,SUMPRODUCT(('IGU(2020)_LNG_TRADE'!$C$3:$V$3=$A21)*('IGU(2020)_LNG_TRADE'!$A$5:$A$46=T$6)*'IGU(2020)_LNG_TRADE'!$C$5:$V$46)*10^6*Legend!$B$92*Legend!$B$82*Legend!$B$84*10^-3)</f>
        <v>0</v>
      </c>
      <c r="U21" s="209" cm="1">
        <f t="array" ref="U21">IF(SUMPRODUCT(('IGU(2020)_LNG_TRADE'!$C$3:$V$3=$A21)*('IGU(2020)_LNG_TRADE'!$A$5:$A$46=U$6))=0,0,SUMPRODUCT(('IGU(2020)_LNG_TRADE'!$C$3:$V$3=$A21)*('IGU(2020)_LNG_TRADE'!$A$5:$A$46=U$6)*'IGU(2020)_LNG_TRADE'!$C$5:$V$46)*10^6*Legend!$B$92*Legend!$B$82*Legend!$B$84*10^-3)</f>
        <v>0</v>
      </c>
      <c r="V21" s="209" cm="1">
        <f t="array" ref="V21">IF(SUMPRODUCT(('IGU(2020)_LNG_TRADE'!$C$3:$V$3=$A21)*('IGU(2020)_LNG_TRADE'!$A$5:$A$46=V$6))=0,0,SUMPRODUCT(('IGU(2020)_LNG_TRADE'!$C$3:$V$3=$A21)*('IGU(2020)_LNG_TRADE'!$A$5:$A$46=V$6)*'IGU(2020)_LNG_TRADE'!$C$5:$V$46)*10^6*Legend!$B$92*Legend!$B$82*Legend!$B$84*10^-3)</f>
        <v>0</v>
      </c>
      <c r="W21" s="209" cm="1">
        <f t="array" ref="W21">IF(SUMPRODUCT(('IGU(2020)_LNG_TRADE'!$C$3:$V$3=$A21)*('IGU(2020)_LNG_TRADE'!$A$5:$A$46=W$6))=0,0,SUMPRODUCT(('IGU(2020)_LNG_TRADE'!$C$3:$V$3=$A21)*('IGU(2020)_LNG_TRADE'!$A$5:$A$46=W$6)*'IGU(2020)_LNG_TRADE'!$C$5:$V$46)*10^6*Legend!$B$92*Legend!$B$82*Legend!$B$84*10^-3)</f>
        <v>0</v>
      </c>
      <c r="X21" s="209" cm="1">
        <f t="array" ref="X21">IF(SUMPRODUCT(('IGU(2020)_LNG_TRADE'!$C$3:$V$3=$A21)*('IGU(2020)_LNG_TRADE'!$A$5:$A$46=X$6))=0,0,SUMPRODUCT(('IGU(2020)_LNG_TRADE'!$C$3:$V$3=$A21)*('IGU(2020)_LNG_TRADE'!$A$5:$A$46=X$6)*'IGU(2020)_LNG_TRADE'!$C$5:$V$46)*10^6*Legend!$B$92*Legend!$B$82*Legend!$B$84*10^-3)</f>
        <v>0</v>
      </c>
      <c r="Y21" s="209" cm="1">
        <f t="array" ref="Y21">IF(SUMPRODUCT(('IGU(2020)_LNG_TRADE'!$C$3:$V$3=$A21)*('IGU(2020)_LNG_TRADE'!$A$5:$A$46=Y$6))=0,0,SUMPRODUCT(('IGU(2020)_LNG_TRADE'!$C$3:$V$3=$A21)*('IGU(2020)_LNG_TRADE'!$A$5:$A$46=Y$6)*'IGU(2020)_LNG_TRADE'!$C$5:$V$46)*10^6*Legend!$B$92*Legend!$B$82*Legend!$B$84*10^-3)</f>
        <v>0</v>
      </c>
      <c r="Z21" s="209" cm="1">
        <f t="array" ref="Z21">IF(SUMPRODUCT(('IGU(2020)_LNG_TRADE'!$C$3:$V$3=$A21)*('IGU(2020)_LNG_TRADE'!$A$5:$A$46=Z$6))=0,0,SUMPRODUCT(('IGU(2020)_LNG_TRADE'!$C$3:$V$3=$A21)*('IGU(2020)_LNG_TRADE'!$A$5:$A$46=Z$6)*'IGU(2020)_LNG_TRADE'!$C$5:$V$46)*10^6*Legend!$B$92*Legend!$B$82*Legend!$B$84*10^-3)</f>
        <v>0</v>
      </c>
      <c r="AA21" s="209" cm="1">
        <f t="array" ref="AA21">IF(SUMPRODUCT(('IGU(2020)_LNG_TRADE'!$C$3:$V$3=$A21)*('IGU(2020)_LNG_TRADE'!$A$5:$A$46=AA$6))=0,0,SUMPRODUCT(('IGU(2020)_LNG_TRADE'!$C$3:$V$3=$A21)*('IGU(2020)_LNG_TRADE'!$A$5:$A$46=AA$6)*'IGU(2020)_LNG_TRADE'!$C$5:$V$46)*10^6*Legend!$B$92*Legend!$B$82*Legend!$B$84*10^-3)</f>
        <v>0</v>
      </c>
      <c r="AB21" s="209" cm="1">
        <f t="array" ref="AB21">IF(SUMPRODUCT(('IGU(2020)_LNG_TRADE'!$C$3:$V$3=$A21)*('IGU(2020)_LNG_TRADE'!$A$5:$A$46=AB$6))=0,0,SUMPRODUCT(('IGU(2020)_LNG_TRADE'!$C$3:$V$3=$A21)*('IGU(2020)_LNG_TRADE'!$A$5:$A$46=AB$6)*'IGU(2020)_LNG_TRADE'!$C$5:$V$46)*10^6*Legend!$B$92*Legend!$B$82*Legend!$B$84*10^-3)</f>
        <v>0</v>
      </c>
      <c r="AC21" s="220" cm="1">
        <f t="array" ref="AC21">IF(SUMPRODUCT(('IGU(2020)_LNG_TRADE'!$C$3:$V$3=$A21)*('IGU(2020)_LNG_TRADE'!$A$5:$A$46=AC$6))=0,0,SUMPRODUCT(('IGU(2020)_LNG_TRADE'!$C$3:$V$3=$A21)*('IGU(2020)_LNG_TRADE'!$A$5:$A$46=AC$6)*'IGU(2020)_LNG_TRADE'!$C$5:$V$46)*10^6*Legend!$B$92*Legend!$B$82*Legend!$B$84*10^-3)</f>
        <v>0</v>
      </c>
    </row>
    <row r="22" spans="1:29">
      <c r="A22" s="215" t="s">
        <v>214</v>
      </c>
      <c r="B22" s="209" cm="1">
        <f t="array" ref="B22">IF(SUMPRODUCT(('IGU(2020)_LNG_TRADE'!$C$3:$V$3=$A22)*('IGU(2020)_LNG_TRADE'!$A$5:$A$46=B$6))=0,0,SUMPRODUCT(('IGU(2020)_LNG_TRADE'!$C$3:$V$3=$A22)*('IGU(2020)_LNG_TRADE'!$A$5:$A$46=B$6)*'IGU(2020)_LNG_TRADE'!$C$5:$V$46)*10^6*Legend!$B$92*Legend!$B$82*Legend!$B$84*10^-3)</f>
        <v>0</v>
      </c>
      <c r="C22" s="209" cm="1">
        <f t="array" ref="C22">IF(SUMPRODUCT(('IGU(2020)_LNG_TRADE'!$C$3:$V$3=$A22)*('IGU(2020)_LNG_TRADE'!$A$5:$A$46=C$6))=0,0,SUMPRODUCT(('IGU(2020)_LNG_TRADE'!$C$3:$V$3=$A22)*('IGU(2020)_LNG_TRADE'!$A$5:$A$46=C$6)*'IGU(2020)_LNG_TRADE'!$C$5:$V$46)*10^6*Legend!$B$92*Legend!$B$82*Legend!$B$84*10^-3)</f>
        <v>0</v>
      </c>
      <c r="D22" s="209" cm="1">
        <f t="array" ref="D22">IF(SUMPRODUCT(('IGU(2020)_LNG_TRADE'!$C$3:$V$3=$A22)*('IGU(2020)_LNG_TRADE'!$A$5:$A$46=D$6))=0,0,SUMPRODUCT(('IGU(2020)_LNG_TRADE'!$C$3:$V$3=$A22)*('IGU(2020)_LNG_TRADE'!$A$5:$A$46=D$6)*'IGU(2020)_LNG_TRADE'!$C$5:$V$46)*10^6*Legend!$B$92*Legend!$B$82*Legend!$B$84*10^-3)</f>
        <v>0</v>
      </c>
      <c r="E22" s="209" cm="1">
        <f t="array" ref="E22">IF(SUMPRODUCT(('IGU(2020)_LNG_TRADE'!$C$3:$V$3=$A22)*('IGU(2020)_LNG_TRADE'!$A$5:$A$46=E$6))=0,0,SUMPRODUCT(('IGU(2020)_LNG_TRADE'!$C$3:$V$3=$A22)*('IGU(2020)_LNG_TRADE'!$A$5:$A$46=E$6)*'IGU(2020)_LNG_TRADE'!$C$5:$V$46)*10^6*Legend!$B$92*Legend!$B$82*Legend!$B$84*10^-3)</f>
        <v>0</v>
      </c>
      <c r="F22" s="209" cm="1">
        <f t="array" ref="F22">IF(SUMPRODUCT(('IGU(2020)_LNG_TRADE'!$C$3:$V$3=$A22)*('IGU(2020)_LNG_TRADE'!$A$5:$A$46=F$6))=0,0,SUMPRODUCT(('IGU(2020)_LNG_TRADE'!$C$3:$V$3=$A22)*('IGU(2020)_LNG_TRADE'!$A$5:$A$46=F$6)*'IGU(2020)_LNG_TRADE'!$C$5:$V$46)*10^6*Legend!$B$92*Legend!$B$82*Legend!$B$84*10^-3)</f>
        <v>0</v>
      </c>
      <c r="G22" s="209" cm="1">
        <f t="array" ref="G22">IF(SUMPRODUCT(('IGU(2020)_LNG_TRADE'!$C$3:$V$3=$A22)*('IGU(2020)_LNG_TRADE'!$A$5:$A$46=G$6))=0,0,SUMPRODUCT(('IGU(2020)_LNG_TRADE'!$C$3:$V$3=$A22)*('IGU(2020)_LNG_TRADE'!$A$5:$A$46=G$6)*'IGU(2020)_LNG_TRADE'!$C$5:$V$46)*10^6*Legend!$B$92*Legend!$B$82*Legend!$B$84*10^-3)</f>
        <v>0</v>
      </c>
      <c r="H22" s="209" cm="1">
        <f t="array" ref="H22">IF(SUMPRODUCT(('IGU(2020)_LNG_TRADE'!$C$3:$V$3=$A22)*('IGU(2020)_LNG_TRADE'!$A$5:$A$46=H$6))=0,0,SUMPRODUCT(('IGU(2020)_LNG_TRADE'!$C$3:$V$3=$A22)*('IGU(2020)_LNG_TRADE'!$A$5:$A$46=H$6)*'IGU(2020)_LNG_TRADE'!$C$5:$V$46)*10^6*Legend!$B$92*Legend!$B$82*Legend!$B$84*10^-3)</f>
        <v>0</v>
      </c>
      <c r="I22" s="209" cm="1">
        <f t="array" ref="I22">IF(SUMPRODUCT(('IGU(2020)_LNG_TRADE'!$C$3:$V$3=$A22)*('IGU(2020)_LNG_TRADE'!$A$5:$A$46=I$6))=0,0,SUMPRODUCT(('IGU(2020)_LNG_TRADE'!$C$3:$V$3=$A22)*('IGU(2020)_LNG_TRADE'!$A$5:$A$46=I$6)*'IGU(2020)_LNG_TRADE'!$C$5:$V$46)*10^6*Legend!$B$92*Legend!$B$82*Legend!$B$84*10^-3)</f>
        <v>0</v>
      </c>
      <c r="J22" s="209" cm="1">
        <f t="array" ref="J22">IF(SUMPRODUCT(('IGU(2020)_LNG_TRADE'!$C$3:$V$3=$A22)*('IGU(2020)_LNG_TRADE'!$A$5:$A$46=J$6))=0,0,SUMPRODUCT(('IGU(2020)_LNG_TRADE'!$C$3:$V$3=$A22)*('IGU(2020)_LNG_TRADE'!$A$5:$A$46=J$6)*'IGU(2020)_LNG_TRADE'!$C$5:$V$46)*10^6*Legend!$B$92*Legend!$B$82*Legend!$B$84*10^-3)</f>
        <v>0</v>
      </c>
      <c r="K22" s="209" cm="1">
        <f t="array" ref="K22">IF(SUMPRODUCT(('IGU(2020)_LNG_TRADE'!$C$3:$V$3=$A22)*('IGU(2020)_LNG_TRADE'!$A$5:$A$46=K$6))=0,0,SUMPRODUCT(('IGU(2020)_LNG_TRADE'!$C$3:$V$3=$A22)*('IGU(2020)_LNG_TRADE'!$A$5:$A$46=K$6)*'IGU(2020)_LNG_TRADE'!$C$5:$V$46)*10^6*Legend!$B$92*Legend!$B$82*Legend!$B$84*10^-3)</f>
        <v>0</v>
      </c>
      <c r="L22" s="209" cm="1">
        <f t="array" ref="L22">IF(SUMPRODUCT(('IGU(2020)_LNG_TRADE'!$C$3:$V$3=$A22)*('IGU(2020)_LNG_TRADE'!$A$5:$A$46=L$6))=0,0,SUMPRODUCT(('IGU(2020)_LNG_TRADE'!$C$3:$V$3=$A22)*('IGU(2020)_LNG_TRADE'!$A$5:$A$46=L$6)*'IGU(2020)_LNG_TRADE'!$C$5:$V$46)*10^6*Legend!$B$92*Legend!$B$82*Legend!$B$84*10^-3)</f>
        <v>0</v>
      </c>
      <c r="M22" s="209" cm="1">
        <f t="array" ref="M22">IF(SUMPRODUCT(('IGU(2020)_LNG_TRADE'!$C$3:$V$3=$A22)*('IGU(2020)_LNG_TRADE'!$A$5:$A$46=M$6))=0,0,SUMPRODUCT(('IGU(2020)_LNG_TRADE'!$C$3:$V$3=$A22)*('IGU(2020)_LNG_TRADE'!$A$5:$A$46=M$6)*'IGU(2020)_LNG_TRADE'!$C$5:$V$46)*10^6*Legend!$B$92*Legend!$B$82*Legend!$B$84*10^-3)</f>
        <v>0</v>
      </c>
      <c r="N22" s="209" cm="1">
        <f t="array" ref="N22">IF(SUMPRODUCT(('IGU(2020)_LNG_TRADE'!$C$3:$V$3=$A22)*('IGU(2020)_LNG_TRADE'!$A$5:$A$46=N$6))=0,0,SUMPRODUCT(('IGU(2020)_LNG_TRADE'!$C$3:$V$3=$A22)*('IGU(2020)_LNG_TRADE'!$A$5:$A$46=N$6)*'IGU(2020)_LNG_TRADE'!$C$5:$V$46)*10^6*Legend!$B$92*Legend!$B$82*Legend!$B$84*10^-3)</f>
        <v>0</v>
      </c>
      <c r="O22" s="209" cm="1">
        <f t="array" ref="O22">IF(SUMPRODUCT(('IGU(2020)_LNG_TRADE'!$C$3:$V$3=$A22)*('IGU(2020)_LNG_TRADE'!$A$5:$A$46=O$6))=0,0,SUMPRODUCT(('IGU(2020)_LNG_TRADE'!$C$3:$V$3=$A22)*('IGU(2020)_LNG_TRADE'!$A$5:$A$46=O$6)*'IGU(2020)_LNG_TRADE'!$C$5:$V$46)*10^6*Legend!$B$92*Legend!$B$82*Legend!$B$84*10^-3)</f>
        <v>0</v>
      </c>
      <c r="P22" s="209" cm="1">
        <f t="array" ref="P22">IF(SUMPRODUCT(('IGU(2020)_LNG_TRADE'!$C$3:$V$3=$A22)*('IGU(2020)_LNG_TRADE'!$A$5:$A$46=P$6))=0,0,SUMPRODUCT(('IGU(2020)_LNG_TRADE'!$C$3:$V$3=$A22)*('IGU(2020)_LNG_TRADE'!$A$5:$A$46=P$6)*'IGU(2020)_LNG_TRADE'!$C$5:$V$46)*10^6*Legend!$B$92*Legend!$B$82*Legend!$B$84*10^-3)</f>
        <v>0</v>
      </c>
      <c r="Q22" s="209" cm="1">
        <f t="array" ref="Q22">IF(SUMPRODUCT(('IGU(2020)_LNG_TRADE'!$C$3:$V$3=$A22)*('IGU(2020)_LNG_TRADE'!$A$5:$A$46=Q$6))=0,0,SUMPRODUCT(('IGU(2020)_LNG_TRADE'!$C$3:$V$3=$A22)*('IGU(2020)_LNG_TRADE'!$A$5:$A$46=Q$6)*'IGU(2020)_LNG_TRADE'!$C$5:$V$46)*10^6*Legend!$B$92*Legend!$B$82*Legend!$B$84*10^-3)</f>
        <v>0</v>
      </c>
      <c r="R22" s="209" cm="1">
        <f t="array" ref="R22">IF(SUMPRODUCT(('IGU(2020)_LNG_TRADE'!$C$3:$V$3=$A22)*('IGU(2020)_LNG_TRADE'!$A$5:$A$46=R$6))=0,0,SUMPRODUCT(('IGU(2020)_LNG_TRADE'!$C$3:$V$3=$A22)*('IGU(2020)_LNG_TRADE'!$A$5:$A$46=R$6)*'IGU(2020)_LNG_TRADE'!$C$5:$V$46)*10^6*Legend!$B$92*Legend!$B$82*Legend!$B$84*10^-3)</f>
        <v>0</v>
      </c>
      <c r="S22" s="209" cm="1">
        <f t="array" ref="S22">IF(SUMPRODUCT(('IGU(2020)_LNG_TRADE'!$C$3:$V$3=$A22)*('IGU(2020)_LNG_TRADE'!$A$5:$A$46=S$6))=0,0,SUMPRODUCT(('IGU(2020)_LNG_TRADE'!$C$3:$V$3=$A22)*('IGU(2020)_LNG_TRADE'!$A$5:$A$46=S$6)*'IGU(2020)_LNG_TRADE'!$C$5:$V$46)*10^6*Legend!$B$92*Legend!$B$82*Legend!$B$84*10^-3)</f>
        <v>0</v>
      </c>
      <c r="T22" s="209" cm="1">
        <f t="array" ref="T22">IF(SUMPRODUCT(('IGU(2020)_LNG_TRADE'!$C$3:$V$3=$A22)*('IGU(2020)_LNG_TRADE'!$A$5:$A$46=T$6))=0,0,SUMPRODUCT(('IGU(2020)_LNG_TRADE'!$C$3:$V$3=$A22)*('IGU(2020)_LNG_TRADE'!$A$5:$A$46=T$6)*'IGU(2020)_LNG_TRADE'!$C$5:$V$46)*10^6*Legend!$B$92*Legend!$B$82*Legend!$B$84*10^-3)</f>
        <v>0</v>
      </c>
      <c r="U22" s="209" cm="1">
        <f t="array" ref="U22">IF(SUMPRODUCT(('IGU(2020)_LNG_TRADE'!$C$3:$V$3=$A22)*('IGU(2020)_LNG_TRADE'!$A$5:$A$46=U$6))=0,0,SUMPRODUCT(('IGU(2020)_LNG_TRADE'!$C$3:$V$3=$A22)*('IGU(2020)_LNG_TRADE'!$A$5:$A$46=U$6)*'IGU(2020)_LNG_TRADE'!$C$5:$V$46)*10^6*Legend!$B$92*Legend!$B$82*Legend!$B$84*10^-3)</f>
        <v>0</v>
      </c>
      <c r="V22" s="209" cm="1">
        <f t="array" ref="V22">IF(SUMPRODUCT(('IGU(2020)_LNG_TRADE'!$C$3:$V$3=$A22)*('IGU(2020)_LNG_TRADE'!$A$5:$A$46=V$6))=0,0,SUMPRODUCT(('IGU(2020)_LNG_TRADE'!$C$3:$V$3=$A22)*('IGU(2020)_LNG_TRADE'!$A$5:$A$46=V$6)*'IGU(2020)_LNG_TRADE'!$C$5:$V$46)*10^6*Legend!$B$92*Legend!$B$82*Legend!$B$84*10^-3)</f>
        <v>0</v>
      </c>
      <c r="W22" s="209" cm="1">
        <f t="array" ref="W22">IF(SUMPRODUCT(('IGU(2020)_LNG_TRADE'!$C$3:$V$3=$A22)*('IGU(2020)_LNG_TRADE'!$A$5:$A$46=W$6))=0,0,SUMPRODUCT(('IGU(2020)_LNG_TRADE'!$C$3:$V$3=$A22)*('IGU(2020)_LNG_TRADE'!$A$5:$A$46=W$6)*'IGU(2020)_LNG_TRADE'!$C$5:$V$46)*10^6*Legend!$B$92*Legend!$B$82*Legend!$B$84*10^-3)</f>
        <v>0</v>
      </c>
      <c r="X22" s="209" cm="1">
        <f t="array" ref="X22">IF(SUMPRODUCT(('IGU(2020)_LNG_TRADE'!$C$3:$V$3=$A22)*('IGU(2020)_LNG_TRADE'!$A$5:$A$46=X$6))=0,0,SUMPRODUCT(('IGU(2020)_LNG_TRADE'!$C$3:$V$3=$A22)*('IGU(2020)_LNG_TRADE'!$A$5:$A$46=X$6)*'IGU(2020)_LNG_TRADE'!$C$5:$V$46)*10^6*Legend!$B$92*Legend!$B$82*Legend!$B$84*10^-3)</f>
        <v>0</v>
      </c>
      <c r="Y22" s="209" cm="1">
        <f t="array" ref="Y22">IF(SUMPRODUCT(('IGU(2020)_LNG_TRADE'!$C$3:$V$3=$A22)*('IGU(2020)_LNG_TRADE'!$A$5:$A$46=Y$6))=0,0,SUMPRODUCT(('IGU(2020)_LNG_TRADE'!$C$3:$V$3=$A22)*('IGU(2020)_LNG_TRADE'!$A$5:$A$46=Y$6)*'IGU(2020)_LNG_TRADE'!$C$5:$V$46)*10^6*Legend!$B$92*Legend!$B$82*Legend!$B$84*10^-3)</f>
        <v>0</v>
      </c>
      <c r="Z22" s="209" cm="1">
        <f t="array" ref="Z22">IF(SUMPRODUCT(('IGU(2020)_LNG_TRADE'!$C$3:$V$3=$A22)*('IGU(2020)_LNG_TRADE'!$A$5:$A$46=Z$6))=0,0,SUMPRODUCT(('IGU(2020)_LNG_TRADE'!$C$3:$V$3=$A22)*('IGU(2020)_LNG_TRADE'!$A$5:$A$46=Z$6)*'IGU(2020)_LNG_TRADE'!$C$5:$V$46)*10^6*Legend!$B$92*Legend!$B$82*Legend!$B$84*10^-3)</f>
        <v>0</v>
      </c>
      <c r="AA22" s="209" cm="1">
        <f t="array" ref="AA22">IF(SUMPRODUCT(('IGU(2020)_LNG_TRADE'!$C$3:$V$3=$A22)*('IGU(2020)_LNG_TRADE'!$A$5:$A$46=AA$6))=0,0,SUMPRODUCT(('IGU(2020)_LNG_TRADE'!$C$3:$V$3=$A22)*('IGU(2020)_LNG_TRADE'!$A$5:$A$46=AA$6)*'IGU(2020)_LNG_TRADE'!$C$5:$V$46)*10^6*Legend!$B$92*Legend!$B$82*Legend!$B$84*10^-3)</f>
        <v>0</v>
      </c>
      <c r="AB22" s="209" cm="1">
        <f t="array" ref="AB22">IF(SUMPRODUCT(('IGU(2020)_LNG_TRADE'!$C$3:$V$3=$A22)*('IGU(2020)_LNG_TRADE'!$A$5:$A$46=AB$6))=0,0,SUMPRODUCT(('IGU(2020)_LNG_TRADE'!$C$3:$V$3=$A22)*('IGU(2020)_LNG_TRADE'!$A$5:$A$46=AB$6)*'IGU(2020)_LNG_TRADE'!$C$5:$V$46)*10^6*Legend!$B$92*Legend!$B$82*Legend!$B$84*10^-3)</f>
        <v>0</v>
      </c>
      <c r="AC22" s="220" cm="1">
        <f t="array" ref="AC22">IF(SUMPRODUCT(('IGU(2020)_LNG_TRADE'!$C$3:$V$3=$A22)*('IGU(2020)_LNG_TRADE'!$A$5:$A$46=AC$6))=0,0,SUMPRODUCT(('IGU(2020)_LNG_TRADE'!$C$3:$V$3=$A22)*('IGU(2020)_LNG_TRADE'!$A$5:$A$46=AC$6)*'IGU(2020)_LNG_TRADE'!$C$5:$V$46)*10^6*Legend!$B$92*Legend!$B$82*Legend!$B$84*10^-3)</f>
        <v>0</v>
      </c>
    </row>
    <row r="23" spans="1:29">
      <c r="A23" s="215" t="s">
        <v>217</v>
      </c>
      <c r="B23" s="209" cm="1">
        <f t="array" ref="B23">IF(SUMPRODUCT(('IGU(2020)_LNG_TRADE'!$C$3:$V$3=$A23)*('IGU(2020)_LNG_TRADE'!$A$5:$A$46=B$6))=0,0,SUMPRODUCT(('IGU(2020)_LNG_TRADE'!$C$3:$V$3=$A23)*('IGU(2020)_LNG_TRADE'!$A$5:$A$46=B$6)*'IGU(2020)_LNG_TRADE'!$C$5:$V$46)*10^6*Legend!$B$92*Legend!$B$82*Legend!$B$84*10^-3)</f>
        <v>0</v>
      </c>
      <c r="C23" s="209" cm="1">
        <f t="array" ref="C23">IF(SUMPRODUCT(('IGU(2020)_LNG_TRADE'!$C$3:$V$3=$A23)*('IGU(2020)_LNG_TRADE'!$A$5:$A$46=C$6))=0,0,SUMPRODUCT(('IGU(2020)_LNG_TRADE'!$C$3:$V$3=$A23)*('IGU(2020)_LNG_TRADE'!$A$5:$A$46=C$6)*'IGU(2020)_LNG_TRADE'!$C$5:$V$46)*10^6*Legend!$B$92*Legend!$B$82*Legend!$B$84*10^-3)</f>
        <v>0</v>
      </c>
      <c r="D23" s="209" cm="1">
        <f t="array" ref="D23">IF(SUMPRODUCT(('IGU(2020)_LNG_TRADE'!$C$3:$V$3=$A23)*('IGU(2020)_LNG_TRADE'!$A$5:$A$46=D$6))=0,0,SUMPRODUCT(('IGU(2020)_LNG_TRADE'!$C$3:$V$3=$A23)*('IGU(2020)_LNG_TRADE'!$A$5:$A$46=D$6)*'IGU(2020)_LNG_TRADE'!$C$5:$V$46)*10^6*Legend!$B$92*Legend!$B$82*Legend!$B$84*10^-3)</f>
        <v>0</v>
      </c>
      <c r="E23" s="209" cm="1">
        <f t="array" ref="E23">IF(SUMPRODUCT(('IGU(2020)_LNG_TRADE'!$C$3:$V$3=$A23)*('IGU(2020)_LNG_TRADE'!$A$5:$A$46=E$6))=0,0,SUMPRODUCT(('IGU(2020)_LNG_TRADE'!$C$3:$V$3=$A23)*('IGU(2020)_LNG_TRADE'!$A$5:$A$46=E$6)*'IGU(2020)_LNG_TRADE'!$C$5:$V$46)*10^6*Legend!$B$92*Legend!$B$82*Legend!$B$84*10^-3)</f>
        <v>0</v>
      </c>
      <c r="F23" s="209" cm="1">
        <f t="array" ref="F23">IF(SUMPRODUCT(('IGU(2020)_LNG_TRADE'!$C$3:$V$3=$A23)*('IGU(2020)_LNG_TRADE'!$A$5:$A$46=F$6))=0,0,SUMPRODUCT(('IGU(2020)_LNG_TRADE'!$C$3:$V$3=$A23)*('IGU(2020)_LNG_TRADE'!$A$5:$A$46=F$6)*'IGU(2020)_LNG_TRADE'!$C$5:$V$46)*10^6*Legend!$B$92*Legend!$B$82*Legend!$B$84*10^-3)</f>
        <v>0</v>
      </c>
      <c r="G23" s="209" cm="1">
        <f t="array" ref="G23">IF(SUMPRODUCT(('IGU(2020)_LNG_TRADE'!$C$3:$V$3=$A23)*('IGU(2020)_LNG_TRADE'!$A$5:$A$46=G$6))=0,0,SUMPRODUCT(('IGU(2020)_LNG_TRADE'!$C$3:$V$3=$A23)*('IGU(2020)_LNG_TRADE'!$A$5:$A$46=G$6)*'IGU(2020)_LNG_TRADE'!$C$5:$V$46)*10^6*Legend!$B$92*Legend!$B$82*Legend!$B$84*10^-3)</f>
        <v>0</v>
      </c>
      <c r="H23" s="209" cm="1">
        <f t="array" ref="H23">IF(SUMPRODUCT(('IGU(2020)_LNG_TRADE'!$C$3:$V$3=$A23)*('IGU(2020)_LNG_TRADE'!$A$5:$A$46=H$6))=0,0,SUMPRODUCT(('IGU(2020)_LNG_TRADE'!$C$3:$V$3=$A23)*('IGU(2020)_LNG_TRADE'!$A$5:$A$46=H$6)*'IGU(2020)_LNG_TRADE'!$C$5:$V$46)*10^6*Legend!$B$92*Legend!$B$82*Legend!$B$84*10^-3)</f>
        <v>0</v>
      </c>
      <c r="I23" s="209" cm="1">
        <f t="array" ref="I23">IF(SUMPRODUCT(('IGU(2020)_LNG_TRADE'!$C$3:$V$3=$A23)*('IGU(2020)_LNG_TRADE'!$A$5:$A$46=I$6))=0,0,SUMPRODUCT(('IGU(2020)_LNG_TRADE'!$C$3:$V$3=$A23)*('IGU(2020)_LNG_TRADE'!$A$5:$A$46=I$6)*'IGU(2020)_LNG_TRADE'!$C$5:$V$46)*10^6*Legend!$B$92*Legend!$B$82*Legend!$B$84*10^-3)</f>
        <v>0</v>
      </c>
      <c r="J23" s="209" cm="1">
        <f t="array" ref="J23">IF(SUMPRODUCT(('IGU(2020)_LNG_TRADE'!$C$3:$V$3=$A23)*('IGU(2020)_LNG_TRADE'!$A$5:$A$46=J$6))=0,0,SUMPRODUCT(('IGU(2020)_LNG_TRADE'!$C$3:$V$3=$A23)*('IGU(2020)_LNG_TRADE'!$A$5:$A$46=J$6)*'IGU(2020)_LNG_TRADE'!$C$5:$V$46)*10^6*Legend!$B$92*Legend!$B$82*Legend!$B$84*10^-3)</f>
        <v>0</v>
      </c>
      <c r="K23" s="209" cm="1">
        <f t="array" ref="K23">IF(SUMPRODUCT(('IGU(2020)_LNG_TRADE'!$C$3:$V$3=$A23)*('IGU(2020)_LNG_TRADE'!$A$5:$A$46=K$6))=0,0,SUMPRODUCT(('IGU(2020)_LNG_TRADE'!$C$3:$V$3=$A23)*('IGU(2020)_LNG_TRADE'!$A$5:$A$46=K$6)*'IGU(2020)_LNG_TRADE'!$C$5:$V$46)*10^6*Legend!$B$92*Legend!$B$82*Legend!$B$84*10^-3)</f>
        <v>0</v>
      </c>
      <c r="L23" s="209" cm="1">
        <f t="array" ref="L23">IF(SUMPRODUCT(('IGU(2020)_LNG_TRADE'!$C$3:$V$3=$A23)*('IGU(2020)_LNG_TRADE'!$A$5:$A$46=L$6))=0,0,SUMPRODUCT(('IGU(2020)_LNG_TRADE'!$C$3:$V$3=$A23)*('IGU(2020)_LNG_TRADE'!$A$5:$A$46=L$6)*'IGU(2020)_LNG_TRADE'!$C$5:$V$46)*10^6*Legend!$B$92*Legend!$B$82*Legend!$B$84*10^-3)</f>
        <v>0</v>
      </c>
      <c r="M23" s="209" cm="1">
        <f t="array" ref="M23">IF(SUMPRODUCT(('IGU(2020)_LNG_TRADE'!$C$3:$V$3=$A23)*('IGU(2020)_LNG_TRADE'!$A$5:$A$46=M$6))=0,0,SUMPRODUCT(('IGU(2020)_LNG_TRADE'!$C$3:$V$3=$A23)*('IGU(2020)_LNG_TRADE'!$A$5:$A$46=M$6)*'IGU(2020)_LNG_TRADE'!$C$5:$V$46)*10^6*Legend!$B$92*Legend!$B$82*Legend!$B$84*10^-3)</f>
        <v>0</v>
      </c>
      <c r="N23" s="209" cm="1">
        <f t="array" ref="N23">IF(SUMPRODUCT(('IGU(2020)_LNG_TRADE'!$C$3:$V$3=$A23)*('IGU(2020)_LNG_TRADE'!$A$5:$A$46=N$6))=0,0,SUMPRODUCT(('IGU(2020)_LNG_TRADE'!$C$3:$V$3=$A23)*('IGU(2020)_LNG_TRADE'!$A$5:$A$46=N$6)*'IGU(2020)_LNG_TRADE'!$C$5:$V$46)*10^6*Legend!$B$92*Legend!$B$82*Legend!$B$84*10^-3)</f>
        <v>0</v>
      </c>
      <c r="O23" s="209" cm="1">
        <f t="array" ref="O23">IF(SUMPRODUCT(('IGU(2020)_LNG_TRADE'!$C$3:$V$3=$A23)*('IGU(2020)_LNG_TRADE'!$A$5:$A$46=O$6))=0,0,SUMPRODUCT(('IGU(2020)_LNG_TRADE'!$C$3:$V$3=$A23)*('IGU(2020)_LNG_TRADE'!$A$5:$A$46=O$6)*'IGU(2020)_LNG_TRADE'!$C$5:$V$46)*10^6*Legend!$B$92*Legend!$B$82*Legend!$B$84*10^-3)</f>
        <v>0</v>
      </c>
      <c r="P23" s="209" cm="1">
        <f t="array" ref="P23">IF(SUMPRODUCT(('IGU(2020)_LNG_TRADE'!$C$3:$V$3=$A23)*('IGU(2020)_LNG_TRADE'!$A$5:$A$46=P$6))=0,0,SUMPRODUCT(('IGU(2020)_LNG_TRADE'!$C$3:$V$3=$A23)*('IGU(2020)_LNG_TRADE'!$A$5:$A$46=P$6)*'IGU(2020)_LNG_TRADE'!$C$5:$V$46)*10^6*Legend!$B$92*Legend!$B$82*Legend!$B$84*10^-3)</f>
        <v>0</v>
      </c>
      <c r="Q23" s="209" cm="1">
        <f t="array" ref="Q23">IF(SUMPRODUCT(('IGU(2020)_LNG_TRADE'!$C$3:$V$3=$A23)*('IGU(2020)_LNG_TRADE'!$A$5:$A$46=Q$6))=0,0,SUMPRODUCT(('IGU(2020)_LNG_TRADE'!$C$3:$V$3=$A23)*('IGU(2020)_LNG_TRADE'!$A$5:$A$46=Q$6)*'IGU(2020)_LNG_TRADE'!$C$5:$V$46)*10^6*Legend!$B$92*Legend!$B$82*Legend!$B$84*10^-3)</f>
        <v>0</v>
      </c>
      <c r="R23" s="209" cm="1">
        <f t="array" ref="R23">IF(SUMPRODUCT(('IGU(2020)_LNG_TRADE'!$C$3:$V$3=$A23)*('IGU(2020)_LNG_TRADE'!$A$5:$A$46=R$6))=0,0,SUMPRODUCT(('IGU(2020)_LNG_TRADE'!$C$3:$V$3=$A23)*('IGU(2020)_LNG_TRADE'!$A$5:$A$46=R$6)*'IGU(2020)_LNG_TRADE'!$C$5:$V$46)*10^6*Legend!$B$92*Legend!$B$82*Legend!$B$84*10^-3)</f>
        <v>0</v>
      </c>
      <c r="S23" s="209" cm="1">
        <f t="array" ref="S23">IF(SUMPRODUCT(('IGU(2020)_LNG_TRADE'!$C$3:$V$3=$A23)*('IGU(2020)_LNG_TRADE'!$A$5:$A$46=S$6))=0,0,SUMPRODUCT(('IGU(2020)_LNG_TRADE'!$C$3:$V$3=$A23)*('IGU(2020)_LNG_TRADE'!$A$5:$A$46=S$6)*'IGU(2020)_LNG_TRADE'!$C$5:$V$46)*10^6*Legend!$B$92*Legend!$B$82*Legend!$B$84*10^-3)</f>
        <v>0</v>
      </c>
      <c r="T23" s="209" cm="1">
        <f t="array" ref="T23">IF(SUMPRODUCT(('IGU(2020)_LNG_TRADE'!$C$3:$V$3=$A23)*('IGU(2020)_LNG_TRADE'!$A$5:$A$46=T$6))=0,0,SUMPRODUCT(('IGU(2020)_LNG_TRADE'!$C$3:$V$3=$A23)*('IGU(2020)_LNG_TRADE'!$A$5:$A$46=T$6)*'IGU(2020)_LNG_TRADE'!$C$5:$V$46)*10^6*Legend!$B$92*Legend!$B$82*Legend!$B$84*10^-3)</f>
        <v>0</v>
      </c>
      <c r="U23" s="209" cm="1">
        <f t="array" ref="U23">IF(SUMPRODUCT(('IGU(2020)_LNG_TRADE'!$C$3:$V$3=$A23)*('IGU(2020)_LNG_TRADE'!$A$5:$A$46=U$6))=0,0,SUMPRODUCT(('IGU(2020)_LNG_TRADE'!$C$3:$V$3=$A23)*('IGU(2020)_LNG_TRADE'!$A$5:$A$46=U$6)*'IGU(2020)_LNG_TRADE'!$C$5:$V$46)*10^6*Legend!$B$92*Legend!$B$82*Legend!$B$84*10^-3)</f>
        <v>0</v>
      </c>
      <c r="V23" s="209" cm="1">
        <f t="array" ref="V23">IF(SUMPRODUCT(('IGU(2020)_LNG_TRADE'!$C$3:$V$3=$A23)*('IGU(2020)_LNG_TRADE'!$A$5:$A$46=V$6))=0,0,SUMPRODUCT(('IGU(2020)_LNG_TRADE'!$C$3:$V$3=$A23)*('IGU(2020)_LNG_TRADE'!$A$5:$A$46=V$6)*'IGU(2020)_LNG_TRADE'!$C$5:$V$46)*10^6*Legend!$B$92*Legend!$B$82*Legend!$B$84*10^-3)</f>
        <v>0</v>
      </c>
      <c r="W23" s="209" cm="1">
        <f t="array" ref="W23">IF(SUMPRODUCT(('IGU(2020)_LNG_TRADE'!$C$3:$V$3=$A23)*('IGU(2020)_LNG_TRADE'!$A$5:$A$46=W$6))=0,0,SUMPRODUCT(('IGU(2020)_LNG_TRADE'!$C$3:$V$3=$A23)*('IGU(2020)_LNG_TRADE'!$A$5:$A$46=W$6)*'IGU(2020)_LNG_TRADE'!$C$5:$V$46)*10^6*Legend!$B$92*Legend!$B$82*Legend!$B$84*10^-3)</f>
        <v>0</v>
      </c>
      <c r="X23" s="209" cm="1">
        <f t="array" ref="X23">IF(SUMPRODUCT(('IGU(2020)_LNG_TRADE'!$C$3:$V$3=$A23)*('IGU(2020)_LNG_TRADE'!$A$5:$A$46=X$6))=0,0,SUMPRODUCT(('IGU(2020)_LNG_TRADE'!$C$3:$V$3=$A23)*('IGU(2020)_LNG_TRADE'!$A$5:$A$46=X$6)*'IGU(2020)_LNG_TRADE'!$C$5:$V$46)*10^6*Legend!$B$92*Legend!$B$82*Legend!$B$84*10^-3)</f>
        <v>0</v>
      </c>
      <c r="Y23" s="209" cm="1">
        <f t="array" ref="Y23">IF(SUMPRODUCT(('IGU(2020)_LNG_TRADE'!$C$3:$V$3=$A23)*('IGU(2020)_LNG_TRADE'!$A$5:$A$46=Y$6))=0,0,SUMPRODUCT(('IGU(2020)_LNG_TRADE'!$C$3:$V$3=$A23)*('IGU(2020)_LNG_TRADE'!$A$5:$A$46=Y$6)*'IGU(2020)_LNG_TRADE'!$C$5:$V$46)*10^6*Legend!$B$92*Legend!$B$82*Legend!$B$84*10^-3)</f>
        <v>0</v>
      </c>
      <c r="Z23" s="209" cm="1">
        <f t="array" ref="Z23">IF(SUMPRODUCT(('IGU(2020)_LNG_TRADE'!$C$3:$V$3=$A23)*('IGU(2020)_LNG_TRADE'!$A$5:$A$46=Z$6))=0,0,SUMPRODUCT(('IGU(2020)_LNG_TRADE'!$C$3:$V$3=$A23)*('IGU(2020)_LNG_TRADE'!$A$5:$A$46=Z$6)*'IGU(2020)_LNG_TRADE'!$C$5:$V$46)*10^6*Legend!$B$92*Legend!$B$82*Legend!$B$84*10^-3)</f>
        <v>0</v>
      </c>
      <c r="AA23" s="209" cm="1">
        <f t="array" ref="AA23">IF(SUMPRODUCT(('IGU(2020)_LNG_TRADE'!$C$3:$V$3=$A23)*('IGU(2020)_LNG_TRADE'!$A$5:$A$46=AA$6))=0,0,SUMPRODUCT(('IGU(2020)_LNG_TRADE'!$C$3:$V$3=$A23)*('IGU(2020)_LNG_TRADE'!$A$5:$A$46=AA$6)*'IGU(2020)_LNG_TRADE'!$C$5:$V$46)*10^6*Legend!$B$92*Legend!$B$82*Legend!$B$84*10^-3)</f>
        <v>0</v>
      </c>
      <c r="AB23" s="209" cm="1">
        <f t="array" ref="AB23">IF(SUMPRODUCT(('IGU(2020)_LNG_TRADE'!$C$3:$V$3=$A23)*('IGU(2020)_LNG_TRADE'!$A$5:$A$46=AB$6))=0,0,SUMPRODUCT(('IGU(2020)_LNG_TRADE'!$C$3:$V$3=$A23)*('IGU(2020)_LNG_TRADE'!$A$5:$A$46=AB$6)*'IGU(2020)_LNG_TRADE'!$C$5:$V$46)*10^6*Legend!$B$92*Legend!$B$82*Legend!$B$84*10^-3)</f>
        <v>0</v>
      </c>
      <c r="AC23" s="220" cm="1">
        <f t="array" ref="AC23">IF(SUMPRODUCT(('IGU(2020)_LNG_TRADE'!$C$3:$V$3=$A23)*('IGU(2020)_LNG_TRADE'!$A$5:$A$46=AC$6))=0,0,SUMPRODUCT(('IGU(2020)_LNG_TRADE'!$C$3:$V$3=$A23)*('IGU(2020)_LNG_TRADE'!$A$5:$A$46=AC$6)*'IGU(2020)_LNG_TRADE'!$C$5:$V$46)*10^6*Legend!$B$92*Legend!$B$82*Legend!$B$84*10^-3)</f>
        <v>0</v>
      </c>
    </row>
    <row r="24" spans="1:29">
      <c r="A24" s="215" t="s">
        <v>220</v>
      </c>
      <c r="B24" s="209" cm="1">
        <f t="array" ref="B24">IF(SUMPRODUCT(('IGU(2020)_LNG_TRADE'!$C$3:$V$3=$A24)*('IGU(2020)_LNG_TRADE'!$A$5:$A$46=B$6))=0,0,SUMPRODUCT(('IGU(2020)_LNG_TRADE'!$C$3:$V$3=$A24)*('IGU(2020)_LNG_TRADE'!$A$5:$A$46=B$6)*'IGU(2020)_LNG_TRADE'!$C$5:$V$46)*10^6*Legend!$B$92*Legend!$B$82*Legend!$B$84*10^-3)</f>
        <v>0</v>
      </c>
      <c r="C24" s="209" cm="1">
        <f t="array" ref="C24">IF(SUMPRODUCT(('IGU(2020)_LNG_TRADE'!$C$3:$V$3=$A24)*('IGU(2020)_LNG_TRADE'!$A$5:$A$46=C$6))=0,0,SUMPRODUCT(('IGU(2020)_LNG_TRADE'!$C$3:$V$3=$A24)*('IGU(2020)_LNG_TRADE'!$A$5:$A$46=C$6)*'IGU(2020)_LNG_TRADE'!$C$5:$V$46)*10^6*Legend!$B$92*Legend!$B$82*Legend!$B$84*10^-3)</f>
        <v>0</v>
      </c>
      <c r="D24" s="209" cm="1">
        <f t="array" ref="D24">IF(SUMPRODUCT(('IGU(2020)_LNG_TRADE'!$C$3:$V$3=$A24)*('IGU(2020)_LNG_TRADE'!$A$5:$A$46=D$6))=0,0,SUMPRODUCT(('IGU(2020)_LNG_TRADE'!$C$3:$V$3=$A24)*('IGU(2020)_LNG_TRADE'!$A$5:$A$46=D$6)*'IGU(2020)_LNG_TRADE'!$C$5:$V$46)*10^6*Legend!$B$92*Legend!$B$82*Legend!$B$84*10^-3)</f>
        <v>0</v>
      </c>
      <c r="E24" s="209" cm="1">
        <f t="array" ref="E24">IF(SUMPRODUCT(('IGU(2020)_LNG_TRADE'!$C$3:$V$3=$A24)*('IGU(2020)_LNG_TRADE'!$A$5:$A$46=E$6))=0,0,SUMPRODUCT(('IGU(2020)_LNG_TRADE'!$C$3:$V$3=$A24)*('IGU(2020)_LNG_TRADE'!$A$5:$A$46=E$6)*'IGU(2020)_LNG_TRADE'!$C$5:$V$46)*10^6*Legend!$B$92*Legend!$B$82*Legend!$B$84*10^-3)</f>
        <v>0</v>
      </c>
      <c r="F24" s="209" cm="1">
        <f t="array" ref="F24">IF(SUMPRODUCT(('IGU(2020)_LNG_TRADE'!$C$3:$V$3=$A24)*('IGU(2020)_LNG_TRADE'!$A$5:$A$46=F$6))=0,0,SUMPRODUCT(('IGU(2020)_LNG_TRADE'!$C$3:$V$3=$A24)*('IGU(2020)_LNG_TRADE'!$A$5:$A$46=F$6)*'IGU(2020)_LNG_TRADE'!$C$5:$V$46)*10^6*Legend!$B$92*Legend!$B$82*Legend!$B$84*10^-3)</f>
        <v>0</v>
      </c>
      <c r="G24" s="209" cm="1">
        <f t="array" ref="G24">IF(SUMPRODUCT(('IGU(2020)_LNG_TRADE'!$C$3:$V$3=$A24)*('IGU(2020)_LNG_TRADE'!$A$5:$A$46=G$6))=0,0,SUMPRODUCT(('IGU(2020)_LNG_TRADE'!$C$3:$V$3=$A24)*('IGU(2020)_LNG_TRADE'!$A$5:$A$46=G$6)*'IGU(2020)_LNG_TRADE'!$C$5:$V$46)*10^6*Legend!$B$92*Legend!$B$82*Legend!$B$84*10^-3)</f>
        <v>0</v>
      </c>
      <c r="H24" s="209" cm="1">
        <f t="array" ref="H24">IF(SUMPRODUCT(('IGU(2020)_LNG_TRADE'!$C$3:$V$3=$A24)*('IGU(2020)_LNG_TRADE'!$A$5:$A$46=H$6))=0,0,SUMPRODUCT(('IGU(2020)_LNG_TRADE'!$C$3:$V$3=$A24)*('IGU(2020)_LNG_TRADE'!$A$5:$A$46=H$6)*'IGU(2020)_LNG_TRADE'!$C$5:$V$46)*10^6*Legend!$B$92*Legend!$B$82*Legend!$B$84*10^-3)</f>
        <v>22525.262799999993</v>
      </c>
      <c r="I24" s="209" cm="1">
        <f t="array" ref="I24">IF(SUMPRODUCT(('IGU(2020)_LNG_TRADE'!$C$3:$V$3=$A24)*('IGU(2020)_LNG_TRADE'!$A$5:$A$46=I$6))=0,0,SUMPRODUCT(('IGU(2020)_LNG_TRADE'!$C$3:$V$3=$A24)*('IGU(2020)_LNG_TRADE'!$A$5:$A$46=I$6)*'IGU(2020)_LNG_TRADE'!$C$5:$V$46)*10^6*Legend!$B$92*Legend!$B$82*Legend!$B$84*10^-3)</f>
        <v>5631.3156999999983</v>
      </c>
      <c r="J24" s="209" cm="1">
        <f t="array" ref="J24">IF(SUMPRODUCT(('IGU(2020)_LNG_TRADE'!$C$3:$V$3=$A24)*('IGU(2020)_LNG_TRADE'!$A$5:$A$46=J$6))=0,0,SUMPRODUCT(('IGU(2020)_LNG_TRADE'!$C$3:$V$3=$A24)*('IGU(2020)_LNG_TRADE'!$A$5:$A$46=J$6)*'IGU(2020)_LNG_TRADE'!$C$5:$V$46)*10^6*Legend!$B$92*Legend!$B$82*Legend!$B$84*10^-3)</f>
        <v>0</v>
      </c>
      <c r="K24" s="209" cm="1">
        <f t="array" ref="K24">IF(SUMPRODUCT(('IGU(2020)_LNG_TRADE'!$C$3:$V$3=$A24)*('IGU(2020)_LNG_TRADE'!$A$5:$A$46=K$6))=0,0,SUMPRODUCT(('IGU(2020)_LNG_TRADE'!$C$3:$V$3=$A24)*('IGU(2020)_LNG_TRADE'!$A$5:$A$46=K$6)*'IGU(2020)_LNG_TRADE'!$C$5:$V$46)*10^6*Legend!$B$92*Legend!$B$82*Legend!$B$84*10^-3)</f>
        <v>0</v>
      </c>
      <c r="L24" s="209" cm="1">
        <f t="array" ref="L24">IF(SUMPRODUCT(('IGU(2020)_LNG_TRADE'!$C$3:$V$3=$A24)*('IGU(2020)_LNG_TRADE'!$A$5:$A$46=L$6))=0,0,SUMPRODUCT(('IGU(2020)_LNG_TRADE'!$C$3:$V$3=$A24)*('IGU(2020)_LNG_TRADE'!$A$5:$A$46=L$6)*'IGU(2020)_LNG_TRADE'!$C$5:$V$46)*10^6*Legend!$B$92*Legend!$B$82*Legend!$B$84*10^-3)</f>
        <v>0</v>
      </c>
      <c r="M24" s="209" cm="1">
        <f t="array" ref="M24">IF(SUMPRODUCT(('IGU(2020)_LNG_TRADE'!$C$3:$V$3=$A24)*('IGU(2020)_LNG_TRADE'!$A$5:$A$46=M$6))=0,0,SUMPRODUCT(('IGU(2020)_LNG_TRADE'!$C$3:$V$3=$A24)*('IGU(2020)_LNG_TRADE'!$A$5:$A$46=M$6)*'IGU(2020)_LNG_TRADE'!$C$5:$V$46)*10^6*Legend!$B$92*Legend!$B$82*Legend!$B$84*10^-3)</f>
        <v>253409.20649999997</v>
      </c>
      <c r="N24" s="209" cm="1">
        <f t="array" ref="N24">IF(SUMPRODUCT(('IGU(2020)_LNG_TRADE'!$C$3:$V$3=$A24)*('IGU(2020)_LNG_TRADE'!$A$5:$A$46=N$6))=0,0,SUMPRODUCT(('IGU(2020)_LNG_TRADE'!$C$3:$V$3=$A24)*('IGU(2020)_LNG_TRADE'!$A$5:$A$46=N$6)*'IGU(2020)_LNG_TRADE'!$C$5:$V$46)*10^6*Legend!$B$92*Legend!$B$82*Legend!$B$84*10^-3)</f>
        <v>0</v>
      </c>
      <c r="O24" s="209" cm="1">
        <f t="array" ref="O24">IF(SUMPRODUCT(('IGU(2020)_LNG_TRADE'!$C$3:$V$3=$A24)*('IGU(2020)_LNG_TRADE'!$A$5:$A$46=O$6))=0,0,SUMPRODUCT(('IGU(2020)_LNG_TRADE'!$C$3:$V$3=$A24)*('IGU(2020)_LNG_TRADE'!$A$5:$A$46=O$6)*'IGU(2020)_LNG_TRADE'!$C$5:$V$46)*10^6*Legend!$B$92*Legend!$B$82*Legend!$B$84*10^-3)</f>
        <v>0</v>
      </c>
      <c r="P24" s="209" cm="1">
        <f t="array" ref="P24">IF(SUMPRODUCT(('IGU(2020)_LNG_TRADE'!$C$3:$V$3=$A24)*('IGU(2020)_LNG_TRADE'!$A$5:$A$46=P$6))=0,0,SUMPRODUCT(('IGU(2020)_LNG_TRADE'!$C$3:$V$3=$A24)*('IGU(2020)_LNG_TRADE'!$A$5:$A$46=P$6)*'IGU(2020)_LNG_TRADE'!$C$5:$V$46)*10^6*Legend!$B$92*Legend!$B$82*Legend!$B$84*10^-3)</f>
        <v>0</v>
      </c>
      <c r="Q24" s="209" cm="1">
        <f t="array" ref="Q24">IF(SUMPRODUCT(('IGU(2020)_LNG_TRADE'!$C$3:$V$3=$A24)*('IGU(2020)_LNG_TRADE'!$A$5:$A$46=Q$6))=0,0,SUMPRODUCT(('IGU(2020)_LNG_TRADE'!$C$3:$V$3=$A24)*('IGU(2020)_LNG_TRADE'!$A$5:$A$46=Q$6)*'IGU(2020)_LNG_TRADE'!$C$5:$V$46)*10^6*Legend!$B$92*Legend!$B$82*Legend!$B$84*10^-3)</f>
        <v>0</v>
      </c>
      <c r="R24" s="209" cm="1">
        <f t="array" ref="R24">IF(SUMPRODUCT(('IGU(2020)_LNG_TRADE'!$C$3:$V$3=$A24)*('IGU(2020)_LNG_TRADE'!$A$5:$A$46=R$6))=0,0,SUMPRODUCT(('IGU(2020)_LNG_TRADE'!$C$3:$V$3=$A24)*('IGU(2020)_LNG_TRADE'!$A$5:$A$46=R$6)*'IGU(2020)_LNG_TRADE'!$C$5:$V$46)*10^6*Legend!$B$92*Legend!$B$82*Legend!$B$84*10^-3)</f>
        <v>0</v>
      </c>
      <c r="S24" s="209" cm="1">
        <f t="array" ref="S24">IF(SUMPRODUCT(('IGU(2020)_LNG_TRADE'!$C$3:$V$3=$A24)*('IGU(2020)_LNG_TRADE'!$A$5:$A$46=S$6))=0,0,SUMPRODUCT(('IGU(2020)_LNG_TRADE'!$C$3:$V$3=$A24)*('IGU(2020)_LNG_TRADE'!$A$5:$A$46=S$6)*'IGU(2020)_LNG_TRADE'!$C$5:$V$46)*10^6*Legend!$B$92*Legend!$B$82*Legend!$B$84*10^-3)</f>
        <v>202727.36519999997</v>
      </c>
      <c r="T24" s="209" cm="1">
        <f t="array" ref="T24">IF(SUMPRODUCT(('IGU(2020)_LNG_TRADE'!$C$3:$V$3=$A24)*('IGU(2020)_LNG_TRADE'!$A$5:$A$46=T$6))=0,0,SUMPRODUCT(('IGU(2020)_LNG_TRADE'!$C$3:$V$3=$A24)*('IGU(2020)_LNG_TRADE'!$A$5:$A$46=T$6)*'IGU(2020)_LNG_TRADE'!$C$5:$V$46)*10^6*Legend!$B$92*Legend!$B$82*Legend!$B$84*10^-3)</f>
        <v>0</v>
      </c>
      <c r="U24" s="209" cm="1">
        <f t="array" ref="U24">IF(SUMPRODUCT(('IGU(2020)_LNG_TRADE'!$C$3:$V$3=$A24)*('IGU(2020)_LNG_TRADE'!$A$5:$A$46=U$6))=0,0,SUMPRODUCT(('IGU(2020)_LNG_TRADE'!$C$3:$V$3=$A24)*('IGU(2020)_LNG_TRADE'!$A$5:$A$46=U$6)*'IGU(2020)_LNG_TRADE'!$C$5:$V$46)*10^6*Legend!$B$92*Legend!$B$82*Legend!$B$84*10^-3)</f>
        <v>225252.628</v>
      </c>
      <c r="V24" s="209" cm="1">
        <f t="array" ref="V24">IF(SUMPRODUCT(('IGU(2020)_LNG_TRADE'!$C$3:$V$3=$A24)*('IGU(2020)_LNG_TRADE'!$A$5:$A$46=V$6))=0,0,SUMPRODUCT(('IGU(2020)_LNG_TRADE'!$C$3:$V$3=$A24)*('IGU(2020)_LNG_TRADE'!$A$5:$A$46=V$6)*'IGU(2020)_LNG_TRADE'!$C$5:$V$46)*10^6*Legend!$B$92*Legend!$B$82*Legend!$B$84*10^-3)</f>
        <v>0</v>
      </c>
      <c r="W24" s="209" cm="1">
        <f t="array" ref="W24">IF(SUMPRODUCT(('IGU(2020)_LNG_TRADE'!$C$3:$V$3=$A24)*('IGU(2020)_LNG_TRADE'!$A$5:$A$46=W$6))=0,0,SUMPRODUCT(('IGU(2020)_LNG_TRADE'!$C$3:$V$3=$A24)*('IGU(2020)_LNG_TRADE'!$A$5:$A$46=W$6)*'IGU(2020)_LNG_TRADE'!$C$5:$V$46)*10^6*Legend!$B$92*Legend!$B$82*Legend!$B$84*10^-3)</f>
        <v>0</v>
      </c>
      <c r="X24" s="209" cm="1">
        <f t="array" ref="X24">IF(SUMPRODUCT(('IGU(2020)_LNG_TRADE'!$C$3:$V$3=$A24)*('IGU(2020)_LNG_TRADE'!$A$5:$A$46=X$6))=0,0,SUMPRODUCT(('IGU(2020)_LNG_TRADE'!$C$3:$V$3=$A24)*('IGU(2020)_LNG_TRADE'!$A$5:$A$46=X$6)*'IGU(2020)_LNG_TRADE'!$C$5:$V$46)*10^6*Legend!$B$92*Legend!$B$82*Legend!$B$84*10^-3)</f>
        <v>0</v>
      </c>
      <c r="Y24" s="209" cm="1">
        <f t="array" ref="Y24">IF(SUMPRODUCT(('IGU(2020)_LNG_TRADE'!$C$3:$V$3=$A24)*('IGU(2020)_LNG_TRADE'!$A$5:$A$46=Y$6))=0,0,SUMPRODUCT(('IGU(2020)_LNG_TRADE'!$C$3:$V$3=$A24)*('IGU(2020)_LNG_TRADE'!$A$5:$A$46=Y$6)*'IGU(2020)_LNG_TRADE'!$C$5:$V$46)*10^6*Legend!$B$92*Legend!$B$82*Legend!$B$84*10^-3)</f>
        <v>11262.631399999997</v>
      </c>
      <c r="Z24" s="209" cm="1">
        <f t="array" ref="Z24">IF(SUMPRODUCT(('IGU(2020)_LNG_TRADE'!$C$3:$V$3=$A24)*('IGU(2020)_LNG_TRADE'!$A$5:$A$46=Z$6))=0,0,SUMPRODUCT(('IGU(2020)_LNG_TRADE'!$C$3:$V$3=$A24)*('IGU(2020)_LNG_TRADE'!$A$5:$A$46=Z$6)*'IGU(2020)_LNG_TRADE'!$C$5:$V$46)*10^6*Legend!$B$92*Legend!$B$82*Legend!$B$84*10^-3)</f>
        <v>0</v>
      </c>
      <c r="AA24" s="209" cm="1">
        <f t="array" ref="AA24">IF(SUMPRODUCT(('IGU(2020)_LNG_TRADE'!$C$3:$V$3=$A24)*('IGU(2020)_LNG_TRADE'!$A$5:$A$46=AA$6))=0,0,SUMPRODUCT(('IGU(2020)_LNG_TRADE'!$C$3:$V$3=$A24)*('IGU(2020)_LNG_TRADE'!$A$5:$A$46=AA$6)*'IGU(2020)_LNG_TRADE'!$C$5:$V$46)*10^6*Legend!$B$92*Legend!$B$82*Legend!$B$84*10^-3)</f>
        <v>0</v>
      </c>
      <c r="AB24" s="209" cm="1">
        <f t="array" ref="AB24">IF(SUMPRODUCT(('IGU(2020)_LNG_TRADE'!$C$3:$V$3=$A24)*('IGU(2020)_LNG_TRADE'!$A$5:$A$46=AB$6))=0,0,SUMPRODUCT(('IGU(2020)_LNG_TRADE'!$C$3:$V$3=$A24)*('IGU(2020)_LNG_TRADE'!$A$5:$A$46=AB$6)*'IGU(2020)_LNG_TRADE'!$C$5:$V$46)*10^6*Legend!$B$92*Legend!$B$82*Legend!$B$84*10^-3)</f>
        <v>152045.52389999991</v>
      </c>
      <c r="AC24" s="220" cm="1">
        <f t="array" ref="AC24">IF(SUMPRODUCT(('IGU(2020)_LNG_TRADE'!$C$3:$V$3=$A24)*('IGU(2020)_LNG_TRADE'!$A$5:$A$46=AC$6))=0,0,SUMPRODUCT(('IGU(2020)_LNG_TRADE'!$C$3:$V$3=$A24)*('IGU(2020)_LNG_TRADE'!$A$5:$A$46=AC$6)*'IGU(2020)_LNG_TRADE'!$C$5:$V$46)*10^6*Legend!$B$92*Legend!$B$82*Legend!$B$84*10^-3)</f>
        <v>0</v>
      </c>
    </row>
    <row r="25" spans="1:29">
      <c r="A25" s="215" t="s">
        <v>223</v>
      </c>
      <c r="B25" s="209" cm="1">
        <f t="array" ref="B25">IF(SUMPRODUCT(('IGU(2020)_LNG_TRADE'!$C$3:$V$3=$A25)*('IGU(2020)_LNG_TRADE'!$A$5:$A$46=B$6))=0,0,SUMPRODUCT(('IGU(2020)_LNG_TRADE'!$C$3:$V$3=$A25)*('IGU(2020)_LNG_TRADE'!$A$5:$A$46=B$6)*'IGU(2020)_LNG_TRADE'!$C$5:$V$46)*10^6*Legend!$B$92*Legend!$B$82*Legend!$B$84*10^-3)</f>
        <v>0</v>
      </c>
      <c r="C25" s="209" cm="1">
        <f t="array" ref="C25">IF(SUMPRODUCT(('IGU(2020)_LNG_TRADE'!$C$3:$V$3=$A25)*('IGU(2020)_LNG_TRADE'!$A$5:$A$46=C$6))=0,0,SUMPRODUCT(('IGU(2020)_LNG_TRADE'!$C$3:$V$3=$A25)*('IGU(2020)_LNG_TRADE'!$A$5:$A$46=C$6)*'IGU(2020)_LNG_TRADE'!$C$5:$V$46)*10^6*Legend!$B$92*Legend!$B$82*Legend!$B$84*10^-3)</f>
        <v>0</v>
      </c>
      <c r="D25" s="209" cm="1">
        <f t="array" ref="D25">IF(SUMPRODUCT(('IGU(2020)_LNG_TRADE'!$C$3:$V$3=$A25)*('IGU(2020)_LNG_TRADE'!$A$5:$A$46=D$6))=0,0,SUMPRODUCT(('IGU(2020)_LNG_TRADE'!$C$3:$V$3=$A25)*('IGU(2020)_LNG_TRADE'!$A$5:$A$46=D$6)*'IGU(2020)_LNG_TRADE'!$C$5:$V$46)*10^6*Legend!$B$92*Legend!$B$82*Legend!$B$84*10^-3)</f>
        <v>0</v>
      </c>
      <c r="E25" s="209" cm="1">
        <f t="array" ref="E25">IF(SUMPRODUCT(('IGU(2020)_LNG_TRADE'!$C$3:$V$3=$A25)*('IGU(2020)_LNG_TRADE'!$A$5:$A$46=E$6))=0,0,SUMPRODUCT(('IGU(2020)_LNG_TRADE'!$C$3:$V$3=$A25)*('IGU(2020)_LNG_TRADE'!$A$5:$A$46=E$6)*'IGU(2020)_LNG_TRADE'!$C$5:$V$46)*10^6*Legend!$B$92*Legend!$B$82*Legend!$B$84*10^-3)</f>
        <v>0</v>
      </c>
      <c r="F25" s="209" cm="1">
        <f t="array" ref="F25">IF(SUMPRODUCT(('IGU(2020)_LNG_TRADE'!$C$3:$V$3=$A25)*('IGU(2020)_LNG_TRADE'!$A$5:$A$46=F$6))=0,0,SUMPRODUCT(('IGU(2020)_LNG_TRADE'!$C$3:$V$3=$A25)*('IGU(2020)_LNG_TRADE'!$A$5:$A$46=F$6)*'IGU(2020)_LNG_TRADE'!$C$5:$V$46)*10^6*Legend!$B$92*Legend!$B$82*Legend!$B$84*10^-3)</f>
        <v>0</v>
      </c>
      <c r="G25" s="209" cm="1">
        <f t="array" ref="G25">IF(SUMPRODUCT(('IGU(2020)_LNG_TRADE'!$C$3:$V$3=$A25)*('IGU(2020)_LNG_TRADE'!$A$5:$A$46=G$6))=0,0,SUMPRODUCT(('IGU(2020)_LNG_TRADE'!$C$3:$V$3=$A25)*('IGU(2020)_LNG_TRADE'!$A$5:$A$46=G$6)*'IGU(2020)_LNG_TRADE'!$C$5:$V$46)*10^6*Legend!$B$92*Legend!$B$82*Legend!$B$84*10^-3)</f>
        <v>0</v>
      </c>
      <c r="H25" s="209" cm="1">
        <f t="array" ref="H25">IF(SUMPRODUCT(('IGU(2020)_LNG_TRADE'!$C$3:$V$3=$A25)*('IGU(2020)_LNG_TRADE'!$A$5:$A$46=H$6))=0,0,SUMPRODUCT(('IGU(2020)_LNG_TRADE'!$C$3:$V$3=$A25)*('IGU(2020)_LNG_TRADE'!$A$5:$A$46=H$6)*'IGU(2020)_LNG_TRADE'!$C$5:$V$46)*10^6*Legend!$B$92*Legend!$B$82*Legend!$B$84*10^-3)</f>
        <v>0</v>
      </c>
      <c r="I25" s="209" cm="1">
        <f t="array" ref="I25">IF(SUMPRODUCT(('IGU(2020)_LNG_TRADE'!$C$3:$V$3=$A25)*('IGU(2020)_LNG_TRADE'!$A$5:$A$46=I$6))=0,0,SUMPRODUCT(('IGU(2020)_LNG_TRADE'!$C$3:$V$3=$A25)*('IGU(2020)_LNG_TRADE'!$A$5:$A$46=I$6)*'IGU(2020)_LNG_TRADE'!$C$5:$V$46)*10^6*Legend!$B$92*Legend!$B$82*Legend!$B$84*10^-3)</f>
        <v>0</v>
      </c>
      <c r="J25" s="209" cm="1">
        <f t="array" ref="J25">IF(SUMPRODUCT(('IGU(2020)_LNG_TRADE'!$C$3:$V$3=$A25)*('IGU(2020)_LNG_TRADE'!$A$5:$A$46=J$6))=0,0,SUMPRODUCT(('IGU(2020)_LNG_TRADE'!$C$3:$V$3=$A25)*('IGU(2020)_LNG_TRADE'!$A$5:$A$46=J$6)*'IGU(2020)_LNG_TRADE'!$C$5:$V$46)*10^6*Legend!$B$92*Legend!$B$82*Legend!$B$84*10^-3)</f>
        <v>0</v>
      </c>
      <c r="K25" s="209" cm="1">
        <f t="array" ref="K25">IF(SUMPRODUCT(('IGU(2020)_LNG_TRADE'!$C$3:$V$3=$A25)*('IGU(2020)_LNG_TRADE'!$A$5:$A$46=K$6))=0,0,SUMPRODUCT(('IGU(2020)_LNG_TRADE'!$C$3:$V$3=$A25)*('IGU(2020)_LNG_TRADE'!$A$5:$A$46=K$6)*'IGU(2020)_LNG_TRADE'!$C$5:$V$46)*10^6*Legend!$B$92*Legend!$B$82*Legend!$B$84*10^-3)</f>
        <v>0</v>
      </c>
      <c r="L25" s="209" cm="1">
        <f t="array" ref="L25">IF(SUMPRODUCT(('IGU(2020)_LNG_TRADE'!$C$3:$V$3=$A25)*('IGU(2020)_LNG_TRADE'!$A$5:$A$46=L$6))=0,0,SUMPRODUCT(('IGU(2020)_LNG_TRADE'!$C$3:$V$3=$A25)*('IGU(2020)_LNG_TRADE'!$A$5:$A$46=L$6)*'IGU(2020)_LNG_TRADE'!$C$5:$V$46)*10^6*Legend!$B$92*Legend!$B$82*Legend!$B$84*10^-3)</f>
        <v>0</v>
      </c>
      <c r="M25" s="209" cm="1">
        <f t="array" ref="M25">IF(SUMPRODUCT(('IGU(2020)_LNG_TRADE'!$C$3:$V$3=$A25)*('IGU(2020)_LNG_TRADE'!$A$5:$A$46=M$6))=0,0,SUMPRODUCT(('IGU(2020)_LNG_TRADE'!$C$3:$V$3=$A25)*('IGU(2020)_LNG_TRADE'!$A$5:$A$46=M$6)*'IGU(2020)_LNG_TRADE'!$C$5:$V$46)*10^6*Legend!$B$92*Legend!$B$82*Legend!$B$84*10^-3)</f>
        <v>0</v>
      </c>
      <c r="N25" s="209" cm="1">
        <f t="array" ref="N25">IF(SUMPRODUCT(('IGU(2020)_LNG_TRADE'!$C$3:$V$3=$A25)*('IGU(2020)_LNG_TRADE'!$A$5:$A$46=N$6))=0,0,SUMPRODUCT(('IGU(2020)_LNG_TRADE'!$C$3:$V$3=$A25)*('IGU(2020)_LNG_TRADE'!$A$5:$A$46=N$6)*'IGU(2020)_LNG_TRADE'!$C$5:$V$46)*10^6*Legend!$B$92*Legend!$B$82*Legend!$B$84*10^-3)</f>
        <v>0</v>
      </c>
      <c r="O25" s="209" cm="1">
        <f t="array" ref="O25">IF(SUMPRODUCT(('IGU(2020)_LNG_TRADE'!$C$3:$V$3=$A25)*('IGU(2020)_LNG_TRADE'!$A$5:$A$46=O$6))=0,0,SUMPRODUCT(('IGU(2020)_LNG_TRADE'!$C$3:$V$3=$A25)*('IGU(2020)_LNG_TRADE'!$A$5:$A$46=O$6)*'IGU(2020)_LNG_TRADE'!$C$5:$V$46)*10^6*Legend!$B$92*Legend!$B$82*Legend!$B$84*10^-3)</f>
        <v>0</v>
      </c>
      <c r="P25" s="209" cm="1">
        <f t="array" ref="P25">IF(SUMPRODUCT(('IGU(2020)_LNG_TRADE'!$C$3:$V$3=$A25)*('IGU(2020)_LNG_TRADE'!$A$5:$A$46=P$6))=0,0,SUMPRODUCT(('IGU(2020)_LNG_TRADE'!$C$3:$V$3=$A25)*('IGU(2020)_LNG_TRADE'!$A$5:$A$46=P$6)*'IGU(2020)_LNG_TRADE'!$C$5:$V$46)*10^6*Legend!$B$92*Legend!$B$82*Legend!$B$84*10^-3)</f>
        <v>0</v>
      </c>
      <c r="Q25" s="209" cm="1">
        <f t="array" ref="Q25">IF(SUMPRODUCT(('IGU(2020)_LNG_TRADE'!$C$3:$V$3=$A25)*('IGU(2020)_LNG_TRADE'!$A$5:$A$46=Q$6))=0,0,SUMPRODUCT(('IGU(2020)_LNG_TRADE'!$C$3:$V$3=$A25)*('IGU(2020)_LNG_TRADE'!$A$5:$A$46=Q$6)*'IGU(2020)_LNG_TRADE'!$C$5:$V$46)*10^6*Legend!$B$92*Legend!$B$82*Legend!$B$84*10^-3)</f>
        <v>0</v>
      </c>
      <c r="R25" s="209" cm="1">
        <f t="array" ref="R25">IF(SUMPRODUCT(('IGU(2020)_LNG_TRADE'!$C$3:$V$3=$A25)*('IGU(2020)_LNG_TRADE'!$A$5:$A$46=R$6))=0,0,SUMPRODUCT(('IGU(2020)_LNG_TRADE'!$C$3:$V$3=$A25)*('IGU(2020)_LNG_TRADE'!$A$5:$A$46=R$6)*'IGU(2020)_LNG_TRADE'!$C$5:$V$46)*10^6*Legend!$B$92*Legend!$B$82*Legend!$B$84*10^-3)</f>
        <v>0</v>
      </c>
      <c r="S25" s="209" cm="1">
        <f t="array" ref="S25">IF(SUMPRODUCT(('IGU(2020)_LNG_TRADE'!$C$3:$V$3=$A25)*('IGU(2020)_LNG_TRADE'!$A$5:$A$46=S$6))=0,0,SUMPRODUCT(('IGU(2020)_LNG_TRADE'!$C$3:$V$3=$A25)*('IGU(2020)_LNG_TRADE'!$A$5:$A$46=S$6)*'IGU(2020)_LNG_TRADE'!$C$5:$V$46)*10^6*Legend!$B$92*Legend!$B$82*Legend!$B$84*10^-3)</f>
        <v>0</v>
      </c>
      <c r="T25" s="209" cm="1">
        <f t="array" ref="T25">IF(SUMPRODUCT(('IGU(2020)_LNG_TRADE'!$C$3:$V$3=$A25)*('IGU(2020)_LNG_TRADE'!$A$5:$A$46=T$6))=0,0,SUMPRODUCT(('IGU(2020)_LNG_TRADE'!$C$3:$V$3=$A25)*('IGU(2020)_LNG_TRADE'!$A$5:$A$46=T$6)*'IGU(2020)_LNG_TRADE'!$C$5:$V$46)*10^6*Legend!$B$92*Legend!$B$82*Legend!$B$84*10^-3)</f>
        <v>0</v>
      </c>
      <c r="U25" s="209" cm="1">
        <f t="array" ref="U25">IF(SUMPRODUCT(('IGU(2020)_LNG_TRADE'!$C$3:$V$3=$A25)*('IGU(2020)_LNG_TRADE'!$A$5:$A$46=U$6))=0,0,SUMPRODUCT(('IGU(2020)_LNG_TRADE'!$C$3:$V$3=$A25)*('IGU(2020)_LNG_TRADE'!$A$5:$A$46=U$6)*'IGU(2020)_LNG_TRADE'!$C$5:$V$46)*10^6*Legend!$B$92*Legend!$B$82*Legend!$B$84*10^-3)</f>
        <v>0</v>
      </c>
      <c r="V25" s="209" cm="1">
        <f t="array" ref="V25">IF(SUMPRODUCT(('IGU(2020)_LNG_TRADE'!$C$3:$V$3=$A25)*('IGU(2020)_LNG_TRADE'!$A$5:$A$46=V$6))=0,0,SUMPRODUCT(('IGU(2020)_LNG_TRADE'!$C$3:$V$3=$A25)*('IGU(2020)_LNG_TRADE'!$A$5:$A$46=V$6)*'IGU(2020)_LNG_TRADE'!$C$5:$V$46)*10^6*Legend!$B$92*Legend!$B$82*Legend!$B$84*10^-3)</f>
        <v>0</v>
      </c>
      <c r="W25" s="209" cm="1">
        <f t="array" ref="W25">IF(SUMPRODUCT(('IGU(2020)_LNG_TRADE'!$C$3:$V$3=$A25)*('IGU(2020)_LNG_TRADE'!$A$5:$A$46=W$6))=0,0,SUMPRODUCT(('IGU(2020)_LNG_TRADE'!$C$3:$V$3=$A25)*('IGU(2020)_LNG_TRADE'!$A$5:$A$46=W$6)*'IGU(2020)_LNG_TRADE'!$C$5:$V$46)*10^6*Legend!$B$92*Legend!$B$82*Legend!$B$84*10^-3)</f>
        <v>0</v>
      </c>
      <c r="X25" s="209" cm="1">
        <f t="array" ref="X25">IF(SUMPRODUCT(('IGU(2020)_LNG_TRADE'!$C$3:$V$3=$A25)*('IGU(2020)_LNG_TRADE'!$A$5:$A$46=X$6))=0,0,SUMPRODUCT(('IGU(2020)_LNG_TRADE'!$C$3:$V$3=$A25)*('IGU(2020)_LNG_TRADE'!$A$5:$A$46=X$6)*'IGU(2020)_LNG_TRADE'!$C$5:$V$46)*10^6*Legend!$B$92*Legend!$B$82*Legend!$B$84*10^-3)</f>
        <v>0</v>
      </c>
      <c r="Y25" s="209" cm="1">
        <f t="array" ref="Y25">IF(SUMPRODUCT(('IGU(2020)_LNG_TRADE'!$C$3:$V$3=$A25)*('IGU(2020)_LNG_TRADE'!$A$5:$A$46=Y$6))=0,0,SUMPRODUCT(('IGU(2020)_LNG_TRADE'!$C$3:$V$3=$A25)*('IGU(2020)_LNG_TRADE'!$A$5:$A$46=Y$6)*'IGU(2020)_LNG_TRADE'!$C$5:$V$46)*10^6*Legend!$B$92*Legend!$B$82*Legend!$B$84*10^-3)</f>
        <v>0</v>
      </c>
      <c r="Z25" s="209" cm="1">
        <f t="array" ref="Z25">IF(SUMPRODUCT(('IGU(2020)_LNG_TRADE'!$C$3:$V$3=$A25)*('IGU(2020)_LNG_TRADE'!$A$5:$A$46=Z$6))=0,0,SUMPRODUCT(('IGU(2020)_LNG_TRADE'!$C$3:$V$3=$A25)*('IGU(2020)_LNG_TRADE'!$A$5:$A$46=Z$6)*'IGU(2020)_LNG_TRADE'!$C$5:$V$46)*10^6*Legend!$B$92*Legend!$B$82*Legend!$B$84*10^-3)</f>
        <v>0</v>
      </c>
      <c r="AA25" s="209" cm="1">
        <f t="array" ref="AA25">IF(SUMPRODUCT(('IGU(2020)_LNG_TRADE'!$C$3:$V$3=$A25)*('IGU(2020)_LNG_TRADE'!$A$5:$A$46=AA$6))=0,0,SUMPRODUCT(('IGU(2020)_LNG_TRADE'!$C$3:$V$3=$A25)*('IGU(2020)_LNG_TRADE'!$A$5:$A$46=AA$6)*'IGU(2020)_LNG_TRADE'!$C$5:$V$46)*10^6*Legend!$B$92*Legend!$B$82*Legend!$B$84*10^-3)</f>
        <v>0</v>
      </c>
      <c r="AB25" s="209" cm="1">
        <f t="array" ref="AB25">IF(SUMPRODUCT(('IGU(2020)_LNG_TRADE'!$C$3:$V$3=$A25)*('IGU(2020)_LNG_TRADE'!$A$5:$A$46=AB$6))=0,0,SUMPRODUCT(('IGU(2020)_LNG_TRADE'!$C$3:$V$3=$A25)*('IGU(2020)_LNG_TRADE'!$A$5:$A$46=AB$6)*'IGU(2020)_LNG_TRADE'!$C$5:$V$46)*10^6*Legend!$B$92*Legend!$B$82*Legend!$B$84*10^-3)</f>
        <v>0</v>
      </c>
      <c r="AC25" s="220" cm="1">
        <f t="array" ref="AC25">IF(SUMPRODUCT(('IGU(2020)_LNG_TRADE'!$C$3:$V$3=$A25)*('IGU(2020)_LNG_TRADE'!$A$5:$A$46=AC$6))=0,0,SUMPRODUCT(('IGU(2020)_LNG_TRADE'!$C$3:$V$3=$A25)*('IGU(2020)_LNG_TRADE'!$A$5:$A$46=AC$6)*'IGU(2020)_LNG_TRADE'!$C$5:$V$46)*10^6*Legend!$B$92*Legend!$B$82*Legend!$B$84*10^-3)</f>
        <v>0</v>
      </c>
    </row>
    <row r="26" spans="1:29">
      <c r="A26" s="215" t="s">
        <v>225</v>
      </c>
      <c r="B26" s="209" cm="1">
        <f t="array" ref="B26">IF(SUMPRODUCT(('IGU(2020)_LNG_TRADE'!$C$3:$V$3=$A26)*('IGU(2020)_LNG_TRADE'!$A$5:$A$46=B$6))=0,0,SUMPRODUCT(('IGU(2020)_LNG_TRADE'!$C$3:$V$3=$A26)*('IGU(2020)_LNG_TRADE'!$A$5:$A$46=B$6)*'IGU(2020)_LNG_TRADE'!$C$5:$V$46)*10^6*Legend!$B$92*Legend!$B$82*Legend!$B$84*10^-3)</f>
        <v>0</v>
      </c>
      <c r="C26" s="209" cm="1">
        <f t="array" ref="C26">IF(SUMPRODUCT(('IGU(2020)_LNG_TRADE'!$C$3:$V$3=$A26)*('IGU(2020)_LNG_TRADE'!$A$5:$A$46=C$6))=0,0,SUMPRODUCT(('IGU(2020)_LNG_TRADE'!$C$3:$V$3=$A26)*('IGU(2020)_LNG_TRADE'!$A$5:$A$46=C$6)*'IGU(2020)_LNG_TRADE'!$C$5:$V$46)*10^6*Legend!$B$92*Legend!$B$82*Legend!$B$84*10^-3)</f>
        <v>0</v>
      </c>
      <c r="D26" s="209" cm="1">
        <f t="array" ref="D26">IF(SUMPRODUCT(('IGU(2020)_LNG_TRADE'!$C$3:$V$3=$A26)*('IGU(2020)_LNG_TRADE'!$A$5:$A$46=D$6))=0,0,SUMPRODUCT(('IGU(2020)_LNG_TRADE'!$C$3:$V$3=$A26)*('IGU(2020)_LNG_TRADE'!$A$5:$A$46=D$6)*'IGU(2020)_LNG_TRADE'!$C$5:$V$46)*10^6*Legend!$B$92*Legend!$B$82*Legend!$B$84*10^-3)</f>
        <v>0</v>
      </c>
      <c r="E26" s="209" cm="1">
        <f t="array" ref="E26">IF(SUMPRODUCT(('IGU(2020)_LNG_TRADE'!$C$3:$V$3=$A26)*('IGU(2020)_LNG_TRADE'!$A$5:$A$46=E$6))=0,0,SUMPRODUCT(('IGU(2020)_LNG_TRADE'!$C$3:$V$3=$A26)*('IGU(2020)_LNG_TRADE'!$A$5:$A$46=E$6)*'IGU(2020)_LNG_TRADE'!$C$5:$V$46)*10^6*Legend!$B$92*Legend!$B$82*Legend!$B$84*10^-3)</f>
        <v>0</v>
      </c>
      <c r="F26" s="209" cm="1">
        <f t="array" ref="F26">IF(SUMPRODUCT(('IGU(2020)_LNG_TRADE'!$C$3:$V$3=$A26)*('IGU(2020)_LNG_TRADE'!$A$5:$A$46=F$6))=0,0,SUMPRODUCT(('IGU(2020)_LNG_TRADE'!$C$3:$V$3=$A26)*('IGU(2020)_LNG_TRADE'!$A$5:$A$46=F$6)*'IGU(2020)_LNG_TRADE'!$C$5:$V$46)*10^6*Legend!$B$92*Legend!$B$82*Legend!$B$84*10^-3)</f>
        <v>0</v>
      </c>
      <c r="G26" s="209" cm="1">
        <f t="array" ref="G26">IF(SUMPRODUCT(('IGU(2020)_LNG_TRADE'!$C$3:$V$3=$A26)*('IGU(2020)_LNG_TRADE'!$A$5:$A$46=G$6))=0,0,SUMPRODUCT(('IGU(2020)_LNG_TRADE'!$C$3:$V$3=$A26)*('IGU(2020)_LNG_TRADE'!$A$5:$A$46=G$6)*'IGU(2020)_LNG_TRADE'!$C$5:$V$46)*10^6*Legend!$B$92*Legend!$B$82*Legend!$B$84*10^-3)</f>
        <v>0</v>
      </c>
      <c r="H26" s="209" cm="1">
        <f t="array" ref="H26">IF(SUMPRODUCT(('IGU(2020)_LNG_TRADE'!$C$3:$V$3=$A26)*('IGU(2020)_LNG_TRADE'!$A$5:$A$46=H$6))=0,0,SUMPRODUCT(('IGU(2020)_LNG_TRADE'!$C$3:$V$3=$A26)*('IGU(2020)_LNG_TRADE'!$A$5:$A$46=H$6)*'IGU(2020)_LNG_TRADE'!$C$5:$V$46)*10^6*Legend!$B$92*Legend!$B$82*Legend!$B$84*10^-3)</f>
        <v>0</v>
      </c>
      <c r="I26" s="209" cm="1">
        <f t="array" ref="I26">IF(SUMPRODUCT(('IGU(2020)_LNG_TRADE'!$C$3:$V$3=$A26)*('IGU(2020)_LNG_TRADE'!$A$5:$A$46=I$6))=0,0,SUMPRODUCT(('IGU(2020)_LNG_TRADE'!$C$3:$V$3=$A26)*('IGU(2020)_LNG_TRADE'!$A$5:$A$46=I$6)*'IGU(2020)_LNG_TRADE'!$C$5:$V$46)*10^6*Legend!$B$92*Legend!$B$82*Legend!$B$84*10^-3)</f>
        <v>0</v>
      </c>
      <c r="J26" s="209" cm="1">
        <f t="array" ref="J26">IF(SUMPRODUCT(('IGU(2020)_LNG_TRADE'!$C$3:$V$3=$A26)*('IGU(2020)_LNG_TRADE'!$A$5:$A$46=J$6))=0,0,SUMPRODUCT(('IGU(2020)_LNG_TRADE'!$C$3:$V$3=$A26)*('IGU(2020)_LNG_TRADE'!$A$5:$A$46=J$6)*'IGU(2020)_LNG_TRADE'!$C$5:$V$46)*10^6*Legend!$B$92*Legend!$B$82*Legend!$B$84*10^-3)</f>
        <v>0</v>
      </c>
      <c r="K26" s="209" cm="1">
        <f t="array" ref="K26">IF(SUMPRODUCT(('IGU(2020)_LNG_TRADE'!$C$3:$V$3=$A26)*('IGU(2020)_LNG_TRADE'!$A$5:$A$46=K$6))=0,0,SUMPRODUCT(('IGU(2020)_LNG_TRADE'!$C$3:$V$3=$A26)*('IGU(2020)_LNG_TRADE'!$A$5:$A$46=K$6)*'IGU(2020)_LNG_TRADE'!$C$5:$V$46)*10^6*Legend!$B$92*Legend!$B$82*Legend!$B$84*10^-3)</f>
        <v>0</v>
      </c>
      <c r="L26" s="209" cm="1">
        <f t="array" ref="L26">IF(SUMPRODUCT(('IGU(2020)_LNG_TRADE'!$C$3:$V$3=$A26)*('IGU(2020)_LNG_TRADE'!$A$5:$A$46=L$6))=0,0,SUMPRODUCT(('IGU(2020)_LNG_TRADE'!$C$3:$V$3=$A26)*('IGU(2020)_LNG_TRADE'!$A$5:$A$46=L$6)*'IGU(2020)_LNG_TRADE'!$C$5:$V$46)*10^6*Legend!$B$92*Legend!$B$82*Legend!$B$84*10^-3)</f>
        <v>0</v>
      </c>
      <c r="M26" s="209" cm="1">
        <f t="array" ref="M26">IF(SUMPRODUCT(('IGU(2020)_LNG_TRADE'!$C$3:$V$3=$A26)*('IGU(2020)_LNG_TRADE'!$A$5:$A$46=M$6))=0,0,SUMPRODUCT(('IGU(2020)_LNG_TRADE'!$C$3:$V$3=$A26)*('IGU(2020)_LNG_TRADE'!$A$5:$A$46=M$6)*'IGU(2020)_LNG_TRADE'!$C$5:$V$46)*10^6*Legend!$B$92*Legend!$B$82*Legend!$B$84*10^-3)</f>
        <v>0</v>
      </c>
      <c r="N26" s="209" cm="1">
        <f t="array" ref="N26">IF(SUMPRODUCT(('IGU(2020)_LNG_TRADE'!$C$3:$V$3=$A26)*('IGU(2020)_LNG_TRADE'!$A$5:$A$46=N$6))=0,0,SUMPRODUCT(('IGU(2020)_LNG_TRADE'!$C$3:$V$3=$A26)*('IGU(2020)_LNG_TRADE'!$A$5:$A$46=N$6)*'IGU(2020)_LNG_TRADE'!$C$5:$V$46)*10^6*Legend!$B$92*Legend!$B$82*Legend!$B$84*10^-3)</f>
        <v>0</v>
      </c>
      <c r="O26" s="209" cm="1">
        <f t="array" ref="O26">IF(SUMPRODUCT(('IGU(2020)_LNG_TRADE'!$C$3:$V$3=$A26)*('IGU(2020)_LNG_TRADE'!$A$5:$A$46=O$6))=0,0,SUMPRODUCT(('IGU(2020)_LNG_TRADE'!$C$3:$V$3=$A26)*('IGU(2020)_LNG_TRADE'!$A$5:$A$46=O$6)*'IGU(2020)_LNG_TRADE'!$C$5:$V$46)*10^6*Legend!$B$92*Legend!$B$82*Legend!$B$84*10^-3)</f>
        <v>0</v>
      </c>
      <c r="P26" s="209" cm="1">
        <f t="array" ref="P26">IF(SUMPRODUCT(('IGU(2020)_LNG_TRADE'!$C$3:$V$3=$A26)*('IGU(2020)_LNG_TRADE'!$A$5:$A$46=P$6))=0,0,SUMPRODUCT(('IGU(2020)_LNG_TRADE'!$C$3:$V$3=$A26)*('IGU(2020)_LNG_TRADE'!$A$5:$A$46=P$6)*'IGU(2020)_LNG_TRADE'!$C$5:$V$46)*10^6*Legend!$B$92*Legend!$B$82*Legend!$B$84*10^-3)</f>
        <v>0</v>
      </c>
      <c r="Q26" s="209" cm="1">
        <f t="array" ref="Q26">IF(SUMPRODUCT(('IGU(2020)_LNG_TRADE'!$C$3:$V$3=$A26)*('IGU(2020)_LNG_TRADE'!$A$5:$A$46=Q$6))=0,0,SUMPRODUCT(('IGU(2020)_LNG_TRADE'!$C$3:$V$3=$A26)*('IGU(2020)_LNG_TRADE'!$A$5:$A$46=Q$6)*'IGU(2020)_LNG_TRADE'!$C$5:$V$46)*10^6*Legend!$B$92*Legend!$B$82*Legend!$B$84*10^-3)</f>
        <v>0</v>
      </c>
      <c r="R26" s="209" cm="1">
        <f t="array" ref="R26">IF(SUMPRODUCT(('IGU(2020)_LNG_TRADE'!$C$3:$V$3=$A26)*('IGU(2020)_LNG_TRADE'!$A$5:$A$46=R$6))=0,0,SUMPRODUCT(('IGU(2020)_LNG_TRADE'!$C$3:$V$3=$A26)*('IGU(2020)_LNG_TRADE'!$A$5:$A$46=R$6)*'IGU(2020)_LNG_TRADE'!$C$5:$V$46)*10^6*Legend!$B$92*Legend!$B$82*Legend!$B$84*10^-3)</f>
        <v>0</v>
      </c>
      <c r="S26" s="209" cm="1">
        <f t="array" ref="S26">IF(SUMPRODUCT(('IGU(2020)_LNG_TRADE'!$C$3:$V$3=$A26)*('IGU(2020)_LNG_TRADE'!$A$5:$A$46=S$6))=0,0,SUMPRODUCT(('IGU(2020)_LNG_TRADE'!$C$3:$V$3=$A26)*('IGU(2020)_LNG_TRADE'!$A$5:$A$46=S$6)*'IGU(2020)_LNG_TRADE'!$C$5:$V$46)*10^6*Legend!$B$92*Legend!$B$82*Legend!$B$84*10^-3)</f>
        <v>0</v>
      </c>
      <c r="T26" s="209" cm="1">
        <f t="array" ref="T26">IF(SUMPRODUCT(('IGU(2020)_LNG_TRADE'!$C$3:$V$3=$A26)*('IGU(2020)_LNG_TRADE'!$A$5:$A$46=T$6))=0,0,SUMPRODUCT(('IGU(2020)_LNG_TRADE'!$C$3:$V$3=$A26)*('IGU(2020)_LNG_TRADE'!$A$5:$A$46=T$6)*'IGU(2020)_LNG_TRADE'!$C$5:$V$46)*10^6*Legend!$B$92*Legend!$B$82*Legend!$B$84*10^-3)</f>
        <v>0</v>
      </c>
      <c r="U26" s="209" cm="1">
        <f t="array" ref="U26">IF(SUMPRODUCT(('IGU(2020)_LNG_TRADE'!$C$3:$V$3=$A26)*('IGU(2020)_LNG_TRADE'!$A$5:$A$46=U$6))=0,0,SUMPRODUCT(('IGU(2020)_LNG_TRADE'!$C$3:$V$3=$A26)*('IGU(2020)_LNG_TRADE'!$A$5:$A$46=U$6)*'IGU(2020)_LNG_TRADE'!$C$5:$V$46)*10^6*Legend!$B$92*Legend!$B$82*Legend!$B$84*10^-3)</f>
        <v>0</v>
      </c>
      <c r="V26" s="209" cm="1">
        <f t="array" ref="V26">IF(SUMPRODUCT(('IGU(2020)_LNG_TRADE'!$C$3:$V$3=$A26)*('IGU(2020)_LNG_TRADE'!$A$5:$A$46=V$6))=0,0,SUMPRODUCT(('IGU(2020)_LNG_TRADE'!$C$3:$V$3=$A26)*('IGU(2020)_LNG_TRADE'!$A$5:$A$46=V$6)*'IGU(2020)_LNG_TRADE'!$C$5:$V$46)*10^6*Legend!$B$92*Legend!$B$82*Legend!$B$84*10^-3)</f>
        <v>0</v>
      </c>
      <c r="W26" s="209" cm="1">
        <f t="array" ref="W26">IF(SUMPRODUCT(('IGU(2020)_LNG_TRADE'!$C$3:$V$3=$A26)*('IGU(2020)_LNG_TRADE'!$A$5:$A$46=W$6))=0,0,SUMPRODUCT(('IGU(2020)_LNG_TRADE'!$C$3:$V$3=$A26)*('IGU(2020)_LNG_TRADE'!$A$5:$A$46=W$6)*'IGU(2020)_LNG_TRADE'!$C$5:$V$46)*10^6*Legend!$B$92*Legend!$B$82*Legend!$B$84*10^-3)</f>
        <v>0</v>
      </c>
      <c r="X26" s="209" cm="1">
        <f t="array" ref="X26">IF(SUMPRODUCT(('IGU(2020)_LNG_TRADE'!$C$3:$V$3=$A26)*('IGU(2020)_LNG_TRADE'!$A$5:$A$46=X$6))=0,0,SUMPRODUCT(('IGU(2020)_LNG_TRADE'!$C$3:$V$3=$A26)*('IGU(2020)_LNG_TRADE'!$A$5:$A$46=X$6)*'IGU(2020)_LNG_TRADE'!$C$5:$V$46)*10^6*Legend!$B$92*Legend!$B$82*Legend!$B$84*10^-3)</f>
        <v>0</v>
      </c>
      <c r="Y26" s="209" cm="1">
        <f t="array" ref="Y26">IF(SUMPRODUCT(('IGU(2020)_LNG_TRADE'!$C$3:$V$3=$A26)*('IGU(2020)_LNG_TRADE'!$A$5:$A$46=Y$6))=0,0,SUMPRODUCT(('IGU(2020)_LNG_TRADE'!$C$3:$V$3=$A26)*('IGU(2020)_LNG_TRADE'!$A$5:$A$46=Y$6)*'IGU(2020)_LNG_TRADE'!$C$5:$V$46)*10^6*Legend!$B$92*Legend!$B$82*Legend!$B$84*10^-3)</f>
        <v>0</v>
      </c>
      <c r="Z26" s="209" cm="1">
        <f t="array" ref="Z26">IF(SUMPRODUCT(('IGU(2020)_LNG_TRADE'!$C$3:$V$3=$A26)*('IGU(2020)_LNG_TRADE'!$A$5:$A$46=Z$6))=0,0,SUMPRODUCT(('IGU(2020)_LNG_TRADE'!$C$3:$V$3=$A26)*('IGU(2020)_LNG_TRADE'!$A$5:$A$46=Z$6)*'IGU(2020)_LNG_TRADE'!$C$5:$V$46)*10^6*Legend!$B$92*Legend!$B$82*Legend!$B$84*10^-3)</f>
        <v>0</v>
      </c>
      <c r="AA26" s="209" cm="1">
        <f t="array" ref="AA26">IF(SUMPRODUCT(('IGU(2020)_LNG_TRADE'!$C$3:$V$3=$A26)*('IGU(2020)_LNG_TRADE'!$A$5:$A$46=AA$6))=0,0,SUMPRODUCT(('IGU(2020)_LNG_TRADE'!$C$3:$V$3=$A26)*('IGU(2020)_LNG_TRADE'!$A$5:$A$46=AA$6)*'IGU(2020)_LNG_TRADE'!$C$5:$V$46)*10^6*Legend!$B$92*Legend!$B$82*Legend!$B$84*10^-3)</f>
        <v>0</v>
      </c>
      <c r="AB26" s="209" cm="1">
        <f t="array" ref="AB26">IF(SUMPRODUCT(('IGU(2020)_LNG_TRADE'!$C$3:$V$3=$A26)*('IGU(2020)_LNG_TRADE'!$A$5:$A$46=AB$6))=0,0,SUMPRODUCT(('IGU(2020)_LNG_TRADE'!$C$3:$V$3=$A26)*('IGU(2020)_LNG_TRADE'!$A$5:$A$46=AB$6)*'IGU(2020)_LNG_TRADE'!$C$5:$V$46)*10^6*Legend!$B$92*Legend!$B$82*Legend!$B$84*10^-3)</f>
        <v>0</v>
      </c>
      <c r="AC26" s="220" cm="1">
        <f t="array" ref="AC26">IF(SUMPRODUCT(('IGU(2020)_LNG_TRADE'!$C$3:$V$3=$A26)*('IGU(2020)_LNG_TRADE'!$A$5:$A$46=AC$6))=0,0,SUMPRODUCT(('IGU(2020)_LNG_TRADE'!$C$3:$V$3=$A26)*('IGU(2020)_LNG_TRADE'!$A$5:$A$46=AC$6)*'IGU(2020)_LNG_TRADE'!$C$5:$V$46)*10^6*Legend!$B$92*Legend!$B$82*Legend!$B$84*10^-3)</f>
        <v>0</v>
      </c>
    </row>
    <row r="27" spans="1:29">
      <c r="A27" s="215" t="s">
        <v>227</v>
      </c>
      <c r="B27" s="209" cm="1">
        <f t="array" ref="B27">IF(SUMPRODUCT(('IGU(2020)_LNG_TRADE'!$C$3:$V$3=$A27)*('IGU(2020)_LNG_TRADE'!$A$5:$A$46=B$6))=0,0,SUMPRODUCT(('IGU(2020)_LNG_TRADE'!$C$3:$V$3=$A27)*('IGU(2020)_LNG_TRADE'!$A$5:$A$46=B$6)*'IGU(2020)_LNG_TRADE'!$C$5:$V$46)*10^6*Legend!$B$92*Legend!$B$82*Legend!$B$84*10^-3)</f>
        <v>0</v>
      </c>
      <c r="C27" s="209" cm="1">
        <f t="array" ref="C27">IF(SUMPRODUCT(('IGU(2020)_LNG_TRADE'!$C$3:$V$3=$A27)*('IGU(2020)_LNG_TRADE'!$A$5:$A$46=C$6))=0,0,SUMPRODUCT(('IGU(2020)_LNG_TRADE'!$C$3:$V$3=$A27)*('IGU(2020)_LNG_TRADE'!$A$5:$A$46=C$6)*'IGU(2020)_LNG_TRADE'!$C$5:$V$46)*10^6*Legend!$B$92*Legend!$B$82*Legend!$B$84*10^-3)</f>
        <v>0</v>
      </c>
      <c r="D27" s="209" cm="1">
        <f t="array" ref="D27">IF(SUMPRODUCT(('IGU(2020)_LNG_TRADE'!$C$3:$V$3=$A27)*('IGU(2020)_LNG_TRADE'!$A$5:$A$46=D$6))=0,0,SUMPRODUCT(('IGU(2020)_LNG_TRADE'!$C$3:$V$3=$A27)*('IGU(2020)_LNG_TRADE'!$A$5:$A$46=D$6)*'IGU(2020)_LNG_TRADE'!$C$5:$V$46)*10^6*Legend!$B$92*Legend!$B$82*Legend!$B$84*10^-3)</f>
        <v>0</v>
      </c>
      <c r="E27" s="209" cm="1">
        <f t="array" ref="E27">IF(SUMPRODUCT(('IGU(2020)_LNG_TRADE'!$C$3:$V$3=$A27)*('IGU(2020)_LNG_TRADE'!$A$5:$A$46=E$6))=0,0,SUMPRODUCT(('IGU(2020)_LNG_TRADE'!$C$3:$V$3=$A27)*('IGU(2020)_LNG_TRADE'!$A$5:$A$46=E$6)*'IGU(2020)_LNG_TRADE'!$C$5:$V$46)*10^6*Legend!$B$92*Legend!$B$82*Legend!$B$84*10^-3)</f>
        <v>0</v>
      </c>
      <c r="F27" s="209" cm="1">
        <f t="array" ref="F27">IF(SUMPRODUCT(('IGU(2020)_LNG_TRADE'!$C$3:$V$3=$A27)*('IGU(2020)_LNG_TRADE'!$A$5:$A$46=F$6))=0,0,SUMPRODUCT(('IGU(2020)_LNG_TRADE'!$C$3:$V$3=$A27)*('IGU(2020)_LNG_TRADE'!$A$5:$A$46=F$6)*'IGU(2020)_LNG_TRADE'!$C$5:$V$46)*10^6*Legend!$B$92*Legend!$B$82*Legend!$B$84*10^-3)</f>
        <v>0</v>
      </c>
      <c r="G27" s="209" cm="1">
        <f t="array" ref="G27">IF(SUMPRODUCT(('IGU(2020)_LNG_TRADE'!$C$3:$V$3=$A27)*('IGU(2020)_LNG_TRADE'!$A$5:$A$46=G$6))=0,0,SUMPRODUCT(('IGU(2020)_LNG_TRADE'!$C$3:$V$3=$A27)*('IGU(2020)_LNG_TRADE'!$A$5:$A$46=G$6)*'IGU(2020)_LNG_TRADE'!$C$5:$V$46)*10^6*Legend!$B$92*Legend!$B$82*Legend!$B$84*10^-3)</f>
        <v>0</v>
      </c>
      <c r="H27" s="209" cm="1">
        <f t="array" ref="H27">IF(SUMPRODUCT(('IGU(2020)_LNG_TRADE'!$C$3:$V$3=$A27)*('IGU(2020)_LNG_TRADE'!$A$5:$A$46=H$6))=0,0,SUMPRODUCT(('IGU(2020)_LNG_TRADE'!$C$3:$V$3=$A27)*('IGU(2020)_LNG_TRADE'!$A$5:$A$46=H$6)*'IGU(2020)_LNG_TRADE'!$C$5:$V$46)*10^6*Legend!$B$92*Legend!$B$82*Legend!$B$84*10^-3)</f>
        <v>16893.947100000001</v>
      </c>
      <c r="I27" s="209" cm="1">
        <f t="array" ref="I27">IF(SUMPRODUCT(('IGU(2020)_LNG_TRADE'!$C$3:$V$3=$A27)*('IGU(2020)_LNG_TRADE'!$A$5:$A$46=I$6))=0,0,SUMPRODUCT(('IGU(2020)_LNG_TRADE'!$C$3:$V$3=$A27)*('IGU(2020)_LNG_TRADE'!$A$5:$A$46=I$6)*'IGU(2020)_LNG_TRADE'!$C$5:$V$46)*10^6*Legend!$B$92*Legend!$B$82*Legend!$B$84*10^-3)</f>
        <v>0</v>
      </c>
      <c r="J27" s="209" cm="1">
        <f t="array" ref="J27">IF(SUMPRODUCT(('IGU(2020)_LNG_TRADE'!$C$3:$V$3=$A27)*('IGU(2020)_LNG_TRADE'!$A$5:$A$46=J$6))=0,0,SUMPRODUCT(('IGU(2020)_LNG_TRADE'!$C$3:$V$3=$A27)*('IGU(2020)_LNG_TRADE'!$A$5:$A$46=J$6)*'IGU(2020)_LNG_TRADE'!$C$5:$V$46)*10^6*Legend!$B$92*Legend!$B$82*Legend!$B$84*10^-3)</f>
        <v>28156.5785</v>
      </c>
      <c r="K27" s="209" cm="1">
        <f t="array" ref="K27">IF(SUMPRODUCT(('IGU(2020)_LNG_TRADE'!$C$3:$V$3=$A27)*('IGU(2020)_LNG_TRADE'!$A$5:$A$46=K$6))=0,0,SUMPRODUCT(('IGU(2020)_LNG_TRADE'!$C$3:$V$3=$A27)*('IGU(2020)_LNG_TRADE'!$A$5:$A$46=K$6)*'IGU(2020)_LNG_TRADE'!$C$5:$V$46)*10^6*Legend!$B$92*Legend!$B$82*Legend!$B$84*10^-3)</f>
        <v>16893.947099999998</v>
      </c>
      <c r="L27" s="209" cm="1">
        <f t="array" ref="L27">IF(SUMPRODUCT(('IGU(2020)_LNG_TRADE'!$C$3:$V$3=$A27)*('IGU(2020)_LNG_TRADE'!$A$5:$A$46=L$6))=0,0,SUMPRODUCT(('IGU(2020)_LNG_TRADE'!$C$3:$V$3=$A27)*('IGU(2020)_LNG_TRADE'!$A$5:$A$46=L$6)*'IGU(2020)_LNG_TRADE'!$C$5:$V$46)*10^6*Legend!$B$92*Legend!$B$82*Legend!$B$84*10^-3)</f>
        <v>33787.894199999995</v>
      </c>
      <c r="M27" s="209" cm="1">
        <f t="array" ref="M27">IF(SUMPRODUCT(('IGU(2020)_LNG_TRADE'!$C$3:$V$3=$A27)*('IGU(2020)_LNG_TRADE'!$A$5:$A$46=M$6))=0,0,SUMPRODUCT(('IGU(2020)_LNG_TRADE'!$C$3:$V$3=$A27)*('IGU(2020)_LNG_TRADE'!$A$5:$A$46=M$6)*'IGU(2020)_LNG_TRADE'!$C$5:$V$46)*10^6*Legend!$B$92*Legend!$B$82*Legend!$B$84*10^-3)</f>
        <v>84469.735499999995</v>
      </c>
      <c r="N27" s="209" cm="1">
        <f t="array" ref="N27">IF(SUMPRODUCT(('IGU(2020)_LNG_TRADE'!$C$3:$V$3=$A27)*('IGU(2020)_LNG_TRADE'!$A$5:$A$46=N$6))=0,0,SUMPRODUCT(('IGU(2020)_LNG_TRADE'!$C$3:$V$3=$A27)*('IGU(2020)_LNG_TRADE'!$A$5:$A$46=N$6)*'IGU(2020)_LNG_TRADE'!$C$5:$V$46)*10^6*Legend!$B$92*Legend!$B$82*Legend!$B$84*10^-3)</f>
        <v>0</v>
      </c>
      <c r="O27" s="209" cm="1">
        <f t="array" ref="O27">IF(SUMPRODUCT(('IGU(2020)_LNG_TRADE'!$C$3:$V$3=$A27)*('IGU(2020)_LNG_TRADE'!$A$5:$A$46=O$6))=0,0,SUMPRODUCT(('IGU(2020)_LNG_TRADE'!$C$3:$V$3=$A27)*('IGU(2020)_LNG_TRADE'!$A$5:$A$46=O$6)*'IGU(2020)_LNG_TRADE'!$C$5:$V$46)*10^6*Legend!$B$92*Legend!$B$82*Legend!$B$84*10^-3)</f>
        <v>50681.841299999985</v>
      </c>
      <c r="P27" s="209" cm="1">
        <f t="array" ref="P27">IF(SUMPRODUCT(('IGU(2020)_LNG_TRADE'!$C$3:$V$3=$A27)*('IGU(2020)_LNG_TRADE'!$A$5:$A$46=P$6))=0,0,SUMPRODUCT(('IGU(2020)_LNG_TRADE'!$C$3:$V$3=$A27)*('IGU(2020)_LNG_TRADE'!$A$5:$A$46=P$6)*'IGU(2020)_LNG_TRADE'!$C$5:$V$46)*10^6*Legend!$B$92*Legend!$B$82*Legend!$B$84*10^-3)</f>
        <v>0</v>
      </c>
      <c r="Q27" s="209" cm="1">
        <f t="array" ref="Q27">IF(SUMPRODUCT(('IGU(2020)_LNG_TRADE'!$C$3:$V$3=$A27)*('IGU(2020)_LNG_TRADE'!$A$5:$A$46=Q$6))=0,0,SUMPRODUCT(('IGU(2020)_LNG_TRADE'!$C$3:$V$3=$A27)*('IGU(2020)_LNG_TRADE'!$A$5:$A$46=Q$6)*'IGU(2020)_LNG_TRADE'!$C$5:$V$46)*10^6*Legend!$B$92*Legend!$B$82*Legend!$B$84*10^-3)</f>
        <v>247777.89079999999</v>
      </c>
      <c r="R27" s="209" cm="1">
        <f t="array" ref="R27">IF(SUMPRODUCT(('IGU(2020)_LNG_TRADE'!$C$3:$V$3=$A27)*('IGU(2020)_LNG_TRADE'!$A$5:$A$46=R$6))=0,0,SUMPRODUCT(('IGU(2020)_LNG_TRADE'!$C$3:$V$3=$A27)*('IGU(2020)_LNG_TRADE'!$A$5:$A$46=R$6)*'IGU(2020)_LNG_TRADE'!$C$5:$V$46)*10^6*Legend!$B$92*Legend!$B$82*Legend!$B$84*10^-3)</f>
        <v>22525.262799999993</v>
      </c>
      <c r="S27" s="209" cm="1">
        <f t="array" ref="S27">IF(SUMPRODUCT(('IGU(2020)_LNG_TRADE'!$C$3:$V$3=$A27)*('IGU(2020)_LNG_TRADE'!$A$5:$A$46=S$6))=0,0,SUMPRODUCT(('IGU(2020)_LNG_TRADE'!$C$3:$V$3=$A27)*('IGU(2020)_LNG_TRADE'!$A$5:$A$46=S$6)*'IGU(2020)_LNG_TRADE'!$C$5:$V$46)*10^6*Legend!$B$92*Legend!$B$82*Legend!$B$84*10^-3)</f>
        <v>0</v>
      </c>
      <c r="T27" s="209" cm="1">
        <f t="array" ref="T27">IF(SUMPRODUCT(('IGU(2020)_LNG_TRADE'!$C$3:$V$3=$A27)*('IGU(2020)_LNG_TRADE'!$A$5:$A$46=T$6))=0,0,SUMPRODUCT(('IGU(2020)_LNG_TRADE'!$C$3:$V$3=$A27)*('IGU(2020)_LNG_TRADE'!$A$5:$A$46=T$6)*'IGU(2020)_LNG_TRADE'!$C$5:$V$46)*10^6*Legend!$B$92*Legend!$B$82*Legend!$B$84*10^-3)</f>
        <v>5631.3156999999983</v>
      </c>
      <c r="U27" s="209" cm="1">
        <f t="array" ref="U27">IF(SUMPRODUCT(('IGU(2020)_LNG_TRADE'!$C$3:$V$3=$A27)*('IGU(2020)_LNG_TRADE'!$A$5:$A$46=U$6))=0,0,SUMPRODUCT(('IGU(2020)_LNG_TRADE'!$C$3:$V$3=$A27)*('IGU(2020)_LNG_TRADE'!$A$5:$A$46=U$6)*'IGU(2020)_LNG_TRADE'!$C$5:$V$46)*10^6*Legend!$B$92*Legend!$B$82*Legend!$B$84*10^-3)</f>
        <v>39419.209900000002</v>
      </c>
      <c r="V27" s="209" cm="1">
        <f t="array" ref="V27">IF(SUMPRODUCT(('IGU(2020)_LNG_TRADE'!$C$3:$V$3=$A27)*('IGU(2020)_LNG_TRADE'!$A$5:$A$46=V$6))=0,0,SUMPRODUCT(('IGU(2020)_LNG_TRADE'!$C$3:$V$3=$A27)*('IGU(2020)_LNG_TRADE'!$A$5:$A$46=V$6)*'IGU(2020)_LNG_TRADE'!$C$5:$V$46)*10^6*Legend!$B$92*Legend!$B$82*Legend!$B$84*10^-3)</f>
        <v>84469.735499999995</v>
      </c>
      <c r="W27" s="209" cm="1">
        <f t="array" ref="W27">IF(SUMPRODUCT(('IGU(2020)_LNG_TRADE'!$C$3:$V$3=$A27)*('IGU(2020)_LNG_TRADE'!$A$5:$A$46=W$6))=0,0,SUMPRODUCT(('IGU(2020)_LNG_TRADE'!$C$3:$V$3=$A27)*('IGU(2020)_LNG_TRADE'!$A$5:$A$46=W$6)*'IGU(2020)_LNG_TRADE'!$C$5:$V$46)*10^6*Legend!$B$92*Legend!$B$82*Legend!$B$84*10^-3)</f>
        <v>50681.841299999985</v>
      </c>
      <c r="X27" s="209" cm="1">
        <f t="array" ref="X27">IF(SUMPRODUCT(('IGU(2020)_LNG_TRADE'!$C$3:$V$3=$A27)*('IGU(2020)_LNG_TRADE'!$A$5:$A$46=X$6))=0,0,SUMPRODUCT(('IGU(2020)_LNG_TRADE'!$C$3:$V$3=$A27)*('IGU(2020)_LNG_TRADE'!$A$5:$A$46=X$6)*'IGU(2020)_LNG_TRADE'!$C$5:$V$46)*10^6*Legend!$B$92*Legend!$B$82*Legend!$B$84*10^-3)</f>
        <v>11262.631399999997</v>
      </c>
      <c r="Y27" s="209" cm="1">
        <f t="array" ref="Y27">IF(SUMPRODUCT(('IGU(2020)_LNG_TRADE'!$C$3:$V$3=$A27)*('IGU(2020)_LNG_TRADE'!$A$5:$A$46=Y$6))=0,0,SUMPRODUCT(('IGU(2020)_LNG_TRADE'!$C$3:$V$3=$A27)*('IGU(2020)_LNG_TRADE'!$A$5:$A$46=Y$6)*'IGU(2020)_LNG_TRADE'!$C$5:$V$46)*10^6*Legend!$B$92*Legend!$B$82*Legend!$B$84*10^-3)</f>
        <v>22525.262799999993</v>
      </c>
      <c r="Z27" s="209" cm="1">
        <f t="array" ref="Z27">IF(SUMPRODUCT(('IGU(2020)_LNG_TRADE'!$C$3:$V$3=$A27)*('IGU(2020)_LNG_TRADE'!$A$5:$A$46=Z$6))=0,0,SUMPRODUCT(('IGU(2020)_LNG_TRADE'!$C$3:$V$3=$A27)*('IGU(2020)_LNG_TRADE'!$A$5:$A$46=Z$6)*'IGU(2020)_LNG_TRADE'!$C$5:$V$46)*10^6*Legend!$B$92*Legend!$B$82*Legend!$B$84*10^-3)</f>
        <v>0</v>
      </c>
      <c r="AA27" s="209" cm="1">
        <f t="array" ref="AA27">IF(SUMPRODUCT(('IGU(2020)_LNG_TRADE'!$C$3:$V$3=$A27)*('IGU(2020)_LNG_TRADE'!$A$5:$A$46=AA$6))=0,0,SUMPRODUCT(('IGU(2020)_LNG_TRADE'!$C$3:$V$3=$A27)*('IGU(2020)_LNG_TRADE'!$A$5:$A$46=AA$6)*'IGU(2020)_LNG_TRADE'!$C$5:$V$46)*10^6*Legend!$B$92*Legend!$B$82*Legend!$B$84*10^-3)</f>
        <v>0</v>
      </c>
      <c r="AB27" s="209" cm="1">
        <f t="array" ref="AB27">IF(SUMPRODUCT(('IGU(2020)_LNG_TRADE'!$C$3:$V$3=$A27)*('IGU(2020)_LNG_TRADE'!$A$5:$A$46=AB$6))=0,0,SUMPRODUCT(('IGU(2020)_LNG_TRADE'!$C$3:$V$3=$A27)*('IGU(2020)_LNG_TRADE'!$A$5:$A$46=AB$6)*'IGU(2020)_LNG_TRADE'!$C$5:$V$46)*10^6*Legend!$B$92*Legend!$B$82*Legend!$B$84*10^-3)</f>
        <v>84469.73550000001</v>
      </c>
      <c r="AC27" s="220" cm="1">
        <f t="array" ref="AC27">IF(SUMPRODUCT(('IGU(2020)_LNG_TRADE'!$C$3:$V$3=$A27)*('IGU(2020)_LNG_TRADE'!$A$5:$A$46=AC$6))=0,0,SUMPRODUCT(('IGU(2020)_LNG_TRADE'!$C$3:$V$3=$A27)*('IGU(2020)_LNG_TRADE'!$A$5:$A$46=AC$6)*'IGU(2020)_LNG_TRADE'!$C$5:$V$46)*10^6*Legend!$B$92*Legend!$B$82*Legend!$B$84*10^-3)</f>
        <v>129520.2611</v>
      </c>
    </row>
    <row r="28" spans="1:29">
      <c r="A28" s="215" t="s">
        <v>230</v>
      </c>
      <c r="B28" s="209" cm="1">
        <f t="array" ref="B28">IF(SUMPRODUCT(('IGU(2020)_LNG_TRADE'!$C$3:$V$3=$A28)*('IGU(2020)_LNG_TRADE'!$A$5:$A$46=B$6))=0,0,SUMPRODUCT(('IGU(2020)_LNG_TRADE'!$C$3:$V$3=$A28)*('IGU(2020)_LNG_TRADE'!$A$5:$A$46=B$6)*'IGU(2020)_LNG_TRADE'!$C$5:$V$46)*10^6*Legend!$B$92*Legend!$B$82*Legend!$B$84*10^-3)</f>
        <v>0</v>
      </c>
      <c r="C28" s="209" cm="1">
        <f t="array" ref="C28">IF(SUMPRODUCT(('IGU(2020)_LNG_TRADE'!$C$3:$V$3=$A28)*('IGU(2020)_LNG_TRADE'!$A$5:$A$46=C$6))=0,0,SUMPRODUCT(('IGU(2020)_LNG_TRADE'!$C$3:$V$3=$A28)*('IGU(2020)_LNG_TRADE'!$A$5:$A$46=C$6)*'IGU(2020)_LNG_TRADE'!$C$5:$V$46)*10^6*Legend!$B$92*Legend!$B$82*Legend!$B$84*10^-3)</f>
        <v>0</v>
      </c>
      <c r="D28" s="209" cm="1">
        <f t="array" ref="D28">IF(SUMPRODUCT(('IGU(2020)_LNG_TRADE'!$C$3:$V$3=$A28)*('IGU(2020)_LNG_TRADE'!$A$5:$A$46=D$6))=0,0,SUMPRODUCT(('IGU(2020)_LNG_TRADE'!$C$3:$V$3=$A28)*('IGU(2020)_LNG_TRADE'!$A$5:$A$46=D$6)*'IGU(2020)_LNG_TRADE'!$C$5:$V$46)*10^6*Legend!$B$92*Legend!$B$82*Legend!$B$84*10^-3)</f>
        <v>0</v>
      </c>
      <c r="E28" s="209" cm="1">
        <f t="array" ref="E28">IF(SUMPRODUCT(('IGU(2020)_LNG_TRADE'!$C$3:$V$3=$A28)*('IGU(2020)_LNG_TRADE'!$A$5:$A$46=E$6))=0,0,SUMPRODUCT(('IGU(2020)_LNG_TRADE'!$C$3:$V$3=$A28)*('IGU(2020)_LNG_TRADE'!$A$5:$A$46=E$6)*'IGU(2020)_LNG_TRADE'!$C$5:$V$46)*10^6*Legend!$B$92*Legend!$B$82*Legend!$B$84*10^-3)</f>
        <v>0</v>
      </c>
      <c r="F28" s="209" cm="1">
        <f t="array" ref="F28">IF(SUMPRODUCT(('IGU(2020)_LNG_TRADE'!$C$3:$V$3=$A28)*('IGU(2020)_LNG_TRADE'!$A$5:$A$46=F$6))=0,0,SUMPRODUCT(('IGU(2020)_LNG_TRADE'!$C$3:$V$3=$A28)*('IGU(2020)_LNG_TRADE'!$A$5:$A$46=F$6)*'IGU(2020)_LNG_TRADE'!$C$5:$V$46)*10^6*Legend!$B$92*Legend!$B$82*Legend!$B$84*10^-3)</f>
        <v>0</v>
      </c>
      <c r="G28" s="209" cm="1">
        <f t="array" ref="G28">IF(SUMPRODUCT(('IGU(2020)_LNG_TRADE'!$C$3:$V$3=$A28)*('IGU(2020)_LNG_TRADE'!$A$5:$A$46=G$6))=0,0,SUMPRODUCT(('IGU(2020)_LNG_TRADE'!$C$3:$V$3=$A28)*('IGU(2020)_LNG_TRADE'!$A$5:$A$46=G$6)*'IGU(2020)_LNG_TRADE'!$C$5:$V$46)*10^6*Legend!$B$92*Legend!$B$82*Legend!$B$84*10^-3)</f>
        <v>0</v>
      </c>
      <c r="H28" s="209" cm="1">
        <f t="array" ref="H28">IF(SUMPRODUCT(('IGU(2020)_LNG_TRADE'!$C$3:$V$3=$A28)*('IGU(2020)_LNG_TRADE'!$A$5:$A$46=H$6))=0,0,SUMPRODUCT(('IGU(2020)_LNG_TRADE'!$C$3:$V$3=$A28)*('IGU(2020)_LNG_TRADE'!$A$5:$A$46=H$6)*'IGU(2020)_LNG_TRADE'!$C$5:$V$46)*10^6*Legend!$B$92*Legend!$B$82*Legend!$B$84*10^-3)</f>
        <v>0</v>
      </c>
      <c r="I28" s="209" cm="1">
        <f t="array" ref="I28">IF(SUMPRODUCT(('IGU(2020)_LNG_TRADE'!$C$3:$V$3=$A28)*('IGU(2020)_LNG_TRADE'!$A$5:$A$46=I$6))=0,0,SUMPRODUCT(('IGU(2020)_LNG_TRADE'!$C$3:$V$3=$A28)*('IGU(2020)_LNG_TRADE'!$A$5:$A$46=I$6)*'IGU(2020)_LNG_TRADE'!$C$5:$V$46)*10^6*Legend!$B$92*Legend!$B$82*Legend!$B$84*10^-3)</f>
        <v>0</v>
      </c>
      <c r="J28" s="209" cm="1">
        <f t="array" ref="J28">IF(SUMPRODUCT(('IGU(2020)_LNG_TRADE'!$C$3:$V$3=$A28)*('IGU(2020)_LNG_TRADE'!$A$5:$A$46=J$6))=0,0,SUMPRODUCT(('IGU(2020)_LNG_TRADE'!$C$3:$V$3=$A28)*('IGU(2020)_LNG_TRADE'!$A$5:$A$46=J$6)*'IGU(2020)_LNG_TRADE'!$C$5:$V$46)*10^6*Legend!$B$92*Legend!$B$82*Legend!$B$84*10^-3)</f>
        <v>0</v>
      </c>
      <c r="K28" s="209" cm="1">
        <f t="array" ref="K28">IF(SUMPRODUCT(('IGU(2020)_LNG_TRADE'!$C$3:$V$3=$A28)*('IGU(2020)_LNG_TRADE'!$A$5:$A$46=K$6))=0,0,SUMPRODUCT(('IGU(2020)_LNG_TRADE'!$C$3:$V$3=$A28)*('IGU(2020)_LNG_TRADE'!$A$5:$A$46=K$6)*'IGU(2020)_LNG_TRADE'!$C$5:$V$46)*10^6*Legend!$B$92*Legend!$B$82*Legend!$B$84*10^-3)</f>
        <v>0</v>
      </c>
      <c r="L28" s="209" cm="1">
        <f t="array" ref="L28">IF(SUMPRODUCT(('IGU(2020)_LNG_TRADE'!$C$3:$V$3=$A28)*('IGU(2020)_LNG_TRADE'!$A$5:$A$46=L$6))=0,0,SUMPRODUCT(('IGU(2020)_LNG_TRADE'!$C$3:$V$3=$A28)*('IGU(2020)_LNG_TRADE'!$A$5:$A$46=L$6)*'IGU(2020)_LNG_TRADE'!$C$5:$V$46)*10^6*Legend!$B$92*Legend!$B$82*Legend!$B$84*10^-3)</f>
        <v>0</v>
      </c>
      <c r="M28" s="209" cm="1">
        <f t="array" ref="M28">IF(SUMPRODUCT(('IGU(2020)_LNG_TRADE'!$C$3:$V$3=$A28)*('IGU(2020)_LNG_TRADE'!$A$5:$A$46=M$6))=0,0,SUMPRODUCT(('IGU(2020)_LNG_TRADE'!$C$3:$V$3=$A28)*('IGU(2020)_LNG_TRADE'!$A$5:$A$46=M$6)*'IGU(2020)_LNG_TRADE'!$C$5:$V$46)*10^6*Legend!$B$92*Legend!$B$82*Legend!$B$84*10^-3)</f>
        <v>0</v>
      </c>
      <c r="N28" s="209" cm="1">
        <f t="array" ref="N28">IF(SUMPRODUCT(('IGU(2020)_LNG_TRADE'!$C$3:$V$3=$A28)*('IGU(2020)_LNG_TRADE'!$A$5:$A$46=N$6))=0,0,SUMPRODUCT(('IGU(2020)_LNG_TRADE'!$C$3:$V$3=$A28)*('IGU(2020)_LNG_TRADE'!$A$5:$A$46=N$6)*'IGU(2020)_LNG_TRADE'!$C$5:$V$46)*10^6*Legend!$B$92*Legend!$B$82*Legend!$B$84*10^-3)</f>
        <v>0</v>
      </c>
      <c r="O28" s="209" cm="1">
        <f t="array" ref="O28">IF(SUMPRODUCT(('IGU(2020)_LNG_TRADE'!$C$3:$V$3=$A28)*('IGU(2020)_LNG_TRADE'!$A$5:$A$46=O$6))=0,0,SUMPRODUCT(('IGU(2020)_LNG_TRADE'!$C$3:$V$3=$A28)*('IGU(2020)_LNG_TRADE'!$A$5:$A$46=O$6)*'IGU(2020)_LNG_TRADE'!$C$5:$V$46)*10^6*Legend!$B$92*Legend!$B$82*Legend!$B$84*10^-3)</f>
        <v>0</v>
      </c>
      <c r="P28" s="209" cm="1">
        <f t="array" ref="P28">IF(SUMPRODUCT(('IGU(2020)_LNG_TRADE'!$C$3:$V$3=$A28)*('IGU(2020)_LNG_TRADE'!$A$5:$A$46=P$6))=0,0,SUMPRODUCT(('IGU(2020)_LNG_TRADE'!$C$3:$V$3=$A28)*('IGU(2020)_LNG_TRADE'!$A$5:$A$46=P$6)*'IGU(2020)_LNG_TRADE'!$C$5:$V$46)*10^6*Legend!$B$92*Legend!$B$82*Legend!$B$84*10^-3)</f>
        <v>0</v>
      </c>
      <c r="Q28" s="209" cm="1">
        <f t="array" ref="Q28">IF(SUMPRODUCT(('IGU(2020)_LNG_TRADE'!$C$3:$V$3=$A28)*('IGU(2020)_LNG_TRADE'!$A$5:$A$46=Q$6))=0,0,SUMPRODUCT(('IGU(2020)_LNG_TRADE'!$C$3:$V$3=$A28)*('IGU(2020)_LNG_TRADE'!$A$5:$A$46=Q$6)*'IGU(2020)_LNG_TRADE'!$C$5:$V$46)*10^6*Legend!$B$92*Legend!$B$82*Legend!$B$84*10^-3)</f>
        <v>0</v>
      </c>
      <c r="R28" s="209" cm="1">
        <f t="array" ref="R28">IF(SUMPRODUCT(('IGU(2020)_LNG_TRADE'!$C$3:$V$3=$A28)*('IGU(2020)_LNG_TRADE'!$A$5:$A$46=R$6))=0,0,SUMPRODUCT(('IGU(2020)_LNG_TRADE'!$C$3:$V$3=$A28)*('IGU(2020)_LNG_TRADE'!$A$5:$A$46=R$6)*'IGU(2020)_LNG_TRADE'!$C$5:$V$46)*10^6*Legend!$B$92*Legend!$B$82*Legend!$B$84*10^-3)</f>
        <v>0</v>
      </c>
      <c r="S28" s="209" cm="1">
        <f t="array" ref="S28">IF(SUMPRODUCT(('IGU(2020)_LNG_TRADE'!$C$3:$V$3=$A28)*('IGU(2020)_LNG_TRADE'!$A$5:$A$46=S$6))=0,0,SUMPRODUCT(('IGU(2020)_LNG_TRADE'!$C$3:$V$3=$A28)*('IGU(2020)_LNG_TRADE'!$A$5:$A$46=S$6)*'IGU(2020)_LNG_TRADE'!$C$5:$V$46)*10^6*Legend!$B$92*Legend!$B$82*Legend!$B$84*10^-3)</f>
        <v>0</v>
      </c>
      <c r="T28" s="209" cm="1">
        <f t="array" ref="T28">IF(SUMPRODUCT(('IGU(2020)_LNG_TRADE'!$C$3:$V$3=$A28)*('IGU(2020)_LNG_TRADE'!$A$5:$A$46=T$6))=0,0,SUMPRODUCT(('IGU(2020)_LNG_TRADE'!$C$3:$V$3=$A28)*('IGU(2020)_LNG_TRADE'!$A$5:$A$46=T$6)*'IGU(2020)_LNG_TRADE'!$C$5:$V$46)*10^6*Legend!$B$92*Legend!$B$82*Legend!$B$84*10^-3)</f>
        <v>0</v>
      </c>
      <c r="U28" s="209" cm="1">
        <f t="array" ref="U28">IF(SUMPRODUCT(('IGU(2020)_LNG_TRADE'!$C$3:$V$3=$A28)*('IGU(2020)_LNG_TRADE'!$A$5:$A$46=U$6))=0,0,SUMPRODUCT(('IGU(2020)_LNG_TRADE'!$C$3:$V$3=$A28)*('IGU(2020)_LNG_TRADE'!$A$5:$A$46=U$6)*'IGU(2020)_LNG_TRADE'!$C$5:$V$46)*10^6*Legend!$B$92*Legend!$B$82*Legend!$B$84*10^-3)</f>
        <v>0</v>
      </c>
      <c r="V28" s="209" cm="1">
        <f t="array" ref="V28">IF(SUMPRODUCT(('IGU(2020)_LNG_TRADE'!$C$3:$V$3=$A28)*('IGU(2020)_LNG_TRADE'!$A$5:$A$46=V$6))=0,0,SUMPRODUCT(('IGU(2020)_LNG_TRADE'!$C$3:$V$3=$A28)*('IGU(2020)_LNG_TRADE'!$A$5:$A$46=V$6)*'IGU(2020)_LNG_TRADE'!$C$5:$V$46)*10^6*Legend!$B$92*Legend!$B$82*Legend!$B$84*10^-3)</f>
        <v>0</v>
      </c>
      <c r="W28" s="209" cm="1">
        <f t="array" ref="W28">IF(SUMPRODUCT(('IGU(2020)_LNG_TRADE'!$C$3:$V$3=$A28)*('IGU(2020)_LNG_TRADE'!$A$5:$A$46=W$6))=0,0,SUMPRODUCT(('IGU(2020)_LNG_TRADE'!$C$3:$V$3=$A28)*('IGU(2020)_LNG_TRADE'!$A$5:$A$46=W$6)*'IGU(2020)_LNG_TRADE'!$C$5:$V$46)*10^6*Legend!$B$92*Legend!$B$82*Legend!$B$84*10^-3)</f>
        <v>0</v>
      </c>
      <c r="X28" s="209" cm="1">
        <f t="array" ref="X28">IF(SUMPRODUCT(('IGU(2020)_LNG_TRADE'!$C$3:$V$3=$A28)*('IGU(2020)_LNG_TRADE'!$A$5:$A$46=X$6))=0,0,SUMPRODUCT(('IGU(2020)_LNG_TRADE'!$C$3:$V$3=$A28)*('IGU(2020)_LNG_TRADE'!$A$5:$A$46=X$6)*'IGU(2020)_LNG_TRADE'!$C$5:$V$46)*10^6*Legend!$B$92*Legend!$B$82*Legend!$B$84*10^-3)</f>
        <v>0</v>
      </c>
      <c r="Y28" s="209" cm="1">
        <f t="array" ref="Y28">IF(SUMPRODUCT(('IGU(2020)_LNG_TRADE'!$C$3:$V$3=$A28)*('IGU(2020)_LNG_TRADE'!$A$5:$A$46=Y$6))=0,0,SUMPRODUCT(('IGU(2020)_LNG_TRADE'!$C$3:$V$3=$A28)*('IGU(2020)_LNG_TRADE'!$A$5:$A$46=Y$6)*'IGU(2020)_LNG_TRADE'!$C$5:$V$46)*10^6*Legend!$B$92*Legend!$B$82*Legend!$B$84*10^-3)</f>
        <v>0</v>
      </c>
      <c r="Z28" s="209" cm="1">
        <f t="array" ref="Z28">IF(SUMPRODUCT(('IGU(2020)_LNG_TRADE'!$C$3:$V$3=$A28)*('IGU(2020)_LNG_TRADE'!$A$5:$A$46=Z$6))=0,0,SUMPRODUCT(('IGU(2020)_LNG_TRADE'!$C$3:$V$3=$A28)*('IGU(2020)_LNG_TRADE'!$A$5:$A$46=Z$6)*'IGU(2020)_LNG_TRADE'!$C$5:$V$46)*10^6*Legend!$B$92*Legend!$B$82*Legend!$B$84*10^-3)</f>
        <v>0</v>
      </c>
      <c r="AA28" s="209" cm="1">
        <f t="array" ref="AA28">IF(SUMPRODUCT(('IGU(2020)_LNG_TRADE'!$C$3:$V$3=$A28)*('IGU(2020)_LNG_TRADE'!$A$5:$A$46=AA$6))=0,0,SUMPRODUCT(('IGU(2020)_LNG_TRADE'!$C$3:$V$3=$A28)*('IGU(2020)_LNG_TRADE'!$A$5:$A$46=AA$6)*'IGU(2020)_LNG_TRADE'!$C$5:$V$46)*10^6*Legend!$B$92*Legend!$B$82*Legend!$B$84*10^-3)</f>
        <v>0</v>
      </c>
      <c r="AB28" s="209" cm="1">
        <f t="array" ref="AB28">IF(SUMPRODUCT(('IGU(2020)_LNG_TRADE'!$C$3:$V$3=$A28)*('IGU(2020)_LNG_TRADE'!$A$5:$A$46=AB$6))=0,0,SUMPRODUCT(('IGU(2020)_LNG_TRADE'!$C$3:$V$3=$A28)*('IGU(2020)_LNG_TRADE'!$A$5:$A$46=AB$6)*'IGU(2020)_LNG_TRADE'!$C$5:$V$46)*10^6*Legend!$B$92*Legend!$B$82*Legend!$B$84*10^-3)</f>
        <v>0</v>
      </c>
      <c r="AC28" s="220" cm="1">
        <f t="array" ref="AC28">IF(SUMPRODUCT(('IGU(2020)_LNG_TRADE'!$C$3:$V$3=$A28)*('IGU(2020)_LNG_TRADE'!$A$5:$A$46=AC$6))=0,0,SUMPRODUCT(('IGU(2020)_LNG_TRADE'!$C$3:$V$3=$A28)*('IGU(2020)_LNG_TRADE'!$A$5:$A$46=AC$6)*'IGU(2020)_LNG_TRADE'!$C$5:$V$46)*10^6*Legend!$B$92*Legend!$B$82*Legend!$B$84*10^-3)</f>
        <v>0</v>
      </c>
    </row>
    <row r="29" spans="1:29">
      <c r="A29" s="215" t="s">
        <v>233</v>
      </c>
      <c r="B29" s="209" cm="1">
        <f t="array" ref="B29">IF(SUMPRODUCT(('IGU(2020)_LNG_TRADE'!$C$3:$V$3=$A29)*('IGU(2020)_LNG_TRADE'!$A$5:$A$46=B$6))=0,0,SUMPRODUCT(('IGU(2020)_LNG_TRADE'!$C$3:$V$3=$A29)*('IGU(2020)_LNG_TRADE'!$A$5:$A$46=B$6)*'IGU(2020)_LNG_TRADE'!$C$5:$V$46)*10^6*Legend!$B$92*Legend!$B$82*Legend!$B$84*10^-3)</f>
        <v>0</v>
      </c>
      <c r="C29" s="209" cm="1">
        <f t="array" ref="C29">IF(SUMPRODUCT(('IGU(2020)_LNG_TRADE'!$C$3:$V$3=$A29)*('IGU(2020)_LNG_TRADE'!$A$5:$A$46=C$6))=0,0,SUMPRODUCT(('IGU(2020)_LNG_TRADE'!$C$3:$V$3=$A29)*('IGU(2020)_LNG_TRADE'!$A$5:$A$46=C$6)*'IGU(2020)_LNG_TRADE'!$C$5:$V$46)*10^6*Legend!$B$92*Legend!$B$82*Legend!$B$84*10^-3)</f>
        <v>0</v>
      </c>
      <c r="D29" s="209" cm="1">
        <f t="array" ref="D29">IF(SUMPRODUCT(('IGU(2020)_LNG_TRADE'!$C$3:$V$3=$A29)*('IGU(2020)_LNG_TRADE'!$A$5:$A$46=D$6))=0,0,SUMPRODUCT(('IGU(2020)_LNG_TRADE'!$C$3:$V$3=$A29)*('IGU(2020)_LNG_TRADE'!$A$5:$A$46=D$6)*'IGU(2020)_LNG_TRADE'!$C$5:$V$46)*10^6*Legend!$B$92*Legend!$B$82*Legend!$B$84*10^-3)</f>
        <v>0</v>
      </c>
      <c r="E29" s="209" cm="1">
        <f t="array" ref="E29">IF(SUMPRODUCT(('IGU(2020)_LNG_TRADE'!$C$3:$V$3=$A29)*('IGU(2020)_LNG_TRADE'!$A$5:$A$46=E$6))=0,0,SUMPRODUCT(('IGU(2020)_LNG_TRADE'!$C$3:$V$3=$A29)*('IGU(2020)_LNG_TRADE'!$A$5:$A$46=E$6)*'IGU(2020)_LNG_TRADE'!$C$5:$V$46)*10^6*Legend!$B$92*Legend!$B$82*Legend!$B$84*10^-3)</f>
        <v>0</v>
      </c>
      <c r="F29" s="209" cm="1">
        <f t="array" ref="F29">IF(SUMPRODUCT(('IGU(2020)_LNG_TRADE'!$C$3:$V$3=$A29)*('IGU(2020)_LNG_TRADE'!$A$5:$A$46=F$6))=0,0,SUMPRODUCT(('IGU(2020)_LNG_TRADE'!$C$3:$V$3=$A29)*('IGU(2020)_LNG_TRADE'!$A$5:$A$46=F$6)*'IGU(2020)_LNG_TRADE'!$C$5:$V$46)*10^6*Legend!$B$92*Legend!$B$82*Legend!$B$84*10^-3)</f>
        <v>0</v>
      </c>
      <c r="G29" s="209" cm="1">
        <f t="array" ref="G29">IF(SUMPRODUCT(('IGU(2020)_LNG_TRADE'!$C$3:$V$3=$A29)*('IGU(2020)_LNG_TRADE'!$A$5:$A$46=G$6))=0,0,SUMPRODUCT(('IGU(2020)_LNG_TRADE'!$C$3:$V$3=$A29)*('IGU(2020)_LNG_TRADE'!$A$5:$A$46=G$6)*'IGU(2020)_LNG_TRADE'!$C$5:$V$46)*10^6*Legend!$B$92*Legend!$B$82*Legend!$B$84*10^-3)</f>
        <v>0</v>
      </c>
      <c r="H29" s="209" cm="1">
        <f t="array" ref="H29">IF(SUMPRODUCT(('IGU(2020)_LNG_TRADE'!$C$3:$V$3=$A29)*('IGU(2020)_LNG_TRADE'!$A$5:$A$46=H$6))=0,0,SUMPRODUCT(('IGU(2020)_LNG_TRADE'!$C$3:$V$3=$A29)*('IGU(2020)_LNG_TRADE'!$A$5:$A$46=H$6)*'IGU(2020)_LNG_TRADE'!$C$5:$V$46)*10^6*Legend!$B$92*Legend!$B$82*Legend!$B$84*10^-3)</f>
        <v>123888.9454</v>
      </c>
      <c r="I29" s="209" cm="1">
        <f t="array" ref="I29">IF(SUMPRODUCT(('IGU(2020)_LNG_TRADE'!$C$3:$V$3=$A29)*('IGU(2020)_LNG_TRADE'!$A$5:$A$46=I$6))=0,0,SUMPRODUCT(('IGU(2020)_LNG_TRADE'!$C$3:$V$3=$A29)*('IGU(2020)_LNG_TRADE'!$A$5:$A$46=I$6)*'IGU(2020)_LNG_TRADE'!$C$5:$V$46)*10^6*Legend!$B$92*Legend!$B$82*Legend!$B$84*10^-3)</f>
        <v>473030.51879999996</v>
      </c>
      <c r="J29" s="209" cm="1">
        <f t="array" ref="J29">IF(SUMPRODUCT(('IGU(2020)_LNG_TRADE'!$C$3:$V$3=$A29)*('IGU(2020)_LNG_TRADE'!$A$5:$A$46=J$6))=0,0,SUMPRODUCT(('IGU(2020)_LNG_TRADE'!$C$3:$V$3=$A29)*('IGU(2020)_LNG_TRADE'!$A$5:$A$46=J$6)*'IGU(2020)_LNG_TRADE'!$C$5:$V$46)*10^6*Legend!$B$92*Legend!$B$82*Legend!$B$84*10^-3)</f>
        <v>0</v>
      </c>
      <c r="K29" s="209" cm="1">
        <f t="array" ref="K29">IF(SUMPRODUCT(('IGU(2020)_LNG_TRADE'!$C$3:$V$3=$A29)*('IGU(2020)_LNG_TRADE'!$A$5:$A$46=K$6))=0,0,SUMPRODUCT(('IGU(2020)_LNG_TRADE'!$C$3:$V$3=$A29)*('IGU(2020)_LNG_TRADE'!$A$5:$A$46=K$6)*'IGU(2020)_LNG_TRADE'!$C$5:$V$46)*10^6*Legend!$B$92*Legend!$B$82*Legend!$B$84*10^-3)</f>
        <v>0</v>
      </c>
      <c r="L29" s="209" cm="1">
        <f t="array" ref="L29">IF(SUMPRODUCT(('IGU(2020)_LNG_TRADE'!$C$3:$V$3=$A29)*('IGU(2020)_LNG_TRADE'!$A$5:$A$46=L$6))=0,0,SUMPRODUCT(('IGU(2020)_LNG_TRADE'!$C$3:$V$3=$A29)*('IGU(2020)_LNG_TRADE'!$A$5:$A$46=L$6)*'IGU(2020)_LNG_TRADE'!$C$5:$V$46)*10^6*Legend!$B$92*Legend!$B$82*Legend!$B$84*10^-3)</f>
        <v>0</v>
      </c>
      <c r="M29" s="209" cm="1">
        <f t="array" ref="M29">IF(SUMPRODUCT(('IGU(2020)_LNG_TRADE'!$C$3:$V$3=$A29)*('IGU(2020)_LNG_TRADE'!$A$5:$A$46=M$6))=0,0,SUMPRODUCT(('IGU(2020)_LNG_TRADE'!$C$3:$V$3=$A29)*('IGU(2020)_LNG_TRADE'!$A$5:$A$46=M$6)*'IGU(2020)_LNG_TRADE'!$C$5:$V$46)*10^6*Legend!$B$92*Legend!$B$82*Legend!$B$84*10^-3)</f>
        <v>546237.62289999996</v>
      </c>
      <c r="N29" s="209" cm="1">
        <f t="array" ref="N29">IF(SUMPRODUCT(('IGU(2020)_LNG_TRADE'!$C$3:$V$3=$A29)*('IGU(2020)_LNG_TRADE'!$A$5:$A$46=N$6))=0,0,SUMPRODUCT(('IGU(2020)_LNG_TRADE'!$C$3:$V$3=$A29)*('IGU(2020)_LNG_TRADE'!$A$5:$A$46=N$6)*'IGU(2020)_LNG_TRADE'!$C$5:$V$46)*10^6*Legend!$B$92*Legend!$B$82*Legend!$B$84*10^-3)</f>
        <v>0</v>
      </c>
      <c r="O29" s="209" cm="1">
        <f t="array" ref="O29">IF(SUMPRODUCT(('IGU(2020)_LNG_TRADE'!$C$3:$V$3=$A29)*('IGU(2020)_LNG_TRADE'!$A$5:$A$46=O$6))=0,0,SUMPRODUCT(('IGU(2020)_LNG_TRADE'!$C$3:$V$3=$A29)*('IGU(2020)_LNG_TRADE'!$A$5:$A$46=O$6)*'IGU(2020)_LNG_TRADE'!$C$5:$V$46)*10^6*Legend!$B$92*Legend!$B$82*Legend!$B$84*10^-3)</f>
        <v>371666.83619999996</v>
      </c>
      <c r="P29" s="209" cm="1">
        <f t="array" ref="P29">IF(SUMPRODUCT(('IGU(2020)_LNG_TRADE'!$C$3:$V$3=$A29)*('IGU(2020)_LNG_TRADE'!$A$5:$A$46=P$6))=0,0,SUMPRODUCT(('IGU(2020)_LNG_TRADE'!$C$3:$V$3=$A29)*('IGU(2020)_LNG_TRADE'!$A$5:$A$46=P$6)*'IGU(2020)_LNG_TRADE'!$C$5:$V$46)*10^6*Legend!$B$92*Legend!$B$82*Legend!$B$84*10^-3)</f>
        <v>95732.366899999979</v>
      </c>
      <c r="Q29" s="209" cm="1">
        <f t="array" ref="Q29">IF(SUMPRODUCT(('IGU(2020)_LNG_TRADE'!$C$3:$V$3=$A29)*('IGU(2020)_LNG_TRADE'!$A$5:$A$46=Q$6))=0,0,SUMPRODUCT(('IGU(2020)_LNG_TRADE'!$C$3:$V$3=$A29)*('IGU(2020)_LNG_TRADE'!$A$5:$A$46=Q$6)*'IGU(2020)_LNG_TRADE'!$C$5:$V$46)*10^6*Legend!$B$92*Legend!$B$82*Legend!$B$84*10^-3)</f>
        <v>568762.8857000001</v>
      </c>
      <c r="R29" s="209" cm="1">
        <f t="array" ref="R29">IF(SUMPRODUCT(('IGU(2020)_LNG_TRADE'!$C$3:$V$3=$A29)*('IGU(2020)_LNG_TRADE'!$A$5:$A$46=R$6))=0,0,SUMPRODUCT(('IGU(2020)_LNG_TRADE'!$C$3:$V$3=$A29)*('IGU(2020)_LNG_TRADE'!$A$5:$A$46=R$6)*'IGU(2020)_LNG_TRADE'!$C$5:$V$46)*10^6*Legend!$B$92*Legend!$B$82*Legend!$B$84*10^-3)</f>
        <v>191464.73379999996</v>
      </c>
      <c r="S29" s="209" cm="1">
        <f t="array" ref="S29">IF(SUMPRODUCT(('IGU(2020)_LNG_TRADE'!$C$3:$V$3=$A29)*('IGU(2020)_LNG_TRADE'!$A$5:$A$46=S$6))=0,0,SUMPRODUCT(('IGU(2020)_LNG_TRADE'!$C$3:$V$3=$A29)*('IGU(2020)_LNG_TRADE'!$A$5:$A$46=S$6)*'IGU(2020)_LNG_TRADE'!$C$5:$V$46)*10^6*Legend!$B$92*Legend!$B$82*Legend!$B$84*10^-3)</f>
        <v>0</v>
      </c>
      <c r="T29" s="209" cm="1">
        <f t="array" ref="T29">IF(SUMPRODUCT(('IGU(2020)_LNG_TRADE'!$C$3:$V$3=$A29)*('IGU(2020)_LNG_TRADE'!$A$5:$A$46=T$6))=0,0,SUMPRODUCT(('IGU(2020)_LNG_TRADE'!$C$3:$V$3=$A29)*('IGU(2020)_LNG_TRADE'!$A$5:$A$46=T$6)*'IGU(2020)_LNG_TRADE'!$C$5:$V$46)*10^6*Legend!$B$92*Legend!$B$82*Legend!$B$84*10^-3)</f>
        <v>748964.98809999973</v>
      </c>
      <c r="U29" s="209" cm="1">
        <f t="array" ref="U29">IF(SUMPRODUCT(('IGU(2020)_LNG_TRADE'!$C$3:$V$3=$A29)*('IGU(2020)_LNG_TRADE'!$A$5:$A$46=U$6))=0,0,SUMPRODUCT(('IGU(2020)_LNG_TRADE'!$C$3:$V$3=$A29)*('IGU(2020)_LNG_TRADE'!$A$5:$A$46=U$6)*'IGU(2020)_LNG_TRADE'!$C$5:$V$46)*10^6*Legend!$B$92*Legend!$B$82*Legend!$B$84*10^-3)</f>
        <v>777121.56659999979</v>
      </c>
      <c r="V29" s="209" cm="1">
        <f t="array" ref="V29">IF(SUMPRODUCT(('IGU(2020)_LNG_TRADE'!$C$3:$V$3=$A29)*('IGU(2020)_LNG_TRADE'!$A$5:$A$46=V$6))=0,0,SUMPRODUCT(('IGU(2020)_LNG_TRADE'!$C$3:$V$3=$A29)*('IGU(2020)_LNG_TRADE'!$A$5:$A$46=V$6)*'IGU(2020)_LNG_TRADE'!$C$5:$V$46)*10^6*Legend!$B$92*Legend!$B$82*Legend!$B$84*10^-3)</f>
        <v>0</v>
      </c>
      <c r="W29" s="209" cm="1">
        <f t="array" ref="W29">IF(SUMPRODUCT(('IGU(2020)_LNG_TRADE'!$C$3:$V$3=$A29)*('IGU(2020)_LNG_TRADE'!$A$5:$A$46=W$6))=0,0,SUMPRODUCT(('IGU(2020)_LNG_TRADE'!$C$3:$V$3=$A29)*('IGU(2020)_LNG_TRADE'!$A$5:$A$46=W$6)*'IGU(2020)_LNG_TRADE'!$C$5:$V$46)*10^6*Legend!$B$92*Legend!$B$82*Legend!$B$84*10^-3)</f>
        <v>106994.99829999999</v>
      </c>
      <c r="X29" s="209" cm="1">
        <f t="array" ref="X29">IF(SUMPRODUCT(('IGU(2020)_LNG_TRADE'!$C$3:$V$3=$A29)*('IGU(2020)_LNG_TRADE'!$A$5:$A$46=X$6))=0,0,SUMPRODUCT(('IGU(2020)_LNG_TRADE'!$C$3:$V$3=$A29)*('IGU(2020)_LNG_TRADE'!$A$5:$A$46=X$6)*'IGU(2020)_LNG_TRADE'!$C$5:$V$46)*10^6*Legend!$B$92*Legend!$B$82*Legend!$B$84*10^-3)</f>
        <v>163308.15529999998</v>
      </c>
      <c r="Y29" s="209" cm="1">
        <f t="array" ref="Y29">IF(SUMPRODUCT(('IGU(2020)_LNG_TRADE'!$C$3:$V$3=$A29)*('IGU(2020)_LNG_TRADE'!$A$5:$A$46=Y$6))=0,0,SUMPRODUCT(('IGU(2020)_LNG_TRADE'!$C$3:$V$3=$A29)*('IGU(2020)_LNG_TRADE'!$A$5:$A$46=Y$6)*'IGU(2020)_LNG_TRADE'!$C$5:$V$46)*10^6*Legend!$B$92*Legend!$B$82*Legend!$B$84*10^-3)</f>
        <v>0</v>
      </c>
      <c r="Z29" s="209" cm="1">
        <f t="array" ref="Z29">IF(SUMPRODUCT(('IGU(2020)_LNG_TRADE'!$C$3:$V$3=$A29)*('IGU(2020)_LNG_TRADE'!$A$5:$A$46=Z$6))=0,0,SUMPRODUCT(('IGU(2020)_LNG_TRADE'!$C$3:$V$3=$A29)*('IGU(2020)_LNG_TRADE'!$A$5:$A$46=Z$6)*'IGU(2020)_LNG_TRADE'!$C$5:$V$46)*10^6*Legend!$B$92*Legend!$B$82*Legend!$B$84*10^-3)</f>
        <v>0</v>
      </c>
      <c r="AA29" s="209" cm="1">
        <f t="array" ref="AA29">IF(SUMPRODUCT(('IGU(2020)_LNG_TRADE'!$C$3:$V$3=$A29)*('IGU(2020)_LNG_TRADE'!$A$5:$A$46=AA$6))=0,0,SUMPRODUCT(('IGU(2020)_LNG_TRADE'!$C$3:$V$3=$A29)*('IGU(2020)_LNG_TRADE'!$A$5:$A$46=AA$6)*'IGU(2020)_LNG_TRADE'!$C$5:$V$46)*10^6*Legend!$B$92*Legend!$B$82*Legend!$B$84*10^-3)</f>
        <v>0</v>
      </c>
      <c r="AB29" s="209" cm="1">
        <f t="array" ref="AB29">IF(SUMPRODUCT(('IGU(2020)_LNG_TRADE'!$C$3:$V$3=$A29)*('IGU(2020)_LNG_TRADE'!$A$5:$A$46=AB$6))=0,0,SUMPRODUCT(('IGU(2020)_LNG_TRADE'!$C$3:$V$3=$A29)*('IGU(2020)_LNG_TRADE'!$A$5:$A$46=AB$6)*'IGU(2020)_LNG_TRADE'!$C$5:$V$46)*10^6*Legend!$B$92*Legend!$B$82*Legend!$B$84*10^-3)</f>
        <v>1131894.4556999996</v>
      </c>
      <c r="AC29" s="220" cm="1">
        <f t="array" ref="AC29">IF(SUMPRODUCT(('IGU(2020)_LNG_TRADE'!$C$3:$V$3=$A29)*('IGU(2020)_LNG_TRADE'!$A$5:$A$46=AC$6))=0,0,SUMPRODUCT(('IGU(2020)_LNG_TRADE'!$C$3:$V$3=$A29)*('IGU(2020)_LNG_TRADE'!$A$5:$A$46=AC$6)*'IGU(2020)_LNG_TRADE'!$C$5:$V$46)*10^6*Legend!$B$92*Legend!$B$82*Legend!$B$84*10^-3)</f>
        <v>0</v>
      </c>
    </row>
    <row r="30" spans="1:29">
      <c r="A30" s="215" t="s">
        <v>236</v>
      </c>
      <c r="B30" s="209" cm="1">
        <f t="array" ref="B30">IF(SUMPRODUCT(('IGU(2020)_LNG_TRADE'!$C$3:$V$3=$A30)*('IGU(2020)_LNG_TRADE'!$A$5:$A$46=B$6))=0,0,SUMPRODUCT(('IGU(2020)_LNG_TRADE'!$C$3:$V$3=$A30)*('IGU(2020)_LNG_TRADE'!$A$5:$A$46=B$6)*'IGU(2020)_LNG_TRADE'!$C$5:$V$46)*10^6*Legend!$B$92*Legend!$B$82*Legend!$B$84*10^-3)</f>
        <v>0</v>
      </c>
      <c r="C30" s="209" cm="1">
        <f t="array" ref="C30">IF(SUMPRODUCT(('IGU(2020)_LNG_TRADE'!$C$3:$V$3=$A30)*('IGU(2020)_LNG_TRADE'!$A$5:$A$46=C$6))=0,0,SUMPRODUCT(('IGU(2020)_LNG_TRADE'!$C$3:$V$3=$A30)*('IGU(2020)_LNG_TRADE'!$A$5:$A$46=C$6)*'IGU(2020)_LNG_TRADE'!$C$5:$V$46)*10^6*Legend!$B$92*Legend!$B$82*Legend!$B$84*10^-3)</f>
        <v>0</v>
      </c>
      <c r="D30" s="209" cm="1">
        <f t="array" ref="D30">IF(SUMPRODUCT(('IGU(2020)_LNG_TRADE'!$C$3:$V$3=$A30)*('IGU(2020)_LNG_TRADE'!$A$5:$A$46=D$6))=0,0,SUMPRODUCT(('IGU(2020)_LNG_TRADE'!$C$3:$V$3=$A30)*('IGU(2020)_LNG_TRADE'!$A$5:$A$46=D$6)*'IGU(2020)_LNG_TRADE'!$C$5:$V$46)*10^6*Legend!$B$92*Legend!$B$82*Legend!$B$84*10^-3)</f>
        <v>0</v>
      </c>
      <c r="E30" s="209" cm="1">
        <f t="array" ref="E30">IF(SUMPRODUCT(('IGU(2020)_LNG_TRADE'!$C$3:$V$3=$A30)*('IGU(2020)_LNG_TRADE'!$A$5:$A$46=E$6))=0,0,SUMPRODUCT(('IGU(2020)_LNG_TRADE'!$C$3:$V$3=$A30)*('IGU(2020)_LNG_TRADE'!$A$5:$A$46=E$6)*'IGU(2020)_LNG_TRADE'!$C$5:$V$46)*10^6*Legend!$B$92*Legend!$B$82*Legend!$B$84*10^-3)</f>
        <v>0</v>
      </c>
      <c r="F30" s="209" cm="1">
        <f t="array" ref="F30">IF(SUMPRODUCT(('IGU(2020)_LNG_TRADE'!$C$3:$V$3=$A30)*('IGU(2020)_LNG_TRADE'!$A$5:$A$46=F$6))=0,0,SUMPRODUCT(('IGU(2020)_LNG_TRADE'!$C$3:$V$3=$A30)*('IGU(2020)_LNG_TRADE'!$A$5:$A$46=F$6)*'IGU(2020)_LNG_TRADE'!$C$5:$V$46)*10^6*Legend!$B$92*Legend!$B$82*Legend!$B$84*10^-3)</f>
        <v>0</v>
      </c>
      <c r="G30" s="209" cm="1">
        <f t="array" ref="G30">IF(SUMPRODUCT(('IGU(2020)_LNG_TRADE'!$C$3:$V$3=$A30)*('IGU(2020)_LNG_TRADE'!$A$5:$A$46=G$6))=0,0,SUMPRODUCT(('IGU(2020)_LNG_TRADE'!$C$3:$V$3=$A30)*('IGU(2020)_LNG_TRADE'!$A$5:$A$46=G$6)*'IGU(2020)_LNG_TRADE'!$C$5:$V$46)*10^6*Legend!$B$92*Legend!$B$82*Legend!$B$84*10^-3)</f>
        <v>0</v>
      </c>
      <c r="H30" s="209" cm="1">
        <f t="array" ref="H30">IF(SUMPRODUCT(('IGU(2020)_LNG_TRADE'!$C$3:$V$3=$A30)*('IGU(2020)_LNG_TRADE'!$A$5:$A$46=H$6))=0,0,SUMPRODUCT(('IGU(2020)_LNG_TRADE'!$C$3:$V$3=$A30)*('IGU(2020)_LNG_TRADE'!$A$5:$A$46=H$6)*'IGU(2020)_LNG_TRADE'!$C$5:$V$46)*10^6*Legend!$B$92*Legend!$B$82*Legend!$B$84*10^-3)</f>
        <v>0</v>
      </c>
      <c r="I30" s="209" cm="1">
        <f t="array" ref="I30">IF(SUMPRODUCT(('IGU(2020)_LNG_TRADE'!$C$3:$V$3=$A30)*('IGU(2020)_LNG_TRADE'!$A$5:$A$46=I$6))=0,0,SUMPRODUCT(('IGU(2020)_LNG_TRADE'!$C$3:$V$3=$A30)*('IGU(2020)_LNG_TRADE'!$A$5:$A$46=I$6)*'IGU(2020)_LNG_TRADE'!$C$5:$V$46)*10^6*Legend!$B$92*Legend!$B$82*Legend!$B$84*10^-3)</f>
        <v>0</v>
      </c>
      <c r="J30" s="209" cm="1">
        <f t="array" ref="J30">IF(SUMPRODUCT(('IGU(2020)_LNG_TRADE'!$C$3:$V$3=$A30)*('IGU(2020)_LNG_TRADE'!$A$5:$A$46=J$6))=0,0,SUMPRODUCT(('IGU(2020)_LNG_TRADE'!$C$3:$V$3=$A30)*('IGU(2020)_LNG_TRADE'!$A$5:$A$46=J$6)*'IGU(2020)_LNG_TRADE'!$C$5:$V$46)*10^6*Legend!$B$92*Legend!$B$82*Legend!$B$84*10^-3)</f>
        <v>0</v>
      </c>
      <c r="K30" s="209" cm="1">
        <f t="array" ref="K30">IF(SUMPRODUCT(('IGU(2020)_LNG_TRADE'!$C$3:$V$3=$A30)*('IGU(2020)_LNG_TRADE'!$A$5:$A$46=K$6))=0,0,SUMPRODUCT(('IGU(2020)_LNG_TRADE'!$C$3:$V$3=$A30)*('IGU(2020)_LNG_TRADE'!$A$5:$A$46=K$6)*'IGU(2020)_LNG_TRADE'!$C$5:$V$46)*10^6*Legend!$B$92*Legend!$B$82*Legend!$B$84*10^-3)</f>
        <v>0</v>
      </c>
      <c r="L30" s="209" cm="1">
        <f t="array" ref="L30">IF(SUMPRODUCT(('IGU(2020)_LNG_TRADE'!$C$3:$V$3=$A30)*('IGU(2020)_LNG_TRADE'!$A$5:$A$46=L$6))=0,0,SUMPRODUCT(('IGU(2020)_LNG_TRADE'!$C$3:$V$3=$A30)*('IGU(2020)_LNG_TRADE'!$A$5:$A$46=L$6)*'IGU(2020)_LNG_TRADE'!$C$5:$V$46)*10^6*Legend!$B$92*Legend!$B$82*Legend!$B$84*10^-3)</f>
        <v>0</v>
      </c>
      <c r="M30" s="209" cm="1">
        <f t="array" ref="M30">IF(SUMPRODUCT(('IGU(2020)_LNG_TRADE'!$C$3:$V$3=$A30)*('IGU(2020)_LNG_TRADE'!$A$5:$A$46=M$6))=0,0,SUMPRODUCT(('IGU(2020)_LNG_TRADE'!$C$3:$V$3=$A30)*('IGU(2020)_LNG_TRADE'!$A$5:$A$46=M$6)*'IGU(2020)_LNG_TRADE'!$C$5:$V$46)*10^6*Legend!$B$92*Legend!$B$82*Legend!$B$84*10^-3)</f>
        <v>0</v>
      </c>
      <c r="N30" s="209" cm="1">
        <f t="array" ref="N30">IF(SUMPRODUCT(('IGU(2020)_LNG_TRADE'!$C$3:$V$3=$A30)*('IGU(2020)_LNG_TRADE'!$A$5:$A$46=N$6))=0,0,SUMPRODUCT(('IGU(2020)_LNG_TRADE'!$C$3:$V$3=$A30)*('IGU(2020)_LNG_TRADE'!$A$5:$A$46=N$6)*'IGU(2020)_LNG_TRADE'!$C$5:$V$46)*10^6*Legend!$B$92*Legend!$B$82*Legend!$B$84*10^-3)</f>
        <v>0</v>
      </c>
      <c r="O30" s="209" cm="1">
        <f t="array" ref="O30">IF(SUMPRODUCT(('IGU(2020)_LNG_TRADE'!$C$3:$V$3=$A30)*('IGU(2020)_LNG_TRADE'!$A$5:$A$46=O$6))=0,0,SUMPRODUCT(('IGU(2020)_LNG_TRADE'!$C$3:$V$3=$A30)*('IGU(2020)_LNG_TRADE'!$A$5:$A$46=O$6)*'IGU(2020)_LNG_TRADE'!$C$5:$V$46)*10^6*Legend!$B$92*Legend!$B$82*Legend!$B$84*10^-3)</f>
        <v>0</v>
      </c>
      <c r="P30" s="209" cm="1">
        <f t="array" ref="P30">IF(SUMPRODUCT(('IGU(2020)_LNG_TRADE'!$C$3:$V$3=$A30)*('IGU(2020)_LNG_TRADE'!$A$5:$A$46=P$6))=0,0,SUMPRODUCT(('IGU(2020)_LNG_TRADE'!$C$3:$V$3=$A30)*('IGU(2020)_LNG_TRADE'!$A$5:$A$46=P$6)*'IGU(2020)_LNG_TRADE'!$C$5:$V$46)*10^6*Legend!$B$92*Legend!$B$82*Legend!$B$84*10^-3)</f>
        <v>0</v>
      </c>
      <c r="Q30" s="209" cm="1">
        <f t="array" ref="Q30">IF(SUMPRODUCT(('IGU(2020)_LNG_TRADE'!$C$3:$V$3=$A30)*('IGU(2020)_LNG_TRADE'!$A$5:$A$46=Q$6))=0,0,SUMPRODUCT(('IGU(2020)_LNG_TRADE'!$C$3:$V$3=$A30)*('IGU(2020)_LNG_TRADE'!$A$5:$A$46=Q$6)*'IGU(2020)_LNG_TRADE'!$C$5:$V$46)*10^6*Legend!$B$92*Legend!$B$82*Legend!$B$84*10^-3)</f>
        <v>0</v>
      </c>
      <c r="R30" s="209" cm="1">
        <f t="array" ref="R30">IF(SUMPRODUCT(('IGU(2020)_LNG_TRADE'!$C$3:$V$3=$A30)*('IGU(2020)_LNG_TRADE'!$A$5:$A$46=R$6))=0,0,SUMPRODUCT(('IGU(2020)_LNG_TRADE'!$C$3:$V$3=$A30)*('IGU(2020)_LNG_TRADE'!$A$5:$A$46=R$6)*'IGU(2020)_LNG_TRADE'!$C$5:$V$46)*10^6*Legend!$B$92*Legend!$B$82*Legend!$B$84*10^-3)</f>
        <v>0</v>
      </c>
      <c r="S30" s="209" cm="1">
        <f t="array" ref="S30">IF(SUMPRODUCT(('IGU(2020)_LNG_TRADE'!$C$3:$V$3=$A30)*('IGU(2020)_LNG_TRADE'!$A$5:$A$46=S$6))=0,0,SUMPRODUCT(('IGU(2020)_LNG_TRADE'!$C$3:$V$3=$A30)*('IGU(2020)_LNG_TRADE'!$A$5:$A$46=S$6)*'IGU(2020)_LNG_TRADE'!$C$5:$V$46)*10^6*Legend!$B$92*Legend!$B$82*Legend!$B$84*10^-3)</f>
        <v>0</v>
      </c>
      <c r="T30" s="209" cm="1">
        <f t="array" ref="T30">IF(SUMPRODUCT(('IGU(2020)_LNG_TRADE'!$C$3:$V$3=$A30)*('IGU(2020)_LNG_TRADE'!$A$5:$A$46=T$6))=0,0,SUMPRODUCT(('IGU(2020)_LNG_TRADE'!$C$3:$V$3=$A30)*('IGU(2020)_LNG_TRADE'!$A$5:$A$46=T$6)*'IGU(2020)_LNG_TRADE'!$C$5:$V$46)*10^6*Legend!$B$92*Legend!$B$82*Legend!$B$84*10^-3)</f>
        <v>0</v>
      </c>
      <c r="U30" s="209" cm="1">
        <f t="array" ref="U30">IF(SUMPRODUCT(('IGU(2020)_LNG_TRADE'!$C$3:$V$3=$A30)*('IGU(2020)_LNG_TRADE'!$A$5:$A$46=U$6))=0,0,SUMPRODUCT(('IGU(2020)_LNG_TRADE'!$C$3:$V$3=$A30)*('IGU(2020)_LNG_TRADE'!$A$5:$A$46=U$6)*'IGU(2020)_LNG_TRADE'!$C$5:$V$46)*10^6*Legend!$B$92*Legend!$B$82*Legend!$B$84*10^-3)</f>
        <v>0</v>
      </c>
      <c r="V30" s="209" cm="1">
        <f t="array" ref="V30">IF(SUMPRODUCT(('IGU(2020)_LNG_TRADE'!$C$3:$V$3=$A30)*('IGU(2020)_LNG_TRADE'!$A$5:$A$46=V$6))=0,0,SUMPRODUCT(('IGU(2020)_LNG_TRADE'!$C$3:$V$3=$A30)*('IGU(2020)_LNG_TRADE'!$A$5:$A$46=V$6)*'IGU(2020)_LNG_TRADE'!$C$5:$V$46)*10^6*Legend!$B$92*Legend!$B$82*Legend!$B$84*10^-3)</f>
        <v>0</v>
      </c>
      <c r="W30" s="209" cm="1">
        <f t="array" ref="W30">IF(SUMPRODUCT(('IGU(2020)_LNG_TRADE'!$C$3:$V$3=$A30)*('IGU(2020)_LNG_TRADE'!$A$5:$A$46=W$6))=0,0,SUMPRODUCT(('IGU(2020)_LNG_TRADE'!$C$3:$V$3=$A30)*('IGU(2020)_LNG_TRADE'!$A$5:$A$46=W$6)*'IGU(2020)_LNG_TRADE'!$C$5:$V$46)*10^6*Legend!$B$92*Legend!$B$82*Legend!$B$84*10^-3)</f>
        <v>0</v>
      </c>
      <c r="X30" s="209" cm="1">
        <f t="array" ref="X30">IF(SUMPRODUCT(('IGU(2020)_LNG_TRADE'!$C$3:$V$3=$A30)*('IGU(2020)_LNG_TRADE'!$A$5:$A$46=X$6))=0,0,SUMPRODUCT(('IGU(2020)_LNG_TRADE'!$C$3:$V$3=$A30)*('IGU(2020)_LNG_TRADE'!$A$5:$A$46=X$6)*'IGU(2020)_LNG_TRADE'!$C$5:$V$46)*10^6*Legend!$B$92*Legend!$B$82*Legend!$B$84*10^-3)</f>
        <v>0</v>
      </c>
      <c r="Y30" s="209" cm="1">
        <f t="array" ref="Y30">IF(SUMPRODUCT(('IGU(2020)_LNG_TRADE'!$C$3:$V$3=$A30)*('IGU(2020)_LNG_TRADE'!$A$5:$A$46=Y$6))=0,0,SUMPRODUCT(('IGU(2020)_LNG_TRADE'!$C$3:$V$3=$A30)*('IGU(2020)_LNG_TRADE'!$A$5:$A$46=Y$6)*'IGU(2020)_LNG_TRADE'!$C$5:$V$46)*10^6*Legend!$B$92*Legend!$B$82*Legend!$B$84*10^-3)</f>
        <v>0</v>
      </c>
      <c r="Z30" s="209" cm="1">
        <f t="array" ref="Z30">IF(SUMPRODUCT(('IGU(2020)_LNG_TRADE'!$C$3:$V$3=$A30)*('IGU(2020)_LNG_TRADE'!$A$5:$A$46=Z$6))=0,0,SUMPRODUCT(('IGU(2020)_LNG_TRADE'!$C$3:$V$3=$A30)*('IGU(2020)_LNG_TRADE'!$A$5:$A$46=Z$6)*'IGU(2020)_LNG_TRADE'!$C$5:$V$46)*10^6*Legend!$B$92*Legend!$B$82*Legend!$B$84*10^-3)</f>
        <v>0</v>
      </c>
      <c r="AA30" s="209" cm="1">
        <f t="array" ref="AA30">IF(SUMPRODUCT(('IGU(2020)_LNG_TRADE'!$C$3:$V$3=$A30)*('IGU(2020)_LNG_TRADE'!$A$5:$A$46=AA$6))=0,0,SUMPRODUCT(('IGU(2020)_LNG_TRADE'!$C$3:$V$3=$A30)*('IGU(2020)_LNG_TRADE'!$A$5:$A$46=AA$6)*'IGU(2020)_LNG_TRADE'!$C$5:$V$46)*10^6*Legend!$B$92*Legend!$B$82*Legend!$B$84*10^-3)</f>
        <v>0</v>
      </c>
      <c r="AB30" s="209" cm="1">
        <f t="array" ref="AB30">IF(SUMPRODUCT(('IGU(2020)_LNG_TRADE'!$C$3:$V$3=$A30)*('IGU(2020)_LNG_TRADE'!$A$5:$A$46=AB$6))=0,0,SUMPRODUCT(('IGU(2020)_LNG_TRADE'!$C$3:$V$3=$A30)*('IGU(2020)_LNG_TRADE'!$A$5:$A$46=AB$6)*'IGU(2020)_LNG_TRADE'!$C$5:$V$46)*10^6*Legend!$B$92*Legend!$B$82*Legend!$B$84*10^-3)</f>
        <v>0</v>
      </c>
      <c r="AC30" s="220" cm="1">
        <f t="array" ref="AC30">IF(SUMPRODUCT(('IGU(2020)_LNG_TRADE'!$C$3:$V$3=$A30)*('IGU(2020)_LNG_TRADE'!$A$5:$A$46=AC$6))=0,0,SUMPRODUCT(('IGU(2020)_LNG_TRADE'!$C$3:$V$3=$A30)*('IGU(2020)_LNG_TRADE'!$A$5:$A$46=AC$6)*'IGU(2020)_LNG_TRADE'!$C$5:$V$46)*10^6*Legend!$B$92*Legend!$B$82*Legend!$B$84*10^-3)</f>
        <v>0</v>
      </c>
    </row>
    <row r="31" spans="1:29">
      <c r="A31" s="215" t="s">
        <v>238</v>
      </c>
      <c r="B31" s="209" cm="1">
        <f t="array" ref="B31">IF(SUMPRODUCT(('IGU(2020)_LNG_TRADE'!$C$3:$V$3=$A31)*('IGU(2020)_LNG_TRADE'!$A$5:$A$46=B$6))=0,0,SUMPRODUCT(('IGU(2020)_LNG_TRADE'!$C$3:$V$3=$A31)*('IGU(2020)_LNG_TRADE'!$A$5:$A$46=B$6)*'IGU(2020)_LNG_TRADE'!$C$5:$V$46)*10^6*Legend!$B$92*Legend!$B$82*Legend!$B$84*10^-3)</f>
        <v>0</v>
      </c>
      <c r="C31" s="209" cm="1">
        <f t="array" ref="C31">IF(SUMPRODUCT(('IGU(2020)_LNG_TRADE'!$C$3:$V$3=$A31)*('IGU(2020)_LNG_TRADE'!$A$5:$A$46=C$6))=0,0,SUMPRODUCT(('IGU(2020)_LNG_TRADE'!$C$3:$V$3=$A31)*('IGU(2020)_LNG_TRADE'!$A$5:$A$46=C$6)*'IGU(2020)_LNG_TRADE'!$C$5:$V$46)*10^6*Legend!$B$92*Legend!$B$82*Legend!$B$84*10^-3)</f>
        <v>0</v>
      </c>
      <c r="D31" s="209" cm="1">
        <f t="array" ref="D31">IF(SUMPRODUCT(('IGU(2020)_LNG_TRADE'!$C$3:$V$3=$A31)*('IGU(2020)_LNG_TRADE'!$A$5:$A$46=D$6))=0,0,SUMPRODUCT(('IGU(2020)_LNG_TRADE'!$C$3:$V$3=$A31)*('IGU(2020)_LNG_TRADE'!$A$5:$A$46=D$6)*'IGU(2020)_LNG_TRADE'!$C$5:$V$46)*10^6*Legend!$B$92*Legend!$B$82*Legend!$B$84*10^-3)</f>
        <v>0</v>
      </c>
      <c r="E31" s="209" cm="1">
        <f t="array" ref="E31">IF(SUMPRODUCT(('IGU(2020)_LNG_TRADE'!$C$3:$V$3=$A31)*('IGU(2020)_LNG_TRADE'!$A$5:$A$46=E$6))=0,0,SUMPRODUCT(('IGU(2020)_LNG_TRADE'!$C$3:$V$3=$A31)*('IGU(2020)_LNG_TRADE'!$A$5:$A$46=E$6)*'IGU(2020)_LNG_TRADE'!$C$5:$V$46)*10^6*Legend!$B$92*Legend!$B$82*Legend!$B$84*10^-3)</f>
        <v>0</v>
      </c>
      <c r="F31" s="209" cm="1">
        <f t="array" ref="F31">IF(SUMPRODUCT(('IGU(2020)_LNG_TRADE'!$C$3:$V$3=$A31)*('IGU(2020)_LNG_TRADE'!$A$5:$A$46=F$6))=0,0,SUMPRODUCT(('IGU(2020)_LNG_TRADE'!$C$3:$V$3=$A31)*('IGU(2020)_LNG_TRADE'!$A$5:$A$46=F$6)*'IGU(2020)_LNG_TRADE'!$C$5:$V$46)*10^6*Legend!$B$92*Legend!$B$82*Legend!$B$84*10^-3)</f>
        <v>0</v>
      </c>
      <c r="G31" s="209" cm="1">
        <f t="array" ref="G31">IF(SUMPRODUCT(('IGU(2020)_LNG_TRADE'!$C$3:$V$3=$A31)*('IGU(2020)_LNG_TRADE'!$A$5:$A$46=G$6))=0,0,SUMPRODUCT(('IGU(2020)_LNG_TRADE'!$C$3:$V$3=$A31)*('IGU(2020)_LNG_TRADE'!$A$5:$A$46=G$6)*'IGU(2020)_LNG_TRADE'!$C$5:$V$46)*10^6*Legend!$B$92*Legend!$B$82*Legend!$B$84*10^-3)</f>
        <v>0</v>
      </c>
      <c r="H31" s="209" cm="1">
        <f t="array" ref="H31">IF(SUMPRODUCT(('IGU(2020)_LNG_TRADE'!$C$3:$V$3=$A31)*('IGU(2020)_LNG_TRADE'!$A$5:$A$46=H$6))=0,0,SUMPRODUCT(('IGU(2020)_LNG_TRADE'!$C$3:$V$3=$A31)*('IGU(2020)_LNG_TRADE'!$A$5:$A$46=H$6)*'IGU(2020)_LNG_TRADE'!$C$5:$V$46)*10^6*Legend!$B$92*Legend!$B$82*Legend!$B$84*10^-3)</f>
        <v>11262.631399999997</v>
      </c>
      <c r="I31" s="209" cm="1">
        <f t="array" ref="I31">IF(SUMPRODUCT(('IGU(2020)_LNG_TRADE'!$C$3:$V$3=$A31)*('IGU(2020)_LNG_TRADE'!$A$5:$A$46=I$6))=0,0,SUMPRODUCT(('IGU(2020)_LNG_TRADE'!$C$3:$V$3=$A31)*('IGU(2020)_LNG_TRADE'!$A$5:$A$46=I$6)*'IGU(2020)_LNG_TRADE'!$C$5:$V$46)*10^6*Legend!$B$92*Legend!$B$82*Legend!$B$84*10^-3)</f>
        <v>78838.419800000003</v>
      </c>
      <c r="J31" s="209" cm="1">
        <f t="array" ref="J31">IF(SUMPRODUCT(('IGU(2020)_LNG_TRADE'!$C$3:$V$3=$A31)*('IGU(2020)_LNG_TRADE'!$A$5:$A$46=J$6))=0,0,SUMPRODUCT(('IGU(2020)_LNG_TRADE'!$C$3:$V$3=$A31)*('IGU(2020)_LNG_TRADE'!$A$5:$A$46=J$6)*'IGU(2020)_LNG_TRADE'!$C$5:$V$46)*10^6*Legend!$B$92*Legend!$B$82*Legend!$B$84*10^-3)</f>
        <v>11262.631399999997</v>
      </c>
      <c r="K31" s="209" cm="1">
        <f t="array" ref="K31">IF(SUMPRODUCT(('IGU(2020)_LNG_TRADE'!$C$3:$V$3=$A31)*('IGU(2020)_LNG_TRADE'!$A$5:$A$46=K$6))=0,0,SUMPRODUCT(('IGU(2020)_LNG_TRADE'!$C$3:$V$3=$A31)*('IGU(2020)_LNG_TRADE'!$A$5:$A$46=K$6)*'IGU(2020)_LNG_TRADE'!$C$5:$V$46)*10^6*Legend!$B$92*Legend!$B$82*Legend!$B$84*10^-3)</f>
        <v>0</v>
      </c>
      <c r="L31" s="209" cm="1">
        <f t="array" ref="L31">IF(SUMPRODUCT(('IGU(2020)_LNG_TRADE'!$C$3:$V$3=$A31)*('IGU(2020)_LNG_TRADE'!$A$5:$A$46=L$6))=0,0,SUMPRODUCT(('IGU(2020)_LNG_TRADE'!$C$3:$V$3=$A31)*('IGU(2020)_LNG_TRADE'!$A$5:$A$46=L$6)*'IGU(2020)_LNG_TRADE'!$C$5:$V$46)*10^6*Legend!$B$92*Legend!$B$82*Legend!$B$84*10^-3)</f>
        <v>0</v>
      </c>
      <c r="M31" s="209" cm="1">
        <f t="array" ref="M31">IF(SUMPRODUCT(('IGU(2020)_LNG_TRADE'!$C$3:$V$3=$A31)*('IGU(2020)_LNG_TRADE'!$A$5:$A$46=M$6))=0,0,SUMPRODUCT(('IGU(2020)_LNG_TRADE'!$C$3:$V$3=$A31)*('IGU(2020)_LNG_TRADE'!$A$5:$A$46=M$6)*'IGU(2020)_LNG_TRADE'!$C$5:$V$46)*10^6*Legend!$B$92*Legend!$B$82*Legend!$B$84*10^-3)</f>
        <v>112626.314</v>
      </c>
      <c r="N31" s="209" cm="1">
        <f t="array" ref="N31">IF(SUMPRODUCT(('IGU(2020)_LNG_TRADE'!$C$3:$V$3=$A31)*('IGU(2020)_LNG_TRADE'!$A$5:$A$46=N$6))=0,0,SUMPRODUCT(('IGU(2020)_LNG_TRADE'!$C$3:$V$3=$A31)*('IGU(2020)_LNG_TRADE'!$A$5:$A$46=N$6)*'IGU(2020)_LNG_TRADE'!$C$5:$V$46)*10^6*Legend!$B$92*Legend!$B$82*Legend!$B$84*10^-3)</f>
        <v>0</v>
      </c>
      <c r="O31" s="209" cm="1">
        <f t="array" ref="O31">IF(SUMPRODUCT(('IGU(2020)_LNG_TRADE'!$C$3:$V$3=$A31)*('IGU(2020)_LNG_TRADE'!$A$5:$A$46=O$6))=0,0,SUMPRODUCT(('IGU(2020)_LNG_TRADE'!$C$3:$V$3=$A31)*('IGU(2020)_LNG_TRADE'!$A$5:$A$46=O$6)*'IGU(2020)_LNG_TRADE'!$C$5:$V$46)*10^6*Legend!$B$92*Legend!$B$82*Legend!$B$84*10^-3)</f>
        <v>16893.947099999998</v>
      </c>
      <c r="P31" s="209" cm="1">
        <f t="array" ref="P31">IF(SUMPRODUCT(('IGU(2020)_LNG_TRADE'!$C$3:$V$3=$A31)*('IGU(2020)_LNG_TRADE'!$A$5:$A$46=P$6))=0,0,SUMPRODUCT(('IGU(2020)_LNG_TRADE'!$C$3:$V$3=$A31)*('IGU(2020)_LNG_TRADE'!$A$5:$A$46=P$6)*'IGU(2020)_LNG_TRADE'!$C$5:$V$46)*10^6*Legend!$B$92*Legend!$B$82*Legend!$B$84*10^-3)</f>
        <v>0</v>
      </c>
      <c r="Q31" s="209" cm="1">
        <f t="array" ref="Q31">IF(SUMPRODUCT(('IGU(2020)_LNG_TRADE'!$C$3:$V$3=$A31)*('IGU(2020)_LNG_TRADE'!$A$5:$A$46=Q$6))=0,0,SUMPRODUCT(('IGU(2020)_LNG_TRADE'!$C$3:$V$3=$A31)*('IGU(2020)_LNG_TRADE'!$A$5:$A$46=Q$6)*'IGU(2020)_LNG_TRADE'!$C$5:$V$46)*10^6*Legend!$B$92*Legend!$B$82*Legend!$B$84*10^-3)</f>
        <v>501187.09729999996</v>
      </c>
      <c r="R31" s="209" cm="1">
        <f t="array" ref="R31">IF(SUMPRODUCT(('IGU(2020)_LNG_TRADE'!$C$3:$V$3=$A31)*('IGU(2020)_LNG_TRADE'!$A$5:$A$46=R$6))=0,0,SUMPRODUCT(('IGU(2020)_LNG_TRADE'!$C$3:$V$3=$A31)*('IGU(2020)_LNG_TRADE'!$A$5:$A$46=R$6)*'IGU(2020)_LNG_TRADE'!$C$5:$V$46)*10^6*Legend!$B$92*Legend!$B$82*Legend!$B$84*10^-3)</f>
        <v>11262.631399999997</v>
      </c>
      <c r="S31" s="209" cm="1">
        <f t="array" ref="S31">IF(SUMPRODUCT(('IGU(2020)_LNG_TRADE'!$C$3:$V$3=$A31)*('IGU(2020)_LNG_TRADE'!$A$5:$A$46=S$6))=0,0,SUMPRODUCT(('IGU(2020)_LNG_TRADE'!$C$3:$V$3=$A31)*('IGU(2020)_LNG_TRADE'!$A$5:$A$46=S$6)*'IGU(2020)_LNG_TRADE'!$C$5:$V$46)*10^6*Legend!$B$92*Legend!$B$82*Legend!$B$84*10^-3)</f>
        <v>0</v>
      </c>
      <c r="T31" s="209" cm="1">
        <f t="array" ref="T31">IF(SUMPRODUCT(('IGU(2020)_LNG_TRADE'!$C$3:$V$3=$A31)*('IGU(2020)_LNG_TRADE'!$A$5:$A$46=T$6))=0,0,SUMPRODUCT(('IGU(2020)_LNG_TRADE'!$C$3:$V$3=$A31)*('IGU(2020)_LNG_TRADE'!$A$5:$A$46=T$6)*'IGU(2020)_LNG_TRADE'!$C$5:$V$46)*10^6*Legend!$B$92*Legend!$B$82*Legend!$B$84*10^-3)</f>
        <v>152045.52389999997</v>
      </c>
      <c r="U31" s="209" cm="1">
        <f t="array" ref="U31">IF(SUMPRODUCT(('IGU(2020)_LNG_TRADE'!$C$3:$V$3=$A31)*('IGU(2020)_LNG_TRADE'!$A$5:$A$46=U$6))=0,0,SUMPRODUCT(('IGU(2020)_LNG_TRADE'!$C$3:$V$3=$A31)*('IGU(2020)_LNG_TRADE'!$A$5:$A$46=U$6)*'IGU(2020)_LNG_TRADE'!$C$5:$V$46)*10^6*Legend!$B$92*Legend!$B$82*Legend!$B$84*10^-3)</f>
        <v>45050.525599999986</v>
      </c>
      <c r="V31" s="209" cm="1">
        <f t="array" ref="V31">IF(SUMPRODUCT(('IGU(2020)_LNG_TRADE'!$C$3:$V$3=$A31)*('IGU(2020)_LNG_TRADE'!$A$5:$A$46=V$6))=0,0,SUMPRODUCT(('IGU(2020)_LNG_TRADE'!$C$3:$V$3=$A31)*('IGU(2020)_LNG_TRADE'!$A$5:$A$46=V$6)*'IGU(2020)_LNG_TRADE'!$C$5:$V$46)*10^6*Legend!$B$92*Legend!$B$82*Legend!$B$84*10^-3)</f>
        <v>11262.631399999997</v>
      </c>
      <c r="W31" s="209" cm="1">
        <f t="array" ref="W31">IF(SUMPRODUCT(('IGU(2020)_LNG_TRADE'!$C$3:$V$3=$A31)*('IGU(2020)_LNG_TRADE'!$A$5:$A$46=W$6))=0,0,SUMPRODUCT(('IGU(2020)_LNG_TRADE'!$C$3:$V$3=$A31)*('IGU(2020)_LNG_TRADE'!$A$5:$A$46=W$6)*'IGU(2020)_LNG_TRADE'!$C$5:$V$46)*10^6*Legend!$B$92*Legend!$B$82*Legend!$B$84*10^-3)</f>
        <v>101363.68259999999</v>
      </c>
      <c r="X31" s="209" cm="1">
        <f t="array" ref="X31">IF(SUMPRODUCT(('IGU(2020)_LNG_TRADE'!$C$3:$V$3=$A31)*('IGU(2020)_LNG_TRADE'!$A$5:$A$46=X$6))=0,0,SUMPRODUCT(('IGU(2020)_LNG_TRADE'!$C$3:$V$3=$A31)*('IGU(2020)_LNG_TRADE'!$A$5:$A$46=X$6)*'IGU(2020)_LNG_TRADE'!$C$5:$V$46)*10^6*Legend!$B$92*Legend!$B$82*Legend!$B$84*10^-3)</f>
        <v>28156.5785</v>
      </c>
      <c r="Y31" s="209" cm="1">
        <f t="array" ref="Y31">IF(SUMPRODUCT(('IGU(2020)_LNG_TRADE'!$C$3:$V$3=$A31)*('IGU(2020)_LNG_TRADE'!$A$5:$A$46=Y$6))=0,0,SUMPRODUCT(('IGU(2020)_LNG_TRADE'!$C$3:$V$3=$A31)*('IGU(2020)_LNG_TRADE'!$A$5:$A$46=Y$6)*'IGU(2020)_LNG_TRADE'!$C$5:$V$46)*10^6*Legend!$B$92*Legend!$B$82*Legend!$B$84*10^-3)</f>
        <v>56313.156999999999</v>
      </c>
      <c r="Z31" s="209" cm="1">
        <f t="array" ref="Z31">IF(SUMPRODUCT(('IGU(2020)_LNG_TRADE'!$C$3:$V$3=$A31)*('IGU(2020)_LNG_TRADE'!$A$5:$A$46=Z$6))=0,0,SUMPRODUCT(('IGU(2020)_LNG_TRADE'!$C$3:$V$3=$A31)*('IGU(2020)_LNG_TRADE'!$A$5:$A$46=Z$6)*'IGU(2020)_LNG_TRADE'!$C$5:$V$46)*10^6*Legend!$B$92*Legend!$B$82*Legend!$B$84*10^-3)</f>
        <v>0</v>
      </c>
      <c r="AA31" s="209" cm="1">
        <f t="array" ref="AA31">IF(SUMPRODUCT(('IGU(2020)_LNG_TRADE'!$C$3:$V$3=$A31)*('IGU(2020)_LNG_TRADE'!$A$5:$A$46=AA$6))=0,0,SUMPRODUCT(('IGU(2020)_LNG_TRADE'!$C$3:$V$3=$A31)*('IGU(2020)_LNG_TRADE'!$A$5:$A$46=AA$6)*'IGU(2020)_LNG_TRADE'!$C$5:$V$46)*10^6*Legend!$B$92*Legend!$B$82*Legend!$B$84*10^-3)</f>
        <v>0</v>
      </c>
      <c r="AB31" s="209" cm="1">
        <f t="array" ref="AB31">IF(SUMPRODUCT(('IGU(2020)_LNG_TRADE'!$C$3:$V$3=$A31)*('IGU(2020)_LNG_TRADE'!$A$5:$A$46=AB$6))=0,0,SUMPRODUCT(('IGU(2020)_LNG_TRADE'!$C$3:$V$3=$A31)*('IGU(2020)_LNG_TRADE'!$A$5:$A$46=AB$6)*'IGU(2020)_LNG_TRADE'!$C$5:$V$46)*10^6*Legend!$B$92*Legend!$B$82*Legend!$B$84*10^-3)</f>
        <v>45050.525599999986</v>
      </c>
      <c r="AC31" s="220" cm="1">
        <f t="array" ref="AC31">IF(SUMPRODUCT(('IGU(2020)_LNG_TRADE'!$C$3:$V$3=$A31)*('IGU(2020)_LNG_TRADE'!$A$5:$A$46=AC$6))=0,0,SUMPRODUCT(('IGU(2020)_LNG_TRADE'!$C$3:$V$3=$A31)*('IGU(2020)_LNG_TRADE'!$A$5:$A$46=AC$6)*'IGU(2020)_LNG_TRADE'!$C$5:$V$46)*10^6*Legend!$B$92*Legend!$B$82*Legend!$B$84*10^-3)</f>
        <v>5631.3156999999983</v>
      </c>
    </row>
    <row r="32" spans="1:29">
      <c r="A32" s="215" t="s">
        <v>240</v>
      </c>
      <c r="B32" s="209" cm="1">
        <f t="array" ref="B32">IF(SUMPRODUCT(('IGU(2020)_LNG_TRADE'!$C$3:$V$3=$A32)*('IGU(2020)_LNG_TRADE'!$A$5:$A$46=B$6))=0,0,SUMPRODUCT(('IGU(2020)_LNG_TRADE'!$C$3:$V$3=$A32)*('IGU(2020)_LNG_TRADE'!$A$5:$A$46=B$6)*'IGU(2020)_LNG_TRADE'!$C$5:$V$46)*10^6*Legend!$B$92*Legend!$B$82*Legend!$B$84*10^-3)</f>
        <v>0</v>
      </c>
      <c r="C32" s="209" cm="1">
        <f t="array" ref="C32">IF(SUMPRODUCT(('IGU(2020)_LNG_TRADE'!$C$3:$V$3=$A32)*('IGU(2020)_LNG_TRADE'!$A$5:$A$46=C$6))=0,0,SUMPRODUCT(('IGU(2020)_LNG_TRADE'!$C$3:$V$3=$A32)*('IGU(2020)_LNG_TRADE'!$A$5:$A$46=C$6)*'IGU(2020)_LNG_TRADE'!$C$5:$V$46)*10^6*Legend!$B$92*Legend!$B$82*Legend!$B$84*10^-3)</f>
        <v>0</v>
      </c>
      <c r="D32" s="209" cm="1">
        <f t="array" ref="D32">IF(SUMPRODUCT(('IGU(2020)_LNG_TRADE'!$C$3:$V$3=$A32)*('IGU(2020)_LNG_TRADE'!$A$5:$A$46=D$6))=0,0,SUMPRODUCT(('IGU(2020)_LNG_TRADE'!$C$3:$V$3=$A32)*('IGU(2020)_LNG_TRADE'!$A$5:$A$46=D$6)*'IGU(2020)_LNG_TRADE'!$C$5:$V$46)*10^6*Legend!$B$92*Legend!$B$82*Legend!$B$84*10^-3)</f>
        <v>0</v>
      </c>
      <c r="E32" s="209" cm="1">
        <f t="array" ref="E32">IF(SUMPRODUCT(('IGU(2020)_LNG_TRADE'!$C$3:$V$3=$A32)*('IGU(2020)_LNG_TRADE'!$A$5:$A$46=E$6))=0,0,SUMPRODUCT(('IGU(2020)_LNG_TRADE'!$C$3:$V$3=$A32)*('IGU(2020)_LNG_TRADE'!$A$5:$A$46=E$6)*'IGU(2020)_LNG_TRADE'!$C$5:$V$46)*10^6*Legend!$B$92*Legend!$B$82*Legend!$B$84*10^-3)</f>
        <v>0</v>
      </c>
      <c r="F32" s="209" cm="1">
        <f t="array" ref="F32">IF(SUMPRODUCT(('IGU(2020)_LNG_TRADE'!$C$3:$V$3=$A32)*('IGU(2020)_LNG_TRADE'!$A$5:$A$46=F$6))=0,0,SUMPRODUCT(('IGU(2020)_LNG_TRADE'!$C$3:$V$3=$A32)*('IGU(2020)_LNG_TRADE'!$A$5:$A$46=F$6)*'IGU(2020)_LNG_TRADE'!$C$5:$V$46)*10^6*Legend!$B$92*Legend!$B$82*Legend!$B$84*10^-3)</f>
        <v>0</v>
      </c>
      <c r="G32" s="209" cm="1">
        <f t="array" ref="G32">IF(SUMPRODUCT(('IGU(2020)_LNG_TRADE'!$C$3:$V$3=$A32)*('IGU(2020)_LNG_TRADE'!$A$5:$A$46=G$6))=0,0,SUMPRODUCT(('IGU(2020)_LNG_TRADE'!$C$3:$V$3=$A32)*('IGU(2020)_LNG_TRADE'!$A$5:$A$46=G$6)*'IGU(2020)_LNG_TRADE'!$C$5:$V$46)*10^6*Legend!$B$92*Legend!$B$82*Legend!$B$84*10^-3)</f>
        <v>0</v>
      </c>
      <c r="H32" s="209" cm="1">
        <f t="array" ref="H32">IF(SUMPRODUCT(('IGU(2020)_LNG_TRADE'!$C$3:$V$3=$A32)*('IGU(2020)_LNG_TRADE'!$A$5:$A$46=H$6))=0,0,SUMPRODUCT(('IGU(2020)_LNG_TRADE'!$C$3:$V$3=$A32)*('IGU(2020)_LNG_TRADE'!$A$5:$A$46=H$6)*'IGU(2020)_LNG_TRADE'!$C$5:$V$46)*10^6*Legend!$B$92*Legend!$B$82*Legend!$B$84*10^-3)</f>
        <v>5631.3156999999983</v>
      </c>
      <c r="I32" s="209" cm="1">
        <f t="array" ref="I32">IF(SUMPRODUCT(('IGU(2020)_LNG_TRADE'!$C$3:$V$3=$A32)*('IGU(2020)_LNG_TRADE'!$A$5:$A$46=I$6))=0,0,SUMPRODUCT(('IGU(2020)_LNG_TRADE'!$C$3:$V$3=$A32)*('IGU(2020)_LNG_TRADE'!$A$5:$A$46=I$6)*'IGU(2020)_LNG_TRADE'!$C$5:$V$46)*10^6*Legend!$B$92*Legend!$B$82*Legend!$B$84*10^-3)</f>
        <v>16893.947099999998</v>
      </c>
      <c r="J32" s="209" cm="1">
        <f t="array" ref="J32">IF(SUMPRODUCT(('IGU(2020)_LNG_TRADE'!$C$3:$V$3=$A32)*('IGU(2020)_LNG_TRADE'!$A$5:$A$46=J$6))=0,0,SUMPRODUCT(('IGU(2020)_LNG_TRADE'!$C$3:$V$3=$A32)*('IGU(2020)_LNG_TRADE'!$A$5:$A$46=J$6)*'IGU(2020)_LNG_TRADE'!$C$5:$V$46)*10^6*Legend!$B$92*Legend!$B$82*Legend!$B$84*10^-3)</f>
        <v>0</v>
      </c>
      <c r="K32" s="209" cm="1">
        <f t="array" ref="K32">IF(SUMPRODUCT(('IGU(2020)_LNG_TRADE'!$C$3:$V$3=$A32)*('IGU(2020)_LNG_TRADE'!$A$5:$A$46=K$6))=0,0,SUMPRODUCT(('IGU(2020)_LNG_TRADE'!$C$3:$V$3=$A32)*('IGU(2020)_LNG_TRADE'!$A$5:$A$46=K$6)*'IGU(2020)_LNG_TRADE'!$C$5:$V$46)*10^6*Legend!$B$92*Legend!$B$82*Legend!$B$84*10^-3)</f>
        <v>0</v>
      </c>
      <c r="L32" s="209" cm="1">
        <f t="array" ref="L32">IF(SUMPRODUCT(('IGU(2020)_LNG_TRADE'!$C$3:$V$3=$A32)*('IGU(2020)_LNG_TRADE'!$A$5:$A$46=L$6))=0,0,SUMPRODUCT(('IGU(2020)_LNG_TRADE'!$C$3:$V$3=$A32)*('IGU(2020)_LNG_TRADE'!$A$5:$A$46=L$6)*'IGU(2020)_LNG_TRADE'!$C$5:$V$46)*10^6*Legend!$B$92*Legend!$B$82*Legend!$B$84*10^-3)</f>
        <v>0</v>
      </c>
      <c r="M32" s="209" cm="1">
        <f t="array" ref="M32">IF(SUMPRODUCT(('IGU(2020)_LNG_TRADE'!$C$3:$V$3=$A32)*('IGU(2020)_LNG_TRADE'!$A$5:$A$46=M$6))=0,0,SUMPRODUCT(('IGU(2020)_LNG_TRADE'!$C$3:$V$3=$A32)*('IGU(2020)_LNG_TRADE'!$A$5:$A$46=M$6)*'IGU(2020)_LNG_TRADE'!$C$5:$V$46)*10^6*Legend!$B$92*Legend!$B$82*Legend!$B$84*10^-3)</f>
        <v>157676.83960000001</v>
      </c>
      <c r="N32" s="209" cm="1">
        <f t="array" ref="N32">IF(SUMPRODUCT(('IGU(2020)_LNG_TRADE'!$C$3:$V$3=$A32)*('IGU(2020)_LNG_TRADE'!$A$5:$A$46=N$6))=0,0,SUMPRODUCT(('IGU(2020)_LNG_TRADE'!$C$3:$V$3=$A32)*('IGU(2020)_LNG_TRADE'!$A$5:$A$46=N$6)*'IGU(2020)_LNG_TRADE'!$C$5:$V$46)*10^6*Legend!$B$92*Legend!$B$82*Legend!$B$84*10^-3)</f>
        <v>0</v>
      </c>
      <c r="O32" s="209" cm="1">
        <f t="array" ref="O32">IF(SUMPRODUCT(('IGU(2020)_LNG_TRADE'!$C$3:$V$3=$A32)*('IGU(2020)_LNG_TRADE'!$A$5:$A$46=O$6))=0,0,SUMPRODUCT(('IGU(2020)_LNG_TRADE'!$C$3:$V$3=$A32)*('IGU(2020)_LNG_TRADE'!$A$5:$A$46=O$6)*'IGU(2020)_LNG_TRADE'!$C$5:$V$46)*10^6*Legend!$B$92*Legend!$B$82*Legend!$B$84*10^-3)</f>
        <v>135151.57679999998</v>
      </c>
      <c r="P32" s="209" cm="1">
        <f t="array" ref="P32">IF(SUMPRODUCT(('IGU(2020)_LNG_TRADE'!$C$3:$V$3=$A32)*('IGU(2020)_LNG_TRADE'!$A$5:$A$46=P$6))=0,0,SUMPRODUCT(('IGU(2020)_LNG_TRADE'!$C$3:$V$3=$A32)*('IGU(2020)_LNG_TRADE'!$A$5:$A$46=P$6)*'IGU(2020)_LNG_TRADE'!$C$5:$V$46)*10^6*Legend!$B$92*Legend!$B$82*Legend!$B$84*10^-3)</f>
        <v>16893.947099999998</v>
      </c>
      <c r="Q32" s="209" cm="1">
        <f t="array" ref="Q32">IF(SUMPRODUCT(('IGU(2020)_LNG_TRADE'!$C$3:$V$3=$A32)*('IGU(2020)_LNG_TRADE'!$A$5:$A$46=Q$6))=0,0,SUMPRODUCT(('IGU(2020)_LNG_TRADE'!$C$3:$V$3=$A32)*('IGU(2020)_LNG_TRADE'!$A$5:$A$46=Q$6)*'IGU(2020)_LNG_TRADE'!$C$5:$V$46)*10^6*Legend!$B$92*Legend!$B$82*Legend!$B$84*10^-3)</f>
        <v>427979.99319999985</v>
      </c>
      <c r="R32" s="209" cm="1">
        <f t="array" ref="R32">IF(SUMPRODUCT(('IGU(2020)_LNG_TRADE'!$C$3:$V$3=$A32)*('IGU(2020)_LNG_TRADE'!$A$5:$A$46=R$6))=0,0,SUMPRODUCT(('IGU(2020)_LNG_TRADE'!$C$3:$V$3=$A32)*('IGU(2020)_LNG_TRADE'!$A$5:$A$46=R$6)*'IGU(2020)_LNG_TRADE'!$C$5:$V$46)*10^6*Legend!$B$92*Legend!$B$82*Legend!$B$84*10^-3)</f>
        <v>264671.83789999987</v>
      </c>
      <c r="S32" s="209" cm="1">
        <f t="array" ref="S32">IF(SUMPRODUCT(('IGU(2020)_LNG_TRADE'!$C$3:$V$3=$A32)*('IGU(2020)_LNG_TRADE'!$A$5:$A$46=S$6))=0,0,SUMPRODUCT(('IGU(2020)_LNG_TRADE'!$C$3:$V$3=$A32)*('IGU(2020)_LNG_TRADE'!$A$5:$A$46=S$6)*'IGU(2020)_LNG_TRADE'!$C$5:$V$46)*10^6*Legend!$B$92*Legend!$B$82*Legend!$B$84*10^-3)</f>
        <v>0</v>
      </c>
      <c r="T32" s="209" cm="1">
        <f t="array" ref="T32">IF(SUMPRODUCT(('IGU(2020)_LNG_TRADE'!$C$3:$V$3=$A32)*('IGU(2020)_LNG_TRADE'!$A$5:$A$46=T$6))=0,0,SUMPRODUCT(('IGU(2020)_LNG_TRADE'!$C$3:$V$3=$A32)*('IGU(2020)_LNG_TRADE'!$A$5:$A$46=T$6)*'IGU(2020)_LNG_TRADE'!$C$5:$V$46)*10^6*Legend!$B$92*Legend!$B$82*Legend!$B$84*10^-3)</f>
        <v>11262.631399999997</v>
      </c>
      <c r="U32" s="209" cm="1">
        <f t="array" ref="U32">IF(SUMPRODUCT(('IGU(2020)_LNG_TRADE'!$C$3:$V$3=$A32)*('IGU(2020)_LNG_TRADE'!$A$5:$A$46=U$6))=0,0,SUMPRODUCT(('IGU(2020)_LNG_TRADE'!$C$3:$V$3=$A32)*('IGU(2020)_LNG_TRADE'!$A$5:$A$46=U$6)*'IGU(2020)_LNG_TRADE'!$C$5:$V$46)*10^6*Legend!$B$92*Legend!$B$82*Legend!$B$84*10^-3)</f>
        <v>354772.88909999991</v>
      </c>
      <c r="V32" s="209" cm="1">
        <f t="array" ref="V32">IF(SUMPRODUCT(('IGU(2020)_LNG_TRADE'!$C$3:$V$3=$A32)*('IGU(2020)_LNG_TRADE'!$A$5:$A$46=V$6))=0,0,SUMPRODUCT(('IGU(2020)_LNG_TRADE'!$C$3:$V$3=$A32)*('IGU(2020)_LNG_TRADE'!$A$5:$A$46=V$6)*'IGU(2020)_LNG_TRADE'!$C$5:$V$46)*10^6*Legend!$B$92*Legend!$B$82*Legend!$B$84*10^-3)</f>
        <v>0</v>
      </c>
      <c r="W32" s="209" cm="1">
        <f t="array" ref="W32">IF(SUMPRODUCT(('IGU(2020)_LNG_TRADE'!$C$3:$V$3=$A32)*('IGU(2020)_LNG_TRADE'!$A$5:$A$46=W$6))=0,0,SUMPRODUCT(('IGU(2020)_LNG_TRADE'!$C$3:$V$3=$A32)*('IGU(2020)_LNG_TRADE'!$A$5:$A$46=W$6)*'IGU(2020)_LNG_TRADE'!$C$5:$V$46)*10^6*Legend!$B$92*Legend!$B$82*Legend!$B$84*10^-3)</f>
        <v>33787.894200000002</v>
      </c>
      <c r="X32" s="209" cm="1">
        <f t="array" ref="X32">IF(SUMPRODUCT(('IGU(2020)_LNG_TRADE'!$C$3:$V$3=$A32)*('IGU(2020)_LNG_TRADE'!$A$5:$A$46=X$6))=0,0,SUMPRODUCT(('IGU(2020)_LNG_TRADE'!$C$3:$V$3=$A32)*('IGU(2020)_LNG_TRADE'!$A$5:$A$46=X$6)*'IGU(2020)_LNG_TRADE'!$C$5:$V$46)*10^6*Legend!$B$92*Legend!$B$82*Legend!$B$84*10^-3)</f>
        <v>5631.3156999999983</v>
      </c>
      <c r="Y32" s="209" cm="1">
        <f t="array" ref="Y32">IF(SUMPRODUCT(('IGU(2020)_LNG_TRADE'!$C$3:$V$3=$A32)*('IGU(2020)_LNG_TRADE'!$A$5:$A$46=Y$6))=0,0,SUMPRODUCT(('IGU(2020)_LNG_TRADE'!$C$3:$V$3=$A32)*('IGU(2020)_LNG_TRADE'!$A$5:$A$46=Y$6)*'IGU(2020)_LNG_TRADE'!$C$5:$V$46)*10^6*Legend!$B$92*Legend!$B$82*Legend!$B$84*10^-3)</f>
        <v>0</v>
      </c>
      <c r="Z32" s="209" cm="1">
        <f t="array" ref="Z32">IF(SUMPRODUCT(('IGU(2020)_LNG_TRADE'!$C$3:$V$3=$A32)*('IGU(2020)_LNG_TRADE'!$A$5:$A$46=Z$6))=0,0,SUMPRODUCT(('IGU(2020)_LNG_TRADE'!$C$3:$V$3=$A32)*('IGU(2020)_LNG_TRADE'!$A$5:$A$46=Z$6)*'IGU(2020)_LNG_TRADE'!$C$5:$V$46)*10^6*Legend!$B$92*Legend!$B$82*Legend!$B$84*10^-3)</f>
        <v>0</v>
      </c>
      <c r="AA32" s="209" cm="1">
        <f t="array" ref="AA32">IF(SUMPRODUCT(('IGU(2020)_LNG_TRADE'!$C$3:$V$3=$A32)*('IGU(2020)_LNG_TRADE'!$A$5:$A$46=AA$6))=0,0,SUMPRODUCT(('IGU(2020)_LNG_TRADE'!$C$3:$V$3=$A32)*('IGU(2020)_LNG_TRADE'!$A$5:$A$46=AA$6)*'IGU(2020)_LNG_TRADE'!$C$5:$V$46)*10^6*Legend!$B$92*Legend!$B$82*Legend!$B$84*10^-3)</f>
        <v>0</v>
      </c>
      <c r="AB32" s="209" cm="1">
        <f t="array" ref="AB32">IF(SUMPRODUCT(('IGU(2020)_LNG_TRADE'!$C$3:$V$3=$A32)*('IGU(2020)_LNG_TRADE'!$A$5:$A$46=AB$6))=0,0,SUMPRODUCT(('IGU(2020)_LNG_TRADE'!$C$3:$V$3=$A32)*('IGU(2020)_LNG_TRADE'!$A$5:$A$46=AB$6)*'IGU(2020)_LNG_TRADE'!$C$5:$V$46)*10^6*Legend!$B$92*Legend!$B$82*Legend!$B$84*10^-3)</f>
        <v>219621.31229999999</v>
      </c>
      <c r="AC32" s="220" cm="1">
        <f t="array" ref="AC32">IF(SUMPRODUCT(('IGU(2020)_LNG_TRADE'!$C$3:$V$3=$A32)*('IGU(2020)_LNG_TRADE'!$A$5:$A$46=AC$6))=0,0,SUMPRODUCT(('IGU(2020)_LNG_TRADE'!$C$3:$V$3=$A32)*('IGU(2020)_LNG_TRADE'!$A$5:$A$46=AC$6)*'IGU(2020)_LNG_TRADE'!$C$5:$V$46)*10^6*Legend!$B$92*Legend!$B$82*Legend!$B$84*10^-3)</f>
        <v>5631.3156999999983</v>
      </c>
    </row>
    <row r="33" spans="1:29">
      <c r="A33" s="215" t="s">
        <v>243</v>
      </c>
      <c r="B33" s="209" cm="1">
        <f t="array" ref="B33">IF(SUMPRODUCT(('IGU(2020)_LNG_TRADE'!$C$3:$V$3=$A33)*('IGU(2020)_LNG_TRADE'!$A$5:$A$46=B$6))=0,0,SUMPRODUCT(('IGU(2020)_LNG_TRADE'!$C$3:$V$3=$A33)*('IGU(2020)_LNG_TRADE'!$A$5:$A$46=B$6)*'IGU(2020)_LNG_TRADE'!$C$5:$V$46)*10^6*Legend!$B$92*Legend!$B$82*Legend!$B$84*10^-3)</f>
        <v>0</v>
      </c>
      <c r="C33" s="209" cm="1">
        <f t="array" ref="C33">IF(SUMPRODUCT(('IGU(2020)_LNG_TRADE'!$C$3:$V$3=$A33)*('IGU(2020)_LNG_TRADE'!$A$5:$A$46=C$6))=0,0,SUMPRODUCT(('IGU(2020)_LNG_TRADE'!$C$3:$V$3=$A33)*('IGU(2020)_LNG_TRADE'!$A$5:$A$46=C$6)*'IGU(2020)_LNG_TRADE'!$C$5:$V$46)*10^6*Legend!$B$92*Legend!$B$82*Legend!$B$84*10^-3)</f>
        <v>0</v>
      </c>
      <c r="D33" s="209" cm="1">
        <f t="array" ref="D33">IF(SUMPRODUCT(('IGU(2020)_LNG_TRADE'!$C$3:$V$3=$A33)*('IGU(2020)_LNG_TRADE'!$A$5:$A$46=D$6))=0,0,SUMPRODUCT(('IGU(2020)_LNG_TRADE'!$C$3:$V$3=$A33)*('IGU(2020)_LNG_TRADE'!$A$5:$A$46=D$6)*'IGU(2020)_LNG_TRADE'!$C$5:$V$46)*10^6*Legend!$B$92*Legend!$B$82*Legend!$B$84*10^-3)</f>
        <v>0</v>
      </c>
      <c r="E33" s="209" cm="1">
        <f t="array" ref="E33">IF(SUMPRODUCT(('IGU(2020)_LNG_TRADE'!$C$3:$V$3=$A33)*('IGU(2020)_LNG_TRADE'!$A$5:$A$46=E$6))=0,0,SUMPRODUCT(('IGU(2020)_LNG_TRADE'!$C$3:$V$3=$A33)*('IGU(2020)_LNG_TRADE'!$A$5:$A$46=E$6)*'IGU(2020)_LNG_TRADE'!$C$5:$V$46)*10^6*Legend!$B$92*Legend!$B$82*Legend!$B$84*10^-3)</f>
        <v>0</v>
      </c>
      <c r="F33" s="209" cm="1">
        <f t="array" ref="F33">IF(SUMPRODUCT(('IGU(2020)_LNG_TRADE'!$C$3:$V$3=$A33)*('IGU(2020)_LNG_TRADE'!$A$5:$A$46=F$6))=0,0,SUMPRODUCT(('IGU(2020)_LNG_TRADE'!$C$3:$V$3=$A33)*('IGU(2020)_LNG_TRADE'!$A$5:$A$46=F$6)*'IGU(2020)_LNG_TRADE'!$C$5:$V$46)*10^6*Legend!$B$92*Legend!$B$82*Legend!$B$84*10^-3)</f>
        <v>0</v>
      </c>
      <c r="G33" s="209" cm="1">
        <f t="array" ref="G33">IF(SUMPRODUCT(('IGU(2020)_LNG_TRADE'!$C$3:$V$3=$A33)*('IGU(2020)_LNG_TRADE'!$A$5:$A$46=G$6))=0,0,SUMPRODUCT(('IGU(2020)_LNG_TRADE'!$C$3:$V$3=$A33)*('IGU(2020)_LNG_TRADE'!$A$5:$A$46=G$6)*'IGU(2020)_LNG_TRADE'!$C$5:$V$46)*10^6*Legend!$B$92*Legend!$B$82*Legend!$B$84*10^-3)</f>
        <v>0</v>
      </c>
      <c r="H33" s="209" cm="1">
        <f t="array" ref="H33">IF(SUMPRODUCT(('IGU(2020)_LNG_TRADE'!$C$3:$V$3=$A33)*('IGU(2020)_LNG_TRADE'!$A$5:$A$46=H$6))=0,0,SUMPRODUCT(('IGU(2020)_LNG_TRADE'!$C$3:$V$3=$A33)*('IGU(2020)_LNG_TRADE'!$A$5:$A$46=H$6)*'IGU(2020)_LNG_TRADE'!$C$5:$V$46)*10^6*Legend!$B$92*Legend!$B$82*Legend!$B$84*10^-3)</f>
        <v>0</v>
      </c>
      <c r="I33" s="209" cm="1">
        <f t="array" ref="I33">IF(SUMPRODUCT(('IGU(2020)_LNG_TRADE'!$C$3:$V$3=$A33)*('IGU(2020)_LNG_TRADE'!$A$5:$A$46=I$6))=0,0,SUMPRODUCT(('IGU(2020)_LNG_TRADE'!$C$3:$V$3=$A33)*('IGU(2020)_LNG_TRADE'!$A$5:$A$46=I$6)*'IGU(2020)_LNG_TRADE'!$C$5:$V$46)*10^6*Legend!$B$92*Legend!$B$82*Legend!$B$84*10^-3)</f>
        <v>0</v>
      </c>
      <c r="J33" s="209" cm="1">
        <f t="array" ref="J33">IF(SUMPRODUCT(('IGU(2020)_LNG_TRADE'!$C$3:$V$3=$A33)*('IGU(2020)_LNG_TRADE'!$A$5:$A$46=J$6))=0,0,SUMPRODUCT(('IGU(2020)_LNG_TRADE'!$C$3:$V$3=$A33)*('IGU(2020)_LNG_TRADE'!$A$5:$A$46=J$6)*'IGU(2020)_LNG_TRADE'!$C$5:$V$46)*10^6*Legend!$B$92*Legend!$B$82*Legend!$B$84*10^-3)</f>
        <v>0</v>
      </c>
      <c r="K33" s="209" cm="1">
        <f t="array" ref="K33">IF(SUMPRODUCT(('IGU(2020)_LNG_TRADE'!$C$3:$V$3=$A33)*('IGU(2020)_LNG_TRADE'!$A$5:$A$46=K$6))=0,0,SUMPRODUCT(('IGU(2020)_LNG_TRADE'!$C$3:$V$3=$A33)*('IGU(2020)_LNG_TRADE'!$A$5:$A$46=K$6)*'IGU(2020)_LNG_TRADE'!$C$5:$V$46)*10^6*Legend!$B$92*Legend!$B$82*Legend!$B$84*10^-3)</f>
        <v>0</v>
      </c>
      <c r="L33" s="209" cm="1">
        <f t="array" ref="L33">IF(SUMPRODUCT(('IGU(2020)_LNG_TRADE'!$C$3:$V$3=$A33)*('IGU(2020)_LNG_TRADE'!$A$5:$A$46=L$6))=0,0,SUMPRODUCT(('IGU(2020)_LNG_TRADE'!$C$3:$V$3=$A33)*('IGU(2020)_LNG_TRADE'!$A$5:$A$46=L$6)*'IGU(2020)_LNG_TRADE'!$C$5:$V$46)*10^6*Legend!$B$92*Legend!$B$82*Legend!$B$84*10^-3)</f>
        <v>0</v>
      </c>
      <c r="M33" s="209" cm="1">
        <f t="array" ref="M33">IF(SUMPRODUCT(('IGU(2020)_LNG_TRADE'!$C$3:$V$3=$A33)*('IGU(2020)_LNG_TRADE'!$A$5:$A$46=M$6))=0,0,SUMPRODUCT(('IGU(2020)_LNG_TRADE'!$C$3:$V$3=$A33)*('IGU(2020)_LNG_TRADE'!$A$5:$A$46=M$6)*'IGU(2020)_LNG_TRADE'!$C$5:$V$46)*10^6*Legend!$B$92*Legend!$B$82*Legend!$B$84*10^-3)</f>
        <v>0</v>
      </c>
      <c r="N33" s="209" cm="1">
        <f t="array" ref="N33">IF(SUMPRODUCT(('IGU(2020)_LNG_TRADE'!$C$3:$V$3=$A33)*('IGU(2020)_LNG_TRADE'!$A$5:$A$46=N$6))=0,0,SUMPRODUCT(('IGU(2020)_LNG_TRADE'!$C$3:$V$3=$A33)*('IGU(2020)_LNG_TRADE'!$A$5:$A$46=N$6)*'IGU(2020)_LNG_TRADE'!$C$5:$V$46)*10^6*Legend!$B$92*Legend!$B$82*Legend!$B$84*10^-3)</f>
        <v>0</v>
      </c>
      <c r="O33" s="209" cm="1">
        <f t="array" ref="O33">IF(SUMPRODUCT(('IGU(2020)_LNG_TRADE'!$C$3:$V$3=$A33)*('IGU(2020)_LNG_TRADE'!$A$5:$A$46=O$6))=0,0,SUMPRODUCT(('IGU(2020)_LNG_TRADE'!$C$3:$V$3=$A33)*('IGU(2020)_LNG_TRADE'!$A$5:$A$46=O$6)*'IGU(2020)_LNG_TRADE'!$C$5:$V$46)*10^6*Legend!$B$92*Legend!$B$82*Legend!$B$84*10^-3)</f>
        <v>0</v>
      </c>
      <c r="P33" s="209" cm="1">
        <f t="array" ref="P33">IF(SUMPRODUCT(('IGU(2020)_LNG_TRADE'!$C$3:$V$3=$A33)*('IGU(2020)_LNG_TRADE'!$A$5:$A$46=P$6))=0,0,SUMPRODUCT(('IGU(2020)_LNG_TRADE'!$C$3:$V$3=$A33)*('IGU(2020)_LNG_TRADE'!$A$5:$A$46=P$6)*'IGU(2020)_LNG_TRADE'!$C$5:$V$46)*10^6*Legend!$B$92*Legend!$B$82*Legend!$B$84*10^-3)</f>
        <v>0</v>
      </c>
      <c r="Q33" s="209" cm="1">
        <f t="array" ref="Q33">IF(SUMPRODUCT(('IGU(2020)_LNG_TRADE'!$C$3:$V$3=$A33)*('IGU(2020)_LNG_TRADE'!$A$5:$A$46=Q$6))=0,0,SUMPRODUCT(('IGU(2020)_LNG_TRADE'!$C$3:$V$3=$A33)*('IGU(2020)_LNG_TRADE'!$A$5:$A$46=Q$6)*'IGU(2020)_LNG_TRADE'!$C$5:$V$46)*10^6*Legend!$B$92*Legend!$B$82*Legend!$B$84*10^-3)</f>
        <v>0</v>
      </c>
      <c r="R33" s="209" cm="1">
        <f t="array" ref="R33">IF(SUMPRODUCT(('IGU(2020)_LNG_TRADE'!$C$3:$V$3=$A33)*('IGU(2020)_LNG_TRADE'!$A$5:$A$46=R$6))=0,0,SUMPRODUCT(('IGU(2020)_LNG_TRADE'!$C$3:$V$3=$A33)*('IGU(2020)_LNG_TRADE'!$A$5:$A$46=R$6)*'IGU(2020)_LNG_TRADE'!$C$5:$V$46)*10^6*Legend!$B$92*Legend!$B$82*Legend!$B$84*10^-3)</f>
        <v>0</v>
      </c>
      <c r="S33" s="209" cm="1">
        <f t="array" ref="S33">IF(SUMPRODUCT(('IGU(2020)_LNG_TRADE'!$C$3:$V$3=$A33)*('IGU(2020)_LNG_TRADE'!$A$5:$A$46=S$6))=0,0,SUMPRODUCT(('IGU(2020)_LNG_TRADE'!$C$3:$V$3=$A33)*('IGU(2020)_LNG_TRADE'!$A$5:$A$46=S$6)*'IGU(2020)_LNG_TRADE'!$C$5:$V$46)*10^6*Legend!$B$92*Legend!$B$82*Legend!$B$84*10^-3)</f>
        <v>0</v>
      </c>
      <c r="T33" s="209" cm="1">
        <f t="array" ref="T33">IF(SUMPRODUCT(('IGU(2020)_LNG_TRADE'!$C$3:$V$3=$A33)*('IGU(2020)_LNG_TRADE'!$A$5:$A$46=T$6))=0,0,SUMPRODUCT(('IGU(2020)_LNG_TRADE'!$C$3:$V$3=$A33)*('IGU(2020)_LNG_TRADE'!$A$5:$A$46=T$6)*'IGU(2020)_LNG_TRADE'!$C$5:$V$46)*10^6*Legend!$B$92*Legend!$B$82*Legend!$B$84*10^-3)</f>
        <v>0</v>
      </c>
      <c r="U33" s="209" cm="1">
        <f t="array" ref="U33">IF(SUMPRODUCT(('IGU(2020)_LNG_TRADE'!$C$3:$V$3=$A33)*('IGU(2020)_LNG_TRADE'!$A$5:$A$46=U$6))=0,0,SUMPRODUCT(('IGU(2020)_LNG_TRADE'!$C$3:$V$3=$A33)*('IGU(2020)_LNG_TRADE'!$A$5:$A$46=U$6)*'IGU(2020)_LNG_TRADE'!$C$5:$V$46)*10^6*Legend!$B$92*Legend!$B$82*Legend!$B$84*10^-3)</f>
        <v>0</v>
      </c>
      <c r="V33" s="209" cm="1">
        <f t="array" ref="V33">IF(SUMPRODUCT(('IGU(2020)_LNG_TRADE'!$C$3:$V$3=$A33)*('IGU(2020)_LNG_TRADE'!$A$5:$A$46=V$6))=0,0,SUMPRODUCT(('IGU(2020)_LNG_TRADE'!$C$3:$V$3=$A33)*('IGU(2020)_LNG_TRADE'!$A$5:$A$46=V$6)*'IGU(2020)_LNG_TRADE'!$C$5:$V$46)*10^6*Legend!$B$92*Legend!$B$82*Legend!$B$84*10^-3)</f>
        <v>0</v>
      </c>
      <c r="W33" s="209" cm="1">
        <f t="array" ref="W33">IF(SUMPRODUCT(('IGU(2020)_LNG_TRADE'!$C$3:$V$3=$A33)*('IGU(2020)_LNG_TRADE'!$A$5:$A$46=W$6))=0,0,SUMPRODUCT(('IGU(2020)_LNG_TRADE'!$C$3:$V$3=$A33)*('IGU(2020)_LNG_TRADE'!$A$5:$A$46=W$6)*'IGU(2020)_LNG_TRADE'!$C$5:$V$46)*10^6*Legend!$B$92*Legend!$B$82*Legend!$B$84*10^-3)</f>
        <v>0</v>
      </c>
      <c r="X33" s="209" cm="1">
        <f t="array" ref="X33">IF(SUMPRODUCT(('IGU(2020)_LNG_TRADE'!$C$3:$V$3=$A33)*('IGU(2020)_LNG_TRADE'!$A$5:$A$46=X$6))=0,0,SUMPRODUCT(('IGU(2020)_LNG_TRADE'!$C$3:$V$3=$A33)*('IGU(2020)_LNG_TRADE'!$A$5:$A$46=X$6)*'IGU(2020)_LNG_TRADE'!$C$5:$V$46)*10^6*Legend!$B$92*Legend!$B$82*Legend!$B$84*10^-3)</f>
        <v>0</v>
      </c>
      <c r="Y33" s="209" cm="1">
        <f t="array" ref="Y33">IF(SUMPRODUCT(('IGU(2020)_LNG_TRADE'!$C$3:$V$3=$A33)*('IGU(2020)_LNG_TRADE'!$A$5:$A$46=Y$6))=0,0,SUMPRODUCT(('IGU(2020)_LNG_TRADE'!$C$3:$V$3=$A33)*('IGU(2020)_LNG_TRADE'!$A$5:$A$46=Y$6)*'IGU(2020)_LNG_TRADE'!$C$5:$V$46)*10^6*Legend!$B$92*Legend!$B$82*Legend!$B$84*10^-3)</f>
        <v>0</v>
      </c>
      <c r="Z33" s="209" cm="1">
        <f t="array" ref="Z33">IF(SUMPRODUCT(('IGU(2020)_LNG_TRADE'!$C$3:$V$3=$A33)*('IGU(2020)_LNG_TRADE'!$A$5:$A$46=Z$6))=0,0,SUMPRODUCT(('IGU(2020)_LNG_TRADE'!$C$3:$V$3=$A33)*('IGU(2020)_LNG_TRADE'!$A$5:$A$46=Z$6)*'IGU(2020)_LNG_TRADE'!$C$5:$V$46)*10^6*Legend!$B$92*Legend!$B$82*Legend!$B$84*10^-3)</f>
        <v>0</v>
      </c>
      <c r="AA33" s="209" cm="1">
        <f t="array" ref="AA33">IF(SUMPRODUCT(('IGU(2020)_LNG_TRADE'!$C$3:$V$3=$A33)*('IGU(2020)_LNG_TRADE'!$A$5:$A$46=AA$6))=0,0,SUMPRODUCT(('IGU(2020)_LNG_TRADE'!$C$3:$V$3=$A33)*('IGU(2020)_LNG_TRADE'!$A$5:$A$46=AA$6)*'IGU(2020)_LNG_TRADE'!$C$5:$V$46)*10^6*Legend!$B$92*Legend!$B$82*Legend!$B$84*10^-3)</f>
        <v>0</v>
      </c>
      <c r="AB33" s="209" cm="1">
        <f t="array" ref="AB33">IF(SUMPRODUCT(('IGU(2020)_LNG_TRADE'!$C$3:$V$3=$A33)*('IGU(2020)_LNG_TRADE'!$A$5:$A$46=AB$6))=0,0,SUMPRODUCT(('IGU(2020)_LNG_TRADE'!$C$3:$V$3=$A33)*('IGU(2020)_LNG_TRADE'!$A$5:$A$46=AB$6)*'IGU(2020)_LNG_TRADE'!$C$5:$V$46)*10^6*Legend!$B$92*Legend!$B$82*Legend!$B$84*10^-3)</f>
        <v>0</v>
      </c>
      <c r="AC33" s="220" cm="1">
        <f t="array" ref="AC33">IF(SUMPRODUCT(('IGU(2020)_LNG_TRADE'!$C$3:$V$3=$A33)*('IGU(2020)_LNG_TRADE'!$A$5:$A$46=AC$6))=0,0,SUMPRODUCT(('IGU(2020)_LNG_TRADE'!$C$3:$V$3=$A33)*('IGU(2020)_LNG_TRADE'!$A$5:$A$46=AC$6)*'IGU(2020)_LNG_TRADE'!$C$5:$V$46)*10^6*Legend!$B$92*Legend!$B$82*Legend!$B$84*10^-3)</f>
        <v>0</v>
      </c>
    </row>
    <row r="34" spans="1:29">
      <c r="A34" s="229" t="s">
        <v>245</v>
      </c>
      <c r="B34" s="226" cm="1">
        <f t="array" ref="B34">IF(SUMPRODUCT(('IGU(2020)_LNG_TRADE'!$C$3:$V$3=$A34)*('IGU(2020)_LNG_TRADE'!$A$5:$A$46=B$6))=0,0,SUMPRODUCT(('IGU(2020)_LNG_TRADE'!$C$3:$V$3=$A34)*('IGU(2020)_LNG_TRADE'!$A$5:$A$46=B$6)*'IGU(2020)_LNG_TRADE'!$C$5:$V$46)*10^6*Legend!$B$92*Legend!$B$82*Legend!$B$84*10^-3)</f>
        <v>0</v>
      </c>
      <c r="C34" s="226" cm="1">
        <f t="array" ref="C34">IF(SUMPRODUCT(('IGU(2020)_LNG_TRADE'!$C$3:$V$3=$A34)*('IGU(2020)_LNG_TRADE'!$A$5:$A$46=C$6))=0,0,SUMPRODUCT(('IGU(2020)_LNG_TRADE'!$C$3:$V$3=$A34)*('IGU(2020)_LNG_TRADE'!$A$5:$A$46=C$6)*'IGU(2020)_LNG_TRADE'!$C$5:$V$46)*10^6*Legend!$B$92*Legend!$B$82*Legend!$B$84*10^-3)</f>
        <v>0</v>
      </c>
      <c r="D34" s="226" cm="1">
        <f t="array" ref="D34">IF(SUMPRODUCT(('IGU(2020)_LNG_TRADE'!$C$3:$V$3=$A34)*('IGU(2020)_LNG_TRADE'!$A$5:$A$46=D$6))=0,0,SUMPRODUCT(('IGU(2020)_LNG_TRADE'!$C$3:$V$3=$A34)*('IGU(2020)_LNG_TRADE'!$A$5:$A$46=D$6)*'IGU(2020)_LNG_TRADE'!$C$5:$V$46)*10^6*Legend!$B$92*Legend!$B$82*Legend!$B$84*10^-3)</f>
        <v>0</v>
      </c>
      <c r="E34" s="226" cm="1">
        <f t="array" ref="E34">IF(SUMPRODUCT(('IGU(2020)_LNG_TRADE'!$C$3:$V$3=$A34)*('IGU(2020)_LNG_TRADE'!$A$5:$A$46=E$6))=0,0,SUMPRODUCT(('IGU(2020)_LNG_TRADE'!$C$3:$V$3=$A34)*('IGU(2020)_LNG_TRADE'!$A$5:$A$46=E$6)*'IGU(2020)_LNG_TRADE'!$C$5:$V$46)*10^6*Legend!$B$92*Legend!$B$82*Legend!$B$84*10^-3)</f>
        <v>0</v>
      </c>
      <c r="F34" s="226" cm="1">
        <f t="array" ref="F34">IF(SUMPRODUCT(('IGU(2020)_LNG_TRADE'!$C$3:$V$3=$A34)*('IGU(2020)_LNG_TRADE'!$A$5:$A$46=F$6))=0,0,SUMPRODUCT(('IGU(2020)_LNG_TRADE'!$C$3:$V$3=$A34)*('IGU(2020)_LNG_TRADE'!$A$5:$A$46=F$6)*'IGU(2020)_LNG_TRADE'!$C$5:$V$46)*10^6*Legend!$B$92*Legend!$B$82*Legend!$B$84*10^-3)</f>
        <v>0</v>
      </c>
      <c r="G34" s="226" cm="1">
        <f t="array" ref="G34">IF(SUMPRODUCT(('IGU(2020)_LNG_TRADE'!$C$3:$V$3=$A34)*('IGU(2020)_LNG_TRADE'!$A$5:$A$46=G$6))=0,0,SUMPRODUCT(('IGU(2020)_LNG_TRADE'!$C$3:$V$3=$A34)*('IGU(2020)_LNG_TRADE'!$A$5:$A$46=G$6)*'IGU(2020)_LNG_TRADE'!$C$5:$V$46)*10^6*Legend!$B$92*Legend!$B$82*Legend!$B$84*10^-3)</f>
        <v>0</v>
      </c>
      <c r="H34" s="226" cm="1">
        <f t="array" ref="H34">IF(SUMPRODUCT(('IGU(2020)_LNG_TRADE'!$C$3:$V$3=$A34)*('IGU(2020)_LNG_TRADE'!$A$5:$A$46=H$6))=0,0,SUMPRODUCT(('IGU(2020)_LNG_TRADE'!$C$3:$V$3=$A34)*('IGU(2020)_LNG_TRADE'!$A$5:$A$46=H$6)*'IGU(2020)_LNG_TRADE'!$C$5:$V$46)*10^6*Legend!$B$92*Legend!$B$82*Legend!$B$84*10^-3)</f>
        <v>45050.525599999979</v>
      </c>
      <c r="I34" s="226" cm="1">
        <f t="array" ref="I34">IF(SUMPRODUCT(('IGU(2020)_LNG_TRADE'!$C$3:$V$3=$A34)*('IGU(2020)_LNG_TRADE'!$A$5:$A$46=I$6))=0,0,SUMPRODUCT(('IGU(2020)_LNG_TRADE'!$C$3:$V$3=$A34)*('IGU(2020)_LNG_TRADE'!$A$5:$A$46=I$6)*'IGU(2020)_LNG_TRADE'!$C$5:$V$46)*10^6*Legend!$B$92*Legend!$B$82*Legend!$B$84*10^-3)</f>
        <v>28156.5785</v>
      </c>
      <c r="J34" s="226" cm="1">
        <f t="array" ref="J34">IF(SUMPRODUCT(('IGU(2020)_LNG_TRADE'!$C$3:$V$3=$A34)*('IGU(2020)_LNG_TRADE'!$A$5:$A$46=J$6))=0,0,SUMPRODUCT(('IGU(2020)_LNG_TRADE'!$C$3:$V$3=$A34)*('IGU(2020)_LNG_TRADE'!$A$5:$A$46=J$6)*'IGU(2020)_LNG_TRADE'!$C$5:$V$46)*10^6*Legend!$B$92*Legend!$B$82*Legend!$B$84*10^-3)</f>
        <v>61944.472699999998</v>
      </c>
      <c r="K34" s="226" cm="1">
        <f t="array" ref="K34">IF(SUMPRODUCT(('IGU(2020)_LNG_TRADE'!$C$3:$V$3=$A34)*('IGU(2020)_LNG_TRADE'!$A$5:$A$46=K$6))=0,0,SUMPRODUCT(('IGU(2020)_LNG_TRADE'!$C$3:$V$3=$A34)*('IGU(2020)_LNG_TRADE'!$A$5:$A$46=K$6)*'IGU(2020)_LNG_TRADE'!$C$5:$V$46)*10^6*Legend!$B$92*Legend!$B$82*Legend!$B$84*10^-3)</f>
        <v>0</v>
      </c>
      <c r="L34" s="226" cm="1">
        <f t="array" ref="L34">IF(SUMPRODUCT(('IGU(2020)_LNG_TRADE'!$C$3:$V$3=$A34)*('IGU(2020)_LNG_TRADE'!$A$5:$A$46=L$6))=0,0,SUMPRODUCT(('IGU(2020)_LNG_TRADE'!$C$3:$V$3=$A34)*('IGU(2020)_LNG_TRADE'!$A$5:$A$46=L$6)*'IGU(2020)_LNG_TRADE'!$C$5:$V$46)*10^6*Legend!$B$92*Legend!$B$82*Legend!$B$84*10^-3)</f>
        <v>95732.366899999979</v>
      </c>
      <c r="M34" s="226" cm="1">
        <f t="array" ref="M34">IF(SUMPRODUCT(('IGU(2020)_LNG_TRADE'!$C$3:$V$3=$A34)*('IGU(2020)_LNG_TRADE'!$A$5:$A$46=M$6))=0,0,SUMPRODUCT(('IGU(2020)_LNG_TRADE'!$C$3:$V$3=$A34)*('IGU(2020)_LNG_TRADE'!$A$5:$A$46=M$6)*'IGU(2020)_LNG_TRADE'!$C$5:$V$46)*10^6*Legend!$B$92*Legend!$B$82*Legend!$B$84*10^-3)</f>
        <v>16893.947099999998</v>
      </c>
      <c r="N34" s="226" cm="1">
        <f t="array" ref="N34">IF(SUMPRODUCT(('IGU(2020)_LNG_TRADE'!$C$3:$V$3=$A34)*('IGU(2020)_LNG_TRADE'!$A$5:$A$46=N$6))=0,0,SUMPRODUCT(('IGU(2020)_LNG_TRADE'!$C$3:$V$3=$A34)*('IGU(2020)_LNG_TRADE'!$A$5:$A$46=N$6)*'IGU(2020)_LNG_TRADE'!$C$5:$V$46)*10^6*Legend!$B$92*Legend!$B$82*Legend!$B$84*10^-3)</f>
        <v>0</v>
      </c>
      <c r="O34" s="226" cm="1">
        <f t="array" ref="O34">IF(SUMPRODUCT(('IGU(2020)_LNG_TRADE'!$C$3:$V$3=$A34)*('IGU(2020)_LNG_TRADE'!$A$5:$A$46=O$6))=0,0,SUMPRODUCT(('IGU(2020)_LNG_TRADE'!$C$3:$V$3=$A34)*('IGU(2020)_LNG_TRADE'!$A$5:$A$46=O$6)*'IGU(2020)_LNG_TRADE'!$C$5:$V$46)*10^6*Legend!$B$92*Legend!$B$82*Legend!$B$84*10^-3)</f>
        <v>118257.62969999999</v>
      </c>
      <c r="P34" s="226" cm="1">
        <f t="array" ref="P34">IF(SUMPRODUCT(('IGU(2020)_LNG_TRADE'!$C$3:$V$3=$A34)*('IGU(2020)_LNG_TRADE'!$A$5:$A$46=P$6))=0,0,SUMPRODUCT(('IGU(2020)_LNG_TRADE'!$C$3:$V$3=$A34)*('IGU(2020)_LNG_TRADE'!$A$5:$A$46=P$6)*'IGU(2020)_LNG_TRADE'!$C$5:$V$46)*10^6*Legend!$B$92*Legend!$B$82*Legend!$B$84*10^-3)</f>
        <v>45050.525599999979</v>
      </c>
      <c r="Q34" s="226" cm="1">
        <f t="array" ref="Q34">IF(SUMPRODUCT(('IGU(2020)_LNG_TRADE'!$C$3:$V$3=$A34)*('IGU(2020)_LNG_TRADE'!$A$5:$A$46=Q$6))=0,0,SUMPRODUCT(('IGU(2020)_LNG_TRADE'!$C$3:$V$3=$A34)*('IGU(2020)_LNG_TRADE'!$A$5:$A$46=Q$6)*'IGU(2020)_LNG_TRADE'!$C$5:$V$46)*10^6*Legend!$B$92*Legend!$B$82*Legend!$B$84*10^-3)</f>
        <v>422348.67749999999</v>
      </c>
      <c r="R34" s="226" cm="1">
        <f t="array" ref="R34">IF(SUMPRODUCT(('IGU(2020)_LNG_TRADE'!$C$3:$V$3=$A34)*('IGU(2020)_LNG_TRADE'!$A$5:$A$46=R$6))=0,0,SUMPRODUCT(('IGU(2020)_LNG_TRADE'!$C$3:$V$3=$A34)*('IGU(2020)_LNG_TRADE'!$A$5:$A$46=R$6)*'IGU(2020)_LNG_TRADE'!$C$5:$V$46)*10^6*Legend!$B$92*Legend!$B$82*Legend!$B$84*10^-3)</f>
        <v>95732.366899999979</v>
      </c>
      <c r="S34" s="226" cm="1">
        <f t="array" ref="S34">IF(SUMPRODUCT(('IGU(2020)_LNG_TRADE'!$C$3:$V$3=$A34)*('IGU(2020)_LNG_TRADE'!$A$5:$A$46=S$6))=0,0,SUMPRODUCT(('IGU(2020)_LNG_TRADE'!$C$3:$V$3=$A34)*('IGU(2020)_LNG_TRADE'!$A$5:$A$46=S$6)*'IGU(2020)_LNG_TRADE'!$C$5:$V$46)*10^6*Legend!$B$92*Legend!$B$82*Legend!$B$84*10^-3)</f>
        <v>0</v>
      </c>
      <c r="T34" s="226" cm="1">
        <f t="array" ref="T34">IF(SUMPRODUCT(('IGU(2020)_LNG_TRADE'!$C$3:$V$3=$A34)*('IGU(2020)_LNG_TRADE'!$A$5:$A$46=T$6))=0,0,SUMPRODUCT(('IGU(2020)_LNG_TRADE'!$C$3:$V$3=$A34)*('IGU(2020)_LNG_TRADE'!$A$5:$A$46=T$6)*'IGU(2020)_LNG_TRADE'!$C$5:$V$46)*10^6*Legend!$B$92*Legend!$B$82*Legend!$B$84*10^-3)</f>
        <v>101363.68259999999</v>
      </c>
      <c r="U34" s="226" cm="1">
        <f t="array" ref="U34">IF(SUMPRODUCT(('IGU(2020)_LNG_TRADE'!$C$3:$V$3=$A34)*('IGU(2020)_LNG_TRADE'!$A$5:$A$46=U$6))=0,0,SUMPRODUCT(('IGU(2020)_LNG_TRADE'!$C$3:$V$3=$A34)*('IGU(2020)_LNG_TRADE'!$A$5:$A$46=U$6)*'IGU(2020)_LNG_TRADE'!$C$5:$V$46)*10^6*Legend!$B$92*Legend!$B$82*Legend!$B$84*10^-3)</f>
        <v>202727.36519999997</v>
      </c>
      <c r="V34" s="226" cm="1">
        <f t="array" ref="V34">IF(SUMPRODUCT(('IGU(2020)_LNG_TRADE'!$C$3:$V$3=$A34)*('IGU(2020)_LNG_TRADE'!$A$5:$A$46=V$6))=0,0,SUMPRODUCT(('IGU(2020)_LNG_TRADE'!$C$3:$V$3=$A34)*('IGU(2020)_LNG_TRADE'!$A$5:$A$46=V$6)*'IGU(2020)_LNG_TRADE'!$C$5:$V$46)*10^6*Legend!$B$92*Legend!$B$82*Legend!$B$84*10^-3)</f>
        <v>78838.419800000003</v>
      </c>
      <c r="W34" s="226" cm="1">
        <f t="array" ref="W34">IF(SUMPRODUCT(('IGU(2020)_LNG_TRADE'!$C$3:$V$3=$A34)*('IGU(2020)_LNG_TRADE'!$A$5:$A$46=W$6))=0,0,SUMPRODUCT(('IGU(2020)_LNG_TRADE'!$C$3:$V$3=$A34)*('IGU(2020)_LNG_TRADE'!$A$5:$A$46=W$6)*'IGU(2020)_LNG_TRADE'!$C$5:$V$46)*10^6*Legend!$B$92*Legend!$B$82*Legend!$B$84*10^-3)</f>
        <v>84469.735499999995</v>
      </c>
      <c r="X34" s="226" cm="1">
        <f t="array" ref="X34">IF(SUMPRODUCT(('IGU(2020)_LNG_TRADE'!$C$3:$V$3=$A34)*('IGU(2020)_LNG_TRADE'!$A$5:$A$46=X$6))=0,0,SUMPRODUCT(('IGU(2020)_LNG_TRADE'!$C$3:$V$3=$A34)*('IGU(2020)_LNG_TRADE'!$A$5:$A$46=X$6)*'IGU(2020)_LNG_TRADE'!$C$5:$V$46)*10^6*Legend!$B$92*Legend!$B$82*Legend!$B$84*10^-3)</f>
        <v>33787.894200000002</v>
      </c>
      <c r="Y34" s="226" cm="1">
        <f t="array" ref="Y34">IF(SUMPRODUCT(('IGU(2020)_LNG_TRADE'!$C$3:$V$3=$A34)*('IGU(2020)_LNG_TRADE'!$A$5:$A$46=Y$6))=0,0,SUMPRODUCT(('IGU(2020)_LNG_TRADE'!$C$3:$V$3=$A34)*('IGU(2020)_LNG_TRADE'!$A$5:$A$46=Y$6)*'IGU(2020)_LNG_TRADE'!$C$5:$V$46)*10^6*Legend!$B$92*Legend!$B$82*Legend!$B$84*10^-3)</f>
        <v>163308.15529999998</v>
      </c>
      <c r="Z34" s="226" cm="1">
        <f t="array" ref="Z34">IF(SUMPRODUCT(('IGU(2020)_LNG_TRADE'!$C$3:$V$3=$A34)*('IGU(2020)_LNG_TRADE'!$A$5:$A$46=Z$6))=0,0,SUMPRODUCT(('IGU(2020)_LNG_TRADE'!$C$3:$V$3=$A34)*('IGU(2020)_LNG_TRADE'!$A$5:$A$46=Z$6)*'IGU(2020)_LNG_TRADE'!$C$5:$V$46)*10^6*Legend!$B$92*Legend!$B$82*Legend!$B$84*10^-3)</f>
        <v>0</v>
      </c>
      <c r="AA34" s="226" cm="1">
        <f t="array" ref="AA34">IF(SUMPRODUCT(('IGU(2020)_LNG_TRADE'!$C$3:$V$3=$A34)*('IGU(2020)_LNG_TRADE'!$A$5:$A$46=AA$6))=0,0,SUMPRODUCT(('IGU(2020)_LNG_TRADE'!$C$3:$V$3=$A34)*('IGU(2020)_LNG_TRADE'!$A$5:$A$46=AA$6)*'IGU(2020)_LNG_TRADE'!$C$5:$V$46)*10^6*Legend!$B$92*Legend!$B$82*Legend!$B$84*10^-3)</f>
        <v>0</v>
      </c>
      <c r="AB34" s="226" cm="1">
        <f t="array" ref="AB34">IF(SUMPRODUCT(('IGU(2020)_LNG_TRADE'!$C$3:$V$3=$A34)*('IGU(2020)_LNG_TRADE'!$A$5:$A$46=AB$6))=0,0,SUMPRODUCT(('IGU(2020)_LNG_TRADE'!$C$3:$V$3=$A34)*('IGU(2020)_LNG_TRADE'!$A$5:$A$46=AB$6)*'IGU(2020)_LNG_TRADE'!$C$5:$V$46)*10^6*Legend!$B$92*Legend!$B$82*Legend!$B$84*10^-3)</f>
        <v>309722.36349999998</v>
      </c>
      <c r="AC34" s="224" cm="1">
        <f t="array" ref="AC34">IF(SUMPRODUCT(('IGU(2020)_LNG_TRADE'!$C$3:$V$3=$A34)*('IGU(2020)_LNG_TRADE'!$A$5:$A$46=AC$6))=0,0,SUMPRODUCT(('IGU(2020)_LNG_TRADE'!$C$3:$V$3=$A34)*('IGU(2020)_LNG_TRADE'!$A$5:$A$46=AC$6)*'IGU(2020)_LNG_TRADE'!$C$5:$V$46)*10^6*Legend!$B$92*Legend!$B$82*Legend!$B$84*10^-3)</f>
        <v>0</v>
      </c>
    </row>
    <row r="37" spans="1:29">
      <c r="A37" s="175" t="s">
        <v>880</v>
      </c>
    </row>
    <row r="39" spans="1:29">
      <c r="A39" s="175" t="s">
        <v>387</v>
      </c>
    </row>
    <row r="40" spans="1:29">
      <c r="A40" s="227" t="s">
        <v>881</v>
      </c>
      <c r="B40" s="358" t="s">
        <v>172</v>
      </c>
      <c r="C40" s="358" t="s">
        <v>175</v>
      </c>
      <c r="D40" s="358" t="s">
        <v>178</v>
      </c>
      <c r="E40" s="358" t="s">
        <v>181</v>
      </c>
      <c r="F40" s="358" t="s">
        <v>184</v>
      </c>
      <c r="G40" s="358" t="s">
        <v>187</v>
      </c>
      <c r="H40" s="358" t="s">
        <v>190</v>
      </c>
      <c r="I40" s="358" t="s">
        <v>193</v>
      </c>
      <c r="J40" s="358" t="s">
        <v>196</v>
      </c>
      <c r="K40" s="358" t="s">
        <v>198</v>
      </c>
      <c r="L40" s="358" t="s">
        <v>200</v>
      </c>
      <c r="M40" s="358" t="s">
        <v>202</v>
      </c>
      <c r="N40" s="358" t="s">
        <v>205</v>
      </c>
      <c r="O40" s="358" t="s">
        <v>208</v>
      </c>
      <c r="P40" s="358" t="s">
        <v>211</v>
      </c>
      <c r="Q40" s="358" t="s">
        <v>214</v>
      </c>
      <c r="R40" s="358" t="s">
        <v>217</v>
      </c>
      <c r="S40" s="358" t="s">
        <v>220</v>
      </c>
      <c r="T40" s="358" t="s">
        <v>223</v>
      </c>
      <c r="U40" s="358" t="s">
        <v>225</v>
      </c>
      <c r="V40" s="358" t="s">
        <v>227</v>
      </c>
      <c r="W40" s="358" t="s">
        <v>230</v>
      </c>
      <c r="X40" s="358" t="s">
        <v>233</v>
      </c>
      <c r="Y40" s="358" t="s">
        <v>236</v>
      </c>
      <c r="Z40" s="358" t="s">
        <v>238</v>
      </c>
      <c r="AA40" s="358" t="s">
        <v>240</v>
      </c>
      <c r="AB40" s="358" t="s">
        <v>243</v>
      </c>
      <c r="AC40" s="228" t="s">
        <v>245</v>
      </c>
    </row>
    <row r="41" spans="1:29">
      <c r="A41" s="215" t="s">
        <v>172</v>
      </c>
      <c r="B41" s="209" cm="1">
        <f t="array" ref="B41">IF(SUMPRODUCT(('IGU(2020)_LNG_TRADE'!$C$3:$V$3=$A41)*('IGU(2020)_LNG_TRADE'!$A$5:$A$46=B$6))=0,0,SUMPRODUCT(('IGU(2020)_LNG_TRADE'!$C$3:$V$3=$A41)*('IGU(2020)_LNG_TRADE'!$A$5:$A$46=B$6)*'IGU(2020)_LNG_TRADE'!$C$5:$V$46)*10^6*Legend!$B$92*Legend!$B$82*Legend!$B$84*10^-3)</f>
        <v>0</v>
      </c>
      <c r="C41" s="209" cm="1">
        <f t="array" ref="C41">IF(SUMPRODUCT(('IGU(2020)_LNG_TRADE'!$C$3:$V$3=$A41)*('IGU(2020)_LNG_TRADE'!$A$5:$A$46=C$6))=0,0,SUMPRODUCT(('IGU(2020)_LNG_TRADE'!$C$3:$V$3=$A41)*('IGU(2020)_LNG_TRADE'!$A$5:$A$46=C$6)*'IGU(2020)_LNG_TRADE'!$C$5:$V$46)*10^6*Legend!$B$92*Legend!$B$82*Legend!$B$84*10^-3)</f>
        <v>0</v>
      </c>
      <c r="D41" s="209" cm="1">
        <f t="array" ref="D41">IF(SUMPRODUCT(('IGU(2020)_LNG_TRADE'!$C$3:$V$3=$A41)*('IGU(2020)_LNG_TRADE'!$A$5:$A$46=D$6))=0,0,SUMPRODUCT(('IGU(2020)_LNG_TRADE'!$C$3:$V$3=$A41)*('IGU(2020)_LNG_TRADE'!$A$5:$A$46=D$6)*'IGU(2020)_LNG_TRADE'!$C$5:$V$46)*10^6*Legend!$B$92*Legend!$B$82*Legend!$B$84*10^-3)</f>
        <v>0</v>
      </c>
      <c r="E41" s="209" cm="1">
        <f t="array" ref="E41">IF(SUMPRODUCT(('IGU(2020)_LNG_TRADE'!$C$3:$V$3=$A41)*('IGU(2020)_LNG_TRADE'!$A$5:$A$46=E$6))=0,0,SUMPRODUCT(('IGU(2020)_LNG_TRADE'!$C$3:$V$3=$A41)*('IGU(2020)_LNG_TRADE'!$A$5:$A$46=E$6)*'IGU(2020)_LNG_TRADE'!$C$5:$V$46)*10^6*Legend!$B$92*Legend!$B$82*Legend!$B$84*10^-3)</f>
        <v>0</v>
      </c>
      <c r="F41" s="209" cm="1">
        <f t="array" ref="F41">IF(SUMPRODUCT(('IGU(2020)_LNG_TRADE'!$C$3:$V$3=$A41)*('IGU(2020)_LNG_TRADE'!$A$5:$A$46=F$6))=0,0,SUMPRODUCT(('IGU(2020)_LNG_TRADE'!$C$3:$V$3=$A41)*('IGU(2020)_LNG_TRADE'!$A$5:$A$46=F$6)*'IGU(2020)_LNG_TRADE'!$C$5:$V$46)*10^6*Legend!$B$92*Legend!$B$82*Legend!$B$84*10^-3)</f>
        <v>0</v>
      </c>
      <c r="G41" s="209" cm="1">
        <f t="array" ref="G41">IF(SUMPRODUCT(('IGU(2020)_LNG_TRADE'!$C$3:$V$3=$A41)*('IGU(2020)_LNG_TRADE'!$A$5:$A$46=G$6))=0,0,SUMPRODUCT(('IGU(2020)_LNG_TRADE'!$C$3:$V$3=$A41)*('IGU(2020)_LNG_TRADE'!$A$5:$A$46=G$6)*'IGU(2020)_LNG_TRADE'!$C$5:$V$46)*10^6*Legend!$B$92*Legend!$B$82*Legend!$B$84*10^-3)</f>
        <v>0</v>
      </c>
      <c r="H41" s="209" cm="1">
        <f t="array" ref="H41">IF(SUMPRODUCT(('IGU(2020)_LNG_TRADE'!$C$3:$V$3=$A41)*('IGU(2020)_LNG_TRADE'!$A$5:$A$46=H$6))=0,0,SUMPRODUCT(('IGU(2020)_LNG_TRADE'!$C$3:$V$3=$A41)*('IGU(2020)_LNG_TRADE'!$A$5:$A$46=H$6)*'IGU(2020)_LNG_TRADE'!$C$5:$V$46)*10^6*Legend!$B$92*Legend!$B$82*Legend!$B$84*10^-3)</f>
        <v>0</v>
      </c>
      <c r="I41" s="209" cm="1">
        <f t="array" ref="I41">IF(SUMPRODUCT(('IGU(2020)_LNG_TRADE'!$C$3:$V$3=$A41)*('IGU(2020)_LNG_TRADE'!$A$5:$A$46=I$6))=0,0,SUMPRODUCT(('IGU(2020)_LNG_TRADE'!$C$3:$V$3=$A41)*('IGU(2020)_LNG_TRADE'!$A$5:$A$46=I$6)*'IGU(2020)_LNG_TRADE'!$C$5:$V$46)*10^6*Legend!$B$92*Legend!$B$82*Legend!$B$84*10^-3)</f>
        <v>0</v>
      </c>
      <c r="J41" s="209" cm="1">
        <f t="array" ref="J41">IF(SUMPRODUCT(('IGU(2020)_LNG_TRADE'!$C$3:$V$3=$A41)*('IGU(2020)_LNG_TRADE'!$A$5:$A$46=J$6))=0,0,SUMPRODUCT(('IGU(2020)_LNG_TRADE'!$C$3:$V$3=$A41)*('IGU(2020)_LNG_TRADE'!$A$5:$A$46=J$6)*'IGU(2020)_LNG_TRADE'!$C$5:$V$46)*10^6*Legend!$B$92*Legend!$B$82*Legend!$B$84*10^-3)</f>
        <v>0</v>
      </c>
      <c r="K41" s="209" cm="1">
        <f t="array" ref="K41">IF(SUMPRODUCT(('IGU(2020)_LNG_TRADE'!$C$3:$V$3=$A41)*('IGU(2020)_LNG_TRADE'!$A$5:$A$46=K$6))=0,0,SUMPRODUCT(('IGU(2020)_LNG_TRADE'!$C$3:$V$3=$A41)*('IGU(2020)_LNG_TRADE'!$A$5:$A$46=K$6)*'IGU(2020)_LNG_TRADE'!$C$5:$V$46)*10^6*Legend!$B$92*Legend!$B$82*Legend!$B$84*10^-3)</f>
        <v>0</v>
      </c>
      <c r="L41" s="209" cm="1">
        <f t="array" ref="L41">IF(SUMPRODUCT(('IGU(2020)_LNG_TRADE'!$C$3:$V$3=$A41)*('IGU(2020)_LNG_TRADE'!$A$5:$A$46=L$6))=0,0,SUMPRODUCT(('IGU(2020)_LNG_TRADE'!$C$3:$V$3=$A41)*('IGU(2020)_LNG_TRADE'!$A$5:$A$46=L$6)*'IGU(2020)_LNG_TRADE'!$C$5:$V$46)*10^6*Legend!$B$92*Legend!$B$82*Legend!$B$84*10^-3)</f>
        <v>0</v>
      </c>
      <c r="M41" s="209" cm="1">
        <f t="array" ref="M41">IF(SUMPRODUCT(('IGU(2020)_LNG_TRADE'!$C$3:$V$3=$A41)*('IGU(2020)_LNG_TRADE'!$A$5:$A$46=M$6))=0,0,SUMPRODUCT(('IGU(2020)_LNG_TRADE'!$C$3:$V$3=$A41)*('IGU(2020)_LNG_TRADE'!$A$5:$A$46=M$6)*'IGU(2020)_LNG_TRADE'!$C$5:$V$46)*10^6*Legend!$B$92*Legend!$B$82*Legend!$B$84*10^-3)</f>
        <v>0</v>
      </c>
      <c r="N41" s="209" cm="1">
        <f t="array" ref="N41">IF(SUMPRODUCT(('IGU(2020)_LNG_TRADE'!$C$3:$V$3=$A41)*('IGU(2020)_LNG_TRADE'!$A$5:$A$46=N$6))=0,0,SUMPRODUCT(('IGU(2020)_LNG_TRADE'!$C$3:$V$3=$A41)*('IGU(2020)_LNG_TRADE'!$A$5:$A$46=N$6)*'IGU(2020)_LNG_TRADE'!$C$5:$V$46)*10^6*Legend!$B$92*Legend!$B$82*Legend!$B$84*10^-3)</f>
        <v>0</v>
      </c>
      <c r="O41" s="209" cm="1">
        <f t="array" ref="O41">IF(SUMPRODUCT(('IGU(2020)_LNG_TRADE'!$C$3:$V$3=$A41)*('IGU(2020)_LNG_TRADE'!$A$5:$A$46=O$6))=0,0,SUMPRODUCT(('IGU(2020)_LNG_TRADE'!$C$3:$V$3=$A41)*('IGU(2020)_LNG_TRADE'!$A$5:$A$46=O$6)*'IGU(2020)_LNG_TRADE'!$C$5:$V$46)*10^6*Legend!$B$92*Legend!$B$82*Legend!$B$84*10^-3)</f>
        <v>0</v>
      </c>
      <c r="P41" s="209" cm="1">
        <f t="array" ref="P41">IF(SUMPRODUCT(('IGU(2020)_LNG_TRADE'!$C$3:$V$3=$A41)*('IGU(2020)_LNG_TRADE'!$A$5:$A$46=P$6))=0,0,SUMPRODUCT(('IGU(2020)_LNG_TRADE'!$C$3:$V$3=$A41)*('IGU(2020)_LNG_TRADE'!$A$5:$A$46=P$6)*'IGU(2020)_LNG_TRADE'!$C$5:$V$46)*10^6*Legend!$B$92*Legend!$B$82*Legend!$B$84*10^-3)</f>
        <v>0</v>
      </c>
      <c r="Q41" s="209" cm="1">
        <f t="array" ref="Q41">IF(SUMPRODUCT(('IGU(2020)_LNG_TRADE'!$C$3:$V$3=$A41)*('IGU(2020)_LNG_TRADE'!$A$5:$A$46=Q$6))=0,0,SUMPRODUCT(('IGU(2020)_LNG_TRADE'!$C$3:$V$3=$A41)*('IGU(2020)_LNG_TRADE'!$A$5:$A$46=Q$6)*'IGU(2020)_LNG_TRADE'!$C$5:$V$46)*10^6*Legend!$B$92*Legend!$B$82*Legend!$B$84*10^-3)</f>
        <v>0</v>
      </c>
      <c r="R41" s="209" cm="1">
        <f t="array" ref="R41">IF(SUMPRODUCT(('IGU(2020)_LNG_TRADE'!$C$3:$V$3=$A41)*('IGU(2020)_LNG_TRADE'!$A$5:$A$46=R$6))=0,0,SUMPRODUCT(('IGU(2020)_LNG_TRADE'!$C$3:$V$3=$A41)*('IGU(2020)_LNG_TRADE'!$A$5:$A$46=R$6)*'IGU(2020)_LNG_TRADE'!$C$5:$V$46)*10^6*Legend!$B$92*Legend!$B$82*Legend!$B$84*10^-3)</f>
        <v>0</v>
      </c>
      <c r="S41" s="209" cm="1">
        <f t="array" ref="S41">IF(SUMPRODUCT(('IGU(2020)_LNG_TRADE'!$C$3:$V$3=$A41)*('IGU(2020)_LNG_TRADE'!$A$5:$A$46=S$6))=0,0,SUMPRODUCT(('IGU(2020)_LNG_TRADE'!$C$3:$V$3=$A41)*('IGU(2020)_LNG_TRADE'!$A$5:$A$46=S$6)*'IGU(2020)_LNG_TRADE'!$C$5:$V$46)*10^6*Legend!$B$92*Legend!$B$82*Legend!$B$84*10^-3)</f>
        <v>0</v>
      </c>
      <c r="T41" s="209" cm="1">
        <f t="array" ref="T41">IF(SUMPRODUCT(('IGU(2020)_LNG_TRADE'!$C$3:$V$3=$A41)*('IGU(2020)_LNG_TRADE'!$A$5:$A$46=T$6))=0,0,SUMPRODUCT(('IGU(2020)_LNG_TRADE'!$C$3:$V$3=$A41)*('IGU(2020)_LNG_TRADE'!$A$5:$A$46=T$6)*'IGU(2020)_LNG_TRADE'!$C$5:$V$46)*10^6*Legend!$B$92*Legend!$B$82*Legend!$B$84*10^-3)</f>
        <v>0</v>
      </c>
      <c r="U41" s="209" cm="1">
        <f t="array" ref="U41">IF(SUMPRODUCT(('IGU(2020)_LNG_TRADE'!$C$3:$V$3=$A41)*('IGU(2020)_LNG_TRADE'!$A$5:$A$46=U$6))=0,0,SUMPRODUCT(('IGU(2020)_LNG_TRADE'!$C$3:$V$3=$A41)*('IGU(2020)_LNG_TRADE'!$A$5:$A$46=U$6)*'IGU(2020)_LNG_TRADE'!$C$5:$V$46)*10^6*Legend!$B$92*Legend!$B$82*Legend!$B$84*10^-3)</f>
        <v>0</v>
      </c>
      <c r="V41" s="209" cm="1">
        <f t="array" ref="V41">IF(SUMPRODUCT(('IGU(2020)_LNG_TRADE'!$C$3:$V$3=$A41)*('IGU(2020)_LNG_TRADE'!$A$5:$A$46=V$6))=0,0,SUMPRODUCT(('IGU(2020)_LNG_TRADE'!$C$3:$V$3=$A41)*('IGU(2020)_LNG_TRADE'!$A$5:$A$46=V$6)*'IGU(2020)_LNG_TRADE'!$C$5:$V$46)*10^6*Legend!$B$92*Legend!$B$82*Legend!$B$84*10^-3)</f>
        <v>0</v>
      </c>
      <c r="W41" s="209" cm="1">
        <f t="array" ref="W41">IF(SUMPRODUCT(('IGU(2020)_LNG_TRADE'!$C$3:$V$3=$A41)*('IGU(2020)_LNG_TRADE'!$A$5:$A$46=W$6))=0,0,SUMPRODUCT(('IGU(2020)_LNG_TRADE'!$C$3:$V$3=$A41)*('IGU(2020)_LNG_TRADE'!$A$5:$A$46=W$6)*'IGU(2020)_LNG_TRADE'!$C$5:$V$46)*10^6*Legend!$B$92*Legend!$B$82*Legend!$B$84*10^-3)</f>
        <v>0</v>
      </c>
      <c r="X41" s="209" cm="1">
        <f t="array" ref="X41">IF(SUMPRODUCT(('IGU(2020)_LNG_TRADE'!$C$3:$V$3=$A41)*('IGU(2020)_LNG_TRADE'!$A$5:$A$46=X$6))=0,0,SUMPRODUCT(('IGU(2020)_LNG_TRADE'!$C$3:$V$3=$A41)*('IGU(2020)_LNG_TRADE'!$A$5:$A$46=X$6)*'IGU(2020)_LNG_TRADE'!$C$5:$V$46)*10^6*Legend!$B$92*Legend!$B$82*Legend!$B$84*10^-3)</f>
        <v>0</v>
      </c>
      <c r="Y41" s="209" cm="1">
        <f t="array" ref="Y41">IF(SUMPRODUCT(('IGU(2020)_LNG_TRADE'!$C$3:$V$3=$A41)*('IGU(2020)_LNG_TRADE'!$A$5:$A$46=Y$6))=0,0,SUMPRODUCT(('IGU(2020)_LNG_TRADE'!$C$3:$V$3=$A41)*('IGU(2020)_LNG_TRADE'!$A$5:$A$46=Y$6)*'IGU(2020)_LNG_TRADE'!$C$5:$V$46)*10^6*Legend!$B$92*Legend!$B$82*Legend!$B$84*10^-3)</f>
        <v>0</v>
      </c>
      <c r="Z41" s="209" cm="1">
        <f t="array" ref="Z41">IF(SUMPRODUCT(('IGU(2020)_LNG_TRADE'!$C$3:$V$3=$A41)*('IGU(2020)_LNG_TRADE'!$A$5:$A$46=Z$6))=0,0,SUMPRODUCT(('IGU(2020)_LNG_TRADE'!$C$3:$V$3=$A41)*('IGU(2020)_LNG_TRADE'!$A$5:$A$46=Z$6)*'IGU(2020)_LNG_TRADE'!$C$5:$V$46)*10^6*Legend!$B$92*Legend!$B$82*Legend!$B$84*10^-3)</f>
        <v>0</v>
      </c>
      <c r="AA41" s="209" cm="1">
        <f t="array" ref="AA41">IF(SUMPRODUCT(('IGU(2020)_LNG_TRADE'!$C$3:$V$3=$A41)*('IGU(2020)_LNG_TRADE'!$A$5:$A$46=AA$6))=0,0,SUMPRODUCT(('IGU(2020)_LNG_TRADE'!$C$3:$V$3=$A41)*('IGU(2020)_LNG_TRADE'!$A$5:$A$46=AA$6)*'IGU(2020)_LNG_TRADE'!$C$5:$V$46)*10^6*Legend!$B$92*Legend!$B$82*Legend!$B$84*10^-3)</f>
        <v>0</v>
      </c>
      <c r="AB41" s="209" cm="1">
        <f t="array" ref="AB41">IF(SUMPRODUCT(('IGU(2020)_LNG_TRADE'!$C$3:$V$3=$A41)*('IGU(2020)_LNG_TRADE'!$A$5:$A$46=AB$6))=0,0,SUMPRODUCT(('IGU(2020)_LNG_TRADE'!$C$3:$V$3=$A41)*('IGU(2020)_LNG_TRADE'!$A$5:$A$46=AB$6)*'IGU(2020)_LNG_TRADE'!$C$5:$V$46)*10^6*Legend!$B$92*Legend!$B$82*Legend!$B$84*10^-3)</f>
        <v>0</v>
      </c>
      <c r="AC41" s="220" cm="1">
        <f t="array" ref="AC41">IF(SUMPRODUCT(('IGU(2020)_LNG_TRADE'!$C$3:$V$3=$A41)*('IGU(2020)_LNG_TRADE'!$A$5:$A$46=AC$6))=0,0,SUMPRODUCT(('IGU(2020)_LNG_TRADE'!$C$3:$V$3=$A41)*('IGU(2020)_LNG_TRADE'!$A$5:$A$46=AC$6)*'IGU(2020)_LNG_TRADE'!$C$5:$V$46)*10^6*Legend!$B$92*Legend!$B$82*Legend!$B$84*10^-3)</f>
        <v>0</v>
      </c>
    </row>
    <row r="42" spans="1:29">
      <c r="A42" s="215" t="s">
        <v>175</v>
      </c>
      <c r="B42" s="209" cm="1">
        <f t="array" ref="B42">IF(SUMPRODUCT(('IGU(2020)_LNG_TRADE'!$C$3:$V$3=$A42)*('IGU(2020)_LNG_TRADE'!$A$5:$A$46=B$6))=0,0,SUMPRODUCT(('IGU(2020)_LNG_TRADE'!$C$3:$V$3=$A42)*('IGU(2020)_LNG_TRADE'!$A$5:$A$46=B$6)*'IGU(2020)_LNG_TRADE'!$C$5:$V$46)*10^6*Legend!$B$92*Legend!$B$82*Legend!$B$84*10^-3)</f>
        <v>0</v>
      </c>
      <c r="C42" s="209" cm="1">
        <f t="array" ref="C42">IF(SUMPRODUCT(('IGU(2020)_LNG_TRADE'!$C$3:$V$3=$A42)*('IGU(2020)_LNG_TRADE'!$A$5:$A$46=C$6))=0,0,SUMPRODUCT(('IGU(2020)_LNG_TRADE'!$C$3:$V$3=$A42)*('IGU(2020)_LNG_TRADE'!$A$5:$A$46=C$6)*'IGU(2020)_LNG_TRADE'!$C$5:$V$46)*10^6*Legend!$B$92*Legend!$B$82*Legend!$B$84*10^-3)</f>
        <v>5631.3156999999983</v>
      </c>
      <c r="D42" s="209" cm="1">
        <f t="array" ref="D42">IF(SUMPRODUCT(('IGU(2020)_LNG_TRADE'!$C$3:$V$3=$A42)*('IGU(2020)_LNG_TRADE'!$A$5:$A$46=D$6))=0,0,SUMPRODUCT(('IGU(2020)_LNG_TRADE'!$C$3:$V$3=$A42)*('IGU(2020)_LNG_TRADE'!$A$5:$A$46=D$6)*'IGU(2020)_LNG_TRADE'!$C$5:$V$46)*10^6*Legend!$B$92*Legend!$B$82*Legend!$B$84*10^-3)</f>
        <v>0</v>
      </c>
      <c r="E42" s="209" cm="1">
        <f t="array" ref="E42">IF(SUMPRODUCT(('IGU(2020)_LNG_TRADE'!$C$3:$V$3=$A42)*('IGU(2020)_LNG_TRADE'!$A$5:$A$46=E$6))=0,0,SUMPRODUCT(('IGU(2020)_LNG_TRADE'!$C$3:$V$3=$A42)*('IGU(2020)_LNG_TRADE'!$A$5:$A$46=E$6)*'IGU(2020)_LNG_TRADE'!$C$5:$V$46)*10^6*Legend!$B$92*Legend!$B$82*Legend!$B$84*10^-3)</f>
        <v>0</v>
      </c>
      <c r="F42" s="209" cm="1">
        <f t="array" ref="F42">IF(SUMPRODUCT(('IGU(2020)_LNG_TRADE'!$C$3:$V$3=$A42)*('IGU(2020)_LNG_TRADE'!$A$5:$A$46=F$6))=0,0,SUMPRODUCT(('IGU(2020)_LNG_TRADE'!$C$3:$V$3=$A42)*('IGU(2020)_LNG_TRADE'!$A$5:$A$46=F$6)*'IGU(2020)_LNG_TRADE'!$C$5:$V$46)*10^6*Legend!$B$92*Legend!$B$82*Legend!$B$84*10^-3)</f>
        <v>0</v>
      </c>
      <c r="G42" s="209" cm="1">
        <f t="array" ref="G42">IF(SUMPRODUCT(('IGU(2020)_LNG_TRADE'!$C$3:$V$3=$A42)*('IGU(2020)_LNG_TRADE'!$A$5:$A$46=G$6))=0,0,SUMPRODUCT(('IGU(2020)_LNG_TRADE'!$C$3:$V$3=$A42)*('IGU(2020)_LNG_TRADE'!$A$5:$A$46=G$6)*'IGU(2020)_LNG_TRADE'!$C$5:$V$46)*10^6*Legend!$B$92*Legend!$B$82*Legend!$B$84*10^-3)</f>
        <v>0</v>
      </c>
      <c r="H42" s="209" cm="1">
        <f t="array" ref="H42">IF(SUMPRODUCT(('IGU(2020)_LNG_TRADE'!$C$3:$V$3=$A42)*('IGU(2020)_LNG_TRADE'!$A$5:$A$46=H$6))=0,0,SUMPRODUCT(('IGU(2020)_LNG_TRADE'!$C$3:$V$3=$A42)*('IGU(2020)_LNG_TRADE'!$A$5:$A$46=H$6)*'IGU(2020)_LNG_TRADE'!$C$5:$V$46)*10^6*Legend!$B$92*Legend!$B$82*Legend!$B$84*10^-3)</f>
        <v>28156.5785</v>
      </c>
      <c r="I42" s="209" cm="1">
        <f t="array" ref="I42">IF(SUMPRODUCT(('IGU(2020)_LNG_TRADE'!$C$3:$V$3=$A42)*('IGU(2020)_LNG_TRADE'!$A$5:$A$46=I$6))=0,0,SUMPRODUCT(('IGU(2020)_LNG_TRADE'!$C$3:$V$3=$A42)*('IGU(2020)_LNG_TRADE'!$A$5:$A$46=I$6)*'IGU(2020)_LNG_TRADE'!$C$5:$V$46)*10^6*Legend!$B$92*Legend!$B$82*Legend!$B$84*10^-3)</f>
        <v>73207.104099999968</v>
      </c>
      <c r="J42" s="209" cm="1">
        <f t="array" ref="J42">IF(SUMPRODUCT(('IGU(2020)_LNG_TRADE'!$C$3:$V$3=$A42)*('IGU(2020)_LNG_TRADE'!$A$5:$A$46=J$6))=0,0,SUMPRODUCT(('IGU(2020)_LNG_TRADE'!$C$3:$V$3=$A42)*('IGU(2020)_LNG_TRADE'!$A$5:$A$46=J$6)*'IGU(2020)_LNG_TRADE'!$C$5:$V$46)*10^6*Legend!$B$92*Legend!$B$82*Legend!$B$84*10^-3)</f>
        <v>0</v>
      </c>
      <c r="K42" s="209" cm="1">
        <f t="array" ref="K42">IF(SUMPRODUCT(('IGU(2020)_LNG_TRADE'!$C$3:$V$3=$A42)*('IGU(2020)_LNG_TRADE'!$A$5:$A$46=K$6))=0,0,SUMPRODUCT(('IGU(2020)_LNG_TRADE'!$C$3:$V$3=$A42)*('IGU(2020)_LNG_TRADE'!$A$5:$A$46=K$6)*'IGU(2020)_LNG_TRADE'!$C$5:$V$46)*10^6*Legend!$B$92*Legend!$B$82*Legend!$B$84*10^-3)</f>
        <v>0</v>
      </c>
      <c r="L42" s="209" cm="1">
        <f t="array" ref="L42">IF(SUMPRODUCT(('IGU(2020)_LNG_TRADE'!$C$3:$V$3=$A42)*('IGU(2020)_LNG_TRADE'!$A$5:$A$46=L$6))=0,0,SUMPRODUCT(('IGU(2020)_LNG_TRADE'!$C$3:$V$3=$A42)*('IGU(2020)_LNG_TRADE'!$A$5:$A$46=L$6)*'IGU(2020)_LNG_TRADE'!$C$5:$V$46)*10^6*Legend!$B$92*Legend!$B$82*Legend!$B$84*10^-3)</f>
        <v>0</v>
      </c>
      <c r="M42" s="209" cm="1">
        <f t="array" ref="M42">IF(SUMPRODUCT(('IGU(2020)_LNG_TRADE'!$C$3:$V$3=$A42)*('IGU(2020)_LNG_TRADE'!$A$5:$A$46=M$6))=0,0,SUMPRODUCT(('IGU(2020)_LNG_TRADE'!$C$3:$V$3=$A42)*('IGU(2020)_LNG_TRADE'!$A$5:$A$46=M$6)*'IGU(2020)_LNG_TRADE'!$C$5:$V$46)*10^6*Legend!$B$92*Legend!$B$82*Legend!$B$84*10^-3)</f>
        <v>16893.947100000001</v>
      </c>
      <c r="N42" s="209" cm="1">
        <f t="array" ref="N42">IF(SUMPRODUCT(('IGU(2020)_LNG_TRADE'!$C$3:$V$3=$A42)*('IGU(2020)_LNG_TRADE'!$A$5:$A$46=N$6))=0,0,SUMPRODUCT(('IGU(2020)_LNG_TRADE'!$C$3:$V$3=$A42)*('IGU(2020)_LNG_TRADE'!$A$5:$A$46=N$6)*'IGU(2020)_LNG_TRADE'!$C$5:$V$46)*10^6*Legend!$B$92*Legend!$B$82*Legend!$B$84*10^-3)</f>
        <v>0</v>
      </c>
      <c r="O42" s="209" cm="1">
        <f t="array" ref="O42">IF(SUMPRODUCT(('IGU(2020)_LNG_TRADE'!$C$3:$V$3=$A42)*('IGU(2020)_LNG_TRADE'!$A$5:$A$46=O$6))=0,0,SUMPRODUCT(('IGU(2020)_LNG_TRADE'!$C$3:$V$3=$A42)*('IGU(2020)_LNG_TRADE'!$A$5:$A$46=O$6)*'IGU(2020)_LNG_TRADE'!$C$5:$V$46)*10^6*Legend!$B$92*Legend!$B$82*Legend!$B$84*10^-3)</f>
        <v>39419.209900000002</v>
      </c>
      <c r="P42" s="209" cm="1">
        <f t="array" ref="P42">IF(SUMPRODUCT(('IGU(2020)_LNG_TRADE'!$C$3:$V$3=$A42)*('IGU(2020)_LNG_TRADE'!$A$5:$A$46=P$6))=0,0,SUMPRODUCT(('IGU(2020)_LNG_TRADE'!$C$3:$V$3=$A42)*('IGU(2020)_LNG_TRADE'!$A$5:$A$46=P$6)*'IGU(2020)_LNG_TRADE'!$C$5:$V$46)*10^6*Legend!$B$92*Legend!$B$82*Legend!$B$84*10^-3)</f>
        <v>0</v>
      </c>
      <c r="Q42" s="209" cm="1">
        <f t="array" ref="Q42">IF(SUMPRODUCT(('IGU(2020)_LNG_TRADE'!$C$3:$V$3=$A42)*('IGU(2020)_LNG_TRADE'!$A$5:$A$46=Q$6))=0,0,SUMPRODUCT(('IGU(2020)_LNG_TRADE'!$C$3:$V$3=$A42)*('IGU(2020)_LNG_TRADE'!$A$5:$A$46=Q$6)*'IGU(2020)_LNG_TRADE'!$C$5:$V$46)*10^6*Legend!$B$92*Legend!$B$82*Legend!$B$84*10^-3)</f>
        <v>394192.09899999993</v>
      </c>
      <c r="R42" s="209" cm="1">
        <f t="array" ref="R42">IF(SUMPRODUCT(('IGU(2020)_LNG_TRADE'!$C$3:$V$3=$A42)*('IGU(2020)_LNG_TRADE'!$A$5:$A$46=R$6))=0,0,SUMPRODUCT(('IGU(2020)_LNG_TRADE'!$C$3:$V$3=$A42)*('IGU(2020)_LNG_TRADE'!$A$5:$A$46=R$6)*'IGU(2020)_LNG_TRADE'!$C$5:$V$46)*10^6*Legend!$B$92*Legend!$B$82*Legend!$B$84*10^-3)</f>
        <v>11262.631399999997</v>
      </c>
      <c r="S42" s="209" cm="1">
        <f t="array" ref="S42">IF(SUMPRODUCT(('IGU(2020)_LNG_TRADE'!$C$3:$V$3=$A42)*('IGU(2020)_LNG_TRADE'!$A$5:$A$46=S$6))=0,0,SUMPRODUCT(('IGU(2020)_LNG_TRADE'!$C$3:$V$3=$A42)*('IGU(2020)_LNG_TRADE'!$A$5:$A$46=S$6)*'IGU(2020)_LNG_TRADE'!$C$5:$V$46)*10^6*Legend!$B$92*Legend!$B$82*Legend!$B$84*10^-3)</f>
        <v>0</v>
      </c>
      <c r="T42" s="209" cm="1">
        <f t="array" ref="T42">IF(SUMPRODUCT(('IGU(2020)_LNG_TRADE'!$C$3:$V$3=$A42)*('IGU(2020)_LNG_TRADE'!$A$5:$A$46=T$6))=0,0,SUMPRODUCT(('IGU(2020)_LNG_TRADE'!$C$3:$V$3=$A42)*('IGU(2020)_LNG_TRADE'!$A$5:$A$46=T$6)*'IGU(2020)_LNG_TRADE'!$C$5:$V$46)*10^6*Legend!$B$92*Legend!$B$82*Legend!$B$84*10^-3)</f>
        <v>22525.262799999993</v>
      </c>
      <c r="U42" s="209" cm="1">
        <f t="array" ref="U42">IF(SUMPRODUCT(('IGU(2020)_LNG_TRADE'!$C$3:$V$3=$A42)*('IGU(2020)_LNG_TRADE'!$A$5:$A$46=U$6))=0,0,SUMPRODUCT(('IGU(2020)_LNG_TRADE'!$C$3:$V$3=$A42)*('IGU(2020)_LNG_TRADE'!$A$5:$A$46=U$6)*'IGU(2020)_LNG_TRADE'!$C$5:$V$46)*10^6*Legend!$B$92*Legend!$B$82*Legend!$B$84*10^-3)</f>
        <v>11262.631399999997</v>
      </c>
      <c r="V42" s="209" cm="1">
        <f t="array" ref="V42">IF(SUMPRODUCT(('IGU(2020)_LNG_TRADE'!$C$3:$V$3=$A42)*('IGU(2020)_LNG_TRADE'!$A$5:$A$46=V$6))=0,0,SUMPRODUCT(('IGU(2020)_LNG_TRADE'!$C$3:$V$3=$A42)*('IGU(2020)_LNG_TRADE'!$A$5:$A$46=V$6)*'IGU(2020)_LNG_TRADE'!$C$5:$V$46)*10^6*Legend!$B$92*Legend!$B$82*Legend!$B$84*10^-3)</f>
        <v>0</v>
      </c>
      <c r="W42" s="209" cm="1">
        <f t="array" ref="W42">IF(SUMPRODUCT(('IGU(2020)_LNG_TRADE'!$C$3:$V$3=$A42)*('IGU(2020)_LNG_TRADE'!$A$5:$A$46=W$6))=0,0,SUMPRODUCT(('IGU(2020)_LNG_TRADE'!$C$3:$V$3=$A42)*('IGU(2020)_LNG_TRADE'!$A$5:$A$46=W$6)*'IGU(2020)_LNG_TRADE'!$C$5:$V$46)*10^6*Legend!$B$92*Legend!$B$82*Legend!$B$84*10^-3)</f>
        <v>259040.52220000001</v>
      </c>
      <c r="X42" s="209" cm="1">
        <f t="array" ref="X42">IF(SUMPRODUCT(('IGU(2020)_LNG_TRADE'!$C$3:$V$3=$A42)*('IGU(2020)_LNG_TRADE'!$A$5:$A$46=X$6))=0,0,SUMPRODUCT(('IGU(2020)_LNG_TRADE'!$C$3:$V$3=$A42)*('IGU(2020)_LNG_TRADE'!$A$5:$A$46=X$6)*'IGU(2020)_LNG_TRADE'!$C$5:$V$46)*10^6*Legend!$B$92*Legend!$B$82*Legend!$B$84*10^-3)</f>
        <v>16893.947100000001</v>
      </c>
      <c r="Y42" s="209" cm="1">
        <f t="array" ref="Y42">IF(SUMPRODUCT(('IGU(2020)_LNG_TRADE'!$C$3:$V$3=$A42)*('IGU(2020)_LNG_TRADE'!$A$5:$A$46=Y$6))=0,0,SUMPRODUCT(('IGU(2020)_LNG_TRADE'!$C$3:$V$3=$A42)*('IGU(2020)_LNG_TRADE'!$A$5:$A$46=Y$6)*'IGU(2020)_LNG_TRADE'!$C$5:$V$46)*10^6*Legend!$B$92*Legend!$B$82*Legend!$B$84*10^-3)</f>
        <v>0</v>
      </c>
      <c r="Z42" s="209" cm="1">
        <f t="array" ref="Z42">IF(SUMPRODUCT(('IGU(2020)_LNG_TRADE'!$C$3:$V$3=$A42)*('IGU(2020)_LNG_TRADE'!$A$5:$A$46=Z$6))=0,0,SUMPRODUCT(('IGU(2020)_LNG_TRADE'!$C$3:$V$3=$A42)*('IGU(2020)_LNG_TRADE'!$A$5:$A$46=Z$6)*'IGU(2020)_LNG_TRADE'!$C$5:$V$46)*10^6*Legend!$B$92*Legend!$B$82*Legend!$B$84*10^-3)</f>
        <v>0</v>
      </c>
      <c r="AA42" s="209" cm="1">
        <f t="array" ref="AA42">IF(SUMPRODUCT(('IGU(2020)_LNG_TRADE'!$C$3:$V$3=$A42)*('IGU(2020)_LNG_TRADE'!$A$5:$A$46=AA$6))=0,0,SUMPRODUCT(('IGU(2020)_LNG_TRADE'!$C$3:$V$3=$A42)*('IGU(2020)_LNG_TRADE'!$A$5:$A$46=AA$6)*'IGU(2020)_LNG_TRADE'!$C$5:$V$46)*10^6*Legend!$B$92*Legend!$B$82*Legend!$B$84*10^-3)</f>
        <v>0</v>
      </c>
      <c r="AB42" s="209" cm="1">
        <f t="array" ref="AB42">IF(SUMPRODUCT(('IGU(2020)_LNG_TRADE'!$C$3:$V$3=$A42)*('IGU(2020)_LNG_TRADE'!$A$5:$A$46=AB$6))=0,0,SUMPRODUCT(('IGU(2020)_LNG_TRADE'!$C$3:$V$3=$A42)*('IGU(2020)_LNG_TRADE'!$A$5:$A$46=AB$6)*'IGU(2020)_LNG_TRADE'!$C$5:$V$46)*10^6*Legend!$B$92*Legend!$B$82*Legend!$B$84*10^-3)</f>
        <v>11262.631399999997</v>
      </c>
      <c r="AC42" s="220" cm="1">
        <f t="array" ref="AC42">IF(SUMPRODUCT(('IGU(2020)_LNG_TRADE'!$C$3:$V$3=$A42)*('IGU(2020)_LNG_TRADE'!$A$5:$A$46=AC$6))=0,0,SUMPRODUCT(('IGU(2020)_LNG_TRADE'!$C$3:$V$3=$A42)*('IGU(2020)_LNG_TRADE'!$A$5:$A$46=AC$6)*'IGU(2020)_LNG_TRADE'!$C$5:$V$46)*10^6*Legend!$B$92*Legend!$B$82*Legend!$B$84*10^-3)</f>
        <v>0</v>
      </c>
    </row>
    <row r="43" spans="1:29">
      <c r="A43" s="215" t="s">
        <v>178</v>
      </c>
      <c r="B43" s="209" cm="1">
        <f t="array" ref="B43">IF(SUMPRODUCT(('IGU(2020)_LNG_TRADE'!$C$3:$V$3=$A43)*('IGU(2020)_LNG_TRADE'!$A$5:$A$46=B$6))=0,0,SUMPRODUCT(('IGU(2020)_LNG_TRADE'!$C$3:$V$3=$A43)*('IGU(2020)_LNG_TRADE'!$A$5:$A$46=B$6)*'IGU(2020)_LNG_TRADE'!$C$5:$V$46)*10^6*Legend!$B$92*Legend!$B$82*Legend!$B$84*10^-3)</f>
        <v>0</v>
      </c>
      <c r="C43" s="209" cm="1">
        <f t="array" ref="C43">IF(SUMPRODUCT(('IGU(2020)_LNG_TRADE'!$C$3:$V$3=$A43)*('IGU(2020)_LNG_TRADE'!$A$5:$A$46=C$6))=0,0,SUMPRODUCT(('IGU(2020)_LNG_TRADE'!$C$3:$V$3=$A43)*('IGU(2020)_LNG_TRADE'!$A$5:$A$46=C$6)*'IGU(2020)_LNG_TRADE'!$C$5:$V$46)*10^6*Legend!$B$92*Legend!$B$82*Legend!$B$84*10^-3)</f>
        <v>0</v>
      </c>
      <c r="D43" s="209" cm="1">
        <f t="array" ref="D43">IF(SUMPRODUCT(('IGU(2020)_LNG_TRADE'!$C$3:$V$3=$A43)*('IGU(2020)_LNG_TRADE'!$A$5:$A$46=D$6))=0,0,SUMPRODUCT(('IGU(2020)_LNG_TRADE'!$C$3:$V$3=$A43)*('IGU(2020)_LNG_TRADE'!$A$5:$A$46=D$6)*'IGU(2020)_LNG_TRADE'!$C$5:$V$46)*10^6*Legend!$B$92*Legend!$B$82*Legend!$B$84*10^-3)</f>
        <v>0</v>
      </c>
      <c r="E43" s="209" cm="1">
        <f t="array" ref="E43">IF(SUMPRODUCT(('IGU(2020)_LNG_TRADE'!$C$3:$V$3=$A43)*('IGU(2020)_LNG_TRADE'!$A$5:$A$46=E$6))=0,0,SUMPRODUCT(('IGU(2020)_LNG_TRADE'!$C$3:$V$3=$A43)*('IGU(2020)_LNG_TRADE'!$A$5:$A$46=E$6)*'IGU(2020)_LNG_TRADE'!$C$5:$V$46)*10^6*Legend!$B$92*Legend!$B$82*Legend!$B$84*10^-3)</f>
        <v>0</v>
      </c>
      <c r="F43" s="209" cm="1">
        <f t="array" ref="F43">IF(SUMPRODUCT(('IGU(2020)_LNG_TRADE'!$C$3:$V$3=$A43)*('IGU(2020)_LNG_TRADE'!$A$5:$A$46=F$6))=0,0,SUMPRODUCT(('IGU(2020)_LNG_TRADE'!$C$3:$V$3=$A43)*('IGU(2020)_LNG_TRADE'!$A$5:$A$46=F$6)*'IGU(2020)_LNG_TRADE'!$C$5:$V$46)*10^6*Legend!$B$92*Legend!$B$82*Legend!$B$84*10^-3)</f>
        <v>0</v>
      </c>
      <c r="G43" s="209" cm="1">
        <f t="array" ref="G43">IF(SUMPRODUCT(('IGU(2020)_LNG_TRADE'!$C$3:$V$3=$A43)*('IGU(2020)_LNG_TRADE'!$A$5:$A$46=G$6))=0,0,SUMPRODUCT(('IGU(2020)_LNG_TRADE'!$C$3:$V$3=$A43)*('IGU(2020)_LNG_TRADE'!$A$5:$A$46=G$6)*'IGU(2020)_LNG_TRADE'!$C$5:$V$46)*10^6*Legend!$B$92*Legend!$B$82*Legend!$B$84*10^-3)</f>
        <v>0</v>
      </c>
      <c r="H43" s="209" cm="1">
        <f t="array" ref="H43">IF(SUMPRODUCT(('IGU(2020)_LNG_TRADE'!$C$3:$V$3=$A43)*('IGU(2020)_LNG_TRADE'!$A$5:$A$46=H$6))=0,0,SUMPRODUCT(('IGU(2020)_LNG_TRADE'!$C$3:$V$3=$A43)*('IGU(2020)_LNG_TRADE'!$A$5:$A$46=H$6)*'IGU(2020)_LNG_TRADE'!$C$5:$V$46)*10^6*Legend!$B$92*Legend!$B$82*Legend!$B$84*10^-3)</f>
        <v>22525.262799999993</v>
      </c>
      <c r="I43" s="209" cm="1">
        <f t="array" ref="I43">IF(SUMPRODUCT(('IGU(2020)_LNG_TRADE'!$C$3:$V$3=$A43)*('IGU(2020)_LNG_TRADE'!$A$5:$A$46=I$6))=0,0,SUMPRODUCT(('IGU(2020)_LNG_TRADE'!$C$3:$V$3=$A43)*('IGU(2020)_LNG_TRADE'!$A$5:$A$46=I$6)*'IGU(2020)_LNG_TRADE'!$C$5:$V$46)*10^6*Legend!$B$92*Legend!$B$82*Legend!$B$84*10^-3)</f>
        <v>11262.631399999997</v>
      </c>
      <c r="J43" s="209" cm="1">
        <f t="array" ref="J43">IF(SUMPRODUCT(('IGU(2020)_LNG_TRADE'!$C$3:$V$3=$A43)*('IGU(2020)_LNG_TRADE'!$A$5:$A$46=J$6))=0,0,SUMPRODUCT(('IGU(2020)_LNG_TRADE'!$C$3:$V$3=$A43)*('IGU(2020)_LNG_TRADE'!$A$5:$A$46=J$6)*'IGU(2020)_LNG_TRADE'!$C$5:$V$46)*10^6*Legend!$B$92*Legend!$B$82*Legend!$B$84*10^-3)</f>
        <v>11262.631399999997</v>
      </c>
      <c r="K43" s="209" cm="1">
        <f t="array" ref="K43">IF(SUMPRODUCT(('IGU(2020)_LNG_TRADE'!$C$3:$V$3=$A43)*('IGU(2020)_LNG_TRADE'!$A$5:$A$46=K$6))=0,0,SUMPRODUCT(('IGU(2020)_LNG_TRADE'!$C$3:$V$3=$A43)*('IGU(2020)_LNG_TRADE'!$A$5:$A$46=K$6)*'IGU(2020)_LNG_TRADE'!$C$5:$V$46)*10^6*Legend!$B$92*Legend!$B$82*Legend!$B$84*10^-3)</f>
        <v>0</v>
      </c>
      <c r="L43" s="209" cm="1">
        <f t="array" ref="L43">IF(SUMPRODUCT(('IGU(2020)_LNG_TRADE'!$C$3:$V$3=$A43)*('IGU(2020)_LNG_TRADE'!$A$5:$A$46=L$6))=0,0,SUMPRODUCT(('IGU(2020)_LNG_TRADE'!$C$3:$V$3=$A43)*('IGU(2020)_LNG_TRADE'!$A$5:$A$46=L$6)*'IGU(2020)_LNG_TRADE'!$C$5:$V$46)*10^6*Legend!$B$92*Legend!$B$82*Legend!$B$84*10^-3)</f>
        <v>5631.3156999999983</v>
      </c>
      <c r="M43" s="209" cm="1">
        <f t="array" ref="M43">IF(SUMPRODUCT(('IGU(2020)_LNG_TRADE'!$C$3:$V$3=$A43)*('IGU(2020)_LNG_TRADE'!$A$5:$A$46=M$6))=0,0,SUMPRODUCT(('IGU(2020)_LNG_TRADE'!$C$3:$V$3=$A43)*('IGU(2020)_LNG_TRADE'!$A$5:$A$46=M$6)*'IGU(2020)_LNG_TRADE'!$C$5:$V$46)*10^6*Legend!$B$92*Legend!$B$82*Legend!$B$84*10^-3)</f>
        <v>50681.841299999993</v>
      </c>
      <c r="N43" s="209" cm="1">
        <f t="array" ref="N43">IF(SUMPRODUCT(('IGU(2020)_LNG_TRADE'!$C$3:$V$3=$A43)*('IGU(2020)_LNG_TRADE'!$A$5:$A$46=N$6))=0,0,SUMPRODUCT(('IGU(2020)_LNG_TRADE'!$C$3:$V$3=$A43)*('IGU(2020)_LNG_TRADE'!$A$5:$A$46=N$6)*'IGU(2020)_LNG_TRADE'!$C$5:$V$46)*10^6*Legend!$B$92*Legend!$B$82*Legend!$B$84*10^-3)</f>
        <v>0</v>
      </c>
      <c r="O43" s="209" cm="1">
        <f t="array" ref="O43">IF(SUMPRODUCT(('IGU(2020)_LNG_TRADE'!$C$3:$V$3=$A43)*('IGU(2020)_LNG_TRADE'!$A$5:$A$46=O$6))=0,0,SUMPRODUCT(('IGU(2020)_LNG_TRADE'!$C$3:$V$3=$A43)*('IGU(2020)_LNG_TRADE'!$A$5:$A$46=O$6)*'IGU(2020)_LNG_TRADE'!$C$5:$V$46)*10^6*Legend!$B$92*Legend!$B$82*Legend!$B$84*10^-3)</f>
        <v>16893.947100000001</v>
      </c>
      <c r="P43" s="209" cm="1">
        <f t="array" ref="P43">IF(SUMPRODUCT(('IGU(2020)_LNG_TRADE'!$C$3:$V$3=$A43)*('IGU(2020)_LNG_TRADE'!$A$5:$A$46=P$6))=0,0,SUMPRODUCT(('IGU(2020)_LNG_TRADE'!$C$3:$V$3=$A43)*('IGU(2020)_LNG_TRADE'!$A$5:$A$46=P$6)*'IGU(2020)_LNG_TRADE'!$C$5:$V$46)*10^6*Legend!$B$92*Legend!$B$82*Legend!$B$84*10^-3)</f>
        <v>0</v>
      </c>
      <c r="Q43" s="209" cm="1">
        <f t="array" ref="Q43">IF(SUMPRODUCT(('IGU(2020)_LNG_TRADE'!$C$3:$V$3=$A43)*('IGU(2020)_LNG_TRADE'!$A$5:$A$46=Q$6))=0,0,SUMPRODUCT(('IGU(2020)_LNG_TRADE'!$C$3:$V$3=$A43)*('IGU(2020)_LNG_TRADE'!$A$5:$A$46=Q$6)*'IGU(2020)_LNG_TRADE'!$C$5:$V$46)*10^6*Legend!$B$92*Legend!$B$82*Legend!$B$84*10^-3)</f>
        <v>16893.947100000001</v>
      </c>
      <c r="R43" s="209" cm="1">
        <f t="array" ref="R43">IF(SUMPRODUCT(('IGU(2020)_LNG_TRADE'!$C$3:$V$3=$A43)*('IGU(2020)_LNG_TRADE'!$A$5:$A$46=R$6))=0,0,SUMPRODUCT(('IGU(2020)_LNG_TRADE'!$C$3:$V$3=$A43)*('IGU(2020)_LNG_TRADE'!$A$5:$A$46=R$6)*'IGU(2020)_LNG_TRADE'!$C$5:$V$46)*10^6*Legend!$B$92*Legend!$B$82*Legend!$B$84*10^-3)</f>
        <v>0</v>
      </c>
      <c r="S43" s="209" cm="1">
        <f t="array" ref="S43">IF(SUMPRODUCT(('IGU(2020)_LNG_TRADE'!$C$3:$V$3=$A43)*('IGU(2020)_LNG_TRADE'!$A$5:$A$46=S$6))=0,0,SUMPRODUCT(('IGU(2020)_LNG_TRADE'!$C$3:$V$3=$A43)*('IGU(2020)_LNG_TRADE'!$A$5:$A$46=S$6)*'IGU(2020)_LNG_TRADE'!$C$5:$V$46)*10^6*Legend!$B$92*Legend!$B$82*Legend!$B$84*10^-3)</f>
        <v>0</v>
      </c>
      <c r="T43" s="209" cm="1">
        <f t="array" ref="T43">IF(SUMPRODUCT(('IGU(2020)_LNG_TRADE'!$C$3:$V$3=$A43)*('IGU(2020)_LNG_TRADE'!$A$5:$A$46=T$6))=0,0,SUMPRODUCT(('IGU(2020)_LNG_TRADE'!$C$3:$V$3=$A43)*('IGU(2020)_LNG_TRADE'!$A$5:$A$46=T$6)*'IGU(2020)_LNG_TRADE'!$C$5:$V$46)*10^6*Legend!$B$92*Legend!$B$82*Legend!$B$84*10^-3)</f>
        <v>50681.841299999993</v>
      </c>
      <c r="U43" s="209" cm="1">
        <f t="array" ref="U43">IF(SUMPRODUCT(('IGU(2020)_LNG_TRADE'!$C$3:$V$3=$A43)*('IGU(2020)_LNG_TRADE'!$A$5:$A$46=U$6))=0,0,SUMPRODUCT(('IGU(2020)_LNG_TRADE'!$C$3:$V$3=$A43)*('IGU(2020)_LNG_TRADE'!$A$5:$A$46=U$6)*'IGU(2020)_LNG_TRADE'!$C$5:$V$46)*10^6*Legend!$B$92*Legend!$B$82*Legend!$B$84*10^-3)</f>
        <v>5631.3156999999983</v>
      </c>
      <c r="V43" s="209" cm="1">
        <f t="array" ref="V43">IF(SUMPRODUCT(('IGU(2020)_LNG_TRADE'!$C$3:$V$3=$A43)*('IGU(2020)_LNG_TRADE'!$A$5:$A$46=V$6))=0,0,SUMPRODUCT(('IGU(2020)_LNG_TRADE'!$C$3:$V$3=$A43)*('IGU(2020)_LNG_TRADE'!$A$5:$A$46=V$6)*'IGU(2020)_LNG_TRADE'!$C$5:$V$46)*10^6*Legend!$B$92*Legend!$B$82*Legend!$B$84*10^-3)</f>
        <v>0</v>
      </c>
      <c r="W43" s="209" cm="1">
        <f t="array" ref="W43">IF(SUMPRODUCT(('IGU(2020)_LNG_TRADE'!$C$3:$V$3=$A43)*('IGU(2020)_LNG_TRADE'!$A$5:$A$46=W$6))=0,0,SUMPRODUCT(('IGU(2020)_LNG_TRADE'!$C$3:$V$3=$A43)*('IGU(2020)_LNG_TRADE'!$A$5:$A$46=W$6)*'IGU(2020)_LNG_TRADE'!$C$5:$V$46)*10^6*Legend!$B$92*Legend!$B$82*Legend!$B$84*10^-3)</f>
        <v>5631.3156999999983</v>
      </c>
      <c r="X43" s="209" cm="1">
        <f t="array" ref="X43">IF(SUMPRODUCT(('IGU(2020)_LNG_TRADE'!$C$3:$V$3=$A43)*('IGU(2020)_LNG_TRADE'!$A$5:$A$46=X$6))=0,0,SUMPRODUCT(('IGU(2020)_LNG_TRADE'!$C$3:$V$3=$A43)*('IGU(2020)_LNG_TRADE'!$A$5:$A$46=X$6)*'IGU(2020)_LNG_TRADE'!$C$5:$V$46)*10^6*Legend!$B$92*Legend!$B$82*Legend!$B$84*10^-3)</f>
        <v>0</v>
      </c>
      <c r="Y43" s="209" cm="1">
        <f t="array" ref="Y43">IF(SUMPRODUCT(('IGU(2020)_LNG_TRADE'!$C$3:$V$3=$A43)*('IGU(2020)_LNG_TRADE'!$A$5:$A$46=Y$6))=0,0,SUMPRODUCT(('IGU(2020)_LNG_TRADE'!$C$3:$V$3=$A43)*('IGU(2020)_LNG_TRADE'!$A$5:$A$46=Y$6)*'IGU(2020)_LNG_TRADE'!$C$5:$V$46)*10^6*Legend!$B$92*Legend!$B$82*Legend!$B$84*10^-3)</f>
        <v>16893.947099999998</v>
      </c>
      <c r="Z43" s="209" cm="1">
        <f t="array" ref="Z43">IF(SUMPRODUCT(('IGU(2020)_LNG_TRADE'!$C$3:$V$3=$A43)*('IGU(2020)_LNG_TRADE'!$A$5:$A$46=Z$6))=0,0,SUMPRODUCT(('IGU(2020)_LNG_TRADE'!$C$3:$V$3=$A43)*('IGU(2020)_LNG_TRADE'!$A$5:$A$46=Z$6)*'IGU(2020)_LNG_TRADE'!$C$5:$V$46)*10^6*Legend!$B$92*Legend!$B$82*Legend!$B$84*10^-3)</f>
        <v>0</v>
      </c>
      <c r="AA43" s="209" cm="1">
        <f t="array" ref="AA43">IF(SUMPRODUCT(('IGU(2020)_LNG_TRADE'!$C$3:$V$3=$A43)*('IGU(2020)_LNG_TRADE'!$A$5:$A$46=AA$6))=0,0,SUMPRODUCT(('IGU(2020)_LNG_TRADE'!$C$3:$V$3=$A43)*('IGU(2020)_LNG_TRADE'!$A$5:$A$46=AA$6)*'IGU(2020)_LNG_TRADE'!$C$5:$V$46)*10^6*Legend!$B$92*Legend!$B$82*Legend!$B$84*10^-3)</f>
        <v>0</v>
      </c>
      <c r="AB43" s="209" cm="1">
        <f t="array" ref="AB43">IF(SUMPRODUCT(('IGU(2020)_LNG_TRADE'!$C$3:$V$3=$A43)*('IGU(2020)_LNG_TRADE'!$A$5:$A$46=AB$6))=0,0,SUMPRODUCT(('IGU(2020)_LNG_TRADE'!$C$3:$V$3=$A43)*('IGU(2020)_LNG_TRADE'!$A$5:$A$46=AB$6)*'IGU(2020)_LNG_TRADE'!$C$5:$V$46)*10^6*Legend!$B$92*Legend!$B$82*Legend!$B$84*10^-3)</f>
        <v>16893.947100000001</v>
      </c>
      <c r="AC43" s="220" cm="1">
        <f t="array" ref="AC43">IF(SUMPRODUCT(('IGU(2020)_LNG_TRADE'!$C$3:$V$3=$A43)*('IGU(2020)_LNG_TRADE'!$A$5:$A$46=AC$6))=0,0,SUMPRODUCT(('IGU(2020)_LNG_TRADE'!$C$3:$V$3=$A43)*('IGU(2020)_LNG_TRADE'!$A$5:$A$46=AC$6)*'IGU(2020)_LNG_TRADE'!$C$5:$V$46)*10^6*Legend!$B$92*Legend!$B$82*Legend!$B$84*10^-3)</f>
        <v>0</v>
      </c>
    </row>
    <row r="44" spans="1:29">
      <c r="A44" s="215" t="s">
        <v>181</v>
      </c>
      <c r="B44" s="209" cm="1">
        <f t="array" ref="B44">IF(SUMPRODUCT(('IGU(2020)_LNG_TRADE'!$C$3:$V$3=$A44)*('IGU(2020)_LNG_TRADE'!$A$5:$A$46=B$6))=0,0,SUMPRODUCT(('IGU(2020)_LNG_TRADE'!$C$3:$V$3=$A44)*('IGU(2020)_LNG_TRADE'!$A$5:$A$46=B$6)*'IGU(2020)_LNG_TRADE'!$C$5:$V$46)*10^6*Legend!$B$92*Legend!$B$82*Legend!$B$84*10^-3)</f>
        <v>0</v>
      </c>
      <c r="C44" s="209" cm="1">
        <f t="array" ref="C44">IF(SUMPRODUCT(('IGU(2020)_LNG_TRADE'!$C$3:$V$3=$A44)*('IGU(2020)_LNG_TRADE'!$A$5:$A$46=C$6))=0,0,SUMPRODUCT(('IGU(2020)_LNG_TRADE'!$C$3:$V$3=$A44)*('IGU(2020)_LNG_TRADE'!$A$5:$A$46=C$6)*'IGU(2020)_LNG_TRADE'!$C$5:$V$46)*10^6*Legend!$B$92*Legend!$B$82*Legend!$B$84*10^-3)</f>
        <v>0</v>
      </c>
      <c r="D44" s="209" cm="1">
        <f t="array" ref="D44">IF(SUMPRODUCT(('IGU(2020)_LNG_TRADE'!$C$3:$V$3=$A44)*('IGU(2020)_LNG_TRADE'!$A$5:$A$46=D$6))=0,0,SUMPRODUCT(('IGU(2020)_LNG_TRADE'!$C$3:$V$3=$A44)*('IGU(2020)_LNG_TRADE'!$A$5:$A$46=D$6)*'IGU(2020)_LNG_TRADE'!$C$5:$V$46)*10^6*Legend!$B$92*Legend!$B$82*Legend!$B$84*10^-3)</f>
        <v>0</v>
      </c>
      <c r="E44" s="209" cm="1">
        <f t="array" ref="E44">IF(SUMPRODUCT(('IGU(2020)_LNG_TRADE'!$C$3:$V$3=$A44)*('IGU(2020)_LNG_TRADE'!$A$5:$A$46=E$6))=0,0,SUMPRODUCT(('IGU(2020)_LNG_TRADE'!$C$3:$V$3=$A44)*('IGU(2020)_LNG_TRADE'!$A$5:$A$46=E$6)*'IGU(2020)_LNG_TRADE'!$C$5:$V$46)*10^6*Legend!$B$92*Legend!$B$82*Legend!$B$84*10^-3)</f>
        <v>0</v>
      </c>
      <c r="F44" s="209" cm="1">
        <f t="array" ref="F44">IF(SUMPRODUCT(('IGU(2020)_LNG_TRADE'!$C$3:$V$3=$A44)*('IGU(2020)_LNG_TRADE'!$A$5:$A$46=F$6))=0,0,SUMPRODUCT(('IGU(2020)_LNG_TRADE'!$C$3:$V$3=$A44)*('IGU(2020)_LNG_TRADE'!$A$5:$A$46=F$6)*'IGU(2020)_LNG_TRADE'!$C$5:$V$46)*10^6*Legend!$B$92*Legend!$B$82*Legend!$B$84*10^-3)</f>
        <v>0</v>
      </c>
      <c r="G44" s="209" cm="1">
        <f t="array" ref="G44">IF(SUMPRODUCT(('IGU(2020)_LNG_TRADE'!$C$3:$V$3=$A44)*('IGU(2020)_LNG_TRADE'!$A$5:$A$46=G$6))=0,0,SUMPRODUCT(('IGU(2020)_LNG_TRADE'!$C$3:$V$3=$A44)*('IGU(2020)_LNG_TRADE'!$A$5:$A$46=G$6)*'IGU(2020)_LNG_TRADE'!$C$5:$V$46)*10^6*Legend!$B$92*Legend!$B$82*Legend!$B$84*10^-3)</f>
        <v>0</v>
      </c>
      <c r="H44" s="209" cm="1">
        <f t="array" ref="H44">IF(SUMPRODUCT(('IGU(2020)_LNG_TRADE'!$C$3:$V$3=$A44)*('IGU(2020)_LNG_TRADE'!$A$5:$A$46=H$6))=0,0,SUMPRODUCT(('IGU(2020)_LNG_TRADE'!$C$3:$V$3=$A44)*('IGU(2020)_LNG_TRADE'!$A$5:$A$46=H$6)*'IGU(2020)_LNG_TRADE'!$C$5:$V$46)*10^6*Legend!$B$92*Legend!$B$82*Legend!$B$84*10^-3)</f>
        <v>11262.631399999997</v>
      </c>
      <c r="I44" s="209" cm="1">
        <f t="array" ref="I44">IF(SUMPRODUCT(('IGU(2020)_LNG_TRADE'!$C$3:$V$3=$A44)*('IGU(2020)_LNG_TRADE'!$A$5:$A$46=I$6))=0,0,SUMPRODUCT(('IGU(2020)_LNG_TRADE'!$C$3:$V$3=$A44)*('IGU(2020)_LNG_TRADE'!$A$5:$A$46=I$6)*'IGU(2020)_LNG_TRADE'!$C$5:$V$46)*10^6*Legend!$B$92*Legend!$B$82*Legend!$B$84*10^-3)</f>
        <v>0</v>
      </c>
      <c r="J44" s="209" cm="1">
        <f t="array" ref="J44">IF(SUMPRODUCT(('IGU(2020)_LNG_TRADE'!$C$3:$V$3=$A44)*('IGU(2020)_LNG_TRADE'!$A$5:$A$46=J$6))=0,0,SUMPRODUCT(('IGU(2020)_LNG_TRADE'!$C$3:$V$3=$A44)*('IGU(2020)_LNG_TRADE'!$A$5:$A$46=J$6)*'IGU(2020)_LNG_TRADE'!$C$5:$V$46)*10^6*Legend!$B$92*Legend!$B$82*Legend!$B$84*10^-3)</f>
        <v>5631.3156999999983</v>
      </c>
      <c r="K44" s="209" cm="1">
        <f t="array" ref="K44">IF(SUMPRODUCT(('IGU(2020)_LNG_TRADE'!$C$3:$V$3=$A44)*('IGU(2020)_LNG_TRADE'!$A$5:$A$46=K$6))=0,0,SUMPRODUCT(('IGU(2020)_LNG_TRADE'!$C$3:$V$3=$A44)*('IGU(2020)_LNG_TRADE'!$A$5:$A$46=K$6)*'IGU(2020)_LNG_TRADE'!$C$5:$V$46)*10^6*Legend!$B$92*Legend!$B$82*Legend!$B$84*10^-3)</f>
        <v>5631.3156999999983</v>
      </c>
      <c r="L44" s="209" cm="1">
        <f t="array" ref="L44">IF(SUMPRODUCT(('IGU(2020)_LNG_TRADE'!$C$3:$V$3=$A44)*('IGU(2020)_LNG_TRADE'!$A$5:$A$46=L$6))=0,0,SUMPRODUCT(('IGU(2020)_LNG_TRADE'!$C$3:$V$3=$A44)*('IGU(2020)_LNG_TRADE'!$A$5:$A$46=L$6)*'IGU(2020)_LNG_TRADE'!$C$5:$V$46)*10^6*Legend!$B$92*Legend!$B$82*Legend!$B$84*10^-3)</f>
        <v>0</v>
      </c>
      <c r="M44" s="209" cm="1">
        <f t="array" ref="M44">IF(SUMPRODUCT(('IGU(2020)_LNG_TRADE'!$C$3:$V$3=$A44)*('IGU(2020)_LNG_TRADE'!$A$5:$A$46=M$6))=0,0,SUMPRODUCT(('IGU(2020)_LNG_TRADE'!$C$3:$V$3=$A44)*('IGU(2020)_LNG_TRADE'!$A$5:$A$46=M$6)*'IGU(2020)_LNG_TRADE'!$C$5:$V$46)*10^6*Legend!$B$92*Legend!$B$82*Legend!$B$84*10^-3)</f>
        <v>5631.3156999999983</v>
      </c>
      <c r="N44" s="209" cm="1">
        <f t="array" ref="N44">IF(SUMPRODUCT(('IGU(2020)_LNG_TRADE'!$C$3:$V$3=$A44)*('IGU(2020)_LNG_TRADE'!$A$5:$A$46=N$6))=0,0,SUMPRODUCT(('IGU(2020)_LNG_TRADE'!$C$3:$V$3=$A44)*('IGU(2020)_LNG_TRADE'!$A$5:$A$46=N$6)*'IGU(2020)_LNG_TRADE'!$C$5:$V$46)*10^6*Legend!$B$92*Legend!$B$82*Legend!$B$84*10^-3)</f>
        <v>0</v>
      </c>
      <c r="O44" s="209" cm="1">
        <f t="array" ref="O44">IF(SUMPRODUCT(('IGU(2020)_LNG_TRADE'!$C$3:$V$3=$A44)*('IGU(2020)_LNG_TRADE'!$A$5:$A$46=O$6))=0,0,SUMPRODUCT(('IGU(2020)_LNG_TRADE'!$C$3:$V$3=$A44)*('IGU(2020)_LNG_TRADE'!$A$5:$A$46=O$6)*'IGU(2020)_LNG_TRADE'!$C$5:$V$46)*10^6*Legend!$B$92*Legend!$B$82*Legend!$B$84*10^-3)</f>
        <v>5631.3156999999983</v>
      </c>
      <c r="P44" s="209" cm="1">
        <f t="array" ref="P44">IF(SUMPRODUCT(('IGU(2020)_LNG_TRADE'!$C$3:$V$3=$A44)*('IGU(2020)_LNG_TRADE'!$A$5:$A$46=P$6))=0,0,SUMPRODUCT(('IGU(2020)_LNG_TRADE'!$C$3:$V$3=$A44)*('IGU(2020)_LNG_TRADE'!$A$5:$A$46=P$6)*'IGU(2020)_LNG_TRADE'!$C$5:$V$46)*10^6*Legend!$B$92*Legend!$B$82*Legend!$B$84*10^-3)</f>
        <v>0</v>
      </c>
      <c r="Q44" s="209" cm="1">
        <f t="array" ref="Q44">IF(SUMPRODUCT(('IGU(2020)_LNG_TRADE'!$C$3:$V$3=$A44)*('IGU(2020)_LNG_TRADE'!$A$5:$A$46=Q$6))=0,0,SUMPRODUCT(('IGU(2020)_LNG_TRADE'!$C$3:$V$3=$A44)*('IGU(2020)_LNG_TRADE'!$A$5:$A$46=Q$6)*'IGU(2020)_LNG_TRADE'!$C$5:$V$46)*10^6*Legend!$B$92*Legend!$B$82*Legend!$B$84*10^-3)</f>
        <v>33787.894200000002</v>
      </c>
      <c r="R44" s="209" cm="1">
        <f t="array" ref="R44">IF(SUMPRODUCT(('IGU(2020)_LNG_TRADE'!$C$3:$V$3=$A44)*('IGU(2020)_LNG_TRADE'!$A$5:$A$46=R$6))=0,0,SUMPRODUCT(('IGU(2020)_LNG_TRADE'!$C$3:$V$3=$A44)*('IGU(2020)_LNG_TRADE'!$A$5:$A$46=R$6)*'IGU(2020)_LNG_TRADE'!$C$5:$V$46)*10^6*Legend!$B$92*Legend!$B$82*Legend!$B$84*10^-3)</f>
        <v>16893.947100000001</v>
      </c>
      <c r="S44" s="209" cm="1">
        <f t="array" ref="S44">IF(SUMPRODUCT(('IGU(2020)_LNG_TRADE'!$C$3:$V$3=$A44)*('IGU(2020)_LNG_TRADE'!$A$5:$A$46=S$6))=0,0,SUMPRODUCT(('IGU(2020)_LNG_TRADE'!$C$3:$V$3=$A44)*('IGU(2020)_LNG_TRADE'!$A$5:$A$46=S$6)*'IGU(2020)_LNG_TRADE'!$C$5:$V$46)*10^6*Legend!$B$92*Legend!$B$82*Legend!$B$84*10^-3)</f>
        <v>0</v>
      </c>
      <c r="T44" s="209" cm="1">
        <f t="array" ref="T44">IF(SUMPRODUCT(('IGU(2020)_LNG_TRADE'!$C$3:$V$3=$A44)*('IGU(2020)_LNG_TRADE'!$A$5:$A$46=T$6))=0,0,SUMPRODUCT(('IGU(2020)_LNG_TRADE'!$C$3:$V$3=$A44)*('IGU(2020)_LNG_TRADE'!$A$5:$A$46=T$6)*'IGU(2020)_LNG_TRADE'!$C$5:$V$46)*10^6*Legend!$B$92*Legend!$B$82*Legend!$B$84*10^-3)</f>
        <v>163308.15529999998</v>
      </c>
      <c r="U44" s="209" cm="1">
        <f t="array" ref="U44">IF(SUMPRODUCT(('IGU(2020)_LNG_TRADE'!$C$3:$V$3=$A44)*('IGU(2020)_LNG_TRADE'!$A$5:$A$46=U$6))=0,0,SUMPRODUCT(('IGU(2020)_LNG_TRADE'!$C$3:$V$3=$A44)*('IGU(2020)_LNG_TRADE'!$A$5:$A$46=U$6)*'IGU(2020)_LNG_TRADE'!$C$5:$V$46)*10^6*Legend!$B$92*Legend!$B$82*Legend!$B$84*10^-3)</f>
        <v>0</v>
      </c>
      <c r="V44" s="209" cm="1">
        <f t="array" ref="V44">IF(SUMPRODUCT(('IGU(2020)_LNG_TRADE'!$C$3:$V$3=$A44)*('IGU(2020)_LNG_TRADE'!$A$5:$A$46=V$6))=0,0,SUMPRODUCT(('IGU(2020)_LNG_TRADE'!$C$3:$V$3=$A44)*('IGU(2020)_LNG_TRADE'!$A$5:$A$46=V$6)*'IGU(2020)_LNG_TRADE'!$C$5:$V$46)*10^6*Legend!$B$92*Legend!$B$82*Legend!$B$84*10^-3)</f>
        <v>0</v>
      </c>
      <c r="W44" s="209" cm="1">
        <f t="array" ref="W44">IF(SUMPRODUCT(('IGU(2020)_LNG_TRADE'!$C$3:$V$3=$A44)*('IGU(2020)_LNG_TRADE'!$A$5:$A$46=W$6))=0,0,SUMPRODUCT(('IGU(2020)_LNG_TRADE'!$C$3:$V$3=$A44)*('IGU(2020)_LNG_TRADE'!$A$5:$A$46=W$6)*'IGU(2020)_LNG_TRADE'!$C$5:$V$46)*10^6*Legend!$B$92*Legend!$B$82*Legend!$B$84*10^-3)</f>
        <v>0</v>
      </c>
      <c r="X44" s="209" cm="1">
        <f t="array" ref="X44">IF(SUMPRODUCT(('IGU(2020)_LNG_TRADE'!$C$3:$V$3=$A44)*('IGU(2020)_LNG_TRADE'!$A$5:$A$46=X$6))=0,0,SUMPRODUCT(('IGU(2020)_LNG_TRADE'!$C$3:$V$3=$A44)*('IGU(2020)_LNG_TRADE'!$A$5:$A$46=X$6)*'IGU(2020)_LNG_TRADE'!$C$5:$V$46)*10^6*Legend!$B$92*Legend!$B$82*Legend!$B$84*10^-3)</f>
        <v>11262.631399999997</v>
      </c>
      <c r="Y44" s="209" cm="1">
        <f t="array" ref="Y44">IF(SUMPRODUCT(('IGU(2020)_LNG_TRADE'!$C$3:$V$3=$A44)*('IGU(2020)_LNG_TRADE'!$A$5:$A$46=Y$6))=0,0,SUMPRODUCT(('IGU(2020)_LNG_TRADE'!$C$3:$V$3=$A44)*('IGU(2020)_LNG_TRADE'!$A$5:$A$46=Y$6)*'IGU(2020)_LNG_TRADE'!$C$5:$V$46)*10^6*Legend!$B$92*Legend!$B$82*Legend!$B$84*10^-3)</f>
        <v>0</v>
      </c>
      <c r="Z44" s="209" cm="1">
        <f t="array" ref="Z44">IF(SUMPRODUCT(('IGU(2020)_LNG_TRADE'!$C$3:$V$3=$A44)*('IGU(2020)_LNG_TRADE'!$A$5:$A$46=Z$6))=0,0,SUMPRODUCT(('IGU(2020)_LNG_TRADE'!$C$3:$V$3=$A44)*('IGU(2020)_LNG_TRADE'!$A$5:$A$46=Z$6)*'IGU(2020)_LNG_TRADE'!$C$5:$V$46)*10^6*Legend!$B$92*Legend!$B$82*Legend!$B$84*10^-3)</f>
        <v>0</v>
      </c>
      <c r="AA44" s="209" cm="1">
        <f t="array" ref="AA44">IF(SUMPRODUCT(('IGU(2020)_LNG_TRADE'!$C$3:$V$3=$A44)*('IGU(2020)_LNG_TRADE'!$A$5:$A$46=AA$6))=0,0,SUMPRODUCT(('IGU(2020)_LNG_TRADE'!$C$3:$V$3=$A44)*('IGU(2020)_LNG_TRADE'!$A$5:$A$46=AA$6)*'IGU(2020)_LNG_TRADE'!$C$5:$V$46)*10^6*Legend!$B$92*Legend!$B$82*Legend!$B$84*10^-3)</f>
        <v>0</v>
      </c>
      <c r="AB44" s="209" cm="1">
        <f t="array" ref="AB44">IF(SUMPRODUCT(('IGU(2020)_LNG_TRADE'!$C$3:$V$3=$A44)*('IGU(2020)_LNG_TRADE'!$A$5:$A$46=AB$6))=0,0,SUMPRODUCT(('IGU(2020)_LNG_TRADE'!$C$3:$V$3=$A44)*('IGU(2020)_LNG_TRADE'!$A$5:$A$46=AB$6)*'IGU(2020)_LNG_TRADE'!$C$5:$V$46)*10^6*Legend!$B$92*Legend!$B$82*Legend!$B$84*10^-3)</f>
        <v>0</v>
      </c>
      <c r="AC44" s="220" cm="1">
        <f t="array" ref="AC44">IF(SUMPRODUCT(('IGU(2020)_LNG_TRADE'!$C$3:$V$3=$A44)*('IGU(2020)_LNG_TRADE'!$A$5:$A$46=AC$6))=0,0,SUMPRODUCT(('IGU(2020)_LNG_TRADE'!$C$3:$V$3=$A44)*('IGU(2020)_LNG_TRADE'!$A$5:$A$46=AC$6)*'IGU(2020)_LNG_TRADE'!$C$5:$V$46)*10^6*Legend!$B$92*Legend!$B$82*Legend!$B$84*10^-3)</f>
        <v>0</v>
      </c>
    </row>
    <row r="45" spans="1:29">
      <c r="A45" s="215" t="s">
        <v>184</v>
      </c>
      <c r="B45" s="209" cm="1">
        <f t="array" ref="B45">IF(SUMPRODUCT(('IGU(2020)_LNG_TRADE'!$C$3:$V$3=$A45)*('IGU(2020)_LNG_TRADE'!$A$5:$A$46=B$6))=0,0,SUMPRODUCT(('IGU(2020)_LNG_TRADE'!$C$3:$V$3=$A45)*('IGU(2020)_LNG_TRADE'!$A$5:$A$46=B$6)*'IGU(2020)_LNG_TRADE'!$C$5:$V$46)*10^6*Legend!$B$92*Legend!$B$82*Legend!$B$84*10^-3)</f>
        <v>0</v>
      </c>
      <c r="C45" s="209" cm="1">
        <f t="array" ref="C45">IF(SUMPRODUCT(('IGU(2020)_LNG_TRADE'!$C$3:$V$3=$A45)*('IGU(2020)_LNG_TRADE'!$A$5:$A$46=C$6))=0,0,SUMPRODUCT(('IGU(2020)_LNG_TRADE'!$C$3:$V$3=$A45)*('IGU(2020)_LNG_TRADE'!$A$5:$A$46=C$6)*'IGU(2020)_LNG_TRADE'!$C$5:$V$46)*10^6*Legend!$B$92*Legend!$B$82*Legend!$B$84*10^-3)</f>
        <v>0</v>
      </c>
      <c r="D45" s="209" cm="1">
        <f t="array" ref="D45">IF(SUMPRODUCT(('IGU(2020)_LNG_TRADE'!$C$3:$V$3=$A45)*('IGU(2020)_LNG_TRADE'!$A$5:$A$46=D$6))=0,0,SUMPRODUCT(('IGU(2020)_LNG_TRADE'!$C$3:$V$3=$A45)*('IGU(2020)_LNG_TRADE'!$A$5:$A$46=D$6)*'IGU(2020)_LNG_TRADE'!$C$5:$V$46)*10^6*Legend!$B$92*Legend!$B$82*Legend!$B$84*10^-3)</f>
        <v>0</v>
      </c>
      <c r="E45" s="209" cm="1">
        <f t="array" ref="E45">IF(SUMPRODUCT(('IGU(2020)_LNG_TRADE'!$C$3:$V$3=$A45)*('IGU(2020)_LNG_TRADE'!$A$5:$A$46=E$6))=0,0,SUMPRODUCT(('IGU(2020)_LNG_TRADE'!$C$3:$V$3=$A45)*('IGU(2020)_LNG_TRADE'!$A$5:$A$46=E$6)*'IGU(2020)_LNG_TRADE'!$C$5:$V$46)*10^6*Legend!$B$92*Legend!$B$82*Legend!$B$84*10^-3)</f>
        <v>0</v>
      </c>
      <c r="F45" s="209" cm="1">
        <f t="array" ref="F45">IF(SUMPRODUCT(('IGU(2020)_LNG_TRADE'!$C$3:$V$3=$A45)*('IGU(2020)_LNG_TRADE'!$A$5:$A$46=F$6))=0,0,SUMPRODUCT(('IGU(2020)_LNG_TRADE'!$C$3:$V$3=$A45)*('IGU(2020)_LNG_TRADE'!$A$5:$A$46=F$6)*'IGU(2020)_LNG_TRADE'!$C$5:$V$46)*10^6*Legend!$B$92*Legend!$B$82*Legend!$B$84*10^-3)</f>
        <v>0</v>
      </c>
      <c r="G45" s="209" cm="1">
        <f t="array" ref="G45">IF(SUMPRODUCT(('IGU(2020)_LNG_TRADE'!$C$3:$V$3=$A45)*('IGU(2020)_LNG_TRADE'!$A$5:$A$46=G$6))=0,0,SUMPRODUCT(('IGU(2020)_LNG_TRADE'!$C$3:$V$3=$A45)*('IGU(2020)_LNG_TRADE'!$A$5:$A$46=G$6)*'IGU(2020)_LNG_TRADE'!$C$5:$V$46)*10^6*Legend!$B$92*Legend!$B$82*Legend!$B$84*10^-3)</f>
        <v>0</v>
      </c>
      <c r="H45" s="209" cm="1">
        <f t="array" ref="H45">IF(SUMPRODUCT(('IGU(2020)_LNG_TRADE'!$C$3:$V$3=$A45)*('IGU(2020)_LNG_TRADE'!$A$5:$A$46=H$6))=0,0,SUMPRODUCT(('IGU(2020)_LNG_TRADE'!$C$3:$V$3=$A45)*('IGU(2020)_LNG_TRADE'!$A$5:$A$46=H$6)*'IGU(2020)_LNG_TRADE'!$C$5:$V$46)*10^6*Legend!$B$92*Legend!$B$82*Legend!$B$84*10^-3)</f>
        <v>236515.25939999998</v>
      </c>
      <c r="I45" s="209" cm="1">
        <f t="array" ref="I45">IF(SUMPRODUCT(('IGU(2020)_LNG_TRADE'!$C$3:$V$3=$A45)*('IGU(2020)_LNG_TRADE'!$A$5:$A$46=I$6))=0,0,SUMPRODUCT(('IGU(2020)_LNG_TRADE'!$C$3:$V$3=$A45)*('IGU(2020)_LNG_TRADE'!$A$5:$A$46=I$6)*'IGU(2020)_LNG_TRADE'!$C$5:$V$46)*10^6*Legend!$B$92*Legend!$B$82*Legend!$B$84*10^-3)</f>
        <v>0</v>
      </c>
      <c r="J45" s="209" cm="1">
        <f t="array" ref="J45">IF(SUMPRODUCT(('IGU(2020)_LNG_TRADE'!$C$3:$V$3=$A45)*('IGU(2020)_LNG_TRADE'!$A$5:$A$46=J$6))=0,0,SUMPRODUCT(('IGU(2020)_LNG_TRADE'!$C$3:$V$3=$A45)*('IGU(2020)_LNG_TRADE'!$A$5:$A$46=J$6)*'IGU(2020)_LNG_TRADE'!$C$5:$V$46)*10^6*Legend!$B$92*Legend!$B$82*Legend!$B$84*10^-3)</f>
        <v>0</v>
      </c>
      <c r="K45" s="209" cm="1">
        <f t="array" ref="K45">IF(SUMPRODUCT(('IGU(2020)_LNG_TRADE'!$C$3:$V$3=$A45)*('IGU(2020)_LNG_TRADE'!$A$5:$A$46=K$6))=0,0,SUMPRODUCT(('IGU(2020)_LNG_TRADE'!$C$3:$V$3=$A45)*('IGU(2020)_LNG_TRADE'!$A$5:$A$46=K$6)*'IGU(2020)_LNG_TRADE'!$C$5:$V$46)*10^6*Legend!$B$92*Legend!$B$82*Legend!$B$84*10^-3)</f>
        <v>0</v>
      </c>
      <c r="L45" s="209" cm="1">
        <f t="array" ref="L45">IF(SUMPRODUCT(('IGU(2020)_LNG_TRADE'!$C$3:$V$3=$A45)*('IGU(2020)_LNG_TRADE'!$A$5:$A$46=L$6))=0,0,SUMPRODUCT(('IGU(2020)_LNG_TRADE'!$C$3:$V$3=$A45)*('IGU(2020)_LNG_TRADE'!$A$5:$A$46=L$6)*'IGU(2020)_LNG_TRADE'!$C$5:$V$46)*10^6*Legend!$B$92*Legend!$B$82*Legend!$B$84*10^-3)</f>
        <v>0</v>
      </c>
      <c r="M45" s="209" cm="1">
        <f t="array" ref="M45">IF(SUMPRODUCT(('IGU(2020)_LNG_TRADE'!$C$3:$V$3=$A45)*('IGU(2020)_LNG_TRADE'!$A$5:$A$46=M$6))=0,0,SUMPRODUCT(('IGU(2020)_LNG_TRADE'!$C$3:$V$3=$A45)*('IGU(2020)_LNG_TRADE'!$A$5:$A$46=M$6)*'IGU(2020)_LNG_TRADE'!$C$5:$V$46)*10^6*Legend!$B$92*Legend!$B$82*Legend!$B$84*10^-3)</f>
        <v>1588031.0273999996</v>
      </c>
      <c r="N45" s="209" cm="1">
        <f t="array" ref="N45">IF(SUMPRODUCT(('IGU(2020)_LNG_TRADE'!$C$3:$V$3=$A45)*('IGU(2020)_LNG_TRADE'!$A$5:$A$46=N$6))=0,0,SUMPRODUCT(('IGU(2020)_LNG_TRADE'!$C$3:$V$3=$A45)*('IGU(2020)_LNG_TRADE'!$A$5:$A$46=N$6)*'IGU(2020)_LNG_TRADE'!$C$5:$V$46)*10^6*Legend!$B$92*Legend!$B$82*Legend!$B$84*10^-3)</f>
        <v>0</v>
      </c>
      <c r="O45" s="209" cm="1">
        <f t="array" ref="O45">IF(SUMPRODUCT(('IGU(2020)_LNG_TRADE'!$C$3:$V$3=$A45)*('IGU(2020)_LNG_TRADE'!$A$5:$A$46=O$6))=0,0,SUMPRODUCT(('IGU(2020)_LNG_TRADE'!$C$3:$V$3=$A45)*('IGU(2020)_LNG_TRADE'!$A$5:$A$46=O$6)*'IGU(2020)_LNG_TRADE'!$C$5:$V$46)*10^6*Legend!$B$92*Legend!$B$82*Legend!$B$84*10^-3)</f>
        <v>0</v>
      </c>
      <c r="P45" s="209" cm="1">
        <f t="array" ref="P45">IF(SUMPRODUCT(('IGU(2020)_LNG_TRADE'!$C$3:$V$3=$A45)*('IGU(2020)_LNG_TRADE'!$A$5:$A$46=P$6))=0,0,SUMPRODUCT(('IGU(2020)_LNG_TRADE'!$C$3:$V$3=$A45)*('IGU(2020)_LNG_TRADE'!$A$5:$A$46=P$6)*'IGU(2020)_LNG_TRADE'!$C$5:$V$46)*10^6*Legend!$B$92*Legend!$B$82*Legend!$B$84*10^-3)</f>
        <v>0</v>
      </c>
      <c r="Q45" s="209" cm="1">
        <f t="array" ref="Q45">IF(SUMPRODUCT(('IGU(2020)_LNG_TRADE'!$C$3:$V$3=$A45)*('IGU(2020)_LNG_TRADE'!$A$5:$A$46=Q$6))=0,0,SUMPRODUCT(('IGU(2020)_LNG_TRADE'!$C$3:$V$3=$A45)*('IGU(2020)_LNG_TRADE'!$A$5:$A$46=Q$6)*'IGU(2020)_LNG_TRADE'!$C$5:$V$46)*10^6*Legend!$B$92*Legend!$B$82*Legend!$B$84*10^-3)</f>
        <v>0</v>
      </c>
      <c r="R45" s="209" cm="1">
        <f t="array" ref="R45">IF(SUMPRODUCT(('IGU(2020)_LNG_TRADE'!$C$3:$V$3=$A45)*('IGU(2020)_LNG_TRADE'!$A$5:$A$46=R$6))=0,0,SUMPRODUCT(('IGU(2020)_LNG_TRADE'!$C$3:$V$3=$A45)*('IGU(2020)_LNG_TRADE'!$A$5:$A$46=R$6)*'IGU(2020)_LNG_TRADE'!$C$5:$V$46)*10^6*Legend!$B$92*Legend!$B$82*Legend!$B$84*10^-3)</f>
        <v>0</v>
      </c>
      <c r="S45" s="209" cm="1">
        <f t="array" ref="S45">IF(SUMPRODUCT(('IGU(2020)_LNG_TRADE'!$C$3:$V$3=$A45)*('IGU(2020)_LNG_TRADE'!$A$5:$A$46=S$6))=0,0,SUMPRODUCT(('IGU(2020)_LNG_TRADE'!$C$3:$V$3=$A45)*('IGU(2020)_LNG_TRADE'!$A$5:$A$46=S$6)*'IGU(2020)_LNG_TRADE'!$C$5:$V$46)*10^6*Legend!$B$92*Legend!$B$82*Legend!$B$84*10^-3)</f>
        <v>5631.3156999999983</v>
      </c>
      <c r="T45" s="209" cm="1">
        <f t="array" ref="T45">IF(SUMPRODUCT(('IGU(2020)_LNG_TRADE'!$C$3:$V$3=$A45)*('IGU(2020)_LNG_TRADE'!$A$5:$A$46=T$6))=0,0,SUMPRODUCT(('IGU(2020)_LNG_TRADE'!$C$3:$V$3=$A45)*('IGU(2020)_LNG_TRADE'!$A$5:$A$46=T$6)*'IGU(2020)_LNG_TRADE'!$C$5:$V$46)*10^6*Legend!$B$92*Legend!$B$82*Legend!$B$84*10^-3)</f>
        <v>56313.156999999999</v>
      </c>
      <c r="U45" s="209" cm="1">
        <f t="array" ref="U45">IF(SUMPRODUCT(('IGU(2020)_LNG_TRADE'!$C$3:$V$3=$A45)*('IGU(2020)_LNG_TRADE'!$A$5:$A$46=U$6))=0,0,SUMPRODUCT(('IGU(2020)_LNG_TRADE'!$C$3:$V$3=$A45)*('IGU(2020)_LNG_TRADE'!$A$5:$A$46=U$6)*'IGU(2020)_LNG_TRADE'!$C$5:$V$46)*10^6*Legend!$B$92*Legend!$B$82*Legend!$B$84*10^-3)</f>
        <v>1678132.0785999999</v>
      </c>
      <c r="V45" s="209" cm="1">
        <f t="array" ref="V45">IF(SUMPRODUCT(('IGU(2020)_LNG_TRADE'!$C$3:$V$3=$A45)*('IGU(2020)_LNG_TRADE'!$A$5:$A$46=V$6))=0,0,SUMPRODUCT(('IGU(2020)_LNG_TRADE'!$C$3:$V$3=$A45)*('IGU(2020)_LNG_TRADE'!$A$5:$A$46=V$6)*'IGU(2020)_LNG_TRADE'!$C$5:$V$46)*10^6*Legend!$B$92*Legend!$B$82*Legend!$B$84*10^-3)</f>
        <v>0</v>
      </c>
      <c r="W45" s="209" cm="1">
        <f t="array" ref="W45">IF(SUMPRODUCT(('IGU(2020)_LNG_TRADE'!$C$3:$V$3=$A45)*('IGU(2020)_LNG_TRADE'!$A$5:$A$46=W$6))=0,0,SUMPRODUCT(('IGU(2020)_LNG_TRADE'!$C$3:$V$3=$A45)*('IGU(2020)_LNG_TRADE'!$A$5:$A$46=W$6)*'IGU(2020)_LNG_TRADE'!$C$5:$V$46)*10^6*Legend!$B$92*Legend!$B$82*Legend!$B$84*10^-3)</f>
        <v>0</v>
      </c>
      <c r="X45" s="209" cm="1">
        <f t="array" ref="X45">IF(SUMPRODUCT(('IGU(2020)_LNG_TRADE'!$C$3:$V$3=$A45)*('IGU(2020)_LNG_TRADE'!$A$5:$A$46=X$6))=0,0,SUMPRODUCT(('IGU(2020)_LNG_TRADE'!$C$3:$V$3=$A45)*('IGU(2020)_LNG_TRADE'!$A$5:$A$46=X$6)*'IGU(2020)_LNG_TRADE'!$C$5:$V$46)*10^6*Legend!$B$92*Legend!$B$82*Legend!$B$84*10^-3)</f>
        <v>5631.3156999999983</v>
      </c>
      <c r="Y45" s="209" cm="1">
        <f t="array" ref="Y45">IF(SUMPRODUCT(('IGU(2020)_LNG_TRADE'!$C$3:$V$3=$A45)*('IGU(2020)_LNG_TRADE'!$A$5:$A$46=Y$6))=0,0,SUMPRODUCT(('IGU(2020)_LNG_TRADE'!$C$3:$V$3=$A45)*('IGU(2020)_LNG_TRADE'!$A$5:$A$46=Y$6)*'IGU(2020)_LNG_TRADE'!$C$5:$V$46)*10^6*Legend!$B$92*Legend!$B$82*Legend!$B$84*10^-3)</f>
        <v>0</v>
      </c>
      <c r="Z45" s="209" cm="1">
        <f t="array" ref="Z45">IF(SUMPRODUCT(('IGU(2020)_LNG_TRADE'!$C$3:$V$3=$A45)*('IGU(2020)_LNG_TRADE'!$A$5:$A$46=Z$6))=0,0,SUMPRODUCT(('IGU(2020)_LNG_TRADE'!$C$3:$V$3=$A45)*('IGU(2020)_LNG_TRADE'!$A$5:$A$46=Z$6)*'IGU(2020)_LNG_TRADE'!$C$5:$V$46)*10^6*Legend!$B$92*Legend!$B$82*Legend!$B$84*10^-3)</f>
        <v>0</v>
      </c>
      <c r="AA45" s="209" cm="1">
        <f t="array" ref="AA45">IF(SUMPRODUCT(('IGU(2020)_LNG_TRADE'!$C$3:$V$3=$A45)*('IGU(2020)_LNG_TRADE'!$A$5:$A$46=AA$6))=0,0,SUMPRODUCT(('IGU(2020)_LNG_TRADE'!$C$3:$V$3=$A45)*('IGU(2020)_LNG_TRADE'!$A$5:$A$46=AA$6)*'IGU(2020)_LNG_TRADE'!$C$5:$V$46)*10^6*Legend!$B$92*Legend!$B$82*Legend!$B$84*10^-3)</f>
        <v>0</v>
      </c>
      <c r="AB45" s="209" cm="1">
        <f t="array" ref="AB45">IF(SUMPRODUCT(('IGU(2020)_LNG_TRADE'!$C$3:$V$3=$A45)*('IGU(2020)_LNG_TRADE'!$A$5:$A$46=AB$6))=0,0,SUMPRODUCT(('IGU(2020)_LNG_TRADE'!$C$3:$V$3=$A45)*('IGU(2020)_LNG_TRADE'!$A$5:$A$46=AB$6)*'IGU(2020)_LNG_TRADE'!$C$5:$V$46)*10^6*Legend!$B$92*Legend!$B$82*Legend!$B$84*10^-3)</f>
        <v>675757.88399999996</v>
      </c>
      <c r="AC45" s="220" cm="1">
        <f t="array" ref="AC45">IF(SUMPRODUCT(('IGU(2020)_LNG_TRADE'!$C$3:$V$3=$A45)*('IGU(2020)_LNG_TRADE'!$A$5:$A$46=AC$6))=0,0,SUMPRODUCT(('IGU(2020)_LNG_TRADE'!$C$3:$V$3=$A45)*('IGU(2020)_LNG_TRADE'!$A$5:$A$46=AC$6)*'IGU(2020)_LNG_TRADE'!$C$5:$V$46)*10^6*Legend!$B$92*Legend!$B$82*Legend!$B$84*10^-3)</f>
        <v>0</v>
      </c>
    </row>
    <row r="46" spans="1:29">
      <c r="A46" s="215" t="s">
        <v>187</v>
      </c>
      <c r="B46" s="209" cm="1">
        <f t="array" ref="B46">IF(SUMPRODUCT(('IGU(2020)_LNG_TRADE'!$C$3:$V$3=$A46)*('IGU(2020)_LNG_TRADE'!$A$5:$A$46=B$6))=0,0,SUMPRODUCT(('IGU(2020)_LNG_TRADE'!$C$3:$V$3=$A46)*('IGU(2020)_LNG_TRADE'!$A$5:$A$46=B$6)*'IGU(2020)_LNG_TRADE'!$C$5:$V$46)*10^6*Legend!$B$92*Legend!$B$82*Legend!$B$84*10^-3)</f>
        <v>0</v>
      </c>
      <c r="C46" s="209" cm="1">
        <f t="array" ref="C46">IF(SUMPRODUCT(('IGU(2020)_LNG_TRADE'!$C$3:$V$3=$A46)*('IGU(2020)_LNG_TRADE'!$A$5:$A$46=C$6))=0,0,SUMPRODUCT(('IGU(2020)_LNG_TRADE'!$C$3:$V$3=$A46)*('IGU(2020)_LNG_TRADE'!$A$5:$A$46=C$6)*'IGU(2020)_LNG_TRADE'!$C$5:$V$46)*10^6*Legend!$B$92*Legend!$B$82*Legend!$B$84*10^-3)</f>
        <v>0</v>
      </c>
      <c r="D46" s="209" cm="1">
        <f t="array" ref="D46">IF(SUMPRODUCT(('IGU(2020)_LNG_TRADE'!$C$3:$V$3=$A46)*('IGU(2020)_LNG_TRADE'!$A$5:$A$46=D$6))=0,0,SUMPRODUCT(('IGU(2020)_LNG_TRADE'!$C$3:$V$3=$A46)*('IGU(2020)_LNG_TRADE'!$A$5:$A$46=D$6)*'IGU(2020)_LNG_TRADE'!$C$5:$V$46)*10^6*Legend!$B$92*Legend!$B$82*Legend!$B$84*10^-3)</f>
        <v>0</v>
      </c>
      <c r="E46" s="209" cm="1">
        <f t="array" ref="E46">IF(SUMPRODUCT(('IGU(2020)_LNG_TRADE'!$C$3:$V$3=$A46)*('IGU(2020)_LNG_TRADE'!$A$5:$A$46=E$6))=0,0,SUMPRODUCT(('IGU(2020)_LNG_TRADE'!$C$3:$V$3=$A46)*('IGU(2020)_LNG_TRADE'!$A$5:$A$46=E$6)*'IGU(2020)_LNG_TRADE'!$C$5:$V$46)*10^6*Legend!$B$92*Legend!$B$82*Legend!$B$84*10^-3)</f>
        <v>0</v>
      </c>
      <c r="F46" s="209" cm="1">
        <f t="array" ref="F46">IF(SUMPRODUCT(('IGU(2020)_LNG_TRADE'!$C$3:$V$3=$A46)*('IGU(2020)_LNG_TRADE'!$A$5:$A$46=F$6))=0,0,SUMPRODUCT(('IGU(2020)_LNG_TRADE'!$C$3:$V$3=$A46)*('IGU(2020)_LNG_TRADE'!$A$5:$A$46=F$6)*'IGU(2020)_LNG_TRADE'!$C$5:$V$46)*10^6*Legend!$B$92*Legend!$B$82*Legend!$B$84*10^-3)</f>
        <v>0</v>
      </c>
      <c r="G46" s="209" cm="1">
        <f t="array" ref="G46">IF(SUMPRODUCT(('IGU(2020)_LNG_TRADE'!$C$3:$V$3=$A46)*('IGU(2020)_LNG_TRADE'!$A$5:$A$46=G$6))=0,0,SUMPRODUCT(('IGU(2020)_LNG_TRADE'!$C$3:$V$3=$A46)*('IGU(2020)_LNG_TRADE'!$A$5:$A$46=G$6)*'IGU(2020)_LNG_TRADE'!$C$5:$V$46)*10^6*Legend!$B$92*Legend!$B$82*Legend!$B$84*10^-3)</f>
        <v>0</v>
      </c>
      <c r="H46" s="209" cm="1">
        <f t="array" ref="H46">IF(SUMPRODUCT(('IGU(2020)_LNG_TRADE'!$C$3:$V$3=$A46)*('IGU(2020)_LNG_TRADE'!$A$5:$A$46=H$6))=0,0,SUMPRODUCT(('IGU(2020)_LNG_TRADE'!$C$3:$V$3=$A46)*('IGU(2020)_LNG_TRADE'!$A$5:$A$46=H$6)*'IGU(2020)_LNG_TRADE'!$C$5:$V$46)*10^6*Legend!$B$92*Legend!$B$82*Legend!$B$84*10^-3)</f>
        <v>0</v>
      </c>
      <c r="I46" s="209" cm="1">
        <f t="array" ref="I46">IF(SUMPRODUCT(('IGU(2020)_LNG_TRADE'!$C$3:$V$3=$A46)*('IGU(2020)_LNG_TRADE'!$A$5:$A$46=I$6))=0,0,SUMPRODUCT(('IGU(2020)_LNG_TRADE'!$C$3:$V$3=$A46)*('IGU(2020)_LNG_TRADE'!$A$5:$A$46=I$6)*'IGU(2020)_LNG_TRADE'!$C$5:$V$46)*10^6*Legend!$B$92*Legend!$B$82*Legend!$B$84*10^-3)</f>
        <v>0</v>
      </c>
      <c r="J46" s="209" cm="1">
        <f t="array" ref="J46">IF(SUMPRODUCT(('IGU(2020)_LNG_TRADE'!$C$3:$V$3=$A46)*('IGU(2020)_LNG_TRADE'!$A$5:$A$46=J$6))=0,0,SUMPRODUCT(('IGU(2020)_LNG_TRADE'!$C$3:$V$3=$A46)*('IGU(2020)_LNG_TRADE'!$A$5:$A$46=J$6)*'IGU(2020)_LNG_TRADE'!$C$5:$V$46)*10^6*Legend!$B$92*Legend!$B$82*Legend!$B$84*10^-3)</f>
        <v>0</v>
      </c>
      <c r="K46" s="209" cm="1">
        <f t="array" ref="K46">IF(SUMPRODUCT(('IGU(2020)_LNG_TRADE'!$C$3:$V$3=$A46)*('IGU(2020)_LNG_TRADE'!$A$5:$A$46=K$6))=0,0,SUMPRODUCT(('IGU(2020)_LNG_TRADE'!$C$3:$V$3=$A46)*('IGU(2020)_LNG_TRADE'!$A$5:$A$46=K$6)*'IGU(2020)_LNG_TRADE'!$C$5:$V$46)*10^6*Legend!$B$92*Legend!$B$82*Legend!$B$84*10^-3)</f>
        <v>0</v>
      </c>
      <c r="L46" s="209" cm="1">
        <f t="array" ref="L46">IF(SUMPRODUCT(('IGU(2020)_LNG_TRADE'!$C$3:$V$3=$A46)*('IGU(2020)_LNG_TRADE'!$A$5:$A$46=L$6))=0,0,SUMPRODUCT(('IGU(2020)_LNG_TRADE'!$C$3:$V$3=$A46)*('IGU(2020)_LNG_TRADE'!$A$5:$A$46=L$6)*'IGU(2020)_LNG_TRADE'!$C$5:$V$46)*10^6*Legend!$B$92*Legend!$B$82*Legend!$B$84*10^-3)</f>
        <v>0</v>
      </c>
      <c r="M46" s="209" cm="1">
        <f t="array" ref="M46">IF(SUMPRODUCT(('IGU(2020)_LNG_TRADE'!$C$3:$V$3=$A46)*('IGU(2020)_LNG_TRADE'!$A$5:$A$46=M$6))=0,0,SUMPRODUCT(('IGU(2020)_LNG_TRADE'!$C$3:$V$3=$A46)*('IGU(2020)_LNG_TRADE'!$A$5:$A$46=M$6)*'IGU(2020)_LNG_TRADE'!$C$5:$V$46)*10^6*Legend!$B$92*Legend!$B$82*Legend!$B$84*10^-3)</f>
        <v>0</v>
      </c>
      <c r="N46" s="209" cm="1">
        <f t="array" ref="N46">IF(SUMPRODUCT(('IGU(2020)_LNG_TRADE'!$C$3:$V$3=$A46)*('IGU(2020)_LNG_TRADE'!$A$5:$A$46=N$6))=0,0,SUMPRODUCT(('IGU(2020)_LNG_TRADE'!$C$3:$V$3=$A46)*('IGU(2020)_LNG_TRADE'!$A$5:$A$46=N$6)*'IGU(2020)_LNG_TRADE'!$C$5:$V$46)*10^6*Legend!$B$92*Legend!$B$82*Legend!$B$84*10^-3)</f>
        <v>0</v>
      </c>
      <c r="O46" s="209" cm="1">
        <f t="array" ref="O46">IF(SUMPRODUCT(('IGU(2020)_LNG_TRADE'!$C$3:$V$3=$A46)*('IGU(2020)_LNG_TRADE'!$A$5:$A$46=O$6))=0,0,SUMPRODUCT(('IGU(2020)_LNG_TRADE'!$C$3:$V$3=$A46)*('IGU(2020)_LNG_TRADE'!$A$5:$A$46=O$6)*'IGU(2020)_LNG_TRADE'!$C$5:$V$46)*10^6*Legend!$B$92*Legend!$B$82*Legend!$B$84*10^-3)</f>
        <v>0</v>
      </c>
      <c r="P46" s="209" cm="1">
        <f t="array" ref="P46">IF(SUMPRODUCT(('IGU(2020)_LNG_TRADE'!$C$3:$V$3=$A46)*('IGU(2020)_LNG_TRADE'!$A$5:$A$46=P$6))=0,0,SUMPRODUCT(('IGU(2020)_LNG_TRADE'!$C$3:$V$3=$A46)*('IGU(2020)_LNG_TRADE'!$A$5:$A$46=P$6)*'IGU(2020)_LNG_TRADE'!$C$5:$V$46)*10^6*Legend!$B$92*Legend!$B$82*Legend!$B$84*10^-3)</f>
        <v>0</v>
      </c>
      <c r="Q46" s="209" cm="1">
        <f t="array" ref="Q46">IF(SUMPRODUCT(('IGU(2020)_LNG_TRADE'!$C$3:$V$3=$A46)*('IGU(2020)_LNG_TRADE'!$A$5:$A$46=Q$6))=0,0,SUMPRODUCT(('IGU(2020)_LNG_TRADE'!$C$3:$V$3=$A46)*('IGU(2020)_LNG_TRADE'!$A$5:$A$46=Q$6)*'IGU(2020)_LNG_TRADE'!$C$5:$V$46)*10^6*Legend!$B$92*Legend!$B$82*Legend!$B$84*10^-3)</f>
        <v>0</v>
      </c>
      <c r="R46" s="209" cm="1">
        <f t="array" ref="R46">IF(SUMPRODUCT(('IGU(2020)_LNG_TRADE'!$C$3:$V$3=$A46)*('IGU(2020)_LNG_TRADE'!$A$5:$A$46=R$6))=0,0,SUMPRODUCT(('IGU(2020)_LNG_TRADE'!$C$3:$V$3=$A46)*('IGU(2020)_LNG_TRADE'!$A$5:$A$46=R$6)*'IGU(2020)_LNG_TRADE'!$C$5:$V$46)*10^6*Legend!$B$92*Legend!$B$82*Legend!$B$84*10^-3)</f>
        <v>0</v>
      </c>
      <c r="S46" s="209" cm="1">
        <f t="array" ref="S46">IF(SUMPRODUCT(('IGU(2020)_LNG_TRADE'!$C$3:$V$3=$A46)*('IGU(2020)_LNG_TRADE'!$A$5:$A$46=S$6))=0,0,SUMPRODUCT(('IGU(2020)_LNG_TRADE'!$C$3:$V$3=$A46)*('IGU(2020)_LNG_TRADE'!$A$5:$A$46=S$6)*'IGU(2020)_LNG_TRADE'!$C$5:$V$46)*10^6*Legend!$B$92*Legend!$B$82*Legend!$B$84*10^-3)</f>
        <v>0</v>
      </c>
      <c r="T46" s="209" cm="1">
        <f t="array" ref="T46">IF(SUMPRODUCT(('IGU(2020)_LNG_TRADE'!$C$3:$V$3=$A46)*('IGU(2020)_LNG_TRADE'!$A$5:$A$46=T$6))=0,0,SUMPRODUCT(('IGU(2020)_LNG_TRADE'!$C$3:$V$3=$A46)*('IGU(2020)_LNG_TRADE'!$A$5:$A$46=T$6)*'IGU(2020)_LNG_TRADE'!$C$5:$V$46)*10^6*Legend!$B$92*Legend!$B$82*Legend!$B$84*10^-3)</f>
        <v>0</v>
      </c>
      <c r="U46" s="209" cm="1">
        <f t="array" ref="U46">IF(SUMPRODUCT(('IGU(2020)_LNG_TRADE'!$C$3:$V$3=$A46)*('IGU(2020)_LNG_TRADE'!$A$5:$A$46=U$6))=0,0,SUMPRODUCT(('IGU(2020)_LNG_TRADE'!$C$3:$V$3=$A46)*('IGU(2020)_LNG_TRADE'!$A$5:$A$46=U$6)*'IGU(2020)_LNG_TRADE'!$C$5:$V$46)*10^6*Legend!$B$92*Legend!$B$82*Legend!$B$84*10^-3)</f>
        <v>0</v>
      </c>
      <c r="V46" s="209" cm="1">
        <f t="array" ref="V46">IF(SUMPRODUCT(('IGU(2020)_LNG_TRADE'!$C$3:$V$3=$A46)*('IGU(2020)_LNG_TRADE'!$A$5:$A$46=V$6))=0,0,SUMPRODUCT(('IGU(2020)_LNG_TRADE'!$C$3:$V$3=$A46)*('IGU(2020)_LNG_TRADE'!$A$5:$A$46=V$6)*'IGU(2020)_LNG_TRADE'!$C$5:$V$46)*10^6*Legend!$B$92*Legend!$B$82*Legend!$B$84*10^-3)</f>
        <v>0</v>
      </c>
      <c r="W46" s="209" cm="1">
        <f t="array" ref="W46">IF(SUMPRODUCT(('IGU(2020)_LNG_TRADE'!$C$3:$V$3=$A46)*('IGU(2020)_LNG_TRADE'!$A$5:$A$46=W$6))=0,0,SUMPRODUCT(('IGU(2020)_LNG_TRADE'!$C$3:$V$3=$A46)*('IGU(2020)_LNG_TRADE'!$A$5:$A$46=W$6)*'IGU(2020)_LNG_TRADE'!$C$5:$V$46)*10^6*Legend!$B$92*Legend!$B$82*Legend!$B$84*10^-3)</f>
        <v>0</v>
      </c>
      <c r="X46" s="209" cm="1">
        <f t="array" ref="X46">IF(SUMPRODUCT(('IGU(2020)_LNG_TRADE'!$C$3:$V$3=$A46)*('IGU(2020)_LNG_TRADE'!$A$5:$A$46=X$6))=0,0,SUMPRODUCT(('IGU(2020)_LNG_TRADE'!$C$3:$V$3=$A46)*('IGU(2020)_LNG_TRADE'!$A$5:$A$46=X$6)*'IGU(2020)_LNG_TRADE'!$C$5:$V$46)*10^6*Legend!$B$92*Legend!$B$82*Legend!$B$84*10^-3)</f>
        <v>0</v>
      </c>
      <c r="Y46" s="209" cm="1">
        <f t="array" ref="Y46">IF(SUMPRODUCT(('IGU(2020)_LNG_TRADE'!$C$3:$V$3=$A46)*('IGU(2020)_LNG_TRADE'!$A$5:$A$46=Y$6))=0,0,SUMPRODUCT(('IGU(2020)_LNG_TRADE'!$C$3:$V$3=$A46)*('IGU(2020)_LNG_TRADE'!$A$5:$A$46=Y$6)*'IGU(2020)_LNG_TRADE'!$C$5:$V$46)*10^6*Legend!$B$92*Legend!$B$82*Legend!$B$84*10^-3)</f>
        <v>0</v>
      </c>
      <c r="Z46" s="209" cm="1">
        <f t="array" ref="Z46">IF(SUMPRODUCT(('IGU(2020)_LNG_TRADE'!$C$3:$V$3=$A46)*('IGU(2020)_LNG_TRADE'!$A$5:$A$46=Z$6))=0,0,SUMPRODUCT(('IGU(2020)_LNG_TRADE'!$C$3:$V$3=$A46)*('IGU(2020)_LNG_TRADE'!$A$5:$A$46=Z$6)*'IGU(2020)_LNG_TRADE'!$C$5:$V$46)*10^6*Legend!$B$92*Legend!$B$82*Legend!$B$84*10^-3)</f>
        <v>0</v>
      </c>
      <c r="AA46" s="209" cm="1">
        <f t="array" ref="AA46">IF(SUMPRODUCT(('IGU(2020)_LNG_TRADE'!$C$3:$V$3=$A46)*('IGU(2020)_LNG_TRADE'!$A$5:$A$46=AA$6))=0,0,SUMPRODUCT(('IGU(2020)_LNG_TRADE'!$C$3:$V$3=$A46)*('IGU(2020)_LNG_TRADE'!$A$5:$A$46=AA$6)*'IGU(2020)_LNG_TRADE'!$C$5:$V$46)*10^6*Legend!$B$92*Legend!$B$82*Legend!$B$84*10^-3)</f>
        <v>0</v>
      </c>
      <c r="AB46" s="209" cm="1">
        <f t="array" ref="AB46">IF(SUMPRODUCT(('IGU(2020)_LNG_TRADE'!$C$3:$V$3=$A46)*('IGU(2020)_LNG_TRADE'!$A$5:$A$46=AB$6))=0,0,SUMPRODUCT(('IGU(2020)_LNG_TRADE'!$C$3:$V$3=$A46)*('IGU(2020)_LNG_TRADE'!$A$5:$A$46=AB$6)*'IGU(2020)_LNG_TRADE'!$C$5:$V$46)*10^6*Legend!$B$92*Legend!$B$82*Legend!$B$84*10^-3)</f>
        <v>0</v>
      </c>
      <c r="AC46" s="220" cm="1">
        <f t="array" ref="AC46">IF(SUMPRODUCT(('IGU(2020)_LNG_TRADE'!$C$3:$V$3=$A46)*('IGU(2020)_LNG_TRADE'!$A$5:$A$46=AC$6))=0,0,SUMPRODUCT(('IGU(2020)_LNG_TRADE'!$C$3:$V$3=$A46)*('IGU(2020)_LNG_TRADE'!$A$5:$A$46=AC$6)*'IGU(2020)_LNG_TRADE'!$C$5:$V$46)*10^6*Legend!$B$92*Legend!$B$82*Legend!$B$84*10^-3)</f>
        <v>0</v>
      </c>
    </row>
    <row r="47" spans="1:29">
      <c r="A47" s="215" t="s">
        <v>190</v>
      </c>
      <c r="B47" s="209" cm="1">
        <f t="array" ref="B47">IF(SUMPRODUCT(('IGU(2020)_LNG_TRADE'!$C$3:$V$3=$A47)*('IGU(2020)_LNG_TRADE'!$A$5:$A$46=B$6))=0,0,SUMPRODUCT(('IGU(2020)_LNG_TRADE'!$C$3:$V$3=$A47)*('IGU(2020)_LNG_TRADE'!$A$5:$A$46=B$6)*'IGU(2020)_LNG_TRADE'!$C$5:$V$46)*10^6*Legend!$B$92*Legend!$B$82*Legend!$B$84*10^-3)</f>
        <v>0</v>
      </c>
      <c r="C47" s="209" cm="1">
        <f t="array" ref="C47">IF(SUMPRODUCT(('IGU(2020)_LNG_TRADE'!$C$3:$V$3=$A47)*('IGU(2020)_LNG_TRADE'!$A$5:$A$46=C$6))=0,0,SUMPRODUCT(('IGU(2020)_LNG_TRADE'!$C$3:$V$3=$A47)*('IGU(2020)_LNG_TRADE'!$A$5:$A$46=C$6)*'IGU(2020)_LNG_TRADE'!$C$5:$V$46)*10^6*Legend!$B$92*Legend!$B$82*Legend!$B$84*10^-3)</f>
        <v>0</v>
      </c>
      <c r="D47" s="209" cm="1">
        <f t="array" ref="D47">IF(SUMPRODUCT(('IGU(2020)_LNG_TRADE'!$C$3:$V$3=$A47)*('IGU(2020)_LNG_TRADE'!$A$5:$A$46=D$6))=0,0,SUMPRODUCT(('IGU(2020)_LNG_TRADE'!$C$3:$V$3=$A47)*('IGU(2020)_LNG_TRADE'!$A$5:$A$46=D$6)*'IGU(2020)_LNG_TRADE'!$C$5:$V$46)*10^6*Legend!$B$92*Legend!$B$82*Legend!$B$84*10^-3)</f>
        <v>0</v>
      </c>
      <c r="E47" s="209" cm="1">
        <f t="array" ref="E47">IF(SUMPRODUCT(('IGU(2020)_LNG_TRADE'!$C$3:$V$3=$A47)*('IGU(2020)_LNG_TRADE'!$A$5:$A$46=E$6))=0,0,SUMPRODUCT(('IGU(2020)_LNG_TRADE'!$C$3:$V$3=$A47)*('IGU(2020)_LNG_TRADE'!$A$5:$A$46=E$6)*'IGU(2020)_LNG_TRADE'!$C$5:$V$46)*10^6*Legend!$B$92*Legend!$B$82*Legend!$B$84*10^-3)</f>
        <v>0</v>
      </c>
      <c r="F47" s="209" cm="1">
        <f t="array" ref="F47">IF(SUMPRODUCT(('IGU(2020)_LNG_TRADE'!$C$3:$V$3=$A47)*('IGU(2020)_LNG_TRADE'!$A$5:$A$46=F$6))=0,0,SUMPRODUCT(('IGU(2020)_LNG_TRADE'!$C$3:$V$3=$A47)*('IGU(2020)_LNG_TRADE'!$A$5:$A$46=F$6)*'IGU(2020)_LNG_TRADE'!$C$5:$V$46)*10^6*Legend!$B$92*Legend!$B$82*Legend!$B$84*10^-3)</f>
        <v>0</v>
      </c>
      <c r="G47" s="209" cm="1">
        <f t="array" ref="G47">IF(SUMPRODUCT(('IGU(2020)_LNG_TRADE'!$C$3:$V$3=$A47)*('IGU(2020)_LNG_TRADE'!$A$5:$A$46=G$6))=0,0,SUMPRODUCT(('IGU(2020)_LNG_TRADE'!$C$3:$V$3=$A47)*('IGU(2020)_LNG_TRADE'!$A$5:$A$46=G$6)*'IGU(2020)_LNG_TRADE'!$C$5:$V$46)*10^6*Legend!$B$92*Legend!$B$82*Legend!$B$84*10^-3)</f>
        <v>0</v>
      </c>
      <c r="H47" s="209" cm="1">
        <f t="array" ref="H47">IF(SUMPRODUCT(('IGU(2020)_LNG_TRADE'!$C$3:$V$3=$A47)*('IGU(2020)_LNG_TRADE'!$A$5:$A$46=H$6))=0,0,SUMPRODUCT(('IGU(2020)_LNG_TRADE'!$C$3:$V$3=$A47)*('IGU(2020)_LNG_TRADE'!$A$5:$A$46=H$6)*'IGU(2020)_LNG_TRADE'!$C$5:$V$46)*10^6*Legend!$B$92*Legend!$B$82*Legend!$B$84*10^-3)</f>
        <v>129520.2611</v>
      </c>
      <c r="I47" s="209" cm="1">
        <f t="array" ref="I47">IF(SUMPRODUCT(('IGU(2020)_LNG_TRADE'!$C$3:$V$3=$A47)*('IGU(2020)_LNG_TRADE'!$A$5:$A$46=I$6))=0,0,SUMPRODUCT(('IGU(2020)_LNG_TRADE'!$C$3:$V$3=$A47)*('IGU(2020)_LNG_TRADE'!$A$5:$A$46=I$6)*'IGU(2020)_LNG_TRADE'!$C$5:$V$46)*10^6*Legend!$B$92*Legend!$B$82*Legend!$B$84*10^-3)</f>
        <v>11262.631399999997</v>
      </c>
      <c r="J47" s="209" cm="1">
        <f t="array" ref="J47">IF(SUMPRODUCT(('IGU(2020)_LNG_TRADE'!$C$3:$V$3=$A47)*('IGU(2020)_LNG_TRADE'!$A$5:$A$46=J$6))=0,0,SUMPRODUCT(('IGU(2020)_LNG_TRADE'!$C$3:$V$3=$A47)*('IGU(2020)_LNG_TRADE'!$A$5:$A$46=J$6)*'IGU(2020)_LNG_TRADE'!$C$5:$V$46)*10^6*Legend!$B$92*Legend!$B$82*Legend!$B$84*10^-3)</f>
        <v>0</v>
      </c>
      <c r="K47" s="209" cm="1">
        <f t="array" ref="K47">IF(SUMPRODUCT(('IGU(2020)_LNG_TRADE'!$C$3:$V$3=$A47)*('IGU(2020)_LNG_TRADE'!$A$5:$A$46=K$6))=0,0,SUMPRODUCT(('IGU(2020)_LNG_TRADE'!$C$3:$V$3=$A47)*('IGU(2020)_LNG_TRADE'!$A$5:$A$46=K$6)*'IGU(2020)_LNG_TRADE'!$C$5:$V$46)*10^6*Legend!$B$92*Legend!$B$82*Legend!$B$84*10^-3)</f>
        <v>0</v>
      </c>
      <c r="L47" s="209" cm="1">
        <f t="array" ref="L47">IF(SUMPRODUCT(('IGU(2020)_LNG_TRADE'!$C$3:$V$3=$A47)*('IGU(2020)_LNG_TRADE'!$A$5:$A$46=L$6))=0,0,SUMPRODUCT(('IGU(2020)_LNG_TRADE'!$C$3:$V$3=$A47)*('IGU(2020)_LNG_TRADE'!$A$5:$A$46=L$6)*'IGU(2020)_LNG_TRADE'!$C$5:$V$46)*10^6*Legend!$B$92*Legend!$B$82*Legend!$B$84*10^-3)</f>
        <v>0</v>
      </c>
      <c r="M47" s="209" cm="1">
        <f t="array" ref="M47">IF(SUMPRODUCT(('IGU(2020)_LNG_TRADE'!$C$3:$V$3=$A47)*('IGU(2020)_LNG_TRADE'!$A$5:$A$46=M$6))=0,0,SUMPRODUCT(('IGU(2020)_LNG_TRADE'!$C$3:$V$3=$A47)*('IGU(2020)_LNG_TRADE'!$A$5:$A$46=M$6)*'IGU(2020)_LNG_TRADE'!$C$5:$V$46)*10^6*Legend!$B$92*Legend!$B$82*Legend!$B$84*10^-3)</f>
        <v>613813.41129999969</v>
      </c>
      <c r="N47" s="209" cm="1">
        <f t="array" ref="N47">IF(SUMPRODUCT(('IGU(2020)_LNG_TRADE'!$C$3:$V$3=$A47)*('IGU(2020)_LNG_TRADE'!$A$5:$A$46=N$6))=0,0,SUMPRODUCT(('IGU(2020)_LNG_TRADE'!$C$3:$V$3=$A47)*('IGU(2020)_LNG_TRADE'!$A$5:$A$46=N$6)*'IGU(2020)_LNG_TRADE'!$C$5:$V$46)*10^6*Legend!$B$92*Legend!$B$82*Legend!$B$84*10^-3)</f>
        <v>0</v>
      </c>
      <c r="O47" s="209" cm="1">
        <f t="array" ref="O47">IF(SUMPRODUCT(('IGU(2020)_LNG_TRADE'!$C$3:$V$3=$A47)*('IGU(2020)_LNG_TRADE'!$A$5:$A$46=O$6))=0,0,SUMPRODUCT(('IGU(2020)_LNG_TRADE'!$C$3:$V$3=$A47)*('IGU(2020)_LNG_TRADE'!$A$5:$A$46=O$6)*'IGU(2020)_LNG_TRADE'!$C$5:$V$46)*10^6*Legend!$B$92*Legend!$B$82*Legend!$B$84*10^-3)</f>
        <v>0</v>
      </c>
      <c r="P47" s="209" cm="1">
        <f t="array" ref="P47">IF(SUMPRODUCT(('IGU(2020)_LNG_TRADE'!$C$3:$V$3=$A47)*('IGU(2020)_LNG_TRADE'!$A$5:$A$46=P$6))=0,0,SUMPRODUCT(('IGU(2020)_LNG_TRADE'!$C$3:$V$3=$A47)*('IGU(2020)_LNG_TRADE'!$A$5:$A$46=P$6)*'IGU(2020)_LNG_TRADE'!$C$5:$V$46)*10^6*Legend!$B$92*Legend!$B$82*Legend!$B$84*10^-3)</f>
        <v>0</v>
      </c>
      <c r="Q47" s="209" cm="1">
        <f t="array" ref="Q47">IF(SUMPRODUCT(('IGU(2020)_LNG_TRADE'!$C$3:$V$3=$A47)*('IGU(2020)_LNG_TRADE'!$A$5:$A$46=Q$6))=0,0,SUMPRODUCT(('IGU(2020)_LNG_TRADE'!$C$3:$V$3=$A47)*('IGU(2020)_LNG_TRADE'!$A$5:$A$46=Q$6)*'IGU(2020)_LNG_TRADE'!$C$5:$V$46)*10^6*Legend!$B$92*Legend!$B$82*Legend!$B$84*10^-3)</f>
        <v>0</v>
      </c>
      <c r="R47" s="209" cm="1">
        <f t="array" ref="R47">IF(SUMPRODUCT(('IGU(2020)_LNG_TRADE'!$C$3:$V$3=$A47)*('IGU(2020)_LNG_TRADE'!$A$5:$A$46=R$6))=0,0,SUMPRODUCT(('IGU(2020)_LNG_TRADE'!$C$3:$V$3=$A47)*('IGU(2020)_LNG_TRADE'!$A$5:$A$46=R$6)*'IGU(2020)_LNG_TRADE'!$C$5:$V$46)*10^6*Legend!$B$92*Legend!$B$82*Legend!$B$84*10^-3)</f>
        <v>0</v>
      </c>
      <c r="S47" s="209" cm="1">
        <f t="array" ref="S47">IF(SUMPRODUCT(('IGU(2020)_LNG_TRADE'!$C$3:$V$3=$A47)*('IGU(2020)_LNG_TRADE'!$A$5:$A$46=S$6))=0,0,SUMPRODUCT(('IGU(2020)_LNG_TRADE'!$C$3:$V$3=$A47)*('IGU(2020)_LNG_TRADE'!$A$5:$A$46=S$6)*'IGU(2020)_LNG_TRADE'!$C$5:$V$46)*10^6*Legend!$B$92*Legend!$B$82*Legend!$B$84*10^-3)</f>
        <v>0</v>
      </c>
      <c r="T47" s="209" cm="1">
        <f t="array" ref="T47">IF(SUMPRODUCT(('IGU(2020)_LNG_TRADE'!$C$3:$V$3=$A47)*('IGU(2020)_LNG_TRADE'!$A$5:$A$46=T$6))=0,0,SUMPRODUCT(('IGU(2020)_LNG_TRADE'!$C$3:$V$3=$A47)*('IGU(2020)_LNG_TRADE'!$A$5:$A$46=T$6)*'IGU(2020)_LNG_TRADE'!$C$5:$V$46)*10^6*Legend!$B$92*Legend!$B$82*Legend!$B$84*10^-3)</f>
        <v>22525.262799999993</v>
      </c>
      <c r="U47" s="209" cm="1">
        <f t="array" ref="U47">IF(SUMPRODUCT(('IGU(2020)_LNG_TRADE'!$C$3:$V$3=$A47)*('IGU(2020)_LNG_TRADE'!$A$5:$A$46=U$6))=0,0,SUMPRODUCT(('IGU(2020)_LNG_TRADE'!$C$3:$V$3=$A47)*('IGU(2020)_LNG_TRADE'!$A$5:$A$46=U$6)*'IGU(2020)_LNG_TRADE'!$C$5:$V$46)*10^6*Legend!$B$92*Legend!$B$82*Legend!$B$84*10^-3)</f>
        <v>979848.93180000002</v>
      </c>
      <c r="V47" s="209" cm="1">
        <f t="array" ref="V47">IF(SUMPRODUCT(('IGU(2020)_LNG_TRADE'!$C$3:$V$3=$A47)*('IGU(2020)_LNG_TRADE'!$A$5:$A$46=V$6))=0,0,SUMPRODUCT(('IGU(2020)_LNG_TRADE'!$C$3:$V$3=$A47)*('IGU(2020)_LNG_TRADE'!$A$5:$A$46=V$6)*'IGU(2020)_LNG_TRADE'!$C$5:$V$46)*10^6*Legend!$B$92*Legend!$B$82*Legend!$B$84*10^-3)</f>
        <v>0</v>
      </c>
      <c r="W47" s="209" cm="1">
        <f t="array" ref="W47">IF(SUMPRODUCT(('IGU(2020)_LNG_TRADE'!$C$3:$V$3=$A47)*('IGU(2020)_LNG_TRADE'!$A$5:$A$46=W$6))=0,0,SUMPRODUCT(('IGU(2020)_LNG_TRADE'!$C$3:$V$3=$A47)*('IGU(2020)_LNG_TRADE'!$A$5:$A$46=W$6)*'IGU(2020)_LNG_TRADE'!$C$5:$V$46)*10^6*Legend!$B$92*Legend!$B$82*Legend!$B$84*10^-3)</f>
        <v>0</v>
      </c>
      <c r="X47" s="209" cm="1">
        <f t="array" ref="X47">IF(SUMPRODUCT(('IGU(2020)_LNG_TRADE'!$C$3:$V$3=$A47)*('IGU(2020)_LNG_TRADE'!$A$5:$A$46=X$6))=0,0,SUMPRODUCT(('IGU(2020)_LNG_TRADE'!$C$3:$V$3=$A47)*('IGU(2020)_LNG_TRADE'!$A$5:$A$46=X$6)*'IGU(2020)_LNG_TRADE'!$C$5:$V$46)*10^6*Legend!$B$92*Legend!$B$82*Legend!$B$84*10^-3)</f>
        <v>0</v>
      </c>
      <c r="Y47" s="209" cm="1">
        <f t="array" ref="Y47">IF(SUMPRODUCT(('IGU(2020)_LNG_TRADE'!$C$3:$V$3=$A47)*('IGU(2020)_LNG_TRADE'!$A$5:$A$46=Y$6))=0,0,SUMPRODUCT(('IGU(2020)_LNG_TRADE'!$C$3:$V$3=$A47)*('IGU(2020)_LNG_TRADE'!$A$5:$A$46=Y$6)*'IGU(2020)_LNG_TRADE'!$C$5:$V$46)*10^6*Legend!$B$92*Legend!$B$82*Legend!$B$84*10^-3)</f>
        <v>0</v>
      </c>
      <c r="Z47" s="209" cm="1">
        <f t="array" ref="Z47">IF(SUMPRODUCT(('IGU(2020)_LNG_TRADE'!$C$3:$V$3=$A47)*('IGU(2020)_LNG_TRADE'!$A$5:$A$46=Z$6))=0,0,SUMPRODUCT(('IGU(2020)_LNG_TRADE'!$C$3:$V$3=$A47)*('IGU(2020)_LNG_TRADE'!$A$5:$A$46=Z$6)*'IGU(2020)_LNG_TRADE'!$C$5:$V$46)*10^6*Legend!$B$92*Legend!$B$82*Legend!$B$84*10^-3)</f>
        <v>0</v>
      </c>
      <c r="AA47" s="209" cm="1">
        <f t="array" ref="AA47">IF(SUMPRODUCT(('IGU(2020)_LNG_TRADE'!$C$3:$V$3=$A47)*('IGU(2020)_LNG_TRADE'!$A$5:$A$46=AA$6))=0,0,SUMPRODUCT(('IGU(2020)_LNG_TRADE'!$C$3:$V$3=$A47)*('IGU(2020)_LNG_TRADE'!$A$5:$A$46=AA$6)*'IGU(2020)_LNG_TRADE'!$C$5:$V$46)*10^6*Legend!$B$92*Legend!$B$82*Legend!$B$84*10^-3)</f>
        <v>0</v>
      </c>
      <c r="AB47" s="209" cm="1">
        <f t="array" ref="AB47">IF(SUMPRODUCT(('IGU(2020)_LNG_TRADE'!$C$3:$V$3=$A47)*('IGU(2020)_LNG_TRADE'!$A$5:$A$46=AB$6))=0,0,SUMPRODUCT(('IGU(2020)_LNG_TRADE'!$C$3:$V$3=$A47)*('IGU(2020)_LNG_TRADE'!$A$5:$A$46=AB$6)*'IGU(2020)_LNG_TRADE'!$C$5:$V$46)*10^6*Legend!$B$92*Legend!$B$82*Legend!$B$84*10^-3)</f>
        <v>551868.93859999999</v>
      </c>
      <c r="AC47" s="220" cm="1">
        <f t="array" ref="AC47">IF(SUMPRODUCT(('IGU(2020)_LNG_TRADE'!$C$3:$V$3=$A47)*('IGU(2020)_LNG_TRADE'!$A$5:$A$46=AC$6))=0,0,SUMPRODUCT(('IGU(2020)_LNG_TRADE'!$C$3:$V$3=$A47)*('IGU(2020)_LNG_TRADE'!$A$5:$A$46=AC$6)*'IGU(2020)_LNG_TRADE'!$C$5:$V$46)*10^6*Legend!$B$92*Legend!$B$82*Legend!$B$84*10^-3)</f>
        <v>0</v>
      </c>
    </row>
    <row r="48" spans="1:29">
      <c r="A48" s="215" t="s">
        <v>193</v>
      </c>
      <c r="B48" s="209" cm="1">
        <f t="array" ref="B48">IF(SUMPRODUCT(('IGU(2020)_LNG_TRADE'!$C$3:$V$3=$A48)*('IGU(2020)_LNG_TRADE'!$A$5:$A$46=B$6))=0,0,SUMPRODUCT(('IGU(2020)_LNG_TRADE'!$C$3:$V$3=$A48)*('IGU(2020)_LNG_TRADE'!$A$5:$A$46=B$6)*'IGU(2020)_LNG_TRADE'!$C$5:$V$46)*10^6*Legend!$B$92*Legend!$B$82*Legend!$B$84*10^-3)</f>
        <v>0</v>
      </c>
      <c r="C48" s="209" cm="1">
        <f t="array" ref="C48">IF(SUMPRODUCT(('IGU(2020)_LNG_TRADE'!$C$3:$V$3=$A48)*('IGU(2020)_LNG_TRADE'!$A$5:$A$46=C$6))=0,0,SUMPRODUCT(('IGU(2020)_LNG_TRADE'!$C$3:$V$3=$A48)*('IGU(2020)_LNG_TRADE'!$A$5:$A$46=C$6)*'IGU(2020)_LNG_TRADE'!$C$5:$V$46)*10^6*Legend!$B$92*Legend!$B$82*Legend!$B$84*10^-3)</f>
        <v>0</v>
      </c>
      <c r="D48" s="209" cm="1">
        <f t="array" ref="D48">IF(SUMPRODUCT(('IGU(2020)_LNG_TRADE'!$C$3:$V$3=$A48)*('IGU(2020)_LNG_TRADE'!$A$5:$A$46=D$6))=0,0,SUMPRODUCT(('IGU(2020)_LNG_TRADE'!$C$3:$V$3=$A48)*('IGU(2020)_LNG_TRADE'!$A$5:$A$46=D$6)*'IGU(2020)_LNG_TRADE'!$C$5:$V$46)*10^6*Legend!$B$92*Legend!$B$82*Legend!$B$84*10^-3)</f>
        <v>0</v>
      </c>
      <c r="E48" s="209" cm="1">
        <f t="array" ref="E48">IF(SUMPRODUCT(('IGU(2020)_LNG_TRADE'!$C$3:$V$3=$A48)*('IGU(2020)_LNG_TRADE'!$A$5:$A$46=E$6))=0,0,SUMPRODUCT(('IGU(2020)_LNG_TRADE'!$C$3:$V$3=$A48)*('IGU(2020)_LNG_TRADE'!$A$5:$A$46=E$6)*'IGU(2020)_LNG_TRADE'!$C$5:$V$46)*10^6*Legend!$B$92*Legend!$B$82*Legend!$B$84*10^-3)</f>
        <v>0</v>
      </c>
      <c r="F48" s="209" cm="1">
        <f t="array" ref="F48">IF(SUMPRODUCT(('IGU(2020)_LNG_TRADE'!$C$3:$V$3=$A48)*('IGU(2020)_LNG_TRADE'!$A$5:$A$46=F$6))=0,0,SUMPRODUCT(('IGU(2020)_LNG_TRADE'!$C$3:$V$3=$A48)*('IGU(2020)_LNG_TRADE'!$A$5:$A$46=F$6)*'IGU(2020)_LNG_TRADE'!$C$5:$V$46)*10^6*Legend!$B$92*Legend!$B$82*Legend!$B$84*10^-3)</f>
        <v>0</v>
      </c>
      <c r="G48" s="209" cm="1">
        <f t="array" ref="G48">IF(SUMPRODUCT(('IGU(2020)_LNG_TRADE'!$C$3:$V$3=$A48)*('IGU(2020)_LNG_TRADE'!$A$5:$A$46=G$6))=0,0,SUMPRODUCT(('IGU(2020)_LNG_TRADE'!$C$3:$V$3=$A48)*('IGU(2020)_LNG_TRADE'!$A$5:$A$46=G$6)*'IGU(2020)_LNG_TRADE'!$C$5:$V$46)*10^6*Legend!$B$92*Legend!$B$82*Legend!$B$84*10^-3)</f>
        <v>0</v>
      </c>
      <c r="H48" s="209" cm="1">
        <f t="array" ref="H48">IF(SUMPRODUCT(('IGU(2020)_LNG_TRADE'!$C$3:$V$3=$A48)*('IGU(2020)_LNG_TRADE'!$A$5:$A$46=H$6))=0,0,SUMPRODUCT(('IGU(2020)_LNG_TRADE'!$C$3:$V$3=$A48)*('IGU(2020)_LNG_TRADE'!$A$5:$A$46=H$6)*'IGU(2020)_LNG_TRADE'!$C$5:$V$46)*10^6*Legend!$B$92*Legend!$B$82*Legend!$B$84*10^-3)</f>
        <v>0</v>
      </c>
      <c r="I48" s="209" cm="1">
        <f t="array" ref="I48">IF(SUMPRODUCT(('IGU(2020)_LNG_TRADE'!$C$3:$V$3=$A48)*('IGU(2020)_LNG_TRADE'!$A$5:$A$46=I$6))=0,0,SUMPRODUCT(('IGU(2020)_LNG_TRADE'!$C$3:$V$3=$A48)*('IGU(2020)_LNG_TRADE'!$A$5:$A$46=I$6)*'IGU(2020)_LNG_TRADE'!$C$5:$V$46)*10^6*Legend!$B$92*Legend!$B$82*Legend!$B$84*10^-3)</f>
        <v>0</v>
      </c>
      <c r="J48" s="209" cm="1">
        <f t="array" ref="J48">IF(SUMPRODUCT(('IGU(2020)_LNG_TRADE'!$C$3:$V$3=$A48)*('IGU(2020)_LNG_TRADE'!$A$5:$A$46=J$6))=0,0,SUMPRODUCT(('IGU(2020)_LNG_TRADE'!$C$3:$V$3=$A48)*('IGU(2020)_LNG_TRADE'!$A$5:$A$46=J$6)*'IGU(2020)_LNG_TRADE'!$C$5:$V$46)*10^6*Legend!$B$92*Legend!$B$82*Legend!$B$84*10^-3)</f>
        <v>0</v>
      </c>
      <c r="K48" s="209" cm="1">
        <f t="array" ref="K48">IF(SUMPRODUCT(('IGU(2020)_LNG_TRADE'!$C$3:$V$3=$A48)*('IGU(2020)_LNG_TRADE'!$A$5:$A$46=K$6))=0,0,SUMPRODUCT(('IGU(2020)_LNG_TRADE'!$C$3:$V$3=$A48)*('IGU(2020)_LNG_TRADE'!$A$5:$A$46=K$6)*'IGU(2020)_LNG_TRADE'!$C$5:$V$46)*10^6*Legend!$B$92*Legend!$B$82*Legend!$B$84*10^-3)</f>
        <v>0</v>
      </c>
      <c r="L48" s="209" cm="1">
        <f t="array" ref="L48">IF(SUMPRODUCT(('IGU(2020)_LNG_TRADE'!$C$3:$V$3=$A48)*('IGU(2020)_LNG_TRADE'!$A$5:$A$46=L$6))=0,0,SUMPRODUCT(('IGU(2020)_LNG_TRADE'!$C$3:$V$3=$A48)*('IGU(2020)_LNG_TRADE'!$A$5:$A$46=L$6)*'IGU(2020)_LNG_TRADE'!$C$5:$V$46)*10^6*Legend!$B$92*Legend!$B$82*Legend!$B$84*10^-3)</f>
        <v>0</v>
      </c>
      <c r="M48" s="209" cm="1">
        <f t="array" ref="M48">IF(SUMPRODUCT(('IGU(2020)_LNG_TRADE'!$C$3:$V$3=$A48)*('IGU(2020)_LNG_TRADE'!$A$5:$A$46=M$6))=0,0,SUMPRODUCT(('IGU(2020)_LNG_TRADE'!$C$3:$V$3=$A48)*('IGU(2020)_LNG_TRADE'!$A$5:$A$46=M$6)*'IGU(2020)_LNG_TRADE'!$C$5:$V$46)*10^6*Legend!$B$92*Legend!$B$82*Legend!$B$84*10^-3)</f>
        <v>0</v>
      </c>
      <c r="N48" s="209" cm="1">
        <f t="array" ref="N48">IF(SUMPRODUCT(('IGU(2020)_LNG_TRADE'!$C$3:$V$3=$A48)*('IGU(2020)_LNG_TRADE'!$A$5:$A$46=N$6))=0,0,SUMPRODUCT(('IGU(2020)_LNG_TRADE'!$C$3:$V$3=$A48)*('IGU(2020)_LNG_TRADE'!$A$5:$A$46=N$6)*'IGU(2020)_LNG_TRADE'!$C$5:$V$46)*10^6*Legend!$B$92*Legend!$B$82*Legend!$B$84*10^-3)</f>
        <v>0</v>
      </c>
      <c r="O48" s="209" cm="1">
        <f t="array" ref="O48">IF(SUMPRODUCT(('IGU(2020)_LNG_TRADE'!$C$3:$V$3=$A48)*('IGU(2020)_LNG_TRADE'!$A$5:$A$46=O$6))=0,0,SUMPRODUCT(('IGU(2020)_LNG_TRADE'!$C$3:$V$3=$A48)*('IGU(2020)_LNG_TRADE'!$A$5:$A$46=O$6)*'IGU(2020)_LNG_TRADE'!$C$5:$V$46)*10^6*Legend!$B$92*Legend!$B$82*Legend!$B$84*10^-3)</f>
        <v>0</v>
      </c>
      <c r="P48" s="209" cm="1">
        <f t="array" ref="P48">IF(SUMPRODUCT(('IGU(2020)_LNG_TRADE'!$C$3:$V$3=$A48)*('IGU(2020)_LNG_TRADE'!$A$5:$A$46=P$6))=0,0,SUMPRODUCT(('IGU(2020)_LNG_TRADE'!$C$3:$V$3=$A48)*('IGU(2020)_LNG_TRADE'!$A$5:$A$46=P$6)*'IGU(2020)_LNG_TRADE'!$C$5:$V$46)*10^6*Legend!$B$92*Legend!$B$82*Legend!$B$84*10^-3)</f>
        <v>0</v>
      </c>
      <c r="Q48" s="209" cm="1">
        <f t="array" ref="Q48">IF(SUMPRODUCT(('IGU(2020)_LNG_TRADE'!$C$3:$V$3=$A48)*('IGU(2020)_LNG_TRADE'!$A$5:$A$46=Q$6))=0,0,SUMPRODUCT(('IGU(2020)_LNG_TRADE'!$C$3:$V$3=$A48)*('IGU(2020)_LNG_TRADE'!$A$5:$A$46=Q$6)*'IGU(2020)_LNG_TRADE'!$C$5:$V$46)*10^6*Legend!$B$92*Legend!$B$82*Legend!$B$84*10^-3)</f>
        <v>0</v>
      </c>
      <c r="R48" s="209" cm="1">
        <f t="array" ref="R48">IF(SUMPRODUCT(('IGU(2020)_LNG_TRADE'!$C$3:$V$3=$A48)*('IGU(2020)_LNG_TRADE'!$A$5:$A$46=R$6))=0,0,SUMPRODUCT(('IGU(2020)_LNG_TRADE'!$C$3:$V$3=$A48)*('IGU(2020)_LNG_TRADE'!$A$5:$A$46=R$6)*'IGU(2020)_LNG_TRADE'!$C$5:$V$46)*10^6*Legend!$B$92*Legend!$B$82*Legend!$B$84*10^-3)</f>
        <v>0</v>
      </c>
      <c r="S48" s="209" cm="1">
        <f t="array" ref="S48">IF(SUMPRODUCT(('IGU(2020)_LNG_TRADE'!$C$3:$V$3=$A48)*('IGU(2020)_LNG_TRADE'!$A$5:$A$46=S$6))=0,0,SUMPRODUCT(('IGU(2020)_LNG_TRADE'!$C$3:$V$3=$A48)*('IGU(2020)_LNG_TRADE'!$A$5:$A$46=S$6)*'IGU(2020)_LNG_TRADE'!$C$5:$V$46)*10^6*Legend!$B$92*Legend!$B$82*Legend!$B$84*10^-3)</f>
        <v>0</v>
      </c>
      <c r="T48" s="209" cm="1">
        <f t="array" ref="T48">IF(SUMPRODUCT(('IGU(2020)_LNG_TRADE'!$C$3:$V$3=$A48)*('IGU(2020)_LNG_TRADE'!$A$5:$A$46=T$6))=0,0,SUMPRODUCT(('IGU(2020)_LNG_TRADE'!$C$3:$V$3=$A48)*('IGU(2020)_LNG_TRADE'!$A$5:$A$46=T$6)*'IGU(2020)_LNG_TRADE'!$C$5:$V$46)*10^6*Legend!$B$92*Legend!$B$82*Legend!$B$84*10^-3)</f>
        <v>0</v>
      </c>
      <c r="U48" s="209" cm="1">
        <f t="array" ref="U48">IF(SUMPRODUCT(('IGU(2020)_LNG_TRADE'!$C$3:$V$3=$A48)*('IGU(2020)_LNG_TRADE'!$A$5:$A$46=U$6))=0,0,SUMPRODUCT(('IGU(2020)_LNG_TRADE'!$C$3:$V$3=$A48)*('IGU(2020)_LNG_TRADE'!$A$5:$A$46=U$6)*'IGU(2020)_LNG_TRADE'!$C$5:$V$46)*10^6*Legend!$B$92*Legend!$B$82*Legend!$B$84*10^-3)</f>
        <v>0</v>
      </c>
      <c r="V48" s="209" cm="1">
        <f t="array" ref="V48">IF(SUMPRODUCT(('IGU(2020)_LNG_TRADE'!$C$3:$V$3=$A48)*('IGU(2020)_LNG_TRADE'!$A$5:$A$46=V$6))=0,0,SUMPRODUCT(('IGU(2020)_LNG_TRADE'!$C$3:$V$3=$A48)*('IGU(2020)_LNG_TRADE'!$A$5:$A$46=V$6)*'IGU(2020)_LNG_TRADE'!$C$5:$V$46)*10^6*Legend!$B$92*Legend!$B$82*Legend!$B$84*10^-3)</f>
        <v>0</v>
      </c>
      <c r="W48" s="209" cm="1">
        <f t="array" ref="W48">IF(SUMPRODUCT(('IGU(2020)_LNG_TRADE'!$C$3:$V$3=$A48)*('IGU(2020)_LNG_TRADE'!$A$5:$A$46=W$6))=0,0,SUMPRODUCT(('IGU(2020)_LNG_TRADE'!$C$3:$V$3=$A48)*('IGU(2020)_LNG_TRADE'!$A$5:$A$46=W$6)*'IGU(2020)_LNG_TRADE'!$C$5:$V$46)*10^6*Legend!$B$92*Legend!$B$82*Legend!$B$84*10^-3)</f>
        <v>0</v>
      </c>
      <c r="X48" s="209" cm="1">
        <f t="array" ref="X48">IF(SUMPRODUCT(('IGU(2020)_LNG_TRADE'!$C$3:$V$3=$A48)*('IGU(2020)_LNG_TRADE'!$A$5:$A$46=X$6))=0,0,SUMPRODUCT(('IGU(2020)_LNG_TRADE'!$C$3:$V$3=$A48)*('IGU(2020)_LNG_TRADE'!$A$5:$A$46=X$6)*'IGU(2020)_LNG_TRADE'!$C$5:$V$46)*10^6*Legend!$B$92*Legend!$B$82*Legend!$B$84*10^-3)</f>
        <v>0</v>
      </c>
      <c r="Y48" s="209" cm="1">
        <f t="array" ref="Y48">IF(SUMPRODUCT(('IGU(2020)_LNG_TRADE'!$C$3:$V$3=$A48)*('IGU(2020)_LNG_TRADE'!$A$5:$A$46=Y$6))=0,0,SUMPRODUCT(('IGU(2020)_LNG_TRADE'!$C$3:$V$3=$A48)*('IGU(2020)_LNG_TRADE'!$A$5:$A$46=Y$6)*'IGU(2020)_LNG_TRADE'!$C$5:$V$46)*10^6*Legend!$B$92*Legend!$B$82*Legend!$B$84*10^-3)</f>
        <v>0</v>
      </c>
      <c r="Z48" s="209" cm="1">
        <f t="array" ref="Z48">IF(SUMPRODUCT(('IGU(2020)_LNG_TRADE'!$C$3:$V$3=$A48)*('IGU(2020)_LNG_TRADE'!$A$5:$A$46=Z$6))=0,0,SUMPRODUCT(('IGU(2020)_LNG_TRADE'!$C$3:$V$3=$A48)*('IGU(2020)_LNG_TRADE'!$A$5:$A$46=Z$6)*'IGU(2020)_LNG_TRADE'!$C$5:$V$46)*10^6*Legend!$B$92*Legend!$B$82*Legend!$B$84*10^-3)</f>
        <v>0</v>
      </c>
      <c r="AA48" s="209" cm="1">
        <f t="array" ref="AA48">IF(SUMPRODUCT(('IGU(2020)_LNG_TRADE'!$C$3:$V$3=$A48)*('IGU(2020)_LNG_TRADE'!$A$5:$A$46=AA$6))=0,0,SUMPRODUCT(('IGU(2020)_LNG_TRADE'!$C$3:$V$3=$A48)*('IGU(2020)_LNG_TRADE'!$A$5:$A$46=AA$6)*'IGU(2020)_LNG_TRADE'!$C$5:$V$46)*10^6*Legend!$B$92*Legend!$B$82*Legend!$B$84*10^-3)</f>
        <v>0</v>
      </c>
      <c r="AB48" s="209" cm="1">
        <f t="array" ref="AB48">IF(SUMPRODUCT(('IGU(2020)_LNG_TRADE'!$C$3:$V$3=$A48)*('IGU(2020)_LNG_TRADE'!$A$5:$A$46=AB$6))=0,0,SUMPRODUCT(('IGU(2020)_LNG_TRADE'!$C$3:$V$3=$A48)*('IGU(2020)_LNG_TRADE'!$A$5:$A$46=AB$6)*'IGU(2020)_LNG_TRADE'!$C$5:$V$46)*10^6*Legend!$B$92*Legend!$B$82*Legend!$B$84*10^-3)</f>
        <v>0</v>
      </c>
      <c r="AC48" s="220" cm="1">
        <f t="array" ref="AC48">IF(SUMPRODUCT(('IGU(2020)_LNG_TRADE'!$C$3:$V$3=$A48)*('IGU(2020)_LNG_TRADE'!$A$5:$A$46=AC$6))=0,0,SUMPRODUCT(('IGU(2020)_LNG_TRADE'!$C$3:$V$3=$A48)*('IGU(2020)_LNG_TRADE'!$A$5:$A$46=AC$6)*'IGU(2020)_LNG_TRADE'!$C$5:$V$46)*10^6*Legend!$B$92*Legend!$B$82*Legend!$B$84*10^-3)</f>
        <v>0</v>
      </c>
    </row>
    <row r="49" spans="1:29">
      <c r="A49" s="215" t="s">
        <v>196</v>
      </c>
      <c r="B49" s="209" cm="1">
        <f t="array" ref="B49">IF(SUMPRODUCT(('IGU(2020)_LNG_TRADE'!$C$3:$V$3=$A49)*('IGU(2020)_LNG_TRADE'!$A$5:$A$46=B$6))=0,0,SUMPRODUCT(('IGU(2020)_LNG_TRADE'!$C$3:$V$3=$A49)*('IGU(2020)_LNG_TRADE'!$A$5:$A$46=B$6)*'IGU(2020)_LNG_TRADE'!$C$5:$V$46)*10^6*Legend!$B$92*Legend!$B$82*Legend!$B$84*10^-3)</f>
        <v>0</v>
      </c>
      <c r="C49" s="209" cm="1">
        <f t="array" ref="C49">IF(SUMPRODUCT(('IGU(2020)_LNG_TRADE'!$C$3:$V$3=$A49)*('IGU(2020)_LNG_TRADE'!$A$5:$A$46=C$6))=0,0,SUMPRODUCT(('IGU(2020)_LNG_TRADE'!$C$3:$V$3=$A49)*('IGU(2020)_LNG_TRADE'!$A$5:$A$46=C$6)*'IGU(2020)_LNG_TRADE'!$C$5:$V$46)*10^6*Legend!$B$92*Legend!$B$82*Legend!$B$84*10^-3)</f>
        <v>0</v>
      </c>
      <c r="D49" s="209" cm="1">
        <f t="array" ref="D49">IF(SUMPRODUCT(('IGU(2020)_LNG_TRADE'!$C$3:$V$3=$A49)*('IGU(2020)_LNG_TRADE'!$A$5:$A$46=D$6))=0,0,SUMPRODUCT(('IGU(2020)_LNG_TRADE'!$C$3:$V$3=$A49)*('IGU(2020)_LNG_TRADE'!$A$5:$A$46=D$6)*'IGU(2020)_LNG_TRADE'!$C$5:$V$46)*10^6*Legend!$B$92*Legend!$B$82*Legend!$B$84*10^-3)</f>
        <v>0</v>
      </c>
      <c r="E49" s="209" cm="1">
        <f t="array" ref="E49">IF(SUMPRODUCT(('IGU(2020)_LNG_TRADE'!$C$3:$V$3=$A49)*('IGU(2020)_LNG_TRADE'!$A$5:$A$46=E$6))=0,0,SUMPRODUCT(('IGU(2020)_LNG_TRADE'!$C$3:$V$3=$A49)*('IGU(2020)_LNG_TRADE'!$A$5:$A$46=E$6)*'IGU(2020)_LNG_TRADE'!$C$5:$V$46)*10^6*Legend!$B$92*Legend!$B$82*Legend!$B$84*10^-3)</f>
        <v>0</v>
      </c>
      <c r="F49" s="209" cm="1">
        <f t="array" ref="F49">IF(SUMPRODUCT(('IGU(2020)_LNG_TRADE'!$C$3:$V$3=$A49)*('IGU(2020)_LNG_TRADE'!$A$5:$A$46=F$6))=0,0,SUMPRODUCT(('IGU(2020)_LNG_TRADE'!$C$3:$V$3=$A49)*('IGU(2020)_LNG_TRADE'!$A$5:$A$46=F$6)*'IGU(2020)_LNG_TRADE'!$C$5:$V$46)*10^6*Legend!$B$92*Legend!$B$82*Legend!$B$84*10^-3)</f>
        <v>0</v>
      </c>
      <c r="G49" s="209" cm="1">
        <f t="array" ref="G49">IF(SUMPRODUCT(('IGU(2020)_LNG_TRADE'!$C$3:$V$3=$A49)*('IGU(2020)_LNG_TRADE'!$A$5:$A$46=G$6))=0,0,SUMPRODUCT(('IGU(2020)_LNG_TRADE'!$C$3:$V$3=$A49)*('IGU(2020)_LNG_TRADE'!$A$5:$A$46=G$6)*'IGU(2020)_LNG_TRADE'!$C$5:$V$46)*10^6*Legend!$B$92*Legend!$B$82*Legend!$B$84*10^-3)</f>
        <v>0</v>
      </c>
      <c r="H49" s="209" cm="1">
        <f t="array" ref="H49">IF(SUMPRODUCT(('IGU(2020)_LNG_TRADE'!$C$3:$V$3=$A49)*('IGU(2020)_LNG_TRADE'!$A$5:$A$46=H$6))=0,0,SUMPRODUCT(('IGU(2020)_LNG_TRADE'!$C$3:$V$3=$A49)*('IGU(2020)_LNG_TRADE'!$A$5:$A$46=H$6)*'IGU(2020)_LNG_TRADE'!$C$5:$V$46)*10^6*Legend!$B$92*Legend!$B$82*Legend!$B$84*10^-3)</f>
        <v>0</v>
      </c>
      <c r="I49" s="209" cm="1">
        <f t="array" ref="I49">IF(SUMPRODUCT(('IGU(2020)_LNG_TRADE'!$C$3:$V$3=$A49)*('IGU(2020)_LNG_TRADE'!$A$5:$A$46=I$6))=0,0,SUMPRODUCT(('IGU(2020)_LNG_TRADE'!$C$3:$V$3=$A49)*('IGU(2020)_LNG_TRADE'!$A$5:$A$46=I$6)*'IGU(2020)_LNG_TRADE'!$C$5:$V$46)*10^6*Legend!$B$92*Legend!$B$82*Legend!$B$84*10^-3)</f>
        <v>0</v>
      </c>
      <c r="J49" s="209" cm="1">
        <f t="array" ref="J49">IF(SUMPRODUCT(('IGU(2020)_LNG_TRADE'!$C$3:$V$3=$A49)*('IGU(2020)_LNG_TRADE'!$A$5:$A$46=J$6))=0,0,SUMPRODUCT(('IGU(2020)_LNG_TRADE'!$C$3:$V$3=$A49)*('IGU(2020)_LNG_TRADE'!$A$5:$A$46=J$6)*'IGU(2020)_LNG_TRADE'!$C$5:$V$46)*10^6*Legend!$B$92*Legend!$B$82*Legend!$B$84*10^-3)</f>
        <v>0</v>
      </c>
      <c r="K49" s="209" cm="1">
        <f t="array" ref="K49">IF(SUMPRODUCT(('IGU(2020)_LNG_TRADE'!$C$3:$V$3=$A49)*('IGU(2020)_LNG_TRADE'!$A$5:$A$46=K$6))=0,0,SUMPRODUCT(('IGU(2020)_LNG_TRADE'!$C$3:$V$3=$A49)*('IGU(2020)_LNG_TRADE'!$A$5:$A$46=K$6)*'IGU(2020)_LNG_TRADE'!$C$5:$V$46)*10^6*Legend!$B$92*Legend!$B$82*Legend!$B$84*10^-3)</f>
        <v>0</v>
      </c>
      <c r="L49" s="209" cm="1">
        <f t="array" ref="L49">IF(SUMPRODUCT(('IGU(2020)_LNG_TRADE'!$C$3:$V$3=$A49)*('IGU(2020)_LNG_TRADE'!$A$5:$A$46=L$6))=0,0,SUMPRODUCT(('IGU(2020)_LNG_TRADE'!$C$3:$V$3=$A49)*('IGU(2020)_LNG_TRADE'!$A$5:$A$46=L$6)*'IGU(2020)_LNG_TRADE'!$C$5:$V$46)*10^6*Legend!$B$92*Legend!$B$82*Legend!$B$84*10^-3)</f>
        <v>0</v>
      </c>
      <c r="M49" s="209" cm="1">
        <f t="array" ref="M49">IF(SUMPRODUCT(('IGU(2020)_LNG_TRADE'!$C$3:$V$3=$A49)*('IGU(2020)_LNG_TRADE'!$A$5:$A$46=M$6))=0,0,SUMPRODUCT(('IGU(2020)_LNG_TRADE'!$C$3:$V$3=$A49)*('IGU(2020)_LNG_TRADE'!$A$5:$A$46=M$6)*'IGU(2020)_LNG_TRADE'!$C$5:$V$46)*10^6*Legend!$B$92*Legend!$B$82*Legend!$B$84*10^-3)</f>
        <v>0</v>
      </c>
      <c r="N49" s="209" cm="1">
        <f t="array" ref="N49">IF(SUMPRODUCT(('IGU(2020)_LNG_TRADE'!$C$3:$V$3=$A49)*('IGU(2020)_LNG_TRADE'!$A$5:$A$46=N$6))=0,0,SUMPRODUCT(('IGU(2020)_LNG_TRADE'!$C$3:$V$3=$A49)*('IGU(2020)_LNG_TRADE'!$A$5:$A$46=N$6)*'IGU(2020)_LNG_TRADE'!$C$5:$V$46)*10^6*Legend!$B$92*Legend!$B$82*Legend!$B$84*10^-3)</f>
        <v>0</v>
      </c>
      <c r="O49" s="209" cm="1">
        <f t="array" ref="O49">IF(SUMPRODUCT(('IGU(2020)_LNG_TRADE'!$C$3:$V$3=$A49)*('IGU(2020)_LNG_TRADE'!$A$5:$A$46=O$6))=0,0,SUMPRODUCT(('IGU(2020)_LNG_TRADE'!$C$3:$V$3=$A49)*('IGU(2020)_LNG_TRADE'!$A$5:$A$46=O$6)*'IGU(2020)_LNG_TRADE'!$C$5:$V$46)*10^6*Legend!$B$92*Legend!$B$82*Legend!$B$84*10^-3)</f>
        <v>0</v>
      </c>
      <c r="P49" s="209" cm="1">
        <f t="array" ref="P49">IF(SUMPRODUCT(('IGU(2020)_LNG_TRADE'!$C$3:$V$3=$A49)*('IGU(2020)_LNG_TRADE'!$A$5:$A$46=P$6))=0,0,SUMPRODUCT(('IGU(2020)_LNG_TRADE'!$C$3:$V$3=$A49)*('IGU(2020)_LNG_TRADE'!$A$5:$A$46=P$6)*'IGU(2020)_LNG_TRADE'!$C$5:$V$46)*10^6*Legend!$B$92*Legend!$B$82*Legend!$B$84*10^-3)</f>
        <v>0</v>
      </c>
      <c r="Q49" s="209" cm="1">
        <f t="array" ref="Q49">IF(SUMPRODUCT(('IGU(2020)_LNG_TRADE'!$C$3:$V$3=$A49)*('IGU(2020)_LNG_TRADE'!$A$5:$A$46=Q$6))=0,0,SUMPRODUCT(('IGU(2020)_LNG_TRADE'!$C$3:$V$3=$A49)*('IGU(2020)_LNG_TRADE'!$A$5:$A$46=Q$6)*'IGU(2020)_LNG_TRADE'!$C$5:$V$46)*10^6*Legend!$B$92*Legend!$B$82*Legend!$B$84*10^-3)</f>
        <v>0</v>
      </c>
      <c r="R49" s="209" cm="1">
        <f t="array" ref="R49">IF(SUMPRODUCT(('IGU(2020)_LNG_TRADE'!$C$3:$V$3=$A49)*('IGU(2020)_LNG_TRADE'!$A$5:$A$46=R$6))=0,0,SUMPRODUCT(('IGU(2020)_LNG_TRADE'!$C$3:$V$3=$A49)*('IGU(2020)_LNG_TRADE'!$A$5:$A$46=R$6)*'IGU(2020)_LNG_TRADE'!$C$5:$V$46)*10^6*Legend!$B$92*Legend!$B$82*Legend!$B$84*10^-3)</f>
        <v>0</v>
      </c>
      <c r="S49" s="209" cm="1">
        <f t="array" ref="S49">IF(SUMPRODUCT(('IGU(2020)_LNG_TRADE'!$C$3:$V$3=$A49)*('IGU(2020)_LNG_TRADE'!$A$5:$A$46=S$6))=0,0,SUMPRODUCT(('IGU(2020)_LNG_TRADE'!$C$3:$V$3=$A49)*('IGU(2020)_LNG_TRADE'!$A$5:$A$46=S$6)*'IGU(2020)_LNG_TRADE'!$C$5:$V$46)*10^6*Legend!$B$92*Legend!$B$82*Legend!$B$84*10^-3)</f>
        <v>0</v>
      </c>
      <c r="T49" s="209" cm="1">
        <f t="array" ref="T49">IF(SUMPRODUCT(('IGU(2020)_LNG_TRADE'!$C$3:$V$3=$A49)*('IGU(2020)_LNG_TRADE'!$A$5:$A$46=T$6))=0,0,SUMPRODUCT(('IGU(2020)_LNG_TRADE'!$C$3:$V$3=$A49)*('IGU(2020)_LNG_TRADE'!$A$5:$A$46=T$6)*'IGU(2020)_LNG_TRADE'!$C$5:$V$46)*10^6*Legend!$B$92*Legend!$B$82*Legend!$B$84*10^-3)</f>
        <v>0</v>
      </c>
      <c r="U49" s="209" cm="1">
        <f t="array" ref="U49">IF(SUMPRODUCT(('IGU(2020)_LNG_TRADE'!$C$3:$V$3=$A49)*('IGU(2020)_LNG_TRADE'!$A$5:$A$46=U$6))=0,0,SUMPRODUCT(('IGU(2020)_LNG_TRADE'!$C$3:$V$3=$A49)*('IGU(2020)_LNG_TRADE'!$A$5:$A$46=U$6)*'IGU(2020)_LNG_TRADE'!$C$5:$V$46)*10^6*Legend!$B$92*Legend!$B$82*Legend!$B$84*10^-3)</f>
        <v>0</v>
      </c>
      <c r="V49" s="209" cm="1">
        <f t="array" ref="V49">IF(SUMPRODUCT(('IGU(2020)_LNG_TRADE'!$C$3:$V$3=$A49)*('IGU(2020)_LNG_TRADE'!$A$5:$A$46=V$6))=0,0,SUMPRODUCT(('IGU(2020)_LNG_TRADE'!$C$3:$V$3=$A49)*('IGU(2020)_LNG_TRADE'!$A$5:$A$46=V$6)*'IGU(2020)_LNG_TRADE'!$C$5:$V$46)*10^6*Legend!$B$92*Legend!$B$82*Legend!$B$84*10^-3)</f>
        <v>0</v>
      </c>
      <c r="W49" s="209" cm="1">
        <f t="array" ref="W49">IF(SUMPRODUCT(('IGU(2020)_LNG_TRADE'!$C$3:$V$3=$A49)*('IGU(2020)_LNG_TRADE'!$A$5:$A$46=W$6))=0,0,SUMPRODUCT(('IGU(2020)_LNG_TRADE'!$C$3:$V$3=$A49)*('IGU(2020)_LNG_TRADE'!$A$5:$A$46=W$6)*'IGU(2020)_LNG_TRADE'!$C$5:$V$46)*10^6*Legend!$B$92*Legend!$B$82*Legend!$B$84*10^-3)</f>
        <v>0</v>
      </c>
      <c r="X49" s="209" cm="1">
        <f t="array" ref="X49">IF(SUMPRODUCT(('IGU(2020)_LNG_TRADE'!$C$3:$V$3=$A49)*('IGU(2020)_LNG_TRADE'!$A$5:$A$46=X$6))=0,0,SUMPRODUCT(('IGU(2020)_LNG_TRADE'!$C$3:$V$3=$A49)*('IGU(2020)_LNG_TRADE'!$A$5:$A$46=X$6)*'IGU(2020)_LNG_TRADE'!$C$5:$V$46)*10^6*Legend!$B$92*Legend!$B$82*Legend!$B$84*10^-3)</f>
        <v>0</v>
      </c>
      <c r="Y49" s="209" cm="1">
        <f t="array" ref="Y49">IF(SUMPRODUCT(('IGU(2020)_LNG_TRADE'!$C$3:$V$3=$A49)*('IGU(2020)_LNG_TRADE'!$A$5:$A$46=Y$6))=0,0,SUMPRODUCT(('IGU(2020)_LNG_TRADE'!$C$3:$V$3=$A49)*('IGU(2020)_LNG_TRADE'!$A$5:$A$46=Y$6)*'IGU(2020)_LNG_TRADE'!$C$5:$V$46)*10^6*Legend!$B$92*Legend!$B$82*Legend!$B$84*10^-3)</f>
        <v>0</v>
      </c>
      <c r="Z49" s="209" cm="1">
        <f t="array" ref="Z49">IF(SUMPRODUCT(('IGU(2020)_LNG_TRADE'!$C$3:$V$3=$A49)*('IGU(2020)_LNG_TRADE'!$A$5:$A$46=Z$6))=0,0,SUMPRODUCT(('IGU(2020)_LNG_TRADE'!$C$3:$V$3=$A49)*('IGU(2020)_LNG_TRADE'!$A$5:$A$46=Z$6)*'IGU(2020)_LNG_TRADE'!$C$5:$V$46)*10^6*Legend!$B$92*Legend!$B$82*Legend!$B$84*10^-3)</f>
        <v>0</v>
      </c>
      <c r="AA49" s="209" cm="1">
        <f t="array" ref="AA49">IF(SUMPRODUCT(('IGU(2020)_LNG_TRADE'!$C$3:$V$3=$A49)*('IGU(2020)_LNG_TRADE'!$A$5:$A$46=AA$6))=0,0,SUMPRODUCT(('IGU(2020)_LNG_TRADE'!$C$3:$V$3=$A49)*('IGU(2020)_LNG_TRADE'!$A$5:$A$46=AA$6)*'IGU(2020)_LNG_TRADE'!$C$5:$V$46)*10^6*Legend!$B$92*Legend!$B$82*Legend!$B$84*10^-3)</f>
        <v>0</v>
      </c>
      <c r="AB49" s="209" cm="1">
        <f t="array" ref="AB49">IF(SUMPRODUCT(('IGU(2020)_LNG_TRADE'!$C$3:$V$3=$A49)*('IGU(2020)_LNG_TRADE'!$A$5:$A$46=AB$6))=0,0,SUMPRODUCT(('IGU(2020)_LNG_TRADE'!$C$3:$V$3=$A49)*('IGU(2020)_LNG_TRADE'!$A$5:$A$46=AB$6)*'IGU(2020)_LNG_TRADE'!$C$5:$V$46)*10^6*Legend!$B$92*Legend!$B$82*Legend!$B$84*10^-3)</f>
        <v>0</v>
      </c>
      <c r="AC49" s="220" cm="1">
        <f t="array" ref="AC49">IF(SUMPRODUCT(('IGU(2020)_LNG_TRADE'!$C$3:$V$3=$A49)*('IGU(2020)_LNG_TRADE'!$A$5:$A$46=AC$6))=0,0,SUMPRODUCT(('IGU(2020)_LNG_TRADE'!$C$3:$V$3=$A49)*('IGU(2020)_LNG_TRADE'!$A$5:$A$46=AC$6)*'IGU(2020)_LNG_TRADE'!$C$5:$V$46)*10^6*Legend!$B$92*Legend!$B$82*Legend!$B$84*10^-3)</f>
        <v>0</v>
      </c>
    </row>
    <row r="50" spans="1:29">
      <c r="A50" s="215" t="s">
        <v>198</v>
      </c>
      <c r="B50" s="209" cm="1">
        <f t="array" ref="B50">IF(SUMPRODUCT(('IGU(2020)_LNG_TRADE'!$C$3:$V$3=$A50)*('IGU(2020)_LNG_TRADE'!$A$5:$A$46=B$6))=0,0,SUMPRODUCT(('IGU(2020)_LNG_TRADE'!$C$3:$V$3=$A50)*('IGU(2020)_LNG_TRADE'!$A$5:$A$46=B$6)*'IGU(2020)_LNG_TRADE'!$C$5:$V$46)*10^6*Legend!$B$92*Legend!$B$82*Legend!$B$84*10^-3)</f>
        <v>0</v>
      </c>
      <c r="C50" s="209" cm="1">
        <f t="array" ref="C50">IF(SUMPRODUCT(('IGU(2020)_LNG_TRADE'!$C$3:$V$3=$A50)*('IGU(2020)_LNG_TRADE'!$A$5:$A$46=C$6))=0,0,SUMPRODUCT(('IGU(2020)_LNG_TRADE'!$C$3:$V$3=$A50)*('IGU(2020)_LNG_TRADE'!$A$5:$A$46=C$6)*'IGU(2020)_LNG_TRADE'!$C$5:$V$46)*10^6*Legend!$B$92*Legend!$B$82*Legend!$B$84*10^-3)</f>
        <v>0</v>
      </c>
      <c r="D50" s="209" cm="1">
        <f t="array" ref="D50">IF(SUMPRODUCT(('IGU(2020)_LNG_TRADE'!$C$3:$V$3=$A50)*('IGU(2020)_LNG_TRADE'!$A$5:$A$46=D$6))=0,0,SUMPRODUCT(('IGU(2020)_LNG_TRADE'!$C$3:$V$3=$A50)*('IGU(2020)_LNG_TRADE'!$A$5:$A$46=D$6)*'IGU(2020)_LNG_TRADE'!$C$5:$V$46)*10^6*Legend!$B$92*Legend!$B$82*Legend!$B$84*10^-3)</f>
        <v>0</v>
      </c>
      <c r="E50" s="209" cm="1">
        <f t="array" ref="E50">IF(SUMPRODUCT(('IGU(2020)_LNG_TRADE'!$C$3:$V$3=$A50)*('IGU(2020)_LNG_TRADE'!$A$5:$A$46=E$6))=0,0,SUMPRODUCT(('IGU(2020)_LNG_TRADE'!$C$3:$V$3=$A50)*('IGU(2020)_LNG_TRADE'!$A$5:$A$46=E$6)*'IGU(2020)_LNG_TRADE'!$C$5:$V$46)*10^6*Legend!$B$92*Legend!$B$82*Legend!$B$84*10^-3)</f>
        <v>0</v>
      </c>
      <c r="F50" s="209" cm="1">
        <f t="array" ref="F50">IF(SUMPRODUCT(('IGU(2020)_LNG_TRADE'!$C$3:$V$3=$A50)*('IGU(2020)_LNG_TRADE'!$A$5:$A$46=F$6))=0,0,SUMPRODUCT(('IGU(2020)_LNG_TRADE'!$C$3:$V$3=$A50)*('IGU(2020)_LNG_TRADE'!$A$5:$A$46=F$6)*'IGU(2020)_LNG_TRADE'!$C$5:$V$46)*10^6*Legend!$B$92*Legend!$B$82*Legend!$B$84*10^-3)</f>
        <v>0</v>
      </c>
      <c r="G50" s="209" cm="1">
        <f t="array" ref="G50">IF(SUMPRODUCT(('IGU(2020)_LNG_TRADE'!$C$3:$V$3=$A50)*('IGU(2020)_LNG_TRADE'!$A$5:$A$46=G$6))=0,0,SUMPRODUCT(('IGU(2020)_LNG_TRADE'!$C$3:$V$3=$A50)*('IGU(2020)_LNG_TRADE'!$A$5:$A$46=G$6)*'IGU(2020)_LNG_TRADE'!$C$5:$V$46)*10^6*Legend!$B$92*Legend!$B$82*Legend!$B$84*10^-3)</f>
        <v>0</v>
      </c>
      <c r="H50" s="209" cm="1">
        <f t="array" ref="H50">IF(SUMPRODUCT(('IGU(2020)_LNG_TRADE'!$C$3:$V$3=$A50)*('IGU(2020)_LNG_TRADE'!$A$5:$A$46=H$6))=0,0,SUMPRODUCT(('IGU(2020)_LNG_TRADE'!$C$3:$V$3=$A50)*('IGU(2020)_LNG_TRADE'!$A$5:$A$46=H$6)*'IGU(2020)_LNG_TRADE'!$C$5:$V$46)*10^6*Legend!$B$92*Legend!$B$82*Legend!$B$84*10^-3)</f>
        <v>0</v>
      </c>
      <c r="I50" s="209" cm="1">
        <f t="array" ref="I50">IF(SUMPRODUCT(('IGU(2020)_LNG_TRADE'!$C$3:$V$3=$A50)*('IGU(2020)_LNG_TRADE'!$A$5:$A$46=I$6))=0,0,SUMPRODUCT(('IGU(2020)_LNG_TRADE'!$C$3:$V$3=$A50)*('IGU(2020)_LNG_TRADE'!$A$5:$A$46=I$6)*'IGU(2020)_LNG_TRADE'!$C$5:$V$46)*10^6*Legend!$B$92*Legend!$B$82*Legend!$B$84*10^-3)</f>
        <v>0</v>
      </c>
      <c r="J50" s="209" cm="1">
        <f t="array" ref="J50">IF(SUMPRODUCT(('IGU(2020)_LNG_TRADE'!$C$3:$V$3=$A50)*('IGU(2020)_LNG_TRADE'!$A$5:$A$46=J$6))=0,0,SUMPRODUCT(('IGU(2020)_LNG_TRADE'!$C$3:$V$3=$A50)*('IGU(2020)_LNG_TRADE'!$A$5:$A$46=J$6)*'IGU(2020)_LNG_TRADE'!$C$5:$V$46)*10^6*Legend!$B$92*Legend!$B$82*Legend!$B$84*10^-3)</f>
        <v>0</v>
      </c>
      <c r="K50" s="209" cm="1">
        <f t="array" ref="K50">IF(SUMPRODUCT(('IGU(2020)_LNG_TRADE'!$C$3:$V$3=$A50)*('IGU(2020)_LNG_TRADE'!$A$5:$A$46=K$6))=0,0,SUMPRODUCT(('IGU(2020)_LNG_TRADE'!$C$3:$V$3=$A50)*('IGU(2020)_LNG_TRADE'!$A$5:$A$46=K$6)*'IGU(2020)_LNG_TRADE'!$C$5:$V$46)*10^6*Legend!$B$92*Legend!$B$82*Legend!$B$84*10^-3)</f>
        <v>0</v>
      </c>
      <c r="L50" s="209" cm="1">
        <f t="array" ref="L50">IF(SUMPRODUCT(('IGU(2020)_LNG_TRADE'!$C$3:$V$3=$A50)*('IGU(2020)_LNG_TRADE'!$A$5:$A$46=L$6))=0,0,SUMPRODUCT(('IGU(2020)_LNG_TRADE'!$C$3:$V$3=$A50)*('IGU(2020)_LNG_TRADE'!$A$5:$A$46=L$6)*'IGU(2020)_LNG_TRADE'!$C$5:$V$46)*10^6*Legend!$B$92*Legend!$B$82*Legend!$B$84*10^-3)</f>
        <v>0</v>
      </c>
      <c r="M50" s="209" cm="1">
        <f t="array" ref="M50">IF(SUMPRODUCT(('IGU(2020)_LNG_TRADE'!$C$3:$V$3=$A50)*('IGU(2020)_LNG_TRADE'!$A$5:$A$46=M$6))=0,0,SUMPRODUCT(('IGU(2020)_LNG_TRADE'!$C$3:$V$3=$A50)*('IGU(2020)_LNG_TRADE'!$A$5:$A$46=M$6)*'IGU(2020)_LNG_TRADE'!$C$5:$V$46)*10^6*Legend!$B$92*Legend!$B$82*Legend!$B$84*10^-3)</f>
        <v>0</v>
      </c>
      <c r="N50" s="209" cm="1">
        <f t="array" ref="N50">IF(SUMPRODUCT(('IGU(2020)_LNG_TRADE'!$C$3:$V$3=$A50)*('IGU(2020)_LNG_TRADE'!$A$5:$A$46=N$6))=0,0,SUMPRODUCT(('IGU(2020)_LNG_TRADE'!$C$3:$V$3=$A50)*('IGU(2020)_LNG_TRADE'!$A$5:$A$46=N$6)*'IGU(2020)_LNG_TRADE'!$C$5:$V$46)*10^6*Legend!$B$92*Legend!$B$82*Legend!$B$84*10^-3)</f>
        <v>0</v>
      </c>
      <c r="O50" s="209" cm="1">
        <f t="array" ref="O50">IF(SUMPRODUCT(('IGU(2020)_LNG_TRADE'!$C$3:$V$3=$A50)*('IGU(2020)_LNG_TRADE'!$A$5:$A$46=O$6))=0,0,SUMPRODUCT(('IGU(2020)_LNG_TRADE'!$C$3:$V$3=$A50)*('IGU(2020)_LNG_TRADE'!$A$5:$A$46=O$6)*'IGU(2020)_LNG_TRADE'!$C$5:$V$46)*10^6*Legend!$B$92*Legend!$B$82*Legend!$B$84*10^-3)</f>
        <v>0</v>
      </c>
      <c r="P50" s="209" cm="1">
        <f t="array" ref="P50">IF(SUMPRODUCT(('IGU(2020)_LNG_TRADE'!$C$3:$V$3=$A50)*('IGU(2020)_LNG_TRADE'!$A$5:$A$46=P$6))=0,0,SUMPRODUCT(('IGU(2020)_LNG_TRADE'!$C$3:$V$3=$A50)*('IGU(2020)_LNG_TRADE'!$A$5:$A$46=P$6)*'IGU(2020)_LNG_TRADE'!$C$5:$V$46)*10^6*Legend!$B$92*Legend!$B$82*Legend!$B$84*10^-3)</f>
        <v>0</v>
      </c>
      <c r="Q50" s="209" cm="1">
        <f t="array" ref="Q50">IF(SUMPRODUCT(('IGU(2020)_LNG_TRADE'!$C$3:$V$3=$A50)*('IGU(2020)_LNG_TRADE'!$A$5:$A$46=Q$6))=0,0,SUMPRODUCT(('IGU(2020)_LNG_TRADE'!$C$3:$V$3=$A50)*('IGU(2020)_LNG_TRADE'!$A$5:$A$46=Q$6)*'IGU(2020)_LNG_TRADE'!$C$5:$V$46)*10^6*Legend!$B$92*Legend!$B$82*Legend!$B$84*10^-3)</f>
        <v>0</v>
      </c>
      <c r="R50" s="209" cm="1">
        <f t="array" ref="R50">IF(SUMPRODUCT(('IGU(2020)_LNG_TRADE'!$C$3:$V$3=$A50)*('IGU(2020)_LNG_TRADE'!$A$5:$A$46=R$6))=0,0,SUMPRODUCT(('IGU(2020)_LNG_TRADE'!$C$3:$V$3=$A50)*('IGU(2020)_LNG_TRADE'!$A$5:$A$46=R$6)*'IGU(2020)_LNG_TRADE'!$C$5:$V$46)*10^6*Legend!$B$92*Legend!$B$82*Legend!$B$84*10^-3)</f>
        <v>0</v>
      </c>
      <c r="S50" s="209" cm="1">
        <f t="array" ref="S50">IF(SUMPRODUCT(('IGU(2020)_LNG_TRADE'!$C$3:$V$3=$A50)*('IGU(2020)_LNG_TRADE'!$A$5:$A$46=S$6))=0,0,SUMPRODUCT(('IGU(2020)_LNG_TRADE'!$C$3:$V$3=$A50)*('IGU(2020)_LNG_TRADE'!$A$5:$A$46=S$6)*'IGU(2020)_LNG_TRADE'!$C$5:$V$46)*10^6*Legend!$B$92*Legend!$B$82*Legend!$B$84*10^-3)</f>
        <v>0</v>
      </c>
      <c r="T50" s="209" cm="1">
        <f t="array" ref="T50">IF(SUMPRODUCT(('IGU(2020)_LNG_TRADE'!$C$3:$V$3=$A50)*('IGU(2020)_LNG_TRADE'!$A$5:$A$46=T$6))=0,0,SUMPRODUCT(('IGU(2020)_LNG_TRADE'!$C$3:$V$3=$A50)*('IGU(2020)_LNG_TRADE'!$A$5:$A$46=T$6)*'IGU(2020)_LNG_TRADE'!$C$5:$V$46)*10^6*Legend!$B$92*Legend!$B$82*Legend!$B$84*10^-3)</f>
        <v>0</v>
      </c>
      <c r="U50" s="209" cm="1">
        <f t="array" ref="U50">IF(SUMPRODUCT(('IGU(2020)_LNG_TRADE'!$C$3:$V$3=$A50)*('IGU(2020)_LNG_TRADE'!$A$5:$A$46=U$6))=0,0,SUMPRODUCT(('IGU(2020)_LNG_TRADE'!$C$3:$V$3=$A50)*('IGU(2020)_LNG_TRADE'!$A$5:$A$46=U$6)*'IGU(2020)_LNG_TRADE'!$C$5:$V$46)*10^6*Legend!$B$92*Legend!$B$82*Legend!$B$84*10^-3)</f>
        <v>0</v>
      </c>
      <c r="V50" s="209" cm="1">
        <f t="array" ref="V50">IF(SUMPRODUCT(('IGU(2020)_LNG_TRADE'!$C$3:$V$3=$A50)*('IGU(2020)_LNG_TRADE'!$A$5:$A$46=V$6))=0,0,SUMPRODUCT(('IGU(2020)_LNG_TRADE'!$C$3:$V$3=$A50)*('IGU(2020)_LNG_TRADE'!$A$5:$A$46=V$6)*'IGU(2020)_LNG_TRADE'!$C$5:$V$46)*10^6*Legend!$B$92*Legend!$B$82*Legend!$B$84*10^-3)</f>
        <v>0</v>
      </c>
      <c r="W50" s="209" cm="1">
        <f t="array" ref="W50">IF(SUMPRODUCT(('IGU(2020)_LNG_TRADE'!$C$3:$V$3=$A50)*('IGU(2020)_LNG_TRADE'!$A$5:$A$46=W$6))=0,0,SUMPRODUCT(('IGU(2020)_LNG_TRADE'!$C$3:$V$3=$A50)*('IGU(2020)_LNG_TRADE'!$A$5:$A$46=W$6)*'IGU(2020)_LNG_TRADE'!$C$5:$V$46)*10^6*Legend!$B$92*Legend!$B$82*Legend!$B$84*10^-3)</f>
        <v>0</v>
      </c>
      <c r="X50" s="209" cm="1">
        <f t="array" ref="X50">IF(SUMPRODUCT(('IGU(2020)_LNG_TRADE'!$C$3:$V$3=$A50)*('IGU(2020)_LNG_TRADE'!$A$5:$A$46=X$6))=0,0,SUMPRODUCT(('IGU(2020)_LNG_TRADE'!$C$3:$V$3=$A50)*('IGU(2020)_LNG_TRADE'!$A$5:$A$46=X$6)*'IGU(2020)_LNG_TRADE'!$C$5:$V$46)*10^6*Legend!$B$92*Legend!$B$82*Legend!$B$84*10^-3)</f>
        <v>0</v>
      </c>
      <c r="Y50" s="209" cm="1">
        <f t="array" ref="Y50">IF(SUMPRODUCT(('IGU(2020)_LNG_TRADE'!$C$3:$V$3=$A50)*('IGU(2020)_LNG_TRADE'!$A$5:$A$46=Y$6))=0,0,SUMPRODUCT(('IGU(2020)_LNG_TRADE'!$C$3:$V$3=$A50)*('IGU(2020)_LNG_TRADE'!$A$5:$A$46=Y$6)*'IGU(2020)_LNG_TRADE'!$C$5:$V$46)*10^6*Legend!$B$92*Legend!$B$82*Legend!$B$84*10^-3)</f>
        <v>0</v>
      </c>
      <c r="Z50" s="209" cm="1">
        <f t="array" ref="Z50">IF(SUMPRODUCT(('IGU(2020)_LNG_TRADE'!$C$3:$V$3=$A50)*('IGU(2020)_LNG_TRADE'!$A$5:$A$46=Z$6))=0,0,SUMPRODUCT(('IGU(2020)_LNG_TRADE'!$C$3:$V$3=$A50)*('IGU(2020)_LNG_TRADE'!$A$5:$A$46=Z$6)*'IGU(2020)_LNG_TRADE'!$C$5:$V$46)*10^6*Legend!$B$92*Legend!$B$82*Legend!$B$84*10^-3)</f>
        <v>0</v>
      </c>
      <c r="AA50" s="209" cm="1">
        <f t="array" ref="AA50">IF(SUMPRODUCT(('IGU(2020)_LNG_TRADE'!$C$3:$V$3=$A50)*('IGU(2020)_LNG_TRADE'!$A$5:$A$46=AA$6))=0,0,SUMPRODUCT(('IGU(2020)_LNG_TRADE'!$C$3:$V$3=$A50)*('IGU(2020)_LNG_TRADE'!$A$5:$A$46=AA$6)*'IGU(2020)_LNG_TRADE'!$C$5:$V$46)*10^6*Legend!$B$92*Legend!$B$82*Legend!$B$84*10^-3)</f>
        <v>0</v>
      </c>
      <c r="AB50" s="209" cm="1">
        <f t="array" ref="AB50">IF(SUMPRODUCT(('IGU(2020)_LNG_TRADE'!$C$3:$V$3=$A50)*('IGU(2020)_LNG_TRADE'!$A$5:$A$46=AB$6))=0,0,SUMPRODUCT(('IGU(2020)_LNG_TRADE'!$C$3:$V$3=$A50)*('IGU(2020)_LNG_TRADE'!$A$5:$A$46=AB$6)*'IGU(2020)_LNG_TRADE'!$C$5:$V$46)*10^6*Legend!$B$92*Legend!$B$82*Legend!$B$84*10^-3)</f>
        <v>0</v>
      </c>
      <c r="AC50" s="220" cm="1">
        <f t="array" ref="AC50">IF(SUMPRODUCT(('IGU(2020)_LNG_TRADE'!$C$3:$V$3=$A50)*('IGU(2020)_LNG_TRADE'!$A$5:$A$46=AC$6))=0,0,SUMPRODUCT(('IGU(2020)_LNG_TRADE'!$C$3:$V$3=$A50)*('IGU(2020)_LNG_TRADE'!$A$5:$A$46=AC$6)*'IGU(2020)_LNG_TRADE'!$C$5:$V$46)*10^6*Legend!$B$92*Legend!$B$82*Legend!$B$84*10^-3)</f>
        <v>0</v>
      </c>
    </row>
    <row r="51" spans="1:29">
      <c r="A51" s="215" t="s">
        <v>200</v>
      </c>
      <c r="B51" s="209" cm="1">
        <f t="array" ref="B51">IF(SUMPRODUCT(('IGU(2020)_LNG_TRADE'!$C$3:$V$3=$A51)*('IGU(2020)_LNG_TRADE'!$A$5:$A$46=B$6))=0,0,SUMPRODUCT(('IGU(2020)_LNG_TRADE'!$C$3:$V$3=$A51)*('IGU(2020)_LNG_TRADE'!$A$5:$A$46=B$6)*'IGU(2020)_LNG_TRADE'!$C$5:$V$46)*10^6*Legend!$B$92*Legend!$B$82*Legend!$B$84*10^-3)</f>
        <v>0</v>
      </c>
      <c r="C51" s="209" cm="1">
        <f t="array" ref="C51">IF(SUMPRODUCT(('IGU(2020)_LNG_TRADE'!$C$3:$V$3=$A51)*('IGU(2020)_LNG_TRADE'!$A$5:$A$46=C$6))=0,0,SUMPRODUCT(('IGU(2020)_LNG_TRADE'!$C$3:$V$3=$A51)*('IGU(2020)_LNG_TRADE'!$A$5:$A$46=C$6)*'IGU(2020)_LNG_TRADE'!$C$5:$V$46)*10^6*Legend!$B$92*Legend!$B$82*Legend!$B$84*10^-3)</f>
        <v>0</v>
      </c>
      <c r="D51" s="209" cm="1">
        <f t="array" ref="D51">IF(SUMPRODUCT(('IGU(2020)_LNG_TRADE'!$C$3:$V$3=$A51)*('IGU(2020)_LNG_TRADE'!$A$5:$A$46=D$6))=0,0,SUMPRODUCT(('IGU(2020)_LNG_TRADE'!$C$3:$V$3=$A51)*('IGU(2020)_LNG_TRADE'!$A$5:$A$46=D$6)*'IGU(2020)_LNG_TRADE'!$C$5:$V$46)*10^6*Legend!$B$92*Legend!$B$82*Legend!$B$84*10^-3)</f>
        <v>0</v>
      </c>
      <c r="E51" s="209" cm="1">
        <f t="array" ref="E51">IF(SUMPRODUCT(('IGU(2020)_LNG_TRADE'!$C$3:$V$3=$A51)*('IGU(2020)_LNG_TRADE'!$A$5:$A$46=E$6))=0,0,SUMPRODUCT(('IGU(2020)_LNG_TRADE'!$C$3:$V$3=$A51)*('IGU(2020)_LNG_TRADE'!$A$5:$A$46=E$6)*'IGU(2020)_LNG_TRADE'!$C$5:$V$46)*10^6*Legend!$B$92*Legend!$B$82*Legend!$B$84*10^-3)</f>
        <v>0</v>
      </c>
      <c r="F51" s="209" cm="1">
        <f t="array" ref="F51">IF(SUMPRODUCT(('IGU(2020)_LNG_TRADE'!$C$3:$V$3=$A51)*('IGU(2020)_LNG_TRADE'!$A$5:$A$46=F$6))=0,0,SUMPRODUCT(('IGU(2020)_LNG_TRADE'!$C$3:$V$3=$A51)*('IGU(2020)_LNG_TRADE'!$A$5:$A$46=F$6)*'IGU(2020)_LNG_TRADE'!$C$5:$V$46)*10^6*Legend!$B$92*Legend!$B$82*Legend!$B$84*10^-3)</f>
        <v>0</v>
      </c>
      <c r="G51" s="209" cm="1">
        <f t="array" ref="G51">IF(SUMPRODUCT(('IGU(2020)_LNG_TRADE'!$C$3:$V$3=$A51)*('IGU(2020)_LNG_TRADE'!$A$5:$A$46=G$6))=0,0,SUMPRODUCT(('IGU(2020)_LNG_TRADE'!$C$3:$V$3=$A51)*('IGU(2020)_LNG_TRADE'!$A$5:$A$46=G$6)*'IGU(2020)_LNG_TRADE'!$C$5:$V$46)*10^6*Legend!$B$92*Legend!$B$82*Legend!$B$84*10^-3)</f>
        <v>0</v>
      </c>
      <c r="H51" s="209" cm="1">
        <f t="array" ref="H51">IF(SUMPRODUCT(('IGU(2020)_LNG_TRADE'!$C$3:$V$3=$A51)*('IGU(2020)_LNG_TRADE'!$A$5:$A$46=H$6))=0,0,SUMPRODUCT(('IGU(2020)_LNG_TRADE'!$C$3:$V$3=$A51)*('IGU(2020)_LNG_TRADE'!$A$5:$A$46=H$6)*'IGU(2020)_LNG_TRADE'!$C$5:$V$46)*10^6*Legend!$B$92*Legend!$B$82*Legend!$B$84*10^-3)</f>
        <v>0</v>
      </c>
      <c r="I51" s="209" cm="1">
        <f t="array" ref="I51">IF(SUMPRODUCT(('IGU(2020)_LNG_TRADE'!$C$3:$V$3=$A51)*('IGU(2020)_LNG_TRADE'!$A$5:$A$46=I$6))=0,0,SUMPRODUCT(('IGU(2020)_LNG_TRADE'!$C$3:$V$3=$A51)*('IGU(2020)_LNG_TRADE'!$A$5:$A$46=I$6)*'IGU(2020)_LNG_TRADE'!$C$5:$V$46)*10^6*Legend!$B$92*Legend!$B$82*Legend!$B$84*10^-3)</f>
        <v>0</v>
      </c>
      <c r="J51" s="209" cm="1">
        <f t="array" ref="J51">IF(SUMPRODUCT(('IGU(2020)_LNG_TRADE'!$C$3:$V$3=$A51)*('IGU(2020)_LNG_TRADE'!$A$5:$A$46=J$6))=0,0,SUMPRODUCT(('IGU(2020)_LNG_TRADE'!$C$3:$V$3=$A51)*('IGU(2020)_LNG_TRADE'!$A$5:$A$46=J$6)*'IGU(2020)_LNG_TRADE'!$C$5:$V$46)*10^6*Legend!$B$92*Legend!$B$82*Legend!$B$84*10^-3)</f>
        <v>0</v>
      </c>
      <c r="K51" s="209" cm="1">
        <f t="array" ref="K51">IF(SUMPRODUCT(('IGU(2020)_LNG_TRADE'!$C$3:$V$3=$A51)*('IGU(2020)_LNG_TRADE'!$A$5:$A$46=K$6))=0,0,SUMPRODUCT(('IGU(2020)_LNG_TRADE'!$C$3:$V$3=$A51)*('IGU(2020)_LNG_TRADE'!$A$5:$A$46=K$6)*'IGU(2020)_LNG_TRADE'!$C$5:$V$46)*10^6*Legend!$B$92*Legend!$B$82*Legend!$B$84*10^-3)</f>
        <v>0</v>
      </c>
      <c r="L51" s="209" cm="1">
        <f t="array" ref="L51">IF(SUMPRODUCT(('IGU(2020)_LNG_TRADE'!$C$3:$V$3=$A51)*('IGU(2020)_LNG_TRADE'!$A$5:$A$46=L$6))=0,0,SUMPRODUCT(('IGU(2020)_LNG_TRADE'!$C$3:$V$3=$A51)*('IGU(2020)_LNG_TRADE'!$A$5:$A$46=L$6)*'IGU(2020)_LNG_TRADE'!$C$5:$V$46)*10^6*Legend!$B$92*Legend!$B$82*Legend!$B$84*10^-3)</f>
        <v>0</v>
      </c>
      <c r="M51" s="209" cm="1">
        <f t="array" ref="M51">IF(SUMPRODUCT(('IGU(2020)_LNG_TRADE'!$C$3:$V$3=$A51)*('IGU(2020)_LNG_TRADE'!$A$5:$A$46=M$6))=0,0,SUMPRODUCT(('IGU(2020)_LNG_TRADE'!$C$3:$V$3=$A51)*('IGU(2020)_LNG_TRADE'!$A$5:$A$46=M$6)*'IGU(2020)_LNG_TRADE'!$C$5:$V$46)*10^6*Legend!$B$92*Legend!$B$82*Legend!$B$84*10^-3)</f>
        <v>0</v>
      </c>
      <c r="N51" s="209" cm="1">
        <f t="array" ref="N51">IF(SUMPRODUCT(('IGU(2020)_LNG_TRADE'!$C$3:$V$3=$A51)*('IGU(2020)_LNG_TRADE'!$A$5:$A$46=N$6))=0,0,SUMPRODUCT(('IGU(2020)_LNG_TRADE'!$C$3:$V$3=$A51)*('IGU(2020)_LNG_TRADE'!$A$5:$A$46=N$6)*'IGU(2020)_LNG_TRADE'!$C$5:$V$46)*10^6*Legend!$B$92*Legend!$B$82*Legend!$B$84*10^-3)</f>
        <v>0</v>
      </c>
      <c r="O51" s="209" cm="1">
        <f t="array" ref="O51">IF(SUMPRODUCT(('IGU(2020)_LNG_TRADE'!$C$3:$V$3=$A51)*('IGU(2020)_LNG_TRADE'!$A$5:$A$46=O$6))=0,0,SUMPRODUCT(('IGU(2020)_LNG_TRADE'!$C$3:$V$3=$A51)*('IGU(2020)_LNG_TRADE'!$A$5:$A$46=O$6)*'IGU(2020)_LNG_TRADE'!$C$5:$V$46)*10^6*Legend!$B$92*Legend!$B$82*Legend!$B$84*10^-3)</f>
        <v>0</v>
      </c>
      <c r="P51" s="209" cm="1">
        <f t="array" ref="P51">IF(SUMPRODUCT(('IGU(2020)_LNG_TRADE'!$C$3:$V$3=$A51)*('IGU(2020)_LNG_TRADE'!$A$5:$A$46=P$6))=0,0,SUMPRODUCT(('IGU(2020)_LNG_TRADE'!$C$3:$V$3=$A51)*('IGU(2020)_LNG_TRADE'!$A$5:$A$46=P$6)*'IGU(2020)_LNG_TRADE'!$C$5:$V$46)*10^6*Legend!$B$92*Legend!$B$82*Legend!$B$84*10^-3)</f>
        <v>0</v>
      </c>
      <c r="Q51" s="209" cm="1">
        <f t="array" ref="Q51">IF(SUMPRODUCT(('IGU(2020)_LNG_TRADE'!$C$3:$V$3=$A51)*('IGU(2020)_LNG_TRADE'!$A$5:$A$46=Q$6))=0,0,SUMPRODUCT(('IGU(2020)_LNG_TRADE'!$C$3:$V$3=$A51)*('IGU(2020)_LNG_TRADE'!$A$5:$A$46=Q$6)*'IGU(2020)_LNG_TRADE'!$C$5:$V$46)*10^6*Legend!$B$92*Legend!$B$82*Legend!$B$84*10^-3)</f>
        <v>0</v>
      </c>
      <c r="R51" s="209" cm="1">
        <f t="array" ref="R51">IF(SUMPRODUCT(('IGU(2020)_LNG_TRADE'!$C$3:$V$3=$A51)*('IGU(2020)_LNG_TRADE'!$A$5:$A$46=R$6))=0,0,SUMPRODUCT(('IGU(2020)_LNG_TRADE'!$C$3:$V$3=$A51)*('IGU(2020)_LNG_TRADE'!$A$5:$A$46=R$6)*'IGU(2020)_LNG_TRADE'!$C$5:$V$46)*10^6*Legend!$B$92*Legend!$B$82*Legend!$B$84*10^-3)</f>
        <v>0</v>
      </c>
      <c r="S51" s="209" cm="1">
        <f t="array" ref="S51">IF(SUMPRODUCT(('IGU(2020)_LNG_TRADE'!$C$3:$V$3=$A51)*('IGU(2020)_LNG_TRADE'!$A$5:$A$46=S$6))=0,0,SUMPRODUCT(('IGU(2020)_LNG_TRADE'!$C$3:$V$3=$A51)*('IGU(2020)_LNG_TRADE'!$A$5:$A$46=S$6)*'IGU(2020)_LNG_TRADE'!$C$5:$V$46)*10^6*Legend!$B$92*Legend!$B$82*Legend!$B$84*10^-3)</f>
        <v>0</v>
      </c>
      <c r="T51" s="209" cm="1">
        <f t="array" ref="T51">IF(SUMPRODUCT(('IGU(2020)_LNG_TRADE'!$C$3:$V$3=$A51)*('IGU(2020)_LNG_TRADE'!$A$5:$A$46=T$6))=0,0,SUMPRODUCT(('IGU(2020)_LNG_TRADE'!$C$3:$V$3=$A51)*('IGU(2020)_LNG_TRADE'!$A$5:$A$46=T$6)*'IGU(2020)_LNG_TRADE'!$C$5:$V$46)*10^6*Legend!$B$92*Legend!$B$82*Legend!$B$84*10^-3)</f>
        <v>0</v>
      </c>
      <c r="U51" s="209" cm="1">
        <f t="array" ref="U51">IF(SUMPRODUCT(('IGU(2020)_LNG_TRADE'!$C$3:$V$3=$A51)*('IGU(2020)_LNG_TRADE'!$A$5:$A$46=U$6))=0,0,SUMPRODUCT(('IGU(2020)_LNG_TRADE'!$C$3:$V$3=$A51)*('IGU(2020)_LNG_TRADE'!$A$5:$A$46=U$6)*'IGU(2020)_LNG_TRADE'!$C$5:$V$46)*10^6*Legend!$B$92*Legend!$B$82*Legend!$B$84*10^-3)</f>
        <v>0</v>
      </c>
      <c r="V51" s="209" cm="1">
        <f t="array" ref="V51">IF(SUMPRODUCT(('IGU(2020)_LNG_TRADE'!$C$3:$V$3=$A51)*('IGU(2020)_LNG_TRADE'!$A$5:$A$46=V$6))=0,0,SUMPRODUCT(('IGU(2020)_LNG_TRADE'!$C$3:$V$3=$A51)*('IGU(2020)_LNG_TRADE'!$A$5:$A$46=V$6)*'IGU(2020)_LNG_TRADE'!$C$5:$V$46)*10^6*Legend!$B$92*Legend!$B$82*Legend!$B$84*10^-3)</f>
        <v>0</v>
      </c>
      <c r="W51" s="209" cm="1">
        <f t="array" ref="W51">IF(SUMPRODUCT(('IGU(2020)_LNG_TRADE'!$C$3:$V$3=$A51)*('IGU(2020)_LNG_TRADE'!$A$5:$A$46=W$6))=0,0,SUMPRODUCT(('IGU(2020)_LNG_TRADE'!$C$3:$V$3=$A51)*('IGU(2020)_LNG_TRADE'!$A$5:$A$46=W$6)*'IGU(2020)_LNG_TRADE'!$C$5:$V$46)*10^6*Legend!$B$92*Legend!$B$82*Legend!$B$84*10^-3)</f>
        <v>0</v>
      </c>
      <c r="X51" s="209" cm="1">
        <f t="array" ref="X51">IF(SUMPRODUCT(('IGU(2020)_LNG_TRADE'!$C$3:$V$3=$A51)*('IGU(2020)_LNG_TRADE'!$A$5:$A$46=X$6))=0,0,SUMPRODUCT(('IGU(2020)_LNG_TRADE'!$C$3:$V$3=$A51)*('IGU(2020)_LNG_TRADE'!$A$5:$A$46=X$6)*'IGU(2020)_LNG_TRADE'!$C$5:$V$46)*10^6*Legend!$B$92*Legend!$B$82*Legend!$B$84*10^-3)</f>
        <v>0</v>
      </c>
      <c r="Y51" s="209" cm="1">
        <f t="array" ref="Y51">IF(SUMPRODUCT(('IGU(2020)_LNG_TRADE'!$C$3:$V$3=$A51)*('IGU(2020)_LNG_TRADE'!$A$5:$A$46=Y$6))=0,0,SUMPRODUCT(('IGU(2020)_LNG_TRADE'!$C$3:$V$3=$A51)*('IGU(2020)_LNG_TRADE'!$A$5:$A$46=Y$6)*'IGU(2020)_LNG_TRADE'!$C$5:$V$46)*10^6*Legend!$B$92*Legend!$B$82*Legend!$B$84*10^-3)</f>
        <v>0</v>
      </c>
      <c r="Z51" s="209" cm="1">
        <f t="array" ref="Z51">IF(SUMPRODUCT(('IGU(2020)_LNG_TRADE'!$C$3:$V$3=$A51)*('IGU(2020)_LNG_TRADE'!$A$5:$A$46=Z$6))=0,0,SUMPRODUCT(('IGU(2020)_LNG_TRADE'!$C$3:$V$3=$A51)*('IGU(2020)_LNG_TRADE'!$A$5:$A$46=Z$6)*'IGU(2020)_LNG_TRADE'!$C$5:$V$46)*10^6*Legend!$B$92*Legend!$B$82*Legend!$B$84*10^-3)</f>
        <v>0</v>
      </c>
      <c r="AA51" s="209" cm="1">
        <f t="array" ref="AA51">IF(SUMPRODUCT(('IGU(2020)_LNG_TRADE'!$C$3:$V$3=$A51)*('IGU(2020)_LNG_TRADE'!$A$5:$A$46=AA$6))=0,0,SUMPRODUCT(('IGU(2020)_LNG_TRADE'!$C$3:$V$3=$A51)*('IGU(2020)_LNG_TRADE'!$A$5:$A$46=AA$6)*'IGU(2020)_LNG_TRADE'!$C$5:$V$46)*10^6*Legend!$B$92*Legend!$B$82*Legend!$B$84*10^-3)</f>
        <v>0</v>
      </c>
      <c r="AB51" s="209" cm="1">
        <f t="array" ref="AB51">IF(SUMPRODUCT(('IGU(2020)_LNG_TRADE'!$C$3:$V$3=$A51)*('IGU(2020)_LNG_TRADE'!$A$5:$A$46=AB$6))=0,0,SUMPRODUCT(('IGU(2020)_LNG_TRADE'!$C$3:$V$3=$A51)*('IGU(2020)_LNG_TRADE'!$A$5:$A$46=AB$6)*'IGU(2020)_LNG_TRADE'!$C$5:$V$46)*10^6*Legend!$B$92*Legend!$B$82*Legend!$B$84*10^-3)</f>
        <v>0</v>
      </c>
      <c r="AC51" s="220" cm="1">
        <f t="array" ref="AC51">IF(SUMPRODUCT(('IGU(2020)_LNG_TRADE'!$C$3:$V$3=$A51)*('IGU(2020)_LNG_TRADE'!$A$5:$A$46=AC$6))=0,0,SUMPRODUCT(('IGU(2020)_LNG_TRADE'!$C$3:$V$3=$A51)*('IGU(2020)_LNG_TRADE'!$A$5:$A$46=AC$6)*'IGU(2020)_LNG_TRADE'!$C$5:$V$46)*10^6*Legend!$B$92*Legend!$B$82*Legend!$B$84*10^-3)</f>
        <v>0</v>
      </c>
    </row>
    <row r="52" spans="1:29">
      <c r="A52" s="215" t="s">
        <v>202</v>
      </c>
      <c r="B52" s="209" cm="1">
        <f t="array" ref="B52">IF(SUMPRODUCT(('IGU(2020)_LNG_TRADE'!$C$3:$V$3=$A52)*('IGU(2020)_LNG_TRADE'!$A$5:$A$46=B$6))=0,0,SUMPRODUCT(('IGU(2020)_LNG_TRADE'!$C$3:$V$3=$A52)*('IGU(2020)_LNG_TRADE'!$A$5:$A$46=B$6)*'IGU(2020)_LNG_TRADE'!$C$5:$V$46)*10^6*Legend!$B$92*Legend!$B$82*Legend!$B$84*10^-3)</f>
        <v>0</v>
      </c>
      <c r="C52" s="209" cm="1">
        <f t="array" ref="C52">IF(SUMPRODUCT(('IGU(2020)_LNG_TRADE'!$C$3:$V$3=$A52)*('IGU(2020)_LNG_TRADE'!$A$5:$A$46=C$6))=0,0,SUMPRODUCT(('IGU(2020)_LNG_TRADE'!$C$3:$V$3=$A52)*('IGU(2020)_LNG_TRADE'!$A$5:$A$46=C$6)*'IGU(2020)_LNG_TRADE'!$C$5:$V$46)*10^6*Legend!$B$92*Legend!$B$82*Legend!$B$84*10^-3)</f>
        <v>0</v>
      </c>
      <c r="D52" s="209" cm="1">
        <f t="array" ref="D52">IF(SUMPRODUCT(('IGU(2020)_LNG_TRADE'!$C$3:$V$3=$A52)*('IGU(2020)_LNG_TRADE'!$A$5:$A$46=D$6))=0,0,SUMPRODUCT(('IGU(2020)_LNG_TRADE'!$C$3:$V$3=$A52)*('IGU(2020)_LNG_TRADE'!$A$5:$A$46=D$6)*'IGU(2020)_LNG_TRADE'!$C$5:$V$46)*10^6*Legend!$B$92*Legend!$B$82*Legend!$B$84*10^-3)</f>
        <v>0</v>
      </c>
      <c r="E52" s="209" cm="1">
        <f t="array" ref="E52">IF(SUMPRODUCT(('IGU(2020)_LNG_TRADE'!$C$3:$V$3=$A52)*('IGU(2020)_LNG_TRADE'!$A$5:$A$46=E$6))=0,0,SUMPRODUCT(('IGU(2020)_LNG_TRADE'!$C$3:$V$3=$A52)*('IGU(2020)_LNG_TRADE'!$A$5:$A$46=E$6)*'IGU(2020)_LNG_TRADE'!$C$5:$V$46)*10^6*Legend!$B$92*Legend!$B$82*Legend!$B$84*10^-3)</f>
        <v>0</v>
      </c>
      <c r="F52" s="209" cm="1">
        <f t="array" ref="F52">IF(SUMPRODUCT(('IGU(2020)_LNG_TRADE'!$C$3:$V$3=$A52)*('IGU(2020)_LNG_TRADE'!$A$5:$A$46=F$6))=0,0,SUMPRODUCT(('IGU(2020)_LNG_TRADE'!$C$3:$V$3=$A52)*('IGU(2020)_LNG_TRADE'!$A$5:$A$46=F$6)*'IGU(2020)_LNG_TRADE'!$C$5:$V$46)*10^6*Legend!$B$92*Legend!$B$82*Legend!$B$84*10^-3)</f>
        <v>0</v>
      </c>
      <c r="G52" s="209" cm="1">
        <f t="array" ref="G52">IF(SUMPRODUCT(('IGU(2020)_LNG_TRADE'!$C$3:$V$3=$A52)*('IGU(2020)_LNG_TRADE'!$A$5:$A$46=G$6))=0,0,SUMPRODUCT(('IGU(2020)_LNG_TRADE'!$C$3:$V$3=$A52)*('IGU(2020)_LNG_TRADE'!$A$5:$A$46=G$6)*'IGU(2020)_LNG_TRADE'!$C$5:$V$46)*10^6*Legend!$B$92*Legend!$B$82*Legend!$B$84*10^-3)</f>
        <v>0</v>
      </c>
      <c r="H52" s="209" cm="1">
        <f t="array" ref="H52">IF(SUMPRODUCT(('IGU(2020)_LNG_TRADE'!$C$3:$V$3=$A52)*('IGU(2020)_LNG_TRADE'!$A$5:$A$46=H$6))=0,0,SUMPRODUCT(('IGU(2020)_LNG_TRADE'!$C$3:$V$3=$A52)*('IGU(2020)_LNG_TRADE'!$A$5:$A$46=H$6)*'IGU(2020)_LNG_TRADE'!$C$5:$V$46)*10^6*Legend!$B$92*Legend!$B$82*Legend!$B$84*10^-3)</f>
        <v>0</v>
      </c>
      <c r="I52" s="209" cm="1">
        <f t="array" ref="I52">IF(SUMPRODUCT(('IGU(2020)_LNG_TRADE'!$C$3:$V$3=$A52)*('IGU(2020)_LNG_TRADE'!$A$5:$A$46=I$6))=0,0,SUMPRODUCT(('IGU(2020)_LNG_TRADE'!$C$3:$V$3=$A52)*('IGU(2020)_LNG_TRADE'!$A$5:$A$46=I$6)*'IGU(2020)_LNG_TRADE'!$C$5:$V$46)*10^6*Legend!$B$92*Legend!$B$82*Legend!$B$84*10^-3)</f>
        <v>0</v>
      </c>
      <c r="J52" s="209" cm="1">
        <f t="array" ref="J52">IF(SUMPRODUCT(('IGU(2020)_LNG_TRADE'!$C$3:$V$3=$A52)*('IGU(2020)_LNG_TRADE'!$A$5:$A$46=J$6))=0,0,SUMPRODUCT(('IGU(2020)_LNG_TRADE'!$C$3:$V$3=$A52)*('IGU(2020)_LNG_TRADE'!$A$5:$A$46=J$6)*'IGU(2020)_LNG_TRADE'!$C$5:$V$46)*10^6*Legend!$B$92*Legend!$B$82*Legend!$B$84*10^-3)</f>
        <v>0</v>
      </c>
      <c r="K52" s="209" cm="1">
        <f t="array" ref="K52">IF(SUMPRODUCT(('IGU(2020)_LNG_TRADE'!$C$3:$V$3=$A52)*('IGU(2020)_LNG_TRADE'!$A$5:$A$46=K$6))=0,0,SUMPRODUCT(('IGU(2020)_LNG_TRADE'!$C$3:$V$3=$A52)*('IGU(2020)_LNG_TRADE'!$A$5:$A$46=K$6)*'IGU(2020)_LNG_TRADE'!$C$5:$V$46)*10^6*Legend!$B$92*Legend!$B$82*Legend!$B$84*10^-3)</f>
        <v>0</v>
      </c>
      <c r="L52" s="209" cm="1">
        <f t="array" ref="L52">IF(SUMPRODUCT(('IGU(2020)_LNG_TRADE'!$C$3:$V$3=$A52)*('IGU(2020)_LNG_TRADE'!$A$5:$A$46=L$6))=0,0,SUMPRODUCT(('IGU(2020)_LNG_TRADE'!$C$3:$V$3=$A52)*('IGU(2020)_LNG_TRADE'!$A$5:$A$46=L$6)*'IGU(2020)_LNG_TRADE'!$C$5:$V$46)*10^6*Legend!$B$92*Legend!$B$82*Legend!$B$84*10^-3)</f>
        <v>0</v>
      </c>
      <c r="M52" s="209" cm="1">
        <f t="array" ref="M52">IF(SUMPRODUCT(('IGU(2020)_LNG_TRADE'!$C$3:$V$3=$A52)*('IGU(2020)_LNG_TRADE'!$A$5:$A$46=M$6))=0,0,SUMPRODUCT(('IGU(2020)_LNG_TRADE'!$C$3:$V$3=$A52)*('IGU(2020)_LNG_TRADE'!$A$5:$A$46=M$6)*'IGU(2020)_LNG_TRADE'!$C$5:$V$46)*10^6*Legend!$B$92*Legend!$B$82*Legend!$B$84*10^-3)</f>
        <v>0</v>
      </c>
      <c r="N52" s="209" cm="1">
        <f t="array" ref="N52">IF(SUMPRODUCT(('IGU(2020)_LNG_TRADE'!$C$3:$V$3=$A52)*('IGU(2020)_LNG_TRADE'!$A$5:$A$46=N$6))=0,0,SUMPRODUCT(('IGU(2020)_LNG_TRADE'!$C$3:$V$3=$A52)*('IGU(2020)_LNG_TRADE'!$A$5:$A$46=N$6)*'IGU(2020)_LNG_TRADE'!$C$5:$V$46)*10^6*Legend!$B$92*Legend!$B$82*Legend!$B$84*10^-3)</f>
        <v>0</v>
      </c>
      <c r="O52" s="209" cm="1">
        <f t="array" ref="O52">IF(SUMPRODUCT(('IGU(2020)_LNG_TRADE'!$C$3:$V$3=$A52)*('IGU(2020)_LNG_TRADE'!$A$5:$A$46=O$6))=0,0,SUMPRODUCT(('IGU(2020)_LNG_TRADE'!$C$3:$V$3=$A52)*('IGU(2020)_LNG_TRADE'!$A$5:$A$46=O$6)*'IGU(2020)_LNG_TRADE'!$C$5:$V$46)*10^6*Legend!$B$92*Legend!$B$82*Legend!$B$84*10^-3)</f>
        <v>0</v>
      </c>
      <c r="P52" s="209" cm="1">
        <f t="array" ref="P52">IF(SUMPRODUCT(('IGU(2020)_LNG_TRADE'!$C$3:$V$3=$A52)*('IGU(2020)_LNG_TRADE'!$A$5:$A$46=P$6))=0,0,SUMPRODUCT(('IGU(2020)_LNG_TRADE'!$C$3:$V$3=$A52)*('IGU(2020)_LNG_TRADE'!$A$5:$A$46=P$6)*'IGU(2020)_LNG_TRADE'!$C$5:$V$46)*10^6*Legend!$B$92*Legend!$B$82*Legend!$B$84*10^-3)</f>
        <v>0</v>
      </c>
      <c r="Q52" s="209" cm="1">
        <f t="array" ref="Q52">IF(SUMPRODUCT(('IGU(2020)_LNG_TRADE'!$C$3:$V$3=$A52)*('IGU(2020)_LNG_TRADE'!$A$5:$A$46=Q$6))=0,0,SUMPRODUCT(('IGU(2020)_LNG_TRADE'!$C$3:$V$3=$A52)*('IGU(2020)_LNG_TRADE'!$A$5:$A$46=Q$6)*'IGU(2020)_LNG_TRADE'!$C$5:$V$46)*10^6*Legend!$B$92*Legend!$B$82*Legend!$B$84*10^-3)</f>
        <v>0</v>
      </c>
      <c r="R52" s="209" cm="1">
        <f t="array" ref="R52">IF(SUMPRODUCT(('IGU(2020)_LNG_TRADE'!$C$3:$V$3=$A52)*('IGU(2020)_LNG_TRADE'!$A$5:$A$46=R$6))=0,0,SUMPRODUCT(('IGU(2020)_LNG_TRADE'!$C$3:$V$3=$A52)*('IGU(2020)_LNG_TRADE'!$A$5:$A$46=R$6)*'IGU(2020)_LNG_TRADE'!$C$5:$V$46)*10^6*Legend!$B$92*Legend!$B$82*Legend!$B$84*10^-3)</f>
        <v>0</v>
      </c>
      <c r="S52" s="209" cm="1">
        <f t="array" ref="S52">IF(SUMPRODUCT(('IGU(2020)_LNG_TRADE'!$C$3:$V$3=$A52)*('IGU(2020)_LNG_TRADE'!$A$5:$A$46=S$6))=0,0,SUMPRODUCT(('IGU(2020)_LNG_TRADE'!$C$3:$V$3=$A52)*('IGU(2020)_LNG_TRADE'!$A$5:$A$46=S$6)*'IGU(2020)_LNG_TRADE'!$C$5:$V$46)*10^6*Legend!$B$92*Legend!$B$82*Legend!$B$84*10^-3)</f>
        <v>0</v>
      </c>
      <c r="T52" s="209" cm="1">
        <f t="array" ref="T52">IF(SUMPRODUCT(('IGU(2020)_LNG_TRADE'!$C$3:$V$3=$A52)*('IGU(2020)_LNG_TRADE'!$A$5:$A$46=T$6))=0,0,SUMPRODUCT(('IGU(2020)_LNG_TRADE'!$C$3:$V$3=$A52)*('IGU(2020)_LNG_TRADE'!$A$5:$A$46=T$6)*'IGU(2020)_LNG_TRADE'!$C$5:$V$46)*10^6*Legend!$B$92*Legend!$B$82*Legend!$B$84*10^-3)</f>
        <v>0</v>
      </c>
      <c r="U52" s="209" cm="1">
        <f t="array" ref="U52">IF(SUMPRODUCT(('IGU(2020)_LNG_TRADE'!$C$3:$V$3=$A52)*('IGU(2020)_LNG_TRADE'!$A$5:$A$46=U$6))=0,0,SUMPRODUCT(('IGU(2020)_LNG_TRADE'!$C$3:$V$3=$A52)*('IGU(2020)_LNG_TRADE'!$A$5:$A$46=U$6)*'IGU(2020)_LNG_TRADE'!$C$5:$V$46)*10^6*Legend!$B$92*Legend!$B$82*Legend!$B$84*10^-3)</f>
        <v>0</v>
      </c>
      <c r="V52" s="209" cm="1">
        <f t="array" ref="V52">IF(SUMPRODUCT(('IGU(2020)_LNG_TRADE'!$C$3:$V$3=$A52)*('IGU(2020)_LNG_TRADE'!$A$5:$A$46=V$6))=0,0,SUMPRODUCT(('IGU(2020)_LNG_TRADE'!$C$3:$V$3=$A52)*('IGU(2020)_LNG_TRADE'!$A$5:$A$46=V$6)*'IGU(2020)_LNG_TRADE'!$C$5:$V$46)*10^6*Legend!$B$92*Legend!$B$82*Legend!$B$84*10^-3)</f>
        <v>0</v>
      </c>
      <c r="W52" s="209" cm="1">
        <f t="array" ref="W52">IF(SUMPRODUCT(('IGU(2020)_LNG_TRADE'!$C$3:$V$3=$A52)*('IGU(2020)_LNG_TRADE'!$A$5:$A$46=W$6))=0,0,SUMPRODUCT(('IGU(2020)_LNG_TRADE'!$C$3:$V$3=$A52)*('IGU(2020)_LNG_TRADE'!$A$5:$A$46=W$6)*'IGU(2020)_LNG_TRADE'!$C$5:$V$46)*10^6*Legend!$B$92*Legend!$B$82*Legend!$B$84*10^-3)</f>
        <v>0</v>
      </c>
      <c r="X52" s="209" cm="1">
        <f t="array" ref="X52">IF(SUMPRODUCT(('IGU(2020)_LNG_TRADE'!$C$3:$V$3=$A52)*('IGU(2020)_LNG_TRADE'!$A$5:$A$46=X$6))=0,0,SUMPRODUCT(('IGU(2020)_LNG_TRADE'!$C$3:$V$3=$A52)*('IGU(2020)_LNG_TRADE'!$A$5:$A$46=X$6)*'IGU(2020)_LNG_TRADE'!$C$5:$V$46)*10^6*Legend!$B$92*Legend!$B$82*Legend!$B$84*10^-3)</f>
        <v>0</v>
      </c>
      <c r="Y52" s="209" cm="1">
        <f t="array" ref="Y52">IF(SUMPRODUCT(('IGU(2020)_LNG_TRADE'!$C$3:$V$3=$A52)*('IGU(2020)_LNG_TRADE'!$A$5:$A$46=Y$6))=0,0,SUMPRODUCT(('IGU(2020)_LNG_TRADE'!$C$3:$V$3=$A52)*('IGU(2020)_LNG_TRADE'!$A$5:$A$46=Y$6)*'IGU(2020)_LNG_TRADE'!$C$5:$V$46)*10^6*Legend!$B$92*Legend!$B$82*Legend!$B$84*10^-3)</f>
        <v>0</v>
      </c>
      <c r="Z52" s="209" cm="1">
        <f t="array" ref="Z52">IF(SUMPRODUCT(('IGU(2020)_LNG_TRADE'!$C$3:$V$3=$A52)*('IGU(2020)_LNG_TRADE'!$A$5:$A$46=Z$6))=0,0,SUMPRODUCT(('IGU(2020)_LNG_TRADE'!$C$3:$V$3=$A52)*('IGU(2020)_LNG_TRADE'!$A$5:$A$46=Z$6)*'IGU(2020)_LNG_TRADE'!$C$5:$V$46)*10^6*Legend!$B$92*Legend!$B$82*Legend!$B$84*10^-3)</f>
        <v>0</v>
      </c>
      <c r="AA52" s="209" cm="1">
        <f t="array" ref="AA52">IF(SUMPRODUCT(('IGU(2020)_LNG_TRADE'!$C$3:$V$3=$A52)*('IGU(2020)_LNG_TRADE'!$A$5:$A$46=AA$6))=0,0,SUMPRODUCT(('IGU(2020)_LNG_TRADE'!$C$3:$V$3=$A52)*('IGU(2020)_LNG_TRADE'!$A$5:$A$46=AA$6)*'IGU(2020)_LNG_TRADE'!$C$5:$V$46)*10^6*Legend!$B$92*Legend!$B$82*Legend!$B$84*10^-3)</f>
        <v>0</v>
      </c>
      <c r="AB52" s="209" cm="1">
        <f t="array" ref="AB52">IF(SUMPRODUCT(('IGU(2020)_LNG_TRADE'!$C$3:$V$3=$A52)*('IGU(2020)_LNG_TRADE'!$A$5:$A$46=AB$6))=0,0,SUMPRODUCT(('IGU(2020)_LNG_TRADE'!$C$3:$V$3=$A52)*('IGU(2020)_LNG_TRADE'!$A$5:$A$46=AB$6)*'IGU(2020)_LNG_TRADE'!$C$5:$V$46)*10^6*Legend!$B$92*Legend!$B$82*Legend!$B$84*10^-3)</f>
        <v>0</v>
      </c>
      <c r="AC52" s="220" cm="1">
        <f t="array" ref="AC52">IF(SUMPRODUCT(('IGU(2020)_LNG_TRADE'!$C$3:$V$3=$A52)*('IGU(2020)_LNG_TRADE'!$A$5:$A$46=AC$6))=0,0,SUMPRODUCT(('IGU(2020)_LNG_TRADE'!$C$3:$V$3=$A52)*('IGU(2020)_LNG_TRADE'!$A$5:$A$46=AC$6)*'IGU(2020)_LNG_TRADE'!$C$5:$V$46)*10^6*Legend!$B$92*Legend!$B$82*Legend!$B$84*10^-3)</f>
        <v>0</v>
      </c>
    </row>
    <row r="53" spans="1:29">
      <c r="A53" s="215" t="s">
        <v>205</v>
      </c>
      <c r="B53" s="209" cm="1">
        <f t="array" ref="B53">IF(SUMPRODUCT(('IGU(2020)_LNG_TRADE'!$C$3:$V$3=$A53)*('IGU(2020)_LNG_TRADE'!$A$5:$A$46=B$6))=0,0,SUMPRODUCT(('IGU(2020)_LNG_TRADE'!$C$3:$V$3=$A53)*('IGU(2020)_LNG_TRADE'!$A$5:$A$46=B$6)*'IGU(2020)_LNG_TRADE'!$C$5:$V$46)*10^6*Legend!$B$92*Legend!$B$82*Legend!$B$84*10^-3)</f>
        <v>0</v>
      </c>
      <c r="C53" s="209" cm="1">
        <f t="array" ref="C53">IF(SUMPRODUCT(('IGU(2020)_LNG_TRADE'!$C$3:$V$3=$A53)*('IGU(2020)_LNG_TRADE'!$A$5:$A$46=C$6))=0,0,SUMPRODUCT(('IGU(2020)_LNG_TRADE'!$C$3:$V$3=$A53)*('IGU(2020)_LNG_TRADE'!$A$5:$A$46=C$6)*'IGU(2020)_LNG_TRADE'!$C$5:$V$46)*10^6*Legend!$B$92*Legend!$B$82*Legend!$B$84*10^-3)</f>
        <v>0</v>
      </c>
      <c r="D53" s="209" cm="1">
        <f t="array" ref="D53">IF(SUMPRODUCT(('IGU(2020)_LNG_TRADE'!$C$3:$V$3=$A53)*('IGU(2020)_LNG_TRADE'!$A$5:$A$46=D$6))=0,0,SUMPRODUCT(('IGU(2020)_LNG_TRADE'!$C$3:$V$3=$A53)*('IGU(2020)_LNG_TRADE'!$A$5:$A$46=D$6)*'IGU(2020)_LNG_TRADE'!$C$5:$V$46)*10^6*Legend!$B$92*Legend!$B$82*Legend!$B$84*10^-3)</f>
        <v>0</v>
      </c>
      <c r="E53" s="209" cm="1">
        <f t="array" ref="E53">IF(SUMPRODUCT(('IGU(2020)_LNG_TRADE'!$C$3:$V$3=$A53)*('IGU(2020)_LNG_TRADE'!$A$5:$A$46=E$6))=0,0,SUMPRODUCT(('IGU(2020)_LNG_TRADE'!$C$3:$V$3=$A53)*('IGU(2020)_LNG_TRADE'!$A$5:$A$46=E$6)*'IGU(2020)_LNG_TRADE'!$C$5:$V$46)*10^6*Legend!$B$92*Legend!$B$82*Legend!$B$84*10^-3)</f>
        <v>0</v>
      </c>
      <c r="F53" s="209" cm="1">
        <f t="array" ref="F53">IF(SUMPRODUCT(('IGU(2020)_LNG_TRADE'!$C$3:$V$3=$A53)*('IGU(2020)_LNG_TRADE'!$A$5:$A$46=F$6))=0,0,SUMPRODUCT(('IGU(2020)_LNG_TRADE'!$C$3:$V$3=$A53)*('IGU(2020)_LNG_TRADE'!$A$5:$A$46=F$6)*'IGU(2020)_LNG_TRADE'!$C$5:$V$46)*10^6*Legend!$B$92*Legend!$B$82*Legend!$B$84*10^-3)</f>
        <v>0</v>
      </c>
      <c r="G53" s="209" cm="1">
        <f t="array" ref="G53">IF(SUMPRODUCT(('IGU(2020)_LNG_TRADE'!$C$3:$V$3=$A53)*('IGU(2020)_LNG_TRADE'!$A$5:$A$46=G$6))=0,0,SUMPRODUCT(('IGU(2020)_LNG_TRADE'!$C$3:$V$3=$A53)*('IGU(2020)_LNG_TRADE'!$A$5:$A$46=G$6)*'IGU(2020)_LNG_TRADE'!$C$5:$V$46)*10^6*Legend!$B$92*Legend!$B$82*Legend!$B$84*10^-3)</f>
        <v>0</v>
      </c>
      <c r="H53" s="209" cm="1">
        <f t="array" ref="H53">IF(SUMPRODUCT(('IGU(2020)_LNG_TRADE'!$C$3:$V$3=$A53)*('IGU(2020)_LNG_TRADE'!$A$5:$A$46=H$6))=0,0,SUMPRODUCT(('IGU(2020)_LNG_TRADE'!$C$3:$V$3=$A53)*('IGU(2020)_LNG_TRADE'!$A$5:$A$46=H$6)*'IGU(2020)_LNG_TRADE'!$C$5:$V$46)*10^6*Legend!$B$92*Legend!$B$82*Legend!$B$84*10^-3)</f>
        <v>0</v>
      </c>
      <c r="I53" s="209" cm="1">
        <f t="array" ref="I53">IF(SUMPRODUCT(('IGU(2020)_LNG_TRADE'!$C$3:$V$3=$A53)*('IGU(2020)_LNG_TRADE'!$A$5:$A$46=I$6))=0,0,SUMPRODUCT(('IGU(2020)_LNG_TRADE'!$C$3:$V$3=$A53)*('IGU(2020)_LNG_TRADE'!$A$5:$A$46=I$6)*'IGU(2020)_LNG_TRADE'!$C$5:$V$46)*10^6*Legend!$B$92*Legend!$B$82*Legend!$B$84*10^-3)</f>
        <v>0</v>
      </c>
      <c r="J53" s="209" cm="1">
        <f t="array" ref="J53">IF(SUMPRODUCT(('IGU(2020)_LNG_TRADE'!$C$3:$V$3=$A53)*('IGU(2020)_LNG_TRADE'!$A$5:$A$46=J$6))=0,0,SUMPRODUCT(('IGU(2020)_LNG_TRADE'!$C$3:$V$3=$A53)*('IGU(2020)_LNG_TRADE'!$A$5:$A$46=J$6)*'IGU(2020)_LNG_TRADE'!$C$5:$V$46)*10^6*Legend!$B$92*Legend!$B$82*Legend!$B$84*10^-3)</f>
        <v>0</v>
      </c>
      <c r="K53" s="209" cm="1">
        <f t="array" ref="K53">IF(SUMPRODUCT(('IGU(2020)_LNG_TRADE'!$C$3:$V$3=$A53)*('IGU(2020)_LNG_TRADE'!$A$5:$A$46=K$6))=0,0,SUMPRODUCT(('IGU(2020)_LNG_TRADE'!$C$3:$V$3=$A53)*('IGU(2020)_LNG_TRADE'!$A$5:$A$46=K$6)*'IGU(2020)_LNG_TRADE'!$C$5:$V$46)*10^6*Legend!$B$92*Legend!$B$82*Legend!$B$84*10^-3)</f>
        <v>0</v>
      </c>
      <c r="L53" s="209" cm="1">
        <f t="array" ref="L53">IF(SUMPRODUCT(('IGU(2020)_LNG_TRADE'!$C$3:$V$3=$A53)*('IGU(2020)_LNG_TRADE'!$A$5:$A$46=L$6))=0,0,SUMPRODUCT(('IGU(2020)_LNG_TRADE'!$C$3:$V$3=$A53)*('IGU(2020)_LNG_TRADE'!$A$5:$A$46=L$6)*'IGU(2020)_LNG_TRADE'!$C$5:$V$46)*10^6*Legend!$B$92*Legend!$B$82*Legend!$B$84*10^-3)</f>
        <v>0</v>
      </c>
      <c r="M53" s="209" cm="1">
        <f t="array" ref="M53">IF(SUMPRODUCT(('IGU(2020)_LNG_TRADE'!$C$3:$V$3=$A53)*('IGU(2020)_LNG_TRADE'!$A$5:$A$46=M$6))=0,0,SUMPRODUCT(('IGU(2020)_LNG_TRADE'!$C$3:$V$3=$A53)*('IGU(2020)_LNG_TRADE'!$A$5:$A$46=M$6)*'IGU(2020)_LNG_TRADE'!$C$5:$V$46)*10^6*Legend!$B$92*Legend!$B$82*Legend!$B$84*10^-3)</f>
        <v>0</v>
      </c>
      <c r="N53" s="209" cm="1">
        <f t="array" ref="N53">IF(SUMPRODUCT(('IGU(2020)_LNG_TRADE'!$C$3:$V$3=$A53)*('IGU(2020)_LNG_TRADE'!$A$5:$A$46=N$6))=0,0,SUMPRODUCT(('IGU(2020)_LNG_TRADE'!$C$3:$V$3=$A53)*('IGU(2020)_LNG_TRADE'!$A$5:$A$46=N$6)*'IGU(2020)_LNG_TRADE'!$C$5:$V$46)*10^6*Legend!$B$92*Legend!$B$82*Legend!$B$84*10^-3)</f>
        <v>0</v>
      </c>
      <c r="O53" s="209" cm="1">
        <f t="array" ref="O53">IF(SUMPRODUCT(('IGU(2020)_LNG_TRADE'!$C$3:$V$3=$A53)*('IGU(2020)_LNG_TRADE'!$A$5:$A$46=O$6))=0,0,SUMPRODUCT(('IGU(2020)_LNG_TRADE'!$C$3:$V$3=$A53)*('IGU(2020)_LNG_TRADE'!$A$5:$A$46=O$6)*'IGU(2020)_LNG_TRADE'!$C$5:$V$46)*10^6*Legend!$B$92*Legend!$B$82*Legend!$B$84*10^-3)</f>
        <v>0</v>
      </c>
      <c r="P53" s="209" cm="1">
        <f t="array" ref="P53">IF(SUMPRODUCT(('IGU(2020)_LNG_TRADE'!$C$3:$V$3=$A53)*('IGU(2020)_LNG_TRADE'!$A$5:$A$46=P$6))=0,0,SUMPRODUCT(('IGU(2020)_LNG_TRADE'!$C$3:$V$3=$A53)*('IGU(2020)_LNG_TRADE'!$A$5:$A$46=P$6)*'IGU(2020)_LNG_TRADE'!$C$5:$V$46)*10^6*Legend!$B$92*Legend!$B$82*Legend!$B$84*10^-3)</f>
        <v>0</v>
      </c>
      <c r="Q53" s="209" cm="1">
        <f t="array" ref="Q53">IF(SUMPRODUCT(('IGU(2020)_LNG_TRADE'!$C$3:$V$3=$A53)*('IGU(2020)_LNG_TRADE'!$A$5:$A$46=Q$6))=0,0,SUMPRODUCT(('IGU(2020)_LNG_TRADE'!$C$3:$V$3=$A53)*('IGU(2020)_LNG_TRADE'!$A$5:$A$46=Q$6)*'IGU(2020)_LNG_TRADE'!$C$5:$V$46)*10^6*Legend!$B$92*Legend!$B$82*Legend!$B$84*10^-3)</f>
        <v>0</v>
      </c>
      <c r="R53" s="209" cm="1">
        <f t="array" ref="R53">IF(SUMPRODUCT(('IGU(2020)_LNG_TRADE'!$C$3:$V$3=$A53)*('IGU(2020)_LNG_TRADE'!$A$5:$A$46=R$6))=0,0,SUMPRODUCT(('IGU(2020)_LNG_TRADE'!$C$3:$V$3=$A53)*('IGU(2020)_LNG_TRADE'!$A$5:$A$46=R$6)*'IGU(2020)_LNG_TRADE'!$C$5:$V$46)*10^6*Legend!$B$92*Legend!$B$82*Legend!$B$84*10^-3)</f>
        <v>0</v>
      </c>
      <c r="S53" s="209" cm="1">
        <f t="array" ref="S53">IF(SUMPRODUCT(('IGU(2020)_LNG_TRADE'!$C$3:$V$3=$A53)*('IGU(2020)_LNG_TRADE'!$A$5:$A$46=S$6))=0,0,SUMPRODUCT(('IGU(2020)_LNG_TRADE'!$C$3:$V$3=$A53)*('IGU(2020)_LNG_TRADE'!$A$5:$A$46=S$6)*'IGU(2020)_LNG_TRADE'!$C$5:$V$46)*10^6*Legend!$B$92*Legend!$B$82*Legend!$B$84*10^-3)</f>
        <v>0</v>
      </c>
      <c r="T53" s="209" cm="1">
        <f t="array" ref="T53">IF(SUMPRODUCT(('IGU(2020)_LNG_TRADE'!$C$3:$V$3=$A53)*('IGU(2020)_LNG_TRADE'!$A$5:$A$46=T$6))=0,0,SUMPRODUCT(('IGU(2020)_LNG_TRADE'!$C$3:$V$3=$A53)*('IGU(2020)_LNG_TRADE'!$A$5:$A$46=T$6)*'IGU(2020)_LNG_TRADE'!$C$5:$V$46)*10^6*Legend!$B$92*Legend!$B$82*Legend!$B$84*10^-3)</f>
        <v>0</v>
      </c>
      <c r="U53" s="209" cm="1">
        <f t="array" ref="U53">IF(SUMPRODUCT(('IGU(2020)_LNG_TRADE'!$C$3:$V$3=$A53)*('IGU(2020)_LNG_TRADE'!$A$5:$A$46=U$6))=0,0,SUMPRODUCT(('IGU(2020)_LNG_TRADE'!$C$3:$V$3=$A53)*('IGU(2020)_LNG_TRADE'!$A$5:$A$46=U$6)*'IGU(2020)_LNG_TRADE'!$C$5:$V$46)*10^6*Legend!$B$92*Legend!$B$82*Legend!$B$84*10^-3)</f>
        <v>0</v>
      </c>
      <c r="V53" s="209" cm="1">
        <f t="array" ref="V53">IF(SUMPRODUCT(('IGU(2020)_LNG_TRADE'!$C$3:$V$3=$A53)*('IGU(2020)_LNG_TRADE'!$A$5:$A$46=V$6))=0,0,SUMPRODUCT(('IGU(2020)_LNG_TRADE'!$C$3:$V$3=$A53)*('IGU(2020)_LNG_TRADE'!$A$5:$A$46=V$6)*'IGU(2020)_LNG_TRADE'!$C$5:$V$46)*10^6*Legend!$B$92*Legend!$B$82*Legend!$B$84*10^-3)</f>
        <v>0</v>
      </c>
      <c r="W53" s="209" cm="1">
        <f t="array" ref="W53">IF(SUMPRODUCT(('IGU(2020)_LNG_TRADE'!$C$3:$V$3=$A53)*('IGU(2020)_LNG_TRADE'!$A$5:$A$46=W$6))=0,0,SUMPRODUCT(('IGU(2020)_LNG_TRADE'!$C$3:$V$3=$A53)*('IGU(2020)_LNG_TRADE'!$A$5:$A$46=W$6)*'IGU(2020)_LNG_TRADE'!$C$5:$V$46)*10^6*Legend!$B$92*Legend!$B$82*Legend!$B$84*10^-3)</f>
        <v>0</v>
      </c>
      <c r="X53" s="209" cm="1">
        <f t="array" ref="X53">IF(SUMPRODUCT(('IGU(2020)_LNG_TRADE'!$C$3:$V$3=$A53)*('IGU(2020)_LNG_TRADE'!$A$5:$A$46=X$6))=0,0,SUMPRODUCT(('IGU(2020)_LNG_TRADE'!$C$3:$V$3=$A53)*('IGU(2020)_LNG_TRADE'!$A$5:$A$46=X$6)*'IGU(2020)_LNG_TRADE'!$C$5:$V$46)*10^6*Legend!$B$92*Legend!$B$82*Legend!$B$84*10^-3)</f>
        <v>0</v>
      </c>
      <c r="Y53" s="209" cm="1">
        <f t="array" ref="Y53">IF(SUMPRODUCT(('IGU(2020)_LNG_TRADE'!$C$3:$V$3=$A53)*('IGU(2020)_LNG_TRADE'!$A$5:$A$46=Y$6))=0,0,SUMPRODUCT(('IGU(2020)_LNG_TRADE'!$C$3:$V$3=$A53)*('IGU(2020)_LNG_TRADE'!$A$5:$A$46=Y$6)*'IGU(2020)_LNG_TRADE'!$C$5:$V$46)*10^6*Legend!$B$92*Legend!$B$82*Legend!$B$84*10^-3)</f>
        <v>0</v>
      </c>
      <c r="Z53" s="209" cm="1">
        <f t="array" ref="Z53">IF(SUMPRODUCT(('IGU(2020)_LNG_TRADE'!$C$3:$V$3=$A53)*('IGU(2020)_LNG_TRADE'!$A$5:$A$46=Z$6))=0,0,SUMPRODUCT(('IGU(2020)_LNG_TRADE'!$C$3:$V$3=$A53)*('IGU(2020)_LNG_TRADE'!$A$5:$A$46=Z$6)*'IGU(2020)_LNG_TRADE'!$C$5:$V$46)*10^6*Legend!$B$92*Legend!$B$82*Legend!$B$84*10^-3)</f>
        <v>0</v>
      </c>
      <c r="AA53" s="209" cm="1">
        <f t="array" ref="AA53">IF(SUMPRODUCT(('IGU(2020)_LNG_TRADE'!$C$3:$V$3=$A53)*('IGU(2020)_LNG_TRADE'!$A$5:$A$46=AA$6))=0,0,SUMPRODUCT(('IGU(2020)_LNG_TRADE'!$C$3:$V$3=$A53)*('IGU(2020)_LNG_TRADE'!$A$5:$A$46=AA$6)*'IGU(2020)_LNG_TRADE'!$C$5:$V$46)*10^6*Legend!$B$92*Legend!$B$82*Legend!$B$84*10^-3)</f>
        <v>0</v>
      </c>
      <c r="AB53" s="209" cm="1">
        <f t="array" ref="AB53">IF(SUMPRODUCT(('IGU(2020)_LNG_TRADE'!$C$3:$V$3=$A53)*('IGU(2020)_LNG_TRADE'!$A$5:$A$46=AB$6))=0,0,SUMPRODUCT(('IGU(2020)_LNG_TRADE'!$C$3:$V$3=$A53)*('IGU(2020)_LNG_TRADE'!$A$5:$A$46=AB$6)*'IGU(2020)_LNG_TRADE'!$C$5:$V$46)*10^6*Legend!$B$92*Legend!$B$82*Legend!$B$84*10^-3)</f>
        <v>0</v>
      </c>
      <c r="AC53" s="220" cm="1">
        <f t="array" ref="AC53">IF(SUMPRODUCT(('IGU(2020)_LNG_TRADE'!$C$3:$V$3=$A53)*('IGU(2020)_LNG_TRADE'!$A$5:$A$46=AC$6))=0,0,SUMPRODUCT(('IGU(2020)_LNG_TRADE'!$C$3:$V$3=$A53)*('IGU(2020)_LNG_TRADE'!$A$5:$A$46=AC$6)*'IGU(2020)_LNG_TRADE'!$C$5:$V$46)*10^6*Legend!$B$92*Legend!$B$82*Legend!$B$84*10^-3)</f>
        <v>0</v>
      </c>
    </row>
    <row r="54" spans="1:29">
      <c r="A54" s="215" t="s">
        <v>208</v>
      </c>
      <c r="B54" s="209" cm="1">
        <f t="array" ref="B54">IF(SUMPRODUCT(('IGU(2020)_LNG_TRADE'!$C$3:$V$3=$A54)*('IGU(2020)_LNG_TRADE'!$A$5:$A$46=B$6))=0,0,SUMPRODUCT(('IGU(2020)_LNG_TRADE'!$C$3:$V$3=$A54)*('IGU(2020)_LNG_TRADE'!$A$5:$A$46=B$6)*'IGU(2020)_LNG_TRADE'!$C$5:$V$46)*10^6*Legend!$B$92*Legend!$B$82*Legend!$B$84*10^-3)</f>
        <v>0</v>
      </c>
      <c r="C54" s="209" cm="1">
        <f t="array" ref="C54">IF(SUMPRODUCT(('IGU(2020)_LNG_TRADE'!$C$3:$V$3=$A54)*('IGU(2020)_LNG_TRADE'!$A$5:$A$46=C$6))=0,0,SUMPRODUCT(('IGU(2020)_LNG_TRADE'!$C$3:$V$3=$A54)*('IGU(2020)_LNG_TRADE'!$A$5:$A$46=C$6)*'IGU(2020)_LNG_TRADE'!$C$5:$V$46)*10^6*Legend!$B$92*Legend!$B$82*Legend!$B$84*10^-3)</f>
        <v>0</v>
      </c>
      <c r="D54" s="209" cm="1">
        <f t="array" ref="D54">IF(SUMPRODUCT(('IGU(2020)_LNG_TRADE'!$C$3:$V$3=$A54)*('IGU(2020)_LNG_TRADE'!$A$5:$A$46=D$6))=0,0,SUMPRODUCT(('IGU(2020)_LNG_TRADE'!$C$3:$V$3=$A54)*('IGU(2020)_LNG_TRADE'!$A$5:$A$46=D$6)*'IGU(2020)_LNG_TRADE'!$C$5:$V$46)*10^6*Legend!$B$92*Legend!$B$82*Legend!$B$84*10^-3)</f>
        <v>0</v>
      </c>
      <c r="E54" s="209" cm="1">
        <f t="array" ref="E54">IF(SUMPRODUCT(('IGU(2020)_LNG_TRADE'!$C$3:$V$3=$A54)*('IGU(2020)_LNG_TRADE'!$A$5:$A$46=E$6))=0,0,SUMPRODUCT(('IGU(2020)_LNG_TRADE'!$C$3:$V$3=$A54)*('IGU(2020)_LNG_TRADE'!$A$5:$A$46=E$6)*'IGU(2020)_LNG_TRADE'!$C$5:$V$46)*10^6*Legend!$B$92*Legend!$B$82*Legend!$B$84*10^-3)</f>
        <v>0</v>
      </c>
      <c r="F54" s="209" cm="1">
        <f t="array" ref="F54">IF(SUMPRODUCT(('IGU(2020)_LNG_TRADE'!$C$3:$V$3=$A54)*('IGU(2020)_LNG_TRADE'!$A$5:$A$46=F$6))=0,0,SUMPRODUCT(('IGU(2020)_LNG_TRADE'!$C$3:$V$3=$A54)*('IGU(2020)_LNG_TRADE'!$A$5:$A$46=F$6)*'IGU(2020)_LNG_TRADE'!$C$5:$V$46)*10^6*Legend!$B$92*Legend!$B$82*Legend!$B$84*10^-3)</f>
        <v>0</v>
      </c>
      <c r="G54" s="209" cm="1">
        <f t="array" ref="G54">IF(SUMPRODUCT(('IGU(2020)_LNG_TRADE'!$C$3:$V$3=$A54)*('IGU(2020)_LNG_TRADE'!$A$5:$A$46=G$6))=0,0,SUMPRODUCT(('IGU(2020)_LNG_TRADE'!$C$3:$V$3=$A54)*('IGU(2020)_LNG_TRADE'!$A$5:$A$46=G$6)*'IGU(2020)_LNG_TRADE'!$C$5:$V$46)*10^6*Legend!$B$92*Legend!$B$82*Legend!$B$84*10^-3)</f>
        <v>0</v>
      </c>
      <c r="H54" s="209" cm="1">
        <f t="array" ref="H54">IF(SUMPRODUCT(('IGU(2020)_LNG_TRADE'!$C$3:$V$3=$A54)*('IGU(2020)_LNG_TRADE'!$A$5:$A$46=H$6))=0,0,SUMPRODUCT(('IGU(2020)_LNG_TRADE'!$C$3:$V$3=$A54)*('IGU(2020)_LNG_TRADE'!$A$5:$A$46=H$6)*'IGU(2020)_LNG_TRADE'!$C$5:$V$46)*10^6*Legend!$B$92*Legend!$B$82*Legend!$B$84*10^-3)</f>
        <v>0</v>
      </c>
      <c r="I54" s="209" cm="1">
        <f t="array" ref="I54">IF(SUMPRODUCT(('IGU(2020)_LNG_TRADE'!$C$3:$V$3=$A54)*('IGU(2020)_LNG_TRADE'!$A$5:$A$46=I$6))=0,0,SUMPRODUCT(('IGU(2020)_LNG_TRADE'!$C$3:$V$3=$A54)*('IGU(2020)_LNG_TRADE'!$A$5:$A$46=I$6)*'IGU(2020)_LNG_TRADE'!$C$5:$V$46)*10^6*Legend!$B$92*Legend!$B$82*Legend!$B$84*10^-3)</f>
        <v>0</v>
      </c>
      <c r="J54" s="209" cm="1">
        <f t="array" ref="J54">IF(SUMPRODUCT(('IGU(2020)_LNG_TRADE'!$C$3:$V$3=$A54)*('IGU(2020)_LNG_TRADE'!$A$5:$A$46=J$6))=0,0,SUMPRODUCT(('IGU(2020)_LNG_TRADE'!$C$3:$V$3=$A54)*('IGU(2020)_LNG_TRADE'!$A$5:$A$46=J$6)*'IGU(2020)_LNG_TRADE'!$C$5:$V$46)*10^6*Legend!$B$92*Legend!$B$82*Legend!$B$84*10^-3)</f>
        <v>11262.631399999997</v>
      </c>
      <c r="K54" s="209" cm="1">
        <f t="array" ref="K54">IF(SUMPRODUCT(('IGU(2020)_LNG_TRADE'!$C$3:$V$3=$A54)*('IGU(2020)_LNG_TRADE'!$A$5:$A$46=K$6))=0,0,SUMPRODUCT(('IGU(2020)_LNG_TRADE'!$C$3:$V$3=$A54)*('IGU(2020)_LNG_TRADE'!$A$5:$A$46=K$6)*'IGU(2020)_LNG_TRADE'!$C$5:$V$46)*10^6*Legend!$B$92*Legend!$B$82*Legend!$B$84*10^-3)</f>
        <v>0</v>
      </c>
      <c r="L54" s="209" cm="1">
        <f t="array" ref="L54">IF(SUMPRODUCT(('IGU(2020)_LNG_TRADE'!$C$3:$V$3=$A54)*('IGU(2020)_LNG_TRADE'!$A$5:$A$46=L$6))=0,0,SUMPRODUCT(('IGU(2020)_LNG_TRADE'!$C$3:$V$3=$A54)*('IGU(2020)_LNG_TRADE'!$A$5:$A$46=L$6)*'IGU(2020)_LNG_TRADE'!$C$5:$V$46)*10^6*Legend!$B$92*Legend!$B$82*Legend!$B$84*10^-3)</f>
        <v>0</v>
      </c>
      <c r="M54" s="209" cm="1">
        <f t="array" ref="M54">IF(SUMPRODUCT(('IGU(2020)_LNG_TRADE'!$C$3:$V$3=$A54)*('IGU(2020)_LNG_TRADE'!$A$5:$A$46=M$6))=0,0,SUMPRODUCT(('IGU(2020)_LNG_TRADE'!$C$3:$V$3=$A54)*('IGU(2020)_LNG_TRADE'!$A$5:$A$46=M$6)*'IGU(2020)_LNG_TRADE'!$C$5:$V$46)*10^6*Legend!$B$92*Legend!$B$82*Legend!$B$84*10^-3)</f>
        <v>5631.3156999999983</v>
      </c>
      <c r="N54" s="209" cm="1">
        <f t="array" ref="N54">IF(SUMPRODUCT(('IGU(2020)_LNG_TRADE'!$C$3:$V$3=$A54)*('IGU(2020)_LNG_TRADE'!$A$5:$A$46=N$6))=0,0,SUMPRODUCT(('IGU(2020)_LNG_TRADE'!$C$3:$V$3=$A54)*('IGU(2020)_LNG_TRADE'!$A$5:$A$46=N$6)*'IGU(2020)_LNG_TRADE'!$C$5:$V$46)*10^6*Legend!$B$92*Legend!$B$82*Legend!$B$84*10^-3)</f>
        <v>0</v>
      </c>
      <c r="O54" s="209" cm="1">
        <f t="array" ref="O54">IF(SUMPRODUCT(('IGU(2020)_LNG_TRADE'!$C$3:$V$3=$A54)*('IGU(2020)_LNG_TRADE'!$A$5:$A$46=O$6))=0,0,SUMPRODUCT(('IGU(2020)_LNG_TRADE'!$C$3:$V$3=$A54)*('IGU(2020)_LNG_TRADE'!$A$5:$A$46=O$6)*'IGU(2020)_LNG_TRADE'!$C$5:$V$46)*10^6*Legend!$B$92*Legend!$B$82*Legend!$B$84*10^-3)</f>
        <v>22525.262799999993</v>
      </c>
      <c r="P54" s="209" cm="1">
        <f t="array" ref="P54">IF(SUMPRODUCT(('IGU(2020)_LNG_TRADE'!$C$3:$V$3=$A54)*('IGU(2020)_LNG_TRADE'!$A$5:$A$46=P$6))=0,0,SUMPRODUCT(('IGU(2020)_LNG_TRADE'!$C$3:$V$3=$A54)*('IGU(2020)_LNG_TRADE'!$A$5:$A$46=P$6)*'IGU(2020)_LNG_TRADE'!$C$5:$V$46)*10^6*Legend!$B$92*Legend!$B$82*Legend!$B$84*10^-3)</f>
        <v>61944.472699999998</v>
      </c>
      <c r="Q54" s="209" cm="1">
        <f t="array" ref="Q54">IF(SUMPRODUCT(('IGU(2020)_LNG_TRADE'!$C$3:$V$3=$A54)*('IGU(2020)_LNG_TRADE'!$A$5:$A$46=Q$6))=0,0,SUMPRODUCT(('IGU(2020)_LNG_TRADE'!$C$3:$V$3=$A54)*('IGU(2020)_LNG_TRADE'!$A$5:$A$46=Q$6)*'IGU(2020)_LNG_TRADE'!$C$5:$V$46)*10^6*Legend!$B$92*Legend!$B$82*Legend!$B$84*10^-3)</f>
        <v>123888.9454</v>
      </c>
      <c r="R54" s="209" cm="1">
        <f t="array" ref="R54">IF(SUMPRODUCT(('IGU(2020)_LNG_TRADE'!$C$3:$V$3=$A54)*('IGU(2020)_LNG_TRADE'!$A$5:$A$46=R$6))=0,0,SUMPRODUCT(('IGU(2020)_LNG_TRADE'!$C$3:$V$3=$A54)*('IGU(2020)_LNG_TRADE'!$A$5:$A$46=R$6)*'IGU(2020)_LNG_TRADE'!$C$5:$V$46)*10^6*Legend!$B$92*Legend!$B$82*Legend!$B$84*10^-3)</f>
        <v>22525.262799999993</v>
      </c>
      <c r="S54" s="209" cm="1">
        <f t="array" ref="S54">IF(SUMPRODUCT(('IGU(2020)_LNG_TRADE'!$C$3:$V$3=$A54)*('IGU(2020)_LNG_TRADE'!$A$5:$A$46=S$6))=0,0,SUMPRODUCT(('IGU(2020)_LNG_TRADE'!$C$3:$V$3=$A54)*('IGU(2020)_LNG_TRADE'!$A$5:$A$46=S$6)*'IGU(2020)_LNG_TRADE'!$C$5:$V$46)*10^6*Legend!$B$92*Legend!$B$82*Legend!$B$84*10^-3)</f>
        <v>0</v>
      </c>
      <c r="T54" s="209" cm="1">
        <f t="array" ref="T54">IF(SUMPRODUCT(('IGU(2020)_LNG_TRADE'!$C$3:$V$3=$A54)*('IGU(2020)_LNG_TRADE'!$A$5:$A$46=T$6))=0,0,SUMPRODUCT(('IGU(2020)_LNG_TRADE'!$C$3:$V$3=$A54)*('IGU(2020)_LNG_TRADE'!$A$5:$A$46=T$6)*'IGU(2020)_LNG_TRADE'!$C$5:$V$46)*10^6*Legend!$B$92*Legend!$B$82*Legend!$B$84*10^-3)</f>
        <v>5631.3156999999983</v>
      </c>
      <c r="U54" s="209" cm="1">
        <f t="array" ref="U54">IF(SUMPRODUCT(('IGU(2020)_LNG_TRADE'!$C$3:$V$3=$A54)*('IGU(2020)_LNG_TRADE'!$A$5:$A$46=U$6))=0,0,SUMPRODUCT(('IGU(2020)_LNG_TRADE'!$C$3:$V$3=$A54)*('IGU(2020)_LNG_TRADE'!$A$5:$A$46=U$6)*'IGU(2020)_LNG_TRADE'!$C$5:$V$46)*10^6*Legend!$B$92*Legend!$B$82*Legend!$B$84*10^-3)</f>
        <v>0</v>
      </c>
      <c r="V54" s="209" cm="1">
        <f t="array" ref="V54">IF(SUMPRODUCT(('IGU(2020)_LNG_TRADE'!$C$3:$V$3=$A54)*('IGU(2020)_LNG_TRADE'!$A$5:$A$46=V$6))=0,0,SUMPRODUCT(('IGU(2020)_LNG_TRADE'!$C$3:$V$3=$A54)*('IGU(2020)_LNG_TRADE'!$A$5:$A$46=V$6)*'IGU(2020)_LNG_TRADE'!$C$5:$V$46)*10^6*Legend!$B$92*Legend!$B$82*Legend!$B$84*10^-3)</f>
        <v>11262.631399999997</v>
      </c>
      <c r="W54" s="209" cm="1">
        <f t="array" ref="W54">IF(SUMPRODUCT(('IGU(2020)_LNG_TRADE'!$C$3:$V$3=$A54)*('IGU(2020)_LNG_TRADE'!$A$5:$A$46=W$6))=0,0,SUMPRODUCT(('IGU(2020)_LNG_TRADE'!$C$3:$V$3=$A54)*('IGU(2020)_LNG_TRADE'!$A$5:$A$46=W$6)*'IGU(2020)_LNG_TRADE'!$C$5:$V$46)*10^6*Legend!$B$92*Legend!$B$82*Legend!$B$84*10^-3)</f>
        <v>5631.3156999999983</v>
      </c>
      <c r="X54" s="209" cm="1">
        <f t="array" ref="X54">IF(SUMPRODUCT(('IGU(2020)_LNG_TRADE'!$C$3:$V$3=$A54)*('IGU(2020)_LNG_TRADE'!$A$5:$A$46=X$6))=0,0,SUMPRODUCT(('IGU(2020)_LNG_TRADE'!$C$3:$V$3=$A54)*('IGU(2020)_LNG_TRADE'!$A$5:$A$46=X$6)*'IGU(2020)_LNG_TRADE'!$C$5:$V$46)*10^6*Legend!$B$92*Legend!$B$82*Legend!$B$84*10^-3)</f>
        <v>0</v>
      </c>
      <c r="Y54" s="209" cm="1">
        <f t="array" ref="Y54">IF(SUMPRODUCT(('IGU(2020)_LNG_TRADE'!$C$3:$V$3=$A54)*('IGU(2020)_LNG_TRADE'!$A$5:$A$46=Y$6))=0,0,SUMPRODUCT(('IGU(2020)_LNG_TRADE'!$C$3:$V$3=$A54)*('IGU(2020)_LNG_TRADE'!$A$5:$A$46=Y$6)*'IGU(2020)_LNG_TRADE'!$C$5:$V$46)*10^6*Legend!$B$92*Legend!$B$82*Legend!$B$84*10^-3)</f>
        <v>0</v>
      </c>
      <c r="Z54" s="209" cm="1">
        <f t="array" ref="Z54">IF(SUMPRODUCT(('IGU(2020)_LNG_TRADE'!$C$3:$V$3=$A54)*('IGU(2020)_LNG_TRADE'!$A$5:$A$46=Z$6))=0,0,SUMPRODUCT(('IGU(2020)_LNG_TRADE'!$C$3:$V$3=$A54)*('IGU(2020)_LNG_TRADE'!$A$5:$A$46=Z$6)*'IGU(2020)_LNG_TRADE'!$C$5:$V$46)*10^6*Legend!$B$92*Legend!$B$82*Legend!$B$84*10^-3)</f>
        <v>0</v>
      </c>
      <c r="AA54" s="209" cm="1">
        <f t="array" ref="AA54">IF(SUMPRODUCT(('IGU(2020)_LNG_TRADE'!$C$3:$V$3=$A54)*('IGU(2020)_LNG_TRADE'!$A$5:$A$46=AA$6))=0,0,SUMPRODUCT(('IGU(2020)_LNG_TRADE'!$C$3:$V$3=$A54)*('IGU(2020)_LNG_TRADE'!$A$5:$A$46=AA$6)*'IGU(2020)_LNG_TRADE'!$C$5:$V$46)*10^6*Legend!$B$92*Legend!$B$82*Legend!$B$84*10^-3)</f>
        <v>0</v>
      </c>
      <c r="AB54" s="209" cm="1">
        <f t="array" ref="AB54">IF(SUMPRODUCT(('IGU(2020)_LNG_TRADE'!$C$3:$V$3=$A54)*('IGU(2020)_LNG_TRADE'!$A$5:$A$46=AB$6))=0,0,SUMPRODUCT(('IGU(2020)_LNG_TRADE'!$C$3:$V$3=$A54)*('IGU(2020)_LNG_TRADE'!$A$5:$A$46=AB$6)*'IGU(2020)_LNG_TRADE'!$C$5:$V$46)*10^6*Legend!$B$92*Legend!$B$82*Legend!$B$84*10^-3)</f>
        <v>0</v>
      </c>
      <c r="AC54" s="220" cm="1">
        <f t="array" ref="AC54">IF(SUMPRODUCT(('IGU(2020)_LNG_TRADE'!$C$3:$V$3=$A54)*('IGU(2020)_LNG_TRADE'!$A$5:$A$46=AC$6))=0,0,SUMPRODUCT(('IGU(2020)_LNG_TRADE'!$C$3:$V$3=$A54)*('IGU(2020)_LNG_TRADE'!$A$5:$A$46=AC$6)*'IGU(2020)_LNG_TRADE'!$C$5:$V$46)*10^6*Legend!$B$92*Legend!$B$82*Legend!$B$84*10^-3)</f>
        <v>0</v>
      </c>
    </row>
    <row r="55" spans="1:29">
      <c r="A55" s="215" t="s">
        <v>211</v>
      </c>
      <c r="B55" s="209" cm="1">
        <f t="array" ref="B55">IF(SUMPRODUCT(('IGU(2020)_LNG_TRADE'!$C$3:$V$3=$A55)*('IGU(2020)_LNG_TRADE'!$A$5:$A$46=B$6))=0,0,SUMPRODUCT(('IGU(2020)_LNG_TRADE'!$C$3:$V$3=$A55)*('IGU(2020)_LNG_TRADE'!$A$5:$A$46=B$6)*'IGU(2020)_LNG_TRADE'!$C$5:$V$46)*10^6*Legend!$B$92*Legend!$B$82*Legend!$B$84*10^-3)</f>
        <v>0</v>
      </c>
      <c r="C55" s="209" cm="1">
        <f t="array" ref="C55">IF(SUMPRODUCT(('IGU(2020)_LNG_TRADE'!$C$3:$V$3=$A55)*('IGU(2020)_LNG_TRADE'!$A$5:$A$46=C$6))=0,0,SUMPRODUCT(('IGU(2020)_LNG_TRADE'!$C$3:$V$3=$A55)*('IGU(2020)_LNG_TRADE'!$A$5:$A$46=C$6)*'IGU(2020)_LNG_TRADE'!$C$5:$V$46)*10^6*Legend!$B$92*Legend!$B$82*Legend!$B$84*10^-3)</f>
        <v>0</v>
      </c>
      <c r="D55" s="209" cm="1">
        <f t="array" ref="D55">IF(SUMPRODUCT(('IGU(2020)_LNG_TRADE'!$C$3:$V$3=$A55)*('IGU(2020)_LNG_TRADE'!$A$5:$A$46=D$6))=0,0,SUMPRODUCT(('IGU(2020)_LNG_TRADE'!$C$3:$V$3=$A55)*('IGU(2020)_LNG_TRADE'!$A$5:$A$46=D$6)*'IGU(2020)_LNG_TRADE'!$C$5:$V$46)*10^6*Legend!$B$92*Legend!$B$82*Legend!$B$84*10^-3)</f>
        <v>0</v>
      </c>
      <c r="E55" s="209" cm="1">
        <f t="array" ref="E55">IF(SUMPRODUCT(('IGU(2020)_LNG_TRADE'!$C$3:$V$3=$A55)*('IGU(2020)_LNG_TRADE'!$A$5:$A$46=E$6))=0,0,SUMPRODUCT(('IGU(2020)_LNG_TRADE'!$C$3:$V$3=$A55)*('IGU(2020)_LNG_TRADE'!$A$5:$A$46=E$6)*'IGU(2020)_LNG_TRADE'!$C$5:$V$46)*10^6*Legend!$B$92*Legend!$B$82*Legend!$B$84*10^-3)</f>
        <v>0</v>
      </c>
      <c r="F55" s="209" cm="1">
        <f t="array" ref="F55">IF(SUMPRODUCT(('IGU(2020)_LNG_TRADE'!$C$3:$V$3=$A55)*('IGU(2020)_LNG_TRADE'!$A$5:$A$46=F$6))=0,0,SUMPRODUCT(('IGU(2020)_LNG_TRADE'!$C$3:$V$3=$A55)*('IGU(2020)_LNG_TRADE'!$A$5:$A$46=F$6)*'IGU(2020)_LNG_TRADE'!$C$5:$V$46)*10^6*Legend!$B$92*Legend!$B$82*Legend!$B$84*10^-3)</f>
        <v>0</v>
      </c>
      <c r="G55" s="209" cm="1">
        <f t="array" ref="G55">IF(SUMPRODUCT(('IGU(2020)_LNG_TRADE'!$C$3:$V$3=$A55)*('IGU(2020)_LNG_TRADE'!$A$5:$A$46=G$6))=0,0,SUMPRODUCT(('IGU(2020)_LNG_TRADE'!$C$3:$V$3=$A55)*('IGU(2020)_LNG_TRADE'!$A$5:$A$46=G$6)*'IGU(2020)_LNG_TRADE'!$C$5:$V$46)*10^6*Legend!$B$92*Legend!$B$82*Legend!$B$84*10^-3)</f>
        <v>0</v>
      </c>
      <c r="H55" s="209" cm="1">
        <f t="array" ref="H55">IF(SUMPRODUCT(('IGU(2020)_LNG_TRADE'!$C$3:$V$3=$A55)*('IGU(2020)_LNG_TRADE'!$A$5:$A$46=H$6))=0,0,SUMPRODUCT(('IGU(2020)_LNG_TRADE'!$C$3:$V$3=$A55)*('IGU(2020)_LNG_TRADE'!$A$5:$A$46=H$6)*'IGU(2020)_LNG_TRADE'!$C$5:$V$46)*10^6*Legend!$B$92*Legend!$B$82*Legend!$B$84*10^-3)</f>
        <v>0</v>
      </c>
      <c r="I55" s="209" cm="1">
        <f t="array" ref="I55">IF(SUMPRODUCT(('IGU(2020)_LNG_TRADE'!$C$3:$V$3=$A55)*('IGU(2020)_LNG_TRADE'!$A$5:$A$46=I$6))=0,0,SUMPRODUCT(('IGU(2020)_LNG_TRADE'!$C$3:$V$3=$A55)*('IGU(2020)_LNG_TRADE'!$A$5:$A$46=I$6)*'IGU(2020)_LNG_TRADE'!$C$5:$V$46)*10^6*Legend!$B$92*Legend!$B$82*Legend!$B$84*10^-3)</f>
        <v>0</v>
      </c>
      <c r="J55" s="209" cm="1">
        <f t="array" ref="J55">IF(SUMPRODUCT(('IGU(2020)_LNG_TRADE'!$C$3:$V$3=$A55)*('IGU(2020)_LNG_TRADE'!$A$5:$A$46=J$6))=0,0,SUMPRODUCT(('IGU(2020)_LNG_TRADE'!$C$3:$V$3=$A55)*('IGU(2020)_LNG_TRADE'!$A$5:$A$46=J$6)*'IGU(2020)_LNG_TRADE'!$C$5:$V$46)*10^6*Legend!$B$92*Legend!$B$82*Legend!$B$84*10^-3)</f>
        <v>0</v>
      </c>
      <c r="K55" s="209" cm="1">
        <f t="array" ref="K55">IF(SUMPRODUCT(('IGU(2020)_LNG_TRADE'!$C$3:$V$3=$A55)*('IGU(2020)_LNG_TRADE'!$A$5:$A$46=K$6))=0,0,SUMPRODUCT(('IGU(2020)_LNG_TRADE'!$C$3:$V$3=$A55)*('IGU(2020)_LNG_TRADE'!$A$5:$A$46=K$6)*'IGU(2020)_LNG_TRADE'!$C$5:$V$46)*10^6*Legend!$B$92*Legend!$B$82*Legend!$B$84*10^-3)</f>
        <v>0</v>
      </c>
      <c r="L55" s="209" cm="1">
        <f t="array" ref="L55">IF(SUMPRODUCT(('IGU(2020)_LNG_TRADE'!$C$3:$V$3=$A55)*('IGU(2020)_LNG_TRADE'!$A$5:$A$46=L$6))=0,0,SUMPRODUCT(('IGU(2020)_LNG_TRADE'!$C$3:$V$3=$A55)*('IGU(2020)_LNG_TRADE'!$A$5:$A$46=L$6)*'IGU(2020)_LNG_TRADE'!$C$5:$V$46)*10^6*Legend!$B$92*Legend!$B$82*Legend!$B$84*10^-3)</f>
        <v>0</v>
      </c>
      <c r="M55" s="209" cm="1">
        <f t="array" ref="M55">IF(SUMPRODUCT(('IGU(2020)_LNG_TRADE'!$C$3:$V$3=$A55)*('IGU(2020)_LNG_TRADE'!$A$5:$A$46=M$6))=0,0,SUMPRODUCT(('IGU(2020)_LNG_TRADE'!$C$3:$V$3=$A55)*('IGU(2020)_LNG_TRADE'!$A$5:$A$46=M$6)*'IGU(2020)_LNG_TRADE'!$C$5:$V$46)*10^6*Legend!$B$92*Legend!$B$82*Legend!$B$84*10^-3)</f>
        <v>0</v>
      </c>
      <c r="N55" s="209" cm="1">
        <f t="array" ref="N55">IF(SUMPRODUCT(('IGU(2020)_LNG_TRADE'!$C$3:$V$3=$A55)*('IGU(2020)_LNG_TRADE'!$A$5:$A$46=N$6))=0,0,SUMPRODUCT(('IGU(2020)_LNG_TRADE'!$C$3:$V$3=$A55)*('IGU(2020)_LNG_TRADE'!$A$5:$A$46=N$6)*'IGU(2020)_LNG_TRADE'!$C$5:$V$46)*10^6*Legend!$B$92*Legend!$B$82*Legend!$B$84*10^-3)</f>
        <v>0</v>
      </c>
      <c r="O55" s="209" cm="1">
        <f t="array" ref="O55">IF(SUMPRODUCT(('IGU(2020)_LNG_TRADE'!$C$3:$V$3=$A55)*('IGU(2020)_LNG_TRADE'!$A$5:$A$46=O$6))=0,0,SUMPRODUCT(('IGU(2020)_LNG_TRADE'!$C$3:$V$3=$A55)*('IGU(2020)_LNG_TRADE'!$A$5:$A$46=O$6)*'IGU(2020)_LNG_TRADE'!$C$5:$V$46)*10^6*Legend!$B$92*Legend!$B$82*Legend!$B$84*10^-3)</f>
        <v>0</v>
      </c>
      <c r="P55" s="209" cm="1">
        <f t="array" ref="P55">IF(SUMPRODUCT(('IGU(2020)_LNG_TRADE'!$C$3:$V$3=$A55)*('IGU(2020)_LNG_TRADE'!$A$5:$A$46=P$6))=0,0,SUMPRODUCT(('IGU(2020)_LNG_TRADE'!$C$3:$V$3=$A55)*('IGU(2020)_LNG_TRADE'!$A$5:$A$46=P$6)*'IGU(2020)_LNG_TRADE'!$C$5:$V$46)*10^6*Legend!$B$92*Legend!$B$82*Legend!$B$84*10^-3)</f>
        <v>0</v>
      </c>
      <c r="Q55" s="209" cm="1">
        <f t="array" ref="Q55">IF(SUMPRODUCT(('IGU(2020)_LNG_TRADE'!$C$3:$V$3=$A55)*('IGU(2020)_LNG_TRADE'!$A$5:$A$46=Q$6))=0,0,SUMPRODUCT(('IGU(2020)_LNG_TRADE'!$C$3:$V$3=$A55)*('IGU(2020)_LNG_TRADE'!$A$5:$A$46=Q$6)*'IGU(2020)_LNG_TRADE'!$C$5:$V$46)*10^6*Legend!$B$92*Legend!$B$82*Legend!$B$84*10^-3)</f>
        <v>0</v>
      </c>
      <c r="R55" s="209" cm="1">
        <f t="array" ref="R55">IF(SUMPRODUCT(('IGU(2020)_LNG_TRADE'!$C$3:$V$3=$A55)*('IGU(2020)_LNG_TRADE'!$A$5:$A$46=R$6))=0,0,SUMPRODUCT(('IGU(2020)_LNG_TRADE'!$C$3:$V$3=$A55)*('IGU(2020)_LNG_TRADE'!$A$5:$A$46=R$6)*'IGU(2020)_LNG_TRADE'!$C$5:$V$46)*10^6*Legend!$B$92*Legend!$B$82*Legend!$B$84*10^-3)</f>
        <v>0</v>
      </c>
      <c r="S55" s="209" cm="1">
        <f t="array" ref="S55">IF(SUMPRODUCT(('IGU(2020)_LNG_TRADE'!$C$3:$V$3=$A55)*('IGU(2020)_LNG_TRADE'!$A$5:$A$46=S$6))=0,0,SUMPRODUCT(('IGU(2020)_LNG_TRADE'!$C$3:$V$3=$A55)*('IGU(2020)_LNG_TRADE'!$A$5:$A$46=S$6)*'IGU(2020)_LNG_TRADE'!$C$5:$V$46)*10^6*Legend!$B$92*Legend!$B$82*Legend!$B$84*10^-3)</f>
        <v>0</v>
      </c>
      <c r="T55" s="209" cm="1">
        <f t="array" ref="T55">IF(SUMPRODUCT(('IGU(2020)_LNG_TRADE'!$C$3:$V$3=$A55)*('IGU(2020)_LNG_TRADE'!$A$5:$A$46=T$6))=0,0,SUMPRODUCT(('IGU(2020)_LNG_TRADE'!$C$3:$V$3=$A55)*('IGU(2020)_LNG_TRADE'!$A$5:$A$46=T$6)*'IGU(2020)_LNG_TRADE'!$C$5:$V$46)*10^6*Legend!$B$92*Legend!$B$82*Legend!$B$84*10^-3)</f>
        <v>0</v>
      </c>
      <c r="U55" s="209" cm="1">
        <f t="array" ref="U55">IF(SUMPRODUCT(('IGU(2020)_LNG_TRADE'!$C$3:$V$3=$A55)*('IGU(2020)_LNG_TRADE'!$A$5:$A$46=U$6))=0,0,SUMPRODUCT(('IGU(2020)_LNG_TRADE'!$C$3:$V$3=$A55)*('IGU(2020)_LNG_TRADE'!$A$5:$A$46=U$6)*'IGU(2020)_LNG_TRADE'!$C$5:$V$46)*10^6*Legend!$B$92*Legend!$B$82*Legend!$B$84*10^-3)</f>
        <v>0</v>
      </c>
      <c r="V55" s="209" cm="1">
        <f t="array" ref="V55">IF(SUMPRODUCT(('IGU(2020)_LNG_TRADE'!$C$3:$V$3=$A55)*('IGU(2020)_LNG_TRADE'!$A$5:$A$46=V$6))=0,0,SUMPRODUCT(('IGU(2020)_LNG_TRADE'!$C$3:$V$3=$A55)*('IGU(2020)_LNG_TRADE'!$A$5:$A$46=V$6)*'IGU(2020)_LNG_TRADE'!$C$5:$V$46)*10^6*Legend!$B$92*Legend!$B$82*Legend!$B$84*10^-3)</f>
        <v>0</v>
      </c>
      <c r="W55" s="209" cm="1">
        <f t="array" ref="W55">IF(SUMPRODUCT(('IGU(2020)_LNG_TRADE'!$C$3:$V$3=$A55)*('IGU(2020)_LNG_TRADE'!$A$5:$A$46=W$6))=0,0,SUMPRODUCT(('IGU(2020)_LNG_TRADE'!$C$3:$V$3=$A55)*('IGU(2020)_LNG_TRADE'!$A$5:$A$46=W$6)*'IGU(2020)_LNG_TRADE'!$C$5:$V$46)*10^6*Legend!$B$92*Legend!$B$82*Legend!$B$84*10^-3)</f>
        <v>0</v>
      </c>
      <c r="X55" s="209" cm="1">
        <f t="array" ref="X55">IF(SUMPRODUCT(('IGU(2020)_LNG_TRADE'!$C$3:$V$3=$A55)*('IGU(2020)_LNG_TRADE'!$A$5:$A$46=X$6))=0,0,SUMPRODUCT(('IGU(2020)_LNG_TRADE'!$C$3:$V$3=$A55)*('IGU(2020)_LNG_TRADE'!$A$5:$A$46=X$6)*'IGU(2020)_LNG_TRADE'!$C$5:$V$46)*10^6*Legend!$B$92*Legend!$B$82*Legend!$B$84*10^-3)</f>
        <v>0</v>
      </c>
      <c r="Y55" s="209" cm="1">
        <f t="array" ref="Y55">IF(SUMPRODUCT(('IGU(2020)_LNG_TRADE'!$C$3:$V$3=$A55)*('IGU(2020)_LNG_TRADE'!$A$5:$A$46=Y$6))=0,0,SUMPRODUCT(('IGU(2020)_LNG_TRADE'!$C$3:$V$3=$A55)*('IGU(2020)_LNG_TRADE'!$A$5:$A$46=Y$6)*'IGU(2020)_LNG_TRADE'!$C$5:$V$46)*10^6*Legend!$B$92*Legend!$B$82*Legend!$B$84*10^-3)</f>
        <v>0</v>
      </c>
      <c r="Z55" s="209" cm="1">
        <f t="array" ref="Z55">IF(SUMPRODUCT(('IGU(2020)_LNG_TRADE'!$C$3:$V$3=$A55)*('IGU(2020)_LNG_TRADE'!$A$5:$A$46=Z$6))=0,0,SUMPRODUCT(('IGU(2020)_LNG_TRADE'!$C$3:$V$3=$A55)*('IGU(2020)_LNG_TRADE'!$A$5:$A$46=Z$6)*'IGU(2020)_LNG_TRADE'!$C$5:$V$46)*10^6*Legend!$B$92*Legend!$B$82*Legend!$B$84*10^-3)</f>
        <v>0</v>
      </c>
      <c r="AA55" s="209" cm="1">
        <f t="array" ref="AA55">IF(SUMPRODUCT(('IGU(2020)_LNG_TRADE'!$C$3:$V$3=$A55)*('IGU(2020)_LNG_TRADE'!$A$5:$A$46=AA$6))=0,0,SUMPRODUCT(('IGU(2020)_LNG_TRADE'!$C$3:$V$3=$A55)*('IGU(2020)_LNG_TRADE'!$A$5:$A$46=AA$6)*'IGU(2020)_LNG_TRADE'!$C$5:$V$46)*10^6*Legend!$B$92*Legend!$B$82*Legend!$B$84*10^-3)</f>
        <v>0</v>
      </c>
      <c r="AB55" s="209" cm="1">
        <f t="array" ref="AB55">IF(SUMPRODUCT(('IGU(2020)_LNG_TRADE'!$C$3:$V$3=$A55)*('IGU(2020)_LNG_TRADE'!$A$5:$A$46=AB$6))=0,0,SUMPRODUCT(('IGU(2020)_LNG_TRADE'!$C$3:$V$3=$A55)*('IGU(2020)_LNG_TRADE'!$A$5:$A$46=AB$6)*'IGU(2020)_LNG_TRADE'!$C$5:$V$46)*10^6*Legend!$B$92*Legend!$B$82*Legend!$B$84*10^-3)</f>
        <v>0</v>
      </c>
      <c r="AC55" s="220" cm="1">
        <f t="array" ref="AC55">IF(SUMPRODUCT(('IGU(2020)_LNG_TRADE'!$C$3:$V$3=$A55)*('IGU(2020)_LNG_TRADE'!$A$5:$A$46=AC$6))=0,0,SUMPRODUCT(('IGU(2020)_LNG_TRADE'!$C$3:$V$3=$A55)*('IGU(2020)_LNG_TRADE'!$A$5:$A$46=AC$6)*'IGU(2020)_LNG_TRADE'!$C$5:$V$46)*10^6*Legend!$B$92*Legend!$B$82*Legend!$B$84*10^-3)</f>
        <v>0</v>
      </c>
    </row>
    <row r="56" spans="1:29">
      <c r="A56" s="215" t="s">
        <v>214</v>
      </c>
      <c r="B56" s="209" cm="1">
        <f t="array" ref="B56">IF(SUMPRODUCT(('IGU(2020)_LNG_TRADE'!$C$3:$V$3=$A56)*('IGU(2020)_LNG_TRADE'!$A$5:$A$46=B$6))=0,0,SUMPRODUCT(('IGU(2020)_LNG_TRADE'!$C$3:$V$3=$A56)*('IGU(2020)_LNG_TRADE'!$A$5:$A$46=B$6)*'IGU(2020)_LNG_TRADE'!$C$5:$V$46)*10^6*Legend!$B$92*Legend!$B$82*Legend!$B$84*10^-3)</f>
        <v>0</v>
      </c>
      <c r="C56" s="209" cm="1">
        <f t="array" ref="C56">IF(SUMPRODUCT(('IGU(2020)_LNG_TRADE'!$C$3:$V$3=$A56)*('IGU(2020)_LNG_TRADE'!$A$5:$A$46=C$6))=0,0,SUMPRODUCT(('IGU(2020)_LNG_TRADE'!$C$3:$V$3=$A56)*('IGU(2020)_LNG_TRADE'!$A$5:$A$46=C$6)*'IGU(2020)_LNG_TRADE'!$C$5:$V$46)*10^6*Legend!$B$92*Legend!$B$82*Legend!$B$84*10^-3)</f>
        <v>0</v>
      </c>
      <c r="D56" s="209" cm="1">
        <f t="array" ref="D56">IF(SUMPRODUCT(('IGU(2020)_LNG_TRADE'!$C$3:$V$3=$A56)*('IGU(2020)_LNG_TRADE'!$A$5:$A$46=D$6))=0,0,SUMPRODUCT(('IGU(2020)_LNG_TRADE'!$C$3:$V$3=$A56)*('IGU(2020)_LNG_TRADE'!$A$5:$A$46=D$6)*'IGU(2020)_LNG_TRADE'!$C$5:$V$46)*10^6*Legend!$B$92*Legend!$B$82*Legend!$B$84*10^-3)</f>
        <v>0</v>
      </c>
      <c r="E56" s="209" cm="1">
        <f t="array" ref="E56">IF(SUMPRODUCT(('IGU(2020)_LNG_TRADE'!$C$3:$V$3=$A56)*('IGU(2020)_LNG_TRADE'!$A$5:$A$46=E$6))=0,0,SUMPRODUCT(('IGU(2020)_LNG_TRADE'!$C$3:$V$3=$A56)*('IGU(2020)_LNG_TRADE'!$A$5:$A$46=E$6)*'IGU(2020)_LNG_TRADE'!$C$5:$V$46)*10^6*Legend!$B$92*Legend!$B$82*Legend!$B$84*10^-3)</f>
        <v>0</v>
      </c>
      <c r="F56" s="209" cm="1">
        <f t="array" ref="F56">IF(SUMPRODUCT(('IGU(2020)_LNG_TRADE'!$C$3:$V$3=$A56)*('IGU(2020)_LNG_TRADE'!$A$5:$A$46=F$6))=0,0,SUMPRODUCT(('IGU(2020)_LNG_TRADE'!$C$3:$V$3=$A56)*('IGU(2020)_LNG_TRADE'!$A$5:$A$46=F$6)*'IGU(2020)_LNG_TRADE'!$C$5:$V$46)*10^6*Legend!$B$92*Legend!$B$82*Legend!$B$84*10^-3)</f>
        <v>0</v>
      </c>
      <c r="G56" s="209" cm="1">
        <f t="array" ref="G56">IF(SUMPRODUCT(('IGU(2020)_LNG_TRADE'!$C$3:$V$3=$A56)*('IGU(2020)_LNG_TRADE'!$A$5:$A$46=G$6))=0,0,SUMPRODUCT(('IGU(2020)_LNG_TRADE'!$C$3:$V$3=$A56)*('IGU(2020)_LNG_TRADE'!$A$5:$A$46=G$6)*'IGU(2020)_LNG_TRADE'!$C$5:$V$46)*10^6*Legend!$B$92*Legend!$B$82*Legend!$B$84*10^-3)</f>
        <v>0</v>
      </c>
      <c r="H56" s="209" cm="1">
        <f t="array" ref="H56">IF(SUMPRODUCT(('IGU(2020)_LNG_TRADE'!$C$3:$V$3=$A56)*('IGU(2020)_LNG_TRADE'!$A$5:$A$46=H$6))=0,0,SUMPRODUCT(('IGU(2020)_LNG_TRADE'!$C$3:$V$3=$A56)*('IGU(2020)_LNG_TRADE'!$A$5:$A$46=H$6)*'IGU(2020)_LNG_TRADE'!$C$5:$V$46)*10^6*Legend!$B$92*Legend!$B$82*Legend!$B$84*10^-3)</f>
        <v>0</v>
      </c>
      <c r="I56" s="209" cm="1">
        <f t="array" ref="I56">IF(SUMPRODUCT(('IGU(2020)_LNG_TRADE'!$C$3:$V$3=$A56)*('IGU(2020)_LNG_TRADE'!$A$5:$A$46=I$6))=0,0,SUMPRODUCT(('IGU(2020)_LNG_TRADE'!$C$3:$V$3=$A56)*('IGU(2020)_LNG_TRADE'!$A$5:$A$46=I$6)*'IGU(2020)_LNG_TRADE'!$C$5:$V$46)*10^6*Legend!$B$92*Legend!$B$82*Legend!$B$84*10^-3)</f>
        <v>0</v>
      </c>
      <c r="J56" s="209" cm="1">
        <f t="array" ref="J56">IF(SUMPRODUCT(('IGU(2020)_LNG_TRADE'!$C$3:$V$3=$A56)*('IGU(2020)_LNG_TRADE'!$A$5:$A$46=J$6))=0,0,SUMPRODUCT(('IGU(2020)_LNG_TRADE'!$C$3:$V$3=$A56)*('IGU(2020)_LNG_TRADE'!$A$5:$A$46=J$6)*'IGU(2020)_LNG_TRADE'!$C$5:$V$46)*10^6*Legend!$B$92*Legend!$B$82*Legend!$B$84*10^-3)</f>
        <v>0</v>
      </c>
      <c r="K56" s="209" cm="1">
        <f t="array" ref="K56">IF(SUMPRODUCT(('IGU(2020)_LNG_TRADE'!$C$3:$V$3=$A56)*('IGU(2020)_LNG_TRADE'!$A$5:$A$46=K$6))=0,0,SUMPRODUCT(('IGU(2020)_LNG_TRADE'!$C$3:$V$3=$A56)*('IGU(2020)_LNG_TRADE'!$A$5:$A$46=K$6)*'IGU(2020)_LNG_TRADE'!$C$5:$V$46)*10^6*Legend!$B$92*Legend!$B$82*Legend!$B$84*10^-3)</f>
        <v>0</v>
      </c>
      <c r="L56" s="209" cm="1">
        <f t="array" ref="L56">IF(SUMPRODUCT(('IGU(2020)_LNG_TRADE'!$C$3:$V$3=$A56)*('IGU(2020)_LNG_TRADE'!$A$5:$A$46=L$6))=0,0,SUMPRODUCT(('IGU(2020)_LNG_TRADE'!$C$3:$V$3=$A56)*('IGU(2020)_LNG_TRADE'!$A$5:$A$46=L$6)*'IGU(2020)_LNG_TRADE'!$C$5:$V$46)*10^6*Legend!$B$92*Legend!$B$82*Legend!$B$84*10^-3)</f>
        <v>0</v>
      </c>
      <c r="M56" s="209" cm="1">
        <f t="array" ref="M56">IF(SUMPRODUCT(('IGU(2020)_LNG_TRADE'!$C$3:$V$3=$A56)*('IGU(2020)_LNG_TRADE'!$A$5:$A$46=M$6))=0,0,SUMPRODUCT(('IGU(2020)_LNG_TRADE'!$C$3:$V$3=$A56)*('IGU(2020)_LNG_TRADE'!$A$5:$A$46=M$6)*'IGU(2020)_LNG_TRADE'!$C$5:$V$46)*10^6*Legend!$B$92*Legend!$B$82*Legend!$B$84*10^-3)</f>
        <v>0</v>
      </c>
      <c r="N56" s="209" cm="1">
        <f t="array" ref="N56">IF(SUMPRODUCT(('IGU(2020)_LNG_TRADE'!$C$3:$V$3=$A56)*('IGU(2020)_LNG_TRADE'!$A$5:$A$46=N$6))=0,0,SUMPRODUCT(('IGU(2020)_LNG_TRADE'!$C$3:$V$3=$A56)*('IGU(2020)_LNG_TRADE'!$A$5:$A$46=N$6)*'IGU(2020)_LNG_TRADE'!$C$5:$V$46)*10^6*Legend!$B$92*Legend!$B$82*Legend!$B$84*10^-3)</f>
        <v>0</v>
      </c>
      <c r="O56" s="209" cm="1">
        <f t="array" ref="O56">IF(SUMPRODUCT(('IGU(2020)_LNG_TRADE'!$C$3:$V$3=$A56)*('IGU(2020)_LNG_TRADE'!$A$5:$A$46=O$6))=0,0,SUMPRODUCT(('IGU(2020)_LNG_TRADE'!$C$3:$V$3=$A56)*('IGU(2020)_LNG_TRADE'!$A$5:$A$46=O$6)*'IGU(2020)_LNG_TRADE'!$C$5:$V$46)*10^6*Legend!$B$92*Legend!$B$82*Legend!$B$84*10^-3)</f>
        <v>0</v>
      </c>
      <c r="P56" s="209" cm="1">
        <f t="array" ref="P56">IF(SUMPRODUCT(('IGU(2020)_LNG_TRADE'!$C$3:$V$3=$A56)*('IGU(2020)_LNG_TRADE'!$A$5:$A$46=P$6))=0,0,SUMPRODUCT(('IGU(2020)_LNG_TRADE'!$C$3:$V$3=$A56)*('IGU(2020)_LNG_TRADE'!$A$5:$A$46=P$6)*'IGU(2020)_LNG_TRADE'!$C$5:$V$46)*10^6*Legend!$B$92*Legend!$B$82*Legend!$B$84*10^-3)</f>
        <v>0</v>
      </c>
      <c r="Q56" s="209" cm="1">
        <f t="array" ref="Q56">IF(SUMPRODUCT(('IGU(2020)_LNG_TRADE'!$C$3:$V$3=$A56)*('IGU(2020)_LNG_TRADE'!$A$5:$A$46=Q$6))=0,0,SUMPRODUCT(('IGU(2020)_LNG_TRADE'!$C$3:$V$3=$A56)*('IGU(2020)_LNG_TRADE'!$A$5:$A$46=Q$6)*'IGU(2020)_LNG_TRADE'!$C$5:$V$46)*10^6*Legend!$B$92*Legend!$B$82*Legend!$B$84*10^-3)</f>
        <v>0</v>
      </c>
      <c r="R56" s="209" cm="1">
        <f t="array" ref="R56">IF(SUMPRODUCT(('IGU(2020)_LNG_TRADE'!$C$3:$V$3=$A56)*('IGU(2020)_LNG_TRADE'!$A$5:$A$46=R$6))=0,0,SUMPRODUCT(('IGU(2020)_LNG_TRADE'!$C$3:$V$3=$A56)*('IGU(2020)_LNG_TRADE'!$A$5:$A$46=R$6)*'IGU(2020)_LNG_TRADE'!$C$5:$V$46)*10^6*Legend!$B$92*Legend!$B$82*Legend!$B$84*10^-3)</f>
        <v>0</v>
      </c>
      <c r="S56" s="209" cm="1">
        <f t="array" ref="S56">IF(SUMPRODUCT(('IGU(2020)_LNG_TRADE'!$C$3:$V$3=$A56)*('IGU(2020)_LNG_TRADE'!$A$5:$A$46=S$6))=0,0,SUMPRODUCT(('IGU(2020)_LNG_TRADE'!$C$3:$V$3=$A56)*('IGU(2020)_LNG_TRADE'!$A$5:$A$46=S$6)*'IGU(2020)_LNG_TRADE'!$C$5:$V$46)*10^6*Legend!$B$92*Legend!$B$82*Legend!$B$84*10^-3)</f>
        <v>0</v>
      </c>
      <c r="T56" s="209" cm="1">
        <f t="array" ref="T56">IF(SUMPRODUCT(('IGU(2020)_LNG_TRADE'!$C$3:$V$3=$A56)*('IGU(2020)_LNG_TRADE'!$A$5:$A$46=T$6))=0,0,SUMPRODUCT(('IGU(2020)_LNG_TRADE'!$C$3:$V$3=$A56)*('IGU(2020)_LNG_TRADE'!$A$5:$A$46=T$6)*'IGU(2020)_LNG_TRADE'!$C$5:$V$46)*10^6*Legend!$B$92*Legend!$B$82*Legend!$B$84*10^-3)</f>
        <v>0</v>
      </c>
      <c r="U56" s="209" cm="1">
        <f t="array" ref="U56">IF(SUMPRODUCT(('IGU(2020)_LNG_TRADE'!$C$3:$V$3=$A56)*('IGU(2020)_LNG_TRADE'!$A$5:$A$46=U$6))=0,0,SUMPRODUCT(('IGU(2020)_LNG_TRADE'!$C$3:$V$3=$A56)*('IGU(2020)_LNG_TRADE'!$A$5:$A$46=U$6)*'IGU(2020)_LNG_TRADE'!$C$5:$V$46)*10^6*Legend!$B$92*Legend!$B$82*Legend!$B$84*10^-3)</f>
        <v>0</v>
      </c>
      <c r="V56" s="209" cm="1">
        <f t="array" ref="V56">IF(SUMPRODUCT(('IGU(2020)_LNG_TRADE'!$C$3:$V$3=$A56)*('IGU(2020)_LNG_TRADE'!$A$5:$A$46=V$6))=0,0,SUMPRODUCT(('IGU(2020)_LNG_TRADE'!$C$3:$V$3=$A56)*('IGU(2020)_LNG_TRADE'!$A$5:$A$46=V$6)*'IGU(2020)_LNG_TRADE'!$C$5:$V$46)*10^6*Legend!$B$92*Legend!$B$82*Legend!$B$84*10^-3)</f>
        <v>0</v>
      </c>
      <c r="W56" s="209" cm="1">
        <f t="array" ref="W56">IF(SUMPRODUCT(('IGU(2020)_LNG_TRADE'!$C$3:$V$3=$A56)*('IGU(2020)_LNG_TRADE'!$A$5:$A$46=W$6))=0,0,SUMPRODUCT(('IGU(2020)_LNG_TRADE'!$C$3:$V$3=$A56)*('IGU(2020)_LNG_TRADE'!$A$5:$A$46=W$6)*'IGU(2020)_LNG_TRADE'!$C$5:$V$46)*10^6*Legend!$B$92*Legend!$B$82*Legend!$B$84*10^-3)</f>
        <v>0</v>
      </c>
      <c r="X56" s="209" cm="1">
        <f t="array" ref="X56">IF(SUMPRODUCT(('IGU(2020)_LNG_TRADE'!$C$3:$V$3=$A56)*('IGU(2020)_LNG_TRADE'!$A$5:$A$46=X$6))=0,0,SUMPRODUCT(('IGU(2020)_LNG_TRADE'!$C$3:$V$3=$A56)*('IGU(2020)_LNG_TRADE'!$A$5:$A$46=X$6)*'IGU(2020)_LNG_TRADE'!$C$5:$V$46)*10^6*Legend!$B$92*Legend!$B$82*Legend!$B$84*10^-3)</f>
        <v>0</v>
      </c>
      <c r="Y56" s="209" cm="1">
        <f t="array" ref="Y56">IF(SUMPRODUCT(('IGU(2020)_LNG_TRADE'!$C$3:$V$3=$A56)*('IGU(2020)_LNG_TRADE'!$A$5:$A$46=Y$6))=0,0,SUMPRODUCT(('IGU(2020)_LNG_TRADE'!$C$3:$V$3=$A56)*('IGU(2020)_LNG_TRADE'!$A$5:$A$46=Y$6)*'IGU(2020)_LNG_TRADE'!$C$5:$V$46)*10^6*Legend!$B$92*Legend!$B$82*Legend!$B$84*10^-3)</f>
        <v>0</v>
      </c>
      <c r="Z56" s="209" cm="1">
        <f t="array" ref="Z56">IF(SUMPRODUCT(('IGU(2020)_LNG_TRADE'!$C$3:$V$3=$A56)*('IGU(2020)_LNG_TRADE'!$A$5:$A$46=Z$6))=0,0,SUMPRODUCT(('IGU(2020)_LNG_TRADE'!$C$3:$V$3=$A56)*('IGU(2020)_LNG_TRADE'!$A$5:$A$46=Z$6)*'IGU(2020)_LNG_TRADE'!$C$5:$V$46)*10^6*Legend!$B$92*Legend!$B$82*Legend!$B$84*10^-3)</f>
        <v>0</v>
      </c>
      <c r="AA56" s="209" cm="1">
        <f t="array" ref="AA56">IF(SUMPRODUCT(('IGU(2020)_LNG_TRADE'!$C$3:$V$3=$A56)*('IGU(2020)_LNG_TRADE'!$A$5:$A$46=AA$6))=0,0,SUMPRODUCT(('IGU(2020)_LNG_TRADE'!$C$3:$V$3=$A56)*('IGU(2020)_LNG_TRADE'!$A$5:$A$46=AA$6)*'IGU(2020)_LNG_TRADE'!$C$5:$V$46)*10^6*Legend!$B$92*Legend!$B$82*Legend!$B$84*10^-3)</f>
        <v>0</v>
      </c>
      <c r="AB56" s="209" cm="1">
        <f t="array" ref="AB56">IF(SUMPRODUCT(('IGU(2020)_LNG_TRADE'!$C$3:$V$3=$A56)*('IGU(2020)_LNG_TRADE'!$A$5:$A$46=AB$6))=0,0,SUMPRODUCT(('IGU(2020)_LNG_TRADE'!$C$3:$V$3=$A56)*('IGU(2020)_LNG_TRADE'!$A$5:$A$46=AB$6)*'IGU(2020)_LNG_TRADE'!$C$5:$V$46)*10^6*Legend!$B$92*Legend!$B$82*Legend!$B$84*10^-3)</f>
        <v>0</v>
      </c>
      <c r="AC56" s="220" cm="1">
        <f t="array" ref="AC56">IF(SUMPRODUCT(('IGU(2020)_LNG_TRADE'!$C$3:$V$3=$A56)*('IGU(2020)_LNG_TRADE'!$A$5:$A$46=AC$6))=0,0,SUMPRODUCT(('IGU(2020)_LNG_TRADE'!$C$3:$V$3=$A56)*('IGU(2020)_LNG_TRADE'!$A$5:$A$46=AC$6)*'IGU(2020)_LNG_TRADE'!$C$5:$V$46)*10^6*Legend!$B$92*Legend!$B$82*Legend!$B$84*10^-3)</f>
        <v>0</v>
      </c>
    </row>
    <row r="57" spans="1:29">
      <c r="A57" s="215" t="s">
        <v>217</v>
      </c>
      <c r="B57" s="209" cm="1">
        <f t="array" ref="B57">IF(SUMPRODUCT(('IGU(2020)_LNG_TRADE'!$C$3:$V$3=$A57)*('IGU(2020)_LNG_TRADE'!$A$5:$A$46=B$6))=0,0,SUMPRODUCT(('IGU(2020)_LNG_TRADE'!$C$3:$V$3=$A57)*('IGU(2020)_LNG_TRADE'!$A$5:$A$46=B$6)*'IGU(2020)_LNG_TRADE'!$C$5:$V$46)*10^6*Legend!$B$92*Legend!$B$82*Legend!$B$84*10^-3)</f>
        <v>0</v>
      </c>
      <c r="C57" s="209" cm="1">
        <f t="array" ref="C57">IF(SUMPRODUCT(('IGU(2020)_LNG_TRADE'!$C$3:$V$3=$A57)*('IGU(2020)_LNG_TRADE'!$A$5:$A$46=C$6))=0,0,SUMPRODUCT(('IGU(2020)_LNG_TRADE'!$C$3:$V$3=$A57)*('IGU(2020)_LNG_TRADE'!$A$5:$A$46=C$6)*'IGU(2020)_LNG_TRADE'!$C$5:$V$46)*10^6*Legend!$B$92*Legend!$B$82*Legend!$B$84*10^-3)</f>
        <v>0</v>
      </c>
      <c r="D57" s="209" cm="1">
        <f t="array" ref="D57">IF(SUMPRODUCT(('IGU(2020)_LNG_TRADE'!$C$3:$V$3=$A57)*('IGU(2020)_LNG_TRADE'!$A$5:$A$46=D$6))=0,0,SUMPRODUCT(('IGU(2020)_LNG_TRADE'!$C$3:$V$3=$A57)*('IGU(2020)_LNG_TRADE'!$A$5:$A$46=D$6)*'IGU(2020)_LNG_TRADE'!$C$5:$V$46)*10^6*Legend!$B$92*Legend!$B$82*Legend!$B$84*10^-3)</f>
        <v>0</v>
      </c>
      <c r="E57" s="209" cm="1">
        <f t="array" ref="E57">IF(SUMPRODUCT(('IGU(2020)_LNG_TRADE'!$C$3:$V$3=$A57)*('IGU(2020)_LNG_TRADE'!$A$5:$A$46=E$6))=0,0,SUMPRODUCT(('IGU(2020)_LNG_TRADE'!$C$3:$V$3=$A57)*('IGU(2020)_LNG_TRADE'!$A$5:$A$46=E$6)*'IGU(2020)_LNG_TRADE'!$C$5:$V$46)*10^6*Legend!$B$92*Legend!$B$82*Legend!$B$84*10^-3)</f>
        <v>0</v>
      </c>
      <c r="F57" s="209" cm="1">
        <f t="array" ref="F57">IF(SUMPRODUCT(('IGU(2020)_LNG_TRADE'!$C$3:$V$3=$A57)*('IGU(2020)_LNG_TRADE'!$A$5:$A$46=F$6))=0,0,SUMPRODUCT(('IGU(2020)_LNG_TRADE'!$C$3:$V$3=$A57)*('IGU(2020)_LNG_TRADE'!$A$5:$A$46=F$6)*'IGU(2020)_LNG_TRADE'!$C$5:$V$46)*10^6*Legend!$B$92*Legend!$B$82*Legend!$B$84*10^-3)</f>
        <v>0</v>
      </c>
      <c r="G57" s="209" cm="1">
        <f t="array" ref="G57">IF(SUMPRODUCT(('IGU(2020)_LNG_TRADE'!$C$3:$V$3=$A57)*('IGU(2020)_LNG_TRADE'!$A$5:$A$46=G$6))=0,0,SUMPRODUCT(('IGU(2020)_LNG_TRADE'!$C$3:$V$3=$A57)*('IGU(2020)_LNG_TRADE'!$A$5:$A$46=G$6)*'IGU(2020)_LNG_TRADE'!$C$5:$V$46)*10^6*Legend!$B$92*Legend!$B$82*Legend!$B$84*10^-3)</f>
        <v>0</v>
      </c>
      <c r="H57" s="209" cm="1">
        <f t="array" ref="H57">IF(SUMPRODUCT(('IGU(2020)_LNG_TRADE'!$C$3:$V$3=$A57)*('IGU(2020)_LNG_TRADE'!$A$5:$A$46=H$6))=0,0,SUMPRODUCT(('IGU(2020)_LNG_TRADE'!$C$3:$V$3=$A57)*('IGU(2020)_LNG_TRADE'!$A$5:$A$46=H$6)*'IGU(2020)_LNG_TRADE'!$C$5:$V$46)*10^6*Legend!$B$92*Legend!$B$82*Legend!$B$84*10^-3)</f>
        <v>0</v>
      </c>
      <c r="I57" s="209" cm="1">
        <f t="array" ref="I57">IF(SUMPRODUCT(('IGU(2020)_LNG_TRADE'!$C$3:$V$3=$A57)*('IGU(2020)_LNG_TRADE'!$A$5:$A$46=I$6))=0,0,SUMPRODUCT(('IGU(2020)_LNG_TRADE'!$C$3:$V$3=$A57)*('IGU(2020)_LNG_TRADE'!$A$5:$A$46=I$6)*'IGU(2020)_LNG_TRADE'!$C$5:$V$46)*10^6*Legend!$B$92*Legend!$B$82*Legend!$B$84*10^-3)</f>
        <v>0</v>
      </c>
      <c r="J57" s="209" cm="1">
        <f t="array" ref="J57">IF(SUMPRODUCT(('IGU(2020)_LNG_TRADE'!$C$3:$V$3=$A57)*('IGU(2020)_LNG_TRADE'!$A$5:$A$46=J$6))=0,0,SUMPRODUCT(('IGU(2020)_LNG_TRADE'!$C$3:$V$3=$A57)*('IGU(2020)_LNG_TRADE'!$A$5:$A$46=J$6)*'IGU(2020)_LNG_TRADE'!$C$5:$V$46)*10^6*Legend!$B$92*Legend!$B$82*Legend!$B$84*10^-3)</f>
        <v>0</v>
      </c>
      <c r="K57" s="209" cm="1">
        <f t="array" ref="K57">IF(SUMPRODUCT(('IGU(2020)_LNG_TRADE'!$C$3:$V$3=$A57)*('IGU(2020)_LNG_TRADE'!$A$5:$A$46=K$6))=0,0,SUMPRODUCT(('IGU(2020)_LNG_TRADE'!$C$3:$V$3=$A57)*('IGU(2020)_LNG_TRADE'!$A$5:$A$46=K$6)*'IGU(2020)_LNG_TRADE'!$C$5:$V$46)*10^6*Legend!$B$92*Legend!$B$82*Legend!$B$84*10^-3)</f>
        <v>0</v>
      </c>
      <c r="L57" s="209" cm="1">
        <f t="array" ref="L57">IF(SUMPRODUCT(('IGU(2020)_LNG_TRADE'!$C$3:$V$3=$A57)*('IGU(2020)_LNG_TRADE'!$A$5:$A$46=L$6))=0,0,SUMPRODUCT(('IGU(2020)_LNG_TRADE'!$C$3:$V$3=$A57)*('IGU(2020)_LNG_TRADE'!$A$5:$A$46=L$6)*'IGU(2020)_LNG_TRADE'!$C$5:$V$46)*10^6*Legend!$B$92*Legend!$B$82*Legend!$B$84*10^-3)</f>
        <v>0</v>
      </c>
      <c r="M57" s="209" cm="1">
        <f t="array" ref="M57">IF(SUMPRODUCT(('IGU(2020)_LNG_TRADE'!$C$3:$V$3=$A57)*('IGU(2020)_LNG_TRADE'!$A$5:$A$46=M$6))=0,0,SUMPRODUCT(('IGU(2020)_LNG_TRADE'!$C$3:$V$3=$A57)*('IGU(2020)_LNG_TRADE'!$A$5:$A$46=M$6)*'IGU(2020)_LNG_TRADE'!$C$5:$V$46)*10^6*Legend!$B$92*Legend!$B$82*Legend!$B$84*10^-3)</f>
        <v>0</v>
      </c>
      <c r="N57" s="209" cm="1">
        <f t="array" ref="N57">IF(SUMPRODUCT(('IGU(2020)_LNG_TRADE'!$C$3:$V$3=$A57)*('IGU(2020)_LNG_TRADE'!$A$5:$A$46=N$6))=0,0,SUMPRODUCT(('IGU(2020)_LNG_TRADE'!$C$3:$V$3=$A57)*('IGU(2020)_LNG_TRADE'!$A$5:$A$46=N$6)*'IGU(2020)_LNG_TRADE'!$C$5:$V$46)*10^6*Legend!$B$92*Legend!$B$82*Legend!$B$84*10^-3)</f>
        <v>0</v>
      </c>
      <c r="O57" s="209" cm="1">
        <f t="array" ref="O57">IF(SUMPRODUCT(('IGU(2020)_LNG_TRADE'!$C$3:$V$3=$A57)*('IGU(2020)_LNG_TRADE'!$A$5:$A$46=O$6))=0,0,SUMPRODUCT(('IGU(2020)_LNG_TRADE'!$C$3:$V$3=$A57)*('IGU(2020)_LNG_TRADE'!$A$5:$A$46=O$6)*'IGU(2020)_LNG_TRADE'!$C$5:$V$46)*10^6*Legend!$B$92*Legend!$B$82*Legend!$B$84*10^-3)</f>
        <v>0</v>
      </c>
      <c r="P57" s="209" cm="1">
        <f t="array" ref="P57">IF(SUMPRODUCT(('IGU(2020)_LNG_TRADE'!$C$3:$V$3=$A57)*('IGU(2020)_LNG_TRADE'!$A$5:$A$46=P$6))=0,0,SUMPRODUCT(('IGU(2020)_LNG_TRADE'!$C$3:$V$3=$A57)*('IGU(2020)_LNG_TRADE'!$A$5:$A$46=P$6)*'IGU(2020)_LNG_TRADE'!$C$5:$V$46)*10^6*Legend!$B$92*Legend!$B$82*Legend!$B$84*10^-3)</f>
        <v>0</v>
      </c>
      <c r="Q57" s="209" cm="1">
        <f t="array" ref="Q57">IF(SUMPRODUCT(('IGU(2020)_LNG_TRADE'!$C$3:$V$3=$A57)*('IGU(2020)_LNG_TRADE'!$A$5:$A$46=Q$6))=0,0,SUMPRODUCT(('IGU(2020)_LNG_TRADE'!$C$3:$V$3=$A57)*('IGU(2020)_LNG_TRADE'!$A$5:$A$46=Q$6)*'IGU(2020)_LNG_TRADE'!$C$5:$V$46)*10^6*Legend!$B$92*Legend!$B$82*Legend!$B$84*10^-3)</f>
        <v>0</v>
      </c>
      <c r="R57" s="209" cm="1">
        <f t="array" ref="R57">IF(SUMPRODUCT(('IGU(2020)_LNG_TRADE'!$C$3:$V$3=$A57)*('IGU(2020)_LNG_TRADE'!$A$5:$A$46=R$6))=0,0,SUMPRODUCT(('IGU(2020)_LNG_TRADE'!$C$3:$V$3=$A57)*('IGU(2020)_LNG_TRADE'!$A$5:$A$46=R$6)*'IGU(2020)_LNG_TRADE'!$C$5:$V$46)*10^6*Legend!$B$92*Legend!$B$82*Legend!$B$84*10^-3)</f>
        <v>0</v>
      </c>
      <c r="S57" s="209" cm="1">
        <f t="array" ref="S57">IF(SUMPRODUCT(('IGU(2020)_LNG_TRADE'!$C$3:$V$3=$A57)*('IGU(2020)_LNG_TRADE'!$A$5:$A$46=S$6))=0,0,SUMPRODUCT(('IGU(2020)_LNG_TRADE'!$C$3:$V$3=$A57)*('IGU(2020)_LNG_TRADE'!$A$5:$A$46=S$6)*'IGU(2020)_LNG_TRADE'!$C$5:$V$46)*10^6*Legend!$B$92*Legend!$B$82*Legend!$B$84*10^-3)</f>
        <v>0</v>
      </c>
      <c r="T57" s="209" cm="1">
        <f t="array" ref="T57">IF(SUMPRODUCT(('IGU(2020)_LNG_TRADE'!$C$3:$V$3=$A57)*('IGU(2020)_LNG_TRADE'!$A$5:$A$46=T$6))=0,0,SUMPRODUCT(('IGU(2020)_LNG_TRADE'!$C$3:$V$3=$A57)*('IGU(2020)_LNG_TRADE'!$A$5:$A$46=T$6)*'IGU(2020)_LNG_TRADE'!$C$5:$V$46)*10^6*Legend!$B$92*Legend!$B$82*Legend!$B$84*10^-3)</f>
        <v>0</v>
      </c>
      <c r="U57" s="209" cm="1">
        <f t="array" ref="U57">IF(SUMPRODUCT(('IGU(2020)_LNG_TRADE'!$C$3:$V$3=$A57)*('IGU(2020)_LNG_TRADE'!$A$5:$A$46=U$6))=0,0,SUMPRODUCT(('IGU(2020)_LNG_TRADE'!$C$3:$V$3=$A57)*('IGU(2020)_LNG_TRADE'!$A$5:$A$46=U$6)*'IGU(2020)_LNG_TRADE'!$C$5:$V$46)*10^6*Legend!$B$92*Legend!$B$82*Legend!$B$84*10^-3)</f>
        <v>0</v>
      </c>
      <c r="V57" s="209" cm="1">
        <f t="array" ref="V57">IF(SUMPRODUCT(('IGU(2020)_LNG_TRADE'!$C$3:$V$3=$A57)*('IGU(2020)_LNG_TRADE'!$A$5:$A$46=V$6))=0,0,SUMPRODUCT(('IGU(2020)_LNG_TRADE'!$C$3:$V$3=$A57)*('IGU(2020)_LNG_TRADE'!$A$5:$A$46=V$6)*'IGU(2020)_LNG_TRADE'!$C$5:$V$46)*10^6*Legend!$B$92*Legend!$B$82*Legend!$B$84*10^-3)</f>
        <v>0</v>
      </c>
      <c r="W57" s="209" cm="1">
        <f t="array" ref="W57">IF(SUMPRODUCT(('IGU(2020)_LNG_TRADE'!$C$3:$V$3=$A57)*('IGU(2020)_LNG_TRADE'!$A$5:$A$46=W$6))=0,0,SUMPRODUCT(('IGU(2020)_LNG_TRADE'!$C$3:$V$3=$A57)*('IGU(2020)_LNG_TRADE'!$A$5:$A$46=W$6)*'IGU(2020)_LNG_TRADE'!$C$5:$V$46)*10^6*Legend!$B$92*Legend!$B$82*Legend!$B$84*10^-3)</f>
        <v>0</v>
      </c>
      <c r="X57" s="209" cm="1">
        <f t="array" ref="X57">IF(SUMPRODUCT(('IGU(2020)_LNG_TRADE'!$C$3:$V$3=$A57)*('IGU(2020)_LNG_TRADE'!$A$5:$A$46=X$6))=0,0,SUMPRODUCT(('IGU(2020)_LNG_TRADE'!$C$3:$V$3=$A57)*('IGU(2020)_LNG_TRADE'!$A$5:$A$46=X$6)*'IGU(2020)_LNG_TRADE'!$C$5:$V$46)*10^6*Legend!$B$92*Legend!$B$82*Legend!$B$84*10^-3)</f>
        <v>0</v>
      </c>
      <c r="Y57" s="209" cm="1">
        <f t="array" ref="Y57">IF(SUMPRODUCT(('IGU(2020)_LNG_TRADE'!$C$3:$V$3=$A57)*('IGU(2020)_LNG_TRADE'!$A$5:$A$46=Y$6))=0,0,SUMPRODUCT(('IGU(2020)_LNG_TRADE'!$C$3:$V$3=$A57)*('IGU(2020)_LNG_TRADE'!$A$5:$A$46=Y$6)*'IGU(2020)_LNG_TRADE'!$C$5:$V$46)*10^6*Legend!$B$92*Legend!$B$82*Legend!$B$84*10^-3)</f>
        <v>0</v>
      </c>
      <c r="Z57" s="209" cm="1">
        <f t="array" ref="Z57">IF(SUMPRODUCT(('IGU(2020)_LNG_TRADE'!$C$3:$V$3=$A57)*('IGU(2020)_LNG_TRADE'!$A$5:$A$46=Z$6))=0,0,SUMPRODUCT(('IGU(2020)_LNG_TRADE'!$C$3:$V$3=$A57)*('IGU(2020)_LNG_TRADE'!$A$5:$A$46=Z$6)*'IGU(2020)_LNG_TRADE'!$C$5:$V$46)*10^6*Legend!$B$92*Legend!$B$82*Legend!$B$84*10^-3)</f>
        <v>0</v>
      </c>
      <c r="AA57" s="209" cm="1">
        <f t="array" ref="AA57">IF(SUMPRODUCT(('IGU(2020)_LNG_TRADE'!$C$3:$V$3=$A57)*('IGU(2020)_LNG_TRADE'!$A$5:$A$46=AA$6))=0,0,SUMPRODUCT(('IGU(2020)_LNG_TRADE'!$C$3:$V$3=$A57)*('IGU(2020)_LNG_TRADE'!$A$5:$A$46=AA$6)*'IGU(2020)_LNG_TRADE'!$C$5:$V$46)*10^6*Legend!$B$92*Legend!$B$82*Legend!$B$84*10^-3)</f>
        <v>0</v>
      </c>
      <c r="AB57" s="209" cm="1">
        <f t="array" ref="AB57">IF(SUMPRODUCT(('IGU(2020)_LNG_TRADE'!$C$3:$V$3=$A57)*('IGU(2020)_LNG_TRADE'!$A$5:$A$46=AB$6))=0,0,SUMPRODUCT(('IGU(2020)_LNG_TRADE'!$C$3:$V$3=$A57)*('IGU(2020)_LNG_TRADE'!$A$5:$A$46=AB$6)*'IGU(2020)_LNG_TRADE'!$C$5:$V$46)*10^6*Legend!$B$92*Legend!$B$82*Legend!$B$84*10^-3)</f>
        <v>0</v>
      </c>
      <c r="AC57" s="220" cm="1">
        <f t="array" ref="AC57">IF(SUMPRODUCT(('IGU(2020)_LNG_TRADE'!$C$3:$V$3=$A57)*('IGU(2020)_LNG_TRADE'!$A$5:$A$46=AC$6))=0,0,SUMPRODUCT(('IGU(2020)_LNG_TRADE'!$C$3:$V$3=$A57)*('IGU(2020)_LNG_TRADE'!$A$5:$A$46=AC$6)*'IGU(2020)_LNG_TRADE'!$C$5:$V$46)*10^6*Legend!$B$92*Legend!$B$82*Legend!$B$84*10^-3)</f>
        <v>0</v>
      </c>
    </row>
    <row r="58" spans="1:29">
      <c r="A58" s="215" t="s">
        <v>220</v>
      </c>
      <c r="B58" s="209" cm="1">
        <f t="array" ref="B58">IF(SUMPRODUCT(('IGU(2020)_LNG_TRADE'!$C$3:$V$3=$A58)*('IGU(2020)_LNG_TRADE'!$A$5:$A$46=B$6))=0,0,SUMPRODUCT(('IGU(2020)_LNG_TRADE'!$C$3:$V$3=$A58)*('IGU(2020)_LNG_TRADE'!$A$5:$A$46=B$6)*'IGU(2020)_LNG_TRADE'!$C$5:$V$46)*10^6*Legend!$B$92*Legend!$B$82*Legend!$B$84*10^-3)</f>
        <v>0</v>
      </c>
      <c r="C58" s="209" cm="1">
        <f t="array" ref="C58">IF(SUMPRODUCT(('IGU(2020)_LNG_TRADE'!$C$3:$V$3=$A58)*('IGU(2020)_LNG_TRADE'!$A$5:$A$46=C$6))=0,0,SUMPRODUCT(('IGU(2020)_LNG_TRADE'!$C$3:$V$3=$A58)*('IGU(2020)_LNG_TRADE'!$A$5:$A$46=C$6)*'IGU(2020)_LNG_TRADE'!$C$5:$V$46)*10^6*Legend!$B$92*Legend!$B$82*Legend!$B$84*10^-3)</f>
        <v>0</v>
      </c>
      <c r="D58" s="209" cm="1">
        <f t="array" ref="D58">IF(SUMPRODUCT(('IGU(2020)_LNG_TRADE'!$C$3:$V$3=$A58)*('IGU(2020)_LNG_TRADE'!$A$5:$A$46=D$6))=0,0,SUMPRODUCT(('IGU(2020)_LNG_TRADE'!$C$3:$V$3=$A58)*('IGU(2020)_LNG_TRADE'!$A$5:$A$46=D$6)*'IGU(2020)_LNG_TRADE'!$C$5:$V$46)*10^6*Legend!$B$92*Legend!$B$82*Legend!$B$84*10^-3)</f>
        <v>0</v>
      </c>
      <c r="E58" s="209" cm="1">
        <f t="array" ref="E58">IF(SUMPRODUCT(('IGU(2020)_LNG_TRADE'!$C$3:$V$3=$A58)*('IGU(2020)_LNG_TRADE'!$A$5:$A$46=E$6))=0,0,SUMPRODUCT(('IGU(2020)_LNG_TRADE'!$C$3:$V$3=$A58)*('IGU(2020)_LNG_TRADE'!$A$5:$A$46=E$6)*'IGU(2020)_LNG_TRADE'!$C$5:$V$46)*10^6*Legend!$B$92*Legend!$B$82*Legend!$B$84*10^-3)</f>
        <v>0</v>
      </c>
      <c r="F58" s="209" cm="1">
        <f t="array" ref="F58">IF(SUMPRODUCT(('IGU(2020)_LNG_TRADE'!$C$3:$V$3=$A58)*('IGU(2020)_LNG_TRADE'!$A$5:$A$46=F$6))=0,0,SUMPRODUCT(('IGU(2020)_LNG_TRADE'!$C$3:$V$3=$A58)*('IGU(2020)_LNG_TRADE'!$A$5:$A$46=F$6)*'IGU(2020)_LNG_TRADE'!$C$5:$V$46)*10^6*Legend!$B$92*Legend!$B$82*Legend!$B$84*10^-3)</f>
        <v>0</v>
      </c>
      <c r="G58" s="209" cm="1">
        <f t="array" ref="G58">IF(SUMPRODUCT(('IGU(2020)_LNG_TRADE'!$C$3:$V$3=$A58)*('IGU(2020)_LNG_TRADE'!$A$5:$A$46=G$6))=0,0,SUMPRODUCT(('IGU(2020)_LNG_TRADE'!$C$3:$V$3=$A58)*('IGU(2020)_LNG_TRADE'!$A$5:$A$46=G$6)*'IGU(2020)_LNG_TRADE'!$C$5:$V$46)*10^6*Legend!$B$92*Legend!$B$82*Legend!$B$84*10^-3)</f>
        <v>0</v>
      </c>
      <c r="H58" s="209" cm="1">
        <f t="array" ref="H58">IF(SUMPRODUCT(('IGU(2020)_LNG_TRADE'!$C$3:$V$3=$A58)*('IGU(2020)_LNG_TRADE'!$A$5:$A$46=H$6))=0,0,SUMPRODUCT(('IGU(2020)_LNG_TRADE'!$C$3:$V$3=$A58)*('IGU(2020)_LNG_TRADE'!$A$5:$A$46=H$6)*'IGU(2020)_LNG_TRADE'!$C$5:$V$46)*10^6*Legend!$B$92*Legend!$B$82*Legend!$B$84*10^-3)</f>
        <v>22525.262799999993</v>
      </c>
      <c r="I58" s="209" cm="1">
        <f t="array" ref="I58">IF(SUMPRODUCT(('IGU(2020)_LNG_TRADE'!$C$3:$V$3=$A58)*('IGU(2020)_LNG_TRADE'!$A$5:$A$46=I$6))=0,0,SUMPRODUCT(('IGU(2020)_LNG_TRADE'!$C$3:$V$3=$A58)*('IGU(2020)_LNG_TRADE'!$A$5:$A$46=I$6)*'IGU(2020)_LNG_TRADE'!$C$5:$V$46)*10^6*Legend!$B$92*Legend!$B$82*Legend!$B$84*10^-3)</f>
        <v>5631.3156999999983</v>
      </c>
      <c r="J58" s="209" cm="1">
        <f t="array" ref="J58">IF(SUMPRODUCT(('IGU(2020)_LNG_TRADE'!$C$3:$V$3=$A58)*('IGU(2020)_LNG_TRADE'!$A$5:$A$46=J$6))=0,0,SUMPRODUCT(('IGU(2020)_LNG_TRADE'!$C$3:$V$3=$A58)*('IGU(2020)_LNG_TRADE'!$A$5:$A$46=J$6)*'IGU(2020)_LNG_TRADE'!$C$5:$V$46)*10^6*Legend!$B$92*Legend!$B$82*Legend!$B$84*10^-3)</f>
        <v>0</v>
      </c>
      <c r="K58" s="209" cm="1">
        <f t="array" ref="K58">IF(SUMPRODUCT(('IGU(2020)_LNG_TRADE'!$C$3:$V$3=$A58)*('IGU(2020)_LNG_TRADE'!$A$5:$A$46=K$6))=0,0,SUMPRODUCT(('IGU(2020)_LNG_TRADE'!$C$3:$V$3=$A58)*('IGU(2020)_LNG_TRADE'!$A$5:$A$46=K$6)*'IGU(2020)_LNG_TRADE'!$C$5:$V$46)*10^6*Legend!$B$92*Legend!$B$82*Legend!$B$84*10^-3)</f>
        <v>0</v>
      </c>
      <c r="L58" s="209" cm="1">
        <f t="array" ref="L58">IF(SUMPRODUCT(('IGU(2020)_LNG_TRADE'!$C$3:$V$3=$A58)*('IGU(2020)_LNG_TRADE'!$A$5:$A$46=L$6))=0,0,SUMPRODUCT(('IGU(2020)_LNG_TRADE'!$C$3:$V$3=$A58)*('IGU(2020)_LNG_TRADE'!$A$5:$A$46=L$6)*'IGU(2020)_LNG_TRADE'!$C$5:$V$46)*10^6*Legend!$B$92*Legend!$B$82*Legend!$B$84*10^-3)</f>
        <v>0</v>
      </c>
      <c r="M58" s="209" cm="1">
        <f t="array" ref="M58">IF(SUMPRODUCT(('IGU(2020)_LNG_TRADE'!$C$3:$V$3=$A58)*('IGU(2020)_LNG_TRADE'!$A$5:$A$46=M$6))=0,0,SUMPRODUCT(('IGU(2020)_LNG_TRADE'!$C$3:$V$3=$A58)*('IGU(2020)_LNG_TRADE'!$A$5:$A$46=M$6)*'IGU(2020)_LNG_TRADE'!$C$5:$V$46)*10^6*Legend!$B$92*Legend!$B$82*Legend!$B$84*10^-3)</f>
        <v>253409.20649999997</v>
      </c>
      <c r="N58" s="209" cm="1">
        <f t="array" ref="N58">IF(SUMPRODUCT(('IGU(2020)_LNG_TRADE'!$C$3:$V$3=$A58)*('IGU(2020)_LNG_TRADE'!$A$5:$A$46=N$6))=0,0,SUMPRODUCT(('IGU(2020)_LNG_TRADE'!$C$3:$V$3=$A58)*('IGU(2020)_LNG_TRADE'!$A$5:$A$46=N$6)*'IGU(2020)_LNG_TRADE'!$C$5:$V$46)*10^6*Legend!$B$92*Legend!$B$82*Legend!$B$84*10^-3)</f>
        <v>0</v>
      </c>
      <c r="O58" s="209" cm="1">
        <f t="array" ref="O58">IF(SUMPRODUCT(('IGU(2020)_LNG_TRADE'!$C$3:$V$3=$A58)*('IGU(2020)_LNG_TRADE'!$A$5:$A$46=O$6))=0,0,SUMPRODUCT(('IGU(2020)_LNG_TRADE'!$C$3:$V$3=$A58)*('IGU(2020)_LNG_TRADE'!$A$5:$A$46=O$6)*'IGU(2020)_LNG_TRADE'!$C$5:$V$46)*10^6*Legend!$B$92*Legend!$B$82*Legend!$B$84*10^-3)</f>
        <v>0</v>
      </c>
      <c r="P58" s="209" cm="1">
        <f t="array" ref="P58">IF(SUMPRODUCT(('IGU(2020)_LNG_TRADE'!$C$3:$V$3=$A58)*('IGU(2020)_LNG_TRADE'!$A$5:$A$46=P$6))=0,0,SUMPRODUCT(('IGU(2020)_LNG_TRADE'!$C$3:$V$3=$A58)*('IGU(2020)_LNG_TRADE'!$A$5:$A$46=P$6)*'IGU(2020)_LNG_TRADE'!$C$5:$V$46)*10^6*Legend!$B$92*Legend!$B$82*Legend!$B$84*10^-3)</f>
        <v>0</v>
      </c>
      <c r="Q58" s="209" cm="1">
        <f t="array" ref="Q58">IF(SUMPRODUCT(('IGU(2020)_LNG_TRADE'!$C$3:$V$3=$A58)*('IGU(2020)_LNG_TRADE'!$A$5:$A$46=Q$6))=0,0,SUMPRODUCT(('IGU(2020)_LNG_TRADE'!$C$3:$V$3=$A58)*('IGU(2020)_LNG_TRADE'!$A$5:$A$46=Q$6)*'IGU(2020)_LNG_TRADE'!$C$5:$V$46)*10^6*Legend!$B$92*Legend!$B$82*Legend!$B$84*10^-3)</f>
        <v>0</v>
      </c>
      <c r="R58" s="209" cm="1">
        <f t="array" ref="R58">IF(SUMPRODUCT(('IGU(2020)_LNG_TRADE'!$C$3:$V$3=$A58)*('IGU(2020)_LNG_TRADE'!$A$5:$A$46=R$6))=0,0,SUMPRODUCT(('IGU(2020)_LNG_TRADE'!$C$3:$V$3=$A58)*('IGU(2020)_LNG_TRADE'!$A$5:$A$46=R$6)*'IGU(2020)_LNG_TRADE'!$C$5:$V$46)*10^6*Legend!$B$92*Legend!$B$82*Legend!$B$84*10^-3)</f>
        <v>0</v>
      </c>
      <c r="S58" s="209" cm="1">
        <f t="array" ref="S58">IF(SUMPRODUCT(('IGU(2020)_LNG_TRADE'!$C$3:$V$3=$A58)*('IGU(2020)_LNG_TRADE'!$A$5:$A$46=S$6))=0,0,SUMPRODUCT(('IGU(2020)_LNG_TRADE'!$C$3:$V$3=$A58)*('IGU(2020)_LNG_TRADE'!$A$5:$A$46=S$6)*'IGU(2020)_LNG_TRADE'!$C$5:$V$46)*10^6*Legend!$B$92*Legend!$B$82*Legend!$B$84*10^-3)</f>
        <v>202727.36519999997</v>
      </c>
      <c r="T58" s="209" cm="1">
        <f t="array" ref="T58">IF(SUMPRODUCT(('IGU(2020)_LNG_TRADE'!$C$3:$V$3=$A58)*('IGU(2020)_LNG_TRADE'!$A$5:$A$46=T$6))=0,0,SUMPRODUCT(('IGU(2020)_LNG_TRADE'!$C$3:$V$3=$A58)*('IGU(2020)_LNG_TRADE'!$A$5:$A$46=T$6)*'IGU(2020)_LNG_TRADE'!$C$5:$V$46)*10^6*Legend!$B$92*Legend!$B$82*Legend!$B$84*10^-3)</f>
        <v>0</v>
      </c>
      <c r="U58" s="209" cm="1">
        <f t="array" ref="U58">IF(SUMPRODUCT(('IGU(2020)_LNG_TRADE'!$C$3:$V$3=$A58)*('IGU(2020)_LNG_TRADE'!$A$5:$A$46=U$6))=0,0,SUMPRODUCT(('IGU(2020)_LNG_TRADE'!$C$3:$V$3=$A58)*('IGU(2020)_LNG_TRADE'!$A$5:$A$46=U$6)*'IGU(2020)_LNG_TRADE'!$C$5:$V$46)*10^6*Legend!$B$92*Legend!$B$82*Legend!$B$84*10^-3)</f>
        <v>225252.628</v>
      </c>
      <c r="V58" s="209" cm="1">
        <f t="array" ref="V58">IF(SUMPRODUCT(('IGU(2020)_LNG_TRADE'!$C$3:$V$3=$A58)*('IGU(2020)_LNG_TRADE'!$A$5:$A$46=V$6))=0,0,SUMPRODUCT(('IGU(2020)_LNG_TRADE'!$C$3:$V$3=$A58)*('IGU(2020)_LNG_TRADE'!$A$5:$A$46=V$6)*'IGU(2020)_LNG_TRADE'!$C$5:$V$46)*10^6*Legend!$B$92*Legend!$B$82*Legend!$B$84*10^-3)</f>
        <v>0</v>
      </c>
      <c r="W58" s="209" cm="1">
        <f t="array" ref="W58">IF(SUMPRODUCT(('IGU(2020)_LNG_TRADE'!$C$3:$V$3=$A58)*('IGU(2020)_LNG_TRADE'!$A$5:$A$46=W$6))=0,0,SUMPRODUCT(('IGU(2020)_LNG_TRADE'!$C$3:$V$3=$A58)*('IGU(2020)_LNG_TRADE'!$A$5:$A$46=W$6)*'IGU(2020)_LNG_TRADE'!$C$5:$V$46)*10^6*Legend!$B$92*Legend!$B$82*Legend!$B$84*10^-3)</f>
        <v>0</v>
      </c>
      <c r="X58" s="209" cm="1">
        <f t="array" ref="X58">IF(SUMPRODUCT(('IGU(2020)_LNG_TRADE'!$C$3:$V$3=$A58)*('IGU(2020)_LNG_TRADE'!$A$5:$A$46=X$6))=0,0,SUMPRODUCT(('IGU(2020)_LNG_TRADE'!$C$3:$V$3=$A58)*('IGU(2020)_LNG_TRADE'!$A$5:$A$46=X$6)*'IGU(2020)_LNG_TRADE'!$C$5:$V$46)*10^6*Legend!$B$92*Legend!$B$82*Legend!$B$84*10^-3)</f>
        <v>0</v>
      </c>
      <c r="Y58" s="209" cm="1">
        <f t="array" ref="Y58">IF(SUMPRODUCT(('IGU(2020)_LNG_TRADE'!$C$3:$V$3=$A58)*('IGU(2020)_LNG_TRADE'!$A$5:$A$46=Y$6))=0,0,SUMPRODUCT(('IGU(2020)_LNG_TRADE'!$C$3:$V$3=$A58)*('IGU(2020)_LNG_TRADE'!$A$5:$A$46=Y$6)*'IGU(2020)_LNG_TRADE'!$C$5:$V$46)*10^6*Legend!$B$92*Legend!$B$82*Legend!$B$84*10^-3)</f>
        <v>11262.631399999997</v>
      </c>
      <c r="Z58" s="209" cm="1">
        <f t="array" ref="Z58">IF(SUMPRODUCT(('IGU(2020)_LNG_TRADE'!$C$3:$V$3=$A58)*('IGU(2020)_LNG_TRADE'!$A$5:$A$46=Z$6))=0,0,SUMPRODUCT(('IGU(2020)_LNG_TRADE'!$C$3:$V$3=$A58)*('IGU(2020)_LNG_TRADE'!$A$5:$A$46=Z$6)*'IGU(2020)_LNG_TRADE'!$C$5:$V$46)*10^6*Legend!$B$92*Legend!$B$82*Legend!$B$84*10^-3)</f>
        <v>0</v>
      </c>
      <c r="AA58" s="209" cm="1">
        <f t="array" ref="AA58">IF(SUMPRODUCT(('IGU(2020)_LNG_TRADE'!$C$3:$V$3=$A58)*('IGU(2020)_LNG_TRADE'!$A$5:$A$46=AA$6))=0,0,SUMPRODUCT(('IGU(2020)_LNG_TRADE'!$C$3:$V$3=$A58)*('IGU(2020)_LNG_TRADE'!$A$5:$A$46=AA$6)*'IGU(2020)_LNG_TRADE'!$C$5:$V$46)*10^6*Legend!$B$92*Legend!$B$82*Legend!$B$84*10^-3)</f>
        <v>0</v>
      </c>
      <c r="AB58" s="209" cm="1">
        <f t="array" ref="AB58">IF(SUMPRODUCT(('IGU(2020)_LNG_TRADE'!$C$3:$V$3=$A58)*('IGU(2020)_LNG_TRADE'!$A$5:$A$46=AB$6))=0,0,SUMPRODUCT(('IGU(2020)_LNG_TRADE'!$C$3:$V$3=$A58)*('IGU(2020)_LNG_TRADE'!$A$5:$A$46=AB$6)*'IGU(2020)_LNG_TRADE'!$C$5:$V$46)*10^6*Legend!$B$92*Legend!$B$82*Legend!$B$84*10^-3)</f>
        <v>152045.52389999991</v>
      </c>
      <c r="AC58" s="220" cm="1">
        <f t="array" ref="AC58">IF(SUMPRODUCT(('IGU(2020)_LNG_TRADE'!$C$3:$V$3=$A58)*('IGU(2020)_LNG_TRADE'!$A$5:$A$46=AC$6))=0,0,SUMPRODUCT(('IGU(2020)_LNG_TRADE'!$C$3:$V$3=$A58)*('IGU(2020)_LNG_TRADE'!$A$5:$A$46=AC$6)*'IGU(2020)_LNG_TRADE'!$C$5:$V$46)*10^6*Legend!$B$92*Legend!$B$82*Legend!$B$84*10^-3)</f>
        <v>0</v>
      </c>
    </row>
    <row r="59" spans="1:29">
      <c r="A59" s="215" t="s">
        <v>223</v>
      </c>
      <c r="B59" s="209" cm="1">
        <f t="array" ref="B59">IF(SUMPRODUCT(('IGU(2020)_LNG_TRADE'!$C$3:$V$3=$A59)*('IGU(2020)_LNG_TRADE'!$A$5:$A$46=B$6))=0,0,SUMPRODUCT(('IGU(2020)_LNG_TRADE'!$C$3:$V$3=$A59)*('IGU(2020)_LNG_TRADE'!$A$5:$A$46=B$6)*'IGU(2020)_LNG_TRADE'!$C$5:$V$46)*10^6*Legend!$B$92*Legend!$B$82*Legend!$B$84*10^-3)</f>
        <v>0</v>
      </c>
      <c r="C59" s="209" cm="1">
        <f t="array" ref="C59">IF(SUMPRODUCT(('IGU(2020)_LNG_TRADE'!$C$3:$V$3=$A59)*('IGU(2020)_LNG_TRADE'!$A$5:$A$46=C$6))=0,0,SUMPRODUCT(('IGU(2020)_LNG_TRADE'!$C$3:$V$3=$A59)*('IGU(2020)_LNG_TRADE'!$A$5:$A$46=C$6)*'IGU(2020)_LNG_TRADE'!$C$5:$V$46)*10^6*Legend!$B$92*Legend!$B$82*Legend!$B$84*10^-3)</f>
        <v>0</v>
      </c>
      <c r="D59" s="209" cm="1">
        <f t="array" ref="D59">IF(SUMPRODUCT(('IGU(2020)_LNG_TRADE'!$C$3:$V$3=$A59)*('IGU(2020)_LNG_TRADE'!$A$5:$A$46=D$6))=0,0,SUMPRODUCT(('IGU(2020)_LNG_TRADE'!$C$3:$V$3=$A59)*('IGU(2020)_LNG_TRADE'!$A$5:$A$46=D$6)*'IGU(2020)_LNG_TRADE'!$C$5:$V$46)*10^6*Legend!$B$92*Legend!$B$82*Legend!$B$84*10^-3)</f>
        <v>0</v>
      </c>
      <c r="E59" s="209" cm="1">
        <f t="array" ref="E59">IF(SUMPRODUCT(('IGU(2020)_LNG_TRADE'!$C$3:$V$3=$A59)*('IGU(2020)_LNG_TRADE'!$A$5:$A$46=E$6))=0,0,SUMPRODUCT(('IGU(2020)_LNG_TRADE'!$C$3:$V$3=$A59)*('IGU(2020)_LNG_TRADE'!$A$5:$A$46=E$6)*'IGU(2020)_LNG_TRADE'!$C$5:$V$46)*10^6*Legend!$B$92*Legend!$B$82*Legend!$B$84*10^-3)</f>
        <v>0</v>
      </c>
      <c r="F59" s="209" cm="1">
        <f t="array" ref="F59">IF(SUMPRODUCT(('IGU(2020)_LNG_TRADE'!$C$3:$V$3=$A59)*('IGU(2020)_LNG_TRADE'!$A$5:$A$46=F$6))=0,0,SUMPRODUCT(('IGU(2020)_LNG_TRADE'!$C$3:$V$3=$A59)*('IGU(2020)_LNG_TRADE'!$A$5:$A$46=F$6)*'IGU(2020)_LNG_TRADE'!$C$5:$V$46)*10^6*Legend!$B$92*Legend!$B$82*Legend!$B$84*10^-3)</f>
        <v>0</v>
      </c>
      <c r="G59" s="209" cm="1">
        <f t="array" ref="G59">IF(SUMPRODUCT(('IGU(2020)_LNG_TRADE'!$C$3:$V$3=$A59)*('IGU(2020)_LNG_TRADE'!$A$5:$A$46=G$6))=0,0,SUMPRODUCT(('IGU(2020)_LNG_TRADE'!$C$3:$V$3=$A59)*('IGU(2020)_LNG_TRADE'!$A$5:$A$46=G$6)*'IGU(2020)_LNG_TRADE'!$C$5:$V$46)*10^6*Legend!$B$92*Legend!$B$82*Legend!$B$84*10^-3)</f>
        <v>0</v>
      </c>
      <c r="H59" s="209" cm="1">
        <f t="array" ref="H59">IF(SUMPRODUCT(('IGU(2020)_LNG_TRADE'!$C$3:$V$3=$A59)*('IGU(2020)_LNG_TRADE'!$A$5:$A$46=H$6))=0,0,SUMPRODUCT(('IGU(2020)_LNG_TRADE'!$C$3:$V$3=$A59)*('IGU(2020)_LNG_TRADE'!$A$5:$A$46=H$6)*'IGU(2020)_LNG_TRADE'!$C$5:$V$46)*10^6*Legend!$B$92*Legend!$B$82*Legend!$B$84*10^-3)</f>
        <v>0</v>
      </c>
      <c r="I59" s="209" cm="1">
        <f t="array" ref="I59">IF(SUMPRODUCT(('IGU(2020)_LNG_TRADE'!$C$3:$V$3=$A59)*('IGU(2020)_LNG_TRADE'!$A$5:$A$46=I$6))=0,0,SUMPRODUCT(('IGU(2020)_LNG_TRADE'!$C$3:$V$3=$A59)*('IGU(2020)_LNG_TRADE'!$A$5:$A$46=I$6)*'IGU(2020)_LNG_TRADE'!$C$5:$V$46)*10^6*Legend!$B$92*Legend!$B$82*Legend!$B$84*10^-3)</f>
        <v>0</v>
      </c>
      <c r="J59" s="209" cm="1">
        <f t="array" ref="J59">IF(SUMPRODUCT(('IGU(2020)_LNG_TRADE'!$C$3:$V$3=$A59)*('IGU(2020)_LNG_TRADE'!$A$5:$A$46=J$6))=0,0,SUMPRODUCT(('IGU(2020)_LNG_TRADE'!$C$3:$V$3=$A59)*('IGU(2020)_LNG_TRADE'!$A$5:$A$46=J$6)*'IGU(2020)_LNG_TRADE'!$C$5:$V$46)*10^6*Legend!$B$92*Legend!$B$82*Legend!$B$84*10^-3)</f>
        <v>0</v>
      </c>
      <c r="K59" s="209" cm="1">
        <f t="array" ref="K59">IF(SUMPRODUCT(('IGU(2020)_LNG_TRADE'!$C$3:$V$3=$A59)*('IGU(2020)_LNG_TRADE'!$A$5:$A$46=K$6))=0,0,SUMPRODUCT(('IGU(2020)_LNG_TRADE'!$C$3:$V$3=$A59)*('IGU(2020)_LNG_TRADE'!$A$5:$A$46=K$6)*'IGU(2020)_LNG_TRADE'!$C$5:$V$46)*10^6*Legend!$B$92*Legend!$B$82*Legend!$B$84*10^-3)</f>
        <v>0</v>
      </c>
      <c r="L59" s="209" cm="1">
        <f t="array" ref="L59">IF(SUMPRODUCT(('IGU(2020)_LNG_TRADE'!$C$3:$V$3=$A59)*('IGU(2020)_LNG_TRADE'!$A$5:$A$46=L$6))=0,0,SUMPRODUCT(('IGU(2020)_LNG_TRADE'!$C$3:$V$3=$A59)*('IGU(2020)_LNG_TRADE'!$A$5:$A$46=L$6)*'IGU(2020)_LNG_TRADE'!$C$5:$V$46)*10^6*Legend!$B$92*Legend!$B$82*Legend!$B$84*10^-3)</f>
        <v>0</v>
      </c>
      <c r="M59" s="209" cm="1">
        <f t="array" ref="M59">IF(SUMPRODUCT(('IGU(2020)_LNG_TRADE'!$C$3:$V$3=$A59)*('IGU(2020)_LNG_TRADE'!$A$5:$A$46=M$6))=0,0,SUMPRODUCT(('IGU(2020)_LNG_TRADE'!$C$3:$V$3=$A59)*('IGU(2020)_LNG_TRADE'!$A$5:$A$46=M$6)*'IGU(2020)_LNG_TRADE'!$C$5:$V$46)*10^6*Legend!$B$92*Legend!$B$82*Legend!$B$84*10^-3)</f>
        <v>0</v>
      </c>
      <c r="N59" s="209" cm="1">
        <f t="array" ref="N59">IF(SUMPRODUCT(('IGU(2020)_LNG_TRADE'!$C$3:$V$3=$A59)*('IGU(2020)_LNG_TRADE'!$A$5:$A$46=N$6))=0,0,SUMPRODUCT(('IGU(2020)_LNG_TRADE'!$C$3:$V$3=$A59)*('IGU(2020)_LNG_TRADE'!$A$5:$A$46=N$6)*'IGU(2020)_LNG_TRADE'!$C$5:$V$46)*10^6*Legend!$B$92*Legend!$B$82*Legend!$B$84*10^-3)</f>
        <v>0</v>
      </c>
      <c r="O59" s="209" cm="1">
        <f t="array" ref="O59">IF(SUMPRODUCT(('IGU(2020)_LNG_TRADE'!$C$3:$V$3=$A59)*('IGU(2020)_LNG_TRADE'!$A$5:$A$46=O$6))=0,0,SUMPRODUCT(('IGU(2020)_LNG_TRADE'!$C$3:$V$3=$A59)*('IGU(2020)_LNG_TRADE'!$A$5:$A$46=O$6)*'IGU(2020)_LNG_TRADE'!$C$5:$V$46)*10^6*Legend!$B$92*Legend!$B$82*Legend!$B$84*10^-3)</f>
        <v>0</v>
      </c>
      <c r="P59" s="209" cm="1">
        <f t="array" ref="P59">IF(SUMPRODUCT(('IGU(2020)_LNG_TRADE'!$C$3:$V$3=$A59)*('IGU(2020)_LNG_TRADE'!$A$5:$A$46=P$6))=0,0,SUMPRODUCT(('IGU(2020)_LNG_TRADE'!$C$3:$V$3=$A59)*('IGU(2020)_LNG_TRADE'!$A$5:$A$46=P$6)*'IGU(2020)_LNG_TRADE'!$C$5:$V$46)*10^6*Legend!$B$92*Legend!$B$82*Legend!$B$84*10^-3)</f>
        <v>0</v>
      </c>
      <c r="Q59" s="209" cm="1">
        <f t="array" ref="Q59">IF(SUMPRODUCT(('IGU(2020)_LNG_TRADE'!$C$3:$V$3=$A59)*('IGU(2020)_LNG_TRADE'!$A$5:$A$46=Q$6))=0,0,SUMPRODUCT(('IGU(2020)_LNG_TRADE'!$C$3:$V$3=$A59)*('IGU(2020)_LNG_TRADE'!$A$5:$A$46=Q$6)*'IGU(2020)_LNG_TRADE'!$C$5:$V$46)*10^6*Legend!$B$92*Legend!$B$82*Legend!$B$84*10^-3)</f>
        <v>0</v>
      </c>
      <c r="R59" s="209" cm="1">
        <f t="array" ref="R59">IF(SUMPRODUCT(('IGU(2020)_LNG_TRADE'!$C$3:$V$3=$A59)*('IGU(2020)_LNG_TRADE'!$A$5:$A$46=R$6))=0,0,SUMPRODUCT(('IGU(2020)_LNG_TRADE'!$C$3:$V$3=$A59)*('IGU(2020)_LNG_TRADE'!$A$5:$A$46=R$6)*'IGU(2020)_LNG_TRADE'!$C$5:$V$46)*10^6*Legend!$B$92*Legend!$B$82*Legend!$B$84*10^-3)</f>
        <v>0</v>
      </c>
      <c r="S59" s="209" cm="1">
        <f t="array" ref="S59">IF(SUMPRODUCT(('IGU(2020)_LNG_TRADE'!$C$3:$V$3=$A59)*('IGU(2020)_LNG_TRADE'!$A$5:$A$46=S$6))=0,0,SUMPRODUCT(('IGU(2020)_LNG_TRADE'!$C$3:$V$3=$A59)*('IGU(2020)_LNG_TRADE'!$A$5:$A$46=S$6)*'IGU(2020)_LNG_TRADE'!$C$5:$V$46)*10^6*Legend!$B$92*Legend!$B$82*Legend!$B$84*10^-3)</f>
        <v>0</v>
      </c>
      <c r="T59" s="209" cm="1">
        <f t="array" ref="T59">IF(SUMPRODUCT(('IGU(2020)_LNG_TRADE'!$C$3:$V$3=$A59)*('IGU(2020)_LNG_TRADE'!$A$5:$A$46=T$6))=0,0,SUMPRODUCT(('IGU(2020)_LNG_TRADE'!$C$3:$V$3=$A59)*('IGU(2020)_LNG_TRADE'!$A$5:$A$46=T$6)*'IGU(2020)_LNG_TRADE'!$C$5:$V$46)*10^6*Legend!$B$92*Legend!$B$82*Legend!$B$84*10^-3)</f>
        <v>0</v>
      </c>
      <c r="U59" s="209" cm="1">
        <f t="array" ref="U59">IF(SUMPRODUCT(('IGU(2020)_LNG_TRADE'!$C$3:$V$3=$A59)*('IGU(2020)_LNG_TRADE'!$A$5:$A$46=U$6))=0,0,SUMPRODUCT(('IGU(2020)_LNG_TRADE'!$C$3:$V$3=$A59)*('IGU(2020)_LNG_TRADE'!$A$5:$A$46=U$6)*'IGU(2020)_LNG_TRADE'!$C$5:$V$46)*10^6*Legend!$B$92*Legend!$B$82*Legend!$B$84*10^-3)</f>
        <v>0</v>
      </c>
      <c r="V59" s="209" cm="1">
        <f t="array" ref="V59">IF(SUMPRODUCT(('IGU(2020)_LNG_TRADE'!$C$3:$V$3=$A59)*('IGU(2020)_LNG_TRADE'!$A$5:$A$46=V$6))=0,0,SUMPRODUCT(('IGU(2020)_LNG_TRADE'!$C$3:$V$3=$A59)*('IGU(2020)_LNG_TRADE'!$A$5:$A$46=V$6)*'IGU(2020)_LNG_TRADE'!$C$5:$V$46)*10^6*Legend!$B$92*Legend!$B$82*Legend!$B$84*10^-3)</f>
        <v>0</v>
      </c>
      <c r="W59" s="209" cm="1">
        <f t="array" ref="W59">IF(SUMPRODUCT(('IGU(2020)_LNG_TRADE'!$C$3:$V$3=$A59)*('IGU(2020)_LNG_TRADE'!$A$5:$A$46=W$6))=0,0,SUMPRODUCT(('IGU(2020)_LNG_TRADE'!$C$3:$V$3=$A59)*('IGU(2020)_LNG_TRADE'!$A$5:$A$46=W$6)*'IGU(2020)_LNG_TRADE'!$C$5:$V$46)*10^6*Legend!$B$92*Legend!$B$82*Legend!$B$84*10^-3)</f>
        <v>0</v>
      </c>
      <c r="X59" s="209" cm="1">
        <f t="array" ref="X59">IF(SUMPRODUCT(('IGU(2020)_LNG_TRADE'!$C$3:$V$3=$A59)*('IGU(2020)_LNG_TRADE'!$A$5:$A$46=X$6))=0,0,SUMPRODUCT(('IGU(2020)_LNG_TRADE'!$C$3:$V$3=$A59)*('IGU(2020)_LNG_TRADE'!$A$5:$A$46=X$6)*'IGU(2020)_LNG_TRADE'!$C$5:$V$46)*10^6*Legend!$B$92*Legend!$B$82*Legend!$B$84*10^-3)</f>
        <v>0</v>
      </c>
      <c r="Y59" s="209" cm="1">
        <f t="array" ref="Y59">IF(SUMPRODUCT(('IGU(2020)_LNG_TRADE'!$C$3:$V$3=$A59)*('IGU(2020)_LNG_TRADE'!$A$5:$A$46=Y$6))=0,0,SUMPRODUCT(('IGU(2020)_LNG_TRADE'!$C$3:$V$3=$A59)*('IGU(2020)_LNG_TRADE'!$A$5:$A$46=Y$6)*'IGU(2020)_LNG_TRADE'!$C$5:$V$46)*10^6*Legend!$B$92*Legend!$B$82*Legend!$B$84*10^-3)</f>
        <v>0</v>
      </c>
      <c r="Z59" s="209" cm="1">
        <f t="array" ref="Z59">IF(SUMPRODUCT(('IGU(2020)_LNG_TRADE'!$C$3:$V$3=$A59)*('IGU(2020)_LNG_TRADE'!$A$5:$A$46=Z$6))=0,0,SUMPRODUCT(('IGU(2020)_LNG_TRADE'!$C$3:$V$3=$A59)*('IGU(2020)_LNG_TRADE'!$A$5:$A$46=Z$6)*'IGU(2020)_LNG_TRADE'!$C$5:$V$46)*10^6*Legend!$B$92*Legend!$B$82*Legend!$B$84*10^-3)</f>
        <v>0</v>
      </c>
      <c r="AA59" s="209" cm="1">
        <f t="array" ref="AA59">IF(SUMPRODUCT(('IGU(2020)_LNG_TRADE'!$C$3:$V$3=$A59)*('IGU(2020)_LNG_TRADE'!$A$5:$A$46=AA$6))=0,0,SUMPRODUCT(('IGU(2020)_LNG_TRADE'!$C$3:$V$3=$A59)*('IGU(2020)_LNG_TRADE'!$A$5:$A$46=AA$6)*'IGU(2020)_LNG_TRADE'!$C$5:$V$46)*10^6*Legend!$B$92*Legend!$B$82*Legend!$B$84*10^-3)</f>
        <v>0</v>
      </c>
      <c r="AB59" s="209" cm="1">
        <f t="array" ref="AB59">IF(SUMPRODUCT(('IGU(2020)_LNG_TRADE'!$C$3:$V$3=$A59)*('IGU(2020)_LNG_TRADE'!$A$5:$A$46=AB$6))=0,0,SUMPRODUCT(('IGU(2020)_LNG_TRADE'!$C$3:$V$3=$A59)*('IGU(2020)_LNG_TRADE'!$A$5:$A$46=AB$6)*'IGU(2020)_LNG_TRADE'!$C$5:$V$46)*10^6*Legend!$B$92*Legend!$B$82*Legend!$B$84*10^-3)</f>
        <v>0</v>
      </c>
      <c r="AC59" s="220" cm="1">
        <f t="array" ref="AC59">IF(SUMPRODUCT(('IGU(2020)_LNG_TRADE'!$C$3:$V$3=$A59)*('IGU(2020)_LNG_TRADE'!$A$5:$A$46=AC$6))=0,0,SUMPRODUCT(('IGU(2020)_LNG_TRADE'!$C$3:$V$3=$A59)*('IGU(2020)_LNG_TRADE'!$A$5:$A$46=AC$6)*'IGU(2020)_LNG_TRADE'!$C$5:$V$46)*10^6*Legend!$B$92*Legend!$B$82*Legend!$B$84*10^-3)</f>
        <v>0</v>
      </c>
    </row>
    <row r="60" spans="1:29">
      <c r="A60" s="215" t="s">
        <v>225</v>
      </c>
      <c r="B60" s="209" cm="1">
        <f t="array" ref="B60">IF(SUMPRODUCT(('IGU(2020)_LNG_TRADE'!$C$3:$V$3=$A60)*('IGU(2020)_LNG_TRADE'!$A$5:$A$46=B$6))=0,0,SUMPRODUCT(('IGU(2020)_LNG_TRADE'!$C$3:$V$3=$A60)*('IGU(2020)_LNG_TRADE'!$A$5:$A$46=B$6)*'IGU(2020)_LNG_TRADE'!$C$5:$V$46)*10^6*Legend!$B$92*Legend!$B$82*Legend!$B$84*10^-3)</f>
        <v>0</v>
      </c>
      <c r="C60" s="209" cm="1">
        <f t="array" ref="C60">IF(SUMPRODUCT(('IGU(2020)_LNG_TRADE'!$C$3:$V$3=$A60)*('IGU(2020)_LNG_TRADE'!$A$5:$A$46=C$6))=0,0,SUMPRODUCT(('IGU(2020)_LNG_TRADE'!$C$3:$V$3=$A60)*('IGU(2020)_LNG_TRADE'!$A$5:$A$46=C$6)*'IGU(2020)_LNG_TRADE'!$C$5:$V$46)*10^6*Legend!$B$92*Legend!$B$82*Legend!$B$84*10^-3)</f>
        <v>0</v>
      </c>
      <c r="D60" s="209" cm="1">
        <f t="array" ref="D60">IF(SUMPRODUCT(('IGU(2020)_LNG_TRADE'!$C$3:$V$3=$A60)*('IGU(2020)_LNG_TRADE'!$A$5:$A$46=D$6))=0,0,SUMPRODUCT(('IGU(2020)_LNG_TRADE'!$C$3:$V$3=$A60)*('IGU(2020)_LNG_TRADE'!$A$5:$A$46=D$6)*'IGU(2020)_LNG_TRADE'!$C$5:$V$46)*10^6*Legend!$B$92*Legend!$B$82*Legend!$B$84*10^-3)</f>
        <v>0</v>
      </c>
      <c r="E60" s="209" cm="1">
        <f t="array" ref="E60">IF(SUMPRODUCT(('IGU(2020)_LNG_TRADE'!$C$3:$V$3=$A60)*('IGU(2020)_LNG_TRADE'!$A$5:$A$46=E$6))=0,0,SUMPRODUCT(('IGU(2020)_LNG_TRADE'!$C$3:$V$3=$A60)*('IGU(2020)_LNG_TRADE'!$A$5:$A$46=E$6)*'IGU(2020)_LNG_TRADE'!$C$5:$V$46)*10^6*Legend!$B$92*Legend!$B$82*Legend!$B$84*10^-3)</f>
        <v>0</v>
      </c>
      <c r="F60" s="209" cm="1">
        <f t="array" ref="F60">IF(SUMPRODUCT(('IGU(2020)_LNG_TRADE'!$C$3:$V$3=$A60)*('IGU(2020)_LNG_TRADE'!$A$5:$A$46=F$6))=0,0,SUMPRODUCT(('IGU(2020)_LNG_TRADE'!$C$3:$V$3=$A60)*('IGU(2020)_LNG_TRADE'!$A$5:$A$46=F$6)*'IGU(2020)_LNG_TRADE'!$C$5:$V$46)*10^6*Legend!$B$92*Legend!$B$82*Legend!$B$84*10^-3)</f>
        <v>0</v>
      </c>
      <c r="G60" s="209" cm="1">
        <f t="array" ref="G60">IF(SUMPRODUCT(('IGU(2020)_LNG_TRADE'!$C$3:$V$3=$A60)*('IGU(2020)_LNG_TRADE'!$A$5:$A$46=G$6))=0,0,SUMPRODUCT(('IGU(2020)_LNG_TRADE'!$C$3:$V$3=$A60)*('IGU(2020)_LNG_TRADE'!$A$5:$A$46=G$6)*'IGU(2020)_LNG_TRADE'!$C$5:$V$46)*10^6*Legend!$B$92*Legend!$B$82*Legend!$B$84*10^-3)</f>
        <v>0</v>
      </c>
      <c r="H60" s="209" cm="1">
        <f t="array" ref="H60">IF(SUMPRODUCT(('IGU(2020)_LNG_TRADE'!$C$3:$V$3=$A60)*('IGU(2020)_LNG_TRADE'!$A$5:$A$46=H$6))=0,0,SUMPRODUCT(('IGU(2020)_LNG_TRADE'!$C$3:$V$3=$A60)*('IGU(2020)_LNG_TRADE'!$A$5:$A$46=H$6)*'IGU(2020)_LNG_TRADE'!$C$5:$V$46)*10^6*Legend!$B$92*Legend!$B$82*Legend!$B$84*10^-3)</f>
        <v>0</v>
      </c>
      <c r="I60" s="209" cm="1">
        <f t="array" ref="I60">IF(SUMPRODUCT(('IGU(2020)_LNG_TRADE'!$C$3:$V$3=$A60)*('IGU(2020)_LNG_TRADE'!$A$5:$A$46=I$6))=0,0,SUMPRODUCT(('IGU(2020)_LNG_TRADE'!$C$3:$V$3=$A60)*('IGU(2020)_LNG_TRADE'!$A$5:$A$46=I$6)*'IGU(2020)_LNG_TRADE'!$C$5:$V$46)*10^6*Legend!$B$92*Legend!$B$82*Legend!$B$84*10^-3)</f>
        <v>0</v>
      </c>
      <c r="J60" s="209" cm="1">
        <f t="array" ref="J60">IF(SUMPRODUCT(('IGU(2020)_LNG_TRADE'!$C$3:$V$3=$A60)*('IGU(2020)_LNG_TRADE'!$A$5:$A$46=J$6))=0,0,SUMPRODUCT(('IGU(2020)_LNG_TRADE'!$C$3:$V$3=$A60)*('IGU(2020)_LNG_TRADE'!$A$5:$A$46=J$6)*'IGU(2020)_LNG_TRADE'!$C$5:$V$46)*10^6*Legend!$B$92*Legend!$B$82*Legend!$B$84*10^-3)</f>
        <v>0</v>
      </c>
      <c r="K60" s="209" cm="1">
        <f t="array" ref="K60">IF(SUMPRODUCT(('IGU(2020)_LNG_TRADE'!$C$3:$V$3=$A60)*('IGU(2020)_LNG_TRADE'!$A$5:$A$46=K$6))=0,0,SUMPRODUCT(('IGU(2020)_LNG_TRADE'!$C$3:$V$3=$A60)*('IGU(2020)_LNG_TRADE'!$A$5:$A$46=K$6)*'IGU(2020)_LNG_TRADE'!$C$5:$V$46)*10^6*Legend!$B$92*Legend!$B$82*Legend!$B$84*10^-3)</f>
        <v>0</v>
      </c>
      <c r="L60" s="209" cm="1">
        <f t="array" ref="L60">IF(SUMPRODUCT(('IGU(2020)_LNG_TRADE'!$C$3:$V$3=$A60)*('IGU(2020)_LNG_TRADE'!$A$5:$A$46=L$6))=0,0,SUMPRODUCT(('IGU(2020)_LNG_TRADE'!$C$3:$V$3=$A60)*('IGU(2020)_LNG_TRADE'!$A$5:$A$46=L$6)*'IGU(2020)_LNG_TRADE'!$C$5:$V$46)*10^6*Legend!$B$92*Legend!$B$82*Legend!$B$84*10^-3)</f>
        <v>0</v>
      </c>
      <c r="M60" s="209" cm="1">
        <f t="array" ref="M60">IF(SUMPRODUCT(('IGU(2020)_LNG_TRADE'!$C$3:$V$3=$A60)*('IGU(2020)_LNG_TRADE'!$A$5:$A$46=M$6))=0,0,SUMPRODUCT(('IGU(2020)_LNG_TRADE'!$C$3:$V$3=$A60)*('IGU(2020)_LNG_TRADE'!$A$5:$A$46=M$6)*'IGU(2020)_LNG_TRADE'!$C$5:$V$46)*10^6*Legend!$B$92*Legend!$B$82*Legend!$B$84*10^-3)</f>
        <v>0</v>
      </c>
      <c r="N60" s="209" cm="1">
        <f t="array" ref="N60">IF(SUMPRODUCT(('IGU(2020)_LNG_TRADE'!$C$3:$V$3=$A60)*('IGU(2020)_LNG_TRADE'!$A$5:$A$46=N$6))=0,0,SUMPRODUCT(('IGU(2020)_LNG_TRADE'!$C$3:$V$3=$A60)*('IGU(2020)_LNG_TRADE'!$A$5:$A$46=N$6)*'IGU(2020)_LNG_TRADE'!$C$5:$V$46)*10^6*Legend!$B$92*Legend!$B$82*Legend!$B$84*10^-3)</f>
        <v>0</v>
      </c>
      <c r="O60" s="209" cm="1">
        <f t="array" ref="O60">IF(SUMPRODUCT(('IGU(2020)_LNG_TRADE'!$C$3:$V$3=$A60)*('IGU(2020)_LNG_TRADE'!$A$5:$A$46=O$6))=0,0,SUMPRODUCT(('IGU(2020)_LNG_TRADE'!$C$3:$V$3=$A60)*('IGU(2020)_LNG_TRADE'!$A$5:$A$46=O$6)*'IGU(2020)_LNG_TRADE'!$C$5:$V$46)*10^6*Legend!$B$92*Legend!$B$82*Legend!$B$84*10^-3)</f>
        <v>0</v>
      </c>
      <c r="P60" s="209" cm="1">
        <f t="array" ref="P60">IF(SUMPRODUCT(('IGU(2020)_LNG_TRADE'!$C$3:$V$3=$A60)*('IGU(2020)_LNG_TRADE'!$A$5:$A$46=P$6))=0,0,SUMPRODUCT(('IGU(2020)_LNG_TRADE'!$C$3:$V$3=$A60)*('IGU(2020)_LNG_TRADE'!$A$5:$A$46=P$6)*'IGU(2020)_LNG_TRADE'!$C$5:$V$46)*10^6*Legend!$B$92*Legend!$B$82*Legend!$B$84*10^-3)</f>
        <v>0</v>
      </c>
      <c r="Q60" s="209" cm="1">
        <f t="array" ref="Q60">IF(SUMPRODUCT(('IGU(2020)_LNG_TRADE'!$C$3:$V$3=$A60)*('IGU(2020)_LNG_TRADE'!$A$5:$A$46=Q$6))=0,0,SUMPRODUCT(('IGU(2020)_LNG_TRADE'!$C$3:$V$3=$A60)*('IGU(2020)_LNG_TRADE'!$A$5:$A$46=Q$6)*'IGU(2020)_LNG_TRADE'!$C$5:$V$46)*10^6*Legend!$B$92*Legend!$B$82*Legend!$B$84*10^-3)</f>
        <v>0</v>
      </c>
      <c r="R60" s="209" cm="1">
        <f t="array" ref="R60">IF(SUMPRODUCT(('IGU(2020)_LNG_TRADE'!$C$3:$V$3=$A60)*('IGU(2020)_LNG_TRADE'!$A$5:$A$46=R$6))=0,0,SUMPRODUCT(('IGU(2020)_LNG_TRADE'!$C$3:$V$3=$A60)*('IGU(2020)_LNG_TRADE'!$A$5:$A$46=R$6)*'IGU(2020)_LNG_TRADE'!$C$5:$V$46)*10^6*Legend!$B$92*Legend!$B$82*Legend!$B$84*10^-3)</f>
        <v>0</v>
      </c>
      <c r="S60" s="209" cm="1">
        <f t="array" ref="S60">IF(SUMPRODUCT(('IGU(2020)_LNG_TRADE'!$C$3:$V$3=$A60)*('IGU(2020)_LNG_TRADE'!$A$5:$A$46=S$6))=0,0,SUMPRODUCT(('IGU(2020)_LNG_TRADE'!$C$3:$V$3=$A60)*('IGU(2020)_LNG_TRADE'!$A$5:$A$46=S$6)*'IGU(2020)_LNG_TRADE'!$C$5:$V$46)*10^6*Legend!$B$92*Legend!$B$82*Legend!$B$84*10^-3)</f>
        <v>0</v>
      </c>
      <c r="T60" s="209" cm="1">
        <f t="array" ref="T60">IF(SUMPRODUCT(('IGU(2020)_LNG_TRADE'!$C$3:$V$3=$A60)*('IGU(2020)_LNG_TRADE'!$A$5:$A$46=T$6))=0,0,SUMPRODUCT(('IGU(2020)_LNG_TRADE'!$C$3:$V$3=$A60)*('IGU(2020)_LNG_TRADE'!$A$5:$A$46=T$6)*'IGU(2020)_LNG_TRADE'!$C$5:$V$46)*10^6*Legend!$B$92*Legend!$B$82*Legend!$B$84*10^-3)</f>
        <v>0</v>
      </c>
      <c r="U60" s="209" cm="1">
        <f t="array" ref="U60">IF(SUMPRODUCT(('IGU(2020)_LNG_TRADE'!$C$3:$V$3=$A60)*('IGU(2020)_LNG_TRADE'!$A$5:$A$46=U$6))=0,0,SUMPRODUCT(('IGU(2020)_LNG_TRADE'!$C$3:$V$3=$A60)*('IGU(2020)_LNG_TRADE'!$A$5:$A$46=U$6)*'IGU(2020)_LNG_TRADE'!$C$5:$V$46)*10^6*Legend!$B$92*Legend!$B$82*Legend!$B$84*10^-3)</f>
        <v>0</v>
      </c>
      <c r="V60" s="209" cm="1">
        <f t="array" ref="V60">IF(SUMPRODUCT(('IGU(2020)_LNG_TRADE'!$C$3:$V$3=$A60)*('IGU(2020)_LNG_TRADE'!$A$5:$A$46=V$6))=0,0,SUMPRODUCT(('IGU(2020)_LNG_TRADE'!$C$3:$V$3=$A60)*('IGU(2020)_LNG_TRADE'!$A$5:$A$46=V$6)*'IGU(2020)_LNG_TRADE'!$C$5:$V$46)*10^6*Legend!$B$92*Legend!$B$82*Legend!$B$84*10^-3)</f>
        <v>0</v>
      </c>
      <c r="W60" s="209" cm="1">
        <f t="array" ref="W60">IF(SUMPRODUCT(('IGU(2020)_LNG_TRADE'!$C$3:$V$3=$A60)*('IGU(2020)_LNG_TRADE'!$A$5:$A$46=W$6))=0,0,SUMPRODUCT(('IGU(2020)_LNG_TRADE'!$C$3:$V$3=$A60)*('IGU(2020)_LNG_TRADE'!$A$5:$A$46=W$6)*'IGU(2020)_LNG_TRADE'!$C$5:$V$46)*10^6*Legend!$B$92*Legend!$B$82*Legend!$B$84*10^-3)</f>
        <v>0</v>
      </c>
      <c r="X60" s="209" cm="1">
        <f t="array" ref="X60">IF(SUMPRODUCT(('IGU(2020)_LNG_TRADE'!$C$3:$V$3=$A60)*('IGU(2020)_LNG_TRADE'!$A$5:$A$46=X$6))=0,0,SUMPRODUCT(('IGU(2020)_LNG_TRADE'!$C$3:$V$3=$A60)*('IGU(2020)_LNG_TRADE'!$A$5:$A$46=X$6)*'IGU(2020)_LNG_TRADE'!$C$5:$V$46)*10^6*Legend!$B$92*Legend!$B$82*Legend!$B$84*10^-3)</f>
        <v>0</v>
      </c>
      <c r="Y60" s="209" cm="1">
        <f t="array" ref="Y60">IF(SUMPRODUCT(('IGU(2020)_LNG_TRADE'!$C$3:$V$3=$A60)*('IGU(2020)_LNG_TRADE'!$A$5:$A$46=Y$6))=0,0,SUMPRODUCT(('IGU(2020)_LNG_TRADE'!$C$3:$V$3=$A60)*('IGU(2020)_LNG_TRADE'!$A$5:$A$46=Y$6)*'IGU(2020)_LNG_TRADE'!$C$5:$V$46)*10^6*Legend!$B$92*Legend!$B$82*Legend!$B$84*10^-3)</f>
        <v>0</v>
      </c>
      <c r="Z60" s="209" cm="1">
        <f t="array" ref="Z60">IF(SUMPRODUCT(('IGU(2020)_LNG_TRADE'!$C$3:$V$3=$A60)*('IGU(2020)_LNG_TRADE'!$A$5:$A$46=Z$6))=0,0,SUMPRODUCT(('IGU(2020)_LNG_TRADE'!$C$3:$V$3=$A60)*('IGU(2020)_LNG_TRADE'!$A$5:$A$46=Z$6)*'IGU(2020)_LNG_TRADE'!$C$5:$V$46)*10^6*Legend!$B$92*Legend!$B$82*Legend!$B$84*10^-3)</f>
        <v>0</v>
      </c>
      <c r="AA60" s="209" cm="1">
        <f t="array" ref="AA60">IF(SUMPRODUCT(('IGU(2020)_LNG_TRADE'!$C$3:$V$3=$A60)*('IGU(2020)_LNG_TRADE'!$A$5:$A$46=AA$6))=0,0,SUMPRODUCT(('IGU(2020)_LNG_TRADE'!$C$3:$V$3=$A60)*('IGU(2020)_LNG_TRADE'!$A$5:$A$46=AA$6)*'IGU(2020)_LNG_TRADE'!$C$5:$V$46)*10^6*Legend!$B$92*Legend!$B$82*Legend!$B$84*10^-3)</f>
        <v>0</v>
      </c>
      <c r="AB60" s="209" cm="1">
        <f t="array" ref="AB60">IF(SUMPRODUCT(('IGU(2020)_LNG_TRADE'!$C$3:$V$3=$A60)*('IGU(2020)_LNG_TRADE'!$A$5:$A$46=AB$6))=0,0,SUMPRODUCT(('IGU(2020)_LNG_TRADE'!$C$3:$V$3=$A60)*('IGU(2020)_LNG_TRADE'!$A$5:$A$46=AB$6)*'IGU(2020)_LNG_TRADE'!$C$5:$V$46)*10^6*Legend!$B$92*Legend!$B$82*Legend!$B$84*10^-3)</f>
        <v>0</v>
      </c>
      <c r="AC60" s="220" cm="1">
        <f t="array" ref="AC60">IF(SUMPRODUCT(('IGU(2020)_LNG_TRADE'!$C$3:$V$3=$A60)*('IGU(2020)_LNG_TRADE'!$A$5:$A$46=AC$6))=0,0,SUMPRODUCT(('IGU(2020)_LNG_TRADE'!$C$3:$V$3=$A60)*('IGU(2020)_LNG_TRADE'!$A$5:$A$46=AC$6)*'IGU(2020)_LNG_TRADE'!$C$5:$V$46)*10^6*Legend!$B$92*Legend!$B$82*Legend!$B$84*10^-3)</f>
        <v>0</v>
      </c>
    </row>
    <row r="61" spans="1:29">
      <c r="A61" s="215" t="s">
        <v>227</v>
      </c>
      <c r="B61" s="209" cm="1">
        <f t="array" ref="B61">IF(SUMPRODUCT(('IGU(2020)_LNG_TRADE'!$C$3:$V$3=$A61)*('IGU(2020)_LNG_TRADE'!$A$5:$A$46=B$6))=0,0,SUMPRODUCT(('IGU(2020)_LNG_TRADE'!$C$3:$V$3=$A61)*('IGU(2020)_LNG_TRADE'!$A$5:$A$46=B$6)*'IGU(2020)_LNG_TRADE'!$C$5:$V$46)*10^6*Legend!$B$92*Legend!$B$82*Legend!$B$84*10^-3)</f>
        <v>0</v>
      </c>
      <c r="C61" s="209" cm="1">
        <f t="array" ref="C61">IF(SUMPRODUCT(('IGU(2020)_LNG_TRADE'!$C$3:$V$3=$A61)*('IGU(2020)_LNG_TRADE'!$A$5:$A$46=C$6))=0,0,SUMPRODUCT(('IGU(2020)_LNG_TRADE'!$C$3:$V$3=$A61)*('IGU(2020)_LNG_TRADE'!$A$5:$A$46=C$6)*'IGU(2020)_LNG_TRADE'!$C$5:$V$46)*10^6*Legend!$B$92*Legend!$B$82*Legend!$B$84*10^-3)</f>
        <v>0</v>
      </c>
      <c r="D61" s="209" cm="1">
        <f t="array" ref="D61">IF(SUMPRODUCT(('IGU(2020)_LNG_TRADE'!$C$3:$V$3=$A61)*('IGU(2020)_LNG_TRADE'!$A$5:$A$46=D$6))=0,0,SUMPRODUCT(('IGU(2020)_LNG_TRADE'!$C$3:$V$3=$A61)*('IGU(2020)_LNG_TRADE'!$A$5:$A$46=D$6)*'IGU(2020)_LNG_TRADE'!$C$5:$V$46)*10^6*Legend!$B$92*Legend!$B$82*Legend!$B$84*10^-3)</f>
        <v>0</v>
      </c>
      <c r="E61" s="209" cm="1">
        <f t="array" ref="E61">IF(SUMPRODUCT(('IGU(2020)_LNG_TRADE'!$C$3:$V$3=$A61)*('IGU(2020)_LNG_TRADE'!$A$5:$A$46=E$6))=0,0,SUMPRODUCT(('IGU(2020)_LNG_TRADE'!$C$3:$V$3=$A61)*('IGU(2020)_LNG_TRADE'!$A$5:$A$46=E$6)*'IGU(2020)_LNG_TRADE'!$C$5:$V$46)*10^6*Legend!$B$92*Legend!$B$82*Legend!$B$84*10^-3)</f>
        <v>0</v>
      </c>
      <c r="F61" s="209" cm="1">
        <f t="array" ref="F61">IF(SUMPRODUCT(('IGU(2020)_LNG_TRADE'!$C$3:$V$3=$A61)*('IGU(2020)_LNG_TRADE'!$A$5:$A$46=F$6))=0,0,SUMPRODUCT(('IGU(2020)_LNG_TRADE'!$C$3:$V$3=$A61)*('IGU(2020)_LNG_TRADE'!$A$5:$A$46=F$6)*'IGU(2020)_LNG_TRADE'!$C$5:$V$46)*10^6*Legend!$B$92*Legend!$B$82*Legend!$B$84*10^-3)</f>
        <v>0</v>
      </c>
      <c r="G61" s="209" cm="1">
        <f t="array" ref="G61">IF(SUMPRODUCT(('IGU(2020)_LNG_TRADE'!$C$3:$V$3=$A61)*('IGU(2020)_LNG_TRADE'!$A$5:$A$46=G$6))=0,0,SUMPRODUCT(('IGU(2020)_LNG_TRADE'!$C$3:$V$3=$A61)*('IGU(2020)_LNG_TRADE'!$A$5:$A$46=G$6)*'IGU(2020)_LNG_TRADE'!$C$5:$V$46)*10^6*Legend!$B$92*Legend!$B$82*Legend!$B$84*10^-3)</f>
        <v>0</v>
      </c>
      <c r="H61" s="209" cm="1">
        <f t="array" ref="H61">IF(SUMPRODUCT(('IGU(2020)_LNG_TRADE'!$C$3:$V$3=$A61)*('IGU(2020)_LNG_TRADE'!$A$5:$A$46=H$6))=0,0,SUMPRODUCT(('IGU(2020)_LNG_TRADE'!$C$3:$V$3=$A61)*('IGU(2020)_LNG_TRADE'!$A$5:$A$46=H$6)*'IGU(2020)_LNG_TRADE'!$C$5:$V$46)*10^6*Legend!$B$92*Legend!$B$82*Legend!$B$84*10^-3)</f>
        <v>16893.947100000001</v>
      </c>
      <c r="I61" s="209" cm="1">
        <f t="array" ref="I61">IF(SUMPRODUCT(('IGU(2020)_LNG_TRADE'!$C$3:$V$3=$A61)*('IGU(2020)_LNG_TRADE'!$A$5:$A$46=I$6))=0,0,SUMPRODUCT(('IGU(2020)_LNG_TRADE'!$C$3:$V$3=$A61)*('IGU(2020)_LNG_TRADE'!$A$5:$A$46=I$6)*'IGU(2020)_LNG_TRADE'!$C$5:$V$46)*10^6*Legend!$B$92*Legend!$B$82*Legend!$B$84*10^-3)</f>
        <v>0</v>
      </c>
      <c r="J61" s="209" cm="1">
        <f t="array" ref="J61">IF(SUMPRODUCT(('IGU(2020)_LNG_TRADE'!$C$3:$V$3=$A61)*('IGU(2020)_LNG_TRADE'!$A$5:$A$46=J$6))=0,0,SUMPRODUCT(('IGU(2020)_LNG_TRADE'!$C$3:$V$3=$A61)*('IGU(2020)_LNG_TRADE'!$A$5:$A$46=J$6)*'IGU(2020)_LNG_TRADE'!$C$5:$V$46)*10^6*Legend!$B$92*Legend!$B$82*Legend!$B$84*10^-3)</f>
        <v>28156.5785</v>
      </c>
      <c r="K61" s="209" cm="1">
        <f t="array" ref="K61">IF(SUMPRODUCT(('IGU(2020)_LNG_TRADE'!$C$3:$V$3=$A61)*('IGU(2020)_LNG_TRADE'!$A$5:$A$46=K$6))=0,0,SUMPRODUCT(('IGU(2020)_LNG_TRADE'!$C$3:$V$3=$A61)*('IGU(2020)_LNG_TRADE'!$A$5:$A$46=K$6)*'IGU(2020)_LNG_TRADE'!$C$5:$V$46)*10^6*Legend!$B$92*Legend!$B$82*Legend!$B$84*10^-3)</f>
        <v>16893.947099999998</v>
      </c>
      <c r="L61" s="209" cm="1">
        <f t="array" ref="L61">IF(SUMPRODUCT(('IGU(2020)_LNG_TRADE'!$C$3:$V$3=$A61)*('IGU(2020)_LNG_TRADE'!$A$5:$A$46=L$6))=0,0,SUMPRODUCT(('IGU(2020)_LNG_TRADE'!$C$3:$V$3=$A61)*('IGU(2020)_LNG_TRADE'!$A$5:$A$46=L$6)*'IGU(2020)_LNG_TRADE'!$C$5:$V$46)*10^6*Legend!$B$92*Legend!$B$82*Legend!$B$84*10^-3)</f>
        <v>33787.894199999995</v>
      </c>
      <c r="M61" s="209" cm="1">
        <f t="array" ref="M61">IF(SUMPRODUCT(('IGU(2020)_LNG_TRADE'!$C$3:$V$3=$A61)*('IGU(2020)_LNG_TRADE'!$A$5:$A$46=M$6))=0,0,SUMPRODUCT(('IGU(2020)_LNG_TRADE'!$C$3:$V$3=$A61)*('IGU(2020)_LNG_TRADE'!$A$5:$A$46=M$6)*'IGU(2020)_LNG_TRADE'!$C$5:$V$46)*10^6*Legend!$B$92*Legend!$B$82*Legend!$B$84*10^-3)</f>
        <v>84469.735499999995</v>
      </c>
      <c r="N61" s="209" cm="1">
        <f t="array" ref="N61">IF(SUMPRODUCT(('IGU(2020)_LNG_TRADE'!$C$3:$V$3=$A61)*('IGU(2020)_LNG_TRADE'!$A$5:$A$46=N$6))=0,0,SUMPRODUCT(('IGU(2020)_LNG_TRADE'!$C$3:$V$3=$A61)*('IGU(2020)_LNG_TRADE'!$A$5:$A$46=N$6)*'IGU(2020)_LNG_TRADE'!$C$5:$V$46)*10^6*Legend!$B$92*Legend!$B$82*Legend!$B$84*10^-3)</f>
        <v>0</v>
      </c>
      <c r="O61" s="209" cm="1">
        <f t="array" ref="O61">IF(SUMPRODUCT(('IGU(2020)_LNG_TRADE'!$C$3:$V$3=$A61)*('IGU(2020)_LNG_TRADE'!$A$5:$A$46=O$6))=0,0,SUMPRODUCT(('IGU(2020)_LNG_TRADE'!$C$3:$V$3=$A61)*('IGU(2020)_LNG_TRADE'!$A$5:$A$46=O$6)*'IGU(2020)_LNG_TRADE'!$C$5:$V$46)*10^6*Legend!$B$92*Legend!$B$82*Legend!$B$84*10^-3)</f>
        <v>50681.841299999985</v>
      </c>
      <c r="P61" s="209" cm="1">
        <f t="array" ref="P61">IF(SUMPRODUCT(('IGU(2020)_LNG_TRADE'!$C$3:$V$3=$A61)*('IGU(2020)_LNG_TRADE'!$A$5:$A$46=P$6))=0,0,SUMPRODUCT(('IGU(2020)_LNG_TRADE'!$C$3:$V$3=$A61)*('IGU(2020)_LNG_TRADE'!$A$5:$A$46=P$6)*'IGU(2020)_LNG_TRADE'!$C$5:$V$46)*10^6*Legend!$B$92*Legend!$B$82*Legend!$B$84*10^-3)</f>
        <v>0</v>
      </c>
      <c r="Q61" s="209" cm="1">
        <f t="array" ref="Q61">IF(SUMPRODUCT(('IGU(2020)_LNG_TRADE'!$C$3:$V$3=$A61)*('IGU(2020)_LNG_TRADE'!$A$5:$A$46=Q$6))=0,0,SUMPRODUCT(('IGU(2020)_LNG_TRADE'!$C$3:$V$3=$A61)*('IGU(2020)_LNG_TRADE'!$A$5:$A$46=Q$6)*'IGU(2020)_LNG_TRADE'!$C$5:$V$46)*10^6*Legend!$B$92*Legend!$B$82*Legend!$B$84*10^-3)</f>
        <v>247777.89079999999</v>
      </c>
      <c r="R61" s="209" cm="1">
        <f t="array" ref="R61">IF(SUMPRODUCT(('IGU(2020)_LNG_TRADE'!$C$3:$V$3=$A61)*('IGU(2020)_LNG_TRADE'!$A$5:$A$46=R$6))=0,0,SUMPRODUCT(('IGU(2020)_LNG_TRADE'!$C$3:$V$3=$A61)*('IGU(2020)_LNG_TRADE'!$A$5:$A$46=R$6)*'IGU(2020)_LNG_TRADE'!$C$5:$V$46)*10^6*Legend!$B$92*Legend!$B$82*Legend!$B$84*10^-3)</f>
        <v>22525.262799999993</v>
      </c>
      <c r="S61" s="209" cm="1">
        <f t="array" ref="S61">IF(SUMPRODUCT(('IGU(2020)_LNG_TRADE'!$C$3:$V$3=$A61)*('IGU(2020)_LNG_TRADE'!$A$5:$A$46=S$6))=0,0,SUMPRODUCT(('IGU(2020)_LNG_TRADE'!$C$3:$V$3=$A61)*('IGU(2020)_LNG_TRADE'!$A$5:$A$46=S$6)*'IGU(2020)_LNG_TRADE'!$C$5:$V$46)*10^6*Legend!$B$92*Legend!$B$82*Legend!$B$84*10^-3)</f>
        <v>0</v>
      </c>
      <c r="T61" s="209" cm="1">
        <f t="array" ref="T61">IF(SUMPRODUCT(('IGU(2020)_LNG_TRADE'!$C$3:$V$3=$A61)*('IGU(2020)_LNG_TRADE'!$A$5:$A$46=T$6))=0,0,SUMPRODUCT(('IGU(2020)_LNG_TRADE'!$C$3:$V$3=$A61)*('IGU(2020)_LNG_TRADE'!$A$5:$A$46=T$6)*'IGU(2020)_LNG_TRADE'!$C$5:$V$46)*10^6*Legend!$B$92*Legend!$B$82*Legend!$B$84*10^-3)</f>
        <v>5631.3156999999983</v>
      </c>
      <c r="U61" s="209" cm="1">
        <f t="array" ref="U61">IF(SUMPRODUCT(('IGU(2020)_LNG_TRADE'!$C$3:$V$3=$A61)*('IGU(2020)_LNG_TRADE'!$A$5:$A$46=U$6))=0,0,SUMPRODUCT(('IGU(2020)_LNG_TRADE'!$C$3:$V$3=$A61)*('IGU(2020)_LNG_TRADE'!$A$5:$A$46=U$6)*'IGU(2020)_LNG_TRADE'!$C$5:$V$46)*10^6*Legend!$B$92*Legend!$B$82*Legend!$B$84*10^-3)</f>
        <v>39419.209900000002</v>
      </c>
      <c r="V61" s="209" cm="1">
        <f t="array" ref="V61">IF(SUMPRODUCT(('IGU(2020)_LNG_TRADE'!$C$3:$V$3=$A61)*('IGU(2020)_LNG_TRADE'!$A$5:$A$46=V$6))=0,0,SUMPRODUCT(('IGU(2020)_LNG_TRADE'!$C$3:$V$3=$A61)*('IGU(2020)_LNG_TRADE'!$A$5:$A$46=V$6)*'IGU(2020)_LNG_TRADE'!$C$5:$V$46)*10^6*Legend!$B$92*Legend!$B$82*Legend!$B$84*10^-3)</f>
        <v>84469.735499999995</v>
      </c>
      <c r="W61" s="209" cm="1">
        <f t="array" ref="W61">IF(SUMPRODUCT(('IGU(2020)_LNG_TRADE'!$C$3:$V$3=$A61)*('IGU(2020)_LNG_TRADE'!$A$5:$A$46=W$6))=0,0,SUMPRODUCT(('IGU(2020)_LNG_TRADE'!$C$3:$V$3=$A61)*('IGU(2020)_LNG_TRADE'!$A$5:$A$46=W$6)*'IGU(2020)_LNG_TRADE'!$C$5:$V$46)*10^6*Legend!$B$92*Legend!$B$82*Legend!$B$84*10^-3)</f>
        <v>50681.841299999985</v>
      </c>
      <c r="X61" s="209" cm="1">
        <f t="array" ref="X61">IF(SUMPRODUCT(('IGU(2020)_LNG_TRADE'!$C$3:$V$3=$A61)*('IGU(2020)_LNG_TRADE'!$A$5:$A$46=X$6))=0,0,SUMPRODUCT(('IGU(2020)_LNG_TRADE'!$C$3:$V$3=$A61)*('IGU(2020)_LNG_TRADE'!$A$5:$A$46=X$6)*'IGU(2020)_LNG_TRADE'!$C$5:$V$46)*10^6*Legend!$B$92*Legend!$B$82*Legend!$B$84*10^-3)</f>
        <v>11262.631399999997</v>
      </c>
      <c r="Y61" s="209" cm="1">
        <f t="array" ref="Y61">IF(SUMPRODUCT(('IGU(2020)_LNG_TRADE'!$C$3:$V$3=$A61)*('IGU(2020)_LNG_TRADE'!$A$5:$A$46=Y$6))=0,0,SUMPRODUCT(('IGU(2020)_LNG_TRADE'!$C$3:$V$3=$A61)*('IGU(2020)_LNG_TRADE'!$A$5:$A$46=Y$6)*'IGU(2020)_LNG_TRADE'!$C$5:$V$46)*10^6*Legend!$B$92*Legend!$B$82*Legend!$B$84*10^-3)</f>
        <v>22525.262799999993</v>
      </c>
      <c r="Z61" s="209" cm="1">
        <f t="array" ref="Z61">IF(SUMPRODUCT(('IGU(2020)_LNG_TRADE'!$C$3:$V$3=$A61)*('IGU(2020)_LNG_TRADE'!$A$5:$A$46=Z$6))=0,0,SUMPRODUCT(('IGU(2020)_LNG_TRADE'!$C$3:$V$3=$A61)*('IGU(2020)_LNG_TRADE'!$A$5:$A$46=Z$6)*'IGU(2020)_LNG_TRADE'!$C$5:$V$46)*10^6*Legend!$B$92*Legend!$B$82*Legend!$B$84*10^-3)</f>
        <v>0</v>
      </c>
      <c r="AA61" s="209" cm="1">
        <f t="array" ref="AA61">IF(SUMPRODUCT(('IGU(2020)_LNG_TRADE'!$C$3:$V$3=$A61)*('IGU(2020)_LNG_TRADE'!$A$5:$A$46=AA$6))=0,0,SUMPRODUCT(('IGU(2020)_LNG_TRADE'!$C$3:$V$3=$A61)*('IGU(2020)_LNG_TRADE'!$A$5:$A$46=AA$6)*'IGU(2020)_LNG_TRADE'!$C$5:$V$46)*10^6*Legend!$B$92*Legend!$B$82*Legend!$B$84*10^-3)</f>
        <v>0</v>
      </c>
      <c r="AB61" s="209" cm="1">
        <f t="array" ref="AB61">IF(SUMPRODUCT(('IGU(2020)_LNG_TRADE'!$C$3:$V$3=$A61)*('IGU(2020)_LNG_TRADE'!$A$5:$A$46=AB$6))=0,0,SUMPRODUCT(('IGU(2020)_LNG_TRADE'!$C$3:$V$3=$A61)*('IGU(2020)_LNG_TRADE'!$A$5:$A$46=AB$6)*'IGU(2020)_LNG_TRADE'!$C$5:$V$46)*10^6*Legend!$B$92*Legend!$B$82*Legend!$B$84*10^-3)</f>
        <v>84469.73550000001</v>
      </c>
      <c r="AC61" s="220" cm="1">
        <f t="array" ref="AC61">IF(SUMPRODUCT(('IGU(2020)_LNG_TRADE'!$C$3:$V$3=$A61)*('IGU(2020)_LNG_TRADE'!$A$5:$A$46=AC$6))=0,0,SUMPRODUCT(('IGU(2020)_LNG_TRADE'!$C$3:$V$3=$A61)*('IGU(2020)_LNG_TRADE'!$A$5:$A$46=AC$6)*'IGU(2020)_LNG_TRADE'!$C$5:$V$46)*10^6*Legend!$B$92*Legend!$B$82*Legend!$B$84*10^-3)</f>
        <v>129520.2611</v>
      </c>
    </row>
    <row r="62" spans="1:29">
      <c r="A62" s="215" t="s">
        <v>230</v>
      </c>
      <c r="B62" s="209" cm="1">
        <f t="array" ref="B62">IF(SUMPRODUCT(('IGU(2020)_LNG_TRADE'!$C$3:$V$3=$A62)*('IGU(2020)_LNG_TRADE'!$A$5:$A$46=B$6))=0,0,SUMPRODUCT(('IGU(2020)_LNG_TRADE'!$C$3:$V$3=$A62)*('IGU(2020)_LNG_TRADE'!$A$5:$A$46=B$6)*'IGU(2020)_LNG_TRADE'!$C$5:$V$46)*10^6*Legend!$B$92*Legend!$B$82*Legend!$B$84*10^-3)</f>
        <v>0</v>
      </c>
      <c r="C62" s="209" cm="1">
        <f t="array" ref="C62">IF(SUMPRODUCT(('IGU(2020)_LNG_TRADE'!$C$3:$V$3=$A62)*('IGU(2020)_LNG_TRADE'!$A$5:$A$46=C$6))=0,0,SUMPRODUCT(('IGU(2020)_LNG_TRADE'!$C$3:$V$3=$A62)*('IGU(2020)_LNG_TRADE'!$A$5:$A$46=C$6)*'IGU(2020)_LNG_TRADE'!$C$5:$V$46)*10^6*Legend!$B$92*Legend!$B$82*Legend!$B$84*10^-3)</f>
        <v>0</v>
      </c>
      <c r="D62" s="209" cm="1">
        <f t="array" ref="D62">IF(SUMPRODUCT(('IGU(2020)_LNG_TRADE'!$C$3:$V$3=$A62)*('IGU(2020)_LNG_TRADE'!$A$5:$A$46=D$6))=0,0,SUMPRODUCT(('IGU(2020)_LNG_TRADE'!$C$3:$V$3=$A62)*('IGU(2020)_LNG_TRADE'!$A$5:$A$46=D$6)*'IGU(2020)_LNG_TRADE'!$C$5:$V$46)*10^6*Legend!$B$92*Legend!$B$82*Legend!$B$84*10^-3)</f>
        <v>0</v>
      </c>
      <c r="E62" s="209" cm="1">
        <f t="array" ref="E62">IF(SUMPRODUCT(('IGU(2020)_LNG_TRADE'!$C$3:$V$3=$A62)*('IGU(2020)_LNG_TRADE'!$A$5:$A$46=E$6))=0,0,SUMPRODUCT(('IGU(2020)_LNG_TRADE'!$C$3:$V$3=$A62)*('IGU(2020)_LNG_TRADE'!$A$5:$A$46=E$6)*'IGU(2020)_LNG_TRADE'!$C$5:$V$46)*10^6*Legend!$B$92*Legend!$B$82*Legend!$B$84*10^-3)</f>
        <v>0</v>
      </c>
      <c r="F62" s="209" cm="1">
        <f t="array" ref="F62">IF(SUMPRODUCT(('IGU(2020)_LNG_TRADE'!$C$3:$V$3=$A62)*('IGU(2020)_LNG_TRADE'!$A$5:$A$46=F$6))=0,0,SUMPRODUCT(('IGU(2020)_LNG_TRADE'!$C$3:$V$3=$A62)*('IGU(2020)_LNG_TRADE'!$A$5:$A$46=F$6)*'IGU(2020)_LNG_TRADE'!$C$5:$V$46)*10^6*Legend!$B$92*Legend!$B$82*Legend!$B$84*10^-3)</f>
        <v>0</v>
      </c>
      <c r="G62" s="209" cm="1">
        <f t="array" ref="G62">IF(SUMPRODUCT(('IGU(2020)_LNG_TRADE'!$C$3:$V$3=$A62)*('IGU(2020)_LNG_TRADE'!$A$5:$A$46=G$6))=0,0,SUMPRODUCT(('IGU(2020)_LNG_TRADE'!$C$3:$V$3=$A62)*('IGU(2020)_LNG_TRADE'!$A$5:$A$46=G$6)*'IGU(2020)_LNG_TRADE'!$C$5:$V$46)*10^6*Legend!$B$92*Legend!$B$82*Legend!$B$84*10^-3)</f>
        <v>0</v>
      </c>
      <c r="H62" s="209" cm="1">
        <f t="array" ref="H62">IF(SUMPRODUCT(('IGU(2020)_LNG_TRADE'!$C$3:$V$3=$A62)*('IGU(2020)_LNG_TRADE'!$A$5:$A$46=H$6))=0,0,SUMPRODUCT(('IGU(2020)_LNG_TRADE'!$C$3:$V$3=$A62)*('IGU(2020)_LNG_TRADE'!$A$5:$A$46=H$6)*'IGU(2020)_LNG_TRADE'!$C$5:$V$46)*10^6*Legend!$B$92*Legend!$B$82*Legend!$B$84*10^-3)</f>
        <v>0</v>
      </c>
      <c r="I62" s="209" cm="1">
        <f t="array" ref="I62">IF(SUMPRODUCT(('IGU(2020)_LNG_TRADE'!$C$3:$V$3=$A62)*('IGU(2020)_LNG_TRADE'!$A$5:$A$46=I$6))=0,0,SUMPRODUCT(('IGU(2020)_LNG_TRADE'!$C$3:$V$3=$A62)*('IGU(2020)_LNG_TRADE'!$A$5:$A$46=I$6)*'IGU(2020)_LNG_TRADE'!$C$5:$V$46)*10^6*Legend!$B$92*Legend!$B$82*Legend!$B$84*10^-3)</f>
        <v>0</v>
      </c>
      <c r="J62" s="209" cm="1">
        <f t="array" ref="J62">IF(SUMPRODUCT(('IGU(2020)_LNG_TRADE'!$C$3:$V$3=$A62)*('IGU(2020)_LNG_TRADE'!$A$5:$A$46=J$6))=0,0,SUMPRODUCT(('IGU(2020)_LNG_TRADE'!$C$3:$V$3=$A62)*('IGU(2020)_LNG_TRADE'!$A$5:$A$46=J$6)*'IGU(2020)_LNG_TRADE'!$C$5:$V$46)*10^6*Legend!$B$92*Legend!$B$82*Legend!$B$84*10^-3)</f>
        <v>0</v>
      </c>
      <c r="K62" s="209" cm="1">
        <f t="array" ref="K62">IF(SUMPRODUCT(('IGU(2020)_LNG_TRADE'!$C$3:$V$3=$A62)*('IGU(2020)_LNG_TRADE'!$A$5:$A$46=K$6))=0,0,SUMPRODUCT(('IGU(2020)_LNG_TRADE'!$C$3:$V$3=$A62)*('IGU(2020)_LNG_TRADE'!$A$5:$A$46=K$6)*'IGU(2020)_LNG_TRADE'!$C$5:$V$46)*10^6*Legend!$B$92*Legend!$B$82*Legend!$B$84*10^-3)</f>
        <v>0</v>
      </c>
      <c r="L62" s="209" cm="1">
        <f t="array" ref="L62">IF(SUMPRODUCT(('IGU(2020)_LNG_TRADE'!$C$3:$V$3=$A62)*('IGU(2020)_LNG_TRADE'!$A$5:$A$46=L$6))=0,0,SUMPRODUCT(('IGU(2020)_LNG_TRADE'!$C$3:$V$3=$A62)*('IGU(2020)_LNG_TRADE'!$A$5:$A$46=L$6)*'IGU(2020)_LNG_TRADE'!$C$5:$V$46)*10^6*Legend!$B$92*Legend!$B$82*Legend!$B$84*10^-3)</f>
        <v>0</v>
      </c>
      <c r="M62" s="209" cm="1">
        <f t="array" ref="M62">IF(SUMPRODUCT(('IGU(2020)_LNG_TRADE'!$C$3:$V$3=$A62)*('IGU(2020)_LNG_TRADE'!$A$5:$A$46=M$6))=0,0,SUMPRODUCT(('IGU(2020)_LNG_TRADE'!$C$3:$V$3=$A62)*('IGU(2020)_LNG_TRADE'!$A$5:$A$46=M$6)*'IGU(2020)_LNG_TRADE'!$C$5:$V$46)*10^6*Legend!$B$92*Legend!$B$82*Legend!$B$84*10^-3)</f>
        <v>0</v>
      </c>
      <c r="N62" s="209" cm="1">
        <f t="array" ref="N62">IF(SUMPRODUCT(('IGU(2020)_LNG_TRADE'!$C$3:$V$3=$A62)*('IGU(2020)_LNG_TRADE'!$A$5:$A$46=N$6))=0,0,SUMPRODUCT(('IGU(2020)_LNG_TRADE'!$C$3:$V$3=$A62)*('IGU(2020)_LNG_TRADE'!$A$5:$A$46=N$6)*'IGU(2020)_LNG_TRADE'!$C$5:$V$46)*10^6*Legend!$B$92*Legend!$B$82*Legend!$B$84*10^-3)</f>
        <v>0</v>
      </c>
      <c r="O62" s="209" cm="1">
        <f t="array" ref="O62">IF(SUMPRODUCT(('IGU(2020)_LNG_TRADE'!$C$3:$V$3=$A62)*('IGU(2020)_LNG_TRADE'!$A$5:$A$46=O$6))=0,0,SUMPRODUCT(('IGU(2020)_LNG_TRADE'!$C$3:$V$3=$A62)*('IGU(2020)_LNG_TRADE'!$A$5:$A$46=O$6)*'IGU(2020)_LNG_TRADE'!$C$5:$V$46)*10^6*Legend!$B$92*Legend!$B$82*Legend!$B$84*10^-3)</f>
        <v>0</v>
      </c>
      <c r="P62" s="209" cm="1">
        <f t="array" ref="P62">IF(SUMPRODUCT(('IGU(2020)_LNG_TRADE'!$C$3:$V$3=$A62)*('IGU(2020)_LNG_TRADE'!$A$5:$A$46=P$6))=0,0,SUMPRODUCT(('IGU(2020)_LNG_TRADE'!$C$3:$V$3=$A62)*('IGU(2020)_LNG_TRADE'!$A$5:$A$46=P$6)*'IGU(2020)_LNG_TRADE'!$C$5:$V$46)*10^6*Legend!$B$92*Legend!$B$82*Legend!$B$84*10^-3)</f>
        <v>0</v>
      </c>
      <c r="Q62" s="209" cm="1">
        <f t="array" ref="Q62">IF(SUMPRODUCT(('IGU(2020)_LNG_TRADE'!$C$3:$V$3=$A62)*('IGU(2020)_LNG_TRADE'!$A$5:$A$46=Q$6))=0,0,SUMPRODUCT(('IGU(2020)_LNG_TRADE'!$C$3:$V$3=$A62)*('IGU(2020)_LNG_TRADE'!$A$5:$A$46=Q$6)*'IGU(2020)_LNG_TRADE'!$C$5:$V$46)*10^6*Legend!$B$92*Legend!$B$82*Legend!$B$84*10^-3)</f>
        <v>0</v>
      </c>
      <c r="R62" s="209" cm="1">
        <f t="array" ref="R62">IF(SUMPRODUCT(('IGU(2020)_LNG_TRADE'!$C$3:$V$3=$A62)*('IGU(2020)_LNG_TRADE'!$A$5:$A$46=R$6))=0,0,SUMPRODUCT(('IGU(2020)_LNG_TRADE'!$C$3:$V$3=$A62)*('IGU(2020)_LNG_TRADE'!$A$5:$A$46=R$6)*'IGU(2020)_LNG_TRADE'!$C$5:$V$46)*10^6*Legend!$B$92*Legend!$B$82*Legend!$B$84*10^-3)</f>
        <v>0</v>
      </c>
      <c r="S62" s="209" cm="1">
        <f t="array" ref="S62">IF(SUMPRODUCT(('IGU(2020)_LNG_TRADE'!$C$3:$V$3=$A62)*('IGU(2020)_LNG_TRADE'!$A$5:$A$46=S$6))=0,0,SUMPRODUCT(('IGU(2020)_LNG_TRADE'!$C$3:$V$3=$A62)*('IGU(2020)_LNG_TRADE'!$A$5:$A$46=S$6)*'IGU(2020)_LNG_TRADE'!$C$5:$V$46)*10^6*Legend!$B$92*Legend!$B$82*Legend!$B$84*10^-3)</f>
        <v>0</v>
      </c>
      <c r="T62" s="209" cm="1">
        <f t="array" ref="T62">IF(SUMPRODUCT(('IGU(2020)_LNG_TRADE'!$C$3:$V$3=$A62)*('IGU(2020)_LNG_TRADE'!$A$5:$A$46=T$6))=0,0,SUMPRODUCT(('IGU(2020)_LNG_TRADE'!$C$3:$V$3=$A62)*('IGU(2020)_LNG_TRADE'!$A$5:$A$46=T$6)*'IGU(2020)_LNG_TRADE'!$C$5:$V$46)*10^6*Legend!$B$92*Legend!$B$82*Legend!$B$84*10^-3)</f>
        <v>0</v>
      </c>
      <c r="U62" s="209" cm="1">
        <f t="array" ref="U62">IF(SUMPRODUCT(('IGU(2020)_LNG_TRADE'!$C$3:$V$3=$A62)*('IGU(2020)_LNG_TRADE'!$A$5:$A$46=U$6))=0,0,SUMPRODUCT(('IGU(2020)_LNG_TRADE'!$C$3:$V$3=$A62)*('IGU(2020)_LNG_TRADE'!$A$5:$A$46=U$6)*'IGU(2020)_LNG_TRADE'!$C$5:$V$46)*10^6*Legend!$B$92*Legend!$B$82*Legend!$B$84*10^-3)</f>
        <v>0</v>
      </c>
      <c r="V62" s="209" cm="1">
        <f t="array" ref="V62">IF(SUMPRODUCT(('IGU(2020)_LNG_TRADE'!$C$3:$V$3=$A62)*('IGU(2020)_LNG_TRADE'!$A$5:$A$46=V$6))=0,0,SUMPRODUCT(('IGU(2020)_LNG_TRADE'!$C$3:$V$3=$A62)*('IGU(2020)_LNG_TRADE'!$A$5:$A$46=V$6)*'IGU(2020)_LNG_TRADE'!$C$5:$V$46)*10^6*Legend!$B$92*Legend!$B$82*Legend!$B$84*10^-3)</f>
        <v>0</v>
      </c>
      <c r="W62" s="209" cm="1">
        <f t="array" ref="W62">IF(SUMPRODUCT(('IGU(2020)_LNG_TRADE'!$C$3:$V$3=$A62)*('IGU(2020)_LNG_TRADE'!$A$5:$A$46=W$6))=0,0,SUMPRODUCT(('IGU(2020)_LNG_TRADE'!$C$3:$V$3=$A62)*('IGU(2020)_LNG_TRADE'!$A$5:$A$46=W$6)*'IGU(2020)_LNG_TRADE'!$C$5:$V$46)*10^6*Legend!$B$92*Legend!$B$82*Legend!$B$84*10^-3)</f>
        <v>0</v>
      </c>
      <c r="X62" s="209" cm="1">
        <f t="array" ref="X62">IF(SUMPRODUCT(('IGU(2020)_LNG_TRADE'!$C$3:$V$3=$A62)*('IGU(2020)_LNG_TRADE'!$A$5:$A$46=X$6))=0,0,SUMPRODUCT(('IGU(2020)_LNG_TRADE'!$C$3:$V$3=$A62)*('IGU(2020)_LNG_TRADE'!$A$5:$A$46=X$6)*'IGU(2020)_LNG_TRADE'!$C$5:$V$46)*10^6*Legend!$B$92*Legend!$B$82*Legend!$B$84*10^-3)</f>
        <v>0</v>
      </c>
      <c r="Y62" s="209" cm="1">
        <f t="array" ref="Y62">IF(SUMPRODUCT(('IGU(2020)_LNG_TRADE'!$C$3:$V$3=$A62)*('IGU(2020)_LNG_TRADE'!$A$5:$A$46=Y$6))=0,0,SUMPRODUCT(('IGU(2020)_LNG_TRADE'!$C$3:$V$3=$A62)*('IGU(2020)_LNG_TRADE'!$A$5:$A$46=Y$6)*'IGU(2020)_LNG_TRADE'!$C$5:$V$46)*10^6*Legend!$B$92*Legend!$B$82*Legend!$B$84*10^-3)</f>
        <v>0</v>
      </c>
      <c r="Z62" s="209" cm="1">
        <f t="array" ref="Z62">IF(SUMPRODUCT(('IGU(2020)_LNG_TRADE'!$C$3:$V$3=$A62)*('IGU(2020)_LNG_TRADE'!$A$5:$A$46=Z$6))=0,0,SUMPRODUCT(('IGU(2020)_LNG_TRADE'!$C$3:$V$3=$A62)*('IGU(2020)_LNG_TRADE'!$A$5:$A$46=Z$6)*'IGU(2020)_LNG_TRADE'!$C$5:$V$46)*10^6*Legend!$B$92*Legend!$B$82*Legend!$B$84*10^-3)</f>
        <v>0</v>
      </c>
      <c r="AA62" s="209" cm="1">
        <f t="array" ref="AA62">IF(SUMPRODUCT(('IGU(2020)_LNG_TRADE'!$C$3:$V$3=$A62)*('IGU(2020)_LNG_TRADE'!$A$5:$A$46=AA$6))=0,0,SUMPRODUCT(('IGU(2020)_LNG_TRADE'!$C$3:$V$3=$A62)*('IGU(2020)_LNG_TRADE'!$A$5:$A$46=AA$6)*'IGU(2020)_LNG_TRADE'!$C$5:$V$46)*10^6*Legend!$B$92*Legend!$B$82*Legend!$B$84*10^-3)</f>
        <v>0</v>
      </c>
      <c r="AB62" s="209" cm="1">
        <f t="array" ref="AB62">IF(SUMPRODUCT(('IGU(2020)_LNG_TRADE'!$C$3:$V$3=$A62)*('IGU(2020)_LNG_TRADE'!$A$5:$A$46=AB$6))=0,0,SUMPRODUCT(('IGU(2020)_LNG_TRADE'!$C$3:$V$3=$A62)*('IGU(2020)_LNG_TRADE'!$A$5:$A$46=AB$6)*'IGU(2020)_LNG_TRADE'!$C$5:$V$46)*10^6*Legend!$B$92*Legend!$B$82*Legend!$B$84*10^-3)</f>
        <v>0</v>
      </c>
      <c r="AC62" s="220" cm="1">
        <f t="array" ref="AC62">IF(SUMPRODUCT(('IGU(2020)_LNG_TRADE'!$C$3:$V$3=$A62)*('IGU(2020)_LNG_TRADE'!$A$5:$A$46=AC$6))=0,0,SUMPRODUCT(('IGU(2020)_LNG_TRADE'!$C$3:$V$3=$A62)*('IGU(2020)_LNG_TRADE'!$A$5:$A$46=AC$6)*'IGU(2020)_LNG_TRADE'!$C$5:$V$46)*10^6*Legend!$B$92*Legend!$B$82*Legend!$B$84*10^-3)</f>
        <v>0</v>
      </c>
    </row>
    <row r="63" spans="1:29">
      <c r="A63" s="215" t="s">
        <v>233</v>
      </c>
      <c r="B63" s="209" cm="1">
        <f t="array" ref="B63">IF(SUMPRODUCT(('IGU(2020)_LNG_TRADE'!$C$3:$V$3=$A63)*('IGU(2020)_LNG_TRADE'!$A$5:$A$46=B$6))=0,0,SUMPRODUCT(('IGU(2020)_LNG_TRADE'!$C$3:$V$3=$A63)*('IGU(2020)_LNG_TRADE'!$A$5:$A$46=B$6)*'IGU(2020)_LNG_TRADE'!$C$5:$V$46)*10^6*Legend!$B$92*Legend!$B$82*Legend!$B$84*10^-3)</f>
        <v>0</v>
      </c>
      <c r="C63" s="209" cm="1">
        <f t="array" ref="C63">IF(SUMPRODUCT(('IGU(2020)_LNG_TRADE'!$C$3:$V$3=$A63)*('IGU(2020)_LNG_TRADE'!$A$5:$A$46=C$6))=0,0,SUMPRODUCT(('IGU(2020)_LNG_TRADE'!$C$3:$V$3=$A63)*('IGU(2020)_LNG_TRADE'!$A$5:$A$46=C$6)*'IGU(2020)_LNG_TRADE'!$C$5:$V$46)*10^6*Legend!$B$92*Legend!$B$82*Legend!$B$84*10^-3)</f>
        <v>0</v>
      </c>
      <c r="D63" s="209" cm="1">
        <f t="array" ref="D63">IF(SUMPRODUCT(('IGU(2020)_LNG_TRADE'!$C$3:$V$3=$A63)*('IGU(2020)_LNG_TRADE'!$A$5:$A$46=D$6))=0,0,SUMPRODUCT(('IGU(2020)_LNG_TRADE'!$C$3:$V$3=$A63)*('IGU(2020)_LNG_TRADE'!$A$5:$A$46=D$6)*'IGU(2020)_LNG_TRADE'!$C$5:$V$46)*10^6*Legend!$B$92*Legend!$B$82*Legend!$B$84*10^-3)</f>
        <v>0</v>
      </c>
      <c r="E63" s="209" cm="1">
        <f t="array" ref="E63">IF(SUMPRODUCT(('IGU(2020)_LNG_TRADE'!$C$3:$V$3=$A63)*('IGU(2020)_LNG_TRADE'!$A$5:$A$46=E$6))=0,0,SUMPRODUCT(('IGU(2020)_LNG_TRADE'!$C$3:$V$3=$A63)*('IGU(2020)_LNG_TRADE'!$A$5:$A$46=E$6)*'IGU(2020)_LNG_TRADE'!$C$5:$V$46)*10^6*Legend!$B$92*Legend!$B$82*Legend!$B$84*10^-3)</f>
        <v>0</v>
      </c>
      <c r="F63" s="209" cm="1">
        <f t="array" ref="F63">IF(SUMPRODUCT(('IGU(2020)_LNG_TRADE'!$C$3:$V$3=$A63)*('IGU(2020)_LNG_TRADE'!$A$5:$A$46=F$6))=0,0,SUMPRODUCT(('IGU(2020)_LNG_TRADE'!$C$3:$V$3=$A63)*('IGU(2020)_LNG_TRADE'!$A$5:$A$46=F$6)*'IGU(2020)_LNG_TRADE'!$C$5:$V$46)*10^6*Legend!$B$92*Legend!$B$82*Legend!$B$84*10^-3)</f>
        <v>0</v>
      </c>
      <c r="G63" s="209" cm="1">
        <f t="array" ref="G63">IF(SUMPRODUCT(('IGU(2020)_LNG_TRADE'!$C$3:$V$3=$A63)*('IGU(2020)_LNG_TRADE'!$A$5:$A$46=G$6))=0,0,SUMPRODUCT(('IGU(2020)_LNG_TRADE'!$C$3:$V$3=$A63)*('IGU(2020)_LNG_TRADE'!$A$5:$A$46=G$6)*'IGU(2020)_LNG_TRADE'!$C$5:$V$46)*10^6*Legend!$B$92*Legend!$B$82*Legend!$B$84*10^-3)</f>
        <v>0</v>
      </c>
      <c r="H63" s="209" cm="1">
        <f t="array" ref="H63">IF(SUMPRODUCT(('IGU(2020)_LNG_TRADE'!$C$3:$V$3=$A63)*('IGU(2020)_LNG_TRADE'!$A$5:$A$46=H$6))=0,0,SUMPRODUCT(('IGU(2020)_LNG_TRADE'!$C$3:$V$3=$A63)*('IGU(2020)_LNG_TRADE'!$A$5:$A$46=H$6)*'IGU(2020)_LNG_TRADE'!$C$5:$V$46)*10^6*Legend!$B$92*Legend!$B$82*Legend!$B$84*10^-3)</f>
        <v>123888.9454</v>
      </c>
      <c r="I63" s="209" cm="1">
        <f t="array" ref="I63">IF(SUMPRODUCT(('IGU(2020)_LNG_TRADE'!$C$3:$V$3=$A63)*('IGU(2020)_LNG_TRADE'!$A$5:$A$46=I$6))=0,0,SUMPRODUCT(('IGU(2020)_LNG_TRADE'!$C$3:$V$3=$A63)*('IGU(2020)_LNG_TRADE'!$A$5:$A$46=I$6)*'IGU(2020)_LNG_TRADE'!$C$5:$V$46)*10^6*Legend!$B$92*Legend!$B$82*Legend!$B$84*10^-3)</f>
        <v>473030.51879999996</v>
      </c>
      <c r="J63" s="209" cm="1">
        <f t="array" ref="J63">IF(SUMPRODUCT(('IGU(2020)_LNG_TRADE'!$C$3:$V$3=$A63)*('IGU(2020)_LNG_TRADE'!$A$5:$A$46=J$6))=0,0,SUMPRODUCT(('IGU(2020)_LNG_TRADE'!$C$3:$V$3=$A63)*('IGU(2020)_LNG_TRADE'!$A$5:$A$46=J$6)*'IGU(2020)_LNG_TRADE'!$C$5:$V$46)*10^6*Legend!$B$92*Legend!$B$82*Legend!$B$84*10^-3)</f>
        <v>0</v>
      </c>
      <c r="K63" s="209" cm="1">
        <f t="array" ref="K63">IF(SUMPRODUCT(('IGU(2020)_LNG_TRADE'!$C$3:$V$3=$A63)*('IGU(2020)_LNG_TRADE'!$A$5:$A$46=K$6))=0,0,SUMPRODUCT(('IGU(2020)_LNG_TRADE'!$C$3:$V$3=$A63)*('IGU(2020)_LNG_TRADE'!$A$5:$A$46=K$6)*'IGU(2020)_LNG_TRADE'!$C$5:$V$46)*10^6*Legend!$B$92*Legend!$B$82*Legend!$B$84*10^-3)</f>
        <v>0</v>
      </c>
      <c r="L63" s="209" cm="1">
        <f t="array" ref="L63">IF(SUMPRODUCT(('IGU(2020)_LNG_TRADE'!$C$3:$V$3=$A63)*('IGU(2020)_LNG_TRADE'!$A$5:$A$46=L$6))=0,0,SUMPRODUCT(('IGU(2020)_LNG_TRADE'!$C$3:$V$3=$A63)*('IGU(2020)_LNG_TRADE'!$A$5:$A$46=L$6)*'IGU(2020)_LNG_TRADE'!$C$5:$V$46)*10^6*Legend!$B$92*Legend!$B$82*Legend!$B$84*10^-3)</f>
        <v>0</v>
      </c>
      <c r="M63" s="209" cm="1">
        <f t="array" ref="M63">IF(SUMPRODUCT(('IGU(2020)_LNG_TRADE'!$C$3:$V$3=$A63)*('IGU(2020)_LNG_TRADE'!$A$5:$A$46=M$6))=0,0,SUMPRODUCT(('IGU(2020)_LNG_TRADE'!$C$3:$V$3=$A63)*('IGU(2020)_LNG_TRADE'!$A$5:$A$46=M$6)*'IGU(2020)_LNG_TRADE'!$C$5:$V$46)*10^6*Legend!$B$92*Legend!$B$82*Legend!$B$84*10^-3)</f>
        <v>546237.62289999996</v>
      </c>
      <c r="N63" s="209" cm="1">
        <f t="array" ref="N63">IF(SUMPRODUCT(('IGU(2020)_LNG_TRADE'!$C$3:$V$3=$A63)*('IGU(2020)_LNG_TRADE'!$A$5:$A$46=N$6))=0,0,SUMPRODUCT(('IGU(2020)_LNG_TRADE'!$C$3:$V$3=$A63)*('IGU(2020)_LNG_TRADE'!$A$5:$A$46=N$6)*'IGU(2020)_LNG_TRADE'!$C$5:$V$46)*10^6*Legend!$B$92*Legend!$B$82*Legend!$B$84*10^-3)</f>
        <v>0</v>
      </c>
      <c r="O63" s="209" cm="1">
        <f t="array" ref="O63">IF(SUMPRODUCT(('IGU(2020)_LNG_TRADE'!$C$3:$V$3=$A63)*('IGU(2020)_LNG_TRADE'!$A$5:$A$46=O$6))=0,0,SUMPRODUCT(('IGU(2020)_LNG_TRADE'!$C$3:$V$3=$A63)*('IGU(2020)_LNG_TRADE'!$A$5:$A$46=O$6)*'IGU(2020)_LNG_TRADE'!$C$5:$V$46)*10^6*Legend!$B$92*Legend!$B$82*Legend!$B$84*10^-3)</f>
        <v>371666.83619999996</v>
      </c>
      <c r="P63" s="209" cm="1">
        <f t="array" ref="P63">IF(SUMPRODUCT(('IGU(2020)_LNG_TRADE'!$C$3:$V$3=$A63)*('IGU(2020)_LNG_TRADE'!$A$5:$A$46=P$6))=0,0,SUMPRODUCT(('IGU(2020)_LNG_TRADE'!$C$3:$V$3=$A63)*('IGU(2020)_LNG_TRADE'!$A$5:$A$46=P$6)*'IGU(2020)_LNG_TRADE'!$C$5:$V$46)*10^6*Legend!$B$92*Legend!$B$82*Legend!$B$84*10^-3)</f>
        <v>95732.366899999979</v>
      </c>
      <c r="Q63" s="209" cm="1">
        <f t="array" ref="Q63">IF(SUMPRODUCT(('IGU(2020)_LNG_TRADE'!$C$3:$V$3=$A63)*('IGU(2020)_LNG_TRADE'!$A$5:$A$46=Q$6))=0,0,SUMPRODUCT(('IGU(2020)_LNG_TRADE'!$C$3:$V$3=$A63)*('IGU(2020)_LNG_TRADE'!$A$5:$A$46=Q$6)*'IGU(2020)_LNG_TRADE'!$C$5:$V$46)*10^6*Legend!$B$92*Legend!$B$82*Legend!$B$84*10^-3)</f>
        <v>568762.8857000001</v>
      </c>
      <c r="R63" s="209" cm="1">
        <f t="array" ref="R63">IF(SUMPRODUCT(('IGU(2020)_LNG_TRADE'!$C$3:$V$3=$A63)*('IGU(2020)_LNG_TRADE'!$A$5:$A$46=R$6))=0,0,SUMPRODUCT(('IGU(2020)_LNG_TRADE'!$C$3:$V$3=$A63)*('IGU(2020)_LNG_TRADE'!$A$5:$A$46=R$6)*'IGU(2020)_LNG_TRADE'!$C$5:$V$46)*10^6*Legend!$B$92*Legend!$B$82*Legend!$B$84*10^-3)</f>
        <v>191464.73379999996</v>
      </c>
      <c r="S63" s="209" cm="1">
        <f t="array" ref="S63">IF(SUMPRODUCT(('IGU(2020)_LNG_TRADE'!$C$3:$V$3=$A63)*('IGU(2020)_LNG_TRADE'!$A$5:$A$46=S$6))=0,0,SUMPRODUCT(('IGU(2020)_LNG_TRADE'!$C$3:$V$3=$A63)*('IGU(2020)_LNG_TRADE'!$A$5:$A$46=S$6)*'IGU(2020)_LNG_TRADE'!$C$5:$V$46)*10^6*Legend!$B$92*Legend!$B$82*Legend!$B$84*10^-3)</f>
        <v>0</v>
      </c>
      <c r="T63" s="209" cm="1">
        <f t="array" ref="T63">IF(SUMPRODUCT(('IGU(2020)_LNG_TRADE'!$C$3:$V$3=$A63)*('IGU(2020)_LNG_TRADE'!$A$5:$A$46=T$6))=0,0,SUMPRODUCT(('IGU(2020)_LNG_TRADE'!$C$3:$V$3=$A63)*('IGU(2020)_LNG_TRADE'!$A$5:$A$46=T$6)*'IGU(2020)_LNG_TRADE'!$C$5:$V$46)*10^6*Legend!$B$92*Legend!$B$82*Legend!$B$84*10^-3)</f>
        <v>748964.98809999973</v>
      </c>
      <c r="U63" s="209" cm="1">
        <f t="array" ref="U63">IF(SUMPRODUCT(('IGU(2020)_LNG_TRADE'!$C$3:$V$3=$A63)*('IGU(2020)_LNG_TRADE'!$A$5:$A$46=U$6))=0,0,SUMPRODUCT(('IGU(2020)_LNG_TRADE'!$C$3:$V$3=$A63)*('IGU(2020)_LNG_TRADE'!$A$5:$A$46=U$6)*'IGU(2020)_LNG_TRADE'!$C$5:$V$46)*10^6*Legend!$B$92*Legend!$B$82*Legend!$B$84*10^-3)</f>
        <v>777121.56659999979</v>
      </c>
      <c r="V63" s="209" cm="1">
        <f t="array" ref="V63">IF(SUMPRODUCT(('IGU(2020)_LNG_TRADE'!$C$3:$V$3=$A63)*('IGU(2020)_LNG_TRADE'!$A$5:$A$46=V$6))=0,0,SUMPRODUCT(('IGU(2020)_LNG_TRADE'!$C$3:$V$3=$A63)*('IGU(2020)_LNG_TRADE'!$A$5:$A$46=V$6)*'IGU(2020)_LNG_TRADE'!$C$5:$V$46)*10^6*Legend!$B$92*Legend!$B$82*Legend!$B$84*10^-3)</f>
        <v>0</v>
      </c>
      <c r="W63" s="209" cm="1">
        <f t="array" ref="W63">IF(SUMPRODUCT(('IGU(2020)_LNG_TRADE'!$C$3:$V$3=$A63)*('IGU(2020)_LNG_TRADE'!$A$5:$A$46=W$6))=0,0,SUMPRODUCT(('IGU(2020)_LNG_TRADE'!$C$3:$V$3=$A63)*('IGU(2020)_LNG_TRADE'!$A$5:$A$46=W$6)*'IGU(2020)_LNG_TRADE'!$C$5:$V$46)*10^6*Legend!$B$92*Legend!$B$82*Legend!$B$84*10^-3)</f>
        <v>106994.99829999999</v>
      </c>
      <c r="X63" s="209" cm="1">
        <f t="array" ref="X63">IF(SUMPRODUCT(('IGU(2020)_LNG_TRADE'!$C$3:$V$3=$A63)*('IGU(2020)_LNG_TRADE'!$A$5:$A$46=X$6))=0,0,SUMPRODUCT(('IGU(2020)_LNG_TRADE'!$C$3:$V$3=$A63)*('IGU(2020)_LNG_TRADE'!$A$5:$A$46=X$6)*'IGU(2020)_LNG_TRADE'!$C$5:$V$46)*10^6*Legend!$B$92*Legend!$B$82*Legend!$B$84*10^-3)</f>
        <v>163308.15529999998</v>
      </c>
      <c r="Y63" s="209" cm="1">
        <f t="array" ref="Y63">IF(SUMPRODUCT(('IGU(2020)_LNG_TRADE'!$C$3:$V$3=$A63)*('IGU(2020)_LNG_TRADE'!$A$5:$A$46=Y$6))=0,0,SUMPRODUCT(('IGU(2020)_LNG_TRADE'!$C$3:$V$3=$A63)*('IGU(2020)_LNG_TRADE'!$A$5:$A$46=Y$6)*'IGU(2020)_LNG_TRADE'!$C$5:$V$46)*10^6*Legend!$B$92*Legend!$B$82*Legend!$B$84*10^-3)</f>
        <v>0</v>
      </c>
      <c r="Z63" s="209" cm="1">
        <f t="array" ref="Z63">IF(SUMPRODUCT(('IGU(2020)_LNG_TRADE'!$C$3:$V$3=$A63)*('IGU(2020)_LNG_TRADE'!$A$5:$A$46=Z$6))=0,0,SUMPRODUCT(('IGU(2020)_LNG_TRADE'!$C$3:$V$3=$A63)*('IGU(2020)_LNG_TRADE'!$A$5:$A$46=Z$6)*'IGU(2020)_LNG_TRADE'!$C$5:$V$46)*10^6*Legend!$B$92*Legend!$B$82*Legend!$B$84*10^-3)</f>
        <v>0</v>
      </c>
      <c r="AA63" s="209" cm="1">
        <f t="array" ref="AA63">IF(SUMPRODUCT(('IGU(2020)_LNG_TRADE'!$C$3:$V$3=$A63)*('IGU(2020)_LNG_TRADE'!$A$5:$A$46=AA$6))=0,0,SUMPRODUCT(('IGU(2020)_LNG_TRADE'!$C$3:$V$3=$A63)*('IGU(2020)_LNG_TRADE'!$A$5:$A$46=AA$6)*'IGU(2020)_LNG_TRADE'!$C$5:$V$46)*10^6*Legend!$B$92*Legend!$B$82*Legend!$B$84*10^-3)</f>
        <v>0</v>
      </c>
      <c r="AB63" s="209" cm="1">
        <f t="array" ref="AB63">IF(SUMPRODUCT(('IGU(2020)_LNG_TRADE'!$C$3:$V$3=$A63)*('IGU(2020)_LNG_TRADE'!$A$5:$A$46=AB$6))=0,0,SUMPRODUCT(('IGU(2020)_LNG_TRADE'!$C$3:$V$3=$A63)*('IGU(2020)_LNG_TRADE'!$A$5:$A$46=AB$6)*'IGU(2020)_LNG_TRADE'!$C$5:$V$46)*10^6*Legend!$B$92*Legend!$B$82*Legend!$B$84*10^-3)</f>
        <v>1131894.4556999996</v>
      </c>
      <c r="AC63" s="220" cm="1">
        <f t="array" ref="AC63">IF(SUMPRODUCT(('IGU(2020)_LNG_TRADE'!$C$3:$V$3=$A63)*('IGU(2020)_LNG_TRADE'!$A$5:$A$46=AC$6))=0,0,SUMPRODUCT(('IGU(2020)_LNG_TRADE'!$C$3:$V$3=$A63)*('IGU(2020)_LNG_TRADE'!$A$5:$A$46=AC$6)*'IGU(2020)_LNG_TRADE'!$C$5:$V$46)*10^6*Legend!$B$92*Legend!$B$82*Legend!$B$84*10^-3)</f>
        <v>0</v>
      </c>
    </row>
    <row r="64" spans="1:29">
      <c r="A64" s="215" t="s">
        <v>236</v>
      </c>
      <c r="B64" s="209" cm="1">
        <f t="array" ref="B64">IF(SUMPRODUCT(('IGU(2020)_LNG_TRADE'!$C$3:$V$3=$A64)*('IGU(2020)_LNG_TRADE'!$A$5:$A$46=B$6))=0,0,SUMPRODUCT(('IGU(2020)_LNG_TRADE'!$C$3:$V$3=$A64)*('IGU(2020)_LNG_TRADE'!$A$5:$A$46=B$6)*'IGU(2020)_LNG_TRADE'!$C$5:$V$46)*10^6*Legend!$B$92*Legend!$B$82*Legend!$B$84*10^-3)</f>
        <v>0</v>
      </c>
      <c r="C64" s="209" cm="1">
        <f t="array" ref="C64">IF(SUMPRODUCT(('IGU(2020)_LNG_TRADE'!$C$3:$V$3=$A64)*('IGU(2020)_LNG_TRADE'!$A$5:$A$46=C$6))=0,0,SUMPRODUCT(('IGU(2020)_LNG_TRADE'!$C$3:$V$3=$A64)*('IGU(2020)_LNG_TRADE'!$A$5:$A$46=C$6)*'IGU(2020)_LNG_TRADE'!$C$5:$V$46)*10^6*Legend!$B$92*Legend!$B$82*Legend!$B$84*10^-3)</f>
        <v>0</v>
      </c>
      <c r="D64" s="209" cm="1">
        <f t="array" ref="D64">IF(SUMPRODUCT(('IGU(2020)_LNG_TRADE'!$C$3:$V$3=$A64)*('IGU(2020)_LNG_TRADE'!$A$5:$A$46=D$6))=0,0,SUMPRODUCT(('IGU(2020)_LNG_TRADE'!$C$3:$V$3=$A64)*('IGU(2020)_LNG_TRADE'!$A$5:$A$46=D$6)*'IGU(2020)_LNG_TRADE'!$C$5:$V$46)*10^6*Legend!$B$92*Legend!$B$82*Legend!$B$84*10^-3)</f>
        <v>0</v>
      </c>
      <c r="E64" s="209" cm="1">
        <f t="array" ref="E64">IF(SUMPRODUCT(('IGU(2020)_LNG_TRADE'!$C$3:$V$3=$A64)*('IGU(2020)_LNG_TRADE'!$A$5:$A$46=E$6))=0,0,SUMPRODUCT(('IGU(2020)_LNG_TRADE'!$C$3:$V$3=$A64)*('IGU(2020)_LNG_TRADE'!$A$5:$A$46=E$6)*'IGU(2020)_LNG_TRADE'!$C$5:$V$46)*10^6*Legend!$B$92*Legend!$B$82*Legend!$B$84*10^-3)</f>
        <v>0</v>
      </c>
      <c r="F64" s="209" cm="1">
        <f t="array" ref="F64">IF(SUMPRODUCT(('IGU(2020)_LNG_TRADE'!$C$3:$V$3=$A64)*('IGU(2020)_LNG_TRADE'!$A$5:$A$46=F$6))=0,0,SUMPRODUCT(('IGU(2020)_LNG_TRADE'!$C$3:$V$3=$A64)*('IGU(2020)_LNG_TRADE'!$A$5:$A$46=F$6)*'IGU(2020)_LNG_TRADE'!$C$5:$V$46)*10^6*Legend!$B$92*Legend!$B$82*Legend!$B$84*10^-3)</f>
        <v>0</v>
      </c>
      <c r="G64" s="209" cm="1">
        <f t="array" ref="G64">IF(SUMPRODUCT(('IGU(2020)_LNG_TRADE'!$C$3:$V$3=$A64)*('IGU(2020)_LNG_TRADE'!$A$5:$A$46=G$6))=0,0,SUMPRODUCT(('IGU(2020)_LNG_TRADE'!$C$3:$V$3=$A64)*('IGU(2020)_LNG_TRADE'!$A$5:$A$46=G$6)*'IGU(2020)_LNG_TRADE'!$C$5:$V$46)*10^6*Legend!$B$92*Legend!$B$82*Legend!$B$84*10^-3)</f>
        <v>0</v>
      </c>
      <c r="H64" s="209" cm="1">
        <f t="array" ref="H64">IF(SUMPRODUCT(('IGU(2020)_LNG_TRADE'!$C$3:$V$3=$A64)*('IGU(2020)_LNG_TRADE'!$A$5:$A$46=H$6))=0,0,SUMPRODUCT(('IGU(2020)_LNG_TRADE'!$C$3:$V$3=$A64)*('IGU(2020)_LNG_TRADE'!$A$5:$A$46=H$6)*'IGU(2020)_LNG_TRADE'!$C$5:$V$46)*10^6*Legend!$B$92*Legend!$B$82*Legend!$B$84*10^-3)</f>
        <v>0</v>
      </c>
      <c r="I64" s="209" cm="1">
        <f t="array" ref="I64">IF(SUMPRODUCT(('IGU(2020)_LNG_TRADE'!$C$3:$V$3=$A64)*('IGU(2020)_LNG_TRADE'!$A$5:$A$46=I$6))=0,0,SUMPRODUCT(('IGU(2020)_LNG_TRADE'!$C$3:$V$3=$A64)*('IGU(2020)_LNG_TRADE'!$A$5:$A$46=I$6)*'IGU(2020)_LNG_TRADE'!$C$5:$V$46)*10^6*Legend!$B$92*Legend!$B$82*Legend!$B$84*10^-3)</f>
        <v>0</v>
      </c>
      <c r="J64" s="209" cm="1">
        <f t="array" ref="J64">IF(SUMPRODUCT(('IGU(2020)_LNG_TRADE'!$C$3:$V$3=$A64)*('IGU(2020)_LNG_TRADE'!$A$5:$A$46=J$6))=0,0,SUMPRODUCT(('IGU(2020)_LNG_TRADE'!$C$3:$V$3=$A64)*('IGU(2020)_LNG_TRADE'!$A$5:$A$46=J$6)*'IGU(2020)_LNG_TRADE'!$C$5:$V$46)*10^6*Legend!$B$92*Legend!$B$82*Legend!$B$84*10^-3)</f>
        <v>0</v>
      </c>
      <c r="K64" s="209" cm="1">
        <f t="array" ref="K64">IF(SUMPRODUCT(('IGU(2020)_LNG_TRADE'!$C$3:$V$3=$A64)*('IGU(2020)_LNG_TRADE'!$A$5:$A$46=K$6))=0,0,SUMPRODUCT(('IGU(2020)_LNG_TRADE'!$C$3:$V$3=$A64)*('IGU(2020)_LNG_TRADE'!$A$5:$A$46=K$6)*'IGU(2020)_LNG_TRADE'!$C$5:$V$46)*10^6*Legend!$B$92*Legend!$B$82*Legend!$B$84*10^-3)</f>
        <v>0</v>
      </c>
      <c r="L64" s="209" cm="1">
        <f t="array" ref="L64">IF(SUMPRODUCT(('IGU(2020)_LNG_TRADE'!$C$3:$V$3=$A64)*('IGU(2020)_LNG_TRADE'!$A$5:$A$46=L$6))=0,0,SUMPRODUCT(('IGU(2020)_LNG_TRADE'!$C$3:$V$3=$A64)*('IGU(2020)_LNG_TRADE'!$A$5:$A$46=L$6)*'IGU(2020)_LNG_TRADE'!$C$5:$V$46)*10^6*Legend!$B$92*Legend!$B$82*Legend!$B$84*10^-3)</f>
        <v>0</v>
      </c>
      <c r="M64" s="209" cm="1">
        <f t="array" ref="M64">IF(SUMPRODUCT(('IGU(2020)_LNG_TRADE'!$C$3:$V$3=$A64)*('IGU(2020)_LNG_TRADE'!$A$5:$A$46=M$6))=0,0,SUMPRODUCT(('IGU(2020)_LNG_TRADE'!$C$3:$V$3=$A64)*('IGU(2020)_LNG_TRADE'!$A$5:$A$46=M$6)*'IGU(2020)_LNG_TRADE'!$C$5:$V$46)*10^6*Legend!$B$92*Legend!$B$82*Legend!$B$84*10^-3)</f>
        <v>0</v>
      </c>
      <c r="N64" s="209" cm="1">
        <f t="array" ref="N64">IF(SUMPRODUCT(('IGU(2020)_LNG_TRADE'!$C$3:$V$3=$A64)*('IGU(2020)_LNG_TRADE'!$A$5:$A$46=N$6))=0,0,SUMPRODUCT(('IGU(2020)_LNG_TRADE'!$C$3:$V$3=$A64)*('IGU(2020)_LNG_TRADE'!$A$5:$A$46=N$6)*'IGU(2020)_LNG_TRADE'!$C$5:$V$46)*10^6*Legend!$B$92*Legend!$B$82*Legend!$B$84*10^-3)</f>
        <v>0</v>
      </c>
      <c r="O64" s="209" cm="1">
        <f t="array" ref="O64">IF(SUMPRODUCT(('IGU(2020)_LNG_TRADE'!$C$3:$V$3=$A64)*('IGU(2020)_LNG_TRADE'!$A$5:$A$46=O$6))=0,0,SUMPRODUCT(('IGU(2020)_LNG_TRADE'!$C$3:$V$3=$A64)*('IGU(2020)_LNG_TRADE'!$A$5:$A$46=O$6)*'IGU(2020)_LNG_TRADE'!$C$5:$V$46)*10^6*Legend!$B$92*Legend!$B$82*Legend!$B$84*10^-3)</f>
        <v>0</v>
      </c>
      <c r="P64" s="209" cm="1">
        <f t="array" ref="P64">IF(SUMPRODUCT(('IGU(2020)_LNG_TRADE'!$C$3:$V$3=$A64)*('IGU(2020)_LNG_TRADE'!$A$5:$A$46=P$6))=0,0,SUMPRODUCT(('IGU(2020)_LNG_TRADE'!$C$3:$V$3=$A64)*('IGU(2020)_LNG_TRADE'!$A$5:$A$46=P$6)*'IGU(2020)_LNG_TRADE'!$C$5:$V$46)*10^6*Legend!$B$92*Legend!$B$82*Legend!$B$84*10^-3)</f>
        <v>0</v>
      </c>
      <c r="Q64" s="209" cm="1">
        <f t="array" ref="Q64">IF(SUMPRODUCT(('IGU(2020)_LNG_TRADE'!$C$3:$V$3=$A64)*('IGU(2020)_LNG_TRADE'!$A$5:$A$46=Q$6))=0,0,SUMPRODUCT(('IGU(2020)_LNG_TRADE'!$C$3:$V$3=$A64)*('IGU(2020)_LNG_TRADE'!$A$5:$A$46=Q$6)*'IGU(2020)_LNG_TRADE'!$C$5:$V$46)*10^6*Legend!$B$92*Legend!$B$82*Legend!$B$84*10^-3)</f>
        <v>0</v>
      </c>
      <c r="R64" s="209" cm="1">
        <f t="array" ref="R64">IF(SUMPRODUCT(('IGU(2020)_LNG_TRADE'!$C$3:$V$3=$A64)*('IGU(2020)_LNG_TRADE'!$A$5:$A$46=R$6))=0,0,SUMPRODUCT(('IGU(2020)_LNG_TRADE'!$C$3:$V$3=$A64)*('IGU(2020)_LNG_TRADE'!$A$5:$A$46=R$6)*'IGU(2020)_LNG_TRADE'!$C$5:$V$46)*10^6*Legend!$B$92*Legend!$B$82*Legend!$B$84*10^-3)</f>
        <v>0</v>
      </c>
      <c r="S64" s="209" cm="1">
        <f t="array" ref="S64">IF(SUMPRODUCT(('IGU(2020)_LNG_TRADE'!$C$3:$V$3=$A64)*('IGU(2020)_LNG_TRADE'!$A$5:$A$46=S$6))=0,0,SUMPRODUCT(('IGU(2020)_LNG_TRADE'!$C$3:$V$3=$A64)*('IGU(2020)_LNG_TRADE'!$A$5:$A$46=S$6)*'IGU(2020)_LNG_TRADE'!$C$5:$V$46)*10^6*Legend!$B$92*Legend!$B$82*Legend!$B$84*10^-3)</f>
        <v>0</v>
      </c>
      <c r="T64" s="209" cm="1">
        <f t="array" ref="T64">IF(SUMPRODUCT(('IGU(2020)_LNG_TRADE'!$C$3:$V$3=$A64)*('IGU(2020)_LNG_TRADE'!$A$5:$A$46=T$6))=0,0,SUMPRODUCT(('IGU(2020)_LNG_TRADE'!$C$3:$V$3=$A64)*('IGU(2020)_LNG_TRADE'!$A$5:$A$46=T$6)*'IGU(2020)_LNG_TRADE'!$C$5:$V$46)*10^6*Legend!$B$92*Legend!$B$82*Legend!$B$84*10^-3)</f>
        <v>0</v>
      </c>
      <c r="U64" s="209" cm="1">
        <f t="array" ref="U64">IF(SUMPRODUCT(('IGU(2020)_LNG_TRADE'!$C$3:$V$3=$A64)*('IGU(2020)_LNG_TRADE'!$A$5:$A$46=U$6))=0,0,SUMPRODUCT(('IGU(2020)_LNG_TRADE'!$C$3:$V$3=$A64)*('IGU(2020)_LNG_TRADE'!$A$5:$A$46=U$6)*'IGU(2020)_LNG_TRADE'!$C$5:$V$46)*10^6*Legend!$B$92*Legend!$B$82*Legend!$B$84*10^-3)</f>
        <v>0</v>
      </c>
      <c r="V64" s="209" cm="1">
        <f t="array" ref="V64">IF(SUMPRODUCT(('IGU(2020)_LNG_TRADE'!$C$3:$V$3=$A64)*('IGU(2020)_LNG_TRADE'!$A$5:$A$46=V$6))=0,0,SUMPRODUCT(('IGU(2020)_LNG_TRADE'!$C$3:$V$3=$A64)*('IGU(2020)_LNG_TRADE'!$A$5:$A$46=V$6)*'IGU(2020)_LNG_TRADE'!$C$5:$V$46)*10^6*Legend!$B$92*Legend!$B$82*Legend!$B$84*10^-3)</f>
        <v>0</v>
      </c>
      <c r="W64" s="209" cm="1">
        <f t="array" ref="W64">IF(SUMPRODUCT(('IGU(2020)_LNG_TRADE'!$C$3:$V$3=$A64)*('IGU(2020)_LNG_TRADE'!$A$5:$A$46=W$6))=0,0,SUMPRODUCT(('IGU(2020)_LNG_TRADE'!$C$3:$V$3=$A64)*('IGU(2020)_LNG_TRADE'!$A$5:$A$46=W$6)*'IGU(2020)_LNG_TRADE'!$C$5:$V$46)*10^6*Legend!$B$92*Legend!$B$82*Legend!$B$84*10^-3)</f>
        <v>0</v>
      </c>
      <c r="X64" s="209" cm="1">
        <f t="array" ref="X64">IF(SUMPRODUCT(('IGU(2020)_LNG_TRADE'!$C$3:$V$3=$A64)*('IGU(2020)_LNG_TRADE'!$A$5:$A$46=X$6))=0,0,SUMPRODUCT(('IGU(2020)_LNG_TRADE'!$C$3:$V$3=$A64)*('IGU(2020)_LNG_TRADE'!$A$5:$A$46=X$6)*'IGU(2020)_LNG_TRADE'!$C$5:$V$46)*10^6*Legend!$B$92*Legend!$B$82*Legend!$B$84*10^-3)</f>
        <v>0</v>
      </c>
      <c r="Y64" s="209" cm="1">
        <f t="array" ref="Y64">IF(SUMPRODUCT(('IGU(2020)_LNG_TRADE'!$C$3:$V$3=$A64)*('IGU(2020)_LNG_TRADE'!$A$5:$A$46=Y$6))=0,0,SUMPRODUCT(('IGU(2020)_LNG_TRADE'!$C$3:$V$3=$A64)*('IGU(2020)_LNG_TRADE'!$A$5:$A$46=Y$6)*'IGU(2020)_LNG_TRADE'!$C$5:$V$46)*10^6*Legend!$B$92*Legend!$B$82*Legend!$B$84*10^-3)</f>
        <v>0</v>
      </c>
      <c r="Z64" s="209" cm="1">
        <f t="array" ref="Z64">IF(SUMPRODUCT(('IGU(2020)_LNG_TRADE'!$C$3:$V$3=$A64)*('IGU(2020)_LNG_TRADE'!$A$5:$A$46=Z$6))=0,0,SUMPRODUCT(('IGU(2020)_LNG_TRADE'!$C$3:$V$3=$A64)*('IGU(2020)_LNG_TRADE'!$A$5:$A$46=Z$6)*'IGU(2020)_LNG_TRADE'!$C$5:$V$46)*10^6*Legend!$B$92*Legend!$B$82*Legend!$B$84*10^-3)</f>
        <v>0</v>
      </c>
      <c r="AA64" s="209" cm="1">
        <f t="array" ref="AA64">IF(SUMPRODUCT(('IGU(2020)_LNG_TRADE'!$C$3:$V$3=$A64)*('IGU(2020)_LNG_TRADE'!$A$5:$A$46=AA$6))=0,0,SUMPRODUCT(('IGU(2020)_LNG_TRADE'!$C$3:$V$3=$A64)*('IGU(2020)_LNG_TRADE'!$A$5:$A$46=AA$6)*'IGU(2020)_LNG_TRADE'!$C$5:$V$46)*10^6*Legend!$B$92*Legend!$B$82*Legend!$B$84*10^-3)</f>
        <v>0</v>
      </c>
      <c r="AB64" s="209" cm="1">
        <f t="array" ref="AB64">IF(SUMPRODUCT(('IGU(2020)_LNG_TRADE'!$C$3:$V$3=$A64)*('IGU(2020)_LNG_TRADE'!$A$5:$A$46=AB$6))=0,0,SUMPRODUCT(('IGU(2020)_LNG_TRADE'!$C$3:$V$3=$A64)*('IGU(2020)_LNG_TRADE'!$A$5:$A$46=AB$6)*'IGU(2020)_LNG_TRADE'!$C$5:$V$46)*10^6*Legend!$B$92*Legend!$B$82*Legend!$B$84*10^-3)</f>
        <v>0</v>
      </c>
      <c r="AC64" s="220" cm="1">
        <f t="array" ref="AC64">IF(SUMPRODUCT(('IGU(2020)_LNG_TRADE'!$C$3:$V$3=$A64)*('IGU(2020)_LNG_TRADE'!$A$5:$A$46=AC$6))=0,0,SUMPRODUCT(('IGU(2020)_LNG_TRADE'!$C$3:$V$3=$A64)*('IGU(2020)_LNG_TRADE'!$A$5:$A$46=AC$6)*'IGU(2020)_LNG_TRADE'!$C$5:$V$46)*10^6*Legend!$B$92*Legend!$B$82*Legend!$B$84*10^-3)</f>
        <v>0</v>
      </c>
    </row>
    <row r="65" spans="1:29">
      <c r="A65" s="215" t="s">
        <v>238</v>
      </c>
      <c r="B65" s="209" cm="1">
        <f t="array" ref="B65">IF(SUMPRODUCT(('IGU(2020)_LNG_TRADE'!$C$3:$V$3=$A65)*('IGU(2020)_LNG_TRADE'!$A$5:$A$46=B$6))=0,0,SUMPRODUCT(('IGU(2020)_LNG_TRADE'!$C$3:$V$3=$A65)*('IGU(2020)_LNG_TRADE'!$A$5:$A$46=B$6)*'IGU(2020)_LNG_TRADE'!$C$5:$V$46)*10^6*Legend!$B$92*Legend!$B$82*Legend!$B$84*10^-3)</f>
        <v>0</v>
      </c>
      <c r="C65" s="209" cm="1">
        <f t="array" ref="C65">IF(SUMPRODUCT(('IGU(2020)_LNG_TRADE'!$C$3:$V$3=$A65)*('IGU(2020)_LNG_TRADE'!$A$5:$A$46=C$6))=0,0,SUMPRODUCT(('IGU(2020)_LNG_TRADE'!$C$3:$V$3=$A65)*('IGU(2020)_LNG_TRADE'!$A$5:$A$46=C$6)*'IGU(2020)_LNG_TRADE'!$C$5:$V$46)*10^6*Legend!$B$92*Legend!$B$82*Legend!$B$84*10^-3)</f>
        <v>0</v>
      </c>
      <c r="D65" s="209" cm="1">
        <f t="array" ref="D65">IF(SUMPRODUCT(('IGU(2020)_LNG_TRADE'!$C$3:$V$3=$A65)*('IGU(2020)_LNG_TRADE'!$A$5:$A$46=D$6))=0,0,SUMPRODUCT(('IGU(2020)_LNG_TRADE'!$C$3:$V$3=$A65)*('IGU(2020)_LNG_TRADE'!$A$5:$A$46=D$6)*'IGU(2020)_LNG_TRADE'!$C$5:$V$46)*10^6*Legend!$B$92*Legend!$B$82*Legend!$B$84*10^-3)</f>
        <v>0</v>
      </c>
      <c r="E65" s="209" cm="1">
        <f t="array" ref="E65">IF(SUMPRODUCT(('IGU(2020)_LNG_TRADE'!$C$3:$V$3=$A65)*('IGU(2020)_LNG_TRADE'!$A$5:$A$46=E$6))=0,0,SUMPRODUCT(('IGU(2020)_LNG_TRADE'!$C$3:$V$3=$A65)*('IGU(2020)_LNG_TRADE'!$A$5:$A$46=E$6)*'IGU(2020)_LNG_TRADE'!$C$5:$V$46)*10^6*Legend!$B$92*Legend!$B$82*Legend!$B$84*10^-3)</f>
        <v>0</v>
      </c>
      <c r="F65" s="209" cm="1">
        <f t="array" ref="F65">IF(SUMPRODUCT(('IGU(2020)_LNG_TRADE'!$C$3:$V$3=$A65)*('IGU(2020)_LNG_TRADE'!$A$5:$A$46=F$6))=0,0,SUMPRODUCT(('IGU(2020)_LNG_TRADE'!$C$3:$V$3=$A65)*('IGU(2020)_LNG_TRADE'!$A$5:$A$46=F$6)*'IGU(2020)_LNG_TRADE'!$C$5:$V$46)*10^6*Legend!$B$92*Legend!$B$82*Legend!$B$84*10^-3)</f>
        <v>0</v>
      </c>
      <c r="G65" s="209" cm="1">
        <f t="array" ref="G65">IF(SUMPRODUCT(('IGU(2020)_LNG_TRADE'!$C$3:$V$3=$A65)*('IGU(2020)_LNG_TRADE'!$A$5:$A$46=G$6))=0,0,SUMPRODUCT(('IGU(2020)_LNG_TRADE'!$C$3:$V$3=$A65)*('IGU(2020)_LNG_TRADE'!$A$5:$A$46=G$6)*'IGU(2020)_LNG_TRADE'!$C$5:$V$46)*10^6*Legend!$B$92*Legend!$B$82*Legend!$B$84*10^-3)</f>
        <v>0</v>
      </c>
      <c r="H65" s="209" cm="1">
        <f t="array" ref="H65">IF(SUMPRODUCT(('IGU(2020)_LNG_TRADE'!$C$3:$V$3=$A65)*('IGU(2020)_LNG_TRADE'!$A$5:$A$46=H$6))=0,0,SUMPRODUCT(('IGU(2020)_LNG_TRADE'!$C$3:$V$3=$A65)*('IGU(2020)_LNG_TRADE'!$A$5:$A$46=H$6)*'IGU(2020)_LNG_TRADE'!$C$5:$V$46)*10^6*Legend!$B$92*Legend!$B$82*Legend!$B$84*10^-3)</f>
        <v>11262.631399999997</v>
      </c>
      <c r="I65" s="209" cm="1">
        <f t="array" ref="I65">IF(SUMPRODUCT(('IGU(2020)_LNG_TRADE'!$C$3:$V$3=$A65)*('IGU(2020)_LNG_TRADE'!$A$5:$A$46=I$6))=0,0,SUMPRODUCT(('IGU(2020)_LNG_TRADE'!$C$3:$V$3=$A65)*('IGU(2020)_LNG_TRADE'!$A$5:$A$46=I$6)*'IGU(2020)_LNG_TRADE'!$C$5:$V$46)*10^6*Legend!$B$92*Legend!$B$82*Legend!$B$84*10^-3)</f>
        <v>78838.419800000003</v>
      </c>
      <c r="J65" s="209" cm="1">
        <f t="array" ref="J65">IF(SUMPRODUCT(('IGU(2020)_LNG_TRADE'!$C$3:$V$3=$A65)*('IGU(2020)_LNG_TRADE'!$A$5:$A$46=J$6))=0,0,SUMPRODUCT(('IGU(2020)_LNG_TRADE'!$C$3:$V$3=$A65)*('IGU(2020)_LNG_TRADE'!$A$5:$A$46=J$6)*'IGU(2020)_LNG_TRADE'!$C$5:$V$46)*10^6*Legend!$B$92*Legend!$B$82*Legend!$B$84*10^-3)</f>
        <v>11262.631399999997</v>
      </c>
      <c r="K65" s="209" cm="1">
        <f t="array" ref="K65">IF(SUMPRODUCT(('IGU(2020)_LNG_TRADE'!$C$3:$V$3=$A65)*('IGU(2020)_LNG_TRADE'!$A$5:$A$46=K$6))=0,0,SUMPRODUCT(('IGU(2020)_LNG_TRADE'!$C$3:$V$3=$A65)*('IGU(2020)_LNG_TRADE'!$A$5:$A$46=K$6)*'IGU(2020)_LNG_TRADE'!$C$5:$V$46)*10^6*Legend!$B$92*Legend!$B$82*Legend!$B$84*10^-3)</f>
        <v>0</v>
      </c>
      <c r="L65" s="209" cm="1">
        <f t="array" ref="L65">IF(SUMPRODUCT(('IGU(2020)_LNG_TRADE'!$C$3:$V$3=$A65)*('IGU(2020)_LNG_TRADE'!$A$5:$A$46=L$6))=0,0,SUMPRODUCT(('IGU(2020)_LNG_TRADE'!$C$3:$V$3=$A65)*('IGU(2020)_LNG_TRADE'!$A$5:$A$46=L$6)*'IGU(2020)_LNG_TRADE'!$C$5:$V$46)*10^6*Legend!$B$92*Legend!$B$82*Legend!$B$84*10^-3)</f>
        <v>0</v>
      </c>
      <c r="M65" s="209" cm="1">
        <f t="array" ref="M65">IF(SUMPRODUCT(('IGU(2020)_LNG_TRADE'!$C$3:$V$3=$A65)*('IGU(2020)_LNG_TRADE'!$A$5:$A$46=M$6))=0,0,SUMPRODUCT(('IGU(2020)_LNG_TRADE'!$C$3:$V$3=$A65)*('IGU(2020)_LNG_TRADE'!$A$5:$A$46=M$6)*'IGU(2020)_LNG_TRADE'!$C$5:$V$46)*10^6*Legend!$B$92*Legend!$B$82*Legend!$B$84*10^-3)</f>
        <v>112626.314</v>
      </c>
      <c r="N65" s="209" cm="1">
        <f t="array" ref="N65">IF(SUMPRODUCT(('IGU(2020)_LNG_TRADE'!$C$3:$V$3=$A65)*('IGU(2020)_LNG_TRADE'!$A$5:$A$46=N$6))=0,0,SUMPRODUCT(('IGU(2020)_LNG_TRADE'!$C$3:$V$3=$A65)*('IGU(2020)_LNG_TRADE'!$A$5:$A$46=N$6)*'IGU(2020)_LNG_TRADE'!$C$5:$V$46)*10^6*Legend!$B$92*Legend!$B$82*Legend!$B$84*10^-3)</f>
        <v>0</v>
      </c>
      <c r="O65" s="209" cm="1">
        <f t="array" ref="O65">IF(SUMPRODUCT(('IGU(2020)_LNG_TRADE'!$C$3:$V$3=$A65)*('IGU(2020)_LNG_TRADE'!$A$5:$A$46=O$6))=0,0,SUMPRODUCT(('IGU(2020)_LNG_TRADE'!$C$3:$V$3=$A65)*('IGU(2020)_LNG_TRADE'!$A$5:$A$46=O$6)*'IGU(2020)_LNG_TRADE'!$C$5:$V$46)*10^6*Legend!$B$92*Legend!$B$82*Legend!$B$84*10^-3)</f>
        <v>16893.947099999998</v>
      </c>
      <c r="P65" s="209" cm="1">
        <f t="array" ref="P65">IF(SUMPRODUCT(('IGU(2020)_LNG_TRADE'!$C$3:$V$3=$A65)*('IGU(2020)_LNG_TRADE'!$A$5:$A$46=P$6))=0,0,SUMPRODUCT(('IGU(2020)_LNG_TRADE'!$C$3:$V$3=$A65)*('IGU(2020)_LNG_TRADE'!$A$5:$A$46=P$6)*'IGU(2020)_LNG_TRADE'!$C$5:$V$46)*10^6*Legend!$B$92*Legend!$B$82*Legend!$B$84*10^-3)</f>
        <v>0</v>
      </c>
      <c r="Q65" s="209" cm="1">
        <f t="array" ref="Q65">IF(SUMPRODUCT(('IGU(2020)_LNG_TRADE'!$C$3:$V$3=$A65)*('IGU(2020)_LNG_TRADE'!$A$5:$A$46=Q$6))=0,0,SUMPRODUCT(('IGU(2020)_LNG_TRADE'!$C$3:$V$3=$A65)*('IGU(2020)_LNG_TRADE'!$A$5:$A$46=Q$6)*'IGU(2020)_LNG_TRADE'!$C$5:$V$46)*10^6*Legend!$B$92*Legend!$B$82*Legend!$B$84*10^-3)</f>
        <v>501187.09729999996</v>
      </c>
      <c r="R65" s="209" cm="1">
        <f t="array" ref="R65">IF(SUMPRODUCT(('IGU(2020)_LNG_TRADE'!$C$3:$V$3=$A65)*('IGU(2020)_LNG_TRADE'!$A$5:$A$46=R$6))=0,0,SUMPRODUCT(('IGU(2020)_LNG_TRADE'!$C$3:$V$3=$A65)*('IGU(2020)_LNG_TRADE'!$A$5:$A$46=R$6)*'IGU(2020)_LNG_TRADE'!$C$5:$V$46)*10^6*Legend!$B$92*Legend!$B$82*Legend!$B$84*10^-3)</f>
        <v>11262.631399999997</v>
      </c>
      <c r="S65" s="209" cm="1">
        <f t="array" ref="S65">IF(SUMPRODUCT(('IGU(2020)_LNG_TRADE'!$C$3:$V$3=$A65)*('IGU(2020)_LNG_TRADE'!$A$5:$A$46=S$6))=0,0,SUMPRODUCT(('IGU(2020)_LNG_TRADE'!$C$3:$V$3=$A65)*('IGU(2020)_LNG_TRADE'!$A$5:$A$46=S$6)*'IGU(2020)_LNG_TRADE'!$C$5:$V$46)*10^6*Legend!$B$92*Legend!$B$82*Legend!$B$84*10^-3)</f>
        <v>0</v>
      </c>
      <c r="T65" s="209" cm="1">
        <f t="array" ref="T65">IF(SUMPRODUCT(('IGU(2020)_LNG_TRADE'!$C$3:$V$3=$A65)*('IGU(2020)_LNG_TRADE'!$A$5:$A$46=T$6))=0,0,SUMPRODUCT(('IGU(2020)_LNG_TRADE'!$C$3:$V$3=$A65)*('IGU(2020)_LNG_TRADE'!$A$5:$A$46=T$6)*'IGU(2020)_LNG_TRADE'!$C$5:$V$46)*10^6*Legend!$B$92*Legend!$B$82*Legend!$B$84*10^-3)</f>
        <v>152045.52389999997</v>
      </c>
      <c r="U65" s="209" cm="1">
        <f t="array" ref="U65">IF(SUMPRODUCT(('IGU(2020)_LNG_TRADE'!$C$3:$V$3=$A65)*('IGU(2020)_LNG_TRADE'!$A$5:$A$46=U$6))=0,0,SUMPRODUCT(('IGU(2020)_LNG_TRADE'!$C$3:$V$3=$A65)*('IGU(2020)_LNG_TRADE'!$A$5:$A$46=U$6)*'IGU(2020)_LNG_TRADE'!$C$5:$V$46)*10^6*Legend!$B$92*Legend!$B$82*Legend!$B$84*10^-3)</f>
        <v>45050.525599999986</v>
      </c>
      <c r="V65" s="209" cm="1">
        <f t="array" ref="V65">IF(SUMPRODUCT(('IGU(2020)_LNG_TRADE'!$C$3:$V$3=$A65)*('IGU(2020)_LNG_TRADE'!$A$5:$A$46=V$6))=0,0,SUMPRODUCT(('IGU(2020)_LNG_TRADE'!$C$3:$V$3=$A65)*('IGU(2020)_LNG_TRADE'!$A$5:$A$46=V$6)*'IGU(2020)_LNG_TRADE'!$C$5:$V$46)*10^6*Legend!$B$92*Legend!$B$82*Legend!$B$84*10^-3)</f>
        <v>11262.631399999997</v>
      </c>
      <c r="W65" s="209" cm="1">
        <f t="array" ref="W65">IF(SUMPRODUCT(('IGU(2020)_LNG_TRADE'!$C$3:$V$3=$A65)*('IGU(2020)_LNG_TRADE'!$A$5:$A$46=W$6))=0,0,SUMPRODUCT(('IGU(2020)_LNG_TRADE'!$C$3:$V$3=$A65)*('IGU(2020)_LNG_TRADE'!$A$5:$A$46=W$6)*'IGU(2020)_LNG_TRADE'!$C$5:$V$46)*10^6*Legend!$B$92*Legend!$B$82*Legend!$B$84*10^-3)</f>
        <v>101363.68259999999</v>
      </c>
      <c r="X65" s="209" cm="1">
        <f t="array" ref="X65">IF(SUMPRODUCT(('IGU(2020)_LNG_TRADE'!$C$3:$V$3=$A65)*('IGU(2020)_LNG_TRADE'!$A$5:$A$46=X$6))=0,0,SUMPRODUCT(('IGU(2020)_LNG_TRADE'!$C$3:$V$3=$A65)*('IGU(2020)_LNG_TRADE'!$A$5:$A$46=X$6)*'IGU(2020)_LNG_TRADE'!$C$5:$V$46)*10^6*Legend!$B$92*Legend!$B$82*Legend!$B$84*10^-3)</f>
        <v>28156.5785</v>
      </c>
      <c r="Y65" s="209" cm="1">
        <f t="array" ref="Y65">IF(SUMPRODUCT(('IGU(2020)_LNG_TRADE'!$C$3:$V$3=$A65)*('IGU(2020)_LNG_TRADE'!$A$5:$A$46=Y$6))=0,0,SUMPRODUCT(('IGU(2020)_LNG_TRADE'!$C$3:$V$3=$A65)*('IGU(2020)_LNG_TRADE'!$A$5:$A$46=Y$6)*'IGU(2020)_LNG_TRADE'!$C$5:$V$46)*10^6*Legend!$B$92*Legend!$B$82*Legend!$B$84*10^-3)</f>
        <v>56313.156999999999</v>
      </c>
      <c r="Z65" s="209" cm="1">
        <f t="array" ref="Z65">IF(SUMPRODUCT(('IGU(2020)_LNG_TRADE'!$C$3:$V$3=$A65)*('IGU(2020)_LNG_TRADE'!$A$5:$A$46=Z$6))=0,0,SUMPRODUCT(('IGU(2020)_LNG_TRADE'!$C$3:$V$3=$A65)*('IGU(2020)_LNG_TRADE'!$A$5:$A$46=Z$6)*'IGU(2020)_LNG_TRADE'!$C$5:$V$46)*10^6*Legend!$B$92*Legend!$B$82*Legend!$B$84*10^-3)</f>
        <v>0</v>
      </c>
      <c r="AA65" s="209" cm="1">
        <f t="array" ref="AA65">IF(SUMPRODUCT(('IGU(2020)_LNG_TRADE'!$C$3:$V$3=$A65)*('IGU(2020)_LNG_TRADE'!$A$5:$A$46=AA$6))=0,0,SUMPRODUCT(('IGU(2020)_LNG_TRADE'!$C$3:$V$3=$A65)*('IGU(2020)_LNG_TRADE'!$A$5:$A$46=AA$6)*'IGU(2020)_LNG_TRADE'!$C$5:$V$46)*10^6*Legend!$B$92*Legend!$B$82*Legend!$B$84*10^-3)</f>
        <v>0</v>
      </c>
      <c r="AB65" s="209" cm="1">
        <f t="array" ref="AB65">IF(SUMPRODUCT(('IGU(2020)_LNG_TRADE'!$C$3:$V$3=$A65)*('IGU(2020)_LNG_TRADE'!$A$5:$A$46=AB$6))=0,0,SUMPRODUCT(('IGU(2020)_LNG_TRADE'!$C$3:$V$3=$A65)*('IGU(2020)_LNG_TRADE'!$A$5:$A$46=AB$6)*'IGU(2020)_LNG_TRADE'!$C$5:$V$46)*10^6*Legend!$B$92*Legend!$B$82*Legend!$B$84*10^-3)</f>
        <v>45050.525599999986</v>
      </c>
      <c r="AC65" s="220" cm="1">
        <f t="array" ref="AC65">IF(SUMPRODUCT(('IGU(2020)_LNG_TRADE'!$C$3:$V$3=$A65)*('IGU(2020)_LNG_TRADE'!$A$5:$A$46=AC$6))=0,0,SUMPRODUCT(('IGU(2020)_LNG_TRADE'!$C$3:$V$3=$A65)*('IGU(2020)_LNG_TRADE'!$A$5:$A$46=AC$6)*'IGU(2020)_LNG_TRADE'!$C$5:$V$46)*10^6*Legend!$B$92*Legend!$B$82*Legend!$B$84*10^-3)</f>
        <v>5631.3156999999983</v>
      </c>
    </row>
    <row r="66" spans="1:29">
      <c r="A66" s="215" t="s">
        <v>240</v>
      </c>
      <c r="B66" s="209" cm="1">
        <f t="array" ref="B66">IF(SUMPRODUCT(('IGU(2020)_LNG_TRADE'!$C$3:$V$3=$A66)*('IGU(2020)_LNG_TRADE'!$A$5:$A$46=B$6))=0,0,SUMPRODUCT(('IGU(2020)_LNG_TRADE'!$C$3:$V$3=$A66)*('IGU(2020)_LNG_TRADE'!$A$5:$A$46=B$6)*'IGU(2020)_LNG_TRADE'!$C$5:$V$46)*10^6*Legend!$B$92*Legend!$B$82*Legend!$B$84*10^-3)</f>
        <v>0</v>
      </c>
      <c r="C66" s="209" cm="1">
        <f t="array" ref="C66">IF(SUMPRODUCT(('IGU(2020)_LNG_TRADE'!$C$3:$V$3=$A66)*('IGU(2020)_LNG_TRADE'!$A$5:$A$46=C$6))=0,0,SUMPRODUCT(('IGU(2020)_LNG_TRADE'!$C$3:$V$3=$A66)*('IGU(2020)_LNG_TRADE'!$A$5:$A$46=C$6)*'IGU(2020)_LNG_TRADE'!$C$5:$V$46)*10^6*Legend!$B$92*Legend!$B$82*Legend!$B$84*10^-3)</f>
        <v>0</v>
      </c>
      <c r="D66" s="209" cm="1">
        <f t="array" ref="D66">IF(SUMPRODUCT(('IGU(2020)_LNG_TRADE'!$C$3:$V$3=$A66)*('IGU(2020)_LNG_TRADE'!$A$5:$A$46=D$6))=0,0,SUMPRODUCT(('IGU(2020)_LNG_TRADE'!$C$3:$V$3=$A66)*('IGU(2020)_LNG_TRADE'!$A$5:$A$46=D$6)*'IGU(2020)_LNG_TRADE'!$C$5:$V$46)*10^6*Legend!$B$92*Legend!$B$82*Legend!$B$84*10^-3)</f>
        <v>0</v>
      </c>
      <c r="E66" s="209" cm="1">
        <f t="array" ref="E66">IF(SUMPRODUCT(('IGU(2020)_LNG_TRADE'!$C$3:$V$3=$A66)*('IGU(2020)_LNG_TRADE'!$A$5:$A$46=E$6))=0,0,SUMPRODUCT(('IGU(2020)_LNG_TRADE'!$C$3:$V$3=$A66)*('IGU(2020)_LNG_TRADE'!$A$5:$A$46=E$6)*'IGU(2020)_LNG_TRADE'!$C$5:$V$46)*10^6*Legend!$B$92*Legend!$B$82*Legend!$B$84*10^-3)</f>
        <v>0</v>
      </c>
      <c r="F66" s="209" cm="1">
        <f t="array" ref="F66">IF(SUMPRODUCT(('IGU(2020)_LNG_TRADE'!$C$3:$V$3=$A66)*('IGU(2020)_LNG_TRADE'!$A$5:$A$46=F$6))=0,0,SUMPRODUCT(('IGU(2020)_LNG_TRADE'!$C$3:$V$3=$A66)*('IGU(2020)_LNG_TRADE'!$A$5:$A$46=F$6)*'IGU(2020)_LNG_TRADE'!$C$5:$V$46)*10^6*Legend!$B$92*Legend!$B$82*Legend!$B$84*10^-3)</f>
        <v>0</v>
      </c>
      <c r="G66" s="209" cm="1">
        <f t="array" ref="G66">IF(SUMPRODUCT(('IGU(2020)_LNG_TRADE'!$C$3:$V$3=$A66)*('IGU(2020)_LNG_TRADE'!$A$5:$A$46=G$6))=0,0,SUMPRODUCT(('IGU(2020)_LNG_TRADE'!$C$3:$V$3=$A66)*('IGU(2020)_LNG_TRADE'!$A$5:$A$46=G$6)*'IGU(2020)_LNG_TRADE'!$C$5:$V$46)*10^6*Legend!$B$92*Legend!$B$82*Legend!$B$84*10^-3)</f>
        <v>0</v>
      </c>
      <c r="H66" s="209" cm="1">
        <f t="array" ref="H66">IF(SUMPRODUCT(('IGU(2020)_LNG_TRADE'!$C$3:$V$3=$A66)*('IGU(2020)_LNG_TRADE'!$A$5:$A$46=H$6))=0,0,SUMPRODUCT(('IGU(2020)_LNG_TRADE'!$C$3:$V$3=$A66)*('IGU(2020)_LNG_TRADE'!$A$5:$A$46=H$6)*'IGU(2020)_LNG_TRADE'!$C$5:$V$46)*10^6*Legend!$B$92*Legend!$B$82*Legend!$B$84*10^-3)</f>
        <v>5631.3156999999983</v>
      </c>
      <c r="I66" s="209" cm="1">
        <f t="array" ref="I66">IF(SUMPRODUCT(('IGU(2020)_LNG_TRADE'!$C$3:$V$3=$A66)*('IGU(2020)_LNG_TRADE'!$A$5:$A$46=I$6))=0,0,SUMPRODUCT(('IGU(2020)_LNG_TRADE'!$C$3:$V$3=$A66)*('IGU(2020)_LNG_TRADE'!$A$5:$A$46=I$6)*'IGU(2020)_LNG_TRADE'!$C$5:$V$46)*10^6*Legend!$B$92*Legend!$B$82*Legend!$B$84*10^-3)</f>
        <v>16893.947099999998</v>
      </c>
      <c r="J66" s="209" cm="1">
        <f t="array" ref="J66">IF(SUMPRODUCT(('IGU(2020)_LNG_TRADE'!$C$3:$V$3=$A66)*('IGU(2020)_LNG_TRADE'!$A$5:$A$46=J$6))=0,0,SUMPRODUCT(('IGU(2020)_LNG_TRADE'!$C$3:$V$3=$A66)*('IGU(2020)_LNG_TRADE'!$A$5:$A$46=J$6)*'IGU(2020)_LNG_TRADE'!$C$5:$V$46)*10^6*Legend!$B$92*Legend!$B$82*Legend!$B$84*10^-3)</f>
        <v>0</v>
      </c>
      <c r="K66" s="209" cm="1">
        <f t="array" ref="K66">IF(SUMPRODUCT(('IGU(2020)_LNG_TRADE'!$C$3:$V$3=$A66)*('IGU(2020)_LNG_TRADE'!$A$5:$A$46=K$6))=0,0,SUMPRODUCT(('IGU(2020)_LNG_TRADE'!$C$3:$V$3=$A66)*('IGU(2020)_LNG_TRADE'!$A$5:$A$46=K$6)*'IGU(2020)_LNG_TRADE'!$C$5:$V$46)*10^6*Legend!$B$92*Legend!$B$82*Legend!$B$84*10^-3)</f>
        <v>0</v>
      </c>
      <c r="L66" s="209" cm="1">
        <f t="array" ref="L66">IF(SUMPRODUCT(('IGU(2020)_LNG_TRADE'!$C$3:$V$3=$A66)*('IGU(2020)_LNG_TRADE'!$A$5:$A$46=L$6))=0,0,SUMPRODUCT(('IGU(2020)_LNG_TRADE'!$C$3:$V$3=$A66)*('IGU(2020)_LNG_TRADE'!$A$5:$A$46=L$6)*'IGU(2020)_LNG_TRADE'!$C$5:$V$46)*10^6*Legend!$B$92*Legend!$B$82*Legend!$B$84*10^-3)</f>
        <v>0</v>
      </c>
      <c r="M66" s="209" cm="1">
        <f t="array" ref="M66">IF(SUMPRODUCT(('IGU(2020)_LNG_TRADE'!$C$3:$V$3=$A66)*('IGU(2020)_LNG_TRADE'!$A$5:$A$46=M$6))=0,0,SUMPRODUCT(('IGU(2020)_LNG_TRADE'!$C$3:$V$3=$A66)*('IGU(2020)_LNG_TRADE'!$A$5:$A$46=M$6)*'IGU(2020)_LNG_TRADE'!$C$5:$V$46)*10^6*Legend!$B$92*Legend!$B$82*Legend!$B$84*10^-3)</f>
        <v>157676.83960000001</v>
      </c>
      <c r="N66" s="209" cm="1">
        <f t="array" ref="N66">IF(SUMPRODUCT(('IGU(2020)_LNG_TRADE'!$C$3:$V$3=$A66)*('IGU(2020)_LNG_TRADE'!$A$5:$A$46=N$6))=0,0,SUMPRODUCT(('IGU(2020)_LNG_TRADE'!$C$3:$V$3=$A66)*('IGU(2020)_LNG_TRADE'!$A$5:$A$46=N$6)*'IGU(2020)_LNG_TRADE'!$C$5:$V$46)*10^6*Legend!$B$92*Legend!$B$82*Legend!$B$84*10^-3)</f>
        <v>0</v>
      </c>
      <c r="O66" s="209" cm="1">
        <f t="array" ref="O66">IF(SUMPRODUCT(('IGU(2020)_LNG_TRADE'!$C$3:$V$3=$A66)*('IGU(2020)_LNG_TRADE'!$A$5:$A$46=O$6))=0,0,SUMPRODUCT(('IGU(2020)_LNG_TRADE'!$C$3:$V$3=$A66)*('IGU(2020)_LNG_TRADE'!$A$5:$A$46=O$6)*'IGU(2020)_LNG_TRADE'!$C$5:$V$46)*10^6*Legend!$B$92*Legend!$B$82*Legend!$B$84*10^-3)</f>
        <v>135151.57679999998</v>
      </c>
      <c r="P66" s="209" cm="1">
        <f t="array" ref="P66">IF(SUMPRODUCT(('IGU(2020)_LNG_TRADE'!$C$3:$V$3=$A66)*('IGU(2020)_LNG_TRADE'!$A$5:$A$46=P$6))=0,0,SUMPRODUCT(('IGU(2020)_LNG_TRADE'!$C$3:$V$3=$A66)*('IGU(2020)_LNG_TRADE'!$A$5:$A$46=P$6)*'IGU(2020)_LNG_TRADE'!$C$5:$V$46)*10^6*Legend!$B$92*Legend!$B$82*Legend!$B$84*10^-3)</f>
        <v>16893.947099999998</v>
      </c>
      <c r="Q66" s="209" cm="1">
        <f t="array" ref="Q66">IF(SUMPRODUCT(('IGU(2020)_LNG_TRADE'!$C$3:$V$3=$A66)*('IGU(2020)_LNG_TRADE'!$A$5:$A$46=Q$6))=0,0,SUMPRODUCT(('IGU(2020)_LNG_TRADE'!$C$3:$V$3=$A66)*('IGU(2020)_LNG_TRADE'!$A$5:$A$46=Q$6)*'IGU(2020)_LNG_TRADE'!$C$5:$V$46)*10^6*Legend!$B$92*Legend!$B$82*Legend!$B$84*10^-3)</f>
        <v>427979.99319999985</v>
      </c>
      <c r="R66" s="209" cm="1">
        <f t="array" ref="R66">IF(SUMPRODUCT(('IGU(2020)_LNG_TRADE'!$C$3:$V$3=$A66)*('IGU(2020)_LNG_TRADE'!$A$5:$A$46=R$6))=0,0,SUMPRODUCT(('IGU(2020)_LNG_TRADE'!$C$3:$V$3=$A66)*('IGU(2020)_LNG_TRADE'!$A$5:$A$46=R$6)*'IGU(2020)_LNG_TRADE'!$C$5:$V$46)*10^6*Legend!$B$92*Legend!$B$82*Legend!$B$84*10^-3)</f>
        <v>264671.83789999987</v>
      </c>
      <c r="S66" s="209" cm="1">
        <f t="array" ref="S66">IF(SUMPRODUCT(('IGU(2020)_LNG_TRADE'!$C$3:$V$3=$A66)*('IGU(2020)_LNG_TRADE'!$A$5:$A$46=S$6))=0,0,SUMPRODUCT(('IGU(2020)_LNG_TRADE'!$C$3:$V$3=$A66)*('IGU(2020)_LNG_TRADE'!$A$5:$A$46=S$6)*'IGU(2020)_LNG_TRADE'!$C$5:$V$46)*10^6*Legend!$B$92*Legend!$B$82*Legend!$B$84*10^-3)</f>
        <v>0</v>
      </c>
      <c r="T66" s="209" cm="1">
        <f t="array" ref="T66">IF(SUMPRODUCT(('IGU(2020)_LNG_TRADE'!$C$3:$V$3=$A66)*('IGU(2020)_LNG_TRADE'!$A$5:$A$46=T$6))=0,0,SUMPRODUCT(('IGU(2020)_LNG_TRADE'!$C$3:$V$3=$A66)*('IGU(2020)_LNG_TRADE'!$A$5:$A$46=T$6)*'IGU(2020)_LNG_TRADE'!$C$5:$V$46)*10^6*Legend!$B$92*Legend!$B$82*Legend!$B$84*10^-3)</f>
        <v>11262.631399999997</v>
      </c>
      <c r="U66" s="209" cm="1">
        <f t="array" ref="U66">IF(SUMPRODUCT(('IGU(2020)_LNG_TRADE'!$C$3:$V$3=$A66)*('IGU(2020)_LNG_TRADE'!$A$5:$A$46=U$6))=0,0,SUMPRODUCT(('IGU(2020)_LNG_TRADE'!$C$3:$V$3=$A66)*('IGU(2020)_LNG_TRADE'!$A$5:$A$46=U$6)*'IGU(2020)_LNG_TRADE'!$C$5:$V$46)*10^6*Legend!$B$92*Legend!$B$82*Legend!$B$84*10^-3)</f>
        <v>354772.88909999991</v>
      </c>
      <c r="V66" s="209" cm="1">
        <f t="array" ref="V66">IF(SUMPRODUCT(('IGU(2020)_LNG_TRADE'!$C$3:$V$3=$A66)*('IGU(2020)_LNG_TRADE'!$A$5:$A$46=V$6))=0,0,SUMPRODUCT(('IGU(2020)_LNG_TRADE'!$C$3:$V$3=$A66)*('IGU(2020)_LNG_TRADE'!$A$5:$A$46=V$6)*'IGU(2020)_LNG_TRADE'!$C$5:$V$46)*10^6*Legend!$B$92*Legend!$B$82*Legend!$B$84*10^-3)</f>
        <v>0</v>
      </c>
      <c r="W66" s="209" cm="1">
        <f t="array" ref="W66">IF(SUMPRODUCT(('IGU(2020)_LNG_TRADE'!$C$3:$V$3=$A66)*('IGU(2020)_LNG_TRADE'!$A$5:$A$46=W$6))=0,0,SUMPRODUCT(('IGU(2020)_LNG_TRADE'!$C$3:$V$3=$A66)*('IGU(2020)_LNG_TRADE'!$A$5:$A$46=W$6)*'IGU(2020)_LNG_TRADE'!$C$5:$V$46)*10^6*Legend!$B$92*Legend!$B$82*Legend!$B$84*10^-3)</f>
        <v>33787.894200000002</v>
      </c>
      <c r="X66" s="209" cm="1">
        <f t="array" ref="X66">IF(SUMPRODUCT(('IGU(2020)_LNG_TRADE'!$C$3:$V$3=$A66)*('IGU(2020)_LNG_TRADE'!$A$5:$A$46=X$6))=0,0,SUMPRODUCT(('IGU(2020)_LNG_TRADE'!$C$3:$V$3=$A66)*('IGU(2020)_LNG_TRADE'!$A$5:$A$46=X$6)*'IGU(2020)_LNG_TRADE'!$C$5:$V$46)*10^6*Legend!$B$92*Legend!$B$82*Legend!$B$84*10^-3)</f>
        <v>5631.3156999999983</v>
      </c>
      <c r="Y66" s="209" cm="1">
        <f t="array" ref="Y66">IF(SUMPRODUCT(('IGU(2020)_LNG_TRADE'!$C$3:$V$3=$A66)*('IGU(2020)_LNG_TRADE'!$A$5:$A$46=Y$6))=0,0,SUMPRODUCT(('IGU(2020)_LNG_TRADE'!$C$3:$V$3=$A66)*('IGU(2020)_LNG_TRADE'!$A$5:$A$46=Y$6)*'IGU(2020)_LNG_TRADE'!$C$5:$V$46)*10^6*Legend!$B$92*Legend!$B$82*Legend!$B$84*10^-3)</f>
        <v>0</v>
      </c>
      <c r="Z66" s="209" cm="1">
        <f t="array" ref="Z66">IF(SUMPRODUCT(('IGU(2020)_LNG_TRADE'!$C$3:$V$3=$A66)*('IGU(2020)_LNG_TRADE'!$A$5:$A$46=Z$6))=0,0,SUMPRODUCT(('IGU(2020)_LNG_TRADE'!$C$3:$V$3=$A66)*('IGU(2020)_LNG_TRADE'!$A$5:$A$46=Z$6)*'IGU(2020)_LNG_TRADE'!$C$5:$V$46)*10^6*Legend!$B$92*Legend!$B$82*Legend!$B$84*10^-3)</f>
        <v>0</v>
      </c>
      <c r="AA66" s="209" cm="1">
        <f t="array" ref="AA66">IF(SUMPRODUCT(('IGU(2020)_LNG_TRADE'!$C$3:$V$3=$A66)*('IGU(2020)_LNG_TRADE'!$A$5:$A$46=AA$6))=0,0,SUMPRODUCT(('IGU(2020)_LNG_TRADE'!$C$3:$V$3=$A66)*('IGU(2020)_LNG_TRADE'!$A$5:$A$46=AA$6)*'IGU(2020)_LNG_TRADE'!$C$5:$V$46)*10^6*Legend!$B$92*Legend!$B$82*Legend!$B$84*10^-3)</f>
        <v>0</v>
      </c>
      <c r="AB66" s="209" cm="1">
        <f t="array" ref="AB66">IF(SUMPRODUCT(('IGU(2020)_LNG_TRADE'!$C$3:$V$3=$A66)*('IGU(2020)_LNG_TRADE'!$A$5:$A$46=AB$6))=0,0,SUMPRODUCT(('IGU(2020)_LNG_TRADE'!$C$3:$V$3=$A66)*('IGU(2020)_LNG_TRADE'!$A$5:$A$46=AB$6)*'IGU(2020)_LNG_TRADE'!$C$5:$V$46)*10^6*Legend!$B$92*Legend!$B$82*Legend!$B$84*10^-3)</f>
        <v>219621.31229999999</v>
      </c>
      <c r="AC66" s="220" cm="1">
        <f t="array" ref="AC66">IF(SUMPRODUCT(('IGU(2020)_LNG_TRADE'!$C$3:$V$3=$A66)*('IGU(2020)_LNG_TRADE'!$A$5:$A$46=AC$6))=0,0,SUMPRODUCT(('IGU(2020)_LNG_TRADE'!$C$3:$V$3=$A66)*('IGU(2020)_LNG_TRADE'!$A$5:$A$46=AC$6)*'IGU(2020)_LNG_TRADE'!$C$5:$V$46)*10^6*Legend!$B$92*Legend!$B$82*Legend!$B$84*10^-3)</f>
        <v>5631.3156999999983</v>
      </c>
    </row>
    <row r="67" spans="1:29">
      <c r="A67" s="215" t="s">
        <v>243</v>
      </c>
      <c r="B67" s="209" cm="1">
        <f t="array" ref="B67">IF(SUMPRODUCT(('IGU(2020)_LNG_TRADE'!$C$3:$V$3=$A67)*('IGU(2020)_LNG_TRADE'!$A$5:$A$46=B$6))=0,0,SUMPRODUCT(('IGU(2020)_LNG_TRADE'!$C$3:$V$3=$A67)*('IGU(2020)_LNG_TRADE'!$A$5:$A$46=B$6)*'IGU(2020)_LNG_TRADE'!$C$5:$V$46)*10^6*Legend!$B$92*Legend!$B$82*Legend!$B$84*10^-3)</f>
        <v>0</v>
      </c>
      <c r="C67" s="209" cm="1">
        <f t="array" ref="C67">IF(SUMPRODUCT(('IGU(2020)_LNG_TRADE'!$C$3:$V$3=$A67)*('IGU(2020)_LNG_TRADE'!$A$5:$A$46=C$6))=0,0,SUMPRODUCT(('IGU(2020)_LNG_TRADE'!$C$3:$V$3=$A67)*('IGU(2020)_LNG_TRADE'!$A$5:$A$46=C$6)*'IGU(2020)_LNG_TRADE'!$C$5:$V$46)*10^6*Legend!$B$92*Legend!$B$82*Legend!$B$84*10^-3)</f>
        <v>0</v>
      </c>
      <c r="D67" s="209" cm="1">
        <f t="array" ref="D67">IF(SUMPRODUCT(('IGU(2020)_LNG_TRADE'!$C$3:$V$3=$A67)*('IGU(2020)_LNG_TRADE'!$A$5:$A$46=D$6))=0,0,SUMPRODUCT(('IGU(2020)_LNG_TRADE'!$C$3:$V$3=$A67)*('IGU(2020)_LNG_TRADE'!$A$5:$A$46=D$6)*'IGU(2020)_LNG_TRADE'!$C$5:$V$46)*10^6*Legend!$B$92*Legend!$B$82*Legend!$B$84*10^-3)</f>
        <v>0</v>
      </c>
      <c r="E67" s="209" cm="1">
        <f t="array" ref="E67">IF(SUMPRODUCT(('IGU(2020)_LNG_TRADE'!$C$3:$V$3=$A67)*('IGU(2020)_LNG_TRADE'!$A$5:$A$46=E$6))=0,0,SUMPRODUCT(('IGU(2020)_LNG_TRADE'!$C$3:$V$3=$A67)*('IGU(2020)_LNG_TRADE'!$A$5:$A$46=E$6)*'IGU(2020)_LNG_TRADE'!$C$5:$V$46)*10^6*Legend!$B$92*Legend!$B$82*Legend!$B$84*10^-3)</f>
        <v>0</v>
      </c>
      <c r="F67" s="209" cm="1">
        <f t="array" ref="F67">IF(SUMPRODUCT(('IGU(2020)_LNG_TRADE'!$C$3:$V$3=$A67)*('IGU(2020)_LNG_TRADE'!$A$5:$A$46=F$6))=0,0,SUMPRODUCT(('IGU(2020)_LNG_TRADE'!$C$3:$V$3=$A67)*('IGU(2020)_LNG_TRADE'!$A$5:$A$46=F$6)*'IGU(2020)_LNG_TRADE'!$C$5:$V$46)*10^6*Legend!$B$92*Legend!$B$82*Legend!$B$84*10^-3)</f>
        <v>0</v>
      </c>
      <c r="G67" s="209" cm="1">
        <f t="array" ref="G67">IF(SUMPRODUCT(('IGU(2020)_LNG_TRADE'!$C$3:$V$3=$A67)*('IGU(2020)_LNG_TRADE'!$A$5:$A$46=G$6))=0,0,SUMPRODUCT(('IGU(2020)_LNG_TRADE'!$C$3:$V$3=$A67)*('IGU(2020)_LNG_TRADE'!$A$5:$A$46=G$6)*'IGU(2020)_LNG_TRADE'!$C$5:$V$46)*10^6*Legend!$B$92*Legend!$B$82*Legend!$B$84*10^-3)</f>
        <v>0</v>
      </c>
      <c r="H67" s="209" cm="1">
        <f t="array" ref="H67">IF(SUMPRODUCT(('IGU(2020)_LNG_TRADE'!$C$3:$V$3=$A67)*('IGU(2020)_LNG_TRADE'!$A$5:$A$46=H$6))=0,0,SUMPRODUCT(('IGU(2020)_LNG_TRADE'!$C$3:$V$3=$A67)*('IGU(2020)_LNG_TRADE'!$A$5:$A$46=H$6)*'IGU(2020)_LNG_TRADE'!$C$5:$V$46)*10^6*Legend!$B$92*Legend!$B$82*Legend!$B$84*10^-3)</f>
        <v>0</v>
      </c>
      <c r="I67" s="209" cm="1">
        <f t="array" ref="I67">IF(SUMPRODUCT(('IGU(2020)_LNG_TRADE'!$C$3:$V$3=$A67)*('IGU(2020)_LNG_TRADE'!$A$5:$A$46=I$6))=0,0,SUMPRODUCT(('IGU(2020)_LNG_TRADE'!$C$3:$V$3=$A67)*('IGU(2020)_LNG_TRADE'!$A$5:$A$46=I$6)*'IGU(2020)_LNG_TRADE'!$C$5:$V$46)*10^6*Legend!$B$92*Legend!$B$82*Legend!$B$84*10^-3)</f>
        <v>0</v>
      </c>
      <c r="J67" s="209" cm="1">
        <f t="array" ref="J67">IF(SUMPRODUCT(('IGU(2020)_LNG_TRADE'!$C$3:$V$3=$A67)*('IGU(2020)_LNG_TRADE'!$A$5:$A$46=J$6))=0,0,SUMPRODUCT(('IGU(2020)_LNG_TRADE'!$C$3:$V$3=$A67)*('IGU(2020)_LNG_TRADE'!$A$5:$A$46=J$6)*'IGU(2020)_LNG_TRADE'!$C$5:$V$46)*10^6*Legend!$B$92*Legend!$B$82*Legend!$B$84*10^-3)</f>
        <v>0</v>
      </c>
      <c r="K67" s="209" cm="1">
        <f t="array" ref="K67">IF(SUMPRODUCT(('IGU(2020)_LNG_TRADE'!$C$3:$V$3=$A67)*('IGU(2020)_LNG_TRADE'!$A$5:$A$46=K$6))=0,0,SUMPRODUCT(('IGU(2020)_LNG_TRADE'!$C$3:$V$3=$A67)*('IGU(2020)_LNG_TRADE'!$A$5:$A$46=K$6)*'IGU(2020)_LNG_TRADE'!$C$5:$V$46)*10^6*Legend!$B$92*Legend!$B$82*Legend!$B$84*10^-3)</f>
        <v>0</v>
      </c>
      <c r="L67" s="209" cm="1">
        <f t="array" ref="L67">IF(SUMPRODUCT(('IGU(2020)_LNG_TRADE'!$C$3:$V$3=$A67)*('IGU(2020)_LNG_TRADE'!$A$5:$A$46=L$6))=0,0,SUMPRODUCT(('IGU(2020)_LNG_TRADE'!$C$3:$V$3=$A67)*('IGU(2020)_LNG_TRADE'!$A$5:$A$46=L$6)*'IGU(2020)_LNG_TRADE'!$C$5:$V$46)*10^6*Legend!$B$92*Legend!$B$82*Legend!$B$84*10^-3)</f>
        <v>0</v>
      </c>
      <c r="M67" s="209" cm="1">
        <f t="array" ref="M67">IF(SUMPRODUCT(('IGU(2020)_LNG_TRADE'!$C$3:$V$3=$A67)*('IGU(2020)_LNG_TRADE'!$A$5:$A$46=M$6))=0,0,SUMPRODUCT(('IGU(2020)_LNG_TRADE'!$C$3:$V$3=$A67)*('IGU(2020)_LNG_TRADE'!$A$5:$A$46=M$6)*'IGU(2020)_LNG_TRADE'!$C$5:$V$46)*10^6*Legend!$B$92*Legend!$B$82*Legend!$B$84*10^-3)</f>
        <v>0</v>
      </c>
      <c r="N67" s="209" cm="1">
        <f t="array" ref="N67">IF(SUMPRODUCT(('IGU(2020)_LNG_TRADE'!$C$3:$V$3=$A67)*('IGU(2020)_LNG_TRADE'!$A$5:$A$46=N$6))=0,0,SUMPRODUCT(('IGU(2020)_LNG_TRADE'!$C$3:$V$3=$A67)*('IGU(2020)_LNG_TRADE'!$A$5:$A$46=N$6)*'IGU(2020)_LNG_TRADE'!$C$5:$V$46)*10^6*Legend!$B$92*Legend!$B$82*Legend!$B$84*10^-3)</f>
        <v>0</v>
      </c>
      <c r="O67" s="209" cm="1">
        <f t="array" ref="O67">IF(SUMPRODUCT(('IGU(2020)_LNG_TRADE'!$C$3:$V$3=$A67)*('IGU(2020)_LNG_TRADE'!$A$5:$A$46=O$6))=0,0,SUMPRODUCT(('IGU(2020)_LNG_TRADE'!$C$3:$V$3=$A67)*('IGU(2020)_LNG_TRADE'!$A$5:$A$46=O$6)*'IGU(2020)_LNG_TRADE'!$C$5:$V$46)*10^6*Legend!$B$92*Legend!$B$82*Legend!$B$84*10^-3)</f>
        <v>0</v>
      </c>
      <c r="P67" s="209" cm="1">
        <f t="array" ref="P67">IF(SUMPRODUCT(('IGU(2020)_LNG_TRADE'!$C$3:$V$3=$A67)*('IGU(2020)_LNG_TRADE'!$A$5:$A$46=P$6))=0,0,SUMPRODUCT(('IGU(2020)_LNG_TRADE'!$C$3:$V$3=$A67)*('IGU(2020)_LNG_TRADE'!$A$5:$A$46=P$6)*'IGU(2020)_LNG_TRADE'!$C$5:$V$46)*10^6*Legend!$B$92*Legend!$B$82*Legend!$B$84*10^-3)</f>
        <v>0</v>
      </c>
      <c r="Q67" s="209" cm="1">
        <f t="array" ref="Q67">IF(SUMPRODUCT(('IGU(2020)_LNG_TRADE'!$C$3:$V$3=$A67)*('IGU(2020)_LNG_TRADE'!$A$5:$A$46=Q$6))=0,0,SUMPRODUCT(('IGU(2020)_LNG_TRADE'!$C$3:$V$3=$A67)*('IGU(2020)_LNG_TRADE'!$A$5:$A$46=Q$6)*'IGU(2020)_LNG_TRADE'!$C$5:$V$46)*10^6*Legend!$B$92*Legend!$B$82*Legend!$B$84*10^-3)</f>
        <v>0</v>
      </c>
      <c r="R67" s="209" cm="1">
        <f t="array" ref="R67">IF(SUMPRODUCT(('IGU(2020)_LNG_TRADE'!$C$3:$V$3=$A67)*('IGU(2020)_LNG_TRADE'!$A$5:$A$46=R$6))=0,0,SUMPRODUCT(('IGU(2020)_LNG_TRADE'!$C$3:$V$3=$A67)*('IGU(2020)_LNG_TRADE'!$A$5:$A$46=R$6)*'IGU(2020)_LNG_TRADE'!$C$5:$V$46)*10^6*Legend!$B$92*Legend!$B$82*Legend!$B$84*10^-3)</f>
        <v>0</v>
      </c>
      <c r="S67" s="209" cm="1">
        <f t="array" ref="S67">IF(SUMPRODUCT(('IGU(2020)_LNG_TRADE'!$C$3:$V$3=$A67)*('IGU(2020)_LNG_TRADE'!$A$5:$A$46=S$6))=0,0,SUMPRODUCT(('IGU(2020)_LNG_TRADE'!$C$3:$V$3=$A67)*('IGU(2020)_LNG_TRADE'!$A$5:$A$46=S$6)*'IGU(2020)_LNG_TRADE'!$C$5:$V$46)*10^6*Legend!$B$92*Legend!$B$82*Legend!$B$84*10^-3)</f>
        <v>0</v>
      </c>
      <c r="T67" s="209" cm="1">
        <f t="array" ref="T67">IF(SUMPRODUCT(('IGU(2020)_LNG_TRADE'!$C$3:$V$3=$A67)*('IGU(2020)_LNG_TRADE'!$A$5:$A$46=T$6))=0,0,SUMPRODUCT(('IGU(2020)_LNG_TRADE'!$C$3:$V$3=$A67)*('IGU(2020)_LNG_TRADE'!$A$5:$A$46=T$6)*'IGU(2020)_LNG_TRADE'!$C$5:$V$46)*10^6*Legend!$B$92*Legend!$B$82*Legend!$B$84*10^-3)</f>
        <v>0</v>
      </c>
      <c r="U67" s="209" cm="1">
        <f t="array" ref="U67">IF(SUMPRODUCT(('IGU(2020)_LNG_TRADE'!$C$3:$V$3=$A67)*('IGU(2020)_LNG_TRADE'!$A$5:$A$46=U$6))=0,0,SUMPRODUCT(('IGU(2020)_LNG_TRADE'!$C$3:$V$3=$A67)*('IGU(2020)_LNG_TRADE'!$A$5:$A$46=U$6)*'IGU(2020)_LNG_TRADE'!$C$5:$V$46)*10^6*Legend!$B$92*Legend!$B$82*Legend!$B$84*10^-3)</f>
        <v>0</v>
      </c>
      <c r="V67" s="209" cm="1">
        <f t="array" ref="V67">IF(SUMPRODUCT(('IGU(2020)_LNG_TRADE'!$C$3:$V$3=$A67)*('IGU(2020)_LNG_TRADE'!$A$5:$A$46=V$6))=0,0,SUMPRODUCT(('IGU(2020)_LNG_TRADE'!$C$3:$V$3=$A67)*('IGU(2020)_LNG_TRADE'!$A$5:$A$46=V$6)*'IGU(2020)_LNG_TRADE'!$C$5:$V$46)*10^6*Legend!$B$92*Legend!$B$82*Legend!$B$84*10^-3)</f>
        <v>0</v>
      </c>
      <c r="W67" s="209" cm="1">
        <f t="array" ref="W67">IF(SUMPRODUCT(('IGU(2020)_LNG_TRADE'!$C$3:$V$3=$A67)*('IGU(2020)_LNG_TRADE'!$A$5:$A$46=W$6))=0,0,SUMPRODUCT(('IGU(2020)_LNG_TRADE'!$C$3:$V$3=$A67)*('IGU(2020)_LNG_TRADE'!$A$5:$A$46=W$6)*'IGU(2020)_LNG_TRADE'!$C$5:$V$46)*10^6*Legend!$B$92*Legend!$B$82*Legend!$B$84*10^-3)</f>
        <v>0</v>
      </c>
      <c r="X67" s="209" cm="1">
        <f t="array" ref="X67">IF(SUMPRODUCT(('IGU(2020)_LNG_TRADE'!$C$3:$V$3=$A67)*('IGU(2020)_LNG_TRADE'!$A$5:$A$46=X$6))=0,0,SUMPRODUCT(('IGU(2020)_LNG_TRADE'!$C$3:$V$3=$A67)*('IGU(2020)_LNG_TRADE'!$A$5:$A$46=X$6)*'IGU(2020)_LNG_TRADE'!$C$5:$V$46)*10^6*Legend!$B$92*Legend!$B$82*Legend!$B$84*10^-3)</f>
        <v>0</v>
      </c>
      <c r="Y67" s="209" cm="1">
        <f t="array" ref="Y67">IF(SUMPRODUCT(('IGU(2020)_LNG_TRADE'!$C$3:$V$3=$A67)*('IGU(2020)_LNG_TRADE'!$A$5:$A$46=Y$6))=0,0,SUMPRODUCT(('IGU(2020)_LNG_TRADE'!$C$3:$V$3=$A67)*('IGU(2020)_LNG_TRADE'!$A$5:$A$46=Y$6)*'IGU(2020)_LNG_TRADE'!$C$5:$V$46)*10^6*Legend!$B$92*Legend!$B$82*Legend!$B$84*10^-3)</f>
        <v>0</v>
      </c>
      <c r="Z67" s="209" cm="1">
        <f t="array" ref="Z67">IF(SUMPRODUCT(('IGU(2020)_LNG_TRADE'!$C$3:$V$3=$A67)*('IGU(2020)_LNG_TRADE'!$A$5:$A$46=Z$6))=0,0,SUMPRODUCT(('IGU(2020)_LNG_TRADE'!$C$3:$V$3=$A67)*('IGU(2020)_LNG_TRADE'!$A$5:$A$46=Z$6)*'IGU(2020)_LNG_TRADE'!$C$5:$V$46)*10^6*Legend!$B$92*Legend!$B$82*Legend!$B$84*10^-3)</f>
        <v>0</v>
      </c>
      <c r="AA67" s="209" cm="1">
        <f t="array" ref="AA67">IF(SUMPRODUCT(('IGU(2020)_LNG_TRADE'!$C$3:$V$3=$A67)*('IGU(2020)_LNG_TRADE'!$A$5:$A$46=AA$6))=0,0,SUMPRODUCT(('IGU(2020)_LNG_TRADE'!$C$3:$V$3=$A67)*('IGU(2020)_LNG_TRADE'!$A$5:$A$46=AA$6)*'IGU(2020)_LNG_TRADE'!$C$5:$V$46)*10^6*Legend!$B$92*Legend!$B$82*Legend!$B$84*10^-3)</f>
        <v>0</v>
      </c>
      <c r="AB67" s="209" cm="1">
        <f t="array" ref="AB67">IF(SUMPRODUCT(('IGU(2020)_LNG_TRADE'!$C$3:$V$3=$A67)*('IGU(2020)_LNG_TRADE'!$A$5:$A$46=AB$6))=0,0,SUMPRODUCT(('IGU(2020)_LNG_TRADE'!$C$3:$V$3=$A67)*('IGU(2020)_LNG_TRADE'!$A$5:$A$46=AB$6)*'IGU(2020)_LNG_TRADE'!$C$5:$V$46)*10^6*Legend!$B$92*Legend!$B$82*Legend!$B$84*10^-3)</f>
        <v>0</v>
      </c>
      <c r="AC67" s="220" cm="1">
        <f t="array" ref="AC67">IF(SUMPRODUCT(('IGU(2020)_LNG_TRADE'!$C$3:$V$3=$A67)*('IGU(2020)_LNG_TRADE'!$A$5:$A$46=AC$6))=0,0,SUMPRODUCT(('IGU(2020)_LNG_TRADE'!$C$3:$V$3=$A67)*('IGU(2020)_LNG_TRADE'!$A$5:$A$46=AC$6)*'IGU(2020)_LNG_TRADE'!$C$5:$V$46)*10^6*Legend!$B$92*Legend!$B$82*Legend!$B$84*10^-3)</f>
        <v>0</v>
      </c>
    </row>
    <row r="68" spans="1:29">
      <c r="A68" s="229" t="s">
        <v>245</v>
      </c>
      <c r="B68" s="226" cm="1">
        <f t="array" ref="B68">IF(SUMPRODUCT(('IGU(2020)_LNG_TRADE'!$C$3:$V$3=$A68)*('IGU(2020)_LNG_TRADE'!$A$5:$A$46=B$6))=0,0,SUMPRODUCT(('IGU(2020)_LNG_TRADE'!$C$3:$V$3=$A68)*('IGU(2020)_LNG_TRADE'!$A$5:$A$46=B$6)*'IGU(2020)_LNG_TRADE'!$C$5:$V$46)*10^6*Legend!$B$92*Legend!$B$82*Legend!$B$84*10^-3)</f>
        <v>0</v>
      </c>
      <c r="C68" s="226" cm="1">
        <f t="array" ref="C68">IF(SUMPRODUCT(('IGU(2020)_LNG_TRADE'!$C$3:$V$3=$A68)*('IGU(2020)_LNG_TRADE'!$A$5:$A$46=C$6))=0,0,SUMPRODUCT(('IGU(2020)_LNG_TRADE'!$C$3:$V$3=$A68)*('IGU(2020)_LNG_TRADE'!$A$5:$A$46=C$6)*'IGU(2020)_LNG_TRADE'!$C$5:$V$46)*10^6*Legend!$B$92*Legend!$B$82*Legend!$B$84*10^-3)</f>
        <v>0</v>
      </c>
      <c r="D68" s="226" cm="1">
        <f t="array" ref="D68">IF(SUMPRODUCT(('IGU(2020)_LNG_TRADE'!$C$3:$V$3=$A68)*('IGU(2020)_LNG_TRADE'!$A$5:$A$46=D$6))=0,0,SUMPRODUCT(('IGU(2020)_LNG_TRADE'!$C$3:$V$3=$A68)*('IGU(2020)_LNG_TRADE'!$A$5:$A$46=D$6)*'IGU(2020)_LNG_TRADE'!$C$5:$V$46)*10^6*Legend!$B$92*Legend!$B$82*Legend!$B$84*10^-3)</f>
        <v>0</v>
      </c>
      <c r="E68" s="226" cm="1">
        <f t="array" ref="E68">IF(SUMPRODUCT(('IGU(2020)_LNG_TRADE'!$C$3:$V$3=$A68)*('IGU(2020)_LNG_TRADE'!$A$5:$A$46=E$6))=0,0,SUMPRODUCT(('IGU(2020)_LNG_TRADE'!$C$3:$V$3=$A68)*('IGU(2020)_LNG_TRADE'!$A$5:$A$46=E$6)*'IGU(2020)_LNG_TRADE'!$C$5:$V$46)*10^6*Legend!$B$92*Legend!$B$82*Legend!$B$84*10^-3)</f>
        <v>0</v>
      </c>
      <c r="F68" s="226" cm="1">
        <f t="array" ref="F68">IF(SUMPRODUCT(('IGU(2020)_LNG_TRADE'!$C$3:$V$3=$A68)*('IGU(2020)_LNG_TRADE'!$A$5:$A$46=F$6))=0,0,SUMPRODUCT(('IGU(2020)_LNG_TRADE'!$C$3:$V$3=$A68)*('IGU(2020)_LNG_TRADE'!$A$5:$A$46=F$6)*'IGU(2020)_LNG_TRADE'!$C$5:$V$46)*10^6*Legend!$B$92*Legend!$B$82*Legend!$B$84*10^-3)</f>
        <v>0</v>
      </c>
      <c r="G68" s="226" cm="1">
        <f t="array" ref="G68">IF(SUMPRODUCT(('IGU(2020)_LNG_TRADE'!$C$3:$V$3=$A68)*('IGU(2020)_LNG_TRADE'!$A$5:$A$46=G$6))=0,0,SUMPRODUCT(('IGU(2020)_LNG_TRADE'!$C$3:$V$3=$A68)*('IGU(2020)_LNG_TRADE'!$A$5:$A$46=G$6)*'IGU(2020)_LNG_TRADE'!$C$5:$V$46)*10^6*Legend!$B$92*Legend!$B$82*Legend!$B$84*10^-3)</f>
        <v>0</v>
      </c>
      <c r="H68" s="226" cm="1">
        <f t="array" ref="H68">IF(SUMPRODUCT(('IGU(2020)_LNG_TRADE'!$C$3:$V$3=$A68)*('IGU(2020)_LNG_TRADE'!$A$5:$A$46=H$6))=0,0,SUMPRODUCT(('IGU(2020)_LNG_TRADE'!$C$3:$V$3=$A68)*('IGU(2020)_LNG_TRADE'!$A$5:$A$46=H$6)*'IGU(2020)_LNG_TRADE'!$C$5:$V$46)*10^6*Legend!$B$92*Legend!$B$82*Legend!$B$84*10^-3)</f>
        <v>45050.525599999979</v>
      </c>
      <c r="I68" s="226" cm="1">
        <f t="array" ref="I68">IF(SUMPRODUCT(('IGU(2020)_LNG_TRADE'!$C$3:$V$3=$A68)*('IGU(2020)_LNG_TRADE'!$A$5:$A$46=I$6))=0,0,SUMPRODUCT(('IGU(2020)_LNG_TRADE'!$C$3:$V$3=$A68)*('IGU(2020)_LNG_TRADE'!$A$5:$A$46=I$6)*'IGU(2020)_LNG_TRADE'!$C$5:$V$46)*10^6*Legend!$B$92*Legend!$B$82*Legend!$B$84*10^-3)</f>
        <v>28156.5785</v>
      </c>
      <c r="J68" s="226" cm="1">
        <f t="array" ref="J68">IF(SUMPRODUCT(('IGU(2020)_LNG_TRADE'!$C$3:$V$3=$A68)*('IGU(2020)_LNG_TRADE'!$A$5:$A$46=J$6))=0,0,SUMPRODUCT(('IGU(2020)_LNG_TRADE'!$C$3:$V$3=$A68)*('IGU(2020)_LNG_TRADE'!$A$5:$A$46=J$6)*'IGU(2020)_LNG_TRADE'!$C$5:$V$46)*10^6*Legend!$B$92*Legend!$B$82*Legend!$B$84*10^-3)</f>
        <v>61944.472699999998</v>
      </c>
      <c r="K68" s="226" cm="1">
        <f t="array" ref="K68">IF(SUMPRODUCT(('IGU(2020)_LNG_TRADE'!$C$3:$V$3=$A68)*('IGU(2020)_LNG_TRADE'!$A$5:$A$46=K$6))=0,0,SUMPRODUCT(('IGU(2020)_LNG_TRADE'!$C$3:$V$3=$A68)*('IGU(2020)_LNG_TRADE'!$A$5:$A$46=K$6)*'IGU(2020)_LNG_TRADE'!$C$5:$V$46)*10^6*Legend!$B$92*Legend!$B$82*Legend!$B$84*10^-3)</f>
        <v>0</v>
      </c>
      <c r="L68" s="226" cm="1">
        <f t="array" ref="L68">IF(SUMPRODUCT(('IGU(2020)_LNG_TRADE'!$C$3:$V$3=$A68)*('IGU(2020)_LNG_TRADE'!$A$5:$A$46=L$6))=0,0,SUMPRODUCT(('IGU(2020)_LNG_TRADE'!$C$3:$V$3=$A68)*('IGU(2020)_LNG_TRADE'!$A$5:$A$46=L$6)*'IGU(2020)_LNG_TRADE'!$C$5:$V$46)*10^6*Legend!$B$92*Legend!$B$82*Legend!$B$84*10^-3)</f>
        <v>95732.366899999979</v>
      </c>
      <c r="M68" s="226" cm="1">
        <f t="array" ref="M68">IF(SUMPRODUCT(('IGU(2020)_LNG_TRADE'!$C$3:$V$3=$A68)*('IGU(2020)_LNG_TRADE'!$A$5:$A$46=M$6))=0,0,SUMPRODUCT(('IGU(2020)_LNG_TRADE'!$C$3:$V$3=$A68)*('IGU(2020)_LNG_TRADE'!$A$5:$A$46=M$6)*'IGU(2020)_LNG_TRADE'!$C$5:$V$46)*10^6*Legend!$B$92*Legend!$B$82*Legend!$B$84*10^-3)</f>
        <v>16893.947099999998</v>
      </c>
      <c r="N68" s="226" cm="1">
        <f t="array" ref="N68">IF(SUMPRODUCT(('IGU(2020)_LNG_TRADE'!$C$3:$V$3=$A68)*('IGU(2020)_LNG_TRADE'!$A$5:$A$46=N$6))=0,0,SUMPRODUCT(('IGU(2020)_LNG_TRADE'!$C$3:$V$3=$A68)*('IGU(2020)_LNG_TRADE'!$A$5:$A$46=N$6)*'IGU(2020)_LNG_TRADE'!$C$5:$V$46)*10^6*Legend!$B$92*Legend!$B$82*Legend!$B$84*10^-3)</f>
        <v>0</v>
      </c>
      <c r="O68" s="226" cm="1">
        <f t="array" ref="O68">IF(SUMPRODUCT(('IGU(2020)_LNG_TRADE'!$C$3:$V$3=$A68)*('IGU(2020)_LNG_TRADE'!$A$5:$A$46=O$6))=0,0,SUMPRODUCT(('IGU(2020)_LNG_TRADE'!$C$3:$V$3=$A68)*('IGU(2020)_LNG_TRADE'!$A$5:$A$46=O$6)*'IGU(2020)_LNG_TRADE'!$C$5:$V$46)*10^6*Legend!$B$92*Legend!$B$82*Legend!$B$84*10^-3)</f>
        <v>118257.62969999999</v>
      </c>
      <c r="P68" s="226" cm="1">
        <f t="array" ref="P68">IF(SUMPRODUCT(('IGU(2020)_LNG_TRADE'!$C$3:$V$3=$A68)*('IGU(2020)_LNG_TRADE'!$A$5:$A$46=P$6))=0,0,SUMPRODUCT(('IGU(2020)_LNG_TRADE'!$C$3:$V$3=$A68)*('IGU(2020)_LNG_TRADE'!$A$5:$A$46=P$6)*'IGU(2020)_LNG_TRADE'!$C$5:$V$46)*10^6*Legend!$B$92*Legend!$B$82*Legend!$B$84*10^-3)</f>
        <v>45050.525599999979</v>
      </c>
      <c r="Q68" s="226" cm="1">
        <f t="array" ref="Q68">IF(SUMPRODUCT(('IGU(2020)_LNG_TRADE'!$C$3:$V$3=$A68)*('IGU(2020)_LNG_TRADE'!$A$5:$A$46=Q$6))=0,0,SUMPRODUCT(('IGU(2020)_LNG_TRADE'!$C$3:$V$3=$A68)*('IGU(2020)_LNG_TRADE'!$A$5:$A$46=Q$6)*'IGU(2020)_LNG_TRADE'!$C$5:$V$46)*10^6*Legend!$B$92*Legend!$B$82*Legend!$B$84*10^-3)</f>
        <v>422348.67749999999</v>
      </c>
      <c r="R68" s="226" cm="1">
        <f t="array" ref="R68">IF(SUMPRODUCT(('IGU(2020)_LNG_TRADE'!$C$3:$V$3=$A68)*('IGU(2020)_LNG_TRADE'!$A$5:$A$46=R$6))=0,0,SUMPRODUCT(('IGU(2020)_LNG_TRADE'!$C$3:$V$3=$A68)*('IGU(2020)_LNG_TRADE'!$A$5:$A$46=R$6)*'IGU(2020)_LNG_TRADE'!$C$5:$V$46)*10^6*Legend!$B$92*Legend!$B$82*Legend!$B$84*10^-3)</f>
        <v>95732.366899999979</v>
      </c>
      <c r="S68" s="226" cm="1">
        <f t="array" ref="S68">IF(SUMPRODUCT(('IGU(2020)_LNG_TRADE'!$C$3:$V$3=$A68)*('IGU(2020)_LNG_TRADE'!$A$5:$A$46=S$6))=0,0,SUMPRODUCT(('IGU(2020)_LNG_TRADE'!$C$3:$V$3=$A68)*('IGU(2020)_LNG_TRADE'!$A$5:$A$46=S$6)*'IGU(2020)_LNG_TRADE'!$C$5:$V$46)*10^6*Legend!$B$92*Legend!$B$82*Legend!$B$84*10^-3)</f>
        <v>0</v>
      </c>
      <c r="T68" s="226" cm="1">
        <f t="array" ref="T68">IF(SUMPRODUCT(('IGU(2020)_LNG_TRADE'!$C$3:$V$3=$A68)*('IGU(2020)_LNG_TRADE'!$A$5:$A$46=T$6))=0,0,SUMPRODUCT(('IGU(2020)_LNG_TRADE'!$C$3:$V$3=$A68)*('IGU(2020)_LNG_TRADE'!$A$5:$A$46=T$6)*'IGU(2020)_LNG_TRADE'!$C$5:$V$46)*10^6*Legend!$B$92*Legend!$B$82*Legend!$B$84*10^-3)</f>
        <v>101363.68259999999</v>
      </c>
      <c r="U68" s="226" cm="1">
        <f t="array" ref="U68">IF(SUMPRODUCT(('IGU(2020)_LNG_TRADE'!$C$3:$V$3=$A68)*('IGU(2020)_LNG_TRADE'!$A$5:$A$46=U$6))=0,0,SUMPRODUCT(('IGU(2020)_LNG_TRADE'!$C$3:$V$3=$A68)*('IGU(2020)_LNG_TRADE'!$A$5:$A$46=U$6)*'IGU(2020)_LNG_TRADE'!$C$5:$V$46)*10^6*Legend!$B$92*Legend!$B$82*Legend!$B$84*10^-3)</f>
        <v>202727.36519999997</v>
      </c>
      <c r="V68" s="226" cm="1">
        <f t="array" ref="V68">IF(SUMPRODUCT(('IGU(2020)_LNG_TRADE'!$C$3:$V$3=$A68)*('IGU(2020)_LNG_TRADE'!$A$5:$A$46=V$6))=0,0,SUMPRODUCT(('IGU(2020)_LNG_TRADE'!$C$3:$V$3=$A68)*('IGU(2020)_LNG_TRADE'!$A$5:$A$46=V$6)*'IGU(2020)_LNG_TRADE'!$C$5:$V$46)*10^6*Legend!$B$92*Legend!$B$82*Legend!$B$84*10^-3)</f>
        <v>78838.419800000003</v>
      </c>
      <c r="W68" s="226" cm="1">
        <f t="array" ref="W68">IF(SUMPRODUCT(('IGU(2020)_LNG_TRADE'!$C$3:$V$3=$A68)*('IGU(2020)_LNG_TRADE'!$A$5:$A$46=W$6))=0,0,SUMPRODUCT(('IGU(2020)_LNG_TRADE'!$C$3:$V$3=$A68)*('IGU(2020)_LNG_TRADE'!$A$5:$A$46=W$6)*'IGU(2020)_LNG_TRADE'!$C$5:$V$46)*10^6*Legend!$B$92*Legend!$B$82*Legend!$B$84*10^-3)</f>
        <v>84469.735499999995</v>
      </c>
      <c r="X68" s="226" cm="1">
        <f t="array" ref="X68">IF(SUMPRODUCT(('IGU(2020)_LNG_TRADE'!$C$3:$V$3=$A68)*('IGU(2020)_LNG_TRADE'!$A$5:$A$46=X$6))=0,0,SUMPRODUCT(('IGU(2020)_LNG_TRADE'!$C$3:$V$3=$A68)*('IGU(2020)_LNG_TRADE'!$A$5:$A$46=X$6)*'IGU(2020)_LNG_TRADE'!$C$5:$V$46)*10^6*Legend!$B$92*Legend!$B$82*Legend!$B$84*10^-3)</f>
        <v>33787.894200000002</v>
      </c>
      <c r="Y68" s="226" cm="1">
        <f t="array" ref="Y68">IF(SUMPRODUCT(('IGU(2020)_LNG_TRADE'!$C$3:$V$3=$A68)*('IGU(2020)_LNG_TRADE'!$A$5:$A$46=Y$6))=0,0,SUMPRODUCT(('IGU(2020)_LNG_TRADE'!$C$3:$V$3=$A68)*('IGU(2020)_LNG_TRADE'!$A$5:$A$46=Y$6)*'IGU(2020)_LNG_TRADE'!$C$5:$V$46)*10^6*Legend!$B$92*Legend!$B$82*Legend!$B$84*10^-3)</f>
        <v>163308.15529999998</v>
      </c>
      <c r="Z68" s="226" cm="1">
        <f t="array" ref="Z68">IF(SUMPRODUCT(('IGU(2020)_LNG_TRADE'!$C$3:$V$3=$A68)*('IGU(2020)_LNG_TRADE'!$A$5:$A$46=Z$6))=0,0,SUMPRODUCT(('IGU(2020)_LNG_TRADE'!$C$3:$V$3=$A68)*('IGU(2020)_LNG_TRADE'!$A$5:$A$46=Z$6)*'IGU(2020)_LNG_TRADE'!$C$5:$V$46)*10^6*Legend!$B$92*Legend!$B$82*Legend!$B$84*10^-3)</f>
        <v>0</v>
      </c>
      <c r="AA68" s="226" cm="1">
        <f t="array" ref="AA68">IF(SUMPRODUCT(('IGU(2020)_LNG_TRADE'!$C$3:$V$3=$A68)*('IGU(2020)_LNG_TRADE'!$A$5:$A$46=AA$6))=0,0,SUMPRODUCT(('IGU(2020)_LNG_TRADE'!$C$3:$V$3=$A68)*('IGU(2020)_LNG_TRADE'!$A$5:$A$46=AA$6)*'IGU(2020)_LNG_TRADE'!$C$5:$V$46)*10^6*Legend!$B$92*Legend!$B$82*Legend!$B$84*10^-3)</f>
        <v>0</v>
      </c>
      <c r="AB68" s="226" cm="1">
        <f t="array" ref="AB68">IF(SUMPRODUCT(('IGU(2020)_LNG_TRADE'!$C$3:$V$3=$A68)*('IGU(2020)_LNG_TRADE'!$A$5:$A$46=AB$6))=0,0,SUMPRODUCT(('IGU(2020)_LNG_TRADE'!$C$3:$V$3=$A68)*('IGU(2020)_LNG_TRADE'!$A$5:$A$46=AB$6)*'IGU(2020)_LNG_TRADE'!$C$5:$V$46)*10^6*Legend!$B$92*Legend!$B$82*Legend!$B$84*10^-3)</f>
        <v>309722.36349999998</v>
      </c>
      <c r="AC68" s="224" cm="1">
        <f t="array" ref="AC68">IF(SUMPRODUCT(('IGU(2020)_LNG_TRADE'!$C$3:$V$3=$A68)*('IGU(2020)_LNG_TRADE'!$A$5:$A$46=AC$6))=0,0,SUMPRODUCT(('IGU(2020)_LNG_TRADE'!$C$3:$V$3=$A68)*('IGU(2020)_LNG_TRADE'!$A$5:$A$46=AC$6)*'IGU(2020)_LNG_TRADE'!$C$5:$V$46)*10^6*Legend!$B$92*Legend!$B$82*Legend!$B$84*10^-3)</f>
        <v>0</v>
      </c>
    </row>
    <row r="70" spans="1:29">
      <c r="A70" s="345" t="s">
        <v>882</v>
      </c>
      <c r="K70" s="379"/>
    </row>
    <row r="72" spans="1:29">
      <c r="A72" s="175" t="s">
        <v>880</v>
      </c>
    </row>
    <row r="74" spans="1:29">
      <c r="A74" s="351" t="s">
        <v>387</v>
      </c>
      <c r="B74" s="358">
        <v>2019</v>
      </c>
      <c r="C74" s="358">
        <v>2020</v>
      </c>
      <c r="D74" s="358">
        <v>2021</v>
      </c>
      <c r="E74" s="358">
        <v>2022</v>
      </c>
      <c r="F74" s="358">
        <v>2023</v>
      </c>
      <c r="G74" s="358">
        <v>2024</v>
      </c>
      <c r="H74" s="358">
        <v>2025</v>
      </c>
      <c r="I74" s="228">
        <v>2026</v>
      </c>
    </row>
    <row r="75" spans="1:29">
      <c r="A75" s="215" t="s">
        <v>172</v>
      </c>
      <c r="B75" s="209">
        <f>SUMIFS('IGU(2020)_Liquefaction_plant'!$E:$E,'IGU(2020)_Liquefaction_plant'!$H:$H,$A75,'IGU(2020)_Liquefaction_plant'!$D:$D,"&lt;="&amp;B$74)*10^6*Legend!$B$92*Legend!$B$82*Legend!$B$84*10^-3</f>
        <v>0</v>
      </c>
      <c r="C75" s="209">
        <f>SUMIFS('IGU(2020)_Liquefaction_plant'!$E:$E,'IGU(2020)_Liquefaction_plant'!$H:$H,$A75,'IGU(2020)_Liquefaction_plant'!$D:$D,"&lt;="&amp;C$74)*10^6*Legend!$B$92*Legend!$B$82*Legend!$B$84*10^-3</f>
        <v>0</v>
      </c>
      <c r="D75" s="209">
        <f>SUMIFS('IGU(2020)_Liquefaction_plant'!$E:$E,'IGU(2020)_Liquefaction_plant'!$H:$H,$A75,'IGU(2020)_Liquefaction_plant'!$D:$D,"&lt;="&amp;D$74)*10^6*Legend!$B$92*Legend!$B$82*Legend!$B$84*10^-3</f>
        <v>0</v>
      </c>
      <c r="E75" s="209">
        <f>SUMIFS('IGU(2020)_Liquefaction_plant'!$E:$E,'IGU(2020)_Liquefaction_plant'!$H:$H,$A75,'IGU(2020)_Liquefaction_plant'!$D:$D,"&lt;="&amp;E$74)*10^6*Legend!$B$92*Legend!$B$82*Legend!$B$84*10^-3</f>
        <v>0</v>
      </c>
      <c r="F75" s="209">
        <f>SUMIFS('IGU(2020)_Liquefaction_plant'!$E:$E,'IGU(2020)_Liquefaction_plant'!$H:$H,$A75,'IGU(2020)_Liquefaction_plant'!$D:$D,"&lt;="&amp;F$74)*10^6*Legend!$B$92*Legend!$B$82*Legend!$B$84*10^-3</f>
        <v>0</v>
      </c>
      <c r="G75" s="209">
        <f>SUMIFS('IGU(2020)_Liquefaction_plant'!$E:$E,'IGU(2020)_Liquefaction_plant'!$H:$H,$A75,'IGU(2020)_Liquefaction_plant'!$D:$D,"&lt;="&amp;G$74)*10^6*Legend!$B$92*Legend!$B$82*Legend!$B$84*10^-3</f>
        <v>0</v>
      </c>
      <c r="H75" s="209">
        <f>SUMIFS('IGU(2020)_Liquefaction_plant'!$E:$E,'IGU(2020)_Liquefaction_plant'!$H:$H,$A75,'IGU(2020)_Liquefaction_plant'!$D:$D,"&lt;="&amp;H$74)*10^6*Legend!$B$92*Legend!$B$82*Legend!$B$84*10^-3</f>
        <v>0</v>
      </c>
      <c r="I75" s="220">
        <f>SUMIFS('IGU(2020)_Liquefaction_plant'!$E:$E,'IGU(2020)_Liquefaction_plant'!$H:$H,$A75,'IGU(2020)_Liquefaction_plant'!$D:$D,"&lt;="&amp;I$74)*10^6*Legend!$B$92*Legend!$B$82*Legend!$B$84*10^-3</f>
        <v>0</v>
      </c>
      <c r="J75" s="174"/>
      <c r="K75" s="174"/>
    </row>
    <row r="76" spans="1:29">
      <c r="A76" s="215" t="s">
        <v>175</v>
      </c>
      <c r="B76" s="209">
        <f>SUMIFS('IGU(2020)_Liquefaction_plant'!$E:$E,'IGU(2020)_Liquefaction_plant'!$H:$H,$A76,'IGU(2020)_Liquefaction_plant'!$D:$D,"&lt;="&amp;B$74)*10^6*Legend!$B$92*Legend!$B$82*Legend!$B$84*10^-3</f>
        <v>2303208.1213000002</v>
      </c>
      <c r="C76" s="209">
        <f>SUMIFS('IGU(2020)_Liquefaction_plant'!$E:$E,'IGU(2020)_Liquefaction_plant'!$H:$H,$A76,'IGU(2020)_Liquefaction_plant'!$D:$D,"&lt;="&amp;C$74)*10^6*Legend!$B$92*Legend!$B$82*Legend!$B$84*10^-3</f>
        <v>2303208.1213000002</v>
      </c>
      <c r="D76" s="209">
        <f>SUMIFS('IGU(2020)_Liquefaction_plant'!$E:$E,'IGU(2020)_Liquefaction_plant'!$H:$H,$A76,'IGU(2020)_Liquefaction_plant'!$D:$D,"&lt;="&amp;D$74)*10^6*Legend!$B$92*Legend!$B$82*Legend!$B$84*10^-3</f>
        <v>2303208.1213000002</v>
      </c>
      <c r="E76" s="209">
        <f>SUMIFS('IGU(2020)_Liquefaction_plant'!$E:$E,'IGU(2020)_Liquefaction_plant'!$H:$H,$A76,'IGU(2020)_Liquefaction_plant'!$D:$D,"&lt;="&amp;E$74)*10^6*Legend!$B$92*Legend!$B$82*Legend!$B$84*10^-3</f>
        <v>2303208.1213000002</v>
      </c>
      <c r="F76" s="209">
        <f>SUMIFS('IGU(2020)_Liquefaction_plant'!$E:$E,'IGU(2020)_Liquefaction_plant'!$H:$H,$A76,'IGU(2020)_Liquefaction_plant'!$D:$D,"&lt;="&amp;F$74)*10^6*Legend!$B$92*Legend!$B$82*Legend!$B$84*10^-3</f>
        <v>2303208.1213000002</v>
      </c>
      <c r="G76" s="209">
        <f>SUMIFS('IGU(2020)_Liquefaction_plant'!$E:$E,'IGU(2020)_Liquefaction_plant'!$H:$H,$A76,'IGU(2020)_Liquefaction_plant'!$D:$D,"&lt;="&amp;G$74)*10^6*Legend!$B$92*Legend!$B$82*Legend!$B$84*10^-3</f>
        <v>2303208.1213000002</v>
      </c>
      <c r="H76" s="209">
        <f>SUMIFS('IGU(2020)_Liquefaction_plant'!$E:$E,'IGU(2020)_Liquefaction_plant'!$H:$H,$A76,'IGU(2020)_Liquefaction_plant'!$D:$D,"&lt;="&amp;H$74)*10^6*Legend!$B$92*Legend!$B$82*Legend!$B$84*10^-3</f>
        <v>2303208.1213000002</v>
      </c>
      <c r="I76" s="220">
        <f>SUMIFS('IGU(2020)_Liquefaction_plant'!$E:$E,'IGU(2020)_Liquefaction_plant'!$H:$H,$A76,'IGU(2020)_Liquefaction_plant'!$D:$D,"&lt;="&amp;I$74)*10^6*Legend!$B$92*Legend!$B$82*Legend!$B$84*10^-3</f>
        <v>2303208.1213000002</v>
      </c>
      <c r="J76" s="174"/>
      <c r="K76" s="174"/>
    </row>
    <row r="77" spans="1:29">
      <c r="A77" s="215" t="s">
        <v>178</v>
      </c>
      <c r="B77" s="209">
        <f>SUMIFS('IGU(2020)_Liquefaction_plant'!$E:$E,'IGU(2020)_Liquefaction_plant'!$H:$H,$A77,'IGU(2020)_Liquefaction_plant'!$D:$D,"&lt;="&amp;B$74)*10^6*Legend!$B$92*Legend!$B$82*Legend!$B$84*10^-3</f>
        <v>343510.25770000002</v>
      </c>
      <c r="C77" s="209">
        <f>SUMIFS('IGU(2020)_Liquefaction_plant'!$E:$E,'IGU(2020)_Liquefaction_plant'!$H:$H,$A77,'IGU(2020)_Liquefaction_plant'!$D:$D,"&lt;="&amp;C$74)*10^6*Legend!$B$92*Legend!$B$82*Legend!$B$84*10^-3</f>
        <v>343510.25770000002</v>
      </c>
      <c r="D77" s="209">
        <f>SUMIFS('IGU(2020)_Liquefaction_plant'!$E:$E,'IGU(2020)_Liquefaction_plant'!$H:$H,$A77,'IGU(2020)_Liquefaction_plant'!$D:$D,"&lt;="&amp;D$74)*10^6*Legend!$B$92*Legend!$B$82*Legend!$B$84*10^-3</f>
        <v>343510.25770000002</v>
      </c>
      <c r="E77" s="209">
        <f>SUMIFS('IGU(2020)_Liquefaction_plant'!$E:$E,'IGU(2020)_Liquefaction_plant'!$H:$H,$A77,'IGU(2020)_Liquefaction_plant'!$D:$D,"&lt;="&amp;E$74)*10^6*Legend!$B$92*Legend!$B$82*Legend!$B$84*10^-3</f>
        <v>484293.15019999997</v>
      </c>
      <c r="F77" s="209">
        <f>SUMIFS('IGU(2020)_Liquefaction_plant'!$E:$E,'IGU(2020)_Liquefaction_plant'!$H:$H,$A77,'IGU(2020)_Liquefaction_plant'!$D:$D,"&lt;="&amp;F$74)*10^6*Legend!$B$92*Legend!$B$82*Legend!$B$84*10^-3</f>
        <v>484293.15019999997</v>
      </c>
      <c r="G77" s="209">
        <f>SUMIFS('IGU(2020)_Liquefaction_plant'!$E:$E,'IGU(2020)_Liquefaction_plant'!$H:$H,$A77,'IGU(2020)_Liquefaction_plant'!$D:$D,"&lt;="&amp;G$74)*10^6*Legend!$B$92*Legend!$B$82*Legend!$B$84*10^-3</f>
        <v>484293.15019999997</v>
      </c>
      <c r="H77" s="209">
        <f>SUMIFS('IGU(2020)_Liquefaction_plant'!$E:$E,'IGU(2020)_Liquefaction_plant'!$H:$H,$A77,'IGU(2020)_Liquefaction_plant'!$D:$D,"&lt;="&amp;H$74)*10^6*Legend!$B$92*Legend!$B$82*Legend!$B$84*10^-3</f>
        <v>484293.15019999997</v>
      </c>
      <c r="I77" s="220">
        <f>SUMIFS('IGU(2020)_Liquefaction_plant'!$E:$E,'IGU(2020)_Liquefaction_plant'!$H:$H,$A77,'IGU(2020)_Liquefaction_plant'!$D:$D,"&lt;="&amp;I$74)*10^6*Legend!$B$92*Legend!$B$82*Legend!$B$84*10^-3</f>
        <v>484293.15019999997</v>
      </c>
      <c r="J77" s="174"/>
      <c r="K77" s="174"/>
    </row>
    <row r="78" spans="1:29">
      <c r="A78" s="215" t="s">
        <v>181</v>
      </c>
      <c r="B78" s="209">
        <f>SUMIFS('IGU(2020)_Liquefaction_plant'!$E:$E,'IGU(2020)_Liquefaction_plant'!$H:$H,$A78,'IGU(2020)_Liquefaction_plant'!$D:$D,"&lt;="&amp;B$74)*10^6*Legend!$B$92*Legend!$B$82*Legend!$B$84*10^-3</f>
        <v>292828.41639999999</v>
      </c>
      <c r="C78" s="209">
        <f>SUMIFS('IGU(2020)_Liquefaction_plant'!$E:$E,'IGU(2020)_Liquefaction_plant'!$H:$H,$A78,'IGU(2020)_Liquefaction_plant'!$D:$D,"&lt;="&amp;C$74)*10^6*Legend!$B$92*Legend!$B$82*Legend!$B$84*10^-3</f>
        <v>292828.41639999999</v>
      </c>
      <c r="D78" s="209">
        <f>SUMIFS('IGU(2020)_Liquefaction_plant'!$E:$E,'IGU(2020)_Liquefaction_plant'!$H:$H,$A78,'IGU(2020)_Liquefaction_plant'!$D:$D,"&lt;="&amp;D$74)*10^6*Legend!$B$92*Legend!$B$82*Legend!$B$84*10^-3</f>
        <v>292828.41639999999</v>
      </c>
      <c r="E78" s="209">
        <f>SUMIFS('IGU(2020)_Liquefaction_plant'!$E:$E,'IGU(2020)_Liquefaction_plant'!$H:$H,$A78,'IGU(2020)_Liquefaction_plant'!$D:$D,"&lt;="&amp;E$74)*10^6*Legend!$B$92*Legend!$B$82*Legend!$B$84*10^-3</f>
        <v>484293.15019999997</v>
      </c>
      <c r="F78" s="209">
        <f>SUMIFS('IGU(2020)_Liquefaction_plant'!$E:$E,'IGU(2020)_Liquefaction_plant'!$H:$H,$A78,'IGU(2020)_Liquefaction_plant'!$D:$D,"&lt;="&amp;F$74)*10^6*Legend!$B$92*Legend!$B$82*Legend!$B$84*10^-3</f>
        <v>484293.15019999997</v>
      </c>
      <c r="G78" s="209">
        <f>SUMIFS('IGU(2020)_Liquefaction_plant'!$E:$E,'IGU(2020)_Liquefaction_plant'!$H:$H,$A78,'IGU(2020)_Liquefaction_plant'!$D:$D,"&lt;="&amp;G$74)*10^6*Legend!$B$92*Legend!$B$82*Legend!$B$84*10^-3</f>
        <v>1209606.6123599999</v>
      </c>
      <c r="H78" s="209">
        <f>SUMIFS('IGU(2020)_Liquefaction_plant'!$E:$E,'IGU(2020)_Liquefaction_plant'!$H:$H,$A78,'IGU(2020)_Liquefaction_plant'!$D:$D,"&lt;="&amp;H$74)*10^6*Legend!$B$92*Legend!$B$82*Legend!$B$84*10^-3</f>
        <v>1209606.6123599999</v>
      </c>
      <c r="I78" s="220">
        <f>SUMIFS('IGU(2020)_Liquefaction_plant'!$E:$E,'IGU(2020)_Liquefaction_plant'!$H:$H,$A78,'IGU(2020)_Liquefaction_plant'!$D:$D,"&lt;="&amp;I$74)*10^6*Legend!$B$92*Legend!$B$82*Legend!$B$84*10^-3</f>
        <v>1209606.6123599999</v>
      </c>
      <c r="J78" s="174"/>
      <c r="K78" s="174"/>
    </row>
    <row r="79" spans="1:29">
      <c r="A79" s="215" t="s">
        <v>184</v>
      </c>
      <c r="B79" s="209">
        <f>SUMIFS('IGU(2020)_Liquefaction_plant'!$E:$E,'IGU(2020)_Liquefaction_plant'!$H:$H,$A79,'IGU(2020)_Liquefaction_plant'!$D:$D,"&lt;="&amp;B$74)*10^6*Legend!$B$92*Legend!$B$82*Legend!$B$84*10^-3</f>
        <v>4933032.5532</v>
      </c>
      <c r="C79" s="209">
        <f>SUMIFS('IGU(2020)_Liquefaction_plant'!$E:$E,'IGU(2020)_Liquefaction_plant'!$H:$H,$A79,'IGU(2020)_Liquefaction_plant'!$D:$D,"&lt;="&amp;C$74)*10^6*Legend!$B$92*Legend!$B$82*Legend!$B$84*10^-3</f>
        <v>4933032.5532</v>
      </c>
      <c r="D79" s="209">
        <f>SUMIFS('IGU(2020)_Liquefaction_plant'!$E:$E,'IGU(2020)_Liquefaction_plant'!$H:$H,$A79,'IGU(2020)_Liquefaction_plant'!$D:$D,"&lt;="&amp;D$74)*10^6*Legend!$B$92*Legend!$B$82*Legend!$B$84*10^-3</f>
        <v>4933032.5532</v>
      </c>
      <c r="E79" s="209">
        <f>SUMIFS('IGU(2020)_Liquefaction_plant'!$E:$E,'IGU(2020)_Liquefaction_plant'!$H:$H,$A79,'IGU(2020)_Liquefaction_plant'!$D:$D,"&lt;="&amp;E$74)*10^6*Legend!$B$92*Legend!$B$82*Legend!$B$84*10^-3</f>
        <v>4933032.5532</v>
      </c>
      <c r="F79" s="209">
        <f>SUMIFS('IGU(2020)_Liquefaction_plant'!$E:$E,'IGU(2020)_Liquefaction_plant'!$H:$H,$A79,'IGU(2020)_Liquefaction_plant'!$D:$D,"&lt;="&amp;F$74)*10^6*Legend!$B$92*Legend!$B$82*Legend!$B$84*10^-3</f>
        <v>4933032.5532</v>
      </c>
      <c r="G79" s="209">
        <f>SUMIFS('IGU(2020)_Liquefaction_plant'!$E:$E,'IGU(2020)_Liquefaction_plant'!$H:$H,$A79,'IGU(2020)_Liquefaction_plant'!$D:$D,"&lt;="&amp;G$74)*10^6*Legend!$B$92*Legend!$B$82*Legend!$B$84*10^-3</f>
        <v>4933032.5532</v>
      </c>
      <c r="H79" s="209">
        <f>SUMIFS('IGU(2020)_Liquefaction_plant'!$E:$E,'IGU(2020)_Liquefaction_plant'!$H:$H,$A79,'IGU(2020)_Liquefaction_plant'!$D:$D,"&lt;="&amp;H$74)*10^6*Legend!$B$92*Legend!$B$82*Legend!$B$84*10^-3</f>
        <v>4933032.5532</v>
      </c>
      <c r="I79" s="220">
        <f>SUMIFS('IGU(2020)_Liquefaction_plant'!$E:$E,'IGU(2020)_Liquefaction_plant'!$H:$H,$A79,'IGU(2020)_Liquefaction_plant'!$D:$D,"&lt;="&amp;I$74)*10^6*Legend!$B$92*Legend!$B$82*Legend!$B$84*10^-3</f>
        <v>4933032.5532</v>
      </c>
      <c r="J79" s="174"/>
      <c r="K79" s="174"/>
    </row>
    <row r="80" spans="1:29">
      <c r="A80" s="215" t="s">
        <v>187</v>
      </c>
      <c r="B80" s="209">
        <f>SUMIFS('IGU(2020)_Liquefaction_plant'!$E:$E,'IGU(2020)_Liquefaction_plant'!$H:$H,$A80,'IGU(2020)_Liquefaction_plant'!$D:$D,"&lt;="&amp;B$74)*10^6*Legend!$B$92*Legend!$B$82*Legend!$B$84*10^-3</f>
        <v>0</v>
      </c>
      <c r="C80" s="209">
        <f>SUMIFS('IGU(2020)_Liquefaction_plant'!$E:$E,'IGU(2020)_Liquefaction_plant'!$H:$H,$A80,'IGU(2020)_Liquefaction_plant'!$D:$D,"&lt;="&amp;C$74)*10^6*Legend!$B$92*Legend!$B$82*Legend!$B$84*10^-3</f>
        <v>0</v>
      </c>
      <c r="D80" s="209">
        <f>SUMIFS('IGU(2020)_Liquefaction_plant'!$E:$E,'IGU(2020)_Liquefaction_plant'!$H:$H,$A80,'IGU(2020)_Liquefaction_plant'!$D:$D,"&lt;="&amp;D$74)*10^6*Legend!$B$92*Legend!$B$82*Legend!$B$84*10^-3</f>
        <v>0</v>
      </c>
      <c r="E80" s="209">
        <f>SUMIFS('IGU(2020)_Liquefaction_plant'!$E:$E,'IGU(2020)_Liquefaction_plant'!$H:$H,$A80,'IGU(2020)_Liquefaction_plant'!$D:$D,"&lt;="&amp;E$74)*10^6*Legend!$B$92*Legend!$B$82*Legend!$B$84*10^-3</f>
        <v>0</v>
      </c>
      <c r="F80" s="209">
        <f>SUMIFS('IGU(2020)_Liquefaction_plant'!$E:$E,'IGU(2020)_Liquefaction_plant'!$H:$H,$A80,'IGU(2020)_Liquefaction_plant'!$D:$D,"&lt;="&amp;F$74)*10^6*Legend!$B$92*Legend!$B$82*Legend!$B$84*10^-3</f>
        <v>0</v>
      </c>
      <c r="G80" s="209">
        <f>SUMIFS('IGU(2020)_Liquefaction_plant'!$E:$E,'IGU(2020)_Liquefaction_plant'!$H:$H,$A80,'IGU(2020)_Liquefaction_plant'!$D:$D,"&lt;="&amp;G$74)*10^6*Legend!$B$92*Legend!$B$82*Legend!$B$84*10^-3</f>
        <v>0</v>
      </c>
      <c r="H80" s="209">
        <f>SUMIFS('IGU(2020)_Liquefaction_plant'!$E:$E,'IGU(2020)_Liquefaction_plant'!$H:$H,$A80,'IGU(2020)_Liquefaction_plant'!$D:$D,"&lt;="&amp;H$74)*10^6*Legend!$B$92*Legend!$B$82*Legend!$B$84*10^-3</f>
        <v>0</v>
      </c>
      <c r="I80" s="220">
        <f>SUMIFS('IGU(2020)_Liquefaction_plant'!$E:$E,'IGU(2020)_Liquefaction_plant'!$H:$H,$A80,'IGU(2020)_Liquefaction_plant'!$D:$D,"&lt;="&amp;I$74)*10^6*Legend!$B$92*Legend!$B$82*Legend!$B$84*10^-3</f>
        <v>0</v>
      </c>
      <c r="J80" s="174"/>
      <c r="K80" s="174"/>
    </row>
    <row r="81" spans="1:11">
      <c r="A81" s="215" t="s">
        <v>190</v>
      </c>
      <c r="B81" s="209">
        <f>SUMIFS('IGU(2020)_Liquefaction_plant'!$E:$E,'IGU(2020)_Liquefaction_plant'!$H:$H,$A81,'IGU(2020)_Liquefaction_plant'!$D:$D,"&lt;="&amp;B$74)*10^6*Legend!$B$92*Legend!$B$82*Legend!$B$84*10^-3</f>
        <v>2511566.8021999998</v>
      </c>
      <c r="C81" s="209">
        <f>SUMIFS('IGU(2020)_Liquefaction_plant'!$E:$E,'IGU(2020)_Liquefaction_plant'!$H:$H,$A81,'IGU(2020)_Liquefaction_plant'!$D:$D,"&lt;="&amp;C$74)*10^6*Legend!$B$92*Legend!$B$82*Legend!$B$84*10^-3</f>
        <v>2596036.5376999998</v>
      </c>
      <c r="D81" s="209">
        <f>SUMIFS('IGU(2020)_Liquefaction_plant'!$E:$E,'IGU(2020)_Liquefaction_plant'!$H:$H,$A81,'IGU(2020)_Liquefaction_plant'!$D:$D,"&lt;="&amp;D$74)*10^6*Legend!$B$92*Legend!$B$82*Legend!$B$84*10^-3</f>
        <v>2596036.5376999998</v>
      </c>
      <c r="E81" s="209">
        <f>SUMIFS('IGU(2020)_Liquefaction_plant'!$E:$E,'IGU(2020)_Liquefaction_plant'!$H:$H,$A81,'IGU(2020)_Liquefaction_plant'!$D:$D,"&lt;="&amp;E$74)*10^6*Legend!$B$92*Legend!$B$82*Legend!$B$84*10^-3</f>
        <v>2596036.5376999998</v>
      </c>
      <c r="F81" s="209">
        <f>SUMIFS('IGU(2020)_Liquefaction_plant'!$E:$E,'IGU(2020)_Liquefaction_plant'!$H:$H,$A81,'IGU(2020)_Liquefaction_plant'!$D:$D,"&lt;="&amp;F$74)*10^6*Legend!$B$92*Legend!$B$82*Legend!$B$84*10^-3</f>
        <v>2596036.5376999998</v>
      </c>
      <c r="G81" s="209">
        <f>SUMIFS('IGU(2020)_Liquefaction_plant'!$E:$E,'IGU(2020)_Liquefaction_plant'!$H:$H,$A81,'IGU(2020)_Liquefaction_plant'!$D:$D,"&lt;="&amp;G$74)*10^6*Legend!$B$92*Legend!$B$82*Legend!$B$84*10^-3</f>
        <v>2596036.5376999998</v>
      </c>
      <c r="H81" s="209">
        <f>SUMIFS('IGU(2020)_Liquefaction_plant'!$E:$E,'IGU(2020)_Liquefaction_plant'!$H:$H,$A81,'IGU(2020)_Liquefaction_plant'!$D:$D,"&lt;="&amp;H$74)*10^6*Legend!$B$92*Legend!$B$82*Legend!$B$84*10^-3</f>
        <v>2596036.5376999998</v>
      </c>
      <c r="I81" s="220">
        <f>SUMIFS('IGU(2020)_Liquefaction_plant'!$E:$E,'IGU(2020)_Liquefaction_plant'!$H:$H,$A81,'IGU(2020)_Liquefaction_plant'!$D:$D,"&lt;="&amp;I$74)*10^6*Legend!$B$92*Legend!$B$82*Legend!$B$84*10^-3</f>
        <v>2596036.5376999998</v>
      </c>
      <c r="J81" s="174"/>
      <c r="K81" s="174"/>
    </row>
    <row r="82" spans="1:11">
      <c r="A82" s="215" t="s">
        <v>193</v>
      </c>
      <c r="B82" s="209">
        <f>SUMIFS('IGU(2020)_Liquefaction_plant'!$E:$E,'IGU(2020)_Liquefaction_plant'!$H:$H,$A82,'IGU(2020)_Liquefaction_plant'!$D:$D,"&lt;="&amp;B$74)*10^6*Legend!$B$92*Legend!$B$82*Legend!$B$84*10^-3</f>
        <v>0</v>
      </c>
      <c r="C82" s="209">
        <f>SUMIFS('IGU(2020)_Liquefaction_plant'!$E:$E,'IGU(2020)_Liquefaction_plant'!$H:$H,$A82,'IGU(2020)_Liquefaction_plant'!$D:$D,"&lt;="&amp;C$74)*10^6*Legend!$B$92*Legend!$B$82*Legend!$B$84*10^-3</f>
        <v>0</v>
      </c>
      <c r="D82" s="209">
        <f>SUMIFS('IGU(2020)_Liquefaction_plant'!$E:$E,'IGU(2020)_Liquefaction_plant'!$H:$H,$A82,'IGU(2020)_Liquefaction_plant'!$D:$D,"&lt;="&amp;D$74)*10^6*Legend!$B$92*Legend!$B$82*Legend!$B$84*10^-3</f>
        <v>0</v>
      </c>
      <c r="E82" s="209">
        <f>SUMIFS('IGU(2020)_Liquefaction_plant'!$E:$E,'IGU(2020)_Liquefaction_plant'!$H:$H,$A82,'IGU(2020)_Liquefaction_plant'!$D:$D,"&lt;="&amp;E$74)*10^6*Legend!$B$92*Legend!$B$82*Legend!$B$84*10^-3</f>
        <v>0</v>
      </c>
      <c r="F82" s="209">
        <f>SUMIFS('IGU(2020)_Liquefaction_plant'!$E:$E,'IGU(2020)_Liquefaction_plant'!$H:$H,$A82,'IGU(2020)_Liquefaction_plant'!$D:$D,"&lt;="&amp;F$74)*10^6*Legend!$B$92*Legend!$B$82*Legend!$B$84*10^-3</f>
        <v>0</v>
      </c>
      <c r="G82" s="209">
        <f>SUMIFS('IGU(2020)_Liquefaction_plant'!$E:$E,'IGU(2020)_Liquefaction_plant'!$H:$H,$A82,'IGU(2020)_Liquefaction_plant'!$D:$D,"&lt;="&amp;G$74)*10^6*Legend!$B$92*Legend!$B$82*Legend!$B$84*10^-3</f>
        <v>0</v>
      </c>
      <c r="H82" s="209">
        <f>SUMIFS('IGU(2020)_Liquefaction_plant'!$E:$E,'IGU(2020)_Liquefaction_plant'!$H:$H,$A82,'IGU(2020)_Liquefaction_plant'!$D:$D,"&lt;="&amp;H$74)*10^6*Legend!$B$92*Legend!$B$82*Legend!$B$84*10^-3</f>
        <v>0</v>
      </c>
      <c r="I82" s="220">
        <f>SUMIFS('IGU(2020)_Liquefaction_plant'!$E:$E,'IGU(2020)_Liquefaction_plant'!$H:$H,$A82,'IGU(2020)_Liquefaction_plant'!$D:$D,"&lt;="&amp;I$74)*10^6*Legend!$B$92*Legend!$B$82*Legend!$B$84*10^-3</f>
        <v>0</v>
      </c>
      <c r="J82" s="174"/>
      <c r="K82" s="174"/>
    </row>
    <row r="83" spans="1:11">
      <c r="A83" s="215" t="s">
        <v>196</v>
      </c>
      <c r="B83" s="209">
        <f>SUMIFS('IGU(2020)_Liquefaction_plant'!$E:$E,'IGU(2020)_Liquefaction_plant'!$H:$H,$A83,'IGU(2020)_Liquefaction_plant'!$D:$D,"&lt;="&amp;B$74)*10^6*Legend!$B$92*Legend!$B$82*Legend!$B$84*10^-3</f>
        <v>0</v>
      </c>
      <c r="C83" s="209">
        <f>SUMIFS('IGU(2020)_Liquefaction_plant'!$E:$E,'IGU(2020)_Liquefaction_plant'!$H:$H,$A83,'IGU(2020)_Liquefaction_plant'!$D:$D,"&lt;="&amp;C$74)*10^6*Legend!$B$92*Legend!$B$82*Legend!$B$84*10^-3</f>
        <v>0</v>
      </c>
      <c r="D83" s="209">
        <f>SUMIFS('IGU(2020)_Liquefaction_plant'!$E:$E,'IGU(2020)_Liquefaction_plant'!$H:$H,$A83,'IGU(2020)_Liquefaction_plant'!$D:$D,"&lt;="&amp;D$74)*10^6*Legend!$B$92*Legend!$B$82*Legend!$B$84*10^-3</f>
        <v>0</v>
      </c>
      <c r="E83" s="209">
        <f>SUMIFS('IGU(2020)_Liquefaction_plant'!$E:$E,'IGU(2020)_Liquefaction_plant'!$H:$H,$A83,'IGU(2020)_Liquefaction_plant'!$D:$D,"&lt;="&amp;E$74)*10^6*Legend!$B$92*Legend!$B$82*Legend!$B$84*10^-3</f>
        <v>0</v>
      </c>
      <c r="F83" s="209">
        <f>SUMIFS('IGU(2020)_Liquefaction_plant'!$E:$E,'IGU(2020)_Liquefaction_plant'!$H:$H,$A83,'IGU(2020)_Liquefaction_plant'!$D:$D,"&lt;="&amp;F$74)*10^6*Legend!$B$92*Legend!$B$82*Legend!$B$84*10^-3</f>
        <v>0</v>
      </c>
      <c r="G83" s="209">
        <f>SUMIFS('IGU(2020)_Liquefaction_plant'!$E:$E,'IGU(2020)_Liquefaction_plant'!$H:$H,$A83,'IGU(2020)_Liquefaction_plant'!$D:$D,"&lt;="&amp;G$74)*10^6*Legend!$B$92*Legend!$B$82*Legend!$B$84*10^-3</f>
        <v>0</v>
      </c>
      <c r="H83" s="209">
        <f>SUMIFS('IGU(2020)_Liquefaction_plant'!$E:$E,'IGU(2020)_Liquefaction_plant'!$H:$H,$A83,'IGU(2020)_Liquefaction_plant'!$D:$D,"&lt;="&amp;H$74)*10^6*Legend!$B$92*Legend!$B$82*Legend!$B$84*10^-3</f>
        <v>0</v>
      </c>
      <c r="I83" s="220">
        <f>SUMIFS('IGU(2020)_Liquefaction_plant'!$E:$E,'IGU(2020)_Liquefaction_plant'!$H:$H,$A83,'IGU(2020)_Liquefaction_plant'!$D:$D,"&lt;="&amp;I$74)*10^6*Legend!$B$92*Legend!$B$82*Legend!$B$84*10^-3</f>
        <v>0</v>
      </c>
      <c r="J83" s="174"/>
      <c r="K83" s="174"/>
    </row>
    <row r="84" spans="1:11">
      <c r="A84" s="215" t="s">
        <v>198</v>
      </c>
      <c r="B84" s="209">
        <f>SUMIFS('IGU(2020)_Liquefaction_plant'!$E:$E,'IGU(2020)_Liquefaction_plant'!$H:$H,$A84,'IGU(2020)_Liquefaction_plant'!$D:$D,"&lt;="&amp;B$74)*10^6*Legend!$B$92*Legend!$B$82*Legend!$B$84*10^-3</f>
        <v>0</v>
      </c>
      <c r="C84" s="209">
        <f>SUMIFS('IGU(2020)_Liquefaction_plant'!$E:$E,'IGU(2020)_Liquefaction_plant'!$H:$H,$A84,'IGU(2020)_Liquefaction_plant'!$D:$D,"&lt;="&amp;C$74)*10^6*Legend!$B$92*Legend!$B$82*Legend!$B$84*10^-3</f>
        <v>0</v>
      </c>
      <c r="D84" s="209">
        <f>SUMIFS('IGU(2020)_Liquefaction_plant'!$E:$E,'IGU(2020)_Liquefaction_plant'!$H:$H,$A84,'IGU(2020)_Liquefaction_plant'!$D:$D,"&lt;="&amp;D$74)*10^6*Legend!$B$92*Legend!$B$82*Legend!$B$84*10^-3</f>
        <v>0</v>
      </c>
      <c r="E84" s="209">
        <f>SUMIFS('IGU(2020)_Liquefaction_plant'!$E:$E,'IGU(2020)_Liquefaction_plant'!$H:$H,$A84,'IGU(2020)_Liquefaction_plant'!$D:$D,"&lt;="&amp;E$74)*10^6*Legend!$B$92*Legend!$B$82*Legend!$B$84*10^-3</f>
        <v>0</v>
      </c>
      <c r="F84" s="209">
        <f>SUMIFS('IGU(2020)_Liquefaction_plant'!$E:$E,'IGU(2020)_Liquefaction_plant'!$H:$H,$A84,'IGU(2020)_Liquefaction_plant'!$D:$D,"&lt;="&amp;F$74)*10^6*Legend!$B$92*Legend!$B$82*Legend!$B$84*10^-3</f>
        <v>0</v>
      </c>
      <c r="G84" s="209">
        <f>SUMIFS('IGU(2020)_Liquefaction_plant'!$E:$E,'IGU(2020)_Liquefaction_plant'!$H:$H,$A84,'IGU(2020)_Liquefaction_plant'!$D:$D,"&lt;="&amp;G$74)*10^6*Legend!$B$92*Legend!$B$82*Legend!$B$84*10^-3</f>
        <v>788384.19799999986</v>
      </c>
      <c r="H84" s="209">
        <f>SUMIFS('IGU(2020)_Liquefaction_plant'!$E:$E,'IGU(2020)_Liquefaction_plant'!$H:$H,$A84,'IGU(2020)_Liquefaction_plant'!$D:$D,"&lt;="&amp;H$74)*10^6*Legend!$B$92*Legend!$B$82*Legend!$B$84*10^-3</f>
        <v>788384.19799999986</v>
      </c>
      <c r="I84" s="220">
        <f>SUMIFS('IGU(2020)_Liquefaction_plant'!$E:$E,'IGU(2020)_Liquefaction_plant'!$H:$H,$A84,'IGU(2020)_Liquefaction_plant'!$D:$D,"&lt;="&amp;I$74)*10^6*Legend!$B$92*Legend!$B$82*Legend!$B$84*10^-3</f>
        <v>788384.19799999986</v>
      </c>
      <c r="J84" s="174"/>
      <c r="K84" s="174"/>
    </row>
    <row r="85" spans="1:11">
      <c r="A85" s="215" t="s">
        <v>200</v>
      </c>
      <c r="B85" s="209">
        <f>SUMIFS('IGU(2020)_Liquefaction_plant'!$E:$E,'IGU(2020)_Liquefaction_plant'!$H:$H,$A85,'IGU(2020)_Liquefaction_plant'!$D:$D,"&lt;="&amp;B$74)*10^6*Legend!$B$92*Legend!$B$82*Legend!$B$84*10^-3</f>
        <v>0</v>
      </c>
      <c r="C85" s="209">
        <f>SUMIFS('IGU(2020)_Liquefaction_plant'!$E:$E,'IGU(2020)_Liquefaction_plant'!$H:$H,$A85,'IGU(2020)_Liquefaction_plant'!$D:$D,"&lt;="&amp;C$74)*10^6*Legend!$B$92*Legend!$B$82*Legend!$B$84*10^-3</f>
        <v>0</v>
      </c>
      <c r="D85" s="209">
        <f>SUMIFS('IGU(2020)_Liquefaction_plant'!$E:$E,'IGU(2020)_Liquefaction_plant'!$H:$H,$A85,'IGU(2020)_Liquefaction_plant'!$D:$D,"&lt;="&amp;D$74)*10^6*Legend!$B$92*Legend!$B$82*Legend!$B$84*10^-3</f>
        <v>0</v>
      </c>
      <c r="E85" s="209">
        <f>SUMIFS('IGU(2020)_Liquefaction_plant'!$E:$E,'IGU(2020)_Liquefaction_plant'!$H:$H,$A85,'IGU(2020)_Liquefaction_plant'!$D:$D,"&lt;="&amp;E$74)*10^6*Legend!$B$92*Legend!$B$82*Legend!$B$84*10^-3</f>
        <v>0</v>
      </c>
      <c r="F85" s="209">
        <f>SUMIFS('IGU(2020)_Liquefaction_plant'!$E:$E,'IGU(2020)_Liquefaction_plant'!$H:$H,$A85,'IGU(2020)_Liquefaction_plant'!$D:$D,"&lt;="&amp;F$74)*10^6*Legend!$B$92*Legend!$B$82*Legend!$B$84*10^-3</f>
        <v>0</v>
      </c>
      <c r="G85" s="209">
        <f>SUMIFS('IGU(2020)_Liquefaction_plant'!$E:$E,'IGU(2020)_Liquefaction_plant'!$H:$H,$A85,'IGU(2020)_Liquefaction_plant'!$D:$D,"&lt;="&amp;G$74)*10^6*Legend!$B$92*Legend!$B$82*Legend!$B$84*10^-3</f>
        <v>0</v>
      </c>
      <c r="H85" s="209">
        <f>SUMIFS('IGU(2020)_Liquefaction_plant'!$E:$E,'IGU(2020)_Liquefaction_plant'!$H:$H,$A85,'IGU(2020)_Liquefaction_plant'!$D:$D,"&lt;="&amp;H$74)*10^6*Legend!$B$92*Legend!$B$82*Legend!$B$84*10^-3</f>
        <v>0</v>
      </c>
      <c r="I85" s="220">
        <f>SUMIFS('IGU(2020)_Liquefaction_plant'!$E:$E,'IGU(2020)_Liquefaction_plant'!$H:$H,$A85,'IGU(2020)_Liquefaction_plant'!$D:$D,"&lt;="&amp;I$74)*10^6*Legend!$B$92*Legend!$B$82*Legend!$B$84*10^-3</f>
        <v>0</v>
      </c>
      <c r="J85" s="174"/>
      <c r="K85" s="174"/>
    </row>
    <row r="86" spans="1:11">
      <c r="A86" s="215" t="s">
        <v>202</v>
      </c>
      <c r="B86" s="209">
        <f>SUMIFS('IGU(2020)_Liquefaction_plant'!$E:$E,'IGU(2020)_Liquefaction_plant'!$H:$H,$A86,'IGU(2020)_Liquefaction_plant'!$D:$D,"&lt;="&amp;B$74)*10^6*Legend!$B$92*Legend!$B$82*Legend!$B$84*10^-3</f>
        <v>0</v>
      </c>
      <c r="C86" s="209">
        <f>SUMIFS('IGU(2020)_Liquefaction_plant'!$E:$E,'IGU(2020)_Liquefaction_plant'!$H:$H,$A86,'IGU(2020)_Liquefaction_plant'!$D:$D,"&lt;="&amp;C$74)*10^6*Legend!$B$92*Legend!$B$82*Legend!$B$84*10^-3</f>
        <v>0</v>
      </c>
      <c r="D86" s="209">
        <f>SUMIFS('IGU(2020)_Liquefaction_plant'!$E:$E,'IGU(2020)_Liquefaction_plant'!$H:$H,$A86,'IGU(2020)_Liquefaction_plant'!$D:$D,"&lt;="&amp;D$74)*10^6*Legend!$B$92*Legend!$B$82*Legend!$B$84*10^-3</f>
        <v>0</v>
      </c>
      <c r="E86" s="209">
        <f>SUMIFS('IGU(2020)_Liquefaction_plant'!$E:$E,'IGU(2020)_Liquefaction_plant'!$H:$H,$A86,'IGU(2020)_Liquefaction_plant'!$D:$D,"&lt;="&amp;E$74)*10^6*Legend!$B$92*Legend!$B$82*Legend!$B$84*10^-3</f>
        <v>0</v>
      </c>
      <c r="F86" s="209">
        <f>SUMIFS('IGU(2020)_Liquefaction_plant'!$E:$E,'IGU(2020)_Liquefaction_plant'!$H:$H,$A86,'IGU(2020)_Liquefaction_plant'!$D:$D,"&lt;="&amp;F$74)*10^6*Legend!$B$92*Legend!$B$82*Legend!$B$84*10^-3</f>
        <v>0</v>
      </c>
      <c r="G86" s="209">
        <f>SUMIFS('IGU(2020)_Liquefaction_plant'!$E:$E,'IGU(2020)_Liquefaction_plant'!$H:$H,$A86,'IGU(2020)_Liquefaction_plant'!$D:$D,"&lt;="&amp;G$74)*10^6*Legend!$B$92*Legend!$B$82*Legend!$B$84*10^-3</f>
        <v>0</v>
      </c>
      <c r="H86" s="209">
        <f>SUMIFS('IGU(2020)_Liquefaction_plant'!$E:$E,'IGU(2020)_Liquefaction_plant'!$H:$H,$A86,'IGU(2020)_Liquefaction_plant'!$D:$D,"&lt;="&amp;H$74)*10^6*Legend!$B$92*Legend!$B$82*Legend!$B$84*10^-3</f>
        <v>0</v>
      </c>
      <c r="I86" s="220">
        <f>SUMIFS('IGU(2020)_Liquefaction_plant'!$E:$E,'IGU(2020)_Liquefaction_plant'!$H:$H,$A86,'IGU(2020)_Liquefaction_plant'!$D:$D,"&lt;="&amp;I$74)*10^6*Legend!$B$92*Legend!$B$82*Legend!$B$84*10^-3</f>
        <v>0</v>
      </c>
      <c r="J86" s="174"/>
      <c r="K86" s="174"/>
    </row>
    <row r="87" spans="1:11">
      <c r="A87" s="215" t="s">
        <v>205</v>
      </c>
      <c r="B87" s="209">
        <f>SUMIFS('IGU(2020)_Liquefaction_plant'!$E:$E,'IGU(2020)_Liquefaction_plant'!$H:$H,$A87,'IGU(2020)_Liquefaction_plant'!$D:$D,"&lt;="&amp;B$74)*10^6*Legend!$B$92*Legend!$B$82*Legend!$B$84*10^-3</f>
        <v>0</v>
      </c>
      <c r="C87" s="209">
        <f>SUMIFS('IGU(2020)_Liquefaction_plant'!$E:$E,'IGU(2020)_Liquefaction_plant'!$H:$H,$A87,'IGU(2020)_Liquefaction_plant'!$D:$D,"&lt;="&amp;C$74)*10^6*Legend!$B$92*Legend!$B$82*Legend!$B$84*10^-3</f>
        <v>0</v>
      </c>
      <c r="D87" s="209">
        <f>SUMIFS('IGU(2020)_Liquefaction_plant'!$E:$E,'IGU(2020)_Liquefaction_plant'!$H:$H,$A87,'IGU(2020)_Liquefaction_plant'!$D:$D,"&lt;="&amp;D$74)*10^6*Legend!$B$92*Legend!$B$82*Legend!$B$84*10^-3</f>
        <v>0</v>
      </c>
      <c r="E87" s="209">
        <f>SUMIFS('IGU(2020)_Liquefaction_plant'!$E:$E,'IGU(2020)_Liquefaction_plant'!$H:$H,$A87,'IGU(2020)_Liquefaction_plant'!$D:$D,"&lt;="&amp;E$74)*10^6*Legend!$B$92*Legend!$B$82*Legend!$B$84*10^-3</f>
        <v>0</v>
      </c>
      <c r="F87" s="209">
        <f>SUMIFS('IGU(2020)_Liquefaction_plant'!$E:$E,'IGU(2020)_Liquefaction_plant'!$H:$H,$A87,'IGU(2020)_Liquefaction_plant'!$D:$D,"&lt;="&amp;F$74)*10^6*Legend!$B$92*Legend!$B$82*Legend!$B$84*10^-3</f>
        <v>0</v>
      </c>
      <c r="G87" s="209">
        <f>SUMIFS('IGU(2020)_Liquefaction_plant'!$E:$E,'IGU(2020)_Liquefaction_plant'!$H:$H,$A87,'IGU(2020)_Liquefaction_plant'!$D:$D,"&lt;="&amp;G$74)*10^6*Legend!$B$92*Legend!$B$82*Legend!$B$84*10^-3</f>
        <v>0</v>
      </c>
      <c r="H87" s="209">
        <f>SUMIFS('IGU(2020)_Liquefaction_plant'!$E:$E,'IGU(2020)_Liquefaction_plant'!$H:$H,$A87,'IGU(2020)_Liquefaction_plant'!$D:$D,"&lt;="&amp;H$74)*10^6*Legend!$B$92*Legend!$B$82*Legend!$B$84*10^-3</f>
        <v>0</v>
      </c>
      <c r="I87" s="220">
        <f>SUMIFS('IGU(2020)_Liquefaction_plant'!$E:$E,'IGU(2020)_Liquefaction_plant'!$H:$H,$A87,'IGU(2020)_Liquefaction_plant'!$D:$D,"&lt;="&amp;I$74)*10^6*Legend!$B$92*Legend!$B$82*Legend!$B$84*10^-3</f>
        <v>0</v>
      </c>
      <c r="J87" s="174"/>
      <c r="K87" s="174"/>
    </row>
    <row r="88" spans="1:11">
      <c r="A88" s="375" t="s">
        <v>208</v>
      </c>
      <c r="B88" s="209">
        <f>SUMIFS('IGU(2020)_Liquefaction_plant'!$E:$E,'IGU(2020)_Liquefaction_plant'!$H:$H,$A88,'IGU(2020)_Liquefaction_plant'!$D:$D,"&lt;="&amp;B$74)*10^6*Legend!$B$92*Legend!$B$82*Legend!$B$84*10^-3</f>
        <v>236515.25939999998</v>
      </c>
      <c r="C88" s="209">
        <f>SUMIFS('IGU(2020)_Liquefaction_plant'!$E:$E,'IGU(2020)_Liquefaction_plant'!$H:$H,$A88,'IGU(2020)_Liquefaction_plant'!$D:$D,"&lt;="&amp;C$74)*10^6*Legend!$B$92*Legend!$B$82*Legend!$B$84*10^-3</f>
        <v>236515.25939999998</v>
      </c>
      <c r="D88" s="209">
        <f>SUMIFS('IGU(2020)_Liquefaction_plant'!$E:$E,'IGU(2020)_Liquefaction_plant'!$H:$H,$A88,'IGU(2020)_Liquefaction_plant'!$D:$D,"&lt;="&amp;D$74)*10^6*Legend!$B$92*Legend!$B$82*Legend!$B$84*10^-3</f>
        <v>236515.25939999998</v>
      </c>
      <c r="E88" s="209">
        <f>SUMIFS('IGU(2020)_Liquefaction_plant'!$E:$E,'IGU(2020)_Liquefaction_plant'!$H:$H,$A88,'IGU(2020)_Liquefaction_plant'!$D:$D,"&lt;="&amp;E$74)*10^6*Legend!$B$92*Legend!$B$82*Legend!$B$84*10^-3</f>
        <v>236515.25939999998</v>
      </c>
      <c r="F88" s="209">
        <f>SUMIFS('IGU(2020)_Liquefaction_plant'!$E:$E,'IGU(2020)_Liquefaction_plant'!$H:$H,$A88,'IGU(2020)_Liquefaction_plant'!$D:$D,"&lt;="&amp;F$74)*10^6*Legend!$B$92*Legend!$B$82*Legend!$B$84*10^-3</f>
        <v>236515.25939999998</v>
      </c>
      <c r="G88" s="209">
        <f>SUMIFS('IGU(2020)_Liquefaction_plant'!$E:$E,'IGU(2020)_Liquefaction_plant'!$H:$H,$A88,'IGU(2020)_Liquefaction_plant'!$D:$D,"&lt;="&amp;G$74)*10^6*Legend!$B$92*Legend!$B$82*Legend!$B$84*10^-3</f>
        <v>236515.25939999998</v>
      </c>
      <c r="H88" s="209">
        <f>SUMIFS('IGU(2020)_Liquefaction_plant'!$E:$E,'IGU(2020)_Liquefaction_plant'!$H:$H,$A88,'IGU(2020)_Liquefaction_plant'!$D:$D,"&lt;="&amp;H$74)*10^6*Legend!$B$92*Legend!$B$82*Legend!$B$84*10^-3</f>
        <v>236515.25939999998</v>
      </c>
      <c r="I88" s="220">
        <f>SUMIFS('IGU(2020)_Liquefaction_plant'!$E:$E,'IGU(2020)_Liquefaction_plant'!$H:$H,$A88,'IGU(2020)_Liquefaction_plant'!$D:$D,"&lt;="&amp;I$74)*10^6*Legend!$B$92*Legend!$B$82*Legend!$B$84*10^-3</f>
        <v>236515.25939999998</v>
      </c>
      <c r="J88" s="174"/>
      <c r="K88" s="174"/>
    </row>
    <row r="89" spans="1:11">
      <c r="A89" s="215" t="s">
        <v>211</v>
      </c>
      <c r="B89" s="209">
        <f>SUMIFS('IGU(2020)_Liquefaction_plant'!$E:$E,'IGU(2020)_Liquefaction_plant'!$H:$H,$A89,'IGU(2020)_Liquefaction_plant'!$D:$D,"&lt;="&amp;B$74)*10^6*Legend!$B$92*Legend!$B$82*Legend!$B$84*10^-3</f>
        <v>0</v>
      </c>
      <c r="C89" s="209">
        <f>SUMIFS('IGU(2020)_Liquefaction_plant'!$E:$E,'IGU(2020)_Liquefaction_plant'!$H:$H,$A89,'IGU(2020)_Liquefaction_plant'!$D:$D,"&lt;="&amp;C$74)*10^6*Legend!$B$92*Legend!$B$82*Legend!$B$84*10^-3</f>
        <v>0</v>
      </c>
      <c r="D89" s="209">
        <f>SUMIFS('IGU(2020)_Liquefaction_plant'!$E:$E,'IGU(2020)_Liquefaction_plant'!$H:$H,$A89,'IGU(2020)_Liquefaction_plant'!$D:$D,"&lt;="&amp;D$74)*10^6*Legend!$B$92*Legend!$B$82*Legend!$B$84*10^-3</f>
        <v>0</v>
      </c>
      <c r="E89" s="209">
        <f>SUMIFS('IGU(2020)_Liquefaction_plant'!$E:$E,'IGU(2020)_Liquefaction_plant'!$H:$H,$A89,'IGU(2020)_Liquefaction_plant'!$D:$D,"&lt;="&amp;E$74)*10^6*Legend!$B$92*Legend!$B$82*Legend!$B$84*10^-3</f>
        <v>0</v>
      </c>
      <c r="F89" s="209">
        <f>SUMIFS('IGU(2020)_Liquefaction_plant'!$E:$E,'IGU(2020)_Liquefaction_plant'!$H:$H,$A89,'IGU(2020)_Liquefaction_plant'!$D:$D,"&lt;="&amp;F$74)*10^6*Legend!$B$92*Legend!$B$82*Legend!$B$84*10^-3</f>
        <v>0</v>
      </c>
      <c r="G89" s="209">
        <f>SUMIFS('IGU(2020)_Liquefaction_plant'!$E:$E,'IGU(2020)_Liquefaction_plant'!$H:$H,$A89,'IGU(2020)_Liquefaction_plant'!$D:$D,"&lt;="&amp;G$74)*10^6*Legend!$B$92*Legend!$B$82*Legend!$B$84*10^-3</f>
        <v>0</v>
      </c>
      <c r="H89" s="209">
        <f>SUMIFS('IGU(2020)_Liquefaction_plant'!$E:$E,'IGU(2020)_Liquefaction_plant'!$H:$H,$A89,'IGU(2020)_Liquefaction_plant'!$D:$D,"&lt;="&amp;H$74)*10^6*Legend!$B$92*Legend!$B$82*Legend!$B$84*10^-3</f>
        <v>0</v>
      </c>
      <c r="I89" s="220">
        <f>SUMIFS('IGU(2020)_Liquefaction_plant'!$E:$E,'IGU(2020)_Liquefaction_plant'!$H:$H,$A89,'IGU(2020)_Liquefaction_plant'!$D:$D,"&lt;="&amp;I$74)*10^6*Legend!$B$92*Legend!$B$82*Legend!$B$84*10^-3</f>
        <v>0</v>
      </c>
      <c r="J89" s="174"/>
      <c r="K89" s="174"/>
    </row>
    <row r="90" spans="1:11">
      <c r="A90" s="215" t="s">
        <v>214</v>
      </c>
      <c r="B90" s="209">
        <f>SUMIFS('IGU(2020)_Liquefaction_plant'!$E:$E,'IGU(2020)_Liquefaction_plant'!$H:$H,$A90,'IGU(2020)_Liquefaction_plant'!$D:$D,"&lt;="&amp;B$74)*10^6*Legend!$B$92*Legend!$B$82*Legend!$B$84*10^-3</f>
        <v>0</v>
      </c>
      <c r="C90" s="209">
        <f>SUMIFS('IGU(2020)_Liquefaction_plant'!$E:$E,'IGU(2020)_Liquefaction_plant'!$H:$H,$A90,'IGU(2020)_Liquefaction_plant'!$D:$D,"&lt;="&amp;C$74)*10^6*Legend!$B$92*Legend!$B$82*Legend!$B$84*10^-3</f>
        <v>0</v>
      </c>
      <c r="D90" s="209">
        <f>SUMIFS('IGU(2020)_Liquefaction_plant'!$E:$E,'IGU(2020)_Liquefaction_plant'!$H:$H,$A90,'IGU(2020)_Liquefaction_plant'!$D:$D,"&lt;="&amp;D$74)*10^6*Legend!$B$92*Legend!$B$82*Legend!$B$84*10^-3</f>
        <v>0</v>
      </c>
      <c r="E90" s="209">
        <f>SUMIFS('IGU(2020)_Liquefaction_plant'!$E:$E,'IGU(2020)_Liquefaction_plant'!$H:$H,$A90,'IGU(2020)_Liquefaction_plant'!$D:$D,"&lt;="&amp;E$74)*10^6*Legend!$B$92*Legend!$B$82*Legend!$B$84*10^-3</f>
        <v>0</v>
      </c>
      <c r="F90" s="209">
        <f>SUMIFS('IGU(2020)_Liquefaction_plant'!$E:$E,'IGU(2020)_Liquefaction_plant'!$H:$H,$A90,'IGU(2020)_Liquefaction_plant'!$D:$D,"&lt;="&amp;F$74)*10^6*Legend!$B$92*Legend!$B$82*Legend!$B$84*10^-3</f>
        <v>0</v>
      </c>
      <c r="G90" s="209">
        <f>SUMIFS('IGU(2020)_Liquefaction_plant'!$E:$E,'IGU(2020)_Liquefaction_plant'!$H:$H,$A90,'IGU(2020)_Liquefaction_plant'!$D:$D,"&lt;="&amp;G$74)*10^6*Legend!$B$92*Legend!$B$82*Legend!$B$84*10^-3</f>
        <v>0</v>
      </c>
      <c r="H90" s="209">
        <f>SUMIFS('IGU(2020)_Liquefaction_plant'!$E:$E,'IGU(2020)_Liquefaction_plant'!$H:$H,$A90,'IGU(2020)_Liquefaction_plant'!$D:$D,"&lt;="&amp;H$74)*10^6*Legend!$B$92*Legend!$B$82*Legend!$B$84*10^-3</f>
        <v>0</v>
      </c>
      <c r="I90" s="220">
        <f>SUMIFS('IGU(2020)_Liquefaction_plant'!$E:$E,'IGU(2020)_Liquefaction_plant'!$H:$H,$A90,'IGU(2020)_Liquefaction_plant'!$D:$D,"&lt;="&amp;I$74)*10^6*Legend!$B$92*Legend!$B$82*Legend!$B$84*10^-3</f>
        <v>0</v>
      </c>
      <c r="J90" s="174"/>
      <c r="K90" s="174"/>
    </row>
    <row r="91" spans="1:11">
      <c r="A91" s="215" t="s">
        <v>217</v>
      </c>
      <c r="B91" s="209">
        <f>SUMIFS('IGU(2020)_Liquefaction_plant'!$E:$E,'IGU(2020)_Liquefaction_plant'!$H:$H,$A91,'IGU(2020)_Liquefaction_plant'!$D:$D,"&lt;="&amp;B$74)*10^6*Legend!$B$92*Legend!$B$82*Legend!$B$84*10^-3</f>
        <v>0</v>
      </c>
      <c r="C91" s="209">
        <f>SUMIFS('IGU(2020)_Liquefaction_plant'!$E:$E,'IGU(2020)_Liquefaction_plant'!$H:$H,$A91,'IGU(2020)_Liquefaction_plant'!$D:$D,"&lt;="&amp;C$74)*10^6*Legend!$B$92*Legend!$B$82*Legend!$B$84*10^-3</f>
        <v>0</v>
      </c>
      <c r="D91" s="209">
        <f>SUMIFS('IGU(2020)_Liquefaction_plant'!$E:$E,'IGU(2020)_Liquefaction_plant'!$H:$H,$A91,'IGU(2020)_Liquefaction_plant'!$D:$D,"&lt;="&amp;D$74)*10^6*Legend!$B$92*Legend!$B$82*Legend!$B$84*10^-3</f>
        <v>0</v>
      </c>
      <c r="E91" s="209">
        <f>SUMIFS('IGU(2020)_Liquefaction_plant'!$E:$E,'IGU(2020)_Liquefaction_plant'!$H:$H,$A91,'IGU(2020)_Liquefaction_plant'!$D:$D,"&lt;="&amp;E$74)*10^6*Legend!$B$92*Legend!$B$82*Legend!$B$84*10^-3</f>
        <v>0</v>
      </c>
      <c r="F91" s="209">
        <f>SUMIFS('IGU(2020)_Liquefaction_plant'!$E:$E,'IGU(2020)_Liquefaction_plant'!$H:$H,$A91,'IGU(2020)_Liquefaction_plant'!$D:$D,"&lt;="&amp;F$74)*10^6*Legend!$B$92*Legend!$B$82*Legend!$B$84*10^-3</f>
        <v>0</v>
      </c>
      <c r="G91" s="209">
        <f>SUMIFS('IGU(2020)_Liquefaction_plant'!$E:$E,'IGU(2020)_Liquefaction_plant'!$H:$H,$A91,'IGU(2020)_Liquefaction_plant'!$D:$D,"&lt;="&amp;G$74)*10^6*Legend!$B$92*Legend!$B$82*Legend!$B$84*10^-3</f>
        <v>0</v>
      </c>
      <c r="H91" s="209">
        <f>SUMIFS('IGU(2020)_Liquefaction_plant'!$E:$E,'IGU(2020)_Liquefaction_plant'!$H:$H,$A91,'IGU(2020)_Liquefaction_plant'!$D:$D,"&lt;="&amp;H$74)*10^6*Legend!$B$92*Legend!$B$82*Legend!$B$84*10^-3</f>
        <v>0</v>
      </c>
      <c r="I91" s="220">
        <f>SUMIFS('IGU(2020)_Liquefaction_plant'!$E:$E,'IGU(2020)_Liquefaction_plant'!$H:$H,$A91,'IGU(2020)_Liquefaction_plant'!$D:$D,"&lt;="&amp;I$74)*10^6*Legend!$B$92*Legend!$B$82*Legend!$B$84*10^-3</f>
        <v>0</v>
      </c>
      <c r="J91" s="174"/>
      <c r="K91" s="174"/>
    </row>
    <row r="92" spans="1:11">
      <c r="A92" s="215" t="s">
        <v>220</v>
      </c>
      <c r="B92" s="209">
        <f>SUMIFS('IGU(2020)_Liquefaction_plant'!$E:$E,'IGU(2020)_Liquefaction_plant'!$H:$H,$A92,'IGU(2020)_Liquefaction_plant'!$D:$D,"&lt;="&amp;B$74)*10^6*Legend!$B$92*Legend!$B$82*Legend!$B$84*10^-3</f>
        <v>1495114.3183499996</v>
      </c>
      <c r="C92" s="209">
        <f>SUMIFS('IGU(2020)_Liquefaction_plant'!$E:$E,'IGU(2020)_Liquefaction_plant'!$H:$H,$A92,'IGU(2020)_Liquefaction_plant'!$D:$D,"&lt;="&amp;C$74)*10^6*Legend!$B$92*Legend!$B$82*Legend!$B$84*10^-3</f>
        <v>1523270.8968499997</v>
      </c>
      <c r="D92" s="209">
        <f>SUMIFS('IGU(2020)_Liquefaction_plant'!$E:$E,'IGU(2020)_Liquefaction_plant'!$H:$H,$A92,'IGU(2020)_Liquefaction_plant'!$D:$D,"&lt;="&amp;D$74)*10^6*Legend!$B$92*Legend!$B$82*Legend!$B$84*10^-3</f>
        <v>1737260.8934499999</v>
      </c>
      <c r="E92" s="209">
        <f>SUMIFS('IGU(2020)_Liquefaction_plant'!$E:$E,'IGU(2020)_Liquefaction_plant'!$H:$H,$A92,'IGU(2020)_Liquefaction_plant'!$D:$D,"&lt;="&amp;E$74)*10^6*Legend!$B$92*Legend!$B$82*Legend!$B$84*10^-3</f>
        <v>1737260.8934499999</v>
      </c>
      <c r="F92" s="209">
        <f>SUMIFS('IGU(2020)_Liquefaction_plant'!$E:$E,'IGU(2020)_Liquefaction_plant'!$H:$H,$A92,'IGU(2020)_Liquefaction_plant'!$D:$D,"&lt;="&amp;F$74)*10^6*Legend!$B$92*Legend!$B$82*Legend!$B$84*10^-3</f>
        <v>1737260.8934499999</v>
      </c>
      <c r="G92" s="209">
        <f>SUMIFS('IGU(2020)_Liquefaction_plant'!$E:$E,'IGU(2020)_Liquefaction_plant'!$H:$H,$A92,'IGU(2020)_Liquefaction_plant'!$D:$D,"&lt;="&amp;G$74)*10^6*Legend!$B$92*Legend!$B$82*Legend!$B$84*10^-3</f>
        <v>1737260.8934499999</v>
      </c>
      <c r="H92" s="209">
        <f>SUMIFS('IGU(2020)_Liquefaction_plant'!$E:$E,'IGU(2020)_Liquefaction_plant'!$H:$H,$A92,'IGU(2020)_Liquefaction_plant'!$D:$D,"&lt;="&amp;H$74)*10^6*Legend!$B$92*Legend!$B$82*Legend!$B$84*10^-3</f>
        <v>1737260.8934499999</v>
      </c>
      <c r="I92" s="220">
        <f>SUMIFS('IGU(2020)_Liquefaction_plant'!$E:$E,'IGU(2020)_Liquefaction_plant'!$H:$H,$A92,'IGU(2020)_Liquefaction_plant'!$D:$D,"&lt;="&amp;I$74)*10^6*Legend!$B$92*Legend!$B$82*Legend!$B$84*10^-3</f>
        <v>1737260.8934499999</v>
      </c>
      <c r="J92" s="174"/>
      <c r="K92" s="174"/>
    </row>
    <row r="93" spans="1:11">
      <c r="A93" s="215" t="s">
        <v>223</v>
      </c>
      <c r="B93" s="209">
        <f>SUMIFS('IGU(2020)_Liquefaction_plant'!$E:$E,'IGU(2020)_Liquefaction_plant'!$H:$H,$A93,'IGU(2020)_Liquefaction_plant'!$D:$D,"&lt;="&amp;B$74)*10^6*Legend!$B$92*Legend!$B$82*Legend!$B$84*10^-3</f>
        <v>0</v>
      </c>
      <c r="C93" s="209">
        <f>SUMIFS('IGU(2020)_Liquefaction_plant'!$E:$E,'IGU(2020)_Liquefaction_plant'!$H:$H,$A93,'IGU(2020)_Liquefaction_plant'!$D:$D,"&lt;="&amp;C$74)*10^6*Legend!$B$92*Legend!$B$82*Legend!$B$84*10^-3</f>
        <v>0</v>
      </c>
      <c r="D93" s="209">
        <f>SUMIFS('IGU(2020)_Liquefaction_plant'!$E:$E,'IGU(2020)_Liquefaction_plant'!$H:$H,$A93,'IGU(2020)_Liquefaction_plant'!$D:$D,"&lt;="&amp;D$74)*10^6*Legend!$B$92*Legend!$B$82*Legend!$B$84*10^-3</f>
        <v>0</v>
      </c>
      <c r="E93" s="209">
        <f>SUMIFS('IGU(2020)_Liquefaction_plant'!$E:$E,'IGU(2020)_Liquefaction_plant'!$H:$H,$A93,'IGU(2020)_Liquefaction_plant'!$D:$D,"&lt;="&amp;E$74)*10^6*Legend!$B$92*Legend!$B$82*Legend!$B$84*10^-3</f>
        <v>0</v>
      </c>
      <c r="F93" s="209">
        <f>SUMIFS('IGU(2020)_Liquefaction_plant'!$E:$E,'IGU(2020)_Liquefaction_plant'!$H:$H,$A93,'IGU(2020)_Liquefaction_plant'!$D:$D,"&lt;="&amp;F$74)*10^6*Legend!$B$92*Legend!$B$82*Legend!$B$84*10^-3</f>
        <v>0</v>
      </c>
      <c r="G93" s="209">
        <f>SUMIFS('IGU(2020)_Liquefaction_plant'!$E:$E,'IGU(2020)_Liquefaction_plant'!$H:$H,$A93,'IGU(2020)_Liquefaction_plant'!$D:$D,"&lt;="&amp;G$74)*10^6*Legend!$B$92*Legend!$B$82*Legend!$B$84*10^-3</f>
        <v>0</v>
      </c>
      <c r="H93" s="209">
        <f>SUMIFS('IGU(2020)_Liquefaction_plant'!$E:$E,'IGU(2020)_Liquefaction_plant'!$H:$H,$A93,'IGU(2020)_Liquefaction_plant'!$D:$D,"&lt;="&amp;H$74)*10^6*Legend!$B$92*Legend!$B$82*Legend!$B$84*10^-3</f>
        <v>0</v>
      </c>
      <c r="I93" s="220">
        <f>SUMIFS('IGU(2020)_Liquefaction_plant'!$E:$E,'IGU(2020)_Liquefaction_plant'!$H:$H,$A93,'IGU(2020)_Liquefaction_plant'!$D:$D,"&lt;="&amp;I$74)*10^6*Legend!$B$92*Legend!$B$82*Legend!$B$84*10^-3</f>
        <v>0</v>
      </c>
      <c r="J93" s="174"/>
      <c r="K93" s="174"/>
    </row>
    <row r="94" spans="1:11">
      <c r="A94" s="215" t="s">
        <v>225</v>
      </c>
      <c r="B94" s="209">
        <f>SUMIFS('IGU(2020)_Liquefaction_plant'!$E:$E,'IGU(2020)_Liquefaction_plant'!$H:$H,$A94,'IGU(2020)_Liquefaction_plant'!$D:$D,"&lt;="&amp;B$74)*10^6*Legend!$B$92*Legend!$B$82*Legend!$B$84*10^-3</f>
        <v>0</v>
      </c>
      <c r="C94" s="209">
        <f>SUMIFS('IGU(2020)_Liquefaction_plant'!$E:$E,'IGU(2020)_Liquefaction_plant'!$H:$H,$A94,'IGU(2020)_Liquefaction_plant'!$D:$D,"&lt;="&amp;C$74)*10^6*Legend!$B$92*Legend!$B$82*Legend!$B$84*10^-3</f>
        <v>0</v>
      </c>
      <c r="D94" s="209">
        <f>SUMIFS('IGU(2020)_Liquefaction_plant'!$E:$E,'IGU(2020)_Liquefaction_plant'!$H:$H,$A94,'IGU(2020)_Liquefaction_plant'!$D:$D,"&lt;="&amp;D$74)*10^6*Legend!$B$92*Legend!$B$82*Legend!$B$84*10^-3</f>
        <v>0</v>
      </c>
      <c r="E94" s="209">
        <f>SUMIFS('IGU(2020)_Liquefaction_plant'!$E:$E,'IGU(2020)_Liquefaction_plant'!$H:$H,$A94,'IGU(2020)_Liquefaction_plant'!$D:$D,"&lt;="&amp;E$74)*10^6*Legend!$B$92*Legend!$B$82*Legend!$B$84*10^-3</f>
        <v>0</v>
      </c>
      <c r="F94" s="209">
        <f>SUMIFS('IGU(2020)_Liquefaction_plant'!$E:$E,'IGU(2020)_Liquefaction_plant'!$H:$H,$A94,'IGU(2020)_Liquefaction_plant'!$D:$D,"&lt;="&amp;F$74)*10^6*Legend!$B$92*Legend!$B$82*Legend!$B$84*10^-3</f>
        <v>0</v>
      </c>
      <c r="G94" s="209">
        <f>SUMIFS('IGU(2020)_Liquefaction_plant'!$E:$E,'IGU(2020)_Liquefaction_plant'!$H:$H,$A94,'IGU(2020)_Liquefaction_plant'!$D:$D,"&lt;="&amp;G$74)*10^6*Legend!$B$92*Legend!$B$82*Legend!$B$84*10^-3</f>
        <v>0</v>
      </c>
      <c r="H94" s="209">
        <f>SUMIFS('IGU(2020)_Liquefaction_plant'!$E:$E,'IGU(2020)_Liquefaction_plant'!$H:$H,$A94,'IGU(2020)_Liquefaction_plant'!$D:$D,"&lt;="&amp;H$74)*10^6*Legend!$B$92*Legend!$B$82*Legend!$B$84*10^-3</f>
        <v>0</v>
      </c>
      <c r="I94" s="220">
        <f>SUMIFS('IGU(2020)_Liquefaction_plant'!$E:$E,'IGU(2020)_Liquefaction_plant'!$H:$H,$A94,'IGU(2020)_Liquefaction_plant'!$D:$D,"&lt;="&amp;I$74)*10^6*Legend!$B$92*Legend!$B$82*Legend!$B$84*10^-3</f>
        <v>0</v>
      </c>
      <c r="J94" s="174"/>
      <c r="K94" s="174"/>
    </row>
    <row r="95" spans="1:11">
      <c r="A95" s="215" t="s">
        <v>227</v>
      </c>
      <c r="B95" s="209">
        <f>SUMIFS('IGU(2020)_Liquefaction_plant'!$E:$E,'IGU(2020)_Liquefaction_plant'!$H:$H,$A95,'IGU(2020)_Liquefaction_plant'!$D:$D,"&lt;="&amp;B$74)*10^6*Legend!$B$92*Legend!$B$82*Legend!$B$84*10^-3</f>
        <v>1112184.85075</v>
      </c>
      <c r="C95" s="209">
        <f>SUMIFS('IGU(2020)_Liquefaction_plant'!$E:$E,'IGU(2020)_Liquefaction_plant'!$H:$H,$A95,'IGU(2020)_Liquefaction_plant'!$D:$D,"&lt;="&amp;C$74)*10^6*Legend!$B$92*Legend!$B$82*Legend!$B$84*10^-3</f>
        <v>1112184.85075</v>
      </c>
      <c r="D95" s="209">
        <f>SUMIFS('IGU(2020)_Liquefaction_plant'!$E:$E,'IGU(2020)_Liquefaction_plant'!$H:$H,$A95,'IGU(2020)_Liquefaction_plant'!$D:$D,"&lt;="&amp;D$74)*10^6*Legend!$B$92*Legend!$B$82*Legend!$B$84*10^-3</f>
        <v>1112184.85075</v>
      </c>
      <c r="E95" s="209">
        <f>SUMIFS('IGU(2020)_Liquefaction_plant'!$E:$E,'IGU(2020)_Liquefaction_plant'!$H:$H,$A95,'IGU(2020)_Liquefaction_plant'!$D:$D,"&lt;="&amp;E$74)*10^6*Legend!$B$92*Legend!$B$82*Legend!$B$84*10^-3</f>
        <v>1112184.85075</v>
      </c>
      <c r="F95" s="209">
        <f>SUMIFS('IGU(2020)_Liquefaction_plant'!$E:$E,'IGU(2020)_Liquefaction_plant'!$H:$H,$A95,'IGU(2020)_Liquefaction_plant'!$D:$D,"&lt;="&amp;F$74)*10^6*Legend!$B$92*Legend!$B$82*Legend!$B$84*10^-3</f>
        <v>1112184.85075</v>
      </c>
      <c r="G95" s="209">
        <f>SUMIFS('IGU(2020)_Liquefaction_plant'!$E:$E,'IGU(2020)_Liquefaction_plant'!$H:$H,$A95,'IGU(2020)_Liquefaction_plant'!$D:$D,"&lt;="&amp;G$74)*10^6*Legend!$B$92*Legend!$B$82*Legend!$B$84*10^-3</f>
        <v>1112184.85075</v>
      </c>
      <c r="H95" s="209">
        <f>SUMIFS('IGU(2020)_Liquefaction_plant'!$E:$E,'IGU(2020)_Liquefaction_plant'!$H:$H,$A95,'IGU(2020)_Liquefaction_plant'!$D:$D,"&lt;="&amp;H$74)*10^6*Legend!$B$92*Legend!$B$82*Legend!$B$84*10^-3</f>
        <v>1112184.85075</v>
      </c>
      <c r="I95" s="220">
        <f>SUMIFS('IGU(2020)_Liquefaction_plant'!$E:$E,'IGU(2020)_Liquefaction_plant'!$H:$H,$A95,'IGU(2020)_Liquefaction_plant'!$D:$D,"&lt;="&amp;I$74)*10^6*Legend!$B$92*Legend!$B$82*Legend!$B$84*10^-3</f>
        <v>1112184.85075</v>
      </c>
      <c r="J95" s="174"/>
      <c r="K95" s="174"/>
    </row>
    <row r="96" spans="1:11">
      <c r="A96" s="215" t="s">
        <v>230</v>
      </c>
      <c r="B96" s="209">
        <f>SUMIFS('IGU(2020)_Liquefaction_plant'!$E:$E,'IGU(2020)_Liquefaction_plant'!$H:$H,$A96,'IGU(2020)_Liquefaction_plant'!$D:$D,"&lt;="&amp;B$74)*10^6*Legend!$B$92*Legend!$B$82*Legend!$B$84*10^-3</f>
        <v>0</v>
      </c>
      <c r="C96" s="209">
        <f>SUMIFS('IGU(2020)_Liquefaction_plant'!$E:$E,'IGU(2020)_Liquefaction_plant'!$H:$H,$A96,'IGU(2020)_Liquefaction_plant'!$D:$D,"&lt;="&amp;C$74)*10^6*Legend!$B$92*Legend!$B$82*Legend!$B$84*10^-3</f>
        <v>0</v>
      </c>
      <c r="D96" s="209">
        <f>SUMIFS('IGU(2020)_Liquefaction_plant'!$E:$E,'IGU(2020)_Liquefaction_plant'!$H:$H,$A96,'IGU(2020)_Liquefaction_plant'!$D:$D,"&lt;="&amp;D$74)*10^6*Legend!$B$92*Legend!$B$82*Legend!$B$84*10^-3</f>
        <v>0</v>
      </c>
      <c r="E96" s="209">
        <f>SUMIFS('IGU(2020)_Liquefaction_plant'!$E:$E,'IGU(2020)_Liquefaction_plant'!$H:$H,$A96,'IGU(2020)_Liquefaction_plant'!$D:$D,"&lt;="&amp;E$74)*10^6*Legend!$B$92*Legend!$B$82*Legend!$B$84*10^-3</f>
        <v>0</v>
      </c>
      <c r="F96" s="209">
        <f>SUMIFS('IGU(2020)_Liquefaction_plant'!$E:$E,'IGU(2020)_Liquefaction_plant'!$H:$H,$A96,'IGU(2020)_Liquefaction_plant'!$D:$D,"&lt;="&amp;F$74)*10^6*Legend!$B$92*Legend!$B$82*Legend!$B$84*10^-3</f>
        <v>0</v>
      </c>
      <c r="G96" s="209">
        <f>SUMIFS('IGU(2020)_Liquefaction_plant'!$E:$E,'IGU(2020)_Liquefaction_plant'!$H:$H,$A96,'IGU(2020)_Liquefaction_plant'!$D:$D,"&lt;="&amp;G$74)*10^6*Legend!$B$92*Legend!$B$82*Legend!$B$84*10^-3</f>
        <v>0</v>
      </c>
      <c r="H96" s="209">
        <f>SUMIFS('IGU(2020)_Liquefaction_plant'!$E:$E,'IGU(2020)_Liquefaction_plant'!$H:$H,$A96,'IGU(2020)_Liquefaction_plant'!$D:$D,"&lt;="&amp;H$74)*10^6*Legend!$B$92*Legend!$B$82*Legend!$B$84*10^-3</f>
        <v>0</v>
      </c>
      <c r="I96" s="220">
        <f>SUMIFS('IGU(2020)_Liquefaction_plant'!$E:$E,'IGU(2020)_Liquefaction_plant'!$H:$H,$A96,'IGU(2020)_Liquefaction_plant'!$D:$D,"&lt;="&amp;I$74)*10^6*Legend!$B$92*Legend!$B$82*Legend!$B$84*10^-3</f>
        <v>0</v>
      </c>
      <c r="J96" s="174"/>
      <c r="K96" s="174"/>
    </row>
    <row r="97" spans="1:11">
      <c r="A97" s="215" t="s">
        <v>233</v>
      </c>
      <c r="B97" s="209">
        <f>SUMIFS('IGU(2020)_Liquefaction_plant'!$E:$E,'IGU(2020)_Liquefaction_plant'!$H:$H,$A97,'IGU(2020)_Liquefaction_plant'!$D:$D,"&lt;="&amp;B$74)*10^6*Legend!$B$92*Legend!$B$82*Legend!$B$84*10^-3</f>
        <v>5631315.6999999993</v>
      </c>
      <c r="C97" s="209">
        <f>SUMIFS('IGU(2020)_Liquefaction_plant'!$E:$E,'IGU(2020)_Liquefaction_plant'!$H:$H,$A97,'IGU(2020)_Liquefaction_plant'!$D:$D,"&lt;="&amp;C$74)*10^6*Legend!$B$92*Legend!$B$82*Legend!$B$84*10^-3</f>
        <v>5631315.6999999993</v>
      </c>
      <c r="D97" s="209">
        <f>SUMIFS('IGU(2020)_Liquefaction_plant'!$E:$E,'IGU(2020)_Liquefaction_plant'!$H:$H,$A97,'IGU(2020)_Liquefaction_plant'!$D:$D,"&lt;="&amp;D$74)*10^6*Legend!$B$92*Legend!$B$82*Legend!$B$84*10^-3</f>
        <v>5631315.6999999993</v>
      </c>
      <c r="E97" s="209">
        <f>SUMIFS('IGU(2020)_Liquefaction_plant'!$E:$E,'IGU(2020)_Liquefaction_plant'!$H:$H,$A97,'IGU(2020)_Liquefaction_plant'!$D:$D,"&lt;="&amp;E$74)*10^6*Legend!$B$92*Legend!$B$82*Legend!$B$84*10^-3</f>
        <v>5631315.6999999993</v>
      </c>
      <c r="F97" s="209">
        <f>SUMIFS('IGU(2020)_Liquefaction_plant'!$E:$E,'IGU(2020)_Liquefaction_plant'!$H:$H,$A97,'IGU(2020)_Liquefaction_plant'!$D:$D,"&lt;="&amp;F$74)*10^6*Legend!$B$92*Legend!$B$82*Legend!$B$84*10^-3</f>
        <v>5631315.6999999993</v>
      </c>
      <c r="G97" s="209">
        <f>SUMIFS('IGU(2020)_Liquefaction_plant'!$E:$E,'IGU(2020)_Liquefaction_plant'!$H:$H,$A97,'IGU(2020)_Liquefaction_plant'!$D:$D,"&lt;="&amp;G$74)*10^6*Legend!$B$92*Legend!$B$82*Legend!$B$84*10^-3</f>
        <v>5631315.6999999993</v>
      </c>
      <c r="H97" s="209">
        <f>SUMIFS('IGU(2020)_Liquefaction_plant'!$E:$E,'IGU(2020)_Liquefaction_plant'!$H:$H,$A97,'IGU(2020)_Liquefaction_plant'!$D:$D,"&lt;="&amp;H$74)*10^6*Legend!$B$92*Legend!$B$82*Legend!$B$84*10^-3</f>
        <v>5631315.6999999993</v>
      </c>
      <c r="I97" s="220">
        <f>SUMIFS('IGU(2020)_Liquefaction_plant'!$E:$E,'IGU(2020)_Liquefaction_plant'!$H:$H,$A97,'IGU(2020)_Liquefaction_plant'!$D:$D,"&lt;="&amp;I$74)*10^6*Legend!$B$92*Legend!$B$82*Legend!$B$84*10^-3</f>
        <v>5631315.6999999993</v>
      </c>
      <c r="J97" s="174"/>
      <c r="K97" s="174"/>
    </row>
    <row r="98" spans="1:11">
      <c r="A98" s="215" t="s">
        <v>236</v>
      </c>
      <c r="B98" s="209">
        <f>SUMIFS('IGU(2020)_Liquefaction_plant'!$E:$E,'IGU(2020)_Liquefaction_plant'!$H:$H,$A98,'IGU(2020)_Liquefaction_plant'!$D:$D,"&lt;="&amp;B$74)*10^6*Legend!$B$92*Legend!$B$82*Legend!$B$84*10^-3</f>
        <v>0</v>
      </c>
      <c r="C98" s="209">
        <f>SUMIFS('IGU(2020)_Liquefaction_plant'!$E:$E,'IGU(2020)_Liquefaction_plant'!$H:$H,$A98,'IGU(2020)_Liquefaction_plant'!$D:$D,"&lt;="&amp;C$74)*10^6*Legend!$B$92*Legend!$B$82*Legend!$B$84*10^-3</f>
        <v>0</v>
      </c>
      <c r="D98" s="209">
        <f>SUMIFS('IGU(2020)_Liquefaction_plant'!$E:$E,'IGU(2020)_Liquefaction_plant'!$H:$H,$A98,'IGU(2020)_Liquefaction_plant'!$D:$D,"&lt;="&amp;D$74)*10^6*Legend!$B$92*Legend!$B$82*Legend!$B$84*10^-3</f>
        <v>0</v>
      </c>
      <c r="E98" s="209">
        <f>SUMIFS('IGU(2020)_Liquefaction_plant'!$E:$E,'IGU(2020)_Liquefaction_plant'!$H:$H,$A98,'IGU(2020)_Liquefaction_plant'!$D:$D,"&lt;="&amp;E$74)*10^6*Legend!$B$92*Legend!$B$82*Legend!$B$84*10^-3</f>
        <v>0</v>
      </c>
      <c r="F98" s="209">
        <f>SUMIFS('IGU(2020)_Liquefaction_plant'!$E:$E,'IGU(2020)_Liquefaction_plant'!$H:$H,$A98,'IGU(2020)_Liquefaction_plant'!$D:$D,"&lt;="&amp;F$74)*10^6*Legend!$B$92*Legend!$B$82*Legend!$B$84*10^-3</f>
        <v>0</v>
      </c>
      <c r="G98" s="209">
        <f>SUMIFS('IGU(2020)_Liquefaction_plant'!$E:$E,'IGU(2020)_Liquefaction_plant'!$H:$H,$A98,'IGU(2020)_Liquefaction_plant'!$D:$D,"&lt;="&amp;G$74)*10^6*Legend!$B$92*Legend!$B$82*Legend!$B$84*10^-3</f>
        <v>0</v>
      </c>
      <c r="H98" s="209">
        <f>SUMIFS('IGU(2020)_Liquefaction_plant'!$E:$E,'IGU(2020)_Liquefaction_plant'!$H:$H,$A98,'IGU(2020)_Liquefaction_plant'!$D:$D,"&lt;="&amp;H$74)*10^6*Legend!$B$92*Legend!$B$82*Legend!$B$84*10^-3</f>
        <v>0</v>
      </c>
      <c r="I98" s="220">
        <f>SUMIFS('IGU(2020)_Liquefaction_plant'!$E:$E,'IGU(2020)_Liquefaction_plant'!$H:$H,$A98,'IGU(2020)_Liquefaction_plant'!$D:$D,"&lt;="&amp;I$74)*10^6*Legend!$B$92*Legend!$B$82*Legend!$B$84*10^-3</f>
        <v>0</v>
      </c>
      <c r="J98" s="174"/>
      <c r="K98" s="174"/>
    </row>
    <row r="99" spans="1:11">
      <c r="A99" s="215" t="s">
        <v>238</v>
      </c>
      <c r="B99" s="209">
        <f>SUMIFS('IGU(2020)_Liquefaction_plant'!$E:$E,'IGU(2020)_Liquefaction_plant'!$H:$H,$A99,'IGU(2020)_Liquefaction_plant'!$D:$D,"&lt;="&amp;B$74)*10^6*Legend!$B$92*Legend!$B$82*Legend!$B$84*10^-3</f>
        <v>1250152.0853999995</v>
      </c>
      <c r="C99" s="209">
        <f>SUMIFS('IGU(2020)_Liquefaction_plant'!$E:$E,'IGU(2020)_Liquefaction_plant'!$H:$H,$A99,'IGU(2020)_Liquefaction_plant'!$D:$D,"&lt;="&amp;C$74)*10^6*Legend!$B$92*Legend!$B$82*Legend!$B$84*10^-3</f>
        <v>1250152.0853999995</v>
      </c>
      <c r="D99" s="209">
        <f>SUMIFS('IGU(2020)_Liquefaction_plant'!$E:$E,'IGU(2020)_Liquefaction_plant'!$H:$H,$A99,'IGU(2020)_Liquefaction_plant'!$D:$D,"&lt;="&amp;D$74)*10^6*Legend!$B$92*Legend!$B$82*Legend!$B$84*10^-3</f>
        <v>1250152.0853999995</v>
      </c>
      <c r="E99" s="209">
        <f>SUMIFS('IGU(2020)_Liquefaction_plant'!$E:$E,'IGU(2020)_Liquefaction_plant'!$H:$H,$A99,'IGU(2020)_Liquefaction_plant'!$D:$D,"&lt;="&amp;E$74)*10^6*Legend!$B$92*Legend!$B$82*Legend!$B$84*10^-3</f>
        <v>1250152.0853999995</v>
      </c>
      <c r="F99" s="209">
        <f>SUMIFS('IGU(2020)_Liquefaction_plant'!$E:$E,'IGU(2020)_Liquefaction_plant'!$H:$H,$A99,'IGU(2020)_Liquefaction_plant'!$D:$D,"&lt;="&amp;F$74)*10^6*Legend!$B$92*Legend!$B$82*Legend!$B$84*10^-3</f>
        <v>1250152.0853999995</v>
      </c>
      <c r="G99" s="209">
        <f>SUMIFS('IGU(2020)_Liquefaction_plant'!$E:$E,'IGU(2020)_Liquefaction_plant'!$H:$H,$A99,'IGU(2020)_Liquefaction_plant'!$D:$D,"&lt;="&amp;G$74)*10^6*Legend!$B$92*Legend!$B$82*Legend!$B$84*10^-3</f>
        <v>1700657.3413999993</v>
      </c>
      <c r="H99" s="209">
        <f>SUMIFS('IGU(2020)_Liquefaction_plant'!$E:$E,'IGU(2020)_Liquefaction_plant'!$H:$H,$A99,'IGU(2020)_Liquefaction_plant'!$D:$D,"&lt;="&amp;H$74)*10^6*Legend!$B$92*Legend!$B$82*Legend!$B$84*10^-3</f>
        <v>1700657.3413999993</v>
      </c>
      <c r="I99" s="220">
        <f>SUMIFS('IGU(2020)_Liquefaction_plant'!$E:$E,'IGU(2020)_Liquefaction_plant'!$H:$H,$A99,'IGU(2020)_Liquefaction_plant'!$D:$D,"&lt;="&amp;I$74)*10^6*Legend!$B$92*Legend!$B$82*Legend!$B$84*10^-3</f>
        <v>1700657.3413999993</v>
      </c>
      <c r="J99" s="174"/>
      <c r="K99" s="174"/>
    </row>
    <row r="100" spans="1:11">
      <c r="A100" s="375" t="s">
        <v>240</v>
      </c>
      <c r="B100" s="209">
        <f>SUMIFS('IGU(2020)_Liquefaction_plant'!$E:$E,'IGU(2020)_Liquefaction_plant'!$H:$H,$A100,'IGU(2020)_Liquefaction_plant'!$D:$D,"&lt;="&amp;B$74)*10^6*Legend!$B$92*Legend!$B$82*Legend!$B$84*10^-3</f>
        <v>1506940.0813199996</v>
      </c>
      <c r="C100" s="209">
        <f>SUMIFS('IGU(2020)_Liquefaction_plant'!$E:$E,'IGU(2020)_Liquefaction_plant'!$H:$H,$A100,'IGU(2020)_Liquefaction_plant'!$D:$D,"&lt;="&amp;C$74)*10^6*Legend!$B$92*Legend!$B$82*Legend!$B$84*10^-3</f>
        <v>1642091.6581199996</v>
      </c>
      <c r="D100" s="209">
        <f>SUMIFS('IGU(2020)_Liquefaction_plant'!$E:$E,'IGU(2020)_Liquefaction_plant'!$H:$H,$A100,'IGU(2020)_Liquefaction_plant'!$D:$D,"&lt;="&amp;D$74)*10^6*Legend!$B$92*Legend!$B$82*Legend!$B$84*10^-3</f>
        <v>1642091.6581199996</v>
      </c>
      <c r="E100" s="209">
        <f>SUMIFS('IGU(2020)_Liquefaction_plant'!$E:$E,'IGU(2020)_Liquefaction_plant'!$H:$H,$A100,'IGU(2020)_Liquefaction_plant'!$D:$D,"&lt;="&amp;E$74)*10^6*Legend!$B$92*Legend!$B$82*Legend!$B$84*10^-3</f>
        <v>1642091.6581199996</v>
      </c>
      <c r="F100" s="209">
        <f>SUMIFS('IGU(2020)_Liquefaction_plant'!$E:$E,'IGU(2020)_Liquefaction_plant'!$H:$H,$A100,'IGU(2020)_Liquefaction_plant'!$D:$D,"&lt;="&amp;F$74)*10^6*Legend!$B$92*Legend!$B$82*Legend!$B$84*10^-3</f>
        <v>1642091.6581199996</v>
      </c>
      <c r="G100" s="209">
        <f>SUMIFS('IGU(2020)_Liquefaction_plant'!$E:$E,'IGU(2020)_Liquefaction_plant'!$H:$H,$A100,'IGU(2020)_Liquefaction_plant'!$D:$D,"&lt;="&amp;G$74)*10^6*Legend!$B$92*Legend!$B$82*Legend!$B$84*10^-3</f>
        <v>2013758.4943200001</v>
      </c>
      <c r="H100" s="209">
        <f>SUMIFS('IGU(2020)_Liquefaction_plant'!$E:$E,'IGU(2020)_Liquefaction_plant'!$H:$H,$A100,'IGU(2020)_Liquefaction_plant'!$D:$D,"&lt;="&amp;H$74)*10^6*Legend!$B$92*Legend!$B$82*Legend!$B$84*10^-3</f>
        <v>2757092.1667199987</v>
      </c>
      <c r="I100" s="220">
        <f>SUMIFS('IGU(2020)_Liquefaction_plant'!$E:$E,'IGU(2020)_Liquefaction_plant'!$H:$H,$A100,'IGU(2020)_Liquefaction_plant'!$D:$D,"&lt;="&amp;I$74)*10^6*Legend!$B$92*Legend!$B$82*Legend!$B$84*10^-3</f>
        <v>2757092.1667199987</v>
      </c>
      <c r="J100" s="174"/>
      <c r="K100" s="174"/>
    </row>
    <row r="101" spans="1:11">
      <c r="A101" s="215" t="s">
        <v>243</v>
      </c>
      <c r="B101" s="209">
        <f>SUMIFS('IGU(2020)_Liquefaction_plant'!$E:$E,'IGU(2020)_Liquefaction_plant'!$H:$H,$A101,'IGU(2020)_Liquefaction_plant'!$D:$D,"&lt;="&amp;B$74)*10^6*Legend!$B$92*Legend!$B$82*Legend!$B$84*10^-3</f>
        <v>0</v>
      </c>
      <c r="C101" s="209">
        <f>SUMIFS('IGU(2020)_Liquefaction_plant'!$E:$E,'IGU(2020)_Liquefaction_plant'!$H:$H,$A101,'IGU(2020)_Liquefaction_plant'!$D:$D,"&lt;="&amp;C$74)*10^6*Legend!$B$92*Legend!$B$82*Legend!$B$84*10^-3</f>
        <v>0</v>
      </c>
      <c r="D101" s="209">
        <f>SUMIFS('IGU(2020)_Liquefaction_plant'!$E:$E,'IGU(2020)_Liquefaction_plant'!$H:$H,$A101,'IGU(2020)_Liquefaction_plant'!$D:$D,"&lt;="&amp;D$74)*10^6*Legend!$B$92*Legend!$B$82*Legend!$B$84*10^-3</f>
        <v>0</v>
      </c>
      <c r="E101" s="209">
        <f>SUMIFS('IGU(2020)_Liquefaction_plant'!$E:$E,'IGU(2020)_Liquefaction_plant'!$H:$H,$A101,'IGU(2020)_Liquefaction_plant'!$D:$D,"&lt;="&amp;E$74)*10^6*Legend!$B$92*Legend!$B$82*Legend!$B$84*10^-3</f>
        <v>0</v>
      </c>
      <c r="F101" s="209">
        <f>SUMIFS('IGU(2020)_Liquefaction_plant'!$E:$E,'IGU(2020)_Liquefaction_plant'!$H:$H,$A101,'IGU(2020)_Liquefaction_plant'!$D:$D,"&lt;="&amp;F$74)*10^6*Legend!$B$92*Legend!$B$82*Legend!$B$84*10^-3</f>
        <v>0</v>
      </c>
      <c r="G101" s="209">
        <f>SUMIFS('IGU(2020)_Liquefaction_plant'!$E:$E,'IGU(2020)_Liquefaction_plant'!$H:$H,$A101,'IGU(2020)_Liquefaction_plant'!$D:$D,"&lt;="&amp;G$74)*10^6*Legend!$B$92*Legend!$B$82*Legend!$B$84*10^-3</f>
        <v>0</v>
      </c>
      <c r="H101" s="209">
        <f>SUMIFS('IGU(2020)_Liquefaction_plant'!$E:$E,'IGU(2020)_Liquefaction_plant'!$H:$H,$A101,'IGU(2020)_Liquefaction_plant'!$D:$D,"&lt;="&amp;H$74)*10^6*Legend!$B$92*Legend!$B$82*Legend!$B$84*10^-3</f>
        <v>0</v>
      </c>
      <c r="I101" s="220">
        <f>SUMIFS('IGU(2020)_Liquefaction_plant'!$E:$E,'IGU(2020)_Liquefaction_plant'!$H:$H,$A101,'IGU(2020)_Liquefaction_plant'!$D:$D,"&lt;="&amp;I$74)*10^6*Legend!$B$92*Legend!$B$82*Legend!$B$84*10^-3</f>
        <v>0</v>
      </c>
      <c r="J101" s="174"/>
      <c r="K101" s="174"/>
    </row>
    <row r="102" spans="1:11">
      <c r="A102" s="229" t="s">
        <v>245</v>
      </c>
      <c r="B102" s="226">
        <f>SUMIFS('IGU(2020)_Liquefaction_plant'!$E:$E,'IGU(2020)_Liquefaction_plant'!$H:$H,$A102,'IGU(2020)_Liquefaction_plant'!$D:$D,"&lt;="&amp;B$74)*10^6*Legend!$B$92*Legend!$B$82*Legend!$B$84*10^-3</f>
        <v>2624193.1162</v>
      </c>
      <c r="C102" s="226">
        <f>SUMIFS('IGU(2020)_Liquefaction_plant'!$E:$E,'IGU(2020)_Liquefaction_plant'!$H:$H,$A102,'IGU(2020)_Liquefaction_plant'!$D:$D,"&lt;="&amp;C$74)*10^6*Legend!$B$92*Legend!$B$82*Legend!$B$84*10^-3</f>
        <v>3747640.5983500001</v>
      </c>
      <c r="D102" s="226">
        <f>SUMIFS('IGU(2020)_Liquefaction_plant'!$E:$E,'IGU(2020)_Liquefaction_plant'!$H:$H,$A102,'IGU(2020)_Liquefaction_plant'!$D:$D,"&lt;="&amp;D$74)*10^6*Legend!$B$92*Legend!$B$82*Legend!$B$84*10^-3</f>
        <v>4001049.80485</v>
      </c>
      <c r="E102" s="226">
        <f>SUMIFS('IGU(2020)_Liquefaction_plant'!$E:$E,'IGU(2020)_Liquefaction_plant'!$H:$H,$A102,'IGU(2020)_Liquefaction_plant'!$D:$D,"&lt;="&amp;E$74)*10^6*Legend!$B$92*Legend!$B$82*Legend!$B$84*10^-3</f>
        <v>4001049.80485</v>
      </c>
      <c r="F102" s="226">
        <f>SUMIFS('IGU(2020)_Liquefaction_plant'!$E:$E,'IGU(2020)_Liquefaction_plant'!$H:$H,$A102,'IGU(2020)_Liquefaction_plant'!$D:$D,"&lt;="&amp;F$74)*10^6*Legend!$B$92*Legend!$B$82*Legend!$B$84*10^-3</f>
        <v>4817590.5813499996</v>
      </c>
      <c r="G102" s="226">
        <f>SUMIFS('IGU(2020)_Liquefaction_plant'!$E:$E,'IGU(2020)_Liquefaction_plant'!$H:$H,$A102,'IGU(2020)_Liquefaction_plant'!$D:$D,"&lt;="&amp;G$74)*10^6*Legend!$B$92*Legend!$B$82*Legend!$B$84*10^-3</f>
        <v>5696075.8305499973</v>
      </c>
      <c r="H102" s="226">
        <f>SUMIFS('IGU(2020)_Liquefaction_plant'!$E:$E,'IGU(2020)_Liquefaction_plant'!$H:$H,$A102,'IGU(2020)_Liquefaction_plant'!$D:$D,"&lt;="&amp;H$74)*10^6*Legend!$B$92*Legend!$B$82*Legend!$B$84*10^-3</f>
        <v>5696075.8305499973</v>
      </c>
      <c r="I102" s="224">
        <f>SUMIFS('IGU(2020)_Liquefaction_plant'!$E:$E,'IGU(2020)_Liquefaction_plant'!$H:$H,$A102,'IGU(2020)_Liquefaction_plant'!$D:$D,"&lt;="&amp;I$74)*10^6*Legend!$B$92*Legend!$B$82*Legend!$B$84*10^-3</f>
        <v>5696075.8305499973</v>
      </c>
      <c r="J102" s="174"/>
      <c r="K102" s="174"/>
    </row>
    <row r="104" spans="1:11">
      <c r="A104" s="345" t="s">
        <v>883</v>
      </c>
    </row>
    <row r="106" spans="1:11">
      <c r="A106" s="175" t="s">
        <v>880</v>
      </c>
    </row>
    <row r="108" spans="1:11">
      <c r="A108" s="351" t="s">
        <v>387</v>
      </c>
      <c r="B108" s="228">
        <v>2019</v>
      </c>
    </row>
    <row r="109" spans="1:11">
      <c r="A109" s="215" t="s">
        <v>172</v>
      </c>
      <c r="B109" s="220" cm="1">
        <f t="array" ref="B109">SUMPRODUCT($B$7:$AC$34*($A$7:$A$34=$A109))</f>
        <v>0</v>
      </c>
      <c r="C109" s="209"/>
      <c r="D109" s="209"/>
      <c r="E109" s="209"/>
      <c r="F109" s="209"/>
      <c r="G109" s="209"/>
      <c r="H109" s="209"/>
      <c r="I109" s="209"/>
      <c r="J109" s="174"/>
      <c r="K109" s="174"/>
    </row>
    <row r="110" spans="1:11">
      <c r="A110" s="215" t="s">
        <v>175</v>
      </c>
      <c r="B110" s="220" cm="1">
        <f t="array" ref="B110">SUMPRODUCT($B$7:$AC$34*($A$7:$A$34=$A110))</f>
        <v>889747.8805999998</v>
      </c>
      <c r="C110" s="209"/>
      <c r="D110" s="209"/>
      <c r="E110" s="209"/>
      <c r="F110" s="209"/>
      <c r="G110" s="209"/>
      <c r="H110" s="209"/>
      <c r="I110" s="209"/>
      <c r="J110" s="174"/>
      <c r="K110" s="174"/>
    </row>
    <row r="111" spans="1:11">
      <c r="A111" s="215" t="s">
        <v>178</v>
      </c>
      <c r="B111" s="220" cm="1">
        <f t="array" ref="B111">SUMPRODUCT($B$7:$AC$34*($A$7:$A$34=$A111))</f>
        <v>230883.94369999997</v>
      </c>
      <c r="C111" s="209"/>
      <c r="D111" s="209"/>
      <c r="E111" s="209"/>
      <c r="F111" s="209"/>
      <c r="G111" s="209"/>
      <c r="H111" s="209"/>
      <c r="I111" s="209"/>
      <c r="J111" s="174"/>
      <c r="K111" s="174"/>
    </row>
    <row r="112" spans="1:11">
      <c r="A112" s="215" t="s">
        <v>181</v>
      </c>
      <c r="B112" s="220" cm="1">
        <f t="array" ref="B112">SUMPRODUCT($B$7:$AC$34*($A$7:$A$34=$A112))</f>
        <v>259040.52219999998</v>
      </c>
      <c r="C112" s="209"/>
      <c r="D112" s="209"/>
      <c r="E112" s="209"/>
      <c r="F112" s="209"/>
      <c r="G112" s="209"/>
      <c r="H112" s="209"/>
      <c r="I112" s="209"/>
      <c r="J112" s="174"/>
      <c r="K112" s="174"/>
    </row>
    <row r="113" spans="1:11">
      <c r="A113" s="215" t="s">
        <v>184</v>
      </c>
      <c r="B113" s="220" cm="1">
        <f t="array" ref="B113">SUMPRODUCT($B$7:$AC$34*($A$7:$A$34=$A113))+D113</f>
        <v>4246012.0377999991</v>
      </c>
      <c r="C113" s="209"/>
      <c r="D113" s="209">
        <v>0</v>
      </c>
      <c r="E113" s="209"/>
      <c r="F113" s="209"/>
      <c r="G113" s="209"/>
      <c r="H113" s="209"/>
      <c r="I113" s="209"/>
      <c r="J113" s="174"/>
      <c r="K113" s="174"/>
    </row>
    <row r="114" spans="1:11">
      <c r="A114" s="215" t="s">
        <v>187</v>
      </c>
      <c r="B114" s="220" cm="1">
        <f t="array" ref="B114">SUMPRODUCT($B$7:$AC$34*($A$7:$A$34=$A114))</f>
        <v>0</v>
      </c>
      <c r="C114" s="209"/>
      <c r="D114" s="209"/>
      <c r="E114" s="209"/>
      <c r="F114" s="209"/>
      <c r="G114" s="209"/>
      <c r="H114" s="209"/>
      <c r="I114" s="209"/>
      <c r="J114" s="174"/>
      <c r="K114" s="174"/>
    </row>
    <row r="115" spans="1:11">
      <c r="A115" s="215" t="s">
        <v>190</v>
      </c>
      <c r="B115" s="220" cm="1">
        <f t="array" ref="B115">SUMPRODUCT($B$7:$AC$34*($A$7:$A$34=$A115))</f>
        <v>2308839.4369999999</v>
      </c>
      <c r="C115" s="209"/>
      <c r="D115" s="209"/>
      <c r="E115" s="209"/>
      <c r="F115" s="209"/>
      <c r="G115" s="209"/>
      <c r="H115" s="209"/>
      <c r="I115" s="209"/>
      <c r="J115" s="174"/>
      <c r="K115" s="174"/>
    </row>
    <row r="116" spans="1:11">
      <c r="A116" s="215" t="s">
        <v>193</v>
      </c>
      <c r="B116" s="220" cm="1">
        <f t="array" ref="B116">SUMPRODUCT($B$7:$AC$34*($A$7:$A$34=$A116))</f>
        <v>0</v>
      </c>
      <c r="C116" s="209"/>
      <c r="D116" s="209"/>
      <c r="E116" s="209"/>
      <c r="F116" s="209"/>
      <c r="G116" s="209"/>
      <c r="H116" s="209"/>
      <c r="I116" s="209"/>
      <c r="J116" s="174"/>
      <c r="K116" s="174"/>
    </row>
    <row r="117" spans="1:11">
      <c r="A117" s="215" t="s">
        <v>196</v>
      </c>
      <c r="B117" s="220" cm="1">
        <f t="array" ref="B117">SUMPRODUCT($B$7:$AC$34*($A$7:$A$34=$A117))</f>
        <v>0</v>
      </c>
      <c r="C117" s="209"/>
      <c r="D117" s="209"/>
      <c r="E117" s="209"/>
      <c r="F117" s="209"/>
      <c r="G117" s="209"/>
      <c r="H117" s="209"/>
      <c r="I117" s="209"/>
      <c r="J117" s="174"/>
      <c r="K117" s="174"/>
    </row>
    <row r="118" spans="1:11">
      <c r="A118" s="215" t="s">
        <v>198</v>
      </c>
      <c r="B118" s="220" cm="1">
        <f t="array" ref="B118">SUMPRODUCT($B$7:$AC$34*($A$7:$A$34=$A118))</f>
        <v>0</v>
      </c>
      <c r="C118" s="209"/>
      <c r="D118" s="209"/>
      <c r="E118" s="209"/>
      <c r="F118" s="209"/>
      <c r="G118" s="209"/>
      <c r="H118" s="209"/>
      <c r="I118" s="209"/>
      <c r="J118" s="174"/>
      <c r="K118" s="174"/>
    </row>
    <row r="119" spans="1:11">
      <c r="A119" s="215" t="s">
        <v>200</v>
      </c>
      <c r="B119" s="220" cm="1">
        <f t="array" ref="B119">SUMPRODUCT($B$7:$AC$34*($A$7:$A$34=$A119))</f>
        <v>0</v>
      </c>
      <c r="C119" s="209"/>
      <c r="D119" s="209"/>
      <c r="E119" s="209"/>
      <c r="F119" s="209"/>
      <c r="G119" s="209"/>
      <c r="H119" s="209"/>
      <c r="I119" s="209"/>
      <c r="J119" s="174"/>
      <c r="K119" s="174"/>
    </row>
    <row r="120" spans="1:11">
      <c r="A120" s="215" t="s">
        <v>202</v>
      </c>
      <c r="B120" s="220" cm="1">
        <f t="array" ref="B120">SUMPRODUCT($B$7:$AC$34*($A$7:$A$34=$A120))</f>
        <v>0</v>
      </c>
      <c r="C120" s="209"/>
      <c r="D120" s="209"/>
      <c r="E120" s="209"/>
      <c r="F120" s="209"/>
      <c r="G120" s="209"/>
      <c r="H120" s="209"/>
      <c r="I120" s="209"/>
      <c r="J120" s="174"/>
      <c r="K120" s="174"/>
    </row>
    <row r="121" spans="1:11">
      <c r="A121" s="215" t="s">
        <v>205</v>
      </c>
      <c r="B121" s="220" cm="1">
        <f t="array" ref="B121">SUMPRODUCT($B$7:$AC$34*($A$7:$A$34=$A121))</f>
        <v>0</v>
      </c>
      <c r="C121" s="209"/>
      <c r="D121" s="209"/>
      <c r="E121" s="209"/>
      <c r="F121" s="209"/>
      <c r="G121" s="209"/>
      <c r="H121" s="209"/>
      <c r="I121" s="209"/>
      <c r="J121" s="174"/>
      <c r="K121" s="174"/>
    </row>
    <row r="122" spans="1:11">
      <c r="A122" s="375" t="s">
        <v>208</v>
      </c>
      <c r="B122" s="220" cm="1">
        <f t="array" ref="B122">SUMPRODUCT($B$7:$AC$34*($A$7:$A$34=$A122))</f>
        <v>270303.15359999996</v>
      </c>
      <c r="C122" s="209"/>
      <c r="D122" s="209"/>
      <c r="E122" s="209"/>
      <c r="F122" s="209"/>
      <c r="G122" s="209"/>
      <c r="H122" s="209"/>
      <c r="I122" s="209"/>
      <c r="J122" s="174"/>
      <c r="K122" s="174"/>
    </row>
    <row r="123" spans="1:11">
      <c r="A123" s="215" t="s">
        <v>211</v>
      </c>
      <c r="B123" s="220" cm="1">
        <f t="array" ref="B123">SUMPRODUCT($B$7:$AC$34*($A$7:$A$34=$A123))</f>
        <v>0</v>
      </c>
      <c r="C123" s="209"/>
      <c r="D123" s="209"/>
      <c r="E123" s="209"/>
      <c r="F123" s="209"/>
      <c r="G123" s="209"/>
      <c r="H123" s="209"/>
      <c r="I123" s="209"/>
      <c r="J123" s="174"/>
      <c r="K123" s="174"/>
    </row>
    <row r="124" spans="1:11">
      <c r="A124" s="215" t="s">
        <v>214</v>
      </c>
      <c r="B124" s="220" cm="1">
        <f t="array" ref="B124">SUMPRODUCT($B$7:$AC$34*($A$7:$A$34=$A124))</f>
        <v>0</v>
      </c>
      <c r="C124" s="209"/>
      <c r="D124" s="209"/>
      <c r="E124" s="209"/>
      <c r="F124" s="209"/>
      <c r="G124" s="209"/>
      <c r="H124" s="209"/>
      <c r="I124" s="209"/>
      <c r="J124" s="174"/>
      <c r="K124" s="174"/>
    </row>
    <row r="125" spans="1:11">
      <c r="A125" s="215" t="s">
        <v>217</v>
      </c>
      <c r="B125" s="220" cm="1">
        <f t="array" ref="B125">SUMPRODUCT($B$7:$AC$34*($A$7:$A$34=$A125))</f>
        <v>0</v>
      </c>
      <c r="C125" s="209"/>
      <c r="D125" s="209"/>
      <c r="E125" s="209"/>
      <c r="F125" s="209"/>
      <c r="G125" s="209"/>
      <c r="H125" s="209"/>
      <c r="I125" s="209"/>
      <c r="J125" s="174"/>
      <c r="K125" s="174"/>
    </row>
    <row r="126" spans="1:11">
      <c r="A126" s="215" t="s">
        <v>220</v>
      </c>
      <c r="B126" s="220" cm="1">
        <f t="array" ref="B126">SUMPRODUCT($B$7:$AC$34*($A$7:$A$34=$A126))</f>
        <v>872853.93349999981</v>
      </c>
      <c r="C126" s="209"/>
      <c r="D126" s="209"/>
      <c r="E126" s="209"/>
      <c r="F126" s="209"/>
      <c r="G126" s="209"/>
      <c r="H126" s="209"/>
      <c r="I126" s="209"/>
      <c r="J126" s="174"/>
      <c r="K126" s="174"/>
    </row>
    <row r="127" spans="1:11">
      <c r="A127" s="215" t="s">
        <v>223</v>
      </c>
      <c r="B127" s="220" cm="1">
        <f t="array" ref="B127">SUMPRODUCT($B$7:$AC$34*($A$7:$A$34=$A127))</f>
        <v>0</v>
      </c>
      <c r="C127" s="209"/>
      <c r="D127" s="209"/>
      <c r="E127" s="209"/>
      <c r="F127" s="209"/>
      <c r="G127" s="209"/>
      <c r="H127" s="209"/>
      <c r="I127" s="209"/>
      <c r="J127" s="174"/>
      <c r="K127" s="174"/>
    </row>
    <row r="128" spans="1:11">
      <c r="A128" s="215" t="s">
        <v>225</v>
      </c>
      <c r="B128" s="220" cm="1">
        <f t="array" ref="B128">SUMPRODUCT($B$7:$AC$34*($A$7:$A$34=$A128))</f>
        <v>0</v>
      </c>
      <c r="C128" s="209"/>
      <c r="D128" s="209"/>
      <c r="E128" s="209"/>
      <c r="F128" s="209"/>
      <c r="G128" s="209"/>
      <c r="H128" s="209"/>
      <c r="I128" s="209"/>
      <c r="J128" s="174"/>
      <c r="K128" s="174"/>
    </row>
    <row r="129" spans="1:37">
      <c r="A129" s="215" t="s">
        <v>227</v>
      </c>
      <c r="B129" s="220" cm="1">
        <f t="array" ref="B129">SUMPRODUCT($B$7:$AC$34*($A$7:$A$34=$A129))</f>
        <v>929167.0904999997</v>
      </c>
      <c r="C129" s="209"/>
      <c r="D129" s="209"/>
      <c r="E129" s="209"/>
      <c r="F129" s="209"/>
      <c r="G129" s="209"/>
      <c r="H129" s="209"/>
      <c r="I129" s="209"/>
      <c r="J129" s="174"/>
      <c r="K129" s="174"/>
    </row>
    <row r="130" spans="1:37">
      <c r="A130" s="215" t="s">
        <v>230</v>
      </c>
      <c r="B130" s="220" cm="1">
        <f t="array" ref="B130">SUMPRODUCT($B$7:$AC$34*($A$7:$A$34=$A130))</f>
        <v>0</v>
      </c>
      <c r="C130" s="209"/>
      <c r="D130" s="209"/>
      <c r="E130" s="209"/>
      <c r="F130" s="209"/>
      <c r="G130" s="209"/>
      <c r="H130" s="209"/>
      <c r="I130" s="209"/>
      <c r="J130" s="174"/>
      <c r="K130" s="174"/>
    </row>
    <row r="131" spans="1:37">
      <c r="A131" s="215" t="s">
        <v>233</v>
      </c>
      <c r="B131" s="220" cm="1">
        <f t="array" ref="B131">SUMPRODUCT($B$7:$AC$34*($A$7:$A$34=$A131))</f>
        <v>5299068.0736999996</v>
      </c>
      <c r="C131" s="209"/>
      <c r="D131" s="209"/>
      <c r="E131" s="209"/>
      <c r="F131" s="209"/>
      <c r="G131" s="209"/>
      <c r="H131" s="209"/>
      <c r="I131" s="209"/>
      <c r="J131" s="174"/>
      <c r="K131" s="174"/>
    </row>
    <row r="132" spans="1:37">
      <c r="A132" s="215" t="s">
        <v>236</v>
      </c>
      <c r="B132" s="220" cm="1">
        <f t="array" ref="B132">SUMPRODUCT($B$7:$AC$34*($A$7:$A$34=$A132))</f>
        <v>0</v>
      </c>
      <c r="C132" s="209"/>
      <c r="D132" s="209"/>
      <c r="E132" s="209"/>
      <c r="F132" s="209"/>
      <c r="G132" s="209"/>
      <c r="H132" s="209"/>
      <c r="I132" s="209"/>
      <c r="J132" s="174"/>
      <c r="K132" s="174"/>
    </row>
    <row r="133" spans="1:37">
      <c r="A133" s="215" t="s">
        <v>238</v>
      </c>
      <c r="B133" s="220" cm="1">
        <f t="array" ref="B133">SUMPRODUCT($B$7:$AC$34*($A$7:$A$34=$A133))</f>
        <v>1188207.6126999997</v>
      </c>
      <c r="C133" s="209"/>
      <c r="D133" s="209"/>
      <c r="E133" s="209"/>
      <c r="F133" s="209"/>
      <c r="G133" s="209"/>
      <c r="H133" s="209"/>
      <c r="I133" s="209"/>
      <c r="J133" s="174"/>
      <c r="K133" s="174"/>
    </row>
    <row r="134" spans="1:37">
      <c r="A134" s="375" t="s">
        <v>240</v>
      </c>
      <c r="B134" s="220" cm="1">
        <f t="array" ref="B134">SUMPRODUCT($B$7:$AC$34*($A$7:$A$34=$A134))</f>
        <v>1655606.8157999993</v>
      </c>
      <c r="C134" s="209"/>
      <c r="D134" s="209"/>
      <c r="E134" s="209"/>
      <c r="F134" s="209"/>
      <c r="G134" s="209"/>
      <c r="H134" s="209"/>
      <c r="I134" s="209"/>
      <c r="J134" s="174"/>
      <c r="K134" s="174"/>
    </row>
    <row r="135" spans="1:37">
      <c r="A135" s="215" t="s">
        <v>243</v>
      </c>
      <c r="B135" s="220" cm="1">
        <f t="array" ref="B135">SUMPRODUCT($B$7:$AC$34*($A$7:$A$34=$A135))</f>
        <v>0</v>
      </c>
      <c r="C135" s="209"/>
      <c r="D135" s="209"/>
      <c r="E135" s="209"/>
      <c r="F135" s="209"/>
      <c r="G135" s="209"/>
      <c r="H135" s="209"/>
      <c r="I135" s="209"/>
      <c r="J135" s="174"/>
      <c r="K135" s="174"/>
    </row>
    <row r="136" spans="1:37">
      <c r="A136" s="229" t="s">
        <v>245</v>
      </c>
      <c r="B136" s="224" cm="1">
        <f t="array" ref="B136">SUMPRODUCT($B$7:$AC$34*($A$7:$A$34=$A136))</f>
        <v>1903384.7065999997</v>
      </c>
      <c r="C136" s="209"/>
      <c r="D136" s="209"/>
      <c r="E136" s="209"/>
      <c r="F136" s="209"/>
      <c r="G136" s="209"/>
      <c r="H136" s="209"/>
      <c r="I136" s="209"/>
      <c r="J136" s="174"/>
      <c r="K136" s="174"/>
    </row>
    <row r="138" spans="1:37">
      <c r="A138" s="345" t="s">
        <v>884</v>
      </c>
      <c r="J138" s="174"/>
      <c r="K138" s="174"/>
      <c r="L138" s="174"/>
      <c r="M138" s="174"/>
      <c r="N138" s="174"/>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row>
    <row r="140" spans="1:37">
      <c r="A140" s="175" t="s">
        <v>880</v>
      </c>
    </row>
    <row r="142" spans="1:37">
      <c r="A142" s="351" t="s">
        <v>387</v>
      </c>
      <c r="B142" s="358">
        <v>2019</v>
      </c>
      <c r="C142" s="358">
        <v>2020</v>
      </c>
      <c r="D142" s="358">
        <v>2021</v>
      </c>
      <c r="E142" s="358">
        <v>2022</v>
      </c>
      <c r="F142" s="358">
        <v>2023</v>
      </c>
      <c r="G142" s="358">
        <v>2024</v>
      </c>
      <c r="H142" s="358">
        <v>2025</v>
      </c>
      <c r="I142" s="228">
        <v>2026</v>
      </c>
    </row>
    <row r="143" spans="1:37">
      <c r="A143" s="215" t="s">
        <v>172</v>
      </c>
      <c r="B143" s="209">
        <f>SUMIFS('IGU(2020)_ReceivingTerminal'!$E:$E,'IGU(2020)_ReceivingTerminal'!$H:$H,$A143,'IGU(2020)_ReceivingTerminal'!$D:$D,"&lt;="&amp;B$74)*10^6*Legend!$B$92*Legend!$B$82*Legend!$B$84*10^-3</f>
        <v>0</v>
      </c>
      <c r="C143" s="209">
        <f>SUMIFS('IGU(2020)_ReceivingTerminal'!$E:$E,'IGU(2020)_ReceivingTerminal'!$H:$H,$A143,'IGU(2020)_ReceivingTerminal'!$D:$D,"&lt;="&amp;C$74)*10^6*Legend!$B$92*Legend!$B$82*Legend!$B$84*10^-3</f>
        <v>0</v>
      </c>
      <c r="D143" s="209">
        <f>SUMIFS('IGU(2020)_ReceivingTerminal'!$E:$E,'IGU(2020)_ReceivingTerminal'!$H:$H,$A143,'IGU(2020)_ReceivingTerminal'!$D:$D,"&lt;="&amp;D$74)*10^6*Legend!$B$92*Legend!$B$82*Legend!$B$84*10^-3</f>
        <v>0</v>
      </c>
      <c r="E143" s="209">
        <f>SUMIFS('IGU(2020)_ReceivingTerminal'!$E:$E,'IGU(2020)_ReceivingTerminal'!$H:$H,$A143,'IGU(2020)_ReceivingTerminal'!$D:$D,"&lt;="&amp;E$74)*10^6*Legend!$B$92*Legend!$B$82*Legend!$B$84*10^-3</f>
        <v>0</v>
      </c>
      <c r="F143" s="209">
        <f>SUMIFS('IGU(2020)_ReceivingTerminal'!$E:$E,'IGU(2020)_ReceivingTerminal'!$H:$H,$A143,'IGU(2020)_ReceivingTerminal'!$D:$D,"&lt;="&amp;F$74)*10^6*Legend!$B$92*Legend!$B$82*Legend!$B$84*10^-3</f>
        <v>0</v>
      </c>
      <c r="G143" s="209">
        <f>SUMIFS('IGU(2020)_ReceivingTerminal'!$E:$E,'IGU(2020)_ReceivingTerminal'!$H:$H,$A143,'IGU(2020)_ReceivingTerminal'!$D:$D,"&lt;="&amp;G$74)*10^6*Legend!$B$92*Legend!$B$82*Legend!$B$84*10^-3</f>
        <v>0</v>
      </c>
      <c r="H143" s="209">
        <f>SUMIFS('IGU(2020)_ReceivingTerminal'!$E:$E,'IGU(2020)_ReceivingTerminal'!$H:$H,$A143,'IGU(2020)_ReceivingTerminal'!$D:$D,"&lt;="&amp;H$74)*10^6*Legend!$B$92*Legend!$B$82*Legend!$B$84*10^-3</f>
        <v>0</v>
      </c>
      <c r="I143" s="220">
        <f>SUMIFS('IGU(2020)_ReceivingTerminal'!$E:$E,'IGU(2020)_ReceivingTerminal'!$H:$H,$A143,'IGU(2020)_ReceivingTerminal'!$D:$D,"&lt;="&amp;I$74)*10^6*Legend!$B$92*Legend!$B$82*Legend!$B$84*10^-3</f>
        <v>0</v>
      </c>
      <c r="J143" s="174"/>
      <c r="K143" s="174"/>
    </row>
    <row r="144" spans="1:37">
      <c r="A144" s="215" t="s">
        <v>175</v>
      </c>
      <c r="B144" s="209">
        <f>SUMIFS('IGU(2020)_ReceivingTerminal'!$E:$E,'IGU(2020)_ReceivingTerminal'!$H:$H,$A144,'IGU(2020)_ReceivingTerminal'!$D:$D,"&lt;="&amp;B$74)*10^6*Legend!$B$92*Legend!$B$82*Legend!$B$84*10^-3</f>
        <v>320984.99489999999</v>
      </c>
      <c r="C144" s="209">
        <f>SUMIFS('IGU(2020)_ReceivingTerminal'!$E:$E,'IGU(2020)_ReceivingTerminal'!$H:$H,$A144,'IGU(2020)_ReceivingTerminal'!$D:$D,"&lt;="&amp;C$74)*10^6*Legend!$B$92*Legend!$B$82*Legend!$B$84*10^-3</f>
        <v>320984.99489999999</v>
      </c>
      <c r="D144" s="209">
        <f>SUMIFS('IGU(2020)_ReceivingTerminal'!$E:$E,'IGU(2020)_ReceivingTerminal'!$H:$H,$A144,'IGU(2020)_ReceivingTerminal'!$D:$D,"&lt;="&amp;D$74)*10^6*Legend!$B$92*Legend!$B$82*Legend!$B$84*10^-3</f>
        <v>320984.99489999999</v>
      </c>
      <c r="E144" s="209">
        <f>SUMIFS('IGU(2020)_ReceivingTerminal'!$E:$E,'IGU(2020)_ReceivingTerminal'!$H:$H,$A144,'IGU(2020)_ReceivingTerminal'!$D:$D,"&lt;="&amp;E$74)*10^6*Legend!$B$92*Legend!$B$82*Legend!$B$84*10^-3</f>
        <v>320984.99489999999</v>
      </c>
      <c r="F144" s="209">
        <f>SUMIFS('IGU(2020)_ReceivingTerminal'!$E:$E,'IGU(2020)_ReceivingTerminal'!$H:$H,$A144,'IGU(2020)_ReceivingTerminal'!$D:$D,"&lt;="&amp;F$74)*10^6*Legend!$B$92*Legend!$B$82*Legend!$B$84*10^-3</f>
        <v>320984.99489999999</v>
      </c>
      <c r="G144" s="209">
        <f>SUMIFS('IGU(2020)_ReceivingTerminal'!$E:$E,'IGU(2020)_ReceivingTerminal'!$H:$H,$A144,'IGU(2020)_ReceivingTerminal'!$D:$D,"&lt;="&amp;G$74)*10^6*Legend!$B$92*Legend!$B$82*Legend!$B$84*10^-3</f>
        <v>320984.99489999999</v>
      </c>
      <c r="H144" s="209">
        <f>SUMIFS('IGU(2020)_ReceivingTerminal'!$E:$E,'IGU(2020)_ReceivingTerminal'!$H:$H,$A144,'IGU(2020)_ReceivingTerminal'!$D:$D,"&lt;="&amp;H$74)*10^6*Legend!$B$92*Legend!$B$82*Legend!$B$84*10^-3</f>
        <v>320984.99489999999</v>
      </c>
      <c r="I144" s="220">
        <f>SUMIFS('IGU(2020)_ReceivingTerminal'!$E:$E,'IGU(2020)_ReceivingTerminal'!$H:$H,$A144,'IGU(2020)_ReceivingTerminal'!$D:$D,"&lt;="&amp;I$74)*10^6*Legend!$B$92*Legend!$B$82*Legend!$B$84*10^-3</f>
        <v>320984.99489999999</v>
      </c>
      <c r="J144" s="174"/>
      <c r="K144" s="174"/>
    </row>
    <row r="145" spans="1:11">
      <c r="A145" s="215" t="s">
        <v>178</v>
      </c>
      <c r="B145" s="209">
        <f>SUMIFS('IGU(2020)_ReceivingTerminal'!$E:$E,'IGU(2020)_ReceivingTerminal'!$H:$H,$A145,'IGU(2020)_ReceivingTerminal'!$D:$D,"&lt;="&amp;B$74)*10^6*Legend!$B$92*Legend!$B$82*Legend!$B$84*10^-3</f>
        <v>0</v>
      </c>
      <c r="C145" s="209">
        <f>SUMIFS('IGU(2020)_ReceivingTerminal'!$E:$E,'IGU(2020)_ReceivingTerminal'!$H:$H,$A145,'IGU(2020)_ReceivingTerminal'!$D:$D,"&lt;="&amp;C$74)*10^6*Legend!$B$92*Legend!$B$82*Legend!$B$84*10^-3</f>
        <v>112626.314</v>
      </c>
      <c r="D145" s="209">
        <f>SUMIFS('IGU(2020)_ReceivingTerminal'!$E:$E,'IGU(2020)_ReceivingTerminal'!$H:$H,$A145,'IGU(2020)_ReceivingTerminal'!$D:$D,"&lt;="&amp;D$74)*10^6*Legend!$B$92*Legend!$B$82*Legend!$B$84*10^-3</f>
        <v>112626.314</v>
      </c>
      <c r="E145" s="209">
        <f>SUMIFS('IGU(2020)_ReceivingTerminal'!$E:$E,'IGU(2020)_ReceivingTerminal'!$H:$H,$A145,'IGU(2020)_ReceivingTerminal'!$D:$D,"&lt;="&amp;E$74)*10^6*Legend!$B$92*Legend!$B$82*Legend!$B$84*10^-3</f>
        <v>112626.314</v>
      </c>
      <c r="F145" s="209">
        <f>SUMIFS('IGU(2020)_ReceivingTerminal'!$E:$E,'IGU(2020)_ReceivingTerminal'!$H:$H,$A145,'IGU(2020)_ReceivingTerminal'!$D:$D,"&lt;="&amp;F$74)*10^6*Legend!$B$92*Legend!$B$82*Legend!$B$84*10^-3</f>
        <v>112626.314</v>
      </c>
      <c r="G145" s="209">
        <f>SUMIFS('IGU(2020)_ReceivingTerminal'!$E:$E,'IGU(2020)_ReceivingTerminal'!$H:$H,$A145,'IGU(2020)_ReceivingTerminal'!$D:$D,"&lt;="&amp;G$74)*10^6*Legend!$B$92*Legend!$B$82*Legend!$B$84*10^-3</f>
        <v>112626.314</v>
      </c>
      <c r="H145" s="209">
        <f>SUMIFS('IGU(2020)_ReceivingTerminal'!$E:$E,'IGU(2020)_ReceivingTerminal'!$H:$H,$A145,'IGU(2020)_ReceivingTerminal'!$D:$D,"&lt;="&amp;H$74)*10^6*Legend!$B$92*Legend!$B$82*Legend!$B$84*10^-3</f>
        <v>112626.314</v>
      </c>
      <c r="I145" s="220">
        <f>SUMIFS('IGU(2020)_ReceivingTerminal'!$E:$E,'IGU(2020)_ReceivingTerminal'!$H:$H,$A145,'IGU(2020)_ReceivingTerminal'!$D:$D,"&lt;="&amp;I$74)*10^6*Legend!$B$92*Legend!$B$82*Legend!$B$84*10^-3</f>
        <v>112626.314</v>
      </c>
      <c r="J145" s="174"/>
      <c r="K145" s="174"/>
    </row>
    <row r="146" spans="1:11">
      <c r="A146" s="215" t="s">
        <v>181</v>
      </c>
      <c r="B146" s="209">
        <f>SUMIFS('IGU(2020)_ReceivingTerminal'!$E:$E,'IGU(2020)_ReceivingTerminal'!$H:$H,$A146,'IGU(2020)_ReceivingTerminal'!$D:$D,"&lt;="&amp;B$74)*10^6*Legend!$B$92*Legend!$B$82*Legend!$B$84*10^-3</f>
        <v>0</v>
      </c>
      <c r="C146" s="209">
        <f>SUMIFS('IGU(2020)_ReceivingTerminal'!$E:$E,'IGU(2020)_ReceivingTerminal'!$H:$H,$A146,'IGU(2020)_ReceivingTerminal'!$D:$D,"&lt;="&amp;C$74)*10^6*Legend!$B$92*Legend!$B$82*Legend!$B$84*10^-3</f>
        <v>0</v>
      </c>
      <c r="D146" s="209">
        <f>SUMIFS('IGU(2020)_ReceivingTerminal'!$E:$E,'IGU(2020)_ReceivingTerminal'!$H:$H,$A146,'IGU(2020)_ReceivingTerminal'!$D:$D,"&lt;="&amp;D$74)*10^6*Legend!$B$92*Legend!$B$82*Legend!$B$84*10^-3</f>
        <v>0</v>
      </c>
      <c r="E146" s="209">
        <f>SUMIFS('IGU(2020)_ReceivingTerminal'!$E:$E,'IGU(2020)_ReceivingTerminal'!$H:$H,$A146,'IGU(2020)_ReceivingTerminal'!$D:$D,"&lt;="&amp;E$74)*10^6*Legend!$B$92*Legend!$B$82*Legend!$B$84*10^-3</f>
        <v>0</v>
      </c>
      <c r="F146" s="209">
        <f>SUMIFS('IGU(2020)_ReceivingTerminal'!$E:$E,'IGU(2020)_ReceivingTerminal'!$H:$H,$A146,'IGU(2020)_ReceivingTerminal'!$D:$D,"&lt;="&amp;F$74)*10^6*Legend!$B$92*Legend!$B$82*Legend!$B$84*10^-3</f>
        <v>0</v>
      </c>
      <c r="G146" s="209">
        <f>SUMIFS('IGU(2020)_ReceivingTerminal'!$E:$E,'IGU(2020)_ReceivingTerminal'!$H:$H,$A146,'IGU(2020)_ReceivingTerminal'!$D:$D,"&lt;="&amp;G$74)*10^6*Legend!$B$92*Legend!$B$82*Legend!$B$84*10^-3</f>
        <v>0</v>
      </c>
      <c r="H146" s="209">
        <f>SUMIFS('IGU(2020)_ReceivingTerminal'!$E:$E,'IGU(2020)_ReceivingTerminal'!$H:$H,$A146,'IGU(2020)_ReceivingTerminal'!$D:$D,"&lt;="&amp;H$74)*10^6*Legend!$B$92*Legend!$B$82*Legend!$B$84*10^-3</f>
        <v>0</v>
      </c>
      <c r="I146" s="220">
        <f>SUMIFS('IGU(2020)_ReceivingTerminal'!$E:$E,'IGU(2020)_ReceivingTerminal'!$H:$H,$A146,'IGU(2020)_ReceivingTerminal'!$D:$D,"&lt;="&amp;I$74)*10^6*Legend!$B$92*Legend!$B$82*Legend!$B$84*10^-3</f>
        <v>0</v>
      </c>
      <c r="J146" s="174"/>
      <c r="K146" s="174"/>
    </row>
    <row r="147" spans="1:11">
      <c r="A147" s="215" t="s">
        <v>184</v>
      </c>
      <c r="B147" s="209">
        <f>SUMIFS('IGU(2020)_ReceivingTerminal'!$E:$E,'IGU(2020)_ReceivingTerminal'!$H:$H,$A147,'IGU(2020)_ReceivingTerminal'!$D:$D,"&lt;="&amp;B$74)*10^6*Legend!$B$92*Legend!$B$82*Legend!$B$84*10^-3</f>
        <v>0</v>
      </c>
      <c r="C147" s="209">
        <f>SUMIFS('IGU(2020)_ReceivingTerminal'!$E:$E,'IGU(2020)_ReceivingTerminal'!$H:$H,$A147,'IGU(2020)_ReceivingTerminal'!$D:$D,"&lt;="&amp;C$74)*10^6*Legend!$B$92*Legend!$B$82*Legend!$B$84*10^-3</f>
        <v>0</v>
      </c>
      <c r="D147" s="209">
        <f>SUMIFS('IGU(2020)_ReceivingTerminal'!$E:$E,'IGU(2020)_ReceivingTerminal'!$H:$H,$A147,'IGU(2020)_ReceivingTerminal'!$D:$D,"&lt;="&amp;D$74)*10^6*Legend!$B$92*Legend!$B$82*Legend!$B$84*10^-3</f>
        <v>0</v>
      </c>
      <c r="E147" s="209">
        <f>SUMIFS('IGU(2020)_ReceivingTerminal'!$E:$E,'IGU(2020)_ReceivingTerminal'!$H:$H,$A147,'IGU(2020)_ReceivingTerminal'!$D:$D,"&lt;="&amp;E$74)*10^6*Legend!$B$92*Legend!$B$82*Legend!$B$84*10^-3</f>
        <v>0</v>
      </c>
      <c r="F147" s="209">
        <f>SUMIFS('IGU(2020)_ReceivingTerminal'!$E:$E,'IGU(2020)_ReceivingTerminal'!$H:$H,$A147,'IGU(2020)_ReceivingTerminal'!$D:$D,"&lt;="&amp;F$74)*10^6*Legend!$B$92*Legend!$B$82*Legend!$B$84*10^-3</f>
        <v>0</v>
      </c>
      <c r="G147" s="209">
        <f>SUMIFS('IGU(2020)_ReceivingTerminal'!$E:$E,'IGU(2020)_ReceivingTerminal'!$H:$H,$A147,'IGU(2020)_ReceivingTerminal'!$D:$D,"&lt;="&amp;G$74)*10^6*Legend!$B$92*Legend!$B$82*Legend!$B$84*10^-3</f>
        <v>0</v>
      </c>
      <c r="H147" s="209">
        <f>SUMIFS('IGU(2020)_ReceivingTerminal'!$E:$E,'IGU(2020)_ReceivingTerminal'!$H:$H,$A147,'IGU(2020)_ReceivingTerminal'!$D:$D,"&lt;="&amp;H$74)*10^6*Legend!$B$92*Legend!$B$82*Legend!$B$84*10^-3</f>
        <v>0</v>
      </c>
      <c r="I147" s="220">
        <f>SUMIFS('IGU(2020)_ReceivingTerminal'!$E:$E,'IGU(2020)_ReceivingTerminal'!$H:$H,$A147,'IGU(2020)_ReceivingTerminal'!$D:$D,"&lt;="&amp;I$74)*10^6*Legend!$B$92*Legend!$B$82*Legend!$B$84*10^-3</f>
        <v>0</v>
      </c>
      <c r="J147" s="174"/>
      <c r="K147" s="174"/>
    </row>
    <row r="148" spans="1:11">
      <c r="A148" s="215" t="s">
        <v>187</v>
      </c>
      <c r="B148" s="209">
        <f>SUMIFS('IGU(2020)_ReceivingTerminal'!$E:$E,'IGU(2020)_ReceivingTerminal'!$H:$H,$A148,'IGU(2020)_ReceivingTerminal'!$D:$D,"&lt;="&amp;B$74)*10^6*Legend!$B$92*Legend!$B$82*Legend!$B$84*10^-3</f>
        <v>0</v>
      </c>
      <c r="C148" s="209">
        <f>SUMIFS('IGU(2020)_ReceivingTerminal'!$E:$E,'IGU(2020)_ReceivingTerminal'!$H:$H,$A148,'IGU(2020)_ReceivingTerminal'!$D:$D,"&lt;="&amp;C$74)*10^6*Legend!$B$92*Legend!$B$82*Legend!$B$84*10^-3</f>
        <v>0</v>
      </c>
      <c r="D148" s="209">
        <f>SUMIFS('IGU(2020)_ReceivingTerminal'!$E:$E,'IGU(2020)_ReceivingTerminal'!$H:$H,$A148,'IGU(2020)_ReceivingTerminal'!$D:$D,"&lt;="&amp;D$74)*10^6*Legend!$B$92*Legend!$B$82*Legend!$B$84*10^-3</f>
        <v>0</v>
      </c>
      <c r="E148" s="209">
        <f>SUMIFS('IGU(2020)_ReceivingTerminal'!$E:$E,'IGU(2020)_ReceivingTerminal'!$H:$H,$A148,'IGU(2020)_ReceivingTerminal'!$D:$D,"&lt;="&amp;E$74)*10^6*Legend!$B$92*Legend!$B$82*Legend!$B$84*10^-3</f>
        <v>0</v>
      </c>
      <c r="F148" s="209">
        <f>SUMIFS('IGU(2020)_ReceivingTerminal'!$E:$E,'IGU(2020)_ReceivingTerminal'!$H:$H,$A148,'IGU(2020)_ReceivingTerminal'!$D:$D,"&lt;="&amp;F$74)*10^6*Legend!$B$92*Legend!$B$82*Legend!$B$84*10^-3</f>
        <v>0</v>
      </c>
      <c r="G148" s="209">
        <f>SUMIFS('IGU(2020)_ReceivingTerminal'!$E:$E,'IGU(2020)_ReceivingTerminal'!$H:$H,$A148,'IGU(2020)_ReceivingTerminal'!$D:$D,"&lt;="&amp;G$74)*10^6*Legend!$B$92*Legend!$B$82*Legend!$B$84*10^-3</f>
        <v>0</v>
      </c>
      <c r="H148" s="209">
        <f>SUMIFS('IGU(2020)_ReceivingTerminal'!$E:$E,'IGU(2020)_ReceivingTerminal'!$H:$H,$A148,'IGU(2020)_ReceivingTerminal'!$D:$D,"&lt;="&amp;H$74)*10^6*Legend!$B$92*Legend!$B$82*Legend!$B$84*10^-3</f>
        <v>0</v>
      </c>
      <c r="I148" s="220">
        <f>SUMIFS('IGU(2020)_ReceivingTerminal'!$E:$E,'IGU(2020)_ReceivingTerminal'!$H:$H,$A148,'IGU(2020)_ReceivingTerminal'!$D:$D,"&lt;="&amp;I$74)*10^6*Legend!$B$92*Legend!$B$82*Legend!$B$84*10^-3</f>
        <v>0</v>
      </c>
      <c r="J148" s="174"/>
      <c r="K148" s="174"/>
    </row>
    <row r="149" spans="1:11">
      <c r="A149" s="215" t="s">
        <v>190</v>
      </c>
      <c r="B149" s="209">
        <f>SUMIFS('IGU(2020)_ReceivingTerminal'!$E:$E,'IGU(2020)_ReceivingTerminal'!$H:$H,$A149,'IGU(2020)_ReceivingTerminal'!$D:$D,"&lt;="&amp;B$74)*10^6*Legend!$B$92*Legend!$B$82*Legend!$B$84*10^-3</f>
        <v>1678132.0785999999</v>
      </c>
      <c r="C149" s="209">
        <f>SUMIFS('IGU(2020)_ReceivingTerminal'!$E:$E,'IGU(2020)_ReceivingTerminal'!$H:$H,$A149,'IGU(2020)_ReceivingTerminal'!$D:$D,"&lt;="&amp;C$74)*10^6*Legend!$B$92*Legend!$B$82*Legend!$B$84*10^-3</f>
        <v>1678132.0785999999</v>
      </c>
      <c r="D149" s="209">
        <f>SUMIFS('IGU(2020)_ReceivingTerminal'!$E:$E,'IGU(2020)_ReceivingTerminal'!$H:$H,$A149,'IGU(2020)_ReceivingTerminal'!$D:$D,"&lt;="&amp;D$74)*10^6*Legend!$B$92*Legend!$B$82*Legend!$B$84*10^-3</f>
        <v>1678132.0785999999</v>
      </c>
      <c r="E149" s="209">
        <f>SUMIFS('IGU(2020)_ReceivingTerminal'!$E:$E,'IGU(2020)_ReceivingTerminal'!$H:$H,$A149,'IGU(2020)_ReceivingTerminal'!$D:$D,"&lt;="&amp;E$74)*10^6*Legend!$B$92*Legend!$B$82*Legend!$B$84*10^-3</f>
        <v>2100480.7560999999</v>
      </c>
      <c r="F149" s="209">
        <f>SUMIFS('IGU(2020)_ReceivingTerminal'!$E:$E,'IGU(2020)_ReceivingTerminal'!$H:$H,$A149,'IGU(2020)_ReceivingTerminal'!$D:$D,"&lt;="&amp;F$74)*10^6*Legend!$B$92*Legend!$B$82*Legend!$B$84*10^-3</f>
        <v>2100480.7560999999</v>
      </c>
      <c r="G149" s="209">
        <f>SUMIFS('IGU(2020)_ReceivingTerminal'!$E:$E,'IGU(2020)_ReceivingTerminal'!$H:$H,$A149,'IGU(2020)_ReceivingTerminal'!$D:$D,"&lt;="&amp;G$74)*10^6*Legend!$B$92*Legend!$B$82*Legend!$B$84*10^-3</f>
        <v>2100480.7560999999</v>
      </c>
      <c r="H149" s="209">
        <f>SUMIFS('IGU(2020)_ReceivingTerminal'!$E:$E,'IGU(2020)_ReceivingTerminal'!$H:$H,$A149,'IGU(2020)_ReceivingTerminal'!$D:$D,"&lt;="&amp;H$74)*10^6*Legend!$B$92*Legend!$B$82*Legend!$B$84*10^-3</f>
        <v>2100480.7560999999</v>
      </c>
      <c r="I149" s="220">
        <f>SUMIFS('IGU(2020)_ReceivingTerminal'!$E:$E,'IGU(2020)_ReceivingTerminal'!$H:$H,$A149,'IGU(2020)_ReceivingTerminal'!$D:$D,"&lt;="&amp;I$74)*10^6*Legend!$B$92*Legend!$B$82*Legend!$B$84*10^-3</f>
        <v>2100480.7560999999</v>
      </c>
      <c r="J149" s="174"/>
      <c r="K149" s="174"/>
    </row>
    <row r="150" spans="1:11">
      <c r="A150" s="375" t="s">
        <v>193</v>
      </c>
      <c r="B150" s="209">
        <f>SUMIFS('IGU(2020)_ReceivingTerminal'!$E:$E,'IGU(2020)_ReceivingTerminal'!$H:$H,$A150,'IGU(2020)_ReceivingTerminal'!$D:$D,"&lt;="&amp;B$74)*10^6*Legend!$B$92*Legend!$B$82*Legend!$B$84*10^-3</f>
        <v>534974.9915</v>
      </c>
      <c r="C150" s="209">
        <f>SUMIFS('IGU(2020)_ReceivingTerminal'!$E:$E,'IGU(2020)_ReceivingTerminal'!$H:$H,$A150,'IGU(2020)_ReceivingTerminal'!$D:$D,"&lt;="&amp;C$74)*10^6*Legend!$B$92*Legend!$B$82*Legend!$B$84*10^-3</f>
        <v>534974.9915</v>
      </c>
      <c r="D150" s="209">
        <f>SUMIFS('IGU(2020)_ReceivingTerminal'!$E:$E,'IGU(2020)_ReceivingTerminal'!$H:$H,$A150,'IGU(2020)_ReceivingTerminal'!$D:$D,"&lt;="&amp;D$74)*10^6*Legend!$B$92*Legend!$B$82*Legend!$B$84*10^-3</f>
        <v>534974.9915</v>
      </c>
      <c r="E150" s="209">
        <f>SUMIFS('IGU(2020)_ReceivingTerminal'!$E:$E,'IGU(2020)_ReceivingTerminal'!$H:$H,$A150,'IGU(2020)_ReceivingTerminal'!$D:$D,"&lt;="&amp;E$74)*10^6*Legend!$B$92*Legend!$B$82*Legend!$B$84*10^-3</f>
        <v>534974.9915</v>
      </c>
      <c r="F150" s="209">
        <f>SUMIFS('IGU(2020)_ReceivingTerminal'!$E:$E,'IGU(2020)_ReceivingTerminal'!$H:$H,$A150,'IGU(2020)_ReceivingTerminal'!$D:$D,"&lt;="&amp;F$74)*10^6*Legend!$B$92*Legend!$B$82*Legend!$B$84*10^-3</f>
        <v>534974.9915</v>
      </c>
      <c r="G150" s="209">
        <f>SUMIFS('IGU(2020)_ReceivingTerminal'!$E:$E,'IGU(2020)_ReceivingTerminal'!$H:$H,$A150,'IGU(2020)_ReceivingTerminal'!$D:$D,"&lt;="&amp;G$74)*10^6*Legend!$B$92*Legend!$B$82*Legend!$B$84*10^-3</f>
        <v>534974.9915</v>
      </c>
      <c r="H150" s="209">
        <f>SUMIFS('IGU(2020)_ReceivingTerminal'!$E:$E,'IGU(2020)_ReceivingTerminal'!$H:$H,$A150,'IGU(2020)_ReceivingTerminal'!$D:$D,"&lt;="&amp;H$74)*10^6*Legend!$B$92*Legend!$B$82*Legend!$B$84*10^-3</f>
        <v>534974.9915</v>
      </c>
      <c r="I150" s="220">
        <f>SUMIFS('IGU(2020)_ReceivingTerminal'!$E:$E,'IGU(2020)_ReceivingTerminal'!$H:$H,$A150,'IGU(2020)_ReceivingTerminal'!$D:$D,"&lt;="&amp;I$74)*10^6*Legend!$B$92*Legend!$B$82*Legend!$B$84*10^-3</f>
        <v>534974.9915</v>
      </c>
      <c r="J150" s="174"/>
      <c r="K150" s="174"/>
    </row>
    <row r="151" spans="1:11">
      <c r="A151" s="215" t="s">
        <v>196</v>
      </c>
      <c r="B151" s="209">
        <f>SUMIFS('IGU(2020)_ReceivingTerminal'!$E:$E,'IGU(2020)_ReceivingTerminal'!$H:$H,$A151,'IGU(2020)_ReceivingTerminal'!$D:$D,"&lt;="&amp;B$74)*10^6*Legend!$B$92*Legend!$B$82*Legend!$B$84*10^-3</f>
        <v>518081.04440000001</v>
      </c>
      <c r="C151" s="209">
        <f>SUMIFS('IGU(2020)_ReceivingTerminal'!$E:$E,'IGU(2020)_ReceivingTerminal'!$H:$H,$A151,'IGU(2020)_ReceivingTerminal'!$D:$D,"&lt;="&amp;C$74)*10^6*Legend!$B$92*Legend!$B$82*Legend!$B$84*10^-3</f>
        <v>833434.72359999968</v>
      </c>
      <c r="D151" s="209">
        <f>SUMIFS('IGU(2020)_ReceivingTerminal'!$E:$E,'IGU(2020)_ReceivingTerminal'!$H:$H,$A151,'IGU(2020)_ReceivingTerminal'!$D:$D,"&lt;="&amp;D$74)*10^6*Legend!$B$92*Legend!$B$82*Legend!$B$84*10^-3</f>
        <v>833434.72359999968</v>
      </c>
      <c r="E151" s="209">
        <f>SUMIFS('IGU(2020)_ReceivingTerminal'!$E:$E,'IGU(2020)_ReceivingTerminal'!$H:$H,$A151,'IGU(2020)_ReceivingTerminal'!$D:$D,"&lt;="&amp;E$74)*10^6*Legend!$B$92*Legend!$B$82*Legend!$B$84*10^-3</f>
        <v>833434.72359999968</v>
      </c>
      <c r="F151" s="209">
        <f>SUMIFS('IGU(2020)_ReceivingTerminal'!$E:$E,'IGU(2020)_ReceivingTerminal'!$H:$H,$A151,'IGU(2020)_ReceivingTerminal'!$D:$D,"&lt;="&amp;F$74)*10^6*Legend!$B$92*Legend!$B$82*Legend!$B$84*10^-3</f>
        <v>833434.72359999968</v>
      </c>
      <c r="G151" s="209">
        <f>SUMIFS('IGU(2020)_ReceivingTerminal'!$E:$E,'IGU(2020)_ReceivingTerminal'!$H:$H,$A151,'IGU(2020)_ReceivingTerminal'!$D:$D,"&lt;="&amp;G$74)*10^6*Legend!$B$92*Legend!$B$82*Legend!$B$84*10^-3</f>
        <v>833434.72359999968</v>
      </c>
      <c r="H151" s="209">
        <f>SUMIFS('IGU(2020)_ReceivingTerminal'!$E:$E,'IGU(2020)_ReceivingTerminal'!$H:$H,$A151,'IGU(2020)_ReceivingTerminal'!$D:$D,"&lt;="&amp;H$74)*10^6*Legend!$B$92*Legend!$B$82*Legend!$B$84*10^-3</f>
        <v>833434.72359999968</v>
      </c>
      <c r="I151" s="220">
        <f>SUMIFS('IGU(2020)_ReceivingTerminal'!$E:$E,'IGU(2020)_ReceivingTerminal'!$H:$H,$A151,'IGU(2020)_ReceivingTerminal'!$D:$D,"&lt;="&amp;I$74)*10^6*Legend!$B$92*Legend!$B$82*Legend!$B$84*10^-3</f>
        <v>833434.72359999968</v>
      </c>
      <c r="J151" s="174"/>
      <c r="K151" s="174"/>
    </row>
    <row r="152" spans="1:11">
      <c r="A152" s="215" t="s">
        <v>198</v>
      </c>
      <c r="B152" s="209">
        <f>SUMIFS('IGU(2020)_ReceivingTerminal'!$E:$E,'IGU(2020)_ReceivingTerminal'!$H:$H,$A152,'IGU(2020)_ReceivingTerminal'!$D:$D,"&lt;="&amp;B$74)*10^6*Legend!$B$92*Legend!$B$82*Legend!$B$84*10^-3</f>
        <v>422348.67749999999</v>
      </c>
      <c r="C152" s="209">
        <f>SUMIFS('IGU(2020)_ReceivingTerminal'!$E:$E,'IGU(2020)_ReceivingTerminal'!$H:$H,$A152,'IGU(2020)_ReceivingTerminal'!$D:$D,"&lt;="&amp;C$74)*10^6*Legend!$B$92*Legend!$B$82*Legend!$B$84*10^-3</f>
        <v>422348.67749999999</v>
      </c>
      <c r="D152" s="209">
        <f>SUMIFS('IGU(2020)_ReceivingTerminal'!$E:$E,'IGU(2020)_ReceivingTerminal'!$H:$H,$A152,'IGU(2020)_ReceivingTerminal'!$D:$D,"&lt;="&amp;D$74)*10^6*Legend!$B$92*Legend!$B$82*Legend!$B$84*10^-3</f>
        <v>422348.67749999999</v>
      </c>
      <c r="E152" s="209">
        <f>SUMIFS('IGU(2020)_ReceivingTerminal'!$E:$E,'IGU(2020)_ReceivingTerminal'!$H:$H,$A152,'IGU(2020)_ReceivingTerminal'!$D:$D,"&lt;="&amp;E$74)*10^6*Legend!$B$92*Legend!$B$82*Legend!$B$84*10^-3</f>
        <v>422348.67749999999</v>
      </c>
      <c r="F152" s="209">
        <f>SUMIFS('IGU(2020)_ReceivingTerminal'!$E:$E,'IGU(2020)_ReceivingTerminal'!$H:$H,$A152,'IGU(2020)_ReceivingTerminal'!$D:$D,"&lt;="&amp;F$74)*10^6*Legend!$B$92*Legend!$B$82*Legend!$B$84*10^-3</f>
        <v>422348.67749999999</v>
      </c>
      <c r="G152" s="209">
        <f>SUMIFS('IGU(2020)_ReceivingTerminal'!$E:$E,'IGU(2020)_ReceivingTerminal'!$H:$H,$A152,'IGU(2020)_ReceivingTerminal'!$D:$D,"&lt;="&amp;G$74)*10^6*Legend!$B$92*Legend!$B$82*Legend!$B$84*10^-3</f>
        <v>422348.67749999999</v>
      </c>
      <c r="H152" s="209">
        <f>SUMIFS('IGU(2020)_ReceivingTerminal'!$E:$E,'IGU(2020)_ReceivingTerminal'!$H:$H,$A152,'IGU(2020)_ReceivingTerminal'!$D:$D,"&lt;="&amp;H$74)*10^6*Legend!$B$92*Legend!$B$82*Legend!$B$84*10^-3</f>
        <v>422348.67749999999</v>
      </c>
      <c r="I152" s="220">
        <f>SUMIFS('IGU(2020)_ReceivingTerminal'!$E:$E,'IGU(2020)_ReceivingTerminal'!$H:$H,$A152,'IGU(2020)_ReceivingTerminal'!$D:$D,"&lt;="&amp;I$74)*10^6*Legend!$B$92*Legend!$B$82*Legend!$B$84*10^-3</f>
        <v>422348.67749999999</v>
      </c>
      <c r="J152" s="174"/>
      <c r="K152" s="174"/>
    </row>
    <row r="153" spans="1:11">
      <c r="A153" s="215" t="s">
        <v>200</v>
      </c>
      <c r="B153" s="209">
        <f>SUMIFS('IGU(2020)_ReceivingTerminal'!$E:$E,'IGU(2020)_ReceivingTerminal'!$H:$H,$A153,'IGU(2020)_ReceivingTerminal'!$D:$D,"&lt;="&amp;B$74)*10^6*Legend!$B$92*Legend!$B$82*Legend!$B$84*10^-3</f>
        <v>309722.36349999998</v>
      </c>
      <c r="C153" s="209">
        <f>SUMIFS('IGU(2020)_ReceivingTerminal'!$E:$E,'IGU(2020)_ReceivingTerminal'!$H:$H,$A153,'IGU(2020)_ReceivingTerminal'!$D:$D,"&lt;="&amp;C$74)*10^6*Legend!$B$92*Legend!$B$82*Legend!$B$84*10^-3</f>
        <v>309722.36349999998</v>
      </c>
      <c r="D153" s="209">
        <f>SUMIFS('IGU(2020)_ReceivingTerminal'!$E:$E,'IGU(2020)_ReceivingTerminal'!$H:$H,$A153,'IGU(2020)_ReceivingTerminal'!$D:$D,"&lt;="&amp;D$74)*10^6*Legend!$B$92*Legend!$B$82*Legend!$B$84*10^-3</f>
        <v>309722.36349999998</v>
      </c>
      <c r="E153" s="209">
        <f>SUMIFS('IGU(2020)_ReceivingTerminal'!$E:$E,'IGU(2020)_ReceivingTerminal'!$H:$H,$A153,'IGU(2020)_ReceivingTerminal'!$D:$D,"&lt;="&amp;E$74)*10^6*Legend!$B$92*Legend!$B$82*Legend!$B$84*10^-3</f>
        <v>309722.36349999998</v>
      </c>
      <c r="F153" s="209">
        <f>SUMIFS('IGU(2020)_ReceivingTerminal'!$E:$E,'IGU(2020)_ReceivingTerminal'!$H:$H,$A153,'IGU(2020)_ReceivingTerminal'!$D:$D,"&lt;="&amp;F$74)*10^6*Legend!$B$92*Legend!$B$82*Legend!$B$84*10^-3</f>
        <v>309722.36349999998</v>
      </c>
      <c r="G153" s="209">
        <f>SUMIFS('IGU(2020)_ReceivingTerminal'!$E:$E,'IGU(2020)_ReceivingTerminal'!$H:$H,$A153,'IGU(2020)_ReceivingTerminal'!$D:$D,"&lt;="&amp;G$74)*10^6*Legend!$B$92*Legend!$B$82*Legend!$B$84*10^-3</f>
        <v>309722.36349999998</v>
      </c>
      <c r="H153" s="209">
        <f>SUMIFS('IGU(2020)_ReceivingTerminal'!$E:$E,'IGU(2020)_ReceivingTerminal'!$H:$H,$A153,'IGU(2020)_ReceivingTerminal'!$D:$D,"&lt;="&amp;H$74)*10^6*Legend!$B$92*Legend!$B$82*Legend!$B$84*10^-3</f>
        <v>309722.36349999998</v>
      </c>
      <c r="I153" s="220">
        <f>SUMIFS('IGU(2020)_ReceivingTerminal'!$E:$E,'IGU(2020)_ReceivingTerminal'!$H:$H,$A153,'IGU(2020)_ReceivingTerminal'!$D:$D,"&lt;="&amp;I$74)*10^6*Legend!$B$92*Legend!$B$82*Legend!$B$84*10^-3</f>
        <v>309722.36349999998</v>
      </c>
      <c r="J153" s="174"/>
      <c r="K153" s="174"/>
    </row>
    <row r="154" spans="1:11">
      <c r="A154" s="375" t="s">
        <v>202</v>
      </c>
      <c r="B154" s="209">
        <f>SUMIFS('IGU(2020)_ReceivingTerminal'!$E:$E,'IGU(2020)_ReceivingTerminal'!$H:$H,$A154,'IGU(2020)_ReceivingTerminal'!$D:$D,"&lt;="&amp;B$74)*10^6*Legend!$B$92*Legend!$B$82*Legend!$B$84*10^-3</f>
        <v>3379915.6831399999</v>
      </c>
      <c r="C154" s="209">
        <f>SUMIFS('IGU(2020)_ReceivingTerminal'!$E:$E,'IGU(2020)_ReceivingTerminal'!$H:$H,$A154,'IGU(2020)_ReceivingTerminal'!$D:$D,"&lt;="&amp;C$74)*10^6*Legend!$B$92*Legend!$B$82*Legend!$B$84*10^-3</f>
        <v>3436228.84014</v>
      </c>
      <c r="D154" s="209">
        <f>SUMIFS('IGU(2020)_ReceivingTerminal'!$E:$E,'IGU(2020)_ReceivingTerminal'!$H:$H,$A154,'IGU(2020)_ReceivingTerminal'!$D:$D,"&lt;="&amp;D$74)*10^6*Legend!$B$92*Legend!$B$82*Legend!$B$84*10^-3</f>
        <v>3774107.7821399998</v>
      </c>
      <c r="E154" s="209">
        <f>SUMIFS('IGU(2020)_ReceivingTerminal'!$E:$E,'IGU(2020)_ReceivingTerminal'!$H:$H,$A154,'IGU(2020)_ReceivingTerminal'!$D:$D,"&lt;="&amp;E$74)*10^6*Legend!$B$92*Legend!$B$82*Legend!$B$84*10^-3</f>
        <v>4055673.5671400004</v>
      </c>
      <c r="F154" s="209">
        <f>SUMIFS('IGU(2020)_ReceivingTerminal'!$E:$E,'IGU(2020)_ReceivingTerminal'!$H:$H,$A154,'IGU(2020)_ReceivingTerminal'!$D:$D,"&lt;="&amp;F$74)*10^6*Legend!$B$92*Legend!$B$82*Legend!$B$84*10^-3</f>
        <v>4168299.8811400007</v>
      </c>
      <c r="G154" s="209">
        <f>SUMIFS('IGU(2020)_ReceivingTerminal'!$E:$E,'IGU(2020)_ReceivingTerminal'!$H:$H,$A154,'IGU(2020)_ReceivingTerminal'!$D:$D,"&lt;="&amp;G$74)*10^6*Legend!$B$92*Legend!$B$82*Legend!$B$84*10^-3</f>
        <v>4168299.8811400007</v>
      </c>
      <c r="H154" s="209">
        <f>SUMIFS('IGU(2020)_ReceivingTerminal'!$E:$E,'IGU(2020)_ReceivingTerminal'!$H:$H,$A154,'IGU(2020)_ReceivingTerminal'!$D:$D,"&lt;="&amp;H$74)*10^6*Legend!$B$92*Legend!$B$82*Legend!$B$84*10^-3</f>
        <v>4168299.8811400007</v>
      </c>
      <c r="I154" s="220">
        <f>SUMIFS('IGU(2020)_ReceivingTerminal'!$E:$E,'IGU(2020)_ReceivingTerminal'!$H:$H,$A154,'IGU(2020)_ReceivingTerminal'!$D:$D,"&lt;="&amp;I$74)*10^6*Legend!$B$92*Legend!$B$82*Legend!$B$84*10^-3</f>
        <v>4168299.8811400007</v>
      </c>
      <c r="J154" s="174"/>
      <c r="K154" s="174"/>
    </row>
    <row r="155" spans="1:11">
      <c r="A155" s="215" t="s">
        <v>205</v>
      </c>
      <c r="B155" s="209">
        <f>SUMIFS('IGU(2020)_ReceivingTerminal'!$E:$E,'IGU(2020)_ReceivingTerminal'!$H:$H,$A155,'IGU(2020)_ReceivingTerminal'!$D:$D,"&lt;="&amp;B$74)*10^6*Legend!$B$92*Legend!$B$82*Legend!$B$84*10^-3</f>
        <v>0</v>
      </c>
      <c r="C155" s="209">
        <f>SUMIFS('IGU(2020)_ReceivingTerminal'!$E:$E,'IGU(2020)_ReceivingTerminal'!$H:$H,$A155,'IGU(2020)_ReceivingTerminal'!$D:$D,"&lt;="&amp;C$74)*10^6*Legend!$B$92*Legend!$B$82*Legend!$B$84*10^-3</f>
        <v>0</v>
      </c>
      <c r="D155" s="209">
        <f>SUMIFS('IGU(2020)_ReceivingTerminal'!$E:$E,'IGU(2020)_ReceivingTerminal'!$H:$H,$A155,'IGU(2020)_ReceivingTerminal'!$D:$D,"&lt;="&amp;D$74)*10^6*Legend!$B$92*Legend!$B$82*Legend!$B$84*10^-3</f>
        <v>0</v>
      </c>
      <c r="E155" s="209">
        <f>SUMIFS('IGU(2020)_ReceivingTerminal'!$E:$E,'IGU(2020)_ReceivingTerminal'!$H:$H,$A155,'IGU(2020)_ReceivingTerminal'!$D:$D,"&lt;="&amp;E$74)*10^6*Legend!$B$92*Legend!$B$82*Legend!$B$84*10^-3</f>
        <v>0</v>
      </c>
      <c r="F155" s="209">
        <f>SUMIFS('IGU(2020)_ReceivingTerminal'!$E:$E,'IGU(2020)_ReceivingTerminal'!$H:$H,$A155,'IGU(2020)_ReceivingTerminal'!$D:$D,"&lt;="&amp;F$74)*10^6*Legend!$B$92*Legend!$B$82*Legend!$B$84*10^-3</f>
        <v>0</v>
      </c>
      <c r="G155" s="209">
        <f>SUMIFS('IGU(2020)_ReceivingTerminal'!$E:$E,'IGU(2020)_ReceivingTerminal'!$H:$H,$A155,'IGU(2020)_ReceivingTerminal'!$D:$D,"&lt;="&amp;G$74)*10^6*Legend!$B$92*Legend!$B$82*Legend!$B$84*10^-3</f>
        <v>0</v>
      </c>
      <c r="H155" s="209">
        <f>SUMIFS('IGU(2020)_ReceivingTerminal'!$E:$E,'IGU(2020)_ReceivingTerminal'!$H:$H,$A155,'IGU(2020)_ReceivingTerminal'!$D:$D,"&lt;="&amp;H$74)*10^6*Legend!$B$92*Legend!$B$82*Legend!$B$84*10^-3</f>
        <v>0</v>
      </c>
      <c r="I155" s="220">
        <f>SUMIFS('IGU(2020)_ReceivingTerminal'!$E:$E,'IGU(2020)_ReceivingTerminal'!$H:$H,$A155,'IGU(2020)_ReceivingTerminal'!$D:$D,"&lt;="&amp;I$74)*10^6*Legend!$B$92*Legend!$B$82*Legend!$B$84*10^-3</f>
        <v>0</v>
      </c>
      <c r="J155" s="174"/>
      <c r="K155" s="174"/>
    </row>
    <row r="156" spans="1:11">
      <c r="A156" s="215" t="s">
        <v>208</v>
      </c>
      <c r="B156" s="209">
        <f>SUMIFS('IGU(2020)_ReceivingTerminal'!$E:$E,'IGU(2020)_ReceivingTerminal'!$H:$H,$A156,'IGU(2020)_ReceivingTerminal'!$D:$D,"&lt;="&amp;B$74)*10^6*Legend!$B$92*Legend!$B$82*Legend!$B$84*10^-3</f>
        <v>2145531.2816999997</v>
      </c>
      <c r="C156" s="209">
        <f>SUMIFS('IGU(2020)_ReceivingTerminal'!$E:$E,'IGU(2020)_ReceivingTerminal'!$H:$H,$A156,'IGU(2020)_ReceivingTerminal'!$D:$D,"&lt;="&amp;C$74)*10^6*Legend!$B$92*Legend!$B$82*Legend!$B$84*10^-3</f>
        <v>2145531.2816999997</v>
      </c>
      <c r="D156" s="209">
        <f>SUMIFS('IGU(2020)_ReceivingTerminal'!$E:$E,'IGU(2020)_ReceivingTerminal'!$H:$H,$A156,'IGU(2020)_ReceivingTerminal'!$D:$D,"&lt;="&amp;D$74)*10^6*Legend!$B$92*Legend!$B$82*Legend!$B$84*10^-3</f>
        <v>2145531.2816999997</v>
      </c>
      <c r="E156" s="209">
        <f>SUMIFS('IGU(2020)_ReceivingTerminal'!$E:$E,'IGU(2020)_ReceivingTerminal'!$H:$H,$A156,'IGU(2020)_ReceivingTerminal'!$D:$D,"&lt;="&amp;E$74)*10^6*Legend!$B$92*Legend!$B$82*Legend!$B$84*10^-3</f>
        <v>2145531.2816999997</v>
      </c>
      <c r="F156" s="209">
        <f>SUMIFS('IGU(2020)_ReceivingTerminal'!$E:$E,'IGU(2020)_ReceivingTerminal'!$H:$H,$A156,'IGU(2020)_ReceivingTerminal'!$D:$D,"&lt;="&amp;F$74)*10^6*Legend!$B$92*Legend!$B$82*Legend!$B$84*10^-3</f>
        <v>2145531.2816999997</v>
      </c>
      <c r="G156" s="209">
        <f>SUMIFS('IGU(2020)_ReceivingTerminal'!$E:$E,'IGU(2020)_ReceivingTerminal'!$H:$H,$A156,'IGU(2020)_ReceivingTerminal'!$D:$D,"&lt;="&amp;G$74)*10^6*Legend!$B$92*Legend!$B$82*Legend!$B$84*10^-3</f>
        <v>2145531.2816999997</v>
      </c>
      <c r="H156" s="209">
        <f>SUMIFS('IGU(2020)_ReceivingTerminal'!$E:$E,'IGU(2020)_ReceivingTerminal'!$H:$H,$A156,'IGU(2020)_ReceivingTerminal'!$D:$D,"&lt;="&amp;H$74)*10^6*Legend!$B$92*Legend!$B$82*Legend!$B$84*10^-3</f>
        <v>2145531.2816999997</v>
      </c>
      <c r="I156" s="220">
        <f>SUMIFS('IGU(2020)_ReceivingTerminal'!$E:$E,'IGU(2020)_ReceivingTerminal'!$H:$H,$A156,'IGU(2020)_ReceivingTerminal'!$D:$D,"&lt;="&amp;I$74)*10^6*Legend!$B$92*Legend!$B$82*Legend!$B$84*10^-3</f>
        <v>2145531.2816999997</v>
      </c>
      <c r="J156" s="174"/>
      <c r="K156" s="174"/>
    </row>
    <row r="157" spans="1:11">
      <c r="A157" s="215" t="s">
        <v>211</v>
      </c>
      <c r="B157" s="209">
        <f>SUMIFS('IGU(2020)_ReceivingTerminal'!$E:$E,'IGU(2020)_ReceivingTerminal'!$H:$H,$A157,'IGU(2020)_ReceivingTerminal'!$D:$D,"&lt;="&amp;B$74)*10^6*Legend!$B$92*Legend!$B$82*Legend!$B$84*10^-3</f>
        <v>371666.83619999996</v>
      </c>
      <c r="C157" s="209">
        <f>SUMIFS('IGU(2020)_ReceivingTerminal'!$E:$E,'IGU(2020)_ReceivingTerminal'!$H:$H,$A157,'IGU(2020)_ReceivingTerminal'!$D:$D,"&lt;="&amp;C$74)*10^6*Legend!$B$92*Legend!$B$82*Legend!$B$84*10^-3</f>
        <v>371666.83619999996</v>
      </c>
      <c r="D157" s="209">
        <f>SUMIFS('IGU(2020)_ReceivingTerminal'!$E:$E,'IGU(2020)_ReceivingTerminal'!$H:$H,$A157,'IGU(2020)_ReceivingTerminal'!$D:$D,"&lt;="&amp;D$74)*10^6*Legend!$B$92*Legend!$B$82*Legend!$B$84*10^-3</f>
        <v>478661.8345</v>
      </c>
      <c r="E157" s="209">
        <f>SUMIFS('IGU(2020)_ReceivingTerminal'!$E:$E,'IGU(2020)_ReceivingTerminal'!$H:$H,$A157,'IGU(2020)_ReceivingTerminal'!$D:$D,"&lt;="&amp;E$74)*10^6*Legend!$B$92*Legend!$B$82*Legend!$B$84*10^-3</f>
        <v>478661.8345</v>
      </c>
      <c r="F157" s="209">
        <f>SUMIFS('IGU(2020)_ReceivingTerminal'!$E:$E,'IGU(2020)_ReceivingTerminal'!$H:$H,$A157,'IGU(2020)_ReceivingTerminal'!$D:$D,"&lt;="&amp;F$74)*10^6*Legend!$B$92*Legend!$B$82*Legend!$B$84*10^-3</f>
        <v>478661.8345</v>
      </c>
      <c r="G157" s="209">
        <f>SUMIFS('IGU(2020)_ReceivingTerminal'!$E:$E,'IGU(2020)_ReceivingTerminal'!$H:$H,$A157,'IGU(2020)_ReceivingTerminal'!$D:$D,"&lt;="&amp;G$74)*10^6*Legend!$B$92*Legend!$B$82*Legend!$B$84*10^-3</f>
        <v>478661.8345</v>
      </c>
      <c r="H157" s="209">
        <f>SUMIFS('IGU(2020)_ReceivingTerminal'!$E:$E,'IGU(2020)_ReceivingTerminal'!$H:$H,$A157,'IGU(2020)_ReceivingTerminal'!$D:$D,"&lt;="&amp;H$74)*10^6*Legend!$B$92*Legend!$B$82*Legend!$B$84*10^-3</f>
        <v>478661.8345</v>
      </c>
      <c r="I157" s="220">
        <f>SUMIFS('IGU(2020)_ReceivingTerminal'!$E:$E,'IGU(2020)_ReceivingTerminal'!$H:$H,$A157,'IGU(2020)_ReceivingTerminal'!$D:$D,"&lt;="&amp;I$74)*10^6*Legend!$B$92*Legend!$B$82*Legend!$B$84*10^-3</f>
        <v>478661.8345</v>
      </c>
      <c r="J157" s="174"/>
      <c r="K157" s="174"/>
    </row>
    <row r="158" spans="1:11">
      <c r="A158" s="215" t="s">
        <v>214</v>
      </c>
      <c r="B158" s="209">
        <f>SUMIFS('IGU(2020)_ReceivingTerminal'!$E:$E,'IGU(2020)_ReceivingTerminal'!$H:$H,$A158,'IGU(2020)_ReceivingTerminal'!$D:$D,"&lt;="&amp;B$74)*10^6*Legend!$B$92*Legend!$B$82*Legend!$B$84*10^-3</f>
        <v>5079446.7613999993</v>
      </c>
      <c r="C158" s="209">
        <f>SUMIFS('IGU(2020)_ReceivingTerminal'!$E:$E,'IGU(2020)_ReceivingTerminal'!$H:$H,$A158,'IGU(2020)_ReceivingTerminal'!$D:$D,"&lt;="&amp;C$74)*10^6*Legend!$B$92*Legend!$B$82*Legend!$B$84*10^-3</f>
        <v>5079446.7613999993</v>
      </c>
      <c r="D158" s="209">
        <f>SUMIFS('IGU(2020)_ReceivingTerminal'!$E:$E,'IGU(2020)_ReceivingTerminal'!$H:$H,$A158,'IGU(2020)_ReceivingTerminal'!$D:$D,"&lt;="&amp;D$74)*10^6*Legend!$B$92*Legend!$B$82*Legend!$B$84*10^-3</f>
        <v>5113234.6555999992</v>
      </c>
      <c r="E158" s="209">
        <f>SUMIFS('IGU(2020)_ReceivingTerminal'!$E:$E,'IGU(2020)_ReceivingTerminal'!$H:$H,$A158,'IGU(2020)_ReceivingTerminal'!$D:$D,"&lt;="&amp;E$74)*10^6*Legend!$B$92*Legend!$B$82*Legend!$B$84*10^-3</f>
        <v>5113234.6555999992</v>
      </c>
      <c r="F158" s="209">
        <f>SUMIFS('IGU(2020)_ReceivingTerminal'!$E:$E,'IGU(2020)_ReceivingTerminal'!$H:$H,$A158,'IGU(2020)_ReceivingTerminal'!$D:$D,"&lt;="&amp;F$74)*10^6*Legend!$B$92*Legend!$B$82*Legend!$B$84*10^-3</f>
        <v>5113234.6555999992</v>
      </c>
      <c r="G158" s="209">
        <f>SUMIFS('IGU(2020)_ReceivingTerminal'!$E:$E,'IGU(2020)_ReceivingTerminal'!$H:$H,$A158,'IGU(2020)_ReceivingTerminal'!$D:$D,"&lt;="&amp;G$74)*10^6*Legend!$B$92*Legend!$B$82*Legend!$B$84*10^-3</f>
        <v>5113234.6555999992</v>
      </c>
      <c r="H158" s="209">
        <f>SUMIFS('IGU(2020)_ReceivingTerminal'!$E:$E,'IGU(2020)_ReceivingTerminal'!$H:$H,$A158,'IGU(2020)_ReceivingTerminal'!$D:$D,"&lt;="&amp;H$74)*10^6*Legend!$B$92*Legend!$B$82*Legend!$B$84*10^-3</f>
        <v>5113234.6555999992</v>
      </c>
      <c r="I158" s="220">
        <f>SUMIFS('IGU(2020)_ReceivingTerminal'!$E:$E,'IGU(2020)_ReceivingTerminal'!$H:$H,$A158,'IGU(2020)_ReceivingTerminal'!$D:$D,"&lt;="&amp;I$74)*10^6*Legend!$B$92*Legend!$B$82*Legend!$B$84*10^-3</f>
        <v>5113234.6555999992</v>
      </c>
      <c r="J158" s="174"/>
      <c r="K158" s="174"/>
    </row>
    <row r="159" spans="1:11">
      <c r="A159" s="215" t="s">
        <v>217</v>
      </c>
      <c r="B159" s="209">
        <f>SUMIFS('IGU(2020)_ReceivingTerminal'!$E:$E,'IGU(2020)_ReceivingTerminal'!$H:$H,$A159,'IGU(2020)_ReceivingTerminal'!$D:$D,"&lt;="&amp;B$74)*10^6*Legend!$B$92*Legend!$B$82*Legend!$B$84*10^-3</f>
        <v>878485.24919999996</v>
      </c>
      <c r="C159" s="209">
        <f>SUMIFS('IGU(2020)_ReceivingTerminal'!$E:$E,'IGU(2020)_ReceivingTerminal'!$H:$H,$A159,'IGU(2020)_ReceivingTerminal'!$D:$D,"&lt;="&amp;C$74)*10^6*Legend!$B$92*Legend!$B$82*Legend!$B$84*10^-3</f>
        <v>878485.24919999996</v>
      </c>
      <c r="D159" s="209">
        <f>SUMIFS('IGU(2020)_ReceivingTerminal'!$E:$E,'IGU(2020)_ReceivingTerminal'!$H:$H,$A159,'IGU(2020)_ReceivingTerminal'!$D:$D,"&lt;="&amp;D$74)*10^6*Legend!$B$92*Legend!$B$82*Legend!$B$84*10^-3</f>
        <v>878485.24919999996</v>
      </c>
      <c r="E159" s="209">
        <f>SUMIFS('IGU(2020)_ReceivingTerminal'!$E:$E,'IGU(2020)_ReceivingTerminal'!$H:$H,$A159,'IGU(2020)_ReceivingTerminal'!$D:$D,"&lt;="&amp;E$74)*10^6*Legend!$B$92*Legend!$B$82*Legend!$B$84*10^-3</f>
        <v>878485.24919999996</v>
      </c>
      <c r="F159" s="209">
        <f>SUMIFS('IGU(2020)_ReceivingTerminal'!$E:$E,'IGU(2020)_ReceivingTerminal'!$H:$H,$A159,'IGU(2020)_ReceivingTerminal'!$D:$D,"&lt;="&amp;F$74)*10^6*Legend!$B$92*Legend!$B$82*Legend!$B$84*10^-3</f>
        <v>878485.24919999996</v>
      </c>
      <c r="G159" s="209">
        <f>SUMIFS('IGU(2020)_ReceivingTerminal'!$E:$E,'IGU(2020)_ReceivingTerminal'!$H:$H,$A159,'IGU(2020)_ReceivingTerminal'!$D:$D,"&lt;="&amp;G$74)*10^6*Legend!$B$92*Legend!$B$82*Legend!$B$84*10^-3</f>
        <v>878485.24919999996</v>
      </c>
      <c r="H159" s="209">
        <f>SUMIFS('IGU(2020)_ReceivingTerminal'!$E:$E,'IGU(2020)_ReceivingTerminal'!$H:$H,$A159,'IGU(2020)_ReceivingTerminal'!$D:$D,"&lt;="&amp;H$74)*10^6*Legend!$B$92*Legend!$B$82*Legend!$B$84*10^-3</f>
        <v>878485.24919999996</v>
      </c>
      <c r="I159" s="220">
        <f>SUMIFS('IGU(2020)_ReceivingTerminal'!$E:$E,'IGU(2020)_ReceivingTerminal'!$H:$H,$A159,'IGU(2020)_ReceivingTerminal'!$D:$D,"&lt;="&amp;I$74)*10^6*Legend!$B$92*Legend!$B$82*Legend!$B$84*10^-3</f>
        <v>878485.24919999996</v>
      </c>
      <c r="J159" s="174"/>
      <c r="K159" s="174"/>
    </row>
    <row r="160" spans="1:11">
      <c r="A160" s="215" t="s">
        <v>220</v>
      </c>
      <c r="B160" s="209">
        <f>SUMIFS('IGU(2020)_ReceivingTerminal'!$E:$E,'IGU(2020)_ReceivingTerminal'!$H:$H,$A160,'IGU(2020)_ReceivingTerminal'!$D:$D,"&lt;="&amp;B$74)*10^6*Legend!$B$92*Legend!$B$82*Legend!$B$84*10^-3</f>
        <v>484293.15019999997</v>
      </c>
      <c r="C160" s="209">
        <f>SUMIFS('IGU(2020)_ReceivingTerminal'!$E:$E,'IGU(2020)_ReceivingTerminal'!$H:$H,$A160,'IGU(2020)_ReceivingTerminal'!$D:$D,"&lt;="&amp;C$74)*10^6*Legend!$B$92*Legend!$B$82*Legend!$B$84*10^-3</f>
        <v>653232.62119999994</v>
      </c>
      <c r="D160" s="209">
        <f>SUMIFS('IGU(2020)_ReceivingTerminal'!$E:$E,'IGU(2020)_ReceivingTerminal'!$H:$H,$A160,'IGU(2020)_ReceivingTerminal'!$D:$D,"&lt;="&amp;D$74)*10^6*Legend!$B$92*Legend!$B$82*Legend!$B$84*10^-3</f>
        <v>788384.19799999986</v>
      </c>
      <c r="E160" s="209">
        <f>SUMIFS('IGU(2020)_ReceivingTerminal'!$E:$E,'IGU(2020)_ReceivingTerminal'!$H:$H,$A160,'IGU(2020)_ReceivingTerminal'!$D:$D,"&lt;="&amp;E$74)*10^6*Legend!$B$92*Legend!$B$82*Legend!$B$84*10^-3</f>
        <v>844697.35499999998</v>
      </c>
      <c r="F160" s="209">
        <f>SUMIFS('IGU(2020)_ReceivingTerminal'!$E:$E,'IGU(2020)_ReceivingTerminal'!$H:$H,$A160,'IGU(2020)_ReceivingTerminal'!$D:$D,"&lt;="&amp;F$74)*10^6*Legend!$B$92*Legend!$B$82*Legend!$B$84*10^-3</f>
        <v>844697.35499999998</v>
      </c>
      <c r="G160" s="209">
        <f>SUMIFS('IGU(2020)_ReceivingTerminal'!$E:$E,'IGU(2020)_ReceivingTerminal'!$H:$H,$A160,'IGU(2020)_ReceivingTerminal'!$D:$D,"&lt;="&amp;G$74)*10^6*Legend!$B$92*Legend!$B$82*Legend!$B$84*10^-3</f>
        <v>844697.35499999998</v>
      </c>
      <c r="H160" s="209">
        <f>SUMIFS('IGU(2020)_ReceivingTerminal'!$E:$E,'IGU(2020)_ReceivingTerminal'!$H:$H,$A160,'IGU(2020)_ReceivingTerminal'!$D:$D,"&lt;="&amp;H$74)*10^6*Legend!$B$92*Legend!$B$82*Legend!$B$84*10^-3</f>
        <v>844697.35499999998</v>
      </c>
      <c r="I160" s="220">
        <f>SUMIFS('IGU(2020)_ReceivingTerminal'!$E:$E,'IGU(2020)_ReceivingTerminal'!$H:$H,$A160,'IGU(2020)_ReceivingTerminal'!$D:$D,"&lt;="&amp;I$74)*10^6*Legend!$B$92*Legend!$B$82*Legend!$B$84*10^-3</f>
        <v>844697.35499999998</v>
      </c>
      <c r="J160" s="174"/>
      <c r="K160" s="174"/>
    </row>
    <row r="161" spans="1:37">
      <c r="A161" s="215" t="s">
        <v>223</v>
      </c>
      <c r="B161" s="209">
        <f>SUMIFS('IGU(2020)_ReceivingTerminal'!$E:$E,'IGU(2020)_ReceivingTerminal'!$H:$H,$A161,'IGU(2020)_ReceivingTerminal'!$D:$D,"&lt;="&amp;B$74)*10^6*Legend!$B$92*Legend!$B$82*Legend!$B$84*10^-3</f>
        <v>1661238.1315000001</v>
      </c>
      <c r="C161" s="209">
        <f>SUMIFS('IGU(2020)_ReceivingTerminal'!$E:$E,'IGU(2020)_ReceivingTerminal'!$H:$H,$A161,'IGU(2020)_ReceivingTerminal'!$D:$D,"&lt;="&amp;C$74)*10^6*Legend!$B$92*Legend!$B$82*Legend!$B$84*10^-3</f>
        <v>2168056.5444999998</v>
      </c>
      <c r="D161" s="209">
        <f>SUMIFS('IGU(2020)_ReceivingTerminal'!$E:$E,'IGU(2020)_ReceivingTerminal'!$H:$H,$A161,'IGU(2020)_ReceivingTerminal'!$D:$D,"&lt;="&amp;D$74)*10^6*Legend!$B$92*Legend!$B$82*Legend!$B$84*10^-3</f>
        <v>2449622.3295</v>
      </c>
      <c r="E161" s="209">
        <f>SUMIFS('IGU(2020)_ReceivingTerminal'!$E:$E,'IGU(2020)_ReceivingTerminal'!$H:$H,$A161,'IGU(2020)_ReceivingTerminal'!$D:$D,"&lt;="&amp;E$74)*10^6*Legend!$B$92*Legend!$B$82*Legend!$B$84*10^-3</f>
        <v>2731188.1145000001</v>
      </c>
      <c r="F161" s="209">
        <f>SUMIFS('IGU(2020)_ReceivingTerminal'!$E:$E,'IGU(2020)_ReceivingTerminal'!$H:$H,$A161,'IGU(2020)_ReceivingTerminal'!$D:$D,"&lt;="&amp;F$74)*10^6*Legend!$B$92*Legend!$B$82*Legend!$B$84*10^-3</f>
        <v>2731188.1145000001</v>
      </c>
      <c r="G161" s="209">
        <f>SUMIFS('IGU(2020)_ReceivingTerminal'!$E:$E,'IGU(2020)_ReceivingTerminal'!$H:$H,$A161,'IGU(2020)_ReceivingTerminal'!$D:$D,"&lt;="&amp;G$74)*10^6*Legend!$B$92*Legend!$B$82*Legend!$B$84*10^-3</f>
        <v>2731188.1145000001</v>
      </c>
      <c r="H161" s="209">
        <f>SUMIFS('IGU(2020)_ReceivingTerminal'!$E:$E,'IGU(2020)_ReceivingTerminal'!$H:$H,$A161,'IGU(2020)_ReceivingTerminal'!$D:$D,"&lt;="&amp;H$74)*10^6*Legend!$B$92*Legend!$B$82*Legend!$B$84*10^-3</f>
        <v>2731188.1145000001</v>
      </c>
      <c r="I161" s="220">
        <f>SUMIFS('IGU(2020)_ReceivingTerminal'!$E:$E,'IGU(2020)_ReceivingTerminal'!$H:$H,$A161,'IGU(2020)_ReceivingTerminal'!$D:$D,"&lt;="&amp;I$74)*10^6*Legend!$B$92*Legend!$B$82*Legend!$B$84*10^-3</f>
        <v>2731188.1145000001</v>
      </c>
      <c r="J161" s="174"/>
      <c r="K161" s="174"/>
    </row>
    <row r="162" spans="1:37">
      <c r="A162" s="215" t="s">
        <v>225</v>
      </c>
      <c r="B162" s="209">
        <f>SUMIFS('IGU(2020)_ReceivingTerminal'!$E:$E,'IGU(2020)_ReceivingTerminal'!$H:$H,$A162,'IGU(2020)_ReceivingTerminal'!$D:$D,"&lt;="&amp;B$74)*10^6*Legend!$B$92*Legend!$B$82*Legend!$B$84*10^-3</f>
        <v>11853919.548500001</v>
      </c>
      <c r="C162" s="209">
        <f>SUMIFS('IGU(2020)_ReceivingTerminal'!$E:$E,'IGU(2020)_ReceivingTerminal'!$H:$H,$A162,'IGU(2020)_ReceivingTerminal'!$D:$D,"&lt;="&amp;C$74)*10^6*Legend!$B$92*Legend!$B$82*Legend!$B$84*10^-3</f>
        <v>11853919.548500001</v>
      </c>
      <c r="D162" s="209">
        <f>SUMIFS('IGU(2020)_ReceivingTerminal'!$E:$E,'IGU(2020)_ReceivingTerminal'!$H:$H,$A162,'IGU(2020)_ReceivingTerminal'!$D:$D,"&lt;="&amp;D$74)*10^6*Legend!$B$92*Legend!$B$82*Legend!$B$84*10^-3</f>
        <v>11853919.548500001</v>
      </c>
      <c r="E162" s="209">
        <f>SUMIFS('IGU(2020)_ReceivingTerminal'!$E:$E,'IGU(2020)_ReceivingTerminal'!$H:$H,$A162,'IGU(2020)_ReceivingTerminal'!$D:$D,"&lt;="&amp;E$74)*10^6*Legend!$B$92*Legend!$B$82*Legend!$B$84*10^-3</f>
        <v>11882076.127000002</v>
      </c>
      <c r="F162" s="209">
        <f>SUMIFS('IGU(2020)_ReceivingTerminal'!$E:$E,'IGU(2020)_ReceivingTerminal'!$H:$H,$A162,'IGU(2020)_ReceivingTerminal'!$D:$D,"&lt;="&amp;F$74)*10^6*Legend!$B$92*Legend!$B$82*Legend!$B$84*10^-3</f>
        <v>11882076.127000002</v>
      </c>
      <c r="G162" s="209">
        <f>SUMIFS('IGU(2020)_ReceivingTerminal'!$E:$E,'IGU(2020)_ReceivingTerminal'!$H:$H,$A162,'IGU(2020)_ReceivingTerminal'!$D:$D,"&lt;="&amp;G$74)*10^6*Legend!$B$92*Legend!$B$82*Legend!$B$84*10^-3</f>
        <v>11882076.127000002</v>
      </c>
      <c r="H162" s="209">
        <f>SUMIFS('IGU(2020)_ReceivingTerminal'!$E:$E,'IGU(2020)_ReceivingTerminal'!$H:$H,$A162,'IGU(2020)_ReceivingTerminal'!$D:$D,"&lt;="&amp;H$74)*10^6*Legend!$B$92*Legend!$B$82*Legend!$B$84*10^-3</f>
        <v>11882076.127000002</v>
      </c>
      <c r="I162" s="220">
        <f>SUMIFS('IGU(2020)_ReceivingTerminal'!$E:$E,'IGU(2020)_ReceivingTerminal'!$H:$H,$A162,'IGU(2020)_ReceivingTerminal'!$D:$D,"&lt;="&amp;I$74)*10^6*Legend!$B$92*Legend!$B$82*Legend!$B$84*10^-3</f>
        <v>11882076.127000002</v>
      </c>
      <c r="J162" s="174"/>
      <c r="K162" s="174"/>
    </row>
    <row r="163" spans="1:37">
      <c r="A163" s="215" t="s">
        <v>227</v>
      </c>
      <c r="B163" s="209">
        <f>SUMIFS('IGU(2020)_ReceivingTerminal'!$E:$E,'IGU(2020)_ReceivingTerminal'!$H:$H,$A163,'IGU(2020)_ReceivingTerminal'!$D:$D,"&lt;="&amp;B$74)*10^6*Legend!$B$92*Legend!$B$82*Legend!$B$84*10^-3</f>
        <v>489924.46590000001</v>
      </c>
      <c r="C163" s="209">
        <f>SUMIFS('IGU(2020)_ReceivingTerminal'!$E:$E,'IGU(2020)_ReceivingTerminal'!$H:$H,$A163,'IGU(2020)_ReceivingTerminal'!$D:$D,"&lt;="&amp;C$74)*10^6*Legend!$B$92*Legend!$B$82*Legend!$B$84*10^-3</f>
        <v>489924.46590000001</v>
      </c>
      <c r="D163" s="209">
        <f>SUMIFS('IGU(2020)_ReceivingTerminal'!$E:$E,'IGU(2020)_ReceivingTerminal'!$H:$H,$A163,'IGU(2020)_ReceivingTerminal'!$D:$D,"&lt;="&amp;D$74)*10^6*Legend!$B$92*Legend!$B$82*Legend!$B$84*10^-3</f>
        <v>518081.04440000001</v>
      </c>
      <c r="E163" s="209">
        <f>SUMIFS('IGU(2020)_ReceivingTerminal'!$E:$E,'IGU(2020)_ReceivingTerminal'!$H:$H,$A163,'IGU(2020)_ReceivingTerminal'!$D:$D,"&lt;="&amp;E$74)*10^6*Legend!$B$92*Legend!$B$82*Legend!$B$84*10^-3</f>
        <v>518081.04440000001</v>
      </c>
      <c r="F163" s="209">
        <f>SUMIFS('IGU(2020)_ReceivingTerminal'!$E:$E,'IGU(2020)_ReceivingTerminal'!$H:$H,$A163,'IGU(2020)_ReceivingTerminal'!$D:$D,"&lt;="&amp;F$74)*10^6*Legend!$B$92*Legend!$B$82*Legend!$B$84*10^-3</f>
        <v>518081.04440000001</v>
      </c>
      <c r="G163" s="209">
        <f>SUMIFS('IGU(2020)_ReceivingTerminal'!$E:$E,'IGU(2020)_ReceivingTerminal'!$H:$H,$A163,'IGU(2020)_ReceivingTerminal'!$D:$D,"&lt;="&amp;G$74)*10^6*Legend!$B$92*Legend!$B$82*Legend!$B$84*10^-3</f>
        <v>518081.04440000001</v>
      </c>
      <c r="H163" s="209">
        <f>SUMIFS('IGU(2020)_ReceivingTerminal'!$E:$E,'IGU(2020)_ReceivingTerminal'!$H:$H,$A163,'IGU(2020)_ReceivingTerminal'!$D:$D,"&lt;="&amp;H$74)*10^6*Legend!$B$92*Legend!$B$82*Legend!$B$84*10^-3</f>
        <v>518081.04440000001</v>
      </c>
      <c r="I163" s="220">
        <f>SUMIFS('IGU(2020)_ReceivingTerminal'!$E:$E,'IGU(2020)_ReceivingTerminal'!$H:$H,$A163,'IGU(2020)_ReceivingTerminal'!$D:$D,"&lt;="&amp;I$74)*10^6*Legend!$B$92*Legend!$B$82*Legend!$B$84*10^-3</f>
        <v>518081.04440000001</v>
      </c>
      <c r="J163" s="174"/>
      <c r="K163" s="174"/>
    </row>
    <row r="164" spans="1:37">
      <c r="A164" s="215" t="s">
        <v>230</v>
      </c>
      <c r="B164" s="209">
        <f>SUMIFS('IGU(2020)_ReceivingTerminal'!$E:$E,'IGU(2020)_ReceivingTerminal'!$H:$H,$A164,'IGU(2020)_ReceivingTerminal'!$D:$D,"&lt;="&amp;B$74)*10^6*Legend!$B$92*Legend!$B$82*Legend!$B$84*10^-3</f>
        <v>962954.98469999991</v>
      </c>
      <c r="C164" s="209">
        <f>SUMIFS('IGU(2020)_ReceivingTerminal'!$E:$E,'IGU(2020)_ReceivingTerminal'!$H:$H,$A164,'IGU(2020)_ReceivingTerminal'!$D:$D,"&lt;="&amp;C$74)*10^6*Legend!$B$92*Legend!$B$82*Legend!$B$84*10^-3</f>
        <v>1267046.0325</v>
      </c>
      <c r="D164" s="209">
        <f>SUMIFS('IGU(2020)_ReceivingTerminal'!$E:$E,'IGU(2020)_ReceivingTerminal'!$H:$H,$A164,'IGU(2020)_ReceivingTerminal'!$D:$D,"&lt;="&amp;D$74)*10^6*Legend!$B$92*Legend!$B$82*Legend!$B$84*10^-3</f>
        <v>1267046.0325</v>
      </c>
      <c r="E164" s="209">
        <f>SUMIFS('IGU(2020)_ReceivingTerminal'!$E:$E,'IGU(2020)_ReceivingTerminal'!$H:$H,$A164,'IGU(2020)_ReceivingTerminal'!$D:$D,"&lt;="&amp;E$74)*10^6*Legend!$B$92*Legend!$B$82*Legend!$B$84*10^-3</f>
        <v>1267046.0325</v>
      </c>
      <c r="F164" s="209">
        <f>SUMIFS('IGU(2020)_ReceivingTerminal'!$E:$E,'IGU(2020)_ReceivingTerminal'!$H:$H,$A164,'IGU(2020)_ReceivingTerminal'!$D:$D,"&lt;="&amp;F$74)*10^6*Legend!$B$92*Legend!$B$82*Legend!$B$84*10^-3</f>
        <v>1267046.0325</v>
      </c>
      <c r="G164" s="209">
        <f>SUMIFS('IGU(2020)_ReceivingTerminal'!$E:$E,'IGU(2020)_ReceivingTerminal'!$H:$H,$A164,'IGU(2020)_ReceivingTerminal'!$D:$D,"&lt;="&amp;G$74)*10^6*Legend!$B$92*Legend!$B$82*Legend!$B$84*10^-3</f>
        <v>1267046.0325</v>
      </c>
      <c r="H164" s="209">
        <f>SUMIFS('IGU(2020)_ReceivingTerminal'!$E:$E,'IGU(2020)_ReceivingTerminal'!$H:$H,$A164,'IGU(2020)_ReceivingTerminal'!$D:$D,"&lt;="&amp;H$74)*10^6*Legend!$B$92*Legend!$B$82*Legend!$B$84*10^-3</f>
        <v>1267046.0325</v>
      </c>
      <c r="I164" s="220">
        <f>SUMIFS('IGU(2020)_ReceivingTerminal'!$E:$E,'IGU(2020)_ReceivingTerminal'!$H:$H,$A164,'IGU(2020)_ReceivingTerminal'!$D:$D,"&lt;="&amp;I$74)*10^6*Legend!$B$92*Legend!$B$82*Legend!$B$84*10^-3</f>
        <v>1267046.0325</v>
      </c>
      <c r="J164" s="174"/>
      <c r="K164" s="174"/>
    </row>
    <row r="165" spans="1:37">
      <c r="A165" s="215" t="s">
        <v>233</v>
      </c>
      <c r="B165" s="209">
        <f>SUMIFS('IGU(2020)_ReceivingTerminal'!$E:$E,'IGU(2020)_ReceivingTerminal'!$H:$H,$A165,'IGU(2020)_ReceivingTerminal'!$D:$D,"&lt;="&amp;B$74)*10^6*Legend!$B$92*Legend!$B$82*Legend!$B$84*10^-3</f>
        <v>664495.25259999989</v>
      </c>
      <c r="C165" s="209">
        <f>SUMIFS('IGU(2020)_ReceivingTerminal'!$E:$E,'IGU(2020)_ReceivingTerminal'!$H:$H,$A165,'IGU(2020)_ReceivingTerminal'!$D:$D,"&lt;="&amp;C$74)*10^6*Legend!$B$92*Legend!$B$82*Legend!$B$84*10^-3</f>
        <v>1002374.1945999999</v>
      </c>
      <c r="D165" s="209">
        <f>SUMIFS('IGU(2020)_ReceivingTerminal'!$E:$E,'IGU(2020)_ReceivingTerminal'!$H:$H,$A165,'IGU(2020)_ReceivingTerminal'!$D:$D,"&lt;="&amp;D$74)*10^6*Legend!$B$92*Legend!$B$82*Legend!$B$84*10^-3</f>
        <v>2241263.6486</v>
      </c>
      <c r="E165" s="209">
        <f>SUMIFS('IGU(2020)_ReceivingTerminal'!$E:$E,'IGU(2020)_ReceivingTerminal'!$H:$H,$A165,'IGU(2020)_ReceivingTerminal'!$D:$D,"&lt;="&amp;E$74)*10^6*Legend!$B$92*Legend!$B$82*Legend!$B$84*10^-3</f>
        <v>2241263.6486</v>
      </c>
      <c r="F165" s="209">
        <f>SUMIFS('IGU(2020)_ReceivingTerminal'!$E:$E,'IGU(2020)_ReceivingTerminal'!$H:$H,$A165,'IGU(2020)_ReceivingTerminal'!$D:$D,"&lt;="&amp;F$74)*10^6*Legend!$B$92*Legend!$B$82*Legend!$B$84*10^-3</f>
        <v>2241263.6486</v>
      </c>
      <c r="G165" s="209">
        <f>SUMIFS('IGU(2020)_ReceivingTerminal'!$E:$E,'IGU(2020)_ReceivingTerminal'!$H:$H,$A165,'IGU(2020)_ReceivingTerminal'!$D:$D,"&lt;="&amp;G$74)*10^6*Legend!$B$92*Legend!$B$82*Legend!$B$84*10^-3</f>
        <v>2241263.6486</v>
      </c>
      <c r="H165" s="209">
        <f>SUMIFS('IGU(2020)_ReceivingTerminal'!$E:$E,'IGU(2020)_ReceivingTerminal'!$H:$H,$A165,'IGU(2020)_ReceivingTerminal'!$D:$D,"&lt;="&amp;H$74)*10^6*Legend!$B$92*Legend!$B$82*Legend!$B$84*10^-3</f>
        <v>2241263.6486</v>
      </c>
      <c r="I165" s="220">
        <f>SUMIFS('IGU(2020)_ReceivingTerminal'!$E:$E,'IGU(2020)_ReceivingTerminal'!$H:$H,$A165,'IGU(2020)_ReceivingTerminal'!$D:$D,"&lt;="&amp;I$74)*10^6*Legend!$B$92*Legend!$B$82*Legend!$B$84*10^-3</f>
        <v>2241263.6486</v>
      </c>
      <c r="J165" s="174"/>
      <c r="K165" s="174"/>
    </row>
    <row r="166" spans="1:37">
      <c r="A166" s="215" t="s">
        <v>236</v>
      </c>
      <c r="B166" s="209">
        <f>SUMIFS('IGU(2020)_ReceivingTerminal'!$E:$E,'IGU(2020)_ReceivingTerminal'!$H:$H,$A166,'IGU(2020)_ReceivingTerminal'!$D:$D,"&lt;="&amp;B$74)*10^6*Legend!$B$92*Legend!$B$82*Legend!$B$84*10^-3</f>
        <v>946061.03759999992</v>
      </c>
      <c r="C166" s="209">
        <f>SUMIFS('IGU(2020)_ReceivingTerminal'!$E:$E,'IGU(2020)_ReceivingTerminal'!$H:$H,$A166,'IGU(2020)_ReceivingTerminal'!$D:$D,"&lt;="&amp;C$74)*10^6*Legend!$B$92*Legend!$B$82*Legend!$B$84*10^-3</f>
        <v>1115000.5085999998</v>
      </c>
      <c r="D166" s="209">
        <f>SUMIFS('IGU(2020)_ReceivingTerminal'!$E:$E,'IGU(2020)_ReceivingTerminal'!$H:$H,$A166,'IGU(2020)_ReceivingTerminal'!$D:$D,"&lt;="&amp;D$74)*10^6*Legend!$B$92*Legend!$B$82*Legend!$B$84*10^-3</f>
        <v>1115000.5085999998</v>
      </c>
      <c r="E166" s="209">
        <f>SUMIFS('IGU(2020)_ReceivingTerminal'!$E:$E,'IGU(2020)_ReceivingTerminal'!$H:$H,$A166,'IGU(2020)_ReceivingTerminal'!$D:$D,"&lt;="&amp;E$74)*10^6*Legend!$B$92*Legend!$B$82*Legend!$B$84*10^-3</f>
        <v>1115000.5085999998</v>
      </c>
      <c r="F166" s="209">
        <f>SUMIFS('IGU(2020)_ReceivingTerminal'!$E:$E,'IGU(2020)_ReceivingTerminal'!$H:$H,$A166,'IGU(2020)_ReceivingTerminal'!$D:$D,"&lt;="&amp;F$74)*10^6*Legend!$B$92*Legend!$B$82*Legend!$B$84*10^-3</f>
        <v>1115000.5085999998</v>
      </c>
      <c r="G166" s="209">
        <f>SUMIFS('IGU(2020)_ReceivingTerminal'!$E:$E,'IGU(2020)_ReceivingTerminal'!$H:$H,$A166,'IGU(2020)_ReceivingTerminal'!$D:$D,"&lt;="&amp;G$74)*10^6*Legend!$B$92*Legend!$B$82*Legend!$B$84*10^-3</f>
        <v>1115000.5085999998</v>
      </c>
      <c r="H166" s="209">
        <f>SUMIFS('IGU(2020)_ReceivingTerminal'!$E:$E,'IGU(2020)_ReceivingTerminal'!$H:$H,$A166,'IGU(2020)_ReceivingTerminal'!$D:$D,"&lt;="&amp;H$74)*10^6*Legend!$B$92*Legend!$B$82*Legend!$B$84*10^-3</f>
        <v>1115000.5085999998</v>
      </c>
      <c r="I166" s="220">
        <f>SUMIFS('IGU(2020)_ReceivingTerminal'!$E:$E,'IGU(2020)_ReceivingTerminal'!$H:$H,$A166,'IGU(2020)_ReceivingTerminal'!$D:$D,"&lt;="&amp;I$74)*10^6*Legend!$B$92*Legend!$B$82*Legend!$B$84*10^-3</f>
        <v>1115000.5085999998</v>
      </c>
      <c r="J166" s="174"/>
      <c r="K166" s="174"/>
    </row>
    <row r="167" spans="1:37">
      <c r="A167" s="215" t="s">
        <v>238</v>
      </c>
      <c r="B167" s="209">
        <f>SUMIFS('IGU(2020)_ReceivingTerminal'!$E:$E,'IGU(2020)_ReceivingTerminal'!$H:$H,$A167,'IGU(2020)_ReceivingTerminal'!$D:$D,"&lt;="&amp;B$74)*10^6*Legend!$B$92*Legend!$B$82*Legend!$B$84*10^-3</f>
        <v>0</v>
      </c>
      <c r="C167" s="209">
        <f>SUMIFS('IGU(2020)_ReceivingTerminal'!$E:$E,'IGU(2020)_ReceivingTerminal'!$H:$H,$A167,'IGU(2020)_ReceivingTerminal'!$D:$D,"&lt;="&amp;C$74)*10^6*Legend!$B$92*Legend!$B$82*Legend!$B$84*10^-3</f>
        <v>0</v>
      </c>
      <c r="D167" s="209">
        <f>SUMIFS('IGU(2020)_ReceivingTerminal'!$E:$E,'IGU(2020)_ReceivingTerminal'!$H:$H,$A167,'IGU(2020)_ReceivingTerminal'!$D:$D,"&lt;="&amp;D$74)*10^6*Legend!$B$92*Legend!$B$82*Legend!$B$84*10^-3</f>
        <v>0</v>
      </c>
      <c r="E167" s="209">
        <f>SUMIFS('IGU(2020)_ReceivingTerminal'!$E:$E,'IGU(2020)_ReceivingTerminal'!$H:$H,$A167,'IGU(2020)_ReceivingTerminal'!$D:$D,"&lt;="&amp;E$74)*10^6*Legend!$B$92*Legend!$B$82*Legend!$B$84*10^-3</f>
        <v>0</v>
      </c>
      <c r="F167" s="209">
        <f>SUMIFS('IGU(2020)_ReceivingTerminal'!$E:$E,'IGU(2020)_ReceivingTerminal'!$H:$H,$A167,'IGU(2020)_ReceivingTerminal'!$D:$D,"&lt;="&amp;F$74)*10^6*Legend!$B$92*Legend!$B$82*Legend!$B$84*10^-3</f>
        <v>0</v>
      </c>
      <c r="G167" s="209">
        <f>SUMIFS('IGU(2020)_ReceivingTerminal'!$E:$E,'IGU(2020)_ReceivingTerminal'!$H:$H,$A167,'IGU(2020)_ReceivingTerminal'!$D:$D,"&lt;="&amp;G$74)*10^6*Legend!$B$92*Legend!$B$82*Legend!$B$84*10^-3</f>
        <v>0</v>
      </c>
      <c r="H167" s="209">
        <f>SUMIFS('IGU(2020)_ReceivingTerminal'!$E:$E,'IGU(2020)_ReceivingTerminal'!$H:$H,$A167,'IGU(2020)_ReceivingTerminal'!$D:$D,"&lt;="&amp;H$74)*10^6*Legend!$B$92*Legend!$B$82*Legend!$B$84*10^-3</f>
        <v>0</v>
      </c>
      <c r="I167" s="220">
        <f>SUMIFS('IGU(2020)_ReceivingTerminal'!$E:$E,'IGU(2020)_ReceivingTerminal'!$H:$H,$A167,'IGU(2020)_ReceivingTerminal'!$D:$D,"&lt;="&amp;I$74)*10^6*Legend!$B$92*Legend!$B$82*Legend!$B$84*10^-3</f>
        <v>0</v>
      </c>
      <c r="J167" s="174"/>
      <c r="K167" s="174"/>
    </row>
    <row r="168" spans="1:37">
      <c r="A168" s="215" t="s">
        <v>240</v>
      </c>
      <c r="B168" s="209">
        <f>SUMIFS('IGU(2020)_ReceivingTerminal'!$E:$E,'IGU(2020)_ReceivingTerminal'!$H:$H,$A168,'IGU(2020)_ReceivingTerminal'!$D:$D,"&lt;="&amp;B$74)*10^6*Legend!$B$92*Legend!$B$82*Legend!$B$84*10^-3</f>
        <v>0</v>
      </c>
      <c r="C168" s="209">
        <f>SUMIFS('IGU(2020)_ReceivingTerminal'!$E:$E,'IGU(2020)_ReceivingTerminal'!$H:$H,$A168,'IGU(2020)_ReceivingTerminal'!$D:$D,"&lt;="&amp;C$74)*10^6*Legend!$B$92*Legend!$B$82*Legend!$B$84*10^-3</f>
        <v>152045.52389999997</v>
      </c>
      <c r="D168" s="209">
        <f>SUMIFS('IGU(2020)_ReceivingTerminal'!$E:$E,'IGU(2020)_ReceivingTerminal'!$H:$H,$A168,'IGU(2020)_ReceivingTerminal'!$D:$D,"&lt;="&amp;D$74)*10^6*Legend!$B$92*Legend!$B$82*Legend!$B$84*10^-3</f>
        <v>152045.52389999997</v>
      </c>
      <c r="E168" s="209">
        <f>SUMIFS('IGU(2020)_ReceivingTerminal'!$E:$E,'IGU(2020)_ReceivingTerminal'!$H:$H,$A168,'IGU(2020)_ReceivingTerminal'!$D:$D,"&lt;="&amp;E$74)*10^6*Legend!$B$92*Legend!$B$82*Legend!$B$84*10^-3</f>
        <v>152045.52389999997</v>
      </c>
      <c r="F168" s="209">
        <f>SUMIFS('IGU(2020)_ReceivingTerminal'!$E:$E,'IGU(2020)_ReceivingTerminal'!$H:$H,$A168,'IGU(2020)_ReceivingTerminal'!$D:$D,"&lt;="&amp;F$74)*10^6*Legend!$B$92*Legend!$B$82*Legend!$B$84*10^-3</f>
        <v>152045.52389999997</v>
      </c>
      <c r="G168" s="209">
        <f>SUMIFS('IGU(2020)_ReceivingTerminal'!$E:$E,'IGU(2020)_ReceivingTerminal'!$H:$H,$A168,'IGU(2020)_ReceivingTerminal'!$D:$D,"&lt;="&amp;G$74)*10^6*Legend!$B$92*Legend!$B$82*Legend!$B$84*10^-3</f>
        <v>152045.52389999997</v>
      </c>
      <c r="H168" s="209">
        <f>SUMIFS('IGU(2020)_ReceivingTerminal'!$E:$E,'IGU(2020)_ReceivingTerminal'!$H:$H,$A168,'IGU(2020)_ReceivingTerminal'!$D:$D,"&lt;="&amp;H$74)*10^6*Legend!$B$92*Legend!$B$82*Legend!$B$84*10^-3</f>
        <v>152045.52389999997</v>
      </c>
      <c r="I168" s="220">
        <f>SUMIFS('IGU(2020)_ReceivingTerminal'!$E:$E,'IGU(2020)_ReceivingTerminal'!$H:$H,$A168,'IGU(2020)_ReceivingTerminal'!$D:$D,"&lt;="&amp;I$74)*10^6*Legend!$B$92*Legend!$B$82*Legend!$B$84*10^-3</f>
        <v>152045.52389999997</v>
      </c>
      <c r="J168" s="174"/>
      <c r="K168" s="174"/>
    </row>
    <row r="169" spans="1:37">
      <c r="A169" s="215" t="s">
        <v>243</v>
      </c>
      <c r="B169" s="209">
        <f>SUMIFS('IGU(2020)_ReceivingTerminal'!$E:$E,'IGU(2020)_ReceivingTerminal'!$H:$H,$A169,'IGU(2020)_ReceivingTerminal'!$D:$D,"&lt;="&amp;B$74)*10^6*Legend!$B$92*Legend!$B$82*Legend!$B$84*10^-3</f>
        <v>7872579.3485999992</v>
      </c>
      <c r="C169" s="209">
        <f>SUMIFS('IGU(2020)_ReceivingTerminal'!$E:$E,'IGU(2020)_ReceivingTerminal'!$H:$H,$A169,'IGU(2020)_ReceivingTerminal'!$D:$D,"&lt;="&amp;C$74)*10^6*Legend!$B$92*Legend!$B$82*Legend!$B$84*10^-3</f>
        <v>7872579.3485999992</v>
      </c>
      <c r="D169" s="209">
        <f>SUMIFS('IGU(2020)_ReceivingTerminal'!$E:$E,'IGU(2020)_ReceivingTerminal'!$H:$H,$A169,'IGU(2020)_ReceivingTerminal'!$D:$D,"&lt;="&amp;D$74)*10^6*Legend!$B$92*Legend!$B$82*Legend!$B$84*10^-3</f>
        <v>7872579.3485999992</v>
      </c>
      <c r="E169" s="209">
        <f>SUMIFS('IGU(2020)_ReceivingTerminal'!$E:$E,'IGU(2020)_ReceivingTerminal'!$H:$H,$A169,'IGU(2020)_ReceivingTerminal'!$D:$D,"&lt;="&amp;E$74)*10^6*Legend!$B$92*Legend!$B$82*Legend!$B$84*10^-3</f>
        <v>7872579.3485999992</v>
      </c>
      <c r="F169" s="209">
        <f>SUMIFS('IGU(2020)_ReceivingTerminal'!$E:$E,'IGU(2020)_ReceivingTerminal'!$H:$H,$A169,'IGU(2020)_ReceivingTerminal'!$D:$D,"&lt;="&amp;F$74)*10^6*Legend!$B$92*Legend!$B$82*Legend!$B$84*10^-3</f>
        <v>7872579.3485999992</v>
      </c>
      <c r="G169" s="209">
        <f>SUMIFS('IGU(2020)_ReceivingTerminal'!$E:$E,'IGU(2020)_ReceivingTerminal'!$H:$H,$A169,'IGU(2020)_ReceivingTerminal'!$D:$D,"&lt;="&amp;G$74)*10^6*Legend!$B$92*Legend!$B$82*Legend!$B$84*10^-3</f>
        <v>7872579.3485999992</v>
      </c>
      <c r="H169" s="209">
        <f>SUMIFS('IGU(2020)_ReceivingTerminal'!$E:$E,'IGU(2020)_ReceivingTerminal'!$H:$H,$A169,'IGU(2020)_ReceivingTerminal'!$D:$D,"&lt;="&amp;H$74)*10^6*Legend!$B$92*Legend!$B$82*Legend!$B$84*10^-3</f>
        <v>7872579.3485999992</v>
      </c>
      <c r="I169" s="220">
        <f>SUMIFS('IGU(2020)_ReceivingTerminal'!$E:$E,'IGU(2020)_ReceivingTerminal'!$H:$H,$A169,'IGU(2020)_ReceivingTerminal'!$D:$D,"&lt;="&amp;I$74)*10^6*Legend!$B$92*Legend!$B$82*Legend!$B$84*10^-3</f>
        <v>7872579.3485999992</v>
      </c>
      <c r="J169" s="174"/>
      <c r="K169" s="174"/>
    </row>
    <row r="170" spans="1:37">
      <c r="A170" s="229" t="s">
        <v>245</v>
      </c>
      <c r="B170" s="226">
        <f>SUMIFS('IGU(2020)_ReceivingTerminal'!$E:$E,'IGU(2020)_ReceivingTerminal'!$H:$H,$A170,'IGU(2020)_ReceivingTerminal'!$D:$D,"&lt;="&amp;B$74)*10^6*Legend!$B$92*Legend!$B$82*Legend!$B$84*10^-3</f>
        <v>2556617.3277999996</v>
      </c>
      <c r="C170" s="226">
        <f>SUMIFS('IGU(2020)_ReceivingTerminal'!$E:$E,'IGU(2020)_ReceivingTerminal'!$H:$H,$A170,'IGU(2020)_ReceivingTerminal'!$D:$D,"&lt;="&amp;C$74)*10^6*Legend!$B$92*Legend!$B$82*Legend!$B$84*10^-3</f>
        <v>2584773.9062999999</v>
      </c>
      <c r="D170" s="226">
        <f>SUMIFS('IGU(2020)_ReceivingTerminal'!$E:$E,'IGU(2020)_ReceivingTerminal'!$H:$H,$A170,'IGU(2020)_ReceivingTerminal'!$D:$D,"&lt;="&amp;D$74)*10^6*Legend!$B$92*Legend!$B$82*Legend!$B$84*10^-3</f>
        <v>2584773.9062999999</v>
      </c>
      <c r="E170" s="226">
        <f>SUMIFS('IGU(2020)_ReceivingTerminal'!$E:$E,'IGU(2020)_ReceivingTerminal'!$H:$H,$A170,'IGU(2020)_ReceivingTerminal'!$D:$D,"&lt;="&amp;E$74)*10^6*Legend!$B$92*Legend!$B$82*Legend!$B$84*10^-3</f>
        <v>2584773.9062999999</v>
      </c>
      <c r="F170" s="226">
        <f>SUMIFS('IGU(2020)_ReceivingTerminal'!$E:$E,'IGU(2020)_ReceivingTerminal'!$H:$H,$A170,'IGU(2020)_ReceivingTerminal'!$D:$D,"&lt;="&amp;F$74)*10^6*Legend!$B$92*Legend!$B$82*Legend!$B$84*10^-3</f>
        <v>2584773.9062999999</v>
      </c>
      <c r="G170" s="226">
        <f>SUMIFS('IGU(2020)_ReceivingTerminal'!$E:$E,'IGU(2020)_ReceivingTerminal'!$H:$H,$A170,'IGU(2020)_ReceivingTerminal'!$D:$D,"&lt;="&amp;G$74)*10^6*Legend!$B$92*Legend!$B$82*Legend!$B$84*10^-3</f>
        <v>2584773.9062999999</v>
      </c>
      <c r="H170" s="226">
        <f>SUMIFS('IGU(2020)_ReceivingTerminal'!$E:$E,'IGU(2020)_ReceivingTerminal'!$H:$H,$A170,'IGU(2020)_ReceivingTerminal'!$D:$D,"&lt;="&amp;H$74)*10^6*Legend!$B$92*Legend!$B$82*Legend!$B$84*10^-3</f>
        <v>2584773.9062999999</v>
      </c>
      <c r="I170" s="224">
        <f>SUMIFS('IGU(2020)_ReceivingTerminal'!$E:$E,'IGU(2020)_ReceivingTerminal'!$H:$H,$A170,'IGU(2020)_ReceivingTerminal'!$D:$D,"&lt;="&amp;I$74)*10^6*Legend!$B$92*Legend!$B$82*Legend!$B$84*10^-3</f>
        <v>2584773.9062999999</v>
      </c>
      <c r="J170" s="174"/>
      <c r="K170" s="174"/>
    </row>
    <row r="172" spans="1:37">
      <c r="A172" s="345" t="s">
        <v>885</v>
      </c>
      <c r="J172" s="174"/>
      <c r="K172" s="174"/>
      <c r="L172" s="174"/>
      <c r="M172" s="174"/>
      <c r="N172" s="174"/>
      <c r="O172" s="174"/>
      <c r="P172" s="174"/>
      <c r="Q172" s="174"/>
      <c r="R172" s="174"/>
      <c r="S172" s="174"/>
      <c r="T172" s="174"/>
      <c r="U172" s="174"/>
      <c r="V172" s="174"/>
      <c r="W172" s="174"/>
      <c r="X172" s="174"/>
      <c r="Y172" s="174"/>
      <c r="Z172" s="174"/>
      <c r="AA172" s="174"/>
      <c r="AB172" s="174"/>
      <c r="AC172" s="174"/>
      <c r="AD172" s="174"/>
      <c r="AE172" s="174"/>
      <c r="AF172" s="174"/>
      <c r="AG172" s="174"/>
      <c r="AH172" s="174"/>
      <c r="AI172" s="174"/>
      <c r="AJ172" s="174"/>
      <c r="AK172" s="174"/>
    </row>
    <row r="174" spans="1:37">
      <c r="A174" s="175" t="s">
        <v>880</v>
      </c>
    </row>
    <row r="176" spans="1:37">
      <c r="A176" s="351" t="s">
        <v>387</v>
      </c>
      <c r="B176" s="228">
        <v>2019</v>
      </c>
    </row>
    <row r="177" spans="1:11">
      <c r="A177" s="215" t="s">
        <v>172</v>
      </c>
      <c r="B177" s="220" cm="1">
        <f t="array" ref="B177">SUMPRODUCT($B$7:$AC$34*($B$6:$AC$6=$A109))</f>
        <v>0</v>
      </c>
      <c r="C177" s="209"/>
      <c r="D177" s="209"/>
      <c r="E177" s="209"/>
      <c r="F177" s="209"/>
      <c r="G177" s="209"/>
      <c r="H177" s="209"/>
      <c r="I177" s="209"/>
      <c r="J177" s="174"/>
      <c r="K177" s="174"/>
    </row>
    <row r="178" spans="1:11">
      <c r="A178" s="215" t="s">
        <v>175</v>
      </c>
      <c r="B178" s="220" cm="1">
        <f t="array" ref="B178">SUMPRODUCT($B$7:$AC$34*($B$6:$AC$6=$A110))</f>
        <v>5631.3156999999983</v>
      </c>
      <c r="C178" s="209"/>
      <c r="D178" s="209"/>
      <c r="E178" s="209"/>
      <c r="F178" s="209"/>
      <c r="G178" s="209"/>
      <c r="H178" s="209"/>
      <c r="I178" s="209"/>
      <c r="J178" s="174"/>
      <c r="K178" s="174"/>
    </row>
    <row r="179" spans="1:11">
      <c r="A179" s="215" t="s">
        <v>178</v>
      </c>
      <c r="B179" s="220" cm="1">
        <f t="array" ref="B179">SUMPRODUCT($B$7:$AC$34*($B$6:$AC$6=$A111))</f>
        <v>0</v>
      </c>
      <c r="C179" s="209"/>
      <c r="D179" s="209"/>
      <c r="E179" s="209"/>
      <c r="F179" s="209"/>
      <c r="G179" s="209"/>
      <c r="H179" s="209"/>
      <c r="I179" s="209"/>
      <c r="J179" s="174"/>
      <c r="K179" s="174"/>
    </row>
    <row r="180" spans="1:11">
      <c r="A180" s="215" t="s">
        <v>181</v>
      </c>
      <c r="B180" s="220" cm="1">
        <f t="array" ref="B180">SUMPRODUCT($B$7:$AC$34*($B$6:$AC$6=$A112))</f>
        <v>0</v>
      </c>
      <c r="C180" s="209"/>
      <c r="D180" s="209"/>
      <c r="E180" s="209"/>
      <c r="F180" s="209"/>
      <c r="G180" s="209"/>
      <c r="H180" s="209"/>
      <c r="I180" s="209"/>
      <c r="J180" s="174"/>
      <c r="K180" s="174"/>
    </row>
    <row r="181" spans="1:11">
      <c r="A181" s="215" t="s">
        <v>184</v>
      </c>
      <c r="B181" s="220" cm="1">
        <f t="array" ref="B181">SUMPRODUCT($B$7:$AC$34*($B$6:$AC$6=$A113))</f>
        <v>0</v>
      </c>
      <c r="C181" s="209"/>
      <c r="D181" s="209"/>
      <c r="E181" s="209"/>
      <c r="F181" s="209"/>
      <c r="G181" s="209"/>
      <c r="H181" s="209"/>
      <c r="I181" s="209"/>
      <c r="J181" s="174"/>
      <c r="K181" s="174"/>
    </row>
    <row r="182" spans="1:11">
      <c r="A182" s="215" t="s">
        <v>187</v>
      </c>
      <c r="B182" s="220" cm="1">
        <f t="array" ref="B182">SUMPRODUCT($B$7:$AC$34*($B$6:$AC$6=$A114))</f>
        <v>0</v>
      </c>
      <c r="C182" s="209"/>
      <c r="D182" s="209"/>
      <c r="E182" s="209"/>
      <c r="F182" s="209"/>
      <c r="G182" s="209"/>
      <c r="H182" s="209"/>
      <c r="I182" s="209"/>
      <c r="J182" s="174"/>
      <c r="K182" s="174"/>
    </row>
    <row r="183" spans="1:11">
      <c r="A183" s="215" t="s">
        <v>190</v>
      </c>
      <c r="B183" s="220" cm="1">
        <f t="array" ref="B183">SUMPRODUCT($B$7:$AC$34*($B$6:$AC$6=$A115))</f>
        <v>653232.62119999982</v>
      </c>
      <c r="C183" s="209"/>
      <c r="D183" s="209"/>
      <c r="E183" s="209"/>
      <c r="F183" s="209"/>
      <c r="G183" s="209"/>
      <c r="H183" s="209"/>
      <c r="I183" s="209"/>
      <c r="J183" s="174"/>
      <c r="K183" s="174"/>
    </row>
    <row r="184" spans="1:11">
      <c r="A184" s="375" t="s">
        <v>193</v>
      </c>
      <c r="B184" s="220" cm="1">
        <f t="array" ref="B184">SUMPRODUCT($B$7:$AC$34*($B$6:$AC$6=$A116))</f>
        <v>698283.14679999987</v>
      </c>
      <c r="C184" s="209"/>
      <c r="D184" s="209"/>
      <c r="E184" s="209"/>
      <c r="F184" s="209"/>
      <c r="G184" s="209"/>
      <c r="H184" s="209"/>
      <c r="I184" s="209"/>
      <c r="J184" s="174"/>
      <c r="K184" s="174"/>
    </row>
    <row r="185" spans="1:11">
      <c r="A185" s="215" t="s">
        <v>196</v>
      </c>
      <c r="B185" s="220" cm="1">
        <f t="array" ref="B185">SUMPRODUCT($B$7:$AC$34*($B$6:$AC$6=$A117))</f>
        <v>129520.26109999999</v>
      </c>
      <c r="C185" s="209"/>
      <c r="D185" s="209"/>
      <c r="E185" s="209"/>
      <c r="F185" s="209"/>
      <c r="G185" s="209"/>
      <c r="H185" s="209"/>
      <c r="I185" s="209"/>
      <c r="J185" s="174"/>
      <c r="K185" s="174"/>
    </row>
    <row r="186" spans="1:11">
      <c r="A186" s="215" t="s">
        <v>198</v>
      </c>
      <c r="B186" s="220" cm="1">
        <f t="array" ref="B186">SUMPRODUCT($B$7:$AC$34*($B$6:$AC$6=$A118))</f>
        <v>22525.262799999997</v>
      </c>
      <c r="C186" s="209"/>
      <c r="D186" s="209"/>
      <c r="E186" s="209"/>
      <c r="F186" s="209"/>
      <c r="G186" s="209"/>
      <c r="H186" s="209"/>
      <c r="I186" s="209"/>
      <c r="J186" s="174"/>
      <c r="K186" s="174"/>
    </row>
    <row r="187" spans="1:11">
      <c r="A187" s="215" t="s">
        <v>200</v>
      </c>
      <c r="B187" s="220" cm="1">
        <f t="array" ref="B187">SUMPRODUCT($B$7:$AC$34*($B$6:$AC$6=$A119))</f>
        <v>135151.57679999998</v>
      </c>
      <c r="C187" s="209"/>
      <c r="D187" s="209"/>
      <c r="E187" s="209"/>
      <c r="F187" s="209"/>
      <c r="G187" s="209"/>
      <c r="H187" s="209"/>
      <c r="I187" s="209"/>
      <c r="J187" s="174"/>
      <c r="K187" s="174"/>
    </row>
    <row r="188" spans="1:11">
      <c r="A188" s="375" t="s">
        <v>202</v>
      </c>
      <c r="B188" s="220" cm="1">
        <f t="array" ref="B188">SUMPRODUCT($B$7:$AC$34*($B$6:$AC$6=$A120))</f>
        <v>3451996.5240999986</v>
      </c>
      <c r="C188" s="209"/>
      <c r="D188" s="209"/>
      <c r="E188" s="209"/>
      <c r="F188" s="209"/>
      <c r="G188" s="209"/>
      <c r="H188" s="209"/>
      <c r="I188" s="209"/>
      <c r="J188" s="174"/>
      <c r="K188" s="174"/>
    </row>
    <row r="189" spans="1:11">
      <c r="A189" s="215" t="s">
        <v>205</v>
      </c>
      <c r="B189" s="220" cm="1">
        <f t="array" ref="B189">SUMPRODUCT($B$7:$AC$34*($B$6:$AC$6=$A121))</f>
        <v>0</v>
      </c>
      <c r="C189" s="209"/>
      <c r="D189" s="209"/>
      <c r="E189" s="209"/>
      <c r="F189" s="209"/>
      <c r="G189" s="209"/>
      <c r="H189" s="209"/>
      <c r="I189" s="209"/>
      <c r="J189" s="174"/>
      <c r="K189" s="174"/>
    </row>
    <row r="190" spans="1:11">
      <c r="A190" s="215" t="s">
        <v>208</v>
      </c>
      <c r="B190" s="220" cm="1">
        <f t="array" ref="B190">SUMPRODUCT($B$7:$AC$34*($B$6:$AC$6=$A122))</f>
        <v>777121.56659999979</v>
      </c>
      <c r="C190" s="209"/>
      <c r="D190" s="209"/>
      <c r="E190" s="209"/>
      <c r="F190" s="209"/>
      <c r="G190" s="209"/>
      <c r="H190" s="209"/>
      <c r="I190" s="209"/>
      <c r="J190" s="174"/>
      <c r="K190" s="174"/>
    </row>
    <row r="191" spans="1:11">
      <c r="A191" s="215" t="s">
        <v>211</v>
      </c>
      <c r="B191" s="220" cm="1">
        <f t="array" ref="B191">SUMPRODUCT($B$7:$AC$34*($B$6:$AC$6=$A123))</f>
        <v>219621.31229999993</v>
      </c>
      <c r="C191" s="209"/>
      <c r="D191" s="209"/>
      <c r="E191" s="209"/>
      <c r="F191" s="209"/>
      <c r="G191" s="209"/>
      <c r="H191" s="209"/>
      <c r="I191" s="209"/>
      <c r="J191" s="174"/>
      <c r="K191" s="174"/>
    </row>
    <row r="192" spans="1:11">
      <c r="A192" s="215" t="s">
        <v>214</v>
      </c>
      <c r="B192" s="220" cm="1">
        <f t="array" ref="B192">SUMPRODUCT($B$7:$AC$34*($B$6:$AC$6=$A124))</f>
        <v>2736819.4302000003</v>
      </c>
      <c r="C192" s="209"/>
      <c r="D192" s="209"/>
      <c r="E192" s="209"/>
      <c r="F192" s="209"/>
      <c r="G192" s="209"/>
      <c r="H192" s="209"/>
      <c r="I192" s="209"/>
      <c r="J192" s="174"/>
      <c r="K192" s="174"/>
    </row>
    <row r="193" spans="1:11">
      <c r="A193" s="215" t="s">
        <v>217</v>
      </c>
      <c r="B193" s="220" cm="1">
        <f t="array" ref="B193">SUMPRODUCT($B$7:$AC$34*($B$6:$AC$6=$A125))</f>
        <v>636338.67409999983</v>
      </c>
      <c r="C193" s="209"/>
      <c r="D193" s="209"/>
      <c r="E193" s="209"/>
      <c r="F193" s="209"/>
      <c r="G193" s="209"/>
      <c r="H193" s="209"/>
      <c r="I193" s="209"/>
      <c r="J193" s="174"/>
      <c r="K193" s="174"/>
    </row>
    <row r="194" spans="1:11">
      <c r="A194" s="215" t="s">
        <v>220</v>
      </c>
      <c r="B194" s="220" cm="1">
        <f t="array" ref="B194">SUMPRODUCT($B$7:$AC$34*($B$6:$AC$6=$A126))</f>
        <v>208358.68089999998</v>
      </c>
      <c r="C194" s="209"/>
      <c r="D194" s="209"/>
      <c r="E194" s="209"/>
      <c r="F194" s="209"/>
      <c r="G194" s="209"/>
      <c r="H194" s="209"/>
      <c r="I194" s="209"/>
      <c r="J194" s="174"/>
      <c r="K194" s="174"/>
    </row>
    <row r="195" spans="1:11">
      <c r="A195" s="215" t="s">
        <v>223</v>
      </c>
      <c r="B195" s="220" cm="1">
        <f t="array" ref="B195">SUMPRODUCT($B$7:$AC$34*($B$6:$AC$6=$A127))</f>
        <v>1340253.1365999996</v>
      </c>
      <c r="C195" s="209"/>
      <c r="D195" s="209"/>
      <c r="E195" s="209"/>
      <c r="F195" s="209"/>
      <c r="G195" s="209"/>
      <c r="H195" s="209"/>
      <c r="I195" s="209"/>
      <c r="J195" s="174"/>
      <c r="K195" s="174"/>
    </row>
    <row r="196" spans="1:11">
      <c r="A196" s="215" t="s">
        <v>225</v>
      </c>
      <c r="B196" s="220" cm="1">
        <f t="array" ref="B196">SUMPRODUCT($B$7:$AC$34*($B$6:$AC$6=$A128))</f>
        <v>4319219.1418999992</v>
      </c>
      <c r="C196" s="209"/>
      <c r="D196" s="209"/>
      <c r="E196" s="209"/>
      <c r="F196" s="209"/>
      <c r="G196" s="209"/>
      <c r="H196" s="209"/>
      <c r="I196" s="209"/>
      <c r="J196" s="174"/>
      <c r="K196" s="174"/>
    </row>
    <row r="197" spans="1:11">
      <c r="A197" s="215" t="s">
        <v>227</v>
      </c>
      <c r="B197" s="220" cm="1">
        <f t="array" ref="B197">SUMPRODUCT($B$7:$AC$34*($B$6:$AC$6=$A129))</f>
        <v>185833.41810000001</v>
      </c>
      <c r="C197" s="209"/>
      <c r="D197" s="209"/>
      <c r="E197" s="209"/>
      <c r="F197" s="209"/>
      <c r="G197" s="209"/>
      <c r="H197" s="209"/>
      <c r="I197" s="209"/>
      <c r="J197" s="174"/>
      <c r="K197" s="174"/>
    </row>
    <row r="198" spans="1:11">
      <c r="A198" s="215" t="s">
        <v>230</v>
      </c>
      <c r="B198" s="220" cm="1">
        <f t="array" ref="B198">SUMPRODUCT($B$7:$AC$34*($B$6:$AC$6=$A130))</f>
        <v>647601.30549999978</v>
      </c>
      <c r="C198" s="209"/>
      <c r="D198" s="209"/>
      <c r="E198" s="209"/>
      <c r="F198" s="209"/>
      <c r="G198" s="209"/>
      <c r="H198" s="209"/>
      <c r="I198" s="209"/>
      <c r="J198" s="174"/>
      <c r="K198" s="174"/>
    </row>
    <row r="199" spans="1:11">
      <c r="A199" s="215" t="s">
        <v>233</v>
      </c>
      <c r="B199" s="220" cm="1">
        <f t="array" ref="B199">SUMPRODUCT($B$7:$AC$34*($B$6:$AC$6=$A131))</f>
        <v>275934.4693</v>
      </c>
      <c r="C199" s="209"/>
      <c r="D199" s="209"/>
      <c r="E199" s="209"/>
      <c r="F199" s="209"/>
      <c r="G199" s="209"/>
      <c r="H199" s="209"/>
      <c r="I199" s="209"/>
      <c r="J199" s="174"/>
      <c r="K199" s="174"/>
    </row>
    <row r="200" spans="1:11">
      <c r="A200" s="215" t="s">
        <v>236</v>
      </c>
      <c r="B200" s="220" cm="1">
        <f t="array" ref="B200">SUMPRODUCT($B$7:$AC$34*($B$6:$AC$6=$A132))</f>
        <v>270303.15359999996</v>
      </c>
      <c r="C200" s="209"/>
      <c r="D200" s="209"/>
      <c r="E200" s="209"/>
      <c r="F200" s="209"/>
      <c r="G200" s="209"/>
      <c r="H200" s="209"/>
      <c r="I200" s="209"/>
      <c r="J200" s="174"/>
      <c r="K200" s="174"/>
    </row>
    <row r="201" spans="1:11">
      <c r="A201" s="215" t="s">
        <v>238</v>
      </c>
      <c r="B201" s="220" cm="1">
        <f t="array" ref="B201">SUMPRODUCT($B$7:$AC$34*($B$6:$AC$6=$A133))</f>
        <v>0</v>
      </c>
      <c r="C201" s="209"/>
      <c r="D201" s="209"/>
      <c r="E201" s="209"/>
      <c r="F201" s="209"/>
      <c r="G201" s="209"/>
      <c r="H201" s="209"/>
      <c r="I201" s="209"/>
      <c r="J201" s="174"/>
      <c r="K201" s="174"/>
    </row>
    <row r="202" spans="1:11">
      <c r="A202" s="215" t="s">
        <v>240</v>
      </c>
      <c r="B202" s="220" cm="1">
        <f t="array" ref="B202">SUMPRODUCT($B$7:$AC$34*($B$6:$AC$6=$A134))</f>
        <v>0</v>
      </c>
      <c r="C202" s="209"/>
      <c r="D202" s="209"/>
      <c r="E202" s="209"/>
      <c r="F202" s="209"/>
      <c r="G202" s="209"/>
      <c r="H202" s="209"/>
      <c r="I202" s="209"/>
      <c r="J202" s="174"/>
      <c r="K202" s="174"/>
    </row>
    <row r="203" spans="1:11">
      <c r="A203" s="215" t="s">
        <v>243</v>
      </c>
      <c r="B203" s="220" cm="1">
        <f t="array" ref="B203">SUMPRODUCT($B$7:$AC$34*($B$6:$AC$6=$A135))</f>
        <v>3198587.3175999988</v>
      </c>
      <c r="C203" s="209"/>
      <c r="D203" s="209"/>
      <c r="E203" s="209"/>
      <c r="F203" s="209"/>
      <c r="G203" s="209"/>
      <c r="H203" s="209"/>
      <c r="I203" s="209"/>
      <c r="J203" s="174"/>
      <c r="K203" s="174"/>
    </row>
    <row r="204" spans="1:11">
      <c r="A204" s="229" t="s">
        <v>245</v>
      </c>
      <c r="B204" s="224" cm="1">
        <f t="array" ref="B204">SUMPRODUCT($B$7:$AC$34*($B$6:$AC$6=$A136))</f>
        <v>140782.89250000002</v>
      </c>
      <c r="C204" s="209"/>
      <c r="D204" s="209"/>
      <c r="E204" s="209"/>
      <c r="F204" s="209"/>
      <c r="G204" s="209"/>
      <c r="H204" s="209"/>
      <c r="I204" s="209"/>
      <c r="J204" s="174"/>
      <c r="K204" s="174"/>
    </row>
    <row r="206" spans="1:11">
      <c r="A206" s="345" t="s">
        <v>886</v>
      </c>
    </row>
    <row r="208" spans="1:11">
      <c r="A208" s="227"/>
      <c r="B208" s="358" t="s">
        <v>887</v>
      </c>
      <c r="C208" s="228" t="s">
        <v>888</v>
      </c>
    </row>
    <row r="209" spans="1:32">
      <c r="A209" s="215"/>
      <c r="B209" t="s">
        <v>889</v>
      </c>
      <c r="C209" s="218" t="s">
        <v>889</v>
      </c>
    </row>
    <row r="210" spans="1:32">
      <c r="A210" s="215" t="s">
        <v>890</v>
      </c>
      <c r="B210" s="376">
        <v>0.15</v>
      </c>
      <c r="C210" s="377">
        <v>0.02</v>
      </c>
    </row>
    <row r="211" spans="1:32">
      <c r="A211" s="229" t="s">
        <v>251</v>
      </c>
      <c r="B211" s="236" t="s">
        <v>891</v>
      </c>
      <c r="C211" s="230" t="s">
        <v>891</v>
      </c>
    </row>
    <row r="212" spans="1:32">
      <c r="A212" s="227"/>
      <c r="B212" s="358" t="s">
        <v>892</v>
      </c>
      <c r="C212" s="228" t="s">
        <v>893</v>
      </c>
      <c r="D212" s="358" t="s">
        <v>894</v>
      </c>
      <c r="E212" s="228" t="s">
        <v>895</v>
      </c>
    </row>
    <row r="213" spans="1:32">
      <c r="A213" s="215" t="s">
        <v>896</v>
      </c>
      <c r="B213" s="355">
        <v>1285</v>
      </c>
      <c r="C213" s="378">
        <v>100</v>
      </c>
      <c r="D213" s="381">
        <f>B213/(10^6*Legend!$B$92*Legend!$B$82*Legend!$B$84*10^-3)*SUMIFS(Consumer_Price_index!$BP:$BP,Consumer_Price_index!$B:$B,"USA")/SUMIFS(Consumer_Price_index!$BK:$BK,Consumer_Price_index!$B:$B,"USA")</f>
        <v>2.7689137768110633E-2</v>
      </c>
      <c r="E213" s="380">
        <f>C213/(10^6*Legend!$B$92*Legend!$B$82*Legend!$B$84*10^-3)*SUMIFS(Consumer_Price_index!$BP:$BP,Consumer_Price_index!$B:$B,"USA")/SUMIFS(Consumer_Price_index!$BJ:$BJ,Consumer_Price_index!$B:$B,"USA")</f>
        <v>2.2074294180776596E-3</v>
      </c>
    </row>
    <row r="214" spans="1:32">
      <c r="A214" s="229" t="s">
        <v>251</v>
      </c>
      <c r="B214" s="236" t="s">
        <v>897</v>
      </c>
      <c r="C214" s="230" t="s">
        <v>898</v>
      </c>
      <c r="D214" s="236" t="s">
        <v>897</v>
      </c>
      <c r="E214" s="230" t="s">
        <v>898</v>
      </c>
    </row>
    <row r="215" spans="1:32">
      <c r="A215" s="227"/>
      <c r="B215" s="358" t="s">
        <v>655</v>
      </c>
      <c r="C215" s="358" t="s">
        <v>655</v>
      </c>
    </row>
    <row r="216" spans="1:32">
      <c r="A216" s="215" t="s">
        <v>861</v>
      </c>
      <c r="B216" s="355">
        <v>20</v>
      </c>
      <c r="C216" s="342">
        <v>35</v>
      </c>
    </row>
    <row r="217" spans="1:32">
      <c r="A217" s="229" t="s">
        <v>251</v>
      </c>
      <c r="B217" s="236" t="s">
        <v>897</v>
      </c>
      <c r="C217" s="230"/>
    </row>
    <row r="219" spans="1:32">
      <c r="A219" s="345" t="s">
        <v>899</v>
      </c>
    </row>
    <row r="221" spans="1:32" s="60" customFormat="1" ht="14.4">
      <c r="A221" s="63"/>
      <c r="B221" s="86"/>
      <c r="C221" s="63"/>
      <c r="D221" s="63"/>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86"/>
    </row>
    <row r="222" spans="1:32" s="59" customFormat="1">
      <c r="A222" s="68" t="s">
        <v>717</v>
      </c>
      <c r="B222" s="90" t="s">
        <v>727</v>
      </c>
      <c r="C222" s="68" t="s">
        <v>718</v>
      </c>
      <c r="D222" s="68" t="s">
        <v>375</v>
      </c>
      <c r="E222" s="69" t="s">
        <v>172</v>
      </c>
      <c r="F222" s="69" t="s">
        <v>175</v>
      </c>
      <c r="G222" s="69" t="s">
        <v>178</v>
      </c>
      <c r="H222" s="69" t="s">
        <v>181</v>
      </c>
      <c r="I222" s="69" t="s">
        <v>184</v>
      </c>
      <c r="J222" s="69" t="s">
        <v>187</v>
      </c>
      <c r="K222" s="69" t="s">
        <v>190</v>
      </c>
      <c r="L222" s="69" t="s">
        <v>193</v>
      </c>
      <c r="M222" s="69" t="s">
        <v>196</v>
      </c>
      <c r="N222" s="69" t="s">
        <v>198</v>
      </c>
      <c r="O222" s="69" t="s">
        <v>200</v>
      </c>
      <c r="P222" s="69" t="s">
        <v>202</v>
      </c>
      <c r="Q222" s="69" t="s">
        <v>205</v>
      </c>
      <c r="R222" s="69" t="s">
        <v>208</v>
      </c>
      <c r="S222" s="69" t="s">
        <v>211</v>
      </c>
      <c r="T222" s="69" t="s">
        <v>214</v>
      </c>
      <c r="U222" s="69" t="s">
        <v>217</v>
      </c>
      <c r="V222" s="69" t="s">
        <v>220</v>
      </c>
      <c r="W222" s="69" t="s">
        <v>223</v>
      </c>
      <c r="X222" s="69" t="s">
        <v>225</v>
      </c>
      <c r="Y222" s="69" t="s">
        <v>227</v>
      </c>
      <c r="Z222" s="69" t="s">
        <v>230</v>
      </c>
      <c r="AA222" s="69" t="s">
        <v>233</v>
      </c>
      <c r="AB222" s="69" t="s">
        <v>236</v>
      </c>
      <c r="AC222" s="69" t="s">
        <v>238</v>
      </c>
      <c r="AD222" s="69" t="s">
        <v>240</v>
      </c>
      <c r="AE222" s="69" t="s">
        <v>243</v>
      </c>
      <c r="AF222" s="91" t="s">
        <v>245</v>
      </c>
    </row>
    <row r="223" spans="1:32" s="59" customFormat="1">
      <c r="A223" s="71" t="s">
        <v>728</v>
      </c>
      <c r="B223" s="95" t="s">
        <v>736</v>
      </c>
      <c r="C223" s="71" t="s">
        <v>537</v>
      </c>
      <c r="D223" s="74" t="s">
        <v>387</v>
      </c>
      <c r="E223" s="176">
        <f>'Key inputs_EB_OWN'!E606</f>
        <v>0</v>
      </c>
      <c r="F223" s="176">
        <f>'Key inputs_EB_OWN'!F606</f>
        <v>-672.92051004800487</v>
      </c>
      <c r="G223" s="176">
        <f>'Key inputs_EB_OWN'!G606</f>
        <v>0</v>
      </c>
      <c r="H223" s="176">
        <f>'Key inputs_EB_OWN'!H606</f>
        <v>0</v>
      </c>
      <c r="I223" s="176">
        <f>'Key inputs_EB_OWN'!I606</f>
        <v>-23347.056060048075</v>
      </c>
      <c r="J223" s="176">
        <f>'Key inputs_EB_OWN'!J606</f>
        <v>0</v>
      </c>
      <c r="K223" s="176">
        <f>'Key inputs_EB_OWN'!K606</f>
        <v>-1103.5502068115813</v>
      </c>
      <c r="L223" s="176">
        <f>'Key inputs_EB_OWN'!L606</f>
        <v>0</v>
      </c>
      <c r="M223" s="176">
        <f>'Key inputs_EB_OWN'!M606</f>
        <v>0</v>
      </c>
      <c r="N223" s="176">
        <f>'Key inputs_EB_OWN'!N606</f>
        <v>0</v>
      </c>
      <c r="O223" s="176">
        <f>'Key inputs_EB_OWN'!O606</f>
        <v>-572.41284423335844</v>
      </c>
      <c r="P223" s="176">
        <f>'Key inputs_EB_OWN'!P606</f>
        <v>0</v>
      </c>
      <c r="Q223" s="176">
        <f>'Key inputs_EB_OWN'!Q606</f>
        <v>0</v>
      </c>
      <c r="R223" s="176">
        <f>'Key inputs_EB_OWN'!R606</f>
        <v>0</v>
      </c>
      <c r="S223" s="176">
        <f>'Key inputs_EB_OWN'!S606</f>
        <v>-143.59945624933923</v>
      </c>
      <c r="T223" s="176">
        <f>'Key inputs_EB_OWN'!T606</f>
        <v>0</v>
      </c>
      <c r="U223" s="176">
        <f>'Key inputs_EB_OWN'!U606</f>
        <v>-218.05315655138048</v>
      </c>
      <c r="V223" s="176">
        <f>'Key inputs_EB_OWN'!V606</f>
        <v>0</v>
      </c>
      <c r="W223" s="176">
        <f>'Key inputs_EB_OWN'!W606</f>
        <v>0</v>
      </c>
      <c r="X223" s="176">
        <f>'Key inputs_EB_OWN'!X606</f>
        <v>-2152.3840794945054</v>
      </c>
      <c r="Y223" s="176">
        <f>'Key inputs_EB_OWN'!Y606</f>
        <v>0</v>
      </c>
      <c r="Z223" s="176">
        <f>'Key inputs_EB_OWN'!Z606</f>
        <v>0</v>
      </c>
      <c r="AA223" s="176">
        <f>'Key inputs_EB_OWN'!AA606</f>
        <v>0</v>
      </c>
      <c r="AB223" s="176">
        <f>'Key inputs_EB_OWN'!AB606</f>
        <v>0</v>
      </c>
      <c r="AC223" s="176">
        <f>'Key inputs_EB_OWN'!AC606</f>
        <v>-871</v>
      </c>
      <c r="AD223" s="176">
        <f>'Key inputs_EB_OWN'!AD606</f>
        <v>0</v>
      </c>
      <c r="AE223" s="176">
        <f>'Key inputs_EB_OWN'!AE606</f>
        <v>0</v>
      </c>
      <c r="AF223" s="287">
        <f>'Key inputs_EB_OWN'!AF606</f>
        <v>0</v>
      </c>
    </row>
    <row r="224" spans="1:32" s="59" customFormat="1">
      <c r="A224" s="71" t="s">
        <v>728</v>
      </c>
      <c r="B224" s="95" t="s">
        <v>736</v>
      </c>
      <c r="C224" s="71" t="s">
        <v>541</v>
      </c>
      <c r="D224" s="74" t="s">
        <v>387</v>
      </c>
      <c r="E224" s="176">
        <f>'Key inputs_EB_OWN'!E607</f>
        <v>0</v>
      </c>
      <c r="F224" s="176">
        <f>'Key inputs_EB_OWN'!F607</f>
        <v>-115804.52912876372</v>
      </c>
      <c r="G224" s="176">
        <f>'Key inputs_EB_OWN'!G607</f>
        <v>-164.98717764730108</v>
      </c>
      <c r="H224" s="176">
        <f>'Key inputs_EB_OWN'!H607</f>
        <v>-16356.809719036894</v>
      </c>
      <c r="I224" s="176">
        <f>'Key inputs_EB_OWN'!I607</f>
        <v>-294005.33900800598</v>
      </c>
      <c r="J224" s="176">
        <f>'Key inputs_EB_OWN'!J607</f>
        <v>0</v>
      </c>
      <c r="K224" s="176">
        <f>'Key inputs_EB_OWN'!K607</f>
        <v>-234797.36627887349</v>
      </c>
      <c r="L224" s="176">
        <f>'Key inputs_EB_OWN'!L607</f>
        <v>0</v>
      </c>
      <c r="M224" s="176">
        <f>'Key inputs_EB_OWN'!M607</f>
        <v>0</v>
      </c>
      <c r="N224" s="176">
        <f>'Key inputs_EB_OWN'!N607</f>
        <v>0</v>
      </c>
      <c r="O224" s="176">
        <f>'Key inputs_EB_OWN'!O607</f>
        <v>-291.81266531605291</v>
      </c>
      <c r="P224" s="176">
        <f>'Key inputs_EB_OWN'!P607</f>
        <v>0</v>
      </c>
      <c r="Q224" s="176">
        <f>'Key inputs_EB_OWN'!Q607</f>
        <v>0</v>
      </c>
      <c r="R224" s="176">
        <f>'Key inputs_EB_OWN'!R607</f>
        <v>-9302.244657549656</v>
      </c>
      <c r="S224" s="176">
        <f>'Key inputs_EB_OWN'!S607</f>
        <v>-2137.6205281376278</v>
      </c>
      <c r="T224" s="176">
        <f>'Key inputs_EB_OWN'!T607</f>
        <v>-4161.1833403161345</v>
      </c>
      <c r="U224" s="176">
        <f>'Key inputs_EB_OWN'!U607</f>
        <v>-1869.3208226174377</v>
      </c>
      <c r="V224" s="176">
        <f>'Key inputs_EB_OWN'!V607</f>
        <v>0</v>
      </c>
      <c r="W224" s="176">
        <f>'Key inputs_EB_OWN'!W607</f>
        <v>0</v>
      </c>
      <c r="X224" s="176">
        <f>'Key inputs_EB_OWN'!X607</f>
        <v>-20016.333301240542</v>
      </c>
      <c r="Y224" s="176">
        <f>'Key inputs_EB_OWN'!Y607</f>
        <v>-103476.64712438674</v>
      </c>
      <c r="Z224" s="176">
        <f>'Key inputs_EB_OWN'!Z607</f>
        <v>0</v>
      </c>
      <c r="AA224" s="176">
        <f>'Key inputs_EB_OWN'!AA607</f>
        <v>-495492.83064090996</v>
      </c>
      <c r="AB224" s="176">
        <f>'Key inputs_EB_OWN'!AB607</f>
        <v>0</v>
      </c>
      <c r="AC224" s="176">
        <f>'Key inputs_EB_OWN'!AC607</f>
        <v>-76158.825414117382</v>
      </c>
      <c r="AD224" s="176">
        <f>'Key inputs_EB_OWN'!AD607</f>
        <v>-1398.9403049289679</v>
      </c>
      <c r="AE224" s="176">
        <f>'Key inputs_EB_OWN'!AE607</f>
        <v>-4605</v>
      </c>
      <c r="AF224" s="287">
        <f>'Key inputs_EB_OWN'!AF607</f>
        <v>0</v>
      </c>
    </row>
    <row r="225" spans="1:32" s="59" customFormat="1">
      <c r="A225" s="76" t="s">
        <v>728</v>
      </c>
      <c r="B225" s="97" t="s">
        <v>736</v>
      </c>
      <c r="C225" s="76" t="s">
        <v>545</v>
      </c>
      <c r="D225" s="77" t="s">
        <v>387</v>
      </c>
      <c r="E225" s="289">
        <f>'Key inputs_EB_OWN'!E609</f>
        <v>0</v>
      </c>
      <c r="F225" s="289">
        <f>'Key inputs_EB_OWN'!F609</f>
        <v>0</v>
      </c>
      <c r="G225" s="289">
        <f>'Key inputs_EB_OWN'!G609</f>
        <v>0</v>
      </c>
      <c r="H225" s="289">
        <f>'Key inputs_EB_OWN'!H609</f>
        <v>0</v>
      </c>
      <c r="I225" s="289">
        <f>'Key inputs_EB_OWN'!I609</f>
        <v>0</v>
      </c>
      <c r="J225" s="289">
        <f>'Key inputs_EB_OWN'!J609</f>
        <v>0</v>
      </c>
      <c r="K225" s="289">
        <f>'Key inputs_EB_OWN'!K609</f>
        <v>0</v>
      </c>
      <c r="L225" s="289">
        <f>'Key inputs_EB_OWN'!L609</f>
        <v>0</v>
      </c>
      <c r="M225" s="289">
        <f>'Key inputs_EB_OWN'!M609</f>
        <v>0</v>
      </c>
      <c r="N225" s="289">
        <f>'Key inputs_EB_OWN'!N609</f>
        <v>0</v>
      </c>
      <c r="O225" s="289">
        <f>'Key inputs_EB_OWN'!O609</f>
        <v>0</v>
      </c>
      <c r="P225" s="289">
        <f>'Key inputs_EB_OWN'!P609</f>
        <v>0</v>
      </c>
      <c r="Q225" s="289">
        <f>'Key inputs_EB_OWN'!Q609</f>
        <v>0</v>
      </c>
      <c r="R225" s="289">
        <f>'Key inputs_EB_OWN'!R609</f>
        <v>0</v>
      </c>
      <c r="S225" s="289">
        <f>'Key inputs_EB_OWN'!S609</f>
        <v>0</v>
      </c>
      <c r="T225" s="289">
        <f>'Key inputs_EB_OWN'!T609</f>
        <v>0</v>
      </c>
      <c r="U225" s="289">
        <f>'Key inputs_EB_OWN'!U609</f>
        <v>-2.4318258358797311</v>
      </c>
      <c r="V225" s="289">
        <f>'Key inputs_EB_OWN'!V609</f>
        <v>0</v>
      </c>
      <c r="W225" s="289">
        <f>'Key inputs_EB_OWN'!W609</f>
        <v>0</v>
      </c>
      <c r="X225" s="289">
        <f>'Key inputs_EB_OWN'!X609</f>
        <v>0</v>
      </c>
      <c r="Y225" s="289">
        <f>'Key inputs_EB_OWN'!Y609</f>
        <v>0</v>
      </c>
      <c r="Z225" s="289">
        <f>'Key inputs_EB_OWN'!Z609</f>
        <v>0</v>
      </c>
      <c r="AA225" s="289">
        <f>'Key inputs_EB_OWN'!AA609</f>
        <v>0</v>
      </c>
      <c r="AB225" s="289">
        <f>'Key inputs_EB_OWN'!AB609</f>
        <v>0</v>
      </c>
      <c r="AC225" s="289">
        <f>'Key inputs_EB_OWN'!AC609</f>
        <v>0</v>
      </c>
      <c r="AD225" s="289">
        <f>'Key inputs_EB_OWN'!AD609</f>
        <v>0</v>
      </c>
      <c r="AE225" s="289">
        <f>'Key inputs_EB_OWN'!AE609</f>
        <v>0</v>
      </c>
      <c r="AF225" s="290">
        <f>'Key inputs_EB_OWN'!AF609</f>
        <v>0</v>
      </c>
    </row>
    <row r="229" spans="1:32" s="60" customFormat="1" ht="14.4">
      <c r="A229" s="63"/>
      <c r="B229" s="86"/>
      <c r="C229" s="63"/>
      <c r="D229" s="63"/>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86"/>
    </row>
    <row r="230" spans="1:32" s="59" customFormat="1">
      <c r="A230" s="68" t="s">
        <v>717</v>
      </c>
      <c r="B230" s="90" t="s">
        <v>727</v>
      </c>
      <c r="C230" s="68" t="s">
        <v>718</v>
      </c>
      <c r="D230" s="68" t="s">
        <v>375</v>
      </c>
      <c r="E230" s="69" t="s">
        <v>172</v>
      </c>
      <c r="F230" s="69" t="s">
        <v>175</v>
      </c>
      <c r="G230" s="69" t="s">
        <v>178</v>
      </c>
      <c r="H230" s="69" t="s">
        <v>181</v>
      </c>
      <c r="I230" s="69" t="s">
        <v>184</v>
      </c>
      <c r="J230" s="69" t="s">
        <v>187</v>
      </c>
      <c r="K230" s="69" t="s">
        <v>190</v>
      </c>
      <c r="L230" s="69" t="s">
        <v>193</v>
      </c>
      <c r="M230" s="69" t="s">
        <v>196</v>
      </c>
      <c r="N230" s="69" t="s">
        <v>198</v>
      </c>
      <c r="O230" s="69" t="s">
        <v>200</v>
      </c>
      <c r="P230" s="69" t="s">
        <v>202</v>
      </c>
      <c r="Q230" s="69" t="s">
        <v>205</v>
      </c>
      <c r="R230" s="69" t="s">
        <v>208</v>
      </c>
      <c r="S230" s="69" t="s">
        <v>211</v>
      </c>
      <c r="T230" s="69" t="s">
        <v>214</v>
      </c>
      <c r="U230" s="69" t="s">
        <v>217</v>
      </c>
      <c r="V230" s="69" t="s">
        <v>220</v>
      </c>
      <c r="W230" s="69" t="s">
        <v>223</v>
      </c>
      <c r="X230" s="69" t="s">
        <v>225</v>
      </c>
      <c r="Y230" s="69" t="s">
        <v>227</v>
      </c>
      <c r="Z230" s="69" t="s">
        <v>230</v>
      </c>
      <c r="AA230" s="69" t="s">
        <v>233</v>
      </c>
      <c r="AB230" s="69" t="s">
        <v>236</v>
      </c>
      <c r="AC230" s="69" t="s">
        <v>238</v>
      </c>
      <c r="AD230" s="69" t="s">
        <v>240</v>
      </c>
      <c r="AE230" s="69" t="s">
        <v>243</v>
      </c>
      <c r="AF230" s="91" t="s">
        <v>245</v>
      </c>
    </row>
    <row r="231" spans="1:32" s="59" customFormat="1">
      <c r="A231" s="71" t="s">
        <v>728</v>
      </c>
      <c r="B231" s="95" t="s">
        <v>900</v>
      </c>
      <c r="C231" s="71" t="s">
        <v>537</v>
      </c>
      <c r="D231" s="74" t="s">
        <v>387</v>
      </c>
      <c r="E231" s="209">
        <f>E$233*IFERROR(E223/SUM(E$223:E$224),1)</f>
        <v>0</v>
      </c>
      <c r="F231" s="209">
        <f>F$233*IFERROR(F223/SUM(F$223:F$224),1)</f>
        <v>-672.35312344594081</v>
      </c>
      <c r="G231" s="209">
        <f t="shared" ref="G231:AF231" si="0">G$233*IFERROR(G223/SUM(G$223:G$224),1)</f>
        <v>0</v>
      </c>
      <c r="H231" s="209">
        <f t="shared" si="0"/>
        <v>0</v>
      </c>
      <c r="I231" s="209">
        <f t="shared" si="0"/>
        <v>-23347.056060048075</v>
      </c>
      <c r="J231" s="209">
        <f t="shared" si="0"/>
        <v>0</v>
      </c>
      <c r="K231" s="209">
        <f t="shared" si="0"/>
        <v>-1063.43368409452</v>
      </c>
      <c r="L231" s="209">
        <f t="shared" si="0"/>
        <v>0</v>
      </c>
      <c r="M231" s="209">
        <f t="shared" si="0"/>
        <v>0</v>
      </c>
      <c r="N231" s="209">
        <f t="shared" si="0"/>
        <v>0</v>
      </c>
      <c r="O231" s="209">
        <f t="shared" si="0"/>
        <v>0</v>
      </c>
      <c r="P231" s="209">
        <f t="shared" si="0"/>
        <v>0</v>
      </c>
      <c r="Q231" s="209">
        <f t="shared" si="0"/>
        <v>0</v>
      </c>
      <c r="R231" s="209">
        <f t="shared" si="0"/>
        <v>0</v>
      </c>
      <c r="S231" s="209">
        <f t="shared" si="0"/>
        <v>0</v>
      </c>
      <c r="T231" s="209">
        <f t="shared" si="0"/>
        <v>0</v>
      </c>
      <c r="U231" s="209">
        <f t="shared" si="0"/>
        <v>0</v>
      </c>
      <c r="V231" s="209">
        <f t="shared" si="0"/>
        <v>0</v>
      </c>
      <c r="W231" s="209">
        <f t="shared" si="0"/>
        <v>0</v>
      </c>
      <c r="X231" s="209">
        <f t="shared" si="0"/>
        <v>0</v>
      </c>
      <c r="Y231" s="209">
        <f t="shared" si="0"/>
        <v>0</v>
      </c>
      <c r="Z231" s="209">
        <f t="shared" si="0"/>
        <v>0</v>
      </c>
      <c r="AA231" s="209">
        <f t="shared" si="0"/>
        <v>0</v>
      </c>
      <c r="AB231" s="209">
        <f t="shared" si="0"/>
        <v>0</v>
      </c>
      <c r="AC231" s="209">
        <f t="shared" si="0"/>
        <v>-871</v>
      </c>
      <c r="AD231" s="209">
        <f t="shared" si="0"/>
        <v>0</v>
      </c>
      <c r="AE231" s="209">
        <f t="shared" si="0"/>
        <v>0</v>
      </c>
      <c r="AF231" s="220">
        <f t="shared" si="0"/>
        <v>0</v>
      </c>
    </row>
    <row r="232" spans="1:32" s="59" customFormat="1">
      <c r="A232" s="71" t="s">
        <v>728</v>
      </c>
      <c r="B232" s="95" t="s">
        <v>900</v>
      </c>
      <c r="C232" s="71" t="s">
        <v>541</v>
      </c>
      <c r="D232" s="74" t="s">
        <v>387</v>
      </c>
      <c r="E232" s="209">
        <f>E$233*IFERROR(E224/SUM(E$223:E$224),1)</f>
        <v>0</v>
      </c>
      <c r="F232" s="209">
        <f t="shared" ref="F232:AF232" si="1">F$233*IFERROR(F224/SUM(F$223:F$224),1)</f>
        <v>-115706.88618683392</v>
      </c>
      <c r="G232" s="209">
        <f t="shared" si="1"/>
        <v>-164.98717764730108</v>
      </c>
      <c r="H232" s="209">
        <f t="shared" si="1"/>
        <v>-16356.809719036894</v>
      </c>
      <c r="I232" s="209">
        <f t="shared" si="1"/>
        <v>-294005.33900800598</v>
      </c>
      <c r="J232" s="209">
        <f t="shared" si="1"/>
        <v>0</v>
      </c>
      <c r="K232" s="209">
        <f t="shared" si="1"/>
        <v>-226261.95590960077</v>
      </c>
      <c r="L232" s="209">
        <f t="shared" si="1"/>
        <v>0</v>
      </c>
      <c r="M232" s="209">
        <f t="shared" si="1"/>
        <v>0</v>
      </c>
      <c r="N232" s="209">
        <f t="shared" si="1"/>
        <v>0</v>
      </c>
      <c r="O232" s="209">
        <f t="shared" si="1"/>
        <v>0</v>
      </c>
      <c r="P232" s="209">
        <f t="shared" si="1"/>
        <v>0</v>
      </c>
      <c r="Q232" s="209">
        <f t="shared" si="1"/>
        <v>0</v>
      </c>
      <c r="R232" s="209">
        <f t="shared" si="1"/>
        <v>-6724.5142102768596</v>
      </c>
      <c r="S232" s="209">
        <f t="shared" si="1"/>
        <v>0</v>
      </c>
      <c r="T232" s="209">
        <f t="shared" si="1"/>
        <v>0</v>
      </c>
      <c r="U232" s="209">
        <f t="shared" si="1"/>
        <v>0</v>
      </c>
      <c r="V232" s="209">
        <f t="shared" si="1"/>
        <v>0</v>
      </c>
      <c r="W232" s="209">
        <f t="shared" si="1"/>
        <v>0</v>
      </c>
      <c r="X232" s="209">
        <f t="shared" si="1"/>
        <v>0</v>
      </c>
      <c r="Y232" s="209">
        <f t="shared" si="1"/>
        <v>-100788.9420042728</v>
      </c>
      <c r="Z232" s="209">
        <f t="shared" si="1"/>
        <v>0</v>
      </c>
      <c r="AA232" s="209">
        <f t="shared" si="1"/>
        <v>-492076.35998708534</v>
      </c>
      <c r="AB232" s="209">
        <f t="shared" si="1"/>
        <v>0</v>
      </c>
      <c r="AC232" s="209">
        <f t="shared" si="1"/>
        <v>-76158.825414117382</v>
      </c>
      <c r="AD232" s="209">
        <f t="shared" si="1"/>
        <v>-1398.9403049289679</v>
      </c>
      <c r="AE232" s="209">
        <f t="shared" si="1"/>
        <v>0</v>
      </c>
      <c r="AF232" s="220">
        <f t="shared" si="1"/>
        <v>0</v>
      </c>
    </row>
    <row r="233" spans="1:32" s="59" customFormat="1">
      <c r="A233" s="76" t="s">
        <v>728</v>
      </c>
      <c r="B233" s="97" t="s">
        <v>900</v>
      </c>
      <c r="C233" s="76" t="s">
        <v>823</v>
      </c>
      <c r="D233" s="77" t="s">
        <v>387</v>
      </c>
      <c r="E233" s="226">
        <f t="shared" ref="E233:AF233" si="2">SUM(E$223:E$224)*IFERROR($B$210*SUMIFS($B$109:$B$136,$A$109:$A$136,E$230)/($B$210*SUMIFS($B$109:$B$136,$A$109:$A$136,E$230)+$C$210*SUMIFS($B$177:$B$204,$A$177:$A$204,E$230)),1)</f>
        <v>0</v>
      </c>
      <c r="F233" s="226">
        <f t="shared" si="2"/>
        <v>-116379.23931027985</v>
      </c>
      <c r="G233" s="226">
        <f t="shared" si="2"/>
        <v>-164.98717764730108</v>
      </c>
      <c r="H233" s="226">
        <f t="shared" si="2"/>
        <v>-16356.809719036894</v>
      </c>
      <c r="I233" s="226">
        <f t="shared" si="2"/>
        <v>-317352.39506805403</v>
      </c>
      <c r="J233" s="226">
        <f t="shared" si="2"/>
        <v>0</v>
      </c>
      <c r="K233" s="226">
        <f t="shared" si="2"/>
        <v>-227325.38959369529</v>
      </c>
      <c r="L233" s="226">
        <f t="shared" si="2"/>
        <v>0</v>
      </c>
      <c r="M233" s="226">
        <f t="shared" si="2"/>
        <v>0</v>
      </c>
      <c r="N233" s="226">
        <f t="shared" si="2"/>
        <v>0</v>
      </c>
      <c r="O233" s="226">
        <f t="shared" si="2"/>
        <v>0</v>
      </c>
      <c r="P233" s="226">
        <f t="shared" si="2"/>
        <v>0</v>
      </c>
      <c r="Q233" s="226">
        <f t="shared" si="2"/>
        <v>0</v>
      </c>
      <c r="R233" s="226">
        <f t="shared" si="2"/>
        <v>-6724.5142102768596</v>
      </c>
      <c r="S233" s="226">
        <f t="shared" si="2"/>
        <v>0</v>
      </c>
      <c r="T233" s="226">
        <f t="shared" si="2"/>
        <v>0</v>
      </c>
      <c r="U233" s="226">
        <f t="shared" si="2"/>
        <v>0</v>
      </c>
      <c r="V233" s="226">
        <f t="shared" si="2"/>
        <v>0</v>
      </c>
      <c r="W233" s="226">
        <f t="shared" si="2"/>
        <v>0</v>
      </c>
      <c r="X233" s="226">
        <f t="shared" si="2"/>
        <v>0</v>
      </c>
      <c r="Y233" s="226">
        <f t="shared" si="2"/>
        <v>-100788.9420042728</v>
      </c>
      <c r="Z233" s="226">
        <f t="shared" si="2"/>
        <v>0</v>
      </c>
      <c r="AA233" s="226">
        <f t="shared" si="2"/>
        <v>-492076.35998708534</v>
      </c>
      <c r="AB233" s="226">
        <f t="shared" si="2"/>
        <v>0</v>
      </c>
      <c r="AC233" s="226">
        <f t="shared" si="2"/>
        <v>-77029.825414117382</v>
      </c>
      <c r="AD233" s="226">
        <f t="shared" si="2"/>
        <v>-1398.9403049289679</v>
      </c>
      <c r="AE233" s="226">
        <f t="shared" si="2"/>
        <v>0</v>
      </c>
      <c r="AF233" s="224">
        <f t="shared" si="2"/>
        <v>0</v>
      </c>
    </row>
    <row r="235" spans="1:32" s="60" customFormat="1" ht="14.4">
      <c r="A235" s="63"/>
      <c r="B235" s="86"/>
      <c r="C235" s="63"/>
      <c r="D235" s="63"/>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86"/>
    </row>
    <row r="236" spans="1:32" s="59" customFormat="1">
      <c r="A236" s="68" t="s">
        <v>717</v>
      </c>
      <c r="B236" s="90" t="s">
        <v>727</v>
      </c>
      <c r="C236" s="68" t="s">
        <v>718</v>
      </c>
      <c r="D236" s="68" t="s">
        <v>375</v>
      </c>
      <c r="E236" s="69" t="s">
        <v>172</v>
      </c>
      <c r="F236" s="69" t="s">
        <v>175</v>
      </c>
      <c r="G236" s="69" t="s">
        <v>178</v>
      </c>
      <c r="H236" s="69" t="s">
        <v>181</v>
      </c>
      <c r="I236" s="69" t="s">
        <v>184</v>
      </c>
      <c r="J236" s="69" t="s">
        <v>187</v>
      </c>
      <c r="K236" s="69" t="s">
        <v>190</v>
      </c>
      <c r="L236" s="69" t="s">
        <v>193</v>
      </c>
      <c r="M236" s="69" t="s">
        <v>196</v>
      </c>
      <c r="N236" s="69" t="s">
        <v>198</v>
      </c>
      <c r="O236" s="69" t="s">
        <v>200</v>
      </c>
      <c r="P236" s="69" t="s">
        <v>202</v>
      </c>
      <c r="Q236" s="69" t="s">
        <v>205</v>
      </c>
      <c r="R236" s="69" t="s">
        <v>208</v>
      </c>
      <c r="S236" s="69" t="s">
        <v>211</v>
      </c>
      <c r="T236" s="69" t="s">
        <v>214</v>
      </c>
      <c r="U236" s="69" t="s">
        <v>217</v>
      </c>
      <c r="V236" s="69" t="s">
        <v>220</v>
      </c>
      <c r="W236" s="69" t="s">
        <v>223</v>
      </c>
      <c r="X236" s="69" t="s">
        <v>225</v>
      </c>
      <c r="Y236" s="69" t="s">
        <v>227</v>
      </c>
      <c r="Z236" s="69" t="s">
        <v>230</v>
      </c>
      <c r="AA236" s="69" t="s">
        <v>233</v>
      </c>
      <c r="AB236" s="69" t="s">
        <v>236</v>
      </c>
      <c r="AC236" s="69" t="s">
        <v>238</v>
      </c>
      <c r="AD236" s="69" t="s">
        <v>240</v>
      </c>
      <c r="AE236" s="69" t="s">
        <v>243</v>
      </c>
      <c r="AF236" s="91" t="s">
        <v>245</v>
      </c>
    </row>
    <row r="237" spans="1:32" s="59" customFormat="1">
      <c r="A237" s="71" t="s">
        <v>728</v>
      </c>
      <c r="B237" s="95" t="s">
        <v>901</v>
      </c>
      <c r="C237" s="71" t="s">
        <v>537</v>
      </c>
      <c r="D237" s="74" t="s">
        <v>387</v>
      </c>
      <c r="E237" s="209">
        <f>E$239*IFERROR(E223/SUM(E$223:E$224),1)</f>
        <v>0</v>
      </c>
      <c r="F237" s="209">
        <f t="shared" ref="F237:AF237" si="3">F$239*IFERROR(F223/SUM(F$223:F$224),1)</f>
        <v>-0.56738660206408509</v>
      </c>
      <c r="G237" s="209">
        <f t="shared" si="3"/>
        <v>0</v>
      </c>
      <c r="H237" s="209">
        <f t="shared" si="3"/>
        <v>0</v>
      </c>
      <c r="I237" s="209">
        <f t="shared" si="3"/>
        <v>0</v>
      </c>
      <c r="J237" s="209">
        <f t="shared" si="3"/>
        <v>0</v>
      </c>
      <c r="K237" s="209">
        <f t="shared" si="3"/>
        <v>-40.116522717061549</v>
      </c>
      <c r="L237" s="209">
        <f t="shared" si="3"/>
        <v>0</v>
      </c>
      <c r="M237" s="209">
        <f t="shared" si="3"/>
        <v>0</v>
      </c>
      <c r="N237" s="209">
        <f t="shared" si="3"/>
        <v>0</v>
      </c>
      <c r="O237" s="209">
        <f t="shared" si="3"/>
        <v>-572.41284423335844</v>
      </c>
      <c r="P237" s="209">
        <f t="shared" si="3"/>
        <v>0</v>
      </c>
      <c r="Q237" s="209">
        <f t="shared" si="3"/>
        <v>0</v>
      </c>
      <c r="R237" s="209">
        <f t="shared" si="3"/>
        <v>0</v>
      </c>
      <c r="S237" s="209">
        <f t="shared" si="3"/>
        <v>-143.59945624933923</v>
      </c>
      <c r="T237" s="209">
        <f t="shared" si="3"/>
        <v>0</v>
      </c>
      <c r="U237" s="209">
        <f t="shared" si="3"/>
        <v>-218.05315655138048</v>
      </c>
      <c r="V237" s="209">
        <f t="shared" si="3"/>
        <v>0</v>
      </c>
      <c r="W237" s="209">
        <f t="shared" si="3"/>
        <v>0</v>
      </c>
      <c r="X237" s="209">
        <f t="shared" si="3"/>
        <v>-2152.3840794945054</v>
      </c>
      <c r="Y237" s="209">
        <f t="shared" si="3"/>
        <v>0</v>
      </c>
      <c r="Z237" s="209">
        <f t="shared" si="3"/>
        <v>0</v>
      </c>
      <c r="AA237" s="209">
        <f t="shared" si="3"/>
        <v>0</v>
      </c>
      <c r="AB237" s="209">
        <f t="shared" si="3"/>
        <v>0</v>
      </c>
      <c r="AC237" s="209">
        <f t="shared" si="3"/>
        <v>0</v>
      </c>
      <c r="AD237" s="209">
        <f t="shared" si="3"/>
        <v>0</v>
      </c>
      <c r="AE237" s="209">
        <f t="shared" si="3"/>
        <v>0</v>
      </c>
      <c r="AF237" s="220">
        <f t="shared" si="3"/>
        <v>0</v>
      </c>
    </row>
    <row r="238" spans="1:32" s="59" customFormat="1">
      <c r="A238" s="71" t="s">
        <v>728</v>
      </c>
      <c r="B238" s="95" t="s">
        <v>901</v>
      </c>
      <c r="C238" s="71" t="s">
        <v>541</v>
      </c>
      <c r="D238" s="74" t="s">
        <v>387</v>
      </c>
      <c r="E238" s="209">
        <f>E$239*IFERROR(E224/SUM(E$223:E$224),1)</f>
        <v>0</v>
      </c>
      <c r="F238" s="209">
        <f t="shared" ref="F238:AF238" si="4">F$239*IFERROR(F224/SUM(F$223:F$224),1)</f>
        <v>-97.642941929817653</v>
      </c>
      <c r="G238" s="209">
        <f t="shared" si="4"/>
        <v>0</v>
      </c>
      <c r="H238" s="209">
        <f t="shared" si="4"/>
        <v>0</v>
      </c>
      <c r="I238" s="209">
        <f t="shared" si="4"/>
        <v>0</v>
      </c>
      <c r="J238" s="209">
        <f t="shared" si="4"/>
        <v>0</v>
      </c>
      <c r="K238" s="209">
        <f t="shared" si="4"/>
        <v>-8535.4103692727404</v>
      </c>
      <c r="L238" s="209">
        <f t="shared" si="4"/>
        <v>0</v>
      </c>
      <c r="M238" s="209">
        <f t="shared" si="4"/>
        <v>0</v>
      </c>
      <c r="N238" s="209">
        <f t="shared" si="4"/>
        <v>0</v>
      </c>
      <c r="O238" s="209">
        <f t="shared" si="4"/>
        <v>-291.81266531605291</v>
      </c>
      <c r="P238" s="209">
        <f t="shared" si="4"/>
        <v>0</v>
      </c>
      <c r="Q238" s="209">
        <f t="shared" si="4"/>
        <v>0</v>
      </c>
      <c r="R238" s="209">
        <f t="shared" si="4"/>
        <v>-2577.7304472727965</v>
      </c>
      <c r="S238" s="209">
        <f t="shared" si="4"/>
        <v>-2137.6205281376278</v>
      </c>
      <c r="T238" s="209">
        <f t="shared" si="4"/>
        <v>-4161.1833403161345</v>
      </c>
      <c r="U238" s="209">
        <f t="shared" si="4"/>
        <v>-1869.3208226174377</v>
      </c>
      <c r="V238" s="209">
        <f t="shared" si="4"/>
        <v>0</v>
      </c>
      <c r="W238" s="209">
        <f t="shared" si="4"/>
        <v>0</v>
      </c>
      <c r="X238" s="209">
        <f t="shared" si="4"/>
        <v>-20016.333301240542</v>
      </c>
      <c r="Y238" s="209">
        <f t="shared" si="4"/>
        <v>-2687.7051201139425</v>
      </c>
      <c r="Z238" s="209">
        <f t="shared" si="4"/>
        <v>0</v>
      </c>
      <c r="AA238" s="209">
        <f t="shared" si="4"/>
        <v>-3416.4706538246096</v>
      </c>
      <c r="AB238" s="209">
        <f t="shared" si="4"/>
        <v>0</v>
      </c>
      <c r="AC238" s="209">
        <f t="shared" si="4"/>
        <v>0</v>
      </c>
      <c r="AD238" s="209">
        <f t="shared" si="4"/>
        <v>0</v>
      </c>
      <c r="AE238" s="209">
        <f t="shared" si="4"/>
        <v>-4605</v>
      </c>
      <c r="AF238" s="220">
        <f t="shared" si="4"/>
        <v>0</v>
      </c>
    </row>
    <row r="239" spans="1:32" s="59" customFormat="1">
      <c r="A239" s="76" t="s">
        <v>728</v>
      </c>
      <c r="B239" s="97" t="s">
        <v>901</v>
      </c>
      <c r="C239" s="76" t="s">
        <v>823</v>
      </c>
      <c r="D239" s="77" t="s">
        <v>387</v>
      </c>
      <c r="E239" s="226">
        <f t="shared" ref="E239:AF239" si="5">SUM(E$223:E$224)*IFERROR($C$210*SUMIFS($B$177:$B$204,$A$177:$A$204,E$230)/($B$210*SUMIFS($B$109:$B$136,$A$109:$A$136,E$230)+$C$210*SUMIFS($B$177:$B$204,$A$177:$A$204,E$230)),1)</f>
        <v>0</v>
      </c>
      <c r="F239" s="226">
        <f t="shared" si="5"/>
        <v>-98.210328531881729</v>
      </c>
      <c r="G239" s="226">
        <f t="shared" si="5"/>
        <v>0</v>
      </c>
      <c r="H239" s="226">
        <f t="shared" si="5"/>
        <v>0</v>
      </c>
      <c r="I239" s="226">
        <f t="shared" si="5"/>
        <v>0</v>
      </c>
      <c r="J239" s="226">
        <f t="shared" si="5"/>
        <v>0</v>
      </c>
      <c r="K239" s="226">
        <f t="shared" si="5"/>
        <v>-8575.5268919898026</v>
      </c>
      <c r="L239" s="226">
        <f t="shared" si="5"/>
        <v>0</v>
      </c>
      <c r="M239" s="226">
        <f t="shared" si="5"/>
        <v>0</v>
      </c>
      <c r="N239" s="226">
        <f t="shared" si="5"/>
        <v>0</v>
      </c>
      <c r="O239" s="226">
        <f t="shared" si="5"/>
        <v>-864.2255095494113</v>
      </c>
      <c r="P239" s="226">
        <f t="shared" si="5"/>
        <v>0</v>
      </c>
      <c r="Q239" s="226">
        <f t="shared" si="5"/>
        <v>0</v>
      </c>
      <c r="R239" s="226">
        <f t="shared" si="5"/>
        <v>-2577.7304472727965</v>
      </c>
      <c r="S239" s="226">
        <f t="shared" si="5"/>
        <v>-2281.2199843869671</v>
      </c>
      <c r="T239" s="226">
        <f t="shared" si="5"/>
        <v>-4161.1833403161345</v>
      </c>
      <c r="U239" s="226">
        <f t="shared" si="5"/>
        <v>-2087.3739791688181</v>
      </c>
      <c r="V239" s="226">
        <f t="shared" si="5"/>
        <v>0</v>
      </c>
      <c r="W239" s="226">
        <f t="shared" si="5"/>
        <v>0</v>
      </c>
      <c r="X239" s="226">
        <f t="shared" si="5"/>
        <v>-22168.717380735048</v>
      </c>
      <c r="Y239" s="226">
        <f t="shared" si="5"/>
        <v>-2687.7051201139425</v>
      </c>
      <c r="Z239" s="226">
        <f t="shared" si="5"/>
        <v>0</v>
      </c>
      <c r="AA239" s="226">
        <f t="shared" si="5"/>
        <v>-3416.4706538246096</v>
      </c>
      <c r="AB239" s="226">
        <f t="shared" si="5"/>
        <v>0</v>
      </c>
      <c r="AC239" s="226">
        <f t="shared" si="5"/>
        <v>0</v>
      </c>
      <c r="AD239" s="226">
        <f t="shared" si="5"/>
        <v>0</v>
      </c>
      <c r="AE239" s="226">
        <f t="shared" si="5"/>
        <v>-4605</v>
      </c>
      <c r="AF239" s="224">
        <f t="shared" si="5"/>
        <v>0</v>
      </c>
    </row>
    <row r="241" spans="5:32">
      <c r="E241" s="174">
        <f>E233+E239-E223-E224</f>
        <v>0</v>
      </c>
      <c r="F241" s="174">
        <f t="shared" ref="F241:AF241" si="6">F233+F239-F223-F224</f>
        <v>0</v>
      </c>
      <c r="G241" s="174">
        <f t="shared" si="6"/>
        <v>0</v>
      </c>
      <c r="H241" s="174">
        <f t="shared" si="6"/>
        <v>0</v>
      </c>
      <c r="I241" s="174">
        <f t="shared" si="6"/>
        <v>0</v>
      </c>
      <c r="J241" s="174">
        <f t="shared" si="6"/>
        <v>0</v>
      </c>
      <c r="K241" s="174">
        <f t="shared" si="6"/>
        <v>0</v>
      </c>
      <c r="L241" s="174">
        <f t="shared" si="6"/>
        <v>0</v>
      </c>
      <c r="M241" s="174">
        <f t="shared" si="6"/>
        <v>0</v>
      </c>
      <c r="N241" s="174">
        <f t="shared" si="6"/>
        <v>0</v>
      </c>
      <c r="O241" s="174">
        <f t="shared" si="6"/>
        <v>0</v>
      </c>
      <c r="P241" s="174">
        <f t="shared" si="6"/>
        <v>0</v>
      </c>
      <c r="Q241" s="174">
        <f t="shared" si="6"/>
        <v>0</v>
      </c>
      <c r="R241" s="174">
        <f t="shared" si="6"/>
        <v>0</v>
      </c>
      <c r="S241" s="174">
        <f t="shared" si="6"/>
        <v>0</v>
      </c>
      <c r="T241" s="174">
        <f t="shared" si="6"/>
        <v>0</v>
      </c>
      <c r="U241" s="174">
        <f t="shared" si="6"/>
        <v>0</v>
      </c>
      <c r="V241" s="174">
        <f t="shared" si="6"/>
        <v>0</v>
      </c>
      <c r="W241" s="174">
        <f t="shared" si="6"/>
        <v>0</v>
      </c>
      <c r="X241" s="174">
        <f t="shared" si="6"/>
        <v>0</v>
      </c>
      <c r="Y241" s="174">
        <f t="shared" si="6"/>
        <v>0</v>
      </c>
      <c r="Z241" s="174">
        <f t="shared" si="6"/>
        <v>0</v>
      </c>
      <c r="AA241" s="174">
        <f t="shared" si="6"/>
        <v>0</v>
      </c>
      <c r="AB241" s="174">
        <f t="shared" si="6"/>
        <v>0</v>
      </c>
      <c r="AC241" s="174">
        <f t="shared" si="6"/>
        <v>0</v>
      </c>
      <c r="AD241" s="174">
        <f t="shared" si="6"/>
        <v>0</v>
      </c>
      <c r="AE241" s="174">
        <f t="shared" si="6"/>
        <v>0</v>
      </c>
      <c r="AF241" s="174">
        <f t="shared" si="6"/>
        <v>0</v>
      </c>
    </row>
    <row r="242" spans="5:32">
      <c r="E242" s="173"/>
      <c r="F242" s="173"/>
      <c r="G242" s="173"/>
      <c r="H242" s="173"/>
      <c r="I242" s="173"/>
      <c r="J242" s="173"/>
      <c r="K242" s="173"/>
      <c r="L242" s="173"/>
      <c r="M242" s="173"/>
      <c r="N242" s="173"/>
      <c r="O242" s="173"/>
      <c r="P242" s="173"/>
      <c r="Q242" s="173"/>
      <c r="R242" s="173"/>
      <c r="S242" s="173"/>
      <c r="T242" s="173"/>
      <c r="U242" s="173"/>
      <c r="V242" s="173"/>
      <c r="W242" s="173"/>
      <c r="X242" s="173"/>
      <c r="Y242" s="173"/>
      <c r="Z242" s="173"/>
      <c r="AA242" s="173"/>
      <c r="AB242" s="173"/>
      <c r="AC242" s="173"/>
      <c r="AD242" s="173"/>
      <c r="AE242" s="173"/>
      <c r="AF242" s="173"/>
    </row>
    <row r="244" spans="5:32">
      <c r="F244" s="17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095DB-14E8-4006-9B4E-099F56CB7047}">
  <sheetPr>
    <tabColor theme="4" tint="0.39997558519241921"/>
  </sheetPr>
  <dimension ref="A1:E38"/>
  <sheetViews>
    <sheetView workbookViewId="0">
      <selection sqref="A1:XFD1"/>
    </sheetView>
  </sheetViews>
  <sheetFormatPr defaultRowHeight="15.6"/>
  <cols>
    <col min="1" max="1" width="39.8984375" bestFit="1" customWidth="1"/>
    <col min="2" max="2" width="20.59765625" bestFit="1" customWidth="1"/>
    <col min="3" max="3" width="17.5" bestFit="1" customWidth="1"/>
    <col min="4" max="4" width="16.8984375" bestFit="1" customWidth="1"/>
    <col min="5" max="5" width="17.8984375" bestFit="1" customWidth="1"/>
  </cols>
  <sheetData>
    <row r="1" spans="1:5">
      <c r="A1" s="345" t="s">
        <v>309</v>
      </c>
    </row>
    <row r="4" spans="1:5">
      <c r="C4" t="s">
        <v>902</v>
      </c>
      <c r="D4" t="s">
        <v>903</v>
      </c>
      <c r="E4" t="s">
        <v>904</v>
      </c>
    </row>
    <row r="5" spans="1:5">
      <c r="C5" t="s">
        <v>905</v>
      </c>
      <c r="D5" t="s">
        <v>906</v>
      </c>
      <c r="E5" t="s">
        <v>907</v>
      </c>
    </row>
    <row r="6" spans="1:5">
      <c r="A6" s="175" t="s">
        <v>908</v>
      </c>
      <c r="B6" t="s">
        <v>909</v>
      </c>
      <c r="C6" s="403">
        <f>'Qin(2017)_Coke'!C17/('Qin(2017)_Coke'!$C$9*24*365)*10^8/10^6/Legend!$B$93*10^3*Legend!$B$109*Legend!$B$116</f>
        <v>4.0726604413012192E-3</v>
      </c>
      <c r="D6" s="403">
        <f>'Qin(2017)_Coke'!D17/('Qin(2017)_Coke'!$C$9*24*365)*10^8/10^6/Legend!$B$93*10^3*Legend!$B$109*Legend!$B$116</f>
        <v>4.945819519658101E-3</v>
      </c>
      <c r="E6" s="403">
        <f>'Qin(2017)_Coke'!E17/('Qin(2017)_Coke'!$C$9*24*365)*10^8/10^6/Legend!$B$93*10^3*Legend!$B$109*Legend!$B$116</f>
        <v>5.1323599426928565E-3</v>
      </c>
    </row>
    <row r="7" spans="1:5">
      <c r="A7" t="s">
        <v>910</v>
      </c>
      <c r="B7" t="s">
        <v>909</v>
      </c>
      <c r="C7" s="403">
        <f>'Qin(2017)_Coke'!C18/('Qin(2017)_Coke'!$C$9*24*365)*10^8/10^6/Legend!$B$93*10^3*Legend!$B$109*Legend!$B$116</f>
        <v>3.6362890945592016E-3</v>
      </c>
      <c r="D7" s="403">
        <f>'Qin(2017)_Coke'!D18/('Qin(2017)_Coke'!$C$9*24*365)*10^8/10^6/Legend!$B$93*10^3*Legend!$B$109*Legend!$B$116</f>
        <v>4.4157615765258599E-3</v>
      </c>
      <c r="E7" s="403">
        <f>'Qin(2017)_Coke'!E18/('Qin(2017)_Coke'!$C$9*24*365)*10^8/10^6/Legend!$B$93*10^3*Legend!$B$109*Legend!$B$116</f>
        <v>4.582315525664034E-3</v>
      </c>
    </row>
    <row r="8" spans="1:5">
      <c r="A8" s="400" t="s">
        <v>902</v>
      </c>
      <c r="B8" t="s">
        <v>909</v>
      </c>
      <c r="C8" s="403">
        <f>'Qin(2017)_Coke'!C19/('Qin(2017)_Coke'!$C$9*24*365)*10^8/10^6/Legend!$B$93*10^3*Legend!$B$109*Legend!$B$116</f>
        <v>3.6362890945592016E-3</v>
      </c>
      <c r="D8" s="403">
        <f>'Qin(2017)_Coke'!D19/('Qin(2017)_Coke'!$C$9*24*365)*10^8/10^6/Legend!$B$93*10^3*Legend!$B$109*Legend!$B$116</f>
        <v>3.6362890945592016E-3</v>
      </c>
      <c r="E8" s="403">
        <f>'Qin(2017)_Coke'!E19/('Qin(2017)_Coke'!$C$9*24*365)*10^8/10^6/Legend!$B$93*10^3*Legend!$B$109*Legend!$B$116</f>
        <v>3.6362890945592016E-3</v>
      </c>
    </row>
    <row r="9" spans="1:5">
      <c r="A9" s="400" t="s">
        <v>903</v>
      </c>
      <c r="B9" t="s">
        <v>909</v>
      </c>
      <c r="C9" s="403">
        <f>'Qin(2017)_Coke'!C20/('Qin(2017)_Coke'!$C$9*24*365)*10^8/10^6/Legend!$B$93*10^3*Legend!$B$109*Legend!$B$116</f>
        <v>0</v>
      </c>
      <c r="D9" s="403">
        <f>'Qin(2017)_Coke'!D20/('Qin(2017)_Coke'!$C$9*24*365)*10^8/10^6/Legend!$B$93*10^3*Legend!$B$109*Legend!$B$116</f>
        <v>7.7947248196665823E-4</v>
      </c>
      <c r="E9" s="403">
        <f>'Qin(2017)_Coke'!E20/('Qin(2017)_Coke'!$C$9*24*365)*10^8/10^6/Legend!$B$93*10^3*Legend!$B$109*Legend!$B$116</f>
        <v>7.7947248196665823E-4</v>
      </c>
    </row>
    <row r="10" spans="1:5">
      <c r="A10" s="400" t="s">
        <v>911</v>
      </c>
      <c r="B10" t="s">
        <v>909</v>
      </c>
      <c r="C10" s="403">
        <f>'Qin(2017)_Coke'!C21/('Qin(2017)_Coke'!$C$9*24*365)*10^8/10^6/Legend!$B$93*10^3*Legend!$B$109*Legend!$B$116</f>
        <v>0</v>
      </c>
      <c r="D10" s="403">
        <f>'Qin(2017)_Coke'!D21/('Qin(2017)_Coke'!$C$9*24*365)*10^8/10^6/Legend!$B$93*10^3*Legend!$B$109*Legend!$B$116</f>
        <v>0</v>
      </c>
      <c r="E10" s="403">
        <f>'Qin(2017)_Coke'!E21/('Qin(2017)_Coke'!$C$9*24*365)*10^8/10^6/Legend!$B$93*10^3*Legend!$B$109*Legend!$B$116</f>
        <v>1.6697033401102024E-4</v>
      </c>
    </row>
    <row r="11" spans="1:5">
      <c r="A11" t="s">
        <v>912</v>
      </c>
      <c r="B11" t="s">
        <v>909</v>
      </c>
      <c r="C11" s="403">
        <f>'Qin(2017)_Coke'!C22/('Qin(2017)_Coke'!$C$9*24*365)*10^8/10^6/Legend!$B$93*10^3*Legend!$B$109*Legend!$B$116</f>
        <v>4.3637134674201798E-4</v>
      </c>
      <c r="D11" s="403">
        <f>'Qin(2017)_Coke'!D22/('Qin(2017)_Coke'!$C$9*24*365)*10^8/10^6/Legend!$B$93*10^3*Legend!$B$109*Legend!$B$116</f>
        <v>5.3005794313224115E-4</v>
      </c>
      <c r="E11" s="403">
        <f>'Qin(2017)_Coke'!E22/('Qin(2017)_Coke'!$C$9*24*365)*10^8/10^6/Legend!$B$93*10^3*Legend!$B$109*Legend!$B$116</f>
        <v>5.5004441702882225E-4</v>
      </c>
    </row>
    <row r="12" spans="1:5">
      <c r="A12" s="175" t="s">
        <v>913</v>
      </c>
      <c r="B12" t="s">
        <v>909</v>
      </c>
      <c r="C12" s="403">
        <f>'Qin(2017)_Coke'!C23/10^6/Legend!$B$93*10^3*Legend!$B$109*Legend!$B$116</f>
        <v>2.3497265063477773E-4</v>
      </c>
      <c r="D12" s="403">
        <f>'Qin(2017)_Coke'!D23/10^6/Legend!$B$93*10^3*Legend!$B$109*Legend!$B$116</f>
        <v>2.639847075518977E-4</v>
      </c>
      <c r="E12" s="403">
        <f>'Qin(2017)_Coke'!E23/10^6/Legend!$B$93*10^3*Legend!$B$109*Legend!$B$116</f>
        <v>2.7342613124690869E-4</v>
      </c>
    </row>
    <row r="15" spans="1:5">
      <c r="A15" s="345" t="s">
        <v>914</v>
      </c>
    </row>
    <row r="17" spans="1:5">
      <c r="C17" t="s">
        <v>896</v>
      </c>
    </row>
    <row r="18" spans="1:5">
      <c r="A18" t="s">
        <v>915</v>
      </c>
      <c r="B18" t="s">
        <v>674</v>
      </c>
      <c r="C18" s="173">
        <f>'Aguilera(2014)'!H30/10^6*Legend!$B$114</f>
        <v>1.6751472328993579E-2</v>
      </c>
    </row>
    <row r="19" spans="1:5">
      <c r="A19" t="s">
        <v>916</v>
      </c>
      <c r="B19" t="s">
        <v>674</v>
      </c>
      <c r="C19" s="173">
        <f>'Aguilera(2014)'!H31/10^6*Legend!$B$114</f>
        <v>1.9114199804873746E-2</v>
      </c>
    </row>
    <row r="20" spans="1:5">
      <c r="A20" t="s">
        <v>917</v>
      </c>
      <c r="B20" t="s">
        <v>674</v>
      </c>
      <c r="C20" s="174">
        <f>AVERAGE(C18:C19)</f>
        <v>1.7932836066933661E-2</v>
      </c>
    </row>
    <row r="22" spans="1:5">
      <c r="A22" s="345" t="s">
        <v>918</v>
      </c>
    </row>
    <row r="24" spans="1:5">
      <c r="B24" t="s">
        <v>919</v>
      </c>
      <c r="C24" t="s">
        <v>896</v>
      </c>
    </row>
    <row r="25" spans="1:5">
      <c r="B25" t="s">
        <v>920</v>
      </c>
      <c r="C25" t="s">
        <v>688</v>
      </c>
    </row>
    <row r="26" spans="1:5">
      <c r="A26" t="s">
        <v>921</v>
      </c>
      <c r="B26" s="173">
        <f>'Khwanpruk(2015)_GasSep'!B5*24*365*10^6/Legend!$B$85*10^-9*Legend!$B$86*10^3</f>
        <v>3482697.0071953037</v>
      </c>
      <c r="C26" s="348">
        <f>IF('Khwanpruk(2015)_GasSep'!C5="","",'Khwanpruk(2015)_GasSep'!C5/B26*Legend!$B$115)</f>
        <v>6.2370499488409117E-5</v>
      </c>
      <c r="E26" s="408"/>
    </row>
    <row r="27" spans="1:5">
      <c r="A27" t="s">
        <v>922</v>
      </c>
      <c r="B27" s="173">
        <f>'Khwanpruk(2015)_GasSep'!B6*24*365*10^6/Legend!$B$85*10^-9*Legend!$B$86*10^3</f>
        <v>2589697.7745811231</v>
      </c>
      <c r="C27" s="348">
        <f>IF('Khwanpruk(2015)_GasSep'!C6="","",'Khwanpruk(2015)_GasSep'!C6/B27*Legend!$B$115)</f>
        <v>2.2073044283556768E-5</v>
      </c>
      <c r="E27" s="408"/>
    </row>
    <row r="28" spans="1:5">
      <c r="A28" t="s">
        <v>923</v>
      </c>
      <c r="B28" s="173">
        <f>'Khwanpruk(2015)_GasSep'!B7*24*365*10^6/Legend!$B$85*10^-9*Legend!$B$86*10^3</f>
        <v>3482697.0071953037</v>
      </c>
      <c r="C28" s="348">
        <f>IF('Khwanpruk(2015)_GasSep'!C7="","",'Khwanpruk(2015)_GasSep'!C7/B28*Legend!$B$115)</f>
        <v>3.6109236545921071E-5</v>
      </c>
    </row>
    <row r="29" spans="1:5">
      <c r="A29" t="s">
        <v>924</v>
      </c>
      <c r="B29" s="173">
        <f>'Khwanpruk(2015)_GasSep'!B8*24*365*10^6/Legend!$B$85*10^-9*Legend!$B$86*10^3</f>
        <v>1518098.6954441071</v>
      </c>
      <c r="C29" s="348" t="str">
        <f>IF('Khwanpruk(2015)_GasSep'!C8="","",'Khwanpruk(2015)_GasSep'!C8/B29*Legend!$B$115)</f>
        <v/>
      </c>
    </row>
    <row r="30" spans="1:5">
      <c r="A30" t="s">
        <v>925</v>
      </c>
      <c r="B30" s="173">
        <f>'Khwanpruk(2015)_GasSep'!B9*24*365*10^6/Legend!$B$85*10^-9*Legend!$B$86*10^3</f>
        <v>4732895.9328551563</v>
      </c>
      <c r="C30" s="348">
        <f>IF('Khwanpruk(2015)_GasSep'!C9="","",'Khwanpruk(2015)_GasSep'!C9/B30*Legend!$B$115)</f>
        <v>6.0388517379542094E-5</v>
      </c>
    </row>
    <row r="31" spans="1:5">
      <c r="A31" t="s">
        <v>926</v>
      </c>
      <c r="B31" s="173">
        <f>'Khwanpruk(2015)_GasSep'!B10*24*365*10^6/Legend!$B$85*10^-9*Legend!$B$86*10^3</f>
        <v>7143993.8609134443</v>
      </c>
      <c r="C31" s="348" t="str">
        <f>IF('Khwanpruk(2015)_GasSep'!C10="","",'Khwanpruk(2015)_GasSep'!C10/B31*Legend!$B$115)</f>
        <v/>
      </c>
    </row>
    <row r="33" spans="1:3">
      <c r="A33" s="345" t="s">
        <v>927</v>
      </c>
    </row>
    <row r="36" spans="1:3">
      <c r="A36" t="s">
        <v>928</v>
      </c>
      <c r="B36" t="s">
        <v>929</v>
      </c>
      <c r="C36" s="430">
        <f>AVERAGE(C7,D7,E7,C20,C26:C31)</f>
        <v>3.843517945172523E-3</v>
      </c>
    </row>
    <row r="37" spans="1:3">
      <c r="A37" t="s">
        <v>930</v>
      </c>
      <c r="B37" t="s">
        <v>929</v>
      </c>
      <c r="C37" s="430">
        <f>C36*0.01</f>
        <v>3.8435179451725229E-5</v>
      </c>
    </row>
    <row r="38" spans="1:3">
      <c r="A38" t="s">
        <v>860</v>
      </c>
      <c r="B38" t="s">
        <v>929</v>
      </c>
      <c r="C38" s="33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B158-88FF-45DC-B446-EFA7C319469C}">
  <sheetPr>
    <tabColor theme="4" tint="0.39997558519241921"/>
  </sheetPr>
  <dimension ref="A1:AI398"/>
  <sheetViews>
    <sheetView tabSelected="1" topLeftCell="S164" workbookViewId="0">
      <selection activeCell="E188" sqref="E188:AF188"/>
    </sheetView>
  </sheetViews>
  <sheetFormatPr defaultRowHeight="15.6"/>
  <cols>
    <col min="1" max="1" width="36.5" bestFit="1" customWidth="1"/>
    <col min="2" max="2" width="22.09765625" bestFit="1" customWidth="1"/>
    <col min="3" max="3" width="22.09765625" customWidth="1"/>
    <col min="4" max="4" width="12.09765625" bestFit="1" customWidth="1"/>
    <col min="5" max="5" width="14.8984375" bestFit="1" customWidth="1"/>
    <col min="6" max="32" width="14.69921875" bestFit="1" customWidth="1"/>
    <col min="33" max="33" width="17.09765625" bestFit="1" customWidth="1"/>
    <col min="35" max="35" width="16.19921875" bestFit="1" customWidth="1"/>
  </cols>
  <sheetData>
    <row r="1" spans="1:35">
      <c r="A1" s="345" t="s">
        <v>931</v>
      </c>
    </row>
    <row r="2" spans="1:35">
      <c r="E2" s="174"/>
    </row>
    <row r="4" spans="1:35">
      <c r="A4" s="227"/>
      <c r="B4" s="231"/>
      <c r="C4" s="231"/>
      <c r="D4" s="231"/>
      <c r="E4" s="599" t="s">
        <v>932</v>
      </c>
      <c r="F4" s="599"/>
      <c r="G4" s="599"/>
      <c r="H4" s="599"/>
      <c r="I4" s="599"/>
      <c r="J4" s="599"/>
      <c r="K4" s="599"/>
      <c r="L4" s="599"/>
      <c r="M4" s="599"/>
      <c r="N4" s="599"/>
      <c r="O4" s="599"/>
      <c r="P4" s="599"/>
      <c r="Q4" s="599"/>
      <c r="R4" s="599"/>
      <c r="S4" s="599"/>
      <c r="T4" s="599"/>
      <c r="U4" s="599"/>
      <c r="V4" s="599"/>
      <c r="W4" s="599"/>
      <c r="X4" s="599"/>
      <c r="Y4" s="599"/>
      <c r="Z4" s="599"/>
      <c r="AA4" s="599"/>
      <c r="AB4" s="599"/>
      <c r="AC4" s="599"/>
      <c r="AD4" s="599"/>
      <c r="AE4" s="599"/>
      <c r="AF4" s="600"/>
      <c r="AG4" s="231" t="s">
        <v>933</v>
      </c>
    </row>
    <row r="5" spans="1:35">
      <c r="A5" s="434" t="s">
        <v>934</v>
      </c>
      <c r="B5" s="68" t="s">
        <v>935</v>
      </c>
      <c r="C5" s="68" t="s">
        <v>655</v>
      </c>
      <c r="D5" s="68" t="s">
        <v>375</v>
      </c>
      <c r="E5" s="69" t="s">
        <v>172</v>
      </c>
      <c r="F5" s="69" t="s">
        <v>175</v>
      </c>
      <c r="G5" s="69" t="s">
        <v>178</v>
      </c>
      <c r="H5" s="69" t="s">
        <v>181</v>
      </c>
      <c r="I5" s="69" t="s">
        <v>184</v>
      </c>
      <c r="J5" s="69" t="s">
        <v>187</v>
      </c>
      <c r="K5" s="69" t="s">
        <v>190</v>
      </c>
      <c r="L5" s="69" t="s">
        <v>193</v>
      </c>
      <c r="M5" s="69" t="s">
        <v>196</v>
      </c>
      <c r="N5" s="69" t="s">
        <v>198</v>
      </c>
      <c r="O5" s="69" t="s">
        <v>200</v>
      </c>
      <c r="P5" s="69" t="s">
        <v>202</v>
      </c>
      <c r="Q5" s="69" t="s">
        <v>205</v>
      </c>
      <c r="R5" s="69" t="s">
        <v>208</v>
      </c>
      <c r="S5" s="69" t="s">
        <v>211</v>
      </c>
      <c r="T5" s="69" t="s">
        <v>214</v>
      </c>
      <c r="U5" s="69" t="s">
        <v>217</v>
      </c>
      <c r="V5" s="69" t="s">
        <v>220</v>
      </c>
      <c r="W5" s="69" t="s">
        <v>223</v>
      </c>
      <c r="X5" s="69" t="s">
        <v>225</v>
      </c>
      <c r="Y5" s="69" t="s">
        <v>227</v>
      </c>
      <c r="Z5" s="69" t="s">
        <v>230</v>
      </c>
      <c r="AA5" s="69" t="s">
        <v>233</v>
      </c>
      <c r="AB5" s="69" t="s">
        <v>236</v>
      </c>
      <c r="AC5" s="69" t="s">
        <v>238</v>
      </c>
      <c r="AD5" s="69" t="s">
        <v>240</v>
      </c>
      <c r="AE5" s="69" t="s">
        <v>243</v>
      </c>
      <c r="AF5" s="91" t="s">
        <v>245</v>
      </c>
      <c r="AG5" s="68" t="s">
        <v>936</v>
      </c>
    </row>
    <row r="6" spans="1:35">
      <c r="A6" s="215" t="s">
        <v>937</v>
      </c>
      <c r="B6" s="232" t="s">
        <v>938</v>
      </c>
      <c r="C6" s="232">
        <v>2019</v>
      </c>
      <c r="D6" s="232" t="s">
        <v>939</v>
      </c>
      <c r="E6" s="209">
        <f>MAGPIELink!E6</f>
        <v>80998</v>
      </c>
      <c r="F6" s="209">
        <f>MAGPIELink!F6</f>
        <v>12.230409401185399</v>
      </c>
      <c r="G6" s="209">
        <f>MAGPIELink!G6</f>
        <v>74843</v>
      </c>
      <c r="H6" s="209">
        <f>MAGPIELink!H6</f>
        <v>22170.438792213299</v>
      </c>
      <c r="I6" s="209">
        <f>MAGPIELink!I6</f>
        <v>1705.55555555556</v>
      </c>
      <c r="J6" s="209">
        <f>MAGPIELink!J6</f>
        <v>1483.0775543647301</v>
      </c>
      <c r="K6" s="209">
        <f>MAGPIELink!K6</f>
        <v>25692</v>
      </c>
      <c r="L6" s="209">
        <f>MAGPIELink!L6</f>
        <v>22875</v>
      </c>
      <c r="M6" s="209">
        <f>MAGPIELink!M6</f>
        <v>33852</v>
      </c>
      <c r="N6" s="209">
        <f>MAGPIELink!N6</f>
        <v>1133</v>
      </c>
      <c r="O6" s="209">
        <f>MAGPIELink!O6</f>
        <v>4074</v>
      </c>
      <c r="P6" s="209">
        <f>MAGPIELink!P6</f>
        <v>49458</v>
      </c>
      <c r="Q6" s="209">
        <f>MAGPIELink!Q6</f>
        <v>10071.0327066875</v>
      </c>
      <c r="R6" s="209">
        <f>MAGPIELink!R6</f>
        <v>5443.5994575214499</v>
      </c>
      <c r="S6" s="209">
        <f>MAGPIELink!S6</f>
        <v>11941.710804084201</v>
      </c>
      <c r="T6" s="209">
        <f>MAGPIELink!T6</f>
        <v>13099</v>
      </c>
      <c r="U6" s="209">
        <f>MAGPIELink!U6</f>
        <v>19231.216157694198</v>
      </c>
      <c r="V6" s="209">
        <f>MAGPIELink!V6</f>
        <v>26810</v>
      </c>
      <c r="W6" s="209">
        <f>MAGPIELink!W6</f>
        <v>78701.349145108295</v>
      </c>
      <c r="X6" s="209">
        <f>MAGPIELink!X6</f>
        <v>193.333333333333</v>
      </c>
      <c r="Y6" s="209">
        <f>MAGPIELink!Y6</f>
        <v>27869</v>
      </c>
      <c r="Z6" s="209">
        <f>MAGPIELink!Z6</f>
        <v>1590.59295</v>
      </c>
      <c r="AA6" s="209">
        <f>MAGPIELink!AA6</f>
        <v>313.43378391884301</v>
      </c>
      <c r="AB6" s="209">
        <f>MAGPIELink!AB6</f>
        <v>12335</v>
      </c>
      <c r="AC6" s="209">
        <f>MAGPIELink!AC6</f>
        <v>20281.591409873199</v>
      </c>
      <c r="AD6" s="209">
        <f>MAGPIELink!AD6</f>
        <v>4991.3078590109999</v>
      </c>
      <c r="AE6" s="209">
        <f>MAGPIELink!AE6</f>
        <v>0</v>
      </c>
      <c r="AF6" s="209">
        <f>MAGPIELink!AF6</f>
        <v>13973.530081233201</v>
      </c>
      <c r="AG6" s="436">
        <v>19</v>
      </c>
      <c r="AI6" s="174"/>
    </row>
    <row r="7" spans="1:35">
      <c r="A7" s="215" t="s">
        <v>937</v>
      </c>
      <c r="B7" s="232" t="s">
        <v>938</v>
      </c>
      <c r="C7">
        <v>2020</v>
      </c>
      <c r="D7" s="232" t="s">
        <v>939</v>
      </c>
      <c r="E7" s="209">
        <f>MAGPIELink!E7</f>
        <v>80998</v>
      </c>
      <c r="F7" s="209">
        <f>MAGPIELink!F7</f>
        <v>12.230409401185399</v>
      </c>
      <c r="G7" s="209">
        <f>MAGPIELink!G7</f>
        <v>74843</v>
      </c>
      <c r="H7" s="209">
        <f>MAGPIELink!H7</f>
        <v>22170.438792213299</v>
      </c>
      <c r="I7" s="209">
        <f>MAGPIELink!I7</f>
        <v>1705.55555555556</v>
      </c>
      <c r="J7" s="209">
        <f>MAGPIELink!J7</f>
        <v>1483.0775543647301</v>
      </c>
      <c r="K7" s="209">
        <f>MAGPIELink!K7</f>
        <v>25692</v>
      </c>
      <c r="L7" s="209">
        <f>MAGPIELink!L7</f>
        <v>22875</v>
      </c>
      <c r="M7" s="209">
        <f>MAGPIELink!M7</f>
        <v>33852</v>
      </c>
      <c r="N7" s="209">
        <f>MAGPIELink!N7</f>
        <v>1133</v>
      </c>
      <c r="O7" s="209">
        <f>MAGPIELink!O7</f>
        <v>4074</v>
      </c>
      <c r="P7" s="209">
        <f>MAGPIELink!P7</f>
        <v>49458</v>
      </c>
      <c r="Q7" s="209">
        <f>MAGPIELink!Q7</f>
        <v>10071.0327066875</v>
      </c>
      <c r="R7" s="209">
        <f>MAGPIELink!R7</f>
        <v>5443.5994575214499</v>
      </c>
      <c r="S7" s="209">
        <f>MAGPIELink!S7</f>
        <v>11941.710804084201</v>
      </c>
      <c r="T7" s="209">
        <f>MAGPIELink!T7</f>
        <v>13099</v>
      </c>
      <c r="U7" s="209">
        <f>MAGPIELink!U7</f>
        <v>19231.216157694198</v>
      </c>
      <c r="V7" s="209">
        <f>MAGPIELink!V7</f>
        <v>26810</v>
      </c>
      <c r="W7" s="209">
        <f>MAGPIELink!W7</f>
        <v>78701.349145108295</v>
      </c>
      <c r="X7" s="209">
        <f>MAGPIELink!X7</f>
        <v>193.333333333333</v>
      </c>
      <c r="Y7" s="209">
        <f>MAGPIELink!Y7</f>
        <v>27869</v>
      </c>
      <c r="Z7" s="209">
        <f>MAGPIELink!Z7</f>
        <v>1590.59295</v>
      </c>
      <c r="AA7" s="209">
        <f>MAGPIELink!AA7</f>
        <v>313.43378391884301</v>
      </c>
      <c r="AB7" s="209">
        <f>MAGPIELink!AB7</f>
        <v>12335</v>
      </c>
      <c r="AC7" s="209">
        <f>MAGPIELink!AC7</f>
        <v>20281.591409873199</v>
      </c>
      <c r="AD7" s="209">
        <f>MAGPIELink!AD7</f>
        <v>4991.3078590109999</v>
      </c>
      <c r="AE7" s="209">
        <f>MAGPIELink!AE7</f>
        <v>0</v>
      </c>
      <c r="AF7" s="209">
        <f>MAGPIELink!AF7</f>
        <v>13973.530081233201</v>
      </c>
      <c r="AG7" s="436">
        <v>19</v>
      </c>
      <c r="AI7" s="174"/>
    </row>
    <row r="8" spans="1:35">
      <c r="A8" s="215" t="s">
        <v>937</v>
      </c>
      <c r="B8" s="232" t="s">
        <v>938</v>
      </c>
      <c r="C8" s="232">
        <v>2025</v>
      </c>
      <c r="D8" s="232" t="s">
        <v>939</v>
      </c>
      <c r="E8" s="209">
        <f>MAGPIELink!E8</f>
        <v>87536</v>
      </c>
      <c r="F8" s="209">
        <f>MAGPIELink!F8</f>
        <v>12.583846143468302</v>
      </c>
      <c r="G8" s="209">
        <f>MAGPIELink!G8</f>
        <v>81707</v>
      </c>
      <c r="H8" s="209">
        <f>MAGPIELink!H8</f>
        <v>23375.929997470601</v>
      </c>
      <c r="I8" s="209">
        <f>MAGPIELink!I8</f>
        <v>1822.35294117647</v>
      </c>
      <c r="J8" s="209">
        <f>MAGPIELink!J8</f>
        <v>1451.9095979051099</v>
      </c>
      <c r="K8" s="209">
        <f>MAGPIELink!K8</f>
        <v>26180</v>
      </c>
      <c r="L8" s="209">
        <f>MAGPIELink!L8</f>
        <v>19609.167452617701</v>
      </c>
      <c r="M8" s="209">
        <f>MAGPIELink!M8</f>
        <v>33091</v>
      </c>
      <c r="N8" s="209">
        <f>MAGPIELink!N8</f>
        <v>1256.7176470588199</v>
      </c>
      <c r="O8" s="209">
        <f>MAGPIELink!O8</f>
        <v>4125.45</v>
      </c>
      <c r="P8" s="209">
        <f>MAGPIELink!P8</f>
        <v>43439</v>
      </c>
      <c r="Q8" s="209">
        <f>MAGPIELink!Q8</f>
        <v>12750.6201784881</v>
      </c>
      <c r="R8" s="209">
        <f>MAGPIELink!R8</f>
        <v>8913.8217240158592</v>
      </c>
      <c r="S8" s="209">
        <f>MAGPIELink!S8</f>
        <v>21349.4710501673</v>
      </c>
      <c r="T8" s="209">
        <f>MAGPIELink!T8</f>
        <v>12688</v>
      </c>
      <c r="U8" s="209">
        <f>MAGPIELink!U8</f>
        <v>18519.2975232303</v>
      </c>
      <c r="V8" s="209">
        <f>MAGPIELink!V8</f>
        <v>25169</v>
      </c>
      <c r="W8" s="209">
        <f>MAGPIELink!W8</f>
        <v>67010.488965759199</v>
      </c>
      <c r="X8" s="209">
        <f>MAGPIELink!X8</f>
        <v>190.58823529411799</v>
      </c>
      <c r="Y8" s="209">
        <f>MAGPIELink!Y8</f>
        <v>28135</v>
      </c>
      <c r="Z8" s="209">
        <f>MAGPIELink!Z8</f>
        <v>1539.81495</v>
      </c>
      <c r="AA8" s="209">
        <f>MAGPIELink!AA8</f>
        <v>331.44535673885599</v>
      </c>
      <c r="AB8" s="209">
        <f>MAGPIELink!AB8</f>
        <v>12335</v>
      </c>
      <c r="AC8" s="209">
        <f>MAGPIELink!AC8</f>
        <v>12639.5007136271</v>
      </c>
      <c r="AD8" s="209">
        <f>MAGPIELink!AD8</f>
        <v>5386.0081454476403</v>
      </c>
      <c r="AE8" s="209">
        <f>MAGPIELink!AE8</f>
        <v>0</v>
      </c>
      <c r="AF8" s="209">
        <f>MAGPIELink!AF8</f>
        <v>14804.831674859401</v>
      </c>
      <c r="AG8" s="436">
        <v>19</v>
      </c>
      <c r="AI8" s="174"/>
    </row>
    <row r="9" spans="1:35">
      <c r="A9" s="215" t="s">
        <v>937</v>
      </c>
      <c r="B9" s="232" t="s">
        <v>938</v>
      </c>
      <c r="C9" s="232">
        <v>2030</v>
      </c>
      <c r="D9" s="232" t="s">
        <v>939</v>
      </c>
      <c r="E9" s="209">
        <f>MAGPIELink!E9</f>
        <v>89116</v>
      </c>
      <c r="F9" s="209">
        <f>MAGPIELink!F9</f>
        <v>12.9613351922011</v>
      </c>
      <c r="G9" s="209">
        <f>MAGPIELink!G9</f>
        <v>87809</v>
      </c>
      <c r="H9" s="209">
        <f>MAGPIELink!H9</f>
        <v>23155.7072378989</v>
      </c>
      <c r="I9" s="209">
        <f>MAGPIELink!I9</f>
        <v>1945</v>
      </c>
      <c r="J9" s="209">
        <f>MAGPIELink!J9</f>
        <v>1384.39355119725</v>
      </c>
      <c r="K9" s="209">
        <f>MAGPIELink!K9</f>
        <v>25130</v>
      </c>
      <c r="L9" s="209">
        <f>MAGPIELink!L9</f>
        <v>17716.7183180631</v>
      </c>
      <c r="M9" s="209">
        <f>MAGPIELink!M9</f>
        <v>32524</v>
      </c>
      <c r="N9" s="209">
        <f>MAGPIELink!N9</f>
        <v>1351.3500000000001</v>
      </c>
      <c r="O9" s="209">
        <f>MAGPIELink!O9</f>
        <v>3856</v>
      </c>
      <c r="P9" s="209">
        <f>MAGPIELink!P9</f>
        <v>38986</v>
      </c>
      <c r="Q9" s="209">
        <f>MAGPIELink!Q9</f>
        <v>14905.445688437901</v>
      </c>
      <c r="R9" s="209">
        <f>MAGPIELink!R9</f>
        <v>12598.8749754165</v>
      </c>
      <c r="S9" s="209">
        <f>MAGPIELink!S9</f>
        <v>28511.598163362803</v>
      </c>
      <c r="T9" s="209">
        <f>MAGPIELink!T9</f>
        <v>12291</v>
      </c>
      <c r="U9" s="209">
        <f>MAGPIELink!U9</f>
        <v>19484.268552323701</v>
      </c>
      <c r="V9" s="209">
        <f>MAGPIELink!V9</f>
        <v>23049</v>
      </c>
      <c r="W9" s="209">
        <f>MAGPIELink!W9</f>
        <v>56608.779119912804</v>
      </c>
      <c r="X9" s="209">
        <f>MAGPIELink!X9</f>
        <v>188.75</v>
      </c>
      <c r="Y9" s="209">
        <f>MAGPIELink!Y9</f>
        <v>28112</v>
      </c>
      <c r="Z9" s="209">
        <f>MAGPIELink!Z9</f>
        <v>1485.396</v>
      </c>
      <c r="AA9" s="209">
        <f>MAGPIELink!AA9</f>
        <v>251.31525795580001</v>
      </c>
      <c r="AB9" s="209">
        <f>MAGPIELink!AB9</f>
        <v>12259</v>
      </c>
      <c r="AC9" s="209">
        <f>MAGPIELink!AC9</f>
        <v>1993.54895011998</v>
      </c>
      <c r="AD9" s="209">
        <f>MAGPIELink!AD9</f>
        <v>5916.4464250595001</v>
      </c>
      <c r="AE9" s="209">
        <f>MAGPIELink!AE9</f>
        <v>0</v>
      </c>
      <c r="AF9" s="209">
        <f>MAGPIELink!AF9</f>
        <v>15916.446425059499</v>
      </c>
      <c r="AG9" s="436">
        <v>19</v>
      </c>
      <c r="AI9" s="174"/>
    </row>
    <row r="10" spans="1:35">
      <c r="A10" s="215" t="s">
        <v>937</v>
      </c>
      <c r="B10" s="232" t="s">
        <v>938</v>
      </c>
      <c r="C10" s="232">
        <v>2035</v>
      </c>
      <c r="D10" s="232" t="s">
        <v>939</v>
      </c>
      <c r="E10" s="209">
        <f>MAGPIELink!E10</f>
        <v>89347</v>
      </c>
      <c r="F10" s="209">
        <f>MAGPIELink!F10</f>
        <v>13.1657048222332</v>
      </c>
      <c r="G10" s="209">
        <f>MAGPIELink!G10</f>
        <v>89725</v>
      </c>
      <c r="H10" s="209">
        <f>MAGPIELink!H10</f>
        <v>22933.0325272023</v>
      </c>
      <c r="I10" s="209">
        <f>MAGPIELink!I10</f>
        <v>1906.25</v>
      </c>
      <c r="J10" s="209">
        <f>MAGPIELink!J10</f>
        <v>1416.5919639342399</v>
      </c>
      <c r="K10" s="209">
        <f>MAGPIELink!K10</f>
        <v>23329</v>
      </c>
      <c r="L10" s="209">
        <f>MAGPIELink!L10</f>
        <v>16753.1845055903</v>
      </c>
      <c r="M10" s="209">
        <f>MAGPIELink!M10</f>
        <v>31005</v>
      </c>
      <c r="N10" s="209">
        <f>MAGPIELink!N10</f>
        <v>1306.8</v>
      </c>
      <c r="O10" s="209">
        <f>MAGPIELink!O10</f>
        <v>3739</v>
      </c>
      <c r="P10" s="209">
        <f>MAGPIELink!P10</f>
        <v>35187</v>
      </c>
      <c r="Q10" s="209">
        <f>MAGPIELink!Q10</f>
        <v>14668.9733571631</v>
      </c>
      <c r="R10" s="209">
        <f>MAGPIELink!R10</f>
        <v>12657.7192255627</v>
      </c>
      <c r="S10" s="209">
        <f>MAGPIELink!S10</f>
        <v>28186.971967237099</v>
      </c>
      <c r="T10" s="209">
        <f>MAGPIELink!T10</f>
        <v>11920</v>
      </c>
      <c r="U10" s="209">
        <f>MAGPIELink!U10</f>
        <v>19163.8846552945</v>
      </c>
      <c r="V10" s="209">
        <f>MAGPIELink!V10</f>
        <v>21429</v>
      </c>
      <c r="W10" s="209">
        <f>MAGPIELink!W10</f>
        <v>52312.826804902099</v>
      </c>
      <c r="X10" s="209">
        <f>MAGPIELink!X10</f>
        <v>178.75</v>
      </c>
      <c r="Y10" s="209">
        <f>MAGPIELink!Y10</f>
        <v>27351</v>
      </c>
      <c r="Z10" s="209">
        <f>MAGPIELink!Z10</f>
        <v>1089.6096115938601</v>
      </c>
      <c r="AA10" s="209">
        <f>MAGPIELink!AA10</f>
        <v>103.31928971252501</v>
      </c>
      <c r="AB10" s="209">
        <f>MAGPIELink!AB10</f>
        <v>11974</v>
      </c>
      <c r="AC10" s="209">
        <f>MAGPIELink!AC10</f>
        <v>1610.0363225386</v>
      </c>
      <c r="AD10" s="209">
        <f>MAGPIELink!AD10</f>
        <v>5655.56703222325</v>
      </c>
      <c r="AE10" s="209">
        <f>MAGPIELink!AE10</f>
        <v>0</v>
      </c>
      <c r="AF10" s="209">
        <f>MAGPIELink!AF10</f>
        <v>15804.3170322232</v>
      </c>
      <c r="AG10" s="436">
        <v>19</v>
      </c>
      <c r="AI10" s="174"/>
    </row>
    <row r="11" spans="1:35">
      <c r="A11" s="215" t="s">
        <v>937</v>
      </c>
      <c r="B11" s="232" t="s">
        <v>938</v>
      </c>
      <c r="C11" s="232">
        <v>2040</v>
      </c>
      <c r="D11" s="232" t="s">
        <v>939</v>
      </c>
      <c r="E11" s="209">
        <f>MAGPIELink!E11</f>
        <v>89172</v>
      </c>
      <c r="F11" s="209">
        <f>MAGPIELink!F11</f>
        <v>13.5898797853774</v>
      </c>
      <c r="G11" s="209">
        <f>MAGPIELink!G11</f>
        <v>90148</v>
      </c>
      <c r="H11" s="209">
        <f>MAGPIELink!H11</f>
        <v>22707.768134480903</v>
      </c>
      <c r="I11" s="209">
        <f>MAGPIELink!I11</f>
        <v>1865</v>
      </c>
      <c r="J11" s="209">
        <f>MAGPIELink!J11</f>
        <v>1468.10942431341</v>
      </c>
      <c r="K11" s="209">
        <f>MAGPIELink!K11</f>
        <v>21554</v>
      </c>
      <c r="L11" s="209">
        <f>MAGPIELink!L11</f>
        <v>15812.8202458221</v>
      </c>
      <c r="M11" s="209">
        <f>MAGPIELink!M11</f>
        <v>28996</v>
      </c>
      <c r="N11" s="209">
        <f>MAGPIELink!N11</f>
        <v>1259.7750000000001</v>
      </c>
      <c r="O11" s="209">
        <f>MAGPIELink!O11</f>
        <v>3597</v>
      </c>
      <c r="P11" s="209">
        <f>MAGPIELink!P11</f>
        <v>32295</v>
      </c>
      <c r="Q11" s="209">
        <f>MAGPIELink!Q11</f>
        <v>14473.972226068501</v>
      </c>
      <c r="R11" s="209">
        <f>MAGPIELink!R11</f>
        <v>12713.071410663</v>
      </c>
      <c r="S11" s="209">
        <f>MAGPIELink!S11</f>
        <v>27959.7550649447</v>
      </c>
      <c r="T11" s="209">
        <f>MAGPIELink!T11</f>
        <v>11594</v>
      </c>
      <c r="U11" s="209">
        <f>MAGPIELink!U11</f>
        <v>18868.9012105724</v>
      </c>
      <c r="V11" s="209">
        <f>MAGPIELink!V11</f>
        <v>20102</v>
      </c>
      <c r="W11" s="209">
        <f>MAGPIELink!W11</f>
        <v>48580.133999298501</v>
      </c>
      <c r="X11" s="209">
        <f>MAGPIELink!X11</f>
        <v>168.75</v>
      </c>
      <c r="Y11" s="209">
        <f>MAGPIELink!Y11</f>
        <v>26259</v>
      </c>
      <c r="Z11" s="209">
        <f>MAGPIELink!Z11</f>
        <v>1048.9697034907799</v>
      </c>
      <c r="AA11" s="209">
        <f>MAGPIELink!AA11</f>
        <v>48.9049311543925</v>
      </c>
      <c r="AB11" s="209">
        <f>MAGPIELink!AB11</f>
        <v>11611</v>
      </c>
      <c r="AC11" s="209">
        <f>MAGPIELink!AC11</f>
        <v>941.029794930771</v>
      </c>
      <c r="AD11" s="209">
        <f>MAGPIELink!AD11</f>
        <v>5448.4744872375704</v>
      </c>
      <c r="AE11" s="209">
        <f>MAGPIELink!AE11</f>
        <v>0</v>
      </c>
      <c r="AF11" s="209">
        <f>MAGPIELink!AF11</f>
        <v>15745.9744872376</v>
      </c>
      <c r="AG11" s="436">
        <v>19</v>
      </c>
      <c r="AI11" s="174"/>
    </row>
    <row r="12" spans="1:35">
      <c r="A12" s="215" t="s">
        <v>937</v>
      </c>
      <c r="B12" s="232" t="s">
        <v>938</v>
      </c>
      <c r="C12" s="232">
        <v>2045</v>
      </c>
      <c r="D12" s="232" t="s">
        <v>939</v>
      </c>
      <c r="E12" s="209">
        <f>MAGPIELink!E12</f>
        <v>88200</v>
      </c>
      <c r="F12" s="209">
        <f>MAGPIELink!F12</f>
        <v>13.518138021882301</v>
      </c>
      <c r="G12" s="209">
        <f>MAGPIELink!G12</f>
        <v>89422</v>
      </c>
      <c r="H12" s="209">
        <f>MAGPIELink!H12</f>
        <v>22294.578207782</v>
      </c>
      <c r="I12" s="209">
        <f>MAGPIELink!I12</f>
        <v>1825</v>
      </c>
      <c r="J12" s="209">
        <f>MAGPIELink!J12</f>
        <v>1529.2864085136798</v>
      </c>
      <c r="K12" s="209">
        <f>MAGPIELink!K12</f>
        <v>19815</v>
      </c>
      <c r="L12" s="209">
        <f>MAGPIELink!L12</f>
        <v>14860.471734655001</v>
      </c>
      <c r="M12" s="209">
        <f>MAGPIELink!M12</f>
        <v>26756</v>
      </c>
      <c r="N12" s="209">
        <f>MAGPIELink!N12</f>
        <v>1215.2249999999999</v>
      </c>
      <c r="O12" s="209">
        <f>MAGPIELink!O12</f>
        <v>3430</v>
      </c>
      <c r="P12" s="209">
        <f>MAGPIELink!P12</f>
        <v>29609</v>
      </c>
      <c r="Q12" s="209">
        <f>MAGPIELink!Q12</f>
        <v>13989.4120047695</v>
      </c>
      <c r="R12" s="209">
        <f>MAGPIELink!R12</f>
        <v>12455.473374101401</v>
      </c>
      <c r="S12" s="209">
        <f>MAGPIELink!S12</f>
        <v>27162.944846352901</v>
      </c>
      <c r="T12" s="209">
        <f>MAGPIELink!T12</f>
        <v>11286</v>
      </c>
      <c r="U12" s="209">
        <f>MAGPIELink!U12</f>
        <v>18367.339307873099</v>
      </c>
      <c r="V12" s="209">
        <f>MAGPIELink!V12</f>
        <v>18956</v>
      </c>
      <c r="W12" s="209">
        <f>MAGPIELink!W12</f>
        <v>45083.930292680197</v>
      </c>
      <c r="X12" s="209">
        <f>MAGPIELink!X12</f>
        <v>158.75</v>
      </c>
      <c r="Y12" s="209">
        <f>MAGPIELink!Y12</f>
        <v>24958</v>
      </c>
      <c r="Z12" s="209">
        <f>MAGPIELink!Z12</f>
        <v>1012.1637489823401</v>
      </c>
      <c r="AA12" s="209">
        <f>MAGPIELink!AA12</f>
        <v>312.41554646507802</v>
      </c>
      <c r="AB12" s="209">
        <f>MAGPIELink!AB12</f>
        <v>11172</v>
      </c>
      <c r="AC12" s="209">
        <f>MAGPIELink!AC12</f>
        <v>1433.2489972026301</v>
      </c>
      <c r="AD12" s="209">
        <f>MAGPIELink!AD12</f>
        <v>5235.2461963002006</v>
      </c>
      <c r="AE12" s="209">
        <f>MAGPIELink!AE12</f>
        <v>0</v>
      </c>
      <c r="AF12" s="209">
        <f>MAGPIELink!AF12</f>
        <v>15643.996196300201</v>
      </c>
      <c r="AG12" s="436">
        <v>19</v>
      </c>
      <c r="AI12" s="174"/>
    </row>
    <row r="13" spans="1:35">
      <c r="A13" s="215" t="s">
        <v>937</v>
      </c>
      <c r="B13" s="232" t="s">
        <v>938</v>
      </c>
      <c r="C13" s="232">
        <v>2050</v>
      </c>
      <c r="D13" s="232" t="s">
        <v>939</v>
      </c>
      <c r="E13" s="209">
        <f>MAGPIELink!E13</f>
        <v>86491</v>
      </c>
      <c r="F13" s="209">
        <f>MAGPIELink!F13</f>
        <v>13.6552945414767</v>
      </c>
      <c r="G13" s="209">
        <f>MAGPIELink!G13</f>
        <v>87752</v>
      </c>
      <c r="H13" s="209">
        <f>MAGPIELink!H13</f>
        <v>21632.624886945203</v>
      </c>
      <c r="I13" s="209">
        <f>MAGPIELink!I13</f>
        <v>1795</v>
      </c>
      <c r="J13" s="209">
        <f>MAGPIELink!J13</f>
        <v>1592.8782736692199</v>
      </c>
      <c r="K13" s="209">
        <f>MAGPIELink!K13</f>
        <v>18129</v>
      </c>
      <c r="L13" s="209">
        <f>MAGPIELink!L13</f>
        <v>13922.504325166499</v>
      </c>
      <c r="M13" s="209">
        <f>MAGPIELink!M13</f>
        <v>24491</v>
      </c>
      <c r="N13" s="209">
        <f>MAGPIELink!N13</f>
        <v>1180.5749999999998</v>
      </c>
      <c r="O13" s="209">
        <f>MAGPIELink!O13</f>
        <v>3256</v>
      </c>
      <c r="P13" s="209">
        <f>MAGPIELink!P13</f>
        <v>27032</v>
      </c>
      <c r="Q13" s="209">
        <f>MAGPIELink!Q13</f>
        <v>13126.3848040349</v>
      </c>
      <c r="R13" s="209">
        <f>MAGPIELink!R13</f>
        <v>11812.4855473158</v>
      </c>
      <c r="S13" s="209">
        <f>MAGPIELink!S13</f>
        <v>25607.470062297001</v>
      </c>
      <c r="T13" s="209">
        <f>MAGPIELink!T13</f>
        <v>10987</v>
      </c>
      <c r="U13" s="209">
        <f>MAGPIELink!U13</f>
        <v>17607.1887681997</v>
      </c>
      <c r="V13" s="209">
        <f>MAGPIELink!V13</f>
        <v>17922</v>
      </c>
      <c r="W13" s="209">
        <f>MAGPIELink!W13</f>
        <v>41739.527021221198</v>
      </c>
      <c r="X13" s="209">
        <f>MAGPIELink!X13</f>
        <v>150</v>
      </c>
      <c r="Y13" s="209">
        <f>MAGPIELink!Y13</f>
        <v>23560</v>
      </c>
      <c r="Z13" s="209">
        <f>MAGPIELink!Z13</f>
        <v>974.59100375496098</v>
      </c>
      <c r="AA13" s="209">
        <f>MAGPIELink!AA13</f>
        <v>157.64049821597601</v>
      </c>
      <c r="AB13" s="209">
        <f>MAGPIELink!AB13</f>
        <v>10690</v>
      </c>
      <c r="AC13" s="209">
        <f>MAGPIELink!AC13</f>
        <v>4055.7286439763498</v>
      </c>
      <c r="AD13" s="209">
        <f>MAGPIELink!AD13</f>
        <v>4992.4979353308299</v>
      </c>
      <c r="AE13" s="209">
        <f>MAGPIELink!AE13</f>
        <v>0</v>
      </c>
      <c r="AF13" s="209">
        <f>MAGPIELink!AF13</f>
        <v>15486.247935330801</v>
      </c>
      <c r="AG13" s="436">
        <v>19</v>
      </c>
      <c r="AI13" s="174"/>
    </row>
    <row r="14" spans="1:35">
      <c r="A14" s="215" t="s">
        <v>937</v>
      </c>
      <c r="B14" s="232" t="s">
        <v>938</v>
      </c>
      <c r="C14" s="232">
        <v>2060</v>
      </c>
      <c r="D14" s="232" t="s">
        <v>939</v>
      </c>
      <c r="E14" s="209">
        <f>MAGPIELink!E14</f>
        <v>80821</v>
      </c>
      <c r="F14" s="209">
        <f>MAGPIELink!F14</f>
        <v>32.9876166940495</v>
      </c>
      <c r="G14" s="209">
        <f>MAGPIELink!G14</f>
        <v>82081</v>
      </c>
      <c r="H14" s="209">
        <f>MAGPIELink!H14</f>
        <v>20034.441642571099</v>
      </c>
      <c r="I14" s="209">
        <f>MAGPIELink!I14</f>
        <v>1737.5</v>
      </c>
      <c r="J14" s="209">
        <f>MAGPIELink!J14</f>
        <v>1702.3528769749701</v>
      </c>
      <c r="K14" s="209">
        <f>MAGPIELink!K14</f>
        <v>14998</v>
      </c>
      <c r="L14" s="209">
        <f>MAGPIELink!L14</f>
        <v>12112.083413837099</v>
      </c>
      <c r="M14" s="209">
        <f>MAGPIELink!M14</f>
        <v>20326</v>
      </c>
      <c r="N14" s="209">
        <f>MAGPIELink!N14</f>
        <v>1117.4625000000001</v>
      </c>
      <c r="O14" s="209">
        <f>MAGPIELink!O14</f>
        <v>3079</v>
      </c>
      <c r="P14" s="209">
        <f>MAGPIELink!P14</f>
        <v>22185</v>
      </c>
      <c r="Q14" s="209">
        <f>MAGPIELink!Q14</f>
        <v>13170.308558684799</v>
      </c>
      <c r="R14" s="209">
        <f>MAGPIELink!R14</f>
        <v>12139.8586835317</v>
      </c>
      <c r="S14" s="209">
        <f>MAGPIELink!S14</f>
        <v>23955.270260416699</v>
      </c>
      <c r="T14" s="209">
        <f>MAGPIELink!T14</f>
        <v>11266.3679985136</v>
      </c>
      <c r="U14" s="209">
        <f>MAGPIELink!U14</f>
        <v>17366.575891201803</v>
      </c>
      <c r="V14" s="209">
        <f>MAGPIELink!V14</f>
        <v>15988</v>
      </c>
      <c r="W14" s="209">
        <f>MAGPIELink!W14</f>
        <v>35680.292809385297</v>
      </c>
      <c r="X14" s="209">
        <f>MAGPIELink!X14</f>
        <v>130</v>
      </c>
      <c r="Y14" s="209">
        <f>MAGPIELink!Y14</f>
        <v>20727</v>
      </c>
      <c r="Z14" s="209">
        <f>MAGPIELink!Z14</f>
        <v>894.84476898665594</v>
      </c>
      <c r="AA14" s="209">
        <f>MAGPIELink!AA14</f>
        <v>36.044376247751103</v>
      </c>
      <c r="AB14" s="209">
        <f>MAGPIELink!AB14</f>
        <v>9734</v>
      </c>
      <c r="AC14" s="209">
        <f>MAGPIELink!AC14</f>
        <v>4106.2309988111601</v>
      </c>
      <c r="AD14" s="209">
        <f>MAGPIELink!AD14</f>
        <v>4711.9440976473898</v>
      </c>
      <c r="AE14" s="209">
        <f>MAGPIELink!AE14</f>
        <v>0</v>
      </c>
      <c r="AF14" s="209">
        <f>MAGPIELink!AF14</f>
        <v>11206.433506496101</v>
      </c>
      <c r="AG14" s="436">
        <v>19</v>
      </c>
      <c r="AI14" s="174"/>
    </row>
    <row r="15" spans="1:35">
      <c r="A15" s="215" t="s">
        <v>937</v>
      </c>
      <c r="B15" s="232" t="s">
        <v>938</v>
      </c>
      <c r="C15" s="232">
        <v>2070</v>
      </c>
      <c r="D15" s="232" t="s">
        <v>939</v>
      </c>
      <c r="E15" s="209">
        <f>MAGPIELink!E15</f>
        <v>73032</v>
      </c>
      <c r="F15" s="209">
        <f>MAGPIELink!F15</f>
        <v>1496.5274651833899</v>
      </c>
      <c r="G15" s="209">
        <f>MAGPIELink!G15</f>
        <v>75078.045281647501</v>
      </c>
      <c r="H15" s="209">
        <f>MAGPIELink!H15</f>
        <v>17086.433789976501</v>
      </c>
      <c r="I15" s="209">
        <f>MAGPIELink!I15</f>
        <v>1670</v>
      </c>
      <c r="J15" s="209">
        <f>MAGPIELink!J15</f>
        <v>1778.03958279671</v>
      </c>
      <c r="K15" s="209">
        <f>MAGPIELink!K15</f>
        <v>12308</v>
      </c>
      <c r="L15" s="209">
        <f>MAGPIELink!L15</f>
        <v>10421.5050164968</v>
      </c>
      <c r="M15" s="209">
        <f>MAGPIELink!M15</f>
        <v>16783</v>
      </c>
      <c r="N15" s="209">
        <f>MAGPIELink!N15</f>
        <v>1063.0124999999998</v>
      </c>
      <c r="O15" s="209">
        <f>MAGPIELink!O15</f>
        <v>3185</v>
      </c>
      <c r="P15" s="209">
        <f>MAGPIELink!P15</f>
        <v>22905.6741070307</v>
      </c>
      <c r="Q15" s="209">
        <f>MAGPIELink!Q15</f>
        <v>6184.32285549271</v>
      </c>
      <c r="R15" s="209">
        <f>MAGPIELink!R15</f>
        <v>5716.9374984305705</v>
      </c>
      <c r="S15" s="209">
        <f>MAGPIELink!S15</f>
        <v>11460.9782867139</v>
      </c>
      <c r="T15" s="209">
        <f>MAGPIELink!T15</f>
        <v>12034.6875</v>
      </c>
      <c r="U15" s="209">
        <f>MAGPIELink!U15</f>
        <v>18617.709819522803</v>
      </c>
      <c r="V15" s="209">
        <f>MAGPIELink!V15</f>
        <v>17790</v>
      </c>
      <c r="W15" s="209">
        <f>MAGPIELink!W15</f>
        <v>30423.204054917998</v>
      </c>
      <c r="X15" s="209">
        <f>MAGPIELink!X15</f>
        <v>111.25</v>
      </c>
      <c r="Y15" s="209">
        <f>MAGPIELink!Y15</f>
        <v>22655</v>
      </c>
      <c r="Z15" s="209">
        <f>MAGPIELink!Z15</f>
        <v>818.16569709405496</v>
      </c>
      <c r="AA15" s="209">
        <f>MAGPIELink!AA15</f>
        <v>254.67798977659601</v>
      </c>
      <c r="AB15" s="209">
        <f>MAGPIELink!AB15</f>
        <v>8838</v>
      </c>
      <c r="AC15" s="209">
        <f>MAGPIELink!AC15</f>
        <v>5044.6321267966705</v>
      </c>
      <c r="AD15" s="209">
        <f>MAGPIELink!AD15</f>
        <v>3462.5982140615101</v>
      </c>
      <c r="AE15" s="209">
        <f>MAGPIELink!AE15</f>
        <v>0</v>
      </c>
      <c r="AF15" s="209">
        <f>MAGPIELink!AF15</f>
        <v>14187.5982140615</v>
      </c>
      <c r="AG15" s="436">
        <v>19</v>
      </c>
      <c r="AI15" s="174"/>
    </row>
    <row r="16" spans="1:35">
      <c r="A16" s="215" t="s">
        <v>937</v>
      </c>
      <c r="B16" s="232" t="s">
        <v>938</v>
      </c>
      <c r="C16" s="232">
        <v>2080</v>
      </c>
      <c r="D16" s="232" t="s">
        <v>939</v>
      </c>
      <c r="E16" s="209">
        <f>MAGPIELink!E16</f>
        <v>64394.000000000007</v>
      </c>
      <c r="F16" s="209">
        <f>MAGPIELink!F16</f>
        <v>5477.9159413397601</v>
      </c>
      <c r="G16" s="209">
        <f>MAGPIELink!G16</f>
        <v>66516</v>
      </c>
      <c r="H16" s="209">
        <f>MAGPIELink!H16</f>
        <v>14806.6759599657</v>
      </c>
      <c r="I16" s="209">
        <f>MAGPIELink!I16</f>
        <v>1601.25</v>
      </c>
      <c r="J16" s="209">
        <f>MAGPIELink!J16</f>
        <v>1825.53224158377</v>
      </c>
      <c r="K16" s="209">
        <f>MAGPIELink!K16</f>
        <v>10168</v>
      </c>
      <c r="L16" s="209">
        <f>MAGPIELink!L16</f>
        <v>8931.4630925649508</v>
      </c>
      <c r="M16" s="209">
        <f>MAGPIELink!M16</f>
        <v>13866</v>
      </c>
      <c r="N16" s="209">
        <f>MAGPIELink!N16</f>
        <v>1012.2750000000001</v>
      </c>
      <c r="O16" s="209">
        <f>MAGPIELink!O16</f>
        <v>2775</v>
      </c>
      <c r="P16" s="209">
        <f>MAGPIELink!P16</f>
        <v>19006.654001000301</v>
      </c>
      <c r="Q16" s="209">
        <f>MAGPIELink!Q16</f>
        <v>5305.9468947243504</v>
      </c>
      <c r="R16" s="209">
        <f>MAGPIELink!R16</f>
        <v>5054.4060140041402</v>
      </c>
      <c r="S16" s="209">
        <f>MAGPIELink!S16</f>
        <v>10699.216029008599</v>
      </c>
      <c r="T16" s="209">
        <f>MAGPIELink!T16</f>
        <v>10674.114564072999</v>
      </c>
      <c r="U16" s="209">
        <f>MAGPIELink!U16</f>
        <v>15452.052380655499</v>
      </c>
      <c r="V16" s="209">
        <f>MAGPIELink!V16</f>
        <v>15841.25</v>
      </c>
      <c r="W16" s="209">
        <f>MAGPIELink!W16</f>
        <v>25917.926929319001</v>
      </c>
      <c r="X16" s="209">
        <f>MAGPIELink!X16</f>
        <v>96.25</v>
      </c>
      <c r="Y16" s="209">
        <f>MAGPIELink!Y16</f>
        <v>19816.25</v>
      </c>
      <c r="Z16" s="209">
        <f>MAGPIELink!Z16</f>
        <v>972.46012432078294</v>
      </c>
      <c r="AA16" s="209">
        <f>MAGPIELink!AA16</f>
        <v>226.99559958348701</v>
      </c>
      <c r="AB16" s="209">
        <f>MAGPIELink!AB16</f>
        <v>6413.5326633165805</v>
      </c>
      <c r="AC16" s="209">
        <f>MAGPIELink!AC16</f>
        <v>5929.71656053886</v>
      </c>
      <c r="AD16" s="209">
        <f>MAGPIELink!AD16</f>
        <v>3083.30800200059</v>
      </c>
      <c r="AE16" s="209">
        <f>MAGPIELink!AE16</f>
        <v>0</v>
      </c>
      <c r="AF16" s="209">
        <f>MAGPIELink!AF16</f>
        <v>13835.8080020006</v>
      </c>
      <c r="AG16" s="436">
        <v>19</v>
      </c>
      <c r="AI16" s="174"/>
    </row>
    <row r="17" spans="1:35">
      <c r="A17" s="215" t="s">
        <v>937</v>
      </c>
      <c r="B17" s="232" t="s">
        <v>938</v>
      </c>
      <c r="C17" s="232">
        <v>2090</v>
      </c>
      <c r="D17" s="232" t="s">
        <v>939</v>
      </c>
      <c r="E17" s="209">
        <f>MAGPIELink!E17</f>
        <v>45818.091265627503</v>
      </c>
      <c r="F17" s="209">
        <f>MAGPIELink!F17</f>
        <v>1384.1984560968801</v>
      </c>
      <c r="G17" s="209">
        <f>MAGPIELink!G17</f>
        <v>62045.885201049299</v>
      </c>
      <c r="H17" s="209">
        <f>MAGPIELink!H17</f>
        <v>12681.0125789719</v>
      </c>
      <c r="I17" s="209">
        <f>MAGPIELink!I17</f>
        <v>1522.5</v>
      </c>
      <c r="J17" s="209">
        <f>MAGPIELink!J17</f>
        <v>1835.9967257232802</v>
      </c>
      <c r="K17" s="209">
        <f>MAGPIELink!K17</f>
        <v>10539.790329650299</v>
      </c>
      <c r="L17" s="209">
        <f>MAGPIELink!L17</f>
        <v>7683.50304689123</v>
      </c>
      <c r="M17" s="209">
        <f>MAGPIELink!M17</f>
        <v>13119.421848448799</v>
      </c>
      <c r="N17" s="209">
        <f>MAGPIELink!N17</f>
        <v>957.82500000000005</v>
      </c>
      <c r="O17" s="209">
        <f>MAGPIELink!O17</f>
        <v>2413.75</v>
      </c>
      <c r="P17" s="209">
        <f>MAGPIELink!P17</f>
        <v>15872.3791558047</v>
      </c>
      <c r="Q17" s="209">
        <f>MAGPIELink!Q17</f>
        <v>4919.8211734453998</v>
      </c>
      <c r="R17" s="209">
        <f>MAGPIELink!R17</f>
        <v>4819.5581812660002</v>
      </c>
      <c r="S17" s="209">
        <f>MAGPIELink!S17</f>
        <v>10055.2455183367</v>
      </c>
      <c r="T17" s="209">
        <f>MAGPIELink!T17</f>
        <v>10960.537499999999</v>
      </c>
      <c r="U17" s="209">
        <f>MAGPIELink!U17</f>
        <v>16304.195648680099</v>
      </c>
      <c r="V17" s="209">
        <f>MAGPIELink!V17</f>
        <v>14091.25</v>
      </c>
      <c r="W17" s="209">
        <f>MAGPIELink!W17</f>
        <v>22174.847778151998</v>
      </c>
      <c r="X17" s="209">
        <f>MAGPIELink!X17</f>
        <v>83.75</v>
      </c>
      <c r="Y17" s="209">
        <f>MAGPIELink!Y17</f>
        <v>17373.75</v>
      </c>
      <c r="Z17" s="209">
        <f>MAGPIELink!Z17</f>
        <v>1078.8</v>
      </c>
      <c r="AA17" s="209">
        <f>MAGPIELink!AA17</f>
        <v>203.26783656082301</v>
      </c>
      <c r="AB17" s="209">
        <f>MAGPIELink!AB17</f>
        <v>7332</v>
      </c>
      <c r="AC17" s="209">
        <f>MAGPIELink!AC17</f>
        <v>6803.8561320761701</v>
      </c>
      <c r="AD17" s="209">
        <f>MAGPIELink!AD17</f>
        <v>2799.7583116094302</v>
      </c>
      <c r="AE17" s="209">
        <f>MAGPIELink!AE17</f>
        <v>0</v>
      </c>
      <c r="AF17" s="209">
        <f>MAGPIELink!AF17</f>
        <v>13376.008311609401</v>
      </c>
      <c r="AG17" s="436">
        <v>19</v>
      </c>
      <c r="AI17" s="174"/>
    </row>
    <row r="18" spans="1:35">
      <c r="A18" s="229" t="s">
        <v>937</v>
      </c>
      <c r="B18" s="235" t="s">
        <v>938</v>
      </c>
      <c r="C18" s="235">
        <v>2100</v>
      </c>
      <c r="D18" s="235" t="s">
        <v>939</v>
      </c>
      <c r="E18" s="226">
        <f>MAGPIELink!E18</f>
        <v>38841.996568427101</v>
      </c>
      <c r="F18" s="226">
        <f>MAGPIELink!F18</f>
        <v>140.389202438572</v>
      </c>
      <c r="G18" s="226">
        <f>MAGPIELink!G18</f>
        <v>53477.336577182905</v>
      </c>
      <c r="H18" s="226">
        <f>MAGPIELink!H18</f>
        <v>10776.0641273171</v>
      </c>
      <c r="I18" s="226">
        <f>MAGPIELink!I18</f>
        <v>1437.5</v>
      </c>
      <c r="J18" s="226">
        <f>MAGPIELink!J18</f>
        <v>1821.17261849798</v>
      </c>
      <c r="K18" s="226">
        <f>MAGPIELink!K18</f>
        <v>8860</v>
      </c>
      <c r="L18" s="226">
        <f>MAGPIELink!L18</f>
        <v>6652.0584764912601</v>
      </c>
      <c r="M18" s="226">
        <f>MAGPIELink!M18</f>
        <v>12106.25</v>
      </c>
      <c r="N18" s="226">
        <f>MAGPIELink!N18</f>
        <v>899.66250000000002</v>
      </c>
      <c r="O18" s="226">
        <f>MAGPIELink!O18</f>
        <v>2111.25</v>
      </c>
      <c r="P18" s="226">
        <f>MAGPIELink!P18</f>
        <v>13398.6283921331</v>
      </c>
      <c r="Q18" s="226">
        <f>MAGPIELink!Q18</f>
        <v>4545.4099321992298</v>
      </c>
      <c r="R18" s="226">
        <f>MAGPIELink!R18</f>
        <v>4568.2974898634002</v>
      </c>
      <c r="S18" s="226">
        <f>MAGPIELink!S18</f>
        <v>9430.2233718599</v>
      </c>
      <c r="T18" s="226">
        <f>MAGPIELink!T18</f>
        <v>10454.4</v>
      </c>
      <c r="U18" s="226">
        <f>MAGPIELink!U18</f>
        <v>15437.932666262701</v>
      </c>
      <c r="V18" s="226">
        <f>MAGPIELink!V18</f>
        <v>12533.75</v>
      </c>
      <c r="W18" s="226">
        <f>MAGPIELink!W18</f>
        <v>19100.489491345001</v>
      </c>
      <c r="X18" s="226">
        <f>MAGPIELink!X18</f>
        <v>73.75</v>
      </c>
      <c r="Y18" s="226">
        <f>MAGPIELink!Y18</f>
        <v>15292.5</v>
      </c>
      <c r="Z18" s="226">
        <f>MAGPIELink!Z18</f>
        <v>986.40000000000009</v>
      </c>
      <c r="AA18" s="226">
        <f>MAGPIELink!AA18</f>
        <v>181.121924406337</v>
      </c>
      <c r="AB18" s="226">
        <f>MAGPIELink!AB18</f>
        <v>6751</v>
      </c>
      <c r="AC18" s="226">
        <f>MAGPIELink!AC18</f>
        <v>5464.9030930430699</v>
      </c>
      <c r="AD18" s="226">
        <f>MAGPIELink!AD18</f>
        <v>2528.5067842662002</v>
      </c>
      <c r="AE18" s="226">
        <f>MAGPIELink!AE18</f>
        <v>0</v>
      </c>
      <c r="AF18" s="226">
        <f>MAGPIELink!AF18</f>
        <v>12816.006784266201</v>
      </c>
      <c r="AG18" s="437">
        <v>19</v>
      </c>
      <c r="AI18" s="174"/>
    </row>
    <row r="19" spans="1:35">
      <c r="A19" s="215" t="s">
        <v>937</v>
      </c>
      <c r="B19" s="232" t="s">
        <v>940</v>
      </c>
      <c r="C19" s="232">
        <v>2019</v>
      </c>
      <c r="D19" s="232" t="s">
        <v>939</v>
      </c>
      <c r="E19" s="553">
        <f>IF((Biomass_Calibration!B7-E6)&lt;0,0,(Biomass_Calibration!B7-E6)*0.6)</f>
        <v>127853622.25263157</v>
      </c>
      <c r="F19" s="553">
        <f>IF((Biomass_Calibration!C7-F6)&lt;0,0,(Biomass_Calibration!C7-F6)*0.6)</f>
        <v>9374929.5038596224</v>
      </c>
      <c r="G19" s="553">
        <f>IF((Biomass_Calibration!D7-G6)&lt;0,0,(Biomass_Calibration!D7-G6)*0.6)</f>
        <v>101738273.14736842</v>
      </c>
      <c r="H19" s="553">
        <f>IF((Biomass_Calibration!E7-H6)&lt;0,0,(Biomass_Calibration!E7-H6)*0.6)</f>
        <v>42182455.631461516</v>
      </c>
      <c r="I19" s="553">
        <f>IF((Biomass_Calibration!F7-I6)&lt;0,0,(Biomass_Calibration!F7-I6)*0.6)</f>
        <v>7107050.3508771928</v>
      </c>
      <c r="J19" s="553">
        <f>IF((Biomass_Calibration!G7-J6)&lt;0,0,(Biomass_Calibration!G7-J6)*0.6)</f>
        <v>2908162.7850463288</v>
      </c>
      <c r="K19" s="553">
        <f>IF((Biomass_Calibration!H7-K6)&lt;0,0,(Biomass_Calibration!H7-K6)*0.6)</f>
        <v>49904016.37894737</v>
      </c>
      <c r="L19" s="553">
        <f>IF((Biomass_Calibration!I7-L6)&lt;0,0,(Biomass_Calibration!I7-L6)*0.6)</f>
        <v>45508432.894736849</v>
      </c>
      <c r="M19" s="553">
        <f>IF((Biomass_Calibration!J7-M6)&lt;0,0,(Biomass_Calibration!J7-M6)*0.6)</f>
        <v>76046583.536842108</v>
      </c>
      <c r="N19" s="553">
        <f>IF((Biomass_Calibration!K7-N6)&lt;0,0,(Biomass_Calibration!K7-N6)*0.6)</f>
        <v>17264509.67368421</v>
      </c>
      <c r="O19" s="553">
        <f>IF((Biomass_Calibration!L7-O6)&lt;0,0,(Biomass_Calibration!L7-O6)*0.6)</f>
        <v>11065629.284210525</v>
      </c>
      <c r="P19" s="553">
        <f>IF((Biomass_Calibration!M7-P6)&lt;0,0,(Biomass_Calibration!M7-P6)*0.6)</f>
        <v>58152704.147368416</v>
      </c>
      <c r="Q19" s="553">
        <f>IF((Biomass_Calibration!N7-Q6)&lt;0,0,(Biomass_Calibration!N7-Q6)*0.6)</f>
        <v>12786715.275112828</v>
      </c>
      <c r="R19" s="553">
        <f>IF((Biomass_Calibration!O7-R6)&lt;0,0,(Biomass_Calibration!O7-R6)*0.6)</f>
        <v>6333239.1034833826</v>
      </c>
      <c r="S19" s="553">
        <f>IF((Biomass_Calibration!P7-S6)&lt;0,0,(Biomass_Calibration!P7-S6)*0.6)</f>
        <v>40409024.447201751</v>
      </c>
      <c r="T19" s="553">
        <f>IF((Biomass_Calibration!Q7-T6)&lt;0,0,(Biomass_Calibration!Q7-T6)*0.6)</f>
        <v>36242751.126315787</v>
      </c>
      <c r="U19" s="553">
        <f>IF((Biomass_Calibration!R7-U6)&lt;0,0,(Biomass_Calibration!R7-U6)*0.6)</f>
        <v>59931998.11241065</v>
      </c>
      <c r="V19" s="553">
        <f>IF((Biomass_Calibration!S7-V6)&lt;0,0,(Biomass_Calibration!S7-V6)*0.6)</f>
        <v>63343471.894736841</v>
      </c>
      <c r="W19" s="553">
        <f>IF((Biomass_Calibration!T7-W6)&lt;0,0,(Biomass_Calibration!T7-W6)*0.6)</f>
        <v>206679116.03261819</v>
      </c>
      <c r="X19" s="553">
        <f>IF((Biomass_Calibration!U7-X6)&lt;0,0,(Biomass_Calibration!U7-X6)*0.6)</f>
        <v>4493284</v>
      </c>
      <c r="Y19" s="553">
        <f>IF((Biomass_Calibration!V7-Y6)&lt;0,0,(Biomass_Calibration!V7-Y6)*0.6)</f>
        <v>44240099.652631581</v>
      </c>
      <c r="Z19" s="553">
        <f>IF((Biomass_Calibration!W7-Z6)&lt;0,0,(Biomass_Calibration!W7-Z6)*0.6)</f>
        <v>2141361.4337036842</v>
      </c>
      <c r="AA19" s="553">
        <f>IF((Biomass_Calibration!X7-AA6)&lt;0,0,(Biomass_Calibration!X7-AA6)*0.6)</f>
        <v>2704454.0449928064</v>
      </c>
      <c r="AB19" s="553">
        <f>IF((Biomass_Calibration!Y7-AB6)&lt;0,0,(Biomass_Calibration!Y7-AB6)*0.6)</f>
        <v>12303430.578947369</v>
      </c>
      <c r="AC19" s="553">
        <f>IF((Biomass_Calibration!Z7-AC6)&lt;0,0,(Biomass_Calibration!Z7-AC6)*0.6)</f>
        <v>90802220.518838286</v>
      </c>
      <c r="AD19" s="553">
        <f>IF((Biomass_Calibration!AA7-AD6)&lt;0,0,(Biomass_Calibration!AA7-AD6)*0.6)</f>
        <v>4661689.4258109089</v>
      </c>
      <c r="AE19" s="553">
        <f>IF((Biomass_Calibration!AB7-AE6)&lt;0,0,(Biomass_Calibration!AB7-AE6)*0.6)</f>
        <v>3041747.368421053</v>
      </c>
      <c r="AF19" s="553">
        <f>IF((Biomass_Calibration!AC7-AF6)&lt;0,0,(Biomass_Calibration!AC7-AF6)*0.6)</f>
        <v>77654700.092477575</v>
      </c>
      <c r="AG19" s="436">
        <v>19</v>
      </c>
    </row>
    <row r="20" spans="1:35">
      <c r="A20" s="215" t="s">
        <v>937</v>
      </c>
      <c r="B20" s="232" t="s">
        <v>940</v>
      </c>
      <c r="C20">
        <v>2020</v>
      </c>
      <c r="D20" s="232" t="s">
        <v>939</v>
      </c>
      <c r="E20" s="553">
        <f>IF(E6=0,E19*F7/F6,E19*E7/E6)</f>
        <v>127853622.25263157</v>
      </c>
      <c r="F20" s="553">
        <f t="shared" ref="F20:AF29" si="0">IF(F6=0,F19*G7/G6,F19*F7/F6)</f>
        <v>9374929.5038596224</v>
      </c>
      <c r="G20" s="553">
        <f t="shared" si="0"/>
        <v>101738273.14736842</v>
      </c>
      <c r="H20" s="553">
        <f t="shared" si="0"/>
        <v>42182455.631461516</v>
      </c>
      <c r="I20" s="553">
        <f t="shared" si="0"/>
        <v>7107050.3508771919</v>
      </c>
      <c r="J20" s="553">
        <f t="shared" si="0"/>
        <v>2908162.7850463288</v>
      </c>
      <c r="K20" s="553">
        <f t="shared" si="0"/>
        <v>49904016.37894737</v>
      </c>
      <c r="L20" s="553">
        <f t="shared" si="0"/>
        <v>45508432.894736849</v>
      </c>
      <c r="M20" s="553">
        <f t="shared" si="0"/>
        <v>76046583.536842108</v>
      </c>
      <c r="N20" s="553">
        <f t="shared" si="0"/>
        <v>17264509.67368421</v>
      </c>
      <c r="O20" s="553">
        <f t="shared" si="0"/>
        <v>11065629.284210525</v>
      </c>
      <c r="P20" s="553">
        <f t="shared" si="0"/>
        <v>58152704.147368424</v>
      </c>
      <c r="Q20" s="553">
        <f t="shared" si="0"/>
        <v>12786715.275112828</v>
      </c>
      <c r="R20" s="553">
        <f t="shared" si="0"/>
        <v>6333239.1034833826</v>
      </c>
      <c r="S20" s="553">
        <f t="shared" si="0"/>
        <v>40409024.447201751</v>
      </c>
      <c r="T20" s="553">
        <f t="shared" si="0"/>
        <v>36242751.126315787</v>
      </c>
      <c r="U20" s="553">
        <f t="shared" si="0"/>
        <v>59931998.11241065</v>
      </c>
      <c r="V20" s="553">
        <f t="shared" si="0"/>
        <v>63343471.894736841</v>
      </c>
      <c r="W20" s="553">
        <f t="shared" si="0"/>
        <v>206679116.03261819</v>
      </c>
      <c r="X20" s="553">
        <f t="shared" si="0"/>
        <v>4493284</v>
      </c>
      <c r="Y20" s="553">
        <f t="shared" si="0"/>
        <v>44240099.652631581</v>
      </c>
      <c r="Z20" s="553">
        <f t="shared" si="0"/>
        <v>2141361.4337036842</v>
      </c>
      <c r="AA20" s="553">
        <f t="shared" si="0"/>
        <v>2704454.0449928064</v>
      </c>
      <c r="AB20" s="553">
        <f t="shared" si="0"/>
        <v>12303430.578947369</v>
      </c>
      <c r="AC20" s="553">
        <f t="shared" si="0"/>
        <v>90802220.518838286</v>
      </c>
      <c r="AD20" s="553">
        <f t="shared" si="0"/>
        <v>4661689.4258109089</v>
      </c>
      <c r="AE20" s="553">
        <f t="shared" si="0"/>
        <v>3041747.368421053</v>
      </c>
      <c r="AF20" s="553">
        <f t="shared" si="0"/>
        <v>77654700.092477575</v>
      </c>
      <c r="AG20" s="436">
        <v>19</v>
      </c>
      <c r="AI20" s="174"/>
    </row>
    <row r="21" spans="1:35">
      <c r="A21" s="215" t="s">
        <v>937</v>
      </c>
      <c r="B21" s="232" t="s">
        <v>940</v>
      </c>
      <c r="C21" s="232">
        <v>2025</v>
      </c>
      <c r="D21" s="232" t="s">
        <v>939</v>
      </c>
      <c r="E21" s="553">
        <f t="shared" ref="E21:E31" si="1">IF(E7=0,E20*F8/F7,E20*E8/E7)</f>
        <v>138173716.35727251</v>
      </c>
      <c r="F21" s="553">
        <f t="shared" si="0"/>
        <v>9645848.0344081484</v>
      </c>
      <c r="G21" s="553">
        <f t="shared" si="0"/>
        <v>111068892.00128311</v>
      </c>
      <c r="H21" s="553">
        <f t="shared" si="0"/>
        <v>44476076.418874301</v>
      </c>
      <c r="I21" s="553">
        <f t="shared" si="0"/>
        <v>7593745.0807877872</v>
      </c>
      <c r="J21" s="553">
        <f t="shared" si="0"/>
        <v>2847045.6231048969</v>
      </c>
      <c r="K21" s="553">
        <f t="shared" si="0"/>
        <v>50851905.215664096</v>
      </c>
      <c r="L21" s="553">
        <f t="shared" si="0"/>
        <v>39011256.006081335</v>
      </c>
      <c r="M21" s="553">
        <f t="shared" si="0"/>
        <v>74337040.523976192</v>
      </c>
      <c r="N21" s="553">
        <f t="shared" si="0"/>
        <v>19149703.419891134</v>
      </c>
      <c r="O21" s="553">
        <f t="shared" si="0"/>
        <v>11205375.633418338</v>
      </c>
      <c r="P21" s="553">
        <f t="shared" si="0"/>
        <v>51075565.43850413</v>
      </c>
      <c r="Q21" s="553">
        <f t="shared" si="0"/>
        <v>16188861.118003583</v>
      </c>
      <c r="R21" s="553">
        <f t="shared" si="0"/>
        <v>10370594.814064614</v>
      </c>
      <c r="S21" s="553">
        <f t="shared" si="0"/>
        <v>72243526.221216097</v>
      </c>
      <c r="T21" s="553">
        <f t="shared" si="0"/>
        <v>35105582.585746601</v>
      </c>
      <c r="U21" s="553">
        <f t="shared" si="0"/>
        <v>57713380.948159702</v>
      </c>
      <c r="V21" s="553">
        <f t="shared" si="0"/>
        <v>59466312.723559551</v>
      </c>
      <c r="W21" s="553">
        <f t="shared" si="0"/>
        <v>175977524.84294555</v>
      </c>
      <c r="X21" s="553">
        <f t="shared" si="0"/>
        <v>4429484.8356998125</v>
      </c>
      <c r="Y21" s="553">
        <f t="shared" si="0"/>
        <v>44662356.156546324</v>
      </c>
      <c r="Z21" s="553">
        <f t="shared" si="0"/>
        <v>2073000.7315638906</v>
      </c>
      <c r="AA21" s="553">
        <f t="shared" si="0"/>
        <v>2859866.3632206949</v>
      </c>
      <c r="AB21" s="553">
        <f t="shared" si="0"/>
        <v>12303430.578947369</v>
      </c>
      <c r="AC21" s="553">
        <f t="shared" si="0"/>
        <v>56588001.792013086</v>
      </c>
      <c r="AD21" s="553">
        <f t="shared" si="0"/>
        <v>5030324.3014025744</v>
      </c>
      <c r="AE21" s="553">
        <f t="shared" si="0"/>
        <v>3222704.4651658982</v>
      </c>
      <c r="AF21" s="553">
        <f t="shared" si="0"/>
        <v>82274468.723894462</v>
      </c>
      <c r="AG21" s="436">
        <v>19</v>
      </c>
      <c r="AI21" s="174"/>
    </row>
    <row r="22" spans="1:35">
      <c r="A22" s="215" t="s">
        <v>937</v>
      </c>
      <c r="B22" s="232" t="s">
        <v>940</v>
      </c>
      <c r="C22" s="232">
        <v>2030</v>
      </c>
      <c r="D22" s="232" t="s">
        <v>939</v>
      </c>
      <c r="E22" s="553">
        <f t="shared" si="1"/>
        <v>140667712.79124814</v>
      </c>
      <c r="F22" s="553">
        <f t="shared" si="0"/>
        <v>9935203.2885344736</v>
      </c>
      <c r="G22" s="553">
        <f t="shared" si="0"/>
        <v>119363681.66424747</v>
      </c>
      <c r="H22" s="553">
        <f t="shared" si="0"/>
        <v>44057070.874070473</v>
      </c>
      <c r="I22" s="553">
        <f t="shared" si="0"/>
        <v>8104815.4001371292</v>
      </c>
      <c r="J22" s="553">
        <f t="shared" si="0"/>
        <v>2714653.588816877</v>
      </c>
      <c r="K22" s="553">
        <f t="shared" si="0"/>
        <v>48812390.300597355</v>
      </c>
      <c r="L22" s="553">
        <f t="shared" si="0"/>
        <v>35246342.587651573</v>
      </c>
      <c r="M22" s="553">
        <f t="shared" si="0"/>
        <v>73063307.425034046</v>
      </c>
      <c r="N22" s="553">
        <f t="shared" si="0"/>
        <v>20591699.159340829</v>
      </c>
      <c r="O22" s="553">
        <f t="shared" si="0"/>
        <v>10473506.755011238</v>
      </c>
      <c r="P22" s="553">
        <f t="shared" si="0"/>
        <v>45839729.141681947</v>
      </c>
      <c r="Q22" s="553">
        <f t="shared" si="0"/>
        <v>18924741.445845407</v>
      </c>
      <c r="R22" s="553">
        <f t="shared" si="0"/>
        <v>14657891.029061189</v>
      </c>
      <c r="S22" s="553">
        <f t="shared" si="0"/>
        <v>96479129.842775971</v>
      </c>
      <c r="T22" s="553">
        <f t="shared" si="0"/>
        <v>34007149.713225998</v>
      </c>
      <c r="U22" s="553">
        <f t="shared" si="0"/>
        <v>60720608.43808724</v>
      </c>
      <c r="V22" s="553">
        <f t="shared" si="0"/>
        <v>54457429.455493823</v>
      </c>
      <c r="W22" s="553">
        <f t="shared" si="0"/>
        <v>148661395.9643476</v>
      </c>
      <c r="X22" s="553">
        <f t="shared" si="0"/>
        <v>4386762.1810344905</v>
      </c>
      <c r="Y22" s="553">
        <f t="shared" si="0"/>
        <v>44625845.25583189</v>
      </c>
      <c r="Z22" s="553">
        <f t="shared" si="0"/>
        <v>1999738.3417157219</v>
      </c>
      <c r="AA22" s="553">
        <f t="shared" si="0"/>
        <v>2168466.1986627453</v>
      </c>
      <c r="AB22" s="553">
        <f t="shared" si="0"/>
        <v>12227625.088554179</v>
      </c>
      <c r="AC22" s="553">
        <f t="shared" si="0"/>
        <v>8925269.6065936927</v>
      </c>
      <c r="AD22" s="553">
        <f t="shared" si="0"/>
        <v>5525733.2380899405</v>
      </c>
      <c r="AE22" s="553">
        <f t="shared" si="0"/>
        <v>3464679.9159977734</v>
      </c>
      <c r="AF22" s="553">
        <f t="shared" si="0"/>
        <v>88452013.663744405</v>
      </c>
      <c r="AG22" s="436">
        <v>19</v>
      </c>
      <c r="AI22" s="174"/>
    </row>
    <row r="23" spans="1:35">
      <c r="A23" s="215" t="s">
        <v>937</v>
      </c>
      <c r="B23" s="232" t="s">
        <v>940</v>
      </c>
      <c r="C23" s="232">
        <v>2035</v>
      </c>
      <c r="D23" s="232" t="s">
        <v>939</v>
      </c>
      <c r="E23" s="553">
        <f t="shared" si="1"/>
        <v>141032341.3838104</v>
      </c>
      <c r="F23" s="553">
        <f t="shared" si="0"/>
        <v>10091857.968801768</v>
      </c>
      <c r="G23" s="553">
        <f t="shared" si="0"/>
        <v>121968207.55645326</v>
      </c>
      <c r="H23" s="553">
        <f t="shared" si="0"/>
        <v>43633400.138807133</v>
      </c>
      <c r="I23" s="553">
        <f t="shared" si="0"/>
        <v>7943344.1421652455</v>
      </c>
      <c r="J23" s="553">
        <f t="shared" si="0"/>
        <v>2777791.369699405</v>
      </c>
      <c r="K23" s="553">
        <f t="shared" si="0"/>
        <v>45314136.622468591</v>
      </c>
      <c r="L23" s="553">
        <f t="shared" si="0"/>
        <v>33329450.179051425</v>
      </c>
      <c r="M23" s="553">
        <f t="shared" si="0"/>
        <v>69650960.72786805</v>
      </c>
      <c r="N23" s="553">
        <f t="shared" si="0"/>
        <v>19912851.934307612</v>
      </c>
      <c r="O23" s="553">
        <f t="shared" si="0"/>
        <v>10155716.223285016</v>
      </c>
      <c r="P23" s="553">
        <f t="shared" si="0"/>
        <v>41372865.882839032</v>
      </c>
      <c r="Q23" s="553">
        <f t="shared" si="0"/>
        <v>18624503.678923532</v>
      </c>
      <c r="R23" s="553">
        <f t="shared" si="0"/>
        <v>14726352.110547656</v>
      </c>
      <c r="S23" s="553">
        <f t="shared" si="0"/>
        <v>95380641.685538128</v>
      </c>
      <c r="T23" s="553">
        <f t="shared" si="0"/>
        <v>32980654.509938482</v>
      </c>
      <c r="U23" s="553">
        <f t="shared" si="0"/>
        <v>59722166.792246826</v>
      </c>
      <c r="V23" s="553">
        <f t="shared" si="0"/>
        <v>50629886.58083982</v>
      </c>
      <c r="W23" s="553">
        <f t="shared" si="0"/>
        <v>137379713.54556686</v>
      </c>
      <c r="X23" s="553">
        <f t="shared" si="0"/>
        <v>4154350.9396551796</v>
      </c>
      <c r="Y23" s="553">
        <f t="shared" si="0"/>
        <v>43417810.671323918</v>
      </c>
      <c r="Z23" s="553">
        <f t="shared" si="0"/>
        <v>1466904.527685693</v>
      </c>
      <c r="AA23" s="553">
        <f t="shared" si="0"/>
        <v>891487.4060326959</v>
      </c>
      <c r="AB23" s="553">
        <f t="shared" si="0"/>
        <v>11943354.499579716</v>
      </c>
      <c r="AC23" s="553">
        <f t="shared" si="0"/>
        <v>7208254.5323006986</v>
      </c>
      <c r="AD23" s="553">
        <f t="shared" si="0"/>
        <v>5282081.9263798892</v>
      </c>
      <c r="AE23" s="553">
        <f t="shared" si="0"/>
        <v>3440271.675302709</v>
      </c>
      <c r="AF23" s="553">
        <f t="shared" si="0"/>
        <v>87828880.187691092</v>
      </c>
      <c r="AG23" s="436">
        <v>19</v>
      </c>
      <c r="AI23" s="174"/>
    </row>
    <row r="24" spans="1:35">
      <c r="A24" s="215" t="s">
        <v>937</v>
      </c>
      <c r="B24" s="232" t="s">
        <v>940</v>
      </c>
      <c r="C24" s="232">
        <v>2040</v>
      </c>
      <c r="D24" s="232" t="s">
        <v>939</v>
      </c>
      <c r="E24" s="553">
        <f t="shared" si="1"/>
        <v>140756107.60156626</v>
      </c>
      <c r="F24" s="553">
        <f t="shared" si="0"/>
        <v>10416999.200492159</v>
      </c>
      <c r="G24" s="553">
        <f t="shared" si="0"/>
        <v>122543215.09946111</v>
      </c>
      <c r="H24" s="553">
        <f t="shared" si="0"/>
        <v>43204802.160193563</v>
      </c>
      <c r="I24" s="553">
        <f t="shared" si="0"/>
        <v>7771455.3836790472</v>
      </c>
      <c r="J24" s="553">
        <f t="shared" si="0"/>
        <v>2878811.8191114226</v>
      </c>
      <c r="K24" s="553">
        <f t="shared" si="0"/>
        <v>41866385.218427196</v>
      </c>
      <c r="L24" s="553">
        <f t="shared" si="0"/>
        <v>31458652.198187165</v>
      </c>
      <c r="M24" s="553">
        <f t="shared" si="0"/>
        <v>65137857.031616256</v>
      </c>
      <c r="N24" s="553">
        <f t="shared" si="0"/>
        <v>19196290.974550333</v>
      </c>
      <c r="O24" s="553">
        <f t="shared" si="0"/>
        <v>9770021.7317882329</v>
      </c>
      <c r="P24" s="553">
        <f t="shared" si="0"/>
        <v>37972452.999297656</v>
      </c>
      <c r="Q24" s="553">
        <f t="shared" si="0"/>
        <v>18376919.939077679</v>
      </c>
      <c r="R24" s="553">
        <f t="shared" si="0"/>
        <v>14790750.423810052</v>
      </c>
      <c r="S24" s="553">
        <f t="shared" si="0"/>
        <v>94611772.508400559</v>
      </c>
      <c r="T24" s="553">
        <f t="shared" si="0"/>
        <v>32078666.811092846</v>
      </c>
      <c r="U24" s="553">
        <f t="shared" si="0"/>
        <v>58802882.899470024</v>
      </c>
      <c r="V24" s="553">
        <f t="shared" si="0"/>
        <v>47494609.176725097</v>
      </c>
      <c r="W24" s="553">
        <f t="shared" si="0"/>
        <v>127577217.68160088</v>
      </c>
      <c r="X24" s="553">
        <f t="shared" si="0"/>
        <v>3921939.6982758688</v>
      </c>
      <c r="Y24" s="553">
        <f t="shared" si="0"/>
        <v>41684336.60262128</v>
      </c>
      <c r="Z24" s="553">
        <f t="shared" si="0"/>
        <v>1412192.3954074772</v>
      </c>
      <c r="AA24" s="553">
        <f t="shared" si="0"/>
        <v>421974.73809918878</v>
      </c>
      <c r="AB24" s="553">
        <f t="shared" si="0"/>
        <v>11581283.538885927</v>
      </c>
      <c r="AC24" s="553">
        <f t="shared" si="0"/>
        <v>4213061.6492207143</v>
      </c>
      <c r="AD24" s="553">
        <f t="shared" si="0"/>
        <v>5088665.460316564</v>
      </c>
      <c r="AE24" s="553">
        <f t="shared" si="0"/>
        <v>3427571.7146166638</v>
      </c>
      <c r="AF24" s="553">
        <f t="shared" si="0"/>
        <v>87504654.826801553</v>
      </c>
      <c r="AG24" s="436">
        <v>19</v>
      </c>
      <c r="AI24" s="174"/>
    </row>
    <row r="25" spans="1:35">
      <c r="A25" s="215" t="s">
        <v>937</v>
      </c>
      <c r="B25" s="232" t="s">
        <v>940</v>
      </c>
      <c r="C25" s="232">
        <v>2045</v>
      </c>
      <c r="D25" s="232" t="s">
        <v>939</v>
      </c>
      <c r="E25" s="553">
        <f t="shared" si="1"/>
        <v>139221826.25104454</v>
      </c>
      <c r="F25" s="553">
        <f t="shared" si="0"/>
        <v>10362007.257607244</v>
      </c>
      <c r="G25" s="553">
        <f t="shared" si="0"/>
        <v>121556322.72068168</v>
      </c>
      <c r="H25" s="553">
        <f t="shared" si="0"/>
        <v>42418648.764056683</v>
      </c>
      <c r="I25" s="553">
        <f t="shared" si="0"/>
        <v>7604775.3754500067</v>
      </c>
      <c r="J25" s="553">
        <f t="shared" si="0"/>
        <v>2998773.6027882043</v>
      </c>
      <c r="K25" s="553">
        <f t="shared" si="0"/>
        <v>38488560.040045232</v>
      </c>
      <c r="L25" s="553">
        <f t="shared" si="0"/>
        <v>29564012.271942332</v>
      </c>
      <c r="M25" s="553">
        <f t="shared" si="0"/>
        <v>60105825.035795443</v>
      </c>
      <c r="N25" s="553">
        <f t="shared" si="0"/>
        <v>18517443.749517117</v>
      </c>
      <c r="O25" s="553">
        <f t="shared" si="0"/>
        <v>9316423.2805208899</v>
      </c>
      <c r="P25" s="553">
        <f t="shared" si="0"/>
        <v>34814254.86472223</v>
      </c>
      <c r="Q25" s="553">
        <f t="shared" si="0"/>
        <v>17761696.678082637</v>
      </c>
      <c r="R25" s="553">
        <f t="shared" si="0"/>
        <v>14491053.509872289</v>
      </c>
      <c r="S25" s="553">
        <f t="shared" si="0"/>
        <v>91915481.823497683</v>
      </c>
      <c r="T25" s="553">
        <f t="shared" si="0"/>
        <v>31226482.114023965</v>
      </c>
      <c r="U25" s="553">
        <f t="shared" si="0"/>
        <v>57239819.661069207</v>
      </c>
      <c r="V25" s="553">
        <f t="shared" si="0"/>
        <v>44786976.995025419</v>
      </c>
      <c r="W25" s="553">
        <f t="shared" si="0"/>
        <v>118395770.35696189</v>
      </c>
      <c r="X25" s="553">
        <f t="shared" si="0"/>
        <v>3689528.4568965579</v>
      </c>
      <c r="Y25" s="553">
        <f t="shared" si="0"/>
        <v>39619089.566557065</v>
      </c>
      <c r="Z25" s="553">
        <f t="shared" si="0"/>
        <v>1362641.7850423141</v>
      </c>
      <c r="AA25" s="553">
        <f t="shared" si="0"/>
        <v>2695668.2135289237</v>
      </c>
      <c r="AB25" s="553">
        <f t="shared" si="0"/>
        <v>11143407.087798947</v>
      </c>
      <c r="AC25" s="553">
        <f t="shared" si="0"/>
        <v>6416764.2899581883</v>
      </c>
      <c r="AD25" s="553">
        <f t="shared" si="0"/>
        <v>4889518.4436980728</v>
      </c>
      <c r="AE25" s="553">
        <f t="shared" si="0"/>
        <v>3405373.1580392173</v>
      </c>
      <c r="AF25" s="553">
        <f t="shared" si="0"/>
        <v>86937933.77974683</v>
      </c>
      <c r="AG25" s="436">
        <v>19</v>
      </c>
      <c r="AI25" s="174"/>
    </row>
    <row r="26" spans="1:35">
      <c r="A26" s="215" t="s">
        <v>937</v>
      </c>
      <c r="B26" s="232" t="s">
        <v>940</v>
      </c>
      <c r="C26" s="232">
        <v>2050</v>
      </c>
      <c r="D26" s="232" t="s">
        <v>939</v>
      </c>
      <c r="E26" s="553">
        <f t="shared" si="1"/>
        <v>136524206.0575861</v>
      </c>
      <c r="F26" s="553">
        <f t="shared" si="0"/>
        <v>10467141.326305516</v>
      </c>
      <c r="G26" s="553">
        <f t="shared" si="0"/>
        <v>119286198.37831026</v>
      </c>
      <c r="H26" s="553">
        <f t="shared" si="0"/>
        <v>41159187.151772134</v>
      </c>
      <c r="I26" s="553">
        <f t="shared" si="0"/>
        <v>7479765.369278226</v>
      </c>
      <c r="J26" s="553">
        <f t="shared" si="0"/>
        <v>3123470.7200311674</v>
      </c>
      <c r="K26" s="553">
        <f t="shared" si="0"/>
        <v>35213681.804995202</v>
      </c>
      <c r="L26" s="553">
        <f t="shared" si="0"/>
        <v>27697982.680154022</v>
      </c>
      <c r="M26" s="553">
        <f t="shared" si="0"/>
        <v>55017631.968592696</v>
      </c>
      <c r="N26" s="553">
        <f t="shared" si="0"/>
        <v>17989451.463380169</v>
      </c>
      <c r="O26" s="553">
        <f t="shared" si="0"/>
        <v>8843811.7205177899</v>
      </c>
      <c r="P26" s="553">
        <f t="shared" si="0"/>
        <v>31784218.903143343</v>
      </c>
      <c r="Q26" s="553">
        <f t="shared" si="0"/>
        <v>16665951.74190115</v>
      </c>
      <c r="R26" s="553">
        <f t="shared" si="0"/>
        <v>13742983.105457101</v>
      </c>
      <c r="S26" s="553">
        <f t="shared" si="0"/>
        <v>86651979.833948299</v>
      </c>
      <c r="T26" s="553">
        <f t="shared" si="0"/>
        <v>30399198.917843461</v>
      </c>
      <c r="U26" s="553">
        <f t="shared" si="0"/>
        <v>54870892.998538449</v>
      </c>
      <c r="V26" s="553">
        <f t="shared" si="0"/>
        <v>42343965.061449967</v>
      </c>
      <c r="W26" s="553">
        <f t="shared" si="0"/>
        <v>109612969.05418773</v>
      </c>
      <c r="X26" s="553">
        <f t="shared" si="0"/>
        <v>3486168.6206896608</v>
      </c>
      <c r="Y26" s="553">
        <f t="shared" si="0"/>
        <v>37399861.77530589</v>
      </c>
      <c r="Z26" s="553">
        <f t="shared" si="0"/>
        <v>1312058.8702945255</v>
      </c>
      <c r="AA26" s="553">
        <f t="shared" si="0"/>
        <v>1360196.3315009687</v>
      </c>
      <c r="AB26" s="553">
        <f t="shared" si="0"/>
        <v>10662640.688200032</v>
      </c>
      <c r="AC26" s="553">
        <f t="shared" si="0"/>
        <v>18157804.249800336</v>
      </c>
      <c r="AD26" s="553">
        <f t="shared" si="0"/>
        <v>4662800.9112878144</v>
      </c>
      <c r="AE26" s="553">
        <f t="shared" si="0"/>
        <v>3371034.6369291442</v>
      </c>
      <c r="AF26" s="553">
        <f t="shared" si="0"/>
        <v>86061283.869203433</v>
      </c>
      <c r="AG26" s="436">
        <v>19</v>
      </c>
      <c r="AI26" s="174"/>
    </row>
    <row r="27" spans="1:35">
      <c r="A27" s="215" t="s">
        <v>937</v>
      </c>
      <c r="B27" s="232" t="s">
        <v>940</v>
      </c>
      <c r="C27" s="232">
        <v>2060</v>
      </c>
      <c r="D27" s="232" t="s">
        <v>939</v>
      </c>
      <c r="E27" s="553">
        <f t="shared" si="1"/>
        <v>127574231.51287609</v>
      </c>
      <c r="F27" s="553">
        <f t="shared" si="0"/>
        <v>25285873.175846677</v>
      </c>
      <c r="G27" s="553">
        <f t="shared" si="0"/>
        <v>111577291.10550283</v>
      </c>
      <c r="H27" s="553">
        <f t="shared" si="0"/>
        <v>38118413.154081412</v>
      </c>
      <c r="I27" s="553">
        <f t="shared" si="0"/>
        <v>7240162.8574489793</v>
      </c>
      <c r="J27" s="553">
        <f t="shared" si="0"/>
        <v>3338139.1750317323</v>
      </c>
      <c r="K27" s="553">
        <f t="shared" si="0"/>
        <v>29132042.567781899</v>
      </c>
      <c r="L27" s="553">
        <f t="shared" si="0"/>
        <v>24096259.464658402</v>
      </c>
      <c r="M27" s="553">
        <f t="shared" si="0"/>
        <v>45661197.476363368</v>
      </c>
      <c r="N27" s="553">
        <f t="shared" si="0"/>
        <v>17027751.227916453</v>
      </c>
      <c r="O27" s="553">
        <f t="shared" si="0"/>
        <v>8363051.6853422215</v>
      </c>
      <c r="P27" s="553">
        <f t="shared" si="0"/>
        <v>26085117.503929976</v>
      </c>
      <c r="Q27" s="553">
        <f t="shared" si="0"/>
        <v>16721719.66172423</v>
      </c>
      <c r="R27" s="553">
        <f t="shared" si="0"/>
        <v>14123858.363435129</v>
      </c>
      <c r="S27" s="553">
        <f t="shared" si="0"/>
        <v>81061174.355472878</v>
      </c>
      <c r="T27" s="553">
        <f t="shared" si="0"/>
        <v>31172163.635973502</v>
      </c>
      <c r="U27" s="553">
        <f t="shared" si="0"/>
        <v>54121049.079578064</v>
      </c>
      <c r="V27" s="553">
        <f t="shared" si="0"/>
        <v>37774540.419733405</v>
      </c>
      <c r="W27" s="553">
        <f t="shared" si="0"/>
        <v>93700698.370900705</v>
      </c>
      <c r="X27" s="553">
        <f t="shared" si="0"/>
        <v>3021346.1379310396</v>
      </c>
      <c r="Y27" s="553">
        <f t="shared" si="0"/>
        <v>32902671.26556728</v>
      </c>
      <c r="Z27" s="553">
        <f t="shared" si="0"/>
        <v>1204699.2145033136</v>
      </c>
      <c r="AA27" s="553">
        <f t="shared" si="0"/>
        <v>311007.8241205599</v>
      </c>
      <c r="AB27" s="553">
        <f t="shared" si="0"/>
        <v>9709087.4143067468</v>
      </c>
      <c r="AC27" s="553">
        <f t="shared" si="0"/>
        <v>18383907.116570383</v>
      </c>
      <c r="AD27" s="553">
        <f t="shared" si="0"/>
        <v>4400774.4253561879</v>
      </c>
      <c r="AE27" s="553">
        <f t="shared" si="0"/>
        <v>2439407.8969028676</v>
      </c>
      <c r="AF27" s="553">
        <f t="shared" si="0"/>
        <v>62277193.235658504</v>
      </c>
      <c r="AG27" s="436">
        <v>19</v>
      </c>
      <c r="AI27" s="174"/>
    </row>
    <row r="28" spans="1:35">
      <c r="A28" s="215" t="s">
        <v>937</v>
      </c>
      <c r="B28" s="232" t="s">
        <v>940</v>
      </c>
      <c r="C28" s="232">
        <v>2070</v>
      </c>
      <c r="D28" s="232" t="s">
        <v>939</v>
      </c>
      <c r="E28" s="553">
        <f t="shared" si="1"/>
        <v>115279460.48487853</v>
      </c>
      <c r="F28" s="553">
        <f t="shared" si="0"/>
        <v>1147127543.0341859</v>
      </c>
      <c r="G28" s="553">
        <f t="shared" si="0"/>
        <v>102057783.33624719</v>
      </c>
      <c r="H28" s="553">
        <f t="shared" si="0"/>
        <v>32509403.264437396</v>
      </c>
      <c r="I28" s="553">
        <f t="shared" si="0"/>
        <v>6958890.3435624717</v>
      </c>
      <c r="J28" s="553">
        <f t="shared" si="0"/>
        <v>3486553.0327870105</v>
      </c>
      <c r="K28" s="553">
        <f t="shared" si="0"/>
        <v>23906999.594896629</v>
      </c>
      <c r="L28" s="553">
        <f t="shared" si="0"/>
        <v>20732955.702968661</v>
      </c>
      <c r="M28" s="553">
        <f t="shared" si="0"/>
        <v>37702050.44011642</v>
      </c>
      <c r="N28" s="553">
        <f t="shared" si="0"/>
        <v>16198049.063986965</v>
      </c>
      <c r="O28" s="553">
        <f t="shared" si="0"/>
        <v>8650964.4747693986</v>
      </c>
      <c r="P28" s="553">
        <f t="shared" si="0"/>
        <v>26932485.940438233</v>
      </c>
      <c r="Q28" s="553">
        <f t="shared" si="0"/>
        <v>7851943.0753162149</v>
      </c>
      <c r="R28" s="553">
        <f t="shared" si="0"/>
        <v>6651248.3880870268</v>
      </c>
      <c r="S28" s="553">
        <f t="shared" si="0"/>
        <v>38782295.047563523</v>
      </c>
      <c r="T28" s="553">
        <f t="shared" si="0"/>
        <v>33297975.719175778</v>
      </c>
      <c r="U28" s="553">
        <f t="shared" si="0"/>
        <v>58020072.189487167</v>
      </c>
      <c r="V28" s="553">
        <f t="shared" si="0"/>
        <v>42032091.197589271</v>
      </c>
      <c r="W28" s="553">
        <f t="shared" si="0"/>
        <v>79894957.192626968</v>
      </c>
      <c r="X28" s="553">
        <f t="shared" si="0"/>
        <v>2585575.0603448316</v>
      </c>
      <c r="Y28" s="553">
        <f t="shared" si="0"/>
        <v>35963237.203716256</v>
      </c>
      <c r="Z28" s="553">
        <f t="shared" si="0"/>
        <v>1101468.776242533</v>
      </c>
      <c r="AA28" s="553">
        <f t="shared" si="0"/>
        <v>2197481.4297628254</v>
      </c>
      <c r="AB28" s="553">
        <f t="shared" si="0"/>
        <v>8815380.5801975578</v>
      </c>
      <c r="AC28" s="553">
        <f t="shared" si="0"/>
        <v>22585200.024827413</v>
      </c>
      <c r="AD28" s="553">
        <f t="shared" si="0"/>
        <v>3233933.4571762192</v>
      </c>
      <c r="AE28" s="553">
        <f t="shared" si="0"/>
        <v>3088345.5562739419</v>
      </c>
      <c r="AF28" s="553">
        <f t="shared" si="0"/>
        <v>78844334.820245057</v>
      </c>
      <c r="AG28" s="436">
        <v>19</v>
      </c>
      <c r="AI28" s="174"/>
    </row>
    <row r="29" spans="1:35">
      <c r="A29" s="215" t="s">
        <v>937</v>
      </c>
      <c r="B29" s="232" t="s">
        <v>940</v>
      </c>
      <c r="C29" s="232">
        <v>2080</v>
      </c>
      <c r="D29" s="232" t="s">
        <v>939</v>
      </c>
      <c r="E29" s="553">
        <f t="shared" si="1"/>
        <v>101644560.99330798</v>
      </c>
      <c r="F29" s="553">
        <f t="shared" si="0"/>
        <v>4198966207.3905411</v>
      </c>
      <c r="G29" s="553">
        <f t="shared" si="0"/>
        <v>90418916.621064872</v>
      </c>
      <c r="H29" s="553">
        <f t="shared" si="0"/>
        <v>28171835.369809933</v>
      </c>
      <c r="I29" s="553">
        <f t="shared" si="0"/>
        <v>6672409.0794188073</v>
      </c>
      <c r="J29" s="553">
        <f t="shared" si="0"/>
        <v>3579681.2595887394</v>
      </c>
      <c r="K29" s="553">
        <f t="shared" si="0"/>
        <v>19750273.958474889</v>
      </c>
      <c r="L29" s="553">
        <f t="shared" si="0"/>
        <v>17768607.160647474</v>
      </c>
      <c r="M29" s="553">
        <f t="shared" si="0"/>
        <v>31149176.631272972</v>
      </c>
      <c r="N29" s="553">
        <f t="shared" si="0"/>
        <v>15424917.502143586</v>
      </c>
      <c r="O29" s="553">
        <f t="shared" si="0"/>
        <v>7537339.5345322071</v>
      </c>
      <c r="P29" s="553">
        <f t="shared" si="0"/>
        <v>22348019.065703571</v>
      </c>
      <c r="Q29" s="553">
        <f t="shared" si="0"/>
        <v>6736710.5423714481</v>
      </c>
      <c r="R29" s="553">
        <f t="shared" ref="R29:R31" si="2">IF(R15=0,R28*S16/S15,R28*R16/R15)</f>
        <v>5880440.3341144361</v>
      </c>
      <c r="S29" s="553">
        <f t="shared" ref="S29:S31" si="3">IF(S15=0,S28*T16/T15,S28*S16/S15)</f>
        <v>36204601.599817216</v>
      </c>
      <c r="T29" s="553">
        <f t="shared" ref="T29:T31" si="4">IF(T15=0,T28*U16/U15,T28*T16/T15)</f>
        <v>29533497.03332166</v>
      </c>
      <c r="U29" s="553">
        <f t="shared" ref="U29:U31" si="5">IF(U15=0,U28*V16/V15,U28*U16/U15)</f>
        <v>48154644.330166511</v>
      </c>
      <c r="V29" s="553">
        <f t="shared" ref="V29:V31" si="6">IF(V15=0,V28*W16/W15,V28*V16/V15)</f>
        <v>37427817.014267065</v>
      </c>
      <c r="W29" s="553">
        <f t="shared" ref="W29:W31" si="7">IF(W15=0,W28*X16/X15,W28*W16/W15)</f>
        <v>68063562.89106369</v>
      </c>
      <c r="X29" s="553">
        <f t="shared" ref="X29:X31" si="8">IF(X15=0,X28*Y16/Y15,X28*X16/X15)</f>
        <v>2236958.1982758655</v>
      </c>
      <c r="Y29" s="553">
        <f t="shared" ref="Y29:Y31" si="9">IF(Y15=0,Y28*Z16/Z15,Y28*Y16/Y15)</f>
        <v>31456918.96879904</v>
      </c>
      <c r="Z29" s="553">
        <f t="shared" ref="Z29:Z31" si="10">IF(Z15=0,Z28*AA16/AA15,Z28*Z16/Z15)</f>
        <v>1309190.1394603916</v>
      </c>
      <c r="AA29" s="553">
        <f t="shared" ref="AA29:AA31" si="11">IF(AA15=0,AA28*AB16/AB15,AA28*AA16/AA15)</f>
        <v>1958624.752614686</v>
      </c>
      <c r="AB29" s="553">
        <f t="shared" ref="AB29:AB31" si="12">IF(AB15=0,AB28*AC16/AC15,AB28*AB16/AB15)</f>
        <v>6397118.2723086337</v>
      </c>
      <c r="AC29" s="553">
        <f t="shared" ref="AC29:AC31" si="13">IF(AC15=0,AC28*AD16/AD15,AC28*AC16/AC15)</f>
        <v>26547790.055673119</v>
      </c>
      <c r="AD29" s="553">
        <f t="shared" ref="AD29:AD31" si="14">IF(AD15=0,AD28*AE16/AE15,AD28*AD16/AD15)</f>
        <v>2879690.9979205979</v>
      </c>
      <c r="AE29" s="553">
        <f t="shared" ref="AE29:AE31" si="15">IF(AE15=0,AE28*AF16/AF15,AE28*AE16/AE15)</f>
        <v>3011768.1312745395</v>
      </c>
      <c r="AF29" s="553">
        <f t="shared" ref="AF29:AF31" si="16">IF(AF15=0,AF28*AG16/AG15,AF28*AF16/AF15)</f>
        <v>76889341.110405967</v>
      </c>
      <c r="AG29" s="436">
        <v>19</v>
      </c>
      <c r="AI29" s="174"/>
    </row>
    <row r="30" spans="1:35">
      <c r="A30" s="215" t="s">
        <v>937</v>
      </c>
      <c r="B30" s="232" t="s">
        <v>940</v>
      </c>
      <c r="C30" s="232">
        <v>2090</v>
      </c>
      <c r="D30" s="232" t="s">
        <v>939</v>
      </c>
      <c r="E30" s="553">
        <f t="shared" si="1"/>
        <v>72322883.68863599</v>
      </c>
      <c r="F30" s="553">
        <f t="shared" ref="F30:F31" si="17">IF(F16=0,F29*G17/G16,F29*F17/F16)</f>
        <v>1061024412.1510636</v>
      </c>
      <c r="G30" s="553">
        <f t="shared" ref="G30:G31" si="18">IF(G16=0,G29*H17/H16,G29*G17/G16)</f>
        <v>84342439.723883569</v>
      </c>
      <c r="H30" s="553">
        <f t="shared" ref="H30:H31" si="19">IF(H16=0,H29*I17/I16,H29*H17/H16)</f>
        <v>24127454.37687777</v>
      </c>
      <c r="I30" s="553">
        <f t="shared" ref="I30:I31" si="20">IF(I16=0,I29*J17/J16,I29*I17/I16)</f>
        <v>6344257.813217883</v>
      </c>
      <c r="J30" s="553">
        <f t="shared" ref="J30:J31" si="21">IF(J16=0,J29*K17/K16,J29*J17/J16)</f>
        <v>3600201.0383755383</v>
      </c>
      <c r="K30" s="553">
        <f t="shared" ref="K30:K31" si="22">IF(K16=0,K29*L17/L16,K29*K17/K16)</f>
        <v>20472437.69428381</v>
      </c>
      <c r="L30" s="553">
        <f t="shared" ref="L30:L31" si="23">IF(L16=0,L29*M17/M16,L29*L17/L16)</f>
        <v>15285865.915014457</v>
      </c>
      <c r="M30" s="553">
        <f t="shared" ref="M30:M31" si="24">IF(M16=0,M29*N17/N16,M29*M17/M16)</f>
        <v>29472031.476814754</v>
      </c>
      <c r="N30" s="553">
        <f t="shared" ref="N30:N31" si="25">IF(N16=0,N29*O17/O16,N29*N17/N16)</f>
        <v>14595215.338214101</v>
      </c>
      <c r="O30" s="553">
        <f t="shared" ref="O30:O31" si="26">IF(O16=0,O29*P17/P16,O29*O17/O16)</f>
        <v>6556127.3158476092</v>
      </c>
      <c r="P30" s="553">
        <f t="shared" ref="P30:P31" si="27">IF(P16=0,P29*Q17/Q16,P29*P17/P16)</f>
        <v>18662739.479201917</v>
      </c>
      <c r="Q30" s="553">
        <f t="shared" ref="Q30:Q31" si="28">IF(Q16=0,Q29*R17/R16,Q29*Q17/Q16)</f>
        <v>6246464.9238547897</v>
      </c>
      <c r="R30" s="553">
        <f t="shared" si="2"/>
        <v>5607211.6571568698</v>
      </c>
      <c r="S30" s="553">
        <f t="shared" si="3"/>
        <v>34025498.409668125</v>
      </c>
      <c r="T30" s="553">
        <f t="shared" si="4"/>
        <v>30325981.588148054</v>
      </c>
      <c r="U30" s="553">
        <f t="shared" si="5"/>
        <v>50810256.347211048</v>
      </c>
      <c r="V30" s="553">
        <f t="shared" si="6"/>
        <v>33293125.637326017</v>
      </c>
      <c r="W30" s="553">
        <f t="shared" si="7"/>
        <v>58233791.246654682</v>
      </c>
      <c r="X30" s="553">
        <f t="shared" si="8"/>
        <v>1946444.1465517271</v>
      </c>
      <c r="Y30" s="553">
        <f t="shared" si="9"/>
        <v>27579620.055972867</v>
      </c>
      <c r="Z30" s="553">
        <f t="shared" si="10"/>
        <v>1452351.9135926859</v>
      </c>
      <c r="AA30" s="553">
        <f t="shared" si="11"/>
        <v>1753890.4579162882</v>
      </c>
      <c r="AB30" s="553">
        <f t="shared" si="12"/>
        <v>7313234.9416167112</v>
      </c>
      <c r="AC30" s="553">
        <f t="shared" si="13"/>
        <v>30461379.109653074</v>
      </c>
      <c r="AD30" s="553">
        <f t="shared" si="14"/>
        <v>2614866.5008697715</v>
      </c>
      <c r="AE30" s="553">
        <f t="shared" si="15"/>
        <v>2911679.285426876</v>
      </c>
      <c r="AF30" s="553">
        <f t="shared" si="16"/>
        <v>74334109.407867447</v>
      </c>
      <c r="AG30" s="436">
        <v>19</v>
      </c>
      <c r="AI30" s="174"/>
    </row>
    <row r="31" spans="1:35">
      <c r="A31" s="229" t="s">
        <v>937</v>
      </c>
      <c r="B31" s="235" t="s">
        <v>940</v>
      </c>
      <c r="C31" s="235">
        <v>2100</v>
      </c>
      <c r="D31" s="235" t="s">
        <v>939</v>
      </c>
      <c r="E31" s="561">
        <f t="shared" si="1"/>
        <v>61311266.411487833</v>
      </c>
      <c r="F31" s="555">
        <f t="shared" si="17"/>
        <v>107612004.8636415</v>
      </c>
      <c r="G31" s="555">
        <f t="shared" si="18"/>
        <v>72694732.652127653</v>
      </c>
      <c r="H31" s="555">
        <f t="shared" si="19"/>
        <v>20503015.352677114</v>
      </c>
      <c r="I31" s="555">
        <f t="shared" si="20"/>
        <v>5990062.795731171</v>
      </c>
      <c r="J31" s="555">
        <f t="shared" si="21"/>
        <v>3571132.4864125759</v>
      </c>
      <c r="K31" s="555">
        <f t="shared" si="22"/>
        <v>17209621.09284889</v>
      </c>
      <c r="L31" s="555">
        <f t="shared" si="23"/>
        <v>13233869.149257615</v>
      </c>
      <c r="M31" s="555">
        <f t="shared" si="24"/>
        <v>27195998.816699002</v>
      </c>
      <c r="N31" s="555">
        <f t="shared" si="25"/>
        <v>13708942.572198516</v>
      </c>
      <c r="O31" s="555">
        <f t="shared" si="26"/>
        <v>5734489.4026238285</v>
      </c>
      <c r="P31" s="555">
        <f t="shared" si="27"/>
        <v>15754103.944119195</v>
      </c>
      <c r="Q31" s="555">
        <f t="shared" si="28"/>
        <v>5771092.6281777723</v>
      </c>
      <c r="R31" s="555">
        <f t="shared" si="2"/>
        <v>5314887.7916012369</v>
      </c>
      <c r="S31" s="555">
        <f t="shared" si="3"/>
        <v>31910513.746969253</v>
      </c>
      <c r="T31" s="555">
        <f t="shared" si="4"/>
        <v>28925583.431937993</v>
      </c>
      <c r="U31" s="555">
        <f t="shared" si="5"/>
        <v>48110641.772585228</v>
      </c>
      <c r="V31" s="555">
        <f t="shared" si="6"/>
        <v>29613250.311848484</v>
      </c>
      <c r="W31" s="555">
        <f t="shared" si="7"/>
        <v>50160160.235408947</v>
      </c>
      <c r="X31" s="555">
        <f t="shared" si="8"/>
        <v>1714032.9051724162</v>
      </c>
      <c r="Y31" s="555">
        <f t="shared" si="9"/>
        <v>24275780.398933165</v>
      </c>
      <c r="Z31" s="555">
        <f t="shared" si="10"/>
        <v>1327956.9221058821</v>
      </c>
      <c r="AA31" s="555">
        <f t="shared" si="11"/>
        <v>1562805.1161977868</v>
      </c>
      <c r="AB31" s="555">
        <f t="shared" si="12"/>
        <v>6733721.9163740342</v>
      </c>
      <c r="AC31" s="555">
        <f t="shared" si="13"/>
        <v>24466784.964764304</v>
      </c>
      <c r="AD31" s="555">
        <f t="shared" si="14"/>
        <v>2361528.014751717</v>
      </c>
      <c r="AE31" s="555">
        <f t="shared" si="15"/>
        <v>2789778.5801501446</v>
      </c>
      <c r="AF31" s="555">
        <f t="shared" si="16"/>
        <v>71222028.895329714</v>
      </c>
      <c r="AG31" s="437">
        <v>19</v>
      </c>
      <c r="AI31" s="174"/>
    </row>
    <row r="32" spans="1:35">
      <c r="A32" t="s">
        <v>937</v>
      </c>
      <c r="B32" s="231" t="s">
        <v>941</v>
      </c>
      <c r="C32" s="232">
        <v>2019</v>
      </c>
      <c r="D32" s="231" t="s">
        <v>939</v>
      </c>
      <c r="E32" s="553">
        <f>IF((Biomass_Calibration!B7-E6)&lt;0,0,Biomass_Calibration!B7-E6-E19)</f>
        <v>85235748.16842106</v>
      </c>
      <c r="F32" s="553">
        <f>IF((Biomass_Calibration!C7-F6)&lt;0,0,Biomass_Calibration!C7-F6-F19)</f>
        <v>6249953.0025730822</v>
      </c>
      <c r="G32" s="553">
        <f>IF((Biomass_Calibration!D7-G6)&lt;0,0,Biomass_Calibration!D7-G6-G19)</f>
        <v>67825515.431578949</v>
      </c>
      <c r="H32" s="553">
        <f>IF((Biomass_Calibration!E7-H6)&lt;0,0,Biomass_Calibration!E7-H6-H19)</f>
        <v>28121637.087641016</v>
      </c>
      <c r="I32" s="553">
        <f>IF((Biomass_Calibration!F7-I6)&lt;0,0,Biomass_Calibration!F7-I6-I19)</f>
        <v>4738033.5672514616</v>
      </c>
      <c r="J32" s="553">
        <f>IF((Biomass_Calibration!G7-J6)&lt;0,0,Biomass_Calibration!G7-J6-J19)</f>
        <v>1938775.1900308859</v>
      </c>
      <c r="K32" s="553">
        <f>IF((Biomass_Calibration!H7-K6)&lt;0,0,Biomass_Calibration!H7-K6-K19)</f>
        <v>33269344.252631582</v>
      </c>
      <c r="L32" s="553">
        <f>IF((Biomass_Calibration!I7-L6)&lt;0,0,Biomass_Calibration!I7-L6-L19)</f>
        <v>30338955.263157897</v>
      </c>
      <c r="M32" s="553">
        <f>IF((Biomass_Calibration!J7-M6)&lt;0,0,Biomass_Calibration!J7-M6-M19)</f>
        <v>50697722.357894734</v>
      </c>
      <c r="N32" s="553">
        <f>IF((Biomass_Calibration!K7-N6)&lt;0,0,Biomass_Calibration!K7-N6-N19)</f>
        <v>11509673.115789477</v>
      </c>
      <c r="O32" s="553">
        <f>IF((Biomass_Calibration!L7-O6)&lt;0,0,Biomass_Calibration!L7-O6-O19)</f>
        <v>7377086.1894736849</v>
      </c>
      <c r="P32" s="553">
        <f>IF((Biomass_Calibration!M7-P6)&lt;0,0,Biomass_Calibration!M7-P6-P19)</f>
        <v>38768469.431578949</v>
      </c>
      <c r="Q32" s="553">
        <f>IF((Biomass_Calibration!N7-Q6)&lt;0,0,Biomass_Calibration!N7-Q6-Q19)</f>
        <v>8524476.8500752207</v>
      </c>
      <c r="R32" s="553">
        <f>IF((Biomass_Calibration!O7-R6)&lt;0,0,Biomass_Calibration!O7-R6-R19)</f>
        <v>4222159.4023222551</v>
      </c>
      <c r="S32" s="553">
        <f>IF((Biomass_Calibration!P7-S6)&lt;0,0,Biomass_Calibration!P7-S6-S19)</f>
        <v>26939349.631467842</v>
      </c>
      <c r="T32" s="553">
        <f>IF((Biomass_Calibration!Q7-T6)&lt;0,0,Biomass_Calibration!Q7-T6-T19)</f>
        <v>24161834.08421053</v>
      </c>
      <c r="U32" s="553">
        <f>IF((Biomass_Calibration!R7-U6)&lt;0,0,Biomass_Calibration!R7-U6-U19)</f>
        <v>39954665.408273771</v>
      </c>
      <c r="V32" s="553">
        <f>IF((Biomass_Calibration!S7-V6)&lt;0,0,Biomass_Calibration!S7-V6-V19)</f>
        <v>42228981.263157904</v>
      </c>
      <c r="W32" s="553">
        <f>IF((Biomass_Calibration!T7-W6)&lt;0,0,Biomass_Calibration!T7-W6-W19)</f>
        <v>137786077.35507879</v>
      </c>
      <c r="X32" s="553">
        <f>IF((Biomass_Calibration!U7-X6)&lt;0,0,Biomass_Calibration!U7-X6-X19)</f>
        <v>2995522.666666667</v>
      </c>
      <c r="Y32" s="553">
        <f>IF((Biomass_Calibration!V7-Y6)&lt;0,0,Biomass_Calibration!V7-Y6-Y19)</f>
        <v>29493399.768421054</v>
      </c>
      <c r="Z32" s="553">
        <f>IF((Biomass_Calibration!W7-Z6)&lt;0,0,Biomass_Calibration!W7-Z6-Z19)</f>
        <v>1427574.2891357895</v>
      </c>
      <c r="AA32" s="553">
        <f>IF((Biomass_Calibration!X7-AA6)&lt;0,0,Biomass_Calibration!X7-AA6-AA19)</f>
        <v>1802969.3633285379</v>
      </c>
      <c r="AB32" s="553">
        <f>IF((Biomass_Calibration!Y7-AB6)&lt;0,0,Biomass_Calibration!Y7-AB6-AB19)</f>
        <v>8202287.0526315793</v>
      </c>
      <c r="AC32" s="553">
        <f>IF((Biomass_Calibration!Z7-AC6)&lt;0,0,Biomass_Calibration!Z7-AC6-AC19)</f>
        <v>60534813.679225534</v>
      </c>
      <c r="AD32" s="553">
        <f>IF((Biomass_Calibration!AA7-AD6)&lt;0,0,Biomass_Calibration!AA7-AD6-AD19)</f>
        <v>3107792.9505406069</v>
      </c>
      <c r="AE32" s="553">
        <f>IF((Biomass_Calibration!AB7-AE6)&lt;0,0,Biomass_Calibration!AB7-AE6-AE19)</f>
        <v>2027831.5789473685</v>
      </c>
      <c r="AF32" s="553">
        <f>IF((Biomass_Calibration!AC7-AF6)&lt;0,0,Biomass_Calibration!AC7-AF6-AF19)</f>
        <v>51769800.061651722</v>
      </c>
      <c r="AG32" s="453">
        <v>19</v>
      </c>
    </row>
    <row r="33" spans="1:35">
      <c r="A33" s="215" t="s">
        <v>937</v>
      </c>
      <c r="B33" s="232" t="s">
        <v>941</v>
      </c>
      <c r="C33">
        <v>2020</v>
      </c>
      <c r="D33" s="232" t="s">
        <v>939</v>
      </c>
      <c r="E33" s="553">
        <f>IF(E6=0,E32*F7/F6,E32*E7/E6)</f>
        <v>85235748.16842106</v>
      </c>
      <c r="F33" s="553">
        <f t="shared" ref="F33:AF42" si="29">IF(F6=0,F32*G7/G6,F32*F7/F6)</f>
        <v>6249953.0025730813</v>
      </c>
      <c r="G33" s="553">
        <f t="shared" si="29"/>
        <v>67825515.431578949</v>
      </c>
      <c r="H33" s="553">
        <f t="shared" si="29"/>
        <v>28121637.087641016</v>
      </c>
      <c r="I33" s="553">
        <f t="shared" si="29"/>
        <v>4738033.5672514616</v>
      </c>
      <c r="J33" s="553">
        <f t="shared" si="29"/>
        <v>1938775.1900308859</v>
      </c>
      <c r="K33" s="553">
        <f t="shared" si="29"/>
        <v>33269344.252631582</v>
      </c>
      <c r="L33" s="553">
        <f t="shared" si="29"/>
        <v>30338955.2631579</v>
      </c>
      <c r="M33" s="553">
        <f t="shared" si="29"/>
        <v>50697722.357894734</v>
      </c>
      <c r="N33" s="553">
        <f t="shared" si="29"/>
        <v>11509673.115789477</v>
      </c>
      <c r="O33" s="553">
        <f t="shared" si="29"/>
        <v>7377086.1894736849</v>
      </c>
      <c r="P33" s="553">
        <f>IF(P6=0,P$32*Q7/Q$6,P$32*P7/P$6)</f>
        <v>38768469.431578949</v>
      </c>
      <c r="Q33" s="553">
        <f t="shared" si="29"/>
        <v>8524476.8500752207</v>
      </c>
      <c r="R33" s="553">
        <f t="shared" si="29"/>
        <v>4222159.4023222551</v>
      </c>
      <c r="S33" s="553">
        <f t="shared" si="29"/>
        <v>26939349.631467842</v>
      </c>
      <c r="T33" s="553">
        <f t="shared" si="29"/>
        <v>24161834.08421053</v>
      </c>
      <c r="U33" s="553">
        <f t="shared" si="29"/>
        <v>39954665.408273771</v>
      </c>
      <c r="V33" s="553">
        <f t="shared" si="29"/>
        <v>42228981.263157904</v>
      </c>
      <c r="W33" s="553">
        <f t="shared" si="29"/>
        <v>137786077.35507879</v>
      </c>
      <c r="X33" s="553">
        <f t="shared" si="29"/>
        <v>2995522.666666667</v>
      </c>
      <c r="Y33" s="553">
        <f t="shared" si="29"/>
        <v>29493399.768421054</v>
      </c>
      <c r="Z33" s="553">
        <f t="shared" si="29"/>
        <v>1427574.2891357893</v>
      </c>
      <c r="AA33" s="553">
        <f t="shared" si="29"/>
        <v>1802969.3633285379</v>
      </c>
      <c r="AB33" s="553">
        <f t="shared" si="29"/>
        <v>8202287.0526315793</v>
      </c>
      <c r="AC33" s="553">
        <f t="shared" si="29"/>
        <v>60534813.679225534</v>
      </c>
      <c r="AD33" s="553">
        <f t="shared" si="29"/>
        <v>3107792.9505406069</v>
      </c>
      <c r="AE33" s="553">
        <f t="shared" si="29"/>
        <v>2027831.5789473685</v>
      </c>
      <c r="AF33" s="554">
        <f t="shared" si="29"/>
        <v>51769800.061651722</v>
      </c>
      <c r="AG33" s="436">
        <v>19</v>
      </c>
      <c r="AI33" s="174"/>
    </row>
    <row r="34" spans="1:35">
      <c r="A34" s="215" t="s">
        <v>937</v>
      </c>
      <c r="B34" s="232" t="s">
        <v>941</v>
      </c>
      <c r="C34" s="232">
        <v>2025</v>
      </c>
      <c r="D34" s="232" t="s">
        <v>939</v>
      </c>
      <c r="E34" s="553">
        <f t="shared" ref="E34:E44" si="30">IF(E7=0,E33*F8/F7,E33*E8/E7)</f>
        <v>92115810.904848352</v>
      </c>
      <c r="F34" s="553">
        <f t="shared" si="29"/>
        <v>6430565.3562720977</v>
      </c>
      <c r="G34" s="553">
        <f t="shared" si="29"/>
        <v>74045928.000855416</v>
      </c>
      <c r="H34" s="553">
        <f t="shared" si="29"/>
        <v>29650717.61258287</v>
      </c>
      <c r="I34" s="553">
        <f t="shared" si="29"/>
        <v>5062496.7205251921</v>
      </c>
      <c r="J34" s="553">
        <f t="shared" si="29"/>
        <v>1898030.4154032646</v>
      </c>
      <c r="K34" s="553">
        <f t="shared" si="29"/>
        <v>33901270.143776067</v>
      </c>
      <c r="L34" s="553">
        <f t="shared" si="29"/>
        <v>26007504.004054222</v>
      </c>
      <c r="M34" s="553">
        <f t="shared" si="29"/>
        <v>49558027.015984125</v>
      </c>
      <c r="N34" s="553">
        <f t="shared" si="29"/>
        <v>12766468.946594093</v>
      </c>
      <c r="O34" s="553">
        <f t="shared" si="29"/>
        <v>7470250.4222788932</v>
      </c>
      <c r="P34" s="553">
        <f>IF(P7=0,P$32*Q8/Q$6,P$32*P8/P$6)+Biomass_Calibration!B22</f>
        <v>34050534.037588939</v>
      </c>
      <c r="Q34" s="553">
        <f t="shared" si="29"/>
        <v>10792574.078669056</v>
      </c>
      <c r="R34" s="553">
        <f t="shared" si="29"/>
        <v>6913729.8760430766</v>
      </c>
      <c r="S34" s="553">
        <f t="shared" si="29"/>
        <v>48162350.814144075</v>
      </c>
      <c r="T34" s="553">
        <f t="shared" si="29"/>
        <v>23403721.723831072</v>
      </c>
      <c r="U34" s="553">
        <f t="shared" si="29"/>
        <v>38475587.298773147</v>
      </c>
      <c r="V34" s="553">
        <f t="shared" si="29"/>
        <v>39644208.482373044</v>
      </c>
      <c r="W34" s="553">
        <f t="shared" si="29"/>
        <v>117318349.89529702</v>
      </c>
      <c r="X34" s="553">
        <f t="shared" si="29"/>
        <v>2952989.8904665424</v>
      </c>
      <c r="Y34" s="553">
        <f t="shared" si="29"/>
        <v>29774904.104364216</v>
      </c>
      <c r="Z34" s="553">
        <f t="shared" si="29"/>
        <v>1382000.4877092601</v>
      </c>
      <c r="AA34" s="553">
        <f t="shared" si="29"/>
        <v>1906577.5754804639</v>
      </c>
      <c r="AB34" s="553">
        <f t="shared" si="29"/>
        <v>8202287.0526315793</v>
      </c>
      <c r="AC34" s="553">
        <f t="shared" si="29"/>
        <v>37725334.528008729</v>
      </c>
      <c r="AD34" s="553">
        <f t="shared" si="29"/>
        <v>3353549.5342683839</v>
      </c>
      <c r="AE34" s="553">
        <f t="shared" si="29"/>
        <v>2148469.6434439318</v>
      </c>
      <c r="AF34" s="554">
        <f t="shared" si="29"/>
        <v>54849645.815929636</v>
      </c>
      <c r="AG34" s="436">
        <v>19</v>
      </c>
      <c r="AI34" s="174"/>
    </row>
    <row r="35" spans="1:35">
      <c r="A35" s="215" t="s">
        <v>937</v>
      </c>
      <c r="B35" s="232" t="s">
        <v>941</v>
      </c>
      <c r="C35" s="232">
        <v>2030</v>
      </c>
      <c r="D35" s="232" t="s">
        <v>939</v>
      </c>
      <c r="E35" s="553">
        <f t="shared" si="30"/>
        <v>93778475.194165438</v>
      </c>
      <c r="F35" s="553">
        <f t="shared" si="29"/>
        <v>6623468.8590229824</v>
      </c>
      <c r="G35" s="553">
        <f t="shared" si="29"/>
        <v>79575787.776164994</v>
      </c>
      <c r="H35" s="553">
        <f t="shared" si="29"/>
        <v>29371380.582713649</v>
      </c>
      <c r="I35" s="553">
        <f t="shared" si="29"/>
        <v>5403210.2667580871</v>
      </c>
      <c r="J35" s="553">
        <f t="shared" si="29"/>
        <v>1809769.0592112513</v>
      </c>
      <c r="K35" s="553">
        <f t="shared" si="29"/>
        <v>32541593.533731572</v>
      </c>
      <c r="L35" s="553">
        <f t="shared" si="29"/>
        <v>23497561.725101046</v>
      </c>
      <c r="M35" s="553">
        <f t="shared" si="29"/>
        <v>48708871.616689362</v>
      </c>
      <c r="N35" s="553">
        <f t="shared" si="29"/>
        <v>13727799.439560557</v>
      </c>
      <c r="O35" s="553">
        <f t="shared" si="29"/>
        <v>6982337.8366741594</v>
      </c>
      <c r="P35" s="553">
        <f>IF(P8=0,P$32*Q9/Q$6,P$32*P9/P$6)+Biomass_Calibration!B23</f>
        <v>30569100.37036955</v>
      </c>
      <c r="Q35" s="553">
        <f t="shared" si="29"/>
        <v>12616494.297230272</v>
      </c>
      <c r="R35" s="553">
        <f t="shared" si="29"/>
        <v>9771927.3527074605</v>
      </c>
      <c r="S35" s="553">
        <f t="shared" si="29"/>
        <v>64319419.895183988</v>
      </c>
      <c r="T35" s="553">
        <f t="shared" si="29"/>
        <v>22671433.14215067</v>
      </c>
      <c r="U35" s="553">
        <f t="shared" si="29"/>
        <v>40480405.625391513</v>
      </c>
      <c r="V35" s="553">
        <f t="shared" si="29"/>
        <v>36304952.970329225</v>
      </c>
      <c r="W35" s="553">
        <f t="shared" si="29"/>
        <v>99107597.309565052</v>
      </c>
      <c r="X35" s="553">
        <f t="shared" si="29"/>
        <v>2924508.1206896608</v>
      </c>
      <c r="Y35" s="553">
        <f t="shared" si="29"/>
        <v>29750563.503887929</v>
      </c>
      <c r="Z35" s="553">
        <f t="shared" si="29"/>
        <v>1333158.8944771474</v>
      </c>
      <c r="AA35" s="553">
        <f t="shared" si="29"/>
        <v>1445644.1324418306</v>
      </c>
      <c r="AB35" s="553">
        <f t="shared" si="29"/>
        <v>8151750.0590361189</v>
      </c>
      <c r="AC35" s="553">
        <f t="shared" si="29"/>
        <v>5950179.7377291285</v>
      </c>
      <c r="AD35" s="553">
        <f t="shared" si="29"/>
        <v>3683822.1587266284</v>
      </c>
      <c r="AE35" s="553">
        <f t="shared" si="29"/>
        <v>2309786.6106651821</v>
      </c>
      <c r="AF35" s="554">
        <f t="shared" si="29"/>
        <v>58968009.109162934</v>
      </c>
      <c r="AG35" s="436">
        <v>19</v>
      </c>
      <c r="AI35" s="174"/>
    </row>
    <row r="36" spans="1:35">
      <c r="A36" s="215" t="s">
        <v>937</v>
      </c>
      <c r="B36" s="232" t="s">
        <v>941</v>
      </c>
      <c r="C36" s="232">
        <v>2035</v>
      </c>
      <c r="D36" s="232" t="s">
        <v>939</v>
      </c>
      <c r="E36" s="553">
        <f t="shared" si="30"/>
        <v>94021560.922540277</v>
      </c>
      <c r="F36" s="553">
        <f t="shared" si="29"/>
        <v>6727905.312534512</v>
      </c>
      <c r="G36" s="553">
        <f t="shared" si="29"/>
        <v>81312138.370968863</v>
      </c>
      <c r="H36" s="553">
        <f t="shared" si="29"/>
        <v>29088933.425871424</v>
      </c>
      <c r="I36" s="553">
        <f t="shared" si="29"/>
        <v>5295562.7614434976</v>
      </c>
      <c r="J36" s="553">
        <f t="shared" si="29"/>
        <v>1851860.9131329367</v>
      </c>
      <c r="K36" s="553">
        <f t="shared" si="29"/>
        <v>30209424.414979063</v>
      </c>
      <c r="L36" s="553">
        <f t="shared" si="29"/>
        <v>22219633.452700946</v>
      </c>
      <c r="M36" s="553">
        <f t="shared" si="29"/>
        <v>46433973.818578698</v>
      </c>
      <c r="N36" s="553">
        <f t="shared" si="29"/>
        <v>13275234.622871747</v>
      </c>
      <c r="O36" s="553">
        <f t="shared" si="29"/>
        <v>6770477.4821900101</v>
      </c>
      <c r="P36" s="553">
        <f>IF(P9=0,P$32*Q10/Q$6,P$32*P10/P$6)+Biomass_Calibration!B24</f>
        <v>27598446.330692451</v>
      </c>
      <c r="Q36" s="553">
        <f t="shared" si="29"/>
        <v>12416335.785949022</v>
      </c>
      <c r="R36" s="553">
        <f t="shared" si="29"/>
        <v>9817568.0736984387</v>
      </c>
      <c r="S36" s="553">
        <f t="shared" si="29"/>
        <v>63587094.457025424</v>
      </c>
      <c r="T36" s="553">
        <f t="shared" si="29"/>
        <v>21987103.00662566</v>
      </c>
      <c r="U36" s="553">
        <f t="shared" si="29"/>
        <v>39814777.861497909</v>
      </c>
      <c r="V36" s="553">
        <f t="shared" si="29"/>
        <v>33753257.720559895</v>
      </c>
      <c r="W36" s="553">
        <f t="shared" si="29"/>
        <v>91586475.697044566</v>
      </c>
      <c r="X36" s="553">
        <f t="shared" si="29"/>
        <v>2769567.2931034537</v>
      </c>
      <c r="Y36" s="553">
        <f t="shared" si="29"/>
        <v>28945207.114215948</v>
      </c>
      <c r="Z36" s="553">
        <f t="shared" si="29"/>
        <v>977936.35179046157</v>
      </c>
      <c r="AA36" s="553">
        <f t="shared" si="29"/>
        <v>594324.93735513079</v>
      </c>
      <c r="AB36" s="553">
        <f t="shared" si="29"/>
        <v>7962236.3330531437</v>
      </c>
      <c r="AC36" s="553">
        <f t="shared" si="29"/>
        <v>4805503.0215337994</v>
      </c>
      <c r="AD36" s="553">
        <f t="shared" si="29"/>
        <v>3521387.9509199276</v>
      </c>
      <c r="AE36" s="553">
        <f t="shared" si="29"/>
        <v>2293514.4502018057</v>
      </c>
      <c r="AF36" s="554">
        <f t="shared" si="29"/>
        <v>58552586.791794054</v>
      </c>
      <c r="AG36" s="436">
        <v>19</v>
      </c>
      <c r="AI36" s="174"/>
    </row>
    <row r="37" spans="1:35">
      <c r="A37" s="215" t="s">
        <v>937</v>
      </c>
      <c r="B37" s="232" t="s">
        <v>941</v>
      </c>
      <c r="C37" s="232">
        <v>2040</v>
      </c>
      <c r="D37" s="232" t="s">
        <v>939</v>
      </c>
      <c r="E37" s="553">
        <f t="shared" si="30"/>
        <v>93837405.067710862</v>
      </c>
      <c r="F37" s="553">
        <f t="shared" si="29"/>
        <v>6944666.1336614368</v>
      </c>
      <c r="G37" s="553">
        <f t="shared" si="29"/>
        <v>81695476.732974112</v>
      </c>
      <c r="H37" s="553">
        <f t="shared" si="29"/>
        <v>28803201.440129045</v>
      </c>
      <c r="I37" s="553">
        <f t="shared" si="29"/>
        <v>5180970.2557860315</v>
      </c>
      <c r="J37" s="553">
        <f t="shared" si="29"/>
        <v>1919207.8794076152</v>
      </c>
      <c r="K37" s="553">
        <f t="shared" si="29"/>
        <v>27910923.478951465</v>
      </c>
      <c r="L37" s="553">
        <f t="shared" si="29"/>
        <v>20972434.798791438</v>
      </c>
      <c r="M37" s="553">
        <f t="shared" si="29"/>
        <v>43425238.021077499</v>
      </c>
      <c r="N37" s="553">
        <f t="shared" si="29"/>
        <v>12797527.316366894</v>
      </c>
      <c r="O37" s="553">
        <f t="shared" si="29"/>
        <v>6513347.8211921547</v>
      </c>
      <c r="P37" s="553">
        <f>IF(P10=0,P$32*Q11/Q$6,P$32*P11/P$6)+Biomass_Calibration!B25</f>
        <v>25339565.725309998</v>
      </c>
      <c r="Q37" s="553">
        <f t="shared" si="29"/>
        <v>12251279.959385119</v>
      </c>
      <c r="R37" s="553">
        <f t="shared" si="29"/>
        <v>9860500.2825400364</v>
      </c>
      <c r="S37" s="553">
        <f t="shared" si="29"/>
        <v>63074515.005600378</v>
      </c>
      <c r="T37" s="553">
        <f t="shared" si="29"/>
        <v>21385777.874061905</v>
      </c>
      <c r="U37" s="553">
        <f t="shared" si="29"/>
        <v>39201921.932980038</v>
      </c>
      <c r="V37" s="553">
        <f t="shared" si="29"/>
        <v>31663072.784483414</v>
      </c>
      <c r="W37" s="553">
        <f t="shared" si="29"/>
        <v>85051478.454400599</v>
      </c>
      <c r="X37" s="553">
        <f t="shared" si="29"/>
        <v>2614626.4655172466</v>
      </c>
      <c r="Y37" s="553">
        <f t="shared" si="29"/>
        <v>27789557.735080857</v>
      </c>
      <c r="Z37" s="553">
        <f t="shared" si="29"/>
        <v>941461.59693831753</v>
      </c>
      <c r="AA37" s="553">
        <f t="shared" si="29"/>
        <v>281316.49206612591</v>
      </c>
      <c r="AB37" s="553">
        <f t="shared" si="29"/>
        <v>7720855.6925906166</v>
      </c>
      <c r="AC37" s="553">
        <f t="shared" si="29"/>
        <v>2808707.7661471423</v>
      </c>
      <c r="AD37" s="553">
        <f t="shared" si="29"/>
        <v>3392443.6402110434</v>
      </c>
      <c r="AE37" s="553">
        <f t="shared" si="29"/>
        <v>2285047.8097444419</v>
      </c>
      <c r="AF37" s="554">
        <f t="shared" si="29"/>
        <v>58336436.551201023</v>
      </c>
      <c r="AG37" s="436">
        <v>19</v>
      </c>
      <c r="AI37" s="174"/>
    </row>
    <row r="38" spans="1:35">
      <c r="A38" s="215" t="s">
        <v>937</v>
      </c>
      <c r="B38" s="232" t="s">
        <v>941</v>
      </c>
      <c r="C38" s="232">
        <v>2045</v>
      </c>
      <c r="D38" s="232" t="s">
        <v>939</v>
      </c>
      <c r="E38" s="553">
        <f t="shared" si="30"/>
        <v>92814550.834029719</v>
      </c>
      <c r="F38" s="553">
        <f t="shared" si="29"/>
        <v>6908004.8384048259</v>
      </c>
      <c r="G38" s="553">
        <f t="shared" si="29"/>
        <v>81037548.48045449</v>
      </c>
      <c r="H38" s="553">
        <f t="shared" si="29"/>
        <v>28279099.176037796</v>
      </c>
      <c r="I38" s="553">
        <f t="shared" si="29"/>
        <v>5069850.2503000041</v>
      </c>
      <c r="J38" s="553">
        <f t="shared" si="29"/>
        <v>1999182.4018588029</v>
      </c>
      <c r="K38" s="553">
        <f t="shared" si="29"/>
        <v>25659040.026696824</v>
      </c>
      <c r="L38" s="553">
        <f t="shared" si="29"/>
        <v>19709341.514628217</v>
      </c>
      <c r="M38" s="553">
        <f t="shared" si="29"/>
        <v>40070550.023863621</v>
      </c>
      <c r="N38" s="553">
        <f t="shared" si="29"/>
        <v>12344962.499678083</v>
      </c>
      <c r="O38" s="553">
        <f t="shared" si="29"/>
        <v>6210948.853680592</v>
      </c>
      <c r="P38" s="553">
        <f>IF(P11=0,P$32*Q12/Q$6,P$32*P12/P$6)+Biomass_Calibration!B26</f>
        <v>23241862.218265757</v>
      </c>
      <c r="Q38" s="553">
        <f t="shared" si="29"/>
        <v>11841131.118721759</v>
      </c>
      <c r="R38" s="553">
        <f t="shared" si="29"/>
        <v>9660702.3399148602</v>
      </c>
      <c r="S38" s="553">
        <f t="shared" si="29"/>
        <v>61276987.882331796</v>
      </c>
      <c r="T38" s="553">
        <f t="shared" si="29"/>
        <v>20817654.742682651</v>
      </c>
      <c r="U38" s="553">
        <f t="shared" si="29"/>
        <v>38159879.77404616</v>
      </c>
      <c r="V38" s="553">
        <f t="shared" si="29"/>
        <v>29857984.663350295</v>
      </c>
      <c r="W38" s="553">
        <f t="shared" si="29"/>
        <v>78930513.571307942</v>
      </c>
      <c r="X38" s="553">
        <f t="shared" si="29"/>
        <v>2459685.6379310396</v>
      </c>
      <c r="Y38" s="553">
        <f t="shared" si="29"/>
        <v>26412726.377704713</v>
      </c>
      <c r="Z38" s="553">
        <f t="shared" si="29"/>
        <v>908427.8566948754</v>
      </c>
      <c r="AA38" s="553">
        <f t="shared" si="29"/>
        <v>1797112.1423526162</v>
      </c>
      <c r="AB38" s="553">
        <f t="shared" si="29"/>
        <v>7428938.058532631</v>
      </c>
      <c r="AC38" s="553">
        <f t="shared" si="29"/>
        <v>4277842.859972124</v>
      </c>
      <c r="AD38" s="553">
        <f t="shared" si="29"/>
        <v>3259678.9624653826</v>
      </c>
      <c r="AE38" s="553">
        <f t="shared" si="29"/>
        <v>2270248.7720261444</v>
      </c>
      <c r="AF38" s="554">
        <f t="shared" si="29"/>
        <v>57958622.51983121</v>
      </c>
      <c r="AG38" s="436">
        <v>19</v>
      </c>
      <c r="AI38" s="174"/>
    </row>
    <row r="39" spans="1:35">
      <c r="A39" s="215" t="s">
        <v>937</v>
      </c>
      <c r="B39" s="232" t="s">
        <v>941</v>
      </c>
      <c r="C39" s="232">
        <v>2050</v>
      </c>
      <c r="D39" s="232" t="s">
        <v>939</v>
      </c>
      <c r="E39" s="553">
        <f t="shared" si="30"/>
        <v>91016137.371724084</v>
      </c>
      <c r="F39" s="553">
        <f t="shared" si="29"/>
        <v>6978094.2175370073</v>
      </c>
      <c r="G39" s="553">
        <f t="shared" si="29"/>
        <v>79524132.252206877</v>
      </c>
      <c r="H39" s="553">
        <f t="shared" si="29"/>
        <v>27439458.101181429</v>
      </c>
      <c r="I39" s="553">
        <f t="shared" si="29"/>
        <v>4986510.2461854834</v>
      </c>
      <c r="J39" s="553">
        <f t="shared" si="29"/>
        <v>2082313.8133541117</v>
      </c>
      <c r="K39" s="553">
        <f t="shared" si="29"/>
        <v>23475787.869996805</v>
      </c>
      <c r="L39" s="553">
        <f t="shared" si="29"/>
        <v>18465321.786769345</v>
      </c>
      <c r="M39" s="553">
        <f t="shared" si="29"/>
        <v>36678421.312395126</v>
      </c>
      <c r="N39" s="553">
        <f t="shared" si="29"/>
        <v>11992967.642253453</v>
      </c>
      <c r="O39" s="553">
        <f t="shared" si="29"/>
        <v>5895874.4803451914</v>
      </c>
      <c r="P39" s="553">
        <f>IF(P12=0,P$32*Q13/Q$6,P$32*P13/P$6)+Biomass_Calibration!B27</f>
        <v>21237311.189857837</v>
      </c>
      <c r="Q39" s="553">
        <f t="shared" si="29"/>
        <v>11110634.494600767</v>
      </c>
      <c r="R39" s="553">
        <f t="shared" si="29"/>
        <v>9161988.7369714025</v>
      </c>
      <c r="S39" s="553">
        <f t="shared" si="29"/>
        <v>57767986.555965535</v>
      </c>
      <c r="T39" s="553">
        <f t="shared" si="29"/>
        <v>20266132.611895647</v>
      </c>
      <c r="U39" s="553">
        <f t="shared" si="29"/>
        <v>36580595.332358986</v>
      </c>
      <c r="V39" s="553">
        <f t="shared" si="29"/>
        <v>28229310.040966656</v>
      </c>
      <c r="W39" s="553">
        <f t="shared" si="29"/>
        <v>73075312.702791825</v>
      </c>
      <c r="X39" s="553">
        <f t="shared" si="29"/>
        <v>2324112.4137931084</v>
      </c>
      <c r="Y39" s="553">
        <f t="shared" si="29"/>
        <v>24933241.183537263</v>
      </c>
      <c r="Z39" s="553">
        <f t="shared" si="29"/>
        <v>874705.9135296829</v>
      </c>
      <c r="AA39" s="553">
        <f t="shared" si="29"/>
        <v>906797.55433397926</v>
      </c>
      <c r="AB39" s="553">
        <f t="shared" si="29"/>
        <v>7108427.1254666867</v>
      </c>
      <c r="AC39" s="553">
        <f t="shared" si="29"/>
        <v>12105202.83320022</v>
      </c>
      <c r="AD39" s="553">
        <f t="shared" si="29"/>
        <v>3108533.9408585439</v>
      </c>
      <c r="AE39" s="553">
        <f t="shared" si="29"/>
        <v>2247356.4246194288</v>
      </c>
      <c r="AF39" s="554">
        <f t="shared" si="29"/>
        <v>57374189.246135615</v>
      </c>
      <c r="AG39" s="436">
        <v>19</v>
      </c>
      <c r="AI39" s="174"/>
    </row>
    <row r="40" spans="1:35">
      <c r="A40" s="215" t="s">
        <v>937</v>
      </c>
      <c r="B40" s="232" t="s">
        <v>941</v>
      </c>
      <c r="C40" s="232">
        <v>2060</v>
      </c>
      <c r="D40" s="232" t="s">
        <v>939</v>
      </c>
      <c r="E40" s="553">
        <f t="shared" si="30"/>
        <v>85049487.675250754</v>
      </c>
      <c r="F40" s="553">
        <f t="shared" si="29"/>
        <v>16857248.78389778</v>
      </c>
      <c r="G40" s="553">
        <f t="shared" si="29"/>
        <v>74384860.737001926</v>
      </c>
      <c r="H40" s="553">
        <f t="shared" si="29"/>
        <v>25412275.436054282</v>
      </c>
      <c r="I40" s="553">
        <f t="shared" si="29"/>
        <v>4826775.2382993195</v>
      </c>
      <c r="J40" s="553">
        <f t="shared" si="29"/>
        <v>2225426.1166878217</v>
      </c>
      <c r="K40" s="553">
        <f t="shared" si="29"/>
        <v>19421361.711854603</v>
      </c>
      <c r="L40" s="553">
        <f t="shared" si="29"/>
        <v>16064172.976438932</v>
      </c>
      <c r="M40" s="553">
        <f t="shared" si="29"/>
        <v>30440798.31757557</v>
      </c>
      <c r="N40" s="553">
        <f t="shared" si="29"/>
        <v>11351834.151944309</v>
      </c>
      <c r="O40" s="553">
        <f t="shared" si="29"/>
        <v>5575367.7902281461</v>
      </c>
      <c r="P40" s="553">
        <f t="shared" ref="P40:P44" si="31">IF(P13=0,P$32*Q14/Q$6,P$32*P14/P$6)</f>
        <v>17390078.335953314</v>
      </c>
      <c r="Q40" s="553">
        <f t="shared" si="29"/>
        <v>11147813.107816156</v>
      </c>
      <c r="R40" s="553">
        <f t="shared" si="29"/>
        <v>9415905.5756234191</v>
      </c>
      <c r="S40" s="553">
        <f t="shared" si="29"/>
        <v>54040782.903648593</v>
      </c>
      <c r="T40" s="553">
        <f t="shared" si="29"/>
        <v>20781442.423982341</v>
      </c>
      <c r="U40" s="553">
        <f t="shared" si="29"/>
        <v>36080699.386385396</v>
      </c>
      <c r="V40" s="553">
        <f t="shared" si="29"/>
        <v>25183026.946488947</v>
      </c>
      <c r="W40" s="553">
        <f t="shared" si="29"/>
        <v>62467132.247267149</v>
      </c>
      <c r="X40" s="553">
        <f t="shared" si="29"/>
        <v>2014230.758620694</v>
      </c>
      <c r="Y40" s="553">
        <f t="shared" si="29"/>
        <v>21935114.177044857</v>
      </c>
      <c r="Z40" s="553">
        <f t="shared" si="29"/>
        <v>803132.80966887495</v>
      </c>
      <c r="AA40" s="553">
        <f t="shared" si="29"/>
        <v>207338.54941370661</v>
      </c>
      <c r="AB40" s="553">
        <f t="shared" si="29"/>
        <v>6472724.9428711627</v>
      </c>
      <c r="AC40" s="553">
        <f t="shared" si="29"/>
        <v>12255938.077713585</v>
      </c>
      <c r="AD40" s="553">
        <f t="shared" si="29"/>
        <v>2933849.616904126</v>
      </c>
      <c r="AE40" s="553">
        <f t="shared" si="29"/>
        <v>1626271.9312685779</v>
      </c>
      <c r="AF40" s="554">
        <f t="shared" si="29"/>
        <v>41518128.823772334</v>
      </c>
      <c r="AG40" s="436">
        <v>19</v>
      </c>
      <c r="AI40" s="174"/>
    </row>
    <row r="41" spans="1:35">
      <c r="A41" s="215" t="s">
        <v>937</v>
      </c>
      <c r="B41" s="232" t="s">
        <v>941</v>
      </c>
      <c r="C41" s="232">
        <v>2070</v>
      </c>
      <c r="D41" s="232" t="s">
        <v>939</v>
      </c>
      <c r="E41" s="553">
        <f t="shared" si="30"/>
        <v>76852973.656585708</v>
      </c>
      <c r="F41" s="553">
        <f t="shared" si="29"/>
        <v>764751695.35612381</v>
      </c>
      <c r="G41" s="553">
        <f t="shared" si="29"/>
        <v>68038522.224164829</v>
      </c>
      <c r="H41" s="553">
        <f t="shared" si="29"/>
        <v>21672935.509624936</v>
      </c>
      <c r="I41" s="553">
        <f t="shared" si="29"/>
        <v>4639260.2290416481</v>
      </c>
      <c r="J41" s="553">
        <f t="shared" si="29"/>
        <v>2324368.6885246742</v>
      </c>
      <c r="K41" s="553">
        <f t="shared" si="29"/>
        <v>15937999.729931088</v>
      </c>
      <c r="L41" s="553">
        <f t="shared" si="29"/>
        <v>13821970.468645772</v>
      </c>
      <c r="M41" s="553">
        <f t="shared" si="29"/>
        <v>25134700.293410942</v>
      </c>
      <c r="N41" s="553">
        <f t="shared" si="29"/>
        <v>10798699.375991318</v>
      </c>
      <c r="O41" s="553">
        <f t="shared" si="29"/>
        <v>5767309.6498462632</v>
      </c>
      <c r="P41" s="553">
        <f t="shared" si="31"/>
        <v>17954990.626958817</v>
      </c>
      <c r="Q41" s="553">
        <f t="shared" si="29"/>
        <v>5234628.7168774772</v>
      </c>
      <c r="R41" s="553">
        <f t="shared" si="29"/>
        <v>4434165.5920580178</v>
      </c>
      <c r="S41" s="553">
        <f t="shared" si="29"/>
        <v>25854863.365042355</v>
      </c>
      <c r="T41" s="553">
        <f t="shared" si="29"/>
        <v>22198650.479450524</v>
      </c>
      <c r="U41" s="553">
        <f t="shared" si="29"/>
        <v>38680048.126324803</v>
      </c>
      <c r="V41" s="553">
        <f t="shared" si="29"/>
        <v>28021394.131726194</v>
      </c>
      <c r="W41" s="553">
        <f t="shared" si="29"/>
        <v>53263304.795084663</v>
      </c>
      <c r="X41" s="553">
        <f t="shared" si="29"/>
        <v>1723716.7068965554</v>
      </c>
      <c r="Y41" s="553">
        <f t="shared" si="29"/>
        <v>23975491.469144169</v>
      </c>
      <c r="Z41" s="553">
        <f t="shared" si="29"/>
        <v>734312.51749502134</v>
      </c>
      <c r="AA41" s="553">
        <f t="shared" si="29"/>
        <v>1464987.6198418837</v>
      </c>
      <c r="AB41" s="553">
        <f t="shared" si="29"/>
        <v>5876920.3867983706</v>
      </c>
      <c r="AC41" s="553">
        <f t="shared" si="29"/>
        <v>15056800.016551603</v>
      </c>
      <c r="AD41" s="553">
        <f t="shared" si="29"/>
        <v>2155955.6381174801</v>
      </c>
      <c r="AE41" s="553">
        <f t="shared" si="29"/>
        <v>2058897.0375159604</v>
      </c>
      <c r="AF41" s="554">
        <f t="shared" si="29"/>
        <v>52562889.880163372</v>
      </c>
      <c r="AG41" s="436">
        <v>19</v>
      </c>
      <c r="AI41" s="174"/>
    </row>
    <row r="42" spans="1:35">
      <c r="A42" s="215" t="s">
        <v>937</v>
      </c>
      <c r="B42" s="232" t="s">
        <v>941</v>
      </c>
      <c r="C42" s="232">
        <v>2080</v>
      </c>
      <c r="D42" s="232" t="s">
        <v>939</v>
      </c>
      <c r="E42" s="553">
        <f t="shared" si="30"/>
        <v>67763040.662205338</v>
      </c>
      <c r="F42" s="553">
        <f t="shared" si="29"/>
        <v>2799310804.9270267</v>
      </c>
      <c r="G42" s="553">
        <f t="shared" si="29"/>
        <v>60279277.747376613</v>
      </c>
      <c r="H42" s="553">
        <f t="shared" si="29"/>
        <v>18781223.579873294</v>
      </c>
      <c r="I42" s="553">
        <f t="shared" si="29"/>
        <v>4448272.7196125388</v>
      </c>
      <c r="J42" s="553">
        <f t="shared" si="29"/>
        <v>2386454.1730591599</v>
      </c>
      <c r="K42" s="553">
        <f t="shared" si="29"/>
        <v>13166849.305649927</v>
      </c>
      <c r="L42" s="553">
        <f t="shared" si="29"/>
        <v>11845738.107098315</v>
      </c>
      <c r="M42" s="553">
        <f t="shared" si="29"/>
        <v>20766117.754181977</v>
      </c>
      <c r="N42" s="553">
        <f t="shared" si="29"/>
        <v>10283278.3347624</v>
      </c>
      <c r="O42" s="553">
        <f t="shared" si="29"/>
        <v>5024893.0230214689</v>
      </c>
      <c r="P42" s="553">
        <f t="shared" si="31"/>
        <v>14898679.377135709</v>
      </c>
      <c r="Q42" s="553">
        <f t="shared" si="29"/>
        <v>4491140.361580966</v>
      </c>
      <c r="R42" s="553">
        <f t="shared" ref="R42:R44" si="32">IF(R15=0,R41*S16/S15,R41*R16/R15)</f>
        <v>3920293.556076291</v>
      </c>
      <c r="S42" s="553">
        <f t="shared" ref="S42:S44" si="33">IF(S15=0,S41*T16/T15,S41*S16/S15)</f>
        <v>24136401.06654482</v>
      </c>
      <c r="T42" s="553">
        <f t="shared" ref="T42:T44" si="34">IF(T15=0,T41*U16/U15,T41*T16/T15)</f>
        <v>19688998.022214446</v>
      </c>
      <c r="U42" s="553">
        <f t="shared" ref="U42:U44" si="35">IF(U15=0,U41*V16/V15,U41*U16/U15)</f>
        <v>32103096.220111027</v>
      </c>
      <c r="V42" s="553">
        <f t="shared" ref="V42:V44" si="36">IF(V15=0,V41*W16/W15,V41*V16/V15)</f>
        <v>24951878.009511389</v>
      </c>
      <c r="W42" s="553">
        <f t="shared" ref="W42:W44" si="37">IF(W15=0,W41*X16/X15,W41*W16/W15)</f>
        <v>45375708.59404248</v>
      </c>
      <c r="X42" s="553">
        <f t="shared" ref="X42:X44" si="38">IF(X15=0,X41*Y16/Y15,X41*X16/X15)</f>
        <v>1491305.4655172445</v>
      </c>
      <c r="Y42" s="553">
        <f t="shared" ref="Y42:Y44" si="39">IF(Y15=0,Y41*Z16/Z15,Y41*Y16/Y15)</f>
        <v>20971279.312532693</v>
      </c>
      <c r="Z42" s="553">
        <f t="shared" ref="Z42:Z44" si="40">IF(Z15=0,Z41*AA16/AA15,Z41*Z16/Z15)</f>
        <v>872793.42630692688</v>
      </c>
      <c r="AA42" s="553">
        <f t="shared" ref="AA42:AA44" si="41">IF(AA15=0,AA41*AB16/AB15,AA41*AA16/AA15)</f>
        <v>1305749.8350764574</v>
      </c>
      <c r="AB42" s="553">
        <f t="shared" ref="AB42:AB44" si="42">IF(AB15=0,AB41*AC16/AC15,AB41*AB16/AB15)</f>
        <v>4264745.5148724215</v>
      </c>
      <c r="AC42" s="553">
        <f t="shared" ref="AC42:AC44" si="43">IF(AC15=0,AC41*AD16/AD15,AC41*AC16/AC15)</f>
        <v>17698526.70378207</v>
      </c>
      <c r="AD42" s="553">
        <f t="shared" ref="AD42:AD44" si="44">IF(AD15=0,AD41*AE16/AE15,AD41*AD16/AD15)</f>
        <v>1919793.9986137324</v>
      </c>
      <c r="AE42" s="553">
        <f t="shared" ref="AE42:AE44" si="45">IF(AE15=0,AE41*AF16/AF15,AE41*AE16/AE15)</f>
        <v>2007845.4208496923</v>
      </c>
      <c r="AF42" s="554">
        <f t="shared" ref="AF42:AF44" si="46">IF(AF15=0,AF41*AG16/AG15,AF41*AF16/AF15)</f>
        <v>51259560.740270644</v>
      </c>
      <c r="AG42" s="436">
        <v>19</v>
      </c>
      <c r="AI42" s="174"/>
    </row>
    <row r="43" spans="1:35">
      <c r="A43" s="215" t="s">
        <v>937</v>
      </c>
      <c r="B43" s="232" t="s">
        <v>941</v>
      </c>
      <c r="C43" s="232">
        <v>2090</v>
      </c>
      <c r="D43" s="232" t="s">
        <v>939</v>
      </c>
      <c r="E43" s="553">
        <f t="shared" si="30"/>
        <v>48215255.792424001</v>
      </c>
      <c r="F43" s="553">
        <f t="shared" ref="F43:F44" si="47">IF(F16=0,F42*G17/G16,F42*F17/F16)</f>
        <v>707349608.10070884</v>
      </c>
      <c r="G43" s="553">
        <f t="shared" ref="G43:G44" si="48">IF(G16=0,G42*H17/H16,G42*G17/G16)</f>
        <v>56228293.149255745</v>
      </c>
      <c r="H43" s="553">
        <f t="shared" ref="H43:H44" si="49">IF(H16=0,H42*I17/I16,H42*H17/H16)</f>
        <v>16084969.584585184</v>
      </c>
      <c r="I43" s="553">
        <f t="shared" ref="I43:I44" si="50">IF(I16=0,I42*J17/J16,I42*I17/I16)</f>
        <v>4229505.208811922</v>
      </c>
      <c r="J43" s="553">
        <f t="shared" ref="J43:J44" si="51">IF(J16=0,J42*K17/K16,J42*J17/J16)</f>
        <v>2400134.0255836924</v>
      </c>
      <c r="K43" s="553">
        <f t="shared" ref="K43:K44" si="52">IF(K16=0,K42*L17/L16,K42*K17/K16)</f>
        <v>13648291.796189208</v>
      </c>
      <c r="L43" s="553">
        <f t="shared" ref="L43:L44" si="53">IF(L16=0,L42*M17/M16,L42*L17/L16)</f>
        <v>10190577.276676305</v>
      </c>
      <c r="M43" s="553">
        <f t="shared" ref="M43:M44" si="54">IF(M16=0,M42*N17/N16,M42*M17/M16)</f>
        <v>19648020.984543167</v>
      </c>
      <c r="N43" s="553">
        <f t="shared" ref="N43:N44" si="55">IF(N16=0,N42*O17/O16,N42*N17/N16)</f>
        <v>9730143.5588094089</v>
      </c>
      <c r="O43" s="553">
        <f t="shared" ref="O43:O44" si="56">IF(O16=0,O42*P17/P16,O42*O17/O16)</f>
        <v>4370751.5438984036</v>
      </c>
      <c r="P43" s="553">
        <f t="shared" si="31"/>
        <v>12441826.319467939</v>
      </c>
      <c r="Q43" s="553">
        <f t="shared" ref="Q43:Q44" si="57">IF(Q16=0,Q42*R17/R16,Q42*Q17/Q16)</f>
        <v>4164309.9492365266</v>
      </c>
      <c r="R43" s="553">
        <f t="shared" si="32"/>
        <v>3738141.1047712467</v>
      </c>
      <c r="S43" s="553">
        <f t="shared" si="33"/>
        <v>22683665.606445424</v>
      </c>
      <c r="T43" s="553">
        <f t="shared" si="34"/>
        <v>20217321.058765378</v>
      </c>
      <c r="U43" s="553">
        <f t="shared" si="35"/>
        <v>33873504.231474057</v>
      </c>
      <c r="V43" s="553">
        <f t="shared" si="36"/>
        <v>22195417.091550689</v>
      </c>
      <c r="W43" s="553">
        <f t="shared" si="37"/>
        <v>38822527.497769803</v>
      </c>
      <c r="X43" s="553">
        <f t="shared" si="38"/>
        <v>1297629.4310344856</v>
      </c>
      <c r="Y43" s="553">
        <f t="shared" si="39"/>
        <v>18386413.370648578</v>
      </c>
      <c r="Z43" s="553">
        <f t="shared" si="40"/>
        <v>968234.6090617897</v>
      </c>
      <c r="AA43" s="553">
        <f t="shared" si="41"/>
        <v>1169260.3052775254</v>
      </c>
      <c r="AB43" s="553">
        <f t="shared" si="42"/>
        <v>4875489.9610778065</v>
      </c>
      <c r="AC43" s="553">
        <f t="shared" si="43"/>
        <v>20307586.073102042</v>
      </c>
      <c r="AD43" s="553">
        <f t="shared" si="44"/>
        <v>1743244.3339131812</v>
      </c>
      <c r="AE43" s="553">
        <f t="shared" si="45"/>
        <v>1941119.5236179165</v>
      </c>
      <c r="AF43" s="554">
        <f t="shared" si="46"/>
        <v>49556072.938578308</v>
      </c>
      <c r="AG43" s="436">
        <v>19</v>
      </c>
      <c r="AI43" s="174"/>
    </row>
    <row r="44" spans="1:35" ht="16.2" thickBot="1">
      <c r="A44" s="449" t="s">
        <v>937</v>
      </c>
      <c r="B44" s="450" t="s">
        <v>941</v>
      </c>
      <c r="C44" s="450">
        <v>2100</v>
      </c>
      <c r="D44" s="450" t="s">
        <v>939</v>
      </c>
      <c r="E44" s="557">
        <f t="shared" si="30"/>
        <v>40874177.607658558</v>
      </c>
      <c r="F44" s="557">
        <f t="shared" si="47"/>
        <v>71741336.575760975</v>
      </c>
      <c r="G44" s="557">
        <f t="shared" si="48"/>
        <v>48463155.101418473</v>
      </c>
      <c r="H44" s="557">
        <f t="shared" si="49"/>
        <v>13668676.901784748</v>
      </c>
      <c r="I44" s="557">
        <f t="shared" si="50"/>
        <v>3993375.1971541136</v>
      </c>
      <c r="J44" s="557">
        <f t="shared" si="51"/>
        <v>2380754.9909417178</v>
      </c>
      <c r="K44" s="557">
        <f t="shared" si="52"/>
        <v>11473080.728565928</v>
      </c>
      <c r="L44" s="557">
        <f t="shared" si="53"/>
        <v>8822579.4328384101</v>
      </c>
      <c r="M44" s="557">
        <f t="shared" si="54"/>
        <v>18130665.877799332</v>
      </c>
      <c r="N44" s="557">
        <f t="shared" si="55"/>
        <v>9139295.0481323507</v>
      </c>
      <c r="O44" s="557">
        <f t="shared" si="56"/>
        <v>3822992.9350825497</v>
      </c>
      <c r="P44" s="557">
        <f t="shared" si="31"/>
        <v>10502735.962746125</v>
      </c>
      <c r="Q44" s="557">
        <f t="shared" si="57"/>
        <v>3847395.0854518483</v>
      </c>
      <c r="R44" s="557">
        <f t="shared" si="32"/>
        <v>3543258.5277341581</v>
      </c>
      <c r="S44" s="557">
        <f t="shared" si="33"/>
        <v>21273675.831312839</v>
      </c>
      <c r="T44" s="557">
        <f t="shared" si="34"/>
        <v>19283722.287958667</v>
      </c>
      <c r="U44" s="557">
        <f t="shared" si="35"/>
        <v>32073761.181723513</v>
      </c>
      <c r="V44" s="557">
        <f t="shared" si="36"/>
        <v>19742166.874565668</v>
      </c>
      <c r="W44" s="557">
        <f t="shared" si="37"/>
        <v>33440106.823605977</v>
      </c>
      <c r="X44" s="557">
        <f t="shared" si="38"/>
        <v>1142688.6034482783</v>
      </c>
      <c r="Y44" s="557">
        <f t="shared" si="39"/>
        <v>16183853.599288777</v>
      </c>
      <c r="Z44" s="557">
        <f t="shared" si="40"/>
        <v>885304.61473725387</v>
      </c>
      <c r="AA44" s="557">
        <f t="shared" si="41"/>
        <v>1041870.0774651911</v>
      </c>
      <c r="AB44" s="557">
        <f t="shared" si="42"/>
        <v>4489147.9442493552</v>
      </c>
      <c r="AC44" s="557">
        <f t="shared" si="43"/>
        <v>16311189.976509528</v>
      </c>
      <c r="AD44" s="557">
        <f t="shared" si="44"/>
        <v>1574352.0098344784</v>
      </c>
      <c r="AE44" s="557">
        <f t="shared" si="45"/>
        <v>1859852.3867667622</v>
      </c>
      <c r="AF44" s="558">
        <f t="shared" si="46"/>
        <v>47481352.596886486</v>
      </c>
      <c r="AG44" s="452">
        <v>19</v>
      </c>
      <c r="AI44" s="174"/>
    </row>
    <row r="45" spans="1:35">
      <c r="A45" s="215" t="s">
        <v>942</v>
      </c>
      <c r="B45" s="232" t="s">
        <v>938</v>
      </c>
      <c r="C45" s="232">
        <v>2019</v>
      </c>
      <c r="D45" s="232" t="s">
        <v>939</v>
      </c>
      <c r="E45" s="209">
        <f>MAGPIELink!E45</f>
        <v>492.14210534873104</v>
      </c>
      <c r="F45" s="209">
        <f>MAGPIELink!F45</f>
        <v>64.863369934056323</v>
      </c>
      <c r="G45" s="209">
        <f>MAGPIELink!G45</f>
        <v>487.75311720390317</v>
      </c>
      <c r="H45" s="209">
        <f>MAGPIELink!H45</f>
        <v>232.76368563348052</v>
      </c>
      <c r="I45" s="209">
        <f>MAGPIELink!I45</f>
        <v>397.15212252879837</v>
      </c>
      <c r="J45" s="209">
        <f>MAGPIELink!J45</f>
        <v>2416.0793462020051</v>
      </c>
      <c r="K45" s="209">
        <f>MAGPIELink!K45</f>
        <v>930.34185375882623</v>
      </c>
      <c r="L45" s="209">
        <f>MAGPIELink!L45</f>
        <v>1747.3923098144051</v>
      </c>
      <c r="M45" s="209">
        <f>MAGPIELink!M45</f>
        <v>6540.6070258238415</v>
      </c>
      <c r="N45" s="209">
        <f>MAGPIELink!N45</f>
        <v>511.77551902102527</v>
      </c>
      <c r="O45" s="209">
        <f>MAGPIELink!O45</f>
        <v>566.45658790534742</v>
      </c>
      <c r="P45" s="209">
        <f>MAGPIELink!P45</f>
        <v>5247.8262117338099</v>
      </c>
      <c r="Q45" s="209">
        <f>MAGPIELink!Q45</f>
        <v>3096.6602556300318</v>
      </c>
      <c r="R45" s="209">
        <f>MAGPIELink!R45</f>
        <v>2462.1330122619997</v>
      </c>
      <c r="S45" s="209">
        <f>MAGPIELink!S45</f>
        <v>2423.383111822774</v>
      </c>
      <c r="T45" s="209">
        <f>MAGPIELink!T45</f>
        <v>4513.1539888157267</v>
      </c>
      <c r="U45" s="209">
        <f>MAGPIELink!U45</f>
        <v>3335.5179768155845</v>
      </c>
      <c r="V45" s="209">
        <f>MAGPIELink!V45</f>
        <v>1899.0867067713789</v>
      </c>
      <c r="W45" s="209">
        <f>MAGPIELink!W45</f>
        <v>780.4198170743947</v>
      </c>
      <c r="X45" s="209">
        <f>MAGPIELink!X45</f>
        <v>3498.7741897954998</v>
      </c>
      <c r="Y45" s="209">
        <f>MAGPIELink!Y45</f>
        <v>8798.5206880717888</v>
      </c>
      <c r="Z45" s="209">
        <f>MAGPIELink!Z45</f>
        <v>5623.5348248553164</v>
      </c>
      <c r="AA45" s="209">
        <f>MAGPIELink!AA45</f>
        <v>65.670444173451045</v>
      </c>
      <c r="AB45" s="209">
        <f>MAGPIELink!AB45</f>
        <v>3748.6880047498425</v>
      </c>
      <c r="AC45" s="209">
        <f>MAGPIELink!AC45</f>
        <v>283.35738246463421</v>
      </c>
      <c r="AD45" s="209">
        <f>MAGPIELink!AD45</f>
        <v>4117.3468537135104</v>
      </c>
      <c r="AE45" s="209">
        <f>MAGPIELink!AE45</f>
        <v>3498.7741897954998</v>
      </c>
      <c r="AF45" s="220">
        <f>MAGPIELink!AF45</f>
        <v>4114.9864439136054</v>
      </c>
      <c r="AG45" s="436">
        <v>19</v>
      </c>
    </row>
    <row r="46" spans="1:35">
      <c r="A46" s="215" t="s">
        <v>942</v>
      </c>
      <c r="B46" s="232" t="s">
        <v>938</v>
      </c>
      <c r="C46">
        <v>2020</v>
      </c>
      <c r="D46" s="232" t="s">
        <v>939</v>
      </c>
      <c r="E46" s="209">
        <f>MAGPIELink!E46</f>
        <v>492.14210534873104</v>
      </c>
      <c r="F46" s="209">
        <f>MAGPIELink!F46</f>
        <v>64.863369934056323</v>
      </c>
      <c r="G46" s="209">
        <f>MAGPIELink!G46</f>
        <v>487.75311720390317</v>
      </c>
      <c r="H46" s="209">
        <f>MAGPIELink!H46</f>
        <v>232.76368563348052</v>
      </c>
      <c r="I46" s="209">
        <f>MAGPIELink!I46</f>
        <v>397.15212252879837</v>
      </c>
      <c r="J46" s="209">
        <f>MAGPIELink!J46</f>
        <v>2416.0793462020051</v>
      </c>
      <c r="K46" s="209">
        <f>MAGPIELink!K46</f>
        <v>930.34185375882623</v>
      </c>
      <c r="L46" s="209">
        <f>MAGPIELink!L46</f>
        <v>1747.3923098144051</v>
      </c>
      <c r="M46" s="209">
        <f>MAGPIELink!M46</f>
        <v>6540.6070258238415</v>
      </c>
      <c r="N46" s="209">
        <f>MAGPIELink!N46</f>
        <v>511.77551902102527</v>
      </c>
      <c r="O46" s="209">
        <f>MAGPIELink!O46</f>
        <v>566.45658790534742</v>
      </c>
      <c r="P46" s="209">
        <f>MAGPIELink!P46</f>
        <v>5247.8262117338099</v>
      </c>
      <c r="Q46" s="209">
        <f>MAGPIELink!Q46</f>
        <v>3096.6602556300318</v>
      </c>
      <c r="R46" s="209">
        <f>MAGPIELink!R46</f>
        <v>2462.1330122619997</v>
      </c>
      <c r="S46" s="209">
        <f>MAGPIELink!S46</f>
        <v>2423.383111822774</v>
      </c>
      <c r="T46" s="209">
        <f>MAGPIELink!T46</f>
        <v>4513.1539888157267</v>
      </c>
      <c r="U46" s="209">
        <f>MAGPIELink!U46</f>
        <v>3335.5179768155845</v>
      </c>
      <c r="V46" s="209">
        <f>MAGPIELink!V46</f>
        <v>1899.0867067713789</v>
      </c>
      <c r="W46" s="209">
        <f>MAGPIELink!W46</f>
        <v>780.4198170743947</v>
      </c>
      <c r="X46" s="209">
        <f>MAGPIELink!X46</f>
        <v>3498.7741897954998</v>
      </c>
      <c r="Y46" s="209">
        <f>MAGPIELink!Y46</f>
        <v>8798.5206880717888</v>
      </c>
      <c r="Z46" s="209">
        <f>MAGPIELink!Z46</f>
        <v>5623.5348248553164</v>
      </c>
      <c r="AA46" s="209">
        <f>MAGPIELink!AA46</f>
        <v>65.670444173451045</v>
      </c>
      <c r="AB46" s="209">
        <f>MAGPIELink!AB46</f>
        <v>3748.6880047498425</v>
      </c>
      <c r="AC46" s="209">
        <f>MAGPIELink!AC46</f>
        <v>283.35738246463421</v>
      </c>
      <c r="AD46" s="209">
        <f>MAGPIELink!AD46</f>
        <v>4117.3468537135104</v>
      </c>
      <c r="AE46" s="209">
        <f>MAGPIELink!AE46</f>
        <v>3498.7741897954998</v>
      </c>
      <c r="AF46" s="220">
        <f>MAGPIELink!AF46</f>
        <v>4114.9864439136054</v>
      </c>
      <c r="AG46" s="436">
        <v>19</v>
      </c>
      <c r="AI46" s="174"/>
    </row>
    <row r="47" spans="1:35">
      <c r="A47" s="215" t="s">
        <v>942</v>
      </c>
      <c r="B47" s="232" t="s">
        <v>938</v>
      </c>
      <c r="C47" s="232">
        <v>2025</v>
      </c>
      <c r="D47" s="232" t="s">
        <v>939</v>
      </c>
      <c r="E47" s="209">
        <f>MAGPIELink!E47</f>
        <v>1161.5832366146421</v>
      </c>
      <c r="F47" s="209">
        <f>MAGPIELink!F47</f>
        <v>64.793154001014216</v>
      </c>
      <c r="G47" s="209">
        <f>MAGPIELink!G47</f>
        <v>1153.8853355920578</v>
      </c>
      <c r="H47" s="209">
        <f>MAGPIELink!H47</f>
        <v>551.54658868829472</v>
      </c>
      <c r="I47" s="209">
        <f>MAGPIELink!I47</f>
        <v>1010.0879279784103</v>
      </c>
      <c r="J47" s="209">
        <f>MAGPIELink!J47</f>
        <v>3343.3738926054739</v>
      </c>
      <c r="K47" s="209">
        <f>MAGPIELink!K47</f>
        <v>1644.8595060904893</v>
      </c>
      <c r="L47" s="209">
        <f>MAGPIELink!L47</f>
        <v>3088.5071513202474</v>
      </c>
      <c r="M47" s="209">
        <f>MAGPIELink!M47</f>
        <v>16346.43254214921</v>
      </c>
      <c r="N47" s="209">
        <f>MAGPIELink!N47</f>
        <v>1301.8334245955211</v>
      </c>
      <c r="O47" s="209">
        <f>MAGPIELink!O47</f>
        <v>1415.6457501827579</v>
      </c>
      <c r="P47" s="209">
        <f>MAGPIELink!P47</f>
        <v>9581.5851146720524</v>
      </c>
      <c r="Q47" s="209">
        <f>MAGPIELink!Q47</f>
        <v>4452.0904687250577</v>
      </c>
      <c r="R47" s="209">
        <f>MAGPIELink!R47</f>
        <v>6733.1232569748945</v>
      </c>
      <c r="S47" s="209">
        <f>MAGPIELink!S47</f>
        <v>8642.5595874562114</v>
      </c>
      <c r="T47" s="209">
        <f>MAGPIELink!T47</f>
        <v>16089.037909963155</v>
      </c>
      <c r="U47" s="209">
        <f>MAGPIELink!U47</f>
        <v>11868.857041601685</v>
      </c>
      <c r="V47" s="209">
        <f>MAGPIELink!V47</f>
        <v>3356.8747886384945</v>
      </c>
      <c r="W47" s="209">
        <f>MAGPIELink!W47</f>
        <v>1779.1541894746579</v>
      </c>
      <c r="X47" s="209">
        <f>MAGPIELink!X47</f>
        <v>5468.8848413530004</v>
      </c>
      <c r="Y47" s="209">
        <f>MAGPIELink!Y47</f>
        <v>21988.905846869315</v>
      </c>
      <c r="Z47" s="209">
        <f>MAGPIELink!Z47</f>
        <v>8594.2301541347351</v>
      </c>
      <c r="AA47" s="209">
        <f>MAGPIELink!AA47</f>
        <v>65.598453175090526</v>
      </c>
      <c r="AB47" s="209">
        <f>MAGPIELink!AB47</f>
        <v>9368.5393827704211</v>
      </c>
      <c r="AC47" s="209">
        <f>MAGPIELink!AC47</f>
        <v>670.86179231144206</v>
      </c>
      <c r="AD47" s="209">
        <f>MAGPIELink!AD47</f>
        <v>5602.9010705865267</v>
      </c>
      <c r="AE47" s="209">
        <f>MAGPIELink!AE47</f>
        <v>5468.8848413530004</v>
      </c>
      <c r="AF47" s="220">
        <f>MAGPIELink!AF47</f>
        <v>7387.1361453263689</v>
      </c>
      <c r="AG47" s="436">
        <v>19</v>
      </c>
      <c r="AI47" s="174"/>
    </row>
    <row r="48" spans="1:35">
      <c r="A48" s="215" t="s">
        <v>942</v>
      </c>
      <c r="B48" s="232" t="s">
        <v>938</v>
      </c>
      <c r="C48" s="232">
        <v>2030</v>
      </c>
      <c r="D48" s="232" t="s">
        <v>939</v>
      </c>
      <c r="E48" s="209">
        <f>MAGPIELink!E48</f>
        <v>4202.0523305057532</v>
      </c>
      <c r="F48" s="209">
        <f>MAGPIELink!F48</f>
        <v>3350.7028297136158</v>
      </c>
      <c r="G48" s="209">
        <f>MAGPIELink!G48</f>
        <v>3530.8891383533369</v>
      </c>
      <c r="H48" s="209">
        <f>MAGPIELink!H48</f>
        <v>1688.9036184800107</v>
      </c>
      <c r="I48" s="209">
        <f>MAGPIELink!I48</f>
        <v>3621.7924661740476</v>
      </c>
      <c r="J48" s="209">
        <f>MAGPIELink!J48</f>
        <v>3385.8086483669949</v>
      </c>
      <c r="K48" s="209">
        <f>MAGPIELink!K48</f>
        <v>1698.9633770377156</v>
      </c>
      <c r="L48" s="209">
        <f>MAGPIELink!L48</f>
        <v>3189.9549275312843</v>
      </c>
      <c r="M48" s="209">
        <f>MAGPIELink!M48</f>
        <v>14316.447008100791</v>
      </c>
      <c r="N48" s="209">
        <f>MAGPIELink!N48</f>
        <v>4668.1022398291843</v>
      </c>
      <c r="O48" s="209">
        <f>MAGPIELink!O48</f>
        <v>1239.8651816644422</v>
      </c>
      <c r="P48" s="209">
        <f>MAGPIELink!P48</f>
        <v>10915.162772852369</v>
      </c>
      <c r="Q48" s="209">
        <f>MAGPIELink!Q48</f>
        <v>4171.7075703475211</v>
      </c>
      <c r="R48" s="209">
        <f>MAGPIELink!R48</f>
        <v>3398.1029281141268</v>
      </c>
      <c r="S48" s="209">
        <f>MAGPIELink!S48</f>
        <v>3456.8662035282528</v>
      </c>
      <c r="T48" s="209">
        <f>MAGPIELink!T48</f>
        <v>6437.2696605975261</v>
      </c>
      <c r="U48" s="209">
        <f>MAGPIELink!U48</f>
        <v>4756.2847707366527</v>
      </c>
      <c r="V48" s="209">
        <f>MAGPIELink!V48</f>
        <v>3467.2556564244373</v>
      </c>
      <c r="W48" s="209">
        <f>MAGPIELink!W48</f>
        <v>8795.8276683669465</v>
      </c>
      <c r="X48" s="209">
        <f>MAGPIELink!X48</f>
        <v>6430.7830658226048</v>
      </c>
      <c r="Y48" s="209">
        <f>MAGPIELink!Y48</f>
        <v>19258.777568593898</v>
      </c>
      <c r="Z48" s="209">
        <f>MAGPIELink!Z48</f>
        <v>8264.9380492734217</v>
      </c>
      <c r="AA48" s="209">
        <f>MAGPIELink!AA48</f>
        <v>3457.3666098669</v>
      </c>
      <c r="AB48" s="209">
        <f>MAGPIELink!AB48</f>
        <v>8205.1008818322625</v>
      </c>
      <c r="AC48" s="209">
        <f>MAGPIELink!AC48</f>
        <v>2053.6823301348632</v>
      </c>
      <c r="AD48" s="209">
        <f>MAGPIELink!AD48</f>
        <v>5665.2013601030521</v>
      </c>
      <c r="AE48" s="209">
        <f>MAGPIELink!AE48</f>
        <v>6430.7830658226048</v>
      </c>
      <c r="AF48" s="220">
        <f>MAGPIELink!AF48</f>
        <v>15213.875247335947</v>
      </c>
      <c r="AG48" s="436">
        <v>19</v>
      </c>
      <c r="AI48" s="174"/>
    </row>
    <row r="49" spans="1:35">
      <c r="A49" s="215" t="s">
        <v>942</v>
      </c>
      <c r="B49" s="232" t="s">
        <v>938</v>
      </c>
      <c r="C49" s="232">
        <v>2035</v>
      </c>
      <c r="D49" s="232" t="s">
        <v>939</v>
      </c>
      <c r="E49" s="209">
        <f>MAGPIELink!E49</f>
        <v>3980.0821553568162</v>
      </c>
      <c r="F49" s="209">
        <f>MAGPIELink!F49</f>
        <v>3186.9294893915421</v>
      </c>
      <c r="G49" s="209">
        <f>MAGPIELink!G49</f>
        <v>3341.8586334142897</v>
      </c>
      <c r="H49" s="209">
        <f>MAGPIELink!H49</f>
        <v>1598.4851061379156</v>
      </c>
      <c r="I49" s="209">
        <f>MAGPIELink!I49</f>
        <v>3371.0372667821953</v>
      </c>
      <c r="J49" s="209">
        <f>MAGPIELink!J49</f>
        <v>3373.1967308228627</v>
      </c>
      <c r="K49" s="209">
        <f>MAGPIELink!K49</f>
        <v>1676.2694983193949</v>
      </c>
      <c r="L49" s="209">
        <f>MAGPIELink!L49</f>
        <v>3178.3686116349108</v>
      </c>
      <c r="M49" s="209">
        <f>MAGPIELink!M49</f>
        <v>9967.8831061652618</v>
      </c>
      <c r="N49" s="209">
        <f>MAGPIELink!N49</f>
        <v>4344.8992815899046</v>
      </c>
      <c r="O49" s="209">
        <f>MAGPIELink!O49</f>
        <v>863.27925869189471</v>
      </c>
      <c r="P49" s="209">
        <f>MAGPIELink!P49</f>
        <v>16785.380111287315</v>
      </c>
      <c r="Q49" s="209">
        <f>MAGPIELink!Q49</f>
        <v>4100.7121072792579</v>
      </c>
      <c r="R49" s="209">
        <f>MAGPIELink!R49</f>
        <v>3104.0047026857997</v>
      </c>
      <c r="S49" s="209">
        <f>MAGPIELink!S49</f>
        <v>3043.3952162176947</v>
      </c>
      <c r="T49" s="209">
        <f>MAGPIELink!T49</f>
        <v>5667.5693632773682</v>
      </c>
      <c r="U49" s="209">
        <f>MAGPIELink!U49</f>
        <v>4188.7766377632524</v>
      </c>
      <c r="V49" s="209">
        <f>MAGPIELink!V49</f>
        <v>3420.9780225777422</v>
      </c>
      <c r="W49" s="209">
        <f>MAGPIELink!W49</f>
        <v>8949.6395170597898</v>
      </c>
      <c r="X49" s="209">
        <f>MAGPIELink!X49</f>
        <v>6376.2736428578946</v>
      </c>
      <c r="Y49" s="209">
        <f>MAGPIELink!Y49</f>
        <v>13409.315386135422</v>
      </c>
      <c r="Z49" s="209">
        <f>MAGPIELink!Z49</f>
        <v>7967.387342806579</v>
      </c>
      <c r="AA49" s="209">
        <f>MAGPIELink!AA49</f>
        <v>3288.3845358169424</v>
      </c>
      <c r="AB49" s="209">
        <f>MAGPIELink!AB49</f>
        <v>5712.931499340526</v>
      </c>
      <c r="AC49" s="209">
        <f>MAGPIELink!AC49</f>
        <v>1943.7420398016368</v>
      </c>
      <c r="AD49" s="209">
        <f>MAGPIELink!AD49</f>
        <v>5648.5560414251577</v>
      </c>
      <c r="AE49" s="209">
        <f>MAGPIELink!AE49</f>
        <v>6376.2736428578946</v>
      </c>
      <c r="AF49" s="220">
        <f>MAGPIELink!AF49</f>
        <v>14183.959292232736</v>
      </c>
      <c r="AG49" s="436">
        <v>19</v>
      </c>
      <c r="AI49" s="174"/>
    </row>
    <row r="50" spans="1:35">
      <c r="A50" s="215" t="s">
        <v>942</v>
      </c>
      <c r="B50" s="232" t="s">
        <v>938</v>
      </c>
      <c r="C50" s="232">
        <v>2040</v>
      </c>
      <c r="D50" s="232" t="s">
        <v>939</v>
      </c>
      <c r="E50" s="209">
        <f>MAGPIELink!E50</f>
        <v>4187.3201076987152</v>
      </c>
      <c r="F50" s="209">
        <f>MAGPIELink!F50</f>
        <v>3061.6613201106684</v>
      </c>
      <c r="G50" s="209">
        <f>MAGPIELink!G50</f>
        <v>3572.3598653476524</v>
      </c>
      <c r="H50" s="209">
        <f>MAGPIELink!H50</f>
        <v>1708.8206563938472</v>
      </c>
      <c r="I50" s="209">
        <f>MAGPIELink!I50</f>
        <v>3186.4479595540051</v>
      </c>
      <c r="J50" s="209">
        <f>MAGPIELink!J50</f>
        <v>3380.2419422223998</v>
      </c>
      <c r="K50" s="209">
        <f>MAGPIELink!K50</f>
        <v>1755.0329409156313</v>
      </c>
      <c r="L50" s="209">
        <f>MAGPIELink!L50</f>
        <v>3294.9767065982364</v>
      </c>
      <c r="M50" s="209">
        <f>MAGPIELink!M50</f>
        <v>8339.4091632588952</v>
      </c>
      <c r="N50" s="209">
        <f>MAGPIELink!N50</f>
        <v>4106.9820404034735</v>
      </c>
      <c r="O50" s="209">
        <f>MAGPIELink!O50</f>
        <v>722.24643440750526</v>
      </c>
      <c r="P50" s="209">
        <f>MAGPIELink!P50</f>
        <v>35188.64757785837</v>
      </c>
      <c r="Q50" s="209">
        <f>MAGPIELink!Q50</f>
        <v>4025.9561917879159</v>
      </c>
      <c r="R50" s="209">
        <f>MAGPIELink!R50</f>
        <v>2618.4994846123313</v>
      </c>
      <c r="S50" s="209">
        <f>MAGPIELink!S50</f>
        <v>2320.2036756919733</v>
      </c>
      <c r="T50" s="209">
        <f>MAGPIELink!T50</f>
        <v>4321.5488925389</v>
      </c>
      <c r="U50" s="209">
        <f>MAGPIELink!U50</f>
        <v>3196.6171833132844</v>
      </c>
      <c r="V50" s="209">
        <f>MAGPIELink!V50</f>
        <v>3581.6428839100736</v>
      </c>
      <c r="W50" s="209">
        <f>MAGPIELink!W50</f>
        <v>9223.6129273509996</v>
      </c>
      <c r="X50" s="209">
        <f>MAGPIELink!X50</f>
        <v>6079.2313258373952</v>
      </c>
      <c r="Y50" s="209">
        <f>MAGPIELink!Y50</f>
        <v>11218.668621390105</v>
      </c>
      <c r="Z50" s="209">
        <f>MAGPIELink!Z50</f>
        <v>7651.2513881329478</v>
      </c>
      <c r="AA50" s="209">
        <f>MAGPIELink!AA50</f>
        <v>3159.1487629823155</v>
      </c>
      <c r="AB50" s="209">
        <f>MAGPIELink!AB50</f>
        <v>4779.5683868656006</v>
      </c>
      <c r="AC50" s="209">
        <f>MAGPIELink!AC50</f>
        <v>2077.8776111450843</v>
      </c>
      <c r="AD50" s="209">
        <f>MAGPIELink!AD50</f>
        <v>5640.343724389737</v>
      </c>
      <c r="AE50" s="209">
        <f>MAGPIELink!AE50</f>
        <v>6079.2313258373952</v>
      </c>
      <c r="AF50" s="220">
        <f>MAGPIELink!AF50</f>
        <v>16953.610741229895</v>
      </c>
      <c r="AG50" s="436">
        <v>19</v>
      </c>
      <c r="AI50" s="174"/>
    </row>
    <row r="51" spans="1:35">
      <c r="A51" s="215" t="s">
        <v>942</v>
      </c>
      <c r="B51" s="232" t="s">
        <v>938</v>
      </c>
      <c r="C51" s="232">
        <v>2045</v>
      </c>
      <c r="D51" s="232" t="s">
        <v>939</v>
      </c>
      <c r="E51" s="209">
        <f>MAGPIELink!E51</f>
        <v>7031.2925089436312</v>
      </c>
      <c r="F51" s="209">
        <f>MAGPIELink!F51</f>
        <v>3096.1259077705104</v>
      </c>
      <c r="G51" s="209">
        <f>MAGPIELink!G51</f>
        <v>6395.3857393344206</v>
      </c>
      <c r="H51" s="209">
        <f>MAGPIELink!H51</f>
        <v>3059.5986640060682</v>
      </c>
      <c r="I51" s="209">
        <f>MAGPIELink!I51</f>
        <v>3190.6876285932526</v>
      </c>
      <c r="J51" s="209">
        <f>MAGPIELink!J51</f>
        <v>3618.9216048748581</v>
      </c>
      <c r="K51" s="209">
        <f>MAGPIELink!K51</f>
        <v>2719.839634269405</v>
      </c>
      <c r="L51" s="209">
        <f>MAGPIELink!L51</f>
        <v>5105.8396979289519</v>
      </c>
      <c r="M51" s="209">
        <f>MAGPIELink!M51</f>
        <v>13864.42866938716</v>
      </c>
      <c r="N51" s="209">
        <f>MAGPIELink!N51</f>
        <v>4112.4585019229735</v>
      </c>
      <c r="O51" s="209">
        <f>MAGPIELink!O51</f>
        <v>1200.7092488603737</v>
      </c>
      <c r="P51" s="209">
        <f>MAGPIELink!P51</f>
        <v>76887.667307685784</v>
      </c>
      <c r="Q51" s="209">
        <f>MAGPIELink!Q51</f>
        <v>4121.7175886305413</v>
      </c>
      <c r="R51" s="209">
        <f>MAGPIELink!R51</f>
        <v>2460.3304922799689</v>
      </c>
      <c r="S51" s="209">
        <f>MAGPIELink!S51</f>
        <v>2027.5703237727314</v>
      </c>
      <c r="T51" s="209">
        <f>MAGPIELink!T51</f>
        <v>3776.9755831569369</v>
      </c>
      <c r="U51" s="209">
        <f>MAGPIELink!U51</f>
        <v>2795.649334859821</v>
      </c>
      <c r="V51" s="209">
        <f>MAGPIELink!V51</f>
        <v>5550.109186475579</v>
      </c>
      <c r="W51" s="209">
        <f>MAGPIELink!W51</f>
        <v>10666.872649050947</v>
      </c>
      <c r="X51" s="209">
        <f>MAGPIELink!X51</f>
        <v>6410.3388699104207</v>
      </c>
      <c r="Y51" s="209">
        <f>MAGPIELink!Y51</f>
        <v>18650.638812291581</v>
      </c>
      <c r="Z51" s="209">
        <f>MAGPIELink!Z51</f>
        <v>7759.6624553399479</v>
      </c>
      <c r="AA51" s="209">
        <f>MAGPIELink!AA51</f>
        <v>3194.6922245978421</v>
      </c>
      <c r="AB51" s="209">
        <f>MAGPIELink!AB51</f>
        <v>7946.0442078213155</v>
      </c>
      <c r="AC51" s="209">
        <f>MAGPIELink!AC51</f>
        <v>3720.165496557247</v>
      </c>
      <c r="AD51" s="209">
        <f>MAGPIELink!AD51</f>
        <v>5813.872232711421</v>
      </c>
      <c r="AE51" s="209">
        <f>MAGPIELink!AE51</f>
        <v>6410.3388699104207</v>
      </c>
      <c r="AF51" s="220">
        <f>MAGPIELink!AF51</f>
        <v>33011.762288664053</v>
      </c>
      <c r="AG51" s="436">
        <v>19</v>
      </c>
      <c r="AI51" s="174"/>
    </row>
    <row r="52" spans="1:35">
      <c r="A52" s="215" t="s">
        <v>942</v>
      </c>
      <c r="B52" s="232" t="s">
        <v>938</v>
      </c>
      <c r="C52" s="232">
        <v>2050</v>
      </c>
      <c r="D52" s="232" t="s">
        <v>939</v>
      </c>
      <c r="E52" s="209">
        <f>MAGPIELink!E52</f>
        <v>17511.248288221526</v>
      </c>
      <c r="F52" s="209">
        <f>MAGPIELink!F52</f>
        <v>3248.3721892732319</v>
      </c>
      <c r="G52" s="209">
        <f>MAGPIELink!G52</f>
        <v>16793.323999237473</v>
      </c>
      <c r="H52" s="209">
        <f>MAGPIELink!H52</f>
        <v>8034.6548055128951</v>
      </c>
      <c r="I52" s="209">
        <f>MAGPIELink!I52</f>
        <v>3302.6071545063528</v>
      </c>
      <c r="J52" s="209">
        <f>MAGPIELink!J52</f>
        <v>4379.4079744463261</v>
      </c>
      <c r="K52" s="209">
        <f>MAGPIELink!K52</f>
        <v>6637.768699825474</v>
      </c>
      <c r="L52" s="209">
        <f>MAGPIELink!L52</f>
        <v>12459.955435858526</v>
      </c>
      <c r="M52" s="209">
        <f>MAGPIELink!M52</f>
        <v>30202.985761647364</v>
      </c>
      <c r="N52" s="209">
        <f>MAGPIELink!N52</f>
        <v>4256.7102193871524</v>
      </c>
      <c r="O52" s="209">
        <f>MAGPIELink!O52</f>
        <v>2615.5850882586001</v>
      </c>
      <c r="P52" s="209">
        <f>MAGPIELink!P52</f>
        <v>148747.6044752679</v>
      </c>
      <c r="Q52" s="209">
        <f>MAGPIELink!Q52</f>
        <v>4432.9472550803839</v>
      </c>
      <c r="R52" s="209">
        <f>MAGPIELink!R52</f>
        <v>2965.4807066400685</v>
      </c>
      <c r="S52" s="209">
        <f>MAGPIELink!S52</f>
        <v>2657.8685410453945</v>
      </c>
      <c r="T52" s="209">
        <f>MAGPIELink!T52</f>
        <v>4950.2838444197478</v>
      </c>
      <c r="U52" s="209">
        <f>MAGPIELink!U52</f>
        <v>3661.3299255309416</v>
      </c>
      <c r="V52" s="209">
        <f>MAGPIELink!V52</f>
        <v>13543.938154953476</v>
      </c>
      <c r="W52" s="209">
        <f>MAGPIELink!W52</f>
        <v>14246.343748704894</v>
      </c>
      <c r="X52" s="209">
        <f>MAGPIELink!X52</f>
        <v>9282.4098607409742</v>
      </c>
      <c r="Y52" s="209">
        <f>MAGPIELink!Y52</f>
        <v>40628.319430160838</v>
      </c>
      <c r="Z52" s="209">
        <f>MAGPIELink!Z52</f>
        <v>8504.5431608810541</v>
      </c>
      <c r="AA52" s="209">
        <f>MAGPIELink!AA52</f>
        <v>3351.7801081784683</v>
      </c>
      <c r="AB52" s="209">
        <f>MAGPIELink!AB52</f>
        <v>17309.834851011739</v>
      </c>
      <c r="AC52" s="209">
        <f>MAGPIELink!AC52</f>
        <v>9769.0498033173153</v>
      </c>
      <c r="AD52" s="209">
        <f>MAGPIELink!AD52</f>
        <v>6140.9448707979473</v>
      </c>
      <c r="AE52" s="209">
        <f>MAGPIELink!AE52</f>
        <v>9282.4098607409742</v>
      </c>
      <c r="AF52" s="220">
        <f>MAGPIELink!AF52</f>
        <v>74263.411946868422</v>
      </c>
      <c r="AG52" s="436">
        <v>19</v>
      </c>
      <c r="AI52" s="174"/>
    </row>
    <row r="53" spans="1:35">
      <c r="A53" s="215" t="s">
        <v>942</v>
      </c>
      <c r="B53" s="232" t="s">
        <v>938</v>
      </c>
      <c r="C53" s="232">
        <v>2060</v>
      </c>
      <c r="D53" s="232" t="s">
        <v>939</v>
      </c>
      <c r="E53" s="209">
        <f>MAGPIELink!E53</f>
        <v>82927.411198218411</v>
      </c>
      <c r="F53" s="209">
        <f>MAGPIELink!F53</f>
        <v>3542.0374973682101</v>
      </c>
      <c r="G53" s="209">
        <f>MAGPIELink!G53</f>
        <v>81824.858723926853</v>
      </c>
      <c r="H53" s="209">
        <f>MAGPIELink!H53</f>
        <v>39150.142509942423</v>
      </c>
      <c r="I53" s="209">
        <f>MAGPIELink!I53</f>
        <v>2664.6846188826212</v>
      </c>
      <c r="J53" s="209">
        <f>MAGPIELink!J53</f>
        <v>8248.5639841492102</v>
      </c>
      <c r="K53" s="209">
        <f>MAGPIELink!K53</f>
        <v>33330.729424166318</v>
      </c>
      <c r="L53" s="209">
        <f>MAGPIELink!L53</f>
        <v>62564.470631724726</v>
      </c>
      <c r="M53" s="209">
        <f>MAGPIELink!M53</f>
        <v>90344.180632835269</v>
      </c>
      <c r="N53" s="209">
        <f>MAGPIELink!N53</f>
        <v>3434.4721856462215</v>
      </c>
      <c r="O53" s="209">
        <f>MAGPIELink!O53</f>
        <v>7823.8021295763683</v>
      </c>
      <c r="P53" s="209">
        <f>MAGPIELink!P53</f>
        <v>359853.54204988579</v>
      </c>
      <c r="Q53" s="209">
        <f>MAGPIELink!Q53</f>
        <v>5020.7653483051045</v>
      </c>
      <c r="R53" s="209">
        <f>MAGPIELink!R53</f>
        <v>8661.9796519223673</v>
      </c>
      <c r="S53" s="209">
        <f>MAGPIELink!S53</f>
        <v>11367.173584905368</v>
      </c>
      <c r="T53" s="209">
        <f>MAGPIELink!T53</f>
        <v>21160.539186878683</v>
      </c>
      <c r="U53" s="209">
        <f>MAGPIELink!U53</f>
        <v>15607.944647474947</v>
      </c>
      <c r="V53" s="209">
        <f>MAGPIELink!V53</f>
        <v>68006.712106290535</v>
      </c>
      <c r="W53" s="209">
        <f>MAGPIELink!W53</f>
        <v>19408.882829442315</v>
      </c>
      <c r="X53" s="209">
        <f>MAGPIELink!X53</f>
        <v>21619.011146940156</v>
      </c>
      <c r="Y53" s="209">
        <f>MAGPIELink!Y53</f>
        <v>121526.77329698209</v>
      </c>
      <c r="Z53" s="209">
        <f>MAGPIELink!Z53</f>
        <v>11142.758975774632</v>
      </c>
      <c r="AA53" s="209">
        <f>MAGPIELink!AA53</f>
        <v>3654.8053205734313</v>
      </c>
      <c r="AB53" s="209">
        <f>MAGPIELink!AB53</f>
        <v>51777.434827361896</v>
      </c>
      <c r="AC53" s="209">
        <f>MAGPIELink!AC53</f>
        <v>47600.257581781851</v>
      </c>
      <c r="AD53" s="209">
        <f>MAGPIELink!AD53</f>
        <v>5997.0173621784215</v>
      </c>
      <c r="AE53" s="209">
        <f>MAGPIELink!AE53</f>
        <v>21619.011146940156</v>
      </c>
      <c r="AF53" s="220">
        <f>MAGPIELink!AF53</f>
        <v>245384.91301196843</v>
      </c>
      <c r="AG53" s="436">
        <v>19</v>
      </c>
      <c r="AI53" s="174"/>
    </row>
    <row r="54" spans="1:35">
      <c r="A54" s="215" t="s">
        <v>942</v>
      </c>
      <c r="B54" s="232" t="s">
        <v>938</v>
      </c>
      <c r="C54" s="232">
        <v>2070</v>
      </c>
      <c r="D54" s="232" t="s">
        <v>939</v>
      </c>
      <c r="E54" s="209">
        <f>MAGPIELink!E54</f>
        <v>189194.34674547156</v>
      </c>
      <c r="F54" s="209">
        <f>MAGPIELink!F54</f>
        <v>4536.0340289462938</v>
      </c>
      <c r="G54" s="209">
        <f>MAGPIELink!G54</f>
        <v>187366.8431076</v>
      </c>
      <c r="H54" s="209">
        <f>MAGPIELink!H54</f>
        <v>89648.308707458418</v>
      </c>
      <c r="I54" s="209">
        <f>MAGPIELink!I54</f>
        <v>977.40983873688424</v>
      </c>
      <c r="J54" s="209">
        <f>MAGPIELink!J54</f>
        <v>14385.107842402527</v>
      </c>
      <c r="K54" s="209">
        <f>MAGPIELink!K54</f>
        <v>83573.108626393689</v>
      </c>
      <c r="L54" s="209">
        <f>MAGPIELink!L54</f>
        <v>156873.02760581052</v>
      </c>
      <c r="M54" s="209">
        <f>MAGPIELink!M54</f>
        <v>152049.93390128895</v>
      </c>
      <c r="N54" s="209">
        <f>MAGPIELink!N54</f>
        <v>1259.7118362343315</v>
      </c>
      <c r="O54" s="209">
        <f>MAGPIELink!O54</f>
        <v>13167.519131768262</v>
      </c>
      <c r="P54" s="209">
        <f>MAGPIELink!P54</f>
        <v>541126.1130286</v>
      </c>
      <c r="Q54" s="209">
        <f>MAGPIELink!Q54</f>
        <v>4578.3952929532898</v>
      </c>
      <c r="R54" s="209">
        <f>MAGPIELink!R54</f>
        <v>18362.082884016894</v>
      </c>
      <c r="S54" s="209">
        <f>MAGPIELink!S54</f>
        <v>26889.95089905526</v>
      </c>
      <c r="T54" s="209">
        <f>MAGPIELink!T54</f>
        <v>50051.194961432528</v>
      </c>
      <c r="U54" s="209">
        <f>MAGPIELink!U54</f>
        <v>36895.001302181736</v>
      </c>
      <c r="V54" s="209">
        <f>MAGPIELink!V54</f>
        <v>170518.35206432053</v>
      </c>
      <c r="W54" s="209">
        <f>MAGPIELink!W54</f>
        <v>7650.679342820421</v>
      </c>
      <c r="X54" s="209">
        <f>MAGPIELink!X54</f>
        <v>29127.072402433947</v>
      </c>
      <c r="Y54" s="209">
        <f>MAGPIELink!Y54</f>
        <v>204529.60816707314</v>
      </c>
      <c r="Z54" s="209">
        <f>MAGPIELink!Z54</f>
        <v>13435.988004935212</v>
      </c>
      <c r="AA54" s="209">
        <f>MAGPIELink!AA54</f>
        <v>4680.3354692921257</v>
      </c>
      <c r="AB54" s="209">
        <f>MAGPIELink!AB54</f>
        <v>87141.715014543166</v>
      </c>
      <c r="AC54" s="209">
        <f>MAGPIELink!AC54</f>
        <v>108997.83927712632</v>
      </c>
      <c r="AD54" s="209">
        <f>MAGPIELink!AD54</f>
        <v>3653.5695343071529</v>
      </c>
      <c r="AE54" s="209">
        <f>MAGPIELink!AE54</f>
        <v>29127.072402433947</v>
      </c>
      <c r="AF54" s="220">
        <f>MAGPIELink!AF54</f>
        <v>433893.2188777079</v>
      </c>
      <c r="AG54" s="436">
        <v>19</v>
      </c>
      <c r="AI54" s="174"/>
    </row>
    <row r="55" spans="1:35">
      <c r="A55" s="215" t="s">
        <v>942</v>
      </c>
      <c r="B55" s="232" t="s">
        <v>938</v>
      </c>
      <c r="C55" s="232">
        <v>2080</v>
      </c>
      <c r="D55" s="232" t="s">
        <v>939</v>
      </c>
      <c r="E55" s="209">
        <f>MAGPIELink!E55</f>
        <v>286569.41862774</v>
      </c>
      <c r="F55" s="209">
        <f>MAGPIELink!F55</f>
        <v>7413.094538800683</v>
      </c>
      <c r="G55" s="209">
        <f>MAGPIELink!G55</f>
        <v>283695.92183174368</v>
      </c>
      <c r="H55" s="209">
        <f>MAGPIELink!H55</f>
        <v>135738.53967776842</v>
      </c>
      <c r="I55" s="209">
        <f>MAGPIELink!I55</f>
        <v>1763.6563478582107</v>
      </c>
      <c r="J55" s="209">
        <f>MAGPIELink!J55</f>
        <v>25183.879167671577</v>
      </c>
      <c r="K55" s="209">
        <f>MAGPIELink!K55</f>
        <v>141030.8010246442</v>
      </c>
      <c r="L55" s="209">
        <f>MAGPIELink!L55</f>
        <v>264725.30082569848</v>
      </c>
      <c r="M55" s="209">
        <f>MAGPIELink!M55</f>
        <v>198442.97505453211</v>
      </c>
      <c r="N55" s="209">
        <f>MAGPIELink!N55</f>
        <v>2273.134498183605</v>
      </c>
      <c r="O55" s="209">
        <f>MAGPIELink!O55</f>
        <v>17185.136491586265</v>
      </c>
      <c r="P55" s="209">
        <f>MAGPIELink!P55</f>
        <v>589518.5771021106</v>
      </c>
      <c r="Q55" s="209">
        <f>MAGPIELink!Q55</f>
        <v>6857.9958751713157</v>
      </c>
      <c r="R55" s="209">
        <f>MAGPIELink!R55</f>
        <v>18218.251857464213</v>
      </c>
      <c r="S55" s="209">
        <f>MAGPIELink!S55</f>
        <v>25958.170295789001</v>
      </c>
      <c r="T55" s="209">
        <f>MAGPIELink!T55</f>
        <v>48318.118668939103</v>
      </c>
      <c r="U55" s="209">
        <f>MAGPIELink!U55</f>
        <v>35622.606456697213</v>
      </c>
      <c r="V55" s="209">
        <f>MAGPIELink!V55</f>
        <v>287751.75244936155</v>
      </c>
      <c r="W55" s="209">
        <f>MAGPIELink!W55</f>
        <v>1481.1451006244947</v>
      </c>
      <c r="X55" s="209">
        <f>MAGPIELink!X55</f>
        <v>49605.599127723683</v>
      </c>
      <c r="Y55" s="209">
        <f>MAGPIELink!Y55</f>
        <v>266935.13115572109</v>
      </c>
      <c r="Z55" s="209">
        <f>MAGPIELink!Z55</f>
        <v>16516.275848003264</v>
      </c>
      <c r="AA55" s="209">
        <f>MAGPIELink!AA55</f>
        <v>7648.5590826698954</v>
      </c>
      <c r="AB55" s="209">
        <f>MAGPIELink!AB55</f>
        <v>113730.05484635527</v>
      </c>
      <c r="AC55" s="209">
        <f>MAGPIELink!AC55</f>
        <v>165035.92010229052</v>
      </c>
      <c r="AD55" s="209">
        <f>MAGPIELink!AD55</f>
        <v>7809.5909731509482</v>
      </c>
      <c r="AE55" s="209">
        <f>MAGPIELink!AE55</f>
        <v>49605.599127723683</v>
      </c>
      <c r="AF55" s="220">
        <f>MAGPIELink!AF55</f>
        <v>534707.31362523686</v>
      </c>
      <c r="AG55" s="436">
        <v>19</v>
      </c>
      <c r="AI55" s="174"/>
    </row>
    <row r="56" spans="1:35">
      <c r="A56" s="215" t="s">
        <v>942</v>
      </c>
      <c r="B56" s="232" t="s">
        <v>938</v>
      </c>
      <c r="C56" s="232">
        <v>2090</v>
      </c>
      <c r="D56" s="232" t="s">
        <v>939</v>
      </c>
      <c r="E56" s="209">
        <f>MAGPIELink!E56</f>
        <v>405054.36199912737</v>
      </c>
      <c r="F56" s="209">
        <f>MAGPIELink!F56</f>
        <v>13385.826582223524</v>
      </c>
      <c r="G56" s="209">
        <f>MAGPIELink!G56</f>
        <v>400428.30329943157</v>
      </c>
      <c r="H56" s="209">
        <f>MAGPIELink!H56</f>
        <v>191590.99042970949</v>
      </c>
      <c r="I56" s="209">
        <f>MAGPIELink!I56</f>
        <v>5725.1998177564747</v>
      </c>
      <c r="J56" s="209">
        <f>MAGPIELink!J56</f>
        <v>45403.343799740418</v>
      </c>
      <c r="K56" s="209">
        <f>MAGPIELink!K56</f>
        <v>189541.62721122894</v>
      </c>
      <c r="L56" s="209">
        <f>MAGPIELink!L56</f>
        <v>355783.54685757734</v>
      </c>
      <c r="M56" s="209">
        <f>MAGPIELink!M56</f>
        <v>217781.35370327896</v>
      </c>
      <c r="N56" s="209">
        <f>MAGPIELink!N56</f>
        <v>7379.3082143911051</v>
      </c>
      <c r="O56" s="209">
        <f>MAGPIELink!O56</f>
        <v>18859.843978082947</v>
      </c>
      <c r="P56" s="209">
        <f>MAGPIELink!P56</f>
        <v>456487.11791113735</v>
      </c>
      <c r="Q56" s="209">
        <f>MAGPIELink!Q56</f>
        <v>17748.015487197368</v>
      </c>
      <c r="R56" s="209">
        <f>MAGPIELink!R56</f>
        <v>12044.132096266316</v>
      </c>
      <c r="S56" s="209">
        <f>MAGPIELink!S56</f>
        <v>14182.082575502578</v>
      </c>
      <c r="T56" s="209">
        <f>MAGPIELink!T56</f>
        <v>26403.515283631157</v>
      </c>
      <c r="U56" s="209">
        <f>MAGPIELink!U56</f>
        <v>19488.128365965629</v>
      </c>
      <c r="V56" s="209">
        <f>MAGPIELink!V56</f>
        <v>386730.34836907737</v>
      </c>
      <c r="W56" s="209">
        <f>MAGPIELink!W56</f>
        <v>8496.5804851713692</v>
      </c>
      <c r="X56" s="209">
        <f>MAGPIELink!X56</f>
        <v>57837.345794046851</v>
      </c>
      <c r="Y56" s="209">
        <f>MAGPIELink!Y56</f>
        <v>292948.89047134155</v>
      </c>
      <c r="Z56" s="209">
        <f>MAGPIELink!Z56</f>
        <v>23161.500521967002</v>
      </c>
      <c r="AA56" s="209">
        <f>MAGPIELink!AA56</f>
        <v>13810.634998152842</v>
      </c>
      <c r="AB56" s="209">
        <f>MAGPIELink!AB56</f>
        <v>124813.03130457633</v>
      </c>
      <c r="AC56" s="209">
        <f>MAGPIELink!AC56</f>
        <v>232943.35473362106</v>
      </c>
      <c r="AD56" s="209">
        <f>MAGPIELink!AD56</f>
        <v>31470.074029534211</v>
      </c>
      <c r="AE56" s="209">
        <f>MAGPIELink!AE56</f>
        <v>57837.345794046851</v>
      </c>
      <c r="AF56" s="220">
        <f>MAGPIELink!AF56</f>
        <v>556936.3928895368</v>
      </c>
      <c r="AG56" s="436">
        <v>19</v>
      </c>
      <c r="AI56" s="174"/>
    </row>
    <row r="57" spans="1:35">
      <c r="A57" s="229" t="s">
        <v>942</v>
      </c>
      <c r="B57" s="235" t="s">
        <v>938</v>
      </c>
      <c r="C57" s="235">
        <v>2100</v>
      </c>
      <c r="D57" s="235" t="s">
        <v>939</v>
      </c>
      <c r="E57" s="226">
        <f>MAGPIELink!E57</f>
        <v>539747.35390042106</v>
      </c>
      <c r="F57" s="226">
        <f>MAGPIELink!F57</f>
        <v>19647.72556504684</v>
      </c>
      <c r="G57" s="226">
        <f>MAGPIELink!G57</f>
        <v>533231.45934668416</v>
      </c>
      <c r="H57" s="226">
        <f>MAGPIELink!H57</f>
        <v>255132.7346398884</v>
      </c>
      <c r="I57" s="226">
        <f>MAGPIELink!I57</f>
        <v>8566.3372201246839</v>
      </c>
      <c r="J57" s="226">
        <f>MAGPIELink!J57</f>
        <v>63643.660260026831</v>
      </c>
      <c r="K57" s="226">
        <f>MAGPIELink!K57</f>
        <v>213247.03873195002</v>
      </c>
      <c r="L57" s="226">
        <f>MAGPIELink!L57</f>
        <v>400280.34307927004</v>
      </c>
      <c r="M57" s="226">
        <f>MAGPIELink!M57</f>
        <v>640379.58105452638</v>
      </c>
      <c r="N57" s="226">
        <f>MAGPIELink!N57</f>
        <v>11041.284474133157</v>
      </c>
      <c r="O57" s="226">
        <f>MAGPIELink!O57</f>
        <v>19734.232365359214</v>
      </c>
      <c r="P57" s="226">
        <f>MAGPIELink!P57</f>
        <v>1038583.2692440579</v>
      </c>
      <c r="Q57" s="226">
        <f>MAGPIELink!Q57</f>
        <v>29757.206868040212</v>
      </c>
      <c r="R57" s="226">
        <f>MAGPIELink!R57</f>
        <v>12186.883541365316</v>
      </c>
      <c r="S57" s="226">
        <f>MAGPIELink!S57</f>
        <v>4792.9958625581103</v>
      </c>
      <c r="T57" s="226">
        <f>MAGPIELink!T57</f>
        <v>8931.337918984631</v>
      </c>
      <c r="U57" s="226">
        <f>MAGPIELink!U57</f>
        <v>6625.2452394563161</v>
      </c>
      <c r="V57" s="226">
        <f>MAGPIELink!V57</f>
        <v>435097.52980318584</v>
      </c>
      <c r="W57" s="226">
        <f>MAGPIELink!W57</f>
        <v>29012.444484790001</v>
      </c>
      <c r="X57" s="226">
        <f>MAGPIELink!X57</f>
        <v>59567.061568897108</v>
      </c>
      <c r="Y57" s="226">
        <f>MAGPIELink!Y57</f>
        <v>441324.01252377901</v>
      </c>
      <c r="Z57" s="226">
        <f>MAGPIELink!Z57</f>
        <v>29382.294869563317</v>
      </c>
      <c r="AA57" s="226">
        <f>MAGPIELink!AA57</f>
        <v>20271.004427953369</v>
      </c>
      <c r="AB57" s="226">
        <f>MAGPIELink!AB57</f>
        <v>120784.25040404788</v>
      </c>
      <c r="AC57" s="226">
        <f>MAGPIELink!AC57</f>
        <v>310199.65224154212</v>
      </c>
      <c r="AD57" s="226">
        <f>MAGPIELink!AD57</f>
        <v>77348.13281211369</v>
      </c>
      <c r="AE57" s="226">
        <f>MAGPIELink!AE57</f>
        <v>59567.061568897108</v>
      </c>
      <c r="AF57" s="224">
        <f>MAGPIELink!AF57</f>
        <v>526099.97187242948</v>
      </c>
      <c r="AG57" s="437">
        <v>19</v>
      </c>
      <c r="AI57" s="174"/>
    </row>
    <row r="58" spans="1:35">
      <c r="A58" s="215" t="s">
        <v>942</v>
      </c>
      <c r="B58" s="232" t="s">
        <v>940</v>
      </c>
      <c r="C58" s="232">
        <v>2019</v>
      </c>
      <c r="D58" s="232" t="s">
        <v>939</v>
      </c>
      <c r="E58" s="209">
        <f>MAGPIELink!E58</f>
        <v>0</v>
      </c>
      <c r="F58" s="209">
        <f>MAGPIELink!F58</f>
        <v>0</v>
      </c>
      <c r="G58" s="209">
        <f>MAGPIELink!G58</f>
        <v>0</v>
      </c>
      <c r="H58" s="209">
        <f>MAGPIELink!H58</f>
        <v>0</v>
      </c>
      <c r="I58" s="209">
        <f>MAGPIELink!I58</f>
        <v>0</v>
      </c>
      <c r="J58" s="209">
        <f>MAGPIELink!J58</f>
        <v>0</v>
      </c>
      <c r="K58" s="209">
        <f>MAGPIELink!K58</f>
        <v>0</v>
      </c>
      <c r="L58" s="209">
        <f>MAGPIELink!L58</f>
        <v>0</v>
      </c>
      <c r="M58" s="209">
        <f>MAGPIELink!M58</f>
        <v>0</v>
      </c>
      <c r="N58" s="209">
        <f>MAGPIELink!N58</f>
        <v>0</v>
      </c>
      <c r="O58" s="209">
        <f>MAGPIELink!O58</f>
        <v>0</v>
      </c>
      <c r="P58" s="209">
        <f>MAGPIELink!P58</f>
        <v>0</v>
      </c>
      <c r="Q58" s="209">
        <f>MAGPIELink!Q58</f>
        <v>0</v>
      </c>
      <c r="R58" s="209">
        <f>MAGPIELink!R58</f>
        <v>0</v>
      </c>
      <c r="S58" s="209">
        <f>MAGPIELink!S58</f>
        <v>0</v>
      </c>
      <c r="T58" s="209">
        <f>MAGPIELink!T58</f>
        <v>0</v>
      </c>
      <c r="U58" s="209">
        <f>MAGPIELink!U58</f>
        <v>0</v>
      </c>
      <c r="V58" s="209">
        <f>MAGPIELink!V58</f>
        <v>0</v>
      </c>
      <c r="W58" s="209">
        <f>MAGPIELink!W58</f>
        <v>0</v>
      </c>
      <c r="X58" s="209">
        <f>MAGPIELink!X58</f>
        <v>0</v>
      </c>
      <c r="Y58" s="209">
        <f>MAGPIELink!Y58</f>
        <v>0</v>
      </c>
      <c r="Z58" s="209">
        <f>MAGPIELink!Z58</f>
        <v>0</v>
      </c>
      <c r="AA58" s="209">
        <f>MAGPIELink!AA58</f>
        <v>0</v>
      </c>
      <c r="AB58" s="209">
        <f>MAGPIELink!AB58</f>
        <v>0</v>
      </c>
      <c r="AC58" s="209">
        <f>MAGPIELink!AC58</f>
        <v>0</v>
      </c>
      <c r="AD58" s="209">
        <f>MAGPIELink!AD58</f>
        <v>0</v>
      </c>
      <c r="AE58" s="209">
        <f>MAGPIELink!AE58</f>
        <v>0</v>
      </c>
      <c r="AF58" s="220">
        <f>MAGPIELink!AF58</f>
        <v>0</v>
      </c>
      <c r="AG58" s="436">
        <v>19</v>
      </c>
    </row>
    <row r="59" spans="1:35">
      <c r="A59" s="215" t="s">
        <v>942</v>
      </c>
      <c r="B59" s="232" t="s">
        <v>940</v>
      </c>
      <c r="C59">
        <v>2020</v>
      </c>
      <c r="D59" s="232" t="s">
        <v>939</v>
      </c>
      <c r="E59" s="209">
        <f>MAGPIELink!E59</f>
        <v>0</v>
      </c>
      <c r="F59" s="209">
        <f>MAGPIELink!F59</f>
        <v>0</v>
      </c>
      <c r="G59" s="209">
        <f>MAGPIELink!G59</f>
        <v>0</v>
      </c>
      <c r="H59" s="209">
        <f>MAGPIELink!H59</f>
        <v>0</v>
      </c>
      <c r="I59" s="209">
        <f>MAGPIELink!I59</f>
        <v>0</v>
      </c>
      <c r="J59" s="209">
        <f>MAGPIELink!J59</f>
        <v>0</v>
      </c>
      <c r="K59" s="209">
        <f>MAGPIELink!K59</f>
        <v>0</v>
      </c>
      <c r="L59" s="209">
        <f>MAGPIELink!L59</f>
        <v>0</v>
      </c>
      <c r="M59" s="209">
        <f>MAGPIELink!M59</f>
        <v>0</v>
      </c>
      <c r="N59" s="209">
        <f>MAGPIELink!N59</f>
        <v>0</v>
      </c>
      <c r="O59" s="209">
        <f>MAGPIELink!O59</f>
        <v>0</v>
      </c>
      <c r="P59" s="209">
        <f>MAGPIELink!P59</f>
        <v>0</v>
      </c>
      <c r="Q59" s="209">
        <f>MAGPIELink!Q59</f>
        <v>0</v>
      </c>
      <c r="R59" s="209">
        <f>MAGPIELink!R59</f>
        <v>0</v>
      </c>
      <c r="S59" s="209">
        <f>MAGPIELink!S59</f>
        <v>0</v>
      </c>
      <c r="T59" s="209">
        <f>MAGPIELink!T59</f>
        <v>0</v>
      </c>
      <c r="U59" s="209">
        <f>MAGPIELink!U59</f>
        <v>0</v>
      </c>
      <c r="V59" s="209">
        <f>MAGPIELink!V59</f>
        <v>0</v>
      </c>
      <c r="W59" s="209">
        <f>MAGPIELink!W59</f>
        <v>0</v>
      </c>
      <c r="X59" s="209">
        <f>MAGPIELink!X59</f>
        <v>0</v>
      </c>
      <c r="Y59" s="209">
        <f>MAGPIELink!Y59</f>
        <v>0</v>
      </c>
      <c r="Z59" s="209">
        <f>MAGPIELink!Z59</f>
        <v>0</v>
      </c>
      <c r="AA59" s="209">
        <f>MAGPIELink!AA59</f>
        <v>0</v>
      </c>
      <c r="AB59" s="209">
        <f>MAGPIELink!AB59</f>
        <v>0</v>
      </c>
      <c r="AC59" s="209">
        <f>MAGPIELink!AC59</f>
        <v>0</v>
      </c>
      <c r="AD59" s="209">
        <f>MAGPIELink!AD59</f>
        <v>0</v>
      </c>
      <c r="AE59" s="209">
        <f>MAGPIELink!AE59</f>
        <v>0</v>
      </c>
      <c r="AF59" s="220">
        <f>MAGPIELink!AF59</f>
        <v>0</v>
      </c>
      <c r="AG59" s="436">
        <v>19</v>
      </c>
      <c r="AI59" s="174"/>
    </row>
    <row r="60" spans="1:35">
      <c r="A60" s="215" t="s">
        <v>942</v>
      </c>
      <c r="B60" s="232" t="s">
        <v>940</v>
      </c>
      <c r="C60" s="232">
        <v>2025</v>
      </c>
      <c r="D60" s="232" t="s">
        <v>939</v>
      </c>
      <c r="E60" s="209">
        <f>MAGPIELink!E60</f>
        <v>0</v>
      </c>
      <c r="F60" s="209">
        <f>MAGPIELink!F60</f>
        <v>0</v>
      </c>
      <c r="G60" s="209">
        <f>MAGPIELink!G60</f>
        <v>0</v>
      </c>
      <c r="H60" s="209">
        <f>MAGPIELink!H60</f>
        <v>0</v>
      </c>
      <c r="I60" s="209">
        <f>MAGPIELink!I60</f>
        <v>0</v>
      </c>
      <c r="J60" s="209">
        <f>MAGPIELink!J60</f>
        <v>0</v>
      </c>
      <c r="K60" s="209">
        <f>MAGPIELink!K60</f>
        <v>0</v>
      </c>
      <c r="L60" s="209">
        <f>MAGPIELink!L60</f>
        <v>0</v>
      </c>
      <c r="M60" s="209">
        <f>MAGPIELink!M60</f>
        <v>0</v>
      </c>
      <c r="N60" s="209">
        <f>MAGPIELink!N60</f>
        <v>0</v>
      </c>
      <c r="O60" s="209">
        <f>MAGPIELink!O60</f>
        <v>0</v>
      </c>
      <c r="P60" s="209">
        <f>MAGPIELink!P60</f>
        <v>0</v>
      </c>
      <c r="Q60" s="209">
        <f>MAGPIELink!Q60</f>
        <v>0</v>
      </c>
      <c r="R60" s="209">
        <f>MAGPIELink!R60</f>
        <v>0</v>
      </c>
      <c r="S60" s="209">
        <f>MAGPIELink!S60</f>
        <v>0</v>
      </c>
      <c r="T60" s="209">
        <f>MAGPIELink!T60</f>
        <v>0</v>
      </c>
      <c r="U60" s="209">
        <f>MAGPIELink!U60</f>
        <v>0</v>
      </c>
      <c r="V60" s="209">
        <f>MAGPIELink!V60</f>
        <v>0</v>
      </c>
      <c r="W60" s="209">
        <f>MAGPIELink!W60</f>
        <v>0</v>
      </c>
      <c r="X60" s="209">
        <f>MAGPIELink!X60</f>
        <v>0</v>
      </c>
      <c r="Y60" s="209">
        <f>MAGPIELink!Y60</f>
        <v>0</v>
      </c>
      <c r="Z60" s="209">
        <f>MAGPIELink!Z60</f>
        <v>0</v>
      </c>
      <c r="AA60" s="209">
        <f>MAGPIELink!AA60</f>
        <v>0</v>
      </c>
      <c r="AB60" s="209">
        <f>MAGPIELink!AB60</f>
        <v>0</v>
      </c>
      <c r="AC60" s="209">
        <f>MAGPIELink!AC60</f>
        <v>0</v>
      </c>
      <c r="AD60" s="209">
        <f>MAGPIELink!AD60</f>
        <v>0</v>
      </c>
      <c r="AE60" s="209">
        <f>MAGPIELink!AE60</f>
        <v>0</v>
      </c>
      <c r="AF60" s="220">
        <f>MAGPIELink!AF60</f>
        <v>0</v>
      </c>
      <c r="AG60" s="436">
        <v>19</v>
      </c>
      <c r="AI60" s="174"/>
    </row>
    <row r="61" spans="1:35">
      <c r="A61" s="215" t="s">
        <v>942</v>
      </c>
      <c r="B61" s="232" t="s">
        <v>940</v>
      </c>
      <c r="C61" s="232">
        <v>2030</v>
      </c>
      <c r="D61" s="232" t="s">
        <v>939</v>
      </c>
      <c r="E61" s="209">
        <f>MAGPIELink!E61</f>
        <v>0</v>
      </c>
      <c r="F61" s="209">
        <f>MAGPIELink!F61</f>
        <v>0</v>
      </c>
      <c r="G61" s="209">
        <f>MAGPIELink!G61</f>
        <v>0</v>
      </c>
      <c r="H61" s="209">
        <f>MAGPIELink!H61</f>
        <v>0</v>
      </c>
      <c r="I61" s="209">
        <f>MAGPIELink!I61</f>
        <v>0</v>
      </c>
      <c r="J61" s="209">
        <f>MAGPIELink!J61</f>
        <v>0</v>
      </c>
      <c r="K61" s="209">
        <f>MAGPIELink!K61</f>
        <v>0</v>
      </c>
      <c r="L61" s="209">
        <f>MAGPIELink!L61</f>
        <v>0</v>
      </c>
      <c r="M61" s="209">
        <f>MAGPIELink!M61</f>
        <v>0</v>
      </c>
      <c r="N61" s="209">
        <f>MAGPIELink!N61</f>
        <v>0</v>
      </c>
      <c r="O61" s="209">
        <f>MAGPIELink!O61</f>
        <v>0</v>
      </c>
      <c r="P61" s="209">
        <f>MAGPIELink!P61</f>
        <v>0</v>
      </c>
      <c r="Q61" s="209">
        <f>MAGPIELink!Q61</f>
        <v>0</v>
      </c>
      <c r="R61" s="209">
        <f>MAGPIELink!R61</f>
        <v>0</v>
      </c>
      <c r="S61" s="209">
        <f>MAGPIELink!S61</f>
        <v>0</v>
      </c>
      <c r="T61" s="209">
        <f>MAGPIELink!T61</f>
        <v>0</v>
      </c>
      <c r="U61" s="209">
        <f>MAGPIELink!U61</f>
        <v>0</v>
      </c>
      <c r="V61" s="209">
        <f>MAGPIELink!V61</f>
        <v>0</v>
      </c>
      <c r="W61" s="209">
        <f>MAGPIELink!W61</f>
        <v>0</v>
      </c>
      <c r="X61" s="209">
        <f>MAGPIELink!X61</f>
        <v>0</v>
      </c>
      <c r="Y61" s="209">
        <f>MAGPIELink!Y61</f>
        <v>0</v>
      </c>
      <c r="Z61" s="209">
        <f>MAGPIELink!Z61</f>
        <v>0</v>
      </c>
      <c r="AA61" s="209">
        <f>MAGPIELink!AA61</f>
        <v>0</v>
      </c>
      <c r="AB61" s="209">
        <f>MAGPIELink!AB61</f>
        <v>0</v>
      </c>
      <c r="AC61" s="209">
        <f>MAGPIELink!AC61</f>
        <v>0</v>
      </c>
      <c r="AD61" s="209">
        <f>MAGPIELink!AD61</f>
        <v>0</v>
      </c>
      <c r="AE61" s="209">
        <f>MAGPIELink!AE61</f>
        <v>0</v>
      </c>
      <c r="AF61" s="220">
        <f>MAGPIELink!AF61</f>
        <v>0</v>
      </c>
      <c r="AG61" s="436">
        <v>19</v>
      </c>
      <c r="AI61" s="174"/>
    </row>
    <row r="62" spans="1:35">
      <c r="A62" s="215" t="s">
        <v>942</v>
      </c>
      <c r="B62" s="232" t="s">
        <v>940</v>
      </c>
      <c r="C62" s="232">
        <v>2035</v>
      </c>
      <c r="D62" s="232" t="s">
        <v>939</v>
      </c>
      <c r="E62" s="209">
        <f>MAGPIELink!E62</f>
        <v>0</v>
      </c>
      <c r="F62" s="209">
        <f>MAGPIELink!F62</f>
        <v>0</v>
      </c>
      <c r="G62" s="209">
        <f>MAGPIELink!G62</f>
        <v>0</v>
      </c>
      <c r="H62" s="209">
        <f>MAGPIELink!H62</f>
        <v>0</v>
      </c>
      <c r="I62" s="209">
        <f>MAGPIELink!I62</f>
        <v>0</v>
      </c>
      <c r="J62" s="209">
        <f>MAGPIELink!J62</f>
        <v>0</v>
      </c>
      <c r="K62" s="209">
        <f>MAGPIELink!K62</f>
        <v>0</v>
      </c>
      <c r="L62" s="209">
        <f>MAGPIELink!L62</f>
        <v>0</v>
      </c>
      <c r="M62" s="209">
        <f>MAGPIELink!M62</f>
        <v>0</v>
      </c>
      <c r="N62" s="209">
        <f>MAGPIELink!N62</f>
        <v>0</v>
      </c>
      <c r="O62" s="209">
        <f>MAGPIELink!O62</f>
        <v>0</v>
      </c>
      <c r="P62" s="209">
        <f>MAGPIELink!P62</f>
        <v>0</v>
      </c>
      <c r="Q62" s="209">
        <f>MAGPIELink!Q62</f>
        <v>0</v>
      </c>
      <c r="R62" s="209">
        <f>MAGPIELink!R62</f>
        <v>0</v>
      </c>
      <c r="S62" s="209">
        <f>MAGPIELink!S62</f>
        <v>0</v>
      </c>
      <c r="T62" s="209">
        <f>MAGPIELink!T62</f>
        <v>0</v>
      </c>
      <c r="U62" s="209">
        <f>MAGPIELink!U62</f>
        <v>0</v>
      </c>
      <c r="V62" s="209">
        <f>MAGPIELink!V62</f>
        <v>0</v>
      </c>
      <c r="W62" s="209">
        <f>MAGPIELink!W62</f>
        <v>0</v>
      </c>
      <c r="X62" s="209">
        <f>MAGPIELink!X62</f>
        <v>0</v>
      </c>
      <c r="Y62" s="209">
        <f>MAGPIELink!Y62</f>
        <v>0</v>
      </c>
      <c r="Z62" s="209">
        <f>MAGPIELink!Z62</f>
        <v>0</v>
      </c>
      <c r="AA62" s="209">
        <f>MAGPIELink!AA62</f>
        <v>0</v>
      </c>
      <c r="AB62" s="209">
        <f>MAGPIELink!AB62</f>
        <v>0</v>
      </c>
      <c r="AC62" s="209">
        <f>MAGPIELink!AC62</f>
        <v>0</v>
      </c>
      <c r="AD62" s="209">
        <f>MAGPIELink!AD62</f>
        <v>0</v>
      </c>
      <c r="AE62" s="209">
        <f>MAGPIELink!AE62</f>
        <v>0</v>
      </c>
      <c r="AF62" s="220">
        <f>MAGPIELink!AF62</f>
        <v>0</v>
      </c>
      <c r="AG62" s="436">
        <v>19</v>
      </c>
      <c r="AI62" s="174"/>
    </row>
    <row r="63" spans="1:35">
      <c r="A63" s="215" t="s">
        <v>942</v>
      </c>
      <c r="B63" s="232" t="s">
        <v>940</v>
      </c>
      <c r="C63" s="232">
        <v>2040</v>
      </c>
      <c r="D63" s="232" t="s">
        <v>939</v>
      </c>
      <c r="E63" s="209">
        <f>MAGPIELink!E63</f>
        <v>0</v>
      </c>
      <c r="F63" s="209">
        <f>MAGPIELink!F63</f>
        <v>2.4096533051073802E-3</v>
      </c>
      <c r="G63" s="209">
        <f>MAGPIELink!G63</f>
        <v>0</v>
      </c>
      <c r="H63" s="209">
        <f>MAGPIELink!H63</f>
        <v>0</v>
      </c>
      <c r="I63" s="209">
        <f>MAGPIELink!I63</f>
        <v>0</v>
      </c>
      <c r="J63" s="209">
        <f>MAGPIELink!J63</f>
        <v>0</v>
      </c>
      <c r="K63" s="209">
        <f>MAGPIELink!K63</f>
        <v>0</v>
      </c>
      <c r="L63" s="209">
        <f>MAGPIELink!L63</f>
        <v>0</v>
      </c>
      <c r="M63" s="209">
        <f>MAGPIELink!M63</f>
        <v>0</v>
      </c>
      <c r="N63" s="209">
        <f>MAGPIELink!N63</f>
        <v>0</v>
      </c>
      <c r="O63" s="209">
        <f>MAGPIELink!O63</f>
        <v>0</v>
      </c>
      <c r="P63" s="209">
        <f>MAGPIELink!P63</f>
        <v>0</v>
      </c>
      <c r="Q63" s="209">
        <f>MAGPIELink!Q63</f>
        <v>0</v>
      </c>
      <c r="R63" s="209">
        <f>MAGPIELink!R63</f>
        <v>0</v>
      </c>
      <c r="S63" s="209">
        <f>MAGPIELink!S63</f>
        <v>0</v>
      </c>
      <c r="T63" s="209">
        <f>MAGPIELink!T63</f>
        <v>0</v>
      </c>
      <c r="U63" s="209">
        <f>MAGPIELink!U63</f>
        <v>0</v>
      </c>
      <c r="V63" s="209">
        <f>MAGPIELink!V63</f>
        <v>0</v>
      </c>
      <c r="W63" s="209">
        <f>MAGPIELink!W63</f>
        <v>0</v>
      </c>
      <c r="X63" s="209">
        <f>MAGPIELink!X63</f>
        <v>0</v>
      </c>
      <c r="Y63" s="209">
        <f>MAGPIELink!Y63</f>
        <v>0</v>
      </c>
      <c r="Z63" s="209">
        <f>MAGPIELink!Z63</f>
        <v>0</v>
      </c>
      <c r="AA63" s="209">
        <f>MAGPIELink!AA63</f>
        <v>0</v>
      </c>
      <c r="AB63" s="209">
        <f>MAGPIELink!AB63</f>
        <v>0</v>
      </c>
      <c r="AC63" s="209">
        <f>MAGPIELink!AC63</f>
        <v>0</v>
      </c>
      <c r="AD63" s="209">
        <f>MAGPIELink!AD63</f>
        <v>0</v>
      </c>
      <c r="AE63" s="209">
        <f>MAGPIELink!AE63</f>
        <v>0</v>
      </c>
      <c r="AF63" s="220">
        <f>MAGPIELink!AF63</f>
        <v>0</v>
      </c>
      <c r="AG63" s="436">
        <v>19</v>
      </c>
      <c r="AI63" s="174"/>
    </row>
    <row r="64" spans="1:35">
      <c r="A64" s="215" t="s">
        <v>942</v>
      </c>
      <c r="B64" s="232" t="s">
        <v>940</v>
      </c>
      <c r="C64" s="232">
        <v>2045</v>
      </c>
      <c r="D64" s="232" t="s">
        <v>939</v>
      </c>
      <c r="E64" s="209">
        <f>MAGPIELink!E64</f>
        <v>0</v>
      </c>
      <c r="F64" s="209">
        <f>MAGPIELink!F64</f>
        <v>0</v>
      </c>
      <c r="G64" s="209">
        <f>MAGPIELink!G64</f>
        <v>0</v>
      </c>
      <c r="H64" s="209">
        <f>MAGPIELink!H64</f>
        <v>0</v>
      </c>
      <c r="I64" s="209">
        <f>MAGPIELink!I64</f>
        <v>0</v>
      </c>
      <c r="J64" s="209">
        <f>MAGPIELink!J64</f>
        <v>0</v>
      </c>
      <c r="K64" s="209">
        <f>MAGPIELink!K64</f>
        <v>0</v>
      </c>
      <c r="L64" s="209">
        <f>MAGPIELink!L64</f>
        <v>0</v>
      </c>
      <c r="M64" s="209">
        <f>MAGPIELink!M64</f>
        <v>0</v>
      </c>
      <c r="N64" s="209">
        <f>MAGPIELink!N64</f>
        <v>0</v>
      </c>
      <c r="O64" s="209">
        <f>MAGPIELink!O64</f>
        <v>0</v>
      </c>
      <c r="P64" s="209">
        <f>MAGPIELink!P64</f>
        <v>0</v>
      </c>
      <c r="Q64" s="209">
        <f>MAGPIELink!Q64</f>
        <v>0</v>
      </c>
      <c r="R64" s="209">
        <f>MAGPIELink!R64</f>
        <v>0</v>
      </c>
      <c r="S64" s="209">
        <f>MAGPIELink!S64</f>
        <v>0</v>
      </c>
      <c r="T64" s="209">
        <f>MAGPIELink!T64</f>
        <v>0</v>
      </c>
      <c r="U64" s="209">
        <f>MAGPIELink!U64</f>
        <v>0</v>
      </c>
      <c r="V64" s="209">
        <f>MAGPIELink!V64</f>
        <v>0</v>
      </c>
      <c r="W64" s="209">
        <f>MAGPIELink!W64</f>
        <v>0</v>
      </c>
      <c r="X64" s="209">
        <f>MAGPIELink!X64</f>
        <v>3.5718186055054761E-3</v>
      </c>
      <c r="Y64" s="209">
        <f>MAGPIELink!Y64</f>
        <v>0</v>
      </c>
      <c r="Z64" s="209">
        <f>MAGPIELink!Z64</f>
        <v>0</v>
      </c>
      <c r="AA64" s="209">
        <f>MAGPIELink!AA64</f>
        <v>0</v>
      </c>
      <c r="AB64" s="209">
        <f>MAGPIELink!AB64</f>
        <v>0</v>
      </c>
      <c r="AC64" s="209">
        <f>MAGPIELink!AC64</f>
        <v>0</v>
      </c>
      <c r="AD64" s="209">
        <f>MAGPIELink!AD64</f>
        <v>0</v>
      </c>
      <c r="AE64" s="209">
        <f>MAGPIELink!AE64</f>
        <v>3.5718186055054761E-3</v>
      </c>
      <c r="AF64" s="220">
        <f>MAGPIELink!AF64</f>
        <v>0</v>
      </c>
      <c r="AG64" s="436">
        <v>19</v>
      </c>
      <c r="AI64" s="174"/>
    </row>
    <row r="65" spans="1:35">
      <c r="A65" s="215" t="s">
        <v>942</v>
      </c>
      <c r="B65" s="232" t="s">
        <v>940</v>
      </c>
      <c r="C65" s="232">
        <v>2050</v>
      </c>
      <c r="D65" s="232" t="s">
        <v>939</v>
      </c>
      <c r="E65" s="209">
        <f>MAGPIELink!E65</f>
        <v>0</v>
      </c>
      <c r="F65" s="209">
        <f>MAGPIELink!F65</f>
        <v>0</v>
      </c>
      <c r="G65" s="209">
        <f>MAGPIELink!G65</f>
        <v>0</v>
      </c>
      <c r="H65" s="209">
        <f>MAGPIELink!H65</f>
        <v>0</v>
      </c>
      <c r="I65" s="209">
        <f>MAGPIELink!I65</f>
        <v>0</v>
      </c>
      <c r="J65" s="209">
        <f>MAGPIELink!J65</f>
        <v>0</v>
      </c>
      <c r="K65" s="209">
        <f>MAGPIELink!K65</f>
        <v>0</v>
      </c>
      <c r="L65" s="209">
        <f>MAGPIELink!L65</f>
        <v>0</v>
      </c>
      <c r="M65" s="209">
        <f>MAGPIELink!M65</f>
        <v>0</v>
      </c>
      <c r="N65" s="209">
        <f>MAGPIELink!N65</f>
        <v>0</v>
      </c>
      <c r="O65" s="209">
        <f>MAGPIELink!O65</f>
        <v>0</v>
      </c>
      <c r="P65" s="209">
        <f>MAGPIELink!P65</f>
        <v>0</v>
      </c>
      <c r="Q65" s="209">
        <f>MAGPIELink!Q65</f>
        <v>0</v>
      </c>
      <c r="R65" s="209">
        <f>MAGPIELink!R65</f>
        <v>0</v>
      </c>
      <c r="S65" s="209">
        <f>MAGPIELink!S65</f>
        <v>0</v>
      </c>
      <c r="T65" s="209">
        <f>MAGPIELink!T65</f>
        <v>0</v>
      </c>
      <c r="U65" s="209">
        <f>MAGPIELink!U65</f>
        <v>0</v>
      </c>
      <c r="V65" s="209">
        <f>MAGPIELink!V65</f>
        <v>0</v>
      </c>
      <c r="W65" s="209">
        <f>MAGPIELink!W65</f>
        <v>0</v>
      </c>
      <c r="X65" s="209">
        <f>MAGPIELink!X65</f>
        <v>1.867624320984225E-2</v>
      </c>
      <c r="Y65" s="209">
        <f>MAGPIELink!Y65</f>
        <v>0</v>
      </c>
      <c r="Z65" s="209">
        <f>MAGPIELink!Z65</f>
        <v>0</v>
      </c>
      <c r="AA65" s="209">
        <f>MAGPIELink!AA65</f>
        <v>0</v>
      </c>
      <c r="AB65" s="209">
        <f>MAGPIELink!AB65</f>
        <v>0</v>
      </c>
      <c r="AC65" s="209">
        <f>MAGPIELink!AC65</f>
        <v>0</v>
      </c>
      <c r="AD65" s="209">
        <f>MAGPIELink!AD65</f>
        <v>0</v>
      </c>
      <c r="AE65" s="209">
        <f>MAGPIELink!AE65</f>
        <v>1.867624320984225E-2</v>
      </c>
      <c r="AF65" s="220">
        <f>MAGPIELink!AF65</f>
        <v>0</v>
      </c>
      <c r="AG65" s="436">
        <v>19</v>
      </c>
      <c r="AI65" s="174"/>
    </row>
    <row r="66" spans="1:35">
      <c r="A66" s="215" t="s">
        <v>942</v>
      </c>
      <c r="B66" s="232" t="s">
        <v>940</v>
      </c>
      <c r="C66" s="232">
        <v>2060</v>
      </c>
      <c r="D66" s="232" t="s">
        <v>939</v>
      </c>
      <c r="E66" s="209">
        <f>MAGPIELink!E66</f>
        <v>0</v>
      </c>
      <c r="F66" s="209">
        <f>MAGPIELink!F66</f>
        <v>0</v>
      </c>
      <c r="G66" s="209">
        <f>MAGPIELink!G66</f>
        <v>0</v>
      </c>
      <c r="H66" s="209">
        <f>MAGPIELink!H66</f>
        <v>0</v>
      </c>
      <c r="I66" s="209">
        <f>MAGPIELink!I66</f>
        <v>0</v>
      </c>
      <c r="J66" s="209">
        <f>MAGPIELink!J66</f>
        <v>0</v>
      </c>
      <c r="K66" s="209">
        <f>MAGPIELink!K66</f>
        <v>0</v>
      </c>
      <c r="L66" s="209">
        <f>MAGPIELink!L66</f>
        <v>0</v>
      </c>
      <c r="M66" s="209">
        <f>MAGPIELink!M66</f>
        <v>0</v>
      </c>
      <c r="N66" s="209">
        <f>MAGPIELink!N66</f>
        <v>0</v>
      </c>
      <c r="O66" s="209">
        <f>MAGPIELink!O66</f>
        <v>0</v>
      </c>
      <c r="P66" s="209">
        <f>MAGPIELink!P66</f>
        <v>0</v>
      </c>
      <c r="Q66" s="209">
        <f>MAGPIELink!Q66</f>
        <v>0</v>
      </c>
      <c r="R66" s="209">
        <f>MAGPIELink!R66</f>
        <v>0</v>
      </c>
      <c r="S66" s="209">
        <f>MAGPIELink!S66</f>
        <v>0</v>
      </c>
      <c r="T66" s="209">
        <f>MAGPIELink!T66</f>
        <v>0</v>
      </c>
      <c r="U66" s="209">
        <f>MAGPIELink!U66</f>
        <v>0</v>
      </c>
      <c r="V66" s="209">
        <f>MAGPIELink!V66</f>
        <v>0</v>
      </c>
      <c r="W66" s="209">
        <f>MAGPIELink!W66</f>
        <v>0</v>
      </c>
      <c r="X66" s="209">
        <f>MAGPIELink!X66</f>
        <v>2.5149774052797631E-2</v>
      </c>
      <c r="Y66" s="209">
        <f>MAGPIELink!Y66</f>
        <v>0</v>
      </c>
      <c r="Z66" s="209">
        <f>MAGPIELink!Z66</f>
        <v>0</v>
      </c>
      <c r="AA66" s="209">
        <f>MAGPIELink!AA66</f>
        <v>0</v>
      </c>
      <c r="AB66" s="209">
        <f>MAGPIELink!AB66</f>
        <v>0</v>
      </c>
      <c r="AC66" s="209">
        <f>MAGPIELink!AC66</f>
        <v>0</v>
      </c>
      <c r="AD66" s="209">
        <f>MAGPIELink!AD66</f>
        <v>0</v>
      </c>
      <c r="AE66" s="209">
        <f>MAGPIELink!AE66</f>
        <v>2.5149774052797631E-2</v>
      </c>
      <c r="AF66" s="220">
        <f>MAGPIELink!AF66</f>
        <v>0</v>
      </c>
      <c r="AG66" s="436">
        <v>19</v>
      </c>
      <c r="AI66" s="174"/>
    </row>
    <row r="67" spans="1:35">
      <c r="A67" s="215" t="s">
        <v>942</v>
      </c>
      <c r="B67" s="232" t="s">
        <v>940</v>
      </c>
      <c r="C67" s="232">
        <v>2070</v>
      </c>
      <c r="D67" s="232" t="s">
        <v>939</v>
      </c>
      <c r="E67" s="209">
        <f>MAGPIELink!E67</f>
        <v>0</v>
      </c>
      <c r="F67" s="209">
        <f>MAGPIELink!F67</f>
        <v>0</v>
      </c>
      <c r="G67" s="209">
        <f>MAGPIELink!G67</f>
        <v>0</v>
      </c>
      <c r="H67" s="209">
        <f>MAGPIELink!H67</f>
        <v>0</v>
      </c>
      <c r="I67" s="209">
        <f>MAGPIELink!I67</f>
        <v>0</v>
      </c>
      <c r="J67" s="209">
        <f>MAGPIELink!J67</f>
        <v>0</v>
      </c>
      <c r="K67" s="209">
        <f>MAGPIELink!K67</f>
        <v>0</v>
      </c>
      <c r="L67" s="209">
        <f>MAGPIELink!L67</f>
        <v>0</v>
      </c>
      <c r="M67" s="209">
        <f>MAGPIELink!M67</f>
        <v>0</v>
      </c>
      <c r="N67" s="209">
        <f>MAGPIELink!N67</f>
        <v>0</v>
      </c>
      <c r="O67" s="209">
        <f>MAGPIELink!O67</f>
        <v>0</v>
      </c>
      <c r="P67" s="209">
        <f>MAGPIELink!P67</f>
        <v>0</v>
      </c>
      <c r="Q67" s="209">
        <f>MAGPIELink!Q67</f>
        <v>0</v>
      </c>
      <c r="R67" s="209">
        <f>MAGPIELink!R67</f>
        <v>0</v>
      </c>
      <c r="S67" s="209">
        <f>MAGPIELink!S67</f>
        <v>0</v>
      </c>
      <c r="T67" s="209">
        <f>MAGPIELink!T67</f>
        <v>0</v>
      </c>
      <c r="U67" s="209">
        <f>MAGPIELink!U67</f>
        <v>0</v>
      </c>
      <c r="V67" s="209">
        <f>MAGPIELink!V67</f>
        <v>0</v>
      </c>
      <c r="W67" s="209">
        <f>MAGPIELink!W67</f>
        <v>0</v>
      </c>
      <c r="X67" s="209">
        <f>MAGPIELink!X67</f>
        <v>0</v>
      </c>
      <c r="Y67" s="209">
        <f>MAGPIELink!Y67</f>
        <v>0</v>
      </c>
      <c r="Z67" s="209">
        <f>MAGPIELink!Z67</f>
        <v>0</v>
      </c>
      <c r="AA67" s="209">
        <f>MAGPIELink!AA67</f>
        <v>0</v>
      </c>
      <c r="AB67" s="209">
        <f>MAGPIELink!AB67</f>
        <v>0</v>
      </c>
      <c r="AC67" s="209">
        <f>MAGPIELink!AC67</f>
        <v>0</v>
      </c>
      <c r="AD67" s="209">
        <f>MAGPIELink!AD67</f>
        <v>25287.254912565637</v>
      </c>
      <c r="AE67" s="209">
        <f>MAGPIELink!AE67</f>
        <v>0</v>
      </c>
      <c r="AF67" s="220">
        <f>MAGPIELink!AF67</f>
        <v>0</v>
      </c>
      <c r="AG67" s="436">
        <v>19</v>
      </c>
      <c r="AI67" s="174"/>
    </row>
    <row r="68" spans="1:35">
      <c r="A68" s="215" t="s">
        <v>942</v>
      </c>
      <c r="B68" s="232" t="s">
        <v>940</v>
      </c>
      <c r="C68" s="232">
        <v>2080</v>
      </c>
      <c r="D68" s="232" t="s">
        <v>939</v>
      </c>
      <c r="E68" s="209">
        <f>MAGPIELink!E68</f>
        <v>0</v>
      </c>
      <c r="F68" s="209">
        <f>MAGPIELink!F68</f>
        <v>0</v>
      </c>
      <c r="G68" s="209">
        <f>MAGPIELink!G68</f>
        <v>0</v>
      </c>
      <c r="H68" s="209">
        <f>MAGPIELink!H68</f>
        <v>9435.3899695720957</v>
      </c>
      <c r="I68" s="209">
        <f>MAGPIELink!I68</f>
        <v>0</v>
      </c>
      <c r="J68" s="209">
        <f>MAGPIELink!J68</f>
        <v>0</v>
      </c>
      <c r="K68" s="209">
        <f>MAGPIELink!K68</f>
        <v>4.6406531716806851E-3</v>
      </c>
      <c r="L68" s="209">
        <f>MAGPIELink!L68</f>
        <v>0</v>
      </c>
      <c r="M68" s="209">
        <f>MAGPIELink!M68</f>
        <v>911837.64035837841</v>
      </c>
      <c r="N68" s="209">
        <f>MAGPIELink!N68</f>
        <v>0</v>
      </c>
      <c r="O68" s="209">
        <f>MAGPIELink!O68</f>
        <v>0</v>
      </c>
      <c r="P68" s="209">
        <f>MAGPIELink!P68</f>
        <v>15962.838815378922</v>
      </c>
      <c r="Q68" s="209">
        <f>MAGPIELink!Q68</f>
        <v>0</v>
      </c>
      <c r="R68" s="209">
        <f>MAGPIELink!R68</f>
        <v>3015.1708440935786</v>
      </c>
      <c r="S68" s="209">
        <f>MAGPIELink!S68</f>
        <v>0</v>
      </c>
      <c r="T68" s="209">
        <f>MAGPIELink!T68</f>
        <v>0</v>
      </c>
      <c r="U68" s="209">
        <f>MAGPIELink!U68</f>
        <v>0</v>
      </c>
      <c r="V68" s="209">
        <f>MAGPIELink!V68</f>
        <v>0</v>
      </c>
      <c r="W68" s="209">
        <f>MAGPIELink!W68</f>
        <v>0</v>
      </c>
      <c r="X68" s="209">
        <f>MAGPIELink!X68</f>
        <v>1.1128708948523296E-2</v>
      </c>
      <c r="Y68" s="209">
        <f>MAGPIELink!Y68</f>
        <v>385940.92508276843</v>
      </c>
      <c r="Z68" s="209">
        <f>MAGPIELink!Z68</f>
        <v>0</v>
      </c>
      <c r="AA68" s="209">
        <f>MAGPIELink!AA68</f>
        <v>0</v>
      </c>
      <c r="AB68" s="209">
        <f>MAGPIELink!AB68</f>
        <v>0</v>
      </c>
      <c r="AC68" s="209">
        <f>MAGPIELink!AC68</f>
        <v>0</v>
      </c>
      <c r="AD68" s="209">
        <f>MAGPIELink!AD68</f>
        <v>108623.78311732327</v>
      </c>
      <c r="AE68" s="209">
        <f>MAGPIELink!AE68</f>
        <v>1.1128708948523296E-2</v>
      </c>
      <c r="AF68" s="220">
        <f>MAGPIELink!AF68</f>
        <v>0</v>
      </c>
      <c r="AG68" s="436">
        <v>19</v>
      </c>
      <c r="AI68" s="174"/>
    </row>
    <row r="69" spans="1:35">
      <c r="A69" s="215" t="s">
        <v>942</v>
      </c>
      <c r="B69" s="232" t="s">
        <v>940</v>
      </c>
      <c r="C69" s="232">
        <v>2090</v>
      </c>
      <c r="D69" s="232" t="s">
        <v>939</v>
      </c>
      <c r="E69" s="209">
        <f>MAGPIELink!E69</f>
        <v>386283.53138111479</v>
      </c>
      <c r="F69" s="209">
        <f>MAGPIELink!F69</f>
        <v>0</v>
      </c>
      <c r="G69" s="209">
        <f>MAGPIELink!G69</f>
        <v>2552251.6703412789</v>
      </c>
      <c r="H69" s="209">
        <f>MAGPIELink!H69</f>
        <v>782550.45425199578</v>
      </c>
      <c r="I69" s="209">
        <f>MAGPIELink!I69</f>
        <v>211462.16960453457</v>
      </c>
      <c r="J69" s="209">
        <f>MAGPIELink!J69</f>
        <v>0</v>
      </c>
      <c r="K69" s="209">
        <f>MAGPIELink!K69</f>
        <v>1652621.6594293974</v>
      </c>
      <c r="L69" s="209">
        <f>MAGPIELink!L69</f>
        <v>0</v>
      </c>
      <c r="M69" s="209">
        <f>MAGPIELink!M69</f>
        <v>2271456.1874876106</v>
      </c>
      <c r="N69" s="209">
        <f>MAGPIELink!N69</f>
        <v>560356.18627075106</v>
      </c>
      <c r="O69" s="209">
        <f>MAGPIELink!O69</f>
        <v>0</v>
      </c>
      <c r="P69" s="209">
        <f>MAGPIELink!P69</f>
        <v>1302798.1162879732</v>
      </c>
      <c r="Q69" s="209">
        <f>MAGPIELink!Q69</f>
        <v>104276.50975075579</v>
      </c>
      <c r="R69" s="209">
        <f>MAGPIELink!R69</f>
        <v>43153.592936253153</v>
      </c>
      <c r="S69" s="209">
        <f>MAGPIELink!S69</f>
        <v>22136.290959809528</v>
      </c>
      <c r="T69" s="209">
        <f>MAGPIELink!T69</f>
        <v>55329.66295281674</v>
      </c>
      <c r="U69" s="209">
        <f>MAGPIELink!U69</f>
        <v>0</v>
      </c>
      <c r="V69" s="209">
        <f>MAGPIELink!V69</f>
        <v>1705952.8956922598</v>
      </c>
      <c r="W69" s="209">
        <f>MAGPIELink!W69</f>
        <v>0</v>
      </c>
      <c r="X69" s="209">
        <f>MAGPIELink!X69</f>
        <v>415.61045897946735</v>
      </c>
      <c r="Y69" s="209">
        <f>MAGPIELink!Y69</f>
        <v>5124886.8423008695</v>
      </c>
      <c r="Z69" s="209">
        <f>MAGPIELink!Z69</f>
        <v>0</v>
      </c>
      <c r="AA69" s="209">
        <f>MAGPIELink!AA69</f>
        <v>0</v>
      </c>
      <c r="AB69" s="209">
        <f>MAGPIELink!AB69</f>
        <v>241596.83017464521</v>
      </c>
      <c r="AC69" s="209">
        <f>MAGPIELink!AC69</f>
        <v>0</v>
      </c>
      <c r="AD69" s="209">
        <f>MAGPIELink!AD69</f>
        <v>115560.81671756369</v>
      </c>
      <c r="AE69" s="209">
        <f>MAGPIELink!AE69</f>
        <v>415.61045897946735</v>
      </c>
      <c r="AF69" s="220">
        <f>MAGPIELink!AF69</f>
        <v>1278005.8556094735</v>
      </c>
      <c r="AG69" s="436">
        <v>19</v>
      </c>
      <c r="AI69" s="174"/>
    </row>
    <row r="70" spans="1:35">
      <c r="A70" s="229" t="s">
        <v>942</v>
      </c>
      <c r="B70" s="235" t="s">
        <v>940</v>
      </c>
      <c r="C70" s="235">
        <v>2100</v>
      </c>
      <c r="D70" s="235" t="s">
        <v>939</v>
      </c>
      <c r="E70" s="226">
        <f>MAGPIELink!E70</f>
        <v>439160.89733595261</v>
      </c>
      <c r="F70" s="226">
        <f>MAGPIELink!F70</f>
        <v>0</v>
      </c>
      <c r="G70" s="226">
        <f>MAGPIELink!G70</f>
        <v>2217993.3249284266</v>
      </c>
      <c r="H70" s="226">
        <f>MAGPIELink!H70</f>
        <v>1576502.6266903854</v>
      </c>
      <c r="I70" s="226">
        <f>MAGPIELink!I70</f>
        <v>1441353.3602991491</v>
      </c>
      <c r="J70" s="226">
        <f>MAGPIELink!J70</f>
        <v>0</v>
      </c>
      <c r="K70" s="226">
        <f>MAGPIELink!K70</f>
        <v>3027871.256548408</v>
      </c>
      <c r="L70" s="226">
        <f>MAGPIELink!L70</f>
        <v>0</v>
      </c>
      <c r="M70" s="226">
        <f>MAGPIELink!M70</f>
        <v>2916321.0522408993</v>
      </c>
      <c r="N70" s="226">
        <f>MAGPIELink!N70</f>
        <v>1000815.4277519352</v>
      </c>
      <c r="O70" s="226">
        <f>MAGPIELink!O70</f>
        <v>1293.794002169788</v>
      </c>
      <c r="P70" s="226">
        <f>MAGPIELink!P70</f>
        <v>3093587.792975374</v>
      </c>
      <c r="Q70" s="226">
        <f>MAGPIELink!Q70</f>
        <v>273246.50154005241</v>
      </c>
      <c r="R70" s="226">
        <f>MAGPIELink!R70</f>
        <v>71217.082425438377</v>
      </c>
      <c r="S70" s="226">
        <f>MAGPIELink!S70</f>
        <v>43986.302901263152</v>
      </c>
      <c r="T70" s="226">
        <f>MAGPIELink!T70</f>
        <v>371520.35029014642</v>
      </c>
      <c r="U70" s="226">
        <f>MAGPIELink!U70</f>
        <v>0</v>
      </c>
      <c r="V70" s="226">
        <f>MAGPIELink!V70</f>
        <v>2253215.7848206982</v>
      </c>
      <c r="W70" s="226">
        <f>MAGPIELink!W70</f>
        <v>1096794.4332442994</v>
      </c>
      <c r="X70" s="226">
        <f>MAGPIELink!X70</f>
        <v>68332.472328999967</v>
      </c>
      <c r="Y70" s="226">
        <f>MAGPIELink!Y70</f>
        <v>8692641.7454460636</v>
      </c>
      <c r="Z70" s="226">
        <f>MAGPIELink!Z70</f>
        <v>1728.0924268151005</v>
      </c>
      <c r="AA70" s="226">
        <f>MAGPIELink!AA70</f>
        <v>0</v>
      </c>
      <c r="AB70" s="226">
        <f>MAGPIELink!AB70</f>
        <v>582712.81846688362</v>
      </c>
      <c r="AC70" s="226">
        <f>MAGPIELink!AC70</f>
        <v>78057.620941849935</v>
      </c>
      <c r="AD70" s="226">
        <f>MAGPIELink!AD70</f>
        <v>243090.08343731047</v>
      </c>
      <c r="AE70" s="226">
        <f>MAGPIELink!AE70</f>
        <v>68332.472328999967</v>
      </c>
      <c r="AF70" s="224">
        <f>MAGPIELink!AF70</f>
        <v>3769177.6105897967</v>
      </c>
      <c r="AG70" s="437">
        <v>19</v>
      </c>
      <c r="AI70" s="174"/>
    </row>
    <row r="71" spans="1:35">
      <c r="A71" t="s">
        <v>942</v>
      </c>
      <c r="B71" s="231" t="s">
        <v>941</v>
      </c>
      <c r="C71" s="232">
        <v>2019</v>
      </c>
      <c r="D71" s="231" t="s">
        <v>939</v>
      </c>
      <c r="E71" s="209">
        <f>MAGPIELink!E71</f>
        <v>0</v>
      </c>
      <c r="F71" s="209">
        <f>MAGPIELink!F71</f>
        <v>0</v>
      </c>
      <c r="G71" s="209">
        <f>MAGPIELink!G71</f>
        <v>0</v>
      </c>
      <c r="H71" s="209">
        <f>MAGPIELink!H71</f>
        <v>0</v>
      </c>
      <c r="I71" s="209">
        <f>MAGPIELink!I71</f>
        <v>0</v>
      </c>
      <c r="J71" s="209">
        <f>MAGPIELink!J71</f>
        <v>0</v>
      </c>
      <c r="K71" s="209">
        <f>MAGPIELink!K71</f>
        <v>0</v>
      </c>
      <c r="L71" s="209">
        <f>MAGPIELink!L71</f>
        <v>0</v>
      </c>
      <c r="M71" s="209">
        <f>MAGPIELink!M71</f>
        <v>0</v>
      </c>
      <c r="N71" s="209">
        <f>MAGPIELink!N71</f>
        <v>0</v>
      </c>
      <c r="O71" s="209">
        <f>MAGPIELink!O71</f>
        <v>0</v>
      </c>
      <c r="P71" s="209">
        <f>MAGPIELink!P71</f>
        <v>0</v>
      </c>
      <c r="Q71" s="209">
        <f>MAGPIELink!Q71</f>
        <v>0</v>
      </c>
      <c r="R71" s="209">
        <f>MAGPIELink!R71</f>
        <v>0</v>
      </c>
      <c r="S71" s="209">
        <f>MAGPIELink!S71</f>
        <v>0</v>
      </c>
      <c r="T71" s="209">
        <f>MAGPIELink!T71</f>
        <v>0</v>
      </c>
      <c r="U71" s="209">
        <f>MAGPIELink!U71</f>
        <v>0</v>
      </c>
      <c r="V71" s="209">
        <f>MAGPIELink!V71</f>
        <v>0</v>
      </c>
      <c r="W71" s="209">
        <f>MAGPIELink!W71</f>
        <v>0</v>
      </c>
      <c r="X71" s="209">
        <f>MAGPIELink!X71</f>
        <v>0</v>
      </c>
      <c r="Y71" s="209">
        <f>MAGPIELink!Y71</f>
        <v>0</v>
      </c>
      <c r="Z71" s="209">
        <f>MAGPIELink!Z71</f>
        <v>0</v>
      </c>
      <c r="AA71" s="209">
        <f>MAGPIELink!AA71</f>
        <v>0</v>
      </c>
      <c r="AB71" s="209">
        <f>MAGPIELink!AB71</f>
        <v>0</v>
      </c>
      <c r="AC71" s="209">
        <f>MAGPIELink!AC71</f>
        <v>0</v>
      </c>
      <c r="AD71" s="209">
        <f>MAGPIELink!AD71</f>
        <v>0</v>
      </c>
      <c r="AE71" s="209">
        <f>MAGPIELink!AE71</f>
        <v>0</v>
      </c>
      <c r="AF71" s="209">
        <f>MAGPIELink!AF71</f>
        <v>0</v>
      </c>
      <c r="AG71" s="453">
        <v>19</v>
      </c>
    </row>
    <row r="72" spans="1:35">
      <c r="A72" s="215" t="s">
        <v>942</v>
      </c>
      <c r="B72" s="232" t="s">
        <v>941</v>
      </c>
      <c r="C72">
        <v>2020</v>
      </c>
      <c r="D72" s="232" t="s">
        <v>939</v>
      </c>
      <c r="E72" s="209">
        <f>MAGPIELink!E72</f>
        <v>0</v>
      </c>
      <c r="F72" s="209">
        <f>MAGPIELink!F72</f>
        <v>0</v>
      </c>
      <c r="G72" s="209">
        <f>MAGPIELink!G72</f>
        <v>0</v>
      </c>
      <c r="H72" s="209">
        <f>MAGPIELink!H72</f>
        <v>0</v>
      </c>
      <c r="I72" s="209">
        <f>MAGPIELink!I72</f>
        <v>0</v>
      </c>
      <c r="J72" s="209">
        <f>MAGPIELink!J72</f>
        <v>0</v>
      </c>
      <c r="K72" s="209">
        <f>MAGPIELink!K72</f>
        <v>0</v>
      </c>
      <c r="L72" s="209">
        <f>MAGPIELink!L72</f>
        <v>0</v>
      </c>
      <c r="M72" s="209">
        <f>MAGPIELink!M72</f>
        <v>0</v>
      </c>
      <c r="N72" s="209">
        <f>MAGPIELink!N72</f>
        <v>0</v>
      </c>
      <c r="O72" s="209">
        <f>MAGPIELink!O72</f>
        <v>0</v>
      </c>
      <c r="P72" s="209">
        <f>MAGPIELink!P72</f>
        <v>0</v>
      </c>
      <c r="Q72" s="209">
        <f>MAGPIELink!Q72</f>
        <v>0</v>
      </c>
      <c r="R72" s="209">
        <f>MAGPIELink!R72</f>
        <v>0</v>
      </c>
      <c r="S72" s="209">
        <f>MAGPIELink!S72</f>
        <v>0</v>
      </c>
      <c r="T72" s="209">
        <f>MAGPIELink!T72</f>
        <v>0</v>
      </c>
      <c r="U72" s="209">
        <f>MAGPIELink!U72</f>
        <v>0</v>
      </c>
      <c r="V72" s="209">
        <f>MAGPIELink!V72</f>
        <v>0</v>
      </c>
      <c r="W72" s="209">
        <f>MAGPIELink!W72</f>
        <v>0</v>
      </c>
      <c r="X72" s="209">
        <f>MAGPIELink!X72</f>
        <v>0</v>
      </c>
      <c r="Y72" s="209">
        <f>MAGPIELink!Y72</f>
        <v>0</v>
      </c>
      <c r="Z72" s="209">
        <f>MAGPIELink!Z72</f>
        <v>0</v>
      </c>
      <c r="AA72" s="209">
        <f>MAGPIELink!AA72</f>
        <v>0</v>
      </c>
      <c r="AB72" s="209">
        <f>MAGPIELink!AB72</f>
        <v>0</v>
      </c>
      <c r="AC72" s="209">
        <f>MAGPIELink!AC72</f>
        <v>0</v>
      </c>
      <c r="AD72" s="209">
        <f>MAGPIELink!AD72</f>
        <v>0</v>
      </c>
      <c r="AE72" s="209">
        <f>MAGPIELink!AE72</f>
        <v>0</v>
      </c>
      <c r="AF72" s="220">
        <f>MAGPIELink!AF72</f>
        <v>0</v>
      </c>
      <c r="AG72" s="436">
        <v>19</v>
      </c>
      <c r="AI72" s="174"/>
    </row>
    <row r="73" spans="1:35">
      <c r="A73" s="215" t="s">
        <v>942</v>
      </c>
      <c r="B73" s="232" t="s">
        <v>941</v>
      </c>
      <c r="C73" s="232">
        <v>2025</v>
      </c>
      <c r="D73" s="232" t="s">
        <v>939</v>
      </c>
      <c r="E73" s="209">
        <f>MAGPIELink!E73</f>
        <v>0</v>
      </c>
      <c r="F73" s="209">
        <f>MAGPIELink!F73</f>
        <v>0</v>
      </c>
      <c r="G73" s="209">
        <f>MAGPIELink!G73</f>
        <v>0</v>
      </c>
      <c r="H73" s="209">
        <f>MAGPIELink!H73</f>
        <v>0</v>
      </c>
      <c r="I73" s="209">
        <f>MAGPIELink!I73</f>
        <v>0</v>
      </c>
      <c r="J73" s="209">
        <f>MAGPIELink!J73</f>
        <v>0</v>
      </c>
      <c r="K73" s="209">
        <f>MAGPIELink!K73</f>
        <v>0</v>
      </c>
      <c r="L73" s="209">
        <f>MAGPIELink!L73</f>
        <v>0</v>
      </c>
      <c r="M73" s="209">
        <f>MAGPIELink!M73</f>
        <v>0</v>
      </c>
      <c r="N73" s="209">
        <f>MAGPIELink!N73</f>
        <v>0</v>
      </c>
      <c r="O73" s="209">
        <f>MAGPIELink!O73</f>
        <v>0</v>
      </c>
      <c r="P73" s="209">
        <f>MAGPIELink!P73</f>
        <v>0</v>
      </c>
      <c r="Q73" s="209">
        <f>MAGPIELink!Q73</f>
        <v>0</v>
      </c>
      <c r="R73" s="209">
        <f>MAGPIELink!R73</f>
        <v>0</v>
      </c>
      <c r="S73" s="209">
        <f>MAGPIELink!S73</f>
        <v>0</v>
      </c>
      <c r="T73" s="209">
        <f>MAGPIELink!T73</f>
        <v>0</v>
      </c>
      <c r="U73" s="209">
        <f>MAGPIELink!U73</f>
        <v>0</v>
      </c>
      <c r="V73" s="209">
        <f>MAGPIELink!V73</f>
        <v>0</v>
      </c>
      <c r="W73" s="209">
        <f>MAGPIELink!W73</f>
        <v>0</v>
      </c>
      <c r="X73" s="209">
        <f>MAGPIELink!X73</f>
        <v>0</v>
      </c>
      <c r="Y73" s="209">
        <f>MAGPIELink!Y73</f>
        <v>0</v>
      </c>
      <c r="Z73" s="209">
        <f>MAGPIELink!Z73</f>
        <v>0</v>
      </c>
      <c r="AA73" s="209">
        <f>MAGPIELink!AA73</f>
        <v>0</v>
      </c>
      <c r="AB73" s="209">
        <f>MAGPIELink!AB73</f>
        <v>0</v>
      </c>
      <c r="AC73" s="209">
        <f>MAGPIELink!AC73</f>
        <v>0</v>
      </c>
      <c r="AD73" s="209">
        <f>MAGPIELink!AD73</f>
        <v>0</v>
      </c>
      <c r="AE73" s="209">
        <f>MAGPIELink!AE73</f>
        <v>0</v>
      </c>
      <c r="AF73" s="220">
        <f>MAGPIELink!AF73</f>
        <v>0</v>
      </c>
      <c r="AG73" s="436">
        <v>19</v>
      </c>
      <c r="AI73" s="174"/>
    </row>
    <row r="74" spans="1:35">
      <c r="A74" s="215" t="s">
        <v>942</v>
      </c>
      <c r="B74" s="232" t="s">
        <v>941</v>
      </c>
      <c r="C74" s="232">
        <v>2030</v>
      </c>
      <c r="D74" s="232" t="s">
        <v>939</v>
      </c>
      <c r="E74" s="209">
        <f>MAGPIELink!E74</f>
        <v>0</v>
      </c>
      <c r="F74" s="209">
        <f>MAGPIELink!F74</f>
        <v>0</v>
      </c>
      <c r="G74" s="209">
        <f>MAGPIELink!G74</f>
        <v>0</v>
      </c>
      <c r="H74" s="209">
        <f>MAGPIELink!H74</f>
        <v>0</v>
      </c>
      <c r="I74" s="209">
        <f>MAGPIELink!I74</f>
        <v>0</v>
      </c>
      <c r="J74" s="209">
        <f>MAGPIELink!J74</f>
        <v>0</v>
      </c>
      <c r="K74" s="209">
        <f>MAGPIELink!K74</f>
        <v>0</v>
      </c>
      <c r="L74" s="209">
        <f>MAGPIELink!L74</f>
        <v>0</v>
      </c>
      <c r="M74" s="209">
        <f>MAGPIELink!M74</f>
        <v>0</v>
      </c>
      <c r="N74" s="209">
        <f>MAGPIELink!N74</f>
        <v>0</v>
      </c>
      <c r="O74" s="209">
        <f>MAGPIELink!O74</f>
        <v>0</v>
      </c>
      <c r="P74" s="209">
        <f>MAGPIELink!P74</f>
        <v>0</v>
      </c>
      <c r="Q74" s="209">
        <f>MAGPIELink!Q74</f>
        <v>0</v>
      </c>
      <c r="R74" s="209">
        <f>MAGPIELink!R74</f>
        <v>0</v>
      </c>
      <c r="S74" s="209">
        <f>MAGPIELink!S74</f>
        <v>0</v>
      </c>
      <c r="T74" s="209">
        <f>MAGPIELink!T74</f>
        <v>0</v>
      </c>
      <c r="U74" s="209">
        <f>MAGPIELink!U74</f>
        <v>0</v>
      </c>
      <c r="V74" s="209">
        <f>MAGPIELink!V74</f>
        <v>0</v>
      </c>
      <c r="W74" s="209">
        <f>MAGPIELink!W74</f>
        <v>0</v>
      </c>
      <c r="X74" s="209">
        <f>MAGPIELink!X74</f>
        <v>0</v>
      </c>
      <c r="Y74" s="209">
        <f>MAGPIELink!Y74</f>
        <v>0</v>
      </c>
      <c r="Z74" s="209">
        <f>MAGPIELink!Z74</f>
        <v>0</v>
      </c>
      <c r="AA74" s="209">
        <f>MAGPIELink!AA74</f>
        <v>0</v>
      </c>
      <c r="AB74" s="209">
        <f>MAGPIELink!AB74</f>
        <v>0</v>
      </c>
      <c r="AC74" s="209">
        <f>MAGPIELink!AC74</f>
        <v>0</v>
      </c>
      <c r="AD74" s="209">
        <f>MAGPIELink!AD74</f>
        <v>0</v>
      </c>
      <c r="AE74" s="209">
        <f>MAGPIELink!AE74</f>
        <v>0</v>
      </c>
      <c r="AF74" s="220">
        <f>MAGPIELink!AF74</f>
        <v>0</v>
      </c>
      <c r="AG74" s="436">
        <v>19</v>
      </c>
      <c r="AI74" s="174"/>
    </row>
    <row r="75" spans="1:35">
      <c r="A75" s="215" t="s">
        <v>942</v>
      </c>
      <c r="B75" s="232" t="s">
        <v>941</v>
      </c>
      <c r="C75" s="232">
        <v>2035</v>
      </c>
      <c r="D75" s="232" t="s">
        <v>939</v>
      </c>
      <c r="E75" s="209">
        <f>MAGPIELink!E75</f>
        <v>0</v>
      </c>
      <c r="F75" s="209">
        <f>MAGPIELink!F75</f>
        <v>0</v>
      </c>
      <c r="G75" s="209">
        <f>MAGPIELink!G75</f>
        <v>0</v>
      </c>
      <c r="H75" s="209">
        <f>MAGPIELink!H75</f>
        <v>0</v>
      </c>
      <c r="I75" s="209">
        <f>MAGPIELink!I75</f>
        <v>0</v>
      </c>
      <c r="J75" s="209">
        <f>MAGPIELink!J75</f>
        <v>0</v>
      </c>
      <c r="K75" s="209">
        <f>MAGPIELink!K75</f>
        <v>10.005531343968158</v>
      </c>
      <c r="L75" s="209">
        <f>MAGPIELink!L75</f>
        <v>0</v>
      </c>
      <c r="M75" s="209">
        <f>MAGPIELink!M75</f>
        <v>0</v>
      </c>
      <c r="N75" s="209">
        <f>MAGPIELink!N75</f>
        <v>0</v>
      </c>
      <c r="O75" s="209">
        <f>MAGPIELink!O75</f>
        <v>0</v>
      </c>
      <c r="P75" s="209">
        <f>MAGPIELink!P75</f>
        <v>0</v>
      </c>
      <c r="Q75" s="209">
        <f>MAGPIELink!Q75</f>
        <v>0</v>
      </c>
      <c r="R75" s="209">
        <f>MAGPIELink!R75</f>
        <v>0</v>
      </c>
      <c r="S75" s="209">
        <f>MAGPIELink!S75</f>
        <v>0</v>
      </c>
      <c r="T75" s="209">
        <f>MAGPIELink!T75</f>
        <v>0</v>
      </c>
      <c r="U75" s="209">
        <f>MAGPIELink!U75</f>
        <v>0</v>
      </c>
      <c r="V75" s="209">
        <f>MAGPIELink!V75</f>
        <v>0</v>
      </c>
      <c r="W75" s="209">
        <f>MAGPIELink!W75</f>
        <v>0</v>
      </c>
      <c r="X75" s="209">
        <f>MAGPIELink!X75</f>
        <v>0</v>
      </c>
      <c r="Y75" s="209">
        <f>MAGPIELink!Y75</f>
        <v>0</v>
      </c>
      <c r="Z75" s="209">
        <f>MAGPIELink!Z75</f>
        <v>0</v>
      </c>
      <c r="AA75" s="209">
        <f>MAGPIELink!AA75</f>
        <v>0</v>
      </c>
      <c r="AB75" s="209">
        <f>MAGPIELink!AB75</f>
        <v>0</v>
      </c>
      <c r="AC75" s="209">
        <f>MAGPIELink!AC75</f>
        <v>0</v>
      </c>
      <c r="AD75" s="209">
        <f>MAGPIELink!AD75</f>
        <v>0</v>
      </c>
      <c r="AE75" s="209">
        <f>MAGPIELink!AE75</f>
        <v>0</v>
      </c>
      <c r="AF75" s="220">
        <f>MAGPIELink!AF75</f>
        <v>0</v>
      </c>
      <c r="AG75" s="436">
        <v>19</v>
      </c>
      <c r="AI75" s="174"/>
    </row>
    <row r="76" spans="1:35">
      <c r="A76" s="215" t="s">
        <v>942</v>
      </c>
      <c r="B76" s="232" t="s">
        <v>941</v>
      </c>
      <c r="C76" s="232">
        <v>2040</v>
      </c>
      <c r="D76" s="232" t="s">
        <v>939</v>
      </c>
      <c r="E76" s="209">
        <f>MAGPIELink!E76</f>
        <v>0</v>
      </c>
      <c r="F76" s="209">
        <f>MAGPIELink!F76</f>
        <v>0</v>
      </c>
      <c r="G76" s="209">
        <f>MAGPIELink!G76</f>
        <v>0</v>
      </c>
      <c r="H76" s="209">
        <f>MAGPIELink!H76</f>
        <v>0</v>
      </c>
      <c r="I76" s="209">
        <f>MAGPIELink!I76</f>
        <v>0</v>
      </c>
      <c r="J76" s="209">
        <f>MAGPIELink!J76</f>
        <v>0</v>
      </c>
      <c r="K76" s="209">
        <f>MAGPIELink!K76</f>
        <v>1.7066908683089088E-3</v>
      </c>
      <c r="L76" s="209">
        <f>MAGPIELink!L76</f>
        <v>0</v>
      </c>
      <c r="M76" s="209">
        <f>MAGPIELink!M76</f>
        <v>0</v>
      </c>
      <c r="N76" s="209">
        <f>MAGPIELink!N76</f>
        <v>0</v>
      </c>
      <c r="O76" s="209">
        <f>MAGPIELink!O76</f>
        <v>0</v>
      </c>
      <c r="P76" s="209">
        <f>MAGPIELink!P76</f>
        <v>0</v>
      </c>
      <c r="Q76" s="209">
        <f>MAGPIELink!Q76</f>
        <v>0</v>
      </c>
      <c r="R76" s="209">
        <f>MAGPIELink!R76</f>
        <v>0</v>
      </c>
      <c r="S76" s="209">
        <f>MAGPIELink!S76</f>
        <v>0</v>
      </c>
      <c r="T76" s="209">
        <f>MAGPIELink!T76</f>
        <v>0</v>
      </c>
      <c r="U76" s="209">
        <f>MAGPIELink!U76</f>
        <v>0</v>
      </c>
      <c r="V76" s="209">
        <f>MAGPIELink!V76</f>
        <v>0</v>
      </c>
      <c r="W76" s="209">
        <f>MAGPIELink!W76</f>
        <v>0</v>
      </c>
      <c r="X76" s="209">
        <f>MAGPIELink!X76</f>
        <v>0</v>
      </c>
      <c r="Y76" s="209">
        <f>MAGPIELink!Y76</f>
        <v>0</v>
      </c>
      <c r="Z76" s="209">
        <f>MAGPIELink!Z76</f>
        <v>0</v>
      </c>
      <c r="AA76" s="209">
        <f>MAGPIELink!AA76</f>
        <v>0</v>
      </c>
      <c r="AB76" s="209">
        <f>MAGPIELink!AB76</f>
        <v>0</v>
      </c>
      <c r="AC76" s="209">
        <f>MAGPIELink!AC76</f>
        <v>0</v>
      </c>
      <c r="AD76" s="209">
        <f>MAGPIELink!AD76</f>
        <v>0</v>
      </c>
      <c r="AE76" s="209">
        <f>MAGPIELink!AE76</f>
        <v>0</v>
      </c>
      <c r="AF76" s="220">
        <f>MAGPIELink!AF76</f>
        <v>0</v>
      </c>
      <c r="AG76" s="436">
        <v>19</v>
      </c>
      <c r="AI76" s="174"/>
    </row>
    <row r="77" spans="1:35">
      <c r="A77" s="215" t="s">
        <v>942</v>
      </c>
      <c r="B77" s="232" t="s">
        <v>941</v>
      </c>
      <c r="C77" s="232">
        <v>2045</v>
      </c>
      <c r="D77" s="232" t="s">
        <v>939</v>
      </c>
      <c r="E77" s="209">
        <f>MAGPIELink!E77</f>
        <v>0</v>
      </c>
      <c r="F77" s="209">
        <f>MAGPIELink!F77</f>
        <v>0</v>
      </c>
      <c r="G77" s="209">
        <f>MAGPIELink!G77</f>
        <v>0</v>
      </c>
      <c r="H77" s="209">
        <f>MAGPIELink!H77</f>
        <v>0</v>
      </c>
      <c r="I77" s="209">
        <f>MAGPIELink!I77</f>
        <v>0</v>
      </c>
      <c r="J77" s="209">
        <f>MAGPIELink!J77</f>
        <v>0</v>
      </c>
      <c r="K77" s="209">
        <f>MAGPIELink!K77</f>
        <v>2.6986839053648967E-3</v>
      </c>
      <c r="L77" s="209">
        <f>MAGPIELink!L77</f>
        <v>0</v>
      </c>
      <c r="M77" s="209">
        <f>MAGPIELink!M77</f>
        <v>0</v>
      </c>
      <c r="N77" s="209">
        <f>MAGPIELink!N77</f>
        <v>0</v>
      </c>
      <c r="O77" s="209">
        <f>MAGPIELink!O77</f>
        <v>0</v>
      </c>
      <c r="P77" s="209">
        <f>MAGPIELink!P77</f>
        <v>0</v>
      </c>
      <c r="Q77" s="209">
        <f>MAGPIELink!Q77</f>
        <v>0</v>
      </c>
      <c r="R77" s="209">
        <f>MAGPIELink!R77</f>
        <v>0</v>
      </c>
      <c r="S77" s="209">
        <f>MAGPIELink!S77</f>
        <v>0</v>
      </c>
      <c r="T77" s="209">
        <f>MAGPIELink!T77</f>
        <v>0</v>
      </c>
      <c r="U77" s="209">
        <f>MAGPIELink!U77</f>
        <v>0</v>
      </c>
      <c r="V77" s="209">
        <f>MAGPIELink!V77</f>
        <v>0</v>
      </c>
      <c r="W77" s="209">
        <f>MAGPIELink!W77</f>
        <v>9.6135630789362367E-2</v>
      </c>
      <c r="X77" s="209">
        <f>MAGPIELink!X77</f>
        <v>0</v>
      </c>
      <c r="Y77" s="209">
        <f>MAGPIELink!Y77</f>
        <v>0</v>
      </c>
      <c r="Z77" s="209">
        <f>MAGPIELink!Z77</f>
        <v>0</v>
      </c>
      <c r="AA77" s="209">
        <f>MAGPIELink!AA77</f>
        <v>0</v>
      </c>
      <c r="AB77" s="209">
        <f>MAGPIELink!AB77</f>
        <v>0</v>
      </c>
      <c r="AC77" s="209">
        <f>MAGPIELink!AC77</f>
        <v>0</v>
      </c>
      <c r="AD77" s="209">
        <f>MAGPIELink!AD77</f>
        <v>0</v>
      </c>
      <c r="AE77" s="209">
        <f>MAGPIELink!AE77</f>
        <v>0</v>
      </c>
      <c r="AF77" s="220">
        <f>MAGPIELink!AF77</f>
        <v>0</v>
      </c>
      <c r="AG77" s="436">
        <v>19</v>
      </c>
      <c r="AI77" s="174"/>
    </row>
    <row r="78" spans="1:35">
      <c r="A78" s="215" t="s">
        <v>942</v>
      </c>
      <c r="B78" s="232" t="s">
        <v>941</v>
      </c>
      <c r="C78" s="232">
        <v>2050</v>
      </c>
      <c r="D78" s="232" t="s">
        <v>939</v>
      </c>
      <c r="E78" s="209">
        <f>MAGPIELink!E78</f>
        <v>0</v>
      </c>
      <c r="F78" s="209">
        <f>MAGPIELink!F78</f>
        <v>0</v>
      </c>
      <c r="G78" s="209">
        <f>MAGPIELink!G78</f>
        <v>0</v>
      </c>
      <c r="H78" s="209">
        <f>MAGPIELink!H78</f>
        <v>0</v>
      </c>
      <c r="I78" s="209">
        <f>MAGPIELink!I78</f>
        <v>0</v>
      </c>
      <c r="J78" s="209">
        <f>MAGPIELink!J78</f>
        <v>0</v>
      </c>
      <c r="K78" s="209">
        <f>MAGPIELink!K78</f>
        <v>4.7907854744692231E-3</v>
      </c>
      <c r="L78" s="209">
        <f>MAGPIELink!L78</f>
        <v>0</v>
      </c>
      <c r="M78" s="209">
        <f>MAGPIELink!M78</f>
        <v>0</v>
      </c>
      <c r="N78" s="209">
        <f>MAGPIELink!N78</f>
        <v>0</v>
      </c>
      <c r="O78" s="209">
        <f>MAGPIELink!O78</f>
        <v>0</v>
      </c>
      <c r="P78" s="209">
        <f>MAGPIELink!P78</f>
        <v>0</v>
      </c>
      <c r="Q78" s="209">
        <f>MAGPIELink!Q78</f>
        <v>0</v>
      </c>
      <c r="R78" s="209">
        <f>MAGPIELink!R78</f>
        <v>0</v>
      </c>
      <c r="S78" s="209">
        <f>MAGPIELink!S78</f>
        <v>0</v>
      </c>
      <c r="T78" s="209">
        <f>MAGPIELink!T78</f>
        <v>0</v>
      </c>
      <c r="U78" s="209">
        <f>MAGPIELink!U78</f>
        <v>0</v>
      </c>
      <c r="V78" s="209">
        <f>MAGPIELink!V78</f>
        <v>0</v>
      </c>
      <c r="W78" s="209">
        <f>MAGPIELink!W78</f>
        <v>0</v>
      </c>
      <c r="X78" s="209">
        <f>MAGPIELink!X78</f>
        <v>0</v>
      </c>
      <c r="Y78" s="209">
        <f>MAGPIELink!Y78</f>
        <v>0</v>
      </c>
      <c r="Z78" s="209">
        <f>MAGPIELink!Z78</f>
        <v>0</v>
      </c>
      <c r="AA78" s="209">
        <f>MAGPIELink!AA78</f>
        <v>0</v>
      </c>
      <c r="AB78" s="209">
        <f>MAGPIELink!AB78</f>
        <v>0</v>
      </c>
      <c r="AC78" s="209">
        <f>MAGPIELink!AC78</f>
        <v>0</v>
      </c>
      <c r="AD78" s="209">
        <f>MAGPIELink!AD78</f>
        <v>0</v>
      </c>
      <c r="AE78" s="209">
        <f>MAGPIELink!AE78</f>
        <v>0</v>
      </c>
      <c r="AF78" s="220">
        <f>MAGPIELink!AF78</f>
        <v>0</v>
      </c>
      <c r="AG78" s="436">
        <v>19</v>
      </c>
      <c r="AI78" s="174"/>
    </row>
    <row r="79" spans="1:35">
      <c r="A79" s="215" t="s">
        <v>942</v>
      </c>
      <c r="B79" s="232" t="s">
        <v>941</v>
      </c>
      <c r="C79" s="232">
        <v>2060</v>
      </c>
      <c r="D79" s="232" t="s">
        <v>939</v>
      </c>
      <c r="E79" s="209">
        <f>MAGPIELink!E79</f>
        <v>0</v>
      </c>
      <c r="F79" s="209">
        <f>MAGPIELink!F79</f>
        <v>0</v>
      </c>
      <c r="G79" s="209">
        <f>MAGPIELink!G79</f>
        <v>0</v>
      </c>
      <c r="H79" s="209">
        <f>MAGPIELink!H79</f>
        <v>0</v>
      </c>
      <c r="I79" s="209">
        <f>MAGPIELink!I79</f>
        <v>0</v>
      </c>
      <c r="J79" s="209">
        <f>MAGPIELink!J79</f>
        <v>0</v>
      </c>
      <c r="K79" s="209">
        <f>MAGPIELink!K79</f>
        <v>8.3564089975159787E-3</v>
      </c>
      <c r="L79" s="209">
        <f>MAGPIELink!L79</f>
        <v>0</v>
      </c>
      <c r="M79" s="209">
        <f>MAGPIELink!M79</f>
        <v>86210.708614822113</v>
      </c>
      <c r="N79" s="209">
        <f>MAGPIELink!N79</f>
        <v>0</v>
      </c>
      <c r="O79" s="209">
        <f>MAGPIELink!O79</f>
        <v>0</v>
      </c>
      <c r="P79" s="209">
        <f>MAGPIELink!P79</f>
        <v>0</v>
      </c>
      <c r="Q79" s="209">
        <f>MAGPIELink!Q79</f>
        <v>0</v>
      </c>
      <c r="R79" s="209">
        <f>MAGPIELink!R79</f>
        <v>0</v>
      </c>
      <c r="S79" s="209">
        <f>MAGPIELink!S79</f>
        <v>0</v>
      </c>
      <c r="T79" s="209">
        <f>MAGPIELink!T79</f>
        <v>0</v>
      </c>
      <c r="U79" s="209">
        <f>MAGPIELink!U79</f>
        <v>0</v>
      </c>
      <c r="V79" s="209">
        <f>MAGPIELink!V79</f>
        <v>0</v>
      </c>
      <c r="W79" s="209">
        <f>MAGPIELink!W79</f>
        <v>0</v>
      </c>
      <c r="X79" s="209">
        <f>MAGPIELink!X79</f>
        <v>0</v>
      </c>
      <c r="Y79" s="209">
        <f>MAGPIELink!Y79</f>
        <v>0</v>
      </c>
      <c r="Z79" s="209">
        <f>MAGPIELink!Z79</f>
        <v>0</v>
      </c>
      <c r="AA79" s="209">
        <f>MAGPIELink!AA79</f>
        <v>0</v>
      </c>
      <c r="AB79" s="209">
        <f>MAGPIELink!AB79</f>
        <v>0</v>
      </c>
      <c r="AC79" s="209">
        <f>MAGPIELink!AC79</f>
        <v>0</v>
      </c>
      <c r="AD79" s="209">
        <f>MAGPIELink!AD79</f>
        <v>39231.613651310108</v>
      </c>
      <c r="AE79" s="209">
        <f>MAGPIELink!AE79</f>
        <v>0</v>
      </c>
      <c r="AF79" s="220">
        <f>MAGPIELink!AF79</f>
        <v>0</v>
      </c>
      <c r="AG79" s="436">
        <v>19</v>
      </c>
      <c r="AI79" s="174"/>
    </row>
    <row r="80" spans="1:35">
      <c r="A80" s="215" t="s">
        <v>942</v>
      </c>
      <c r="B80" s="232" t="s">
        <v>941</v>
      </c>
      <c r="C80" s="232">
        <v>2070</v>
      </c>
      <c r="D80" s="232" t="s">
        <v>939</v>
      </c>
      <c r="E80" s="209">
        <f>MAGPIELink!E80</f>
        <v>0</v>
      </c>
      <c r="F80" s="209">
        <f>MAGPIELink!F80</f>
        <v>0</v>
      </c>
      <c r="G80" s="209">
        <f>MAGPIELink!G80</f>
        <v>622356.4909612895</v>
      </c>
      <c r="H80" s="209">
        <f>MAGPIELink!H80</f>
        <v>54564.473214788421</v>
      </c>
      <c r="I80" s="209">
        <f>MAGPIELink!I80</f>
        <v>0</v>
      </c>
      <c r="J80" s="209">
        <f>MAGPIELink!J80</f>
        <v>0</v>
      </c>
      <c r="K80" s="209">
        <f>MAGPIELink!K80</f>
        <v>1021670.2489723379</v>
      </c>
      <c r="L80" s="209">
        <f>MAGPIELink!L80</f>
        <v>0</v>
      </c>
      <c r="M80" s="209">
        <f>MAGPIELink!M80</f>
        <v>1821803.6956138902</v>
      </c>
      <c r="N80" s="209">
        <f>MAGPIELink!N80</f>
        <v>0</v>
      </c>
      <c r="O80" s="209">
        <f>MAGPIELink!O80</f>
        <v>0</v>
      </c>
      <c r="P80" s="209">
        <f>MAGPIELink!P80</f>
        <v>0</v>
      </c>
      <c r="Q80" s="209">
        <f>MAGPIELink!Q80</f>
        <v>25094.785911495554</v>
      </c>
      <c r="R80" s="209">
        <f>MAGPIELink!R80</f>
        <v>0</v>
      </c>
      <c r="S80" s="209">
        <f>MAGPIELink!S80</f>
        <v>6219.4684958901107</v>
      </c>
      <c r="T80" s="209">
        <f>MAGPIELink!T80</f>
        <v>0</v>
      </c>
      <c r="U80" s="209">
        <f>MAGPIELink!U80</f>
        <v>0</v>
      </c>
      <c r="V80" s="209">
        <f>MAGPIELink!V80</f>
        <v>1230498.7690039007</v>
      </c>
      <c r="W80" s="209">
        <f>MAGPIELink!W80</f>
        <v>0</v>
      </c>
      <c r="X80" s="209">
        <f>MAGPIELink!X80</f>
        <v>1.2035200263283448E-2</v>
      </c>
      <c r="Y80" s="209">
        <f>MAGPIELink!Y80</f>
        <v>2025237.2788222649</v>
      </c>
      <c r="Z80" s="209">
        <f>MAGPIELink!Z80</f>
        <v>0</v>
      </c>
      <c r="AA80" s="209">
        <f>MAGPIELink!AA80</f>
        <v>0</v>
      </c>
      <c r="AB80" s="209">
        <f>MAGPIELink!AB80</f>
        <v>0</v>
      </c>
      <c r="AC80" s="209">
        <f>MAGPIELink!AC80</f>
        <v>0</v>
      </c>
      <c r="AD80" s="209">
        <f>MAGPIELink!AD80</f>
        <v>103842.63425968458</v>
      </c>
      <c r="AE80" s="209">
        <f>MAGPIELink!AE80</f>
        <v>1.2035200263283448E-2</v>
      </c>
      <c r="AF80" s="220">
        <f>MAGPIELink!AF80</f>
        <v>1.14894099380679E-2</v>
      </c>
      <c r="AG80" s="436">
        <v>19</v>
      </c>
      <c r="AI80" s="174"/>
    </row>
    <row r="81" spans="1:35">
      <c r="A81" s="215" t="s">
        <v>942</v>
      </c>
      <c r="B81" s="232" t="s">
        <v>941</v>
      </c>
      <c r="C81" s="232">
        <v>2080</v>
      </c>
      <c r="D81" s="232" t="s">
        <v>939</v>
      </c>
      <c r="E81" s="209">
        <f>MAGPIELink!E81</f>
        <v>370752.27382190205</v>
      </c>
      <c r="F81" s="209">
        <f>MAGPIELink!F81</f>
        <v>0</v>
      </c>
      <c r="G81" s="209">
        <f>MAGPIELink!G81</f>
        <v>2733061.7908390141</v>
      </c>
      <c r="H81" s="209">
        <f>MAGPIELink!H81</f>
        <v>832849.15279441734</v>
      </c>
      <c r="I81" s="209">
        <f>MAGPIELink!I81</f>
        <v>219979.93996946866</v>
      </c>
      <c r="J81" s="209">
        <f>MAGPIELink!J81</f>
        <v>0</v>
      </c>
      <c r="K81" s="209">
        <f>MAGPIELink!K81</f>
        <v>2187934.8514221818</v>
      </c>
      <c r="L81" s="209">
        <f>MAGPIELink!L81</f>
        <v>0</v>
      </c>
      <c r="M81" s="209">
        <f>MAGPIELink!M81</f>
        <v>1251020.9193740052</v>
      </c>
      <c r="N81" s="209">
        <f>MAGPIELink!N81</f>
        <v>515937.22329541435</v>
      </c>
      <c r="O81" s="209">
        <f>MAGPIELink!O81</f>
        <v>4874.6780140258925</v>
      </c>
      <c r="P81" s="209">
        <f>MAGPIELink!P81</f>
        <v>148664.80078798416</v>
      </c>
      <c r="Q81" s="209">
        <f>MAGPIELink!Q81</f>
        <v>97151.854994943409</v>
      </c>
      <c r="R81" s="209">
        <f>MAGPIELink!R81</f>
        <v>17146.059399527789</v>
      </c>
      <c r="S81" s="209">
        <f>MAGPIELink!S81</f>
        <v>79099.550080047848</v>
      </c>
      <c r="T81" s="209">
        <f>MAGPIELink!T81</f>
        <v>167867.72080363223</v>
      </c>
      <c r="U81" s="209">
        <f>MAGPIELink!U81</f>
        <v>0</v>
      </c>
      <c r="V81" s="209">
        <f>MAGPIELink!V81</f>
        <v>1606174.2706305701</v>
      </c>
      <c r="W81" s="209">
        <f>MAGPIELink!W81</f>
        <v>27684.297229692038</v>
      </c>
      <c r="X81" s="209">
        <f>MAGPIELink!X81</f>
        <v>24123.420265085784</v>
      </c>
      <c r="Y81" s="209">
        <f>MAGPIELink!Y81</f>
        <v>3289488.7495977837</v>
      </c>
      <c r="Z81" s="209">
        <f>MAGPIELink!Z81</f>
        <v>0</v>
      </c>
      <c r="AA81" s="209">
        <f>MAGPIELink!AA81</f>
        <v>0</v>
      </c>
      <c r="AB81" s="209">
        <f>MAGPIELink!AB81</f>
        <v>166364.90225767315</v>
      </c>
      <c r="AC81" s="209">
        <f>MAGPIELink!AC81</f>
        <v>0</v>
      </c>
      <c r="AD81" s="209">
        <f>MAGPIELink!AD81</f>
        <v>22985.467283223152</v>
      </c>
      <c r="AE81" s="209">
        <f>MAGPIELink!AE81</f>
        <v>24123.420265085784</v>
      </c>
      <c r="AF81" s="220">
        <f>MAGPIELink!AF81</f>
        <v>1212951.0226892314</v>
      </c>
      <c r="AG81" s="436">
        <v>19</v>
      </c>
      <c r="AI81" s="174"/>
    </row>
    <row r="82" spans="1:35">
      <c r="A82" s="215" t="s">
        <v>942</v>
      </c>
      <c r="B82" s="232" t="s">
        <v>941</v>
      </c>
      <c r="C82" s="232">
        <v>2090</v>
      </c>
      <c r="D82" s="232" t="s">
        <v>939</v>
      </c>
      <c r="E82" s="209">
        <f>MAGPIELink!E82</f>
        <v>135482.12919482106</v>
      </c>
      <c r="F82" s="209">
        <f>MAGPIELink!F82</f>
        <v>5851.7635044000526</v>
      </c>
      <c r="G82" s="209">
        <f>MAGPIELink!G82</f>
        <v>98749.992517468476</v>
      </c>
      <c r="H82" s="209">
        <f>MAGPIELink!H82</f>
        <v>521904.50600994204</v>
      </c>
      <c r="I82" s="209">
        <f>MAGPIELink!I82</f>
        <v>1233082.564625409</v>
      </c>
      <c r="J82" s="209">
        <f>MAGPIELink!J82</f>
        <v>20009.344679797479</v>
      </c>
      <c r="K82" s="209">
        <f>MAGPIELink!K82</f>
        <v>786384.64936614735</v>
      </c>
      <c r="L82" s="209">
        <f>MAGPIELink!L82</f>
        <v>0</v>
      </c>
      <c r="M82" s="209">
        <f>MAGPIELink!M82</f>
        <v>399058.255462058</v>
      </c>
      <c r="N82" s="209">
        <f>MAGPIELink!N82</f>
        <v>257843.27465538422</v>
      </c>
      <c r="O82" s="209">
        <f>MAGPIELink!O82</f>
        <v>127914.05380876179</v>
      </c>
      <c r="P82" s="209">
        <f>MAGPIELink!P82</f>
        <v>1899403.0983329897</v>
      </c>
      <c r="Q82" s="209">
        <f>MAGPIELink!Q82</f>
        <v>134648.18000058841</v>
      </c>
      <c r="R82" s="209">
        <f>MAGPIELink!R82</f>
        <v>21858.086253737903</v>
      </c>
      <c r="S82" s="209">
        <f>MAGPIELink!S82</f>
        <v>177804.44143069946</v>
      </c>
      <c r="T82" s="209">
        <f>MAGPIELink!T82</f>
        <v>148635.42795414632</v>
      </c>
      <c r="U82" s="209">
        <f>MAGPIELink!U82</f>
        <v>0</v>
      </c>
      <c r="V82" s="209">
        <f>MAGPIELink!V82</f>
        <v>47819.773469905231</v>
      </c>
      <c r="W82" s="209">
        <f>MAGPIELink!W82</f>
        <v>810727.53186235158</v>
      </c>
      <c r="X82" s="209">
        <f>MAGPIELink!X82</f>
        <v>63466.720159562094</v>
      </c>
      <c r="Y82" s="209">
        <f>MAGPIELink!Y82</f>
        <v>1786859.909998579</v>
      </c>
      <c r="Z82" s="209">
        <f>MAGPIELink!Z82</f>
        <v>0</v>
      </c>
      <c r="AA82" s="209">
        <f>MAGPIELink!AA82</f>
        <v>0</v>
      </c>
      <c r="AB82" s="209">
        <f>MAGPIELink!AB82</f>
        <v>185459.8702901837</v>
      </c>
      <c r="AC82" s="209">
        <f>MAGPIELink!AC82</f>
        <v>0</v>
      </c>
      <c r="AD82" s="209">
        <f>MAGPIELink!AD82</f>
        <v>943132.93544408109</v>
      </c>
      <c r="AE82" s="209">
        <f>MAGPIELink!AE82</f>
        <v>63466.720159562094</v>
      </c>
      <c r="AF82" s="220">
        <f>MAGPIELink!AF82</f>
        <v>424555.12365638418</v>
      </c>
      <c r="AG82" s="436">
        <v>19</v>
      </c>
      <c r="AI82" s="174"/>
    </row>
    <row r="83" spans="1:35" ht="16.2" thickBot="1">
      <c r="A83" s="449" t="s">
        <v>942</v>
      </c>
      <c r="B83" s="450" t="s">
        <v>941</v>
      </c>
      <c r="C83" s="450">
        <v>2100</v>
      </c>
      <c r="D83" s="450" t="s">
        <v>939</v>
      </c>
      <c r="E83" s="212">
        <f>MAGPIELink!E83</f>
        <v>833220.26592394209</v>
      </c>
      <c r="F83" s="212">
        <f>MAGPIELink!F83</f>
        <v>0</v>
      </c>
      <c r="G83" s="212">
        <f>MAGPIELink!G83</f>
        <v>1654671.7258305743</v>
      </c>
      <c r="H83" s="212">
        <f>MAGPIELink!H83</f>
        <v>17422.488317342228</v>
      </c>
      <c r="I83" s="212">
        <f>MAGPIELink!I83</f>
        <v>827430.05379458424</v>
      </c>
      <c r="J83" s="212">
        <f>MAGPIELink!J83</f>
        <v>233926.65494455735</v>
      </c>
      <c r="K83" s="212">
        <f>MAGPIELink!K83</f>
        <v>0</v>
      </c>
      <c r="L83" s="212">
        <f>MAGPIELink!L83</f>
        <v>0</v>
      </c>
      <c r="M83" s="212">
        <f>MAGPIELink!M83</f>
        <v>62883.860320353255</v>
      </c>
      <c r="N83" s="212">
        <f>MAGPIELink!N83</f>
        <v>80608.978404199952</v>
      </c>
      <c r="O83" s="212">
        <f>MAGPIELink!O83</f>
        <v>222343.67847568469</v>
      </c>
      <c r="P83" s="212">
        <f>MAGPIELink!P83</f>
        <v>291561.79293038364</v>
      </c>
      <c r="Q83" s="212">
        <f>MAGPIELink!Q83</f>
        <v>83725.997549456835</v>
      </c>
      <c r="R83" s="212">
        <f>MAGPIELink!R83</f>
        <v>81701.459053257902</v>
      </c>
      <c r="S83" s="212">
        <f>MAGPIELink!S83</f>
        <v>304213.64846358821</v>
      </c>
      <c r="T83" s="212">
        <f>MAGPIELink!T83</f>
        <v>0</v>
      </c>
      <c r="U83" s="212">
        <f>MAGPIELink!U83</f>
        <v>99873.611840423066</v>
      </c>
      <c r="V83" s="212">
        <f>MAGPIELink!V83</f>
        <v>0</v>
      </c>
      <c r="W83" s="212">
        <f>MAGPIELink!W83</f>
        <v>234704.60953999474</v>
      </c>
      <c r="X83" s="212">
        <f>MAGPIELink!X83</f>
        <v>8171.8567788392184</v>
      </c>
      <c r="Y83" s="212">
        <f>MAGPIELink!Y83</f>
        <v>324157.88166294812</v>
      </c>
      <c r="Z83" s="212">
        <f>MAGPIELink!Z83</f>
        <v>42029.250885653164</v>
      </c>
      <c r="AA83" s="212">
        <f>MAGPIELink!AA83</f>
        <v>154054.65788620926</v>
      </c>
      <c r="AB83" s="212">
        <f>MAGPIELink!AB83</f>
        <v>34875.745884331525</v>
      </c>
      <c r="AC83" s="212">
        <f>MAGPIELink!AC83</f>
        <v>0</v>
      </c>
      <c r="AD83" s="212">
        <f>MAGPIELink!AD83</f>
        <v>1178206.3626930653</v>
      </c>
      <c r="AE83" s="212">
        <f>MAGPIELink!AE83</f>
        <v>8171.8567788392184</v>
      </c>
      <c r="AF83" s="451">
        <f>MAGPIELink!AF83</f>
        <v>251888.36147956894</v>
      </c>
      <c r="AG83" s="452">
        <v>19</v>
      </c>
      <c r="AI83" s="174"/>
    </row>
    <row r="84" spans="1:35">
      <c r="A84" s="215" t="s">
        <v>943</v>
      </c>
      <c r="B84" s="232" t="s">
        <v>938</v>
      </c>
      <c r="C84" s="232">
        <v>2019</v>
      </c>
      <c r="D84" s="232" t="s">
        <v>939</v>
      </c>
      <c r="E84" s="209">
        <f>MAGPIELink!E84</f>
        <v>88118.315879770409</v>
      </c>
      <c r="F84" s="209">
        <f>MAGPIELink!F84</f>
        <v>34820.672193760103</v>
      </c>
      <c r="G84" s="209">
        <f>MAGPIELink!G84</f>
        <v>91314.609815583302</v>
      </c>
      <c r="H84" s="209">
        <f>MAGPIELink!H84</f>
        <v>21857.419414087701</v>
      </c>
      <c r="I84" s="209">
        <f>MAGPIELink!I84</f>
        <v>23205.099462189701</v>
      </c>
      <c r="J84" s="209">
        <f>MAGPIELink!J84</f>
        <v>31153.041557348799</v>
      </c>
      <c r="K84" s="209">
        <f>MAGPIELink!K84</f>
        <v>71069.046436641991</v>
      </c>
      <c r="L84" s="209">
        <f>MAGPIELink!L84</f>
        <v>115057.788714018</v>
      </c>
      <c r="M84" s="209">
        <f>MAGPIELink!M84</f>
        <v>101513.834898726</v>
      </c>
      <c r="N84" s="209">
        <f>MAGPIELink!N84</f>
        <v>7635.0230792331204</v>
      </c>
      <c r="O84" s="209">
        <f>MAGPIELink!O84</f>
        <v>3504.4834195040503</v>
      </c>
      <c r="P84" s="209">
        <f>MAGPIELink!P84</f>
        <v>374384.23321115196</v>
      </c>
      <c r="Q84" s="209">
        <f>MAGPIELink!Q84</f>
        <v>19859.503180883901</v>
      </c>
      <c r="R84" s="209">
        <f>MAGPIELink!R84</f>
        <v>18375.7555964764</v>
      </c>
      <c r="S84" s="209">
        <f>MAGPIELink!S84</f>
        <v>6043.6523159644994</v>
      </c>
      <c r="T84" s="209">
        <f>MAGPIELink!T84</f>
        <v>62693.086791597205</v>
      </c>
      <c r="U84" s="209">
        <f>MAGPIELink!U84</f>
        <v>31615.250640357601</v>
      </c>
      <c r="V84" s="209">
        <f>MAGPIELink!V84</f>
        <v>177284.19155243601</v>
      </c>
      <c r="W84" s="209">
        <f>MAGPIELink!W84</f>
        <v>379930.213220014</v>
      </c>
      <c r="X84" s="209">
        <f>MAGPIELink!X84</f>
        <v>5256.4639687178496</v>
      </c>
      <c r="Y84" s="209">
        <f>MAGPIELink!Y84</f>
        <v>88270.413724376194</v>
      </c>
      <c r="Z84" s="209">
        <f>MAGPIELink!Z84</f>
        <v>21732.129314031499</v>
      </c>
      <c r="AA84" s="209">
        <f>MAGPIELink!AA84</f>
        <v>16066.3979764708</v>
      </c>
      <c r="AB84" s="209">
        <f>MAGPIELink!AB84</f>
        <v>17727.724170854101</v>
      </c>
      <c r="AC84" s="209">
        <f>MAGPIELink!AC84</f>
        <v>49761.788056130201</v>
      </c>
      <c r="AD84" s="209">
        <f>MAGPIELink!AD84</f>
        <v>19861.670026142201</v>
      </c>
      <c r="AE84" s="209">
        <f>MAGPIELink!AE84</f>
        <v>5256.4639687178496</v>
      </c>
      <c r="AF84" s="220">
        <f>MAGPIELink!AF84</f>
        <v>103735.85058538901</v>
      </c>
      <c r="AG84" s="436">
        <v>16.760000000000002</v>
      </c>
    </row>
    <row r="85" spans="1:35">
      <c r="A85" s="215" t="s">
        <v>943</v>
      </c>
      <c r="B85" s="232" t="s">
        <v>938</v>
      </c>
      <c r="C85">
        <v>2020</v>
      </c>
      <c r="D85" s="232" t="s">
        <v>939</v>
      </c>
      <c r="E85" s="209">
        <f>MAGPIELink!E85</f>
        <v>88118.315879770409</v>
      </c>
      <c r="F85" s="209">
        <f>MAGPIELink!F85</f>
        <v>34820.672193760103</v>
      </c>
      <c r="G85" s="209">
        <f>MAGPIELink!G85</f>
        <v>91314.609815583302</v>
      </c>
      <c r="H85" s="209">
        <f>MAGPIELink!H85</f>
        <v>21857.419414087701</v>
      </c>
      <c r="I85" s="209">
        <f>MAGPIELink!I85</f>
        <v>23205.099462189701</v>
      </c>
      <c r="J85" s="209">
        <f>MAGPIELink!J85</f>
        <v>31153.041557348799</v>
      </c>
      <c r="K85" s="209">
        <f>MAGPIELink!K85</f>
        <v>71069.046436641991</v>
      </c>
      <c r="L85" s="209">
        <f>MAGPIELink!L85</f>
        <v>115057.788714018</v>
      </c>
      <c r="M85" s="209">
        <f>MAGPIELink!M85</f>
        <v>101513.834898726</v>
      </c>
      <c r="N85" s="209">
        <f>MAGPIELink!N85</f>
        <v>7635.0230792331204</v>
      </c>
      <c r="O85" s="209">
        <f>MAGPIELink!O85</f>
        <v>3504.4834195040503</v>
      </c>
      <c r="P85" s="209">
        <f>MAGPIELink!P85</f>
        <v>374384.23321115196</v>
      </c>
      <c r="Q85" s="209">
        <f>MAGPIELink!Q85</f>
        <v>19859.503180883901</v>
      </c>
      <c r="R85" s="209">
        <f>MAGPIELink!R85</f>
        <v>18375.7555964764</v>
      </c>
      <c r="S85" s="209">
        <f>MAGPIELink!S85</f>
        <v>6043.6523159644994</v>
      </c>
      <c r="T85" s="209">
        <f>MAGPIELink!T85</f>
        <v>62693.086791597205</v>
      </c>
      <c r="U85" s="209">
        <f>MAGPIELink!U85</f>
        <v>31615.250640357601</v>
      </c>
      <c r="V85" s="209">
        <f>MAGPIELink!V85</f>
        <v>177284.19155243601</v>
      </c>
      <c r="W85" s="209">
        <f>MAGPIELink!W85</f>
        <v>379930.213220014</v>
      </c>
      <c r="X85" s="209">
        <f>MAGPIELink!X85</f>
        <v>5256.4639687178496</v>
      </c>
      <c r="Y85" s="209">
        <f>MAGPIELink!Y85</f>
        <v>88270.413724376194</v>
      </c>
      <c r="Z85" s="209">
        <f>MAGPIELink!Z85</f>
        <v>21732.129314031499</v>
      </c>
      <c r="AA85" s="209">
        <f>MAGPIELink!AA85</f>
        <v>16066.3979764708</v>
      </c>
      <c r="AB85" s="209">
        <f>MAGPIELink!AB85</f>
        <v>17727.724170854101</v>
      </c>
      <c r="AC85" s="209">
        <f>MAGPIELink!AC85</f>
        <v>49761.788056130201</v>
      </c>
      <c r="AD85" s="209">
        <f>MAGPIELink!AD85</f>
        <v>19861.670026142201</v>
      </c>
      <c r="AE85" s="209">
        <f>MAGPIELink!AE85</f>
        <v>5256.4639687178496</v>
      </c>
      <c r="AF85" s="220">
        <f>MAGPIELink!AF85</f>
        <v>103735.85058538901</v>
      </c>
      <c r="AG85" s="436">
        <v>16.760000000000002</v>
      </c>
      <c r="AI85" s="174"/>
    </row>
    <row r="86" spans="1:35">
      <c r="A86" s="215" t="s">
        <v>943</v>
      </c>
      <c r="B86" s="232" t="s">
        <v>938</v>
      </c>
      <c r="C86" s="232">
        <v>2025</v>
      </c>
      <c r="D86" s="232" t="s">
        <v>939</v>
      </c>
      <c r="E86" s="209">
        <f>MAGPIELink!E86</f>
        <v>93810.783830342698</v>
      </c>
      <c r="F86" s="209">
        <f>MAGPIELink!F86</f>
        <v>37682.462503941701</v>
      </c>
      <c r="G86" s="209">
        <f>MAGPIELink!G86</f>
        <v>95562.962405355094</v>
      </c>
      <c r="H86" s="209">
        <f>MAGPIELink!H86</f>
        <v>22495.8842774197</v>
      </c>
      <c r="I86" s="209">
        <f>MAGPIELink!I86</f>
        <v>23869.753089242</v>
      </c>
      <c r="J86" s="209">
        <f>MAGPIELink!J86</f>
        <v>34112.2394327847</v>
      </c>
      <c r="K86" s="209">
        <f>MAGPIELink!K86</f>
        <v>69253.563807551298</v>
      </c>
      <c r="L86" s="209">
        <f>MAGPIELink!L86</f>
        <v>120330.268153125</v>
      </c>
      <c r="M86" s="209">
        <f>MAGPIELink!M86</f>
        <v>105472.456098215</v>
      </c>
      <c r="N86" s="209">
        <f>MAGPIELink!N86</f>
        <v>8905.9584007293888</v>
      </c>
      <c r="O86" s="209">
        <f>MAGPIELink!O86</f>
        <v>4061.6434654289701</v>
      </c>
      <c r="P86" s="209">
        <f>MAGPIELink!P86</f>
        <v>405532.86652640899</v>
      </c>
      <c r="Q86" s="209">
        <f>MAGPIELink!Q86</f>
        <v>22193.4350357533</v>
      </c>
      <c r="R86" s="209">
        <f>MAGPIELink!R86</f>
        <v>20897.164051443498</v>
      </c>
      <c r="S86" s="209">
        <f>MAGPIELink!S86</f>
        <v>6173.2475152201805</v>
      </c>
      <c r="T86" s="209">
        <f>MAGPIELink!T86</f>
        <v>65591.95085241209</v>
      </c>
      <c r="U86" s="209">
        <f>MAGPIELink!U86</f>
        <v>33516.726717788399</v>
      </c>
      <c r="V86" s="209">
        <f>MAGPIELink!V86</f>
        <v>188990.67810316398</v>
      </c>
      <c r="W86" s="209">
        <f>MAGPIELink!W86</f>
        <v>436288.50407151901</v>
      </c>
      <c r="X86" s="209">
        <f>MAGPIELink!X86</f>
        <v>6347.1981145812497</v>
      </c>
      <c r="Y86" s="209">
        <f>MAGPIELink!Y86</f>
        <v>94730.216008486808</v>
      </c>
      <c r="Z86" s="209">
        <f>MAGPIELink!Z86</f>
        <v>27121.4124943766</v>
      </c>
      <c r="AA86" s="209">
        <f>MAGPIELink!AA86</f>
        <v>17248.039935220302</v>
      </c>
      <c r="AB86" s="209">
        <f>MAGPIELink!AB86</f>
        <v>18660.1643300367</v>
      </c>
      <c r="AC86" s="209">
        <f>MAGPIELink!AC86</f>
        <v>46840.586784698498</v>
      </c>
      <c r="AD86" s="209">
        <f>MAGPIELink!AD86</f>
        <v>22070.306328628001</v>
      </c>
      <c r="AE86" s="209">
        <f>MAGPIELink!AE86</f>
        <v>6347.1981145812497</v>
      </c>
      <c r="AF86" s="220">
        <f>MAGPIELink!AF86</f>
        <v>109656.855360423</v>
      </c>
      <c r="AG86" s="436">
        <v>16.760000000000002</v>
      </c>
      <c r="AI86" s="174"/>
    </row>
    <row r="87" spans="1:35">
      <c r="A87" s="215" t="s">
        <v>943</v>
      </c>
      <c r="B87" s="232" t="s">
        <v>938</v>
      </c>
      <c r="C87" s="232">
        <v>2030</v>
      </c>
      <c r="D87" s="232" t="s">
        <v>939</v>
      </c>
      <c r="E87" s="209">
        <f>MAGPIELink!E87</f>
        <v>103706.44136624099</v>
      </c>
      <c r="F87" s="209">
        <f>MAGPIELink!F87</f>
        <v>40259.828622531597</v>
      </c>
      <c r="G87" s="209">
        <f>MAGPIELink!G87</f>
        <v>99162.673700510888</v>
      </c>
      <c r="H87" s="209">
        <f>MAGPIELink!H87</f>
        <v>23854.864656899899</v>
      </c>
      <c r="I87" s="209">
        <f>MAGPIELink!I87</f>
        <v>22726.5977973314</v>
      </c>
      <c r="J87" s="209">
        <f>MAGPIELink!J87</f>
        <v>36021.738987837896</v>
      </c>
      <c r="K87" s="209">
        <f>MAGPIELink!K87</f>
        <v>72067.219883326397</v>
      </c>
      <c r="L87" s="209">
        <f>MAGPIELink!L87</f>
        <v>133571.82398353398</v>
      </c>
      <c r="M87" s="209">
        <f>MAGPIELink!M87</f>
        <v>106839.863634013</v>
      </c>
      <c r="N87" s="209">
        <f>MAGPIELink!N87</f>
        <v>10022.562821952199</v>
      </c>
      <c r="O87" s="209">
        <f>MAGPIELink!O87</f>
        <v>4468.7800354889405</v>
      </c>
      <c r="P87" s="209">
        <f>MAGPIELink!P87</f>
        <v>469377.83084135404</v>
      </c>
      <c r="Q87" s="209">
        <f>MAGPIELink!Q87</f>
        <v>26841.6867495964</v>
      </c>
      <c r="R87" s="209">
        <f>MAGPIELink!R87</f>
        <v>23125.544660003201</v>
      </c>
      <c r="S87" s="209">
        <f>MAGPIELink!S87</f>
        <v>6360.3022006486099</v>
      </c>
      <c r="T87" s="209">
        <f>MAGPIELink!T87</f>
        <v>65523.677120958593</v>
      </c>
      <c r="U87" s="209">
        <f>MAGPIELink!U87</f>
        <v>34468.291928229301</v>
      </c>
      <c r="V87" s="209">
        <f>MAGPIELink!V87</f>
        <v>208867.224692786</v>
      </c>
      <c r="W87" s="209">
        <f>MAGPIELink!W87</f>
        <v>486437.20242637099</v>
      </c>
      <c r="X87" s="209">
        <f>MAGPIELink!X87</f>
        <v>9006.7419901348512</v>
      </c>
      <c r="Y87" s="209">
        <f>MAGPIELink!Y87</f>
        <v>99114.313286013305</v>
      </c>
      <c r="Z87" s="209">
        <f>MAGPIELink!Z87</f>
        <v>32843.749930850798</v>
      </c>
      <c r="AA87" s="209">
        <f>MAGPIELink!AA87</f>
        <v>19765.604948888002</v>
      </c>
      <c r="AB87" s="209">
        <f>MAGPIELink!AB87</f>
        <v>19403.535795124099</v>
      </c>
      <c r="AC87" s="209">
        <f>MAGPIELink!AC87</f>
        <v>46111.201047504896</v>
      </c>
      <c r="AD87" s="209">
        <f>MAGPIELink!AD87</f>
        <v>23340.033247699099</v>
      </c>
      <c r="AE87" s="209">
        <f>MAGPIELink!AE87</f>
        <v>9006.7419901348512</v>
      </c>
      <c r="AF87" s="220">
        <f>MAGPIELink!AF87</f>
        <v>115330.87294996101</v>
      </c>
      <c r="AG87" s="436">
        <v>16.760000000000002</v>
      </c>
      <c r="AI87" s="174"/>
    </row>
    <row r="88" spans="1:35">
      <c r="A88" s="215" t="s">
        <v>943</v>
      </c>
      <c r="B88" s="232" t="s">
        <v>938</v>
      </c>
      <c r="C88" s="232">
        <v>2035</v>
      </c>
      <c r="D88" s="232" t="s">
        <v>939</v>
      </c>
      <c r="E88" s="209">
        <f>MAGPIELink!E88</f>
        <v>114519.16151571101</v>
      </c>
      <c r="F88" s="209">
        <f>MAGPIELink!F88</f>
        <v>37967.783292079701</v>
      </c>
      <c r="G88" s="209">
        <f>MAGPIELink!G88</f>
        <v>111027.128699693</v>
      </c>
      <c r="H88" s="209">
        <f>MAGPIELink!H88</f>
        <v>25626.129929809602</v>
      </c>
      <c r="I88" s="209">
        <f>MAGPIELink!I88</f>
        <v>24537.799707451399</v>
      </c>
      <c r="J88" s="209">
        <f>MAGPIELink!J88</f>
        <v>37813.3292128748</v>
      </c>
      <c r="K88" s="209">
        <f>MAGPIELink!K88</f>
        <v>77731.476140504892</v>
      </c>
      <c r="L88" s="209">
        <f>MAGPIELink!L88</f>
        <v>142537.761922615</v>
      </c>
      <c r="M88" s="209">
        <f>MAGPIELink!M88</f>
        <v>110029.096229098</v>
      </c>
      <c r="N88" s="209">
        <f>MAGPIELink!N88</f>
        <v>11495.890925076801</v>
      </c>
      <c r="O88" s="209">
        <f>MAGPIELink!O88</f>
        <v>5007.6954329973096</v>
      </c>
      <c r="P88" s="209">
        <f>MAGPIELink!P88</f>
        <v>486989.33557997202</v>
      </c>
      <c r="Q88" s="209">
        <f>MAGPIELink!Q88</f>
        <v>29835.199590886699</v>
      </c>
      <c r="R88" s="209">
        <f>MAGPIELink!R88</f>
        <v>24264.189607531102</v>
      </c>
      <c r="S88" s="209">
        <f>MAGPIELink!S88</f>
        <v>6554.1107294267094</v>
      </c>
      <c r="T88" s="209">
        <f>MAGPIELink!T88</f>
        <v>67628.1027659299</v>
      </c>
      <c r="U88" s="209">
        <f>MAGPIELink!U88</f>
        <v>35310.092558328899</v>
      </c>
      <c r="V88" s="209">
        <f>MAGPIELink!V88</f>
        <v>231522.787495611</v>
      </c>
      <c r="W88" s="209">
        <f>MAGPIELink!W88</f>
        <v>512025.17863569799</v>
      </c>
      <c r="X88" s="209">
        <f>MAGPIELink!X88</f>
        <v>12263.99237269</v>
      </c>
      <c r="Y88" s="209">
        <f>MAGPIELink!Y88</f>
        <v>106195.740178383</v>
      </c>
      <c r="Z88" s="209">
        <f>MAGPIELink!Z88</f>
        <v>40219.4779183176</v>
      </c>
      <c r="AA88" s="209">
        <f>MAGPIELink!AA88</f>
        <v>22951.508905035498</v>
      </c>
      <c r="AB88" s="209">
        <f>MAGPIELink!AB88</f>
        <v>20330.388350255402</v>
      </c>
      <c r="AC88" s="209">
        <f>MAGPIELink!AC88</f>
        <v>53555.502048853697</v>
      </c>
      <c r="AD88" s="209">
        <f>MAGPIELink!AD88</f>
        <v>25076.426683840298</v>
      </c>
      <c r="AE88" s="209">
        <f>MAGPIELink!AE88</f>
        <v>12263.99237269</v>
      </c>
      <c r="AF88" s="220">
        <f>MAGPIELink!AF88</f>
        <v>121563.217493203</v>
      </c>
      <c r="AG88" s="436">
        <v>16.760000000000002</v>
      </c>
      <c r="AI88" s="174"/>
    </row>
    <row r="89" spans="1:35">
      <c r="A89" s="215" t="s">
        <v>943</v>
      </c>
      <c r="B89" s="232" t="s">
        <v>938</v>
      </c>
      <c r="C89" s="232">
        <v>2040</v>
      </c>
      <c r="D89" s="232" t="s">
        <v>939</v>
      </c>
      <c r="E89" s="209">
        <f>MAGPIELink!E89</f>
        <v>132833.560445893</v>
      </c>
      <c r="F89" s="209">
        <f>MAGPIELink!F89</f>
        <v>38862.366555655601</v>
      </c>
      <c r="G89" s="209">
        <f>MAGPIELink!G89</f>
        <v>126896.499838677</v>
      </c>
      <c r="H89" s="209">
        <f>MAGPIELink!H89</f>
        <v>28932.7652436393</v>
      </c>
      <c r="I89" s="209">
        <f>MAGPIELink!I89</f>
        <v>26477.498432217602</v>
      </c>
      <c r="J89" s="209">
        <f>MAGPIELink!J89</f>
        <v>39446.240035220399</v>
      </c>
      <c r="K89" s="209">
        <f>MAGPIELink!K89</f>
        <v>80299.474754157796</v>
      </c>
      <c r="L89" s="209">
        <f>MAGPIELink!L89</f>
        <v>149599.23732446501</v>
      </c>
      <c r="M89" s="209">
        <f>MAGPIELink!M89</f>
        <v>118118.889121225</v>
      </c>
      <c r="N89" s="209">
        <f>MAGPIELink!N89</f>
        <v>12870.9821441559</v>
      </c>
      <c r="O89" s="209">
        <f>MAGPIELink!O89</f>
        <v>6078.7644979623501</v>
      </c>
      <c r="P89" s="209">
        <f>MAGPIELink!P89</f>
        <v>503379.94827208796</v>
      </c>
      <c r="Q89" s="209">
        <f>MAGPIELink!Q89</f>
        <v>30963.303608729799</v>
      </c>
      <c r="R89" s="209">
        <f>MAGPIELink!R89</f>
        <v>25914.677301293199</v>
      </c>
      <c r="S89" s="209">
        <f>MAGPIELink!S89</f>
        <v>6678.7705523455897</v>
      </c>
      <c r="T89" s="209">
        <f>MAGPIELink!T89</f>
        <v>66562.407057124699</v>
      </c>
      <c r="U89" s="209">
        <f>MAGPIELink!U89</f>
        <v>35545.367739962901</v>
      </c>
      <c r="V89" s="209">
        <f>MAGPIELink!V89</f>
        <v>255153.66620544402</v>
      </c>
      <c r="W89" s="209">
        <f>MAGPIELink!W89</f>
        <v>524629.934214312</v>
      </c>
      <c r="X89" s="209">
        <f>MAGPIELink!X89</f>
        <v>14707.41132168365</v>
      </c>
      <c r="Y89" s="209">
        <f>MAGPIELink!Y89</f>
        <v>121466.83925899499</v>
      </c>
      <c r="Z89" s="209">
        <f>MAGPIELink!Z89</f>
        <v>49936.616435504497</v>
      </c>
      <c r="AA89" s="209">
        <f>MAGPIELink!AA89</f>
        <v>25544.353567026199</v>
      </c>
      <c r="AB89" s="209">
        <f>MAGPIELink!AB89</f>
        <v>22055.818134041398</v>
      </c>
      <c r="AC89" s="209">
        <f>MAGPIELink!AC89</f>
        <v>62364.531890070801</v>
      </c>
      <c r="AD89" s="209">
        <f>MAGPIELink!AD89</f>
        <v>27042.640001430598</v>
      </c>
      <c r="AE89" s="209">
        <f>MAGPIELink!AE89</f>
        <v>14707.41132168365</v>
      </c>
      <c r="AF89" s="220">
        <f>MAGPIELink!AF89</f>
        <v>126572.89469019799</v>
      </c>
      <c r="AG89" s="436">
        <v>16.760000000000002</v>
      </c>
      <c r="AI89" s="174"/>
    </row>
    <row r="90" spans="1:35">
      <c r="A90" s="215" t="s">
        <v>943</v>
      </c>
      <c r="B90" s="232" t="s">
        <v>938</v>
      </c>
      <c r="C90" s="232">
        <v>2045</v>
      </c>
      <c r="D90" s="232" t="s">
        <v>939</v>
      </c>
      <c r="E90" s="209">
        <f>MAGPIELink!E90</f>
        <v>148565.74211007199</v>
      </c>
      <c r="F90" s="209">
        <f>MAGPIELink!F90</f>
        <v>39288.516242884805</v>
      </c>
      <c r="G90" s="209">
        <f>MAGPIELink!G90</f>
        <v>144735.549947397</v>
      </c>
      <c r="H90" s="209">
        <f>MAGPIELink!H90</f>
        <v>32029.855886206904</v>
      </c>
      <c r="I90" s="209">
        <f>MAGPIELink!I90</f>
        <v>30967.7996176751</v>
      </c>
      <c r="J90" s="209">
        <f>MAGPIELink!J90</f>
        <v>40769.0015902132</v>
      </c>
      <c r="K90" s="209">
        <f>MAGPIELink!K90</f>
        <v>85095.725170727805</v>
      </c>
      <c r="L90" s="209">
        <f>MAGPIELink!L90</f>
        <v>148877.516391365</v>
      </c>
      <c r="M90" s="209">
        <f>MAGPIELink!M90</f>
        <v>122135.55946712301</v>
      </c>
      <c r="N90" s="209">
        <f>MAGPIELink!N90</f>
        <v>13914.709126743101</v>
      </c>
      <c r="O90" s="209">
        <f>MAGPIELink!O90</f>
        <v>6748.1705547799102</v>
      </c>
      <c r="P90" s="209">
        <f>MAGPIELink!P90</f>
        <v>526544.04962805205</v>
      </c>
      <c r="Q90" s="209">
        <f>MAGPIELink!Q90</f>
        <v>33676.493459149395</v>
      </c>
      <c r="R90" s="209">
        <f>MAGPIELink!R90</f>
        <v>27363.148851400598</v>
      </c>
      <c r="S90" s="209">
        <f>MAGPIELink!S90</f>
        <v>6786.6662836918704</v>
      </c>
      <c r="T90" s="209">
        <f>MAGPIELink!T90</f>
        <v>66362.5361459462</v>
      </c>
      <c r="U90" s="209">
        <f>MAGPIELink!U90</f>
        <v>36070.470144332197</v>
      </c>
      <c r="V90" s="209">
        <f>MAGPIELink!V90</f>
        <v>290986.932640496</v>
      </c>
      <c r="W90" s="209">
        <f>MAGPIELink!W90</f>
        <v>530755.1906737861</v>
      </c>
      <c r="X90" s="209">
        <f>MAGPIELink!X90</f>
        <v>17879.716620561951</v>
      </c>
      <c r="Y90" s="209">
        <f>MAGPIELink!Y90</f>
        <v>134929.73895991698</v>
      </c>
      <c r="Z90" s="209">
        <f>MAGPIELink!Z90</f>
        <v>55817.904029000201</v>
      </c>
      <c r="AA90" s="209">
        <f>MAGPIELink!AA90</f>
        <v>27352.3335367775</v>
      </c>
      <c r="AB90" s="209">
        <f>MAGPIELink!AB90</f>
        <v>25207.910426868901</v>
      </c>
      <c r="AC90" s="209">
        <f>MAGPIELink!AC90</f>
        <v>71623.077475341401</v>
      </c>
      <c r="AD90" s="209">
        <f>MAGPIELink!AD90</f>
        <v>28947.0114855678</v>
      </c>
      <c r="AE90" s="209">
        <f>MAGPIELink!AE90</f>
        <v>17879.716620561951</v>
      </c>
      <c r="AF90" s="220">
        <f>MAGPIELink!AF90</f>
        <v>131508.82247326299</v>
      </c>
      <c r="AG90" s="436">
        <v>16.760000000000002</v>
      </c>
      <c r="AI90" s="174"/>
    </row>
    <row r="91" spans="1:35">
      <c r="A91" s="215" t="s">
        <v>943</v>
      </c>
      <c r="B91" s="232" t="s">
        <v>938</v>
      </c>
      <c r="C91" s="232">
        <v>2050</v>
      </c>
      <c r="D91" s="232" t="s">
        <v>939</v>
      </c>
      <c r="E91" s="209">
        <f>MAGPIELink!E91</f>
        <v>164798.40944297099</v>
      </c>
      <c r="F91" s="209">
        <f>MAGPIELink!F91</f>
        <v>38987.970263400101</v>
      </c>
      <c r="G91" s="209">
        <f>MAGPIELink!G91</f>
        <v>165802.77583710302</v>
      </c>
      <c r="H91" s="209">
        <f>MAGPIELink!H91</f>
        <v>36237.189074725698</v>
      </c>
      <c r="I91" s="209">
        <f>MAGPIELink!I91</f>
        <v>33485.002734989299</v>
      </c>
      <c r="J91" s="209">
        <f>MAGPIELink!J91</f>
        <v>41784.830306058902</v>
      </c>
      <c r="K91" s="209">
        <f>MAGPIELink!K91</f>
        <v>90146.074950283801</v>
      </c>
      <c r="L91" s="209">
        <f>MAGPIELink!L91</f>
        <v>155972.20722060101</v>
      </c>
      <c r="M91" s="209">
        <f>MAGPIELink!M91</f>
        <v>126424.58815928</v>
      </c>
      <c r="N91" s="209">
        <f>MAGPIELink!N91</f>
        <v>15251.4529329091</v>
      </c>
      <c r="O91" s="209">
        <f>MAGPIELink!O91</f>
        <v>7344.7728384172897</v>
      </c>
      <c r="P91" s="209">
        <f>MAGPIELink!P91</f>
        <v>554735.72853987897</v>
      </c>
      <c r="Q91" s="209">
        <f>MAGPIELink!Q91</f>
        <v>36468.3572681269</v>
      </c>
      <c r="R91" s="209">
        <f>MAGPIELink!R91</f>
        <v>28904.0336504101</v>
      </c>
      <c r="S91" s="209">
        <f>MAGPIELink!S91</f>
        <v>7019.9505086202698</v>
      </c>
      <c r="T91" s="209">
        <f>MAGPIELink!T91</f>
        <v>68206.299097047711</v>
      </c>
      <c r="U91" s="209">
        <f>MAGPIELink!U91</f>
        <v>37315.324780278701</v>
      </c>
      <c r="V91" s="209">
        <f>MAGPIELink!V91</f>
        <v>302114.982477371</v>
      </c>
      <c r="W91" s="209">
        <f>MAGPIELink!W91</f>
        <v>536898.15250036097</v>
      </c>
      <c r="X91" s="209">
        <f>MAGPIELink!X91</f>
        <v>20945.38397231065</v>
      </c>
      <c r="Y91" s="209">
        <f>MAGPIELink!Y91</f>
        <v>143354.07773601598</v>
      </c>
      <c r="Z91" s="209">
        <f>MAGPIELink!Z91</f>
        <v>60522.765544445698</v>
      </c>
      <c r="AA91" s="209">
        <f>MAGPIELink!AA91</f>
        <v>34180.927484489599</v>
      </c>
      <c r="AB91" s="209">
        <f>MAGPIELink!AB91</f>
        <v>26363.0553229957</v>
      </c>
      <c r="AC91" s="209">
        <f>MAGPIELink!AC91</f>
        <v>82353.9471495896</v>
      </c>
      <c r="AD91" s="209">
        <f>MAGPIELink!AD91</f>
        <v>30652.6456465915</v>
      </c>
      <c r="AE91" s="209">
        <f>MAGPIELink!AE91</f>
        <v>20945.38397231065</v>
      </c>
      <c r="AF91" s="220">
        <f>MAGPIELink!AF91</f>
        <v>137174.08688933501</v>
      </c>
      <c r="AG91" s="436">
        <v>16.760000000000002</v>
      </c>
      <c r="AI91" s="174"/>
    </row>
    <row r="92" spans="1:35">
      <c r="A92" s="215" t="s">
        <v>943</v>
      </c>
      <c r="B92" s="232" t="s">
        <v>938</v>
      </c>
      <c r="C92" s="232">
        <v>2060</v>
      </c>
      <c r="D92" s="232" t="s">
        <v>939</v>
      </c>
      <c r="E92" s="209">
        <f>MAGPIELink!E92</f>
        <v>184008.116827277</v>
      </c>
      <c r="F92" s="209">
        <f>MAGPIELink!F92</f>
        <v>39727.2565014098</v>
      </c>
      <c r="G92" s="209">
        <f>MAGPIELink!G92</f>
        <v>186881.21759395802</v>
      </c>
      <c r="H92" s="209">
        <f>MAGPIELink!H92</f>
        <v>44366.707540735501</v>
      </c>
      <c r="I92" s="209">
        <f>MAGPIELink!I92</f>
        <v>34024.852083268896</v>
      </c>
      <c r="J92" s="209">
        <f>MAGPIELink!J92</f>
        <v>41260.905694743</v>
      </c>
      <c r="K92" s="209">
        <f>MAGPIELink!K92</f>
        <v>94369.009993055006</v>
      </c>
      <c r="L92" s="209">
        <f>MAGPIELink!L92</f>
        <v>166431.444407503</v>
      </c>
      <c r="M92" s="209">
        <f>MAGPIELink!M92</f>
        <v>120671.706154625</v>
      </c>
      <c r="N92" s="209">
        <f>MAGPIELink!N92</f>
        <v>15592.6103803101</v>
      </c>
      <c r="O92" s="209">
        <f>MAGPIELink!O92</f>
        <v>7498.8033478634297</v>
      </c>
      <c r="P92" s="209">
        <f>MAGPIELink!P92</f>
        <v>549913.22166979499</v>
      </c>
      <c r="Q92" s="209">
        <f>MAGPIELink!Q92</f>
        <v>35973.914241393803</v>
      </c>
      <c r="R92" s="209">
        <f>MAGPIELink!R92</f>
        <v>29268.241068724401</v>
      </c>
      <c r="S92" s="209">
        <f>MAGPIELink!S92</f>
        <v>6906.8124605167704</v>
      </c>
      <c r="T92" s="209">
        <f>MAGPIELink!T92</f>
        <v>65269.131071549695</v>
      </c>
      <c r="U92" s="209">
        <f>MAGPIELink!U92</f>
        <v>36405.7487653196</v>
      </c>
      <c r="V92" s="209">
        <f>MAGPIELink!V92</f>
        <v>304115.69537754502</v>
      </c>
      <c r="W92" s="209">
        <f>MAGPIELink!W92</f>
        <v>521205.01561830397</v>
      </c>
      <c r="X92" s="209">
        <f>MAGPIELink!X92</f>
        <v>25707.055604636149</v>
      </c>
      <c r="Y92" s="209">
        <f>MAGPIELink!Y92</f>
        <v>144088.12513646399</v>
      </c>
      <c r="Z92" s="209">
        <f>MAGPIELink!Z92</f>
        <v>61285.293924951198</v>
      </c>
      <c r="AA92" s="209">
        <f>MAGPIELink!AA92</f>
        <v>38603.948137318606</v>
      </c>
      <c r="AB92" s="209">
        <f>MAGPIELink!AB92</f>
        <v>26714.534468285899</v>
      </c>
      <c r="AC92" s="209">
        <f>MAGPIELink!AC92</f>
        <v>95076.376033787295</v>
      </c>
      <c r="AD92" s="209">
        <f>MAGPIELink!AD92</f>
        <v>30746.318614322499</v>
      </c>
      <c r="AE92" s="209">
        <f>MAGPIELink!AE92</f>
        <v>25707.055604636149</v>
      </c>
      <c r="AF92" s="220">
        <f>MAGPIELink!AF92</f>
        <v>136839.01506472501</v>
      </c>
      <c r="AG92" s="436">
        <v>16.760000000000002</v>
      </c>
      <c r="AI92" s="174"/>
    </row>
    <row r="93" spans="1:35">
      <c r="A93" s="215" t="s">
        <v>943</v>
      </c>
      <c r="B93" s="232" t="s">
        <v>938</v>
      </c>
      <c r="C93" s="232">
        <v>2070</v>
      </c>
      <c r="D93" s="232" t="s">
        <v>939</v>
      </c>
      <c r="E93" s="209">
        <f>MAGPIELink!E93</f>
        <v>188712.573424779</v>
      </c>
      <c r="F93" s="209">
        <f>MAGPIELink!F93</f>
        <v>39327.865571397604</v>
      </c>
      <c r="G93" s="209">
        <f>MAGPIELink!G93</f>
        <v>201953.98170228201</v>
      </c>
      <c r="H93" s="209">
        <f>MAGPIELink!H93</f>
        <v>54085.953787577702</v>
      </c>
      <c r="I93" s="209">
        <f>MAGPIELink!I93</f>
        <v>33696.993876210799</v>
      </c>
      <c r="J93" s="209">
        <f>MAGPIELink!J93</f>
        <v>41339.8929051663</v>
      </c>
      <c r="K93" s="209">
        <f>MAGPIELink!K93</f>
        <v>104121.57944320001</v>
      </c>
      <c r="L93" s="209">
        <f>MAGPIELink!L93</f>
        <v>177111.28382005898</v>
      </c>
      <c r="M93" s="209">
        <f>MAGPIELink!M93</f>
        <v>116850.34118793899</v>
      </c>
      <c r="N93" s="209">
        <f>MAGPIELink!N93</f>
        <v>16445.6059453696</v>
      </c>
      <c r="O93" s="209">
        <f>MAGPIELink!O93</f>
        <v>7744.8640233890492</v>
      </c>
      <c r="P93" s="209">
        <f>MAGPIELink!P93</f>
        <v>533987.72743813694</v>
      </c>
      <c r="Q93" s="209">
        <f>MAGPIELink!Q93</f>
        <v>33348.534236438602</v>
      </c>
      <c r="R93" s="209">
        <f>MAGPIELink!R93</f>
        <v>29610.1526275912</v>
      </c>
      <c r="S93" s="209">
        <f>MAGPIELink!S93</f>
        <v>6828.2254463912304</v>
      </c>
      <c r="T93" s="209">
        <f>MAGPIELink!T93</f>
        <v>64917.322902152904</v>
      </c>
      <c r="U93" s="209">
        <f>MAGPIELink!U93</f>
        <v>36405.832075188897</v>
      </c>
      <c r="V93" s="209">
        <f>MAGPIELink!V93</f>
        <v>296489.47035831801</v>
      </c>
      <c r="W93" s="209">
        <f>MAGPIELink!W93</f>
        <v>492955.86372446502</v>
      </c>
      <c r="X93" s="209">
        <f>MAGPIELink!X93</f>
        <v>28716.648550173202</v>
      </c>
      <c r="Y93" s="209">
        <f>MAGPIELink!Y93</f>
        <v>143463.300830744</v>
      </c>
      <c r="Z93" s="209">
        <f>MAGPIELink!Z93</f>
        <v>62029.958549587594</v>
      </c>
      <c r="AA93" s="209">
        <f>MAGPIELink!AA93</f>
        <v>39803.330142578401</v>
      </c>
      <c r="AB93" s="209">
        <f>MAGPIELink!AB93</f>
        <v>26728.4998909061</v>
      </c>
      <c r="AC93" s="209">
        <f>MAGPIELink!AC93</f>
        <v>101473.042923669</v>
      </c>
      <c r="AD93" s="209">
        <f>MAGPIELink!AD93</f>
        <v>28999.668011931997</v>
      </c>
      <c r="AE93" s="209">
        <f>MAGPIELink!AE93</f>
        <v>28716.648550173202</v>
      </c>
      <c r="AF93" s="220">
        <f>MAGPIELink!AF93</f>
        <v>136695.467632527</v>
      </c>
      <c r="AG93" s="436">
        <v>16.760000000000002</v>
      </c>
      <c r="AI93" s="174"/>
    </row>
    <row r="94" spans="1:35">
      <c r="A94" s="215" t="s">
        <v>943</v>
      </c>
      <c r="B94" s="232" t="s">
        <v>938</v>
      </c>
      <c r="C94" s="232">
        <v>2080</v>
      </c>
      <c r="D94" s="232" t="s">
        <v>939</v>
      </c>
      <c r="E94" s="209">
        <f>MAGPIELink!E94</f>
        <v>196726.09468392699</v>
      </c>
      <c r="F94" s="209">
        <f>MAGPIELink!F94</f>
        <v>38305.798740295701</v>
      </c>
      <c r="G94" s="209">
        <f>MAGPIELink!G94</f>
        <v>201637.65420085701</v>
      </c>
      <c r="H94" s="209">
        <f>MAGPIELink!H94</f>
        <v>63750.245950829703</v>
      </c>
      <c r="I94" s="209">
        <f>MAGPIELink!I94</f>
        <v>34508.753262463797</v>
      </c>
      <c r="J94" s="209">
        <f>MAGPIELink!J94</f>
        <v>38750.1410926752</v>
      </c>
      <c r="K94" s="209">
        <f>MAGPIELink!K94</f>
        <v>103609.62632015401</v>
      </c>
      <c r="L94" s="209">
        <f>MAGPIELink!L94</f>
        <v>178863.95735289098</v>
      </c>
      <c r="M94" s="209">
        <f>MAGPIELink!M94</f>
        <v>110393.692057459</v>
      </c>
      <c r="N94" s="209">
        <f>MAGPIELink!N94</f>
        <v>17085.2084665086</v>
      </c>
      <c r="O94" s="209">
        <f>MAGPIELink!O94</f>
        <v>7789.7236292772604</v>
      </c>
      <c r="P94" s="209">
        <f>MAGPIELink!P94</f>
        <v>514844.486168025</v>
      </c>
      <c r="Q94" s="209">
        <f>MAGPIELink!Q94</f>
        <v>31415.276664160599</v>
      </c>
      <c r="R94" s="209">
        <f>MAGPIELink!R94</f>
        <v>29698.048348341901</v>
      </c>
      <c r="S94" s="209">
        <f>MAGPIELink!S94</f>
        <v>6673.5645068582398</v>
      </c>
      <c r="T94" s="209">
        <f>MAGPIELink!T94</f>
        <v>63609.111546679502</v>
      </c>
      <c r="U94" s="209">
        <f>MAGPIELink!U94</f>
        <v>35321.212519364402</v>
      </c>
      <c r="V94" s="209">
        <f>MAGPIELink!V94</f>
        <v>285282.454358163</v>
      </c>
      <c r="W94" s="209">
        <f>MAGPIELink!W94</f>
        <v>493285.989291401</v>
      </c>
      <c r="X94" s="209">
        <f>MAGPIELink!X94</f>
        <v>30820.871344155701</v>
      </c>
      <c r="Y94" s="209">
        <f>MAGPIELink!Y94</f>
        <v>140146.31490577001</v>
      </c>
      <c r="Z94" s="209">
        <f>MAGPIELink!Z94</f>
        <v>66828.5880463207</v>
      </c>
      <c r="AA94" s="209">
        <f>MAGPIELink!AA94</f>
        <v>40843.266278702897</v>
      </c>
      <c r="AB94" s="209">
        <f>MAGPIELink!AB94</f>
        <v>26547.6011082648</v>
      </c>
      <c r="AC94" s="209">
        <f>MAGPIELink!AC94</f>
        <v>99660.476857383997</v>
      </c>
      <c r="AD94" s="209">
        <f>MAGPIELink!AD94</f>
        <v>25995.056751993299</v>
      </c>
      <c r="AE94" s="209">
        <f>MAGPIELink!AE94</f>
        <v>30820.871344155701</v>
      </c>
      <c r="AF94" s="220">
        <f>MAGPIELink!AF94</f>
        <v>135533.31442233702</v>
      </c>
      <c r="AG94" s="436">
        <v>16.760000000000002</v>
      </c>
      <c r="AI94" s="174"/>
    </row>
    <row r="95" spans="1:35">
      <c r="A95" s="215" t="s">
        <v>943</v>
      </c>
      <c r="B95" s="232" t="s">
        <v>938</v>
      </c>
      <c r="C95" s="232">
        <v>2090</v>
      </c>
      <c r="D95" s="232" t="s">
        <v>939</v>
      </c>
      <c r="E95" s="209">
        <f>MAGPIELink!E95</f>
        <v>195761.25543948001</v>
      </c>
      <c r="F95" s="209">
        <f>MAGPIELink!F95</f>
        <v>36288.777247453101</v>
      </c>
      <c r="G95" s="209">
        <f>MAGPIELink!G95</f>
        <v>190666.019212076</v>
      </c>
      <c r="H95" s="209">
        <f>MAGPIELink!H95</f>
        <v>64809.169806870996</v>
      </c>
      <c r="I95" s="209">
        <f>MAGPIELink!I95</f>
        <v>33131.762109114097</v>
      </c>
      <c r="J95" s="209">
        <f>MAGPIELink!J95</f>
        <v>37391.330123435306</v>
      </c>
      <c r="K95" s="209">
        <f>MAGPIELink!K95</f>
        <v>102348.466790337</v>
      </c>
      <c r="L95" s="209">
        <f>MAGPIELink!L95</f>
        <v>178182.207358791</v>
      </c>
      <c r="M95" s="209">
        <f>MAGPIELink!M95</f>
        <v>106094.66786961499</v>
      </c>
      <c r="N95" s="209">
        <f>MAGPIELink!N95</f>
        <v>16037.281776862201</v>
      </c>
      <c r="O95" s="209">
        <f>MAGPIELink!O95</f>
        <v>7803.63769372963</v>
      </c>
      <c r="P95" s="209">
        <f>MAGPIELink!P95</f>
        <v>495521.36477648298</v>
      </c>
      <c r="Q95" s="209">
        <f>MAGPIELink!Q95</f>
        <v>29444.769378095098</v>
      </c>
      <c r="R95" s="209">
        <f>MAGPIELink!R95</f>
        <v>29828.816993726199</v>
      </c>
      <c r="S95" s="209">
        <f>MAGPIELink!S95</f>
        <v>6691.3039362092404</v>
      </c>
      <c r="T95" s="209">
        <f>MAGPIELink!T95</f>
        <v>63500.9629651867</v>
      </c>
      <c r="U95" s="209">
        <f>MAGPIELink!U95</f>
        <v>34514.037025973106</v>
      </c>
      <c r="V95" s="209">
        <f>MAGPIELink!V95</f>
        <v>270793.79728039901</v>
      </c>
      <c r="W95" s="209">
        <f>MAGPIELink!W95</f>
        <v>485285.26226154401</v>
      </c>
      <c r="X95" s="209">
        <f>MAGPIELink!X95</f>
        <v>32620.928666372598</v>
      </c>
      <c r="Y95" s="209">
        <f>MAGPIELink!Y95</f>
        <v>139677.63908945699</v>
      </c>
      <c r="Z95" s="209">
        <f>MAGPIELink!Z95</f>
        <v>67180.145438171807</v>
      </c>
      <c r="AA95" s="209">
        <f>MAGPIELink!AA95</f>
        <v>41471.569039447801</v>
      </c>
      <c r="AB95" s="209">
        <f>MAGPIELink!AB95</f>
        <v>26425.847089404702</v>
      </c>
      <c r="AC95" s="209">
        <f>MAGPIELink!AC95</f>
        <v>87879.20809993599</v>
      </c>
      <c r="AD95" s="209">
        <f>MAGPIELink!AD95</f>
        <v>23183.208843223001</v>
      </c>
      <c r="AE95" s="209">
        <f>MAGPIELink!AE95</f>
        <v>32620.928666372598</v>
      </c>
      <c r="AF95" s="220">
        <f>MAGPIELink!AF95</f>
        <v>134767.04992518402</v>
      </c>
      <c r="AG95" s="436">
        <v>16.760000000000002</v>
      </c>
      <c r="AI95" s="174"/>
    </row>
    <row r="96" spans="1:35">
      <c r="A96" s="229" t="s">
        <v>943</v>
      </c>
      <c r="B96" s="235" t="s">
        <v>938</v>
      </c>
      <c r="C96" s="235">
        <v>2100</v>
      </c>
      <c r="D96" s="235" t="s">
        <v>939</v>
      </c>
      <c r="E96" s="226">
        <f>MAGPIELink!E96</f>
        <v>193983.82957070199</v>
      </c>
      <c r="F96" s="226">
        <f>MAGPIELink!F96</f>
        <v>35669.798474366704</v>
      </c>
      <c r="G96" s="226">
        <f>MAGPIELink!G96</f>
        <v>190925.274286759</v>
      </c>
      <c r="H96" s="226">
        <f>MAGPIELink!H96</f>
        <v>65230.202524617096</v>
      </c>
      <c r="I96" s="226">
        <f>MAGPIELink!I96</f>
        <v>33926.964710706205</v>
      </c>
      <c r="J96" s="226">
        <f>MAGPIELink!J96</f>
        <v>37980.668139870897</v>
      </c>
      <c r="K96" s="226">
        <f>MAGPIELink!K96</f>
        <v>101350.307597027</v>
      </c>
      <c r="L96" s="226">
        <f>MAGPIELink!L96</f>
        <v>176567.59276675398</v>
      </c>
      <c r="M96" s="226">
        <f>MAGPIELink!M96</f>
        <v>95876.073846229701</v>
      </c>
      <c r="N96" s="226">
        <f>MAGPIELink!N96</f>
        <v>14942.3635095503</v>
      </c>
      <c r="O96" s="226">
        <f>MAGPIELink!O96</f>
        <v>7965.8242360107197</v>
      </c>
      <c r="P96" s="226">
        <f>MAGPIELink!P96</f>
        <v>492342.59776934801</v>
      </c>
      <c r="Q96" s="226">
        <f>MAGPIELink!Q96</f>
        <v>28642.6704283297</v>
      </c>
      <c r="R96" s="226">
        <f>MAGPIELink!R96</f>
        <v>29611.141842895398</v>
      </c>
      <c r="S96" s="226">
        <f>MAGPIELink!S96</f>
        <v>6690.5850501089108</v>
      </c>
      <c r="T96" s="226">
        <f>MAGPIELink!T96</f>
        <v>60136.110840019202</v>
      </c>
      <c r="U96" s="226">
        <f>MAGPIELink!U96</f>
        <v>33750.354783747804</v>
      </c>
      <c r="V96" s="226">
        <f>MAGPIELink!V96</f>
        <v>269883.90279657999</v>
      </c>
      <c r="W96" s="226">
        <f>MAGPIELink!W96</f>
        <v>467048.75470876903</v>
      </c>
      <c r="X96" s="226">
        <f>MAGPIELink!X96</f>
        <v>33136.953482034747</v>
      </c>
      <c r="Y96" s="226">
        <f>MAGPIELink!Y96</f>
        <v>140710.64933265699</v>
      </c>
      <c r="Z96" s="226">
        <f>MAGPIELink!Z96</f>
        <v>64926.309118575307</v>
      </c>
      <c r="AA96" s="226">
        <f>MAGPIELink!AA96</f>
        <v>41750.433212583703</v>
      </c>
      <c r="AB96" s="226">
        <f>MAGPIELink!AB96</f>
        <v>26090.2315371076</v>
      </c>
      <c r="AC96" s="226">
        <f>MAGPIELink!AC96</f>
        <v>92622.578007137898</v>
      </c>
      <c r="AD96" s="226">
        <f>MAGPIELink!AD96</f>
        <v>22930.549916639102</v>
      </c>
      <c r="AE96" s="226">
        <f>MAGPIELink!AE96</f>
        <v>33136.953482034747</v>
      </c>
      <c r="AF96" s="224">
        <f>MAGPIELink!AF96</f>
        <v>135856.81865938599</v>
      </c>
      <c r="AG96" s="437">
        <v>16.760000000000002</v>
      </c>
      <c r="AI96" s="174"/>
    </row>
    <row r="97" spans="1:35">
      <c r="A97" s="215" t="s">
        <v>943</v>
      </c>
      <c r="B97" s="232" t="s">
        <v>940</v>
      </c>
      <c r="C97" s="232">
        <v>2019</v>
      </c>
      <c r="D97" s="232" t="s">
        <v>939</v>
      </c>
      <c r="E97" s="209">
        <f>MAGPIELink!E97</f>
        <v>0</v>
      </c>
      <c r="F97" s="209">
        <f>MAGPIELink!F97</f>
        <v>0</v>
      </c>
      <c r="G97" s="209">
        <f>MAGPIELink!G97</f>
        <v>0</v>
      </c>
      <c r="H97" s="209">
        <f>MAGPIELink!H97</f>
        <v>0</v>
      </c>
      <c r="I97" s="209">
        <f>MAGPIELink!I97</f>
        <v>0</v>
      </c>
      <c r="J97" s="209">
        <f>MAGPIELink!J97</f>
        <v>0</v>
      </c>
      <c r="K97" s="209">
        <f>MAGPIELink!K97</f>
        <v>0</v>
      </c>
      <c r="L97" s="209">
        <f>MAGPIELink!L97</f>
        <v>0</v>
      </c>
      <c r="M97" s="209">
        <f>MAGPIELink!M97</f>
        <v>0</v>
      </c>
      <c r="N97" s="209">
        <f>MAGPIELink!N97</f>
        <v>0</v>
      </c>
      <c r="O97" s="209">
        <f>MAGPIELink!O97</f>
        <v>0</v>
      </c>
      <c r="P97" s="209">
        <f>MAGPIELink!P97</f>
        <v>0</v>
      </c>
      <c r="Q97" s="209">
        <f>MAGPIELink!Q97</f>
        <v>0</v>
      </c>
      <c r="R97" s="209">
        <f>MAGPIELink!R97</f>
        <v>0</v>
      </c>
      <c r="S97" s="209">
        <f>MAGPIELink!S97</f>
        <v>0</v>
      </c>
      <c r="T97" s="209">
        <f>MAGPIELink!T97</f>
        <v>0</v>
      </c>
      <c r="U97" s="209">
        <f>MAGPIELink!U97</f>
        <v>0</v>
      </c>
      <c r="V97" s="209">
        <f>MAGPIELink!V97</f>
        <v>0</v>
      </c>
      <c r="W97" s="209">
        <f>MAGPIELink!W97</f>
        <v>0</v>
      </c>
      <c r="X97" s="209">
        <f>MAGPIELink!X97</f>
        <v>0</v>
      </c>
      <c r="Y97" s="209">
        <f>MAGPIELink!Y97</f>
        <v>0</v>
      </c>
      <c r="Z97" s="209">
        <f>MAGPIELink!Z97</f>
        <v>0</v>
      </c>
      <c r="AA97" s="209">
        <f>MAGPIELink!AA97</f>
        <v>0</v>
      </c>
      <c r="AB97" s="209">
        <f>MAGPIELink!AB97</f>
        <v>0</v>
      </c>
      <c r="AC97" s="209">
        <f>MAGPIELink!AC97</f>
        <v>0</v>
      </c>
      <c r="AD97" s="209">
        <f>MAGPIELink!AD97</f>
        <v>0</v>
      </c>
      <c r="AE97" s="209">
        <f>MAGPIELink!AE97</f>
        <v>0</v>
      </c>
      <c r="AF97" s="220">
        <f>MAGPIELink!AF97</f>
        <v>0</v>
      </c>
      <c r="AG97" s="436">
        <v>16.760000000000002</v>
      </c>
    </row>
    <row r="98" spans="1:35">
      <c r="A98" s="215" t="s">
        <v>943</v>
      </c>
      <c r="B98" s="232" t="s">
        <v>940</v>
      </c>
      <c r="C98">
        <v>2020</v>
      </c>
      <c r="D98" s="232" t="s">
        <v>939</v>
      </c>
      <c r="E98" s="209">
        <f>MAGPIELink!E98</f>
        <v>0</v>
      </c>
      <c r="F98" s="209">
        <f>MAGPIELink!F98</f>
        <v>0</v>
      </c>
      <c r="G98" s="209">
        <f>MAGPIELink!G98</f>
        <v>0</v>
      </c>
      <c r="H98" s="209">
        <f>MAGPIELink!H98</f>
        <v>0</v>
      </c>
      <c r="I98" s="209">
        <f>MAGPIELink!I98</f>
        <v>0</v>
      </c>
      <c r="J98" s="209">
        <f>MAGPIELink!J98</f>
        <v>0</v>
      </c>
      <c r="K98" s="209">
        <f>MAGPIELink!K98</f>
        <v>0</v>
      </c>
      <c r="L98" s="209">
        <f>MAGPIELink!L98</f>
        <v>0</v>
      </c>
      <c r="M98" s="209">
        <f>MAGPIELink!M98</f>
        <v>0</v>
      </c>
      <c r="N98" s="209">
        <f>MAGPIELink!N98</f>
        <v>0</v>
      </c>
      <c r="O98" s="209">
        <f>MAGPIELink!O98</f>
        <v>0</v>
      </c>
      <c r="P98" s="209">
        <f>MAGPIELink!P98</f>
        <v>0</v>
      </c>
      <c r="Q98" s="209">
        <f>MAGPIELink!Q98</f>
        <v>0</v>
      </c>
      <c r="R98" s="209">
        <f>MAGPIELink!R98</f>
        <v>0</v>
      </c>
      <c r="S98" s="209">
        <f>MAGPIELink!S98</f>
        <v>0</v>
      </c>
      <c r="T98" s="209">
        <f>MAGPIELink!T98</f>
        <v>0</v>
      </c>
      <c r="U98" s="209">
        <f>MAGPIELink!U98</f>
        <v>0</v>
      </c>
      <c r="V98" s="209">
        <f>MAGPIELink!V98</f>
        <v>0</v>
      </c>
      <c r="W98" s="209">
        <f>MAGPIELink!W98</f>
        <v>0</v>
      </c>
      <c r="X98" s="209">
        <f>MAGPIELink!X98</f>
        <v>0</v>
      </c>
      <c r="Y98" s="209">
        <f>MAGPIELink!Y98</f>
        <v>0</v>
      </c>
      <c r="Z98" s="209">
        <f>MAGPIELink!Z98</f>
        <v>0</v>
      </c>
      <c r="AA98" s="209">
        <f>MAGPIELink!AA98</f>
        <v>0</v>
      </c>
      <c r="AB98" s="209">
        <f>MAGPIELink!AB98</f>
        <v>0</v>
      </c>
      <c r="AC98" s="209">
        <f>MAGPIELink!AC98</f>
        <v>0</v>
      </c>
      <c r="AD98" s="209">
        <f>MAGPIELink!AD98</f>
        <v>0</v>
      </c>
      <c r="AE98" s="209">
        <f>MAGPIELink!AE98</f>
        <v>0</v>
      </c>
      <c r="AF98" s="220">
        <f>MAGPIELink!AF98</f>
        <v>0</v>
      </c>
      <c r="AG98" s="436">
        <v>16.760000000000002</v>
      </c>
      <c r="AI98" s="174"/>
    </row>
    <row r="99" spans="1:35">
      <c r="A99" s="215" t="s">
        <v>943</v>
      </c>
      <c r="B99" s="232" t="s">
        <v>940</v>
      </c>
      <c r="C99" s="232">
        <v>2025</v>
      </c>
      <c r="D99" s="232" t="s">
        <v>939</v>
      </c>
      <c r="E99" s="209">
        <f>MAGPIELink!E99</f>
        <v>0</v>
      </c>
      <c r="F99" s="209">
        <f>MAGPIELink!F99</f>
        <v>0</v>
      </c>
      <c r="G99" s="209">
        <f>MAGPIELink!G99</f>
        <v>0</v>
      </c>
      <c r="H99" s="209">
        <f>MAGPIELink!H99</f>
        <v>0</v>
      </c>
      <c r="I99" s="209">
        <f>MAGPIELink!I99</f>
        <v>0</v>
      </c>
      <c r="J99" s="209">
        <f>MAGPIELink!J99</f>
        <v>0</v>
      </c>
      <c r="K99" s="209">
        <f>MAGPIELink!K99</f>
        <v>0</v>
      </c>
      <c r="L99" s="209">
        <f>MAGPIELink!L99</f>
        <v>0</v>
      </c>
      <c r="M99" s="209">
        <f>MAGPIELink!M99</f>
        <v>0</v>
      </c>
      <c r="N99" s="209">
        <f>MAGPIELink!N99</f>
        <v>0</v>
      </c>
      <c r="O99" s="209">
        <f>MAGPIELink!O99</f>
        <v>0</v>
      </c>
      <c r="P99" s="209">
        <f>MAGPIELink!P99</f>
        <v>0</v>
      </c>
      <c r="Q99" s="209">
        <f>MAGPIELink!Q99</f>
        <v>0</v>
      </c>
      <c r="R99" s="209">
        <f>MAGPIELink!R99</f>
        <v>0</v>
      </c>
      <c r="S99" s="209">
        <f>MAGPIELink!S99</f>
        <v>0</v>
      </c>
      <c r="T99" s="209">
        <f>MAGPIELink!T99</f>
        <v>0</v>
      </c>
      <c r="U99" s="209">
        <f>MAGPIELink!U99</f>
        <v>0</v>
      </c>
      <c r="V99" s="209">
        <f>MAGPIELink!V99</f>
        <v>0</v>
      </c>
      <c r="W99" s="209">
        <f>MAGPIELink!W99</f>
        <v>0</v>
      </c>
      <c r="X99" s="209">
        <f>MAGPIELink!X99</f>
        <v>0</v>
      </c>
      <c r="Y99" s="209">
        <f>MAGPIELink!Y99</f>
        <v>0</v>
      </c>
      <c r="Z99" s="209">
        <f>MAGPIELink!Z99</f>
        <v>0</v>
      </c>
      <c r="AA99" s="209">
        <f>MAGPIELink!AA99</f>
        <v>0</v>
      </c>
      <c r="AB99" s="209">
        <f>MAGPIELink!AB99</f>
        <v>0</v>
      </c>
      <c r="AC99" s="209">
        <f>MAGPIELink!AC99</f>
        <v>0</v>
      </c>
      <c r="AD99" s="209">
        <f>MAGPIELink!AD99</f>
        <v>0</v>
      </c>
      <c r="AE99" s="209">
        <f>MAGPIELink!AE99</f>
        <v>0</v>
      </c>
      <c r="AF99" s="220">
        <f>MAGPIELink!AF99</f>
        <v>0</v>
      </c>
      <c r="AG99" s="436">
        <v>16.760000000000002</v>
      </c>
      <c r="AI99" s="174"/>
    </row>
    <row r="100" spans="1:35">
      <c r="A100" s="215" t="s">
        <v>943</v>
      </c>
      <c r="B100" s="232" t="s">
        <v>940</v>
      </c>
      <c r="C100" s="232">
        <v>2030</v>
      </c>
      <c r="D100" s="232" t="s">
        <v>939</v>
      </c>
      <c r="E100" s="209">
        <f>MAGPIELink!E100</f>
        <v>0</v>
      </c>
      <c r="F100" s="209">
        <f>MAGPIELink!F100</f>
        <v>0</v>
      </c>
      <c r="G100" s="209">
        <f>MAGPIELink!G100</f>
        <v>0</v>
      </c>
      <c r="H100" s="209">
        <f>MAGPIELink!H100</f>
        <v>0</v>
      </c>
      <c r="I100" s="209">
        <f>MAGPIELink!I100</f>
        <v>0</v>
      </c>
      <c r="J100" s="209">
        <f>MAGPIELink!J100</f>
        <v>0</v>
      </c>
      <c r="K100" s="209">
        <f>MAGPIELink!K100</f>
        <v>0</v>
      </c>
      <c r="L100" s="209">
        <f>MAGPIELink!L100</f>
        <v>0</v>
      </c>
      <c r="M100" s="209">
        <f>MAGPIELink!M100</f>
        <v>0</v>
      </c>
      <c r="N100" s="209">
        <f>MAGPIELink!N100</f>
        <v>0</v>
      </c>
      <c r="O100" s="209">
        <f>MAGPIELink!O100</f>
        <v>0</v>
      </c>
      <c r="P100" s="209">
        <f>MAGPIELink!P100</f>
        <v>0</v>
      </c>
      <c r="Q100" s="209">
        <f>MAGPIELink!Q100</f>
        <v>0</v>
      </c>
      <c r="R100" s="209">
        <f>MAGPIELink!R100</f>
        <v>0</v>
      </c>
      <c r="S100" s="209">
        <f>MAGPIELink!S100</f>
        <v>0</v>
      </c>
      <c r="T100" s="209">
        <f>MAGPIELink!T100</f>
        <v>0</v>
      </c>
      <c r="U100" s="209">
        <f>MAGPIELink!U100</f>
        <v>0</v>
      </c>
      <c r="V100" s="209">
        <f>MAGPIELink!V100</f>
        <v>0</v>
      </c>
      <c r="W100" s="209">
        <f>MAGPIELink!W100</f>
        <v>0</v>
      </c>
      <c r="X100" s="209">
        <f>MAGPIELink!X100</f>
        <v>0</v>
      </c>
      <c r="Y100" s="209">
        <f>MAGPIELink!Y100</f>
        <v>0</v>
      </c>
      <c r="Z100" s="209">
        <f>MAGPIELink!Z100</f>
        <v>0</v>
      </c>
      <c r="AA100" s="209">
        <f>MAGPIELink!AA100</f>
        <v>0</v>
      </c>
      <c r="AB100" s="209">
        <f>MAGPIELink!AB100</f>
        <v>0</v>
      </c>
      <c r="AC100" s="209">
        <f>MAGPIELink!AC100</f>
        <v>0</v>
      </c>
      <c r="AD100" s="209">
        <f>MAGPIELink!AD100</f>
        <v>0</v>
      </c>
      <c r="AE100" s="209">
        <f>MAGPIELink!AE100</f>
        <v>0</v>
      </c>
      <c r="AF100" s="220">
        <f>MAGPIELink!AF100</f>
        <v>0</v>
      </c>
      <c r="AG100" s="436">
        <v>16.760000000000002</v>
      </c>
      <c r="AI100" s="174"/>
    </row>
    <row r="101" spans="1:35">
      <c r="A101" s="215" t="s">
        <v>943</v>
      </c>
      <c r="B101" s="232" t="s">
        <v>940</v>
      </c>
      <c r="C101" s="232">
        <v>2035</v>
      </c>
      <c r="D101" s="232" t="s">
        <v>939</v>
      </c>
      <c r="E101" s="209">
        <f>MAGPIELink!E101</f>
        <v>0</v>
      </c>
      <c r="F101" s="209">
        <f>MAGPIELink!F101</f>
        <v>0</v>
      </c>
      <c r="G101" s="209">
        <f>MAGPIELink!G101</f>
        <v>0</v>
      </c>
      <c r="H101" s="209">
        <f>MAGPIELink!H101</f>
        <v>0</v>
      </c>
      <c r="I101" s="209">
        <f>MAGPIELink!I101</f>
        <v>0</v>
      </c>
      <c r="J101" s="209">
        <f>MAGPIELink!J101</f>
        <v>0</v>
      </c>
      <c r="K101" s="209">
        <f>MAGPIELink!K101</f>
        <v>0</v>
      </c>
      <c r="L101" s="209">
        <f>MAGPIELink!L101</f>
        <v>0</v>
      </c>
      <c r="M101" s="209">
        <f>MAGPIELink!M101</f>
        <v>0</v>
      </c>
      <c r="N101" s="209">
        <f>MAGPIELink!N101</f>
        <v>0</v>
      </c>
      <c r="O101" s="209">
        <f>MAGPIELink!O101</f>
        <v>0</v>
      </c>
      <c r="P101" s="209">
        <f>MAGPIELink!P101</f>
        <v>0</v>
      </c>
      <c r="Q101" s="209">
        <f>MAGPIELink!Q101</f>
        <v>0</v>
      </c>
      <c r="R101" s="209">
        <f>MAGPIELink!R101</f>
        <v>0</v>
      </c>
      <c r="S101" s="209">
        <f>MAGPIELink!S101</f>
        <v>0</v>
      </c>
      <c r="T101" s="209">
        <f>MAGPIELink!T101</f>
        <v>0</v>
      </c>
      <c r="U101" s="209">
        <f>MAGPIELink!U101</f>
        <v>0</v>
      </c>
      <c r="V101" s="209">
        <f>MAGPIELink!V101</f>
        <v>0</v>
      </c>
      <c r="W101" s="209">
        <f>MAGPIELink!W101</f>
        <v>0</v>
      </c>
      <c r="X101" s="209">
        <f>MAGPIELink!X101</f>
        <v>0</v>
      </c>
      <c r="Y101" s="209">
        <f>MAGPIELink!Y101</f>
        <v>0</v>
      </c>
      <c r="Z101" s="209">
        <f>MAGPIELink!Z101</f>
        <v>0</v>
      </c>
      <c r="AA101" s="209">
        <f>MAGPIELink!AA101</f>
        <v>0</v>
      </c>
      <c r="AB101" s="209">
        <f>MAGPIELink!AB101</f>
        <v>0</v>
      </c>
      <c r="AC101" s="209">
        <f>MAGPIELink!AC101</f>
        <v>0</v>
      </c>
      <c r="AD101" s="209">
        <f>MAGPIELink!AD101</f>
        <v>0</v>
      </c>
      <c r="AE101" s="209">
        <f>MAGPIELink!AE101</f>
        <v>0</v>
      </c>
      <c r="AF101" s="220">
        <f>MAGPIELink!AF101</f>
        <v>0</v>
      </c>
      <c r="AG101" s="436">
        <v>16.760000000000002</v>
      </c>
      <c r="AI101" s="174"/>
    </row>
    <row r="102" spans="1:35">
      <c r="A102" s="215" t="s">
        <v>943</v>
      </c>
      <c r="B102" s="232" t="s">
        <v>940</v>
      </c>
      <c r="C102" s="232">
        <v>2040</v>
      </c>
      <c r="D102" s="232" t="s">
        <v>939</v>
      </c>
      <c r="E102" s="209">
        <f>MAGPIELink!E102</f>
        <v>0</v>
      </c>
      <c r="F102" s="209">
        <f>MAGPIELink!F102</f>
        <v>0</v>
      </c>
      <c r="G102" s="209">
        <f>MAGPIELink!G102</f>
        <v>0</v>
      </c>
      <c r="H102" s="209">
        <f>MAGPIELink!H102</f>
        <v>0</v>
      </c>
      <c r="I102" s="209">
        <f>MAGPIELink!I102</f>
        <v>0</v>
      </c>
      <c r="J102" s="209">
        <f>MAGPIELink!J102</f>
        <v>0</v>
      </c>
      <c r="K102" s="209">
        <f>MAGPIELink!K102</f>
        <v>0</v>
      </c>
      <c r="L102" s="209">
        <f>MAGPIELink!L102</f>
        <v>0</v>
      </c>
      <c r="M102" s="209">
        <f>MAGPIELink!M102</f>
        <v>0</v>
      </c>
      <c r="N102" s="209">
        <f>MAGPIELink!N102</f>
        <v>0</v>
      </c>
      <c r="O102" s="209">
        <f>MAGPIELink!O102</f>
        <v>0</v>
      </c>
      <c r="P102" s="209">
        <f>MAGPIELink!P102</f>
        <v>0</v>
      </c>
      <c r="Q102" s="209">
        <f>MAGPIELink!Q102</f>
        <v>0</v>
      </c>
      <c r="R102" s="209">
        <f>MAGPIELink!R102</f>
        <v>0</v>
      </c>
      <c r="S102" s="209">
        <f>MAGPIELink!S102</f>
        <v>0</v>
      </c>
      <c r="T102" s="209">
        <f>MAGPIELink!T102</f>
        <v>0</v>
      </c>
      <c r="U102" s="209">
        <f>MAGPIELink!U102</f>
        <v>0</v>
      </c>
      <c r="V102" s="209">
        <f>MAGPIELink!V102</f>
        <v>0</v>
      </c>
      <c r="W102" s="209">
        <f>MAGPIELink!W102</f>
        <v>0</v>
      </c>
      <c r="X102" s="209">
        <f>MAGPIELink!X102</f>
        <v>0</v>
      </c>
      <c r="Y102" s="209">
        <f>MAGPIELink!Y102</f>
        <v>0</v>
      </c>
      <c r="Z102" s="209">
        <f>MAGPIELink!Z102</f>
        <v>0</v>
      </c>
      <c r="AA102" s="209">
        <f>MAGPIELink!AA102</f>
        <v>0</v>
      </c>
      <c r="AB102" s="209">
        <f>MAGPIELink!AB102</f>
        <v>0</v>
      </c>
      <c r="AC102" s="209">
        <f>MAGPIELink!AC102</f>
        <v>0</v>
      </c>
      <c r="AD102" s="209">
        <f>MAGPIELink!AD102</f>
        <v>0</v>
      </c>
      <c r="AE102" s="209">
        <f>MAGPIELink!AE102</f>
        <v>0</v>
      </c>
      <c r="AF102" s="220">
        <f>MAGPIELink!AF102</f>
        <v>0</v>
      </c>
      <c r="AG102" s="436">
        <v>16.760000000000002</v>
      </c>
      <c r="AI102" s="174"/>
    </row>
    <row r="103" spans="1:35">
      <c r="A103" s="215" t="s">
        <v>943</v>
      </c>
      <c r="B103" s="232" t="s">
        <v>940</v>
      </c>
      <c r="C103" s="232">
        <v>2045</v>
      </c>
      <c r="D103" s="232" t="s">
        <v>939</v>
      </c>
      <c r="E103" s="209">
        <f>MAGPIELink!E103</f>
        <v>0</v>
      </c>
      <c r="F103" s="209">
        <f>MAGPIELink!F103</f>
        <v>0</v>
      </c>
      <c r="G103" s="209">
        <f>MAGPIELink!G103</f>
        <v>0</v>
      </c>
      <c r="H103" s="209">
        <f>MAGPIELink!H103</f>
        <v>0</v>
      </c>
      <c r="I103" s="209">
        <f>MAGPIELink!I103</f>
        <v>0</v>
      </c>
      <c r="J103" s="209">
        <f>MAGPIELink!J103</f>
        <v>0</v>
      </c>
      <c r="K103" s="209">
        <f>MAGPIELink!K103</f>
        <v>0</v>
      </c>
      <c r="L103" s="209">
        <f>MAGPIELink!L103</f>
        <v>0</v>
      </c>
      <c r="M103" s="209">
        <f>MAGPIELink!M103</f>
        <v>0</v>
      </c>
      <c r="N103" s="209">
        <f>MAGPIELink!N103</f>
        <v>0</v>
      </c>
      <c r="O103" s="209">
        <f>MAGPIELink!O103</f>
        <v>0</v>
      </c>
      <c r="P103" s="209">
        <f>MAGPIELink!P103</f>
        <v>0</v>
      </c>
      <c r="Q103" s="209">
        <f>MAGPIELink!Q103</f>
        <v>0</v>
      </c>
      <c r="R103" s="209">
        <f>MAGPIELink!R103</f>
        <v>0</v>
      </c>
      <c r="S103" s="209">
        <f>MAGPIELink!S103</f>
        <v>0</v>
      </c>
      <c r="T103" s="209">
        <f>MAGPIELink!T103</f>
        <v>0</v>
      </c>
      <c r="U103" s="209">
        <f>MAGPIELink!U103</f>
        <v>0</v>
      </c>
      <c r="V103" s="209">
        <f>MAGPIELink!V103</f>
        <v>0</v>
      </c>
      <c r="W103" s="209">
        <f>MAGPIELink!W103</f>
        <v>0</v>
      </c>
      <c r="X103" s="209">
        <f>MAGPIELink!X103</f>
        <v>0</v>
      </c>
      <c r="Y103" s="209">
        <f>MAGPIELink!Y103</f>
        <v>0</v>
      </c>
      <c r="Z103" s="209">
        <f>MAGPIELink!Z103</f>
        <v>0</v>
      </c>
      <c r="AA103" s="209">
        <f>MAGPIELink!AA103</f>
        <v>0</v>
      </c>
      <c r="AB103" s="209">
        <f>MAGPIELink!AB103</f>
        <v>0</v>
      </c>
      <c r="AC103" s="209">
        <f>MAGPIELink!AC103</f>
        <v>0</v>
      </c>
      <c r="AD103" s="209">
        <f>MAGPIELink!AD103</f>
        <v>0</v>
      </c>
      <c r="AE103" s="209">
        <f>MAGPIELink!AE103</f>
        <v>0</v>
      </c>
      <c r="AF103" s="220">
        <f>MAGPIELink!AF103</f>
        <v>0</v>
      </c>
      <c r="AG103" s="436">
        <v>16.760000000000002</v>
      </c>
      <c r="AI103" s="174"/>
    </row>
    <row r="104" spans="1:35">
      <c r="A104" s="215" t="s">
        <v>943</v>
      </c>
      <c r="B104" s="232" t="s">
        <v>940</v>
      </c>
      <c r="C104" s="232">
        <v>2050</v>
      </c>
      <c r="D104" s="232" t="s">
        <v>939</v>
      </c>
      <c r="E104" s="209">
        <f>MAGPIELink!E104</f>
        <v>0</v>
      </c>
      <c r="F104" s="209">
        <f>MAGPIELink!F104</f>
        <v>0</v>
      </c>
      <c r="G104" s="209">
        <f>MAGPIELink!G104</f>
        <v>0</v>
      </c>
      <c r="H104" s="209">
        <f>MAGPIELink!H104</f>
        <v>0</v>
      </c>
      <c r="I104" s="209">
        <f>MAGPIELink!I104</f>
        <v>0</v>
      </c>
      <c r="J104" s="209">
        <f>MAGPIELink!J104</f>
        <v>0</v>
      </c>
      <c r="K104" s="209">
        <f>MAGPIELink!K104</f>
        <v>0</v>
      </c>
      <c r="L104" s="209">
        <f>MAGPIELink!L104</f>
        <v>0</v>
      </c>
      <c r="M104" s="209">
        <f>MAGPIELink!M104</f>
        <v>0</v>
      </c>
      <c r="N104" s="209">
        <f>MAGPIELink!N104</f>
        <v>0</v>
      </c>
      <c r="O104" s="209">
        <f>MAGPIELink!O104</f>
        <v>0</v>
      </c>
      <c r="P104" s="209">
        <f>MAGPIELink!P104</f>
        <v>0</v>
      </c>
      <c r="Q104" s="209">
        <f>MAGPIELink!Q104</f>
        <v>0</v>
      </c>
      <c r="R104" s="209">
        <f>MAGPIELink!R104</f>
        <v>0</v>
      </c>
      <c r="S104" s="209">
        <f>MAGPIELink!S104</f>
        <v>0</v>
      </c>
      <c r="T104" s="209">
        <f>MAGPIELink!T104</f>
        <v>0</v>
      </c>
      <c r="U104" s="209">
        <f>MAGPIELink!U104</f>
        <v>0</v>
      </c>
      <c r="V104" s="209">
        <f>MAGPIELink!V104</f>
        <v>0</v>
      </c>
      <c r="W104" s="209">
        <f>MAGPIELink!W104</f>
        <v>0</v>
      </c>
      <c r="X104" s="209">
        <f>MAGPIELink!X104</f>
        <v>0</v>
      </c>
      <c r="Y104" s="209">
        <f>MAGPIELink!Y104</f>
        <v>0</v>
      </c>
      <c r="Z104" s="209">
        <f>MAGPIELink!Z104</f>
        <v>0</v>
      </c>
      <c r="AA104" s="209">
        <f>MAGPIELink!AA104</f>
        <v>0</v>
      </c>
      <c r="AB104" s="209">
        <f>MAGPIELink!AB104</f>
        <v>0</v>
      </c>
      <c r="AC104" s="209">
        <f>MAGPIELink!AC104</f>
        <v>0</v>
      </c>
      <c r="AD104" s="209">
        <f>MAGPIELink!AD104</f>
        <v>0</v>
      </c>
      <c r="AE104" s="209">
        <f>MAGPIELink!AE104</f>
        <v>0</v>
      </c>
      <c r="AF104" s="220">
        <f>MAGPIELink!AF104</f>
        <v>0</v>
      </c>
      <c r="AG104" s="436">
        <v>16.760000000000002</v>
      </c>
      <c r="AI104" s="174"/>
    </row>
    <row r="105" spans="1:35">
      <c r="A105" s="215" t="s">
        <v>943</v>
      </c>
      <c r="B105" s="232" t="s">
        <v>940</v>
      </c>
      <c r="C105" s="232">
        <v>2060</v>
      </c>
      <c r="D105" s="232" t="s">
        <v>939</v>
      </c>
      <c r="E105" s="209">
        <f>MAGPIELink!E105</f>
        <v>0</v>
      </c>
      <c r="F105" s="209">
        <f>MAGPIELink!F105</f>
        <v>0</v>
      </c>
      <c r="G105" s="209">
        <f>MAGPIELink!G105</f>
        <v>0</v>
      </c>
      <c r="H105" s="209">
        <f>MAGPIELink!H105</f>
        <v>0</v>
      </c>
      <c r="I105" s="209">
        <f>MAGPIELink!I105</f>
        <v>0</v>
      </c>
      <c r="J105" s="209">
        <f>MAGPIELink!J105</f>
        <v>0</v>
      </c>
      <c r="K105" s="209">
        <f>MAGPIELink!K105</f>
        <v>0</v>
      </c>
      <c r="L105" s="209">
        <f>MAGPIELink!L105</f>
        <v>0</v>
      </c>
      <c r="M105" s="209">
        <f>MAGPIELink!M105</f>
        <v>0</v>
      </c>
      <c r="N105" s="209">
        <f>MAGPIELink!N105</f>
        <v>0</v>
      </c>
      <c r="O105" s="209">
        <f>MAGPIELink!O105</f>
        <v>0</v>
      </c>
      <c r="P105" s="209">
        <f>MAGPIELink!P105</f>
        <v>0</v>
      </c>
      <c r="Q105" s="209">
        <f>MAGPIELink!Q105</f>
        <v>0</v>
      </c>
      <c r="R105" s="209">
        <f>MAGPIELink!R105</f>
        <v>0</v>
      </c>
      <c r="S105" s="209">
        <f>MAGPIELink!S105</f>
        <v>0</v>
      </c>
      <c r="T105" s="209">
        <f>MAGPIELink!T105</f>
        <v>0</v>
      </c>
      <c r="U105" s="209">
        <f>MAGPIELink!U105</f>
        <v>0</v>
      </c>
      <c r="V105" s="209">
        <f>MAGPIELink!V105</f>
        <v>0</v>
      </c>
      <c r="W105" s="209">
        <f>MAGPIELink!W105</f>
        <v>0</v>
      </c>
      <c r="X105" s="209">
        <f>MAGPIELink!X105</f>
        <v>0</v>
      </c>
      <c r="Y105" s="209">
        <f>MAGPIELink!Y105</f>
        <v>0</v>
      </c>
      <c r="Z105" s="209">
        <f>MAGPIELink!Z105</f>
        <v>0</v>
      </c>
      <c r="AA105" s="209">
        <f>MAGPIELink!AA105</f>
        <v>0</v>
      </c>
      <c r="AB105" s="209">
        <f>MAGPIELink!AB105</f>
        <v>0</v>
      </c>
      <c r="AC105" s="209">
        <f>MAGPIELink!AC105</f>
        <v>0</v>
      </c>
      <c r="AD105" s="209">
        <f>MAGPIELink!AD105</f>
        <v>0</v>
      </c>
      <c r="AE105" s="209">
        <f>MAGPIELink!AE105</f>
        <v>0</v>
      </c>
      <c r="AF105" s="220">
        <f>MAGPIELink!AF105</f>
        <v>0</v>
      </c>
      <c r="AG105" s="436">
        <v>16.760000000000002</v>
      </c>
      <c r="AI105" s="174"/>
    </row>
    <row r="106" spans="1:35">
      <c r="A106" s="215" t="s">
        <v>943</v>
      </c>
      <c r="B106" s="232" t="s">
        <v>940</v>
      </c>
      <c r="C106" s="232">
        <v>2070</v>
      </c>
      <c r="D106" s="232" t="s">
        <v>939</v>
      </c>
      <c r="E106" s="209">
        <f>MAGPIELink!E106</f>
        <v>0</v>
      </c>
      <c r="F106" s="209">
        <f>MAGPIELink!F106</f>
        <v>0</v>
      </c>
      <c r="G106" s="209">
        <f>MAGPIELink!G106</f>
        <v>0</v>
      </c>
      <c r="H106" s="209">
        <f>MAGPIELink!H106</f>
        <v>0</v>
      </c>
      <c r="I106" s="209">
        <f>MAGPIELink!I106</f>
        <v>0</v>
      </c>
      <c r="J106" s="209">
        <f>MAGPIELink!J106</f>
        <v>0</v>
      </c>
      <c r="K106" s="209">
        <f>MAGPIELink!K106</f>
        <v>0</v>
      </c>
      <c r="L106" s="209">
        <f>MAGPIELink!L106</f>
        <v>0</v>
      </c>
      <c r="M106" s="209">
        <f>MAGPIELink!M106</f>
        <v>0</v>
      </c>
      <c r="N106" s="209">
        <f>MAGPIELink!N106</f>
        <v>0</v>
      </c>
      <c r="O106" s="209">
        <f>MAGPIELink!O106</f>
        <v>0</v>
      </c>
      <c r="P106" s="209">
        <f>MAGPIELink!P106</f>
        <v>0</v>
      </c>
      <c r="Q106" s="209">
        <f>MAGPIELink!Q106</f>
        <v>0</v>
      </c>
      <c r="R106" s="209">
        <f>MAGPIELink!R106</f>
        <v>0</v>
      </c>
      <c r="S106" s="209">
        <f>MAGPIELink!S106</f>
        <v>0</v>
      </c>
      <c r="T106" s="209">
        <f>MAGPIELink!T106</f>
        <v>0</v>
      </c>
      <c r="U106" s="209">
        <f>MAGPIELink!U106</f>
        <v>0</v>
      </c>
      <c r="V106" s="209">
        <f>MAGPIELink!V106</f>
        <v>0</v>
      </c>
      <c r="W106" s="209">
        <f>MAGPIELink!W106</f>
        <v>0</v>
      </c>
      <c r="X106" s="209">
        <f>MAGPIELink!X106</f>
        <v>0</v>
      </c>
      <c r="Y106" s="209">
        <f>MAGPIELink!Y106</f>
        <v>0</v>
      </c>
      <c r="Z106" s="209">
        <f>MAGPIELink!Z106</f>
        <v>0</v>
      </c>
      <c r="AA106" s="209">
        <f>MAGPIELink!AA106</f>
        <v>0</v>
      </c>
      <c r="AB106" s="209">
        <f>MAGPIELink!AB106</f>
        <v>0</v>
      </c>
      <c r="AC106" s="209">
        <f>MAGPIELink!AC106</f>
        <v>0</v>
      </c>
      <c r="AD106" s="209">
        <f>MAGPIELink!AD106</f>
        <v>0</v>
      </c>
      <c r="AE106" s="209">
        <f>MAGPIELink!AE106</f>
        <v>0</v>
      </c>
      <c r="AF106" s="220">
        <f>MAGPIELink!AF106</f>
        <v>0</v>
      </c>
      <c r="AG106" s="436">
        <v>16.760000000000002</v>
      </c>
      <c r="AI106" s="174"/>
    </row>
    <row r="107" spans="1:35">
      <c r="A107" s="215" t="s">
        <v>943</v>
      </c>
      <c r="B107" s="232" t="s">
        <v>940</v>
      </c>
      <c r="C107" s="232">
        <v>2080</v>
      </c>
      <c r="D107" s="232" t="s">
        <v>939</v>
      </c>
      <c r="E107" s="209">
        <f>MAGPIELink!E107</f>
        <v>0</v>
      </c>
      <c r="F107" s="209">
        <f>MAGPIELink!F107</f>
        <v>0</v>
      </c>
      <c r="G107" s="209">
        <f>MAGPIELink!G107</f>
        <v>0</v>
      </c>
      <c r="H107" s="209">
        <f>MAGPIELink!H107</f>
        <v>0</v>
      </c>
      <c r="I107" s="209">
        <f>MAGPIELink!I107</f>
        <v>0</v>
      </c>
      <c r="J107" s="209">
        <f>MAGPIELink!J107</f>
        <v>0</v>
      </c>
      <c r="K107" s="209">
        <f>MAGPIELink!K107</f>
        <v>0</v>
      </c>
      <c r="L107" s="209">
        <f>MAGPIELink!L107</f>
        <v>0</v>
      </c>
      <c r="M107" s="209">
        <f>MAGPIELink!M107</f>
        <v>0</v>
      </c>
      <c r="N107" s="209">
        <f>MAGPIELink!N107</f>
        <v>0</v>
      </c>
      <c r="O107" s="209">
        <f>MAGPIELink!O107</f>
        <v>0</v>
      </c>
      <c r="P107" s="209">
        <f>MAGPIELink!P107</f>
        <v>0</v>
      </c>
      <c r="Q107" s="209">
        <f>MAGPIELink!Q107</f>
        <v>0</v>
      </c>
      <c r="R107" s="209">
        <f>MAGPIELink!R107</f>
        <v>0</v>
      </c>
      <c r="S107" s="209">
        <f>MAGPIELink!S107</f>
        <v>0</v>
      </c>
      <c r="T107" s="209">
        <f>MAGPIELink!T107</f>
        <v>0</v>
      </c>
      <c r="U107" s="209">
        <f>MAGPIELink!U107</f>
        <v>0</v>
      </c>
      <c r="V107" s="209">
        <f>MAGPIELink!V107</f>
        <v>0</v>
      </c>
      <c r="W107" s="209">
        <f>MAGPIELink!W107</f>
        <v>0</v>
      </c>
      <c r="X107" s="209">
        <f>MAGPIELink!X107</f>
        <v>0</v>
      </c>
      <c r="Y107" s="209">
        <f>MAGPIELink!Y107</f>
        <v>0</v>
      </c>
      <c r="Z107" s="209">
        <f>MAGPIELink!Z107</f>
        <v>0</v>
      </c>
      <c r="AA107" s="209">
        <f>MAGPIELink!AA107</f>
        <v>0</v>
      </c>
      <c r="AB107" s="209">
        <f>MAGPIELink!AB107</f>
        <v>0</v>
      </c>
      <c r="AC107" s="209">
        <f>MAGPIELink!AC107</f>
        <v>0</v>
      </c>
      <c r="AD107" s="209">
        <f>MAGPIELink!AD107</f>
        <v>0</v>
      </c>
      <c r="AE107" s="209">
        <f>MAGPIELink!AE107</f>
        <v>0</v>
      </c>
      <c r="AF107" s="220">
        <f>MAGPIELink!AF107</f>
        <v>0</v>
      </c>
      <c r="AG107" s="436">
        <v>16.760000000000002</v>
      </c>
      <c r="AI107" s="174"/>
    </row>
    <row r="108" spans="1:35">
      <c r="A108" s="215" t="s">
        <v>943</v>
      </c>
      <c r="B108" s="232" t="s">
        <v>940</v>
      </c>
      <c r="C108" s="232">
        <v>2090</v>
      </c>
      <c r="D108" s="232" t="s">
        <v>939</v>
      </c>
      <c r="E108" s="209">
        <f>MAGPIELink!E108</f>
        <v>0</v>
      </c>
      <c r="F108" s="209">
        <f>MAGPIELink!F108</f>
        <v>0</v>
      </c>
      <c r="G108" s="209">
        <f>MAGPIELink!G108</f>
        <v>0</v>
      </c>
      <c r="H108" s="209">
        <f>MAGPIELink!H108</f>
        <v>0</v>
      </c>
      <c r="I108" s="209">
        <f>MAGPIELink!I108</f>
        <v>0</v>
      </c>
      <c r="J108" s="209">
        <f>MAGPIELink!J108</f>
        <v>0</v>
      </c>
      <c r="K108" s="209">
        <f>MAGPIELink!K108</f>
        <v>0</v>
      </c>
      <c r="L108" s="209">
        <f>MAGPIELink!L108</f>
        <v>0</v>
      </c>
      <c r="M108" s="209">
        <f>MAGPIELink!M108</f>
        <v>0</v>
      </c>
      <c r="N108" s="209">
        <f>MAGPIELink!N108</f>
        <v>0</v>
      </c>
      <c r="O108" s="209">
        <f>MAGPIELink!O108</f>
        <v>0</v>
      </c>
      <c r="P108" s="209">
        <f>MAGPIELink!P108</f>
        <v>0</v>
      </c>
      <c r="Q108" s="209">
        <f>MAGPIELink!Q108</f>
        <v>0</v>
      </c>
      <c r="R108" s="209">
        <f>MAGPIELink!R108</f>
        <v>0</v>
      </c>
      <c r="S108" s="209">
        <f>MAGPIELink!S108</f>
        <v>0</v>
      </c>
      <c r="T108" s="209">
        <f>MAGPIELink!T108</f>
        <v>0</v>
      </c>
      <c r="U108" s="209">
        <f>MAGPIELink!U108</f>
        <v>0</v>
      </c>
      <c r="V108" s="209">
        <f>MAGPIELink!V108</f>
        <v>0</v>
      </c>
      <c r="W108" s="209">
        <f>MAGPIELink!W108</f>
        <v>0</v>
      </c>
      <c r="X108" s="209">
        <f>MAGPIELink!X108</f>
        <v>0</v>
      </c>
      <c r="Y108" s="209">
        <f>MAGPIELink!Y108</f>
        <v>0</v>
      </c>
      <c r="Z108" s="209">
        <f>MAGPIELink!Z108</f>
        <v>0</v>
      </c>
      <c r="AA108" s="209">
        <f>MAGPIELink!AA108</f>
        <v>0</v>
      </c>
      <c r="AB108" s="209">
        <f>MAGPIELink!AB108</f>
        <v>0</v>
      </c>
      <c r="AC108" s="209">
        <f>MAGPIELink!AC108</f>
        <v>0</v>
      </c>
      <c r="AD108" s="209">
        <f>MAGPIELink!AD108</f>
        <v>0</v>
      </c>
      <c r="AE108" s="209">
        <f>MAGPIELink!AE108</f>
        <v>0</v>
      </c>
      <c r="AF108" s="220">
        <f>MAGPIELink!AF108</f>
        <v>0</v>
      </c>
      <c r="AG108" s="436">
        <v>16.760000000000002</v>
      </c>
      <c r="AI108" s="174"/>
    </row>
    <row r="109" spans="1:35">
      <c r="A109" s="229" t="s">
        <v>943</v>
      </c>
      <c r="B109" s="235" t="s">
        <v>940</v>
      </c>
      <c r="C109" s="235">
        <v>2100</v>
      </c>
      <c r="D109" s="235" t="s">
        <v>939</v>
      </c>
      <c r="E109" s="226">
        <f>MAGPIELink!E109</f>
        <v>0</v>
      </c>
      <c r="F109" s="226">
        <f>MAGPIELink!F109</f>
        <v>0</v>
      </c>
      <c r="G109" s="226">
        <f>MAGPIELink!G109</f>
        <v>0</v>
      </c>
      <c r="H109" s="226">
        <f>MAGPIELink!H109</f>
        <v>0</v>
      </c>
      <c r="I109" s="226">
        <f>MAGPIELink!I109</f>
        <v>0</v>
      </c>
      <c r="J109" s="226">
        <f>MAGPIELink!J109</f>
        <v>0</v>
      </c>
      <c r="K109" s="226">
        <f>MAGPIELink!K109</f>
        <v>0</v>
      </c>
      <c r="L109" s="226">
        <f>MAGPIELink!L109</f>
        <v>0</v>
      </c>
      <c r="M109" s="226">
        <f>MAGPIELink!M109</f>
        <v>0</v>
      </c>
      <c r="N109" s="226">
        <f>MAGPIELink!N109</f>
        <v>0</v>
      </c>
      <c r="O109" s="226">
        <f>MAGPIELink!O109</f>
        <v>0</v>
      </c>
      <c r="P109" s="226">
        <f>MAGPIELink!P109</f>
        <v>0</v>
      </c>
      <c r="Q109" s="226">
        <f>MAGPIELink!Q109</f>
        <v>0</v>
      </c>
      <c r="R109" s="226">
        <f>MAGPIELink!R109</f>
        <v>0</v>
      </c>
      <c r="S109" s="226">
        <f>MAGPIELink!S109</f>
        <v>0</v>
      </c>
      <c r="T109" s="226">
        <f>MAGPIELink!T109</f>
        <v>0</v>
      </c>
      <c r="U109" s="226">
        <f>MAGPIELink!U109</f>
        <v>0</v>
      </c>
      <c r="V109" s="226">
        <f>MAGPIELink!V109</f>
        <v>0</v>
      </c>
      <c r="W109" s="226">
        <f>MAGPIELink!W109</f>
        <v>0</v>
      </c>
      <c r="X109" s="226">
        <f>MAGPIELink!X109</f>
        <v>0</v>
      </c>
      <c r="Y109" s="226">
        <f>MAGPIELink!Y109</f>
        <v>0</v>
      </c>
      <c r="Z109" s="226">
        <f>MAGPIELink!Z109</f>
        <v>0</v>
      </c>
      <c r="AA109" s="226">
        <f>MAGPIELink!AA109</f>
        <v>0</v>
      </c>
      <c r="AB109" s="226">
        <f>MAGPIELink!AB109</f>
        <v>0</v>
      </c>
      <c r="AC109" s="226">
        <f>MAGPIELink!AC109</f>
        <v>0</v>
      </c>
      <c r="AD109" s="226">
        <f>MAGPIELink!AD109</f>
        <v>0</v>
      </c>
      <c r="AE109" s="226">
        <f>MAGPIELink!AE109</f>
        <v>0</v>
      </c>
      <c r="AF109" s="224">
        <f>MAGPIELink!AF109</f>
        <v>0</v>
      </c>
      <c r="AG109" s="437">
        <v>16.760000000000002</v>
      </c>
      <c r="AI109" s="174"/>
    </row>
    <row r="110" spans="1:35">
      <c r="A110" t="s">
        <v>943</v>
      </c>
      <c r="B110" s="231" t="s">
        <v>941</v>
      </c>
      <c r="C110" s="232">
        <v>2019</v>
      </c>
      <c r="D110" s="231" t="s">
        <v>939</v>
      </c>
      <c r="E110" s="209">
        <f>MAGPIELink!E110</f>
        <v>0</v>
      </c>
      <c r="F110" s="209">
        <f>MAGPIELink!F110</f>
        <v>0</v>
      </c>
      <c r="G110" s="209">
        <f>MAGPIELink!G110</f>
        <v>0</v>
      </c>
      <c r="H110" s="209">
        <f>MAGPIELink!H110</f>
        <v>0</v>
      </c>
      <c r="I110" s="209">
        <f>MAGPIELink!I110</f>
        <v>0</v>
      </c>
      <c r="J110" s="209">
        <f>MAGPIELink!J110</f>
        <v>0</v>
      </c>
      <c r="K110" s="209">
        <f>MAGPIELink!K110</f>
        <v>0</v>
      </c>
      <c r="L110" s="209">
        <f>MAGPIELink!L110</f>
        <v>0</v>
      </c>
      <c r="M110" s="209">
        <f>MAGPIELink!M110</f>
        <v>0</v>
      </c>
      <c r="N110" s="209">
        <f>MAGPIELink!N110</f>
        <v>0</v>
      </c>
      <c r="O110" s="209">
        <f>MAGPIELink!O110</f>
        <v>0</v>
      </c>
      <c r="P110" s="209">
        <f>MAGPIELink!P110</f>
        <v>0</v>
      </c>
      <c r="Q110" s="209">
        <f>MAGPIELink!Q110</f>
        <v>0</v>
      </c>
      <c r="R110" s="209">
        <f>MAGPIELink!R110</f>
        <v>0</v>
      </c>
      <c r="S110" s="209">
        <f>MAGPIELink!S110</f>
        <v>0</v>
      </c>
      <c r="T110" s="209">
        <f>MAGPIELink!T110</f>
        <v>0</v>
      </c>
      <c r="U110" s="209">
        <f>MAGPIELink!U110</f>
        <v>0</v>
      </c>
      <c r="V110" s="209">
        <f>MAGPIELink!V110</f>
        <v>0</v>
      </c>
      <c r="W110" s="209">
        <f>MAGPIELink!W110</f>
        <v>0</v>
      </c>
      <c r="X110" s="209">
        <f>MAGPIELink!X110</f>
        <v>0</v>
      </c>
      <c r="Y110" s="209">
        <f>MAGPIELink!Y110</f>
        <v>0</v>
      </c>
      <c r="Z110" s="209">
        <f>MAGPIELink!Z110</f>
        <v>0</v>
      </c>
      <c r="AA110" s="209">
        <f>MAGPIELink!AA110</f>
        <v>0</v>
      </c>
      <c r="AB110" s="209">
        <f>MAGPIELink!AB110</f>
        <v>0</v>
      </c>
      <c r="AC110" s="209">
        <f>MAGPIELink!AC110</f>
        <v>0</v>
      </c>
      <c r="AD110" s="209">
        <f>MAGPIELink!AD110</f>
        <v>0</v>
      </c>
      <c r="AE110" s="209">
        <f>MAGPIELink!AE110</f>
        <v>0</v>
      </c>
      <c r="AF110" s="209">
        <f>MAGPIELink!AF110</f>
        <v>0</v>
      </c>
      <c r="AG110" s="453">
        <v>16.760000000000002</v>
      </c>
    </row>
    <row r="111" spans="1:35">
      <c r="A111" s="215" t="s">
        <v>943</v>
      </c>
      <c r="B111" s="232" t="s">
        <v>941</v>
      </c>
      <c r="C111">
        <v>2020</v>
      </c>
      <c r="D111" s="232" t="s">
        <v>939</v>
      </c>
      <c r="E111" s="209">
        <f>MAGPIELink!E111</f>
        <v>0</v>
      </c>
      <c r="F111" s="209">
        <f>MAGPIELink!F111</f>
        <v>0</v>
      </c>
      <c r="G111" s="209">
        <f>MAGPIELink!G111</f>
        <v>0</v>
      </c>
      <c r="H111" s="209">
        <f>MAGPIELink!H111</f>
        <v>0</v>
      </c>
      <c r="I111" s="209">
        <f>MAGPIELink!I111</f>
        <v>0</v>
      </c>
      <c r="J111" s="209">
        <f>MAGPIELink!J111</f>
        <v>0</v>
      </c>
      <c r="K111" s="209">
        <f>MAGPIELink!K111</f>
        <v>0</v>
      </c>
      <c r="L111" s="209">
        <f>MAGPIELink!L111</f>
        <v>0</v>
      </c>
      <c r="M111" s="209">
        <f>MAGPIELink!M111</f>
        <v>0</v>
      </c>
      <c r="N111" s="209">
        <f>MAGPIELink!N111</f>
        <v>0</v>
      </c>
      <c r="O111" s="209">
        <f>MAGPIELink!O111</f>
        <v>0</v>
      </c>
      <c r="P111" s="209">
        <f>MAGPIELink!P111</f>
        <v>0</v>
      </c>
      <c r="Q111" s="209">
        <f>MAGPIELink!Q111</f>
        <v>0</v>
      </c>
      <c r="R111" s="209">
        <f>MAGPIELink!R111</f>
        <v>0</v>
      </c>
      <c r="S111" s="209">
        <f>MAGPIELink!S111</f>
        <v>0</v>
      </c>
      <c r="T111" s="209">
        <f>MAGPIELink!T111</f>
        <v>0</v>
      </c>
      <c r="U111" s="209">
        <f>MAGPIELink!U111</f>
        <v>0</v>
      </c>
      <c r="V111" s="209">
        <f>MAGPIELink!V111</f>
        <v>0</v>
      </c>
      <c r="W111" s="209">
        <f>MAGPIELink!W111</f>
        <v>0</v>
      </c>
      <c r="X111" s="209">
        <f>MAGPIELink!X111</f>
        <v>0</v>
      </c>
      <c r="Y111" s="209">
        <f>MAGPIELink!Y111</f>
        <v>0</v>
      </c>
      <c r="Z111" s="209">
        <f>MAGPIELink!Z111</f>
        <v>0</v>
      </c>
      <c r="AA111" s="209">
        <f>MAGPIELink!AA111</f>
        <v>0</v>
      </c>
      <c r="AB111" s="209">
        <f>MAGPIELink!AB111</f>
        <v>0</v>
      </c>
      <c r="AC111" s="209">
        <f>MAGPIELink!AC111</f>
        <v>0</v>
      </c>
      <c r="AD111" s="209">
        <f>MAGPIELink!AD111</f>
        <v>0</v>
      </c>
      <c r="AE111" s="209">
        <f>MAGPIELink!AE111</f>
        <v>0</v>
      </c>
      <c r="AF111" s="220">
        <f>MAGPIELink!AF111</f>
        <v>0</v>
      </c>
      <c r="AG111" s="436">
        <v>16.760000000000002</v>
      </c>
      <c r="AI111" s="174"/>
    </row>
    <row r="112" spans="1:35">
      <c r="A112" s="215" t="s">
        <v>943</v>
      </c>
      <c r="B112" s="232" t="s">
        <v>941</v>
      </c>
      <c r="C112" s="232">
        <v>2025</v>
      </c>
      <c r="D112" s="232" t="s">
        <v>939</v>
      </c>
      <c r="E112" s="209">
        <f>MAGPIELink!E112</f>
        <v>0</v>
      </c>
      <c r="F112" s="209">
        <f>MAGPIELink!F112</f>
        <v>0</v>
      </c>
      <c r="G112" s="209">
        <f>MAGPIELink!G112</f>
        <v>0</v>
      </c>
      <c r="H112" s="209">
        <f>MAGPIELink!H112</f>
        <v>0</v>
      </c>
      <c r="I112" s="209">
        <f>MAGPIELink!I112</f>
        <v>0</v>
      </c>
      <c r="J112" s="209">
        <f>MAGPIELink!J112</f>
        <v>0</v>
      </c>
      <c r="K112" s="209">
        <f>MAGPIELink!K112</f>
        <v>0</v>
      </c>
      <c r="L112" s="209">
        <f>MAGPIELink!L112</f>
        <v>0</v>
      </c>
      <c r="M112" s="209">
        <f>MAGPIELink!M112</f>
        <v>0</v>
      </c>
      <c r="N112" s="209">
        <f>MAGPIELink!N112</f>
        <v>0</v>
      </c>
      <c r="O112" s="209">
        <f>MAGPIELink!O112</f>
        <v>0</v>
      </c>
      <c r="P112" s="209">
        <f>MAGPIELink!P112</f>
        <v>0</v>
      </c>
      <c r="Q112" s="209">
        <f>MAGPIELink!Q112</f>
        <v>0</v>
      </c>
      <c r="R112" s="209">
        <f>MAGPIELink!R112</f>
        <v>0</v>
      </c>
      <c r="S112" s="209">
        <f>MAGPIELink!S112</f>
        <v>0</v>
      </c>
      <c r="T112" s="209">
        <f>MAGPIELink!T112</f>
        <v>0</v>
      </c>
      <c r="U112" s="209">
        <f>MAGPIELink!U112</f>
        <v>0</v>
      </c>
      <c r="V112" s="209">
        <f>MAGPIELink!V112</f>
        <v>0</v>
      </c>
      <c r="W112" s="209">
        <f>MAGPIELink!W112</f>
        <v>0</v>
      </c>
      <c r="X112" s="209">
        <f>MAGPIELink!X112</f>
        <v>0</v>
      </c>
      <c r="Y112" s="209">
        <f>MAGPIELink!Y112</f>
        <v>0</v>
      </c>
      <c r="Z112" s="209">
        <f>MAGPIELink!Z112</f>
        <v>0</v>
      </c>
      <c r="AA112" s="209">
        <f>MAGPIELink!AA112</f>
        <v>0</v>
      </c>
      <c r="AB112" s="209">
        <f>MAGPIELink!AB112</f>
        <v>0</v>
      </c>
      <c r="AC112" s="209">
        <f>MAGPIELink!AC112</f>
        <v>0</v>
      </c>
      <c r="AD112" s="209">
        <f>MAGPIELink!AD112</f>
        <v>0</v>
      </c>
      <c r="AE112" s="209">
        <f>MAGPIELink!AE112</f>
        <v>0</v>
      </c>
      <c r="AF112" s="220">
        <f>MAGPIELink!AF112</f>
        <v>0</v>
      </c>
      <c r="AG112" s="436">
        <v>16.760000000000002</v>
      </c>
      <c r="AI112" s="174"/>
    </row>
    <row r="113" spans="1:35">
      <c r="A113" s="215" t="s">
        <v>943</v>
      </c>
      <c r="B113" s="232" t="s">
        <v>941</v>
      </c>
      <c r="C113" s="232">
        <v>2030</v>
      </c>
      <c r="D113" s="232" t="s">
        <v>939</v>
      </c>
      <c r="E113" s="209">
        <f>MAGPIELink!E113</f>
        <v>0</v>
      </c>
      <c r="F113" s="209">
        <f>MAGPIELink!F113</f>
        <v>0</v>
      </c>
      <c r="G113" s="209">
        <f>MAGPIELink!G113</f>
        <v>0</v>
      </c>
      <c r="H113" s="209">
        <f>MAGPIELink!H113</f>
        <v>0</v>
      </c>
      <c r="I113" s="209">
        <f>MAGPIELink!I113</f>
        <v>0</v>
      </c>
      <c r="J113" s="209">
        <f>MAGPIELink!J113</f>
        <v>0</v>
      </c>
      <c r="K113" s="209">
        <f>MAGPIELink!K113</f>
        <v>0</v>
      </c>
      <c r="L113" s="209">
        <f>MAGPIELink!L113</f>
        <v>0</v>
      </c>
      <c r="M113" s="209">
        <f>MAGPIELink!M113</f>
        <v>0</v>
      </c>
      <c r="N113" s="209">
        <f>MAGPIELink!N113</f>
        <v>0</v>
      </c>
      <c r="O113" s="209">
        <f>MAGPIELink!O113</f>
        <v>0</v>
      </c>
      <c r="P113" s="209">
        <f>MAGPIELink!P113</f>
        <v>0</v>
      </c>
      <c r="Q113" s="209">
        <f>MAGPIELink!Q113</f>
        <v>0</v>
      </c>
      <c r="R113" s="209">
        <f>MAGPIELink!R113</f>
        <v>0</v>
      </c>
      <c r="S113" s="209">
        <f>MAGPIELink!S113</f>
        <v>0</v>
      </c>
      <c r="T113" s="209">
        <f>MAGPIELink!T113</f>
        <v>0</v>
      </c>
      <c r="U113" s="209">
        <f>MAGPIELink!U113</f>
        <v>0</v>
      </c>
      <c r="V113" s="209">
        <f>MAGPIELink!V113</f>
        <v>0</v>
      </c>
      <c r="W113" s="209">
        <f>MAGPIELink!W113</f>
        <v>0</v>
      </c>
      <c r="X113" s="209">
        <f>MAGPIELink!X113</f>
        <v>0</v>
      </c>
      <c r="Y113" s="209">
        <f>MAGPIELink!Y113</f>
        <v>0</v>
      </c>
      <c r="Z113" s="209">
        <f>MAGPIELink!Z113</f>
        <v>0</v>
      </c>
      <c r="AA113" s="209">
        <f>MAGPIELink!AA113</f>
        <v>0</v>
      </c>
      <c r="AB113" s="209">
        <f>MAGPIELink!AB113</f>
        <v>0</v>
      </c>
      <c r="AC113" s="209">
        <f>MAGPIELink!AC113</f>
        <v>0</v>
      </c>
      <c r="AD113" s="209">
        <f>MAGPIELink!AD113</f>
        <v>0</v>
      </c>
      <c r="AE113" s="209">
        <f>MAGPIELink!AE113</f>
        <v>0</v>
      </c>
      <c r="AF113" s="220">
        <f>MAGPIELink!AF113</f>
        <v>0</v>
      </c>
      <c r="AG113" s="436">
        <v>16.760000000000002</v>
      </c>
      <c r="AI113" s="174"/>
    </row>
    <row r="114" spans="1:35">
      <c r="A114" s="215" t="s">
        <v>943</v>
      </c>
      <c r="B114" s="232" t="s">
        <v>941</v>
      </c>
      <c r="C114" s="232">
        <v>2035</v>
      </c>
      <c r="D114" s="232" t="s">
        <v>939</v>
      </c>
      <c r="E114" s="209">
        <f>MAGPIELink!E114</f>
        <v>0</v>
      </c>
      <c r="F114" s="209">
        <f>MAGPIELink!F114</f>
        <v>0</v>
      </c>
      <c r="G114" s="209">
        <f>MAGPIELink!G114</f>
        <v>0</v>
      </c>
      <c r="H114" s="209">
        <f>MAGPIELink!H114</f>
        <v>0</v>
      </c>
      <c r="I114" s="209">
        <f>MAGPIELink!I114</f>
        <v>0</v>
      </c>
      <c r="J114" s="209">
        <f>MAGPIELink!J114</f>
        <v>0</v>
      </c>
      <c r="K114" s="209">
        <f>MAGPIELink!K114</f>
        <v>0</v>
      </c>
      <c r="L114" s="209">
        <f>MAGPIELink!L114</f>
        <v>0</v>
      </c>
      <c r="M114" s="209">
        <f>MAGPIELink!M114</f>
        <v>0</v>
      </c>
      <c r="N114" s="209">
        <f>MAGPIELink!N114</f>
        <v>0</v>
      </c>
      <c r="O114" s="209">
        <f>MAGPIELink!O114</f>
        <v>0</v>
      </c>
      <c r="P114" s="209">
        <f>MAGPIELink!P114</f>
        <v>0</v>
      </c>
      <c r="Q114" s="209">
        <f>MAGPIELink!Q114</f>
        <v>0</v>
      </c>
      <c r="R114" s="209">
        <f>MAGPIELink!R114</f>
        <v>0</v>
      </c>
      <c r="S114" s="209">
        <f>MAGPIELink!S114</f>
        <v>0</v>
      </c>
      <c r="T114" s="209">
        <f>MAGPIELink!T114</f>
        <v>0</v>
      </c>
      <c r="U114" s="209">
        <f>MAGPIELink!U114</f>
        <v>0</v>
      </c>
      <c r="V114" s="209">
        <f>MAGPIELink!V114</f>
        <v>0</v>
      </c>
      <c r="W114" s="209">
        <f>MAGPIELink!W114</f>
        <v>0</v>
      </c>
      <c r="X114" s="209">
        <f>MAGPIELink!X114</f>
        <v>0</v>
      </c>
      <c r="Y114" s="209">
        <f>MAGPIELink!Y114</f>
        <v>0</v>
      </c>
      <c r="Z114" s="209">
        <f>MAGPIELink!Z114</f>
        <v>0</v>
      </c>
      <c r="AA114" s="209">
        <f>MAGPIELink!AA114</f>
        <v>0</v>
      </c>
      <c r="AB114" s="209">
        <f>MAGPIELink!AB114</f>
        <v>0</v>
      </c>
      <c r="AC114" s="209">
        <f>MAGPIELink!AC114</f>
        <v>0</v>
      </c>
      <c r="AD114" s="209">
        <f>MAGPIELink!AD114</f>
        <v>0</v>
      </c>
      <c r="AE114" s="209">
        <f>MAGPIELink!AE114</f>
        <v>0</v>
      </c>
      <c r="AF114" s="220">
        <f>MAGPIELink!AF114</f>
        <v>0</v>
      </c>
      <c r="AG114" s="436">
        <v>16.760000000000002</v>
      </c>
      <c r="AI114" s="174"/>
    </row>
    <row r="115" spans="1:35">
      <c r="A115" s="215" t="s">
        <v>943</v>
      </c>
      <c r="B115" s="232" t="s">
        <v>941</v>
      </c>
      <c r="C115" s="232">
        <v>2040</v>
      </c>
      <c r="D115" s="232" t="s">
        <v>939</v>
      </c>
      <c r="E115" s="209">
        <f>MAGPIELink!E115</f>
        <v>0</v>
      </c>
      <c r="F115" s="209">
        <f>MAGPIELink!F115</f>
        <v>0</v>
      </c>
      <c r="G115" s="209">
        <f>MAGPIELink!G115</f>
        <v>0</v>
      </c>
      <c r="H115" s="209">
        <f>MAGPIELink!H115</f>
        <v>0</v>
      </c>
      <c r="I115" s="209">
        <f>MAGPIELink!I115</f>
        <v>0</v>
      </c>
      <c r="J115" s="209">
        <f>MAGPIELink!J115</f>
        <v>0</v>
      </c>
      <c r="K115" s="209">
        <f>MAGPIELink!K115</f>
        <v>0</v>
      </c>
      <c r="L115" s="209">
        <f>MAGPIELink!L115</f>
        <v>0</v>
      </c>
      <c r="M115" s="209">
        <f>MAGPIELink!M115</f>
        <v>0</v>
      </c>
      <c r="N115" s="209">
        <f>MAGPIELink!N115</f>
        <v>0</v>
      </c>
      <c r="O115" s="209">
        <f>MAGPIELink!O115</f>
        <v>0</v>
      </c>
      <c r="P115" s="209">
        <f>MAGPIELink!P115</f>
        <v>0</v>
      </c>
      <c r="Q115" s="209">
        <f>MAGPIELink!Q115</f>
        <v>0</v>
      </c>
      <c r="R115" s="209">
        <f>MAGPIELink!R115</f>
        <v>0</v>
      </c>
      <c r="S115" s="209">
        <f>MAGPIELink!S115</f>
        <v>0</v>
      </c>
      <c r="T115" s="209">
        <f>MAGPIELink!T115</f>
        <v>0</v>
      </c>
      <c r="U115" s="209">
        <f>MAGPIELink!U115</f>
        <v>0</v>
      </c>
      <c r="V115" s="209">
        <f>MAGPIELink!V115</f>
        <v>0</v>
      </c>
      <c r="W115" s="209">
        <f>MAGPIELink!W115</f>
        <v>0</v>
      </c>
      <c r="X115" s="209">
        <f>MAGPIELink!X115</f>
        <v>0</v>
      </c>
      <c r="Y115" s="209">
        <f>MAGPIELink!Y115</f>
        <v>0</v>
      </c>
      <c r="Z115" s="209">
        <f>MAGPIELink!Z115</f>
        <v>0</v>
      </c>
      <c r="AA115" s="209">
        <f>MAGPIELink!AA115</f>
        <v>0</v>
      </c>
      <c r="AB115" s="209">
        <f>MAGPIELink!AB115</f>
        <v>0</v>
      </c>
      <c r="AC115" s="209">
        <f>MAGPIELink!AC115</f>
        <v>0</v>
      </c>
      <c r="AD115" s="209">
        <f>MAGPIELink!AD115</f>
        <v>0</v>
      </c>
      <c r="AE115" s="209">
        <f>MAGPIELink!AE115</f>
        <v>0</v>
      </c>
      <c r="AF115" s="220">
        <f>MAGPIELink!AF115</f>
        <v>0</v>
      </c>
      <c r="AG115" s="436">
        <v>16.760000000000002</v>
      </c>
      <c r="AI115" s="174"/>
    </row>
    <row r="116" spans="1:35">
      <c r="A116" s="215" t="s">
        <v>943</v>
      </c>
      <c r="B116" s="232" t="s">
        <v>941</v>
      </c>
      <c r="C116" s="232">
        <v>2045</v>
      </c>
      <c r="D116" s="232" t="s">
        <v>939</v>
      </c>
      <c r="E116" s="209">
        <f>MAGPIELink!E116</f>
        <v>0</v>
      </c>
      <c r="F116" s="209">
        <f>MAGPIELink!F116</f>
        <v>0</v>
      </c>
      <c r="G116" s="209">
        <f>MAGPIELink!G116</f>
        <v>0</v>
      </c>
      <c r="H116" s="209">
        <f>MAGPIELink!H116</f>
        <v>0</v>
      </c>
      <c r="I116" s="209">
        <f>MAGPIELink!I116</f>
        <v>0</v>
      </c>
      <c r="J116" s="209">
        <f>MAGPIELink!J116</f>
        <v>0</v>
      </c>
      <c r="K116" s="209">
        <f>MAGPIELink!K116</f>
        <v>0</v>
      </c>
      <c r="L116" s="209">
        <f>MAGPIELink!L116</f>
        <v>0</v>
      </c>
      <c r="M116" s="209">
        <f>MAGPIELink!M116</f>
        <v>0</v>
      </c>
      <c r="N116" s="209">
        <f>MAGPIELink!N116</f>
        <v>0</v>
      </c>
      <c r="O116" s="209">
        <f>MAGPIELink!O116</f>
        <v>0</v>
      </c>
      <c r="P116" s="209">
        <f>MAGPIELink!P116</f>
        <v>0</v>
      </c>
      <c r="Q116" s="209">
        <f>MAGPIELink!Q116</f>
        <v>0</v>
      </c>
      <c r="R116" s="209">
        <f>MAGPIELink!R116</f>
        <v>0</v>
      </c>
      <c r="S116" s="209">
        <f>MAGPIELink!S116</f>
        <v>0</v>
      </c>
      <c r="T116" s="209">
        <f>MAGPIELink!T116</f>
        <v>0</v>
      </c>
      <c r="U116" s="209">
        <f>MAGPIELink!U116</f>
        <v>0</v>
      </c>
      <c r="V116" s="209">
        <f>MAGPIELink!V116</f>
        <v>0</v>
      </c>
      <c r="W116" s="209">
        <f>MAGPIELink!W116</f>
        <v>0</v>
      </c>
      <c r="X116" s="209">
        <f>MAGPIELink!X116</f>
        <v>0</v>
      </c>
      <c r="Y116" s="209">
        <f>MAGPIELink!Y116</f>
        <v>0</v>
      </c>
      <c r="Z116" s="209">
        <f>MAGPIELink!Z116</f>
        <v>0</v>
      </c>
      <c r="AA116" s="209">
        <f>MAGPIELink!AA116</f>
        <v>0</v>
      </c>
      <c r="AB116" s="209">
        <f>MAGPIELink!AB116</f>
        <v>0</v>
      </c>
      <c r="AC116" s="209">
        <f>MAGPIELink!AC116</f>
        <v>0</v>
      </c>
      <c r="AD116" s="209">
        <f>MAGPIELink!AD116</f>
        <v>0</v>
      </c>
      <c r="AE116" s="209">
        <f>MAGPIELink!AE116</f>
        <v>0</v>
      </c>
      <c r="AF116" s="220">
        <f>MAGPIELink!AF116</f>
        <v>0</v>
      </c>
      <c r="AG116" s="436">
        <v>16.760000000000002</v>
      </c>
      <c r="AI116" s="174"/>
    </row>
    <row r="117" spans="1:35">
      <c r="A117" s="215" t="s">
        <v>943</v>
      </c>
      <c r="B117" s="232" t="s">
        <v>941</v>
      </c>
      <c r="C117" s="232">
        <v>2050</v>
      </c>
      <c r="D117" s="232" t="s">
        <v>939</v>
      </c>
      <c r="E117" s="209">
        <f>MAGPIELink!E117</f>
        <v>0</v>
      </c>
      <c r="F117" s="209">
        <f>MAGPIELink!F117</f>
        <v>0</v>
      </c>
      <c r="G117" s="209">
        <f>MAGPIELink!G117</f>
        <v>0</v>
      </c>
      <c r="H117" s="209">
        <f>MAGPIELink!H117</f>
        <v>0</v>
      </c>
      <c r="I117" s="209">
        <f>MAGPIELink!I117</f>
        <v>0</v>
      </c>
      <c r="J117" s="209">
        <f>MAGPIELink!J117</f>
        <v>0</v>
      </c>
      <c r="K117" s="209">
        <f>MAGPIELink!K117</f>
        <v>0</v>
      </c>
      <c r="L117" s="209">
        <f>MAGPIELink!L117</f>
        <v>0</v>
      </c>
      <c r="M117" s="209">
        <f>MAGPIELink!M117</f>
        <v>0</v>
      </c>
      <c r="N117" s="209">
        <f>MAGPIELink!N117</f>
        <v>0</v>
      </c>
      <c r="O117" s="209">
        <f>MAGPIELink!O117</f>
        <v>0</v>
      </c>
      <c r="P117" s="209">
        <f>MAGPIELink!P117</f>
        <v>0</v>
      </c>
      <c r="Q117" s="209">
        <f>MAGPIELink!Q117</f>
        <v>0</v>
      </c>
      <c r="R117" s="209">
        <f>MAGPIELink!R117</f>
        <v>0</v>
      </c>
      <c r="S117" s="209">
        <f>MAGPIELink!S117</f>
        <v>0</v>
      </c>
      <c r="T117" s="209">
        <f>MAGPIELink!T117</f>
        <v>0</v>
      </c>
      <c r="U117" s="209">
        <f>MAGPIELink!U117</f>
        <v>0</v>
      </c>
      <c r="V117" s="209">
        <f>MAGPIELink!V117</f>
        <v>0</v>
      </c>
      <c r="W117" s="209">
        <f>MAGPIELink!W117</f>
        <v>0</v>
      </c>
      <c r="X117" s="209">
        <f>MAGPIELink!X117</f>
        <v>0</v>
      </c>
      <c r="Y117" s="209">
        <f>MAGPIELink!Y117</f>
        <v>0</v>
      </c>
      <c r="Z117" s="209">
        <f>MAGPIELink!Z117</f>
        <v>0</v>
      </c>
      <c r="AA117" s="209">
        <f>MAGPIELink!AA117</f>
        <v>0</v>
      </c>
      <c r="AB117" s="209">
        <f>MAGPIELink!AB117</f>
        <v>0</v>
      </c>
      <c r="AC117" s="209">
        <f>MAGPIELink!AC117</f>
        <v>0</v>
      </c>
      <c r="AD117" s="209">
        <f>MAGPIELink!AD117</f>
        <v>0</v>
      </c>
      <c r="AE117" s="209">
        <f>MAGPIELink!AE117</f>
        <v>0</v>
      </c>
      <c r="AF117" s="220">
        <f>MAGPIELink!AF117</f>
        <v>0</v>
      </c>
      <c r="AG117" s="436">
        <v>16.760000000000002</v>
      </c>
      <c r="AI117" s="174"/>
    </row>
    <row r="118" spans="1:35">
      <c r="A118" s="215" t="s">
        <v>943</v>
      </c>
      <c r="B118" s="232" t="s">
        <v>941</v>
      </c>
      <c r="C118" s="232">
        <v>2060</v>
      </c>
      <c r="D118" s="232" t="s">
        <v>939</v>
      </c>
      <c r="E118" s="209">
        <f>MAGPIELink!E118</f>
        <v>0</v>
      </c>
      <c r="F118" s="209">
        <f>MAGPIELink!F118</f>
        <v>0</v>
      </c>
      <c r="G118" s="209">
        <f>MAGPIELink!G118</f>
        <v>0</v>
      </c>
      <c r="H118" s="209">
        <f>MAGPIELink!H118</f>
        <v>0</v>
      </c>
      <c r="I118" s="209">
        <f>MAGPIELink!I118</f>
        <v>0</v>
      </c>
      <c r="J118" s="209">
        <f>MAGPIELink!J118</f>
        <v>0</v>
      </c>
      <c r="K118" s="209">
        <f>MAGPIELink!K118</f>
        <v>0</v>
      </c>
      <c r="L118" s="209">
        <f>MAGPIELink!L118</f>
        <v>0</v>
      </c>
      <c r="M118" s="209">
        <f>MAGPIELink!M118</f>
        <v>0</v>
      </c>
      <c r="N118" s="209">
        <f>MAGPIELink!N118</f>
        <v>0</v>
      </c>
      <c r="O118" s="209">
        <f>MAGPIELink!O118</f>
        <v>0</v>
      </c>
      <c r="P118" s="209">
        <f>MAGPIELink!P118</f>
        <v>0</v>
      </c>
      <c r="Q118" s="209">
        <f>MAGPIELink!Q118</f>
        <v>0</v>
      </c>
      <c r="R118" s="209">
        <f>MAGPIELink!R118</f>
        <v>0</v>
      </c>
      <c r="S118" s="209">
        <f>MAGPIELink!S118</f>
        <v>0</v>
      </c>
      <c r="T118" s="209">
        <f>MAGPIELink!T118</f>
        <v>0</v>
      </c>
      <c r="U118" s="209">
        <f>MAGPIELink!U118</f>
        <v>0</v>
      </c>
      <c r="V118" s="209">
        <f>MAGPIELink!V118</f>
        <v>0</v>
      </c>
      <c r="W118" s="209">
        <f>MAGPIELink!W118</f>
        <v>0</v>
      </c>
      <c r="X118" s="209">
        <f>MAGPIELink!X118</f>
        <v>0</v>
      </c>
      <c r="Y118" s="209">
        <f>MAGPIELink!Y118</f>
        <v>0</v>
      </c>
      <c r="Z118" s="209">
        <f>MAGPIELink!Z118</f>
        <v>0</v>
      </c>
      <c r="AA118" s="209">
        <f>MAGPIELink!AA118</f>
        <v>0</v>
      </c>
      <c r="AB118" s="209">
        <f>MAGPIELink!AB118</f>
        <v>0</v>
      </c>
      <c r="AC118" s="209">
        <f>MAGPIELink!AC118</f>
        <v>0</v>
      </c>
      <c r="AD118" s="209">
        <f>MAGPIELink!AD118</f>
        <v>0</v>
      </c>
      <c r="AE118" s="209">
        <f>MAGPIELink!AE118</f>
        <v>0</v>
      </c>
      <c r="AF118" s="220">
        <f>MAGPIELink!AF118</f>
        <v>0</v>
      </c>
      <c r="AG118" s="436">
        <v>16.760000000000002</v>
      </c>
      <c r="AI118" s="174"/>
    </row>
    <row r="119" spans="1:35">
      <c r="A119" s="215" t="s">
        <v>943</v>
      </c>
      <c r="B119" s="232" t="s">
        <v>941</v>
      </c>
      <c r="C119" s="232">
        <v>2070</v>
      </c>
      <c r="D119" s="232" t="s">
        <v>939</v>
      </c>
      <c r="E119" s="209">
        <f>MAGPIELink!E119</f>
        <v>0</v>
      </c>
      <c r="F119" s="209">
        <f>MAGPIELink!F119</f>
        <v>0</v>
      </c>
      <c r="G119" s="209">
        <f>MAGPIELink!G119</f>
        <v>0</v>
      </c>
      <c r="H119" s="209">
        <f>MAGPIELink!H119</f>
        <v>0</v>
      </c>
      <c r="I119" s="209">
        <f>MAGPIELink!I119</f>
        <v>0</v>
      </c>
      <c r="J119" s="209">
        <f>MAGPIELink!J119</f>
        <v>0</v>
      </c>
      <c r="K119" s="209">
        <f>MAGPIELink!K119</f>
        <v>0</v>
      </c>
      <c r="L119" s="209">
        <f>MAGPIELink!L119</f>
        <v>0</v>
      </c>
      <c r="M119" s="209">
        <f>MAGPIELink!M119</f>
        <v>0</v>
      </c>
      <c r="N119" s="209">
        <f>MAGPIELink!N119</f>
        <v>0</v>
      </c>
      <c r="O119" s="209">
        <f>MAGPIELink!O119</f>
        <v>0</v>
      </c>
      <c r="P119" s="209">
        <f>MAGPIELink!P119</f>
        <v>0</v>
      </c>
      <c r="Q119" s="209">
        <f>MAGPIELink!Q119</f>
        <v>0</v>
      </c>
      <c r="R119" s="209">
        <f>MAGPIELink!R119</f>
        <v>0</v>
      </c>
      <c r="S119" s="209">
        <f>MAGPIELink!S119</f>
        <v>0</v>
      </c>
      <c r="T119" s="209">
        <f>MAGPIELink!T119</f>
        <v>0</v>
      </c>
      <c r="U119" s="209">
        <f>MAGPIELink!U119</f>
        <v>0</v>
      </c>
      <c r="V119" s="209">
        <f>MAGPIELink!V119</f>
        <v>0</v>
      </c>
      <c r="W119" s="209">
        <f>MAGPIELink!W119</f>
        <v>0</v>
      </c>
      <c r="X119" s="209">
        <f>MAGPIELink!X119</f>
        <v>0</v>
      </c>
      <c r="Y119" s="209">
        <f>MAGPIELink!Y119</f>
        <v>0</v>
      </c>
      <c r="Z119" s="209">
        <f>MAGPIELink!Z119</f>
        <v>0</v>
      </c>
      <c r="AA119" s="209">
        <f>MAGPIELink!AA119</f>
        <v>0</v>
      </c>
      <c r="AB119" s="209">
        <f>MAGPIELink!AB119</f>
        <v>0</v>
      </c>
      <c r="AC119" s="209">
        <f>MAGPIELink!AC119</f>
        <v>0</v>
      </c>
      <c r="AD119" s="209">
        <f>MAGPIELink!AD119</f>
        <v>0</v>
      </c>
      <c r="AE119" s="209">
        <f>MAGPIELink!AE119</f>
        <v>0</v>
      </c>
      <c r="AF119" s="220">
        <f>MAGPIELink!AF119</f>
        <v>0</v>
      </c>
      <c r="AG119" s="436">
        <v>16.760000000000002</v>
      </c>
      <c r="AI119" s="174"/>
    </row>
    <row r="120" spans="1:35">
      <c r="A120" s="215" t="s">
        <v>943</v>
      </c>
      <c r="B120" s="232" t="s">
        <v>941</v>
      </c>
      <c r="C120" s="232">
        <v>2080</v>
      </c>
      <c r="D120" s="232" t="s">
        <v>939</v>
      </c>
      <c r="E120" s="209">
        <f>MAGPIELink!E120</f>
        <v>0</v>
      </c>
      <c r="F120" s="209">
        <f>MAGPIELink!F120</f>
        <v>0</v>
      </c>
      <c r="G120" s="209">
        <f>MAGPIELink!G120</f>
        <v>0</v>
      </c>
      <c r="H120" s="209">
        <f>MAGPIELink!H120</f>
        <v>0</v>
      </c>
      <c r="I120" s="209">
        <f>MAGPIELink!I120</f>
        <v>0</v>
      </c>
      <c r="J120" s="209">
        <f>MAGPIELink!J120</f>
        <v>0</v>
      </c>
      <c r="K120" s="209">
        <f>MAGPIELink!K120</f>
        <v>0</v>
      </c>
      <c r="L120" s="209">
        <f>MAGPIELink!L120</f>
        <v>0</v>
      </c>
      <c r="M120" s="209">
        <f>MAGPIELink!M120</f>
        <v>0</v>
      </c>
      <c r="N120" s="209">
        <f>MAGPIELink!N120</f>
        <v>0</v>
      </c>
      <c r="O120" s="209">
        <f>MAGPIELink!O120</f>
        <v>0</v>
      </c>
      <c r="P120" s="209">
        <f>MAGPIELink!P120</f>
        <v>0</v>
      </c>
      <c r="Q120" s="209">
        <f>MAGPIELink!Q120</f>
        <v>0</v>
      </c>
      <c r="R120" s="209">
        <f>MAGPIELink!R120</f>
        <v>0</v>
      </c>
      <c r="S120" s="209">
        <f>MAGPIELink!S120</f>
        <v>0</v>
      </c>
      <c r="T120" s="209">
        <f>MAGPIELink!T120</f>
        <v>0</v>
      </c>
      <c r="U120" s="209">
        <f>MAGPIELink!U120</f>
        <v>0</v>
      </c>
      <c r="V120" s="209">
        <f>MAGPIELink!V120</f>
        <v>0</v>
      </c>
      <c r="W120" s="209">
        <f>MAGPIELink!W120</f>
        <v>0</v>
      </c>
      <c r="X120" s="209">
        <f>MAGPIELink!X120</f>
        <v>0</v>
      </c>
      <c r="Y120" s="209">
        <f>MAGPIELink!Y120</f>
        <v>0</v>
      </c>
      <c r="Z120" s="209">
        <f>MAGPIELink!Z120</f>
        <v>0</v>
      </c>
      <c r="AA120" s="209">
        <f>MAGPIELink!AA120</f>
        <v>0</v>
      </c>
      <c r="AB120" s="209">
        <f>MAGPIELink!AB120</f>
        <v>0</v>
      </c>
      <c r="AC120" s="209">
        <f>MAGPIELink!AC120</f>
        <v>0</v>
      </c>
      <c r="AD120" s="209">
        <f>MAGPIELink!AD120</f>
        <v>0</v>
      </c>
      <c r="AE120" s="209">
        <f>MAGPIELink!AE120</f>
        <v>0</v>
      </c>
      <c r="AF120" s="220">
        <f>MAGPIELink!AF120</f>
        <v>0</v>
      </c>
      <c r="AG120" s="436">
        <v>16.760000000000002</v>
      </c>
      <c r="AI120" s="174"/>
    </row>
    <row r="121" spans="1:35">
      <c r="A121" s="215" t="s">
        <v>943</v>
      </c>
      <c r="B121" s="232" t="s">
        <v>941</v>
      </c>
      <c r="C121" s="232">
        <v>2090</v>
      </c>
      <c r="D121" s="232" t="s">
        <v>939</v>
      </c>
      <c r="E121" s="209">
        <f>MAGPIELink!E121</f>
        <v>0</v>
      </c>
      <c r="F121" s="209">
        <f>MAGPIELink!F121</f>
        <v>0</v>
      </c>
      <c r="G121" s="209">
        <f>MAGPIELink!G121</f>
        <v>0</v>
      </c>
      <c r="H121" s="209">
        <f>MAGPIELink!H121</f>
        <v>0</v>
      </c>
      <c r="I121" s="209">
        <f>MAGPIELink!I121</f>
        <v>0</v>
      </c>
      <c r="J121" s="209">
        <f>MAGPIELink!J121</f>
        <v>0</v>
      </c>
      <c r="K121" s="209">
        <f>MAGPIELink!K121</f>
        <v>0</v>
      </c>
      <c r="L121" s="209">
        <f>MAGPIELink!L121</f>
        <v>0</v>
      </c>
      <c r="M121" s="209">
        <f>MAGPIELink!M121</f>
        <v>0</v>
      </c>
      <c r="N121" s="209">
        <f>MAGPIELink!N121</f>
        <v>0</v>
      </c>
      <c r="O121" s="209">
        <f>MAGPIELink!O121</f>
        <v>0</v>
      </c>
      <c r="P121" s="209">
        <f>MAGPIELink!P121</f>
        <v>0</v>
      </c>
      <c r="Q121" s="209">
        <f>MAGPIELink!Q121</f>
        <v>0</v>
      </c>
      <c r="R121" s="209">
        <f>MAGPIELink!R121</f>
        <v>0</v>
      </c>
      <c r="S121" s="209">
        <f>MAGPIELink!S121</f>
        <v>0</v>
      </c>
      <c r="T121" s="209">
        <f>MAGPIELink!T121</f>
        <v>0</v>
      </c>
      <c r="U121" s="209">
        <f>MAGPIELink!U121</f>
        <v>0</v>
      </c>
      <c r="V121" s="209">
        <f>MAGPIELink!V121</f>
        <v>0</v>
      </c>
      <c r="W121" s="209">
        <f>MAGPIELink!W121</f>
        <v>0</v>
      </c>
      <c r="X121" s="209">
        <f>MAGPIELink!X121</f>
        <v>0</v>
      </c>
      <c r="Y121" s="209">
        <f>MAGPIELink!Y121</f>
        <v>0</v>
      </c>
      <c r="Z121" s="209">
        <f>MAGPIELink!Z121</f>
        <v>0</v>
      </c>
      <c r="AA121" s="209">
        <f>MAGPIELink!AA121</f>
        <v>0</v>
      </c>
      <c r="AB121" s="209">
        <f>MAGPIELink!AB121</f>
        <v>0</v>
      </c>
      <c r="AC121" s="209">
        <f>MAGPIELink!AC121</f>
        <v>0</v>
      </c>
      <c r="AD121" s="209">
        <f>MAGPIELink!AD121</f>
        <v>0</v>
      </c>
      <c r="AE121" s="209">
        <f>MAGPIELink!AE121</f>
        <v>0</v>
      </c>
      <c r="AF121" s="220">
        <f>MAGPIELink!AF121</f>
        <v>0</v>
      </c>
      <c r="AG121" s="436">
        <v>16.760000000000002</v>
      </c>
      <c r="AI121" s="174"/>
    </row>
    <row r="122" spans="1:35" ht="16.2" thickBot="1">
      <c r="A122" s="449" t="s">
        <v>943</v>
      </c>
      <c r="B122" s="450" t="s">
        <v>941</v>
      </c>
      <c r="C122" s="450">
        <v>2100</v>
      </c>
      <c r="D122" s="450" t="s">
        <v>939</v>
      </c>
      <c r="E122" s="212">
        <f>MAGPIELink!E122</f>
        <v>0</v>
      </c>
      <c r="F122" s="212">
        <f>MAGPIELink!F122</f>
        <v>0</v>
      </c>
      <c r="G122" s="212">
        <f>MAGPIELink!G122</f>
        <v>0</v>
      </c>
      <c r="H122" s="212">
        <f>MAGPIELink!H122</f>
        <v>0</v>
      </c>
      <c r="I122" s="212">
        <f>MAGPIELink!I122</f>
        <v>0</v>
      </c>
      <c r="J122" s="212">
        <f>MAGPIELink!J122</f>
        <v>0</v>
      </c>
      <c r="K122" s="212">
        <f>MAGPIELink!K122</f>
        <v>0</v>
      </c>
      <c r="L122" s="212">
        <f>MAGPIELink!L122</f>
        <v>0</v>
      </c>
      <c r="M122" s="212">
        <f>MAGPIELink!M122</f>
        <v>0</v>
      </c>
      <c r="N122" s="212">
        <f>MAGPIELink!N122</f>
        <v>0</v>
      </c>
      <c r="O122" s="212">
        <f>MAGPIELink!O122</f>
        <v>0</v>
      </c>
      <c r="P122" s="212">
        <f>MAGPIELink!P122</f>
        <v>0</v>
      </c>
      <c r="Q122" s="212">
        <f>MAGPIELink!Q122</f>
        <v>0</v>
      </c>
      <c r="R122" s="212">
        <f>MAGPIELink!R122</f>
        <v>0</v>
      </c>
      <c r="S122" s="212">
        <f>MAGPIELink!S122</f>
        <v>0</v>
      </c>
      <c r="T122" s="212">
        <f>MAGPIELink!T122</f>
        <v>0</v>
      </c>
      <c r="U122" s="212">
        <f>MAGPIELink!U122</f>
        <v>0</v>
      </c>
      <c r="V122" s="212">
        <f>MAGPIELink!V122</f>
        <v>0</v>
      </c>
      <c r="W122" s="212">
        <f>MAGPIELink!W122</f>
        <v>0</v>
      </c>
      <c r="X122" s="212">
        <f>MAGPIELink!X122</f>
        <v>0</v>
      </c>
      <c r="Y122" s="212">
        <f>MAGPIELink!Y122</f>
        <v>0</v>
      </c>
      <c r="Z122" s="212">
        <f>MAGPIELink!Z122</f>
        <v>0</v>
      </c>
      <c r="AA122" s="212">
        <f>MAGPIELink!AA122</f>
        <v>0</v>
      </c>
      <c r="AB122" s="212">
        <f>MAGPIELink!AB122</f>
        <v>0</v>
      </c>
      <c r="AC122" s="212">
        <f>MAGPIELink!AC122</f>
        <v>0</v>
      </c>
      <c r="AD122" s="212">
        <f>MAGPIELink!AD122</f>
        <v>0</v>
      </c>
      <c r="AE122" s="212">
        <f>MAGPIELink!AE122</f>
        <v>0</v>
      </c>
      <c r="AF122" s="451">
        <f>MAGPIELink!AF122</f>
        <v>0</v>
      </c>
      <c r="AG122" s="452">
        <v>16.760000000000002</v>
      </c>
      <c r="AI122" s="174"/>
    </row>
    <row r="123" spans="1:35">
      <c r="A123" s="215" t="s">
        <v>944</v>
      </c>
      <c r="B123" s="232" t="s">
        <v>938</v>
      </c>
      <c r="C123" s="232">
        <v>2019</v>
      </c>
      <c r="D123" s="232" t="s">
        <v>945</v>
      </c>
      <c r="E123" s="553">
        <f>MAX(Biomass_Calibration!C11:C18)*10</f>
        <v>3.0382535240995399E-2</v>
      </c>
      <c r="F123" s="553">
        <f>MAX(Biomass_Calibration!D11:D18)*10</f>
        <v>2.7741580111071102E-2</v>
      </c>
      <c r="G123" s="553">
        <f>MAX(Biomass_Calibration!E11:E18)*10</f>
        <v>219.92361433181699</v>
      </c>
      <c r="H123" s="553">
        <f>MAX(Biomass_Calibration!F11:F18)*10</f>
        <v>2.7918067096299497E-2</v>
      </c>
      <c r="I123" s="553">
        <f>MAX(Biomass_Calibration!G11:G18)*10</f>
        <v>1490.0003142970199</v>
      </c>
      <c r="J123" s="553">
        <f>MAX(Biomass_Calibration!H11:H18)*10</f>
        <v>196.12458171137402</v>
      </c>
      <c r="K123" s="553">
        <f>MAX(Biomass_Calibration!I11:I18)*10</f>
        <v>1016220.00034359</v>
      </c>
      <c r="L123" s="553">
        <f>MAX(Biomass_Calibration!J11:J18)*10</f>
        <v>3.6200009662161997E-2</v>
      </c>
      <c r="M123" s="553">
        <f>MAX(Biomass_Calibration!K11:K18)*10</f>
        <v>1427110.00015497</v>
      </c>
      <c r="N123" s="553">
        <f>MAX(Biomass_Calibration!L11:L18)*10</f>
        <v>104150.000311182</v>
      </c>
      <c r="O123" s="553">
        <f>MAX(Biomass_Calibration!M11:M18)*10</f>
        <v>2.5876602594380099E-2</v>
      </c>
      <c r="P123" s="553">
        <f>MAX(Biomass_Calibration!N11:N18)*10</f>
        <v>3076249.99939021</v>
      </c>
      <c r="Q123" s="553">
        <f>MAX(Biomass_Calibration!O11:O18)*10</f>
        <v>7485.3149452341495</v>
      </c>
      <c r="R123" s="553">
        <f>MAX(Biomass_Calibration!P11:P18)*10</f>
        <v>356550.00032095402</v>
      </c>
      <c r="S123" s="553">
        <f>MAX(Biomass_Calibration!Q11:Q18)*10</f>
        <v>741240.00031688996</v>
      </c>
      <c r="T123" s="553">
        <f>MAX(Biomass_Calibration!R11:R18)*10</f>
        <v>2237420.0003140699</v>
      </c>
      <c r="U123" s="553">
        <f>MAX(Biomass_Calibration!S11:S18)*10</f>
        <v>2600989.9998852699</v>
      </c>
      <c r="V123" s="553">
        <f>MAX(Biomass_Calibration!T11:T18)*10</f>
        <v>2389840.00066151</v>
      </c>
      <c r="W123" s="553">
        <f>MAX(Biomass_Calibration!U11:U18)*10</f>
        <v>2.6147628821777801E-2</v>
      </c>
      <c r="X123" s="553">
        <f>MAX(Biomass_Calibration!V11:V18)*10</f>
        <v>5292.8275675854102</v>
      </c>
      <c r="Y123" s="553">
        <f>MAX(Biomass_Calibration!W11:W18)*10</f>
        <v>1000620.00031301</v>
      </c>
      <c r="Z123" s="553">
        <f>MAX(Biomass_Calibration!X11:X18)*10</f>
        <v>41840.000312384102</v>
      </c>
      <c r="AA123" s="553">
        <f>MAX(Biomass_Calibration!Y11:Y18)*10</f>
        <v>12394.873394422701</v>
      </c>
      <c r="AB123" s="553">
        <f>MAX(Biomass_Calibration!Z11:Z18)*10</f>
        <v>3.0954936647878503E-2</v>
      </c>
      <c r="AC123" s="553">
        <f>MAX(Biomass_Calibration!AA11:AA18)*10</f>
        <v>327.30553273789099</v>
      </c>
      <c r="AD123" s="553">
        <f>MAX(Biomass_Calibration!AB11:AB18)*10</f>
        <v>51700.000311987096</v>
      </c>
      <c r="AE123" s="553">
        <f>MAX(Biomass_Calibration!AC11:AC18)*10</f>
        <v>351370.00031280395</v>
      </c>
      <c r="AF123" s="554">
        <f>MAX(Biomass_Calibration!AD11:AD18)*10</f>
        <v>1805790.00047965</v>
      </c>
      <c r="AG123" s="436">
        <v>1</v>
      </c>
    </row>
    <row r="124" spans="1:35">
      <c r="A124" s="215" t="s">
        <v>944</v>
      </c>
      <c r="B124" s="232" t="s">
        <v>938</v>
      </c>
      <c r="C124">
        <v>2020</v>
      </c>
      <c r="D124" s="232" t="s">
        <v>945</v>
      </c>
      <c r="E124" s="553">
        <f>E123</f>
        <v>3.0382535240995399E-2</v>
      </c>
      <c r="F124" s="553">
        <f t="shared" ref="F124:AF133" si="58">F123</f>
        <v>2.7741580111071102E-2</v>
      </c>
      <c r="G124" s="553">
        <f t="shared" si="58"/>
        <v>219.92361433181699</v>
      </c>
      <c r="H124" s="553">
        <f t="shared" si="58"/>
        <v>2.7918067096299497E-2</v>
      </c>
      <c r="I124" s="553">
        <f t="shared" si="58"/>
        <v>1490.0003142970199</v>
      </c>
      <c r="J124" s="553">
        <f t="shared" si="58"/>
        <v>196.12458171137402</v>
      </c>
      <c r="K124" s="553">
        <f t="shared" si="58"/>
        <v>1016220.00034359</v>
      </c>
      <c r="L124" s="553">
        <f t="shared" si="58"/>
        <v>3.6200009662161997E-2</v>
      </c>
      <c r="M124" s="553">
        <f t="shared" si="58"/>
        <v>1427110.00015497</v>
      </c>
      <c r="N124" s="553">
        <f t="shared" si="58"/>
        <v>104150.000311182</v>
      </c>
      <c r="O124" s="553">
        <f t="shared" si="58"/>
        <v>2.5876602594380099E-2</v>
      </c>
      <c r="P124" s="553">
        <f t="shared" si="58"/>
        <v>3076249.99939021</v>
      </c>
      <c r="Q124" s="553">
        <f t="shared" si="58"/>
        <v>7485.3149452341495</v>
      </c>
      <c r="R124" s="553">
        <f t="shared" si="58"/>
        <v>356550.00032095402</v>
      </c>
      <c r="S124" s="553">
        <f t="shared" si="58"/>
        <v>741240.00031688996</v>
      </c>
      <c r="T124" s="553">
        <f t="shared" si="58"/>
        <v>2237420.0003140699</v>
      </c>
      <c r="U124" s="553">
        <f t="shared" si="58"/>
        <v>2600989.9998852699</v>
      </c>
      <c r="V124" s="553">
        <f t="shared" si="58"/>
        <v>2389840.00066151</v>
      </c>
      <c r="W124" s="553">
        <f t="shared" si="58"/>
        <v>2.6147628821777801E-2</v>
      </c>
      <c r="X124" s="553">
        <f t="shared" si="58"/>
        <v>5292.8275675854102</v>
      </c>
      <c r="Y124" s="553">
        <f t="shared" si="58"/>
        <v>1000620.00031301</v>
      </c>
      <c r="Z124" s="553">
        <f t="shared" si="58"/>
        <v>41840.000312384102</v>
      </c>
      <c r="AA124" s="553">
        <f t="shared" si="58"/>
        <v>12394.873394422701</v>
      </c>
      <c r="AB124" s="553">
        <f t="shared" si="58"/>
        <v>3.0954936647878503E-2</v>
      </c>
      <c r="AC124" s="553">
        <f t="shared" si="58"/>
        <v>327.30553273789099</v>
      </c>
      <c r="AD124" s="553">
        <f t="shared" si="58"/>
        <v>51700.000311987096</v>
      </c>
      <c r="AE124" s="553">
        <f t="shared" si="58"/>
        <v>351370.00031280395</v>
      </c>
      <c r="AF124" s="553">
        <f t="shared" si="58"/>
        <v>1805790.00047965</v>
      </c>
      <c r="AG124" s="436">
        <v>1</v>
      </c>
      <c r="AI124" s="174"/>
    </row>
    <row r="125" spans="1:35">
      <c r="A125" s="215" t="s">
        <v>944</v>
      </c>
      <c r="B125" s="232" t="s">
        <v>938</v>
      </c>
      <c r="C125" s="232">
        <v>2025</v>
      </c>
      <c r="D125" s="232" t="s">
        <v>945</v>
      </c>
      <c r="E125" s="553">
        <f t="shared" ref="E125:E135" si="59">E124</f>
        <v>3.0382535240995399E-2</v>
      </c>
      <c r="F125" s="553">
        <f t="shared" si="58"/>
        <v>2.7741580111071102E-2</v>
      </c>
      <c r="G125" s="553">
        <f t="shared" si="58"/>
        <v>219.92361433181699</v>
      </c>
      <c r="H125" s="553">
        <f t="shared" si="58"/>
        <v>2.7918067096299497E-2</v>
      </c>
      <c r="I125" s="553">
        <f t="shared" si="58"/>
        <v>1490.0003142970199</v>
      </c>
      <c r="J125" s="553">
        <f t="shared" si="58"/>
        <v>196.12458171137402</v>
      </c>
      <c r="K125" s="553">
        <f t="shared" si="58"/>
        <v>1016220.00034359</v>
      </c>
      <c r="L125" s="553">
        <f t="shared" si="58"/>
        <v>3.6200009662161997E-2</v>
      </c>
      <c r="M125" s="553">
        <f t="shared" si="58"/>
        <v>1427110.00015497</v>
      </c>
      <c r="N125" s="553">
        <f t="shared" si="58"/>
        <v>104150.000311182</v>
      </c>
      <c r="O125" s="553">
        <f t="shared" si="58"/>
        <v>2.5876602594380099E-2</v>
      </c>
      <c r="P125" s="553">
        <f t="shared" si="58"/>
        <v>3076249.99939021</v>
      </c>
      <c r="Q125" s="553">
        <f t="shared" si="58"/>
        <v>7485.3149452341495</v>
      </c>
      <c r="R125" s="553">
        <f t="shared" si="58"/>
        <v>356550.00032095402</v>
      </c>
      <c r="S125" s="553">
        <f t="shared" si="58"/>
        <v>741240.00031688996</v>
      </c>
      <c r="T125" s="553">
        <f t="shared" si="58"/>
        <v>2237420.0003140699</v>
      </c>
      <c r="U125" s="553">
        <f t="shared" si="58"/>
        <v>2600989.9998852699</v>
      </c>
      <c r="V125" s="553">
        <f t="shared" si="58"/>
        <v>2389840.00066151</v>
      </c>
      <c r="W125" s="553">
        <f t="shared" si="58"/>
        <v>2.6147628821777801E-2</v>
      </c>
      <c r="X125" s="553">
        <f t="shared" si="58"/>
        <v>5292.8275675854102</v>
      </c>
      <c r="Y125" s="553">
        <f t="shared" si="58"/>
        <v>1000620.00031301</v>
      </c>
      <c r="Z125" s="553">
        <f t="shared" si="58"/>
        <v>41840.000312384102</v>
      </c>
      <c r="AA125" s="553">
        <f t="shared" si="58"/>
        <v>12394.873394422701</v>
      </c>
      <c r="AB125" s="553">
        <f t="shared" si="58"/>
        <v>3.0954936647878503E-2</v>
      </c>
      <c r="AC125" s="553">
        <f t="shared" si="58"/>
        <v>327.30553273789099</v>
      </c>
      <c r="AD125" s="553">
        <f t="shared" si="58"/>
        <v>51700.000311987096</v>
      </c>
      <c r="AE125" s="553">
        <f t="shared" si="58"/>
        <v>351370.00031280395</v>
      </c>
      <c r="AF125" s="553">
        <f t="shared" si="58"/>
        <v>1805790.00047965</v>
      </c>
      <c r="AG125" s="436">
        <v>1</v>
      </c>
      <c r="AI125" s="174"/>
    </row>
    <row r="126" spans="1:35">
      <c r="A126" s="215" t="s">
        <v>944</v>
      </c>
      <c r="B126" s="232" t="s">
        <v>938</v>
      </c>
      <c r="C126" s="232">
        <v>2030</v>
      </c>
      <c r="D126" s="232" t="s">
        <v>945</v>
      </c>
      <c r="E126" s="553">
        <f t="shared" si="59"/>
        <v>3.0382535240995399E-2</v>
      </c>
      <c r="F126" s="553">
        <f t="shared" si="58"/>
        <v>2.7741580111071102E-2</v>
      </c>
      <c r="G126" s="553">
        <f t="shared" si="58"/>
        <v>219.92361433181699</v>
      </c>
      <c r="H126" s="553">
        <f t="shared" si="58"/>
        <v>2.7918067096299497E-2</v>
      </c>
      <c r="I126" s="553">
        <f t="shared" si="58"/>
        <v>1490.0003142970199</v>
      </c>
      <c r="J126" s="553">
        <f t="shared" si="58"/>
        <v>196.12458171137402</v>
      </c>
      <c r="K126" s="553">
        <f t="shared" si="58"/>
        <v>1016220.00034359</v>
      </c>
      <c r="L126" s="553">
        <f t="shared" si="58"/>
        <v>3.6200009662161997E-2</v>
      </c>
      <c r="M126" s="553">
        <f t="shared" si="58"/>
        <v>1427110.00015497</v>
      </c>
      <c r="N126" s="553">
        <f t="shared" si="58"/>
        <v>104150.000311182</v>
      </c>
      <c r="O126" s="553">
        <f t="shared" si="58"/>
        <v>2.5876602594380099E-2</v>
      </c>
      <c r="P126" s="553">
        <f t="shared" si="58"/>
        <v>3076249.99939021</v>
      </c>
      <c r="Q126" s="553">
        <f t="shared" si="58"/>
        <v>7485.3149452341495</v>
      </c>
      <c r="R126" s="553">
        <f t="shared" si="58"/>
        <v>356550.00032095402</v>
      </c>
      <c r="S126" s="553">
        <f t="shared" si="58"/>
        <v>741240.00031688996</v>
      </c>
      <c r="T126" s="553">
        <f t="shared" si="58"/>
        <v>2237420.0003140699</v>
      </c>
      <c r="U126" s="553">
        <f t="shared" si="58"/>
        <v>2600989.9998852699</v>
      </c>
      <c r="V126" s="553">
        <f t="shared" si="58"/>
        <v>2389840.00066151</v>
      </c>
      <c r="W126" s="553">
        <f t="shared" si="58"/>
        <v>2.6147628821777801E-2</v>
      </c>
      <c r="X126" s="553">
        <f t="shared" si="58"/>
        <v>5292.8275675854102</v>
      </c>
      <c r="Y126" s="553">
        <f t="shared" si="58"/>
        <v>1000620.00031301</v>
      </c>
      <c r="Z126" s="553">
        <f t="shared" si="58"/>
        <v>41840.000312384102</v>
      </c>
      <c r="AA126" s="553">
        <f t="shared" si="58"/>
        <v>12394.873394422701</v>
      </c>
      <c r="AB126" s="553">
        <f t="shared" si="58"/>
        <v>3.0954936647878503E-2</v>
      </c>
      <c r="AC126" s="553">
        <f t="shared" si="58"/>
        <v>327.30553273789099</v>
      </c>
      <c r="AD126" s="553">
        <f t="shared" si="58"/>
        <v>51700.000311987096</v>
      </c>
      <c r="AE126" s="553">
        <f t="shared" si="58"/>
        <v>351370.00031280395</v>
      </c>
      <c r="AF126" s="553">
        <f t="shared" si="58"/>
        <v>1805790.00047965</v>
      </c>
      <c r="AG126" s="436">
        <v>1</v>
      </c>
      <c r="AI126" s="174"/>
    </row>
    <row r="127" spans="1:35">
      <c r="A127" s="215" t="s">
        <v>944</v>
      </c>
      <c r="B127" s="232" t="s">
        <v>938</v>
      </c>
      <c r="C127" s="232">
        <v>2035</v>
      </c>
      <c r="D127" s="232" t="s">
        <v>945</v>
      </c>
      <c r="E127" s="553">
        <f t="shared" si="59"/>
        <v>3.0382535240995399E-2</v>
      </c>
      <c r="F127" s="553">
        <f t="shared" si="58"/>
        <v>2.7741580111071102E-2</v>
      </c>
      <c r="G127" s="553">
        <f t="shared" si="58"/>
        <v>219.92361433181699</v>
      </c>
      <c r="H127" s="553">
        <f t="shared" si="58"/>
        <v>2.7918067096299497E-2</v>
      </c>
      <c r="I127" s="553">
        <f t="shared" si="58"/>
        <v>1490.0003142970199</v>
      </c>
      <c r="J127" s="553">
        <f t="shared" si="58"/>
        <v>196.12458171137402</v>
      </c>
      <c r="K127" s="553">
        <f t="shared" si="58"/>
        <v>1016220.00034359</v>
      </c>
      <c r="L127" s="553">
        <f t="shared" si="58"/>
        <v>3.6200009662161997E-2</v>
      </c>
      <c r="M127" s="553">
        <f t="shared" si="58"/>
        <v>1427110.00015497</v>
      </c>
      <c r="N127" s="553">
        <f t="shared" si="58"/>
        <v>104150.000311182</v>
      </c>
      <c r="O127" s="553">
        <f t="shared" si="58"/>
        <v>2.5876602594380099E-2</v>
      </c>
      <c r="P127" s="553">
        <f t="shared" si="58"/>
        <v>3076249.99939021</v>
      </c>
      <c r="Q127" s="553">
        <f t="shared" si="58"/>
        <v>7485.3149452341495</v>
      </c>
      <c r="R127" s="553">
        <f t="shared" si="58"/>
        <v>356550.00032095402</v>
      </c>
      <c r="S127" s="553">
        <f t="shared" si="58"/>
        <v>741240.00031688996</v>
      </c>
      <c r="T127" s="553">
        <f t="shared" si="58"/>
        <v>2237420.0003140699</v>
      </c>
      <c r="U127" s="553">
        <f t="shared" si="58"/>
        <v>2600989.9998852699</v>
      </c>
      <c r="V127" s="553">
        <f t="shared" si="58"/>
        <v>2389840.00066151</v>
      </c>
      <c r="W127" s="553">
        <f t="shared" si="58"/>
        <v>2.6147628821777801E-2</v>
      </c>
      <c r="X127" s="553">
        <f t="shared" si="58"/>
        <v>5292.8275675854102</v>
      </c>
      <c r="Y127" s="553">
        <f t="shared" si="58"/>
        <v>1000620.00031301</v>
      </c>
      <c r="Z127" s="553">
        <f t="shared" si="58"/>
        <v>41840.000312384102</v>
      </c>
      <c r="AA127" s="553">
        <f t="shared" si="58"/>
        <v>12394.873394422701</v>
      </c>
      <c r="AB127" s="553">
        <f t="shared" si="58"/>
        <v>3.0954936647878503E-2</v>
      </c>
      <c r="AC127" s="553">
        <f t="shared" si="58"/>
        <v>327.30553273789099</v>
      </c>
      <c r="AD127" s="553">
        <f t="shared" si="58"/>
        <v>51700.000311987096</v>
      </c>
      <c r="AE127" s="553">
        <f t="shared" si="58"/>
        <v>351370.00031280395</v>
      </c>
      <c r="AF127" s="553">
        <f t="shared" si="58"/>
        <v>1805790.00047965</v>
      </c>
      <c r="AG127" s="436">
        <v>1</v>
      </c>
      <c r="AI127" s="174"/>
    </row>
    <row r="128" spans="1:35">
      <c r="A128" s="215" t="s">
        <v>944</v>
      </c>
      <c r="B128" s="232" t="s">
        <v>938</v>
      </c>
      <c r="C128" s="232">
        <v>2040</v>
      </c>
      <c r="D128" s="232" t="s">
        <v>945</v>
      </c>
      <c r="E128" s="553">
        <f t="shared" si="59"/>
        <v>3.0382535240995399E-2</v>
      </c>
      <c r="F128" s="553">
        <f t="shared" si="58"/>
        <v>2.7741580111071102E-2</v>
      </c>
      <c r="G128" s="553">
        <f t="shared" si="58"/>
        <v>219.92361433181699</v>
      </c>
      <c r="H128" s="553">
        <f t="shared" si="58"/>
        <v>2.7918067096299497E-2</v>
      </c>
      <c r="I128" s="553">
        <f t="shared" si="58"/>
        <v>1490.0003142970199</v>
      </c>
      <c r="J128" s="553">
        <f t="shared" si="58"/>
        <v>196.12458171137402</v>
      </c>
      <c r="K128" s="553">
        <f t="shared" si="58"/>
        <v>1016220.00034359</v>
      </c>
      <c r="L128" s="553">
        <f t="shared" si="58"/>
        <v>3.6200009662161997E-2</v>
      </c>
      <c r="M128" s="553">
        <f t="shared" si="58"/>
        <v>1427110.00015497</v>
      </c>
      <c r="N128" s="553">
        <f t="shared" si="58"/>
        <v>104150.000311182</v>
      </c>
      <c r="O128" s="553">
        <f t="shared" si="58"/>
        <v>2.5876602594380099E-2</v>
      </c>
      <c r="P128" s="553">
        <f t="shared" si="58"/>
        <v>3076249.99939021</v>
      </c>
      <c r="Q128" s="553">
        <f t="shared" si="58"/>
        <v>7485.3149452341495</v>
      </c>
      <c r="R128" s="553">
        <f t="shared" si="58"/>
        <v>356550.00032095402</v>
      </c>
      <c r="S128" s="553">
        <f t="shared" si="58"/>
        <v>741240.00031688996</v>
      </c>
      <c r="T128" s="553">
        <f t="shared" si="58"/>
        <v>2237420.0003140699</v>
      </c>
      <c r="U128" s="553">
        <f t="shared" si="58"/>
        <v>2600989.9998852699</v>
      </c>
      <c r="V128" s="553">
        <f t="shared" si="58"/>
        <v>2389840.00066151</v>
      </c>
      <c r="W128" s="553">
        <f t="shared" si="58"/>
        <v>2.6147628821777801E-2</v>
      </c>
      <c r="X128" s="553">
        <f t="shared" si="58"/>
        <v>5292.8275675854102</v>
      </c>
      <c r="Y128" s="553">
        <f t="shared" si="58"/>
        <v>1000620.00031301</v>
      </c>
      <c r="Z128" s="553">
        <f t="shared" si="58"/>
        <v>41840.000312384102</v>
      </c>
      <c r="AA128" s="553">
        <f t="shared" si="58"/>
        <v>12394.873394422701</v>
      </c>
      <c r="AB128" s="553">
        <f t="shared" si="58"/>
        <v>3.0954936647878503E-2</v>
      </c>
      <c r="AC128" s="553">
        <f t="shared" si="58"/>
        <v>327.30553273789099</v>
      </c>
      <c r="AD128" s="553">
        <f t="shared" si="58"/>
        <v>51700.000311987096</v>
      </c>
      <c r="AE128" s="553">
        <f t="shared" si="58"/>
        <v>351370.00031280395</v>
      </c>
      <c r="AF128" s="553">
        <f t="shared" si="58"/>
        <v>1805790.00047965</v>
      </c>
      <c r="AG128" s="436">
        <v>1</v>
      </c>
      <c r="AI128" s="174"/>
    </row>
    <row r="129" spans="1:35">
      <c r="A129" s="215" t="s">
        <v>944</v>
      </c>
      <c r="B129" s="232" t="s">
        <v>938</v>
      </c>
      <c r="C129" s="232">
        <v>2045</v>
      </c>
      <c r="D129" s="232" t="s">
        <v>945</v>
      </c>
      <c r="E129" s="553">
        <f t="shared" si="59"/>
        <v>3.0382535240995399E-2</v>
      </c>
      <c r="F129" s="553">
        <f t="shared" si="58"/>
        <v>2.7741580111071102E-2</v>
      </c>
      <c r="G129" s="553">
        <f t="shared" si="58"/>
        <v>219.92361433181699</v>
      </c>
      <c r="H129" s="553">
        <f t="shared" si="58"/>
        <v>2.7918067096299497E-2</v>
      </c>
      <c r="I129" s="553">
        <f t="shared" si="58"/>
        <v>1490.0003142970199</v>
      </c>
      <c r="J129" s="553">
        <f t="shared" si="58"/>
        <v>196.12458171137402</v>
      </c>
      <c r="K129" s="553">
        <f t="shared" si="58"/>
        <v>1016220.00034359</v>
      </c>
      <c r="L129" s="553">
        <f t="shared" si="58"/>
        <v>3.6200009662161997E-2</v>
      </c>
      <c r="M129" s="553">
        <f t="shared" si="58"/>
        <v>1427110.00015497</v>
      </c>
      <c r="N129" s="553">
        <f t="shared" si="58"/>
        <v>104150.000311182</v>
      </c>
      <c r="O129" s="553">
        <f t="shared" si="58"/>
        <v>2.5876602594380099E-2</v>
      </c>
      <c r="P129" s="553">
        <f t="shared" si="58"/>
        <v>3076249.99939021</v>
      </c>
      <c r="Q129" s="553">
        <f t="shared" si="58"/>
        <v>7485.3149452341495</v>
      </c>
      <c r="R129" s="553">
        <f t="shared" si="58"/>
        <v>356550.00032095402</v>
      </c>
      <c r="S129" s="553">
        <f t="shared" si="58"/>
        <v>741240.00031688996</v>
      </c>
      <c r="T129" s="553">
        <f t="shared" si="58"/>
        <v>2237420.0003140699</v>
      </c>
      <c r="U129" s="553">
        <f t="shared" si="58"/>
        <v>2600989.9998852699</v>
      </c>
      <c r="V129" s="553">
        <f t="shared" si="58"/>
        <v>2389840.00066151</v>
      </c>
      <c r="W129" s="553">
        <f t="shared" si="58"/>
        <v>2.6147628821777801E-2</v>
      </c>
      <c r="X129" s="553">
        <f t="shared" si="58"/>
        <v>5292.8275675854102</v>
      </c>
      <c r="Y129" s="553">
        <f t="shared" si="58"/>
        <v>1000620.00031301</v>
      </c>
      <c r="Z129" s="553">
        <f t="shared" si="58"/>
        <v>41840.000312384102</v>
      </c>
      <c r="AA129" s="553">
        <f t="shared" si="58"/>
        <v>12394.873394422701</v>
      </c>
      <c r="AB129" s="553">
        <f t="shared" si="58"/>
        <v>3.0954936647878503E-2</v>
      </c>
      <c r="AC129" s="553">
        <f t="shared" si="58"/>
        <v>327.30553273789099</v>
      </c>
      <c r="AD129" s="553">
        <f t="shared" si="58"/>
        <v>51700.000311987096</v>
      </c>
      <c r="AE129" s="553">
        <f t="shared" si="58"/>
        <v>351370.00031280395</v>
      </c>
      <c r="AF129" s="553">
        <f t="shared" si="58"/>
        <v>1805790.00047965</v>
      </c>
      <c r="AG129" s="436">
        <v>1</v>
      </c>
      <c r="AI129" s="174"/>
    </row>
    <row r="130" spans="1:35">
      <c r="A130" s="215" t="s">
        <v>944</v>
      </c>
      <c r="B130" s="232" t="s">
        <v>938</v>
      </c>
      <c r="C130" s="232">
        <v>2050</v>
      </c>
      <c r="D130" s="232" t="s">
        <v>945</v>
      </c>
      <c r="E130" s="553">
        <f t="shared" si="59"/>
        <v>3.0382535240995399E-2</v>
      </c>
      <c r="F130" s="553">
        <f t="shared" si="58"/>
        <v>2.7741580111071102E-2</v>
      </c>
      <c r="G130" s="553">
        <f t="shared" si="58"/>
        <v>219.92361433181699</v>
      </c>
      <c r="H130" s="553">
        <f t="shared" si="58"/>
        <v>2.7918067096299497E-2</v>
      </c>
      <c r="I130" s="553">
        <f t="shared" si="58"/>
        <v>1490.0003142970199</v>
      </c>
      <c r="J130" s="553">
        <f t="shared" si="58"/>
        <v>196.12458171137402</v>
      </c>
      <c r="K130" s="553">
        <f t="shared" si="58"/>
        <v>1016220.00034359</v>
      </c>
      <c r="L130" s="553">
        <f t="shared" si="58"/>
        <v>3.6200009662161997E-2</v>
      </c>
      <c r="M130" s="553">
        <f t="shared" si="58"/>
        <v>1427110.00015497</v>
      </c>
      <c r="N130" s="553">
        <f t="shared" si="58"/>
        <v>104150.000311182</v>
      </c>
      <c r="O130" s="553">
        <f t="shared" si="58"/>
        <v>2.5876602594380099E-2</v>
      </c>
      <c r="P130" s="553">
        <f t="shared" si="58"/>
        <v>3076249.99939021</v>
      </c>
      <c r="Q130" s="553">
        <f t="shared" si="58"/>
        <v>7485.3149452341495</v>
      </c>
      <c r="R130" s="553">
        <f t="shared" si="58"/>
        <v>356550.00032095402</v>
      </c>
      <c r="S130" s="553">
        <f t="shared" si="58"/>
        <v>741240.00031688996</v>
      </c>
      <c r="T130" s="553">
        <f t="shared" si="58"/>
        <v>2237420.0003140699</v>
      </c>
      <c r="U130" s="553">
        <f t="shared" si="58"/>
        <v>2600989.9998852699</v>
      </c>
      <c r="V130" s="553">
        <f t="shared" si="58"/>
        <v>2389840.00066151</v>
      </c>
      <c r="W130" s="553">
        <f t="shared" si="58"/>
        <v>2.6147628821777801E-2</v>
      </c>
      <c r="X130" s="553">
        <f t="shared" si="58"/>
        <v>5292.8275675854102</v>
      </c>
      <c r="Y130" s="553">
        <f t="shared" si="58"/>
        <v>1000620.00031301</v>
      </c>
      <c r="Z130" s="553">
        <f t="shared" si="58"/>
        <v>41840.000312384102</v>
      </c>
      <c r="AA130" s="553">
        <f t="shared" si="58"/>
        <v>12394.873394422701</v>
      </c>
      <c r="AB130" s="553">
        <f t="shared" si="58"/>
        <v>3.0954936647878503E-2</v>
      </c>
      <c r="AC130" s="553">
        <f t="shared" si="58"/>
        <v>327.30553273789099</v>
      </c>
      <c r="AD130" s="553">
        <f t="shared" si="58"/>
        <v>51700.000311987096</v>
      </c>
      <c r="AE130" s="553">
        <f t="shared" si="58"/>
        <v>351370.00031280395</v>
      </c>
      <c r="AF130" s="553">
        <f t="shared" si="58"/>
        <v>1805790.00047965</v>
      </c>
      <c r="AG130" s="436">
        <v>1</v>
      </c>
      <c r="AI130" s="174"/>
    </row>
    <row r="131" spans="1:35">
      <c r="A131" s="215" t="s">
        <v>944</v>
      </c>
      <c r="B131" s="232" t="s">
        <v>938</v>
      </c>
      <c r="C131" s="232">
        <v>2060</v>
      </c>
      <c r="D131" s="232" t="s">
        <v>945</v>
      </c>
      <c r="E131" s="553">
        <f t="shared" si="59"/>
        <v>3.0382535240995399E-2</v>
      </c>
      <c r="F131" s="553">
        <f t="shared" si="58"/>
        <v>2.7741580111071102E-2</v>
      </c>
      <c r="G131" s="553">
        <f t="shared" si="58"/>
        <v>219.92361433181699</v>
      </c>
      <c r="H131" s="553">
        <f t="shared" si="58"/>
        <v>2.7918067096299497E-2</v>
      </c>
      <c r="I131" s="553">
        <f t="shared" si="58"/>
        <v>1490.0003142970199</v>
      </c>
      <c r="J131" s="553">
        <f t="shared" si="58"/>
        <v>196.12458171137402</v>
      </c>
      <c r="K131" s="553">
        <f t="shared" si="58"/>
        <v>1016220.00034359</v>
      </c>
      <c r="L131" s="553">
        <f t="shared" si="58"/>
        <v>3.6200009662161997E-2</v>
      </c>
      <c r="M131" s="553">
        <f t="shared" si="58"/>
        <v>1427110.00015497</v>
      </c>
      <c r="N131" s="553">
        <f t="shared" si="58"/>
        <v>104150.000311182</v>
      </c>
      <c r="O131" s="553">
        <f t="shared" si="58"/>
        <v>2.5876602594380099E-2</v>
      </c>
      <c r="P131" s="553">
        <f t="shared" si="58"/>
        <v>3076249.99939021</v>
      </c>
      <c r="Q131" s="553">
        <f t="shared" si="58"/>
        <v>7485.3149452341495</v>
      </c>
      <c r="R131" s="553">
        <f t="shared" si="58"/>
        <v>356550.00032095402</v>
      </c>
      <c r="S131" s="553">
        <f t="shared" si="58"/>
        <v>741240.00031688996</v>
      </c>
      <c r="T131" s="553">
        <f t="shared" si="58"/>
        <v>2237420.0003140699</v>
      </c>
      <c r="U131" s="553">
        <f t="shared" si="58"/>
        <v>2600989.9998852699</v>
      </c>
      <c r="V131" s="553">
        <f t="shared" si="58"/>
        <v>2389840.00066151</v>
      </c>
      <c r="W131" s="553">
        <f t="shared" si="58"/>
        <v>2.6147628821777801E-2</v>
      </c>
      <c r="X131" s="553">
        <f t="shared" si="58"/>
        <v>5292.8275675854102</v>
      </c>
      <c r="Y131" s="553">
        <f t="shared" si="58"/>
        <v>1000620.00031301</v>
      </c>
      <c r="Z131" s="553">
        <f t="shared" si="58"/>
        <v>41840.000312384102</v>
      </c>
      <c r="AA131" s="553">
        <f t="shared" si="58"/>
        <v>12394.873394422701</v>
      </c>
      <c r="AB131" s="553">
        <f t="shared" si="58"/>
        <v>3.0954936647878503E-2</v>
      </c>
      <c r="AC131" s="553">
        <f t="shared" si="58"/>
        <v>327.30553273789099</v>
      </c>
      <c r="AD131" s="553">
        <f t="shared" si="58"/>
        <v>51700.000311987096</v>
      </c>
      <c r="AE131" s="553">
        <f t="shared" si="58"/>
        <v>351370.00031280395</v>
      </c>
      <c r="AF131" s="553">
        <f t="shared" si="58"/>
        <v>1805790.00047965</v>
      </c>
      <c r="AG131" s="436">
        <v>1</v>
      </c>
      <c r="AI131" s="174"/>
    </row>
    <row r="132" spans="1:35">
      <c r="A132" s="215" t="s">
        <v>944</v>
      </c>
      <c r="B132" s="232" t="s">
        <v>938</v>
      </c>
      <c r="C132" s="232">
        <v>2070</v>
      </c>
      <c r="D132" s="232" t="s">
        <v>945</v>
      </c>
      <c r="E132" s="553">
        <f t="shared" si="59"/>
        <v>3.0382535240995399E-2</v>
      </c>
      <c r="F132" s="553">
        <f t="shared" si="58"/>
        <v>2.7741580111071102E-2</v>
      </c>
      <c r="G132" s="553">
        <f t="shared" si="58"/>
        <v>219.92361433181699</v>
      </c>
      <c r="H132" s="553">
        <f t="shared" si="58"/>
        <v>2.7918067096299497E-2</v>
      </c>
      <c r="I132" s="553">
        <f t="shared" si="58"/>
        <v>1490.0003142970199</v>
      </c>
      <c r="J132" s="553">
        <f t="shared" si="58"/>
        <v>196.12458171137402</v>
      </c>
      <c r="K132" s="553">
        <f t="shared" si="58"/>
        <v>1016220.00034359</v>
      </c>
      <c r="L132" s="553">
        <f t="shared" si="58"/>
        <v>3.6200009662161997E-2</v>
      </c>
      <c r="M132" s="553">
        <f t="shared" si="58"/>
        <v>1427110.00015497</v>
      </c>
      <c r="N132" s="553">
        <f t="shared" si="58"/>
        <v>104150.000311182</v>
      </c>
      <c r="O132" s="553">
        <f t="shared" si="58"/>
        <v>2.5876602594380099E-2</v>
      </c>
      <c r="P132" s="553">
        <f t="shared" si="58"/>
        <v>3076249.99939021</v>
      </c>
      <c r="Q132" s="553">
        <f t="shared" si="58"/>
        <v>7485.3149452341495</v>
      </c>
      <c r="R132" s="553">
        <f t="shared" si="58"/>
        <v>356550.00032095402</v>
      </c>
      <c r="S132" s="553">
        <f t="shared" si="58"/>
        <v>741240.00031688996</v>
      </c>
      <c r="T132" s="553">
        <f t="shared" si="58"/>
        <v>2237420.0003140699</v>
      </c>
      <c r="U132" s="553">
        <f t="shared" si="58"/>
        <v>2600989.9998852699</v>
      </c>
      <c r="V132" s="553">
        <f t="shared" si="58"/>
        <v>2389840.00066151</v>
      </c>
      <c r="W132" s="553">
        <f t="shared" si="58"/>
        <v>2.6147628821777801E-2</v>
      </c>
      <c r="X132" s="553">
        <f t="shared" si="58"/>
        <v>5292.8275675854102</v>
      </c>
      <c r="Y132" s="553">
        <f t="shared" si="58"/>
        <v>1000620.00031301</v>
      </c>
      <c r="Z132" s="553">
        <f t="shared" si="58"/>
        <v>41840.000312384102</v>
      </c>
      <c r="AA132" s="553">
        <f t="shared" si="58"/>
        <v>12394.873394422701</v>
      </c>
      <c r="AB132" s="553">
        <f t="shared" si="58"/>
        <v>3.0954936647878503E-2</v>
      </c>
      <c r="AC132" s="553">
        <f t="shared" si="58"/>
        <v>327.30553273789099</v>
      </c>
      <c r="AD132" s="553">
        <f t="shared" si="58"/>
        <v>51700.000311987096</v>
      </c>
      <c r="AE132" s="553">
        <f t="shared" si="58"/>
        <v>351370.00031280395</v>
      </c>
      <c r="AF132" s="553">
        <f t="shared" si="58"/>
        <v>1805790.00047965</v>
      </c>
      <c r="AG132" s="436">
        <v>1</v>
      </c>
      <c r="AI132" s="174"/>
    </row>
    <row r="133" spans="1:35">
      <c r="A133" s="215" t="s">
        <v>944</v>
      </c>
      <c r="B133" s="232" t="s">
        <v>938</v>
      </c>
      <c r="C133" s="232">
        <v>2080</v>
      </c>
      <c r="D133" s="232" t="s">
        <v>945</v>
      </c>
      <c r="E133" s="553">
        <f t="shared" si="59"/>
        <v>3.0382535240995399E-2</v>
      </c>
      <c r="F133" s="553">
        <f t="shared" si="58"/>
        <v>2.7741580111071102E-2</v>
      </c>
      <c r="G133" s="553">
        <f t="shared" si="58"/>
        <v>219.92361433181699</v>
      </c>
      <c r="H133" s="553">
        <f t="shared" si="58"/>
        <v>2.7918067096299497E-2</v>
      </c>
      <c r="I133" s="553">
        <f t="shared" si="58"/>
        <v>1490.0003142970199</v>
      </c>
      <c r="J133" s="553">
        <f t="shared" si="58"/>
        <v>196.12458171137402</v>
      </c>
      <c r="K133" s="553">
        <f t="shared" si="58"/>
        <v>1016220.00034359</v>
      </c>
      <c r="L133" s="553">
        <f t="shared" si="58"/>
        <v>3.6200009662161997E-2</v>
      </c>
      <c r="M133" s="553">
        <f t="shared" si="58"/>
        <v>1427110.00015497</v>
      </c>
      <c r="N133" s="553">
        <f t="shared" si="58"/>
        <v>104150.000311182</v>
      </c>
      <c r="O133" s="553">
        <f t="shared" si="58"/>
        <v>2.5876602594380099E-2</v>
      </c>
      <c r="P133" s="553">
        <f t="shared" si="58"/>
        <v>3076249.99939021</v>
      </c>
      <c r="Q133" s="553">
        <f t="shared" si="58"/>
        <v>7485.3149452341495</v>
      </c>
      <c r="R133" s="553">
        <f t="shared" ref="R133:R135" si="60">R132</f>
        <v>356550.00032095402</v>
      </c>
      <c r="S133" s="553">
        <f t="shared" ref="S133:S135" si="61">S132</f>
        <v>741240.00031688996</v>
      </c>
      <c r="T133" s="553">
        <f t="shared" ref="T133:T135" si="62">T132</f>
        <v>2237420.0003140699</v>
      </c>
      <c r="U133" s="553">
        <f t="shared" ref="U133:U135" si="63">U132</f>
        <v>2600989.9998852699</v>
      </c>
      <c r="V133" s="553">
        <f t="shared" ref="V133:V135" si="64">V132</f>
        <v>2389840.00066151</v>
      </c>
      <c r="W133" s="553">
        <f t="shared" ref="W133:W135" si="65">W132</f>
        <v>2.6147628821777801E-2</v>
      </c>
      <c r="X133" s="553">
        <f t="shared" ref="X133:X135" si="66">X132</f>
        <v>5292.8275675854102</v>
      </c>
      <c r="Y133" s="553">
        <f t="shared" ref="Y133:Y135" si="67">Y132</f>
        <v>1000620.00031301</v>
      </c>
      <c r="Z133" s="553">
        <f t="shared" ref="Z133:Z135" si="68">Z132</f>
        <v>41840.000312384102</v>
      </c>
      <c r="AA133" s="553">
        <f t="shared" ref="AA133:AA135" si="69">AA132</f>
        <v>12394.873394422701</v>
      </c>
      <c r="AB133" s="553">
        <f t="shared" ref="AB133:AB135" si="70">AB132</f>
        <v>3.0954936647878503E-2</v>
      </c>
      <c r="AC133" s="553">
        <f t="shared" ref="AC133:AC135" si="71">AC132</f>
        <v>327.30553273789099</v>
      </c>
      <c r="AD133" s="553">
        <f t="shared" ref="AD133:AD135" si="72">AD132</f>
        <v>51700.000311987096</v>
      </c>
      <c r="AE133" s="553">
        <f t="shared" ref="AE133:AE135" si="73">AE132</f>
        <v>351370.00031280395</v>
      </c>
      <c r="AF133" s="553">
        <f t="shared" ref="AF133:AF135" si="74">AF132</f>
        <v>1805790.00047965</v>
      </c>
      <c r="AG133" s="436">
        <v>1</v>
      </c>
      <c r="AI133" s="174"/>
    </row>
    <row r="134" spans="1:35">
      <c r="A134" s="215" t="s">
        <v>944</v>
      </c>
      <c r="B134" s="232" t="s">
        <v>938</v>
      </c>
      <c r="C134" s="232">
        <v>2090</v>
      </c>
      <c r="D134" s="232" t="s">
        <v>945</v>
      </c>
      <c r="E134" s="553">
        <f t="shared" si="59"/>
        <v>3.0382535240995399E-2</v>
      </c>
      <c r="F134" s="553">
        <f t="shared" ref="F134:F135" si="75">F133</f>
        <v>2.7741580111071102E-2</v>
      </c>
      <c r="G134" s="553">
        <f t="shared" ref="G134:G135" si="76">G133</f>
        <v>219.92361433181699</v>
      </c>
      <c r="H134" s="553">
        <f t="shared" ref="H134:H135" si="77">H133</f>
        <v>2.7918067096299497E-2</v>
      </c>
      <c r="I134" s="553">
        <f t="shared" ref="I134:I135" si="78">I133</f>
        <v>1490.0003142970199</v>
      </c>
      <c r="J134" s="553">
        <f t="shared" ref="J134:J135" si="79">J133</f>
        <v>196.12458171137402</v>
      </c>
      <c r="K134" s="553">
        <f t="shared" ref="K134:K135" si="80">K133</f>
        <v>1016220.00034359</v>
      </c>
      <c r="L134" s="553">
        <f t="shared" ref="L134:L135" si="81">L133</f>
        <v>3.6200009662161997E-2</v>
      </c>
      <c r="M134" s="553">
        <f t="shared" ref="M134:M135" si="82">M133</f>
        <v>1427110.00015497</v>
      </c>
      <c r="N134" s="553">
        <f t="shared" ref="N134:N135" si="83">N133</f>
        <v>104150.000311182</v>
      </c>
      <c r="O134" s="553">
        <f t="shared" ref="O134:O135" si="84">O133</f>
        <v>2.5876602594380099E-2</v>
      </c>
      <c r="P134" s="553">
        <f t="shared" ref="P134:P135" si="85">P133</f>
        <v>3076249.99939021</v>
      </c>
      <c r="Q134" s="553">
        <f t="shared" ref="Q134:Q135" si="86">Q133</f>
        <v>7485.3149452341495</v>
      </c>
      <c r="R134" s="553">
        <f t="shared" si="60"/>
        <v>356550.00032095402</v>
      </c>
      <c r="S134" s="553">
        <f t="shared" si="61"/>
        <v>741240.00031688996</v>
      </c>
      <c r="T134" s="553">
        <f t="shared" si="62"/>
        <v>2237420.0003140699</v>
      </c>
      <c r="U134" s="553">
        <f t="shared" si="63"/>
        <v>2600989.9998852699</v>
      </c>
      <c r="V134" s="553">
        <f t="shared" si="64"/>
        <v>2389840.00066151</v>
      </c>
      <c r="W134" s="553">
        <f t="shared" si="65"/>
        <v>2.6147628821777801E-2</v>
      </c>
      <c r="X134" s="553">
        <f t="shared" si="66"/>
        <v>5292.8275675854102</v>
      </c>
      <c r="Y134" s="553">
        <f t="shared" si="67"/>
        <v>1000620.00031301</v>
      </c>
      <c r="Z134" s="553">
        <f t="shared" si="68"/>
        <v>41840.000312384102</v>
      </c>
      <c r="AA134" s="553">
        <f t="shared" si="69"/>
        <v>12394.873394422701</v>
      </c>
      <c r="AB134" s="553">
        <f t="shared" si="70"/>
        <v>3.0954936647878503E-2</v>
      </c>
      <c r="AC134" s="553">
        <f t="shared" si="71"/>
        <v>327.30553273789099</v>
      </c>
      <c r="AD134" s="553">
        <f t="shared" si="72"/>
        <v>51700.000311987096</v>
      </c>
      <c r="AE134" s="553">
        <f t="shared" si="73"/>
        <v>351370.00031280395</v>
      </c>
      <c r="AF134" s="553">
        <f t="shared" si="74"/>
        <v>1805790.00047965</v>
      </c>
      <c r="AG134" s="436">
        <v>1</v>
      </c>
      <c r="AI134" s="174"/>
    </row>
    <row r="135" spans="1:35">
      <c r="A135" s="229" t="s">
        <v>944</v>
      </c>
      <c r="B135" s="235" t="s">
        <v>938</v>
      </c>
      <c r="C135" s="235">
        <v>2100</v>
      </c>
      <c r="D135" s="235" t="s">
        <v>945</v>
      </c>
      <c r="E135" s="555">
        <f t="shared" si="59"/>
        <v>3.0382535240995399E-2</v>
      </c>
      <c r="F135" s="555">
        <f t="shared" si="75"/>
        <v>2.7741580111071102E-2</v>
      </c>
      <c r="G135" s="555">
        <f t="shared" si="76"/>
        <v>219.92361433181699</v>
      </c>
      <c r="H135" s="555">
        <f t="shared" si="77"/>
        <v>2.7918067096299497E-2</v>
      </c>
      <c r="I135" s="555">
        <f t="shared" si="78"/>
        <v>1490.0003142970199</v>
      </c>
      <c r="J135" s="555">
        <f t="shared" si="79"/>
        <v>196.12458171137402</v>
      </c>
      <c r="K135" s="555">
        <f t="shared" si="80"/>
        <v>1016220.00034359</v>
      </c>
      <c r="L135" s="555">
        <f t="shared" si="81"/>
        <v>3.6200009662161997E-2</v>
      </c>
      <c r="M135" s="555">
        <f t="shared" si="82"/>
        <v>1427110.00015497</v>
      </c>
      <c r="N135" s="555">
        <f t="shared" si="83"/>
        <v>104150.000311182</v>
      </c>
      <c r="O135" s="555">
        <f t="shared" si="84"/>
        <v>2.5876602594380099E-2</v>
      </c>
      <c r="P135" s="555">
        <f t="shared" si="85"/>
        <v>3076249.99939021</v>
      </c>
      <c r="Q135" s="555">
        <f t="shared" si="86"/>
        <v>7485.3149452341495</v>
      </c>
      <c r="R135" s="555">
        <f t="shared" si="60"/>
        <v>356550.00032095402</v>
      </c>
      <c r="S135" s="555">
        <f t="shared" si="61"/>
        <v>741240.00031688996</v>
      </c>
      <c r="T135" s="555">
        <f t="shared" si="62"/>
        <v>2237420.0003140699</v>
      </c>
      <c r="U135" s="555">
        <f t="shared" si="63"/>
        <v>2600989.9998852699</v>
      </c>
      <c r="V135" s="555">
        <f t="shared" si="64"/>
        <v>2389840.00066151</v>
      </c>
      <c r="W135" s="555">
        <f t="shared" si="65"/>
        <v>2.6147628821777801E-2</v>
      </c>
      <c r="X135" s="555">
        <f t="shared" si="66"/>
        <v>5292.8275675854102</v>
      </c>
      <c r="Y135" s="555">
        <f t="shared" si="67"/>
        <v>1000620.00031301</v>
      </c>
      <c r="Z135" s="555">
        <f t="shared" si="68"/>
        <v>41840.000312384102</v>
      </c>
      <c r="AA135" s="555">
        <f t="shared" si="69"/>
        <v>12394.873394422701</v>
      </c>
      <c r="AB135" s="555">
        <f t="shared" si="70"/>
        <v>3.0954936647878503E-2</v>
      </c>
      <c r="AC135" s="555">
        <f t="shared" si="71"/>
        <v>327.30553273789099</v>
      </c>
      <c r="AD135" s="555">
        <f t="shared" si="72"/>
        <v>51700.000311987096</v>
      </c>
      <c r="AE135" s="555">
        <f t="shared" si="73"/>
        <v>351370.00031280395</v>
      </c>
      <c r="AF135" s="555">
        <f t="shared" si="74"/>
        <v>1805790.00047965</v>
      </c>
      <c r="AG135" s="437">
        <v>1</v>
      </c>
      <c r="AI135" s="174"/>
    </row>
    <row r="136" spans="1:35">
      <c r="A136" s="215" t="s">
        <v>944</v>
      </c>
      <c r="B136" s="232" t="s">
        <v>940</v>
      </c>
      <c r="C136" s="232">
        <v>2019</v>
      </c>
      <c r="D136" s="232" t="s">
        <v>945</v>
      </c>
      <c r="E136" s="553">
        <v>0</v>
      </c>
      <c r="F136" s="553">
        <v>0</v>
      </c>
      <c r="G136" s="553">
        <v>0</v>
      </c>
      <c r="H136" s="553">
        <v>0</v>
      </c>
      <c r="I136" s="553">
        <v>0</v>
      </c>
      <c r="J136" s="553">
        <v>0</v>
      </c>
      <c r="K136" s="553">
        <v>0</v>
      </c>
      <c r="L136" s="553">
        <v>0</v>
      </c>
      <c r="M136" s="553">
        <v>0</v>
      </c>
      <c r="N136" s="553">
        <v>0</v>
      </c>
      <c r="O136" s="553">
        <v>0</v>
      </c>
      <c r="P136" s="553">
        <v>0</v>
      </c>
      <c r="Q136" s="553">
        <v>0</v>
      </c>
      <c r="R136" s="553">
        <v>0</v>
      </c>
      <c r="S136" s="553">
        <v>0</v>
      </c>
      <c r="T136" s="553">
        <v>0</v>
      </c>
      <c r="U136" s="553">
        <v>0</v>
      </c>
      <c r="V136" s="553">
        <v>0</v>
      </c>
      <c r="W136" s="553">
        <v>0</v>
      </c>
      <c r="X136" s="553">
        <v>0</v>
      </c>
      <c r="Y136" s="553">
        <v>0</v>
      </c>
      <c r="Z136" s="553">
        <v>0</v>
      </c>
      <c r="AA136" s="553">
        <v>0</v>
      </c>
      <c r="AB136" s="553">
        <v>0</v>
      </c>
      <c r="AC136" s="553">
        <v>0</v>
      </c>
      <c r="AD136" s="553">
        <v>0</v>
      </c>
      <c r="AE136" s="553">
        <v>0</v>
      </c>
      <c r="AF136" s="554">
        <v>0</v>
      </c>
      <c r="AG136" s="436">
        <v>1</v>
      </c>
    </row>
    <row r="137" spans="1:35">
      <c r="A137" s="215" t="s">
        <v>944</v>
      </c>
      <c r="B137" s="232" t="s">
        <v>940</v>
      </c>
      <c r="C137">
        <v>2020</v>
      </c>
      <c r="D137" s="232" t="s">
        <v>945</v>
      </c>
      <c r="E137" s="553">
        <v>0</v>
      </c>
      <c r="F137" s="553">
        <v>0</v>
      </c>
      <c r="G137" s="553">
        <v>0</v>
      </c>
      <c r="H137" s="553">
        <v>0</v>
      </c>
      <c r="I137" s="553">
        <v>0</v>
      </c>
      <c r="J137" s="553">
        <v>0</v>
      </c>
      <c r="K137" s="553">
        <v>0</v>
      </c>
      <c r="L137" s="553">
        <v>0</v>
      </c>
      <c r="M137" s="553">
        <v>0</v>
      </c>
      <c r="N137" s="553">
        <v>0</v>
      </c>
      <c r="O137" s="553">
        <v>0</v>
      </c>
      <c r="P137" s="553">
        <v>0</v>
      </c>
      <c r="Q137" s="553">
        <v>0</v>
      </c>
      <c r="R137" s="553">
        <v>0</v>
      </c>
      <c r="S137" s="553">
        <v>0</v>
      </c>
      <c r="T137" s="553">
        <v>0</v>
      </c>
      <c r="U137" s="553">
        <v>0</v>
      </c>
      <c r="V137" s="553">
        <v>0</v>
      </c>
      <c r="W137" s="553">
        <v>0</v>
      </c>
      <c r="X137" s="553">
        <v>0</v>
      </c>
      <c r="Y137" s="553">
        <v>0</v>
      </c>
      <c r="Z137" s="553">
        <v>0</v>
      </c>
      <c r="AA137" s="553">
        <v>0</v>
      </c>
      <c r="AB137" s="553">
        <v>0</v>
      </c>
      <c r="AC137" s="553">
        <v>0</v>
      </c>
      <c r="AD137" s="553">
        <v>0</v>
      </c>
      <c r="AE137" s="553">
        <v>0</v>
      </c>
      <c r="AF137" s="554">
        <v>0</v>
      </c>
      <c r="AG137" s="436">
        <v>1</v>
      </c>
      <c r="AI137" s="174"/>
    </row>
    <row r="138" spans="1:35">
      <c r="A138" s="215" t="s">
        <v>944</v>
      </c>
      <c r="B138" s="232" t="s">
        <v>940</v>
      </c>
      <c r="C138" s="232">
        <v>2025</v>
      </c>
      <c r="D138" s="232" t="s">
        <v>945</v>
      </c>
      <c r="E138" s="553">
        <v>0</v>
      </c>
      <c r="F138" s="553">
        <v>0</v>
      </c>
      <c r="G138" s="553">
        <v>0</v>
      </c>
      <c r="H138" s="553">
        <v>0</v>
      </c>
      <c r="I138" s="553">
        <v>0</v>
      </c>
      <c r="J138" s="553">
        <v>0</v>
      </c>
      <c r="K138" s="553">
        <v>0</v>
      </c>
      <c r="L138" s="553">
        <v>0</v>
      </c>
      <c r="M138" s="553">
        <v>0</v>
      </c>
      <c r="N138" s="553">
        <v>0</v>
      </c>
      <c r="O138" s="553">
        <v>0</v>
      </c>
      <c r="P138" s="553">
        <v>0</v>
      </c>
      <c r="Q138" s="553">
        <v>0</v>
      </c>
      <c r="R138" s="553">
        <v>0</v>
      </c>
      <c r="S138" s="553">
        <v>0</v>
      </c>
      <c r="T138" s="553">
        <v>0</v>
      </c>
      <c r="U138" s="553">
        <v>0</v>
      </c>
      <c r="V138" s="553">
        <v>0</v>
      </c>
      <c r="W138" s="553">
        <v>0</v>
      </c>
      <c r="X138" s="553">
        <v>0</v>
      </c>
      <c r="Y138" s="553">
        <v>0</v>
      </c>
      <c r="Z138" s="553">
        <v>0</v>
      </c>
      <c r="AA138" s="553">
        <v>0</v>
      </c>
      <c r="AB138" s="553">
        <v>0</v>
      </c>
      <c r="AC138" s="553">
        <v>0</v>
      </c>
      <c r="AD138" s="553">
        <v>0</v>
      </c>
      <c r="AE138" s="553">
        <v>0</v>
      </c>
      <c r="AF138" s="554">
        <v>0</v>
      </c>
      <c r="AG138" s="436">
        <v>1</v>
      </c>
      <c r="AI138" s="174"/>
    </row>
    <row r="139" spans="1:35">
      <c r="A139" s="215" t="s">
        <v>944</v>
      </c>
      <c r="B139" s="232" t="s">
        <v>940</v>
      </c>
      <c r="C139" s="232">
        <v>2030</v>
      </c>
      <c r="D139" s="232" t="s">
        <v>945</v>
      </c>
      <c r="E139" s="553">
        <v>0</v>
      </c>
      <c r="F139" s="553">
        <v>0</v>
      </c>
      <c r="G139" s="553">
        <v>0</v>
      </c>
      <c r="H139" s="553">
        <v>0</v>
      </c>
      <c r="I139" s="553">
        <v>0</v>
      </c>
      <c r="J139" s="553">
        <v>0</v>
      </c>
      <c r="K139" s="553">
        <v>0</v>
      </c>
      <c r="L139" s="553">
        <v>0</v>
      </c>
      <c r="M139" s="553">
        <v>0</v>
      </c>
      <c r="N139" s="553">
        <v>0</v>
      </c>
      <c r="O139" s="553">
        <v>0</v>
      </c>
      <c r="P139" s="553">
        <v>0</v>
      </c>
      <c r="Q139" s="553">
        <v>0</v>
      </c>
      <c r="R139" s="553">
        <v>0</v>
      </c>
      <c r="S139" s="553">
        <v>0</v>
      </c>
      <c r="T139" s="553">
        <v>0</v>
      </c>
      <c r="U139" s="553">
        <v>0</v>
      </c>
      <c r="V139" s="553">
        <v>0</v>
      </c>
      <c r="W139" s="553">
        <v>0</v>
      </c>
      <c r="X139" s="553">
        <v>0</v>
      </c>
      <c r="Y139" s="553">
        <v>0</v>
      </c>
      <c r="Z139" s="553">
        <v>0</v>
      </c>
      <c r="AA139" s="553">
        <v>0</v>
      </c>
      <c r="AB139" s="553">
        <v>0</v>
      </c>
      <c r="AC139" s="553">
        <v>0</v>
      </c>
      <c r="AD139" s="553">
        <v>0</v>
      </c>
      <c r="AE139" s="553">
        <v>0</v>
      </c>
      <c r="AF139" s="554">
        <v>0</v>
      </c>
      <c r="AG139" s="436">
        <v>1</v>
      </c>
      <c r="AI139" s="174"/>
    </row>
    <row r="140" spans="1:35">
      <c r="A140" s="215" t="s">
        <v>944</v>
      </c>
      <c r="B140" s="232" t="s">
        <v>940</v>
      </c>
      <c r="C140" s="232">
        <v>2035</v>
      </c>
      <c r="D140" s="232" t="s">
        <v>945</v>
      </c>
      <c r="E140" s="553">
        <v>0</v>
      </c>
      <c r="F140" s="553">
        <v>0</v>
      </c>
      <c r="G140" s="553">
        <v>0</v>
      </c>
      <c r="H140" s="553">
        <v>0</v>
      </c>
      <c r="I140" s="553">
        <v>0</v>
      </c>
      <c r="J140" s="553">
        <v>0</v>
      </c>
      <c r="K140" s="553">
        <v>0</v>
      </c>
      <c r="L140" s="553">
        <v>0</v>
      </c>
      <c r="M140" s="553">
        <v>0</v>
      </c>
      <c r="N140" s="553">
        <v>0</v>
      </c>
      <c r="O140" s="553">
        <v>0</v>
      </c>
      <c r="P140" s="553">
        <v>0</v>
      </c>
      <c r="Q140" s="553">
        <v>0</v>
      </c>
      <c r="R140" s="553">
        <v>0</v>
      </c>
      <c r="S140" s="553">
        <v>0</v>
      </c>
      <c r="T140" s="553">
        <v>0</v>
      </c>
      <c r="U140" s="553">
        <v>0</v>
      </c>
      <c r="V140" s="553">
        <v>0</v>
      </c>
      <c r="W140" s="553">
        <v>0</v>
      </c>
      <c r="X140" s="553">
        <v>0</v>
      </c>
      <c r="Y140" s="553">
        <v>0</v>
      </c>
      <c r="Z140" s="553">
        <v>0</v>
      </c>
      <c r="AA140" s="553">
        <v>0</v>
      </c>
      <c r="AB140" s="553">
        <v>0</v>
      </c>
      <c r="AC140" s="553">
        <v>0</v>
      </c>
      <c r="AD140" s="553">
        <v>0</v>
      </c>
      <c r="AE140" s="553">
        <v>0</v>
      </c>
      <c r="AF140" s="554">
        <v>0</v>
      </c>
      <c r="AG140" s="436">
        <v>1</v>
      </c>
      <c r="AI140" s="174"/>
    </row>
    <row r="141" spans="1:35">
      <c r="A141" s="215" t="s">
        <v>944</v>
      </c>
      <c r="B141" s="232" t="s">
        <v>940</v>
      </c>
      <c r="C141" s="232">
        <v>2040</v>
      </c>
      <c r="D141" s="232" t="s">
        <v>945</v>
      </c>
      <c r="E141" s="553">
        <v>0</v>
      </c>
      <c r="F141" s="553">
        <v>0</v>
      </c>
      <c r="G141" s="553">
        <v>0</v>
      </c>
      <c r="H141" s="553">
        <v>0</v>
      </c>
      <c r="I141" s="553">
        <v>0</v>
      </c>
      <c r="J141" s="553">
        <v>0</v>
      </c>
      <c r="K141" s="553">
        <v>0</v>
      </c>
      <c r="L141" s="553">
        <v>0</v>
      </c>
      <c r="M141" s="553">
        <v>0</v>
      </c>
      <c r="N141" s="553">
        <v>0</v>
      </c>
      <c r="O141" s="553">
        <v>0</v>
      </c>
      <c r="P141" s="553">
        <v>0</v>
      </c>
      <c r="Q141" s="553">
        <v>0</v>
      </c>
      <c r="R141" s="553">
        <v>0</v>
      </c>
      <c r="S141" s="553">
        <v>0</v>
      </c>
      <c r="T141" s="553">
        <v>0</v>
      </c>
      <c r="U141" s="553">
        <v>0</v>
      </c>
      <c r="V141" s="553">
        <v>0</v>
      </c>
      <c r="W141" s="553">
        <v>0</v>
      </c>
      <c r="X141" s="553">
        <v>0</v>
      </c>
      <c r="Y141" s="553">
        <v>0</v>
      </c>
      <c r="Z141" s="553">
        <v>0</v>
      </c>
      <c r="AA141" s="553">
        <v>0</v>
      </c>
      <c r="AB141" s="553">
        <v>0</v>
      </c>
      <c r="AC141" s="553">
        <v>0</v>
      </c>
      <c r="AD141" s="553">
        <v>0</v>
      </c>
      <c r="AE141" s="553">
        <v>0</v>
      </c>
      <c r="AF141" s="554">
        <v>0</v>
      </c>
      <c r="AG141" s="436">
        <v>1</v>
      </c>
      <c r="AI141" s="174"/>
    </row>
    <row r="142" spans="1:35">
      <c r="A142" s="215" t="s">
        <v>944</v>
      </c>
      <c r="B142" s="232" t="s">
        <v>940</v>
      </c>
      <c r="C142" s="232">
        <v>2045</v>
      </c>
      <c r="D142" s="232" t="s">
        <v>945</v>
      </c>
      <c r="E142" s="553">
        <v>0</v>
      </c>
      <c r="F142" s="553">
        <v>0</v>
      </c>
      <c r="G142" s="553">
        <v>0</v>
      </c>
      <c r="H142" s="553">
        <v>0</v>
      </c>
      <c r="I142" s="553">
        <v>0</v>
      </c>
      <c r="J142" s="553">
        <v>0</v>
      </c>
      <c r="K142" s="553">
        <v>0</v>
      </c>
      <c r="L142" s="553">
        <v>0</v>
      </c>
      <c r="M142" s="553">
        <v>0</v>
      </c>
      <c r="N142" s="553">
        <v>0</v>
      </c>
      <c r="O142" s="553">
        <v>0</v>
      </c>
      <c r="P142" s="553">
        <v>0</v>
      </c>
      <c r="Q142" s="553">
        <v>0</v>
      </c>
      <c r="R142" s="553">
        <v>0</v>
      </c>
      <c r="S142" s="553">
        <v>0</v>
      </c>
      <c r="T142" s="553">
        <v>0</v>
      </c>
      <c r="U142" s="553">
        <v>0</v>
      </c>
      <c r="V142" s="553">
        <v>0</v>
      </c>
      <c r="W142" s="553">
        <v>0</v>
      </c>
      <c r="X142" s="553">
        <v>0</v>
      </c>
      <c r="Y142" s="553">
        <v>0</v>
      </c>
      <c r="Z142" s="553">
        <v>0</v>
      </c>
      <c r="AA142" s="553">
        <v>0</v>
      </c>
      <c r="AB142" s="553">
        <v>0</v>
      </c>
      <c r="AC142" s="553">
        <v>0</v>
      </c>
      <c r="AD142" s="553">
        <v>0</v>
      </c>
      <c r="AE142" s="553">
        <v>0</v>
      </c>
      <c r="AF142" s="554">
        <v>0</v>
      </c>
      <c r="AG142" s="436">
        <v>1</v>
      </c>
      <c r="AI142" s="174"/>
    </row>
    <row r="143" spans="1:35">
      <c r="A143" s="215" t="s">
        <v>944</v>
      </c>
      <c r="B143" s="232" t="s">
        <v>940</v>
      </c>
      <c r="C143" s="232">
        <v>2050</v>
      </c>
      <c r="D143" s="232" t="s">
        <v>945</v>
      </c>
      <c r="E143" s="553">
        <v>0</v>
      </c>
      <c r="F143" s="553">
        <v>0</v>
      </c>
      <c r="G143" s="553">
        <v>0</v>
      </c>
      <c r="H143" s="553">
        <v>0</v>
      </c>
      <c r="I143" s="553">
        <v>0</v>
      </c>
      <c r="J143" s="553">
        <v>0</v>
      </c>
      <c r="K143" s="553">
        <v>0</v>
      </c>
      <c r="L143" s="553">
        <v>0</v>
      </c>
      <c r="M143" s="553">
        <v>0</v>
      </c>
      <c r="N143" s="553">
        <v>0</v>
      </c>
      <c r="O143" s="553">
        <v>0</v>
      </c>
      <c r="P143" s="553">
        <v>0</v>
      </c>
      <c r="Q143" s="553">
        <v>0</v>
      </c>
      <c r="R143" s="553">
        <v>0</v>
      </c>
      <c r="S143" s="553">
        <v>0</v>
      </c>
      <c r="T143" s="553">
        <v>0</v>
      </c>
      <c r="U143" s="553">
        <v>0</v>
      </c>
      <c r="V143" s="553">
        <v>0</v>
      </c>
      <c r="W143" s="553">
        <v>0</v>
      </c>
      <c r="X143" s="553">
        <v>0</v>
      </c>
      <c r="Y143" s="553">
        <v>0</v>
      </c>
      <c r="Z143" s="553">
        <v>0</v>
      </c>
      <c r="AA143" s="553">
        <v>0</v>
      </c>
      <c r="AB143" s="553">
        <v>0</v>
      </c>
      <c r="AC143" s="553">
        <v>0</v>
      </c>
      <c r="AD143" s="553">
        <v>0</v>
      </c>
      <c r="AE143" s="553">
        <v>0</v>
      </c>
      <c r="AF143" s="554">
        <v>0</v>
      </c>
      <c r="AG143" s="436">
        <v>1</v>
      </c>
      <c r="AI143" s="174"/>
    </row>
    <row r="144" spans="1:35">
      <c r="A144" s="215" t="s">
        <v>944</v>
      </c>
      <c r="B144" s="232" t="s">
        <v>940</v>
      </c>
      <c r="C144" s="232">
        <v>2060</v>
      </c>
      <c r="D144" s="232" t="s">
        <v>945</v>
      </c>
      <c r="E144" s="553">
        <v>0</v>
      </c>
      <c r="F144" s="553">
        <v>0</v>
      </c>
      <c r="G144" s="553">
        <v>0</v>
      </c>
      <c r="H144" s="553">
        <v>0</v>
      </c>
      <c r="I144" s="553">
        <v>0</v>
      </c>
      <c r="J144" s="553">
        <v>0</v>
      </c>
      <c r="K144" s="553">
        <v>0</v>
      </c>
      <c r="L144" s="553">
        <v>0</v>
      </c>
      <c r="M144" s="553">
        <v>0</v>
      </c>
      <c r="N144" s="553">
        <v>0</v>
      </c>
      <c r="O144" s="553">
        <v>0</v>
      </c>
      <c r="P144" s="553">
        <v>0</v>
      </c>
      <c r="Q144" s="553">
        <v>0</v>
      </c>
      <c r="R144" s="553">
        <v>0</v>
      </c>
      <c r="S144" s="553">
        <v>0</v>
      </c>
      <c r="T144" s="553">
        <v>0</v>
      </c>
      <c r="U144" s="553">
        <v>0</v>
      </c>
      <c r="V144" s="553">
        <v>0</v>
      </c>
      <c r="W144" s="553">
        <v>0</v>
      </c>
      <c r="X144" s="553">
        <v>0</v>
      </c>
      <c r="Y144" s="553">
        <v>0</v>
      </c>
      <c r="Z144" s="553">
        <v>0</v>
      </c>
      <c r="AA144" s="553">
        <v>0</v>
      </c>
      <c r="AB144" s="553">
        <v>0</v>
      </c>
      <c r="AC144" s="553">
        <v>0</v>
      </c>
      <c r="AD144" s="553">
        <v>0</v>
      </c>
      <c r="AE144" s="553">
        <v>0</v>
      </c>
      <c r="AF144" s="554">
        <v>0</v>
      </c>
      <c r="AG144" s="436">
        <v>1</v>
      </c>
      <c r="AI144" s="174"/>
    </row>
    <row r="145" spans="1:35">
      <c r="A145" s="215" t="s">
        <v>944</v>
      </c>
      <c r="B145" s="232" t="s">
        <v>940</v>
      </c>
      <c r="C145" s="232">
        <v>2070</v>
      </c>
      <c r="D145" s="232" t="s">
        <v>945</v>
      </c>
      <c r="E145" s="553">
        <v>0</v>
      </c>
      <c r="F145" s="553">
        <v>0</v>
      </c>
      <c r="G145" s="553">
        <v>0</v>
      </c>
      <c r="H145" s="553">
        <v>0</v>
      </c>
      <c r="I145" s="553">
        <v>0</v>
      </c>
      <c r="J145" s="553">
        <v>0</v>
      </c>
      <c r="K145" s="553">
        <v>0</v>
      </c>
      <c r="L145" s="553">
        <v>0</v>
      </c>
      <c r="M145" s="553">
        <v>0</v>
      </c>
      <c r="N145" s="553">
        <v>0</v>
      </c>
      <c r="O145" s="553">
        <v>0</v>
      </c>
      <c r="P145" s="553">
        <v>0</v>
      </c>
      <c r="Q145" s="553">
        <v>0</v>
      </c>
      <c r="R145" s="553">
        <v>0</v>
      </c>
      <c r="S145" s="553">
        <v>0</v>
      </c>
      <c r="T145" s="553">
        <v>0</v>
      </c>
      <c r="U145" s="553">
        <v>0</v>
      </c>
      <c r="V145" s="553">
        <v>0</v>
      </c>
      <c r="W145" s="553">
        <v>0</v>
      </c>
      <c r="X145" s="553">
        <v>0</v>
      </c>
      <c r="Y145" s="553">
        <v>0</v>
      </c>
      <c r="Z145" s="553">
        <v>0</v>
      </c>
      <c r="AA145" s="553">
        <v>0</v>
      </c>
      <c r="AB145" s="553">
        <v>0</v>
      </c>
      <c r="AC145" s="553">
        <v>0</v>
      </c>
      <c r="AD145" s="553">
        <v>0</v>
      </c>
      <c r="AE145" s="553">
        <v>0</v>
      </c>
      <c r="AF145" s="554">
        <v>0</v>
      </c>
      <c r="AG145" s="436">
        <v>1</v>
      </c>
      <c r="AI145" s="174"/>
    </row>
    <row r="146" spans="1:35">
      <c r="A146" s="215" t="s">
        <v>944</v>
      </c>
      <c r="B146" s="232" t="s">
        <v>940</v>
      </c>
      <c r="C146" s="232">
        <v>2080</v>
      </c>
      <c r="D146" s="232" t="s">
        <v>945</v>
      </c>
      <c r="E146" s="553">
        <v>0</v>
      </c>
      <c r="F146" s="553">
        <v>0</v>
      </c>
      <c r="G146" s="553">
        <v>0</v>
      </c>
      <c r="H146" s="553">
        <v>0</v>
      </c>
      <c r="I146" s="553">
        <v>0</v>
      </c>
      <c r="J146" s="553">
        <v>0</v>
      </c>
      <c r="K146" s="553">
        <v>0</v>
      </c>
      <c r="L146" s="553">
        <v>0</v>
      </c>
      <c r="M146" s="553">
        <v>0</v>
      </c>
      <c r="N146" s="553">
        <v>0</v>
      </c>
      <c r="O146" s="553">
        <v>0</v>
      </c>
      <c r="P146" s="553">
        <v>0</v>
      </c>
      <c r="Q146" s="553">
        <v>0</v>
      </c>
      <c r="R146" s="553">
        <v>0</v>
      </c>
      <c r="S146" s="553">
        <v>0</v>
      </c>
      <c r="T146" s="553">
        <v>0</v>
      </c>
      <c r="U146" s="553">
        <v>0</v>
      </c>
      <c r="V146" s="553">
        <v>0</v>
      </c>
      <c r="W146" s="553">
        <v>0</v>
      </c>
      <c r="X146" s="553">
        <v>0</v>
      </c>
      <c r="Y146" s="553">
        <v>0</v>
      </c>
      <c r="Z146" s="553">
        <v>0</v>
      </c>
      <c r="AA146" s="553">
        <v>0</v>
      </c>
      <c r="AB146" s="553">
        <v>0</v>
      </c>
      <c r="AC146" s="553">
        <v>0</v>
      </c>
      <c r="AD146" s="553">
        <v>0</v>
      </c>
      <c r="AE146" s="553">
        <v>0</v>
      </c>
      <c r="AF146" s="554">
        <v>0</v>
      </c>
      <c r="AG146" s="436">
        <v>1</v>
      </c>
      <c r="AI146" s="174"/>
    </row>
    <row r="147" spans="1:35">
      <c r="A147" s="215" t="s">
        <v>944</v>
      </c>
      <c r="B147" s="232" t="s">
        <v>940</v>
      </c>
      <c r="C147" s="232">
        <v>2090</v>
      </c>
      <c r="D147" s="232" t="s">
        <v>945</v>
      </c>
      <c r="E147" s="553">
        <v>0</v>
      </c>
      <c r="F147" s="553">
        <v>0</v>
      </c>
      <c r="G147" s="553">
        <v>0</v>
      </c>
      <c r="H147" s="553">
        <v>0</v>
      </c>
      <c r="I147" s="553">
        <v>0</v>
      </c>
      <c r="J147" s="553">
        <v>0</v>
      </c>
      <c r="K147" s="553">
        <v>0</v>
      </c>
      <c r="L147" s="553">
        <v>0</v>
      </c>
      <c r="M147" s="553">
        <v>0</v>
      </c>
      <c r="N147" s="553">
        <v>0</v>
      </c>
      <c r="O147" s="553">
        <v>0</v>
      </c>
      <c r="P147" s="553">
        <v>0</v>
      </c>
      <c r="Q147" s="553">
        <v>0</v>
      </c>
      <c r="R147" s="553">
        <v>0</v>
      </c>
      <c r="S147" s="553">
        <v>0</v>
      </c>
      <c r="T147" s="553">
        <v>0</v>
      </c>
      <c r="U147" s="553">
        <v>0</v>
      </c>
      <c r="V147" s="553">
        <v>0</v>
      </c>
      <c r="W147" s="553">
        <v>0</v>
      </c>
      <c r="X147" s="553">
        <v>0</v>
      </c>
      <c r="Y147" s="553">
        <v>0</v>
      </c>
      <c r="Z147" s="553">
        <v>0</v>
      </c>
      <c r="AA147" s="553">
        <v>0</v>
      </c>
      <c r="AB147" s="553">
        <v>0</v>
      </c>
      <c r="AC147" s="553">
        <v>0</v>
      </c>
      <c r="AD147" s="553">
        <v>0</v>
      </c>
      <c r="AE147" s="553">
        <v>0</v>
      </c>
      <c r="AF147" s="554">
        <v>0</v>
      </c>
      <c r="AG147" s="436">
        <v>1</v>
      </c>
      <c r="AI147" s="174"/>
    </row>
    <row r="148" spans="1:35">
      <c r="A148" s="229" t="s">
        <v>944</v>
      </c>
      <c r="B148" s="235" t="s">
        <v>940</v>
      </c>
      <c r="C148" s="235">
        <v>2100</v>
      </c>
      <c r="D148" s="235" t="s">
        <v>945</v>
      </c>
      <c r="E148" s="555">
        <v>0</v>
      </c>
      <c r="F148" s="555">
        <v>0</v>
      </c>
      <c r="G148" s="555">
        <v>0</v>
      </c>
      <c r="H148" s="555">
        <v>0</v>
      </c>
      <c r="I148" s="555">
        <v>0</v>
      </c>
      <c r="J148" s="555">
        <v>0</v>
      </c>
      <c r="K148" s="555">
        <v>0</v>
      </c>
      <c r="L148" s="555">
        <v>0</v>
      </c>
      <c r="M148" s="555">
        <v>0</v>
      </c>
      <c r="N148" s="555">
        <v>0</v>
      </c>
      <c r="O148" s="555">
        <v>0</v>
      </c>
      <c r="P148" s="555">
        <v>0</v>
      </c>
      <c r="Q148" s="555">
        <v>0</v>
      </c>
      <c r="R148" s="555">
        <v>0</v>
      </c>
      <c r="S148" s="555">
        <v>0</v>
      </c>
      <c r="T148" s="555">
        <v>0</v>
      </c>
      <c r="U148" s="555">
        <v>0</v>
      </c>
      <c r="V148" s="555">
        <v>0</v>
      </c>
      <c r="W148" s="555">
        <v>0</v>
      </c>
      <c r="X148" s="555">
        <v>0</v>
      </c>
      <c r="Y148" s="555">
        <v>0</v>
      </c>
      <c r="Z148" s="555">
        <v>0</v>
      </c>
      <c r="AA148" s="555">
        <v>0</v>
      </c>
      <c r="AB148" s="555">
        <v>0</v>
      </c>
      <c r="AC148" s="555">
        <v>0</v>
      </c>
      <c r="AD148" s="555">
        <v>0</v>
      </c>
      <c r="AE148" s="555">
        <v>0</v>
      </c>
      <c r="AF148" s="556">
        <v>0</v>
      </c>
      <c r="AG148" s="437">
        <v>1</v>
      </c>
      <c r="AI148" s="174"/>
    </row>
    <row r="149" spans="1:35">
      <c r="A149" t="s">
        <v>944</v>
      </c>
      <c r="B149" s="231" t="s">
        <v>941</v>
      </c>
      <c r="C149" s="232">
        <v>2019</v>
      </c>
      <c r="D149" s="231" t="s">
        <v>945</v>
      </c>
      <c r="E149" s="553">
        <v>0</v>
      </c>
      <c r="F149" s="553">
        <v>0</v>
      </c>
      <c r="G149" s="553">
        <v>0</v>
      </c>
      <c r="H149" s="553">
        <v>0</v>
      </c>
      <c r="I149" s="553">
        <v>0</v>
      </c>
      <c r="J149" s="553">
        <v>0</v>
      </c>
      <c r="K149" s="553">
        <v>0</v>
      </c>
      <c r="L149" s="553">
        <v>0</v>
      </c>
      <c r="M149" s="553">
        <v>0</v>
      </c>
      <c r="N149" s="553">
        <v>0</v>
      </c>
      <c r="O149" s="553">
        <v>0</v>
      </c>
      <c r="P149" s="553">
        <v>0</v>
      </c>
      <c r="Q149" s="553">
        <v>0</v>
      </c>
      <c r="R149" s="553">
        <v>0</v>
      </c>
      <c r="S149" s="553">
        <v>0</v>
      </c>
      <c r="T149" s="553">
        <v>0</v>
      </c>
      <c r="U149" s="553">
        <v>0</v>
      </c>
      <c r="V149" s="553">
        <v>0</v>
      </c>
      <c r="W149" s="553">
        <v>0</v>
      </c>
      <c r="X149" s="553">
        <v>0</v>
      </c>
      <c r="Y149" s="553">
        <v>0</v>
      </c>
      <c r="Z149" s="553">
        <v>0</v>
      </c>
      <c r="AA149" s="553">
        <v>0</v>
      </c>
      <c r="AB149" s="553">
        <v>0</v>
      </c>
      <c r="AC149" s="553">
        <v>0</v>
      </c>
      <c r="AD149" s="553">
        <v>0</v>
      </c>
      <c r="AE149" s="553">
        <v>0</v>
      </c>
      <c r="AF149" s="553">
        <v>0</v>
      </c>
      <c r="AG149" s="453">
        <v>1</v>
      </c>
    </row>
    <row r="150" spans="1:35">
      <c r="A150" s="215" t="s">
        <v>944</v>
      </c>
      <c r="B150" s="232" t="s">
        <v>941</v>
      </c>
      <c r="C150">
        <v>2020</v>
      </c>
      <c r="D150" s="232" t="s">
        <v>945</v>
      </c>
      <c r="E150" s="553">
        <v>0</v>
      </c>
      <c r="F150" s="553">
        <v>0</v>
      </c>
      <c r="G150" s="553">
        <v>0</v>
      </c>
      <c r="H150" s="553">
        <v>0</v>
      </c>
      <c r="I150" s="553">
        <v>0</v>
      </c>
      <c r="J150" s="553">
        <v>0</v>
      </c>
      <c r="K150" s="553">
        <v>0</v>
      </c>
      <c r="L150" s="553">
        <v>0</v>
      </c>
      <c r="M150" s="553">
        <v>0</v>
      </c>
      <c r="N150" s="553">
        <v>0</v>
      </c>
      <c r="O150" s="553">
        <v>0</v>
      </c>
      <c r="P150" s="553">
        <v>0</v>
      </c>
      <c r="Q150" s="553">
        <v>0</v>
      </c>
      <c r="R150" s="553">
        <v>0</v>
      </c>
      <c r="S150" s="553">
        <v>0</v>
      </c>
      <c r="T150" s="553">
        <v>0</v>
      </c>
      <c r="U150" s="553">
        <v>0</v>
      </c>
      <c r="V150" s="553">
        <v>0</v>
      </c>
      <c r="W150" s="553">
        <v>0</v>
      </c>
      <c r="X150" s="553">
        <v>0</v>
      </c>
      <c r="Y150" s="553">
        <v>0</v>
      </c>
      <c r="Z150" s="553">
        <v>0</v>
      </c>
      <c r="AA150" s="553">
        <v>0</v>
      </c>
      <c r="AB150" s="553">
        <v>0</v>
      </c>
      <c r="AC150" s="553">
        <v>0</v>
      </c>
      <c r="AD150" s="553">
        <v>0</v>
      </c>
      <c r="AE150" s="553">
        <v>0</v>
      </c>
      <c r="AF150" s="554">
        <v>0</v>
      </c>
      <c r="AG150" s="436">
        <v>1</v>
      </c>
      <c r="AI150" s="174"/>
    </row>
    <row r="151" spans="1:35">
      <c r="A151" s="215" t="s">
        <v>944</v>
      </c>
      <c r="B151" s="232" t="s">
        <v>941</v>
      </c>
      <c r="C151" s="232">
        <v>2025</v>
      </c>
      <c r="D151" s="232" t="s">
        <v>945</v>
      </c>
      <c r="E151" s="553">
        <v>0</v>
      </c>
      <c r="F151" s="553">
        <v>0</v>
      </c>
      <c r="G151" s="553">
        <v>0</v>
      </c>
      <c r="H151" s="553">
        <v>0</v>
      </c>
      <c r="I151" s="553">
        <v>0</v>
      </c>
      <c r="J151" s="553">
        <v>0</v>
      </c>
      <c r="K151" s="553">
        <v>0</v>
      </c>
      <c r="L151" s="553">
        <v>0</v>
      </c>
      <c r="M151" s="553">
        <v>0</v>
      </c>
      <c r="N151" s="553">
        <v>0</v>
      </c>
      <c r="O151" s="553">
        <v>0</v>
      </c>
      <c r="P151" s="553">
        <v>0</v>
      </c>
      <c r="Q151" s="553">
        <v>0</v>
      </c>
      <c r="R151" s="553">
        <v>0</v>
      </c>
      <c r="S151" s="553">
        <v>0</v>
      </c>
      <c r="T151" s="553">
        <v>0</v>
      </c>
      <c r="U151" s="553">
        <v>0</v>
      </c>
      <c r="V151" s="553">
        <v>0</v>
      </c>
      <c r="W151" s="553">
        <v>0</v>
      </c>
      <c r="X151" s="553">
        <v>0</v>
      </c>
      <c r="Y151" s="553">
        <v>0</v>
      </c>
      <c r="Z151" s="553">
        <v>0</v>
      </c>
      <c r="AA151" s="553">
        <v>0</v>
      </c>
      <c r="AB151" s="553">
        <v>0</v>
      </c>
      <c r="AC151" s="553">
        <v>0</v>
      </c>
      <c r="AD151" s="553">
        <v>0</v>
      </c>
      <c r="AE151" s="553">
        <v>0</v>
      </c>
      <c r="AF151" s="554">
        <v>0</v>
      </c>
      <c r="AG151" s="436">
        <v>1</v>
      </c>
      <c r="AI151" s="174"/>
    </row>
    <row r="152" spans="1:35">
      <c r="A152" s="215" t="s">
        <v>944</v>
      </c>
      <c r="B152" s="232" t="s">
        <v>941</v>
      </c>
      <c r="C152" s="232">
        <v>2030</v>
      </c>
      <c r="D152" s="232" t="s">
        <v>945</v>
      </c>
      <c r="E152" s="553">
        <v>0</v>
      </c>
      <c r="F152" s="553">
        <v>0</v>
      </c>
      <c r="G152" s="553">
        <v>0</v>
      </c>
      <c r="H152" s="553">
        <v>0</v>
      </c>
      <c r="I152" s="553">
        <v>0</v>
      </c>
      <c r="J152" s="553">
        <v>0</v>
      </c>
      <c r="K152" s="553">
        <v>0</v>
      </c>
      <c r="L152" s="553">
        <v>0</v>
      </c>
      <c r="M152" s="553">
        <v>0</v>
      </c>
      <c r="N152" s="553">
        <v>0</v>
      </c>
      <c r="O152" s="553">
        <v>0</v>
      </c>
      <c r="P152" s="553">
        <v>0</v>
      </c>
      <c r="Q152" s="553">
        <v>0</v>
      </c>
      <c r="R152" s="553">
        <v>0</v>
      </c>
      <c r="S152" s="553">
        <v>0</v>
      </c>
      <c r="T152" s="553">
        <v>0</v>
      </c>
      <c r="U152" s="553">
        <v>0</v>
      </c>
      <c r="V152" s="553">
        <v>0</v>
      </c>
      <c r="W152" s="553">
        <v>0</v>
      </c>
      <c r="X152" s="553">
        <v>0</v>
      </c>
      <c r="Y152" s="553">
        <v>0</v>
      </c>
      <c r="Z152" s="553">
        <v>0</v>
      </c>
      <c r="AA152" s="553">
        <v>0</v>
      </c>
      <c r="AB152" s="553">
        <v>0</v>
      </c>
      <c r="AC152" s="553">
        <v>0</v>
      </c>
      <c r="AD152" s="553">
        <v>0</v>
      </c>
      <c r="AE152" s="553">
        <v>0</v>
      </c>
      <c r="AF152" s="554">
        <v>0</v>
      </c>
      <c r="AG152" s="436">
        <v>1</v>
      </c>
      <c r="AI152" s="174"/>
    </row>
    <row r="153" spans="1:35">
      <c r="A153" s="215" t="s">
        <v>944</v>
      </c>
      <c r="B153" s="232" t="s">
        <v>941</v>
      </c>
      <c r="C153" s="232">
        <v>2035</v>
      </c>
      <c r="D153" s="232" t="s">
        <v>945</v>
      </c>
      <c r="E153" s="553">
        <v>0</v>
      </c>
      <c r="F153" s="553">
        <v>0</v>
      </c>
      <c r="G153" s="553">
        <v>0</v>
      </c>
      <c r="H153" s="553">
        <v>0</v>
      </c>
      <c r="I153" s="553">
        <v>0</v>
      </c>
      <c r="J153" s="553">
        <v>0</v>
      </c>
      <c r="K153" s="553">
        <v>0</v>
      </c>
      <c r="L153" s="553">
        <v>0</v>
      </c>
      <c r="M153" s="553">
        <v>0</v>
      </c>
      <c r="N153" s="553">
        <v>0</v>
      </c>
      <c r="O153" s="553">
        <v>0</v>
      </c>
      <c r="P153" s="553">
        <v>0</v>
      </c>
      <c r="Q153" s="553">
        <v>0</v>
      </c>
      <c r="R153" s="553">
        <v>0</v>
      </c>
      <c r="S153" s="553">
        <v>0</v>
      </c>
      <c r="T153" s="553">
        <v>0</v>
      </c>
      <c r="U153" s="553">
        <v>0</v>
      </c>
      <c r="V153" s="553">
        <v>0</v>
      </c>
      <c r="W153" s="553">
        <v>0</v>
      </c>
      <c r="X153" s="553">
        <v>0</v>
      </c>
      <c r="Y153" s="553">
        <v>0</v>
      </c>
      <c r="Z153" s="553">
        <v>0</v>
      </c>
      <c r="AA153" s="553">
        <v>0</v>
      </c>
      <c r="AB153" s="553">
        <v>0</v>
      </c>
      <c r="AC153" s="553">
        <v>0</v>
      </c>
      <c r="AD153" s="553">
        <v>0</v>
      </c>
      <c r="AE153" s="553">
        <v>0</v>
      </c>
      <c r="AF153" s="554">
        <v>0</v>
      </c>
      <c r="AG153" s="436">
        <v>1</v>
      </c>
      <c r="AI153" s="174"/>
    </row>
    <row r="154" spans="1:35">
      <c r="A154" s="215" t="s">
        <v>944</v>
      </c>
      <c r="B154" s="232" t="s">
        <v>941</v>
      </c>
      <c r="C154" s="232">
        <v>2040</v>
      </c>
      <c r="D154" s="232" t="s">
        <v>945</v>
      </c>
      <c r="E154" s="553">
        <v>0</v>
      </c>
      <c r="F154" s="553">
        <v>0</v>
      </c>
      <c r="G154" s="553">
        <v>0</v>
      </c>
      <c r="H154" s="553">
        <v>0</v>
      </c>
      <c r="I154" s="553">
        <v>0</v>
      </c>
      <c r="J154" s="553">
        <v>0</v>
      </c>
      <c r="K154" s="553">
        <v>0</v>
      </c>
      <c r="L154" s="553">
        <v>0</v>
      </c>
      <c r="M154" s="553">
        <v>0</v>
      </c>
      <c r="N154" s="553">
        <v>0</v>
      </c>
      <c r="O154" s="553">
        <v>0</v>
      </c>
      <c r="P154" s="553">
        <v>0</v>
      </c>
      <c r="Q154" s="553">
        <v>0</v>
      </c>
      <c r="R154" s="553">
        <v>0</v>
      </c>
      <c r="S154" s="553">
        <v>0</v>
      </c>
      <c r="T154" s="553">
        <v>0</v>
      </c>
      <c r="U154" s="553">
        <v>0</v>
      </c>
      <c r="V154" s="553">
        <v>0</v>
      </c>
      <c r="W154" s="553">
        <v>0</v>
      </c>
      <c r="X154" s="553">
        <v>0</v>
      </c>
      <c r="Y154" s="553">
        <v>0</v>
      </c>
      <c r="Z154" s="553">
        <v>0</v>
      </c>
      <c r="AA154" s="553">
        <v>0</v>
      </c>
      <c r="AB154" s="553">
        <v>0</v>
      </c>
      <c r="AC154" s="553">
        <v>0</v>
      </c>
      <c r="AD154" s="553">
        <v>0</v>
      </c>
      <c r="AE154" s="553">
        <v>0</v>
      </c>
      <c r="AF154" s="554">
        <v>0</v>
      </c>
      <c r="AG154" s="436">
        <v>1</v>
      </c>
      <c r="AI154" s="174"/>
    </row>
    <row r="155" spans="1:35">
      <c r="A155" s="215" t="s">
        <v>944</v>
      </c>
      <c r="B155" s="232" t="s">
        <v>941</v>
      </c>
      <c r="C155" s="232">
        <v>2045</v>
      </c>
      <c r="D155" s="232" t="s">
        <v>945</v>
      </c>
      <c r="E155" s="553">
        <v>0</v>
      </c>
      <c r="F155" s="553">
        <v>0</v>
      </c>
      <c r="G155" s="553">
        <v>0</v>
      </c>
      <c r="H155" s="553">
        <v>0</v>
      </c>
      <c r="I155" s="553">
        <v>0</v>
      </c>
      <c r="J155" s="553">
        <v>0</v>
      </c>
      <c r="K155" s="553">
        <v>0</v>
      </c>
      <c r="L155" s="553">
        <v>0</v>
      </c>
      <c r="M155" s="553">
        <v>0</v>
      </c>
      <c r="N155" s="553">
        <v>0</v>
      </c>
      <c r="O155" s="553">
        <v>0</v>
      </c>
      <c r="P155" s="553">
        <v>0</v>
      </c>
      <c r="Q155" s="553">
        <v>0</v>
      </c>
      <c r="R155" s="553">
        <v>0</v>
      </c>
      <c r="S155" s="553">
        <v>0</v>
      </c>
      <c r="T155" s="553">
        <v>0</v>
      </c>
      <c r="U155" s="553">
        <v>0</v>
      </c>
      <c r="V155" s="553">
        <v>0</v>
      </c>
      <c r="W155" s="553">
        <v>0</v>
      </c>
      <c r="X155" s="553">
        <v>0</v>
      </c>
      <c r="Y155" s="553">
        <v>0</v>
      </c>
      <c r="Z155" s="553">
        <v>0</v>
      </c>
      <c r="AA155" s="553">
        <v>0</v>
      </c>
      <c r="AB155" s="553">
        <v>0</v>
      </c>
      <c r="AC155" s="553">
        <v>0</v>
      </c>
      <c r="AD155" s="553">
        <v>0</v>
      </c>
      <c r="AE155" s="553">
        <v>0</v>
      </c>
      <c r="AF155" s="554">
        <v>0</v>
      </c>
      <c r="AG155" s="436">
        <v>1</v>
      </c>
      <c r="AI155" s="174"/>
    </row>
    <row r="156" spans="1:35">
      <c r="A156" s="215" t="s">
        <v>944</v>
      </c>
      <c r="B156" s="232" t="s">
        <v>941</v>
      </c>
      <c r="C156" s="232">
        <v>2050</v>
      </c>
      <c r="D156" s="232" t="s">
        <v>945</v>
      </c>
      <c r="E156" s="553">
        <v>0</v>
      </c>
      <c r="F156" s="553">
        <v>0</v>
      </c>
      <c r="G156" s="553">
        <v>0</v>
      </c>
      <c r="H156" s="553">
        <v>0</v>
      </c>
      <c r="I156" s="553">
        <v>0</v>
      </c>
      <c r="J156" s="553">
        <v>0</v>
      </c>
      <c r="K156" s="553">
        <v>0</v>
      </c>
      <c r="L156" s="553">
        <v>0</v>
      </c>
      <c r="M156" s="553">
        <v>0</v>
      </c>
      <c r="N156" s="553">
        <v>0</v>
      </c>
      <c r="O156" s="553">
        <v>0</v>
      </c>
      <c r="P156" s="553">
        <v>0</v>
      </c>
      <c r="Q156" s="553">
        <v>0</v>
      </c>
      <c r="R156" s="553">
        <v>0</v>
      </c>
      <c r="S156" s="553">
        <v>0</v>
      </c>
      <c r="T156" s="553">
        <v>0</v>
      </c>
      <c r="U156" s="553">
        <v>0</v>
      </c>
      <c r="V156" s="553">
        <v>0</v>
      </c>
      <c r="W156" s="553">
        <v>0</v>
      </c>
      <c r="X156" s="553">
        <v>0</v>
      </c>
      <c r="Y156" s="553">
        <v>0</v>
      </c>
      <c r="Z156" s="553">
        <v>0</v>
      </c>
      <c r="AA156" s="553">
        <v>0</v>
      </c>
      <c r="AB156" s="553">
        <v>0</v>
      </c>
      <c r="AC156" s="553">
        <v>0</v>
      </c>
      <c r="AD156" s="553">
        <v>0</v>
      </c>
      <c r="AE156" s="553">
        <v>0</v>
      </c>
      <c r="AF156" s="554">
        <v>0</v>
      </c>
      <c r="AG156" s="436">
        <v>1</v>
      </c>
      <c r="AI156" s="174"/>
    </row>
    <row r="157" spans="1:35">
      <c r="A157" s="215" t="s">
        <v>944</v>
      </c>
      <c r="B157" s="232" t="s">
        <v>941</v>
      </c>
      <c r="C157" s="232">
        <v>2060</v>
      </c>
      <c r="D157" s="232" t="s">
        <v>945</v>
      </c>
      <c r="E157" s="553">
        <v>0</v>
      </c>
      <c r="F157" s="553">
        <v>0</v>
      </c>
      <c r="G157" s="553">
        <v>0</v>
      </c>
      <c r="H157" s="553">
        <v>0</v>
      </c>
      <c r="I157" s="553">
        <v>0</v>
      </c>
      <c r="J157" s="553">
        <v>0</v>
      </c>
      <c r="K157" s="553">
        <v>0</v>
      </c>
      <c r="L157" s="553">
        <v>0</v>
      </c>
      <c r="M157" s="553">
        <v>0</v>
      </c>
      <c r="N157" s="553">
        <v>0</v>
      </c>
      <c r="O157" s="553">
        <v>0</v>
      </c>
      <c r="P157" s="553">
        <v>0</v>
      </c>
      <c r="Q157" s="553">
        <v>0</v>
      </c>
      <c r="R157" s="553">
        <v>0</v>
      </c>
      <c r="S157" s="553">
        <v>0</v>
      </c>
      <c r="T157" s="553">
        <v>0</v>
      </c>
      <c r="U157" s="553">
        <v>0</v>
      </c>
      <c r="V157" s="553">
        <v>0</v>
      </c>
      <c r="W157" s="553">
        <v>0</v>
      </c>
      <c r="X157" s="553">
        <v>0</v>
      </c>
      <c r="Y157" s="553">
        <v>0</v>
      </c>
      <c r="Z157" s="553">
        <v>0</v>
      </c>
      <c r="AA157" s="553">
        <v>0</v>
      </c>
      <c r="AB157" s="553">
        <v>0</v>
      </c>
      <c r="AC157" s="553">
        <v>0</v>
      </c>
      <c r="AD157" s="553">
        <v>0</v>
      </c>
      <c r="AE157" s="553">
        <v>0</v>
      </c>
      <c r="AF157" s="554">
        <v>0</v>
      </c>
      <c r="AG157" s="436">
        <v>1</v>
      </c>
      <c r="AI157" s="174"/>
    </row>
    <row r="158" spans="1:35">
      <c r="A158" s="215" t="s">
        <v>944</v>
      </c>
      <c r="B158" s="232" t="s">
        <v>941</v>
      </c>
      <c r="C158" s="232">
        <v>2070</v>
      </c>
      <c r="D158" s="232" t="s">
        <v>945</v>
      </c>
      <c r="E158" s="553">
        <v>0</v>
      </c>
      <c r="F158" s="553">
        <v>0</v>
      </c>
      <c r="G158" s="553">
        <v>0</v>
      </c>
      <c r="H158" s="553">
        <v>0</v>
      </c>
      <c r="I158" s="553">
        <v>0</v>
      </c>
      <c r="J158" s="553">
        <v>0</v>
      </c>
      <c r="K158" s="553">
        <v>0</v>
      </c>
      <c r="L158" s="553">
        <v>0</v>
      </c>
      <c r="M158" s="553">
        <v>0</v>
      </c>
      <c r="N158" s="553">
        <v>0</v>
      </c>
      <c r="O158" s="553">
        <v>0</v>
      </c>
      <c r="P158" s="553">
        <v>0</v>
      </c>
      <c r="Q158" s="553">
        <v>0</v>
      </c>
      <c r="R158" s="553">
        <v>0</v>
      </c>
      <c r="S158" s="553">
        <v>0</v>
      </c>
      <c r="T158" s="553">
        <v>0</v>
      </c>
      <c r="U158" s="553">
        <v>0</v>
      </c>
      <c r="V158" s="553">
        <v>0</v>
      </c>
      <c r="W158" s="553">
        <v>0</v>
      </c>
      <c r="X158" s="553">
        <v>0</v>
      </c>
      <c r="Y158" s="553">
        <v>0</v>
      </c>
      <c r="Z158" s="553">
        <v>0</v>
      </c>
      <c r="AA158" s="553">
        <v>0</v>
      </c>
      <c r="AB158" s="553">
        <v>0</v>
      </c>
      <c r="AC158" s="553">
        <v>0</v>
      </c>
      <c r="AD158" s="553">
        <v>0</v>
      </c>
      <c r="AE158" s="553">
        <v>0</v>
      </c>
      <c r="AF158" s="554">
        <v>0</v>
      </c>
      <c r="AG158" s="436">
        <v>1</v>
      </c>
      <c r="AI158" s="174"/>
    </row>
    <row r="159" spans="1:35">
      <c r="A159" s="215" t="s">
        <v>944</v>
      </c>
      <c r="B159" s="232" t="s">
        <v>941</v>
      </c>
      <c r="C159" s="232">
        <v>2080</v>
      </c>
      <c r="D159" s="232" t="s">
        <v>945</v>
      </c>
      <c r="E159" s="553">
        <v>0</v>
      </c>
      <c r="F159" s="553">
        <v>0</v>
      </c>
      <c r="G159" s="553">
        <v>0</v>
      </c>
      <c r="H159" s="553">
        <v>0</v>
      </c>
      <c r="I159" s="553">
        <v>0</v>
      </c>
      <c r="J159" s="553">
        <v>0</v>
      </c>
      <c r="K159" s="553">
        <v>0</v>
      </c>
      <c r="L159" s="553">
        <v>0</v>
      </c>
      <c r="M159" s="553">
        <v>0</v>
      </c>
      <c r="N159" s="553">
        <v>0</v>
      </c>
      <c r="O159" s="553">
        <v>0</v>
      </c>
      <c r="P159" s="553">
        <v>0</v>
      </c>
      <c r="Q159" s="553">
        <v>0</v>
      </c>
      <c r="R159" s="553">
        <v>0</v>
      </c>
      <c r="S159" s="553">
        <v>0</v>
      </c>
      <c r="T159" s="553">
        <v>0</v>
      </c>
      <c r="U159" s="553">
        <v>0</v>
      </c>
      <c r="V159" s="553">
        <v>0</v>
      </c>
      <c r="W159" s="553">
        <v>0</v>
      </c>
      <c r="X159" s="553">
        <v>0</v>
      </c>
      <c r="Y159" s="553">
        <v>0</v>
      </c>
      <c r="Z159" s="553">
        <v>0</v>
      </c>
      <c r="AA159" s="553">
        <v>0</v>
      </c>
      <c r="AB159" s="553">
        <v>0</v>
      </c>
      <c r="AC159" s="553">
        <v>0</v>
      </c>
      <c r="AD159" s="553">
        <v>0</v>
      </c>
      <c r="AE159" s="553">
        <v>0</v>
      </c>
      <c r="AF159" s="554">
        <v>0</v>
      </c>
      <c r="AG159" s="436">
        <v>1</v>
      </c>
      <c r="AI159" s="174"/>
    </row>
    <row r="160" spans="1:35">
      <c r="A160" s="215" t="s">
        <v>944</v>
      </c>
      <c r="B160" s="232" t="s">
        <v>941</v>
      </c>
      <c r="C160" s="232">
        <v>2090</v>
      </c>
      <c r="D160" s="232" t="s">
        <v>945</v>
      </c>
      <c r="E160" s="553">
        <v>0</v>
      </c>
      <c r="F160" s="553">
        <v>0</v>
      </c>
      <c r="G160" s="553">
        <v>0</v>
      </c>
      <c r="H160" s="553">
        <v>0</v>
      </c>
      <c r="I160" s="553">
        <v>0</v>
      </c>
      <c r="J160" s="553">
        <v>0</v>
      </c>
      <c r="K160" s="553">
        <v>0</v>
      </c>
      <c r="L160" s="553">
        <v>0</v>
      </c>
      <c r="M160" s="553">
        <v>0</v>
      </c>
      <c r="N160" s="553">
        <v>0</v>
      </c>
      <c r="O160" s="553">
        <v>0</v>
      </c>
      <c r="P160" s="553">
        <v>0</v>
      </c>
      <c r="Q160" s="553">
        <v>0</v>
      </c>
      <c r="R160" s="553">
        <v>0</v>
      </c>
      <c r="S160" s="553">
        <v>0</v>
      </c>
      <c r="T160" s="553">
        <v>0</v>
      </c>
      <c r="U160" s="553">
        <v>0</v>
      </c>
      <c r="V160" s="553">
        <v>0</v>
      </c>
      <c r="W160" s="553">
        <v>0</v>
      </c>
      <c r="X160" s="553">
        <v>0</v>
      </c>
      <c r="Y160" s="553">
        <v>0</v>
      </c>
      <c r="Z160" s="553">
        <v>0</v>
      </c>
      <c r="AA160" s="553">
        <v>0</v>
      </c>
      <c r="AB160" s="553">
        <v>0</v>
      </c>
      <c r="AC160" s="553">
        <v>0</v>
      </c>
      <c r="AD160" s="553">
        <v>0</v>
      </c>
      <c r="AE160" s="553">
        <v>0</v>
      </c>
      <c r="AF160" s="554">
        <v>0</v>
      </c>
      <c r="AG160" s="436">
        <v>1</v>
      </c>
      <c r="AI160" s="174"/>
    </row>
    <row r="161" spans="1:35" ht="16.2" thickBot="1">
      <c r="A161" s="449" t="s">
        <v>944</v>
      </c>
      <c r="B161" s="450" t="s">
        <v>941</v>
      </c>
      <c r="C161" s="450">
        <v>2100</v>
      </c>
      <c r="D161" s="450" t="s">
        <v>945</v>
      </c>
      <c r="E161" s="557">
        <v>0</v>
      </c>
      <c r="F161" s="557">
        <v>0</v>
      </c>
      <c r="G161" s="557">
        <v>0</v>
      </c>
      <c r="H161" s="557">
        <v>0</v>
      </c>
      <c r="I161" s="557">
        <v>0</v>
      </c>
      <c r="J161" s="557">
        <v>0</v>
      </c>
      <c r="K161" s="557">
        <v>0</v>
      </c>
      <c r="L161" s="557">
        <v>0</v>
      </c>
      <c r="M161" s="557">
        <v>0</v>
      </c>
      <c r="N161" s="557">
        <v>0</v>
      </c>
      <c r="O161" s="557">
        <v>0</v>
      </c>
      <c r="P161" s="557">
        <v>0</v>
      </c>
      <c r="Q161" s="557">
        <v>0</v>
      </c>
      <c r="R161" s="557">
        <v>0</v>
      </c>
      <c r="S161" s="557">
        <v>0</v>
      </c>
      <c r="T161" s="557">
        <v>0</v>
      </c>
      <c r="U161" s="557">
        <v>0</v>
      </c>
      <c r="V161" s="557">
        <v>0</v>
      </c>
      <c r="W161" s="557">
        <v>0</v>
      </c>
      <c r="X161" s="557">
        <v>0</v>
      </c>
      <c r="Y161" s="557">
        <v>0</v>
      </c>
      <c r="Z161" s="557">
        <v>0</v>
      </c>
      <c r="AA161" s="557">
        <v>0</v>
      </c>
      <c r="AB161" s="557">
        <v>0</v>
      </c>
      <c r="AC161" s="557">
        <v>0</v>
      </c>
      <c r="AD161" s="557">
        <v>0</v>
      </c>
      <c r="AE161" s="557">
        <v>0</v>
      </c>
      <c r="AF161" s="558">
        <v>0</v>
      </c>
      <c r="AG161" s="452">
        <v>1</v>
      </c>
      <c r="AI161" s="174"/>
    </row>
    <row r="162" spans="1:35">
      <c r="A162" s="215" t="s">
        <v>946</v>
      </c>
      <c r="B162" s="232" t="s">
        <v>938</v>
      </c>
      <c r="C162" s="232">
        <v>2019</v>
      </c>
      <c r="D162" s="232" t="s">
        <v>945</v>
      </c>
      <c r="E162" s="209">
        <f>MAGPIELink!E162</f>
        <v>80</v>
      </c>
      <c r="F162" s="209">
        <f>MAGPIELink!F162</f>
        <v>0</v>
      </c>
      <c r="G162" s="209">
        <f>MAGPIELink!G162</f>
        <v>0</v>
      </c>
      <c r="H162" s="209">
        <f>MAGPIELink!H162</f>
        <v>0</v>
      </c>
      <c r="I162" s="209">
        <f>MAGPIELink!I162</f>
        <v>4399</v>
      </c>
      <c r="J162" s="209">
        <f>MAGPIELink!J162</f>
        <v>0</v>
      </c>
      <c r="K162" s="209">
        <f>MAGPIELink!K162</f>
        <v>0</v>
      </c>
      <c r="L162" s="209">
        <f>MAGPIELink!L162</f>
        <v>0</v>
      </c>
      <c r="M162" s="209">
        <f>MAGPIELink!M162</f>
        <v>1090000</v>
      </c>
      <c r="N162" s="209">
        <f>MAGPIELink!N162</f>
        <v>40000</v>
      </c>
      <c r="O162" s="209">
        <f>MAGPIELink!O162</f>
        <v>0</v>
      </c>
      <c r="P162" s="209">
        <f>MAGPIELink!P162</f>
        <v>100000</v>
      </c>
      <c r="Q162" s="209">
        <f>MAGPIELink!Q162</f>
        <v>0</v>
      </c>
      <c r="R162" s="209">
        <f>MAGPIELink!R162</f>
        <v>37685</v>
      </c>
      <c r="S162" s="209">
        <f>MAGPIELink!S162</f>
        <v>60073</v>
      </c>
      <c r="T162" s="209">
        <f>MAGPIELink!T162</f>
        <v>116469</v>
      </c>
      <c r="U162" s="209">
        <f>MAGPIELink!U162</f>
        <v>85801</v>
      </c>
      <c r="V162" s="209">
        <f>MAGPIELink!V162</f>
        <v>291</v>
      </c>
      <c r="W162" s="209">
        <f>MAGPIELink!W162</f>
        <v>418</v>
      </c>
      <c r="X162" s="209">
        <f>MAGPIELink!X162</f>
        <v>375.5</v>
      </c>
      <c r="Y162" s="209">
        <f>MAGPIELink!Y162</f>
        <v>11901</v>
      </c>
      <c r="Z162" s="209">
        <f>MAGPIELink!Z162</f>
        <v>0</v>
      </c>
      <c r="AA162" s="209">
        <f>MAGPIELink!AA162</f>
        <v>0</v>
      </c>
      <c r="AB162" s="209">
        <f>MAGPIELink!AB162</f>
        <v>0</v>
      </c>
      <c r="AC162" s="209">
        <f>MAGPIELink!AC162</f>
        <v>0</v>
      </c>
      <c r="AD162" s="209">
        <f>MAGPIELink!AD162</f>
        <v>0</v>
      </c>
      <c r="AE162" s="209">
        <f>MAGPIELink!AE162</f>
        <v>375.5</v>
      </c>
      <c r="AF162" s="220">
        <f>MAGPIELink!AF162</f>
        <v>1400000</v>
      </c>
      <c r="AG162" s="436">
        <v>1</v>
      </c>
    </row>
    <row r="163" spans="1:35">
      <c r="A163" s="215" t="s">
        <v>946</v>
      </c>
      <c r="B163" s="232" t="s">
        <v>938</v>
      </c>
      <c r="C163">
        <v>2020</v>
      </c>
      <c r="D163" s="232" t="s">
        <v>945</v>
      </c>
      <c r="E163" s="209">
        <f>MAGPIELink!E163</f>
        <v>80</v>
      </c>
      <c r="F163" s="209">
        <f>MAGPIELink!F163</f>
        <v>0</v>
      </c>
      <c r="G163" s="209">
        <f>MAGPIELink!G163</f>
        <v>0</v>
      </c>
      <c r="H163" s="209">
        <f>MAGPIELink!H163</f>
        <v>0</v>
      </c>
      <c r="I163" s="209">
        <f>MAGPIELink!I163</f>
        <v>4399</v>
      </c>
      <c r="J163" s="209">
        <f>MAGPIELink!J163</f>
        <v>0</v>
      </c>
      <c r="K163" s="209">
        <f>MAGPIELink!K163</f>
        <v>0</v>
      </c>
      <c r="L163" s="209">
        <f>MAGPIELink!L163</f>
        <v>0</v>
      </c>
      <c r="M163" s="209">
        <f>MAGPIELink!M163</f>
        <v>1090000</v>
      </c>
      <c r="N163" s="209">
        <f>MAGPIELink!N163</f>
        <v>40000</v>
      </c>
      <c r="O163" s="209">
        <f>MAGPIELink!O163</f>
        <v>0</v>
      </c>
      <c r="P163" s="209">
        <f>MAGPIELink!P163</f>
        <v>100000</v>
      </c>
      <c r="Q163" s="209">
        <f>MAGPIELink!Q163</f>
        <v>0</v>
      </c>
      <c r="R163" s="209">
        <f>MAGPIELink!R163</f>
        <v>37685</v>
      </c>
      <c r="S163" s="209">
        <f>MAGPIELink!S163</f>
        <v>60073</v>
      </c>
      <c r="T163" s="209">
        <f>MAGPIELink!T163</f>
        <v>116469</v>
      </c>
      <c r="U163" s="209">
        <f>MAGPIELink!U163</f>
        <v>85801</v>
      </c>
      <c r="V163" s="209">
        <f>MAGPIELink!V163</f>
        <v>291</v>
      </c>
      <c r="W163" s="209">
        <f>MAGPIELink!W163</f>
        <v>418</v>
      </c>
      <c r="X163" s="209">
        <f>MAGPIELink!X163</f>
        <v>375.5</v>
      </c>
      <c r="Y163" s="209">
        <f>MAGPIELink!Y163</f>
        <v>11901</v>
      </c>
      <c r="Z163" s="209">
        <f>MAGPIELink!Z163</f>
        <v>0</v>
      </c>
      <c r="AA163" s="209">
        <f>MAGPIELink!AA163</f>
        <v>0</v>
      </c>
      <c r="AB163" s="209">
        <f>MAGPIELink!AB163</f>
        <v>0</v>
      </c>
      <c r="AC163" s="209">
        <f>MAGPIELink!AC163</f>
        <v>0</v>
      </c>
      <c r="AD163" s="209">
        <f>MAGPIELink!AD163</f>
        <v>0</v>
      </c>
      <c r="AE163" s="209">
        <f>MAGPIELink!AE163</f>
        <v>375.5</v>
      </c>
      <c r="AF163" s="220">
        <f>MAGPIELink!AF163</f>
        <v>1400000</v>
      </c>
      <c r="AG163" s="436">
        <v>1</v>
      </c>
      <c r="AI163" s="174"/>
    </row>
    <row r="164" spans="1:35">
      <c r="A164" s="215" t="s">
        <v>946</v>
      </c>
      <c r="B164" s="232" t="s">
        <v>938</v>
      </c>
      <c r="C164" s="232">
        <v>2025</v>
      </c>
      <c r="D164" s="232" t="s">
        <v>945</v>
      </c>
      <c r="E164" s="209">
        <f>MAGPIELink!E164</f>
        <v>80</v>
      </c>
      <c r="F164" s="209">
        <f>MAGPIELink!F164</f>
        <v>0</v>
      </c>
      <c r="G164" s="209">
        <f>MAGPIELink!G164</f>
        <v>0</v>
      </c>
      <c r="H164" s="209">
        <f>MAGPIELink!H164</f>
        <v>0</v>
      </c>
      <c r="I164" s="209">
        <f>MAGPIELink!I164</f>
        <v>4399</v>
      </c>
      <c r="J164" s="209">
        <f>MAGPIELink!J164</f>
        <v>0</v>
      </c>
      <c r="K164" s="209">
        <f>MAGPIELink!K164</f>
        <v>0</v>
      </c>
      <c r="L164" s="209">
        <f>MAGPIELink!L164</f>
        <v>0</v>
      </c>
      <c r="M164" s="209">
        <f>MAGPIELink!M164</f>
        <v>1090000</v>
      </c>
      <c r="N164" s="209">
        <f>MAGPIELink!N164</f>
        <v>40000</v>
      </c>
      <c r="O164" s="209">
        <f>MAGPIELink!O164</f>
        <v>0</v>
      </c>
      <c r="P164" s="209">
        <f>MAGPIELink!P164</f>
        <v>100000</v>
      </c>
      <c r="Q164" s="209">
        <f>MAGPIELink!Q164</f>
        <v>0</v>
      </c>
      <c r="R164" s="209">
        <f>MAGPIELink!R164</f>
        <v>37685</v>
      </c>
      <c r="S164" s="209">
        <f>MAGPIELink!S164</f>
        <v>60073</v>
      </c>
      <c r="T164" s="209">
        <f>MAGPIELink!T164</f>
        <v>116469</v>
      </c>
      <c r="U164" s="209">
        <f>MAGPIELink!U164</f>
        <v>85801</v>
      </c>
      <c r="V164" s="209">
        <f>MAGPIELink!V164</f>
        <v>291</v>
      </c>
      <c r="W164" s="209">
        <f>MAGPIELink!W164</f>
        <v>418</v>
      </c>
      <c r="X164" s="209">
        <f>MAGPIELink!X164</f>
        <v>375.5</v>
      </c>
      <c r="Y164" s="209">
        <f>MAGPIELink!Y164</f>
        <v>11901</v>
      </c>
      <c r="Z164" s="209">
        <f>MAGPIELink!Z164</f>
        <v>0</v>
      </c>
      <c r="AA164" s="209">
        <f>MAGPIELink!AA164</f>
        <v>0</v>
      </c>
      <c r="AB164" s="209">
        <f>MAGPIELink!AB164</f>
        <v>0</v>
      </c>
      <c r="AC164" s="209">
        <f>MAGPIELink!AC164</f>
        <v>0</v>
      </c>
      <c r="AD164" s="209">
        <f>MAGPIELink!AD164</f>
        <v>0</v>
      </c>
      <c r="AE164" s="209">
        <f>MAGPIELink!AE164</f>
        <v>375.5</v>
      </c>
      <c r="AF164" s="220">
        <f>MAGPIELink!AF164</f>
        <v>1400000</v>
      </c>
      <c r="AG164" s="436">
        <v>1</v>
      </c>
      <c r="AI164" s="174"/>
    </row>
    <row r="165" spans="1:35">
      <c r="A165" s="215" t="s">
        <v>946</v>
      </c>
      <c r="B165" s="232" t="s">
        <v>938</v>
      </c>
      <c r="C165" s="232">
        <v>2030</v>
      </c>
      <c r="D165" s="232" t="s">
        <v>945</v>
      </c>
      <c r="E165" s="209">
        <f>MAGPIELink!E165</f>
        <v>80</v>
      </c>
      <c r="F165" s="209">
        <f>MAGPIELink!F165</f>
        <v>0</v>
      </c>
      <c r="G165" s="209">
        <f>MAGPIELink!G165</f>
        <v>0</v>
      </c>
      <c r="H165" s="209">
        <f>MAGPIELink!H165</f>
        <v>0</v>
      </c>
      <c r="I165" s="209">
        <f>MAGPIELink!I165</f>
        <v>4399</v>
      </c>
      <c r="J165" s="209">
        <f>MAGPIELink!J165</f>
        <v>0</v>
      </c>
      <c r="K165" s="209">
        <f>MAGPIELink!K165</f>
        <v>0</v>
      </c>
      <c r="L165" s="209">
        <f>MAGPIELink!L165</f>
        <v>0</v>
      </c>
      <c r="M165" s="209">
        <f>MAGPIELink!M165</f>
        <v>1090000</v>
      </c>
      <c r="N165" s="209">
        <f>MAGPIELink!N165</f>
        <v>40000</v>
      </c>
      <c r="O165" s="209">
        <f>MAGPIELink!O165</f>
        <v>0</v>
      </c>
      <c r="P165" s="209">
        <f>MAGPIELink!P165</f>
        <v>100000</v>
      </c>
      <c r="Q165" s="209">
        <f>MAGPIELink!Q165</f>
        <v>0</v>
      </c>
      <c r="R165" s="209">
        <f>MAGPIELink!R165</f>
        <v>37685</v>
      </c>
      <c r="S165" s="209">
        <f>MAGPIELink!S165</f>
        <v>60073</v>
      </c>
      <c r="T165" s="209">
        <f>MAGPIELink!T165</f>
        <v>116469</v>
      </c>
      <c r="U165" s="209">
        <f>MAGPIELink!U165</f>
        <v>85801</v>
      </c>
      <c r="V165" s="209">
        <f>MAGPIELink!V165</f>
        <v>291</v>
      </c>
      <c r="W165" s="209">
        <f>MAGPIELink!W165</f>
        <v>418</v>
      </c>
      <c r="X165" s="209">
        <f>MAGPIELink!X165</f>
        <v>375.5</v>
      </c>
      <c r="Y165" s="209">
        <f>MAGPIELink!Y165</f>
        <v>11901</v>
      </c>
      <c r="Z165" s="209">
        <f>MAGPIELink!Z165</f>
        <v>0</v>
      </c>
      <c r="AA165" s="209">
        <f>MAGPIELink!AA165</f>
        <v>0</v>
      </c>
      <c r="AB165" s="209">
        <f>MAGPIELink!AB165</f>
        <v>0</v>
      </c>
      <c r="AC165" s="209">
        <f>MAGPIELink!AC165</f>
        <v>0</v>
      </c>
      <c r="AD165" s="209">
        <f>MAGPIELink!AD165</f>
        <v>0</v>
      </c>
      <c r="AE165" s="209">
        <f>MAGPIELink!AE165</f>
        <v>375.5</v>
      </c>
      <c r="AF165" s="220">
        <f>MAGPIELink!AF165</f>
        <v>1400000</v>
      </c>
      <c r="AG165" s="436">
        <v>1</v>
      </c>
      <c r="AI165" s="174"/>
    </row>
    <row r="166" spans="1:35">
      <c r="A166" s="215" t="s">
        <v>946</v>
      </c>
      <c r="B166" s="232" t="s">
        <v>938</v>
      </c>
      <c r="C166" s="232">
        <v>2035</v>
      </c>
      <c r="D166" s="232" t="s">
        <v>945</v>
      </c>
      <c r="E166" s="209">
        <f>MAGPIELink!E166</f>
        <v>80</v>
      </c>
      <c r="F166" s="209">
        <f>MAGPIELink!F166</f>
        <v>0</v>
      </c>
      <c r="G166" s="209">
        <f>MAGPIELink!G166</f>
        <v>0</v>
      </c>
      <c r="H166" s="209">
        <f>MAGPIELink!H166</f>
        <v>0</v>
      </c>
      <c r="I166" s="209">
        <f>MAGPIELink!I166</f>
        <v>4399</v>
      </c>
      <c r="J166" s="209">
        <f>MAGPIELink!J166</f>
        <v>0</v>
      </c>
      <c r="K166" s="209">
        <f>MAGPIELink!K166</f>
        <v>0</v>
      </c>
      <c r="L166" s="209">
        <f>MAGPIELink!L166</f>
        <v>0</v>
      </c>
      <c r="M166" s="209">
        <f>MAGPIELink!M166</f>
        <v>1090000</v>
      </c>
      <c r="N166" s="209">
        <f>MAGPIELink!N166</f>
        <v>40000</v>
      </c>
      <c r="O166" s="209">
        <f>MAGPIELink!O166</f>
        <v>0</v>
      </c>
      <c r="P166" s="209">
        <f>MAGPIELink!P166</f>
        <v>100000</v>
      </c>
      <c r="Q166" s="209">
        <f>MAGPIELink!Q166</f>
        <v>0</v>
      </c>
      <c r="R166" s="209">
        <f>MAGPIELink!R166</f>
        <v>37685</v>
      </c>
      <c r="S166" s="209">
        <f>MAGPIELink!S166</f>
        <v>60073</v>
      </c>
      <c r="T166" s="209">
        <f>MAGPIELink!T166</f>
        <v>116469</v>
      </c>
      <c r="U166" s="209">
        <f>MAGPIELink!U166</f>
        <v>85801</v>
      </c>
      <c r="V166" s="209">
        <f>MAGPIELink!V166</f>
        <v>291</v>
      </c>
      <c r="W166" s="209">
        <f>MAGPIELink!W166</f>
        <v>418</v>
      </c>
      <c r="X166" s="209">
        <f>MAGPIELink!X166</f>
        <v>375.5</v>
      </c>
      <c r="Y166" s="209">
        <f>MAGPIELink!Y166</f>
        <v>11901</v>
      </c>
      <c r="Z166" s="209">
        <f>MAGPIELink!Z166</f>
        <v>0</v>
      </c>
      <c r="AA166" s="209">
        <f>MAGPIELink!AA166</f>
        <v>0</v>
      </c>
      <c r="AB166" s="209">
        <f>MAGPIELink!AB166</f>
        <v>0</v>
      </c>
      <c r="AC166" s="209">
        <f>MAGPIELink!AC166</f>
        <v>0</v>
      </c>
      <c r="AD166" s="209">
        <f>MAGPIELink!AD166</f>
        <v>0</v>
      </c>
      <c r="AE166" s="209">
        <f>MAGPIELink!AE166</f>
        <v>375.5</v>
      </c>
      <c r="AF166" s="220">
        <f>MAGPIELink!AF166</f>
        <v>1400000</v>
      </c>
      <c r="AG166" s="436">
        <v>1</v>
      </c>
      <c r="AI166" s="174"/>
    </row>
    <row r="167" spans="1:35">
      <c r="A167" s="215" t="s">
        <v>946</v>
      </c>
      <c r="B167" s="232" t="s">
        <v>938</v>
      </c>
      <c r="C167" s="232">
        <v>2040</v>
      </c>
      <c r="D167" s="232" t="s">
        <v>945</v>
      </c>
      <c r="E167" s="209">
        <f>MAGPIELink!E167</f>
        <v>80</v>
      </c>
      <c r="F167" s="209">
        <f>MAGPIELink!F167</f>
        <v>0</v>
      </c>
      <c r="G167" s="209">
        <f>MAGPIELink!G167</f>
        <v>0</v>
      </c>
      <c r="H167" s="209">
        <f>MAGPIELink!H167</f>
        <v>0</v>
      </c>
      <c r="I167" s="209">
        <f>MAGPIELink!I167</f>
        <v>4399</v>
      </c>
      <c r="J167" s="209">
        <f>MAGPIELink!J167</f>
        <v>0</v>
      </c>
      <c r="K167" s="209">
        <f>MAGPIELink!K167</f>
        <v>0</v>
      </c>
      <c r="L167" s="209">
        <f>MAGPIELink!L167</f>
        <v>0</v>
      </c>
      <c r="M167" s="209">
        <f>MAGPIELink!M167</f>
        <v>1090000</v>
      </c>
      <c r="N167" s="209">
        <f>MAGPIELink!N167</f>
        <v>40000</v>
      </c>
      <c r="O167" s="209">
        <f>MAGPIELink!O167</f>
        <v>0</v>
      </c>
      <c r="P167" s="209">
        <f>MAGPIELink!P167</f>
        <v>100000</v>
      </c>
      <c r="Q167" s="209">
        <f>MAGPIELink!Q167</f>
        <v>0</v>
      </c>
      <c r="R167" s="209">
        <f>MAGPIELink!R167</f>
        <v>37685</v>
      </c>
      <c r="S167" s="209">
        <f>MAGPIELink!S167</f>
        <v>60073</v>
      </c>
      <c r="T167" s="209">
        <f>MAGPIELink!T167</f>
        <v>116469</v>
      </c>
      <c r="U167" s="209">
        <f>MAGPIELink!U167</f>
        <v>85801</v>
      </c>
      <c r="V167" s="209">
        <f>MAGPIELink!V167</f>
        <v>291</v>
      </c>
      <c r="W167" s="209">
        <f>MAGPIELink!W167</f>
        <v>418</v>
      </c>
      <c r="X167" s="209">
        <f>MAGPIELink!X167</f>
        <v>375.5</v>
      </c>
      <c r="Y167" s="209">
        <f>MAGPIELink!Y167</f>
        <v>11901</v>
      </c>
      <c r="Z167" s="209">
        <f>MAGPIELink!Z167</f>
        <v>0</v>
      </c>
      <c r="AA167" s="209">
        <f>MAGPIELink!AA167</f>
        <v>0</v>
      </c>
      <c r="AB167" s="209">
        <f>MAGPIELink!AB167</f>
        <v>0</v>
      </c>
      <c r="AC167" s="209">
        <f>MAGPIELink!AC167</f>
        <v>0</v>
      </c>
      <c r="AD167" s="209">
        <f>MAGPIELink!AD167</f>
        <v>0</v>
      </c>
      <c r="AE167" s="209">
        <f>MAGPIELink!AE167</f>
        <v>375.5</v>
      </c>
      <c r="AF167" s="220">
        <f>MAGPIELink!AF167</f>
        <v>1400000</v>
      </c>
      <c r="AG167" s="436">
        <v>1</v>
      </c>
      <c r="AI167" s="174"/>
    </row>
    <row r="168" spans="1:35">
      <c r="A168" s="215" t="s">
        <v>946</v>
      </c>
      <c r="B168" s="232" t="s">
        <v>938</v>
      </c>
      <c r="C168" s="232">
        <v>2045</v>
      </c>
      <c r="D168" s="232" t="s">
        <v>945</v>
      </c>
      <c r="E168" s="209">
        <f>MAGPIELink!E168</f>
        <v>80</v>
      </c>
      <c r="F168" s="209">
        <f>MAGPIELink!F168</f>
        <v>0</v>
      </c>
      <c r="G168" s="209">
        <f>MAGPIELink!G168</f>
        <v>0</v>
      </c>
      <c r="H168" s="209">
        <f>MAGPIELink!H168</f>
        <v>0</v>
      </c>
      <c r="I168" s="209">
        <f>MAGPIELink!I168</f>
        <v>4399</v>
      </c>
      <c r="J168" s="209">
        <f>MAGPIELink!J168</f>
        <v>0</v>
      </c>
      <c r="K168" s="209">
        <f>MAGPIELink!K168</f>
        <v>0</v>
      </c>
      <c r="L168" s="209">
        <f>MAGPIELink!L168</f>
        <v>0</v>
      </c>
      <c r="M168" s="209">
        <f>MAGPIELink!M168</f>
        <v>1090000</v>
      </c>
      <c r="N168" s="209">
        <f>MAGPIELink!N168</f>
        <v>40000</v>
      </c>
      <c r="O168" s="209">
        <f>MAGPIELink!O168</f>
        <v>0</v>
      </c>
      <c r="P168" s="209">
        <f>MAGPIELink!P168</f>
        <v>100000</v>
      </c>
      <c r="Q168" s="209">
        <f>MAGPIELink!Q168</f>
        <v>0</v>
      </c>
      <c r="R168" s="209">
        <f>MAGPIELink!R168</f>
        <v>37685</v>
      </c>
      <c r="S168" s="209">
        <f>MAGPIELink!S168</f>
        <v>60073</v>
      </c>
      <c r="T168" s="209">
        <f>MAGPIELink!T168</f>
        <v>116469</v>
      </c>
      <c r="U168" s="209">
        <f>MAGPIELink!U168</f>
        <v>85801</v>
      </c>
      <c r="V168" s="209">
        <f>MAGPIELink!V168</f>
        <v>291</v>
      </c>
      <c r="W168" s="209">
        <f>MAGPIELink!W168</f>
        <v>418</v>
      </c>
      <c r="X168" s="209">
        <f>MAGPIELink!X168</f>
        <v>375.5</v>
      </c>
      <c r="Y168" s="209">
        <f>MAGPIELink!Y168</f>
        <v>11901</v>
      </c>
      <c r="Z168" s="209">
        <f>MAGPIELink!Z168</f>
        <v>0</v>
      </c>
      <c r="AA168" s="209">
        <f>MAGPIELink!AA168</f>
        <v>0</v>
      </c>
      <c r="AB168" s="209">
        <f>MAGPIELink!AB168</f>
        <v>0</v>
      </c>
      <c r="AC168" s="209">
        <f>MAGPIELink!AC168</f>
        <v>0</v>
      </c>
      <c r="AD168" s="209">
        <f>MAGPIELink!AD168</f>
        <v>0</v>
      </c>
      <c r="AE168" s="209">
        <f>MAGPIELink!AE168</f>
        <v>375.5</v>
      </c>
      <c r="AF168" s="220">
        <f>MAGPIELink!AF168</f>
        <v>1400000</v>
      </c>
      <c r="AG168" s="436">
        <v>1</v>
      </c>
      <c r="AI168" s="174"/>
    </row>
    <row r="169" spans="1:35">
      <c r="A169" s="215" t="s">
        <v>946</v>
      </c>
      <c r="B169" s="232" t="s">
        <v>938</v>
      </c>
      <c r="C169" s="232">
        <v>2050</v>
      </c>
      <c r="D169" s="232" t="s">
        <v>945</v>
      </c>
      <c r="E169" s="209">
        <f>MAGPIELink!E169</f>
        <v>80</v>
      </c>
      <c r="F169" s="209">
        <f>MAGPIELink!F169</f>
        <v>0</v>
      </c>
      <c r="G169" s="209">
        <f>MAGPIELink!G169</f>
        <v>0</v>
      </c>
      <c r="H169" s="209">
        <f>MAGPIELink!H169</f>
        <v>0</v>
      </c>
      <c r="I169" s="209">
        <f>MAGPIELink!I169</f>
        <v>4399</v>
      </c>
      <c r="J169" s="209">
        <f>MAGPIELink!J169</f>
        <v>0</v>
      </c>
      <c r="K169" s="209">
        <f>MAGPIELink!K169</f>
        <v>0</v>
      </c>
      <c r="L169" s="209">
        <f>MAGPIELink!L169</f>
        <v>0</v>
      </c>
      <c r="M169" s="209">
        <f>MAGPIELink!M169</f>
        <v>1090000</v>
      </c>
      <c r="N169" s="209">
        <f>MAGPIELink!N169</f>
        <v>40000</v>
      </c>
      <c r="O169" s="209">
        <f>MAGPIELink!O169</f>
        <v>0</v>
      </c>
      <c r="P169" s="209">
        <f>MAGPIELink!P169</f>
        <v>100000</v>
      </c>
      <c r="Q169" s="209">
        <f>MAGPIELink!Q169</f>
        <v>0</v>
      </c>
      <c r="R169" s="209">
        <f>MAGPIELink!R169</f>
        <v>37685</v>
      </c>
      <c r="S169" s="209">
        <f>MAGPIELink!S169</f>
        <v>60073</v>
      </c>
      <c r="T169" s="209">
        <f>MAGPIELink!T169</f>
        <v>116469</v>
      </c>
      <c r="U169" s="209">
        <f>MAGPIELink!U169</f>
        <v>85801</v>
      </c>
      <c r="V169" s="209">
        <f>MAGPIELink!V169</f>
        <v>291</v>
      </c>
      <c r="W169" s="209">
        <f>MAGPIELink!W169</f>
        <v>418</v>
      </c>
      <c r="X169" s="209">
        <f>MAGPIELink!X169</f>
        <v>375.5</v>
      </c>
      <c r="Y169" s="209">
        <f>MAGPIELink!Y169</f>
        <v>11901</v>
      </c>
      <c r="Z169" s="209">
        <f>MAGPIELink!Z169</f>
        <v>0</v>
      </c>
      <c r="AA169" s="209">
        <f>MAGPIELink!AA169</f>
        <v>0</v>
      </c>
      <c r="AB169" s="209">
        <f>MAGPIELink!AB169</f>
        <v>0</v>
      </c>
      <c r="AC169" s="209">
        <f>MAGPIELink!AC169</f>
        <v>0</v>
      </c>
      <c r="AD169" s="209">
        <f>MAGPIELink!AD169</f>
        <v>0</v>
      </c>
      <c r="AE169" s="209">
        <f>MAGPIELink!AE169</f>
        <v>375.5</v>
      </c>
      <c r="AF169" s="220">
        <f>MAGPIELink!AF169</f>
        <v>1400000</v>
      </c>
      <c r="AG169" s="436">
        <v>1</v>
      </c>
      <c r="AI169" s="174"/>
    </row>
    <row r="170" spans="1:35">
      <c r="A170" s="215" t="s">
        <v>946</v>
      </c>
      <c r="B170" s="232" t="s">
        <v>938</v>
      </c>
      <c r="C170" s="232">
        <v>2060</v>
      </c>
      <c r="D170" s="232" t="s">
        <v>945</v>
      </c>
      <c r="E170" s="209">
        <f>MAGPIELink!E170</f>
        <v>80</v>
      </c>
      <c r="F170" s="209">
        <f>MAGPIELink!F170</f>
        <v>0</v>
      </c>
      <c r="G170" s="209">
        <f>MAGPIELink!G170</f>
        <v>0</v>
      </c>
      <c r="H170" s="209">
        <f>MAGPIELink!H170</f>
        <v>0</v>
      </c>
      <c r="I170" s="209">
        <f>MAGPIELink!I170</f>
        <v>4399</v>
      </c>
      <c r="J170" s="209">
        <f>MAGPIELink!J170</f>
        <v>0</v>
      </c>
      <c r="K170" s="209">
        <f>MAGPIELink!K170</f>
        <v>0</v>
      </c>
      <c r="L170" s="209">
        <f>MAGPIELink!L170</f>
        <v>0</v>
      </c>
      <c r="M170" s="209">
        <f>MAGPIELink!M170</f>
        <v>1090000</v>
      </c>
      <c r="N170" s="209">
        <f>MAGPIELink!N170</f>
        <v>40000</v>
      </c>
      <c r="O170" s="209">
        <f>MAGPIELink!O170</f>
        <v>0</v>
      </c>
      <c r="P170" s="209">
        <f>MAGPIELink!P170</f>
        <v>100000</v>
      </c>
      <c r="Q170" s="209">
        <f>MAGPIELink!Q170</f>
        <v>0</v>
      </c>
      <c r="R170" s="209">
        <f>MAGPIELink!R170</f>
        <v>37685</v>
      </c>
      <c r="S170" s="209">
        <f>MAGPIELink!S170</f>
        <v>60073</v>
      </c>
      <c r="T170" s="209">
        <f>MAGPIELink!T170</f>
        <v>116469</v>
      </c>
      <c r="U170" s="209">
        <f>MAGPIELink!U170</f>
        <v>85801</v>
      </c>
      <c r="V170" s="209">
        <f>MAGPIELink!V170</f>
        <v>291</v>
      </c>
      <c r="W170" s="209">
        <f>MAGPIELink!W170</f>
        <v>418</v>
      </c>
      <c r="X170" s="209">
        <f>MAGPIELink!X170</f>
        <v>375.5</v>
      </c>
      <c r="Y170" s="209">
        <f>MAGPIELink!Y170</f>
        <v>11901</v>
      </c>
      <c r="Z170" s="209">
        <f>MAGPIELink!Z170</f>
        <v>0</v>
      </c>
      <c r="AA170" s="209">
        <f>MAGPIELink!AA170</f>
        <v>0</v>
      </c>
      <c r="AB170" s="209">
        <f>MAGPIELink!AB170</f>
        <v>0</v>
      </c>
      <c r="AC170" s="209">
        <f>MAGPIELink!AC170</f>
        <v>0</v>
      </c>
      <c r="AD170" s="209">
        <f>MAGPIELink!AD170</f>
        <v>0</v>
      </c>
      <c r="AE170" s="209">
        <f>MAGPIELink!AE170</f>
        <v>375.5</v>
      </c>
      <c r="AF170" s="220">
        <f>MAGPIELink!AF170</f>
        <v>1400000</v>
      </c>
      <c r="AG170" s="436">
        <v>1</v>
      </c>
      <c r="AI170" s="174"/>
    </row>
    <row r="171" spans="1:35">
      <c r="A171" s="215" t="s">
        <v>946</v>
      </c>
      <c r="B171" s="232" t="s">
        <v>938</v>
      </c>
      <c r="C171" s="232">
        <v>2070</v>
      </c>
      <c r="D171" s="232" t="s">
        <v>945</v>
      </c>
      <c r="E171" s="209">
        <f>MAGPIELink!E171</f>
        <v>80</v>
      </c>
      <c r="F171" s="209">
        <f>MAGPIELink!F171</f>
        <v>0</v>
      </c>
      <c r="G171" s="209">
        <f>MAGPIELink!G171</f>
        <v>0</v>
      </c>
      <c r="H171" s="209">
        <f>MAGPIELink!H171</f>
        <v>0</v>
      </c>
      <c r="I171" s="209">
        <f>MAGPIELink!I171</f>
        <v>4399</v>
      </c>
      <c r="J171" s="209">
        <f>MAGPIELink!J171</f>
        <v>0</v>
      </c>
      <c r="K171" s="209">
        <f>MAGPIELink!K171</f>
        <v>0</v>
      </c>
      <c r="L171" s="209">
        <f>MAGPIELink!L171</f>
        <v>0</v>
      </c>
      <c r="M171" s="209">
        <f>MAGPIELink!M171</f>
        <v>1090000</v>
      </c>
      <c r="N171" s="209">
        <f>MAGPIELink!N171</f>
        <v>40000</v>
      </c>
      <c r="O171" s="209">
        <f>MAGPIELink!O171</f>
        <v>0</v>
      </c>
      <c r="P171" s="209">
        <f>MAGPIELink!P171</f>
        <v>100000</v>
      </c>
      <c r="Q171" s="209">
        <f>MAGPIELink!Q171</f>
        <v>0</v>
      </c>
      <c r="R171" s="209">
        <f>MAGPIELink!R171</f>
        <v>37685</v>
      </c>
      <c r="S171" s="209">
        <f>MAGPIELink!S171</f>
        <v>60073</v>
      </c>
      <c r="T171" s="209">
        <f>MAGPIELink!T171</f>
        <v>116469</v>
      </c>
      <c r="U171" s="209">
        <f>MAGPIELink!U171</f>
        <v>85801</v>
      </c>
      <c r="V171" s="209">
        <f>MAGPIELink!V171</f>
        <v>291</v>
      </c>
      <c r="W171" s="209">
        <f>MAGPIELink!W171</f>
        <v>418</v>
      </c>
      <c r="X171" s="209">
        <f>MAGPIELink!X171</f>
        <v>375.5</v>
      </c>
      <c r="Y171" s="209">
        <f>MAGPIELink!Y171</f>
        <v>11901</v>
      </c>
      <c r="Z171" s="209">
        <f>MAGPIELink!Z171</f>
        <v>0</v>
      </c>
      <c r="AA171" s="209">
        <f>MAGPIELink!AA171</f>
        <v>0</v>
      </c>
      <c r="AB171" s="209">
        <f>MAGPIELink!AB171</f>
        <v>0</v>
      </c>
      <c r="AC171" s="209">
        <f>MAGPIELink!AC171</f>
        <v>0</v>
      </c>
      <c r="AD171" s="209">
        <f>MAGPIELink!AD171</f>
        <v>0</v>
      </c>
      <c r="AE171" s="209">
        <f>MAGPIELink!AE171</f>
        <v>375.5</v>
      </c>
      <c r="AF171" s="220">
        <f>MAGPIELink!AF171</f>
        <v>1400000</v>
      </c>
      <c r="AG171" s="436">
        <v>1</v>
      </c>
      <c r="AI171" s="174"/>
    </row>
    <row r="172" spans="1:35">
      <c r="A172" s="215" t="s">
        <v>946</v>
      </c>
      <c r="B172" s="232" t="s">
        <v>938</v>
      </c>
      <c r="C172" s="232">
        <v>2080</v>
      </c>
      <c r="D172" s="232" t="s">
        <v>945</v>
      </c>
      <c r="E172" s="209">
        <f>MAGPIELink!E172</f>
        <v>80</v>
      </c>
      <c r="F172" s="209">
        <f>MAGPIELink!F172</f>
        <v>0</v>
      </c>
      <c r="G172" s="209">
        <f>MAGPIELink!G172</f>
        <v>0</v>
      </c>
      <c r="H172" s="209">
        <f>MAGPIELink!H172</f>
        <v>0</v>
      </c>
      <c r="I172" s="209">
        <f>MAGPIELink!I172</f>
        <v>4399</v>
      </c>
      <c r="J172" s="209">
        <f>MAGPIELink!J172</f>
        <v>0</v>
      </c>
      <c r="K172" s="209">
        <f>MAGPIELink!K172</f>
        <v>0</v>
      </c>
      <c r="L172" s="209">
        <f>MAGPIELink!L172</f>
        <v>0</v>
      </c>
      <c r="M172" s="209">
        <f>MAGPIELink!M172</f>
        <v>1090000</v>
      </c>
      <c r="N172" s="209">
        <f>MAGPIELink!N172</f>
        <v>40000</v>
      </c>
      <c r="O172" s="209">
        <f>MAGPIELink!O172</f>
        <v>0</v>
      </c>
      <c r="P172" s="209">
        <f>MAGPIELink!P172</f>
        <v>100000</v>
      </c>
      <c r="Q172" s="209">
        <f>MAGPIELink!Q172</f>
        <v>0</v>
      </c>
      <c r="R172" s="209">
        <f>MAGPIELink!R172</f>
        <v>37685</v>
      </c>
      <c r="S172" s="209">
        <f>MAGPIELink!S172</f>
        <v>60073</v>
      </c>
      <c r="T172" s="209">
        <f>MAGPIELink!T172</f>
        <v>116469</v>
      </c>
      <c r="U172" s="209">
        <f>MAGPIELink!U172</f>
        <v>85801</v>
      </c>
      <c r="V172" s="209">
        <f>MAGPIELink!V172</f>
        <v>291</v>
      </c>
      <c r="W172" s="209">
        <f>MAGPIELink!W172</f>
        <v>418</v>
      </c>
      <c r="X172" s="209">
        <f>MAGPIELink!X172</f>
        <v>375.5</v>
      </c>
      <c r="Y172" s="209">
        <f>MAGPIELink!Y172</f>
        <v>11901</v>
      </c>
      <c r="Z172" s="209">
        <f>MAGPIELink!Z172</f>
        <v>0</v>
      </c>
      <c r="AA172" s="209">
        <f>MAGPIELink!AA172</f>
        <v>0</v>
      </c>
      <c r="AB172" s="209">
        <f>MAGPIELink!AB172</f>
        <v>0</v>
      </c>
      <c r="AC172" s="209">
        <f>MAGPIELink!AC172</f>
        <v>0</v>
      </c>
      <c r="AD172" s="209">
        <f>MAGPIELink!AD172</f>
        <v>0</v>
      </c>
      <c r="AE172" s="209">
        <f>MAGPIELink!AE172</f>
        <v>375.5</v>
      </c>
      <c r="AF172" s="220">
        <f>MAGPIELink!AF172</f>
        <v>1400000</v>
      </c>
      <c r="AG172" s="436">
        <v>1</v>
      </c>
      <c r="AI172" s="174"/>
    </row>
    <row r="173" spans="1:35">
      <c r="A173" s="215" t="s">
        <v>946</v>
      </c>
      <c r="B173" s="232" t="s">
        <v>938</v>
      </c>
      <c r="C173" s="232">
        <v>2090</v>
      </c>
      <c r="D173" s="232" t="s">
        <v>945</v>
      </c>
      <c r="E173" s="209">
        <f>MAGPIELink!E173</f>
        <v>80</v>
      </c>
      <c r="F173" s="209">
        <f>MAGPIELink!F173</f>
        <v>0</v>
      </c>
      <c r="G173" s="209">
        <f>MAGPIELink!G173</f>
        <v>0</v>
      </c>
      <c r="H173" s="209">
        <f>MAGPIELink!H173</f>
        <v>0</v>
      </c>
      <c r="I173" s="209">
        <f>MAGPIELink!I173</f>
        <v>4399</v>
      </c>
      <c r="J173" s="209">
        <f>MAGPIELink!J173</f>
        <v>0</v>
      </c>
      <c r="K173" s="209">
        <f>MAGPIELink!K173</f>
        <v>0</v>
      </c>
      <c r="L173" s="209">
        <f>MAGPIELink!L173</f>
        <v>0</v>
      </c>
      <c r="M173" s="209">
        <f>MAGPIELink!M173</f>
        <v>1090000</v>
      </c>
      <c r="N173" s="209">
        <f>MAGPIELink!N173</f>
        <v>40000</v>
      </c>
      <c r="O173" s="209">
        <f>MAGPIELink!O173</f>
        <v>0</v>
      </c>
      <c r="P173" s="209">
        <f>MAGPIELink!P173</f>
        <v>100000</v>
      </c>
      <c r="Q173" s="209">
        <f>MAGPIELink!Q173</f>
        <v>0</v>
      </c>
      <c r="R173" s="209">
        <f>MAGPIELink!R173</f>
        <v>37685</v>
      </c>
      <c r="S173" s="209">
        <f>MAGPIELink!S173</f>
        <v>60073</v>
      </c>
      <c r="T173" s="209">
        <f>MAGPIELink!T173</f>
        <v>116469</v>
      </c>
      <c r="U173" s="209">
        <f>MAGPIELink!U173</f>
        <v>85801</v>
      </c>
      <c r="V173" s="209">
        <f>MAGPIELink!V173</f>
        <v>291</v>
      </c>
      <c r="W173" s="209">
        <f>MAGPIELink!W173</f>
        <v>418</v>
      </c>
      <c r="X173" s="209">
        <f>MAGPIELink!X173</f>
        <v>375.5</v>
      </c>
      <c r="Y173" s="209">
        <f>MAGPIELink!Y173</f>
        <v>11901</v>
      </c>
      <c r="Z173" s="209">
        <f>MAGPIELink!Z173</f>
        <v>0</v>
      </c>
      <c r="AA173" s="209">
        <f>MAGPIELink!AA173</f>
        <v>0</v>
      </c>
      <c r="AB173" s="209">
        <f>MAGPIELink!AB173</f>
        <v>0</v>
      </c>
      <c r="AC173" s="209">
        <f>MAGPIELink!AC173</f>
        <v>0</v>
      </c>
      <c r="AD173" s="209">
        <f>MAGPIELink!AD173</f>
        <v>0</v>
      </c>
      <c r="AE173" s="209">
        <f>MAGPIELink!AE173</f>
        <v>375.5</v>
      </c>
      <c r="AF173" s="220">
        <f>MAGPIELink!AF173</f>
        <v>1400000</v>
      </c>
      <c r="AG173" s="436">
        <v>1</v>
      </c>
      <c r="AI173" s="174"/>
    </row>
    <row r="174" spans="1:35">
      <c r="A174" s="229" t="s">
        <v>946</v>
      </c>
      <c r="B174" s="235" t="s">
        <v>938</v>
      </c>
      <c r="C174" s="235">
        <v>2100</v>
      </c>
      <c r="D174" s="235" t="s">
        <v>945</v>
      </c>
      <c r="E174" s="226">
        <f>MAGPIELink!E174</f>
        <v>80</v>
      </c>
      <c r="F174" s="226">
        <f>MAGPIELink!F174</f>
        <v>0</v>
      </c>
      <c r="G174" s="226">
        <f>MAGPIELink!G174</f>
        <v>0</v>
      </c>
      <c r="H174" s="226">
        <f>MAGPIELink!H174</f>
        <v>0</v>
      </c>
      <c r="I174" s="226">
        <f>MAGPIELink!I174</f>
        <v>4399</v>
      </c>
      <c r="J174" s="226">
        <f>MAGPIELink!J174</f>
        <v>0</v>
      </c>
      <c r="K174" s="226">
        <f>MAGPIELink!K174</f>
        <v>0</v>
      </c>
      <c r="L174" s="226">
        <f>MAGPIELink!L174</f>
        <v>0</v>
      </c>
      <c r="M174" s="226">
        <f>MAGPIELink!M174</f>
        <v>1090000</v>
      </c>
      <c r="N174" s="226">
        <f>MAGPIELink!N174</f>
        <v>40000</v>
      </c>
      <c r="O174" s="226">
        <f>MAGPIELink!O174</f>
        <v>0</v>
      </c>
      <c r="P174" s="226">
        <f>MAGPIELink!P174</f>
        <v>100000</v>
      </c>
      <c r="Q174" s="226">
        <f>MAGPIELink!Q174</f>
        <v>0</v>
      </c>
      <c r="R174" s="226">
        <f>MAGPIELink!R174</f>
        <v>37685</v>
      </c>
      <c r="S174" s="226">
        <f>MAGPIELink!S174</f>
        <v>60073</v>
      </c>
      <c r="T174" s="226">
        <f>MAGPIELink!T174</f>
        <v>116469</v>
      </c>
      <c r="U174" s="226">
        <f>MAGPIELink!U174</f>
        <v>85801</v>
      </c>
      <c r="V174" s="226">
        <f>MAGPIELink!V174</f>
        <v>291</v>
      </c>
      <c r="W174" s="226">
        <f>MAGPIELink!W174</f>
        <v>418</v>
      </c>
      <c r="X174" s="226">
        <f>MAGPIELink!X174</f>
        <v>375.5</v>
      </c>
      <c r="Y174" s="226">
        <f>MAGPIELink!Y174</f>
        <v>11901</v>
      </c>
      <c r="Z174" s="226">
        <f>MAGPIELink!Z174</f>
        <v>0</v>
      </c>
      <c r="AA174" s="226">
        <f>MAGPIELink!AA174</f>
        <v>0</v>
      </c>
      <c r="AB174" s="226">
        <f>MAGPIELink!AB174</f>
        <v>0</v>
      </c>
      <c r="AC174" s="226">
        <f>MAGPIELink!AC174</f>
        <v>0</v>
      </c>
      <c r="AD174" s="226">
        <f>MAGPIELink!AD174</f>
        <v>0</v>
      </c>
      <c r="AE174" s="226">
        <f>MAGPIELink!AE174</f>
        <v>375.5</v>
      </c>
      <c r="AF174" s="224">
        <f>MAGPIELink!AF174</f>
        <v>1400000</v>
      </c>
      <c r="AG174" s="437">
        <v>1</v>
      </c>
      <c r="AI174" s="174"/>
    </row>
    <row r="175" spans="1:35">
      <c r="A175" s="215" t="s">
        <v>946</v>
      </c>
      <c r="B175" s="232" t="s">
        <v>940</v>
      </c>
      <c r="C175" s="232">
        <v>2019</v>
      </c>
      <c r="D175" s="232" t="s">
        <v>945</v>
      </c>
      <c r="E175" s="553">
        <f>IF((Biomass_Calibration!B5-E162)&lt;0,0,(Biomass_Calibration!B5-E162)*0.6)</f>
        <v>54.0000188514882</v>
      </c>
      <c r="F175" s="553">
        <f>IF((Biomass_Calibration!C5-F162)&lt;0,0,(Biomass_Calibration!C5-F162)*0.6)</f>
        <v>0</v>
      </c>
      <c r="G175" s="553">
        <f>IF((Biomass_Calibration!D5-G162)&lt;0,0,(Biomass_Calibration!D5-G162)*0.6)</f>
        <v>222.60001881834</v>
      </c>
      <c r="H175" s="553">
        <f>IF((Biomass_Calibration!E5-H162)&lt;0,0,(Biomass_Calibration!E5-H162)*0.6)</f>
        <v>1030.8000187606799</v>
      </c>
      <c r="I175" s="553">
        <f>IF((Biomass_Calibration!F5-I162)&lt;0,0,(Biomass_Calibration!F5-I162)*0.6)</f>
        <v>662.40001872334631</v>
      </c>
      <c r="J175" s="553">
        <f>IF((Biomass_Calibration!G5-J162)&lt;0,0,(Biomass_Calibration!G5-J162)*0.6)</f>
        <v>0</v>
      </c>
      <c r="K175" s="553">
        <f>IF((Biomass_Calibration!H5-K162)&lt;0,0,(Biomass_Calibration!H5-K162)*0.6)</f>
        <v>22978.800019097242</v>
      </c>
      <c r="L175" s="553">
        <f>IF((Biomass_Calibration!I5-L162)&lt;0,0,(Biomass_Calibration!I5-L162)*0.6)</f>
        <v>0</v>
      </c>
      <c r="M175" s="553">
        <f>IF((Biomass_Calibration!J5-M162)&lt;0,0,(Biomass_Calibration!J5-M162)*0.6)</f>
        <v>0</v>
      </c>
      <c r="N175" s="553">
        <f>IF((Biomass_Calibration!K5-N162)&lt;0,0,(Biomass_Calibration!K5-N162)*0.6)</f>
        <v>834.00001945767576</v>
      </c>
      <c r="O175" s="553">
        <f>IF((Biomass_Calibration!L5-O162)&lt;0,0,(Biomass_Calibration!L5-O162)*0.6)</f>
        <v>0</v>
      </c>
      <c r="P175" s="553">
        <f>IF((Biomass_Calibration!M5-P162)&lt;0,0,(Biomass_Calibration!M5-P162)*0.6)</f>
        <v>8817.6000180742467</v>
      </c>
      <c r="Q175" s="553">
        <f>IF((Biomass_Calibration!N5-Q162)&lt;0,0,(Biomass_Calibration!N5-Q162)*0.6)</f>
        <v>1233.6000187558902</v>
      </c>
      <c r="R175" s="553">
        <f>IF((Biomass_Calibration!O5-R162)&lt;0,0,(Biomass_Calibration!O5-R162)*0.6)</f>
        <v>0</v>
      </c>
      <c r="S175" s="553">
        <f>IF((Biomass_Calibration!P5-S162)&lt;0,0,(Biomass_Calibration!P5-S162)*0.6)</f>
        <v>0</v>
      </c>
      <c r="T175" s="553">
        <f>IF((Biomass_Calibration!Q5-T162)&lt;0,0,(Biomass_Calibration!Q5-T162)*0.6)</f>
        <v>0</v>
      </c>
      <c r="U175" s="553">
        <f>IF((Biomass_Calibration!R5-U162)&lt;0,0,(Biomass_Calibration!R5-U162)*0.6)</f>
        <v>0</v>
      </c>
      <c r="V175" s="553">
        <f>IF((Biomass_Calibration!S5-V162)&lt;0,0,(Biomass_Calibration!S5-V162)*0.6)</f>
        <v>18022.800018785943</v>
      </c>
      <c r="W175" s="553">
        <f>IF((Biomass_Calibration!T5-W162)&lt;0,0,(Biomass_Calibration!T5-W162)*0.6)</f>
        <v>0</v>
      </c>
      <c r="X175" s="553">
        <f>IF((Biomass_Calibration!U5-X162)&lt;0,0,(Biomass_Calibration!U5-X162)*0.6)</f>
        <v>515.10001877354887</v>
      </c>
      <c r="Y175" s="553">
        <f>IF((Biomass_Calibration!V5-Y162)&lt;0,0,(Biomass_Calibration!V5-Y162)*0.6)</f>
        <v>26220.600017041656</v>
      </c>
      <c r="Z175" s="553">
        <f>IF((Biomass_Calibration!W5-Z162)&lt;0,0,(Biomass_Calibration!W5-Z162)*0.6)</f>
        <v>1502.4000187500094</v>
      </c>
      <c r="AA175" s="553">
        <f>IF((Biomass_Calibration!X5-AA162)&lt;0,0,(Biomass_Calibration!X5-AA162)*0.6)</f>
        <v>0</v>
      </c>
      <c r="AB175" s="553">
        <f>IF((Biomass_Calibration!Y5-AB162)&lt;0,0,(Biomass_Calibration!Y5-AB162)*0.6)</f>
        <v>0</v>
      </c>
      <c r="AC175" s="553">
        <f>IF((Biomass_Calibration!Z5-AC162)&lt;0,0,(Biomass_Calibration!Z5-AC162)*0.6)</f>
        <v>0</v>
      </c>
      <c r="AD175" s="553">
        <f>IF((Biomass_Calibration!AA5-AD162)&lt;0,0,(Biomass_Calibration!AA5-AD162)*0.6)</f>
        <v>0</v>
      </c>
      <c r="AE175" s="553">
        <f>IF((Biomass_Calibration!AB5-AE162)&lt;0,0,(Biomass_Calibration!AB5-AE162)*0.6)</f>
        <v>0</v>
      </c>
      <c r="AF175" s="553">
        <f>IF((Biomass_Calibration!AC5-AF162)&lt;0,0,(Biomass_Calibration!AC5-AF162)*0.6)</f>
        <v>0</v>
      </c>
      <c r="AG175" s="436">
        <v>1</v>
      </c>
    </row>
    <row r="176" spans="1:35">
      <c r="A176" s="215" t="s">
        <v>946</v>
      </c>
      <c r="B176" s="232" t="s">
        <v>940</v>
      </c>
      <c r="C176">
        <v>2020</v>
      </c>
      <c r="D176" s="232" t="s">
        <v>945</v>
      </c>
      <c r="E176" s="553">
        <f>E175</f>
        <v>54.0000188514882</v>
      </c>
      <c r="F176" s="553">
        <f t="shared" ref="F176:AF185" si="87">F175</f>
        <v>0</v>
      </c>
      <c r="G176" s="553">
        <f t="shared" si="87"/>
        <v>222.60001881834</v>
      </c>
      <c r="H176" s="553">
        <f t="shared" si="87"/>
        <v>1030.8000187606799</v>
      </c>
      <c r="I176" s="553">
        <f t="shared" si="87"/>
        <v>662.40001872334631</v>
      </c>
      <c r="J176" s="553">
        <f t="shared" si="87"/>
        <v>0</v>
      </c>
      <c r="K176" s="553">
        <f t="shared" si="87"/>
        <v>22978.800019097242</v>
      </c>
      <c r="L176" s="553">
        <f t="shared" si="87"/>
        <v>0</v>
      </c>
      <c r="M176" s="553">
        <f t="shared" si="87"/>
        <v>0</v>
      </c>
      <c r="N176" s="553">
        <f t="shared" si="87"/>
        <v>834.00001945767576</v>
      </c>
      <c r="O176" s="553">
        <f t="shared" si="87"/>
        <v>0</v>
      </c>
      <c r="P176" s="553">
        <f t="shared" si="87"/>
        <v>8817.6000180742467</v>
      </c>
      <c r="Q176" s="553">
        <f t="shared" si="87"/>
        <v>1233.6000187558902</v>
      </c>
      <c r="R176" s="553">
        <f t="shared" si="87"/>
        <v>0</v>
      </c>
      <c r="S176" s="553">
        <f t="shared" si="87"/>
        <v>0</v>
      </c>
      <c r="T176" s="553">
        <f t="shared" si="87"/>
        <v>0</v>
      </c>
      <c r="U176" s="553">
        <f t="shared" si="87"/>
        <v>0</v>
      </c>
      <c r="V176" s="553">
        <f t="shared" si="87"/>
        <v>18022.800018785943</v>
      </c>
      <c r="W176" s="553">
        <f t="shared" si="87"/>
        <v>0</v>
      </c>
      <c r="X176" s="553">
        <f t="shared" si="87"/>
        <v>515.10001877354887</v>
      </c>
      <c r="Y176" s="553">
        <f t="shared" si="87"/>
        <v>26220.600017041656</v>
      </c>
      <c r="Z176" s="553">
        <f t="shared" si="87"/>
        <v>1502.4000187500094</v>
      </c>
      <c r="AA176" s="553">
        <f t="shared" si="87"/>
        <v>0</v>
      </c>
      <c r="AB176" s="553">
        <f t="shared" si="87"/>
        <v>0</v>
      </c>
      <c r="AC176" s="553">
        <f t="shared" si="87"/>
        <v>0</v>
      </c>
      <c r="AD176" s="553">
        <f t="shared" si="87"/>
        <v>0</v>
      </c>
      <c r="AE176" s="553">
        <f t="shared" si="87"/>
        <v>0</v>
      </c>
      <c r="AF176" s="553">
        <f t="shared" si="87"/>
        <v>0</v>
      </c>
      <c r="AG176" s="436">
        <v>1</v>
      </c>
      <c r="AI176" s="174"/>
    </row>
    <row r="177" spans="1:35">
      <c r="A177" s="215" t="s">
        <v>946</v>
      </c>
      <c r="B177" s="232" t="s">
        <v>940</v>
      </c>
      <c r="C177" s="232">
        <v>2025</v>
      </c>
      <c r="D177" s="232" t="s">
        <v>945</v>
      </c>
      <c r="E177" s="553">
        <f t="shared" ref="E177:E187" si="88">E176</f>
        <v>54.0000188514882</v>
      </c>
      <c r="F177" s="553">
        <f t="shared" si="87"/>
        <v>0</v>
      </c>
      <c r="G177" s="553">
        <f t="shared" si="87"/>
        <v>222.60001881834</v>
      </c>
      <c r="H177" s="553">
        <f t="shared" si="87"/>
        <v>1030.8000187606799</v>
      </c>
      <c r="I177" s="553">
        <f t="shared" si="87"/>
        <v>662.40001872334631</v>
      </c>
      <c r="J177" s="553">
        <f t="shared" si="87"/>
        <v>0</v>
      </c>
      <c r="K177" s="553">
        <f t="shared" si="87"/>
        <v>22978.800019097242</v>
      </c>
      <c r="L177" s="553">
        <f t="shared" si="87"/>
        <v>0</v>
      </c>
      <c r="M177" s="553">
        <f t="shared" si="87"/>
        <v>0</v>
      </c>
      <c r="N177" s="553">
        <f t="shared" si="87"/>
        <v>834.00001945767576</v>
      </c>
      <c r="O177" s="553">
        <f t="shared" si="87"/>
        <v>0</v>
      </c>
      <c r="P177" s="553">
        <f t="shared" si="87"/>
        <v>8817.6000180742467</v>
      </c>
      <c r="Q177" s="553">
        <f t="shared" si="87"/>
        <v>1233.6000187558902</v>
      </c>
      <c r="R177" s="553">
        <f t="shared" si="87"/>
        <v>0</v>
      </c>
      <c r="S177" s="553">
        <f t="shared" si="87"/>
        <v>0</v>
      </c>
      <c r="T177" s="553">
        <f t="shared" si="87"/>
        <v>0</v>
      </c>
      <c r="U177" s="553">
        <f t="shared" si="87"/>
        <v>0</v>
      </c>
      <c r="V177" s="553">
        <f t="shared" si="87"/>
        <v>18022.800018785943</v>
      </c>
      <c r="W177" s="553">
        <f t="shared" si="87"/>
        <v>0</v>
      </c>
      <c r="X177" s="553">
        <f t="shared" si="87"/>
        <v>515.10001877354887</v>
      </c>
      <c r="Y177" s="553">
        <f t="shared" si="87"/>
        <v>26220.600017041656</v>
      </c>
      <c r="Z177" s="553">
        <f t="shared" si="87"/>
        <v>1502.4000187500094</v>
      </c>
      <c r="AA177" s="553">
        <f t="shared" si="87"/>
        <v>0</v>
      </c>
      <c r="AB177" s="553">
        <f t="shared" si="87"/>
        <v>0</v>
      </c>
      <c r="AC177" s="553">
        <f t="shared" si="87"/>
        <v>0</v>
      </c>
      <c r="AD177" s="553">
        <f t="shared" si="87"/>
        <v>0</v>
      </c>
      <c r="AE177" s="553">
        <f t="shared" si="87"/>
        <v>0</v>
      </c>
      <c r="AF177" s="553">
        <f t="shared" si="87"/>
        <v>0</v>
      </c>
      <c r="AG177" s="436">
        <v>1</v>
      </c>
      <c r="AI177" s="174"/>
    </row>
    <row r="178" spans="1:35">
      <c r="A178" s="215" t="s">
        <v>946</v>
      </c>
      <c r="B178" s="232" t="s">
        <v>940</v>
      </c>
      <c r="C178" s="232">
        <v>2030</v>
      </c>
      <c r="D178" s="232" t="s">
        <v>945</v>
      </c>
      <c r="E178" s="553">
        <f t="shared" si="88"/>
        <v>54.0000188514882</v>
      </c>
      <c r="F178" s="553">
        <f t="shared" si="87"/>
        <v>0</v>
      </c>
      <c r="G178" s="553">
        <f t="shared" si="87"/>
        <v>222.60001881834</v>
      </c>
      <c r="H178" s="553">
        <f t="shared" si="87"/>
        <v>1030.8000187606799</v>
      </c>
      <c r="I178" s="553">
        <f t="shared" si="87"/>
        <v>662.40001872334631</v>
      </c>
      <c r="J178" s="553">
        <f t="shared" si="87"/>
        <v>0</v>
      </c>
      <c r="K178" s="553">
        <f t="shared" si="87"/>
        <v>22978.800019097242</v>
      </c>
      <c r="L178" s="553">
        <f t="shared" si="87"/>
        <v>0</v>
      </c>
      <c r="M178" s="553">
        <f t="shared" si="87"/>
        <v>0</v>
      </c>
      <c r="N178" s="553">
        <f t="shared" si="87"/>
        <v>834.00001945767576</v>
      </c>
      <c r="O178" s="553">
        <f t="shared" si="87"/>
        <v>0</v>
      </c>
      <c r="P178" s="553">
        <f t="shared" si="87"/>
        <v>8817.6000180742467</v>
      </c>
      <c r="Q178" s="553">
        <f t="shared" si="87"/>
        <v>1233.6000187558902</v>
      </c>
      <c r="R178" s="553">
        <f t="shared" si="87"/>
        <v>0</v>
      </c>
      <c r="S178" s="553">
        <f t="shared" si="87"/>
        <v>0</v>
      </c>
      <c r="T178" s="553">
        <f t="shared" si="87"/>
        <v>0</v>
      </c>
      <c r="U178" s="553">
        <f t="shared" si="87"/>
        <v>0</v>
      </c>
      <c r="V178" s="553">
        <f t="shared" si="87"/>
        <v>18022.800018785943</v>
      </c>
      <c r="W178" s="553">
        <f t="shared" si="87"/>
        <v>0</v>
      </c>
      <c r="X178" s="553">
        <f t="shared" si="87"/>
        <v>515.10001877354887</v>
      </c>
      <c r="Y178" s="553">
        <f t="shared" si="87"/>
        <v>26220.600017041656</v>
      </c>
      <c r="Z178" s="553">
        <f t="shared" si="87"/>
        <v>1502.4000187500094</v>
      </c>
      <c r="AA178" s="553">
        <f t="shared" si="87"/>
        <v>0</v>
      </c>
      <c r="AB178" s="553">
        <f t="shared" si="87"/>
        <v>0</v>
      </c>
      <c r="AC178" s="553">
        <f t="shared" si="87"/>
        <v>0</v>
      </c>
      <c r="AD178" s="553">
        <f t="shared" si="87"/>
        <v>0</v>
      </c>
      <c r="AE178" s="553">
        <f t="shared" si="87"/>
        <v>0</v>
      </c>
      <c r="AF178" s="553">
        <f t="shared" si="87"/>
        <v>0</v>
      </c>
      <c r="AG178" s="436">
        <v>1</v>
      </c>
      <c r="AI178" s="174"/>
    </row>
    <row r="179" spans="1:35">
      <c r="A179" s="215" t="s">
        <v>946</v>
      </c>
      <c r="B179" s="232" t="s">
        <v>940</v>
      </c>
      <c r="C179" s="232">
        <v>2035</v>
      </c>
      <c r="D179" s="232" t="s">
        <v>945</v>
      </c>
      <c r="E179" s="553">
        <f t="shared" si="88"/>
        <v>54.0000188514882</v>
      </c>
      <c r="F179" s="553">
        <f t="shared" si="87"/>
        <v>0</v>
      </c>
      <c r="G179" s="553">
        <f t="shared" si="87"/>
        <v>222.60001881834</v>
      </c>
      <c r="H179" s="553">
        <f t="shared" si="87"/>
        <v>1030.8000187606799</v>
      </c>
      <c r="I179" s="553">
        <f t="shared" si="87"/>
        <v>662.40001872334631</v>
      </c>
      <c r="J179" s="553">
        <f t="shared" si="87"/>
        <v>0</v>
      </c>
      <c r="K179" s="553">
        <f t="shared" si="87"/>
        <v>22978.800019097242</v>
      </c>
      <c r="L179" s="553">
        <f t="shared" si="87"/>
        <v>0</v>
      </c>
      <c r="M179" s="553">
        <f t="shared" si="87"/>
        <v>0</v>
      </c>
      <c r="N179" s="553">
        <f t="shared" si="87"/>
        <v>834.00001945767576</v>
      </c>
      <c r="O179" s="553">
        <f t="shared" si="87"/>
        <v>0</v>
      </c>
      <c r="P179" s="553">
        <f t="shared" si="87"/>
        <v>8817.6000180742467</v>
      </c>
      <c r="Q179" s="553">
        <f t="shared" si="87"/>
        <v>1233.6000187558902</v>
      </c>
      <c r="R179" s="553">
        <f t="shared" si="87"/>
        <v>0</v>
      </c>
      <c r="S179" s="553">
        <f t="shared" si="87"/>
        <v>0</v>
      </c>
      <c r="T179" s="553">
        <f t="shared" si="87"/>
        <v>0</v>
      </c>
      <c r="U179" s="553">
        <f t="shared" si="87"/>
        <v>0</v>
      </c>
      <c r="V179" s="553">
        <f t="shared" si="87"/>
        <v>18022.800018785943</v>
      </c>
      <c r="W179" s="553">
        <f t="shared" si="87"/>
        <v>0</v>
      </c>
      <c r="X179" s="553">
        <f t="shared" si="87"/>
        <v>515.10001877354887</v>
      </c>
      <c r="Y179" s="553">
        <f t="shared" si="87"/>
        <v>26220.600017041656</v>
      </c>
      <c r="Z179" s="553">
        <f t="shared" si="87"/>
        <v>1502.4000187500094</v>
      </c>
      <c r="AA179" s="553">
        <f t="shared" si="87"/>
        <v>0</v>
      </c>
      <c r="AB179" s="553">
        <f t="shared" si="87"/>
        <v>0</v>
      </c>
      <c r="AC179" s="553">
        <f t="shared" si="87"/>
        <v>0</v>
      </c>
      <c r="AD179" s="553">
        <f t="shared" si="87"/>
        <v>0</v>
      </c>
      <c r="AE179" s="553">
        <f t="shared" si="87"/>
        <v>0</v>
      </c>
      <c r="AF179" s="553">
        <f t="shared" si="87"/>
        <v>0</v>
      </c>
      <c r="AG179" s="436">
        <v>1</v>
      </c>
      <c r="AI179" s="174"/>
    </row>
    <row r="180" spans="1:35">
      <c r="A180" s="215" t="s">
        <v>946</v>
      </c>
      <c r="B180" s="232" t="s">
        <v>940</v>
      </c>
      <c r="C180" s="232">
        <v>2040</v>
      </c>
      <c r="D180" s="232" t="s">
        <v>945</v>
      </c>
      <c r="E180" s="553">
        <f t="shared" si="88"/>
        <v>54.0000188514882</v>
      </c>
      <c r="F180" s="553">
        <f t="shared" si="87"/>
        <v>0</v>
      </c>
      <c r="G180" s="553">
        <f t="shared" si="87"/>
        <v>222.60001881834</v>
      </c>
      <c r="H180" s="553">
        <f t="shared" si="87"/>
        <v>1030.8000187606799</v>
      </c>
      <c r="I180" s="553">
        <f t="shared" si="87"/>
        <v>662.40001872334631</v>
      </c>
      <c r="J180" s="553">
        <f t="shared" si="87"/>
        <v>0</v>
      </c>
      <c r="K180" s="553">
        <f t="shared" si="87"/>
        <v>22978.800019097242</v>
      </c>
      <c r="L180" s="553">
        <f t="shared" si="87"/>
        <v>0</v>
      </c>
      <c r="M180" s="553">
        <f t="shared" si="87"/>
        <v>0</v>
      </c>
      <c r="N180" s="553">
        <f t="shared" si="87"/>
        <v>834.00001945767576</v>
      </c>
      <c r="O180" s="553">
        <f t="shared" si="87"/>
        <v>0</v>
      </c>
      <c r="P180" s="553">
        <f t="shared" si="87"/>
        <v>8817.6000180742467</v>
      </c>
      <c r="Q180" s="553">
        <f t="shared" si="87"/>
        <v>1233.6000187558902</v>
      </c>
      <c r="R180" s="553">
        <f t="shared" si="87"/>
        <v>0</v>
      </c>
      <c r="S180" s="553">
        <f t="shared" si="87"/>
        <v>0</v>
      </c>
      <c r="T180" s="553">
        <f t="shared" si="87"/>
        <v>0</v>
      </c>
      <c r="U180" s="553">
        <f t="shared" si="87"/>
        <v>0</v>
      </c>
      <c r="V180" s="553">
        <f t="shared" si="87"/>
        <v>18022.800018785943</v>
      </c>
      <c r="W180" s="553">
        <f t="shared" si="87"/>
        <v>0</v>
      </c>
      <c r="X180" s="553">
        <f t="shared" si="87"/>
        <v>515.10001877354887</v>
      </c>
      <c r="Y180" s="553">
        <f t="shared" si="87"/>
        <v>26220.600017041656</v>
      </c>
      <c r="Z180" s="553">
        <f t="shared" si="87"/>
        <v>1502.4000187500094</v>
      </c>
      <c r="AA180" s="553">
        <f t="shared" si="87"/>
        <v>0</v>
      </c>
      <c r="AB180" s="553">
        <f t="shared" si="87"/>
        <v>0</v>
      </c>
      <c r="AC180" s="553">
        <f t="shared" si="87"/>
        <v>0</v>
      </c>
      <c r="AD180" s="553">
        <f t="shared" si="87"/>
        <v>0</v>
      </c>
      <c r="AE180" s="553">
        <f t="shared" si="87"/>
        <v>0</v>
      </c>
      <c r="AF180" s="553">
        <f t="shared" si="87"/>
        <v>0</v>
      </c>
      <c r="AG180" s="436">
        <v>1</v>
      </c>
      <c r="AI180" s="174"/>
    </row>
    <row r="181" spans="1:35">
      <c r="A181" s="215" t="s">
        <v>946</v>
      </c>
      <c r="B181" s="232" t="s">
        <v>940</v>
      </c>
      <c r="C181" s="232">
        <v>2045</v>
      </c>
      <c r="D181" s="232" t="s">
        <v>945</v>
      </c>
      <c r="E181" s="553">
        <f t="shared" si="88"/>
        <v>54.0000188514882</v>
      </c>
      <c r="F181" s="553">
        <f t="shared" si="87"/>
        <v>0</v>
      </c>
      <c r="G181" s="553">
        <f t="shared" si="87"/>
        <v>222.60001881834</v>
      </c>
      <c r="H181" s="553">
        <f t="shared" si="87"/>
        <v>1030.8000187606799</v>
      </c>
      <c r="I181" s="553">
        <f t="shared" si="87"/>
        <v>662.40001872334631</v>
      </c>
      <c r="J181" s="553">
        <f t="shared" si="87"/>
        <v>0</v>
      </c>
      <c r="K181" s="553">
        <f t="shared" si="87"/>
        <v>22978.800019097242</v>
      </c>
      <c r="L181" s="553">
        <f t="shared" si="87"/>
        <v>0</v>
      </c>
      <c r="M181" s="553">
        <f t="shared" si="87"/>
        <v>0</v>
      </c>
      <c r="N181" s="553">
        <f t="shared" si="87"/>
        <v>834.00001945767576</v>
      </c>
      <c r="O181" s="553">
        <f t="shared" si="87"/>
        <v>0</v>
      </c>
      <c r="P181" s="553">
        <f t="shared" si="87"/>
        <v>8817.6000180742467</v>
      </c>
      <c r="Q181" s="553">
        <f t="shared" si="87"/>
        <v>1233.6000187558902</v>
      </c>
      <c r="R181" s="553">
        <f t="shared" si="87"/>
        <v>0</v>
      </c>
      <c r="S181" s="553">
        <f t="shared" si="87"/>
        <v>0</v>
      </c>
      <c r="T181" s="553">
        <f t="shared" si="87"/>
        <v>0</v>
      </c>
      <c r="U181" s="553">
        <f t="shared" si="87"/>
        <v>0</v>
      </c>
      <c r="V181" s="553">
        <f t="shared" si="87"/>
        <v>18022.800018785943</v>
      </c>
      <c r="W181" s="553">
        <f t="shared" si="87"/>
        <v>0</v>
      </c>
      <c r="X181" s="553">
        <f t="shared" si="87"/>
        <v>515.10001877354887</v>
      </c>
      <c r="Y181" s="553">
        <f t="shared" si="87"/>
        <v>26220.600017041656</v>
      </c>
      <c r="Z181" s="553">
        <f t="shared" si="87"/>
        <v>1502.4000187500094</v>
      </c>
      <c r="AA181" s="553">
        <f t="shared" si="87"/>
        <v>0</v>
      </c>
      <c r="AB181" s="553">
        <f t="shared" si="87"/>
        <v>0</v>
      </c>
      <c r="AC181" s="553">
        <f t="shared" si="87"/>
        <v>0</v>
      </c>
      <c r="AD181" s="553">
        <f t="shared" si="87"/>
        <v>0</v>
      </c>
      <c r="AE181" s="553">
        <f t="shared" si="87"/>
        <v>0</v>
      </c>
      <c r="AF181" s="553">
        <f t="shared" si="87"/>
        <v>0</v>
      </c>
      <c r="AG181" s="436">
        <v>1</v>
      </c>
      <c r="AI181" s="174"/>
    </row>
    <row r="182" spans="1:35">
      <c r="A182" s="215" t="s">
        <v>946</v>
      </c>
      <c r="B182" s="232" t="s">
        <v>940</v>
      </c>
      <c r="C182" s="232">
        <v>2050</v>
      </c>
      <c r="D182" s="232" t="s">
        <v>945</v>
      </c>
      <c r="E182" s="553">
        <f t="shared" si="88"/>
        <v>54.0000188514882</v>
      </c>
      <c r="F182" s="553">
        <f t="shared" si="87"/>
        <v>0</v>
      </c>
      <c r="G182" s="553">
        <f t="shared" si="87"/>
        <v>222.60001881834</v>
      </c>
      <c r="H182" s="553">
        <f t="shared" si="87"/>
        <v>1030.8000187606799</v>
      </c>
      <c r="I182" s="553">
        <f t="shared" si="87"/>
        <v>662.40001872334631</v>
      </c>
      <c r="J182" s="553">
        <f t="shared" si="87"/>
        <v>0</v>
      </c>
      <c r="K182" s="553">
        <f t="shared" si="87"/>
        <v>22978.800019097242</v>
      </c>
      <c r="L182" s="553">
        <f t="shared" si="87"/>
        <v>0</v>
      </c>
      <c r="M182" s="553">
        <f t="shared" si="87"/>
        <v>0</v>
      </c>
      <c r="N182" s="553">
        <f t="shared" si="87"/>
        <v>834.00001945767576</v>
      </c>
      <c r="O182" s="553">
        <f t="shared" si="87"/>
        <v>0</v>
      </c>
      <c r="P182" s="553">
        <f t="shared" si="87"/>
        <v>8817.6000180742467</v>
      </c>
      <c r="Q182" s="553">
        <f t="shared" si="87"/>
        <v>1233.6000187558902</v>
      </c>
      <c r="R182" s="553">
        <f t="shared" si="87"/>
        <v>0</v>
      </c>
      <c r="S182" s="553">
        <f t="shared" si="87"/>
        <v>0</v>
      </c>
      <c r="T182" s="553">
        <f t="shared" si="87"/>
        <v>0</v>
      </c>
      <c r="U182" s="553">
        <f t="shared" si="87"/>
        <v>0</v>
      </c>
      <c r="V182" s="553">
        <f t="shared" si="87"/>
        <v>18022.800018785943</v>
      </c>
      <c r="W182" s="553">
        <f t="shared" si="87"/>
        <v>0</v>
      </c>
      <c r="X182" s="553">
        <f t="shared" si="87"/>
        <v>515.10001877354887</v>
      </c>
      <c r="Y182" s="553">
        <f t="shared" si="87"/>
        <v>26220.600017041656</v>
      </c>
      <c r="Z182" s="553">
        <f t="shared" si="87"/>
        <v>1502.4000187500094</v>
      </c>
      <c r="AA182" s="553">
        <f t="shared" si="87"/>
        <v>0</v>
      </c>
      <c r="AB182" s="553">
        <f t="shared" si="87"/>
        <v>0</v>
      </c>
      <c r="AC182" s="553">
        <f t="shared" si="87"/>
        <v>0</v>
      </c>
      <c r="AD182" s="553">
        <f t="shared" si="87"/>
        <v>0</v>
      </c>
      <c r="AE182" s="553">
        <f t="shared" si="87"/>
        <v>0</v>
      </c>
      <c r="AF182" s="553">
        <f t="shared" si="87"/>
        <v>0</v>
      </c>
      <c r="AG182" s="436">
        <v>1</v>
      </c>
      <c r="AI182" s="174"/>
    </row>
    <row r="183" spans="1:35">
      <c r="A183" s="215" t="s">
        <v>946</v>
      </c>
      <c r="B183" s="232" t="s">
        <v>940</v>
      </c>
      <c r="C183" s="232">
        <v>2060</v>
      </c>
      <c r="D183" s="232" t="s">
        <v>945</v>
      </c>
      <c r="E183" s="553">
        <f t="shared" si="88"/>
        <v>54.0000188514882</v>
      </c>
      <c r="F183" s="553">
        <f t="shared" si="87"/>
        <v>0</v>
      </c>
      <c r="G183" s="553">
        <f t="shared" si="87"/>
        <v>222.60001881834</v>
      </c>
      <c r="H183" s="553">
        <f t="shared" si="87"/>
        <v>1030.8000187606799</v>
      </c>
      <c r="I183" s="553">
        <f t="shared" si="87"/>
        <v>662.40001872334631</v>
      </c>
      <c r="J183" s="553">
        <f t="shared" si="87"/>
        <v>0</v>
      </c>
      <c r="K183" s="553">
        <f t="shared" si="87"/>
        <v>22978.800019097242</v>
      </c>
      <c r="L183" s="553">
        <f t="shared" si="87"/>
        <v>0</v>
      </c>
      <c r="M183" s="553">
        <f t="shared" si="87"/>
        <v>0</v>
      </c>
      <c r="N183" s="553">
        <f t="shared" si="87"/>
        <v>834.00001945767576</v>
      </c>
      <c r="O183" s="553">
        <f t="shared" si="87"/>
        <v>0</v>
      </c>
      <c r="P183" s="553">
        <f t="shared" si="87"/>
        <v>8817.6000180742467</v>
      </c>
      <c r="Q183" s="553">
        <f t="shared" si="87"/>
        <v>1233.6000187558902</v>
      </c>
      <c r="R183" s="553">
        <f t="shared" si="87"/>
        <v>0</v>
      </c>
      <c r="S183" s="553">
        <f t="shared" si="87"/>
        <v>0</v>
      </c>
      <c r="T183" s="553">
        <f t="shared" si="87"/>
        <v>0</v>
      </c>
      <c r="U183" s="553">
        <f t="shared" si="87"/>
        <v>0</v>
      </c>
      <c r="V183" s="553">
        <f t="shared" si="87"/>
        <v>18022.800018785943</v>
      </c>
      <c r="W183" s="553">
        <f t="shared" si="87"/>
        <v>0</v>
      </c>
      <c r="X183" s="553">
        <f t="shared" si="87"/>
        <v>515.10001877354887</v>
      </c>
      <c r="Y183" s="553">
        <f t="shared" si="87"/>
        <v>26220.600017041656</v>
      </c>
      <c r="Z183" s="553">
        <f t="shared" si="87"/>
        <v>1502.4000187500094</v>
      </c>
      <c r="AA183" s="553">
        <f t="shared" si="87"/>
        <v>0</v>
      </c>
      <c r="AB183" s="553">
        <f t="shared" si="87"/>
        <v>0</v>
      </c>
      <c r="AC183" s="553">
        <f t="shared" si="87"/>
        <v>0</v>
      </c>
      <c r="AD183" s="553">
        <f t="shared" si="87"/>
        <v>0</v>
      </c>
      <c r="AE183" s="553">
        <f t="shared" si="87"/>
        <v>0</v>
      </c>
      <c r="AF183" s="553">
        <f t="shared" si="87"/>
        <v>0</v>
      </c>
      <c r="AG183" s="436">
        <v>1</v>
      </c>
      <c r="AI183" s="174"/>
    </row>
    <row r="184" spans="1:35">
      <c r="A184" s="215" t="s">
        <v>946</v>
      </c>
      <c r="B184" s="232" t="s">
        <v>940</v>
      </c>
      <c r="C184" s="232">
        <v>2070</v>
      </c>
      <c r="D184" s="232" t="s">
        <v>945</v>
      </c>
      <c r="E184" s="553">
        <f t="shared" si="88"/>
        <v>54.0000188514882</v>
      </c>
      <c r="F184" s="553">
        <f t="shared" si="87"/>
        <v>0</v>
      </c>
      <c r="G184" s="553">
        <f t="shared" si="87"/>
        <v>222.60001881834</v>
      </c>
      <c r="H184" s="553">
        <f t="shared" si="87"/>
        <v>1030.8000187606799</v>
      </c>
      <c r="I184" s="553">
        <f t="shared" si="87"/>
        <v>662.40001872334631</v>
      </c>
      <c r="J184" s="553">
        <f t="shared" si="87"/>
        <v>0</v>
      </c>
      <c r="K184" s="553">
        <f t="shared" si="87"/>
        <v>22978.800019097242</v>
      </c>
      <c r="L184" s="553">
        <f t="shared" si="87"/>
        <v>0</v>
      </c>
      <c r="M184" s="553">
        <f t="shared" si="87"/>
        <v>0</v>
      </c>
      <c r="N184" s="553">
        <f t="shared" si="87"/>
        <v>834.00001945767576</v>
      </c>
      <c r="O184" s="553">
        <f t="shared" si="87"/>
        <v>0</v>
      </c>
      <c r="P184" s="553">
        <f t="shared" si="87"/>
        <v>8817.6000180742467</v>
      </c>
      <c r="Q184" s="553">
        <f t="shared" si="87"/>
        <v>1233.6000187558902</v>
      </c>
      <c r="R184" s="553">
        <f t="shared" si="87"/>
        <v>0</v>
      </c>
      <c r="S184" s="553">
        <f t="shared" si="87"/>
        <v>0</v>
      </c>
      <c r="T184" s="553">
        <f t="shared" si="87"/>
        <v>0</v>
      </c>
      <c r="U184" s="553">
        <f t="shared" si="87"/>
        <v>0</v>
      </c>
      <c r="V184" s="553">
        <f t="shared" si="87"/>
        <v>18022.800018785943</v>
      </c>
      <c r="W184" s="553">
        <f t="shared" si="87"/>
        <v>0</v>
      </c>
      <c r="X184" s="553">
        <f t="shared" si="87"/>
        <v>515.10001877354887</v>
      </c>
      <c r="Y184" s="553">
        <f t="shared" si="87"/>
        <v>26220.600017041656</v>
      </c>
      <c r="Z184" s="553">
        <f t="shared" si="87"/>
        <v>1502.4000187500094</v>
      </c>
      <c r="AA184" s="553">
        <f t="shared" si="87"/>
        <v>0</v>
      </c>
      <c r="AB184" s="553">
        <f t="shared" si="87"/>
        <v>0</v>
      </c>
      <c r="AC184" s="553">
        <f t="shared" si="87"/>
        <v>0</v>
      </c>
      <c r="AD184" s="553">
        <f t="shared" si="87"/>
        <v>0</v>
      </c>
      <c r="AE184" s="553">
        <f t="shared" si="87"/>
        <v>0</v>
      </c>
      <c r="AF184" s="553">
        <f t="shared" si="87"/>
        <v>0</v>
      </c>
      <c r="AG184" s="436">
        <v>1</v>
      </c>
      <c r="AI184" s="174"/>
    </row>
    <row r="185" spans="1:35">
      <c r="A185" s="215" t="s">
        <v>946</v>
      </c>
      <c r="B185" s="232" t="s">
        <v>940</v>
      </c>
      <c r="C185" s="232">
        <v>2080</v>
      </c>
      <c r="D185" s="232" t="s">
        <v>945</v>
      </c>
      <c r="E185" s="553">
        <f t="shared" si="88"/>
        <v>54.0000188514882</v>
      </c>
      <c r="F185" s="553">
        <f t="shared" si="87"/>
        <v>0</v>
      </c>
      <c r="G185" s="553">
        <f t="shared" si="87"/>
        <v>222.60001881834</v>
      </c>
      <c r="H185" s="553">
        <f t="shared" si="87"/>
        <v>1030.8000187606799</v>
      </c>
      <c r="I185" s="553">
        <f t="shared" si="87"/>
        <v>662.40001872334631</v>
      </c>
      <c r="J185" s="553">
        <f t="shared" si="87"/>
        <v>0</v>
      </c>
      <c r="K185" s="553">
        <f t="shared" si="87"/>
        <v>22978.800019097242</v>
      </c>
      <c r="L185" s="553">
        <f t="shared" si="87"/>
        <v>0</v>
      </c>
      <c r="M185" s="553">
        <f t="shared" si="87"/>
        <v>0</v>
      </c>
      <c r="N185" s="553">
        <f t="shared" si="87"/>
        <v>834.00001945767576</v>
      </c>
      <c r="O185" s="553">
        <f t="shared" si="87"/>
        <v>0</v>
      </c>
      <c r="P185" s="553">
        <f t="shared" si="87"/>
        <v>8817.6000180742467</v>
      </c>
      <c r="Q185" s="553">
        <f t="shared" si="87"/>
        <v>1233.6000187558902</v>
      </c>
      <c r="R185" s="553">
        <f t="shared" ref="R185:R187" si="89">R184</f>
        <v>0</v>
      </c>
      <c r="S185" s="553">
        <f t="shared" ref="S185:S187" si="90">S184</f>
        <v>0</v>
      </c>
      <c r="T185" s="553">
        <f t="shared" ref="T185:T187" si="91">T184</f>
        <v>0</v>
      </c>
      <c r="U185" s="553">
        <f t="shared" ref="U185:U187" si="92">U184</f>
        <v>0</v>
      </c>
      <c r="V185" s="553">
        <f t="shared" ref="V185:V187" si="93">V184</f>
        <v>18022.800018785943</v>
      </c>
      <c r="W185" s="553">
        <f t="shared" ref="W185:W187" si="94">W184</f>
        <v>0</v>
      </c>
      <c r="X185" s="553">
        <f t="shared" ref="X185:X187" si="95">X184</f>
        <v>515.10001877354887</v>
      </c>
      <c r="Y185" s="553">
        <f t="shared" ref="Y185:Y187" si="96">Y184</f>
        <v>26220.600017041656</v>
      </c>
      <c r="Z185" s="553">
        <f t="shared" ref="Z185:Z187" si="97">Z184</f>
        <v>1502.4000187500094</v>
      </c>
      <c r="AA185" s="553">
        <f t="shared" ref="AA185:AA187" si="98">AA184</f>
        <v>0</v>
      </c>
      <c r="AB185" s="553">
        <f t="shared" ref="AB185:AB187" si="99">AB184</f>
        <v>0</v>
      </c>
      <c r="AC185" s="553">
        <f t="shared" ref="AC185:AC187" si="100">AC184</f>
        <v>0</v>
      </c>
      <c r="AD185" s="553">
        <f t="shared" ref="AD185:AD187" si="101">AD184</f>
        <v>0</v>
      </c>
      <c r="AE185" s="553">
        <f t="shared" ref="AE185:AE187" si="102">AE184</f>
        <v>0</v>
      </c>
      <c r="AF185" s="553">
        <f t="shared" ref="AF185:AF187" si="103">AF184</f>
        <v>0</v>
      </c>
      <c r="AG185" s="436">
        <v>1</v>
      </c>
      <c r="AI185" s="174"/>
    </row>
    <row r="186" spans="1:35">
      <c r="A186" s="215" t="s">
        <v>946</v>
      </c>
      <c r="B186" s="232" t="s">
        <v>940</v>
      </c>
      <c r="C186" s="232">
        <v>2090</v>
      </c>
      <c r="D186" s="232" t="s">
        <v>945</v>
      </c>
      <c r="E186" s="553">
        <f t="shared" si="88"/>
        <v>54.0000188514882</v>
      </c>
      <c r="F186" s="553">
        <f t="shared" ref="F186:F187" si="104">F185</f>
        <v>0</v>
      </c>
      <c r="G186" s="553">
        <f t="shared" ref="G186:G187" si="105">G185</f>
        <v>222.60001881834</v>
      </c>
      <c r="H186" s="553">
        <f t="shared" ref="H186:H187" si="106">H185</f>
        <v>1030.8000187606799</v>
      </c>
      <c r="I186" s="553">
        <f t="shared" ref="I186:I187" si="107">I185</f>
        <v>662.40001872334631</v>
      </c>
      <c r="J186" s="553">
        <f t="shared" ref="J186:J187" si="108">J185</f>
        <v>0</v>
      </c>
      <c r="K186" s="553">
        <f t="shared" ref="K186:K187" si="109">K185</f>
        <v>22978.800019097242</v>
      </c>
      <c r="L186" s="553">
        <f t="shared" ref="L186:L187" si="110">L185</f>
        <v>0</v>
      </c>
      <c r="M186" s="553">
        <f t="shared" ref="M186:M187" si="111">M185</f>
        <v>0</v>
      </c>
      <c r="N186" s="553">
        <f t="shared" ref="N186:N187" si="112">N185</f>
        <v>834.00001945767576</v>
      </c>
      <c r="O186" s="553">
        <f t="shared" ref="O186:O187" si="113">O185</f>
        <v>0</v>
      </c>
      <c r="P186" s="553">
        <f t="shared" ref="P186:P187" si="114">P185</f>
        <v>8817.6000180742467</v>
      </c>
      <c r="Q186" s="553">
        <f t="shared" ref="Q186:Q187" si="115">Q185</f>
        <v>1233.6000187558902</v>
      </c>
      <c r="R186" s="553">
        <f t="shared" si="89"/>
        <v>0</v>
      </c>
      <c r="S186" s="553">
        <f t="shared" si="90"/>
        <v>0</v>
      </c>
      <c r="T186" s="553">
        <f t="shared" si="91"/>
        <v>0</v>
      </c>
      <c r="U186" s="553">
        <f t="shared" si="92"/>
        <v>0</v>
      </c>
      <c r="V186" s="553">
        <f t="shared" si="93"/>
        <v>18022.800018785943</v>
      </c>
      <c r="W186" s="553">
        <f t="shared" si="94"/>
        <v>0</v>
      </c>
      <c r="X186" s="553">
        <f t="shared" si="95"/>
        <v>515.10001877354887</v>
      </c>
      <c r="Y186" s="553">
        <f t="shared" si="96"/>
        <v>26220.600017041656</v>
      </c>
      <c r="Z186" s="553">
        <f t="shared" si="97"/>
        <v>1502.4000187500094</v>
      </c>
      <c r="AA186" s="553">
        <f t="shared" si="98"/>
        <v>0</v>
      </c>
      <c r="AB186" s="553">
        <f t="shared" si="99"/>
        <v>0</v>
      </c>
      <c r="AC186" s="553">
        <f t="shared" si="100"/>
        <v>0</v>
      </c>
      <c r="AD186" s="553">
        <f t="shared" si="101"/>
        <v>0</v>
      </c>
      <c r="AE186" s="553">
        <f t="shared" si="102"/>
        <v>0</v>
      </c>
      <c r="AF186" s="553">
        <f t="shared" si="103"/>
        <v>0</v>
      </c>
      <c r="AG186" s="436">
        <v>1</v>
      </c>
      <c r="AI186" s="174"/>
    </row>
    <row r="187" spans="1:35">
      <c r="A187" s="229" t="s">
        <v>946</v>
      </c>
      <c r="B187" s="235" t="s">
        <v>940</v>
      </c>
      <c r="C187" s="235">
        <v>2100</v>
      </c>
      <c r="D187" s="235" t="s">
        <v>945</v>
      </c>
      <c r="E187" s="555">
        <f t="shared" si="88"/>
        <v>54.0000188514882</v>
      </c>
      <c r="F187" s="555">
        <f t="shared" si="104"/>
        <v>0</v>
      </c>
      <c r="G187" s="555">
        <f t="shared" si="105"/>
        <v>222.60001881834</v>
      </c>
      <c r="H187" s="555">
        <f t="shared" si="106"/>
        <v>1030.8000187606799</v>
      </c>
      <c r="I187" s="555">
        <f t="shared" si="107"/>
        <v>662.40001872334631</v>
      </c>
      <c r="J187" s="555">
        <f t="shared" si="108"/>
        <v>0</v>
      </c>
      <c r="K187" s="555">
        <f t="shared" si="109"/>
        <v>22978.800019097242</v>
      </c>
      <c r="L187" s="555">
        <f t="shared" si="110"/>
        <v>0</v>
      </c>
      <c r="M187" s="555">
        <f t="shared" si="111"/>
        <v>0</v>
      </c>
      <c r="N187" s="555">
        <f t="shared" si="112"/>
        <v>834.00001945767576</v>
      </c>
      <c r="O187" s="555">
        <f t="shared" si="113"/>
        <v>0</v>
      </c>
      <c r="P187" s="555">
        <f t="shared" si="114"/>
        <v>8817.6000180742467</v>
      </c>
      <c r="Q187" s="555">
        <f t="shared" si="115"/>
        <v>1233.6000187558902</v>
      </c>
      <c r="R187" s="555">
        <f t="shared" si="89"/>
        <v>0</v>
      </c>
      <c r="S187" s="555">
        <f t="shared" si="90"/>
        <v>0</v>
      </c>
      <c r="T187" s="555">
        <f t="shared" si="91"/>
        <v>0</v>
      </c>
      <c r="U187" s="555">
        <f t="shared" si="92"/>
        <v>0</v>
      </c>
      <c r="V187" s="555">
        <f t="shared" si="93"/>
        <v>18022.800018785943</v>
      </c>
      <c r="W187" s="555">
        <f t="shared" si="94"/>
        <v>0</v>
      </c>
      <c r="X187" s="555">
        <f t="shared" si="95"/>
        <v>515.10001877354887</v>
      </c>
      <c r="Y187" s="555">
        <f t="shared" si="96"/>
        <v>26220.600017041656</v>
      </c>
      <c r="Z187" s="555">
        <f t="shared" si="97"/>
        <v>1502.4000187500094</v>
      </c>
      <c r="AA187" s="555">
        <f t="shared" si="98"/>
        <v>0</v>
      </c>
      <c r="AB187" s="555">
        <f t="shared" si="99"/>
        <v>0</v>
      </c>
      <c r="AC187" s="555">
        <f t="shared" si="100"/>
        <v>0</v>
      </c>
      <c r="AD187" s="555">
        <f t="shared" si="101"/>
        <v>0</v>
      </c>
      <c r="AE187" s="555">
        <f t="shared" si="102"/>
        <v>0</v>
      </c>
      <c r="AF187" s="555">
        <f t="shared" si="103"/>
        <v>0</v>
      </c>
      <c r="AG187" s="437">
        <v>1</v>
      </c>
      <c r="AI187" s="174"/>
    </row>
    <row r="188" spans="1:35">
      <c r="A188" t="s">
        <v>946</v>
      </c>
      <c r="B188" s="231" t="s">
        <v>941</v>
      </c>
      <c r="C188" s="232">
        <v>2019</v>
      </c>
      <c r="D188" s="231" t="s">
        <v>945</v>
      </c>
      <c r="E188" s="553">
        <f>IF((Biomass_Calibration!B5-E162-E175)&lt;0,0,(Biomass_Calibration!B5-E162-E175))*2</f>
        <v>72.000025135317614</v>
      </c>
      <c r="F188" s="553">
        <f>IF((Biomass_Calibration!C5-F162-F175)&lt;0,0,(Biomass_Calibration!C5-F162-F175))*2</f>
        <v>0</v>
      </c>
      <c r="G188" s="553">
        <f>IF((Biomass_Calibration!D5-G162-G175)&lt;0,0,(Biomass_Calibration!D5-G162-G175))*2</f>
        <v>296.80002509112001</v>
      </c>
      <c r="H188" s="553">
        <f>IF((Biomass_Calibration!E5-H162-H175)&lt;0,0,(Biomass_Calibration!E5-H162-H175))*2</f>
        <v>1374.4000250142399</v>
      </c>
      <c r="I188" s="553">
        <f>IF((Biomass_Calibration!F5-I162-I175)&lt;0,0,(Biomass_Calibration!F5-I162-I175))*2</f>
        <v>883.20002496446182</v>
      </c>
      <c r="J188" s="553">
        <f>IF((Biomass_Calibration!G5-J162-J175)&lt;0,0,(Biomass_Calibration!G5-J162-J175))*2</f>
        <v>0</v>
      </c>
      <c r="K188" s="553">
        <f>IF((Biomass_Calibration!H5-K162-K175)&lt;0,0,(Biomass_Calibration!H5-K162-K175))*2</f>
        <v>30638.400025462986</v>
      </c>
      <c r="L188" s="553">
        <f>IF((Biomass_Calibration!I5-L162-L175)&lt;0,0,(Biomass_Calibration!I5-L162-L175))*2</f>
        <v>0</v>
      </c>
      <c r="M188" s="553">
        <f>IF((Biomass_Calibration!J5-M162-M175)&lt;0,0,(Biomass_Calibration!J5-M162-M175))*2</f>
        <v>0</v>
      </c>
      <c r="N188" s="553">
        <f>IF((Biomass_Calibration!K5-N162-N175)&lt;0,0,(Biomass_Calibration!K5-N162-N175))*2</f>
        <v>1112.0000259435678</v>
      </c>
      <c r="O188" s="553">
        <f>IF((Biomass_Calibration!L5-O162-O175)&lt;0,0,(Biomass_Calibration!L5-O162-O175))*2</f>
        <v>0</v>
      </c>
      <c r="P188" s="553">
        <f>IF((Biomass_Calibration!M5-P162-P175)&lt;0,0,(Biomass_Calibration!M5-P162-P175))*2</f>
        <v>11756.800024098997</v>
      </c>
      <c r="Q188" s="553">
        <f>IF((Biomass_Calibration!N5-Q162-Q175)&lt;0,0,(Biomass_Calibration!N5-Q162-Q175))*2</f>
        <v>1644.8000250078539</v>
      </c>
      <c r="R188" s="553">
        <f>IF((Biomass_Calibration!O5-R162-R175)&lt;0,0,(Biomass_Calibration!O5-R162-R175))*2</f>
        <v>0</v>
      </c>
      <c r="S188" s="553">
        <f>IF((Biomass_Calibration!P5-S162-S175)&lt;0,0,(Biomass_Calibration!P5-S162-S175))*2</f>
        <v>0</v>
      </c>
      <c r="T188" s="553">
        <f>IF((Biomass_Calibration!Q5-T162-T175)&lt;0,0,(Biomass_Calibration!Q5-T162-T175))*2</f>
        <v>0</v>
      </c>
      <c r="U188" s="553">
        <f>IF((Biomass_Calibration!R5-U162-U175)&lt;0,0,(Biomass_Calibration!R5-U162-U175))*2</f>
        <v>0</v>
      </c>
      <c r="V188" s="553">
        <f>IF((Biomass_Calibration!S5-V162-V175)&lt;0,0,(Biomass_Calibration!S5-V162-V175))*2</f>
        <v>24030.400025047929</v>
      </c>
      <c r="W188" s="553">
        <f>IF((Biomass_Calibration!T5-W162-W175)&lt;0,0,(Biomass_Calibration!T5-W162-W175))*2</f>
        <v>0</v>
      </c>
      <c r="X188" s="553">
        <f>IF((Biomass_Calibration!U5-X162-X175)&lt;0,0,(Biomass_Calibration!U5-X162-X175))*2</f>
        <v>686.80002503139872</v>
      </c>
      <c r="Y188" s="553">
        <f>IF((Biomass_Calibration!V5-Y162-Y175)&lt;0,0,(Biomass_Calibration!V5-Y162-Y175))*2</f>
        <v>34960.800022722215</v>
      </c>
      <c r="Z188" s="553">
        <f>IF((Biomass_Calibration!W5-Z162-Z175)&lt;0,0,(Biomass_Calibration!W5-Z162-Z175))*2</f>
        <v>2003.2000250000124</v>
      </c>
      <c r="AA188" s="553">
        <f>IF((Biomass_Calibration!X5-AA162-AA175)&lt;0,0,(Biomass_Calibration!X5-AA162-AA175))*2</f>
        <v>0</v>
      </c>
      <c r="AB188" s="553">
        <f>IF((Biomass_Calibration!Y5-AB162-AB175)&lt;0,0,(Biomass_Calibration!Y5-AB162-AB175))*2</f>
        <v>0</v>
      </c>
      <c r="AC188" s="553">
        <f>IF((Biomass_Calibration!Z5-AC162-AC175)&lt;0,0,(Biomass_Calibration!Z5-AC162-AC175))*2</f>
        <v>0</v>
      </c>
      <c r="AD188" s="553">
        <f>IF((Biomass_Calibration!AA5-AD162-AD175)&lt;0,0,(Biomass_Calibration!AA5-AD162-AD175))*2</f>
        <v>0</v>
      </c>
      <c r="AE188" s="553">
        <f>IF((Biomass_Calibration!AB5-AE162-AE175)&lt;0,0,(Biomass_Calibration!AB5-AE162-AE175))*2</f>
        <v>0</v>
      </c>
      <c r="AF188" s="553">
        <f>IF((Biomass_Calibration!AC5-AF162-AF175)&lt;0,0,(Biomass_Calibration!AC5-AF162-AF175))*2</f>
        <v>0</v>
      </c>
      <c r="AG188" s="453">
        <v>1</v>
      </c>
    </row>
    <row r="189" spans="1:35">
      <c r="A189" s="215" t="s">
        <v>946</v>
      </c>
      <c r="B189" s="232" t="s">
        <v>941</v>
      </c>
      <c r="C189">
        <v>2020</v>
      </c>
      <c r="D189" s="232" t="s">
        <v>945</v>
      </c>
      <c r="E189" s="553">
        <f>E188</f>
        <v>72.000025135317614</v>
      </c>
      <c r="F189" s="553">
        <f t="shared" ref="F189:AF198" si="116">F188</f>
        <v>0</v>
      </c>
      <c r="G189" s="553">
        <f t="shared" si="116"/>
        <v>296.80002509112001</v>
      </c>
      <c r="H189" s="553">
        <f t="shared" si="116"/>
        <v>1374.4000250142399</v>
      </c>
      <c r="I189" s="553">
        <f t="shared" si="116"/>
        <v>883.20002496446182</v>
      </c>
      <c r="J189" s="553">
        <f t="shared" si="116"/>
        <v>0</v>
      </c>
      <c r="K189" s="553">
        <f t="shared" si="116"/>
        <v>30638.400025462986</v>
      </c>
      <c r="L189" s="553">
        <f t="shared" si="116"/>
        <v>0</v>
      </c>
      <c r="M189" s="553">
        <f t="shared" si="116"/>
        <v>0</v>
      </c>
      <c r="N189" s="553">
        <f t="shared" si="116"/>
        <v>1112.0000259435678</v>
      </c>
      <c r="O189" s="553">
        <f t="shared" si="116"/>
        <v>0</v>
      </c>
      <c r="P189" s="553">
        <f t="shared" si="116"/>
        <v>11756.800024098997</v>
      </c>
      <c r="Q189" s="553">
        <f t="shared" si="116"/>
        <v>1644.8000250078539</v>
      </c>
      <c r="R189" s="553">
        <f t="shared" si="116"/>
        <v>0</v>
      </c>
      <c r="S189" s="553">
        <f t="shared" si="116"/>
        <v>0</v>
      </c>
      <c r="T189" s="553">
        <f t="shared" si="116"/>
        <v>0</v>
      </c>
      <c r="U189" s="553">
        <f t="shared" si="116"/>
        <v>0</v>
      </c>
      <c r="V189" s="553">
        <f t="shared" si="116"/>
        <v>24030.400025047929</v>
      </c>
      <c r="W189" s="553">
        <f t="shared" si="116"/>
        <v>0</v>
      </c>
      <c r="X189" s="553">
        <f t="shared" si="116"/>
        <v>686.80002503139872</v>
      </c>
      <c r="Y189" s="553">
        <f t="shared" si="116"/>
        <v>34960.800022722215</v>
      </c>
      <c r="Z189" s="553">
        <f t="shared" si="116"/>
        <v>2003.2000250000124</v>
      </c>
      <c r="AA189" s="553">
        <f t="shared" si="116"/>
        <v>0</v>
      </c>
      <c r="AB189" s="553">
        <f t="shared" si="116"/>
        <v>0</v>
      </c>
      <c r="AC189" s="553">
        <f t="shared" si="116"/>
        <v>0</v>
      </c>
      <c r="AD189" s="553">
        <f t="shared" si="116"/>
        <v>0</v>
      </c>
      <c r="AE189" s="553">
        <f t="shared" si="116"/>
        <v>0</v>
      </c>
      <c r="AF189" s="553">
        <f t="shared" si="116"/>
        <v>0</v>
      </c>
      <c r="AG189" s="436">
        <v>1</v>
      </c>
      <c r="AI189" s="174"/>
    </row>
    <row r="190" spans="1:35">
      <c r="A190" s="215" t="s">
        <v>946</v>
      </c>
      <c r="B190" s="232" t="s">
        <v>941</v>
      </c>
      <c r="C190" s="232">
        <v>2025</v>
      </c>
      <c r="D190" s="232" t="s">
        <v>945</v>
      </c>
      <c r="E190" s="553">
        <f t="shared" ref="E190:E200" si="117">E189</f>
        <v>72.000025135317614</v>
      </c>
      <c r="F190" s="553">
        <f t="shared" si="116"/>
        <v>0</v>
      </c>
      <c r="G190" s="553">
        <f t="shared" si="116"/>
        <v>296.80002509112001</v>
      </c>
      <c r="H190" s="553">
        <f t="shared" si="116"/>
        <v>1374.4000250142399</v>
      </c>
      <c r="I190" s="553">
        <f t="shared" si="116"/>
        <v>883.20002496446182</v>
      </c>
      <c r="J190" s="553">
        <f t="shared" si="116"/>
        <v>0</v>
      </c>
      <c r="K190" s="553">
        <f t="shared" si="116"/>
        <v>30638.400025462986</v>
      </c>
      <c r="L190" s="553">
        <f t="shared" si="116"/>
        <v>0</v>
      </c>
      <c r="M190" s="553">
        <f t="shared" si="116"/>
        <v>0</v>
      </c>
      <c r="N190" s="553">
        <f t="shared" si="116"/>
        <v>1112.0000259435678</v>
      </c>
      <c r="O190" s="553">
        <f t="shared" si="116"/>
        <v>0</v>
      </c>
      <c r="P190" s="553">
        <f t="shared" si="116"/>
        <v>11756.800024098997</v>
      </c>
      <c r="Q190" s="553">
        <f t="shared" si="116"/>
        <v>1644.8000250078539</v>
      </c>
      <c r="R190" s="553">
        <f t="shared" si="116"/>
        <v>0</v>
      </c>
      <c r="S190" s="553">
        <f t="shared" si="116"/>
        <v>0</v>
      </c>
      <c r="T190" s="553">
        <f t="shared" si="116"/>
        <v>0</v>
      </c>
      <c r="U190" s="553">
        <f t="shared" si="116"/>
        <v>0</v>
      </c>
      <c r="V190" s="553">
        <f t="shared" si="116"/>
        <v>24030.400025047929</v>
      </c>
      <c r="W190" s="553">
        <f t="shared" si="116"/>
        <v>0</v>
      </c>
      <c r="X190" s="553">
        <f t="shared" si="116"/>
        <v>686.80002503139872</v>
      </c>
      <c r="Y190" s="553">
        <f t="shared" si="116"/>
        <v>34960.800022722215</v>
      </c>
      <c r="Z190" s="553">
        <f t="shared" si="116"/>
        <v>2003.2000250000124</v>
      </c>
      <c r="AA190" s="553">
        <f t="shared" si="116"/>
        <v>0</v>
      </c>
      <c r="AB190" s="553">
        <f t="shared" si="116"/>
        <v>0</v>
      </c>
      <c r="AC190" s="553">
        <f t="shared" si="116"/>
        <v>0</v>
      </c>
      <c r="AD190" s="553">
        <f t="shared" si="116"/>
        <v>0</v>
      </c>
      <c r="AE190" s="553">
        <f t="shared" si="116"/>
        <v>0</v>
      </c>
      <c r="AF190" s="553">
        <f t="shared" si="116"/>
        <v>0</v>
      </c>
      <c r="AG190" s="436">
        <v>1</v>
      </c>
      <c r="AI190" s="174"/>
    </row>
    <row r="191" spans="1:35">
      <c r="A191" s="215" t="s">
        <v>946</v>
      </c>
      <c r="B191" s="232" t="s">
        <v>941</v>
      </c>
      <c r="C191" s="232">
        <v>2030</v>
      </c>
      <c r="D191" s="232" t="s">
        <v>945</v>
      </c>
      <c r="E191" s="553">
        <f t="shared" si="117"/>
        <v>72.000025135317614</v>
      </c>
      <c r="F191" s="553">
        <f t="shared" si="116"/>
        <v>0</v>
      </c>
      <c r="G191" s="553">
        <f t="shared" si="116"/>
        <v>296.80002509112001</v>
      </c>
      <c r="H191" s="553">
        <f t="shared" si="116"/>
        <v>1374.4000250142399</v>
      </c>
      <c r="I191" s="553">
        <f t="shared" si="116"/>
        <v>883.20002496446182</v>
      </c>
      <c r="J191" s="553">
        <f t="shared" si="116"/>
        <v>0</v>
      </c>
      <c r="K191" s="553">
        <f t="shared" si="116"/>
        <v>30638.400025462986</v>
      </c>
      <c r="L191" s="553">
        <f t="shared" si="116"/>
        <v>0</v>
      </c>
      <c r="M191" s="553">
        <f t="shared" si="116"/>
        <v>0</v>
      </c>
      <c r="N191" s="553">
        <f t="shared" si="116"/>
        <v>1112.0000259435678</v>
      </c>
      <c r="O191" s="553">
        <f t="shared" si="116"/>
        <v>0</v>
      </c>
      <c r="P191" s="553">
        <f t="shared" si="116"/>
        <v>11756.800024098997</v>
      </c>
      <c r="Q191" s="553">
        <f t="shared" si="116"/>
        <v>1644.8000250078539</v>
      </c>
      <c r="R191" s="553">
        <f t="shared" si="116"/>
        <v>0</v>
      </c>
      <c r="S191" s="553">
        <f t="shared" si="116"/>
        <v>0</v>
      </c>
      <c r="T191" s="553">
        <f t="shared" si="116"/>
        <v>0</v>
      </c>
      <c r="U191" s="553">
        <f t="shared" si="116"/>
        <v>0</v>
      </c>
      <c r="V191" s="553">
        <f t="shared" si="116"/>
        <v>24030.400025047929</v>
      </c>
      <c r="W191" s="553">
        <f t="shared" si="116"/>
        <v>0</v>
      </c>
      <c r="X191" s="553">
        <f t="shared" si="116"/>
        <v>686.80002503139872</v>
      </c>
      <c r="Y191" s="553">
        <f t="shared" si="116"/>
        <v>34960.800022722215</v>
      </c>
      <c r="Z191" s="553">
        <f t="shared" si="116"/>
        <v>2003.2000250000124</v>
      </c>
      <c r="AA191" s="553">
        <f t="shared" si="116"/>
        <v>0</v>
      </c>
      <c r="AB191" s="553">
        <f t="shared" si="116"/>
        <v>0</v>
      </c>
      <c r="AC191" s="553">
        <f t="shared" si="116"/>
        <v>0</v>
      </c>
      <c r="AD191" s="553">
        <f t="shared" si="116"/>
        <v>0</v>
      </c>
      <c r="AE191" s="553">
        <f t="shared" si="116"/>
        <v>0</v>
      </c>
      <c r="AF191" s="553">
        <f t="shared" si="116"/>
        <v>0</v>
      </c>
      <c r="AG191" s="436">
        <v>1</v>
      </c>
      <c r="AI191" s="174"/>
    </row>
    <row r="192" spans="1:35">
      <c r="A192" s="215" t="s">
        <v>946</v>
      </c>
      <c r="B192" s="232" t="s">
        <v>941</v>
      </c>
      <c r="C192" s="232">
        <v>2035</v>
      </c>
      <c r="D192" s="232" t="s">
        <v>945</v>
      </c>
      <c r="E192" s="553">
        <f t="shared" si="117"/>
        <v>72.000025135317614</v>
      </c>
      <c r="F192" s="553">
        <f t="shared" si="116"/>
        <v>0</v>
      </c>
      <c r="G192" s="553">
        <f t="shared" si="116"/>
        <v>296.80002509112001</v>
      </c>
      <c r="H192" s="553">
        <f t="shared" si="116"/>
        <v>1374.4000250142399</v>
      </c>
      <c r="I192" s="553">
        <f t="shared" si="116"/>
        <v>883.20002496446182</v>
      </c>
      <c r="J192" s="553">
        <f t="shared" si="116"/>
        <v>0</v>
      </c>
      <c r="K192" s="553">
        <f t="shared" si="116"/>
        <v>30638.400025462986</v>
      </c>
      <c r="L192" s="553">
        <f t="shared" si="116"/>
        <v>0</v>
      </c>
      <c r="M192" s="553">
        <f t="shared" si="116"/>
        <v>0</v>
      </c>
      <c r="N192" s="553">
        <f t="shared" si="116"/>
        <v>1112.0000259435678</v>
      </c>
      <c r="O192" s="553">
        <f t="shared" si="116"/>
        <v>0</v>
      </c>
      <c r="P192" s="553">
        <f t="shared" si="116"/>
        <v>11756.800024098997</v>
      </c>
      <c r="Q192" s="553">
        <f t="shared" si="116"/>
        <v>1644.8000250078539</v>
      </c>
      <c r="R192" s="553">
        <f t="shared" si="116"/>
        <v>0</v>
      </c>
      <c r="S192" s="553">
        <f t="shared" si="116"/>
        <v>0</v>
      </c>
      <c r="T192" s="553">
        <f t="shared" si="116"/>
        <v>0</v>
      </c>
      <c r="U192" s="553">
        <f t="shared" si="116"/>
        <v>0</v>
      </c>
      <c r="V192" s="553">
        <f t="shared" si="116"/>
        <v>24030.400025047929</v>
      </c>
      <c r="W192" s="553">
        <f t="shared" si="116"/>
        <v>0</v>
      </c>
      <c r="X192" s="553">
        <f t="shared" si="116"/>
        <v>686.80002503139872</v>
      </c>
      <c r="Y192" s="553">
        <f t="shared" si="116"/>
        <v>34960.800022722215</v>
      </c>
      <c r="Z192" s="553">
        <f t="shared" si="116"/>
        <v>2003.2000250000124</v>
      </c>
      <c r="AA192" s="553">
        <f t="shared" si="116"/>
        <v>0</v>
      </c>
      <c r="AB192" s="553">
        <f t="shared" si="116"/>
        <v>0</v>
      </c>
      <c r="AC192" s="553">
        <f t="shared" si="116"/>
        <v>0</v>
      </c>
      <c r="AD192" s="553">
        <f t="shared" si="116"/>
        <v>0</v>
      </c>
      <c r="AE192" s="553">
        <f t="shared" si="116"/>
        <v>0</v>
      </c>
      <c r="AF192" s="553">
        <f t="shared" si="116"/>
        <v>0</v>
      </c>
      <c r="AG192" s="436">
        <v>1</v>
      </c>
      <c r="AI192" s="174"/>
    </row>
    <row r="193" spans="1:35">
      <c r="A193" s="215" t="s">
        <v>946</v>
      </c>
      <c r="B193" s="232" t="s">
        <v>941</v>
      </c>
      <c r="C193" s="232">
        <v>2040</v>
      </c>
      <c r="D193" s="232" t="s">
        <v>945</v>
      </c>
      <c r="E193" s="553">
        <f t="shared" si="117"/>
        <v>72.000025135317614</v>
      </c>
      <c r="F193" s="553">
        <f t="shared" si="116"/>
        <v>0</v>
      </c>
      <c r="G193" s="553">
        <f t="shared" si="116"/>
        <v>296.80002509112001</v>
      </c>
      <c r="H193" s="553">
        <f t="shared" si="116"/>
        <v>1374.4000250142399</v>
      </c>
      <c r="I193" s="553">
        <f t="shared" si="116"/>
        <v>883.20002496446182</v>
      </c>
      <c r="J193" s="553">
        <f t="shared" si="116"/>
        <v>0</v>
      </c>
      <c r="K193" s="553">
        <f t="shared" si="116"/>
        <v>30638.400025462986</v>
      </c>
      <c r="L193" s="553">
        <f t="shared" si="116"/>
        <v>0</v>
      </c>
      <c r="M193" s="553">
        <f t="shared" si="116"/>
        <v>0</v>
      </c>
      <c r="N193" s="553">
        <f t="shared" si="116"/>
        <v>1112.0000259435678</v>
      </c>
      <c r="O193" s="553">
        <f t="shared" si="116"/>
        <v>0</v>
      </c>
      <c r="P193" s="553">
        <f t="shared" si="116"/>
        <v>11756.800024098997</v>
      </c>
      <c r="Q193" s="553">
        <f t="shared" si="116"/>
        <v>1644.8000250078539</v>
      </c>
      <c r="R193" s="553">
        <f t="shared" si="116"/>
        <v>0</v>
      </c>
      <c r="S193" s="553">
        <f t="shared" si="116"/>
        <v>0</v>
      </c>
      <c r="T193" s="553">
        <f t="shared" si="116"/>
        <v>0</v>
      </c>
      <c r="U193" s="553">
        <f t="shared" si="116"/>
        <v>0</v>
      </c>
      <c r="V193" s="553">
        <f t="shared" si="116"/>
        <v>24030.400025047929</v>
      </c>
      <c r="W193" s="553">
        <f t="shared" si="116"/>
        <v>0</v>
      </c>
      <c r="X193" s="553">
        <f t="shared" si="116"/>
        <v>686.80002503139872</v>
      </c>
      <c r="Y193" s="553">
        <f t="shared" si="116"/>
        <v>34960.800022722215</v>
      </c>
      <c r="Z193" s="553">
        <f t="shared" si="116"/>
        <v>2003.2000250000124</v>
      </c>
      <c r="AA193" s="553">
        <f t="shared" si="116"/>
        <v>0</v>
      </c>
      <c r="AB193" s="553">
        <f t="shared" si="116"/>
        <v>0</v>
      </c>
      <c r="AC193" s="553">
        <f t="shared" si="116"/>
        <v>0</v>
      </c>
      <c r="AD193" s="553">
        <f t="shared" si="116"/>
        <v>0</v>
      </c>
      <c r="AE193" s="553">
        <f t="shared" si="116"/>
        <v>0</v>
      </c>
      <c r="AF193" s="553">
        <f t="shared" si="116"/>
        <v>0</v>
      </c>
      <c r="AG193" s="436">
        <v>1</v>
      </c>
      <c r="AI193" s="174"/>
    </row>
    <row r="194" spans="1:35">
      <c r="A194" s="215" t="s">
        <v>946</v>
      </c>
      <c r="B194" s="232" t="s">
        <v>941</v>
      </c>
      <c r="C194" s="232">
        <v>2045</v>
      </c>
      <c r="D194" s="232" t="s">
        <v>945</v>
      </c>
      <c r="E194" s="553">
        <f t="shared" si="117"/>
        <v>72.000025135317614</v>
      </c>
      <c r="F194" s="553">
        <f t="shared" si="116"/>
        <v>0</v>
      </c>
      <c r="G194" s="553">
        <f t="shared" si="116"/>
        <v>296.80002509112001</v>
      </c>
      <c r="H194" s="553">
        <f t="shared" si="116"/>
        <v>1374.4000250142399</v>
      </c>
      <c r="I194" s="553">
        <f t="shared" si="116"/>
        <v>883.20002496446182</v>
      </c>
      <c r="J194" s="553">
        <f t="shared" si="116"/>
        <v>0</v>
      </c>
      <c r="K194" s="553">
        <f t="shared" si="116"/>
        <v>30638.400025462986</v>
      </c>
      <c r="L194" s="553">
        <f t="shared" si="116"/>
        <v>0</v>
      </c>
      <c r="M194" s="553">
        <f t="shared" si="116"/>
        <v>0</v>
      </c>
      <c r="N194" s="553">
        <f t="shared" si="116"/>
        <v>1112.0000259435678</v>
      </c>
      <c r="O194" s="553">
        <f t="shared" si="116"/>
        <v>0</v>
      </c>
      <c r="P194" s="553">
        <f t="shared" si="116"/>
        <v>11756.800024098997</v>
      </c>
      <c r="Q194" s="553">
        <f t="shared" si="116"/>
        <v>1644.8000250078539</v>
      </c>
      <c r="R194" s="553">
        <f t="shared" si="116"/>
        <v>0</v>
      </c>
      <c r="S194" s="553">
        <f t="shared" si="116"/>
        <v>0</v>
      </c>
      <c r="T194" s="553">
        <f t="shared" si="116"/>
        <v>0</v>
      </c>
      <c r="U194" s="553">
        <f t="shared" si="116"/>
        <v>0</v>
      </c>
      <c r="V194" s="553">
        <f t="shared" si="116"/>
        <v>24030.400025047929</v>
      </c>
      <c r="W194" s="553">
        <f t="shared" si="116"/>
        <v>0</v>
      </c>
      <c r="X194" s="553">
        <f t="shared" si="116"/>
        <v>686.80002503139872</v>
      </c>
      <c r="Y194" s="553">
        <f t="shared" si="116"/>
        <v>34960.800022722215</v>
      </c>
      <c r="Z194" s="553">
        <f t="shared" si="116"/>
        <v>2003.2000250000124</v>
      </c>
      <c r="AA194" s="553">
        <f t="shared" si="116"/>
        <v>0</v>
      </c>
      <c r="AB194" s="553">
        <f t="shared" si="116"/>
        <v>0</v>
      </c>
      <c r="AC194" s="553">
        <f t="shared" si="116"/>
        <v>0</v>
      </c>
      <c r="AD194" s="553">
        <f t="shared" si="116"/>
        <v>0</v>
      </c>
      <c r="AE194" s="553">
        <f t="shared" si="116"/>
        <v>0</v>
      </c>
      <c r="AF194" s="553">
        <f t="shared" si="116"/>
        <v>0</v>
      </c>
      <c r="AG194" s="436">
        <v>1</v>
      </c>
      <c r="AI194" s="174"/>
    </row>
    <row r="195" spans="1:35">
      <c r="A195" s="215" t="s">
        <v>946</v>
      </c>
      <c r="B195" s="232" t="s">
        <v>941</v>
      </c>
      <c r="C195" s="232">
        <v>2050</v>
      </c>
      <c r="D195" s="232" t="s">
        <v>945</v>
      </c>
      <c r="E195" s="553">
        <f t="shared" si="117"/>
        <v>72.000025135317614</v>
      </c>
      <c r="F195" s="553">
        <f t="shared" si="116"/>
        <v>0</v>
      </c>
      <c r="G195" s="553">
        <f t="shared" si="116"/>
        <v>296.80002509112001</v>
      </c>
      <c r="H195" s="553">
        <f t="shared" si="116"/>
        <v>1374.4000250142399</v>
      </c>
      <c r="I195" s="553">
        <f t="shared" si="116"/>
        <v>883.20002496446182</v>
      </c>
      <c r="J195" s="553">
        <f t="shared" si="116"/>
        <v>0</v>
      </c>
      <c r="K195" s="553">
        <f t="shared" si="116"/>
        <v>30638.400025462986</v>
      </c>
      <c r="L195" s="553">
        <f t="shared" si="116"/>
        <v>0</v>
      </c>
      <c r="M195" s="553">
        <f t="shared" si="116"/>
        <v>0</v>
      </c>
      <c r="N195" s="553">
        <f t="shared" si="116"/>
        <v>1112.0000259435678</v>
      </c>
      <c r="O195" s="553">
        <f t="shared" si="116"/>
        <v>0</v>
      </c>
      <c r="P195" s="553">
        <f t="shared" si="116"/>
        <v>11756.800024098997</v>
      </c>
      <c r="Q195" s="553">
        <f t="shared" si="116"/>
        <v>1644.8000250078539</v>
      </c>
      <c r="R195" s="553">
        <f t="shared" si="116"/>
        <v>0</v>
      </c>
      <c r="S195" s="553">
        <f t="shared" si="116"/>
        <v>0</v>
      </c>
      <c r="T195" s="553">
        <f t="shared" si="116"/>
        <v>0</v>
      </c>
      <c r="U195" s="553">
        <f t="shared" si="116"/>
        <v>0</v>
      </c>
      <c r="V195" s="553">
        <f t="shared" si="116"/>
        <v>24030.400025047929</v>
      </c>
      <c r="W195" s="553">
        <f t="shared" si="116"/>
        <v>0</v>
      </c>
      <c r="X195" s="553">
        <f t="shared" si="116"/>
        <v>686.80002503139872</v>
      </c>
      <c r="Y195" s="553">
        <f t="shared" si="116"/>
        <v>34960.800022722215</v>
      </c>
      <c r="Z195" s="553">
        <f t="shared" si="116"/>
        <v>2003.2000250000124</v>
      </c>
      <c r="AA195" s="553">
        <f t="shared" si="116"/>
        <v>0</v>
      </c>
      <c r="AB195" s="553">
        <f t="shared" si="116"/>
        <v>0</v>
      </c>
      <c r="AC195" s="553">
        <f t="shared" si="116"/>
        <v>0</v>
      </c>
      <c r="AD195" s="553">
        <f t="shared" si="116"/>
        <v>0</v>
      </c>
      <c r="AE195" s="553">
        <f t="shared" si="116"/>
        <v>0</v>
      </c>
      <c r="AF195" s="553">
        <f t="shared" si="116"/>
        <v>0</v>
      </c>
      <c r="AG195" s="436">
        <v>1</v>
      </c>
      <c r="AI195" s="174"/>
    </row>
    <row r="196" spans="1:35">
      <c r="A196" s="215" t="s">
        <v>946</v>
      </c>
      <c r="B196" s="232" t="s">
        <v>941</v>
      </c>
      <c r="C196" s="232">
        <v>2060</v>
      </c>
      <c r="D196" s="232" t="s">
        <v>945</v>
      </c>
      <c r="E196" s="553">
        <f t="shared" si="117"/>
        <v>72.000025135317614</v>
      </c>
      <c r="F196" s="553">
        <f t="shared" si="116"/>
        <v>0</v>
      </c>
      <c r="G196" s="553">
        <f t="shared" si="116"/>
        <v>296.80002509112001</v>
      </c>
      <c r="H196" s="553">
        <f t="shared" si="116"/>
        <v>1374.4000250142399</v>
      </c>
      <c r="I196" s="553">
        <f t="shared" si="116"/>
        <v>883.20002496446182</v>
      </c>
      <c r="J196" s="553">
        <f t="shared" si="116"/>
        <v>0</v>
      </c>
      <c r="K196" s="553">
        <f t="shared" si="116"/>
        <v>30638.400025462986</v>
      </c>
      <c r="L196" s="553">
        <f t="shared" si="116"/>
        <v>0</v>
      </c>
      <c r="M196" s="553">
        <f t="shared" si="116"/>
        <v>0</v>
      </c>
      <c r="N196" s="553">
        <f t="shared" si="116"/>
        <v>1112.0000259435678</v>
      </c>
      <c r="O196" s="553">
        <f t="shared" si="116"/>
        <v>0</v>
      </c>
      <c r="P196" s="553">
        <f t="shared" si="116"/>
        <v>11756.800024098997</v>
      </c>
      <c r="Q196" s="553">
        <f t="shared" si="116"/>
        <v>1644.8000250078539</v>
      </c>
      <c r="R196" s="553">
        <f t="shared" si="116"/>
        <v>0</v>
      </c>
      <c r="S196" s="553">
        <f t="shared" si="116"/>
        <v>0</v>
      </c>
      <c r="T196" s="553">
        <f t="shared" si="116"/>
        <v>0</v>
      </c>
      <c r="U196" s="553">
        <f t="shared" si="116"/>
        <v>0</v>
      </c>
      <c r="V196" s="553">
        <f t="shared" si="116"/>
        <v>24030.400025047929</v>
      </c>
      <c r="W196" s="553">
        <f t="shared" si="116"/>
        <v>0</v>
      </c>
      <c r="X196" s="553">
        <f t="shared" si="116"/>
        <v>686.80002503139872</v>
      </c>
      <c r="Y196" s="553">
        <f t="shared" si="116"/>
        <v>34960.800022722215</v>
      </c>
      <c r="Z196" s="553">
        <f t="shared" si="116"/>
        <v>2003.2000250000124</v>
      </c>
      <c r="AA196" s="553">
        <f t="shared" si="116"/>
        <v>0</v>
      </c>
      <c r="AB196" s="553">
        <f t="shared" si="116"/>
        <v>0</v>
      </c>
      <c r="AC196" s="553">
        <f t="shared" si="116"/>
        <v>0</v>
      </c>
      <c r="AD196" s="553">
        <f t="shared" si="116"/>
        <v>0</v>
      </c>
      <c r="AE196" s="553">
        <f t="shared" si="116"/>
        <v>0</v>
      </c>
      <c r="AF196" s="553">
        <f t="shared" si="116"/>
        <v>0</v>
      </c>
      <c r="AG196" s="436">
        <v>1</v>
      </c>
      <c r="AI196" s="174"/>
    </row>
    <row r="197" spans="1:35">
      <c r="A197" s="215" t="s">
        <v>946</v>
      </c>
      <c r="B197" s="232" t="s">
        <v>941</v>
      </c>
      <c r="C197" s="232">
        <v>2070</v>
      </c>
      <c r="D197" s="232" t="s">
        <v>945</v>
      </c>
      <c r="E197" s="553">
        <f t="shared" si="117"/>
        <v>72.000025135317614</v>
      </c>
      <c r="F197" s="553">
        <f t="shared" si="116"/>
        <v>0</v>
      </c>
      <c r="G197" s="553">
        <f t="shared" si="116"/>
        <v>296.80002509112001</v>
      </c>
      <c r="H197" s="553">
        <f t="shared" si="116"/>
        <v>1374.4000250142399</v>
      </c>
      <c r="I197" s="553">
        <f t="shared" si="116"/>
        <v>883.20002496446182</v>
      </c>
      <c r="J197" s="553">
        <f t="shared" si="116"/>
        <v>0</v>
      </c>
      <c r="K197" s="553">
        <f t="shared" si="116"/>
        <v>30638.400025462986</v>
      </c>
      <c r="L197" s="553">
        <f t="shared" si="116"/>
        <v>0</v>
      </c>
      <c r="M197" s="553">
        <f t="shared" si="116"/>
        <v>0</v>
      </c>
      <c r="N197" s="553">
        <f t="shared" si="116"/>
        <v>1112.0000259435678</v>
      </c>
      <c r="O197" s="553">
        <f t="shared" si="116"/>
        <v>0</v>
      </c>
      <c r="P197" s="553">
        <f t="shared" si="116"/>
        <v>11756.800024098997</v>
      </c>
      <c r="Q197" s="553">
        <f t="shared" si="116"/>
        <v>1644.8000250078539</v>
      </c>
      <c r="R197" s="553">
        <f t="shared" si="116"/>
        <v>0</v>
      </c>
      <c r="S197" s="553">
        <f t="shared" si="116"/>
        <v>0</v>
      </c>
      <c r="T197" s="553">
        <f t="shared" si="116"/>
        <v>0</v>
      </c>
      <c r="U197" s="553">
        <f t="shared" si="116"/>
        <v>0</v>
      </c>
      <c r="V197" s="553">
        <f t="shared" si="116"/>
        <v>24030.400025047929</v>
      </c>
      <c r="W197" s="553">
        <f t="shared" si="116"/>
        <v>0</v>
      </c>
      <c r="X197" s="553">
        <f t="shared" si="116"/>
        <v>686.80002503139872</v>
      </c>
      <c r="Y197" s="553">
        <f t="shared" si="116"/>
        <v>34960.800022722215</v>
      </c>
      <c r="Z197" s="553">
        <f t="shared" si="116"/>
        <v>2003.2000250000124</v>
      </c>
      <c r="AA197" s="553">
        <f t="shared" si="116"/>
        <v>0</v>
      </c>
      <c r="AB197" s="553">
        <f t="shared" si="116"/>
        <v>0</v>
      </c>
      <c r="AC197" s="553">
        <f t="shared" si="116"/>
        <v>0</v>
      </c>
      <c r="AD197" s="553">
        <f t="shared" si="116"/>
        <v>0</v>
      </c>
      <c r="AE197" s="553">
        <f t="shared" si="116"/>
        <v>0</v>
      </c>
      <c r="AF197" s="553">
        <f t="shared" si="116"/>
        <v>0</v>
      </c>
      <c r="AG197" s="436">
        <v>1</v>
      </c>
      <c r="AI197" s="174"/>
    </row>
    <row r="198" spans="1:35">
      <c r="A198" s="215" t="s">
        <v>946</v>
      </c>
      <c r="B198" s="232" t="s">
        <v>941</v>
      </c>
      <c r="C198" s="232">
        <v>2080</v>
      </c>
      <c r="D198" s="232" t="s">
        <v>945</v>
      </c>
      <c r="E198" s="553">
        <f t="shared" si="117"/>
        <v>72.000025135317614</v>
      </c>
      <c r="F198" s="553">
        <f t="shared" si="116"/>
        <v>0</v>
      </c>
      <c r="G198" s="553">
        <f t="shared" si="116"/>
        <v>296.80002509112001</v>
      </c>
      <c r="H198" s="553">
        <f t="shared" si="116"/>
        <v>1374.4000250142399</v>
      </c>
      <c r="I198" s="553">
        <f t="shared" si="116"/>
        <v>883.20002496446182</v>
      </c>
      <c r="J198" s="553">
        <f t="shared" si="116"/>
        <v>0</v>
      </c>
      <c r="K198" s="553">
        <f t="shared" si="116"/>
        <v>30638.400025462986</v>
      </c>
      <c r="L198" s="553">
        <f t="shared" si="116"/>
        <v>0</v>
      </c>
      <c r="M198" s="553">
        <f t="shared" si="116"/>
        <v>0</v>
      </c>
      <c r="N198" s="553">
        <f t="shared" si="116"/>
        <v>1112.0000259435678</v>
      </c>
      <c r="O198" s="553">
        <f t="shared" si="116"/>
        <v>0</v>
      </c>
      <c r="P198" s="553">
        <f t="shared" si="116"/>
        <v>11756.800024098997</v>
      </c>
      <c r="Q198" s="553">
        <f t="shared" si="116"/>
        <v>1644.8000250078539</v>
      </c>
      <c r="R198" s="553">
        <f t="shared" ref="R198:R200" si="118">R197</f>
        <v>0</v>
      </c>
      <c r="S198" s="553">
        <f t="shared" ref="S198:S200" si="119">S197</f>
        <v>0</v>
      </c>
      <c r="T198" s="553">
        <f t="shared" ref="T198:T200" si="120">T197</f>
        <v>0</v>
      </c>
      <c r="U198" s="553">
        <f t="shared" ref="U198:U200" si="121">U197</f>
        <v>0</v>
      </c>
      <c r="V198" s="553">
        <f t="shared" ref="V198:V200" si="122">V197</f>
        <v>24030.400025047929</v>
      </c>
      <c r="W198" s="553">
        <f t="shared" ref="W198:W200" si="123">W197</f>
        <v>0</v>
      </c>
      <c r="X198" s="553">
        <f t="shared" ref="X198:X200" si="124">X197</f>
        <v>686.80002503139872</v>
      </c>
      <c r="Y198" s="553">
        <f t="shared" ref="Y198:Y200" si="125">Y197</f>
        <v>34960.800022722215</v>
      </c>
      <c r="Z198" s="553">
        <f t="shared" ref="Z198:Z200" si="126">Z197</f>
        <v>2003.2000250000124</v>
      </c>
      <c r="AA198" s="553">
        <f t="shared" ref="AA198:AA200" si="127">AA197</f>
        <v>0</v>
      </c>
      <c r="AB198" s="553">
        <f t="shared" ref="AB198:AB200" si="128">AB197</f>
        <v>0</v>
      </c>
      <c r="AC198" s="553">
        <f t="shared" ref="AC198:AC200" si="129">AC197</f>
        <v>0</v>
      </c>
      <c r="AD198" s="553">
        <f t="shared" ref="AD198:AD200" si="130">AD197</f>
        <v>0</v>
      </c>
      <c r="AE198" s="553">
        <f t="shared" ref="AE198:AE200" si="131">AE197</f>
        <v>0</v>
      </c>
      <c r="AF198" s="553">
        <f t="shared" ref="AF198:AF200" si="132">AF197</f>
        <v>0</v>
      </c>
      <c r="AG198" s="436">
        <v>1</v>
      </c>
      <c r="AI198" s="174"/>
    </row>
    <row r="199" spans="1:35">
      <c r="A199" s="215" t="s">
        <v>946</v>
      </c>
      <c r="B199" s="232" t="s">
        <v>941</v>
      </c>
      <c r="C199" s="232">
        <v>2090</v>
      </c>
      <c r="D199" s="232" t="s">
        <v>945</v>
      </c>
      <c r="E199" s="553">
        <f t="shared" si="117"/>
        <v>72.000025135317614</v>
      </c>
      <c r="F199" s="553">
        <f t="shared" ref="F199:F200" si="133">F198</f>
        <v>0</v>
      </c>
      <c r="G199" s="553">
        <f t="shared" ref="G199:G200" si="134">G198</f>
        <v>296.80002509112001</v>
      </c>
      <c r="H199" s="553">
        <f t="shared" ref="H199:H200" si="135">H198</f>
        <v>1374.4000250142399</v>
      </c>
      <c r="I199" s="553">
        <f t="shared" ref="I199:I200" si="136">I198</f>
        <v>883.20002496446182</v>
      </c>
      <c r="J199" s="553">
        <f t="shared" ref="J199:J200" si="137">J198</f>
        <v>0</v>
      </c>
      <c r="K199" s="553">
        <f t="shared" ref="K199:K200" si="138">K198</f>
        <v>30638.400025462986</v>
      </c>
      <c r="L199" s="553">
        <f t="shared" ref="L199:L200" si="139">L198</f>
        <v>0</v>
      </c>
      <c r="M199" s="553">
        <f t="shared" ref="M199:M200" si="140">M198</f>
        <v>0</v>
      </c>
      <c r="N199" s="553">
        <f t="shared" ref="N199:N200" si="141">N198</f>
        <v>1112.0000259435678</v>
      </c>
      <c r="O199" s="553">
        <f t="shared" ref="O199:O200" si="142">O198</f>
        <v>0</v>
      </c>
      <c r="P199" s="553">
        <f t="shared" ref="P199:P200" si="143">P198</f>
        <v>11756.800024098997</v>
      </c>
      <c r="Q199" s="553">
        <f t="shared" ref="Q199:Q200" si="144">Q198</f>
        <v>1644.8000250078539</v>
      </c>
      <c r="R199" s="553">
        <f t="shared" si="118"/>
        <v>0</v>
      </c>
      <c r="S199" s="553">
        <f t="shared" si="119"/>
        <v>0</v>
      </c>
      <c r="T199" s="553">
        <f t="shared" si="120"/>
        <v>0</v>
      </c>
      <c r="U199" s="553">
        <f t="shared" si="121"/>
        <v>0</v>
      </c>
      <c r="V199" s="553">
        <f t="shared" si="122"/>
        <v>24030.400025047929</v>
      </c>
      <c r="W199" s="553">
        <f t="shared" si="123"/>
        <v>0</v>
      </c>
      <c r="X199" s="553">
        <f t="shared" si="124"/>
        <v>686.80002503139872</v>
      </c>
      <c r="Y199" s="553">
        <f t="shared" si="125"/>
        <v>34960.800022722215</v>
      </c>
      <c r="Z199" s="553">
        <f t="shared" si="126"/>
        <v>2003.2000250000124</v>
      </c>
      <c r="AA199" s="553">
        <f t="shared" si="127"/>
        <v>0</v>
      </c>
      <c r="AB199" s="553">
        <f t="shared" si="128"/>
        <v>0</v>
      </c>
      <c r="AC199" s="553">
        <f t="shared" si="129"/>
        <v>0</v>
      </c>
      <c r="AD199" s="553">
        <f t="shared" si="130"/>
        <v>0</v>
      </c>
      <c r="AE199" s="553">
        <f t="shared" si="131"/>
        <v>0</v>
      </c>
      <c r="AF199" s="553">
        <f t="shared" si="132"/>
        <v>0</v>
      </c>
      <c r="AG199" s="436">
        <v>1</v>
      </c>
      <c r="AI199" s="174"/>
    </row>
    <row r="200" spans="1:35" ht="16.2" thickBot="1">
      <c r="A200" s="449" t="s">
        <v>946</v>
      </c>
      <c r="B200" s="450" t="s">
        <v>941</v>
      </c>
      <c r="C200" s="450">
        <v>2100</v>
      </c>
      <c r="D200" s="450" t="s">
        <v>945</v>
      </c>
      <c r="E200" s="557">
        <f t="shared" si="117"/>
        <v>72.000025135317614</v>
      </c>
      <c r="F200" s="557">
        <f t="shared" si="133"/>
        <v>0</v>
      </c>
      <c r="G200" s="557">
        <f t="shared" si="134"/>
        <v>296.80002509112001</v>
      </c>
      <c r="H200" s="557">
        <f t="shared" si="135"/>
        <v>1374.4000250142399</v>
      </c>
      <c r="I200" s="557">
        <f t="shared" si="136"/>
        <v>883.20002496446182</v>
      </c>
      <c r="J200" s="557">
        <f t="shared" si="137"/>
        <v>0</v>
      </c>
      <c r="K200" s="557">
        <f t="shared" si="138"/>
        <v>30638.400025462986</v>
      </c>
      <c r="L200" s="557">
        <f t="shared" si="139"/>
        <v>0</v>
      </c>
      <c r="M200" s="557">
        <f t="shared" si="140"/>
        <v>0</v>
      </c>
      <c r="N200" s="557">
        <f t="shared" si="141"/>
        <v>1112.0000259435678</v>
      </c>
      <c r="O200" s="557">
        <f t="shared" si="142"/>
        <v>0</v>
      </c>
      <c r="P200" s="557">
        <f t="shared" si="143"/>
        <v>11756.800024098997</v>
      </c>
      <c r="Q200" s="557">
        <f t="shared" si="144"/>
        <v>1644.8000250078539</v>
      </c>
      <c r="R200" s="557">
        <f t="shared" si="118"/>
        <v>0</v>
      </c>
      <c r="S200" s="557">
        <f t="shared" si="119"/>
        <v>0</v>
      </c>
      <c r="T200" s="557">
        <f t="shared" si="120"/>
        <v>0</v>
      </c>
      <c r="U200" s="557">
        <f t="shared" si="121"/>
        <v>0</v>
      </c>
      <c r="V200" s="557">
        <f t="shared" si="122"/>
        <v>24030.400025047929</v>
      </c>
      <c r="W200" s="557">
        <f t="shared" si="123"/>
        <v>0</v>
      </c>
      <c r="X200" s="557">
        <f t="shared" si="124"/>
        <v>686.80002503139872</v>
      </c>
      <c r="Y200" s="557">
        <f t="shared" si="125"/>
        <v>34960.800022722215</v>
      </c>
      <c r="Z200" s="557">
        <f t="shared" si="126"/>
        <v>2003.2000250000124</v>
      </c>
      <c r="AA200" s="557">
        <f t="shared" si="127"/>
        <v>0</v>
      </c>
      <c r="AB200" s="557">
        <f t="shared" si="128"/>
        <v>0</v>
      </c>
      <c r="AC200" s="557">
        <f t="shared" si="129"/>
        <v>0</v>
      </c>
      <c r="AD200" s="557">
        <f t="shared" si="130"/>
        <v>0</v>
      </c>
      <c r="AE200" s="557">
        <f t="shared" si="131"/>
        <v>0</v>
      </c>
      <c r="AF200" s="557">
        <f t="shared" si="132"/>
        <v>0</v>
      </c>
      <c r="AG200" s="452">
        <v>1</v>
      </c>
      <c r="AI200" s="174"/>
    </row>
    <row r="202" spans="1:35">
      <c r="A202" s="227"/>
      <c r="B202" s="231"/>
      <c r="C202" s="231"/>
      <c r="D202" s="231"/>
      <c r="E202" s="599" t="s">
        <v>947</v>
      </c>
      <c r="F202" s="599"/>
      <c r="G202" s="599"/>
      <c r="H202" s="599"/>
      <c r="I202" s="599"/>
      <c r="J202" s="599"/>
      <c r="K202" s="599"/>
      <c r="L202" s="599"/>
      <c r="M202" s="599"/>
      <c r="N202" s="599"/>
      <c r="O202" s="599"/>
      <c r="P202" s="599"/>
      <c r="Q202" s="599"/>
      <c r="R202" s="599"/>
      <c r="S202" s="599"/>
      <c r="T202" s="599"/>
      <c r="U202" s="599"/>
      <c r="V202" s="599"/>
      <c r="W202" s="599"/>
      <c r="X202" s="599"/>
      <c r="Y202" s="599"/>
      <c r="Z202" s="599"/>
      <c r="AA202" s="599"/>
      <c r="AB202" s="599"/>
      <c r="AC202" s="599"/>
      <c r="AD202" s="599"/>
      <c r="AE202" s="599"/>
      <c r="AF202" s="600"/>
      <c r="AG202" s="231"/>
    </row>
    <row r="203" spans="1:35">
      <c r="A203" s="434" t="s">
        <v>934</v>
      </c>
      <c r="B203" s="68" t="s">
        <v>935</v>
      </c>
      <c r="C203" s="68" t="s">
        <v>655</v>
      </c>
      <c r="D203" s="68" t="s">
        <v>375</v>
      </c>
      <c r="E203" s="69" t="s">
        <v>172</v>
      </c>
      <c r="F203" s="69" t="s">
        <v>175</v>
      </c>
      <c r="G203" s="69" t="s">
        <v>178</v>
      </c>
      <c r="H203" s="69" t="s">
        <v>181</v>
      </c>
      <c r="I203" s="69" t="s">
        <v>184</v>
      </c>
      <c r="J203" s="69" t="s">
        <v>187</v>
      </c>
      <c r="K203" s="69" t="s">
        <v>190</v>
      </c>
      <c r="L203" s="69" t="s">
        <v>193</v>
      </c>
      <c r="M203" s="69" t="s">
        <v>196</v>
      </c>
      <c r="N203" s="69" t="s">
        <v>198</v>
      </c>
      <c r="O203" s="69" t="s">
        <v>200</v>
      </c>
      <c r="P203" s="69" t="s">
        <v>202</v>
      </c>
      <c r="Q203" s="69" t="s">
        <v>205</v>
      </c>
      <c r="R203" s="69" t="s">
        <v>208</v>
      </c>
      <c r="S203" s="69" t="s">
        <v>211</v>
      </c>
      <c r="T203" s="69" t="s">
        <v>214</v>
      </c>
      <c r="U203" s="69" t="s">
        <v>217</v>
      </c>
      <c r="V203" s="69" t="s">
        <v>220</v>
      </c>
      <c r="W203" s="69" t="s">
        <v>223</v>
      </c>
      <c r="X203" s="69" t="s">
        <v>225</v>
      </c>
      <c r="Y203" s="69" t="s">
        <v>227</v>
      </c>
      <c r="Z203" s="69" t="s">
        <v>230</v>
      </c>
      <c r="AA203" s="69" t="s">
        <v>233</v>
      </c>
      <c r="AB203" s="69" t="s">
        <v>236</v>
      </c>
      <c r="AC203" s="69" t="s">
        <v>238</v>
      </c>
      <c r="AD203" s="69" t="s">
        <v>240</v>
      </c>
      <c r="AE203" s="69" t="s">
        <v>243</v>
      </c>
      <c r="AF203" s="91" t="s">
        <v>245</v>
      </c>
      <c r="AG203" s="68"/>
    </row>
    <row r="204" spans="1:35">
      <c r="A204" s="215" t="s">
        <v>937</v>
      </c>
      <c r="B204" s="232" t="s">
        <v>938</v>
      </c>
      <c r="C204" s="232">
        <v>2019</v>
      </c>
      <c r="D204" s="232" t="s">
        <v>680</v>
      </c>
      <c r="E204" s="209">
        <v>9.5000000000000001E-2</v>
      </c>
      <c r="F204" s="209">
        <v>9.5000000000000001E-2</v>
      </c>
      <c r="G204" s="209">
        <v>9.5000000000000001E-2</v>
      </c>
      <c r="H204" s="209">
        <v>9.5000000000000001E-2</v>
      </c>
      <c r="I204" s="209">
        <v>9.5000000000000001E-2</v>
      </c>
      <c r="J204" s="209">
        <v>9.5000000000000001E-2</v>
      </c>
      <c r="K204" s="209">
        <v>9.5000000000000001E-2</v>
      </c>
      <c r="L204" s="209">
        <v>9.5000000000000001E-2</v>
      </c>
      <c r="M204" s="209">
        <v>9.5000000000000001E-2</v>
      </c>
      <c r="N204" s="209">
        <v>9.5000000000000001E-2</v>
      </c>
      <c r="O204" s="209">
        <v>9.5000000000000001E-2</v>
      </c>
      <c r="P204" s="209">
        <v>9.5000000000000001E-2</v>
      </c>
      <c r="Q204" s="209">
        <v>9.5000000000000001E-2</v>
      </c>
      <c r="R204" s="209">
        <v>9.5000000000000001E-2</v>
      </c>
      <c r="S204" s="209">
        <v>9.5000000000000001E-2</v>
      </c>
      <c r="T204" s="209">
        <v>9.5000000000000001E-2</v>
      </c>
      <c r="U204" s="209">
        <v>9.5000000000000001E-2</v>
      </c>
      <c r="V204" s="209">
        <v>9.5000000000000001E-2</v>
      </c>
      <c r="W204" s="209">
        <v>9.5000000000000001E-2</v>
      </c>
      <c r="X204" s="209">
        <v>9.5000000000000001E-2</v>
      </c>
      <c r="Y204" s="209">
        <v>9.5000000000000001E-2</v>
      </c>
      <c r="Z204" s="209">
        <v>9.5000000000000001E-2</v>
      </c>
      <c r="AA204" s="209">
        <v>9.5000000000000001E-2</v>
      </c>
      <c r="AB204" s="209">
        <v>9.5000000000000001E-2</v>
      </c>
      <c r="AC204" s="209">
        <v>9.5000000000000001E-2</v>
      </c>
      <c r="AD204" s="209">
        <v>9.5000000000000001E-2</v>
      </c>
      <c r="AE204" s="209">
        <v>9.5000000000000001E-2</v>
      </c>
      <c r="AF204" s="220">
        <v>9.5000000000000001E-2</v>
      </c>
      <c r="AG204" s="436"/>
    </row>
    <row r="205" spans="1:35">
      <c r="A205" s="215" t="s">
        <v>937</v>
      </c>
      <c r="B205" s="232" t="s">
        <v>938</v>
      </c>
      <c r="C205">
        <v>2020</v>
      </c>
      <c r="D205" s="232" t="s">
        <v>680</v>
      </c>
      <c r="E205" s="209">
        <v>9.5000000000000001E-2</v>
      </c>
      <c r="F205" s="209">
        <v>9.5000000000000001E-2</v>
      </c>
      <c r="G205" s="209">
        <v>9.5000000000000001E-2</v>
      </c>
      <c r="H205" s="209">
        <v>9.5000000000000001E-2</v>
      </c>
      <c r="I205" s="209">
        <v>9.5000000000000001E-2</v>
      </c>
      <c r="J205" s="209">
        <v>9.5000000000000001E-2</v>
      </c>
      <c r="K205" s="209">
        <v>9.5000000000000001E-2</v>
      </c>
      <c r="L205" s="209">
        <v>9.5000000000000001E-2</v>
      </c>
      <c r="M205" s="209">
        <v>9.5000000000000001E-2</v>
      </c>
      <c r="N205" s="209">
        <v>9.5000000000000001E-2</v>
      </c>
      <c r="O205" s="209">
        <v>9.5000000000000001E-2</v>
      </c>
      <c r="P205" s="209">
        <v>9.5000000000000001E-2</v>
      </c>
      <c r="Q205" s="209">
        <v>9.5000000000000001E-2</v>
      </c>
      <c r="R205" s="209">
        <v>9.5000000000000001E-2</v>
      </c>
      <c r="S205" s="209">
        <v>9.5000000000000001E-2</v>
      </c>
      <c r="T205" s="209">
        <v>9.5000000000000001E-2</v>
      </c>
      <c r="U205" s="209">
        <v>9.5000000000000001E-2</v>
      </c>
      <c r="V205" s="209">
        <v>9.5000000000000001E-2</v>
      </c>
      <c r="W205" s="209">
        <v>9.5000000000000001E-2</v>
      </c>
      <c r="X205" s="209">
        <v>9.5000000000000001E-2</v>
      </c>
      <c r="Y205" s="209">
        <v>9.5000000000000001E-2</v>
      </c>
      <c r="Z205" s="209">
        <v>9.5000000000000001E-2</v>
      </c>
      <c r="AA205" s="209">
        <v>9.5000000000000001E-2</v>
      </c>
      <c r="AB205" s="209">
        <v>9.5000000000000001E-2</v>
      </c>
      <c r="AC205" s="209">
        <v>9.5000000000000001E-2</v>
      </c>
      <c r="AD205" s="209">
        <v>9.5000000000000001E-2</v>
      </c>
      <c r="AE205" s="209">
        <v>9.5000000000000001E-2</v>
      </c>
      <c r="AF205" s="220">
        <v>9.5000000000000001E-2</v>
      </c>
      <c r="AG205" s="436"/>
    </row>
    <row r="206" spans="1:35">
      <c r="A206" s="215" t="s">
        <v>937</v>
      </c>
      <c r="B206" s="232" t="s">
        <v>938</v>
      </c>
      <c r="C206" s="232">
        <v>2025</v>
      </c>
      <c r="D206" s="232" t="s">
        <v>680</v>
      </c>
      <c r="E206" s="209">
        <v>9.5000000000000001E-2</v>
      </c>
      <c r="F206" s="209">
        <v>9.5000000000000001E-2</v>
      </c>
      <c r="G206" s="209">
        <v>9.5000000000000001E-2</v>
      </c>
      <c r="H206" s="209">
        <v>9.5000000000000001E-2</v>
      </c>
      <c r="I206" s="209">
        <v>9.5000000000000001E-2</v>
      </c>
      <c r="J206" s="209">
        <v>9.5000000000000001E-2</v>
      </c>
      <c r="K206" s="209">
        <v>9.5000000000000001E-2</v>
      </c>
      <c r="L206" s="209">
        <v>9.5000000000000001E-2</v>
      </c>
      <c r="M206" s="209">
        <v>9.5000000000000001E-2</v>
      </c>
      <c r="N206" s="209">
        <v>9.5000000000000001E-2</v>
      </c>
      <c r="O206" s="209">
        <v>9.5000000000000001E-2</v>
      </c>
      <c r="P206" s="209">
        <v>9.5000000000000001E-2</v>
      </c>
      <c r="Q206" s="209">
        <v>9.5000000000000001E-2</v>
      </c>
      <c r="R206" s="209">
        <v>9.5000000000000001E-2</v>
      </c>
      <c r="S206" s="209">
        <v>9.5000000000000001E-2</v>
      </c>
      <c r="T206" s="209">
        <v>9.5000000000000001E-2</v>
      </c>
      <c r="U206" s="209">
        <v>9.5000000000000001E-2</v>
      </c>
      <c r="V206" s="209">
        <v>9.5000000000000001E-2</v>
      </c>
      <c r="W206" s="209">
        <v>9.5000000000000001E-2</v>
      </c>
      <c r="X206" s="209">
        <v>9.5000000000000001E-2</v>
      </c>
      <c r="Y206" s="209">
        <v>9.5000000000000001E-2</v>
      </c>
      <c r="Z206" s="209">
        <v>9.5000000000000001E-2</v>
      </c>
      <c r="AA206" s="209">
        <v>9.5000000000000001E-2</v>
      </c>
      <c r="AB206" s="209">
        <v>9.5000000000000001E-2</v>
      </c>
      <c r="AC206" s="209">
        <v>9.5000000000000001E-2</v>
      </c>
      <c r="AD206" s="209">
        <v>9.5000000000000001E-2</v>
      </c>
      <c r="AE206" s="209">
        <v>9.5000000000000001E-2</v>
      </c>
      <c r="AF206" s="220">
        <v>9.5000000000000001E-2</v>
      </c>
      <c r="AG206" s="436"/>
    </row>
    <row r="207" spans="1:35">
      <c r="A207" s="215" t="s">
        <v>937</v>
      </c>
      <c r="B207" s="232" t="s">
        <v>938</v>
      </c>
      <c r="C207" s="232">
        <v>2030</v>
      </c>
      <c r="D207" s="232" t="s">
        <v>680</v>
      </c>
      <c r="E207" s="209">
        <v>9.5000000000000001E-2</v>
      </c>
      <c r="F207" s="209">
        <v>9.5000000000000001E-2</v>
      </c>
      <c r="G207" s="209">
        <v>9.5000000000000001E-2</v>
      </c>
      <c r="H207" s="209">
        <v>9.5000000000000001E-2</v>
      </c>
      <c r="I207" s="209">
        <v>9.5000000000000001E-2</v>
      </c>
      <c r="J207" s="209">
        <v>9.5000000000000001E-2</v>
      </c>
      <c r="K207" s="209">
        <v>9.5000000000000001E-2</v>
      </c>
      <c r="L207" s="209">
        <v>9.5000000000000001E-2</v>
      </c>
      <c r="M207" s="209">
        <v>9.5000000000000001E-2</v>
      </c>
      <c r="N207" s="209">
        <v>9.5000000000000001E-2</v>
      </c>
      <c r="O207" s="209">
        <v>9.5000000000000001E-2</v>
      </c>
      <c r="P207" s="209">
        <v>9.5000000000000001E-2</v>
      </c>
      <c r="Q207" s="209">
        <v>9.5000000000000001E-2</v>
      </c>
      <c r="R207" s="209">
        <v>9.5000000000000001E-2</v>
      </c>
      <c r="S207" s="209">
        <v>9.5000000000000001E-2</v>
      </c>
      <c r="T207" s="209">
        <v>9.5000000000000001E-2</v>
      </c>
      <c r="U207" s="209">
        <v>9.5000000000000001E-2</v>
      </c>
      <c r="V207" s="209">
        <v>9.5000000000000001E-2</v>
      </c>
      <c r="W207" s="209">
        <v>9.5000000000000001E-2</v>
      </c>
      <c r="X207" s="209">
        <v>9.5000000000000001E-2</v>
      </c>
      <c r="Y207" s="209">
        <v>9.5000000000000001E-2</v>
      </c>
      <c r="Z207" s="209">
        <v>9.5000000000000001E-2</v>
      </c>
      <c r="AA207" s="209">
        <v>9.5000000000000001E-2</v>
      </c>
      <c r="AB207" s="209">
        <v>9.5000000000000001E-2</v>
      </c>
      <c r="AC207" s="209">
        <v>9.5000000000000001E-2</v>
      </c>
      <c r="AD207" s="209">
        <v>9.5000000000000001E-2</v>
      </c>
      <c r="AE207" s="209">
        <v>9.5000000000000001E-2</v>
      </c>
      <c r="AF207" s="220">
        <v>9.5000000000000001E-2</v>
      </c>
      <c r="AG207" s="436"/>
    </row>
    <row r="208" spans="1:35">
      <c r="A208" s="215" t="s">
        <v>937</v>
      </c>
      <c r="B208" s="232" t="s">
        <v>938</v>
      </c>
      <c r="C208" s="232">
        <v>2035</v>
      </c>
      <c r="D208" s="232" t="s">
        <v>680</v>
      </c>
      <c r="E208" s="209">
        <v>9.5000000000000001E-2</v>
      </c>
      <c r="F208" s="209">
        <v>9.5000000000000001E-2</v>
      </c>
      <c r="G208" s="209">
        <v>9.5000000000000001E-2</v>
      </c>
      <c r="H208" s="209">
        <v>9.5000000000000001E-2</v>
      </c>
      <c r="I208" s="209">
        <v>9.5000000000000001E-2</v>
      </c>
      <c r="J208" s="209">
        <v>9.5000000000000001E-2</v>
      </c>
      <c r="K208" s="209">
        <v>9.5000000000000001E-2</v>
      </c>
      <c r="L208" s="209">
        <v>9.5000000000000001E-2</v>
      </c>
      <c r="M208" s="209">
        <v>9.5000000000000001E-2</v>
      </c>
      <c r="N208" s="209">
        <v>9.5000000000000001E-2</v>
      </c>
      <c r="O208" s="209">
        <v>9.5000000000000001E-2</v>
      </c>
      <c r="P208" s="209">
        <v>9.5000000000000001E-2</v>
      </c>
      <c r="Q208" s="209">
        <v>9.5000000000000001E-2</v>
      </c>
      <c r="R208" s="209">
        <v>9.5000000000000001E-2</v>
      </c>
      <c r="S208" s="209">
        <v>9.5000000000000001E-2</v>
      </c>
      <c r="T208" s="209">
        <v>9.5000000000000001E-2</v>
      </c>
      <c r="U208" s="209">
        <v>9.5000000000000001E-2</v>
      </c>
      <c r="V208" s="209">
        <v>9.5000000000000001E-2</v>
      </c>
      <c r="W208" s="209">
        <v>9.5000000000000001E-2</v>
      </c>
      <c r="X208" s="209">
        <v>9.5000000000000001E-2</v>
      </c>
      <c r="Y208" s="209">
        <v>9.5000000000000001E-2</v>
      </c>
      <c r="Z208" s="209">
        <v>9.5000000000000001E-2</v>
      </c>
      <c r="AA208" s="209">
        <v>9.5000000000000001E-2</v>
      </c>
      <c r="AB208" s="209">
        <v>9.5000000000000001E-2</v>
      </c>
      <c r="AC208" s="209">
        <v>9.5000000000000001E-2</v>
      </c>
      <c r="AD208" s="209">
        <v>9.5000000000000001E-2</v>
      </c>
      <c r="AE208" s="209">
        <v>9.5000000000000001E-2</v>
      </c>
      <c r="AF208" s="220">
        <v>9.5000000000000001E-2</v>
      </c>
      <c r="AG208" s="436"/>
    </row>
    <row r="209" spans="1:33">
      <c r="A209" s="215" t="s">
        <v>937</v>
      </c>
      <c r="B209" s="232" t="s">
        <v>938</v>
      </c>
      <c r="C209" s="232">
        <v>2040</v>
      </c>
      <c r="D209" s="232" t="s">
        <v>680</v>
      </c>
      <c r="E209" s="209">
        <v>9.5000000000000001E-2</v>
      </c>
      <c r="F209" s="209">
        <v>9.5000000000000001E-2</v>
      </c>
      <c r="G209" s="209">
        <v>9.5000000000000001E-2</v>
      </c>
      <c r="H209" s="209">
        <v>9.5000000000000001E-2</v>
      </c>
      <c r="I209" s="209">
        <v>9.5000000000000001E-2</v>
      </c>
      <c r="J209" s="209">
        <v>9.5000000000000001E-2</v>
      </c>
      <c r="K209" s="209">
        <v>9.5000000000000001E-2</v>
      </c>
      <c r="L209" s="209">
        <v>9.5000000000000001E-2</v>
      </c>
      <c r="M209" s="209">
        <v>9.5000000000000001E-2</v>
      </c>
      <c r="N209" s="209">
        <v>9.5000000000000001E-2</v>
      </c>
      <c r="O209" s="209">
        <v>9.5000000000000001E-2</v>
      </c>
      <c r="P209" s="209">
        <v>9.5000000000000001E-2</v>
      </c>
      <c r="Q209" s="209">
        <v>9.5000000000000001E-2</v>
      </c>
      <c r="R209" s="209">
        <v>9.5000000000000001E-2</v>
      </c>
      <c r="S209" s="209">
        <v>9.5000000000000001E-2</v>
      </c>
      <c r="T209" s="209">
        <v>9.5000000000000001E-2</v>
      </c>
      <c r="U209" s="209">
        <v>9.5000000000000001E-2</v>
      </c>
      <c r="V209" s="209">
        <v>9.5000000000000001E-2</v>
      </c>
      <c r="W209" s="209">
        <v>9.5000000000000001E-2</v>
      </c>
      <c r="X209" s="209">
        <v>9.5000000000000001E-2</v>
      </c>
      <c r="Y209" s="209">
        <v>9.5000000000000001E-2</v>
      </c>
      <c r="Z209" s="209">
        <v>9.5000000000000001E-2</v>
      </c>
      <c r="AA209" s="209">
        <v>9.5000000000000001E-2</v>
      </c>
      <c r="AB209" s="209">
        <v>9.5000000000000001E-2</v>
      </c>
      <c r="AC209" s="209">
        <v>9.5000000000000001E-2</v>
      </c>
      <c r="AD209" s="209">
        <v>9.5000000000000001E-2</v>
      </c>
      <c r="AE209" s="209">
        <v>9.5000000000000001E-2</v>
      </c>
      <c r="AF209" s="220">
        <v>9.5000000000000001E-2</v>
      </c>
      <c r="AG209" s="436"/>
    </row>
    <row r="210" spans="1:33">
      <c r="A210" s="215" t="s">
        <v>937</v>
      </c>
      <c r="B210" s="232" t="s">
        <v>938</v>
      </c>
      <c r="C210" s="232">
        <v>2045</v>
      </c>
      <c r="D210" s="232" t="s">
        <v>680</v>
      </c>
      <c r="E210" s="209">
        <v>9.5000000000000001E-2</v>
      </c>
      <c r="F210" s="209">
        <v>9.5000000000000001E-2</v>
      </c>
      <c r="G210" s="209">
        <v>9.5000000000000001E-2</v>
      </c>
      <c r="H210" s="209">
        <v>9.5000000000000001E-2</v>
      </c>
      <c r="I210" s="209">
        <v>9.5000000000000001E-2</v>
      </c>
      <c r="J210" s="209">
        <v>9.5000000000000001E-2</v>
      </c>
      <c r="K210" s="209">
        <v>9.5000000000000001E-2</v>
      </c>
      <c r="L210" s="209">
        <v>9.5000000000000001E-2</v>
      </c>
      <c r="M210" s="209">
        <v>9.5000000000000001E-2</v>
      </c>
      <c r="N210" s="209">
        <v>9.5000000000000001E-2</v>
      </c>
      <c r="O210" s="209">
        <v>9.5000000000000001E-2</v>
      </c>
      <c r="P210" s="209">
        <v>9.5000000000000001E-2</v>
      </c>
      <c r="Q210" s="209">
        <v>9.5000000000000001E-2</v>
      </c>
      <c r="R210" s="209">
        <v>9.5000000000000001E-2</v>
      </c>
      <c r="S210" s="209">
        <v>9.5000000000000001E-2</v>
      </c>
      <c r="T210" s="209">
        <v>9.5000000000000001E-2</v>
      </c>
      <c r="U210" s="209">
        <v>9.5000000000000001E-2</v>
      </c>
      <c r="V210" s="209">
        <v>9.5000000000000001E-2</v>
      </c>
      <c r="W210" s="209">
        <v>9.5000000000000001E-2</v>
      </c>
      <c r="X210" s="209">
        <v>9.5000000000000001E-2</v>
      </c>
      <c r="Y210" s="209">
        <v>9.5000000000000001E-2</v>
      </c>
      <c r="Z210" s="209">
        <v>9.5000000000000001E-2</v>
      </c>
      <c r="AA210" s="209">
        <v>9.5000000000000001E-2</v>
      </c>
      <c r="AB210" s="209">
        <v>9.5000000000000001E-2</v>
      </c>
      <c r="AC210" s="209">
        <v>9.5000000000000001E-2</v>
      </c>
      <c r="AD210" s="209">
        <v>9.5000000000000001E-2</v>
      </c>
      <c r="AE210" s="209">
        <v>9.5000000000000001E-2</v>
      </c>
      <c r="AF210" s="220">
        <v>9.5000000000000001E-2</v>
      </c>
      <c r="AG210" s="436"/>
    </row>
    <row r="211" spans="1:33">
      <c r="A211" s="215" t="s">
        <v>937</v>
      </c>
      <c r="B211" s="232" t="s">
        <v>938</v>
      </c>
      <c r="C211" s="232">
        <v>2050</v>
      </c>
      <c r="D211" s="232" t="s">
        <v>680</v>
      </c>
      <c r="E211" s="209">
        <v>9.5000000000000001E-2</v>
      </c>
      <c r="F211" s="209">
        <v>9.5000000000000001E-2</v>
      </c>
      <c r="G211" s="209">
        <v>9.5000000000000001E-2</v>
      </c>
      <c r="H211" s="209">
        <v>9.5000000000000001E-2</v>
      </c>
      <c r="I211" s="209">
        <v>9.5000000000000001E-2</v>
      </c>
      <c r="J211" s="209">
        <v>9.5000000000000001E-2</v>
      </c>
      <c r="K211" s="209">
        <v>9.5000000000000001E-2</v>
      </c>
      <c r="L211" s="209">
        <v>9.5000000000000001E-2</v>
      </c>
      <c r="M211" s="209">
        <v>9.5000000000000001E-2</v>
      </c>
      <c r="N211" s="209">
        <v>9.5000000000000001E-2</v>
      </c>
      <c r="O211" s="209">
        <v>9.5000000000000001E-2</v>
      </c>
      <c r="P211" s="209">
        <v>9.5000000000000001E-2</v>
      </c>
      <c r="Q211" s="209">
        <v>9.5000000000000001E-2</v>
      </c>
      <c r="R211" s="209">
        <v>9.5000000000000001E-2</v>
      </c>
      <c r="S211" s="209">
        <v>9.5000000000000001E-2</v>
      </c>
      <c r="T211" s="209">
        <v>9.5000000000000001E-2</v>
      </c>
      <c r="U211" s="209">
        <v>9.5000000000000001E-2</v>
      </c>
      <c r="V211" s="209">
        <v>9.5000000000000001E-2</v>
      </c>
      <c r="W211" s="209">
        <v>9.5000000000000001E-2</v>
      </c>
      <c r="X211" s="209">
        <v>9.5000000000000001E-2</v>
      </c>
      <c r="Y211" s="209">
        <v>9.5000000000000001E-2</v>
      </c>
      <c r="Z211" s="209">
        <v>9.5000000000000001E-2</v>
      </c>
      <c r="AA211" s="209">
        <v>9.5000000000000001E-2</v>
      </c>
      <c r="AB211" s="209">
        <v>9.5000000000000001E-2</v>
      </c>
      <c r="AC211" s="209">
        <v>9.5000000000000001E-2</v>
      </c>
      <c r="AD211" s="209">
        <v>9.5000000000000001E-2</v>
      </c>
      <c r="AE211" s="209">
        <v>9.5000000000000001E-2</v>
      </c>
      <c r="AF211" s="220">
        <v>9.5000000000000001E-2</v>
      </c>
      <c r="AG211" s="436"/>
    </row>
    <row r="212" spans="1:33">
      <c r="A212" s="215" t="s">
        <v>937</v>
      </c>
      <c r="B212" s="232" t="s">
        <v>938</v>
      </c>
      <c r="C212" s="232">
        <v>2060</v>
      </c>
      <c r="D212" s="232" t="s">
        <v>680</v>
      </c>
      <c r="E212" s="209">
        <v>9.5000000000000001E-2</v>
      </c>
      <c r="F212" s="209">
        <v>9.5000000000000001E-2</v>
      </c>
      <c r="G212" s="209">
        <v>9.5000000000000001E-2</v>
      </c>
      <c r="H212" s="209">
        <v>9.5000000000000001E-2</v>
      </c>
      <c r="I212" s="209">
        <v>9.5000000000000001E-2</v>
      </c>
      <c r="J212" s="209">
        <v>9.5000000000000001E-2</v>
      </c>
      <c r="K212" s="209">
        <v>9.5000000000000001E-2</v>
      </c>
      <c r="L212" s="209">
        <v>9.5000000000000001E-2</v>
      </c>
      <c r="M212" s="209">
        <v>9.5000000000000001E-2</v>
      </c>
      <c r="N212" s="209">
        <v>9.5000000000000001E-2</v>
      </c>
      <c r="O212" s="209">
        <v>9.5000000000000001E-2</v>
      </c>
      <c r="P212" s="209">
        <v>9.5000000000000001E-2</v>
      </c>
      <c r="Q212" s="209">
        <v>9.5000000000000001E-2</v>
      </c>
      <c r="R212" s="209">
        <v>9.5000000000000001E-2</v>
      </c>
      <c r="S212" s="209">
        <v>9.5000000000000001E-2</v>
      </c>
      <c r="T212" s="209">
        <v>9.5000000000000001E-2</v>
      </c>
      <c r="U212" s="209">
        <v>9.5000000000000001E-2</v>
      </c>
      <c r="V212" s="209">
        <v>9.5000000000000001E-2</v>
      </c>
      <c r="W212" s="209">
        <v>9.5000000000000001E-2</v>
      </c>
      <c r="X212" s="209">
        <v>9.5000000000000001E-2</v>
      </c>
      <c r="Y212" s="209">
        <v>9.5000000000000001E-2</v>
      </c>
      <c r="Z212" s="209">
        <v>9.5000000000000001E-2</v>
      </c>
      <c r="AA212" s="209">
        <v>9.5000000000000001E-2</v>
      </c>
      <c r="AB212" s="209">
        <v>9.5000000000000001E-2</v>
      </c>
      <c r="AC212" s="209">
        <v>9.5000000000000001E-2</v>
      </c>
      <c r="AD212" s="209">
        <v>9.5000000000000001E-2</v>
      </c>
      <c r="AE212" s="209">
        <v>9.5000000000000001E-2</v>
      </c>
      <c r="AF212" s="220">
        <v>9.5000000000000001E-2</v>
      </c>
      <c r="AG212" s="436"/>
    </row>
    <row r="213" spans="1:33">
      <c r="A213" s="215" t="s">
        <v>937</v>
      </c>
      <c r="B213" s="232" t="s">
        <v>938</v>
      </c>
      <c r="C213" s="232">
        <v>2070</v>
      </c>
      <c r="D213" s="232" t="s">
        <v>680</v>
      </c>
      <c r="E213" s="209">
        <v>9.5000000000000001E-2</v>
      </c>
      <c r="F213" s="209">
        <v>9.5000000000000001E-2</v>
      </c>
      <c r="G213" s="209">
        <v>9.5000000000000001E-2</v>
      </c>
      <c r="H213" s="209">
        <v>9.5000000000000001E-2</v>
      </c>
      <c r="I213" s="209">
        <v>9.5000000000000001E-2</v>
      </c>
      <c r="J213" s="209">
        <v>9.5000000000000001E-2</v>
      </c>
      <c r="K213" s="209">
        <v>9.5000000000000001E-2</v>
      </c>
      <c r="L213" s="209">
        <v>9.5000000000000001E-2</v>
      </c>
      <c r="M213" s="209">
        <v>9.5000000000000001E-2</v>
      </c>
      <c r="N213" s="209">
        <v>9.5000000000000001E-2</v>
      </c>
      <c r="O213" s="209">
        <v>9.5000000000000001E-2</v>
      </c>
      <c r="P213" s="209">
        <v>9.5000000000000001E-2</v>
      </c>
      <c r="Q213" s="209">
        <v>9.5000000000000001E-2</v>
      </c>
      <c r="R213" s="209">
        <v>9.5000000000000001E-2</v>
      </c>
      <c r="S213" s="209">
        <v>9.5000000000000001E-2</v>
      </c>
      <c r="T213" s="209">
        <v>9.5000000000000001E-2</v>
      </c>
      <c r="U213" s="209">
        <v>9.5000000000000001E-2</v>
      </c>
      <c r="V213" s="209">
        <v>9.5000000000000001E-2</v>
      </c>
      <c r="W213" s="209">
        <v>9.5000000000000001E-2</v>
      </c>
      <c r="X213" s="209">
        <v>9.5000000000000001E-2</v>
      </c>
      <c r="Y213" s="209">
        <v>9.5000000000000001E-2</v>
      </c>
      <c r="Z213" s="209">
        <v>9.5000000000000001E-2</v>
      </c>
      <c r="AA213" s="209">
        <v>9.5000000000000001E-2</v>
      </c>
      <c r="AB213" s="209">
        <v>9.5000000000000001E-2</v>
      </c>
      <c r="AC213" s="209">
        <v>9.5000000000000001E-2</v>
      </c>
      <c r="AD213" s="209">
        <v>9.5000000000000001E-2</v>
      </c>
      <c r="AE213" s="209">
        <v>9.5000000000000001E-2</v>
      </c>
      <c r="AF213" s="220">
        <v>9.5000000000000001E-2</v>
      </c>
      <c r="AG213" s="436"/>
    </row>
    <row r="214" spans="1:33">
      <c r="A214" s="215" t="s">
        <v>937</v>
      </c>
      <c r="B214" s="232" t="s">
        <v>938</v>
      </c>
      <c r="C214" s="232">
        <v>2080</v>
      </c>
      <c r="D214" s="232" t="s">
        <v>680</v>
      </c>
      <c r="E214" s="209">
        <v>9.5000000000000001E-2</v>
      </c>
      <c r="F214" s="209">
        <v>9.5000000000000001E-2</v>
      </c>
      <c r="G214" s="209">
        <v>9.5000000000000001E-2</v>
      </c>
      <c r="H214" s="209">
        <v>9.5000000000000001E-2</v>
      </c>
      <c r="I214" s="209">
        <v>9.5000000000000001E-2</v>
      </c>
      <c r="J214" s="209">
        <v>9.5000000000000001E-2</v>
      </c>
      <c r="K214" s="209">
        <v>9.5000000000000001E-2</v>
      </c>
      <c r="L214" s="209">
        <v>9.5000000000000001E-2</v>
      </c>
      <c r="M214" s="209">
        <v>9.5000000000000001E-2</v>
      </c>
      <c r="N214" s="209">
        <v>9.5000000000000001E-2</v>
      </c>
      <c r="O214" s="209">
        <v>9.5000000000000001E-2</v>
      </c>
      <c r="P214" s="209">
        <v>9.5000000000000001E-2</v>
      </c>
      <c r="Q214" s="209">
        <v>9.5000000000000001E-2</v>
      </c>
      <c r="R214" s="209">
        <v>9.5000000000000001E-2</v>
      </c>
      <c r="S214" s="209">
        <v>9.5000000000000001E-2</v>
      </c>
      <c r="T214" s="209">
        <v>9.5000000000000001E-2</v>
      </c>
      <c r="U214" s="209">
        <v>9.5000000000000001E-2</v>
      </c>
      <c r="V214" s="209">
        <v>9.5000000000000001E-2</v>
      </c>
      <c r="W214" s="209">
        <v>9.5000000000000001E-2</v>
      </c>
      <c r="X214" s="209">
        <v>9.5000000000000001E-2</v>
      </c>
      <c r="Y214" s="209">
        <v>9.5000000000000001E-2</v>
      </c>
      <c r="Z214" s="209">
        <v>9.5000000000000001E-2</v>
      </c>
      <c r="AA214" s="209">
        <v>9.5000000000000001E-2</v>
      </c>
      <c r="AB214" s="209">
        <v>9.5000000000000001E-2</v>
      </c>
      <c r="AC214" s="209">
        <v>9.5000000000000001E-2</v>
      </c>
      <c r="AD214" s="209">
        <v>9.5000000000000001E-2</v>
      </c>
      <c r="AE214" s="209">
        <v>9.5000000000000001E-2</v>
      </c>
      <c r="AF214" s="220">
        <v>9.5000000000000001E-2</v>
      </c>
      <c r="AG214" s="436"/>
    </row>
    <row r="215" spans="1:33">
      <c r="A215" s="215" t="s">
        <v>937</v>
      </c>
      <c r="B215" s="232" t="s">
        <v>938</v>
      </c>
      <c r="C215" s="232">
        <v>2090</v>
      </c>
      <c r="D215" s="232" t="s">
        <v>680</v>
      </c>
      <c r="E215" s="209">
        <v>9.5000000000000001E-2</v>
      </c>
      <c r="F215" s="209">
        <v>9.5000000000000001E-2</v>
      </c>
      <c r="G215" s="209">
        <v>9.5000000000000001E-2</v>
      </c>
      <c r="H215" s="209">
        <v>9.5000000000000001E-2</v>
      </c>
      <c r="I215" s="209">
        <v>9.5000000000000001E-2</v>
      </c>
      <c r="J215" s="209">
        <v>9.5000000000000001E-2</v>
      </c>
      <c r="K215" s="209">
        <v>9.5000000000000001E-2</v>
      </c>
      <c r="L215" s="209">
        <v>9.5000000000000001E-2</v>
      </c>
      <c r="M215" s="209">
        <v>9.5000000000000001E-2</v>
      </c>
      <c r="N215" s="209">
        <v>9.5000000000000001E-2</v>
      </c>
      <c r="O215" s="209">
        <v>9.5000000000000001E-2</v>
      </c>
      <c r="P215" s="209">
        <v>9.5000000000000001E-2</v>
      </c>
      <c r="Q215" s="209">
        <v>9.5000000000000001E-2</v>
      </c>
      <c r="R215" s="209">
        <v>9.5000000000000001E-2</v>
      </c>
      <c r="S215" s="209">
        <v>9.5000000000000001E-2</v>
      </c>
      <c r="T215" s="209">
        <v>9.5000000000000001E-2</v>
      </c>
      <c r="U215" s="209">
        <v>9.5000000000000001E-2</v>
      </c>
      <c r="V215" s="209">
        <v>9.5000000000000001E-2</v>
      </c>
      <c r="W215" s="209">
        <v>9.5000000000000001E-2</v>
      </c>
      <c r="X215" s="209">
        <v>9.5000000000000001E-2</v>
      </c>
      <c r="Y215" s="209">
        <v>9.5000000000000001E-2</v>
      </c>
      <c r="Z215" s="209">
        <v>9.5000000000000001E-2</v>
      </c>
      <c r="AA215" s="209">
        <v>9.5000000000000001E-2</v>
      </c>
      <c r="AB215" s="209">
        <v>9.5000000000000001E-2</v>
      </c>
      <c r="AC215" s="209">
        <v>9.5000000000000001E-2</v>
      </c>
      <c r="AD215" s="209">
        <v>9.5000000000000001E-2</v>
      </c>
      <c r="AE215" s="209">
        <v>9.5000000000000001E-2</v>
      </c>
      <c r="AF215" s="220">
        <v>9.5000000000000001E-2</v>
      </c>
      <c r="AG215" s="436"/>
    </row>
    <row r="216" spans="1:33">
      <c r="A216" s="229" t="s">
        <v>937</v>
      </c>
      <c r="B216" s="235" t="s">
        <v>938</v>
      </c>
      <c r="C216" s="235">
        <v>2100</v>
      </c>
      <c r="D216" s="235" t="s">
        <v>680</v>
      </c>
      <c r="E216" s="223">
        <v>9.5000000000000001E-2</v>
      </c>
      <c r="F216" s="226">
        <v>9.5000000000000001E-2</v>
      </c>
      <c r="G216" s="226">
        <v>9.5000000000000001E-2</v>
      </c>
      <c r="H216" s="226">
        <v>9.5000000000000001E-2</v>
      </c>
      <c r="I216" s="226">
        <v>9.5000000000000001E-2</v>
      </c>
      <c r="J216" s="226">
        <v>9.5000000000000001E-2</v>
      </c>
      <c r="K216" s="226">
        <v>9.5000000000000001E-2</v>
      </c>
      <c r="L216" s="226">
        <v>9.5000000000000001E-2</v>
      </c>
      <c r="M216" s="226">
        <v>9.5000000000000001E-2</v>
      </c>
      <c r="N216" s="226">
        <v>9.5000000000000001E-2</v>
      </c>
      <c r="O216" s="226">
        <v>9.5000000000000001E-2</v>
      </c>
      <c r="P216" s="226">
        <v>9.5000000000000001E-2</v>
      </c>
      <c r="Q216" s="226">
        <v>9.5000000000000001E-2</v>
      </c>
      <c r="R216" s="226">
        <v>9.5000000000000001E-2</v>
      </c>
      <c r="S216" s="226">
        <v>9.5000000000000001E-2</v>
      </c>
      <c r="T216" s="226">
        <v>9.5000000000000001E-2</v>
      </c>
      <c r="U216" s="226">
        <v>9.5000000000000001E-2</v>
      </c>
      <c r="V216" s="226">
        <v>9.5000000000000001E-2</v>
      </c>
      <c r="W216" s="226">
        <v>9.5000000000000001E-2</v>
      </c>
      <c r="X216" s="226">
        <v>9.5000000000000001E-2</v>
      </c>
      <c r="Y216" s="226">
        <v>9.5000000000000001E-2</v>
      </c>
      <c r="Z216" s="226">
        <v>9.5000000000000001E-2</v>
      </c>
      <c r="AA216" s="226">
        <v>9.5000000000000001E-2</v>
      </c>
      <c r="AB216" s="226">
        <v>9.5000000000000001E-2</v>
      </c>
      <c r="AC216" s="226">
        <v>9.5000000000000001E-2</v>
      </c>
      <c r="AD216" s="226">
        <v>9.5000000000000001E-2</v>
      </c>
      <c r="AE216" s="226">
        <v>9.5000000000000001E-2</v>
      </c>
      <c r="AF216" s="224">
        <v>9.5000000000000001E-2</v>
      </c>
      <c r="AG216" s="437"/>
    </row>
    <row r="217" spans="1:33">
      <c r="A217" s="215" t="s">
        <v>937</v>
      </c>
      <c r="B217" s="232" t="s">
        <v>940</v>
      </c>
      <c r="C217" s="232">
        <v>2019</v>
      </c>
      <c r="D217" s="232" t="s">
        <v>680</v>
      </c>
      <c r="E217" s="209">
        <v>0.19</v>
      </c>
      <c r="F217" s="209">
        <v>0.19</v>
      </c>
      <c r="G217" s="209">
        <v>0.19</v>
      </c>
      <c r="H217" s="209">
        <v>0.19</v>
      </c>
      <c r="I217" s="209">
        <v>0.19</v>
      </c>
      <c r="J217" s="209">
        <v>0.19</v>
      </c>
      <c r="K217" s="209">
        <v>0.19</v>
      </c>
      <c r="L217" s="209">
        <v>0.19</v>
      </c>
      <c r="M217" s="209">
        <v>0.19</v>
      </c>
      <c r="N217" s="209">
        <v>0.19</v>
      </c>
      <c r="O217" s="209">
        <v>0.19</v>
      </c>
      <c r="P217" s="209">
        <v>0.19</v>
      </c>
      <c r="Q217" s="209">
        <v>0.19</v>
      </c>
      <c r="R217" s="209">
        <v>0.19</v>
      </c>
      <c r="S217" s="209">
        <v>0.19</v>
      </c>
      <c r="T217" s="209">
        <v>0.19</v>
      </c>
      <c r="U217" s="209">
        <v>0.19</v>
      </c>
      <c r="V217" s="209">
        <v>0.19</v>
      </c>
      <c r="W217" s="209">
        <v>0.19</v>
      </c>
      <c r="X217" s="209">
        <v>0.19</v>
      </c>
      <c r="Y217" s="209">
        <v>0.19</v>
      </c>
      <c r="Z217" s="209">
        <v>0.19</v>
      </c>
      <c r="AA217" s="209">
        <v>0.19</v>
      </c>
      <c r="AB217" s="209">
        <v>0.19</v>
      </c>
      <c r="AC217" s="209">
        <v>0.19</v>
      </c>
      <c r="AD217" s="209">
        <v>0.19</v>
      </c>
      <c r="AE217" s="209">
        <v>0.19</v>
      </c>
      <c r="AF217" s="220">
        <v>0.19</v>
      </c>
      <c r="AG217" s="436"/>
    </row>
    <row r="218" spans="1:33">
      <c r="A218" s="215" t="s">
        <v>937</v>
      </c>
      <c r="B218" s="232" t="s">
        <v>940</v>
      </c>
      <c r="C218">
        <v>2020</v>
      </c>
      <c r="D218" s="232" t="s">
        <v>680</v>
      </c>
      <c r="E218" s="209">
        <v>0.19</v>
      </c>
      <c r="F218" s="209">
        <v>0.19</v>
      </c>
      <c r="G218" s="209">
        <v>0.19</v>
      </c>
      <c r="H218" s="209">
        <v>0.19</v>
      </c>
      <c r="I218" s="209">
        <v>0.19</v>
      </c>
      <c r="J218" s="209">
        <v>0.19</v>
      </c>
      <c r="K218" s="209">
        <v>0.19</v>
      </c>
      <c r="L218" s="209">
        <v>0.19</v>
      </c>
      <c r="M218" s="209">
        <v>0.19</v>
      </c>
      <c r="N218" s="209">
        <v>0.19</v>
      </c>
      <c r="O218" s="209">
        <v>0.19</v>
      </c>
      <c r="P218" s="209">
        <v>0.19</v>
      </c>
      <c r="Q218" s="209">
        <v>0.19</v>
      </c>
      <c r="R218" s="209">
        <v>0.19</v>
      </c>
      <c r="S218" s="209">
        <v>0.19</v>
      </c>
      <c r="T218" s="209">
        <v>0.19</v>
      </c>
      <c r="U218" s="209">
        <v>0.19</v>
      </c>
      <c r="V218" s="209">
        <v>0.19</v>
      </c>
      <c r="W218" s="209">
        <v>0.19</v>
      </c>
      <c r="X218" s="209">
        <v>0.19</v>
      </c>
      <c r="Y218" s="209">
        <v>0.19</v>
      </c>
      <c r="Z218" s="209">
        <v>0.19</v>
      </c>
      <c r="AA218" s="209">
        <v>0.19</v>
      </c>
      <c r="AB218" s="209">
        <v>0.19</v>
      </c>
      <c r="AC218" s="209">
        <v>0.19</v>
      </c>
      <c r="AD218" s="209">
        <v>0.19</v>
      </c>
      <c r="AE218" s="209">
        <v>0.19</v>
      </c>
      <c r="AF218" s="220">
        <v>0.19</v>
      </c>
      <c r="AG218" s="436"/>
    </row>
    <row r="219" spans="1:33">
      <c r="A219" s="215" t="s">
        <v>937</v>
      </c>
      <c r="B219" s="232" t="s">
        <v>940</v>
      </c>
      <c r="C219" s="232">
        <v>2025</v>
      </c>
      <c r="D219" s="232" t="s">
        <v>680</v>
      </c>
      <c r="E219" s="209">
        <v>0.19</v>
      </c>
      <c r="F219" s="209">
        <v>0.19</v>
      </c>
      <c r="G219" s="209">
        <v>0.19</v>
      </c>
      <c r="H219" s="209">
        <v>0.19</v>
      </c>
      <c r="I219" s="209">
        <v>0.19</v>
      </c>
      <c r="J219" s="209">
        <v>0.19</v>
      </c>
      <c r="K219" s="209">
        <v>0.19</v>
      </c>
      <c r="L219" s="209">
        <v>0.19</v>
      </c>
      <c r="M219" s="209">
        <v>0.19</v>
      </c>
      <c r="N219" s="209">
        <v>0.19</v>
      </c>
      <c r="O219" s="209">
        <v>0.19</v>
      </c>
      <c r="P219" s="209">
        <v>0.19</v>
      </c>
      <c r="Q219" s="209">
        <v>0.19</v>
      </c>
      <c r="R219" s="209">
        <v>0.19</v>
      </c>
      <c r="S219" s="209">
        <v>0.19</v>
      </c>
      <c r="T219" s="209">
        <v>0.19</v>
      </c>
      <c r="U219" s="209">
        <v>0.19</v>
      </c>
      <c r="V219" s="209">
        <v>0.19</v>
      </c>
      <c r="W219" s="209">
        <v>0.19</v>
      </c>
      <c r="X219" s="209">
        <v>0.19</v>
      </c>
      <c r="Y219" s="209">
        <v>0.19</v>
      </c>
      <c r="Z219" s="209">
        <v>0.19</v>
      </c>
      <c r="AA219" s="209">
        <v>0.19</v>
      </c>
      <c r="AB219" s="209">
        <v>0.19</v>
      </c>
      <c r="AC219" s="209">
        <v>0.19</v>
      </c>
      <c r="AD219" s="209">
        <v>0.19</v>
      </c>
      <c r="AE219" s="209">
        <v>0.19</v>
      </c>
      <c r="AF219" s="220">
        <v>0.19</v>
      </c>
      <c r="AG219" s="436"/>
    </row>
    <row r="220" spans="1:33">
      <c r="A220" s="215" t="s">
        <v>937</v>
      </c>
      <c r="B220" s="232" t="s">
        <v>940</v>
      </c>
      <c r="C220" s="232">
        <v>2030</v>
      </c>
      <c r="D220" s="232" t="s">
        <v>680</v>
      </c>
      <c r="E220" s="209">
        <v>0.19</v>
      </c>
      <c r="F220" s="209">
        <v>0.19</v>
      </c>
      <c r="G220" s="209">
        <v>0.19</v>
      </c>
      <c r="H220" s="209">
        <v>0.19</v>
      </c>
      <c r="I220" s="209">
        <v>0.19</v>
      </c>
      <c r="J220" s="209">
        <v>0.19</v>
      </c>
      <c r="K220" s="209">
        <v>0.19</v>
      </c>
      <c r="L220" s="209">
        <v>0.19</v>
      </c>
      <c r="M220" s="209">
        <v>0.19</v>
      </c>
      <c r="N220" s="209">
        <v>0.19</v>
      </c>
      <c r="O220" s="209">
        <v>0.19</v>
      </c>
      <c r="P220" s="209">
        <v>0.19</v>
      </c>
      <c r="Q220" s="209">
        <v>0.19</v>
      </c>
      <c r="R220" s="209">
        <v>0.19</v>
      </c>
      <c r="S220" s="209">
        <v>0.19</v>
      </c>
      <c r="T220" s="209">
        <v>0.19</v>
      </c>
      <c r="U220" s="209">
        <v>0.19</v>
      </c>
      <c r="V220" s="209">
        <v>0.19</v>
      </c>
      <c r="W220" s="209">
        <v>0.19</v>
      </c>
      <c r="X220" s="209">
        <v>0.19</v>
      </c>
      <c r="Y220" s="209">
        <v>0.19</v>
      </c>
      <c r="Z220" s="209">
        <v>0.19</v>
      </c>
      <c r="AA220" s="209">
        <v>0.19</v>
      </c>
      <c r="AB220" s="209">
        <v>0.19</v>
      </c>
      <c r="AC220" s="209">
        <v>0.19</v>
      </c>
      <c r="AD220" s="209">
        <v>0.19</v>
      </c>
      <c r="AE220" s="209">
        <v>0.19</v>
      </c>
      <c r="AF220" s="220">
        <v>0.19</v>
      </c>
      <c r="AG220" s="436"/>
    </row>
    <row r="221" spans="1:33">
      <c r="A221" s="215" t="s">
        <v>937</v>
      </c>
      <c r="B221" s="232" t="s">
        <v>940</v>
      </c>
      <c r="C221" s="232">
        <v>2035</v>
      </c>
      <c r="D221" s="232" t="s">
        <v>680</v>
      </c>
      <c r="E221" s="209">
        <v>0.19</v>
      </c>
      <c r="F221" s="209">
        <v>0.19</v>
      </c>
      <c r="G221" s="209">
        <v>0.19</v>
      </c>
      <c r="H221" s="209">
        <v>0.19</v>
      </c>
      <c r="I221" s="209">
        <v>0.19</v>
      </c>
      <c r="J221" s="209">
        <v>0.19</v>
      </c>
      <c r="K221" s="209">
        <v>0.19</v>
      </c>
      <c r="L221" s="209">
        <v>0.19</v>
      </c>
      <c r="M221" s="209">
        <v>0.19</v>
      </c>
      <c r="N221" s="209">
        <v>0.19</v>
      </c>
      <c r="O221" s="209">
        <v>0.19</v>
      </c>
      <c r="P221" s="209">
        <v>0.19</v>
      </c>
      <c r="Q221" s="209">
        <v>0.19</v>
      </c>
      <c r="R221" s="209">
        <v>0.19</v>
      </c>
      <c r="S221" s="209">
        <v>0.19</v>
      </c>
      <c r="T221" s="209">
        <v>0.19</v>
      </c>
      <c r="U221" s="209">
        <v>0.19</v>
      </c>
      <c r="V221" s="209">
        <v>0.19</v>
      </c>
      <c r="W221" s="209">
        <v>0.19</v>
      </c>
      <c r="X221" s="209">
        <v>0.19</v>
      </c>
      <c r="Y221" s="209">
        <v>0.19</v>
      </c>
      <c r="Z221" s="209">
        <v>0.19</v>
      </c>
      <c r="AA221" s="209">
        <v>0.19</v>
      </c>
      <c r="AB221" s="209">
        <v>0.19</v>
      </c>
      <c r="AC221" s="209">
        <v>0.19</v>
      </c>
      <c r="AD221" s="209">
        <v>0.19</v>
      </c>
      <c r="AE221" s="209">
        <v>0.19</v>
      </c>
      <c r="AF221" s="220">
        <v>0.19</v>
      </c>
      <c r="AG221" s="436"/>
    </row>
    <row r="222" spans="1:33">
      <c r="A222" s="215" t="s">
        <v>937</v>
      </c>
      <c r="B222" s="232" t="s">
        <v>940</v>
      </c>
      <c r="C222" s="232">
        <v>2040</v>
      </c>
      <c r="D222" s="232" t="s">
        <v>680</v>
      </c>
      <c r="E222" s="209">
        <v>0.19</v>
      </c>
      <c r="F222" s="209">
        <v>0.19</v>
      </c>
      <c r="G222" s="209">
        <v>0.19</v>
      </c>
      <c r="H222" s="209">
        <v>0.19</v>
      </c>
      <c r="I222" s="209">
        <v>0.19</v>
      </c>
      <c r="J222" s="209">
        <v>0.19</v>
      </c>
      <c r="K222" s="209">
        <v>0.19</v>
      </c>
      <c r="L222" s="209">
        <v>0.19</v>
      </c>
      <c r="M222" s="209">
        <v>0.19</v>
      </c>
      <c r="N222" s="209">
        <v>0.19</v>
      </c>
      <c r="O222" s="209">
        <v>0.19</v>
      </c>
      <c r="P222" s="209">
        <v>0.19</v>
      </c>
      <c r="Q222" s="209">
        <v>0.19</v>
      </c>
      <c r="R222" s="209">
        <v>0.19</v>
      </c>
      <c r="S222" s="209">
        <v>0.19</v>
      </c>
      <c r="T222" s="209">
        <v>0.19</v>
      </c>
      <c r="U222" s="209">
        <v>0.19</v>
      </c>
      <c r="V222" s="209">
        <v>0.19</v>
      </c>
      <c r="W222" s="209">
        <v>0.19</v>
      </c>
      <c r="X222" s="209">
        <v>0.19</v>
      </c>
      <c r="Y222" s="209">
        <v>0.19</v>
      </c>
      <c r="Z222" s="209">
        <v>0.19</v>
      </c>
      <c r="AA222" s="209">
        <v>0.19</v>
      </c>
      <c r="AB222" s="209">
        <v>0.19</v>
      </c>
      <c r="AC222" s="209">
        <v>0.19</v>
      </c>
      <c r="AD222" s="209">
        <v>0.19</v>
      </c>
      <c r="AE222" s="209">
        <v>0.19</v>
      </c>
      <c r="AF222" s="220">
        <v>0.19</v>
      </c>
      <c r="AG222" s="436"/>
    </row>
    <row r="223" spans="1:33">
      <c r="A223" s="215" t="s">
        <v>937</v>
      </c>
      <c r="B223" s="232" t="s">
        <v>940</v>
      </c>
      <c r="C223" s="232">
        <v>2045</v>
      </c>
      <c r="D223" s="232" t="s">
        <v>680</v>
      </c>
      <c r="E223" s="209">
        <v>0.19</v>
      </c>
      <c r="F223" s="209">
        <v>0.19</v>
      </c>
      <c r="G223" s="209">
        <v>0.19</v>
      </c>
      <c r="H223" s="209">
        <v>0.19</v>
      </c>
      <c r="I223" s="209">
        <v>0.19</v>
      </c>
      <c r="J223" s="209">
        <v>0.19</v>
      </c>
      <c r="K223" s="209">
        <v>0.19</v>
      </c>
      <c r="L223" s="209">
        <v>0.19</v>
      </c>
      <c r="M223" s="209">
        <v>0.19</v>
      </c>
      <c r="N223" s="209">
        <v>0.19</v>
      </c>
      <c r="O223" s="209">
        <v>0.19</v>
      </c>
      <c r="P223" s="209">
        <v>0.19</v>
      </c>
      <c r="Q223" s="209">
        <v>0.19</v>
      </c>
      <c r="R223" s="209">
        <v>0.19</v>
      </c>
      <c r="S223" s="209">
        <v>0.19</v>
      </c>
      <c r="T223" s="209">
        <v>0.19</v>
      </c>
      <c r="U223" s="209">
        <v>0.19</v>
      </c>
      <c r="V223" s="209">
        <v>0.19</v>
      </c>
      <c r="W223" s="209">
        <v>0.19</v>
      </c>
      <c r="X223" s="209">
        <v>0.19</v>
      </c>
      <c r="Y223" s="209">
        <v>0.19</v>
      </c>
      <c r="Z223" s="209">
        <v>0.19</v>
      </c>
      <c r="AA223" s="209">
        <v>0.19</v>
      </c>
      <c r="AB223" s="209">
        <v>0.19</v>
      </c>
      <c r="AC223" s="209">
        <v>0.19</v>
      </c>
      <c r="AD223" s="209">
        <v>0.19</v>
      </c>
      <c r="AE223" s="209">
        <v>0.19</v>
      </c>
      <c r="AF223" s="220">
        <v>0.19</v>
      </c>
      <c r="AG223" s="436"/>
    </row>
    <row r="224" spans="1:33">
      <c r="A224" s="215" t="s">
        <v>937</v>
      </c>
      <c r="B224" s="232" t="s">
        <v>940</v>
      </c>
      <c r="C224" s="232">
        <v>2050</v>
      </c>
      <c r="D224" s="232" t="s">
        <v>680</v>
      </c>
      <c r="E224" s="209">
        <v>0.19</v>
      </c>
      <c r="F224" s="209">
        <v>0.19</v>
      </c>
      <c r="G224" s="209">
        <v>0.19</v>
      </c>
      <c r="H224" s="209">
        <v>0.19</v>
      </c>
      <c r="I224" s="209">
        <v>0.19</v>
      </c>
      <c r="J224" s="209">
        <v>0.19</v>
      </c>
      <c r="K224" s="209">
        <v>0.19</v>
      </c>
      <c r="L224" s="209">
        <v>0.19</v>
      </c>
      <c r="M224" s="209">
        <v>0.19</v>
      </c>
      <c r="N224" s="209">
        <v>0.19</v>
      </c>
      <c r="O224" s="209">
        <v>0.19</v>
      </c>
      <c r="P224" s="209">
        <v>0.19</v>
      </c>
      <c r="Q224" s="209">
        <v>0.19</v>
      </c>
      <c r="R224" s="209">
        <v>0.19</v>
      </c>
      <c r="S224" s="209">
        <v>0.19</v>
      </c>
      <c r="T224" s="209">
        <v>0.19</v>
      </c>
      <c r="U224" s="209">
        <v>0.19</v>
      </c>
      <c r="V224" s="209">
        <v>0.19</v>
      </c>
      <c r="W224" s="209">
        <v>0.19</v>
      </c>
      <c r="X224" s="209">
        <v>0.19</v>
      </c>
      <c r="Y224" s="209">
        <v>0.19</v>
      </c>
      <c r="Z224" s="209">
        <v>0.19</v>
      </c>
      <c r="AA224" s="209">
        <v>0.19</v>
      </c>
      <c r="AB224" s="209">
        <v>0.19</v>
      </c>
      <c r="AC224" s="209">
        <v>0.19</v>
      </c>
      <c r="AD224" s="209">
        <v>0.19</v>
      </c>
      <c r="AE224" s="209">
        <v>0.19</v>
      </c>
      <c r="AF224" s="220">
        <v>0.19</v>
      </c>
      <c r="AG224" s="436"/>
    </row>
    <row r="225" spans="1:33">
      <c r="A225" s="215" t="s">
        <v>937</v>
      </c>
      <c r="B225" s="232" t="s">
        <v>940</v>
      </c>
      <c r="C225" s="232">
        <v>2060</v>
      </c>
      <c r="D225" s="232" t="s">
        <v>680</v>
      </c>
      <c r="E225" s="209">
        <v>0.19</v>
      </c>
      <c r="F225" s="209">
        <v>0.19</v>
      </c>
      <c r="G225" s="209">
        <v>0.19</v>
      </c>
      <c r="H225" s="209">
        <v>0.19</v>
      </c>
      <c r="I225" s="209">
        <v>0.19</v>
      </c>
      <c r="J225" s="209">
        <v>0.19</v>
      </c>
      <c r="K225" s="209">
        <v>0.19</v>
      </c>
      <c r="L225" s="209">
        <v>0.19</v>
      </c>
      <c r="M225" s="209">
        <v>0.19</v>
      </c>
      <c r="N225" s="209">
        <v>0.19</v>
      </c>
      <c r="O225" s="209">
        <v>0.19</v>
      </c>
      <c r="P225" s="209">
        <v>0.19</v>
      </c>
      <c r="Q225" s="209">
        <v>0.19</v>
      </c>
      <c r="R225" s="209">
        <v>0.19</v>
      </c>
      <c r="S225" s="209">
        <v>0.19</v>
      </c>
      <c r="T225" s="209">
        <v>0.19</v>
      </c>
      <c r="U225" s="209">
        <v>0.19</v>
      </c>
      <c r="V225" s="209">
        <v>0.19</v>
      </c>
      <c r="W225" s="209">
        <v>0.19</v>
      </c>
      <c r="X225" s="209">
        <v>0.19</v>
      </c>
      <c r="Y225" s="209">
        <v>0.19</v>
      </c>
      <c r="Z225" s="209">
        <v>0.19</v>
      </c>
      <c r="AA225" s="209">
        <v>0.19</v>
      </c>
      <c r="AB225" s="209">
        <v>0.19</v>
      </c>
      <c r="AC225" s="209">
        <v>0.19</v>
      </c>
      <c r="AD225" s="209">
        <v>0.19</v>
      </c>
      <c r="AE225" s="209">
        <v>0.19</v>
      </c>
      <c r="AF225" s="220">
        <v>0.19</v>
      </c>
      <c r="AG225" s="436"/>
    </row>
    <row r="226" spans="1:33">
      <c r="A226" s="215" t="s">
        <v>937</v>
      </c>
      <c r="B226" s="232" t="s">
        <v>940</v>
      </c>
      <c r="C226" s="232">
        <v>2070</v>
      </c>
      <c r="D226" s="232" t="s">
        <v>680</v>
      </c>
      <c r="E226" s="209">
        <v>0.19</v>
      </c>
      <c r="F226" s="209">
        <v>0.19</v>
      </c>
      <c r="G226" s="209">
        <v>0.19</v>
      </c>
      <c r="H226" s="209">
        <v>0.19</v>
      </c>
      <c r="I226" s="209">
        <v>0.19</v>
      </c>
      <c r="J226" s="209">
        <v>0.19</v>
      </c>
      <c r="K226" s="209">
        <v>0.19</v>
      </c>
      <c r="L226" s="209">
        <v>0.19</v>
      </c>
      <c r="M226" s="209">
        <v>0.19</v>
      </c>
      <c r="N226" s="209">
        <v>0.19</v>
      </c>
      <c r="O226" s="209">
        <v>0.19</v>
      </c>
      <c r="P226" s="209">
        <v>0.19</v>
      </c>
      <c r="Q226" s="209">
        <v>0.19</v>
      </c>
      <c r="R226" s="209">
        <v>0.19</v>
      </c>
      <c r="S226" s="209">
        <v>0.19</v>
      </c>
      <c r="T226" s="209">
        <v>0.19</v>
      </c>
      <c r="U226" s="209">
        <v>0.19</v>
      </c>
      <c r="V226" s="209">
        <v>0.19</v>
      </c>
      <c r="W226" s="209">
        <v>0.19</v>
      </c>
      <c r="X226" s="209">
        <v>0.19</v>
      </c>
      <c r="Y226" s="209">
        <v>0.19</v>
      </c>
      <c r="Z226" s="209">
        <v>0.19</v>
      </c>
      <c r="AA226" s="209">
        <v>0.19</v>
      </c>
      <c r="AB226" s="209">
        <v>0.19</v>
      </c>
      <c r="AC226" s="209">
        <v>0.19</v>
      </c>
      <c r="AD226" s="209">
        <v>0.19</v>
      </c>
      <c r="AE226" s="209">
        <v>0.19</v>
      </c>
      <c r="AF226" s="220">
        <v>0.19</v>
      </c>
      <c r="AG226" s="436"/>
    </row>
    <row r="227" spans="1:33">
      <c r="A227" s="215" t="s">
        <v>937</v>
      </c>
      <c r="B227" s="232" t="s">
        <v>940</v>
      </c>
      <c r="C227" s="232">
        <v>2080</v>
      </c>
      <c r="D227" s="232" t="s">
        <v>680</v>
      </c>
      <c r="E227" s="209">
        <v>0.19</v>
      </c>
      <c r="F227" s="209">
        <v>0.19</v>
      </c>
      <c r="G227" s="209">
        <v>0.19</v>
      </c>
      <c r="H227" s="209">
        <v>0.19</v>
      </c>
      <c r="I227" s="209">
        <v>0.19</v>
      </c>
      <c r="J227" s="209">
        <v>0.19</v>
      </c>
      <c r="K227" s="209">
        <v>0.19</v>
      </c>
      <c r="L227" s="209">
        <v>0.19</v>
      </c>
      <c r="M227" s="209">
        <v>0.19</v>
      </c>
      <c r="N227" s="209">
        <v>0.19</v>
      </c>
      <c r="O227" s="209">
        <v>0.19</v>
      </c>
      <c r="P227" s="209">
        <v>0.19</v>
      </c>
      <c r="Q227" s="209">
        <v>0.19</v>
      </c>
      <c r="R227" s="209">
        <v>0.19</v>
      </c>
      <c r="S227" s="209">
        <v>0.19</v>
      </c>
      <c r="T227" s="209">
        <v>0.19</v>
      </c>
      <c r="U227" s="209">
        <v>0.19</v>
      </c>
      <c r="V227" s="209">
        <v>0.19</v>
      </c>
      <c r="W227" s="209">
        <v>0.19</v>
      </c>
      <c r="X227" s="209">
        <v>0.19</v>
      </c>
      <c r="Y227" s="209">
        <v>0.19</v>
      </c>
      <c r="Z227" s="209">
        <v>0.19</v>
      </c>
      <c r="AA227" s="209">
        <v>0.19</v>
      </c>
      <c r="AB227" s="209">
        <v>0.19</v>
      </c>
      <c r="AC227" s="209">
        <v>0.19</v>
      </c>
      <c r="AD227" s="209">
        <v>0.19</v>
      </c>
      <c r="AE227" s="209">
        <v>0.19</v>
      </c>
      <c r="AF227" s="220">
        <v>0.19</v>
      </c>
      <c r="AG227" s="436"/>
    </row>
    <row r="228" spans="1:33">
      <c r="A228" s="215" t="s">
        <v>937</v>
      </c>
      <c r="B228" s="232" t="s">
        <v>940</v>
      </c>
      <c r="C228" s="232">
        <v>2090</v>
      </c>
      <c r="D228" s="232" t="s">
        <v>680</v>
      </c>
      <c r="E228" s="209">
        <v>0.19</v>
      </c>
      <c r="F228" s="209">
        <v>0.19</v>
      </c>
      <c r="G228" s="209">
        <v>0.19</v>
      </c>
      <c r="H228" s="209">
        <v>0.19</v>
      </c>
      <c r="I228" s="209">
        <v>0.19</v>
      </c>
      <c r="J228" s="209">
        <v>0.19</v>
      </c>
      <c r="K228" s="209">
        <v>0.19</v>
      </c>
      <c r="L228" s="209">
        <v>0.19</v>
      </c>
      <c r="M228" s="209">
        <v>0.19</v>
      </c>
      <c r="N228" s="209">
        <v>0.19</v>
      </c>
      <c r="O228" s="209">
        <v>0.19</v>
      </c>
      <c r="P228" s="209">
        <v>0.19</v>
      </c>
      <c r="Q228" s="209">
        <v>0.19</v>
      </c>
      <c r="R228" s="209">
        <v>0.19</v>
      </c>
      <c r="S228" s="209">
        <v>0.19</v>
      </c>
      <c r="T228" s="209">
        <v>0.19</v>
      </c>
      <c r="U228" s="209">
        <v>0.19</v>
      </c>
      <c r="V228" s="209">
        <v>0.19</v>
      </c>
      <c r="W228" s="209">
        <v>0.19</v>
      </c>
      <c r="X228" s="209">
        <v>0.19</v>
      </c>
      <c r="Y228" s="209">
        <v>0.19</v>
      </c>
      <c r="Z228" s="209">
        <v>0.19</v>
      </c>
      <c r="AA228" s="209">
        <v>0.19</v>
      </c>
      <c r="AB228" s="209">
        <v>0.19</v>
      </c>
      <c r="AC228" s="209">
        <v>0.19</v>
      </c>
      <c r="AD228" s="209">
        <v>0.19</v>
      </c>
      <c r="AE228" s="209">
        <v>0.19</v>
      </c>
      <c r="AF228" s="220">
        <v>0.19</v>
      </c>
      <c r="AG228" s="436"/>
    </row>
    <row r="229" spans="1:33">
      <c r="A229" s="229" t="s">
        <v>937</v>
      </c>
      <c r="B229" s="235" t="s">
        <v>940</v>
      </c>
      <c r="C229" s="235">
        <v>2100</v>
      </c>
      <c r="D229" s="235" t="s">
        <v>680</v>
      </c>
      <c r="E229" s="226">
        <v>0.19</v>
      </c>
      <c r="F229" s="226">
        <v>0.19</v>
      </c>
      <c r="G229" s="226">
        <v>0.19</v>
      </c>
      <c r="H229" s="226">
        <v>0.19</v>
      </c>
      <c r="I229" s="226">
        <v>0.19</v>
      </c>
      <c r="J229" s="226">
        <v>0.19</v>
      </c>
      <c r="K229" s="226">
        <v>0.19</v>
      </c>
      <c r="L229" s="226">
        <v>0.19</v>
      </c>
      <c r="M229" s="226">
        <v>0.19</v>
      </c>
      <c r="N229" s="226">
        <v>0.19</v>
      </c>
      <c r="O229" s="226">
        <v>0.19</v>
      </c>
      <c r="P229" s="226">
        <v>0.19</v>
      </c>
      <c r="Q229" s="226">
        <v>0.19</v>
      </c>
      <c r="R229" s="226">
        <v>0.19</v>
      </c>
      <c r="S229" s="226">
        <v>0.19</v>
      </c>
      <c r="T229" s="226">
        <v>0.19</v>
      </c>
      <c r="U229" s="226">
        <v>0.19</v>
      </c>
      <c r="V229" s="226">
        <v>0.19</v>
      </c>
      <c r="W229" s="226">
        <v>0.19</v>
      </c>
      <c r="X229" s="226">
        <v>0.19</v>
      </c>
      <c r="Y229" s="226">
        <v>0.19</v>
      </c>
      <c r="Z229" s="226">
        <v>0.19</v>
      </c>
      <c r="AA229" s="226">
        <v>0.19</v>
      </c>
      <c r="AB229" s="226">
        <v>0.19</v>
      </c>
      <c r="AC229" s="226">
        <v>0.19</v>
      </c>
      <c r="AD229" s="226">
        <v>0.19</v>
      </c>
      <c r="AE229" s="226">
        <v>0.19</v>
      </c>
      <c r="AF229" s="224">
        <v>0.19</v>
      </c>
      <c r="AG229" s="437"/>
    </row>
    <row r="230" spans="1:33">
      <c r="A230" t="s">
        <v>937</v>
      </c>
      <c r="B230" s="231" t="s">
        <v>941</v>
      </c>
      <c r="C230" s="232">
        <v>2019</v>
      </c>
      <c r="D230" s="231" t="s">
        <v>680</v>
      </c>
      <c r="E230" s="209">
        <v>0.28499999999999998</v>
      </c>
      <c r="F230" s="209">
        <v>0.28499999999999998</v>
      </c>
      <c r="G230" s="209">
        <v>0.28499999999999998</v>
      </c>
      <c r="H230" s="209">
        <v>0.28499999999999998</v>
      </c>
      <c r="I230" s="209">
        <v>0.28499999999999998</v>
      </c>
      <c r="J230" s="209">
        <v>0.28499999999999998</v>
      </c>
      <c r="K230" s="209">
        <v>0.28499999999999998</v>
      </c>
      <c r="L230" s="209">
        <v>0.28499999999999998</v>
      </c>
      <c r="M230" s="209">
        <v>0.28499999999999998</v>
      </c>
      <c r="N230" s="209">
        <v>0.28499999999999998</v>
      </c>
      <c r="O230" s="209">
        <v>0.28499999999999998</v>
      </c>
      <c r="P230" s="209">
        <v>0.28499999999999998</v>
      </c>
      <c r="Q230" s="209">
        <v>0.28499999999999998</v>
      </c>
      <c r="R230" s="209">
        <v>0.28499999999999998</v>
      </c>
      <c r="S230" s="209">
        <v>0.28499999999999998</v>
      </c>
      <c r="T230" s="209">
        <v>0.28499999999999998</v>
      </c>
      <c r="U230" s="209">
        <v>0.28499999999999998</v>
      </c>
      <c r="V230" s="209">
        <v>0.28499999999999998</v>
      </c>
      <c r="W230" s="209">
        <v>0.28499999999999998</v>
      </c>
      <c r="X230" s="209">
        <v>0.28499999999999998</v>
      </c>
      <c r="Y230" s="209">
        <v>0.28499999999999998</v>
      </c>
      <c r="Z230" s="209">
        <v>0.28499999999999998</v>
      </c>
      <c r="AA230" s="209">
        <v>0.28499999999999998</v>
      </c>
      <c r="AB230" s="209">
        <v>0.28499999999999998</v>
      </c>
      <c r="AC230" s="209">
        <v>0.28499999999999998</v>
      </c>
      <c r="AD230" s="209">
        <v>0.28499999999999998</v>
      </c>
      <c r="AE230" s="209">
        <v>0.28499999999999998</v>
      </c>
      <c r="AF230" s="209">
        <v>0.28499999999999998</v>
      </c>
      <c r="AG230" s="453"/>
    </row>
    <row r="231" spans="1:33">
      <c r="A231" s="215" t="s">
        <v>937</v>
      </c>
      <c r="B231" s="232" t="s">
        <v>941</v>
      </c>
      <c r="C231">
        <v>2020</v>
      </c>
      <c r="D231" s="232" t="s">
        <v>680</v>
      </c>
      <c r="E231" s="209">
        <v>0.28499999999999998</v>
      </c>
      <c r="F231" s="209">
        <v>0.28499999999999998</v>
      </c>
      <c r="G231" s="209">
        <v>0.28499999999999998</v>
      </c>
      <c r="H231" s="209">
        <v>0.28499999999999998</v>
      </c>
      <c r="I231" s="209">
        <v>0.28499999999999998</v>
      </c>
      <c r="J231" s="209">
        <v>0.28499999999999998</v>
      </c>
      <c r="K231" s="209">
        <v>0.28499999999999998</v>
      </c>
      <c r="L231" s="209">
        <v>0.28499999999999998</v>
      </c>
      <c r="M231" s="209">
        <v>0.28499999999999998</v>
      </c>
      <c r="N231" s="209">
        <v>0.28499999999999998</v>
      </c>
      <c r="O231" s="209">
        <v>0.28499999999999998</v>
      </c>
      <c r="P231" s="209">
        <v>0.28499999999999998</v>
      </c>
      <c r="Q231" s="209">
        <v>0.28499999999999998</v>
      </c>
      <c r="R231" s="209">
        <v>0.28499999999999998</v>
      </c>
      <c r="S231" s="209">
        <v>0.28499999999999998</v>
      </c>
      <c r="T231" s="209">
        <v>0.28499999999999998</v>
      </c>
      <c r="U231" s="209">
        <v>0.28499999999999998</v>
      </c>
      <c r="V231" s="209">
        <v>0.28499999999999998</v>
      </c>
      <c r="W231" s="209">
        <v>0.28499999999999998</v>
      </c>
      <c r="X231" s="209">
        <v>0.28499999999999998</v>
      </c>
      <c r="Y231" s="209">
        <v>0.28499999999999998</v>
      </c>
      <c r="Z231" s="209">
        <v>0.28499999999999998</v>
      </c>
      <c r="AA231" s="209">
        <v>0.28499999999999998</v>
      </c>
      <c r="AB231" s="209">
        <v>0.28499999999999998</v>
      </c>
      <c r="AC231" s="209">
        <v>0.28499999999999998</v>
      </c>
      <c r="AD231" s="209">
        <v>0.28499999999999998</v>
      </c>
      <c r="AE231" s="209">
        <v>0.28499999999999998</v>
      </c>
      <c r="AF231" s="220">
        <v>0.28499999999999998</v>
      </c>
      <c r="AG231" s="436"/>
    </row>
    <row r="232" spans="1:33">
      <c r="A232" s="215" t="s">
        <v>937</v>
      </c>
      <c r="B232" s="232" t="s">
        <v>941</v>
      </c>
      <c r="C232" s="232">
        <v>2025</v>
      </c>
      <c r="D232" s="232" t="s">
        <v>680</v>
      </c>
      <c r="E232" s="209">
        <v>0.28499999999999998</v>
      </c>
      <c r="F232" s="209">
        <v>0.28499999999999998</v>
      </c>
      <c r="G232" s="209">
        <v>0.28499999999999998</v>
      </c>
      <c r="H232" s="209">
        <v>0.28499999999999998</v>
      </c>
      <c r="I232" s="209">
        <v>0.28499999999999998</v>
      </c>
      <c r="J232" s="209">
        <v>0.28499999999999998</v>
      </c>
      <c r="K232" s="209">
        <v>0.28499999999999998</v>
      </c>
      <c r="L232" s="209">
        <v>0.28499999999999998</v>
      </c>
      <c r="M232" s="209">
        <v>0.28499999999999998</v>
      </c>
      <c r="N232" s="209">
        <v>0.28499999999999998</v>
      </c>
      <c r="O232" s="209">
        <v>0.28499999999999998</v>
      </c>
      <c r="P232" s="209">
        <v>0.28499999999999998</v>
      </c>
      <c r="Q232" s="209">
        <v>0.28499999999999998</v>
      </c>
      <c r="R232" s="209">
        <v>0.28499999999999998</v>
      </c>
      <c r="S232" s="209">
        <v>0.28499999999999998</v>
      </c>
      <c r="T232" s="209">
        <v>0.28499999999999998</v>
      </c>
      <c r="U232" s="209">
        <v>0.28499999999999998</v>
      </c>
      <c r="V232" s="209">
        <v>0.28499999999999998</v>
      </c>
      <c r="W232" s="209">
        <v>0.28499999999999998</v>
      </c>
      <c r="X232" s="209">
        <v>0.28499999999999998</v>
      </c>
      <c r="Y232" s="209">
        <v>0.28499999999999998</v>
      </c>
      <c r="Z232" s="209">
        <v>0.28499999999999998</v>
      </c>
      <c r="AA232" s="209">
        <v>0.28499999999999998</v>
      </c>
      <c r="AB232" s="209">
        <v>0.28499999999999998</v>
      </c>
      <c r="AC232" s="209">
        <v>0.28499999999999998</v>
      </c>
      <c r="AD232" s="209">
        <v>0.28499999999999998</v>
      </c>
      <c r="AE232" s="209">
        <v>0.28499999999999998</v>
      </c>
      <c r="AF232" s="220">
        <v>0.28499999999999998</v>
      </c>
      <c r="AG232" s="436"/>
    </row>
    <row r="233" spans="1:33">
      <c r="A233" s="215" t="s">
        <v>937</v>
      </c>
      <c r="B233" s="232" t="s">
        <v>941</v>
      </c>
      <c r="C233" s="232">
        <v>2030</v>
      </c>
      <c r="D233" s="232" t="s">
        <v>680</v>
      </c>
      <c r="E233" s="209">
        <v>0.28499999999999998</v>
      </c>
      <c r="F233" s="209">
        <v>0.28499999999999998</v>
      </c>
      <c r="G233" s="209">
        <v>0.28499999999999998</v>
      </c>
      <c r="H233" s="209">
        <v>0.28499999999999998</v>
      </c>
      <c r="I233" s="209">
        <v>0.28499999999999998</v>
      </c>
      <c r="J233" s="209">
        <v>0.28499999999999998</v>
      </c>
      <c r="K233" s="209">
        <v>0.28499999999999998</v>
      </c>
      <c r="L233" s="209">
        <v>0.28499999999999998</v>
      </c>
      <c r="M233" s="209">
        <v>0.28499999999999998</v>
      </c>
      <c r="N233" s="209">
        <v>0.28499999999999998</v>
      </c>
      <c r="O233" s="209">
        <v>0.28499999999999998</v>
      </c>
      <c r="P233" s="209">
        <v>0.28499999999999998</v>
      </c>
      <c r="Q233" s="209">
        <v>0.28499999999999998</v>
      </c>
      <c r="R233" s="209">
        <v>0.28499999999999998</v>
      </c>
      <c r="S233" s="209">
        <v>0.28499999999999998</v>
      </c>
      <c r="T233" s="209">
        <v>0.28499999999999998</v>
      </c>
      <c r="U233" s="209">
        <v>0.28499999999999998</v>
      </c>
      <c r="V233" s="209">
        <v>0.28499999999999998</v>
      </c>
      <c r="W233" s="209">
        <v>0.28499999999999998</v>
      </c>
      <c r="X233" s="209">
        <v>0.28499999999999998</v>
      </c>
      <c r="Y233" s="209">
        <v>0.28499999999999998</v>
      </c>
      <c r="Z233" s="209">
        <v>0.28499999999999998</v>
      </c>
      <c r="AA233" s="209">
        <v>0.28499999999999998</v>
      </c>
      <c r="AB233" s="209">
        <v>0.28499999999999998</v>
      </c>
      <c r="AC233" s="209">
        <v>0.28499999999999998</v>
      </c>
      <c r="AD233" s="209">
        <v>0.28499999999999998</v>
      </c>
      <c r="AE233" s="209">
        <v>0.28499999999999998</v>
      </c>
      <c r="AF233" s="220">
        <v>0.28499999999999998</v>
      </c>
      <c r="AG233" s="436"/>
    </row>
    <row r="234" spans="1:33">
      <c r="A234" s="215" t="s">
        <v>937</v>
      </c>
      <c r="B234" s="232" t="s">
        <v>941</v>
      </c>
      <c r="C234" s="232">
        <v>2035</v>
      </c>
      <c r="D234" s="232" t="s">
        <v>680</v>
      </c>
      <c r="E234" s="209">
        <v>0.28499999999999998</v>
      </c>
      <c r="F234" s="209">
        <v>0.28499999999999998</v>
      </c>
      <c r="G234" s="209">
        <v>0.28499999999999998</v>
      </c>
      <c r="H234" s="209">
        <v>0.28499999999999998</v>
      </c>
      <c r="I234" s="209">
        <v>0.28499999999999998</v>
      </c>
      <c r="J234" s="209">
        <v>0.28499999999999998</v>
      </c>
      <c r="K234" s="209">
        <v>0.28499999999999998</v>
      </c>
      <c r="L234" s="209">
        <v>0.28499999999999998</v>
      </c>
      <c r="M234" s="209">
        <v>0.28499999999999998</v>
      </c>
      <c r="N234" s="209">
        <v>0.28499999999999998</v>
      </c>
      <c r="O234" s="209">
        <v>0.28499999999999998</v>
      </c>
      <c r="P234" s="209">
        <v>0.28499999999999998</v>
      </c>
      <c r="Q234" s="209">
        <v>0.28499999999999998</v>
      </c>
      <c r="R234" s="209">
        <v>0.28499999999999998</v>
      </c>
      <c r="S234" s="209">
        <v>0.28499999999999998</v>
      </c>
      <c r="T234" s="209">
        <v>0.28499999999999998</v>
      </c>
      <c r="U234" s="209">
        <v>0.28499999999999998</v>
      </c>
      <c r="V234" s="209">
        <v>0.28499999999999998</v>
      </c>
      <c r="W234" s="209">
        <v>0.28499999999999998</v>
      </c>
      <c r="X234" s="209">
        <v>0.28499999999999998</v>
      </c>
      <c r="Y234" s="209">
        <v>0.28499999999999998</v>
      </c>
      <c r="Z234" s="209">
        <v>0.28499999999999998</v>
      </c>
      <c r="AA234" s="209">
        <v>0.28499999999999998</v>
      </c>
      <c r="AB234" s="209">
        <v>0.28499999999999998</v>
      </c>
      <c r="AC234" s="209">
        <v>0.28499999999999998</v>
      </c>
      <c r="AD234" s="209">
        <v>0.28499999999999998</v>
      </c>
      <c r="AE234" s="209">
        <v>0.28499999999999998</v>
      </c>
      <c r="AF234" s="220">
        <v>0.28499999999999998</v>
      </c>
      <c r="AG234" s="436"/>
    </row>
    <row r="235" spans="1:33">
      <c r="A235" s="215" t="s">
        <v>937</v>
      </c>
      <c r="B235" s="232" t="s">
        <v>941</v>
      </c>
      <c r="C235" s="232">
        <v>2040</v>
      </c>
      <c r="D235" s="232" t="s">
        <v>680</v>
      </c>
      <c r="E235" s="209">
        <v>0.28499999999999998</v>
      </c>
      <c r="F235" s="209">
        <v>0.28499999999999998</v>
      </c>
      <c r="G235" s="209">
        <v>0.28499999999999998</v>
      </c>
      <c r="H235" s="209">
        <v>0.28499999999999998</v>
      </c>
      <c r="I235" s="209">
        <v>0.28499999999999998</v>
      </c>
      <c r="J235" s="209">
        <v>0.28499999999999998</v>
      </c>
      <c r="K235" s="209">
        <v>0.28499999999999998</v>
      </c>
      <c r="L235" s="209">
        <v>0.28499999999999998</v>
      </c>
      <c r="M235" s="209">
        <v>0.28499999999999998</v>
      </c>
      <c r="N235" s="209">
        <v>0.28499999999999998</v>
      </c>
      <c r="O235" s="209">
        <v>0.28499999999999998</v>
      </c>
      <c r="P235" s="209">
        <v>0.28499999999999998</v>
      </c>
      <c r="Q235" s="209">
        <v>0.28499999999999998</v>
      </c>
      <c r="R235" s="209">
        <v>0.28499999999999998</v>
      </c>
      <c r="S235" s="209">
        <v>0.28499999999999998</v>
      </c>
      <c r="T235" s="209">
        <v>0.28499999999999998</v>
      </c>
      <c r="U235" s="209">
        <v>0.28499999999999998</v>
      </c>
      <c r="V235" s="209">
        <v>0.28499999999999998</v>
      </c>
      <c r="W235" s="209">
        <v>0.28499999999999998</v>
      </c>
      <c r="X235" s="209">
        <v>0.28499999999999998</v>
      </c>
      <c r="Y235" s="209">
        <v>0.28499999999999998</v>
      </c>
      <c r="Z235" s="209">
        <v>0.28499999999999998</v>
      </c>
      <c r="AA235" s="209">
        <v>0.28499999999999998</v>
      </c>
      <c r="AB235" s="209">
        <v>0.28499999999999998</v>
      </c>
      <c r="AC235" s="209">
        <v>0.28499999999999998</v>
      </c>
      <c r="AD235" s="209">
        <v>0.28499999999999998</v>
      </c>
      <c r="AE235" s="209">
        <v>0.28499999999999998</v>
      </c>
      <c r="AF235" s="220">
        <v>0.28499999999999998</v>
      </c>
      <c r="AG235" s="436"/>
    </row>
    <row r="236" spans="1:33">
      <c r="A236" s="215" t="s">
        <v>937</v>
      </c>
      <c r="B236" s="232" t="s">
        <v>941</v>
      </c>
      <c r="C236" s="232">
        <v>2045</v>
      </c>
      <c r="D236" s="232" t="s">
        <v>680</v>
      </c>
      <c r="E236" s="209">
        <v>0.28499999999999998</v>
      </c>
      <c r="F236" s="209">
        <v>0.28499999999999998</v>
      </c>
      <c r="G236" s="209">
        <v>0.28499999999999998</v>
      </c>
      <c r="H236" s="209">
        <v>0.28499999999999998</v>
      </c>
      <c r="I236" s="209">
        <v>0.28499999999999998</v>
      </c>
      <c r="J236" s="209">
        <v>0.28499999999999998</v>
      </c>
      <c r="K236" s="209">
        <v>0.28499999999999998</v>
      </c>
      <c r="L236" s="209">
        <v>0.28499999999999998</v>
      </c>
      <c r="M236" s="209">
        <v>0.28499999999999998</v>
      </c>
      <c r="N236" s="209">
        <v>0.28499999999999998</v>
      </c>
      <c r="O236" s="209">
        <v>0.28499999999999998</v>
      </c>
      <c r="P236" s="209">
        <v>0.28499999999999998</v>
      </c>
      <c r="Q236" s="209">
        <v>0.28499999999999998</v>
      </c>
      <c r="R236" s="209">
        <v>0.28499999999999998</v>
      </c>
      <c r="S236" s="209">
        <v>0.28499999999999998</v>
      </c>
      <c r="T236" s="209">
        <v>0.28499999999999998</v>
      </c>
      <c r="U236" s="209">
        <v>0.28499999999999998</v>
      </c>
      <c r="V236" s="209">
        <v>0.28499999999999998</v>
      </c>
      <c r="W236" s="209">
        <v>0.28499999999999998</v>
      </c>
      <c r="X236" s="209">
        <v>0.28499999999999998</v>
      </c>
      <c r="Y236" s="209">
        <v>0.28499999999999998</v>
      </c>
      <c r="Z236" s="209">
        <v>0.28499999999999998</v>
      </c>
      <c r="AA236" s="209">
        <v>0.28499999999999998</v>
      </c>
      <c r="AB236" s="209">
        <v>0.28499999999999998</v>
      </c>
      <c r="AC236" s="209">
        <v>0.28499999999999998</v>
      </c>
      <c r="AD236" s="209">
        <v>0.28499999999999998</v>
      </c>
      <c r="AE236" s="209">
        <v>0.28499999999999998</v>
      </c>
      <c r="AF236" s="220">
        <v>0.28499999999999998</v>
      </c>
      <c r="AG236" s="436"/>
    </row>
    <row r="237" spans="1:33">
      <c r="A237" s="215" t="s">
        <v>937</v>
      </c>
      <c r="B237" s="232" t="s">
        <v>941</v>
      </c>
      <c r="C237" s="232">
        <v>2050</v>
      </c>
      <c r="D237" s="232" t="s">
        <v>680</v>
      </c>
      <c r="E237" s="209">
        <v>0.28499999999999998</v>
      </c>
      <c r="F237" s="209">
        <v>0.28499999999999998</v>
      </c>
      <c r="G237" s="209">
        <v>0.28499999999999998</v>
      </c>
      <c r="H237" s="209">
        <v>0.28499999999999998</v>
      </c>
      <c r="I237" s="209">
        <v>0.28499999999999998</v>
      </c>
      <c r="J237" s="209">
        <v>0.28499999999999998</v>
      </c>
      <c r="K237" s="209">
        <v>0.28499999999999998</v>
      </c>
      <c r="L237" s="209">
        <v>0.28499999999999998</v>
      </c>
      <c r="M237" s="209">
        <v>0.28499999999999998</v>
      </c>
      <c r="N237" s="209">
        <v>0.28499999999999998</v>
      </c>
      <c r="O237" s="209">
        <v>0.28499999999999998</v>
      </c>
      <c r="P237" s="209">
        <v>0.28499999999999998</v>
      </c>
      <c r="Q237" s="209">
        <v>0.28499999999999998</v>
      </c>
      <c r="R237" s="209">
        <v>0.28499999999999998</v>
      </c>
      <c r="S237" s="209">
        <v>0.28499999999999998</v>
      </c>
      <c r="T237" s="209">
        <v>0.28499999999999998</v>
      </c>
      <c r="U237" s="209">
        <v>0.28499999999999998</v>
      </c>
      <c r="V237" s="209">
        <v>0.28499999999999998</v>
      </c>
      <c r="W237" s="209">
        <v>0.28499999999999998</v>
      </c>
      <c r="X237" s="209">
        <v>0.28499999999999998</v>
      </c>
      <c r="Y237" s="209">
        <v>0.28499999999999998</v>
      </c>
      <c r="Z237" s="209">
        <v>0.28499999999999998</v>
      </c>
      <c r="AA237" s="209">
        <v>0.28499999999999998</v>
      </c>
      <c r="AB237" s="209">
        <v>0.28499999999999998</v>
      </c>
      <c r="AC237" s="209">
        <v>0.28499999999999998</v>
      </c>
      <c r="AD237" s="209">
        <v>0.28499999999999998</v>
      </c>
      <c r="AE237" s="209">
        <v>0.28499999999999998</v>
      </c>
      <c r="AF237" s="220">
        <v>0.28499999999999998</v>
      </c>
      <c r="AG237" s="436"/>
    </row>
    <row r="238" spans="1:33">
      <c r="A238" s="215" t="s">
        <v>937</v>
      </c>
      <c r="B238" s="232" t="s">
        <v>941</v>
      </c>
      <c r="C238" s="232">
        <v>2060</v>
      </c>
      <c r="D238" s="232" t="s">
        <v>680</v>
      </c>
      <c r="E238" s="209">
        <v>0.28499999999999998</v>
      </c>
      <c r="F238" s="209">
        <v>0.28499999999999998</v>
      </c>
      <c r="G238" s="209">
        <v>0.28499999999999998</v>
      </c>
      <c r="H238" s="209">
        <v>0.28499999999999998</v>
      </c>
      <c r="I238" s="209">
        <v>0.28499999999999998</v>
      </c>
      <c r="J238" s="209">
        <v>0.28499999999999998</v>
      </c>
      <c r="K238" s="209">
        <v>0.28499999999999998</v>
      </c>
      <c r="L238" s="209">
        <v>0.28499999999999998</v>
      </c>
      <c r="M238" s="209">
        <v>0.28499999999999998</v>
      </c>
      <c r="N238" s="209">
        <v>0.28499999999999998</v>
      </c>
      <c r="O238" s="209">
        <v>0.28499999999999998</v>
      </c>
      <c r="P238" s="209">
        <v>0.28499999999999998</v>
      </c>
      <c r="Q238" s="209">
        <v>0.28499999999999998</v>
      </c>
      <c r="R238" s="209">
        <v>0.28499999999999998</v>
      </c>
      <c r="S238" s="209">
        <v>0.28499999999999998</v>
      </c>
      <c r="T238" s="209">
        <v>0.28499999999999998</v>
      </c>
      <c r="U238" s="209">
        <v>0.28499999999999998</v>
      </c>
      <c r="V238" s="209">
        <v>0.28499999999999998</v>
      </c>
      <c r="W238" s="209">
        <v>0.28499999999999998</v>
      </c>
      <c r="X238" s="209">
        <v>0.28499999999999998</v>
      </c>
      <c r="Y238" s="209">
        <v>0.28499999999999998</v>
      </c>
      <c r="Z238" s="209">
        <v>0.28499999999999998</v>
      </c>
      <c r="AA238" s="209">
        <v>0.28499999999999998</v>
      </c>
      <c r="AB238" s="209">
        <v>0.28499999999999998</v>
      </c>
      <c r="AC238" s="209">
        <v>0.28499999999999998</v>
      </c>
      <c r="AD238" s="209">
        <v>0.28499999999999998</v>
      </c>
      <c r="AE238" s="209">
        <v>0.28499999999999998</v>
      </c>
      <c r="AF238" s="220">
        <v>0.28499999999999998</v>
      </c>
      <c r="AG238" s="436"/>
    </row>
    <row r="239" spans="1:33">
      <c r="A239" s="215" t="s">
        <v>937</v>
      </c>
      <c r="B239" s="232" t="s">
        <v>941</v>
      </c>
      <c r="C239" s="232">
        <v>2070</v>
      </c>
      <c r="D239" s="232" t="s">
        <v>680</v>
      </c>
      <c r="E239" s="209">
        <v>0.28499999999999998</v>
      </c>
      <c r="F239" s="209">
        <v>0.28499999999999998</v>
      </c>
      <c r="G239" s="209">
        <v>0.28499999999999998</v>
      </c>
      <c r="H239" s="209">
        <v>0.28499999999999998</v>
      </c>
      <c r="I239" s="209">
        <v>0.28499999999999998</v>
      </c>
      <c r="J239" s="209">
        <v>0.28499999999999998</v>
      </c>
      <c r="K239" s="209">
        <v>0.28499999999999998</v>
      </c>
      <c r="L239" s="209">
        <v>0.28499999999999998</v>
      </c>
      <c r="M239" s="209">
        <v>0.28499999999999998</v>
      </c>
      <c r="N239" s="209">
        <v>0.28499999999999998</v>
      </c>
      <c r="O239" s="209">
        <v>0.28499999999999998</v>
      </c>
      <c r="P239" s="209">
        <v>0.28499999999999998</v>
      </c>
      <c r="Q239" s="209">
        <v>0.28499999999999998</v>
      </c>
      <c r="R239" s="209">
        <v>0.28499999999999998</v>
      </c>
      <c r="S239" s="209">
        <v>0.28499999999999998</v>
      </c>
      <c r="T239" s="209">
        <v>0.28499999999999998</v>
      </c>
      <c r="U239" s="209">
        <v>0.28499999999999998</v>
      </c>
      <c r="V239" s="209">
        <v>0.28499999999999998</v>
      </c>
      <c r="W239" s="209">
        <v>0.28499999999999998</v>
      </c>
      <c r="X239" s="209">
        <v>0.28499999999999998</v>
      </c>
      <c r="Y239" s="209">
        <v>0.28499999999999998</v>
      </c>
      <c r="Z239" s="209">
        <v>0.28499999999999998</v>
      </c>
      <c r="AA239" s="209">
        <v>0.28499999999999998</v>
      </c>
      <c r="AB239" s="209">
        <v>0.28499999999999998</v>
      </c>
      <c r="AC239" s="209">
        <v>0.28499999999999998</v>
      </c>
      <c r="AD239" s="209">
        <v>0.28499999999999998</v>
      </c>
      <c r="AE239" s="209">
        <v>0.28499999999999998</v>
      </c>
      <c r="AF239" s="220">
        <v>0.28499999999999998</v>
      </c>
      <c r="AG239" s="436"/>
    </row>
    <row r="240" spans="1:33">
      <c r="A240" s="215" t="s">
        <v>937</v>
      </c>
      <c r="B240" s="232" t="s">
        <v>941</v>
      </c>
      <c r="C240" s="232">
        <v>2080</v>
      </c>
      <c r="D240" s="232" t="s">
        <v>680</v>
      </c>
      <c r="E240" s="209">
        <v>0.28499999999999998</v>
      </c>
      <c r="F240" s="209">
        <v>0.28499999999999998</v>
      </c>
      <c r="G240" s="209">
        <v>0.28499999999999998</v>
      </c>
      <c r="H240" s="209">
        <v>0.28499999999999998</v>
      </c>
      <c r="I240" s="209">
        <v>0.28499999999999998</v>
      </c>
      <c r="J240" s="209">
        <v>0.28499999999999998</v>
      </c>
      <c r="K240" s="209">
        <v>0.28499999999999998</v>
      </c>
      <c r="L240" s="209">
        <v>0.28499999999999998</v>
      </c>
      <c r="M240" s="209">
        <v>0.28499999999999998</v>
      </c>
      <c r="N240" s="209">
        <v>0.28499999999999998</v>
      </c>
      <c r="O240" s="209">
        <v>0.28499999999999998</v>
      </c>
      <c r="P240" s="209">
        <v>0.28499999999999998</v>
      </c>
      <c r="Q240" s="209">
        <v>0.28499999999999998</v>
      </c>
      <c r="R240" s="209">
        <v>0.28499999999999998</v>
      </c>
      <c r="S240" s="209">
        <v>0.28499999999999998</v>
      </c>
      <c r="T240" s="209">
        <v>0.28499999999999998</v>
      </c>
      <c r="U240" s="209">
        <v>0.28499999999999998</v>
      </c>
      <c r="V240" s="209">
        <v>0.28499999999999998</v>
      </c>
      <c r="W240" s="209">
        <v>0.28499999999999998</v>
      </c>
      <c r="X240" s="209">
        <v>0.28499999999999998</v>
      </c>
      <c r="Y240" s="209">
        <v>0.28499999999999998</v>
      </c>
      <c r="Z240" s="209">
        <v>0.28499999999999998</v>
      </c>
      <c r="AA240" s="209">
        <v>0.28499999999999998</v>
      </c>
      <c r="AB240" s="209">
        <v>0.28499999999999998</v>
      </c>
      <c r="AC240" s="209">
        <v>0.28499999999999998</v>
      </c>
      <c r="AD240" s="209">
        <v>0.28499999999999998</v>
      </c>
      <c r="AE240" s="209">
        <v>0.28499999999999998</v>
      </c>
      <c r="AF240" s="220">
        <v>0.28499999999999998</v>
      </c>
      <c r="AG240" s="436"/>
    </row>
    <row r="241" spans="1:33">
      <c r="A241" s="215" t="s">
        <v>937</v>
      </c>
      <c r="B241" s="232" t="s">
        <v>941</v>
      </c>
      <c r="C241" s="232">
        <v>2090</v>
      </c>
      <c r="D241" s="232" t="s">
        <v>680</v>
      </c>
      <c r="E241" s="209">
        <v>0.28499999999999998</v>
      </c>
      <c r="F241" s="209">
        <v>0.28499999999999998</v>
      </c>
      <c r="G241" s="209">
        <v>0.28499999999999998</v>
      </c>
      <c r="H241" s="209">
        <v>0.28499999999999998</v>
      </c>
      <c r="I241" s="209">
        <v>0.28499999999999998</v>
      </c>
      <c r="J241" s="209">
        <v>0.28499999999999998</v>
      </c>
      <c r="K241" s="209">
        <v>0.28499999999999998</v>
      </c>
      <c r="L241" s="209">
        <v>0.28499999999999998</v>
      </c>
      <c r="M241" s="209">
        <v>0.28499999999999998</v>
      </c>
      <c r="N241" s="209">
        <v>0.28499999999999998</v>
      </c>
      <c r="O241" s="209">
        <v>0.28499999999999998</v>
      </c>
      <c r="P241" s="209">
        <v>0.28499999999999998</v>
      </c>
      <c r="Q241" s="209">
        <v>0.28499999999999998</v>
      </c>
      <c r="R241" s="209">
        <v>0.28499999999999998</v>
      </c>
      <c r="S241" s="209">
        <v>0.28499999999999998</v>
      </c>
      <c r="T241" s="209">
        <v>0.28499999999999998</v>
      </c>
      <c r="U241" s="209">
        <v>0.28499999999999998</v>
      </c>
      <c r="V241" s="209">
        <v>0.28499999999999998</v>
      </c>
      <c r="W241" s="209">
        <v>0.28499999999999998</v>
      </c>
      <c r="X241" s="209">
        <v>0.28499999999999998</v>
      </c>
      <c r="Y241" s="209">
        <v>0.28499999999999998</v>
      </c>
      <c r="Z241" s="209">
        <v>0.28499999999999998</v>
      </c>
      <c r="AA241" s="209">
        <v>0.28499999999999998</v>
      </c>
      <c r="AB241" s="209">
        <v>0.28499999999999998</v>
      </c>
      <c r="AC241" s="209">
        <v>0.28499999999999998</v>
      </c>
      <c r="AD241" s="209">
        <v>0.28499999999999998</v>
      </c>
      <c r="AE241" s="209">
        <v>0.28499999999999998</v>
      </c>
      <c r="AF241" s="220">
        <v>0.28499999999999998</v>
      </c>
      <c r="AG241" s="436"/>
    </row>
    <row r="242" spans="1:33" ht="16.2" thickBot="1">
      <c r="A242" s="449" t="s">
        <v>937</v>
      </c>
      <c r="B242" s="450" t="s">
        <v>941</v>
      </c>
      <c r="C242" s="450">
        <v>2100</v>
      </c>
      <c r="D242" s="450" t="s">
        <v>680</v>
      </c>
      <c r="E242" s="212">
        <v>0.28499999999999998</v>
      </c>
      <c r="F242" s="212">
        <v>0.28499999999999998</v>
      </c>
      <c r="G242" s="212">
        <v>0.28499999999999998</v>
      </c>
      <c r="H242" s="212">
        <v>0.28499999999999998</v>
      </c>
      <c r="I242" s="212">
        <v>0.28499999999999998</v>
      </c>
      <c r="J242" s="212">
        <v>0.28499999999999998</v>
      </c>
      <c r="K242" s="212">
        <v>0.28499999999999998</v>
      </c>
      <c r="L242" s="212">
        <v>0.28499999999999998</v>
      </c>
      <c r="M242" s="212">
        <v>0.28499999999999998</v>
      </c>
      <c r="N242" s="212">
        <v>0.28499999999999998</v>
      </c>
      <c r="O242" s="212">
        <v>0.28499999999999998</v>
      </c>
      <c r="P242" s="212">
        <v>0.28499999999999998</v>
      </c>
      <c r="Q242" s="212">
        <v>0.28499999999999998</v>
      </c>
      <c r="R242" s="212">
        <v>0.28499999999999998</v>
      </c>
      <c r="S242" s="212">
        <v>0.28499999999999998</v>
      </c>
      <c r="T242" s="212">
        <v>0.28499999999999998</v>
      </c>
      <c r="U242" s="212">
        <v>0.28499999999999998</v>
      </c>
      <c r="V242" s="212">
        <v>0.28499999999999998</v>
      </c>
      <c r="W242" s="212">
        <v>0.28499999999999998</v>
      </c>
      <c r="X242" s="212">
        <v>0.28499999999999998</v>
      </c>
      <c r="Y242" s="212">
        <v>0.28499999999999998</v>
      </c>
      <c r="Z242" s="212">
        <v>0.28499999999999998</v>
      </c>
      <c r="AA242" s="212">
        <v>0.28499999999999998</v>
      </c>
      <c r="AB242" s="212">
        <v>0.28499999999999998</v>
      </c>
      <c r="AC242" s="212">
        <v>0.28499999999999998</v>
      </c>
      <c r="AD242" s="212">
        <v>0.28499999999999998</v>
      </c>
      <c r="AE242" s="212">
        <v>0.28499999999999998</v>
      </c>
      <c r="AF242" s="451">
        <v>0.28499999999999998</v>
      </c>
      <c r="AG242" s="452"/>
    </row>
    <row r="243" spans="1:33">
      <c r="A243" s="215" t="s">
        <v>942</v>
      </c>
      <c r="B243" s="232" t="s">
        <v>938</v>
      </c>
      <c r="C243" s="232">
        <v>2019</v>
      </c>
      <c r="D243" s="232" t="s">
        <v>680</v>
      </c>
      <c r="E243" s="209">
        <v>9.5000000000000001E-2</v>
      </c>
      <c r="F243" s="209">
        <v>9.5000000000000001E-2</v>
      </c>
      <c r="G243" s="209">
        <v>9.5000000000000001E-2</v>
      </c>
      <c r="H243" s="209">
        <v>9.5000000000000001E-2</v>
      </c>
      <c r="I243" s="209">
        <v>9.5000000000000001E-2</v>
      </c>
      <c r="J243" s="209">
        <v>9.5000000000000001E-2</v>
      </c>
      <c r="K243" s="209">
        <v>9.5000000000000001E-2</v>
      </c>
      <c r="L243" s="209">
        <v>9.5000000000000001E-2</v>
      </c>
      <c r="M243" s="209">
        <v>9.5000000000000001E-2</v>
      </c>
      <c r="N243" s="209">
        <v>9.5000000000000001E-2</v>
      </c>
      <c r="O243" s="209">
        <v>9.5000000000000001E-2</v>
      </c>
      <c r="P243" s="209">
        <v>9.5000000000000001E-2</v>
      </c>
      <c r="Q243" s="209">
        <v>9.5000000000000001E-2</v>
      </c>
      <c r="R243" s="209">
        <v>9.5000000000000001E-2</v>
      </c>
      <c r="S243" s="209">
        <v>9.5000000000000001E-2</v>
      </c>
      <c r="T243" s="209">
        <v>9.5000000000000001E-2</v>
      </c>
      <c r="U243" s="209">
        <v>9.5000000000000001E-2</v>
      </c>
      <c r="V243" s="209">
        <v>9.5000000000000001E-2</v>
      </c>
      <c r="W243" s="209">
        <v>9.5000000000000001E-2</v>
      </c>
      <c r="X243" s="209">
        <v>9.5000000000000001E-2</v>
      </c>
      <c r="Y243" s="209">
        <v>9.5000000000000001E-2</v>
      </c>
      <c r="Z243" s="209">
        <v>9.5000000000000001E-2</v>
      </c>
      <c r="AA243" s="209">
        <v>9.5000000000000001E-2</v>
      </c>
      <c r="AB243" s="209">
        <v>9.5000000000000001E-2</v>
      </c>
      <c r="AC243" s="209">
        <v>9.5000000000000001E-2</v>
      </c>
      <c r="AD243" s="209">
        <v>9.5000000000000001E-2</v>
      </c>
      <c r="AE243" s="209">
        <v>9.5000000000000001E-2</v>
      </c>
      <c r="AF243" s="220">
        <v>9.5000000000000001E-2</v>
      </c>
      <c r="AG243" s="436"/>
    </row>
    <row r="244" spans="1:33">
      <c r="A244" s="215" t="s">
        <v>942</v>
      </c>
      <c r="B244" s="232" t="s">
        <v>938</v>
      </c>
      <c r="C244">
        <v>2020</v>
      </c>
      <c r="D244" s="232" t="s">
        <v>680</v>
      </c>
      <c r="E244" s="209">
        <v>9.5000000000000001E-2</v>
      </c>
      <c r="F244" s="209">
        <v>9.5000000000000001E-2</v>
      </c>
      <c r="G244" s="209">
        <v>9.5000000000000001E-2</v>
      </c>
      <c r="H244" s="209">
        <v>9.5000000000000001E-2</v>
      </c>
      <c r="I244" s="209">
        <v>9.5000000000000001E-2</v>
      </c>
      <c r="J244" s="209">
        <v>9.5000000000000001E-2</v>
      </c>
      <c r="K244" s="209">
        <v>9.5000000000000001E-2</v>
      </c>
      <c r="L244" s="209">
        <v>9.5000000000000001E-2</v>
      </c>
      <c r="M244" s="209">
        <v>9.5000000000000001E-2</v>
      </c>
      <c r="N244" s="209">
        <v>9.5000000000000001E-2</v>
      </c>
      <c r="O244" s="209">
        <v>9.5000000000000001E-2</v>
      </c>
      <c r="P244" s="209">
        <v>9.5000000000000001E-2</v>
      </c>
      <c r="Q244" s="209">
        <v>9.5000000000000001E-2</v>
      </c>
      <c r="R244" s="209">
        <v>9.5000000000000001E-2</v>
      </c>
      <c r="S244" s="209">
        <v>9.5000000000000001E-2</v>
      </c>
      <c r="T244" s="209">
        <v>9.5000000000000001E-2</v>
      </c>
      <c r="U244" s="209">
        <v>9.5000000000000001E-2</v>
      </c>
      <c r="V244" s="209">
        <v>9.5000000000000001E-2</v>
      </c>
      <c r="W244" s="209">
        <v>9.5000000000000001E-2</v>
      </c>
      <c r="X244" s="209">
        <v>9.5000000000000001E-2</v>
      </c>
      <c r="Y244" s="209">
        <v>9.5000000000000001E-2</v>
      </c>
      <c r="Z244" s="209">
        <v>9.5000000000000001E-2</v>
      </c>
      <c r="AA244" s="209">
        <v>9.5000000000000001E-2</v>
      </c>
      <c r="AB244" s="209">
        <v>9.5000000000000001E-2</v>
      </c>
      <c r="AC244" s="209">
        <v>9.5000000000000001E-2</v>
      </c>
      <c r="AD244" s="209">
        <v>9.5000000000000001E-2</v>
      </c>
      <c r="AE244" s="209">
        <v>9.5000000000000001E-2</v>
      </c>
      <c r="AF244" s="220">
        <v>9.5000000000000001E-2</v>
      </c>
      <c r="AG244" s="436"/>
    </row>
    <row r="245" spans="1:33">
      <c r="A245" s="215" t="s">
        <v>942</v>
      </c>
      <c r="B245" s="232" t="s">
        <v>938</v>
      </c>
      <c r="C245" s="232">
        <v>2025</v>
      </c>
      <c r="D245" s="232" t="s">
        <v>680</v>
      </c>
      <c r="E245" s="209">
        <v>9.5000000000000001E-2</v>
      </c>
      <c r="F245" s="209">
        <v>9.5000000000000001E-2</v>
      </c>
      <c r="G245" s="209">
        <v>9.5000000000000001E-2</v>
      </c>
      <c r="H245" s="209">
        <v>9.5000000000000001E-2</v>
      </c>
      <c r="I245" s="209">
        <v>9.5000000000000001E-2</v>
      </c>
      <c r="J245" s="209">
        <v>9.5000000000000001E-2</v>
      </c>
      <c r="K245" s="209">
        <v>9.5000000000000001E-2</v>
      </c>
      <c r="L245" s="209">
        <v>9.5000000000000001E-2</v>
      </c>
      <c r="M245" s="209">
        <v>9.5000000000000001E-2</v>
      </c>
      <c r="N245" s="209">
        <v>9.5000000000000001E-2</v>
      </c>
      <c r="O245" s="209">
        <v>9.5000000000000001E-2</v>
      </c>
      <c r="P245" s="209">
        <v>9.5000000000000001E-2</v>
      </c>
      <c r="Q245" s="209">
        <v>9.5000000000000001E-2</v>
      </c>
      <c r="R245" s="209">
        <v>9.5000000000000001E-2</v>
      </c>
      <c r="S245" s="209">
        <v>9.5000000000000001E-2</v>
      </c>
      <c r="T245" s="209">
        <v>9.5000000000000001E-2</v>
      </c>
      <c r="U245" s="209">
        <v>9.5000000000000001E-2</v>
      </c>
      <c r="V245" s="209">
        <v>9.5000000000000001E-2</v>
      </c>
      <c r="W245" s="209">
        <v>9.5000000000000001E-2</v>
      </c>
      <c r="X245" s="209">
        <v>9.5000000000000001E-2</v>
      </c>
      <c r="Y245" s="209">
        <v>9.5000000000000001E-2</v>
      </c>
      <c r="Z245" s="209">
        <v>9.5000000000000001E-2</v>
      </c>
      <c r="AA245" s="209">
        <v>9.5000000000000001E-2</v>
      </c>
      <c r="AB245" s="209">
        <v>9.5000000000000001E-2</v>
      </c>
      <c r="AC245" s="209">
        <v>9.5000000000000001E-2</v>
      </c>
      <c r="AD245" s="209">
        <v>9.5000000000000001E-2</v>
      </c>
      <c r="AE245" s="209">
        <v>9.5000000000000001E-2</v>
      </c>
      <c r="AF245" s="220">
        <v>9.5000000000000001E-2</v>
      </c>
      <c r="AG245" s="436"/>
    </row>
    <row r="246" spans="1:33">
      <c r="A246" s="215" t="s">
        <v>942</v>
      </c>
      <c r="B246" s="232" t="s">
        <v>938</v>
      </c>
      <c r="C246" s="232">
        <v>2030</v>
      </c>
      <c r="D246" s="232" t="s">
        <v>680</v>
      </c>
      <c r="E246" s="209">
        <v>9.5000000000000001E-2</v>
      </c>
      <c r="F246" s="209">
        <v>9.5000000000000001E-2</v>
      </c>
      <c r="G246" s="209">
        <v>9.5000000000000001E-2</v>
      </c>
      <c r="H246" s="209">
        <v>9.5000000000000001E-2</v>
      </c>
      <c r="I246" s="209">
        <v>9.5000000000000001E-2</v>
      </c>
      <c r="J246" s="209">
        <v>9.5000000000000001E-2</v>
      </c>
      <c r="K246" s="209">
        <v>9.5000000000000001E-2</v>
      </c>
      <c r="L246" s="209">
        <v>9.5000000000000001E-2</v>
      </c>
      <c r="M246" s="209">
        <v>9.5000000000000001E-2</v>
      </c>
      <c r="N246" s="209">
        <v>9.5000000000000001E-2</v>
      </c>
      <c r="O246" s="209">
        <v>9.5000000000000001E-2</v>
      </c>
      <c r="P246" s="209">
        <v>9.5000000000000001E-2</v>
      </c>
      <c r="Q246" s="209">
        <v>9.5000000000000001E-2</v>
      </c>
      <c r="R246" s="209">
        <v>9.5000000000000001E-2</v>
      </c>
      <c r="S246" s="209">
        <v>9.5000000000000001E-2</v>
      </c>
      <c r="T246" s="209">
        <v>9.5000000000000001E-2</v>
      </c>
      <c r="U246" s="209">
        <v>9.5000000000000001E-2</v>
      </c>
      <c r="V246" s="209">
        <v>9.5000000000000001E-2</v>
      </c>
      <c r="W246" s="209">
        <v>9.5000000000000001E-2</v>
      </c>
      <c r="X246" s="209">
        <v>9.5000000000000001E-2</v>
      </c>
      <c r="Y246" s="209">
        <v>9.5000000000000001E-2</v>
      </c>
      <c r="Z246" s="209">
        <v>9.5000000000000001E-2</v>
      </c>
      <c r="AA246" s="209">
        <v>9.5000000000000001E-2</v>
      </c>
      <c r="AB246" s="209">
        <v>9.5000000000000001E-2</v>
      </c>
      <c r="AC246" s="209">
        <v>9.5000000000000001E-2</v>
      </c>
      <c r="AD246" s="209">
        <v>9.5000000000000001E-2</v>
      </c>
      <c r="AE246" s="209">
        <v>9.5000000000000001E-2</v>
      </c>
      <c r="AF246" s="220">
        <v>9.5000000000000001E-2</v>
      </c>
      <c r="AG246" s="436"/>
    </row>
    <row r="247" spans="1:33">
      <c r="A247" s="215" t="s">
        <v>942</v>
      </c>
      <c r="B247" s="232" t="s">
        <v>938</v>
      </c>
      <c r="C247" s="232">
        <v>2035</v>
      </c>
      <c r="D247" s="232" t="s">
        <v>680</v>
      </c>
      <c r="E247" s="209">
        <v>9.5000000000000001E-2</v>
      </c>
      <c r="F247" s="209">
        <v>9.5000000000000001E-2</v>
      </c>
      <c r="G247" s="209">
        <v>9.5000000000000001E-2</v>
      </c>
      <c r="H247" s="209">
        <v>9.5000000000000001E-2</v>
      </c>
      <c r="I247" s="209">
        <v>9.5000000000000001E-2</v>
      </c>
      <c r="J247" s="209">
        <v>9.5000000000000001E-2</v>
      </c>
      <c r="K247" s="209">
        <v>9.5000000000000001E-2</v>
      </c>
      <c r="L247" s="209">
        <v>9.5000000000000001E-2</v>
      </c>
      <c r="M247" s="209">
        <v>9.5000000000000001E-2</v>
      </c>
      <c r="N247" s="209">
        <v>9.5000000000000001E-2</v>
      </c>
      <c r="O247" s="209">
        <v>9.5000000000000001E-2</v>
      </c>
      <c r="P247" s="209">
        <v>9.5000000000000001E-2</v>
      </c>
      <c r="Q247" s="209">
        <v>9.5000000000000001E-2</v>
      </c>
      <c r="R247" s="209">
        <v>9.5000000000000001E-2</v>
      </c>
      <c r="S247" s="209">
        <v>9.5000000000000001E-2</v>
      </c>
      <c r="T247" s="209">
        <v>9.5000000000000001E-2</v>
      </c>
      <c r="U247" s="209">
        <v>9.5000000000000001E-2</v>
      </c>
      <c r="V247" s="209">
        <v>9.5000000000000001E-2</v>
      </c>
      <c r="W247" s="209">
        <v>9.5000000000000001E-2</v>
      </c>
      <c r="X247" s="209">
        <v>9.5000000000000001E-2</v>
      </c>
      <c r="Y247" s="209">
        <v>9.5000000000000001E-2</v>
      </c>
      <c r="Z247" s="209">
        <v>9.5000000000000001E-2</v>
      </c>
      <c r="AA247" s="209">
        <v>9.5000000000000001E-2</v>
      </c>
      <c r="AB247" s="209">
        <v>9.5000000000000001E-2</v>
      </c>
      <c r="AC247" s="209">
        <v>9.5000000000000001E-2</v>
      </c>
      <c r="AD247" s="209">
        <v>9.5000000000000001E-2</v>
      </c>
      <c r="AE247" s="209">
        <v>9.5000000000000001E-2</v>
      </c>
      <c r="AF247" s="220">
        <v>9.5000000000000001E-2</v>
      </c>
      <c r="AG247" s="436"/>
    </row>
    <row r="248" spans="1:33">
      <c r="A248" s="215" t="s">
        <v>942</v>
      </c>
      <c r="B248" s="232" t="s">
        <v>938</v>
      </c>
      <c r="C248" s="232">
        <v>2040</v>
      </c>
      <c r="D248" s="232" t="s">
        <v>680</v>
      </c>
      <c r="E248" s="209">
        <v>9.5000000000000001E-2</v>
      </c>
      <c r="F248" s="209">
        <v>9.5000000000000001E-2</v>
      </c>
      <c r="G248" s="209">
        <v>9.5000000000000001E-2</v>
      </c>
      <c r="H248" s="209">
        <v>9.5000000000000001E-2</v>
      </c>
      <c r="I248" s="209">
        <v>9.5000000000000001E-2</v>
      </c>
      <c r="J248" s="209">
        <v>9.5000000000000001E-2</v>
      </c>
      <c r="K248" s="209">
        <v>9.5000000000000001E-2</v>
      </c>
      <c r="L248" s="209">
        <v>9.5000000000000001E-2</v>
      </c>
      <c r="M248" s="209">
        <v>9.5000000000000001E-2</v>
      </c>
      <c r="N248" s="209">
        <v>9.5000000000000001E-2</v>
      </c>
      <c r="O248" s="209">
        <v>9.5000000000000001E-2</v>
      </c>
      <c r="P248" s="209">
        <v>9.5000000000000001E-2</v>
      </c>
      <c r="Q248" s="209">
        <v>9.5000000000000001E-2</v>
      </c>
      <c r="R248" s="209">
        <v>9.5000000000000001E-2</v>
      </c>
      <c r="S248" s="209">
        <v>9.5000000000000001E-2</v>
      </c>
      <c r="T248" s="209">
        <v>9.5000000000000001E-2</v>
      </c>
      <c r="U248" s="209">
        <v>9.5000000000000001E-2</v>
      </c>
      <c r="V248" s="209">
        <v>9.5000000000000001E-2</v>
      </c>
      <c r="W248" s="209">
        <v>9.5000000000000001E-2</v>
      </c>
      <c r="X248" s="209">
        <v>9.5000000000000001E-2</v>
      </c>
      <c r="Y248" s="209">
        <v>9.5000000000000001E-2</v>
      </c>
      <c r="Z248" s="209">
        <v>9.5000000000000001E-2</v>
      </c>
      <c r="AA248" s="209">
        <v>9.5000000000000001E-2</v>
      </c>
      <c r="AB248" s="209">
        <v>9.5000000000000001E-2</v>
      </c>
      <c r="AC248" s="209">
        <v>9.5000000000000001E-2</v>
      </c>
      <c r="AD248" s="209">
        <v>9.5000000000000001E-2</v>
      </c>
      <c r="AE248" s="209">
        <v>9.5000000000000001E-2</v>
      </c>
      <c r="AF248" s="220">
        <v>9.5000000000000001E-2</v>
      </c>
      <c r="AG248" s="436"/>
    </row>
    <row r="249" spans="1:33">
      <c r="A249" s="215" t="s">
        <v>942</v>
      </c>
      <c r="B249" s="232" t="s">
        <v>938</v>
      </c>
      <c r="C249" s="232">
        <v>2045</v>
      </c>
      <c r="D249" s="232" t="s">
        <v>680</v>
      </c>
      <c r="E249" s="209">
        <v>9.5000000000000001E-2</v>
      </c>
      <c r="F249" s="209">
        <v>9.5000000000000001E-2</v>
      </c>
      <c r="G249" s="209">
        <v>9.5000000000000001E-2</v>
      </c>
      <c r="H249" s="209">
        <v>9.5000000000000001E-2</v>
      </c>
      <c r="I249" s="209">
        <v>9.5000000000000001E-2</v>
      </c>
      <c r="J249" s="209">
        <v>9.5000000000000001E-2</v>
      </c>
      <c r="K249" s="209">
        <v>9.5000000000000001E-2</v>
      </c>
      <c r="L249" s="209">
        <v>9.5000000000000001E-2</v>
      </c>
      <c r="M249" s="209">
        <v>9.5000000000000001E-2</v>
      </c>
      <c r="N249" s="209">
        <v>9.5000000000000001E-2</v>
      </c>
      <c r="O249" s="209">
        <v>9.5000000000000001E-2</v>
      </c>
      <c r="P249" s="209">
        <v>9.5000000000000001E-2</v>
      </c>
      <c r="Q249" s="209">
        <v>9.5000000000000001E-2</v>
      </c>
      <c r="R249" s="209">
        <v>9.5000000000000001E-2</v>
      </c>
      <c r="S249" s="209">
        <v>9.5000000000000001E-2</v>
      </c>
      <c r="T249" s="209">
        <v>9.5000000000000001E-2</v>
      </c>
      <c r="U249" s="209">
        <v>9.5000000000000001E-2</v>
      </c>
      <c r="V249" s="209">
        <v>9.5000000000000001E-2</v>
      </c>
      <c r="W249" s="209">
        <v>9.5000000000000001E-2</v>
      </c>
      <c r="X249" s="209">
        <v>9.5000000000000001E-2</v>
      </c>
      <c r="Y249" s="209">
        <v>9.5000000000000001E-2</v>
      </c>
      <c r="Z249" s="209">
        <v>9.5000000000000001E-2</v>
      </c>
      <c r="AA249" s="209">
        <v>9.5000000000000001E-2</v>
      </c>
      <c r="AB249" s="209">
        <v>9.5000000000000001E-2</v>
      </c>
      <c r="AC249" s="209">
        <v>9.5000000000000001E-2</v>
      </c>
      <c r="AD249" s="209">
        <v>9.5000000000000001E-2</v>
      </c>
      <c r="AE249" s="209">
        <v>9.5000000000000001E-2</v>
      </c>
      <c r="AF249" s="220">
        <v>9.5000000000000001E-2</v>
      </c>
      <c r="AG249" s="436"/>
    </row>
    <row r="250" spans="1:33">
      <c r="A250" s="215" t="s">
        <v>942</v>
      </c>
      <c r="B250" s="232" t="s">
        <v>938</v>
      </c>
      <c r="C250" s="232">
        <v>2050</v>
      </c>
      <c r="D250" s="232" t="s">
        <v>680</v>
      </c>
      <c r="E250" s="209">
        <v>9.5000000000000001E-2</v>
      </c>
      <c r="F250" s="209">
        <v>9.5000000000000001E-2</v>
      </c>
      <c r="G250" s="209">
        <v>9.5000000000000001E-2</v>
      </c>
      <c r="H250" s="209">
        <v>9.5000000000000001E-2</v>
      </c>
      <c r="I250" s="209">
        <v>9.5000000000000001E-2</v>
      </c>
      <c r="J250" s="209">
        <v>9.5000000000000001E-2</v>
      </c>
      <c r="K250" s="209">
        <v>9.5000000000000001E-2</v>
      </c>
      <c r="L250" s="209">
        <v>9.5000000000000001E-2</v>
      </c>
      <c r="M250" s="209">
        <v>9.5000000000000001E-2</v>
      </c>
      <c r="N250" s="209">
        <v>9.5000000000000001E-2</v>
      </c>
      <c r="O250" s="209">
        <v>9.5000000000000001E-2</v>
      </c>
      <c r="P250" s="209">
        <v>9.5000000000000001E-2</v>
      </c>
      <c r="Q250" s="209">
        <v>9.5000000000000001E-2</v>
      </c>
      <c r="R250" s="209">
        <v>9.5000000000000001E-2</v>
      </c>
      <c r="S250" s="209">
        <v>9.5000000000000001E-2</v>
      </c>
      <c r="T250" s="209">
        <v>9.5000000000000001E-2</v>
      </c>
      <c r="U250" s="209">
        <v>9.5000000000000001E-2</v>
      </c>
      <c r="V250" s="209">
        <v>9.5000000000000001E-2</v>
      </c>
      <c r="W250" s="209">
        <v>9.5000000000000001E-2</v>
      </c>
      <c r="X250" s="209">
        <v>9.5000000000000001E-2</v>
      </c>
      <c r="Y250" s="209">
        <v>9.5000000000000001E-2</v>
      </c>
      <c r="Z250" s="209">
        <v>9.5000000000000001E-2</v>
      </c>
      <c r="AA250" s="209">
        <v>9.5000000000000001E-2</v>
      </c>
      <c r="AB250" s="209">
        <v>9.5000000000000001E-2</v>
      </c>
      <c r="AC250" s="209">
        <v>9.5000000000000001E-2</v>
      </c>
      <c r="AD250" s="209">
        <v>9.5000000000000001E-2</v>
      </c>
      <c r="AE250" s="209">
        <v>9.5000000000000001E-2</v>
      </c>
      <c r="AF250" s="220">
        <v>9.5000000000000001E-2</v>
      </c>
      <c r="AG250" s="436"/>
    </row>
    <row r="251" spans="1:33">
      <c r="A251" s="215" t="s">
        <v>942</v>
      </c>
      <c r="B251" s="232" t="s">
        <v>938</v>
      </c>
      <c r="C251" s="232">
        <v>2060</v>
      </c>
      <c r="D251" s="232" t="s">
        <v>680</v>
      </c>
      <c r="E251" s="209">
        <v>9.5000000000000001E-2</v>
      </c>
      <c r="F251" s="209">
        <v>9.5000000000000001E-2</v>
      </c>
      <c r="G251" s="209">
        <v>9.5000000000000001E-2</v>
      </c>
      <c r="H251" s="209">
        <v>9.5000000000000001E-2</v>
      </c>
      <c r="I251" s="209">
        <v>9.5000000000000001E-2</v>
      </c>
      <c r="J251" s="209">
        <v>9.5000000000000001E-2</v>
      </c>
      <c r="K251" s="209">
        <v>9.5000000000000001E-2</v>
      </c>
      <c r="L251" s="209">
        <v>9.5000000000000001E-2</v>
      </c>
      <c r="M251" s="209">
        <v>9.5000000000000001E-2</v>
      </c>
      <c r="N251" s="209">
        <v>9.5000000000000001E-2</v>
      </c>
      <c r="O251" s="209">
        <v>9.5000000000000001E-2</v>
      </c>
      <c r="P251" s="209">
        <v>9.5000000000000001E-2</v>
      </c>
      <c r="Q251" s="209">
        <v>9.5000000000000001E-2</v>
      </c>
      <c r="R251" s="209">
        <v>9.5000000000000001E-2</v>
      </c>
      <c r="S251" s="209">
        <v>9.5000000000000001E-2</v>
      </c>
      <c r="T251" s="209">
        <v>9.5000000000000001E-2</v>
      </c>
      <c r="U251" s="209">
        <v>9.5000000000000001E-2</v>
      </c>
      <c r="V251" s="209">
        <v>9.5000000000000001E-2</v>
      </c>
      <c r="W251" s="209">
        <v>9.5000000000000001E-2</v>
      </c>
      <c r="X251" s="209">
        <v>9.5000000000000001E-2</v>
      </c>
      <c r="Y251" s="209">
        <v>9.5000000000000001E-2</v>
      </c>
      <c r="Z251" s="209">
        <v>9.5000000000000001E-2</v>
      </c>
      <c r="AA251" s="209">
        <v>9.5000000000000001E-2</v>
      </c>
      <c r="AB251" s="209">
        <v>9.5000000000000001E-2</v>
      </c>
      <c r="AC251" s="209">
        <v>9.5000000000000001E-2</v>
      </c>
      <c r="AD251" s="209">
        <v>9.5000000000000001E-2</v>
      </c>
      <c r="AE251" s="209">
        <v>9.5000000000000001E-2</v>
      </c>
      <c r="AF251" s="220">
        <v>9.5000000000000001E-2</v>
      </c>
      <c r="AG251" s="436"/>
    </row>
    <row r="252" spans="1:33">
      <c r="A252" s="215" t="s">
        <v>942</v>
      </c>
      <c r="B252" s="232" t="s">
        <v>938</v>
      </c>
      <c r="C252" s="232">
        <v>2070</v>
      </c>
      <c r="D252" s="232" t="s">
        <v>680</v>
      </c>
      <c r="E252" s="209">
        <v>9.5000000000000001E-2</v>
      </c>
      <c r="F252" s="209">
        <v>9.5000000000000001E-2</v>
      </c>
      <c r="G252" s="209">
        <v>9.5000000000000001E-2</v>
      </c>
      <c r="H252" s="209">
        <v>9.5000000000000001E-2</v>
      </c>
      <c r="I252" s="209">
        <v>9.5000000000000001E-2</v>
      </c>
      <c r="J252" s="209">
        <v>9.5000000000000001E-2</v>
      </c>
      <c r="K252" s="209">
        <v>9.5000000000000001E-2</v>
      </c>
      <c r="L252" s="209">
        <v>9.5000000000000001E-2</v>
      </c>
      <c r="M252" s="209">
        <v>9.5000000000000001E-2</v>
      </c>
      <c r="N252" s="209">
        <v>9.5000000000000001E-2</v>
      </c>
      <c r="O252" s="209">
        <v>9.5000000000000001E-2</v>
      </c>
      <c r="P252" s="209">
        <v>9.5000000000000001E-2</v>
      </c>
      <c r="Q252" s="209">
        <v>9.5000000000000001E-2</v>
      </c>
      <c r="R252" s="209">
        <v>9.5000000000000001E-2</v>
      </c>
      <c r="S252" s="209">
        <v>9.5000000000000001E-2</v>
      </c>
      <c r="T252" s="209">
        <v>9.5000000000000001E-2</v>
      </c>
      <c r="U252" s="209">
        <v>9.5000000000000001E-2</v>
      </c>
      <c r="V252" s="209">
        <v>9.5000000000000001E-2</v>
      </c>
      <c r="W252" s="209">
        <v>9.5000000000000001E-2</v>
      </c>
      <c r="X252" s="209">
        <v>9.5000000000000001E-2</v>
      </c>
      <c r="Y252" s="209">
        <v>9.5000000000000001E-2</v>
      </c>
      <c r="Z252" s="209">
        <v>9.5000000000000001E-2</v>
      </c>
      <c r="AA252" s="209">
        <v>9.5000000000000001E-2</v>
      </c>
      <c r="AB252" s="209">
        <v>9.5000000000000001E-2</v>
      </c>
      <c r="AC252" s="209">
        <v>9.5000000000000001E-2</v>
      </c>
      <c r="AD252" s="209">
        <v>9.5000000000000001E-2</v>
      </c>
      <c r="AE252" s="209">
        <v>9.5000000000000001E-2</v>
      </c>
      <c r="AF252" s="220">
        <v>9.5000000000000001E-2</v>
      </c>
      <c r="AG252" s="436"/>
    </row>
    <row r="253" spans="1:33">
      <c r="A253" s="215" t="s">
        <v>942</v>
      </c>
      <c r="B253" s="232" t="s">
        <v>938</v>
      </c>
      <c r="C253" s="232">
        <v>2080</v>
      </c>
      <c r="D253" s="232" t="s">
        <v>680</v>
      </c>
      <c r="E253" s="209">
        <v>9.5000000000000001E-2</v>
      </c>
      <c r="F253" s="209">
        <v>9.5000000000000001E-2</v>
      </c>
      <c r="G253" s="209">
        <v>9.5000000000000001E-2</v>
      </c>
      <c r="H253" s="209">
        <v>9.5000000000000001E-2</v>
      </c>
      <c r="I253" s="209">
        <v>9.5000000000000001E-2</v>
      </c>
      <c r="J253" s="209">
        <v>9.5000000000000001E-2</v>
      </c>
      <c r="K253" s="209">
        <v>9.5000000000000001E-2</v>
      </c>
      <c r="L253" s="209">
        <v>9.5000000000000001E-2</v>
      </c>
      <c r="M253" s="209">
        <v>9.5000000000000001E-2</v>
      </c>
      <c r="N253" s="209">
        <v>9.5000000000000001E-2</v>
      </c>
      <c r="O253" s="209">
        <v>9.5000000000000001E-2</v>
      </c>
      <c r="P253" s="209">
        <v>9.5000000000000001E-2</v>
      </c>
      <c r="Q253" s="209">
        <v>9.5000000000000001E-2</v>
      </c>
      <c r="R253" s="209">
        <v>9.5000000000000001E-2</v>
      </c>
      <c r="S253" s="209">
        <v>9.5000000000000001E-2</v>
      </c>
      <c r="T253" s="209">
        <v>9.5000000000000001E-2</v>
      </c>
      <c r="U253" s="209">
        <v>9.5000000000000001E-2</v>
      </c>
      <c r="V253" s="209">
        <v>9.5000000000000001E-2</v>
      </c>
      <c r="W253" s="209">
        <v>9.5000000000000001E-2</v>
      </c>
      <c r="X253" s="209">
        <v>9.5000000000000001E-2</v>
      </c>
      <c r="Y253" s="209">
        <v>9.5000000000000001E-2</v>
      </c>
      <c r="Z253" s="209">
        <v>9.5000000000000001E-2</v>
      </c>
      <c r="AA253" s="209">
        <v>9.5000000000000001E-2</v>
      </c>
      <c r="AB253" s="209">
        <v>9.5000000000000001E-2</v>
      </c>
      <c r="AC253" s="209">
        <v>9.5000000000000001E-2</v>
      </c>
      <c r="AD253" s="209">
        <v>9.5000000000000001E-2</v>
      </c>
      <c r="AE253" s="209">
        <v>9.5000000000000001E-2</v>
      </c>
      <c r="AF253" s="220">
        <v>9.5000000000000001E-2</v>
      </c>
      <c r="AG253" s="436"/>
    </row>
    <row r="254" spans="1:33">
      <c r="A254" s="215" t="s">
        <v>942</v>
      </c>
      <c r="B254" s="232" t="s">
        <v>938</v>
      </c>
      <c r="C254" s="232">
        <v>2090</v>
      </c>
      <c r="D254" s="232" t="s">
        <v>680</v>
      </c>
      <c r="E254" s="209">
        <v>9.5000000000000001E-2</v>
      </c>
      <c r="F254" s="209">
        <v>9.5000000000000001E-2</v>
      </c>
      <c r="G254" s="209">
        <v>9.5000000000000001E-2</v>
      </c>
      <c r="H254" s="209">
        <v>9.5000000000000001E-2</v>
      </c>
      <c r="I254" s="209">
        <v>9.5000000000000001E-2</v>
      </c>
      <c r="J254" s="209">
        <v>9.5000000000000001E-2</v>
      </c>
      <c r="K254" s="209">
        <v>9.5000000000000001E-2</v>
      </c>
      <c r="L254" s="209">
        <v>9.5000000000000001E-2</v>
      </c>
      <c r="M254" s="209">
        <v>9.5000000000000001E-2</v>
      </c>
      <c r="N254" s="209">
        <v>9.5000000000000001E-2</v>
      </c>
      <c r="O254" s="209">
        <v>9.5000000000000001E-2</v>
      </c>
      <c r="P254" s="209">
        <v>9.5000000000000001E-2</v>
      </c>
      <c r="Q254" s="209">
        <v>9.5000000000000001E-2</v>
      </c>
      <c r="R254" s="209">
        <v>9.5000000000000001E-2</v>
      </c>
      <c r="S254" s="209">
        <v>9.5000000000000001E-2</v>
      </c>
      <c r="T254" s="209">
        <v>9.5000000000000001E-2</v>
      </c>
      <c r="U254" s="209">
        <v>9.5000000000000001E-2</v>
      </c>
      <c r="V254" s="209">
        <v>9.5000000000000001E-2</v>
      </c>
      <c r="W254" s="209">
        <v>9.5000000000000001E-2</v>
      </c>
      <c r="X254" s="209">
        <v>9.5000000000000001E-2</v>
      </c>
      <c r="Y254" s="209">
        <v>9.5000000000000001E-2</v>
      </c>
      <c r="Z254" s="209">
        <v>9.5000000000000001E-2</v>
      </c>
      <c r="AA254" s="209">
        <v>9.5000000000000001E-2</v>
      </c>
      <c r="AB254" s="209">
        <v>9.5000000000000001E-2</v>
      </c>
      <c r="AC254" s="209">
        <v>9.5000000000000001E-2</v>
      </c>
      <c r="AD254" s="209">
        <v>9.5000000000000001E-2</v>
      </c>
      <c r="AE254" s="209">
        <v>9.5000000000000001E-2</v>
      </c>
      <c r="AF254" s="220">
        <v>9.5000000000000001E-2</v>
      </c>
      <c r="AG254" s="436"/>
    </row>
    <row r="255" spans="1:33">
      <c r="A255" s="229" t="s">
        <v>942</v>
      </c>
      <c r="B255" s="235" t="s">
        <v>938</v>
      </c>
      <c r="C255" s="235">
        <v>2100</v>
      </c>
      <c r="D255" s="235" t="s">
        <v>680</v>
      </c>
      <c r="E255" s="226">
        <v>9.5000000000000001E-2</v>
      </c>
      <c r="F255" s="226">
        <v>9.5000000000000001E-2</v>
      </c>
      <c r="G255" s="226">
        <v>9.5000000000000001E-2</v>
      </c>
      <c r="H255" s="226">
        <v>9.5000000000000001E-2</v>
      </c>
      <c r="I255" s="226">
        <v>9.5000000000000001E-2</v>
      </c>
      <c r="J255" s="226">
        <v>9.5000000000000001E-2</v>
      </c>
      <c r="K255" s="226">
        <v>9.5000000000000001E-2</v>
      </c>
      <c r="L255" s="226">
        <v>9.5000000000000001E-2</v>
      </c>
      <c r="M255" s="226">
        <v>9.5000000000000001E-2</v>
      </c>
      <c r="N255" s="226">
        <v>9.5000000000000001E-2</v>
      </c>
      <c r="O255" s="226">
        <v>9.5000000000000001E-2</v>
      </c>
      <c r="P255" s="226">
        <v>9.5000000000000001E-2</v>
      </c>
      <c r="Q255" s="226">
        <v>9.5000000000000001E-2</v>
      </c>
      <c r="R255" s="226">
        <v>9.5000000000000001E-2</v>
      </c>
      <c r="S255" s="226">
        <v>9.5000000000000001E-2</v>
      </c>
      <c r="T255" s="226">
        <v>9.5000000000000001E-2</v>
      </c>
      <c r="U255" s="226">
        <v>9.5000000000000001E-2</v>
      </c>
      <c r="V255" s="226">
        <v>9.5000000000000001E-2</v>
      </c>
      <c r="W255" s="226">
        <v>9.5000000000000001E-2</v>
      </c>
      <c r="X255" s="226">
        <v>9.5000000000000001E-2</v>
      </c>
      <c r="Y255" s="226">
        <v>9.5000000000000001E-2</v>
      </c>
      <c r="Z255" s="226">
        <v>9.5000000000000001E-2</v>
      </c>
      <c r="AA255" s="226">
        <v>9.5000000000000001E-2</v>
      </c>
      <c r="AB255" s="226">
        <v>9.5000000000000001E-2</v>
      </c>
      <c r="AC255" s="226">
        <v>9.5000000000000001E-2</v>
      </c>
      <c r="AD255" s="226">
        <v>9.5000000000000001E-2</v>
      </c>
      <c r="AE255" s="226">
        <v>9.5000000000000001E-2</v>
      </c>
      <c r="AF255" s="224">
        <v>9.5000000000000001E-2</v>
      </c>
      <c r="AG255" s="437"/>
    </row>
    <row r="256" spans="1:33">
      <c r="A256" s="215" t="s">
        <v>942</v>
      </c>
      <c r="B256" s="232" t="s">
        <v>940</v>
      </c>
      <c r="C256" s="232">
        <v>2019</v>
      </c>
      <c r="D256" s="232" t="s">
        <v>680</v>
      </c>
      <c r="E256" s="209">
        <v>0.19</v>
      </c>
      <c r="F256" s="209">
        <v>0.19</v>
      </c>
      <c r="G256" s="209">
        <v>0.19</v>
      </c>
      <c r="H256" s="209">
        <v>0.19</v>
      </c>
      <c r="I256" s="209">
        <v>0.19</v>
      </c>
      <c r="J256" s="209">
        <v>0.19</v>
      </c>
      <c r="K256" s="209">
        <v>0.19</v>
      </c>
      <c r="L256" s="209">
        <v>0.19</v>
      </c>
      <c r="M256" s="209">
        <v>0.19</v>
      </c>
      <c r="N256" s="209">
        <v>0.19</v>
      </c>
      <c r="O256" s="209">
        <v>0.19</v>
      </c>
      <c r="P256" s="209">
        <v>0.19</v>
      </c>
      <c r="Q256" s="209">
        <v>0.19</v>
      </c>
      <c r="R256" s="209">
        <v>0.19</v>
      </c>
      <c r="S256" s="209">
        <v>0.19</v>
      </c>
      <c r="T256" s="209">
        <v>0.19</v>
      </c>
      <c r="U256" s="209">
        <v>0.19</v>
      </c>
      <c r="V256" s="209">
        <v>0.19</v>
      </c>
      <c r="W256" s="209">
        <v>0.19</v>
      </c>
      <c r="X256" s="209">
        <v>0.19</v>
      </c>
      <c r="Y256" s="209">
        <v>0.19</v>
      </c>
      <c r="Z256" s="209">
        <v>0.19</v>
      </c>
      <c r="AA256" s="209">
        <v>0.19</v>
      </c>
      <c r="AB256" s="209">
        <v>0.19</v>
      </c>
      <c r="AC256" s="209">
        <v>0.19</v>
      </c>
      <c r="AD256" s="209">
        <v>0.19</v>
      </c>
      <c r="AE256" s="209">
        <v>0.19</v>
      </c>
      <c r="AF256" s="220">
        <v>0.19</v>
      </c>
      <c r="AG256" s="436"/>
    </row>
    <row r="257" spans="1:33">
      <c r="A257" s="215" t="s">
        <v>942</v>
      </c>
      <c r="B257" s="232" t="s">
        <v>940</v>
      </c>
      <c r="C257">
        <v>2020</v>
      </c>
      <c r="D257" s="232" t="s">
        <v>680</v>
      </c>
      <c r="E257" s="209">
        <v>0.19</v>
      </c>
      <c r="F257" s="209">
        <v>0.19</v>
      </c>
      <c r="G257" s="209">
        <v>0.19</v>
      </c>
      <c r="H257" s="209">
        <v>0.19</v>
      </c>
      <c r="I257" s="209">
        <v>0.19</v>
      </c>
      <c r="J257" s="209">
        <v>0.19</v>
      </c>
      <c r="K257" s="209">
        <v>0.19</v>
      </c>
      <c r="L257" s="209">
        <v>0.19</v>
      </c>
      <c r="M257" s="209">
        <v>0.19</v>
      </c>
      <c r="N257" s="209">
        <v>0.19</v>
      </c>
      <c r="O257" s="209">
        <v>0.19</v>
      </c>
      <c r="P257" s="209">
        <v>0.19</v>
      </c>
      <c r="Q257" s="209">
        <v>0.19</v>
      </c>
      <c r="R257" s="209">
        <v>0.19</v>
      </c>
      <c r="S257" s="209">
        <v>0.19</v>
      </c>
      <c r="T257" s="209">
        <v>0.19</v>
      </c>
      <c r="U257" s="209">
        <v>0.19</v>
      </c>
      <c r="V257" s="209">
        <v>0.19</v>
      </c>
      <c r="W257" s="209">
        <v>0.19</v>
      </c>
      <c r="X257" s="209">
        <v>0.19</v>
      </c>
      <c r="Y257" s="209">
        <v>0.19</v>
      </c>
      <c r="Z257" s="209">
        <v>0.19</v>
      </c>
      <c r="AA257" s="209">
        <v>0.19</v>
      </c>
      <c r="AB257" s="209">
        <v>0.19</v>
      </c>
      <c r="AC257" s="209">
        <v>0.19</v>
      </c>
      <c r="AD257" s="209">
        <v>0.19</v>
      </c>
      <c r="AE257" s="209">
        <v>0.19</v>
      </c>
      <c r="AF257" s="220">
        <v>0.19</v>
      </c>
      <c r="AG257" s="436"/>
    </row>
    <row r="258" spans="1:33">
      <c r="A258" s="215" t="s">
        <v>942</v>
      </c>
      <c r="B258" s="232" t="s">
        <v>940</v>
      </c>
      <c r="C258" s="232">
        <v>2025</v>
      </c>
      <c r="D258" s="232" t="s">
        <v>680</v>
      </c>
      <c r="E258" s="209">
        <v>0.19</v>
      </c>
      <c r="F258" s="209">
        <v>0.19</v>
      </c>
      <c r="G258" s="209">
        <v>0.19</v>
      </c>
      <c r="H258" s="209">
        <v>0.19</v>
      </c>
      <c r="I258" s="209">
        <v>0.19</v>
      </c>
      <c r="J258" s="209">
        <v>0.19</v>
      </c>
      <c r="K258" s="209">
        <v>0.19</v>
      </c>
      <c r="L258" s="209">
        <v>0.19</v>
      </c>
      <c r="M258" s="209">
        <v>0.19</v>
      </c>
      <c r="N258" s="209">
        <v>0.19</v>
      </c>
      <c r="O258" s="209">
        <v>0.19</v>
      </c>
      <c r="P258" s="209">
        <v>0.19</v>
      </c>
      <c r="Q258" s="209">
        <v>0.19</v>
      </c>
      <c r="R258" s="209">
        <v>0.19</v>
      </c>
      <c r="S258" s="209">
        <v>0.19</v>
      </c>
      <c r="T258" s="209">
        <v>0.19</v>
      </c>
      <c r="U258" s="209">
        <v>0.19</v>
      </c>
      <c r="V258" s="209">
        <v>0.19</v>
      </c>
      <c r="W258" s="209">
        <v>0.19</v>
      </c>
      <c r="X258" s="209">
        <v>0.19</v>
      </c>
      <c r="Y258" s="209">
        <v>0.19</v>
      </c>
      <c r="Z258" s="209">
        <v>0.19</v>
      </c>
      <c r="AA258" s="209">
        <v>0.19</v>
      </c>
      <c r="AB258" s="209">
        <v>0.19</v>
      </c>
      <c r="AC258" s="209">
        <v>0.19</v>
      </c>
      <c r="AD258" s="209">
        <v>0.19</v>
      </c>
      <c r="AE258" s="209">
        <v>0.19</v>
      </c>
      <c r="AF258" s="220">
        <v>0.19</v>
      </c>
      <c r="AG258" s="436"/>
    </row>
    <row r="259" spans="1:33">
      <c r="A259" s="215" t="s">
        <v>942</v>
      </c>
      <c r="B259" s="232" t="s">
        <v>940</v>
      </c>
      <c r="C259" s="232">
        <v>2030</v>
      </c>
      <c r="D259" s="232" t="s">
        <v>680</v>
      </c>
      <c r="E259" s="209">
        <v>0.19</v>
      </c>
      <c r="F259" s="209">
        <v>0.19</v>
      </c>
      <c r="G259" s="209">
        <v>0.19</v>
      </c>
      <c r="H259" s="209">
        <v>0.19</v>
      </c>
      <c r="I259" s="209">
        <v>0.19</v>
      </c>
      <c r="J259" s="209">
        <v>0.19</v>
      </c>
      <c r="K259" s="209">
        <v>0.19</v>
      </c>
      <c r="L259" s="209">
        <v>0.19</v>
      </c>
      <c r="M259" s="209">
        <v>0.19</v>
      </c>
      <c r="N259" s="209">
        <v>0.19</v>
      </c>
      <c r="O259" s="209">
        <v>0.19</v>
      </c>
      <c r="P259" s="209">
        <v>0.19</v>
      </c>
      <c r="Q259" s="209">
        <v>0.19</v>
      </c>
      <c r="R259" s="209">
        <v>0.19</v>
      </c>
      <c r="S259" s="209">
        <v>0.19</v>
      </c>
      <c r="T259" s="209">
        <v>0.19</v>
      </c>
      <c r="U259" s="209">
        <v>0.19</v>
      </c>
      <c r="V259" s="209">
        <v>0.19</v>
      </c>
      <c r="W259" s="209">
        <v>0.19</v>
      </c>
      <c r="X259" s="209">
        <v>0.19</v>
      </c>
      <c r="Y259" s="209">
        <v>0.19</v>
      </c>
      <c r="Z259" s="209">
        <v>0.19</v>
      </c>
      <c r="AA259" s="209">
        <v>0.19</v>
      </c>
      <c r="AB259" s="209">
        <v>0.19</v>
      </c>
      <c r="AC259" s="209">
        <v>0.19</v>
      </c>
      <c r="AD259" s="209">
        <v>0.19</v>
      </c>
      <c r="AE259" s="209">
        <v>0.19</v>
      </c>
      <c r="AF259" s="220">
        <v>0.19</v>
      </c>
      <c r="AG259" s="436"/>
    </row>
    <row r="260" spans="1:33">
      <c r="A260" s="215" t="s">
        <v>942</v>
      </c>
      <c r="B260" s="232" t="s">
        <v>940</v>
      </c>
      <c r="C260" s="232">
        <v>2035</v>
      </c>
      <c r="D260" s="232" t="s">
        <v>680</v>
      </c>
      <c r="E260" s="209">
        <v>0.19</v>
      </c>
      <c r="F260" s="209">
        <v>0.19</v>
      </c>
      <c r="G260" s="209">
        <v>0.19</v>
      </c>
      <c r="H260" s="209">
        <v>0.19</v>
      </c>
      <c r="I260" s="209">
        <v>0.19</v>
      </c>
      <c r="J260" s="209">
        <v>0.19</v>
      </c>
      <c r="K260" s="209">
        <v>0.19</v>
      </c>
      <c r="L260" s="209">
        <v>0.19</v>
      </c>
      <c r="M260" s="209">
        <v>0.19</v>
      </c>
      <c r="N260" s="209">
        <v>0.19</v>
      </c>
      <c r="O260" s="209">
        <v>0.19</v>
      </c>
      <c r="P260" s="209">
        <v>0.19</v>
      </c>
      <c r="Q260" s="209">
        <v>0.19</v>
      </c>
      <c r="R260" s="209">
        <v>0.19</v>
      </c>
      <c r="S260" s="209">
        <v>0.19</v>
      </c>
      <c r="T260" s="209">
        <v>0.19</v>
      </c>
      <c r="U260" s="209">
        <v>0.19</v>
      </c>
      <c r="V260" s="209">
        <v>0.19</v>
      </c>
      <c r="W260" s="209">
        <v>0.19</v>
      </c>
      <c r="X260" s="209">
        <v>0.19</v>
      </c>
      <c r="Y260" s="209">
        <v>0.19</v>
      </c>
      <c r="Z260" s="209">
        <v>0.19</v>
      </c>
      <c r="AA260" s="209">
        <v>0.19</v>
      </c>
      <c r="AB260" s="209">
        <v>0.19</v>
      </c>
      <c r="AC260" s="209">
        <v>0.19</v>
      </c>
      <c r="AD260" s="209">
        <v>0.19</v>
      </c>
      <c r="AE260" s="209">
        <v>0.19</v>
      </c>
      <c r="AF260" s="220">
        <v>0.19</v>
      </c>
      <c r="AG260" s="436"/>
    </row>
    <row r="261" spans="1:33">
      <c r="A261" s="215" t="s">
        <v>942</v>
      </c>
      <c r="B261" s="232" t="s">
        <v>940</v>
      </c>
      <c r="C261" s="232">
        <v>2040</v>
      </c>
      <c r="D261" s="232" t="s">
        <v>680</v>
      </c>
      <c r="E261" s="209">
        <v>0.19</v>
      </c>
      <c r="F261" s="209">
        <v>0.19</v>
      </c>
      <c r="G261" s="209">
        <v>0.19</v>
      </c>
      <c r="H261" s="209">
        <v>0.19</v>
      </c>
      <c r="I261" s="209">
        <v>0.19</v>
      </c>
      <c r="J261" s="209">
        <v>0.19</v>
      </c>
      <c r="K261" s="209">
        <v>0.19</v>
      </c>
      <c r="L261" s="209">
        <v>0.19</v>
      </c>
      <c r="M261" s="209">
        <v>0.19</v>
      </c>
      <c r="N261" s="209">
        <v>0.19</v>
      </c>
      <c r="O261" s="209">
        <v>0.19</v>
      </c>
      <c r="P261" s="209">
        <v>0.19</v>
      </c>
      <c r="Q261" s="209">
        <v>0.19</v>
      </c>
      <c r="R261" s="209">
        <v>0.19</v>
      </c>
      <c r="S261" s="209">
        <v>0.19</v>
      </c>
      <c r="T261" s="209">
        <v>0.19</v>
      </c>
      <c r="U261" s="209">
        <v>0.19</v>
      </c>
      <c r="V261" s="209">
        <v>0.19</v>
      </c>
      <c r="W261" s="209">
        <v>0.19</v>
      </c>
      <c r="X261" s="209">
        <v>0.19</v>
      </c>
      <c r="Y261" s="209">
        <v>0.19</v>
      </c>
      <c r="Z261" s="209">
        <v>0.19</v>
      </c>
      <c r="AA261" s="209">
        <v>0.19</v>
      </c>
      <c r="AB261" s="209">
        <v>0.19</v>
      </c>
      <c r="AC261" s="209">
        <v>0.19</v>
      </c>
      <c r="AD261" s="209">
        <v>0.19</v>
      </c>
      <c r="AE261" s="209">
        <v>0.19</v>
      </c>
      <c r="AF261" s="220">
        <v>0.19</v>
      </c>
      <c r="AG261" s="436"/>
    </row>
    <row r="262" spans="1:33">
      <c r="A262" s="215" t="s">
        <v>942</v>
      </c>
      <c r="B262" s="232" t="s">
        <v>940</v>
      </c>
      <c r="C262" s="232">
        <v>2045</v>
      </c>
      <c r="D262" s="232" t="s">
        <v>680</v>
      </c>
      <c r="E262" s="209">
        <v>0.19</v>
      </c>
      <c r="F262" s="209">
        <v>0.19</v>
      </c>
      <c r="G262" s="209">
        <v>0.19</v>
      </c>
      <c r="H262" s="209">
        <v>0.19</v>
      </c>
      <c r="I262" s="209">
        <v>0.19</v>
      </c>
      <c r="J262" s="209">
        <v>0.19</v>
      </c>
      <c r="K262" s="209">
        <v>0.19</v>
      </c>
      <c r="L262" s="209">
        <v>0.19</v>
      </c>
      <c r="M262" s="209">
        <v>0.19</v>
      </c>
      <c r="N262" s="209">
        <v>0.19</v>
      </c>
      <c r="O262" s="209">
        <v>0.19</v>
      </c>
      <c r="P262" s="209">
        <v>0.19</v>
      </c>
      <c r="Q262" s="209">
        <v>0.19</v>
      </c>
      <c r="R262" s="209">
        <v>0.19</v>
      </c>
      <c r="S262" s="209">
        <v>0.19</v>
      </c>
      <c r="T262" s="209">
        <v>0.19</v>
      </c>
      <c r="U262" s="209">
        <v>0.19</v>
      </c>
      <c r="V262" s="209">
        <v>0.19</v>
      </c>
      <c r="W262" s="209">
        <v>0.19</v>
      </c>
      <c r="X262" s="209">
        <v>0.19</v>
      </c>
      <c r="Y262" s="209">
        <v>0.19</v>
      </c>
      <c r="Z262" s="209">
        <v>0.19</v>
      </c>
      <c r="AA262" s="209">
        <v>0.19</v>
      </c>
      <c r="AB262" s="209">
        <v>0.19</v>
      </c>
      <c r="AC262" s="209">
        <v>0.19</v>
      </c>
      <c r="AD262" s="209">
        <v>0.19</v>
      </c>
      <c r="AE262" s="209">
        <v>0.19</v>
      </c>
      <c r="AF262" s="220">
        <v>0.19</v>
      </c>
      <c r="AG262" s="436"/>
    </row>
    <row r="263" spans="1:33">
      <c r="A263" s="215" t="s">
        <v>942</v>
      </c>
      <c r="B263" s="232" t="s">
        <v>940</v>
      </c>
      <c r="C263" s="232">
        <v>2050</v>
      </c>
      <c r="D263" s="232" t="s">
        <v>680</v>
      </c>
      <c r="E263" s="209">
        <v>0.19</v>
      </c>
      <c r="F263" s="209">
        <v>0.19</v>
      </c>
      <c r="G263" s="209">
        <v>0.19</v>
      </c>
      <c r="H263" s="209">
        <v>0.19</v>
      </c>
      <c r="I263" s="209">
        <v>0.19</v>
      </c>
      <c r="J263" s="209">
        <v>0.19</v>
      </c>
      <c r="K263" s="209">
        <v>0.19</v>
      </c>
      <c r="L263" s="209">
        <v>0.19</v>
      </c>
      <c r="M263" s="209">
        <v>0.19</v>
      </c>
      <c r="N263" s="209">
        <v>0.19</v>
      </c>
      <c r="O263" s="209">
        <v>0.19</v>
      </c>
      <c r="P263" s="209">
        <v>0.19</v>
      </c>
      <c r="Q263" s="209">
        <v>0.19</v>
      </c>
      <c r="R263" s="209">
        <v>0.19</v>
      </c>
      <c r="S263" s="209">
        <v>0.19</v>
      </c>
      <c r="T263" s="209">
        <v>0.19</v>
      </c>
      <c r="U263" s="209">
        <v>0.19</v>
      </c>
      <c r="V263" s="209">
        <v>0.19</v>
      </c>
      <c r="W263" s="209">
        <v>0.19</v>
      </c>
      <c r="X263" s="209">
        <v>0.19</v>
      </c>
      <c r="Y263" s="209">
        <v>0.19</v>
      </c>
      <c r="Z263" s="209">
        <v>0.19</v>
      </c>
      <c r="AA263" s="209">
        <v>0.19</v>
      </c>
      <c r="AB263" s="209">
        <v>0.19</v>
      </c>
      <c r="AC263" s="209">
        <v>0.19</v>
      </c>
      <c r="AD263" s="209">
        <v>0.19</v>
      </c>
      <c r="AE263" s="209">
        <v>0.19</v>
      </c>
      <c r="AF263" s="220">
        <v>0.19</v>
      </c>
      <c r="AG263" s="436"/>
    </row>
    <row r="264" spans="1:33">
      <c r="A264" s="215" t="s">
        <v>942</v>
      </c>
      <c r="B264" s="232" t="s">
        <v>940</v>
      </c>
      <c r="C264" s="232">
        <v>2060</v>
      </c>
      <c r="D264" s="232" t="s">
        <v>680</v>
      </c>
      <c r="E264" s="209">
        <v>0.19</v>
      </c>
      <c r="F264" s="209">
        <v>0.19</v>
      </c>
      <c r="G264" s="209">
        <v>0.19</v>
      </c>
      <c r="H264" s="209">
        <v>0.19</v>
      </c>
      <c r="I264" s="209">
        <v>0.19</v>
      </c>
      <c r="J264" s="209">
        <v>0.19</v>
      </c>
      <c r="K264" s="209">
        <v>0.19</v>
      </c>
      <c r="L264" s="209">
        <v>0.19</v>
      </c>
      <c r="M264" s="209">
        <v>0.19</v>
      </c>
      <c r="N264" s="209">
        <v>0.19</v>
      </c>
      <c r="O264" s="209">
        <v>0.19</v>
      </c>
      <c r="P264" s="209">
        <v>0.19</v>
      </c>
      <c r="Q264" s="209">
        <v>0.19</v>
      </c>
      <c r="R264" s="209">
        <v>0.19</v>
      </c>
      <c r="S264" s="209">
        <v>0.19</v>
      </c>
      <c r="T264" s="209">
        <v>0.19</v>
      </c>
      <c r="U264" s="209">
        <v>0.19</v>
      </c>
      <c r="V264" s="209">
        <v>0.19</v>
      </c>
      <c r="W264" s="209">
        <v>0.19</v>
      </c>
      <c r="X264" s="209">
        <v>0.19</v>
      </c>
      <c r="Y264" s="209">
        <v>0.19</v>
      </c>
      <c r="Z264" s="209">
        <v>0.19</v>
      </c>
      <c r="AA264" s="209">
        <v>0.19</v>
      </c>
      <c r="AB264" s="209">
        <v>0.19</v>
      </c>
      <c r="AC264" s="209">
        <v>0.19</v>
      </c>
      <c r="AD264" s="209">
        <v>0.19</v>
      </c>
      <c r="AE264" s="209">
        <v>0.19</v>
      </c>
      <c r="AF264" s="220">
        <v>0.19</v>
      </c>
      <c r="AG264" s="436"/>
    </row>
    <row r="265" spans="1:33">
      <c r="A265" s="215" t="s">
        <v>942</v>
      </c>
      <c r="B265" s="232" t="s">
        <v>940</v>
      </c>
      <c r="C265" s="232">
        <v>2070</v>
      </c>
      <c r="D265" s="232" t="s">
        <v>680</v>
      </c>
      <c r="E265" s="209">
        <v>0.19</v>
      </c>
      <c r="F265" s="209">
        <v>0.19</v>
      </c>
      <c r="G265" s="209">
        <v>0.19</v>
      </c>
      <c r="H265" s="209">
        <v>0.19</v>
      </c>
      <c r="I265" s="209">
        <v>0.19</v>
      </c>
      <c r="J265" s="209">
        <v>0.19</v>
      </c>
      <c r="K265" s="209">
        <v>0.19</v>
      </c>
      <c r="L265" s="209">
        <v>0.19</v>
      </c>
      <c r="M265" s="209">
        <v>0.19</v>
      </c>
      <c r="N265" s="209">
        <v>0.19</v>
      </c>
      <c r="O265" s="209">
        <v>0.19</v>
      </c>
      <c r="P265" s="209">
        <v>0.19</v>
      </c>
      <c r="Q265" s="209">
        <v>0.19</v>
      </c>
      <c r="R265" s="209">
        <v>0.19</v>
      </c>
      <c r="S265" s="209">
        <v>0.19</v>
      </c>
      <c r="T265" s="209">
        <v>0.19</v>
      </c>
      <c r="U265" s="209">
        <v>0.19</v>
      </c>
      <c r="V265" s="209">
        <v>0.19</v>
      </c>
      <c r="W265" s="209">
        <v>0.19</v>
      </c>
      <c r="X265" s="209">
        <v>0.19</v>
      </c>
      <c r="Y265" s="209">
        <v>0.19</v>
      </c>
      <c r="Z265" s="209">
        <v>0.19</v>
      </c>
      <c r="AA265" s="209">
        <v>0.19</v>
      </c>
      <c r="AB265" s="209">
        <v>0.19</v>
      </c>
      <c r="AC265" s="209">
        <v>0.19</v>
      </c>
      <c r="AD265" s="209">
        <v>0.19</v>
      </c>
      <c r="AE265" s="209">
        <v>0.19</v>
      </c>
      <c r="AF265" s="220">
        <v>0.19</v>
      </c>
      <c r="AG265" s="436"/>
    </row>
    <row r="266" spans="1:33">
      <c r="A266" s="215" t="s">
        <v>942</v>
      </c>
      <c r="B266" s="232" t="s">
        <v>940</v>
      </c>
      <c r="C266" s="232">
        <v>2080</v>
      </c>
      <c r="D266" s="232" t="s">
        <v>680</v>
      </c>
      <c r="E266" s="209">
        <v>0.19</v>
      </c>
      <c r="F266" s="209">
        <v>0.19</v>
      </c>
      <c r="G266" s="209">
        <v>0.19</v>
      </c>
      <c r="H266" s="209">
        <v>0.19</v>
      </c>
      <c r="I266" s="209">
        <v>0.19</v>
      </c>
      <c r="J266" s="209">
        <v>0.19</v>
      </c>
      <c r="K266" s="209">
        <v>0.19</v>
      </c>
      <c r="L266" s="209">
        <v>0.19</v>
      </c>
      <c r="M266" s="209">
        <v>0.19</v>
      </c>
      <c r="N266" s="209">
        <v>0.19</v>
      </c>
      <c r="O266" s="209">
        <v>0.19</v>
      </c>
      <c r="P266" s="209">
        <v>0.19</v>
      </c>
      <c r="Q266" s="209">
        <v>0.19</v>
      </c>
      <c r="R266" s="209">
        <v>0.19</v>
      </c>
      <c r="S266" s="209">
        <v>0.19</v>
      </c>
      <c r="T266" s="209">
        <v>0.19</v>
      </c>
      <c r="U266" s="209">
        <v>0.19</v>
      </c>
      <c r="V266" s="209">
        <v>0.19</v>
      </c>
      <c r="W266" s="209">
        <v>0.19</v>
      </c>
      <c r="X266" s="209">
        <v>0.19</v>
      </c>
      <c r="Y266" s="209">
        <v>0.19</v>
      </c>
      <c r="Z266" s="209">
        <v>0.19</v>
      </c>
      <c r="AA266" s="209">
        <v>0.19</v>
      </c>
      <c r="AB266" s="209">
        <v>0.19</v>
      </c>
      <c r="AC266" s="209">
        <v>0.19</v>
      </c>
      <c r="AD266" s="209">
        <v>0.19</v>
      </c>
      <c r="AE266" s="209">
        <v>0.19</v>
      </c>
      <c r="AF266" s="220">
        <v>0.19</v>
      </c>
      <c r="AG266" s="436"/>
    </row>
    <row r="267" spans="1:33">
      <c r="A267" s="215" t="s">
        <v>942</v>
      </c>
      <c r="B267" s="232" t="s">
        <v>940</v>
      </c>
      <c r="C267" s="232">
        <v>2090</v>
      </c>
      <c r="D267" s="232" t="s">
        <v>680</v>
      </c>
      <c r="E267" s="209">
        <v>0.19</v>
      </c>
      <c r="F267" s="209">
        <v>0.19</v>
      </c>
      <c r="G267" s="209">
        <v>0.19</v>
      </c>
      <c r="H267" s="209">
        <v>0.19</v>
      </c>
      <c r="I267" s="209">
        <v>0.19</v>
      </c>
      <c r="J267" s="209">
        <v>0.19</v>
      </c>
      <c r="K267" s="209">
        <v>0.19</v>
      </c>
      <c r="L267" s="209">
        <v>0.19</v>
      </c>
      <c r="M267" s="209">
        <v>0.19</v>
      </c>
      <c r="N267" s="209">
        <v>0.19</v>
      </c>
      <c r="O267" s="209">
        <v>0.19</v>
      </c>
      <c r="P267" s="209">
        <v>0.19</v>
      </c>
      <c r="Q267" s="209">
        <v>0.19</v>
      </c>
      <c r="R267" s="209">
        <v>0.19</v>
      </c>
      <c r="S267" s="209">
        <v>0.19</v>
      </c>
      <c r="T267" s="209">
        <v>0.19</v>
      </c>
      <c r="U267" s="209">
        <v>0.19</v>
      </c>
      <c r="V267" s="209">
        <v>0.19</v>
      </c>
      <c r="W267" s="209">
        <v>0.19</v>
      </c>
      <c r="X267" s="209">
        <v>0.19</v>
      </c>
      <c r="Y267" s="209">
        <v>0.19</v>
      </c>
      <c r="Z267" s="209">
        <v>0.19</v>
      </c>
      <c r="AA267" s="209">
        <v>0.19</v>
      </c>
      <c r="AB267" s="209">
        <v>0.19</v>
      </c>
      <c r="AC267" s="209">
        <v>0.19</v>
      </c>
      <c r="AD267" s="209">
        <v>0.19</v>
      </c>
      <c r="AE267" s="209">
        <v>0.19</v>
      </c>
      <c r="AF267" s="220">
        <v>0.19</v>
      </c>
      <c r="AG267" s="436"/>
    </row>
    <row r="268" spans="1:33">
      <c r="A268" s="229" t="s">
        <v>942</v>
      </c>
      <c r="B268" s="235" t="s">
        <v>940</v>
      </c>
      <c r="C268" s="235">
        <v>2100</v>
      </c>
      <c r="D268" s="235" t="s">
        <v>680</v>
      </c>
      <c r="E268" s="226">
        <v>0.19</v>
      </c>
      <c r="F268" s="226">
        <v>0.19</v>
      </c>
      <c r="G268" s="226">
        <v>0.19</v>
      </c>
      <c r="H268" s="226">
        <v>0.19</v>
      </c>
      <c r="I268" s="226">
        <v>0.19</v>
      </c>
      <c r="J268" s="226">
        <v>0.19</v>
      </c>
      <c r="K268" s="226">
        <v>0.19</v>
      </c>
      <c r="L268" s="226">
        <v>0.19</v>
      </c>
      <c r="M268" s="226">
        <v>0.19</v>
      </c>
      <c r="N268" s="226">
        <v>0.19</v>
      </c>
      <c r="O268" s="226">
        <v>0.19</v>
      </c>
      <c r="P268" s="226">
        <v>0.19</v>
      </c>
      <c r="Q268" s="226">
        <v>0.19</v>
      </c>
      <c r="R268" s="226">
        <v>0.19</v>
      </c>
      <c r="S268" s="226">
        <v>0.19</v>
      </c>
      <c r="T268" s="226">
        <v>0.19</v>
      </c>
      <c r="U268" s="226">
        <v>0.19</v>
      </c>
      <c r="V268" s="226">
        <v>0.19</v>
      </c>
      <c r="W268" s="226">
        <v>0.19</v>
      </c>
      <c r="X268" s="226">
        <v>0.19</v>
      </c>
      <c r="Y268" s="226">
        <v>0.19</v>
      </c>
      <c r="Z268" s="226">
        <v>0.19</v>
      </c>
      <c r="AA268" s="226">
        <v>0.19</v>
      </c>
      <c r="AB268" s="226">
        <v>0.19</v>
      </c>
      <c r="AC268" s="226">
        <v>0.19</v>
      </c>
      <c r="AD268" s="226">
        <v>0.19</v>
      </c>
      <c r="AE268" s="226">
        <v>0.19</v>
      </c>
      <c r="AF268" s="224">
        <v>0.19</v>
      </c>
      <c r="AG268" s="437"/>
    </row>
    <row r="269" spans="1:33">
      <c r="A269" t="s">
        <v>942</v>
      </c>
      <c r="B269" s="231" t="s">
        <v>941</v>
      </c>
      <c r="C269" s="232">
        <v>2019</v>
      </c>
      <c r="D269" s="231" t="s">
        <v>680</v>
      </c>
      <c r="E269" s="209">
        <v>0.28499999999999998</v>
      </c>
      <c r="F269" s="209">
        <v>0.28499999999999998</v>
      </c>
      <c r="G269" s="209">
        <v>0.28499999999999998</v>
      </c>
      <c r="H269" s="209">
        <v>0.28499999999999998</v>
      </c>
      <c r="I269" s="209">
        <v>0.28499999999999998</v>
      </c>
      <c r="J269" s="209">
        <v>0.28499999999999998</v>
      </c>
      <c r="K269" s="209">
        <v>0.28499999999999998</v>
      </c>
      <c r="L269" s="209">
        <v>0.28499999999999998</v>
      </c>
      <c r="M269" s="209">
        <v>0.28499999999999998</v>
      </c>
      <c r="N269" s="209">
        <v>0.28499999999999998</v>
      </c>
      <c r="O269" s="209">
        <v>0.28499999999999998</v>
      </c>
      <c r="P269" s="209">
        <v>0.28499999999999998</v>
      </c>
      <c r="Q269" s="209">
        <v>0.28499999999999998</v>
      </c>
      <c r="R269" s="209">
        <v>0.28499999999999998</v>
      </c>
      <c r="S269" s="209">
        <v>0.28499999999999998</v>
      </c>
      <c r="T269" s="209">
        <v>0.28499999999999998</v>
      </c>
      <c r="U269" s="209">
        <v>0.28499999999999998</v>
      </c>
      <c r="V269" s="209">
        <v>0.28499999999999998</v>
      </c>
      <c r="W269" s="209">
        <v>0.28499999999999998</v>
      </c>
      <c r="X269" s="209">
        <v>0.28499999999999998</v>
      </c>
      <c r="Y269" s="209">
        <v>0.28499999999999998</v>
      </c>
      <c r="Z269" s="209">
        <v>0.28499999999999998</v>
      </c>
      <c r="AA269" s="209">
        <v>0.28499999999999998</v>
      </c>
      <c r="AB269" s="209">
        <v>0.28499999999999998</v>
      </c>
      <c r="AC269" s="209">
        <v>0.28499999999999998</v>
      </c>
      <c r="AD269" s="209">
        <v>0.28499999999999998</v>
      </c>
      <c r="AE269" s="209">
        <v>0.28499999999999998</v>
      </c>
      <c r="AF269" s="209">
        <v>0.28499999999999998</v>
      </c>
      <c r="AG269" s="453"/>
    </row>
    <row r="270" spans="1:33">
      <c r="A270" s="215" t="s">
        <v>942</v>
      </c>
      <c r="B270" s="232" t="s">
        <v>941</v>
      </c>
      <c r="C270">
        <v>2020</v>
      </c>
      <c r="D270" s="232" t="s">
        <v>680</v>
      </c>
      <c r="E270" s="209">
        <v>0.28499999999999998</v>
      </c>
      <c r="F270" s="209">
        <v>0.28499999999999998</v>
      </c>
      <c r="G270" s="209">
        <v>0.28499999999999998</v>
      </c>
      <c r="H270" s="209">
        <v>0.28499999999999998</v>
      </c>
      <c r="I270" s="209">
        <v>0.28499999999999998</v>
      </c>
      <c r="J270" s="209">
        <v>0.28499999999999998</v>
      </c>
      <c r="K270" s="209">
        <v>0.28499999999999998</v>
      </c>
      <c r="L270" s="209">
        <v>0.28499999999999998</v>
      </c>
      <c r="M270" s="209">
        <v>0.28499999999999998</v>
      </c>
      <c r="N270" s="209">
        <v>0.28499999999999998</v>
      </c>
      <c r="O270" s="209">
        <v>0.28499999999999998</v>
      </c>
      <c r="P270" s="209">
        <v>0.28499999999999998</v>
      </c>
      <c r="Q270" s="209">
        <v>0.28499999999999998</v>
      </c>
      <c r="R270" s="209">
        <v>0.28499999999999998</v>
      </c>
      <c r="S270" s="209">
        <v>0.28499999999999998</v>
      </c>
      <c r="T270" s="209">
        <v>0.28499999999999998</v>
      </c>
      <c r="U270" s="209">
        <v>0.28499999999999998</v>
      </c>
      <c r="V270" s="209">
        <v>0.28499999999999998</v>
      </c>
      <c r="W270" s="209">
        <v>0.28499999999999998</v>
      </c>
      <c r="X270" s="209">
        <v>0.28499999999999998</v>
      </c>
      <c r="Y270" s="209">
        <v>0.28499999999999998</v>
      </c>
      <c r="Z270" s="209">
        <v>0.28499999999999998</v>
      </c>
      <c r="AA270" s="209">
        <v>0.28499999999999998</v>
      </c>
      <c r="AB270" s="209">
        <v>0.28499999999999998</v>
      </c>
      <c r="AC270" s="209">
        <v>0.28499999999999998</v>
      </c>
      <c r="AD270" s="209">
        <v>0.28499999999999998</v>
      </c>
      <c r="AE270" s="209">
        <v>0.28499999999999998</v>
      </c>
      <c r="AF270" s="220">
        <v>0.28499999999999998</v>
      </c>
      <c r="AG270" s="436"/>
    </row>
    <row r="271" spans="1:33">
      <c r="A271" s="215" t="s">
        <v>942</v>
      </c>
      <c r="B271" s="232" t="s">
        <v>941</v>
      </c>
      <c r="C271" s="232">
        <v>2025</v>
      </c>
      <c r="D271" s="232" t="s">
        <v>680</v>
      </c>
      <c r="E271" s="209">
        <v>0.28499999999999998</v>
      </c>
      <c r="F271" s="209">
        <v>0.28499999999999998</v>
      </c>
      <c r="G271" s="209">
        <v>0.28499999999999998</v>
      </c>
      <c r="H271" s="209">
        <v>0.28499999999999998</v>
      </c>
      <c r="I271" s="209">
        <v>0.28499999999999998</v>
      </c>
      <c r="J271" s="209">
        <v>0.28499999999999998</v>
      </c>
      <c r="K271" s="209">
        <v>0.28499999999999998</v>
      </c>
      <c r="L271" s="209">
        <v>0.28499999999999998</v>
      </c>
      <c r="M271" s="209">
        <v>0.28499999999999998</v>
      </c>
      <c r="N271" s="209">
        <v>0.28499999999999998</v>
      </c>
      <c r="O271" s="209">
        <v>0.28499999999999998</v>
      </c>
      <c r="P271" s="209">
        <v>0.28499999999999998</v>
      </c>
      <c r="Q271" s="209">
        <v>0.28499999999999998</v>
      </c>
      <c r="R271" s="209">
        <v>0.28499999999999998</v>
      </c>
      <c r="S271" s="209">
        <v>0.28499999999999998</v>
      </c>
      <c r="T271" s="209">
        <v>0.28499999999999998</v>
      </c>
      <c r="U271" s="209">
        <v>0.28499999999999998</v>
      </c>
      <c r="V271" s="209">
        <v>0.28499999999999998</v>
      </c>
      <c r="W271" s="209">
        <v>0.28499999999999998</v>
      </c>
      <c r="X271" s="209">
        <v>0.28499999999999998</v>
      </c>
      <c r="Y271" s="209">
        <v>0.28499999999999998</v>
      </c>
      <c r="Z271" s="209">
        <v>0.28499999999999998</v>
      </c>
      <c r="AA271" s="209">
        <v>0.28499999999999998</v>
      </c>
      <c r="AB271" s="209">
        <v>0.28499999999999998</v>
      </c>
      <c r="AC271" s="209">
        <v>0.28499999999999998</v>
      </c>
      <c r="AD271" s="209">
        <v>0.28499999999999998</v>
      </c>
      <c r="AE271" s="209">
        <v>0.28499999999999998</v>
      </c>
      <c r="AF271" s="220">
        <v>0.28499999999999998</v>
      </c>
      <c r="AG271" s="436"/>
    </row>
    <row r="272" spans="1:33">
      <c r="A272" s="215" t="s">
        <v>942</v>
      </c>
      <c r="B272" s="232" t="s">
        <v>941</v>
      </c>
      <c r="C272" s="232">
        <v>2030</v>
      </c>
      <c r="D272" s="232" t="s">
        <v>680</v>
      </c>
      <c r="E272" s="209">
        <v>0.28499999999999998</v>
      </c>
      <c r="F272" s="209">
        <v>0.28499999999999998</v>
      </c>
      <c r="G272" s="209">
        <v>0.28499999999999998</v>
      </c>
      <c r="H272" s="209">
        <v>0.28499999999999998</v>
      </c>
      <c r="I272" s="209">
        <v>0.28499999999999998</v>
      </c>
      <c r="J272" s="209">
        <v>0.28499999999999998</v>
      </c>
      <c r="K272" s="209">
        <v>0.28499999999999998</v>
      </c>
      <c r="L272" s="209">
        <v>0.28499999999999998</v>
      </c>
      <c r="M272" s="209">
        <v>0.28499999999999998</v>
      </c>
      <c r="N272" s="209">
        <v>0.28499999999999998</v>
      </c>
      <c r="O272" s="209">
        <v>0.28499999999999998</v>
      </c>
      <c r="P272" s="209">
        <v>0.28499999999999998</v>
      </c>
      <c r="Q272" s="209">
        <v>0.28499999999999998</v>
      </c>
      <c r="R272" s="209">
        <v>0.28499999999999998</v>
      </c>
      <c r="S272" s="209">
        <v>0.28499999999999998</v>
      </c>
      <c r="T272" s="209">
        <v>0.28499999999999998</v>
      </c>
      <c r="U272" s="209">
        <v>0.28499999999999998</v>
      </c>
      <c r="V272" s="209">
        <v>0.28499999999999998</v>
      </c>
      <c r="W272" s="209">
        <v>0.28499999999999998</v>
      </c>
      <c r="X272" s="209">
        <v>0.28499999999999998</v>
      </c>
      <c r="Y272" s="209">
        <v>0.28499999999999998</v>
      </c>
      <c r="Z272" s="209">
        <v>0.28499999999999998</v>
      </c>
      <c r="AA272" s="209">
        <v>0.28499999999999998</v>
      </c>
      <c r="AB272" s="209">
        <v>0.28499999999999998</v>
      </c>
      <c r="AC272" s="209">
        <v>0.28499999999999998</v>
      </c>
      <c r="AD272" s="209">
        <v>0.28499999999999998</v>
      </c>
      <c r="AE272" s="209">
        <v>0.28499999999999998</v>
      </c>
      <c r="AF272" s="220">
        <v>0.28499999999999998</v>
      </c>
      <c r="AG272" s="436"/>
    </row>
    <row r="273" spans="1:33">
      <c r="A273" s="215" t="s">
        <v>942</v>
      </c>
      <c r="B273" s="232" t="s">
        <v>941</v>
      </c>
      <c r="C273" s="232">
        <v>2035</v>
      </c>
      <c r="D273" s="232" t="s">
        <v>680</v>
      </c>
      <c r="E273" s="209">
        <v>0.28499999999999998</v>
      </c>
      <c r="F273" s="209">
        <v>0.28499999999999998</v>
      </c>
      <c r="G273" s="209">
        <v>0.28499999999999998</v>
      </c>
      <c r="H273" s="209">
        <v>0.28499999999999998</v>
      </c>
      <c r="I273" s="209">
        <v>0.28499999999999998</v>
      </c>
      <c r="J273" s="209">
        <v>0.28499999999999998</v>
      </c>
      <c r="K273" s="209">
        <v>0.28499999999999998</v>
      </c>
      <c r="L273" s="209">
        <v>0.28499999999999998</v>
      </c>
      <c r="M273" s="209">
        <v>0.28499999999999998</v>
      </c>
      <c r="N273" s="209">
        <v>0.28499999999999998</v>
      </c>
      <c r="O273" s="209">
        <v>0.28499999999999998</v>
      </c>
      <c r="P273" s="209">
        <v>0.28499999999999998</v>
      </c>
      <c r="Q273" s="209">
        <v>0.28499999999999998</v>
      </c>
      <c r="R273" s="209">
        <v>0.28499999999999998</v>
      </c>
      <c r="S273" s="209">
        <v>0.28499999999999998</v>
      </c>
      <c r="T273" s="209">
        <v>0.28499999999999998</v>
      </c>
      <c r="U273" s="209">
        <v>0.28499999999999998</v>
      </c>
      <c r="V273" s="209">
        <v>0.28499999999999998</v>
      </c>
      <c r="W273" s="209">
        <v>0.28499999999999998</v>
      </c>
      <c r="X273" s="209">
        <v>0.28499999999999998</v>
      </c>
      <c r="Y273" s="209">
        <v>0.28499999999999998</v>
      </c>
      <c r="Z273" s="209">
        <v>0.28499999999999998</v>
      </c>
      <c r="AA273" s="209">
        <v>0.28499999999999998</v>
      </c>
      <c r="AB273" s="209">
        <v>0.28499999999999998</v>
      </c>
      <c r="AC273" s="209">
        <v>0.28499999999999998</v>
      </c>
      <c r="AD273" s="209">
        <v>0.28499999999999998</v>
      </c>
      <c r="AE273" s="209">
        <v>0.28499999999999998</v>
      </c>
      <c r="AF273" s="220">
        <v>0.28499999999999998</v>
      </c>
      <c r="AG273" s="436"/>
    </row>
    <row r="274" spans="1:33">
      <c r="A274" s="215" t="s">
        <v>942</v>
      </c>
      <c r="B274" s="232" t="s">
        <v>941</v>
      </c>
      <c r="C274" s="232">
        <v>2040</v>
      </c>
      <c r="D274" s="232" t="s">
        <v>680</v>
      </c>
      <c r="E274" s="209">
        <v>0.28499999999999998</v>
      </c>
      <c r="F274" s="209">
        <v>0.28499999999999998</v>
      </c>
      <c r="G274" s="209">
        <v>0.28499999999999998</v>
      </c>
      <c r="H274" s="209">
        <v>0.28499999999999998</v>
      </c>
      <c r="I274" s="209">
        <v>0.28499999999999998</v>
      </c>
      <c r="J274" s="209">
        <v>0.28499999999999998</v>
      </c>
      <c r="K274" s="209">
        <v>0.28499999999999998</v>
      </c>
      <c r="L274" s="209">
        <v>0.28499999999999998</v>
      </c>
      <c r="M274" s="209">
        <v>0.28499999999999998</v>
      </c>
      <c r="N274" s="209">
        <v>0.28499999999999998</v>
      </c>
      <c r="O274" s="209">
        <v>0.28499999999999998</v>
      </c>
      <c r="P274" s="209">
        <v>0.28499999999999998</v>
      </c>
      <c r="Q274" s="209">
        <v>0.28499999999999998</v>
      </c>
      <c r="R274" s="209">
        <v>0.28499999999999998</v>
      </c>
      <c r="S274" s="209">
        <v>0.28499999999999998</v>
      </c>
      <c r="T274" s="209">
        <v>0.28499999999999998</v>
      </c>
      <c r="U274" s="209">
        <v>0.28499999999999998</v>
      </c>
      <c r="V274" s="209">
        <v>0.28499999999999998</v>
      </c>
      <c r="W274" s="209">
        <v>0.28499999999999998</v>
      </c>
      <c r="X274" s="209">
        <v>0.28499999999999998</v>
      </c>
      <c r="Y274" s="209">
        <v>0.28499999999999998</v>
      </c>
      <c r="Z274" s="209">
        <v>0.28499999999999998</v>
      </c>
      <c r="AA274" s="209">
        <v>0.28499999999999998</v>
      </c>
      <c r="AB274" s="209">
        <v>0.28499999999999998</v>
      </c>
      <c r="AC274" s="209">
        <v>0.28499999999999998</v>
      </c>
      <c r="AD274" s="209">
        <v>0.28499999999999998</v>
      </c>
      <c r="AE274" s="209">
        <v>0.28499999999999998</v>
      </c>
      <c r="AF274" s="220">
        <v>0.28499999999999998</v>
      </c>
      <c r="AG274" s="436"/>
    </row>
    <row r="275" spans="1:33">
      <c r="A275" s="215" t="s">
        <v>942</v>
      </c>
      <c r="B275" s="232" t="s">
        <v>941</v>
      </c>
      <c r="C275" s="232">
        <v>2045</v>
      </c>
      <c r="D275" s="232" t="s">
        <v>680</v>
      </c>
      <c r="E275" s="209">
        <v>0.28499999999999998</v>
      </c>
      <c r="F275" s="209">
        <v>0.28499999999999998</v>
      </c>
      <c r="G275" s="209">
        <v>0.28499999999999998</v>
      </c>
      <c r="H275" s="209">
        <v>0.28499999999999998</v>
      </c>
      <c r="I275" s="209">
        <v>0.28499999999999998</v>
      </c>
      <c r="J275" s="209">
        <v>0.28499999999999998</v>
      </c>
      <c r="K275" s="209">
        <v>0.28499999999999998</v>
      </c>
      <c r="L275" s="209">
        <v>0.28499999999999998</v>
      </c>
      <c r="M275" s="209">
        <v>0.28499999999999998</v>
      </c>
      <c r="N275" s="209">
        <v>0.28499999999999998</v>
      </c>
      <c r="O275" s="209">
        <v>0.28499999999999998</v>
      </c>
      <c r="P275" s="209">
        <v>0.28499999999999998</v>
      </c>
      <c r="Q275" s="209">
        <v>0.28499999999999998</v>
      </c>
      <c r="R275" s="209">
        <v>0.28499999999999998</v>
      </c>
      <c r="S275" s="209">
        <v>0.28499999999999998</v>
      </c>
      <c r="T275" s="209">
        <v>0.28499999999999998</v>
      </c>
      <c r="U275" s="209">
        <v>0.28499999999999998</v>
      </c>
      <c r="V275" s="209">
        <v>0.28499999999999998</v>
      </c>
      <c r="W275" s="209">
        <v>0.28499999999999998</v>
      </c>
      <c r="X275" s="209">
        <v>0.28499999999999998</v>
      </c>
      <c r="Y275" s="209">
        <v>0.28499999999999998</v>
      </c>
      <c r="Z275" s="209">
        <v>0.28499999999999998</v>
      </c>
      <c r="AA275" s="209">
        <v>0.28499999999999998</v>
      </c>
      <c r="AB275" s="209">
        <v>0.28499999999999998</v>
      </c>
      <c r="AC275" s="209">
        <v>0.28499999999999998</v>
      </c>
      <c r="AD275" s="209">
        <v>0.28499999999999998</v>
      </c>
      <c r="AE275" s="209">
        <v>0.28499999999999998</v>
      </c>
      <c r="AF275" s="220">
        <v>0.28499999999999998</v>
      </c>
      <c r="AG275" s="436"/>
    </row>
    <row r="276" spans="1:33">
      <c r="A276" s="215" t="s">
        <v>942</v>
      </c>
      <c r="B276" s="232" t="s">
        <v>941</v>
      </c>
      <c r="C276" s="232">
        <v>2050</v>
      </c>
      <c r="D276" s="232" t="s">
        <v>680</v>
      </c>
      <c r="E276" s="209">
        <v>0.28499999999999998</v>
      </c>
      <c r="F276" s="209">
        <v>0.28499999999999998</v>
      </c>
      <c r="G276" s="209">
        <v>0.28499999999999998</v>
      </c>
      <c r="H276" s="209">
        <v>0.28499999999999998</v>
      </c>
      <c r="I276" s="209">
        <v>0.28499999999999998</v>
      </c>
      <c r="J276" s="209">
        <v>0.28499999999999998</v>
      </c>
      <c r="K276" s="209">
        <v>0.28499999999999998</v>
      </c>
      <c r="L276" s="209">
        <v>0.28499999999999998</v>
      </c>
      <c r="M276" s="209">
        <v>0.28499999999999998</v>
      </c>
      <c r="N276" s="209">
        <v>0.28499999999999998</v>
      </c>
      <c r="O276" s="209">
        <v>0.28499999999999998</v>
      </c>
      <c r="P276" s="209">
        <v>0.28499999999999998</v>
      </c>
      <c r="Q276" s="209">
        <v>0.28499999999999998</v>
      </c>
      <c r="R276" s="209">
        <v>0.28499999999999998</v>
      </c>
      <c r="S276" s="209">
        <v>0.28499999999999998</v>
      </c>
      <c r="T276" s="209">
        <v>0.28499999999999998</v>
      </c>
      <c r="U276" s="209">
        <v>0.28499999999999998</v>
      </c>
      <c r="V276" s="209">
        <v>0.28499999999999998</v>
      </c>
      <c r="W276" s="209">
        <v>0.28499999999999998</v>
      </c>
      <c r="X276" s="209">
        <v>0.28499999999999998</v>
      </c>
      <c r="Y276" s="209">
        <v>0.28499999999999998</v>
      </c>
      <c r="Z276" s="209">
        <v>0.28499999999999998</v>
      </c>
      <c r="AA276" s="209">
        <v>0.28499999999999998</v>
      </c>
      <c r="AB276" s="209">
        <v>0.28499999999999998</v>
      </c>
      <c r="AC276" s="209">
        <v>0.28499999999999998</v>
      </c>
      <c r="AD276" s="209">
        <v>0.28499999999999998</v>
      </c>
      <c r="AE276" s="209">
        <v>0.28499999999999998</v>
      </c>
      <c r="AF276" s="220">
        <v>0.28499999999999998</v>
      </c>
      <c r="AG276" s="436"/>
    </row>
    <row r="277" spans="1:33">
      <c r="A277" s="215" t="s">
        <v>942</v>
      </c>
      <c r="B277" s="232" t="s">
        <v>941</v>
      </c>
      <c r="C277" s="232">
        <v>2060</v>
      </c>
      <c r="D277" s="232" t="s">
        <v>680</v>
      </c>
      <c r="E277" s="209">
        <v>0.28499999999999998</v>
      </c>
      <c r="F277" s="209">
        <v>0.28499999999999998</v>
      </c>
      <c r="G277" s="209">
        <v>0.28499999999999998</v>
      </c>
      <c r="H277" s="209">
        <v>0.28499999999999998</v>
      </c>
      <c r="I277" s="209">
        <v>0.28499999999999998</v>
      </c>
      <c r="J277" s="209">
        <v>0.28499999999999998</v>
      </c>
      <c r="K277" s="209">
        <v>0.28499999999999998</v>
      </c>
      <c r="L277" s="209">
        <v>0.28499999999999998</v>
      </c>
      <c r="M277" s="209">
        <v>0.28499999999999998</v>
      </c>
      <c r="N277" s="209">
        <v>0.28499999999999998</v>
      </c>
      <c r="O277" s="209">
        <v>0.28499999999999998</v>
      </c>
      <c r="P277" s="209">
        <v>0.28499999999999998</v>
      </c>
      <c r="Q277" s="209">
        <v>0.28499999999999998</v>
      </c>
      <c r="R277" s="209">
        <v>0.28499999999999998</v>
      </c>
      <c r="S277" s="209">
        <v>0.28499999999999998</v>
      </c>
      <c r="T277" s="209">
        <v>0.28499999999999998</v>
      </c>
      <c r="U277" s="209">
        <v>0.28499999999999998</v>
      </c>
      <c r="V277" s="209">
        <v>0.28499999999999998</v>
      </c>
      <c r="W277" s="209">
        <v>0.28499999999999998</v>
      </c>
      <c r="X277" s="209">
        <v>0.28499999999999998</v>
      </c>
      <c r="Y277" s="209">
        <v>0.28499999999999998</v>
      </c>
      <c r="Z277" s="209">
        <v>0.28499999999999998</v>
      </c>
      <c r="AA277" s="209">
        <v>0.28499999999999998</v>
      </c>
      <c r="AB277" s="209">
        <v>0.28499999999999998</v>
      </c>
      <c r="AC277" s="209">
        <v>0.28499999999999998</v>
      </c>
      <c r="AD277" s="209">
        <v>0.28499999999999998</v>
      </c>
      <c r="AE277" s="209">
        <v>0.28499999999999998</v>
      </c>
      <c r="AF277" s="220">
        <v>0.28499999999999998</v>
      </c>
      <c r="AG277" s="436"/>
    </row>
    <row r="278" spans="1:33">
      <c r="A278" s="215" t="s">
        <v>942</v>
      </c>
      <c r="B278" s="232" t="s">
        <v>941</v>
      </c>
      <c r="C278" s="232">
        <v>2070</v>
      </c>
      <c r="D278" s="232" t="s">
        <v>680</v>
      </c>
      <c r="E278" s="209">
        <v>0.28499999999999998</v>
      </c>
      <c r="F278" s="209">
        <v>0.28499999999999998</v>
      </c>
      <c r="G278" s="209">
        <v>0.28499999999999998</v>
      </c>
      <c r="H278" s="209">
        <v>0.28499999999999998</v>
      </c>
      <c r="I278" s="209">
        <v>0.28499999999999998</v>
      </c>
      <c r="J278" s="209">
        <v>0.28499999999999998</v>
      </c>
      <c r="K278" s="209">
        <v>0.28499999999999998</v>
      </c>
      <c r="L278" s="209">
        <v>0.28499999999999998</v>
      </c>
      <c r="M278" s="209">
        <v>0.28499999999999998</v>
      </c>
      <c r="N278" s="209">
        <v>0.28499999999999998</v>
      </c>
      <c r="O278" s="209">
        <v>0.28499999999999998</v>
      </c>
      <c r="P278" s="209">
        <v>0.28499999999999998</v>
      </c>
      <c r="Q278" s="209">
        <v>0.28499999999999998</v>
      </c>
      <c r="R278" s="209">
        <v>0.28499999999999998</v>
      </c>
      <c r="S278" s="209">
        <v>0.28499999999999998</v>
      </c>
      <c r="T278" s="209">
        <v>0.28499999999999998</v>
      </c>
      <c r="U278" s="209">
        <v>0.28499999999999998</v>
      </c>
      <c r="V278" s="209">
        <v>0.28499999999999998</v>
      </c>
      <c r="W278" s="209">
        <v>0.28499999999999998</v>
      </c>
      <c r="X278" s="209">
        <v>0.28499999999999998</v>
      </c>
      <c r="Y278" s="209">
        <v>0.28499999999999998</v>
      </c>
      <c r="Z278" s="209">
        <v>0.28499999999999998</v>
      </c>
      <c r="AA278" s="209">
        <v>0.28499999999999998</v>
      </c>
      <c r="AB278" s="209">
        <v>0.28499999999999998</v>
      </c>
      <c r="AC278" s="209">
        <v>0.28499999999999998</v>
      </c>
      <c r="AD278" s="209">
        <v>0.28499999999999998</v>
      </c>
      <c r="AE278" s="209">
        <v>0.28499999999999998</v>
      </c>
      <c r="AF278" s="220">
        <v>0.28499999999999998</v>
      </c>
      <c r="AG278" s="436"/>
    </row>
    <row r="279" spans="1:33">
      <c r="A279" s="215" t="s">
        <v>942</v>
      </c>
      <c r="B279" s="232" t="s">
        <v>941</v>
      </c>
      <c r="C279" s="232">
        <v>2080</v>
      </c>
      <c r="D279" s="232" t="s">
        <v>680</v>
      </c>
      <c r="E279" s="209">
        <v>0.28499999999999998</v>
      </c>
      <c r="F279" s="209">
        <v>0.28499999999999998</v>
      </c>
      <c r="G279" s="209">
        <v>0.28499999999999998</v>
      </c>
      <c r="H279" s="209">
        <v>0.28499999999999998</v>
      </c>
      <c r="I279" s="209">
        <v>0.28499999999999998</v>
      </c>
      <c r="J279" s="209">
        <v>0.28499999999999998</v>
      </c>
      <c r="K279" s="209">
        <v>0.28499999999999998</v>
      </c>
      <c r="L279" s="209">
        <v>0.28499999999999998</v>
      </c>
      <c r="M279" s="209">
        <v>0.28499999999999998</v>
      </c>
      <c r="N279" s="209">
        <v>0.28499999999999998</v>
      </c>
      <c r="O279" s="209">
        <v>0.28499999999999998</v>
      </c>
      <c r="P279" s="209">
        <v>0.28499999999999998</v>
      </c>
      <c r="Q279" s="209">
        <v>0.28499999999999998</v>
      </c>
      <c r="R279" s="209">
        <v>0.28499999999999998</v>
      </c>
      <c r="S279" s="209">
        <v>0.28499999999999998</v>
      </c>
      <c r="T279" s="209">
        <v>0.28499999999999998</v>
      </c>
      <c r="U279" s="209">
        <v>0.28499999999999998</v>
      </c>
      <c r="V279" s="209">
        <v>0.28499999999999998</v>
      </c>
      <c r="W279" s="209">
        <v>0.28499999999999998</v>
      </c>
      <c r="X279" s="209">
        <v>0.28499999999999998</v>
      </c>
      <c r="Y279" s="209">
        <v>0.28499999999999998</v>
      </c>
      <c r="Z279" s="209">
        <v>0.28499999999999998</v>
      </c>
      <c r="AA279" s="209">
        <v>0.28499999999999998</v>
      </c>
      <c r="AB279" s="209">
        <v>0.28499999999999998</v>
      </c>
      <c r="AC279" s="209">
        <v>0.28499999999999998</v>
      </c>
      <c r="AD279" s="209">
        <v>0.28499999999999998</v>
      </c>
      <c r="AE279" s="209">
        <v>0.28499999999999998</v>
      </c>
      <c r="AF279" s="220">
        <v>0.28499999999999998</v>
      </c>
      <c r="AG279" s="436"/>
    </row>
    <row r="280" spans="1:33">
      <c r="A280" s="215" t="s">
        <v>942</v>
      </c>
      <c r="B280" s="232" t="s">
        <v>941</v>
      </c>
      <c r="C280" s="232">
        <v>2090</v>
      </c>
      <c r="D280" s="232" t="s">
        <v>680</v>
      </c>
      <c r="E280" s="209">
        <v>0.28499999999999998</v>
      </c>
      <c r="F280" s="209">
        <v>0.28499999999999998</v>
      </c>
      <c r="G280" s="209">
        <v>0.28499999999999998</v>
      </c>
      <c r="H280" s="209">
        <v>0.28499999999999998</v>
      </c>
      <c r="I280" s="209">
        <v>0.28499999999999998</v>
      </c>
      <c r="J280" s="209">
        <v>0.28499999999999998</v>
      </c>
      <c r="K280" s="209">
        <v>0.28499999999999998</v>
      </c>
      <c r="L280" s="209">
        <v>0.28499999999999998</v>
      </c>
      <c r="M280" s="209">
        <v>0.28499999999999998</v>
      </c>
      <c r="N280" s="209">
        <v>0.28499999999999998</v>
      </c>
      <c r="O280" s="209">
        <v>0.28499999999999998</v>
      </c>
      <c r="P280" s="209">
        <v>0.28499999999999998</v>
      </c>
      <c r="Q280" s="209">
        <v>0.28499999999999998</v>
      </c>
      <c r="R280" s="209">
        <v>0.28499999999999998</v>
      </c>
      <c r="S280" s="209">
        <v>0.28499999999999998</v>
      </c>
      <c r="T280" s="209">
        <v>0.28499999999999998</v>
      </c>
      <c r="U280" s="209">
        <v>0.28499999999999998</v>
      </c>
      <c r="V280" s="209">
        <v>0.28499999999999998</v>
      </c>
      <c r="W280" s="209">
        <v>0.28499999999999998</v>
      </c>
      <c r="X280" s="209">
        <v>0.28499999999999998</v>
      </c>
      <c r="Y280" s="209">
        <v>0.28499999999999998</v>
      </c>
      <c r="Z280" s="209">
        <v>0.28499999999999998</v>
      </c>
      <c r="AA280" s="209">
        <v>0.28499999999999998</v>
      </c>
      <c r="AB280" s="209">
        <v>0.28499999999999998</v>
      </c>
      <c r="AC280" s="209">
        <v>0.28499999999999998</v>
      </c>
      <c r="AD280" s="209">
        <v>0.28499999999999998</v>
      </c>
      <c r="AE280" s="209">
        <v>0.28499999999999998</v>
      </c>
      <c r="AF280" s="220">
        <v>0.28499999999999998</v>
      </c>
      <c r="AG280" s="436"/>
    </row>
    <row r="281" spans="1:33" ht="16.2" thickBot="1">
      <c r="A281" s="449" t="s">
        <v>942</v>
      </c>
      <c r="B281" s="450" t="s">
        <v>941</v>
      </c>
      <c r="C281" s="450">
        <v>2100</v>
      </c>
      <c r="D281" s="450" t="s">
        <v>680</v>
      </c>
      <c r="E281" s="212">
        <v>0.28499999999999998</v>
      </c>
      <c r="F281" s="212">
        <v>0.28499999999999998</v>
      </c>
      <c r="G281" s="212">
        <v>0.28499999999999998</v>
      </c>
      <c r="H281" s="212">
        <v>0.28499999999999998</v>
      </c>
      <c r="I281" s="212">
        <v>0.28499999999999998</v>
      </c>
      <c r="J281" s="212">
        <v>0.28499999999999998</v>
      </c>
      <c r="K281" s="212">
        <v>0.28499999999999998</v>
      </c>
      <c r="L281" s="212">
        <v>0.28499999999999998</v>
      </c>
      <c r="M281" s="212">
        <v>0.28499999999999998</v>
      </c>
      <c r="N281" s="212">
        <v>0.28499999999999998</v>
      </c>
      <c r="O281" s="212">
        <v>0.28499999999999998</v>
      </c>
      <c r="P281" s="212">
        <v>0.28499999999999998</v>
      </c>
      <c r="Q281" s="212">
        <v>0.28499999999999998</v>
      </c>
      <c r="R281" s="212">
        <v>0.28499999999999998</v>
      </c>
      <c r="S281" s="212">
        <v>0.28499999999999998</v>
      </c>
      <c r="T281" s="212">
        <v>0.28499999999999998</v>
      </c>
      <c r="U281" s="212">
        <v>0.28499999999999998</v>
      </c>
      <c r="V281" s="212">
        <v>0.28499999999999998</v>
      </c>
      <c r="W281" s="212">
        <v>0.28499999999999998</v>
      </c>
      <c r="X281" s="212">
        <v>0.28499999999999998</v>
      </c>
      <c r="Y281" s="212">
        <v>0.28499999999999998</v>
      </c>
      <c r="Z281" s="212">
        <v>0.28499999999999998</v>
      </c>
      <c r="AA281" s="212">
        <v>0.28499999999999998</v>
      </c>
      <c r="AB281" s="212">
        <v>0.28499999999999998</v>
      </c>
      <c r="AC281" s="212">
        <v>0.28499999999999998</v>
      </c>
      <c r="AD281" s="212">
        <v>0.28499999999999998</v>
      </c>
      <c r="AE281" s="212">
        <v>0.28499999999999998</v>
      </c>
      <c r="AF281" s="451">
        <v>0.28499999999999998</v>
      </c>
      <c r="AG281" s="452"/>
    </row>
    <row r="282" spans="1:33">
      <c r="A282" s="215" t="s">
        <v>943</v>
      </c>
      <c r="B282" s="232" t="s">
        <v>938</v>
      </c>
      <c r="C282" s="232">
        <v>2019</v>
      </c>
      <c r="D282" s="232" t="s">
        <v>680</v>
      </c>
      <c r="E282" s="209">
        <v>0.41900000000000004</v>
      </c>
      <c r="F282" s="209">
        <v>0.41900000000000004</v>
      </c>
      <c r="G282" s="209">
        <v>0.41900000000000004</v>
      </c>
      <c r="H282" s="209">
        <v>0.41900000000000004</v>
      </c>
      <c r="I282" s="209">
        <v>0.41900000000000004</v>
      </c>
      <c r="J282" s="209">
        <v>0.41900000000000004</v>
      </c>
      <c r="K282" s="209">
        <v>0.41900000000000004</v>
      </c>
      <c r="L282" s="209">
        <v>0.41900000000000004</v>
      </c>
      <c r="M282" s="209">
        <v>0.41900000000000004</v>
      </c>
      <c r="N282" s="209">
        <v>0.41900000000000004</v>
      </c>
      <c r="O282" s="209">
        <v>0.41900000000000004</v>
      </c>
      <c r="P282" s="209">
        <v>0.41900000000000004</v>
      </c>
      <c r="Q282" s="209">
        <v>0.41900000000000004</v>
      </c>
      <c r="R282" s="209">
        <v>0.41900000000000004</v>
      </c>
      <c r="S282" s="209">
        <v>0.41900000000000004</v>
      </c>
      <c r="T282" s="209">
        <v>0.41900000000000004</v>
      </c>
      <c r="U282" s="209">
        <v>0.41900000000000004</v>
      </c>
      <c r="V282" s="209">
        <v>0.41900000000000004</v>
      </c>
      <c r="W282" s="209">
        <v>0.41900000000000004</v>
      </c>
      <c r="X282" s="209">
        <v>0.41900000000000004</v>
      </c>
      <c r="Y282" s="209">
        <v>0.41900000000000004</v>
      </c>
      <c r="Z282" s="209">
        <v>0.41900000000000004</v>
      </c>
      <c r="AA282" s="209">
        <v>0.41900000000000004</v>
      </c>
      <c r="AB282" s="209">
        <v>0.41900000000000004</v>
      </c>
      <c r="AC282" s="209">
        <v>0.41900000000000004</v>
      </c>
      <c r="AD282" s="209">
        <v>0.41900000000000004</v>
      </c>
      <c r="AE282" s="209">
        <v>0.41900000000000004</v>
      </c>
      <c r="AF282" s="220">
        <v>0.41900000000000004</v>
      </c>
      <c r="AG282" s="436"/>
    </row>
    <row r="283" spans="1:33">
      <c r="A283" s="215" t="s">
        <v>943</v>
      </c>
      <c r="B283" s="232" t="s">
        <v>938</v>
      </c>
      <c r="C283">
        <v>2020</v>
      </c>
      <c r="D283" s="232" t="s">
        <v>680</v>
      </c>
      <c r="E283" s="209">
        <v>0.41900000000000004</v>
      </c>
      <c r="F283" s="209">
        <v>0.41900000000000004</v>
      </c>
      <c r="G283" s="209">
        <v>0.41900000000000004</v>
      </c>
      <c r="H283" s="209">
        <v>0.41900000000000004</v>
      </c>
      <c r="I283" s="209">
        <v>0.41900000000000004</v>
      </c>
      <c r="J283" s="209">
        <v>0.41900000000000004</v>
      </c>
      <c r="K283" s="209">
        <v>0.41900000000000004</v>
      </c>
      <c r="L283" s="209">
        <v>0.41900000000000004</v>
      </c>
      <c r="M283" s="209">
        <v>0.41900000000000004</v>
      </c>
      <c r="N283" s="209">
        <v>0.41900000000000004</v>
      </c>
      <c r="O283" s="209">
        <v>0.41900000000000004</v>
      </c>
      <c r="P283" s="209">
        <v>0.41900000000000004</v>
      </c>
      <c r="Q283" s="209">
        <v>0.41900000000000004</v>
      </c>
      <c r="R283" s="209">
        <v>0.41900000000000004</v>
      </c>
      <c r="S283" s="209">
        <v>0.41900000000000004</v>
      </c>
      <c r="T283" s="209">
        <v>0.41900000000000004</v>
      </c>
      <c r="U283" s="209">
        <v>0.41900000000000004</v>
      </c>
      <c r="V283" s="209">
        <v>0.41900000000000004</v>
      </c>
      <c r="W283" s="209">
        <v>0.41900000000000004</v>
      </c>
      <c r="X283" s="209">
        <v>0.41900000000000004</v>
      </c>
      <c r="Y283" s="209">
        <v>0.41900000000000004</v>
      </c>
      <c r="Z283" s="209">
        <v>0.41900000000000004</v>
      </c>
      <c r="AA283" s="209">
        <v>0.41900000000000004</v>
      </c>
      <c r="AB283" s="209">
        <v>0.41900000000000004</v>
      </c>
      <c r="AC283" s="209">
        <v>0.41900000000000004</v>
      </c>
      <c r="AD283" s="209">
        <v>0.41900000000000004</v>
      </c>
      <c r="AE283" s="209">
        <v>0.41900000000000004</v>
      </c>
      <c r="AF283" s="220">
        <v>0.41900000000000004</v>
      </c>
      <c r="AG283" s="436"/>
    </row>
    <row r="284" spans="1:33">
      <c r="A284" s="215" t="s">
        <v>943</v>
      </c>
      <c r="B284" s="232" t="s">
        <v>938</v>
      </c>
      <c r="C284" s="232">
        <v>2025</v>
      </c>
      <c r="D284" s="232" t="s">
        <v>680</v>
      </c>
      <c r="E284" s="209">
        <v>0.41900000000000004</v>
      </c>
      <c r="F284" s="209">
        <v>0.41900000000000004</v>
      </c>
      <c r="G284" s="209">
        <v>0.41900000000000004</v>
      </c>
      <c r="H284" s="209">
        <v>0.41900000000000004</v>
      </c>
      <c r="I284" s="209">
        <v>0.41900000000000004</v>
      </c>
      <c r="J284" s="209">
        <v>0.41900000000000004</v>
      </c>
      <c r="K284" s="209">
        <v>0.41900000000000004</v>
      </c>
      <c r="L284" s="209">
        <v>0.41900000000000004</v>
      </c>
      <c r="M284" s="209">
        <v>0.41900000000000004</v>
      </c>
      <c r="N284" s="209">
        <v>0.41900000000000004</v>
      </c>
      <c r="O284" s="209">
        <v>0.41900000000000004</v>
      </c>
      <c r="P284" s="209">
        <v>0.41900000000000004</v>
      </c>
      <c r="Q284" s="209">
        <v>0.41900000000000004</v>
      </c>
      <c r="R284" s="209">
        <v>0.41900000000000004</v>
      </c>
      <c r="S284" s="209">
        <v>0.41900000000000004</v>
      </c>
      <c r="T284" s="209">
        <v>0.41900000000000004</v>
      </c>
      <c r="U284" s="209">
        <v>0.41900000000000004</v>
      </c>
      <c r="V284" s="209">
        <v>0.41900000000000004</v>
      </c>
      <c r="W284" s="209">
        <v>0.41900000000000004</v>
      </c>
      <c r="X284" s="209">
        <v>0.41900000000000004</v>
      </c>
      <c r="Y284" s="209">
        <v>0.41900000000000004</v>
      </c>
      <c r="Z284" s="209">
        <v>0.41900000000000004</v>
      </c>
      <c r="AA284" s="209">
        <v>0.41900000000000004</v>
      </c>
      <c r="AB284" s="209">
        <v>0.41900000000000004</v>
      </c>
      <c r="AC284" s="209">
        <v>0.41900000000000004</v>
      </c>
      <c r="AD284" s="209">
        <v>0.41900000000000004</v>
      </c>
      <c r="AE284" s="209">
        <v>0.41900000000000004</v>
      </c>
      <c r="AF284" s="220">
        <v>0.41900000000000004</v>
      </c>
      <c r="AG284" s="436"/>
    </row>
    <row r="285" spans="1:33">
      <c r="A285" s="215" t="s">
        <v>943</v>
      </c>
      <c r="B285" s="232" t="s">
        <v>938</v>
      </c>
      <c r="C285" s="232">
        <v>2030</v>
      </c>
      <c r="D285" s="232" t="s">
        <v>680</v>
      </c>
      <c r="E285" s="209">
        <v>0.41900000000000004</v>
      </c>
      <c r="F285" s="209">
        <v>0.41900000000000004</v>
      </c>
      <c r="G285" s="209">
        <v>0.41900000000000004</v>
      </c>
      <c r="H285" s="209">
        <v>0.41900000000000004</v>
      </c>
      <c r="I285" s="209">
        <v>0.41900000000000004</v>
      </c>
      <c r="J285" s="209">
        <v>0.41900000000000004</v>
      </c>
      <c r="K285" s="209">
        <v>0.41900000000000004</v>
      </c>
      <c r="L285" s="209">
        <v>0.41900000000000004</v>
      </c>
      <c r="M285" s="209">
        <v>0.41900000000000004</v>
      </c>
      <c r="N285" s="209">
        <v>0.41900000000000004</v>
      </c>
      <c r="O285" s="209">
        <v>0.41900000000000004</v>
      </c>
      <c r="P285" s="209">
        <v>0.41900000000000004</v>
      </c>
      <c r="Q285" s="209">
        <v>0.41900000000000004</v>
      </c>
      <c r="R285" s="209">
        <v>0.41900000000000004</v>
      </c>
      <c r="S285" s="209">
        <v>0.41900000000000004</v>
      </c>
      <c r="T285" s="209">
        <v>0.41900000000000004</v>
      </c>
      <c r="U285" s="209">
        <v>0.41900000000000004</v>
      </c>
      <c r="V285" s="209">
        <v>0.41900000000000004</v>
      </c>
      <c r="W285" s="209">
        <v>0.41900000000000004</v>
      </c>
      <c r="X285" s="209">
        <v>0.41900000000000004</v>
      </c>
      <c r="Y285" s="209">
        <v>0.41900000000000004</v>
      </c>
      <c r="Z285" s="209">
        <v>0.41900000000000004</v>
      </c>
      <c r="AA285" s="209">
        <v>0.41900000000000004</v>
      </c>
      <c r="AB285" s="209">
        <v>0.41900000000000004</v>
      </c>
      <c r="AC285" s="209">
        <v>0.41900000000000004</v>
      </c>
      <c r="AD285" s="209">
        <v>0.41900000000000004</v>
      </c>
      <c r="AE285" s="209">
        <v>0.41900000000000004</v>
      </c>
      <c r="AF285" s="220">
        <v>0.41900000000000004</v>
      </c>
      <c r="AG285" s="436"/>
    </row>
    <row r="286" spans="1:33">
      <c r="A286" s="215" t="s">
        <v>943</v>
      </c>
      <c r="B286" s="232" t="s">
        <v>938</v>
      </c>
      <c r="C286" s="232">
        <v>2035</v>
      </c>
      <c r="D286" s="232" t="s">
        <v>680</v>
      </c>
      <c r="E286" s="209">
        <v>0.41900000000000004</v>
      </c>
      <c r="F286" s="209">
        <v>0.41900000000000004</v>
      </c>
      <c r="G286" s="209">
        <v>0.41900000000000004</v>
      </c>
      <c r="H286" s="209">
        <v>0.41900000000000004</v>
      </c>
      <c r="I286" s="209">
        <v>0.41900000000000004</v>
      </c>
      <c r="J286" s="209">
        <v>0.41900000000000004</v>
      </c>
      <c r="K286" s="209">
        <v>0.41900000000000004</v>
      </c>
      <c r="L286" s="209">
        <v>0.41900000000000004</v>
      </c>
      <c r="M286" s="209">
        <v>0.41900000000000004</v>
      </c>
      <c r="N286" s="209">
        <v>0.41900000000000004</v>
      </c>
      <c r="O286" s="209">
        <v>0.41900000000000004</v>
      </c>
      <c r="P286" s="209">
        <v>0.41900000000000004</v>
      </c>
      <c r="Q286" s="209">
        <v>0.41900000000000004</v>
      </c>
      <c r="R286" s="209">
        <v>0.41900000000000004</v>
      </c>
      <c r="S286" s="209">
        <v>0.41900000000000004</v>
      </c>
      <c r="T286" s="209">
        <v>0.41900000000000004</v>
      </c>
      <c r="U286" s="209">
        <v>0.41900000000000004</v>
      </c>
      <c r="V286" s="209">
        <v>0.41900000000000004</v>
      </c>
      <c r="W286" s="209">
        <v>0.41900000000000004</v>
      </c>
      <c r="X286" s="209">
        <v>0.41900000000000004</v>
      </c>
      <c r="Y286" s="209">
        <v>0.41900000000000004</v>
      </c>
      <c r="Z286" s="209">
        <v>0.41900000000000004</v>
      </c>
      <c r="AA286" s="209">
        <v>0.41900000000000004</v>
      </c>
      <c r="AB286" s="209">
        <v>0.41900000000000004</v>
      </c>
      <c r="AC286" s="209">
        <v>0.41900000000000004</v>
      </c>
      <c r="AD286" s="209">
        <v>0.41900000000000004</v>
      </c>
      <c r="AE286" s="209">
        <v>0.41900000000000004</v>
      </c>
      <c r="AF286" s="220">
        <v>0.41900000000000004</v>
      </c>
      <c r="AG286" s="436"/>
    </row>
    <row r="287" spans="1:33">
      <c r="A287" s="215" t="s">
        <v>943</v>
      </c>
      <c r="B287" s="232" t="s">
        <v>938</v>
      </c>
      <c r="C287" s="232">
        <v>2040</v>
      </c>
      <c r="D287" s="232" t="s">
        <v>680</v>
      </c>
      <c r="E287" s="209">
        <v>0.41900000000000004</v>
      </c>
      <c r="F287" s="209">
        <v>0.41900000000000004</v>
      </c>
      <c r="G287" s="209">
        <v>0.41900000000000004</v>
      </c>
      <c r="H287" s="209">
        <v>0.41900000000000004</v>
      </c>
      <c r="I287" s="209">
        <v>0.41900000000000004</v>
      </c>
      <c r="J287" s="209">
        <v>0.41900000000000004</v>
      </c>
      <c r="K287" s="209">
        <v>0.41900000000000004</v>
      </c>
      <c r="L287" s="209">
        <v>0.41900000000000004</v>
      </c>
      <c r="M287" s="209">
        <v>0.41900000000000004</v>
      </c>
      <c r="N287" s="209">
        <v>0.41900000000000004</v>
      </c>
      <c r="O287" s="209">
        <v>0.41900000000000004</v>
      </c>
      <c r="P287" s="209">
        <v>0.41900000000000004</v>
      </c>
      <c r="Q287" s="209">
        <v>0.41900000000000004</v>
      </c>
      <c r="R287" s="209">
        <v>0.41900000000000004</v>
      </c>
      <c r="S287" s="209">
        <v>0.41900000000000004</v>
      </c>
      <c r="T287" s="209">
        <v>0.41900000000000004</v>
      </c>
      <c r="U287" s="209">
        <v>0.41900000000000004</v>
      </c>
      <c r="V287" s="209">
        <v>0.41900000000000004</v>
      </c>
      <c r="W287" s="209">
        <v>0.41900000000000004</v>
      </c>
      <c r="X287" s="209">
        <v>0.41900000000000004</v>
      </c>
      <c r="Y287" s="209">
        <v>0.41900000000000004</v>
      </c>
      <c r="Z287" s="209">
        <v>0.41900000000000004</v>
      </c>
      <c r="AA287" s="209">
        <v>0.41900000000000004</v>
      </c>
      <c r="AB287" s="209">
        <v>0.41900000000000004</v>
      </c>
      <c r="AC287" s="209">
        <v>0.41900000000000004</v>
      </c>
      <c r="AD287" s="209">
        <v>0.41900000000000004</v>
      </c>
      <c r="AE287" s="209">
        <v>0.41900000000000004</v>
      </c>
      <c r="AF287" s="220">
        <v>0.41900000000000004</v>
      </c>
      <c r="AG287" s="436"/>
    </row>
    <row r="288" spans="1:33">
      <c r="A288" s="215" t="s">
        <v>943</v>
      </c>
      <c r="B288" s="232" t="s">
        <v>938</v>
      </c>
      <c r="C288" s="232">
        <v>2045</v>
      </c>
      <c r="D288" s="232" t="s">
        <v>680</v>
      </c>
      <c r="E288" s="209">
        <v>0.41900000000000004</v>
      </c>
      <c r="F288" s="209">
        <v>0.41900000000000004</v>
      </c>
      <c r="G288" s="209">
        <v>0.41900000000000004</v>
      </c>
      <c r="H288" s="209">
        <v>0.41900000000000004</v>
      </c>
      <c r="I288" s="209">
        <v>0.41900000000000004</v>
      </c>
      <c r="J288" s="209">
        <v>0.41900000000000004</v>
      </c>
      <c r="K288" s="209">
        <v>0.41900000000000004</v>
      </c>
      <c r="L288" s="209">
        <v>0.41900000000000004</v>
      </c>
      <c r="M288" s="209">
        <v>0.41900000000000004</v>
      </c>
      <c r="N288" s="209">
        <v>0.41900000000000004</v>
      </c>
      <c r="O288" s="209">
        <v>0.41900000000000004</v>
      </c>
      <c r="P288" s="209">
        <v>0.41900000000000004</v>
      </c>
      <c r="Q288" s="209">
        <v>0.41900000000000004</v>
      </c>
      <c r="R288" s="209">
        <v>0.41900000000000004</v>
      </c>
      <c r="S288" s="209">
        <v>0.41900000000000004</v>
      </c>
      <c r="T288" s="209">
        <v>0.41900000000000004</v>
      </c>
      <c r="U288" s="209">
        <v>0.41900000000000004</v>
      </c>
      <c r="V288" s="209">
        <v>0.41900000000000004</v>
      </c>
      <c r="W288" s="209">
        <v>0.41900000000000004</v>
      </c>
      <c r="X288" s="209">
        <v>0.41900000000000004</v>
      </c>
      <c r="Y288" s="209">
        <v>0.41900000000000004</v>
      </c>
      <c r="Z288" s="209">
        <v>0.41900000000000004</v>
      </c>
      <c r="AA288" s="209">
        <v>0.41900000000000004</v>
      </c>
      <c r="AB288" s="209">
        <v>0.41900000000000004</v>
      </c>
      <c r="AC288" s="209">
        <v>0.41900000000000004</v>
      </c>
      <c r="AD288" s="209">
        <v>0.41900000000000004</v>
      </c>
      <c r="AE288" s="209">
        <v>0.41900000000000004</v>
      </c>
      <c r="AF288" s="220">
        <v>0.41900000000000004</v>
      </c>
      <c r="AG288" s="436"/>
    </row>
    <row r="289" spans="1:33">
      <c r="A289" s="215" t="s">
        <v>943</v>
      </c>
      <c r="B289" s="232" t="s">
        <v>938</v>
      </c>
      <c r="C289" s="232">
        <v>2050</v>
      </c>
      <c r="D289" s="232" t="s">
        <v>680</v>
      </c>
      <c r="E289" s="209">
        <v>0.41900000000000004</v>
      </c>
      <c r="F289" s="209">
        <v>0.41900000000000004</v>
      </c>
      <c r="G289" s="209">
        <v>0.41900000000000004</v>
      </c>
      <c r="H289" s="209">
        <v>0.41900000000000004</v>
      </c>
      <c r="I289" s="209">
        <v>0.41900000000000004</v>
      </c>
      <c r="J289" s="209">
        <v>0.41900000000000004</v>
      </c>
      <c r="K289" s="209">
        <v>0.41900000000000004</v>
      </c>
      <c r="L289" s="209">
        <v>0.41900000000000004</v>
      </c>
      <c r="M289" s="209">
        <v>0.41900000000000004</v>
      </c>
      <c r="N289" s="209">
        <v>0.41900000000000004</v>
      </c>
      <c r="O289" s="209">
        <v>0.41900000000000004</v>
      </c>
      <c r="P289" s="209">
        <v>0.41900000000000004</v>
      </c>
      <c r="Q289" s="209">
        <v>0.41900000000000004</v>
      </c>
      <c r="R289" s="209">
        <v>0.41900000000000004</v>
      </c>
      <c r="S289" s="209">
        <v>0.41900000000000004</v>
      </c>
      <c r="T289" s="209">
        <v>0.41900000000000004</v>
      </c>
      <c r="U289" s="209">
        <v>0.41900000000000004</v>
      </c>
      <c r="V289" s="209">
        <v>0.41900000000000004</v>
      </c>
      <c r="W289" s="209">
        <v>0.41900000000000004</v>
      </c>
      <c r="X289" s="209">
        <v>0.41900000000000004</v>
      </c>
      <c r="Y289" s="209">
        <v>0.41900000000000004</v>
      </c>
      <c r="Z289" s="209">
        <v>0.41900000000000004</v>
      </c>
      <c r="AA289" s="209">
        <v>0.41900000000000004</v>
      </c>
      <c r="AB289" s="209">
        <v>0.41900000000000004</v>
      </c>
      <c r="AC289" s="209">
        <v>0.41900000000000004</v>
      </c>
      <c r="AD289" s="209">
        <v>0.41900000000000004</v>
      </c>
      <c r="AE289" s="209">
        <v>0.41900000000000004</v>
      </c>
      <c r="AF289" s="220">
        <v>0.41900000000000004</v>
      </c>
      <c r="AG289" s="436"/>
    </row>
    <row r="290" spans="1:33">
      <c r="A290" s="215" t="s">
        <v>943</v>
      </c>
      <c r="B290" s="232" t="s">
        <v>938</v>
      </c>
      <c r="C290" s="232">
        <v>2060</v>
      </c>
      <c r="D290" s="232" t="s">
        <v>680</v>
      </c>
      <c r="E290" s="209">
        <v>0.41900000000000004</v>
      </c>
      <c r="F290" s="209">
        <v>0.41900000000000004</v>
      </c>
      <c r="G290" s="209">
        <v>0.41900000000000004</v>
      </c>
      <c r="H290" s="209">
        <v>0.41900000000000004</v>
      </c>
      <c r="I290" s="209">
        <v>0.41900000000000004</v>
      </c>
      <c r="J290" s="209">
        <v>0.41900000000000004</v>
      </c>
      <c r="K290" s="209">
        <v>0.41900000000000004</v>
      </c>
      <c r="L290" s="209">
        <v>0.41900000000000004</v>
      </c>
      <c r="M290" s="209">
        <v>0.41900000000000004</v>
      </c>
      <c r="N290" s="209">
        <v>0.41900000000000004</v>
      </c>
      <c r="O290" s="209">
        <v>0.41900000000000004</v>
      </c>
      <c r="P290" s="209">
        <v>0.41900000000000004</v>
      </c>
      <c r="Q290" s="209">
        <v>0.41900000000000004</v>
      </c>
      <c r="R290" s="209">
        <v>0.41900000000000004</v>
      </c>
      <c r="S290" s="209">
        <v>0.41900000000000004</v>
      </c>
      <c r="T290" s="209">
        <v>0.41900000000000004</v>
      </c>
      <c r="U290" s="209">
        <v>0.41900000000000004</v>
      </c>
      <c r="V290" s="209">
        <v>0.41900000000000004</v>
      </c>
      <c r="W290" s="209">
        <v>0.41900000000000004</v>
      </c>
      <c r="X290" s="209">
        <v>0.41900000000000004</v>
      </c>
      <c r="Y290" s="209">
        <v>0.41900000000000004</v>
      </c>
      <c r="Z290" s="209">
        <v>0.41900000000000004</v>
      </c>
      <c r="AA290" s="209">
        <v>0.41900000000000004</v>
      </c>
      <c r="AB290" s="209">
        <v>0.41900000000000004</v>
      </c>
      <c r="AC290" s="209">
        <v>0.41900000000000004</v>
      </c>
      <c r="AD290" s="209">
        <v>0.41900000000000004</v>
      </c>
      <c r="AE290" s="209">
        <v>0.41900000000000004</v>
      </c>
      <c r="AF290" s="220">
        <v>0.41900000000000004</v>
      </c>
      <c r="AG290" s="436"/>
    </row>
    <row r="291" spans="1:33">
      <c r="A291" s="215" t="s">
        <v>943</v>
      </c>
      <c r="B291" s="232" t="s">
        <v>938</v>
      </c>
      <c r="C291" s="232">
        <v>2070</v>
      </c>
      <c r="D291" s="232" t="s">
        <v>680</v>
      </c>
      <c r="E291" s="209">
        <v>0.41900000000000004</v>
      </c>
      <c r="F291" s="209">
        <v>0.41900000000000004</v>
      </c>
      <c r="G291" s="209">
        <v>0.41900000000000004</v>
      </c>
      <c r="H291" s="209">
        <v>0.41900000000000004</v>
      </c>
      <c r="I291" s="209">
        <v>0.41900000000000004</v>
      </c>
      <c r="J291" s="209">
        <v>0.41900000000000004</v>
      </c>
      <c r="K291" s="209">
        <v>0.41900000000000004</v>
      </c>
      <c r="L291" s="209">
        <v>0.41900000000000004</v>
      </c>
      <c r="M291" s="209">
        <v>0.41900000000000004</v>
      </c>
      <c r="N291" s="209">
        <v>0.41900000000000004</v>
      </c>
      <c r="O291" s="209">
        <v>0.41900000000000004</v>
      </c>
      <c r="P291" s="209">
        <v>0.41900000000000004</v>
      </c>
      <c r="Q291" s="209">
        <v>0.41900000000000004</v>
      </c>
      <c r="R291" s="209">
        <v>0.41900000000000004</v>
      </c>
      <c r="S291" s="209">
        <v>0.41900000000000004</v>
      </c>
      <c r="T291" s="209">
        <v>0.41900000000000004</v>
      </c>
      <c r="U291" s="209">
        <v>0.41900000000000004</v>
      </c>
      <c r="V291" s="209">
        <v>0.41900000000000004</v>
      </c>
      <c r="W291" s="209">
        <v>0.41900000000000004</v>
      </c>
      <c r="X291" s="209">
        <v>0.41900000000000004</v>
      </c>
      <c r="Y291" s="209">
        <v>0.41900000000000004</v>
      </c>
      <c r="Z291" s="209">
        <v>0.41900000000000004</v>
      </c>
      <c r="AA291" s="209">
        <v>0.41900000000000004</v>
      </c>
      <c r="AB291" s="209">
        <v>0.41900000000000004</v>
      </c>
      <c r="AC291" s="209">
        <v>0.41900000000000004</v>
      </c>
      <c r="AD291" s="209">
        <v>0.41900000000000004</v>
      </c>
      <c r="AE291" s="209">
        <v>0.41900000000000004</v>
      </c>
      <c r="AF291" s="220">
        <v>0.41900000000000004</v>
      </c>
      <c r="AG291" s="436"/>
    </row>
    <row r="292" spans="1:33">
      <c r="A292" s="215" t="s">
        <v>943</v>
      </c>
      <c r="B292" s="232" t="s">
        <v>938</v>
      </c>
      <c r="C292" s="232">
        <v>2080</v>
      </c>
      <c r="D292" s="232" t="s">
        <v>680</v>
      </c>
      <c r="E292" s="209">
        <v>0.41900000000000004</v>
      </c>
      <c r="F292" s="209">
        <v>0.41900000000000004</v>
      </c>
      <c r="G292" s="209">
        <v>0.41900000000000004</v>
      </c>
      <c r="H292" s="209">
        <v>0.41900000000000004</v>
      </c>
      <c r="I292" s="209">
        <v>0.41900000000000004</v>
      </c>
      <c r="J292" s="209">
        <v>0.41900000000000004</v>
      </c>
      <c r="K292" s="209">
        <v>0.41900000000000004</v>
      </c>
      <c r="L292" s="209">
        <v>0.41900000000000004</v>
      </c>
      <c r="M292" s="209">
        <v>0.41900000000000004</v>
      </c>
      <c r="N292" s="209">
        <v>0.41900000000000004</v>
      </c>
      <c r="O292" s="209">
        <v>0.41900000000000004</v>
      </c>
      <c r="P292" s="209">
        <v>0.41900000000000004</v>
      </c>
      <c r="Q292" s="209">
        <v>0.41900000000000004</v>
      </c>
      <c r="R292" s="209">
        <v>0.41900000000000004</v>
      </c>
      <c r="S292" s="209">
        <v>0.41900000000000004</v>
      </c>
      <c r="T292" s="209">
        <v>0.41900000000000004</v>
      </c>
      <c r="U292" s="209">
        <v>0.41900000000000004</v>
      </c>
      <c r="V292" s="209">
        <v>0.41900000000000004</v>
      </c>
      <c r="W292" s="209">
        <v>0.41900000000000004</v>
      </c>
      <c r="X292" s="209">
        <v>0.41900000000000004</v>
      </c>
      <c r="Y292" s="209">
        <v>0.41900000000000004</v>
      </c>
      <c r="Z292" s="209">
        <v>0.41900000000000004</v>
      </c>
      <c r="AA292" s="209">
        <v>0.41900000000000004</v>
      </c>
      <c r="AB292" s="209">
        <v>0.41900000000000004</v>
      </c>
      <c r="AC292" s="209">
        <v>0.41900000000000004</v>
      </c>
      <c r="AD292" s="209">
        <v>0.41900000000000004</v>
      </c>
      <c r="AE292" s="209">
        <v>0.41900000000000004</v>
      </c>
      <c r="AF292" s="220">
        <v>0.41900000000000004</v>
      </c>
      <c r="AG292" s="436"/>
    </row>
    <row r="293" spans="1:33">
      <c r="A293" s="215" t="s">
        <v>943</v>
      </c>
      <c r="B293" s="232" t="s">
        <v>938</v>
      </c>
      <c r="C293" s="232">
        <v>2090</v>
      </c>
      <c r="D293" s="232" t="s">
        <v>680</v>
      </c>
      <c r="E293" s="209">
        <v>0.41900000000000004</v>
      </c>
      <c r="F293" s="209">
        <v>0.41900000000000004</v>
      </c>
      <c r="G293" s="209">
        <v>0.41900000000000004</v>
      </c>
      <c r="H293" s="209">
        <v>0.41900000000000004</v>
      </c>
      <c r="I293" s="209">
        <v>0.41900000000000004</v>
      </c>
      <c r="J293" s="209">
        <v>0.41900000000000004</v>
      </c>
      <c r="K293" s="209">
        <v>0.41900000000000004</v>
      </c>
      <c r="L293" s="209">
        <v>0.41900000000000004</v>
      </c>
      <c r="M293" s="209">
        <v>0.41900000000000004</v>
      </c>
      <c r="N293" s="209">
        <v>0.41900000000000004</v>
      </c>
      <c r="O293" s="209">
        <v>0.41900000000000004</v>
      </c>
      <c r="P293" s="209">
        <v>0.41900000000000004</v>
      </c>
      <c r="Q293" s="209">
        <v>0.41900000000000004</v>
      </c>
      <c r="R293" s="209">
        <v>0.41900000000000004</v>
      </c>
      <c r="S293" s="209">
        <v>0.41900000000000004</v>
      </c>
      <c r="T293" s="209">
        <v>0.41900000000000004</v>
      </c>
      <c r="U293" s="209">
        <v>0.41900000000000004</v>
      </c>
      <c r="V293" s="209">
        <v>0.41900000000000004</v>
      </c>
      <c r="W293" s="209">
        <v>0.41900000000000004</v>
      </c>
      <c r="X293" s="209">
        <v>0.41900000000000004</v>
      </c>
      <c r="Y293" s="209">
        <v>0.41900000000000004</v>
      </c>
      <c r="Z293" s="209">
        <v>0.41900000000000004</v>
      </c>
      <c r="AA293" s="209">
        <v>0.41900000000000004</v>
      </c>
      <c r="AB293" s="209">
        <v>0.41900000000000004</v>
      </c>
      <c r="AC293" s="209">
        <v>0.41900000000000004</v>
      </c>
      <c r="AD293" s="209">
        <v>0.41900000000000004</v>
      </c>
      <c r="AE293" s="209">
        <v>0.41900000000000004</v>
      </c>
      <c r="AF293" s="220">
        <v>0.41900000000000004</v>
      </c>
      <c r="AG293" s="436"/>
    </row>
    <row r="294" spans="1:33">
      <c r="A294" s="229" t="s">
        <v>943</v>
      </c>
      <c r="B294" s="235" t="s">
        <v>938</v>
      </c>
      <c r="C294" s="235">
        <v>2100</v>
      </c>
      <c r="D294" s="235" t="s">
        <v>680</v>
      </c>
      <c r="E294" s="226">
        <v>0.41900000000000004</v>
      </c>
      <c r="F294" s="226">
        <v>0.41900000000000004</v>
      </c>
      <c r="G294" s="226">
        <v>0.41900000000000004</v>
      </c>
      <c r="H294" s="226">
        <v>0.41900000000000004</v>
      </c>
      <c r="I294" s="226">
        <v>0.41900000000000004</v>
      </c>
      <c r="J294" s="226">
        <v>0.41900000000000004</v>
      </c>
      <c r="K294" s="226">
        <v>0.41900000000000004</v>
      </c>
      <c r="L294" s="226">
        <v>0.41900000000000004</v>
      </c>
      <c r="M294" s="226">
        <v>0.41900000000000004</v>
      </c>
      <c r="N294" s="226">
        <v>0.41900000000000004</v>
      </c>
      <c r="O294" s="226">
        <v>0.41900000000000004</v>
      </c>
      <c r="P294" s="226">
        <v>0.41900000000000004</v>
      </c>
      <c r="Q294" s="226">
        <v>0.41900000000000004</v>
      </c>
      <c r="R294" s="226">
        <v>0.41900000000000004</v>
      </c>
      <c r="S294" s="226">
        <v>0.41900000000000004</v>
      </c>
      <c r="T294" s="226">
        <v>0.41900000000000004</v>
      </c>
      <c r="U294" s="226">
        <v>0.41900000000000004</v>
      </c>
      <c r="V294" s="226">
        <v>0.41900000000000004</v>
      </c>
      <c r="W294" s="226">
        <v>0.41900000000000004</v>
      </c>
      <c r="X294" s="226">
        <v>0.41900000000000004</v>
      </c>
      <c r="Y294" s="226">
        <v>0.41900000000000004</v>
      </c>
      <c r="Z294" s="226">
        <v>0.41900000000000004</v>
      </c>
      <c r="AA294" s="226">
        <v>0.41900000000000004</v>
      </c>
      <c r="AB294" s="226">
        <v>0.41900000000000004</v>
      </c>
      <c r="AC294" s="226">
        <v>0.41900000000000004</v>
      </c>
      <c r="AD294" s="226">
        <v>0.41900000000000004</v>
      </c>
      <c r="AE294" s="226">
        <v>0.41900000000000004</v>
      </c>
      <c r="AF294" s="224">
        <v>0.41900000000000004</v>
      </c>
      <c r="AG294" s="437"/>
    </row>
    <row r="295" spans="1:33">
      <c r="A295" s="215" t="s">
        <v>943</v>
      </c>
      <c r="B295" s="232" t="s">
        <v>940</v>
      </c>
      <c r="C295" s="232">
        <v>2019</v>
      </c>
      <c r="D295" s="232" t="s">
        <v>680</v>
      </c>
      <c r="E295" s="209">
        <v>0.50280000000000002</v>
      </c>
      <c r="F295" s="209">
        <v>0.50280000000000002</v>
      </c>
      <c r="G295" s="209">
        <v>0.50280000000000002</v>
      </c>
      <c r="H295" s="209">
        <v>0.50280000000000002</v>
      </c>
      <c r="I295" s="209">
        <v>0.50280000000000002</v>
      </c>
      <c r="J295" s="209">
        <v>0.50280000000000002</v>
      </c>
      <c r="K295" s="209">
        <v>0.50280000000000002</v>
      </c>
      <c r="L295" s="209">
        <v>0.50280000000000002</v>
      </c>
      <c r="M295" s="209">
        <v>0.50280000000000002</v>
      </c>
      <c r="N295" s="209">
        <v>0.50280000000000002</v>
      </c>
      <c r="O295" s="209">
        <v>0.50280000000000002</v>
      </c>
      <c r="P295" s="209">
        <v>0.50280000000000002</v>
      </c>
      <c r="Q295" s="209">
        <v>0.50280000000000002</v>
      </c>
      <c r="R295" s="209">
        <v>0.50280000000000002</v>
      </c>
      <c r="S295" s="209">
        <v>0.50280000000000002</v>
      </c>
      <c r="T295" s="209">
        <v>0.50280000000000002</v>
      </c>
      <c r="U295" s="209">
        <v>0.50280000000000002</v>
      </c>
      <c r="V295" s="209">
        <v>0.50280000000000002</v>
      </c>
      <c r="W295" s="209">
        <v>0.50280000000000002</v>
      </c>
      <c r="X295" s="209">
        <v>0.50280000000000002</v>
      </c>
      <c r="Y295" s="209">
        <v>0.50280000000000002</v>
      </c>
      <c r="Z295" s="209">
        <v>0.50280000000000002</v>
      </c>
      <c r="AA295" s="209">
        <v>0.50280000000000002</v>
      </c>
      <c r="AB295" s="209">
        <v>0.50280000000000002</v>
      </c>
      <c r="AC295" s="209">
        <v>0.50280000000000002</v>
      </c>
      <c r="AD295" s="209">
        <v>0.50280000000000002</v>
      </c>
      <c r="AE295" s="209">
        <v>0.50280000000000002</v>
      </c>
      <c r="AF295" s="220">
        <v>0.50280000000000002</v>
      </c>
      <c r="AG295" s="436"/>
    </row>
    <row r="296" spans="1:33">
      <c r="A296" s="215" t="s">
        <v>943</v>
      </c>
      <c r="B296" s="232" t="s">
        <v>940</v>
      </c>
      <c r="C296">
        <v>2020</v>
      </c>
      <c r="D296" s="232" t="s">
        <v>680</v>
      </c>
      <c r="E296" s="209">
        <v>0.50280000000000002</v>
      </c>
      <c r="F296" s="209">
        <v>0.50280000000000002</v>
      </c>
      <c r="G296" s="209">
        <v>0.50280000000000002</v>
      </c>
      <c r="H296" s="209">
        <v>0.50280000000000002</v>
      </c>
      <c r="I296" s="209">
        <v>0.50280000000000002</v>
      </c>
      <c r="J296" s="209">
        <v>0.50280000000000002</v>
      </c>
      <c r="K296" s="209">
        <v>0.50280000000000002</v>
      </c>
      <c r="L296" s="209">
        <v>0.50280000000000002</v>
      </c>
      <c r="M296" s="209">
        <v>0.50280000000000002</v>
      </c>
      <c r="N296" s="209">
        <v>0.50280000000000002</v>
      </c>
      <c r="O296" s="209">
        <v>0.50280000000000002</v>
      </c>
      <c r="P296" s="209">
        <v>0.50280000000000002</v>
      </c>
      <c r="Q296" s="209">
        <v>0.50280000000000002</v>
      </c>
      <c r="R296" s="209">
        <v>0.50280000000000002</v>
      </c>
      <c r="S296" s="209">
        <v>0.50280000000000002</v>
      </c>
      <c r="T296" s="209">
        <v>0.50280000000000002</v>
      </c>
      <c r="U296" s="209">
        <v>0.50280000000000002</v>
      </c>
      <c r="V296" s="209">
        <v>0.50280000000000002</v>
      </c>
      <c r="W296" s="209">
        <v>0.50280000000000002</v>
      </c>
      <c r="X296" s="209">
        <v>0.50280000000000002</v>
      </c>
      <c r="Y296" s="209">
        <v>0.50280000000000002</v>
      </c>
      <c r="Z296" s="209">
        <v>0.50280000000000002</v>
      </c>
      <c r="AA296" s="209">
        <v>0.50280000000000002</v>
      </c>
      <c r="AB296" s="209">
        <v>0.50280000000000002</v>
      </c>
      <c r="AC296" s="209">
        <v>0.50280000000000002</v>
      </c>
      <c r="AD296" s="209">
        <v>0.50280000000000002</v>
      </c>
      <c r="AE296" s="209">
        <v>0.50280000000000002</v>
      </c>
      <c r="AF296" s="220">
        <v>0.50280000000000002</v>
      </c>
      <c r="AG296" s="436"/>
    </row>
    <row r="297" spans="1:33">
      <c r="A297" s="215" t="s">
        <v>943</v>
      </c>
      <c r="B297" s="232" t="s">
        <v>940</v>
      </c>
      <c r="C297" s="232">
        <v>2025</v>
      </c>
      <c r="D297" s="232" t="s">
        <v>680</v>
      </c>
      <c r="E297" s="209">
        <v>0.50280000000000002</v>
      </c>
      <c r="F297" s="209">
        <v>0.50280000000000002</v>
      </c>
      <c r="G297" s="209">
        <v>0.50280000000000002</v>
      </c>
      <c r="H297" s="209">
        <v>0.50280000000000002</v>
      </c>
      <c r="I297" s="209">
        <v>0.50280000000000002</v>
      </c>
      <c r="J297" s="209">
        <v>0.50280000000000002</v>
      </c>
      <c r="K297" s="209">
        <v>0.50280000000000002</v>
      </c>
      <c r="L297" s="209">
        <v>0.50280000000000002</v>
      </c>
      <c r="M297" s="209">
        <v>0.50280000000000002</v>
      </c>
      <c r="N297" s="209">
        <v>0.50280000000000002</v>
      </c>
      <c r="O297" s="209">
        <v>0.50280000000000002</v>
      </c>
      <c r="P297" s="209">
        <v>0.50280000000000002</v>
      </c>
      <c r="Q297" s="209">
        <v>0.50280000000000002</v>
      </c>
      <c r="R297" s="209">
        <v>0.50280000000000002</v>
      </c>
      <c r="S297" s="209">
        <v>0.50280000000000002</v>
      </c>
      <c r="T297" s="209">
        <v>0.50280000000000002</v>
      </c>
      <c r="U297" s="209">
        <v>0.50280000000000002</v>
      </c>
      <c r="V297" s="209">
        <v>0.50280000000000002</v>
      </c>
      <c r="W297" s="209">
        <v>0.50280000000000002</v>
      </c>
      <c r="X297" s="209">
        <v>0.50280000000000002</v>
      </c>
      <c r="Y297" s="209">
        <v>0.50280000000000002</v>
      </c>
      <c r="Z297" s="209">
        <v>0.50280000000000002</v>
      </c>
      <c r="AA297" s="209">
        <v>0.50280000000000002</v>
      </c>
      <c r="AB297" s="209">
        <v>0.50280000000000002</v>
      </c>
      <c r="AC297" s="209">
        <v>0.50280000000000002</v>
      </c>
      <c r="AD297" s="209">
        <v>0.50280000000000002</v>
      </c>
      <c r="AE297" s="209">
        <v>0.50280000000000002</v>
      </c>
      <c r="AF297" s="220">
        <v>0.50280000000000002</v>
      </c>
      <c r="AG297" s="436"/>
    </row>
    <row r="298" spans="1:33">
      <c r="A298" s="215" t="s">
        <v>943</v>
      </c>
      <c r="B298" s="232" t="s">
        <v>940</v>
      </c>
      <c r="C298" s="232">
        <v>2030</v>
      </c>
      <c r="D298" s="232" t="s">
        <v>680</v>
      </c>
      <c r="E298" s="209">
        <v>0.50280000000000002</v>
      </c>
      <c r="F298" s="209">
        <v>0.50280000000000002</v>
      </c>
      <c r="G298" s="209">
        <v>0.50280000000000002</v>
      </c>
      <c r="H298" s="209">
        <v>0.50280000000000002</v>
      </c>
      <c r="I298" s="209">
        <v>0.50280000000000002</v>
      </c>
      <c r="J298" s="209">
        <v>0.50280000000000002</v>
      </c>
      <c r="K298" s="209">
        <v>0.50280000000000002</v>
      </c>
      <c r="L298" s="209">
        <v>0.50280000000000002</v>
      </c>
      <c r="M298" s="209">
        <v>0.50280000000000002</v>
      </c>
      <c r="N298" s="209">
        <v>0.50280000000000002</v>
      </c>
      <c r="O298" s="209">
        <v>0.50280000000000002</v>
      </c>
      <c r="P298" s="209">
        <v>0.50280000000000002</v>
      </c>
      <c r="Q298" s="209">
        <v>0.50280000000000002</v>
      </c>
      <c r="R298" s="209">
        <v>0.50280000000000002</v>
      </c>
      <c r="S298" s="209">
        <v>0.50280000000000002</v>
      </c>
      <c r="T298" s="209">
        <v>0.50280000000000002</v>
      </c>
      <c r="U298" s="209">
        <v>0.50280000000000002</v>
      </c>
      <c r="V298" s="209">
        <v>0.50280000000000002</v>
      </c>
      <c r="W298" s="209">
        <v>0.50280000000000002</v>
      </c>
      <c r="X298" s="209">
        <v>0.50280000000000002</v>
      </c>
      <c r="Y298" s="209">
        <v>0.50280000000000002</v>
      </c>
      <c r="Z298" s="209">
        <v>0.50280000000000002</v>
      </c>
      <c r="AA298" s="209">
        <v>0.50280000000000002</v>
      </c>
      <c r="AB298" s="209">
        <v>0.50280000000000002</v>
      </c>
      <c r="AC298" s="209">
        <v>0.50280000000000002</v>
      </c>
      <c r="AD298" s="209">
        <v>0.50280000000000002</v>
      </c>
      <c r="AE298" s="209">
        <v>0.50280000000000002</v>
      </c>
      <c r="AF298" s="220">
        <v>0.50280000000000002</v>
      </c>
      <c r="AG298" s="436"/>
    </row>
    <row r="299" spans="1:33">
      <c r="A299" s="215" t="s">
        <v>943</v>
      </c>
      <c r="B299" s="232" t="s">
        <v>940</v>
      </c>
      <c r="C299" s="232">
        <v>2035</v>
      </c>
      <c r="D299" s="232" t="s">
        <v>680</v>
      </c>
      <c r="E299" s="209">
        <v>0.50280000000000002</v>
      </c>
      <c r="F299" s="209">
        <v>0.50280000000000002</v>
      </c>
      <c r="G299" s="209">
        <v>0.50280000000000002</v>
      </c>
      <c r="H299" s="209">
        <v>0.50280000000000002</v>
      </c>
      <c r="I299" s="209">
        <v>0.50280000000000002</v>
      </c>
      <c r="J299" s="209">
        <v>0.50280000000000002</v>
      </c>
      <c r="K299" s="209">
        <v>0.50280000000000002</v>
      </c>
      <c r="L299" s="209">
        <v>0.50280000000000002</v>
      </c>
      <c r="M299" s="209">
        <v>0.50280000000000002</v>
      </c>
      <c r="N299" s="209">
        <v>0.50280000000000002</v>
      </c>
      <c r="O299" s="209">
        <v>0.50280000000000002</v>
      </c>
      <c r="P299" s="209">
        <v>0.50280000000000002</v>
      </c>
      <c r="Q299" s="209">
        <v>0.50280000000000002</v>
      </c>
      <c r="R299" s="209">
        <v>0.50280000000000002</v>
      </c>
      <c r="S299" s="209">
        <v>0.50280000000000002</v>
      </c>
      <c r="T299" s="209">
        <v>0.50280000000000002</v>
      </c>
      <c r="U299" s="209">
        <v>0.50280000000000002</v>
      </c>
      <c r="V299" s="209">
        <v>0.50280000000000002</v>
      </c>
      <c r="W299" s="209">
        <v>0.50280000000000002</v>
      </c>
      <c r="X299" s="209">
        <v>0.50280000000000002</v>
      </c>
      <c r="Y299" s="209">
        <v>0.50280000000000002</v>
      </c>
      <c r="Z299" s="209">
        <v>0.50280000000000002</v>
      </c>
      <c r="AA299" s="209">
        <v>0.50280000000000002</v>
      </c>
      <c r="AB299" s="209">
        <v>0.50280000000000002</v>
      </c>
      <c r="AC299" s="209">
        <v>0.50280000000000002</v>
      </c>
      <c r="AD299" s="209">
        <v>0.50280000000000002</v>
      </c>
      <c r="AE299" s="209">
        <v>0.50280000000000002</v>
      </c>
      <c r="AF299" s="220">
        <v>0.50280000000000002</v>
      </c>
      <c r="AG299" s="436"/>
    </row>
    <row r="300" spans="1:33">
      <c r="A300" s="215" t="s">
        <v>943</v>
      </c>
      <c r="B300" s="232" t="s">
        <v>940</v>
      </c>
      <c r="C300" s="232">
        <v>2040</v>
      </c>
      <c r="D300" s="232" t="s">
        <v>680</v>
      </c>
      <c r="E300" s="209">
        <v>0.50280000000000002</v>
      </c>
      <c r="F300" s="209">
        <v>0.50280000000000002</v>
      </c>
      <c r="G300" s="209">
        <v>0.50280000000000002</v>
      </c>
      <c r="H300" s="209">
        <v>0.50280000000000002</v>
      </c>
      <c r="I300" s="209">
        <v>0.50280000000000002</v>
      </c>
      <c r="J300" s="209">
        <v>0.50280000000000002</v>
      </c>
      <c r="K300" s="209">
        <v>0.50280000000000002</v>
      </c>
      <c r="L300" s="209">
        <v>0.50280000000000002</v>
      </c>
      <c r="M300" s="209">
        <v>0.50280000000000002</v>
      </c>
      <c r="N300" s="209">
        <v>0.50280000000000002</v>
      </c>
      <c r="O300" s="209">
        <v>0.50280000000000002</v>
      </c>
      <c r="P300" s="209">
        <v>0.50280000000000002</v>
      </c>
      <c r="Q300" s="209">
        <v>0.50280000000000002</v>
      </c>
      <c r="R300" s="209">
        <v>0.50280000000000002</v>
      </c>
      <c r="S300" s="209">
        <v>0.50280000000000002</v>
      </c>
      <c r="T300" s="209">
        <v>0.50280000000000002</v>
      </c>
      <c r="U300" s="209">
        <v>0.50280000000000002</v>
      </c>
      <c r="V300" s="209">
        <v>0.50280000000000002</v>
      </c>
      <c r="W300" s="209">
        <v>0.50280000000000002</v>
      </c>
      <c r="X300" s="209">
        <v>0.50280000000000002</v>
      </c>
      <c r="Y300" s="209">
        <v>0.50280000000000002</v>
      </c>
      <c r="Z300" s="209">
        <v>0.50280000000000002</v>
      </c>
      <c r="AA300" s="209">
        <v>0.50280000000000002</v>
      </c>
      <c r="AB300" s="209">
        <v>0.50280000000000002</v>
      </c>
      <c r="AC300" s="209">
        <v>0.50280000000000002</v>
      </c>
      <c r="AD300" s="209">
        <v>0.50280000000000002</v>
      </c>
      <c r="AE300" s="209">
        <v>0.50280000000000002</v>
      </c>
      <c r="AF300" s="220">
        <v>0.50280000000000002</v>
      </c>
      <c r="AG300" s="436"/>
    </row>
    <row r="301" spans="1:33">
      <c r="A301" s="215" t="s">
        <v>943</v>
      </c>
      <c r="B301" s="232" t="s">
        <v>940</v>
      </c>
      <c r="C301" s="232">
        <v>2045</v>
      </c>
      <c r="D301" s="232" t="s">
        <v>680</v>
      </c>
      <c r="E301" s="209">
        <v>0.50280000000000002</v>
      </c>
      <c r="F301" s="209">
        <v>0.50280000000000002</v>
      </c>
      <c r="G301" s="209">
        <v>0.50280000000000002</v>
      </c>
      <c r="H301" s="209">
        <v>0.50280000000000002</v>
      </c>
      <c r="I301" s="209">
        <v>0.50280000000000002</v>
      </c>
      <c r="J301" s="209">
        <v>0.50280000000000002</v>
      </c>
      <c r="K301" s="209">
        <v>0.50280000000000002</v>
      </c>
      <c r="L301" s="209">
        <v>0.50280000000000002</v>
      </c>
      <c r="M301" s="209">
        <v>0.50280000000000002</v>
      </c>
      <c r="N301" s="209">
        <v>0.50280000000000002</v>
      </c>
      <c r="O301" s="209">
        <v>0.50280000000000002</v>
      </c>
      <c r="P301" s="209">
        <v>0.50280000000000002</v>
      </c>
      <c r="Q301" s="209">
        <v>0.50280000000000002</v>
      </c>
      <c r="R301" s="209">
        <v>0.50280000000000002</v>
      </c>
      <c r="S301" s="209">
        <v>0.50280000000000002</v>
      </c>
      <c r="T301" s="209">
        <v>0.50280000000000002</v>
      </c>
      <c r="U301" s="209">
        <v>0.50280000000000002</v>
      </c>
      <c r="V301" s="209">
        <v>0.50280000000000002</v>
      </c>
      <c r="W301" s="209">
        <v>0.50280000000000002</v>
      </c>
      <c r="X301" s="209">
        <v>0.50280000000000002</v>
      </c>
      <c r="Y301" s="209">
        <v>0.50280000000000002</v>
      </c>
      <c r="Z301" s="209">
        <v>0.50280000000000002</v>
      </c>
      <c r="AA301" s="209">
        <v>0.50280000000000002</v>
      </c>
      <c r="AB301" s="209">
        <v>0.50280000000000002</v>
      </c>
      <c r="AC301" s="209">
        <v>0.50280000000000002</v>
      </c>
      <c r="AD301" s="209">
        <v>0.50280000000000002</v>
      </c>
      <c r="AE301" s="209">
        <v>0.50280000000000002</v>
      </c>
      <c r="AF301" s="220">
        <v>0.50280000000000002</v>
      </c>
      <c r="AG301" s="436"/>
    </row>
    <row r="302" spans="1:33">
      <c r="A302" s="215" t="s">
        <v>943</v>
      </c>
      <c r="B302" s="232" t="s">
        <v>940</v>
      </c>
      <c r="C302" s="232">
        <v>2050</v>
      </c>
      <c r="D302" s="232" t="s">
        <v>680</v>
      </c>
      <c r="E302" s="209">
        <v>0.50280000000000002</v>
      </c>
      <c r="F302" s="209">
        <v>0.50280000000000002</v>
      </c>
      <c r="G302" s="209">
        <v>0.50280000000000002</v>
      </c>
      <c r="H302" s="209">
        <v>0.50280000000000002</v>
      </c>
      <c r="I302" s="209">
        <v>0.50280000000000002</v>
      </c>
      <c r="J302" s="209">
        <v>0.50280000000000002</v>
      </c>
      <c r="K302" s="209">
        <v>0.50280000000000002</v>
      </c>
      <c r="L302" s="209">
        <v>0.50280000000000002</v>
      </c>
      <c r="M302" s="209">
        <v>0.50280000000000002</v>
      </c>
      <c r="N302" s="209">
        <v>0.50280000000000002</v>
      </c>
      <c r="O302" s="209">
        <v>0.50280000000000002</v>
      </c>
      <c r="P302" s="209">
        <v>0.50280000000000002</v>
      </c>
      <c r="Q302" s="209">
        <v>0.50280000000000002</v>
      </c>
      <c r="R302" s="209">
        <v>0.50280000000000002</v>
      </c>
      <c r="S302" s="209">
        <v>0.50280000000000002</v>
      </c>
      <c r="T302" s="209">
        <v>0.50280000000000002</v>
      </c>
      <c r="U302" s="209">
        <v>0.50280000000000002</v>
      </c>
      <c r="V302" s="209">
        <v>0.50280000000000002</v>
      </c>
      <c r="W302" s="209">
        <v>0.50280000000000002</v>
      </c>
      <c r="X302" s="209">
        <v>0.50280000000000002</v>
      </c>
      <c r="Y302" s="209">
        <v>0.50280000000000002</v>
      </c>
      <c r="Z302" s="209">
        <v>0.50280000000000002</v>
      </c>
      <c r="AA302" s="209">
        <v>0.50280000000000002</v>
      </c>
      <c r="AB302" s="209">
        <v>0.50280000000000002</v>
      </c>
      <c r="AC302" s="209">
        <v>0.50280000000000002</v>
      </c>
      <c r="AD302" s="209">
        <v>0.50280000000000002</v>
      </c>
      <c r="AE302" s="209">
        <v>0.50280000000000002</v>
      </c>
      <c r="AF302" s="220">
        <v>0.50280000000000002</v>
      </c>
      <c r="AG302" s="436"/>
    </row>
    <row r="303" spans="1:33">
      <c r="A303" s="215" t="s">
        <v>943</v>
      </c>
      <c r="B303" s="232" t="s">
        <v>940</v>
      </c>
      <c r="C303" s="232">
        <v>2060</v>
      </c>
      <c r="D303" s="232" t="s">
        <v>680</v>
      </c>
      <c r="E303" s="209">
        <v>0.50280000000000002</v>
      </c>
      <c r="F303" s="209">
        <v>0.50280000000000002</v>
      </c>
      <c r="G303" s="209">
        <v>0.50280000000000002</v>
      </c>
      <c r="H303" s="209">
        <v>0.50280000000000002</v>
      </c>
      <c r="I303" s="209">
        <v>0.50280000000000002</v>
      </c>
      <c r="J303" s="209">
        <v>0.50280000000000002</v>
      </c>
      <c r="K303" s="209">
        <v>0.50280000000000002</v>
      </c>
      <c r="L303" s="209">
        <v>0.50280000000000002</v>
      </c>
      <c r="M303" s="209">
        <v>0.50280000000000002</v>
      </c>
      <c r="N303" s="209">
        <v>0.50280000000000002</v>
      </c>
      <c r="O303" s="209">
        <v>0.50280000000000002</v>
      </c>
      <c r="P303" s="209">
        <v>0.50280000000000002</v>
      </c>
      <c r="Q303" s="209">
        <v>0.50280000000000002</v>
      </c>
      <c r="R303" s="209">
        <v>0.50280000000000002</v>
      </c>
      <c r="S303" s="209">
        <v>0.50280000000000002</v>
      </c>
      <c r="T303" s="209">
        <v>0.50280000000000002</v>
      </c>
      <c r="U303" s="209">
        <v>0.50280000000000002</v>
      </c>
      <c r="V303" s="209">
        <v>0.50280000000000002</v>
      </c>
      <c r="W303" s="209">
        <v>0.50280000000000002</v>
      </c>
      <c r="X303" s="209">
        <v>0.50280000000000002</v>
      </c>
      <c r="Y303" s="209">
        <v>0.50280000000000002</v>
      </c>
      <c r="Z303" s="209">
        <v>0.50280000000000002</v>
      </c>
      <c r="AA303" s="209">
        <v>0.50280000000000002</v>
      </c>
      <c r="AB303" s="209">
        <v>0.50280000000000002</v>
      </c>
      <c r="AC303" s="209">
        <v>0.50280000000000002</v>
      </c>
      <c r="AD303" s="209">
        <v>0.50280000000000002</v>
      </c>
      <c r="AE303" s="209">
        <v>0.50280000000000002</v>
      </c>
      <c r="AF303" s="220">
        <v>0.50280000000000002</v>
      </c>
      <c r="AG303" s="436"/>
    </row>
    <row r="304" spans="1:33">
      <c r="A304" s="215" t="s">
        <v>943</v>
      </c>
      <c r="B304" s="232" t="s">
        <v>940</v>
      </c>
      <c r="C304" s="232">
        <v>2070</v>
      </c>
      <c r="D304" s="232" t="s">
        <v>680</v>
      </c>
      <c r="E304" s="209">
        <v>0.50280000000000002</v>
      </c>
      <c r="F304" s="209">
        <v>0.50280000000000002</v>
      </c>
      <c r="G304" s="209">
        <v>0.50280000000000002</v>
      </c>
      <c r="H304" s="209">
        <v>0.50280000000000002</v>
      </c>
      <c r="I304" s="209">
        <v>0.50280000000000002</v>
      </c>
      <c r="J304" s="209">
        <v>0.50280000000000002</v>
      </c>
      <c r="K304" s="209">
        <v>0.50280000000000002</v>
      </c>
      <c r="L304" s="209">
        <v>0.50280000000000002</v>
      </c>
      <c r="M304" s="209">
        <v>0.50280000000000002</v>
      </c>
      <c r="N304" s="209">
        <v>0.50280000000000002</v>
      </c>
      <c r="O304" s="209">
        <v>0.50280000000000002</v>
      </c>
      <c r="P304" s="209">
        <v>0.50280000000000002</v>
      </c>
      <c r="Q304" s="209">
        <v>0.50280000000000002</v>
      </c>
      <c r="R304" s="209">
        <v>0.50280000000000002</v>
      </c>
      <c r="S304" s="209">
        <v>0.50280000000000002</v>
      </c>
      <c r="T304" s="209">
        <v>0.50280000000000002</v>
      </c>
      <c r="U304" s="209">
        <v>0.50280000000000002</v>
      </c>
      <c r="V304" s="209">
        <v>0.50280000000000002</v>
      </c>
      <c r="W304" s="209">
        <v>0.50280000000000002</v>
      </c>
      <c r="X304" s="209">
        <v>0.50280000000000002</v>
      </c>
      <c r="Y304" s="209">
        <v>0.50280000000000002</v>
      </c>
      <c r="Z304" s="209">
        <v>0.50280000000000002</v>
      </c>
      <c r="AA304" s="209">
        <v>0.50280000000000002</v>
      </c>
      <c r="AB304" s="209">
        <v>0.50280000000000002</v>
      </c>
      <c r="AC304" s="209">
        <v>0.50280000000000002</v>
      </c>
      <c r="AD304" s="209">
        <v>0.50280000000000002</v>
      </c>
      <c r="AE304" s="209">
        <v>0.50280000000000002</v>
      </c>
      <c r="AF304" s="220">
        <v>0.50280000000000002</v>
      </c>
      <c r="AG304" s="436"/>
    </row>
    <row r="305" spans="1:33">
      <c r="A305" s="215" t="s">
        <v>943</v>
      </c>
      <c r="B305" s="232" t="s">
        <v>940</v>
      </c>
      <c r="C305" s="232">
        <v>2080</v>
      </c>
      <c r="D305" s="232" t="s">
        <v>680</v>
      </c>
      <c r="E305" s="209">
        <v>0.50280000000000002</v>
      </c>
      <c r="F305" s="209">
        <v>0.50280000000000002</v>
      </c>
      <c r="G305" s="209">
        <v>0.50280000000000002</v>
      </c>
      <c r="H305" s="209">
        <v>0.50280000000000002</v>
      </c>
      <c r="I305" s="209">
        <v>0.50280000000000002</v>
      </c>
      <c r="J305" s="209">
        <v>0.50280000000000002</v>
      </c>
      <c r="K305" s="209">
        <v>0.50280000000000002</v>
      </c>
      <c r="L305" s="209">
        <v>0.50280000000000002</v>
      </c>
      <c r="M305" s="209">
        <v>0.50280000000000002</v>
      </c>
      <c r="N305" s="209">
        <v>0.50280000000000002</v>
      </c>
      <c r="O305" s="209">
        <v>0.50280000000000002</v>
      </c>
      <c r="P305" s="209">
        <v>0.50280000000000002</v>
      </c>
      <c r="Q305" s="209">
        <v>0.50280000000000002</v>
      </c>
      <c r="R305" s="209">
        <v>0.50280000000000002</v>
      </c>
      <c r="S305" s="209">
        <v>0.50280000000000002</v>
      </c>
      <c r="T305" s="209">
        <v>0.50280000000000002</v>
      </c>
      <c r="U305" s="209">
        <v>0.50280000000000002</v>
      </c>
      <c r="V305" s="209">
        <v>0.50280000000000002</v>
      </c>
      <c r="W305" s="209">
        <v>0.50280000000000002</v>
      </c>
      <c r="X305" s="209">
        <v>0.50280000000000002</v>
      </c>
      <c r="Y305" s="209">
        <v>0.50280000000000002</v>
      </c>
      <c r="Z305" s="209">
        <v>0.50280000000000002</v>
      </c>
      <c r="AA305" s="209">
        <v>0.50280000000000002</v>
      </c>
      <c r="AB305" s="209">
        <v>0.50280000000000002</v>
      </c>
      <c r="AC305" s="209">
        <v>0.50280000000000002</v>
      </c>
      <c r="AD305" s="209">
        <v>0.50280000000000002</v>
      </c>
      <c r="AE305" s="209">
        <v>0.50280000000000002</v>
      </c>
      <c r="AF305" s="220">
        <v>0.50280000000000002</v>
      </c>
      <c r="AG305" s="436"/>
    </row>
    <row r="306" spans="1:33">
      <c r="A306" s="215" t="s">
        <v>943</v>
      </c>
      <c r="B306" s="232" t="s">
        <v>940</v>
      </c>
      <c r="C306" s="232">
        <v>2090</v>
      </c>
      <c r="D306" s="232" t="s">
        <v>680</v>
      </c>
      <c r="E306" s="209">
        <v>0.50280000000000002</v>
      </c>
      <c r="F306" s="209">
        <v>0.50280000000000002</v>
      </c>
      <c r="G306" s="209">
        <v>0.50280000000000002</v>
      </c>
      <c r="H306" s="209">
        <v>0.50280000000000002</v>
      </c>
      <c r="I306" s="209">
        <v>0.50280000000000002</v>
      </c>
      <c r="J306" s="209">
        <v>0.50280000000000002</v>
      </c>
      <c r="K306" s="209">
        <v>0.50280000000000002</v>
      </c>
      <c r="L306" s="209">
        <v>0.50280000000000002</v>
      </c>
      <c r="M306" s="209">
        <v>0.50280000000000002</v>
      </c>
      <c r="N306" s="209">
        <v>0.50280000000000002</v>
      </c>
      <c r="O306" s="209">
        <v>0.50280000000000002</v>
      </c>
      <c r="P306" s="209">
        <v>0.50280000000000002</v>
      </c>
      <c r="Q306" s="209">
        <v>0.50280000000000002</v>
      </c>
      <c r="R306" s="209">
        <v>0.50280000000000002</v>
      </c>
      <c r="S306" s="209">
        <v>0.50280000000000002</v>
      </c>
      <c r="T306" s="209">
        <v>0.50280000000000002</v>
      </c>
      <c r="U306" s="209">
        <v>0.50280000000000002</v>
      </c>
      <c r="V306" s="209">
        <v>0.50280000000000002</v>
      </c>
      <c r="W306" s="209">
        <v>0.50280000000000002</v>
      </c>
      <c r="X306" s="209">
        <v>0.50280000000000002</v>
      </c>
      <c r="Y306" s="209">
        <v>0.50280000000000002</v>
      </c>
      <c r="Z306" s="209">
        <v>0.50280000000000002</v>
      </c>
      <c r="AA306" s="209">
        <v>0.50280000000000002</v>
      </c>
      <c r="AB306" s="209">
        <v>0.50280000000000002</v>
      </c>
      <c r="AC306" s="209">
        <v>0.50280000000000002</v>
      </c>
      <c r="AD306" s="209">
        <v>0.50280000000000002</v>
      </c>
      <c r="AE306" s="209">
        <v>0.50280000000000002</v>
      </c>
      <c r="AF306" s="220">
        <v>0.50280000000000002</v>
      </c>
      <c r="AG306" s="436"/>
    </row>
    <row r="307" spans="1:33">
      <c r="A307" s="229" t="s">
        <v>943</v>
      </c>
      <c r="B307" s="235" t="s">
        <v>940</v>
      </c>
      <c r="C307" s="235">
        <v>2100</v>
      </c>
      <c r="D307" s="235" t="s">
        <v>680</v>
      </c>
      <c r="E307" s="226">
        <v>0.50280000000000002</v>
      </c>
      <c r="F307" s="226">
        <v>0.50280000000000002</v>
      </c>
      <c r="G307" s="226">
        <v>0.50280000000000002</v>
      </c>
      <c r="H307" s="226">
        <v>0.50280000000000002</v>
      </c>
      <c r="I307" s="226">
        <v>0.50280000000000002</v>
      </c>
      <c r="J307" s="226">
        <v>0.50280000000000002</v>
      </c>
      <c r="K307" s="226">
        <v>0.50280000000000002</v>
      </c>
      <c r="L307" s="226">
        <v>0.50280000000000002</v>
      </c>
      <c r="M307" s="226">
        <v>0.50280000000000002</v>
      </c>
      <c r="N307" s="226">
        <v>0.50280000000000002</v>
      </c>
      <c r="O307" s="226">
        <v>0.50280000000000002</v>
      </c>
      <c r="P307" s="226">
        <v>0.50280000000000002</v>
      </c>
      <c r="Q307" s="226">
        <v>0.50280000000000002</v>
      </c>
      <c r="R307" s="226">
        <v>0.50280000000000002</v>
      </c>
      <c r="S307" s="226">
        <v>0.50280000000000002</v>
      </c>
      <c r="T307" s="226">
        <v>0.50280000000000002</v>
      </c>
      <c r="U307" s="226">
        <v>0.50280000000000002</v>
      </c>
      <c r="V307" s="226">
        <v>0.50280000000000002</v>
      </c>
      <c r="W307" s="226">
        <v>0.50280000000000002</v>
      </c>
      <c r="X307" s="226">
        <v>0.50280000000000002</v>
      </c>
      <c r="Y307" s="226">
        <v>0.50280000000000002</v>
      </c>
      <c r="Z307" s="226">
        <v>0.50280000000000002</v>
      </c>
      <c r="AA307" s="226">
        <v>0.50280000000000002</v>
      </c>
      <c r="AB307" s="226">
        <v>0.50280000000000002</v>
      </c>
      <c r="AC307" s="226">
        <v>0.50280000000000002</v>
      </c>
      <c r="AD307" s="226">
        <v>0.50280000000000002</v>
      </c>
      <c r="AE307" s="226">
        <v>0.50280000000000002</v>
      </c>
      <c r="AF307" s="224">
        <v>0.50280000000000002</v>
      </c>
      <c r="AG307" s="437"/>
    </row>
    <row r="308" spans="1:33">
      <c r="A308" t="s">
        <v>943</v>
      </c>
      <c r="B308" s="231" t="s">
        <v>941</v>
      </c>
      <c r="C308" s="232">
        <v>2019</v>
      </c>
      <c r="D308" s="231" t="s">
        <v>680</v>
      </c>
      <c r="E308" s="209">
        <v>0.58660000000000001</v>
      </c>
      <c r="F308" s="209">
        <v>0.58660000000000001</v>
      </c>
      <c r="G308" s="209">
        <v>0.58660000000000001</v>
      </c>
      <c r="H308" s="209">
        <v>0.58660000000000001</v>
      </c>
      <c r="I308" s="209">
        <v>0.58660000000000001</v>
      </c>
      <c r="J308" s="209">
        <v>0.58660000000000001</v>
      </c>
      <c r="K308" s="209">
        <v>0.58660000000000001</v>
      </c>
      <c r="L308" s="209">
        <v>0.58660000000000001</v>
      </c>
      <c r="M308" s="209">
        <v>0.58660000000000001</v>
      </c>
      <c r="N308" s="209">
        <v>0.58660000000000001</v>
      </c>
      <c r="O308" s="209">
        <v>0.58660000000000001</v>
      </c>
      <c r="P308" s="209">
        <v>0.58660000000000001</v>
      </c>
      <c r="Q308" s="209">
        <v>0.58660000000000001</v>
      </c>
      <c r="R308" s="209">
        <v>0.58660000000000001</v>
      </c>
      <c r="S308" s="209">
        <v>0.58660000000000001</v>
      </c>
      <c r="T308" s="209">
        <v>0.58660000000000001</v>
      </c>
      <c r="U308" s="209">
        <v>0.58660000000000001</v>
      </c>
      <c r="V308" s="209">
        <v>0.58660000000000001</v>
      </c>
      <c r="W308" s="209">
        <v>0.58660000000000001</v>
      </c>
      <c r="X308" s="209">
        <v>0.58660000000000001</v>
      </c>
      <c r="Y308" s="209">
        <v>0.58660000000000001</v>
      </c>
      <c r="Z308" s="209">
        <v>0.58660000000000001</v>
      </c>
      <c r="AA308" s="209">
        <v>0.58660000000000001</v>
      </c>
      <c r="AB308" s="209">
        <v>0.58660000000000001</v>
      </c>
      <c r="AC308" s="209">
        <v>0.58660000000000001</v>
      </c>
      <c r="AD308" s="209">
        <v>0.58660000000000001</v>
      </c>
      <c r="AE308" s="209">
        <v>0.58660000000000001</v>
      </c>
      <c r="AF308" s="209">
        <v>0.58660000000000001</v>
      </c>
      <c r="AG308" s="453"/>
    </row>
    <row r="309" spans="1:33">
      <c r="A309" s="215" t="s">
        <v>943</v>
      </c>
      <c r="B309" s="232" t="s">
        <v>941</v>
      </c>
      <c r="C309">
        <v>2020</v>
      </c>
      <c r="D309" s="232" t="s">
        <v>680</v>
      </c>
      <c r="E309" s="209">
        <v>0.58660000000000001</v>
      </c>
      <c r="F309" s="209">
        <v>0.58660000000000001</v>
      </c>
      <c r="G309" s="209">
        <v>0.58660000000000001</v>
      </c>
      <c r="H309" s="209">
        <v>0.58660000000000001</v>
      </c>
      <c r="I309" s="209">
        <v>0.58660000000000001</v>
      </c>
      <c r="J309" s="209">
        <v>0.58660000000000001</v>
      </c>
      <c r="K309" s="209">
        <v>0.58660000000000001</v>
      </c>
      <c r="L309" s="209">
        <v>0.58660000000000001</v>
      </c>
      <c r="M309" s="209">
        <v>0.58660000000000001</v>
      </c>
      <c r="N309" s="209">
        <v>0.58660000000000001</v>
      </c>
      <c r="O309" s="209">
        <v>0.58660000000000001</v>
      </c>
      <c r="P309" s="209">
        <v>0.58660000000000001</v>
      </c>
      <c r="Q309" s="209">
        <v>0.58660000000000001</v>
      </c>
      <c r="R309" s="209">
        <v>0.58660000000000001</v>
      </c>
      <c r="S309" s="209">
        <v>0.58660000000000001</v>
      </c>
      <c r="T309" s="209">
        <v>0.58660000000000001</v>
      </c>
      <c r="U309" s="209">
        <v>0.58660000000000001</v>
      </c>
      <c r="V309" s="209">
        <v>0.58660000000000001</v>
      </c>
      <c r="W309" s="209">
        <v>0.58660000000000001</v>
      </c>
      <c r="X309" s="209">
        <v>0.58660000000000001</v>
      </c>
      <c r="Y309" s="209">
        <v>0.58660000000000001</v>
      </c>
      <c r="Z309" s="209">
        <v>0.58660000000000001</v>
      </c>
      <c r="AA309" s="209">
        <v>0.58660000000000001</v>
      </c>
      <c r="AB309" s="209">
        <v>0.58660000000000001</v>
      </c>
      <c r="AC309" s="209">
        <v>0.58660000000000001</v>
      </c>
      <c r="AD309" s="209">
        <v>0.58660000000000001</v>
      </c>
      <c r="AE309" s="209">
        <v>0.58660000000000001</v>
      </c>
      <c r="AF309" s="220">
        <v>0.58660000000000001</v>
      </c>
      <c r="AG309" s="436"/>
    </row>
    <row r="310" spans="1:33">
      <c r="A310" s="215" t="s">
        <v>943</v>
      </c>
      <c r="B310" s="232" t="s">
        <v>941</v>
      </c>
      <c r="C310" s="232">
        <v>2025</v>
      </c>
      <c r="D310" s="232" t="s">
        <v>680</v>
      </c>
      <c r="E310" s="209">
        <v>0.58660000000000001</v>
      </c>
      <c r="F310" s="209">
        <v>0.58660000000000001</v>
      </c>
      <c r="G310" s="209">
        <v>0.58660000000000001</v>
      </c>
      <c r="H310" s="209">
        <v>0.58660000000000001</v>
      </c>
      <c r="I310" s="209">
        <v>0.58660000000000001</v>
      </c>
      <c r="J310" s="209">
        <v>0.58660000000000001</v>
      </c>
      <c r="K310" s="209">
        <v>0.58660000000000001</v>
      </c>
      <c r="L310" s="209">
        <v>0.58660000000000001</v>
      </c>
      <c r="M310" s="209">
        <v>0.58660000000000001</v>
      </c>
      <c r="N310" s="209">
        <v>0.58660000000000001</v>
      </c>
      <c r="O310" s="209">
        <v>0.58660000000000001</v>
      </c>
      <c r="P310" s="209">
        <v>0.58660000000000001</v>
      </c>
      <c r="Q310" s="209">
        <v>0.58660000000000001</v>
      </c>
      <c r="R310" s="209">
        <v>0.58660000000000001</v>
      </c>
      <c r="S310" s="209">
        <v>0.58660000000000001</v>
      </c>
      <c r="T310" s="209">
        <v>0.58660000000000001</v>
      </c>
      <c r="U310" s="209">
        <v>0.58660000000000001</v>
      </c>
      <c r="V310" s="209">
        <v>0.58660000000000001</v>
      </c>
      <c r="W310" s="209">
        <v>0.58660000000000001</v>
      </c>
      <c r="X310" s="209">
        <v>0.58660000000000001</v>
      </c>
      <c r="Y310" s="209">
        <v>0.58660000000000001</v>
      </c>
      <c r="Z310" s="209">
        <v>0.58660000000000001</v>
      </c>
      <c r="AA310" s="209">
        <v>0.58660000000000001</v>
      </c>
      <c r="AB310" s="209">
        <v>0.58660000000000001</v>
      </c>
      <c r="AC310" s="209">
        <v>0.58660000000000001</v>
      </c>
      <c r="AD310" s="209">
        <v>0.58660000000000001</v>
      </c>
      <c r="AE310" s="209">
        <v>0.58660000000000001</v>
      </c>
      <c r="AF310" s="220">
        <v>0.58660000000000001</v>
      </c>
      <c r="AG310" s="436"/>
    </row>
    <row r="311" spans="1:33">
      <c r="A311" s="215" t="s">
        <v>943</v>
      </c>
      <c r="B311" s="232" t="s">
        <v>941</v>
      </c>
      <c r="C311" s="232">
        <v>2030</v>
      </c>
      <c r="D311" s="232" t="s">
        <v>680</v>
      </c>
      <c r="E311" s="209">
        <v>0.58660000000000001</v>
      </c>
      <c r="F311" s="209">
        <v>0.58660000000000001</v>
      </c>
      <c r="G311" s="209">
        <v>0.58660000000000001</v>
      </c>
      <c r="H311" s="209">
        <v>0.58660000000000001</v>
      </c>
      <c r="I311" s="209">
        <v>0.58660000000000001</v>
      </c>
      <c r="J311" s="209">
        <v>0.58660000000000001</v>
      </c>
      <c r="K311" s="209">
        <v>0.58660000000000001</v>
      </c>
      <c r="L311" s="209">
        <v>0.58660000000000001</v>
      </c>
      <c r="M311" s="209">
        <v>0.58660000000000001</v>
      </c>
      <c r="N311" s="209">
        <v>0.58660000000000001</v>
      </c>
      <c r="O311" s="209">
        <v>0.58660000000000001</v>
      </c>
      <c r="P311" s="209">
        <v>0.58660000000000001</v>
      </c>
      <c r="Q311" s="209">
        <v>0.58660000000000001</v>
      </c>
      <c r="R311" s="209">
        <v>0.58660000000000001</v>
      </c>
      <c r="S311" s="209">
        <v>0.58660000000000001</v>
      </c>
      <c r="T311" s="209">
        <v>0.58660000000000001</v>
      </c>
      <c r="U311" s="209">
        <v>0.58660000000000001</v>
      </c>
      <c r="V311" s="209">
        <v>0.58660000000000001</v>
      </c>
      <c r="W311" s="209">
        <v>0.58660000000000001</v>
      </c>
      <c r="X311" s="209">
        <v>0.58660000000000001</v>
      </c>
      <c r="Y311" s="209">
        <v>0.58660000000000001</v>
      </c>
      <c r="Z311" s="209">
        <v>0.58660000000000001</v>
      </c>
      <c r="AA311" s="209">
        <v>0.58660000000000001</v>
      </c>
      <c r="AB311" s="209">
        <v>0.58660000000000001</v>
      </c>
      <c r="AC311" s="209">
        <v>0.58660000000000001</v>
      </c>
      <c r="AD311" s="209">
        <v>0.58660000000000001</v>
      </c>
      <c r="AE311" s="209">
        <v>0.58660000000000001</v>
      </c>
      <c r="AF311" s="220">
        <v>0.58660000000000001</v>
      </c>
      <c r="AG311" s="436"/>
    </row>
    <row r="312" spans="1:33">
      <c r="A312" s="215" t="s">
        <v>943</v>
      </c>
      <c r="B312" s="232" t="s">
        <v>941</v>
      </c>
      <c r="C312" s="232">
        <v>2035</v>
      </c>
      <c r="D312" s="232" t="s">
        <v>680</v>
      </c>
      <c r="E312" s="209">
        <v>0.58660000000000001</v>
      </c>
      <c r="F312" s="209">
        <v>0.58660000000000001</v>
      </c>
      <c r="G312" s="209">
        <v>0.58660000000000001</v>
      </c>
      <c r="H312" s="209">
        <v>0.58660000000000001</v>
      </c>
      <c r="I312" s="209">
        <v>0.58660000000000001</v>
      </c>
      <c r="J312" s="209">
        <v>0.58660000000000001</v>
      </c>
      <c r="K312" s="209">
        <v>0.58660000000000001</v>
      </c>
      <c r="L312" s="209">
        <v>0.58660000000000001</v>
      </c>
      <c r="M312" s="209">
        <v>0.58660000000000001</v>
      </c>
      <c r="N312" s="209">
        <v>0.58660000000000001</v>
      </c>
      <c r="O312" s="209">
        <v>0.58660000000000001</v>
      </c>
      <c r="P312" s="209">
        <v>0.58660000000000001</v>
      </c>
      <c r="Q312" s="209">
        <v>0.58660000000000001</v>
      </c>
      <c r="R312" s="209">
        <v>0.58660000000000001</v>
      </c>
      <c r="S312" s="209">
        <v>0.58660000000000001</v>
      </c>
      <c r="T312" s="209">
        <v>0.58660000000000001</v>
      </c>
      <c r="U312" s="209">
        <v>0.58660000000000001</v>
      </c>
      <c r="V312" s="209">
        <v>0.58660000000000001</v>
      </c>
      <c r="W312" s="209">
        <v>0.58660000000000001</v>
      </c>
      <c r="X312" s="209">
        <v>0.58660000000000001</v>
      </c>
      <c r="Y312" s="209">
        <v>0.58660000000000001</v>
      </c>
      <c r="Z312" s="209">
        <v>0.58660000000000001</v>
      </c>
      <c r="AA312" s="209">
        <v>0.58660000000000001</v>
      </c>
      <c r="AB312" s="209">
        <v>0.58660000000000001</v>
      </c>
      <c r="AC312" s="209">
        <v>0.58660000000000001</v>
      </c>
      <c r="AD312" s="209">
        <v>0.58660000000000001</v>
      </c>
      <c r="AE312" s="209">
        <v>0.58660000000000001</v>
      </c>
      <c r="AF312" s="220">
        <v>0.58660000000000001</v>
      </c>
      <c r="AG312" s="436"/>
    </row>
    <row r="313" spans="1:33">
      <c r="A313" s="215" t="s">
        <v>943</v>
      </c>
      <c r="B313" s="232" t="s">
        <v>941</v>
      </c>
      <c r="C313" s="232">
        <v>2040</v>
      </c>
      <c r="D313" s="232" t="s">
        <v>680</v>
      </c>
      <c r="E313" s="209">
        <v>0.58660000000000001</v>
      </c>
      <c r="F313" s="209">
        <v>0.58660000000000001</v>
      </c>
      <c r="G313" s="209">
        <v>0.58660000000000001</v>
      </c>
      <c r="H313" s="209">
        <v>0.58660000000000001</v>
      </c>
      <c r="I313" s="209">
        <v>0.58660000000000001</v>
      </c>
      <c r="J313" s="209">
        <v>0.58660000000000001</v>
      </c>
      <c r="K313" s="209">
        <v>0.58660000000000001</v>
      </c>
      <c r="L313" s="209">
        <v>0.58660000000000001</v>
      </c>
      <c r="M313" s="209">
        <v>0.58660000000000001</v>
      </c>
      <c r="N313" s="209">
        <v>0.58660000000000001</v>
      </c>
      <c r="O313" s="209">
        <v>0.58660000000000001</v>
      </c>
      <c r="P313" s="209">
        <v>0.58660000000000001</v>
      </c>
      <c r="Q313" s="209">
        <v>0.58660000000000001</v>
      </c>
      <c r="R313" s="209">
        <v>0.58660000000000001</v>
      </c>
      <c r="S313" s="209">
        <v>0.58660000000000001</v>
      </c>
      <c r="T313" s="209">
        <v>0.58660000000000001</v>
      </c>
      <c r="U313" s="209">
        <v>0.58660000000000001</v>
      </c>
      <c r="V313" s="209">
        <v>0.58660000000000001</v>
      </c>
      <c r="W313" s="209">
        <v>0.58660000000000001</v>
      </c>
      <c r="X313" s="209">
        <v>0.58660000000000001</v>
      </c>
      <c r="Y313" s="209">
        <v>0.58660000000000001</v>
      </c>
      <c r="Z313" s="209">
        <v>0.58660000000000001</v>
      </c>
      <c r="AA313" s="209">
        <v>0.58660000000000001</v>
      </c>
      <c r="AB313" s="209">
        <v>0.58660000000000001</v>
      </c>
      <c r="AC313" s="209">
        <v>0.58660000000000001</v>
      </c>
      <c r="AD313" s="209">
        <v>0.58660000000000001</v>
      </c>
      <c r="AE313" s="209">
        <v>0.58660000000000001</v>
      </c>
      <c r="AF313" s="220">
        <v>0.58660000000000001</v>
      </c>
      <c r="AG313" s="436"/>
    </row>
    <row r="314" spans="1:33">
      <c r="A314" s="215" t="s">
        <v>943</v>
      </c>
      <c r="B314" s="232" t="s">
        <v>941</v>
      </c>
      <c r="C314" s="232">
        <v>2045</v>
      </c>
      <c r="D314" s="232" t="s">
        <v>680</v>
      </c>
      <c r="E314" s="209">
        <v>0.58660000000000001</v>
      </c>
      <c r="F314" s="209">
        <v>0.58660000000000001</v>
      </c>
      <c r="G314" s="209">
        <v>0.58660000000000001</v>
      </c>
      <c r="H314" s="209">
        <v>0.58660000000000001</v>
      </c>
      <c r="I314" s="209">
        <v>0.58660000000000001</v>
      </c>
      <c r="J314" s="209">
        <v>0.58660000000000001</v>
      </c>
      <c r="K314" s="209">
        <v>0.58660000000000001</v>
      </c>
      <c r="L314" s="209">
        <v>0.58660000000000001</v>
      </c>
      <c r="M314" s="209">
        <v>0.58660000000000001</v>
      </c>
      <c r="N314" s="209">
        <v>0.58660000000000001</v>
      </c>
      <c r="O314" s="209">
        <v>0.58660000000000001</v>
      </c>
      <c r="P314" s="209">
        <v>0.58660000000000001</v>
      </c>
      <c r="Q314" s="209">
        <v>0.58660000000000001</v>
      </c>
      <c r="R314" s="209">
        <v>0.58660000000000001</v>
      </c>
      <c r="S314" s="209">
        <v>0.58660000000000001</v>
      </c>
      <c r="T314" s="209">
        <v>0.58660000000000001</v>
      </c>
      <c r="U314" s="209">
        <v>0.58660000000000001</v>
      </c>
      <c r="V314" s="209">
        <v>0.58660000000000001</v>
      </c>
      <c r="W314" s="209">
        <v>0.58660000000000001</v>
      </c>
      <c r="X314" s="209">
        <v>0.58660000000000001</v>
      </c>
      <c r="Y314" s="209">
        <v>0.58660000000000001</v>
      </c>
      <c r="Z314" s="209">
        <v>0.58660000000000001</v>
      </c>
      <c r="AA314" s="209">
        <v>0.58660000000000001</v>
      </c>
      <c r="AB314" s="209">
        <v>0.58660000000000001</v>
      </c>
      <c r="AC314" s="209">
        <v>0.58660000000000001</v>
      </c>
      <c r="AD314" s="209">
        <v>0.58660000000000001</v>
      </c>
      <c r="AE314" s="209">
        <v>0.58660000000000001</v>
      </c>
      <c r="AF314" s="220">
        <v>0.58660000000000001</v>
      </c>
      <c r="AG314" s="436"/>
    </row>
    <row r="315" spans="1:33">
      <c r="A315" s="215" t="s">
        <v>943</v>
      </c>
      <c r="B315" s="232" t="s">
        <v>941</v>
      </c>
      <c r="C315" s="232">
        <v>2050</v>
      </c>
      <c r="D315" s="232" t="s">
        <v>680</v>
      </c>
      <c r="E315" s="209">
        <v>0.58660000000000001</v>
      </c>
      <c r="F315" s="209">
        <v>0.58660000000000001</v>
      </c>
      <c r="G315" s="209">
        <v>0.58660000000000001</v>
      </c>
      <c r="H315" s="209">
        <v>0.58660000000000001</v>
      </c>
      <c r="I315" s="209">
        <v>0.58660000000000001</v>
      </c>
      <c r="J315" s="209">
        <v>0.58660000000000001</v>
      </c>
      <c r="K315" s="209">
        <v>0.58660000000000001</v>
      </c>
      <c r="L315" s="209">
        <v>0.58660000000000001</v>
      </c>
      <c r="M315" s="209">
        <v>0.58660000000000001</v>
      </c>
      <c r="N315" s="209">
        <v>0.58660000000000001</v>
      </c>
      <c r="O315" s="209">
        <v>0.58660000000000001</v>
      </c>
      <c r="P315" s="209">
        <v>0.58660000000000001</v>
      </c>
      <c r="Q315" s="209">
        <v>0.58660000000000001</v>
      </c>
      <c r="R315" s="209">
        <v>0.58660000000000001</v>
      </c>
      <c r="S315" s="209">
        <v>0.58660000000000001</v>
      </c>
      <c r="T315" s="209">
        <v>0.58660000000000001</v>
      </c>
      <c r="U315" s="209">
        <v>0.58660000000000001</v>
      </c>
      <c r="V315" s="209">
        <v>0.58660000000000001</v>
      </c>
      <c r="W315" s="209">
        <v>0.58660000000000001</v>
      </c>
      <c r="X315" s="209">
        <v>0.58660000000000001</v>
      </c>
      <c r="Y315" s="209">
        <v>0.58660000000000001</v>
      </c>
      <c r="Z315" s="209">
        <v>0.58660000000000001</v>
      </c>
      <c r="AA315" s="209">
        <v>0.58660000000000001</v>
      </c>
      <c r="AB315" s="209">
        <v>0.58660000000000001</v>
      </c>
      <c r="AC315" s="209">
        <v>0.58660000000000001</v>
      </c>
      <c r="AD315" s="209">
        <v>0.58660000000000001</v>
      </c>
      <c r="AE315" s="209">
        <v>0.58660000000000001</v>
      </c>
      <c r="AF315" s="220">
        <v>0.58660000000000001</v>
      </c>
      <c r="AG315" s="436"/>
    </row>
    <row r="316" spans="1:33">
      <c r="A316" s="215" t="s">
        <v>943</v>
      </c>
      <c r="B316" s="232" t="s">
        <v>941</v>
      </c>
      <c r="C316" s="232">
        <v>2060</v>
      </c>
      <c r="D316" s="232" t="s">
        <v>680</v>
      </c>
      <c r="E316" s="209">
        <v>0.58660000000000001</v>
      </c>
      <c r="F316" s="209">
        <v>0.58660000000000001</v>
      </c>
      <c r="G316" s="209">
        <v>0.58660000000000001</v>
      </c>
      <c r="H316" s="209">
        <v>0.58660000000000001</v>
      </c>
      <c r="I316" s="209">
        <v>0.58660000000000001</v>
      </c>
      <c r="J316" s="209">
        <v>0.58660000000000001</v>
      </c>
      <c r="K316" s="209">
        <v>0.58660000000000001</v>
      </c>
      <c r="L316" s="209">
        <v>0.58660000000000001</v>
      </c>
      <c r="M316" s="209">
        <v>0.58660000000000001</v>
      </c>
      <c r="N316" s="209">
        <v>0.58660000000000001</v>
      </c>
      <c r="O316" s="209">
        <v>0.58660000000000001</v>
      </c>
      <c r="P316" s="209">
        <v>0.58660000000000001</v>
      </c>
      <c r="Q316" s="209">
        <v>0.58660000000000001</v>
      </c>
      <c r="R316" s="209">
        <v>0.58660000000000001</v>
      </c>
      <c r="S316" s="209">
        <v>0.58660000000000001</v>
      </c>
      <c r="T316" s="209">
        <v>0.58660000000000001</v>
      </c>
      <c r="U316" s="209">
        <v>0.58660000000000001</v>
      </c>
      <c r="V316" s="209">
        <v>0.58660000000000001</v>
      </c>
      <c r="W316" s="209">
        <v>0.58660000000000001</v>
      </c>
      <c r="X316" s="209">
        <v>0.58660000000000001</v>
      </c>
      <c r="Y316" s="209">
        <v>0.58660000000000001</v>
      </c>
      <c r="Z316" s="209">
        <v>0.58660000000000001</v>
      </c>
      <c r="AA316" s="209">
        <v>0.58660000000000001</v>
      </c>
      <c r="AB316" s="209">
        <v>0.58660000000000001</v>
      </c>
      <c r="AC316" s="209">
        <v>0.58660000000000001</v>
      </c>
      <c r="AD316" s="209">
        <v>0.58660000000000001</v>
      </c>
      <c r="AE316" s="209">
        <v>0.58660000000000001</v>
      </c>
      <c r="AF316" s="220">
        <v>0.58660000000000001</v>
      </c>
      <c r="AG316" s="436"/>
    </row>
    <row r="317" spans="1:33">
      <c r="A317" s="215" t="s">
        <v>943</v>
      </c>
      <c r="B317" s="232" t="s">
        <v>941</v>
      </c>
      <c r="C317" s="232">
        <v>2070</v>
      </c>
      <c r="D317" s="232" t="s">
        <v>680</v>
      </c>
      <c r="E317" s="209">
        <v>0.58660000000000001</v>
      </c>
      <c r="F317" s="209">
        <v>0.58660000000000001</v>
      </c>
      <c r="G317" s="209">
        <v>0.58660000000000001</v>
      </c>
      <c r="H317" s="209">
        <v>0.58660000000000001</v>
      </c>
      <c r="I317" s="209">
        <v>0.58660000000000001</v>
      </c>
      <c r="J317" s="209">
        <v>0.58660000000000001</v>
      </c>
      <c r="K317" s="209">
        <v>0.58660000000000001</v>
      </c>
      <c r="L317" s="209">
        <v>0.58660000000000001</v>
      </c>
      <c r="M317" s="209">
        <v>0.58660000000000001</v>
      </c>
      <c r="N317" s="209">
        <v>0.58660000000000001</v>
      </c>
      <c r="O317" s="209">
        <v>0.58660000000000001</v>
      </c>
      <c r="P317" s="209">
        <v>0.58660000000000001</v>
      </c>
      <c r="Q317" s="209">
        <v>0.58660000000000001</v>
      </c>
      <c r="R317" s="209">
        <v>0.58660000000000001</v>
      </c>
      <c r="S317" s="209">
        <v>0.58660000000000001</v>
      </c>
      <c r="T317" s="209">
        <v>0.58660000000000001</v>
      </c>
      <c r="U317" s="209">
        <v>0.58660000000000001</v>
      </c>
      <c r="V317" s="209">
        <v>0.58660000000000001</v>
      </c>
      <c r="W317" s="209">
        <v>0.58660000000000001</v>
      </c>
      <c r="X317" s="209">
        <v>0.58660000000000001</v>
      </c>
      <c r="Y317" s="209">
        <v>0.58660000000000001</v>
      </c>
      <c r="Z317" s="209">
        <v>0.58660000000000001</v>
      </c>
      <c r="AA317" s="209">
        <v>0.58660000000000001</v>
      </c>
      <c r="AB317" s="209">
        <v>0.58660000000000001</v>
      </c>
      <c r="AC317" s="209">
        <v>0.58660000000000001</v>
      </c>
      <c r="AD317" s="209">
        <v>0.58660000000000001</v>
      </c>
      <c r="AE317" s="209">
        <v>0.58660000000000001</v>
      </c>
      <c r="AF317" s="220">
        <v>0.58660000000000001</v>
      </c>
      <c r="AG317" s="436"/>
    </row>
    <row r="318" spans="1:33">
      <c r="A318" s="215" t="s">
        <v>943</v>
      </c>
      <c r="B318" s="232" t="s">
        <v>941</v>
      </c>
      <c r="C318" s="232">
        <v>2080</v>
      </c>
      <c r="D318" s="232" t="s">
        <v>680</v>
      </c>
      <c r="E318" s="209">
        <v>0.58660000000000001</v>
      </c>
      <c r="F318" s="209">
        <v>0.58660000000000001</v>
      </c>
      <c r="G318" s="209">
        <v>0.58660000000000001</v>
      </c>
      <c r="H318" s="209">
        <v>0.58660000000000001</v>
      </c>
      <c r="I318" s="209">
        <v>0.58660000000000001</v>
      </c>
      <c r="J318" s="209">
        <v>0.58660000000000001</v>
      </c>
      <c r="K318" s="209">
        <v>0.58660000000000001</v>
      </c>
      <c r="L318" s="209">
        <v>0.58660000000000001</v>
      </c>
      <c r="M318" s="209">
        <v>0.58660000000000001</v>
      </c>
      <c r="N318" s="209">
        <v>0.58660000000000001</v>
      </c>
      <c r="O318" s="209">
        <v>0.58660000000000001</v>
      </c>
      <c r="P318" s="209">
        <v>0.58660000000000001</v>
      </c>
      <c r="Q318" s="209">
        <v>0.58660000000000001</v>
      </c>
      <c r="R318" s="209">
        <v>0.58660000000000001</v>
      </c>
      <c r="S318" s="209">
        <v>0.58660000000000001</v>
      </c>
      <c r="T318" s="209">
        <v>0.58660000000000001</v>
      </c>
      <c r="U318" s="209">
        <v>0.58660000000000001</v>
      </c>
      <c r="V318" s="209">
        <v>0.58660000000000001</v>
      </c>
      <c r="W318" s="209">
        <v>0.58660000000000001</v>
      </c>
      <c r="X318" s="209">
        <v>0.58660000000000001</v>
      </c>
      <c r="Y318" s="209">
        <v>0.58660000000000001</v>
      </c>
      <c r="Z318" s="209">
        <v>0.58660000000000001</v>
      </c>
      <c r="AA318" s="209">
        <v>0.58660000000000001</v>
      </c>
      <c r="AB318" s="209">
        <v>0.58660000000000001</v>
      </c>
      <c r="AC318" s="209">
        <v>0.58660000000000001</v>
      </c>
      <c r="AD318" s="209">
        <v>0.58660000000000001</v>
      </c>
      <c r="AE318" s="209">
        <v>0.58660000000000001</v>
      </c>
      <c r="AF318" s="220">
        <v>0.58660000000000001</v>
      </c>
      <c r="AG318" s="436"/>
    </row>
    <row r="319" spans="1:33">
      <c r="A319" s="215" t="s">
        <v>943</v>
      </c>
      <c r="B319" s="232" t="s">
        <v>941</v>
      </c>
      <c r="C319" s="232">
        <v>2090</v>
      </c>
      <c r="D319" s="232" t="s">
        <v>680</v>
      </c>
      <c r="E319" s="209">
        <v>0.58660000000000001</v>
      </c>
      <c r="F319" s="209">
        <v>0.58660000000000001</v>
      </c>
      <c r="G319" s="209">
        <v>0.58660000000000001</v>
      </c>
      <c r="H319" s="209">
        <v>0.58660000000000001</v>
      </c>
      <c r="I319" s="209">
        <v>0.58660000000000001</v>
      </c>
      <c r="J319" s="209">
        <v>0.58660000000000001</v>
      </c>
      <c r="K319" s="209">
        <v>0.58660000000000001</v>
      </c>
      <c r="L319" s="209">
        <v>0.58660000000000001</v>
      </c>
      <c r="M319" s="209">
        <v>0.58660000000000001</v>
      </c>
      <c r="N319" s="209">
        <v>0.58660000000000001</v>
      </c>
      <c r="O319" s="209">
        <v>0.58660000000000001</v>
      </c>
      <c r="P319" s="209">
        <v>0.58660000000000001</v>
      </c>
      <c r="Q319" s="209">
        <v>0.58660000000000001</v>
      </c>
      <c r="R319" s="209">
        <v>0.58660000000000001</v>
      </c>
      <c r="S319" s="209">
        <v>0.58660000000000001</v>
      </c>
      <c r="T319" s="209">
        <v>0.58660000000000001</v>
      </c>
      <c r="U319" s="209">
        <v>0.58660000000000001</v>
      </c>
      <c r="V319" s="209">
        <v>0.58660000000000001</v>
      </c>
      <c r="W319" s="209">
        <v>0.58660000000000001</v>
      </c>
      <c r="X319" s="209">
        <v>0.58660000000000001</v>
      </c>
      <c r="Y319" s="209">
        <v>0.58660000000000001</v>
      </c>
      <c r="Z319" s="209">
        <v>0.58660000000000001</v>
      </c>
      <c r="AA319" s="209">
        <v>0.58660000000000001</v>
      </c>
      <c r="AB319" s="209">
        <v>0.58660000000000001</v>
      </c>
      <c r="AC319" s="209">
        <v>0.58660000000000001</v>
      </c>
      <c r="AD319" s="209">
        <v>0.58660000000000001</v>
      </c>
      <c r="AE319" s="209">
        <v>0.58660000000000001</v>
      </c>
      <c r="AF319" s="220">
        <v>0.58660000000000001</v>
      </c>
      <c r="AG319" s="436"/>
    </row>
    <row r="320" spans="1:33" ht="16.2" thickBot="1">
      <c r="A320" s="449" t="s">
        <v>943</v>
      </c>
      <c r="B320" s="450" t="s">
        <v>941</v>
      </c>
      <c r="C320" s="450">
        <v>2100</v>
      </c>
      <c r="D320" s="450" t="s">
        <v>680</v>
      </c>
      <c r="E320" s="212">
        <v>0.58660000000000001</v>
      </c>
      <c r="F320" s="212">
        <v>0.58660000000000001</v>
      </c>
      <c r="G320" s="212">
        <v>0.58660000000000001</v>
      </c>
      <c r="H320" s="212">
        <v>0.58660000000000001</v>
      </c>
      <c r="I320" s="212">
        <v>0.58660000000000001</v>
      </c>
      <c r="J320" s="212">
        <v>0.58660000000000001</v>
      </c>
      <c r="K320" s="212">
        <v>0.58660000000000001</v>
      </c>
      <c r="L320" s="212">
        <v>0.58660000000000001</v>
      </c>
      <c r="M320" s="212">
        <v>0.58660000000000001</v>
      </c>
      <c r="N320" s="212">
        <v>0.58660000000000001</v>
      </c>
      <c r="O320" s="212">
        <v>0.58660000000000001</v>
      </c>
      <c r="P320" s="212">
        <v>0.58660000000000001</v>
      </c>
      <c r="Q320" s="212">
        <v>0.58660000000000001</v>
      </c>
      <c r="R320" s="212">
        <v>0.58660000000000001</v>
      </c>
      <c r="S320" s="212">
        <v>0.58660000000000001</v>
      </c>
      <c r="T320" s="212">
        <v>0.58660000000000001</v>
      </c>
      <c r="U320" s="212">
        <v>0.58660000000000001</v>
      </c>
      <c r="V320" s="212">
        <v>0.58660000000000001</v>
      </c>
      <c r="W320" s="212">
        <v>0.58660000000000001</v>
      </c>
      <c r="X320" s="212">
        <v>0.58660000000000001</v>
      </c>
      <c r="Y320" s="212">
        <v>0.58660000000000001</v>
      </c>
      <c r="Z320" s="212">
        <v>0.58660000000000001</v>
      </c>
      <c r="AA320" s="212">
        <v>0.58660000000000001</v>
      </c>
      <c r="AB320" s="212">
        <v>0.58660000000000001</v>
      </c>
      <c r="AC320" s="212">
        <v>0.58660000000000001</v>
      </c>
      <c r="AD320" s="212">
        <v>0.58660000000000001</v>
      </c>
      <c r="AE320" s="212">
        <v>0.58660000000000001</v>
      </c>
      <c r="AF320" s="451">
        <v>0.58660000000000001</v>
      </c>
      <c r="AG320" s="452"/>
    </row>
    <row r="321" spans="1:33">
      <c r="A321" s="215" t="s">
        <v>944</v>
      </c>
      <c r="B321" s="232" t="s">
        <v>938</v>
      </c>
      <c r="C321" s="232">
        <v>2019</v>
      </c>
      <c r="D321" s="232" t="s">
        <v>674</v>
      </c>
      <c r="E321" s="209">
        <v>1.105628E-2</v>
      </c>
      <c r="F321" s="209">
        <v>1.105628E-2</v>
      </c>
      <c r="G321" s="209">
        <v>1.105628E-2</v>
      </c>
      <c r="H321" s="209">
        <v>1.105628E-2</v>
      </c>
      <c r="I321" s="209">
        <v>1.105628E-2</v>
      </c>
      <c r="J321" s="209">
        <v>1.105628E-2</v>
      </c>
      <c r="K321" s="209">
        <v>1.105628E-2</v>
      </c>
      <c r="L321" s="209">
        <v>1.105628E-2</v>
      </c>
      <c r="M321" s="209">
        <v>1.105628E-2</v>
      </c>
      <c r="N321" s="209">
        <v>1.105628E-2</v>
      </c>
      <c r="O321" s="209">
        <v>1.105628E-2</v>
      </c>
      <c r="P321" s="209">
        <v>1.105628E-2</v>
      </c>
      <c r="Q321" s="209">
        <v>1.105628E-2</v>
      </c>
      <c r="R321" s="209">
        <v>1.105628E-2</v>
      </c>
      <c r="S321" s="209">
        <v>1.105628E-2</v>
      </c>
      <c r="T321" s="209">
        <v>1.105628E-2</v>
      </c>
      <c r="U321" s="209">
        <v>1.105628E-2</v>
      </c>
      <c r="V321" s="209">
        <v>1.105628E-2</v>
      </c>
      <c r="W321" s="209">
        <v>1.105628E-2</v>
      </c>
      <c r="X321" s="209">
        <v>1.105628E-2</v>
      </c>
      <c r="Y321" s="209">
        <v>1.105628E-2</v>
      </c>
      <c r="Z321" s="209">
        <v>1.105628E-2</v>
      </c>
      <c r="AA321" s="209">
        <v>1.105628E-2</v>
      </c>
      <c r="AB321" s="209">
        <v>1.105628E-2</v>
      </c>
      <c r="AC321" s="209">
        <v>1.105628E-2</v>
      </c>
      <c r="AD321" s="209">
        <v>1.105628E-2</v>
      </c>
      <c r="AE321" s="209">
        <v>1.105628E-2</v>
      </c>
      <c r="AF321" s="220">
        <v>1.105628E-2</v>
      </c>
      <c r="AG321" s="436"/>
    </row>
    <row r="322" spans="1:33">
      <c r="A322" s="215" t="s">
        <v>944</v>
      </c>
      <c r="B322" s="232" t="s">
        <v>938</v>
      </c>
      <c r="C322">
        <v>2020</v>
      </c>
      <c r="D322" s="232" t="s">
        <v>674</v>
      </c>
      <c r="E322" s="209">
        <v>1.105628E-2</v>
      </c>
      <c r="F322" s="209">
        <v>1.105628E-2</v>
      </c>
      <c r="G322" s="209">
        <v>1.105628E-2</v>
      </c>
      <c r="H322" s="209">
        <v>1.105628E-2</v>
      </c>
      <c r="I322" s="209">
        <v>1.105628E-2</v>
      </c>
      <c r="J322" s="209">
        <v>1.105628E-2</v>
      </c>
      <c r="K322" s="209">
        <v>1.105628E-2</v>
      </c>
      <c r="L322" s="209">
        <v>1.105628E-2</v>
      </c>
      <c r="M322" s="209">
        <v>1.105628E-2</v>
      </c>
      <c r="N322" s="209">
        <v>1.105628E-2</v>
      </c>
      <c r="O322" s="209">
        <v>1.105628E-2</v>
      </c>
      <c r="P322" s="209">
        <v>1.105628E-2</v>
      </c>
      <c r="Q322" s="209">
        <v>1.105628E-2</v>
      </c>
      <c r="R322" s="209">
        <v>1.105628E-2</v>
      </c>
      <c r="S322" s="209">
        <v>1.105628E-2</v>
      </c>
      <c r="T322" s="209">
        <v>1.105628E-2</v>
      </c>
      <c r="U322" s="209">
        <v>1.105628E-2</v>
      </c>
      <c r="V322" s="209">
        <v>1.105628E-2</v>
      </c>
      <c r="W322" s="209">
        <v>1.105628E-2</v>
      </c>
      <c r="X322" s="209">
        <v>1.105628E-2</v>
      </c>
      <c r="Y322" s="209">
        <v>1.105628E-2</v>
      </c>
      <c r="Z322" s="209">
        <v>1.105628E-2</v>
      </c>
      <c r="AA322" s="209">
        <v>1.105628E-2</v>
      </c>
      <c r="AB322" s="209">
        <v>1.105628E-2</v>
      </c>
      <c r="AC322" s="209">
        <v>1.105628E-2</v>
      </c>
      <c r="AD322" s="209">
        <v>1.105628E-2</v>
      </c>
      <c r="AE322" s="209">
        <v>1.105628E-2</v>
      </c>
      <c r="AF322" s="220">
        <v>1.105628E-2</v>
      </c>
      <c r="AG322" s="436"/>
    </row>
    <row r="323" spans="1:33">
      <c r="A323" s="215" t="s">
        <v>944</v>
      </c>
      <c r="B323" s="232" t="s">
        <v>938</v>
      </c>
      <c r="C323" s="232">
        <v>2025</v>
      </c>
      <c r="D323" s="232" t="s">
        <v>674</v>
      </c>
      <c r="E323" s="209">
        <v>1.105628E-2</v>
      </c>
      <c r="F323" s="209">
        <v>1.105628E-2</v>
      </c>
      <c r="G323" s="209">
        <v>1.105628E-2</v>
      </c>
      <c r="H323" s="209">
        <v>1.105628E-2</v>
      </c>
      <c r="I323" s="209">
        <v>1.105628E-2</v>
      </c>
      <c r="J323" s="209">
        <v>1.105628E-2</v>
      </c>
      <c r="K323" s="209">
        <v>1.105628E-2</v>
      </c>
      <c r="L323" s="209">
        <v>1.105628E-2</v>
      </c>
      <c r="M323" s="209">
        <v>1.105628E-2</v>
      </c>
      <c r="N323" s="209">
        <v>1.105628E-2</v>
      </c>
      <c r="O323" s="209">
        <v>1.105628E-2</v>
      </c>
      <c r="P323" s="209">
        <v>1.105628E-2</v>
      </c>
      <c r="Q323" s="209">
        <v>1.105628E-2</v>
      </c>
      <c r="R323" s="209">
        <v>1.105628E-2</v>
      </c>
      <c r="S323" s="209">
        <v>1.105628E-2</v>
      </c>
      <c r="T323" s="209">
        <v>1.105628E-2</v>
      </c>
      <c r="U323" s="209">
        <v>1.105628E-2</v>
      </c>
      <c r="V323" s="209">
        <v>1.105628E-2</v>
      </c>
      <c r="W323" s="209">
        <v>1.105628E-2</v>
      </c>
      <c r="X323" s="209">
        <v>1.105628E-2</v>
      </c>
      <c r="Y323" s="209">
        <v>1.105628E-2</v>
      </c>
      <c r="Z323" s="209">
        <v>1.105628E-2</v>
      </c>
      <c r="AA323" s="209">
        <v>1.105628E-2</v>
      </c>
      <c r="AB323" s="209">
        <v>1.105628E-2</v>
      </c>
      <c r="AC323" s="209">
        <v>1.105628E-2</v>
      </c>
      <c r="AD323" s="209">
        <v>1.105628E-2</v>
      </c>
      <c r="AE323" s="209">
        <v>1.105628E-2</v>
      </c>
      <c r="AF323" s="220">
        <v>1.105628E-2</v>
      </c>
      <c r="AG323" s="436"/>
    </row>
    <row r="324" spans="1:33">
      <c r="A324" s="215" t="s">
        <v>944</v>
      </c>
      <c r="B324" s="232" t="s">
        <v>938</v>
      </c>
      <c r="C324" s="232">
        <v>2030</v>
      </c>
      <c r="D324" s="232" t="s">
        <v>674</v>
      </c>
      <c r="E324" s="209">
        <v>1.105628E-2</v>
      </c>
      <c r="F324" s="209">
        <v>1.105628E-2</v>
      </c>
      <c r="G324" s="209">
        <v>1.105628E-2</v>
      </c>
      <c r="H324" s="209">
        <v>1.105628E-2</v>
      </c>
      <c r="I324" s="209">
        <v>1.105628E-2</v>
      </c>
      <c r="J324" s="209">
        <v>1.105628E-2</v>
      </c>
      <c r="K324" s="209">
        <v>1.105628E-2</v>
      </c>
      <c r="L324" s="209">
        <v>1.105628E-2</v>
      </c>
      <c r="M324" s="209">
        <v>1.105628E-2</v>
      </c>
      <c r="N324" s="209">
        <v>1.105628E-2</v>
      </c>
      <c r="O324" s="209">
        <v>1.105628E-2</v>
      </c>
      <c r="P324" s="209">
        <v>1.105628E-2</v>
      </c>
      <c r="Q324" s="209">
        <v>1.105628E-2</v>
      </c>
      <c r="R324" s="209">
        <v>1.105628E-2</v>
      </c>
      <c r="S324" s="209">
        <v>1.105628E-2</v>
      </c>
      <c r="T324" s="209">
        <v>1.105628E-2</v>
      </c>
      <c r="U324" s="209">
        <v>1.105628E-2</v>
      </c>
      <c r="V324" s="209">
        <v>1.105628E-2</v>
      </c>
      <c r="W324" s="209">
        <v>1.105628E-2</v>
      </c>
      <c r="X324" s="209">
        <v>1.105628E-2</v>
      </c>
      <c r="Y324" s="209">
        <v>1.105628E-2</v>
      </c>
      <c r="Z324" s="209">
        <v>1.105628E-2</v>
      </c>
      <c r="AA324" s="209">
        <v>1.105628E-2</v>
      </c>
      <c r="AB324" s="209">
        <v>1.105628E-2</v>
      </c>
      <c r="AC324" s="209">
        <v>1.105628E-2</v>
      </c>
      <c r="AD324" s="209">
        <v>1.105628E-2</v>
      </c>
      <c r="AE324" s="209">
        <v>1.105628E-2</v>
      </c>
      <c r="AF324" s="220">
        <v>1.105628E-2</v>
      </c>
      <c r="AG324" s="436"/>
    </row>
    <row r="325" spans="1:33">
      <c r="A325" s="215" t="s">
        <v>944</v>
      </c>
      <c r="B325" s="232" t="s">
        <v>938</v>
      </c>
      <c r="C325" s="232">
        <v>2035</v>
      </c>
      <c r="D325" s="232" t="s">
        <v>674</v>
      </c>
      <c r="E325" s="209">
        <v>1.105628E-2</v>
      </c>
      <c r="F325" s="209">
        <v>1.105628E-2</v>
      </c>
      <c r="G325" s="209">
        <v>1.105628E-2</v>
      </c>
      <c r="H325" s="209">
        <v>1.105628E-2</v>
      </c>
      <c r="I325" s="209">
        <v>1.105628E-2</v>
      </c>
      <c r="J325" s="209">
        <v>1.105628E-2</v>
      </c>
      <c r="K325" s="209">
        <v>1.105628E-2</v>
      </c>
      <c r="L325" s="209">
        <v>1.105628E-2</v>
      </c>
      <c r="M325" s="209">
        <v>1.105628E-2</v>
      </c>
      <c r="N325" s="209">
        <v>1.105628E-2</v>
      </c>
      <c r="O325" s="209">
        <v>1.105628E-2</v>
      </c>
      <c r="P325" s="209">
        <v>1.105628E-2</v>
      </c>
      <c r="Q325" s="209">
        <v>1.105628E-2</v>
      </c>
      <c r="R325" s="209">
        <v>1.105628E-2</v>
      </c>
      <c r="S325" s="209">
        <v>1.105628E-2</v>
      </c>
      <c r="T325" s="209">
        <v>1.105628E-2</v>
      </c>
      <c r="U325" s="209">
        <v>1.105628E-2</v>
      </c>
      <c r="V325" s="209">
        <v>1.105628E-2</v>
      </c>
      <c r="W325" s="209">
        <v>1.105628E-2</v>
      </c>
      <c r="X325" s="209">
        <v>1.105628E-2</v>
      </c>
      <c r="Y325" s="209">
        <v>1.105628E-2</v>
      </c>
      <c r="Z325" s="209">
        <v>1.105628E-2</v>
      </c>
      <c r="AA325" s="209">
        <v>1.105628E-2</v>
      </c>
      <c r="AB325" s="209">
        <v>1.105628E-2</v>
      </c>
      <c r="AC325" s="209">
        <v>1.105628E-2</v>
      </c>
      <c r="AD325" s="209">
        <v>1.105628E-2</v>
      </c>
      <c r="AE325" s="209">
        <v>1.105628E-2</v>
      </c>
      <c r="AF325" s="220">
        <v>1.105628E-2</v>
      </c>
      <c r="AG325" s="436"/>
    </row>
    <row r="326" spans="1:33">
      <c r="A326" s="215" t="s">
        <v>944</v>
      </c>
      <c r="B326" s="232" t="s">
        <v>938</v>
      </c>
      <c r="C326" s="232">
        <v>2040</v>
      </c>
      <c r="D326" s="232" t="s">
        <v>674</v>
      </c>
      <c r="E326" s="209">
        <v>1.105628E-2</v>
      </c>
      <c r="F326" s="209">
        <v>1.105628E-2</v>
      </c>
      <c r="G326" s="209">
        <v>1.105628E-2</v>
      </c>
      <c r="H326" s="209">
        <v>1.105628E-2</v>
      </c>
      <c r="I326" s="209">
        <v>1.105628E-2</v>
      </c>
      <c r="J326" s="209">
        <v>1.105628E-2</v>
      </c>
      <c r="K326" s="209">
        <v>1.105628E-2</v>
      </c>
      <c r="L326" s="209">
        <v>1.105628E-2</v>
      </c>
      <c r="M326" s="209">
        <v>1.105628E-2</v>
      </c>
      <c r="N326" s="209">
        <v>1.105628E-2</v>
      </c>
      <c r="O326" s="209">
        <v>1.105628E-2</v>
      </c>
      <c r="P326" s="209">
        <v>1.105628E-2</v>
      </c>
      <c r="Q326" s="209">
        <v>1.105628E-2</v>
      </c>
      <c r="R326" s="209">
        <v>1.105628E-2</v>
      </c>
      <c r="S326" s="209">
        <v>1.105628E-2</v>
      </c>
      <c r="T326" s="209">
        <v>1.105628E-2</v>
      </c>
      <c r="U326" s="209">
        <v>1.105628E-2</v>
      </c>
      <c r="V326" s="209">
        <v>1.105628E-2</v>
      </c>
      <c r="W326" s="209">
        <v>1.105628E-2</v>
      </c>
      <c r="X326" s="209">
        <v>1.105628E-2</v>
      </c>
      <c r="Y326" s="209">
        <v>1.105628E-2</v>
      </c>
      <c r="Z326" s="209">
        <v>1.105628E-2</v>
      </c>
      <c r="AA326" s="209">
        <v>1.105628E-2</v>
      </c>
      <c r="AB326" s="209">
        <v>1.105628E-2</v>
      </c>
      <c r="AC326" s="209">
        <v>1.105628E-2</v>
      </c>
      <c r="AD326" s="209">
        <v>1.105628E-2</v>
      </c>
      <c r="AE326" s="209">
        <v>1.105628E-2</v>
      </c>
      <c r="AF326" s="220">
        <v>1.105628E-2</v>
      </c>
      <c r="AG326" s="436"/>
    </row>
    <row r="327" spans="1:33">
      <c r="A327" s="215" t="s">
        <v>944</v>
      </c>
      <c r="B327" s="232" t="s">
        <v>938</v>
      </c>
      <c r="C327" s="232">
        <v>2045</v>
      </c>
      <c r="D327" s="232" t="s">
        <v>674</v>
      </c>
      <c r="E327" s="209">
        <v>1.105628E-2</v>
      </c>
      <c r="F327" s="209">
        <v>1.105628E-2</v>
      </c>
      <c r="G327" s="209">
        <v>1.105628E-2</v>
      </c>
      <c r="H327" s="209">
        <v>1.105628E-2</v>
      </c>
      <c r="I327" s="209">
        <v>1.105628E-2</v>
      </c>
      <c r="J327" s="209">
        <v>1.105628E-2</v>
      </c>
      <c r="K327" s="209">
        <v>1.105628E-2</v>
      </c>
      <c r="L327" s="209">
        <v>1.105628E-2</v>
      </c>
      <c r="M327" s="209">
        <v>1.105628E-2</v>
      </c>
      <c r="N327" s="209">
        <v>1.105628E-2</v>
      </c>
      <c r="O327" s="209">
        <v>1.105628E-2</v>
      </c>
      <c r="P327" s="209">
        <v>1.105628E-2</v>
      </c>
      <c r="Q327" s="209">
        <v>1.105628E-2</v>
      </c>
      <c r="R327" s="209">
        <v>1.105628E-2</v>
      </c>
      <c r="S327" s="209">
        <v>1.105628E-2</v>
      </c>
      <c r="T327" s="209">
        <v>1.105628E-2</v>
      </c>
      <c r="U327" s="209">
        <v>1.105628E-2</v>
      </c>
      <c r="V327" s="209">
        <v>1.105628E-2</v>
      </c>
      <c r="W327" s="209">
        <v>1.105628E-2</v>
      </c>
      <c r="X327" s="209">
        <v>1.105628E-2</v>
      </c>
      <c r="Y327" s="209">
        <v>1.105628E-2</v>
      </c>
      <c r="Z327" s="209">
        <v>1.105628E-2</v>
      </c>
      <c r="AA327" s="209">
        <v>1.105628E-2</v>
      </c>
      <c r="AB327" s="209">
        <v>1.105628E-2</v>
      </c>
      <c r="AC327" s="209">
        <v>1.105628E-2</v>
      </c>
      <c r="AD327" s="209">
        <v>1.105628E-2</v>
      </c>
      <c r="AE327" s="209">
        <v>1.105628E-2</v>
      </c>
      <c r="AF327" s="220">
        <v>1.105628E-2</v>
      </c>
      <c r="AG327" s="436"/>
    </row>
    <row r="328" spans="1:33">
      <c r="A328" s="215" t="s">
        <v>944</v>
      </c>
      <c r="B328" s="232" t="s">
        <v>938</v>
      </c>
      <c r="C328" s="232">
        <v>2050</v>
      </c>
      <c r="D328" s="232" t="s">
        <v>674</v>
      </c>
      <c r="E328" s="209">
        <v>1.105628E-2</v>
      </c>
      <c r="F328" s="209">
        <v>1.105628E-2</v>
      </c>
      <c r="G328" s="209">
        <v>1.105628E-2</v>
      </c>
      <c r="H328" s="209">
        <v>1.105628E-2</v>
      </c>
      <c r="I328" s="209">
        <v>1.105628E-2</v>
      </c>
      <c r="J328" s="209">
        <v>1.105628E-2</v>
      </c>
      <c r="K328" s="209">
        <v>1.105628E-2</v>
      </c>
      <c r="L328" s="209">
        <v>1.105628E-2</v>
      </c>
      <c r="M328" s="209">
        <v>1.105628E-2</v>
      </c>
      <c r="N328" s="209">
        <v>1.105628E-2</v>
      </c>
      <c r="O328" s="209">
        <v>1.105628E-2</v>
      </c>
      <c r="P328" s="209">
        <v>1.105628E-2</v>
      </c>
      <c r="Q328" s="209">
        <v>1.105628E-2</v>
      </c>
      <c r="R328" s="209">
        <v>1.105628E-2</v>
      </c>
      <c r="S328" s="209">
        <v>1.105628E-2</v>
      </c>
      <c r="T328" s="209">
        <v>1.105628E-2</v>
      </c>
      <c r="U328" s="209">
        <v>1.105628E-2</v>
      </c>
      <c r="V328" s="209">
        <v>1.105628E-2</v>
      </c>
      <c r="W328" s="209">
        <v>1.105628E-2</v>
      </c>
      <c r="X328" s="209">
        <v>1.105628E-2</v>
      </c>
      <c r="Y328" s="209">
        <v>1.105628E-2</v>
      </c>
      <c r="Z328" s="209">
        <v>1.105628E-2</v>
      </c>
      <c r="AA328" s="209">
        <v>1.105628E-2</v>
      </c>
      <c r="AB328" s="209">
        <v>1.105628E-2</v>
      </c>
      <c r="AC328" s="209">
        <v>1.105628E-2</v>
      </c>
      <c r="AD328" s="209">
        <v>1.105628E-2</v>
      </c>
      <c r="AE328" s="209">
        <v>1.105628E-2</v>
      </c>
      <c r="AF328" s="220">
        <v>1.105628E-2</v>
      </c>
      <c r="AG328" s="436"/>
    </row>
    <row r="329" spans="1:33">
      <c r="A329" s="215" t="s">
        <v>944</v>
      </c>
      <c r="B329" s="232" t="s">
        <v>938</v>
      </c>
      <c r="C329" s="232">
        <v>2060</v>
      </c>
      <c r="D329" s="232" t="s">
        <v>674</v>
      </c>
      <c r="E329" s="209">
        <v>1.105628E-2</v>
      </c>
      <c r="F329" s="209">
        <v>1.105628E-2</v>
      </c>
      <c r="G329" s="209">
        <v>1.105628E-2</v>
      </c>
      <c r="H329" s="209">
        <v>1.105628E-2</v>
      </c>
      <c r="I329" s="209">
        <v>1.105628E-2</v>
      </c>
      <c r="J329" s="209">
        <v>1.105628E-2</v>
      </c>
      <c r="K329" s="209">
        <v>1.105628E-2</v>
      </c>
      <c r="L329" s="209">
        <v>1.105628E-2</v>
      </c>
      <c r="M329" s="209">
        <v>1.105628E-2</v>
      </c>
      <c r="N329" s="209">
        <v>1.105628E-2</v>
      </c>
      <c r="O329" s="209">
        <v>1.105628E-2</v>
      </c>
      <c r="P329" s="209">
        <v>1.105628E-2</v>
      </c>
      <c r="Q329" s="209">
        <v>1.105628E-2</v>
      </c>
      <c r="R329" s="209">
        <v>1.105628E-2</v>
      </c>
      <c r="S329" s="209">
        <v>1.105628E-2</v>
      </c>
      <c r="T329" s="209">
        <v>1.105628E-2</v>
      </c>
      <c r="U329" s="209">
        <v>1.105628E-2</v>
      </c>
      <c r="V329" s="209">
        <v>1.105628E-2</v>
      </c>
      <c r="W329" s="209">
        <v>1.105628E-2</v>
      </c>
      <c r="X329" s="209">
        <v>1.105628E-2</v>
      </c>
      <c r="Y329" s="209">
        <v>1.105628E-2</v>
      </c>
      <c r="Z329" s="209">
        <v>1.105628E-2</v>
      </c>
      <c r="AA329" s="209">
        <v>1.105628E-2</v>
      </c>
      <c r="AB329" s="209">
        <v>1.105628E-2</v>
      </c>
      <c r="AC329" s="209">
        <v>1.105628E-2</v>
      </c>
      <c r="AD329" s="209">
        <v>1.105628E-2</v>
      </c>
      <c r="AE329" s="209">
        <v>1.105628E-2</v>
      </c>
      <c r="AF329" s="220">
        <v>1.105628E-2</v>
      </c>
      <c r="AG329" s="436"/>
    </row>
    <row r="330" spans="1:33">
      <c r="A330" s="215" t="s">
        <v>944</v>
      </c>
      <c r="B330" s="232" t="s">
        <v>938</v>
      </c>
      <c r="C330" s="232">
        <v>2070</v>
      </c>
      <c r="D330" s="232" t="s">
        <v>674</v>
      </c>
      <c r="E330" s="209">
        <v>1.105628E-2</v>
      </c>
      <c r="F330" s="209">
        <v>1.105628E-2</v>
      </c>
      <c r="G330" s="209">
        <v>1.105628E-2</v>
      </c>
      <c r="H330" s="209">
        <v>1.105628E-2</v>
      </c>
      <c r="I330" s="209">
        <v>1.105628E-2</v>
      </c>
      <c r="J330" s="209">
        <v>1.105628E-2</v>
      </c>
      <c r="K330" s="209">
        <v>1.105628E-2</v>
      </c>
      <c r="L330" s="209">
        <v>1.105628E-2</v>
      </c>
      <c r="M330" s="209">
        <v>1.105628E-2</v>
      </c>
      <c r="N330" s="209">
        <v>1.105628E-2</v>
      </c>
      <c r="O330" s="209">
        <v>1.105628E-2</v>
      </c>
      <c r="P330" s="209">
        <v>1.105628E-2</v>
      </c>
      <c r="Q330" s="209">
        <v>1.105628E-2</v>
      </c>
      <c r="R330" s="209">
        <v>1.105628E-2</v>
      </c>
      <c r="S330" s="209">
        <v>1.105628E-2</v>
      </c>
      <c r="T330" s="209">
        <v>1.105628E-2</v>
      </c>
      <c r="U330" s="209">
        <v>1.105628E-2</v>
      </c>
      <c r="V330" s="209">
        <v>1.105628E-2</v>
      </c>
      <c r="W330" s="209">
        <v>1.105628E-2</v>
      </c>
      <c r="X330" s="209">
        <v>1.105628E-2</v>
      </c>
      <c r="Y330" s="209">
        <v>1.105628E-2</v>
      </c>
      <c r="Z330" s="209">
        <v>1.105628E-2</v>
      </c>
      <c r="AA330" s="209">
        <v>1.105628E-2</v>
      </c>
      <c r="AB330" s="209">
        <v>1.105628E-2</v>
      </c>
      <c r="AC330" s="209">
        <v>1.105628E-2</v>
      </c>
      <c r="AD330" s="209">
        <v>1.105628E-2</v>
      </c>
      <c r="AE330" s="209">
        <v>1.105628E-2</v>
      </c>
      <c r="AF330" s="220">
        <v>1.105628E-2</v>
      </c>
      <c r="AG330" s="436"/>
    </row>
    <row r="331" spans="1:33">
      <c r="A331" s="215" t="s">
        <v>944</v>
      </c>
      <c r="B331" s="232" t="s">
        <v>938</v>
      </c>
      <c r="C331" s="232">
        <v>2080</v>
      </c>
      <c r="D331" s="232" t="s">
        <v>674</v>
      </c>
      <c r="E331" s="209">
        <v>1.105628E-2</v>
      </c>
      <c r="F331" s="209">
        <v>1.105628E-2</v>
      </c>
      <c r="G331" s="209">
        <v>1.105628E-2</v>
      </c>
      <c r="H331" s="209">
        <v>1.105628E-2</v>
      </c>
      <c r="I331" s="209">
        <v>1.105628E-2</v>
      </c>
      <c r="J331" s="209">
        <v>1.105628E-2</v>
      </c>
      <c r="K331" s="209">
        <v>1.105628E-2</v>
      </c>
      <c r="L331" s="209">
        <v>1.105628E-2</v>
      </c>
      <c r="M331" s="209">
        <v>1.105628E-2</v>
      </c>
      <c r="N331" s="209">
        <v>1.105628E-2</v>
      </c>
      <c r="O331" s="209">
        <v>1.105628E-2</v>
      </c>
      <c r="P331" s="209">
        <v>1.105628E-2</v>
      </c>
      <c r="Q331" s="209">
        <v>1.105628E-2</v>
      </c>
      <c r="R331" s="209">
        <v>1.105628E-2</v>
      </c>
      <c r="S331" s="209">
        <v>1.105628E-2</v>
      </c>
      <c r="T331" s="209">
        <v>1.105628E-2</v>
      </c>
      <c r="U331" s="209">
        <v>1.105628E-2</v>
      </c>
      <c r="V331" s="209">
        <v>1.105628E-2</v>
      </c>
      <c r="W331" s="209">
        <v>1.105628E-2</v>
      </c>
      <c r="X331" s="209">
        <v>1.105628E-2</v>
      </c>
      <c r="Y331" s="209">
        <v>1.105628E-2</v>
      </c>
      <c r="Z331" s="209">
        <v>1.105628E-2</v>
      </c>
      <c r="AA331" s="209">
        <v>1.105628E-2</v>
      </c>
      <c r="AB331" s="209">
        <v>1.105628E-2</v>
      </c>
      <c r="AC331" s="209">
        <v>1.105628E-2</v>
      </c>
      <c r="AD331" s="209">
        <v>1.105628E-2</v>
      </c>
      <c r="AE331" s="209">
        <v>1.105628E-2</v>
      </c>
      <c r="AF331" s="220">
        <v>1.105628E-2</v>
      </c>
      <c r="AG331" s="436"/>
    </row>
    <row r="332" spans="1:33">
      <c r="A332" s="215" t="s">
        <v>944</v>
      </c>
      <c r="B332" s="232" t="s">
        <v>938</v>
      </c>
      <c r="C332" s="232">
        <v>2090</v>
      </c>
      <c r="D332" s="232" t="s">
        <v>674</v>
      </c>
      <c r="E332" s="209">
        <v>1.105628E-2</v>
      </c>
      <c r="F332" s="209">
        <v>1.105628E-2</v>
      </c>
      <c r="G332" s="209">
        <v>1.105628E-2</v>
      </c>
      <c r="H332" s="209">
        <v>1.105628E-2</v>
      </c>
      <c r="I332" s="209">
        <v>1.105628E-2</v>
      </c>
      <c r="J332" s="209">
        <v>1.105628E-2</v>
      </c>
      <c r="K332" s="209">
        <v>1.105628E-2</v>
      </c>
      <c r="L332" s="209">
        <v>1.105628E-2</v>
      </c>
      <c r="M332" s="209">
        <v>1.105628E-2</v>
      </c>
      <c r="N332" s="209">
        <v>1.105628E-2</v>
      </c>
      <c r="O332" s="209">
        <v>1.105628E-2</v>
      </c>
      <c r="P332" s="209">
        <v>1.105628E-2</v>
      </c>
      <c r="Q332" s="209">
        <v>1.105628E-2</v>
      </c>
      <c r="R332" s="209">
        <v>1.105628E-2</v>
      </c>
      <c r="S332" s="209">
        <v>1.105628E-2</v>
      </c>
      <c r="T332" s="209">
        <v>1.105628E-2</v>
      </c>
      <c r="U332" s="209">
        <v>1.105628E-2</v>
      </c>
      <c r="V332" s="209">
        <v>1.105628E-2</v>
      </c>
      <c r="W332" s="209">
        <v>1.105628E-2</v>
      </c>
      <c r="X332" s="209">
        <v>1.105628E-2</v>
      </c>
      <c r="Y332" s="209">
        <v>1.105628E-2</v>
      </c>
      <c r="Z332" s="209">
        <v>1.105628E-2</v>
      </c>
      <c r="AA332" s="209">
        <v>1.105628E-2</v>
      </c>
      <c r="AB332" s="209">
        <v>1.105628E-2</v>
      </c>
      <c r="AC332" s="209">
        <v>1.105628E-2</v>
      </c>
      <c r="AD332" s="209">
        <v>1.105628E-2</v>
      </c>
      <c r="AE332" s="209">
        <v>1.105628E-2</v>
      </c>
      <c r="AF332" s="220">
        <v>1.105628E-2</v>
      </c>
      <c r="AG332" s="436"/>
    </row>
    <row r="333" spans="1:33">
      <c r="A333" s="229" t="s">
        <v>944</v>
      </c>
      <c r="B333" s="235" t="s">
        <v>938</v>
      </c>
      <c r="C333" s="235">
        <v>2100</v>
      </c>
      <c r="D333" s="235" t="s">
        <v>674</v>
      </c>
      <c r="E333" s="226">
        <v>1.105628E-2</v>
      </c>
      <c r="F333" s="226">
        <v>1.105628E-2</v>
      </c>
      <c r="G333" s="226">
        <v>1.105628E-2</v>
      </c>
      <c r="H333" s="226">
        <v>1.105628E-2</v>
      </c>
      <c r="I333" s="226">
        <v>1.105628E-2</v>
      </c>
      <c r="J333" s="226">
        <v>1.105628E-2</v>
      </c>
      <c r="K333" s="226">
        <v>1.105628E-2</v>
      </c>
      <c r="L333" s="226">
        <v>1.105628E-2</v>
      </c>
      <c r="M333" s="226">
        <v>1.105628E-2</v>
      </c>
      <c r="N333" s="226">
        <v>1.105628E-2</v>
      </c>
      <c r="O333" s="226">
        <v>1.105628E-2</v>
      </c>
      <c r="P333" s="226">
        <v>1.105628E-2</v>
      </c>
      <c r="Q333" s="226">
        <v>1.105628E-2</v>
      </c>
      <c r="R333" s="226">
        <v>1.105628E-2</v>
      </c>
      <c r="S333" s="226">
        <v>1.105628E-2</v>
      </c>
      <c r="T333" s="226">
        <v>1.105628E-2</v>
      </c>
      <c r="U333" s="226">
        <v>1.105628E-2</v>
      </c>
      <c r="V333" s="226">
        <v>1.105628E-2</v>
      </c>
      <c r="W333" s="226">
        <v>1.105628E-2</v>
      </c>
      <c r="X333" s="226">
        <v>1.105628E-2</v>
      </c>
      <c r="Y333" s="226">
        <v>1.105628E-2</v>
      </c>
      <c r="Z333" s="226">
        <v>1.105628E-2</v>
      </c>
      <c r="AA333" s="226">
        <v>1.105628E-2</v>
      </c>
      <c r="AB333" s="226">
        <v>1.105628E-2</v>
      </c>
      <c r="AC333" s="226">
        <v>1.105628E-2</v>
      </c>
      <c r="AD333" s="226">
        <v>1.105628E-2</v>
      </c>
      <c r="AE333" s="226">
        <v>1.105628E-2</v>
      </c>
      <c r="AF333" s="224">
        <v>1.105628E-2</v>
      </c>
      <c r="AG333" s="437"/>
    </row>
    <row r="334" spans="1:33">
      <c r="A334" s="215" t="s">
        <v>944</v>
      </c>
      <c r="B334" s="232" t="s">
        <v>940</v>
      </c>
      <c r="C334" s="232">
        <v>2019</v>
      </c>
      <c r="D334" s="232" t="s">
        <v>674</v>
      </c>
      <c r="E334" s="209">
        <v>5.5281400000000001E-2</v>
      </c>
      <c r="F334" s="209">
        <v>5.5281400000000001E-2</v>
      </c>
      <c r="G334" s="209">
        <v>5.5281400000000001E-2</v>
      </c>
      <c r="H334" s="209">
        <v>5.5281400000000001E-2</v>
      </c>
      <c r="I334" s="209">
        <v>5.5281400000000001E-2</v>
      </c>
      <c r="J334" s="209">
        <v>5.5281400000000001E-2</v>
      </c>
      <c r="K334" s="209">
        <v>5.5281400000000001E-2</v>
      </c>
      <c r="L334" s="209">
        <v>5.5281400000000001E-2</v>
      </c>
      <c r="M334" s="209">
        <v>5.5281400000000001E-2</v>
      </c>
      <c r="N334" s="209">
        <v>5.5281400000000001E-2</v>
      </c>
      <c r="O334" s="209">
        <v>5.5281400000000001E-2</v>
      </c>
      <c r="P334" s="209">
        <v>5.5281400000000001E-2</v>
      </c>
      <c r="Q334" s="209">
        <v>5.5281400000000001E-2</v>
      </c>
      <c r="R334" s="209">
        <v>5.5281400000000001E-2</v>
      </c>
      <c r="S334" s="209">
        <v>5.5281400000000001E-2</v>
      </c>
      <c r="T334" s="209">
        <v>5.5281400000000001E-2</v>
      </c>
      <c r="U334" s="209">
        <v>5.5281400000000001E-2</v>
      </c>
      <c r="V334" s="209">
        <v>5.5281400000000001E-2</v>
      </c>
      <c r="W334" s="209">
        <v>5.5281400000000001E-2</v>
      </c>
      <c r="X334" s="209">
        <v>5.5281400000000001E-2</v>
      </c>
      <c r="Y334" s="209">
        <v>5.5281400000000001E-2</v>
      </c>
      <c r="Z334" s="209">
        <v>5.5281400000000001E-2</v>
      </c>
      <c r="AA334" s="209">
        <v>5.5281400000000001E-2</v>
      </c>
      <c r="AB334" s="209">
        <v>5.5281400000000001E-2</v>
      </c>
      <c r="AC334" s="209">
        <v>5.5281400000000001E-2</v>
      </c>
      <c r="AD334" s="209">
        <v>5.5281400000000001E-2</v>
      </c>
      <c r="AE334" s="209">
        <v>5.5281400000000001E-2</v>
      </c>
      <c r="AF334" s="220">
        <v>5.5281400000000001E-2</v>
      </c>
      <c r="AG334" s="436"/>
    </row>
    <row r="335" spans="1:33">
      <c r="A335" s="215" t="s">
        <v>944</v>
      </c>
      <c r="B335" s="232" t="s">
        <v>940</v>
      </c>
      <c r="C335">
        <v>2020</v>
      </c>
      <c r="D335" s="232" t="s">
        <v>674</v>
      </c>
      <c r="E335" s="209">
        <v>5.5281400000000001E-2</v>
      </c>
      <c r="F335" s="209">
        <v>5.5281400000000001E-2</v>
      </c>
      <c r="G335" s="209">
        <v>5.5281400000000001E-2</v>
      </c>
      <c r="H335" s="209">
        <v>5.5281400000000001E-2</v>
      </c>
      <c r="I335" s="209">
        <v>5.5281400000000001E-2</v>
      </c>
      <c r="J335" s="209">
        <v>5.5281400000000001E-2</v>
      </c>
      <c r="K335" s="209">
        <v>5.5281400000000001E-2</v>
      </c>
      <c r="L335" s="209">
        <v>5.5281400000000001E-2</v>
      </c>
      <c r="M335" s="209">
        <v>5.5281400000000001E-2</v>
      </c>
      <c r="N335" s="209">
        <v>5.5281400000000001E-2</v>
      </c>
      <c r="O335" s="209">
        <v>5.5281400000000001E-2</v>
      </c>
      <c r="P335" s="209">
        <v>5.5281400000000001E-2</v>
      </c>
      <c r="Q335" s="209">
        <v>5.5281400000000001E-2</v>
      </c>
      <c r="R335" s="209">
        <v>5.5281400000000001E-2</v>
      </c>
      <c r="S335" s="209">
        <v>5.5281400000000001E-2</v>
      </c>
      <c r="T335" s="209">
        <v>5.5281400000000001E-2</v>
      </c>
      <c r="U335" s="209">
        <v>5.5281400000000001E-2</v>
      </c>
      <c r="V335" s="209">
        <v>5.5281400000000001E-2</v>
      </c>
      <c r="W335" s="209">
        <v>5.5281400000000001E-2</v>
      </c>
      <c r="X335" s="209">
        <v>5.5281400000000001E-2</v>
      </c>
      <c r="Y335" s="209">
        <v>5.5281400000000001E-2</v>
      </c>
      <c r="Z335" s="209">
        <v>5.5281400000000001E-2</v>
      </c>
      <c r="AA335" s="209">
        <v>5.5281400000000001E-2</v>
      </c>
      <c r="AB335" s="209">
        <v>5.5281400000000001E-2</v>
      </c>
      <c r="AC335" s="209">
        <v>5.5281400000000001E-2</v>
      </c>
      <c r="AD335" s="209">
        <v>5.5281400000000001E-2</v>
      </c>
      <c r="AE335" s="209">
        <v>5.5281400000000001E-2</v>
      </c>
      <c r="AF335" s="220">
        <v>5.5281400000000001E-2</v>
      </c>
      <c r="AG335" s="436"/>
    </row>
    <row r="336" spans="1:33">
      <c r="A336" s="215" t="s">
        <v>944</v>
      </c>
      <c r="B336" s="232" t="s">
        <v>940</v>
      </c>
      <c r="C336" s="232">
        <v>2025</v>
      </c>
      <c r="D336" s="232" t="s">
        <v>674</v>
      </c>
      <c r="E336" s="209">
        <v>5.5281400000000001E-2</v>
      </c>
      <c r="F336" s="209">
        <v>5.5281400000000001E-2</v>
      </c>
      <c r="G336" s="209">
        <v>5.5281400000000001E-2</v>
      </c>
      <c r="H336" s="209">
        <v>5.5281400000000001E-2</v>
      </c>
      <c r="I336" s="209">
        <v>5.5281400000000001E-2</v>
      </c>
      <c r="J336" s="209">
        <v>5.5281400000000001E-2</v>
      </c>
      <c r="K336" s="209">
        <v>5.5281400000000001E-2</v>
      </c>
      <c r="L336" s="209">
        <v>5.5281400000000001E-2</v>
      </c>
      <c r="M336" s="209">
        <v>5.5281400000000001E-2</v>
      </c>
      <c r="N336" s="209">
        <v>5.5281400000000001E-2</v>
      </c>
      <c r="O336" s="209">
        <v>5.5281400000000001E-2</v>
      </c>
      <c r="P336" s="209">
        <v>5.5281400000000001E-2</v>
      </c>
      <c r="Q336" s="209">
        <v>5.5281400000000001E-2</v>
      </c>
      <c r="R336" s="209">
        <v>5.5281400000000001E-2</v>
      </c>
      <c r="S336" s="209">
        <v>5.5281400000000001E-2</v>
      </c>
      <c r="T336" s="209">
        <v>5.5281400000000001E-2</v>
      </c>
      <c r="U336" s="209">
        <v>5.5281400000000001E-2</v>
      </c>
      <c r="V336" s="209">
        <v>5.5281400000000001E-2</v>
      </c>
      <c r="W336" s="209">
        <v>5.5281400000000001E-2</v>
      </c>
      <c r="X336" s="209">
        <v>5.5281400000000001E-2</v>
      </c>
      <c r="Y336" s="209">
        <v>5.5281400000000001E-2</v>
      </c>
      <c r="Z336" s="209">
        <v>5.5281400000000001E-2</v>
      </c>
      <c r="AA336" s="209">
        <v>5.5281400000000001E-2</v>
      </c>
      <c r="AB336" s="209">
        <v>5.5281400000000001E-2</v>
      </c>
      <c r="AC336" s="209">
        <v>5.5281400000000001E-2</v>
      </c>
      <c r="AD336" s="209">
        <v>5.5281400000000001E-2</v>
      </c>
      <c r="AE336" s="209">
        <v>5.5281400000000001E-2</v>
      </c>
      <c r="AF336" s="220">
        <v>5.5281400000000001E-2</v>
      </c>
      <c r="AG336" s="436"/>
    </row>
    <row r="337" spans="1:33">
      <c r="A337" s="215" t="s">
        <v>944</v>
      </c>
      <c r="B337" s="232" t="s">
        <v>940</v>
      </c>
      <c r="C337" s="232">
        <v>2030</v>
      </c>
      <c r="D337" s="232" t="s">
        <v>674</v>
      </c>
      <c r="E337" s="209">
        <v>5.5281400000000001E-2</v>
      </c>
      <c r="F337" s="209">
        <v>5.5281400000000001E-2</v>
      </c>
      <c r="G337" s="209">
        <v>5.5281400000000001E-2</v>
      </c>
      <c r="H337" s="209">
        <v>5.5281400000000001E-2</v>
      </c>
      <c r="I337" s="209">
        <v>5.5281400000000001E-2</v>
      </c>
      <c r="J337" s="209">
        <v>5.5281400000000001E-2</v>
      </c>
      <c r="K337" s="209">
        <v>5.5281400000000001E-2</v>
      </c>
      <c r="L337" s="209">
        <v>5.5281400000000001E-2</v>
      </c>
      <c r="M337" s="209">
        <v>5.5281400000000001E-2</v>
      </c>
      <c r="N337" s="209">
        <v>5.5281400000000001E-2</v>
      </c>
      <c r="O337" s="209">
        <v>5.5281400000000001E-2</v>
      </c>
      <c r="P337" s="209">
        <v>5.5281400000000001E-2</v>
      </c>
      <c r="Q337" s="209">
        <v>5.5281400000000001E-2</v>
      </c>
      <c r="R337" s="209">
        <v>5.5281400000000001E-2</v>
      </c>
      <c r="S337" s="209">
        <v>5.5281400000000001E-2</v>
      </c>
      <c r="T337" s="209">
        <v>5.5281400000000001E-2</v>
      </c>
      <c r="U337" s="209">
        <v>5.5281400000000001E-2</v>
      </c>
      <c r="V337" s="209">
        <v>5.5281400000000001E-2</v>
      </c>
      <c r="W337" s="209">
        <v>5.5281400000000001E-2</v>
      </c>
      <c r="X337" s="209">
        <v>5.5281400000000001E-2</v>
      </c>
      <c r="Y337" s="209">
        <v>5.5281400000000001E-2</v>
      </c>
      <c r="Z337" s="209">
        <v>5.5281400000000001E-2</v>
      </c>
      <c r="AA337" s="209">
        <v>5.5281400000000001E-2</v>
      </c>
      <c r="AB337" s="209">
        <v>5.5281400000000001E-2</v>
      </c>
      <c r="AC337" s="209">
        <v>5.5281400000000001E-2</v>
      </c>
      <c r="AD337" s="209">
        <v>5.5281400000000001E-2</v>
      </c>
      <c r="AE337" s="209">
        <v>5.5281400000000001E-2</v>
      </c>
      <c r="AF337" s="220">
        <v>5.5281400000000001E-2</v>
      </c>
      <c r="AG337" s="436"/>
    </row>
    <row r="338" spans="1:33">
      <c r="A338" s="215" t="s">
        <v>944</v>
      </c>
      <c r="B338" s="232" t="s">
        <v>940</v>
      </c>
      <c r="C338" s="232">
        <v>2035</v>
      </c>
      <c r="D338" s="232" t="s">
        <v>674</v>
      </c>
      <c r="E338" s="209">
        <v>5.5281400000000001E-2</v>
      </c>
      <c r="F338" s="209">
        <v>5.5281400000000001E-2</v>
      </c>
      <c r="G338" s="209">
        <v>5.5281400000000001E-2</v>
      </c>
      <c r="H338" s="209">
        <v>5.5281400000000001E-2</v>
      </c>
      <c r="I338" s="209">
        <v>5.5281400000000001E-2</v>
      </c>
      <c r="J338" s="209">
        <v>5.5281400000000001E-2</v>
      </c>
      <c r="K338" s="209">
        <v>5.5281400000000001E-2</v>
      </c>
      <c r="L338" s="209">
        <v>5.5281400000000001E-2</v>
      </c>
      <c r="M338" s="209">
        <v>5.5281400000000001E-2</v>
      </c>
      <c r="N338" s="209">
        <v>5.5281400000000001E-2</v>
      </c>
      <c r="O338" s="209">
        <v>5.5281400000000001E-2</v>
      </c>
      <c r="P338" s="209">
        <v>5.5281400000000001E-2</v>
      </c>
      <c r="Q338" s="209">
        <v>5.5281400000000001E-2</v>
      </c>
      <c r="R338" s="209">
        <v>5.5281400000000001E-2</v>
      </c>
      <c r="S338" s="209">
        <v>5.5281400000000001E-2</v>
      </c>
      <c r="T338" s="209">
        <v>5.5281400000000001E-2</v>
      </c>
      <c r="U338" s="209">
        <v>5.5281400000000001E-2</v>
      </c>
      <c r="V338" s="209">
        <v>5.5281400000000001E-2</v>
      </c>
      <c r="W338" s="209">
        <v>5.5281400000000001E-2</v>
      </c>
      <c r="X338" s="209">
        <v>5.5281400000000001E-2</v>
      </c>
      <c r="Y338" s="209">
        <v>5.5281400000000001E-2</v>
      </c>
      <c r="Z338" s="209">
        <v>5.5281400000000001E-2</v>
      </c>
      <c r="AA338" s="209">
        <v>5.5281400000000001E-2</v>
      </c>
      <c r="AB338" s="209">
        <v>5.5281400000000001E-2</v>
      </c>
      <c r="AC338" s="209">
        <v>5.5281400000000001E-2</v>
      </c>
      <c r="AD338" s="209">
        <v>5.5281400000000001E-2</v>
      </c>
      <c r="AE338" s="209">
        <v>5.5281400000000001E-2</v>
      </c>
      <c r="AF338" s="220">
        <v>5.5281400000000001E-2</v>
      </c>
      <c r="AG338" s="436"/>
    </row>
    <row r="339" spans="1:33">
      <c r="A339" s="215" t="s">
        <v>944</v>
      </c>
      <c r="B339" s="232" t="s">
        <v>940</v>
      </c>
      <c r="C339" s="232">
        <v>2040</v>
      </c>
      <c r="D339" s="232" t="s">
        <v>674</v>
      </c>
      <c r="E339" s="209">
        <v>5.5281400000000001E-2</v>
      </c>
      <c r="F339" s="209">
        <v>5.5281400000000001E-2</v>
      </c>
      <c r="G339" s="209">
        <v>5.5281400000000001E-2</v>
      </c>
      <c r="H339" s="209">
        <v>5.5281400000000001E-2</v>
      </c>
      <c r="I339" s="209">
        <v>5.5281400000000001E-2</v>
      </c>
      <c r="J339" s="209">
        <v>5.5281400000000001E-2</v>
      </c>
      <c r="K339" s="209">
        <v>5.5281400000000001E-2</v>
      </c>
      <c r="L339" s="209">
        <v>5.5281400000000001E-2</v>
      </c>
      <c r="M339" s="209">
        <v>5.5281400000000001E-2</v>
      </c>
      <c r="N339" s="209">
        <v>5.5281400000000001E-2</v>
      </c>
      <c r="O339" s="209">
        <v>5.5281400000000001E-2</v>
      </c>
      <c r="P339" s="209">
        <v>5.5281400000000001E-2</v>
      </c>
      <c r="Q339" s="209">
        <v>5.5281400000000001E-2</v>
      </c>
      <c r="R339" s="209">
        <v>5.5281400000000001E-2</v>
      </c>
      <c r="S339" s="209">
        <v>5.5281400000000001E-2</v>
      </c>
      <c r="T339" s="209">
        <v>5.5281400000000001E-2</v>
      </c>
      <c r="U339" s="209">
        <v>5.5281400000000001E-2</v>
      </c>
      <c r="V339" s="209">
        <v>5.5281400000000001E-2</v>
      </c>
      <c r="W339" s="209">
        <v>5.5281400000000001E-2</v>
      </c>
      <c r="X339" s="209">
        <v>5.5281400000000001E-2</v>
      </c>
      <c r="Y339" s="209">
        <v>5.5281400000000001E-2</v>
      </c>
      <c r="Z339" s="209">
        <v>5.5281400000000001E-2</v>
      </c>
      <c r="AA339" s="209">
        <v>5.5281400000000001E-2</v>
      </c>
      <c r="AB339" s="209">
        <v>5.5281400000000001E-2</v>
      </c>
      <c r="AC339" s="209">
        <v>5.5281400000000001E-2</v>
      </c>
      <c r="AD339" s="209">
        <v>5.5281400000000001E-2</v>
      </c>
      <c r="AE339" s="209">
        <v>5.5281400000000001E-2</v>
      </c>
      <c r="AF339" s="220">
        <v>5.5281400000000001E-2</v>
      </c>
      <c r="AG339" s="436"/>
    </row>
    <row r="340" spans="1:33">
      <c r="A340" s="215" t="s">
        <v>944</v>
      </c>
      <c r="B340" s="232" t="s">
        <v>940</v>
      </c>
      <c r="C340" s="232">
        <v>2045</v>
      </c>
      <c r="D340" s="232" t="s">
        <v>674</v>
      </c>
      <c r="E340" s="209">
        <v>5.5281400000000001E-2</v>
      </c>
      <c r="F340" s="209">
        <v>5.5281400000000001E-2</v>
      </c>
      <c r="G340" s="209">
        <v>5.5281400000000001E-2</v>
      </c>
      <c r="H340" s="209">
        <v>5.5281400000000001E-2</v>
      </c>
      <c r="I340" s="209">
        <v>5.5281400000000001E-2</v>
      </c>
      <c r="J340" s="209">
        <v>5.5281400000000001E-2</v>
      </c>
      <c r="K340" s="209">
        <v>5.5281400000000001E-2</v>
      </c>
      <c r="L340" s="209">
        <v>5.5281400000000001E-2</v>
      </c>
      <c r="M340" s="209">
        <v>5.5281400000000001E-2</v>
      </c>
      <c r="N340" s="209">
        <v>5.5281400000000001E-2</v>
      </c>
      <c r="O340" s="209">
        <v>5.5281400000000001E-2</v>
      </c>
      <c r="P340" s="209">
        <v>5.5281400000000001E-2</v>
      </c>
      <c r="Q340" s="209">
        <v>5.5281400000000001E-2</v>
      </c>
      <c r="R340" s="209">
        <v>5.5281400000000001E-2</v>
      </c>
      <c r="S340" s="209">
        <v>5.5281400000000001E-2</v>
      </c>
      <c r="T340" s="209">
        <v>5.5281400000000001E-2</v>
      </c>
      <c r="U340" s="209">
        <v>5.5281400000000001E-2</v>
      </c>
      <c r="V340" s="209">
        <v>5.5281400000000001E-2</v>
      </c>
      <c r="W340" s="209">
        <v>5.5281400000000001E-2</v>
      </c>
      <c r="X340" s="209">
        <v>5.5281400000000001E-2</v>
      </c>
      <c r="Y340" s="209">
        <v>5.5281400000000001E-2</v>
      </c>
      <c r="Z340" s="209">
        <v>5.5281400000000001E-2</v>
      </c>
      <c r="AA340" s="209">
        <v>5.5281400000000001E-2</v>
      </c>
      <c r="AB340" s="209">
        <v>5.5281400000000001E-2</v>
      </c>
      <c r="AC340" s="209">
        <v>5.5281400000000001E-2</v>
      </c>
      <c r="AD340" s="209">
        <v>5.5281400000000001E-2</v>
      </c>
      <c r="AE340" s="209">
        <v>5.5281400000000001E-2</v>
      </c>
      <c r="AF340" s="220">
        <v>5.5281400000000001E-2</v>
      </c>
      <c r="AG340" s="436"/>
    </row>
    <row r="341" spans="1:33">
      <c r="A341" s="215" t="s">
        <v>944</v>
      </c>
      <c r="B341" s="232" t="s">
        <v>940</v>
      </c>
      <c r="C341" s="232">
        <v>2050</v>
      </c>
      <c r="D341" s="232" t="s">
        <v>674</v>
      </c>
      <c r="E341" s="209">
        <v>5.5281400000000001E-2</v>
      </c>
      <c r="F341" s="209">
        <v>5.5281400000000001E-2</v>
      </c>
      <c r="G341" s="209">
        <v>5.5281400000000001E-2</v>
      </c>
      <c r="H341" s="209">
        <v>5.5281400000000001E-2</v>
      </c>
      <c r="I341" s="209">
        <v>5.5281400000000001E-2</v>
      </c>
      <c r="J341" s="209">
        <v>5.5281400000000001E-2</v>
      </c>
      <c r="K341" s="209">
        <v>5.5281400000000001E-2</v>
      </c>
      <c r="L341" s="209">
        <v>5.5281400000000001E-2</v>
      </c>
      <c r="M341" s="209">
        <v>5.5281400000000001E-2</v>
      </c>
      <c r="N341" s="209">
        <v>5.5281400000000001E-2</v>
      </c>
      <c r="O341" s="209">
        <v>5.5281400000000001E-2</v>
      </c>
      <c r="P341" s="209">
        <v>5.5281400000000001E-2</v>
      </c>
      <c r="Q341" s="209">
        <v>5.5281400000000001E-2</v>
      </c>
      <c r="R341" s="209">
        <v>5.5281400000000001E-2</v>
      </c>
      <c r="S341" s="209">
        <v>5.5281400000000001E-2</v>
      </c>
      <c r="T341" s="209">
        <v>5.5281400000000001E-2</v>
      </c>
      <c r="U341" s="209">
        <v>5.5281400000000001E-2</v>
      </c>
      <c r="V341" s="209">
        <v>5.5281400000000001E-2</v>
      </c>
      <c r="W341" s="209">
        <v>5.5281400000000001E-2</v>
      </c>
      <c r="X341" s="209">
        <v>5.5281400000000001E-2</v>
      </c>
      <c r="Y341" s="209">
        <v>5.5281400000000001E-2</v>
      </c>
      <c r="Z341" s="209">
        <v>5.5281400000000001E-2</v>
      </c>
      <c r="AA341" s="209">
        <v>5.5281400000000001E-2</v>
      </c>
      <c r="AB341" s="209">
        <v>5.5281400000000001E-2</v>
      </c>
      <c r="AC341" s="209">
        <v>5.5281400000000001E-2</v>
      </c>
      <c r="AD341" s="209">
        <v>5.5281400000000001E-2</v>
      </c>
      <c r="AE341" s="209">
        <v>5.5281400000000001E-2</v>
      </c>
      <c r="AF341" s="220">
        <v>5.5281400000000001E-2</v>
      </c>
      <c r="AG341" s="436"/>
    </row>
    <row r="342" spans="1:33">
      <c r="A342" s="215" t="s">
        <v>944</v>
      </c>
      <c r="B342" s="232" t="s">
        <v>940</v>
      </c>
      <c r="C342" s="232">
        <v>2060</v>
      </c>
      <c r="D342" s="232" t="s">
        <v>674</v>
      </c>
      <c r="E342" s="209">
        <v>5.5281400000000001E-2</v>
      </c>
      <c r="F342" s="209">
        <v>5.5281400000000001E-2</v>
      </c>
      <c r="G342" s="209">
        <v>5.5281400000000001E-2</v>
      </c>
      <c r="H342" s="209">
        <v>5.5281400000000001E-2</v>
      </c>
      <c r="I342" s="209">
        <v>5.5281400000000001E-2</v>
      </c>
      <c r="J342" s="209">
        <v>5.5281400000000001E-2</v>
      </c>
      <c r="K342" s="209">
        <v>5.5281400000000001E-2</v>
      </c>
      <c r="L342" s="209">
        <v>5.5281400000000001E-2</v>
      </c>
      <c r="M342" s="209">
        <v>5.5281400000000001E-2</v>
      </c>
      <c r="N342" s="209">
        <v>5.5281400000000001E-2</v>
      </c>
      <c r="O342" s="209">
        <v>5.5281400000000001E-2</v>
      </c>
      <c r="P342" s="209">
        <v>5.5281400000000001E-2</v>
      </c>
      <c r="Q342" s="209">
        <v>5.5281400000000001E-2</v>
      </c>
      <c r="R342" s="209">
        <v>5.5281400000000001E-2</v>
      </c>
      <c r="S342" s="209">
        <v>5.5281400000000001E-2</v>
      </c>
      <c r="T342" s="209">
        <v>5.5281400000000001E-2</v>
      </c>
      <c r="U342" s="209">
        <v>5.5281400000000001E-2</v>
      </c>
      <c r="V342" s="209">
        <v>5.5281400000000001E-2</v>
      </c>
      <c r="W342" s="209">
        <v>5.5281400000000001E-2</v>
      </c>
      <c r="X342" s="209">
        <v>5.5281400000000001E-2</v>
      </c>
      <c r="Y342" s="209">
        <v>5.5281400000000001E-2</v>
      </c>
      <c r="Z342" s="209">
        <v>5.5281400000000001E-2</v>
      </c>
      <c r="AA342" s="209">
        <v>5.5281400000000001E-2</v>
      </c>
      <c r="AB342" s="209">
        <v>5.5281400000000001E-2</v>
      </c>
      <c r="AC342" s="209">
        <v>5.5281400000000001E-2</v>
      </c>
      <c r="AD342" s="209">
        <v>5.5281400000000001E-2</v>
      </c>
      <c r="AE342" s="209">
        <v>5.5281400000000001E-2</v>
      </c>
      <c r="AF342" s="220">
        <v>5.5281400000000001E-2</v>
      </c>
      <c r="AG342" s="436"/>
    </row>
    <row r="343" spans="1:33">
      <c r="A343" s="215" t="s">
        <v>944</v>
      </c>
      <c r="B343" s="232" t="s">
        <v>940</v>
      </c>
      <c r="C343" s="232">
        <v>2070</v>
      </c>
      <c r="D343" s="232" t="s">
        <v>674</v>
      </c>
      <c r="E343" s="209">
        <v>5.5281400000000001E-2</v>
      </c>
      <c r="F343" s="209">
        <v>5.5281400000000001E-2</v>
      </c>
      <c r="G343" s="209">
        <v>5.5281400000000001E-2</v>
      </c>
      <c r="H343" s="209">
        <v>5.5281400000000001E-2</v>
      </c>
      <c r="I343" s="209">
        <v>5.5281400000000001E-2</v>
      </c>
      <c r="J343" s="209">
        <v>5.5281400000000001E-2</v>
      </c>
      <c r="K343" s="209">
        <v>5.5281400000000001E-2</v>
      </c>
      <c r="L343" s="209">
        <v>5.5281400000000001E-2</v>
      </c>
      <c r="M343" s="209">
        <v>5.5281400000000001E-2</v>
      </c>
      <c r="N343" s="209">
        <v>5.5281400000000001E-2</v>
      </c>
      <c r="O343" s="209">
        <v>5.5281400000000001E-2</v>
      </c>
      <c r="P343" s="209">
        <v>5.5281400000000001E-2</v>
      </c>
      <c r="Q343" s="209">
        <v>5.5281400000000001E-2</v>
      </c>
      <c r="R343" s="209">
        <v>5.5281400000000001E-2</v>
      </c>
      <c r="S343" s="209">
        <v>5.5281400000000001E-2</v>
      </c>
      <c r="T343" s="209">
        <v>5.5281400000000001E-2</v>
      </c>
      <c r="U343" s="209">
        <v>5.5281400000000001E-2</v>
      </c>
      <c r="V343" s="209">
        <v>5.5281400000000001E-2</v>
      </c>
      <c r="W343" s="209">
        <v>5.5281400000000001E-2</v>
      </c>
      <c r="X343" s="209">
        <v>5.5281400000000001E-2</v>
      </c>
      <c r="Y343" s="209">
        <v>5.5281400000000001E-2</v>
      </c>
      <c r="Z343" s="209">
        <v>5.5281400000000001E-2</v>
      </c>
      <c r="AA343" s="209">
        <v>5.5281400000000001E-2</v>
      </c>
      <c r="AB343" s="209">
        <v>5.5281400000000001E-2</v>
      </c>
      <c r="AC343" s="209">
        <v>5.5281400000000001E-2</v>
      </c>
      <c r="AD343" s="209">
        <v>5.5281400000000001E-2</v>
      </c>
      <c r="AE343" s="209">
        <v>5.5281400000000001E-2</v>
      </c>
      <c r="AF343" s="220">
        <v>5.5281400000000001E-2</v>
      </c>
      <c r="AG343" s="436"/>
    </row>
    <row r="344" spans="1:33">
      <c r="A344" s="215" t="s">
        <v>944</v>
      </c>
      <c r="B344" s="232" t="s">
        <v>940</v>
      </c>
      <c r="C344" s="232">
        <v>2080</v>
      </c>
      <c r="D344" s="232" t="s">
        <v>674</v>
      </c>
      <c r="E344" s="209">
        <v>5.5281400000000001E-2</v>
      </c>
      <c r="F344" s="209">
        <v>5.5281400000000001E-2</v>
      </c>
      <c r="G344" s="209">
        <v>5.5281400000000001E-2</v>
      </c>
      <c r="H344" s="209">
        <v>5.5281400000000001E-2</v>
      </c>
      <c r="I344" s="209">
        <v>5.5281400000000001E-2</v>
      </c>
      <c r="J344" s="209">
        <v>5.5281400000000001E-2</v>
      </c>
      <c r="K344" s="209">
        <v>5.5281400000000001E-2</v>
      </c>
      <c r="L344" s="209">
        <v>5.5281400000000001E-2</v>
      </c>
      <c r="M344" s="209">
        <v>5.5281400000000001E-2</v>
      </c>
      <c r="N344" s="209">
        <v>5.5281400000000001E-2</v>
      </c>
      <c r="O344" s="209">
        <v>5.5281400000000001E-2</v>
      </c>
      <c r="P344" s="209">
        <v>5.5281400000000001E-2</v>
      </c>
      <c r="Q344" s="209">
        <v>5.5281400000000001E-2</v>
      </c>
      <c r="R344" s="209">
        <v>5.5281400000000001E-2</v>
      </c>
      <c r="S344" s="209">
        <v>5.5281400000000001E-2</v>
      </c>
      <c r="T344" s="209">
        <v>5.5281400000000001E-2</v>
      </c>
      <c r="U344" s="209">
        <v>5.5281400000000001E-2</v>
      </c>
      <c r="V344" s="209">
        <v>5.5281400000000001E-2</v>
      </c>
      <c r="W344" s="209">
        <v>5.5281400000000001E-2</v>
      </c>
      <c r="X344" s="209">
        <v>5.5281400000000001E-2</v>
      </c>
      <c r="Y344" s="209">
        <v>5.5281400000000001E-2</v>
      </c>
      <c r="Z344" s="209">
        <v>5.5281400000000001E-2</v>
      </c>
      <c r="AA344" s="209">
        <v>5.5281400000000001E-2</v>
      </c>
      <c r="AB344" s="209">
        <v>5.5281400000000001E-2</v>
      </c>
      <c r="AC344" s="209">
        <v>5.5281400000000001E-2</v>
      </c>
      <c r="AD344" s="209">
        <v>5.5281400000000001E-2</v>
      </c>
      <c r="AE344" s="209">
        <v>5.5281400000000001E-2</v>
      </c>
      <c r="AF344" s="220">
        <v>5.5281400000000001E-2</v>
      </c>
      <c r="AG344" s="436"/>
    </row>
    <row r="345" spans="1:33">
      <c r="A345" s="215" t="s">
        <v>944</v>
      </c>
      <c r="B345" s="232" t="s">
        <v>940</v>
      </c>
      <c r="C345" s="232">
        <v>2090</v>
      </c>
      <c r="D345" s="232" t="s">
        <v>674</v>
      </c>
      <c r="E345" s="209">
        <v>5.5281400000000001E-2</v>
      </c>
      <c r="F345" s="209">
        <v>5.5281400000000001E-2</v>
      </c>
      <c r="G345" s="209">
        <v>5.5281400000000001E-2</v>
      </c>
      <c r="H345" s="209">
        <v>5.5281400000000001E-2</v>
      </c>
      <c r="I345" s="209">
        <v>5.5281400000000001E-2</v>
      </c>
      <c r="J345" s="209">
        <v>5.5281400000000001E-2</v>
      </c>
      <c r="K345" s="209">
        <v>5.5281400000000001E-2</v>
      </c>
      <c r="L345" s="209">
        <v>5.5281400000000001E-2</v>
      </c>
      <c r="M345" s="209">
        <v>5.5281400000000001E-2</v>
      </c>
      <c r="N345" s="209">
        <v>5.5281400000000001E-2</v>
      </c>
      <c r="O345" s="209">
        <v>5.5281400000000001E-2</v>
      </c>
      <c r="P345" s="209">
        <v>5.5281400000000001E-2</v>
      </c>
      <c r="Q345" s="209">
        <v>5.5281400000000001E-2</v>
      </c>
      <c r="R345" s="209">
        <v>5.5281400000000001E-2</v>
      </c>
      <c r="S345" s="209">
        <v>5.5281400000000001E-2</v>
      </c>
      <c r="T345" s="209">
        <v>5.5281400000000001E-2</v>
      </c>
      <c r="U345" s="209">
        <v>5.5281400000000001E-2</v>
      </c>
      <c r="V345" s="209">
        <v>5.5281400000000001E-2</v>
      </c>
      <c r="W345" s="209">
        <v>5.5281400000000001E-2</v>
      </c>
      <c r="X345" s="209">
        <v>5.5281400000000001E-2</v>
      </c>
      <c r="Y345" s="209">
        <v>5.5281400000000001E-2</v>
      </c>
      <c r="Z345" s="209">
        <v>5.5281400000000001E-2</v>
      </c>
      <c r="AA345" s="209">
        <v>5.5281400000000001E-2</v>
      </c>
      <c r="AB345" s="209">
        <v>5.5281400000000001E-2</v>
      </c>
      <c r="AC345" s="209">
        <v>5.5281400000000001E-2</v>
      </c>
      <c r="AD345" s="209">
        <v>5.5281400000000001E-2</v>
      </c>
      <c r="AE345" s="209">
        <v>5.5281400000000001E-2</v>
      </c>
      <c r="AF345" s="220">
        <v>5.5281400000000001E-2</v>
      </c>
      <c r="AG345" s="436"/>
    </row>
    <row r="346" spans="1:33">
      <c r="A346" s="229" t="s">
        <v>944</v>
      </c>
      <c r="B346" s="235" t="s">
        <v>940</v>
      </c>
      <c r="C346" s="235">
        <v>2100</v>
      </c>
      <c r="D346" s="235" t="s">
        <v>674</v>
      </c>
      <c r="E346" s="226">
        <v>5.5281400000000001E-2</v>
      </c>
      <c r="F346" s="226">
        <v>5.5281400000000001E-2</v>
      </c>
      <c r="G346" s="226">
        <v>5.5281400000000001E-2</v>
      </c>
      <c r="H346" s="226">
        <v>5.5281400000000001E-2</v>
      </c>
      <c r="I346" s="226">
        <v>5.5281400000000001E-2</v>
      </c>
      <c r="J346" s="226">
        <v>5.5281400000000001E-2</v>
      </c>
      <c r="K346" s="226">
        <v>5.5281400000000001E-2</v>
      </c>
      <c r="L346" s="226">
        <v>5.5281400000000001E-2</v>
      </c>
      <c r="M346" s="226">
        <v>5.5281400000000001E-2</v>
      </c>
      <c r="N346" s="226">
        <v>5.5281400000000001E-2</v>
      </c>
      <c r="O346" s="226">
        <v>5.5281400000000001E-2</v>
      </c>
      <c r="P346" s="226">
        <v>5.5281400000000001E-2</v>
      </c>
      <c r="Q346" s="226">
        <v>5.5281400000000001E-2</v>
      </c>
      <c r="R346" s="226">
        <v>5.5281400000000001E-2</v>
      </c>
      <c r="S346" s="226">
        <v>5.5281400000000001E-2</v>
      </c>
      <c r="T346" s="226">
        <v>5.5281400000000001E-2</v>
      </c>
      <c r="U346" s="226">
        <v>5.5281400000000001E-2</v>
      </c>
      <c r="V346" s="226">
        <v>5.5281400000000001E-2</v>
      </c>
      <c r="W346" s="226">
        <v>5.5281400000000001E-2</v>
      </c>
      <c r="X346" s="226">
        <v>5.5281400000000001E-2</v>
      </c>
      <c r="Y346" s="226">
        <v>5.5281400000000001E-2</v>
      </c>
      <c r="Z346" s="226">
        <v>5.5281400000000001E-2</v>
      </c>
      <c r="AA346" s="226">
        <v>5.5281400000000001E-2</v>
      </c>
      <c r="AB346" s="226">
        <v>5.5281400000000001E-2</v>
      </c>
      <c r="AC346" s="226">
        <v>5.5281400000000001E-2</v>
      </c>
      <c r="AD346" s="226">
        <v>5.5281400000000001E-2</v>
      </c>
      <c r="AE346" s="226">
        <v>5.5281400000000001E-2</v>
      </c>
      <c r="AF346" s="224">
        <v>5.5281400000000001E-2</v>
      </c>
      <c r="AG346" s="437"/>
    </row>
    <row r="347" spans="1:33">
      <c r="A347" t="s">
        <v>944</v>
      </c>
      <c r="B347" s="231" t="s">
        <v>941</v>
      </c>
      <c r="C347" s="232">
        <v>2019</v>
      </c>
      <c r="D347" s="231" t="s">
        <v>674</v>
      </c>
      <c r="E347" s="209">
        <v>0.1105628</v>
      </c>
      <c r="F347" s="209">
        <v>0.1105628</v>
      </c>
      <c r="G347" s="209">
        <v>0.1105628</v>
      </c>
      <c r="H347" s="209">
        <v>0.1105628</v>
      </c>
      <c r="I347" s="209">
        <v>0.1105628</v>
      </c>
      <c r="J347" s="209">
        <v>0.1105628</v>
      </c>
      <c r="K347" s="209">
        <v>0.1105628</v>
      </c>
      <c r="L347" s="209">
        <v>0.1105628</v>
      </c>
      <c r="M347" s="209">
        <v>0.1105628</v>
      </c>
      <c r="N347" s="209">
        <v>0.1105628</v>
      </c>
      <c r="O347" s="209">
        <v>0.1105628</v>
      </c>
      <c r="P347" s="209">
        <v>0.1105628</v>
      </c>
      <c r="Q347" s="209">
        <v>0.1105628</v>
      </c>
      <c r="R347" s="209">
        <v>0.1105628</v>
      </c>
      <c r="S347" s="209">
        <v>0.1105628</v>
      </c>
      <c r="T347" s="209">
        <v>0.1105628</v>
      </c>
      <c r="U347" s="209">
        <v>0.1105628</v>
      </c>
      <c r="V347" s="209">
        <v>0.1105628</v>
      </c>
      <c r="W347" s="209">
        <v>0.1105628</v>
      </c>
      <c r="X347" s="209">
        <v>0.1105628</v>
      </c>
      <c r="Y347" s="209">
        <v>0.1105628</v>
      </c>
      <c r="Z347" s="209">
        <v>0.1105628</v>
      </c>
      <c r="AA347" s="209">
        <v>0.1105628</v>
      </c>
      <c r="AB347" s="209">
        <v>0.1105628</v>
      </c>
      <c r="AC347" s="209">
        <v>0.1105628</v>
      </c>
      <c r="AD347" s="209">
        <v>0.1105628</v>
      </c>
      <c r="AE347" s="209">
        <v>0.1105628</v>
      </c>
      <c r="AF347" s="209">
        <v>0.1105628</v>
      </c>
      <c r="AG347" s="453"/>
    </row>
    <row r="348" spans="1:33">
      <c r="A348" s="215" t="s">
        <v>944</v>
      </c>
      <c r="B348" s="232" t="s">
        <v>941</v>
      </c>
      <c r="C348">
        <v>2020</v>
      </c>
      <c r="D348" s="232" t="s">
        <v>674</v>
      </c>
      <c r="E348" s="209">
        <v>0.1105628</v>
      </c>
      <c r="F348" s="209">
        <v>0.1105628</v>
      </c>
      <c r="G348" s="209">
        <v>0.1105628</v>
      </c>
      <c r="H348" s="209">
        <v>0.1105628</v>
      </c>
      <c r="I348" s="209">
        <v>0.1105628</v>
      </c>
      <c r="J348" s="209">
        <v>0.1105628</v>
      </c>
      <c r="K348" s="209">
        <v>0.1105628</v>
      </c>
      <c r="L348" s="209">
        <v>0.1105628</v>
      </c>
      <c r="M348" s="209">
        <v>0.1105628</v>
      </c>
      <c r="N348" s="209">
        <v>0.1105628</v>
      </c>
      <c r="O348" s="209">
        <v>0.1105628</v>
      </c>
      <c r="P348" s="209">
        <v>0.1105628</v>
      </c>
      <c r="Q348" s="209">
        <v>0.1105628</v>
      </c>
      <c r="R348" s="209">
        <v>0.1105628</v>
      </c>
      <c r="S348" s="209">
        <v>0.1105628</v>
      </c>
      <c r="T348" s="209">
        <v>0.1105628</v>
      </c>
      <c r="U348" s="209">
        <v>0.1105628</v>
      </c>
      <c r="V348" s="209">
        <v>0.1105628</v>
      </c>
      <c r="W348" s="209">
        <v>0.1105628</v>
      </c>
      <c r="X348" s="209">
        <v>0.1105628</v>
      </c>
      <c r="Y348" s="209">
        <v>0.1105628</v>
      </c>
      <c r="Z348" s="209">
        <v>0.1105628</v>
      </c>
      <c r="AA348" s="209">
        <v>0.1105628</v>
      </c>
      <c r="AB348" s="209">
        <v>0.1105628</v>
      </c>
      <c r="AC348" s="209">
        <v>0.1105628</v>
      </c>
      <c r="AD348" s="209">
        <v>0.1105628</v>
      </c>
      <c r="AE348" s="209">
        <v>0.1105628</v>
      </c>
      <c r="AF348" s="220">
        <v>0.1105628</v>
      </c>
      <c r="AG348" s="436"/>
    </row>
    <row r="349" spans="1:33">
      <c r="A349" s="215" t="s">
        <v>944</v>
      </c>
      <c r="B349" s="232" t="s">
        <v>941</v>
      </c>
      <c r="C349" s="232">
        <v>2025</v>
      </c>
      <c r="D349" s="232" t="s">
        <v>674</v>
      </c>
      <c r="E349" s="209">
        <v>0.1105628</v>
      </c>
      <c r="F349" s="209">
        <v>0.1105628</v>
      </c>
      <c r="G349" s="209">
        <v>0.1105628</v>
      </c>
      <c r="H349" s="209">
        <v>0.1105628</v>
      </c>
      <c r="I349" s="209">
        <v>0.1105628</v>
      </c>
      <c r="J349" s="209">
        <v>0.1105628</v>
      </c>
      <c r="K349" s="209">
        <v>0.1105628</v>
      </c>
      <c r="L349" s="209">
        <v>0.1105628</v>
      </c>
      <c r="M349" s="209">
        <v>0.1105628</v>
      </c>
      <c r="N349" s="209">
        <v>0.1105628</v>
      </c>
      <c r="O349" s="209">
        <v>0.1105628</v>
      </c>
      <c r="P349" s="209">
        <v>0.1105628</v>
      </c>
      <c r="Q349" s="209">
        <v>0.1105628</v>
      </c>
      <c r="R349" s="209">
        <v>0.1105628</v>
      </c>
      <c r="S349" s="209">
        <v>0.1105628</v>
      </c>
      <c r="T349" s="209">
        <v>0.1105628</v>
      </c>
      <c r="U349" s="209">
        <v>0.1105628</v>
      </c>
      <c r="V349" s="209">
        <v>0.1105628</v>
      </c>
      <c r="W349" s="209">
        <v>0.1105628</v>
      </c>
      <c r="X349" s="209">
        <v>0.1105628</v>
      </c>
      <c r="Y349" s="209">
        <v>0.1105628</v>
      </c>
      <c r="Z349" s="209">
        <v>0.1105628</v>
      </c>
      <c r="AA349" s="209">
        <v>0.1105628</v>
      </c>
      <c r="AB349" s="209">
        <v>0.1105628</v>
      </c>
      <c r="AC349" s="209">
        <v>0.1105628</v>
      </c>
      <c r="AD349" s="209">
        <v>0.1105628</v>
      </c>
      <c r="AE349" s="209">
        <v>0.1105628</v>
      </c>
      <c r="AF349" s="220">
        <v>0.1105628</v>
      </c>
      <c r="AG349" s="436"/>
    </row>
    <row r="350" spans="1:33">
      <c r="A350" s="215" t="s">
        <v>944</v>
      </c>
      <c r="B350" s="232" t="s">
        <v>941</v>
      </c>
      <c r="C350" s="232">
        <v>2030</v>
      </c>
      <c r="D350" s="232" t="s">
        <v>674</v>
      </c>
      <c r="E350" s="209">
        <v>0.1105628</v>
      </c>
      <c r="F350" s="209">
        <v>0.1105628</v>
      </c>
      <c r="G350" s="209">
        <v>0.1105628</v>
      </c>
      <c r="H350" s="209">
        <v>0.1105628</v>
      </c>
      <c r="I350" s="209">
        <v>0.1105628</v>
      </c>
      <c r="J350" s="209">
        <v>0.1105628</v>
      </c>
      <c r="K350" s="209">
        <v>0.1105628</v>
      </c>
      <c r="L350" s="209">
        <v>0.1105628</v>
      </c>
      <c r="M350" s="209">
        <v>0.1105628</v>
      </c>
      <c r="N350" s="209">
        <v>0.1105628</v>
      </c>
      <c r="O350" s="209">
        <v>0.1105628</v>
      </c>
      <c r="P350" s="209">
        <v>0.1105628</v>
      </c>
      <c r="Q350" s="209">
        <v>0.1105628</v>
      </c>
      <c r="R350" s="209">
        <v>0.1105628</v>
      </c>
      <c r="S350" s="209">
        <v>0.1105628</v>
      </c>
      <c r="T350" s="209">
        <v>0.1105628</v>
      </c>
      <c r="U350" s="209">
        <v>0.1105628</v>
      </c>
      <c r="V350" s="209">
        <v>0.1105628</v>
      </c>
      <c r="W350" s="209">
        <v>0.1105628</v>
      </c>
      <c r="X350" s="209">
        <v>0.1105628</v>
      </c>
      <c r="Y350" s="209">
        <v>0.1105628</v>
      </c>
      <c r="Z350" s="209">
        <v>0.1105628</v>
      </c>
      <c r="AA350" s="209">
        <v>0.1105628</v>
      </c>
      <c r="AB350" s="209">
        <v>0.1105628</v>
      </c>
      <c r="AC350" s="209">
        <v>0.1105628</v>
      </c>
      <c r="AD350" s="209">
        <v>0.1105628</v>
      </c>
      <c r="AE350" s="209">
        <v>0.1105628</v>
      </c>
      <c r="AF350" s="220">
        <v>0.1105628</v>
      </c>
      <c r="AG350" s="436"/>
    </row>
    <row r="351" spans="1:33">
      <c r="A351" s="215" t="s">
        <v>944</v>
      </c>
      <c r="B351" s="232" t="s">
        <v>941</v>
      </c>
      <c r="C351" s="232">
        <v>2035</v>
      </c>
      <c r="D351" s="232" t="s">
        <v>674</v>
      </c>
      <c r="E351" s="209">
        <v>0.1105628</v>
      </c>
      <c r="F351" s="209">
        <v>0.1105628</v>
      </c>
      <c r="G351" s="209">
        <v>0.1105628</v>
      </c>
      <c r="H351" s="209">
        <v>0.1105628</v>
      </c>
      <c r="I351" s="209">
        <v>0.1105628</v>
      </c>
      <c r="J351" s="209">
        <v>0.1105628</v>
      </c>
      <c r="K351" s="209">
        <v>0.1105628</v>
      </c>
      <c r="L351" s="209">
        <v>0.1105628</v>
      </c>
      <c r="M351" s="209">
        <v>0.1105628</v>
      </c>
      <c r="N351" s="209">
        <v>0.1105628</v>
      </c>
      <c r="O351" s="209">
        <v>0.1105628</v>
      </c>
      <c r="P351" s="209">
        <v>0.1105628</v>
      </c>
      <c r="Q351" s="209">
        <v>0.1105628</v>
      </c>
      <c r="R351" s="209">
        <v>0.1105628</v>
      </c>
      <c r="S351" s="209">
        <v>0.1105628</v>
      </c>
      <c r="T351" s="209">
        <v>0.1105628</v>
      </c>
      <c r="U351" s="209">
        <v>0.1105628</v>
      </c>
      <c r="V351" s="209">
        <v>0.1105628</v>
      </c>
      <c r="W351" s="209">
        <v>0.1105628</v>
      </c>
      <c r="X351" s="209">
        <v>0.1105628</v>
      </c>
      <c r="Y351" s="209">
        <v>0.1105628</v>
      </c>
      <c r="Z351" s="209">
        <v>0.1105628</v>
      </c>
      <c r="AA351" s="209">
        <v>0.1105628</v>
      </c>
      <c r="AB351" s="209">
        <v>0.1105628</v>
      </c>
      <c r="AC351" s="209">
        <v>0.1105628</v>
      </c>
      <c r="AD351" s="209">
        <v>0.1105628</v>
      </c>
      <c r="AE351" s="209">
        <v>0.1105628</v>
      </c>
      <c r="AF351" s="220">
        <v>0.1105628</v>
      </c>
      <c r="AG351" s="436"/>
    </row>
    <row r="352" spans="1:33">
      <c r="A352" s="215" t="s">
        <v>944</v>
      </c>
      <c r="B352" s="232" t="s">
        <v>941</v>
      </c>
      <c r="C352" s="232">
        <v>2040</v>
      </c>
      <c r="D352" s="232" t="s">
        <v>674</v>
      </c>
      <c r="E352" s="209">
        <v>0.1105628</v>
      </c>
      <c r="F352" s="209">
        <v>0.1105628</v>
      </c>
      <c r="G352" s="209">
        <v>0.1105628</v>
      </c>
      <c r="H352" s="209">
        <v>0.1105628</v>
      </c>
      <c r="I352" s="209">
        <v>0.1105628</v>
      </c>
      <c r="J352" s="209">
        <v>0.1105628</v>
      </c>
      <c r="K352" s="209">
        <v>0.1105628</v>
      </c>
      <c r="L352" s="209">
        <v>0.1105628</v>
      </c>
      <c r="M352" s="209">
        <v>0.1105628</v>
      </c>
      <c r="N352" s="209">
        <v>0.1105628</v>
      </c>
      <c r="O352" s="209">
        <v>0.1105628</v>
      </c>
      <c r="P352" s="209">
        <v>0.1105628</v>
      </c>
      <c r="Q352" s="209">
        <v>0.1105628</v>
      </c>
      <c r="R352" s="209">
        <v>0.1105628</v>
      </c>
      <c r="S352" s="209">
        <v>0.1105628</v>
      </c>
      <c r="T352" s="209">
        <v>0.1105628</v>
      </c>
      <c r="U352" s="209">
        <v>0.1105628</v>
      </c>
      <c r="V352" s="209">
        <v>0.1105628</v>
      </c>
      <c r="W352" s="209">
        <v>0.1105628</v>
      </c>
      <c r="X352" s="209">
        <v>0.1105628</v>
      </c>
      <c r="Y352" s="209">
        <v>0.1105628</v>
      </c>
      <c r="Z352" s="209">
        <v>0.1105628</v>
      </c>
      <c r="AA352" s="209">
        <v>0.1105628</v>
      </c>
      <c r="AB352" s="209">
        <v>0.1105628</v>
      </c>
      <c r="AC352" s="209">
        <v>0.1105628</v>
      </c>
      <c r="AD352" s="209">
        <v>0.1105628</v>
      </c>
      <c r="AE352" s="209">
        <v>0.1105628</v>
      </c>
      <c r="AF352" s="220">
        <v>0.1105628</v>
      </c>
      <c r="AG352" s="436"/>
    </row>
    <row r="353" spans="1:33">
      <c r="A353" s="215" t="s">
        <v>944</v>
      </c>
      <c r="B353" s="232" t="s">
        <v>941</v>
      </c>
      <c r="C353" s="232">
        <v>2045</v>
      </c>
      <c r="D353" s="232" t="s">
        <v>674</v>
      </c>
      <c r="E353" s="209">
        <v>0.1105628</v>
      </c>
      <c r="F353" s="209">
        <v>0.1105628</v>
      </c>
      <c r="G353" s="209">
        <v>0.1105628</v>
      </c>
      <c r="H353" s="209">
        <v>0.1105628</v>
      </c>
      <c r="I353" s="209">
        <v>0.1105628</v>
      </c>
      <c r="J353" s="209">
        <v>0.1105628</v>
      </c>
      <c r="K353" s="209">
        <v>0.1105628</v>
      </c>
      <c r="L353" s="209">
        <v>0.1105628</v>
      </c>
      <c r="M353" s="209">
        <v>0.1105628</v>
      </c>
      <c r="N353" s="209">
        <v>0.1105628</v>
      </c>
      <c r="O353" s="209">
        <v>0.1105628</v>
      </c>
      <c r="P353" s="209">
        <v>0.1105628</v>
      </c>
      <c r="Q353" s="209">
        <v>0.1105628</v>
      </c>
      <c r="R353" s="209">
        <v>0.1105628</v>
      </c>
      <c r="S353" s="209">
        <v>0.1105628</v>
      </c>
      <c r="T353" s="209">
        <v>0.1105628</v>
      </c>
      <c r="U353" s="209">
        <v>0.1105628</v>
      </c>
      <c r="V353" s="209">
        <v>0.1105628</v>
      </c>
      <c r="W353" s="209">
        <v>0.1105628</v>
      </c>
      <c r="X353" s="209">
        <v>0.1105628</v>
      </c>
      <c r="Y353" s="209">
        <v>0.1105628</v>
      </c>
      <c r="Z353" s="209">
        <v>0.1105628</v>
      </c>
      <c r="AA353" s="209">
        <v>0.1105628</v>
      </c>
      <c r="AB353" s="209">
        <v>0.1105628</v>
      </c>
      <c r="AC353" s="209">
        <v>0.1105628</v>
      </c>
      <c r="AD353" s="209">
        <v>0.1105628</v>
      </c>
      <c r="AE353" s="209">
        <v>0.1105628</v>
      </c>
      <c r="AF353" s="220">
        <v>0.1105628</v>
      </c>
      <c r="AG353" s="436"/>
    </row>
    <row r="354" spans="1:33">
      <c r="A354" s="215" t="s">
        <v>944</v>
      </c>
      <c r="B354" s="232" t="s">
        <v>941</v>
      </c>
      <c r="C354" s="232">
        <v>2050</v>
      </c>
      <c r="D354" s="232" t="s">
        <v>674</v>
      </c>
      <c r="E354" s="209">
        <v>0.1105628</v>
      </c>
      <c r="F354" s="209">
        <v>0.1105628</v>
      </c>
      <c r="G354" s="209">
        <v>0.1105628</v>
      </c>
      <c r="H354" s="209">
        <v>0.1105628</v>
      </c>
      <c r="I354" s="209">
        <v>0.1105628</v>
      </c>
      <c r="J354" s="209">
        <v>0.1105628</v>
      </c>
      <c r="K354" s="209">
        <v>0.1105628</v>
      </c>
      <c r="L354" s="209">
        <v>0.1105628</v>
      </c>
      <c r="M354" s="209">
        <v>0.1105628</v>
      </c>
      <c r="N354" s="209">
        <v>0.1105628</v>
      </c>
      <c r="O354" s="209">
        <v>0.1105628</v>
      </c>
      <c r="P354" s="209">
        <v>0.1105628</v>
      </c>
      <c r="Q354" s="209">
        <v>0.1105628</v>
      </c>
      <c r="R354" s="209">
        <v>0.1105628</v>
      </c>
      <c r="S354" s="209">
        <v>0.1105628</v>
      </c>
      <c r="T354" s="209">
        <v>0.1105628</v>
      </c>
      <c r="U354" s="209">
        <v>0.1105628</v>
      </c>
      <c r="V354" s="209">
        <v>0.1105628</v>
      </c>
      <c r="W354" s="209">
        <v>0.1105628</v>
      </c>
      <c r="X354" s="209">
        <v>0.1105628</v>
      </c>
      <c r="Y354" s="209">
        <v>0.1105628</v>
      </c>
      <c r="Z354" s="209">
        <v>0.1105628</v>
      </c>
      <c r="AA354" s="209">
        <v>0.1105628</v>
      </c>
      <c r="AB354" s="209">
        <v>0.1105628</v>
      </c>
      <c r="AC354" s="209">
        <v>0.1105628</v>
      </c>
      <c r="AD354" s="209">
        <v>0.1105628</v>
      </c>
      <c r="AE354" s="209">
        <v>0.1105628</v>
      </c>
      <c r="AF354" s="220">
        <v>0.1105628</v>
      </c>
      <c r="AG354" s="436"/>
    </row>
    <row r="355" spans="1:33">
      <c r="A355" s="215" t="s">
        <v>944</v>
      </c>
      <c r="B355" s="232" t="s">
        <v>941</v>
      </c>
      <c r="C355" s="232">
        <v>2060</v>
      </c>
      <c r="D355" s="232" t="s">
        <v>674</v>
      </c>
      <c r="E355" s="209">
        <v>0.1105628</v>
      </c>
      <c r="F355" s="209">
        <v>0.1105628</v>
      </c>
      <c r="G355" s="209">
        <v>0.1105628</v>
      </c>
      <c r="H355" s="209">
        <v>0.1105628</v>
      </c>
      <c r="I355" s="209">
        <v>0.1105628</v>
      </c>
      <c r="J355" s="209">
        <v>0.1105628</v>
      </c>
      <c r="K355" s="209">
        <v>0.1105628</v>
      </c>
      <c r="L355" s="209">
        <v>0.1105628</v>
      </c>
      <c r="M355" s="209">
        <v>0.1105628</v>
      </c>
      <c r="N355" s="209">
        <v>0.1105628</v>
      </c>
      <c r="O355" s="209">
        <v>0.1105628</v>
      </c>
      <c r="P355" s="209">
        <v>0.1105628</v>
      </c>
      <c r="Q355" s="209">
        <v>0.1105628</v>
      </c>
      <c r="R355" s="209">
        <v>0.1105628</v>
      </c>
      <c r="S355" s="209">
        <v>0.1105628</v>
      </c>
      <c r="T355" s="209">
        <v>0.1105628</v>
      </c>
      <c r="U355" s="209">
        <v>0.1105628</v>
      </c>
      <c r="V355" s="209">
        <v>0.1105628</v>
      </c>
      <c r="W355" s="209">
        <v>0.1105628</v>
      </c>
      <c r="X355" s="209">
        <v>0.1105628</v>
      </c>
      <c r="Y355" s="209">
        <v>0.1105628</v>
      </c>
      <c r="Z355" s="209">
        <v>0.1105628</v>
      </c>
      <c r="AA355" s="209">
        <v>0.1105628</v>
      </c>
      <c r="AB355" s="209">
        <v>0.1105628</v>
      </c>
      <c r="AC355" s="209">
        <v>0.1105628</v>
      </c>
      <c r="AD355" s="209">
        <v>0.1105628</v>
      </c>
      <c r="AE355" s="209">
        <v>0.1105628</v>
      </c>
      <c r="AF355" s="220">
        <v>0.1105628</v>
      </c>
      <c r="AG355" s="436"/>
    </row>
    <row r="356" spans="1:33">
      <c r="A356" s="215" t="s">
        <v>944</v>
      </c>
      <c r="B356" s="232" t="s">
        <v>941</v>
      </c>
      <c r="C356" s="232">
        <v>2070</v>
      </c>
      <c r="D356" s="232" t="s">
        <v>674</v>
      </c>
      <c r="E356" s="209">
        <v>0.1105628</v>
      </c>
      <c r="F356" s="209">
        <v>0.1105628</v>
      </c>
      <c r="G356" s="209">
        <v>0.1105628</v>
      </c>
      <c r="H356" s="209">
        <v>0.1105628</v>
      </c>
      <c r="I356" s="209">
        <v>0.1105628</v>
      </c>
      <c r="J356" s="209">
        <v>0.1105628</v>
      </c>
      <c r="K356" s="209">
        <v>0.1105628</v>
      </c>
      <c r="L356" s="209">
        <v>0.1105628</v>
      </c>
      <c r="M356" s="209">
        <v>0.1105628</v>
      </c>
      <c r="N356" s="209">
        <v>0.1105628</v>
      </c>
      <c r="O356" s="209">
        <v>0.1105628</v>
      </c>
      <c r="P356" s="209">
        <v>0.1105628</v>
      </c>
      <c r="Q356" s="209">
        <v>0.1105628</v>
      </c>
      <c r="R356" s="209">
        <v>0.1105628</v>
      </c>
      <c r="S356" s="209">
        <v>0.1105628</v>
      </c>
      <c r="T356" s="209">
        <v>0.1105628</v>
      </c>
      <c r="U356" s="209">
        <v>0.1105628</v>
      </c>
      <c r="V356" s="209">
        <v>0.1105628</v>
      </c>
      <c r="W356" s="209">
        <v>0.1105628</v>
      </c>
      <c r="X356" s="209">
        <v>0.1105628</v>
      </c>
      <c r="Y356" s="209">
        <v>0.1105628</v>
      </c>
      <c r="Z356" s="209">
        <v>0.1105628</v>
      </c>
      <c r="AA356" s="209">
        <v>0.1105628</v>
      </c>
      <c r="AB356" s="209">
        <v>0.1105628</v>
      </c>
      <c r="AC356" s="209">
        <v>0.1105628</v>
      </c>
      <c r="AD356" s="209">
        <v>0.1105628</v>
      </c>
      <c r="AE356" s="209">
        <v>0.1105628</v>
      </c>
      <c r="AF356" s="220">
        <v>0.1105628</v>
      </c>
      <c r="AG356" s="436"/>
    </row>
    <row r="357" spans="1:33">
      <c r="A357" s="215" t="s">
        <v>944</v>
      </c>
      <c r="B357" s="232" t="s">
        <v>941</v>
      </c>
      <c r="C357" s="232">
        <v>2080</v>
      </c>
      <c r="D357" s="232" t="s">
        <v>674</v>
      </c>
      <c r="E357" s="209">
        <v>0.1105628</v>
      </c>
      <c r="F357" s="209">
        <v>0.1105628</v>
      </c>
      <c r="G357" s="209">
        <v>0.1105628</v>
      </c>
      <c r="H357" s="209">
        <v>0.1105628</v>
      </c>
      <c r="I357" s="209">
        <v>0.1105628</v>
      </c>
      <c r="J357" s="209">
        <v>0.1105628</v>
      </c>
      <c r="K357" s="209">
        <v>0.1105628</v>
      </c>
      <c r="L357" s="209">
        <v>0.1105628</v>
      </c>
      <c r="M357" s="209">
        <v>0.1105628</v>
      </c>
      <c r="N357" s="209">
        <v>0.1105628</v>
      </c>
      <c r="O357" s="209">
        <v>0.1105628</v>
      </c>
      <c r="P357" s="209">
        <v>0.1105628</v>
      </c>
      <c r="Q357" s="209">
        <v>0.1105628</v>
      </c>
      <c r="R357" s="209">
        <v>0.1105628</v>
      </c>
      <c r="S357" s="209">
        <v>0.1105628</v>
      </c>
      <c r="T357" s="209">
        <v>0.1105628</v>
      </c>
      <c r="U357" s="209">
        <v>0.1105628</v>
      </c>
      <c r="V357" s="209">
        <v>0.1105628</v>
      </c>
      <c r="W357" s="209">
        <v>0.1105628</v>
      </c>
      <c r="X357" s="209">
        <v>0.1105628</v>
      </c>
      <c r="Y357" s="209">
        <v>0.1105628</v>
      </c>
      <c r="Z357" s="209">
        <v>0.1105628</v>
      </c>
      <c r="AA357" s="209">
        <v>0.1105628</v>
      </c>
      <c r="AB357" s="209">
        <v>0.1105628</v>
      </c>
      <c r="AC357" s="209">
        <v>0.1105628</v>
      </c>
      <c r="AD357" s="209">
        <v>0.1105628</v>
      </c>
      <c r="AE357" s="209">
        <v>0.1105628</v>
      </c>
      <c r="AF357" s="220">
        <v>0.1105628</v>
      </c>
      <c r="AG357" s="436"/>
    </row>
    <row r="358" spans="1:33">
      <c r="A358" s="215" t="s">
        <v>944</v>
      </c>
      <c r="B358" s="232" t="s">
        <v>941</v>
      </c>
      <c r="C358" s="232">
        <v>2090</v>
      </c>
      <c r="D358" s="232" t="s">
        <v>674</v>
      </c>
      <c r="E358" s="209">
        <v>0.1105628</v>
      </c>
      <c r="F358" s="209">
        <v>0.1105628</v>
      </c>
      <c r="G358" s="209">
        <v>0.1105628</v>
      </c>
      <c r="H358" s="209">
        <v>0.1105628</v>
      </c>
      <c r="I358" s="209">
        <v>0.1105628</v>
      </c>
      <c r="J358" s="209">
        <v>0.1105628</v>
      </c>
      <c r="K358" s="209">
        <v>0.1105628</v>
      </c>
      <c r="L358" s="209">
        <v>0.1105628</v>
      </c>
      <c r="M358" s="209">
        <v>0.1105628</v>
      </c>
      <c r="N358" s="209">
        <v>0.1105628</v>
      </c>
      <c r="O358" s="209">
        <v>0.1105628</v>
      </c>
      <c r="P358" s="209">
        <v>0.1105628</v>
      </c>
      <c r="Q358" s="209">
        <v>0.1105628</v>
      </c>
      <c r="R358" s="209">
        <v>0.1105628</v>
      </c>
      <c r="S358" s="209">
        <v>0.1105628</v>
      </c>
      <c r="T358" s="209">
        <v>0.1105628</v>
      </c>
      <c r="U358" s="209">
        <v>0.1105628</v>
      </c>
      <c r="V358" s="209">
        <v>0.1105628</v>
      </c>
      <c r="W358" s="209">
        <v>0.1105628</v>
      </c>
      <c r="X358" s="209">
        <v>0.1105628</v>
      </c>
      <c r="Y358" s="209">
        <v>0.1105628</v>
      </c>
      <c r="Z358" s="209">
        <v>0.1105628</v>
      </c>
      <c r="AA358" s="209">
        <v>0.1105628</v>
      </c>
      <c r="AB358" s="209">
        <v>0.1105628</v>
      </c>
      <c r="AC358" s="209">
        <v>0.1105628</v>
      </c>
      <c r="AD358" s="209">
        <v>0.1105628</v>
      </c>
      <c r="AE358" s="209">
        <v>0.1105628</v>
      </c>
      <c r="AF358" s="220">
        <v>0.1105628</v>
      </c>
      <c r="AG358" s="436"/>
    </row>
    <row r="359" spans="1:33" ht="16.2" thickBot="1">
      <c r="A359" s="449" t="s">
        <v>944</v>
      </c>
      <c r="B359" s="450" t="s">
        <v>941</v>
      </c>
      <c r="C359" s="450">
        <v>2100</v>
      </c>
      <c r="D359" s="450" t="s">
        <v>674</v>
      </c>
      <c r="E359" s="212">
        <v>0.1105628</v>
      </c>
      <c r="F359" s="212">
        <v>0.1105628</v>
      </c>
      <c r="G359" s="212">
        <v>0.1105628</v>
      </c>
      <c r="H359" s="212">
        <v>0.1105628</v>
      </c>
      <c r="I359" s="212">
        <v>0.1105628</v>
      </c>
      <c r="J359" s="212">
        <v>0.1105628</v>
      </c>
      <c r="K359" s="212">
        <v>0.1105628</v>
      </c>
      <c r="L359" s="212">
        <v>0.1105628</v>
      </c>
      <c r="M359" s="212">
        <v>0.1105628</v>
      </c>
      <c r="N359" s="212">
        <v>0.1105628</v>
      </c>
      <c r="O359" s="212">
        <v>0.1105628</v>
      </c>
      <c r="P359" s="212">
        <v>0.1105628</v>
      </c>
      <c r="Q359" s="212">
        <v>0.1105628</v>
      </c>
      <c r="R359" s="212">
        <v>0.1105628</v>
      </c>
      <c r="S359" s="212">
        <v>0.1105628</v>
      </c>
      <c r="T359" s="212">
        <v>0.1105628</v>
      </c>
      <c r="U359" s="212">
        <v>0.1105628</v>
      </c>
      <c r="V359" s="212">
        <v>0.1105628</v>
      </c>
      <c r="W359" s="212">
        <v>0.1105628</v>
      </c>
      <c r="X359" s="212">
        <v>0.1105628</v>
      </c>
      <c r="Y359" s="212">
        <v>0.1105628</v>
      </c>
      <c r="Z359" s="212">
        <v>0.1105628</v>
      </c>
      <c r="AA359" s="212">
        <v>0.1105628</v>
      </c>
      <c r="AB359" s="212">
        <v>0.1105628</v>
      </c>
      <c r="AC359" s="212">
        <v>0.1105628</v>
      </c>
      <c r="AD359" s="212">
        <v>0.1105628</v>
      </c>
      <c r="AE359" s="212">
        <v>0.1105628</v>
      </c>
      <c r="AF359" s="451">
        <v>0.1105628</v>
      </c>
      <c r="AG359" s="452"/>
    </row>
    <row r="360" spans="1:33">
      <c r="A360" s="215" t="s">
        <v>946</v>
      </c>
      <c r="B360" s="232" t="s">
        <v>938</v>
      </c>
      <c r="C360" s="232">
        <v>2019</v>
      </c>
      <c r="D360" s="232" t="s">
        <v>674</v>
      </c>
      <c r="E360" s="209">
        <v>1.105628E-2</v>
      </c>
      <c r="F360" s="209">
        <v>1.105628E-2</v>
      </c>
      <c r="G360" s="209">
        <v>1.105628E-2</v>
      </c>
      <c r="H360" s="209">
        <v>1.105628E-2</v>
      </c>
      <c r="I360" s="209">
        <v>1.105628E-2</v>
      </c>
      <c r="J360" s="209">
        <v>1.105628E-2</v>
      </c>
      <c r="K360" s="209">
        <v>1.105628E-2</v>
      </c>
      <c r="L360" s="209">
        <v>1.105628E-2</v>
      </c>
      <c r="M360" s="209">
        <v>1.105628E-2</v>
      </c>
      <c r="N360" s="209">
        <v>1.105628E-2</v>
      </c>
      <c r="O360" s="209">
        <v>1.105628E-2</v>
      </c>
      <c r="P360" s="209">
        <v>1.105628E-2</v>
      </c>
      <c r="Q360" s="209">
        <v>1.105628E-2</v>
      </c>
      <c r="R360" s="209">
        <v>1.105628E-2</v>
      </c>
      <c r="S360" s="209">
        <v>1.105628E-2</v>
      </c>
      <c r="T360" s="209">
        <v>1.105628E-2</v>
      </c>
      <c r="U360" s="209">
        <v>1.105628E-2</v>
      </c>
      <c r="V360" s="209">
        <v>1.105628E-2</v>
      </c>
      <c r="W360" s="209">
        <v>1.105628E-2</v>
      </c>
      <c r="X360" s="209">
        <v>1.105628E-2</v>
      </c>
      <c r="Y360" s="209">
        <v>1.105628E-2</v>
      </c>
      <c r="Z360" s="209">
        <v>1.105628E-2</v>
      </c>
      <c r="AA360" s="209">
        <v>1.105628E-2</v>
      </c>
      <c r="AB360" s="209">
        <v>1.105628E-2</v>
      </c>
      <c r="AC360" s="209">
        <v>1.105628E-2</v>
      </c>
      <c r="AD360" s="209">
        <v>1.105628E-2</v>
      </c>
      <c r="AE360" s="209">
        <v>1.105628E-2</v>
      </c>
      <c r="AF360" s="220">
        <v>1.105628E-2</v>
      </c>
      <c r="AG360" s="436"/>
    </row>
    <row r="361" spans="1:33">
      <c r="A361" s="215" t="s">
        <v>946</v>
      </c>
      <c r="B361" s="232" t="s">
        <v>938</v>
      </c>
      <c r="C361">
        <v>2020</v>
      </c>
      <c r="D361" s="232" t="s">
        <v>674</v>
      </c>
      <c r="E361" s="209">
        <v>1.105628E-2</v>
      </c>
      <c r="F361" s="209">
        <v>1.105628E-2</v>
      </c>
      <c r="G361" s="209">
        <v>1.105628E-2</v>
      </c>
      <c r="H361" s="209">
        <v>1.105628E-2</v>
      </c>
      <c r="I361" s="209">
        <v>1.105628E-2</v>
      </c>
      <c r="J361" s="209">
        <v>1.105628E-2</v>
      </c>
      <c r="K361" s="209">
        <v>1.105628E-2</v>
      </c>
      <c r="L361" s="209">
        <v>1.105628E-2</v>
      </c>
      <c r="M361" s="209">
        <v>1.105628E-2</v>
      </c>
      <c r="N361" s="209">
        <v>1.105628E-2</v>
      </c>
      <c r="O361" s="209">
        <v>1.105628E-2</v>
      </c>
      <c r="P361" s="209">
        <v>1.105628E-2</v>
      </c>
      <c r="Q361" s="209">
        <v>1.105628E-2</v>
      </c>
      <c r="R361" s="209">
        <v>1.105628E-2</v>
      </c>
      <c r="S361" s="209">
        <v>1.105628E-2</v>
      </c>
      <c r="T361" s="209">
        <v>1.105628E-2</v>
      </c>
      <c r="U361" s="209">
        <v>1.105628E-2</v>
      </c>
      <c r="V361" s="209">
        <v>1.105628E-2</v>
      </c>
      <c r="W361" s="209">
        <v>1.105628E-2</v>
      </c>
      <c r="X361" s="209">
        <v>1.105628E-2</v>
      </c>
      <c r="Y361" s="209">
        <v>1.105628E-2</v>
      </c>
      <c r="Z361" s="209">
        <v>1.105628E-2</v>
      </c>
      <c r="AA361" s="209">
        <v>1.105628E-2</v>
      </c>
      <c r="AB361" s="209">
        <v>1.105628E-2</v>
      </c>
      <c r="AC361" s="209">
        <v>1.105628E-2</v>
      </c>
      <c r="AD361" s="209">
        <v>1.105628E-2</v>
      </c>
      <c r="AE361" s="209">
        <v>1.105628E-2</v>
      </c>
      <c r="AF361" s="220">
        <v>1.105628E-2</v>
      </c>
      <c r="AG361" s="436"/>
    </row>
    <row r="362" spans="1:33">
      <c r="A362" s="215" t="s">
        <v>946</v>
      </c>
      <c r="B362" s="232" t="s">
        <v>938</v>
      </c>
      <c r="C362" s="232">
        <v>2025</v>
      </c>
      <c r="D362" s="232" t="s">
        <v>674</v>
      </c>
      <c r="E362" s="209">
        <v>1.105628E-2</v>
      </c>
      <c r="F362" s="209">
        <v>1.105628E-2</v>
      </c>
      <c r="G362" s="209">
        <v>1.105628E-2</v>
      </c>
      <c r="H362" s="209">
        <v>1.105628E-2</v>
      </c>
      <c r="I362" s="209">
        <v>1.105628E-2</v>
      </c>
      <c r="J362" s="209">
        <v>1.105628E-2</v>
      </c>
      <c r="K362" s="209">
        <v>1.105628E-2</v>
      </c>
      <c r="L362" s="209">
        <v>1.105628E-2</v>
      </c>
      <c r="M362" s="209">
        <v>1.105628E-2</v>
      </c>
      <c r="N362" s="209">
        <v>1.105628E-2</v>
      </c>
      <c r="O362" s="209">
        <v>1.105628E-2</v>
      </c>
      <c r="P362" s="209">
        <v>1.105628E-2</v>
      </c>
      <c r="Q362" s="209">
        <v>1.105628E-2</v>
      </c>
      <c r="R362" s="209">
        <v>1.105628E-2</v>
      </c>
      <c r="S362" s="209">
        <v>1.105628E-2</v>
      </c>
      <c r="T362" s="209">
        <v>1.105628E-2</v>
      </c>
      <c r="U362" s="209">
        <v>1.105628E-2</v>
      </c>
      <c r="V362" s="209">
        <v>1.105628E-2</v>
      </c>
      <c r="W362" s="209">
        <v>1.105628E-2</v>
      </c>
      <c r="X362" s="209">
        <v>1.105628E-2</v>
      </c>
      <c r="Y362" s="209">
        <v>1.105628E-2</v>
      </c>
      <c r="Z362" s="209">
        <v>1.105628E-2</v>
      </c>
      <c r="AA362" s="209">
        <v>1.105628E-2</v>
      </c>
      <c r="AB362" s="209">
        <v>1.105628E-2</v>
      </c>
      <c r="AC362" s="209">
        <v>1.105628E-2</v>
      </c>
      <c r="AD362" s="209">
        <v>1.105628E-2</v>
      </c>
      <c r="AE362" s="209">
        <v>1.105628E-2</v>
      </c>
      <c r="AF362" s="220">
        <v>1.105628E-2</v>
      </c>
      <c r="AG362" s="436"/>
    </row>
    <row r="363" spans="1:33">
      <c r="A363" s="215" t="s">
        <v>946</v>
      </c>
      <c r="B363" s="232" t="s">
        <v>938</v>
      </c>
      <c r="C363" s="232">
        <v>2030</v>
      </c>
      <c r="D363" s="232" t="s">
        <v>674</v>
      </c>
      <c r="E363" s="209">
        <v>1.105628E-2</v>
      </c>
      <c r="F363" s="209">
        <v>1.105628E-2</v>
      </c>
      <c r="G363" s="209">
        <v>1.105628E-2</v>
      </c>
      <c r="H363" s="209">
        <v>1.105628E-2</v>
      </c>
      <c r="I363" s="209">
        <v>1.105628E-2</v>
      </c>
      <c r="J363" s="209">
        <v>1.105628E-2</v>
      </c>
      <c r="K363" s="209">
        <v>1.105628E-2</v>
      </c>
      <c r="L363" s="209">
        <v>1.105628E-2</v>
      </c>
      <c r="M363" s="209">
        <v>1.105628E-2</v>
      </c>
      <c r="N363" s="209">
        <v>1.105628E-2</v>
      </c>
      <c r="O363" s="209">
        <v>1.105628E-2</v>
      </c>
      <c r="P363" s="209">
        <v>1.105628E-2</v>
      </c>
      <c r="Q363" s="209">
        <v>1.105628E-2</v>
      </c>
      <c r="R363" s="209">
        <v>1.105628E-2</v>
      </c>
      <c r="S363" s="209">
        <v>1.105628E-2</v>
      </c>
      <c r="T363" s="209">
        <v>1.105628E-2</v>
      </c>
      <c r="U363" s="209">
        <v>1.105628E-2</v>
      </c>
      <c r="V363" s="209">
        <v>1.105628E-2</v>
      </c>
      <c r="W363" s="209">
        <v>1.105628E-2</v>
      </c>
      <c r="X363" s="209">
        <v>1.105628E-2</v>
      </c>
      <c r="Y363" s="209">
        <v>1.105628E-2</v>
      </c>
      <c r="Z363" s="209">
        <v>1.105628E-2</v>
      </c>
      <c r="AA363" s="209">
        <v>1.105628E-2</v>
      </c>
      <c r="AB363" s="209">
        <v>1.105628E-2</v>
      </c>
      <c r="AC363" s="209">
        <v>1.105628E-2</v>
      </c>
      <c r="AD363" s="209">
        <v>1.105628E-2</v>
      </c>
      <c r="AE363" s="209">
        <v>1.105628E-2</v>
      </c>
      <c r="AF363" s="220">
        <v>1.105628E-2</v>
      </c>
      <c r="AG363" s="436"/>
    </row>
    <row r="364" spans="1:33">
      <c r="A364" s="215" t="s">
        <v>946</v>
      </c>
      <c r="B364" s="232" t="s">
        <v>938</v>
      </c>
      <c r="C364" s="232">
        <v>2035</v>
      </c>
      <c r="D364" s="232" t="s">
        <v>674</v>
      </c>
      <c r="E364" s="209">
        <v>1.105628E-2</v>
      </c>
      <c r="F364" s="209">
        <v>1.105628E-2</v>
      </c>
      <c r="G364" s="209">
        <v>1.105628E-2</v>
      </c>
      <c r="H364" s="209">
        <v>1.105628E-2</v>
      </c>
      <c r="I364" s="209">
        <v>1.105628E-2</v>
      </c>
      <c r="J364" s="209">
        <v>1.105628E-2</v>
      </c>
      <c r="K364" s="209">
        <v>1.105628E-2</v>
      </c>
      <c r="L364" s="209">
        <v>1.105628E-2</v>
      </c>
      <c r="M364" s="209">
        <v>1.105628E-2</v>
      </c>
      <c r="N364" s="209">
        <v>1.105628E-2</v>
      </c>
      <c r="O364" s="209">
        <v>1.105628E-2</v>
      </c>
      <c r="P364" s="209">
        <v>1.105628E-2</v>
      </c>
      <c r="Q364" s="209">
        <v>1.105628E-2</v>
      </c>
      <c r="R364" s="209">
        <v>1.105628E-2</v>
      </c>
      <c r="S364" s="209">
        <v>1.105628E-2</v>
      </c>
      <c r="T364" s="209">
        <v>1.105628E-2</v>
      </c>
      <c r="U364" s="209">
        <v>1.105628E-2</v>
      </c>
      <c r="V364" s="209">
        <v>1.105628E-2</v>
      </c>
      <c r="W364" s="209">
        <v>1.105628E-2</v>
      </c>
      <c r="X364" s="209">
        <v>1.105628E-2</v>
      </c>
      <c r="Y364" s="209">
        <v>1.105628E-2</v>
      </c>
      <c r="Z364" s="209">
        <v>1.105628E-2</v>
      </c>
      <c r="AA364" s="209">
        <v>1.105628E-2</v>
      </c>
      <c r="AB364" s="209">
        <v>1.105628E-2</v>
      </c>
      <c r="AC364" s="209">
        <v>1.105628E-2</v>
      </c>
      <c r="AD364" s="209">
        <v>1.105628E-2</v>
      </c>
      <c r="AE364" s="209">
        <v>1.105628E-2</v>
      </c>
      <c r="AF364" s="220">
        <v>1.105628E-2</v>
      </c>
      <c r="AG364" s="436"/>
    </row>
    <row r="365" spans="1:33">
      <c r="A365" s="215" t="s">
        <v>946</v>
      </c>
      <c r="B365" s="232" t="s">
        <v>938</v>
      </c>
      <c r="C365" s="232">
        <v>2040</v>
      </c>
      <c r="D365" s="232" t="s">
        <v>674</v>
      </c>
      <c r="E365" s="209">
        <v>1.105628E-2</v>
      </c>
      <c r="F365" s="209">
        <v>1.105628E-2</v>
      </c>
      <c r="G365" s="209">
        <v>1.105628E-2</v>
      </c>
      <c r="H365" s="209">
        <v>1.105628E-2</v>
      </c>
      <c r="I365" s="209">
        <v>1.105628E-2</v>
      </c>
      <c r="J365" s="209">
        <v>1.105628E-2</v>
      </c>
      <c r="K365" s="209">
        <v>1.105628E-2</v>
      </c>
      <c r="L365" s="209">
        <v>1.105628E-2</v>
      </c>
      <c r="M365" s="209">
        <v>1.105628E-2</v>
      </c>
      <c r="N365" s="209">
        <v>1.105628E-2</v>
      </c>
      <c r="O365" s="209">
        <v>1.105628E-2</v>
      </c>
      <c r="P365" s="209">
        <v>1.105628E-2</v>
      </c>
      <c r="Q365" s="209">
        <v>1.105628E-2</v>
      </c>
      <c r="R365" s="209">
        <v>1.105628E-2</v>
      </c>
      <c r="S365" s="209">
        <v>1.105628E-2</v>
      </c>
      <c r="T365" s="209">
        <v>1.105628E-2</v>
      </c>
      <c r="U365" s="209">
        <v>1.105628E-2</v>
      </c>
      <c r="V365" s="209">
        <v>1.105628E-2</v>
      </c>
      <c r="W365" s="209">
        <v>1.105628E-2</v>
      </c>
      <c r="X365" s="209">
        <v>1.105628E-2</v>
      </c>
      <c r="Y365" s="209">
        <v>1.105628E-2</v>
      </c>
      <c r="Z365" s="209">
        <v>1.105628E-2</v>
      </c>
      <c r="AA365" s="209">
        <v>1.105628E-2</v>
      </c>
      <c r="AB365" s="209">
        <v>1.105628E-2</v>
      </c>
      <c r="AC365" s="209">
        <v>1.105628E-2</v>
      </c>
      <c r="AD365" s="209">
        <v>1.105628E-2</v>
      </c>
      <c r="AE365" s="209">
        <v>1.105628E-2</v>
      </c>
      <c r="AF365" s="220">
        <v>1.105628E-2</v>
      </c>
      <c r="AG365" s="436"/>
    </row>
    <row r="366" spans="1:33">
      <c r="A366" s="215" t="s">
        <v>946</v>
      </c>
      <c r="B366" s="232" t="s">
        <v>938</v>
      </c>
      <c r="C366" s="232">
        <v>2045</v>
      </c>
      <c r="D366" s="232" t="s">
        <v>674</v>
      </c>
      <c r="E366" s="209">
        <v>1.105628E-2</v>
      </c>
      <c r="F366" s="209">
        <v>1.105628E-2</v>
      </c>
      <c r="G366" s="209">
        <v>1.105628E-2</v>
      </c>
      <c r="H366" s="209">
        <v>1.105628E-2</v>
      </c>
      <c r="I366" s="209">
        <v>1.105628E-2</v>
      </c>
      <c r="J366" s="209">
        <v>1.105628E-2</v>
      </c>
      <c r="K366" s="209">
        <v>1.105628E-2</v>
      </c>
      <c r="L366" s="209">
        <v>1.105628E-2</v>
      </c>
      <c r="M366" s="209">
        <v>1.105628E-2</v>
      </c>
      <c r="N366" s="209">
        <v>1.105628E-2</v>
      </c>
      <c r="O366" s="209">
        <v>1.105628E-2</v>
      </c>
      <c r="P366" s="209">
        <v>1.105628E-2</v>
      </c>
      <c r="Q366" s="209">
        <v>1.105628E-2</v>
      </c>
      <c r="R366" s="209">
        <v>1.105628E-2</v>
      </c>
      <c r="S366" s="209">
        <v>1.105628E-2</v>
      </c>
      <c r="T366" s="209">
        <v>1.105628E-2</v>
      </c>
      <c r="U366" s="209">
        <v>1.105628E-2</v>
      </c>
      <c r="V366" s="209">
        <v>1.105628E-2</v>
      </c>
      <c r="W366" s="209">
        <v>1.105628E-2</v>
      </c>
      <c r="X366" s="209">
        <v>1.105628E-2</v>
      </c>
      <c r="Y366" s="209">
        <v>1.105628E-2</v>
      </c>
      <c r="Z366" s="209">
        <v>1.105628E-2</v>
      </c>
      <c r="AA366" s="209">
        <v>1.105628E-2</v>
      </c>
      <c r="AB366" s="209">
        <v>1.105628E-2</v>
      </c>
      <c r="AC366" s="209">
        <v>1.105628E-2</v>
      </c>
      <c r="AD366" s="209">
        <v>1.105628E-2</v>
      </c>
      <c r="AE366" s="209">
        <v>1.105628E-2</v>
      </c>
      <c r="AF366" s="220">
        <v>1.105628E-2</v>
      </c>
      <c r="AG366" s="436"/>
    </row>
    <row r="367" spans="1:33">
      <c r="A367" s="215" t="s">
        <v>946</v>
      </c>
      <c r="B367" s="232" t="s">
        <v>938</v>
      </c>
      <c r="C367" s="232">
        <v>2050</v>
      </c>
      <c r="D367" s="232" t="s">
        <v>674</v>
      </c>
      <c r="E367" s="209">
        <v>1.105628E-2</v>
      </c>
      <c r="F367" s="209">
        <v>1.105628E-2</v>
      </c>
      <c r="G367" s="209">
        <v>1.105628E-2</v>
      </c>
      <c r="H367" s="209">
        <v>1.105628E-2</v>
      </c>
      <c r="I367" s="209">
        <v>1.105628E-2</v>
      </c>
      <c r="J367" s="209">
        <v>1.105628E-2</v>
      </c>
      <c r="K367" s="209">
        <v>1.105628E-2</v>
      </c>
      <c r="L367" s="209">
        <v>1.105628E-2</v>
      </c>
      <c r="M367" s="209">
        <v>1.105628E-2</v>
      </c>
      <c r="N367" s="209">
        <v>1.105628E-2</v>
      </c>
      <c r="O367" s="209">
        <v>1.105628E-2</v>
      </c>
      <c r="P367" s="209">
        <v>1.105628E-2</v>
      </c>
      <c r="Q367" s="209">
        <v>1.105628E-2</v>
      </c>
      <c r="R367" s="209">
        <v>1.105628E-2</v>
      </c>
      <c r="S367" s="209">
        <v>1.105628E-2</v>
      </c>
      <c r="T367" s="209">
        <v>1.105628E-2</v>
      </c>
      <c r="U367" s="209">
        <v>1.105628E-2</v>
      </c>
      <c r="V367" s="209">
        <v>1.105628E-2</v>
      </c>
      <c r="W367" s="209">
        <v>1.105628E-2</v>
      </c>
      <c r="X367" s="209">
        <v>1.105628E-2</v>
      </c>
      <c r="Y367" s="209">
        <v>1.105628E-2</v>
      </c>
      <c r="Z367" s="209">
        <v>1.105628E-2</v>
      </c>
      <c r="AA367" s="209">
        <v>1.105628E-2</v>
      </c>
      <c r="AB367" s="209">
        <v>1.105628E-2</v>
      </c>
      <c r="AC367" s="209">
        <v>1.105628E-2</v>
      </c>
      <c r="AD367" s="209">
        <v>1.105628E-2</v>
      </c>
      <c r="AE367" s="209">
        <v>1.105628E-2</v>
      </c>
      <c r="AF367" s="220">
        <v>1.105628E-2</v>
      </c>
      <c r="AG367" s="436"/>
    </row>
    <row r="368" spans="1:33">
      <c r="A368" s="215" t="s">
        <v>946</v>
      </c>
      <c r="B368" s="232" t="s">
        <v>938</v>
      </c>
      <c r="C368" s="232">
        <v>2060</v>
      </c>
      <c r="D368" s="232" t="s">
        <v>674</v>
      </c>
      <c r="E368" s="209">
        <v>1.105628E-2</v>
      </c>
      <c r="F368" s="209">
        <v>1.105628E-2</v>
      </c>
      <c r="G368" s="209">
        <v>1.105628E-2</v>
      </c>
      <c r="H368" s="209">
        <v>1.105628E-2</v>
      </c>
      <c r="I368" s="209">
        <v>1.105628E-2</v>
      </c>
      <c r="J368" s="209">
        <v>1.105628E-2</v>
      </c>
      <c r="K368" s="209">
        <v>1.105628E-2</v>
      </c>
      <c r="L368" s="209">
        <v>1.105628E-2</v>
      </c>
      <c r="M368" s="209">
        <v>1.105628E-2</v>
      </c>
      <c r="N368" s="209">
        <v>1.105628E-2</v>
      </c>
      <c r="O368" s="209">
        <v>1.105628E-2</v>
      </c>
      <c r="P368" s="209">
        <v>1.105628E-2</v>
      </c>
      <c r="Q368" s="209">
        <v>1.105628E-2</v>
      </c>
      <c r="R368" s="209">
        <v>1.105628E-2</v>
      </c>
      <c r="S368" s="209">
        <v>1.105628E-2</v>
      </c>
      <c r="T368" s="209">
        <v>1.105628E-2</v>
      </c>
      <c r="U368" s="209">
        <v>1.105628E-2</v>
      </c>
      <c r="V368" s="209">
        <v>1.105628E-2</v>
      </c>
      <c r="W368" s="209">
        <v>1.105628E-2</v>
      </c>
      <c r="X368" s="209">
        <v>1.105628E-2</v>
      </c>
      <c r="Y368" s="209">
        <v>1.105628E-2</v>
      </c>
      <c r="Z368" s="209">
        <v>1.105628E-2</v>
      </c>
      <c r="AA368" s="209">
        <v>1.105628E-2</v>
      </c>
      <c r="AB368" s="209">
        <v>1.105628E-2</v>
      </c>
      <c r="AC368" s="209">
        <v>1.105628E-2</v>
      </c>
      <c r="AD368" s="209">
        <v>1.105628E-2</v>
      </c>
      <c r="AE368" s="209">
        <v>1.105628E-2</v>
      </c>
      <c r="AF368" s="220">
        <v>1.105628E-2</v>
      </c>
      <c r="AG368" s="436"/>
    </row>
    <row r="369" spans="1:33">
      <c r="A369" s="215" t="s">
        <v>946</v>
      </c>
      <c r="B369" s="232" t="s">
        <v>938</v>
      </c>
      <c r="C369" s="232">
        <v>2070</v>
      </c>
      <c r="D369" s="232" t="s">
        <v>674</v>
      </c>
      <c r="E369" s="209">
        <v>1.105628E-2</v>
      </c>
      <c r="F369" s="209">
        <v>1.105628E-2</v>
      </c>
      <c r="G369" s="209">
        <v>1.105628E-2</v>
      </c>
      <c r="H369" s="209">
        <v>1.105628E-2</v>
      </c>
      <c r="I369" s="209">
        <v>1.105628E-2</v>
      </c>
      <c r="J369" s="209">
        <v>1.105628E-2</v>
      </c>
      <c r="K369" s="209">
        <v>1.105628E-2</v>
      </c>
      <c r="L369" s="209">
        <v>1.105628E-2</v>
      </c>
      <c r="M369" s="209">
        <v>1.105628E-2</v>
      </c>
      <c r="N369" s="209">
        <v>1.105628E-2</v>
      </c>
      <c r="O369" s="209">
        <v>1.105628E-2</v>
      </c>
      <c r="P369" s="209">
        <v>1.105628E-2</v>
      </c>
      <c r="Q369" s="209">
        <v>1.105628E-2</v>
      </c>
      <c r="R369" s="209">
        <v>1.105628E-2</v>
      </c>
      <c r="S369" s="209">
        <v>1.105628E-2</v>
      </c>
      <c r="T369" s="209">
        <v>1.105628E-2</v>
      </c>
      <c r="U369" s="209">
        <v>1.105628E-2</v>
      </c>
      <c r="V369" s="209">
        <v>1.105628E-2</v>
      </c>
      <c r="W369" s="209">
        <v>1.105628E-2</v>
      </c>
      <c r="X369" s="209">
        <v>1.105628E-2</v>
      </c>
      <c r="Y369" s="209">
        <v>1.105628E-2</v>
      </c>
      <c r="Z369" s="209">
        <v>1.105628E-2</v>
      </c>
      <c r="AA369" s="209">
        <v>1.105628E-2</v>
      </c>
      <c r="AB369" s="209">
        <v>1.105628E-2</v>
      </c>
      <c r="AC369" s="209">
        <v>1.105628E-2</v>
      </c>
      <c r="AD369" s="209">
        <v>1.105628E-2</v>
      </c>
      <c r="AE369" s="209">
        <v>1.105628E-2</v>
      </c>
      <c r="AF369" s="220">
        <v>1.105628E-2</v>
      </c>
      <c r="AG369" s="436"/>
    </row>
    <row r="370" spans="1:33">
      <c r="A370" s="215" t="s">
        <v>946</v>
      </c>
      <c r="B370" s="232" t="s">
        <v>938</v>
      </c>
      <c r="C370" s="232">
        <v>2080</v>
      </c>
      <c r="D370" s="232" t="s">
        <v>674</v>
      </c>
      <c r="E370" s="209">
        <v>1.105628E-2</v>
      </c>
      <c r="F370" s="209">
        <v>1.105628E-2</v>
      </c>
      <c r="G370" s="209">
        <v>1.105628E-2</v>
      </c>
      <c r="H370" s="209">
        <v>1.105628E-2</v>
      </c>
      <c r="I370" s="209">
        <v>1.105628E-2</v>
      </c>
      <c r="J370" s="209">
        <v>1.105628E-2</v>
      </c>
      <c r="K370" s="209">
        <v>1.105628E-2</v>
      </c>
      <c r="L370" s="209">
        <v>1.105628E-2</v>
      </c>
      <c r="M370" s="209">
        <v>1.105628E-2</v>
      </c>
      <c r="N370" s="209">
        <v>1.105628E-2</v>
      </c>
      <c r="O370" s="209">
        <v>1.105628E-2</v>
      </c>
      <c r="P370" s="209">
        <v>1.105628E-2</v>
      </c>
      <c r="Q370" s="209">
        <v>1.105628E-2</v>
      </c>
      <c r="R370" s="209">
        <v>1.105628E-2</v>
      </c>
      <c r="S370" s="209">
        <v>1.105628E-2</v>
      </c>
      <c r="T370" s="209">
        <v>1.105628E-2</v>
      </c>
      <c r="U370" s="209">
        <v>1.105628E-2</v>
      </c>
      <c r="V370" s="209">
        <v>1.105628E-2</v>
      </c>
      <c r="W370" s="209">
        <v>1.105628E-2</v>
      </c>
      <c r="X370" s="209">
        <v>1.105628E-2</v>
      </c>
      <c r="Y370" s="209">
        <v>1.105628E-2</v>
      </c>
      <c r="Z370" s="209">
        <v>1.105628E-2</v>
      </c>
      <c r="AA370" s="209">
        <v>1.105628E-2</v>
      </c>
      <c r="AB370" s="209">
        <v>1.105628E-2</v>
      </c>
      <c r="AC370" s="209">
        <v>1.105628E-2</v>
      </c>
      <c r="AD370" s="209">
        <v>1.105628E-2</v>
      </c>
      <c r="AE370" s="209">
        <v>1.105628E-2</v>
      </c>
      <c r="AF370" s="220">
        <v>1.105628E-2</v>
      </c>
      <c r="AG370" s="436"/>
    </row>
    <row r="371" spans="1:33">
      <c r="A371" s="215" t="s">
        <v>946</v>
      </c>
      <c r="B371" s="232" t="s">
        <v>938</v>
      </c>
      <c r="C371" s="232">
        <v>2090</v>
      </c>
      <c r="D371" s="232" t="s">
        <v>674</v>
      </c>
      <c r="E371" s="209">
        <v>1.105628E-2</v>
      </c>
      <c r="F371" s="209">
        <v>1.105628E-2</v>
      </c>
      <c r="G371" s="209">
        <v>1.105628E-2</v>
      </c>
      <c r="H371" s="209">
        <v>1.105628E-2</v>
      </c>
      <c r="I371" s="209">
        <v>1.105628E-2</v>
      </c>
      <c r="J371" s="209">
        <v>1.105628E-2</v>
      </c>
      <c r="K371" s="209">
        <v>1.105628E-2</v>
      </c>
      <c r="L371" s="209">
        <v>1.105628E-2</v>
      </c>
      <c r="M371" s="209">
        <v>1.105628E-2</v>
      </c>
      <c r="N371" s="209">
        <v>1.105628E-2</v>
      </c>
      <c r="O371" s="209">
        <v>1.105628E-2</v>
      </c>
      <c r="P371" s="209">
        <v>1.105628E-2</v>
      </c>
      <c r="Q371" s="209">
        <v>1.105628E-2</v>
      </c>
      <c r="R371" s="209">
        <v>1.105628E-2</v>
      </c>
      <c r="S371" s="209">
        <v>1.105628E-2</v>
      </c>
      <c r="T371" s="209">
        <v>1.105628E-2</v>
      </c>
      <c r="U371" s="209">
        <v>1.105628E-2</v>
      </c>
      <c r="V371" s="209">
        <v>1.105628E-2</v>
      </c>
      <c r="W371" s="209">
        <v>1.105628E-2</v>
      </c>
      <c r="X371" s="209">
        <v>1.105628E-2</v>
      </c>
      <c r="Y371" s="209">
        <v>1.105628E-2</v>
      </c>
      <c r="Z371" s="209">
        <v>1.105628E-2</v>
      </c>
      <c r="AA371" s="209">
        <v>1.105628E-2</v>
      </c>
      <c r="AB371" s="209">
        <v>1.105628E-2</v>
      </c>
      <c r="AC371" s="209">
        <v>1.105628E-2</v>
      </c>
      <c r="AD371" s="209">
        <v>1.105628E-2</v>
      </c>
      <c r="AE371" s="209">
        <v>1.105628E-2</v>
      </c>
      <c r="AF371" s="220">
        <v>1.105628E-2</v>
      </c>
      <c r="AG371" s="436"/>
    </row>
    <row r="372" spans="1:33">
      <c r="A372" s="229" t="s">
        <v>946</v>
      </c>
      <c r="B372" s="235" t="s">
        <v>938</v>
      </c>
      <c r="C372" s="235">
        <v>2100</v>
      </c>
      <c r="D372" s="235" t="s">
        <v>674</v>
      </c>
      <c r="E372" s="226">
        <v>1.105628E-2</v>
      </c>
      <c r="F372" s="226">
        <v>1.105628E-2</v>
      </c>
      <c r="G372" s="226">
        <v>1.105628E-2</v>
      </c>
      <c r="H372" s="226">
        <v>1.105628E-2</v>
      </c>
      <c r="I372" s="226">
        <v>1.105628E-2</v>
      </c>
      <c r="J372" s="226">
        <v>1.105628E-2</v>
      </c>
      <c r="K372" s="226">
        <v>1.105628E-2</v>
      </c>
      <c r="L372" s="226">
        <v>1.105628E-2</v>
      </c>
      <c r="M372" s="226">
        <v>1.105628E-2</v>
      </c>
      <c r="N372" s="226">
        <v>1.105628E-2</v>
      </c>
      <c r="O372" s="226">
        <v>1.105628E-2</v>
      </c>
      <c r="P372" s="226">
        <v>1.105628E-2</v>
      </c>
      <c r="Q372" s="226">
        <v>1.105628E-2</v>
      </c>
      <c r="R372" s="226">
        <v>1.105628E-2</v>
      </c>
      <c r="S372" s="226">
        <v>1.105628E-2</v>
      </c>
      <c r="T372" s="226">
        <v>1.105628E-2</v>
      </c>
      <c r="U372" s="226">
        <v>1.105628E-2</v>
      </c>
      <c r="V372" s="226">
        <v>1.105628E-2</v>
      </c>
      <c r="W372" s="226">
        <v>1.105628E-2</v>
      </c>
      <c r="X372" s="226">
        <v>1.105628E-2</v>
      </c>
      <c r="Y372" s="226">
        <v>1.105628E-2</v>
      </c>
      <c r="Z372" s="226">
        <v>1.105628E-2</v>
      </c>
      <c r="AA372" s="226">
        <v>1.105628E-2</v>
      </c>
      <c r="AB372" s="226">
        <v>1.105628E-2</v>
      </c>
      <c r="AC372" s="226">
        <v>1.105628E-2</v>
      </c>
      <c r="AD372" s="226">
        <v>1.105628E-2</v>
      </c>
      <c r="AE372" s="226">
        <v>1.105628E-2</v>
      </c>
      <c r="AF372" s="224">
        <v>1.105628E-2</v>
      </c>
      <c r="AG372" s="437"/>
    </row>
    <row r="373" spans="1:33">
      <c r="A373" s="215" t="s">
        <v>946</v>
      </c>
      <c r="B373" s="232" t="s">
        <v>940</v>
      </c>
      <c r="C373" s="232">
        <v>2019</v>
      </c>
      <c r="D373" s="232" t="s">
        <v>674</v>
      </c>
      <c r="E373" s="209">
        <v>5.5281400000000001E-2</v>
      </c>
      <c r="F373" s="209">
        <v>5.5281400000000001E-2</v>
      </c>
      <c r="G373" s="209">
        <v>5.5281400000000001E-2</v>
      </c>
      <c r="H373" s="209">
        <v>5.5281400000000001E-2</v>
      </c>
      <c r="I373" s="209">
        <v>5.5281400000000001E-2</v>
      </c>
      <c r="J373" s="209">
        <v>5.5281400000000001E-2</v>
      </c>
      <c r="K373" s="209">
        <v>5.5281400000000001E-2</v>
      </c>
      <c r="L373" s="209">
        <v>5.5281400000000001E-2</v>
      </c>
      <c r="M373" s="209">
        <v>5.5281400000000001E-2</v>
      </c>
      <c r="N373" s="209">
        <v>5.5281400000000001E-2</v>
      </c>
      <c r="O373" s="209">
        <v>5.5281400000000001E-2</v>
      </c>
      <c r="P373" s="209">
        <v>5.5281400000000001E-2</v>
      </c>
      <c r="Q373" s="209">
        <v>5.5281400000000001E-2</v>
      </c>
      <c r="R373" s="209">
        <v>5.5281400000000001E-2</v>
      </c>
      <c r="S373" s="209">
        <v>5.5281400000000001E-2</v>
      </c>
      <c r="T373" s="209">
        <v>5.5281400000000001E-2</v>
      </c>
      <c r="U373" s="209">
        <v>5.5281400000000001E-2</v>
      </c>
      <c r="V373" s="209">
        <v>5.5281400000000001E-2</v>
      </c>
      <c r="W373" s="209">
        <v>5.5281400000000001E-2</v>
      </c>
      <c r="X373" s="209">
        <v>5.5281400000000001E-2</v>
      </c>
      <c r="Y373" s="209">
        <v>5.5281400000000001E-2</v>
      </c>
      <c r="Z373" s="209">
        <v>5.5281400000000001E-2</v>
      </c>
      <c r="AA373" s="209">
        <v>5.5281400000000001E-2</v>
      </c>
      <c r="AB373" s="209">
        <v>5.5281400000000001E-2</v>
      </c>
      <c r="AC373" s="209">
        <v>5.5281400000000001E-2</v>
      </c>
      <c r="AD373" s="209">
        <v>5.5281400000000001E-2</v>
      </c>
      <c r="AE373" s="209">
        <v>5.5281400000000001E-2</v>
      </c>
      <c r="AF373" s="220">
        <v>5.5281400000000001E-2</v>
      </c>
      <c r="AG373" s="436"/>
    </row>
    <row r="374" spans="1:33">
      <c r="A374" s="215" t="s">
        <v>946</v>
      </c>
      <c r="B374" s="232" t="s">
        <v>940</v>
      </c>
      <c r="C374">
        <v>2020</v>
      </c>
      <c r="D374" s="232" t="s">
        <v>674</v>
      </c>
      <c r="E374" s="209">
        <v>5.5281400000000001E-2</v>
      </c>
      <c r="F374" s="209">
        <v>5.5281400000000001E-2</v>
      </c>
      <c r="G374" s="209">
        <v>5.5281400000000001E-2</v>
      </c>
      <c r="H374" s="209">
        <v>5.5281400000000001E-2</v>
      </c>
      <c r="I374" s="209">
        <v>5.5281400000000001E-2</v>
      </c>
      <c r="J374" s="209">
        <v>5.5281400000000001E-2</v>
      </c>
      <c r="K374" s="209">
        <v>5.5281400000000001E-2</v>
      </c>
      <c r="L374" s="209">
        <v>5.5281400000000001E-2</v>
      </c>
      <c r="M374" s="209">
        <v>5.5281400000000001E-2</v>
      </c>
      <c r="N374" s="209">
        <v>5.5281400000000001E-2</v>
      </c>
      <c r="O374" s="209">
        <v>5.5281400000000001E-2</v>
      </c>
      <c r="P374" s="209">
        <v>5.5281400000000001E-2</v>
      </c>
      <c r="Q374" s="209">
        <v>5.5281400000000001E-2</v>
      </c>
      <c r="R374" s="209">
        <v>5.5281400000000001E-2</v>
      </c>
      <c r="S374" s="209">
        <v>5.5281400000000001E-2</v>
      </c>
      <c r="T374" s="209">
        <v>5.5281400000000001E-2</v>
      </c>
      <c r="U374" s="209">
        <v>5.5281400000000001E-2</v>
      </c>
      <c r="V374" s="209">
        <v>5.5281400000000001E-2</v>
      </c>
      <c r="W374" s="209">
        <v>5.5281400000000001E-2</v>
      </c>
      <c r="X374" s="209">
        <v>5.5281400000000001E-2</v>
      </c>
      <c r="Y374" s="209">
        <v>5.5281400000000001E-2</v>
      </c>
      <c r="Z374" s="209">
        <v>5.5281400000000001E-2</v>
      </c>
      <c r="AA374" s="209">
        <v>5.5281400000000001E-2</v>
      </c>
      <c r="AB374" s="209">
        <v>5.5281400000000001E-2</v>
      </c>
      <c r="AC374" s="209">
        <v>5.5281400000000001E-2</v>
      </c>
      <c r="AD374" s="209">
        <v>5.5281400000000001E-2</v>
      </c>
      <c r="AE374" s="209">
        <v>5.5281400000000001E-2</v>
      </c>
      <c r="AF374" s="220">
        <v>5.5281400000000001E-2</v>
      </c>
      <c r="AG374" s="436"/>
    </row>
    <row r="375" spans="1:33">
      <c r="A375" s="215" t="s">
        <v>946</v>
      </c>
      <c r="B375" s="232" t="s">
        <v>940</v>
      </c>
      <c r="C375" s="232">
        <v>2025</v>
      </c>
      <c r="D375" s="232" t="s">
        <v>674</v>
      </c>
      <c r="E375" s="209">
        <v>5.5281400000000001E-2</v>
      </c>
      <c r="F375" s="209">
        <v>5.5281400000000001E-2</v>
      </c>
      <c r="G375" s="209">
        <v>5.5281400000000001E-2</v>
      </c>
      <c r="H375" s="209">
        <v>5.5281400000000001E-2</v>
      </c>
      <c r="I375" s="209">
        <v>5.5281400000000001E-2</v>
      </c>
      <c r="J375" s="209">
        <v>5.5281400000000001E-2</v>
      </c>
      <c r="K375" s="209">
        <v>5.5281400000000001E-2</v>
      </c>
      <c r="L375" s="209">
        <v>5.5281400000000001E-2</v>
      </c>
      <c r="M375" s="209">
        <v>5.5281400000000001E-2</v>
      </c>
      <c r="N375" s="209">
        <v>5.5281400000000001E-2</v>
      </c>
      <c r="O375" s="209">
        <v>5.5281400000000001E-2</v>
      </c>
      <c r="P375" s="209">
        <v>5.5281400000000001E-2</v>
      </c>
      <c r="Q375" s="209">
        <v>5.5281400000000001E-2</v>
      </c>
      <c r="R375" s="209">
        <v>5.5281400000000001E-2</v>
      </c>
      <c r="S375" s="209">
        <v>5.5281400000000001E-2</v>
      </c>
      <c r="T375" s="209">
        <v>5.5281400000000001E-2</v>
      </c>
      <c r="U375" s="209">
        <v>5.5281400000000001E-2</v>
      </c>
      <c r="V375" s="209">
        <v>5.5281400000000001E-2</v>
      </c>
      <c r="W375" s="209">
        <v>5.5281400000000001E-2</v>
      </c>
      <c r="X375" s="209">
        <v>5.5281400000000001E-2</v>
      </c>
      <c r="Y375" s="209">
        <v>5.5281400000000001E-2</v>
      </c>
      <c r="Z375" s="209">
        <v>5.5281400000000001E-2</v>
      </c>
      <c r="AA375" s="209">
        <v>5.5281400000000001E-2</v>
      </c>
      <c r="AB375" s="209">
        <v>5.5281400000000001E-2</v>
      </c>
      <c r="AC375" s="209">
        <v>5.5281400000000001E-2</v>
      </c>
      <c r="AD375" s="209">
        <v>5.5281400000000001E-2</v>
      </c>
      <c r="AE375" s="209">
        <v>5.5281400000000001E-2</v>
      </c>
      <c r="AF375" s="220">
        <v>5.5281400000000001E-2</v>
      </c>
      <c r="AG375" s="436"/>
    </row>
    <row r="376" spans="1:33">
      <c r="A376" s="215" t="s">
        <v>946</v>
      </c>
      <c r="B376" s="232" t="s">
        <v>940</v>
      </c>
      <c r="C376" s="232">
        <v>2030</v>
      </c>
      <c r="D376" s="232" t="s">
        <v>674</v>
      </c>
      <c r="E376" s="209">
        <v>5.5281400000000001E-2</v>
      </c>
      <c r="F376" s="209">
        <v>5.5281400000000001E-2</v>
      </c>
      <c r="G376" s="209">
        <v>5.5281400000000001E-2</v>
      </c>
      <c r="H376" s="209">
        <v>5.5281400000000001E-2</v>
      </c>
      <c r="I376" s="209">
        <v>5.5281400000000001E-2</v>
      </c>
      <c r="J376" s="209">
        <v>5.5281400000000001E-2</v>
      </c>
      <c r="K376" s="209">
        <v>5.5281400000000001E-2</v>
      </c>
      <c r="L376" s="209">
        <v>5.5281400000000001E-2</v>
      </c>
      <c r="M376" s="209">
        <v>5.5281400000000001E-2</v>
      </c>
      <c r="N376" s="209">
        <v>5.5281400000000001E-2</v>
      </c>
      <c r="O376" s="209">
        <v>5.5281400000000001E-2</v>
      </c>
      <c r="P376" s="209">
        <v>5.5281400000000001E-2</v>
      </c>
      <c r="Q376" s="209">
        <v>5.5281400000000001E-2</v>
      </c>
      <c r="R376" s="209">
        <v>5.5281400000000001E-2</v>
      </c>
      <c r="S376" s="209">
        <v>5.5281400000000001E-2</v>
      </c>
      <c r="T376" s="209">
        <v>5.5281400000000001E-2</v>
      </c>
      <c r="U376" s="209">
        <v>5.5281400000000001E-2</v>
      </c>
      <c r="V376" s="209">
        <v>5.5281400000000001E-2</v>
      </c>
      <c r="W376" s="209">
        <v>5.5281400000000001E-2</v>
      </c>
      <c r="X376" s="209">
        <v>5.5281400000000001E-2</v>
      </c>
      <c r="Y376" s="209">
        <v>5.5281400000000001E-2</v>
      </c>
      <c r="Z376" s="209">
        <v>5.5281400000000001E-2</v>
      </c>
      <c r="AA376" s="209">
        <v>5.5281400000000001E-2</v>
      </c>
      <c r="AB376" s="209">
        <v>5.5281400000000001E-2</v>
      </c>
      <c r="AC376" s="209">
        <v>5.5281400000000001E-2</v>
      </c>
      <c r="AD376" s="209">
        <v>5.5281400000000001E-2</v>
      </c>
      <c r="AE376" s="209">
        <v>5.5281400000000001E-2</v>
      </c>
      <c r="AF376" s="220">
        <v>5.5281400000000001E-2</v>
      </c>
      <c r="AG376" s="436"/>
    </row>
    <row r="377" spans="1:33">
      <c r="A377" s="215" t="s">
        <v>946</v>
      </c>
      <c r="B377" s="232" t="s">
        <v>940</v>
      </c>
      <c r="C377" s="232">
        <v>2035</v>
      </c>
      <c r="D377" s="232" t="s">
        <v>674</v>
      </c>
      <c r="E377" s="209">
        <v>5.5281400000000001E-2</v>
      </c>
      <c r="F377" s="209">
        <v>5.5281400000000001E-2</v>
      </c>
      <c r="G377" s="209">
        <v>5.5281400000000001E-2</v>
      </c>
      <c r="H377" s="209">
        <v>5.5281400000000001E-2</v>
      </c>
      <c r="I377" s="209">
        <v>5.5281400000000001E-2</v>
      </c>
      <c r="J377" s="209">
        <v>5.5281400000000001E-2</v>
      </c>
      <c r="K377" s="209">
        <v>5.5281400000000001E-2</v>
      </c>
      <c r="L377" s="209">
        <v>5.5281400000000001E-2</v>
      </c>
      <c r="M377" s="209">
        <v>5.5281400000000001E-2</v>
      </c>
      <c r="N377" s="209">
        <v>5.5281400000000001E-2</v>
      </c>
      <c r="O377" s="209">
        <v>5.5281400000000001E-2</v>
      </c>
      <c r="P377" s="209">
        <v>5.5281400000000001E-2</v>
      </c>
      <c r="Q377" s="209">
        <v>5.5281400000000001E-2</v>
      </c>
      <c r="R377" s="209">
        <v>5.5281400000000001E-2</v>
      </c>
      <c r="S377" s="209">
        <v>5.5281400000000001E-2</v>
      </c>
      <c r="T377" s="209">
        <v>5.5281400000000001E-2</v>
      </c>
      <c r="U377" s="209">
        <v>5.5281400000000001E-2</v>
      </c>
      <c r="V377" s="209">
        <v>5.5281400000000001E-2</v>
      </c>
      <c r="W377" s="209">
        <v>5.5281400000000001E-2</v>
      </c>
      <c r="X377" s="209">
        <v>5.5281400000000001E-2</v>
      </c>
      <c r="Y377" s="209">
        <v>5.5281400000000001E-2</v>
      </c>
      <c r="Z377" s="209">
        <v>5.5281400000000001E-2</v>
      </c>
      <c r="AA377" s="209">
        <v>5.5281400000000001E-2</v>
      </c>
      <c r="AB377" s="209">
        <v>5.5281400000000001E-2</v>
      </c>
      <c r="AC377" s="209">
        <v>5.5281400000000001E-2</v>
      </c>
      <c r="AD377" s="209">
        <v>5.5281400000000001E-2</v>
      </c>
      <c r="AE377" s="209">
        <v>5.5281400000000001E-2</v>
      </c>
      <c r="AF377" s="220">
        <v>5.5281400000000001E-2</v>
      </c>
      <c r="AG377" s="436"/>
    </row>
    <row r="378" spans="1:33">
      <c r="A378" s="215" t="s">
        <v>946</v>
      </c>
      <c r="B378" s="232" t="s">
        <v>940</v>
      </c>
      <c r="C378" s="232">
        <v>2040</v>
      </c>
      <c r="D378" s="232" t="s">
        <v>674</v>
      </c>
      <c r="E378" s="209">
        <v>5.5281400000000001E-2</v>
      </c>
      <c r="F378" s="209">
        <v>5.5281400000000001E-2</v>
      </c>
      <c r="G378" s="209">
        <v>5.5281400000000001E-2</v>
      </c>
      <c r="H378" s="209">
        <v>5.5281400000000001E-2</v>
      </c>
      <c r="I378" s="209">
        <v>5.5281400000000001E-2</v>
      </c>
      <c r="J378" s="209">
        <v>5.5281400000000001E-2</v>
      </c>
      <c r="K378" s="209">
        <v>5.5281400000000001E-2</v>
      </c>
      <c r="L378" s="209">
        <v>5.5281400000000001E-2</v>
      </c>
      <c r="M378" s="209">
        <v>5.5281400000000001E-2</v>
      </c>
      <c r="N378" s="209">
        <v>5.5281400000000001E-2</v>
      </c>
      <c r="O378" s="209">
        <v>5.5281400000000001E-2</v>
      </c>
      <c r="P378" s="209">
        <v>5.5281400000000001E-2</v>
      </c>
      <c r="Q378" s="209">
        <v>5.5281400000000001E-2</v>
      </c>
      <c r="R378" s="209">
        <v>5.5281400000000001E-2</v>
      </c>
      <c r="S378" s="209">
        <v>5.5281400000000001E-2</v>
      </c>
      <c r="T378" s="209">
        <v>5.5281400000000001E-2</v>
      </c>
      <c r="U378" s="209">
        <v>5.5281400000000001E-2</v>
      </c>
      <c r="V378" s="209">
        <v>5.5281400000000001E-2</v>
      </c>
      <c r="W378" s="209">
        <v>5.5281400000000001E-2</v>
      </c>
      <c r="X378" s="209">
        <v>5.5281400000000001E-2</v>
      </c>
      <c r="Y378" s="209">
        <v>5.5281400000000001E-2</v>
      </c>
      <c r="Z378" s="209">
        <v>5.5281400000000001E-2</v>
      </c>
      <c r="AA378" s="209">
        <v>5.5281400000000001E-2</v>
      </c>
      <c r="AB378" s="209">
        <v>5.5281400000000001E-2</v>
      </c>
      <c r="AC378" s="209">
        <v>5.5281400000000001E-2</v>
      </c>
      <c r="AD378" s="209">
        <v>5.5281400000000001E-2</v>
      </c>
      <c r="AE378" s="209">
        <v>5.5281400000000001E-2</v>
      </c>
      <c r="AF378" s="220">
        <v>5.5281400000000001E-2</v>
      </c>
      <c r="AG378" s="436"/>
    </row>
    <row r="379" spans="1:33">
      <c r="A379" s="215" t="s">
        <v>946</v>
      </c>
      <c r="B379" s="232" t="s">
        <v>940</v>
      </c>
      <c r="C379" s="232">
        <v>2045</v>
      </c>
      <c r="D379" s="232" t="s">
        <v>674</v>
      </c>
      <c r="E379" s="209">
        <v>5.5281400000000001E-2</v>
      </c>
      <c r="F379" s="209">
        <v>5.5281400000000001E-2</v>
      </c>
      <c r="G379" s="209">
        <v>5.5281400000000001E-2</v>
      </c>
      <c r="H379" s="209">
        <v>5.5281400000000001E-2</v>
      </c>
      <c r="I379" s="209">
        <v>5.5281400000000001E-2</v>
      </c>
      <c r="J379" s="209">
        <v>5.5281400000000001E-2</v>
      </c>
      <c r="K379" s="209">
        <v>5.5281400000000001E-2</v>
      </c>
      <c r="L379" s="209">
        <v>5.5281400000000001E-2</v>
      </c>
      <c r="M379" s="209">
        <v>5.5281400000000001E-2</v>
      </c>
      <c r="N379" s="209">
        <v>5.5281400000000001E-2</v>
      </c>
      <c r="O379" s="209">
        <v>5.5281400000000001E-2</v>
      </c>
      <c r="P379" s="209">
        <v>5.5281400000000001E-2</v>
      </c>
      <c r="Q379" s="209">
        <v>5.5281400000000001E-2</v>
      </c>
      <c r="R379" s="209">
        <v>5.5281400000000001E-2</v>
      </c>
      <c r="S379" s="209">
        <v>5.5281400000000001E-2</v>
      </c>
      <c r="T379" s="209">
        <v>5.5281400000000001E-2</v>
      </c>
      <c r="U379" s="209">
        <v>5.5281400000000001E-2</v>
      </c>
      <c r="V379" s="209">
        <v>5.5281400000000001E-2</v>
      </c>
      <c r="W379" s="209">
        <v>5.5281400000000001E-2</v>
      </c>
      <c r="X379" s="209">
        <v>5.5281400000000001E-2</v>
      </c>
      <c r="Y379" s="209">
        <v>5.5281400000000001E-2</v>
      </c>
      <c r="Z379" s="209">
        <v>5.5281400000000001E-2</v>
      </c>
      <c r="AA379" s="209">
        <v>5.5281400000000001E-2</v>
      </c>
      <c r="AB379" s="209">
        <v>5.5281400000000001E-2</v>
      </c>
      <c r="AC379" s="209">
        <v>5.5281400000000001E-2</v>
      </c>
      <c r="AD379" s="209">
        <v>5.5281400000000001E-2</v>
      </c>
      <c r="AE379" s="209">
        <v>5.5281400000000001E-2</v>
      </c>
      <c r="AF379" s="220">
        <v>5.5281400000000001E-2</v>
      </c>
      <c r="AG379" s="436"/>
    </row>
    <row r="380" spans="1:33">
      <c r="A380" s="215" t="s">
        <v>946</v>
      </c>
      <c r="B380" s="232" t="s">
        <v>940</v>
      </c>
      <c r="C380" s="232">
        <v>2050</v>
      </c>
      <c r="D380" s="232" t="s">
        <v>674</v>
      </c>
      <c r="E380" s="209">
        <v>5.5281400000000001E-2</v>
      </c>
      <c r="F380" s="209">
        <v>5.5281400000000001E-2</v>
      </c>
      <c r="G380" s="209">
        <v>5.5281400000000001E-2</v>
      </c>
      <c r="H380" s="209">
        <v>5.5281400000000001E-2</v>
      </c>
      <c r="I380" s="209">
        <v>5.5281400000000001E-2</v>
      </c>
      <c r="J380" s="209">
        <v>5.5281400000000001E-2</v>
      </c>
      <c r="K380" s="209">
        <v>5.5281400000000001E-2</v>
      </c>
      <c r="L380" s="209">
        <v>5.5281400000000001E-2</v>
      </c>
      <c r="M380" s="209">
        <v>5.5281400000000001E-2</v>
      </c>
      <c r="N380" s="209">
        <v>5.5281400000000001E-2</v>
      </c>
      <c r="O380" s="209">
        <v>5.5281400000000001E-2</v>
      </c>
      <c r="P380" s="209">
        <v>5.5281400000000001E-2</v>
      </c>
      <c r="Q380" s="209">
        <v>5.5281400000000001E-2</v>
      </c>
      <c r="R380" s="209">
        <v>5.5281400000000001E-2</v>
      </c>
      <c r="S380" s="209">
        <v>5.5281400000000001E-2</v>
      </c>
      <c r="T380" s="209">
        <v>5.5281400000000001E-2</v>
      </c>
      <c r="U380" s="209">
        <v>5.5281400000000001E-2</v>
      </c>
      <c r="V380" s="209">
        <v>5.5281400000000001E-2</v>
      </c>
      <c r="W380" s="209">
        <v>5.5281400000000001E-2</v>
      </c>
      <c r="X380" s="209">
        <v>5.5281400000000001E-2</v>
      </c>
      <c r="Y380" s="209">
        <v>5.5281400000000001E-2</v>
      </c>
      <c r="Z380" s="209">
        <v>5.5281400000000001E-2</v>
      </c>
      <c r="AA380" s="209">
        <v>5.5281400000000001E-2</v>
      </c>
      <c r="AB380" s="209">
        <v>5.5281400000000001E-2</v>
      </c>
      <c r="AC380" s="209">
        <v>5.5281400000000001E-2</v>
      </c>
      <c r="AD380" s="209">
        <v>5.5281400000000001E-2</v>
      </c>
      <c r="AE380" s="209">
        <v>5.5281400000000001E-2</v>
      </c>
      <c r="AF380" s="220">
        <v>5.5281400000000001E-2</v>
      </c>
      <c r="AG380" s="436"/>
    </row>
    <row r="381" spans="1:33">
      <c r="A381" s="215" t="s">
        <v>946</v>
      </c>
      <c r="B381" s="232" t="s">
        <v>940</v>
      </c>
      <c r="C381" s="232">
        <v>2060</v>
      </c>
      <c r="D381" s="232" t="s">
        <v>674</v>
      </c>
      <c r="E381" s="209">
        <v>5.5281400000000001E-2</v>
      </c>
      <c r="F381" s="209">
        <v>5.5281400000000001E-2</v>
      </c>
      <c r="G381" s="209">
        <v>5.5281400000000001E-2</v>
      </c>
      <c r="H381" s="209">
        <v>5.5281400000000001E-2</v>
      </c>
      <c r="I381" s="209">
        <v>5.5281400000000001E-2</v>
      </c>
      <c r="J381" s="209">
        <v>5.5281400000000001E-2</v>
      </c>
      <c r="K381" s="209">
        <v>5.5281400000000001E-2</v>
      </c>
      <c r="L381" s="209">
        <v>5.5281400000000001E-2</v>
      </c>
      <c r="M381" s="209">
        <v>5.5281400000000001E-2</v>
      </c>
      <c r="N381" s="209">
        <v>5.5281400000000001E-2</v>
      </c>
      <c r="O381" s="209">
        <v>5.5281400000000001E-2</v>
      </c>
      <c r="P381" s="209">
        <v>5.5281400000000001E-2</v>
      </c>
      <c r="Q381" s="209">
        <v>5.5281400000000001E-2</v>
      </c>
      <c r="R381" s="209">
        <v>5.5281400000000001E-2</v>
      </c>
      <c r="S381" s="209">
        <v>5.5281400000000001E-2</v>
      </c>
      <c r="T381" s="209">
        <v>5.5281400000000001E-2</v>
      </c>
      <c r="U381" s="209">
        <v>5.5281400000000001E-2</v>
      </c>
      <c r="V381" s="209">
        <v>5.5281400000000001E-2</v>
      </c>
      <c r="W381" s="209">
        <v>5.5281400000000001E-2</v>
      </c>
      <c r="X381" s="209">
        <v>5.5281400000000001E-2</v>
      </c>
      <c r="Y381" s="209">
        <v>5.5281400000000001E-2</v>
      </c>
      <c r="Z381" s="209">
        <v>5.5281400000000001E-2</v>
      </c>
      <c r="AA381" s="209">
        <v>5.5281400000000001E-2</v>
      </c>
      <c r="AB381" s="209">
        <v>5.5281400000000001E-2</v>
      </c>
      <c r="AC381" s="209">
        <v>5.5281400000000001E-2</v>
      </c>
      <c r="AD381" s="209">
        <v>5.5281400000000001E-2</v>
      </c>
      <c r="AE381" s="209">
        <v>5.5281400000000001E-2</v>
      </c>
      <c r="AF381" s="220">
        <v>5.5281400000000001E-2</v>
      </c>
      <c r="AG381" s="436"/>
    </row>
    <row r="382" spans="1:33">
      <c r="A382" s="215" t="s">
        <v>946</v>
      </c>
      <c r="B382" s="232" t="s">
        <v>940</v>
      </c>
      <c r="C382" s="232">
        <v>2070</v>
      </c>
      <c r="D382" s="232" t="s">
        <v>674</v>
      </c>
      <c r="E382" s="209">
        <v>5.5281400000000001E-2</v>
      </c>
      <c r="F382" s="209">
        <v>5.5281400000000001E-2</v>
      </c>
      <c r="G382" s="209">
        <v>5.5281400000000001E-2</v>
      </c>
      <c r="H382" s="209">
        <v>5.5281400000000001E-2</v>
      </c>
      <c r="I382" s="209">
        <v>5.5281400000000001E-2</v>
      </c>
      <c r="J382" s="209">
        <v>5.5281400000000001E-2</v>
      </c>
      <c r="K382" s="209">
        <v>5.5281400000000001E-2</v>
      </c>
      <c r="L382" s="209">
        <v>5.5281400000000001E-2</v>
      </c>
      <c r="M382" s="209">
        <v>5.5281400000000001E-2</v>
      </c>
      <c r="N382" s="209">
        <v>5.5281400000000001E-2</v>
      </c>
      <c r="O382" s="209">
        <v>5.5281400000000001E-2</v>
      </c>
      <c r="P382" s="209">
        <v>5.5281400000000001E-2</v>
      </c>
      <c r="Q382" s="209">
        <v>5.5281400000000001E-2</v>
      </c>
      <c r="R382" s="209">
        <v>5.5281400000000001E-2</v>
      </c>
      <c r="S382" s="209">
        <v>5.5281400000000001E-2</v>
      </c>
      <c r="T382" s="209">
        <v>5.5281400000000001E-2</v>
      </c>
      <c r="U382" s="209">
        <v>5.5281400000000001E-2</v>
      </c>
      <c r="V382" s="209">
        <v>5.5281400000000001E-2</v>
      </c>
      <c r="W382" s="209">
        <v>5.5281400000000001E-2</v>
      </c>
      <c r="X382" s="209">
        <v>5.5281400000000001E-2</v>
      </c>
      <c r="Y382" s="209">
        <v>5.5281400000000001E-2</v>
      </c>
      <c r="Z382" s="209">
        <v>5.5281400000000001E-2</v>
      </c>
      <c r="AA382" s="209">
        <v>5.5281400000000001E-2</v>
      </c>
      <c r="AB382" s="209">
        <v>5.5281400000000001E-2</v>
      </c>
      <c r="AC382" s="209">
        <v>5.5281400000000001E-2</v>
      </c>
      <c r="AD382" s="209">
        <v>5.5281400000000001E-2</v>
      </c>
      <c r="AE382" s="209">
        <v>5.5281400000000001E-2</v>
      </c>
      <c r="AF382" s="220">
        <v>5.5281400000000001E-2</v>
      </c>
      <c r="AG382" s="436"/>
    </row>
    <row r="383" spans="1:33">
      <c r="A383" s="215" t="s">
        <v>946</v>
      </c>
      <c r="B383" s="232" t="s">
        <v>940</v>
      </c>
      <c r="C383" s="232">
        <v>2080</v>
      </c>
      <c r="D383" s="232" t="s">
        <v>674</v>
      </c>
      <c r="E383" s="209">
        <v>5.5281400000000001E-2</v>
      </c>
      <c r="F383" s="209">
        <v>5.5281400000000001E-2</v>
      </c>
      <c r="G383" s="209">
        <v>5.5281400000000001E-2</v>
      </c>
      <c r="H383" s="209">
        <v>5.5281400000000001E-2</v>
      </c>
      <c r="I383" s="209">
        <v>5.5281400000000001E-2</v>
      </c>
      <c r="J383" s="209">
        <v>5.5281400000000001E-2</v>
      </c>
      <c r="K383" s="209">
        <v>5.5281400000000001E-2</v>
      </c>
      <c r="L383" s="209">
        <v>5.5281400000000001E-2</v>
      </c>
      <c r="M383" s="209">
        <v>5.5281400000000001E-2</v>
      </c>
      <c r="N383" s="209">
        <v>5.5281400000000001E-2</v>
      </c>
      <c r="O383" s="209">
        <v>5.5281400000000001E-2</v>
      </c>
      <c r="P383" s="209">
        <v>5.5281400000000001E-2</v>
      </c>
      <c r="Q383" s="209">
        <v>5.5281400000000001E-2</v>
      </c>
      <c r="R383" s="209">
        <v>5.5281400000000001E-2</v>
      </c>
      <c r="S383" s="209">
        <v>5.5281400000000001E-2</v>
      </c>
      <c r="T383" s="209">
        <v>5.5281400000000001E-2</v>
      </c>
      <c r="U383" s="209">
        <v>5.5281400000000001E-2</v>
      </c>
      <c r="V383" s="209">
        <v>5.5281400000000001E-2</v>
      </c>
      <c r="W383" s="209">
        <v>5.5281400000000001E-2</v>
      </c>
      <c r="X383" s="209">
        <v>5.5281400000000001E-2</v>
      </c>
      <c r="Y383" s="209">
        <v>5.5281400000000001E-2</v>
      </c>
      <c r="Z383" s="209">
        <v>5.5281400000000001E-2</v>
      </c>
      <c r="AA383" s="209">
        <v>5.5281400000000001E-2</v>
      </c>
      <c r="AB383" s="209">
        <v>5.5281400000000001E-2</v>
      </c>
      <c r="AC383" s="209">
        <v>5.5281400000000001E-2</v>
      </c>
      <c r="AD383" s="209">
        <v>5.5281400000000001E-2</v>
      </c>
      <c r="AE383" s="209">
        <v>5.5281400000000001E-2</v>
      </c>
      <c r="AF383" s="220">
        <v>5.5281400000000001E-2</v>
      </c>
      <c r="AG383" s="436"/>
    </row>
    <row r="384" spans="1:33">
      <c r="A384" s="215" t="s">
        <v>946</v>
      </c>
      <c r="B384" s="232" t="s">
        <v>940</v>
      </c>
      <c r="C384" s="232">
        <v>2090</v>
      </c>
      <c r="D384" s="232" t="s">
        <v>674</v>
      </c>
      <c r="E384" s="209">
        <v>5.5281400000000001E-2</v>
      </c>
      <c r="F384" s="209">
        <v>5.5281400000000001E-2</v>
      </c>
      <c r="G384" s="209">
        <v>5.5281400000000001E-2</v>
      </c>
      <c r="H384" s="209">
        <v>5.5281400000000001E-2</v>
      </c>
      <c r="I384" s="209">
        <v>5.5281400000000001E-2</v>
      </c>
      <c r="J384" s="209">
        <v>5.5281400000000001E-2</v>
      </c>
      <c r="K384" s="209">
        <v>5.5281400000000001E-2</v>
      </c>
      <c r="L384" s="209">
        <v>5.5281400000000001E-2</v>
      </c>
      <c r="M384" s="209">
        <v>5.5281400000000001E-2</v>
      </c>
      <c r="N384" s="209">
        <v>5.5281400000000001E-2</v>
      </c>
      <c r="O384" s="209">
        <v>5.5281400000000001E-2</v>
      </c>
      <c r="P384" s="209">
        <v>5.5281400000000001E-2</v>
      </c>
      <c r="Q384" s="209">
        <v>5.5281400000000001E-2</v>
      </c>
      <c r="R384" s="209">
        <v>5.5281400000000001E-2</v>
      </c>
      <c r="S384" s="209">
        <v>5.5281400000000001E-2</v>
      </c>
      <c r="T384" s="209">
        <v>5.5281400000000001E-2</v>
      </c>
      <c r="U384" s="209">
        <v>5.5281400000000001E-2</v>
      </c>
      <c r="V384" s="209">
        <v>5.5281400000000001E-2</v>
      </c>
      <c r="W384" s="209">
        <v>5.5281400000000001E-2</v>
      </c>
      <c r="X384" s="209">
        <v>5.5281400000000001E-2</v>
      </c>
      <c r="Y384" s="209">
        <v>5.5281400000000001E-2</v>
      </c>
      <c r="Z384" s="209">
        <v>5.5281400000000001E-2</v>
      </c>
      <c r="AA384" s="209">
        <v>5.5281400000000001E-2</v>
      </c>
      <c r="AB384" s="209">
        <v>5.5281400000000001E-2</v>
      </c>
      <c r="AC384" s="209">
        <v>5.5281400000000001E-2</v>
      </c>
      <c r="AD384" s="209">
        <v>5.5281400000000001E-2</v>
      </c>
      <c r="AE384" s="209">
        <v>5.5281400000000001E-2</v>
      </c>
      <c r="AF384" s="220">
        <v>5.5281400000000001E-2</v>
      </c>
      <c r="AG384" s="436"/>
    </row>
    <row r="385" spans="1:33">
      <c r="A385" s="229" t="s">
        <v>946</v>
      </c>
      <c r="B385" s="235" t="s">
        <v>940</v>
      </c>
      <c r="C385" s="235">
        <v>2100</v>
      </c>
      <c r="D385" s="235" t="s">
        <v>674</v>
      </c>
      <c r="E385" s="226">
        <v>5.5281400000000001E-2</v>
      </c>
      <c r="F385" s="226">
        <v>5.5281400000000001E-2</v>
      </c>
      <c r="G385" s="226">
        <v>5.5281400000000001E-2</v>
      </c>
      <c r="H385" s="226">
        <v>5.5281400000000001E-2</v>
      </c>
      <c r="I385" s="226">
        <v>5.5281400000000001E-2</v>
      </c>
      <c r="J385" s="226">
        <v>5.5281400000000001E-2</v>
      </c>
      <c r="K385" s="226">
        <v>5.5281400000000001E-2</v>
      </c>
      <c r="L385" s="226">
        <v>5.5281400000000001E-2</v>
      </c>
      <c r="M385" s="226">
        <v>5.5281400000000001E-2</v>
      </c>
      <c r="N385" s="226">
        <v>5.5281400000000001E-2</v>
      </c>
      <c r="O385" s="226">
        <v>5.5281400000000001E-2</v>
      </c>
      <c r="P385" s="226">
        <v>5.5281400000000001E-2</v>
      </c>
      <c r="Q385" s="226">
        <v>5.5281400000000001E-2</v>
      </c>
      <c r="R385" s="226">
        <v>5.5281400000000001E-2</v>
      </c>
      <c r="S385" s="226">
        <v>5.5281400000000001E-2</v>
      </c>
      <c r="T385" s="226">
        <v>5.5281400000000001E-2</v>
      </c>
      <c r="U385" s="226">
        <v>5.5281400000000001E-2</v>
      </c>
      <c r="V385" s="226">
        <v>5.5281400000000001E-2</v>
      </c>
      <c r="W385" s="226">
        <v>5.5281400000000001E-2</v>
      </c>
      <c r="X385" s="226">
        <v>5.5281400000000001E-2</v>
      </c>
      <c r="Y385" s="226">
        <v>5.5281400000000001E-2</v>
      </c>
      <c r="Z385" s="226">
        <v>5.5281400000000001E-2</v>
      </c>
      <c r="AA385" s="226">
        <v>5.5281400000000001E-2</v>
      </c>
      <c r="AB385" s="226">
        <v>5.5281400000000001E-2</v>
      </c>
      <c r="AC385" s="226">
        <v>5.5281400000000001E-2</v>
      </c>
      <c r="AD385" s="226">
        <v>5.5281400000000001E-2</v>
      </c>
      <c r="AE385" s="226">
        <v>5.5281400000000001E-2</v>
      </c>
      <c r="AF385" s="224">
        <v>5.5281400000000001E-2</v>
      </c>
      <c r="AG385" s="437"/>
    </row>
    <row r="386" spans="1:33">
      <c r="A386" t="s">
        <v>946</v>
      </c>
      <c r="B386" s="231" t="s">
        <v>941</v>
      </c>
      <c r="C386" s="232">
        <v>2019</v>
      </c>
      <c r="D386" s="231" t="s">
        <v>674</v>
      </c>
      <c r="E386" s="209">
        <v>0.1105628</v>
      </c>
      <c r="F386" s="209">
        <v>0.1105628</v>
      </c>
      <c r="G386" s="209">
        <v>0.1105628</v>
      </c>
      <c r="H386" s="209">
        <v>0.1105628</v>
      </c>
      <c r="I386" s="209">
        <v>0.1105628</v>
      </c>
      <c r="J386" s="209">
        <v>0.1105628</v>
      </c>
      <c r="K386" s="209">
        <v>0.1105628</v>
      </c>
      <c r="L386" s="209">
        <v>0.1105628</v>
      </c>
      <c r="M386" s="209">
        <v>0.1105628</v>
      </c>
      <c r="N386" s="209">
        <v>0.1105628</v>
      </c>
      <c r="O386" s="209">
        <v>0.1105628</v>
      </c>
      <c r="P386" s="209">
        <v>0.1105628</v>
      </c>
      <c r="Q386" s="209">
        <v>0.1105628</v>
      </c>
      <c r="R386" s="209">
        <v>0.1105628</v>
      </c>
      <c r="S386" s="209">
        <v>0.1105628</v>
      </c>
      <c r="T386" s="209">
        <v>0.1105628</v>
      </c>
      <c r="U386" s="209">
        <v>0.1105628</v>
      </c>
      <c r="V386" s="209">
        <v>0.1105628</v>
      </c>
      <c r="W386" s="209">
        <v>0.1105628</v>
      </c>
      <c r="X386" s="209">
        <v>0.1105628</v>
      </c>
      <c r="Y386" s="209">
        <v>0.1105628</v>
      </c>
      <c r="Z386" s="209">
        <v>0.1105628</v>
      </c>
      <c r="AA386" s="209">
        <v>0.1105628</v>
      </c>
      <c r="AB386" s="209">
        <v>0.1105628</v>
      </c>
      <c r="AC386" s="209">
        <v>0.1105628</v>
      </c>
      <c r="AD386" s="209">
        <v>0.1105628</v>
      </c>
      <c r="AE386" s="209">
        <v>0.1105628</v>
      </c>
      <c r="AF386" s="209">
        <v>0.1105628</v>
      </c>
      <c r="AG386" s="453"/>
    </row>
    <row r="387" spans="1:33">
      <c r="A387" s="215" t="s">
        <v>946</v>
      </c>
      <c r="B387" s="232" t="s">
        <v>941</v>
      </c>
      <c r="C387">
        <v>2020</v>
      </c>
      <c r="D387" s="232" t="s">
        <v>674</v>
      </c>
      <c r="E387" s="209">
        <v>0.1105628</v>
      </c>
      <c r="F387" s="209">
        <v>0.1105628</v>
      </c>
      <c r="G387" s="209">
        <v>0.1105628</v>
      </c>
      <c r="H387" s="209">
        <v>0.1105628</v>
      </c>
      <c r="I387" s="209">
        <v>0.1105628</v>
      </c>
      <c r="J387" s="209">
        <v>0.1105628</v>
      </c>
      <c r="K387" s="209">
        <v>0.1105628</v>
      </c>
      <c r="L387" s="209">
        <v>0.1105628</v>
      </c>
      <c r="M387" s="209">
        <v>0.1105628</v>
      </c>
      <c r="N387" s="209">
        <v>0.1105628</v>
      </c>
      <c r="O387" s="209">
        <v>0.1105628</v>
      </c>
      <c r="P387" s="209">
        <v>0.1105628</v>
      </c>
      <c r="Q387" s="209">
        <v>0.1105628</v>
      </c>
      <c r="R387" s="209">
        <v>0.1105628</v>
      </c>
      <c r="S387" s="209">
        <v>0.1105628</v>
      </c>
      <c r="T387" s="209">
        <v>0.1105628</v>
      </c>
      <c r="U387" s="209">
        <v>0.1105628</v>
      </c>
      <c r="V387" s="209">
        <v>0.1105628</v>
      </c>
      <c r="W387" s="209">
        <v>0.1105628</v>
      </c>
      <c r="X387" s="209">
        <v>0.1105628</v>
      </c>
      <c r="Y387" s="209">
        <v>0.1105628</v>
      </c>
      <c r="Z387" s="209">
        <v>0.1105628</v>
      </c>
      <c r="AA387" s="209">
        <v>0.1105628</v>
      </c>
      <c r="AB387" s="209">
        <v>0.1105628</v>
      </c>
      <c r="AC387" s="209">
        <v>0.1105628</v>
      </c>
      <c r="AD387" s="209">
        <v>0.1105628</v>
      </c>
      <c r="AE387" s="209">
        <v>0.1105628</v>
      </c>
      <c r="AF387" s="220">
        <v>0.1105628</v>
      </c>
      <c r="AG387" s="436"/>
    </row>
    <row r="388" spans="1:33">
      <c r="A388" s="215" t="s">
        <v>946</v>
      </c>
      <c r="B388" s="232" t="s">
        <v>941</v>
      </c>
      <c r="C388" s="232">
        <v>2025</v>
      </c>
      <c r="D388" s="232" t="s">
        <v>674</v>
      </c>
      <c r="E388" s="209">
        <v>0.1105628</v>
      </c>
      <c r="F388" s="209">
        <v>0.1105628</v>
      </c>
      <c r="G388" s="209">
        <v>0.1105628</v>
      </c>
      <c r="H388" s="209">
        <v>0.1105628</v>
      </c>
      <c r="I388" s="209">
        <v>0.1105628</v>
      </c>
      <c r="J388" s="209">
        <v>0.1105628</v>
      </c>
      <c r="K388" s="209">
        <v>0.1105628</v>
      </c>
      <c r="L388" s="209">
        <v>0.1105628</v>
      </c>
      <c r="M388" s="209">
        <v>0.1105628</v>
      </c>
      <c r="N388" s="209">
        <v>0.1105628</v>
      </c>
      <c r="O388" s="209">
        <v>0.1105628</v>
      </c>
      <c r="P388" s="209">
        <v>0.1105628</v>
      </c>
      <c r="Q388" s="209">
        <v>0.1105628</v>
      </c>
      <c r="R388" s="209">
        <v>0.1105628</v>
      </c>
      <c r="S388" s="209">
        <v>0.1105628</v>
      </c>
      <c r="T388" s="209">
        <v>0.1105628</v>
      </c>
      <c r="U388" s="209">
        <v>0.1105628</v>
      </c>
      <c r="V388" s="209">
        <v>0.1105628</v>
      </c>
      <c r="W388" s="209">
        <v>0.1105628</v>
      </c>
      <c r="X388" s="209">
        <v>0.1105628</v>
      </c>
      <c r="Y388" s="209">
        <v>0.1105628</v>
      </c>
      <c r="Z388" s="209">
        <v>0.1105628</v>
      </c>
      <c r="AA388" s="209">
        <v>0.1105628</v>
      </c>
      <c r="AB388" s="209">
        <v>0.1105628</v>
      </c>
      <c r="AC388" s="209">
        <v>0.1105628</v>
      </c>
      <c r="AD388" s="209">
        <v>0.1105628</v>
      </c>
      <c r="AE388" s="209">
        <v>0.1105628</v>
      </c>
      <c r="AF388" s="220">
        <v>0.1105628</v>
      </c>
      <c r="AG388" s="436"/>
    </row>
    <row r="389" spans="1:33">
      <c r="A389" s="215" t="s">
        <v>946</v>
      </c>
      <c r="B389" s="232" t="s">
        <v>941</v>
      </c>
      <c r="C389" s="232">
        <v>2030</v>
      </c>
      <c r="D389" s="232" t="s">
        <v>674</v>
      </c>
      <c r="E389" s="209">
        <v>0.1105628</v>
      </c>
      <c r="F389" s="209">
        <v>0.1105628</v>
      </c>
      <c r="G389" s="209">
        <v>0.1105628</v>
      </c>
      <c r="H389" s="209">
        <v>0.1105628</v>
      </c>
      <c r="I389" s="209">
        <v>0.1105628</v>
      </c>
      <c r="J389" s="209">
        <v>0.1105628</v>
      </c>
      <c r="K389" s="209">
        <v>0.1105628</v>
      </c>
      <c r="L389" s="209">
        <v>0.1105628</v>
      </c>
      <c r="M389" s="209">
        <v>0.1105628</v>
      </c>
      <c r="N389" s="209">
        <v>0.1105628</v>
      </c>
      <c r="O389" s="209">
        <v>0.1105628</v>
      </c>
      <c r="P389" s="209">
        <v>0.1105628</v>
      </c>
      <c r="Q389" s="209">
        <v>0.1105628</v>
      </c>
      <c r="R389" s="209">
        <v>0.1105628</v>
      </c>
      <c r="S389" s="209">
        <v>0.1105628</v>
      </c>
      <c r="T389" s="209">
        <v>0.1105628</v>
      </c>
      <c r="U389" s="209">
        <v>0.1105628</v>
      </c>
      <c r="V389" s="209">
        <v>0.1105628</v>
      </c>
      <c r="W389" s="209">
        <v>0.1105628</v>
      </c>
      <c r="X389" s="209">
        <v>0.1105628</v>
      </c>
      <c r="Y389" s="209">
        <v>0.1105628</v>
      </c>
      <c r="Z389" s="209">
        <v>0.1105628</v>
      </c>
      <c r="AA389" s="209">
        <v>0.1105628</v>
      </c>
      <c r="AB389" s="209">
        <v>0.1105628</v>
      </c>
      <c r="AC389" s="209">
        <v>0.1105628</v>
      </c>
      <c r="AD389" s="209">
        <v>0.1105628</v>
      </c>
      <c r="AE389" s="209">
        <v>0.1105628</v>
      </c>
      <c r="AF389" s="220">
        <v>0.1105628</v>
      </c>
      <c r="AG389" s="436"/>
    </row>
    <row r="390" spans="1:33">
      <c r="A390" s="215" t="s">
        <v>946</v>
      </c>
      <c r="B390" s="232" t="s">
        <v>941</v>
      </c>
      <c r="C390" s="232">
        <v>2035</v>
      </c>
      <c r="D390" s="232" t="s">
        <v>674</v>
      </c>
      <c r="E390" s="209">
        <v>0.1105628</v>
      </c>
      <c r="F390" s="209">
        <v>0.1105628</v>
      </c>
      <c r="G390" s="209">
        <v>0.1105628</v>
      </c>
      <c r="H390" s="209">
        <v>0.1105628</v>
      </c>
      <c r="I390" s="209">
        <v>0.1105628</v>
      </c>
      <c r="J390" s="209">
        <v>0.1105628</v>
      </c>
      <c r="K390" s="209">
        <v>0.1105628</v>
      </c>
      <c r="L390" s="209">
        <v>0.1105628</v>
      </c>
      <c r="M390" s="209">
        <v>0.1105628</v>
      </c>
      <c r="N390" s="209">
        <v>0.1105628</v>
      </c>
      <c r="O390" s="209">
        <v>0.1105628</v>
      </c>
      <c r="P390" s="209">
        <v>0.1105628</v>
      </c>
      <c r="Q390" s="209">
        <v>0.1105628</v>
      </c>
      <c r="R390" s="209">
        <v>0.1105628</v>
      </c>
      <c r="S390" s="209">
        <v>0.1105628</v>
      </c>
      <c r="T390" s="209">
        <v>0.1105628</v>
      </c>
      <c r="U390" s="209">
        <v>0.1105628</v>
      </c>
      <c r="V390" s="209">
        <v>0.1105628</v>
      </c>
      <c r="W390" s="209">
        <v>0.1105628</v>
      </c>
      <c r="X390" s="209">
        <v>0.1105628</v>
      </c>
      <c r="Y390" s="209">
        <v>0.1105628</v>
      </c>
      <c r="Z390" s="209">
        <v>0.1105628</v>
      </c>
      <c r="AA390" s="209">
        <v>0.1105628</v>
      </c>
      <c r="AB390" s="209">
        <v>0.1105628</v>
      </c>
      <c r="AC390" s="209">
        <v>0.1105628</v>
      </c>
      <c r="AD390" s="209">
        <v>0.1105628</v>
      </c>
      <c r="AE390" s="209">
        <v>0.1105628</v>
      </c>
      <c r="AF390" s="220">
        <v>0.1105628</v>
      </c>
      <c r="AG390" s="436"/>
    </row>
    <row r="391" spans="1:33">
      <c r="A391" s="215" t="s">
        <v>946</v>
      </c>
      <c r="B391" s="232" t="s">
        <v>941</v>
      </c>
      <c r="C391" s="232">
        <v>2040</v>
      </c>
      <c r="D391" s="232" t="s">
        <v>674</v>
      </c>
      <c r="E391" s="209">
        <v>0.1105628</v>
      </c>
      <c r="F391" s="209">
        <v>0.1105628</v>
      </c>
      <c r="G391" s="209">
        <v>0.1105628</v>
      </c>
      <c r="H391" s="209">
        <v>0.1105628</v>
      </c>
      <c r="I391" s="209">
        <v>0.1105628</v>
      </c>
      <c r="J391" s="209">
        <v>0.1105628</v>
      </c>
      <c r="K391" s="209">
        <v>0.1105628</v>
      </c>
      <c r="L391" s="209">
        <v>0.1105628</v>
      </c>
      <c r="M391" s="209">
        <v>0.1105628</v>
      </c>
      <c r="N391" s="209">
        <v>0.1105628</v>
      </c>
      <c r="O391" s="209">
        <v>0.1105628</v>
      </c>
      <c r="P391" s="209">
        <v>0.1105628</v>
      </c>
      <c r="Q391" s="209">
        <v>0.1105628</v>
      </c>
      <c r="R391" s="209">
        <v>0.1105628</v>
      </c>
      <c r="S391" s="209">
        <v>0.1105628</v>
      </c>
      <c r="T391" s="209">
        <v>0.1105628</v>
      </c>
      <c r="U391" s="209">
        <v>0.1105628</v>
      </c>
      <c r="V391" s="209">
        <v>0.1105628</v>
      </c>
      <c r="W391" s="209">
        <v>0.1105628</v>
      </c>
      <c r="X391" s="209">
        <v>0.1105628</v>
      </c>
      <c r="Y391" s="209">
        <v>0.1105628</v>
      </c>
      <c r="Z391" s="209">
        <v>0.1105628</v>
      </c>
      <c r="AA391" s="209">
        <v>0.1105628</v>
      </c>
      <c r="AB391" s="209">
        <v>0.1105628</v>
      </c>
      <c r="AC391" s="209">
        <v>0.1105628</v>
      </c>
      <c r="AD391" s="209">
        <v>0.1105628</v>
      </c>
      <c r="AE391" s="209">
        <v>0.1105628</v>
      </c>
      <c r="AF391" s="220">
        <v>0.1105628</v>
      </c>
      <c r="AG391" s="436"/>
    </row>
    <row r="392" spans="1:33">
      <c r="A392" s="215" t="s">
        <v>946</v>
      </c>
      <c r="B392" s="232" t="s">
        <v>941</v>
      </c>
      <c r="C392" s="232">
        <v>2045</v>
      </c>
      <c r="D392" s="232" t="s">
        <v>674</v>
      </c>
      <c r="E392" s="209">
        <v>0.1105628</v>
      </c>
      <c r="F392" s="209">
        <v>0.1105628</v>
      </c>
      <c r="G392" s="209">
        <v>0.1105628</v>
      </c>
      <c r="H392" s="209">
        <v>0.1105628</v>
      </c>
      <c r="I392" s="209">
        <v>0.1105628</v>
      </c>
      <c r="J392" s="209">
        <v>0.1105628</v>
      </c>
      <c r="K392" s="209">
        <v>0.1105628</v>
      </c>
      <c r="L392" s="209">
        <v>0.1105628</v>
      </c>
      <c r="M392" s="209">
        <v>0.1105628</v>
      </c>
      <c r="N392" s="209">
        <v>0.1105628</v>
      </c>
      <c r="O392" s="209">
        <v>0.1105628</v>
      </c>
      <c r="P392" s="209">
        <v>0.1105628</v>
      </c>
      <c r="Q392" s="209">
        <v>0.1105628</v>
      </c>
      <c r="R392" s="209">
        <v>0.1105628</v>
      </c>
      <c r="S392" s="209">
        <v>0.1105628</v>
      </c>
      <c r="T392" s="209">
        <v>0.1105628</v>
      </c>
      <c r="U392" s="209">
        <v>0.1105628</v>
      </c>
      <c r="V392" s="209">
        <v>0.1105628</v>
      </c>
      <c r="W392" s="209">
        <v>0.1105628</v>
      </c>
      <c r="X392" s="209">
        <v>0.1105628</v>
      </c>
      <c r="Y392" s="209">
        <v>0.1105628</v>
      </c>
      <c r="Z392" s="209">
        <v>0.1105628</v>
      </c>
      <c r="AA392" s="209">
        <v>0.1105628</v>
      </c>
      <c r="AB392" s="209">
        <v>0.1105628</v>
      </c>
      <c r="AC392" s="209">
        <v>0.1105628</v>
      </c>
      <c r="AD392" s="209">
        <v>0.1105628</v>
      </c>
      <c r="AE392" s="209">
        <v>0.1105628</v>
      </c>
      <c r="AF392" s="220">
        <v>0.1105628</v>
      </c>
      <c r="AG392" s="436"/>
    </row>
    <row r="393" spans="1:33">
      <c r="A393" s="215" t="s">
        <v>946</v>
      </c>
      <c r="B393" s="232" t="s">
        <v>941</v>
      </c>
      <c r="C393" s="232">
        <v>2050</v>
      </c>
      <c r="D393" s="232" t="s">
        <v>674</v>
      </c>
      <c r="E393" s="209">
        <v>0.1105628</v>
      </c>
      <c r="F393" s="209">
        <v>0.1105628</v>
      </c>
      <c r="G393" s="209">
        <v>0.1105628</v>
      </c>
      <c r="H393" s="209">
        <v>0.1105628</v>
      </c>
      <c r="I393" s="209">
        <v>0.1105628</v>
      </c>
      <c r="J393" s="209">
        <v>0.1105628</v>
      </c>
      <c r="K393" s="209">
        <v>0.1105628</v>
      </c>
      <c r="L393" s="209">
        <v>0.1105628</v>
      </c>
      <c r="M393" s="209">
        <v>0.1105628</v>
      </c>
      <c r="N393" s="209">
        <v>0.1105628</v>
      </c>
      <c r="O393" s="209">
        <v>0.1105628</v>
      </c>
      <c r="P393" s="209">
        <v>0.1105628</v>
      </c>
      <c r="Q393" s="209">
        <v>0.1105628</v>
      </c>
      <c r="R393" s="209">
        <v>0.1105628</v>
      </c>
      <c r="S393" s="209">
        <v>0.1105628</v>
      </c>
      <c r="T393" s="209">
        <v>0.1105628</v>
      </c>
      <c r="U393" s="209">
        <v>0.1105628</v>
      </c>
      <c r="V393" s="209">
        <v>0.1105628</v>
      </c>
      <c r="W393" s="209">
        <v>0.1105628</v>
      </c>
      <c r="X393" s="209">
        <v>0.1105628</v>
      </c>
      <c r="Y393" s="209">
        <v>0.1105628</v>
      </c>
      <c r="Z393" s="209">
        <v>0.1105628</v>
      </c>
      <c r="AA393" s="209">
        <v>0.1105628</v>
      </c>
      <c r="AB393" s="209">
        <v>0.1105628</v>
      </c>
      <c r="AC393" s="209">
        <v>0.1105628</v>
      </c>
      <c r="AD393" s="209">
        <v>0.1105628</v>
      </c>
      <c r="AE393" s="209">
        <v>0.1105628</v>
      </c>
      <c r="AF393" s="220">
        <v>0.1105628</v>
      </c>
      <c r="AG393" s="436"/>
    </row>
    <row r="394" spans="1:33">
      <c r="A394" s="215" t="s">
        <v>946</v>
      </c>
      <c r="B394" s="232" t="s">
        <v>941</v>
      </c>
      <c r="C394" s="232">
        <v>2060</v>
      </c>
      <c r="D394" s="232" t="s">
        <v>674</v>
      </c>
      <c r="E394" s="209">
        <v>0.1105628</v>
      </c>
      <c r="F394" s="209">
        <v>0.1105628</v>
      </c>
      <c r="G394" s="209">
        <v>0.1105628</v>
      </c>
      <c r="H394" s="209">
        <v>0.1105628</v>
      </c>
      <c r="I394" s="209">
        <v>0.1105628</v>
      </c>
      <c r="J394" s="209">
        <v>0.1105628</v>
      </c>
      <c r="K394" s="209">
        <v>0.1105628</v>
      </c>
      <c r="L394" s="209">
        <v>0.1105628</v>
      </c>
      <c r="M394" s="209">
        <v>0.1105628</v>
      </c>
      <c r="N394" s="209">
        <v>0.1105628</v>
      </c>
      <c r="O394" s="209">
        <v>0.1105628</v>
      </c>
      <c r="P394" s="209">
        <v>0.1105628</v>
      </c>
      <c r="Q394" s="209">
        <v>0.1105628</v>
      </c>
      <c r="R394" s="209">
        <v>0.1105628</v>
      </c>
      <c r="S394" s="209">
        <v>0.1105628</v>
      </c>
      <c r="T394" s="209">
        <v>0.1105628</v>
      </c>
      <c r="U394" s="209">
        <v>0.1105628</v>
      </c>
      <c r="V394" s="209">
        <v>0.1105628</v>
      </c>
      <c r="W394" s="209">
        <v>0.1105628</v>
      </c>
      <c r="X394" s="209">
        <v>0.1105628</v>
      </c>
      <c r="Y394" s="209">
        <v>0.1105628</v>
      </c>
      <c r="Z394" s="209">
        <v>0.1105628</v>
      </c>
      <c r="AA394" s="209">
        <v>0.1105628</v>
      </c>
      <c r="AB394" s="209">
        <v>0.1105628</v>
      </c>
      <c r="AC394" s="209">
        <v>0.1105628</v>
      </c>
      <c r="AD394" s="209">
        <v>0.1105628</v>
      </c>
      <c r="AE394" s="209">
        <v>0.1105628</v>
      </c>
      <c r="AF394" s="220">
        <v>0.1105628</v>
      </c>
      <c r="AG394" s="436"/>
    </row>
    <row r="395" spans="1:33">
      <c r="A395" s="215" t="s">
        <v>946</v>
      </c>
      <c r="B395" s="232" t="s">
        <v>941</v>
      </c>
      <c r="C395" s="232">
        <v>2070</v>
      </c>
      <c r="D395" s="232" t="s">
        <v>674</v>
      </c>
      <c r="E395" s="209">
        <v>0.1105628</v>
      </c>
      <c r="F395" s="209">
        <v>0.1105628</v>
      </c>
      <c r="G395" s="209">
        <v>0.1105628</v>
      </c>
      <c r="H395" s="209">
        <v>0.1105628</v>
      </c>
      <c r="I395" s="209">
        <v>0.1105628</v>
      </c>
      <c r="J395" s="209">
        <v>0.1105628</v>
      </c>
      <c r="K395" s="209">
        <v>0.1105628</v>
      </c>
      <c r="L395" s="209">
        <v>0.1105628</v>
      </c>
      <c r="M395" s="209">
        <v>0.1105628</v>
      </c>
      <c r="N395" s="209">
        <v>0.1105628</v>
      </c>
      <c r="O395" s="209">
        <v>0.1105628</v>
      </c>
      <c r="P395" s="209">
        <v>0.1105628</v>
      </c>
      <c r="Q395" s="209">
        <v>0.1105628</v>
      </c>
      <c r="R395" s="209">
        <v>0.1105628</v>
      </c>
      <c r="S395" s="209">
        <v>0.1105628</v>
      </c>
      <c r="T395" s="209">
        <v>0.1105628</v>
      </c>
      <c r="U395" s="209">
        <v>0.1105628</v>
      </c>
      <c r="V395" s="209">
        <v>0.1105628</v>
      </c>
      <c r="W395" s="209">
        <v>0.1105628</v>
      </c>
      <c r="X395" s="209">
        <v>0.1105628</v>
      </c>
      <c r="Y395" s="209">
        <v>0.1105628</v>
      </c>
      <c r="Z395" s="209">
        <v>0.1105628</v>
      </c>
      <c r="AA395" s="209">
        <v>0.1105628</v>
      </c>
      <c r="AB395" s="209">
        <v>0.1105628</v>
      </c>
      <c r="AC395" s="209">
        <v>0.1105628</v>
      </c>
      <c r="AD395" s="209">
        <v>0.1105628</v>
      </c>
      <c r="AE395" s="209">
        <v>0.1105628</v>
      </c>
      <c r="AF395" s="220">
        <v>0.1105628</v>
      </c>
      <c r="AG395" s="436"/>
    </row>
    <row r="396" spans="1:33">
      <c r="A396" s="215" t="s">
        <v>946</v>
      </c>
      <c r="B396" s="232" t="s">
        <v>941</v>
      </c>
      <c r="C396" s="232">
        <v>2080</v>
      </c>
      <c r="D396" s="232" t="s">
        <v>674</v>
      </c>
      <c r="E396" s="209">
        <v>0.1105628</v>
      </c>
      <c r="F396" s="209">
        <v>0.1105628</v>
      </c>
      <c r="G396" s="209">
        <v>0.1105628</v>
      </c>
      <c r="H396" s="209">
        <v>0.1105628</v>
      </c>
      <c r="I396" s="209">
        <v>0.1105628</v>
      </c>
      <c r="J396" s="209">
        <v>0.1105628</v>
      </c>
      <c r="K396" s="209">
        <v>0.1105628</v>
      </c>
      <c r="L396" s="209">
        <v>0.1105628</v>
      </c>
      <c r="M396" s="209">
        <v>0.1105628</v>
      </c>
      <c r="N396" s="209">
        <v>0.1105628</v>
      </c>
      <c r="O396" s="209">
        <v>0.1105628</v>
      </c>
      <c r="P396" s="209">
        <v>0.1105628</v>
      </c>
      <c r="Q396" s="209">
        <v>0.1105628</v>
      </c>
      <c r="R396" s="209">
        <v>0.1105628</v>
      </c>
      <c r="S396" s="209">
        <v>0.1105628</v>
      </c>
      <c r="T396" s="209">
        <v>0.1105628</v>
      </c>
      <c r="U396" s="209">
        <v>0.1105628</v>
      </c>
      <c r="V396" s="209">
        <v>0.1105628</v>
      </c>
      <c r="W396" s="209">
        <v>0.1105628</v>
      </c>
      <c r="X396" s="209">
        <v>0.1105628</v>
      </c>
      <c r="Y396" s="209">
        <v>0.1105628</v>
      </c>
      <c r="Z396" s="209">
        <v>0.1105628</v>
      </c>
      <c r="AA396" s="209">
        <v>0.1105628</v>
      </c>
      <c r="AB396" s="209">
        <v>0.1105628</v>
      </c>
      <c r="AC396" s="209">
        <v>0.1105628</v>
      </c>
      <c r="AD396" s="209">
        <v>0.1105628</v>
      </c>
      <c r="AE396" s="209">
        <v>0.1105628</v>
      </c>
      <c r="AF396" s="220">
        <v>0.1105628</v>
      </c>
      <c r="AG396" s="436"/>
    </row>
    <row r="397" spans="1:33">
      <c r="A397" s="215" t="s">
        <v>946</v>
      </c>
      <c r="B397" s="232" t="s">
        <v>941</v>
      </c>
      <c r="C397" s="232">
        <v>2090</v>
      </c>
      <c r="D397" s="232" t="s">
        <v>674</v>
      </c>
      <c r="E397" s="209">
        <v>0.1105628</v>
      </c>
      <c r="F397" s="209">
        <v>0.1105628</v>
      </c>
      <c r="G397" s="209">
        <v>0.1105628</v>
      </c>
      <c r="H397" s="209">
        <v>0.1105628</v>
      </c>
      <c r="I397" s="209">
        <v>0.1105628</v>
      </c>
      <c r="J397" s="209">
        <v>0.1105628</v>
      </c>
      <c r="K397" s="209">
        <v>0.1105628</v>
      </c>
      <c r="L397" s="209">
        <v>0.1105628</v>
      </c>
      <c r="M397" s="209">
        <v>0.1105628</v>
      </c>
      <c r="N397" s="209">
        <v>0.1105628</v>
      </c>
      <c r="O397" s="209">
        <v>0.1105628</v>
      </c>
      <c r="P397" s="209">
        <v>0.1105628</v>
      </c>
      <c r="Q397" s="209">
        <v>0.1105628</v>
      </c>
      <c r="R397" s="209">
        <v>0.1105628</v>
      </c>
      <c r="S397" s="209">
        <v>0.1105628</v>
      </c>
      <c r="T397" s="209">
        <v>0.1105628</v>
      </c>
      <c r="U397" s="209">
        <v>0.1105628</v>
      </c>
      <c r="V397" s="209">
        <v>0.1105628</v>
      </c>
      <c r="W397" s="209">
        <v>0.1105628</v>
      </c>
      <c r="X397" s="209">
        <v>0.1105628</v>
      </c>
      <c r="Y397" s="209">
        <v>0.1105628</v>
      </c>
      <c r="Z397" s="209">
        <v>0.1105628</v>
      </c>
      <c r="AA397" s="209">
        <v>0.1105628</v>
      </c>
      <c r="AB397" s="209">
        <v>0.1105628</v>
      </c>
      <c r="AC397" s="209">
        <v>0.1105628</v>
      </c>
      <c r="AD397" s="209">
        <v>0.1105628</v>
      </c>
      <c r="AE397" s="209">
        <v>0.1105628</v>
      </c>
      <c r="AF397" s="220">
        <v>0.1105628</v>
      </c>
      <c r="AG397" s="436"/>
    </row>
    <row r="398" spans="1:33" ht="16.2" thickBot="1">
      <c r="A398" s="449" t="s">
        <v>946</v>
      </c>
      <c r="B398" s="450" t="s">
        <v>941</v>
      </c>
      <c r="C398" s="450">
        <v>2100</v>
      </c>
      <c r="D398" s="450" t="s">
        <v>674</v>
      </c>
      <c r="E398" s="212">
        <v>0.1105628</v>
      </c>
      <c r="F398" s="212">
        <v>0.1105628</v>
      </c>
      <c r="G398" s="212">
        <v>0.1105628</v>
      </c>
      <c r="H398" s="212">
        <v>0.1105628</v>
      </c>
      <c r="I398" s="212">
        <v>0.1105628</v>
      </c>
      <c r="J398" s="212">
        <v>0.1105628</v>
      </c>
      <c r="K398" s="212">
        <v>0.1105628</v>
      </c>
      <c r="L398" s="212">
        <v>0.1105628</v>
      </c>
      <c r="M398" s="212">
        <v>0.1105628</v>
      </c>
      <c r="N398" s="212">
        <v>0.1105628</v>
      </c>
      <c r="O398" s="212">
        <v>0.1105628</v>
      </c>
      <c r="P398" s="212">
        <v>0.1105628</v>
      </c>
      <c r="Q398" s="212">
        <v>0.1105628</v>
      </c>
      <c r="R398" s="212">
        <v>0.1105628</v>
      </c>
      <c r="S398" s="212">
        <v>0.1105628</v>
      </c>
      <c r="T398" s="212">
        <v>0.1105628</v>
      </c>
      <c r="U398" s="212">
        <v>0.1105628</v>
      </c>
      <c r="V398" s="212">
        <v>0.1105628</v>
      </c>
      <c r="W398" s="212">
        <v>0.1105628</v>
      </c>
      <c r="X398" s="212">
        <v>0.1105628</v>
      </c>
      <c r="Y398" s="212">
        <v>0.1105628</v>
      </c>
      <c r="Z398" s="212">
        <v>0.1105628</v>
      </c>
      <c r="AA398" s="212">
        <v>0.1105628</v>
      </c>
      <c r="AB398" s="212">
        <v>0.1105628</v>
      </c>
      <c r="AC398" s="212">
        <v>0.1105628</v>
      </c>
      <c r="AD398" s="212">
        <v>0.1105628</v>
      </c>
      <c r="AE398" s="212">
        <v>0.1105628</v>
      </c>
      <c r="AF398" s="451">
        <v>0.1105628</v>
      </c>
      <c r="AG398" s="452"/>
    </row>
  </sheetData>
  <mergeCells count="2">
    <mergeCell ref="E4:AF4"/>
    <mergeCell ref="E202:AF20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65ED1-BBA9-46BE-8C34-9BD462C60BB4}">
  <sheetPr>
    <tabColor theme="4" tint="0.39997558519241921"/>
  </sheetPr>
  <dimension ref="A1:M50"/>
  <sheetViews>
    <sheetView workbookViewId="0">
      <selection activeCell="C25" sqref="C25"/>
    </sheetView>
  </sheetViews>
  <sheetFormatPr defaultRowHeight="15.6"/>
  <cols>
    <col min="1" max="1" width="38.8984375" customWidth="1"/>
    <col min="2" max="2" width="35.09765625" bestFit="1" customWidth="1"/>
    <col min="3" max="3" width="26.3984375" bestFit="1" customWidth="1"/>
    <col min="4" max="4" width="16.19921875" bestFit="1" customWidth="1"/>
    <col min="5" max="5" width="14.69921875" bestFit="1" customWidth="1"/>
    <col min="6" max="6" width="16.69921875" bestFit="1" customWidth="1"/>
    <col min="7" max="7" width="11.09765625" bestFit="1" customWidth="1"/>
    <col min="8" max="9" width="19.8984375" bestFit="1" customWidth="1"/>
    <col min="10" max="10" width="19.8984375" customWidth="1"/>
    <col min="11" max="11" width="14.69921875" bestFit="1" customWidth="1"/>
    <col min="12" max="12" width="10.09765625" bestFit="1" customWidth="1"/>
    <col min="13" max="13" width="23.5" bestFit="1" customWidth="1"/>
    <col min="14" max="14" width="8.8984375" bestFit="1" customWidth="1"/>
    <col min="15" max="15" width="5.59765625" bestFit="1" customWidth="1"/>
  </cols>
  <sheetData>
    <row r="1" spans="1:13">
      <c r="A1" s="345" t="s">
        <v>948</v>
      </c>
    </row>
    <row r="4" spans="1:13">
      <c r="A4" s="227"/>
      <c r="B4" s="358"/>
      <c r="C4" s="228" t="s">
        <v>333</v>
      </c>
    </row>
    <row r="5" spans="1:13" ht="25.2">
      <c r="A5" s="215" t="s">
        <v>949</v>
      </c>
      <c r="B5" t="s">
        <v>939</v>
      </c>
      <c r="C5" s="220">
        <f>'Gerrior(2022)Ethanol'!$C$4*Legend!$B$103*10^-6*24*365</f>
        <v>970.11743999999987</v>
      </c>
      <c r="J5" s="438"/>
      <c r="M5" s="439"/>
    </row>
    <row r="6" spans="1:13">
      <c r="A6" s="215" t="s">
        <v>950</v>
      </c>
      <c r="B6" t="s">
        <v>951</v>
      </c>
      <c r="C6" s="220">
        <f>C7/C5</f>
        <v>8.9722308858267734</v>
      </c>
      <c r="K6" s="173"/>
    </row>
    <row r="7" spans="1:13">
      <c r="A7" s="215" t="s">
        <v>948</v>
      </c>
      <c r="B7" t="s">
        <v>945</v>
      </c>
      <c r="C7" s="220">
        <f>'Gerrior(2022)Ethanol'!$C$6*Legend!$B$102*Legend!$B$84*10^-9*24*365</f>
        <v>8704.1176580472002</v>
      </c>
      <c r="J7" s="173"/>
      <c r="K7" s="173"/>
    </row>
    <row r="8" spans="1:13">
      <c r="A8" s="215" t="s">
        <v>861</v>
      </c>
      <c r="B8" t="s">
        <v>698</v>
      </c>
      <c r="C8" s="220">
        <f>'Gerrior(2022)Ethanol'!C7</f>
        <v>30</v>
      </c>
      <c r="J8" s="173"/>
      <c r="K8" s="173"/>
    </row>
    <row r="9" spans="1:13">
      <c r="A9" s="215" t="s">
        <v>896</v>
      </c>
      <c r="B9" t="s">
        <v>952</v>
      </c>
      <c r="C9" s="220">
        <f>'Gerrior(2022)Ethanol'!$C$8*Legend!$B$117/C7</f>
        <v>1.8011475276308801E-2</v>
      </c>
    </row>
    <row r="10" spans="1:13">
      <c r="A10" s="215" t="s">
        <v>953</v>
      </c>
      <c r="B10" t="s">
        <v>952</v>
      </c>
      <c r="C10" s="220">
        <f>C9*'Gerrior(2022)Ethanol'!$C$9</f>
        <v>5.40344258289264E-4</v>
      </c>
    </row>
    <row r="11" spans="1:13">
      <c r="A11" s="215" t="s">
        <v>954</v>
      </c>
      <c r="B11" t="s">
        <v>955</v>
      </c>
      <c r="C11" s="220">
        <f>SUM(C12:C13)/C7</f>
        <v>0.37335774718021136</v>
      </c>
    </row>
    <row r="12" spans="1:13">
      <c r="A12" s="215" t="s">
        <v>956</v>
      </c>
      <c r="B12" t="s">
        <v>945</v>
      </c>
      <c r="C12" s="220">
        <f>'Gerrior(2022)Ethanol'!$C$11*10^6*Legend!$B$106*10^-9*24*365</f>
        <v>210.02976000000007</v>
      </c>
      <c r="M12" s="440"/>
    </row>
    <row r="13" spans="1:13">
      <c r="A13" s="229" t="s">
        <v>957</v>
      </c>
      <c r="B13" s="236" t="s">
        <v>945</v>
      </c>
      <c r="C13" s="224">
        <f>'Gerrior(2022)Ethanol'!$C$12*24*365*10^-3</f>
        <v>3039.7200000000003</v>
      </c>
      <c r="L13" s="174"/>
      <c r="M13" s="174"/>
    </row>
    <row r="16" spans="1:13">
      <c r="A16" s="345" t="s">
        <v>958</v>
      </c>
    </row>
    <row r="17" spans="1:10">
      <c r="J17" s="174"/>
    </row>
    <row r="19" spans="1:10">
      <c r="A19" s="227"/>
      <c r="B19" s="358"/>
      <c r="C19" s="228" t="s">
        <v>959</v>
      </c>
    </row>
    <row r="20" spans="1:10">
      <c r="A20" s="215"/>
      <c r="C20" s="218" t="s">
        <v>960</v>
      </c>
    </row>
    <row r="21" spans="1:10">
      <c r="A21" s="215" t="s">
        <v>961</v>
      </c>
      <c r="B21" t="s">
        <v>939</v>
      </c>
      <c r="C21" s="442">
        <f>'Apostolakou(2009)_Biodiesel'!$C$4</f>
        <v>50.8</v>
      </c>
    </row>
    <row r="22" spans="1:10">
      <c r="A22" s="215" t="s">
        <v>962</v>
      </c>
      <c r="B22" t="s">
        <v>945</v>
      </c>
      <c r="C22" s="442">
        <f>'Apostolakou(2009)_Biodiesel'!$C$5*Legend!$B$104</f>
        <v>1889.9999999999998</v>
      </c>
    </row>
    <row r="23" spans="1:10">
      <c r="A23" s="215" t="s">
        <v>950</v>
      </c>
      <c r="B23" t="s">
        <v>963</v>
      </c>
      <c r="C23" s="442">
        <f>C22/C21</f>
        <v>37.204724409448815</v>
      </c>
    </row>
    <row r="24" spans="1:10">
      <c r="A24" s="215" t="s">
        <v>956</v>
      </c>
      <c r="B24" t="s">
        <v>945</v>
      </c>
      <c r="C24" s="442">
        <f>'Apostolakou(2009)_Biodiesel'!$C$6*'Apostolakou(2009)_Biodiesel'!$C$5*10^3*Legend!$B$106*10^-3</f>
        <v>5.4000000000000012</v>
      </c>
    </row>
    <row r="25" spans="1:10">
      <c r="A25" s="215" t="s">
        <v>964</v>
      </c>
      <c r="B25" t="s">
        <v>945</v>
      </c>
      <c r="C25" s="442">
        <f>'Apostolakou(2009)_Biodiesel'!$C$7*'Apostolakou(2009)_Biodiesel'!$C$5*10^3*10^-3</f>
        <v>70</v>
      </c>
    </row>
    <row r="26" spans="1:10">
      <c r="A26" s="444" t="s">
        <v>965</v>
      </c>
      <c r="B26" s="445" t="s">
        <v>945</v>
      </c>
      <c r="C26" s="446">
        <f>C25/'Panos(2016)_Boilers'!$G$7</f>
        <v>85.365853658536594</v>
      </c>
    </row>
    <row r="27" spans="1:10">
      <c r="A27" s="215" t="s">
        <v>954</v>
      </c>
      <c r="B27" t="s">
        <v>966</v>
      </c>
      <c r="C27" s="442">
        <f>(C25+C24)/C22</f>
        <v>3.9894179894179899E-2</v>
      </c>
    </row>
    <row r="28" spans="1:10">
      <c r="A28" s="215" t="s">
        <v>861</v>
      </c>
      <c r="B28" t="s">
        <v>698</v>
      </c>
      <c r="C28" s="442">
        <f>'Apostolakou(2009)_Biodiesel'!C9</f>
        <v>10</v>
      </c>
    </row>
    <row r="29" spans="1:10">
      <c r="A29" s="215" t="s">
        <v>896</v>
      </c>
      <c r="B29" t="s">
        <v>952</v>
      </c>
      <c r="C29" s="442">
        <f>'Apostolakou(2009)_Biodiesel'!$C$10*Legend!$B$112/C22</f>
        <v>6.2818079776226915E-3</v>
      </c>
    </row>
    <row r="30" spans="1:10">
      <c r="A30" s="215" t="s">
        <v>930</v>
      </c>
      <c r="B30" t="s">
        <v>952</v>
      </c>
      <c r="C30" s="442">
        <f>'Apostolakou(2009)_Biodiesel'!$C$12*Legend!$B$112/C22</f>
        <v>2.5835606001584389E-3</v>
      </c>
    </row>
    <row r="31" spans="1:10">
      <c r="A31" s="229" t="s">
        <v>967</v>
      </c>
      <c r="B31" s="236" t="s">
        <v>968</v>
      </c>
      <c r="C31" s="443">
        <f>'Apostolakou(2009)_Biodiesel'!$C$11*Legend!$B$112/C22</f>
        <v>1.4214261242982407E-3</v>
      </c>
    </row>
    <row r="34" spans="1:4">
      <c r="A34" s="345" t="s">
        <v>969</v>
      </c>
    </row>
    <row r="37" spans="1:4">
      <c r="A37" s="227" t="s">
        <v>970</v>
      </c>
      <c r="B37" s="358" t="s">
        <v>939</v>
      </c>
      <c r="C37" s="389">
        <f>'Ahmed(2023)_Biogas'!C9*24*365*10^-3</f>
        <v>350.40000000000003</v>
      </c>
    </row>
    <row r="38" spans="1:4">
      <c r="A38" s="215" t="s">
        <v>971</v>
      </c>
      <c r="B38" t="s">
        <v>972</v>
      </c>
      <c r="C38" s="390">
        <f>'Ahmed(2023)_Biogas'!C12*24*365</f>
        <v>87277106.399999991</v>
      </c>
    </row>
    <row r="39" spans="1:4">
      <c r="A39" s="215" t="s">
        <v>973</v>
      </c>
      <c r="B39" t="s">
        <v>972</v>
      </c>
      <c r="C39" s="390">
        <f>C38*'Barbera(2019)_UPGBiogas'!$D$4*'Barbera(2019)_UPGBiogas'!$D$6</f>
        <v>47560786.361615993</v>
      </c>
    </row>
    <row r="40" spans="1:4">
      <c r="A40" s="215" t="s">
        <v>973</v>
      </c>
      <c r="B40" t="s">
        <v>945</v>
      </c>
      <c r="C40" s="390">
        <f>C38*'Barbera(2019)_UPGBiogas'!D4*'Barbera(2019)_UPGBiogas'!D6*Legend!B86*10^-6</f>
        <v>1712.1883090181757</v>
      </c>
    </row>
    <row r="41" spans="1:4">
      <c r="A41" s="215" t="s">
        <v>640</v>
      </c>
      <c r="B41" t="s">
        <v>974</v>
      </c>
      <c r="C41" s="218">
        <f>C40/C37</f>
        <v>4.8863821604399984</v>
      </c>
    </row>
    <row r="42" spans="1:4">
      <c r="A42" s="215" t="s">
        <v>954</v>
      </c>
      <c r="B42" t="s">
        <v>975</v>
      </c>
      <c r="C42" s="218">
        <f>(C43+C44)/C40</f>
        <v>8.7589097198541854E-2</v>
      </c>
    </row>
    <row r="43" spans="1:4">
      <c r="A43" s="215" t="s">
        <v>956</v>
      </c>
      <c r="B43" t="s">
        <v>945</v>
      </c>
      <c r="C43" s="390">
        <f>'Ahmed(2023)_Biogas'!$C$11*24*365*Legend!$B$106*10^-3+'Barbera(2019)_UPGBiogas'!$D$13*C38*Legend!$B$106*10^-3</f>
        <v>133.8576362208</v>
      </c>
      <c r="D43" s="174"/>
    </row>
    <row r="44" spans="1:4">
      <c r="A44" s="215" t="s">
        <v>964</v>
      </c>
      <c r="B44" t="s">
        <v>945</v>
      </c>
      <c r="C44" s="390">
        <f>'Ahmed(2023)_Biogas'!C3*24*365*10^-6+'Barbera(2019)_UPGBiogas'!D17*C38*Legend!$B$106*10^-3</f>
        <v>16.111392000000002</v>
      </c>
      <c r="D44" s="174"/>
    </row>
    <row r="45" spans="1:4">
      <c r="A45" s="215" t="s">
        <v>976</v>
      </c>
      <c r="B45" t="s">
        <v>688</v>
      </c>
      <c r="C45" s="220">
        <f>'ETSAP(2013)_Biogas'!C3*'Key input_Biofuel production'!C39/'ETSAP(2013)_Biogas'!E3/C40*10^-6</f>
        <v>2.3782343987823439E-2</v>
      </c>
      <c r="D45" s="173"/>
    </row>
    <row r="46" spans="1:4">
      <c r="A46" s="215" t="s">
        <v>977</v>
      </c>
      <c r="B46" t="s">
        <v>688</v>
      </c>
      <c r="C46" s="390">
        <f>'Barbera(2019)_UPGBiogas'!D21/'Barbera(2019)_UPGBiogas'!E9*Legend!B108*Legend!B117</f>
        <v>1.8284528126453981E-2</v>
      </c>
      <c r="D46" s="447"/>
    </row>
    <row r="47" spans="1:4">
      <c r="A47" s="215" t="s">
        <v>978</v>
      </c>
      <c r="B47" t="s">
        <v>688</v>
      </c>
      <c r="C47" s="218"/>
    </row>
    <row r="48" spans="1:4">
      <c r="A48" s="215" t="s">
        <v>979</v>
      </c>
      <c r="B48" t="s">
        <v>688</v>
      </c>
      <c r="C48" s="218"/>
    </row>
    <row r="49" spans="1:6">
      <c r="A49" s="229" t="s">
        <v>861</v>
      </c>
      <c r="B49" s="236" t="s">
        <v>698</v>
      </c>
      <c r="C49" s="230">
        <f>'ETSAP(2013)_Biogas'!B6</f>
        <v>20</v>
      </c>
    </row>
    <row r="50" spans="1:6">
      <c r="F50" s="17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91464-165F-4E41-A381-020808EFABDF}">
  <sheetPr>
    <tabColor theme="4" tint="0.39997558519241921"/>
  </sheetPr>
  <dimension ref="A1:AD145"/>
  <sheetViews>
    <sheetView workbookViewId="0">
      <selection sqref="A1:XFD1048576"/>
    </sheetView>
  </sheetViews>
  <sheetFormatPr defaultRowHeight="15.6"/>
  <cols>
    <col min="1" max="1" width="58.3984375" bestFit="1" customWidth="1"/>
    <col min="2" max="2" width="30.19921875" bestFit="1" customWidth="1"/>
    <col min="3" max="3" width="9.59765625" bestFit="1" customWidth="1"/>
    <col min="4" max="4" width="11.09765625" bestFit="1" customWidth="1"/>
    <col min="5" max="5" width="9.59765625" bestFit="1" customWidth="1"/>
    <col min="6" max="6" width="13.5" bestFit="1" customWidth="1"/>
    <col min="7" max="7" width="13.69921875" bestFit="1" customWidth="1"/>
    <col min="8" max="11" width="9.59765625" bestFit="1" customWidth="1"/>
    <col min="12" max="12" width="13.69921875" bestFit="1" customWidth="1"/>
    <col min="13" max="15" width="9.59765625" bestFit="1" customWidth="1"/>
    <col min="16" max="19" width="13.69921875" bestFit="1" customWidth="1"/>
    <col min="20" max="21" width="9.59765625" bestFit="1" customWidth="1"/>
    <col min="22" max="22" width="13.69921875" bestFit="1" customWidth="1"/>
    <col min="23" max="28" width="9.59765625" bestFit="1" customWidth="1"/>
    <col min="29" max="30" width="13.69921875" bestFit="1" customWidth="1"/>
  </cols>
  <sheetData>
    <row r="1" spans="1:6">
      <c r="A1" s="345" t="s">
        <v>980</v>
      </c>
    </row>
    <row r="3" spans="1:6">
      <c r="A3" s="227"/>
      <c r="B3" s="358"/>
      <c r="C3" s="358" t="s">
        <v>981</v>
      </c>
      <c r="D3" s="358" t="s">
        <v>982</v>
      </c>
      <c r="E3" s="228" t="s">
        <v>983</v>
      </c>
      <c r="F3" s="231" t="s">
        <v>984</v>
      </c>
    </row>
    <row r="4" spans="1:6">
      <c r="A4" s="215"/>
      <c r="C4" t="s">
        <v>985</v>
      </c>
      <c r="D4" t="s">
        <v>985</v>
      </c>
      <c r="E4" s="218" t="s">
        <v>985</v>
      </c>
      <c r="F4" s="232" t="s">
        <v>985</v>
      </c>
    </row>
    <row r="5" spans="1:6">
      <c r="A5" s="215" t="s">
        <v>515</v>
      </c>
      <c r="B5" t="s">
        <v>516</v>
      </c>
      <c r="C5" s="174">
        <v>0</v>
      </c>
      <c r="D5" s="174">
        <f>'IPCC(2006)'!D4/1000</f>
        <v>3.0000000000000001E-3</v>
      </c>
      <c r="E5" s="390">
        <f>'IPCC(2006)'!E4/1000</f>
        <v>5.9999999999999995E-4</v>
      </c>
      <c r="F5" s="475">
        <f>'IPCC(2006)'!C4/1000</f>
        <v>70.8</v>
      </c>
    </row>
    <row r="6" spans="1:6">
      <c r="A6" s="215" t="s">
        <v>517</v>
      </c>
      <c r="B6" t="s">
        <v>518</v>
      </c>
      <c r="C6" s="174">
        <v>0</v>
      </c>
      <c r="D6" s="174">
        <f>'IPCC(2006)'!D5/1000</f>
        <v>3.0000000000000001E-3</v>
      </c>
      <c r="E6" s="390">
        <f>'IPCC(2006)'!E5/1000</f>
        <v>5.9999999999999995E-4</v>
      </c>
      <c r="F6" s="475">
        <f>'IPCC(2006)'!C5/1000</f>
        <v>70.8</v>
      </c>
    </row>
    <row r="7" spans="1:6">
      <c r="A7" s="215" t="s">
        <v>519</v>
      </c>
      <c r="B7" t="s">
        <v>520</v>
      </c>
      <c r="C7" s="174">
        <v>0</v>
      </c>
      <c r="D7" s="174">
        <f>'IPCC(2006)'!D6/1000</f>
        <v>3.0000000000000001E-3</v>
      </c>
      <c r="E7" s="390">
        <f>'IPCC(2006)'!E6/1000</f>
        <v>5.9999999999999995E-4</v>
      </c>
      <c r="F7" s="475">
        <f>'IPCC(2006)'!C6/1000</f>
        <v>79.599999999999994</v>
      </c>
    </row>
    <row r="8" spans="1:6">
      <c r="A8" s="215" t="s">
        <v>521</v>
      </c>
      <c r="B8" t="s">
        <v>522</v>
      </c>
      <c r="C8" s="174">
        <f>'IPCC(2006)'!C7/1000</f>
        <v>260</v>
      </c>
      <c r="D8" s="174">
        <f>'IPCC(2006)'!D7/1000</f>
        <v>0</v>
      </c>
      <c r="E8" s="390">
        <f>'IPCC(2006)'!E7/1000</f>
        <v>0</v>
      </c>
      <c r="F8" s="475">
        <f>'IPCC(2006)'!F7/1000</f>
        <v>0</v>
      </c>
    </row>
    <row r="9" spans="1:6">
      <c r="A9" s="215" t="s">
        <v>523</v>
      </c>
      <c r="B9" t="s">
        <v>524</v>
      </c>
      <c r="C9" s="174">
        <v>0</v>
      </c>
      <c r="D9" s="174">
        <f>'IPCC(2006)'!D8/1000</f>
        <v>1E-3</v>
      </c>
      <c r="E9" s="390">
        <f>'IPCC(2006)'!E8/1000</f>
        <v>1E-4</v>
      </c>
      <c r="F9" s="475">
        <f>'IPCC(2006)'!C8/1000</f>
        <v>54.6</v>
      </c>
    </row>
    <row r="10" spans="1:6">
      <c r="A10" s="215" t="s">
        <v>525</v>
      </c>
      <c r="B10" t="s">
        <v>526</v>
      </c>
      <c r="C10" s="174">
        <v>0</v>
      </c>
      <c r="D10" s="174">
        <f>'IPCC(2006)'!D9/1000</f>
        <v>0.03</v>
      </c>
      <c r="E10" s="390">
        <f>'IPCC(2006)'!E9/1000</f>
        <v>4.0000000000000001E-3</v>
      </c>
      <c r="F10" s="475">
        <f>'IPCC(2006)'!C9/1000</f>
        <v>112</v>
      </c>
    </row>
    <row r="11" spans="1:6">
      <c r="A11" s="215" t="s">
        <v>527</v>
      </c>
      <c r="B11" t="s">
        <v>528</v>
      </c>
      <c r="C11" s="174">
        <f>'IPCC(2006)'!C10/1000</f>
        <v>96.333333333333329</v>
      </c>
      <c r="D11" s="174">
        <f>'IPCC(2006)'!D10/1000</f>
        <v>1E-3</v>
      </c>
      <c r="E11" s="390">
        <f>'IPCC(2006)'!E10/1000</f>
        <v>1.5E-3</v>
      </c>
      <c r="F11" s="475">
        <f>'IPCC(2006)'!F10/1000</f>
        <v>0</v>
      </c>
    </row>
    <row r="12" spans="1:6">
      <c r="A12" s="215" t="s">
        <v>529</v>
      </c>
      <c r="B12" t="s">
        <v>530</v>
      </c>
      <c r="C12" s="174">
        <f>'IPCC(2006)'!C11/1000</f>
        <v>101</v>
      </c>
      <c r="D12" s="174">
        <f>'IPCC(2006)'!D11/1000</f>
        <v>1E-3</v>
      </c>
      <c r="E12" s="390">
        <f>'IPCC(2006)'!E11/1000</f>
        <v>1.5E-3</v>
      </c>
      <c r="F12" s="475">
        <f>'IPCC(2006)'!F11/1000</f>
        <v>0</v>
      </c>
    </row>
    <row r="13" spans="1:6">
      <c r="A13" s="215" t="s">
        <v>531</v>
      </c>
      <c r="B13" t="s">
        <v>532</v>
      </c>
      <c r="C13" s="174">
        <f>'IPCC(2006)'!C12/1000</f>
        <v>44.4</v>
      </c>
      <c r="D13" s="174">
        <f>'IPCC(2006)'!D12/1000</f>
        <v>1E-3</v>
      </c>
      <c r="E13" s="390">
        <f>'IPCC(2006)'!E12/1000</f>
        <v>1E-4</v>
      </c>
      <c r="F13" s="475">
        <f>'IPCC(2006)'!F12/1000</f>
        <v>0</v>
      </c>
    </row>
    <row r="14" spans="1:6">
      <c r="A14" s="215" t="s">
        <v>533</v>
      </c>
      <c r="B14" t="s">
        <v>534</v>
      </c>
      <c r="C14" s="174">
        <f>'IPCC(2006)'!C13/1000</f>
        <v>107</v>
      </c>
      <c r="D14" s="174">
        <f>'IPCC(2006)'!D13/1000</f>
        <v>1E-3</v>
      </c>
      <c r="E14" s="390">
        <f>'IPCC(2006)'!E13/1000</f>
        <v>1.5E-3</v>
      </c>
      <c r="F14" s="475">
        <f>'IPCC(2006)'!F13/1000</f>
        <v>0</v>
      </c>
    </row>
    <row r="15" spans="1:6">
      <c r="A15" s="215" t="s">
        <v>535</v>
      </c>
      <c r="B15" t="s">
        <v>536</v>
      </c>
      <c r="C15" s="174">
        <f>'IPCC(2006)'!C14/1000</f>
        <v>74.099999999999994</v>
      </c>
      <c r="D15" s="174">
        <f>'IPCC(2006)'!D14/1000</f>
        <v>3.0000000000000001E-3</v>
      </c>
      <c r="E15" s="390">
        <f>'IPCC(2006)'!E14/1000</f>
        <v>5.9999999999999995E-4</v>
      </c>
      <c r="F15" s="475">
        <f>'IPCC(2006)'!F14/1000</f>
        <v>0</v>
      </c>
    </row>
    <row r="16" spans="1:6">
      <c r="A16" s="215" t="s">
        <v>537</v>
      </c>
      <c r="B16" t="s">
        <v>538</v>
      </c>
      <c r="C16" s="174">
        <f>'IPCC(2006)'!C15/1000</f>
        <v>0</v>
      </c>
      <c r="D16" s="174">
        <f>'IPCC(2006)'!D15/1000</f>
        <v>0</v>
      </c>
      <c r="E16" s="390">
        <f>'IPCC(2006)'!E15/1000</f>
        <v>0</v>
      </c>
      <c r="F16" s="475">
        <f>'IPCC(2006)'!F15/1000</f>
        <v>0</v>
      </c>
    </row>
    <row r="17" spans="1:29">
      <c r="A17" s="215" t="s">
        <v>541</v>
      </c>
      <c r="B17" t="s">
        <v>542</v>
      </c>
      <c r="C17" s="174">
        <f>'IPCC(2006)'!C16/1000</f>
        <v>56.1</v>
      </c>
      <c r="D17" s="174">
        <f>'IPCC(2006)'!D16/1000</f>
        <v>1E-3</v>
      </c>
      <c r="E17" s="390">
        <f>'IPCC(2006)'!E16/1000</f>
        <v>1E-4</v>
      </c>
      <c r="F17" s="475">
        <f>'IPCC(2006)'!F16/1000</f>
        <v>0</v>
      </c>
    </row>
    <row r="18" spans="1:29">
      <c r="A18" s="215" t="s">
        <v>543</v>
      </c>
      <c r="B18" t="s">
        <v>544</v>
      </c>
      <c r="C18" s="174">
        <f>'IPCC(2006)'!C17/1000</f>
        <v>69.3</v>
      </c>
      <c r="D18" s="174">
        <f>'IPCC(2006)'!D17/1000</f>
        <v>3.0000000000000001E-3</v>
      </c>
      <c r="E18" s="390">
        <f>'IPCC(2006)'!E17/1000</f>
        <v>5.9999999999999995E-4</v>
      </c>
      <c r="F18" s="475">
        <f>'IPCC(2006)'!F17/1000</f>
        <v>0</v>
      </c>
    </row>
    <row r="19" spans="1:29">
      <c r="A19" s="215" t="s">
        <v>545</v>
      </c>
      <c r="B19" t="s">
        <v>546</v>
      </c>
      <c r="C19" s="174">
        <f>'IPCC(2006)'!C18/1000</f>
        <v>0</v>
      </c>
      <c r="D19" s="174">
        <f>'IPCC(2006)'!D18/1000</f>
        <v>0</v>
      </c>
      <c r="E19" s="390">
        <f>'IPCC(2006)'!E18/1000</f>
        <v>0</v>
      </c>
      <c r="F19" s="475">
        <f>'IPCC(2006)'!F18/1000</f>
        <v>0</v>
      </c>
    </row>
    <row r="20" spans="1:29">
      <c r="A20" s="215" t="s">
        <v>548</v>
      </c>
      <c r="B20" t="s">
        <v>549</v>
      </c>
      <c r="C20" s="174">
        <f>'IPCC(2006)'!C19/1000</f>
        <v>77.400000000000006</v>
      </c>
      <c r="D20" s="174">
        <f>'IPCC(2006)'!D19/1000</f>
        <v>1E-3</v>
      </c>
      <c r="E20" s="390">
        <f>'IPCC(2006)'!E19/1000</f>
        <v>5.9999999999999995E-4</v>
      </c>
      <c r="F20" s="475">
        <f>'IPCC(2006)'!F19/1000</f>
        <v>0</v>
      </c>
    </row>
    <row r="21" spans="1:29">
      <c r="A21" s="215" t="s">
        <v>550</v>
      </c>
      <c r="B21" t="s">
        <v>551</v>
      </c>
      <c r="C21" s="174">
        <f>'IPCC(2006)'!C20/1000</f>
        <v>71.5</v>
      </c>
      <c r="D21" s="174">
        <f>'IPCC(2006)'!D20/1000</f>
        <v>3.0000000000000001E-3</v>
      </c>
      <c r="E21" s="390">
        <f>'IPCC(2006)'!E20/1000</f>
        <v>5.9999999999999995E-4</v>
      </c>
      <c r="F21" s="475">
        <f>'IPCC(2006)'!F20/1000</f>
        <v>0</v>
      </c>
    </row>
    <row r="22" spans="1:29">
      <c r="A22" s="215" t="s">
        <v>552</v>
      </c>
      <c r="B22" t="s">
        <v>553</v>
      </c>
      <c r="C22" s="174">
        <f>'IPCC(2006)'!C21/1000</f>
        <v>63.1</v>
      </c>
      <c r="D22" s="174">
        <f>'IPCC(2006)'!D21/1000</f>
        <v>1E-3</v>
      </c>
      <c r="E22" s="390">
        <f>'IPCC(2006)'!E21/1000</f>
        <v>1E-4</v>
      </c>
      <c r="F22" s="475">
        <f>'IPCC(2006)'!F21/1000</f>
        <v>0</v>
      </c>
    </row>
    <row r="23" spans="1:29">
      <c r="A23" s="215" t="s">
        <v>554</v>
      </c>
      <c r="B23" t="s">
        <v>555</v>
      </c>
      <c r="C23" s="174">
        <f>'IPCC(2006)'!C22/1000</f>
        <v>73.3</v>
      </c>
      <c r="D23" s="174">
        <f>'IPCC(2006)'!D22/1000</f>
        <v>3.0000000000000001E-3</v>
      </c>
      <c r="E23" s="390">
        <f>'IPCC(2006)'!E22/1000</f>
        <v>5.9999999999999995E-4</v>
      </c>
      <c r="F23" s="475">
        <f>'IPCC(2006)'!F22/1000</f>
        <v>0</v>
      </c>
    </row>
    <row r="24" spans="1:29">
      <c r="A24" s="215" t="s">
        <v>556</v>
      </c>
      <c r="B24" t="s">
        <v>557</v>
      </c>
      <c r="C24" s="174">
        <f>'IPCC(2006)'!C23/1000</f>
        <v>73.3</v>
      </c>
      <c r="D24" s="174">
        <f>'IPCC(2006)'!D23/1000</f>
        <v>3.0000000000000001E-3</v>
      </c>
      <c r="E24" s="390">
        <f>'IPCC(2006)'!E23/1000</f>
        <v>5.9999999999999995E-4</v>
      </c>
      <c r="F24" s="475">
        <f>'IPCC(2006)'!F23/1000</f>
        <v>0</v>
      </c>
    </row>
    <row r="25" spans="1:29">
      <c r="A25" s="215" t="s">
        <v>558</v>
      </c>
      <c r="B25" t="s">
        <v>559</v>
      </c>
      <c r="C25" s="174">
        <f>'IPCC(2006)'!C24/1000</f>
        <v>80</v>
      </c>
      <c r="D25" s="174">
        <f>'IPCC(2006)'!D24/1000</f>
        <v>3.0000000000000001E-3</v>
      </c>
      <c r="E25" s="390">
        <f>'IPCC(2006)'!E24/1000</f>
        <v>5.9999999999999995E-4</v>
      </c>
      <c r="F25" s="475">
        <f>'IPCC(2006)'!F24/1000</f>
        <v>0</v>
      </c>
    </row>
    <row r="26" spans="1:29">
      <c r="A26" s="215" t="s">
        <v>560</v>
      </c>
      <c r="B26" t="s">
        <v>561</v>
      </c>
      <c r="C26" s="174">
        <v>0</v>
      </c>
      <c r="D26" s="174">
        <f>'IPCC(2006)'!D25/1000</f>
        <v>0.03</v>
      </c>
      <c r="E26" s="390">
        <f>'IPCC(2006)'!E25/1000</f>
        <v>4.0000000000000001E-3</v>
      </c>
      <c r="F26" s="475">
        <f>'IPCC(2006)'!C25/1000</f>
        <v>100</v>
      </c>
    </row>
    <row r="27" spans="1:29">
      <c r="A27" s="229" t="s">
        <v>562</v>
      </c>
      <c r="B27" s="236" t="s">
        <v>563</v>
      </c>
      <c r="C27" s="392">
        <f>'IPCC(2006)'!C26/1000</f>
        <v>0</v>
      </c>
      <c r="D27" s="392">
        <f>'IPCC(2006)'!D26/1000</f>
        <v>0</v>
      </c>
      <c r="E27" s="393">
        <f>'IPCC(2006)'!E26/1000</f>
        <v>0</v>
      </c>
      <c r="F27" s="476">
        <f>'IPCC(2006)'!F26/1000</f>
        <v>0</v>
      </c>
    </row>
    <row r="30" spans="1:29">
      <c r="A30" s="345" t="s">
        <v>986</v>
      </c>
    </row>
    <row r="32" spans="1:29">
      <c r="B32" t="s">
        <v>172</v>
      </c>
      <c r="C32" t="s">
        <v>175</v>
      </c>
      <c r="D32" t="s">
        <v>178</v>
      </c>
      <c r="E32" t="s">
        <v>181</v>
      </c>
      <c r="F32" t="s">
        <v>184</v>
      </c>
      <c r="G32" t="s">
        <v>187</v>
      </c>
      <c r="H32" t="s">
        <v>190</v>
      </c>
      <c r="I32" t="s">
        <v>193</v>
      </c>
      <c r="J32" t="s">
        <v>196</v>
      </c>
      <c r="K32" t="s">
        <v>198</v>
      </c>
      <c r="L32" t="s">
        <v>200</v>
      </c>
      <c r="M32" t="s">
        <v>202</v>
      </c>
      <c r="N32" t="s">
        <v>205</v>
      </c>
      <c r="O32" t="s">
        <v>208</v>
      </c>
      <c r="P32" t="s">
        <v>211</v>
      </c>
      <c r="Q32" t="s">
        <v>214</v>
      </c>
      <c r="R32" t="s">
        <v>217</v>
      </c>
      <c r="S32" t="s">
        <v>220</v>
      </c>
      <c r="T32" t="s">
        <v>223</v>
      </c>
      <c r="U32" t="s">
        <v>225</v>
      </c>
      <c r="V32" t="s">
        <v>227</v>
      </c>
      <c r="W32" t="s">
        <v>230</v>
      </c>
      <c r="X32" t="s">
        <v>233</v>
      </c>
      <c r="Y32" t="s">
        <v>236</v>
      </c>
      <c r="Z32" t="s">
        <v>238</v>
      </c>
      <c r="AA32" t="s">
        <v>240</v>
      </c>
      <c r="AB32" t="s">
        <v>243</v>
      </c>
      <c r="AC32" t="s">
        <v>245</v>
      </c>
    </row>
    <row r="33" spans="1:30">
      <c r="A33" t="s">
        <v>987</v>
      </c>
      <c r="B33" s="173">
        <f>IFERROR((SUMIFS('GEM(2024)_Coal'!$B:$B,'GEM(2024)_Coal'!$H:$H,B$32)+SUMIFS('GEM(2024)_Coal'!$E:$E,'GEM(2024)_Coal'!$H:$H,B$32))/(SUMIFS('GEM(2024)_Coal'!$B:$B,'GEM(2024)_Coal'!$H:$H,B$32)+SUMIFS('GEM(2024)_Coal'!$C:$C,'GEM(2024)_Coal'!$H:$H,B$32)+SUMIFS('GEM(2024)_Coal'!$D:$D,'GEM(2024)_Coal'!$H:$H,B$32)+SUMIFS('GEM(2024)_Coal'!$E:$E,'GEM(2024)_Coal'!$H:$H,B$32)+SUMIFS('GEM(2024)_Coal'!$G:$G,'GEM(2024)_Coal'!$H:$H,B$32)+SUMIFS('GEM(2024)_Coal'!$F:$F,'GEM(2024)_Coal'!$H:$H,B$32)),0)</f>
        <v>0</v>
      </c>
      <c r="C33" s="173">
        <f>IFERROR((SUMIFS('GEM(2024)_Coal'!$B:$B,'GEM(2024)_Coal'!$H:$H,C$32)+SUMIFS('GEM(2024)_Coal'!$E:$E,'GEM(2024)_Coal'!$H:$H,C$32))/(SUMIFS('GEM(2024)_Coal'!$B:$B,'GEM(2024)_Coal'!$H:$H,C$32)+SUMIFS('GEM(2024)_Coal'!$C:$C,'GEM(2024)_Coal'!$H:$H,C$32)+SUMIFS('GEM(2024)_Coal'!$D:$D,'GEM(2024)_Coal'!$H:$H,C$32)+SUMIFS('GEM(2024)_Coal'!$E:$E,'GEM(2024)_Coal'!$H:$H,C$32)+SUMIFS('GEM(2024)_Coal'!$G:$G,'GEM(2024)_Coal'!$H:$H,C$32)+SUMIFS('GEM(2024)_Coal'!$F:$F,'GEM(2024)_Coal'!$H:$H,C$32)),0)</f>
        <v>0</v>
      </c>
      <c r="D33" s="173">
        <f>IFERROR((SUMIFS('GEM(2024)_Coal'!$B:$B,'GEM(2024)_Coal'!$H:$H,D$32)+SUMIFS('GEM(2024)_Coal'!$E:$E,'GEM(2024)_Coal'!$H:$H,D$32))/(SUMIFS('GEM(2024)_Coal'!$B:$B,'GEM(2024)_Coal'!$H:$H,D$32)+SUMIFS('GEM(2024)_Coal'!$C:$C,'GEM(2024)_Coal'!$H:$H,D$32)+SUMIFS('GEM(2024)_Coal'!$D:$D,'GEM(2024)_Coal'!$H:$H,D$32)+SUMIFS('GEM(2024)_Coal'!$E:$E,'GEM(2024)_Coal'!$H:$H,D$32)+SUMIFS('GEM(2024)_Coal'!$G:$G,'GEM(2024)_Coal'!$H:$H,D$32)+SUMIFS('GEM(2024)_Coal'!$F:$F,'GEM(2024)_Coal'!$H:$H,D$32)),0)</f>
        <v>1</v>
      </c>
      <c r="E33" s="173">
        <f>IFERROR((SUMIFS('GEM(2024)_Coal'!$B:$B,'GEM(2024)_Coal'!$H:$H,E$32)+SUMIFS('GEM(2024)_Coal'!$E:$E,'GEM(2024)_Coal'!$H:$H,E$32))/(SUMIFS('GEM(2024)_Coal'!$B:$B,'GEM(2024)_Coal'!$H:$H,E$32)+SUMIFS('GEM(2024)_Coal'!$C:$C,'GEM(2024)_Coal'!$H:$H,E$32)+SUMIFS('GEM(2024)_Coal'!$D:$D,'GEM(2024)_Coal'!$H:$H,E$32)+SUMIFS('GEM(2024)_Coal'!$E:$E,'GEM(2024)_Coal'!$H:$H,E$32)+SUMIFS('GEM(2024)_Coal'!$G:$G,'GEM(2024)_Coal'!$H:$H,E$32)+SUMIFS('GEM(2024)_Coal'!$F:$F,'GEM(2024)_Coal'!$H:$H,E$32)),0)</f>
        <v>0.57870370370370372</v>
      </c>
      <c r="F33" s="173">
        <f>IFERROR((SUMIFS('GEM(2024)_Coal'!$B:$B,'GEM(2024)_Coal'!$H:$H,F$32)+SUMIFS('GEM(2024)_Coal'!$E:$E,'GEM(2024)_Coal'!$H:$H,F$32))/(SUMIFS('GEM(2024)_Coal'!$B:$B,'GEM(2024)_Coal'!$H:$H,F$32)+SUMIFS('GEM(2024)_Coal'!$C:$C,'GEM(2024)_Coal'!$H:$H,F$32)+SUMIFS('GEM(2024)_Coal'!$D:$D,'GEM(2024)_Coal'!$H:$H,F$32)+SUMIFS('GEM(2024)_Coal'!$E:$E,'GEM(2024)_Coal'!$H:$H,F$32)+SUMIFS('GEM(2024)_Coal'!$G:$G,'GEM(2024)_Coal'!$H:$H,F$32)+SUMIFS('GEM(2024)_Coal'!$F:$F,'GEM(2024)_Coal'!$H:$H,F$32)),0)</f>
        <v>0.63603818615751795</v>
      </c>
      <c r="G33" s="173">
        <f>IFERROR((SUMIFS('GEM(2024)_Coal'!$B:$B,'GEM(2024)_Coal'!$H:$H,G$32)+SUMIFS('GEM(2024)_Coal'!$E:$E,'GEM(2024)_Coal'!$H:$H,G$32))/(SUMIFS('GEM(2024)_Coal'!$B:$B,'GEM(2024)_Coal'!$H:$H,G$32)+SUMIFS('GEM(2024)_Coal'!$C:$C,'GEM(2024)_Coal'!$H:$H,G$32)+SUMIFS('GEM(2024)_Coal'!$D:$D,'GEM(2024)_Coal'!$H:$H,G$32)+SUMIFS('GEM(2024)_Coal'!$E:$E,'GEM(2024)_Coal'!$H:$H,G$32)+SUMIFS('GEM(2024)_Coal'!$G:$G,'GEM(2024)_Coal'!$H:$H,G$32)+SUMIFS('GEM(2024)_Coal'!$F:$F,'GEM(2024)_Coal'!$H:$H,G$32)),0)</f>
        <v>0.9263157894736842</v>
      </c>
      <c r="H33" s="173">
        <f>IFERROR((SUMIFS('GEM(2024)_Coal'!$B:$B,'GEM(2024)_Coal'!$H:$H,H$32)+SUMIFS('GEM(2024)_Coal'!$E:$E,'GEM(2024)_Coal'!$H:$H,H$32))/(SUMIFS('GEM(2024)_Coal'!$B:$B,'GEM(2024)_Coal'!$H:$H,H$32)+SUMIFS('GEM(2024)_Coal'!$C:$C,'GEM(2024)_Coal'!$H:$H,H$32)+SUMIFS('GEM(2024)_Coal'!$D:$D,'GEM(2024)_Coal'!$H:$H,H$32)+SUMIFS('GEM(2024)_Coal'!$E:$E,'GEM(2024)_Coal'!$H:$H,H$32)+SUMIFS('GEM(2024)_Coal'!$G:$G,'GEM(2024)_Coal'!$H:$H,H$32)+SUMIFS('GEM(2024)_Coal'!$F:$F,'GEM(2024)_Coal'!$H:$H,H$32)),0)</f>
        <v>0.28301886792452829</v>
      </c>
      <c r="I33" s="173">
        <f>IFERROR((SUMIFS('GEM(2024)_Coal'!$B:$B,'GEM(2024)_Coal'!$H:$H,I$32)+SUMIFS('GEM(2024)_Coal'!$E:$E,'GEM(2024)_Coal'!$H:$H,I$32))/(SUMIFS('GEM(2024)_Coal'!$B:$B,'GEM(2024)_Coal'!$H:$H,I$32)+SUMIFS('GEM(2024)_Coal'!$C:$C,'GEM(2024)_Coal'!$H:$H,I$32)+SUMIFS('GEM(2024)_Coal'!$D:$D,'GEM(2024)_Coal'!$H:$H,I$32)+SUMIFS('GEM(2024)_Coal'!$E:$E,'GEM(2024)_Coal'!$H:$H,I$32)+SUMIFS('GEM(2024)_Coal'!$G:$G,'GEM(2024)_Coal'!$H:$H,I$32)+SUMIFS('GEM(2024)_Coal'!$F:$F,'GEM(2024)_Coal'!$H:$H,I$32)),0)</f>
        <v>1</v>
      </c>
      <c r="J33" s="173">
        <f>IFERROR((SUMIFS('GEM(2024)_Coal'!$B:$B,'GEM(2024)_Coal'!$H:$H,J$32)+SUMIFS('GEM(2024)_Coal'!$E:$E,'GEM(2024)_Coal'!$H:$H,J$32))/(SUMIFS('GEM(2024)_Coal'!$B:$B,'GEM(2024)_Coal'!$H:$H,J$32)+SUMIFS('GEM(2024)_Coal'!$C:$C,'GEM(2024)_Coal'!$H:$H,J$32)+SUMIFS('GEM(2024)_Coal'!$D:$D,'GEM(2024)_Coal'!$H:$H,J$32)+SUMIFS('GEM(2024)_Coal'!$E:$E,'GEM(2024)_Coal'!$H:$H,J$32)+SUMIFS('GEM(2024)_Coal'!$G:$G,'GEM(2024)_Coal'!$H:$H,J$32)+SUMIFS('GEM(2024)_Coal'!$F:$F,'GEM(2024)_Coal'!$H:$H,J$32)),0)</f>
        <v>0.66666666666666663</v>
      </c>
      <c r="K33" s="173">
        <f>IFERROR((SUMIFS('GEM(2024)_Coal'!$B:$B,'GEM(2024)_Coal'!$H:$H,K$32)+SUMIFS('GEM(2024)_Coal'!$E:$E,'GEM(2024)_Coal'!$H:$H,K$32))/(SUMIFS('GEM(2024)_Coal'!$B:$B,'GEM(2024)_Coal'!$H:$H,K$32)+SUMIFS('GEM(2024)_Coal'!$C:$C,'GEM(2024)_Coal'!$H:$H,K$32)+SUMIFS('GEM(2024)_Coal'!$D:$D,'GEM(2024)_Coal'!$H:$H,K$32)+SUMIFS('GEM(2024)_Coal'!$E:$E,'GEM(2024)_Coal'!$H:$H,K$32)+SUMIFS('GEM(2024)_Coal'!$G:$G,'GEM(2024)_Coal'!$H:$H,K$32)+SUMIFS('GEM(2024)_Coal'!$F:$F,'GEM(2024)_Coal'!$H:$H,K$32)),0)</f>
        <v>0.87179487179487181</v>
      </c>
      <c r="L33" s="173">
        <f>IFERROR((SUMIFS('GEM(2024)_Coal'!$B:$B,'GEM(2024)_Coal'!$H:$H,L$32)+SUMIFS('GEM(2024)_Coal'!$E:$E,'GEM(2024)_Coal'!$H:$H,L$32))/(SUMIFS('GEM(2024)_Coal'!$B:$B,'GEM(2024)_Coal'!$H:$H,L$32)+SUMIFS('GEM(2024)_Coal'!$C:$C,'GEM(2024)_Coal'!$H:$H,L$32)+SUMIFS('GEM(2024)_Coal'!$D:$D,'GEM(2024)_Coal'!$H:$H,L$32)+SUMIFS('GEM(2024)_Coal'!$E:$E,'GEM(2024)_Coal'!$H:$H,L$32)+SUMIFS('GEM(2024)_Coal'!$G:$G,'GEM(2024)_Coal'!$H:$H,L$32)+SUMIFS('GEM(2024)_Coal'!$F:$F,'GEM(2024)_Coal'!$H:$H,L$32)),0)</f>
        <v>0</v>
      </c>
      <c r="M33" s="173">
        <f>IFERROR((SUMIFS('GEM(2024)_Coal'!$B:$B,'GEM(2024)_Coal'!$H:$H,M$32)+SUMIFS('GEM(2024)_Coal'!$E:$E,'GEM(2024)_Coal'!$H:$H,M$32))/(SUMIFS('GEM(2024)_Coal'!$B:$B,'GEM(2024)_Coal'!$H:$H,M$32)+SUMIFS('GEM(2024)_Coal'!$C:$C,'GEM(2024)_Coal'!$H:$H,M$32)+SUMIFS('GEM(2024)_Coal'!$D:$D,'GEM(2024)_Coal'!$H:$H,M$32)+SUMIFS('GEM(2024)_Coal'!$E:$E,'GEM(2024)_Coal'!$H:$H,M$32)+SUMIFS('GEM(2024)_Coal'!$G:$G,'GEM(2024)_Coal'!$H:$H,M$32)+SUMIFS('GEM(2024)_Coal'!$F:$F,'GEM(2024)_Coal'!$H:$H,M$32)),0)</f>
        <v>0.23708450140168202</v>
      </c>
      <c r="N33" s="173">
        <f>IFERROR((SUMIFS('GEM(2024)_Coal'!$B:$B,'GEM(2024)_Coal'!$H:$H,N$32)+SUMIFS('GEM(2024)_Coal'!$E:$E,'GEM(2024)_Coal'!$H:$H,N$32))/(SUMIFS('GEM(2024)_Coal'!$B:$B,'GEM(2024)_Coal'!$H:$H,N$32)+SUMIFS('GEM(2024)_Coal'!$C:$C,'GEM(2024)_Coal'!$H:$H,N$32)+SUMIFS('GEM(2024)_Coal'!$D:$D,'GEM(2024)_Coal'!$H:$H,N$32)+SUMIFS('GEM(2024)_Coal'!$E:$E,'GEM(2024)_Coal'!$H:$H,N$32)+SUMIFS('GEM(2024)_Coal'!$G:$G,'GEM(2024)_Coal'!$H:$H,N$32)+SUMIFS('GEM(2024)_Coal'!$F:$F,'GEM(2024)_Coal'!$H:$H,N$32)),0)</f>
        <v>0.69090909090909092</v>
      </c>
      <c r="O33" s="173">
        <f>IFERROR((SUMIFS('GEM(2024)_Coal'!$B:$B,'GEM(2024)_Coal'!$H:$H,O$32)+SUMIFS('GEM(2024)_Coal'!$E:$E,'GEM(2024)_Coal'!$H:$H,O$32))/(SUMIFS('GEM(2024)_Coal'!$B:$B,'GEM(2024)_Coal'!$H:$H,O$32)+SUMIFS('GEM(2024)_Coal'!$C:$C,'GEM(2024)_Coal'!$H:$H,O$32)+SUMIFS('GEM(2024)_Coal'!$D:$D,'GEM(2024)_Coal'!$H:$H,O$32)+SUMIFS('GEM(2024)_Coal'!$E:$E,'GEM(2024)_Coal'!$H:$H,O$32)+SUMIFS('GEM(2024)_Coal'!$G:$G,'GEM(2024)_Coal'!$H:$H,O$32)+SUMIFS('GEM(2024)_Coal'!$F:$F,'GEM(2024)_Coal'!$H:$H,O$32)),0)</f>
        <v>0</v>
      </c>
      <c r="P33" s="173">
        <f>IFERROR((SUMIFS('GEM(2024)_Coal'!$B:$B,'GEM(2024)_Coal'!$H:$H,P$32)+SUMIFS('GEM(2024)_Coal'!$E:$E,'GEM(2024)_Coal'!$H:$H,P$32))/(SUMIFS('GEM(2024)_Coal'!$B:$B,'GEM(2024)_Coal'!$H:$H,P$32)+SUMIFS('GEM(2024)_Coal'!$C:$C,'GEM(2024)_Coal'!$H:$H,P$32)+SUMIFS('GEM(2024)_Coal'!$D:$D,'GEM(2024)_Coal'!$H:$H,P$32)+SUMIFS('GEM(2024)_Coal'!$E:$E,'GEM(2024)_Coal'!$H:$H,P$32)+SUMIFS('GEM(2024)_Coal'!$G:$G,'GEM(2024)_Coal'!$H:$H,P$32)+SUMIFS('GEM(2024)_Coal'!$F:$F,'GEM(2024)_Coal'!$H:$H,P$32)),0)</f>
        <v>0.76699029126213591</v>
      </c>
      <c r="Q33" s="173">
        <f>IFERROR((SUMIFS('GEM(2024)_Coal'!$B:$B,'GEM(2024)_Coal'!$H:$H,Q$32)+SUMIFS('GEM(2024)_Coal'!$E:$E,'GEM(2024)_Coal'!$H:$H,Q$32))/(SUMIFS('GEM(2024)_Coal'!$B:$B,'GEM(2024)_Coal'!$H:$H,Q$32)+SUMIFS('GEM(2024)_Coal'!$C:$C,'GEM(2024)_Coal'!$H:$H,Q$32)+SUMIFS('GEM(2024)_Coal'!$D:$D,'GEM(2024)_Coal'!$H:$H,Q$32)+SUMIFS('GEM(2024)_Coal'!$E:$E,'GEM(2024)_Coal'!$H:$H,Q$32)+SUMIFS('GEM(2024)_Coal'!$G:$G,'GEM(2024)_Coal'!$H:$H,Q$32)+SUMIFS('GEM(2024)_Coal'!$F:$F,'GEM(2024)_Coal'!$H:$H,Q$32)),0)</f>
        <v>1</v>
      </c>
      <c r="R33" s="173">
        <f>IFERROR((SUMIFS('GEM(2024)_Coal'!$B:$B,'GEM(2024)_Coal'!$H:$H,R$32)+SUMIFS('GEM(2024)_Coal'!$E:$E,'GEM(2024)_Coal'!$H:$H,R$32))/(SUMIFS('GEM(2024)_Coal'!$B:$B,'GEM(2024)_Coal'!$H:$H,R$32)+SUMIFS('GEM(2024)_Coal'!$C:$C,'GEM(2024)_Coal'!$H:$H,R$32)+SUMIFS('GEM(2024)_Coal'!$D:$D,'GEM(2024)_Coal'!$H:$H,R$32)+SUMIFS('GEM(2024)_Coal'!$E:$E,'GEM(2024)_Coal'!$H:$H,R$32)+SUMIFS('GEM(2024)_Coal'!$G:$G,'GEM(2024)_Coal'!$H:$H,R$32)+SUMIFS('GEM(2024)_Coal'!$F:$F,'GEM(2024)_Coal'!$H:$H,R$32)),0)</f>
        <v>1</v>
      </c>
      <c r="S33" s="173">
        <f>IFERROR((SUMIFS('GEM(2024)_Coal'!$B:$B,'GEM(2024)_Coal'!$H:$H,S$32)+SUMIFS('GEM(2024)_Coal'!$E:$E,'GEM(2024)_Coal'!$H:$H,S$32))/(SUMIFS('GEM(2024)_Coal'!$B:$B,'GEM(2024)_Coal'!$H:$H,S$32)+SUMIFS('GEM(2024)_Coal'!$C:$C,'GEM(2024)_Coal'!$H:$H,S$32)+SUMIFS('GEM(2024)_Coal'!$D:$D,'GEM(2024)_Coal'!$H:$H,S$32)+SUMIFS('GEM(2024)_Coal'!$E:$E,'GEM(2024)_Coal'!$H:$H,S$32)+SUMIFS('GEM(2024)_Coal'!$G:$G,'GEM(2024)_Coal'!$H:$H,S$32)+SUMIFS('GEM(2024)_Coal'!$F:$F,'GEM(2024)_Coal'!$H:$H,S$32)),0)</f>
        <v>0.89859154929577467</v>
      </c>
      <c r="T33" s="173">
        <f>IFERROR((SUMIFS('GEM(2024)_Coal'!$B:$B,'GEM(2024)_Coal'!$H:$H,T$32)+SUMIFS('GEM(2024)_Coal'!$E:$E,'GEM(2024)_Coal'!$H:$H,T$32))/(SUMIFS('GEM(2024)_Coal'!$B:$B,'GEM(2024)_Coal'!$H:$H,T$32)+SUMIFS('GEM(2024)_Coal'!$C:$C,'GEM(2024)_Coal'!$H:$H,T$32)+SUMIFS('GEM(2024)_Coal'!$D:$D,'GEM(2024)_Coal'!$H:$H,T$32)+SUMIFS('GEM(2024)_Coal'!$E:$E,'GEM(2024)_Coal'!$H:$H,T$32)+SUMIFS('GEM(2024)_Coal'!$G:$G,'GEM(2024)_Coal'!$H:$H,T$32)+SUMIFS('GEM(2024)_Coal'!$F:$F,'GEM(2024)_Coal'!$H:$H,T$32)),0)</f>
        <v>0.91475644699140402</v>
      </c>
      <c r="U33" s="173">
        <f>IFERROR((SUMIFS('GEM(2024)_Coal'!$B:$B,'GEM(2024)_Coal'!$H:$H,U$32)+SUMIFS('GEM(2024)_Coal'!$E:$E,'GEM(2024)_Coal'!$H:$H,U$32))/(SUMIFS('GEM(2024)_Coal'!$B:$B,'GEM(2024)_Coal'!$H:$H,U$32)+SUMIFS('GEM(2024)_Coal'!$C:$C,'GEM(2024)_Coal'!$H:$H,U$32)+SUMIFS('GEM(2024)_Coal'!$D:$D,'GEM(2024)_Coal'!$H:$H,U$32)+SUMIFS('GEM(2024)_Coal'!$E:$E,'GEM(2024)_Coal'!$H:$H,U$32)+SUMIFS('GEM(2024)_Coal'!$G:$G,'GEM(2024)_Coal'!$H:$H,U$32)+SUMIFS('GEM(2024)_Coal'!$F:$F,'GEM(2024)_Coal'!$H:$H,U$32)),0)</f>
        <v>0</v>
      </c>
      <c r="V33" s="173">
        <f>IFERROR((SUMIFS('GEM(2024)_Coal'!$B:$B,'GEM(2024)_Coal'!$H:$H,V$32)+SUMIFS('GEM(2024)_Coal'!$E:$E,'GEM(2024)_Coal'!$H:$H,V$32))/(SUMIFS('GEM(2024)_Coal'!$B:$B,'GEM(2024)_Coal'!$H:$H,V$32)+SUMIFS('GEM(2024)_Coal'!$C:$C,'GEM(2024)_Coal'!$H:$H,V$32)+SUMIFS('GEM(2024)_Coal'!$D:$D,'GEM(2024)_Coal'!$H:$H,V$32)+SUMIFS('GEM(2024)_Coal'!$E:$E,'GEM(2024)_Coal'!$H:$H,V$32)+SUMIFS('GEM(2024)_Coal'!$G:$G,'GEM(2024)_Coal'!$H:$H,V$32)+SUMIFS('GEM(2024)_Coal'!$F:$F,'GEM(2024)_Coal'!$H:$H,V$32)),0)</f>
        <v>0.84285714285714286</v>
      </c>
      <c r="W33" s="173">
        <f>IFERROR((SUMIFS('GEM(2024)_Coal'!$B:$B,'GEM(2024)_Coal'!$H:$H,W$32)+SUMIFS('GEM(2024)_Coal'!$E:$E,'GEM(2024)_Coal'!$H:$H,W$32))/(SUMIFS('GEM(2024)_Coal'!$B:$B,'GEM(2024)_Coal'!$H:$H,W$32)+SUMIFS('GEM(2024)_Coal'!$C:$C,'GEM(2024)_Coal'!$H:$H,W$32)+SUMIFS('GEM(2024)_Coal'!$D:$D,'GEM(2024)_Coal'!$H:$H,W$32)+SUMIFS('GEM(2024)_Coal'!$E:$E,'GEM(2024)_Coal'!$H:$H,W$32)+SUMIFS('GEM(2024)_Coal'!$G:$G,'GEM(2024)_Coal'!$H:$H,W$32)+SUMIFS('GEM(2024)_Coal'!$F:$F,'GEM(2024)_Coal'!$H:$H,W$32)),0)</f>
        <v>0.47252747252747251</v>
      </c>
      <c r="X33" s="173">
        <f>IFERROR((SUMIFS('GEM(2024)_Coal'!$B:$B,'GEM(2024)_Coal'!$H:$H,X$32)+SUMIFS('GEM(2024)_Coal'!$E:$E,'GEM(2024)_Coal'!$H:$H,X$32))/(SUMIFS('GEM(2024)_Coal'!$B:$B,'GEM(2024)_Coal'!$H:$H,X$32)+SUMIFS('GEM(2024)_Coal'!$C:$C,'GEM(2024)_Coal'!$H:$H,X$32)+SUMIFS('GEM(2024)_Coal'!$D:$D,'GEM(2024)_Coal'!$H:$H,X$32)+SUMIFS('GEM(2024)_Coal'!$E:$E,'GEM(2024)_Coal'!$H:$H,X$32)+SUMIFS('GEM(2024)_Coal'!$G:$G,'GEM(2024)_Coal'!$H:$H,X$32)+SUMIFS('GEM(2024)_Coal'!$F:$F,'GEM(2024)_Coal'!$H:$H,X$32)),0)</f>
        <v>1</v>
      </c>
      <c r="Y33" s="173">
        <f>IFERROR((SUMIFS('GEM(2024)_Coal'!$B:$B,'GEM(2024)_Coal'!$H:$H,Y$32)+SUMIFS('GEM(2024)_Coal'!$E:$E,'GEM(2024)_Coal'!$H:$H,Y$32))/(SUMIFS('GEM(2024)_Coal'!$B:$B,'GEM(2024)_Coal'!$H:$H,Y$32)+SUMIFS('GEM(2024)_Coal'!$C:$C,'GEM(2024)_Coal'!$H:$H,Y$32)+SUMIFS('GEM(2024)_Coal'!$D:$D,'GEM(2024)_Coal'!$H:$H,Y$32)+SUMIFS('GEM(2024)_Coal'!$E:$E,'GEM(2024)_Coal'!$H:$H,Y$32)+SUMIFS('GEM(2024)_Coal'!$G:$G,'GEM(2024)_Coal'!$H:$H,Y$32)+SUMIFS('GEM(2024)_Coal'!$F:$F,'GEM(2024)_Coal'!$H:$H,Y$32)),0)</f>
        <v>0.1</v>
      </c>
      <c r="Z33" s="173">
        <f>IFERROR((SUMIFS('GEM(2024)_Coal'!$B:$B,'GEM(2024)_Coal'!$H:$H,Z$32)+SUMIFS('GEM(2024)_Coal'!$E:$E,'GEM(2024)_Coal'!$H:$H,Z$32))/(SUMIFS('GEM(2024)_Coal'!$B:$B,'GEM(2024)_Coal'!$H:$H,Z$32)+SUMIFS('GEM(2024)_Coal'!$C:$C,'GEM(2024)_Coal'!$H:$H,Z$32)+SUMIFS('GEM(2024)_Coal'!$D:$D,'GEM(2024)_Coal'!$H:$H,Z$32)+SUMIFS('GEM(2024)_Coal'!$E:$E,'GEM(2024)_Coal'!$H:$H,Z$32)+SUMIFS('GEM(2024)_Coal'!$G:$G,'GEM(2024)_Coal'!$H:$H,Z$32)+SUMIFS('GEM(2024)_Coal'!$F:$F,'GEM(2024)_Coal'!$H:$H,Z$32)),0)</f>
        <v>0</v>
      </c>
      <c r="AA33" s="173">
        <f>IFERROR((SUMIFS('GEM(2024)_Coal'!$B:$B,'GEM(2024)_Coal'!$H:$H,AA$32)+SUMIFS('GEM(2024)_Coal'!$E:$E,'GEM(2024)_Coal'!$H:$H,AA$32))/(SUMIFS('GEM(2024)_Coal'!$B:$B,'GEM(2024)_Coal'!$H:$H,AA$32)+SUMIFS('GEM(2024)_Coal'!$C:$C,'GEM(2024)_Coal'!$H:$H,AA$32)+SUMIFS('GEM(2024)_Coal'!$D:$D,'GEM(2024)_Coal'!$H:$H,AA$32)+SUMIFS('GEM(2024)_Coal'!$E:$E,'GEM(2024)_Coal'!$H:$H,AA$32)+SUMIFS('GEM(2024)_Coal'!$G:$G,'GEM(2024)_Coal'!$H:$H,AA$32)+SUMIFS('GEM(2024)_Coal'!$F:$F,'GEM(2024)_Coal'!$H:$H,AA$32)),0)</f>
        <v>0.77948717948717949</v>
      </c>
      <c r="AB33" s="173">
        <f>IFERROR((SUMIFS('GEM(2024)_Coal'!$B:$B,'GEM(2024)_Coal'!$H:$H,AB$32)+SUMIFS('GEM(2024)_Coal'!$E:$E,'GEM(2024)_Coal'!$H:$H,AB$32))/(SUMIFS('GEM(2024)_Coal'!$B:$B,'GEM(2024)_Coal'!$H:$H,AB$32)+SUMIFS('GEM(2024)_Coal'!$C:$C,'GEM(2024)_Coal'!$H:$H,AB$32)+SUMIFS('GEM(2024)_Coal'!$D:$D,'GEM(2024)_Coal'!$H:$H,AB$32)+SUMIFS('GEM(2024)_Coal'!$E:$E,'GEM(2024)_Coal'!$H:$H,AB$32)+SUMIFS('GEM(2024)_Coal'!$G:$G,'GEM(2024)_Coal'!$H:$H,AB$32)+SUMIFS('GEM(2024)_Coal'!$F:$F,'GEM(2024)_Coal'!$H:$H,AB$32)),0)</f>
        <v>0</v>
      </c>
      <c r="AC33" s="173">
        <f>IFERROR((SUMIFS('GEM(2024)_Coal'!$B:$B,'GEM(2024)_Coal'!$H:$H,AC$32)+SUMIFS('GEM(2024)_Coal'!$E:$E,'GEM(2024)_Coal'!$H:$H,AC$32))/(SUMIFS('GEM(2024)_Coal'!$B:$B,'GEM(2024)_Coal'!$H:$H,AC$32)+SUMIFS('GEM(2024)_Coal'!$C:$C,'GEM(2024)_Coal'!$H:$H,AC$32)+SUMIFS('GEM(2024)_Coal'!$D:$D,'GEM(2024)_Coal'!$H:$H,AC$32)+SUMIFS('GEM(2024)_Coal'!$E:$E,'GEM(2024)_Coal'!$H:$H,AC$32)+SUMIFS('GEM(2024)_Coal'!$G:$G,'GEM(2024)_Coal'!$H:$H,AC$32)+SUMIFS('GEM(2024)_Coal'!$F:$F,'GEM(2024)_Coal'!$H:$H,AC$32)),0)</f>
        <v>0.6353944562899787</v>
      </c>
    </row>
    <row r="34" spans="1:30">
      <c r="A34" t="s">
        <v>988</v>
      </c>
      <c r="B34" s="173">
        <f>IFERROR((SUMIFS('GEM(2024)_Coal'!$C:$C,'GEM(2024)_Coal'!$H:$H,B$32)+SUMIFS('GEM(2024)_Coal'!$D:$D,'GEM(2024)_Coal'!$H:$H,B$32)+SUMIFS('GEM(2024)_Coal'!$G:$G,'GEM(2024)_Coal'!$H:$H,B$32)+SUMIFS('GEM(2024)_Coal'!$F:$F,'GEM(2024)_Coal'!$H:$H,B$32))/(SUMIFS('GEM(2024)_Coal'!$B:$B,'GEM(2024)_Coal'!$H:$H,B$32)+SUMIFS('GEM(2024)_Coal'!$C:$C,'GEM(2024)_Coal'!$H:$H,B$32)+SUMIFS('GEM(2024)_Coal'!$D:$D,'GEM(2024)_Coal'!$H:$H,B$32)+SUMIFS('GEM(2024)_Coal'!$E:$E,'GEM(2024)_Coal'!$H:$H,B$32)+SUMIFS('GEM(2024)_Coal'!$G:$G,'GEM(2024)_Coal'!$H:$H,B$32)+SUMIFS('GEM(2024)_Coal'!$F:$F,'GEM(2024)_Coal'!$H:$H,B$32)),1)</f>
        <v>1</v>
      </c>
      <c r="C34" s="173">
        <f>IFERROR((SUMIFS('GEM(2024)_Coal'!$C:$C,'GEM(2024)_Coal'!$H:$H,C$32)+SUMIFS('GEM(2024)_Coal'!$D:$D,'GEM(2024)_Coal'!$H:$H,C$32)+SUMIFS('GEM(2024)_Coal'!$G:$G,'GEM(2024)_Coal'!$H:$H,C$32)+SUMIFS('GEM(2024)_Coal'!$F:$F,'GEM(2024)_Coal'!$H:$H,C$32))/(SUMIFS('GEM(2024)_Coal'!$B:$B,'GEM(2024)_Coal'!$H:$H,C$32)+SUMIFS('GEM(2024)_Coal'!$C:$C,'GEM(2024)_Coal'!$H:$H,C$32)+SUMIFS('GEM(2024)_Coal'!$D:$D,'GEM(2024)_Coal'!$H:$H,C$32)+SUMIFS('GEM(2024)_Coal'!$E:$E,'GEM(2024)_Coal'!$H:$H,C$32)+SUMIFS('GEM(2024)_Coal'!$G:$G,'GEM(2024)_Coal'!$H:$H,C$32)+SUMIFS('GEM(2024)_Coal'!$F:$F,'GEM(2024)_Coal'!$H:$H,C$32)),1)</f>
        <v>1</v>
      </c>
      <c r="D34" s="173">
        <f>IFERROR((SUMIFS('GEM(2024)_Coal'!$C:$C,'GEM(2024)_Coal'!$H:$H,D$32)+SUMIFS('GEM(2024)_Coal'!$D:$D,'GEM(2024)_Coal'!$H:$H,D$32)+SUMIFS('GEM(2024)_Coal'!$G:$G,'GEM(2024)_Coal'!$H:$H,D$32)+SUMIFS('GEM(2024)_Coal'!$F:$F,'GEM(2024)_Coal'!$H:$H,D$32))/(SUMIFS('GEM(2024)_Coal'!$B:$B,'GEM(2024)_Coal'!$H:$H,D$32)+SUMIFS('GEM(2024)_Coal'!$C:$C,'GEM(2024)_Coal'!$H:$H,D$32)+SUMIFS('GEM(2024)_Coal'!$D:$D,'GEM(2024)_Coal'!$H:$H,D$32)+SUMIFS('GEM(2024)_Coal'!$E:$E,'GEM(2024)_Coal'!$H:$H,D$32)+SUMIFS('GEM(2024)_Coal'!$G:$G,'GEM(2024)_Coal'!$H:$H,D$32)+SUMIFS('GEM(2024)_Coal'!$F:$F,'GEM(2024)_Coal'!$H:$H,D$32)),1)</f>
        <v>0</v>
      </c>
      <c r="E34" s="173">
        <f>IFERROR((SUMIFS('GEM(2024)_Coal'!$C:$C,'GEM(2024)_Coal'!$H:$H,E$32)+SUMIFS('GEM(2024)_Coal'!$D:$D,'GEM(2024)_Coal'!$H:$H,E$32)+SUMIFS('GEM(2024)_Coal'!$G:$G,'GEM(2024)_Coal'!$H:$H,E$32)+SUMIFS('GEM(2024)_Coal'!$F:$F,'GEM(2024)_Coal'!$H:$H,E$32))/(SUMIFS('GEM(2024)_Coal'!$B:$B,'GEM(2024)_Coal'!$H:$H,E$32)+SUMIFS('GEM(2024)_Coal'!$C:$C,'GEM(2024)_Coal'!$H:$H,E$32)+SUMIFS('GEM(2024)_Coal'!$D:$D,'GEM(2024)_Coal'!$H:$H,E$32)+SUMIFS('GEM(2024)_Coal'!$E:$E,'GEM(2024)_Coal'!$H:$H,E$32)+SUMIFS('GEM(2024)_Coal'!$G:$G,'GEM(2024)_Coal'!$H:$H,E$32)+SUMIFS('GEM(2024)_Coal'!$F:$F,'GEM(2024)_Coal'!$H:$H,E$32)),1)</f>
        <v>0.42129629629629628</v>
      </c>
      <c r="F34" s="173">
        <f>IFERROR((SUMIFS('GEM(2024)_Coal'!$C:$C,'GEM(2024)_Coal'!$H:$H,F$32)+SUMIFS('GEM(2024)_Coal'!$D:$D,'GEM(2024)_Coal'!$H:$H,F$32)+SUMIFS('GEM(2024)_Coal'!$G:$G,'GEM(2024)_Coal'!$H:$H,F$32)+SUMIFS('GEM(2024)_Coal'!$F:$F,'GEM(2024)_Coal'!$H:$H,F$32))/(SUMIFS('GEM(2024)_Coal'!$B:$B,'GEM(2024)_Coal'!$H:$H,F$32)+SUMIFS('GEM(2024)_Coal'!$C:$C,'GEM(2024)_Coal'!$H:$H,F$32)+SUMIFS('GEM(2024)_Coal'!$D:$D,'GEM(2024)_Coal'!$H:$H,F$32)+SUMIFS('GEM(2024)_Coal'!$E:$E,'GEM(2024)_Coal'!$H:$H,F$32)+SUMIFS('GEM(2024)_Coal'!$G:$G,'GEM(2024)_Coal'!$H:$H,F$32)+SUMIFS('GEM(2024)_Coal'!$F:$F,'GEM(2024)_Coal'!$H:$H,F$32)),1)</f>
        <v>0.36396181384248211</v>
      </c>
      <c r="G34" s="173">
        <f>IFERROR((SUMIFS('GEM(2024)_Coal'!$C:$C,'GEM(2024)_Coal'!$H:$H,G$32)+SUMIFS('GEM(2024)_Coal'!$D:$D,'GEM(2024)_Coal'!$H:$H,G$32)+SUMIFS('GEM(2024)_Coal'!$G:$G,'GEM(2024)_Coal'!$H:$H,G$32)+SUMIFS('GEM(2024)_Coal'!$F:$F,'GEM(2024)_Coal'!$H:$H,G$32))/(SUMIFS('GEM(2024)_Coal'!$B:$B,'GEM(2024)_Coal'!$H:$H,G$32)+SUMIFS('GEM(2024)_Coal'!$C:$C,'GEM(2024)_Coal'!$H:$H,G$32)+SUMIFS('GEM(2024)_Coal'!$D:$D,'GEM(2024)_Coal'!$H:$H,G$32)+SUMIFS('GEM(2024)_Coal'!$E:$E,'GEM(2024)_Coal'!$H:$H,G$32)+SUMIFS('GEM(2024)_Coal'!$G:$G,'GEM(2024)_Coal'!$H:$H,G$32)+SUMIFS('GEM(2024)_Coal'!$F:$F,'GEM(2024)_Coal'!$H:$H,G$32)),1)</f>
        <v>7.3684210526315783E-2</v>
      </c>
      <c r="H34" s="173">
        <f>IFERROR((SUMIFS('GEM(2024)_Coal'!$C:$C,'GEM(2024)_Coal'!$H:$H,H$32)+SUMIFS('GEM(2024)_Coal'!$D:$D,'GEM(2024)_Coal'!$H:$H,H$32)+SUMIFS('GEM(2024)_Coal'!$G:$G,'GEM(2024)_Coal'!$H:$H,H$32)+SUMIFS('GEM(2024)_Coal'!$F:$F,'GEM(2024)_Coal'!$H:$H,H$32))/(SUMIFS('GEM(2024)_Coal'!$B:$B,'GEM(2024)_Coal'!$H:$H,H$32)+SUMIFS('GEM(2024)_Coal'!$C:$C,'GEM(2024)_Coal'!$H:$H,H$32)+SUMIFS('GEM(2024)_Coal'!$D:$D,'GEM(2024)_Coal'!$H:$H,H$32)+SUMIFS('GEM(2024)_Coal'!$E:$E,'GEM(2024)_Coal'!$H:$H,H$32)+SUMIFS('GEM(2024)_Coal'!$G:$G,'GEM(2024)_Coal'!$H:$H,H$32)+SUMIFS('GEM(2024)_Coal'!$F:$F,'GEM(2024)_Coal'!$H:$H,H$32)),1)</f>
        <v>0.71698113207547165</v>
      </c>
      <c r="I34" s="173">
        <f>IFERROR((SUMIFS('GEM(2024)_Coal'!$C:$C,'GEM(2024)_Coal'!$H:$H,I$32)+SUMIFS('GEM(2024)_Coal'!$D:$D,'GEM(2024)_Coal'!$H:$H,I$32)+SUMIFS('GEM(2024)_Coal'!$G:$G,'GEM(2024)_Coal'!$H:$H,I$32)+SUMIFS('GEM(2024)_Coal'!$F:$F,'GEM(2024)_Coal'!$H:$H,I$32))/(SUMIFS('GEM(2024)_Coal'!$B:$B,'GEM(2024)_Coal'!$H:$H,I$32)+SUMIFS('GEM(2024)_Coal'!$C:$C,'GEM(2024)_Coal'!$H:$H,I$32)+SUMIFS('GEM(2024)_Coal'!$D:$D,'GEM(2024)_Coal'!$H:$H,I$32)+SUMIFS('GEM(2024)_Coal'!$E:$E,'GEM(2024)_Coal'!$H:$H,I$32)+SUMIFS('GEM(2024)_Coal'!$G:$G,'GEM(2024)_Coal'!$H:$H,I$32)+SUMIFS('GEM(2024)_Coal'!$F:$F,'GEM(2024)_Coal'!$H:$H,I$32)),1)</f>
        <v>0</v>
      </c>
      <c r="J34" s="173">
        <f>IFERROR((SUMIFS('GEM(2024)_Coal'!$C:$C,'GEM(2024)_Coal'!$H:$H,J$32)+SUMIFS('GEM(2024)_Coal'!$D:$D,'GEM(2024)_Coal'!$H:$H,J$32)+SUMIFS('GEM(2024)_Coal'!$G:$G,'GEM(2024)_Coal'!$H:$H,J$32)+SUMIFS('GEM(2024)_Coal'!$F:$F,'GEM(2024)_Coal'!$H:$H,J$32))/(SUMIFS('GEM(2024)_Coal'!$B:$B,'GEM(2024)_Coal'!$H:$H,J$32)+SUMIFS('GEM(2024)_Coal'!$C:$C,'GEM(2024)_Coal'!$H:$H,J$32)+SUMIFS('GEM(2024)_Coal'!$D:$D,'GEM(2024)_Coal'!$H:$H,J$32)+SUMIFS('GEM(2024)_Coal'!$E:$E,'GEM(2024)_Coal'!$H:$H,J$32)+SUMIFS('GEM(2024)_Coal'!$G:$G,'GEM(2024)_Coal'!$H:$H,J$32)+SUMIFS('GEM(2024)_Coal'!$F:$F,'GEM(2024)_Coal'!$H:$H,J$32)),1)</f>
        <v>0.33333333333333331</v>
      </c>
      <c r="K34" s="173">
        <f>IFERROR((SUMIFS('GEM(2024)_Coal'!$C:$C,'GEM(2024)_Coal'!$H:$H,K$32)+SUMIFS('GEM(2024)_Coal'!$D:$D,'GEM(2024)_Coal'!$H:$H,K$32)+SUMIFS('GEM(2024)_Coal'!$G:$G,'GEM(2024)_Coal'!$H:$H,K$32)+SUMIFS('GEM(2024)_Coal'!$F:$F,'GEM(2024)_Coal'!$H:$H,K$32))/(SUMIFS('GEM(2024)_Coal'!$B:$B,'GEM(2024)_Coal'!$H:$H,K$32)+SUMIFS('GEM(2024)_Coal'!$C:$C,'GEM(2024)_Coal'!$H:$H,K$32)+SUMIFS('GEM(2024)_Coal'!$D:$D,'GEM(2024)_Coal'!$H:$H,K$32)+SUMIFS('GEM(2024)_Coal'!$E:$E,'GEM(2024)_Coal'!$H:$H,K$32)+SUMIFS('GEM(2024)_Coal'!$G:$G,'GEM(2024)_Coal'!$H:$H,K$32)+SUMIFS('GEM(2024)_Coal'!$F:$F,'GEM(2024)_Coal'!$H:$H,K$32)),1)</f>
        <v>0.12820512820512819</v>
      </c>
      <c r="L34" s="173">
        <f>IFERROR((SUMIFS('GEM(2024)_Coal'!$C:$C,'GEM(2024)_Coal'!$H:$H,L$32)+SUMIFS('GEM(2024)_Coal'!$D:$D,'GEM(2024)_Coal'!$H:$H,L$32)+SUMIFS('GEM(2024)_Coal'!$G:$G,'GEM(2024)_Coal'!$H:$H,L$32)+SUMIFS('GEM(2024)_Coal'!$F:$F,'GEM(2024)_Coal'!$H:$H,L$32))/(SUMIFS('GEM(2024)_Coal'!$B:$B,'GEM(2024)_Coal'!$H:$H,L$32)+SUMIFS('GEM(2024)_Coal'!$C:$C,'GEM(2024)_Coal'!$H:$H,L$32)+SUMIFS('GEM(2024)_Coal'!$D:$D,'GEM(2024)_Coal'!$H:$H,L$32)+SUMIFS('GEM(2024)_Coal'!$E:$E,'GEM(2024)_Coal'!$H:$H,L$32)+SUMIFS('GEM(2024)_Coal'!$G:$G,'GEM(2024)_Coal'!$H:$H,L$32)+SUMIFS('GEM(2024)_Coal'!$F:$F,'GEM(2024)_Coal'!$H:$H,L$32)),1)</f>
        <v>1</v>
      </c>
      <c r="M34" s="173">
        <f>IFERROR((SUMIFS('GEM(2024)_Coal'!$C:$C,'GEM(2024)_Coal'!$H:$H,M$32)+SUMIFS('GEM(2024)_Coal'!$D:$D,'GEM(2024)_Coal'!$H:$H,M$32)+SUMIFS('GEM(2024)_Coal'!$G:$G,'GEM(2024)_Coal'!$H:$H,M$32)+SUMIFS('GEM(2024)_Coal'!$F:$F,'GEM(2024)_Coal'!$H:$H,M$32))/(SUMIFS('GEM(2024)_Coal'!$B:$B,'GEM(2024)_Coal'!$H:$H,M$32)+SUMIFS('GEM(2024)_Coal'!$C:$C,'GEM(2024)_Coal'!$H:$H,M$32)+SUMIFS('GEM(2024)_Coal'!$D:$D,'GEM(2024)_Coal'!$H:$H,M$32)+SUMIFS('GEM(2024)_Coal'!$E:$E,'GEM(2024)_Coal'!$H:$H,M$32)+SUMIFS('GEM(2024)_Coal'!$G:$G,'GEM(2024)_Coal'!$H:$H,M$32)+SUMIFS('GEM(2024)_Coal'!$F:$F,'GEM(2024)_Coal'!$H:$H,M$32)),1)</f>
        <v>0.76291549859831798</v>
      </c>
      <c r="N34" s="173">
        <f>IFERROR((SUMIFS('GEM(2024)_Coal'!$C:$C,'GEM(2024)_Coal'!$H:$H,N$32)+SUMIFS('GEM(2024)_Coal'!$D:$D,'GEM(2024)_Coal'!$H:$H,N$32)+SUMIFS('GEM(2024)_Coal'!$G:$G,'GEM(2024)_Coal'!$H:$H,N$32)+SUMIFS('GEM(2024)_Coal'!$F:$F,'GEM(2024)_Coal'!$H:$H,N$32))/(SUMIFS('GEM(2024)_Coal'!$B:$B,'GEM(2024)_Coal'!$H:$H,N$32)+SUMIFS('GEM(2024)_Coal'!$C:$C,'GEM(2024)_Coal'!$H:$H,N$32)+SUMIFS('GEM(2024)_Coal'!$D:$D,'GEM(2024)_Coal'!$H:$H,N$32)+SUMIFS('GEM(2024)_Coal'!$E:$E,'GEM(2024)_Coal'!$H:$H,N$32)+SUMIFS('GEM(2024)_Coal'!$G:$G,'GEM(2024)_Coal'!$H:$H,N$32)+SUMIFS('GEM(2024)_Coal'!$F:$F,'GEM(2024)_Coal'!$H:$H,N$32)),1)</f>
        <v>0.30909090909090908</v>
      </c>
      <c r="O34" s="173">
        <f>IFERROR((SUMIFS('GEM(2024)_Coal'!$C:$C,'GEM(2024)_Coal'!$H:$H,O$32)+SUMIFS('GEM(2024)_Coal'!$D:$D,'GEM(2024)_Coal'!$H:$H,O$32)+SUMIFS('GEM(2024)_Coal'!$G:$G,'GEM(2024)_Coal'!$H:$H,O$32)+SUMIFS('GEM(2024)_Coal'!$F:$F,'GEM(2024)_Coal'!$H:$H,O$32))/(SUMIFS('GEM(2024)_Coal'!$B:$B,'GEM(2024)_Coal'!$H:$H,O$32)+SUMIFS('GEM(2024)_Coal'!$C:$C,'GEM(2024)_Coal'!$H:$H,O$32)+SUMIFS('GEM(2024)_Coal'!$D:$D,'GEM(2024)_Coal'!$H:$H,O$32)+SUMIFS('GEM(2024)_Coal'!$E:$E,'GEM(2024)_Coal'!$H:$H,O$32)+SUMIFS('GEM(2024)_Coal'!$G:$G,'GEM(2024)_Coal'!$H:$H,O$32)+SUMIFS('GEM(2024)_Coal'!$F:$F,'GEM(2024)_Coal'!$H:$H,O$32)),1)</f>
        <v>1</v>
      </c>
      <c r="P34" s="173">
        <f>IFERROR((SUMIFS('GEM(2024)_Coal'!$C:$C,'GEM(2024)_Coal'!$H:$H,P$32)+SUMIFS('GEM(2024)_Coal'!$D:$D,'GEM(2024)_Coal'!$H:$H,P$32)+SUMIFS('GEM(2024)_Coal'!$G:$G,'GEM(2024)_Coal'!$H:$H,P$32)+SUMIFS('GEM(2024)_Coal'!$F:$F,'GEM(2024)_Coal'!$H:$H,P$32))/(SUMIFS('GEM(2024)_Coal'!$B:$B,'GEM(2024)_Coal'!$H:$H,P$32)+SUMIFS('GEM(2024)_Coal'!$C:$C,'GEM(2024)_Coal'!$H:$H,P$32)+SUMIFS('GEM(2024)_Coal'!$D:$D,'GEM(2024)_Coal'!$H:$H,P$32)+SUMIFS('GEM(2024)_Coal'!$E:$E,'GEM(2024)_Coal'!$H:$H,P$32)+SUMIFS('GEM(2024)_Coal'!$G:$G,'GEM(2024)_Coal'!$H:$H,P$32)+SUMIFS('GEM(2024)_Coal'!$F:$F,'GEM(2024)_Coal'!$H:$H,P$32)),1)</f>
        <v>0.23300970873786409</v>
      </c>
      <c r="Q34" s="173">
        <f>IFERROR((SUMIFS('GEM(2024)_Coal'!$C:$C,'GEM(2024)_Coal'!$H:$H,Q$32)+SUMIFS('GEM(2024)_Coal'!$D:$D,'GEM(2024)_Coal'!$H:$H,Q$32)+SUMIFS('GEM(2024)_Coal'!$G:$G,'GEM(2024)_Coal'!$H:$H,Q$32)+SUMIFS('GEM(2024)_Coal'!$F:$F,'GEM(2024)_Coal'!$H:$H,Q$32))/(SUMIFS('GEM(2024)_Coal'!$B:$B,'GEM(2024)_Coal'!$H:$H,Q$32)+SUMIFS('GEM(2024)_Coal'!$C:$C,'GEM(2024)_Coal'!$H:$H,Q$32)+SUMIFS('GEM(2024)_Coal'!$D:$D,'GEM(2024)_Coal'!$H:$H,Q$32)+SUMIFS('GEM(2024)_Coal'!$E:$E,'GEM(2024)_Coal'!$H:$H,Q$32)+SUMIFS('GEM(2024)_Coal'!$G:$G,'GEM(2024)_Coal'!$H:$H,Q$32)+SUMIFS('GEM(2024)_Coal'!$F:$F,'GEM(2024)_Coal'!$H:$H,Q$32)),1)</f>
        <v>0</v>
      </c>
      <c r="R34" s="173">
        <f>IFERROR((SUMIFS('GEM(2024)_Coal'!$C:$C,'GEM(2024)_Coal'!$H:$H,R$32)+SUMIFS('GEM(2024)_Coal'!$D:$D,'GEM(2024)_Coal'!$H:$H,R$32)+SUMIFS('GEM(2024)_Coal'!$G:$G,'GEM(2024)_Coal'!$H:$H,R$32)+SUMIFS('GEM(2024)_Coal'!$F:$F,'GEM(2024)_Coal'!$H:$H,R$32))/(SUMIFS('GEM(2024)_Coal'!$B:$B,'GEM(2024)_Coal'!$H:$H,R$32)+SUMIFS('GEM(2024)_Coal'!$C:$C,'GEM(2024)_Coal'!$H:$H,R$32)+SUMIFS('GEM(2024)_Coal'!$D:$D,'GEM(2024)_Coal'!$H:$H,R$32)+SUMIFS('GEM(2024)_Coal'!$E:$E,'GEM(2024)_Coal'!$H:$H,R$32)+SUMIFS('GEM(2024)_Coal'!$G:$G,'GEM(2024)_Coal'!$H:$H,R$32)+SUMIFS('GEM(2024)_Coal'!$F:$F,'GEM(2024)_Coal'!$H:$H,R$32)),1)</f>
        <v>0</v>
      </c>
      <c r="S34" s="173">
        <f>IFERROR((SUMIFS('GEM(2024)_Coal'!$C:$C,'GEM(2024)_Coal'!$H:$H,S$32)+SUMIFS('GEM(2024)_Coal'!$D:$D,'GEM(2024)_Coal'!$H:$H,S$32)+SUMIFS('GEM(2024)_Coal'!$G:$G,'GEM(2024)_Coal'!$H:$H,S$32)+SUMIFS('GEM(2024)_Coal'!$F:$F,'GEM(2024)_Coal'!$H:$H,S$32))/(SUMIFS('GEM(2024)_Coal'!$B:$B,'GEM(2024)_Coal'!$H:$H,S$32)+SUMIFS('GEM(2024)_Coal'!$C:$C,'GEM(2024)_Coal'!$H:$H,S$32)+SUMIFS('GEM(2024)_Coal'!$D:$D,'GEM(2024)_Coal'!$H:$H,S$32)+SUMIFS('GEM(2024)_Coal'!$E:$E,'GEM(2024)_Coal'!$H:$H,S$32)+SUMIFS('GEM(2024)_Coal'!$G:$G,'GEM(2024)_Coal'!$H:$H,S$32)+SUMIFS('GEM(2024)_Coal'!$F:$F,'GEM(2024)_Coal'!$H:$H,S$32)),1)</f>
        <v>0.10140845070422536</v>
      </c>
      <c r="T34" s="173">
        <f>IFERROR((SUMIFS('GEM(2024)_Coal'!$C:$C,'GEM(2024)_Coal'!$H:$H,T$32)+SUMIFS('GEM(2024)_Coal'!$D:$D,'GEM(2024)_Coal'!$H:$H,T$32)+SUMIFS('GEM(2024)_Coal'!$G:$G,'GEM(2024)_Coal'!$H:$H,T$32)+SUMIFS('GEM(2024)_Coal'!$F:$F,'GEM(2024)_Coal'!$H:$H,T$32))/(SUMIFS('GEM(2024)_Coal'!$B:$B,'GEM(2024)_Coal'!$H:$H,T$32)+SUMIFS('GEM(2024)_Coal'!$C:$C,'GEM(2024)_Coal'!$H:$H,T$32)+SUMIFS('GEM(2024)_Coal'!$D:$D,'GEM(2024)_Coal'!$H:$H,T$32)+SUMIFS('GEM(2024)_Coal'!$E:$E,'GEM(2024)_Coal'!$H:$H,T$32)+SUMIFS('GEM(2024)_Coal'!$G:$G,'GEM(2024)_Coal'!$H:$H,T$32)+SUMIFS('GEM(2024)_Coal'!$F:$F,'GEM(2024)_Coal'!$H:$H,T$32)),1)</f>
        <v>8.5243553008595985E-2</v>
      </c>
      <c r="U34" s="173">
        <f>IFERROR((SUMIFS('GEM(2024)_Coal'!$C:$C,'GEM(2024)_Coal'!$H:$H,U$32)+SUMIFS('GEM(2024)_Coal'!$D:$D,'GEM(2024)_Coal'!$H:$H,U$32)+SUMIFS('GEM(2024)_Coal'!$G:$G,'GEM(2024)_Coal'!$H:$H,U$32)+SUMIFS('GEM(2024)_Coal'!$F:$F,'GEM(2024)_Coal'!$H:$H,U$32))/(SUMIFS('GEM(2024)_Coal'!$B:$B,'GEM(2024)_Coal'!$H:$H,U$32)+SUMIFS('GEM(2024)_Coal'!$C:$C,'GEM(2024)_Coal'!$H:$H,U$32)+SUMIFS('GEM(2024)_Coal'!$D:$D,'GEM(2024)_Coal'!$H:$H,U$32)+SUMIFS('GEM(2024)_Coal'!$E:$E,'GEM(2024)_Coal'!$H:$H,U$32)+SUMIFS('GEM(2024)_Coal'!$G:$G,'GEM(2024)_Coal'!$H:$H,U$32)+SUMIFS('GEM(2024)_Coal'!$F:$F,'GEM(2024)_Coal'!$H:$H,U$32)),1)</f>
        <v>1</v>
      </c>
      <c r="V34" s="173">
        <f>IFERROR((SUMIFS('GEM(2024)_Coal'!$C:$C,'GEM(2024)_Coal'!$H:$H,V$32)+SUMIFS('GEM(2024)_Coal'!$D:$D,'GEM(2024)_Coal'!$H:$H,V$32)+SUMIFS('GEM(2024)_Coal'!$G:$G,'GEM(2024)_Coal'!$H:$H,V$32)+SUMIFS('GEM(2024)_Coal'!$F:$F,'GEM(2024)_Coal'!$H:$H,V$32))/(SUMIFS('GEM(2024)_Coal'!$B:$B,'GEM(2024)_Coal'!$H:$H,V$32)+SUMIFS('GEM(2024)_Coal'!$C:$C,'GEM(2024)_Coal'!$H:$H,V$32)+SUMIFS('GEM(2024)_Coal'!$D:$D,'GEM(2024)_Coal'!$H:$H,V$32)+SUMIFS('GEM(2024)_Coal'!$E:$E,'GEM(2024)_Coal'!$H:$H,V$32)+SUMIFS('GEM(2024)_Coal'!$G:$G,'GEM(2024)_Coal'!$H:$H,V$32)+SUMIFS('GEM(2024)_Coal'!$F:$F,'GEM(2024)_Coal'!$H:$H,V$32)),1)</f>
        <v>0.15714285714285714</v>
      </c>
      <c r="W34" s="173">
        <f>IFERROR((SUMIFS('GEM(2024)_Coal'!$C:$C,'GEM(2024)_Coal'!$H:$H,W$32)+SUMIFS('GEM(2024)_Coal'!$D:$D,'GEM(2024)_Coal'!$H:$H,W$32)+SUMIFS('GEM(2024)_Coal'!$G:$G,'GEM(2024)_Coal'!$H:$H,W$32)+SUMIFS('GEM(2024)_Coal'!$F:$F,'GEM(2024)_Coal'!$H:$H,W$32))/(SUMIFS('GEM(2024)_Coal'!$B:$B,'GEM(2024)_Coal'!$H:$H,W$32)+SUMIFS('GEM(2024)_Coal'!$C:$C,'GEM(2024)_Coal'!$H:$H,W$32)+SUMIFS('GEM(2024)_Coal'!$D:$D,'GEM(2024)_Coal'!$H:$H,W$32)+SUMIFS('GEM(2024)_Coal'!$E:$E,'GEM(2024)_Coal'!$H:$H,W$32)+SUMIFS('GEM(2024)_Coal'!$G:$G,'GEM(2024)_Coal'!$H:$H,W$32)+SUMIFS('GEM(2024)_Coal'!$F:$F,'GEM(2024)_Coal'!$H:$H,W$32)),1)</f>
        <v>0.52747252747252749</v>
      </c>
      <c r="X34" s="173">
        <f>IFERROR((SUMIFS('GEM(2024)_Coal'!$C:$C,'GEM(2024)_Coal'!$H:$H,X$32)+SUMIFS('GEM(2024)_Coal'!$D:$D,'GEM(2024)_Coal'!$H:$H,X$32)+SUMIFS('GEM(2024)_Coal'!$G:$G,'GEM(2024)_Coal'!$H:$H,X$32)+SUMIFS('GEM(2024)_Coal'!$F:$F,'GEM(2024)_Coal'!$H:$H,X$32))/(SUMIFS('GEM(2024)_Coal'!$B:$B,'GEM(2024)_Coal'!$H:$H,X$32)+SUMIFS('GEM(2024)_Coal'!$C:$C,'GEM(2024)_Coal'!$H:$H,X$32)+SUMIFS('GEM(2024)_Coal'!$D:$D,'GEM(2024)_Coal'!$H:$H,X$32)+SUMIFS('GEM(2024)_Coal'!$E:$E,'GEM(2024)_Coal'!$H:$H,X$32)+SUMIFS('GEM(2024)_Coal'!$G:$G,'GEM(2024)_Coal'!$H:$H,X$32)+SUMIFS('GEM(2024)_Coal'!$F:$F,'GEM(2024)_Coal'!$H:$H,X$32)),1)</f>
        <v>0</v>
      </c>
      <c r="Y34" s="173">
        <f>IFERROR((SUMIFS('GEM(2024)_Coal'!$C:$C,'GEM(2024)_Coal'!$H:$H,Y$32)+SUMIFS('GEM(2024)_Coal'!$D:$D,'GEM(2024)_Coal'!$H:$H,Y$32)+SUMIFS('GEM(2024)_Coal'!$G:$G,'GEM(2024)_Coal'!$H:$H,Y$32)+SUMIFS('GEM(2024)_Coal'!$F:$F,'GEM(2024)_Coal'!$H:$H,Y$32))/(SUMIFS('GEM(2024)_Coal'!$B:$B,'GEM(2024)_Coal'!$H:$H,Y$32)+SUMIFS('GEM(2024)_Coal'!$C:$C,'GEM(2024)_Coal'!$H:$H,Y$32)+SUMIFS('GEM(2024)_Coal'!$D:$D,'GEM(2024)_Coal'!$H:$H,Y$32)+SUMIFS('GEM(2024)_Coal'!$E:$E,'GEM(2024)_Coal'!$H:$H,Y$32)+SUMIFS('GEM(2024)_Coal'!$G:$G,'GEM(2024)_Coal'!$H:$H,Y$32)+SUMIFS('GEM(2024)_Coal'!$F:$F,'GEM(2024)_Coal'!$H:$H,Y$32)),1)</f>
        <v>0.9</v>
      </c>
      <c r="Z34" s="173">
        <f>IFERROR((SUMIFS('GEM(2024)_Coal'!$C:$C,'GEM(2024)_Coal'!$H:$H,Z$32)+SUMIFS('GEM(2024)_Coal'!$D:$D,'GEM(2024)_Coal'!$H:$H,Z$32)+SUMIFS('GEM(2024)_Coal'!$G:$G,'GEM(2024)_Coal'!$H:$H,Z$32)+SUMIFS('GEM(2024)_Coal'!$F:$F,'GEM(2024)_Coal'!$H:$H,Z$32))/(SUMIFS('GEM(2024)_Coal'!$B:$B,'GEM(2024)_Coal'!$H:$H,Z$32)+SUMIFS('GEM(2024)_Coal'!$C:$C,'GEM(2024)_Coal'!$H:$H,Z$32)+SUMIFS('GEM(2024)_Coal'!$D:$D,'GEM(2024)_Coal'!$H:$H,Z$32)+SUMIFS('GEM(2024)_Coal'!$E:$E,'GEM(2024)_Coal'!$H:$H,Z$32)+SUMIFS('GEM(2024)_Coal'!$G:$G,'GEM(2024)_Coal'!$H:$H,Z$32)+SUMIFS('GEM(2024)_Coal'!$F:$F,'GEM(2024)_Coal'!$H:$H,Z$32)),1)</f>
        <v>1</v>
      </c>
      <c r="AA34" s="173">
        <f>IFERROR((SUMIFS('GEM(2024)_Coal'!$C:$C,'GEM(2024)_Coal'!$H:$H,AA$32)+SUMIFS('GEM(2024)_Coal'!$D:$D,'GEM(2024)_Coal'!$H:$H,AA$32)+SUMIFS('GEM(2024)_Coal'!$G:$G,'GEM(2024)_Coal'!$H:$H,AA$32)+SUMIFS('GEM(2024)_Coal'!$F:$F,'GEM(2024)_Coal'!$H:$H,AA$32))/(SUMIFS('GEM(2024)_Coal'!$B:$B,'GEM(2024)_Coal'!$H:$H,AA$32)+SUMIFS('GEM(2024)_Coal'!$C:$C,'GEM(2024)_Coal'!$H:$H,AA$32)+SUMIFS('GEM(2024)_Coal'!$D:$D,'GEM(2024)_Coal'!$H:$H,AA$32)+SUMIFS('GEM(2024)_Coal'!$E:$E,'GEM(2024)_Coal'!$H:$H,AA$32)+SUMIFS('GEM(2024)_Coal'!$G:$G,'GEM(2024)_Coal'!$H:$H,AA$32)+SUMIFS('GEM(2024)_Coal'!$F:$F,'GEM(2024)_Coal'!$H:$H,AA$32)),1)</f>
        <v>0.22051282051282051</v>
      </c>
      <c r="AB34" s="173">
        <f>IFERROR((SUMIFS('GEM(2024)_Coal'!$C:$C,'GEM(2024)_Coal'!$H:$H,AB$32)+SUMIFS('GEM(2024)_Coal'!$D:$D,'GEM(2024)_Coal'!$H:$H,AB$32)+SUMIFS('GEM(2024)_Coal'!$G:$G,'GEM(2024)_Coal'!$H:$H,AB$32)+SUMIFS('GEM(2024)_Coal'!$F:$F,'GEM(2024)_Coal'!$H:$H,AB$32))/(SUMIFS('GEM(2024)_Coal'!$B:$B,'GEM(2024)_Coal'!$H:$H,AB$32)+SUMIFS('GEM(2024)_Coal'!$C:$C,'GEM(2024)_Coal'!$H:$H,AB$32)+SUMIFS('GEM(2024)_Coal'!$D:$D,'GEM(2024)_Coal'!$H:$H,AB$32)+SUMIFS('GEM(2024)_Coal'!$E:$E,'GEM(2024)_Coal'!$H:$H,AB$32)+SUMIFS('GEM(2024)_Coal'!$G:$G,'GEM(2024)_Coal'!$H:$H,AB$32)+SUMIFS('GEM(2024)_Coal'!$F:$F,'GEM(2024)_Coal'!$H:$H,AB$32)),1)</f>
        <v>1</v>
      </c>
      <c r="AC34" s="173">
        <f>IFERROR((SUMIFS('GEM(2024)_Coal'!$C:$C,'GEM(2024)_Coal'!$H:$H,AC$32)+SUMIFS('GEM(2024)_Coal'!$D:$D,'GEM(2024)_Coal'!$H:$H,AC$32)+SUMIFS('GEM(2024)_Coal'!$G:$G,'GEM(2024)_Coal'!$H:$H,AC$32)+SUMIFS('GEM(2024)_Coal'!$F:$F,'GEM(2024)_Coal'!$H:$H,AC$32))/(SUMIFS('GEM(2024)_Coal'!$B:$B,'GEM(2024)_Coal'!$H:$H,AC$32)+SUMIFS('GEM(2024)_Coal'!$C:$C,'GEM(2024)_Coal'!$H:$H,AC$32)+SUMIFS('GEM(2024)_Coal'!$D:$D,'GEM(2024)_Coal'!$H:$H,AC$32)+SUMIFS('GEM(2024)_Coal'!$E:$E,'GEM(2024)_Coal'!$H:$H,AC$32)+SUMIFS('GEM(2024)_Coal'!$G:$G,'GEM(2024)_Coal'!$H:$H,AC$32)+SUMIFS('GEM(2024)_Coal'!$F:$F,'GEM(2024)_Coal'!$H:$H,AC$32)),1)</f>
        <v>0.3646055437100213</v>
      </c>
    </row>
    <row r="35" spans="1:30">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row>
    <row r="37" spans="1:30">
      <c r="A37" s="345" t="s">
        <v>989</v>
      </c>
      <c r="D37" s="174"/>
    </row>
    <row r="39" spans="1:30">
      <c r="A39" s="351" t="s">
        <v>990</v>
      </c>
      <c r="B39" s="358"/>
      <c r="C39" s="358" t="s">
        <v>172</v>
      </c>
      <c r="D39" s="358" t="s">
        <v>175</v>
      </c>
      <c r="E39" s="358" t="s">
        <v>178</v>
      </c>
      <c r="F39" s="358" t="s">
        <v>181</v>
      </c>
      <c r="G39" s="358" t="s">
        <v>184</v>
      </c>
      <c r="H39" s="358" t="s">
        <v>187</v>
      </c>
      <c r="I39" s="358" t="s">
        <v>190</v>
      </c>
      <c r="J39" s="358" t="s">
        <v>193</v>
      </c>
      <c r="K39" s="358" t="s">
        <v>196</v>
      </c>
      <c r="L39" s="358" t="s">
        <v>198</v>
      </c>
      <c r="M39" s="358" t="s">
        <v>200</v>
      </c>
      <c r="N39" s="358" t="s">
        <v>202</v>
      </c>
      <c r="O39" s="358" t="s">
        <v>205</v>
      </c>
      <c r="P39" s="358" t="s">
        <v>208</v>
      </c>
      <c r="Q39" s="358" t="s">
        <v>211</v>
      </c>
      <c r="R39" s="358" t="s">
        <v>214</v>
      </c>
      <c r="S39" s="358" t="s">
        <v>217</v>
      </c>
      <c r="T39" s="358" t="s">
        <v>220</v>
      </c>
      <c r="U39" s="358" t="s">
        <v>223</v>
      </c>
      <c r="V39" s="358" t="s">
        <v>225</v>
      </c>
      <c r="W39" s="358" t="s">
        <v>227</v>
      </c>
      <c r="X39" s="358" t="s">
        <v>230</v>
      </c>
      <c r="Y39" s="358" t="s">
        <v>233</v>
      </c>
      <c r="Z39" s="358" t="s">
        <v>236</v>
      </c>
      <c r="AA39" s="358" t="s">
        <v>238</v>
      </c>
      <c r="AB39" s="358" t="s">
        <v>240</v>
      </c>
      <c r="AC39" s="358" t="s">
        <v>243</v>
      </c>
      <c r="AD39" s="228" t="s">
        <v>245</v>
      </c>
    </row>
    <row r="40" spans="1:30">
      <c r="A40" s="215"/>
      <c r="C40" t="s">
        <v>991</v>
      </c>
      <c r="D40" t="s">
        <v>991</v>
      </c>
      <c r="E40" t="s">
        <v>991</v>
      </c>
      <c r="F40" t="s">
        <v>991</v>
      </c>
      <c r="G40" t="s">
        <v>991</v>
      </c>
      <c r="H40" t="s">
        <v>991</v>
      </c>
      <c r="I40" t="s">
        <v>991</v>
      </c>
      <c r="J40" t="s">
        <v>991</v>
      </c>
      <c r="K40" t="s">
        <v>991</v>
      </c>
      <c r="L40" t="s">
        <v>991</v>
      </c>
      <c r="M40" t="s">
        <v>991</v>
      </c>
      <c r="N40" t="s">
        <v>991</v>
      </c>
      <c r="O40" t="s">
        <v>991</v>
      </c>
      <c r="P40" t="s">
        <v>991</v>
      </c>
      <c r="Q40" t="s">
        <v>991</v>
      </c>
      <c r="R40" t="s">
        <v>991</v>
      </c>
      <c r="S40" t="s">
        <v>991</v>
      </c>
      <c r="T40" t="s">
        <v>991</v>
      </c>
      <c r="U40" t="s">
        <v>991</v>
      </c>
      <c r="V40" t="s">
        <v>991</v>
      </c>
      <c r="W40" t="s">
        <v>991</v>
      </c>
      <c r="X40" t="s">
        <v>991</v>
      </c>
      <c r="Y40" t="s">
        <v>991</v>
      </c>
      <c r="Z40" t="s">
        <v>991</v>
      </c>
      <c r="AA40" t="s">
        <v>991</v>
      </c>
      <c r="AB40" t="s">
        <v>991</v>
      </c>
      <c r="AC40" t="s">
        <v>991</v>
      </c>
      <c r="AD40" s="218" t="s">
        <v>991</v>
      </c>
    </row>
    <row r="41" spans="1:30">
      <c r="A41" s="215" t="s">
        <v>992</v>
      </c>
      <c r="B41" t="s">
        <v>993</v>
      </c>
      <c r="C41" s="467">
        <f>(('IPCC(2006)'!$B$33*'IPCC(2006)'!$B$34+'IPCC(2006)'!$B$36*'IPCC(2006)'!$B$37)*B$34+('IPCC(2006)'!$B$48*'IPCC(2006)'!$B$49+'IPCC(2006)'!$B$51*'IPCC(2006)'!$B$52)*B$33)*10^3/(AVERAGE(Legend!$B$89,Legend!$B$90)*10^-3)</f>
        <v>0.58322717622080678</v>
      </c>
      <c r="D41" s="467">
        <f>(('IPCC(2006)'!$B$33*'IPCC(2006)'!$B$34+'IPCC(2006)'!$B$36*'IPCC(2006)'!$B$37)*C$34+('IPCC(2006)'!$B$48*'IPCC(2006)'!$B$49+'IPCC(2006)'!$B$51*'IPCC(2006)'!$B$52)*C$33)*10^3/(AVERAGE(Legend!$B$89,Legend!$B$90)*10^-3)</f>
        <v>0.58322717622080678</v>
      </c>
      <c r="E41" s="467">
        <f>(('IPCC(2006)'!$B$33*'IPCC(2006)'!$B$34+'IPCC(2006)'!$B$36*'IPCC(2006)'!$B$37)*D$34+('IPCC(2006)'!$B$48*'IPCC(2006)'!$B$49+'IPCC(2006)'!$B$51*'IPCC(2006)'!$B$52)*D$33)*10^3/(AVERAGE(Legend!$B$89,Legend!$B$90)*10^-3)</f>
        <v>3.6985138004246285E-2</v>
      </c>
      <c r="F41" s="467">
        <f>(('IPCC(2006)'!$B$33*'IPCC(2006)'!$B$34+'IPCC(2006)'!$B$36*'IPCC(2006)'!$B$37)*E$34+('IPCC(2006)'!$B$48*'IPCC(2006)'!$B$49+'IPCC(2006)'!$B$51*'IPCC(2006)'!$B$52)*E$33)*10^3/(AVERAGE(Legend!$B$89,Legend!$B$90)*10^-3)</f>
        <v>0.26711488558622315</v>
      </c>
      <c r="G41" s="467">
        <f>(('IPCC(2006)'!$B$33*'IPCC(2006)'!$B$34+'IPCC(2006)'!$B$36*'IPCC(2006)'!$B$37)*F$34+('IPCC(2006)'!$B$48*'IPCC(2006)'!$B$49+'IPCC(2006)'!$B$51*'IPCC(2006)'!$B$52)*F$33)*10^3/(AVERAGE(Legend!$B$89,Legend!$B$90)*10^-3)</f>
        <v>0.23579638103056011</v>
      </c>
      <c r="H41" s="467">
        <f>(('IPCC(2006)'!$B$33*'IPCC(2006)'!$B$34+'IPCC(2006)'!$B$36*'IPCC(2006)'!$B$37)*G$34+('IPCC(2006)'!$B$48*'IPCC(2006)'!$B$49+'IPCC(2006)'!$B$51*'IPCC(2006)'!$B$52)*G$33)*10^3/(AVERAGE(Legend!$B$89,Legend!$B$90)*10^-3)</f>
        <v>7.7234551346519173E-2</v>
      </c>
      <c r="I41" s="467">
        <f>(('IPCC(2006)'!$B$33*'IPCC(2006)'!$B$34+'IPCC(2006)'!$B$36*'IPCC(2006)'!$B$37)*H$34+('IPCC(2006)'!$B$48*'IPCC(2006)'!$B$49+'IPCC(2006)'!$B$51*'IPCC(2006)'!$B$52)*H$33)*10^3/(AVERAGE(Legend!$B$89,Legend!$B$90)*10^-3)</f>
        <v>0.42863037295196893</v>
      </c>
      <c r="J41" s="467">
        <f>(('IPCC(2006)'!$B$33*'IPCC(2006)'!$B$34+'IPCC(2006)'!$B$36*'IPCC(2006)'!$B$37)*I$34+('IPCC(2006)'!$B$48*'IPCC(2006)'!$B$49+'IPCC(2006)'!$B$51*'IPCC(2006)'!$B$52)*I$33)*10^3/(AVERAGE(Legend!$B$89,Legend!$B$90)*10^-3)</f>
        <v>3.6985138004246285E-2</v>
      </c>
      <c r="K41" s="467">
        <f>(('IPCC(2006)'!$B$33*'IPCC(2006)'!$B$34+'IPCC(2006)'!$B$36*'IPCC(2006)'!$B$37)*J$34+('IPCC(2006)'!$B$48*'IPCC(2006)'!$B$49+'IPCC(2006)'!$B$51*'IPCC(2006)'!$B$52)*J$33)*10^3/(AVERAGE(Legend!$B$89,Legend!$B$90)*10^-3)</f>
        <v>0.21906581740976647</v>
      </c>
      <c r="L41" s="467">
        <f>(('IPCC(2006)'!$B$33*'IPCC(2006)'!$B$34+'IPCC(2006)'!$B$36*'IPCC(2006)'!$B$37)*K$34+('IPCC(2006)'!$B$48*'IPCC(2006)'!$B$49+'IPCC(2006)'!$B$51*'IPCC(2006)'!$B$52)*K$33)*10^3/(AVERAGE(Legend!$B$89,Legend!$B$90)*10^-3)</f>
        <v>0.10701616854483097</v>
      </c>
      <c r="M41" s="467">
        <f>(('IPCC(2006)'!$B$33*'IPCC(2006)'!$B$34+'IPCC(2006)'!$B$36*'IPCC(2006)'!$B$37)*L$34+('IPCC(2006)'!$B$48*'IPCC(2006)'!$B$49+'IPCC(2006)'!$B$51*'IPCC(2006)'!$B$52)*L$33)*10^3/(AVERAGE(Legend!$B$89,Legend!$B$90)*10^-3)</f>
        <v>0.58322717622080678</v>
      </c>
      <c r="N41" s="467">
        <f>(('IPCC(2006)'!$B$33*'IPCC(2006)'!$B$34+'IPCC(2006)'!$B$36*'IPCC(2006)'!$B$37)*M$34+('IPCC(2006)'!$B$48*'IPCC(2006)'!$B$49+'IPCC(2006)'!$B$51*'IPCC(2006)'!$B$52)*M$33)*10^3/(AVERAGE(Legend!$B$89,Legend!$B$90)*10^-3)</f>
        <v>0.45372165494559513</v>
      </c>
      <c r="O41" s="467">
        <f>(('IPCC(2006)'!$B$33*'IPCC(2006)'!$B$34+'IPCC(2006)'!$B$36*'IPCC(2006)'!$B$37)*N$34+('IPCC(2006)'!$B$48*'IPCC(2006)'!$B$49+'IPCC(2006)'!$B$51*'IPCC(2006)'!$B$52)*N$33)*10^3/(AVERAGE(Legend!$B$89,Legend!$B$90)*10^-3)</f>
        <v>0.20582358618027408</v>
      </c>
      <c r="P41" s="467">
        <f>(('IPCC(2006)'!$B$33*'IPCC(2006)'!$B$34+'IPCC(2006)'!$B$36*'IPCC(2006)'!$B$37)*O$34+('IPCC(2006)'!$B$48*'IPCC(2006)'!$B$49+'IPCC(2006)'!$B$51*'IPCC(2006)'!$B$52)*O$33)*10^3/(AVERAGE(Legend!$B$89,Legend!$B$90)*10^-3)</f>
        <v>0.58322717622080678</v>
      </c>
      <c r="Q41" s="467">
        <f>(('IPCC(2006)'!$B$33*'IPCC(2006)'!$B$34+'IPCC(2006)'!$B$36*'IPCC(2006)'!$B$37)*P$34+('IPCC(2006)'!$B$48*'IPCC(2006)'!$B$49+'IPCC(2006)'!$B$51*'IPCC(2006)'!$B$52)*P$33)*10^3/(AVERAGE(Legend!$B$89,Legend!$B$90)*10^-3)</f>
        <v>0.16426483622946431</v>
      </c>
      <c r="R41" s="467">
        <f>(('IPCC(2006)'!$B$33*'IPCC(2006)'!$B$34+'IPCC(2006)'!$B$36*'IPCC(2006)'!$B$37)*Q$34+('IPCC(2006)'!$B$48*'IPCC(2006)'!$B$49+'IPCC(2006)'!$B$51*'IPCC(2006)'!$B$52)*Q$33)*10^3/(AVERAGE(Legend!$B$89,Legend!$B$90)*10^-3)</f>
        <v>3.6985138004246285E-2</v>
      </c>
      <c r="S41" s="467">
        <f>(('IPCC(2006)'!$B$33*'IPCC(2006)'!$B$34+'IPCC(2006)'!$B$36*'IPCC(2006)'!$B$37)*R$34+('IPCC(2006)'!$B$48*'IPCC(2006)'!$B$49+'IPCC(2006)'!$B$51*'IPCC(2006)'!$B$52)*R$33)*10^3/(AVERAGE(Legend!$B$89,Legend!$B$90)*10^-3)</f>
        <v>3.6985138004246285E-2</v>
      </c>
      <c r="T41" s="467">
        <f>(('IPCC(2006)'!$B$33*'IPCC(2006)'!$B$34+'IPCC(2006)'!$B$36*'IPCC(2006)'!$B$37)*S$34+('IPCC(2006)'!$B$48*'IPCC(2006)'!$B$49+'IPCC(2006)'!$B$51*'IPCC(2006)'!$B$52)*S$33)*10^3/(AVERAGE(Legend!$B$89,Legend!$B$90)*10^-3)</f>
        <v>9.2378696809305952E-2</v>
      </c>
      <c r="U41" s="467">
        <f>(('IPCC(2006)'!$B$33*'IPCC(2006)'!$B$34+'IPCC(2006)'!$B$36*'IPCC(2006)'!$B$37)*T$34+('IPCC(2006)'!$B$48*'IPCC(2006)'!$B$49+'IPCC(2006)'!$B$51*'IPCC(2006)'!$B$52)*T$33)*10^3/(AVERAGE(Legend!$B$89,Legend!$B$90)*10^-3)</f>
        <v>8.3548750144483167E-2</v>
      </c>
      <c r="V41" s="467">
        <f>(('IPCC(2006)'!$B$33*'IPCC(2006)'!$B$34+'IPCC(2006)'!$B$36*'IPCC(2006)'!$B$37)*U$34+('IPCC(2006)'!$B$48*'IPCC(2006)'!$B$49+'IPCC(2006)'!$B$51*'IPCC(2006)'!$B$52)*U$33)*10^3/(AVERAGE(Legend!$B$89,Legend!$B$90)*10^-3)</f>
        <v>0.58322717622080678</v>
      </c>
      <c r="W41" s="467">
        <f>(('IPCC(2006)'!$B$33*'IPCC(2006)'!$B$34+'IPCC(2006)'!$B$36*'IPCC(2006)'!$B$37)*V$34+('IPCC(2006)'!$B$48*'IPCC(2006)'!$B$49+'IPCC(2006)'!$B$51*'IPCC(2006)'!$B$52)*V$33)*10^3/(AVERAGE(Legend!$B$89,Legend!$B$90)*10^-3)</f>
        <v>0.12282317258113434</v>
      </c>
      <c r="X41" s="467">
        <f>(('IPCC(2006)'!$B$33*'IPCC(2006)'!$B$34+'IPCC(2006)'!$B$36*'IPCC(2006)'!$B$37)*W$34+('IPCC(2006)'!$B$48*'IPCC(2006)'!$B$49+'IPCC(2006)'!$B$51*'IPCC(2006)'!$B$52)*W$33)*10^3/(AVERAGE(Legend!$B$89,Legend!$B$90)*10^-3)</f>
        <v>0.32511280651408042</v>
      </c>
      <c r="Y41" s="467">
        <f>(('IPCC(2006)'!$B$33*'IPCC(2006)'!$B$34+'IPCC(2006)'!$B$36*'IPCC(2006)'!$B$37)*X$34+('IPCC(2006)'!$B$48*'IPCC(2006)'!$B$49+'IPCC(2006)'!$B$51*'IPCC(2006)'!$B$52)*X$33)*10^3/(AVERAGE(Legend!$B$89,Legend!$B$90)*10^-3)</f>
        <v>3.6985138004246285E-2</v>
      </c>
      <c r="Z41" s="467">
        <f>(('IPCC(2006)'!$B$33*'IPCC(2006)'!$B$34+'IPCC(2006)'!$B$36*'IPCC(2006)'!$B$37)*Y$34+('IPCC(2006)'!$B$48*'IPCC(2006)'!$B$49+'IPCC(2006)'!$B$51*'IPCC(2006)'!$B$52)*Y$33)*10^3/(AVERAGE(Legend!$B$89,Legend!$B$90)*10^-3)</f>
        <v>0.52860297239915077</v>
      </c>
      <c r="AA41" s="467">
        <f>(('IPCC(2006)'!$B$33*'IPCC(2006)'!$B$34+'IPCC(2006)'!$B$36*'IPCC(2006)'!$B$37)*Z$34+('IPCC(2006)'!$B$48*'IPCC(2006)'!$B$49+'IPCC(2006)'!$B$51*'IPCC(2006)'!$B$52)*Z$33)*10^3/(AVERAGE(Legend!$B$89,Legend!$B$90)*10^-3)</f>
        <v>0.58322717622080678</v>
      </c>
      <c r="AB41" s="467">
        <f>(('IPCC(2006)'!$B$33*'IPCC(2006)'!$B$34+'IPCC(2006)'!$B$36*'IPCC(2006)'!$B$37)*AA$34+('IPCC(2006)'!$B$48*'IPCC(2006)'!$B$49+'IPCC(2006)'!$B$51*'IPCC(2006)'!$B$52)*AA$33)*10^3/(AVERAGE(Legend!$B$89,Legend!$B$90)*10^-3)</f>
        <v>0.15743851053405192</v>
      </c>
      <c r="AC41" s="467">
        <f>(('IPCC(2006)'!$B$33*'IPCC(2006)'!$B$34+'IPCC(2006)'!$B$36*'IPCC(2006)'!$B$37)*AB$34+('IPCC(2006)'!$B$48*'IPCC(2006)'!$B$49+'IPCC(2006)'!$B$51*'IPCC(2006)'!$B$52)*AB$33)*10^3/(AVERAGE(Legend!$B$89,Legend!$B$90)*10^-3)</f>
        <v>0.58322717622080678</v>
      </c>
      <c r="AD41" s="468">
        <f>(('IPCC(2006)'!$B$33*'IPCC(2006)'!$B$34+'IPCC(2006)'!$B$36*'IPCC(2006)'!$B$37)*AC$34+('IPCC(2006)'!$B$48*'IPCC(2006)'!$B$49+'IPCC(2006)'!$B$51*'IPCC(2006)'!$B$52)*AC$33)*10^3/(AVERAGE(Legend!$B$89,Legend!$B$90)*10^-3)</f>
        <v>0.23614801334546559</v>
      </c>
    </row>
    <row r="42" spans="1:30">
      <c r="A42" s="215" t="s">
        <v>994</v>
      </c>
      <c r="B42" t="s">
        <v>995</v>
      </c>
      <c r="C42" s="209">
        <f>IF(SUMIFS('Region Mapping'!$E:$E,'Region Mapping'!$A:$A,C$39)&gt;0,'IPCC(2006)'!$C$61*1000/Legend!$B$86,'IPCC(2006)'!$G$61*1000/Legend!$B$86)</f>
        <v>0.66666666666666663</v>
      </c>
      <c r="D42" s="209">
        <f>IF(SUMIFS('Region Mapping'!$E:$E,'Region Mapping'!$A:$A,D$39)&gt;0,'IPCC(2006)'!$C$61*1000/Legend!$B$86,'IPCC(2006)'!$G$61*1000/Legend!$B$86)</f>
        <v>0.66666666666666663</v>
      </c>
      <c r="E42" s="209">
        <f>IF(SUMIFS('Region Mapping'!$E:$E,'Region Mapping'!$A:$A,E$39)&gt;0,'IPCC(2006)'!$C$61*1000/Legend!$B$86,'IPCC(2006)'!$G$61*1000/Legend!$B$86)</f>
        <v>0.66666666666666663</v>
      </c>
      <c r="F42" s="209">
        <f>IF(SUMIFS('Region Mapping'!$E:$E,'Region Mapping'!$A:$A,F$39)&gt;0,'IPCC(2006)'!$C$61*1000/Legend!$B$86,'IPCC(2006)'!$G$61*1000/Legend!$B$86)</f>
        <v>0.66666666666666663</v>
      </c>
      <c r="G42" s="209">
        <f>IF(SUMIFS('Region Mapping'!$E:$E,'Region Mapping'!$A:$A,G$39)&gt;0,'IPCC(2006)'!$C$61*1000/Legend!$B$86,'IPCC(2006)'!$G$61*1000/Legend!$B$86)</f>
        <v>6.3888888888888884E-2</v>
      </c>
      <c r="H42" s="209">
        <f>IF(SUMIFS('Region Mapping'!$E:$E,'Region Mapping'!$A:$A,H$39)&gt;0,'IPCC(2006)'!$C$61*1000/Legend!$B$86,'IPCC(2006)'!$G$61*1000/Legend!$B$86)</f>
        <v>0.66666666666666663</v>
      </c>
      <c r="I42" s="209">
        <f>IF(SUMIFS('Region Mapping'!$E:$E,'Region Mapping'!$A:$A,I$39)&gt;0,'IPCC(2006)'!$C$61*1000/Legend!$B$86,'IPCC(2006)'!$G$61*1000/Legend!$B$86)</f>
        <v>0.66666666666666663</v>
      </c>
      <c r="J42" s="209">
        <f>IF(SUMIFS('Region Mapping'!$E:$E,'Region Mapping'!$A:$A,J$39)&gt;0,'IPCC(2006)'!$C$61*1000/Legend!$B$86,'IPCC(2006)'!$G$61*1000/Legend!$B$86)</f>
        <v>0.66666666666666663</v>
      </c>
      <c r="K42" s="209">
        <f>IF(SUMIFS('Region Mapping'!$E:$E,'Region Mapping'!$A:$A,K$39)&gt;0,'IPCC(2006)'!$C$61*1000/Legend!$B$86,'IPCC(2006)'!$G$61*1000/Legend!$B$86)</f>
        <v>0.66666666666666663</v>
      </c>
      <c r="L42" s="209">
        <f>IF(SUMIFS('Region Mapping'!$E:$E,'Region Mapping'!$A:$A,L$39)&gt;0,'IPCC(2006)'!$C$61*1000/Legend!$B$86,'IPCC(2006)'!$G$61*1000/Legend!$B$86)</f>
        <v>6.3888888888888884E-2</v>
      </c>
      <c r="M42" s="209">
        <f>IF(SUMIFS('Region Mapping'!$E:$E,'Region Mapping'!$A:$A,M$39)&gt;0,'IPCC(2006)'!$C$61*1000/Legend!$B$86,'IPCC(2006)'!$G$61*1000/Legend!$B$86)</f>
        <v>0.66666666666666663</v>
      </c>
      <c r="N42" s="209">
        <f>IF(SUMIFS('Region Mapping'!$E:$E,'Region Mapping'!$A:$A,N$39)&gt;0,'IPCC(2006)'!$C$61*1000/Legend!$B$86,'IPCC(2006)'!$G$61*1000/Legend!$B$86)</f>
        <v>0.66666666666666663</v>
      </c>
      <c r="O42" s="209">
        <f>IF(SUMIFS('Region Mapping'!$E:$E,'Region Mapping'!$A:$A,O$39)&gt;0,'IPCC(2006)'!$C$61*1000/Legend!$B$86,'IPCC(2006)'!$G$61*1000/Legend!$B$86)</f>
        <v>0.66666666666666663</v>
      </c>
      <c r="P42" s="209">
        <f>IF(SUMIFS('Region Mapping'!$E:$E,'Region Mapping'!$A:$A,P$39)&gt;0,'IPCC(2006)'!$C$61*1000/Legend!$B$86,'IPCC(2006)'!$G$61*1000/Legend!$B$86)</f>
        <v>6.3888888888888884E-2</v>
      </c>
      <c r="Q42" s="209">
        <f>IF(SUMIFS('Region Mapping'!$E:$E,'Region Mapping'!$A:$A,Q$39)&gt;0,'IPCC(2006)'!$C$61*1000/Legend!$B$86,'IPCC(2006)'!$G$61*1000/Legend!$B$86)</f>
        <v>6.3888888888888884E-2</v>
      </c>
      <c r="R42" s="209">
        <f>IF(SUMIFS('Region Mapping'!$E:$E,'Region Mapping'!$A:$A,R$39)&gt;0,'IPCC(2006)'!$C$61*1000/Legend!$B$86,'IPCC(2006)'!$G$61*1000/Legend!$B$86)</f>
        <v>6.3888888888888884E-2</v>
      </c>
      <c r="S42" s="209">
        <f>IF(SUMIFS('Region Mapping'!$E:$E,'Region Mapping'!$A:$A,S$39)&gt;0,'IPCC(2006)'!$C$61*1000/Legend!$B$86,'IPCC(2006)'!$G$61*1000/Legend!$B$86)</f>
        <v>6.3888888888888884E-2</v>
      </c>
      <c r="T42" s="209">
        <f>IF(SUMIFS('Region Mapping'!$E:$E,'Region Mapping'!$A:$A,T$39)&gt;0,'IPCC(2006)'!$C$61*1000/Legend!$B$86,'IPCC(2006)'!$G$61*1000/Legend!$B$86)</f>
        <v>0.66666666666666663</v>
      </c>
      <c r="U42" s="209">
        <f>IF(SUMIFS('Region Mapping'!$E:$E,'Region Mapping'!$A:$A,U$39)&gt;0,'IPCC(2006)'!$C$61*1000/Legend!$B$86,'IPCC(2006)'!$G$61*1000/Legend!$B$86)</f>
        <v>0.66666666666666663</v>
      </c>
      <c r="V42" s="209">
        <f>IF(SUMIFS('Region Mapping'!$E:$E,'Region Mapping'!$A:$A,V$39)&gt;0,'IPCC(2006)'!$C$61*1000/Legend!$B$86,'IPCC(2006)'!$G$61*1000/Legend!$B$86)</f>
        <v>6.3888888888888884E-2</v>
      </c>
      <c r="W42" s="209">
        <f>IF(SUMIFS('Region Mapping'!$E:$E,'Region Mapping'!$A:$A,W$39)&gt;0,'IPCC(2006)'!$C$61*1000/Legend!$B$86,'IPCC(2006)'!$G$61*1000/Legend!$B$86)</f>
        <v>0.66666666666666663</v>
      </c>
      <c r="X42" s="209">
        <f>IF(SUMIFS('Region Mapping'!$E:$E,'Region Mapping'!$A:$A,X$39)&gt;0,'IPCC(2006)'!$C$61*1000/Legend!$B$86,'IPCC(2006)'!$G$61*1000/Legend!$B$86)</f>
        <v>0.66666666666666663</v>
      </c>
      <c r="Y42" s="209">
        <f>IF(SUMIFS('Region Mapping'!$E:$E,'Region Mapping'!$A:$A,Y$39)&gt;0,'IPCC(2006)'!$C$61*1000/Legend!$B$86,'IPCC(2006)'!$G$61*1000/Legend!$B$86)</f>
        <v>0.66666666666666663</v>
      </c>
      <c r="Z42" s="209">
        <f>IF(SUMIFS('Region Mapping'!$E:$E,'Region Mapping'!$A:$A,Z$39)&gt;0,'IPCC(2006)'!$C$61*1000/Legend!$B$86,'IPCC(2006)'!$G$61*1000/Legend!$B$86)</f>
        <v>0.66666666666666663</v>
      </c>
      <c r="AA42" s="209">
        <f>IF(SUMIFS('Region Mapping'!$E:$E,'Region Mapping'!$A:$A,AA$39)&gt;0,'IPCC(2006)'!$C$61*1000/Legend!$B$86,'IPCC(2006)'!$G$61*1000/Legend!$B$86)</f>
        <v>0.66666666666666663</v>
      </c>
      <c r="AB42" s="209">
        <f>IF(SUMIFS('Region Mapping'!$E:$E,'Region Mapping'!$A:$A,AB$39)&gt;0,'IPCC(2006)'!$C$61*1000/Legend!$B$86,'IPCC(2006)'!$G$61*1000/Legend!$B$86)</f>
        <v>0.66666666666666663</v>
      </c>
      <c r="AC42" s="209">
        <f>IF(SUMIFS('Region Mapping'!$E:$E,'Region Mapping'!$A:$A,AC$39)&gt;0,'IPCC(2006)'!$C$61*1000/Legend!$B$86,'IPCC(2006)'!$G$61*1000/Legend!$B$86)</f>
        <v>6.3888888888888884E-2</v>
      </c>
      <c r="AD42" s="220">
        <f>IF(SUMIFS('Region Mapping'!$E:$E,'Region Mapping'!$A:$A,AD$39)&gt;0,'IPCC(2006)'!$C$61*1000/Legend!$B$86,'IPCC(2006)'!$G$61*1000/Legend!$B$86)</f>
        <v>6.3888888888888884E-2</v>
      </c>
    </row>
    <row r="43" spans="1:30">
      <c r="A43" s="215" t="s">
        <v>996</v>
      </c>
      <c r="B43" t="s">
        <v>995</v>
      </c>
      <c r="C43" s="209">
        <f>IF(SUMIFS('Region Mapping'!$E:$E,'Region Mapping'!$A:$A,C$39)&gt;0,'IPCC(2006)'!$C$62*1000/Legend!$B$86,'IPCC(2006)'!$G$62*1000/Legend!$B$86)</f>
        <v>2.7777777777777779E-5</v>
      </c>
      <c r="D43" s="209">
        <f>IF(SUMIFS('Region Mapping'!$E:$E,'Region Mapping'!$A:$A,D$39)&gt;0,'IPCC(2006)'!$C$62*1000/Legend!$B$86,'IPCC(2006)'!$G$62*1000/Legend!$B$86)</f>
        <v>2.7777777777777779E-5</v>
      </c>
      <c r="E43" s="209">
        <f>IF(SUMIFS('Region Mapping'!$E:$E,'Region Mapping'!$A:$A,E$39)&gt;0,'IPCC(2006)'!$C$62*1000/Legend!$B$86,'IPCC(2006)'!$G$62*1000/Legend!$B$86)</f>
        <v>2.7777777777777779E-5</v>
      </c>
      <c r="F43" s="209">
        <f>IF(SUMIFS('Region Mapping'!$E:$E,'Region Mapping'!$A:$A,F$39)&gt;0,'IPCC(2006)'!$C$62*1000/Legend!$B$86,'IPCC(2006)'!$G$62*1000/Legend!$B$86)</f>
        <v>2.7777777777777779E-5</v>
      </c>
      <c r="G43" s="209">
        <f>IF(SUMIFS('Region Mapping'!$E:$E,'Region Mapping'!$A:$A,G$39)&gt;0,'IPCC(2006)'!$C$62*1000/Legend!$B$86,'IPCC(2006)'!$G$62*1000/Legend!$B$86)</f>
        <v>2.1111111111111111E-5</v>
      </c>
      <c r="H43" s="209">
        <f>IF(SUMIFS('Region Mapping'!$E:$E,'Region Mapping'!$A:$A,H$39)&gt;0,'IPCC(2006)'!$C$62*1000/Legend!$B$86,'IPCC(2006)'!$G$62*1000/Legend!$B$86)</f>
        <v>2.7777777777777779E-5</v>
      </c>
      <c r="I43" s="209">
        <f>IF(SUMIFS('Region Mapping'!$E:$E,'Region Mapping'!$A:$A,I$39)&gt;0,'IPCC(2006)'!$C$62*1000/Legend!$B$86,'IPCC(2006)'!$G$62*1000/Legend!$B$86)</f>
        <v>2.7777777777777779E-5</v>
      </c>
      <c r="J43" s="209">
        <f>IF(SUMIFS('Region Mapping'!$E:$E,'Region Mapping'!$A:$A,J$39)&gt;0,'IPCC(2006)'!$C$62*1000/Legend!$B$86,'IPCC(2006)'!$G$62*1000/Legend!$B$86)</f>
        <v>2.7777777777777779E-5</v>
      </c>
      <c r="K43" s="209">
        <f>IF(SUMIFS('Region Mapping'!$E:$E,'Region Mapping'!$A:$A,K$39)&gt;0,'IPCC(2006)'!$C$62*1000/Legend!$B$86,'IPCC(2006)'!$G$62*1000/Legend!$B$86)</f>
        <v>2.7777777777777779E-5</v>
      </c>
      <c r="L43" s="209">
        <f>IF(SUMIFS('Region Mapping'!$E:$E,'Region Mapping'!$A:$A,L$39)&gt;0,'IPCC(2006)'!$C$62*1000/Legend!$B$86,'IPCC(2006)'!$G$62*1000/Legend!$B$86)</f>
        <v>2.1111111111111111E-5</v>
      </c>
      <c r="M43" s="209">
        <f>IF(SUMIFS('Region Mapping'!$E:$E,'Region Mapping'!$A:$A,M$39)&gt;0,'IPCC(2006)'!$C$62*1000/Legend!$B$86,'IPCC(2006)'!$G$62*1000/Legend!$B$86)</f>
        <v>2.7777777777777779E-5</v>
      </c>
      <c r="N43" s="209">
        <f>IF(SUMIFS('Region Mapping'!$E:$E,'Region Mapping'!$A:$A,N$39)&gt;0,'IPCC(2006)'!$C$62*1000/Legend!$B$86,'IPCC(2006)'!$G$62*1000/Legend!$B$86)</f>
        <v>2.7777777777777779E-5</v>
      </c>
      <c r="O43" s="209">
        <f>IF(SUMIFS('Region Mapping'!$E:$E,'Region Mapping'!$A:$A,O$39)&gt;0,'IPCC(2006)'!$C$62*1000/Legend!$B$86,'IPCC(2006)'!$G$62*1000/Legend!$B$86)</f>
        <v>2.7777777777777779E-5</v>
      </c>
      <c r="P43" s="209">
        <f>IF(SUMIFS('Region Mapping'!$E:$E,'Region Mapping'!$A:$A,P$39)&gt;0,'IPCC(2006)'!$C$62*1000/Legend!$B$86,'IPCC(2006)'!$G$62*1000/Legend!$B$86)</f>
        <v>2.1111111111111111E-5</v>
      </c>
      <c r="Q43" s="209">
        <f>IF(SUMIFS('Region Mapping'!$E:$E,'Region Mapping'!$A:$A,Q$39)&gt;0,'IPCC(2006)'!$C$62*1000/Legend!$B$86,'IPCC(2006)'!$G$62*1000/Legend!$B$86)</f>
        <v>2.1111111111111111E-5</v>
      </c>
      <c r="R43" s="209">
        <f>IF(SUMIFS('Region Mapping'!$E:$E,'Region Mapping'!$A:$A,R$39)&gt;0,'IPCC(2006)'!$C$62*1000/Legend!$B$86,'IPCC(2006)'!$G$62*1000/Legend!$B$86)</f>
        <v>2.1111111111111111E-5</v>
      </c>
      <c r="S43" s="209">
        <f>IF(SUMIFS('Region Mapping'!$E:$E,'Region Mapping'!$A:$A,S$39)&gt;0,'IPCC(2006)'!$C$62*1000/Legend!$B$86,'IPCC(2006)'!$G$62*1000/Legend!$B$86)</f>
        <v>2.1111111111111111E-5</v>
      </c>
      <c r="T43" s="209">
        <f>IF(SUMIFS('Region Mapping'!$E:$E,'Region Mapping'!$A:$A,T$39)&gt;0,'IPCC(2006)'!$C$62*1000/Legend!$B$86,'IPCC(2006)'!$G$62*1000/Legend!$B$86)</f>
        <v>2.7777777777777779E-5</v>
      </c>
      <c r="U43" s="209">
        <f>IF(SUMIFS('Region Mapping'!$E:$E,'Region Mapping'!$A:$A,U$39)&gt;0,'IPCC(2006)'!$C$62*1000/Legend!$B$86,'IPCC(2006)'!$G$62*1000/Legend!$B$86)</f>
        <v>2.7777777777777779E-5</v>
      </c>
      <c r="V43" s="209">
        <f>IF(SUMIFS('Region Mapping'!$E:$E,'Region Mapping'!$A:$A,V$39)&gt;0,'IPCC(2006)'!$C$62*1000/Legend!$B$86,'IPCC(2006)'!$G$62*1000/Legend!$B$86)</f>
        <v>2.1111111111111111E-5</v>
      </c>
      <c r="W43" s="209">
        <f>IF(SUMIFS('Region Mapping'!$E:$E,'Region Mapping'!$A:$A,W$39)&gt;0,'IPCC(2006)'!$C$62*1000/Legend!$B$86,'IPCC(2006)'!$G$62*1000/Legend!$B$86)</f>
        <v>2.7777777777777779E-5</v>
      </c>
      <c r="X43" s="209">
        <f>IF(SUMIFS('Region Mapping'!$E:$E,'Region Mapping'!$A:$A,X$39)&gt;0,'IPCC(2006)'!$C$62*1000/Legend!$B$86,'IPCC(2006)'!$G$62*1000/Legend!$B$86)</f>
        <v>2.7777777777777779E-5</v>
      </c>
      <c r="Y43" s="209">
        <f>IF(SUMIFS('Region Mapping'!$E:$E,'Region Mapping'!$A:$A,Y$39)&gt;0,'IPCC(2006)'!$C$62*1000/Legend!$B$86,'IPCC(2006)'!$G$62*1000/Legend!$B$86)</f>
        <v>2.7777777777777779E-5</v>
      </c>
      <c r="Z43" s="209">
        <f>IF(SUMIFS('Region Mapping'!$E:$E,'Region Mapping'!$A:$A,Z$39)&gt;0,'IPCC(2006)'!$C$62*1000/Legend!$B$86,'IPCC(2006)'!$G$62*1000/Legend!$B$86)</f>
        <v>2.7777777777777779E-5</v>
      </c>
      <c r="AA43" s="209">
        <f>IF(SUMIFS('Region Mapping'!$E:$E,'Region Mapping'!$A:$A,AA$39)&gt;0,'IPCC(2006)'!$C$62*1000/Legend!$B$86,'IPCC(2006)'!$G$62*1000/Legend!$B$86)</f>
        <v>2.7777777777777779E-5</v>
      </c>
      <c r="AB43" s="209">
        <f>IF(SUMIFS('Region Mapping'!$E:$E,'Region Mapping'!$A:$A,AB$39)&gt;0,'IPCC(2006)'!$C$62*1000/Legend!$B$86,'IPCC(2006)'!$G$62*1000/Legend!$B$86)</f>
        <v>2.7777777777777779E-5</v>
      </c>
      <c r="AC43" s="209">
        <f>IF(SUMIFS('Region Mapping'!$E:$E,'Region Mapping'!$A:$A,AC$39)&gt;0,'IPCC(2006)'!$C$62*1000/Legend!$B$86,'IPCC(2006)'!$G$62*1000/Legend!$B$86)</f>
        <v>2.1111111111111111E-5</v>
      </c>
      <c r="AD43" s="220">
        <f>IF(SUMIFS('Region Mapping'!$E:$E,'Region Mapping'!$A:$A,AD$39)&gt;0,'IPCC(2006)'!$C$62*1000/Legend!$B$86,'IPCC(2006)'!$G$62*1000/Legend!$B$86)</f>
        <v>2.1111111111111111E-5</v>
      </c>
    </row>
    <row r="44" spans="1:30">
      <c r="A44" s="215" t="s">
        <v>997</v>
      </c>
      <c r="B44" t="s">
        <v>998</v>
      </c>
      <c r="C44" s="209">
        <f>IF(SUMIFS('Region Mapping'!$E:$E,'Region Mapping'!$A:$A,C$39)&gt;0,'IPCC(2006)'!$C$64*1000/Legend!$B$86,'IPCC(2006)'!$G$64*1000/Legend!$B$86)</f>
        <v>9.7222222222222224E-3</v>
      </c>
      <c r="D44" s="209">
        <f>IF(SUMIFS('Region Mapping'!$E:$E,'Region Mapping'!$A:$A,D$39)&gt;0,'IPCC(2006)'!$C$64*1000/Legend!$B$86,'IPCC(2006)'!$G$64*1000/Legend!$B$86)</f>
        <v>9.7222222222222224E-3</v>
      </c>
      <c r="E44" s="209">
        <f>IF(SUMIFS('Region Mapping'!$E:$E,'Region Mapping'!$A:$A,E$39)&gt;0,'IPCC(2006)'!$C$64*1000/Legend!$B$86,'IPCC(2006)'!$G$64*1000/Legend!$B$86)</f>
        <v>9.7222222222222224E-3</v>
      </c>
      <c r="F44" s="209">
        <f>IF(SUMIFS('Region Mapping'!$E:$E,'Region Mapping'!$A:$A,F$39)&gt;0,'IPCC(2006)'!$C$64*1000/Legend!$B$86,'IPCC(2006)'!$G$64*1000/Legend!$B$86)</f>
        <v>9.7222222222222224E-3</v>
      </c>
      <c r="G44" s="209">
        <f>IF(SUMIFS('Region Mapping'!$E:$E,'Region Mapping'!$A:$A,G$39)&gt;0,'IPCC(2006)'!$C$64*1000/Legend!$B$86,'IPCC(2006)'!$G$64*1000/Legend!$B$86)</f>
        <v>2.8611111111111111E-2</v>
      </c>
      <c r="H44" s="209">
        <f>IF(SUMIFS('Region Mapping'!$E:$E,'Region Mapping'!$A:$A,H$39)&gt;0,'IPCC(2006)'!$C$64*1000/Legend!$B$86,'IPCC(2006)'!$G$64*1000/Legend!$B$86)</f>
        <v>9.7222222222222224E-3</v>
      </c>
      <c r="I44" s="209">
        <f>IF(SUMIFS('Region Mapping'!$E:$E,'Region Mapping'!$A:$A,I$39)&gt;0,'IPCC(2006)'!$C$64*1000/Legend!$B$86,'IPCC(2006)'!$G$64*1000/Legend!$B$86)</f>
        <v>9.7222222222222224E-3</v>
      </c>
      <c r="J44" s="209">
        <f>IF(SUMIFS('Region Mapping'!$E:$E,'Region Mapping'!$A:$A,J$39)&gt;0,'IPCC(2006)'!$C$64*1000/Legend!$B$86,'IPCC(2006)'!$G$64*1000/Legend!$B$86)</f>
        <v>9.7222222222222224E-3</v>
      </c>
      <c r="K44" s="209">
        <f>IF(SUMIFS('Region Mapping'!$E:$E,'Region Mapping'!$A:$A,K$39)&gt;0,'IPCC(2006)'!$C$64*1000/Legend!$B$86,'IPCC(2006)'!$G$64*1000/Legend!$B$86)</f>
        <v>9.7222222222222224E-3</v>
      </c>
      <c r="L44" s="209">
        <f>IF(SUMIFS('Region Mapping'!$E:$E,'Region Mapping'!$A:$A,L$39)&gt;0,'IPCC(2006)'!$C$64*1000/Legend!$B$86,'IPCC(2006)'!$G$64*1000/Legend!$B$86)</f>
        <v>2.8611111111111111E-2</v>
      </c>
      <c r="M44" s="209">
        <f>IF(SUMIFS('Region Mapping'!$E:$E,'Region Mapping'!$A:$A,M$39)&gt;0,'IPCC(2006)'!$C$64*1000/Legend!$B$86,'IPCC(2006)'!$G$64*1000/Legend!$B$86)</f>
        <v>9.7222222222222224E-3</v>
      </c>
      <c r="N44" s="209">
        <f>IF(SUMIFS('Region Mapping'!$E:$E,'Region Mapping'!$A:$A,N$39)&gt;0,'IPCC(2006)'!$C$64*1000/Legend!$B$86,'IPCC(2006)'!$G$64*1000/Legend!$B$86)</f>
        <v>9.7222222222222224E-3</v>
      </c>
      <c r="O44" s="209">
        <f>IF(SUMIFS('Region Mapping'!$E:$E,'Region Mapping'!$A:$A,O$39)&gt;0,'IPCC(2006)'!$C$64*1000/Legend!$B$86,'IPCC(2006)'!$G$64*1000/Legend!$B$86)</f>
        <v>9.7222222222222224E-3</v>
      </c>
      <c r="P44" s="209">
        <f>IF(SUMIFS('Region Mapping'!$E:$E,'Region Mapping'!$A:$A,P$39)&gt;0,'IPCC(2006)'!$C$64*1000/Legend!$B$86,'IPCC(2006)'!$G$64*1000/Legend!$B$86)</f>
        <v>2.8611111111111111E-2</v>
      </c>
      <c r="Q44" s="209">
        <f>IF(SUMIFS('Region Mapping'!$E:$E,'Region Mapping'!$A:$A,Q$39)&gt;0,'IPCC(2006)'!$C$64*1000/Legend!$B$86,'IPCC(2006)'!$G$64*1000/Legend!$B$86)</f>
        <v>2.8611111111111111E-2</v>
      </c>
      <c r="R44" s="209">
        <f>IF(SUMIFS('Region Mapping'!$E:$E,'Region Mapping'!$A:$A,R$39)&gt;0,'IPCC(2006)'!$C$64*1000/Legend!$B$86,'IPCC(2006)'!$G$64*1000/Legend!$B$86)</f>
        <v>2.8611111111111111E-2</v>
      </c>
      <c r="S44" s="209">
        <f>IF(SUMIFS('Region Mapping'!$E:$E,'Region Mapping'!$A:$A,S$39)&gt;0,'IPCC(2006)'!$C$64*1000/Legend!$B$86,'IPCC(2006)'!$G$64*1000/Legend!$B$86)</f>
        <v>2.8611111111111111E-2</v>
      </c>
      <c r="T44" s="209">
        <f>IF(SUMIFS('Region Mapping'!$E:$E,'Region Mapping'!$A:$A,T$39)&gt;0,'IPCC(2006)'!$C$64*1000/Legend!$B$86,'IPCC(2006)'!$G$64*1000/Legend!$B$86)</f>
        <v>9.7222222222222224E-3</v>
      </c>
      <c r="U44" s="209">
        <f>IF(SUMIFS('Region Mapping'!$E:$E,'Region Mapping'!$A:$A,U$39)&gt;0,'IPCC(2006)'!$C$64*1000/Legend!$B$86,'IPCC(2006)'!$G$64*1000/Legend!$B$86)</f>
        <v>9.7222222222222224E-3</v>
      </c>
      <c r="V44" s="209">
        <f>IF(SUMIFS('Region Mapping'!$E:$E,'Region Mapping'!$A:$A,V$39)&gt;0,'IPCC(2006)'!$C$64*1000/Legend!$B$86,'IPCC(2006)'!$G$64*1000/Legend!$B$86)</f>
        <v>2.8611111111111111E-2</v>
      </c>
      <c r="W44" s="209">
        <f>IF(SUMIFS('Region Mapping'!$E:$E,'Region Mapping'!$A:$A,W$39)&gt;0,'IPCC(2006)'!$C$64*1000/Legend!$B$86,'IPCC(2006)'!$G$64*1000/Legend!$B$86)</f>
        <v>9.7222222222222224E-3</v>
      </c>
      <c r="X44" s="209">
        <f>IF(SUMIFS('Region Mapping'!$E:$E,'Region Mapping'!$A:$A,X$39)&gt;0,'IPCC(2006)'!$C$64*1000/Legend!$B$86,'IPCC(2006)'!$G$64*1000/Legend!$B$86)</f>
        <v>9.7222222222222224E-3</v>
      </c>
      <c r="Y44" s="209">
        <f>IF(SUMIFS('Region Mapping'!$E:$E,'Region Mapping'!$A:$A,Y$39)&gt;0,'IPCC(2006)'!$C$64*1000/Legend!$B$86,'IPCC(2006)'!$G$64*1000/Legend!$B$86)</f>
        <v>9.7222222222222224E-3</v>
      </c>
      <c r="Z44" s="209">
        <f>IF(SUMIFS('Region Mapping'!$E:$E,'Region Mapping'!$A:$A,Z$39)&gt;0,'IPCC(2006)'!$C$64*1000/Legend!$B$86,'IPCC(2006)'!$G$64*1000/Legend!$B$86)</f>
        <v>9.7222222222222224E-3</v>
      </c>
      <c r="AA44" s="209">
        <f>IF(SUMIFS('Region Mapping'!$E:$E,'Region Mapping'!$A:$A,AA$39)&gt;0,'IPCC(2006)'!$C$64*1000/Legend!$B$86,'IPCC(2006)'!$G$64*1000/Legend!$B$86)</f>
        <v>9.7222222222222224E-3</v>
      </c>
      <c r="AB44" s="209">
        <f>IF(SUMIFS('Region Mapping'!$E:$E,'Region Mapping'!$A:$A,AB$39)&gt;0,'IPCC(2006)'!$C$64*1000/Legend!$B$86,'IPCC(2006)'!$G$64*1000/Legend!$B$86)</f>
        <v>9.7222222222222224E-3</v>
      </c>
      <c r="AC44" s="209">
        <f>IF(SUMIFS('Region Mapping'!$E:$E,'Region Mapping'!$A:$A,AC$39)&gt;0,'IPCC(2006)'!$C$64*1000/Legend!$B$86,'IPCC(2006)'!$G$64*1000/Legend!$B$86)</f>
        <v>2.8611111111111111E-2</v>
      </c>
      <c r="AD44" s="220">
        <f>IF(SUMIFS('Region Mapping'!$E:$E,'Region Mapping'!$A:$A,AD$39)&gt;0,'IPCC(2006)'!$C$64*1000/Legend!$B$86,'IPCC(2006)'!$G$64*1000/Legend!$B$86)</f>
        <v>2.8611111111111111E-2</v>
      </c>
    </row>
    <row r="45" spans="1:30">
      <c r="A45" s="215" t="s">
        <v>999</v>
      </c>
      <c r="B45" t="s">
        <v>998</v>
      </c>
      <c r="C45" s="209">
        <f>IF(SUMIFS('Region Mapping'!$E:$E,'Region Mapping'!$A:$A,C$39)&gt;0,'IPCC(2006)'!$C$65*1000/Legend!$B$86,'IPCC(2006)'!$G$65*1000/Legend!$B$86)</f>
        <v>7.7777777777777782E-5</v>
      </c>
      <c r="D45" s="209">
        <f>IF(SUMIFS('Region Mapping'!$E:$E,'Region Mapping'!$A:$A,D$39)&gt;0,'IPCC(2006)'!$C$65*1000/Legend!$B$86,'IPCC(2006)'!$G$65*1000/Legend!$B$86)</f>
        <v>7.7777777777777782E-5</v>
      </c>
      <c r="E45" s="209">
        <f>IF(SUMIFS('Region Mapping'!$E:$E,'Region Mapping'!$A:$A,E$39)&gt;0,'IPCC(2006)'!$C$65*1000/Legend!$B$86,'IPCC(2006)'!$G$65*1000/Legend!$B$86)</f>
        <v>7.7777777777777782E-5</v>
      </c>
      <c r="F45" s="209">
        <f>IF(SUMIFS('Region Mapping'!$E:$E,'Region Mapping'!$A:$A,F$39)&gt;0,'IPCC(2006)'!$C$65*1000/Legend!$B$86,'IPCC(2006)'!$G$65*1000/Legend!$B$86)</f>
        <v>7.7777777777777782E-5</v>
      </c>
      <c r="G45" s="209">
        <f>IF(SUMIFS('Region Mapping'!$E:$E,'Region Mapping'!$A:$A,G$39)&gt;0,'IPCC(2006)'!$C$65*1000/Legend!$B$86,'IPCC(2006)'!$G$65*1000/Legend!$B$86)</f>
        <v>5.5555555555555558E-5</v>
      </c>
      <c r="H45" s="209">
        <f>IF(SUMIFS('Region Mapping'!$E:$E,'Region Mapping'!$A:$A,H$39)&gt;0,'IPCC(2006)'!$C$65*1000/Legend!$B$86,'IPCC(2006)'!$G$65*1000/Legend!$B$86)</f>
        <v>7.7777777777777782E-5</v>
      </c>
      <c r="I45" s="209">
        <f>IF(SUMIFS('Region Mapping'!$E:$E,'Region Mapping'!$A:$A,I$39)&gt;0,'IPCC(2006)'!$C$65*1000/Legend!$B$86,'IPCC(2006)'!$G$65*1000/Legend!$B$86)</f>
        <v>7.7777777777777782E-5</v>
      </c>
      <c r="J45" s="209">
        <f>IF(SUMIFS('Region Mapping'!$E:$E,'Region Mapping'!$A:$A,J$39)&gt;0,'IPCC(2006)'!$C$65*1000/Legend!$B$86,'IPCC(2006)'!$G$65*1000/Legend!$B$86)</f>
        <v>7.7777777777777782E-5</v>
      </c>
      <c r="K45" s="209">
        <f>IF(SUMIFS('Region Mapping'!$E:$E,'Region Mapping'!$A:$A,K$39)&gt;0,'IPCC(2006)'!$C$65*1000/Legend!$B$86,'IPCC(2006)'!$G$65*1000/Legend!$B$86)</f>
        <v>7.7777777777777782E-5</v>
      </c>
      <c r="L45" s="209">
        <f>IF(SUMIFS('Region Mapping'!$E:$E,'Region Mapping'!$A:$A,L$39)&gt;0,'IPCC(2006)'!$C$65*1000/Legend!$B$86,'IPCC(2006)'!$G$65*1000/Legend!$B$86)</f>
        <v>5.5555555555555558E-5</v>
      </c>
      <c r="M45" s="209">
        <f>IF(SUMIFS('Region Mapping'!$E:$E,'Region Mapping'!$A:$A,M$39)&gt;0,'IPCC(2006)'!$C$65*1000/Legend!$B$86,'IPCC(2006)'!$G$65*1000/Legend!$B$86)</f>
        <v>7.7777777777777782E-5</v>
      </c>
      <c r="N45" s="209">
        <f>IF(SUMIFS('Region Mapping'!$E:$E,'Region Mapping'!$A:$A,N$39)&gt;0,'IPCC(2006)'!$C$65*1000/Legend!$B$86,'IPCC(2006)'!$G$65*1000/Legend!$B$86)</f>
        <v>7.7777777777777782E-5</v>
      </c>
      <c r="O45" s="209">
        <f>IF(SUMIFS('Region Mapping'!$E:$E,'Region Mapping'!$A:$A,O$39)&gt;0,'IPCC(2006)'!$C$65*1000/Legend!$B$86,'IPCC(2006)'!$G$65*1000/Legend!$B$86)</f>
        <v>7.7777777777777782E-5</v>
      </c>
      <c r="P45" s="209">
        <f>IF(SUMIFS('Region Mapping'!$E:$E,'Region Mapping'!$A:$A,P$39)&gt;0,'IPCC(2006)'!$C$65*1000/Legend!$B$86,'IPCC(2006)'!$G$65*1000/Legend!$B$86)</f>
        <v>5.5555555555555558E-5</v>
      </c>
      <c r="Q45" s="209">
        <f>IF(SUMIFS('Region Mapping'!$E:$E,'Region Mapping'!$A:$A,Q$39)&gt;0,'IPCC(2006)'!$C$65*1000/Legend!$B$86,'IPCC(2006)'!$G$65*1000/Legend!$B$86)</f>
        <v>5.5555555555555558E-5</v>
      </c>
      <c r="R45" s="209">
        <f>IF(SUMIFS('Region Mapping'!$E:$E,'Region Mapping'!$A:$A,R$39)&gt;0,'IPCC(2006)'!$C$65*1000/Legend!$B$86,'IPCC(2006)'!$G$65*1000/Legend!$B$86)</f>
        <v>5.5555555555555558E-5</v>
      </c>
      <c r="S45" s="209">
        <f>IF(SUMIFS('Region Mapping'!$E:$E,'Region Mapping'!$A:$A,S$39)&gt;0,'IPCC(2006)'!$C$65*1000/Legend!$B$86,'IPCC(2006)'!$G$65*1000/Legend!$B$86)</f>
        <v>5.5555555555555558E-5</v>
      </c>
      <c r="T45" s="209">
        <f>IF(SUMIFS('Region Mapping'!$E:$E,'Region Mapping'!$A:$A,T$39)&gt;0,'IPCC(2006)'!$C$65*1000/Legend!$B$86,'IPCC(2006)'!$G$65*1000/Legend!$B$86)</f>
        <v>7.7777777777777782E-5</v>
      </c>
      <c r="U45" s="209">
        <f>IF(SUMIFS('Region Mapping'!$E:$E,'Region Mapping'!$A:$A,U$39)&gt;0,'IPCC(2006)'!$C$65*1000/Legend!$B$86,'IPCC(2006)'!$G$65*1000/Legend!$B$86)</f>
        <v>7.7777777777777782E-5</v>
      </c>
      <c r="V45" s="209">
        <f>IF(SUMIFS('Region Mapping'!$E:$E,'Region Mapping'!$A:$A,V$39)&gt;0,'IPCC(2006)'!$C$65*1000/Legend!$B$86,'IPCC(2006)'!$G$65*1000/Legend!$B$86)</f>
        <v>5.5555555555555558E-5</v>
      </c>
      <c r="W45" s="209">
        <f>IF(SUMIFS('Region Mapping'!$E:$E,'Region Mapping'!$A:$A,W$39)&gt;0,'IPCC(2006)'!$C$65*1000/Legend!$B$86,'IPCC(2006)'!$G$65*1000/Legend!$B$86)</f>
        <v>7.7777777777777782E-5</v>
      </c>
      <c r="X45" s="209">
        <f>IF(SUMIFS('Region Mapping'!$E:$E,'Region Mapping'!$A:$A,X$39)&gt;0,'IPCC(2006)'!$C$65*1000/Legend!$B$86,'IPCC(2006)'!$G$65*1000/Legend!$B$86)</f>
        <v>7.7777777777777782E-5</v>
      </c>
      <c r="Y45" s="209">
        <f>IF(SUMIFS('Region Mapping'!$E:$E,'Region Mapping'!$A:$A,Y$39)&gt;0,'IPCC(2006)'!$C$65*1000/Legend!$B$86,'IPCC(2006)'!$G$65*1000/Legend!$B$86)</f>
        <v>7.7777777777777782E-5</v>
      </c>
      <c r="Z45" s="209">
        <f>IF(SUMIFS('Region Mapping'!$E:$E,'Region Mapping'!$A:$A,Z$39)&gt;0,'IPCC(2006)'!$C$65*1000/Legend!$B$86,'IPCC(2006)'!$G$65*1000/Legend!$B$86)</f>
        <v>7.7777777777777782E-5</v>
      </c>
      <c r="AA45" s="209">
        <f>IF(SUMIFS('Region Mapping'!$E:$E,'Region Mapping'!$A:$A,AA$39)&gt;0,'IPCC(2006)'!$C$65*1000/Legend!$B$86,'IPCC(2006)'!$G$65*1000/Legend!$B$86)</f>
        <v>7.7777777777777782E-5</v>
      </c>
      <c r="AB45" s="209">
        <f>IF(SUMIFS('Region Mapping'!$E:$E,'Region Mapping'!$A:$A,AB$39)&gt;0,'IPCC(2006)'!$C$65*1000/Legend!$B$86,'IPCC(2006)'!$G$65*1000/Legend!$B$86)</f>
        <v>7.7777777777777782E-5</v>
      </c>
      <c r="AC45" s="209">
        <f>IF(SUMIFS('Region Mapping'!$E:$E,'Region Mapping'!$A:$A,AC$39)&gt;0,'IPCC(2006)'!$C$65*1000/Legend!$B$86,'IPCC(2006)'!$G$65*1000/Legend!$B$86)</f>
        <v>5.5555555555555558E-5</v>
      </c>
      <c r="AD45" s="220">
        <f>IF(SUMIFS('Region Mapping'!$E:$E,'Region Mapping'!$A:$A,AD$39)&gt;0,'IPCC(2006)'!$C$65*1000/Legend!$B$86,'IPCC(2006)'!$G$65*1000/Legend!$B$86)</f>
        <v>5.5555555555555558E-5</v>
      </c>
    </row>
    <row r="46" spans="1:30">
      <c r="A46" s="215" t="s">
        <v>1000</v>
      </c>
      <c r="B46" t="s">
        <v>998</v>
      </c>
      <c r="C46" s="209">
        <f>IF(SUMIFS('Region Mapping'!$E:$E,'Region Mapping'!$A:$A,C$39)&gt;0,'IPCC(2006)'!$C$66*1000/Legend!$B$86,'IPCC(2006)'!$G$66*1000/Legend!$B$86)</f>
        <v>0</v>
      </c>
      <c r="D46" s="209">
        <f>IF(SUMIFS('Region Mapping'!$E:$E,'Region Mapping'!$A:$A,D$39)&gt;0,'IPCC(2006)'!$C$66*1000/Legend!$B$86,'IPCC(2006)'!$G$66*1000/Legend!$B$86)</f>
        <v>0</v>
      </c>
      <c r="E46" s="209">
        <f>IF(SUMIFS('Region Mapping'!$E:$E,'Region Mapping'!$A:$A,E$39)&gt;0,'IPCC(2006)'!$C$66*1000/Legend!$B$86,'IPCC(2006)'!$G$66*1000/Legend!$B$86)</f>
        <v>0</v>
      </c>
      <c r="F46" s="209">
        <f>IF(SUMIFS('Region Mapping'!$E:$E,'Region Mapping'!$A:$A,F$39)&gt;0,'IPCC(2006)'!$C$66*1000/Legend!$B$86,'IPCC(2006)'!$G$66*1000/Legend!$B$86)</f>
        <v>0</v>
      </c>
      <c r="G46" s="209">
        <f>IF(SUMIFS('Region Mapping'!$E:$E,'Region Mapping'!$A:$A,G$39)&gt;0,'IPCC(2006)'!$C$66*1000/Legend!$B$86,'IPCC(2006)'!$G$66*1000/Legend!$B$86)</f>
        <v>0</v>
      </c>
      <c r="H46" s="209">
        <f>IF(SUMIFS('Region Mapping'!$E:$E,'Region Mapping'!$A:$A,H$39)&gt;0,'IPCC(2006)'!$C$66*1000/Legend!$B$86,'IPCC(2006)'!$G$66*1000/Legend!$B$86)</f>
        <v>0</v>
      </c>
      <c r="I46" s="209">
        <f>IF(SUMIFS('Region Mapping'!$E:$E,'Region Mapping'!$A:$A,I$39)&gt;0,'IPCC(2006)'!$C$66*1000/Legend!$B$86,'IPCC(2006)'!$G$66*1000/Legend!$B$86)</f>
        <v>0</v>
      </c>
      <c r="J46" s="209">
        <f>IF(SUMIFS('Region Mapping'!$E:$E,'Region Mapping'!$A:$A,J$39)&gt;0,'IPCC(2006)'!$C$66*1000/Legend!$B$86,'IPCC(2006)'!$G$66*1000/Legend!$B$86)</f>
        <v>0</v>
      </c>
      <c r="K46" s="209">
        <f>IF(SUMIFS('Region Mapping'!$E:$E,'Region Mapping'!$A:$A,K$39)&gt;0,'IPCC(2006)'!$C$66*1000/Legend!$B$86,'IPCC(2006)'!$G$66*1000/Legend!$B$86)</f>
        <v>0</v>
      </c>
      <c r="L46" s="209">
        <f>IF(SUMIFS('Region Mapping'!$E:$E,'Region Mapping'!$A:$A,L$39)&gt;0,'IPCC(2006)'!$C$66*1000/Legend!$B$86,'IPCC(2006)'!$G$66*1000/Legend!$B$86)</f>
        <v>0</v>
      </c>
      <c r="M46" s="209">
        <f>IF(SUMIFS('Region Mapping'!$E:$E,'Region Mapping'!$A:$A,M$39)&gt;0,'IPCC(2006)'!$C$66*1000/Legend!$B$86,'IPCC(2006)'!$G$66*1000/Legend!$B$86)</f>
        <v>0</v>
      </c>
      <c r="N46" s="209">
        <f>IF(SUMIFS('Region Mapping'!$E:$E,'Region Mapping'!$A:$A,N$39)&gt;0,'IPCC(2006)'!$C$66*1000/Legend!$B$86,'IPCC(2006)'!$G$66*1000/Legend!$B$86)</f>
        <v>0</v>
      </c>
      <c r="O46" s="209">
        <f>IF(SUMIFS('Region Mapping'!$E:$E,'Region Mapping'!$A:$A,O$39)&gt;0,'IPCC(2006)'!$C$66*1000/Legend!$B$86,'IPCC(2006)'!$G$66*1000/Legend!$B$86)</f>
        <v>0</v>
      </c>
      <c r="P46" s="209">
        <f>IF(SUMIFS('Region Mapping'!$E:$E,'Region Mapping'!$A:$A,P$39)&gt;0,'IPCC(2006)'!$C$66*1000/Legend!$B$86,'IPCC(2006)'!$G$66*1000/Legend!$B$86)</f>
        <v>0</v>
      </c>
      <c r="Q46" s="209">
        <f>IF(SUMIFS('Region Mapping'!$E:$E,'Region Mapping'!$A:$A,Q$39)&gt;0,'IPCC(2006)'!$C$66*1000/Legend!$B$86,'IPCC(2006)'!$G$66*1000/Legend!$B$86)</f>
        <v>0</v>
      </c>
      <c r="R46" s="209">
        <f>IF(SUMIFS('Region Mapping'!$E:$E,'Region Mapping'!$A:$A,R$39)&gt;0,'IPCC(2006)'!$C$66*1000/Legend!$B$86,'IPCC(2006)'!$G$66*1000/Legend!$B$86)</f>
        <v>0</v>
      </c>
      <c r="S46" s="209">
        <f>IF(SUMIFS('Region Mapping'!$E:$E,'Region Mapping'!$A:$A,S$39)&gt;0,'IPCC(2006)'!$C$66*1000/Legend!$B$86,'IPCC(2006)'!$G$66*1000/Legend!$B$86)</f>
        <v>0</v>
      </c>
      <c r="T46" s="209">
        <f>IF(SUMIFS('Region Mapping'!$E:$E,'Region Mapping'!$A:$A,T$39)&gt;0,'IPCC(2006)'!$C$66*1000/Legend!$B$86,'IPCC(2006)'!$G$66*1000/Legend!$B$86)</f>
        <v>0</v>
      </c>
      <c r="U46" s="209">
        <f>IF(SUMIFS('Region Mapping'!$E:$E,'Region Mapping'!$A:$A,U$39)&gt;0,'IPCC(2006)'!$C$66*1000/Legend!$B$86,'IPCC(2006)'!$G$66*1000/Legend!$B$86)</f>
        <v>0</v>
      </c>
      <c r="V46" s="209">
        <f>IF(SUMIFS('Region Mapping'!$E:$E,'Region Mapping'!$A:$A,V$39)&gt;0,'IPCC(2006)'!$C$66*1000/Legend!$B$86,'IPCC(2006)'!$G$66*1000/Legend!$B$86)</f>
        <v>0</v>
      </c>
      <c r="W46" s="209">
        <f>IF(SUMIFS('Region Mapping'!$E:$E,'Region Mapping'!$A:$A,W$39)&gt;0,'IPCC(2006)'!$C$66*1000/Legend!$B$86,'IPCC(2006)'!$G$66*1000/Legend!$B$86)</f>
        <v>0</v>
      </c>
      <c r="X46" s="209">
        <f>IF(SUMIFS('Region Mapping'!$E:$E,'Region Mapping'!$A:$A,X$39)&gt;0,'IPCC(2006)'!$C$66*1000/Legend!$B$86,'IPCC(2006)'!$G$66*1000/Legend!$B$86)</f>
        <v>0</v>
      </c>
      <c r="Y46" s="209">
        <f>IF(SUMIFS('Region Mapping'!$E:$E,'Region Mapping'!$A:$A,Y$39)&gt;0,'IPCC(2006)'!$C$66*1000/Legend!$B$86,'IPCC(2006)'!$G$66*1000/Legend!$B$86)</f>
        <v>0</v>
      </c>
      <c r="Z46" s="209">
        <f>IF(SUMIFS('Region Mapping'!$E:$E,'Region Mapping'!$A:$A,Z$39)&gt;0,'IPCC(2006)'!$C$66*1000/Legend!$B$86,'IPCC(2006)'!$G$66*1000/Legend!$B$86)</f>
        <v>0</v>
      </c>
      <c r="AA46" s="209">
        <f>IF(SUMIFS('Region Mapping'!$E:$E,'Region Mapping'!$A:$A,AA$39)&gt;0,'IPCC(2006)'!$C$66*1000/Legend!$B$86,'IPCC(2006)'!$G$66*1000/Legend!$B$86)</f>
        <v>0</v>
      </c>
      <c r="AB46" s="209">
        <f>IF(SUMIFS('Region Mapping'!$E:$E,'Region Mapping'!$A:$A,AB$39)&gt;0,'IPCC(2006)'!$C$66*1000/Legend!$B$86,'IPCC(2006)'!$G$66*1000/Legend!$B$86)</f>
        <v>0</v>
      </c>
      <c r="AC46" s="209">
        <f>IF(SUMIFS('Region Mapping'!$E:$E,'Region Mapping'!$A:$A,AC$39)&gt;0,'IPCC(2006)'!$C$66*1000/Legend!$B$86,'IPCC(2006)'!$G$66*1000/Legend!$B$86)</f>
        <v>0</v>
      </c>
      <c r="AD46" s="220">
        <f>IF(SUMIFS('Region Mapping'!$E:$E,'Region Mapping'!$A:$A,AD$39)&gt;0,'IPCC(2006)'!$C$66*1000/Legend!$B$86,'IPCC(2006)'!$G$66*1000/Legend!$B$86)</f>
        <v>0</v>
      </c>
    </row>
    <row r="47" spans="1:30">
      <c r="A47" s="215" t="s">
        <v>1001</v>
      </c>
      <c r="B47" t="s">
        <v>1002</v>
      </c>
      <c r="C47" s="209">
        <f>IF(SUMIFS('Region Mapping'!$E:$E,'Region Mapping'!$A:$A,C$39)&gt;0,'IPCC(2006)'!$C$68*1000/Legend!$B$86+'IPCC(2006)'!$C$71*1000/Legend!$B$86,'IPCC(2006)'!$G$68*1000/Legend!$B$86+'IPCC(2006)'!$G$71*1000/Legend!$B$86)</f>
        <v>3.216666666666667E-2</v>
      </c>
      <c r="D47" s="209">
        <f>IF(SUMIFS('Region Mapping'!$E:$E,'Region Mapping'!$A:$A,D$39)&gt;0,'IPCC(2006)'!$C$68*1000/Legend!$B$86+'IPCC(2006)'!$C$71*1000/Legend!$B$86,'IPCC(2006)'!$G$68*1000/Legend!$B$86+'IPCC(2006)'!$G$71*1000/Legend!$B$86)</f>
        <v>3.216666666666667E-2</v>
      </c>
      <c r="E47" s="209">
        <f>IF(SUMIFS('Region Mapping'!$E:$E,'Region Mapping'!$A:$A,E$39)&gt;0,'IPCC(2006)'!$C$68*1000/Legend!$B$86+'IPCC(2006)'!$C$71*1000/Legend!$B$86,'IPCC(2006)'!$G$68*1000/Legend!$B$86+'IPCC(2006)'!$G$71*1000/Legend!$B$86)</f>
        <v>3.216666666666667E-2</v>
      </c>
      <c r="F47" s="209">
        <f>IF(SUMIFS('Region Mapping'!$E:$E,'Region Mapping'!$A:$A,F$39)&gt;0,'IPCC(2006)'!$C$68*1000/Legend!$B$86+'IPCC(2006)'!$C$71*1000/Legend!$B$86,'IPCC(2006)'!$G$68*1000/Legend!$B$86+'IPCC(2006)'!$G$71*1000/Legend!$B$86)</f>
        <v>3.216666666666667E-2</v>
      </c>
      <c r="G47" s="209">
        <f>IF(SUMIFS('Region Mapping'!$E:$E,'Region Mapping'!$A:$A,G$39)&gt;0,'IPCC(2006)'!$C$68*1000/Legend!$B$86+'IPCC(2006)'!$C$71*1000/Legend!$B$86,'IPCC(2006)'!$G$68*1000/Legend!$B$86+'IPCC(2006)'!$G$71*1000/Legend!$B$86)</f>
        <v>1.4027777777777778E-2</v>
      </c>
      <c r="H47" s="209">
        <f>IF(SUMIFS('Region Mapping'!$E:$E,'Region Mapping'!$A:$A,H$39)&gt;0,'IPCC(2006)'!$C$68*1000/Legend!$B$86+'IPCC(2006)'!$C$71*1000/Legend!$B$86,'IPCC(2006)'!$G$68*1000/Legend!$B$86+'IPCC(2006)'!$G$71*1000/Legend!$B$86)</f>
        <v>3.216666666666667E-2</v>
      </c>
      <c r="I47" s="209">
        <f>IF(SUMIFS('Region Mapping'!$E:$E,'Region Mapping'!$A:$A,I$39)&gt;0,'IPCC(2006)'!$C$68*1000/Legend!$B$86+'IPCC(2006)'!$C$71*1000/Legend!$B$86,'IPCC(2006)'!$G$68*1000/Legend!$B$86+'IPCC(2006)'!$G$71*1000/Legend!$B$86)</f>
        <v>3.216666666666667E-2</v>
      </c>
      <c r="J47" s="209">
        <f>IF(SUMIFS('Region Mapping'!$E:$E,'Region Mapping'!$A:$A,J$39)&gt;0,'IPCC(2006)'!$C$68*1000/Legend!$B$86+'IPCC(2006)'!$C$71*1000/Legend!$B$86,'IPCC(2006)'!$G$68*1000/Legend!$B$86+'IPCC(2006)'!$G$71*1000/Legend!$B$86)</f>
        <v>3.216666666666667E-2</v>
      </c>
      <c r="K47" s="209">
        <f>IF(SUMIFS('Region Mapping'!$E:$E,'Region Mapping'!$A:$A,K$39)&gt;0,'IPCC(2006)'!$C$68*1000/Legend!$B$86+'IPCC(2006)'!$C$71*1000/Legend!$B$86,'IPCC(2006)'!$G$68*1000/Legend!$B$86+'IPCC(2006)'!$G$71*1000/Legend!$B$86)</f>
        <v>3.216666666666667E-2</v>
      </c>
      <c r="L47" s="209">
        <f>IF(SUMIFS('Region Mapping'!$E:$E,'Region Mapping'!$A:$A,L$39)&gt;0,'IPCC(2006)'!$C$68*1000/Legend!$B$86+'IPCC(2006)'!$C$71*1000/Legend!$B$86,'IPCC(2006)'!$G$68*1000/Legend!$B$86+'IPCC(2006)'!$G$71*1000/Legend!$B$86)</f>
        <v>1.4027777777777778E-2</v>
      </c>
      <c r="M47" s="209">
        <f>IF(SUMIFS('Region Mapping'!$E:$E,'Region Mapping'!$A:$A,M$39)&gt;0,'IPCC(2006)'!$C$68*1000/Legend!$B$86+'IPCC(2006)'!$C$71*1000/Legend!$B$86,'IPCC(2006)'!$G$68*1000/Legend!$B$86+'IPCC(2006)'!$G$71*1000/Legend!$B$86)</f>
        <v>3.216666666666667E-2</v>
      </c>
      <c r="N47" s="209">
        <f>IF(SUMIFS('Region Mapping'!$E:$E,'Region Mapping'!$A:$A,N$39)&gt;0,'IPCC(2006)'!$C$68*1000/Legend!$B$86+'IPCC(2006)'!$C$71*1000/Legend!$B$86,'IPCC(2006)'!$G$68*1000/Legend!$B$86+'IPCC(2006)'!$G$71*1000/Legend!$B$86)</f>
        <v>3.216666666666667E-2</v>
      </c>
      <c r="O47" s="209">
        <f>IF(SUMIFS('Region Mapping'!$E:$E,'Region Mapping'!$A:$A,O$39)&gt;0,'IPCC(2006)'!$C$68*1000/Legend!$B$86+'IPCC(2006)'!$C$71*1000/Legend!$B$86,'IPCC(2006)'!$G$68*1000/Legend!$B$86+'IPCC(2006)'!$G$71*1000/Legend!$B$86)</f>
        <v>3.216666666666667E-2</v>
      </c>
      <c r="P47" s="209">
        <f>IF(SUMIFS('Region Mapping'!$E:$E,'Region Mapping'!$A:$A,P$39)&gt;0,'IPCC(2006)'!$C$68*1000/Legend!$B$86+'IPCC(2006)'!$C$71*1000/Legend!$B$86,'IPCC(2006)'!$G$68*1000/Legend!$B$86+'IPCC(2006)'!$G$71*1000/Legend!$B$86)</f>
        <v>1.4027777777777778E-2</v>
      </c>
      <c r="Q47" s="209">
        <f>IF(SUMIFS('Region Mapping'!$E:$E,'Region Mapping'!$A:$A,Q$39)&gt;0,'IPCC(2006)'!$C$68*1000/Legend!$B$86+'IPCC(2006)'!$C$71*1000/Legend!$B$86,'IPCC(2006)'!$G$68*1000/Legend!$B$86+'IPCC(2006)'!$G$71*1000/Legend!$B$86)</f>
        <v>1.4027777777777778E-2</v>
      </c>
      <c r="R47" s="209">
        <f>IF(SUMIFS('Region Mapping'!$E:$E,'Region Mapping'!$A:$A,R$39)&gt;0,'IPCC(2006)'!$C$68*1000/Legend!$B$86+'IPCC(2006)'!$C$71*1000/Legend!$B$86,'IPCC(2006)'!$G$68*1000/Legend!$B$86+'IPCC(2006)'!$G$71*1000/Legend!$B$86)</f>
        <v>1.4027777777777778E-2</v>
      </c>
      <c r="S47" s="209">
        <f>IF(SUMIFS('Region Mapping'!$E:$E,'Region Mapping'!$A:$A,S$39)&gt;0,'IPCC(2006)'!$C$68*1000/Legend!$B$86+'IPCC(2006)'!$C$71*1000/Legend!$B$86,'IPCC(2006)'!$G$68*1000/Legend!$B$86+'IPCC(2006)'!$G$71*1000/Legend!$B$86)</f>
        <v>1.4027777777777778E-2</v>
      </c>
      <c r="T47" s="209">
        <f>IF(SUMIFS('Region Mapping'!$E:$E,'Region Mapping'!$A:$A,T$39)&gt;0,'IPCC(2006)'!$C$68*1000/Legend!$B$86+'IPCC(2006)'!$C$71*1000/Legend!$B$86,'IPCC(2006)'!$G$68*1000/Legend!$B$86+'IPCC(2006)'!$G$71*1000/Legend!$B$86)</f>
        <v>3.216666666666667E-2</v>
      </c>
      <c r="U47" s="209">
        <f>IF(SUMIFS('Region Mapping'!$E:$E,'Region Mapping'!$A:$A,U$39)&gt;0,'IPCC(2006)'!$C$68*1000/Legend!$B$86+'IPCC(2006)'!$C$71*1000/Legend!$B$86,'IPCC(2006)'!$G$68*1000/Legend!$B$86+'IPCC(2006)'!$G$71*1000/Legend!$B$86)</f>
        <v>3.216666666666667E-2</v>
      </c>
      <c r="V47" s="209">
        <f>IF(SUMIFS('Region Mapping'!$E:$E,'Region Mapping'!$A:$A,V$39)&gt;0,'IPCC(2006)'!$C$68*1000/Legend!$B$86+'IPCC(2006)'!$C$71*1000/Legend!$B$86,'IPCC(2006)'!$G$68*1000/Legend!$B$86+'IPCC(2006)'!$G$71*1000/Legend!$B$86)</f>
        <v>1.4027777777777778E-2</v>
      </c>
      <c r="W47" s="209">
        <f>IF(SUMIFS('Region Mapping'!$E:$E,'Region Mapping'!$A:$A,W$39)&gt;0,'IPCC(2006)'!$C$68*1000/Legend!$B$86+'IPCC(2006)'!$C$71*1000/Legend!$B$86,'IPCC(2006)'!$G$68*1000/Legend!$B$86+'IPCC(2006)'!$G$71*1000/Legend!$B$86)</f>
        <v>3.216666666666667E-2</v>
      </c>
      <c r="X47" s="209">
        <f>IF(SUMIFS('Region Mapping'!$E:$E,'Region Mapping'!$A:$A,X$39)&gt;0,'IPCC(2006)'!$C$68*1000/Legend!$B$86+'IPCC(2006)'!$C$71*1000/Legend!$B$86,'IPCC(2006)'!$G$68*1000/Legend!$B$86+'IPCC(2006)'!$G$71*1000/Legend!$B$86)</f>
        <v>3.216666666666667E-2</v>
      </c>
      <c r="Y47" s="209">
        <f>IF(SUMIFS('Region Mapping'!$E:$E,'Region Mapping'!$A:$A,Y$39)&gt;0,'IPCC(2006)'!$C$68*1000/Legend!$B$86+'IPCC(2006)'!$C$71*1000/Legend!$B$86,'IPCC(2006)'!$G$68*1000/Legend!$B$86+'IPCC(2006)'!$G$71*1000/Legend!$B$86)</f>
        <v>3.216666666666667E-2</v>
      </c>
      <c r="Z47" s="209">
        <f>IF(SUMIFS('Region Mapping'!$E:$E,'Region Mapping'!$A:$A,Z$39)&gt;0,'IPCC(2006)'!$C$68*1000/Legend!$B$86+'IPCC(2006)'!$C$71*1000/Legend!$B$86,'IPCC(2006)'!$G$68*1000/Legend!$B$86+'IPCC(2006)'!$G$71*1000/Legend!$B$86)</f>
        <v>3.216666666666667E-2</v>
      </c>
      <c r="AA47" s="209">
        <f>IF(SUMIFS('Region Mapping'!$E:$E,'Region Mapping'!$A:$A,AA$39)&gt;0,'IPCC(2006)'!$C$68*1000/Legend!$B$86+'IPCC(2006)'!$C$71*1000/Legend!$B$86,'IPCC(2006)'!$G$68*1000/Legend!$B$86+'IPCC(2006)'!$G$71*1000/Legend!$B$86)</f>
        <v>3.216666666666667E-2</v>
      </c>
      <c r="AB47" s="209">
        <f>IF(SUMIFS('Region Mapping'!$E:$E,'Region Mapping'!$A:$A,AB$39)&gt;0,'IPCC(2006)'!$C$68*1000/Legend!$B$86+'IPCC(2006)'!$C$71*1000/Legend!$B$86,'IPCC(2006)'!$G$68*1000/Legend!$B$86+'IPCC(2006)'!$G$71*1000/Legend!$B$86)</f>
        <v>3.216666666666667E-2</v>
      </c>
      <c r="AC47" s="209">
        <f>IF(SUMIFS('Region Mapping'!$E:$E,'Region Mapping'!$A:$A,AC$39)&gt;0,'IPCC(2006)'!$C$68*1000/Legend!$B$86+'IPCC(2006)'!$C$71*1000/Legend!$B$86,'IPCC(2006)'!$G$68*1000/Legend!$B$86+'IPCC(2006)'!$G$71*1000/Legend!$B$86)</f>
        <v>1.4027777777777778E-2</v>
      </c>
      <c r="AD47" s="220">
        <f>IF(SUMIFS('Region Mapping'!$E:$E,'Region Mapping'!$A:$A,AD$39)&gt;0,'IPCC(2006)'!$C$68*1000/Legend!$B$86+'IPCC(2006)'!$C$71*1000/Legend!$B$86,'IPCC(2006)'!$G$68*1000/Legend!$B$86+'IPCC(2006)'!$G$71*1000/Legend!$B$86)</f>
        <v>1.4027777777777778E-2</v>
      </c>
    </row>
    <row r="48" spans="1:30">
      <c r="A48" s="215" t="s">
        <v>1003</v>
      </c>
      <c r="B48" t="s">
        <v>1002</v>
      </c>
      <c r="C48" s="209">
        <f>IF(SUMIFS('Region Mapping'!$E:$E,'Region Mapping'!$A:$A,C$39)&gt;0,'IPCC(2006)'!$C$69*1000/Legend!$B$86,'IPCC(2006)'!$G$69*1000/Legend!$B$86)</f>
        <v>2.055555555555556E-2</v>
      </c>
      <c r="D48" s="209">
        <f>IF(SUMIFS('Region Mapping'!$E:$E,'Region Mapping'!$A:$A,D$39)&gt;0,'IPCC(2006)'!$C$69*1000/Legend!$B$86,'IPCC(2006)'!$G$69*1000/Legend!$B$86)</f>
        <v>2.055555555555556E-2</v>
      </c>
      <c r="E48" s="209">
        <f>IF(SUMIFS('Region Mapping'!$E:$E,'Region Mapping'!$A:$A,E$39)&gt;0,'IPCC(2006)'!$C$69*1000/Legend!$B$86,'IPCC(2006)'!$G$69*1000/Legend!$B$86)</f>
        <v>2.055555555555556E-2</v>
      </c>
      <c r="F48" s="209">
        <f>IF(SUMIFS('Region Mapping'!$E:$E,'Region Mapping'!$A:$A,F$39)&gt;0,'IPCC(2006)'!$C$69*1000/Legend!$B$86,'IPCC(2006)'!$G$69*1000/Legend!$B$86)</f>
        <v>2.055555555555556E-2</v>
      </c>
      <c r="G48" s="209">
        <f>IF(SUMIFS('Region Mapping'!$E:$E,'Region Mapping'!$A:$A,G$39)&gt;0,'IPCC(2006)'!$C$69*1000/Legend!$B$86,'IPCC(2006)'!$G$69*1000/Legend!$B$86)</f>
        <v>8.8888888888888889E-3</v>
      </c>
      <c r="H48" s="209">
        <f>IF(SUMIFS('Region Mapping'!$E:$E,'Region Mapping'!$A:$A,H$39)&gt;0,'IPCC(2006)'!$C$69*1000/Legend!$B$86,'IPCC(2006)'!$G$69*1000/Legend!$B$86)</f>
        <v>2.055555555555556E-2</v>
      </c>
      <c r="I48" s="209">
        <f>IF(SUMIFS('Region Mapping'!$E:$E,'Region Mapping'!$A:$A,I$39)&gt;0,'IPCC(2006)'!$C$69*1000/Legend!$B$86,'IPCC(2006)'!$G$69*1000/Legend!$B$86)</f>
        <v>2.055555555555556E-2</v>
      </c>
      <c r="J48" s="209">
        <f>IF(SUMIFS('Region Mapping'!$E:$E,'Region Mapping'!$A:$A,J$39)&gt;0,'IPCC(2006)'!$C$69*1000/Legend!$B$86,'IPCC(2006)'!$G$69*1000/Legend!$B$86)</f>
        <v>2.055555555555556E-2</v>
      </c>
      <c r="K48" s="209">
        <f>IF(SUMIFS('Region Mapping'!$E:$E,'Region Mapping'!$A:$A,K$39)&gt;0,'IPCC(2006)'!$C$69*1000/Legend!$B$86,'IPCC(2006)'!$G$69*1000/Legend!$B$86)</f>
        <v>2.055555555555556E-2</v>
      </c>
      <c r="L48" s="209">
        <f>IF(SUMIFS('Region Mapping'!$E:$E,'Region Mapping'!$A:$A,L$39)&gt;0,'IPCC(2006)'!$C$69*1000/Legend!$B$86,'IPCC(2006)'!$G$69*1000/Legend!$B$86)</f>
        <v>8.8888888888888889E-3</v>
      </c>
      <c r="M48" s="209">
        <f>IF(SUMIFS('Region Mapping'!$E:$E,'Region Mapping'!$A:$A,M$39)&gt;0,'IPCC(2006)'!$C$69*1000/Legend!$B$86,'IPCC(2006)'!$G$69*1000/Legend!$B$86)</f>
        <v>2.055555555555556E-2</v>
      </c>
      <c r="N48" s="209">
        <f>IF(SUMIFS('Region Mapping'!$E:$E,'Region Mapping'!$A:$A,N$39)&gt;0,'IPCC(2006)'!$C$69*1000/Legend!$B$86,'IPCC(2006)'!$G$69*1000/Legend!$B$86)</f>
        <v>2.055555555555556E-2</v>
      </c>
      <c r="O48" s="209">
        <f>IF(SUMIFS('Region Mapping'!$E:$E,'Region Mapping'!$A:$A,O$39)&gt;0,'IPCC(2006)'!$C$69*1000/Legend!$B$86,'IPCC(2006)'!$G$69*1000/Legend!$B$86)</f>
        <v>2.055555555555556E-2</v>
      </c>
      <c r="P48" s="209">
        <f>IF(SUMIFS('Region Mapping'!$E:$E,'Region Mapping'!$A:$A,P$39)&gt;0,'IPCC(2006)'!$C$69*1000/Legend!$B$86,'IPCC(2006)'!$G$69*1000/Legend!$B$86)</f>
        <v>8.8888888888888889E-3</v>
      </c>
      <c r="Q48" s="209">
        <f>IF(SUMIFS('Region Mapping'!$E:$E,'Region Mapping'!$A:$A,Q$39)&gt;0,'IPCC(2006)'!$C$69*1000/Legend!$B$86,'IPCC(2006)'!$G$69*1000/Legend!$B$86)</f>
        <v>8.8888888888888889E-3</v>
      </c>
      <c r="R48" s="209">
        <f>IF(SUMIFS('Region Mapping'!$E:$E,'Region Mapping'!$A:$A,R$39)&gt;0,'IPCC(2006)'!$C$69*1000/Legend!$B$86,'IPCC(2006)'!$G$69*1000/Legend!$B$86)</f>
        <v>8.8888888888888889E-3</v>
      </c>
      <c r="S48" s="209">
        <f>IF(SUMIFS('Region Mapping'!$E:$E,'Region Mapping'!$A:$A,S$39)&gt;0,'IPCC(2006)'!$C$69*1000/Legend!$B$86,'IPCC(2006)'!$G$69*1000/Legend!$B$86)</f>
        <v>8.8888888888888889E-3</v>
      </c>
      <c r="T48" s="209">
        <f>IF(SUMIFS('Region Mapping'!$E:$E,'Region Mapping'!$A:$A,T$39)&gt;0,'IPCC(2006)'!$C$69*1000/Legend!$B$86,'IPCC(2006)'!$G$69*1000/Legend!$B$86)</f>
        <v>2.055555555555556E-2</v>
      </c>
      <c r="U48" s="209">
        <f>IF(SUMIFS('Region Mapping'!$E:$E,'Region Mapping'!$A:$A,U$39)&gt;0,'IPCC(2006)'!$C$69*1000/Legend!$B$86,'IPCC(2006)'!$G$69*1000/Legend!$B$86)</f>
        <v>2.055555555555556E-2</v>
      </c>
      <c r="V48" s="209">
        <f>IF(SUMIFS('Region Mapping'!$E:$E,'Region Mapping'!$A:$A,V$39)&gt;0,'IPCC(2006)'!$C$69*1000/Legend!$B$86,'IPCC(2006)'!$G$69*1000/Legend!$B$86)</f>
        <v>8.8888888888888889E-3</v>
      </c>
      <c r="W48" s="209">
        <f>IF(SUMIFS('Region Mapping'!$E:$E,'Region Mapping'!$A:$A,W$39)&gt;0,'IPCC(2006)'!$C$69*1000/Legend!$B$86,'IPCC(2006)'!$G$69*1000/Legend!$B$86)</f>
        <v>2.055555555555556E-2</v>
      </c>
      <c r="X48" s="209">
        <f>IF(SUMIFS('Region Mapping'!$E:$E,'Region Mapping'!$A:$A,X$39)&gt;0,'IPCC(2006)'!$C$69*1000/Legend!$B$86,'IPCC(2006)'!$G$69*1000/Legend!$B$86)</f>
        <v>2.055555555555556E-2</v>
      </c>
      <c r="Y48" s="209">
        <f>IF(SUMIFS('Region Mapping'!$E:$E,'Region Mapping'!$A:$A,Y$39)&gt;0,'IPCC(2006)'!$C$69*1000/Legend!$B$86,'IPCC(2006)'!$G$69*1000/Legend!$B$86)</f>
        <v>2.055555555555556E-2</v>
      </c>
      <c r="Z48" s="209">
        <f>IF(SUMIFS('Region Mapping'!$E:$E,'Region Mapping'!$A:$A,Z$39)&gt;0,'IPCC(2006)'!$C$69*1000/Legend!$B$86,'IPCC(2006)'!$G$69*1000/Legend!$B$86)</f>
        <v>2.055555555555556E-2</v>
      </c>
      <c r="AA48" s="209">
        <f>IF(SUMIFS('Region Mapping'!$E:$E,'Region Mapping'!$A:$A,AA$39)&gt;0,'IPCC(2006)'!$C$69*1000/Legend!$B$86,'IPCC(2006)'!$G$69*1000/Legend!$B$86)</f>
        <v>2.055555555555556E-2</v>
      </c>
      <c r="AB48" s="209">
        <f>IF(SUMIFS('Region Mapping'!$E:$E,'Region Mapping'!$A:$A,AB$39)&gt;0,'IPCC(2006)'!$C$69*1000/Legend!$B$86,'IPCC(2006)'!$G$69*1000/Legend!$B$86)</f>
        <v>2.055555555555556E-2</v>
      </c>
      <c r="AC48" s="209">
        <f>IF(SUMIFS('Region Mapping'!$E:$E,'Region Mapping'!$A:$A,AC$39)&gt;0,'IPCC(2006)'!$C$69*1000/Legend!$B$86,'IPCC(2006)'!$G$69*1000/Legend!$B$86)</f>
        <v>8.8888888888888889E-3</v>
      </c>
      <c r="AD48" s="220">
        <f>IF(SUMIFS('Region Mapping'!$E:$E,'Region Mapping'!$A:$A,AD$39)&gt;0,'IPCC(2006)'!$C$69*1000/Legend!$B$86,'IPCC(2006)'!$G$69*1000/Legend!$B$86)</f>
        <v>8.8888888888888889E-3</v>
      </c>
    </row>
    <row r="49" spans="1:30">
      <c r="A49" s="215" t="s">
        <v>1004</v>
      </c>
      <c r="B49" t="s">
        <v>1005</v>
      </c>
      <c r="C49" s="209">
        <f>IF(SUMIFS('Region Mapping'!$E:$E,'Region Mapping'!$A:$A,C$39)&gt;0,'IPCC(2006)'!$C$73*1000/Legend!$B$86,'IPCC(2006)'!$G$73*1000/Legend!$B$86)</f>
        <v>6.9444444444444448E-2</v>
      </c>
      <c r="D49" s="209">
        <f>IF(SUMIFS('Region Mapping'!$E:$E,'Region Mapping'!$A:$A,D$39)&gt;0,'IPCC(2006)'!$C$73*1000/Legend!$B$86,'IPCC(2006)'!$G$73*1000/Legend!$B$86)</f>
        <v>6.9444444444444448E-2</v>
      </c>
      <c r="E49" s="209">
        <f>IF(SUMIFS('Region Mapping'!$E:$E,'Region Mapping'!$A:$A,E$39)&gt;0,'IPCC(2006)'!$C$73*1000/Legend!$B$86,'IPCC(2006)'!$G$73*1000/Legend!$B$86)</f>
        <v>6.9444444444444448E-2</v>
      </c>
      <c r="F49" s="209">
        <f>IF(SUMIFS('Region Mapping'!$E:$E,'Region Mapping'!$A:$A,F$39)&gt;0,'IPCC(2006)'!$C$73*1000/Legend!$B$86,'IPCC(2006)'!$G$73*1000/Legend!$B$86)</f>
        <v>6.9444444444444448E-2</v>
      </c>
      <c r="G49" s="209">
        <f>IF(SUMIFS('Region Mapping'!$E:$E,'Region Mapping'!$A:$A,G$39)&gt;0,'IPCC(2006)'!$C$73*1000/Legend!$B$86,'IPCC(2006)'!$G$73*1000/Legend!$B$86)</f>
        <v>3.0555555555555558E-2</v>
      </c>
      <c r="H49" s="209">
        <f>IF(SUMIFS('Region Mapping'!$E:$E,'Region Mapping'!$A:$A,H$39)&gt;0,'IPCC(2006)'!$C$73*1000/Legend!$B$86,'IPCC(2006)'!$G$73*1000/Legend!$B$86)</f>
        <v>6.9444444444444448E-2</v>
      </c>
      <c r="I49" s="209">
        <f>IF(SUMIFS('Region Mapping'!$E:$E,'Region Mapping'!$A:$A,I$39)&gt;0,'IPCC(2006)'!$C$73*1000/Legend!$B$86,'IPCC(2006)'!$G$73*1000/Legend!$B$86)</f>
        <v>6.9444444444444448E-2</v>
      </c>
      <c r="J49" s="209">
        <f>IF(SUMIFS('Region Mapping'!$E:$E,'Region Mapping'!$A:$A,J$39)&gt;0,'IPCC(2006)'!$C$73*1000/Legend!$B$86,'IPCC(2006)'!$G$73*1000/Legend!$B$86)</f>
        <v>6.9444444444444448E-2</v>
      </c>
      <c r="K49" s="209">
        <f>IF(SUMIFS('Region Mapping'!$E:$E,'Region Mapping'!$A:$A,K$39)&gt;0,'IPCC(2006)'!$C$73*1000/Legend!$B$86,'IPCC(2006)'!$G$73*1000/Legend!$B$86)</f>
        <v>6.9444444444444448E-2</v>
      </c>
      <c r="L49" s="209">
        <f>IF(SUMIFS('Region Mapping'!$E:$E,'Region Mapping'!$A:$A,L$39)&gt;0,'IPCC(2006)'!$C$73*1000/Legend!$B$86,'IPCC(2006)'!$G$73*1000/Legend!$B$86)</f>
        <v>3.0555555555555558E-2</v>
      </c>
      <c r="M49" s="209">
        <f>IF(SUMIFS('Region Mapping'!$E:$E,'Region Mapping'!$A:$A,M$39)&gt;0,'IPCC(2006)'!$C$73*1000/Legend!$B$86,'IPCC(2006)'!$G$73*1000/Legend!$B$86)</f>
        <v>6.9444444444444448E-2</v>
      </c>
      <c r="N49" s="209">
        <f>IF(SUMIFS('Region Mapping'!$E:$E,'Region Mapping'!$A:$A,N$39)&gt;0,'IPCC(2006)'!$C$73*1000/Legend!$B$86,'IPCC(2006)'!$G$73*1000/Legend!$B$86)</f>
        <v>6.9444444444444448E-2</v>
      </c>
      <c r="O49" s="209">
        <f>IF(SUMIFS('Region Mapping'!$E:$E,'Region Mapping'!$A:$A,O$39)&gt;0,'IPCC(2006)'!$C$73*1000/Legend!$B$86,'IPCC(2006)'!$G$73*1000/Legend!$B$86)</f>
        <v>6.9444444444444448E-2</v>
      </c>
      <c r="P49" s="209">
        <f>IF(SUMIFS('Region Mapping'!$E:$E,'Region Mapping'!$A:$A,P$39)&gt;0,'IPCC(2006)'!$C$73*1000/Legend!$B$86,'IPCC(2006)'!$G$73*1000/Legend!$B$86)</f>
        <v>3.0555555555555558E-2</v>
      </c>
      <c r="Q49" s="209">
        <f>IF(SUMIFS('Region Mapping'!$E:$E,'Region Mapping'!$A:$A,Q$39)&gt;0,'IPCC(2006)'!$C$73*1000/Legend!$B$86,'IPCC(2006)'!$G$73*1000/Legend!$B$86)</f>
        <v>3.0555555555555558E-2</v>
      </c>
      <c r="R49" s="209">
        <f>IF(SUMIFS('Region Mapping'!$E:$E,'Region Mapping'!$A:$A,R$39)&gt;0,'IPCC(2006)'!$C$73*1000/Legend!$B$86,'IPCC(2006)'!$G$73*1000/Legend!$B$86)</f>
        <v>3.0555555555555558E-2</v>
      </c>
      <c r="S49" s="209">
        <f>IF(SUMIFS('Region Mapping'!$E:$E,'Region Mapping'!$A:$A,S$39)&gt;0,'IPCC(2006)'!$C$73*1000/Legend!$B$86,'IPCC(2006)'!$G$73*1000/Legend!$B$86)</f>
        <v>3.0555555555555558E-2</v>
      </c>
      <c r="T49" s="209">
        <f>IF(SUMIFS('Region Mapping'!$E:$E,'Region Mapping'!$A:$A,T$39)&gt;0,'IPCC(2006)'!$C$73*1000/Legend!$B$86,'IPCC(2006)'!$G$73*1000/Legend!$B$86)</f>
        <v>6.9444444444444448E-2</v>
      </c>
      <c r="U49" s="209">
        <f>IF(SUMIFS('Region Mapping'!$E:$E,'Region Mapping'!$A:$A,U$39)&gt;0,'IPCC(2006)'!$C$73*1000/Legend!$B$86,'IPCC(2006)'!$G$73*1000/Legend!$B$86)</f>
        <v>6.9444444444444448E-2</v>
      </c>
      <c r="V49" s="209">
        <f>IF(SUMIFS('Region Mapping'!$E:$E,'Region Mapping'!$A:$A,V$39)&gt;0,'IPCC(2006)'!$C$73*1000/Legend!$B$86,'IPCC(2006)'!$G$73*1000/Legend!$B$86)</f>
        <v>3.0555555555555558E-2</v>
      </c>
      <c r="W49" s="209">
        <f>IF(SUMIFS('Region Mapping'!$E:$E,'Region Mapping'!$A:$A,W$39)&gt;0,'IPCC(2006)'!$C$73*1000/Legend!$B$86,'IPCC(2006)'!$G$73*1000/Legend!$B$86)</f>
        <v>6.9444444444444448E-2</v>
      </c>
      <c r="X49" s="209">
        <f>IF(SUMIFS('Region Mapping'!$E:$E,'Region Mapping'!$A:$A,X$39)&gt;0,'IPCC(2006)'!$C$73*1000/Legend!$B$86,'IPCC(2006)'!$G$73*1000/Legend!$B$86)</f>
        <v>6.9444444444444448E-2</v>
      </c>
      <c r="Y49" s="209">
        <f>IF(SUMIFS('Region Mapping'!$E:$E,'Region Mapping'!$A:$A,Y$39)&gt;0,'IPCC(2006)'!$C$73*1000/Legend!$B$86,'IPCC(2006)'!$G$73*1000/Legend!$B$86)</f>
        <v>6.9444444444444448E-2</v>
      </c>
      <c r="Z49" s="209">
        <f>IF(SUMIFS('Region Mapping'!$E:$E,'Region Mapping'!$A:$A,Z$39)&gt;0,'IPCC(2006)'!$C$73*1000/Legend!$B$86,'IPCC(2006)'!$G$73*1000/Legend!$B$86)</f>
        <v>6.9444444444444448E-2</v>
      </c>
      <c r="AA49" s="209">
        <f>IF(SUMIFS('Region Mapping'!$E:$E,'Region Mapping'!$A:$A,AA$39)&gt;0,'IPCC(2006)'!$C$73*1000/Legend!$B$86,'IPCC(2006)'!$G$73*1000/Legend!$B$86)</f>
        <v>6.9444444444444448E-2</v>
      </c>
      <c r="AB49" s="209">
        <f>IF(SUMIFS('Region Mapping'!$E:$E,'Region Mapping'!$A:$A,AB$39)&gt;0,'IPCC(2006)'!$C$73*1000/Legend!$B$86,'IPCC(2006)'!$G$73*1000/Legend!$B$86)</f>
        <v>6.9444444444444448E-2</v>
      </c>
      <c r="AC49" s="209">
        <f>IF(SUMIFS('Region Mapping'!$E:$E,'Region Mapping'!$A:$A,AC$39)&gt;0,'IPCC(2006)'!$C$73*1000/Legend!$B$86,'IPCC(2006)'!$G$73*1000/Legend!$B$86)</f>
        <v>3.0555555555555558E-2</v>
      </c>
      <c r="AD49" s="220">
        <f>IF(SUMIFS('Region Mapping'!$E:$E,'Region Mapping'!$A:$A,AD$39)&gt;0,'IPCC(2006)'!$C$73*1000/Legend!$B$86,'IPCC(2006)'!$G$73*1000/Legend!$B$86)</f>
        <v>3.0555555555555558E-2</v>
      </c>
    </row>
    <row r="50" spans="1:30">
      <c r="A50" s="215" t="s">
        <v>1006</v>
      </c>
      <c r="B50" t="s">
        <v>1007</v>
      </c>
      <c r="C50" s="209">
        <f>IF(SUMIFS('Region Mapping'!$E:$E,'Region Mapping'!$A:$A,C$39)&gt;0,'IPCC(2006)'!$C$75*1000/Legend!$B$96,'IPCC(2006)'!$G$75*1000/Legend!$B$96)</f>
        <v>3.8461538461538464E-3</v>
      </c>
      <c r="D50" s="209">
        <f>IF(SUMIFS('Region Mapping'!$E:$E,'Region Mapping'!$A:$A,D$39)&gt;0,'IPCC(2006)'!$C$75*1000/Legend!$B$96,'IPCC(2006)'!$G$75*1000/Legend!$B$96)</f>
        <v>3.8461538461538464E-3</v>
      </c>
      <c r="E50" s="209">
        <f>IF(SUMIFS('Region Mapping'!$E:$E,'Region Mapping'!$A:$A,E$39)&gt;0,'IPCC(2006)'!$C$75*1000/Legend!$B$96,'IPCC(2006)'!$G$75*1000/Legend!$B$96)</f>
        <v>3.8461538461538464E-3</v>
      </c>
      <c r="F50" s="209">
        <f>IF(SUMIFS('Region Mapping'!$E:$E,'Region Mapping'!$A:$A,F$39)&gt;0,'IPCC(2006)'!$C$75*1000/Legend!$B$96,'IPCC(2006)'!$G$75*1000/Legend!$B$96)</f>
        <v>3.8461538461538464E-3</v>
      </c>
      <c r="G50" s="209">
        <f>IF(SUMIFS('Region Mapping'!$E:$E,'Region Mapping'!$A:$A,G$39)&gt;0,'IPCC(2006)'!$C$75*1000/Legend!$B$96,'IPCC(2006)'!$G$75*1000/Legend!$B$96)</f>
        <v>3.8461538461538464E-3</v>
      </c>
      <c r="H50" s="209">
        <f>IF(SUMIFS('Region Mapping'!$E:$E,'Region Mapping'!$A:$A,H$39)&gt;0,'IPCC(2006)'!$C$75*1000/Legend!$B$96,'IPCC(2006)'!$G$75*1000/Legend!$B$96)</f>
        <v>3.8461538461538464E-3</v>
      </c>
      <c r="I50" s="209">
        <f>IF(SUMIFS('Region Mapping'!$E:$E,'Region Mapping'!$A:$A,I$39)&gt;0,'IPCC(2006)'!$C$75*1000/Legend!$B$96,'IPCC(2006)'!$G$75*1000/Legend!$B$96)</f>
        <v>3.8461538461538464E-3</v>
      </c>
      <c r="J50" s="209">
        <f>IF(SUMIFS('Region Mapping'!$E:$E,'Region Mapping'!$A:$A,J$39)&gt;0,'IPCC(2006)'!$C$75*1000/Legend!$B$96,'IPCC(2006)'!$G$75*1000/Legend!$B$96)</f>
        <v>3.8461538461538464E-3</v>
      </c>
      <c r="K50" s="209">
        <f>IF(SUMIFS('Region Mapping'!$E:$E,'Region Mapping'!$A:$A,K$39)&gt;0,'IPCC(2006)'!$C$75*1000/Legend!$B$96,'IPCC(2006)'!$G$75*1000/Legend!$B$96)</f>
        <v>3.8461538461538464E-3</v>
      </c>
      <c r="L50" s="209">
        <f>IF(SUMIFS('Region Mapping'!$E:$E,'Region Mapping'!$A:$A,L$39)&gt;0,'IPCC(2006)'!$C$75*1000/Legend!$B$96,'IPCC(2006)'!$G$75*1000/Legend!$B$96)</f>
        <v>3.8461538461538464E-3</v>
      </c>
      <c r="M50" s="209">
        <f>IF(SUMIFS('Region Mapping'!$E:$E,'Region Mapping'!$A:$A,M$39)&gt;0,'IPCC(2006)'!$C$75*1000/Legend!$B$96,'IPCC(2006)'!$G$75*1000/Legend!$B$96)</f>
        <v>3.8461538461538464E-3</v>
      </c>
      <c r="N50" s="209">
        <f>IF(SUMIFS('Region Mapping'!$E:$E,'Region Mapping'!$A:$A,N$39)&gt;0,'IPCC(2006)'!$C$75*1000/Legend!$B$96,'IPCC(2006)'!$G$75*1000/Legend!$B$96)</f>
        <v>3.8461538461538464E-3</v>
      </c>
      <c r="O50" s="209">
        <f>IF(SUMIFS('Region Mapping'!$E:$E,'Region Mapping'!$A:$A,O$39)&gt;0,'IPCC(2006)'!$C$75*1000/Legend!$B$96,'IPCC(2006)'!$G$75*1000/Legend!$B$96)</f>
        <v>3.8461538461538464E-3</v>
      </c>
      <c r="P50" s="209">
        <f>IF(SUMIFS('Region Mapping'!$E:$E,'Region Mapping'!$A:$A,P$39)&gt;0,'IPCC(2006)'!$C$75*1000/Legend!$B$96,'IPCC(2006)'!$G$75*1000/Legend!$B$96)</f>
        <v>3.8461538461538464E-3</v>
      </c>
      <c r="Q50" s="209">
        <f>IF(SUMIFS('Region Mapping'!$E:$E,'Region Mapping'!$A:$A,Q$39)&gt;0,'IPCC(2006)'!$C$75*1000/Legend!$B$96,'IPCC(2006)'!$G$75*1000/Legend!$B$96)</f>
        <v>3.8461538461538464E-3</v>
      </c>
      <c r="R50" s="209">
        <f>IF(SUMIFS('Region Mapping'!$E:$E,'Region Mapping'!$A:$A,R$39)&gt;0,'IPCC(2006)'!$C$75*1000/Legend!$B$96,'IPCC(2006)'!$G$75*1000/Legend!$B$96)</f>
        <v>3.8461538461538464E-3</v>
      </c>
      <c r="S50" s="209">
        <f>IF(SUMIFS('Region Mapping'!$E:$E,'Region Mapping'!$A:$A,S$39)&gt;0,'IPCC(2006)'!$C$75*1000/Legend!$B$96,'IPCC(2006)'!$G$75*1000/Legend!$B$96)</f>
        <v>3.8461538461538464E-3</v>
      </c>
      <c r="T50" s="209">
        <f>IF(SUMIFS('Region Mapping'!$E:$E,'Region Mapping'!$A:$A,T$39)&gt;0,'IPCC(2006)'!$C$75*1000/Legend!$B$96,'IPCC(2006)'!$G$75*1000/Legend!$B$96)</f>
        <v>3.8461538461538464E-3</v>
      </c>
      <c r="U50" s="209">
        <f>IF(SUMIFS('Region Mapping'!$E:$E,'Region Mapping'!$A:$A,U$39)&gt;0,'IPCC(2006)'!$C$75*1000/Legend!$B$96,'IPCC(2006)'!$G$75*1000/Legend!$B$96)</f>
        <v>3.8461538461538464E-3</v>
      </c>
      <c r="V50" s="209">
        <f>IF(SUMIFS('Region Mapping'!$E:$E,'Region Mapping'!$A:$A,V$39)&gt;0,'IPCC(2006)'!$C$75*1000/Legend!$B$96,'IPCC(2006)'!$G$75*1000/Legend!$B$96)</f>
        <v>3.8461538461538464E-3</v>
      </c>
      <c r="W50" s="209">
        <f>IF(SUMIFS('Region Mapping'!$E:$E,'Region Mapping'!$A:$A,W$39)&gt;0,'IPCC(2006)'!$C$75*1000/Legend!$B$96,'IPCC(2006)'!$G$75*1000/Legend!$B$96)</f>
        <v>3.8461538461538464E-3</v>
      </c>
      <c r="X50" s="209">
        <f>IF(SUMIFS('Region Mapping'!$E:$E,'Region Mapping'!$A:$A,X$39)&gt;0,'IPCC(2006)'!$C$75*1000/Legend!$B$96,'IPCC(2006)'!$G$75*1000/Legend!$B$96)</f>
        <v>3.8461538461538464E-3</v>
      </c>
      <c r="Y50" s="209">
        <f>IF(SUMIFS('Region Mapping'!$E:$E,'Region Mapping'!$A:$A,Y$39)&gt;0,'IPCC(2006)'!$C$75*1000/Legend!$B$96,'IPCC(2006)'!$G$75*1000/Legend!$B$96)</f>
        <v>3.8461538461538464E-3</v>
      </c>
      <c r="Z50" s="209">
        <f>IF(SUMIFS('Region Mapping'!$E:$E,'Region Mapping'!$A:$A,Z$39)&gt;0,'IPCC(2006)'!$C$75*1000/Legend!$B$96,'IPCC(2006)'!$G$75*1000/Legend!$B$96)</f>
        <v>3.8461538461538464E-3</v>
      </c>
      <c r="AA50" s="209">
        <f>IF(SUMIFS('Region Mapping'!$E:$E,'Region Mapping'!$A:$A,AA$39)&gt;0,'IPCC(2006)'!$C$75*1000/Legend!$B$96,'IPCC(2006)'!$G$75*1000/Legend!$B$96)</f>
        <v>3.8461538461538464E-3</v>
      </c>
      <c r="AB50" s="209">
        <f>IF(SUMIFS('Region Mapping'!$E:$E,'Region Mapping'!$A:$A,AB$39)&gt;0,'IPCC(2006)'!$C$75*1000/Legend!$B$96,'IPCC(2006)'!$G$75*1000/Legend!$B$96)</f>
        <v>3.8461538461538464E-3</v>
      </c>
      <c r="AC50" s="209">
        <f>IF(SUMIFS('Region Mapping'!$E:$E,'Region Mapping'!$A:$A,AC$39)&gt;0,'IPCC(2006)'!$C$75*1000/Legend!$B$96,'IPCC(2006)'!$G$75*1000/Legend!$B$96)</f>
        <v>3.8461538461538464E-3</v>
      </c>
      <c r="AD50" s="220">
        <f>IF(SUMIFS('Region Mapping'!$E:$E,'Region Mapping'!$A:$A,AD$39)&gt;0,'IPCC(2006)'!$C$75*1000/Legend!$B$96,'IPCC(2006)'!$G$75*1000/Legend!$B$96)</f>
        <v>3.8461538461538464E-3</v>
      </c>
    </row>
    <row r="51" spans="1:30">
      <c r="A51" s="215" t="s">
        <v>1008</v>
      </c>
      <c r="B51" t="s">
        <v>1009</v>
      </c>
      <c r="C51" s="209">
        <f>IF(SUMIFS('Region Mapping'!$E:$E,'Region Mapping'!$A:$A,C$39)&gt;0,'IPCC(2006)'!$C$76*1000/Legend!$B$95,'IPCC(2006)'!$G$76*1000/Legend!$B$95)</f>
        <v>0</v>
      </c>
      <c r="D51" s="209">
        <f>IF(SUMIFS('Region Mapping'!$E:$E,'Region Mapping'!$A:$A,D$39)&gt;0,'IPCC(2006)'!$C$76*1000/Legend!$B$95,'IPCC(2006)'!$G$76*1000/Legend!$B$95)</f>
        <v>0</v>
      </c>
      <c r="E51" s="209">
        <f>IF(SUMIFS('Region Mapping'!$E:$E,'Region Mapping'!$A:$A,E$39)&gt;0,'IPCC(2006)'!$C$76*1000/Legend!$B$95,'IPCC(2006)'!$G$76*1000/Legend!$B$95)</f>
        <v>0</v>
      </c>
      <c r="F51" s="209">
        <f>IF(SUMIFS('Region Mapping'!$E:$E,'Region Mapping'!$A:$A,F$39)&gt;0,'IPCC(2006)'!$C$76*1000/Legend!$B$95,'IPCC(2006)'!$G$76*1000/Legend!$B$95)</f>
        <v>0</v>
      </c>
      <c r="G51" s="209">
        <f>IF(SUMIFS('Region Mapping'!$E:$E,'Region Mapping'!$A:$A,G$39)&gt;0,'IPCC(2006)'!$C$76*1000/Legend!$B$95,'IPCC(2006)'!$G$76*1000/Legend!$B$95)</f>
        <v>0</v>
      </c>
      <c r="H51" s="209">
        <f>IF(SUMIFS('Region Mapping'!$E:$E,'Region Mapping'!$A:$A,H$39)&gt;0,'IPCC(2006)'!$C$76*1000/Legend!$B$95,'IPCC(2006)'!$G$76*1000/Legend!$B$95)</f>
        <v>0</v>
      </c>
      <c r="I51" s="209">
        <f>IF(SUMIFS('Region Mapping'!$E:$E,'Region Mapping'!$A:$A,I$39)&gt;0,'IPCC(2006)'!$C$76*1000/Legend!$B$95,'IPCC(2006)'!$G$76*1000/Legend!$B$95)</f>
        <v>0</v>
      </c>
      <c r="J51" s="209">
        <f>IF(SUMIFS('Region Mapping'!$E:$E,'Region Mapping'!$A:$A,J$39)&gt;0,'IPCC(2006)'!$C$76*1000/Legend!$B$95,'IPCC(2006)'!$G$76*1000/Legend!$B$95)</f>
        <v>0</v>
      </c>
      <c r="K51" s="209">
        <f>IF(SUMIFS('Region Mapping'!$E:$E,'Region Mapping'!$A:$A,K$39)&gt;0,'IPCC(2006)'!$C$76*1000/Legend!$B$95,'IPCC(2006)'!$G$76*1000/Legend!$B$95)</f>
        <v>0</v>
      </c>
      <c r="L51" s="209">
        <f>IF(SUMIFS('Region Mapping'!$E:$E,'Region Mapping'!$A:$A,L$39)&gt;0,'IPCC(2006)'!$C$76*1000/Legend!$B$95,'IPCC(2006)'!$G$76*1000/Legend!$B$95)</f>
        <v>0</v>
      </c>
      <c r="M51" s="209">
        <f>IF(SUMIFS('Region Mapping'!$E:$E,'Region Mapping'!$A:$A,M$39)&gt;0,'IPCC(2006)'!$C$76*1000/Legend!$B$95,'IPCC(2006)'!$G$76*1000/Legend!$B$95)</f>
        <v>0</v>
      </c>
      <c r="N51" s="209">
        <f>IF(SUMIFS('Region Mapping'!$E:$E,'Region Mapping'!$A:$A,N$39)&gt;0,'IPCC(2006)'!$C$76*1000/Legend!$B$95,'IPCC(2006)'!$G$76*1000/Legend!$B$95)</f>
        <v>0</v>
      </c>
      <c r="O51" s="209">
        <f>IF(SUMIFS('Region Mapping'!$E:$E,'Region Mapping'!$A:$A,O$39)&gt;0,'IPCC(2006)'!$C$76*1000/Legend!$B$95,'IPCC(2006)'!$G$76*1000/Legend!$B$95)</f>
        <v>0</v>
      </c>
      <c r="P51" s="209">
        <f>IF(SUMIFS('Region Mapping'!$E:$E,'Region Mapping'!$A:$A,P$39)&gt;0,'IPCC(2006)'!$C$76*1000/Legend!$B$95,'IPCC(2006)'!$G$76*1000/Legend!$B$95)</f>
        <v>0</v>
      </c>
      <c r="Q51" s="209">
        <f>IF(SUMIFS('Region Mapping'!$E:$E,'Region Mapping'!$A:$A,Q$39)&gt;0,'IPCC(2006)'!$C$76*1000/Legend!$B$95,'IPCC(2006)'!$G$76*1000/Legend!$B$95)</f>
        <v>0</v>
      </c>
      <c r="R51" s="209">
        <f>IF(SUMIFS('Region Mapping'!$E:$E,'Region Mapping'!$A:$A,R$39)&gt;0,'IPCC(2006)'!$C$76*1000/Legend!$B$95,'IPCC(2006)'!$G$76*1000/Legend!$B$95)</f>
        <v>0</v>
      </c>
      <c r="S51" s="209">
        <f>IF(SUMIFS('Region Mapping'!$E:$E,'Region Mapping'!$A:$A,S$39)&gt;0,'IPCC(2006)'!$C$76*1000/Legend!$B$95,'IPCC(2006)'!$G$76*1000/Legend!$B$95)</f>
        <v>0</v>
      </c>
      <c r="T51" s="209">
        <f>IF(SUMIFS('Region Mapping'!$E:$E,'Region Mapping'!$A:$A,T$39)&gt;0,'IPCC(2006)'!$C$76*1000/Legend!$B$95,'IPCC(2006)'!$G$76*1000/Legend!$B$95)</f>
        <v>0</v>
      </c>
      <c r="U51" s="209">
        <f>IF(SUMIFS('Region Mapping'!$E:$E,'Region Mapping'!$A:$A,U$39)&gt;0,'IPCC(2006)'!$C$76*1000/Legend!$B$95,'IPCC(2006)'!$G$76*1000/Legend!$B$95)</f>
        <v>0</v>
      </c>
      <c r="V51" s="209">
        <f>IF(SUMIFS('Region Mapping'!$E:$E,'Region Mapping'!$A:$A,V$39)&gt;0,'IPCC(2006)'!$C$76*1000/Legend!$B$95,'IPCC(2006)'!$G$76*1000/Legend!$B$95)</f>
        <v>0</v>
      </c>
      <c r="W51" s="209">
        <f>IF(SUMIFS('Region Mapping'!$E:$E,'Region Mapping'!$A:$A,W$39)&gt;0,'IPCC(2006)'!$C$76*1000/Legend!$B$95,'IPCC(2006)'!$G$76*1000/Legend!$B$95)</f>
        <v>0</v>
      </c>
      <c r="X51" s="209">
        <f>IF(SUMIFS('Region Mapping'!$E:$E,'Region Mapping'!$A:$A,X$39)&gt;0,'IPCC(2006)'!$C$76*1000/Legend!$B$95,'IPCC(2006)'!$G$76*1000/Legend!$B$95)</f>
        <v>0</v>
      </c>
      <c r="Y51" s="209">
        <f>IF(SUMIFS('Region Mapping'!$E:$E,'Region Mapping'!$A:$A,Y$39)&gt;0,'IPCC(2006)'!$C$76*1000/Legend!$B$95,'IPCC(2006)'!$G$76*1000/Legend!$B$95)</f>
        <v>0</v>
      </c>
      <c r="Z51" s="209">
        <f>IF(SUMIFS('Region Mapping'!$E:$E,'Region Mapping'!$A:$A,Z$39)&gt;0,'IPCC(2006)'!$C$76*1000/Legend!$B$95,'IPCC(2006)'!$G$76*1000/Legend!$B$95)</f>
        <v>0</v>
      </c>
      <c r="AA51" s="209">
        <f>IF(SUMIFS('Region Mapping'!$E:$E,'Region Mapping'!$A:$A,AA$39)&gt;0,'IPCC(2006)'!$C$76*1000/Legend!$B$95,'IPCC(2006)'!$G$76*1000/Legend!$B$95)</f>
        <v>0</v>
      </c>
      <c r="AB51" s="209">
        <f>IF(SUMIFS('Region Mapping'!$E:$E,'Region Mapping'!$A:$A,AB$39)&gt;0,'IPCC(2006)'!$C$76*1000/Legend!$B$95,'IPCC(2006)'!$G$76*1000/Legend!$B$95)</f>
        <v>0</v>
      </c>
      <c r="AC51" s="209">
        <f>IF(SUMIFS('Region Mapping'!$E:$E,'Region Mapping'!$A:$A,AC$39)&gt;0,'IPCC(2006)'!$C$76*1000/Legend!$B$95,'IPCC(2006)'!$G$76*1000/Legend!$B$95)</f>
        <v>0</v>
      </c>
      <c r="AD51" s="220">
        <f>IF(SUMIFS('Region Mapping'!$E:$E,'Region Mapping'!$A:$A,AD$39)&gt;0,'IPCC(2006)'!$C$76*1000/Legend!$B$95,'IPCC(2006)'!$G$76*1000/Legend!$B$95)</f>
        <v>0</v>
      </c>
    </row>
    <row r="52" spans="1:30">
      <c r="A52" s="215" t="s">
        <v>1010</v>
      </c>
      <c r="B52" t="s">
        <v>1011</v>
      </c>
      <c r="C52" s="209">
        <f>IF(SUMIFS('Region Mapping'!$E:$E,'Region Mapping'!$A:$A,C$39)&gt;0,'IPCC(2006)'!$C$77*1000/Legend!$B$86,'IPCC(2006)'!$G$77*1000/Legend!$B$86)</f>
        <v>0</v>
      </c>
      <c r="D52" s="209">
        <f>IF(SUMIFS('Region Mapping'!$E:$E,'Region Mapping'!$A:$A,D$39)&gt;0,'IPCC(2006)'!$C$77*1000/Legend!$B$86,'IPCC(2006)'!$G$77*1000/Legend!$B$86)</f>
        <v>0</v>
      </c>
      <c r="E52" s="209">
        <f>IF(SUMIFS('Region Mapping'!$E:$E,'Region Mapping'!$A:$A,E$39)&gt;0,'IPCC(2006)'!$C$77*1000/Legend!$B$86,'IPCC(2006)'!$G$77*1000/Legend!$B$86)</f>
        <v>0</v>
      </c>
      <c r="F52" s="209">
        <f>IF(SUMIFS('Region Mapping'!$E:$E,'Region Mapping'!$A:$A,F$39)&gt;0,'IPCC(2006)'!$C$77*1000/Legend!$B$86,'IPCC(2006)'!$G$77*1000/Legend!$B$86)</f>
        <v>0</v>
      </c>
      <c r="G52" s="209">
        <f>IF(SUMIFS('Region Mapping'!$E:$E,'Region Mapping'!$A:$A,G$39)&gt;0,'IPCC(2006)'!$C$77*1000/Legend!$B$86,'IPCC(2006)'!$G$77*1000/Legend!$B$86)</f>
        <v>0</v>
      </c>
      <c r="H52" s="209">
        <f>IF(SUMIFS('Region Mapping'!$E:$E,'Region Mapping'!$A:$A,H$39)&gt;0,'IPCC(2006)'!$C$77*1000/Legend!$B$86,'IPCC(2006)'!$G$77*1000/Legend!$B$86)</f>
        <v>0</v>
      </c>
      <c r="I52" s="209">
        <f>IF(SUMIFS('Region Mapping'!$E:$E,'Region Mapping'!$A:$A,I$39)&gt;0,'IPCC(2006)'!$C$77*1000/Legend!$B$86,'IPCC(2006)'!$G$77*1000/Legend!$B$86)</f>
        <v>0</v>
      </c>
      <c r="J52" s="209">
        <f>IF(SUMIFS('Region Mapping'!$E:$E,'Region Mapping'!$A:$A,J$39)&gt;0,'IPCC(2006)'!$C$77*1000/Legend!$B$86,'IPCC(2006)'!$G$77*1000/Legend!$B$86)</f>
        <v>0</v>
      </c>
      <c r="K52" s="209">
        <f>IF(SUMIFS('Region Mapping'!$E:$E,'Region Mapping'!$A:$A,K$39)&gt;0,'IPCC(2006)'!$C$77*1000/Legend!$B$86,'IPCC(2006)'!$G$77*1000/Legend!$B$86)</f>
        <v>0</v>
      </c>
      <c r="L52" s="209">
        <f>IF(SUMIFS('Region Mapping'!$E:$E,'Region Mapping'!$A:$A,L$39)&gt;0,'IPCC(2006)'!$C$77*1000/Legend!$B$86,'IPCC(2006)'!$G$77*1000/Legend!$B$86)</f>
        <v>0</v>
      </c>
      <c r="M52" s="209">
        <f>IF(SUMIFS('Region Mapping'!$E:$E,'Region Mapping'!$A:$A,M$39)&gt;0,'IPCC(2006)'!$C$77*1000/Legend!$B$86,'IPCC(2006)'!$G$77*1000/Legend!$B$86)</f>
        <v>0</v>
      </c>
      <c r="N52" s="209">
        <f>IF(SUMIFS('Region Mapping'!$E:$E,'Region Mapping'!$A:$A,N$39)&gt;0,'IPCC(2006)'!$C$77*1000/Legend!$B$86,'IPCC(2006)'!$G$77*1000/Legend!$B$86)</f>
        <v>0</v>
      </c>
      <c r="O52" s="209">
        <f>IF(SUMIFS('Region Mapping'!$E:$E,'Region Mapping'!$A:$A,O$39)&gt;0,'IPCC(2006)'!$C$77*1000/Legend!$B$86,'IPCC(2006)'!$G$77*1000/Legend!$B$86)</f>
        <v>0</v>
      </c>
      <c r="P52" s="209">
        <f>IF(SUMIFS('Region Mapping'!$E:$E,'Region Mapping'!$A:$A,P$39)&gt;0,'IPCC(2006)'!$C$77*1000/Legend!$B$86,'IPCC(2006)'!$G$77*1000/Legend!$B$86)</f>
        <v>0</v>
      </c>
      <c r="Q52" s="209">
        <f>IF(SUMIFS('Region Mapping'!$E:$E,'Region Mapping'!$A:$A,Q$39)&gt;0,'IPCC(2006)'!$C$77*1000/Legend!$B$86,'IPCC(2006)'!$G$77*1000/Legend!$B$86)</f>
        <v>0</v>
      </c>
      <c r="R52" s="209">
        <f>IF(SUMIFS('Region Mapping'!$E:$E,'Region Mapping'!$A:$A,R$39)&gt;0,'IPCC(2006)'!$C$77*1000/Legend!$B$86,'IPCC(2006)'!$G$77*1000/Legend!$B$86)</f>
        <v>0</v>
      </c>
      <c r="S52" s="209">
        <f>IF(SUMIFS('Region Mapping'!$E:$E,'Region Mapping'!$A:$A,S$39)&gt;0,'IPCC(2006)'!$C$77*1000/Legend!$B$86,'IPCC(2006)'!$G$77*1000/Legend!$B$86)</f>
        <v>0</v>
      </c>
      <c r="T52" s="209">
        <f>IF(SUMIFS('Region Mapping'!$E:$E,'Region Mapping'!$A:$A,T$39)&gt;0,'IPCC(2006)'!$C$77*1000/Legend!$B$86,'IPCC(2006)'!$G$77*1000/Legend!$B$86)</f>
        <v>0</v>
      </c>
      <c r="U52" s="209">
        <f>IF(SUMIFS('Region Mapping'!$E:$E,'Region Mapping'!$A:$A,U$39)&gt;0,'IPCC(2006)'!$C$77*1000/Legend!$B$86,'IPCC(2006)'!$G$77*1000/Legend!$B$86)</f>
        <v>0</v>
      </c>
      <c r="V52" s="209">
        <f>IF(SUMIFS('Region Mapping'!$E:$E,'Region Mapping'!$A:$A,V$39)&gt;0,'IPCC(2006)'!$C$77*1000/Legend!$B$86,'IPCC(2006)'!$G$77*1000/Legend!$B$86)</f>
        <v>0</v>
      </c>
      <c r="W52" s="209">
        <f>IF(SUMIFS('Region Mapping'!$E:$E,'Region Mapping'!$A:$A,W$39)&gt;0,'IPCC(2006)'!$C$77*1000/Legend!$B$86,'IPCC(2006)'!$G$77*1000/Legend!$B$86)</f>
        <v>0</v>
      </c>
      <c r="X52" s="209">
        <f>IF(SUMIFS('Region Mapping'!$E:$E,'Region Mapping'!$A:$A,X$39)&gt;0,'IPCC(2006)'!$C$77*1000/Legend!$B$86,'IPCC(2006)'!$G$77*1000/Legend!$B$86)</f>
        <v>0</v>
      </c>
      <c r="Y52" s="209">
        <f>IF(SUMIFS('Region Mapping'!$E:$E,'Region Mapping'!$A:$A,Y$39)&gt;0,'IPCC(2006)'!$C$77*1000/Legend!$B$86,'IPCC(2006)'!$G$77*1000/Legend!$B$86)</f>
        <v>0</v>
      </c>
      <c r="Z52" s="209">
        <f>IF(SUMIFS('Region Mapping'!$E:$E,'Region Mapping'!$A:$A,Z$39)&gt;0,'IPCC(2006)'!$C$77*1000/Legend!$B$86,'IPCC(2006)'!$G$77*1000/Legend!$B$86)</f>
        <v>0</v>
      </c>
      <c r="AA52" s="209">
        <f>IF(SUMIFS('Region Mapping'!$E:$E,'Region Mapping'!$A:$A,AA$39)&gt;0,'IPCC(2006)'!$C$77*1000/Legend!$B$86,'IPCC(2006)'!$G$77*1000/Legend!$B$86)</f>
        <v>0</v>
      </c>
      <c r="AB52" s="209">
        <f>IF(SUMIFS('Region Mapping'!$E:$E,'Region Mapping'!$A:$A,AB$39)&gt;0,'IPCC(2006)'!$C$77*1000/Legend!$B$86,'IPCC(2006)'!$G$77*1000/Legend!$B$86)</f>
        <v>0</v>
      </c>
      <c r="AC52" s="209">
        <f>IF(SUMIFS('Region Mapping'!$E:$E,'Region Mapping'!$A:$A,AC$39)&gt;0,'IPCC(2006)'!$C$77*1000/Legend!$B$86,'IPCC(2006)'!$G$77*1000/Legend!$B$86)</f>
        <v>0</v>
      </c>
      <c r="AD52" s="220">
        <f>IF(SUMIFS('Region Mapping'!$E:$E,'Region Mapping'!$A:$A,AD$39)&gt;0,'IPCC(2006)'!$C$77*1000/Legend!$B$86,'IPCC(2006)'!$G$77*1000/Legend!$B$86)</f>
        <v>0</v>
      </c>
    </row>
    <row r="53" spans="1:30">
      <c r="A53" s="215" t="s">
        <v>1012</v>
      </c>
      <c r="B53" t="s">
        <v>1013</v>
      </c>
      <c r="C53" s="209">
        <f>IF(SUMIFS('Region Mapping'!$E:$E,'Region Mapping'!$A:$A,C$39)&gt;0,('IPCC(2006)'!$C$79+'IPCC(2006)'!$C$80+'IPCC(2006)'!$C$81+'IPCC(2006)'!$C$82)*1000/(Legend!$B$83*Legend!$B$82*Legend!$B$84),('IPCC(2006)'!$G$79+'IPCC(2006)'!$G$80+'IPCC(2006)'!$G$81+'IPCC(2006)'!$G$82)*1000/(Legend!$B$83*Legend!$B$82*Legend!$B$84))</f>
        <v>1.0447588052112293</v>
      </c>
      <c r="D53" s="209">
        <f>IF(SUMIFS('Region Mapping'!$E:$E,'Region Mapping'!$A:$A,D$39)&gt;0,('IPCC(2006)'!$C$79+'IPCC(2006)'!$C$80+'IPCC(2006)'!$C$81+'IPCC(2006)'!$C$82)*1000/(Legend!$B$83*Legend!$B$82*Legend!$B$84),('IPCC(2006)'!$G$79+'IPCC(2006)'!$G$80+'IPCC(2006)'!$G$81+'IPCC(2006)'!$G$82)*1000/(Legend!$B$83*Legend!$B$82*Legend!$B$84))</f>
        <v>1.0447588052112293</v>
      </c>
      <c r="E53" s="209">
        <f>IF(SUMIFS('Region Mapping'!$E:$E,'Region Mapping'!$A:$A,E$39)&gt;0,('IPCC(2006)'!$C$79+'IPCC(2006)'!$C$80+'IPCC(2006)'!$C$81+'IPCC(2006)'!$C$82)*1000/(Legend!$B$83*Legend!$B$82*Legend!$B$84),('IPCC(2006)'!$G$79+'IPCC(2006)'!$G$80+'IPCC(2006)'!$G$81+'IPCC(2006)'!$G$82)*1000/(Legend!$B$83*Legend!$B$82*Legend!$B$84))</f>
        <v>1.0447588052112293</v>
      </c>
      <c r="F53" s="209">
        <f>IF(SUMIFS('Region Mapping'!$E:$E,'Region Mapping'!$A:$A,F$39)&gt;0,('IPCC(2006)'!$C$79+'IPCC(2006)'!$C$80+'IPCC(2006)'!$C$81+'IPCC(2006)'!$C$82)*1000/(Legend!$B$83*Legend!$B$82*Legend!$B$84),('IPCC(2006)'!$G$79+'IPCC(2006)'!$G$80+'IPCC(2006)'!$G$81+'IPCC(2006)'!$G$82)*1000/(Legend!$B$83*Legend!$B$82*Legend!$B$84))</f>
        <v>1.0447588052112293</v>
      </c>
      <c r="G53" s="209">
        <f>IF(SUMIFS('Region Mapping'!$E:$E,'Region Mapping'!$A:$A,G$39)&gt;0,('IPCC(2006)'!$C$79+'IPCC(2006)'!$C$80+'IPCC(2006)'!$C$81+'IPCC(2006)'!$C$82)*1000/(Legend!$B$83*Legend!$B$82*Legend!$B$84),('IPCC(2006)'!$G$79+'IPCC(2006)'!$G$80+'IPCC(2006)'!$G$81+'IPCC(2006)'!$G$82)*1000/(Legend!$B$83*Legend!$B$82*Legend!$B$84))</f>
        <v>6.2202252665398736E-2</v>
      </c>
      <c r="H53" s="209">
        <f>IF(SUMIFS('Region Mapping'!$E:$E,'Region Mapping'!$A:$A,H$39)&gt;0,('IPCC(2006)'!$C$79+'IPCC(2006)'!$C$80+'IPCC(2006)'!$C$81+'IPCC(2006)'!$C$82)*1000/(Legend!$B$83*Legend!$B$82*Legend!$B$84),('IPCC(2006)'!$G$79+'IPCC(2006)'!$G$80+'IPCC(2006)'!$G$81+'IPCC(2006)'!$G$82)*1000/(Legend!$B$83*Legend!$B$82*Legend!$B$84))</f>
        <v>1.0447588052112293</v>
      </c>
      <c r="I53" s="209">
        <f>IF(SUMIFS('Region Mapping'!$E:$E,'Region Mapping'!$A:$A,I$39)&gt;0,('IPCC(2006)'!$C$79+'IPCC(2006)'!$C$80+'IPCC(2006)'!$C$81+'IPCC(2006)'!$C$82)*1000/(Legend!$B$83*Legend!$B$82*Legend!$B$84),('IPCC(2006)'!$G$79+'IPCC(2006)'!$G$80+'IPCC(2006)'!$G$81+'IPCC(2006)'!$G$82)*1000/(Legend!$B$83*Legend!$B$82*Legend!$B$84))</f>
        <v>1.0447588052112293</v>
      </c>
      <c r="J53" s="209">
        <f>IF(SUMIFS('Region Mapping'!$E:$E,'Region Mapping'!$A:$A,J$39)&gt;0,('IPCC(2006)'!$C$79+'IPCC(2006)'!$C$80+'IPCC(2006)'!$C$81+'IPCC(2006)'!$C$82)*1000/(Legend!$B$83*Legend!$B$82*Legend!$B$84),('IPCC(2006)'!$G$79+'IPCC(2006)'!$G$80+'IPCC(2006)'!$G$81+'IPCC(2006)'!$G$82)*1000/(Legend!$B$83*Legend!$B$82*Legend!$B$84))</f>
        <v>1.0447588052112293</v>
      </c>
      <c r="K53" s="209">
        <f>IF(SUMIFS('Region Mapping'!$E:$E,'Region Mapping'!$A:$A,K$39)&gt;0,('IPCC(2006)'!$C$79+'IPCC(2006)'!$C$80+'IPCC(2006)'!$C$81+'IPCC(2006)'!$C$82)*1000/(Legend!$B$83*Legend!$B$82*Legend!$B$84),('IPCC(2006)'!$G$79+'IPCC(2006)'!$G$80+'IPCC(2006)'!$G$81+'IPCC(2006)'!$G$82)*1000/(Legend!$B$83*Legend!$B$82*Legend!$B$84))</f>
        <v>1.0447588052112293</v>
      </c>
      <c r="L53" s="209">
        <f>IF(SUMIFS('Region Mapping'!$E:$E,'Region Mapping'!$A:$A,L$39)&gt;0,('IPCC(2006)'!$C$79+'IPCC(2006)'!$C$80+'IPCC(2006)'!$C$81+'IPCC(2006)'!$C$82)*1000/(Legend!$B$83*Legend!$B$82*Legend!$B$84),('IPCC(2006)'!$G$79+'IPCC(2006)'!$G$80+'IPCC(2006)'!$G$81+'IPCC(2006)'!$G$82)*1000/(Legend!$B$83*Legend!$B$82*Legend!$B$84))</f>
        <v>6.2202252665398736E-2</v>
      </c>
      <c r="M53" s="209">
        <f>IF(SUMIFS('Region Mapping'!$E:$E,'Region Mapping'!$A:$A,M$39)&gt;0,('IPCC(2006)'!$C$79+'IPCC(2006)'!$C$80+'IPCC(2006)'!$C$81+'IPCC(2006)'!$C$82)*1000/(Legend!$B$83*Legend!$B$82*Legend!$B$84),('IPCC(2006)'!$G$79+'IPCC(2006)'!$G$80+'IPCC(2006)'!$G$81+'IPCC(2006)'!$G$82)*1000/(Legend!$B$83*Legend!$B$82*Legend!$B$84))</f>
        <v>1.0447588052112293</v>
      </c>
      <c r="N53" s="209">
        <f>IF(SUMIFS('Region Mapping'!$E:$E,'Region Mapping'!$A:$A,N$39)&gt;0,('IPCC(2006)'!$C$79+'IPCC(2006)'!$C$80+'IPCC(2006)'!$C$81+'IPCC(2006)'!$C$82)*1000/(Legend!$B$83*Legend!$B$82*Legend!$B$84),('IPCC(2006)'!$G$79+'IPCC(2006)'!$G$80+'IPCC(2006)'!$G$81+'IPCC(2006)'!$G$82)*1000/(Legend!$B$83*Legend!$B$82*Legend!$B$84))</f>
        <v>1.0447588052112293</v>
      </c>
      <c r="O53" s="209">
        <f>IF(SUMIFS('Region Mapping'!$E:$E,'Region Mapping'!$A:$A,O$39)&gt;0,('IPCC(2006)'!$C$79+'IPCC(2006)'!$C$80+'IPCC(2006)'!$C$81+'IPCC(2006)'!$C$82)*1000/(Legend!$B$83*Legend!$B$82*Legend!$B$84),('IPCC(2006)'!$G$79+'IPCC(2006)'!$G$80+'IPCC(2006)'!$G$81+'IPCC(2006)'!$G$82)*1000/(Legend!$B$83*Legend!$B$82*Legend!$B$84))</f>
        <v>1.0447588052112293</v>
      </c>
      <c r="P53" s="209">
        <f>IF(SUMIFS('Region Mapping'!$E:$E,'Region Mapping'!$A:$A,P$39)&gt;0,('IPCC(2006)'!$C$79+'IPCC(2006)'!$C$80+'IPCC(2006)'!$C$81+'IPCC(2006)'!$C$82)*1000/(Legend!$B$83*Legend!$B$82*Legend!$B$84),('IPCC(2006)'!$G$79+'IPCC(2006)'!$G$80+'IPCC(2006)'!$G$81+'IPCC(2006)'!$G$82)*1000/(Legend!$B$83*Legend!$B$82*Legend!$B$84))</f>
        <v>6.2202252665398736E-2</v>
      </c>
      <c r="Q53" s="209">
        <f>IF(SUMIFS('Region Mapping'!$E:$E,'Region Mapping'!$A:$A,Q$39)&gt;0,('IPCC(2006)'!$C$79+'IPCC(2006)'!$C$80+'IPCC(2006)'!$C$81+'IPCC(2006)'!$C$82)*1000/(Legend!$B$83*Legend!$B$82*Legend!$B$84),('IPCC(2006)'!$G$79+'IPCC(2006)'!$G$80+'IPCC(2006)'!$G$81+'IPCC(2006)'!$G$82)*1000/(Legend!$B$83*Legend!$B$82*Legend!$B$84))</f>
        <v>6.2202252665398736E-2</v>
      </c>
      <c r="R53" s="209">
        <f>IF(SUMIFS('Region Mapping'!$E:$E,'Region Mapping'!$A:$A,R$39)&gt;0,('IPCC(2006)'!$C$79+'IPCC(2006)'!$C$80+'IPCC(2006)'!$C$81+'IPCC(2006)'!$C$82)*1000/(Legend!$B$83*Legend!$B$82*Legend!$B$84),('IPCC(2006)'!$G$79+'IPCC(2006)'!$G$80+'IPCC(2006)'!$G$81+'IPCC(2006)'!$G$82)*1000/(Legend!$B$83*Legend!$B$82*Legend!$B$84))</f>
        <v>6.2202252665398736E-2</v>
      </c>
      <c r="S53" s="209">
        <f>IF(SUMIFS('Region Mapping'!$E:$E,'Region Mapping'!$A:$A,S$39)&gt;0,('IPCC(2006)'!$C$79+'IPCC(2006)'!$C$80+'IPCC(2006)'!$C$81+'IPCC(2006)'!$C$82)*1000/(Legend!$B$83*Legend!$B$82*Legend!$B$84),('IPCC(2006)'!$G$79+'IPCC(2006)'!$G$80+'IPCC(2006)'!$G$81+'IPCC(2006)'!$G$82)*1000/(Legend!$B$83*Legend!$B$82*Legend!$B$84))</f>
        <v>6.2202252665398736E-2</v>
      </c>
      <c r="T53" s="209">
        <f>IF(SUMIFS('Region Mapping'!$E:$E,'Region Mapping'!$A:$A,T$39)&gt;0,('IPCC(2006)'!$C$79+'IPCC(2006)'!$C$80+'IPCC(2006)'!$C$81+'IPCC(2006)'!$C$82)*1000/(Legend!$B$83*Legend!$B$82*Legend!$B$84),('IPCC(2006)'!$G$79+'IPCC(2006)'!$G$80+'IPCC(2006)'!$G$81+'IPCC(2006)'!$G$82)*1000/(Legend!$B$83*Legend!$B$82*Legend!$B$84))</f>
        <v>1.0447588052112293</v>
      </c>
      <c r="U53" s="209">
        <f>IF(SUMIFS('Region Mapping'!$E:$E,'Region Mapping'!$A:$A,U$39)&gt;0,('IPCC(2006)'!$C$79+'IPCC(2006)'!$C$80+'IPCC(2006)'!$C$81+'IPCC(2006)'!$C$82)*1000/(Legend!$B$83*Legend!$B$82*Legend!$B$84),('IPCC(2006)'!$G$79+'IPCC(2006)'!$G$80+'IPCC(2006)'!$G$81+'IPCC(2006)'!$G$82)*1000/(Legend!$B$83*Legend!$B$82*Legend!$B$84))</f>
        <v>1.0447588052112293</v>
      </c>
      <c r="V53" s="209">
        <f>IF(SUMIFS('Region Mapping'!$E:$E,'Region Mapping'!$A:$A,V$39)&gt;0,('IPCC(2006)'!$C$79+'IPCC(2006)'!$C$80+'IPCC(2006)'!$C$81+'IPCC(2006)'!$C$82)*1000/(Legend!$B$83*Legend!$B$82*Legend!$B$84),('IPCC(2006)'!$G$79+'IPCC(2006)'!$G$80+'IPCC(2006)'!$G$81+'IPCC(2006)'!$G$82)*1000/(Legend!$B$83*Legend!$B$82*Legend!$B$84))</f>
        <v>6.2202252665398736E-2</v>
      </c>
      <c r="W53" s="209">
        <f>IF(SUMIFS('Region Mapping'!$E:$E,'Region Mapping'!$A:$A,W$39)&gt;0,('IPCC(2006)'!$C$79+'IPCC(2006)'!$C$80+'IPCC(2006)'!$C$81+'IPCC(2006)'!$C$82)*1000/(Legend!$B$83*Legend!$B$82*Legend!$B$84),('IPCC(2006)'!$G$79+'IPCC(2006)'!$G$80+'IPCC(2006)'!$G$81+'IPCC(2006)'!$G$82)*1000/(Legend!$B$83*Legend!$B$82*Legend!$B$84))</f>
        <v>1.0447588052112293</v>
      </c>
      <c r="X53" s="209">
        <f>IF(SUMIFS('Region Mapping'!$E:$E,'Region Mapping'!$A:$A,X$39)&gt;0,('IPCC(2006)'!$C$79+'IPCC(2006)'!$C$80+'IPCC(2006)'!$C$81+'IPCC(2006)'!$C$82)*1000/(Legend!$B$83*Legend!$B$82*Legend!$B$84),('IPCC(2006)'!$G$79+'IPCC(2006)'!$G$80+'IPCC(2006)'!$G$81+'IPCC(2006)'!$G$82)*1000/(Legend!$B$83*Legend!$B$82*Legend!$B$84))</f>
        <v>1.0447588052112293</v>
      </c>
      <c r="Y53" s="209">
        <f>IF(SUMIFS('Region Mapping'!$E:$E,'Region Mapping'!$A:$A,Y$39)&gt;0,('IPCC(2006)'!$C$79+'IPCC(2006)'!$C$80+'IPCC(2006)'!$C$81+'IPCC(2006)'!$C$82)*1000/(Legend!$B$83*Legend!$B$82*Legend!$B$84),('IPCC(2006)'!$G$79+'IPCC(2006)'!$G$80+'IPCC(2006)'!$G$81+'IPCC(2006)'!$G$82)*1000/(Legend!$B$83*Legend!$B$82*Legend!$B$84))</f>
        <v>1.0447588052112293</v>
      </c>
      <c r="Z53" s="209">
        <f>IF(SUMIFS('Region Mapping'!$E:$E,'Region Mapping'!$A:$A,Z$39)&gt;0,('IPCC(2006)'!$C$79+'IPCC(2006)'!$C$80+'IPCC(2006)'!$C$81+'IPCC(2006)'!$C$82)*1000/(Legend!$B$83*Legend!$B$82*Legend!$B$84),('IPCC(2006)'!$G$79+'IPCC(2006)'!$G$80+'IPCC(2006)'!$G$81+'IPCC(2006)'!$G$82)*1000/(Legend!$B$83*Legend!$B$82*Legend!$B$84))</f>
        <v>1.0447588052112293</v>
      </c>
      <c r="AA53" s="209">
        <f>IF(SUMIFS('Region Mapping'!$E:$E,'Region Mapping'!$A:$A,AA$39)&gt;0,('IPCC(2006)'!$C$79+'IPCC(2006)'!$C$80+'IPCC(2006)'!$C$81+'IPCC(2006)'!$C$82)*1000/(Legend!$B$83*Legend!$B$82*Legend!$B$84),('IPCC(2006)'!$G$79+'IPCC(2006)'!$G$80+'IPCC(2006)'!$G$81+'IPCC(2006)'!$G$82)*1000/(Legend!$B$83*Legend!$B$82*Legend!$B$84))</f>
        <v>1.0447588052112293</v>
      </c>
      <c r="AB53" s="209">
        <f>IF(SUMIFS('Region Mapping'!$E:$E,'Region Mapping'!$A:$A,AB$39)&gt;0,('IPCC(2006)'!$C$79+'IPCC(2006)'!$C$80+'IPCC(2006)'!$C$81+'IPCC(2006)'!$C$82)*1000/(Legend!$B$83*Legend!$B$82*Legend!$B$84),('IPCC(2006)'!$G$79+'IPCC(2006)'!$G$80+'IPCC(2006)'!$G$81+'IPCC(2006)'!$G$82)*1000/(Legend!$B$83*Legend!$B$82*Legend!$B$84))</f>
        <v>1.0447588052112293</v>
      </c>
      <c r="AC53" s="209">
        <f>IF(SUMIFS('Region Mapping'!$E:$E,'Region Mapping'!$A:$A,AC$39)&gt;0,('IPCC(2006)'!$C$79+'IPCC(2006)'!$C$80+'IPCC(2006)'!$C$81+'IPCC(2006)'!$C$82)*1000/(Legend!$B$83*Legend!$B$82*Legend!$B$84),('IPCC(2006)'!$G$79+'IPCC(2006)'!$G$80+'IPCC(2006)'!$G$81+'IPCC(2006)'!$G$82)*1000/(Legend!$B$83*Legend!$B$82*Legend!$B$84))</f>
        <v>6.2202252665398736E-2</v>
      </c>
      <c r="AD53" s="220">
        <f>IF(SUMIFS('Region Mapping'!$E:$E,'Region Mapping'!$A:$A,AD$39)&gt;0,('IPCC(2006)'!$C$79+'IPCC(2006)'!$C$80+'IPCC(2006)'!$C$81+'IPCC(2006)'!$C$82)*1000/(Legend!$B$83*Legend!$B$82*Legend!$B$84),('IPCC(2006)'!$G$79+'IPCC(2006)'!$G$80+'IPCC(2006)'!$G$81+'IPCC(2006)'!$G$82)*1000/(Legend!$B$83*Legend!$B$82*Legend!$B$84))</f>
        <v>6.2202252665398736E-2</v>
      </c>
    </row>
    <row r="54" spans="1:30">
      <c r="A54" s="215" t="s">
        <v>1014</v>
      </c>
      <c r="B54" t="s">
        <v>1013</v>
      </c>
      <c r="C54" s="209">
        <f>IF(SUMIFS('Region Mapping'!$E:$E,'Region Mapping'!$A:$A,C$39)&gt;0,'IPCC(2006)'!$C$83*1000/(Legend!$B$83*Legend!$B$82*Legend!$B$84),'IPCC(2006)'!$G$83*1000/(Legend!$B$83*Legend!$B$82*Legend!$B$84))</f>
        <v>0.31179074017743724</v>
      </c>
      <c r="D54" s="209">
        <f>IF(SUMIFS('Region Mapping'!$E:$E,'Region Mapping'!$A:$A,D$39)&gt;0,'IPCC(2006)'!$C$83*1000/(Legend!$B$83*Legend!$B$82*Legend!$B$84),'IPCC(2006)'!$G$83*1000/(Legend!$B$83*Legend!$B$82*Legend!$B$84))</f>
        <v>0.31179074017743724</v>
      </c>
      <c r="E54" s="209">
        <f>IF(SUMIFS('Region Mapping'!$E:$E,'Region Mapping'!$A:$A,E$39)&gt;0,'IPCC(2006)'!$C$83*1000/(Legend!$B$83*Legend!$B$82*Legend!$B$84),'IPCC(2006)'!$G$83*1000/(Legend!$B$83*Legend!$B$82*Legend!$B$84))</f>
        <v>0.31179074017743724</v>
      </c>
      <c r="F54" s="209">
        <f>IF(SUMIFS('Region Mapping'!$E:$E,'Region Mapping'!$A:$A,F$39)&gt;0,'IPCC(2006)'!$C$83*1000/(Legend!$B$83*Legend!$B$82*Legend!$B$84),'IPCC(2006)'!$G$83*1000/(Legend!$B$83*Legend!$B$82*Legend!$B$84))</f>
        <v>0.31179074017743724</v>
      </c>
      <c r="G54" s="209">
        <f>IF(SUMIFS('Region Mapping'!$E:$E,'Region Mapping'!$A:$A,G$39)&gt;0,'IPCC(2006)'!$C$83*1000/(Legend!$B$83*Legend!$B$82*Legend!$B$84),'IPCC(2006)'!$G$83*1000/(Legend!$B$83*Legend!$B$82*Legend!$B$84))</f>
        <v>0.22604828662864199</v>
      </c>
      <c r="H54" s="209">
        <f>IF(SUMIFS('Region Mapping'!$E:$E,'Region Mapping'!$A:$A,H$39)&gt;0,'IPCC(2006)'!$C$83*1000/(Legend!$B$83*Legend!$B$82*Legend!$B$84),'IPCC(2006)'!$G$83*1000/(Legend!$B$83*Legend!$B$82*Legend!$B$84))</f>
        <v>0.31179074017743724</v>
      </c>
      <c r="I54" s="209">
        <f>IF(SUMIFS('Region Mapping'!$E:$E,'Region Mapping'!$A:$A,I$39)&gt;0,'IPCC(2006)'!$C$83*1000/(Legend!$B$83*Legend!$B$82*Legend!$B$84),'IPCC(2006)'!$G$83*1000/(Legend!$B$83*Legend!$B$82*Legend!$B$84))</f>
        <v>0.31179074017743724</v>
      </c>
      <c r="J54" s="209">
        <f>IF(SUMIFS('Region Mapping'!$E:$E,'Region Mapping'!$A:$A,J$39)&gt;0,'IPCC(2006)'!$C$83*1000/(Legend!$B$83*Legend!$B$82*Legend!$B$84),'IPCC(2006)'!$G$83*1000/(Legend!$B$83*Legend!$B$82*Legend!$B$84))</f>
        <v>0.31179074017743724</v>
      </c>
      <c r="K54" s="209">
        <f>IF(SUMIFS('Region Mapping'!$E:$E,'Region Mapping'!$A:$A,K$39)&gt;0,'IPCC(2006)'!$C$83*1000/(Legend!$B$83*Legend!$B$82*Legend!$B$84),'IPCC(2006)'!$G$83*1000/(Legend!$B$83*Legend!$B$82*Legend!$B$84))</f>
        <v>0.31179074017743724</v>
      </c>
      <c r="L54" s="209">
        <f>IF(SUMIFS('Region Mapping'!$E:$E,'Region Mapping'!$A:$A,L$39)&gt;0,'IPCC(2006)'!$C$83*1000/(Legend!$B$83*Legend!$B$82*Legend!$B$84),'IPCC(2006)'!$G$83*1000/(Legend!$B$83*Legend!$B$82*Legend!$B$84))</f>
        <v>0.22604828662864199</v>
      </c>
      <c r="M54" s="209">
        <f>IF(SUMIFS('Region Mapping'!$E:$E,'Region Mapping'!$A:$A,M$39)&gt;0,'IPCC(2006)'!$C$83*1000/(Legend!$B$83*Legend!$B$82*Legend!$B$84),'IPCC(2006)'!$G$83*1000/(Legend!$B$83*Legend!$B$82*Legend!$B$84))</f>
        <v>0.31179074017743724</v>
      </c>
      <c r="N54" s="209">
        <f>IF(SUMIFS('Region Mapping'!$E:$E,'Region Mapping'!$A:$A,N$39)&gt;0,'IPCC(2006)'!$C$83*1000/(Legend!$B$83*Legend!$B$82*Legend!$B$84),'IPCC(2006)'!$G$83*1000/(Legend!$B$83*Legend!$B$82*Legend!$B$84))</f>
        <v>0.31179074017743724</v>
      </c>
      <c r="O54" s="209">
        <f>IF(SUMIFS('Region Mapping'!$E:$E,'Region Mapping'!$A:$A,O$39)&gt;0,'IPCC(2006)'!$C$83*1000/(Legend!$B$83*Legend!$B$82*Legend!$B$84),'IPCC(2006)'!$G$83*1000/(Legend!$B$83*Legend!$B$82*Legend!$B$84))</f>
        <v>0.31179074017743724</v>
      </c>
      <c r="P54" s="209">
        <f>IF(SUMIFS('Region Mapping'!$E:$E,'Region Mapping'!$A:$A,P$39)&gt;0,'IPCC(2006)'!$C$83*1000/(Legend!$B$83*Legend!$B$82*Legend!$B$84),'IPCC(2006)'!$G$83*1000/(Legend!$B$83*Legend!$B$82*Legend!$B$84))</f>
        <v>0.22604828662864199</v>
      </c>
      <c r="Q54" s="209">
        <f>IF(SUMIFS('Region Mapping'!$E:$E,'Region Mapping'!$A:$A,Q$39)&gt;0,'IPCC(2006)'!$C$83*1000/(Legend!$B$83*Legend!$B$82*Legend!$B$84),'IPCC(2006)'!$G$83*1000/(Legend!$B$83*Legend!$B$82*Legend!$B$84))</f>
        <v>0.22604828662864199</v>
      </c>
      <c r="R54" s="209">
        <f>IF(SUMIFS('Region Mapping'!$E:$E,'Region Mapping'!$A:$A,R$39)&gt;0,'IPCC(2006)'!$C$83*1000/(Legend!$B$83*Legend!$B$82*Legend!$B$84),'IPCC(2006)'!$G$83*1000/(Legend!$B$83*Legend!$B$82*Legend!$B$84))</f>
        <v>0.22604828662864199</v>
      </c>
      <c r="S54" s="209">
        <f>IF(SUMIFS('Region Mapping'!$E:$E,'Region Mapping'!$A:$A,S$39)&gt;0,'IPCC(2006)'!$C$83*1000/(Legend!$B$83*Legend!$B$82*Legend!$B$84),'IPCC(2006)'!$G$83*1000/(Legend!$B$83*Legend!$B$82*Legend!$B$84))</f>
        <v>0.22604828662864199</v>
      </c>
      <c r="T54" s="209">
        <f>IF(SUMIFS('Region Mapping'!$E:$E,'Region Mapping'!$A:$A,T$39)&gt;0,'IPCC(2006)'!$C$83*1000/(Legend!$B$83*Legend!$B$82*Legend!$B$84),'IPCC(2006)'!$G$83*1000/(Legend!$B$83*Legend!$B$82*Legend!$B$84))</f>
        <v>0.31179074017743724</v>
      </c>
      <c r="U54" s="209">
        <f>IF(SUMIFS('Region Mapping'!$E:$E,'Region Mapping'!$A:$A,U$39)&gt;0,'IPCC(2006)'!$C$83*1000/(Legend!$B$83*Legend!$B$82*Legend!$B$84),'IPCC(2006)'!$G$83*1000/(Legend!$B$83*Legend!$B$82*Legend!$B$84))</f>
        <v>0.31179074017743724</v>
      </c>
      <c r="V54" s="209">
        <f>IF(SUMIFS('Region Mapping'!$E:$E,'Region Mapping'!$A:$A,V$39)&gt;0,'IPCC(2006)'!$C$83*1000/(Legend!$B$83*Legend!$B$82*Legend!$B$84),'IPCC(2006)'!$G$83*1000/(Legend!$B$83*Legend!$B$82*Legend!$B$84))</f>
        <v>0.22604828662864199</v>
      </c>
      <c r="W54" s="209">
        <f>IF(SUMIFS('Region Mapping'!$E:$E,'Region Mapping'!$A:$A,W$39)&gt;0,'IPCC(2006)'!$C$83*1000/(Legend!$B$83*Legend!$B$82*Legend!$B$84),'IPCC(2006)'!$G$83*1000/(Legend!$B$83*Legend!$B$82*Legend!$B$84))</f>
        <v>0.31179074017743724</v>
      </c>
      <c r="X54" s="209">
        <f>IF(SUMIFS('Region Mapping'!$E:$E,'Region Mapping'!$A:$A,X$39)&gt;0,'IPCC(2006)'!$C$83*1000/(Legend!$B$83*Legend!$B$82*Legend!$B$84),'IPCC(2006)'!$G$83*1000/(Legend!$B$83*Legend!$B$82*Legend!$B$84))</f>
        <v>0.31179074017743724</v>
      </c>
      <c r="Y54" s="209">
        <f>IF(SUMIFS('Region Mapping'!$E:$E,'Region Mapping'!$A:$A,Y$39)&gt;0,'IPCC(2006)'!$C$83*1000/(Legend!$B$83*Legend!$B$82*Legend!$B$84),'IPCC(2006)'!$G$83*1000/(Legend!$B$83*Legend!$B$82*Legend!$B$84))</f>
        <v>0.31179074017743724</v>
      </c>
      <c r="Z54" s="209">
        <f>IF(SUMIFS('Region Mapping'!$E:$E,'Region Mapping'!$A:$A,Z$39)&gt;0,'IPCC(2006)'!$C$83*1000/(Legend!$B$83*Legend!$B$82*Legend!$B$84),'IPCC(2006)'!$G$83*1000/(Legend!$B$83*Legend!$B$82*Legend!$B$84))</f>
        <v>0.31179074017743724</v>
      </c>
      <c r="AA54" s="209">
        <f>IF(SUMIFS('Region Mapping'!$E:$E,'Region Mapping'!$A:$A,AA$39)&gt;0,'IPCC(2006)'!$C$83*1000/(Legend!$B$83*Legend!$B$82*Legend!$B$84),'IPCC(2006)'!$G$83*1000/(Legend!$B$83*Legend!$B$82*Legend!$B$84))</f>
        <v>0.31179074017743724</v>
      </c>
      <c r="AB54" s="209">
        <f>IF(SUMIFS('Region Mapping'!$E:$E,'Region Mapping'!$A:$A,AB$39)&gt;0,'IPCC(2006)'!$C$83*1000/(Legend!$B$83*Legend!$B$82*Legend!$B$84),'IPCC(2006)'!$G$83*1000/(Legend!$B$83*Legend!$B$82*Legend!$B$84))</f>
        <v>0.31179074017743724</v>
      </c>
      <c r="AC54" s="209">
        <f>IF(SUMIFS('Region Mapping'!$E:$E,'Region Mapping'!$A:$A,AC$39)&gt;0,'IPCC(2006)'!$C$83*1000/(Legend!$B$83*Legend!$B$82*Legend!$B$84),'IPCC(2006)'!$G$83*1000/(Legend!$B$83*Legend!$B$82*Legend!$B$84))</f>
        <v>0.22604828662864199</v>
      </c>
      <c r="AD54" s="220">
        <f>IF(SUMIFS('Region Mapping'!$E:$E,'Region Mapping'!$A:$A,AD$39)&gt;0,'IPCC(2006)'!$C$83*1000/(Legend!$B$83*Legend!$B$82*Legend!$B$84),'IPCC(2006)'!$G$83*1000/(Legend!$B$83*Legend!$B$82*Legend!$B$84))</f>
        <v>0.22604828662864199</v>
      </c>
    </row>
    <row r="55" spans="1:30">
      <c r="A55" s="215" t="s">
        <v>1015</v>
      </c>
      <c r="B55" t="s">
        <v>1013</v>
      </c>
      <c r="C55" s="209">
        <f>IF(SUMIFS('Region Mapping'!$E:$E,'Region Mapping'!$A:$A,C$39)&gt;0,'IPCC(2006)'!$C$84*1000/(Legend!$B$83*Legend!$B$82*Legend!$B$84),'IPCC(2006)'!$G$84*1000/(Legend!$B$83*Legend!$B$82*Legend!$B$84))</f>
        <v>7.5349428876214002E-4</v>
      </c>
      <c r="D55" s="209">
        <f>IF(SUMIFS('Region Mapping'!$E:$E,'Region Mapping'!$A:$A,D$39)&gt;0,'IPCC(2006)'!$C$84*1000/(Legend!$B$83*Legend!$B$82*Legend!$B$84),'IPCC(2006)'!$G$84*1000/(Legend!$B$83*Legend!$B$82*Legend!$B$84))</f>
        <v>7.5349428876214002E-4</v>
      </c>
      <c r="E55" s="209">
        <f>IF(SUMIFS('Region Mapping'!$E:$E,'Region Mapping'!$A:$A,E$39)&gt;0,'IPCC(2006)'!$C$84*1000/(Legend!$B$83*Legend!$B$82*Legend!$B$84),'IPCC(2006)'!$G$84*1000/(Legend!$B$83*Legend!$B$82*Legend!$B$84))</f>
        <v>7.5349428876214002E-4</v>
      </c>
      <c r="F55" s="209">
        <f>IF(SUMIFS('Region Mapping'!$E:$E,'Region Mapping'!$A:$A,F$39)&gt;0,'IPCC(2006)'!$C$84*1000/(Legend!$B$83*Legend!$B$82*Legend!$B$84),'IPCC(2006)'!$G$84*1000/(Legend!$B$83*Legend!$B$82*Legend!$B$84))</f>
        <v>7.5349428876214002E-4</v>
      </c>
      <c r="G55" s="209">
        <f>IF(SUMIFS('Region Mapping'!$E:$E,'Region Mapping'!$A:$A,G$39)&gt;0,'IPCC(2006)'!$C$84*1000/(Legend!$B$83*Legend!$B$82*Legend!$B$84),'IPCC(2006)'!$G$84*1000/(Legend!$B$83*Legend!$B$82*Legend!$B$84))</f>
        <v>5.4563379531051526E-4</v>
      </c>
      <c r="H55" s="209">
        <f>IF(SUMIFS('Region Mapping'!$E:$E,'Region Mapping'!$A:$A,H$39)&gt;0,'IPCC(2006)'!$C$84*1000/(Legend!$B$83*Legend!$B$82*Legend!$B$84),'IPCC(2006)'!$G$84*1000/(Legend!$B$83*Legend!$B$82*Legend!$B$84))</f>
        <v>7.5349428876214002E-4</v>
      </c>
      <c r="I55" s="209">
        <f>IF(SUMIFS('Region Mapping'!$E:$E,'Region Mapping'!$A:$A,I$39)&gt;0,'IPCC(2006)'!$C$84*1000/(Legend!$B$83*Legend!$B$82*Legend!$B$84),'IPCC(2006)'!$G$84*1000/(Legend!$B$83*Legend!$B$82*Legend!$B$84))</f>
        <v>7.5349428876214002E-4</v>
      </c>
      <c r="J55" s="209">
        <f>IF(SUMIFS('Region Mapping'!$E:$E,'Region Mapping'!$A:$A,J$39)&gt;0,'IPCC(2006)'!$C$84*1000/(Legend!$B$83*Legend!$B$82*Legend!$B$84),'IPCC(2006)'!$G$84*1000/(Legend!$B$83*Legend!$B$82*Legend!$B$84))</f>
        <v>7.5349428876214002E-4</v>
      </c>
      <c r="K55" s="209">
        <f>IF(SUMIFS('Region Mapping'!$E:$E,'Region Mapping'!$A:$A,K$39)&gt;0,'IPCC(2006)'!$C$84*1000/(Legend!$B$83*Legend!$B$82*Legend!$B$84),'IPCC(2006)'!$G$84*1000/(Legend!$B$83*Legend!$B$82*Legend!$B$84))</f>
        <v>7.5349428876214002E-4</v>
      </c>
      <c r="L55" s="209">
        <f>IF(SUMIFS('Region Mapping'!$E:$E,'Region Mapping'!$A:$A,L$39)&gt;0,'IPCC(2006)'!$C$84*1000/(Legend!$B$83*Legend!$B$82*Legend!$B$84),'IPCC(2006)'!$G$84*1000/(Legend!$B$83*Legend!$B$82*Legend!$B$84))</f>
        <v>5.4563379531051526E-4</v>
      </c>
      <c r="M55" s="209">
        <f>IF(SUMIFS('Region Mapping'!$E:$E,'Region Mapping'!$A:$A,M$39)&gt;0,'IPCC(2006)'!$C$84*1000/(Legend!$B$83*Legend!$B$82*Legend!$B$84),'IPCC(2006)'!$G$84*1000/(Legend!$B$83*Legend!$B$82*Legend!$B$84))</f>
        <v>7.5349428876214002E-4</v>
      </c>
      <c r="N55" s="209">
        <f>IF(SUMIFS('Region Mapping'!$E:$E,'Region Mapping'!$A:$A,N$39)&gt;0,'IPCC(2006)'!$C$84*1000/(Legend!$B$83*Legend!$B$82*Legend!$B$84),'IPCC(2006)'!$G$84*1000/(Legend!$B$83*Legend!$B$82*Legend!$B$84))</f>
        <v>7.5349428876214002E-4</v>
      </c>
      <c r="O55" s="209">
        <f>IF(SUMIFS('Region Mapping'!$E:$E,'Region Mapping'!$A:$A,O$39)&gt;0,'IPCC(2006)'!$C$84*1000/(Legend!$B$83*Legend!$B$82*Legend!$B$84),'IPCC(2006)'!$G$84*1000/(Legend!$B$83*Legend!$B$82*Legend!$B$84))</f>
        <v>7.5349428876214002E-4</v>
      </c>
      <c r="P55" s="209">
        <f>IF(SUMIFS('Region Mapping'!$E:$E,'Region Mapping'!$A:$A,P$39)&gt;0,'IPCC(2006)'!$C$84*1000/(Legend!$B$83*Legend!$B$82*Legend!$B$84),'IPCC(2006)'!$G$84*1000/(Legend!$B$83*Legend!$B$82*Legend!$B$84))</f>
        <v>5.4563379531051526E-4</v>
      </c>
      <c r="Q55" s="209">
        <f>IF(SUMIFS('Region Mapping'!$E:$E,'Region Mapping'!$A:$A,Q$39)&gt;0,'IPCC(2006)'!$C$84*1000/(Legend!$B$83*Legend!$B$82*Legend!$B$84),'IPCC(2006)'!$G$84*1000/(Legend!$B$83*Legend!$B$82*Legend!$B$84))</f>
        <v>5.4563379531051526E-4</v>
      </c>
      <c r="R55" s="209">
        <f>IF(SUMIFS('Region Mapping'!$E:$E,'Region Mapping'!$A:$A,R$39)&gt;0,'IPCC(2006)'!$C$84*1000/(Legend!$B$83*Legend!$B$82*Legend!$B$84),'IPCC(2006)'!$G$84*1000/(Legend!$B$83*Legend!$B$82*Legend!$B$84))</f>
        <v>5.4563379531051526E-4</v>
      </c>
      <c r="S55" s="209">
        <f>IF(SUMIFS('Region Mapping'!$E:$E,'Region Mapping'!$A:$A,S$39)&gt;0,'IPCC(2006)'!$C$84*1000/(Legend!$B$83*Legend!$B$82*Legend!$B$84),'IPCC(2006)'!$G$84*1000/(Legend!$B$83*Legend!$B$82*Legend!$B$84))</f>
        <v>5.4563379531051526E-4</v>
      </c>
      <c r="T55" s="209">
        <f>IF(SUMIFS('Region Mapping'!$E:$E,'Region Mapping'!$A:$A,T$39)&gt;0,'IPCC(2006)'!$C$84*1000/(Legend!$B$83*Legend!$B$82*Legend!$B$84),'IPCC(2006)'!$G$84*1000/(Legend!$B$83*Legend!$B$82*Legend!$B$84))</f>
        <v>7.5349428876214002E-4</v>
      </c>
      <c r="U55" s="209">
        <f>IF(SUMIFS('Region Mapping'!$E:$E,'Region Mapping'!$A:$A,U$39)&gt;0,'IPCC(2006)'!$C$84*1000/(Legend!$B$83*Legend!$B$82*Legend!$B$84),'IPCC(2006)'!$G$84*1000/(Legend!$B$83*Legend!$B$82*Legend!$B$84))</f>
        <v>7.5349428876214002E-4</v>
      </c>
      <c r="V55" s="209">
        <f>IF(SUMIFS('Region Mapping'!$E:$E,'Region Mapping'!$A:$A,V$39)&gt;0,'IPCC(2006)'!$C$84*1000/(Legend!$B$83*Legend!$B$82*Legend!$B$84),'IPCC(2006)'!$G$84*1000/(Legend!$B$83*Legend!$B$82*Legend!$B$84))</f>
        <v>5.4563379531051526E-4</v>
      </c>
      <c r="W55" s="209">
        <f>IF(SUMIFS('Region Mapping'!$E:$E,'Region Mapping'!$A:$A,W$39)&gt;0,'IPCC(2006)'!$C$84*1000/(Legend!$B$83*Legend!$B$82*Legend!$B$84),'IPCC(2006)'!$G$84*1000/(Legend!$B$83*Legend!$B$82*Legend!$B$84))</f>
        <v>7.5349428876214002E-4</v>
      </c>
      <c r="X55" s="209">
        <f>IF(SUMIFS('Region Mapping'!$E:$E,'Region Mapping'!$A:$A,X$39)&gt;0,'IPCC(2006)'!$C$84*1000/(Legend!$B$83*Legend!$B$82*Legend!$B$84),'IPCC(2006)'!$G$84*1000/(Legend!$B$83*Legend!$B$82*Legend!$B$84))</f>
        <v>7.5349428876214002E-4</v>
      </c>
      <c r="Y55" s="209">
        <f>IF(SUMIFS('Region Mapping'!$E:$E,'Region Mapping'!$A:$A,Y$39)&gt;0,'IPCC(2006)'!$C$84*1000/(Legend!$B$83*Legend!$B$82*Legend!$B$84),'IPCC(2006)'!$G$84*1000/(Legend!$B$83*Legend!$B$82*Legend!$B$84))</f>
        <v>7.5349428876214002E-4</v>
      </c>
      <c r="Z55" s="209">
        <f>IF(SUMIFS('Region Mapping'!$E:$E,'Region Mapping'!$A:$A,Z$39)&gt;0,'IPCC(2006)'!$C$84*1000/(Legend!$B$83*Legend!$B$82*Legend!$B$84),'IPCC(2006)'!$G$84*1000/(Legend!$B$83*Legend!$B$82*Legend!$B$84))</f>
        <v>7.5349428876214002E-4</v>
      </c>
      <c r="AA55" s="209">
        <f>IF(SUMIFS('Region Mapping'!$E:$E,'Region Mapping'!$A:$A,AA$39)&gt;0,'IPCC(2006)'!$C$84*1000/(Legend!$B$83*Legend!$B$82*Legend!$B$84),'IPCC(2006)'!$G$84*1000/(Legend!$B$83*Legend!$B$82*Legend!$B$84))</f>
        <v>7.5349428876214002E-4</v>
      </c>
      <c r="AB55" s="209">
        <f>IF(SUMIFS('Region Mapping'!$E:$E,'Region Mapping'!$A:$A,AB$39)&gt;0,'IPCC(2006)'!$C$84*1000/(Legend!$B$83*Legend!$B$82*Legend!$B$84),'IPCC(2006)'!$G$84*1000/(Legend!$B$83*Legend!$B$82*Legend!$B$84))</f>
        <v>7.5349428876214002E-4</v>
      </c>
      <c r="AC55" s="209">
        <f>IF(SUMIFS('Region Mapping'!$E:$E,'Region Mapping'!$A:$A,AC$39)&gt;0,'IPCC(2006)'!$C$84*1000/(Legend!$B$83*Legend!$B$82*Legend!$B$84),'IPCC(2006)'!$G$84*1000/(Legend!$B$83*Legend!$B$82*Legend!$B$84))</f>
        <v>5.4563379531051526E-4</v>
      </c>
      <c r="AD55" s="220">
        <f>IF(SUMIFS('Region Mapping'!$E:$E,'Region Mapping'!$A:$A,AD$39)&gt;0,'IPCC(2006)'!$C$84*1000/(Legend!$B$83*Legend!$B$82*Legend!$B$84),'IPCC(2006)'!$G$84*1000/(Legend!$B$83*Legend!$B$82*Legend!$B$84))</f>
        <v>5.4563379531051526E-4</v>
      </c>
    </row>
    <row r="56" spans="1:30">
      <c r="A56" s="215" t="s">
        <v>1016</v>
      </c>
      <c r="B56" t="s">
        <v>1017</v>
      </c>
      <c r="C56" s="209">
        <f>IF(SUMIFS('Region Mapping'!$E:$E,'Region Mapping'!$A:$A,C$39)&gt;0,'IPCC(2006)'!$C$85*1000/(Legend!$B$83*Legend!$B$82*Legend!$B$84),'IPCC(2006)'!$G$85*1000/(Legend!$B$83*Legend!$B$82*Legend!$B$84))</f>
        <v>0</v>
      </c>
      <c r="D56" s="209">
        <f>IF(SUMIFS('Region Mapping'!$E:$E,'Region Mapping'!$A:$A,D$39)&gt;0,'IPCC(2006)'!$C$85*1000/(Legend!$B$83*Legend!$B$82*Legend!$B$84),'IPCC(2006)'!$G$85*1000/(Legend!$B$83*Legend!$B$82*Legend!$B$84))</f>
        <v>0</v>
      </c>
      <c r="E56" s="209">
        <f>IF(SUMIFS('Region Mapping'!$E:$E,'Region Mapping'!$A:$A,E$39)&gt;0,'IPCC(2006)'!$C$85*1000/(Legend!$B$83*Legend!$B$82*Legend!$B$84),'IPCC(2006)'!$G$85*1000/(Legend!$B$83*Legend!$B$82*Legend!$B$84))</f>
        <v>0</v>
      </c>
      <c r="F56" s="209">
        <f>IF(SUMIFS('Region Mapping'!$E:$E,'Region Mapping'!$A:$A,F$39)&gt;0,'IPCC(2006)'!$C$85*1000/(Legend!$B$83*Legend!$B$82*Legend!$B$84),'IPCC(2006)'!$G$85*1000/(Legend!$B$83*Legend!$B$82*Legend!$B$84))</f>
        <v>0</v>
      </c>
      <c r="G56" s="209">
        <f>IF(SUMIFS('Region Mapping'!$E:$E,'Region Mapping'!$A:$A,G$39)&gt;0,'IPCC(2006)'!$C$85*1000/(Legend!$B$83*Legend!$B$82*Legend!$B$84),'IPCC(2006)'!$G$85*1000/(Legend!$B$83*Legend!$B$82*Legend!$B$84))</f>
        <v>0</v>
      </c>
      <c r="H56" s="209">
        <f>IF(SUMIFS('Region Mapping'!$E:$E,'Region Mapping'!$A:$A,H$39)&gt;0,'IPCC(2006)'!$C$85*1000/(Legend!$B$83*Legend!$B$82*Legend!$B$84),'IPCC(2006)'!$G$85*1000/(Legend!$B$83*Legend!$B$82*Legend!$B$84))</f>
        <v>0</v>
      </c>
      <c r="I56" s="209">
        <f>IF(SUMIFS('Region Mapping'!$E:$E,'Region Mapping'!$A:$A,I$39)&gt;0,'IPCC(2006)'!$C$85*1000/(Legend!$B$83*Legend!$B$82*Legend!$B$84),'IPCC(2006)'!$G$85*1000/(Legend!$B$83*Legend!$B$82*Legend!$B$84))</f>
        <v>0</v>
      </c>
      <c r="J56" s="209">
        <f>IF(SUMIFS('Region Mapping'!$E:$E,'Region Mapping'!$A:$A,J$39)&gt;0,'IPCC(2006)'!$C$85*1000/(Legend!$B$83*Legend!$B$82*Legend!$B$84),'IPCC(2006)'!$G$85*1000/(Legend!$B$83*Legend!$B$82*Legend!$B$84))</f>
        <v>0</v>
      </c>
      <c r="K56" s="209">
        <f>IF(SUMIFS('Region Mapping'!$E:$E,'Region Mapping'!$A:$A,K$39)&gt;0,'IPCC(2006)'!$C$85*1000/(Legend!$B$83*Legend!$B$82*Legend!$B$84),'IPCC(2006)'!$G$85*1000/(Legend!$B$83*Legend!$B$82*Legend!$B$84))</f>
        <v>0</v>
      </c>
      <c r="L56" s="209">
        <f>IF(SUMIFS('Region Mapping'!$E:$E,'Region Mapping'!$A:$A,L$39)&gt;0,'IPCC(2006)'!$C$85*1000/(Legend!$B$83*Legend!$B$82*Legend!$B$84),'IPCC(2006)'!$G$85*1000/(Legend!$B$83*Legend!$B$82*Legend!$B$84))</f>
        <v>0</v>
      </c>
      <c r="M56" s="209">
        <f>IF(SUMIFS('Region Mapping'!$E:$E,'Region Mapping'!$A:$A,M$39)&gt;0,'IPCC(2006)'!$C$85*1000/(Legend!$B$83*Legend!$B$82*Legend!$B$84),'IPCC(2006)'!$G$85*1000/(Legend!$B$83*Legend!$B$82*Legend!$B$84))</f>
        <v>0</v>
      </c>
      <c r="N56" s="209">
        <f>IF(SUMIFS('Region Mapping'!$E:$E,'Region Mapping'!$A:$A,N$39)&gt;0,'IPCC(2006)'!$C$85*1000/(Legend!$B$83*Legend!$B$82*Legend!$B$84),'IPCC(2006)'!$G$85*1000/(Legend!$B$83*Legend!$B$82*Legend!$B$84))</f>
        <v>0</v>
      </c>
      <c r="O56" s="209">
        <f>IF(SUMIFS('Region Mapping'!$E:$E,'Region Mapping'!$A:$A,O$39)&gt;0,'IPCC(2006)'!$C$85*1000/(Legend!$B$83*Legend!$B$82*Legend!$B$84),'IPCC(2006)'!$G$85*1000/(Legend!$B$83*Legend!$B$82*Legend!$B$84))</f>
        <v>0</v>
      </c>
      <c r="P56" s="209">
        <f>IF(SUMIFS('Region Mapping'!$E:$E,'Region Mapping'!$A:$A,P$39)&gt;0,'IPCC(2006)'!$C$85*1000/(Legend!$B$83*Legend!$B$82*Legend!$B$84),'IPCC(2006)'!$G$85*1000/(Legend!$B$83*Legend!$B$82*Legend!$B$84))</f>
        <v>0</v>
      </c>
      <c r="Q56" s="209">
        <f>IF(SUMIFS('Region Mapping'!$E:$E,'Region Mapping'!$A:$A,Q$39)&gt;0,'IPCC(2006)'!$C$85*1000/(Legend!$B$83*Legend!$B$82*Legend!$B$84),'IPCC(2006)'!$G$85*1000/(Legend!$B$83*Legend!$B$82*Legend!$B$84))</f>
        <v>0</v>
      </c>
      <c r="R56" s="209">
        <f>IF(SUMIFS('Region Mapping'!$E:$E,'Region Mapping'!$A:$A,R$39)&gt;0,'IPCC(2006)'!$C$85*1000/(Legend!$B$83*Legend!$B$82*Legend!$B$84),'IPCC(2006)'!$G$85*1000/(Legend!$B$83*Legend!$B$82*Legend!$B$84))</f>
        <v>0</v>
      </c>
      <c r="S56" s="209">
        <f>IF(SUMIFS('Region Mapping'!$E:$E,'Region Mapping'!$A:$A,S$39)&gt;0,'IPCC(2006)'!$C$85*1000/(Legend!$B$83*Legend!$B$82*Legend!$B$84),'IPCC(2006)'!$G$85*1000/(Legend!$B$83*Legend!$B$82*Legend!$B$84))</f>
        <v>0</v>
      </c>
      <c r="T56" s="209">
        <f>IF(SUMIFS('Region Mapping'!$E:$E,'Region Mapping'!$A:$A,T$39)&gt;0,'IPCC(2006)'!$C$85*1000/(Legend!$B$83*Legend!$B$82*Legend!$B$84),'IPCC(2006)'!$G$85*1000/(Legend!$B$83*Legend!$B$82*Legend!$B$84))</f>
        <v>0</v>
      </c>
      <c r="U56" s="209">
        <f>IF(SUMIFS('Region Mapping'!$E:$E,'Region Mapping'!$A:$A,U$39)&gt;0,'IPCC(2006)'!$C$85*1000/(Legend!$B$83*Legend!$B$82*Legend!$B$84),'IPCC(2006)'!$G$85*1000/(Legend!$B$83*Legend!$B$82*Legend!$B$84))</f>
        <v>0</v>
      </c>
      <c r="V56" s="209">
        <f>IF(SUMIFS('Region Mapping'!$E:$E,'Region Mapping'!$A:$A,V$39)&gt;0,'IPCC(2006)'!$C$85*1000/(Legend!$B$83*Legend!$B$82*Legend!$B$84),'IPCC(2006)'!$G$85*1000/(Legend!$B$83*Legend!$B$82*Legend!$B$84))</f>
        <v>0</v>
      </c>
      <c r="W56" s="209">
        <f>IF(SUMIFS('Region Mapping'!$E:$E,'Region Mapping'!$A:$A,W$39)&gt;0,'IPCC(2006)'!$C$85*1000/(Legend!$B$83*Legend!$B$82*Legend!$B$84),'IPCC(2006)'!$G$85*1000/(Legend!$B$83*Legend!$B$82*Legend!$B$84))</f>
        <v>0</v>
      </c>
      <c r="X56" s="209">
        <f>IF(SUMIFS('Region Mapping'!$E:$E,'Region Mapping'!$A:$A,X$39)&gt;0,'IPCC(2006)'!$C$85*1000/(Legend!$B$83*Legend!$B$82*Legend!$B$84),'IPCC(2006)'!$G$85*1000/(Legend!$B$83*Legend!$B$82*Legend!$B$84))</f>
        <v>0</v>
      </c>
      <c r="Y56" s="209">
        <f>IF(SUMIFS('Region Mapping'!$E:$E,'Region Mapping'!$A:$A,Y$39)&gt;0,'IPCC(2006)'!$C$85*1000/(Legend!$B$83*Legend!$B$82*Legend!$B$84),'IPCC(2006)'!$G$85*1000/(Legend!$B$83*Legend!$B$82*Legend!$B$84))</f>
        <v>0</v>
      </c>
      <c r="Z56" s="209">
        <f>IF(SUMIFS('Region Mapping'!$E:$E,'Region Mapping'!$A:$A,Z$39)&gt;0,'IPCC(2006)'!$C$85*1000/(Legend!$B$83*Legend!$B$82*Legend!$B$84),'IPCC(2006)'!$G$85*1000/(Legend!$B$83*Legend!$B$82*Legend!$B$84))</f>
        <v>0</v>
      </c>
      <c r="AA56" s="209">
        <f>IF(SUMIFS('Region Mapping'!$E:$E,'Region Mapping'!$A:$A,AA$39)&gt;0,'IPCC(2006)'!$C$85*1000/(Legend!$B$83*Legend!$B$82*Legend!$B$84),'IPCC(2006)'!$G$85*1000/(Legend!$B$83*Legend!$B$82*Legend!$B$84))</f>
        <v>0</v>
      </c>
      <c r="AB56" s="209">
        <f>IF(SUMIFS('Region Mapping'!$E:$E,'Region Mapping'!$A:$A,AB$39)&gt;0,'IPCC(2006)'!$C$85*1000/(Legend!$B$83*Legend!$B$82*Legend!$B$84),'IPCC(2006)'!$G$85*1000/(Legend!$B$83*Legend!$B$82*Legend!$B$84))</f>
        <v>0</v>
      </c>
      <c r="AC56" s="209">
        <f>IF(SUMIFS('Region Mapping'!$E:$E,'Region Mapping'!$A:$A,AC$39)&gt;0,'IPCC(2006)'!$C$85*1000/(Legend!$B$83*Legend!$B$82*Legend!$B$84),'IPCC(2006)'!$G$85*1000/(Legend!$B$83*Legend!$B$82*Legend!$B$84))</f>
        <v>0</v>
      </c>
      <c r="AD56" s="220">
        <f>IF(SUMIFS('Region Mapping'!$E:$E,'Region Mapping'!$A:$A,AD$39)&gt;0,'IPCC(2006)'!$C$85*1000/(Legend!$B$83*Legend!$B$82*Legend!$B$84),'IPCC(2006)'!$G$85*1000/(Legend!$B$83*Legend!$B$82*Legend!$B$84))</f>
        <v>0</v>
      </c>
    </row>
    <row r="57" spans="1:30">
      <c r="A57" s="215" t="s">
        <v>1018</v>
      </c>
      <c r="B57" t="s">
        <v>1019</v>
      </c>
      <c r="C57" s="209">
        <f>IF(SUMIFS('Region Mapping'!$E:$E,'Region Mapping'!$A:$A,C$39)&gt;0,'IPCC(2006)'!$C$87*1000/(Legend!$B$83*Legend!$B$82*Legend!$B$84),'IPCC(2006)'!$G$87*1000/(Legend!$B$83*Legend!$B$82*Legend!$B$84))</f>
        <v>1.4030583307984677E-4</v>
      </c>
      <c r="D57" s="209">
        <f>IF(SUMIFS('Region Mapping'!$E:$E,'Region Mapping'!$A:$A,D$39)&gt;0,'IPCC(2006)'!$C$87*1000/(Legend!$B$83*Legend!$B$82*Legend!$B$84),'IPCC(2006)'!$G$87*1000/(Legend!$B$83*Legend!$B$82*Legend!$B$84))</f>
        <v>1.4030583307984677E-4</v>
      </c>
      <c r="E57" s="209">
        <f>IF(SUMIFS('Region Mapping'!$E:$E,'Region Mapping'!$A:$A,E$39)&gt;0,'IPCC(2006)'!$C$87*1000/(Legend!$B$83*Legend!$B$82*Legend!$B$84),'IPCC(2006)'!$G$87*1000/(Legend!$B$83*Legend!$B$82*Legend!$B$84))</f>
        <v>1.4030583307984677E-4</v>
      </c>
      <c r="F57" s="209">
        <f>IF(SUMIFS('Region Mapping'!$E:$E,'Region Mapping'!$A:$A,F$39)&gt;0,'IPCC(2006)'!$C$87*1000/(Legend!$B$83*Legend!$B$82*Legend!$B$84),'IPCC(2006)'!$G$87*1000/(Legend!$B$83*Legend!$B$82*Legend!$B$84))</f>
        <v>1.4030583307984677E-4</v>
      </c>
      <c r="G57" s="209">
        <f>IF(SUMIFS('Region Mapping'!$E:$E,'Region Mapping'!$A:$A,G$39)&gt;0,'IPCC(2006)'!$C$87*1000/(Legend!$B$83*Legend!$B$82*Legend!$B$84),'IPCC(2006)'!$G$87*1000/(Legend!$B$83*Legend!$B$82*Legend!$B$84))</f>
        <v>1.4030583307984677E-4</v>
      </c>
      <c r="H57" s="209">
        <f>IF(SUMIFS('Region Mapping'!$E:$E,'Region Mapping'!$A:$A,H$39)&gt;0,'IPCC(2006)'!$C$87*1000/(Legend!$B$83*Legend!$B$82*Legend!$B$84),'IPCC(2006)'!$G$87*1000/(Legend!$B$83*Legend!$B$82*Legend!$B$84))</f>
        <v>1.4030583307984677E-4</v>
      </c>
      <c r="I57" s="209">
        <f>IF(SUMIFS('Region Mapping'!$E:$E,'Region Mapping'!$A:$A,I$39)&gt;0,'IPCC(2006)'!$C$87*1000/(Legend!$B$83*Legend!$B$82*Legend!$B$84),'IPCC(2006)'!$G$87*1000/(Legend!$B$83*Legend!$B$82*Legend!$B$84))</f>
        <v>1.4030583307984677E-4</v>
      </c>
      <c r="J57" s="209">
        <f>IF(SUMIFS('Region Mapping'!$E:$E,'Region Mapping'!$A:$A,J$39)&gt;0,'IPCC(2006)'!$C$87*1000/(Legend!$B$83*Legend!$B$82*Legend!$B$84),'IPCC(2006)'!$G$87*1000/(Legend!$B$83*Legend!$B$82*Legend!$B$84))</f>
        <v>1.4030583307984677E-4</v>
      </c>
      <c r="K57" s="209">
        <f>IF(SUMIFS('Region Mapping'!$E:$E,'Region Mapping'!$A:$A,K$39)&gt;0,'IPCC(2006)'!$C$87*1000/(Legend!$B$83*Legend!$B$82*Legend!$B$84),'IPCC(2006)'!$G$87*1000/(Legend!$B$83*Legend!$B$82*Legend!$B$84))</f>
        <v>1.4030583307984677E-4</v>
      </c>
      <c r="L57" s="209">
        <f>IF(SUMIFS('Region Mapping'!$E:$E,'Region Mapping'!$A:$A,L$39)&gt;0,'IPCC(2006)'!$C$87*1000/(Legend!$B$83*Legend!$B$82*Legend!$B$84),'IPCC(2006)'!$G$87*1000/(Legend!$B$83*Legend!$B$82*Legend!$B$84))</f>
        <v>1.4030583307984677E-4</v>
      </c>
      <c r="M57" s="209">
        <f>IF(SUMIFS('Region Mapping'!$E:$E,'Region Mapping'!$A:$A,M$39)&gt;0,'IPCC(2006)'!$C$87*1000/(Legend!$B$83*Legend!$B$82*Legend!$B$84),'IPCC(2006)'!$G$87*1000/(Legend!$B$83*Legend!$B$82*Legend!$B$84))</f>
        <v>1.4030583307984677E-4</v>
      </c>
      <c r="N57" s="209">
        <f>IF(SUMIFS('Region Mapping'!$E:$E,'Region Mapping'!$A:$A,N$39)&gt;0,'IPCC(2006)'!$C$87*1000/(Legend!$B$83*Legend!$B$82*Legend!$B$84),'IPCC(2006)'!$G$87*1000/(Legend!$B$83*Legend!$B$82*Legend!$B$84))</f>
        <v>1.4030583307984677E-4</v>
      </c>
      <c r="O57" s="209">
        <f>IF(SUMIFS('Region Mapping'!$E:$E,'Region Mapping'!$A:$A,O$39)&gt;0,'IPCC(2006)'!$C$87*1000/(Legend!$B$83*Legend!$B$82*Legend!$B$84),'IPCC(2006)'!$G$87*1000/(Legend!$B$83*Legend!$B$82*Legend!$B$84))</f>
        <v>1.4030583307984677E-4</v>
      </c>
      <c r="P57" s="209">
        <f>IF(SUMIFS('Region Mapping'!$E:$E,'Region Mapping'!$A:$A,P$39)&gt;0,'IPCC(2006)'!$C$87*1000/(Legend!$B$83*Legend!$B$82*Legend!$B$84),'IPCC(2006)'!$G$87*1000/(Legend!$B$83*Legend!$B$82*Legend!$B$84))</f>
        <v>1.4030583307984677E-4</v>
      </c>
      <c r="Q57" s="209">
        <f>IF(SUMIFS('Region Mapping'!$E:$E,'Region Mapping'!$A:$A,Q$39)&gt;0,'IPCC(2006)'!$C$87*1000/(Legend!$B$83*Legend!$B$82*Legend!$B$84),'IPCC(2006)'!$G$87*1000/(Legend!$B$83*Legend!$B$82*Legend!$B$84))</f>
        <v>1.4030583307984677E-4</v>
      </c>
      <c r="R57" s="209">
        <f>IF(SUMIFS('Region Mapping'!$E:$E,'Region Mapping'!$A:$A,R$39)&gt;0,'IPCC(2006)'!$C$87*1000/(Legend!$B$83*Legend!$B$82*Legend!$B$84),'IPCC(2006)'!$G$87*1000/(Legend!$B$83*Legend!$B$82*Legend!$B$84))</f>
        <v>1.4030583307984677E-4</v>
      </c>
      <c r="S57" s="209">
        <f>IF(SUMIFS('Region Mapping'!$E:$E,'Region Mapping'!$A:$A,S$39)&gt;0,'IPCC(2006)'!$C$87*1000/(Legend!$B$83*Legend!$B$82*Legend!$B$84),'IPCC(2006)'!$G$87*1000/(Legend!$B$83*Legend!$B$82*Legend!$B$84))</f>
        <v>1.4030583307984677E-4</v>
      </c>
      <c r="T57" s="209">
        <f>IF(SUMIFS('Region Mapping'!$E:$E,'Region Mapping'!$A:$A,T$39)&gt;0,'IPCC(2006)'!$C$87*1000/(Legend!$B$83*Legend!$B$82*Legend!$B$84),'IPCC(2006)'!$G$87*1000/(Legend!$B$83*Legend!$B$82*Legend!$B$84))</f>
        <v>1.4030583307984677E-4</v>
      </c>
      <c r="U57" s="209">
        <f>IF(SUMIFS('Region Mapping'!$E:$E,'Region Mapping'!$A:$A,U$39)&gt;0,'IPCC(2006)'!$C$87*1000/(Legend!$B$83*Legend!$B$82*Legend!$B$84),'IPCC(2006)'!$G$87*1000/(Legend!$B$83*Legend!$B$82*Legend!$B$84))</f>
        <v>1.4030583307984677E-4</v>
      </c>
      <c r="V57" s="209">
        <f>IF(SUMIFS('Region Mapping'!$E:$E,'Region Mapping'!$A:$A,V$39)&gt;0,'IPCC(2006)'!$C$87*1000/(Legend!$B$83*Legend!$B$82*Legend!$B$84),'IPCC(2006)'!$G$87*1000/(Legend!$B$83*Legend!$B$82*Legend!$B$84))</f>
        <v>1.4030583307984677E-4</v>
      </c>
      <c r="W57" s="209">
        <f>IF(SUMIFS('Region Mapping'!$E:$E,'Region Mapping'!$A:$A,W$39)&gt;0,'IPCC(2006)'!$C$87*1000/(Legend!$B$83*Legend!$B$82*Legend!$B$84),'IPCC(2006)'!$G$87*1000/(Legend!$B$83*Legend!$B$82*Legend!$B$84))</f>
        <v>1.4030583307984677E-4</v>
      </c>
      <c r="X57" s="209">
        <f>IF(SUMIFS('Region Mapping'!$E:$E,'Region Mapping'!$A:$A,X$39)&gt;0,'IPCC(2006)'!$C$87*1000/(Legend!$B$83*Legend!$B$82*Legend!$B$84),'IPCC(2006)'!$G$87*1000/(Legend!$B$83*Legend!$B$82*Legend!$B$84))</f>
        <v>1.4030583307984677E-4</v>
      </c>
      <c r="Y57" s="209">
        <f>IF(SUMIFS('Region Mapping'!$E:$E,'Region Mapping'!$A:$A,Y$39)&gt;0,'IPCC(2006)'!$C$87*1000/(Legend!$B$83*Legend!$B$82*Legend!$B$84),'IPCC(2006)'!$G$87*1000/(Legend!$B$83*Legend!$B$82*Legend!$B$84))</f>
        <v>1.4030583307984677E-4</v>
      </c>
      <c r="Z57" s="209">
        <f>IF(SUMIFS('Region Mapping'!$E:$E,'Region Mapping'!$A:$A,Z$39)&gt;0,'IPCC(2006)'!$C$87*1000/(Legend!$B$83*Legend!$B$82*Legend!$B$84),'IPCC(2006)'!$G$87*1000/(Legend!$B$83*Legend!$B$82*Legend!$B$84))</f>
        <v>1.4030583307984677E-4</v>
      </c>
      <c r="AA57" s="209">
        <f>IF(SUMIFS('Region Mapping'!$E:$E,'Region Mapping'!$A:$A,AA$39)&gt;0,'IPCC(2006)'!$C$87*1000/(Legend!$B$83*Legend!$B$82*Legend!$B$84),'IPCC(2006)'!$G$87*1000/(Legend!$B$83*Legend!$B$82*Legend!$B$84))</f>
        <v>1.4030583307984677E-4</v>
      </c>
      <c r="AB57" s="209">
        <f>IF(SUMIFS('Region Mapping'!$E:$E,'Region Mapping'!$A:$A,AB$39)&gt;0,'IPCC(2006)'!$C$87*1000/(Legend!$B$83*Legend!$B$82*Legend!$B$84),'IPCC(2006)'!$G$87*1000/(Legend!$B$83*Legend!$B$82*Legend!$B$84))</f>
        <v>1.4030583307984677E-4</v>
      </c>
      <c r="AC57" s="209">
        <f>IF(SUMIFS('Region Mapping'!$E:$E,'Region Mapping'!$A:$A,AC$39)&gt;0,'IPCC(2006)'!$C$87*1000/(Legend!$B$83*Legend!$B$82*Legend!$B$84),'IPCC(2006)'!$G$87*1000/(Legend!$B$83*Legend!$B$82*Legend!$B$84))</f>
        <v>1.4030583307984677E-4</v>
      </c>
      <c r="AD57" s="220">
        <f>IF(SUMIFS('Region Mapping'!$E:$E,'Region Mapping'!$A:$A,AD$39)&gt;0,'IPCC(2006)'!$C$87*1000/(Legend!$B$83*Legend!$B$82*Legend!$B$84),'IPCC(2006)'!$G$87*1000/(Legend!$B$83*Legend!$B$82*Legend!$B$84))</f>
        <v>1.4030583307984677E-4</v>
      </c>
    </row>
    <row r="58" spans="1:30">
      <c r="A58" s="215" t="s">
        <v>1020</v>
      </c>
      <c r="B58" t="s">
        <v>1021</v>
      </c>
      <c r="C58" s="209">
        <f>IF(SUMIFS('Region Mapping'!$E:$E,'Region Mapping'!$A:$A,C$39)&gt;0,'IPCC(2006)'!$C$88*1000/(Legend!$B$83*Legend!$B$82*Legend!$B$84),'IPCC(2006)'!$G$88*1000/(Legend!$B$83*Legend!$B$82*Legend!$B$84))</f>
        <v>6.4956404203632759E-4</v>
      </c>
      <c r="D58" s="209">
        <f>IF(SUMIFS('Region Mapping'!$E:$E,'Region Mapping'!$A:$A,D$39)&gt;0,'IPCC(2006)'!$C$88*1000/(Legend!$B$83*Legend!$B$82*Legend!$B$84),'IPCC(2006)'!$G$88*1000/(Legend!$B$83*Legend!$B$82*Legend!$B$84))</f>
        <v>6.4956404203632759E-4</v>
      </c>
      <c r="E58" s="209">
        <f>IF(SUMIFS('Region Mapping'!$E:$E,'Region Mapping'!$A:$A,E$39)&gt;0,'IPCC(2006)'!$C$88*1000/(Legend!$B$83*Legend!$B$82*Legend!$B$84),'IPCC(2006)'!$G$88*1000/(Legend!$B$83*Legend!$B$82*Legend!$B$84))</f>
        <v>6.4956404203632759E-4</v>
      </c>
      <c r="F58" s="209">
        <f>IF(SUMIFS('Region Mapping'!$E:$E,'Region Mapping'!$A:$A,F$39)&gt;0,'IPCC(2006)'!$C$88*1000/(Legend!$B$83*Legend!$B$82*Legend!$B$84),'IPCC(2006)'!$G$88*1000/(Legend!$B$83*Legend!$B$82*Legend!$B$84))</f>
        <v>6.4956404203632759E-4</v>
      </c>
      <c r="G58" s="209">
        <f>IF(SUMIFS('Region Mapping'!$E:$E,'Region Mapping'!$A:$A,G$39)&gt;0,'IPCC(2006)'!$C$88*1000/(Legend!$B$83*Legend!$B$82*Legend!$B$84),'IPCC(2006)'!$G$88*1000/(Legend!$B$83*Legend!$B$82*Legend!$B$84))</f>
        <v>6.4956404203632759E-4</v>
      </c>
      <c r="H58" s="209">
        <f>IF(SUMIFS('Region Mapping'!$E:$E,'Region Mapping'!$A:$A,H$39)&gt;0,'IPCC(2006)'!$C$88*1000/(Legend!$B$83*Legend!$B$82*Legend!$B$84),'IPCC(2006)'!$G$88*1000/(Legend!$B$83*Legend!$B$82*Legend!$B$84))</f>
        <v>6.4956404203632759E-4</v>
      </c>
      <c r="I58" s="209">
        <f>IF(SUMIFS('Region Mapping'!$E:$E,'Region Mapping'!$A:$A,I$39)&gt;0,'IPCC(2006)'!$C$88*1000/(Legend!$B$83*Legend!$B$82*Legend!$B$84),'IPCC(2006)'!$G$88*1000/(Legend!$B$83*Legend!$B$82*Legend!$B$84))</f>
        <v>6.4956404203632759E-4</v>
      </c>
      <c r="J58" s="209">
        <f>IF(SUMIFS('Region Mapping'!$E:$E,'Region Mapping'!$A:$A,J$39)&gt;0,'IPCC(2006)'!$C$88*1000/(Legend!$B$83*Legend!$B$82*Legend!$B$84),'IPCC(2006)'!$G$88*1000/(Legend!$B$83*Legend!$B$82*Legend!$B$84))</f>
        <v>6.4956404203632759E-4</v>
      </c>
      <c r="K58" s="209">
        <f>IF(SUMIFS('Region Mapping'!$E:$E,'Region Mapping'!$A:$A,K$39)&gt;0,'IPCC(2006)'!$C$88*1000/(Legend!$B$83*Legend!$B$82*Legend!$B$84),'IPCC(2006)'!$G$88*1000/(Legend!$B$83*Legend!$B$82*Legend!$B$84))</f>
        <v>6.4956404203632759E-4</v>
      </c>
      <c r="L58" s="209">
        <f>IF(SUMIFS('Region Mapping'!$E:$E,'Region Mapping'!$A:$A,L$39)&gt;0,'IPCC(2006)'!$C$88*1000/(Legend!$B$83*Legend!$B$82*Legend!$B$84),'IPCC(2006)'!$G$88*1000/(Legend!$B$83*Legend!$B$82*Legend!$B$84))</f>
        <v>6.4956404203632759E-4</v>
      </c>
      <c r="M58" s="209">
        <f>IF(SUMIFS('Region Mapping'!$E:$E,'Region Mapping'!$A:$A,M$39)&gt;0,'IPCC(2006)'!$C$88*1000/(Legend!$B$83*Legend!$B$82*Legend!$B$84),'IPCC(2006)'!$G$88*1000/(Legend!$B$83*Legend!$B$82*Legend!$B$84))</f>
        <v>6.4956404203632759E-4</v>
      </c>
      <c r="N58" s="209">
        <f>IF(SUMIFS('Region Mapping'!$E:$E,'Region Mapping'!$A:$A,N$39)&gt;0,'IPCC(2006)'!$C$88*1000/(Legend!$B$83*Legend!$B$82*Legend!$B$84),'IPCC(2006)'!$G$88*1000/(Legend!$B$83*Legend!$B$82*Legend!$B$84))</f>
        <v>6.4956404203632759E-4</v>
      </c>
      <c r="O58" s="209">
        <f>IF(SUMIFS('Region Mapping'!$E:$E,'Region Mapping'!$A:$A,O$39)&gt;0,'IPCC(2006)'!$C$88*1000/(Legend!$B$83*Legend!$B$82*Legend!$B$84),'IPCC(2006)'!$G$88*1000/(Legend!$B$83*Legend!$B$82*Legend!$B$84))</f>
        <v>6.4956404203632759E-4</v>
      </c>
      <c r="P58" s="209">
        <f>IF(SUMIFS('Region Mapping'!$E:$E,'Region Mapping'!$A:$A,P$39)&gt;0,'IPCC(2006)'!$C$88*1000/(Legend!$B$83*Legend!$B$82*Legend!$B$84),'IPCC(2006)'!$G$88*1000/(Legend!$B$83*Legend!$B$82*Legend!$B$84))</f>
        <v>6.4956404203632759E-4</v>
      </c>
      <c r="Q58" s="209">
        <f>IF(SUMIFS('Region Mapping'!$E:$E,'Region Mapping'!$A:$A,Q$39)&gt;0,'IPCC(2006)'!$C$88*1000/(Legend!$B$83*Legend!$B$82*Legend!$B$84),'IPCC(2006)'!$G$88*1000/(Legend!$B$83*Legend!$B$82*Legend!$B$84))</f>
        <v>6.4956404203632759E-4</v>
      </c>
      <c r="R58" s="209">
        <f>IF(SUMIFS('Region Mapping'!$E:$E,'Region Mapping'!$A:$A,R$39)&gt;0,'IPCC(2006)'!$C$88*1000/(Legend!$B$83*Legend!$B$82*Legend!$B$84),'IPCC(2006)'!$G$88*1000/(Legend!$B$83*Legend!$B$82*Legend!$B$84))</f>
        <v>6.4956404203632759E-4</v>
      </c>
      <c r="S58" s="209">
        <f>IF(SUMIFS('Region Mapping'!$E:$E,'Region Mapping'!$A:$A,S$39)&gt;0,'IPCC(2006)'!$C$88*1000/(Legend!$B$83*Legend!$B$82*Legend!$B$84),'IPCC(2006)'!$G$88*1000/(Legend!$B$83*Legend!$B$82*Legend!$B$84))</f>
        <v>6.4956404203632759E-4</v>
      </c>
      <c r="T58" s="209">
        <f>IF(SUMIFS('Region Mapping'!$E:$E,'Region Mapping'!$A:$A,T$39)&gt;0,'IPCC(2006)'!$C$88*1000/(Legend!$B$83*Legend!$B$82*Legend!$B$84),'IPCC(2006)'!$G$88*1000/(Legend!$B$83*Legend!$B$82*Legend!$B$84))</f>
        <v>6.4956404203632759E-4</v>
      </c>
      <c r="U58" s="209">
        <f>IF(SUMIFS('Region Mapping'!$E:$E,'Region Mapping'!$A:$A,U$39)&gt;0,'IPCC(2006)'!$C$88*1000/(Legend!$B$83*Legend!$B$82*Legend!$B$84),'IPCC(2006)'!$G$88*1000/(Legend!$B$83*Legend!$B$82*Legend!$B$84))</f>
        <v>6.4956404203632759E-4</v>
      </c>
      <c r="V58" s="209">
        <f>IF(SUMIFS('Region Mapping'!$E:$E,'Region Mapping'!$A:$A,V$39)&gt;0,'IPCC(2006)'!$C$88*1000/(Legend!$B$83*Legend!$B$82*Legend!$B$84),'IPCC(2006)'!$G$88*1000/(Legend!$B$83*Legend!$B$82*Legend!$B$84))</f>
        <v>6.4956404203632759E-4</v>
      </c>
      <c r="W58" s="209">
        <f>IF(SUMIFS('Region Mapping'!$E:$E,'Region Mapping'!$A:$A,W$39)&gt;0,'IPCC(2006)'!$C$88*1000/(Legend!$B$83*Legend!$B$82*Legend!$B$84),'IPCC(2006)'!$G$88*1000/(Legend!$B$83*Legend!$B$82*Legend!$B$84))</f>
        <v>6.4956404203632759E-4</v>
      </c>
      <c r="X58" s="209">
        <f>IF(SUMIFS('Region Mapping'!$E:$E,'Region Mapping'!$A:$A,X$39)&gt;0,'IPCC(2006)'!$C$88*1000/(Legend!$B$83*Legend!$B$82*Legend!$B$84),'IPCC(2006)'!$G$88*1000/(Legend!$B$83*Legend!$B$82*Legend!$B$84))</f>
        <v>6.4956404203632759E-4</v>
      </c>
      <c r="Y58" s="209">
        <f>IF(SUMIFS('Region Mapping'!$E:$E,'Region Mapping'!$A:$A,Y$39)&gt;0,'IPCC(2006)'!$C$88*1000/(Legend!$B$83*Legend!$B$82*Legend!$B$84),'IPCC(2006)'!$G$88*1000/(Legend!$B$83*Legend!$B$82*Legend!$B$84))</f>
        <v>6.4956404203632759E-4</v>
      </c>
      <c r="Z58" s="209">
        <f>IF(SUMIFS('Region Mapping'!$E:$E,'Region Mapping'!$A:$A,Z$39)&gt;0,'IPCC(2006)'!$C$88*1000/(Legend!$B$83*Legend!$B$82*Legend!$B$84),'IPCC(2006)'!$G$88*1000/(Legend!$B$83*Legend!$B$82*Legend!$B$84))</f>
        <v>6.4956404203632759E-4</v>
      </c>
      <c r="AA58" s="209">
        <f>IF(SUMIFS('Region Mapping'!$E:$E,'Region Mapping'!$A:$A,AA$39)&gt;0,'IPCC(2006)'!$C$88*1000/(Legend!$B$83*Legend!$B$82*Legend!$B$84),'IPCC(2006)'!$G$88*1000/(Legend!$B$83*Legend!$B$82*Legend!$B$84))</f>
        <v>6.4956404203632759E-4</v>
      </c>
      <c r="AB58" s="209">
        <f>IF(SUMIFS('Region Mapping'!$E:$E,'Region Mapping'!$A:$A,AB$39)&gt;0,'IPCC(2006)'!$C$88*1000/(Legend!$B$83*Legend!$B$82*Legend!$B$84),'IPCC(2006)'!$G$88*1000/(Legend!$B$83*Legend!$B$82*Legend!$B$84))</f>
        <v>6.4956404203632759E-4</v>
      </c>
      <c r="AC58" s="209">
        <f>IF(SUMIFS('Region Mapping'!$E:$E,'Region Mapping'!$A:$A,AC$39)&gt;0,'IPCC(2006)'!$C$88*1000/(Legend!$B$83*Legend!$B$82*Legend!$B$84),'IPCC(2006)'!$G$88*1000/(Legend!$B$83*Legend!$B$82*Legend!$B$84))</f>
        <v>6.4956404203632759E-4</v>
      </c>
      <c r="AD58" s="220">
        <f>IF(SUMIFS('Region Mapping'!$E:$E,'Region Mapping'!$A:$A,AD$39)&gt;0,'IPCC(2006)'!$C$88*1000/(Legend!$B$83*Legend!$B$82*Legend!$B$84),'IPCC(2006)'!$G$88*1000/(Legend!$B$83*Legend!$B$82*Legend!$B$84))</f>
        <v>6.4956404203632759E-4</v>
      </c>
    </row>
    <row r="59" spans="1:30">
      <c r="A59" s="215" t="s">
        <v>1022</v>
      </c>
      <c r="B59" t="s">
        <v>1021</v>
      </c>
      <c r="C59" s="209">
        <f>IF(SUMIFS('Region Mapping'!$E:$E,'Region Mapping'!$A:$A,C$39)&gt;0,'IPCC(2006)'!$C$89*1000/(Legend!$B$83*Legend!$B$82*Legend!$B$84),'IPCC(2006)'!$G$89*1000/(Legend!$B$83*Legend!$B$82*Legend!$B$84))</f>
        <v>93.537222053231176</v>
      </c>
      <c r="D59" s="209">
        <f>IF(SUMIFS('Region Mapping'!$E:$E,'Region Mapping'!$A:$A,D$39)&gt;0,'IPCC(2006)'!$C$89*1000/(Legend!$B$83*Legend!$B$82*Legend!$B$84),'IPCC(2006)'!$G$89*1000/(Legend!$B$83*Legend!$B$82*Legend!$B$84))</f>
        <v>93.537222053231176</v>
      </c>
      <c r="E59" s="209">
        <f>IF(SUMIFS('Region Mapping'!$E:$E,'Region Mapping'!$A:$A,E$39)&gt;0,'IPCC(2006)'!$C$89*1000/(Legend!$B$83*Legend!$B$82*Legend!$B$84),'IPCC(2006)'!$G$89*1000/(Legend!$B$83*Legend!$B$82*Legend!$B$84))</f>
        <v>93.537222053231176</v>
      </c>
      <c r="F59" s="209">
        <f>IF(SUMIFS('Region Mapping'!$E:$E,'Region Mapping'!$A:$A,F$39)&gt;0,'IPCC(2006)'!$C$89*1000/(Legend!$B$83*Legend!$B$82*Legend!$B$84),'IPCC(2006)'!$G$89*1000/(Legend!$B$83*Legend!$B$82*Legend!$B$84))</f>
        <v>93.537222053231176</v>
      </c>
      <c r="G59" s="209">
        <f>IF(SUMIFS('Region Mapping'!$E:$E,'Region Mapping'!$A:$A,G$39)&gt;0,'IPCC(2006)'!$C$89*1000/(Legend!$B$83*Legend!$B$82*Legend!$B$84),'IPCC(2006)'!$G$89*1000/(Legend!$B$83*Legend!$B$82*Legend!$B$84))</f>
        <v>93.537222053231176</v>
      </c>
      <c r="H59" s="209">
        <f>IF(SUMIFS('Region Mapping'!$E:$E,'Region Mapping'!$A:$A,H$39)&gt;0,'IPCC(2006)'!$C$89*1000/(Legend!$B$83*Legend!$B$82*Legend!$B$84),'IPCC(2006)'!$G$89*1000/(Legend!$B$83*Legend!$B$82*Legend!$B$84))</f>
        <v>93.537222053231176</v>
      </c>
      <c r="I59" s="209">
        <f>IF(SUMIFS('Region Mapping'!$E:$E,'Region Mapping'!$A:$A,I$39)&gt;0,'IPCC(2006)'!$C$89*1000/(Legend!$B$83*Legend!$B$82*Legend!$B$84),'IPCC(2006)'!$G$89*1000/(Legend!$B$83*Legend!$B$82*Legend!$B$84))</f>
        <v>93.537222053231176</v>
      </c>
      <c r="J59" s="209">
        <f>IF(SUMIFS('Region Mapping'!$E:$E,'Region Mapping'!$A:$A,J$39)&gt;0,'IPCC(2006)'!$C$89*1000/(Legend!$B$83*Legend!$B$82*Legend!$B$84),'IPCC(2006)'!$G$89*1000/(Legend!$B$83*Legend!$B$82*Legend!$B$84))</f>
        <v>93.537222053231176</v>
      </c>
      <c r="K59" s="209">
        <f>IF(SUMIFS('Region Mapping'!$E:$E,'Region Mapping'!$A:$A,K$39)&gt;0,'IPCC(2006)'!$C$89*1000/(Legend!$B$83*Legend!$B$82*Legend!$B$84),'IPCC(2006)'!$G$89*1000/(Legend!$B$83*Legend!$B$82*Legend!$B$84))</f>
        <v>93.537222053231176</v>
      </c>
      <c r="L59" s="209">
        <f>IF(SUMIFS('Region Mapping'!$E:$E,'Region Mapping'!$A:$A,L$39)&gt;0,'IPCC(2006)'!$C$89*1000/(Legend!$B$83*Legend!$B$82*Legend!$B$84),'IPCC(2006)'!$G$89*1000/(Legend!$B$83*Legend!$B$82*Legend!$B$84))</f>
        <v>93.537222053231176</v>
      </c>
      <c r="M59" s="209">
        <f>IF(SUMIFS('Region Mapping'!$E:$E,'Region Mapping'!$A:$A,M$39)&gt;0,'IPCC(2006)'!$C$89*1000/(Legend!$B$83*Legend!$B$82*Legend!$B$84),'IPCC(2006)'!$G$89*1000/(Legend!$B$83*Legend!$B$82*Legend!$B$84))</f>
        <v>93.537222053231176</v>
      </c>
      <c r="N59" s="209">
        <f>IF(SUMIFS('Region Mapping'!$E:$E,'Region Mapping'!$A:$A,N$39)&gt;0,'IPCC(2006)'!$C$89*1000/(Legend!$B$83*Legend!$B$82*Legend!$B$84),'IPCC(2006)'!$G$89*1000/(Legend!$B$83*Legend!$B$82*Legend!$B$84))</f>
        <v>93.537222053231176</v>
      </c>
      <c r="O59" s="209">
        <f>IF(SUMIFS('Region Mapping'!$E:$E,'Region Mapping'!$A:$A,O$39)&gt;0,'IPCC(2006)'!$C$89*1000/(Legend!$B$83*Legend!$B$82*Legend!$B$84),'IPCC(2006)'!$G$89*1000/(Legend!$B$83*Legend!$B$82*Legend!$B$84))</f>
        <v>93.537222053231176</v>
      </c>
      <c r="P59" s="209">
        <f>IF(SUMIFS('Region Mapping'!$E:$E,'Region Mapping'!$A:$A,P$39)&gt;0,'IPCC(2006)'!$C$89*1000/(Legend!$B$83*Legend!$B$82*Legend!$B$84),'IPCC(2006)'!$G$89*1000/(Legend!$B$83*Legend!$B$82*Legend!$B$84))</f>
        <v>93.537222053231176</v>
      </c>
      <c r="Q59" s="209">
        <f>IF(SUMIFS('Region Mapping'!$E:$E,'Region Mapping'!$A:$A,Q$39)&gt;0,'IPCC(2006)'!$C$89*1000/(Legend!$B$83*Legend!$B$82*Legend!$B$84),'IPCC(2006)'!$G$89*1000/(Legend!$B$83*Legend!$B$82*Legend!$B$84))</f>
        <v>93.537222053231176</v>
      </c>
      <c r="R59" s="209">
        <f>IF(SUMIFS('Region Mapping'!$E:$E,'Region Mapping'!$A:$A,R$39)&gt;0,'IPCC(2006)'!$C$89*1000/(Legend!$B$83*Legend!$B$82*Legend!$B$84),'IPCC(2006)'!$G$89*1000/(Legend!$B$83*Legend!$B$82*Legend!$B$84))</f>
        <v>93.537222053231176</v>
      </c>
      <c r="S59" s="209">
        <f>IF(SUMIFS('Region Mapping'!$E:$E,'Region Mapping'!$A:$A,S$39)&gt;0,'IPCC(2006)'!$C$89*1000/(Legend!$B$83*Legend!$B$82*Legend!$B$84),'IPCC(2006)'!$G$89*1000/(Legend!$B$83*Legend!$B$82*Legend!$B$84))</f>
        <v>93.537222053231176</v>
      </c>
      <c r="T59" s="209">
        <f>IF(SUMIFS('Region Mapping'!$E:$E,'Region Mapping'!$A:$A,T$39)&gt;0,'IPCC(2006)'!$C$89*1000/(Legend!$B$83*Legend!$B$82*Legend!$B$84),'IPCC(2006)'!$G$89*1000/(Legend!$B$83*Legend!$B$82*Legend!$B$84))</f>
        <v>93.537222053231176</v>
      </c>
      <c r="U59" s="209">
        <f>IF(SUMIFS('Region Mapping'!$E:$E,'Region Mapping'!$A:$A,U$39)&gt;0,'IPCC(2006)'!$C$89*1000/(Legend!$B$83*Legend!$B$82*Legend!$B$84),'IPCC(2006)'!$G$89*1000/(Legend!$B$83*Legend!$B$82*Legend!$B$84))</f>
        <v>93.537222053231176</v>
      </c>
      <c r="V59" s="209">
        <f>IF(SUMIFS('Region Mapping'!$E:$E,'Region Mapping'!$A:$A,V$39)&gt;0,'IPCC(2006)'!$C$89*1000/(Legend!$B$83*Legend!$B$82*Legend!$B$84),'IPCC(2006)'!$G$89*1000/(Legend!$B$83*Legend!$B$82*Legend!$B$84))</f>
        <v>93.537222053231176</v>
      </c>
      <c r="W59" s="209">
        <f>IF(SUMIFS('Region Mapping'!$E:$E,'Region Mapping'!$A:$A,W$39)&gt;0,'IPCC(2006)'!$C$89*1000/(Legend!$B$83*Legend!$B$82*Legend!$B$84),'IPCC(2006)'!$G$89*1000/(Legend!$B$83*Legend!$B$82*Legend!$B$84))</f>
        <v>93.537222053231176</v>
      </c>
      <c r="X59" s="209">
        <f>IF(SUMIFS('Region Mapping'!$E:$E,'Region Mapping'!$A:$A,X$39)&gt;0,'IPCC(2006)'!$C$89*1000/(Legend!$B$83*Legend!$B$82*Legend!$B$84),'IPCC(2006)'!$G$89*1000/(Legend!$B$83*Legend!$B$82*Legend!$B$84))</f>
        <v>93.537222053231176</v>
      </c>
      <c r="Y59" s="209">
        <f>IF(SUMIFS('Region Mapping'!$E:$E,'Region Mapping'!$A:$A,Y$39)&gt;0,'IPCC(2006)'!$C$89*1000/(Legend!$B$83*Legend!$B$82*Legend!$B$84),'IPCC(2006)'!$G$89*1000/(Legend!$B$83*Legend!$B$82*Legend!$B$84))</f>
        <v>93.537222053231176</v>
      </c>
      <c r="Z59" s="209">
        <f>IF(SUMIFS('Region Mapping'!$E:$E,'Region Mapping'!$A:$A,Z$39)&gt;0,'IPCC(2006)'!$C$89*1000/(Legend!$B$83*Legend!$B$82*Legend!$B$84),'IPCC(2006)'!$G$89*1000/(Legend!$B$83*Legend!$B$82*Legend!$B$84))</f>
        <v>93.537222053231176</v>
      </c>
      <c r="AA59" s="209">
        <f>IF(SUMIFS('Region Mapping'!$E:$E,'Region Mapping'!$A:$A,AA$39)&gt;0,'IPCC(2006)'!$C$89*1000/(Legend!$B$83*Legend!$B$82*Legend!$B$84),'IPCC(2006)'!$G$89*1000/(Legend!$B$83*Legend!$B$82*Legend!$B$84))</f>
        <v>93.537222053231176</v>
      </c>
      <c r="AB59" s="209">
        <f>IF(SUMIFS('Region Mapping'!$E:$E,'Region Mapping'!$A:$A,AB$39)&gt;0,'IPCC(2006)'!$C$89*1000/(Legend!$B$83*Legend!$B$82*Legend!$B$84),'IPCC(2006)'!$G$89*1000/(Legend!$B$83*Legend!$B$82*Legend!$B$84))</f>
        <v>93.537222053231176</v>
      </c>
      <c r="AC59" s="209">
        <f>IF(SUMIFS('Region Mapping'!$E:$E,'Region Mapping'!$A:$A,AC$39)&gt;0,'IPCC(2006)'!$C$89*1000/(Legend!$B$83*Legend!$B$82*Legend!$B$84),'IPCC(2006)'!$G$89*1000/(Legend!$B$83*Legend!$B$82*Legend!$B$84))</f>
        <v>93.537222053231176</v>
      </c>
      <c r="AD59" s="220">
        <f>IF(SUMIFS('Region Mapping'!$E:$E,'Region Mapping'!$A:$A,AD$39)&gt;0,'IPCC(2006)'!$C$89*1000/(Legend!$B$83*Legend!$B$82*Legend!$B$84),'IPCC(2006)'!$G$89*1000/(Legend!$B$83*Legend!$B$82*Legend!$B$84))</f>
        <v>93.537222053231176</v>
      </c>
    </row>
    <row r="60" spans="1:30">
      <c r="A60" s="215" t="s">
        <v>1023</v>
      </c>
      <c r="B60" t="s">
        <v>1024</v>
      </c>
      <c r="C60" s="209">
        <f>IF(SUMIFS('Region Mapping'!$E:$E,'Region Mapping'!$A:$A,C$39)&gt;0,'IPCC(2006)'!$C$90*1000/(Legend!$B$83*Legend!$B$82*Legend!$B$84),'IPCC(2006)'!$G$90*1000/(Legend!$B$83*Legend!$B$82*Legend!$B$84))</f>
        <v>0</v>
      </c>
      <c r="D60" s="209">
        <f>IF(SUMIFS('Region Mapping'!$E:$E,'Region Mapping'!$A:$A,D$39)&gt;0,'IPCC(2006)'!$C$90*1000/(Legend!$B$83*Legend!$B$82*Legend!$B$84),'IPCC(2006)'!$G$90*1000/(Legend!$B$83*Legend!$B$82*Legend!$B$84))</f>
        <v>0</v>
      </c>
      <c r="E60" s="209">
        <f>IF(SUMIFS('Region Mapping'!$E:$E,'Region Mapping'!$A:$A,E$39)&gt;0,'IPCC(2006)'!$C$90*1000/(Legend!$B$83*Legend!$B$82*Legend!$B$84),'IPCC(2006)'!$G$90*1000/(Legend!$B$83*Legend!$B$82*Legend!$B$84))</f>
        <v>0</v>
      </c>
      <c r="F60" s="209">
        <f>IF(SUMIFS('Region Mapping'!$E:$E,'Region Mapping'!$A:$A,F$39)&gt;0,'IPCC(2006)'!$C$90*1000/(Legend!$B$83*Legend!$B$82*Legend!$B$84),'IPCC(2006)'!$G$90*1000/(Legend!$B$83*Legend!$B$82*Legend!$B$84))</f>
        <v>0</v>
      </c>
      <c r="G60" s="209">
        <f>IF(SUMIFS('Region Mapping'!$E:$E,'Region Mapping'!$A:$A,G$39)&gt;0,'IPCC(2006)'!$C$90*1000/(Legend!$B$83*Legend!$B$82*Legend!$B$84),'IPCC(2006)'!$G$90*1000/(Legend!$B$83*Legend!$B$82*Legend!$B$84))</f>
        <v>1.0652850289395773E-3</v>
      </c>
      <c r="H60" s="209">
        <f>IF(SUMIFS('Region Mapping'!$E:$E,'Region Mapping'!$A:$A,H$39)&gt;0,'IPCC(2006)'!$C$90*1000/(Legend!$B$83*Legend!$B$82*Legend!$B$84),'IPCC(2006)'!$G$90*1000/(Legend!$B$83*Legend!$B$82*Legend!$B$84))</f>
        <v>0</v>
      </c>
      <c r="I60" s="209">
        <f>IF(SUMIFS('Region Mapping'!$E:$E,'Region Mapping'!$A:$A,I$39)&gt;0,'IPCC(2006)'!$C$90*1000/(Legend!$B$83*Legend!$B$82*Legend!$B$84),'IPCC(2006)'!$G$90*1000/(Legend!$B$83*Legend!$B$82*Legend!$B$84))</f>
        <v>0</v>
      </c>
      <c r="J60" s="209">
        <f>IF(SUMIFS('Region Mapping'!$E:$E,'Region Mapping'!$A:$A,J$39)&gt;0,'IPCC(2006)'!$C$90*1000/(Legend!$B$83*Legend!$B$82*Legend!$B$84),'IPCC(2006)'!$G$90*1000/(Legend!$B$83*Legend!$B$82*Legend!$B$84))</f>
        <v>0</v>
      </c>
      <c r="K60" s="209">
        <f>IF(SUMIFS('Region Mapping'!$E:$E,'Region Mapping'!$A:$A,K$39)&gt;0,'IPCC(2006)'!$C$90*1000/(Legend!$B$83*Legend!$B$82*Legend!$B$84),'IPCC(2006)'!$G$90*1000/(Legend!$B$83*Legend!$B$82*Legend!$B$84))</f>
        <v>0</v>
      </c>
      <c r="L60" s="209">
        <f>IF(SUMIFS('Region Mapping'!$E:$E,'Region Mapping'!$A:$A,L$39)&gt;0,'IPCC(2006)'!$C$90*1000/(Legend!$B$83*Legend!$B$82*Legend!$B$84),'IPCC(2006)'!$G$90*1000/(Legend!$B$83*Legend!$B$82*Legend!$B$84))</f>
        <v>1.0652850289395773E-3</v>
      </c>
      <c r="M60" s="209">
        <f>IF(SUMIFS('Region Mapping'!$E:$E,'Region Mapping'!$A:$A,M$39)&gt;0,'IPCC(2006)'!$C$90*1000/(Legend!$B$83*Legend!$B$82*Legend!$B$84),'IPCC(2006)'!$G$90*1000/(Legend!$B$83*Legend!$B$82*Legend!$B$84))</f>
        <v>0</v>
      </c>
      <c r="N60" s="209">
        <f>IF(SUMIFS('Region Mapping'!$E:$E,'Region Mapping'!$A:$A,N$39)&gt;0,'IPCC(2006)'!$C$90*1000/(Legend!$B$83*Legend!$B$82*Legend!$B$84),'IPCC(2006)'!$G$90*1000/(Legend!$B$83*Legend!$B$82*Legend!$B$84))</f>
        <v>0</v>
      </c>
      <c r="O60" s="209">
        <f>IF(SUMIFS('Region Mapping'!$E:$E,'Region Mapping'!$A:$A,O$39)&gt;0,'IPCC(2006)'!$C$90*1000/(Legend!$B$83*Legend!$B$82*Legend!$B$84),'IPCC(2006)'!$G$90*1000/(Legend!$B$83*Legend!$B$82*Legend!$B$84))</f>
        <v>0</v>
      </c>
      <c r="P60" s="209">
        <f>IF(SUMIFS('Region Mapping'!$E:$E,'Region Mapping'!$A:$A,P$39)&gt;0,'IPCC(2006)'!$C$90*1000/(Legend!$B$83*Legend!$B$82*Legend!$B$84),'IPCC(2006)'!$G$90*1000/(Legend!$B$83*Legend!$B$82*Legend!$B$84))</f>
        <v>1.0652850289395773E-3</v>
      </c>
      <c r="Q60" s="209">
        <f>IF(SUMIFS('Region Mapping'!$E:$E,'Region Mapping'!$A:$A,Q$39)&gt;0,'IPCC(2006)'!$C$90*1000/(Legend!$B$83*Legend!$B$82*Legend!$B$84),'IPCC(2006)'!$G$90*1000/(Legend!$B$83*Legend!$B$82*Legend!$B$84))</f>
        <v>1.0652850289395773E-3</v>
      </c>
      <c r="R60" s="209">
        <f>IF(SUMIFS('Region Mapping'!$E:$E,'Region Mapping'!$A:$A,R$39)&gt;0,'IPCC(2006)'!$C$90*1000/(Legend!$B$83*Legend!$B$82*Legend!$B$84),'IPCC(2006)'!$G$90*1000/(Legend!$B$83*Legend!$B$82*Legend!$B$84))</f>
        <v>1.0652850289395773E-3</v>
      </c>
      <c r="S60" s="209">
        <f>IF(SUMIFS('Region Mapping'!$E:$E,'Region Mapping'!$A:$A,S$39)&gt;0,'IPCC(2006)'!$C$90*1000/(Legend!$B$83*Legend!$B$82*Legend!$B$84),'IPCC(2006)'!$G$90*1000/(Legend!$B$83*Legend!$B$82*Legend!$B$84))</f>
        <v>1.0652850289395773E-3</v>
      </c>
      <c r="T60" s="209">
        <f>IF(SUMIFS('Region Mapping'!$E:$E,'Region Mapping'!$A:$A,T$39)&gt;0,'IPCC(2006)'!$C$90*1000/(Legend!$B$83*Legend!$B$82*Legend!$B$84),'IPCC(2006)'!$G$90*1000/(Legend!$B$83*Legend!$B$82*Legend!$B$84))</f>
        <v>0</v>
      </c>
      <c r="U60" s="209">
        <f>IF(SUMIFS('Region Mapping'!$E:$E,'Region Mapping'!$A:$A,U$39)&gt;0,'IPCC(2006)'!$C$90*1000/(Legend!$B$83*Legend!$B$82*Legend!$B$84),'IPCC(2006)'!$G$90*1000/(Legend!$B$83*Legend!$B$82*Legend!$B$84))</f>
        <v>0</v>
      </c>
      <c r="V60" s="209">
        <f>IF(SUMIFS('Region Mapping'!$E:$E,'Region Mapping'!$A:$A,V$39)&gt;0,'IPCC(2006)'!$C$90*1000/(Legend!$B$83*Legend!$B$82*Legend!$B$84),'IPCC(2006)'!$G$90*1000/(Legend!$B$83*Legend!$B$82*Legend!$B$84))</f>
        <v>1.0652850289395773E-3</v>
      </c>
      <c r="W60" s="209">
        <f>IF(SUMIFS('Region Mapping'!$E:$E,'Region Mapping'!$A:$A,W$39)&gt;0,'IPCC(2006)'!$C$90*1000/(Legend!$B$83*Legend!$B$82*Legend!$B$84),'IPCC(2006)'!$G$90*1000/(Legend!$B$83*Legend!$B$82*Legend!$B$84))</f>
        <v>0</v>
      </c>
      <c r="X60" s="209">
        <f>IF(SUMIFS('Region Mapping'!$E:$E,'Region Mapping'!$A:$A,X$39)&gt;0,'IPCC(2006)'!$C$90*1000/(Legend!$B$83*Legend!$B$82*Legend!$B$84),'IPCC(2006)'!$G$90*1000/(Legend!$B$83*Legend!$B$82*Legend!$B$84))</f>
        <v>0</v>
      </c>
      <c r="Y60" s="209">
        <f>IF(SUMIFS('Region Mapping'!$E:$E,'Region Mapping'!$A:$A,Y$39)&gt;0,'IPCC(2006)'!$C$90*1000/(Legend!$B$83*Legend!$B$82*Legend!$B$84),'IPCC(2006)'!$G$90*1000/(Legend!$B$83*Legend!$B$82*Legend!$B$84))</f>
        <v>0</v>
      </c>
      <c r="Z60" s="209">
        <f>IF(SUMIFS('Region Mapping'!$E:$E,'Region Mapping'!$A:$A,Z$39)&gt;0,'IPCC(2006)'!$C$90*1000/(Legend!$B$83*Legend!$B$82*Legend!$B$84),'IPCC(2006)'!$G$90*1000/(Legend!$B$83*Legend!$B$82*Legend!$B$84))</f>
        <v>0</v>
      </c>
      <c r="AA60" s="209">
        <f>IF(SUMIFS('Region Mapping'!$E:$E,'Region Mapping'!$A:$A,AA$39)&gt;0,'IPCC(2006)'!$C$90*1000/(Legend!$B$83*Legend!$B$82*Legend!$B$84),'IPCC(2006)'!$G$90*1000/(Legend!$B$83*Legend!$B$82*Legend!$B$84))</f>
        <v>0</v>
      </c>
      <c r="AB60" s="209">
        <f>IF(SUMIFS('Region Mapping'!$E:$E,'Region Mapping'!$A:$A,AB$39)&gt;0,'IPCC(2006)'!$C$90*1000/(Legend!$B$83*Legend!$B$82*Legend!$B$84),'IPCC(2006)'!$G$90*1000/(Legend!$B$83*Legend!$B$82*Legend!$B$84))</f>
        <v>0</v>
      </c>
      <c r="AC60" s="209">
        <f>IF(SUMIFS('Region Mapping'!$E:$E,'Region Mapping'!$A:$A,AC$39)&gt;0,'IPCC(2006)'!$C$90*1000/(Legend!$B$83*Legend!$B$82*Legend!$B$84),'IPCC(2006)'!$G$90*1000/(Legend!$B$83*Legend!$B$82*Legend!$B$84))</f>
        <v>1.0652850289395773E-3</v>
      </c>
      <c r="AD60" s="220">
        <f>IF(SUMIFS('Region Mapping'!$E:$E,'Region Mapping'!$A:$A,AD$39)&gt;0,'IPCC(2006)'!$C$90*1000/(Legend!$B$83*Legend!$B$82*Legend!$B$84),'IPCC(2006)'!$G$90*1000/(Legend!$B$83*Legend!$B$82*Legend!$B$84))</f>
        <v>1.0652850289395773E-3</v>
      </c>
    </row>
    <row r="61" spans="1:30">
      <c r="A61" s="215" t="s">
        <v>1025</v>
      </c>
      <c r="B61" t="s">
        <v>1026</v>
      </c>
      <c r="C61" s="209">
        <f>IF(SUMIFS('Region Mapping'!$E:$E,'Region Mapping'!$A:$A,C$39)&gt;0,'IPCC(2006)'!$C$92*1000/(Legend!$B$97*10^-3),'IPCC(2006)'!$G$92*1000/(Legend!$B$97*10^-3))</f>
        <v>0</v>
      </c>
      <c r="D61" s="209">
        <f>IF(SUMIFS('Region Mapping'!$E:$E,'Region Mapping'!$A:$A,D$39)&gt;0,'IPCC(2006)'!$C$92*1000/(Legend!$B$97*10^-3),'IPCC(2006)'!$G$92*1000/(Legend!$B$97*10^-3))</f>
        <v>0</v>
      </c>
      <c r="E61" s="209">
        <f>IF(SUMIFS('Region Mapping'!$E:$E,'Region Mapping'!$A:$A,E$39)&gt;0,'IPCC(2006)'!$C$92*1000/(Legend!$B$97*10^-3),'IPCC(2006)'!$G$92*1000/(Legend!$B$97*10^-3))</f>
        <v>0</v>
      </c>
      <c r="F61" s="209">
        <f>IF(SUMIFS('Region Mapping'!$E:$E,'Region Mapping'!$A:$A,F$39)&gt;0,'IPCC(2006)'!$C$92*1000/(Legend!$B$97*10^-3),'IPCC(2006)'!$G$92*1000/(Legend!$B$97*10^-3))</f>
        <v>0</v>
      </c>
      <c r="G61" s="209">
        <f>IF(SUMIFS('Region Mapping'!$E:$E,'Region Mapping'!$A:$A,G$39)&gt;0,'IPCC(2006)'!$C$92*1000/(Legend!$B$97*10^-3),'IPCC(2006)'!$G$92*1000/(Legend!$B$97*10^-3))</f>
        <v>0</v>
      </c>
      <c r="H61" s="209">
        <f>IF(SUMIFS('Region Mapping'!$E:$E,'Region Mapping'!$A:$A,H$39)&gt;0,'IPCC(2006)'!$C$92*1000/(Legend!$B$97*10^-3),'IPCC(2006)'!$G$92*1000/(Legend!$B$97*10^-3))</f>
        <v>0</v>
      </c>
      <c r="I61" s="209">
        <f>IF(SUMIFS('Region Mapping'!$E:$E,'Region Mapping'!$A:$A,I$39)&gt;0,'IPCC(2006)'!$C$92*1000/(Legend!$B$97*10^-3),'IPCC(2006)'!$G$92*1000/(Legend!$B$97*10^-3))</f>
        <v>0</v>
      </c>
      <c r="J61" s="209">
        <f>IF(SUMIFS('Region Mapping'!$E:$E,'Region Mapping'!$A:$A,J$39)&gt;0,'IPCC(2006)'!$C$92*1000/(Legend!$B$97*10^-3),'IPCC(2006)'!$G$92*1000/(Legend!$B$97*10^-3))</f>
        <v>0</v>
      </c>
      <c r="K61" s="209">
        <f>IF(SUMIFS('Region Mapping'!$E:$E,'Region Mapping'!$A:$A,K$39)&gt;0,'IPCC(2006)'!$C$92*1000/(Legend!$B$97*10^-3),'IPCC(2006)'!$G$92*1000/(Legend!$B$97*10^-3))</f>
        <v>0</v>
      </c>
      <c r="L61" s="209">
        <f>IF(SUMIFS('Region Mapping'!$E:$E,'Region Mapping'!$A:$A,L$39)&gt;0,'IPCC(2006)'!$C$92*1000/(Legend!$B$97*10^-3),'IPCC(2006)'!$G$92*1000/(Legend!$B$97*10^-3))</f>
        <v>0</v>
      </c>
      <c r="M61" s="209">
        <f>IF(SUMIFS('Region Mapping'!$E:$E,'Region Mapping'!$A:$A,M$39)&gt;0,'IPCC(2006)'!$C$92*1000/(Legend!$B$97*10^-3),'IPCC(2006)'!$G$92*1000/(Legend!$B$97*10^-3))</f>
        <v>0</v>
      </c>
      <c r="N61" s="209">
        <f>IF(SUMIFS('Region Mapping'!$E:$E,'Region Mapping'!$A:$A,N$39)&gt;0,'IPCC(2006)'!$C$92*1000/(Legend!$B$97*10^-3),'IPCC(2006)'!$G$92*1000/(Legend!$B$97*10^-3))</f>
        <v>0</v>
      </c>
      <c r="O61" s="209">
        <f>IF(SUMIFS('Region Mapping'!$E:$E,'Region Mapping'!$A:$A,O$39)&gt;0,'IPCC(2006)'!$C$92*1000/(Legend!$B$97*10^-3),'IPCC(2006)'!$G$92*1000/(Legend!$B$97*10^-3))</f>
        <v>0</v>
      </c>
      <c r="P61" s="209">
        <f>IF(SUMIFS('Region Mapping'!$E:$E,'Region Mapping'!$A:$A,P$39)&gt;0,'IPCC(2006)'!$C$92*1000/(Legend!$B$97*10^-3),'IPCC(2006)'!$G$92*1000/(Legend!$B$97*10^-3))</f>
        <v>0</v>
      </c>
      <c r="Q61" s="209">
        <f>IF(SUMIFS('Region Mapping'!$E:$E,'Region Mapping'!$A:$A,Q$39)&gt;0,'IPCC(2006)'!$C$92*1000/(Legend!$B$97*10^-3),'IPCC(2006)'!$G$92*1000/(Legend!$B$97*10^-3))</f>
        <v>0</v>
      </c>
      <c r="R61" s="209">
        <f>IF(SUMIFS('Region Mapping'!$E:$E,'Region Mapping'!$A:$A,R$39)&gt;0,'IPCC(2006)'!$C$92*1000/(Legend!$B$97*10^-3),'IPCC(2006)'!$G$92*1000/(Legend!$B$97*10^-3))</f>
        <v>0</v>
      </c>
      <c r="S61" s="209">
        <f>IF(SUMIFS('Region Mapping'!$E:$E,'Region Mapping'!$A:$A,S$39)&gt;0,'IPCC(2006)'!$C$92*1000/(Legend!$B$97*10^-3),'IPCC(2006)'!$G$92*1000/(Legend!$B$97*10^-3))</f>
        <v>0</v>
      </c>
      <c r="T61" s="209">
        <f>IF(SUMIFS('Region Mapping'!$E:$E,'Region Mapping'!$A:$A,T$39)&gt;0,'IPCC(2006)'!$C$92*1000/(Legend!$B$97*10^-3),'IPCC(2006)'!$G$92*1000/(Legend!$B$97*10^-3))</f>
        <v>0</v>
      </c>
      <c r="U61" s="209">
        <f>IF(SUMIFS('Region Mapping'!$E:$E,'Region Mapping'!$A:$A,U$39)&gt;0,'IPCC(2006)'!$C$92*1000/(Legend!$B$97*10^-3),'IPCC(2006)'!$G$92*1000/(Legend!$B$97*10^-3))</f>
        <v>0</v>
      </c>
      <c r="V61" s="209">
        <f>IF(SUMIFS('Region Mapping'!$E:$E,'Region Mapping'!$A:$A,V$39)&gt;0,'IPCC(2006)'!$C$92*1000/(Legend!$B$97*10^-3),'IPCC(2006)'!$G$92*1000/(Legend!$B$97*10^-3))</f>
        <v>0</v>
      </c>
      <c r="W61" s="209">
        <f>IF(SUMIFS('Region Mapping'!$E:$E,'Region Mapping'!$A:$A,W$39)&gt;0,'IPCC(2006)'!$C$92*1000/(Legend!$B$97*10^-3),'IPCC(2006)'!$G$92*1000/(Legend!$B$97*10^-3))</f>
        <v>0</v>
      </c>
      <c r="X61" s="209">
        <f>IF(SUMIFS('Region Mapping'!$E:$E,'Region Mapping'!$A:$A,X$39)&gt;0,'IPCC(2006)'!$C$92*1000/(Legend!$B$97*10^-3),'IPCC(2006)'!$G$92*1000/(Legend!$B$97*10^-3))</f>
        <v>0</v>
      </c>
      <c r="Y61" s="209">
        <f>IF(SUMIFS('Region Mapping'!$E:$E,'Region Mapping'!$A:$A,Y$39)&gt;0,'IPCC(2006)'!$C$92*1000/(Legend!$B$97*10^-3),'IPCC(2006)'!$G$92*1000/(Legend!$B$97*10^-3))</f>
        <v>0</v>
      </c>
      <c r="Z61" s="209">
        <f>IF(SUMIFS('Region Mapping'!$E:$E,'Region Mapping'!$A:$A,Z$39)&gt;0,'IPCC(2006)'!$C$92*1000/(Legend!$B$97*10^-3),'IPCC(2006)'!$G$92*1000/(Legend!$B$97*10^-3))</f>
        <v>0</v>
      </c>
      <c r="AA61" s="209">
        <f>IF(SUMIFS('Region Mapping'!$E:$E,'Region Mapping'!$A:$A,AA$39)&gt;0,'IPCC(2006)'!$C$92*1000/(Legend!$B$97*10^-3),'IPCC(2006)'!$G$92*1000/(Legend!$B$97*10^-3))</f>
        <v>0</v>
      </c>
      <c r="AB61" s="209">
        <f>IF(SUMIFS('Region Mapping'!$E:$E,'Region Mapping'!$A:$A,AB$39)&gt;0,'IPCC(2006)'!$C$92*1000/(Legend!$B$97*10^-3),'IPCC(2006)'!$G$92*1000/(Legend!$B$97*10^-3))</f>
        <v>0</v>
      </c>
      <c r="AC61" s="209">
        <f>IF(SUMIFS('Region Mapping'!$E:$E,'Region Mapping'!$A:$A,AC$39)&gt;0,'IPCC(2006)'!$C$92*1000/(Legend!$B$97*10^-3),'IPCC(2006)'!$G$92*1000/(Legend!$B$97*10^-3))</f>
        <v>0</v>
      </c>
      <c r="AD61" s="220">
        <f>IF(SUMIFS('Region Mapping'!$E:$E,'Region Mapping'!$A:$A,AD$39)&gt;0,'IPCC(2006)'!$C$92*1000/(Legend!$B$97*10^-3),'IPCC(2006)'!$G$92*1000/(Legend!$B$97*10^-3))</f>
        <v>0</v>
      </c>
    </row>
    <row r="62" spans="1:30">
      <c r="A62" s="215" t="s">
        <v>1027</v>
      </c>
      <c r="B62" t="s">
        <v>1026</v>
      </c>
      <c r="C62" s="209">
        <f>IF(SUMIFS('Region Mapping'!$E:$E,'Region Mapping'!$A:$A,C$39)&gt;0,'IPCC(2006)'!$C$93*1000/(Legend!$B$98*10^-3),'IPCC(2006)'!$G$93*1000/(Legend!$B$98*10^-3))</f>
        <v>0</v>
      </c>
      <c r="D62" s="209">
        <f>IF(SUMIFS('Region Mapping'!$E:$E,'Region Mapping'!$A:$A,D$39)&gt;0,'IPCC(2006)'!$C$93*1000/(Legend!$B$98*10^-3),'IPCC(2006)'!$G$93*1000/(Legend!$B$98*10^-3))</f>
        <v>0</v>
      </c>
      <c r="E62" s="209">
        <f>IF(SUMIFS('Region Mapping'!$E:$E,'Region Mapping'!$A:$A,E$39)&gt;0,'IPCC(2006)'!$C$93*1000/(Legend!$B$98*10^-3),'IPCC(2006)'!$G$93*1000/(Legend!$B$98*10^-3))</f>
        <v>0</v>
      </c>
      <c r="F62" s="209">
        <f>IF(SUMIFS('Region Mapping'!$E:$E,'Region Mapping'!$A:$A,F$39)&gt;0,'IPCC(2006)'!$C$93*1000/(Legend!$B$98*10^-3),'IPCC(2006)'!$G$93*1000/(Legend!$B$98*10^-3))</f>
        <v>0</v>
      </c>
      <c r="G62" s="209">
        <f>IF(SUMIFS('Region Mapping'!$E:$E,'Region Mapping'!$A:$A,G$39)&gt;0,'IPCC(2006)'!$C$93*1000/(Legend!$B$98*10^-3),'IPCC(2006)'!$G$93*1000/(Legend!$B$98*10^-3))</f>
        <v>0</v>
      </c>
      <c r="H62" s="209">
        <f>IF(SUMIFS('Region Mapping'!$E:$E,'Region Mapping'!$A:$A,H$39)&gt;0,'IPCC(2006)'!$C$93*1000/(Legend!$B$98*10^-3),'IPCC(2006)'!$G$93*1000/(Legend!$B$98*10^-3))</f>
        <v>0</v>
      </c>
      <c r="I62" s="209">
        <f>IF(SUMIFS('Region Mapping'!$E:$E,'Region Mapping'!$A:$A,I$39)&gt;0,'IPCC(2006)'!$C$93*1000/(Legend!$B$98*10^-3),'IPCC(2006)'!$G$93*1000/(Legend!$B$98*10^-3))</f>
        <v>0</v>
      </c>
      <c r="J62" s="209">
        <f>IF(SUMIFS('Region Mapping'!$E:$E,'Region Mapping'!$A:$A,J$39)&gt;0,'IPCC(2006)'!$C$93*1000/(Legend!$B$98*10^-3),'IPCC(2006)'!$G$93*1000/(Legend!$B$98*10^-3))</f>
        <v>0</v>
      </c>
      <c r="K62" s="209">
        <f>IF(SUMIFS('Region Mapping'!$E:$E,'Region Mapping'!$A:$A,K$39)&gt;0,'IPCC(2006)'!$C$93*1000/(Legend!$B$98*10^-3),'IPCC(2006)'!$G$93*1000/(Legend!$B$98*10^-3))</f>
        <v>0</v>
      </c>
      <c r="L62" s="209">
        <f>IF(SUMIFS('Region Mapping'!$E:$E,'Region Mapping'!$A:$A,L$39)&gt;0,'IPCC(2006)'!$C$93*1000/(Legend!$B$98*10^-3),'IPCC(2006)'!$G$93*1000/(Legend!$B$98*10^-3))</f>
        <v>0</v>
      </c>
      <c r="M62" s="209">
        <f>IF(SUMIFS('Region Mapping'!$E:$E,'Region Mapping'!$A:$A,M$39)&gt;0,'IPCC(2006)'!$C$93*1000/(Legend!$B$98*10^-3),'IPCC(2006)'!$G$93*1000/(Legend!$B$98*10^-3))</f>
        <v>0</v>
      </c>
      <c r="N62" s="209">
        <f>IF(SUMIFS('Region Mapping'!$E:$E,'Region Mapping'!$A:$A,N$39)&gt;0,'IPCC(2006)'!$C$93*1000/(Legend!$B$98*10^-3),'IPCC(2006)'!$G$93*1000/(Legend!$B$98*10^-3))</f>
        <v>0</v>
      </c>
      <c r="O62" s="209">
        <f>IF(SUMIFS('Region Mapping'!$E:$E,'Region Mapping'!$A:$A,O$39)&gt;0,'IPCC(2006)'!$C$93*1000/(Legend!$B$98*10^-3),'IPCC(2006)'!$G$93*1000/(Legend!$B$98*10^-3))</f>
        <v>0</v>
      </c>
      <c r="P62" s="209">
        <f>IF(SUMIFS('Region Mapping'!$E:$E,'Region Mapping'!$A:$A,P$39)&gt;0,'IPCC(2006)'!$C$93*1000/(Legend!$B$98*10^-3),'IPCC(2006)'!$G$93*1000/(Legend!$B$98*10^-3))</f>
        <v>0</v>
      </c>
      <c r="Q62" s="209">
        <f>IF(SUMIFS('Region Mapping'!$E:$E,'Region Mapping'!$A:$A,Q$39)&gt;0,'IPCC(2006)'!$C$93*1000/(Legend!$B$98*10^-3),'IPCC(2006)'!$G$93*1000/(Legend!$B$98*10^-3))</f>
        <v>0</v>
      </c>
      <c r="R62" s="209">
        <f>IF(SUMIFS('Region Mapping'!$E:$E,'Region Mapping'!$A:$A,R$39)&gt;0,'IPCC(2006)'!$C$93*1000/(Legend!$B$98*10^-3),'IPCC(2006)'!$G$93*1000/(Legend!$B$98*10^-3))</f>
        <v>0</v>
      </c>
      <c r="S62" s="209">
        <f>IF(SUMIFS('Region Mapping'!$E:$E,'Region Mapping'!$A:$A,S$39)&gt;0,'IPCC(2006)'!$C$93*1000/(Legend!$B$98*10^-3),'IPCC(2006)'!$G$93*1000/(Legend!$B$98*10^-3))</f>
        <v>0</v>
      </c>
      <c r="T62" s="209">
        <f>IF(SUMIFS('Region Mapping'!$E:$E,'Region Mapping'!$A:$A,T$39)&gt;0,'IPCC(2006)'!$C$93*1000/(Legend!$B$98*10^-3),'IPCC(2006)'!$G$93*1000/(Legend!$B$98*10^-3))</f>
        <v>0</v>
      </c>
      <c r="U62" s="209">
        <f>IF(SUMIFS('Region Mapping'!$E:$E,'Region Mapping'!$A:$A,U$39)&gt;0,'IPCC(2006)'!$C$93*1000/(Legend!$B$98*10^-3),'IPCC(2006)'!$G$93*1000/(Legend!$B$98*10^-3))</f>
        <v>0</v>
      </c>
      <c r="V62" s="209">
        <f>IF(SUMIFS('Region Mapping'!$E:$E,'Region Mapping'!$A:$A,V$39)&gt;0,'IPCC(2006)'!$C$93*1000/(Legend!$B$98*10^-3),'IPCC(2006)'!$G$93*1000/(Legend!$B$98*10^-3))</f>
        <v>0</v>
      </c>
      <c r="W62" s="209">
        <f>IF(SUMIFS('Region Mapping'!$E:$E,'Region Mapping'!$A:$A,W$39)&gt;0,'IPCC(2006)'!$C$93*1000/(Legend!$B$98*10^-3),'IPCC(2006)'!$G$93*1000/(Legend!$B$98*10^-3))</f>
        <v>0</v>
      </c>
      <c r="X62" s="209">
        <f>IF(SUMIFS('Region Mapping'!$E:$E,'Region Mapping'!$A:$A,X$39)&gt;0,'IPCC(2006)'!$C$93*1000/(Legend!$B$98*10^-3),'IPCC(2006)'!$G$93*1000/(Legend!$B$98*10^-3))</f>
        <v>0</v>
      </c>
      <c r="Y62" s="209">
        <f>IF(SUMIFS('Region Mapping'!$E:$E,'Region Mapping'!$A:$A,Y$39)&gt;0,'IPCC(2006)'!$C$93*1000/(Legend!$B$98*10^-3),'IPCC(2006)'!$G$93*1000/(Legend!$B$98*10^-3))</f>
        <v>0</v>
      </c>
      <c r="Z62" s="209">
        <f>IF(SUMIFS('Region Mapping'!$E:$E,'Region Mapping'!$A:$A,Z$39)&gt;0,'IPCC(2006)'!$C$93*1000/(Legend!$B$98*10^-3),'IPCC(2006)'!$G$93*1000/(Legend!$B$98*10^-3))</f>
        <v>0</v>
      </c>
      <c r="AA62" s="209">
        <f>IF(SUMIFS('Region Mapping'!$E:$E,'Region Mapping'!$A:$A,AA$39)&gt;0,'IPCC(2006)'!$C$93*1000/(Legend!$B$98*10^-3),'IPCC(2006)'!$G$93*1000/(Legend!$B$98*10^-3))</f>
        <v>0</v>
      </c>
      <c r="AB62" s="209">
        <f>IF(SUMIFS('Region Mapping'!$E:$E,'Region Mapping'!$A:$A,AB$39)&gt;0,'IPCC(2006)'!$C$93*1000/(Legend!$B$98*10^-3),'IPCC(2006)'!$G$93*1000/(Legend!$B$98*10^-3))</f>
        <v>0</v>
      </c>
      <c r="AC62" s="209">
        <f>IF(SUMIFS('Region Mapping'!$E:$E,'Region Mapping'!$A:$A,AC$39)&gt;0,'IPCC(2006)'!$C$93*1000/(Legend!$B$98*10^-3),'IPCC(2006)'!$G$93*1000/(Legend!$B$98*10^-3))</f>
        <v>0</v>
      </c>
      <c r="AD62" s="220">
        <f>IF(SUMIFS('Region Mapping'!$E:$E,'Region Mapping'!$A:$A,AD$39)&gt;0,'IPCC(2006)'!$C$93*1000/(Legend!$B$98*10^-3),'IPCC(2006)'!$G$93*1000/(Legend!$B$98*10^-3))</f>
        <v>0</v>
      </c>
    </row>
    <row r="63" spans="1:30">
      <c r="A63" s="215" t="s">
        <v>1028</v>
      </c>
      <c r="B63" t="s">
        <v>1026</v>
      </c>
      <c r="C63" s="209">
        <f>IF(SUMIFS('Region Mapping'!$E:$E,'Region Mapping'!$A:$A,C$39)&gt;0,'IPCC(2006)'!$C$94*1000/(Legend!$B$99*10^-3),'IPCC(2006)'!$G$94*1000/(Legend!$B$99*10^-3))</f>
        <v>0</v>
      </c>
      <c r="D63" s="209">
        <f>IF(SUMIFS('Region Mapping'!$E:$E,'Region Mapping'!$A:$A,D$39)&gt;0,'IPCC(2006)'!$C$94*1000/(Legend!$B$99*10^-3),'IPCC(2006)'!$G$94*1000/(Legend!$B$99*10^-3))</f>
        <v>0</v>
      </c>
      <c r="E63" s="209">
        <f>IF(SUMIFS('Region Mapping'!$E:$E,'Region Mapping'!$A:$A,E$39)&gt;0,'IPCC(2006)'!$C$94*1000/(Legend!$B$99*10^-3),'IPCC(2006)'!$G$94*1000/(Legend!$B$99*10^-3))</f>
        <v>0</v>
      </c>
      <c r="F63" s="209">
        <f>IF(SUMIFS('Region Mapping'!$E:$E,'Region Mapping'!$A:$A,F$39)&gt;0,'IPCC(2006)'!$C$94*1000/(Legend!$B$99*10^-3),'IPCC(2006)'!$G$94*1000/(Legend!$B$99*10^-3))</f>
        <v>0</v>
      </c>
      <c r="G63" s="209">
        <f>IF(SUMIFS('Region Mapping'!$E:$E,'Region Mapping'!$A:$A,G$39)&gt;0,'IPCC(2006)'!$C$94*1000/(Legend!$B$99*10^-3),'IPCC(2006)'!$G$94*1000/(Legend!$B$99*10^-3))</f>
        <v>0</v>
      </c>
      <c r="H63" s="209">
        <f>IF(SUMIFS('Region Mapping'!$E:$E,'Region Mapping'!$A:$A,H$39)&gt;0,'IPCC(2006)'!$C$94*1000/(Legend!$B$99*10^-3),'IPCC(2006)'!$G$94*1000/(Legend!$B$99*10^-3))</f>
        <v>0</v>
      </c>
      <c r="I63" s="209">
        <f>IF(SUMIFS('Region Mapping'!$E:$E,'Region Mapping'!$A:$A,I$39)&gt;0,'IPCC(2006)'!$C$94*1000/(Legend!$B$99*10^-3),'IPCC(2006)'!$G$94*1000/(Legend!$B$99*10^-3))</f>
        <v>0</v>
      </c>
      <c r="J63" s="209">
        <f>IF(SUMIFS('Region Mapping'!$E:$E,'Region Mapping'!$A:$A,J$39)&gt;0,'IPCC(2006)'!$C$94*1000/(Legend!$B$99*10^-3),'IPCC(2006)'!$G$94*1000/(Legend!$B$99*10^-3))</f>
        <v>0</v>
      </c>
      <c r="K63" s="209">
        <f>IF(SUMIFS('Region Mapping'!$E:$E,'Region Mapping'!$A:$A,K$39)&gt;0,'IPCC(2006)'!$C$94*1000/(Legend!$B$99*10^-3),'IPCC(2006)'!$G$94*1000/(Legend!$B$99*10^-3))</f>
        <v>0</v>
      </c>
      <c r="L63" s="209">
        <f>IF(SUMIFS('Region Mapping'!$E:$E,'Region Mapping'!$A:$A,L$39)&gt;0,'IPCC(2006)'!$C$94*1000/(Legend!$B$99*10^-3),'IPCC(2006)'!$G$94*1000/(Legend!$B$99*10^-3))</f>
        <v>0</v>
      </c>
      <c r="M63" s="209">
        <f>IF(SUMIFS('Region Mapping'!$E:$E,'Region Mapping'!$A:$A,M$39)&gt;0,'IPCC(2006)'!$C$94*1000/(Legend!$B$99*10^-3),'IPCC(2006)'!$G$94*1000/(Legend!$B$99*10^-3))</f>
        <v>0</v>
      </c>
      <c r="N63" s="209">
        <f>IF(SUMIFS('Region Mapping'!$E:$E,'Region Mapping'!$A:$A,N$39)&gt;0,'IPCC(2006)'!$C$94*1000/(Legend!$B$99*10^-3),'IPCC(2006)'!$G$94*1000/(Legend!$B$99*10^-3))</f>
        <v>0</v>
      </c>
      <c r="O63" s="209">
        <f>IF(SUMIFS('Region Mapping'!$E:$E,'Region Mapping'!$A:$A,O$39)&gt;0,'IPCC(2006)'!$C$94*1000/(Legend!$B$99*10^-3),'IPCC(2006)'!$G$94*1000/(Legend!$B$99*10^-3))</f>
        <v>0</v>
      </c>
      <c r="P63" s="209">
        <f>IF(SUMIFS('Region Mapping'!$E:$E,'Region Mapping'!$A:$A,P$39)&gt;0,'IPCC(2006)'!$C$94*1000/(Legend!$B$99*10^-3),'IPCC(2006)'!$G$94*1000/(Legend!$B$99*10^-3))</f>
        <v>0</v>
      </c>
      <c r="Q63" s="209">
        <f>IF(SUMIFS('Region Mapping'!$E:$E,'Region Mapping'!$A:$A,Q$39)&gt;0,'IPCC(2006)'!$C$94*1000/(Legend!$B$99*10^-3),'IPCC(2006)'!$G$94*1000/(Legend!$B$99*10^-3))</f>
        <v>0</v>
      </c>
      <c r="R63" s="209">
        <f>IF(SUMIFS('Region Mapping'!$E:$E,'Region Mapping'!$A:$A,R$39)&gt;0,'IPCC(2006)'!$C$94*1000/(Legend!$B$99*10^-3),'IPCC(2006)'!$G$94*1000/(Legend!$B$99*10^-3))</f>
        <v>0</v>
      </c>
      <c r="S63" s="209">
        <f>IF(SUMIFS('Region Mapping'!$E:$E,'Region Mapping'!$A:$A,S$39)&gt;0,'IPCC(2006)'!$C$94*1000/(Legend!$B$99*10^-3),'IPCC(2006)'!$G$94*1000/(Legend!$B$99*10^-3))</f>
        <v>0</v>
      </c>
      <c r="T63" s="209">
        <f>IF(SUMIFS('Region Mapping'!$E:$E,'Region Mapping'!$A:$A,T$39)&gt;0,'IPCC(2006)'!$C$94*1000/(Legend!$B$99*10^-3),'IPCC(2006)'!$G$94*1000/(Legend!$B$99*10^-3))</f>
        <v>0</v>
      </c>
      <c r="U63" s="209">
        <f>IF(SUMIFS('Region Mapping'!$E:$E,'Region Mapping'!$A:$A,U$39)&gt;0,'IPCC(2006)'!$C$94*1000/(Legend!$B$99*10^-3),'IPCC(2006)'!$G$94*1000/(Legend!$B$99*10^-3))</f>
        <v>0</v>
      </c>
      <c r="V63" s="209">
        <f>IF(SUMIFS('Region Mapping'!$E:$E,'Region Mapping'!$A:$A,V$39)&gt;0,'IPCC(2006)'!$C$94*1000/(Legend!$B$99*10^-3),'IPCC(2006)'!$G$94*1000/(Legend!$B$99*10^-3))</f>
        <v>0</v>
      </c>
      <c r="W63" s="209">
        <f>IF(SUMIFS('Region Mapping'!$E:$E,'Region Mapping'!$A:$A,W$39)&gt;0,'IPCC(2006)'!$C$94*1000/(Legend!$B$99*10^-3),'IPCC(2006)'!$G$94*1000/(Legend!$B$99*10^-3))</f>
        <v>0</v>
      </c>
      <c r="X63" s="209">
        <f>IF(SUMIFS('Region Mapping'!$E:$E,'Region Mapping'!$A:$A,X$39)&gt;0,'IPCC(2006)'!$C$94*1000/(Legend!$B$99*10^-3),'IPCC(2006)'!$G$94*1000/(Legend!$B$99*10^-3))</f>
        <v>0</v>
      </c>
      <c r="Y63" s="209">
        <f>IF(SUMIFS('Region Mapping'!$E:$E,'Region Mapping'!$A:$A,Y$39)&gt;0,'IPCC(2006)'!$C$94*1000/(Legend!$B$99*10^-3),'IPCC(2006)'!$G$94*1000/(Legend!$B$99*10^-3))</f>
        <v>0</v>
      </c>
      <c r="Z63" s="209">
        <f>IF(SUMIFS('Region Mapping'!$E:$E,'Region Mapping'!$A:$A,Z$39)&gt;0,'IPCC(2006)'!$C$94*1000/(Legend!$B$99*10^-3),'IPCC(2006)'!$G$94*1000/(Legend!$B$99*10^-3))</f>
        <v>0</v>
      </c>
      <c r="AA63" s="209">
        <f>IF(SUMIFS('Region Mapping'!$E:$E,'Region Mapping'!$A:$A,AA$39)&gt;0,'IPCC(2006)'!$C$94*1000/(Legend!$B$99*10^-3),'IPCC(2006)'!$G$94*1000/(Legend!$B$99*10^-3))</f>
        <v>0</v>
      </c>
      <c r="AB63" s="209">
        <f>IF(SUMIFS('Region Mapping'!$E:$E,'Region Mapping'!$A:$A,AB$39)&gt;0,'IPCC(2006)'!$C$94*1000/(Legend!$B$99*10^-3),'IPCC(2006)'!$G$94*1000/(Legend!$B$99*10^-3))</f>
        <v>0</v>
      </c>
      <c r="AC63" s="209">
        <f>IF(SUMIFS('Region Mapping'!$E:$E,'Region Mapping'!$A:$A,AC$39)&gt;0,'IPCC(2006)'!$C$94*1000/(Legend!$B$99*10^-3),'IPCC(2006)'!$G$94*1000/(Legend!$B$99*10^-3))</f>
        <v>0</v>
      </c>
      <c r="AD63" s="220">
        <f>IF(SUMIFS('Region Mapping'!$E:$E,'Region Mapping'!$A:$A,AD$39)&gt;0,'IPCC(2006)'!$C$94*1000/(Legend!$B$99*10^-3),'IPCC(2006)'!$G$94*1000/(Legend!$B$99*10^-3))</f>
        <v>0</v>
      </c>
    </row>
    <row r="64" spans="1:30">
      <c r="A64" s="229" t="s">
        <v>1029</v>
      </c>
      <c r="B64" s="236" t="s">
        <v>1026</v>
      </c>
      <c r="C64" s="226">
        <f>IF(SUMIFS('Region Mapping'!$E:$E,'Region Mapping'!$A:$A,C$39)&gt;0,'IPCC(2006)'!$C$95*1000/(Legend!$B$100*10^-3),'IPCC(2006)'!$G$95*1000/(Legend!$B$100*10^-3))</f>
        <v>0</v>
      </c>
      <c r="D64" s="226">
        <f>IF(SUMIFS('Region Mapping'!$E:$E,'Region Mapping'!$A:$A,D$39)&gt;0,'IPCC(2006)'!$C$95*1000/(Legend!$B$100*10^-3),'IPCC(2006)'!$G$95*1000/(Legend!$B$100*10^-3))</f>
        <v>0</v>
      </c>
      <c r="E64" s="226">
        <f>IF(SUMIFS('Region Mapping'!$E:$E,'Region Mapping'!$A:$A,E$39)&gt;0,'IPCC(2006)'!$C$95*1000/(Legend!$B$100*10^-3),'IPCC(2006)'!$G$95*1000/(Legend!$B$100*10^-3))</f>
        <v>0</v>
      </c>
      <c r="F64" s="226">
        <f>IF(SUMIFS('Region Mapping'!$E:$E,'Region Mapping'!$A:$A,F$39)&gt;0,'IPCC(2006)'!$C$95*1000/(Legend!$B$100*10^-3),'IPCC(2006)'!$G$95*1000/(Legend!$B$100*10^-3))</f>
        <v>0</v>
      </c>
      <c r="G64" s="226">
        <f>IF(SUMIFS('Region Mapping'!$E:$E,'Region Mapping'!$A:$A,G$39)&gt;0,'IPCC(2006)'!$C$95*1000/(Legend!$B$100*10^-3),'IPCC(2006)'!$G$95*1000/(Legend!$B$100*10^-3))</f>
        <v>0</v>
      </c>
      <c r="H64" s="226">
        <f>IF(SUMIFS('Region Mapping'!$E:$E,'Region Mapping'!$A:$A,H$39)&gt;0,'IPCC(2006)'!$C$95*1000/(Legend!$B$100*10^-3),'IPCC(2006)'!$G$95*1000/(Legend!$B$100*10^-3))</f>
        <v>0</v>
      </c>
      <c r="I64" s="226">
        <f>IF(SUMIFS('Region Mapping'!$E:$E,'Region Mapping'!$A:$A,I$39)&gt;0,'IPCC(2006)'!$C$95*1000/(Legend!$B$100*10^-3),'IPCC(2006)'!$G$95*1000/(Legend!$B$100*10^-3))</f>
        <v>0</v>
      </c>
      <c r="J64" s="226">
        <f>IF(SUMIFS('Region Mapping'!$E:$E,'Region Mapping'!$A:$A,J$39)&gt;0,'IPCC(2006)'!$C$95*1000/(Legend!$B$100*10^-3),'IPCC(2006)'!$G$95*1000/(Legend!$B$100*10^-3))</f>
        <v>0</v>
      </c>
      <c r="K64" s="226">
        <f>IF(SUMIFS('Region Mapping'!$E:$E,'Region Mapping'!$A:$A,K$39)&gt;0,'IPCC(2006)'!$C$95*1000/(Legend!$B$100*10^-3),'IPCC(2006)'!$G$95*1000/(Legend!$B$100*10^-3))</f>
        <v>0</v>
      </c>
      <c r="L64" s="226">
        <f>IF(SUMIFS('Region Mapping'!$E:$E,'Region Mapping'!$A:$A,L$39)&gt;0,'IPCC(2006)'!$C$95*1000/(Legend!$B$100*10^-3),'IPCC(2006)'!$G$95*1000/(Legend!$B$100*10^-3))</f>
        <v>0</v>
      </c>
      <c r="M64" s="226">
        <f>IF(SUMIFS('Region Mapping'!$E:$E,'Region Mapping'!$A:$A,M$39)&gt;0,'IPCC(2006)'!$C$95*1000/(Legend!$B$100*10^-3),'IPCC(2006)'!$G$95*1000/(Legend!$B$100*10^-3))</f>
        <v>0</v>
      </c>
      <c r="N64" s="226">
        <f>IF(SUMIFS('Region Mapping'!$E:$E,'Region Mapping'!$A:$A,N$39)&gt;0,'IPCC(2006)'!$C$95*1000/(Legend!$B$100*10^-3),'IPCC(2006)'!$G$95*1000/(Legend!$B$100*10^-3))</f>
        <v>0</v>
      </c>
      <c r="O64" s="226">
        <f>IF(SUMIFS('Region Mapping'!$E:$E,'Region Mapping'!$A:$A,O$39)&gt;0,'IPCC(2006)'!$C$95*1000/(Legend!$B$100*10^-3),'IPCC(2006)'!$G$95*1000/(Legend!$B$100*10^-3))</f>
        <v>0</v>
      </c>
      <c r="P64" s="226">
        <f>IF(SUMIFS('Region Mapping'!$E:$E,'Region Mapping'!$A:$A,P$39)&gt;0,'IPCC(2006)'!$C$95*1000/(Legend!$B$100*10^-3),'IPCC(2006)'!$G$95*1000/(Legend!$B$100*10^-3))</f>
        <v>0</v>
      </c>
      <c r="Q64" s="226">
        <f>IF(SUMIFS('Region Mapping'!$E:$E,'Region Mapping'!$A:$A,Q$39)&gt;0,'IPCC(2006)'!$C$95*1000/(Legend!$B$100*10^-3),'IPCC(2006)'!$G$95*1000/(Legend!$B$100*10^-3))</f>
        <v>0</v>
      </c>
      <c r="R64" s="226">
        <f>IF(SUMIFS('Region Mapping'!$E:$E,'Region Mapping'!$A:$A,R$39)&gt;0,'IPCC(2006)'!$C$95*1000/(Legend!$B$100*10^-3),'IPCC(2006)'!$G$95*1000/(Legend!$B$100*10^-3))</f>
        <v>0</v>
      </c>
      <c r="S64" s="226">
        <f>IF(SUMIFS('Region Mapping'!$E:$E,'Region Mapping'!$A:$A,S$39)&gt;0,'IPCC(2006)'!$C$95*1000/(Legend!$B$100*10^-3),'IPCC(2006)'!$G$95*1000/(Legend!$B$100*10^-3))</f>
        <v>0</v>
      </c>
      <c r="T64" s="226">
        <f>IF(SUMIFS('Region Mapping'!$E:$E,'Region Mapping'!$A:$A,T$39)&gt;0,'IPCC(2006)'!$C$95*1000/(Legend!$B$100*10^-3),'IPCC(2006)'!$G$95*1000/(Legend!$B$100*10^-3))</f>
        <v>0</v>
      </c>
      <c r="U64" s="226">
        <f>IF(SUMIFS('Region Mapping'!$E:$E,'Region Mapping'!$A:$A,U$39)&gt;0,'IPCC(2006)'!$C$95*1000/(Legend!$B$100*10^-3),'IPCC(2006)'!$G$95*1000/(Legend!$B$100*10^-3))</f>
        <v>0</v>
      </c>
      <c r="V64" s="226">
        <f>IF(SUMIFS('Region Mapping'!$E:$E,'Region Mapping'!$A:$A,V$39)&gt;0,'IPCC(2006)'!$C$95*1000/(Legend!$B$100*10^-3),'IPCC(2006)'!$G$95*1000/(Legend!$B$100*10^-3))</f>
        <v>0</v>
      </c>
      <c r="W64" s="226">
        <f>IF(SUMIFS('Region Mapping'!$E:$E,'Region Mapping'!$A:$A,W$39)&gt;0,'IPCC(2006)'!$C$95*1000/(Legend!$B$100*10^-3),'IPCC(2006)'!$G$95*1000/(Legend!$B$100*10^-3))</f>
        <v>0</v>
      </c>
      <c r="X64" s="226">
        <f>IF(SUMIFS('Region Mapping'!$E:$E,'Region Mapping'!$A:$A,X$39)&gt;0,'IPCC(2006)'!$C$95*1000/(Legend!$B$100*10^-3),'IPCC(2006)'!$G$95*1000/(Legend!$B$100*10^-3))</f>
        <v>0</v>
      </c>
      <c r="Y64" s="226">
        <f>IF(SUMIFS('Region Mapping'!$E:$E,'Region Mapping'!$A:$A,Y$39)&gt;0,'IPCC(2006)'!$C$95*1000/(Legend!$B$100*10^-3),'IPCC(2006)'!$G$95*1000/(Legend!$B$100*10^-3))</f>
        <v>0</v>
      </c>
      <c r="Z64" s="226">
        <f>IF(SUMIFS('Region Mapping'!$E:$E,'Region Mapping'!$A:$A,Z$39)&gt;0,'IPCC(2006)'!$C$95*1000/(Legend!$B$100*10^-3),'IPCC(2006)'!$G$95*1000/(Legend!$B$100*10^-3))</f>
        <v>0</v>
      </c>
      <c r="AA64" s="226">
        <f>IF(SUMIFS('Region Mapping'!$E:$E,'Region Mapping'!$A:$A,AA$39)&gt;0,'IPCC(2006)'!$C$95*1000/(Legend!$B$100*10^-3),'IPCC(2006)'!$G$95*1000/(Legend!$B$100*10^-3))</f>
        <v>0</v>
      </c>
      <c r="AB64" s="226">
        <f>IF(SUMIFS('Region Mapping'!$E:$E,'Region Mapping'!$A:$A,AB$39)&gt;0,'IPCC(2006)'!$C$95*1000/(Legend!$B$100*10^-3),'IPCC(2006)'!$G$95*1000/(Legend!$B$100*10^-3))</f>
        <v>0</v>
      </c>
      <c r="AC64" s="226">
        <f>IF(SUMIFS('Region Mapping'!$E:$E,'Region Mapping'!$A:$A,AC$39)&gt;0,'IPCC(2006)'!$C$95*1000/(Legend!$B$100*10^-3),'IPCC(2006)'!$G$95*1000/(Legend!$B$100*10^-3))</f>
        <v>0</v>
      </c>
      <c r="AD64" s="224">
        <f>IF(SUMIFS('Region Mapping'!$E:$E,'Region Mapping'!$A:$A,AD$39)&gt;0,'IPCC(2006)'!$C$95*1000/(Legend!$B$100*10^-3),'IPCC(2006)'!$G$95*1000/(Legend!$B$100*10^-3))</f>
        <v>0</v>
      </c>
    </row>
    <row r="66" spans="1:30">
      <c r="A66" s="351" t="s">
        <v>1030</v>
      </c>
      <c r="B66" s="358"/>
      <c r="C66" s="358" t="s">
        <v>172</v>
      </c>
      <c r="D66" s="358" t="s">
        <v>175</v>
      </c>
      <c r="E66" s="358" t="s">
        <v>178</v>
      </c>
      <c r="F66" s="358" t="s">
        <v>181</v>
      </c>
      <c r="G66" s="358" t="s">
        <v>184</v>
      </c>
      <c r="H66" s="358" t="s">
        <v>187</v>
      </c>
      <c r="I66" s="358" t="s">
        <v>190</v>
      </c>
      <c r="J66" s="358" t="s">
        <v>193</v>
      </c>
      <c r="K66" s="358" t="s">
        <v>196</v>
      </c>
      <c r="L66" s="358" t="s">
        <v>198</v>
      </c>
      <c r="M66" s="358" t="s">
        <v>200</v>
      </c>
      <c r="N66" s="358" t="s">
        <v>202</v>
      </c>
      <c r="O66" s="358" t="s">
        <v>205</v>
      </c>
      <c r="P66" s="358" t="s">
        <v>208</v>
      </c>
      <c r="Q66" s="358" t="s">
        <v>211</v>
      </c>
      <c r="R66" s="358" t="s">
        <v>214</v>
      </c>
      <c r="S66" s="358" t="s">
        <v>217</v>
      </c>
      <c r="T66" s="358" t="s">
        <v>220</v>
      </c>
      <c r="U66" s="358" t="s">
        <v>223</v>
      </c>
      <c r="V66" s="358" t="s">
        <v>225</v>
      </c>
      <c r="W66" s="358" t="s">
        <v>227</v>
      </c>
      <c r="X66" s="358" t="s">
        <v>230</v>
      </c>
      <c r="Y66" s="358" t="s">
        <v>233</v>
      </c>
      <c r="Z66" s="358" t="s">
        <v>236</v>
      </c>
      <c r="AA66" s="358" t="s">
        <v>238</v>
      </c>
      <c r="AB66" s="358" t="s">
        <v>240</v>
      </c>
      <c r="AC66" s="358" t="s">
        <v>243</v>
      </c>
      <c r="AD66" s="228" t="s">
        <v>245</v>
      </c>
    </row>
    <row r="67" spans="1:30">
      <c r="A67" s="215"/>
      <c r="C67" t="s">
        <v>1031</v>
      </c>
      <c r="D67" t="s">
        <v>1031</v>
      </c>
      <c r="E67" t="s">
        <v>1031</v>
      </c>
      <c r="F67" t="s">
        <v>1031</v>
      </c>
      <c r="G67" t="s">
        <v>1031</v>
      </c>
      <c r="H67" t="s">
        <v>1031</v>
      </c>
      <c r="I67" t="s">
        <v>1031</v>
      </c>
      <c r="J67" t="s">
        <v>1031</v>
      </c>
      <c r="K67" t="s">
        <v>1031</v>
      </c>
      <c r="L67" t="s">
        <v>1031</v>
      </c>
      <c r="M67" t="s">
        <v>1031</v>
      </c>
      <c r="N67" t="s">
        <v>1031</v>
      </c>
      <c r="O67" t="s">
        <v>1031</v>
      </c>
      <c r="P67" t="s">
        <v>1031</v>
      </c>
      <c r="Q67" t="s">
        <v>1031</v>
      </c>
      <c r="R67" t="s">
        <v>1031</v>
      </c>
      <c r="S67" t="s">
        <v>1031</v>
      </c>
      <c r="T67" t="s">
        <v>1031</v>
      </c>
      <c r="U67" t="s">
        <v>1031</v>
      </c>
      <c r="V67" t="s">
        <v>1031</v>
      </c>
      <c r="W67" t="s">
        <v>1031</v>
      </c>
      <c r="X67" t="s">
        <v>1031</v>
      </c>
      <c r="Y67" t="s">
        <v>1031</v>
      </c>
      <c r="Z67" t="s">
        <v>1031</v>
      </c>
      <c r="AA67" t="s">
        <v>1031</v>
      </c>
      <c r="AB67" t="s">
        <v>1031</v>
      </c>
      <c r="AC67" t="s">
        <v>1031</v>
      </c>
      <c r="AD67" s="218" t="s">
        <v>1031</v>
      </c>
    </row>
    <row r="68" spans="1:30">
      <c r="A68" s="215" t="s">
        <v>992</v>
      </c>
      <c r="B68" t="s">
        <v>993</v>
      </c>
      <c r="AD68" s="218"/>
    </row>
    <row r="69" spans="1:30">
      <c r="A69" s="215" t="s">
        <v>994</v>
      </c>
      <c r="B69" t="s">
        <v>995</v>
      </c>
      <c r="C69" s="209">
        <f>IF(SUMIFS('Region Mapping'!$E:$E,'Region Mapping'!$A:$A,'Key inputs_Emissions'!C$39)&gt;0,'IPCC(2006)'!$D$61*1000/Legend!$B$86,'IPCC(2006)'!$H$61*1000/Legend!$B$86)</f>
        <v>5.000000000000001E-3</v>
      </c>
      <c r="D69" s="209">
        <f>IF(SUMIFS('Region Mapping'!$E:$E,'Region Mapping'!$A:$A,'Key inputs_Emissions'!D$39)&gt;0,'IPCC(2006)'!$D$61*1000/Legend!$B$86,'IPCC(2006)'!$H$61*1000/Legend!$B$86)</f>
        <v>5.000000000000001E-3</v>
      </c>
      <c r="E69" s="209">
        <f>IF(SUMIFS('Region Mapping'!$E:$E,'Region Mapping'!$A:$A,'Key inputs_Emissions'!E$39)&gt;0,'IPCC(2006)'!$D$61*1000/Legend!$B$86,'IPCC(2006)'!$H$61*1000/Legend!$B$86)</f>
        <v>5.000000000000001E-3</v>
      </c>
      <c r="F69" s="209">
        <f>IF(SUMIFS('Region Mapping'!$E:$E,'Region Mapping'!$A:$A,'Key inputs_Emissions'!F$39)&gt;0,'IPCC(2006)'!$D$61*1000/Legend!$B$86,'IPCC(2006)'!$H$61*1000/Legend!$B$86)</f>
        <v>5.000000000000001E-3</v>
      </c>
      <c r="G69" s="209">
        <f>IF(SUMIFS('Region Mapping'!$E:$E,'Region Mapping'!$A:$A,'Key inputs_Emissions'!G$39)&gt;0,'IPCC(2006)'!$D$61*1000/Legend!$B$86,'IPCC(2006)'!$H$61*1000/Legend!$B$86)</f>
        <v>2.2777777777777779E-3</v>
      </c>
      <c r="H69" s="209">
        <f>IF(SUMIFS('Region Mapping'!$E:$E,'Region Mapping'!$A:$A,'Key inputs_Emissions'!H$39)&gt;0,'IPCC(2006)'!$D$61*1000/Legend!$B$86,'IPCC(2006)'!$H$61*1000/Legend!$B$86)</f>
        <v>5.000000000000001E-3</v>
      </c>
      <c r="I69" s="209">
        <f>IF(SUMIFS('Region Mapping'!$E:$E,'Region Mapping'!$A:$A,'Key inputs_Emissions'!I$39)&gt;0,'IPCC(2006)'!$D$61*1000/Legend!$B$86,'IPCC(2006)'!$H$61*1000/Legend!$B$86)</f>
        <v>5.000000000000001E-3</v>
      </c>
      <c r="J69" s="209">
        <f>IF(SUMIFS('Region Mapping'!$E:$E,'Region Mapping'!$A:$A,'Key inputs_Emissions'!J$39)&gt;0,'IPCC(2006)'!$D$61*1000/Legend!$B$86,'IPCC(2006)'!$H$61*1000/Legend!$B$86)</f>
        <v>5.000000000000001E-3</v>
      </c>
      <c r="K69" s="209">
        <f>IF(SUMIFS('Region Mapping'!$E:$E,'Region Mapping'!$A:$A,'Key inputs_Emissions'!K$39)&gt;0,'IPCC(2006)'!$D$61*1000/Legend!$B$86,'IPCC(2006)'!$H$61*1000/Legend!$B$86)</f>
        <v>5.000000000000001E-3</v>
      </c>
      <c r="L69" s="209">
        <f>IF(SUMIFS('Region Mapping'!$E:$E,'Region Mapping'!$A:$A,'Key inputs_Emissions'!L$39)&gt;0,'IPCC(2006)'!$D$61*1000/Legend!$B$86,'IPCC(2006)'!$H$61*1000/Legend!$B$86)</f>
        <v>2.2777777777777779E-3</v>
      </c>
      <c r="M69" s="209">
        <f>IF(SUMIFS('Region Mapping'!$E:$E,'Region Mapping'!$A:$A,'Key inputs_Emissions'!M$39)&gt;0,'IPCC(2006)'!$D$61*1000/Legend!$B$86,'IPCC(2006)'!$H$61*1000/Legend!$B$86)</f>
        <v>5.000000000000001E-3</v>
      </c>
      <c r="N69" s="209">
        <f>IF(SUMIFS('Region Mapping'!$E:$E,'Region Mapping'!$A:$A,'Key inputs_Emissions'!N$39)&gt;0,'IPCC(2006)'!$D$61*1000/Legend!$B$86,'IPCC(2006)'!$H$61*1000/Legend!$B$86)</f>
        <v>5.000000000000001E-3</v>
      </c>
      <c r="O69" s="209">
        <f>IF(SUMIFS('Region Mapping'!$E:$E,'Region Mapping'!$A:$A,'Key inputs_Emissions'!O$39)&gt;0,'IPCC(2006)'!$D$61*1000/Legend!$B$86,'IPCC(2006)'!$H$61*1000/Legend!$B$86)</f>
        <v>5.000000000000001E-3</v>
      </c>
      <c r="P69" s="209">
        <f>IF(SUMIFS('Region Mapping'!$E:$E,'Region Mapping'!$A:$A,'Key inputs_Emissions'!P$39)&gt;0,'IPCC(2006)'!$D$61*1000/Legend!$B$86,'IPCC(2006)'!$H$61*1000/Legend!$B$86)</f>
        <v>2.2777777777777779E-3</v>
      </c>
      <c r="Q69" s="209">
        <f>IF(SUMIFS('Region Mapping'!$E:$E,'Region Mapping'!$A:$A,'Key inputs_Emissions'!Q$39)&gt;0,'IPCC(2006)'!$D$61*1000/Legend!$B$86,'IPCC(2006)'!$H$61*1000/Legend!$B$86)</f>
        <v>2.2777777777777779E-3</v>
      </c>
      <c r="R69" s="209">
        <f>IF(SUMIFS('Region Mapping'!$E:$E,'Region Mapping'!$A:$A,'Key inputs_Emissions'!R$39)&gt;0,'IPCC(2006)'!$D$61*1000/Legend!$B$86,'IPCC(2006)'!$H$61*1000/Legend!$B$86)</f>
        <v>2.2777777777777779E-3</v>
      </c>
      <c r="S69" s="209">
        <f>IF(SUMIFS('Region Mapping'!$E:$E,'Region Mapping'!$A:$A,'Key inputs_Emissions'!S$39)&gt;0,'IPCC(2006)'!$D$61*1000/Legend!$B$86,'IPCC(2006)'!$H$61*1000/Legend!$B$86)</f>
        <v>2.2777777777777779E-3</v>
      </c>
      <c r="T69" s="209">
        <f>IF(SUMIFS('Region Mapping'!$E:$E,'Region Mapping'!$A:$A,'Key inputs_Emissions'!T$39)&gt;0,'IPCC(2006)'!$D$61*1000/Legend!$B$86,'IPCC(2006)'!$H$61*1000/Legend!$B$86)</f>
        <v>5.000000000000001E-3</v>
      </c>
      <c r="U69" s="209">
        <f>IF(SUMIFS('Region Mapping'!$E:$E,'Region Mapping'!$A:$A,'Key inputs_Emissions'!U$39)&gt;0,'IPCC(2006)'!$D$61*1000/Legend!$B$86,'IPCC(2006)'!$H$61*1000/Legend!$B$86)</f>
        <v>5.000000000000001E-3</v>
      </c>
      <c r="V69" s="209">
        <f>IF(SUMIFS('Region Mapping'!$E:$E,'Region Mapping'!$A:$A,'Key inputs_Emissions'!V$39)&gt;0,'IPCC(2006)'!$D$61*1000/Legend!$B$86,'IPCC(2006)'!$H$61*1000/Legend!$B$86)</f>
        <v>2.2777777777777779E-3</v>
      </c>
      <c r="W69" s="209">
        <f>IF(SUMIFS('Region Mapping'!$E:$E,'Region Mapping'!$A:$A,'Key inputs_Emissions'!W$39)&gt;0,'IPCC(2006)'!$D$61*1000/Legend!$B$86,'IPCC(2006)'!$H$61*1000/Legend!$B$86)</f>
        <v>5.000000000000001E-3</v>
      </c>
      <c r="X69" s="209">
        <f>IF(SUMIFS('Region Mapping'!$E:$E,'Region Mapping'!$A:$A,'Key inputs_Emissions'!X$39)&gt;0,'IPCC(2006)'!$D$61*1000/Legend!$B$86,'IPCC(2006)'!$H$61*1000/Legend!$B$86)</f>
        <v>5.000000000000001E-3</v>
      </c>
      <c r="Y69" s="209">
        <f>IF(SUMIFS('Region Mapping'!$E:$E,'Region Mapping'!$A:$A,'Key inputs_Emissions'!Y$39)&gt;0,'IPCC(2006)'!$D$61*1000/Legend!$B$86,'IPCC(2006)'!$H$61*1000/Legend!$B$86)</f>
        <v>5.000000000000001E-3</v>
      </c>
      <c r="Z69" s="209">
        <f>IF(SUMIFS('Region Mapping'!$E:$E,'Region Mapping'!$A:$A,'Key inputs_Emissions'!Z$39)&gt;0,'IPCC(2006)'!$D$61*1000/Legend!$B$86,'IPCC(2006)'!$H$61*1000/Legend!$B$86)</f>
        <v>5.000000000000001E-3</v>
      </c>
      <c r="AA69" s="209">
        <f>IF(SUMIFS('Region Mapping'!$E:$E,'Region Mapping'!$A:$A,'Key inputs_Emissions'!AA$39)&gt;0,'IPCC(2006)'!$D$61*1000/Legend!$B$86,'IPCC(2006)'!$H$61*1000/Legend!$B$86)</f>
        <v>5.000000000000001E-3</v>
      </c>
      <c r="AB69" s="209">
        <f>IF(SUMIFS('Region Mapping'!$E:$E,'Region Mapping'!$A:$A,'Key inputs_Emissions'!AB$39)&gt;0,'IPCC(2006)'!$D$61*1000/Legend!$B$86,'IPCC(2006)'!$H$61*1000/Legend!$B$86)</f>
        <v>5.000000000000001E-3</v>
      </c>
      <c r="AC69" s="209">
        <f>IF(SUMIFS('Region Mapping'!$E:$E,'Region Mapping'!$A:$A,'Key inputs_Emissions'!AC$39)&gt;0,'IPCC(2006)'!$D$61*1000/Legend!$B$86,'IPCC(2006)'!$H$61*1000/Legend!$B$86)</f>
        <v>2.2777777777777779E-3</v>
      </c>
      <c r="AD69" s="220">
        <f>IF(SUMIFS('Region Mapping'!$E:$E,'Region Mapping'!$A:$A,'Key inputs_Emissions'!AD$39)&gt;0,'IPCC(2006)'!$D$61*1000/Legend!$B$86,'IPCC(2006)'!$H$61*1000/Legend!$B$86)</f>
        <v>2.2777777777777779E-3</v>
      </c>
    </row>
    <row r="70" spans="1:30">
      <c r="A70" s="215" t="s">
        <v>996</v>
      </c>
      <c r="B70" t="s">
        <v>995</v>
      </c>
      <c r="C70" s="209">
        <f>IF(SUMIFS('Region Mapping'!$E:$E,'Region Mapping'!$A:$A,'Key inputs_Emissions'!C$39)&gt;0,'IPCC(2006)'!$D$62*1000/Legend!$B$86,'IPCC(2006)'!$H$62*1000/Legend!$B$86)</f>
        <v>4.4444444444444446E-2</v>
      </c>
      <c r="D70" s="209">
        <f>IF(SUMIFS('Region Mapping'!$E:$E,'Region Mapping'!$A:$A,'Key inputs_Emissions'!D$39)&gt;0,'IPCC(2006)'!$D$62*1000/Legend!$B$86,'IPCC(2006)'!$H$62*1000/Legend!$B$86)</f>
        <v>4.4444444444444446E-2</v>
      </c>
      <c r="E70" s="209">
        <f>IF(SUMIFS('Region Mapping'!$E:$E,'Region Mapping'!$A:$A,'Key inputs_Emissions'!E$39)&gt;0,'IPCC(2006)'!$D$62*1000/Legend!$B$86,'IPCC(2006)'!$H$62*1000/Legend!$B$86)</f>
        <v>4.4444444444444446E-2</v>
      </c>
      <c r="F70" s="209">
        <f>IF(SUMIFS('Region Mapping'!$E:$E,'Region Mapping'!$A:$A,'Key inputs_Emissions'!F$39)&gt;0,'IPCC(2006)'!$D$62*1000/Legend!$B$86,'IPCC(2006)'!$H$62*1000/Legend!$B$86)</f>
        <v>4.4444444444444446E-2</v>
      </c>
      <c r="G70" s="209">
        <f>IF(SUMIFS('Region Mapping'!$E:$E,'Region Mapping'!$A:$A,'Key inputs_Emissions'!G$39)&gt;0,'IPCC(2006)'!$D$62*1000/Legend!$B$86,'IPCC(2006)'!$H$62*1000/Legend!$B$86)</f>
        <v>3.3333333333333333E-2</v>
      </c>
      <c r="H70" s="209">
        <f>IF(SUMIFS('Region Mapping'!$E:$E,'Region Mapping'!$A:$A,'Key inputs_Emissions'!H$39)&gt;0,'IPCC(2006)'!$D$62*1000/Legend!$B$86,'IPCC(2006)'!$H$62*1000/Legend!$B$86)</f>
        <v>4.4444444444444446E-2</v>
      </c>
      <c r="I70" s="209">
        <f>IF(SUMIFS('Region Mapping'!$E:$E,'Region Mapping'!$A:$A,'Key inputs_Emissions'!I$39)&gt;0,'IPCC(2006)'!$D$62*1000/Legend!$B$86,'IPCC(2006)'!$H$62*1000/Legend!$B$86)</f>
        <v>4.4444444444444446E-2</v>
      </c>
      <c r="J70" s="209">
        <f>IF(SUMIFS('Region Mapping'!$E:$E,'Region Mapping'!$A:$A,'Key inputs_Emissions'!J$39)&gt;0,'IPCC(2006)'!$D$62*1000/Legend!$B$86,'IPCC(2006)'!$H$62*1000/Legend!$B$86)</f>
        <v>4.4444444444444446E-2</v>
      </c>
      <c r="K70" s="209">
        <f>IF(SUMIFS('Region Mapping'!$E:$E,'Region Mapping'!$A:$A,'Key inputs_Emissions'!K$39)&gt;0,'IPCC(2006)'!$D$62*1000/Legend!$B$86,'IPCC(2006)'!$H$62*1000/Legend!$B$86)</f>
        <v>4.4444444444444446E-2</v>
      </c>
      <c r="L70" s="209">
        <f>IF(SUMIFS('Region Mapping'!$E:$E,'Region Mapping'!$A:$A,'Key inputs_Emissions'!L$39)&gt;0,'IPCC(2006)'!$D$62*1000/Legend!$B$86,'IPCC(2006)'!$H$62*1000/Legend!$B$86)</f>
        <v>3.3333333333333333E-2</v>
      </c>
      <c r="M70" s="209">
        <f>IF(SUMIFS('Region Mapping'!$E:$E,'Region Mapping'!$A:$A,'Key inputs_Emissions'!M$39)&gt;0,'IPCC(2006)'!$D$62*1000/Legend!$B$86,'IPCC(2006)'!$H$62*1000/Legend!$B$86)</f>
        <v>4.4444444444444446E-2</v>
      </c>
      <c r="N70" s="209">
        <f>IF(SUMIFS('Region Mapping'!$E:$E,'Region Mapping'!$A:$A,'Key inputs_Emissions'!N$39)&gt;0,'IPCC(2006)'!$D$62*1000/Legend!$B$86,'IPCC(2006)'!$H$62*1000/Legend!$B$86)</f>
        <v>4.4444444444444446E-2</v>
      </c>
      <c r="O70" s="209">
        <f>IF(SUMIFS('Region Mapping'!$E:$E,'Region Mapping'!$A:$A,'Key inputs_Emissions'!O$39)&gt;0,'IPCC(2006)'!$D$62*1000/Legend!$B$86,'IPCC(2006)'!$H$62*1000/Legend!$B$86)</f>
        <v>4.4444444444444446E-2</v>
      </c>
      <c r="P70" s="209">
        <f>IF(SUMIFS('Region Mapping'!$E:$E,'Region Mapping'!$A:$A,'Key inputs_Emissions'!P$39)&gt;0,'IPCC(2006)'!$D$62*1000/Legend!$B$86,'IPCC(2006)'!$H$62*1000/Legend!$B$86)</f>
        <v>3.3333333333333333E-2</v>
      </c>
      <c r="Q70" s="209">
        <f>IF(SUMIFS('Region Mapping'!$E:$E,'Region Mapping'!$A:$A,'Key inputs_Emissions'!Q$39)&gt;0,'IPCC(2006)'!$D$62*1000/Legend!$B$86,'IPCC(2006)'!$H$62*1000/Legend!$B$86)</f>
        <v>3.3333333333333333E-2</v>
      </c>
      <c r="R70" s="209">
        <f>IF(SUMIFS('Region Mapping'!$E:$E,'Region Mapping'!$A:$A,'Key inputs_Emissions'!R$39)&gt;0,'IPCC(2006)'!$D$62*1000/Legend!$B$86,'IPCC(2006)'!$H$62*1000/Legend!$B$86)</f>
        <v>3.3333333333333333E-2</v>
      </c>
      <c r="S70" s="209">
        <f>IF(SUMIFS('Region Mapping'!$E:$E,'Region Mapping'!$A:$A,'Key inputs_Emissions'!S$39)&gt;0,'IPCC(2006)'!$D$62*1000/Legend!$B$86,'IPCC(2006)'!$H$62*1000/Legend!$B$86)</f>
        <v>3.3333333333333333E-2</v>
      </c>
      <c r="T70" s="209">
        <f>IF(SUMIFS('Region Mapping'!$E:$E,'Region Mapping'!$A:$A,'Key inputs_Emissions'!T$39)&gt;0,'IPCC(2006)'!$D$62*1000/Legend!$B$86,'IPCC(2006)'!$H$62*1000/Legend!$B$86)</f>
        <v>4.4444444444444446E-2</v>
      </c>
      <c r="U70" s="209">
        <f>IF(SUMIFS('Region Mapping'!$E:$E,'Region Mapping'!$A:$A,'Key inputs_Emissions'!U$39)&gt;0,'IPCC(2006)'!$D$62*1000/Legend!$B$86,'IPCC(2006)'!$H$62*1000/Legend!$B$86)</f>
        <v>4.4444444444444446E-2</v>
      </c>
      <c r="V70" s="209">
        <f>IF(SUMIFS('Region Mapping'!$E:$E,'Region Mapping'!$A:$A,'Key inputs_Emissions'!V$39)&gt;0,'IPCC(2006)'!$D$62*1000/Legend!$B$86,'IPCC(2006)'!$H$62*1000/Legend!$B$86)</f>
        <v>3.3333333333333333E-2</v>
      </c>
      <c r="W70" s="209">
        <f>IF(SUMIFS('Region Mapping'!$E:$E,'Region Mapping'!$A:$A,'Key inputs_Emissions'!W$39)&gt;0,'IPCC(2006)'!$D$62*1000/Legend!$B$86,'IPCC(2006)'!$H$62*1000/Legend!$B$86)</f>
        <v>4.4444444444444446E-2</v>
      </c>
      <c r="X70" s="209">
        <f>IF(SUMIFS('Region Mapping'!$E:$E,'Region Mapping'!$A:$A,'Key inputs_Emissions'!X$39)&gt;0,'IPCC(2006)'!$D$62*1000/Legend!$B$86,'IPCC(2006)'!$H$62*1000/Legend!$B$86)</f>
        <v>4.4444444444444446E-2</v>
      </c>
      <c r="Y70" s="209">
        <f>IF(SUMIFS('Region Mapping'!$E:$E,'Region Mapping'!$A:$A,'Key inputs_Emissions'!Y$39)&gt;0,'IPCC(2006)'!$D$62*1000/Legend!$B$86,'IPCC(2006)'!$H$62*1000/Legend!$B$86)</f>
        <v>4.4444444444444446E-2</v>
      </c>
      <c r="Z70" s="209">
        <f>IF(SUMIFS('Region Mapping'!$E:$E,'Region Mapping'!$A:$A,'Key inputs_Emissions'!Z$39)&gt;0,'IPCC(2006)'!$D$62*1000/Legend!$B$86,'IPCC(2006)'!$H$62*1000/Legend!$B$86)</f>
        <v>4.4444444444444446E-2</v>
      </c>
      <c r="AA70" s="209">
        <f>IF(SUMIFS('Region Mapping'!$E:$E,'Region Mapping'!$A:$A,'Key inputs_Emissions'!AA$39)&gt;0,'IPCC(2006)'!$D$62*1000/Legend!$B$86,'IPCC(2006)'!$H$62*1000/Legend!$B$86)</f>
        <v>4.4444444444444446E-2</v>
      </c>
      <c r="AB70" s="209">
        <f>IF(SUMIFS('Region Mapping'!$E:$E,'Region Mapping'!$A:$A,'Key inputs_Emissions'!AB$39)&gt;0,'IPCC(2006)'!$D$62*1000/Legend!$B$86,'IPCC(2006)'!$H$62*1000/Legend!$B$86)</f>
        <v>4.4444444444444446E-2</v>
      </c>
      <c r="AC70" s="209">
        <f>IF(SUMIFS('Region Mapping'!$E:$E,'Region Mapping'!$A:$A,'Key inputs_Emissions'!AC$39)&gt;0,'IPCC(2006)'!$D$62*1000/Legend!$B$86,'IPCC(2006)'!$H$62*1000/Legend!$B$86)</f>
        <v>3.3333333333333333E-2</v>
      </c>
      <c r="AD70" s="220">
        <f>IF(SUMIFS('Region Mapping'!$E:$E,'Region Mapping'!$A:$A,'Key inputs_Emissions'!AD$39)&gt;0,'IPCC(2006)'!$D$62*1000/Legend!$B$86,'IPCC(2006)'!$H$62*1000/Legend!$B$86)</f>
        <v>3.3333333333333333E-2</v>
      </c>
    </row>
    <row r="71" spans="1:30">
      <c r="A71" s="215" t="s">
        <v>997</v>
      </c>
      <c r="B71" t="s">
        <v>998</v>
      </c>
      <c r="C71" s="209">
        <f>IF(SUMIFS('Region Mapping'!$E:$E,'Region Mapping'!$A:$A,'Key inputs_Emissions'!C$39)&gt;0,'IPCC(2006)'!$D$64*1000/Legend!$B$86,'IPCC(2006)'!$H$64*1000/Legend!$B$86)</f>
        <v>7.7777777777777784E-4</v>
      </c>
      <c r="D71" s="209">
        <f>IF(SUMIFS('Region Mapping'!$E:$E,'Region Mapping'!$A:$A,'Key inputs_Emissions'!D$39)&gt;0,'IPCC(2006)'!$D$64*1000/Legend!$B$86,'IPCC(2006)'!$H$64*1000/Legend!$B$86)</f>
        <v>7.7777777777777784E-4</v>
      </c>
      <c r="E71" s="209">
        <f>IF(SUMIFS('Region Mapping'!$E:$E,'Region Mapping'!$A:$A,'Key inputs_Emissions'!E$39)&gt;0,'IPCC(2006)'!$D$64*1000/Legend!$B$86,'IPCC(2006)'!$H$64*1000/Legend!$B$86)</f>
        <v>7.7777777777777784E-4</v>
      </c>
      <c r="F71" s="209">
        <f>IF(SUMIFS('Region Mapping'!$E:$E,'Region Mapping'!$A:$A,'Key inputs_Emissions'!F$39)&gt;0,'IPCC(2006)'!$D$64*1000/Legend!$B$86,'IPCC(2006)'!$H$64*1000/Legend!$B$86)</f>
        <v>7.7777777777777784E-4</v>
      </c>
      <c r="G71" s="209">
        <f>IF(SUMIFS('Region Mapping'!$E:$E,'Region Mapping'!$A:$A,'Key inputs_Emissions'!G$39)&gt;0,'IPCC(2006)'!$D$64*1000/Legend!$B$86,'IPCC(2006)'!$H$64*1000/Legend!$B$86)</f>
        <v>8.8888888888888889E-3</v>
      </c>
      <c r="H71" s="209">
        <f>IF(SUMIFS('Region Mapping'!$E:$E,'Region Mapping'!$A:$A,'Key inputs_Emissions'!H$39)&gt;0,'IPCC(2006)'!$D$64*1000/Legend!$B$86,'IPCC(2006)'!$H$64*1000/Legend!$B$86)</f>
        <v>7.7777777777777784E-4</v>
      </c>
      <c r="I71" s="209">
        <f>IF(SUMIFS('Region Mapping'!$E:$E,'Region Mapping'!$A:$A,'Key inputs_Emissions'!I$39)&gt;0,'IPCC(2006)'!$D$64*1000/Legend!$B$86,'IPCC(2006)'!$H$64*1000/Legend!$B$86)</f>
        <v>7.7777777777777784E-4</v>
      </c>
      <c r="J71" s="209">
        <f>IF(SUMIFS('Region Mapping'!$E:$E,'Region Mapping'!$A:$A,'Key inputs_Emissions'!J$39)&gt;0,'IPCC(2006)'!$D$64*1000/Legend!$B$86,'IPCC(2006)'!$H$64*1000/Legend!$B$86)</f>
        <v>7.7777777777777784E-4</v>
      </c>
      <c r="K71" s="209">
        <f>IF(SUMIFS('Region Mapping'!$E:$E,'Region Mapping'!$A:$A,'Key inputs_Emissions'!K$39)&gt;0,'IPCC(2006)'!$D$64*1000/Legend!$B$86,'IPCC(2006)'!$H$64*1000/Legend!$B$86)</f>
        <v>7.7777777777777784E-4</v>
      </c>
      <c r="L71" s="209">
        <f>IF(SUMIFS('Region Mapping'!$E:$E,'Region Mapping'!$A:$A,'Key inputs_Emissions'!L$39)&gt;0,'IPCC(2006)'!$D$64*1000/Legend!$B$86,'IPCC(2006)'!$H$64*1000/Legend!$B$86)</f>
        <v>8.8888888888888889E-3</v>
      </c>
      <c r="M71" s="209">
        <f>IF(SUMIFS('Region Mapping'!$E:$E,'Region Mapping'!$A:$A,'Key inputs_Emissions'!M$39)&gt;0,'IPCC(2006)'!$D$64*1000/Legend!$B$86,'IPCC(2006)'!$H$64*1000/Legend!$B$86)</f>
        <v>7.7777777777777784E-4</v>
      </c>
      <c r="N71" s="209">
        <f>IF(SUMIFS('Region Mapping'!$E:$E,'Region Mapping'!$A:$A,'Key inputs_Emissions'!N$39)&gt;0,'IPCC(2006)'!$D$64*1000/Legend!$B$86,'IPCC(2006)'!$H$64*1000/Legend!$B$86)</f>
        <v>7.7777777777777784E-4</v>
      </c>
      <c r="O71" s="209">
        <f>IF(SUMIFS('Region Mapping'!$E:$E,'Region Mapping'!$A:$A,'Key inputs_Emissions'!O$39)&gt;0,'IPCC(2006)'!$D$64*1000/Legend!$B$86,'IPCC(2006)'!$H$64*1000/Legend!$B$86)</f>
        <v>7.7777777777777784E-4</v>
      </c>
      <c r="P71" s="209">
        <f>IF(SUMIFS('Region Mapping'!$E:$E,'Region Mapping'!$A:$A,'Key inputs_Emissions'!P$39)&gt;0,'IPCC(2006)'!$D$64*1000/Legend!$B$86,'IPCC(2006)'!$H$64*1000/Legend!$B$86)</f>
        <v>8.8888888888888889E-3</v>
      </c>
      <c r="Q71" s="209">
        <f>IF(SUMIFS('Region Mapping'!$E:$E,'Region Mapping'!$A:$A,'Key inputs_Emissions'!Q$39)&gt;0,'IPCC(2006)'!$D$64*1000/Legend!$B$86,'IPCC(2006)'!$H$64*1000/Legend!$B$86)</f>
        <v>8.8888888888888889E-3</v>
      </c>
      <c r="R71" s="209">
        <f>IF(SUMIFS('Region Mapping'!$E:$E,'Region Mapping'!$A:$A,'Key inputs_Emissions'!R$39)&gt;0,'IPCC(2006)'!$D$64*1000/Legend!$B$86,'IPCC(2006)'!$H$64*1000/Legend!$B$86)</f>
        <v>8.8888888888888889E-3</v>
      </c>
      <c r="S71" s="209">
        <f>IF(SUMIFS('Region Mapping'!$E:$E,'Region Mapping'!$A:$A,'Key inputs_Emissions'!S$39)&gt;0,'IPCC(2006)'!$D$64*1000/Legend!$B$86,'IPCC(2006)'!$H$64*1000/Legend!$B$86)</f>
        <v>8.8888888888888889E-3</v>
      </c>
      <c r="T71" s="209">
        <f>IF(SUMIFS('Region Mapping'!$E:$E,'Region Mapping'!$A:$A,'Key inputs_Emissions'!T$39)&gt;0,'IPCC(2006)'!$D$64*1000/Legend!$B$86,'IPCC(2006)'!$H$64*1000/Legend!$B$86)</f>
        <v>7.7777777777777784E-4</v>
      </c>
      <c r="U71" s="209">
        <f>IF(SUMIFS('Region Mapping'!$E:$E,'Region Mapping'!$A:$A,'Key inputs_Emissions'!U$39)&gt;0,'IPCC(2006)'!$D$64*1000/Legend!$B$86,'IPCC(2006)'!$H$64*1000/Legend!$B$86)</f>
        <v>7.7777777777777784E-4</v>
      </c>
      <c r="V71" s="209">
        <f>IF(SUMIFS('Region Mapping'!$E:$E,'Region Mapping'!$A:$A,'Key inputs_Emissions'!V$39)&gt;0,'IPCC(2006)'!$D$64*1000/Legend!$B$86,'IPCC(2006)'!$H$64*1000/Legend!$B$86)</f>
        <v>8.8888888888888889E-3</v>
      </c>
      <c r="W71" s="209">
        <f>IF(SUMIFS('Region Mapping'!$E:$E,'Region Mapping'!$A:$A,'Key inputs_Emissions'!W$39)&gt;0,'IPCC(2006)'!$D$64*1000/Legend!$B$86,'IPCC(2006)'!$H$64*1000/Legend!$B$86)</f>
        <v>7.7777777777777784E-4</v>
      </c>
      <c r="X71" s="209">
        <f>IF(SUMIFS('Region Mapping'!$E:$E,'Region Mapping'!$A:$A,'Key inputs_Emissions'!X$39)&gt;0,'IPCC(2006)'!$D$64*1000/Legend!$B$86,'IPCC(2006)'!$H$64*1000/Legend!$B$86)</f>
        <v>7.7777777777777784E-4</v>
      </c>
      <c r="Y71" s="209">
        <f>IF(SUMIFS('Region Mapping'!$E:$E,'Region Mapping'!$A:$A,'Key inputs_Emissions'!Y$39)&gt;0,'IPCC(2006)'!$D$64*1000/Legend!$B$86,'IPCC(2006)'!$H$64*1000/Legend!$B$86)</f>
        <v>7.7777777777777784E-4</v>
      </c>
      <c r="Z71" s="209">
        <f>IF(SUMIFS('Region Mapping'!$E:$E,'Region Mapping'!$A:$A,'Key inputs_Emissions'!Z$39)&gt;0,'IPCC(2006)'!$D$64*1000/Legend!$B$86,'IPCC(2006)'!$H$64*1000/Legend!$B$86)</f>
        <v>7.7777777777777784E-4</v>
      </c>
      <c r="AA71" s="209">
        <f>IF(SUMIFS('Region Mapping'!$E:$E,'Region Mapping'!$A:$A,'Key inputs_Emissions'!AA$39)&gt;0,'IPCC(2006)'!$D$64*1000/Legend!$B$86,'IPCC(2006)'!$H$64*1000/Legend!$B$86)</f>
        <v>7.7777777777777784E-4</v>
      </c>
      <c r="AB71" s="209">
        <f>IF(SUMIFS('Region Mapping'!$E:$E,'Region Mapping'!$A:$A,'Key inputs_Emissions'!AB$39)&gt;0,'IPCC(2006)'!$D$64*1000/Legend!$B$86,'IPCC(2006)'!$H$64*1000/Legend!$B$86)</f>
        <v>7.7777777777777784E-4</v>
      </c>
      <c r="AC71" s="209">
        <f>IF(SUMIFS('Region Mapping'!$E:$E,'Region Mapping'!$A:$A,'Key inputs_Emissions'!AC$39)&gt;0,'IPCC(2006)'!$D$64*1000/Legend!$B$86,'IPCC(2006)'!$H$64*1000/Legend!$B$86)</f>
        <v>8.8888888888888889E-3</v>
      </c>
      <c r="AD71" s="220">
        <f>IF(SUMIFS('Region Mapping'!$E:$E,'Region Mapping'!$A:$A,'Key inputs_Emissions'!AD$39)&gt;0,'IPCC(2006)'!$D$64*1000/Legend!$B$86,'IPCC(2006)'!$H$64*1000/Legend!$B$86)</f>
        <v>8.8888888888888889E-3</v>
      </c>
    </row>
    <row r="72" spans="1:30">
      <c r="A72" s="215" t="s">
        <v>999</v>
      </c>
      <c r="B72" t="s">
        <v>998</v>
      </c>
      <c r="C72" s="209">
        <f>IF(SUMIFS('Region Mapping'!$E:$E,'Region Mapping'!$A:$A,'Key inputs_Emissions'!C$39)&gt;0,'IPCC(2006)'!$D$65*1000/Legend!$B$86,'IPCC(2006)'!$H$65*1000/Legend!$B$86)</f>
        <v>0.11388888888888887</v>
      </c>
      <c r="D72" s="209">
        <f>IF(SUMIFS('Region Mapping'!$E:$E,'Region Mapping'!$A:$A,'Key inputs_Emissions'!D$39)&gt;0,'IPCC(2006)'!$D$65*1000/Legend!$B$86,'IPCC(2006)'!$H$65*1000/Legend!$B$86)</f>
        <v>0.11388888888888887</v>
      </c>
      <c r="E72" s="209">
        <f>IF(SUMIFS('Region Mapping'!$E:$E,'Region Mapping'!$A:$A,'Key inputs_Emissions'!E$39)&gt;0,'IPCC(2006)'!$D$65*1000/Legend!$B$86,'IPCC(2006)'!$H$65*1000/Legend!$B$86)</f>
        <v>0.11388888888888887</v>
      </c>
      <c r="F72" s="209">
        <f>IF(SUMIFS('Region Mapping'!$E:$E,'Region Mapping'!$A:$A,'Key inputs_Emissions'!F$39)&gt;0,'IPCC(2006)'!$D$65*1000/Legend!$B$86,'IPCC(2006)'!$H$65*1000/Legend!$B$86)</f>
        <v>0.11388888888888887</v>
      </c>
      <c r="G72" s="209">
        <f>IF(SUMIFS('Region Mapping'!$E:$E,'Region Mapping'!$A:$A,'Key inputs_Emissions'!G$39)&gt;0,'IPCC(2006)'!$D$65*1000/Legend!$B$86,'IPCC(2006)'!$H$65*1000/Legend!$B$86)</f>
        <v>8.3333333333333329E-2</v>
      </c>
      <c r="H72" s="209">
        <f>IF(SUMIFS('Region Mapping'!$E:$E,'Region Mapping'!$A:$A,'Key inputs_Emissions'!H$39)&gt;0,'IPCC(2006)'!$D$65*1000/Legend!$B$86,'IPCC(2006)'!$H$65*1000/Legend!$B$86)</f>
        <v>0.11388888888888887</v>
      </c>
      <c r="I72" s="209">
        <f>IF(SUMIFS('Region Mapping'!$E:$E,'Region Mapping'!$A:$A,'Key inputs_Emissions'!I$39)&gt;0,'IPCC(2006)'!$D$65*1000/Legend!$B$86,'IPCC(2006)'!$H$65*1000/Legend!$B$86)</f>
        <v>0.11388888888888887</v>
      </c>
      <c r="J72" s="209">
        <f>IF(SUMIFS('Region Mapping'!$E:$E,'Region Mapping'!$A:$A,'Key inputs_Emissions'!J$39)&gt;0,'IPCC(2006)'!$D$65*1000/Legend!$B$86,'IPCC(2006)'!$H$65*1000/Legend!$B$86)</f>
        <v>0.11388888888888887</v>
      </c>
      <c r="K72" s="209">
        <f>IF(SUMIFS('Region Mapping'!$E:$E,'Region Mapping'!$A:$A,'Key inputs_Emissions'!K$39)&gt;0,'IPCC(2006)'!$D$65*1000/Legend!$B$86,'IPCC(2006)'!$H$65*1000/Legend!$B$86)</f>
        <v>0.11388888888888887</v>
      </c>
      <c r="L72" s="209">
        <f>IF(SUMIFS('Region Mapping'!$E:$E,'Region Mapping'!$A:$A,'Key inputs_Emissions'!L$39)&gt;0,'IPCC(2006)'!$D$65*1000/Legend!$B$86,'IPCC(2006)'!$H$65*1000/Legend!$B$86)</f>
        <v>8.3333333333333329E-2</v>
      </c>
      <c r="M72" s="209">
        <f>IF(SUMIFS('Region Mapping'!$E:$E,'Region Mapping'!$A:$A,'Key inputs_Emissions'!M$39)&gt;0,'IPCC(2006)'!$D$65*1000/Legend!$B$86,'IPCC(2006)'!$H$65*1000/Legend!$B$86)</f>
        <v>0.11388888888888887</v>
      </c>
      <c r="N72" s="209">
        <f>IF(SUMIFS('Region Mapping'!$E:$E,'Region Mapping'!$A:$A,'Key inputs_Emissions'!N$39)&gt;0,'IPCC(2006)'!$D$65*1000/Legend!$B$86,'IPCC(2006)'!$H$65*1000/Legend!$B$86)</f>
        <v>0.11388888888888887</v>
      </c>
      <c r="O72" s="209">
        <f>IF(SUMIFS('Region Mapping'!$E:$E,'Region Mapping'!$A:$A,'Key inputs_Emissions'!O$39)&gt;0,'IPCC(2006)'!$D$65*1000/Legend!$B$86,'IPCC(2006)'!$H$65*1000/Legend!$B$86)</f>
        <v>0.11388888888888887</v>
      </c>
      <c r="P72" s="209">
        <f>IF(SUMIFS('Region Mapping'!$E:$E,'Region Mapping'!$A:$A,'Key inputs_Emissions'!P$39)&gt;0,'IPCC(2006)'!$D$65*1000/Legend!$B$86,'IPCC(2006)'!$H$65*1000/Legend!$B$86)</f>
        <v>8.3333333333333329E-2</v>
      </c>
      <c r="Q72" s="209">
        <f>IF(SUMIFS('Region Mapping'!$E:$E,'Region Mapping'!$A:$A,'Key inputs_Emissions'!Q$39)&gt;0,'IPCC(2006)'!$D$65*1000/Legend!$B$86,'IPCC(2006)'!$H$65*1000/Legend!$B$86)</f>
        <v>8.3333333333333329E-2</v>
      </c>
      <c r="R72" s="209">
        <f>IF(SUMIFS('Region Mapping'!$E:$E,'Region Mapping'!$A:$A,'Key inputs_Emissions'!R$39)&gt;0,'IPCC(2006)'!$D$65*1000/Legend!$B$86,'IPCC(2006)'!$H$65*1000/Legend!$B$86)</f>
        <v>8.3333333333333329E-2</v>
      </c>
      <c r="S72" s="209">
        <f>IF(SUMIFS('Region Mapping'!$E:$E,'Region Mapping'!$A:$A,'Key inputs_Emissions'!S$39)&gt;0,'IPCC(2006)'!$D$65*1000/Legend!$B$86,'IPCC(2006)'!$H$65*1000/Legend!$B$86)</f>
        <v>8.3333333333333329E-2</v>
      </c>
      <c r="T72" s="209">
        <f>IF(SUMIFS('Region Mapping'!$E:$E,'Region Mapping'!$A:$A,'Key inputs_Emissions'!T$39)&gt;0,'IPCC(2006)'!$D$65*1000/Legend!$B$86,'IPCC(2006)'!$H$65*1000/Legend!$B$86)</f>
        <v>0.11388888888888887</v>
      </c>
      <c r="U72" s="209">
        <f>IF(SUMIFS('Region Mapping'!$E:$E,'Region Mapping'!$A:$A,'Key inputs_Emissions'!U$39)&gt;0,'IPCC(2006)'!$D$65*1000/Legend!$B$86,'IPCC(2006)'!$H$65*1000/Legend!$B$86)</f>
        <v>0.11388888888888887</v>
      </c>
      <c r="V72" s="209">
        <f>IF(SUMIFS('Region Mapping'!$E:$E,'Region Mapping'!$A:$A,'Key inputs_Emissions'!V$39)&gt;0,'IPCC(2006)'!$D$65*1000/Legend!$B$86,'IPCC(2006)'!$H$65*1000/Legend!$B$86)</f>
        <v>8.3333333333333329E-2</v>
      </c>
      <c r="W72" s="209">
        <f>IF(SUMIFS('Region Mapping'!$E:$E,'Region Mapping'!$A:$A,'Key inputs_Emissions'!W$39)&gt;0,'IPCC(2006)'!$D$65*1000/Legend!$B$86,'IPCC(2006)'!$H$65*1000/Legend!$B$86)</f>
        <v>0.11388888888888887</v>
      </c>
      <c r="X72" s="209">
        <f>IF(SUMIFS('Region Mapping'!$E:$E,'Region Mapping'!$A:$A,'Key inputs_Emissions'!X$39)&gt;0,'IPCC(2006)'!$D$65*1000/Legend!$B$86,'IPCC(2006)'!$H$65*1000/Legend!$B$86)</f>
        <v>0.11388888888888887</v>
      </c>
      <c r="Y72" s="209">
        <f>IF(SUMIFS('Region Mapping'!$E:$E,'Region Mapping'!$A:$A,'Key inputs_Emissions'!Y$39)&gt;0,'IPCC(2006)'!$D$65*1000/Legend!$B$86,'IPCC(2006)'!$H$65*1000/Legend!$B$86)</f>
        <v>0.11388888888888887</v>
      </c>
      <c r="Z72" s="209">
        <f>IF(SUMIFS('Region Mapping'!$E:$E,'Region Mapping'!$A:$A,'Key inputs_Emissions'!Z$39)&gt;0,'IPCC(2006)'!$D$65*1000/Legend!$B$86,'IPCC(2006)'!$H$65*1000/Legend!$B$86)</f>
        <v>0.11388888888888887</v>
      </c>
      <c r="AA72" s="209">
        <f>IF(SUMIFS('Region Mapping'!$E:$E,'Region Mapping'!$A:$A,'Key inputs_Emissions'!AA$39)&gt;0,'IPCC(2006)'!$D$65*1000/Legend!$B$86,'IPCC(2006)'!$H$65*1000/Legend!$B$86)</f>
        <v>0.11388888888888887</v>
      </c>
      <c r="AB72" s="209">
        <f>IF(SUMIFS('Region Mapping'!$E:$E,'Region Mapping'!$A:$A,'Key inputs_Emissions'!AB$39)&gt;0,'IPCC(2006)'!$D$65*1000/Legend!$B$86,'IPCC(2006)'!$H$65*1000/Legend!$B$86)</f>
        <v>0.11388888888888887</v>
      </c>
      <c r="AC72" s="209">
        <f>IF(SUMIFS('Region Mapping'!$E:$E,'Region Mapping'!$A:$A,'Key inputs_Emissions'!AC$39)&gt;0,'IPCC(2006)'!$D$65*1000/Legend!$B$86,'IPCC(2006)'!$H$65*1000/Legend!$B$86)</f>
        <v>8.3333333333333329E-2</v>
      </c>
      <c r="AD72" s="220">
        <f>IF(SUMIFS('Region Mapping'!$E:$E,'Region Mapping'!$A:$A,'Key inputs_Emissions'!AD$39)&gt;0,'IPCC(2006)'!$D$65*1000/Legend!$B$86,'IPCC(2006)'!$H$65*1000/Legend!$B$86)</f>
        <v>8.3333333333333329E-2</v>
      </c>
    </row>
    <row r="73" spans="1:30">
      <c r="A73" s="215" t="s">
        <v>1000</v>
      </c>
      <c r="B73" t="s">
        <v>998</v>
      </c>
      <c r="C73" s="209">
        <f>IF(SUMIFS('Region Mapping'!$E:$E,'Region Mapping'!$A:$A,'Key inputs_Emissions'!C$39)&gt;0,'IPCC(2006)'!$D$66*1000/Legend!$B$86,'IPCC(2006)'!$H$66*1000/Legend!$B$86)</f>
        <v>2.6388888888888888</v>
      </c>
      <c r="D73" s="209">
        <f>IF(SUMIFS('Region Mapping'!$E:$E,'Region Mapping'!$A:$A,'Key inputs_Emissions'!D$39)&gt;0,'IPCC(2006)'!$D$66*1000/Legend!$B$86,'IPCC(2006)'!$H$66*1000/Legend!$B$86)</f>
        <v>2.6388888888888888</v>
      </c>
      <c r="E73" s="209">
        <f>IF(SUMIFS('Region Mapping'!$E:$E,'Region Mapping'!$A:$A,'Key inputs_Emissions'!E$39)&gt;0,'IPCC(2006)'!$D$66*1000/Legend!$B$86,'IPCC(2006)'!$H$66*1000/Legend!$B$86)</f>
        <v>2.6388888888888888</v>
      </c>
      <c r="F73" s="209">
        <f>IF(SUMIFS('Region Mapping'!$E:$E,'Region Mapping'!$A:$A,'Key inputs_Emissions'!F$39)&gt;0,'IPCC(2006)'!$D$66*1000/Legend!$B$86,'IPCC(2006)'!$H$66*1000/Legend!$B$86)</f>
        <v>2.6388888888888888</v>
      </c>
      <c r="G73" s="209">
        <f>IF(SUMIFS('Region Mapping'!$E:$E,'Region Mapping'!$A:$A,'Key inputs_Emissions'!G$39)&gt;0,'IPCC(2006)'!$D$66*1000/Legend!$B$86,'IPCC(2006)'!$H$66*1000/Legend!$B$86)</f>
        <v>1.1111111111111112</v>
      </c>
      <c r="H73" s="209">
        <f>IF(SUMIFS('Region Mapping'!$E:$E,'Region Mapping'!$A:$A,'Key inputs_Emissions'!H$39)&gt;0,'IPCC(2006)'!$D$66*1000/Legend!$B$86,'IPCC(2006)'!$H$66*1000/Legend!$B$86)</f>
        <v>2.6388888888888888</v>
      </c>
      <c r="I73" s="209">
        <f>IF(SUMIFS('Region Mapping'!$E:$E,'Region Mapping'!$A:$A,'Key inputs_Emissions'!I$39)&gt;0,'IPCC(2006)'!$D$66*1000/Legend!$B$86,'IPCC(2006)'!$H$66*1000/Legend!$B$86)</f>
        <v>2.6388888888888888</v>
      </c>
      <c r="J73" s="209">
        <f>IF(SUMIFS('Region Mapping'!$E:$E,'Region Mapping'!$A:$A,'Key inputs_Emissions'!J$39)&gt;0,'IPCC(2006)'!$D$66*1000/Legend!$B$86,'IPCC(2006)'!$H$66*1000/Legend!$B$86)</f>
        <v>2.6388888888888888</v>
      </c>
      <c r="K73" s="209">
        <f>IF(SUMIFS('Region Mapping'!$E:$E,'Region Mapping'!$A:$A,'Key inputs_Emissions'!K$39)&gt;0,'IPCC(2006)'!$D$66*1000/Legend!$B$86,'IPCC(2006)'!$H$66*1000/Legend!$B$86)</f>
        <v>2.6388888888888888</v>
      </c>
      <c r="L73" s="209">
        <f>IF(SUMIFS('Region Mapping'!$E:$E,'Region Mapping'!$A:$A,'Key inputs_Emissions'!L$39)&gt;0,'IPCC(2006)'!$D$66*1000/Legend!$B$86,'IPCC(2006)'!$H$66*1000/Legend!$B$86)</f>
        <v>1.1111111111111112</v>
      </c>
      <c r="M73" s="209">
        <f>IF(SUMIFS('Region Mapping'!$E:$E,'Region Mapping'!$A:$A,'Key inputs_Emissions'!M$39)&gt;0,'IPCC(2006)'!$D$66*1000/Legend!$B$86,'IPCC(2006)'!$H$66*1000/Legend!$B$86)</f>
        <v>2.6388888888888888</v>
      </c>
      <c r="N73" s="209">
        <f>IF(SUMIFS('Region Mapping'!$E:$E,'Region Mapping'!$A:$A,'Key inputs_Emissions'!N$39)&gt;0,'IPCC(2006)'!$D$66*1000/Legend!$B$86,'IPCC(2006)'!$H$66*1000/Legend!$B$86)</f>
        <v>2.6388888888888888</v>
      </c>
      <c r="O73" s="209">
        <f>IF(SUMIFS('Region Mapping'!$E:$E,'Region Mapping'!$A:$A,'Key inputs_Emissions'!O$39)&gt;0,'IPCC(2006)'!$D$66*1000/Legend!$B$86,'IPCC(2006)'!$H$66*1000/Legend!$B$86)</f>
        <v>2.6388888888888888</v>
      </c>
      <c r="P73" s="209">
        <f>IF(SUMIFS('Region Mapping'!$E:$E,'Region Mapping'!$A:$A,'Key inputs_Emissions'!P$39)&gt;0,'IPCC(2006)'!$D$66*1000/Legend!$B$86,'IPCC(2006)'!$H$66*1000/Legend!$B$86)</f>
        <v>1.1111111111111112</v>
      </c>
      <c r="Q73" s="209">
        <f>IF(SUMIFS('Region Mapping'!$E:$E,'Region Mapping'!$A:$A,'Key inputs_Emissions'!Q$39)&gt;0,'IPCC(2006)'!$D$66*1000/Legend!$B$86,'IPCC(2006)'!$H$66*1000/Legend!$B$86)</f>
        <v>1.1111111111111112</v>
      </c>
      <c r="R73" s="209">
        <f>IF(SUMIFS('Region Mapping'!$E:$E,'Region Mapping'!$A:$A,'Key inputs_Emissions'!R$39)&gt;0,'IPCC(2006)'!$D$66*1000/Legend!$B$86,'IPCC(2006)'!$H$66*1000/Legend!$B$86)</f>
        <v>1.1111111111111112</v>
      </c>
      <c r="S73" s="209">
        <f>IF(SUMIFS('Region Mapping'!$E:$E,'Region Mapping'!$A:$A,'Key inputs_Emissions'!S$39)&gt;0,'IPCC(2006)'!$D$66*1000/Legend!$B$86,'IPCC(2006)'!$H$66*1000/Legend!$B$86)</f>
        <v>1.1111111111111112</v>
      </c>
      <c r="T73" s="209">
        <f>IF(SUMIFS('Region Mapping'!$E:$E,'Region Mapping'!$A:$A,'Key inputs_Emissions'!T$39)&gt;0,'IPCC(2006)'!$D$66*1000/Legend!$B$86,'IPCC(2006)'!$H$66*1000/Legend!$B$86)</f>
        <v>2.6388888888888888</v>
      </c>
      <c r="U73" s="209">
        <f>IF(SUMIFS('Region Mapping'!$E:$E,'Region Mapping'!$A:$A,'Key inputs_Emissions'!U$39)&gt;0,'IPCC(2006)'!$D$66*1000/Legend!$B$86,'IPCC(2006)'!$H$66*1000/Legend!$B$86)</f>
        <v>2.6388888888888888</v>
      </c>
      <c r="V73" s="209">
        <f>IF(SUMIFS('Region Mapping'!$E:$E,'Region Mapping'!$A:$A,'Key inputs_Emissions'!V$39)&gt;0,'IPCC(2006)'!$D$66*1000/Legend!$B$86,'IPCC(2006)'!$H$66*1000/Legend!$B$86)</f>
        <v>1.1111111111111112</v>
      </c>
      <c r="W73" s="209">
        <f>IF(SUMIFS('Region Mapping'!$E:$E,'Region Mapping'!$A:$A,'Key inputs_Emissions'!W$39)&gt;0,'IPCC(2006)'!$D$66*1000/Legend!$B$86,'IPCC(2006)'!$H$66*1000/Legend!$B$86)</f>
        <v>2.6388888888888888</v>
      </c>
      <c r="X73" s="209">
        <f>IF(SUMIFS('Region Mapping'!$E:$E,'Region Mapping'!$A:$A,'Key inputs_Emissions'!X$39)&gt;0,'IPCC(2006)'!$D$66*1000/Legend!$B$86,'IPCC(2006)'!$H$66*1000/Legend!$B$86)</f>
        <v>2.6388888888888888</v>
      </c>
      <c r="Y73" s="209">
        <f>IF(SUMIFS('Region Mapping'!$E:$E,'Region Mapping'!$A:$A,'Key inputs_Emissions'!Y$39)&gt;0,'IPCC(2006)'!$D$66*1000/Legend!$B$86,'IPCC(2006)'!$H$66*1000/Legend!$B$86)</f>
        <v>2.6388888888888888</v>
      </c>
      <c r="Z73" s="209">
        <f>IF(SUMIFS('Region Mapping'!$E:$E,'Region Mapping'!$A:$A,'Key inputs_Emissions'!Z$39)&gt;0,'IPCC(2006)'!$D$66*1000/Legend!$B$86,'IPCC(2006)'!$H$66*1000/Legend!$B$86)</f>
        <v>2.6388888888888888</v>
      </c>
      <c r="AA73" s="209">
        <f>IF(SUMIFS('Region Mapping'!$E:$E,'Region Mapping'!$A:$A,'Key inputs_Emissions'!AA$39)&gt;0,'IPCC(2006)'!$D$66*1000/Legend!$B$86,'IPCC(2006)'!$H$66*1000/Legend!$B$86)</f>
        <v>2.6388888888888888</v>
      </c>
      <c r="AB73" s="209">
        <f>IF(SUMIFS('Region Mapping'!$E:$E,'Region Mapping'!$A:$A,'Key inputs_Emissions'!AB$39)&gt;0,'IPCC(2006)'!$D$66*1000/Legend!$B$86,'IPCC(2006)'!$H$66*1000/Legend!$B$86)</f>
        <v>2.6388888888888888</v>
      </c>
      <c r="AC73" s="209">
        <f>IF(SUMIFS('Region Mapping'!$E:$E,'Region Mapping'!$A:$A,'Key inputs_Emissions'!AC$39)&gt;0,'IPCC(2006)'!$D$66*1000/Legend!$B$86,'IPCC(2006)'!$H$66*1000/Legend!$B$86)</f>
        <v>1.1111111111111112</v>
      </c>
      <c r="AD73" s="220">
        <f>IF(SUMIFS('Region Mapping'!$E:$E,'Region Mapping'!$A:$A,'Key inputs_Emissions'!AD$39)&gt;0,'IPCC(2006)'!$D$66*1000/Legend!$B$86,'IPCC(2006)'!$H$66*1000/Legend!$B$86)</f>
        <v>1.1111111111111112</v>
      </c>
    </row>
    <row r="74" spans="1:30">
      <c r="A74" s="215" t="s">
        <v>1001</v>
      </c>
      <c r="B74" t="s">
        <v>1002</v>
      </c>
      <c r="C74" s="209">
        <f>IF(SUMIFS('Region Mapping'!$E:$E,'Region Mapping'!$A:$A,'Key inputs_Emissions'!C$39)&gt;0,'IPCC(2006)'!$D$68*1000/Legend!$B$86+'IPCC(2006)'!$D$71*1000/Legend!$B$86,'IPCC(2006)'!$H$68*1000/Legend!$B$86+'IPCC(2006)'!$H$71*1000/Legend!$B$86)</f>
        <v>6.2777777777777783E-5</v>
      </c>
      <c r="D74" s="209">
        <f>IF(SUMIFS('Region Mapping'!$E:$E,'Region Mapping'!$A:$A,'Key inputs_Emissions'!D$39)&gt;0,'IPCC(2006)'!$D$68*1000/Legend!$B$86+'IPCC(2006)'!$D$71*1000/Legend!$B$86,'IPCC(2006)'!$H$68*1000/Legend!$B$86+'IPCC(2006)'!$H$71*1000/Legend!$B$86)</f>
        <v>6.2777777777777783E-5</v>
      </c>
      <c r="E74" s="209">
        <f>IF(SUMIFS('Region Mapping'!$E:$E,'Region Mapping'!$A:$A,'Key inputs_Emissions'!E$39)&gt;0,'IPCC(2006)'!$D$68*1000/Legend!$B$86+'IPCC(2006)'!$D$71*1000/Legend!$B$86,'IPCC(2006)'!$H$68*1000/Legend!$B$86+'IPCC(2006)'!$H$71*1000/Legend!$B$86)</f>
        <v>6.2777777777777783E-5</v>
      </c>
      <c r="F74" s="209">
        <f>IF(SUMIFS('Region Mapping'!$E:$E,'Region Mapping'!$A:$A,'Key inputs_Emissions'!F$39)&gt;0,'IPCC(2006)'!$D$68*1000/Legend!$B$86+'IPCC(2006)'!$D$71*1000/Legend!$B$86,'IPCC(2006)'!$H$68*1000/Legend!$B$86+'IPCC(2006)'!$H$71*1000/Legend!$B$86)</f>
        <v>6.2777777777777783E-5</v>
      </c>
      <c r="G74" s="209">
        <f>IF(SUMIFS('Region Mapping'!$E:$E,'Region Mapping'!$A:$A,'Key inputs_Emissions'!G$39)&gt;0,'IPCC(2006)'!$D$68*1000/Legend!$B$86+'IPCC(2006)'!$D$71*1000/Legend!$B$86,'IPCC(2006)'!$H$68*1000/Legend!$B$86+'IPCC(2006)'!$H$71*1000/Legend!$B$86)</f>
        <v>2.7500000000000001E-5</v>
      </c>
      <c r="H74" s="209">
        <f>IF(SUMIFS('Region Mapping'!$E:$E,'Region Mapping'!$A:$A,'Key inputs_Emissions'!H$39)&gt;0,'IPCC(2006)'!$D$68*1000/Legend!$B$86+'IPCC(2006)'!$D$71*1000/Legend!$B$86,'IPCC(2006)'!$H$68*1000/Legend!$B$86+'IPCC(2006)'!$H$71*1000/Legend!$B$86)</f>
        <v>6.2777777777777783E-5</v>
      </c>
      <c r="I74" s="209">
        <f>IF(SUMIFS('Region Mapping'!$E:$E,'Region Mapping'!$A:$A,'Key inputs_Emissions'!I$39)&gt;0,'IPCC(2006)'!$D$68*1000/Legend!$B$86+'IPCC(2006)'!$D$71*1000/Legend!$B$86,'IPCC(2006)'!$H$68*1000/Legend!$B$86+'IPCC(2006)'!$H$71*1000/Legend!$B$86)</f>
        <v>6.2777777777777783E-5</v>
      </c>
      <c r="J74" s="209">
        <f>IF(SUMIFS('Region Mapping'!$E:$E,'Region Mapping'!$A:$A,'Key inputs_Emissions'!J$39)&gt;0,'IPCC(2006)'!$D$68*1000/Legend!$B$86+'IPCC(2006)'!$D$71*1000/Legend!$B$86,'IPCC(2006)'!$H$68*1000/Legend!$B$86+'IPCC(2006)'!$H$71*1000/Legend!$B$86)</f>
        <v>6.2777777777777783E-5</v>
      </c>
      <c r="K74" s="209">
        <f>IF(SUMIFS('Region Mapping'!$E:$E,'Region Mapping'!$A:$A,'Key inputs_Emissions'!K$39)&gt;0,'IPCC(2006)'!$D$68*1000/Legend!$B$86+'IPCC(2006)'!$D$71*1000/Legend!$B$86,'IPCC(2006)'!$H$68*1000/Legend!$B$86+'IPCC(2006)'!$H$71*1000/Legend!$B$86)</f>
        <v>6.2777777777777783E-5</v>
      </c>
      <c r="L74" s="209">
        <f>IF(SUMIFS('Region Mapping'!$E:$E,'Region Mapping'!$A:$A,'Key inputs_Emissions'!L$39)&gt;0,'IPCC(2006)'!$D$68*1000/Legend!$B$86+'IPCC(2006)'!$D$71*1000/Legend!$B$86,'IPCC(2006)'!$H$68*1000/Legend!$B$86+'IPCC(2006)'!$H$71*1000/Legend!$B$86)</f>
        <v>2.7500000000000001E-5</v>
      </c>
      <c r="M74" s="209">
        <f>IF(SUMIFS('Region Mapping'!$E:$E,'Region Mapping'!$A:$A,'Key inputs_Emissions'!M$39)&gt;0,'IPCC(2006)'!$D$68*1000/Legend!$B$86+'IPCC(2006)'!$D$71*1000/Legend!$B$86,'IPCC(2006)'!$H$68*1000/Legend!$B$86+'IPCC(2006)'!$H$71*1000/Legend!$B$86)</f>
        <v>6.2777777777777783E-5</v>
      </c>
      <c r="N74" s="209">
        <f>IF(SUMIFS('Region Mapping'!$E:$E,'Region Mapping'!$A:$A,'Key inputs_Emissions'!N$39)&gt;0,'IPCC(2006)'!$D$68*1000/Legend!$B$86+'IPCC(2006)'!$D$71*1000/Legend!$B$86,'IPCC(2006)'!$H$68*1000/Legend!$B$86+'IPCC(2006)'!$H$71*1000/Legend!$B$86)</f>
        <v>6.2777777777777783E-5</v>
      </c>
      <c r="O74" s="209">
        <f>IF(SUMIFS('Region Mapping'!$E:$E,'Region Mapping'!$A:$A,'Key inputs_Emissions'!O$39)&gt;0,'IPCC(2006)'!$D$68*1000/Legend!$B$86+'IPCC(2006)'!$D$71*1000/Legend!$B$86,'IPCC(2006)'!$H$68*1000/Legend!$B$86+'IPCC(2006)'!$H$71*1000/Legend!$B$86)</f>
        <v>6.2777777777777783E-5</v>
      </c>
      <c r="P74" s="209">
        <f>IF(SUMIFS('Region Mapping'!$E:$E,'Region Mapping'!$A:$A,'Key inputs_Emissions'!P$39)&gt;0,'IPCC(2006)'!$D$68*1000/Legend!$B$86+'IPCC(2006)'!$D$71*1000/Legend!$B$86,'IPCC(2006)'!$H$68*1000/Legend!$B$86+'IPCC(2006)'!$H$71*1000/Legend!$B$86)</f>
        <v>2.7500000000000001E-5</v>
      </c>
      <c r="Q74" s="209">
        <f>IF(SUMIFS('Region Mapping'!$E:$E,'Region Mapping'!$A:$A,'Key inputs_Emissions'!Q$39)&gt;0,'IPCC(2006)'!$D$68*1000/Legend!$B$86+'IPCC(2006)'!$D$71*1000/Legend!$B$86,'IPCC(2006)'!$H$68*1000/Legend!$B$86+'IPCC(2006)'!$H$71*1000/Legend!$B$86)</f>
        <v>2.7500000000000001E-5</v>
      </c>
      <c r="R74" s="209">
        <f>IF(SUMIFS('Region Mapping'!$E:$E,'Region Mapping'!$A:$A,'Key inputs_Emissions'!R$39)&gt;0,'IPCC(2006)'!$D$68*1000/Legend!$B$86+'IPCC(2006)'!$D$71*1000/Legend!$B$86,'IPCC(2006)'!$H$68*1000/Legend!$B$86+'IPCC(2006)'!$H$71*1000/Legend!$B$86)</f>
        <v>2.7500000000000001E-5</v>
      </c>
      <c r="S74" s="209">
        <f>IF(SUMIFS('Region Mapping'!$E:$E,'Region Mapping'!$A:$A,'Key inputs_Emissions'!S$39)&gt;0,'IPCC(2006)'!$D$68*1000/Legend!$B$86+'IPCC(2006)'!$D$71*1000/Legend!$B$86,'IPCC(2006)'!$H$68*1000/Legend!$B$86+'IPCC(2006)'!$H$71*1000/Legend!$B$86)</f>
        <v>2.7500000000000001E-5</v>
      </c>
      <c r="T74" s="209">
        <f>IF(SUMIFS('Region Mapping'!$E:$E,'Region Mapping'!$A:$A,'Key inputs_Emissions'!T$39)&gt;0,'IPCC(2006)'!$D$68*1000/Legend!$B$86+'IPCC(2006)'!$D$71*1000/Legend!$B$86,'IPCC(2006)'!$H$68*1000/Legend!$B$86+'IPCC(2006)'!$H$71*1000/Legend!$B$86)</f>
        <v>6.2777777777777783E-5</v>
      </c>
      <c r="U74" s="209">
        <f>IF(SUMIFS('Region Mapping'!$E:$E,'Region Mapping'!$A:$A,'Key inputs_Emissions'!U$39)&gt;0,'IPCC(2006)'!$D$68*1000/Legend!$B$86+'IPCC(2006)'!$D$71*1000/Legend!$B$86,'IPCC(2006)'!$H$68*1000/Legend!$B$86+'IPCC(2006)'!$H$71*1000/Legend!$B$86)</f>
        <v>6.2777777777777783E-5</v>
      </c>
      <c r="V74" s="209">
        <f>IF(SUMIFS('Region Mapping'!$E:$E,'Region Mapping'!$A:$A,'Key inputs_Emissions'!V$39)&gt;0,'IPCC(2006)'!$D$68*1000/Legend!$B$86+'IPCC(2006)'!$D$71*1000/Legend!$B$86,'IPCC(2006)'!$H$68*1000/Legend!$B$86+'IPCC(2006)'!$H$71*1000/Legend!$B$86)</f>
        <v>2.7500000000000001E-5</v>
      </c>
      <c r="W74" s="209">
        <f>IF(SUMIFS('Region Mapping'!$E:$E,'Region Mapping'!$A:$A,'Key inputs_Emissions'!W$39)&gt;0,'IPCC(2006)'!$D$68*1000/Legend!$B$86+'IPCC(2006)'!$D$71*1000/Legend!$B$86,'IPCC(2006)'!$H$68*1000/Legend!$B$86+'IPCC(2006)'!$H$71*1000/Legend!$B$86)</f>
        <v>6.2777777777777783E-5</v>
      </c>
      <c r="X74" s="209">
        <f>IF(SUMIFS('Region Mapping'!$E:$E,'Region Mapping'!$A:$A,'Key inputs_Emissions'!X$39)&gt;0,'IPCC(2006)'!$D$68*1000/Legend!$B$86+'IPCC(2006)'!$D$71*1000/Legend!$B$86,'IPCC(2006)'!$H$68*1000/Legend!$B$86+'IPCC(2006)'!$H$71*1000/Legend!$B$86)</f>
        <v>6.2777777777777783E-5</v>
      </c>
      <c r="Y74" s="209">
        <f>IF(SUMIFS('Region Mapping'!$E:$E,'Region Mapping'!$A:$A,'Key inputs_Emissions'!Y$39)&gt;0,'IPCC(2006)'!$D$68*1000/Legend!$B$86+'IPCC(2006)'!$D$71*1000/Legend!$B$86,'IPCC(2006)'!$H$68*1000/Legend!$B$86+'IPCC(2006)'!$H$71*1000/Legend!$B$86)</f>
        <v>6.2777777777777783E-5</v>
      </c>
      <c r="Z74" s="209">
        <f>IF(SUMIFS('Region Mapping'!$E:$E,'Region Mapping'!$A:$A,'Key inputs_Emissions'!Z$39)&gt;0,'IPCC(2006)'!$D$68*1000/Legend!$B$86+'IPCC(2006)'!$D$71*1000/Legend!$B$86,'IPCC(2006)'!$H$68*1000/Legend!$B$86+'IPCC(2006)'!$H$71*1000/Legend!$B$86)</f>
        <v>6.2777777777777783E-5</v>
      </c>
      <c r="AA74" s="209">
        <f>IF(SUMIFS('Region Mapping'!$E:$E,'Region Mapping'!$A:$A,'Key inputs_Emissions'!AA$39)&gt;0,'IPCC(2006)'!$D$68*1000/Legend!$B$86+'IPCC(2006)'!$D$71*1000/Legend!$B$86,'IPCC(2006)'!$H$68*1000/Legend!$B$86+'IPCC(2006)'!$H$71*1000/Legend!$B$86)</f>
        <v>6.2777777777777783E-5</v>
      </c>
      <c r="AB74" s="209">
        <f>IF(SUMIFS('Region Mapping'!$E:$E,'Region Mapping'!$A:$A,'Key inputs_Emissions'!AB$39)&gt;0,'IPCC(2006)'!$D$68*1000/Legend!$B$86+'IPCC(2006)'!$D$71*1000/Legend!$B$86,'IPCC(2006)'!$H$68*1000/Legend!$B$86+'IPCC(2006)'!$H$71*1000/Legend!$B$86)</f>
        <v>6.2777777777777783E-5</v>
      </c>
      <c r="AC74" s="209">
        <f>IF(SUMIFS('Region Mapping'!$E:$E,'Region Mapping'!$A:$A,'Key inputs_Emissions'!AC$39)&gt;0,'IPCC(2006)'!$D$68*1000/Legend!$B$86+'IPCC(2006)'!$D$71*1000/Legend!$B$86,'IPCC(2006)'!$H$68*1000/Legend!$B$86+'IPCC(2006)'!$H$71*1000/Legend!$B$86)</f>
        <v>2.7500000000000001E-5</v>
      </c>
      <c r="AD74" s="220">
        <f>IF(SUMIFS('Region Mapping'!$E:$E,'Region Mapping'!$A:$A,'Key inputs_Emissions'!AD$39)&gt;0,'IPCC(2006)'!$D$68*1000/Legend!$B$86+'IPCC(2006)'!$D$71*1000/Legend!$B$86,'IPCC(2006)'!$H$68*1000/Legend!$B$86+'IPCC(2006)'!$H$71*1000/Legend!$B$86)</f>
        <v>2.7500000000000001E-5</v>
      </c>
    </row>
    <row r="75" spans="1:30">
      <c r="A75" s="215" t="s">
        <v>1003</v>
      </c>
      <c r="B75" t="s">
        <v>1002</v>
      </c>
      <c r="C75" s="209">
        <f>IF(SUMIFS('Region Mapping'!$E:$E,'Region Mapping'!$A:$A,'Key inputs_Emissions'!C$39)&gt;0,'IPCC(2006)'!$D$69*1000/Legend!$B$86,'IPCC(2006)'!$H$69*1000/Legend!$B$86)</f>
        <v>2.0277777777777774E-4</v>
      </c>
      <c r="D75" s="209">
        <f>IF(SUMIFS('Region Mapping'!$E:$E,'Region Mapping'!$A:$A,'Key inputs_Emissions'!D$39)&gt;0,'IPCC(2006)'!$D$69*1000/Legend!$B$86,'IPCC(2006)'!$H$69*1000/Legend!$B$86)</f>
        <v>2.0277777777777774E-4</v>
      </c>
      <c r="E75" s="209">
        <f>IF(SUMIFS('Region Mapping'!$E:$E,'Region Mapping'!$A:$A,'Key inputs_Emissions'!E$39)&gt;0,'IPCC(2006)'!$D$69*1000/Legend!$B$86,'IPCC(2006)'!$H$69*1000/Legend!$B$86)</f>
        <v>2.0277777777777774E-4</v>
      </c>
      <c r="F75" s="209">
        <f>IF(SUMIFS('Region Mapping'!$E:$E,'Region Mapping'!$A:$A,'Key inputs_Emissions'!F$39)&gt;0,'IPCC(2006)'!$D$69*1000/Legend!$B$86,'IPCC(2006)'!$H$69*1000/Legend!$B$86)</f>
        <v>2.0277777777777774E-4</v>
      </c>
      <c r="G75" s="209">
        <f>IF(SUMIFS('Region Mapping'!$E:$E,'Region Mapping'!$A:$A,'Key inputs_Emissions'!G$39)&gt;0,'IPCC(2006)'!$D$69*1000/Legend!$B$86,'IPCC(2006)'!$H$69*1000/Legend!$B$86)</f>
        <v>8.6111111111111105E-5</v>
      </c>
      <c r="H75" s="209">
        <f>IF(SUMIFS('Region Mapping'!$E:$E,'Region Mapping'!$A:$A,'Key inputs_Emissions'!H$39)&gt;0,'IPCC(2006)'!$D$69*1000/Legend!$B$86,'IPCC(2006)'!$H$69*1000/Legend!$B$86)</f>
        <v>2.0277777777777774E-4</v>
      </c>
      <c r="I75" s="209">
        <f>IF(SUMIFS('Region Mapping'!$E:$E,'Region Mapping'!$A:$A,'Key inputs_Emissions'!I$39)&gt;0,'IPCC(2006)'!$D$69*1000/Legend!$B$86,'IPCC(2006)'!$H$69*1000/Legend!$B$86)</f>
        <v>2.0277777777777774E-4</v>
      </c>
      <c r="J75" s="209">
        <f>IF(SUMIFS('Region Mapping'!$E:$E,'Region Mapping'!$A:$A,'Key inputs_Emissions'!J$39)&gt;0,'IPCC(2006)'!$D$69*1000/Legend!$B$86,'IPCC(2006)'!$H$69*1000/Legend!$B$86)</f>
        <v>2.0277777777777774E-4</v>
      </c>
      <c r="K75" s="209">
        <f>IF(SUMIFS('Region Mapping'!$E:$E,'Region Mapping'!$A:$A,'Key inputs_Emissions'!K$39)&gt;0,'IPCC(2006)'!$D$69*1000/Legend!$B$86,'IPCC(2006)'!$H$69*1000/Legend!$B$86)</f>
        <v>2.0277777777777774E-4</v>
      </c>
      <c r="L75" s="209">
        <f>IF(SUMIFS('Region Mapping'!$E:$E,'Region Mapping'!$A:$A,'Key inputs_Emissions'!L$39)&gt;0,'IPCC(2006)'!$D$69*1000/Legend!$B$86,'IPCC(2006)'!$H$69*1000/Legend!$B$86)</f>
        <v>8.6111111111111105E-5</v>
      </c>
      <c r="M75" s="209">
        <f>IF(SUMIFS('Region Mapping'!$E:$E,'Region Mapping'!$A:$A,'Key inputs_Emissions'!M$39)&gt;0,'IPCC(2006)'!$D$69*1000/Legend!$B$86,'IPCC(2006)'!$H$69*1000/Legend!$B$86)</f>
        <v>2.0277777777777774E-4</v>
      </c>
      <c r="N75" s="209">
        <f>IF(SUMIFS('Region Mapping'!$E:$E,'Region Mapping'!$A:$A,'Key inputs_Emissions'!N$39)&gt;0,'IPCC(2006)'!$D$69*1000/Legend!$B$86,'IPCC(2006)'!$H$69*1000/Legend!$B$86)</f>
        <v>2.0277777777777774E-4</v>
      </c>
      <c r="O75" s="209">
        <f>IF(SUMIFS('Region Mapping'!$E:$E,'Region Mapping'!$A:$A,'Key inputs_Emissions'!O$39)&gt;0,'IPCC(2006)'!$D$69*1000/Legend!$B$86,'IPCC(2006)'!$H$69*1000/Legend!$B$86)</f>
        <v>2.0277777777777774E-4</v>
      </c>
      <c r="P75" s="209">
        <f>IF(SUMIFS('Region Mapping'!$E:$E,'Region Mapping'!$A:$A,'Key inputs_Emissions'!P$39)&gt;0,'IPCC(2006)'!$D$69*1000/Legend!$B$86,'IPCC(2006)'!$H$69*1000/Legend!$B$86)</f>
        <v>8.6111111111111105E-5</v>
      </c>
      <c r="Q75" s="209">
        <f>IF(SUMIFS('Region Mapping'!$E:$E,'Region Mapping'!$A:$A,'Key inputs_Emissions'!Q$39)&gt;0,'IPCC(2006)'!$D$69*1000/Legend!$B$86,'IPCC(2006)'!$H$69*1000/Legend!$B$86)</f>
        <v>8.6111111111111105E-5</v>
      </c>
      <c r="R75" s="209">
        <f>IF(SUMIFS('Region Mapping'!$E:$E,'Region Mapping'!$A:$A,'Key inputs_Emissions'!R$39)&gt;0,'IPCC(2006)'!$D$69*1000/Legend!$B$86,'IPCC(2006)'!$H$69*1000/Legend!$B$86)</f>
        <v>8.6111111111111105E-5</v>
      </c>
      <c r="S75" s="209">
        <f>IF(SUMIFS('Region Mapping'!$E:$E,'Region Mapping'!$A:$A,'Key inputs_Emissions'!S$39)&gt;0,'IPCC(2006)'!$D$69*1000/Legend!$B$86,'IPCC(2006)'!$H$69*1000/Legend!$B$86)</f>
        <v>8.6111111111111105E-5</v>
      </c>
      <c r="T75" s="209">
        <f>IF(SUMIFS('Region Mapping'!$E:$E,'Region Mapping'!$A:$A,'Key inputs_Emissions'!T$39)&gt;0,'IPCC(2006)'!$D$69*1000/Legend!$B$86,'IPCC(2006)'!$H$69*1000/Legend!$B$86)</f>
        <v>2.0277777777777774E-4</v>
      </c>
      <c r="U75" s="209">
        <f>IF(SUMIFS('Region Mapping'!$E:$E,'Region Mapping'!$A:$A,'Key inputs_Emissions'!U$39)&gt;0,'IPCC(2006)'!$D$69*1000/Legend!$B$86,'IPCC(2006)'!$H$69*1000/Legend!$B$86)</f>
        <v>2.0277777777777774E-4</v>
      </c>
      <c r="V75" s="209">
        <f>IF(SUMIFS('Region Mapping'!$E:$E,'Region Mapping'!$A:$A,'Key inputs_Emissions'!V$39)&gt;0,'IPCC(2006)'!$D$69*1000/Legend!$B$86,'IPCC(2006)'!$H$69*1000/Legend!$B$86)</f>
        <v>8.6111111111111105E-5</v>
      </c>
      <c r="W75" s="209">
        <f>IF(SUMIFS('Region Mapping'!$E:$E,'Region Mapping'!$A:$A,'Key inputs_Emissions'!W$39)&gt;0,'IPCC(2006)'!$D$69*1000/Legend!$B$86,'IPCC(2006)'!$H$69*1000/Legend!$B$86)</f>
        <v>2.0277777777777774E-4</v>
      </c>
      <c r="X75" s="209">
        <f>IF(SUMIFS('Region Mapping'!$E:$E,'Region Mapping'!$A:$A,'Key inputs_Emissions'!X$39)&gt;0,'IPCC(2006)'!$D$69*1000/Legend!$B$86,'IPCC(2006)'!$H$69*1000/Legend!$B$86)</f>
        <v>2.0277777777777774E-4</v>
      </c>
      <c r="Y75" s="209">
        <f>IF(SUMIFS('Region Mapping'!$E:$E,'Region Mapping'!$A:$A,'Key inputs_Emissions'!Y$39)&gt;0,'IPCC(2006)'!$D$69*1000/Legend!$B$86,'IPCC(2006)'!$H$69*1000/Legend!$B$86)</f>
        <v>2.0277777777777774E-4</v>
      </c>
      <c r="Z75" s="209">
        <f>IF(SUMIFS('Region Mapping'!$E:$E,'Region Mapping'!$A:$A,'Key inputs_Emissions'!Z$39)&gt;0,'IPCC(2006)'!$D$69*1000/Legend!$B$86,'IPCC(2006)'!$H$69*1000/Legend!$B$86)</f>
        <v>2.0277777777777774E-4</v>
      </c>
      <c r="AA75" s="209">
        <f>IF(SUMIFS('Region Mapping'!$E:$E,'Region Mapping'!$A:$A,'Key inputs_Emissions'!AA$39)&gt;0,'IPCC(2006)'!$D$69*1000/Legend!$B$86,'IPCC(2006)'!$H$69*1000/Legend!$B$86)</f>
        <v>2.0277777777777774E-4</v>
      </c>
      <c r="AB75" s="209">
        <f>IF(SUMIFS('Region Mapping'!$E:$E,'Region Mapping'!$A:$A,'Key inputs_Emissions'!AB$39)&gt;0,'IPCC(2006)'!$D$69*1000/Legend!$B$86,'IPCC(2006)'!$H$69*1000/Legend!$B$86)</f>
        <v>2.0277777777777774E-4</v>
      </c>
      <c r="AC75" s="209">
        <f>IF(SUMIFS('Region Mapping'!$E:$E,'Region Mapping'!$A:$A,'Key inputs_Emissions'!AC$39)&gt;0,'IPCC(2006)'!$D$69*1000/Legend!$B$86,'IPCC(2006)'!$H$69*1000/Legend!$B$86)</f>
        <v>8.6111111111111105E-5</v>
      </c>
      <c r="AD75" s="220">
        <f>IF(SUMIFS('Region Mapping'!$E:$E,'Region Mapping'!$A:$A,'Key inputs_Emissions'!AD$39)&gt;0,'IPCC(2006)'!$D$69*1000/Legend!$B$86,'IPCC(2006)'!$H$69*1000/Legend!$B$86)</f>
        <v>8.6111111111111105E-5</v>
      </c>
    </row>
    <row r="76" spans="1:30">
      <c r="A76" s="215" t="s">
        <v>1004</v>
      </c>
      <c r="B76" t="s">
        <v>1005</v>
      </c>
      <c r="C76" s="209">
        <f>IF(SUMIFS('Region Mapping'!$E:$E,'Region Mapping'!$A:$A,'Key inputs_Emissions'!C$39)&gt;0,'IPCC(2006)'!$D$73*1000/Legend!$B$86,'IPCC(2006)'!$H$73*1000/Legend!$B$86)</f>
        <v>3.8888888888888883E-3</v>
      </c>
      <c r="D76" s="209">
        <f>IF(SUMIFS('Region Mapping'!$E:$E,'Region Mapping'!$A:$A,'Key inputs_Emissions'!D$39)&gt;0,'IPCC(2006)'!$D$73*1000/Legend!$B$86,'IPCC(2006)'!$H$73*1000/Legend!$B$86)</f>
        <v>3.8888888888888883E-3</v>
      </c>
      <c r="E76" s="209">
        <f>IF(SUMIFS('Region Mapping'!$E:$E,'Region Mapping'!$A:$A,'Key inputs_Emissions'!E$39)&gt;0,'IPCC(2006)'!$D$73*1000/Legend!$B$86,'IPCC(2006)'!$H$73*1000/Legend!$B$86)</f>
        <v>3.8888888888888883E-3</v>
      </c>
      <c r="F76" s="209">
        <f>IF(SUMIFS('Region Mapping'!$E:$E,'Region Mapping'!$A:$A,'Key inputs_Emissions'!F$39)&gt;0,'IPCC(2006)'!$D$73*1000/Legend!$B$86,'IPCC(2006)'!$H$73*1000/Legend!$B$86)</f>
        <v>3.8888888888888883E-3</v>
      </c>
      <c r="G76" s="209">
        <f>IF(SUMIFS('Region Mapping'!$E:$E,'Region Mapping'!$A:$A,'Key inputs_Emissions'!G$39)&gt;0,'IPCC(2006)'!$D$73*1000/Legend!$B$86,'IPCC(2006)'!$H$73*1000/Legend!$B$86)</f>
        <v>1.4166666666666666E-3</v>
      </c>
      <c r="H76" s="209">
        <f>IF(SUMIFS('Region Mapping'!$E:$E,'Region Mapping'!$A:$A,'Key inputs_Emissions'!H$39)&gt;0,'IPCC(2006)'!$D$73*1000/Legend!$B$86,'IPCC(2006)'!$H$73*1000/Legend!$B$86)</f>
        <v>3.8888888888888883E-3</v>
      </c>
      <c r="I76" s="209">
        <f>IF(SUMIFS('Region Mapping'!$E:$E,'Region Mapping'!$A:$A,'Key inputs_Emissions'!I$39)&gt;0,'IPCC(2006)'!$D$73*1000/Legend!$B$86,'IPCC(2006)'!$H$73*1000/Legend!$B$86)</f>
        <v>3.8888888888888883E-3</v>
      </c>
      <c r="J76" s="209">
        <f>IF(SUMIFS('Region Mapping'!$E:$E,'Region Mapping'!$A:$A,'Key inputs_Emissions'!J$39)&gt;0,'IPCC(2006)'!$D$73*1000/Legend!$B$86,'IPCC(2006)'!$H$73*1000/Legend!$B$86)</f>
        <v>3.8888888888888883E-3</v>
      </c>
      <c r="K76" s="209">
        <f>IF(SUMIFS('Region Mapping'!$E:$E,'Region Mapping'!$A:$A,'Key inputs_Emissions'!K$39)&gt;0,'IPCC(2006)'!$D$73*1000/Legend!$B$86,'IPCC(2006)'!$H$73*1000/Legend!$B$86)</f>
        <v>3.8888888888888883E-3</v>
      </c>
      <c r="L76" s="209">
        <f>IF(SUMIFS('Region Mapping'!$E:$E,'Region Mapping'!$A:$A,'Key inputs_Emissions'!L$39)&gt;0,'IPCC(2006)'!$D$73*1000/Legend!$B$86,'IPCC(2006)'!$H$73*1000/Legend!$B$86)</f>
        <v>1.4166666666666666E-3</v>
      </c>
      <c r="M76" s="209">
        <f>IF(SUMIFS('Region Mapping'!$E:$E,'Region Mapping'!$A:$A,'Key inputs_Emissions'!M$39)&gt;0,'IPCC(2006)'!$D$73*1000/Legend!$B$86,'IPCC(2006)'!$H$73*1000/Legend!$B$86)</f>
        <v>3.8888888888888883E-3</v>
      </c>
      <c r="N76" s="209">
        <f>IF(SUMIFS('Region Mapping'!$E:$E,'Region Mapping'!$A:$A,'Key inputs_Emissions'!N$39)&gt;0,'IPCC(2006)'!$D$73*1000/Legend!$B$86,'IPCC(2006)'!$H$73*1000/Legend!$B$86)</f>
        <v>3.8888888888888883E-3</v>
      </c>
      <c r="O76" s="209">
        <f>IF(SUMIFS('Region Mapping'!$E:$E,'Region Mapping'!$A:$A,'Key inputs_Emissions'!O$39)&gt;0,'IPCC(2006)'!$D$73*1000/Legend!$B$86,'IPCC(2006)'!$H$73*1000/Legend!$B$86)</f>
        <v>3.8888888888888883E-3</v>
      </c>
      <c r="P76" s="209">
        <f>IF(SUMIFS('Region Mapping'!$E:$E,'Region Mapping'!$A:$A,'Key inputs_Emissions'!P$39)&gt;0,'IPCC(2006)'!$D$73*1000/Legend!$B$86,'IPCC(2006)'!$H$73*1000/Legend!$B$86)</f>
        <v>1.4166666666666666E-3</v>
      </c>
      <c r="Q76" s="209">
        <f>IF(SUMIFS('Region Mapping'!$E:$E,'Region Mapping'!$A:$A,'Key inputs_Emissions'!Q$39)&gt;0,'IPCC(2006)'!$D$73*1000/Legend!$B$86,'IPCC(2006)'!$H$73*1000/Legend!$B$86)</f>
        <v>1.4166666666666666E-3</v>
      </c>
      <c r="R76" s="209">
        <f>IF(SUMIFS('Region Mapping'!$E:$E,'Region Mapping'!$A:$A,'Key inputs_Emissions'!R$39)&gt;0,'IPCC(2006)'!$D$73*1000/Legend!$B$86,'IPCC(2006)'!$H$73*1000/Legend!$B$86)</f>
        <v>1.4166666666666666E-3</v>
      </c>
      <c r="S76" s="209">
        <f>IF(SUMIFS('Region Mapping'!$E:$E,'Region Mapping'!$A:$A,'Key inputs_Emissions'!S$39)&gt;0,'IPCC(2006)'!$D$73*1000/Legend!$B$86,'IPCC(2006)'!$H$73*1000/Legend!$B$86)</f>
        <v>1.4166666666666666E-3</v>
      </c>
      <c r="T76" s="209">
        <f>IF(SUMIFS('Region Mapping'!$E:$E,'Region Mapping'!$A:$A,'Key inputs_Emissions'!T$39)&gt;0,'IPCC(2006)'!$D$73*1000/Legend!$B$86,'IPCC(2006)'!$H$73*1000/Legend!$B$86)</f>
        <v>3.8888888888888883E-3</v>
      </c>
      <c r="U76" s="209">
        <f>IF(SUMIFS('Region Mapping'!$E:$E,'Region Mapping'!$A:$A,'Key inputs_Emissions'!U$39)&gt;0,'IPCC(2006)'!$D$73*1000/Legend!$B$86,'IPCC(2006)'!$H$73*1000/Legend!$B$86)</f>
        <v>3.8888888888888883E-3</v>
      </c>
      <c r="V76" s="209">
        <f>IF(SUMIFS('Region Mapping'!$E:$E,'Region Mapping'!$A:$A,'Key inputs_Emissions'!V$39)&gt;0,'IPCC(2006)'!$D$73*1000/Legend!$B$86,'IPCC(2006)'!$H$73*1000/Legend!$B$86)</f>
        <v>1.4166666666666666E-3</v>
      </c>
      <c r="W76" s="209">
        <f>IF(SUMIFS('Region Mapping'!$E:$E,'Region Mapping'!$A:$A,'Key inputs_Emissions'!W$39)&gt;0,'IPCC(2006)'!$D$73*1000/Legend!$B$86,'IPCC(2006)'!$H$73*1000/Legend!$B$86)</f>
        <v>3.8888888888888883E-3</v>
      </c>
      <c r="X76" s="209">
        <f>IF(SUMIFS('Region Mapping'!$E:$E,'Region Mapping'!$A:$A,'Key inputs_Emissions'!X$39)&gt;0,'IPCC(2006)'!$D$73*1000/Legend!$B$86,'IPCC(2006)'!$H$73*1000/Legend!$B$86)</f>
        <v>3.8888888888888883E-3</v>
      </c>
      <c r="Y76" s="209">
        <f>IF(SUMIFS('Region Mapping'!$E:$E,'Region Mapping'!$A:$A,'Key inputs_Emissions'!Y$39)&gt;0,'IPCC(2006)'!$D$73*1000/Legend!$B$86,'IPCC(2006)'!$H$73*1000/Legend!$B$86)</f>
        <v>3.8888888888888883E-3</v>
      </c>
      <c r="Z76" s="209">
        <f>IF(SUMIFS('Region Mapping'!$E:$E,'Region Mapping'!$A:$A,'Key inputs_Emissions'!Z$39)&gt;0,'IPCC(2006)'!$D$73*1000/Legend!$B$86,'IPCC(2006)'!$H$73*1000/Legend!$B$86)</f>
        <v>3.8888888888888883E-3</v>
      </c>
      <c r="AA76" s="209">
        <f>IF(SUMIFS('Region Mapping'!$E:$E,'Region Mapping'!$A:$A,'Key inputs_Emissions'!AA$39)&gt;0,'IPCC(2006)'!$D$73*1000/Legend!$B$86,'IPCC(2006)'!$H$73*1000/Legend!$B$86)</f>
        <v>3.8888888888888883E-3</v>
      </c>
      <c r="AB76" s="209">
        <f>IF(SUMIFS('Region Mapping'!$E:$E,'Region Mapping'!$A:$A,'Key inputs_Emissions'!AB$39)&gt;0,'IPCC(2006)'!$D$73*1000/Legend!$B$86,'IPCC(2006)'!$H$73*1000/Legend!$B$86)</f>
        <v>3.8888888888888883E-3</v>
      </c>
      <c r="AC76" s="209">
        <f>IF(SUMIFS('Region Mapping'!$E:$E,'Region Mapping'!$A:$A,'Key inputs_Emissions'!AC$39)&gt;0,'IPCC(2006)'!$D$73*1000/Legend!$B$86,'IPCC(2006)'!$H$73*1000/Legend!$B$86)</f>
        <v>1.4166666666666666E-3</v>
      </c>
      <c r="AD76" s="220">
        <f>IF(SUMIFS('Region Mapping'!$E:$E,'Region Mapping'!$A:$A,'Key inputs_Emissions'!AD$39)&gt;0,'IPCC(2006)'!$D$73*1000/Legend!$B$86,'IPCC(2006)'!$H$73*1000/Legend!$B$86)</f>
        <v>1.4166666666666666E-3</v>
      </c>
    </row>
    <row r="77" spans="1:30">
      <c r="A77" s="215" t="s">
        <v>1006</v>
      </c>
      <c r="B77" t="s">
        <v>1007</v>
      </c>
      <c r="C77" s="209">
        <f>IF(SUMIFS('Region Mapping'!$E:$E,'Region Mapping'!$A:$A,'Key inputs_Emissions'!C$39)&gt;0,'IPCC(2006)'!$D$75*1000/Legend!$B$96,'IPCC(2006)'!$H$75*1000/Legend!$B$96)</f>
        <v>2.5174825174825174E-4</v>
      </c>
      <c r="D77" s="209">
        <f>IF(SUMIFS('Region Mapping'!$E:$E,'Region Mapping'!$A:$A,'Key inputs_Emissions'!D$39)&gt;0,'IPCC(2006)'!$D$75*1000/Legend!$B$96,'IPCC(2006)'!$H$75*1000/Legend!$B$96)</f>
        <v>2.5174825174825174E-4</v>
      </c>
      <c r="E77" s="209">
        <f>IF(SUMIFS('Region Mapping'!$E:$E,'Region Mapping'!$A:$A,'Key inputs_Emissions'!E$39)&gt;0,'IPCC(2006)'!$D$75*1000/Legend!$B$96,'IPCC(2006)'!$H$75*1000/Legend!$B$96)</f>
        <v>2.5174825174825174E-4</v>
      </c>
      <c r="F77" s="209">
        <f>IF(SUMIFS('Region Mapping'!$E:$E,'Region Mapping'!$A:$A,'Key inputs_Emissions'!F$39)&gt;0,'IPCC(2006)'!$D$75*1000/Legend!$B$96,'IPCC(2006)'!$H$75*1000/Legend!$B$96)</f>
        <v>2.5174825174825174E-4</v>
      </c>
      <c r="G77" s="209">
        <f>IF(SUMIFS('Region Mapping'!$E:$E,'Region Mapping'!$A:$A,'Key inputs_Emissions'!G$39)&gt;0,'IPCC(2006)'!$D$75*1000/Legend!$B$96,'IPCC(2006)'!$H$75*1000/Legend!$B$96)</f>
        <v>2.5174825174825174E-4</v>
      </c>
      <c r="H77" s="209">
        <f>IF(SUMIFS('Region Mapping'!$E:$E,'Region Mapping'!$A:$A,'Key inputs_Emissions'!H$39)&gt;0,'IPCC(2006)'!$D$75*1000/Legend!$B$96,'IPCC(2006)'!$H$75*1000/Legend!$B$96)</f>
        <v>2.5174825174825174E-4</v>
      </c>
      <c r="I77" s="209">
        <f>IF(SUMIFS('Region Mapping'!$E:$E,'Region Mapping'!$A:$A,'Key inputs_Emissions'!I$39)&gt;0,'IPCC(2006)'!$D$75*1000/Legend!$B$96,'IPCC(2006)'!$H$75*1000/Legend!$B$96)</f>
        <v>2.5174825174825174E-4</v>
      </c>
      <c r="J77" s="209">
        <f>IF(SUMIFS('Region Mapping'!$E:$E,'Region Mapping'!$A:$A,'Key inputs_Emissions'!J$39)&gt;0,'IPCC(2006)'!$D$75*1000/Legend!$B$96,'IPCC(2006)'!$H$75*1000/Legend!$B$96)</f>
        <v>2.5174825174825174E-4</v>
      </c>
      <c r="K77" s="209">
        <f>IF(SUMIFS('Region Mapping'!$E:$E,'Region Mapping'!$A:$A,'Key inputs_Emissions'!K$39)&gt;0,'IPCC(2006)'!$D$75*1000/Legend!$B$96,'IPCC(2006)'!$H$75*1000/Legend!$B$96)</f>
        <v>2.5174825174825174E-4</v>
      </c>
      <c r="L77" s="209">
        <f>IF(SUMIFS('Region Mapping'!$E:$E,'Region Mapping'!$A:$A,'Key inputs_Emissions'!L$39)&gt;0,'IPCC(2006)'!$D$75*1000/Legend!$B$96,'IPCC(2006)'!$H$75*1000/Legend!$B$96)</f>
        <v>2.5174825174825174E-4</v>
      </c>
      <c r="M77" s="209">
        <f>IF(SUMIFS('Region Mapping'!$E:$E,'Region Mapping'!$A:$A,'Key inputs_Emissions'!M$39)&gt;0,'IPCC(2006)'!$D$75*1000/Legend!$B$96,'IPCC(2006)'!$H$75*1000/Legend!$B$96)</f>
        <v>2.5174825174825174E-4</v>
      </c>
      <c r="N77" s="209">
        <f>IF(SUMIFS('Region Mapping'!$E:$E,'Region Mapping'!$A:$A,'Key inputs_Emissions'!N$39)&gt;0,'IPCC(2006)'!$D$75*1000/Legend!$B$96,'IPCC(2006)'!$H$75*1000/Legend!$B$96)</f>
        <v>2.5174825174825174E-4</v>
      </c>
      <c r="O77" s="209">
        <f>IF(SUMIFS('Region Mapping'!$E:$E,'Region Mapping'!$A:$A,'Key inputs_Emissions'!O$39)&gt;0,'IPCC(2006)'!$D$75*1000/Legend!$B$96,'IPCC(2006)'!$H$75*1000/Legend!$B$96)</f>
        <v>2.5174825174825174E-4</v>
      </c>
      <c r="P77" s="209">
        <f>IF(SUMIFS('Region Mapping'!$E:$E,'Region Mapping'!$A:$A,'Key inputs_Emissions'!P$39)&gt;0,'IPCC(2006)'!$D$75*1000/Legend!$B$96,'IPCC(2006)'!$H$75*1000/Legend!$B$96)</f>
        <v>2.5174825174825174E-4</v>
      </c>
      <c r="Q77" s="209">
        <f>IF(SUMIFS('Region Mapping'!$E:$E,'Region Mapping'!$A:$A,'Key inputs_Emissions'!Q$39)&gt;0,'IPCC(2006)'!$D$75*1000/Legend!$B$96,'IPCC(2006)'!$H$75*1000/Legend!$B$96)</f>
        <v>2.5174825174825174E-4</v>
      </c>
      <c r="R77" s="209">
        <f>IF(SUMIFS('Region Mapping'!$E:$E,'Region Mapping'!$A:$A,'Key inputs_Emissions'!R$39)&gt;0,'IPCC(2006)'!$D$75*1000/Legend!$B$96,'IPCC(2006)'!$H$75*1000/Legend!$B$96)</f>
        <v>2.5174825174825174E-4</v>
      </c>
      <c r="S77" s="209">
        <f>IF(SUMIFS('Region Mapping'!$E:$E,'Region Mapping'!$A:$A,'Key inputs_Emissions'!S$39)&gt;0,'IPCC(2006)'!$D$75*1000/Legend!$B$96,'IPCC(2006)'!$H$75*1000/Legend!$B$96)</f>
        <v>2.5174825174825174E-4</v>
      </c>
      <c r="T77" s="209">
        <f>IF(SUMIFS('Region Mapping'!$E:$E,'Region Mapping'!$A:$A,'Key inputs_Emissions'!T$39)&gt;0,'IPCC(2006)'!$D$75*1000/Legend!$B$96,'IPCC(2006)'!$H$75*1000/Legend!$B$96)</f>
        <v>2.5174825174825174E-4</v>
      </c>
      <c r="U77" s="209">
        <f>IF(SUMIFS('Region Mapping'!$E:$E,'Region Mapping'!$A:$A,'Key inputs_Emissions'!U$39)&gt;0,'IPCC(2006)'!$D$75*1000/Legend!$B$96,'IPCC(2006)'!$H$75*1000/Legend!$B$96)</f>
        <v>2.5174825174825174E-4</v>
      </c>
      <c r="V77" s="209">
        <f>IF(SUMIFS('Region Mapping'!$E:$E,'Region Mapping'!$A:$A,'Key inputs_Emissions'!V$39)&gt;0,'IPCC(2006)'!$D$75*1000/Legend!$B$96,'IPCC(2006)'!$H$75*1000/Legend!$B$96)</f>
        <v>2.5174825174825174E-4</v>
      </c>
      <c r="W77" s="209">
        <f>IF(SUMIFS('Region Mapping'!$E:$E,'Region Mapping'!$A:$A,'Key inputs_Emissions'!W$39)&gt;0,'IPCC(2006)'!$D$75*1000/Legend!$B$96,'IPCC(2006)'!$H$75*1000/Legend!$B$96)</f>
        <v>2.5174825174825174E-4</v>
      </c>
      <c r="X77" s="209">
        <f>IF(SUMIFS('Region Mapping'!$E:$E,'Region Mapping'!$A:$A,'Key inputs_Emissions'!X$39)&gt;0,'IPCC(2006)'!$D$75*1000/Legend!$B$96,'IPCC(2006)'!$H$75*1000/Legend!$B$96)</f>
        <v>2.5174825174825174E-4</v>
      </c>
      <c r="Y77" s="209">
        <f>IF(SUMIFS('Region Mapping'!$E:$E,'Region Mapping'!$A:$A,'Key inputs_Emissions'!Y$39)&gt;0,'IPCC(2006)'!$D$75*1000/Legend!$B$96,'IPCC(2006)'!$H$75*1000/Legend!$B$96)</f>
        <v>2.5174825174825174E-4</v>
      </c>
      <c r="Z77" s="209">
        <f>IF(SUMIFS('Region Mapping'!$E:$E,'Region Mapping'!$A:$A,'Key inputs_Emissions'!Z$39)&gt;0,'IPCC(2006)'!$D$75*1000/Legend!$B$96,'IPCC(2006)'!$H$75*1000/Legend!$B$96)</f>
        <v>2.5174825174825174E-4</v>
      </c>
      <c r="AA77" s="209">
        <f>IF(SUMIFS('Region Mapping'!$E:$E,'Region Mapping'!$A:$A,'Key inputs_Emissions'!AA$39)&gt;0,'IPCC(2006)'!$D$75*1000/Legend!$B$96,'IPCC(2006)'!$H$75*1000/Legend!$B$96)</f>
        <v>2.5174825174825174E-4</v>
      </c>
      <c r="AB77" s="209">
        <f>IF(SUMIFS('Region Mapping'!$E:$E,'Region Mapping'!$A:$A,'Key inputs_Emissions'!AB$39)&gt;0,'IPCC(2006)'!$D$75*1000/Legend!$B$96,'IPCC(2006)'!$H$75*1000/Legend!$B$96)</f>
        <v>2.5174825174825174E-4</v>
      </c>
      <c r="AC77" s="209">
        <f>IF(SUMIFS('Region Mapping'!$E:$E,'Region Mapping'!$A:$A,'Key inputs_Emissions'!AC$39)&gt;0,'IPCC(2006)'!$D$75*1000/Legend!$B$96,'IPCC(2006)'!$H$75*1000/Legend!$B$96)</f>
        <v>2.5174825174825174E-4</v>
      </c>
      <c r="AD77" s="220">
        <f>IF(SUMIFS('Region Mapping'!$E:$E,'Region Mapping'!$A:$A,'Key inputs_Emissions'!AD$39)&gt;0,'IPCC(2006)'!$D$75*1000/Legend!$B$96,'IPCC(2006)'!$H$75*1000/Legend!$B$96)</f>
        <v>2.5174825174825174E-4</v>
      </c>
    </row>
    <row r="78" spans="1:30">
      <c r="A78" s="215" t="s">
        <v>1008</v>
      </c>
      <c r="B78" t="s">
        <v>1009</v>
      </c>
      <c r="C78" s="209">
        <f>IF(SUMIFS('Region Mapping'!$E:$E,'Region Mapping'!$A:$A,'Key inputs_Emissions'!C$39)&gt;0,'IPCC(2006)'!$D$76*1000/Legend!$B$95,'IPCC(2006)'!$H$76*1000/Legend!$B$95)</f>
        <v>1.7622950819672131E-2</v>
      </c>
      <c r="D78" s="209">
        <f>IF(SUMIFS('Region Mapping'!$E:$E,'Region Mapping'!$A:$A,'Key inputs_Emissions'!D$39)&gt;0,'IPCC(2006)'!$D$76*1000/Legend!$B$95,'IPCC(2006)'!$H$76*1000/Legend!$B$95)</f>
        <v>1.7622950819672131E-2</v>
      </c>
      <c r="E78" s="209">
        <f>IF(SUMIFS('Region Mapping'!$E:$E,'Region Mapping'!$A:$A,'Key inputs_Emissions'!E$39)&gt;0,'IPCC(2006)'!$D$76*1000/Legend!$B$95,'IPCC(2006)'!$H$76*1000/Legend!$B$95)</f>
        <v>1.7622950819672131E-2</v>
      </c>
      <c r="F78" s="209">
        <f>IF(SUMIFS('Region Mapping'!$E:$E,'Region Mapping'!$A:$A,'Key inputs_Emissions'!F$39)&gt;0,'IPCC(2006)'!$D$76*1000/Legend!$B$95,'IPCC(2006)'!$H$76*1000/Legend!$B$95)</f>
        <v>1.7622950819672131E-2</v>
      </c>
      <c r="G78" s="209">
        <f>IF(SUMIFS('Region Mapping'!$E:$E,'Region Mapping'!$A:$A,'Key inputs_Emissions'!G$39)&gt;0,'IPCC(2006)'!$D$76*1000/Legend!$B$95,'IPCC(2006)'!$H$76*1000/Legend!$B$95)</f>
        <v>1.7622950819672131E-2</v>
      </c>
      <c r="H78" s="209">
        <f>IF(SUMIFS('Region Mapping'!$E:$E,'Region Mapping'!$A:$A,'Key inputs_Emissions'!H$39)&gt;0,'IPCC(2006)'!$D$76*1000/Legend!$B$95,'IPCC(2006)'!$H$76*1000/Legend!$B$95)</f>
        <v>1.7622950819672131E-2</v>
      </c>
      <c r="I78" s="209">
        <f>IF(SUMIFS('Region Mapping'!$E:$E,'Region Mapping'!$A:$A,'Key inputs_Emissions'!I$39)&gt;0,'IPCC(2006)'!$D$76*1000/Legend!$B$95,'IPCC(2006)'!$H$76*1000/Legend!$B$95)</f>
        <v>1.7622950819672131E-2</v>
      </c>
      <c r="J78" s="209">
        <f>IF(SUMIFS('Region Mapping'!$E:$E,'Region Mapping'!$A:$A,'Key inputs_Emissions'!J$39)&gt;0,'IPCC(2006)'!$D$76*1000/Legend!$B$95,'IPCC(2006)'!$H$76*1000/Legend!$B$95)</f>
        <v>1.7622950819672131E-2</v>
      </c>
      <c r="K78" s="209">
        <f>IF(SUMIFS('Region Mapping'!$E:$E,'Region Mapping'!$A:$A,'Key inputs_Emissions'!K$39)&gt;0,'IPCC(2006)'!$D$76*1000/Legend!$B$95,'IPCC(2006)'!$H$76*1000/Legend!$B$95)</f>
        <v>1.7622950819672131E-2</v>
      </c>
      <c r="L78" s="209">
        <f>IF(SUMIFS('Region Mapping'!$E:$E,'Region Mapping'!$A:$A,'Key inputs_Emissions'!L$39)&gt;0,'IPCC(2006)'!$D$76*1000/Legend!$B$95,'IPCC(2006)'!$H$76*1000/Legend!$B$95)</f>
        <v>1.7622950819672131E-2</v>
      </c>
      <c r="M78" s="209">
        <f>IF(SUMIFS('Region Mapping'!$E:$E,'Region Mapping'!$A:$A,'Key inputs_Emissions'!M$39)&gt;0,'IPCC(2006)'!$D$76*1000/Legend!$B$95,'IPCC(2006)'!$H$76*1000/Legend!$B$95)</f>
        <v>1.7622950819672131E-2</v>
      </c>
      <c r="N78" s="209">
        <f>IF(SUMIFS('Region Mapping'!$E:$E,'Region Mapping'!$A:$A,'Key inputs_Emissions'!N$39)&gt;0,'IPCC(2006)'!$D$76*1000/Legend!$B$95,'IPCC(2006)'!$H$76*1000/Legend!$B$95)</f>
        <v>1.7622950819672131E-2</v>
      </c>
      <c r="O78" s="209">
        <f>IF(SUMIFS('Region Mapping'!$E:$E,'Region Mapping'!$A:$A,'Key inputs_Emissions'!O$39)&gt;0,'IPCC(2006)'!$D$76*1000/Legend!$B$95,'IPCC(2006)'!$H$76*1000/Legend!$B$95)</f>
        <v>1.7622950819672131E-2</v>
      </c>
      <c r="P78" s="209">
        <f>IF(SUMIFS('Region Mapping'!$E:$E,'Region Mapping'!$A:$A,'Key inputs_Emissions'!P$39)&gt;0,'IPCC(2006)'!$D$76*1000/Legend!$B$95,'IPCC(2006)'!$H$76*1000/Legend!$B$95)</f>
        <v>1.7622950819672131E-2</v>
      </c>
      <c r="Q78" s="209">
        <f>IF(SUMIFS('Region Mapping'!$E:$E,'Region Mapping'!$A:$A,'Key inputs_Emissions'!Q$39)&gt;0,'IPCC(2006)'!$D$76*1000/Legend!$B$95,'IPCC(2006)'!$H$76*1000/Legend!$B$95)</f>
        <v>1.7622950819672131E-2</v>
      </c>
      <c r="R78" s="209">
        <f>IF(SUMIFS('Region Mapping'!$E:$E,'Region Mapping'!$A:$A,'Key inputs_Emissions'!R$39)&gt;0,'IPCC(2006)'!$D$76*1000/Legend!$B$95,'IPCC(2006)'!$H$76*1000/Legend!$B$95)</f>
        <v>1.7622950819672131E-2</v>
      </c>
      <c r="S78" s="209">
        <f>IF(SUMIFS('Region Mapping'!$E:$E,'Region Mapping'!$A:$A,'Key inputs_Emissions'!S$39)&gt;0,'IPCC(2006)'!$D$76*1000/Legend!$B$95,'IPCC(2006)'!$H$76*1000/Legend!$B$95)</f>
        <v>1.7622950819672131E-2</v>
      </c>
      <c r="T78" s="209">
        <f>IF(SUMIFS('Region Mapping'!$E:$E,'Region Mapping'!$A:$A,'Key inputs_Emissions'!T$39)&gt;0,'IPCC(2006)'!$D$76*1000/Legend!$B$95,'IPCC(2006)'!$H$76*1000/Legend!$B$95)</f>
        <v>1.7622950819672131E-2</v>
      </c>
      <c r="U78" s="209">
        <f>IF(SUMIFS('Region Mapping'!$E:$E,'Region Mapping'!$A:$A,'Key inputs_Emissions'!U$39)&gt;0,'IPCC(2006)'!$D$76*1000/Legend!$B$95,'IPCC(2006)'!$H$76*1000/Legend!$B$95)</f>
        <v>1.7622950819672131E-2</v>
      </c>
      <c r="V78" s="209">
        <f>IF(SUMIFS('Region Mapping'!$E:$E,'Region Mapping'!$A:$A,'Key inputs_Emissions'!V$39)&gt;0,'IPCC(2006)'!$D$76*1000/Legend!$B$95,'IPCC(2006)'!$H$76*1000/Legend!$B$95)</f>
        <v>1.7622950819672131E-2</v>
      </c>
      <c r="W78" s="209">
        <f>IF(SUMIFS('Region Mapping'!$E:$E,'Region Mapping'!$A:$A,'Key inputs_Emissions'!W$39)&gt;0,'IPCC(2006)'!$D$76*1000/Legend!$B$95,'IPCC(2006)'!$H$76*1000/Legend!$B$95)</f>
        <v>1.7622950819672131E-2</v>
      </c>
      <c r="X78" s="209">
        <f>IF(SUMIFS('Region Mapping'!$E:$E,'Region Mapping'!$A:$A,'Key inputs_Emissions'!X$39)&gt;0,'IPCC(2006)'!$D$76*1000/Legend!$B$95,'IPCC(2006)'!$H$76*1000/Legend!$B$95)</f>
        <v>1.7622950819672131E-2</v>
      </c>
      <c r="Y78" s="209">
        <f>IF(SUMIFS('Region Mapping'!$E:$E,'Region Mapping'!$A:$A,'Key inputs_Emissions'!Y$39)&gt;0,'IPCC(2006)'!$D$76*1000/Legend!$B$95,'IPCC(2006)'!$H$76*1000/Legend!$B$95)</f>
        <v>1.7622950819672131E-2</v>
      </c>
      <c r="Z78" s="209">
        <f>IF(SUMIFS('Region Mapping'!$E:$E,'Region Mapping'!$A:$A,'Key inputs_Emissions'!Z$39)&gt;0,'IPCC(2006)'!$D$76*1000/Legend!$B$95,'IPCC(2006)'!$H$76*1000/Legend!$B$95)</f>
        <v>1.7622950819672131E-2</v>
      </c>
      <c r="AA78" s="209">
        <f>IF(SUMIFS('Region Mapping'!$E:$E,'Region Mapping'!$A:$A,'Key inputs_Emissions'!AA$39)&gt;0,'IPCC(2006)'!$D$76*1000/Legend!$B$95,'IPCC(2006)'!$H$76*1000/Legend!$B$95)</f>
        <v>1.7622950819672131E-2</v>
      </c>
      <c r="AB78" s="209">
        <f>IF(SUMIFS('Region Mapping'!$E:$E,'Region Mapping'!$A:$A,'Key inputs_Emissions'!AB$39)&gt;0,'IPCC(2006)'!$D$76*1000/Legend!$B$95,'IPCC(2006)'!$H$76*1000/Legend!$B$95)</f>
        <v>1.7622950819672131E-2</v>
      </c>
      <c r="AC78" s="209">
        <f>IF(SUMIFS('Region Mapping'!$E:$E,'Region Mapping'!$A:$A,'Key inputs_Emissions'!AC$39)&gt;0,'IPCC(2006)'!$D$76*1000/Legend!$B$95,'IPCC(2006)'!$H$76*1000/Legend!$B$95)</f>
        <v>1.7622950819672131E-2</v>
      </c>
      <c r="AD78" s="220">
        <f>IF(SUMIFS('Region Mapping'!$E:$E,'Region Mapping'!$A:$A,'Key inputs_Emissions'!AD$39)&gt;0,'IPCC(2006)'!$D$76*1000/Legend!$B$95,'IPCC(2006)'!$H$76*1000/Legend!$B$95)</f>
        <v>1.7622950819672131E-2</v>
      </c>
    </row>
    <row r="79" spans="1:30">
      <c r="A79" s="215" t="s">
        <v>1010</v>
      </c>
      <c r="B79" t="s">
        <v>1011</v>
      </c>
      <c r="C79" s="209">
        <f>IF(SUMIFS('Region Mapping'!$E:$E,'Region Mapping'!$A:$A,'Key inputs_Emissions'!C$39)&gt;0,'IPCC(2006)'!$D$77*1000/Legend!$B$86,'IPCC(2006)'!$H$77*1000/Legend!$B$86)</f>
        <v>0</v>
      </c>
      <c r="D79" s="209">
        <f>IF(SUMIFS('Region Mapping'!$E:$E,'Region Mapping'!$A:$A,'Key inputs_Emissions'!D$39)&gt;0,'IPCC(2006)'!$D$77*1000/Legend!$B$86,'IPCC(2006)'!$H$77*1000/Legend!$B$86)</f>
        <v>0</v>
      </c>
      <c r="E79" s="209">
        <f>IF(SUMIFS('Region Mapping'!$E:$E,'Region Mapping'!$A:$A,'Key inputs_Emissions'!E$39)&gt;0,'IPCC(2006)'!$D$77*1000/Legend!$B$86,'IPCC(2006)'!$H$77*1000/Legend!$B$86)</f>
        <v>0</v>
      </c>
      <c r="F79" s="209">
        <f>IF(SUMIFS('Region Mapping'!$E:$E,'Region Mapping'!$A:$A,'Key inputs_Emissions'!F$39)&gt;0,'IPCC(2006)'!$D$77*1000/Legend!$B$86,'IPCC(2006)'!$H$77*1000/Legend!$B$86)</f>
        <v>0</v>
      </c>
      <c r="G79" s="209">
        <f>IF(SUMIFS('Region Mapping'!$E:$E,'Region Mapping'!$A:$A,'Key inputs_Emissions'!G$39)&gt;0,'IPCC(2006)'!$D$77*1000/Legend!$B$86,'IPCC(2006)'!$H$77*1000/Legend!$B$86)</f>
        <v>0</v>
      </c>
      <c r="H79" s="209">
        <f>IF(SUMIFS('Region Mapping'!$E:$E,'Region Mapping'!$A:$A,'Key inputs_Emissions'!H$39)&gt;0,'IPCC(2006)'!$D$77*1000/Legend!$B$86,'IPCC(2006)'!$H$77*1000/Legend!$B$86)</f>
        <v>0</v>
      </c>
      <c r="I79" s="209">
        <f>IF(SUMIFS('Region Mapping'!$E:$E,'Region Mapping'!$A:$A,'Key inputs_Emissions'!I$39)&gt;0,'IPCC(2006)'!$D$77*1000/Legend!$B$86,'IPCC(2006)'!$H$77*1000/Legend!$B$86)</f>
        <v>0</v>
      </c>
      <c r="J79" s="209">
        <f>IF(SUMIFS('Region Mapping'!$E:$E,'Region Mapping'!$A:$A,'Key inputs_Emissions'!J$39)&gt;0,'IPCC(2006)'!$D$77*1000/Legend!$B$86,'IPCC(2006)'!$H$77*1000/Legend!$B$86)</f>
        <v>0</v>
      </c>
      <c r="K79" s="209">
        <f>IF(SUMIFS('Region Mapping'!$E:$E,'Region Mapping'!$A:$A,'Key inputs_Emissions'!K$39)&gt;0,'IPCC(2006)'!$D$77*1000/Legend!$B$86,'IPCC(2006)'!$H$77*1000/Legend!$B$86)</f>
        <v>0</v>
      </c>
      <c r="L79" s="209">
        <f>IF(SUMIFS('Region Mapping'!$E:$E,'Region Mapping'!$A:$A,'Key inputs_Emissions'!L$39)&gt;0,'IPCC(2006)'!$D$77*1000/Legend!$B$86,'IPCC(2006)'!$H$77*1000/Legend!$B$86)</f>
        <v>0</v>
      </c>
      <c r="M79" s="209">
        <f>IF(SUMIFS('Region Mapping'!$E:$E,'Region Mapping'!$A:$A,'Key inputs_Emissions'!M$39)&gt;0,'IPCC(2006)'!$D$77*1000/Legend!$B$86,'IPCC(2006)'!$H$77*1000/Legend!$B$86)</f>
        <v>0</v>
      </c>
      <c r="N79" s="209">
        <f>IF(SUMIFS('Region Mapping'!$E:$E,'Region Mapping'!$A:$A,'Key inputs_Emissions'!N$39)&gt;0,'IPCC(2006)'!$D$77*1000/Legend!$B$86,'IPCC(2006)'!$H$77*1000/Legend!$B$86)</f>
        <v>0</v>
      </c>
      <c r="O79" s="209">
        <f>IF(SUMIFS('Region Mapping'!$E:$E,'Region Mapping'!$A:$A,'Key inputs_Emissions'!O$39)&gt;0,'IPCC(2006)'!$D$77*1000/Legend!$B$86,'IPCC(2006)'!$H$77*1000/Legend!$B$86)</f>
        <v>0</v>
      </c>
      <c r="P79" s="209">
        <f>IF(SUMIFS('Region Mapping'!$E:$E,'Region Mapping'!$A:$A,'Key inputs_Emissions'!P$39)&gt;0,'IPCC(2006)'!$D$77*1000/Legend!$B$86,'IPCC(2006)'!$H$77*1000/Legend!$B$86)</f>
        <v>0</v>
      </c>
      <c r="Q79" s="209">
        <f>IF(SUMIFS('Region Mapping'!$E:$E,'Region Mapping'!$A:$A,'Key inputs_Emissions'!Q$39)&gt;0,'IPCC(2006)'!$D$77*1000/Legend!$B$86,'IPCC(2006)'!$H$77*1000/Legend!$B$86)</f>
        <v>0</v>
      </c>
      <c r="R79" s="209">
        <f>IF(SUMIFS('Region Mapping'!$E:$E,'Region Mapping'!$A:$A,'Key inputs_Emissions'!R$39)&gt;0,'IPCC(2006)'!$D$77*1000/Legend!$B$86,'IPCC(2006)'!$H$77*1000/Legend!$B$86)</f>
        <v>0</v>
      </c>
      <c r="S79" s="209">
        <f>IF(SUMIFS('Region Mapping'!$E:$E,'Region Mapping'!$A:$A,'Key inputs_Emissions'!S$39)&gt;0,'IPCC(2006)'!$D$77*1000/Legend!$B$86,'IPCC(2006)'!$H$77*1000/Legend!$B$86)</f>
        <v>0</v>
      </c>
      <c r="T79" s="209">
        <f>IF(SUMIFS('Region Mapping'!$E:$E,'Region Mapping'!$A:$A,'Key inputs_Emissions'!T$39)&gt;0,'IPCC(2006)'!$D$77*1000/Legend!$B$86,'IPCC(2006)'!$H$77*1000/Legend!$B$86)</f>
        <v>0</v>
      </c>
      <c r="U79" s="209">
        <f>IF(SUMIFS('Region Mapping'!$E:$E,'Region Mapping'!$A:$A,'Key inputs_Emissions'!U$39)&gt;0,'IPCC(2006)'!$D$77*1000/Legend!$B$86,'IPCC(2006)'!$H$77*1000/Legend!$B$86)</f>
        <v>0</v>
      </c>
      <c r="V79" s="209">
        <f>IF(SUMIFS('Region Mapping'!$E:$E,'Region Mapping'!$A:$A,'Key inputs_Emissions'!V$39)&gt;0,'IPCC(2006)'!$D$77*1000/Legend!$B$86,'IPCC(2006)'!$H$77*1000/Legend!$B$86)</f>
        <v>0</v>
      </c>
      <c r="W79" s="209">
        <f>IF(SUMIFS('Region Mapping'!$E:$E,'Region Mapping'!$A:$A,'Key inputs_Emissions'!W$39)&gt;0,'IPCC(2006)'!$D$77*1000/Legend!$B$86,'IPCC(2006)'!$H$77*1000/Legend!$B$86)</f>
        <v>0</v>
      </c>
      <c r="X79" s="209">
        <f>IF(SUMIFS('Region Mapping'!$E:$E,'Region Mapping'!$A:$A,'Key inputs_Emissions'!X$39)&gt;0,'IPCC(2006)'!$D$77*1000/Legend!$B$86,'IPCC(2006)'!$H$77*1000/Legend!$B$86)</f>
        <v>0</v>
      </c>
      <c r="Y79" s="209">
        <f>IF(SUMIFS('Region Mapping'!$E:$E,'Region Mapping'!$A:$A,'Key inputs_Emissions'!Y$39)&gt;0,'IPCC(2006)'!$D$77*1000/Legend!$B$86,'IPCC(2006)'!$H$77*1000/Legend!$B$86)</f>
        <v>0</v>
      </c>
      <c r="Z79" s="209">
        <f>IF(SUMIFS('Region Mapping'!$E:$E,'Region Mapping'!$A:$A,'Key inputs_Emissions'!Z$39)&gt;0,'IPCC(2006)'!$D$77*1000/Legend!$B$86,'IPCC(2006)'!$H$77*1000/Legend!$B$86)</f>
        <v>0</v>
      </c>
      <c r="AA79" s="209">
        <f>IF(SUMIFS('Region Mapping'!$E:$E,'Region Mapping'!$A:$A,'Key inputs_Emissions'!AA$39)&gt;0,'IPCC(2006)'!$D$77*1000/Legend!$B$86,'IPCC(2006)'!$H$77*1000/Legend!$B$86)</f>
        <v>0</v>
      </c>
      <c r="AB79" s="209">
        <f>IF(SUMIFS('Region Mapping'!$E:$E,'Region Mapping'!$A:$A,'Key inputs_Emissions'!AB$39)&gt;0,'IPCC(2006)'!$D$77*1000/Legend!$B$86,'IPCC(2006)'!$H$77*1000/Legend!$B$86)</f>
        <v>0</v>
      </c>
      <c r="AC79" s="209">
        <f>IF(SUMIFS('Region Mapping'!$E:$E,'Region Mapping'!$A:$A,'Key inputs_Emissions'!AC$39)&gt;0,'IPCC(2006)'!$D$77*1000/Legend!$B$86,'IPCC(2006)'!$H$77*1000/Legend!$B$86)</f>
        <v>0</v>
      </c>
      <c r="AD79" s="220">
        <f>IF(SUMIFS('Region Mapping'!$E:$E,'Region Mapping'!$A:$A,'Key inputs_Emissions'!AD$39)&gt;0,'IPCC(2006)'!$D$77*1000/Legend!$B$86,'IPCC(2006)'!$H$77*1000/Legend!$B$86)</f>
        <v>0</v>
      </c>
    </row>
    <row r="80" spans="1:30">
      <c r="A80" s="215" t="s">
        <v>1012</v>
      </c>
      <c r="B80" t="s">
        <v>1013</v>
      </c>
      <c r="C80" s="209">
        <f>IF(SUMIFS('Region Mapping'!$E:$E,'Region Mapping'!$A:$A,'Key inputs_Emissions'!C$39)&gt;0,('IPCC(2006)'!$D$79+'IPCC(2006)'!$D$80+'IPCC(2006)'!$D$81+'IPCC(2006)'!$D$82)*1000/(Legend!$B$83*Legend!$B$82*Legend!$B$84),('IPCC(2006)'!$H$79+'IPCC(2006)'!$H$80+'IPCC(2006)'!$H$81+'IPCC(2006)'!$H$82)*1000/(Legend!$B$83*Legend!$B$82*Legend!$B$84))</f>
        <v>4.0645040889530728</v>
      </c>
      <c r="D80" s="209">
        <f>IF(SUMIFS('Region Mapping'!$E:$E,'Region Mapping'!$A:$A,'Key inputs_Emissions'!D$39)&gt;0,('IPCC(2006)'!$D$79+'IPCC(2006)'!$D$80+'IPCC(2006)'!$D$81+'IPCC(2006)'!$D$82)*1000/(Legend!$B$83*Legend!$B$82*Legend!$B$84),('IPCC(2006)'!$H$79+'IPCC(2006)'!$H$80+'IPCC(2006)'!$H$81+'IPCC(2006)'!$H$82)*1000/(Legend!$B$83*Legend!$B$82*Legend!$B$84))</f>
        <v>4.0645040889530728</v>
      </c>
      <c r="E80" s="209">
        <f>IF(SUMIFS('Region Mapping'!$E:$E,'Region Mapping'!$A:$A,'Key inputs_Emissions'!E$39)&gt;0,('IPCC(2006)'!$D$79+'IPCC(2006)'!$D$80+'IPCC(2006)'!$D$81+'IPCC(2006)'!$D$82)*1000/(Legend!$B$83*Legend!$B$82*Legend!$B$84),('IPCC(2006)'!$H$79+'IPCC(2006)'!$H$80+'IPCC(2006)'!$H$81+'IPCC(2006)'!$H$82)*1000/(Legend!$B$83*Legend!$B$82*Legend!$B$84))</f>
        <v>4.0645040889530728</v>
      </c>
      <c r="F80" s="209">
        <f>IF(SUMIFS('Region Mapping'!$E:$E,'Region Mapping'!$A:$A,'Key inputs_Emissions'!F$39)&gt;0,('IPCC(2006)'!$D$79+'IPCC(2006)'!$D$80+'IPCC(2006)'!$D$81+'IPCC(2006)'!$D$82)*1000/(Legend!$B$83*Legend!$B$82*Legend!$B$84),('IPCC(2006)'!$H$79+'IPCC(2006)'!$H$80+'IPCC(2006)'!$H$81+'IPCC(2006)'!$H$82)*1000/(Legend!$B$83*Legend!$B$82*Legend!$B$84))</f>
        <v>4.0645040889530728</v>
      </c>
      <c r="G80" s="209">
        <f>IF(SUMIFS('Region Mapping'!$E:$E,'Region Mapping'!$A:$A,'Key inputs_Emissions'!G$39)&gt;0,('IPCC(2006)'!$D$79+'IPCC(2006)'!$D$80+'IPCC(2006)'!$D$81+'IPCC(2006)'!$D$82)*1000/(Legend!$B$83*Legend!$B$82*Legend!$B$84),('IPCC(2006)'!$H$79+'IPCC(2006)'!$H$80+'IPCC(2006)'!$H$81+'IPCC(2006)'!$H$82)*1000/(Legend!$B$83*Legend!$B$82*Legend!$B$84))</f>
        <v>0.24376579543922491</v>
      </c>
      <c r="H80" s="209">
        <f>IF(SUMIFS('Region Mapping'!$E:$E,'Region Mapping'!$A:$A,'Key inputs_Emissions'!H$39)&gt;0,('IPCC(2006)'!$D$79+'IPCC(2006)'!$D$80+'IPCC(2006)'!$D$81+'IPCC(2006)'!$D$82)*1000/(Legend!$B$83*Legend!$B$82*Legend!$B$84),('IPCC(2006)'!$H$79+'IPCC(2006)'!$H$80+'IPCC(2006)'!$H$81+'IPCC(2006)'!$H$82)*1000/(Legend!$B$83*Legend!$B$82*Legend!$B$84))</f>
        <v>4.0645040889530728</v>
      </c>
      <c r="I80" s="209">
        <f>IF(SUMIFS('Region Mapping'!$E:$E,'Region Mapping'!$A:$A,'Key inputs_Emissions'!I$39)&gt;0,('IPCC(2006)'!$D$79+'IPCC(2006)'!$D$80+'IPCC(2006)'!$D$81+'IPCC(2006)'!$D$82)*1000/(Legend!$B$83*Legend!$B$82*Legend!$B$84),('IPCC(2006)'!$H$79+'IPCC(2006)'!$H$80+'IPCC(2006)'!$H$81+'IPCC(2006)'!$H$82)*1000/(Legend!$B$83*Legend!$B$82*Legend!$B$84))</f>
        <v>4.0645040889530728</v>
      </c>
      <c r="J80" s="209">
        <f>IF(SUMIFS('Region Mapping'!$E:$E,'Region Mapping'!$A:$A,'Key inputs_Emissions'!J$39)&gt;0,('IPCC(2006)'!$D$79+'IPCC(2006)'!$D$80+'IPCC(2006)'!$D$81+'IPCC(2006)'!$D$82)*1000/(Legend!$B$83*Legend!$B$82*Legend!$B$84),('IPCC(2006)'!$H$79+'IPCC(2006)'!$H$80+'IPCC(2006)'!$H$81+'IPCC(2006)'!$H$82)*1000/(Legend!$B$83*Legend!$B$82*Legend!$B$84))</f>
        <v>4.0645040889530728</v>
      </c>
      <c r="K80" s="209">
        <f>IF(SUMIFS('Region Mapping'!$E:$E,'Region Mapping'!$A:$A,'Key inputs_Emissions'!K$39)&gt;0,('IPCC(2006)'!$D$79+'IPCC(2006)'!$D$80+'IPCC(2006)'!$D$81+'IPCC(2006)'!$D$82)*1000/(Legend!$B$83*Legend!$B$82*Legend!$B$84),('IPCC(2006)'!$H$79+'IPCC(2006)'!$H$80+'IPCC(2006)'!$H$81+'IPCC(2006)'!$H$82)*1000/(Legend!$B$83*Legend!$B$82*Legend!$B$84))</f>
        <v>4.0645040889530728</v>
      </c>
      <c r="L80" s="209">
        <f>IF(SUMIFS('Region Mapping'!$E:$E,'Region Mapping'!$A:$A,'Key inputs_Emissions'!L$39)&gt;0,('IPCC(2006)'!$D$79+'IPCC(2006)'!$D$80+'IPCC(2006)'!$D$81+'IPCC(2006)'!$D$82)*1000/(Legend!$B$83*Legend!$B$82*Legend!$B$84),('IPCC(2006)'!$H$79+'IPCC(2006)'!$H$80+'IPCC(2006)'!$H$81+'IPCC(2006)'!$H$82)*1000/(Legend!$B$83*Legend!$B$82*Legend!$B$84))</f>
        <v>0.24376579543922491</v>
      </c>
      <c r="M80" s="209">
        <f>IF(SUMIFS('Region Mapping'!$E:$E,'Region Mapping'!$A:$A,'Key inputs_Emissions'!M$39)&gt;0,('IPCC(2006)'!$D$79+'IPCC(2006)'!$D$80+'IPCC(2006)'!$D$81+'IPCC(2006)'!$D$82)*1000/(Legend!$B$83*Legend!$B$82*Legend!$B$84),('IPCC(2006)'!$H$79+'IPCC(2006)'!$H$80+'IPCC(2006)'!$H$81+'IPCC(2006)'!$H$82)*1000/(Legend!$B$83*Legend!$B$82*Legend!$B$84))</f>
        <v>4.0645040889530728</v>
      </c>
      <c r="N80" s="209">
        <f>IF(SUMIFS('Region Mapping'!$E:$E,'Region Mapping'!$A:$A,'Key inputs_Emissions'!N$39)&gt;0,('IPCC(2006)'!$D$79+'IPCC(2006)'!$D$80+'IPCC(2006)'!$D$81+'IPCC(2006)'!$D$82)*1000/(Legend!$B$83*Legend!$B$82*Legend!$B$84),('IPCC(2006)'!$H$79+'IPCC(2006)'!$H$80+'IPCC(2006)'!$H$81+'IPCC(2006)'!$H$82)*1000/(Legend!$B$83*Legend!$B$82*Legend!$B$84))</f>
        <v>4.0645040889530728</v>
      </c>
      <c r="O80" s="209">
        <f>IF(SUMIFS('Region Mapping'!$E:$E,'Region Mapping'!$A:$A,'Key inputs_Emissions'!O$39)&gt;0,('IPCC(2006)'!$D$79+'IPCC(2006)'!$D$80+'IPCC(2006)'!$D$81+'IPCC(2006)'!$D$82)*1000/(Legend!$B$83*Legend!$B$82*Legend!$B$84),('IPCC(2006)'!$H$79+'IPCC(2006)'!$H$80+'IPCC(2006)'!$H$81+'IPCC(2006)'!$H$82)*1000/(Legend!$B$83*Legend!$B$82*Legend!$B$84))</f>
        <v>4.0645040889530728</v>
      </c>
      <c r="P80" s="209">
        <f>IF(SUMIFS('Region Mapping'!$E:$E,'Region Mapping'!$A:$A,'Key inputs_Emissions'!P$39)&gt;0,('IPCC(2006)'!$D$79+'IPCC(2006)'!$D$80+'IPCC(2006)'!$D$81+'IPCC(2006)'!$D$82)*1000/(Legend!$B$83*Legend!$B$82*Legend!$B$84),('IPCC(2006)'!$H$79+'IPCC(2006)'!$H$80+'IPCC(2006)'!$H$81+'IPCC(2006)'!$H$82)*1000/(Legend!$B$83*Legend!$B$82*Legend!$B$84))</f>
        <v>0.24376579543922491</v>
      </c>
      <c r="Q80" s="209">
        <f>IF(SUMIFS('Region Mapping'!$E:$E,'Region Mapping'!$A:$A,'Key inputs_Emissions'!Q$39)&gt;0,('IPCC(2006)'!$D$79+'IPCC(2006)'!$D$80+'IPCC(2006)'!$D$81+'IPCC(2006)'!$D$82)*1000/(Legend!$B$83*Legend!$B$82*Legend!$B$84),('IPCC(2006)'!$H$79+'IPCC(2006)'!$H$80+'IPCC(2006)'!$H$81+'IPCC(2006)'!$H$82)*1000/(Legend!$B$83*Legend!$B$82*Legend!$B$84))</f>
        <v>0.24376579543922491</v>
      </c>
      <c r="R80" s="209">
        <f>IF(SUMIFS('Region Mapping'!$E:$E,'Region Mapping'!$A:$A,'Key inputs_Emissions'!R$39)&gt;0,('IPCC(2006)'!$D$79+'IPCC(2006)'!$D$80+'IPCC(2006)'!$D$81+'IPCC(2006)'!$D$82)*1000/(Legend!$B$83*Legend!$B$82*Legend!$B$84),('IPCC(2006)'!$H$79+'IPCC(2006)'!$H$80+'IPCC(2006)'!$H$81+'IPCC(2006)'!$H$82)*1000/(Legend!$B$83*Legend!$B$82*Legend!$B$84))</f>
        <v>0.24376579543922491</v>
      </c>
      <c r="S80" s="209">
        <f>IF(SUMIFS('Region Mapping'!$E:$E,'Region Mapping'!$A:$A,'Key inputs_Emissions'!S$39)&gt;0,('IPCC(2006)'!$D$79+'IPCC(2006)'!$D$80+'IPCC(2006)'!$D$81+'IPCC(2006)'!$D$82)*1000/(Legend!$B$83*Legend!$B$82*Legend!$B$84),('IPCC(2006)'!$H$79+'IPCC(2006)'!$H$80+'IPCC(2006)'!$H$81+'IPCC(2006)'!$H$82)*1000/(Legend!$B$83*Legend!$B$82*Legend!$B$84))</f>
        <v>0.24376579543922491</v>
      </c>
      <c r="T80" s="209">
        <f>IF(SUMIFS('Region Mapping'!$E:$E,'Region Mapping'!$A:$A,'Key inputs_Emissions'!T$39)&gt;0,('IPCC(2006)'!$D$79+'IPCC(2006)'!$D$80+'IPCC(2006)'!$D$81+'IPCC(2006)'!$D$82)*1000/(Legend!$B$83*Legend!$B$82*Legend!$B$84),('IPCC(2006)'!$H$79+'IPCC(2006)'!$H$80+'IPCC(2006)'!$H$81+'IPCC(2006)'!$H$82)*1000/(Legend!$B$83*Legend!$B$82*Legend!$B$84))</f>
        <v>4.0645040889530728</v>
      </c>
      <c r="U80" s="209">
        <f>IF(SUMIFS('Region Mapping'!$E:$E,'Region Mapping'!$A:$A,'Key inputs_Emissions'!U$39)&gt;0,('IPCC(2006)'!$D$79+'IPCC(2006)'!$D$80+'IPCC(2006)'!$D$81+'IPCC(2006)'!$D$82)*1000/(Legend!$B$83*Legend!$B$82*Legend!$B$84),('IPCC(2006)'!$H$79+'IPCC(2006)'!$H$80+'IPCC(2006)'!$H$81+'IPCC(2006)'!$H$82)*1000/(Legend!$B$83*Legend!$B$82*Legend!$B$84))</f>
        <v>4.0645040889530728</v>
      </c>
      <c r="V80" s="209">
        <f>IF(SUMIFS('Region Mapping'!$E:$E,'Region Mapping'!$A:$A,'Key inputs_Emissions'!V$39)&gt;0,('IPCC(2006)'!$D$79+'IPCC(2006)'!$D$80+'IPCC(2006)'!$D$81+'IPCC(2006)'!$D$82)*1000/(Legend!$B$83*Legend!$B$82*Legend!$B$84),('IPCC(2006)'!$H$79+'IPCC(2006)'!$H$80+'IPCC(2006)'!$H$81+'IPCC(2006)'!$H$82)*1000/(Legend!$B$83*Legend!$B$82*Legend!$B$84))</f>
        <v>0.24376579543922491</v>
      </c>
      <c r="W80" s="209">
        <f>IF(SUMIFS('Region Mapping'!$E:$E,'Region Mapping'!$A:$A,'Key inputs_Emissions'!W$39)&gt;0,('IPCC(2006)'!$D$79+'IPCC(2006)'!$D$80+'IPCC(2006)'!$D$81+'IPCC(2006)'!$D$82)*1000/(Legend!$B$83*Legend!$B$82*Legend!$B$84),('IPCC(2006)'!$H$79+'IPCC(2006)'!$H$80+'IPCC(2006)'!$H$81+'IPCC(2006)'!$H$82)*1000/(Legend!$B$83*Legend!$B$82*Legend!$B$84))</f>
        <v>4.0645040889530728</v>
      </c>
      <c r="X80" s="209">
        <f>IF(SUMIFS('Region Mapping'!$E:$E,'Region Mapping'!$A:$A,'Key inputs_Emissions'!X$39)&gt;0,('IPCC(2006)'!$D$79+'IPCC(2006)'!$D$80+'IPCC(2006)'!$D$81+'IPCC(2006)'!$D$82)*1000/(Legend!$B$83*Legend!$B$82*Legend!$B$84),('IPCC(2006)'!$H$79+'IPCC(2006)'!$H$80+'IPCC(2006)'!$H$81+'IPCC(2006)'!$H$82)*1000/(Legend!$B$83*Legend!$B$82*Legend!$B$84))</f>
        <v>4.0645040889530728</v>
      </c>
      <c r="Y80" s="209">
        <f>IF(SUMIFS('Region Mapping'!$E:$E,'Region Mapping'!$A:$A,'Key inputs_Emissions'!Y$39)&gt;0,('IPCC(2006)'!$D$79+'IPCC(2006)'!$D$80+'IPCC(2006)'!$D$81+'IPCC(2006)'!$D$82)*1000/(Legend!$B$83*Legend!$B$82*Legend!$B$84),('IPCC(2006)'!$H$79+'IPCC(2006)'!$H$80+'IPCC(2006)'!$H$81+'IPCC(2006)'!$H$82)*1000/(Legend!$B$83*Legend!$B$82*Legend!$B$84))</f>
        <v>4.0645040889530728</v>
      </c>
      <c r="Z80" s="209">
        <f>IF(SUMIFS('Region Mapping'!$E:$E,'Region Mapping'!$A:$A,'Key inputs_Emissions'!Z$39)&gt;0,('IPCC(2006)'!$D$79+'IPCC(2006)'!$D$80+'IPCC(2006)'!$D$81+'IPCC(2006)'!$D$82)*1000/(Legend!$B$83*Legend!$B$82*Legend!$B$84),('IPCC(2006)'!$H$79+'IPCC(2006)'!$H$80+'IPCC(2006)'!$H$81+'IPCC(2006)'!$H$82)*1000/(Legend!$B$83*Legend!$B$82*Legend!$B$84))</f>
        <v>4.0645040889530728</v>
      </c>
      <c r="AA80" s="209">
        <f>IF(SUMIFS('Region Mapping'!$E:$E,'Region Mapping'!$A:$A,'Key inputs_Emissions'!AA$39)&gt;0,('IPCC(2006)'!$D$79+'IPCC(2006)'!$D$80+'IPCC(2006)'!$D$81+'IPCC(2006)'!$D$82)*1000/(Legend!$B$83*Legend!$B$82*Legend!$B$84),('IPCC(2006)'!$H$79+'IPCC(2006)'!$H$80+'IPCC(2006)'!$H$81+'IPCC(2006)'!$H$82)*1000/(Legend!$B$83*Legend!$B$82*Legend!$B$84))</f>
        <v>4.0645040889530728</v>
      </c>
      <c r="AB80" s="209">
        <f>IF(SUMIFS('Region Mapping'!$E:$E,'Region Mapping'!$A:$A,'Key inputs_Emissions'!AB$39)&gt;0,('IPCC(2006)'!$D$79+'IPCC(2006)'!$D$80+'IPCC(2006)'!$D$81+'IPCC(2006)'!$D$82)*1000/(Legend!$B$83*Legend!$B$82*Legend!$B$84),('IPCC(2006)'!$H$79+'IPCC(2006)'!$H$80+'IPCC(2006)'!$H$81+'IPCC(2006)'!$H$82)*1000/(Legend!$B$83*Legend!$B$82*Legend!$B$84))</f>
        <v>4.0645040889530728</v>
      </c>
      <c r="AC80" s="209">
        <f>IF(SUMIFS('Region Mapping'!$E:$E,'Region Mapping'!$A:$A,'Key inputs_Emissions'!AC$39)&gt;0,('IPCC(2006)'!$D$79+'IPCC(2006)'!$D$80+'IPCC(2006)'!$D$81+'IPCC(2006)'!$D$82)*1000/(Legend!$B$83*Legend!$B$82*Legend!$B$84),('IPCC(2006)'!$H$79+'IPCC(2006)'!$H$80+'IPCC(2006)'!$H$81+'IPCC(2006)'!$H$82)*1000/(Legend!$B$83*Legend!$B$82*Legend!$B$84))</f>
        <v>0.24376579543922491</v>
      </c>
      <c r="AD80" s="220">
        <f>IF(SUMIFS('Region Mapping'!$E:$E,'Region Mapping'!$A:$A,'Key inputs_Emissions'!AD$39)&gt;0,('IPCC(2006)'!$D$79+'IPCC(2006)'!$D$80+'IPCC(2006)'!$D$81+'IPCC(2006)'!$D$82)*1000/(Legend!$B$83*Legend!$B$82*Legend!$B$84),('IPCC(2006)'!$H$79+'IPCC(2006)'!$H$80+'IPCC(2006)'!$H$81+'IPCC(2006)'!$H$82)*1000/(Legend!$B$83*Legend!$B$82*Legend!$B$84))</f>
        <v>0.24376579543922491</v>
      </c>
    </row>
    <row r="81" spans="1:30">
      <c r="A81" s="215" t="s">
        <v>1014</v>
      </c>
      <c r="B81" t="s">
        <v>1013</v>
      </c>
      <c r="C81" s="209">
        <f>IF(SUMIFS('Region Mapping'!$E:$E,'Region Mapping'!$A:$A,'Key inputs_Emissions'!C$39)&gt;0,'IPCC(2006)'!$D$83*1000/(Legend!$B$83*Legend!$B$82*Legend!$B$84),'IPCC(2006)'!$H$83*1000/(Legend!$B$83*Legend!$B$82*Legend!$B$84))</f>
        <v>6.4956404203632759E-2</v>
      </c>
      <c r="D81" s="209">
        <f>IF(SUMIFS('Region Mapping'!$E:$E,'Region Mapping'!$A:$A,'Key inputs_Emissions'!D$39)&gt;0,'IPCC(2006)'!$D$83*1000/(Legend!$B$83*Legend!$B$82*Legend!$B$84),'IPCC(2006)'!$H$83*1000/(Legend!$B$83*Legend!$B$82*Legend!$B$84))</f>
        <v>6.4956404203632759E-2</v>
      </c>
      <c r="E81" s="209">
        <f>IF(SUMIFS('Region Mapping'!$E:$E,'Region Mapping'!$A:$A,'Key inputs_Emissions'!E$39)&gt;0,'IPCC(2006)'!$D$83*1000/(Legend!$B$83*Legend!$B$82*Legend!$B$84),'IPCC(2006)'!$H$83*1000/(Legend!$B$83*Legend!$B$82*Legend!$B$84))</f>
        <v>6.4956404203632759E-2</v>
      </c>
      <c r="F81" s="209">
        <f>IF(SUMIFS('Region Mapping'!$E:$E,'Region Mapping'!$A:$A,'Key inputs_Emissions'!F$39)&gt;0,'IPCC(2006)'!$D$83*1000/(Legend!$B$83*Legend!$B$82*Legend!$B$84),'IPCC(2006)'!$H$83*1000/(Legend!$B$83*Legend!$B$82*Legend!$B$84))</f>
        <v>6.4956404203632759E-2</v>
      </c>
      <c r="G81" s="209">
        <f>IF(SUMIFS('Region Mapping'!$E:$E,'Region Mapping'!$A:$A,'Key inputs_Emissions'!G$39)&gt;0,'IPCC(2006)'!$D$83*1000/(Legend!$B$83*Legend!$B$82*Legend!$B$84),'IPCC(2006)'!$H$83*1000/(Legend!$B$83*Legend!$B$82*Legend!$B$84))</f>
        <v>4.6768611026615593E-2</v>
      </c>
      <c r="H81" s="209">
        <f>IF(SUMIFS('Region Mapping'!$E:$E,'Region Mapping'!$A:$A,'Key inputs_Emissions'!H$39)&gt;0,'IPCC(2006)'!$D$83*1000/(Legend!$B$83*Legend!$B$82*Legend!$B$84),'IPCC(2006)'!$H$83*1000/(Legend!$B$83*Legend!$B$82*Legend!$B$84))</f>
        <v>6.4956404203632759E-2</v>
      </c>
      <c r="I81" s="209">
        <f>IF(SUMIFS('Region Mapping'!$E:$E,'Region Mapping'!$A:$A,'Key inputs_Emissions'!I$39)&gt;0,'IPCC(2006)'!$D$83*1000/(Legend!$B$83*Legend!$B$82*Legend!$B$84),'IPCC(2006)'!$H$83*1000/(Legend!$B$83*Legend!$B$82*Legend!$B$84))</f>
        <v>6.4956404203632759E-2</v>
      </c>
      <c r="J81" s="209">
        <f>IF(SUMIFS('Region Mapping'!$E:$E,'Region Mapping'!$A:$A,'Key inputs_Emissions'!J$39)&gt;0,'IPCC(2006)'!$D$83*1000/(Legend!$B$83*Legend!$B$82*Legend!$B$84),'IPCC(2006)'!$H$83*1000/(Legend!$B$83*Legend!$B$82*Legend!$B$84))</f>
        <v>6.4956404203632759E-2</v>
      </c>
      <c r="K81" s="209">
        <f>IF(SUMIFS('Region Mapping'!$E:$E,'Region Mapping'!$A:$A,'Key inputs_Emissions'!K$39)&gt;0,'IPCC(2006)'!$D$83*1000/(Legend!$B$83*Legend!$B$82*Legend!$B$84),'IPCC(2006)'!$H$83*1000/(Legend!$B$83*Legend!$B$82*Legend!$B$84))</f>
        <v>6.4956404203632759E-2</v>
      </c>
      <c r="L81" s="209">
        <f>IF(SUMIFS('Region Mapping'!$E:$E,'Region Mapping'!$A:$A,'Key inputs_Emissions'!L$39)&gt;0,'IPCC(2006)'!$D$83*1000/(Legend!$B$83*Legend!$B$82*Legend!$B$84),'IPCC(2006)'!$H$83*1000/(Legend!$B$83*Legend!$B$82*Legend!$B$84))</f>
        <v>4.6768611026615593E-2</v>
      </c>
      <c r="M81" s="209">
        <f>IF(SUMIFS('Region Mapping'!$E:$E,'Region Mapping'!$A:$A,'Key inputs_Emissions'!M$39)&gt;0,'IPCC(2006)'!$D$83*1000/(Legend!$B$83*Legend!$B$82*Legend!$B$84),'IPCC(2006)'!$H$83*1000/(Legend!$B$83*Legend!$B$82*Legend!$B$84))</f>
        <v>6.4956404203632759E-2</v>
      </c>
      <c r="N81" s="209">
        <f>IF(SUMIFS('Region Mapping'!$E:$E,'Region Mapping'!$A:$A,'Key inputs_Emissions'!N$39)&gt;0,'IPCC(2006)'!$D$83*1000/(Legend!$B$83*Legend!$B$82*Legend!$B$84),'IPCC(2006)'!$H$83*1000/(Legend!$B$83*Legend!$B$82*Legend!$B$84))</f>
        <v>6.4956404203632759E-2</v>
      </c>
      <c r="O81" s="209">
        <f>IF(SUMIFS('Region Mapping'!$E:$E,'Region Mapping'!$A:$A,'Key inputs_Emissions'!O$39)&gt;0,'IPCC(2006)'!$D$83*1000/(Legend!$B$83*Legend!$B$82*Legend!$B$84),'IPCC(2006)'!$H$83*1000/(Legend!$B$83*Legend!$B$82*Legend!$B$84))</f>
        <v>6.4956404203632759E-2</v>
      </c>
      <c r="P81" s="209">
        <f>IF(SUMIFS('Region Mapping'!$E:$E,'Region Mapping'!$A:$A,'Key inputs_Emissions'!P$39)&gt;0,'IPCC(2006)'!$D$83*1000/(Legend!$B$83*Legend!$B$82*Legend!$B$84),'IPCC(2006)'!$H$83*1000/(Legend!$B$83*Legend!$B$82*Legend!$B$84))</f>
        <v>4.6768611026615593E-2</v>
      </c>
      <c r="Q81" s="209">
        <f>IF(SUMIFS('Region Mapping'!$E:$E,'Region Mapping'!$A:$A,'Key inputs_Emissions'!Q$39)&gt;0,'IPCC(2006)'!$D$83*1000/(Legend!$B$83*Legend!$B$82*Legend!$B$84),'IPCC(2006)'!$H$83*1000/(Legend!$B$83*Legend!$B$82*Legend!$B$84))</f>
        <v>4.6768611026615593E-2</v>
      </c>
      <c r="R81" s="209">
        <f>IF(SUMIFS('Region Mapping'!$E:$E,'Region Mapping'!$A:$A,'Key inputs_Emissions'!R$39)&gt;0,'IPCC(2006)'!$D$83*1000/(Legend!$B$83*Legend!$B$82*Legend!$B$84),'IPCC(2006)'!$H$83*1000/(Legend!$B$83*Legend!$B$82*Legend!$B$84))</f>
        <v>4.6768611026615593E-2</v>
      </c>
      <c r="S81" s="209">
        <f>IF(SUMIFS('Region Mapping'!$E:$E,'Region Mapping'!$A:$A,'Key inputs_Emissions'!S$39)&gt;0,'IPCC(2006)'!$D$83*1000/(Legend!$B$83*Legend!$B$82*Legend!$B$84),'IPCC(2006)'!$H$83*1000/(Legend!$B$83*Legend!$B$82*Legend!$B$84))</f>
        <v>4.6768611026615593E-2</v>
      </c>
      <c r="T81" s="209">
        <f>IF(SUMIFS('Region Mapping'!$E:$E,'Region Mapping'!$A:$A,'Key inputs_Emissions'!T$39)&gt;0,'IPCC(2006)'!$D$83*1000/(Legend!$B$83*Legend!$B$82*Legend!$B$84),'IPCC(2006)'!$H$83*1000/(Legend!$B$83*Legend!$B$82*Legend!$B$84))</f>
        <v>6.4956404203632759E-2</v>
      </c>
      <c r="U81" s="209">
        <f>IF(SUMIFS('Region Mapping'!$E:$E,'Region Mapping'!$A:$A,'Key inputs_Emissions'!U$39)&gt;0,'IPCC(2006)'!$D$83*1000/(Legend!$B$83*Legend!$B$82*Legend!$B$84),'IPCC(2006)'!$H$83*1000/(Legend!$B$83*Legend!$B$82*Legend!$B$84))</f>
        <v>6.4956404203632759E-2</v>
      </c>
      <c r="V81" s="209">
        <f>IF(SUMIFS('Region Mapping'!$E:$E,'Region Mapping'!$A:$A,'Key inputs_Emissions'!V$39)&gt;0,'IPCC(2006)'!$D$83*1000/(Legend!$B$83*Legend!$B$82*Legend!$B$84),'IPCC(2006)'!$H$83*1000/(Legend!$B$83*Legend!$B$82*Legend!$B$84))</f>
        <v>4.6768611026615593E-2</v>
      </c>
      <c r="W81" s="209">
        <f>IF(SUMIFS('Region Mapping'!$E:$E,'Region Mapping'!$A:$A,'Key inputs_Emissions'!W$39)&gt;0,'IPCC(2006)'!$D$83*1000/(Legend!$B$83*Legend!$B$82*Legend!$B$84),'IPCC(2006)'!$H$83*1000/(Legend!$B$83*Legend!$B$82*Legend!$B$84))</f>
        <v>6.4956404203632759E-2</v>
      </c>
      <c r="X81" s="209">
        <f>IF(SUMIFS('Region Mapping'!$E:$E,'Region Mapping'!$A:$A,'Key inputs_Emissions'!X$39)&gt;0,'IPCC(2006)'!$D$83*1000/(Legend!$B$83*Legend!$B$82*Legend!$B$84),'IPCC(2006)'!$H$83*1000/(Legend!$B$83*Legend!$B$82*Legend!$B$84))</f>
        <v>6.4956404203632759E-2</v>
      </c>
      <c r="Y81" s="209">
        <f>IF(SUMIFS('Region Mapping'!$E:$E,'Region Mapping'!$A:$A,'Key inputs_Emissions'!Y$39)&gt;0,'IPCC(2006)'!$D$83*1000/(Legend!$B$83*Legend!$B$82*Legend!$B$84),'IPCC(2006)'!$H$83*1000/(Legend!$B$83*Legend!$B$82*Legend!$B$84))</f>
        <v>6.4956404203632759E-2</v>
      </c>
      <c r="Z81" s="209">
        <f>IF(SUMIFS('Region Mapping'!$E:$E,'Region Mapping'!$A:$A,'Key inputs_Emissions'!Z$39)&gt;0,'IPCC(2006)'!$D$83*1000/(Legend!$B$83*Legend!$B$82*Legend!$B$84),'IPCC(2006)'!$H$83*1000/(Legend!$B$83*Legend!$B$82*Legend!$B$84))</f>
        <v>6.4956404203632759E-2</v>
      </c>
      <c r="AA81" s="209">
        <f>IF(SUMIFS('Region Mapping'!$E:$E,'Region Mapping'!$A:$A,'Key inputs_Emissions'!AA$39)&gt;0,'IPCC(2006)'!$D$83*1000/(Legend!$B$83*Legend!$B$82*Legend!$B$84),'IPCC(2006)'!$H$83*1000/(Legend!$B$83*Legend!$B$82*Legend!$B$84))</f>
        <v>6.4956404203632759E-2</v>
      </c>
      <c r="AB81" s="209">
        <f>IF(SUMIFS('Region Mapping'!$E:$E,'Region Mapping'!$A:$A,'Key inputs_Emissions'!AB$39)&gt;0,'IPCC(2006)'!$D$83*1000/(Legend!$B$83*Legend!$B$82*Legend!$B$84),'IPCC(2006)'!$H$83*1000/(Legend!$B$83*Legend!$B$82*Legend!$B$84))</f>
        <v>6.4956404203632759E-2</v>
      </c>
      <c r="AC81" s="209">
        <f>IF(SUMIFS('Region Mapping'!$E:$E,'Region Mapping'!$A:$A,'Key inputs_Emissions'!AC$39)&gt;0,'IPCC(2006)'!$D$83*1000/(Legend!$B$83*Legend!$B$82*Legend!$B$84),'IPCC(2006)'!$H$83*1000/(Legend!$B$83*Legend!$B$82*Legend!$B$84))</f>
        <v>4.6768611026615593E-2</v>
      </c>
      <c r="AD81" s="220">
        <f>IF(SUMIFS('Region Mapping'!$E:$E,'Region Mapping'!$A:$A,'Key inputs_Emissions'!AD$39)&gt;0,'IPCC(2006)'!$D$83*1000/(Legend!$B$83*Legend!$B$82*Legend!$B$84),'IPCC(2006)'!$H$83*1000/(Legend!$B$83*Legend!$B$82*Legend!$B$84))</f>
        <v>4.6768611026615593E-2</v>
      </c>
    </row>
    <row r="82" spans="1:30">
      <c r="A82" s="215" t="s">
        <v>1015</v>
      </c>
      <c r="B82" t="s">
        <v>1013</v>
      </c>
      <c r="C82" s="209">
        <f>IF(SUMIFS('Region Mapping'!$E:$E,'Region Mapping'!$A:$A,'Key inputs_Emissions'!C$39)&gt;0,'IPCC(2006)'!$D$84*1000/(Legend!$B$83*Legend!$B$82*Legend!$B$84),'IPCC(2006)'!$H$84*1000/(Legend!$B$83*Legend!$B$82*Legend!$B$84))</f>
        <v>1.2211803990282959</v>
      </c>
      <c r="D82" s="209">
        <f>IF(SUMIFS('Region Mapping'!$E:$E,'Region Mapping'!$A:$A,'Key inputs_Emissions'!D$39)&gt;0,'IPCC(2006)'!$D$84*1000/(Legend!$B$83*Legend!$B$82*Legend!$B$84),'IPCC(2006)'!$H$84*1000/(Legend!$B$83*Legend!$B$82*Legend!$B$84))</f>
        <v>1.2211803990282959</v>
      </c>
      <c r="E82" s="209">
        <f>IF(SUMIFS('Region Mapping'!$E:$E,'Region Mapping'!$A:$A,'Key inputs_Emissions'!E$39)&gt;0,'IPCC(2006)'!$D$84*1000/(Legend!$B$83*Legend!$B$82*Legend!$B$84),'IPCC(2006)'!$H$84*1000/(Legend!$B$83*Legend!$B$82*Legend!$B$84))</f>
        <v>1.2211803990282959</v>
      </c>
      <c r="F82" s="209">
        <f>IF(SUMIFS('Region Mapping'!$E:$E,'Region Mapping'!$A:$A,'Key inputs_Emissions'!F$39)&gt;0,'IPCC(2006)'!$D$84*1000/(Legend!$B$83*Legend!$B$82*Legend!$B$84),'IPCC(2006)'!$H$84*1000/(Legend!$B$83*Legend!$B$82*Legend!$B$84))</f>
        <v>1.2211803990282959</v>
      </c>
      <c r="G82" s="209">
        <f>IF(SUMIFS('Region Mapping'!$E:$E,'Region Mapping'!$A:$A,'Key inputs_Emissions'!G$39)&gt;0,'IPCC(2006)'!$D$84*1000/(Legend!$B$83*Legend!$B$82*Legend!$B$84),'IPCC(2006)'!$H$84*1000/(Legend!$B$83*Legend!$B$82*Legend!$B$84))</f>
        <v>0.88340709716940558</v>
      </c>
      <c r="H82" s="209">
        <f>IF(SUMIFS('Region Mapping'!$E:$E,'Region Mapping'!$A:$A,'Key inputs_Emissions'!H$39)&gt;0,'IPCC(2006)'!$D$84*1000/(Legend!$B$83*Legend!$B$82*Legend!$B$84),'IPCC(2006)'!$H$84*1000/(Legend!$B$83*Legend!$B$82*Legend!$B$84))</f>
        <v>1.2211803990282959</v>
      </c>
      <c r="I82" s="209">
        <f>IF(SUMIFS('Region Mapping'!$E:$E,'Region Mapping'!$A:$A,'Key inputs_Emissions'!I$39)&gt;0,'IPCC(2006)'!$D$84*1000/(Legend!$B$83*Legend!$B$82*Legend!$B$84),'IPCC(2006)'!$H$84*1000/(Legend!$B$83*Legend!$B$82*Legend!$B$84))</f>
        <v>1.2211803990282959</v>
      </c>
      <c r="J82" s="209">
        <f>IF(SUMIFS('Region Mapping'!$E:$E,'Region Mapping'!$A:$A,'Key inputs_Emissions'!J$39)&gt;0,'IPCC(2006)'!$D$84*1000/(Legend!$B$83*Legend!$B$82*Legend!$B$84),'IPCC(2006)'!$H$84*1000/(Legend!$B$83*Legend!$B$82*Legend!$B$84))</f>
        <v>1.2211803990282959</v>
      </c>
      <c r="K82" s="209">
        <f>IF(SUMIFS('Region Mapping'!$E:$E,'Region Mapping'!$A:$A,'Key inputs_Emissions'!K$39)&gt;0,'IPCC(2006)'!$D$84*1000/(Legend!$B$83*Legend!$B$82*Legend!$B$84),'IPCC(2006)'!$H$84*1000/(Legend!$B$83*Legend!$B$82*Legend!$B$84))</f>
        <v>1.2211803990282959</v>
      </c>
      <c r="L82" s="209">
        <f>IF(SUMIFS('Region Mapping'!$E:$E,'Region Mapping'!$A:$A,'Key inputs_Emissions'!L$39)&gt;0,'IPCC(2006)'!$D$84*1000/(Legend!$B$83*Legend!$B$82*Legend!$B$84),'IPCC(2006)'!$H$84*1000/(Legend!$B$83*Legend!$B$82*Legend!$B$84))</f>
        <v>0.88340709716940558</v>
      </c>
      <c r="M82" s="209">
        <f>IF(SUMIFS('Region Mapping'!$E:$E,'Region Mapping'!$A:$A,'Key inputs_Emissions'!M$39)&gt;0,'IPCC(2006)'!$D$84*1000/(Legend!$B$83*Legend!$B$82*Legend!$B$84),'IPCC(2006)'!$H$84*1000/(Legend!$B$83*Legend!$B$82*Legend!$B$84))</f>
        <v>1.2211803990282959</v>
      </c>
      <c r="N82" s="209">
        <f>IF(SUMIFS('Region Mapping'!$E:$E,'Region Mapping'!$A:$A,'Key inputs_Emissions'!N$39)&gt;0,'IPCC(2006)'!$D$84*1000/(Legend!$B$83*Legend!$B$82*Legend!$B$84),'IPCC(2006)'!$H$84*1000/(Legend!$B$83*Legend!$B$82*Legend!$B$84))</f>
        <v>1.2211803990282959</v>
      </c>
      <c r="O82" s="209">
        <f>IF(SUMIFS('Region Mapping'!$E:$E,'Region Mapping'!$A:$A,'Key inputs_Emissions'!O$39)&gt;0,'IPCC(2006)'!$D$84*1000/(Legend!$B$83*Legend!$B$82*Legend!$B$84),'IPCC(2006)'!$H$84*1000/(Legend!$B$83*Legend!$B$82*Legend!$B$84))</f>
        <v>1.2211803990282959</v>
      </c>
      <c r="P82" s="209">
        <f>IF(SUMIFS('Region Mapping'!$E:$E,'Region Mapping'!$A:$A,'Key inputs_Emissions'!P$39)&gt;0,'IPCC(2006)'!$D$84*1000/(Legend!$B$83*Legend!$B$82*Legend!$B$84),'IPCC(2006)'!$H$84*1000/(Legend!$B$83*Legend!$B$82*Legend!$B$84))</f>
        <v>0.88340709716940558</v>
      </c>
      <c r="Q82" s="209">
        <f>IF(SUMIFS('Region Mapping'!$E:$E,'Region Mapping'!$A:$A,'Key inputs_Emissions'!Q$39)&gt;0,'IPCC(2006)'!$D$84*1000/(Legend!$B$83*Legend!$B$82*Legend!$B$84),'IPCC(2006)'!$H$84*1000/(Legend!$B$83*Legend!$B$82*Legend!$B$84))</f>
        <v>0.88340709716940558</v>
      </c>
      <c r="R82" s="209">
        <f>IF(SUMIFS('Region Mapping'!$E:$E,'Region Mapping'!$A:$A,'Key inputs_Emissions'!R$39)&gt;0,'IPCC(2006)'!$D$84*1000/(Legend!$B$83*Legend!$B$82*Legend!$B$84),'IPCC(2006)'!$H$84*1000/(Legend!$B$83*Legend!$B$82*Legend!$B$84))</f>
        <v>0.88340709716940558</v>
      </c>
      <c r="S82" s="209">
        <f>IF(SUMIFS('Region Mapping'!$E:$E,'Region Mapping'!$A:$A,'Key inputs_Emissions'!S$39)&gt;0,'IPCC(2006)'!$D$84*1000/(Legend!$B$83*Legend!$B$82*Legend!$B$84),'IPCC(2006)'!$H$84*1000/(Legend!$B$83*Legend!$B$82*Legend!$B$84))</f>
        <v>0.88340709716940558</v>
      </c>
      <c r="T82" s="209">
        <f>IF(SUMIFS('Region Mapping'!$E:$E,'Region Mapping'!$A:$A,'Key inputs_Emissions'!T$39)&gt;0,'IPCC(2006)'!$D$84*1000/(Legend!$B$83*Legend!$B$82*Legend!$B$84),'IPCC(2006)'!$H$84*1000/(Legend!$B$83*Legend!$B$82*Legend!$B$84))</f>
        <v>1.2211803990282959</v>
      </c>
      <c r="U82" s="209">
        <f>IF(SUMIFS('Region Mapping'!$E:$E,'Region Mapping'!$A:$A,'Key inputs_Emissions'!U$39)&gt;0,'IPCC(2006)'!$D$84*1000/(Legend!$B$83*Legend!$B$82*Legend!$B$84),'IPCC(2006)'!$H$84*1000/(Legend!$B$83*Legend!$B$82*Legend!$B$84))</f>
        <v>1.2211803990282959</v>
      </c>
      <c r="V82" s="209">
        <f>IF(SUMIFS('Region Mapping'!$E:$E,'Region Mapping'!$A:$A,'Key inputs_Emissions'!V$39)&gt;0,'IPCC(2006)'!$D$84*1000/(Legend!$B$83*Legend!$B$82*Legend!$B$84),'IPCC(2006)'!$H$84*1000/(Legend!$B$83*Legend!$B$82*Legend!$B$84))</f>
        <v>0.88340709716940558</v>
      </c>
      <c r="W82" s="209">
        <f>IF(SUMIFS('Region Mapping'!$E:$E,'Region Mapping'!$A:$A,'Key inputs_Emissions'!W$39)&gt;0,'IPCC(2006)'!$D$84*1000/(Legend!$B$83*Legend!$B$82*Legend!$B$84),'IPCC(2006)'!$H$84*1000/(Legend!$B$83*Legend!$B$82*Legend!$B$84))</f>
        <v>1.2211803990282959</v>
      </c>
      <c r="X82" s="209">
        <f>IF(SUMIFS('Region Mapping'!$E:$E,'Region Mapping'!$A:$A,'Key inputs_Emissions'!X$39)&gt;0,'IPCC(2006)'!$D$84*1000/(Legend!$B$83*Legend!$B$82*Legend!$B$84),'IPCC(2006)'!$H$84*1000/(Legend!$B$83*Legend!$B$82*Legend!$B$84))</f>
        <v>1.2211803990282959</v>
      </c>
      <c r="Y82" s="209">
        <f>IF(SUMIFS('Region Mapping'!$E:$E,'Region Mapping'!$A:$A,'Key inputs_Emissions'!Y$39)&gt;0,'IPCC(2006)'!$D$84*1000/(Legend!$B$83*Legend!$B$82*Legend!$B$84),'IPCC(2006)'!$H$84*1000/(Legend!$B$83*Legend!$B$82*Legend!$B$84))</f>
        <v>1.2211803990282959</v>
      </c>
      <c r="Z82" s="209">
        <f>IF(SUMIFS('Region Mapping'!$E:$E,'Region Mapping'!$A:$A,'Key inputs_Emissions'!Z$39)&gt;0,'IPCC(2006)'!$D$84*1000/(Legend!$B$83*Legend!$B$82*Legend!$B$84),'IPCC(2006)'!$H$84*1000/(Legend!$B$83*Legend!$B$82*Legend!$B$84))</f>
        <v>1.2211803990282959</v>
      </c>
      <c r="AA82" s="209">
        <f>IF(SUMIFS('Region Mapping'!$E:$E,'Region Mapping'!$A:$A,'Key inputs_Emissions'!AA$39)&gt;0,'IPCC(2006)'!$D$84*1000/(Legend!$B$83*Legend!$B$82*Legend!$B$84),'IPCC(2006)'!$H$84*1000/(Legend!$B$83*Legend!$B$82*Legend!$B$84))</f>
        <v>1.2211803990282959</v>
      </c>
      <c r="AB82" s="209">
        <f>IF(SUMIFS('Region Mapping'!$E:$E,'Region Mapping'!$A:$A,'Key inputs_Emissions'!AB$39)&gt;0,'IPCC(2006)'!$D$84*1000/(Legend!$B$83*Legend!$B$82*Legend!$B$84),'IPCC(2006)'!$H$84*1000/(Legend!$B$83*Legend!$B$82*Legend!$B$84))</f>
        <v>1.2211803990282959</v>
      </c>
      <c r="AC82" s="209">
        <f>IF(SUMIFS('Region Mapping'!$E:$E,'Region Mapping'!$A:$A,'Key inputs_Emissions'!AC$39)&gt;0,'IPCC(2006)'!$D$84*1000/(Legend!$B$83*Legend!$B$82*Legend!$B$84),'IPCC(2006)'!$H$84*1000/(Legend!$B$83*Legend!$B$82*Legend!$B$84))</f>
        <v>0.88340709716940558</v>
      </c>
      <c r="AD82" s="220">
        <f>IF(SUMIFS('Region Mapping'!$E:$E,'Region Mapping'!$A:$A,'Key inputs_Emissions'!AD$39)&gt;0,'IPCC(2006)'!$D$84*1000/(Legend!$B$83*Legend!$B$82*Legend!$B$84),'IPCC(2006)'!$H$84*1000/(Legend!$B$83*Legend!$B$82*Legend!$B$84))</f>
        <v>0.88340709716940558</v>
      </c>
    </row>
    <row r="83" spans="1:30">
      <c r="A83" s="215" t="s">
        <v>1016</v>
      </c>
      <c r="B83" t="s">
        <v>1017</v>
      </c>
      <c r="C83" s="209">
        <f>IF(SUMIFS('Region Mapping'!$E:$E,'Region Mapping'!$A:$A,'Key inputs_Emissions'!C$39)&gt;0,'IPCC(2006)'!$D$85*1000/(Legend!$B$83*Legend!$B$82*Legend!$B$84),'IPCC(2006)'!$H$85*1000/(Legend!$B$83*Legend!$B$82*Legend!$B$84))</f>
        <v>0</v>
      </c>
      <c r="D83" s="209">
        <f>IF(SUMIFS('Region Mapping'!$E:$E,'Region Mapping'!$A:$A,'Key inputs_Emissions'!D$39)&gt;0,'IPCC(2006)'!$D$85*1000/(Legend!$B$83*Legend!$B$82*Legend!$B$84),'IPCC(2006)'!$H$85*1000/(Legend!$B$83*Legend!$B$82*Legend!$B$84))</f>
        <v>0</v>
      </c>
      <c r="E83" s="209">
        <f>IF(SUMIFS('Region Mapping'!$E:$E,'Region Mapping'!$A:$A,'Key inputs_Emissions'!E$39)&gt;0,'IPCC(2006)'!$D$85*1000/(Legend!$B$83*Legend!$B$82*Legend!$B$84),'IPCC(2006)'!$H$85*1000/(Legend!$B$83*Legend!$B$82*Legend!$B$84))</f>
        <v>0</v>
      </c>
      <c r="F83" s="209">
        <f>IF(SUMIFS('Region Mapping'!$E:$E,'Region Mapping'!$A:$A,'Key inputs_Emissions'!F$39)&gt;0,'IPCC(2006)'!$D$85*1000/(Legend!$B$83*Legend!$B$82*Legend!$B$84),'IPCC(2006)'!$H$85*1000/(Legend!$B$83*Legend!$B$82*Legend!$B$84))</f>
        <v>0</v>
      </c>
      <c r="G83" s="209">
        <f>IF(SUMIFS('Region Mapping'!$E:$E,'Region Mapping'!$A:$A,'Key inputs_Emissions'!G$39)&gt;0,'IPCC(2006)'!$D$85*1000/(Legend!$B$83*Legend!$B$82*Legend!$B$84),'IPCC(2006)'!$H$85*1000/(Legend!$B$83*Legend!$B$82*Legend!$B$84))</f>
        <v>0</v>
      </c>
      <c r="H83" s="209">
        <f>IF(SUMIFS('Region Mapping'!$E:$E,'Region Mapping'!$A:$A,'Key inputs_Emissions'!H$39)&gt;0,'IPCC(2006)'!$D$85*1000/(Legend!$B$83*Legend!$B$82*Legend!$B$84),'IPCC(2006)'!$H$85*1000/(Legend!$B$83*Legend!$B$82*Legend!$B$84))</f>
        <v>0</v>
      </c>
      <c r="I83" s="209">
        <f>IF(SUMIFS('Region Mapping'!$E:$E,'Region Mapping'!$A:$A,'Key inputs_Emissions'!I$39)&gt;0,'IPCC(2006)'!$D$85*1000/(Legend!$B$83*Legend!$B$82*Legend!$B$84),'IPCC(2006)'!$H$85*1000/(Legend!$B$83*Legend!$B$82*Legend!$B$84))</f>
        <v>0</v>
      </c>
      <c r="J83" s="209">
        <f>IF(SUMIFS('Region Mapping'!$E:$E,'Region Mapping'!$A:$A,'Key inputs_Emissions'!J$39)&gt;0,'IPCC(2006)'!$D$85*1000/(Legend!$B$83*Legend!$B$82*Legend!$B$84),'IPCC(2006)'!$H$85*1000/(Legend!$B$83*Legend!$B$82*Legend!$B$84))</f>
        <v>0</v>
      </c>
      <c r="K83" s="209">
        <f>IF(SUMIFS('Region Mapping'!$E:$E,'Region Mapping'!$A:$A,'Key inputs_Emissions'!K$39)&gt;0,'IPCC(2006)'!$D$85*1000/(Legend!$B$83*Legend!$B$82*Legend!$B$84),'IPCC(2006)'!$H$85*1000/(Legend!$B$83*Legend!$B$82*Legend!$B$84))</f>
        <v>0</v>
      </c>
      <c r="L83" s="209">
        <f>IF(SUMIFS('Region Mapping'!$E:$E,'Region Mapping'!$A:$A,'Key inputs_Emissions'!L$39)&gt;0,'IPCC(2006)'!$D$85*1000/(Legend!$B$83*Legend!$B$82*Legend!$B$84),'IPCC(2006)'!$H$85*1000/(Legend!$B$83*Legend!$B$82*Legend!$B$84))</f>
        <v>0</v>
      </c>
      <c r="M83" s="209">
        <f>IF(SUMIFS('Region Mapping'!$E:$E,'Region Mapping'!$A:$A,'Key inputs_Emissions'!M$39)&gt;0,'IPCC(2006)'!$D$85*1000/(Legend!$B$83*Legend!$B$82*Legend!$B$84),'IPCC(2006)'!$H$85*1000/(Legend!$B$83*Legend!$B$82*Legend!$B$84))</f>
        <v>0</v>
      </c>
      <c r="N83" s="209">
        <f>IF(SUMIFS('Region Mapping'!$E:$E,'Region Mapping'!$A:$A,'Key inputs_Emissions'!N$39)&gt;0,'IPCC(2006)'!$D$85*1000/(Legend!$B$83*Legend!$B$82*Legend!$B$84),'IPCC(2006)'!$H$85*1000/(Legend!$B$83*Legend!$B$82*Legend!$B$84))</f>
        <v>0</v>
      </c>
      <c r="O83" s="209">
        <f>IF(SUMIFS('Region Mapping'!$E:$E,'Region Mapping'!$A:$A,'Key inputs_Emissions'!O$39)&gt;0,'IPCC(2006)'!$D$85*1000/(Legend!$B$83*Legend!$B$82*Legend!$B$84),'IPCC(2006)'!$H$85*1000/(Legend!$B$83*Legend!$B$82*Legend!$B$84))</f>
        <v>0</v>
      </c>
      <c r="P83" s="209">
        <f>IF(SUMIFS('Region Mapping'!$E:$E,'Region Mapping'!$A:$A,'Key inputs_Emissions'!P$39)&gt;0,'IPCC(2006)'!$D$85*1000/(Legend!$B$83*Legend!$B$82*Legend!$B$84),'IPCC(2006)'!$H$85*1000/(Legend!$B$83*Legend!$B$82*Legend!$B$84))</f>
        <v>0</v>
      </c>
      <c r="Q83" s="209">
        <f>IF(SUMIFS('Region Mapping'!$E:$E,'Region Mapping'!$A:$A,'Key inputs_Emissions'!Q$39)&gt;0,'IPCC(2006)'!$D$85*1000/(Legend!$B$83*Legend!$B$82*Legend!$B$84),'IPCC(2006)'!$H$85*1000/(Legend!$B$83*Legend!$B$82*Legend!$B$84))</f>
        <v>0</v>
      </c>
      <c r="R83" s="209">
        <f>IF(SUMIFS('Region Mapping'!$E:$E,'Region Mapping'!$A:$A,'Key inputs_Emissions'!R$39)&gt;0,'IPCC(2006)'!$D$85*1000/(Legend!$B$83*Legend!$B$82*Legend!$B$84),'IPCC(2006)'!$H$85*1000/(Legend!$B$83*Legend!$B$82*Legend!$B$84))</f>
        <v>0</v>
      </c>
      <c r="S83" s="209">
        <f>IF(SUMIFS('Region Mapping'!$E:$E,'Region Mapping'!$A:$A,'Key inputs_Emissions'!S$39)&gt;0,'IPCC(2006)'!$D$85*1000/(Legend!$B$83*Legend!$B$82*Legend!$B$84),'IPCC(2006)'!$H$85*1000/(Legend!$B$83*Legend!$B$82*Legend!$B$84))</f>
        <v>0</v>
      </c>
      <c r="T83" s="209">
        <f>IF(SUMIFS('Region Mapping'!$E:$E,'Region Mapping'!$A:$A,'Key inputs_Emissions'!T$39)&gt;0,'IPCC(2006)'!$D$85*1000/(Legend!$B$83*Legend!$B$82*Legend!$B$84),'IPCC(2006)'!$H$85*1000/(Legend!$B$83*Legend!$B$82*Legend!$B$84))</f>
        <v>0</v>
      </c>
      <c r="U83" s="209">
        <f>IF(SUMIFS('Region Mapping'!$E:$E,'Region Mapping'!$A:$A,'Key inputs_Emissions'!U$39)&gt;0,'IPCC(2006)'!$D$85*1000/(Legend!$B$83*Legend!$B$82*Legend!$B$84),'IPCC(2006)'!$H$85*1000/(Legend!$B$83*Legend!$B$82*Legend!$B$84))</f>
        <v>0</v>
      </c>
      <c r="V83" s="209">
        <f>IF(SUMIFS('Region Mapping'!$E:$E,'Region Mapping'!$A:$A,'Key inputs_Emissions'!V$39)&gt;0,'IPCC(2006)'!$D$85*1000/(Legend!$B$83*Legend!$B$82*Legend!$B$84),'IPCC(2006)'!$H$85*1000/(Legend!$B$83*Legend!$B$82*Legend!$B$84))</f>
        <v>0</v>
      </c>
      <c r="W83" s="209">
        <f>IF(SUMIFS('Region Mapping'!$E:$E,'Region Mapping'!$A:$A,'Key inputs_Emissions'!W$39)&gt;0,'IPCC(2006)'!$D$85*1000/(Legend!$B$83*Legend!$B$82*Legend!$B$84),'IPCC(2006)'!$H$85*1000/(Legend!$B$83*Legend!$B$82*Legend!$B$84))</f>
        <v>0</v>
      </c>
      <c r="X83" s="209">
        <f>IF(SUMIFS('Region Mapping'!$E:$E,'Region Mapping'!$A:$A,'Key inputs_Emissions'!X$39)&gt;0,'IPCC(2006)'!$D$85*1000/(Legend!$B$83*Legend!$B$82*Legend!$B$84),'IPCC(2006)'!$H$85*1000/(Legend!$B$83*Legend!$B$82*Legend!$B$84))</f>
        <v>0</v>
      </c>
      <c r="Y83" s="209">
        <f>IF(SUMIFS('Region Mapping'!$E:$E,'Region Mapping'!$A:$A,'Key inputs_Emissions'!Y$39)&gt;0,'IPCC(2006)'!$D$85*1000/(Legend!$B$83*Legend!$B$82*Legend!$B$84),'IPCC(2006)'!$H$85*1000/(Legend!$B$83*Legend!$B$82*Legend!$B$84))</f>
        <v>0</v>
      </c>
      <c r="Z83" s="209">
        <f>IF(SUMIFS('Region Mapping'!$E:$E,'Region Mapping'!$A:$A,'Key inputs_Emissions'!Z$39)&gt;0,'IPCC(2006)'!$D$85*1000/(Legend!$B$83*Legend!$B$82*Legend!$B$84),'IPCC(2006)'!$H$85*1000/(Legend!$B$83*Legend!$B$82*Legend!$B$84))</f>
        <v>0</v>
      </c>
      <c r="AA83" s="209">
        <f>IF(SUMIFS('Region Mapping'!$E:$E,'Region Mapping'!$A:$A,'Key inputs_Emissions'!AA$39)&gt;0,'IPCC(2006)'!$D$85*1000/(Legend!$B$83*Legend!$B$82*Legend!$B$84),'IPCC(2006)'!$H$85*1000/(Legend!$B$83*Legend!$B$82*Legend!$B$84))</f>
        <v>0</v>
      </c>
      <c r="AB83" s="209">
        <f>IF(SUMIFS('Region Mapping'!$E:$E,'Region Mapping'!$A:$A,'Key inputs_Emissions'!AB$39)&gt;0,'IPCC(2006)'!$D$85*1000/(Legend!$B$83*Legend!$B$82*Legend!$B$84),'IPCC(2006)'!$H$85*1000/(Legend!$B$83*Legend!$B$82*Legend!$B$84))</f>
        <v>0</v>
      </c>
      <c r="AC83" s="209">
        <f>IF(SUMIFS('Region Mapping'!$E:$E,'Region Mapping'!$A:$A,'Key inputs_Emissions'!AC$39)&gt;0,'IPCC(2006)'!$D$85*1000/(Legend!$B$83*Legend!$B$82*Legend!$B$84),'IPCC(2006)'!$H$85*1000/(Legend!$B$83*Legend!$B$82*Legend!$B$84))</f>
        <v>0</v>
      </c>
      <c r="AD83" s="220">
        <f>IF(SUMIFS('Region Mapping'!$E:$E,'Region Mapping'!$A:$A,'Key inputs_Emissions'!AD$39)&gt;0,'IPCC(2006)'!$D$85*1000/(Legend!$B$83*Legend!$B$82*Legend!$B$84),'IPCC(2006)'!$H$85*1000/(Legend!$B$83*Legend!$B$82*Legend!$B$84))</f>
        <v>0</v>
      </c>
    </row>
    <row r="84" spans="1:30">
      <c r="A84" s="215" t="s">
        <v>1018</v>
      </c>
      <c r="B84" t="s">
        <v>1019</v>
      </c>
      <c r="C84" s="209">
        <f>IF(SUMIFS('Region Mapping'!$E:$E,'Region Mapping'!$A:$A,'Key inputs_Emissions'!C$39)&gt;0,'IPCC(2006)'!$D$87*1000/(Legend!$B$83*Legend!$B$82*Legend!$B$84),'IPCC(2006)'!$H$87*1000/(Legend!$B$83*Legend!$B$82*Legend!$B$84))</f>
        <v>1.2731455223912021E-5</v>
      </c>
      <c r="D84" s="209">
        <f>IF(SUMIFS('Region Mapping'!$E:$E,'Region Mapping'!$A:$A,'Key inputs_Emissions'!D$39)&gt;0,'IPCC(2006)'!$D$87*1000/(Legend!$B$83*Legend!$B$82*Legend!$B$84),'IPCC(2006)'!$H$87*1000/(Legend!$B$83*Legend!$B$82*Legend!$B$84))</f>
        <v>1.2731455223912021E-5</v>
      </c>
      <c r="E84" s="209">
        <f>IF(SUMIFS('Region Mapping'!$E:$E,'Region Mapping'!$A:$A,'Key inputs_Emissions'!E$39)&gt;0,'IPCC(2006)'!$D$87*1000/(Legend!$B$83*Legend!$B$82*Legend!$B$84),'IPCC(2006)'!$H$87*1000/(Legend!$B$83*Legend!$B$82*Legend!$B$84))</f>
        <v>1.2731455223912021E-5</v>
      </c>
      <c r="F84" s="209">
        <f>IF(SUMIFS('Region Mapping'!$E:$E,'Region Mapping'!$A:$A,'Key inputs_Emissions'!F$39)&gt;0,'IPCC(2006)'!$D$87*1000/(Legend!$B$83*Legend!$B$82*Legend!$B$84),'IPCC(2006)'!$H$87*1000/(Legend!$B$83*Legend!$B$82*Legend!$B$84))</f>
        <v>1.2731455223912021E-5</v>
      </c>
      <c r="G84" s="209">
        <f>IF(SUMIFS('Region Mapping'!$E:$E,'Region Mapping'!$A:$A,'Key inputs_Emissions'!G$39)&gt;0,'IPCC(2006)'!$D$87*1000/(Legend!$B$83*Legend!$B$82*Legend!$B$84),'IPCC(2006)'!$H$87*1000/(Legend!$B$83*Legend!$B$82*Legend!$B$84))</f>
        <v>1.2731455223912021E-5</v>
      </c>
      <c r="H84" s="209">
        <f>IF(SUMIFS('Region Mapping'!$E:$E,'Region Mapping'!$A:$A,'Key inputs_Emissions'!H$39)&gt;0,'IPCC(2006)'!$D$87*1000/(Legend!$B$83*Legend!$B$82*Legend!$B$84),'IPCC(2006)'!$H$87*1000/(Legend!$B$83*Legend!$B$82*Legend!$B$84))</f>
        <v>1.2731455223912021E-5</v>
      </c>
      <c r="I84" s="209">
        <f>IF(SUMIFS('Region Mapping'!$E:$E,'Region Mapping'!$A:$A,'Key inputs_Emissions'!I$39)&gt;0,'IPCC(2006)'!$D$87*1000/(Legend!$B$83*Legend!$B$82*Legend!$B$84),'IPCC(2006)'!$H$87*1000/(Legend!$B$83*Legend!$B$82*Legend!$B$84))</f>
        <v>1.2731455223912021E-5</v>
      </c>
      <c r="J84" s="209">
        <f>IF(SUMIFS('Region Mapping'!$E:$E,'Region Mapping'!$A:$A,'Key inputs_Emissions'!J$39)&gt;0,'IPCC(2006)'!$D$87*1000/(Legend!$B$83*Legend!$B$82*Legend!$B$84),'IPCC(2006)'!$H$87*1000/(Legend!$B$83*Legend!$B$82*Legend!$B$84))</f>
        <v>1.2731455223912021E-5</v>
      </c>
      <c r="K84" s="209">
        <f>IF(SUMIFS('Region Mapping'!$E:$E,'Region Mapping'!$A:$A,'Key inputs_Emissions'!K$39)&gt;0,'IPCC(2006)'!$D$87*1000/(Legend!$B$83*Legend!$B$82*Legend!$B$84),'IPCC(2006)'!$H$87*1000/(Legend!$B$83*Legend!$B$82*Legend!$B$84))</f>
        <v>1.2731455223912021E-5</v>
      </c>
      <c r="L84" s="209">
        <f>IF(SUMIFS('Region Mapping'!$E:$E,'Region Mapping'!$A:$A,'Key inputs_Emissions'!L$39)&gt;0,'IPCC(2006)'!$D$87*1000/(Legend!$B$83*Legend!$B$82*Legend!$B$84),'IPCC(2006)'!$H$87*1000/(Legend!$B$83*Legend!$B$82*Legend!$B$84))</f>
        <v>1.2731455223912021E-5</v>
      </c>
      <c r="M84" s="209">
        <f>IF(SUMIFS('Region Mapping'!$E:$E,'Region Mapping'!$A:$A,'Key inputs_Emissions'!M$39)&gt;0,'IPCC(2006)'!$D$87*1000/(Legend!$B$83*Legend!$B$82*Legend!$B$84),'IPCC(2006)'!$H$87*1000/(Legend!$B$83*Legend!$B$82*Legend!$B$84))</f>
        <v>1.2731455223912021E-5</v>
      </c>
      <c r="N84" s="209">
        <f>IF(SUMIFS('Region Mapping'!$E:$E,'Region Mapping'!$A:$A,'Key inputs_Emissions'!N$39)&gt;0,'IPCC(2006)'!$D$87*1000/(Legend!$B$83*Legend!$B$82*Legend!$B$84),'IPCC(2006)'!$H$87*1000/(Legend!$B$83*Legend!$B$82*Legend!$B$84))</f>
        <v>1.2731455223912021E-5</v>
      </c>
      <c r="O84" s="209">
        <f>IF(SUMIFS('Region Mapping'!$E:$E,'Region Mapping'!$A:$A,'Key inputs_Emissions'!O$39)&gt;0,'IPCC(2006)'!$D$87*1000/(Legend!$B$83*Legend!$B$82*Legend!$B$84),'IPCC(2006)'!$H$87*1000/(Legend!$B$83*Legend!$B$82*Legend!$B$84))</f>
        <v>1.2731455223912021E-5</v>
      </c>
      <c r="P84" s="209">
        <f>IF(SUMIFS('Region Mapping'!$E:$E,'Region Mapping'!$A:$A,'Key inputs_Emissions'!P$39)&gt;0,'IPCC(2006)'!$D$87*1000/(Legend!$B$83*Legend!$B$82*Legend!$B$84),'IPCC(2006)'!$H$87*1000/(Legend!$B$83*Legend!$B$82*Legend!$B$84))</f>
        <v>1.2731455223912021E-5</v>
      </c>
      <c r="Q84" s="209">
        <f>IF(SUMIFS('Region Mapping'!$E:$E,'Region Mapping'!$A:$A,'Key inputs_Emissions'!Q$39)&gt;0,'IPCC(2006)'!$D$87*1000/(Legend!$B$83*Legend!$B$82*Legend!$B$84),'IPCC(2006)'!$H$87*1000/(Legend!$B$83*Legend!$B$82*Legend!$B$84))</f>
        <v>1.2731455223912021E-5</v>
      </c>
      <c r="R84" s="209">
        <f>IF(SUMIFS('Region Mapping'!$E:$E,'Region Mapping'!$A:$A,'Key inputs_Emissions'!R$39)&gt;0,'IPCC(2006)'!$D$87*1000/(Legend!$B$83*Legend!$B$82*Legend!$B$84),'IPCC(2006)'!$H$87*1000/(Legend!$B$83*Legend!$B$82*Legend!$B$84))</f>
        <v>1.2731455223912021E-5</v>
      </c>
      <c r="S84" s="209">
        <f>IF(SUMIFS('Region Mapping'!$E:$E,'Region Mapping'!$A:$A,'Key inputs_Emissions'!S$39)&gt;0,'IPCC(2006)'!$D$87*1000/(Legend!$B$83*Legend!$B$82*Legend!$B$84),'IPCC(2006)'!$H$87*1000/(Legend!$B$83*Legend!$B$82*Legend!$B$84))</f>
        <v>1.2731455223912021E-5</v>
      </c>
      <c r="T84" s="209">
        <f>IF(SUMIFS('Region Mapping'!$E:$E,'Region Mapping'!$A:$A,'Key inputs_Emissions'!T$39)&gt;0,'IPCC(2006)'!$D$87*1000/(Legend!$B$83*Legend!$B$82*Legend!$B$84),'IPCC(2006)'!$H$87*1000/(Legend!$B$83*Legend!$B$82*Legend!$B$84))</f>
        <v>1.2731455223912021E-5</v>
      </c>
      <c r="U84" s="209">
        <f>IF(SUMIFS('Region Mapping'!$E:$E,'Region Mapping'!$A:$A,'Key inputs_Emissions'!U$39)&gt;0,'IPCC(2006)'!$D$87*1000/(Legend!$B$83*Legend!$B$82*Legend!$B$84),'IPCC(2006)'!$H$87*1000/(Legend!$B$83*Legend!$B$82*Legend!$B$84))</f>
        <v>1.2731455223912021E-5</v>
      </c>
      <c r="V84" s="209">
        <f>IF(SUMIFS('Region Mapping'!$E:$E,'Region Mapping'!$A:$A,'Key inputs_Emissions'!V$39)&gt;0,'IPCC(2006)'!$D$87*1000/(Legend!$B$83*Legend!$B$82*Legend!$B$84),'IPCC(2006)'!$H$87*1000/(Legend!$B$83*Legend!$B$82*Legend!$B$84))</f>
        <v>1.2731455223912021E-5</v>
      </c>
      <c r="W84" s="209">
        <f>IF(SUMIFS('Region Mapping'!$E:$E,'Region Mapping'!$A:$A,'Key inputs_Emissions'!W$39)&gt;0,'IPCC(2006)'!$D$87*1000/(Legend!$B$83*Legend!$B$82*Legend!$B$84),'IPCC(2006)'!$H$87*1000/(Legend!$B$83*Legend!$B$82*Legend!$B$84))</f>
        <v>1.2731455223912021E-5</v>
      </c>
      <c r="X84" s="209">
        <f>IF(SUMIFS('Region Mapping'!$E:$E,'Region Mapping'!$A:$A,'Key inputs_Emissions'!X$39)&gt;0,'IPCC(2006)'!$D$87*1000/(Legend!$B$83*Legend!$B$82*Legend!$B$84),'IPCC(2006)'!$H$87*1000/(Legend!$B$83*Legend!$B$82*Legend!$B$84))</f>
        <v>1.2731455223912021E-5</v>
      </c>
      <c r="Y84" s="209">
        <f>IF(SUMIFS('Region Mapping'!$E:$E,'Region Mapping'!$A:$A,'Key inputs_Emissions'!Y$39)&gt;0,'IPCC(2006)'!$D$87*1000/(Legend!$B$83*Legend!$B$82*Legend!$B$84),'IPCC(2006)'!$H$87*1000/(Legend!$B$83*Legend!$B$82*Legend!$B$84))</f>
        <v>1.2731455223912021E-5</v>
      </c>
      <c r="Z84" s="209">
        <f>IF(SUMIFS('Region Mapping'!$E:$E,'Region Mapping'!$A:$A,'Key inputs_Emissions'!Z$39)&gt;0,'IPCC(2006)'!$D$87*1000/(Legend!$B$83*Legend!$B$82*Legend!$B$84),'IPCC(2006)'!$H$87*1000/(Legend!$B$83*Legend!$B$82*Legend!$B$84))</f>
        <v>1.2731455223912021E-5</v>
      </c>
      <c r="AA84" s="209">
        <f>IF(SUMIFS('Region Mapping'!$E:$E,'Region Mapping'!$A:$A,'Key inputs_Emissions'!AA$39)&gt;0,'IPCC(2006)'!$D$87*1000/(Legend!$B$83*Legend!$B$82*Legend!$B$84),'IPCC(2006)'!$H$87*1000/(Legend!$B$83*Legend!$B$82*Legend!$B$84))</f>
        <v>1.2731455223912021E-5</v>
      </c>
      <c r="AB84" s="209">
        <f>IF(SUMIFS('Region Mapping'!$E:$E,'Region Mapping'!$A:$A,'Key inputs_Emissions'!AB$39)&gt;0,'IPCC(2006)'!$D$87*1000/(Legend!$B$83*Legend!$B$82*Legend!$B$84),'IPCC(2006)'!$H$87*1000/(Legend!$B$83*Legend!$B$82*Legend!$B$84))</f>
        <v>1.2731455223912021E-5</v>
      </c>
      <c r="AC84" s="209">
        <f>IF(SUMIFS('Region Mapping'!$E:$E,'Region Mapping'!$A:$A,'Key inputs_Emissions'!AC$39)&gt;0,'IPCC(2006)'!$D$87*1000/(Legend!$B$83*Legend!$B$82*Legend!$B$84),'IPCC(2006)'!$H$87*1000/(Legend!$B$83*Legend!$B$82*Legend!$B$84))</f>
        <v>1.2731455223912021E-5</v>
      </c>
      <c r="AD84" s="220">
        <f>IF(SUMIFS('Region Mapping'!$E:$E,'Region Mapping'!$A:$A,'Key inputs_Emissions'!AD$39)&gt;0,'IPCC(2006)'!$D$87*1000/(Legend!$B$83*Legend!$B$82*Legend!$B$84),'IPCC(2006)'!$H$87*1000/(Legend!$B$83*Legend!$B$82*Legend!$B$84))</f>
        <v>1.2731455223912021E-5</v>
      </c>
    </row>
    <row r="85" spans="1:30">
      <c r="A85" s="215" t="s">
        <v>1020</v>
      </c>
      <c r="B85" t="s">
        <v>1021</v>
      </c>
      <c r="C85" s="209">
        <f>IF(SUMIFS('Region Mapping'!$E:$E,'Region Mapping'!$A:$A,'Key inputs_Emissions'!C$39)&gt;0,'IPCC(2006)'!$D$88*1000/(Legend!$B$83*Legend!$B$82*Legend!$B$84),'IPCC(2006)'!$H$88*1000/(Legend!$B$83*Legend!$B$82*Legend!$B$84))</f>
        <v>5.9759891867342126E-5</v>
      </c>
      <c r="D85" s="209">
        <f>IF(SUMIFS('Region Mapping'!$E:$E,'Region Mapping'!$A:$A,'Key inputs_Emissions'!D$39)&gt;0,'IPCC(2006)'!$D$88*1000/(Legend!$B$83*Legend!$B$82*Legend!$B$84),'IPCC(2006)'!$H$88*1000/(Legend!$B$83*Legend!$B$82*Legend!$B$84))</f>
        <v>5.9759891867342126E-5</v>
      </c>
      <c r="E85" s="209">
        <f>IF(SUMIFS('Region Mapping'!$E:$E,'Region Mapping'!$A:$A,'Key inputs_Emissions'!E$39)&gt;0,'IPCC(2006)'!$D$88*1000/(Legend!$B$83*Legend!$B$82*Legend!$B$84),'IPCC(2006)'!$H$88*1000/(Legend!$B$83*Legend!$B$82*Legend!$B$84))</f>
        <v>5.9759891867342126E-5</v>
      </c>
      <c r="F85" s="209">
        <f>IF(SUMIFS('Region Mapping'!$E:$E,'Region Mapping'!$A:$A,'Key inputs_Emissions'!F$39)&gt;0,'IPCC(2006)'!$D$88*1000/(Legend!$B$83*Legend!$B$82*Legend!$B$84),'IPCC(2006)'!$H$88*1000/(Legend!$B$83*Legend!$B$82*Legend!$B$84))</f>
        <v>5.9759891867342126E-5</v>
      </c>
      <c r="G85" s="209">
        <f>IF(SUMIFS('Region Mapping'!$E:$E,'Region Mapping'!$A:$A,'Key inputs_Emissions'!G$39)&gt;0,'IPCC(2006)'!$D$88*1000/(Legend!$B$83*Legend!$B$82*Legend!$B$84),'IPCC(2006)'!$H$88*1000/(Legend!$B$83*Legend!$B$82*Legend!$B$84))</f>
        <v>5.9759891867342126E-5</v>
      </c>
      <c r="H85" s="209">
        <f>IF(SUMIFS('Region Mapping'!$E:$E,'Region Mapping'!$A:$A,'Key inputs_Emissions'!H$39)&gt;0,'IPCC(2006)'!$D$88*1000/(Legend!$B$83*Legend!$B$82*Legend!$B$84),'IPCC(2006)'!$H$88*1000/(Legend!$B$83*Legend!$B$82*Legend!$B$84))</f>
        <v>5.9759891867342126E-5</v>
      </c>
      <c r="I85" s="209">
        <f>IF(SUMIFS('Region Mapping'!$E:$E,'Region Mapping'!$A:$A,'Key inputs_Emissions'!I$39)&gt;0,'IPCC(2006)'!$D$88*1000/(Legend!$B$83*Legend!$B$82*Legend!$B$84),'IPCC(2006)'!$H$88*1000/(Legend!$B$83*Legend!$B$82*Legend!$B$84))</f>
        <v>5.9759891867342126E-5</v>
      </c>
      <c r="J85" s="209">
        <f>IF(SUMIFS('Region Mapping'!$E:$E,'Region Mapping'!$A:$A,'Key inputs_Emissions'!J$39)&gt;0,'IPCC(2006)'!$D$88*1000/(Legend!$B$83*Legend!$B$82*Legend!$B$84),'IPCC(2006)'!$H$88*1000/(Legend!$B$83*Legend!$B$82*Legend!$B$84))</f>
        <v>5.9759891867342126E-5</v>
      </c>
      <c r="K85" s="209">
        <f>IF(SUMIFS('Region Mapping'!$E:$E,'Region Mapping'!$A:$A,'Key inputs_Emissions'!K$39)&gt;0,'IPCC(2006)'!$D$88*1000/(Legend!$B$83*Legend!$B$82*Legend!$B$84),'IPCC(2006)'!$H$88*1000/(Legend!$B$83*Legend!$B$82*Legend!$B$84))</f>
        <v>5.9759891867342126E-5</v>
      </c>
      <c r="L85" s="209">
        <f>IF(SUMIFS('Region Mapping'!$E:$E,'Region Mapping'!$A:$A,'Key inputs_Emissions'!L$39)&gt;0,'IPCC(2006)'!$D$88*1000/(Legend!$B$83*Legend!$B$82*Legend!$B$84),'IPCC(2006)'!$H$88*1000/(Legend!$B$83*Legend!$B$82*Legend!$B$84))</f>
        <v>5.9759891867342126E-5</v>
      </c>
      <c r="M85" s="209">
        <f>IF(SUMIFS('Region Mapping'!$E:$E,'Region Mapping'!$A:$A,'Key inputs_Emissions'!M$39)&gt;0,'IPCC(2006)'!$D$88*1000/(Legend!$B$83*Legend!$B$82*Legend!$B$84),'IPCC(2006)'!$H$88*1000/(Legend!$B$83*Legend!$B$82*Legend!$B$84))</f>
        <v>5.9759891867342126E-5</v>
      </c>
      <c r="N85" s="209">
        <f>IF(SUMIFS('Region Mapping'!$E:$E,'Region Mapping'!$A:$A,'Key inputs_Emissions'!N$39)&gt;0,'IPCC(2006)'!$D$88*1000/(Legend!$B$83*Legend!$B$82*Legend!$B$84),'IPCC(2006)'!$H$88*1000/(Legend!$B$83*Legend!$B$82*Legend!$B$84))</f>
        <v>5.9759891867342126E-5</v>
      </c>
      <c r="O85" s="209">
        <f>IF(SUMIFS('Region Mapping'!$E:$E,'Region Mapping'!$A:$A,'Key inputs_Emissions'!O$39)&gt;0,'IPCC(2006)'!$D$88*1000/(Legend!$B$83*Legend!$B$82*Legend!$B$84),'IPCC(2006)'!$H$88*1000/(Legend!$B$83*Legend!$B$82*Legend!$B$84))</f>
        <v>5.9759891867342126E-5</v>
      </c>
      <c r="P85" s="209">
        <f>IF(SUMIFS('Region Mapping'!$E:$E,'Region Mapping'!$A:$A,'Key inputs_Emissions'!P$39)&gt;0,'IPCC(2006)'!$D$88*1000/(Legend!$B$83*Legend!$B$82*Legend!$B$84),'IPCC(2006)'!$H$88*1000/(Legend!$B$83*Legend!$B$82*Legend!$B$84))</f>
        <v>5.9759891867342126E-5</v>
      </c>
      <c r="Q85" s="209">
        <f>IF(SUMIFS('Region Mapping'!$E:$E,'Region Mapping'!$A:$A,'Key inputs_Emissions'!Q$39)&gt;0,'IPCC(2006)'!$D$88*1000/(Legend!$B$83*Legend!$B$82*Legend!$B$84),'IPCC(2006)'!$H$88*1000/(Legend!$B$83*Legend!$B$82*Legend!$B$84))</f>
        <v>5.9759891867342126E-5</v>
      </c>
      <c r="R85" s="209">
        <f>IF(SUMIFS('Region Mapping'!$E:$E,'Region Mapping'!$A:$A,'Key inputs_Emissions'!R$39)&gt;0,'IPCC(2006)'!$D$88*1000/(Legend!$B$83*Legend!$B$82*Legend!$B$84),'IPCC(2006)'!$H$88*1000/(Legend!$B$83*Legend!$B$82*Legend!$B$84))</f>
        <v>5.9759891867342126E-5</v>
      </c>
      <c r="S85" s="209">
        <f>IF(SUMIFS('Region Mapping'!$E:$E,'Region Mapping'!$A:$A,'Key inputs_Emissions'!S$39)&gt;0,'IPCC(2006)'!$D$88*1000/(Legend!$B$83*Legend!$B$82*Legend!$B$84),'IPCC(2006)'!$H$88*1000/(Legend!$B$83*Legend!$B$82*Legend!$B$84))</f>
        <v>5.9759891867342126E-5</v>
      </c>
      <c r="T85" s="209">
        <f>IF(SUMIFS('Region Mapping'!$E:$E,'Region Mapping'!$A:$A,'Key inputs_Emissions'!T$39)&gt;0,'IPCC(2006)'!$D$88*1000/(Legend!$B$83*Legend!$B$82*Legend!$B$84),'IPCC(2006)'!$H$88*1000/(Legend!$B$83*Legend!$B$82*Legend!$B$84))</f>
        <v>5.9759891867342126E-5</v>
      </c>
      <c r="U85" s="209">
        <f>IF(SUMIFS('Region Mapping'!$E:$E,'Region Mapping'!$A:$A,'Key inputs_Emissions'!U$39)&gt;0,'IPCC(2006)'!$D$88*1000/(Legend!$B$83*Legend!$B$82*Legend!$B$84),'IPCC(2006)'!$H$88*1000/(Legend!$B$83*Legend!$B$82*Legend!$B$84))</f>
        <v>5.9759891867342126E-5</v>
      </c>
      <c r="V85" s="209">
        <f>IF(SUMIFS('Region Mapping'!$E:$E,'Region Mapping'!$A:$A,'Key inputs_Emissions'!V$39)&gt;0,'IPCC(2006)'!$D$88*1000/(Legend!$B$83*Legend!$B$82*Legend!$B$84),'IPCC(2006)'!$H$88*1000/(Legend!$B$83*Legend!$B$82*Legend!$B$84))</f>
        <v>5.9759891867342126E-5</v>
      </c>
      <c r="W85" s="209">
        <f>IF(SUMIFS('Region Mapping'!$E:$E,'Region Mapping'!$A:$A,'Key inputs_Emissions'!W$39)&gt;0,'IPCC(2006)'!$D$88*1000/(Legend!$B$83*Legend!$B$82*Legend!$B$84),'IPCC(2006)'!$H$88*1000/(Legend!$B$83*Legend!$B$82*Legend!$B$84))</f>
        <v>5.9759891867342126E-5</v>
      </c>
      <c r="X85" s="209">
        <f>IF(SUMIFS('Region Mapping'!$E:$E,'Region Mapping'!$A:$A,'Key inputs_Emissions'!X$39)&gt;0,'IPCC(2006)'!$D$88*1000/(Legend!$B$83*Legend!$B$82*Legend!$B$84),'IPCC(2006)'!$H$88*1000/(Legend!$B$83*Legend!$B$82*Legend!$B$84))</f>
        <v>5.9759891867342126E-5</v>
      </c>
      <c r="Y85" s="209">
        <f>IF(SUMIFS('Region Mapping'!$E:$E,'Region Mapping'!$A:$A,'Key inputs_Emissions'!Y$39)&gt;0,'IPCC(2006)'!$D$88*1000/(Legend!$B$83*Legend!$B$82*Legend!$B$84),'IPCC(2006)'!$H$88*1000/(Legend!$B$83*Legend!$B$82*Legend!$B$84))</f>
        <v>5.9759891867342126E-5</v>
      </c>
      <c r="Z85" s="209">
        <f>IF(SUMIFS('Region Mapping'!$E:$E,'Region Mapping'!$A:$A,'Key inputs_Emissions'!Z$39)&gt;0,'IPCC(2006)'!$D$88*1000/(Legend!$B$83*Legend!$B$82*Legend!$B$84),'IPCC(2006)'!$H$88*1000/(Legend!$B$83*Legend!$B$82*Legend!$B$84))</f>
        <v>5.9759891867342126E-5</v>
      </c>
      <c r="AA85" s="209">
        <f>IF(SUMIFS('Region Mapping'!$E:$E,'Region Mapping'!$A:$A,'Key inputs_Emissions'!AA$39)&gt;0,'IPCC(2006)'!$D$88*1000/(Legend!$B$83*Legend!$B$82*Legend!$B$84),'IPCC(2006)'!$H$88*1000/(Legend!$B$83*Legend!$B$82*Legend!$B$84))</f>
        <v>5.9759891867342126E-5</v>
      </c>
      <c r="AB85" s="209">
        <f>IF(SUMIFS('Region Mapping'!$E:$E,'Region Mapping'!$A:$A,'Key inputs_Emissions'!AB$39)&gt;0,'IPCC(2006)'!$D$88*1000/(Legend!$B$83*Legend!$B$82*Legend!$B$84),'IPCC(2006)'!$H$88*1000/(Legend!$B$83*Legend!$B$82*Legend!$B$84))</f>
        <v>5.9759891867342126E-5</v>
      </c>
      <c r="AC85" s="209">
        <f>IF(SUMIFS('Region Mapping'!$E:$E,'Region Mapping'!$A:$A,'Key inputs_Emissions'!AC$39)&gt;0,'IPCC(2006)'!$D$88*1000/(Legend!$B$83*Legend!$B$82*Legend!$B$84),'IPCC(2006)'!$H$88*1000/(Legend!$B$83*Legend!$B$82*Legend!$B$84))</f>
        <v>5.9759891867342126E-5</v>
      </c>
      <c r="AD85" s="220">
        <f>IF(SUMIFS('Region Mapping'!$E:$E,'Region Mapping'!$A:$A,'Key inputs_Emissions'!AD$39)&gt;0,'IPCC(2006)'!$D$88*1000/(Legend!$B$83*Legend!$B$82*Legend!$B$84),'IPCC(2006)'!$H$88*1000/(Legend!$B$83*Legend!$B$82*Legend!$B$84))</f>
        <v>5.9759891867342126E-5</v>
      </c>
    </row>
    <row r="86" spans="1:30">
      <c r="A86" s="215" t="s">
        <v>1022</v>
      </c>
      <c r="B86" t="s">
        <v>1021</v>
      </c>
      <c r="C86" s="209">
        <f>IF(SUMIFS('Region Mapping'!$E:$E,'Region Mapping'!$A:$A,'Key inputs_Emissions'!C$39)&gt;0,'IPCC(2006)'!$D$89*1000/(Legend!$B$83*Legend!$B$82*Legend!$B$84),'IPCC(2006)'!$H$89*1000/(Legend!$B$83*Legend!$B$82*Legend!$B$84))</f>
        <v>0</v>
      </c>
      <c r="D86" s="209">
        <f>IF(SUMIFS('Region Mapping'!$E:$E,'Region Mapping'!$A:$A,'Key inputs_Emissions'!D$39)&gt;0,'IPCC(2006)'!$D$89*1000/(Legend!$B$83*Legend!$B$82*Legend!$B$84),'IPCC(2006)'!$H$89*1000/(Legend!$B$83*Legend!$B$82*Legend!$B$84))</f>
        <v>0</v>
      </c>
      <c r="E86" s="209">
        <f>IF(SUMIFS('Region Mapping'!$E:$E,'Region Mapping'!$A:$A,'Key inputs_Emissions'!E$39)&gt;0,'IPCC(2006)'!$D$89*1000/(Legend!$B$83*Legend!$B$82*Legend!$B$84),'IPCC(2006)'!$H$89*1000/(Legend!$B$83*Legend!$B$82*Legend!$B$84))</f>
        <v>0</v>
      </c>
      <c r="F86" s="209">
        <f>IF(SUMIFS('Region Mapping'!$E:$E,'Region Mapping'!$A:$A,'Key inputs_Emissions'!F$39)&gt;0,'IPCC(2006)'!$D$89*1000/(Legend!$B$83*Legend!$B$82*Legend!$B$84),'IPCC(2006)'!$H$89*1000/(Legend!$B$83*Legend!$B$82*Legend!$B$84))</f>
        <v>0</v>
      </c>
      <c r="G86" s="209">
        <f>IF(SUMIFS('Region Mapping'!$E:$E,'Region Mapping'!$A:$A,'Key inputs_Emissions'!G$39)&gt;0,'IPCC(2006)'!$D$89*1000/(Legend!$B$83*Legend!$B$82*Legend!$B$84),'IPCC(2006)'!$H$89*1000/(Legend!$B$83*Legend!$B$82*Legend!$B$84))</f>
        <v>0</v>
      </c>
      <c r="H86" s="209">
        <f>IF(SUMIFS('Region Mapping'!$E:$E,'Region Mapping'!$A:$A,'Key inputs_Emissions'!H$39)&gt;0,'IPCC(2006)'!$D$89*1000/(Legend!$B$83*Legend!$B$82*Legend!$B$84),'IPCC(2006)'!$H$89*1000/(Legend!$B$83*Legend!$B$82*Legend!$B$84))</f>
        <v>0</v>
      </c>
      <c r="I86" s="209">
        <f>IF(SUMIFS('Region Mapping'!$E:$E,'Region Mapping'!$A:$A,'Key inputs_Emissions'!I$39)&gt;0,'IPCC(2006)'!$D$89*1000/(Legend!$B$83*Legend!$B$82*Legend!$B$84),'IPCC(2006)'!$H$89*1000/(Legend!$B$83*Legend!$B$82*Legend!$B$84))</f>
        <v>0</v>
      </c>
      <c r="J86" s="209">
        <f>IF(SUMIFS('Region Mapping'!$E:$E,'Region Mapping'!$A:$A,'Key inputs_Emissions'!J$39)&gt;0,'IPCC(2006)'!$D$89*1000/(Legend!$B$83*Legend!$B$82*Legend!$B$84),'IPCC(2006)'!$H$89*1000/(Legend!$B$83*Legend!$B$82*Legend!$B$84))</f>
        <v>0</v>
      </c>
      <c r="K86" s="209">
        <f>IF(SUMIFS('Region Mapping'!$E:$E,'Region Mapping'!$A:$A,'Key inputs_Emissions'!K$39)&gt;0,'IPCC(2006)'!$D$89*1000/(Legend!$B$83*Legend!$B$82*Legend!$B$84),'IPCC(2006)'!$H$89*1000/(Legend!$B$83*Legend!$B$82*Legend!$B$84))</f>
        <v>0</v>
      </c>
      <c r="L86" s="209">
        <f>IF(SUMIFS('Region Mapping'!$E:$E,'Region Mapping'!$A:$A,'Key inputs_Emissions'!L$39)&gt;0,'IPCC(2006)'!$D$89*1000/(Legend!$B$83*Legend!$B$82*Legend!$B$84),'IPCC(2006)'!$H$89*1000/(Legend!$B$83*Legend!$B$82*Legend!$B$84))</f>
        <v>0</v>
      </c>
      <c r="M86" s="209">
        <f>IF(SUMIFS('Region Mapping'!$E:$E,'Region Mapping'!$A:$A,'Key inputs_Emissions'!M$39)&gt;0,'IPCC(2006)'!$D$89*1000/(Legend!$B$83*Legend!$B$82*Legend!$B$84),'IPCC(2006)'!$H$89*1000/(Legend!$B$83*Legend!$B$82*Legend!$B$84))</f>
        <v>0</v>
      </c>
      <c r="N86" s="209">
        <f>IF(SUMIFS('Region Mapping'!$E:$E,'Region Mapping'!$A:$A,'Key inputs_Emissions'!N$39)&gt;0,'IPCC(2006)'!$D$89*1000/(Legend!$B$83*Legend!$B$82*Legend!$B$84),'IPCC(2006)'!$H$89*1000/(Legend!$B$83*Legend!$B$82*Legend!$B$84))</f>
        <v>0</v>
      </c>
      <c r="O86" s="209">
        <f>IF(SUMIFS('Region Mapping'!$E:$E,'Region Mapping'!$A:$A,'Key inputs_Emissions'!O$39)&gt;0,'IPCC(2006)'!$D$89*1000/(Legend!$B$83*Legend!$B$82*Legend!$B$84),'IPCC(2006)'!$H$89*1000/(Legend!$B$83*Legend!$B$82*Legend!$B$84))</f>
        <v>0</v>
      </c>
      <c r="P86" s="209">
        <f>IF(SUMIFS('Region Mapping'!$E:$E,'Region Mapping'!$A:$A,'Key inputs_Emissions'!P$39)&gt;0,'IPCC(2006)'!$D$89*1000/(Legend!$B$83*Legend!$B$82*Legend!$B$84),'IPCC(2006)'!$H$89*1000/(Legend!$B$83*Legend!$B$82*Legend!$B$84))</f>
        <v>0</v>
      </c>
      <c r="Q86" s="209">
        <f>IF(SUMIFS('Region Mapping'!$E:$E,'Region Mapping'!$A:$A,'Key inputs_Emissions'!Q$39)&gt;0,'IPCC(2006)'!$D$89*1000/(Legend!$B$83*Legend!$B$82*Legend!$B$84),'IPCC(2006)'!$H$89*1000/(Legend!$B$83*Legend!$B$82*Legend!$B$84))</f>
        <v>0</v>
      </c>
      <c r="R86" s="209">
        <f>IF(SUMIFS('Region Mapping'!$E:$E,'Region Mapping'!$A:$A,'Key inputs_Emissions'!R$39)&gt;0,'IPCC(2006)'!$D$89*1000/(Legend!$B$83*Legend!$B$82*Legend!$B$84),'IPCC(2006)'!$H$89*1000/(Legend!$B$83*Legend!$B$82*Legend!$B$84))</f>
        <v>0</v>
      </c>
      <c r="S86" s="209">
        <f>IF(SUMIFS('Region Mapping'!$E:$E,'Region Mapping'!$A:$A,'Key inputs_Emissions'!S$39)&gt;0,'IPCC(2006)'!$D$89*1000/(Legend!$B$83*Legend!$B$82*Legend!$B$84),'IPCC(2006)'!$H$89*1000/(Legend!$B$83*Legend!$B$82*Legend!$B$84))</f>
        <v>0</v>
      </c>
      <c r="T86" s="209">
        <f>IF(SUMIFS('Region Mapping'!$E:$E,'Region Mapping'!$A:$A,'Key inputs_Emissions'!T$39)&gt;0,'IPCC(2006)'!$D$89*1000/(Legend!$B$83*Legend!$B$82*Legend!$B$84),'IPCC(2006)'!$H$89*1000/(Legend!$B$83*Legend!$B$82*Legend!$B$84))</f>
        <v>0</v>
      </c>
      <c r="U86" s="209">
        <f>IF(SUMIFS('Region Mapping'!$E:$E,'Region Mapping'!$A:$A,'Key inputs_Emissions'!U$39)&gt;0,'IPCC(2006)'!$D$89*1000/(Legend!$B$83*Legend!$B$82*Legend!$B$84),'IPCC(2006)'!$H$89*1000/(Legend!$B$83*Legend!$B$82*Legend!$B$84))</f>
        <v>0</v>
      </c>
      <c r="V86" s="209">
        <f>IF(SUMIFS('Region Mapping'!$E:$E,'Region Mapping'!$A:$A,'Key inputs_Emissions'!V$39)&gt;0,'IPCC(2006)'!$D$89*1000/(Legend!$B$83*Legend!$B$82*Legend!$B$84),'IPCC(2006)'!$H$89*1000/(Legend!$B$83*Legend!$B$82*Legend!$B$84))</f>
        <v>0</v>
      </c>
      <c r="W86" s="209">
        <f>IF(SUMIFS('Region Mapping'!$E:$E,'Region Mapping'!$A:$A,'Key inputs_Emissions'!W$39)&gt;0,'IPCC(2006)'!$D$89*1000/(Legend!$B$83*Legend!$B$82*Legend!$B$84),'IPCC(2006)'!$H$89*1000/(Legend!$B$83*Legend!$B$82*Legend!$B$84))</f>
        <v>0</v>
      </c>
      <c r="X86" s="209">
        <f>IF(SUMIFS('Region Mapping'!$E:$E,'Region Mapping'!$A:$A,'Key inputs_Emissions'!X$39)&gt;0,'IPCC(2006)'!$D$89*1000/(Legend!$B$83*Legend!$B$82*Legend!$B$84),'IPCC(2006)'!$H$89*1000/(Legend!$B$83*Legend!$B$82*Legend!$B$84))</f>
        <v>0</v>
      </c>
      <c r="Y86" s="209">
        <f>IF(SUMIFS('Region Mapping'!$E:$E,'Region Mapping'!$A:$A,'Key inputs_Emissions'!Y$39)&gt;0,'IPCC(2006)'!$D$89*1000/(Legend!$B$83*Legend!$B$82*Legend!$B$84),'IPCC(2006)'!$H$89*1000/(Legend!$B$83*Legend!$B$82*Legend!$B$84))</f>
        <v>0</v>
      </c>
      <c r="Z86" s="209">
        <f>IF(SUMIFS('Region Mapping'!$E:$E,'Region Mapping'!$A:$A,'Key inputs_Emissions'!Z$39)&gt;0,'IPCC(2006)'!$D$89*1000/(Legend!$B$83*Legend!$B$82*Legend!$B$84),'IPCC(2006)'!$H$89*1000/(Legend!$B$83*Legend!$B$82*Legend!$B$84))</f>
        <v>0</v>
      </c>
      <c r="AA86" s="209">
        <f>IF(SUMIFS('Region Mapping'!$E:$E,'Region Mapping'!$A:$A,'Key inputs_Emissions'!AA$39)&gt;0,'IPCC(2006)'!$D$89*1000/(Legend!$B$83*Legend!$B$82*Legend!$B$84),'IPCC(2006)'!$H$89*1000/(Legend!$B$83*Legend!$B$82*Legend!$B$84))</f>
        <v>0</v>
      </c>
      <c r="AB86" s="209">
        <f>IF(SUMIFS('Region Mapping'!$E:$E,'Region Mapping'!$A:$A,'Key inputs_Emissions'!AB$39)&gt;0,'IPCC(2006)'!$D$89*1000/(Legend!$B$83*Legend!$B$82*Legend!$B$84),'IPCC(2006)'!$H$89*1000/(Legend!$B$83*Legend!$B$82*Legend!$B$84))</f>
        <v>0</v>
      </c>
      <c r="AC86" s="209">
        <f>IF(SUMIFS('Region Mapping'!$E:$E,'Region Mapping'!$A:$A,'Key inputs_Emissions'!AC$39)&gt;0,'IPCC(2006)'!$D$89*1000/(Legend!$B$83*Legend!$B$82*Legend!$B$84),'IPCC(2006)'!$H$89*1000/(Legend!$B$83*Legend!$B$82*Legend!$B$84))</f>
        <v>0</v>
      </c>
      <c r="AD86" s="220">
        <f>IF(SUMIFS('Region Mapping'!$E:$E,'Region Mapping'!$A:$A,'Key inputs_Emissions'!AD$39)&gt;0,'IPCC(2006)'!$D$89*1000/(Legend!$B$83*Legend!$B$82*Legend!$B$84),'IPCC(2006)'!$H$89*1000/(Legend!$B$83*Legend!$B$82*Legend!$B$84))</f>
        <v>0</v>
      </c>
    </row>
    <row r="87" spans="1:30">
      <c r="A87" s="215" t="s">
        <v>1023</v>
      </c>
      <c r="B87" t="s">
        <v>1024</v>
      </c>
      <c r="C87" s="209">
        <f>IF(SUMIFS('Region Mapping'!$E:$E,'Region Mapping'!$A:$A,'Key inputs_Emissions'!C$39)&gt;0,'IPCC(2006)'!$D$90*1000/(Legend!$B$83*Legend!$B$82*Legend!$B$84),'IPCC(2006)'!$H$90*1000/(Legend!$B$83*Legend!$B$82*Legend!$B$84))</f>
        <v>0</v>
      </c>
      <c r="D87" s="209">
        <f>IF(SUMIFS('Region Mapping'!$E:$E,'Region Mapping'!$A:$A,'Key inputs_Emissions'!D$39)&gt;0,'IPCC(2006)'!$D$90*1000/(Legend!$B$83*Legend!$B$82*Legend!$B$84),'IPCC(2006)'!$H$90*1000/(Legend!$B$83*Legend!$B$82*Legend!$B$84))</f>
        <v>0</v>
      </c>
      <c r="E87" s="209">
        <f>IF(SUMIFS('Region Mapping'!$E:$E,'Region Mapping'!$A:$A,'Key inputs_Emissions'!E$39)&gt;0,'IPCC(2006)'!$D$90*1000/(Legend!$B$83*Legend!$B$82*Legend!$B$84),'IPCC(2006)'!$H$90*1000/(Legend!$B$83*Legend!$B$82*Legend!$B$84))</f>
        <v>0</v>
      </c>
      <c r="F87" s="209">
        <f>IF(SUMIFS('Region Mapping'!$E:$E,'Region Mapping'!$A:$A,'Key inputs_Emissions'!F$39)&gt;0,'IPCC(2006)'!$D$90*1000/(Legend!$B$83*Legend!$B$82*Legend!$B$84),'IPCC(2006)'!$H$90*1000/(Legend!$B$83*Legend!$B$82*Legend!$B$84))</f>
        <v>0</v>
      </c>
      <c r="G87" s="209">
        <f>IF(SUMIFS('Region Mapping'!$E:$E,'Region Mapping'!$A:$A,'Key inputs_Emissions'!G$39)&gt;0,'IPCC(2006)'!$D$90*1000/(Legend!$B$83*Legend!$B$82*Legend!$B$84),'IPCC(2006)'!$H$90*1000/(Legend!$B$83*Legend!$B$82*Legend!$B$84))</f>
        <v>0</v>
      </c>
      <c r="H87" s="209">
        <f>IF(SUMIFS('Region Mapping'!$E:$E,'Region Mapping'!$A:$A,'Key inputs_Emissions'!H$39)&gt;0,'IPCC(2006)'!$D$90*1000/(Legend!$B$83*Legend!$B$82*Legend!$B$84),'IPCC(2006)'!$H$90*1000/(Legend!$B$83*Legend!$B$82*Legend!$B$84))</f>
        <v>0</v>
      </c>
      <c r="I87" s="209">
        <f>IF(SUMIFS('Region Mapping'!$E:$E,'Region Mapping'!$A:$A,'Key inputs_Emissions'!I$39)&gt;0,'IPCC(2006)'!$D$90*1000/(Legend!$B$83*Legend!$B$82*Legend!$B$84),'IPCC(2006)'!$H$90*1000/(Legend!$B$83*Legend!$B$82*Legend!$B$84))</f>
        <v>0</v>
      </c>
      <c r="J87" s="209">
        <f>IF(SUMIFS('Region Mapping'!$E:$E,'Region Mapping'!$A:$A,'Key inputs_Emissions'!J$39)&gt;0,'IPCC(2006)'!$D$90*1000/(Legend!$B$83*Legend!$B$82*Legend!$B$84),'IPCC(2006)'!$H$90*1000/(Legend!$B$83*Legend!$B$82*Legend!$B$84))</f>
        <v>0</v>
      </c>
      <c r="K87" s="209">
        <f>IF(SUMIFS('Region Mapping'!$E:$E,'Region Mapping'!$A:$A,'Key inputs_Emissions'!K$39)&gt;0,'IPCC(2006)'!$D$90*1000/(Legend!$B$83*Legend!$B$82*Legend!$B$84),'IPCC(2006)'!$H$90*1000/(Legend!$B$83*Legend!$B$82*Legend!$B$84))</f>
        <v>0</v>
      </c>
      <c r="L87" s="209">
        <f>IF(SUMIFS('Region Mapping'!$E:$E,'Region Mapping'!$A:$A,'Key inputs_Emissions'!L$39)&gt;0,'IPCC(2006)'!$D$90*1000/(Legend!$B$83*Legend!$B$82*Legend!$B$84),'IPCC(2006)'!$H$90*1000/(Legend!$B$83*Legend!$B$82*Legend!$B$84))</f>
        <v>0</v>
      </c>
      <c r="M87" s="209">
        <f>IF(SUMIFS('Region Mapping'!$E:$E,'Region Mapping'!$A:$A,'Key inputs_Emissions'!M$39)&gt;0,'IPCC(2006)'!$D$90*1000/(Legend!$B$83*Legend!$B$82*Legend!$B$84),'IPCC(2006)'!$H$90*1000/(Legend!$B$83*Legend!$B$82*Legend!$B$84))</f>
        <v>0</v>
      </c>
      <c r="N87" s="209">
        <f>IF(SUMIFS('Region Mapping'!$E:$E,'Region Mapping'!$A:$A,'Key inputs_Emissions'!N$39)&gt;0,'IPCC(2006)'!$D$90*1000/(Legend!$B$83*Legend!$B$82*Legend!$B$84),'IPCC(2006)'!$H$90*1000/(Legend!$B$83*Legend!$B$82*Legend!$B$84))</f>
        <v>0</v>
      </c>
      <c r="O87" s="209">
        <f>IF(SUMIFS('Region Mapping'!$E:$E,'Region Mapping'!$A:$A,'Key inputs_Emissions'!O$39)&gt;0,'IPCC(2006)'!$D$90*1000/(Legend!$B$83*Legend!$B$82*Legend!$B$84),'IPCC(2006)'!$H$90*1000/(Legend!$B$83*Legend!$B$82*Legend!$B$84))</f>
        <v>0</v>
      </c>
      <c r="P87" s="209">
        <f>IF(SUMIFS('Region Mapping'!$E:$E,'Region Mapping'!$A:$A,'Key inputs_Emissions'!P$39)&gt;0,'IPCC(2006)'!$D$90*1000/(Legend!$B$83*Legend!$B$82*Legend!$B$84),'IPCC(2006)'!$H$90*1000/(Legend!$B$83*Legend!$B$82*Legend!$B$84))</f>
        <v>0</v>
      </c>
      <c r="Q87" s="209">
        <f>IF(SUMIFS('Region Mapping'!$E:$E,'Region Mapping'!$A:$A,'Key inputs_Emissions'!Q$39)&gt;0,'IPCC(2006)'!$D$90*1000/(Legend!$B$83*Legend!$B$82*Legend!$B$84),'IPCC(2006)'!$H$90*1000/(Legend!$B$83*Legend!$B$82*Legend!$B$84))</f>
        <v>0</v>
      </c>
      <c r="R87" s="209">
        <f>IF(SUMIFS('Region Mapping'!$E:$E,'Region Mapping'!$A:$A,'Key inputs_Emissions'!R$39)&gt;0,'IPCC(2006)'!$D$90*1000/(Legend!$B$83*Legend!$B$82*Legend!$B$84),'IPCC(2006)'!$H$90*1000/(Legend!$B$83*Legend!$B$82*Legend!$B$84))</f>
        <v>0</v>
      </c>
      <c r="S87" s="209">
        <f>IF(SUMIFS('Region Mapping'!$E:$E,'Region Mapping'!$A:$A,'Key inputs_Emissions'!S$39)&gt;0,'IPCC(2006)'!$D$90*1000/(Legend!$B$83*Legend!$B$82*Legend!$B$84),'IPCC(2006)'!$H$90*1000/(Legend!$B$83*Legend!$B$82*Legend!$B$84))</f>
        <v>0</v>
      </c>
      <c r="T87" s="209">
        <f>IF(SUMIFS('Region Mapping'!$E:$E,'Region Mapping'!$A:$A,'Key inputs_Emissions'!T$39)&gt;0,'IPCC(2006)'!$D$90*1000/(Legend!$B$83*Legend!$B$82*Legend!$B$84),'IPCC(2006)'!$H$90*1000/(Legend!$B$83*Legend!$B$82*Legend!$B$84))</f>
        <v>0</v>
      </c>
      <c r="U87" s="209">
        <f>IF(SUMIFS('Region Mapping'!$E:$E,'Region Mapping'!$A:$A,'Key inputs_Emissions'!U$39)&gt;0,'IPCC(2006)'!$D$90*1000/(Legend!$B$83*Legend!$B$82*Legend!$B$84),'IPCC(2006)'!$H$90*1000/(Legend!$B$83*Legend!$B$82*Legend!$B$84))</f>
        <v>0</v>
      </c>
      <c r="V87" s="209">
        <f>IF(SUMIFS('Region Mapping'!$E:$E,'Region Mapping'!$A:$A,'Key inputs_Emissions'!V$39)&gt;0,'IPCC(2006)'!$D$90*1000/(Legend!$B$83*Legend!$B$82*Legend!$B$84),'IPCC(2006)'!$H$90*1000/(Legend!$B$83*Legend!$B$82*Legend!$B$84))</f>
        <v>0</v>
      </c>
      <c r="W87" s="209">
        <f>IF(SUMIFS('Region Mapping'!$E:$E,'Region Mapping'!$A:$A,'Key inputs_Emissions'!W$39)&gt;0,'IPCC(2006)'!$D$90*1000/(Legend!$B$83*Legend!$B$82*Legend!$B$84),'IPCC(2006)'!$H$90*1000/(Legend!$B$83*Legend!$B$82*Legend!$B$84))</f>
        <v>0</v>
      </c>
      <c r="X87" s="209">
        <f>IF(SUMIFS('Region Mapping'!$E:$E,'Region Mapping'!$A:$A,'Key inputs_Emissions'!X$39)&gt;0,'IPCC(2006)'!$D$90*1000/(Legend!$B$83*Legend!$B$82*Legend!$B$84),'IPCC(2006)'!$H$90*1000/(Legend!$B$83*Legend!$B$82*Legend!$B$84))</f>
        <v>0</v>
      </c>
      <c r="Y87" s="209">
        <f>IF(SUMIFS('Region Mapping'!$E:$E,'Region Mapping'!$A:$A,'Key inputs_Emissions'!Y$39)&gt;0,'IPCC(2006)'!$D$90*1000/(Legend!$B$83*Legend!$B$82*Legend!$B$84),'IPCC(2006)'!$H$90*1000/(Legend!$B$83*Legend!$B$82*Legend!$B$84))</f>
        <v>0</v>
      </c>
      <c r="Z87" s="209">
        <f>IF(SUMIFS('Region Mapping'!$E:$E,'Region Mapping'!$A:$A,'Key inputs_Emissions'!Z$39)&gt;0,'IPCC(2006)'!$D$90*1000/(Legend!$B$83*Legend!$B$82*Legend!$B$84),'IPCC(2006)'!$H$90*1000/(Legend!$B$83*Legend!$B$82*Legend!$B$84))</f>
        <v>0</v>
      </c>
      <c r="AA87" s="209">
        <f>IF(SUMIFS('Region Mapping'!$E:$E,'Region Mapping'!$A:$A,'Key inputs_Emissions'!AA$39)&gt;0,'IPCC(2006)'!$D$90*1000/(Legend!$B$83*Legend!$B$82*Legend!$B$84),'IPCC(2006)'!$H$90*1000/(Legend!$B$83*Legend!$B$82*Legend!$B$84))</f>
        <v>0</v>
      </c>
      <c r="AB87" s="209">
        <f>IF(SUMIFS('Region Mapping'!$E:$E,'Region Mapping'!$A:$A,'Key inputs_Emissions'!AB$39)&gt;0,'IPCC(2006)'!$D$90*1000/(Legend!$B$83*Legend!$B$82*Legend!$B$84),'IPCC(2006)'!$H$90*1000/(Legend!$B$83*Legend!$B$82*Legend!$B$84))</f>
        <v>0</v>
      </c>
      <c r="AC87" s="209">
        <f>IF(SUMIFS('Region Mapping'!$E:$E,'Region Mapping'!$A:$A,'Key inputs_Emissions'!AC$39)&gt;0,'IPCC(2006)'!$D$90*1000/(Legend!$B$83*Legend!$B$82*Legend!$B$84),'IPCC(2006)'!$H$90*1000/(Legend!$B$83*Legend!$B$82*Legend!$B$84))</f>
        <v>0</v>
      </c>
      <c r="AD87" s="220">
        <f>IF(SUMIFS('Region Mapping'!$E:$E,'Region Mapping'!$A:$A,'Key inputs_Emissions'!AD$39)&gt;0,'IPCC(2006)'!$D$90*1000/(Legend!$B$83*Legend!$B$82*Legend!$B$84),'IPCC(2006)'!$H$90*1000/(Legend!$B$83*Legend!$B$82*Legend!$B$84))</f>
        <v>0</v>
      </c>
    </row>
    <row r="88" spans="1:30">
      <c r="A88" s="215" t="s">
        <v>1025</v>
      </c>
      <c r="B88" t="s">
        <v>1026</v>
      </c>
      <c r="C88" s="209">
        <f>IF(SUMIFS('Region Mapping'!$E:$E,'Region Mapping'!$A:$A,'Key inputs_Emissions'!C$39)&gt;0,'IPCC(2006)'!$D$92*1000/(Legend!$B$97*10^-3),'IPCC(2006)'!$H$92*1000/(Legend!$B$97*10^-3))</f>
        <v>0</v>
      </c>
      <c r="D88" s="209">
        <f>IF(SUMIFS('Region Mapping'!$E:$E,'Region Mapping'!$A:$A,'Key inputs_Emissions'!D$39)&gt;0,'IPCC(2006)'!$D$92*1000/(Legend!$B$97*10^-3),'IPCC(2006)'!$H$92*1000/(Legend!$B$97*10^-3))</f>
        <v>0</v>
      </c>
      <c r="E88" s="209">
        <f>IF(SUMIFS('Region Mapping'!$E:$E,'Region Mapping'!$A:$A,'Key inputs_Emissions'!E$39)&gt;0,'IPCC(2006)'!$D$92*1000/(Legend!$B$97*10^-3),'IPCC(2006)'!$H$92*1000/(Legend!$B$97*10^-3))</f>
        <v>0</v>
      </c>
      <c r="F88" s="209">
        <f>IF(SUMIFS('Region Mapping'!$E:$E,'Region Mapping'!$A:$A,'Key inputs_Emissions'!F$39)&gt;0,'IPCC(2006)'!$D$92*1000/(Legend!$B$97*10^-3),'IPCC(2006)'!$H$92*1000/(Legend!$B$97*10^-3))</f>
        <v>0</v>
      </c>
      <c r="G88" s="209">
        <f>IF(SUMIFS('Region Mapping'!$E:$E,'Region Mapping'!$A:$A,'Key inputs_Emissions'!G$39)&gt;0,'IPCC(2006)'!$D$92*1000/(Legend!$B$97*10^-3),'IPCC(2006)'!$H$92*1000/(Legend!$B$97*10^-3))</f>
        <v>0</v>
      </c>
      <c r="H88" s="209">
        <f>IF(SUMIFS('Region Mapping'!$E:$E,'Region Mapping'!$A:$A,'Key inputs_Emissions'!H$39)&gt;0,'IPCC(2006)'!$D$92*1000/(Legend!$B$97*10^-3),'IPCC(2006)'!$H$92*1000/(Legend!$B$97*10^-3))</f>
        <v>0</v>
      </c>
      <c r="I88" s="209">
        <f>IF(SUMIFS('Region Mapping'!$E:$E,'Region Mapping'!$A:$A,'Key inputs_Emissions'!I$39)&gt;0,'IPCC(2006)'!$D$92*1000/(Legend!$B$97*10^-3),'IPCC(2006)'!$H$92*1000/(Legend!$B$97*10^-3))</f>
        <v>0</v>
      </c>
      <c r="J88" s="209">
        <f>IF(SUMIFS('Region Mapping'!$E:$E,'Region Mapping'!$A:$A,'Key inputs_Emissions'!J$39)&gt;0,'IPCC(2006)'!$D$92*1000/(Legend!$B$97*10^-3),'IPCC(2006)'!$H$92*1000/(Legend!$B$97*10^-3))</f>
        <v>0</v>
      </c>
      <c r="K88" s="209">
        <f>IF(SUMIFS('Region Mapping'!$E:$E,'Region Mapping'!$A:$A,'Key inputs_Emissions'!K$39)&gt;0,'IPCC(2006)'!$D$92*1000/(Legend!$B$97*10^-3),'IPCC(2006)'!$H$92*1000/(Legend!$B$97*10^-3))</f>
        <v>0</v>
      </c>
      <c r="L88" s="209">
        <f>IF(SUMIFS('Region Mapping'!$E:$E,'Region Mapping'!$A:$A,'Key inputs_Emissions'!L$39)&gt;0,'IPCC(2006)'!$D$92*1000/(Legend!$B$97*10^-3),'IPCC(2006)'!$H$92*1000/(Legend!$B$97*10^-3))</f>
        <v>0</v>
      </c>
      <c r="M88" s="209">
        <f>IF(SUMIFS('Region Mapping'!$E:$E,'Region Mapping'!$A:$A,'Key inputs_Emissions'!M$39)&gt;0,'IPCC(2006)'!$D$92*1000/(Legend!$B$97*10^-3),'IPCC(2006)'!$H$92*1000/(Legend!$B$97*10^-3))</f>
        <v>0</v>
      </c>
      <c r="N88" s="209">
        <f>IF(SUMIFS('Region Mapping'!$E:$E,'Region Mapping'!$A:$A,'Key inputs_Emissions'!N$39)&gt;0,'IPCC(2006)'!$D$92*1000/(Legend!$B$97*10^-3),'IPCC(2006)'!$H$92*1000/(Legend!$B$97*10^-3))</f>
        <v>0</v>
      </c>
      <c r="O88" s="209">
        <f>IF(SUMIFS('Region Mapping'!$E:$E,'Region Mapping'!$A:$A,'Key inputs_Emissions'!O$39)&gt;0,'IPCC(2006)'!$D$92*1000/(Legend!$B$97*10^-3),'IPCC(2006)'!$H$92*1000/(Legend!$B$97*10^-3))</f>
        <v>0</v>
      </c>
      <c r="P88" s="209">
        <f>IF(SUMIFS('Region Mapping'!$E:$E,'Region Mapping'!$A:$A,'Key inputs_Emissions'!P$39)&gt;0,'IPCC(2006)'!$D$92*1000/(Legend!$B$97*10^-3),'IPCC(2006)'!$H$92*1000/(Legend!$B$97*10^-3))</f>
        <v>0</v>
      </c>
      <c r="Q88" s="209">
        <f>IF(SUMIFS('Region Mapping'!$E:$E,'Region Mapping'!$A:$A,'Key inputs_Emissions'!Q$39)&gt;0,'IPCC(2006)'!$D$92*1000/(Legend!$B$97*10^-3),'IPCC(2006)'!$H$92*1000/(Legend!$B$97*10^-3))</f>
        <v>0</v>
      </c>
      <c r="R88" s="209">
        <f>IF(SUMIFS('Region Mapping'!$E:$E,'Region Mapping'!$A:$A,'Key inputs_Emissions'!R$39)&gt;0,'IPCC(2006)'!$D$92*1000/(Legend!$B$97*10^-3),'IPCC(2006)'!$H$92*1000/(Legend!$B$97*10^-3))</f>
        <v>0</v>
      </c>
      <c r="S88" s="209">
        <f>IF(SUMIFS('Region Mapping'!$E:$E,'Region Mapping'!$A:$A,'Key inputs_Emissions'!S$39)&gt;0,'IPCC(2006)'!$D$92*1000/(Legend!$B$97*10^-3),'IPCC(2006)'!$H$92*1000/(Legend!$B$97*10^-3))</f>
        <v>0</v>
      </c>
      <c r="T88" s="209">
        <f>IF(SUMIFS('Region Mapping'!$E:$E,'Region Mapping'!$A:$A,'Key inputs_Emissions'!T$39)&gt;0,'IPCC(2006)'!$D$92*1000/(Legend!$B$97*10^-3),'IPCC(2006)'!$H$92*1000/(Legend!$B$97*10^-3))</f>
        <v>0</v>
      </c>
      <c r="U88" s="209">
        <f>IF(SUMIFS('Region Mapping'!$E:$E,'Region Mapping'!$A:$A,'Key inputs_Emissions'!U$39)&gt;0,'IPCC(2006)'!$D$92*1000/(Legend!$B$97*10^-3),'IPCC(2006)'!$H$92*1000/(Legend!$B$97*10^-3))</f>
        <v>0</v>
      </c>
      <c r="V88" s="209">
        <f>IF(SUMIFS('Region Mapping'!$E:$E,'Region Mapping'!$A:$A,'Key inputs_Emissions'!V$39)&gt;0,'IPCC(2006)'!$D$92*1000/(Legend!$B$97*10^-3),'IPCC(2006)'!$H$92*1000/(Legend!$B$97*10^-3))</f>
        <v>0</v>
      </c>
      <c r="W88" s="209">
        <f>IF(SUMIFS('Region Mapping'!$E:$E,'Region Mapping'!$A:$A,'Key inputs_Emissions'!W$39)&gt;0,'IPCC(2006)'!$D$92*1000/(Legend!$B$97*10^-3),'IPCC(2006)'!$H$92*1000/(Legend!$B$97*10^-3))</f>
        <v>0</v>
      </c>
      <c r="X88" s="209">
        <f>IF(SUMIFS('Region Mapping'!$E:$E,'Region Mapping'!$A:$A,'Key inputs_Emissions'!X$39)&gt;0,'IPCC(2006)'!$D$92*1000/(Legend!$B$97*10^-3),'IPCC(2006)'!$H$92*1000/(Legend!$B$97*10^-3))</f>
        <v>0</v>
      </c>
      <c r="Y88" s="209">
        <f>IF(SUMIFS('Region Mapping'!$E:$E,'Region Mapping'!$A:$A,'Key inputs_Emissions'!Y$39)&gt;0,'IPCC(2006)'!$D$92*1000/(Legend!$B$97*10^-3),'IPCC(2006)'!$H$92*1000/(Legend!$B$97*10^-3))</f>
        <v>0</v>
      </c>
      <c r="Z88" s="209">
        <f>IF(SUMIFS('Region Mapping'!$E:$E,'Region Mapping'!$A:$A,'Key inputs_Emissions'!Z$39)&gt;0,'IPCC(2006)'!$D$92*1000/(Legend!$B$97*10^-3),'IPCC(2006)'!$H$92*1000/(Legend!$B$97*10^-3))</f>
        <v>0</v>
      </c>
      <c r="AA88" s="209">
        <f>IF(SUMIFS('Region Mapping'!$E:$E,'Region Mapping'!$A:$A,'Key inputs_Emissions'!AA$39)&gt;0,'IPCC(2006)'!$D$92*1000/(Legend!$B$97*10^-3),'IPCC(2006)'!$H$92*1000/(Legend!$B$97*10^-3))</f>
        <v>0</v>
      </c>
      <c r="AB88" s="209">
        <f>IF(SUMIFS('Region Mapping'!$E:$E,'Region Mapping'!$A:$A,'Key inputs_Emissions'!AB$39)&gt;0,'IPCC(2006)'!$D$92*1000/(Legend!$B$97*10^-3),'IPCC(2006)'!$H$92*1000/(Legend!$B$97*10^-3))</f>
        <v>0</v>
      </c>
      <c r="AC88" s="209">
        <f>IF(SUMIFS('Region Mapping'!$E:$E,'Region Mapping'!$A:$A,'Key inputs_Emissions'!AC$39)&gt;0,'IPCC(2006)'!$D$92*1000/(Legend!$B$97*10^-3),'IPCC(2006)'!$H$92*1000/(Legend!$B$97*10^-3))</f>
        <v>0</v>
      </c>
      <c r="AD88" s="220">
        <f>IF(SUMIFS('Region Mapping'!$E:$E,'Region Mapping'!$A:$A,'Key inputs_Emissions'!AD$39)&gt;0,'IPCC(2006)'!$D$92*1000/(Legend!$B$97*10^-3),'IPCC(2006)'!$H$92*1000/(Legend!$B$97*10^-3))</f>
        <v>0</v>
      </c>
    </row>
    <row r="89" spans="1:30">
      <c r="A89" s="215" t="s">
        <v>1027</v>
      </c>
      <c r="B89" t="s">
        <v>1026</v>
      </c>
      <c r="C89" s="209">
        <f>IF(SUMIFS('Region Mapping'!$E:$E,'Region Mapping'!$A:$A,'Key inputs_Emissions'!C$39)&gt;0,'IPCC(2006)'!$D$93*1000/(Legend!$B$98*10^-3),'IPCC(2006)'!$H$93*1000/(Legend!$B$98*10^-3))</f>
        <v>0</v>
      </c>
      <c r="D89" s="209">
        <f>IF(SUMIFS('Region Mapping'!$E:$E,'Region Mapping'!$A:$A,'Key inputs_Emissions'!D$39)&gt;0,'IPCC(2006)'!$D$93*1000/(Legend!$B$98*10^-3),'IPCC(2006)'!$H$93*1000/(Legend!$B$98*10^-3))</f>
        <v>0</v>
      </c>
      <c r="E89" s="209">
        <f>IF(SUMIFS('Region Mapping'!$E:$E,'Region Mapping'!$A:$A,'Key inputs_Emissions'!E$39)&gt;0,'IPCC(2006)'!$D$93*1000/(Legend!$B$98*10^-3),'IPCC(2006)'!$H$93*1000/(Legend!$B$98*10^-3))</f>
        <v>0</v>
      </c>
      <c r="F89" s="209">
        <f>IF(SUMIFS('Region Mapping'!$E:$E,'Region Mapping'!$A:$A,'Key inputs_Emissions'!F$39)&gt;0,'IPCC(2006)'!$D$93*1000/(Legend!$B$98*10^-3),'IPCC(2006)'!$H$93*1000/(Legend!$B$98*10^-3))</f>
        <v>0</v>
      </c>
      <c r="G89" s="209">
        <f>IF(SUMIFS('Region Mapping'!$E:$E,'Region Mapping'!$A:$A,'Key inputs_Emissions'!G$39)&gt;0,'IPCC(2006)'!$D$93*1000/(Legend!$B$98*10^-3),'IPCC(2006)'!$H$93*1000/(Legend!$B$98*10^-3))</f>
        <v>0</v>
      </c>
      <c r="H89" s="209">
        <f>IF(SUMIFS('Region Mapping'!$E:$E,'Region Mapping'!$A:$A,'Key inputs_Emissions'!H$39)&gt;0,'IPCC(2006)'!$D$93*1000/(Legend!$B$98*10^-3),'IPCC(2006)'!$H$93*1000/(Legend!$B$98*10^-3))</f>
        <v>0</v>
      </c>
      <c r="I89" s="209">
        <f>IF(SUMIFS('Region Mapping'!$E:$E,'Region Mapping'!$A:$A,'Key inputs_Emissions'!I$39)&gt;0,'IPCC(2006)'!$D$93*1000/(Legend!$B$98*10^-3),'IPCC(2006)'!$H$93*1000/(Legend!$B$98*10^-3))</f>
        <v>0</v>
      </c>
      <c r="J89" s="209">
        <f>IF(SUMIFS('Region Mapping'!$E:$E,'Region Mapping'!$A:$A,'Key inputs_Emissions'!J$39)&gt;0,'IPCC(2006)'!$D$93*1000/(Legend!$B$98*10^-3),'IPCC(2006)'!$H$93*1000/(Legend!$B$98*10^-3))</f>
        <v>0</v>
      </c>
      <c r="K89" s="209">
        <f>IF(SUMIFS('Region Mapping'!$E:$E,'Region Mapping'!$A:$A,'Key inputs_Emissions'!K$39)&gt;0,'IPCC(2006)'!$D$93*1000/(Legend!$B$98*10^-3),'IPCC(2006)'!$H$93*1000/(Legend!$B$98*10^-3))</f>
        <v>0</v>
      </c>
      <c r="L89" s="209">
        <f>IF(SUMIFS('Region Mapping'!$E:$E,'Region Mapping'!$A:$A,'Key inputs_Emissions'!L$39)&gt;0,'IPCC(2006)'!$D$93*1000/(Legend!$B$98*10^-3),'IPCC(2006)'!$H$93*1000/(Legend!$B$98*10^-3))</f>
        <v>0</v>
      </c>
      <c r="M89" s="209">
        <f>IF(SUMIFS('Region Mapping'!$E:$E,'Region Mapping'!$A:$A,'Key inputs_Emissions'!M$39)&gt;0,'IPCC(2006)'!$D$93*1000/(Legend!$B$98*10^-3),'IPCC(2006)'!$H$93*1000/(Legend!$B$98*10^-3))</f>
        <v>0</v>
      </c>
      <c r="N89" s="209">
        <f>IF(SUMIFS('Region Mapping'!$E:$E,'Region Mapping'!$A:$A,'Key inputs_Emissions'!N$39)&gt;0,'IPCC(2006)'!$D$93*1000/(Legend!$B$98*10^-3),'IPCC(2006)'!$H$93*1000/(Legend!$B$98*10^-3))</f>
        <v>0</v>
      </c>
      <c r="O89" s="209">
        <f>IF(SUMIFS('Region Mapping'!$E:$E,'Region Mapping'!$A:$A,'Key inputs_Emissions'!O$39)&gt;0,'IPCC(2006)'!$D$93*1000/(Legend!$B$98*10^-3),'IPCC(2006)'!$H$93*1000/(Legend!$B$98*10^-3))</f>
        <v>0</v>
      </c>
      <c r="P89" s="209">
        <f>IF(SUMIFS('Region Mapping'!$E:$E,'Region Mapping'!$A:$A,'Key inputs_Emissions'!P$39)&gt;0,'IPCC(2006)'!$D$93*1000/(Legend!$B$98*10^-3),'IPCC(2006)'!$H$93*1000/(Legend!$B$98*10^-3))</f>
        <v>0</v>
      </c>
      <c r="Q89" s="209">
        <f>IF(SUMIFS('Region Mapping'!$E:$E,'Region Mapping'!$A:$A,'Key inputs_Emissions'!Q$39)&gt;0,'IPCC(2006)'!$D$93*1000/(Legend!$B$98*10^-3),'IPCC(2006)'!$H$93*1000/(Legend!$B$98*10^-3))</f>
        <v>0</v>
      </c>
      <c r="R89" s="209">
        <f>IF(SUMIFS('Region Mapping'!$E:$E,'Region Mapping'!$A:$A,'Key inputs_Emissions'!R$39)&gt;0,'IPCC(2006)'!$D$93*1000/(Legend!$B$98*10^-3),'IPCC(2006)'!$H$93*1000/(Legend!$B$98*10^-3))</f>
        <v>0</v>
      </c>
      <c r="S89" s="209">
        <f>IF(SUMIFS('Region Mapping'!$E:$E,'Region Mapping'!$A:$A,'Key inputs_Emissions'!S$39)&gt;0,'IPCC(2006)'!$D$93*1000/(Legend!$B$98*10^-3),'IPCC(2006)'!$H$93*1000/(Legend!$B$98*10^-3))</f>
        <v>0</v>
      </c>
      <c r="T89" s="209">
        <f>IF(SUMIFS('Region Mapping'!$E:$E,'Region Mapping'!$A:$A,'Key inputs_Emissions'!T$39)&gt;0,'IPCC(2006)'!$D$93*1000/(Legend!$B$98*10^-3),'IPCC(2006)'!$H$93*1000/(Legend!$B$98*10^-3))</f>
        <v>0</v>
      </c>
      <c r="U89" s="209">
        <f>IF(SUMIFS('Region Mapping'!$E:$E,'Region Mapping'!$A:$A,'Key inputs_Emissions'!U$39)&gt;0,'IPCC(2006)'!$D$93*1000/(Legend!$B$98*10^-3),'IPCC(2006)'!$H$93*1000/(Legend!$B$98*10^-3))</f>
        <v>0</v>
      </c>
      <c r="V89" s="209">
        <f>IF(SUMIFS('Region Mapping'!$E:$E,'Region Mapping'!$A:$A,'Key inputs_Emissions'!V$39)&gt;0,'IPCC(2006)'!$D$93*1000/(Legend!$B$98*10^-3),'IPCC(2006)'!$H$93*1000/(Legend!$B$98*10^-3))</f>
        <v>0</v>
      </c>
      <c r="W89" s="209">
        <f>IF(SUMIFS('Region Mapping'!$E:$E,'Region Mapping'!$A:$A,'Key inputs_Emissions'!W$39)&gt;0,'IPCC(2006)'!$D$93*1000/(Legend!$B$98*10^-3),'IPCC(2006)'!$H$93*1000/(Legend!$B$98*10^-3))</f>
        <v>0</v>
      </c>
      <c r="X89" s="209">
        <f>IF(SUMIFS('Region Mapping'!$E:$E,'Region Mapping'!$A:$A,'Key inputs_Emissions'!X$39)&gt;0,'IPCC(2006)'!$D$93*1000/(Legend!$B$98*10^-3),'IPCC(2006)'!$H$93*1000/(Legend!$B$98*10^-3))</f>
        <v>0</v>
      </c>
      <c r="Y89" s="209">
        <f>IF(SUMIFS('Region Mapping'!$E:$E,'Region Mapping'!$A:$A,'Key inputs_Emissions'!Y$39)&gt;0,'IPCC(2006)'!$D$93*1000/(Legend!$B$98*10^-3),'IPCC(2006)'!$H$93*1000/(Legend!$B$98*10^-3))</f>
        <v>0</v>
      </c>
      <c r="Z89" s="209">
        <f>IF(SUMIFS('Region Mapping'!$E:$E,'Region Mapping'!$A:$A,'Key inputs_Emissions'!Z$39)&gt;0,'IPCC(2006)'!$D$93*1000/(Legend!$B$98*10^-3),'IPCC(2006)'!$H$93*1000/(Legend!$B$98*10^-3))</f>
        <v>0</v>
      </c>
      <c r="AA89" s="209">
        <f>IF(SUMIFS('Region Mapping'!$E:$E,'Region Mapping'!$A:$A,'Key inputs_Emissions'!AA$39)&gt;0,'IPCC(2006)'!$D$93*1000/(Legend!$B$98*10^-3),'IPCC(2006)'!$H$93*1000/(Legend!$B$98*10^-3))</f>
        <v>0</v>
      </c>
      <c r="AB89" s="209">
        <f>IF(SUMIFS('Region Mapping'!$E:$E,'Region Mapping'!$A:$A,'Key inputs_Emissions'!AB$39)&gt;0,'IPCC(2006)'!$D$93*1000/(Legend!$B$98*10^-3),'IPCC(2006)'!$H$93*1000/(Legend!$B$98*10^-3))</f>
        <v>0</v>
      </c>
      <c r="AC89" s="209">
        <f>IF(SUMIFS('Region Mapping'!$E:$E,'Region Mapping'!$A:$A,'Key inputs_Emissions'!AC$39)&gt;0,'IPCC(2006)'!$D$93*1000/(Legend!$B$98*10^-3),'IPCC(2006)'!$H$93*1000/(Legend!$B$98*10^-3))</f>
        <v>0</v>
      </c>
      <c r="AD89" s="220">
        <f>IF(SUMIFS('Region Mapping'!$E:$E,'Region Mapping'!$A:$A,'Key inputs_Emissions'!AD$39)&gt;0,'IPCC(2006)'!$D$93*1000/(Legend!$B$98*10^-3),'IPCC(2006)'!$H$93*1000/(Legend!$B$98*10^-3))</f>
        <v>0</v>
      </c>
    </row>
    <row r="90" spans="1:30">
      <c r="A90" s="215" t="s">
        <v>1028</v>
      </c>
      <c r="B90" t="s">
        <v>1026</v>
      </c>
      <c r="C90" s="209">
        <f>IF(SUMIFS('Region Mapping'!$E:$E,'Region Mapping'!$A:$A,'Key inputs_Emissions'!C$39)&gt;0,'IPCC(2006)'!$D$94*1000/(Legend!$B$99*10^-3),'IPCC(2006)'!$H$94*1000/(Legend!$B$99*10^-3))</f>
        <v>0</v>
      </c>
      <c r="D90" s="209">
        <f>IF(SUMIFS('Region Mapping'!$E:$E,'Region Mapping'!$A:$A,'Key inputs_Emissions'!D$39)&gt;0,'IPCC(2006)'!$D$94*1000/(Legend!$B$99*10^-3),'IPCC(2006)'!$H$94*1000/(Legend!$B$99*10^-3))</f>
        <v>0</v>
      </c>
      <c r="E90" s="209">
        <f>IF(SUMIFS('Region Mapping'!$E:$E,'Region Mapping'!$A:$A,'Key inputs_Emissions'!E$39)&gt;0,'IPCC(2006)'!$D$94*1000/(Legend!$B$99*10^-3),'IPCC(2006)'!$H$94*1000/(Legend!$B$99*10^-3))</f>
        <v>0</v>
      </c>
      <c r="F90" s="209">
        <f>IF(SUMIFS('Region Mapping'!$E:$E,'Region Mapping'!$A:$A,'Key inputs_Emissions'!F$39)&gt;0,'IPCC(2006)'!$D$94*1000/(Legend!$B$99*10^-3),'IPCC(2006)'!$H$94*1000/(Legend!$B$99*10^-3))</f>
        <v>0</v>
      </c>
      <c r="G90" s="209">
        <f>IF(SUMIFS('Region Mapping'!$E:$E,'Region Mapping'!$A:$A,'Key inputs_Emissions'!G$39)&gt;0,'IPCC(2006)'!$D$94*1000/(Legend!$B$99*10^-3),'IPCC(2006)'!$H$94*1000/(Legend!$B$99*10^-3))</f>
        <v>0</v>
      </c>
      <c r="H90" s="209">
        <f>IF(SUMIFS('Region Mapping'!$E:$E,'Region Mapping'!$A:$A,'Key inputs_Emissions'!H$39)&gt;0,'IPCC(2006)'!$D$94*1000/(Legend!$B$99*10^-3),'IPCC(2006)'!$H$94*1000/(Legend!$B$99*10^-3))</f>
        <v>0</v>
      </c>
      <c r="I90" s="209">
        <f>IF(SUMIFS('Region Mapping'!$E:$E,'Region Mapping'!$A:$A,'Key inputs_Emissions'!I$39)&gt;0,'IPCC(2006)'!$D$94*1000/(Legend!$B$99*10^-3),'IPCC(2006)'!$H$94*1000/(Legend!$B$99*10^-3))</f>
        <v>0</v>
      </c>
      <c r="J90" s="209">
        <f>IF(SUMIFS('Region Mapping'!$E:$E,'Region Mapping'!$A:$A,'Key inputs_Emissions'!J$39)&gt;0,'IPCC(2006)'!$D$94*1000/(Legend!$B$99*10^-3),'IPCC(2006)'!$H$94*1000/(Legend!$B$99*10^-3))</f>
        <v>0</v>
      </c>
      <c r="K90" s="209">
        <f>IF(SUMIFS('Region Mapping'!$E:$E,'Region Mapping'!$A:$A,'Key inputs_Emissions'!K$39)&gt;0,'IPCC(2006)'!$D$94*1000/(Legend!$B$99*10^-3),'IPCC(2006)'!$H$94*1000/(Legend!$B$99*10^-3))</f>
        <v>0</v>
      </c>
      <c r="L90" s="209">
        <f>IF(SUMIFS('Region Mapping'!$E:$E,'Region Mapping'!$A:$A,'Key inputs_Emissions'!L$39)&gt;0,'IPCC(2006)'!$D$94*1000/(Legend!$B$99*10^-3),'IPCC(2006)'!$H$94*1000/(Legend!$B$99*10^-3))</f>
        <v>0</v>
      </c>
      <c r="M90" s="209">
        <f>IF(SUMIFS('Region Mapping'!$E:$E,'Region Mapping'!$A:$A,'Key inputs_Emissions'!M$39)&gt;0,'IPCC(2006)'!$D$94*1000/(Legend!$B$99*10^-3),'IPCC(2006)'!$H$94*1000/(Legend!$B$99*10^-3))</f>
        <v>0</v>
      </c>
      <c r="N90" s="209">
        <f>IF(SUMIFS('Region Mapping'!$E:$E,'Region Mapping'!$A:$A,'Key inputs_Emissions'!N$39)&gt;0,'IPCC(2006)'!$D$94*1000/(Legend!$B$99*10^-3),'IPCC(2006)'!$H$94*1000/(Legend!$B$99*10^-3))</f>
        <v>0</v>
      </c>
      <c r="O90" s="209">
        <f>IF(SUMIFS('Region Mapping'!$E:$E,'Region Mapping'!$A:$A,'Key inputs_Emissions'!O$39)&gt;0,'IPCC(2006)'!$D$94*1000/(Legend!$B$99*10^-3),'IPCC(2006)'!$H$94*1000/(Legend!$B$99*10^-3))</f>
        <v>0</v>
      </c>
      <c r="P90" s="209">
        <f>IF(SUMIFS('Region Mapping'!$E:$E,'Region Mapping'!$A:$A,'Key inputs_Emissions'!P$39)&gt;0,'IPCC(2006)'!$D$94*1000/(Legend!$B$99*10^-3),'IPCC(2006)'!$H$94*1000/(Legend!$B$99*10^-3))</f>
        <v>0</v>
      </c>
      <c r="Q90" s="209">
        <f>IF(SUMIFS('Region Mapping'!$E:$E,'Region Mapping'!$A:$A,'Key inputs_Emissions'!Q$39)&gt;0,'IPCC(2006)'!$D$94*1000/(Legend!$B$99*10^-3),'IPCC(2006)'!$H$94*1000/(Legend!$B$99*10^-3))</f>
        <v>0</v>
      </c>
      <c r="R90" s="209">
        <f>IF(SUMIFS('Region Mapping'!$E:$E,'Region Mapping'!$A:$A,'Key inputs_Emissions'!R$39)&gt;0,'IPCC(2006)'!$D$94*1000/(Legend!$B$99*10^-3),'IPCC(2006)'!$H$94*1000/(Legend!$B$99*10^-3))</f>
        <v>0</v>
      </c>
      <c r="S90" s="209">
        <f>IF(SUMIFS('Region Mapping'!$E:$E,'Region Mapping'!$A:$A,'Key inputs_Emissions'!S$39)&gt;0,'IPCC(2006)'!$D$94*1000/(Legend!$B$99*10^-3),'IPCC(2006)'!$H$94*1000/(Legend!$B$99*10^-3))</f>
        <v>0</v>
      </c>
      <c r="T90" s="209">
        <f>IF(SUMIFS('Region Mapping'!$E:$E,'Region Mapping'!$A:$A,'Key inputs_Emissions'!T$39)&gt;0,'IPCC(2006)'!$D$94*1000/(Legend!$B$99*10^-3),'IPCC(2006)'!$H$94*1000/(Legend!$B$99*10^-3))</f>
        <v>0</v>
      </c>
      <c r="U90" s="209">
        <f>IF(SUMIFS('Region Mapping'!$E:$E,'Region Mapping'!$A:$A,'Key inputs_Emissions'!U$39)&gt;0,'IPCC(2006)'!$D$94*1000/(Legend!$B$99*10^-3),'IPCC(2006)'!$H$94*1000/(Legend!$B$99*10^-3))</f>
        <v>0</v>
      </c>
      <c r="V90" s="209">
        <f>IF(SUMIFS('Region Mapping'!$E:$E,'Region Mapping'!$A:$A,'Key inputs_Emissions'!V$39)&gt;0,'IPCC(2006)'!$D$94*1000/(Legend!$B$99*10^-3),'IPCC(2006)'!$H$94*1000/(Legend!$B$99*10^-3))</f>
        <v>0</v>
      </c>
      <c r="W90" s="209">
        <f>IF(SUMIFS('Region Mapping'!$E:$E,'Region Mapping'!$A:$A,'Key inputs_Emissions'!W$39)&gt;0,'IPCC(2006)'!$D$94*1000/(Legend!$B$99*10^-3),'IPCC(2006)'!$H$94*1000/(Legend!$B$99*10^-3))</f>
        <v>0</v>
      </c>
      <c r="X90" s="209">
        <f>IF(SUMIFS('Region Mapping'!$E:$E,'Region Mapping'!$A:$A,'Key inputs_Emissions'!X$39)&gt;0,'IPCC(2006)'!$D$94*1000/(Legend!$B$99*10^-3),'IPCC(2006)'!$H$94*1000/(Legend!$B$99*10^-3))</f>
        <v>0</v>
      </c>
      <c r="Y90" s="209">
        <f>IF(SUMIFS('Region Mapping'!$E:$E,'Region Mapping'!$A:$A,'Key inputs_Emissions'!Y$39)&gt;0,'IPCC(2006)'!$D$94*1000/(Legend!$B$99*10^-3),'IPCC(2006)'!$H$94*1000/(Legend!$B$99*10^-3))</f>
        <v>0</v>
      </c>
      <c r="Z90" s="209">
        <f>IF(SUMIFS('Region Mapping'!$E:$E,'Region Mapping'!$A:$A,'Key inputs_Emissions'!Z$39)&gt;0,'IPCC(2006)'!$D$94*1000/(Legend!$B$99*10^-3),'IPCC(2006)'!$H$94*1000/(Legend!$B$99*10^-3))</f>
        <v>0</v>
      </c>
      <c r="AA90" s="209">
        <f>IF(SUMIFS('Region Mapping'!$E:$E,'Region Mapping'!$A:$A,'Key inputs_Emissions'!AA$39)&gt;0,'IPCC(2006)'!$D$94*1000/(Legend!$B$99*10^-3),'IPCC(2006)'!$H$94*1000/(Legend!$B$99*10^-3))</f>
        <v>0</v>
      </c>
      <c r="AB90" s="209">
        <f>IF(SUMIFS('Region Mapping'!$E:$E,'Region Mapping'!$A:$A,'Key inputs_Emissions'!AB$39)&gt;0,'IPCC(2006)'!$D$94*1000/(Legend!$B$99*10^-3),'IPCC(2006)'!$H$94*1000/(Legend!$B$99*10^-3))</f>
        <v>0</v>
      </c>
      <c r="AC90" s="209">
        <f>IF(SUMIFS('Region Mapping'!$E:$E,'Region Mapping'!$A:$A,'Key inputs_Emissions'!AC$39)&gt;0,'IPCC(2006)'!$D$94*1000/(Legend!$B$99*10^-3),'IPCC(2006)'!$H$94*1000/(Legend!$B$99*10^-3))</f>
        <v>0</v>
      </c>
      <c r="AD90" s="220">
        <f>IF(SUMIFS('Region Mapping'!$E:$E,'Region Mapping'!$A:$A,'Key inputs_Emissions'!AD$39)&gt;0,'IPCC(2006)'!$D$94*1000/(Legend!$B$99*10^-3),'IPCC(2006)'!$H$94*1000/(Legend!$B$99*10^-3))</f>
        <v>0</v>
      </c>
    </row>
    <row r="91" spans="1:30">
      <c r="A91" s="229" t="s">
        <v>1029</v>
      </c>
      <c r="B91" s="236" t="s">
        <v>1026</v>
      </c>
      <c r="C91" s="226">
        <f>IF(SUMIFS('Region Mapping'!$E:$E,'Region Mapping'!$A:$A,'Key inputs_Emissions'!C$39)&gt;0,'IPCC(2006)'!$D$95*1000/(Legend!$B$100*10^-3),'IPCC(2006)'!$H$95*1000/(Legend!$B$100*10^-3))</f>
        <v>0</v>
      </c>
      <c r="D91" s="226">
        <f>IF(SUMIFS('Region Mapping'!$E:$E,'Region Mapping'!$A:$A,'Key inputs_Emissions'!D$39)&gt;0,'IPCC(2006)'!$D$95*1000/(Legend!$B$100*10^-3),'IPCC(2006)'!$H$95*1000/(Legend!$B$100*10^-3))</f>
        <v>0</v>
      </c>
      <c r="E91" s="226">
        <f>IF(SUMIFS('Region Mapping'!$E:$E,'Region Mapping'!$A:$A,'Key inputs_Emissions'!E$39)&gt;0,'IPCC(2006)'!$D$95*1000/(Legend!$B$100*10^-3),'IPCC(2006)'!$H$95*1000/(Legend!$B$100*10^-3))</f>
        <v>0</v>
      </c>
      <c r="F91" s="226">
        <f>IF(SUMIFS('Region Mapping'!$E:$E,'Region Mapping'!$A:$A,'Key inputs_Emissions'!F$39)&gt;0,'IPCC(2006)'!$D$95*1000/(Legend!$B$100*10^-3),'IPCC(2006)'!$H$95*1000/(Legend!$B$100*10^-3))</f>
        <v>0</v>
      </c>
      <c r="G91" s="226">
        <f>IF(SUMIFS('Region Mapping'!$E:$E,'Region Mapping'!$A:$A,'Key inputs_Emissions'!G$39)&gt;0,'IPCC(2006)'!$D$95*1000/(Legend!$B$100*10^-3),'IPCC(2006)'!$H$95*1000/(Legend!$B$100*10^-3))</f>
        <v>0</v>
      </c>
      <c r="H91" s="226">
        <f>IF(SUMIFS('Region Mapping'!$E:$E,'Region Mapping'!$A:$A,'Key inputs_Emissions'!H$39)&gt;0,'IPCC(2006)'!$D$95*1000/(Legend!$B$100*10^-3),'IPCC(2006)'!$H$95*1000/(Legend!$B$100*10^-3))</f>
        <v>0</v>
      </c>
      <c r="I91" s="226">
        <f>IF(SUMIFS('Region Mapping'!$E:$E,'Region Mapping'!$A:$A,'Key inputs_Emissions'!I$39)&gt;0,'IPCC(2006)'!$D$95*1000/(Legend!$B$100*10^-3),'IPCC(2006)'!$H$95*1000/(Legend!$B$100*10^-3))</f>
        <v>0</v>
      </c>
      <c r="J91" s="226">
        <f>IF(SUMIFS('Region Mapping'!$E:$E,'Region Mapping'!$A:$A,'Key inputs_Emissions'!J$39)&gt;0,'IPCC(2006)'!$D$95*1000/(Legend!$B$100*10^-3),'IPCC(2006)'!$H$95*1000/(Legend!$B$100*10^-3))</f>
        <v>0</v>
      </c>
      <c r="K91" s="226">
        <f>IF(SUMIFS('Region Mapping'!$E:$E,'Region Mapping'!$A:$A,'Key inputs_Emissions'!K$39)&gt;0,'IPCC(2006)'!$D$95*1000/(Legend!$B$100*10^-3),'IPCC(2006)'!$H$95*1000/(Legend!$B$100*10^-3))</f>
        <v>0</v>
      </c>
      <c r="L91" s="226">
        <f>IF(SUMIFS('Region Mapping'!$E:$E,'Region Mapping'!$A:$A,'Key inputs_Emissions'!L$39)&gt;0,'IPCC(2006)'!$D$95*1000/(Legend!$B$100*10^-3),'IPCC(2006)'!$H$95*1000/(Legend!$B$100*10^-3))</f>
        <v>0</v>
      </c>
      <c r="M91" s="226">
        <f>IF(SUMIFS('Region Mapping'!$E:$E,'Region Mapping'!$A:$A,'Key inputs_Emissions'!M$39)&gt;0,'IPCC(2006)'!$D$95*1000/(Legend!$B$100*10^-3),'IPCC(2006)'!$H$95*1000/(Legend!$B$100*10^-3))</f>
        <v>0</v>
      </c>
      <c r="N91" s="226">
        <f>IF(SUMIFS('Region Mapping'!$E:$E,'Region Mapping'!$A:$A,'Key inputs_Emissions'!N$39)&gt;0,'IPCC(2006)'!$D$95*1000/(Legend!$B$100*10^-3),'IPCC(2006)'!$H$95*1000/(Legend!$B$100*10^-3))</f>
        <v>0</v>
      </c>
      <c r="O91" s="226">
        <f>IF(SUMIFS('Region Mapping'!$E:$E,'Region Mapping'!$A:$A,'Key inputs_Emissions'!O$39)&gt;0,'IPCC(2006)'!$D$95*1000/(Legend!$B$100*10^-3),'IPCC(2006)'!$H$95*1000/(Legend!$B$100*10^-3))</f>
        <v>0</v>
      </c>
      <c r="P91" s="226">
        <f>IF(SUMIFS('Region Mapping'!$E:$E,'Region Mapping'!$A:$A,'Key inputs_Emissions'!P$39)&gt;0,'IPCC(2006)'!$D$95*1000/(Legend!$B$100*10^-3),'IPCC(2006)'!$H$95*1000/(Legend!$B$100*10^-3))</f>
        <v>0</v>
      </c>
      <c r="Q91" s="226">
        <f>IF(SUMIFS('Region Mapping'!$E:$E,'Region Mapping'!$A:$A,'Key inputs_Emissions'!Q$39)&gt;0,'IPCC(2006)'!$D$95*1000/(Legend!$B$100*10^-3),'IPCC(2006)'!$H$95*1000/(Legend!$B$100*10^-3))</f>
        <v>0</v>
      </c>
      <c r="R91" s="226">
        <f>IF(SUMIFS('Region Mapping'!$E:$E,'Region Mapping'!$A:$A,'Key inputs_Emissions'!R$39)&gt;0,'IPCC(2006)'!$D$95*1000/(Legend!$B$100*10^-3),'IPCC(2006)'!$H$95*1000/(Legend!$B$100*10^-3))</f>
        <v>0</v>
      </c>
      <c r="S91" s="226">
        <f>IF(SUMIFS('Region Mapping'!$E:$E,'Region Mapping'!$A:$A,'Key inputs_Emissions'!S$39)&gt;0,'IPCC(2006)'!$D$95*1000/(Legend!$B$100*10^-3),'IPCC(2006)'!$H$95*1000/(Legend!$B$100*10^-3))</f>
        <v>0</v>
      </c>
      <c r="T91" s="226">
        <f>IF(SUMIFS('Region Mapping'!$E:$E,'Region Mapping'!$A:$A,'Key inputs_Emissions'!T$39)&gt;0,'IPCC(2006)'!$D$95*1000/(Legend!$B$100*10^-3),'IPCC(2006)'!$H$95*1000/(Legend!$B$100*10^-3))</f>
        <v>0</v>
      </c>
      <c r="U91" s="226">
        <f>IF(SUMIFS('Region Mapping'!$E:$E,'Region Mapping'!$A:$A,'Key inputs_Emissions'!U$39)&gt;0,'IPCC(2006)'!$D$95*1000/(Legend!$B$100*10^-3),'IPCC(2006)'!$H$95*1000/(Legend!$B$100*10^-3))</f>
        <v>0</v>
      </c>
      <c r="V91" s="226">
        <f>IF(SUMIFS('Region Mapping'!$E:$E,'Region Mapping'!$A:$A,'Key inputs_Emissions'!V$39)&gt;0,'IPCC(2006)'!$D$95*1000/(Legend!$B$100*10^-3),'IPCC(2006)'!$H$95*1000/(Legend!$B$100*10^-3))</f>
        <v>0</v>
      </c>
      <c r="W91" s="226">
        <f>IF(SUMIFS('Region Mapping'!$E:$E,'Region Mapping'!$A:$A,'Key inputs_Emissions'!W$39)&gt;0,'IPCC(2006)'!$D$95*1000/(Legend!$B$100*10^-3),'IPCC(2006)'!$H$95*1000/(Legend!$B$100*10^-3))</f>
        <v>0</v>
      </c>
      <c r="X91" s="226">
        <f>IF(SUMIFS('Region Mapping'!$E:$E,'Region Mapping'!$A:$A,'Key inputs_Emissions'!X$39)&gt;0,'IPCC(2006)'!$D$95*1000/(Legend!$B$100*10^-3),'IPCC(2006)'!$H$95*1000/(Legend!$B$100*10^-3))</f>
        <v>0</v>
      </c>
      <c r="Y91" s="226">
        <f>IF(SUMIFS('Region Mapping'!$E:$E,'Region Mapping'!$A:$A,'Key inputs_Emissions'!Y$39)&gt;0,'IPCC(2006)'!$D$95*1000/(Legend!$B$100*10^-3),'IPCC(2006)'!$H$95*1000/(Legend!$B$100*10^-3))</f>
        <v>0</v>
      </c>
      <c r="Z91" s="226">
        <f>IF(SUMIFS('Region Mapping'!$E:$E,'Region Mapping'!$A:$A,'Key inputs_Emissions'!Z$39)&gt;0,'IPCC(2006)'!$D$95*1000/(Legend!$B$100*10^-3),'IPCC(2006)'!$H$95*1000/(Legend!$B$100*10^-3))</f>
        <v>0</v>
      </c>
      <c r="AA91" s="226">
        <f>IF(SUMIFS('Region Mapping'!$E:$E,'Region Mapping'!$A:$A,'Key inputs_Emissions'!AA$39)&gt;0,'IPCC(2006)'!$D$95*1000/(Legend!$B$100*10^-3),'IPCC(2006)'!$H$95*1000/(Legend!$B$100*10^-3))</f>
        <v>0</v>
      </c>
      <c r="AB91" s="226">
        <f>IF(SUMIFS('Region Mapping'!$E:$E,'Region Mapping'!$A:$A,'Key inputs_Emissions'!AB$39)&gt;0,'IPCC(2006)'!$D$95*1000/(Legend!$B$100*10^-3),'IPCC(2006)'!$H$95*1000/(Legend!$B$100*10^-3))</f>
        <v>0</v>
      </c>
      <c r="AC91" s="226">
        <f>IF(SUMIFS('Region Mapping'!$E:$E,'Region Mapping'!$A:$A,'Key inputs_Emissions'!AC$39)&gt;0,'IPCC(2006)'!$D$95*1000/(Legend!$B$100*10^-3),'IPCC(2006)'!$H$95*1000/(Legend!$B$100*10^-3))</f>
        <v>0</v>
      </c>
      <c r="AD91" s="224">
        <f>IF(SUMIFS('Region Mapping'!$E:$E,'Region Mapping'!$A:$A,'Key inputs_Emissions'!AD$39)&gt;0,'IPCC(2006)'!$D$95*1000/(Legend!$B$100*10^-3),'IPCC(2006)'!$H$95*1000/(Legend!$B$100*10^-3))</f>
        <v>0</v>
      </c>
    </row>
    <row r="92" spans="1:30">
      <c r="C92" s="209"/>
      <c r="D92" s="209"/>
      <c r="E92" s="209"/>
      <c r="F92" s="209"/>
      <c r="G92" s="209"/>
      <c r="H92" s="209"/>
      <c r="I92" s="209"/>
      <c r="J92" s="209"/>
      <c r="K92" s="209"/>
      <c r="L92" s="209"/>
      <c r="M92" s="209"/>
      <c r="N92" s="209"/>
      <c r="O92" s="209"/>
      <c r="P92" s="209"/>
      <c r="Q92" s="209"/>
      <c r="R92" s="209"/>
      <c r="S92" s="209"/>
      <c r="T92" s="209"/>
      <c r="U92" s="209"/>
      <c r="V92" s="209"/>
      <c r="W92" s="209"/>
      <c r="X92" s="209"/>
      <c r="Y92" s="209"/>
      <c r="Z92" s="209"/>
      <c r="AA92" s="209"/>
      <c r="AB92" s="209"/>
      <c r="AC92" s="209"/>
      <c r="AD92" s="209"/>
    </row>
    <row r="93" spans="1:30">
      <c r="A93" s="227" t="s">
        <v>1032</v>
      </c>
      <c r="B93" s="358"/>
      <c r="C93" s="358" t="s">
        <v>172</v>
      </c>
      <c r="D93" s="358" t="s">
        <v>175</v>
      </c>
      <c r="E93" s="358" t="s">
        <v>178</v>
      </c>
      <c r="F93" s="358" t="s">
        <v>181</v>
      </c>
      <c r="G93" s="358" t="s">
        <v>184</v>
      </c>
      <c r="H93" s="358" t="s">
        <v>187</v>
      </c>
      <c r="I93" s="358" t="s">
        <v>190</v>
      </c>
      <c r="J93" s="358" t="s">
        <v>193</v>
      </c>
      <c r="K93" s="358" t="s">
        <v>196</v>
      </c>
      <c r="L93" s="358" t="s">
        <v>198</v>
      </c>
      <c r="M93" s="358" t="s">
        <v>200</v>
      </c>
      <c r="N93" s="358" t="s">
        <v>202</v>
      </c>
      <c r="O93" s="358" t="s">
        <v>205</v>
      </c>
      <c r="P93" s="358" t="s">
        <v>208</v>
      </c>
      <c r="Q93" s="358" t="s">
        <v>211</v>
      </c>
      <c r="R93" s="358" t="s">
        <v>214</v>
      </c>
      <c r="S93" s="358" t="s">
        <v>217</v>
      </c>
      <c r="T93" s="358" t="s">
        <v>220</v>
      </c>
      <c r="U93" s="358" t="s">
        <v>223</v>
      </c>
      <c r="V93" s="358" t="s">
        <v>225</v>
      </c>
      <c r="W93" s="358" t="s">
        <v>227</v>
      </c>
      <c r="X93" s="358" t="s">
        <v>230</v>
      </c>
      <c r="Y93" s="358" t="s">
        <v>233</v>
      </c>
      <c r="Z93" s="358" t="s">
        <v>236</v>
      </c>
      <c r="AA93" s="358" t="s">
        <v>238</v>
      </c>
      <c r="AB93" s="358" t="s">
        <v>240</v>
      </c>
      <c r="AC93" s="358" t="s">
        <v>243</v>
      </c>
      <c r="AD93" s="228" t="s">
        <v>245</v>
      </c>
    </row>
    <row r="94" spans="1:30">
      <c r="A94" s="215"/>
      <c r="C94" t="s">
        <v>1033</v>
      </c>
      <c r="D94" t="s">
        <v>1033</v>
      </c>
      <c r="E94" t="s">
        <v>1033</v>
      </c>
      <c r="F94" t="s">
        <v>1033</v>
      </c>
      <c r="G94" t="s">
        <v>1033</v>
      </c>
      <c r="H94" t="s">
        <v>1033</v>
      </c>
      <c r="I94" t="s">
        <v>1033</v>
      </c>
      <c r="J94" t="s">
        <v>1033</v>
      </c>
      <c r="K94" t="s">
        <v>1033</v>
      </c>
      <c r="L94" t="s">
        <v>1033</v>
      </c>
      <c r="M94" t="s">
        <v>1033</v>
      </c>
      <c r="N94" t="s">
        <v>1033</v>
      </c>
      <c r="O94" t="s">
        <v>1033</v>
      </c>
      <c r="P94" t="s">
        <v>1033</v>
      </c>
      <c r="Q94" t="s">
        <v>1033</v>
      </c>
      <c r="R94" t="s">
        <v>1033</v>
      </c>
      <c r="S94" t="s">
        <v>1033</v>
      </c>
      <c r="T94" t="s">
        <v>1033</v>
      </c>
      <c r="U94" t="s">
        <v>1033</v>
      </c>
      <c r="V94" t="s">
        <v>1033</v>
      </c>
      <c r="W94" t="s">
        <v>1033</v>
      </c>
      <c r="X94" t="s">
        <v>1033</v>
      </c>
      <c r="Y94" t="s">
        <v>1033</v>
      </c>
      <c r="Z94" t="s">
        <v>1033</v>
      </c>
      <c r="AA94" t="s">
        <v>1033</v>
      </c>
      <c r="AB94" t="s">
        <v>1033</v>
      </c>
      <c r="AC94" t="s">
        <v>1033</v>
      </c>
      <c r="AD94" s="218" t="s">
        <v>1033</v>
      </c>
    </row>
    <row r="95" spans="1:30">
      <c r="A95" s="215" t="s">
        <v>992</v>
      </c>
      <c r="B95" t="s">
        <v>993</v>
      </c>
      <c r="AD95" s="218"/>
    </row>
    <row r="96" spans="1:30">
      <c r="A96" s="215" t="s">
        <v>994</v>
      </c>
      <c r="B96" t="s">
        <v>995</v>
      </c>
      <c r="C96" s="209">
        <f>IF(SUMIFS('Region Mapping'!$E:$E,'Region Mapping'!$A:$A,C$39)&gt;0,'IPCC(2006)'!$E$61*1000/Legend!$B$86,'IPCC(2006)'!$I$61*1000/Legend!$B$86)</f>
        <v>3.3333333333333333E-2</v>
      </c>
      <c r="D96" s="209">
        <f>IF(SUMIFS('Region Mapping'!$E:$E,'Region Mapping'!$A:$A,D$39)&gt;0,'IPCC(2006)'!$E$61*1000/Legend!$B$86,'IPCC(2006)'!$I$61*1000/Legend!$B$86)</f>
        <v>3.3333333333333333E-2</v>
      </c>
      <c r="E96" s="209">
        <f>IF(SUMIFS('Region Mapping'!$E:$E,'Region Mapping'!$A:$A,E$39)&gt;0,'IPCC(2006)'!$E$61*1000/Legend!$B$86,'IPCC(2006)'!$I$61*1000/Legend!$B$86)</f>
        <v>3.3333333333333333E-2</v>
      </c>
      <c r="F96" s="209">
        <f>IF(SUMIFS('Region Mapping'!$E:$E,'Region Mapping'!$A:$A,F$39)&gt;0,'IPCC(2006)'!$E$61*1000/Legend!$B$86,'IPCC(2006)'!$I$61*1000/Legend!$B$86)</f>
        <v>3.3333333333333333E-2</v>
      </c>
      <c r="G96" s="209">
        <f>IF(SUMIFS('Region Mapping'!$E:$E,'Region Mapping'!$A:$A,G$39)&gt;0,'IPCC(2006)'!$E$61*1000/Legend!$B$86,'IPCC(2006)'!$I$61*1000/Legend!$B$86)</f>
        <v>1.5277777777777779E-2</v>
      </c>
      <c r="H96" s="209">
        <f>IF(SUMIFS('Region Mapping'!$E:$E,'Region Mapping'!$A:$A,H$39)&gt;0,'IPCC(2006)'!$E$61*1000/Legend!$B$86,'IPCC(2006)'!$I$61*1000/Legend!$B$86)</f>
        <v>3.3333333333333333E-2</v>
      </c>
      <c r="I96" s="209">
        <f>IF(SUMIFS('Region Mapping'!$E:$E,'Region Mapping'!$A:$A,I$39)&gt;0,'IPCC(2006)'!$E$61*1000/Legend!$B$86,'IPCC(2006)'!$I$61*1000/Legend!$B$86)</f>
        <v>3.3333333333333333E-2</v>
      </c>
      <c r="J96" s="209">
        <f>IF(SUMIFS('Region Mapping'!$E:$E,'Region Mapping'!$A:$A,J$39)&gt;0,'IPCC(2006)'!$E$61*1000/Legend!$B$86,'IPCC(2006)'!$I$61*1000/Legend!$B$86)</f>
        <v>3.3333333333333333E-2</v>
      </c>
      <c r="K96" s="209">
        <f>IF(SUMIFS('Region Mapping'!$E:$E,'Region Mapping'!$A:$A,K$39)&gt;0,'IPCC(2006)'!$E$61*1000/Legend!$B$86,'IPCC(2006)'!$I$61*1000/Legend!$B$86)</f>
        <v>3.3333333333333333E-2</v>
      </c>
      <c r="L96" s="209">
        <f>IF(SUMIFS('Region Mapping'!$E:$E,'Region Mapping'!$A:$A,L$39)&gt;0,'IPCC(2006)'!$E$61*1000/Legend!$B$86,'IPCC(2006)'!$I$61*1000/Legend!$B$86)</f>
        <v>1.5277777777777779E-2</v>
      </c>
      <c r="M96" s="209">
        <f>IF(SUMIFS('Region Mapping'!$E:$E,'Region Mapping'!$A:$A,M$39)&gt;0,'IPCC(2006)'!$E$61*1000/Legend!$B$86,'IPCC(2006)'!$I$61*1000/Legend!$B$86)</f>
        <v>3.3333333333333333E-2</v>
      </c>
      <c r="N96" s="209">
        <f>IF(SUMIFS('Region Mapping'!$E:$E,'Region Mapping'!$A:$A,N$39)&gt;0,'IPCC(2006)'!$E$61*1000/Legend!$B$86,'IPCC(2006)'!$I$61*1000/Legend!$B$86)</f>
        <v>3.3333333333333333E-2</v>
      </c>
      <c r="O96" s="209">
        <f>IF(SUMIFS('Region Mapping'!$E:$E,'Region Mapping'!$A:$A,O$39)&gt;0,'IPCC(2006)'!$E$61*1000/Legend!$B$86,'IPCC(2006)'!$I$61*1000/Legend!$B$86)</f>
        <v>3.3333333333333333E-2</v>
      </c>
      <c r="P96" s="209">
        <f>IF(SUMIFS('Region Mapping'!$E:$E,'Region Mapping'!$A:$A,P$39)&gt;0,'IPCC(2006)'!$E$61*1000/Legend!$B$86,'IPCC(2006)'!$I$61*1000/Legend!$B$86)</f>
        <v>1.5277777777777779E-2</v>
      </c>
      <c r="Q96" s="209">
        <f>IF(SUMIFS('Region Mapping'!$E:$E,'Region Mapping'!$A:$A,Q$39)&gt;0,'IPCC(2006)'!$E$61*1000/Legend!$B$86,'IPCC(2006)'!$I$61*1000/Legend!$B$86)</f>
        <v>1.5277777777777779E-2</v>
      </c>
      <c r="R96" s="209">
        <f>IF(SUMIFS('Region Mapping'!$E:$E,'Region Mapping'!$A:$A,R$39)&gt;0,'IPCC(2006)'!$E$61*1000/Legend!$B$86,'IPCC(2006)'!$I$61*1000/Legend!$B$86)</f>
        <v>1.5277777777777779E-2</v>
      </c>
      <c r="S96" s="209">
        <f>IF(SUMIFS('Region Mapping'!$E:$E,'Region Mapping'!$A:$A,S$39)&gt;0,'IPCC(2006)'!$E$61*1000/Legend!$B$86,'IPCC(2006)'!$I$61*1000/Legend!$B$86)</f>
        <v>1.5277777777777779E-2</v>
      </c>
      <c r="T96" s="209">
        <f>IF(SUMIFS('Region Mapping'!$E:$E,'Region Mapping'!$A:$A,T$39)&gt;0,'IPCC(2006)'!$E$61*1000/Legend!$B$86,'IPCC(2006)'!$I$61*1000/Legend!$B$86)</f>
        <v>3.3333333333333333E-2</v>
      </c>
      <c r="U96" s="209">
        <f>IF(SUMIFS('Region Mapping'!$E:$E,'Region Mapping'!$A:$A,U$39)&gt;0,'IPCC(2006)'!$E$61*1000/Legend!$B$86,'IPCC(2006)'!$I$61*1000/Legend!$B$86)</f>
        <v>3.3333333333333333E-2</v>
      </c>
      <c r="V96" s="209">
        <f>IF(SUMIFS('Region Mapping'!$E:$E,'Region Mapping'!$A:$A,V$39)&gt;0,'IPCC(2006)'!$E$61*1000/Legend!$B$86,'IPCC(2006)'!$I$61*1000/Legend!$B$86)</f>
        <v>1.5277777777777779E-2</v>
      </c>
      <c r="W96" s="209">
        <f>IF(SUMIFS('Region Mapping'!$E:$E,'Region Mapping'!$A:$A,W$39)&gt;0,'IPCC(2006)'!$E$61*1000/Legend!$B$86,'IPCC(2006)'!$I$61*1000/Legend!$B$86)</f>
        <v>3.3333333333333333E-2</v>
      </c>
      <c r="X96" s="209">
        <f>IF(SUMIFS('Region Mapping'!$E:$E,'Region Mapping'!$A:$A,X$39)&gt;0,'IPCC(2006)'!$E$61*1000/Legend!$B$86,'IPCC(2006)'!$I$61*1000/Legend!$B$86)</f>
        <v>3.3333333333333333E-2</v>
      </c>
      <c r="Y96" s="209">
        <f>IF(SUMIFS('Region Mapping'!$E:$E,'Region Mapping'!$A:$A,Y$39)&gt;0,'IPCC(2006)'!$E$61*1000/Legend!$B$86,'IPCC(2006)'!$I$61*1000/Legend!$B$86)</f>
        <v>3.3333333333333333E-2</v>
      </c>
      <c r="Z96" s="209">
        <f>IF(SUMIFS('Region Mapping'!$E:$E,'Region Mapping'!$A:$A,Z$39)&gt;0,'IPCC(2006)'!$E$61*1000/Legend!$B$86,'IPCC(2006)'!$I$61*1000/Legend!$B$86)</f>
        <v>3.3333333333333333E-2</v>
      </c>
      <c r="AA96" s="209">
        <f>IF(SUMIFS('Region Mapping'!$E:$E,'Region Mapping'!$A:$A,AA$39)&gt;0,'IPCC(2006)'!$E$61*1000/Legend!$B$86,'IPCC(2006)'!$I$61*1000/Legend!$B$86)</f>
        <v>3.3333333333333333E-2</v>
      </c>
      <c r="AB96" s="209">
        <f>IF(SUMIFS('Region Mapping'!$E:$E,'Region Mapping'!$A:$A,AB$39)&gt;0,'IPCC(2006)'!$E$61*1000/Legend!$B$86,'IPCC(2006)'!$I$61*1000/Legend!$B$86)</f>
        <v>3.3333333333333333E-2</v>
      </c>
      <c r="AC96" s="209">
        <f>IF(SUMIFS('Region Mapping'!$E:$E,'Region Mapping'!$A:$A,AC$39)&gt;0,'IPCC(2006)'!$E$61*1000/Legend!$B$86,'IPCC(2006)'!$I$61*1000/Legend!$B$86)</f>
        <v>1.5277777777777779E-2</v>
      </c>
      <c r="AD96" s="220">
        <f>IF(SUMIFS('Region Mapping'!$E:$E,'Region Mapping'!$A:$A,AD$39)&gt;0,'IPCC(2006)'!$E$61*1000/Legend!$B$86,'IPCC(2006)'!$I$61*1000/Legend!$B$86)</f>
        <v>1.5277777777777779E-2</v>
      </c>
    </row>
    <row r="97" spans="1:30">
      <c r="A97" s="215" t="s">
        <v>996</v>
      </c>
      <c r="B97" t="s">
        <v>995</v>
      </c>
      <c r="C97" s="209">
        <f>IF(SUMIFS('Region Mapping'!$E:$E,'Region Mapping'!$A:$A,C$39)&gt;0,'IPCC(2006)'!$E$62*1000/Legend!$B$86,'IPCC(2006)'!$I$62*1000/Legend!$B$86)</f>
        <v>2.3611111111111111E-5</v>
      </c>
      <c r="D97" s="209">
        <f>IF(SUMIFS('Region Mapping'!$E:$E,'Region Mapping'!$A:$A,D$39)&gt;0,'IPCC(2006)'!$E$62*1000/Legend!$B$86,'IPCC(2006)'!$I$62*1000/Legend!$B$86)</f>
        <v>2.3611111111111111E-5</v>
      </c>
      <c r="E97" s="209">
        <f>IF(SUMIFS('Region Mapping'!$E:$E,'Region Mapping'!$A:$A,E$39)&gt;0,'IPCC(2006)'!$E$62*1000/Legend!$B$86,'IPCC(2006)'!$I$62*1000/Legend!$B$86)</f>
        <v>2.3611111111111111E-5</v>
      </c>
      <c r="F97" s="209">
        <f>IF(SUMIFS('Region Mapping'!$E:$E,'Region Mapping'!$A:$A,F$39)&gt;0,'IPCC(2006)'!$E$62*1000/Legend!$B$86,'IPCC(2006)'!$I$62*1000/Legend!$B$86)</f>
        <v>2.3611111111111111E-5</v>
      </c>
      <c r="G97" s="209">
        <f>IF(SUMIFS('Region Mapping'!$E:$E,'Region Mapping'!$A:$A,G$39)&gt;0,'IPCC(2006)'!$E$62*1000/Legend!$B$86,'IPCC(2006)'!$I$62*1000/Legend!$B$86)</f>
        <v>1.7222222222222224E-5</v>
      </c>
      <c r="H97" s="209">
        <f>IF(SUMIFS('Region Mapping'!$E:$E,'Region Mapping'!$A:$A,H$39)&gt;0,'IPCC(2006)'!$E$62*1000/Legend!$B$86,'IPCC(2006)'!$I$62*1000/Legend!$B$86)</f>
        <v>2.3611111111111111E-5</v>
      </c>
      <c r="I97" s="209">
        <f>IF(SUMIFS('Region Mapping'!$E:$E,'Region Mapping'!$A:$A,I$39)&gt;0,'IPCC(2006)'!$E$62*1000/Legend!$B$86,'IPCC(2006)'!$I$62*1000/Legend!$B$86)</f>
        <v>2.3611111111111111E-5</v>
      </c>
      <c r="J97" s="209">
        <f>IF(SUMIFS('Region Mapping'!$E:$E,'Region Mapping'!$A:$A,J$39)&gt;0,'IPCC(2006)'!$E$62*1000/Legend!$B$86,'IPCC(2006)'!$I$62*1000/Legend!$B$86)</f>
        <v>2.3611111111111111E-5</v>
      </c>
      <c r="K97" s="209">
        <f>IF(SUMIFS('Region Mapping'!$E:$E,'Region Mapping'!$A:$A,K$39)&gt;0,'IPCC(2006)'!$E$62*1000/Legend!$B$86,'IPCC(2006)'!$I$62*1000/Legend!$B$86)</f>
        <v>2.3611111111111111E-5</v>
      </c>
      <c r="L97" s="209">
        <f>IF(SUMIFS('Region Mapping'!$E:$E,'Region Mapping'!$A:$A,L$39)&gt;0,'IPCC(2006)'!$E$62*1000/Legend!$B$86,'IPCC(2006)'!$I$62*1000/Legend!$B$86)</f>
        <v>1.7222222222222224E-5</v>
      </c>
      <c r="M97" s="209">
        <f>IF(SUMIFS('Region Mapping'!$E:$E,'Region Mapping'!$A:$A,M$39)&gt;0,'IPCC(2006)'!$E$62*1000/Legend!$B$86,'IPCC(2006)'!$I$62*1000/Legend!$B$86)</f>
        <v>2.3611111111111111E-5</v>
      </c>
      <c r="N97" s="209">
        <f>IF(SUMIFS('Region Mapping'!$E:$E,'Region Mapping'!$A:$A,N$39)&gt;0,'IPCC(2006)'!$E$62*1000/Legend!$B$86,'IPCC(2006)'!$I$62*1000/Legend!$B$86)</f>
        <v>2.3611111111111111E-5</v>
      </c>
      <c r="O97" s="209">
        <f>IF(SUMIFS('Region Mapping'!$E:$E,'Region Mapping'!$A:$A,O$39)&gt;0,'IPCC(2006)'!$E$62*1000/Legend!$B$86,'IPCC(2006)'!$I$62*1000/Legend!$B$86)</f>
        <v>2.3611111111111111E-5</v>
      </c>
      <c r="P97" s="209">
        <f>IF(SUMIFS('Region Mapping'!$E:$E,'Region Mapping'!$A:$A,P$39)&gt;0,'IPCC(2006)'!$E$62*1000/Legend!$B$86,'IPCC(2006)'!$I$62*1000/Legend!$B$86)</f>
        <v>1.7222222222222224E-5</v>
      </c>
      <c r="Q97" s="209">
        <f>IF(SUMIFS('Region Mapping'!$E:$E,'Region Mapping'!$A:$A,Q$39)&gt;0,'IPCC(2006)'!$E$62*1000/Legend!$B$86,'IPCC(2006)'!$I$62*1000/Legend!$B$86)</f>
        <v>1.7222222222222224E-5</v>
      </c>
      <c r="R97" s="209">
        <f>IF(SUMIFS('Region Mapping'!$E:$E,'Region Mapping'!$A:$A,R$39)&gt;0,'IPCC(2006)'!$E$62*1000/Legend!$B$86,'IPCC(2006)'!$I$62*1000/Legend!$B$86)</f>
        <v>1.7222222222222224E-5</v>
      </c>
      <c r="S97" s="209">
        <f>IF(SUMIFS('Region Mapping'!$E:$E,'Region Mapping'!$A:$A,S$39)&gt;0,'IPCC(2006)'!$E$62*1000/Legend!$B$86,'IPCC(2006)'!$I$62*1000/Legend!$B$86)</f>
        <v>1.7222222222222224E-5</v>
      </c>
      <c r="T97" s="209">
        <f>IF(SUMIFS('Region Mapping'!$E:$E,'Region Mapping'!$A:$A,T$39)&gt;0,'IPCC(2006)'!$E$62*1000/Legend!$B$86,'IPCC(2006)'!$I$62*1000/Legend!$B$86)</f>
        <v>2.3611111111111111E-5</v>
      </c>
      <c r="U97" s="209">
        <f>IF(SUMIFS('Region Mapping'!$E:$E,'Region Mapping'!$A:$A,U$39)&gt;0,'IPCC(2006)'!$E$62*1000/Legend!$B$86,'IPCC(2006)'!$I$62*1000/Legend!$B$86)</f>
        <v>2.3611111111111111E-5</v>
      </c>
      <c r="V97" s="209">
        <f>IF(SUMIFS('Region Mapping'!$E:$E,'Region Mapping'!$A:$A,V$39)&gt;0,'IPCC(2006)'!$E$62*1000/Legend!$B$86,'IPCC(2006)'!$I$62*1000/Legend!$B$86)</f>
        <v>1.7222222222222224E-5</v>
      </c>
      <c r="W97" s="209">
        <f>IF(SUMIFS('Region Mapping'!$E:$E,'Region Mapping'!$A:$A,W$39)&gt;0,'IPCC(2006)'!$E$62*1000/Legend!$B$86,'IPCC(2006)'!$I$62*1000/Legend!$B$86)</f>
        <v>2.3611111111111111E-5</v>
      </c>
      <c r="X97" s="209">
        <f>IF(SUMIFS('Region Mapping'!$E:$E,'Region Mapping'!$A:$A,X$39)&gt;0,'IPCC(2006)'!$E$62*1000/Legend!$B$86,'IPCC(2006)'!$I$62*1000/Legend!$B$86)</f>
        <v>2.3611111111111111E-5</v>
      </c>
      <c r="Y97" s="209">
        <f>IF(SUMIFS('Region Mapping'!$E:$E,'Region Mapping'!$A:$A,Y$39)&gt;0,'IPCC(2006)'!$E$62*1000/Legend!$B$86,'IPCC(2006)'!$I$62*1000/Legend!$B$86)</f>
        <v>2.3611111111111111E-5</v>
      </c>
      <c r="Z97" s="209">
        <f>IF(SUMIFS('Region Mapping'!$E:$E,'Region Mapping'!$A:$A,Z$39)&gt;0,'IPCC(2006)'!$E$62*1000/Legend!$B$86,'IPCC(2006)'!$I$62*1000/Legend!$B$86)</f>
        <v>2.3611111111111111E-5</v>
      </c>
      <c r="AA97" s="209">
        <f>IF(SUMIFS('Region Mapping'!$E:$E,'Region Mapping'!$A:$A,AA$39)&gt;0,'IPCC(2006)'!$E$62*1000/Legend!$B$86,'IPCC(2006)'!$I$62*1000/Legend!$B$86)</f>
        <v>2.3611111111111111E-5</v>
      </c>
      <c r="AB97" s="209">
        <f>IF(SUMIFS('Region Mapping'!$E:$E,'Region Mapping'!$A:$A,AB$39)&gt;0,'IPCC(2006)'!$E$62*1000/Legend!$B$86,'IPCC(2006)'!$I$62*1000/Legend!$B$86)</f>
        <v>2.3611111111111111E-5</v>
      </c>
      <c r="AC97" s="209">
        <f>IF(SUMIFS('Region Mapping'!$E:$E,'Region Mapping'!$A:$A,AC$39)&gt;0,'IPCC(2006)'!$E$62*1000/Legend!$B$86,'IPCC(2006)'!$I$62*1000/Legend!$B$86)</f>
        <v>1.7222222222222224E-5</v>
      </c>
      <c r="AD97" s="220">
        <f>IF(SUMIFS('Region Mapping'!$E:$E,'Region Mapping'!$A:$A,AD$39)&gt;0,'IPCC(2006)'!$E$62*1000/Legend!$B$86,'IPCC(2006)'!$I$62*1000/Legend!$B$86)</f>
        <v>1.7222222222222224E-5</v>
      </c>
    </row>
    <row r="98" spans="1:30">
      <c r="A98" s="215" t="s">
        <v>997</v>
      </c>
      <c r="B98" t="s">
        <v>998</v>
      </c>
      <c r="C98" s="209">
        <f>IF(SUMIFS('Region Mapping'!$E:$E,'Region Mapping'!$A:$A,C$39)&gt;0,'IPCC(2006)'!$E$64*1000/Legend!$B$86,'IPCC(2006)'!$I$64*1000/Legend!$B$86)</f>
        <v>8.8888888888888889E-3</v>
      </c>
      <c r="D98" s="209">
        <f>IF(SUMIFS('Region Mapping'!$E:$E,'Region Mapping'!$A:$A,D$39)&gt;0,'IPCC(2006)'!$E$64*1000/Legend!$B$86,'IPCC(2006)'!$I$64*1000/Legend!$B$86)</f>
        <v>8.8888888888888889E-3</v>
      </c>
      <c r="E98" s="209">
        <f>IF(SUMIFS('Region Mapping'!$E:$E,'Region Mapping'!$A:$A,E$39)&gt;0,'IPCC(2006)'!$E$64*1000/Legend!$B$86,'IPCC(2006)'!$I$64*1000/Legend!$B$86)</f>
        <v>8.8888888888888889E-3</v>
      </c>
      <c r="F98" s="209">
        <f>IF(SUMIFS('Region Mapping'!$E:$E,'Region Mapping'!$A:$A,F$39)&gt;0,'IPCC(2006)'!$E$64*1000/Legend!$B$86,'IPCC(2006)'!$I$64*1000/Legend!$B$86)</f>
        <v>8.8888888888888889E-3</v>
      </c>
      <c r="G98" s="209">
        <f>IF(SUMIFS('Region Mapping'!$E:$E,'Region Mapping'!$A:$A,G$39)&gt;0,'IPCC(2006)'!$E$64*1000/Legend!$B$86,'IPCC(2006)'!$I$64*1000/Legend!$B$86)</f>
        <v>1.3055555555555556E-2</v>
      </c>
      <c r="H98" s="209">
        <f>IF(SUMIFS('Region Mapping'!$E:$E,'Region Mapping'!$A:$A,H$39)&gt;0,'IPCC(2006)'!$E$64*1000/Legend!$B$86,'IPCC(2006)'!$I$64*1000/Legend!$B$86)</f>
        <v>8.8888888888888889E-3</v>
      </c>
      <c r="I98" s="209">
        <f>IF(SUMIFS('Region Mapping'!$E:$E,'Region Mapping'!$A:$A,I$39)&gt;0,'IPCC(2006)'!$E$64*1000/Legend!$B$86,'IPCC(2006)'!$I$64*1000/Legend!$B$86)</f>
        <v>8.8888888888888889E-3</v>
      </c>
      <c r="J98" s="209">
        <f>IF(SUMIFS('Region Mapping'!$E:$E,'Region Mapping'!$A:$A,J$39)&gt;0,'IPCC(2006)'!$E$64*1000/Legend!$B$86,'IPCC(2006)'!$I$64*1000/Legend!$B$86)</f>
        <v>8.8888888888888889E-3</v>
      </c>
      <c r="K98" s="209">
        <f>IF(SUMIFS('Region Mapping'!$E:$E,'Region Mapping'!$A:$A,K$39)&gt;0,'IPCC(2006)'!$E$64*1000/Legend!$B$86,'IPCC(2006)'!$I$64*1000/Legend!$B$86)</f>
        <v>8.8888888888888889E-3</v>
      </c>
      <c r="L98" s="209">
        <f>IF(SUMIFS('Region Mapping'!$E:$E,'Region Mapping'!$A:$A,L$39)&gt;0,'IPCC(2006)'!$E$64*1000/Legend!$B$86,'IPCC(2006)'!$I$64*1000/Legend!$B$86)</f>
        <v>1.3055555555555556E-2</v>
      </c>
      <c r="M98" s="209">
        <f>IF(SUMIFS('Region Mapping'!$E:$E,'Region Mapping'!$A:$A,M$39)&gt;0,'IPCC(2006)'!$E$64*1000/Legend!$B$86,'IPCC(2006)'!$I$64*1000/Legend!$B$86)</f>
        <v>8.8888888888888889E-3</v>
      </c>
      <c r="N98" s="209">
        <f>IF(SUMIFS('Region Mapping'!$E:$E,'Region Mapping'!$A:$A,N$39)&gt;0,'IPCC(2006)'!$E$64*1000/Legend!$B$86,'IPCC(2006)'!$I$64*1000/Legend!$B$86)</f>
        <v>8.8888888888888889E-3</v>
      </c>
      <c r="O98" s="209">
        <f>IF(SUMIFS('Region Mapping'!$E:$E,'Region Mapping'!$A:$A,O$39)&gt;0,'IPCC(2006)'!$E$64*1000/Legend!$B$86,'IPCC(2006)'!$I$64*1000/Legend!$B$86)</f>
        <v>8.8888888888888889E-3</v>
      </c>
      <c r="P98" s="209">
        <f>IF(SUMIFS('Region Mapping'!$E:$E,'Region Mapping'!$A:$A,P$39)&gt;0,'IPCC(2006)'!$E$64*1000/Legend!$B$86,'IPCC(2006)'!$I$64*1000/Legend!$B$86)</f>
        <v>1.3055555555555556E-2</v>
      </c>
      <c r="Q98" s="209">
        <f>IF(SUMIFS('Region Mapping'!$E:$E,'Region Mapping'!$A:$A,Q$39)&gt;0,'IPCC(2006)'!$E$64*1000/Legend!$B$86,'IPCC(2006)'!$I$64*1000/Legend!$B$86)</f>
        <v>1.3055555555555556E-2</v>
      </c>
      <c r="R98" s="209">
        <f>IF(SUMIFS('Region Mapping'!$E:$E,'Region Mapping'!$A:$A,R$39)&gt;0,'IPCC(2006)'!$E$64*1000/Legend!$B$86,'IPCC(2006)'!$I$64*1000/Legend!$B$86)</f>
        <v>1.3055555555555556E-2</v>
      </c>
      <c r="S98" s="209">
        <f>IF(SUMIFS('Region Mapping'!$E:$E,'Region Mapping'!$A:$A,S$39)&gt;0,'IPCC(2006)'!$E$64*1000/Legend!$B$86,'IPCC(2006)'!$I$64*1000/Legend!$B$86)</f>
        <v>1.3055555555555556E-2</v>
      </c>
      <c r="T98" s="209">
        <f>IF(SUMIFS('Region Mapping'!$E:$E,'Region Mapping'!$A:$A,T$39)&gt;0,'IPCC(2006)'!$E$64*1000/Legend!$B$86,'IPCC(2006)'!$I$64*1000/Legend!$B$86)</f>
        <v>8.8888888888888889E-3</v>
      </c>
      <c r="U98" s="209">
        <f>IF(SUMIFS('Region Mapping'!$E:$E,'Region Mapping'!$A:$A,U$39)&gt;0,'IPCC(2006)'!$E$64*1000/Legend!$B$86,'IPCC(2006)'!$I$64*1000/Legend!$B$86)</f>
        <v>8.8888888888888889E-3</v>
      </c>
      <c r="V98" s="209">
        <f>IF(SUMIFS('Region Mapping'!$E:$E,'Region Mapping'!$A:$A,V$39)&gt;0,'IPCC(2006)'!$E$64*1000/Legend!$B$86,'IPCC(2006)'!$I$64*1000/Legend!$B$86)</f>
        <v>1.3055555555555556E-2</v>
      </c>
      <c r="W98" s="209">
        <f>IF(SUMIFS('Region Mapping'!$E:$E,'Region Mapping'!$A:$A,W$39)&gt;0,'IPCC(2006)'!$E$64*1000/Legend!$B$86,'IPCC(2006)'!$I$64*1000/Legend!$B$86)</f>
        <v>8.8888888888888889E-3</v>
      </c>
      <c r="X98" s="209">
        <f>IF(SUMIFS('Region Mapping'!$E:$E,'Region Mapping'!$A:$A,X$39)&gt;0,'IPCC(2006)'!$E$64*1000/Legend!$B$86,'IPCC(2006)'!$I$64*1000/Legend!$B$86)</f>
        <v>8.8888888888888889E-3</v>
      </c>
      <c r="Y98" s="209">
        <f>IF(SUMIFS('Region Mapping'!$E:$E,'Region Mapping'!$A:$A,Y$39)&gt;0,'IPCC(2006)'!$E$64*1000/Legend!$B$86,'IPCC(2006)'!$I$64*1000/Legend!$B$86)</f>
        <v>8.8888888888888889E-3</v>
      </c>
      <c r="Z98" s="209">
        <f>IF(SUMIFS('Region Mapping'!$E:$E,'Region Mapping'!$A:$A,Z$39)&gt;0,'IPCC(2006)'!$E$64*1000/Legend!$B$86,'IPCC(2006)'!$I$64*1000/Legend!$B$86)</f>
        <v>8.8888888888888889E-3</v>
      </c>
      <c r="AA98" s="209">
        <f>IF(SUMIFS('Region Mapping'!$E:$E,'Region Mapping'!$A:$A,AA$39)&gt;0,'IPCC(2006)'!$E$64*1000/Legend!$B$86,'IPCC(2006)'!$I$64*1000/Legend!$B$86)</f>
        <v>8.8888888888888889E-3</v>
      </c>
      <c r="AB98" s="209">
        <f>IF(SUMIFS('Region Mapping'!$E:$E,'Region Mapping'!$A:$A,AB$39)&gt;0,'IPCC(2006)'!$E$64*1000/Legend!$B$86,'IPCC(2006)'!$I$64*1000/Legend!$B$86)</f>
        <v>8.8888888888888889E-3</v>
      </c>
      <c r="AC98" s="209">
        <f>IF(SUMIFS('Region Mapping'!$E:$E,'Region Mapping'!$A:$A,AC$39)&gt;0,'IPCC(2006)'!$E$64*1000/Legend!$B$86,'IPCC(2006)'!$I$64*1000/Legend!$B$86)</f>
        <v>1.3055555555555556E-2</v>
      </c>
      <c r="AD98" s="220">
        <f>IF(SUMIFS('Region Mapping'!$E:$E,'Region Mapping'!$A:$A,AD$39)&gt;0,'IPCC(2006)'!$E$64*1000/Legend!$B$86,'IPCC(2006)'!$I$64*1000/Legend!$B$86)</f>
        <v>1.3055555555555556E-2</v>
      </c>
    </row>
    <row r="99" spans="1:30">
      <c r="A99" s="215" t="s">
        <v>999</v>
      </c>
      <c r="B99" t="s">
        <v>998</v>
      </c>
      <c r="C99" s="209">
        <f>IF(SUMIFS('Region Mapping'!$E:$E,'Region Mapping'!$A:$A,C$39)&gt;0,'IPCC(2006)'!$E$65*1000/Legend!$B$86,'IPCC(2006)'!$I$65*1000/Legend!$B$86)</f>
        <v>6.1111111111111121E-5</v>
      </c>
      <c r="D99" s="209">
        <f>IF(SUMIFS('Region Mapping'!$E:$E,'Region Mapping'!$A:$A,D$39)&gt;0,'IPCC(2006)'!$E$65*1000/Legend!$B$86,'IPCC(2006)'!$I$65*1000/Legend!$B$86)</f>
        <v>6.1111111111111121E-5</v>
      </c>
      <c r="E99" s="209">
        <f>IF(SUMIFS('Region Mapping'!$E:$E,'Region Mapping'!$A:$A,E$39)&gt;0,'IPCC(2006)'!$E$65*1000/Legend!$B$86,'IPCC(2006)'!$I$65*1000/Legend!$B$86)</f>
        <v>6.1111111111111121E-5</v>
      </c>
      <c r="F99" s="209">
        <f>IF(SUMIFS('Region Mapping'!$E:$E,'Region Mapping'!$A:$A,F$39)&gt;0,'IPCC(2006)'!$E$65*1000/Legend!$B$86,'IPCC(2006)'!$I$65*1000/Legend!$B$86)</f>
        <v>6.1111111111111121E-5</v>
      </c>
      <c r="G99" s="209">
        <f>IF(SUMIFS('Region Mapping'!$E:$E,'Region Mapping'!$A:$A,G$39)&gt;0,'IPCC(2006)'!$E$65*1000/Legend!$B$86,'IPCC(2006)'!$I$65*1000/Legend!$B$86)</f>
        <v>4.444444444444444E-5</v>
      </c>
      <c r="H99" s="209">
        <f>IF(SUMIFS('Region Mapping'!$E:$E,'Region Mapping'!$A:$A,H$39)&gt;0,'IPCC(2006)'!$E$65*1000/Legend!$B$86,'IPCC(2006)'!$I$65*1000/Legend!$B$86)</f>
        <v>6.1111111111111121E-5</v>
      </c>
      <c r="I99" s="209">
        <f>IF(SUMIFS('Region Mapping'!$E:$E,'Region Mapping'!$A:$A,I$39)&gt;0,'IPCC(2006)'!$E$65*1000/Legend!$B$86,'IPCC(2006)'!$I$65*1000/Legend!$B$86)</f>
        <v>6.1111111111111121E-5</v>
      </c>
      <c r="J99" s="209">
        <f>IF(SUMIFS('Region Mapping'!$E:$E,'Region Mapping'!$A:$A,J$39)&gt;0,'IPCC(2006)'!$E$65*1000/Legend!$B$86,'IPCC(2006)'!$I$65*1000/Legend!$B$86)</f>
        <v>6.1111111111111121E-5</v>
      </c>
      <c r="K99" s="209">
        <f>IF(SUMIFS('Region Mapping'!$E:$E,'Region Mapping'!$A:$A,K$39)&gt;0,'IPCC(2006)'!$E$65*1000/Legend!$B$86,'IPCC(2006)'!$I$65*1000/Legend!$B$86)</f>
        <v>6.1111111111111121E-5</v>
      </c>
      <c r="L99" s="209">
        <f>IF(SUMIFS('Region Mapping'!$E:$E,'Region Mapping'!$A:$A,L$39)&gt;0,'IPCC(2006)'!$E$65*1000/Legend!$B$86,'IPCC(2006)'!$I$65*1000/Legend!$B$86)</f>
        <v>4.444444444444444E-5</v>
      </c>
      <c r="M99" s="209">
        <f>IF(SUMIFS('Region Mapping'!$E:$E,'Region Mapping'!$A:$A,M$39)&gt;0,'IPCC(2006)'!$E$65*1000/Legend!$B$86,'IPCC(2006)'!$I$65*1000/Legend!$B$86)</f>
        <v>6.1111111111111121E-5</v>
      </c>
      <c r="N99" s="209">
        <f>IF(SUMIFS('Region Mapping'!$E:$E,'Region Mapping'!$A:$A,N$39)&gt;0,'IPCC(2006)'!$E$65*1000/Legend!$B$86,'IPCC(2006)'!$I$65*1000/Legend!$B$86)</f>
        <v>6.1111111111111121E-5</v>
      </c>
      <c r="O99" s="209">
        <f>IF(SUMIFS('Region Mapping'!$E:$E,'Region Mapping'!$A:$A,O$39)&gt;0,'IPCC(2006)'!$E$65*1000/Legend!$B$86,'IPCC(2006)'!$I$65*1000/Legend!$B$86)</f>
        <v>6.1111111111111121E-5</v>
      </c>
      <c r="P99" s="209">
        <f>IF(SUMIFS('Region Mapping'!$E:$E,'Region Mapping'!$A:$A,P$39)&gt;0,'IPCC(2006)'!$E$65*1000/Legend!$B$86,'IPCC(2006)'!$I$65*1000/Legend!$B$86)</f>
        <v>4.444444444444444E-5</v>
      </c>
      <c r="Q99" s="209">
        <f>IF(SUMIFS('Region Mapping'!$E:$E,'Region Mapping'!$A:$A,Q$39)&gt;0,'IPCC(2006)'!$E$65*1000/Legend!$B$86,'IPCC(2006)'!$I$65*1000/Legend!$B$86)</f>
        <v>4.444444444444444E-5</v>
      </c>
      <c r="R99" s="209">
        <f>IF(SUMIFS('Region Mapping'!$E:$E,'Region Mapping'!$A:$A,R$39)&gt;0,'IPCC(2006)'!$E$65*1000/Legend!$B$86,'IPCC(2006)'!$I$65*1000/Legend!$B$86)</f>
        <v>4.444444444444444E-5</v>
      </c>
      <c r="S99" s="209">
        <f>IF(SUMIFS('Region Mapping'!$E:$E,'Region Mapping'!$A:$A,S$39)&gt;0,'IPCC(2006)'!$E$65*1000/Legend!$B$86,'IPCC(2006)'!$I$65*1000/Legend!$B$86)</f>
        <v>4.444444444444444E-5</v>
      </c>
      <c r="T99" s="209">
        <f>IF(SUMIFS('Region Mapping'!$E:$E,'Region Mapping'!$A:$A,T$39)&gt;0,'IPCC(2006)'!$E$65*1000/Legend!$B$86,'IPCC(2006)'!$I$65*1000/Legend!$B$86)</f>
        <v>6.1111111111111121E-5</v>
      </c>
      <c r="U99" s="209">
        <f>IF(SUMIFS('Region Mapping'!$E:$E,'Region Mapping'!$A:$A,U$39)&gt;0,'IPCC(2006)'!$E$65*1000/Legend!$B$86,'IPCC(2006)'!$I$65*1000/Legend!$B$86)</f>
        <v>6.1111111111111121E-5</v>
      </c>
      <c r="V99" s="209">
        <f>IF(SUMIFS('Region Mapping'!$E:$E,'Region Mapping'!$A:$A,V$39)&gt;0,'IPCC(2006)'!$E$65*1000/Legend!$B$86,'IPCC(2006)'!$I$65*1000/Legend!$B$86)</f>
        <v>4.444444444444444E-5</v>
      </c>
      <c r="W99" s="209">
        <f>IF(SUMIFS('Region Mapping'!$E:$E,'Region Mapping'!$A:$A,W$39)&gt;0,'IPCC(2006)'!$E$65*1000/Legend!$B$86,'IPCC(2006)'!$I$65*1000/Legend!$B$86)</f>
        <v>6.1111111111111121E-5</v>
      </c>
      <c r="X99" s="209">
        <f>IF(SUMIFS('Region Mapping'!$E:$E,'Region Mapping'!$A:$A,X$39)&gt;0,'IPCC(2006)'!$E$65*1000/Legend!$B$86,'IPCC(2006)'!$I$65*1000/Legend!$B$86)</f>
        <v>6.1111111111111121E-5</v>
      </c>
      <c r="Y99" s="209">
        <f>IF(SUMIFS('Region Mapping'!$E:$E,'Region Mapping'!$A:$A,Y$39)&gt;0,'IPCC(2006)'!$E$65*1000/Legend!$B$86,'IPCC(2006)'!$I$65*1000/Legend!$B$86)</f>
        <v>6.1111111111111121E-5</v>
      </c>
      <c r="Z99" s="209">
        <f>IF(SUMIFS('Region Mapping'!$E:$E,'Region Mapping'!$A:$A,Z$39)&gt;0,'IPCC(2006)'!$E$65*1000/Legend!$B$86,'IPCC(2006)'!$I$65*1000/Legend!$B$86)</f>
        <v>6.1111111111111121E-5</v>
      </c>
      <c r="AA99" s="209">
        <f>IF(SUMIFS('Region Mapping'!$E:$E,'Region Mapping'!$A:$A,AA$39)&gt;0,'IPCC(2006)'!$E$65*1000/Legend!$B$86,'IPCC(2006)'!$I$65*1000/Legend!$B$86)</f>
        <v>6.1111111111111121E-5</v>
      </c>
      <c r="AB99" s="209">
        <f>IF(SUMIFS('Region Mapping'!$E:$E,'Region Mapping'!$A:$A,AB$39)&gt;0,'IPCC(2006)'!$E$65*1000/Legend!$B$86,'IPCC(2006)'!$I$65*1000/Legend!$B$86)</f>
        <v>6.1111111111111121E-5</v>
      </c>
      <c r="AC99" s="209">
        <f>IF(SUMIFS('Region Mapping'!$E:$E,'Region Mapping'!$A:$A,AC$39)&gt;0,'IPCC(2006)'!$E$65*1000/Legend!$B$86,'IPCC(2006)'!$I$65*1000/Legend!$B$86)</f>
        <v>4.444444444444444E-5</v>
      </c>
      <c r="AD99" s="220">
        <f>IF(SUMIFS('Region Mapping'!$E:$E,'Region Mapping'!$A:$A,AD$39)&gt;0,'IPCC(2006)'!$E$65*1000/Legend!$B$86,'IPCC(2006)'!$I$65*1000/Legend!$B$86)</f>
        <v>4.444444444444444E-5</v>
      </c>
    </row>
    <row r="100" spans="1:30">
      <c r="A100" s="215" t="s">
        <v>1000</v>
      </c>
      <c r="B100" t="s">
        <v>998</v>
      </c>
      <c r="C100" s="209">
        <f>IF(SUMIFS('Region Mapping'!$E:$E,'Region Mapping'!$A:$A,C$39)&gt;0,'IPCC(2006)'!$E$66*1000/Legend!$B$86,'IPCC(2006)'!$I$66*1000/Legend!$B$86)</f>
        <v>0</v>
      </c>
      <c r="D100" s="209">
        <f>IF(SUMIFS('Region Mapping'!$E:$E,'Region Mapping'!$A:$A,D$39)&gt;0,'IPCC(2006)'!$E$66*1000/Legend!$B$86,'IPCC(2006)'!$I$66*1000/Legend!$B$86)</f>
        <v>0</v>
      </c>
      <c r="E100" s="209">
        <f>IF(SUMIFS('Region Mapping'!$E:$E,'Region Mapping'!$A:$A,E$39)&gt;0,'IPCC(2006)'!$E$66*1000/Legend!$B$86,'IPCC(2006)'!$I$66*1000/Legend!$B$86)</f>
        <v>0</v>
      </c>
      <c r="F100" s="209">
        <f>IF(SUMIFS('Region Mapping'!$E:$E,'Region Mapping'!$A:$A,F$39)&gt;0,'IPCC(2006)'!$E$66*1000/Legend!$B$86,'IPCC(2006)'!$I$66*1000/Legend!$B$86)</f>
        <v>0</v>
      </c>
      <c r="G100" s="209">
        <f>IF(SUMIFS('Region Mapping'!$E:$E,'Region Mapping'!$A:$A,G$39)&gt;0,'IPCC(2006)'!$E$66*1000/Legend!$B$86,'IPCC(2006)'!$I$66*1000/Legend!$B$86)</f>
        <v>0</v>
      </c>
      <c r="H100" s="209">
        <f>IF(SUMIFS('Region Mapping'!$E:$E,'Region Mapping'!$A:$A,H$39)&gt;0,'IPCC(2006)'!$E$66*1000/Legend!$B$86,'IPCC(2006)'!$I$66*1000/Legend!$B$86)</f>
        <v>0</v>
      </c>
      <c r="I100" s="209">
        <f>IF(SUMIFS('Region Mapping'!$E:$E,'Region Mapping'!$A:$A,I$39)&gt;0,'IPCC(2006)'!$E$66*1000/Legend!$B$86,'IPCC(2006)'!$I$66*1000/Legend!$B$86)</f>
        <v>0</v>
      </c>
      <c r="J100" s="209">
        <f>IF(SUMIFS('Region Mapping'!$E:$E,'Region Mapping'!$A:$A,J$39)&gt;0,'IPCC(2006)'!$E$66*1000/Legend!$B$86,'IPCC(2006)'!$I$66*1000/Legend!$B$86)</f>
        <v>0</v>
      </c>
      <c r="K100" s="209">
        <f>IF(SUMIFS('Region Mapping'!$E:$E,'Region Mapping'!$A:$A,K$39)&gt;0,'IPCC(2006)'!$E$66*1000/Legend!$B$86,'IPCC(2006)'!$I$66*1000/Legend!$B$86)</f>
        <v>0</v>
      </c>
      <c r="L100" s="209">
        <f>IF(SUMIFS('Region Mapping'!$E:$E,'Region Mapping'!$A:$A,L$39)&gt;0,'IPCC(2006)'!$E$66*1000/Legend!$B$86,'IPCC(2006)'!$I$66*1000/Legend!$B$86)</f>
        <v>0</v>
      </c>
      <c r="M100" s="209">
        <f>IF(SUMIFS('Region Mapping'!$E:$E,'Region Mapping'!$A:$A,M$39)&gt;0,'IPCC(2006)'!$E$66*1000/Legend!$B$86,'IPCC(2006)'!$I$66*1000/Legend!$B$86)</f>
        <v>0</v>
      </c>
      <c r="N100" s="209">
        <f>IF(SUMIFS('Region Mapping'!$E:$E,'Region Mapping'!$A:$A,N$39)&gt;0,'IPCC(2006)'!$E$66*1000/Legend!$B$86,'IPCC(2006)'!$I$66*1000/Legend!$B$86)</f>
        <v>0</v>
      </c>
      <c r="O100" s="209">
        <f>IF(SUMIFS('Region Mapping'!$E:$E,'Region Mapping'!$A:$A,O$39)&gt;0,'IPCC(2006)'!$E$66*1000/Legend!$B$86,'IPCC(2006)'!$I$66*1000/Legend!$B$86)</f>
        <v>0</v>
      </c>
      <c r="P100" s="209">
        <f>IF(SUMIFS('Region Mapping'!$E:$E,'Region Mapping'!$A:$A,P$39)&gt;0,'IPCC(2006)'!$E$66*1000/Legend!$B$86,'IPCC(2006)'!$I$66*1000/Legend!$B$86)</f>
        <v>0</v>
      </c>
      <c r="Q100" s="209">
        <f>IF(SUMIFS('Region Mapping'!$E:$E,'Region Mapping'!$A:$A,Q$39)&gt;0,'IPCC(2006)'!$E$66*1000/Legend!$B$86,'IPCC(2006)'!$I$66*1000/Legend!$B$86)</f>
        <v>0</v>
      </c>
      <c r="R100" s="209">
        <f>IF(SUMIFS('Region Mapping'!$E:$E,'Region Mapping'!$A:$A,R$39)&gt;0,'IPCC(2006)'!$E$66*1000/Legend!$B$86,'IPCC(2006)'!$I$66*1000/Legend!$B$86)</f>
        <v>0</v>
      </c>
      <c r="S100" s="209">
        <f>IF(SUMIFS('Region Mapping'!$E:$E,'Region Mapping'!$A:$A,S$39)&gt;0,'IPCC(2006)'!$E$66*1000/Legend!$B$86,'IPCC(2006)'!$I$66*1000/Legend!$B$86)</f>
        <v>0</v>
      </c>
      <c r="T100" s="209">
        <f>IF(SUMIFS('Region Mapping'!$E:$E,'Region Mapping'!$A:$A,T$39)&gt;0,'IPCC(2006)'!$E$66*1000/Legend!$B$86,'IPCC(2006)'!$I$66*1000/Legend!$B$86)</f>
        <v>0</v>
      </c>
      <c r="U100" s="209">
        <f>IF(SUMIFS('Region Mapping'!$E:$E,'Region Mapping'!$A:$A,U$39)&gt;0,'IPCC(2006)'!$E$66*1000/Legend!$B$86,'IPCC(2006)'!$I$66*1000/Legend!$B$86)</f>
        <v>0</v>
      </c>
      <c r="V100" s="209">
        <f>IF(SUMIFS('Region Mapping'!$E:$E,'Region Mapping'!$A:$A,V$39)&gt;0,'IPCC(2006)'!$E$66*1000/Legend!$B$86,'IPCC(2006)'!$I$66*1000/Legend!$B$86)</f>
        <v>0</v>
      </c>
      <c r="W100" s="209">
        <f>IF(SUMIFS('Region Mapping'!$E:$E,'Region Mapping'!$A:$A,W$39)&gt;0,'IPCC(2006)'!$E$66*1000/Legend!$B$86,'IPCC(2006)'!$I$66*1000/Legend!$B$86)</f>
        <v>0</v>
      </c>
      <c r="X100" s="209">
        <f>IF(SUMIFS('Region Mapping'!$E:$E,'Region Mapping'!$A:$A,X$39)&gt;0,'IPCC(2006)'!$E$66*1000/Legend!$B$86,'IPCC(2006)'!$I$66*1000/Legend!$B$86)</f>
        <v>0</v>
      </c>
      <c r="Y100" s="209">
        <f>IF(SUMIFS('Region Mapping'!$E:$E,'Region Mapping'!$A:$A,Y$39)&gt;0,'IPCC(2006)'!$E$66*1000/Legend!$B$86,'IPCC(2006)'!$I$66*1000/Legend!$B$86)</f>
        <v>0</v>
      </c>
      <c r="Z100" s="209">
        <f>IF(SUMIFS('Region Mapping'!$E:$E,'Region Mapping'!$A:$A,Z$39)&gt;0,'IPCC(2006)'!$E$66*1000/Legend!$B$86,'IPCC(2006)'!$I$66*1000/Legend!$B$86)</f>
        <v>0</v>
      </c>
      <c r="AA100" s="209">
        <f>IF(SUMIFS('Region Mapping'!$E:$E,'Region Mapping'!$A:$A,AA$39)&gt;0,'IPCC(2006)'!$E$66*1000/Legend!$B$86,'IPCC(2006)'!$I$66*1000/Legend!$B$86)</f>
        <v>0</v>
      </c>
      <c r="AB100" s="209">
        <f>IF(SUMIFS('Region Mapping'!$E:$E,'Region Mapping'!$A:$A,AB$39)&gt;0,'IPCC(2006)'!$E$66*1000/Legend!$B$86,'IPCC(2006)'!$I$66*1000/Legend!$B$86)</f>
        <v>0</v>
      </c>
      <c r="AC100" s="209">
        <f>IF(SUMIFS('Region Mapping'!$E:$E,'Region Mapping'!$A:$A,AC$39)&gt;0,'IPCC(2006)'!$E$66*1000/Legend!$B$86,'IPCC(2006)'!$I$66*1000/Legend!$B$86)</f>
        <v>0</v>
      </c>
      <c r="AD100" s="220">
        <f>IF(SUMIFS('Region Mapping'!$E:$E,'Region Mapping'!$A:$A,AD$39)&gt;0,'IPCC(2006)'!$E$66*1000/Legend!$B$86,'IPCC(2006)'!$I$66*1000/Legend!$B$86)</f>
        <v>0</v>
      </c>
    </row>
    <row r="101" spans="1:30">
      <c r="A101" s="215" t="s">
        <v>1001</v>
      </c>
      <c r="B101" t="s">
        <v>1002</v>
      </c>
      <c r="C101" s="209">
        <f>IF(SUMIFS('Region Mapping'!$E:$E,'Region Mapping'!$A:$A,C$39)&gt;0,'IPCC(2006)'!$E$68*1000/Legend!$B$86+'IPCC(2006)'!$E$71*1000/Legend!$B$86,'IPCC(2006)'!$I$68*1000/Legend!$B$86+'IPCC(2006)'!$I$71*1000/Legend!$B$86)</f>
        <v>4.6750000000000014E-4</v>
      </c>
      <c r="D101" s="209">
        <f>IF(SUMIFS('Region Mapping'!$E:$E,'Region Mapping'!$A:$A,D$39)&gt;0,'IPCC(2006)'!$E$68*1000/Legend!$B$86+'IPCC(2006)'!$E$71*1000/Legend!$B$86,'IPCC(2006)'!$I$68*1000/Legend!$B$86+'IPCC(2006)'!$I$71*1000/Legend!$B$86)</f>
        <v>4.6750000000000014E-4</v>
      </c>
      <c r="E101" s="209">
        <f>IF(SUMIFS('Region Mapping'!$E:$E,'Region Mapping'!$A:$A,E$39)&gt;0,'IPCC(2006)'!$E$68*1000/Legend!$B$86+'IPCC(2006)'!$E$71*1000/Legend!$B$86,'IPCC(2006)'!$I$68*1000/Legend!$B$86+'IPCC(2006)'!$I$71*1000/Legend!$B$86)</f>
        <v>4.6750000000000014E-4</v>
      </c>
      <c r="F101" s="209">
        <f>IF(SUMIFS('Region Mapping'!$E:$E,'Region Mapping'!$A:$A,F$39)&gt;0,'IPCC(2006)'!$E$68*1000/Legend!$B$86+'IPCC(2006)'!$E$71*1000/Legend!$B$86,'IPCC(2006)'!$I$68*1000/Legend!$B$86+'IPCC(2006)'!$I$71*1000/Legend!$B$86)</f>
        <v>4.6750000000000014E-4</v>
      </c>
      <c r="G101" s="209">
        <f>IF(SUMIFS('Region Mapping'!$E:$E,'Region Mapping'!$A:$A,G$39)&gt;0,'IPCC(2006)'!$E$68*1000/Legend!$B$86+'IPCC(2006)'!$E$71*1000/Legend!$B$86,'IPCC(2006)'!$I$68*1000/Legend!$B$86+'IPCC(2006)'!$I$71*1000/Legend!$B$86)</f>
        <v>2.0444444444444446E-4</v>
      </c>
      <c r="H101" s="209">
        <f>IF(SUMIFS('Region Mapping'!$E:$E,'Region Mapping'!$A:$A,H$39)&gt;0,'IPCC(2006)'!$E$68*1000/Legend!$B$86+'IPCC(2006)'!$E$71*1000/Legend!$B$86,'IPCC(2006)'!$I$68*1000/Legend!$B$86+'IPCC(2006)'!$I$71*1000/Legend!$B$86)</f>
        <v>4.6750000000000014E-4</v>
      </c>
      <c r="I101" s="209">
        <f>IF(SUMIFS('Region Mapping'!$E:$E,'Region Mapping'!$A:$A,I$39)&gt;0,'IPCC(2006)'!$E$68*1000/Legend!$B$86+'IPCC(2006)'!$E$71*1000/Legend!$B$86,'IPCC(2006)'!$I$68*1000/Legend!$B$86+'IPCC(2006)'!$I$71*1000/Legend!$B$86)</f>
        <v>4.6750000000000014E-4</v>
      </c>
      <c r="J101" s="209">
        <f>IF(SUMIFS('Region Mapping'!$E:$E,'Region Mapping'!$A:$A,J$39)&gt;0,'IPCC(2006)'!$E$68*1000/Legend!$B$86+'IPCC(2006)'!$E$71*1000/Legend!$B$86,'IPCC(2006)'!$I$68*1000/Legend!$B$86+'IPCC(2006)'!$I$71*1000/Legend!$B$86)</f>
        <v>4.6750000000000014E-4</v>
      </c>
      <c r="K101" s="209">
        <f>IF(SUMIFS('Region Mapping'!$E:$E,'Region Mapping'!$A:$A,K$39)&gt;0,'IPCC(2006)'!$E$68*1000/Legend!$B$86+'IPCC(2006)'!$E$71*1000/Legend!$B$86,'IPCC(2006)'!$I$68*1000/Legend!$B$86+'IPCC(2006)'!$I$71*1000/Legend!$B$86)</f>
        <v>4.6750000000000014E-4</v>
      </c>
      <c r="L101" s="209">
        <f>IF(SUMIFS('Region Mapping'!$E:$E,'Region Mapping'!$A:$A,L$39)&gt;0,'IPCC(2006)'!$E$68*1000/Legend!$B$86+'IPCC(2006)'!$E$71*1000/Legend!$B$86,'IPCC(2006)'!$I$68*1000/Legend!$B$86+'IPCC(2006)'!$I$71*1000/Legend!$B$86)</f>
        <v>2.0444444444444446E-4</v>
      </c>
      <c r="M101" s="209">
        <f>IF(SUMIFS('Region Mapping'!$E:$E,'Region Mapping'!$A:$A,M$39)&gt;0,'IPCC(2006)'!$E$68*1000/Legend!$B$86+'IPCC(2006)'!$E$71*1000/Legend!$B$86,'IPCC(2006)'!$I$68*1000/Legend!$B$86+'IPCC(2006)'!$I$71*1000/Legend!$B$86)</f>
        <v>4.6750000000000014E-4</v>
      </c>
      <c r="N101" s="209">
        <f>IF(SUMIFS('Region Mapping'!$E:$E,'Region Mapping'!$A:$A,N$39)&gt;0,'IPCC(2006)'!$E$68*1000/Legend!$B$86+'IPCC(2006)'!$E$71*1000/Legend!$B$86,'IPCC(2006)'!$I$68*1000/Legend!$B$86+'IPCC(2006)'!$I$71*1000/Legend!$B$86)</f>
        <v>4.6750000000000014E-4</v>
      </c>
      <c r="O101" s="209">
        <f>IF(SUMIFS('Region Mapping'!$E:$E,'Region Mapping'!$A:$A,O$39)&gt;0,'IPCC(2006)'!$E$68*1000/Legend!$B$86+'IPCC(2006)'!$E$71*1000/Legend!$B$86,'IPCC(2006)'!$I$68*1000/Legend!$B$86+'IPCC(2006)'!$I$71*1000/Legend!$B$86)</f>
        <v>4.6750000000000014E-4</v>
      </c>
      <c r="P101" s="209">
        <f>IF(SUMIFS('Region Mapping'!$E:$E,'Region Mapping'!$A:$A,P$39)&gt;0,'IPCC(2006)'!$E$68*1000/Legend!$B$86+'IPCC(2006)'!$E$71*1000/Legend!$B$86,'IPCC(2006)'!$I$68*1000/Legend!$B$86+'IPCC(2006)'!$I$71*1000/Legend!$B$86)</f>
        <v>2.0444444444444446E-4</v>
      </c>
      <c r="Q101" s="209">
        <f>IF(SUMIFS('Region Mapping'!$E:$E,'Region Mapping'!$A:$A,Q$39)&gt;0,'IPCC(2006)'!$E$68*1000/Legend!$B$86+'IPCC(2006)'!$E$71*1000/Legend!$B$86,'IPCC(2006)'!$I$68*1000/Legend!$B$86+'IPCC(2006)'!$I$71*1000/Legend!$B$86)</f>
        <v>2.0444444444444446E-4</v>
      </c>
      <c r="R101" s="209">
        <f>IF(SUMIFS('Region Mapping'!$E:$E,'Region Mapping'!$A:$A,R$39)&gt;0,'IPCC(2006)'!$E$68*1000/Legend!$B$86+'IPCC(2006)'!$E$71*1000/Legend!$B$86,'IPCC(2006)'!$I$68*1000/Legend!$B$86+'IPCC(2006)'!$I$71*1000/Legend!$B$86)</f>
        <v>2.0444444444444446E-4</v>
      </c>
      <c r="S101" s="209">
        <f>IF(SUMIFS('Region Mapping'!$E:$E,'Region Mapping'!$A:$A,S$39)&gt;0,'IPCC(2006)'!$E$68*1000/Legend!$B$86+'IPCC(2006)'!$E$71*1000/Legend!$B$86,'IPCC(2006)'!$I$68*1000/Legend!$B$86+'IPCC(2006)'!$I$71*1000/Legend!$B$86)</f>
        <v>2.0444444444444446E-4</v>
      </c>
      <c r="T101" s="209">
        <f>IF(SUMIFS('Region Mapping'!$E:$E,'Region Mapping'!$A:$A,T$39)&gt;0,'IPCC(2006)'!$E$68*1000/Legend!$B$86+'IPCC(2006)'!$E$71*1000/Legend!$B$86,'IPCC(2006)'!$I$68*1000/Legend!$B$86+'IPCC(2006)'!$I$71*1000/Legend!$B$86)</f>
        <v>4.6750000000000014E-4</v>
      </c>
      <c r="U101" s="209">
        <f>IF(SUMIFS('Region Mapping'!$E:$E,'Region Mapping'!$A:$A,U$39)&gt;0,'IPCC(2006)'!$E$68*1000/Legend!$B$86+'IPCC(2006)'!$E$71*1000/Legend!$B$86,'IPCC(2006)'!$I$68*1000/Legend!$B$86+'IPCC(2006)'!$I$71*1000/Legend!$B$86)</f>
        <v>4.6750000000000014E-4</v>
      </c>
      <c r="V101" s="209">
        <f>IF(SUMIFS('Region Mapping'!$E:$E,'Region Mapping'!$A:$A,V$39)&gt;0,'IPCC(2006)'!$E$68*1000/Legend!$B$86+'IPCC(2006)'!$E$71*1000/Legend!$B$86,'IPCC(2006)'!$I$68*1000/Legend!$B$86+'IPCC(2006)'!$I$71*1000/Legend!$B$86)</f>
        <v>2.0444444444444446E-4</v>
      </c>
      <c r="W101" s="209">
        <f>IF(SUMIFS('Region Mapping'!$E:$E,'Region Mapping'!$A:$A,W$39)&gt;0,'IPCC(2006)'!$E$68*1000/Legend!$B$86+'IPCC(2006)'!$E$71*1000/Legend!$B$86,'IPCC(2006)'!$I$68*1000/Legend!$B$86+'IPCC(2006)'!$I$71*1000/Legend!$B$86)</f>
        <v>4.6750000000000014E-4</v>
      </c>
      <c r="X101" s="209">
        <f>IF(SUMIFS('Region Mapping'!$E:$E,'Region Mapping'!$A:$A,X$39)&gt;0,'IPCC(2006)'!$E$68*1000/Legend!$B$86+'IPCC(2006)'!$E$71*1000/Legend!$B$86,'IPCC(2006)'!$I$68*1000/Legend!$B$86+'IPCC(2006)'!$I$71*1000/Legend!$B$86)</f>
        <v>4.6750000000000014E-4</v>
      </c>
      <c r="Y101" s="209">
        <f>IF(SUMIFS('Region Mapping'!$E:$E,'Region Mapping'!$A:$A,Y$39)&gt;0,'IPCC(2006)'!$E$68*1000/Legend!$B$86+'IPCC(2006)'!$E$71*1000/Legend!$B$86,'IPCC(2006)'!$I$68*1000/Legend!$B$86+'IPCC(2006)'!$I$71*1000/Legend!$B$86)</f>
        <v>4.6750000000000014E-4</v>
      </c>
      <c r="Z101" s="209">
        <f>IF(SUMIFS('Region Mapping'!$E:$E,'Region Mapping'!$A:$A,Z$39)&gt;0,'IPCC(2006)'!$E$68*1000/Legend!$B$86+'IPCC(2006)'!$E$71*1000/Legend!$B$86,'IPCC(2006)'!$I$68*1000/Legend!$B$86+'IPCC(2006)'!$I$71*1000/Legend!$B$86)</f>
        <v>4.6750000000000014E-4</v>
      </c>
      <c r="AA101" s="209">
        <f>IF(SUMIFS('Region Mapping'!$E:$E,'Region Mapping'!$A:$A,AA$39)&gt;0,'IPCC(2006)'!$E$68*1000/Legend!$B$86+'IPCC(2006)'!$E$71*1000/Legend!$B$86,'IPCC(2006)'!$I$68*1000/Legend!$B$86+'IPCC(2006)'!$I$71*1000/Legend!$B$86)</f>
        <v>4.6750000000000014E-4</v>
      </c>
      <c r="AB101" s="209">
        <f>IF(SUMIFS('Region Mapping'!$E:$E,'Region Mapping'!$A:$A,AB$39)&gt;0,'IPCC(2006)'!$E$68*1000/Legend!$B$86+'IPCC(2006)'!$E$71*1000/Legend!$B$86,'IPCC(2006)'!$I$68*1000/Legend!$B$86+'IPCC(2006)'!$I$71*1000/Legend!$B$86)</f>
        <v>4.6750000000000014E-4</v>
      </c>
      <c r="AC101" s="209">
        <f>IF(SUMIFS('Region Mapping'!$E:$E,'Region Mapping'!$A:$A,AC$39)&gt;0,'IPCC(2006)'!$E$68*1000/Legend!$B$86+'IPCC(2006)'!$E$71*1000/Legend!$B$86,'IPCC(2006)'!$I$68*1000/Legend!$B$86+'IPCC(2006)'!$I$71*1000/Legend!$B$86)</f>
        <v>2.0444444444444446E-4</v>
      </c>
      <c r="AD101" s="220">
        <f>IF(SUMIFS('Region Mapping'!$E:$E,'Region Mapping'!$A:$A,AD$39)&gt;0,'IPCC(2006)'!$E$68*1000/Legend!$B$86+'IPCC(2006)'!$E$71*1000/Legend!$B$86,'IPCC(2006)'!$I$68*1000/Legend!$B$86+'IPCC(2006)'!$I$71*1000/Legend!$B$86)</f>
        <v>2.0444444444444446E-4</v>
      </c>
    </row>
    <row r="102" spans="1:30">
      <c r="A102" s="215" t="s">
        <v>1003</v>
      </c>
      <c r="B102" t="s">
        <v>1002</v>
      </c>
      <c r="C102" s="209">
        <f>IF(SUMIFS('Region Mapping'!$E:$E,'Region Mapping'!$A:$A,C$39)&gt;0,'IPCC(2006)'!$E$69*1000/Legend!$B$86,'IPCC(2006)'!$I$69*1000/Legend!$B$86)</f>
        <v>3.055555555555556E-4</v>
      </c>
      <c r="D102" s="209">
        <f>IF(SUMIFS('Region Mapping'!$E:$E,'Region Mapping'!$A:$A,D$39)&gt;0,'IPCC(2006)'!$E$69*1000/Legend!$B$86,'IPCC(2006)'!$I$69*1000/Legend!$B$86)</f>
        <v>3.055555555555556E-4</v>
      </c>
      <c r="E102" s="209">
        <f>IF(SUMIFS('Region Mapping'!$E:$E,'Region Mapping'!$A:$A,E$39)&gt;0,'IPCC(2006)'!$E$69*1000/Legend!$B$86,'IPCC(2006)'!$I$69*1000/Legend!$B$86)</f>
        <v>3.055555555555556E-4</v>
      </c>
      <c r="F102" s="209">
        <f>IF(SUMIFS('Region Mapping'!$E:$E,'Region Mapping'!$A:$A,F$39)&gt;0,'IPCC(2006)'!$E$69*1000/Legend!$B$86,'IPCC(2006)'!$I$69*1000/Legend!$B$86)</f>
        <v>3.055555555555556E-4</v>
      </c>
      <c r="G102" s="209">
        <f>IF(SUMIFS('Region Mapping'!$E:$E,'Region Mapping'!$A:$A,G$39)&gt;0,'IPCC(2006)'!$E$69*1000/Legend!$B$86,'IPCC(2006)'!$I$69*1000/Legend!$B$86)</f>
        <v>1.2777777777777776E-4</v>
      </c>
      <c r="H102" s="209">
        <f>IF(SUMIFS('Region Mapping'!$E:$E,'Region Mapping'!$A:$A,H$39)&gt;0,'IPCC(2006)'!$E$69*1000/Legend!$B$86,'IPCC(2006)'!$I$69*1000/Legend!$B$86)</f>
        <v>3.055555555555556E-4</v>
      </c>
      <c r="I102" s="209">
        <f>IF(SUMIFS('Region Mapping'!$E:$E,'Region Mapping'!$A:$A,I$39)&gt;0,'IPCC(2006)'!$E$69*1000/Legend!$B$86,'IPCC(2006)'!$I$69*1000/Legend!$B$86)</f>
        <v>3.055555555555556E-4</v>
      </c>
      <c r="J102" s="209">
        <f>IF(SUMIFS('Region Mapping'!$E:$E,'Region Mapping'!$A:$A,J$39)&gt;0,'IPCC(2006)'!$E$69*1000/Legend!$B$86,'IPCC(2006)'!$I$69*1000/Legend!$B$86)</f>
        <v>3.055555555555556E-4</v>
      </c>
      <c r="K102" s="209">
        <f>IF(SUMIFS('Region Mapping'!$E:$E,'Region Mapping'!$A:$A,K$39)&gt;0,'IPCC(2006)'!$E$69*1000/Legend!$B$86,'IPCC(2006)'!$I$69*1000/Legend!$B$86)</f>
        <v>3.055555555555556E-4</v>
      </c>
      <c r="L102" s="209">
        <f>IF(SUMIFS('Region Mapping'!$E:$E,'Region Mapping'!$A:$A,L$39)&gt;0,'IPCC(2006)'!$E$69*1000/Legend!$B$86,'IPCC(2006)'!$I$69*1000/Legend!$B$86)</f>
        <v>1.2777777777777776E-4</v>
      </c>
      <c r="M102" s="209">
        <f>IF(SUMIFS('Region Mapping'!$E:$E,'Region Mapping'!$A:$A,M$39)&gt;0,'IPCC(2006)'!$E$69*1000/Legend!$B$86,'IPCC(2006)'!$I$69*1000/Legend!$B$86)</f>
        <v>3.055555555555556E-4</v>
      </c>
      <c r="N102" s="209">
        <f>IF(SUMIFS('Region Mapping'!$E:$E,'Region Mapping'!$A:$A,N$39)&gt;0,'IPCC(2006)'!$E$69*1000/Legend!$B$86,'IPCC(2006)'!$I$69*1000/Legend!$B$86)</f>
        <v>3.055555555555556E-4</v>
      </c>
      <c r="O102" s="209">
        <f>IF(SUMIFS('Region Mapping'!$E:$E,'Region Mapping'!$A:$A,O$39)&gt;0,'IPCC(2006)'!$E$69*1000/Legend!$B$86,'IPCC(2006)'!$I$69*1000/Legend!$B$86)</f>
        <v>3.055555555555556E-4</v>
      </c>
      <c r="P102" s="209">
        <f>IF(SUMIFS('Region Mapping'!$E:$E,'Region Mapping'!$A:$A,P$39)&gt;0,'IPCC(2006)'!$E$69*1000/Legend!$B$86,'IPCC(2006)'!$I$69*1000/Legend!$B$86)</f>
        <v>1.2777777777777776E-4</v>
      </c>
      <c r="Q102" s="209">
        <f>IF(SUMIFS('Region Mapping'!$E:$E,'Region Mapping'!$A:$A,Q$39)&gt;0,'IPCC(2006)'!$E$69*1000/Legend!$B$86,'IPCC(2006)'!$I$69*1000/Legend!$B$86)</f>
        <v>1.2777777777777776E-4</v>
      </c>
      <c r="R102" s="209">
        <f>IF(SUMIFS('Region Mapping'!$E:$E,'Region Mapping'!$A:$A,R$39)&gt;0,'IPCC(2006)'!$E$69*1000/Legend!$B$86,'IPCC(2006)'!$I$69*1000/Legend!$B$86)</f>
        <v>1.2777777777777776E-4</v>
      </c>
      <c r="S102" s="209">
        <f>IF(SUMIFS('Region Mapping'!$E:$E,'Region Mapping'!$A:$A,S$39)&gt;0,'IPCC(2006)'!$E$69*1000/Legend!$B$86,'IPCC(2006)'!$I$69*1000/Legend!$B$86)</f>
        <v>1.2777777777777776E-4</v>
      </c>
      <c r="T102" s="209">
        <f>IF(SUMIFS('Region Mapping'!$E:$E,'Region Mapping'!$A:$A,T$39)&gt;0,'IPCC(2006)'!$E$69*1000/Legend!$B$86,'IPCC(2006)'!$I$69*1000/Legend!$B$86)</f>
        <v>3.055555555555556E-4</v>
      </c>
      <c r="U102" s="209">
        <f>IF(SUMIFS('Region Mapping'!$E:$E,'Region Mapping'!$A:$A,U$39)&gt;0,'IPCC(2006)'!$E$69*1000/Legend!$B$86,'IPCC(2006)'!$I$69*1000/Legend!$B$86)</f>
        <v>3.055555555555556E-4</v>
      </c>
      <c r="V102" s="209">
        <f>IF(SUMIFS('Region Mapping'!$E:$E,'Region Mapping'!$A:$A,V$39)&gt;0,'IPCC(2006)'!$E$69*1000/Legend!$B$86,'IPCC(2006)'!$I$69*1000/Legend!$B$86)</f>
        <v>1.2777777777777776E-4</v>
      </c>
      <c r="W102" s="209">
        <f>IF(SUMIFS('Region Mapping'!$E:$E,'Region Mapping'!$A:$A,W$39)&gt;0,'IPCC(2006)'!$E$69*1000/Legend!$B$86,'IPCC(2006)'!$I$69*1000/Legend!$B$86)</f>
        <v>3.055555555555556E-4</v>
      </c>
      <c r="X102" s="209">
        <f>IF(SUMIFS('Region Mapping'!$E:$E,'Region Mapping'!$A:$A,X$39)&gt;0,'IPCC(2006)'!$E$69*1000/Legend!$B$86,'IPCC(2006)'!$I$69*1000/Legend!$B$86)</f>
        <v>3.055555555555556E-4</v>
      </c>
      <c r="Y102" s="209">
        <f>IF(SUMIFS('Region Mapping'!$E:$E,'Region Mapping'!$A:$A,Y$39)&gt;0,'IPCC(2006)'!$E$69*1000/Legend!$B$86,'IPCC(2006)'!$I$69*1000/Legend!$B$86)</f>
        <v>3.055555555555556E-4</v>
      </c>
      <c r="Z102" s="209">
        <f>IF(SUMIFS('Region Mapping'!$E:$E,'Region Mapping'!$A:$A,Z$39)&gt;0,'IPCC(2006)'!$E$69*1000/Legend!$B$86,'IPCC(2006)'!$I$69*1000/Legend!$B$86)</f>
        <v>3.055555555555556E-4</v>
      </c>
      <c r="AA102" s="209">
        <f>IF(SUMIFS('Region Mapping'!$E:$E,'Region Mapping'!$A:$A,AA$39)&gt;0,'IPCC(2006)'!$E$69*1000/Legend!$B$86,'IPCC(2006)'!$I$69*1000/Legend!$B$86)</f>
        <v>3.055555555555556E-4</v>
      </c>
      <c r="AB102" s="209">
        <f>IF(SUMIFS('Region Mapping'!$E:$E,'Region Mapping'!$A:$A,AB$39)&gt;0,'IPCC(2006)'!$E$69*1000/Legend!$B$86,'IPCC(2006)'!$I$69*1000/Legend!$B$86)</f>
        <v>3.055555555555556E-4</v>
      </c>
      <c r="AC102" s="209">
        <f>IF(SUMIFS('Region Mapping'!$E:$E,'Region Mapping'!$A:$A,AC$39)&gt;0,'IPCC(2006)'!$E$69*1000/Legend!$B$86,'IPCC(2006)'!$I$69*1000/Legend!$B$86)</f>
        <v>1.2777777777777776E-4</v>
      </c>
      <c r="AD102" s="220">
        <f>IF(SUMIFS('Region Mapping'!$E:$E,'Region Mapping'!$A:$A,AD$39)&gt;0,'IPCC(2006)'!$E$69*1000/Legend!$B$86,'IPCC(2006)'!$I$69*1000/Legend!$B$86)</f>
        <v>1.2777777777777776E-4</v>
      </c>
    </row>
    <row r="103" spans="1:30">
      <c r="A103" s="215" t="s">
        <v>1004</v>
      </c>
      <c r="B103" t="s">
        <v>1005</v>
      </c>
      <c r="C103" s="209">
        <f>IF(SUMIFS('Region Mapping'!$E:$E,'Region Mapping'!$A:$A,C$39)&gt;0,'IPCC(2006)'!$E$73*1000/Legend!$B$86,'IPCC(2006)'!$I$73*1000/Legend!$B$86)</f>
        <v>1E-3</v>
      </c>
      <c r="D103" s="209">
        <f>IF(SUMIFS('Region Mapping'!$E:$E,'Region Mapping'!$A:$A,D$39)&gt;0,'IPCC(2006)'!$E$73*1000/Legend!$B$86,'IPCC(2006)'!$I$73*1000/Legend!$B$86)</f>
        <v>1E-3</v>
      </c>
      <c r="E103" s="209">
        <f>IF(SUMIFS('Region Mapping'!$E:$E,'Region Mapping'!$A:$A,E$39)&gt;0,'IPCC(2006)'!$E$73*1000/Legend!$B$86,'IPCC(2006)'!$I$73*1000/Legend!$B$86)</f>
        <v>1E-3</v>
      </c>
      <c r="F103" s="209">
        <f>IF(SUMIFS('Region Mapping'!$E:$E,'Region Mapping'!$A:$A,F$39)&gt;0,'IPCC(2006)'!$E$73*1000/Legend!$B$86,'IPCC(2006)'!$I$73*1000/Legend!$B$86)</f>
        <v>1E-3</v>
      </c>
      <c r="G103" s="209">
        <f>IF(SUMIFS('Region Mapping'!$E:$E,'Region Mapping'!$A:$A,G$39)&gt;0,'IPCC(2006)'!$E$73*1000/Legend!$B$86,'IPCC(2006)'!$I$73*1000/Legend!$B$86)</f>
        <v>4.4444444444444457E-4</v>
      </c>
      <c r="H103" s="209">
        <f>IF(SUMIFS('Region Mapping'!$E:$E,'Region Mapping'!$A:$A,H$39)&gt;0,'IPCC(2006)'!$E$73*1000/Legend!$B$86,'IPCC(2006)'!$I$73*1000/Legend!$B$86)</f>
        <v>1E-3</v>
      </c>
      <c r="I103" s="209">
        <f>IF(SUMIFS('Region Mapping'!$E:$E,'Region Mapping'!$A:$A,I$39)&gt;0,'IPCC(2006)'!$E$73*1000/Legend!$B$86,'IPCC(2006)'!$I$73*1000/Legend!$B$86)</f>
        <v>1E-3</v>
      </c>
      <c r="J103" s="209">
        <f>IF(SUMIFS('Region Mapping'!$E:$E,'Region Mapping'!$A:$A,J$39)&gt;0,'IPCC(2006)'!$E$73*1000/Legend!$B$86,'IPCC(2006)'!$I$73*1000/Legend!$B$86)</f>
        <v>1E-3</v>
      </c>
      <c r="K103" s="209">
        <f>IF(SUMIFS('Region Mapping'!$E:$E,'Region Mapping'!$A:$A,K$39)&gt;0,'IPCC(2006)'!$E$73*1000/Legend!$B$86,'IPCC(2006)'!$I$73*1000/Legend!$B$86)</f>
        <v>1E-3</v>
      </c>
      <c r="L103" s="209">
        <f>IF(SUMIFS('Region Mapping'!$E:$E,'Region Mapping'!$A:$A,L$39)&gt;0,'IPCC(2006)'!$E$73*1000/Legend!$B$86,'IPCC(2006)'!$I$73*1000/Legend!$B$86)</f>
        <v>4.4444444444444457E-4</v>
      </c>
      <c r="M103" s="209">
        <f>IF(SUMIFS('Region Mapping'!$E:$E,'Region Mapping'!$A:$A,M$39)&gt;0,'IPCC(2006)'!$E$73*1000/Legend!$B$86,'IPCC(2006)'!$I$73*1000/Legend!$B$86)</f>
        <v>1E-3</v>
      </c>
      <c r="N103" s="209">
        <f>IF(SUMIFS('Region Mapping'!$E:$E,'Region Mapping'!$A:$A,N$39)&gt;0,'IPCC(2006)'!$E$73*1000/Legend!$B$86,'IPCC(2006)'!$I$73*1000/Legend!$B$86)</f>
        <v>1E-3</v>
      </c>
      <c r="O103" s="209">
        <f>IF(SUMIFS('Region Mapping'!$E:$E,'Region Mapping'!$A:$A,O$39)&gt;0,'IPCC(2006)'!$E$73*1000/Legend!$B$86,'IPCC(2006)'!$I$73*1000/Legend!$B$86)</f>
        <v>1E-3</v>
      </c>
      <c r="P103" s="209">
        <f>IF(SUMIFS('Region Mapping'!$E:$E,'Region Mapping'!$A:$A,P$39)&gt;0,'IPCC(2006)'!$E$73*1000/Legend!$B$86,'IPCC(2006)'!$I$73*1000/Legend!$B$86)</f>
        <v>4.4444444444444457E-4</v>
      </c>
      <c r="Q103" s="209">
        <f>IF(SUMIFS('Region Mapping'!$E:$E,'Region Mapping'!$A:$A,Q$39)&gt;0,'IPCC(2006)'!$E$73*1000/Legend!$B$86,'IPCC(2006)'!$I$73*1000/Legend!$B$86)</f>
        <v>4.4444444444444457E-4</v>
      </c>
      <c r="R103" s="209">
        <f>IF(SUMIFS('Region Mapping'!$E:$E,'Region Mapping'!$A:$A,R$39)&gt;0,'IPCC(2006)'!$E$73*1000/Legend!$B$86,'IPCC(2006)'!$I$73*1000/Legend!$B$86)</f>
        <v>4.4444444444444457E-4</v>
      </c>
      <c r="S103" s="209">
        <f>IF(SUMIFS('Region Mapping'!$E:$E,'Region Mapping'!$A:$A,S$39)&gt;0,'IPCC(2006)'!$E$73*1000/Legend!$B$86,'IPCC(2006)'!$I$73*1000/Legend!$B$86)</f>
        <v>4.4444444444444457E-4</v>
      </c>
      <c r="T103" s="209">
        <f>IF(SUMIFS('Region Mapping'!$E:$E,'Region Mapping'!$A:$A,T$39)&gt;0,'IPCC(2006)'!$E$73*1000/Legend!$B$86,'IPCC(2006)'!$I$73*1000/Legend!$B$86)</f>
        <v>1E-3</v>
      </c>
      <c r="U103" s="209">
        <f>IF(SUMIFS('Region Mapping'!$E:$E,'Region Mapping'!$A:$A,U$39)&gt;0,'IPCC(2006)'!$E$73*1000/Legend!$B$86,'IPCC(2006)'!$I$73*1000/Legend!$B$86)</f>
        <v>1E-3</v>
      </c>
      <c r="V103" s="209">
        <f>IF(SUMIFS('Region Mapping'!$E:$E,'Region Mapping'!$A:$A,V$39)&gt;0,'IPCC(2006)'!$E$73*1000/Legend!$B$86,'IPCC(2006)'!$I$73*1000/Legend!$B$86)</f>
        <v>4.4444444444444457E-4</v>
      </c>
      <c r="W103" s="209">
        <f>IF(SUMIFS('Region Mapping'!$E:$E,'Region Mapping'!$A:$A,W$39)&gt;0,'IPCC(2006)'!$E$73*1000/Legend!$B$86,'IPCC(2006)'!$I$73*1000/Legend!$B$86)</f>
        <v>1E-3</v>
      </c>
      <c r="X103" s="209">
        <f>IF(SUMIFS('Region Mapping'!$E:$E,'Region Mapping'!$A:$A,X$39)&gt;0,'IPCC(2006)'!$E$73*1000/Legend!$B$86,'IPCC(2006)'!$I$73*1000/Legend!$B$86)</f>
        <v>1E-3</v>
      </c>
      <c r="Y103" s="209">
        <f>IF(SUMIFS('Region Mapping'!$E:$E,'Region Mapping'!$A:$A,Y$39)&gt;0,'IPCC(2006)'!$E$73*1000/Legend!$B$86,'IPCC(2006)'!$I$73*1000/Legend!$B$86)</f>
        <v>1E-3</v>
      </c>
      <c r="Z103" s="209">
        <f>IF(SUMIFS('Region Mapping'!$E:$E,'Region Mapping'!$A:$A,Z$39)&gt;0,'IPCC(2006)'!$E$73*1000/Legend!$B$86,'IPCC(2006)'!$I$73*1000/Legend!$B$86)</f>
        <v>1E-3</v>
      </c>
      <c r="AA103" s="209">
        <f>IF(SUMIFS('Region Mapping'!$E:$E,'Region Mapping'!$A:$A,AA$39)&gt;0,'IPCC(2006)'!$E$73*1000/Legend!$B$86,'IPCC(2006)'!$I$73*1000/Legend!$B$86)</f>
        <v>1E-3</v>
      </c>
      <c r="AB103" s="209">
        <f>IF(SUMIFS('Region Mapping'!$E:$E,'Region Mapping'!$A:$A,AB$39)&gt;0,'IPCC(2006)'!$E$73*1000/Legend!$B$86,'IPCC(2006)'!$I$73*1000/Legend!$B$86)</f>
        <v>1E-3</v>
      </c>
      <c r="AC103" s="209">
        <f>IF(SUMIFS('Region Mapping'!$E:$E,'Region Mapping'!$A:$A,AC$39)&gt;0,'IPCC(2006)'!$E$73*1000/Legend!$B$86,'IPCC(2006)'!$I$73*1000/Legend!$B$86)</f>
        <v>4.4444444444444457E-4</v>
      </c>
      <c r="AD103" s="220">
        <f>IF(SUMIFS('Region Mapping'!$E:$E,'Region Mapping'!$A:$A,AD$39)&gt;0,'IPCC(2006)'!$E$73*1000/Legend!$B$86,'IPCC(2006)'!$I$73*1000/Legend!$B$86)</f>
        <v>4.4444444444444457E-4</v>
      </c>
    </row>
    <row r="104" spans="1:30">
      <c r="A104" s="215" t="s">
        <v>1006</v>
      </c>
      <c r="B104" t="s">
        <v>1007</v>
      </c>
      <c r="C104" s="209">
        <f>IF(SUMIFS('Region Mapping'!$E:$E,'Region Mapping'!$A:$A,C$39)&gt;0,'IPCC(2006)'!$E$75*1000/Legend!$B$96,'IPCC(2006)'!$I$75*1000/Legend!$B$96)</f>
        <v>3.8461538461538464E-2</v>
      </c>
      <c r="D104" s="209">
        <f>IF(SUMIFS('Region Mapping'!$E:$E,'Region Mapping'!$A:$A,D$39)&gt;0,'IPCC(2006)'!$E$75*1000/Legend!$B$96,'IPCC(2006)'!$I$75*1000/Legend!$B$96)</f>
        <v>3.8461538461538464E-2</v>
      </c>
      <c r="E104" s="209">
        <f>IF(SUMIFS('Region Mapping'!$E:$E,'Region Mapping'!$A:$A,E$39)&gt;0,'IPCC(2006)'!$E$75*1000/Legend!$B$96,'IPCC(2006)'!$I$75*1000/Legend!$B$96)</f>
        <v>3.8461538461538464E-2</v>
      </c>
      <c r="F104" s="209">
        <f>IF(SUMIFS('Region Mapping'!$E:$E,'Region Mapping'!$A:$A,F$39)&gt;0,'IPCC(2006)'!$E$75*1000/Legend!$B$96,'IPCC(2006)'!$I$75*1000/Legend!$B$96)</f>
        <v>3.8461538461538464E-2</v>
      </c>
      <c r="G104" s="209">
        <f>IF(SUMIFS('Region Mapping'!$E:$E,'Region Mapping'!$A:$A,G$39)&gt;0,'IPCC(2006)'!$E$75*1000/Legend!$B$96,'IPCC(2006)'!$I$75*1000/Legend!$B$96)</f>
        <v>3.8461538461538464E-2</v>
      </c>
      <c r="H104" s="209">
        <f>IF(SUMIFS('Region Mapping'!$E:$E,'Region Mapping'!$A:$A,H$39)&gt;0,'IPCC(2006)'!$E$75*1000/Legend!$B$96,'IPCC(2006)'!$I$75*1000/Legend!$B$96)</f>
        <v>3.8461538461538464E-2</v>
      </c>
      <c r="I104" s="209">
        <f>IF(SUMIFS('Region Mapping'!$E:$E,'Region Mapping'!$A:$A,I$39)&gt;0,'IPCC(2006)'!$E$75*1000/Legend!$B$96,'IPCC(2006)'!$I$75*1000/Legend!$B$96)</f>
        <v>3.8461538461538464E-2</v>
      </c>
      <c r="J104" s="209">
        <f>IF(SUMIFS('Region Mapping'!$E:$E,'Region Mapping'!$A:$A,J$39)&gt;0,'IPCC(2006)'!$E$75*1000/Legend!$B$96,'IPCC(2006)'!$I$75*1000/Legend!$B$96)</f>
        <v>3.8461538461538464E-2</v>
      </c>
      <c r="K104" s="209">
        <f>IF(SUMIFS('Region Mapping'!$E:$E,'Region Mapping'!$A:$A,K$39)&gt;0,'IPCC(2006)'!$E$75*1000/Legend!$B$96,'IPCC(2006)'!$I$75*1000/Legend!$B$96)</f>
        <v>3.8461538461538464E-2</v>
      </c>
      <c r="L104" s="209">
        <f>IF(SUMIFS('Region Mapping'!$E:$E,'Region Mapping'!$A:$A,L$39)&gt;0,'IPCC(2006)'!$E$75*1000/Legend!$B$96,'IPCC(2006)'!$I$75*1000/Legend!$B$96)</f>
        <v>3.8461538461538464E-2</v>
      </c>
      <c r="M104" s="209">
        <f>IF(SUMIFS('Region Mapping'!$E:$E,'Region Mapping'!$A:$A,M$39)&gt;0,'IPCC(2006)'!$E$75*1000/Legend!$B$96,'IPCC(2006)'!$I$75*1000/Legend!$B$96)</f>
        <v>3.8461538461538464E-2</v>
      </c>
      <c r="N104" s="209">
        <f>IF(SUMIFS('Region Mapping'!$E:$E,'Region Mapping'!$A:$A,N$39)&gt;0,'IPCC(2006)'!$E$75*1000/Legend!$B$96,'IPCC(2006)'!$I$75*1000/Legend!$B$96)</f>
        <v>3.8461538461538464E-2</v>
      </c>
      <c r="O104" s="209">
        <f>IF(SUMIFS('Region Mapping'!$E:$E,'Region Mapping'!$A:$A,O$39)&gt;0,'IPCC(2006)'!$E$75*1000/Legend!$B$96,'IPCC(2006)'!$I$75*1000/Legend!$B$96)</f>
        <v>3.8461538461538464E-2</v>
      </c>
      <c r="P104" s="209">
        <f>IF(SUMIFS('Region Mapping'!$E:$E,'Region Mapping'!$A:$A,P$39)&gt;0,'IPCC(2006)'!$E$75*1000/Legend!$B$96,'IPCC(2006)'!$I$75*1000/Legend!$B$96)</f>
        <v>3.8461538461538464E-2</v>
      </c>
      <c r="Q104" s="209">
        <f>IF(SUMIFS('Region Mapping'!$E:$E,'Region Mapping'!$A:$A,Q$39)&gt;0,'IPCC(2006)'!$E$75*1000/Legend!$B$96,'IPCC(2006)'!$I$75*1000/Legend!$B$96)</f>
        <v>3.8461538461538464E-2</v>
      </c>
      <c r="R104" s="209">
        <f>IF(SUMIFS('Region Mapping'!$E:$E,'Region Mapping'!$A:$A,R$39)&gt;0,'IPCC(2006)'!$E$75*1000/Legend!$B$96,'IPCC(2006)'!$I$75*1000/Legend!$B$96)</f>
        <v>3.8461538461538464E-2</v>
      </c>
      <c r="S104" s="209">
        <f>IF(SUMIFS('Region Mapping'!$E:$E,'Region Mapping'!$A:$A,S$39)&gt;0,'IPCC(2006)'!$E$75*1000/Legend!$B$96,'IPCC(2006)'!$I$75*1000/Legend!$B$96)</f>
        <v>3.8461538461538464E-2</v>
      </c>
      <c r="T104" s="209">
        <f>IF(SUMIFS('Region Mapping'!$E:$E,'Region Mapping'!$A:$A,T$39)&gt;0,'IPCC(2006)'!$E$75*1000/Legend!$B$96,'IPCC(2006)'!$I$75*1000/Legend!$B$96)</f>
        <v>3.8461538461538464E-2</v>
      </c>
      <c r="U104" s="209">
        <f>IF(SUMIFS('Region Mapping'!$E:$E,'Region Mapping'!$A:$A,U$39)&gt;0,'IPCC(2006)'!$E$75*1000/Legend!$B$96,'IPCC(2006)'!$I$75*1000/Legend!$B$96)</f>
        <v>3.8461538461538464E-2</v>
      </c>
      <c r="V104" s="209">
        <f>IF(SUMIFS('Region Mapping'!$E:$E,'Region Mapping'!$A:$A,V$39)&gt;0,'IPCC(2006)'!$E$75*1000/Legend!$B$96,'IPCC(2006)'!$I$75*1000/Legend!$B$96)</f>
        <v>3.8461538461538464E-2</v>
      </c>
      <c r="W104" s="209">
        <f>IF(SUMIFS('Region Mapping'!$E:$E,'Region Mapping'!$A:$A,W$39)&gt;0,'IPCC(2006)'!$E$75*1000/Legend!$B$96,'IPCC(2006)'!$I$75*1000/Legend!$B$96)</f>
        <v>3.8461538461538464E-2</v>
      </c>
      <c r="X104" s="209">
        <f>IF(SUMIFS('Region Mapping'!$E:$E,'Region Mapping'!$A:$A,X$39)&gt;0,'IPCC(2006)'!$E$75*1000/Legend!$B$96,'IPCC(2006)'!$I$75*1000/Legend!$B$96)</f>
        <v>3.8461538461538464E-2</v>
      </c>
      <c r="Y104" s="209">
        <f>IF(SUMIFS('Region Mapping'!$E:$E,'Region Mapping'!$A:$A,Y$39)&gt;0,'IPCC(2006)'!$E$75*1000/Legend!$B$96,'IPCC(2006)'!$I$75*1000/Legend!$B$96)</f>
        <v>3.8461538461538464E-2</v>
      </c>
      <c r="Z104" s="209">
        <f>IF(SUMIFS('Region Mapping'!$E:$E,'Region Mapping'!$A:$A,Z$39)&gt;0,'IPCC(2006)'!$E$75*1000/Legend!$B$96,'IPCC(2006)'!$I$75*1000/Legend!$B$96)</f>
        <v>3.8461538461538464E-2</v>
      </c>
      <c r="AA104" s="209">
        <f>IF(SUMIFS('Region Mapping'!$E:$E,'Region Mapping'!$A:$A,AA$39)&gt;0,'IPCC(2006)'!$E$75*1000/Legend!$B$96,'IPCC(2006)'!$I$75*1000/Legend!$B$96)</f>
        <v>3.8461538461538464E-2</v>
      </c>
      <c r="AB104" s="209">
        <f>IF(SUMIFS('Region Mapping'!$E:$E,'Region Mapping'!$A:$A,AB$39)&gt;0,'IPCC(2006)'!$E$75*1000/Legend!$B$96,'IPCC(2006)'!$I$75*1000/Legend!$B$96)</f>
        <v>3.8461538461538464E-2</v>
      </c>
      <c r="AC104" s="209">
        <f>IF(SUMIFS('Region Mapping'!$E:$E,'Region Mapping'!$A:$A,AC$39)&gt;0,'IPCC(2006)'!$E$75*1000/Legend!$B$96,'IPCC(2006)'!$I$75*1000/Legend!$B$96)</f>
        <v>3.8461538461538464E-2</v>
      </c>
      <c r="AD104" s="220">
        <f>IF(SUMIFS('Region Mapping'!$E:$E,'Region Mapping'!$A:$A,AD$39)&gt;0,'IPCC(2006)'!$E$75*1000/Legend!$B$96,'IPCC(2006)'!$I$75*1000/Legend!$B$96)</f>
        <v>3.8461538461538464E-2</v>
      </c>
    </row>
    <row r="105" spans="1:30">
      <c r="A105" s="215" t="s">
        <v>1008</v>
      </c>
      <c r="B105" t="s">
        <v>1009</v>
      </c>
      <c r="C105" s="209">
        <f>IF(SUMIFS('Region Mapping'!$E:$E,'Region Mapping'!$A:$A,C$39)&gt;0,'IPCC(2006)'!$E$76*1000/Legend!$B$95,'IPCC(2006)'!$I$76*1000/Legend!$B$95)</f>
        <v>0</v>
      </c>
      <c r="D105" s="209">
        <f>IF(SUMIFS('Region Mapping'!$E:$E,'Region Mapping'!$A:$A,D$39)&gt;0,'IPCC(2006)'!$E$76*1000/Legend!$B$95,'IPCC(2006)'!$I$76*1000/Legend!$B$95)</f>
        <v>0</v>
      </c>
      <c r="E105" s="209">
        <f>IF(SUMIFS('Region Mapping'!$E:$E,'Region Mapping'!$A:$A,E$39)&gt;0,'IPCC(2006)'!$E$76*1000/Legend!$B$95,'IPCC(2006)'!$I$76*1000/Legend!$B$95)</f>
        <v>0</v>
      </c>
      <c r="F105" s="209">
        <f>IF(SUMIFS('Region Mapping'!$E:$E,'Region Mapping'!$A:$A,F$39)&gt;0,'IPCC(2006)'!$E$76*1000/Legend!$B$95,'IPCC(2006)'!$I$76*1000/Legend!$B$95)</f>
        <v>0</v>
      </c>
      <c r="G105" s="209">
        <f>IF(SUMIFS('Region Mapping'!$E:$E,'Region Mapping'!$A:$A,G$39)&gt;0,'IPCC(2006)'!$E$76*1000/Legend!$B$95,'IPCC(2006)'!$I$76*1000/Legend!$B$95)</f>
        <v>0</v>
      </c>
      <c r="H105" s="209">
        <f>IF(SUMIFS('Region Mapping'!$E:$E,'Region Mapping'!$A:$A,H$39)&gt;0,'IPCC(2006)'!$E$76*1000/Legend!$B$95,'IPCC(2006)'!$I$76*1000/Legend!$B$95)</f>
        <v>0</v>
      </c>
      <c r="I105" s="209">
        <f>IF(SUMIFS('Region Mapping'!$E:$E,'Region Mapping'!$A:$A,I$39)&gt;0,'IPCC(2006)'!$E$76*1000/Legend!$B$95,'IPCC(2006)'!$I$76*1000/Legend!$B$95)</f>
        <v>0</v>
      </c>
      <c r="J105" s="209">
        <f>IF(SUMIFS('Region Mapping'!$E:$E,'Region Mapping'!$A:$A,J$39)&gt;0,'IPCC(2006)'!$E$76*1000/Legend!$B$95,'IPCC(2006)'!$I$76*1000/Legend!$B$95)</f>
        <v>0</v>
      </c>
      <c r="K105" s="209">
        <f>IF(SUMIFS('Region Mapping'!$E:$E,'Region Mapping'!$A:$A,K$39)&gt;0,'IPCC(2006)'!$E$76*1000/Legend!$B$95,'IPCC(2006)'!$I$76*1000/Legend!$B$95)</f>
        <v>0</v>
      </c>
      <c r="L105" s="209">
        <f>IF(SUMIFS('Region Mapping'!$E:$E,'Region Mapping'!$A:$A,L$39)&gt;0,'IPCC(2006)'!$E$76*1000/Legend!$B$95,'IPCC(2006)'!$I$76*1000/Legend!$B$95)</f>
        <v>0</v>
      </c>
      <c r="M105" s="209">
        <f>IF(SUMIFS('Region Mapping'!$E:$E,'Region Mapping'!$A:$A,M$39)&gt;0,'IPCC(2006)'!$E$76*1000/Legend!$B$95,'IPCC(2006)'!$I$76*1000/Legend!$B$95)</f>
        <v>0</v>
      </c>
      <c r="N105" s="209">
        <f>IF(SUMIFS('Region Mapping'!$E:$E,'Region Mapping'!$A:$A,N$39)&gt;0,'IPCC(2006)'!$E$76*1000/Legend!$B$95,'IPCC(2006)'!$I$76*1000/Legend!$B$95)</f>
        <v>0</v>
      </c>
      <c r="O105" s="209">
        <f>IF(SUMIFS('Region Mapping'!$E:$E,'Region Mapping'!$A:$A,O$39)&gt;0,'IPCC(2006)'!$E$76*1000/Legend!$B$95,'IPCC(2006)'!$I$76*1000/Legend!$B$95)</f>
        <v>0</v>
      </c>
      <c r="P105" s="209">
        <f>IF(SUMIFS('Region Mapping'!$E:$E,'Region Mapping'!$A:$A,P$39)&gt;0,'IPCC(2006)'!$E$76*1000/Legend!$B$95,'IPCC(2006)'!$I$76*1000/Legend!$B$95)</f>
        <v>0</v>
      </c>
      <c r="Q105" s="209">
        <f>IF(SUMIFS('Region Mapping'!$E:$E,'Region Mapping'!$A:$A,Q$39)&gt;0,'IPCC(2006)'!$E$76*1000/Legend!$B$95,'IPCC(2006)'!$I$76*1000/Legend!$B$95)</f>
        <v>0</v>
      </c>
      <c r="R105" s="209">
        <f>IF(SUMIFS('Region Mapping'!$E:$E,'Region Mapping'!$A:$A,R$39)&gt;0,'IPCC(2006)'!$E$76*1000/Legend!$B$95,'IPCC(2006)'!$I$76*1000/Legend!$B$95)</f>
        <v>0</v>
      </c>
      <c r="S105" s="209">
        <f>IF(SUMIFS('Region Mapping'!$E:$E,'Region Mapping'!$A:$A,S$39)&gt;0,'IPCC(2006)'!$E$76*1000/Legend!$B$95,'IPCC(2006)'!$I$76*1000/Legend!$B$95)</f>
        <v>0</v>
      </c>
      <c r="T105" s="209">
        <f>IF(SUMIFS('Region Mapping'!$E:$E,'Region Mapping'!$A:$A,T$39)&gt;0,'IPCC(2006)'!$E$76*1000/Legend!$B$95,'IPCC(2006)'!$I$76*1000/Legend!$B$95)</f>
        <v>0</v>
      </c>
      <c r="U105" s="209">
        <f>IF(SUMIFS('Region Mapping'!$E:$E,'Region Mapping'!$A:$A,U$39)&gt;0,'IPCC(2006)'!$E$76*1000/Legend!$B$95,'IPCC(2006)'!$I$76*1000/Legend!$B$95)</f>
        <v>0</v>
      </c>
      <c r="V105" s="209">
        <f>IF(SUMIFS('Region Mapping'!$E:$E,'Region Mapping'!$A:$A,V$39)&gt;0,'IPCC(2006)'!$E$76*1000/Legend!$B$95,'IPCC(2006)'!$I$76*1000/Legend!$B$95)</f>
        <v>0</v>
      </c>
      <c r="W105" s="209">
        <f>IF(SUMIFS('Region Mapping'!$E:$E,'Region Mapping'!$A:$A,W$39)&gt;0,'IPCC(2006)'!$E$76*1000/Legend!$B$95,'IPCC(2006)'!$I$76*1000/Legend!$B$95)</f>
        <v>0</v>
      </c>
      <c r="X105" s="209">
        <f>IF(SUMIFS('Region Mapping'!$E:$E,'Region Mapping'!$A:$A,X$39)&gt;0,'IPCC(2006)'!$E$76*1000/Legend!$B$95,'IPCC(2006)'!$I$76*1000/Legend!$B$95)</f>
        <v>0</v>
      </c>
      <c r="Y105" s="209">
        <f>IF(SUMIFS('Region Mapping'!$E:$E,'Region Mapping'!$A:$A,Y$39)&gt;0,'IPCC(2006)'!$E$76*1000/Legend!$B$95,'IPCC(2006)'!$I$76*1000/Legend!$B$95)</f>
        <v>0</v>
      </c>
      <c r="Z105" s="209">
        <f>IF(SUMIFS('Region Mapping'!$E:$E,'Region Mapping'!$A:$A,Z$39)&gt;0,'IPCC(2006)'!$E$76*1000/Legend!$B$95,'IPCC(2006)'!$I$76*1000/Legend!$B$95)</f>
        <v>0</v>
      </c>
      <c r="AA105" s="209">
        <f>IF(SUMIFS('Region Mapping'!$E:$E,'Region Mapping'!$A:$A,AA$39)&gt;0,'IPCC(2006)'!$E$76*1000/Legend!$B$95,'IPCC(2006)'!$I$76*1000/Legend!$B$95)</f>
        <v>0</v>
      </c>
      <c r="AB105" s="209">
        <f>IF(SUMIFS('Region Mapping'!$E:$E,'Region Mapping'!$A:$A,AB$39)&gt;0,'IPCC(2006)'!$E$76*1000/Legend!$B$95,'IPCC(2006)'!$I$76*1000/Legend!$B$95)</f>
        <v>0</v>
      </c>
      <c r="AC105" s="209">
        <f>IF(SUMIFS('Region Mapping'!$E:$E,'Region Mapping'!$A:$A,AC$39)&gt;0,'IPCC(2006)'!$E$76*1000/Legend!$B$95,'IPCC(2006)'!$I$76*1000/Legend!$B$95)</f>
        <v>0</v>
      </c>
      <c r="AD105" s="220">
        <f>IF(SUMIFS('Region Mapping'!$E:$E,'Region Mapping'!$A:$A,AD$39)&gt;0,'IPCC(2006)'!$E$76*1000/Legend!$B$95,'IPCC(2006)'!$I$76*1000/Legend!$B$95)</f>
        <v>0</v>
      </c>
    </row>
    <row r="106" spans="1:30">
      <c r="A106" s="215" t="s">
        <v>1010</v>
      </c>
      <c r="B106" t="s">
        <v>1011</v>
      </c>
      <c r="C106" s="209">
        <f>IF(SUMIFS('Region Mapping'!$E:$E,'Region Mapping'!$A:$A,C$39)&gt;0,'IPCC(2006)'!$E$77*1000/Legend!$B$86,'IPCC(2006)'!$I$77*1000/Legend!$B$86)</f>
        <v>0</v>
      </c>
      <c r="D106" s="209">
        <f>IF(SUMIFS('Region Mapping'!$E:$E,'Region Mapping'!$A:$A,D$39)&gt;0,'IPCC(2006)'!$E$77*1000/Legend!$B$86,'IPCC(2006)'!$I$77*1000/Legend!$B$86)</f>
        <v>0</v>
      </c>
      <c r="E106" s="209">
        <f>IF(SUMIFS('Region Mapping'!$E:$E,'Region Mapping'!$A:$A,E$39)&gt;0,'IPCC(2006)'!$E$77*1000/Legend!$B$86,'IPCC(2006)'!$I$77*1000/Legend!$B$86)</f>
        <v>0</v>
      </c>
      <c r="F106" s="209">
        <f>IF(SUMIFS('Region Mapping'!$E:$E,'Region Mapping'!$A:$A,F$39)&gt;0,'IPCC(2006)'!$E$77*1000/Legend!$B$86,'IPCC(2006)'!$I$77*1000/Legend!$B$86)</f>
        <v>0</v>
      </c>
      <c r="G106" s="209">
        <f>IF(SUMIFS('Region Mapping'!$E:$E,'Region Mapping'!$A:$A,G$39)&gt;0,'IPCC(2006)'!$E$77*1000/Legend!$B$86,'IPCC(2006)'!$I$77*1000/Legend!$B$86)</f>
        <v>0</v>
      </c>
      <c r="H106" s="209">
        <f>IF(SUMIFS('Region Mapping'!$E:$E,'Region Mapping'!$A:$A,H$39)&gt;0,'IPCC(2006)'!$E$77*1000/Legend!$B$86,'IPCC(2006)'!$I$77*1000/Legend!$B$86)</f>
        <v>0</v>
      </c>
      <c r="I106" s="209">
        <f>IF(SUMIFS('Region Mapping'!$E:$E,'Region Mapping'!$A:$A,I$39)&gt;0,'IPCC(2006)'!$E$77*1000/Legend!$B$86,'IPCC(2006)'!$I$77*1000/Legend!$B$86)</f>
        <v>0</v>
      </c>
      <c r="J106" s="209">
        <f>IF(SUMIFS('Region Mapping'!$E:$E,'Region Mapping'!$A:$A,J$39)&gt;0,'IPCC(2006)'!$E$77*1000/Legend!$B$86,'IPCC(2006)'!$I$77*1000/Legend!$B$86)</f>
        <v>0</v>
      </c>
      <c r="K106" s="209">
        <f>IF(SUMIFS('Region Mapping'!$E:$E,'Region Mapping'!$A:$A,K$39)&gt;0,'IPCC(2006)'!$E$77*1000/Legend!$B$86,'IPCC(2006)'!$I$77*1000/Legend!$B$86)</f>
        <v>0</v>
      </c>
      <c r="L106" s="209">
        <f>IF(SUMIFS('Region Mapping'!$E:$E,'Region Mapping'!$A:$A,L$39)&gt;0,'IPCC(2006)'!$E$77*1000/Legend!$B$86,'IPCC(2006)'!$I$77*1000/Legend!$B$86)</f>
        <v>0</v>
      </c>
      <c r="M106" s="209">
        <f>IF(SUMIFS('Region Mapping'!$E:$E,'Region Mapping'!$A:$A,M$39)&gt;0,'IPCC(2006)'!$E$77*1000/Legend!$B$86,'IPCC(2006)'!$I$77*1000/Legend!$B$86)</f>
        <v>0</v>
      </c>
      <c r="N106" s="209">
        <f>IF(SUMIFS('Region Mapping'!$E:$E,'Region Mapping'!$A:$A,N$39)&gt;0,'IPCC(2006)'!$E$77*1000/Legend!$B$86,'IPCC(2006)'!$I$77*1000/Legend!$B$86)</f>
        <v>0</v>
      </c>
      <c r="O106" s="209">
        <f>IF(SUMIFS('Region Mapping'!$E:$E,'Region Mapping'!$A:$A,O$39)&gt;0,'IPCC(2006)'!$E$77*1000/Legend!$B$86,'IPCC(2006)'!$I$77*1000/Legend!$B$86)</f>
        <v>0</v>
      </c>
      <c r="P106" s="209">
        <f>IF(SUMIFS('Region Mapping'!$E:$E,'Region Mapping'!$A:$A,P$39)&gt;0,'IPCC(2006)'!$E$77*1000/Legend!$B$86,'IPCC(2006)'!$I$77*1000/Legend!$B$86)</f>
        <v>0</v>
      </c>
      <c r="Q106" s="209">
        <f>IF(SUMIFS('Region Mapping'!$E:$E,'Region Mapping'!$A:$A,Q$39)&gt;0,'IPCC(2006)'!$E$77*1000/Legend!$B$86,'IPCC(2006)'!$I$77*1000/Legend!$B$86)</f>
        <v>0</v>
      </c>
      <c r="R106" s="209">
        <f>IF(SUMIFS('Region Mapping'!$E:$E,'Region Mapping'!$A:$A,R$39)&gt;0,'IPCC(2006)'!$E$77*1000/Legend!$B$86,'IPCC(2006)'!$I$77*1000/Legend!$B$86)</f>
        <v>0</v>
      </c>
      <c r="S106" s="209">
        <f>IF(SUMIFS('Region Mapping'!$E:$E,'Region Mapping'!$A:$A,S$39)&gt;0,'IPCC(2006)'!$E$77*1000/Legend!$B$86,'IPCC(2006)'!$I$77*1000/Legend!$B$86)</f>
        <v>0</v>
      </c>
      <c r="T106" s="209">
        <f>IF(SUMIFS('Region Mapping'!$E:$E,'Region Mapping'!$A:$A,T$39)&gt;0,'IPCC(2006)'!$E$77*1000/Legend!$B$86,'IPCC(2006)'!$I$77*1000/Legend!$B$86)</f>
        <v>0</v>
      </c>
      <c r="U106" s="209">
        <f>IF(SUMIFS('Region Mapping'!$E:$E,'Region Mapping'!$A:$A,U$39)&gt;0,'IPCC(2006)'!$E$77*1000/Legend!$B$86,'IPCC(2006)'!$I$77*1000/Legend!$B$86)</f>
        <v>0</v>
      </c>
      <c r="V106" s="209">
        <f>IF(SUMIFS('Region Mapping'!$E:$E,'Region Mapping'!$A:$A,V$39)&gt;0,'IPCC(2006)'!$E$77*1000/Legend!$B$86,'IPCC(2006)'!$I$77*1000/Legend!$B$86)</f>
        <v>0</v>
      </c>
      <c r="W106" s="209">
        <f>IF(SUMIFS('Region Mapping'!$E:$E,'Region Mapping'!$A:$A,W$39)&gt;0,'IPCC(2006)'!$E$77*1000/Legend!$B$86,'IPCC(2006)'!$I$77*1000/Legend!$B$86)</f>
        <v>0</v>
      </c>
      <c r="X106" s="209">
        <f>IF(SUMIFS('Region Mapping'!$E:$E,'Region Mapping'!$A:$A,X$39)&gt;0,'IPCC(2006)'!$E$77*1000/Legend!$B$86,'IPCC(2006)'!$I$77*1000/Legend!$B$86)</f>
        <v>0</v>
      </c>
      <c r="Y106" s="209">
        <f>IF(SUMIFS('Region Mapping'!$E:$E,'Region Mapping'!$A:$A,Y$39)&gt;0,'IPCC(2006)'!$E$77*1000/Legend!$B$86,'IPCC(2006)'!$I$77*1000/Legend!$B$86)</f>
        <v>0</v>
      </c>
      <c r="Z106" s="209">
        <f>IF(SUMIFS('Region Mapping'!$E:$E,'Region Mapping'!$A:$A,Z$39)&gt;0,'IPCC(2006)'!$E$77*1000/Legend!$B$86,'IPCC(2006)'!$I$77*1000/Legend!$B$86)</f>
        <v>0</v>
      </c>
      <c r="AA106" s="209">
        <f>IF(SUMIFS('Region Mapping'!$E:$E,'Region Mapping'!$A:$A,AA$39)&gt;0,'IPCC(2006)'!$E$77*1000/Legend!$B$86,'IPCC(2006)'!$I$77*1000/Legend!$B$86)</f>
        <v>0</v>
      </c>
      <c r="AB106" s="209">
        <f>IF(SUMIFS('Region Mapping'!$E:$E,'Region Mapping'!$A:$A,AB$39)&gt;0,'IPCC(2006)'!$E$77*1000/Legend!$B$86,'IPCC(2006)'!$I$77*1000/Legend!$B$86)</f>
        <v>0</v>
      </c>
      <c r="AC106" s="209">
        <f>IF(SUMIFS('Region Mapping'!$E:$E,'Region Mapping'!$A:$A,AC$39)&gt;0,'IPCC(2006)'!$E$77*1000/Legend!$B$86,'IPCC(2006)'!$I$77*1000/Legend!$B$86)</f>
        <v>0</v>
      </c>
      <c r="AD106" s="220">
        <f>IF(SUMIFS('Region Mapping'!$E:$E,'Region Mapping'!$A:$A,AD$39)&gt;0,'IPCC(2006)'!$E$77*1000/Legend!$B$86,'IPCC(2006)'!$I$77*1000/Legend!$B$86)</f>
        <v>0</v>
      </c>
    </row>
    <row r="107" spans="1:30">
      <c r="A107" s="215" t="s">
        <v>1012</v>
      </c>
      <c r="B107" t="s">
        <v>1013</v>
      </c>
      <c r="C107" s="209">
        <f>IF(SUMIFS('Region Mapping'!$E:$E,'Region Mapping'!$A:$A,C$39)&gt;0,('IPCC(2006)'!$E$79+'IPCC(2006)'!$E$80+'IPCC(2006)'!$E$81+'IPCC(2006)'!$E$82)*1000/(Legend!$B$83*Legend!$B$82*Legend!$B$84),('IPCC(2006)'!$I$79+'IPCC(2006)'!$I$80+'IPCC(2006)'!$I$81+'IPCC(2006)'!$I$82)*1000/(Legend!$B$83*Legend!$B$82*Legend!$B$84))</f>
        <v>1.3639545754678808</v>
      </c>
      <c r="D107" s="209">
        <f>IF(SUMIFS('Region Mapping'!$E:$E,'Region Mapping'!$A:$A,D$39)&gt;0,('IPCC(2006)'!$E$79+'IPCC(2006)'!$E$80+'IPCC(2006)'!$E$81+'IPCC(2006)'!$E$82)*1000/(Legend!$B$83*Legend!$B$82*Legend!$B$84),('IPCC(2006)'!$I$79+'IPCC(2006)'!$I$80+'IPCC(2006)'!$I$81+'IPCC(2006)'!$I$82)*1000/(Legend!$B$83*Legend!$B$82*Legend!$B$84))</f>
        <v>1.3639545754678808</v>
      </c>
      <c r="E107" s="209">
        <f>IF(SUMIFS('Region Mapping'!$E:$E,'Region Mapping'!$A:$A,E$39)&gt;0,('IPCC(2006)'!$E$79+'IPCC(2006)'!$E$80+'IPCC(2006)'!$E$81+'IPCC(2006)'!$E$82)*1000/(Legend!$B$83*Legend!$B$82*Legend!$B$84),('IPCC(2006)'!$I$79+'IPCC(2006)'!$I$80+'IPCC(2006)'!$I$81+'IPCC(2006)'!$I$82)*1000/(Legend!$B$83*Legend!$B$82*Legend!$B$84))</f>
        <v>1.3639545754678808</v>
      </c>
      <c r="F107" s="209">
        <f>IF(SUMIFS('Region Mapping'!$E:$E,'Region Mapping'!$A:$A,F$39)&gt;0,('IPCC(2006)'!$E$79+'IPCC(2006)'!$E$80+'IPCC(2006)'!$E$81+'IPCC(2006)'!$E$82)*1000/(Legend!$B$83*Legend!$B$82*Legend!$B$84),('IPCC(2006)'!$I$79+'IPCC(2006)'!$I$80+'IPCC(2006)'!$I$81+'IPCC(2006)'!$I$82)*1000/(Legend!$B$83*Legend!$B$82*Legend!$B$84))</f>
        <v>1.3639545754678808</v>
      </c>
      <c r="G107" s="209">
        <f>IF(SUMIFS('Region Mapping'!$E:$E,'Region Mapping'!$A:$A,G$39)&gt;0,('IPCC(2006)'!$E$79+'IPCC(2006)'!$E$80+'IPCC(2006)'!$E$81+'IPCC(2006)'!$E$82)*1000/(Legend!$B$83*Legend!$B$82*Legend!$B$84),('IPCC(2006)'!$I$79+'IPCC(2006)'!$I$80+'IPCC(2006)'!$I$81+'IPCC(2006)'!$I$82)*1000/(Legend!$B$83*Legend!$B$82*Legend!$B$84))</f>
        <v>8.1322040329929637E-2</v>
      </c>
      <c r="H107" s="209">
        <f>IF(SUMIFS('Region Mapping'!$E:$E,'Region Mapping'!$A:$A,H$39)&gt;0,('IPCC(2006)'!$E$79+'IPCC(2006)'!$E$80+'IPCC(2006)'!$E$81+'IPCC(2006)'!$E$82)*1000/(Legend!$B$83*Legend!$B$82*Legend!$B$84),('IPCC(2006)'!$I$79+'IPCC(2006)'!$I$80+'IPCC(2006)'!$I$81+'IPCC(2006)'!$I$82)*1000/(Legend!$B$83*Legend!$B$82*Legend!$B$84))</f>
        <v>1.3639545754678808</v>
      </c>
      <c r="I107" s="209">
        <f>IF(SUMIFS('Region Mapping'!$E:$E,'Region Mapping'!$A:$A,I$39)&gt;0,('IPCC(2006)'!$E$79+'IPCC(2006)'!$E$80+'IPCC(2006)'!$E$81+'IPCC(2006)'!$E$82)*1000/(Legend!$B$83*Legend!$B$82*Legend!$B$84),('IPCC(2006)'!$I$79+'IPCC(2006)'!$I$80+'IPCC(2006)'!$I$81+'IPCC(2006)'!$I$82)*1000/(Legend!$B$83*Legend!$B$82*Legend!$B$84))</f>
        <v>1.3639545754678808</v>
      </c>
      <c r="J107" s="209">
        <f>IF(SUMIFS('Region Mapping'!$E:$E,'Region Mapping'!$A:$A,J$39)&gt;0,('IPCC(2006)'!$E$79+'IPCC(2006)'!$E$80+'IPCC(2006)'!$E$81+'IPCC(2006)'!$E$82)*1000/(Legend!$B$83*Legend!$B$82*Legend!$B$84),('IPCC(2006)'!$I$79+'IPCC(2006)'!$I$80+'IPCC(2006)'!$I$81+'IPCC(2006)'!$I$82)*1000/(Legend!$B$83*Legend!$B$82*Legend!$B$84))</f>
        <v>1.3639545754678808</v>
      </c>
      <c r="K107" s="209">
        <f>IF(SUMIFS('Region Mapping'!$E:$E,'Region Mapping'!$A:$A,K$39)&gt;0,('IPCC(2006)'!$E$79+'IPCC(2006)'!$E$80+'IPCC(2006)'!$E$81+'IPCC(2006)'!$E$82)*1000/(Legend!$B$83*Legend!$B$82*Legend!$B$84),('IPCC(2006)'!$I$79+'IPCC(2006)'!$I$80+'IPCC(2006)'!$I$81+'IPCC(2006)'!$I$82)*1000/(Legend!$B$83*Legend!$B$82*Legend!$B$84))</f>
        <v>1.3639545754678808</v>
      </c>
      <c r="L107" s="209">
        <f>IF(SUMIFS('Region Mapping'!$E:$E,'Region Mapping'!$A:$A,L$39)&gt;0,('IPCC(2006)'!$E$79+'IPCC(2006)'!$E$80+'IPCC(2006)'!$E$81+'IPCC(2006)'!$E$82)*1000/(Legend!$B$83*Legend!$B$82*Legend!$B$84),('IPCC(2006)'!$I$79+'IPCC(2006)'!$I$80+'IPCC(2006)'!$I$81+'IPCC(2006)'!$I$82)*1000/(Legend!$B$83*Legend!$B$82*Legend!$B$84))</f>
        <v>8.1322040329929637E-2</v>
      </c>
      <c r="M107" s="209">
        <f>IF(SUMIFS('Region Mapping'!$E:$E,'Region Mapping'!$A:$A,M$39)&gt;0,('IPCC(2006)'!$E$79+'IPCC(2006)'!$E$80+'IPCC(2006)'!$E$81+'IPCC(2006)'!$E$82)*1000/(Legend!$B$83*Legend!$B$82*Legend!$B$84),('IPCC(2006)'!$I$79+'IPCC(2006)'!$I$80+'IPCC(2006)'!$I$81+'IPCC(2006)'!$I$82)*1000/(Legend!$B$83*Legend!$B$82*Legend!$B$84))</f>
        <v>1.3639545754678808</v>
      </c>
      <c r="N107" s="209">
        <f>IF(SUMIFS('Region Mapping'!$E:$E,'Region Mapping'!$A:$A,N$39)&gt;0,('IPCC(2006)'!$E$79+'IPCC(2006)'!$E$80+'IPCC(2006)'!$E$81+'IPCC(2006)'!$E$82)*1000/(Legend!$B$83*Legend!$B$82*Legend!$B$84),('IPCC(2006)'!$I$79+'IPCC(2006)'!$I$80+'IPCC(2006)'!$I$81+'IPCC(2006)'!$I$82)*1000/(Legend!$B$83*Legend!$B$82*Legend!$B$84))</f>
        <v>1.3639545754678808</v>
      </c>
      <c r="O107" s="209">
        <f>IF(SUMIFS('Region Mapping'!$E:$E,'Region Mapping'!$A:$A,O$39)&gt;0,('IPCC(2006)'!$E$79+'IPCC(2006)'!$E$80+'IPCC(2006)'!$E$81+'IPCC(2006)'!$E$82)*1000/(Legend!$B$83*Legend!$B$82*Legend!$B$84),('IPCC(2006)'!$I$79+'IPCC(2006)'!$I$80+'IPCC(2006)'!$I$81+'IPCC(2006)'!$I$82)*1000/(Legend!$B$83*Legend!$B$82*Legend!$B$84))</f>
        <v>1.3639545754678808</v>
      </c>
      <c r="P107" s="209">
        <f>IF(SUMIFS('Region Mapping'!$E:$E,'Region Mapping'!$A:$A,P$39)&gt;0,('IPCC(2006)'!$E$79+'IPCC(2006)'!$E$80+'IPCC(2006)'!$E$81+'IPCC(2006)'!$E$82)*1000/(Legend!$B$83*Legend!$B$82*Legend!$B$84),('IPCC(2006)'!$I$79+'IPCC(2006)'!$I$80+'IPCC(2006)'!$I$81+'IPCC(2006)'!$I$82)*1000/(Legend!$B$83*Legend!$B$82*Legend!$B$84))</f>
        <v>8.1322040329929637E-2</v>
      </c>
      <c r="Q107" s="209">
        <f>IF(SUMIFS('Region Mapping'!$E:$E,'Region Mapping'!$A:$A,Q$39)&gt;0,('IPCC(2006)'!$E$79+'IPCC(2006)'!$E$80+'IPCC(2006)'!$E$81+'IPCC(2006)'!$E$82)*1000/(Legend!$B$83*Legend!$B$82*Legend!$B$84),('IPCC(2006)'!$I$79+'IPCC(2006)'!$I$80+'IPCC(2006)'!$I$81+'IPCC(2006)'!$I$82)*1000/(Legend!$B$83*Legend!$B$82*Legend!$B$84))</f>
        <v>8.1322040329929637E-2</v>
      </c>
      <c r="R107" s="209">
        <f>IF(SUMIFS('Region Mapping'!$E:$E,'Region Mapping'!$A:$A,R$39)&gt;0,('IPCC(2006)'!$E$79+'IPCC(2006)'!$E$80+'IPCC(2006)'!$E$81+'IPCC(2006)'!$E$82)*1000/(Legend!$B$83*Legend!$B$82*Legend!$B$84),('IPCC(2006)'!$I$79+'IPCC(2006)'!$I$80+'IPCC(2006)'!$I$81+'IPCC(2006)'!$I$82)*1000/(Legend!$B$83*Legend!$B$82*Legend!$B$84))</f>
        <v>8.1322040329929637E-2</v>
      </c>
      <c r="S107" s="209">
        <f>IF(SUMIFS('Region Mapping'!$E:$E,'Region Mapping'!$A:$A,S$39)&gt;0,('IPCC(2006)'!$E$79+'IPCC(2006)'!$E$80+'IPCC(2006)'!$E$81+'IPCC(2006)'!$E$82)*1000/(Legend!$B$83*Legend!$B$82*Legend!$B$84),('IPCC(2006)'!$I$79+'IPCC(2006)'!$I$80+'IPCC(2006)'!$I$81+'IPCC(2006)'!$I$82)*1000/(Legend!$B$83*Legend!$B$82*Legend!$B$84))</f>
        <v>8.1322040329929637E-2</v>
      </c>
      <c r="T107" s="209">
        <f>IF(SUMIFS('Region Mapping'!$E:$E,'Region Mapping'!$A:$A,T$39)&gt;0,('IPCC(2006)'!$E$79+'IPCC(2006)'!$E$80+'IPCC(2006)'!$E$81+'IPCC(2006)'!$E$82)*1000/(Legend!$B$83*Legend!$B$82*Legend!$B$84),('IPCC(2006)'!$I$79+'IPCC(2006)'!$I$80+'IPCC(2006)'!$I$81+'IPCC(2006)'!$I$82)*1000/(Legend!$B$83*Legend!$B$82*Legend!$B$84))</f>
        <v>1.3639545754678808</v>
      </c>
      <c r="U107" s="209">
        <f>IF(SUMIFS('Region Mapping'!$E:$E,'Region Mapping'!$A:$A,U$39)&gt;0,('IPCC(2006)'!$E$79+'IPCC(2006)'!$E$80+'IPCC(2006)'!$E$81+'IPCC(2006)'!$E$82)*1000/(Legend!$B$83*Legend!$B$82*Legend!$B$84),('IPCC(2006)'!$I$79+'IPCC(2006)'!$I$80+'IPCC(2006)'!$I$81+'IPCC(2006)'!$I$82)*1000/(Legend!$B$83*Legend!$B$82*Legend!$B$84))</f>
        <v>1.3639545754678808</v>
      </c>
      <c r="V107" s="209">
        <f>IF(SUMIFS('Region Mapping'!$E:$E,'Region Mapping'!$A:$A,V$39)&gt;0,('IPCC(2006)'!$E$79+'IPCC(2006)'!$E$80+'IPCC(2006)'!$E$81+'IPCC(2006)'!$E$82)*1000/(Legend!$B$83*Legend!$B$82*Legend!$B$84),('IPCC(2006)'!$I$79+'IPCC(2006)'!$I$80+'IPCC(2006)'!$I$81+'IPCC(2006)'!$I$82)*1000/(Legend!$B$83*Legend!$B$82*Legend!$B$84))</f>
        <v>8.1322040329929637E-2</v>
      </c>
      <c r="W107" s="209">
        <f>IF(SUMIFS('Region Mapping'!$E:$E,'Region Mapping'!$A:$A,W$39)&gt;0,('IPCC(2006)'!$E$79+'IPCC(2006)'!$E$80+'IPCC(2006)'!$E$81+'IPCC(2006)'!$E$82)*1000/(Legend!$B$83*Legend!$B$82*Legend!$B$84),('IPCC(2006)'!$I$79+'IPCC(2006)'!$I$80+'IPCC(2006)'!$I$81+'IPCC(2006)'!$I$82)*1000/(Legend!$B$83*Legend!$B$82*Legend!$B$84))</f>
        <v>1.3639545754678808</v>
      </c>
      <c r="X107" s="209">
        <f>IF(SUMIFS('Region Mapping'!$E:$E,'Region Mapping'!$A:$A,X$39)&gt;0,('IPCC(2006)'!$E$79+'IPCC(2006)'!$E$80+'IPCC(2006)'!$E$81+'IPCC(2006)'!$E$82)*1000/(Legend!$B$83*Legend!$B$82*Legend!$B$84),('IPCC(2006)'!$I$79+'IPCC(2006)'!$I$80+'IPCC(2006)'!$I$81+'IPCC(2006)'!$I$82)*1000/(Legend!$B$83*Legend!$B$82*Legend!$B$84))</f>
        <v>1.3639545754678808</v>
      </c>
      <c r="Y107" s="209">
        <f>IF(SUMIFS('Region Mapping'!$E:$E,'Region Mapping'!$A:$A,Y$39)&gt;0,('IPCC(2006)'!$E$79+'IPCC(2006)'!$E$80+'IPCC(2006)'!$E$81+'IPCC(2006)'!$E$82)*1000/(Legend!$B$83*Legend!$B$82*Legend!$B$84),('IPCC(2006)'!$I$79+'IPCC(2006)'!$I$80+'IPCC(2006)'!$I$81+'IPCC(2006)'!$I$82)*1000/(Legend!$B$83*Legend!$B$82*Legend!$B$84))</f>
        <v>1.3639545754678808</v>
      </c>
      <c r="Z107" s="209">
        <f>IF(SUMIFS('Region Mapping'!$E:$E,'Region Mapping'!$A:$A,Z$39)&gt;0,('IPCC(2006)'!$E$79+'IPCC(2006)'!$E$80+'IPCC(2006)'!$E$81+'IPCC(2006)'!$E$82)*1000/(Legend!$B$83*Legend!$B$82*Legend!$B$84),('IPCC(2006)'!$I$79+'IPCC(2006)'!$I$80+'IPCC(2006)'!$I$81+'IPCC(2006)'!$I$82)*1000/(Legend!$B$83*Legend!$B$82*Legend!$B$84))</f>
        <v>1.3639545754678808</v>
      </c>
      <c r="AA107" s="209">
        <f>IF(SUMIFS('Region Mapping'!$E:$E,'Region Mapping'!$A:$A,AA$39)&gt;0,('IPCC(2006)'!$E$79+'IPCC(2006)'!$E$80+'IPCC(2006)'!$E$81+'IPCC(2006)'!$E$82)*1000/(Legend!$B$83*Legend!$B$82*Legend!$B$84),('IPCC(2006)'!$I$79+'IPCC(2006)'!$I$80+'IPCC(2006)'!$I$81+'IPCC(2006)'!$I$82)*1000/(Legend!$B$83*Legend!$B$82*Legend!$B$84))</f>
        <v>1.3639545754678808</v>
      </c>
      <c r="AB107" s="209">
        <f>IF(SUMIFS('Region Mapping'!$E:$E,'Region Mapping'!$A:$A,AB$39)&gt;0,('IPCC(2006)'!$E$79+'IPCC(2006)'!$E$80+'IPCC(2006)'!$E$81+'IPCC(2006)'!$E$82)*1000/(Legend!$B$83*Legend!$B$82*Legend!$B$84),('IPCC(2006)'!$I$79+'IPCC(2006)'!$I$80+'IPCC(2006)'!$I$81+'IPCC(2006)'!$I$82)*1000/(Legend!$B$83*Legend!$B$82*Legend!$B$84))</f>
        <v>1.3639545754678808</v>
      </c>
      <c r="AC107" s="209">
        <f>IF(SUMIFS('Region Mapping'!$E:$E,'Region Mapping'!$A:$A,AC$39)&gt;0,('IPCC(2006)'!$E$79+'IPCC(2006)'!$E$80+'IPCC(2006)'!$E$81+'IPCC(2006)'!$E$82)*1000/(Legend!$B$83*Legend!$B$82*Legend!$B$84),('IPCC(2006)'!$I$79+'IPCC(2006)'!$I$80+'IPCC(2006)'!$I$81+'IPCC(2006)'!$I$82)*1000/(Legend!$B$83*Legend!$B$82*Legend!$B$84))</f>
        <v>8.1322040329929637E-2</v>
      </c>
      <c r="AD107" s="220">
        <f>IF(SUMIFS('Region Mapping'!$E:$E,'Region Mapping'!$A:$A,AD$39)&gt;0,('IPCC(2006)'!$E$79+'IPCC(2006)'!$E$80+'IPCC(2006)'!$E$81+'IPCC(2006)'!$E$82)*1000/(Legend!$B$83*Legend!$B$82*Legend!$B$84),('IPCC(2006)'!$I$79+'IPCC(2006)'!$I$80+'IPCC(2006)'!$I$81+'IPCC(2006)'!$I$82)*1000/(Legend!$B$83*Legend!$B$82*Legend!$B$84))</f>
        <v>8.1322040329929637E-2</v>
      </c>
    </row>
    <row r="108" spans="1:30">
      <c r="A108" s="215" t="s">
        <v>1014</v>
      </c>
      <c r="B108" t="s">
        <v>1013</v>
      </c>
      <c r="C108" s="209">
        <f>IF(SUMIFS('Region Mapping'!$E:$E,'Region Mapping'!$A:$A,C$39)&gt;0,'IPCC(2006)'!$E$83*1000/(Legend!$B$83*Legend!$B$82*Legend!$B$84),'IPCC(2006)'!$I$83*1000/(Legend!$B$83*Legend!$B$82*Legend!$B$84))</f>
        <v>5.7161635699196835E-2</v>
      </c>
      <c r="D108" s="209">
        <f>IF(SUMIFS('Region Mapping'!$E:$E,'Region Mapping'!$A:$A,D$39)&gt;0,'IPCC(2006)'!$E$83*1000/(Legend!$B$83*Legend!$B$82*Legend!$B$84),'IPCC(2006)'!$I$83*1000/(Legend!$B$83*Legend!$B$82*Legend!$B$84))</f>
        <v>5.7161635699196835E-2</v>
      </c>
      <c r="E108" s="209">
        <f>IF(SUMIFS('Region Mapping'!$E:$E,'Region Mapping'!$A:$A,E$39)&gt;0,'IPCC(2006)'!$E$83*1000/(Legend!$B$83*Legend!$B$82*Legend!$B$84),'IPCC(2006)'!$I$83*1000/(Legend!$B$83*Legend!$B$82*Legend!$B$84))</f>
        <v>5.7161635699196835E-2</v>
      </c>
      <c r="F108" s="209">
        <f>IF(SUMIFS('Region Mapping'!$E:$E,'Region Mapping'!$A:$A,F$39)&gt;0,'IPCC(2006)'!$E$83*1000/(Legend!$B$83*Legend!$B$82*Legend!$B$84),'IPCC(2006)'!$I$83*1000/(Legend!$B$83*Legend!$B$82*Legend!$B$84))</f>
        <v>5.7161635699196835E-2</v>
      </c>
      <c r="G108" s="209">
        <f>IF(SUMIFS('Region Mapping'!$E:$E,'Region Mapping'!$A:$A,G$39)&gt;0,'IPCC(2006)'!$E$83*1000/(Legend!$B$83*Legend!$B$82*Legend!$B$84),'IPCC(2006)'!$I$83*1000/(Legend!$B$83*Legend!$B$82*Legend!$B$84))</f>
        <v>4.1572098690324966E-2</v>
      </c>
      <c r="H108" s="209">
        <f>IF(SUMIFS('Region Mapping'!$E:$E,'Region Mapping'!$A:$A,H$39)&gt;0,'IPCC(2006)'!$E$83*1000/(Legend!$B$83*Legend!$B$82*Legend!$B$84),'IPCC(2006)'!$I$83*1000/(Legend!$B$83*Legend!$B$82*Legend!$B$84))</f>
        <v>5.7161635699196835E-2</v>
      </c>
      <c r="I108" s="209">
        <f>IF(SUMIFS('Region Mapping'!$E:$E,'Region Mapping'!$A:$A,I$39)&gt;0,'IPCC(2006)'!$E$83*1000/(Legend!$B$83*Legend!$B$82*Legend!$B$84),'IPCC(2006)'!$I$83*1000/(Legend!$B$83*Legend!$B$82*Legend!$B$84))</f>
        <v>5.7161635699196835E-2</v>
      </c>
      <c r="J108" s="209">
        <f>IF(SUMIFS('Region Mapping'!$E:$E,'Region Mapping'!$A:$A,J$39)&gt;0,'IPCC(2006)'!$E$83*1000/(Legend!$B$83*Legend!$B$82*Legend!$B$84),'IPCC(2006)'!$I$83*1000/(Legend!$B$83*Legend!$B$82*Legend!$B$84))</f>
        <v>5.7161635699196835E-2</v>
      </c>
      <c r="K108" s="209">
        <f>IF(SUMIFS('Region Mapping'!$E:$E,'Region Mapping'!$A:$A,K$39)&gt;0,'IPCC(2006)'!$E$83*1000/(Legend!$B$83*Legend!$B$82*Legend!$B$84),'IPCC(2006)'!$I$83*1000/(Legend!$B$83*Legend!$B$82*Legend!$B$84))</f>
        <v>5.7161635699196835E-2</v>
      </c>
      <c r="L108" s="209">
        <f>IF(SUMIFS('Region Mapping'!$E:$E,'Region Mapping'!$A:$A,L$39)&gt;0,'IPCC(2006)'!$E$83*1000/(Legend!$B$83*Legend!$B$82*Legend!$B$84),'IPCC(2006)'!$I$83*1000/(Legend!$B$83*Legend!$B$82*Legend!$B$84))</f>
        <v>4.1572098690324966E-2</v>
      </c>
      <c r="M108" s="209">
        <f>IF(SUMIFS('Region Mapping'!$E:$E,'Region Mapping'!$A:$A,M$39)&gt;0,'IPCC(2006)'!$E$83*1000/(Legend!$B$83*Legend!$B$82*Legend!$B$84),'IPCC(2006)'!$I$83*1000/(Legend!$B$83*Legend!$B$82*Legend!$B$84))</f>
        <v>5.7161635699196835E-2</v>
      </c>
      <c r="N108" s="209">
        <f>IF(SUMIFS('Region Mapping'!$E:$E,'Region Mapping'!$A:$A,N$39)&gt;0,'IPCC(2006)'!$E$83*1000/(Legend!$B$83*Legend!$B$82*Legend!$B$84),'IPCC(2006)'!$I$83*1000/(Legend!$B$83*Legend!$B$82*Legend!$B$84))</f>
        <v>5.7161635699196835E-2</v>
      </c>
      <c r="O108" s="209">
        <f>IF(SUMIFS('Region Mapping'!$E:$E,'Region Mapping'!$A:$A,O$39)&gt;0,'IPCC(2006)'!$E$83*1000/(Legend!$B$83*Legend!$B$82*Legend!$B$84),'IPCC(2006)'!$I$83*1000/(Legend!$B$83*Legend!$B$82*Legend!$B$84))</f>
        <v>5.7161635699196835E-2</v>
      </c>
      <c r="P108" s="209">
        <f>IF(SUMIFS('Region Mapping'!$E:$E,'Region Mapping'!$A:$A,P$39)&gt;0,'IPCC(2006)'!$E$83*1000/(Legend!$B$83*Legend!$B$82*Legend!$B$84),'IPCC(2006)'!$I$83*1000/(Legend!$B$83*Legend!$B$82*Legend!$B$84))</f>
        <v>4.1572098690324966E-2</v>
      </c>
      <c r="Q108" s="209">
        <f>IF(SUMIFS('Region Mapping'!$E:$E,'Region Mapping'!$A:$A,Q$39)&gt;0,'IPCC(2006)'!$E$83*1000/(Legend!$B$83*Legend!$B$82*Legend!$B$84),'IPCC(2006)'!$I$83*1000/(Legend!$B$83*Legend!$B$82*Legend!$B$84))</f>
        <v>4.1572098690324966E-2</v>
      </c>
      <c r="R108" s="209">
        <f>IF(SUMIFS('Region Mapping'!$E:$E,'Region Mapping'!$A:$A,R$39)&gt;0,'IPCC(2006)'!$E$83*1000/(Legend!$B$83*Legend!$B$82*Legend!$B$84),'IPCC(2006)'!$I$83*1000/(Legend!$B$83*Legend!$B$82*Legend!$B$84))</f>
        <v>4.1572098690324966E-2</v>
      </c>
      <c r="S108" s="209">
        <f>IF(SUMIFS('Region Mapping'!$E:$E,'Region Mapping'!$A:$A,S$39)&gt;0,'IPCC(2006)'!$E$83*1000/(Legend!$B$83*Legend!$B$82*Legend!$B$84),'IPCC(2006)'!$I$83*1000/(Legend!$B$83*Legend!$B$82*Legend!$B$84))</f>
        <v>4.1572098690324966E-2</v>
      </c>
      <c r="T108" s="209">
        <f>IF(SUMIFS('Region Mapping'!$E:$E,'Region Mapping'!$A:$A,T$39)&gt;0,'IPCC(2006)'!$E$83*1000/(Legend!$B$83*Legend!$B$82*Legend!$B$84),'IPCC(2006)'!$I$83*1000/(Legend!$B$83*Legend!$B$82*Legend!$B$84))</f>
        <v>5.7161635699196835E-2</v>
      </c>
      <c r="U108" s="209">
        <f>IF(SUMIFS('Region Mapping'!$E:$E,'Region Mapping'!$A:$A,U$39)&gt;0,'IPCC(2006)'!$E$83*1000/(Legend!$B$83*Legend!$B$82*Legend!$B$84),'IPCC(2006)'!$I$83*1000/(Legend!$B$83*Legend!$B$82*Legend!$B$84))</f>
        <v>5.7161635699196835E-2</v>
      </c>
      <c r="V108" s="209">
        <f>IF(SUMIFS('Region Mapping'!$E:$E,'Region Mapping'!$A:$A,V$39)&gt;0,'IPCC(2006)'!$E$83*1000/(Legend!$B$83*Legend!$B$82*Legend!$B$84),'IPCC(2006)'!$I$83*1000/(Legend!$B$83*Legend!$B$82*Legend!$B$84))</f>
        <v>4.1572098690324966E-2</v>
      </c>
      <c r="W108" s="209">
        <f>IF(SUMIFS('Region Mapping'!$E:$E,'Region Mapping'!$A:$A,W$39)&gt;0,'IPCC(2006)'!$E$83*1000/(Legend!$B$83*Legend!$B$82*Legend!$B$84),'IPCC(2006)'!$I$83*1000/(Legend!$B$83*Legend!$B$82*Legend!$B$84))</f>
        <v>5.7161635699196835E-2</v>
      </c>
      <c r="X108" s="209">
        <f>IF(SUMIFS('Region Mapping'!$E:$E,'Region Mapping'!$A:$A,X$39)&gt;0,'IPCC(2006)'!$E$83*1000/(Legend!$B$83*Legend!$B$82*Legend!$B$84),'IPCC(2006)'!$I$83*1000/(Legend!$B$83*Legend!$B$82*Legend!$B$84))</f>
        <v>5.7161635699196835E-2</v>
      </c>
      <c r="Y108" s="209">
        <f>IF(SUMIFS('Region Mapping'!$E:$E,'Region Mapping'!$A:$A,Y$39)&gt;0,'IPCC(2006)'!$E$83*1000/(Legend!$B$83*Legend!$B$82*Legend!$B$84),'IPCC(2006)'!$I$83*1000/(Legend!$B$83*Legend!$B$82*Legend!$B$84))</f>
        <v>5.7161635699196835E-2</v>
      </c>
      <c r="Z108" s="209">
        <f>IF(SUMIFS('Region Mapping'!$E:$E,'Region Mapping'!$A:$A,Z$39)&gt;0,'IPCC(2006)'!$E$83*1000/(Legend!$B$83*Legend!$B$82*Legend!$B$84),'IPCC(2006)'!$I$83*1000/(Legend!$B$83*Legend!$B$82*Legend!$B$84))</f>
        <v>5.7161635699196835E-2</v>
      </c>
      <c r="AA108" s="209">
        <f>IF(SUMIFS('Region Mapping'!$E:$E,'Region Mapping'!$A:$A,AA$39)&gt;0,'IPCC(2006)'!$E$83*1000/(Legend!$B$83*Legend!$B$82*Legend!$B$84),'IPCC(2006)'!$I$83*1000/(Legend!$B$83*Legend!$B$82*Legend!$B$84))</f>
        <v>5.7161635699196835E-2</v>
      </c>
      <c r="AB108" s="209">
        <f>IF(SUMIFS('Region Mapping'!$E:$E,'Region Mapping'!$A:$A,AB$39)&gt;0,'IPCC(2006)'!$E$83*1000/(Legend!$B$83*Legend!$B$82*Legend!$B$84),'IPCC(2006)'!$I$83*1000/(Legend!$B$83*Legend!$B$82*Legend!$B$84))</f>
        <v>5.7161635699196835E-2</v>
      </c>
      <c r="AC108" s="209">
        <f>IF(SUMIFS('Region Mapping'!$E:$E,'Region Mapping'!$A:$A,AC$39)&gt;0,'IPCC(2006)'!$E$83*1000/(Legend!$B$83*Legend!$B$82*Legend!$B$84),'IPCC(2006)'!$I$83*1000/(Legend!$B$83*Legend!$B$82*Legend!$B$84))</f>
        <v>4.1572098690324966E-2</v>
      </c>
      <c r="AD108" s="220">
        <f>IF(SUMIFS('Region Mapping'!$E:$E,'Region Mapping'!$A:$A,AD$39)&gt;0,'IPCC(2006)'!$E$83*1000/(Legend!$B$83*Legend!$B$82*Legend!$B$84),'IPCC(2006)'!$I$83*1000/(Legend!$B$83*Legend!$B$82*Legend!$B$84))</f>
        <v>4.1572098690324966E-2</v>
      </c>
    </row>
    <row r="109" spans="1:30">
      <c r="A109" s="215" t="s">
        <v>1015</v>
      </c>
      <c r="B109" t="s">
        <v>1013</v>
      </c>
      <c r="C109" s="209">
        <f>IF(SUMIFS('Region Mapping'!$E:$E,'Region Mapping'!$A:$A,C$39)&gt;0,'IPCC(2006)'!$E$84*1000/(Legend!$B$83*Legend!$B$82*Legend!$B$84),'IPCC(2006)'!$I$84*1000/(Legend!$B$83*Legend!$B$82*Legend!$B$84))</f>
        <v>5.9759891867342137E-4</v>
      </c>
      <c r="D109" s="209">
        <f>IF(SUMIFS('Region Mapping'!$E:$E,'Region Mapping'!$A:$A,D$39)&gt;0,'IPCC(2006)'!$E$84*1000/(Legend!$B$83*Legend!$B$82*Legend!$B$84),'IPCC(2006)'!$I$84*1000/(Legend!$B$83*Legend!$B$82*Legend!$B$84))</f>
        <v>5.9759891867342137E-4</v>
      </c>
      <c r="E109" s="209">
        <f>IF(SUMIFS('Region Mapping'!$E:$E,'Region Mapping'!$A:$A,E$39)&gt;0,'IPCC(2006)'!$E$84*1000/(Legend!$B$83*Legend!$B$82*Legend!$B$84),'IPCC(2006)'!$I$84*1000/(Legend!$B$83*Legend!$B$82*Legend!$B$84))</f>
        <v>5.9759891867342137E-4</v>
      </c>
      <c r="F109" s="209">
        <f>IF(SUMIFS('Region Mapping'!$E:$E,'Region Mapping'!$A:$A,F$39)&gt;0,'IPCC(2006)'!$E$84*1000/(Legend!$B$83*Legend!$B$82*Legend!$B$84),'IPCC(2006)'!$I$84*1000/(Legend!$B$83*Legend!$B$82*Legend!$B$84))</f>
        <v>5.9759891867342137E-4</v>
      </c>
      <c r="G109" s="209">
        <f>IF(SUMIFS('Region Mapping'!$E:$E,'Region Mapping'!$A:$A,G$39)&gt;0,'IPCC(2006)'!$E$84*1000/(Legend!$B$83*Legend!$B$82*Legend!$B$84),'IPCC(2006)'!$I$84*1000/(Legend!$B$83*Legend!$B$82*Legend!$B$84))</f>
        <v>4.4170354858470278E-4</v>
      </c>
      <c r="H109" s="209">
        <f>IF(SUMIFS('Region Mapping'!$E:$E,'Region Mapping'!$A:$A,H$39)&gt;0,'IPCC(2006)'!$E$84*1000/(Legend!$B$83*Legend!$B$82*Legend!$B$84),'IPCC(2006)'!$I$84*1000/(Legend!$B$83*Legend!$B$82*Legend!$B$84))</f>
        <v>5.9759891867342137E-4</v>
      </c>
      <c r="I109" s="209">
        <f>IF(SUMIFS('Region Mapping'!$E:$E,'Region Mapping'!$A:$A,I$39)&gt;0,'IPCC(2006)'!$E$84*1000/(Legend!$B$83*Legend!$B$82*Legend!$B$84),'IPCC(2006)'!$I$84*1000/(Legend!$B$83*Legend!$B$82*Legend!$B$84))</f>
        <v>5.9759891867342137E-4</v>
      </c>
      <c r="J109" s="209">
        <f>IF(SUMIFS('Region Mapping'!$E:$E,'Region Mapping'!$A:$A,J$39)&gt;0,'IPCC(2006)'!$E$84*1000/(Legend!$B$83*Legend!$B$82*Legend!$B$84),'IPCC(2006)'!$I$84*1000/(Legend!$B$83*Legend!$B$82*Legend!$B$84))</f>
        <v>5.9759891867342137E-4</v>
      </c>
      <c r="K109" s="209">
        <f>IF(SUMIFS('Region Mapping'!$E:$E,'Region Mapping'!$A:$A,K$39)&gt;0,'IPCC(2006)'!$E$84*1000/(Legend!$B$83*Legend!$B$82*Legend!$B$84),'IPCC(2006)'!$I$84*1000/(Legend!$B$83*Legend!$B$82*Legend!$B$84))</f>
        <v>5.9759891867342137E-4</v>
      </c>
      <c r="L109" s="209">
        <f>IF(SUMIFS('Region Mapping'!$E:$E,'Region Mapping'!$A:$A,L$39)&gt;0,'IPCC(2006)'!$E$84*1000/(Legend!$B$83*Legend!$B$82*Legend!$B$84),'IPCC(2006)'!$I$84*1000/(Legend!$B$83*Legend!$B$82*Legend!$B$84))</f>
        <v>4.4170354858470278E-4</v>
      </c>
      <c r="M109" s="209">
        <f>IF(SUMIFS('Region Mapping'!$E:$E,'Region Mapping'!$A:$A,M$39)&gt;0,'IPCC(2006)'!$E$84*1000/(Legend!$B$83*Legend!$B$82*Legend!$B$84),'IPCC(2006)'!$I$84*1000/(Legend!$B$83*Legend!$B$82*Legend!$B$84))</f>
        <v>5.9759891867342137E-4</v>
      </c>
      <c r="N109" s="209">
        <f>IF(SUMIFS('Region Mapping'!$E:$E,'Region Mapping'!$A:$A,N$39)&gt;0,'IPCC(2006)'!$E$84*1000/(Legend!$B$83*Legend!$B$82*Legend!$B$84),'IPCC(2006)'!$I$84*1000/(Legend!$B$83*Legend!$B$82*Legend!$B$84))</f>
        <v>5.9759891867342137E-4</v>
      </c>
      <c r="O109" s="209">
        <f>IF(SUMIFS('Region Mapping'!$E:$E,'Region Mapping'!$A:$A,O$39)&gt;0,'IPCC(2006)'!$E$84*1000/(Legend!$B$83*Legend!$B$82*Legend!$B$84),'IPCC(2006)'!$I$84*1000/(Legend!$B$83*Legend!$B$82*Legend!$B$84))</f>
        <v>5.9759891867342137E-4</v>
      </c>
      <c r="P109" s="209">
        <f>IF(SUMIFS('Region Mapping'!$E:$E,'Region Mapping'!$A:$A,P$39)&gt;0,'IPCC(2006)'!$E$84*1000/(Legend!$B$83*Legend!$B$82*Legend!$B$84),'IPCC(2006)'!$I$84*1000/(Legend!$B$83*Legend!$B$82*Legend!$B$84))</f>
        <v>4.4170354858470278E-4</v>
      </c>
      <c r="Q109" s="209">
        <f>IF(SUMIFS('Region Mapping'!$E:$E,'Region Mapping'!$A:$A,Q$39)&gt;0,'IPCC(2006)'!$E$84*1000/(Legend!$B$83*Legend!$B$82*Legend!$B$84),'IPCC(2006)'!$I$84*1000/(Legend!$B$83*Legend!$B$82*Legend!$B$84))</f>
        <v>4.4170354858470278E-4</v>
      </c>
      <c r="R109" s="209">
        <f>IF(SUMIFS('Region Mapping'!$E:$E,'Region Mapping'!$A:$A,R$39)&gt;0,'IPCC(2006)'!$E$84*1000/(Legend!$B$83*Legend!$B$82*Legend!$B$84),'IPCC(2006)'!$I$84*1000/(Legend!$B$83*Legend!$B$82*Legend!$B$84))</f>
        <v>4.4170354858470278E-4</v>
      </c>
      <c r="S109" s="209">
        <f>IF(SUMIFS('Region Mapping'!$E:$E,'Region Mapping'!$A:$A,S$39)&gt;0,'IPCC(2006)'!$E$84*1000/(Legend!$B$83*Legend!$B$82*Legend!$B$84),'IPCC(2006)'!$I$84*1000/(Legend!$B$83*Legend!$B$82*Legend!$B$84))</f>
        <v>4.4170354858470278E-4</v>
      </c>
      <c r="T109" s="209">
        <f>IF(SUMIFS('Region Mapping'!$E:$E,'Region Mapping'!$A:$A,T$39)&gt;0,'IPCC(2006)'!$E$84*1000/(Legend!$B$83*Legend!$B$82*Legend!$B$84),'IPCC(2006)'!$I$84*1000/(Legend!$B$83*Legend!$B$82*Legend!$B$84))</f>
        <v>5.9759891867342137E-4</v>
      </c>
      <c r="U109" s="209">
        <f>IF(SUMIFS('Region Mapping'!$E:$E,'Region Mapping'!$A:$A,U$39)&gt;0,'IPCC(2006)'!$E$84*1000/(Legend!$B$83*Legend!$B$82*Legend!$B$84),'IPCC(2006)'!$I$84*1000/(Legend!$B$83*Legend!$B$82*Legend!$B$84))</f>
        <v>5.9759891867342137E-4</v>
      </c>
      <c r="V109" s="209">
        <f>IF(SUMIFS('Region Mapping'!$E:$E,'Region Mapping'!$A:$A,V$39)&gt;0,'IPCC(2006)'!$E$84*1000/(Legend!$B$83*Legend!$B$82*Legend!$B$84),'IPCC(2006)'!$I$84*1000/(Legend!$B$83*Legend!$B$82*Legend!$B$84))</f>
        <v>4.4170354858470278E-4</v>
      </c>
      <c r="W109" s="209">
        <f>IF(SUMIFS('Region Mapping'!$E:$E,'Region Mapping'!$A:$A,W$39)&gt;0,'IPCC(2006)'!$E$84*1000/(Legend!$B$83*Legend!$B$82*Legend!$B$84),'IPCC(2006)'!$I$84*1000/(Legend!$B$83*Legend!$B$82*Legend!$B$84))</f>
        <v>5.9759891867342137E-4</v>
      </c>
      <c r="X109" s="209">
        <f>IF(SUMIFS('Region Mapping'!$E:$E,'Region Mapping'!$A:$A,X$39)&gt;0,'IPCC(2006)'!$E$84*1000/(Legend!$B$83*Legend!$B$82*Legend!$B$84),'IPCC(2006)'!$I$84*1000/(Legend!$B$83*Legend!$B$82*Legend!$B$84))</f>
        <v>5.9759891867342137E-4</v>
      </c>
      <c r="Y109" s="209">
        <f>IF(SUMIFS('Region Mapping'!$E:$E,'Region Mapping'!$A:$A,Y$39)&gt;0,'IPCC(2006)'!$E$84*1000/(Legend!$B$83*Legend!$B$82*Legend!$B$84),'IPCC(2006)'!$I$84*1000/(Legend!$B$83*Legend!$B$82*Legend!$B$84))</f>
        <v>5.9759891867342137E-4</v>
      </c>
      <c r="Z109" s="209">
        <f>IF(SUMIFS('Region Mapping'!$E:$E,'Region Mapping'!$A:$A,Z$39)&gt;0,'IPCC(2006)'!$E$84*1000/(Legend!$B$83*Legend!$B$82*Legend!$B$84),'IPCC(2006)'!$I$84*1000/(Legend!$B$83*Legend!$B$82*Legend!$B$84))</f>
        <v>5.9759891867342137E-4</v>
      </c>
      <c r="AA109" s="209">
        <f>IF(SUMIFS('Region Mapping'!$E:$E,'Region Mapping'!$A:$A,AA$39)&gt;0,'IPCC(2006)'!$E$84*1000/(Legend!$B$83*Legend!$B$82*Legend!$B$84),'IPCC(2006)'!$I$84*1000/(Legend!$B$83*Legend!$B$82*Legend!$B$84))</f>
        <v>5.9759891867342137E-4</v>
      </c>
      <c r="AB109" s="209">
        <f>IF(SUMIFS('Region Mapping'!$E:$E,'Region Mapping'!$A:$A,AB$39)&gt;0,'IPCC(2006)'!$E$84*1000/(Legend!$B$83*Legend!$B$82*Legend!$B$84),'IPCC(2006)'!$I$84*1000/(Legend!$B$83*Legend!$B$82*Legend!$B$84))</f>
        <v>5.9759891867342137E-4</v>
      </c>
      <c r="AC109" s="209">
        <f>IF(SUMIFS('Region Mapping'!$E:$E,'Region Mapping'!$A:$A,AC$39)&gt;0,'IPCC(2006)'!$E$84*1000/(Legend!$B$83*Legend!$B$82*Legend!$B$84),'IPCC(2006)'!$I$84*1000/(Legend!$B$83*Legend!$B$82*Legend!$B$84))</f>
        <v>4.4170354858470278E-4</v>
      </c>
      <c r="AD109" s="220">
        <f>IF(SUMIFS('Region Mapping'!$E:$E,'Region Mapping'!$A:$A,AD$39)&gt;0,'IPCC(2006)'!$E$84*1000/(Legend!$B$83*Legend!$B$82*Legend!$B$84),'IPCC(2006)'!$I$84*1000/(Legend!$B$83*Legend!$B$82*Legend!$B$84))</f>
        <v>4.4170354858470278E-4</v>
      </c>
    </row>
    <row r="110" spans="1:30">
      <c r="A110" s="215" t="s">
        <v>1016</v>
      </c>
      <c r="B110" t="s">
        <v>1017</v>
      </c>
      <c r="C110" s="209">
        <f>IF(SUMIFS('Region Mapping'!$E:$E,'Region Mapping'!$A:$A,C$39)&gt;0,'IPCC(2006)'!$E$85*1000/(Legend!$B$83*Legend!$B$82*Legend!$B$84),'IPCC(2006)'!$I$85*1000/(Legend!$B$83*Legend!$B$82*Legend!$B$84))</f>
        <v>0</v>
      </c>
      <c r="D110" s="209">
        <f>IF(SUMIFS('Region Mapping'!$E:$E,'Region Mapping'!$A:$A,D$39)&gt;0,'IPCC(2006)'!$E$85*1000/(Legend!$B$83*Legend!$B$82*Legend!$B$84),'IPCC(2006)'!$I$85*1000/(Legend!$B$83*Legend!$B$82*Legend!$B$84))</f>
        <v>0</v>
      </c>
      <c r="E110" s="209">
        <f>IF(SUMIFS('Region Mapping'!$E:$E,'Region Mapping'!$A:$A,E$39)&gt;0,'IPCC(2006)'!$E$85*1000/(Legend!$B$83*Legend!$B$82*Legend!$B$84),'IPCC(2006)'!$I$85*1000/(Legend!$B$83*Legend!$B$82*Legend!$B$84))</f>
        <v>0</v>
      </c>
      <c r="F110" s="209">
        <f>IF(SUMIFS('Region Mapping'!$E:$E,'Region Mapping'!$A:$A,F$39)&gt;0,'IPCC(2006)'!$E$85*1000/(Legend!$B$83*Legend!$B$82*Legend!$B$84),'IPCC(2006)'!$I$85*1000/(Legend!$B$83*Legend!$B$82*Legend!$B$84))</f>
        <v>0</v>
      </c>
      <c r="G110" s="209">
        <f>IF(SUMIFS('Region Mapping'!$E:$E,'Region Mapping'!$A:$A,G$39)&gt;0,'IPCC(2006)'!$E$85*1000/(Legend!$B$83*Legend!$B$82*Legend!$B$84),'IPCC(2006)'!$I$85*1000/(Legend!$B$83*Legend!$B$82*Legend!$B$84))</f>
        <v>0</v>
      </c>
      <c r="H110" s="209">
        <f>IF(SUMIFS('Region Mapping'!$E:$E,'Region Mapping'!$A:$A,H$39)&gt;0,'IPCC(2006)'!$E$85*1000/(Legend!$B$83*Legend!$B$82*Legend!$B$84),'IPCC(2006)'!$I$85*1000/(Legend!$B$83*Legend!$B$82*Legend!$B$84))</f>
        <v>0</v>
      </c>
      <c r="I110" s="209">
        <f>IF(SUMIFS('Region Mapping'!$E:$E,'Region Mapping'!$A:$A,I$39)&gt;0,'IPCC(2006)'!$E$85*1000/(Legend!$B$83*Legend!$B$82*Legend!$B$84),'IPCC(2006)'!$I$85*1000/(Legend!$B$83*Legend!$B$82*Legend!$B$84))</f>
        <v>0</v>
      </c>
      <c r="J110" s="209">
        <f>IF(SUMIFS('Region Mapping'!$E:$E,'Region Mapping'!$A:$A,J$39)&gt;0,'IPCC(2006)'!$E$85*1000/(Legend!$B$83*Legend!$B$82*Legend!$B$84),'IPCC(2006)'!$I$85*1000/(Legend!$B$83*Legend!$B$82*Legend!$B$84))</f>
        <v>0</v>
      </c>
      <c r="K110" s="209">
        <f>IF(SUMIFS('Region Mapping'!$E:$E,'Region Mapping'!$A:$A,K$39)&gt;0,'IPCC(2006)'!$E$85*1000/(Legend!$B$83*Legend!$B$82*Legend!$B$84),'IPCC(2006)'!$I$85*1000/(Legend!$B$83*Legend!$B$82*Legend!$B$84))</f>
        <v>0</v>
      </c>
      <c r="L110" s="209">
        <f>IF(SUMIFS('Region Mapping'!$E:$E,'Region Mapping'!$A:$A,L$39)&gt;0,'IPCC(2006)'!$E$85*1000/(Legend!$B$83*Legend!$B$82*Legend!$B$84),'IPCC(2006)'!$I$85*1000/(Legend!$B$83*Legend!$B$82*Legend!$B$84))</f>
        <v>0</v>
      </c>
      <c r="M110" s="209">
        <f>IF(SUMIFS('Region Mapping'!$E:$E,'Region Mapping'!$A:$A,M$39)&gt;0,'IPCC(2006)'!$E$85*1000/(Legend!$B$83*Legend!$B$82*Legend!$B$84),'IPCC(2006)'!$I$85*1000/(Legend!$B$83*Legend!$B$82*Legend!$B$84))</f>
        <v>0</v>
      </c>
      <c r="N110" s="209">
        <f>IF(SUMIFS('Region Mapping'!$E:$E,'Region Mapping'!$A:$A,N$39)&gt;0,'IPCC(2006)'!$E$85*1000/(Legend!$B$83*Legend!$B$82*Legend!$B$84),'IPCC(2006)'!$I$85*1000/(Legend!$B$83*Legend!$B$82*Legend!$B$84))</f>
        <v>0</v>
      </c>
      <c r="O110" s="209">
        <f>IF(SUMIFS('Region Mapping'!$E:$E,'Region Mapping'!$A:$A,O$39)&gt;0,'IPCC(2006)'!$E$85*1000/(Legend!$B$83*Legend!$B$82*Legend!$B$84),'IPCC(2006)'!$I$85*1000/(Legend!$B$83*Legend!$B$82*Legend!$B$84))</f>
        <v>0</v>
      </c>
      <c r="P110" s="209">
        <f>IF(SUMIFS('Region Mapping'!$E:$E,'Region Mapping'!$A:$A,P$39)&gt;0,'IPCC(2006)'!$E$85*1000/(Legend!$B$83*Legend!$B$82*Legend!$B$84),'IPCC(2006)'!$I$85*1000/(Legend!$B$83*Legend!$B$82*Legend!$B$84))</f>
        <v>0</v>
      </c>
      <c r="Q110" s="209">
        <f>IF(SUMIFS('Region Mapping'!$E:$E,'Region Mapping'!$A:$A,Q$39)&gt;0,'IPCC(2006)'!$E$85*1000/(Legend!$B$83*Legend!$B$82*Legend!$B$84),'IPCC(2006)'!$I$85*1000/(Legend!$B$83*Legend!$B$82*Legend!$B$84))</f>
        <v>0</v>
      </c>
      <c r="R110" s="209">
        <f>IF(SUMIFS('Region Mapping'!$E:$E,'Region Mapping'!$A:$A,R$39)&gt;0,'IPCC(2006)'!$E$85*1000/(Legend!$B$83*Legend!$B$82*Legend!$B$84),'IPCC(2006)'!$I$85*1000/(Legend!$B$83*Legend!$B$82*Legend!$B$84))</f>
        <v>0</v>
      </c>
      <c r="S110" s="209">
        <f>IF(SUMIFS('Region Mapping'!$E:$E,'Region Mapping'!$A:$A,S$39)&gt;0,'IPCC(2006)'!$E$85*1000/(Legend!$B$83*Legend!$B$82*Legend!$B$84),'IPCC(2006)'!$I$85*1000/(Legend!$B$83*Legend!$B$82*Legend!$B$84))</f>
        <v>0</v>
      </c>
      <c r="T110" s="209">
        <f>IF(SUMIFS('Region Mapping'!$E:$E,'Region Mapping'!$A:$A,T$39)&gt;0,'IPCC(2006)'!$E$85*1000/(Legend!$B$83*Legend!$B$82*Legend!$B$84),'IPCC(2006)'!$I$85*1000/(Legend!$B$83*Legend!$B$82*Legend!$B$84))</f>
        <v>0</v>
      </c>
      <c r="U110" s="209">
        <f>IF(SUMIFS('Region Mapping'!$E:$E,'Region Mapping'!$A:$A,U$39)&gt;0,'IPCC(2006)'!$E$85*1000/(Legend!$B$83*Legend!$B$82*Legend!$B$84),'IPCC(2006)'!$I$85*1000/(Legend!$B$83*Legend!$B$82*Legend!$B$84))</f>
        <v>0</v>
      </c>
      <c r="V110" s="209">
        <f>IF(SUMIFS('Region Mapping'!$E:$E,'Region Mapping'!$A:$A,V$39)&gt;0,'IPCC(2006)'!$E$85*1000/(Legend!$B$83*Legend!$B$82*Legend!$B$84),'IPCC(2006)'!$I$85*1000/(Legend!$B$83*Legend!$B$82*Legend!$B$84))</f>
        <v>0</v>
      </c>
      <c r="W110" s="209">
        <f>IF(SUMIFS('Region Mapping'!$E:$E,'Region Mapping'!$A:$A,W$39)&gt;0,'IPCC(2006)'!$E$85*1000/(Legend!$B$83*Legend!$B$82*Legend!$B$84),'IPCC(2006)'!$I$85*1000/(Legend!$B$83*Legend!$B$82*Legend!$B$84))</f>
        <v>0</v>
      </c>
      <c r="X110" s="209">
        <f>IF(SUMIFS('Region Mapping'!$E:$E,'Region Mapping'!$A:$A,X$39)&gt;0,'IPCC(2006)'!$E$85*1000/(Legend!$B$83*Legend!$B$82*Legend!$B$84),'IPCC(2006)'!$I$85*1000/(Legend!$B$83*Legend!$B$82*Legend!$B$84))</f>
        <v>0</v>
      </c>
      <c r="Y110" s="209">
        <f>IF(SUMIFS('Region Mapping'!$E:$E,'Region Mapping'!$A:$A,Y$39)&gt;0,'IPCC(2006)'!$E$85*1000/(Legend!$B$83*Legend!$B$82*Legend!$B$84),'IPCC(2006)'!$I$85*1000/(Legend!$B$83*Legend!$B$82*Legend!$B$84))</f>
        <v>0</v>
      </c>
      <c r="Z110" s="209">
        <f>IF(SUMIFS('Region Mapping'!$E:$E,'Region Mapping'!$A:$A,Z$39)&gt;0,'IPCC(2006)'!$E$85*1000/(Legend!$B$83*Legend!$B$82*Legend!$B$84),'IPCC(2006)'!$I$85*1000/(Legend!$B$83*Legend!$B$82*Legend!$B$84))</f>
        <v>0</v>
      </c>
      <c r="AA110" s="209">
        <f>IF(SUMIFS('Region Mapping'!$E:$E,'Region Mapping'!$A:$A,AA$39)&gt;0,'IPCC(2006)'!$E$85*1000/(Legend!$B$83*Legend!$B$82*Legend!$B$84),'IPCC(2006)'!$I$85*1000/(Legend!$B$83*Legend!$B$82*Legend!$B$84))</f>
        <v>0</v>
      </c>
      <c r="AB110" s="209">
        <f>IF(SUMIFS('Region Mapping'!$E:$E,'Region Mapping'!$A:$A,AB$39)&gt;0,'IPCC(2006)'!$E$85*1000/(Legend!$B$83*Legend!$B$82*Legend!$B$84),'IPCC(2006)'!$I$85*1000/(Legend!$B$83*Legend!$B$82*Legend!$B$84))</f>
        <v>0</v>
      </c>
      <c r="AC110" s="209">
        <f>IF(SUMIFS('Region Mapping'!$E:$E,'Region Mapping'!$A:$A,AC$39)&gt;0,'IPCC(2006)'!$E$85*1000/(Legend!$B$83*Legend!$B$82*Legend!$B$84),'IPCC(2006)'!$I$85*1000/(Legend!$B$83*Legend!$B$82*Legend!$B$84))</f>
        <v>0</v>
      </c>
      <c r="AD110" s="220">
        <f>IF(SUMIFS('Region Mapping'!$E:$E,'Region Mapping'!$A:$A,AD$39)&gt;0,'IPCC(2006)'!$E$85*1000/(Legend!$B$83*Legend!$B$82*Legend!$B$84),'IPCC(2006)'!$I$85*1000/(Legend!$B$83*Legend!$B$82*Legend!$B$84))</f>
        <v>0</v>
      </c>
    </row>
    <row r="111" spans="1:30">
      <c r="A111" s="215" t="s">
        <v>1018</v>
      </c>
      <c r="B111" t="s">
        <v>1019</v>
      </c>
      <c r="C111" s="209">
        <f>IF(SUMIFS('Region Mapping'!$E:$E,'Region Mapping'!$A:$A,C$39)&gt;0,'IPCC(2006)'!$E$87*1000/(Legend!$B$83*Legend!$B$82*Legend!$B$84),'IPCC(2006)'!$I$87*1000/(Legend!$B$83*Legend!$B$82*Legend!$B$84))</f>
        <v>1.4030583307984678E-3</v>
      </c>
      <c r="D111" s="209">
        <f>IF(SUMIFS('Region Mapping'!$E:$E,'Region Mapping'!$A:$A,D$39)&gt;0,'IPCC(2006)'!$E$87*1000/(Legend!$B$83*Legend!$B$82*Legend!$B$84),'IPCC(2006)'!$I$87*1000/(Legend!$B$83*Legend!$B$82*Legend!$B$84))</f>
        <v>1.4030583307984678E-3</v>
      </c>
      <c r="E111" s="209">
        <f>IF(SUMIFS('Region Mapping'!$E:$E,'Region Mapping'!$A:$A,E$39)&gt;0,'IPCC(2006)'!$E$87*1000/(Legend!$B$83*Legend!$B$82*Legend!$B$84),'IPCC(2006)'!$I$87*1000/(Legend!$B$83*Legend!$B$82*Legend!$B$84))</f>
        <v>1.4030583307984678E-3</v>
      </c>
      <c r="F111" s="209">
        <f>IF(SUMIFS('Region Mapping'!$E:$E,'Region Mapping'!$A:$A,F$39)&gt;0,'IPCC(2006)'!$E$87*1000/(Legend!$B$83*Legend!$B$82*Legend!$B$84),'IPCC(2006)'!$I$87*1000/(Legend!$B$83*Legend!$B$82*Legend!$B$84))</f>
        <v>1.4030583307984678E-3</v>
      </c>
      <c r="G111" s="209">
        <f>IF(SUMIFS('Region Mapping'!$E:$E,'Region Mapping'!$A:$A,G$39)&gt;0,'IPCC(2006)'!$E$87*1000/(Legend!$B$83*Legend!$B$82*Legend!$B$84),'IPCC(2006)'!$I$87*1000/(Legend!$B$83*Legend!$B$82*Legend!$B$84))</f>
        <v>1.4030583307984678E-3</v>
      </c>
      <c r="H111" s="209">
        <f>IF(SUMIFS('Region Mapping'!$E:$E,'Region Mapping'!$A:$A,H$39)&gt;0,'IPCC(2006)'!$E$87*1000/(Legend!$B$83*Legend!$B$82*Legend!$B$84),'IPCC(2006)'!$I$87*1000/(Legend!$B$83*Legend!$B$82*Legend!$B$84))</f>
        <v>1.4030583307984678E-3</v>
      </c>
      <c r="I111" s="209">
        <f>IF(SUMIFS('Region Mapping'!$E:$E,'Region Mapping'!$A:$A,I$39)&gt;0,'IPCC(2006)'!$E$87*1000/(Legend!$B$83*Legend!$B$82*Legend!$B$84),'IPCC(2006)'!$I$87*1000/(Legend!$B$83*Legend!$B$82*Legend!$B$84))</f>
        <v>1.4030583307984678E-3</v>
      </c>
      <c r="J111" s="209">
        <f>IF(SUMIFS('Region Mapping'!$E:$E,'Region Mapping'!$A:$A,J$39)&gt;0,'IPCC(2006)'!$E$87*1000/(Legend!$B$83*Legend!$B$82*Legend!$B$84),'IPCC(2006)'!$I$87*1000/(Legend!$B$83*Legend!$B$82*Legend!$B$84))</f>
        <v>1.4030583307984678E-3</v>
      </c>
      <c r="K111" s="209">
        <f>IF(SUMIFS('Region Mapping'!$E:$E,'Region Mapping'!$A:$A,K$39)&gt;0,'IPCC(2006)'!$E$87*1000/(Legend!$B$83*Legend!$B$82*Legend!$B$84),'IPCC(2006)'!$I$87*1000/(Legend!$B$83*Legend!$B$82*Legend!$B$84))</f>
        <v>1.4030583307984678E-3</v>
      </c>
      <c r="L111" s="209">
        <f>IF(SUMIFS('Region Mapping'!$E:$E,'Region Mapping'!$A:$A,L$39)&gt;0,'IPCC(2006)'!$E$87*1000/(Legend!$B$83*Legend!$B$82*Legend!$B$84),'IPCC(2006)'!$I$87*1000/(Legend!$B$83*Legend!$B$82*Legend!$B$84))</f>
        <v>1.4030583307984678E-3</v>
      </c>
      <c r="M111" s="209">
        <f>IF(SUMIFS('Region Mapping'!$E:$E,'Region Mapping'!$A:$A,M$39)&gt;0,'IPCC(2006)'!$E$87*1000/(Legend!$B$83*Legend!$B$82*Legend!$B$84),'IPCC(2006)'!$I$87*1000/(Legend!$B$83*Legend!$B$82*Legend!$B$84))</f>
        <v>1.4030583307984678E-3</v>
      </c>
      <c r="N111" s="209">
        <f>IF(SUMIFS('Region Mapping'!$E:$E,'Region Mapping'!$A:$A,N$39)&gt;0,'IPCC(2006)'!$E$87*1000/(Legend!$B$83*Legend!$B$82*Legend!$B$84),'IPCC(2006)'!$I$87*1000/(Legend!$B$83*Legend!$B$82*Legend!$B$84))</f>
        <v>1.4030583307984678E-3</v>
      </c>
      <c r="O111" s="209">
        <f>IF(SUMIFS('Region Mapping'!$E:$E,'Region Mapping'!$A:$A,O$39)&gt;0,'IPCC(2006)'!$E$87*1000/(Legend!$B$83*Legend!$B$82*Legend!$B$84),'IPCC(2006)'!$I$87*1000/(Legend!$B$83*Legend!$B$82*Legend!$B$84))</f>
        <v>1.4030583307984678E-3</v>
      </c>
      <c r="P111" s="209">
        <f>IF(SUMIFS('Region Mapping'!$E:$E,'Region Mapping'!$A:$A,P$39)&gt;0,'IPCC(2006)'!$E$87*1000/(Legend!$B$83*Legend!$B$82*Legend!$B$84),'IPCC(2006)'!$I$87*1000/(Legend!$B$83*Legend!$B$82*Legend!$B$84))</f>
        <v>1.4030583307984678E-3</v>
      </c>
      <c r="Q111" s="209">
        <f>IF(SUMIFS('Region Mapping'!$E:$E,'Region Mapping'!$A:$A,Q$39)&gt;0,'IPCC(2006)'!$E$87*1000/(Legend!$B$83*Legend!$B$82*Legend!$B$84),'IPCC(2006)'!$I$87*1000/(Legend!$B$83*Legend!$B$82*Legend!$B$84))</f>
        <v>1.4030583307984678E-3</v>
      </c>
      <c r="R111" s="209">
        <f>IF(SUMIFS('Region Mapping'!$E:$E,'Region Mapping'!$A:$A,R$39)&gt;0,'IPCC(2006)'!$E$87*1000/(Legend!$B$83*Legend!$B$82*Legend!$B$84),'IPCC(2006)'!$I$87*1000/(Legend!$B$83*Legend!$B$82*Legend!$B$84))</f>
        <v>1.4030583307984678E-3</v>
      </c>
      <c r="S111" s="209">
        <f>IF(SUMIFS('Region Mapping'!$E:$E,'Region Mapping'!$A:$A,S$39)&gt;0,'IPCC(2006)'!$E$87*1000/(Legend!$B$83*Legend!$B$82*Legend!$B$84),'IPCC(2006)'!$I$87*1000/(Legend!$B$83*Legend!$B$82*Legend!$B$84))</f>
        <v>1.4030583307984678E-3</v>
      </c>
      <c r="T111" s="209">
        <f>IF(SUMIFS('Region Mapping'!$E:$E,'Region Mapping'!$A:$A,T$39)&gt;0,'IPCC(2006)'!$E$87*1000/(Legend!$B$83*Legend!$B$82*Legend!$B$84),'IPCC(2006)'!$I$87*1000/(Legend!$B$83*Legend!$B$82*Legend!$B$84))</f>
        <v>1.4030583307984678E-3</v>
      </c>
      <c r="U111" s="209">
        <f>IF(SUMIFS('Region Mapping'!$E:$E,'Region Mapping'!$A:$A,U$39)&gt;0,'IPCC(2006)'!$E$87*1000/(Legend!$B$83*Legend!$B$82*Legend!$B$84),'IPCC(2006)'!$I$87*1000/(Legend!$B$83*Legend!$B$82*Legend!$B$84))</f>
        <v>1.4030583307984678E-3</v>
      </c>
      <c r="V111" s="209">
        <f>IF(SUMIFS('Region Mapping'!$E:$E,'Region Mapping'!$A:$A,V$39)&gt;0,'IPCC(2006)'!$E$87*1000/(Legend!$B$83*Legend!$B$82*Legend!$B$84),'IPCC(2006)'!$I$87*1000/(Legend!$B$83*Legend!$B$82*Legend!$B$84))</f>
        <v>1.4030583307984678E-3</v>
      </c>
      <c r="W111" s="209">
        <f>IF(SUMIFS('Region Mapping'!$E:$E,'Region Mapping'!$A:$A,W$39)&gt;0,'IPCC(2006)'!$E$87*1000/(Legend!$B$83*Legend!$B$82*Legend!$B$84),'IPCC(2006)'!$I$87*1000/(Legend!$B$83*Legend!$B$82*Legend!$B$84))</f>
        <v>1.4030583307984678E-3</v>
      </c>
      <c r="X111" s="209">
        <f>IF(SUMIFS('Region Mapping'!$E:$E,'Region Mapping'!$A:$A,X$39)&gt;0,'IPCC(2006)'!$E$87*1000/(Legend!$B$83*Legend!$B$82*Legend!$B$84),'IPCC(2006)'!$I$87*1000/(Legend!$B$83*Legend!$B$82*Legend!$B$84))</f>
        <v>1.4030583307984678E-3</v>
      </c>
      <c r="Y111" s="209">
        <f>IF(SUMIFS('Region Mapping'!$E:$E,'Region Mapping'!$A:$A,Y$39)&gt;0,'IPCC(2006)'!$E$87*1000/(Legend!$B$83*Legend!$B$82*Legend!$B$84),'IPCC(2006)'!$I$87*1000/(Legend!$B$83*Legend!$B$82*Legend!$B$84))</f>
        <v>1.4030583307984678E-3</v>
      </c>
      <c r="Z111" s="209">
        <f>IF(SUMIFS('Region Mapping'!$E:$E,'Region Mapping'!$A:$A,Z$39)&gt;0,'IPCC(2006)'!$E$87*1000/(Legend!$B$83*Legend!$B$82*Legend!$B$84),'IPCC(2006)'!$I$87*1000/(Legend!$B$83*Legend!$B$82*Legend!$B$84))</f>
        <v>1.4030583307984678E-3</v>
      </c>
      <c r="AA111" s="209">
        <f>IF(SUMIFS('Region Mapping'!$E:$E,'Region Mapping'!$A:$A,AA$39)&gt;0,'IPCC(2006)'!$E$87*1000/(Legend!$B$83*Legend!$B$82*Legend!$B$84),'IPCC(2006)'!$I$87*1000/(Legend!$B$83*Legend!$B$82*Legend!$B$84))</f>
        <v>1.4030583307984678E-3</v>
      </c>
      <c r="AB111" s="209">
        <f>IF(SUMIFS('Region Mapping'!$E:$E,'Region Mapping'!$A:$A,AB$39)&gt;0,'IPCC(2006)'!$E$87*1000/(Legend!$B$83*Legend!$B$82*Legend!$B$84),'IPCC(2006)'!$I$87*1000/(Legend!$B$83*Legend!$B$82*Legend!$B$84))</f>
        <v>1.4030583307984678E-3</v>
      </c>
      <c r="AC111" s="209">
        <f>IF(SUMIFS('Region Mapping'!$E:$E,'Region Mapping'!$A:$A,AC$39)&gt;0,'IPCC(2006)'!$E$87*1000/(Legend!$B$83*Legend!$B$82*Legend!$B$84),'IPCC(2006)'!$I$87*1000/(Legend!$B$83*Legend!$B$82*Legend!$B$84))</f>
        <v>1.4030583307984678E-3</v>
      </c>
      <c r="AD111" s="220">
        <f>IF(SUMIFS('Region Mapping'!$E:$E,'Region Mapping'!$A:$A,AD$39)&gt;0,'IPCC(2006)'!$E$87*1000/(Legend!$B$83*Legend!$B$82*Legend!$B$84),'IPCC(2006)'!$I$87*1000/(Legend!$B$83*Legend!$B$82*Legend!$B$84))</f>
        <v>1.4030583307984678E-3</v>
      </c>
    </row>
    <row r="112" spans="1:30">
      <c r="A112" s="215" t="s">
        <v>1020</v>
      </c>
      <c r="B112" t="s">
        <v>1021</v>
      </c>
      <c r="C112" s="209">
        <f>IF(SUMIFS('Region Mapping'!$E:$E,'Region Mapping'!$A:$A,C$39)&gt;0,'IPCC(2006)'!$E$88*1000/(Legend!$B$83*Legend!$B$82*Legend!$B$84),'IPCC(2006)'!$I$88*1000/(Legend!$B$83*Legend!$B$82*Legend!$B$84))</f>
        <v>6.4956404203632759E-3</v>
      </c>
      <c r="D112" s="209">
        <f>IF(SUMIFS('Region Mapping'!$E:$E,'Region Mapping'!$A:$A,D$39)&gt;0,'IPCC(2006)'!$E$88*1000/(Legend!$B$83*Legend!$B$82*Legend!$B$84),'IPCC(2006)'!$I$88*1000/(Legend!$B$83*Legend!$B$82*Legend!$B$84))</f>
        <v>6.4956404203632759E-3</v>
      </c>
      <c r="E112" s="209">
        <f>IF(SUMIFS('Region Mapping'!$E:$E,'Region Mapping'!$A:$A,E$39)&gt;0,'IPCC(2006)'!$E$88*1000/(Legend!$B$83*Legend!$B$82*Legend!$B$84),'IPCC(2006)'!$I$88*1000/(Legend!$B$83*Legend!$B$82*Legend!$B$84))</f>
        <v>6.4956404203632759E-3</v>
      </c>
      <c r="F112" s="209">
        <f>IF(SUMIFS('Region Mapping'!$E:$E,'Region Mapping'!$A:$A,F$39)&gt;0,'IPCC(2006)'!$E$88*1000/(Legend!$B$83*Legend!$B$82*Legend!$B$84),'IPCC(2006)'!$I$88*1000/(Legend!$B$83*Legend!$B$82*Legend!$B$84))</f>
        <v>6.4956404203632759E-3</v>
      </c>
      <c r="G112" s="209">
        <f>IF(SUMIFS('Region Mapping'!$E:$E,'Region Mapping'!$A:$A,G$39)&gt;0,'IPCC(2006)'!$E$88*1000/(Legend!$B$83*Legend!$B$82*Legend!$B$84),'IPCC(2006)'!$I$88*1000/(Legend!$B$83*Legend!$B$82*Legend!$B$84))</f>
        <v>6.4956404203632759E-3</v>
      </c>
      <c r="H112" s="209">
        <f>IF(SUMIFS('Region Mapping'!$E:$E,'Region Mapping'!$A:$A,H$39)&gt;0,'IPCC(2006)'!$E$88*1000/(Legend!$B$83*Legend!$B$82*Legend!$B$84),'IPCC(2006)'!$I$88*1000/(Legend!$B$83*Legend!$B$82*Legend!$B$84))</f>
        <v>6.4956404203632759E-3</v>
      </c>
      <c r="I112" s="209">
        <f>IF(SUMIFS('Region Mapping'!$E:$E,'Region Mapping'!$A:$A,I$39)&gt;0,'IPCC(2006)'!$E$88*1000/(Legend!$B$83*Legend!$B$82*Legend!$B$84),'IPCC(2006)'!$I$88*1000/(Legend!$B$83*Legend!$B$82*Legend!$B$84))</f>
        <v>6.4956404203632759E-3</v>
      </c>
      <c r="J112" s="209">
        <f>IF(SUMIFS('Region Mapping'!$E:$E,'Region Mapping'!$A:$A,J$39)&gt;0,'IPCC(2006)'!$E$88*1000/(Legend!$B$83*Legend!$B$82*Legend!$B$84),'IPCC(2006)'!$I$88*1000/(Legend!$B$83*Legend!$B$82*Legend!$B$84))</f>
        <v>6.4956404203632759E-3</v>
      </c>
      <c r="K112" s="209">
        <f>IF(SUMIFS('Region Mapping'!$E:$E,'Region Mapping'!$A:$A,K$39)&gt;0,'IPCC(2006)'!$E$88*1000/(Legend!$B$83*Legend!$B$82*Legend!$B$84),'IPCC(2006)'!$I$88*1000/(Legend!$B$83*Legend!$B$82*Legend!$B$84))</f>
        <v>6.4956404203632759E-3</v>
      </c>
      <c r="L112" s="209">
        <f>IF(SUMIFS('Region Mapping'!$E:$E,'Region Mapping'!$A:$A,L$39)&gt;0,'IPCC(2006)'!$E$88*1000/(Legend!$B$83*Legend!$B$82*Legend!$B$84),'IPCC(2006)'!$I$88*1000/(Legend!$B$83*Legend!$B$82*Legend!$B$84))</f>
        <v>6.4956404203632759E-3</v>
      </c>
      <c r="M112" s="209">
        <f>IF(SUMIFS('Region Mapping'!$E:$E,'Region Mapping'!$A:$A,M$39)&gt;0,'IPCC(2006)'!$E$88*1000/(Legend!$B$83*Legend!$B$82*Legend!$B$84),'IPCC(2006)'!$I$88*1000/(Legend!$B$83*Legend!$B$82*Legend!$B$84))</f>
        <v>6.4956404203632759E-3</v>
      </c>
      <c r="N112" s="209">
        <f>IF(SUMIFS('Region Mapping'!$E:$E,'Region Mapping'!$A:$A,N$39)&gt;0,'IPCC(2006)'!$E$88*1000/(Legend!$B$83*Legend!$B$82*Legend!$B$84),'IPCC(2006)'!$I$88*1000/(Legend!$B$83*Legend!$B$82*Legend!$B$84))</f>
        <v>6.4956404203632759E-3</v>
      </c>
      <c r="O112" s="209">
        <f>IF(SUMIFS('Region Mapping'!$E:$E,'Region Mapping'!$A:$A,O$39)&gt;0,'IPCC(2006)'!$E$88*1000/(Legend!$B$83*Legend!$B$82*Legend!$B$84),'IPCC(2006)'!$I$88*1000/(Legend!$B$83*Legend!$B$82*Legend!$B$84))</f>
        <v>6.4956404203632759E-3</v>
      </c>
      <c r="P112" s="209">
        <f>IF(SUMIFS('Region Mapping'!$E:$E,'Region Mapping'!$A:$A,P$39)&gt;0,'IPCC(2006)'!$E$88*1000/(Legend!$B$83*Legend!$B$82*Legend!$B$84),'IPCC(2006)'!$I$88*1000/(Legend!$B$83*Legend!$B$82*Legend!$B$84))</f>
        <v>6.4956404203632759E-3</v>
      </c>
      <c r="Q112" s="209">
        <f>IF(SUMIFS('Region Mapping'!$E:$E,'Region Mapping'!$A:$A,Q$39)&gt;0,'IPCC(2006)'!$E$88*1000/(Legend!$B$83*Legend!$B$82*Legend!$B$84),'IPCC(2006)'!$I$88*1000/(Legend!$B$83*Legend!$B$82*Legend!$B$84))</f>
        <v>6.4956404203632759E-3</v>
      </c>
      <c r="R112" s="209">
        <f>IF(SUMIFS('Region Mapping'!$E:$E,'Region Mapping'!$A:$A,R$39)&gt;0,'IPCC(2006)'!$E$88*1000/(Legend!$B$83*Legend!$B$82*Legend!$B$84),'IPCC(2006)'!$I$88*1000/(Legend!$B$83*Legend!$B$82*Legend!$B$84))</f>
        <v>6.4956404203632759E-3</v>
      </c>
      <c r="S112" s="209">
        <f>IF(SUMIFS('Region Mapping'!$E:$E,'Region Mapping'!$A:$A,S$39)&gt;0,'IPCC(2006)'!$E$88*1000/(Legend!$B$83*Legend!$B$82*Legend!$B$84),'IPCC(2006)'!$I$88*1000/(Legend!$B$83*Legend!$B$82*Legend!$B$84))</f>
        <v>6.4956404203632759E-3</v>
      </c>
      <c r="T112" s="209">
        <f>IF(SUMIFS('Region Mapping'!$E:$E,'Region Mapping'!$A:$A,T$39)&gt;0,'IPCC(2006)'!$E$88*1000/(Legend!$B$83*Legend!$B$82*Legend!$B$84),'IPCC(2006)'!$I$88*1000/(Legend!$B$83*Legend!$B$82*Legend!$B$84))</f>
        <v>6.4956404203632759E-3</v>
      </c>
      <c r="U112" s="209">
        <f>IF(SUMIFS('Region Mapping'!$E:$E,'Region Mapping'!$A:$A,U$39)&gt;0,'IPCC(2006)'!$E$88*1000/(Legend!$B$83*Legend!$B$82*Legend!$B$84),'IPCC(2006)'!$I$88*1000/(Legend!$B$83*Legend!$B$82*Legend!$B$84))</f>
        <v>6.4956404203632759E-3</v>
      </c>
      <c r="V112" s="209">
        <f>IF(SUMIFS('Region Mapping'!$E:$E,'Region Mapping'!$A:$A,V$39)&gt;0,'IPCC(2006)'!$E$88*1000/(Legend!$B$83*Legend!$B$82*Legend!$B$84),'IPCC(2006)'!$I$88*1000/(Legend!$B$83*Legend!$B$82*Legend!$B$84))</f>
        <v>6.4956404203632759E-3</v>
      </c>
      <c r="W112" s="209">
        <f>IF(SUMIFS('Region Mapping'!$E:$E,'Region Mapping'!$A:$A,W$39)&gt;0,'IPCC(2006)'!$E$88*1000/(Legend!$B$83*Legend!$B$82*Legend!$B$84),'IPCC(2006)'!$I$88*1000/(Legend!$B$83*Legend!$B$82*Legend!$B$84))</f>
        <v>6.4956404203632759E-3</v>
      </c>
      <c r="X112" s="209">
        <f>IF(SUMIFS('Region Mapping'!$E:$E,'Region Mapping'!$A:$A,X$39)&gt;0,'IPCC(2006)'!$E$88*1000/(Legend!$B$83*Legend!$B$82*Legend!$B$84),'IPCC(2006)'!$I$88*1000/(Legend!$B$83*Legend!$B$82*Legend!$B$84))</f>
        <v>6.4956404203632759E-3</v>
      </c>
      <c r="Y112" s="209">
        <f>IF(SUMIFS('Region Mapping'!$E:$E,'Region Mapping'!$A:$A,Y$39)&gt;0,'IPCC(2006)'!$E$88*1000/(Legend!$B$83*Legend!$B$82*Legend!$B$84),'IPCC(2006)'!$I$88*1000/(Legend!$B$83*Legend!$B$82*Legend!$B$84))</f>
        <v>6.4956404203632759E-3</v>
      </c>
      <c r="Z112" s="209">
        <f>IF(SUMIFS('Region Mapping'!$E:$E,'Region Mapping'!$A:$A,Z$39)&gt;0,'IPCC(2006)'!$E$88*1000/(Legend!$B$83*Legend!$B$82*Legend!$B$84),'IPCC(2006)'!$I$88*1000/(Legend!$B$83*Legend!$B$82*Legend!$B$84))</f>
        <v>6.4956404203632759E-3</v>
      </c>
      <c r="AA112" s="209">
        <f>IF(SUMIFS('Region Mapping'!$E:$E,'Region Mapping'!$A:$A,AA$39)&gt;0,'IPCC(2006)'!$E$88*1000/(Legend!$B$83*Legend!$B$82*Legend!$B$84),'IPCC(2006)'!$I$88*1000/(Legend!$B$83*Legend!$B$82*Legend!$B$84))</f>
        <v>6.4956404203632759E-3</v>
      </c>
      <c r="AB112" s="209">
        <f>IF(SUMIFS('Region Mapping'!$E:$E,'Region Mapping'!$A:$A,AB$39)&gt;0,'IPCC(2006)'!$E$88*1000/(Legend!$B$83*Legend!$B$82*Legend!$B$84),'IPCC(2006)'!$I$88*1000/(Legend!$B$83*Legend!$B$82*Legend!$B$84))</f>
        <v>6.4956404203632759E-3</v>
      </c>
      <c r="AC112" s="209">
        <f>IF(SUMIFS('Region Mapping'!$E:$E,'Region Mapping'!$A:$A,AC$39)&gt;0,'IPCC(2006)'!$E$88*1000/(Legend!$B$83*Legend!$B$82*Legend!$B$84),'IPCC(2006)'!$I$88*1000/(Legend!$B$83*Legend!$B$82*Legend!$B$84))</f>
        <v>6.4956404203632759E-3</v>
      </c>
      <c r="AD112" s="220">
        <f>IF(SUMIFS('Region Mapping'!$E:$E,'Region Mapping'!$A:$A,AD$39)&gt;0,'IPCC(2006)'!$E$88*1000/(Legend!$B$83*Legend!$B$82*Legend!$B$84),'IPCC(2006)'!$I$88*1000/(Legend!$B$83*Legend!$B$82*Legend!$B$84))</f>
        <v>6.4956404203632759E-3</v>
      </c>
    </row>
    <row r="113" spans="1:30">
      <c r="A113" s="215" t="s">
        <v>1022</v>
      </c>
      <c r="B113" t="s">
        <v>1021</v>
      </c>
      <c r="C113" s="209">
        <f>IF(SUMIFS('Region Mapping'!$E:$E,'Region Mapping'!$A:$A,C$39)&gt;0,'IPCC(2006)'!$E$89*1000/(Legend!$B$83*Legend!$B$82*Legend!$B$84),'IPCC(2006)'!$I$89*1000/(Legend!$B$83*Legend!$B$82*Legend!$B$84))</f>
        <v>0</v>
      </c>
      <c r="D113" s="209">
        <f>IF(SUMIFS('Region Mapping'!$E:$E,'Region Mapping'!$A:$A,D$39)&gt;0,'IPCC(2006)'!$E$89*1000/(Legend!$B$83*Legend!$B$82*Legend!$B$84),'IPCC(2006)'!$I$89*1000/(Legend!$B$83*Legend!$B$82*Legend!$B$84))</f>
        <v>0</v>
      </c>
      <c r="E113" s="209">
        <f>IF(SUMIFS('Region Mapping'!$E:$E,'Region Mapping'!$A:$A,E$39)&gt;0,'IPCC(2006)'!$E$89*1000/(Legend!$B$83*Legend!$B$82*Legend!$B$84),'IPCC(2006)'!$I$89*1000/(Legend!$B$83*Legend!$B$82*Legend!$B$84))</f>
        <v>0</v>
      </c>
      <c r="F113" s="209">
        <f>IF(SUMIFS('Region Mapping'!$E:$E,'Region Mapping'!$A:$A,F$39)&gt;0,'IPCC(2006)'!$E$89*1000/(Legend!$B$83*Legend!$B$82*Legend!$B$84),'IPCC(2006)'!$I$89*1000/(Legend!$B$83*Legend!$B$82*Legend!$B$84))</f>
        <v>0</v>
      </c>
      <c r="G113" s="209">
        <f>IF(SUMIFS('Region Mapping'!$E:$E,'Region Mapping'!$A:$A,G$39)&gt;0,'IPCC(2006)'!$E$89*1000/(Legend!$B$83*Legend!$B$82*Legend!$B$84),'IPCC(2006)'!$I$89*1000/(Legend!$B$83*Legend!$B$82*Legend!$B$84))</f>
        <v>0</v>
      </c>
      <c r="H113" s="209">
        <f>IF(SUMIFS('Region Mapping'!$E:$E,'Region Mapping'!$A:$A,H$39)&gt;0,'IPCC(2006)'!$E$89*1000/(Legend!$B$83*Legend!$B$82*Legend!$B$84),'IPCC(2006)'!$I$89*1000/(Legend!$B$83*Legend!$B$82*Legend!$B$84))</f>
        <v>0</v>
      </c>
      <c r="I113" s="209">
        <f>IF(SUMIFS('Region Mapping'!$E:$E,'Region Mapping'!$A:$A,I$39)&gt;0,'IPCC(2006)'!$E$89*1000/(Legend!$B$83*Legend!$B$82*Legend!$B$84),'IPCC(2006)'!$I$89*1000/(Legend!$B$83*Legend!$B$82*Legend!$B$84))</f>
        <v>0</v>
      </c>
      <c r="J113" s="209">
        <f>IF(SUMIFS('Region Mapping'!$E:$E,'Region Mapping'!$A:$A,J$39)&gt;0,'IPCC(2006)'!$E$89*1000/(Legend!$B$83*Legend!$B$82*Legend!$B$84),'IPCC(2006)'!$I$89*1000/(Legend!$B$83*Legend!$B$82*Legend!$B$84))</f>
        <v>0</v>
      </c>
      <c r="K113" s="209">
        <f>IF(SUMIFS('Region Mapping'!$E:$E,'Region Mapping'!$A:$A,K$39)&gt;0,'IPCC(2006)'!$E$89*1000/(Legend!$B$83*Legend!$B$82*Legend!$B$84),'IPCC(2006)'!$I$89*1000/(Legend!$B$83*Legend!$B$82*Legend!$B$84))</f>
        <v>0</v>
      </c>
      <c r="L113" s="209">
        <f>IF(SUMIFS('Region Mapping'!$E:$E,'Region Mapping'!$A:$A,L$39)&gt;0,'IPCC(2006)'!$E$89*1000/(Legend!$B$83*Legend!$B$82*Legend!$B$84),'IPCC(2006)'!$I$89*1000/(Legend!$B$83*Legend!$B$82*Legend!$B$84))</f>
        <v>0</v>
      </c>
      <c r="M113" s="209">
        <f>IF(SUMIFS('Region Mapping'!$E:$E,'Region Mapping'!$A:$A,M$39)&gt;0,'IPCC(2006)'!$E$89*1000/(Legend!$B$83*Legend!$B$82*Legend!$B$84),'IPCC(2006)'!$I$89*1000/(Legend!$B$83*Legend!$B$82*Legend!$B$84))</f>
        <v>0</v>
      </c>
      <c r="N113" s="209">
        <f>IF(SUMIFS('Region Mapping'!$E:$E,'Region Mapping'!$A:$A,N$39)&gt;0,'IPCC(2006)'!$E$89*1000/(Legend!$B$83*Legend!$B$82*Legend!$B$84),'IPCC(2006)'!$I$89*1000/(Legend!$B$83*Legend!$B$82*Legend!$B$84))</f>
        <v>0</v>
      </c>
      <c r="O113" s="209">
        <f>IF(SUMIFS('Region Mapping'!$E:$E,'Region Mapping'!$A:$A,O$39)&gt;0,'IPCC(2006)'!$E$89*1000/(Legend!$B$83*Legend!$B$82*Legend!$B$84),'IPCC(2006)'!$I$89*1000/(Legend!$B$83*Legend!$B$82*Legend!$B$84))</f>
        <v>0</v>
      </c>
      <c r="P113" s="209">
        <f>IF(SUMIFS('Region Mapping'!$E:$E,'Region Mapping'!$A:$A,P$39)&gt;0,'IPCC(2006)'!$E$89*1000/(Legend!$B$83*Legend!$B$82*Legend!$B$84),'IPCC(2006)'!$I$89*1000/(Legend!$B$83*Legend!$B$82*Legend!$B$84))</f>
        <v>0</v>
      </c>
      <c r="Q113" s="209">
        <f>IF(SUMIFS('Region Mapping'!$E:$E,'Region Mapping'!$A:$A,Q$39)&gt;0,'IPCC(2006)'!$E$89*1000/(Legend!$B$83*Legend!$B$82*Legend!$B$84),'IPCC(2006)'!$I$89*1000/(Legend!$B$83*Legend!$B$82*Legend!$B$84))</f>
        <v>0</v>
      </c>
      <c r="R113" s="209">
        <f>IF(SUMIFS('Region Mapping'!$E:$E,'Region Mapping'!$A:$A,R$39)&gt;0,'IPCC(2006)'!$E$89*1000/(Legend!$B$83*Legend!$B$82*Legend!$B$84),'IPCC(2006)'!$I$89*1000/(Legend!$B$83*Legend!$B$82*Legend!$B$84))</f>
        <v>0</v>
      </c>
      <c r="S113" s="209">
        <f>IF(SUMIFS('Region Mapping'!$E:$E,'Region Mapping'!$A:$A,S$39)&gt;0,'IPCC(2006)'!$E$89*1000/(Legend!$B$83*Legend!$B$82*Legend!$B$84),'IPCC(2006)'!$I$89*1000/(Legend!$B$83*Legend!$B$82*Legend!$B$84))</f>
        <v>0</v>
      </c>
      <c r="T113" s="209">
        <f>IF(SUMIFS('Region Mapping'!$E:$E,'Region Mapping'!$A:$A,T$39)&gt;0,'IPCC(2006)'!$E$89*1000/(Legend!$B$83*Legend!$B$82*Legend!$B$84),'IPCC(2006)'!$I$89*1000/(Legend!$B$83*Legend!$B$82*Legend!$B$84))</f>
        <v>0</v>
      </c>
      <c r="U113" s="209">
        <f>IF(SUMIFS('Region Mapping'!$E:$E,'Region Mapping'!$A:$A,U$39)&gt;0,'IPCC(2006)'!$E$89*1000/(Legend!$B$83*Legend!$B$82*Legend!$B$84),'IPCC(2006)'!$I$89*1000/(Legend!$B$83*Legend!$B$82*Legend!$B$84))</f>
        <v>0</v>
      </c>
      <c r="V113" s="209">
        <f>IF(SUMIFS('Region Mapping'!$E:$E,'Region Mapping'!$A:$A,V$39)&gt;0,'IPCC(2006)'!$E$89*1000/(Legend!$B$83*Legend!$B$82*Legend!$B$84),'IPCC(2006)'!$I$89*1000/(Legend!$B$83*Legend!$B$82*Legend!$B$84))</f>
        <v>0</v>
      </c>
      <c r="W113" s="209">
        <f>IF(SUMIFS('Region Mapping'!$E:$E,'Region Mapping'!$A:$A,W$39)&gt;0,'IPCC(2006)'!$E$89*1000/(Legend!$B$83*Legend!$B$82*Legend!$B$84),'IPCC(2006)'!$I$89*1000/(Legend!$B$83*Legend!$B$82*Legend!$B$84))</f>
        <v>0</v>
      </c>
      <c r="X113" s="209">
        <f>IF(SUMIFS('Region Mapping'!$E:$E,'Region Mapping'!$A:$A,X$39)&gt;0,'IPCC(2006)'!$E$89*1000/(Legend!$B$83*Legend!$B$82*Legend!$B$84),'IPCC(2006)'!$I$89*1000/(Legend!$B$83*Legend!$B$82*Legend!$B$84))</f>
        <v>0</v>
      </c>
      <c r="Y113" s="209">
        <f>IF(SUMIFS('Region Mapping'!$E:$E,'Region Mapping'!$A:$A,Y$39)&gt;0,'IPCC(2006)'!$E$89*1000/(Legend!$B$83*Legend!$B$82*Legend!$B$84),'IPCC(2006)'!$I$89*1000/(Legend!$B$83*Legend!$B$82*Legend!$B$84))</f>
        <v>0</v>
      </c>
      <c r="Z113" s="209">
        <f>IF(SUMIFS('Region Mapping'!$E:$E,'Region Mapping'!$A:$A,Z$39)&gt;0,'IPCC(2006)'!$E$89*1000/(Legend!$B$83*Legend!$B$82*Legend!$B$84),'IPCC(2006)'!$I$89*1000/(Legend!$B$83*Legend!$B$82*Legend!$B$84))</f>
        <v>0</v>
      </c>
      <c r="AA113" s="209">
        <f>IF(SUMIFS('Region Mapping'!$E:$E,'Region Mapping'!$A:$A,AA$39)&gt;0,'IPCC(2006)'!$E$89*1000/(Legend!$B$83*Legend!$B$82*Legend!$B$84),'IPCC(2006)'!$I$89*1000/(Legend!$B$83*Legend!$B$82*Legend!$B$84))</f>
        <v>0</v>
      </c>
      <c r="AB113" s="209">
        <f>IF(SUMIFS('Region Mapping'!$E:$E,'Region Mapping'!$A:$A,AB$39)&gt;0,'IPCC(2006)'!$E$89*1000/(Legend!$B$83*Legend!$B$82*Legend!$B$84),'IPCC(2006)'!$I$89*1000/(Legend!$B$83*Legend!$B$82*Legend!$B$84))</f>
        <v>0</v>
      </c>
      <c r="AC113" s="209">
        <f>IF(SUMIFS('Region Mapping'!$E:$E,'Region Mapping'!$A:$A,AC$39)&gt;0,'IPCC(2006)'!$E$89*1000/(Legend!$B$83*Legend!$B$82*Legend!$B$84),'IPCC(2006)'!$I$89*1000/(Legend!$B$83*Legend!$B$82*Legend!$B$84))</f>
        <v>0</v>
      </c>
      <c r="AD113" s="220">
        <f>IF(SUMIFS('Region Mapping'!$E:$E,'Region Mapping'!$A:$A,AD$39)&gt;0,'IPCC(2006)'!$E$89*1000/(Legend!$B$83*Legend!$B$82*Legend!$B$84),'IPCC(2006)'!$I$89*1000/(Legend!$B$83*Legend!$B$82*Legend!$B$84))</f>
        <v>0</v>
      </c>
    </row>
    <row r="114" spans="1:30">
      <c r="A114" s="215" t="s">
        <v>1023</v>
      </c>
      <c r="B114" t="s">
        <v>1024</v>
      </c>
      <c r="C114" s="209">
        <f>IF(SUMIFS('Region Mapping'!$E:$E,'Region Mapping'!$A:$A,C$39)&gt;0,'IPCC(2006)'!$E$90*1000/(Legend!$B$83*Legend!$B$82*Legend!$B$84),'IPCC(2006)'!$I$90*1000/(Legend!$B$83*Legend!$B$82*Legend!$B$84))</f>
        <v>0</v>
      </c>
      <c r="D114" s="209">
        <f>IF(SUMIFS('Region Mapping'!$E:$E,'Region Mapping'!$A:$A,D$39)&gt;0,'IPCC(2006)'!$E$90*1000/(Legend!$B$83*Legend!$B$82*Legend!$B$84),'IPCC(2006)'!$I$90*1000/(Legend!$B$83*Legend!$B$82*Legend!$B$84))</f>
        <v>0</v>
      </c>
      <c r="E114" s="209">
        <f>IF(SUMIFS('Region Mapping'!$E:$E,'Region Mapping'!$A:$A,E$39)&gt;0,'IPCC(2006)'!$E$90*1000/(Legend!$B$83*Legend!$B$82*Legend!$B$84),'IPCC(2006)'!$I$90*1000/(Legend!$B$83*Legend!$B$82*Legend!$B$84))</f>
        <v>0</v>
      </c>
      <c r="F114" s="209">
        <f>IF(SUMIFS('Region Mapping'!$E:$E,'Region Mapping'!$A:$A,F$39)&gt;0,'IPCC(2006)'!$E$90*1000/(Legend!$B$83*Legend!$B$82*Legend!$B$84),'IPCC(2006)'!$I$90*1000/(Legend!$B$83*Legend!$B$82*Legend!$B$84))</f>
        <v>0</v>
      </c>
      <c r="G114" s="209">
        <f>IF(SUMIFS('Region Mapping'!$E:$E,'Region Mapping'!$A:$A,G$39)&gt;0,'IPCC(2006)'!$E$90*1000/(Legend!$B$83*Legend!$B$82*Legend!$B$84),'IPCC(2006)'!$I$90*1000/(Legend!$B$83*Legend!$B$82*Legend!$B$84))</f>
        <v>3.3777330185889035E-2</v>
      </c>
      <c r="H114" s="209">
        <f>IF(SUMIFS('Region Mapping'!$E:$E,'Region Mapping'!$A:$A,H$39)&gt;0,'IPCC(2006)'!$E$90*1000/(Legend!$B$83*Legend!$B$82*Legend!$B$84),'IPCC(2006)'!$I$90*1000/(Legend!$B$83*Legend!$B$82*Legend!$B$84))</f>
        <v>0</v>
      </c>
      <c r="I114" s="209">
        <f>IF(SUMIFS('Region Mapping'!$E:$E,'Region Mapping'!$A:$A,I$39)&gt;0,'IPCC(2006)'!$E$90*1000/(Legend!$B$83*Legend!$B$82*Legend!$B$84),'IPCC(2006)'!$I$90*1000/(Legend!$B$83*Legend!$B$82*Legend!$B$84))</f>
        <v>0</v>
      </c>
      <c r="J114" s="209">
        <f>IF(SUMIFS('Region Mapping'!$E:$E,'Region Mapping'!$A:$A,J$39)&gt;0,'IPCC(2006)'!$E$90*1000/(Legend!$B$83*Legend!$B$82*Legend!$B$84),'IPCC(2006)'!$I$90*1000/(Legend!$B$83*Legend!$B$82*Legend!$B$84))</f>
        <v>0</v>
      </c>
      <c r="K114" s="209">
        <f>IF(SUMIFS('Region Mapping'!$E:$E,'Region Mapping'!$A:$A,K$39)&gt;0,'IPCC(2006)'!$E$90*1000/(Legend!$B$83*Legend!$B$82*Legend!$B$84),'IPCC(2006)'!$I$90*1000/(Legend!$B$83*Legend!$B$82*Legend!$B$84))</f>
        <v>0</v>
      </c>
      <c r="L114" s="209">
        <f>IF(SUMIFS('Region Mapping'!$E:$E,'Region Mapping'!$A:$A,L$39)&gt;0,'IPCC(2006)'!$E$90*1000/(Legend!$B$83*Legend!$B$82*Legend!$B$84),'IPCC(2006)'!$I$90*1000/(Legend!$B$83*Legend!$B$82*Legend!$B$84))</f>
        <v>3.3777330185889035E-2</v>
      </c>
      <c r="M114" s="209">
        <f>IF(SUMIFS('Region Mapping'!$E:$E,'Region Mapping'!$A:$A,M$39)&gt;0,'IPCC(2006)'!$E$90*1000/(Legend!$B$83*Legend!$B$82*Legend!$B$84),'IPCC(2006)'!$I$90*1000/(Legend!$B$83*Legend!$B$82*Legend!$B$84))</f>
        <v>0</v>
      </c>
      <c r="N114" s="209">
        <f>IF(SUMIFS('Region Mapping'!$E:$E,'Region Mapping'!$A:$A,N$39)&gt;0,'IPCC(2006)'!$E$90*1000/(Legend!$B$83*Legend!$B$82*Legend!$B$84),'IPCC(2006)'!$I$90*1000/(Legend!$B$83*Legend!$B$82*Legend!$B$84))</f>
        <v>0</v>
      </c>
      <c r="O114" s="209">
        <f>IF(SUMIFS('Region Mapping'!$E:$E,'Region Mapping'!$A:$A,O$39)&gt;0,'IPCC(2006)'!$E$90*1000/(Legend!$B$83*Legend!$B$82*Legend!$B$84),'IPCC(2006)'!$I$90*1000/(Legend!$B$83*Legend!$B$82*Legend!$B$84))</f>
        <v>0</v>
      </c>
      <c r="P114" s="209">
        <f>IF(SUMIFS('Region Mapping'!$E:$E,'Region Mapping'!$A:$A,P$39)&gt;0,'IPCC(2006)'!$E$90*1000/(Legend!$B$83*Legend!$B$82*Legend!$B$84),'IPCC(2006)'!$I$90*1000/(Legend!$B$83*Legend!$B$82*Legend!$B$84))</f>
        <v>3.3777330185889035E-2</v>
      </c>
      <c r="Q114" s="209">
        <f>IF(SUMIFS('Region Mapping'!$E:$E,'Region Mapping'!$A:$A,Q$39)&gt;0,'IPCC(2006)'!$E$90*1000/(Legend!$B$83*Legend!$B$82*Legend!$B$84),'IPCC(2006)'!$I$90*1000/(Legend!$B$83*Legend!$B$82*Legend!$B$84))</f>
        <v>3.3777330185889035E-2</v>
      </c>
      <c r="R114" s="209">
        <f>IF(SUMIFS('Region Mapping'!$E:$E,'Region Mapping'!$A:$A,R$39)&gt;0,'IPCC(2006)'!$E$90*1000/(Legend!$B$83*Legend!$B$82*Legend!$B$84),'IPCC(2006)'!$I$90*1000/(Legend!$B$83*Legend!$B$82*Legend!$B$84))</f>
        <v>3.3777330185889035E-2</v>
      </c>
      <c r="S114" s="209">
        <f>IF(SUMIFS('Region Mapping'!$E:$E,'Region Mapping'!$A:$A,S$39)&gt;0,'IPCC(2006)'!$E$90*1000/(Legend!$B$83*Legend!$B$82*Legend!$B$84),'IPCC(2006)'!$I$90*1000/(Legend!$B$83*Legend!$B$82*Legend!$B$84))</f>
        <v>3.3777330185889035E-2</v>
      </c>
      <c r="T114" s="209">
        <f>IF(SUMIFS('Region Mapping'!$E:$E,'Region Mapping'!$A:$A,T$39)&gt;0,'IPCC(2006)'!$E$90*1000/(Legend!$B$83*Legend!$B$82*Legend!$B$84),'IPCC(2006)'!$I$90*1000/(Legend!$B$83*Legend!$B$82*Legend!$B$84))</f>
        <v>0</v>
      </c>
      <c r="U114" s="209">
        <f>IF(SUMIFS('Region Mapping'!$E:$E,'Region Mapping'!$A:$A,U$39)&gt;0,'IPCC(2006)'!$E$90*1000/(Legend!$B$83*Legend!$B$82*Legend!$B$84),'IPCC(2006)'!$I$90*1000/(Legend!$B$83*Legend!$B$82*Legend!$B$84))</f>
        <v>0</v>
      </c>
      <c r="V114" s="209">
        <f>IF(SUMIFS('Region Mapping'!$E:$E,'Region Mapping'!$A:$A,V$39)&gt;0,'IPCC(2006)'!$E$90*1000/(Legend!$B$83*Legend!$B$82*Legend!$B$84),'IPCC(2006)'!$I$90*1000/(Legend!$B$83*Legend!$B$82*Legend!$B$84))</f>
        <v>3.3777330185889035E-2</v>
      </c>
      <c r="W114" s="209">
        <f>IF(SUMIFS('Region Mapping'!$E:$E,'Region Mapping'!$A:$A,W$39)&gt;0,'IPCC(2006)'!$E$90*1000/(Legend!$B$83*Legend!$B$82*Legend!$B$84),'IPCC(2006)'!$I$90*1000/(Legend!$B$83*Legend!$B$82*Legend!$B$84))</f>
        <v>0</v>
      </c>
      <c r="X114" s="209">
        <f>IF(SUMIFS('Region Mapping'!$E:$E,'Region Mapping'!$A:$A,X$39)&gt;0,'IPCC(2006)'!$E$90*1000/(Legend!$B$83*Legend!$B$82*Legend!$B$84),'IPCC(2006)'!$I$90*1000/(Legend!$B$83*Legend!$B$82*Legend!$B$84))</f>
        <v>0</v>
      </c>
      <c r="Y114" s="209">
        <f>IF(SUMIFS('Region Mapping'!$E:$E,'Region Mapping'!$A:$A,Y$39)&gt;0,'IPCC(2006)'!$E$90*1000/(Legend!$B$83*Legend!$B$82*Legend!$B$84),'IPCC(2006)'!$I$90*1000/(Legend!$B$83*Legend!$B$82*Legend!$B$84))</f>
        <v>0</v>
      </c>
      <c r="Z114" s="209">
        <f>IF(SUMIFS('Region Mapping'!$E:$E,'Region Mapping'!$A:$A,Z$39)&gt;0,'IPCC(2006)'!$E$90*1000/(Legend!$B$83*Legend!$B$82*Legend!$B$84),'IPCC(2006)'!$I$90*1000/(Legend!$B$83*Legend!$B$82*Legend!$B$84))</f>
        <v>0</v>
      </c>
      <c r="AA114" s="209">
        <f>IF(SUMIFS('Region Mapping'!$E:$E,'Region Mapping'!$A:$A,AA$39)&gt;0,'IPCC(2006)'!$E$90*1000/(Legend!$B$83*Legend!$B$82*Legend!$B$84),'IPCC(2006)'!$I$90*1000/(Legend!$B$83*Legend!$B$82*Legend!$B$84))</f>
        <v>0</v>
      </c>
      <c r="AB114" s="209">
        <f>IF(SUMIFS('Region Mapping'!$E:$E,'Region Mapping'!$A:$A,AB$39)&gt;0,'IPCC(2006)'!$E$90*1000/(Legend!$B$83*Legend!$B$82*Legend!$B$84),'IPCC(2006)'!$I$90*1000/(Legend!$B$83*Legend!$B$82*Legend!$B$84))</f>
        <v>0</v>
      </c>
      <c r="AC114" s="209">
        <f>IF(SUMIFS('Region Mapping'!$E:$E,'Region Mapping'!$A:$A,AC$39)&gt;0,'IPCC(2006)'!$E$90*1000/(Legend!$B$83*Legend!$B$82*Legend!$B$84),'IPCC(2006)'!$I$90*1000/(Legend!$B$83*Legend!$B$82*Legend!$B$84))</f>
        <v>3.3777330185889035E-2</v>
      </c>
      <c r="AD114" s="220">
        <f>IF(SUMIFS('Region Mapping'!$E:$E,'Region Mapping'!$A:$A,AD$39)&gt;0,'IPCC(2006)'!$E$90*1000/(Legend!$B$83*Legend!$B$82*Legend!$B$84),'IPCC(2006)'!$I$90*1000/(Legend!$B$83*Legend!$B$82*Legend!$B$84))</f>
        <v>3.3777330185889035E-2</v>
      </c>
    </row>
    <row r="115" spans="1:30">
      <c r="A115" s="215" t="s">
        <v>1025</v>
      </c>
      <c r="B115" t="s">
        <v>1026</v>
      </c>
      <c r="C115" s="209">
        <f>IF(SUMIFS('Region Mapping'!$E:$E,'Region Mapping'!$A:$A,C$39)&gt;0,'IPCC(2006)'!$E$92*1000/(Legend!$B$97*10^-3),'IPCC(2006)'!$I$92*1000/(Legend!$B$97*10^-3))</f>
        <v>0</v>
      </c>
      <c r="D115" s="209">
        <f>IF(SUMIFS('Region Mapping'!$E:$E,'Region Mapping'!$A:$A,D$39)&gt;0,'IPCC(2006)'!$E$92*1000/(Legend!$B$97*10^-3),'IPCC(2006)'!$I$92*1000/(Legend!$B$97*10^-3))</f>
        <v>0</v>
      </c>
      <c r="E115" s="209">
        <f>IF(SUMIFS('Region Mapping'!$E:$E,'Region Mapping'!$A:$A,E$39)&gt;0,'IPCC(2006)'!$E$92*1000/(Legend!$B$97*10^-3),'IPCC(2006)'!$I$92*1000/(Legend!$B$97*10^-3))</f>
        <v>0</v>
      </c>
      <c r="F115" s="209">
        <f>IF(SUMIFS('Region Mapping'!$E:$E,'Region Mapping'!$A:$A,F$39)&gt;0,'IPCC(2006)'!$E$92*1000/(Legend!$B$97*10^-3),'IPCC(2006)'!$I$92*1000/(Legend!$B$97*10^-3))</f>
        <v>0</v>
      </c>
      <c r="G115" s="209">
        <f>IF(SUMIFS('Region Mapping'!$E:$E,'Region Mapping'!$A:$A,G$39)&gt;0,'IPCC(2006)'!$E$92*1000/(Legend!$B$97*10^-3),'IPCC(2006)'!$I$92*1000/(Legend!$B$97*10^-3))</f>
        <v>68.75</v>
      </c>
      <c r="H115" s="209">
        <f>IF(SUMIFS('Region Mapping'!$E:$E,'Region Mapping'!$A:$A,H$39)&gt;0,'IPCC(2006)'!$E$92*1000/(Legend!$B$97*10^-3),'IPCC(2006)'!$I$92*1000/(Legend!$B$97*10^-3))</f>
        <v>0</v>
      </c>
      <c r="I115" s="209">
        <f>IF(SUMIFS('Region Mapping'!$E:$E,'Region Mapping'!$A:$A,I$39)&gt;0,'IPCC(2006)'!$E$92*1000/(Legend!$B$97*10^-3),'IPCC(2006)'!$I$92*1000/(Legend!$B$97*10^-3))</f>
        <v>0</v>
      </c>
      <c r="J115" s="209">
        <f>IF(SUMIFS('Region Mapping'!$E:$E,'Region Mapping'!$A:$A,J$39)&gt;0,'IPCC(2006)'!$E$92*1000/(Legend!$B$97*10^-3),'IPCC(2006)'!$I$92*1000/(Legend!$B$97*10^-3))</f>
        <v>0</v>
      </c>
      <c r="K115" s="209">
        <f>IF(SUMIFS('Region Mapping'!$E:$E,'Region Mapping'!$A:$A,K$39)&gt;0,'IPCC(2006)'!$E$92*1000/(Legend!$B$97*10^-3),'IPCC(2006)'!$I$92*1000/(Legend!$B$97*10^-3))</f>
        <v>0</v>
      </c>
      <c r="L115" s="209">
        <f>IF(SUMIFS('Region Mapping'!$E:$E,'Region Mapping'!$A:$A,L$39)&gt;0,'IPCC(2006)'!$E$92*1000/(Legend!$B$97*10^-3),'IPCC(2006)'!$I$92*1000/(Legend!$B$97*10^-3))</f>
        <v>68.75</v>
      </c>
      <c r="M115" s="209">
        <f>IF(SUMIFS('Region Mapping'!$E:$E,'Region Mapping'!$A:$A,M$39)&gt;0,'IPCC(2006)'!$E$92*1000/(Legend!$B$97*10^-3),'IPCC(2006)'!$I$92*1000/(Legend!$B$97*10^-3))</f>
        <v>0</v>
      </c>
      <c r="N115" s="209">
        <f>IF(SUMIFS('Region Mapping'!$E:$E,'Region Mapping'!$A:$A,N$39)&gt;0,'IPCC(2006)'!$E$92*1000/(Legend!$B$97*10^-3),'IPCC(2006)'!$I$92*1000/(Legend!$B$97*10^-3))</f>
        <v>0</v>
      </c>
      <c r="O115" s="209">
        <f>IF(SUMIFS('Region Mapping'!$E:$E,'Region Mapping'!$A:$A,O$39)&gt;0,'IPCC(2006)'!$E$92*1000/(Legend!$B$97*10^-3),'IPCC(2006)'!$I$92*1000/(Legend!$B$97*10^-3))</f>
        <v>0</v>
      </c>
      <c r="P115" s="209">
        <f>IF(SUMIFS('Region Mapping'!$E:$E,'Region Mapping'!$A:$A,P$39)&gt;0,'IPCC(2006)'!$E$92*1000/(Legend!$B$97*10^-3),'IPCC(2006)'!$I$92*1000/(Legend!$B$97*10^-3))</f>
        <v>68.75</v>
      </c>
      <c r="Q115" s="209">
        <f>IF(SUMIFS('Region Mapping'!$E:$E,'Region Mapping'!$A:$A,Q$39)&gt;0,'IPCC(2006)'!$E$92*1000/(Legend!$B$97*10^-3),'IPCC(2006)'!$I$92*1000/(Legend!$B$97*10^-3))</f>
        <v>68.75</v>
      </c>
      <c r="R115" s="209">
        <f>IF(SUMIFS('Region Mapping'!$E:$E,'Region Mapping'!$A:$A,R$39)&gt;0,'IPCC(2006)'!$E$92*1000/(Legend!$B$97*10^-3),'IPCC(2006)'!$I$92*1000/(Legend!$B$97*10^-3))</f>
        <v>68.75</v>
      </c>
      <c r="S115" s="209">
        <f>IF(SUMIFS('Region Mapping'!$E:$E,'Region Mapping'!$A:$A,S$39)&gt;0,'IPCC(2006)'!$E$92*1000/(Legend!$B$97*10^-3),'IPCC(2006)'!$I$92*1000/(Legend!$B$97*10^-3))</f>
        <v>68.75</v>
      </c>
      <c r="T115" s="209">
        <f>IF(SUMIFS('Region Mapping'!$E:$E,'Region Mapping'!$A:$A,T$39)&gt;0,'IPCC(2006)'!$E$92*1000/(Legend!$B$97*10^-3),'IPCC(2006)'!$I$92*1000/(Legend!$B$97*10^-3))</f>
        <v>0</v>
      </c>
      <c r="U115" s="209">
        <f>IF(SUMIFS('Region Mapping'!$E:$E,'Region Mapping'!$A:$A,U$39)&gt;0,'IPCC(2006)'!$E$92*1000/(Legend!$B$97*10^-3),'IPCC(2006)'!$I$92*1000/(Legend!$B$97*10^-3))</f>
        <v>0</v>
      </c>
      <c r="V115" s="209">
        <f>IF(SUMIFS('Region Mapping'!$E:$E,'Region Mapping'!$A:$A,V$39)&gt;0,'IPCC(2006)'!$E$92*1000/(Legend!$B$97*10^-3),'IPCC(2006)'!$I$92*1000/(Legend!$B$97*10^-3))</f>
        <v>68.75</v>
      </c>
      <c r="W115" s="209">
        <f>IF(SUMIFS('Region Mapping'!$E:$E,'Region Mapping'!$A:$A,W$39)&gt;0,'IPCC(2006)'!$E$92*1000/(Legend!$B$97*10^-3),'IPCC(2006)'!$I$92*1000/(Legend!$B$97*10^-3))</f>
        <v>0</v>
      </c>
      <c r="X115" s="209">
        <f>IF(SUMIFS('Region Mapping'!$E:$E,'Region Mapping'!$A:$A,X$39)&gt;0,'IPCC(2006)'!$E$92*1000/(Legend!$B$97*10^-3),'IPCC(2006)'!$I$92*1000/(Legend!$B$97*10^-3))</f>
        <v>0</v>
      </c>
      <c r="Y115" s="209">
        <f>IF(SUMIFS('Region Mapping'!$E:$E,'Region Mapping'!$A:$A,Y$39)&gt;0,'IPCC(2006)'!$E$92*1000/(Legend!$B$97*10^-3),'IPCC(2006)'!$I$92*1000/(Legend!$B$97*10^-3))</f>
        <v>0</v>
      </c>
      <c r="Z115" s="209">
        <f>IF(SUMIFS('Region Mapping'!$E:$E,'Region Mapping'!$A:$A,Z$39)&gt;0,'IPCC(2006)'!$E$92*1000/(Legend!$B$97*10^-3),'IPCC(2006)'!$I$92*1000/(Legend!$B$97*10^-3))</f>
        <v>0</v>
      </c>
      <c r="AA115" s="209">
        <f>IF(SUMIFS('Region Mapping'!$E:$E,'Region Mapping'!$A:$A,AA$39)&gt;0,'IPCC(2006)'!$E$92*1000/(Legend!$B$97*10^-3),'IPCC(2006)'!$I$92*1000/(Legend!$B$97*10^-3))</f>
        <v>0</v>
      </c>
      <c r="AB115" s="209">
        <f>IF(SUMIFS('Region Mapping'!$E:$E,'Region Mapping'!$A:$A,AB$39)&gt;0,'IPCC(2006)'!$E$92*1000/(Legend!$B$97*10^-3),'IPCC(2006)'!$I$92*1000/(Legend!$B$97*10^-3))</f>
        <v>0</v>
      </c>
      <c r="AC115" s="209">
        <f>IF(SUMIFS('Region Mapping'!$E:$E,'Region Mapping'!$A:$A,AC$39)&gt;0,'IPCC(2006)'!$E$92*1000/(Legend!$B$97*10^-3),'IPCC(2006)'!$I$92*1000/(Legend!$B$97*10^-3))</f>
        <v>68.75</v>
      </c>
      <c r="AD115" s="220">
        <f>IF(SUMIFS('Region Mapping'!$E:$E,'Region Mapping'!$A:$A,AD$39)&gt;0,'IPCC(2006)'!$E$92*1000/(Legend!$B$97*10^-3),'IPCC(2006)'!$I$92*1000/(Legend!$B$97*10^-3))</f>
        <v>68.75</v>
      </c>
    </row>
    <row r="116" spans="1:30">
      <c r="A116" s="215" t="s">
        <v>1027</v>
      </c>
      <c r="B116" t="s">
        <v>1026</v>
      </c>
      <c r="C116" s="209">
        <f>IF(SUMIFS('Region Mapping'!$E:$E,'Region Mapping'!$A:$A,C$39)&gt;0,'IPCC(2006)'!$E$93*1000/(Legend!$B$98*10^-3),'IPCC(2006)'!$I$93*1000/(Legend!$B$98*10^-3))</f>
        <v>0</v>
      </c>
      <c r="D116" s="209">
        <f>IF(SUMIFS('Region Mapping'!$E:$E,'Region Mapping'!$A:$A,D$39)&gt;0,'IPCC(2006)'!$E$93*1000/(Legend!$B$98*10^-3),'IPCC(2006)'!$I$93*1000/(Legend!$B$98*10^-3))</f>
        <v>0</v>
      </c>
      <c r="E116" s="209">
        <f>IF(SUMIFS('Region Mapping'!$E:$E,'Region Mapping'!$A:$A,E$39)&gt;0,'IPCC(2006)'!$E$93*1000/(Legend!$B$98*10^-3),'IPCC(2006)'!$I$93*1000/(Legend!$B$98*10^-3))</f>
        <v>0</v>
      </c>
      <c r="F116" s="209">
        <f>IF(SUMIFS('Region Mapping'!$E:$E,'Region Mapping'!$A:$A,F$39)&gt;0,'IPCC(2006)'!$E$93*1000/(Legend!$B$98*10^-3),'IPCC(2006)'!$I$93*1000/(Legend!$B$98*10^-3))</f>
        <v>0</v>
      </c>
      <c r="G116" s="209">
        <f>IF(SUMIFS('Region Mapping'!$E:$E,'Region Mapping'!$A:$A,G$39)&gt;0,'IPCC(2006)'!$E$93*1000/(Legend!$B$98*10^-3),'IPCC(2006)'!$I$93*1000/(Legend!$B$98*10^-3))</f>
        <v>0</v>
      </c>
      <c r="H116" s="209">
        <f>IF(SUMIFS('Region Mapping'!$E:$E,'Region Mapping'!$A:$A,H$39)&gt;0,'IPCC(2006)'!$E$93*1000/(Legend!$B$98*10^-3),'IPCC(2006)'!$I$93*1000/(Legend!$B$98*10^-3))</f>
        <v>0</v>
      </c>
      <c r="I116" s="209">
        <f>IF(SUMIFS('Region Mapping'!$E:$E,'Region Mapping'!$A:$A,I$39)&gt;0,'IPCC(2006)'!$E$93*1000/(Legend!$B$98*10^-3),'IPCC(2006)'!$I$93*1000/(Legend!$B$98*10^-3))</f>
        <v>0</v>
      </c>
      <c r="J116" s="209">
        <f>IF(SUMIFS('Region Mapping'!$E:$E,'Region Mapping'!$A:$A,J$39)&gt;0,'IPCC(2006)'!$E$93*1000/(Legend!$B$98*10^-3),'IPCC(2006)'!$I$93*1000/(Legend!$B$98*10^-3))</f>
        <v>0</v>
      </c>
      <c r="K116" s="209">
        <f>IF(SUMIFS('Region Mapping'!$E:$E,'Region Mapping'!$A:$A,K$39)&gt;0,'IPCC(2006)'!$E$93*1000/(Legend!$B$98*10^-3),'IPCC(2006)'!$I$93*1000/(Legend!$B$98*10^-3))</f>
        <v>0</v>
      </c>
      <c r="L116" s="209">
        <f>IF(SUMIFS('Region Mapping'!$E:$E,'Region Mapping'!$A:$A,L$39)&gt;0,'IPCC(2006)'!$E$93*1000/(Legend!$B$98*10^-3),'IPCC(2006)'!$I$93*1000/(Legend!$B$98*10^-3))</f>
        <v>0</v>
      </c>
      <c r="M116" s="209">
        <f>IF(SUMIFS('Region Mapping'!$E:$E,'Region Mapping'!$A:$A,M$39)&gt;0,'IPCC(2006)'!$E$93*1000/(Legend!$B$98*10^-3),'IPCC(2006)'!$I$93*1000/(Legend!$B$98*10^-3))</f>
        <v>0</v>
      </c>
      <c r="N116" s="209">
        <f>IF(SUMIFS('Region Mapping'!$E:$E,'Region Mapping'!$A:$A,N$39)&gt;0,'IPCC(2006)'!$E$93*1000/(Legend!$B$98*10^-3),'IPCC(2006)'!$I$93*1000/(Legend!$B$98*10^-3))</f>
        <v>0</v>
      </c>
      <c r="O116" s="209">
        <f>IF(SUMIFS('Region Mapping'!$E:$E,'Region Mapping'!$A:$A,O$39)&gt;0,'IPCC(2006)'!$E$93*1000/(Legend!$B$98*10^-3),'IPCC(2006)'!$I$93*1000/(Legend!$B$98*10^-3))</f>
        <v>0</v>
      </c>
      <c r="P116" s="209">
        <f>IF(SUMIFS('Region Mapping'!$E:$E,'Region Mapping'!$A:$A,P$39)&gt;0,'IPCC(2006)'!$E$93*1000/(Legend!$B$98*10^-3),'IPCC(2006)'!$I$93*1000/(Legend!$B$98*10^-3))</f>
        <v>0</v>
      </c>
      <c r="Q116" s="209">
        <f>IF(SUMIFS('Region Mapping'!$E:$E,'Region Mapping'!$A:$A,Q$39)&gt;0,'IPCC(2006)'!$E$93*1000/(Legend!$B$98*10^-3),'IPCC(2006)'!$I$93*1000/(Legend!$B$98*10^-3))</f>
        <v>0</v>
      </c>
      <c r="R116" s="209">
        <f>IF(SUMIFS('Region Mapping'!$E:$E,'Region Mapping'!$A:$A,R$39)&gt;0,'IPCC(2006)'!$E$93*1000/(Legend!$B$98*10^-3),'IPCC(2006)'!$I$93*1000/(Legend!$B$98*10^-3))</f>
        <v>0</v>
      </c>
      <c r="S116" s="209">
        <f>IF(SUMIFS('Region Mapping'!$E:$E,'Region Mapping'!$A:$A,S$39)&gt;0,'IPCC(2006)'!$E$93*1000/(Legend!$B$98*10^-3),'IPCC(2006)'!$I$93*1000/(Legend!$B$98*10^-3))</f>
        <v>0</v>
      </c>
      <c r="T116" s="209">
        <f>IF(SUMIFS('Region Mapping'!$E:$E,'Region Mapping'!$A:$A,T$39)&gt;0,'IPCC(2006)'!$E$93*1000/(Legend!$B$98*10^-3),'IPCC(2006)'!$I$93*1000/(Legend!$B$98*10^-3))</f>
        <v>0</v>
      </c>
      <c r="U116" s="209">
        <f>IF(SUMIFS('Region Mapping'!$E:$E,'Region Mapping'!$A:$A,U$39)&gt;0,'IPCC(2006)'!$E$93*1000/(Legend!$B$98*10^-3),'IPCC(2006)'!$I$93*1000/(Legend!$B$98*10^-3))</f>
        <v>0</v>
      </c>
      <c r="V116" s="209">
        <f>IF(SUMIFS('Region Mapping'!$E:$E,'Region Mapping'!$A:$A,V$39)&gt;0,'IPCC(2006)'!$E$93*1000/(Legend!$B$98*10^-3),'IPCC(2006)'!$I$93*1000/(Legend!$B$98*10^-3))</f>
        <v>0</v>
      </c>
      <c r="W116" s="209">
        <f>IF(SUMIFS('Region Mapping'!$E:$E,'Region Mapping'!$A:$A,W$39)&gt;0,'IPCC(2006)'!$E$93*1000/(Legend!$B$98*10^-3),'IPCC(2006)'!$I$93*1000/(Legend!$B$98*10^-3))</f>
        <v>0</v>
      </c>
      <c r="X116" s="209">
        <f>IF(SUMIFS('Region Mapping'!$E:$E,'Region Mapping'!$A:$A,X$39)&gt;0,'IPCC(2006)'!$E$93*1000/(Legend!$B$98*10^-3),'IPCC(2006)'!$I$93*1000/(Legend!$B$98*10^-3))</f>
        <v>0</v>
      </c>
      <c r="Y116" s="209">
        <f>IF(SUMIFS('Region Mapping'!$E:$E,'Region Mapping'!$A:$A,Y$39)&gt;0,'IPCC(2006)'!$E$93*1000/(Legend!$B$98*10^-3),'IPCC(2006)'!$I$93*1000/(Legend!$B$98*10^-3))</f>
        <v>0</v>
      </c>
      <c r="Z116" s="209">
        <f>IF(SUMIFS('Region Mapping'!$E:$E,'Region Mapping'!$A:$A,Z$39)&gt;0,'IPCC(2006)'!$E$93*1000/(Legend!$B$98*10^-3),'IPCC(2006)'!$I$93*1000/(Legend!$B$98*10^-3))</f>
        <v>0</v>
      </c>
      <c r="AA116" s="209">
        <f>IF(SUMIFS('Region Mapping'!$E:$E,'Region Mapping'!$A:$A,AA$39)&gt;0,'IPCC(2006)'!$E$93*1000/(Legend!$B$98*10^-3),'IPCC(2006)'!$I$93*1000/(Legend!$B$98*10^-3))</f>
        <v>0</v>
      </c>
      <c r="AB116" s="209">
        <f>IF(SUMIFS('Region Mapping'!$E:$E,'Region Mapping'!$A:$A,AB$39)&gt;0,'IPCC(2006)'!$E$93*1000/(Legend!$B$98*10^-3),'IPCC(2006)'!$I$93*1000/(Legend!$B$98*10^-3))</f>
        <v>0</v>
      </c>
      <c r="AC116" s="209">
        <f>IF(SUMIFS('Region Mapping'!$E:$E,'Region Mapping'!$A:$A,AC$39)&gt;0,'IPCC(2006)'!$E$93*1000/(Legend!$B$98*10^-3),'IPCC(2006)'!$I$93*1000/(Legend!$B$98*10^-3))</f>
        <v>0</v>
      </c>
      <c r="AD116" s="220">
        <f>IF(SUMIFS('Region Mapping'!$E:$E,'Region Mapping'!$A:$A,AD$39)&gt;0,'IPCC(2006)'!$E$93*1000/(Legend!$B$98*10^-3),'IPCC(2006)'!$I$93*1000/(Legend!$B$98*10^-3))</f>
        <v>0</v>
      </c>
    </row>
    <row r="117" spans="1:30">
      <c r="A117" s="215" t="s">
        <v>1028</v>
      </c>
      <c r="B117" t="s">
        <v>1026</v>
      </c>
      <c r="C117" s="209">
        <f>IF(SUMIFS('Region Mapping'!$E:$E,'Region Mapping'!$A:$A,C$39)&gt;0,'IPCC(2006)'!$E$94*1000/(Legend!$B$99*10^-3),'IPCC(2006)'!$I$94*1000/(Legend!$B$99*10^-3))</f>
        <v>0</v>
      </c>
      <c r="D117" s="209">
        <f>IF(SUMIFS('Region Mapping'!$E:$E,'Region Mapping'!$A:$A,D$39)&gt;0,'IPCC(2006)'!$E$94*1000/(Legend!$B$99*10^-3),'IPCC(2006)'!$I$94*1000/(Legend!$B$99*10^-3))</f>
        <v>0</v>
      </c>
      <c r="E117" s="209">
        <f>IF(SUMIFS('Region Mapping'!$E:$E,'Region Mapping'!$A:$A,E$39)&gt;0,'IPCC(2006)'!$E$94*1000/(Legend!$B$99*10^-3),'IPCC(2006)'!$I$94*1000/(Legend!$B$99*10^-3))</f>
        <v>0</v>
      </c>
      <c r="F117" s="209">
        <f>IF(SUMIFS('Region Mapping'!$E:$E,'Region Mapping'!$A:$A,F$39)&gt;0,'IPCC(2006)'!$E$94*1000/(Legend!$B$99*10^-3),'IPCC(2006)'!$I$94*1000/(Legend!$B$99*10^-3))</f>
        <v>0</v>
      </c>
      <c r="G117" s="209">
        <f>IF(SUMIFS('Region Mapping'!$E:$E,'Region Mapping'!$A:$A,G$39)&gt;0,'IPCC(2006)'!$E$94*1000/(Legend!$B$99*10^-3),'IPCC(2006)'!$I$94*1000/(Legend!$B$99*10^-3))</f>
        <v>0</v>
      </c>
      <c r="H117" s="209">
        <f>IF(SUMIFS('Region Mapping'!$E:$E,'Region Mapping'!$A:$A,H$39)&gt;0,'IPCC(2006)'!$E$94*1000/(Legend!$B$99*10^-3),'IPCC(2006)'!$I$94*1000/(Legend!$B$99*10^-3))</f>
        <v>0</v>
      </c>
      <c r="I117" s="209">
        <f>IF(SUMIFS('Region Mapping'!$E:$E,'Region Mapping'!$A:$A,I$39)&gt;0,'IPCC(2006)'!$E$94*1000/(Legend!$B$99*10^-3),'IPCC(2006)'!$I$94*1000/(Legend!$B$99*10^-3))</f>
        <v>0</v>
      </c>
      <c r="J117" s="209">
        <f>IF(SUMIFS('Region Mapping'!$E:$E,'Region Mapping'!$A:$A,J$39)&gt;0,'IPCC(2006)'!$E$94*1000/(Legend!$B$99*10^-3),'IPCC(2006)'!$I$94*1000/(Legend!$B$99*10^-3))</f>
        <v>0</v>
      </c>
      <c r="K117" s="209">
        <f>IF(SUMIFS('Region Mapping'!$E:$E,'Region Mapping'!$A:$A,K$39)&gt;0,'IPCC(2006)'!$E$94*1000/(Legend!$B$99*10^-3),'IPCC(2006)'!$I$94*1000/(Legend!$B$99*10^-3))</f>
        <v>0</v>
      </c>
      <c r="L117" s="209">
        <f>IF(SUMIFS('Region Mapping'!$E:$E,'Region Mapping'!$A:$A,L$39)&gt;0,'IPCC(2006)'!$E$94*1000/(Legend!$B$99*10^-3),'IPCC(2006)'!$I$94*1000/(Legend!$B$99*10^-3))</f>
        <v>0</v>
      </c>
      <c r="M117" s="209">
        <f>IF(SUMIFS('Region Mapping'!$E:$E,'Region Mapping'!$A:$A,M$39)&gt;0,'IPCC(2006)'!$E$94*1000/(Legend!$B$99*10^-3),'IPCC(2006)'!$I$94*1000/(Legend!$B$99*10^-3))</f>
        <v>0</v>
      </c>
      <c r="N117" s="209">
        <f>IF(SUMIFS('Region Mapping'!$E:$E,'Region Mapping'!$A:$A,N$39)&gt;0,'IPCC(2006)'!$E$94*1000/(Legend!$B$99*10^-3),'IPCC(2006)'!$I$94*1000/(Legend!$B$99*10^-3))</f>
        <v>0</v>
      </c>
      <c r="O117" s="209">
        <f>IF(SUMIFS('Region Mapping'!$E:$E,'Region Mapping'!$A:$A,O$39)&gt;0,'IPCC(2006)'!$E$94*1000/(Legend!$B$99*10^-3),'IPCC(2006)'!$I$94*1000/(Legend!$B$99*10^-3))</f>
        <v>0</v>
      </c>
      <c r="P117" s="209">
        <f>IF(SUMIFS('Region Mapping'!$E:$E,'Region Mapping'!$A:$A,P$39)&gt;0,'IPCC(2006)'!$E$94*1000/(Legend!$B$99*10^-3),'IPCC(2006)'!$I$94*1000/(Legend!$B$99*10^-3))</f>
        <v>0</v>
      </c>
      <c r="Q117" s="209">
        <f>IF(SUMIFS('Region Mapping'!$E:$E,'Region Mapping'!$A:$A,Q$39)&gt;0,'IPCC(2006)'!$E$94*1000/(Legend!$B$99*10^-3),'IPCC(2006)'!$I$94*1000/(Legend!$B$99*10^-3))</f>
        <v>0</v>
      </c>
      <c r="R117" s="209">
        <f>IF(SUMIFS('Region Mapping'!$E:$E,'Region Mapping'!$A:$A,R$39)&gt;0,'IPCC(2006)'!$E$94*1000/(Legend!$B$99*10^-3),'IPCC(2006)'!$I$94*1000/(Legend!$B$99*10^-3))</f>
        <v>0</v>
      </c>
      <c r="S117" s="209">
        <f>IF(SUMIFS('Region Mapping'!$E:$E,'Region Mapping'!$A:$A,S$39)&gt;0,'IPCC(2006)'!$E$94*1000/(Legend!$B$99*10^-3),'IPCC(2006)'!$I$94*1000/(Legend!$B$99*10^-3))</f>
        <v>0</v>
      </c>
      <c r="T117" s="209">
        <f>IF(SUMIFS('Region Mapping'!$E:$E,'Region Mapping'!$A:$A,T$39)&gt;0,'IPCC(2006)'!$E$94*1000/(Legend!$B$99*10^-3),'IPCC(2006)'!$I$94*1000/(Legend!$B$99*10^-3))</f>
        <v>0</v>
      </c>
      <c r="U117" s="209">
        <f>IF(SUMIFS('Region Mapping'!$E:$E,'Region Mapping'!$A:$A,U$39)&gt;0,'IPCC(2006)'!$E$94*1000/(Legend!$B$99*10^-3),'IPCC(2006)'!$I$94*1000/(Legend!$B$99*10^-3))</f>
        <v>0</v>
      </c>
      <c r="V117" s="209">
        <f>IF(SUMIFS('Region Mapping'!$E:$E,'Region Mapping'!$A:$A,V$39)&gt;0,'IPCC(2006)'!$E$94*1000/(Legend!$B$99*10^-3),'IPCC(2006)'!$I$94*1000/(Legend!$B$99*10^-3))</f>
        <v>0</v>
      </c>
      <c r="W117" s="209">
        <f>IF(SUMIFS('Region Mapping'!$E:$E,'Region Mapping'!$A:$A,W$39)&gt;0,'IPCC(2006)'!$E$94*1000/(Legend!$B$99*10^-3),'IPCC(2006)'!$I$94*1000/(Legend!$B$99*10^-3))</f>
        <v>0</v>
      </c>
      <c r="X117" s="209">
        <f>IF(SUMIFS('Region Mapping'!$E:$E,'Region Mapping'!$A:$A,X$39)&gt;0,'IPCC(2006)'!$E$94*1000/(Legend!$B$99*10^-3),'IPCC(2006)'!$I$94*1000/(Legend!$B$99*10^-3))</f>
        <v>0</v>
      </c>
      <c r="Y117" s="209">
        <f>IF(SUMIFS('Region Mapping'!$E:$E,'Region Mapping'!$A:$A,Y$39)&gt;0,'IPCC(2006)'!$E$94*1000/(Legend!$B$99*10^-3),'IPCC(2006)'!$I$94*1000/(Legend!$B$99*10^-3))</f>
        <v>0</v>
      </c>
      <c r="Z117" s="209">
        <f>IF(SUMIFS('Region Mapping'!$E:$E,'Region Mapping'!$A:$A,Z$39)&gt;0,'IPCC(2006)'!$E$94*1000/(Legend!$B$99*10^-3),'IPCC(2006)'!$I$94*1000/(Legend!$B$99*10^-3))</f>
        <v>0</v>
      </c>
      <c r="AA117" s="209">
        <f>IF(SUMIFS('Region Mapping'!$E:$E,'Region Mapping'!$A:$A,AA$39)&gt;0,'IPCC(2006)'!$E$94*1000/(Legend!$B$99*10^-3),'IPCC(2006)'!$I$94*1000/(Legend!$B$99*10^-3))</f>
        <v>0</v>
      </c>
      <c r="AB117" s="209">
        <f>IF(SUMIFS('Region Mapping'!$E:$E,'Region Mapping'!$A:$A,AB$39)&gt;0,'IPCC(2006)'!$E$94*1000/(Legend!$B$99*10^-3),'IPCC(2006)'!$I$94*1000/(Legend!$B$99*10^-3))</f>
        <v>0</v>
      </c>
      <c r="AC117" s="209">
        <f>IF(SUMIFS('Region Mapping'!$E:$E,'Region Mapping'!$A:$A,AC$39)&gt;0,'IPCC(2006)'!$E$94*1000/(Legend!$B$99*10^-3),'IPCC(2006)'!$I$94*1000/(Legend!$B$99*10^-3))</f>
        <v>0</v>
      </c>
      <c r="AD117" s="220">
        <f>IF(SUMIFS('Region Mapping'!$E:$E,'Region Mapping'!$A:$A,AD$39)&gt;0,'IPCC(2006)'!$E$94*1000/(Legend!$B$99*10^-3),'IPCC(2006)'!$I$94*1000/(Legend!$B$99*10^-3))</f>
        <v>0</v>
      </c>
    </row>
    <row r="118" spans="1:30">
      <c r="A118" s="229" t="s">
        <v>1029</v>
      </c>
      <c r="B118" s="236" t="s">
        <v>1026</v>
      </c>
      <c r="C118" s="226">
        <f>IF(SUMIFS('Region Mapping'!$E:$E,'Region Mapping'!$A:$A,C$39)&gt;0,'IPCC(2006)'!$E$95*1000/(Legend!$B$100*10^-3),'IPCC(2006)'!$I$95*1000/(Legend!$B$100*10^-3))</f>
        <v>0</v>
      </c>
      <c r="D118" s="226">
        <f>IF(SUMIFS('Region Mapping'!$E:$E,'Region Mapping'!$A:$A,D$39)&gt;0,'IPCC(2006)'!$E$95*1000/(Legend!$B$100*10^-3),'IPCC(2006)'!$I$95*1000/(Legend!$B$100*10^-3))</f>
        <v>0</v>
      </c>
      <c r="E118" s="226">
        <f>IF(SUMIFS('Region Mapping'!$E:$E,'Region Mapping'!$A:$A,E$39)&gt;0,'IPCC(2006)'!$E$95*1000/(Legend!$B$100*10^-3),'IPCC(2006)'!$I$95*1000/(Legend!$B$100*10^-3))</f>
        <v>0</v>
      </c>
      <c r="F118" s="226">
        <f>IF(SUMIFS('Region Mapping'!$E:$E,'Region Mapping'!$A:$A,F$39)&gt;0,'IPCC(2006)'!$E$95*1000/(Legend!$B$100*10^-3),'IPCC(2006)'!$I$95*1000/(Legend!$B$100*10^-3))</f>
        <v>0</v>
      </c>
      <c r="G118" s="226">
        <f>IF(SUMIFS('Region Mapping'!$E:$E,'Region Mapping'!$A:$A,G$39)&gt;0,'IPCC(2006)'!$E$95*1000/(Legend!$B$100*10^-3),'IPCC(2006)'!$I$95*1000/(Legend!$B$100*10^-3))</f>
        <v>0</v>
      </c>
      <c r="H118" s="226">
        <f>IF(SUMIFS('Region Mapping'!$E:$E,'Region Mapping'!$A:$A,H$39)&gt;0,'IPCC(2006)'!$E$95*1000/(Legend!$B$100*10^-3),'IPCC(2006)'!$I$95*1000/(Legend!$B$100*10^-3))</f>
        <v>0</v>
      </c>
      <c r="I118" s="226">
        <f>IF(SUMIFS('Region Mapping'!$E:$E,'Region Mapping'!$A:$A,I$39)&gt;0,'IPCC(2006)'!$E$95*1000/(Legend!$B$100*10^-3),'IPCC(2006)'!$I$95*1000/(Legend!$B$100*10^-3))</f>
        <v>0</v>
      </c>
      <c r="J118" s="226">
        <f>IF(SUMIFS('Region Mapping'!$E:$E,'Region Mapping'!$A:$A,J$39)&gt;0,'IPCC(2006)'!$E$95*1000/(Legend!$B$100*10^-3),'IPCC(2006)'!$I$95*1000/(Legend!$B$100*10^-3))</f>
        <v>0</v>
      </c>
      <c r="K118" s="226">
        <f>IF(SUMIFS('Region Mapping'!$E:$E,'Region Mapping'!$A:$A,K$39)&gt;0,'IPCC(2006)'!$E$95*1000/(Legend!$B$100*10^-3),'IPCC(2006)'!$I$95*1000/(Legend!$B$100*10^-3))</f>
        <v>0</v>
      </c>
      <c r="L118" s="226">
        <f>IF(SUMIFS('Region Mapping'!$E:$E,'Region Mapping'!$A:$A,L$39)&gt;0,'IPCC(2006)'!$E$95*1000/(Legend!$B$100*10^-3),'IPCC(2006)'!$I$95*1000/(Legend!$B$100*10^-3))</f>
        <v>0</v>
      </c>
      <c r="M118" s="226">
        <f>IF(SUMIFS('Region Mapping'!$E:$E,'Region Mapping'!$A:$A,M$39)&gt;0,'IPCC(2006)'!$E$95*1000/(Legend!$B$100*10^-3),'IPCC(2006)'!$I$95*1000/(Legend!$B$100*10^-3))</f>
        <v>0</v>
      </c>
      <c r="N118" s="226">
        <f>IF(SUMIFS('Region Mapping'!$E:$E,'Region Mapping'!$A:$A,N$39)&gt;0,'IPCC(2006)'!$E$95*1000/(Legend!$B$100*10^-3),'IPCC(2006)'!$I$95*1000/(Legend!$B$100*10^-3))</f>
        <v>0</v>
      </c>
      <c r="O118" s="226">
        <f>IF(SUMIFS('Region Mapping'!$E:$E,'Region Mapping'!$A:$A,O$39)&gt;0,'IPCC(2006)'!$E$95*1000/(Legend!$B$100*10^-3),'IPCC(2006)'!$I$95*1000/(Legend!$B$100*10^-3))</f>
        <v>0</v>
      </c>
      <c r="P118" s="226">
        <f>IF(SUMIFS('Region Mapping'!$E:$E,'Region Mapping'!$A:$A,P$39)&gt;0,'IPCC(2006)'!$E$95*1000/(Legend!$B$100*10^-3),'IPCC(2006)'!$I$95*1000/(Legend!$B$100*10^-3))</f>
        <v>0</v>
      </c>
      <c r="Q118" s="226">
        <f>IF(SUMIFS('Region Mapping'!$E:$E,'Region Mapping'!$A:$A,Q$39)&gt;0,'IPCC(2006)'!$E$95*1000/(Legend!$B$100*10^-3),'IPCC(2006)'!$I$95*1000/(Legend!$B$100*10^-3))</f>
        <v>0</v>
      </c>
      <c r="R118" s="226">
        <f>IF(SUMIFS('Region Mapping'!$E:$E,'Region Mapping'!$A:$A,R$39)&gt;0,'IPCC(2006)'!$E$95*1000/(Legend!$B$100*10^-3),'IPCC(2006)'!$I$95*1000/(Legend!$B$100*10^-3))</f>
        <v>0</v>
      </c>
      <c r="S118" s="226">
        <f>IF(SUMIFS('Region Mapping'!$E:$E,'Region Mapping'!$A:$A,S$39)&gt;0,'IPCC(2006)'!$E$95*1000/(Legend!$B$100*10^-3),'IPCC(2006)'!$I$95*1000/(Legend!$B$100*10^-3))</f>
        <v>0</v>
      </c>
      <c r="T118" s="226">
        <f>IF(SUMIFS('Region Mapping'!$E:$E,'Region Mapping'!$A:$A,T$39)&gt;0,'IPCC(2006)'!$E$95*1000/(Legend!$B$100*10^-3),'IPCC(2006)'!$I$95*1000/(Legend!$B$100*10^-3))</f>
        <v>0</v>
      </c>
      <c r="U118" s="226">
        <f>IF(SUMIFS('Region Mapping'!$E:$E,'Region Mapping'!$A:$A,U$39)&gt;0,'IPCC(2006)'!$E$95*1000/(Legend!$B$100*10^-3),'IPCC(2006)'!$I$95*1000/(Legend!$B$100*10^-3))</f>
        <v>0</v>
      </c>
      <c r="V118" s="226">
        <f>IF(SUMIFS('Region Mapping'!$E:$E,'Region Mapping'!$A:$A,V$39)&gt;0,'IPCC(2006)'!$E$95*1000/(Legend!$B$100*10^-3),'IPCC(2006)'!$I$95*1000/(Legend!$B$100*10^-3))</f>
        <v>0</v>
      </c>
      <c r="W118" s="226">
        <f>IF(SUMIFS('Region Mapping'!$E:$E,'Region Mapping'!$A:$A,W$39)&gt;0,'IPCC(2006)'!$E$95*1000/(Legend!$B$100*10^-3),'IPCC(2006)'!$I$95*1000/(Legend!$B$100*10^-3))</f>
        <v>0</v>
      </c>
      <c r="X118" s="226">
        <f>IF(SUMIFS('Region Mapping'!$E:$E,'Region Mapping'!$A:$A,X$39)&gt;0,'IPCC(2006)'!$E$95*1000/(Legend!$B$100*10^-3),'IPCC(2006)'!$I$95*1000/(Legend!$B$100*10^-3))</f>
        <v>0</v>
      </c>
      <c r="Y118" s="226">
        <f>IF(SUMIFS('Region Mapping'!$E:$E,'Region Mapping'!$A:$A,Y$39)&gt;0,'IPCC(2006)'!$E$95*1000/(Legend!$B$100*10^-3),'IPCC(2006)'!$I$95*1000/(Legend!$B$100*10^-3))</f>
        <v>0</v>
      </c>
      <c r="Z118" s="226">
        <f>IF(SUMIFS('Region Mapping'!$E:$E,'Region Mapping'!$A:$A,Z$39)&gt;0,'IPCC(2006)'!$E$95*1000/(Legend!$B$100*10^-3),'IPCC(2006)'!$I$95*1000/(Legend!$B$100*10^-3))</f>
        <v>0</v>
      </c>
      <c r="AA118" s="226">
        <f>IF(SUMIFS('Region Mapping'!$E:$E,'Region Mapping'!$A:$A,AA$39)&gt;0,'IPCC(2006)'!$E$95*1000/(Legend!$B$100*10^-3),'IPCC(2006)'!$I$95*1000/(Legend!$B$100*10^-3))</f>
        <v>0</v>
      </c>
      <c r="AB118" s="226">
        <f>IF(SUMIFS('Region Mapping'!$E:$E,'Region Mapping'!$A:$A,AB$39)&gt;0,'IPCC(2006)'!$E$95*1000/(Legend!$B$100*10^-3),'IPCC(2006)'!$I$95*1000/(Legend!$B$100*10^-3))</f>
        <v>0</v>
      </c>
      <c r="AC118" s="226">
        <f>IF(SUMIFS('Region Mapping'!$E:$E,'Region Mapping'!$A:$A,AC$39)&gt;0,'IPCC(2006)'!$E$95*1000/(Legend!$B$100*10^-3),'IPCC(2006)'!$I$95*1000/(Legend!$B$100*10^-3))</f>
        <v>0</v>
      </c>
      <c r="AD118" s="224">
        <f>IF(SUMIFS('Region Mapping'!$E:$E,'Region Mapping'!$A:$A,AD$39)&gt;0,'IPCC(2006)'!$E$95*1000/(Legend!$B$100*10^-3),'IPCC(2006)'!$I$95*1000/(Legend!$B$100*10^-3))</f>
        <v>0</v>
      </c>
    </row>
    <row r="119" spans="1:30">
      <c r="C119" s="209"/>
      <c r="D119" s="209"/>
      <c r="E119" s="209"/>
      <c r="F119" s="209"/>
      <c r="G119" s="209"/>
      <c r="H119" s="209"/>
      <c r="I119" s="209"/>
      <c r="J119" s="209"/>
      <c r="K119" s="209"/>
      <c r="L119" s="209"/>
      <c r="M119" s="209"/>
      <c r="N119" s="209"/>
      <c r="O119" s="209"/>
      <c r="P119" s="209"/>
      <c r="Q119" s="209"/>
      <c r="R119" s="209"/>
      <c r="S119" s="209"/>
      <c r="T119" s="209"/>
      <c r="U119" s="209"/>
      <c r="V119" s="209"/>
      <c r="W119" s="209"/>
      <c r="X119" s="209"/>
      <c r="Y119" s="209"/>
      <c r="Z119" s="209"/>
      <c r="AA119" s="209"/>
      <c r="AB119" s="209"/>
      <c r="AC119" s="209"/>
      <c r="AD119" s="209"/>
    </row>
    <row r="120" spans="1:30">
      <c r="A120" s="227" t="s">
        <v>1034</v>
      </c>
      <c r="B120" s="358"/>
      <c r="C120" s="358" t="s">
        <v>172</v>
      </c>
      <c r="D120" s="358" t="s">
        <v>175</v>
      </c>
      <c r="E120" s="358" t="s">
        <v>178</v>
      </c>
      <c r="F120" s="358" t="s">
        <v>181</v>
      </c>
      <c r="G120" s="358" t="s">
        <v>184</v>
      </c>
      <c r="H120" s="358" t="s">
        <v>187</v>
      </c>
      <c r="I120" s="358" t="s">
        <v>190</v>
      </c>
      <c r="J120" s="358" t="s">
        <v>193</v>
      </c>
      <c r="K120" s="358" t="s">
        <v>196</v>
      </c>
      <c r="L120" s="358" t="s">
        <v>198</v>
      </c>
      <c r="M120" s="358" t="s">
        <v>200</v>
      </c>
      <c r="N120" s="358" t="s">
        <v>202</v>
      </c>
      <c r="O120" s="358" t="s">
        <v>205</v>
      </c>
      <c r="P120" s="358" t="s">
        <v>208</v>
      </c>
      <c r="Q120" s="358" t="s">
        <v>211</v>
      </c>
      <c r="R120" s="358" t="s">
        <v>214</v>
      </c>
      <c r="S120" s="358" t="s">
        <v>217</v>
      </c>
      <c r="T120" s="358" t="s">
        <v>220</v>
      </c>
      <c r="U120" s="358" t="s">
        <v>223</v>
      </c>
      <c r="V120" s="358" t="s">
        <v>225</v>
      </c>
      <c r="W120" s="358" t="s">
        <v>227</v>
      </c>
      <c r="X120" s="358" t="s">
        <v>230</v>
      </c>
      <c r="Y120" s="358" t="s">
        <v>233</v>
      </c>
      <c r="Z120" s="358" t="s">
        <v>236</v>
      </c>
      <c r="AA120" s="358" t="s">
        <v>238</v>
      </c>
      <c r="AB120" s="358" t="s">
        <v>240</v>
      </c>
      <c r="AC120" s="358" t="s">
        <v>243</v>
      </c>
      <c r="AD120" s="228" t="s">
        <v>245</v>
      </c>
    </row>
    <row r="121" spans="1:30">
      <c r="A121" s="215"/>
      <c r="C121" t="s">
        <v>1035</v>
      </c>
      <c r="D121" t="s">
        <v>1035</v>
      </c>
      <c r="E121" t="s">
        <v>1035</v>
      </c>
      <c r="F121" t="s">
        <v>1035</v>
      </c>
      <c r="G121" t="s">
        <v>1035</v>
      </c>
      <c r="H121" t="s">
        <v>1035</v>
      </c>
      <c r="I121" t="s">
        <v>1035</v>
      </c>
      <c r="J121" t="s">
        <v>1035</v>
      </c>
      <c r="K121" t="s">
        <v>1035</v>
      </c>
      <c r="L121" t="s">
        <v>1035</v>
      </c>
      <c r="M121" t="s">
        <v>1035</v>
      </c>
      <c r="N121" t="s">
        <v>1035</v>
      </c>
      <c r="O121" t="s">
        <v>1035</v>
      </c>
      <c r="P121" t="s">
        <v>1035</v>
      </c>
      <c r="Q121" t="s">
        <v>1035</v>
      </c>
      <c r="R121" t="s">
        <v>1035</v>
      </c>
      <c r="S121" t="s">
        <v>1035</v>
      </c>
      <c r="T121" t="s">
        <v>1035</v>
      </c>
      <c r="U121" t="s">
        <v>1035</v>
      </c>
      <c r="V121" t="s">
        <v>1035</v>
      </c>
      <c r="W121" t="s">
        <v>1035</v>
      </c>
      <c r="X121" t="s">
        <v>1035</v>
      </c>
      <c r="Y121" t="s">
        <v>1035</v>
      </c>
      <c r="Z121" t="s">
        <v>1035</v>
      </c>
      <c r="AA121" t="s">
        <v>1035</v>
      </c>
      <c r="AB121" t="s">
        <v>1035</v>
      </c>
      <c r="AC121" t="s">
        <v>1035</v>
      </c>
      <c r="AD121" s="218" t="s">
        <v>1035</v>
      </c>
    </row>
    <row r="122" spans="1:30">
      <c r="A122" s="215" t="s">
        <v>992</v>
      </c>
      <c r="B122" t="s">
        <v>993</v>
      </c>
      <c r="AD122" s="218"/>
    </row>
    <row r="123" spans="1:30">
      <c r="A123" s="215" t="s">
        <v>994</v>
      </c>
      <c r="B123" t="s">
        <v>995</v>
      </c>
      <c r="C123" s="209">
        <f>IF(SUMIFS('Region Mapping'!$E:$E,'Region Mapping'!$A:$A,'Key inputs_Emissions'!C$39)&gt;0,'IPCC(2006)'!$F$61*1000/Legend!$B$86,'IPCC(2006)'!$J$61*1000/Legend!$B$86)</f>
        <v>0</v>
      </c>
      <c r="D123" s="209">
        <f>IF(SUMIFS('Region Mapping'!$E:$E,'Region Mapping'!$A:$A,'Key inputs_Emissions'!D$39)&gt;0,'IPCC(2006)'!$F$61*1000/Legend!$B$86,'IPCC(2006)'!$J$61*1000/Legend!$B$86)</f>
        <v>0</v>
      </c>
      <c r="E123" s="209">
        <f>IF(SUMIFS('Region Mapping'!$E:$E,'Region Mapping'!$A:$A,'Key inputs_Emissions'!E$39)&gt;0,'IPCC(2006)'!$F$61*1000/Legend!$B$86,'IPCC(2006)'!$J$61*1000/Legend!$B$86)</f>
        <v>0</v>
      </c>
      <c r="F123" s="209">
        <f>IF(SUMIFS('Region Mapping'!$E:$E,'Region Mapping'!$A:$A,'Key inputs_Emissions'!F$39)&gt;0,'IPCC(2006)'!$F$61*1000/Legend!$B$86,'IPCC(2006)'!$J$61*1000/Legend!$B$86)</f>
        <v>0</v>
      </c>
      <c r="G123" s="209">
        <f>IF(SUMIFS('Region Mapping'!$E:$E,'Region Mapping'!$A:$A,'Key inputs_Emissions'!G$39)&gt;0,'IPCC(2006)'!$F$61*1000/Legend!$B$86,'IPCC(2006)'!$J$61*1000/Legend!$B$86)</f>
        <v>0</v>
      </c>
      <c r="H123" s="209">
        <f>IF(SUMIFS('Region Mapping'!$E:$E,'Region Mapping'!$A:$A,'Key inputs_Emissions'!H$39)&gt;0,'IPCC(2006)'!$F$61*1000/Legend!$B$86,'IPCC(2006)'!$J$61*1000/Legend!$B$86)</f>
        <v>0</v>
      </c>
      <c r="I123" s="209">
        <f>IF(SUMIFS('Region Mapping'!$E:$E,'Region Mapping'!$A:$A,'Key inputs_Emissions'!I$39)&gt;0,'IPCC(2006)'!$F$61*1000/Legend!$B$86,'IPCC(2006)'!$J$61*1000/Legend!$B$86)</f>
        <v>0</v>
      </c>
      <c r="J123" s="209">
        <f>IF(SUMIFS('Region Mapping'!$E:$E,'Region Mapping'!$A:$A,'Key inputs_Emissions'!J$39)&gt;0,'IPCC(2006)'!$F$61*1000/Legend!$B$86,'IPCC(2006)'!$J$61*1000/Legend!$B$86)</f>
        <v>0</v>
      </c>
      <c r="K123" s="209">
        <f>IF(SUMIFS('Region Mapping'!$E:$E,'Region Mapping'!$A:$A,'Key inputs_Emissions'!K$39)&gt;0,'IPCC(2006)'!$F$61*1000/Legend!$B$86,'IPCC(2006)'!$J$61*1000/Legend!$B$86)</f>
        <v>0</v>
      </c>
      <c r="L123" s="209">
        <f>IF(SUMIFS('Region Mapping'!$E:$E,'Region Mapping'!$A:$A,'Key inputs_Emissions'!L$39)&gt;0,'IPCC(2006)'!$F$61*1000/Legend!$B$86,'IPCC(2006)'!$J$61*1000/Legend!$B$86)</f>
        <v>0</v>
      </c>
      <c r="M123" s="209">
        <f>IF(SUMIFS('Region Mapping'!$E:$E,'Region Mapping'!$A:$A,'Key inputs_Emissions'!M$39)&gt;0,'IPCC(2006)'!$F$61*1000/Legend!$B$86,'IPCC(2006)'!$J$61*1000/Legend!$B$86)</f>
        <v>0</v>
      </c>
      <c r="N123" s="209">
        <f>IF(SUMIFS('Region Mapping'!$E:$E,'Region Mapping'!$A:$A,'Key inputs_Emissions'!N$39)&gt;0,'IPCC(2006)'!$F$61*1000/Legend!$B$86,'IPCC(2006)'!$J$61*1000/Legend!$B$86)</f>
        <v>0</v>
      </c>
      <c r="O123" s="209">
        <f>IF(SUMIFS('Region Mapping'!$E:$E,'Region Mapping'!$A:$A,'Key inputs_Emissions'!O$39)&gt;0,'IPCC(2006)'!$F$61*1000/Legend!$B$86,'IPCC(2006)'!$J$61*1000/Legend!$B$86)</f>
        <v>0</v>
      </c>
      <c r="P123" s="209">
        <f>IF(SUMIFS('Region Mapping'!$E:$E,'Region Mapping'!$A:$A,'Key inputs_Emissions'!P$39)&gt;0,'IPCC(2006)'!$F$61*1000/Legend!$B$86,'IPCC(2006)'!$J$61*1000/Legend!$B$86)</f>
        <v>0</v>
      </c>
      <c r="Q123" s="209">
        <f>IF(SUMIFS('Region Mapping'!$E:$E,'Region Mapping'!$A:$A,'Key inputs_Emissions'!Q$39)&gt;0,'IPCC(2006)'!$F$61*1000/Legend!$B$86,'IPCC(2006)'!$J$61*1000/Legend!$B$86)</f>
        <v>0</v>
      </c>
      <c r="R123" s="209">
        <f>IF(SUMIFS('Region Mapping'!$E:$E,'Region Mapping'!$A:$A,'Key inputs_Emissions'!R$39)&gt;0,'IPCC(2006)'!$F$61*1000/Legend!$B$86,'IPCC(2006)'!$J$61*1000/Legend!$B$86)</f>
        <v>0</v>
      </c>
      <c r="S123" s="209">
        <f>IF(SUMIFS('Region Mapping'!$E:$E,'Region Mapping'!$A:$A,'Key inputs_Emissions'!S$39)&gt;0,'IPCC(2006)'!$F$61*1000/Legend!$B$86,'IPCC(2006)'!$J$61*1000/Legend!$B$86)</f>
        <v>0</v>
      </c>
      <c r="T123" s="209">
        <f>IF(SUMIFS('Region Mapping'!$E:$E,'Region Mapping'!$A:$A,'Key inputs_Emissions'!T$39)&gt;0,'IPCC(2006)'!$F$61*1000/Legend!$B$86,'IPCC(2006)'!$J$61*1000/Legend!$B$86)</f>
        <v>0</v>
      </c>
      <c r="U123" s="209">
        <f>IF(SUMIFS('Region Mapping'!$E:$E,'Region Mapping'!$A:$A,'Key inputs_Emissions'!U$39)&gt;0,'IPCC(2006)'!$F$61*1000/Legend!$B$86,'IPCC(2006)'!$J$61*1000/Legend!$B$86)</f>
        <v>0</v>
      </c>
      <c r="V123" s="209">
        <f>IF(SUMIFS('Region Mapping'!$E:$E,'Region Mapping'!$A:$A,'Key inputs_Emissions'!V$39)&gt;0,'IPCC(2006)'!$F$61*1000/Legend!$B$86,'IPCC(2006)'!$J$61*1000/Legend!$B$86)</f>
        <v>0</v>
      </c>
      <c r="W123" s="209">
        <f>IF(SUMIFS('Region Mapping'!$E:$E,'Region Mapping'!$A:$A,'Key inputs_Emissions'!W$39)&gt;0,'IPCC(2006)'!$F$61*1000/Legend!$B$86,'IPCC(2006)'!$J$61*1000/Legend!$B$86)</f>
        <v>0</v>
      </c>
      <c r="X123" s="209">
        <f>IF(SUMIFS('Region Mapping'!$E:$E,'Region Mapping'!$A:$A,'Key inputs_Emissions'!X$39)&gt;0,'IPCC(2006)'!$F$61*1000/Legend!$B$86,'IPCC(2006)'!$J$61*1000/Legend!$B$86)</f>
        <v>0</v>
      </c>
      <c r="Y123" s="209">
        <f>IF(SUMIFS('Region Mapping'!$E:$E,'Region Mapping'!$A:$A,'Key inputs_Emissions'!Y$39)&gt;0,'IPCC(2006)'!$F$61*1000/Legend!$B$86,'IPCC(2006)'!$J$61*1000/Legend!$B$86)</f>
        <v>0</v>
      </c>
      <c r="Z123" s="209">
        <f>IF(SUMIFS('Region Mapping'!$E:$E,'Region Mapping'!$A:$A,'Key inputs_Emissions'!Z$39)&gt;0,'IPCC(2006)'!$F$61*1000/Legend!$B$86,'IPCC(2006)'!$J$61*1000/Legend!$B$86)</f>
        <v>0</v>
      </c>
      <c r="AA123" s="209">
        <f>IF(SUMIFS('Region Mapping'!$E:$E,'Region Mapping'!$A:$A,'Key inputs_Emissions'!AA$39)&gt;0,'IPCC(2006)'!$F$61*1000/Legend!$B$86,'IPCC(2006)'!$J$61*1000/Legend!$B$86)</f>
        <v>0</v>
      </c>
      <c r="AB123" s="209">
        <f>IF(SUMIFS('Region Mapping'!$E:$E,'Region Mapping'!$A:$A,'Key inputs_Emissions'!AB$39)&gt;0,'IPCC(2006)'!$F$61*1000/Legend!$B$86,'IPCC(2006)'!$J$61*1000/Legend!$B$86)</f>
        <v>0</v>
      </c>
      <c r="AC123" s="209">
        <f>IF(SUMIFS('Region Mapping'!$E:$E,'Region Mapping'!$A:$A,'Key inputs_Emissions'!AC$39)&gt;0,'IPCC(2006)'!$F$61*1000/Legend!$B$86,'IPCC(2006)'!$J$61*1000/Legend!$B$86)</f>
        <v>0</v>
      </c>
      <c r="AD123" s="220">
        <f>IF(SUMIFS('Region Mapping'!$E:$E,'Region Mapping'!$A:$A,'Key inputs_Emissions'!AD$39)&gt;0,'IPCC(2006)'!$F$61*1000/Legend!$B$86,'IPCC(2006)'!$J$61*1000/Legend!$B$86)</f>
        <v>0</v>
      </c>
    </row>
    <row r="124" spans="1:30">
      <c r="A124" s="215" t="s">
        <v>996</v>
      </c>
      <c r="B124" t="s">
        <v>995</v>
      </c>
      <c r="C124" s="209">
        <f>IF(SUMIFS('Region Mapping'!$E:$E,'Region Mapping'!$A:$A,'Key inputs_Emissions'!C$39)&gt;0,'IPCC(2006)'!$F$62*1000/Legend!$B$86,'IPCC(2006)'!$J$62*1000/Legend!$B$86)</f>
        <v>8.0555555555555545E-7</v>
      </c>
      <c r="D124" s="209">
        <f>IF(SUMIFS('Region Mapping'!$E:$E,'Region Mapping'!$A:$A,'Key inputs_Emissions'!D$39)&gt;0,'IPCC(2006)'!$F$62*1000/Legend!$B$86,'IPCC(2006)'!$J$62*1000/Legend!$B$86)</f>
        <v>8.0555555555555545E-7</v>
      </c>
      <c r="E124" s="209">
        <f>IF(SUMIFS('Region Mapping'!$E:$E,'Region Mapping'!$A:$A,'Key inputs_Emissions'!E$39)&gt;0,'IPCC(2006)'!$F$62*1000/Legend!$B$86,'IPCC(2006)'!$J$62*1000/Legend!$B$86)</f>
        <v>8.0555555555555545E-7</v>
      </c>
      <c r="F124" s="209">
        <f>IF(SUMIFS('Region Mapping'!$E:$E,'Region Mapping'!$A:$A,'Key inputs_Emissions'!F$39)&gt;0,'IPCC(2006)'!$F$62*1000/Legend!$B$86,'IPCC(2006)'!$J$62*1000/Legend!$B$86)</f>
        <v>8.0555555555555545E-7</v>
      </c>
      <c r="G124" s="209">
        <f>IF(SUMIFS('Region Mapping'!$E:$E,'Region Mapping'!$A:$A,'Key inputs_Emissions'!G$39)&gt;0,'IPCC(2006)'!$F$62*1000/Legend!$B$86,'IPCC(2006)'!$J$62*1000/Legend!$B$86)</f>
        <v>5.833333333333334E-7</v>
      </c>
      <c r="H124" s="209">
        <f>IF(SUMIFS('Region Mapping'!$E:$E,'Region Mapping'!$A:$A,'Key inputs_Emissions'!H$39)&gt;0,'IPCC(2006)'!$F$62*1000/Legend!$B$86,'IPCC(2006)'!$J$62*1000/Legend!$B$86)</f>
        <v>8.0555555555555545E-7</v>
      </c>
      <c r="I124" s="209">
        <f>IF(SUMIFS('Region Mapping'!$E:$E,'Region Mapping'!$A:$A,'Key inputs_Emissions'!I$39)&gt;0,'IPCC(2006)'!$F$62*1000/Legend!$B$86,'IPCC(2006)'!$J$62*1000/Legend!$B$86)</f>
        <v>8.0555555555555545E-7</v>
      </c>
      <c r="J124" s="209">
        <f>IF(SUMIFS('Region Mapping'!$E:$E,'Region Mapping'!$A:$A,'Key inputs_Emissions'!J$39)&gt;0,'IPCC(2006)'!$F$62*1000/Legend!$B$86,'IPCC(2006)'!$J$62*1000/Legend!$B$86)</f>
        <v>8.0555555555555545E-7</v>
      </c>
      <c r="K124" s="209">
        <f>IF(SUMIFS('Region Mapping'!$E:$E,'Region Mapping'!$A:$A,'Key inputs_Emissions'!K$39)&gt;0,'IPCC(2006)'!$F$62*1000/Legend!$B$86,'IPCC(2006)'!$J$62*1000/Legend!$B$86)</f>
        <v>8.0555555555555545E-7</v>
      </c>
      <c r="L124" s="209">
        <f>IF(SUMIFS('Region Mapping'!$E:$E,'Region Mapping'!$A:$A,'Key inputs_Emissions'!L$39)&gt;0,'IPCC(2006)'!$F$62*1000/Legend!$B$86,'IPCC(2006)'!$J$62*1000/Legend!$B$86)</f>
        <v>5.833333333333334E-7</v>
      </c>
      <c r="M124" s="209">
        <f>IF(SUMIFS('Region Mapping'!$E:$E,'Region Mapping'!$A:$A,'Key inputs_Emissions'!M$39)&gt;0,'IPCC(2006)'!$F$62*1000/Legend!$B$86,'IPCC(2006)'!$J$62*1000/Legend!$B$86)</f>
        <v>8.0555555555555545E-7</v>
      </c>
      <c r="N124" s="209">
        <f>IF(SUMIFS('Region Mapping'!$E:$E,'Region Mapping'!$A:$A,'Key inputs_Emissions'!N$39)&gt;0,'IPCC(2006)'!$F$62*1000/Legend!$B$86,'IPCC(2006)'!$J$62*1000/Legend!$B$86)</f>
        <v>8.0555555555555545E-7</v>
      </c>
      <c r="O124" s="209">
        <f>IF(SUMIFS('Region Mapping'!$E:$E,'Region Mapping'!$A:$A,'Key inputs_Emissions'!O$39)&gt;0,'IPCC(2006)'!$F$62*1000/Legend!$B$86,'IPCC(2006)'!$J$62*1000/Legend!$B$86)</f>
        <v>8.0555555555555545E-7</v>
      </c>
      <c r="P124" s="209">
        <f>IF(SUMIFS('Region Mapping'!$E:$E,'Region Mapping'!$A:$A,'Key inputs_Emissions'!P$39)&gt;0,'IPCC(2006)'!$F$62*1000/Legend!$B$86,'IPCC(2006)'!$J$62*1000/Legend!$B$86)</f>
        <v>5.833333333333334E-7</v>
      </c>
      <c r="Q124" s="209">
        <f>IF(SUMIFS('Region Mapping'!$E:$E,'Region Mapping'!$A:$A,'Key inputs_Emissions'!Q$39)&gt;0,'IPCC(2006)'!$F$62*1000/Legend!$B$86,'IPCC(2006)'!$J$62*1000/Legend!$B$86)</f>
        <v>5.833333333333334E-7</v>
      </c>
      <c r="R124" s="209">
        <f>IF(SUMIFS('Region Mapping'!$E:$E,'Region Mapping'!$A:$A,'Key inputs_Emissions'!R$39)&gt;0,'IPCC(2006)'!$F$62*1000/Legend!$B$86,'IPCC(2006)'!$J$62*1000/Legend!$B$86)</f>
        <v>5.833333333333334E-7</v>
      </c>
      <c r="S124" s="209">
        <f>IF(SUMIFS('Region Mapping'!$E:$E,'Region Mapping'!$A:$A,'Key inputs_Emissions'!S$39)&gt;0,'IPCC(2006)'!$F$62*1000/Legend!$B$86,'IPCC(2006)'!$J$62*1000/Legend!$B$86)</f>
        <v>5.833333333333334E-7</v>
      </c>
      <c r="T124" s="209">
        <f>IF(SUMIFS('Region Mapping'!$E:$E,'Region Mapping'!$A:$A,'Key inputs_Emissions'!T$39)&gt;0,'IPCC(2006)'!$F$62*1000/Legend!$B$86,'IPCC(2006)'!$J$62*1000/Legend!$B$86)</f>
        <v>8.0555555555555545E-7</v>
      </c>
      <c r="U124" s="209">
        <f>IF(SUMIFS('Region Mapping'!$E:$E,'Region Mapping'!$A:$A,'Key inputs_Emissions'!U$39)&gt;0,'IPCC(2006)'!$F$62*1000/Legend!$B$86,'IPCC(2006)'!$J$62*1000/Legend!$B$86)</f>
        <v>8.0555555555555545E-7</v>
      </c>
      <c r="V124" s="209">
        <f>IF(SUMIFS('Region Mapping'!$E:$E,'Region Mapping'!$A:$A,'Key inputs_Emissions'!V$39)&gt;0,'IPCC(2006)'!$F$62*1000/Legend!$B$86,'IPCC(2006)'!$J$62*1000/Legend!$B$86)</f>
        <v>5.833333333333334E-7</v>
      </c>
      <c r="W124" s="209">
        <f>IF(SUMIFS('Region Mapping'!$E:$E,'Region Mapping'!$A:$A,'Key inputs_Emissions'!W$39)&gt;0,'IPCC(2006)'!$F$62*1000/Legend!$B$86,'IPCC(2006)'!$J$62*1000/Legend!$B$86)</f>
        <v>8.0555555555555545E-7</v>
      </c>
      <c r="X124" s="209">
        <f>IF(SUMIFS('Region Mapping'!$E:$E,'Region Mapping'!$A:$A,'Key inputs_Emissions'!X$39)&gt;0,'IPCC(2006)'!$F$62*1000/Legend!$B$86,'IPCC(2006)'!$J$62*1000/Legend!$B$86)</f>
        <v>8.0555555555555545E-7</v>
      </c>
      <c r="Y124" s="209">
        <f>IF(SUMIFS('Region Mapping'!$E:$E,'Region Mapping'!$A:$A,'Key inputs_Emissions'!Y$39)&gt;0,'IPCC(2006)'!$F$62*1000/Legend!$B$86,'IPCC(2006)'!$J$62*1000/Legend!$B$86)</f>
        <v>8.0555555555555545E-7</v>
      </c>
      <c r="Z124" s="209">
        <f>IF(SUMIFS('Region Mapping'!$E:$E,'Region Mapping'!$A:$A,'Key inputs_Emissions'!Z$39)&gt;0,'IPCC(2006)'!$F$62*1000/Legend!$B$86,'IPCC(2006)'!$J$62*1000/Legend!$B$86)</f>
        <v>8.0555555555555545E-7</v>
      </c>
      <c r="AA124" s="209">
        <f>IF(SUMIFS('Region Mapping'!$E:$E,'Region Mapping'!$A:$A,'Key inputs_Emissions'!AA$39)&gt;0,'IPCC(2006)'!$F$62*1000/Legend!$B$86,'IPCC(2006)'!$J$62*1000/Legend!$B$86)</f>
        <v>8.0555555555555545E-7</v>
      </c>
      <c r="AB124" s="209">
        <f>IF(SUMIFS('Region Mapping'!$E:$E,'Region Mapping'!$A:$A,'Key inputs_Emissions'!AB$39)&gt;0,'IPCC(2006)'!$F$62*1000/Legend!$B$86,'IPCC(2006)'!$J$62*1000/Legend!$B$86)</f>
        <v>8.0555555555555545E-7</v>
      </c>
      <c r="AC124" s="209">
        <f>IF(SUMIFS('Region Mapping'!$E:$E,'Region Mapping'!$A:$A,'Key inputs_Emissions'!AC$39)&gt;0,'IPCC(2006)'!$F$62*1000/Legend!$B$86,'IPCC(2006)'!$J$62*1000/Legend!$B$86)</f>
        <v>5.833333333333334E-7</v>
      </c>
      <c r="AD124" s="220">
        <f>IF(SUMIFS('Region Mapping'!$E:$E,'Region Mapping'!$A:$A,'Key inputs_Emissions'!AD$39)&gt;0,'IPCC(2006)'!$F$62*1000/Legend!$B$86,'IPCC(2006)'!$J$62*1000/Legend!$B$86)</f>
        <v>5.833333333333334E-7</v>
      </c>
    </row>
    <row r="125" spans="1:30">
      <c r="A125" s="215" t="s">
        <v>997</v>
      </c>
      <c r="B125" t="s">
        <v>998</v>
      </c>
      <c r="C125" s="209">
        <f>IF(SUMIFS('Region Mapping'!$E:$E,'Region Mapping'!$A:$A,'Key inputs_Emissions'!C$39)&gt;0,'IPCC(2006)'!$F$64*1000/Legend!$B$86,'IPCC(2006)'!$J$64*1000/Legend!$B$86)</f>
        <v>0</v>
      </c>
      <c r="D125" s="209">
        <f>IF(SUMIFS('Region Mapping'!$E:$E,'Region Mapping'!$A:$A,'Key inputs_Emissions'!D$39)&gt;0,'IPCC(2006)'!$F$64*1000/Legend!$B$86,'IPCC(2006)'!$J$64*1000/Legend!$B$86)</f>
        <v>0</v>
      </c>
      <c r="E125" s="209">
        <f>IF(SUMIFS('Region Mapping'!$E:$E,'Region Mapping'!$A:$A,'Key inputs_Emissions'!E$39)&gt;0,'IPCC(2006)'!$F$64*1000/Legend!$B$86,'IPCC(2006)'!$J$64*1000/Legend!$B$86)</f>
        <v>0</v>
      </c>
      <c r="F125" s="209">
        <f>IF(SUMIFS('Region Mapping'!$E:$E,'Region Mapping'!$A:$A,'Key inputs_Emissions'!F$39)&gt;0,'IPCC(2006)'!$F$64*1000/Legend!$B$86,'IPCC(2006)'!$J$64*1000/Legend!$B$86)</f>
        <v>0</v>
      </c>
      <c r="G125" s="209">
        <f>IF(SUMIFS('Region Mapping'!$E:$E,'Region Mapping'!$A:$A,'Key inputs_Emissions'!G$39)&gt;0,'IPCC(2006)'!$F$64*1000/Legend!$B$86,'IPCC(2006)'!$J$64*1000/Legend!$B$86)</f>
        <v>0</v>
      </c>
      <c r="H125" s="209">
        <f>IF(SUMIFS('Region Mapping'!$E:$E,'Region Mapping'!$A:$A,'Key inputs_Emissions'!H$39)&gt;0,'IPCC(2006)'!$F$64*1000/Legend!$B$86,'IPCC(2006)'!$J$64*1000/Legend!$B$86)</f>
        <v>0</v>
      </c>
      <c r="I125" s="209">
        <f>IF(SUMIFS('Region Mapping'!$E:$E,'Region Mapping'!$A:$A,'Key inputs_Emissions'!I$39)&gt;0,'IPCC(2006)'!$F$64*1000/Legend!$B$86,'IPCC(2006)'!$J$64*1000/Legend!$B$86)</f>
        <v>0</v>
      </c>
      <c r="J125" s="209">
        <f>IF(SUMIFS('Region Mapping'!$E:$E,'Region Mapping'!$A:$A,'Key inputs_Emissions'!J$39)&gt;0,'IPCC(2006)'!$F$64*1000/Legend!$B$86,'IPCC(2006)'!$J$64*1000/Legend!$B$86)</f>
        <v>0</v>
      </c>
      <c r="K125" s="209">
        <f>IF(SUMIFS('Region Mapping'!$E:$E,'Region Mapping'!$A:$A,'Key inputs_Emissions'!K$39)&gt;0,'IPCC(2006)'!$F$64*1000/Legend!$B$86,'IPCC(2006)'!$J$64*1000/Legend!$B$86)</f>
        <v>0</v>
      </c>
      <c r="L125" s="209">
        <f>IF(SUMIFS('Region Mapping'!$E:$E,'Region Mapping'!$A:$A,'Key inputs_Emissions'!L$39)&gt;0,'IPCC(2006)'!$F$64*1000/Legend!$B$86,'IPCC(2006)'!$J$64*1000/Legend!$B$86)</f>
        <v>0</v>
      </c>
      <c r="M125" s="209">
        <f>IF(SUMIFS('Region Mapping'!$E:$E,'Region Mapping'!$A:$A,'Key inputs_Emissions'!M$39)&gt;0,'IPCC(2006)'!$F$64*1000/Legend!$B$86,'IPCC(2006)'!$J$64*1000/Legend!$B$86)</f>
        <v>0</v>
      </c>
      <c r="N125" s="209">
        <f>IF(SUMIFS('Region Mapping'!$E:$E,'Region Mapping'!$A:$A,'Key inputs_Emissions'!N$39)&gt;0,'IPCC(2006)'!$F$64*1000/Legend!$B$86,'IPCC(2006)'!$J$64*1000/Legend!$B$86)</f>
        <v>0</v>
      </c>
      <c r="O125" s="209">
        <f>IF(SUMIFS('Region Mapping'!$E:$E,'Region Mapping'!$A:$A,'Key inputs_Emissions'!O$39)&gt;0,'IPCC(2006)'!$F$64*1000/Legend!$B$86,'IPCC(2006)'!$J$64*1000/Legend!$B$86)</f>
        <v>0</v>
      </c>
      <c r="P125" s="209">
        <f>IF(SUMIFS('Region Mapping'!$E:$E,'Region Mapping'!$A:$A,'Key inputs_Emissions'!P$39)&gt;0,'IPCC(2006)'!$F$64*1000/Legend!$B$86,'IPCC(2006)'!$J$64*1000/Legend!$B$86)</f>
        <v>0</v>
      </c>
      <c r="Q125" s="209">
        <f>IF(SUMIFS('Region Mapping'!$E:$E,'Region Mapping'!$A:$A,'Key inputs_Emissions'!Q$39)&gt;0,'IPCC(2006)'!$F$64*1000/Legend!$B$86,'IPCC(2006)'!$J$64*1000/Legend!$B$86)</f>
        <v>0</v>
      </c>
      <c r="R125" s="209">
        <f>IF(SUMIFS('Region Mapping'!$E:$E,'Region Mapping'!$A:$A,'Key inputs_Emissions'!R$39)&gt;0,'IPCC(2006)'!$F$64*1000/Legend!$B$86,'IPCC(2006)'!$J$64*1000/Legend!$B$86)</f>
        <v>0</v>
      </c>
      <c r="S125" s="209">
        <f>IF(SUMIFS('Region Mapping'!$E:$E,'Region Mapping'!$A:$A,'Key inputs_Emissions'!S$39)&gt;0,'IPCC(2006)'!$F$64*1000/Legend!$B$86,'IPCC(2006)'!$J$64*1000/Legend!$B$86)</f>
        <v>0</v>
      </c>
      <c r="T125" s="209">
        <f>IF(SUMIFS('Region Mapping'!$E:$E,'Region Mapping'!$A:$A,'Key inputs_Emissions'!T$39)&gt;0,'IPCC(2006)'!$F$64*1000/Legend!$B$86,'IPCC(2006)'!$J$64*1000/Legend!$B$86)</f>
        <v>0</v>
      </c>
      <c r="U125" s="209">
        <f>IF(SUMIFS('Region Mapping'!$E:$E,'Region Mapping'!$A:$A,'Key inputs_Emissions'!U$39)&gt;0,'IPCC(2006)'!$F$64*1000/Legend!$B$86,'IPCC(2006)'!$J$64*1000/Legend!$B$86)</f>
        <v>0</v>
      </c>
      <c r="V125" s="209">
        <f>IF(SUMIFS('Region Mapping'!$E:$E,'Region Mapping'!$A:$A,'Key inputs_Emissions'!V$39)&gt;0,'IPCC(2006)'!$F$64*1000/Legend!$B$86,'IPCC(2006)'!$J$64*1000/Legend!$B$86)</f>
        <v>0</v>
      </c>
      <c r="W125" s="209">
        <f>IF(SUMIFS('Region Mapping'!$E:$E,'Region Mapping'!$A:$A,'Key inputs_Emissions'!W$39)&gt;0,'IPCC(2006)'!$F$64*1000/Legend!$B$86,'IPCC(2006)'!$J$64*1000/Legend!$B$86)</f>
        <v>0</v>
      </c>
      <c r="X125" s="209">
        <f>IF(SUMIFS('Region Mapping'!$E:$E,'Region Mapping'!$A:$A,'Key inputs_Emissions'!X$39)&gt;0,'IPCC(2006)'!$F$64*1000/Legend!$B$86,'IPCC(2006)'!$J$64*1000/Legend!$B$86)</f>
        <v>0</v>
      </c>
      <c r="Y125" s="209">
        <f>IF(SUMIFS('Region Mapping'!$E:$E,'Region Mapping'!$A:$A,'Key inputs_Emissions'!Y$39)&gt;0,'IPCC(2006)'!$F$64*1000/Legend!$B$86,'IPCC(2006)'!$J$64*1000/Legend!$B$86)</f>
        <v>0</v>
      </c>
      <c r="Z125" s="209">
        <f>IF(SUMIFS('Region Mapping'!$E:$E,'Region Mapping'!$A:$A,'Key inputs_Emissions'!Z$39)&gt;0,'IPCC(2006)'!$F$64*1000/Legend!$B$86,'IPCC(2006)'!$J$64*1000/Legend!$B$86)</f>
        <v>0</v>
      </c>
      <c r="AA125" s="209">
        <f>IF(SUMIFS('Region Mapping'!$E:$E,'Region Mapping'!$A:$A,'Key inputs_Emissions'!AA$39)&gt;0,'IPCC(2006)'!$F$64*1000/Legend!$B$86,'IPCC(2006)'!$J$64*1000/Legend!$B$86)</f>
        <v>0</v>
      </c>
      <c r="AB125" s="209">
        <f>IF(SUMIFS('Region Mapping'!$E:$E,'Region Mapping'!$A:$A,'Key inputs_Emissions'!AB$39)&gt;0,'IPCC(2006)'!$F$64*1000/Legend!$B$86,'IPCC(2006)'!$J$64*1000/Legend!$B$86)</f>
        <v>0</v>
      </c>
      <c r="AC125" s="209">
        <f>IF(SUMIFS('Region Mapping'!$E:$E,'Region Mapping'!$A:$A,'Key inputs_Emissions'!AC$39)&gt;0,'IPCC(2006)'!$F$64*1000/Legend!$B$86,'IPCC(2006)'!$J$64*1000/Legend!$B$86)</f>
        <v>0</v>
      </c>
      <c r="AD125" s="220">
        <f>IF(SUMIFS('Region Mapping'!$E:$E,'Region Mapping'!$A:$A,'Key inputs_Emissions'!AD$39)&gt;0,'IPCC(2006)'!$F$64*1000/Legend!$B$86,'IPCC(2006)'!$J$64*1000/Legend!$B$86)</f>
        <v>0</v>
      </c>
    </row>
    <row r="126" spans="1:30">
      <c r="A126" s="215" t="s">
        <v>999</v>
      </c>
      <c r="B126" t="s">
        <v>998</v>
      </c>
      <c r="C126" s="209">
        <f>IF(SUMIFS('Region Mapping'!$E:$E,'Region Mapping'!$A:$A,'Key inputs_Emissions'!C$39)&gt;0,'IPCC(2006)'!$F$65*1000/Legend!$B$86,'IPCC(2006)'!$J$65*1000/Legend!$B$86)</f>
        <v>1.2499999999999999E-6</v>
      </c>
      <c r="D126" s="209">
        <f>IF(SUMIFS('Region Mapping'!$E:$E,'Region Mapping'!$A:$A,'Key inputs_Emissions'!D$39)&gt;0,'IPCC(2006)'!$F$65*1000/Legend!$B$86,'IPCC(2006)'!$J$65*1000/Legend!$B$86)</f>
        <v>1.2499999999999999E-6</v>
      </c>
      <c r="E126" s="209">
        <f>IF(SUMIFS('Region Mapping'!$E:$E,'Region Mapping'!$A:$A,'Key inputs_Emissions'!E$39)&gt;0,'IPCC(2006)'!$F$65*1000/Legend!$B$86,'IPCC(2006)'!$J$65*1000/Legend!$B$86)</f>
        <v>1.2499999999999999E-6</v>
      </c>
      <c r="F126" s="209">
        <f>IF(SUMIFS('Region Mapping'!$E:$E,'Region Mapping'!$A:$A,'Key inputs_Emissions'!F$39)&gt;0,'IPCC(2006)'!$F$65*1000/Legend!$B$86,'IPCC(2006)'!$J$65*1000/Legend!$B$86)</f>
        <v>1.2499999999999999E-6</v>
      </c>
      <c r="G126" s="209">
        <f>IF(SUMIFS('Region Mapping'!$E:$E,'Region Mapping'!$A:$A,'Key inputs_Emissions'!G$39)&gt;0,'IPCC(2006)'!$F$65*1000/Legend!$B$86,'IPCC(2006)'!$J$65*1000/Legend!$B$86)</f>
        <v>9.1666666666666654E-7</v>
      </c>
      <c r="H126" s="209">
        <f>IF(SUMIFS('Region Mapping'!$E:$E,'Region Mapping'!$A:$A,'Key inputs_Emissions'!H$39)&gt;0,'IPCC(2006)'!$F$65*1000/Legend!$B$86,'IPCC(2006)'!$J$65*1000/Legend!$B$86)</f>
        <v>1.2499999999999999E-6</v>
      </c>
      <c r="I126" s="209">
        <f>IF(SUMIFS('Region Mapping'!$E:$E,'Region Mapping'!$A:$A,'Key inputs_Emissions'!I$39)&gt;0,'IPCC(2006)'!$F$65*1000/Legend!$B$86,'IPCC(2006)'!$J$65*1000/Legend!$B$86)</f>
        <v>1.2499999999999999E-6</v>
      </c>
      <c r="J126" s="209">
        <f>IF(SUMIFS('Region Mapping'!$E:$E,'Region Mapping'!$A:$A,'Key inputs_Emissions'!J$39)&gt;0,'IPCC(2006)'!$F$65*1000/Legend!$B$86,'IPCC(2006)'!$J$65*1000/Legend!$B$86)</f>
        <v>1.2499999999999999E-6</v>
      </c>
      <c r="K126" s="209">
        <f>IF(SUMIFS('Region Mapping'!$E:$E,'Region Mapping'!$A:$A,'Key inputs_Emissions'!K$39)&gt;0,'IPCC(2006)'!$F$65*1000/Legend!$B$86,'IPCC(2006)'!$J$65*1000/Legend!$B$86)</f>
        <v>1.2499999999999999E-6</v>
      </c>
      <c r="L126" s="209">
        <f>IF(SUMIFS('Region Mapping'!$E:$E,'Region Mapping'!$A:$A,'Key inputs_Emissions'!L$39)&gt;0,'IPCC(2006)'!$F$65*1000/Legend!$B$86,'IPCC(2006)'!$J$65*1000/Legend!$B$86)</f>
        <v>9.1666666666666654E-7</v>
      </c>
      <c r="M126" s="209">
        <f>IF(SUMIFS('Region Mapping'!$E:$E,'Region Mapping'!$A:$A,'Key inputs_Emissions'!M$39)&gt;0,'IPCC(2006)'!$F$65*1000/Legend!$B$86,'IPCC(2006)'!$J$65*1000/Legend!$B$86)</f>
        <v>1.2499999999999999E-6</v>
      </c>
      <c r="N126" s="209">
        <f>IF(SUMIFS('Region Mapping'!$E:$E,'Region Mapping'!$A:$A,'Key inputs_Emissions'!N$39)&gt;0,'IPCC(2006)'!$F$65*1000/Legend!$B$86,'IPCC(2006)'!$J$65*1000/Legend!$B$86)</f>
        <v>1.2499999999999999E-6</v>
      </c>
      <c r="O126" s="209">
        <f>IF(SUMIFS('Region Mapping'!$E:$E,'Region Mapping'!$A:$A,'Key inputs_Emissions'!O$39)&gt;0,'IPCC(2006)'!$F$65*1000/Legend!$B$86,'IPCC(2006)'!$J$65*1000/Legend!$B$86)</f>
        <v>1.2499999999999999E-6</v>
      </c>
      <c r="P126" s="209">
        <f>IF(SUMIFS('Region Mapping'!$E:$E,'Region Mapping'!$A:$A,'Key inputs_Emissions'!P$39)&gt;0,'IPCC(2006)'!$F$65*1000/Legend!$B$86,'IPCC(2006)'!$J$65*1000/Legend!$B$86)</f>
        <v>9.1666666666666654E-7</v>
      </c>
      <c r="Q126" s="209">
        <f>IF(SUMIFS('Region Mapping'!$E:$E,'Region Mapping'!$A:$A,'Key inputs_Emissions'!Q$39)&gt;0,'IPCC(2006)'!$F$65*1000/Legend!$B$86,'IPCC(2006)'!$J$65*1000/Legend!$B$86)</f>
        <v>9.1666666666666654E-7</v>
      </c>
      <c r="R126" s="209">
        <f>IF(SUMIFS('Region Mapping'!$E:$E,'Region Mapping'!$A:$A,'Key inputs_Emissions'!R$39)&gt;0,'IPCC(2006)'!$F$65*1000/Legend!$B$86,'IPCC(2006)'!$J$65*1000/Legend!$B$86)</f>
        <v>9.1666666666666654E-7</v>
      </c>
      <c r="S126" s="209">
        <f>IF(SUMIFS('Region Mapping'!$E:$E,'Region Mapping'!$A:$A,'Key inputs_Emissions'!S$39)&gt;0,'IPCC(2006)'!$F$65*1000/Legend!$B$86,'IPCC(2006)'!$J$65*1000/Legend!$B$86)</f>
        <v>9.1666666666666654E-7</v>
      </c>
      <c r="T126" s="209">
        <f>IF(SUMIFS('Region Mapping'!$E:$E,'Region Mapping'!$A:$A,'Key inputs_Emissions'!T$39)&gt;0,'IPCC(2006)'!$F$65*1000/Legend!$B$86,'IPCC(2006)'!$J$65*1000/Legend!$B$86)</f>
        <v>1.2499999999999999E-6</v>
      </c>
      <c r="U126" s="209">
        <f>IF(SUMIFS('Region Mapping'!$E:$E,'Region Mapping'!$A:$A,'Key inputs_Emissions'!U$39)&gt;0,'IPCC(2006)'!$F$65*1000/Legend!$B$86,'IPCC(2006)'!$J$65*1000/Legend!$B$86)</f>
        <v>1.2499999999999999E-6</v>
      </c>
      <c r="V126" s="209">
        <f>IF(SUMIFS('Region Mapping'!$E:$E,'Region Mapping'!$A:$A,'Key inputs_Emissions'!V$39)&gt;0,'IPCC(2006)'!$F$65*1000/Legend!$B$86,'IPCC(2006)'!$J$65*1000/Legend!$B$86)</f>
        <v>9.1666666666666654E-7</v>
      </c>
      <c r="W126" s="209">
        <f>IF(SUMIFS('Region Mapping'!$E:$E,'Region Mapping'!$A:$A,'Key inputs_Emissions'!W$39)&gt;0,'IPCC(2006)'!$F$65*1000/Legend!$B$86,'IPCC(2006)'!$J$65*1000/Legend!$B$86)</f>
        <v>1.2499999999999999E-6</v>
      </c>
      <c r="X126" s="209">
        <f>IF(SUMIFS('Region Mapping'!$E:$E,'Region Mapping'!$A:$A,'Key inputs_Emissions'!X$39)&gt;0,'IPCC(2006)'!$F$65*1000/Legend!$B$86,'IPCC(2006)'!$J$65*1000/Legend!$B$86)</f>
        <v>1.2499999999999999E-6</v>
      </c>
      <c r="Y126" s="209">
        <f>IF(SUMIFS('Region Mapping'!$E:$E,'Region Mapping'!$A:$A,'Key inputs_Emissions'!Y$39)&gt;0,'IPCC(2006)'!$F$65*1000/Legend!$B$86,'IPCC(2006)'!$J$65*1000/Legend!$B$86)</f>
        <v>1.2499999999999999E-6</v>
      </c>
      <c r="Z126" s="209">
        <f>IF(SUMIFS('Region Mapping'!$E:$E,'Region Mapping'!$A:$A,'Key inputs_Emissions'!Z$39)&gt;0,'IPCC(2006)'!$F$65*1000/Legend!$B$86,'IPCC(2006)'!$J$65*1000/Legend!$B$86)</f>
        <v>1.2499999999999999E-6</v>
      </c>
      <c r="AA126" s="209">
        <f>IF(SUMIFS('Region Mapping'!$E:$E,'Region Mapping'!$A:$A,'Key inputs_Emissions'!AA$39)&gt;0,'IPCC(2006)'!$F$65*1000/Legend!$B$86,'IPCC(2006)'!$J$65*1000/Legend!$B$86)</f>
        <v>1.2499999999999999E-6</v>
      </c>
      <c r="AB126" s="209">
        <f>IF(SUMIFS('Region Mapping'!$E:$E,'Region Mapping'!$A:$A,'Key inputs_Emissions'!AB$39)&gt;0,'IPCC(2006)'!$F$65*1000/Legend!$B$86,'IPCC(2006)'!$J$65*1000/Legend!$B$86)</f>
        <v>1.2499999999999999E-6</v>
      </c>
      <c r="AC126" s="209">
        <f>IF(SUMIFS('Region Mapping'!$E:$E,'Region Mapping'!$A:$A,'Key inputs_Emissions'!AC$39)&gt;0,'IPCC(2006)'!$F$65*1000/Legend!$B$86,'IPCC(2006)'!$J$65*1000/Legend!$B$86)</f>
        <v>9.1666666666666654E-7</v>
      </c>
      <c r="AD126" s="220">
        <f>IF(SUMIFS('Region Mapping'!$E:$E,'Region Mapping'!$A:$A,'Key inputs_Emissions'!AD$39)&gt;0,'IPCC(2006)'!$F$65*1000/Legend!$B$86,'IPCC(2006)'!$J$65*1000/Legend!$B$86)</f>
        <v>9.1666666666666654E-7</v>
      </c>
    </row>
    <row r="127" spans="1:30">
      <c r="A127" s="215" t="s">
        <v>1000</v>
      </c>
      <c r="B127" t="s">
        <v>998</v>
      </c>
      <c r="C127" s="209">
        <f>IF(SUMIFS('Region Mapping'!$E:$E,'Region Mapping'!$A:$A,'Key inputs_Emissions'!C$39)&gt;0,'IPCC(2006)'!$F$66*1000/Legend!$B$86,'IPCC(2006)'!$J$66*1000/Legend!$B$86)</f>
        <v>0</v>
      </c>
      <c r="D127" s="209">
        <f>IF(SUMIFS('Region Mapping'!$E:$E,'Region Mapping'!$A:$A,'Key inputs_Emissions'!D$39)&gt;0,'IPCC(2006)'!$F$66*1000/Legend!$B$86,'IPCC(2006)'!$J$66*1000/Legend!$B$86)</f>
        <v>0</v>
      </c>
      <c r="E127" s="209">
        <f>IF(SUMIFS('Region Mapping'!$E:$E,'Region Mapping'!$A:$A,'Key inputs_Emissions'!E$39)&gt;0,'IPCC(2006)'!$F$66*1000/Legend!$B$86,'IPCC(2006)'!$J$66*1000/Legend!$B$86)</f>
        <v>0</v>
      </c>
      <c r="F127" s="209">
        <f>IF(SUMIFS('Region Mapping'!$E:$E,'Region Mapping'!$A:$A,'Key inputs_Emissions'!F$39)&gt;0,'IPCC(2006)'!$F$66*1000/Legend!$B$86,'IPCC(2006)'!$J$66*1000/Legend!$B$86)</f>
        <v>0</v>
      </c>
      <c r="G127" s="209">
        <f>IF(SUMIFS('Region Mapping'!$E:$E,'Region Mapping'!$A:$A,'Key inputs_Emissions'!G$39)&gt;0,'IPCC(2006)'!$F$66*1000/Legend!$B$86,'IPCC(2006)'!$J$66*1000/Legend!$B$86)</f>
        <v>0</v>
      </c>
      <c r="H127" s="209">
        <f>IF(SUMIFS('Region Mapping'!$E:$E,'Region Mapping'!$A:$A,'Key inputs_Emissions'!H$39)&gt;0,'IPCC(2006)'!$F$66*1000/Legend!$B$86,'IPCC(2006)'!$J$66*1000/Legend!$B$86)</f>
        <v>0</v>
      </c>
      <c r="I127" s="209">
        <f>IF(SUMIFS('Region Mapping'!$E:$E,'Region Mapping'!$A:$A,'Key inputs_Emissions'!I$39)&gt;0,'IPCC(2006)'!$F$66*1000/Legend!$B$86,'IPCC(2006)'!$J$66*1000/Legend!$B$86)</f>
        <v>0</v>
      </c>
      <c r="J127" s="209">
        <f>IF(SUMIFS('Region Mapping'!$E:$E,'Region Mapping'!$A:$A,'Key inputs_Emissions'!J$39)&gt;0,'IPCC(2006)'!$F$66*1000/Legend!$B$86,'IPCC(2006)'!$J$66*1000/Legend!$B$86)</f>
        <v>0</v>
      </c>
      <c r="K127" s="209">
        <f>IF(SUMIFS('Region Mapping'!$E:$E,'Region Mapping'!$A:$A,'Key inputs_Emissions'!K$39)&gt;0,'IPCC(2006)'!$F$66*1000/Legend!$B$86,'IPCC(2006)'!$J$66*1000/Legend!$B$86)</f>
        <v>0</v>
      </c>
      <c r="L127" s="209">
        <f>IF(SUMIFS('Region Mapping'!$E:$E,'Region Mapping'!$A:$A,'Key inputs_Emissions'!L$39)&gt;0,'IPCC(2006)'!$F$66*1000/Legend!$B$86,'IPCC(2006)'!$J$66*1000/Legend!$B$86)</f>
        <v>0</v>
      </c>
      <c r="M127" s="209">
        <f>IF(SUMIFS('Region Mapping'!$E:$E,'Region Mapping'!$A:$A,'Key inputs_Emissions'!M$39)&gt;0,'IPCC(2006)'!$F$66*1000/Legend!$B$86,'IPCC(2006)'!$J$66*1000/Legend!$B$86)</f>
        <v>0</v>
      </c>
      <c r="N127" s="209">
        <f>IF(SUMIFS('Region Mapping'!$E:$E,'Region Mapping'!$A:$A,'Key inputs_Emissions'!N$39)&gt;0,'IPCC(2006)'!$F$66*1000/Legend!$B$86,'IPCC(2006)'!$J$66*1000/Legend!$B$86)</f>
        <v>0</v>
      </c>
      <c r="O127" s="209">
        <f>IF(SUMIFS('Region Mapping'!$E:$E,'Region Mapping'!$A:$A,'Key inputs_Emissions'!O$39)&gt;0,'IPCC(2006)'!$F$66*1000/Legend!$B$86,'IPCC(2006)'!$J$66*1000/Legend!$B$86)</f>
        <v>0</v>
      </c>
      <c r="P127" s="209">
        <f>IF(SUMIFS('Region Mapping'!$E:$E,'Region Mapping'!$A:$A,'Key inputs_Emissions'!P$39)&gt;0,'IPCC(2006)'!$F$66*1000/Legend!$B$86,'IPCC(2006)'!$J$66*1000/Legend!$B$86)</f>
        <v>0</v>
      </c>
      <c r="Q127" s="209">
        <f>IF(SUMIFS('Region Mapping'!$E:$E,'Region Mapping'!$A:$A,'Key inputs_Emissions'!Q$39)&gt;0,'IPCC(2006)'!$F$66*1000/Legend!$B$86,'IPCC(2006)'!$J$66*1000/Legend!$B$86)</f>
        <v>0</v>
      </c>
      <c r="R127" s="209">
        <f>IF(SUMIFS('Region Mapping'!$E:$E,'Region Mapping'!$A:$A,'Key inputs_Emissions'!R$39)&gt;0,'IPCC(2006)'!$F$66*1000/Legend!$B$86,'IPCC(2006)'!$J$66*1000/Legend!$B$86)</f>
        <v>0</v>
      </c>
      <c r="S127" s="209">
        <f>IF(SUMIFS('Region Mapping'!$E:$E,'Region Mapping'!$A:$A,'Key inputs_Emissions'!S$39)&gt;0,'IPCC(2006)'!$F$66*1000/Legend!$B$86,'IPCC(2006)'!$J$66*1000/Legend!$B$86)</f>
        <v>0</v>
      </c>
      <c r="T127" s="209">
        <f>IF(SUMIFS('Region Mapping'!$E:$E,'Region Mapping'!$A:$A,'Key inputs_Emissions'!T$39)&gt;0,'IPCC(2006)'!$F$66*1000/Legend!$B$86,'IPCC(2006)'!$J$66*1000/Legend!$B$86)</f>
        <v>0</v>
      </c>
      <c r="U127" s="209">
        <f>IF(SUMIFS('Region Mapping'!$E:$E,'Region Mapping'!$A:$A,'Key inputs_Emissions'!U$39)&gt;0,'IPCC(2006)'!$F$66*1000/Legend!$B$86,'IPCC(2006)'!$J$66*1000/Legend!$B$86)</f>
        <v>0</v>
      </c>
      <c r="V127" s="209">
        <f>IF(SUMIFS('Region Mapping'!$E:$E,'Region Mapping'!$A:$A,'Key inputs_Emissions'!V$39)&gt;0,'IPCC(2006)'!$F$66*1000/Legend!$B$86,'IPCC(2006)'!$J$66*1000/Legend!$B$86)</f>
        <v>0</v>
      </c>
      <c r="W127" s="209">
        <f>IF(SUMIFS('Region Mapping'!$E:$E,'Region Mapping'!$A:$A,'Key inputs_Emissions'!W$39)&gt;0,'IPCC(2006)'!$F$66*1000/Legend!$B$86,'IPCC(2006)'!$J$66*1000/Legend!$B$86)</f>
        <v>0</v>
      </c>
      <c r="X127" s="209">
        <f>IF(SUMIFS('Region Mapping'!$E:$E,'Region Mapping'!$A:$A,'Key inputs_Emissions'!X$39)&gt;0,'IPCC(2006)'!$F$66*1000/Legend!$B$86,'IPCC(2006)'!$J$66*1000/Legend!$B$86)</f>
        <v>0</v>
      </c>
      <c r="Y127" s="209">
        <f>IF(SUMIFS('Region Mapping'!$E:$E,'Region Mapping'!$A:$A,'Key inputs_Emissions'!Y$39)&gt;0,'IPCC(2006)'!$F$66*1000/Legend!$B$86,'IPCC(2006)'!$J$66*1000/Legend!$B$86)</f>
        <v>0</v>
      </c>
      <c r="Z127" s="209">
        <f>IF(SUMIFS('Region Mapping'!$E:$E,'Region Mapping'!$A:$A,'Key inputs_Emissions'!Z$39)&gt;0,'IPCC(2006)'!$F$66*1000/Legend!$B$86,'IPCC(2006)'!$J$66*1000/Legend!$B$86)</f>
        <v>0</v>
      </c>
      <c r="AA127" s="209">
        <f>IF(SUMIFS('Region Mapping'!$E:$E,'Region Mapping'!$A:$A,'Key inputs_Emissions'!AA$39)&gt;0,'IPCC(2006)'!$F$66*1000/Legend!$B$86,'IPCC(2006)'!$J$66*1000/Legend!$B$86)</f>
        <v>0</v>
      </c>
      <c r="AB127" s="209">
        <f>IF(SUMIFS('Region Mapping'!$E:$E,'Region Mapping'!$A:$A,'Key inputs_Emissions'!AB$39)&gt;0,'IPCC(2006)'!$F$66*1000/Legend!$B$86,'IPCC(2006)'!$J$66*1000/Legend!$B$86)</f>
        <v>0</v>
      </c>
      <c r="AC127" s="209">
        <f>IF(SUMIFS('Region Mapping'!$E:$E,'Region Mapping'!$A:$A,'Key inputs_Emissions'!AC$39)&gt;0,'IPCC(2006)'!$F$66*1000/Legend!$B$86,'IPCC(2006)'!$J$66*1000/Legend!$B$86)</f>
        <v>0</v>
      </c>
      <c r="AD127" s="220">
        <f>IF(SUMIFS('Region Mapping'!$E:$E,'Region Mapping'!$A:$A,'Key inputs_Emissions'!AD$39)&gt;0,'IPCC(2006)'!$F$66*1000/Legend!$B$86,'IPCC(2006)'!$J$66*1000/Legend!$B$86)</f>
        <v>0</v>
      </c>
    </row>
    <row r="128" spans="1:30">
      <c r="A128" s="215" t="s">
        <v>1001</v>
      </c>
      <c r="B128" t="s">
        <v>1002</v>
      </c>
      <c r="C128" s="209">
        <f>IF(SUMIFS('Region Mapping'!$E:$E,'Region Mapping'!$A:$A,'Key inputs_Emissions'!C$39)&gt;0,'IPCC(2006)'!$F$68*1000/Legend!$B$86+'IPCC(2006)'!$F$71*1000/Legend!$B$86,'IPCC(2006)'!$J$68*1000/Legend!$B$86+'IPCC(2006)'!$J$71*1000/Legend!$B$86)</f>
        <v>0</v>
      </c>
      <c r="D128" s="209">
        <f>IF(SUMIFS('Region Mapping'!$E:$E,'Region Mapping'!$A:$A,'Key inputs_Emissions'!D$39)&gt;0,'IPCC(2006)'!$F$68*1000/Legend!$B$86+'IPCC(2006)'!$F$71*1000/Legend!$B$86,'IPCC(2006)'!$J$68*1000/Legend!$B$86+'IPCC(2006)'!$J$71*1000/Legend!$B$86)</f>
        <v>0</v>
      </c>
      <c r="E128" s="209">
        <f>IF(SUMIFS('Region Mapping'!$E:$E,'Region Mapping'!$A:$A,'Key inputs_Emissions'!E$39)&gt;0,'IPCC(2006)'!$F$68*1000/Legend!$B$86+'IPCC(2006)'!$F$71*1000/Legend!$B$86,'IPCC(2006)'!$J$68*1000/Legend!$B$86+'IPCC(2006)'!$J$71*1000/Legend!$B$86)</f>
        <v>0</v>
      </c>
      <c r="F128" s="209">
        <f>IF(SUMIFS('Region Mapping'!$E:$E,'Region Mapping'!$A:$A,'Key inputs_Emissions'!F$39)&gt;0,'IPCC(2006)'!$F$68*1000/Legend!$B$86+'IPCC(2006)'!$F$71*1000/Legend!$B$86,'IPCC(2006)'!$J$68*1000/Legend!$B$86+'IPCC(2006)'!$J$71*1000/Legend!$B$86)</f>
        <v>0</v>
      </c>
      <c r="G128" s="209">
        <f>IF(SUMIFS('Region Mapping'!$E:$E,'Region Mapping'!$A:$A,'Key inputs_Emissions'!G$39)&gt;0,'IPCC(2006)'!$F$68*1000/Legend!$B$86+'IPCC(2006)'!$F$71*1000/Legend!$B$86,'IPCC(2006)'!$J$68*1000/Legend!$B$86+'IPCC(2006)'!$J$71*1000/Legend!$B$86)</f>
        <v>0</v>
      </c>
      <c r="H128" s="209">
        <f>IF(SUMIFS('Region Mapping'!$E:$E,'Region Mapping'!$A:$A,'Key inputs_Emissions'!H$39)&gt;0,'IPCC(2006)'!$F$68*1000/Legend!$B$86+'IPCC(2006)'!$F$71*1000/Legend!$B$86,'IPCC(2006)'!$J$68*1000/Legend!$B$86+'IPCC(2006)'!$J$71*1000/Legend!$B$86)</f>
        <v>0</v>
      </c>
      <c r="I128" s="209">
        <f>IF(SUMIFS('Region Mapping'!$E:$E,'Region Mapping'!$A:$A,'Key inputs_Emissions'!I$39)&gt;0,'IPCC(2006)'!$F$68*1000/Legend!$B$86+'IPCC(2006)'!$F$71*1000/Legend!$B$86,'IPCC(2006)'!$J$68*1000/Legend!$B$86+'IPCC(2006)'!$J$71*1000/Legend!$B$86)</f>
        <v>0</v>
      </c>
      <c r="J128" s="209">
        <f>IF(SUMIFS('Region Mapping'!$E:$E,'Region Mapping'!$A:$A,'Key inputs_Emissions'!J$39)&gt;0,'IPCC(2006)'!$F$68*1000/Legend!$B$86+'IPCC(2006)'!$F$71*1000/Legend!$B$86,'IPCC(2006)'!$J$68*1000/Legend!$B$86+'IPCC(2006)'!$J$71*1000/Legend!$B$86)</f>
        <v>0</v>
      </c>
      <c r="K128" s="209">
        <f>IF(SUMIFS('Region Mapping'!$E:$E,'Region Mapping'!$A:$A,'Key inputs_Emissions'!K$39)&gt;0,'IPCC(2006)'!$F$68*1000/Legend!$B$86+'IPCC(2006)'!$F$71*1000/Legend!$B$86,'IPCC(2006)'!$J$68*1000/Legend!$B$86+'IPCC(2006)'!$J$71*1000/Legend!$B$86)</f>
        <v>0</v>
      </c>
      <c r="L128" s="209">
        <f>IF(SUMIFS('Region Mapping'!$E:$E,'Region Mapping'!$A:$A,'Key inputs_Emissions'!L$39)&gt;0,'IPCC(2006)'!$F$68*1000/Legend!$B$86+'IPCC(2006)'!$F$71*1000/Legend!$B$86,'IPCC(2006)'!$J$68*1000/Legend!$B$86+'IPCC(2006)'!$J$71*1000/Legend!$B$86)</f>
        <v>0</v>
      </c>
      <c r="M128" s="209">
        <f>IF(SUMIFS('Region Mapping'!$E:$E,'Region Mapping'!$A:$A,'Key inputs_Emissions'!M$39)&gt;0,'IPCC(2006)'!$F$68*1000/Legend!$B$86+'IPCC(2006)'!$F$71*1000/Legend!$B$86,'IPCC(2006)'!$J$68*1000/Legend!$B$86+'IPCC(2006)'!$J$71*1000/Legend!$B$86)</f>
        <v>0</v>
      </c>
      <c r="N128" s="209">
        <f>IF(SUMIFS('Region Mapping'!$E:$E,'Region Mapping'!$A:$A,'Key inputs_Emissions'!N$39)&gt;0,'IPCC(2006)'!$F$68*1000/Legend!$B$86+'IPCC(2006)'!$F$71*1000/Legend!$B$86,'IPCC(2006)'!$J$68*1000/Legend!$B$86+'IPCC(2006)'!$J$71*1000/Legend!$B$86)</f>
        <v>0</v>
      </c>
      <c r="O128" s="209">
        <f>IF(SUMIFS('Region Mapping'!$E:$E,'Region Mapping'!$A:$A,'Key inputs_Emissions'!O$39)&gt;0,'IPCC(2006)'!$F$68*1000/Legend!$B$86+'IPCC(2006)'!$F$71*1000/Legend!$B$86,'IPCC(2006)'!$J$68*1000/Legend!$B$86+'IPCC(2006)'!$J$71*1000/Legend!$B$86)</f>
        <v>0</v>
      </c>
      <c r="P128" s="209">
        <f>IF(SUMIFS('Region Mapping'!$E:$E,'Region Mapping'!$A:$A,'Key inputs_Emissions'!P$39)&gt;0,'IPCC(2006)'!$F$68*1000/Legend!$B$86+'IPCC(2006)'!$F$71*1000/Legend!$B$86,'IPCC(2006)'!$J$68*1000/Legend!$B$86+'IPCC(2006)'!$J$71*1000/Legend!$B$86)</f>
        <v>0</v>
      </c>
      <c r="Q128" s="209">
        <f>IF(SUMIFS('Region Mapping'!$E:$E,'Region Mapping'!$A:$A,'Key inputs_Emissions'!Q$39)&gt;0,'IPCC(2006)'!$F$68*1000/Legend!$B$86+'IPCC(2006)'!$F$71*1000/Legend!$B$86,'IPCC(2006)'!$J$68*1000/Legend!$B$86+'IPCC(2006)'!$J$71*1000/Legend!$B$86)</f>
        <v>0</v>
      </c>
      <c r="R128" s="209">
        <f>IF(SUMIFS('Region Mapping'!$E:$E,'Region Mapping'!$A:$A,'Key inputs_Emissions'!R$39)&gt;0,'IPCC(2006)'!$F$68*1000/Legend!$B$86+'IPCC(2006)'!$F$71*1000/Legend!$B$86,'IPCC(2006)'!$J$68*1000/Legend!$B$86+'IPCC(2006)'!$J$71*1000/Legend!$B$86)</f>
        <v>0</v>
      </c>
      <c r="S128" s="209">
        <f>IF(SUMIFS('Region Mapping'!$E:$E,'Region Mapping'!$A:$A,'Key inputs_Emissions'!S$39)&gt;0,'IPCC(2006)'!$F$68*1000/Legend!$B$86+'IPCC(2006)'!$F$71*1000/Legend!$B$86,'IPCC(2006)'!$J$68*1000/Legend!$B$86+'IPCC(2006)'!$J$71*1000/Legend!$B$86)</f>
        <v>0</v>
      </c>
      <c r="T128" s="209">
        <f>IF(SUMIFS('Region Mapping'!$E:$E,'Region Mapping'!$A:$A,'Key inputs_Emissions'!T$39)&gt;0,'IPCC(2006)'!$F$68*1000/Legend!$B$86+'IPCC(2006)'!$F$71*1000/Legend!$B$86,'IPCC(2006)'!$J$68*1000/Legend!$B$86+'IPCC(2006)'!$J$71*1000/Legend!$B$86)</f>
        <v>0</v>
      </c>
      <c r="U128" s="209">
        <f>IF(SUMIFS('Region Mapping'!$E:$E,'Region Mapping'!$A:$A,'Key inputs_Emissions'!U$39)&gt;0,'IPCC(2006)'!$F$68*1000/Legend!$B$86+'IPCC(2006)'!$F$71*1000/Legend!$B$86,'IPCC(2006)'!$J$68*1000/Legend!$B$86+'IPCC(2006)'!$J$71*1000/Legend!$B$86)</f>
        <v>0</v>
      </c>
      <c r="V128" s="209">
        <f>IF(SUMIFS('Region Mapping'!$E:$E,'Region Mapping'!$A:$A,'Key inputs_Emissions'!V$39)&gt;0,'IPCC(2006)'!$F$68*1000/Legend!$B$86+'IPCC(2006)'!$F$71*1000/Legend!$B$86,'IPCC(2006)'!$J$68*1000/Legend!$B$86+'IPCC(2006)'!$J$71*1000/Legend!$B$86)</f>
        <v>0</v>
      </c>
      <c r="W128" s="209">
        <f>IF(SUMIFS('Region Mapping'!$E:$E,'Region Mapping'!$A:$A,'Key inputs_Emissions'!W$39)&gt;0,'IPCC(2006)'!$F$68*1000/Legend!$B$86+'IPCC(2006)'!$F$71*1000/Legend!$B$86,'IPCC(2006)'!$J$68*1000/Legend!$B$86+'IPCC(2006)'!$J$71*1000/Legend!$B$86)</f>
        <v>0</v>
      </c>
      <c r="X128" s="209">
        <f>IF(SUMIFS('Region Mapping'!$E:$E,'Region Mapping'!$A:$A,'Key inputs_Emissions'!X$39)&gt;0,'IPCC(2006)'!$F$68*1000/Legend!$B$86+'IPCC(2006)'!$F$71*1000/Legend!$B$86,'IPCC(2006)'!$J$68*1000/Legend!$B$86+'IPCC(2006)'!$J$71*1000/Legend!$B$86)</f>
        <v>0</v>
      </c>
      <c r="Y128" s="209">
        <f>IF(SUMIFS('Region Mapping'!$E:$E,'Region Mapping'!$A:$A,'Key inputs_Emissions'!Y$39)&gt;0,'IPCC(2006)'!$F$68*1000/Legend!$B$86+'IPCC(2006)'!$F$71*1000/Legend!$B$86,'IPCC(2006)'!$J$68*1000/Legend!$B$86+'IPCC(2006)'!$J$71*1000/Legend!$B$86)</f>
        <v>0</v>
      </c>
      <c r="Z128" s="209">
        <f>IF(SUMIFS('Region Mapping'!$E:$E,'Region Mapping'!$A:$A,'Key inputs_Emissions'!Z$39)&gt;0,'IPCC(2006)'!$F$68*1000/Legend!$B$86+'IPCC(2006)'!$F$71*1000/Legend!$B$86,'IPCC(2006)'!$J$68*1000/Legend!$B$86+'IPCC(2006)'!$J$71*1000/Legend!$B$86)</f>
        <v>0</v>
      </c>
      <c r="AA128" s="209">
        <f>IF(SUMIFS('Region Mapping'!$E:$E,'Region Mapping'!$A:$A,'Key inputs_Emissions'!AA$39)&gt;0,'IPCC(2006)'!$F$68*1000/Legend!$B$86+'IPCC(2006)'!$F$71*1000/Legend!$B$86,'IPCC(2006)'!$J$68*1000/Legend!$B$86+'IPCC(2006)'!$J$71*1000/Legend!$B$86)</f>
        <v>0</v>
      </c>
      <c r="AB128" s="209">
        <f>IF(SUMIFS('Region Mapping'!$E:$E,'Region Mapping'!$A:$A,'Key inputs_Emissions'!AB$39)&gt;0,'IPCC(2006)'!$F$68*1000/Legend!$B$86+'IPCC(2006)'!$F$71*1000/Legend!$B$86,'IPCC(2006)'!$J$68*1000/Legend!$B$86+'IPCC(2006)'!$J$71*1000/Legend!$B$86)</f>
        <v>0</v>
      </c>
      <c r="AC128" s="209">
        <f>IF(SUMIFS('Region Mapping'!$E:$E,'Region Mapping'!$A:$A,'Key inputs_Emissions'!AC$39)&gt;0,'IPCC(2006)'!$F$68*1000/Legend!$B$86+'IPCC(2006)'!$F$71*1000/Legend!$B$86,'IPCC(2006)'!$J$68*1000/Legend!$B$86+'IPCC(2006)'!$J$71*1000/Legend!$B$86)</f>
        <v>0</v>
      </c>
      <c r="AD128" s="220">
        <f>IF(SUMIFS('Region Mapping'!$E:$E,'Region Mapping'!$A:$A,'Key inputs_Emissions'!AD$39)&gt;0,'IPCC(2006)'!$F$68*1000/Legend!$B$86+'IPCC(2006)'!$F$71*1000/Legend!$B$86,'IPCC(2006)'!$J$68*1000/Legend!$B$86+'IPCC(2006)'!$J$71*1000/Legend!$B$86)</f>
        <v>0</v>
      </c>
    </row>
    <row r="129" spans="1:30">
      <c r="A129" s="215" t="s">
        <v>1003</v>
      </c>
      <c r="B129" t="s">
        <v>1002</v>
      </c>
      <c r="C129" s="209">
        <f>IF(SUMIFS('Region Mapping'!$E:$E,'Region Mapping'!$A:$A,'Key inputs_Emissions'!C$39)&gt;0,'IPCC(2006)'!$F$69*1000/Legend!$B$86,'IPCC(2006)'!$J$69*1000/Legend!$B$86)</f>
        <v>0</v>
      </c>
      <c r="D129" s="209">
        <f>IF(SUMIFS('Region Mapping'!$E:$E,'Region Mapping'!$A:$A,'Key inputs_Emissions'!D$39)&gt;0,'IPCC(2006)'!$F$69*1000/Legend!$B$86,'IPCC(2006)'!$J$69*1000/Legend!$B$86)</f>
        <v>0</v>
      </c>
      <c r="E129" s="209">
        <f>IF(SUMIFS('Region Mapping'!$E:$E,'Region Mapping'!$A:$A,'Key inputs_Emissions'!E$39)&gt;0,'IPCC(2006)'!$F$69*1000/Legend!$B$86,'IPCC(2006)'!$J$69*1000/Legend!$B$86)</f>
        <v>0</v>
      </c>
      <c r="F129" s="209">
        <f>IF(SUMIFS('Region Mapping'!$E:$E,'Region Mapping'!$A:$A,'Key inputs_Emissions'!F$39)&gt;0,'IPCC(2006)'!$F$69*1000/Legend!$B$86,'IPCC(2006)'!$J$69*1000/Legend!$B$86)</f>
        <v>0</v>
      </c>
      <c r="G129" s="209">
        <f>IF(SUMIFS('Region Mapping'!$E:$E,'Region Mapping'!$A:$A,'Key inputs_Emissions'!G$39)&gt;0,'IPCC(2006)'!$F$69*1000/Legend!$B$86,'IPCC(2006)'!$J$69*1000/Legend!$B$86)</f>
        <v>0</v>
      </c>
      <c r="H129" s="209">
        <f>IF(SUMIFS('Region Mapping'!$E:$E,'Region Mapping'!$A:$A,'Key inputs_Emissions'!H$39)&gt;0,'IPCC(2006)'!$F$69*1000/Legend!$B$86,'IPCC(2006)'!$J$69*1000/Legend!$B$86)</f>
        <v>0</v>
      </c>
      <c r="I129" s="209">
        <f>IF(SUMIFS('Region Mapping'!$E:$E,'Region Mapping'!$A:$A,'Key inputs_Emissions'!I$39)&gt;0,'IPCC(2006)'!$F$69*1000/Legend!$B$86,'IPCC(2006)'!$J$69*1000/Legend!$B$86)</f>
        <v>0</v>
      </c>
      <c r="J129" s="209">
        <f>IF(SUMIFS('Region Mapping'!$E:$E,'Region Mapping'!$A:$A,'Key inputs_Emissions'!J$39)&gt;0,'IPCC(2006)'!$F$69*1000/Legend!$B$86,'IPCC(2006)'!$J$69*1000/Legend!$B$86)</f>
        <v>0</v>
      </c>
      <c r="K129" s="209">
        <f>IF(SUMIFS('Region Mapping'!$E:$E,'Region Mapping'!$A:$A,'Key inputs_Emissions'!K$39)&gt;0,'IPCC(2006)'!$F$69*1000/Legend!$B$86,'IPCC(2006)'!$J$69*1000/Legend!$B$86)</f>
        <v>0</v>
      </c>
      <c r="L129" s="209">
        <f>IF(SUMIFS('Region Mapping'!$E:$E,'Region Mapping'!$A:$A,'Key inputs_Emissions'!L$39)&gt;0,'IPCC(2006)'!$F$69*1000/Legend!$B$86,'IPCC(2006)'!$J$69*1000/Legend!$B$86)</f>
        <v>0</v>
      </c>
      <c r="M129" s="209">
        <f>IF(SUMIFS('Region Mapping'!$E:$E,'Region Mapping'!$A:$A,'Key inputs_Emissions'!M$39)&gt;0,'IPCC(2006)'!$F$69*1000/Legend!$B$86,'IPCC(2006)'!$J$69*1000/Legend!$B$86)</f>
        <v>0</v>
      </c>
      <c r="N129" s="209">
        <f>IF(SUMIFS('Region Mapping'!$E:$E,'Region Mapping'!$A:$A,'Key inputs_Emissions'!N$39)&gt;0,'IPCC(2006)'!$F$69*1000/Legend!$B$86,'IPCC(2006)'!$J$69*1000/Legend!$B$86)</f>
        <v>0</v>
      </c>
      <c r="O129" s="209">
        <f>IF(SUMIFS('Region Mapping'!$E:$E,'Region Mapping'!$A:$A,'Key inputs_Emissions'!O$39)&gt;0,'IPCC(2006)'!$F$69*1000/Legend!$B$86,'IPCC(2006)'!$J$69*1000/Legend!$B$86)</f>
        <v>0</v>
      </c>
      <c r="P129" s="209">
        <f>IF(SUMIFS('Region Mapping'!$E:$E,'Region Mapping'!$A:$A,'Key inputs_Emissions'!P$39)&gt;0,'IPCC(2006)'!$F$69*1000/Legend!$B$86,'IPCC(2006)'!$J$69*1000/Legend!$B$86)</f>
        <v>0</v>
      </c>
      <c r="Q129" s="209">
        <f>IF(SUMIFS('Region Mapping'!$E:$E,'Region Mapping'!$A:$A,'Key inputs_Emissions'!Q$39)&gt;0,'IPCC(2006)'!$F$69*1000/Legend!$B$86,'IPCC(2006)'!$J$69*1000/Legend!$B$86)</f>
        <v>0</v>
      </c>
      <c r="R129" s="209">
        <f>IF(SUMIFS('Region Mapping'!$E:$E,'Region Mapping'!$A:$A,'Key inputs_Emissions'!R$39)&gt;0,'IPCC(2006)'!$F$69*1000/Legend!$B$86,'IPCC(2006)'!$J$69*1000/Legend!$B$86)</f>
        <v>0</v>
      </c>
      <c r="S129" s="209">
        <f>IF(SUMIFS('Region Mapping'!$E:$E,'Region Mapping'!$A:$A,'Key inputs_Emissions'!S$39)&gt;0,'IPCC(2006)'!$F$69*1000/Legend!$B$86,'IPCC(2006)'!$J$69*1000/Legend!$B$86)</f>
        <v>0</v>
      </c>
      <c r="T129" s="209">
        <f>IF(SUMIFS('Region Mapping'!$E:$E,'Region Mapping'!$A:$A,'Key inputs_Emissions'!T$39)&gt;0,'IPCC(2006)'!$F$69*1000/Legend!$B$86,'IPCC(2006)'!$J$69*1000/Legend!$B$86)</f>
        <v>0</v>
      </c>
      <c r="U129" s="209">
        <f>IF(SUMIFS('Region Mapping'!$E:$E,'Region Mapping'!$A:$A,'Key inputs_Emissions'!U$39)&gt;0,'IPCC(2006)'!$F$69*1000/Legend!$B$86,'IPCC(2006)'!$J$69*1000/Legend!$B$86)</f>
        <v>0</v>
      </c>
      <c r="V129" s="209">
        <f>IF(SUMIFS('Region Mapping'!$E:$E,'Region Mapping'!$A:$A,'Key inputs_Emissions'!V$39)&gt;0,'IPCC(2006)'!$F$69*1000/Legend!$B$86,'IPCC(2006)'!$J$69*1000/Legend!$B$86)</f>
        <v>0</v>
      </c>
      <c r="W129" s="209">
        <f>IF(SUMIFS('Region Mapping'!$E:$E,'Region Mapping'!$A:$A,'Key inputs_Emissions'!W$39)&gt;0,'IPCC(2006)'!$F$69*1000/Legend!$B$86,'IPCC(2006)'!$J$69*1000/Legend!$B$86)</f>
        <v>0</v>
      </c>
      <c r="X129" s="209">
        <f>IF(SUMIFS('Region Mapping'!$E:$E,'Region Mapping'!$A:$A,'Key inputs_Emissions'!X$39)&gt;0,'IPCC(2006)'!$F$69*1000/Legend!$B$86,'IPCC(2006)'!$J$69*1000/Legend!$B$86)</f>
        <v>0</v>
      </c>
      <c r="Y129" s="209">
        <f>IF(SUMIFS('Region Mapping'!$E:$E,'Region Mapping'!$A:$A,'Key inputs_Emissions'!Y$39)&gt;0,'IPCC(2006)'!$F$69*1000/Legend!$B$86,'IPCC(2006)'!$J$69*1000/Legend!$B$86)</f>
        <v>0</v>
      </c>
      <c r="Z129" s="209">
        <f>IF(SUMIFS('Region Mapping'!$E:$E,'Region Mapping'!$A:$A,'Key inputs_Emissions'!Z$39)&gt;0,'IPCC(2006)'!$F$69*1000/Legend!$B$86,'IPCC(2006)'!$J$69*1000/Legend!$B$86)</f>
        <v>0</v>
      </c>
      <c r="AA129" s="209">
        <f>IF(SUMIFS('Region Mapping'!$E:$E,'Region Mapping'!$A:$A,'Key inputs_Emissions'!AA$39)&gt;0,'IPCC(2006)'!$F$69*1000/Legend!$B$86,'IPCC(2006)'!$J$69*1000/Legend!$B$86)</f>
        <v>0</v>
      </c>
      <c r="AB129" s="209">
        <f>IF(SUMIFS('Region Mapping'!$E:$E,'Region Mapping'!$A:$A,'Key inputs_Emissions'!AB$39)&gt;0,'IPCC(2006)'!$F$69*1000/Legend!$B$86,'IPCC(2006)'!$J$69*1000/Legend!$B$86)</f>
        <v>0</v>
      </c>
      <c r="AC129" s="209">
        <f>IF(SUMIFS('Region Mapping'!$E:$E,'Region Mapping'!$A:$A,'Key inputs_Emissions'!AC$39)&gt;0,'IPCC(2006)'!$F$69*1000/Legend!$B$86,'IPCC(2006)'!$J$69*1000/Legend!$B$86)</f>
        <v>0</v>
      </c>
      <c r="AD129" s="220">
        <f>IF(SUMIFS('Region Mapping'!$E:$E,'Region Mapping'!$A:$A,'Key inputs_Emissions'!AD$39)&gt;0,'IPCC(2006)'!$F$69*1000/Legend!$B$86,'IPCC(2006)'!$J$69*1000/Legend!$B$86)</f>
        <v>0</v>
      </c>
    </row>
    <row r="130" spans="1:30">
      <c r="A130" s="215" t="s">
        <v>1004</v>
      </c>
      <c r="B130" t="s">
        <v>1005</v>
      </c>
      <c r="C130" s="209">
        <f>IF(SUMIFS('Region Mapping'!$E:$E,'Region Mapping'!$A:$A,'Key inputs_Emissions'!C$39)&gt;0,'IPCC(2006)'!$F$73*1000/Legend!$B$86,'IPCC(2006)'!$J$73*1000/Legend!$B$86)</f>
        <v>0</v>
      </c>
      <c r="D130" s="209">
        <f>IF(SUMIFS('Region Mapping'!$E:$E,'Region Mapping'!$A:$A,'Key inputs_Emissions'!D$39)&gt;0,'IPCC(2006)'!$F$73*1000/Legend!$B$86,'IPCC(2006)'!$J$73*1000/Legend!$B$86)</f>
        <v>0</v>
      </c>
      <c r="E130" s="209">
        <f>IF(SUMIFS('Region Mapping'!$E:$E,'Region Mapping'!$A:$A,'Key inputs_Emissions'!E$39)&gt;0,'IPCC(2006)'!$F$73*1000/Legend!$B$86,'IPCC(2006)'!$J$73*1000/Legend!$B$86)</f>
        <v>0</v>
      </c>
      <c r="F130" s="209">
        <f>IF(SUMIFS('Region Mapping'!$E:$E,'Region Mapping'!$A:$A,'Key inputs_Emissions'!F$39)&gt;0,'IPCC(2006)'!$F$73*1000/Legend!$B$86,'IPCC(2006)'!$J$73*1000/Legend!$B$86)</f>
        <v>0</v>
      </c>
      <c r="G130" s="209">
        <f>IF(SUMIFS('Region Mapping'!$E:$E,'Region Mapping'!$A:$A,'Key inputs_Emissions'!G$39)&gt;0,'IPCC(2006)'!$F$73*1000/Legend!$B$86,'IPCC(2006)'!$J$73*1000/Legend!$B$86)</f>
        <v>0</v>
      </c>
      <c r="H130" s="209">
        <f>IF(SUMIFS('Region Mapping'!$E:$E,'Region Mapping'!$A:$A,'Key inputs_Emissions'!H$39)&gt;0,'IPCC(2006)'!$F$73*1000/Legend!$B$86,'IPCC(2006)'!$J$73*1000/Legend!$B$86)</f>
        <v>0</v>
      </c>
      <c r="I130" s="209">
        <f>IF(SUMIFS('Region Mapping'!$E:$E,'Region Mapping'!$A:$A,'Key inputs_Emissions'!I$39)&gt;0,'IPCC(2006)'!$F$73*1000/Legend!$B$86,'IPCC(2006)'!$J$73*1000/Legend!$B$86)</f>
        <v>0</v>
      </c>
      <c r="J130" s="209">
        <f>IF(SUMIFS('Region Mapping'!$E:$E,'Region Mapping'!$A:$A,'Key inputs_Emissions'!J$39)&gt;0,'IPCC(2006)'!$F$73*1000/Legend!$B$86,'IPCC(2006)'!$J$73*1000/Legend!$B$86)</f>
        <v>0</v>
      </c>
      <c r="K130" s="209">
        <f>IF(SUMIFS('Region Mapping'!$E:$E,'Region Mapping'!$A:$A,'Key inputs_Emissions'!K$39)&gt;0,'IPCC(2006)'!$F$73*1000/Legend!$B$86,'IPCC(2006)'!$J$73*1000/Legend!$B$86)</f>
        <v>0</v>
      </c>
      <c r="L130" s="209">
        <f>IF(SUMIFS('Region Mapping'!$E:$E,'Region Mapping'!$A:$A,'Key inputs_Emissions'!L$39)&gt;0,'IPCC(2006)'!$F$73*1000/Legend!$B$86,'IPCC(2006)'!$J$73*1000/Legend!$B$86)</f>
        <v>0</v>
      </c>
      <c r="M130" s="209">
        <f>IF(SUMIFS('Region Mapping'!$E:$E,'Region Mapping'!$A:$A,'Key inputs_Emissions'!M$39)&gt;0,'IPCC(2006)'!$F$73*1000/Legend!$B$86,'IPCC(2006)'!$J$73*1000/Legend!$B$86)</f>
        <v>0</v>
      </c>
      <c r="N130" s="209">
        <f>IF(SUMIFS('Region Mapping'!$E:$E,'Region Mapping'!$A:$A,'Key inputs_Emissions'!N$39)&gt;0,'IPCC(2006)'!$F$73*1000/Legend!$B$86,'IPCC(2006)'!$J$73*1000/Legend!$B$86)</f>
        <v>0</v>
      </c>
      <c r="O130" s="209">
        <f>IF(SUMIFS('Region Mapping'!$E:$E,'Region Mapping'!$A:$A,'Key inputs_Emissions'!O$39)&gt;0,'IPCC(2006)'!$F$73*1000/Legend!$B$86,'IPCC(2006)'!$J$73*1000/Legend!$B$86)</f>
        <v>0</v>
      </c>
      <c r="P130" s="209">
        <f>IF(SUMIFS('Region Mapping'!$E:$E,'Region Mapping'!$A:$A,'Key inputs_Emissions'!P$39)&gt;0,'IPCC(2006)'!$F$73*1000/Legend!$B$86,'IPCC(2006)'!$J$73*1000/Legend!$B$86)</f>
        <v>0</v>
      </c>
      <c r="Q130" s="209">
        <f>IF(SUMIFS('Region Mapping'!$E:$E,'Region Mapping'!$A:$A,'Key inputs_Emissions'!Q$39)&gt;0,'IPCC(2006)'!$F$73*1000/Legend!$B$86,'IPCC(2006)'!$J$73*1000/Legend!$B$86)</f>
        <v>0</v>
      </c>
      <c r="R130" s="209">
        <f>IF(SUMIFS('Region Mapping'!$E:$E,'Region Mapping'!$A:$A,'Key inputs_Emissions'!R$39)&gt;0,'IPCC(2006)'!$F$73*1000/Legend!$B$86,'IPCC(2006)'!$J$73*1000/Legend!$B$86)</f>
        <v>0</v>
      </c>
      <c r="S130" s="209">
        <f>IF(SUMIFS('Region Mapping'!$E:$E,'Region Mapping'!$A:$A,'Key inputs_Emissions'!S$39)&gt;0,'IPCC(2006)'!$F$73*1000/Legend!$B$86,'IPCC(2006)'!$J$73*1000/Legend!$B$86)</f>
        <v>0</v>
      </c>
      <c r="T130" s="209">
        <f>IF(SUMIFS('Region Mapping'!$E:$E,'Region Mapping'!$A:$A,'Key inputs_Emissions'!T$39)&gt;0,'IPCC(2006)'!$F$73*1000/Legend!$B$86,'IPCC(2006)'!$J$73*1000/Legend!$B$86)</f>
        <v>0</v>
      </c>
      <c r="U130" s="209">
        <f>IF(SUMIFS('Region Mapping'!$E:$E,'Region Mapping'!$A:$A,'Key inputs_Emissions'!U$39)&gt;0,'IPCC(2006)'!$F$73*1000/Legend!$B$86,'IPCC(2006)'!$J$73*1000/Legend!$B$86)</f>
        <v>0</v>
      </c>
      <c r="V130" s="209">
        <f>IF(SUMIFS('Region Mapping'!$E:$E,'Region Mapping'!$A:$A,'Key inputs_Emissions'!V$39)&gt;0,'IPCC(2006)'!$F$73*1000/Legend!$B$86,'IPCC(2006)'!$J$73*1000/Legend!$B$86)</f>
        <v>0</v>
      </c>
      <c r="W130" s="209">
        <f>IF(SUMIFS('Region Mapping'!$E:$E,'Region Mapping'!$A:$A,'Key inputs_Emissions'!W$39)&gt;0,'IPCC(2006)'!$F$73*1000/Legend!$B$86,'IPCC(2006)'!$J$73*1000/Legend!$B$86)</f>
        <v>0</v>
      </c>
      <c r="X130" s="209">
        <f>IF(SUMIFS('Region Mapping'!$E:$E,'Region Mapping'!$A:$A,'Key inputs_Emissions'!X$39)&gt;0,'IPCC(2006)'!$F$73*1000/Legend!$B$86,'IPCC(2006)'!$J$73*1000/Legend!$B$86)</f>
        <v>0</v>
      </c>
      <c r="Y130" s="209">
        <f>IF(SUMIFS('Region Mapping'!$E:$E,'Region Mapping'!$A:$A,'Key inputs_Emissions'!Y$39)&gt;0,'IPCC(2006)'!$F$73*1000/Legend!$B$86,'IPCC(2006)'!$J$73*1000/Legend!$B$86)</f>
        <v>0</v>
      </c>
      <c r="Z130" s="209">
        <f>IF(SUMIFS('Region Mapping'!$E:$E,'Region Mapping'!$A:$A,'Key inputs_Emissions'!Z$39)&gt;0,'IPCC(2006)'!$F$73*1000/Legend!$B$86,'IPCC(2006)'!$J$73*1000/Legend!$B$86)</f>
        <v>0</v>
      </c>
      <c r="AA130" s="209">
        <f>IF(SUMIFS('Region Mapping'!$E:$E,'Region Mapping'!$A:$A,'Key inputs_Emissions'!AA$39)&gt;0,'IPCC(2006)'!$F$73*1000/Legend!$B$86,'IPCC(2006)'!$J$73*1000/Legend!$B$86)</f>
        <v>0</v>
      </c>
      <c r="AB130" s="209">
        <f>IF(SUMIFS('Region Mapping'!$E:$E,'Region Mapping'!$A:$A,'Key inputs_Emissions'!AB$39)&gt;0,'IPCC(2006)'!$F$73*1000/Legend!$B$86,'IPCC(2006)'!$J$73*1000/Legend!$B$86)</f>
        <v>0</v>
      </c>
      <c r="AC130" s="209">
        <f>IF(SUMIFS('Region Mapping'!$E:$E,'Region Mapping'!$A:$A,'Key inputs_Emissions'!AC$39)&gt;0,'IPCC(2006)'!$F$73*1000/Legend!$B$86,'IPCC(2006)'!$J$73*1000/Legend!$B$86)</f>
        <v>0</v>
      </c>
      <c r="AD130" s="220">
        <f>IF(SUMIFS('Region Mapping'!$E:$E,'Region Mapping'!$A:$A,'Key inputs_Emissions'!AD$39)&gt;0,'IPCC(2006)'!$F$73*1000/Legend!$B$86,'IPCC(2006)'!$J$73*1000/Legend!$B$86)</f>
        <v>0</v>
      </c>
    </row>
    <row r="131" spans="1:30">
      <c r="A131" s="215" t="s">
        <v>1006</v>
      </c>
      <c r="B131" t="s">
        <v>1007</v>
      </c>
      <c r="C131" s="209">
        <f>IF(SUMIFS('Region Mapping'!$E:$E,'Region Mapping'!$A:$A,'Key inputs_Emissions'!C$39)&gt;0,'IPCC(2006)'!$F$75*1000/Legend!$B$96,'IPCC(2006)'!$J$75*1000/Legend!$B$96)</f>
        <v>0</v>
      </c>
      <c r="D131" s="209">
        <f>IF(SUMIFS('Region Mapping'!$E:$E,'Region Mapping'!$A:$A,'Key inputs_Emissions'!D$39)&gt;0,'IPCC(2006)'!$F$75*1000/Legend!$B$96,'IPCC(2006)'!$J$75*1000/Legend!$B$96)</f>
        <v>0</v>
      </c>
      <c r="E131" s="209">
        <f>IF(SUMIFS('Region Mapping'!$E:$E,'Region Mapping'!$A:$A,'Key inputs_Emissions'!E$39)&gt;0,'IPCC(2006)'!$F$75*1000/Legend!$B$96,'IPCC(2006)'!$J$75*1000/Legend!$B$96)</f>
        <v>0</v>
      </c>
      <c r="F131" s="209">
        <f>IF(SUMIFS('Region Mapping'!$E:$E,'Region Mapping'!$A:$A,'Key inputs_Emissions'!F$39)&gt;0,'IPCC(2006)'!$F$75*1000/Legend!$B$96,'IPCC(2006)'!$J$75*1000/Legend!$B$96)</f>
        <v>0</v>
      </c>
      <c r="G131" s="209">
        <f>IF(SUMIFS('Region Mapping'!$E:$E,'Region Mapping'!$A:$A,'Key inputs_Emissions'!G$39)&gt;0,'IPCC(2006)'!$F$75*1000/Legend!$B$96,'IPCC(2006)'!$J$75*1000/Legend!$B$96)</f>
        <v>0</v>
      </c>
      <c r="H131" s="209">
        <f>IF(SUMIFS('Region Mapping'!$E:$E,'Region Mapping'!$A:$A,'Key inputs_Emissions'!H$39)&gt;0,'IPCC(2006)'!$F$75*1000/Legend!$B$96,'IPCC(2006)'!$J$75*1000/Legend!$B$96)</f>
        <v>0</v>
      </c>
      <c r="I131" s="209">
        <f>IF(SUMIFS('Region Mapping'!$E:$E,'Region Mapping'!$A:$A,'Key inputs_Emissions'!I$39)&gt;0,'IPCC(2006)'!$F$75*1000/Legend!$B$96,'IPCC(2006)'!$J$75*1000/Legend!$B$96)</f>
        <v>0</v>
      </c>
      <c r="J131" s="209">
        <f>IF(SUMIFS('Region Mapping'!$E:$E,'Region Mapping'!$A:$A,'Key inputs_Emissions'!J$39)&gt;0,'IPCC(2006)'!$F$75*1000/Legend!$B$96,'IPCC(2006)'!$J$75*1000/Legend!$B$96)</f>
        <v>0</v>
      </c>
      <c r="K131" s="209">
        <f>IF(SUMIFS('Region Mapping'!$E:$E,'Region Mapping'!$A:$A,'Key inputs_Emissions'!K$39)&gt;0,'IPCC(2006)'!$F$75*1000/Legend!$B$96,'IPCC(2006)'!$J$75*1000/Legend!$B$96)</f>
        <v>0</v>
      </c>
      <c r="L131" s="209">
        <f>IF(SUMIFS('Region Mapping'!$E:$E,'Region Mapping'!$A:$A,'Key inputs_Emissions'!L$39)&gt;0,'IPCC(2006)'!$F$75*1000/Legend!$B$96,'IPCC(2006)'!$J$75*1000/Legend!$B$96)</f>
        <v>0</v>
      </c>
      <c r="M131" s="209">
        <f>IF(SUMIFS('Region Mapping'!$E:$E,'Region Mapping'!$A:$A,'Key inputs_Emissions'!M$39)&gt;0,'IPCC(2006)'!$F$75*1000/Legend!$B$96,'IPCC(2006)'!$J$75*1000/Legend!$B$96)</f>
        <v>0</v>
      </c>
      <c r="N131" s="209">
        <f>IF(SUMIFS('Region Mapping'!$E:$E,'Region Mapping'!$A:$A,'Key inputs_Emissions'!N$39)&gt;0,'IPCC(2006)'!$F$75*1000/Legend!$B$96,'IPCC(2006)'!$J$75*1000/Legend!$B$96)</f>
        <v>0</v>
      </c>
      <c r="O131" s="209">
        <f>IF(SUMIFS('Region Mapping'!$E:$E,'Region Mapping'!$A:$A,'Key inputs_Emissions'!O$39)&gt;0,'IPCC(2006)'!$F$75*1000/Legend!$B$96,'IPCC(2006)'!$J$75*1000/Legend!$B$96)</f>
        <v>0</v>
      </c>
      <c r="P131" s="209">
        <f>IF(SUMIFS('Region Mapping'!$E:$E,'Region Mapping'!$A:$A,'Key inputs_Emissions'!P$39)&gt;0,'IPCC(2006)'!$F$75*1000/Legend!$B$96,'IPCC(2006)'!$J$75*1000/Legend!$B$96)</f>
        <v>0</v>
      </c>
      <c r="Q131" s="209">
        <f>IF(SUMIFS('Region Mapping'!$E:$E,'Region Mapping'!$A:$A,'Key inputs_Emissions'!Q$39)&gt;0,'IPCC(2006)'!$F$75*1000/Legend!$B$96,'IPCC(2006)'!$J$75*1000/Legend!$B$96)</f>
        <v>0</v>
      </c>
      <c r="R131" s="209">
        <f>IF(SUMIFS('Region Mapping'!$E:$E,'Region Mapping'!$A:$A,'Key inputs_Emissions'!R$39)&gt;0,'IPCC(2006)'!$F$75*1000/Legend!$B$96,'IPCC(2006)'!$J$75*1000/Legend!$B$96)</f>
        <v>0</v>
      </c>
      <c r="S131" s="209">
        <f>IF(SUMIFS('Region Mapping'!$E:$E,'Region Mapping'!$A:$A,'Key inputs_Emissions'!S$39)&gt;0,'IPCC(2006)'!$F$75*1000/Legend!$B$96,'IPCC(2006)'!$J$75*1000/Legend!$B$96)</f>
        <v>0</v>
      </c>
      <c r="T131" s="209">
        <f>IF(SUMIFS('Region Mapping'!$E:$E,'Region Mapping'!$A:$A,'Key inputs_Emissions'!T$39)&gt;0,'IPCC(2006)'!$F$75*1000/Legend!$B$96,'IPCC(2006)'!$J$75*1000/Legend!$B$96)</f>
        <v>0</v>
      </c>
      <c r="U131" s="209">
        <f>IF(SUMIFS('Region Mapping'!$E:$E,'Region Mapping'!$A:$A,'Key inputs_Emissions'!U$39)&gt;0,'IPCC(2006)'!$F$75*1000/Legend!$B$96,'IPCC(2006)'!$J$75*1000/Legend!$B$96)</f>
        <v>0</v>
      </c>
      <c r="V131" s="209">
        <f>IF(SUMIFS('Region Mapping'!$E:$E,'Region Mapping'!$A:$A,'Key inputs_Emissions'!V$39)&gt;0,'IPCC(2006)'!$F$75*1000/Legend!$B$96,'IPCC(2006)'!$J$75*1000/Legend!$B$96)</f>
        <v>0</v>
      </c>
      <c r="W131" s="209">
        <f>IF(SUMIFS('Region Mapping'!$E:$E,'Region Mapping'!$A:$A,'Key inputs_Emissions'!W$39)&gt;0,'IPCC(2006)'!$F$75*1000/Legend!$B$96,'IPCC(2006)'!$J$75*1000/Legend!$B$96)</f>
        <v>0</v>
      </c>
      <c r="X131" s="209">
        <f>IF(SUMIFS('Region Mapping'!$E:$E,'Region Mapping'!$A:$A,'Key inputs_Emissions'!X$39)&gt;0,'IPCC(2006)'!$F$75*1000/Legend!$B$96,'IPCC(2006)'!$J$75*1000/Legend!$B$96)</f>
        <v>0</v>
      </c>
      <c r="Y131" s="209">
        <f>IF(SUMIFS('Region Mapping'!$E:$E,'Region Mapping'!$A:$A,'Key inputs_Emissions'!Y$39)&gt;0,'IPCC(2006)'!$F$75*1000/Legend!$B$96,'IPCC(2006)'!$J$75*1000/Legend!$B$96)</f>
        <v>0</v>
      </c>
      <c r="Z131" s="209">
        <f>IF(SUMIFS('Region Mapping'!$E:$E,'Region Mapping'!$A:$A,'Key inputs_Emissions'!Z$39)&gt;0,'IPCC(2006)'!$F$75*1000/Legend!$B$96,'IPCC(2006)'!$J$75*1000/Legend!$B$96)</f>
        <v>0</v>
      </c>
      <c r="AA131" s="209">
        <f>IF(SUMIFS('Region Mapping'!$E:$E,'Region Mapping'!$A:$A,'Key inputs_Emissions'!AA$39)&gt;0,'IPCC(2006)'!$F$75*1000/Legend!$B$96,'IPCC(2006)'!$J$75*1000/Legend!$B$96)</f>
        <v>0</v>
      </c>
      <c r="AB131" s="209">
        <f>IF(SUMIFS('Region Mapping'!$E:$E,'Region Mapping'!$A:$A,'Key inputs_Emissions'!AB$39)&gt;0,'IPCC(2006)'!$F$75*1000/Legend!$B$96,'IPCC(2006)'!$J$75*1000/Legend!$B$96)</f>
        <v>0</v>
      </c>
      <c r="AC131" s="209">
        <f>IF(SUMIFS('Region Mapping'!$E:$E,'Region Mapping'!$A:$A,'Key inputs_Emissions'!AC$39)&gt;0,'IPCC(2006)'!$F$75*1000/Legend!$B$96,'IPCC(2006)'!$J$75*1000/Legend!$B$96)</f>
        <v>0</v>
      </c>
      <c r="AD131" s="220">
        <f>IF(SUMIFS('Region Mapping'!$E:$E,'Region Mapping'!$A:$A,'Key inputs_Emissions'!AD$39)&gt;0,'IPCC(2006)'!$F$75*1000/Legend!$B$96,'IPCC(2006)'!$J$75*1000/Legend!$B$96)</f>
        <v>0</v>
      </c>
    </row>
    <row r="132" spans="1:30">
      <c r="A132" s="215" t="s">
        <v>1008</v>
      </c>
      <c r="B132" t="s">
        <v>1009</v>
      </c>
      <c r="C132" s="209">
        <f>IF(SUMIFS('Region Mapping'!$E:$E,'Region Mapping'!$A:$A,'Key inputs_Emissions'!C$39)&gt;0,'IPCC(2006)'!$F$76*1000/Legend!$B$95,'IPCC(2006)'!$J$76*1000/Legend!$B$95)</f>
        <v>9.0163934426229518E-8</v>
      </c>
      <c r="D132" s="209">
        <f>IF(SUMIFS('Region Mapping'!$E:$E,'Region Mapping'!$A:$A,'Key inputs_Emissions'!D$39)&gt;0,'IPCC(2006)'!$F$76*1000/Legend!$B$95,'IPCC(2006)'!$J$76*1000/Legend!$B$95)</f>
        <v>9.0163934426229518E-8</v>
      </c>
      <c r="E132" s="209">
        <f>IF(SUMIFS('Region Mapping'!$E:$E,'Region Mapping'!$A:$A,'Key inputs_Emissions'!E$39)&gt;0,'IPCC(2006)'!$F$76*1000/Legend!$B$95,'IPCC(2006)'!$J$76*1000/Legend!$B$95)</f>
        <v>9.0163934426229518E-8</v>
      </c>
      <c r="F132" s="209">
        <f>IF(SUMIFS('Region Mapping'!$E:$E,'Region Mapping'!$A:$A,'Key inputs_Emissions'!F$39)&gt;0,'IPCC(2006)'!$F$76*1000/Legend!$B$95,'IPCC(2006)'!$J$76*1000/Legend!$B$95)</f>
        <v>9.0163934426229518E-8</v>
      </c>
      <c r="G132" s="209">
        <f>IF(SUMIFS('Region Mapping'!$E:$E,'Region Mapping'!$A:$A,'Key inputs_Emissions'!G$39)&gt;0,'IPCC(2006)'!$F$76*1000/Legend!$B$95,'IPCC(2006)'!$J$76*1000/Legend!$B$95)</f>
        <v>9.0163934426229518E-8</v>
      </c>
      <c r="H132" s="209">
        <f>IF(SUMIFS('Region Mapping'!$E:$E,'Region Mapping'!$A:$A,'Key inputs_Emissions'!H$39)&gt;0,'IPCC(2006)'!$F$76*1000/Legend!$B$95,'IPCC(2006)'!$J$76*1000/Legend!$B$95)</f>
        <v>9.0163934426229518E-8</v>
      </c>
      <c r="I132" s="209">
        <f>IF(SUMIFS('Region Mapping'!$E:$E,'Region Mapping'!$A:$A,'Key inputs_Emissions'!I$39)&gt;0,'IPCC(2006)'!$F$76*1000/Legend!$B$95,'IPCC(2006)'!$J$76*1000/Legend!$B$95)</f>
        <v>9.0163934426229518E-8</v>
      </c>
      <c r="J132" s="209">
        <f>IF(SUMIFS('Region Mapping'!$E:$E,'Region Mapping'!$A:$A,'Key inputs_Emissions'!J$39)&gt;0,'IPCC(2006)'!$F$76*1000/Legend!$B$95,'IPCC(2006)'!$J$76*1000/Legend!$B$95)</f>
        <v>9.0163934426229518E-8</v>
      </c>
      <c r="K132" s="209">
        <f>IF(SUMIFS('Region Mapping'!$E:$E,'Region Mapping'!$A:$A,'Key inputs_Emissions'!K$39)&gt;0,'IPCC(2006)'!$F$76*1000/Legend!$B$95,'IPCC(2006)'!$J$76*1000/Legend!$B$95)</f>
        <v>9.0163934426229518E-8</v>
      </c>
      <c r="L132" s="209">
        <f>IF(SUMIFS('Region Mapping'!$E:$E,'Region Mapping'!$A:$A,'Key inputs_Emissions'!L$39)&gt;0,'IPCC(2006)'!$F$76*1000/Legend!$B$95,'IPCC(2006)'!$J$76*1000/Legend!$B$95)</f>
        <v>9.0163934426229518E-8</v>
      </c>
      <c r="M132" s="209">
        <f>IF(SUMIFS('Region Mapping'!$E:$E,'Region Mapping'!$A:$A,'Key inputs_Emissions'!M$39)&gt;0,'IPCC(2006)'!$F$76*1000/Legend!$B$95,'IPCC(2006)'!$J$76*1000/Legend!$B$95)</f>
        <v>9.0163934426229518E-8</v>
      </c>
      <c r="N132" s="209">
        <f>IF(SUMIFS('Region Mapping'!$E:$E,'Region Mapping'!$A:$A,'Key inputs_Emissions'!N$39)&gt;0,'IPCC(2006)'!$F$76*1000/Legend!$B$95,'IPCC(2006)'!$J$76*1000/Legend!$B$95)</f>
        <v>9.0163934426229518E-8</v>
      </c>
      <c r="O132" s="209">
        <f>IF(SUMIFS('Region Mapping'!$E:$E,'Region Mapping'!$A:$A,'Key inputs_Emissions'!O$39)&gt;0,'IPCC(2006)'!$F$76*1000/Legend!$B$95,'IPCC(2006)'!$J$76*1000/Legend!$B$95)</f>
        <v>9.0163934426229518E-8</v>
      </c>
      <c r="P132" s="209">
        <f>IF(SUMIFS('Region Mapping'!$E:$E,'Region Mapping'!$A:$A,'Key inputs_Emissions'!P$39)&gt;0,'IPCC(2006)'!$F$76*1000/Legend!$B$95,'IPCC(2006)'!$J$76*1000/Legend!$B$95)</f>
        <v>9.0163934426229518E-8</v>
      </c>
      <c r="Q132" s="209">
        <f>IF(SUMIFS('Region Mapping'!$E:$E,'Region Mapping'!$A:$A,'Key inputs_Emissions'!Q$39)&gt;0,'IPCC(2006)'!$F$76*1000/Legend!$B$95,'IPCC(2006)'!$J$76*1000/Legend!$B$95)</f>
        <v>9.0163934426229518E-8</v>
      </c>
      <c r="R132" s="209">
        <f>IF(SUMIFS('Region Mapping'!$E:$E,'Region Mapping'!$A:$A,'Key inputs_Emissions'!R$39)&gt;0,'IPCC(2006)'!$F$76*1000/Legend!$B$95,'IPCC(2006)'!$J$76*1000/Legend!$B$95)</f>
        <v>9.0163934426229518E-8</v>
      </c>
      <c r="S132" s="209">
        <f>IF(SUMIFS('Region Mapping'!$E:$E,'Region Mapping'!$A:$A,'Key inputs_Emissions'!S$39)&gt;0,'IPCC(2006)'!$F$76*1000/Legend!$B$95,'IPCC(2006)'!$J$76*1000/Legend!$B$95)</f>
        <v>9.0163934426229518E-8</v>
      </c>
      <c r="T132" s="209">
        <f>IF(SUMIFS('Region Mapping'!$E:$E,'Region Mapping'!$A:$A,'Key inputs_Emissions'!T$39)&gt;0,'IPCC(2006)'!$F$76*1000/Legend!$B$95,'IPCC(2006)'!$J$76*1000/Legend!$B$95)</f>
        <v>9.0163934426229518E-8</v>
      </c>
      <c r="U132" s="209">
        <f>IF(SUMIFS('Region Mapping'!$E:$E,'Region Mapping'!$A:$A,'Key inputs_Emissions'!U$39)&gt;0,'IPCC(2006)'!$F$76*1000/Legend!$B$95,'IPCC(2006)'!$J$76*1000/Legend!$B$95)</f>
        <v>9.0163934426229518E-8</v>
      </c>
      <c r="V132" s="209">
        <f>IF(SUMIFS('Region Mapping'!$E:$E,'Region Mapping'!$A:$A,'Key inputs_Emissions'!V$39)&gt;0,'IPCC(2006)'!$F$76*1000/Legend!$B$95,'IPCC(2006)'!$J$76*1000/Legend!$B$95)</f>
        <v>9.0163934426229518E-8</v>
      </c>
      <c r="W132" s="209">
        <f>IF(SUMIFS('Region Mapping'!$E:$E,'Region Mapping'!$A:$A,'Key inputs_Emissions'!W$39)&gt;0,'IPCC(2006)'!$F$76*1000/Legend!$B$95,'IPCC(2006)'!$J$76*1000/Legend!$B$95)</f>
        <v>9.0163934426229518E-8</v>
      </c>
      <c r="X132" s="209">
        <f>IF(SUMIFS('Region Mapping'!$E:$E,'Region Mapping'!$A:$A,'Key inputs_Emissions'!X$39)&gt;0,'IPCC(2006)'!$F$76*1000/Legend!$B$95,'IPCC(2006)'!$J$76*1000/Legend!$B$95)</f>
        <v>9.0163934426229518E-8</v>
      </c>
      <c r="Y132" s="209">
        <f>IF(SUMIFS('Region Mapping'!$E:$E,'Region Mapping'!$A:$A,'Key inputs_Emissions'!Y$39)&gt;0,'IPCC(2006)'!$F$76*1000/Legend!$B$95,'IPCC(2006)'!$J$76*1000/Legend!$B$95)</f>
        <v>9.0163934426229518E-8</v>
      </c>
      <c r="Z132" s="209">
        <f>IF(SUMIFS('Region Mapping'!$E:$E,'Region Mapping'!$A:$A,'Key inputs_Emissions'!Z$39)&gt;0,'IPCC(2006)'!$F$76*1000/Legend!$B$95,'IPCC(2006)'!$J$76*1000/Legend!$B$95)</f>
        <v>9.0163934426229518E-8</v>
      </c>
      <c r="AA132" s="209">
        <f>IF(SUMIFS('Region Mapping'!$E:$E,'Region Mapping'!$A:$A,'Key inputs_Emissions'!AA$39)&gt;0,'IPCC(2006)'!$F$76*1000/Legend!$B$95,'IPCC(2006)'!$J$76*1000/Legend!$B$95)</f>
        <v>9.0163934426229518E-8</v>
      </c>
      <c r="AB132" s="209">
        <f>IF(SUMIFS('Region Mapping'!$E:$E,'Region Mapping'!$A:$A,'Key inputs_Emissions'!AB$39)&gt;0,'IPCC(2006)'!$F$76*1000/Legend!$B$95,'IPCC(2006)'!$J$76*1000/Legend!$B$95)</f>
        <v>9.0163934426229518E-8</v>
      </c>
      <c r="AC132" s="209">
        <f>IF(SUMIFS('Region Mapping'!$E:$E,'Region Mapping'!$A:$A,'Key inputs_Emissions'!AC$39)&gt;0,'IPCC(2006)'!$F$76*1000/Legend!$B$95,'IPCC(2006)'!$J$76*1000/Legend!$B$95)</f>
        <v>9.0163934426229518E-8</v>
      </c>
      <c r="AD132" s="220">
        <f>IF(SUMIFS('Region Mapping'!$E:$E,'Region Mapping'!$A:$A,'Key inputs_Emissions'!AD$39)&gt;0,'IPCC(2006)'!$F$76*1000/Legend!$B$95,'IPCC(2006)'!$J$76*1000/Legend!$B$95)</f>
        <v>9.0163934426229518E-8</v>
      </c>
    </row>
    <row r="133" spans="1:30">
      <c r="A133" s="215" t="s">
        <v>1010</v>
      </c>
      <c r="B133" t="s">
        <v>1011</v>
      </c>
      <c r="C133" s="209">
        <f>IF(SUMIFS('Region Mapping'!$E:$E,'Region Mapping'!$A:$A,'Key inputs_Emissions'!C$39)&gt;0,'IPCC(2006)'!$F$77*1000/Legend!$B$86,'IPCC(2006)'!$J$77*1000/Legend!$B$86)</f>
        <v>0</v>
      </c>
      <c r="D133" s="209">
        <f>IF(SUMIFS('Region Mapping'!$E:$E,'Region Mapping'!$A:$A,'Key inputs_Emissions'!D$39)&gt;0,'IPCC(2006)'!$F$77*1000/Legend!$B$86,'IPCC(2006)'!$J$77*1000/Legend!$B$86)</f>
        <v>0</v>
      </c>
      <c r="E133" s="209">
        <f>IF(SUMIFS('Region Mapping'!$E:$E,'Region Mapping'!$A:$A,'Key inputs_Emissions'!E$39)&gt;0,'IPCC(2006)'!$F$77*1000/Legend!$B$86,'IPCC(2006)'!$J$77*1000/Legend!$B$86)</f>
        <v>0</v>
      </c>
      <c r="F133" s="209">
        <f>IF(SUMIFS('Region Mapping'!$E:$E,'Region Mapping'!$A:$A,'Key inputs_Emissions'!F$39)&gt;0,'IPCC(2006)'!$F$77*1000/Legend!$B$86,'IPCC(2006)'!$J$77*1000/Legend!$B$86)</f>
        <v>0</v>
      </c>
      <c r="G133" s="209">
        <f>IF(SUMIFS('Region Mapping'!$E:$E,'Region Mapping'!$A:$A,'Key inputs_Emissions'!G$39)&gt;0,'IPCC(2006)'!$F$77*1000/Legend!$B$86,'IPCC(2006)'!$J$77*1000/Legend!$B$86)</f>
        <v>0</v>
      </c>
      <c r="H133" s="209">
        <f>IF(SUMIFS('Region Mapping'!$E:$E,'Region Mapping'!$A:$A,'Key inputs_Emissions'!H$39)&gt;0,'IPCC(2006)'!$F$77*1000/Legend!$B$86,'IPCC(2006)'!$J$77*1000/Legend!$B$86)</f>
        <v>0</v>
      </c>
      <c r="I133" s="209">
        <f>IF(SUMIFS('Region Mapping'!$E:$E,'Region Mapping'!$A:$A,'Key inputs_Emissions'!I$39)&gt;0,'IPCC(2006)'!$F$77*1000/Legend!$B$86,'IPCC(2006)'!$J$77*1000/Legend!$B$86)</f>
        <v>0</v>
      </c>
      <c r="J133" s="209">
        <f>IF(SUMIFS('Region Mapping'!$E:$E,'Region Mapping'!$A:$A,'Key inputs_Emissions'!J$39)&gt;0,'IPCC(2006)'!$F$77*1000/Legend!$B$86,'IPCC(2006)'!$J$77*1000/Legend!$B$86)</f>
        <v>0</v>
      </c>
      <c r="K133" s="209">
        <f>IF(SUMIFS('Region Mapping'!$E:$E,'Region Mapping'!$A:$A,'Key inputs_Emissions'!K$39)&gt;0,'IPCC(2006)'!$F$77*1000/Legend!$B$86,'IPCC(2006)'!$J$77*1000/Legend!$B$86)</f>
        <v>0</v>
      </c>
      <c r="L133" s="209">
        <f>IF(SUMIFS('Region Mapping'!$E:$E,'Region Mapping'!$A:$A,'Key inputs_Emissions'!L$39)&gt;0,'IPCC(2006)'!$F$77*1000/Legend!$B$86,'IPCC(2006)'!$J$77*1000/Legend!$B$86)</f>
        <v>0</v>
      </c>
      <c r="M133" s="209">
        <f>IF(SUMIFS('Region Mapping'!$E:$E,'Region Mapping'!$A:$A,'Key inputs_Emissions'!M$39)&gt;0,'IPCC(2006)'!$F$77*1000/Legend!$B$86,'IPCC(2006)'!$J$77*1000/Legend!$B$86)</f>
        <v>0</v>
      </c>
      <c r="N133" s="209">
        <f>IF(SUMIFS('Region Mapping'!$E:$E,'Region Mapping'!$A:$A,'Key inputs_Emissions'!N$39)&gt;0,'IPCC(2006)'!$F$77*1000/Legend!$B$86,'IPCC(2006)'!$J$77*1000/Legend!$B$86)</f>
        <v>0</v>
      </c>
      <c r="O133" s="209">
        <f>IF(SUMIFS('Region Mapping'!$E:$E,'Region Mapping'!$A:$A,'Key inputs_Emissions'!O$39)&gt;0,'IPCC(2006)'!$F$77*1000/Legend!$B$86,'IPCC(2006)'!$J$77*1000/Legend!$B$86)</f>
        <v>0</v>
      </c>
      <c r="P133" s="209">
        <f>IF(SUMIFS('Region Mapping'!$E:$E,'Region Mapping'!$A:$A,'Key inputs_Emissions'!P$39)&gt;0,'IPCC(2006)'!$F$77*1000/Legend!$B$86,'IPCC(2006)'!$J$77*1000/Legend!$B$86)</f>
        <v>0</v>
      </c>
      <c r="Q133" s="209">
        <f>IF(SUMIFS('Region Mapping'!$E:$E,'Region Mapping'!$A:$A,'Key inputs_Emissions'!Q$39)&gt;0,'IPCC(2006)'!$F$77*1000/Legend!$B$86,'IPCC(2006)'!$J$77*1000/Legend!$B$86)</f>
        <v>0</v>
      </c>
      <c r="R133" s="209">
        <f>IF(SUMIFS('Region Mapping'!$E:$E,'Region Mapping'!$A:$A,'Key inputs_Emissions'!R$39)&gt;0,'IPCC(2006)'!$F$77*1000/Legend!$B$86,'IPCC(2006)'!$J$77*1000/Legend!$B$86)</f>
        <v>0</v>
      </c>
      <c r="S133" s="209">
        <f>IF(SUMIFS('Region Mapping'!$E:$E,'Region Mapping'!$A:$A,'Key inputs_Emissions'!S$39)&gt;0,'IPCC(2006)'!$F$77*1000/Legend!$B$86,'IPCC(2006)'!$J$77*1000/Legend!$B$86)</f>
        <v>0</v>
      </c>
      <c r="T133" s="209">
        <f>IF(SUMIFS('Region Mapping'!$E:$E,'Region Mapping'!$A:$A,'Key inputs_Emissions'!T$39)&gt;0,'IPCC(2006)'!$F$77*1000/Legend!$B$86,'IPCC(2006)'!$J$77*1000/Legend!$B$86)</f>
        <v>0</v>
      </c>
      <c r="U133" s="209">
        <f>IF(SUMIFS('Region Mapping'!$E:$E,'Region Mapping'!$A:$A,'Key inputs_Emissions'!U$39)&gt;0,'IPCC(2006)'!$F$77*1000/Legend!$B$86,'IPCC(2006)'!$J$77*1000/Legend!$B$86)</f>
        <v>0</v>
      </c>
      <c r="V133" s="209">
        <f>IF(SUMIFS('Region Mapping'!$E:$E,'Region Mapping'!$A:$A,'Key inputs_Emissions'!V$39)&gt;0,'IPCC(2006)'!$F$77*1000/Legend!$B$86,'IPCC(2006)'!$J$77*1000/Legend!$B$86)</f>
        <v>0</v>
      </c>
      <c r="W133" s="209">
        <f>IF(SUMIFS('Region Mapping'!$E:$E,'Region Mapping'!$A:$A,'Key inputs_Emissions'!W$39)&gt;0,'IPCC(2006)'!$F$77*1000/Legend!$B$86,'IPCC(2006)'!$J$77*1000/Legend!$B$86)</f>
        <v>0</v>
      </c>
      <c r="X133" s="209">
        <f>IF(SUMIFS('Region Mapping'!$E:$E,'Region Mapping'!$A:$A,'Key inputs_Emissions'!X$39)&gt;0,'IPCC(2006)'!$F$77*1000/Legend!$B$86,'IPCC(2006)'!$J$77*1000/Legend!$B$86)</f>
        <v>0</v>
      </c>
      <c r="Y133" s="209">
        <f>IF(SUMIFS('Region Mapping'!$E:$E,'Region Mapping'!$A:$A,'Key inputs_Emissions'!Y$39)&gt;0,'IPCC(2006)'!$F$77*1000/Legend!$B$86,'IPCC(2006)'!$J$77*1000/Legend!$B$86)</f>
        <v>0</v>
      </c>
      <c r="Z133" s="209">
        <f>IF(SUMIFS('Region Mapping'!$E:$E,'Region Mapping'!$A:$A,'Key inputs_Emissions'!Z$39)&gt;0,'IPCC(2006)'!$F$77*1000/Legend!$B$86,'IPCC(2006)'!$J$77*1000/Legend!$B$86)</f>
        <v>0</v>
      </c>
      <c r="AA133" s="209">
        <f>IF(SUMIFS('Region Mapping'!$E:$E,'Region Mapping'!$A:$A,'Key inputs_Emissions'!AA$39)&gt;0,'IPCC(2006)'!$F$77*1000/Legend!$B$86,'IPCC(2006)'!$J$77*1000/Legend!$B$86)</f>
        <v>0</v>
      </c>
      <c r="AB133" s="209">
        <f>IF(SUMIFS('Region Mapping'!$E:$E,'Region Mapping'!$A:$A,'Key inputs_Emissions'!AB$39)&gt;0,'IPCC(2006)'!$F$77*1000/Legend!$B$86,'IPCC(2006)'!$J$77*1000/Legend!$B$86)</f>
        <v>0</v>
      </c>
      <c r="AC133" s="209">
        <f>IF(SUMIFS('Region Mapping'!$E:$E,'Region Mapping'!$A:$A,'Key inputs_Emissions'!AC$39)&gt;0,'IPCC(2006)'!$F$77*1000/Legend!$B$86,'IPCC(2006)'!$J$77*1000/Legend!$B$86)</f>
        <v>0</v>
      </c>
      <c r="AD133" s="220">
        <f>IF(SUMIFS('Region Mapping'!$E:$E,'Region Mapping'!$A:$A,'Key inputs_Emissions'!AD$39)&gt;0,'IPCC(2006)'!$F$77*1000/Legend!$B$86,'IPCC(2006)'!$J$77*1000/Legend!$B$86)</f>
        <v>0</v>
      </c>
    </row>
    <row r="134" spans="1:30">
      <c r="A134" s="215" t="s">
        <v>1012</v>
      </c>
      <c r="B134" t="s">
        <v>1013</v>
      </c>
      <c r="C134" s="209">
        <f>IF(SUMIFS('Region Mapping'!$E:$E,'Region Mapping'!$A:$A,'Key inputs_Emissions'!C$39)&gt;0,('IPCC(2006)'!$F$79+'IPCC(2006)'!$F$80+'IPCC(2006)'!$F$81+'IPCC(2006)'!$F$82)*1000/(Legend!$B$83*Legend!$B$82*Legend!$B$84),('IPCC(2006)'!$J$79+'IPCC(2006)'!$J$80+'IPCC(2006)'!$J$81+'IPCC(2006)'!$J$82)*1000/(Legend!$B$83*Legend!$B$82*Legend!$B$84))</f>
        <v>2.8580817849598416E-5</v>
      </c>
      <c r="D134" s="209">
        <f>IF(SUMIFS('Region Mapping'!$E:$E,'Region Mapping'!$A:$A,'Key inputs_Emissions'!D$39)&gt;0,('IPCC(2006)'!$F$79+'IPCC(2006)'!$F$80+'IPCC(2006)'!$F$81+'IPCC(2006)'!$F$82)*1000/(Legend!$B$83*Legend!$B$82*Legend!$B$84),('IPCC(2006)'!$J$79+'IPCC(2006)'!$J$80+'IPCC(2006)'!$J$81+'IPCC(2006)'!$J$82)*1000/(Legend!$B$83*Legend!$B$82*Legend!$B$84))</f>
        <v>2.8580817849598416E-5</v>
      </c>
      <c r="E134" s="209">
        <f>IF(SUMIFS('Region Mapping'!$E:$E,'Region Mapping'!$A:$A,'Key inputs_Emissions'!E$39)&gt;0,('IPCC(2006)'!$F$79+'IPCC(2006)'!$F$80+'IPCC(2006)'!$F$81+'IPCC(2006)'!$F$82)*1000/(Legend!$B$83*Legend!$B$82*Legend!$B$84),('IPCC(2006)'!$J$79+'IPCC(2006)'!$J$80+'IPCC(2006)'!$J$81+'IPCC(2006)'!$J$82)*1000/(Legend!$B$83*Legend!$B$82*Legend!$B$84))</f>
        <v>2.8580817849598416E-5</v>
      </c>
      <c r="F134" s="209">
        <f>IF(SUMIFS('Region Mapping'!$E:$E,'Region Mapping'!$A:$A,'Key inputs_Emissions'!F$39)&gt;0,('IPCC(2006)'!$F$79+'IPCC(2006)'!$F$80+'IPCC(2006)'!$F$81+'IPCC(2006)'!$F$82)*1000/(Legend!$B$83*Legend!$B$82*Legend!$B$84),('IPCC(2006)'!$J$79+'IPCC(2006)'!$J$80+'IPCC(2006)'!$J$81+'IPCC(2006)'!$J$82)*1000/(Legend!$B$83*Legend!$B$82*Legend!$B$84))</f>
        <v>2.8580817849598416E-5</v>
      </c>
      <c r="G134" s="209">
        <f>IF(SUMIFS('Region Mapping'!$E:$E,'Region Mapping'!$A:$A,'Key inputs_Emissions'!G$39)&gt;0,('IPCC(2006)'!$F$79+'IPCC(2006)'!$F$80+'IPCC(2006)'!$F$81+'IPCC(2006)'!$F$82)*1000/(Legend!$B$83*Legend!$B$82*Legend!$B$84),('IPCC(2006)'!$J$79+'IPCC(2006)'!$J$80+'IPCC(2006)'!$J$81+'IPCC(2006)'!$J$82)*1000/(Legend!$B$83*Legend!$B$82*Legend!$B$84))</f>
        <v>1.7668141943388111E-6</v>
      </c>
      <c r="H134" s="209">
        <f>IF(SUMIFS('Region Mapping'!$E:$E,'Region Mapping'!$A:$A,'Key inputs_Emissions'!H$39)&gt;0,('IPCC(2006)'!$F$79+'IPCC(2006)'!$F$80+'IPCC(2006)'!$F$81+'IPCC(2006)'!$F$82)*1000/(Legend!$B$83*Legend!$B$82*Legend!$B$84),('IPCC(2006)'!$J$79+'IPCC(2006)'!$J$80+'IPCC(2006)'!$J$81+'IPCC(2006)'!$J$82)*1000/(Legend!$B$83*Legend!$B$82*Legend!$B$84))</f>
        <v>2.8580817849598416E-5</v>
      </c>
      <c r="I134" s="209">
        <f>IF(SUMIFS('Region Mapping'!$E:$E,'Region Mapping'!$A:$A,'Key inputs_Emissions'!I$39)&gt;0,('IPCC(2006)'!$F$79+'IPCC(2006)'!$F$80+'IPCC(2006)'!$F$81+'IPCC(2006)'!$F$82)*1000/(Legend!$B$83*Legend!$B$82*Legend!$B$84),('IPCC(2006)'!$J$79+'IPCC(2006)'!$J$80+'IPCC(2006)'!$J$81+'IPCC(2006)'!$J$82)*1000/(Legend!$B$83*Legend!$B$82*Legend!$B$84))</f>
        <v>2.8580817849598416E-5</v>
      </c>
      <c r="J134" s="209">
        <f>IF(SUMIFS('Region Mapping'!$E:$E,'Region Mapping'!$A:$A,'Key inputs_Emissions'!J$39)&gt;0,('IPCC(2006)'!$F$79+'IPCC(2006)'!$F$80+'IPCC(2006)'!$F$81+'IPCC(2006)'!$F$82)*1000/(Legend!$B$83*Legend!$B$82*Legend!$B$84),('IPCC(2006)'!$J$79+'IPCC(2006)'!$J$80+'IPCC(2006)'!$J$81+'IPCC(2006)'!$J$82)*1000/(Legend!$B$83*Legend!$B$82*Legend!$B$84))</f>
        <v>2.8580817849598416E-5</v>
      </c>
      <c r="K134" s="209">
        <f>IF(SUMIFS('Region Mapping'!$E:$E,'Region Mapping'!$A:$A,'Key inputs_Emissions'!K$39)&gt;0,('IPCC(2006)'!$F$79+'IPCC(2006)'!$F$80+'IPCC(2006)'!$F$81+'IPCC(2006)'!$F$82)*1000/(Legend!$B$83*Legend!$B$82*Legend!$B$84),('IPCC(2006)'!$J$79+'IPCC(2006)'!$J$80+'IPCC(2006)'!$J$81+'IPCC(2006)'!$J$82)*1000/(Legend!$B$83*Legend!$B$82*Legend!$B$84))</f>
        <v>2.8580817849598416E-5</v>
      </c>
      <c r="L134" s="209">
        <f>IF(SUMIFS('Region Mapping'!$E:$E,'Region Mapping'!$A:$A,'Key inputs_Emissions'!L$39)&gt;0,('IPCC(2006)'!$F$79+'IPCC(2006)'!$F$80+'IPCC(2006)'!$F$81+'IPCC(2006)'!$F$82)*1000/(Legend!$B$83*Legend!$B$82*Legend!$B$84),('IPCC(2006)'!$J$79+'IPCC(2006)'!$J$80+'IPCC(2006)'!$J$81+'IPCC(2006)'!$J$82)*1000/(Legend!$B$83*Legend!$B$82*Legend!$B$84))</f>
        <v>1.7668141943388111E-6</v>
      </c>
      <c r="M134" s="209">
        <f>IF(SUMIFS('Region Mapping'!$E:$E,'Region Mapping'!$A:$A,'Key inputs_Emissions'!M$39)&gt;0,('IPCC(2006)'!$F$79+'IPCC(2006)'!$F$80+'IPCC(2006)'!$F$81+'IPCC(2006)'!$F$82)*1000/(Legend!$B$83*Legend!$B$82*Legend!$B$84),('IPCC(2006)'!$J$79+'IPCC(2006)'!$J$80+'IPCC(2006)'!$J$81+'IPCC(2006)'!$J$82)*1000/(Legend!$B$83*Legend!$B$82*Legend!$B$84))</f>
        <v>2.8580817849598416E-5</v>
      </c>
      <c r="N134" s="209">
        <f>IF(SUMIFS('Region Mapping'!$E:$E,'Region Mapping'!$A:$A,'Key inputs_Emissions'!N$39)&gt;0,('IPCC(2006)'!$F$79+'IPCC(2006)'!$F$80+'IPCC(2006)'!$F$81+'IPCC(2006)'!$F$82)*1000/(Legend!$B$83*Legend!$B$82*Legend!$B$84),('IPCC(2006)'!$J$79+'IPCC(2006)'!$J$80+'IPCC(2006)'!$J$81+'IPCC(2006)'!$J$82)*1000/(Legend!$B$83*Legend!$B$82*Legend!$B$84))</f>
        <v>2.8580817849598416E-5</v>
      </c>
      <c r="O134" s="209">
        <f>IF(SUMIFS('Region Mapping'!$E:$E,'Region Mapping'!$A:$A,'Key inputs_Emissions'!O$39)&gt;0,('IPCC(2006)'!$F$79+'IPCC(2006)'!$F$80+'IPCC(2006)'!$F$81+'IPCC(2006)'!$F$82)*1000/(Legend!$B$83*Legend!$B$82*Legend!$B$84),('IPCC(2006)'!$J$79+'IPCC(2006)'!$J$80+'IPCC(2006)'!$J$81+'IPCC(2006)'!$J$82)*1000/(Legend!$B$83*Legend!$B$82*Legend!$B$84))</f>
        <v>2.8580817849598416E-5</v>
      </c>
      <c r="P134" s="209">
        <f>IF(SUMIFS('Region Mapping'!$E:$E,'Region Mapping'!$A:$A,'Key inputs_Emissions'!P$39)&gt;0,('IPCC(2006)'!$F$79+'IPCC(2006)'!$F$80+'IPCC(2006)'!$F$81+'IPCC(2006)'!$F$82)*1000/(Legend!$B$83*Legend!$B$82*Legend!$B$84),('IPCC(2006)'!$J$79+'IPCC(2006)'!$J$80+'IPCC(2006)'!$J$81+'IPCC(2006)'!$J$82)*1000/(Legend!$B$83*Legend!$B$82*Legend!$B$84))</f>
        <v>1.7668141943388111E-6</v>
      </c>
      <c r="Q134" s="209">
        <f>IF(SUMIFS('Region Mapping'!$E:$E,'Region Mapping'!$A:$A,'Key inputs_Emissions'!Q$39)&gt;0,('IPCC(2006)'!$F$79+'IPCC(2006)'!$F$80+'IPCC(2006)'!$F$81+'IPCC(2006)'!$F$82)*1000/(Legend!$B$83*Legend!$B$82*Legend!$B$84),('IPCC(2006)'!$J$79+'IPCC(2006)'!$J$80+'IPCC(2006)'!$J$81+'IPCC(2006)'!$J$82)*1000/(Legend!$B$83*Legend!$B$82*Legend!$B$84))</f>
        <v>1.7668141943388111E-6</v>
      </c>
      <c r="R134" s="209">
        <f>IF(SUMIFS('Region Mapping'!$E:$E,'Region Mapping'!$A:$A,'Key inputs_Emissions'!R$39)&gt;0,('IPCC(2006)'!$F$79+'IPCC(2006)'!$F$80+'IPCC(2006)'!$F$81+'IPCC(2006)'!$F$82)*1000/(Legend!$B$83*Legend!$B$82*Legend!$B$84),('IPCC(2006)'!$J$79+'IPCC(2006)'!$J$80+'IPCC(2006)'!$J$81+'IPCC(2006)'!$J$82)*1000/(Legend!$B$83*Legend!$B$82*Legend!$B$84))</f>
        <v>1.7668141943388111E-6</v>
      </c>
      <c r="S134" s="209">
        <f>IF(SUMIFS('Region Mapping'!$E:$E,'Region Mapping'!$A:$A,'Key inputs_Emissions'!S$39)&gt;0,('IPCC(2006)'!$F$79+'IPCC(2006)'!$F$80+'IPCC(2006)'!$F$81+'IPCC(2006)'!$F$82)*1000/(Legend!$B$83*Legend!$B$82*Legend!$B$84),('IPCC(2006)'!$J$79+'IPCC(2006)'!$J$80+'IPCC(2006)'!$J$81+'IPCC(2006)'!$J$82)*1000/(Legend!$B$83*Legend!$B$82*Legend!$B$84))</f>
        <v>1.7668141943388111E-6</v>
      </c>
      <c r="T134" s="209">
        <f>IF(SUMIFS('Region Mapping'!$E:$E,'Region Mapping'!$A:$A,'Key inputs_Emissions'!T$39)&gt;0,('IPCC(2006)'!$F$79+'IPCC(2006)'!$F$80+'IPCC(2006)'!$F$81+'IPCC(2006)'!$F$82)*1000/(Legend!$B$83*Legend!$B$82*Legend!$B$84),('IPCC(2006)'!$J$79+'IPCC(2006)'!$J$80+'IPCC(2006)'!$J$81+'IPCC(2006)'!$J$82)*1000/(Legend!$B$83*Legend!$B$82*Legend!$B$84))</f>
        <v>2.8580817849598416E-5</v>
      </c>
      <c r="U134" s="209">
        <f>IF(SUMIFS('Region Mapping'!$E:$E,'Region Mapping'!$A:$A,'Key inputs_Emissions'!U$39)&gt;0,('IPCC(2006)'!$F$79+'IPCC(2006)'!$F$80+'IPCC(2006)'!$F$81+'IPCC(2006)'!$F$82)*1000/(Legend!$B$83*Legend!$B$82*Legend!$B$84),('IPCC(2006)'!$J$79+'IPCC(2006)'!$J$80+'IPCC(2006)'!$J$81+'IPCC(2006)'!$J$82)*1000/(Legend!$B$83*Legend!$B$82*Legend!$B$84))</f>
        <v>2.8580817849598416E-5</v>
      </c>
      <c r="V134" s="209">
        <f>IF(SUMIFS('Region Mapping'!$E:$E,'Region Mapping'!$A:$A,'Key inputs_Emissions'!V$39)&gt;0,('IPCC(2006)'!$F$79+'IPCC(2006)'!$F$80+'IPCC(2006)'!$F$81+'IPCC(2006)'!$F$82)*1000/(Legend!$B$83*Legend!$B$82*Legend!$B$84),('IPCC(2006)'!$J$79+'IPCC(2006)'!$J$80+'IPCC(2006)'!$J$81+'IPCC(2006)'!$J$82)*1000/(Legend!$B$83*Legend!$B$82*Legend!$B$84))</f>
        <v>1.7668141943388111E-6</v>
      </c>
      <c r="W134" s="209">
        <f>IF(SUMIFS('Region Mapping'!$E:$E,'Region Mapping'!$A:$A,'Key inputs_Emissions'!W$39)&gt;0,('IPCC(2006)'!$F$79+'IPCC(2006)'!$F$80+'IPCC(2006)'!$F$81+'IPCC(2006)'!$F$82)*1000/(Legend!$B$83*Legend!$B$82*Legend!$B$84),('IPCC(2006)'!$J$79+'IPCC(2006)'!$J$80+'IPCC(2006)'!$J$81+'IPCC(2006)'!$J$82)*1000/(Legend!$B$83*Legend!$B$82*Legend!$B$84))</f>
        <v>2.8580817849598416E-5</v>
      </c>
      <c r="X134" s="209">
        <f>IF(SUMIFS('Region Mapping'!$E:$E,'Region Mapping'!$A:$A,'Key inputs_Emissions'!X$39)&gt;0,('IPCC(2006)'!$F$79+'IPCC(2006)'!$F$80+'IPCC(2006)'!$F$81+'IPCC(2006)'!$F$82)*1000/(Legend!$B$83*Legend!$B$82*Legend!$B$84),('IPCC(2006)'!$J$79+'IPCC(2006)'!$J$80+'IPCC(2006)'!$J$81+'IPCC(2006)'!$J$82)*1000/(Legend!$B$83*Legend!$B$82*Legend!$B$84))</f>
        <v>2.8580817849598416E-5</v>
      </c>
      <c r="Y134" s="209">
        <f>IF(SUMIFS('Region Mapping'!$E:$E,'Region Mapping'!$A:$A,'Key inputs_Emissions'!Y$39)&gt;0,('IPCC(2006)'!$F$79+'IPCC(2006)'!$F$80+'IPCC(2006)'!$F$81+'IPCC(2006)'!$F$82)*1000/(Legend!$B$83*Legend!$B$82*Legend!$B$84),('IPCC(2006)'!$J$79+'IPCC(2006)'!$J$80+'IPCC(2006)'!$J$81+'IPCC(2006)'!$J$82)*1000/(Legend!$B$83*Legend!$B$82*Legend!$B$84))</f>
        <v>2.8580817849598416E-5</v>
      </c>
      <c r="Z134" s="209">
        <f>IF(SUMIFS('Region Mapping'!$E:$E,'Region Mapping'!$A:$A,'Key inputs_Emissions'!Z$39)&gt;0,('IPCC(2006)'!$F$79+'IPCC(2006)'!$F$80+'IPCC(2006)'!$F$81+'IPCC(2006)'!$F$82)*1000/(Legend!$B$83*Legend!$B$82*Legend!$B$84),('IPCC(2006)'!$J$79+'IPCC(2006)'!$J$80+'IPCC(2006)'!$J$81+'IPCC(2006)'!$J$82)*1000/(Legend!$B$83*Legend!$B$82*Legend!$B$84))</f>
        <v>2.8580817849598416E-5</v>
      </c>
      <c r="AA134" s="209">
        <f>IF(SUMIFS('Region Mapping'!$E:$E,'Region Mapping'!$A:$A,'Key inputs_Emissions'!AA$39)&gt;0,('IPCC(2006)'!$F$79+'IPCC(2006)'!$F$80+'IPCC(2006)'!$F$81+'IPCC(2006)'!$F$82)*1000/(Legend!$B$83*Legend!$B$82*Legend!$B$84),('IPCC(2006)'!$J$79+'IPCC(2006)'!$J$80+'IPCC(2006)'!$J$81+'IPCC(2006)'!$J$82)*1000/(Legend!$B$83*Legend!$B$82*Legend!$B$84))</f>
        <v>2.8580817849598416E-5</v>
      </c>
      <c r="AB134" s="209">
        <f>IF(SUMIFS('Region Mapping'!$E:$E,'Region Mapping'!$A:$A,'Key inputs_Emissions'!AB$39)&gt;0,('IPCC(2006)'!$F$79+'IPCC(2006)'!$F$80+'IPCC(2006)'!$F$81+'IPCC(2006)'!$F$82)*1000/(Legend!$B$83*Legend!$B$82*Legend!$B$84),('IPCC(2006)'!$J$79+'IPCC(2006)'!$J$80+'IPCC(2006)'!$J$81+'IPCC(2006)'!$J$82)*1000/(Legend!$B$83*Legend!$B$82*Legend!$B$84))</f>
        <v>2.8580817849598416E-5</v>
      </c>
      <c r="AC134" s="209">
        <f>IF(SUMIFS('Region Mapping'!$E:$E,'Region Mapping'!$A:$A,'Key inputs_Emissions'!AC$39)&gt;0,('IPCC(2006)'!$F$79+'IPCC(2006)'!$F$80+'IPCC(2006)'!$F$81+'IPCC(2006)'!$F$82)*1000/(Legend!$B$83*Legend!$B$82*Legend!$B$84),('IPCC(2006)'!$J$79+'IPCC(2006)'!$J$80+'IPCC(2006)'!$J$81+'IPCC(2006)'!$J$82)*1000/(Legend!$B$83*Legend!$B$82*Legend!$B$84))</f>
        <v>1.7668141943388111E-6</v>
      </c>
      <c r="AD134" s="220">
        <f>IF(SUMIFS('Region Mapping'!$E:$E,'Region Mapping'!$A:$A,'Key inputs_Emissions'!AD$39)&gt;0,('IPCC(2006)'!$F$79+'IPCC(2006)'!$F$80+'IPCC(2006)'!$F$81+'IPCC(2006)'!$F$82)*1000/(Legend!$B$83*Legend!$B$82*Legend!$B$84),('IPCC(2006)'!$J$79+'IPCC(2006)'!$J$80+'IPCC(2006)'!$J$81+'IPCC(2006)'!$J$82)*1000/(Legend!$B$83*Legend!$B$82*Legend!$B$84))</f>
        <v>1.7668141943388111E-6</v>
      </c>
    </row>
    <row r="135" spans="1:30">
      <c r="A135" s="215" t="s">
        <v>1014</v>
      </c>
      <c r="B135" t="s">
        <v>1013</v>
      </c>
      <c r="C135" s="209">
        <f>IF(SUMIFS('Region Mapping'!$E:$E,'Region Mapping'!$A:$A,'Key inputs_Emissions'!C$39)&gt;0,'IPCC(2006)'!$F$83*1000/(Legend!$B$83*Legend!$B$82*Legend!$B$84),'IPCC(2006)'!$J$83*1000/(Legend!$B$83*Legend!$B$82*Legend!$B$84))</f>
        <v>0</v>
      </c>
      <c r="D135" s="209">
        <f>IF(SUMIFS('Region Mapping'!$E:$E,'Region Mapping'!$A:$A,'Key inputs_Emissions'!D$39)&gt;0,'IPCC(2006)'!$F$83*1000/(Legend!$B$83*Legend!$B$82*Legend!$B$84),'IPCC(2006)'!$J$83*1000/(Legend!$B$83*Legend!$B$82*Legend!$B$84))</f>
        <v>0</v>
      </c>
      <c r="E135" s="209">
        <f>IF(SUMIFS('Region Mapping'!$E:$E,'Region Mapping'!$A:$A,'Key inputs_Emissions'!E$39)&gt;0,'IPCC(2006)'!$F$83*1000/(Legend!$B$83*Legend!$B$82*Legend!$B$84),'IPCC(2006)'!$J$83*1000/(Legend!$B$83*Legend!$B$82*Legend!$B$84))</f>
        <v>0</v>
      </c>
      <c r="F135" s="209">
        <f>IF(SUMIFS('Region Mapping'!$E:$E,'Region Mapping'!$A:$A,'Key inputs_Emissions'!F$39)&gt;0,'IPCC(2006)'!$F$83*1000/(Legend!$B$83*Legend!$B$82*Legend!$B$84),'IPCC(2006)'!$J$83*1000/(Legend!$B$83*Legend!$B$82*Legend!$B$84))</f>
        <v>0</v>
      </c>
      <c r="G135" s="209">
        <f>IF(SUMIFS('Region Mapping'!$E:$E,'Region Mapping'!$A:$A,'Key inputs_Emissions'!G$39)&gt;0,'IPCC(2006)'!$F$83*1000/(Legend!$B$83*Legend!$B$82*Legend!$B$84),'IPCC(2006)'!$J$83*1000/(Legend!$B$83*Legend!$B$82*Legend!$B$84))</f>
        <v>0</v>
      </c>
      <c r="H135" s="209">
        <f>IF(SUMIFS('Region Mapping'!$E:$E,'Region Mapping'!$A:$A,'Key inputs_Emissions'!H$39)&gt;0,'IPCC(2006)'!$F$83*1000/(Legend!$B$83*Legend!$B$82*Legend!$B$84),'IPCC(2006)'!$J$83*1000/(Legend!$B$83*Legend!$B$82*Legend!$B$84))</f>
        <v>0</v>
      </c>
      <c r="I135" s="209">
        <f>IF(SUMIFS('Region Mapping'!$E:$E,'Region Mapping'!$A:$A,'Key inputs_Emissions'!I$39)&gt;0,'IPCC(2006)'!$F$83*1000/(Legend!$B$83*Legend!$B$82*Legend!$B$84),'IPCC(2006)'!$J$83*1000/(Legend!$B$83*Legend!$B$82*Legend!$B$84))</f>
        <v>0</v>
      </c>
      <c r="J135" s="209">
        <f>IF(SUMIFS('Region Mapping'!$E:$E,'Region Mapping'!$A:$A,'Key inputs_Emissions'!J$39)&gt;0,'IPCC(2006)'!$F$83*1000/(Legend!$B$83*Legend!$B$82*Legend!$B$84),'IPCC(2006)'!$J$83*1000/(Legend!$B$83*Legend!$B$82*Legend!$B$84))</f>
        <v>0</v>
      </c>
      <c r="K135" s="209">
        <f>IF(SUMIFS('Region Mapping'!$E:$E,'Region Mapping'!$A:$A,'Key inputs_Emissions'!K$39)&gt;0,'IPCC(2006)'!$F$83*1000/(Legend!$B$83*Legend!$B$82*Legend!$B$84),'IPCC(2006)'!$J$83*1000/(Legend!$B$83*Legend!$B$82*Legend!$B$84))</f>
        <v>0</v>
      </c>
      <c r="L135" s="209">
        <f>IF(SUMIFS('Region Mapping'!$E:$E,'Region Mapping'!$A:$A,'Key inputs_Emissions'!L$39)&gt;0,'IPCC(2006)'!$F$83*1000/(Legend!$B$83*Legend!$B$82*Legend!$B$84),'IPCC(2006)'!$J$83*1000/(Legend!$B$83*Legend!$B$82*Legend!$B$84))</f>
        <v>0</v>
      </c>
      <c r="M135" s="209">
        <f>IF(SUMIFS('Region Mapping'!$E:$E,'Region Mapping'!$A:$A,'Key inputs_Emissions'!M$39)&gt;0,'IPCC(2006)'!$F$83*1000/(Legend!$B$83*Legend!$B$82*Legend!$B$84),'IPCC(2006)'!$J$83*1000/(Legend!$B$83*Legend!$B$82*Legend!$B$84))</f>
        <v>0</v>
      </c>
      <c r="N135" s="209">
        <f>IF(SUMIFS('Region Mapping'!$E:$E,'Region Mapping'!$A:$A,'Key inputs_Emissions'!N$39)&gt;0,'IPCC(2006)'!$F$83*1000/(Legend!$B$83*Legend!$B$82*Legend!$B$84),'IPCC(2006)'!$J$83*1000/(Legend!$B$83*Legend!$B$82*Legend!$B$84))</f>
        <v>0</v>
      </c>
      <c r="O135" s="209">
        <f>IF(SUMIFS('Region Mapping'!$E:$E,'Region Mapping'!$A:$A,'Key inputs_Emissions'!O$39)&gt;0,'IPCC(2006)'!$F$83*1000/(Legend!$B$83*Legend!$B$82*Legend!$B$84),'IPCC(2006)'!$J$83*1000/(Legend!$B$83*Legend!$B$82*Legend!$B$84))</f>
        <v>0</v>
      </c>
      <c r="P135" s="209">
        <f>IF(SUMIFS('Region Mapping'!$E:$E,'Region Mapping'!$A:$A,'Key inputs_Emissions'!P$39)&gt;0,'IPCC(2006)'!$F$83*1000/(Legend!$B$83*Legend!$B$82*Legend!$B$84),'IPCC(2006)'!$J$83*1000/(Legend!$B$83*Legend!$B$82*Legend!$B$84))</f>
        <v>0</v>
      </c>
      <c r="Q135" s="209">
        <f>IF(SUMIFS('Region Mapping'!$E:$E,'Region Mapping'!$A:$A,'Key inputs_Emissions'!Q$39)&gt;0,'IPCC(2006)'!$F$83*1000/(Legend!$B$83*Legend!$B$82*Legend!$B$84),'IPCC(2006)'!$J$83*1000/(Legend!$B$83*Legend!$B$82*Legend!$B$84))</f>
        <v>0</v>
      </c>
      <c r="R135" s="209">
        <f>IF(SUMIFS('Region Mapping'!$E:$E,'Region Mapping'!$A:$A,'Key inputs_Emissions'!R$39)&gt;0,'IPCC(2006)'!$F$83*1000/(Legend!$B$83*Legend!$B$82*Legend!$B$84),'IPCC(2006)'!$J$83*1000/(Legend!$B$83*Legend!$B$82*Legend!$B$84))</f>
        <v>0</v>
      </c>
      <c r="S135" s="209">
        <f>IF(SUMIFS('Region Mapping'!$E:$E,'Region Mapping'!$A:$A,'Key inputs_Emissions'!S$39)&gt;0,'IPCC(2006)'!$F$83*1000/(Legend!$B$83*Legend!$B$82*Legend!$B$84),'IPCC(2006)'!$J$83*1000/(Legend!$B$83*Legend!$B$82*Legend!$B$84))</f>
        <v>0</v>
      </c>
      <c r="T135" s="209">
        <f>IF(SUMIFS('Region Mapping'!$E:$E,'Region Mapping'!$A:$A,'Key inputs_Emissions'!T$39)&gt;0,'IPCC(2006)'!$F$83*1000/(Legend!$B$83*Legend!$B$82*Legend!$B$84),'IPCC(2006)'!$J$83*1000/(Legend!$B$83*Legend!$B$82*Legend!$B$84))</f>
        <v>0</v>
      </c>
      <c r="U135" s="209">
        <f>IF(SUMIFS('Region Mapping'!$E:$E,'Region Mapping'!$A:$A,'Key inputs_Emissions'!U$39)&gt;0,'IPCC(2006)'!$F$83*1000/(Legend!$B$83*Legend!$B$82*Legend!$B$84),'IPCC(2006)'!$J$83*1000/(Legend!$B$83*Legend!$B$82*Legend!$B$84))</f>
        <v>0</v>
      </c>
      <c r="V135" s="209">
        <f>IF(SUMIFS('Region Mapping'!$E:$E,'Region Mapping'!$A:$A,'Key inputs_Emissions'!V$39)&gt;0,'IPCC(2006)'!$F$83*1000/(Legend!$B$83*Legend!$B$82*Legend!$B$84),'IPCC(2006)'!$J$83*1000/(Legend!$B$83*Legend!$B$82*Legend!$B$84))</f>
        <v>0</v>
      </c>
      <c r="W135" s="209">
        <f>IF(SUMIFS('Region Mapping'!$E:$E,'Region Mapping'!$A:$A,'Key inputs_Emissions'!W$39)&gt;0,'IPCC(2006)'!$F$83*1000/(Legend!$B$83*Legend!$B$82*Legend!$B$84),'IPCC(2006)'!$J$83*1000/(Legend!$B$83*Legend!$B$82*Legend!$B$84))</f>
        <v>0</v>
      </c>
      <c r="X135" s="209">
        <f>IF(SUMIFS('Region Mapping'!$E:$E,'Region Mapping'!$A:$A,'Key inputs_Emissions'!X$39)&gt;0,'IPCC(2006)'!$F$83*1000/(Legend!$B$83*Legend!$B$82*Legend!$B$84),'IPCC(2006)'!$J$83*1000/(Legend!$B$83*Legend!$B$82*Legend!$B$84))</f>
        <v>0</v>
      </c>
      <c r="Y135" s="209">
        <f>IF(SUMIFS('Region Mapping'!$E:$E,'Region Mapping'!$A:$A,'Key inputs_Emissions'!Y$39)&gt;0,'IPCC(2006)'!$F$83*1000/(Legend!$B$83*Legend!$B$82*Legend!$B$84),'IPCC(2006)'!$J$83*1000/(Legend!$B$83*Legend!$B$82*Legend!$B$84))</f>
        <v>0</v>
      </c>
      <c r="Z135" s="209">
        <f>IF(SUMIFS('Region Mapping'!$E:$E,'Region Mapping'!$A:$A,'Key inputs_Emissions'!Z$39)&gt;0,'IPCC(2006)'!$F$83*1000/(Legend!$B$83*Legend!$B$82*Legend!$B$84),'IPCC(2006)'!$J$83*1000/(Legend!$B$83*Legend!$B$82*Legend!$B$84))</f>
        <v>0</v>
      </c>
      <c r="AA135" s="209">
        <f>IF(SUMIFS('Region Mapping'!$E:$E,'Region Mapping'!$A:$A,'Key inputs_Emissions'!AA$39)&gt;0,'IPCC(2006)'!$F$83*1000/(Legend!$B$83*Legend!$B$82*Legend!$B$84),'IPCC(2006)'!$J$83*1000/(Legend!$B$83*Legend!$B$82*Legend!$B$84))</f>
        <v>0</v>
      </c>
      <c r="AB135" s="209">
        <f>IF(SUMIFS('Region Mapping'!$E:$E,'Region Mapping'!$A:$A,'Key inputs_Emissions'!AB$39)&gt;0,'IPCC(2006)'!$F$83*1000/(Legend!$B$83*Legend!$B$82*Legend!$B$84),'IPCC(2006)'!$J$83*1000/(Legend!$B$83*Legend!$B$82*Legend!$B$84))</f>
        <v>0</v>
      </c>
      <c r="AC135" s="209">
        <f>IF(SUMIFS('Region Mapping'!$E:$E,'Region Mapping'!$A:$A,'Key inputs_Emissions'!AC$39)&gt;0,'IPCC(2006)'!$F$83*1000/(Legend!$B$83*Legend!$B$82*Legend!$B$84),'IPCC(2006)'!$J$83*1000/(Legend!$B$83*Legend!$B$82*Legend!$B$84))</f>
        <v>0</v>
      </c>
      <c r="AD135" s="220">
        <f>IF(SUMIFS('Region Mapping'!$E:$E,'Region Mapping'!$A:$A,'Key inputs_Emissions'!AD$39)&gt;0,'IPCC(2006)'!$F$83*1000/(Legend!$B$83*Legend!$B$82*Legend!$B$84),'IPCC(2006)'!$J$83*1000/(Legend!$B$83*Legend!$B$82*Legend!$B$84))</f>
        <v>0</v>
      </c>
    </row>
    <row r="136" spans="1:30">
      <c r="A136" s="215" t="s">
        <v>1015</v>
      </c>
      <c r="B136" t="s">
        <v>1013</v>
      </c>
      <c r="C136" s="209">
        <f>IF(SUMIFS('Region Mapping'!$E:$E,'Region Mapping'!$A:$A,'Key inputs_Emissions'!C$39)&gt;0,'IPCC(2006)'!$F$84*1000/(Legend!$B$83*Legend!$B$82*Legend!$B$84),'IPCC(2006)'!$J$84*1000/(Legend!$B$83*Legend!$B$82*Legend!$B$84))</f>
        <v>1.9227095644275297E-5</v>
      </c>
      <c r="D136" s="209">
        <f>IF(SUMIFS('Region Mapping'!$E:$E,'Region Mapping'!$A:$A,'Key inputs_Emissions'!D$39)&gt;0,'IPCC(2006)'!$F$84*1000/(Legend!$B$83*Legend!$B$82*Legend!$B$84),'IPCC(2006)'!$J$84*1000/(Legend!$B$83*Legend!$B$82*Legend!$B$84))</f>
        <v>1.9227095644275297E-5</v>
      </c>
      <c r="E136" s="209">
        <f>IF(SUMIFS('Region Mapping'!$E:$E,'Region Mapping'!$A:$A,'Key inputs_Emissions'!E$39)&gt;0,'IPCC(2006)'!$F$84*1000/(Legend!$B$83*Legend!$B$82*Legend!$B$84),'IPCC(2006)'!$J$84*1000/(Legend!$B$83*Legend!$B$82*Legend!$B$84))</f>
        <v>1.9227095644275297E-5</v>
      </c>
      <c r="F136" s="209">
        <f>IF(SUMIFS('Region Mapping'!$E:$E,'Region Mapping'!$A:$A,'Key inputs_Emissions'!F$39)&gt;0,'IPCC(2006)'!$F$84*1000/(Legend!$B$83*Legend!$B$82*Legend!$B$84),'IPCC(2006)'!$J$84*1000/(Legend!$B$83*Legend!$B$82*Legend!$B$84))</f>
        <v>1.9227095644275297E-5</v>
      </c>
      <c r="G136" s="209">
        <f>IF(SUMIFS('Region Mapping'!$E:$E,'Region Mapping'!$A:$A,'Key inputs_Emissions'!G$39)&gt;0,'IPCC(2006)'!$F$84*1000/(Legend!$B$83*Legend!$B$82*Legend!$B$84),'IPCC(2006)'!$J$84*1000/(Legend!$B$83*Legend!$B$82*Legend!$B$84))</f>
        <v>1.4030583307984677E-5</v>
      </c>
      <c r="H136" s="209">
        <f>IF(SUMIFS('Region Mapping'!$E:$E,'Region Mapping'!$A:$A,'Key inputs_Emissions'!H$39)&gt;0,'IPCC(2006)'!$F$84*1000/(Legend!$B$83*Legend!$B$82*Legend!$B$84),'IPCC(2006)'!$J$84*1000/(Legend!$B$83*Legend!$B$82*Legend!$B$84))</f>
        <v>1.9227095644275297E-5</v>
      </c>
      <c r="I136" s="209">
        <f>IF(SUMIFS('Region Mapping'!$E:$E,'Region Mapping'!$A:$A,'Key inputs_Emissions'!I$39)&gt;0,'IPCC(2006)'!$F$84*1000/(Legend!$B$83*Legend!$B$82*Legend!$B$84),'IPCC(2006)'!$J$84*1000/(Legend!$B$83*Legend!$B$82*Legend!$B$84))</f>
        <v>1.9227095644275297E-5</v>
      </c>
      <c r="J136" s="209">
        <f>IF(SUMIFS('Region Mapping'!$E:$E,'Region Mapping'!$A:$A,'Key inputs_Emissions'!J$39)&gt;0,'IPCC(2006)'!$F$84*1000/(Legend!$B$83*Legend!$B$82*Legend!$B$84),'IPCC(2006)'!$J$84*1000/(Legend!$B$83*Legend!$B$82*Legend!$B$84))</f>
        <v>1.9227095644275297E-5</v>
      </c>
      <c r="K136" s="209">
        <f>IF(SUMIFS('Region Mapping'!$E:$E,'Region Mapping'!$A:$A,'Key inputs_Emissions'!K$39)&gt;0,'IPCC(2006)'!$F$84*1000/(Legend!$B$83*Legend!$B$82*Legend!$B$84),'IPCC(2006)'!$J$84*1000/(Legend!$B$83*Legend!$B$82*Legend!$B$84))</f>
        <v>1.9227095644275297E-5</v>
      </c>
      <c r="L136" s="209">
        <f>IF(SUMIFS('Region Mapping'!$E:$E,'Region Mapping'!$A:$A,'Key inputs_Emissions'!L$39)&gt;0,'IPCC(2006)'!$F$84*1000/(Legend!$B$83*Legend!$B$82*Legend!$B$84),'IPCC(2006)'!$J$84*1000/(Legend!$B$83*Legend!$B$82*Legend!$B$84))</f>
        <v>1.4030583307984677E-5</v>
      </c>
      <c r="M136" s="209">
        <f>IF(SUMIFS('Region Mapping'!$E:$E,'Region Mapping'!$A:$A,'Key inputs_Emissions'!M$39)&gt;0,'IPCC(2006)'!$F$84*1000/(Legend!$B$83*Legend!$B$82*Legend!$B$84),'IPCC(2006)'!$J$84*1000/(Legend!$B$83*Legend!$B$82*Legend!$B$84))</f>
        <v>1.9227095644275297E-5</v>
      </c>
      <c r="N136" s="209">
        <f>IF(SUMIFS('Region Mapping'!$E:$E,'Region Mapping'!$A:$A,'Key inputs_Emissions'!N$39)&gt;0,'IPCC(2006)'!$F$84*1000/(Legend!$B$83*Legend!$B$82*Legend!$B$84),'IPCC(2006)'!$J$84*1000/(Legend!$B$83*Legend!$B$82*Legend!$B$84))</f>
        <v>1.9227095644275297E-5</v>
      </c>
      <c r="O136" s="209">
        <f>IF(SUMIFS('Region Mapping'!$E:$E,'Region Mapping'!$A:$A,'Key inputs_Emissions'!O$39)&gt;0,'IPCC(2006)'!$F$84*1000/(Legend!$B$83*Legend!$B$82*Legend!$B$84),'IPCC(2006)'!$J$84*1000/(Legend!$B$83*Legend!$B$82*Legend!$B$84))</f>
        <v>1.9227095644275297E-5</v>
      </c>
      <c r="P136" s="209">
        <f>IF(SUMIFS('Region Mapping'!$E:$E,'Region Mapping'!$A:$A,'Key inputs_Emissions'!P$39)&gt;0,'IPCC(2006)'!$F$84*1000/(Legend!$B$83*Legend!$B$82*Legend!$B$84),'IPCC(2006)'!$J$84*1000/(Legend!$B$83*Legend!$B$82*Legend!$B$84))</f>
        <v>1.4030583307984677E-5</v>
      </c>
      <c r="Q136" s="209">
        <f>IF(SUMIFS('Region Mapping'!$E:$E,'Region Mapping'!$A:$A,'Key inputs_Emissions'!Q$39)&gt;0,'IPCC(2006)'!$F$84*1000/(Legend!$B$83*Legend!$B$82*Legend!$B$84),'IPCC(2006)'!$J$84*1000/(Legend!$B$83*Legend!$B$82*Legend!$B$84))</f>
        <v>1.4030583307984677E-5</v>
      </c>
      <c r="R136" s="209">
        <f>IF(SUMIFS('Region Mapping'!$E:$E,'Region Mapping'!$A:$A,'Key inputs_Emissions'!R$39)&gt;0,'IPCC(2006)'!$F$84*1000/(Legend!$B$83*Legend!$B$82*Legend!$B$84),'IPCC(2006)'!$J$84*1000/(Legend!$B$83*Legend!$B$82*Legend!$B$84))</f>
        <v>1.4030583307984677E-5</v>
      </c>
      <c r="S136" s="209">
        <f>IF(SUMIFS('Region Mapping'!$E:$E,'Region Mapping'!$A:$A,'Key inputs_Emissions'!S$39)&gt;0,'IPCC(2006)'!$F$84*1000/(Legend!$B$83*Legend!$B$82*Legend!$B$84),'IPCC(2006)'!$J$84*1000/(Legend!$B$83*Legend!$B$82*Legend!$B$84))</f>
        <v>1.4030583307984677E-5</v>
      </c>
      <c r="T136" s="209">
        <f>IF(SUMIFS('Region Mapping'!$E:$E,'Region Mapping'!$A:$A,'Key inputs_Emissions'!T$39)&gt;0,'IPCC(2006)'!$F$84*1000/(Legend!$B$83*Legend!$B$82*Legend!$B$84),'IPCC(2006)'!$J$84*1000/(Legend!$B$83*Legend!$B$82*Legend!$B$84))</f>
        <v>1.9227095644275297E-5</v>
      </c>
      <c r="U136" s="209">
        <f>IF(SUMIFS('Region Mapping'!$E:$E,'Region Mapping'!$A:$A,'Key inputs_Emissions'!U$39)&gt;0,'IPCC(2006)'!$F$84*1000/(Legend!$B$83*Legend!$B$82*Legend!$B$84),'IPCC(2006)'!$J$84*1000/(Legend!$B$83*Legend!$B$82*Legend!$B$84))</f>
        <v>1.9227095644275297E-5</v>
      </c>
      <c r="V136" s="209">
        <f>IF(SUMIFS('Region Mapping'!$E:$E,'Region Mapping'!$A:$A,'Key inputs_Emissions'!V$39)&gt;0,'IPCC(2006)'!$F$84*1000/(Legend!$B$83*Legend!$B$82*Legend!$B$84),'IPCC(2006)'!$J$84*1000/(Legend!$B$83*Legend!$B$82*Legend!$B$84))</f>
        <v>1.4030583307984677E-5</v>
      </c>
      <c r="W136" s="209">
        <f>IF(SUMIFS('Region Mapping'!$E:$E,'Region Mapping'!$A:$A,'Key inputs_Emissions'!W$39)&gt;0,'IPCC(2006)'!$F$84*1000/(Legend!$B$83*Legend!$B$82*Legend!$B$84),'IPCC(2006)'!$J$84*1000/(Legend!$B$83*Legend!$B$82*Legend!$B$84))</f>
        <v>1.9227095644275297E-5</v>
      </c>
      <c r="X136" s="209">
        <f>IF(SUMIFS('Region Mapping'!$E:$E,'Region Mapping'!$A:$A,'Key inputs_Emissions'!X$39)&gt;0,'IPCC(2006)'!$F$84*1000/(Legend!$B$83*Legend!$B$82*Legend!$B$84),'IPCC(2006)'!$J$84*1000/(Legend!$B$83*Legend!$B$82*Legend!$B$84))</f>
        <v>1.9227095644275297E-5</v>
      </c>
      <c r="Y136" s="209">
        <f>IF(SUMIFS('Region Mapping'!$E:$E,'Region Mapping'!$A:$A,'Key inputs_Emissions'!Y$39)&gt;0,'IPCC(2006)'!$F$84*1000/(Legend!$B$83*Legend!$B$82*Legend!$B$84),'IPCC(2006)'!$J$84*1000/(Legend!$B$83*Legend!$B$82*Legend!$B$84))</f>
        <v>1.9227095644275297E-5</v>
      </c>
      <c r="Z136" s="209">
        <f>IF(SUMIFS('Region Mapping'!$E:$E,'Region Mapping'!$A:$A,'Key inputs_Emissions'!Z$39)&gt;0,'IPCC(2006)'!$F$84*1000/(Legend!$B$83*Legend!$B$82*Legend!$B$84),'IPCC(2006)'!$J$84*1000/(Legend!$B$83*Legend!$B$82*Legend!$B$84))</f>
        <v>1.9227095644275297E-5</v>
      </c>
      <c r="AA136" s="209">
        <f>IF(SUMIFS('Region Mapping'!$E:$E,'Region Mapping'!$A:$A,'Key inputs_Emissions'!AA$39)&gt;0,'IPCC(2006)'!$F$84*1000/(Legend!$B$83*Legend!$B$82*Legend!$B$84),'IPCC(2006)'!$J$84*1000/(Legend!$B$83*Legend!$B$82*Legend!$B$84))</f>
        <v>1.9227095644275297E-5</v>
      </c>
      <c r="AB136" s="209">
        <f>IF(SUMIFS('Region Mapping'!$E:$E,'Region Mapping'!$A:$A,'Key inputs_Emissions'!AB$39)&gt;0,'IPCC(2006)'!$F$84*1000/(Legend!$B$83*Legend!$B$82*Legend!$B$84),'IPCC(2006)'!$J$84*1000/(Legend!$B$83*Legend!$B$82*Legend!$B$84))</f>
        <v>1.9227095644275297E-5</v>
      </c>
      <c r="AC136" s="209">
        <f>IF(SUMIFS('Region Mapping'!$E:$E,'Region Mapping'!$A:$A,'Key inputs_Emissions'!AC$39)&gt;0,'IPCC(2006)'!$F$84*1000/(Legend!$B$83*Legend!$B$82*Legend!$B$84),'IPCC(2006)'!$J$84*1000/(Legend!$B$83*Legend!$B$82*Legend!$B$84))</f>
        <v>1.4030583307984677E-5</v>
      </c>
      <c r="AD136" s="220">
        <f>IF(SUMIFS('Region Mapping'!$E:$E,'Region Mapping'!$A:$A,'Key inputs_Emissions'!AD$39)&gt;0,'IPCC(2006)'!$F$84*1000/(Legend!$B$83*Legend!$B$82*Legend!$B$84),'IPCC(2006)'!$J$84*1000/(Legend!$B$83*Legend!$B$82*Legend!$B$84))</f>
        <v>1.4030583307984677E-5</v>
      </c>
    </row>
    <row r="137" spans="1:30">
      <c r="A137" s="215" t="s">
        <v>1016</v>
      </c>
      <c r="B137" t="s">
        <v>1017</v>
      </c>
      <c r="C137" s="209">
        <f>IF(SUMIFS('Region Mapping'!$E:$E,'Region Mapping'!$A:$A,'Key inputs_Emissions'!C$39)&gt;0,'IPCC(2006)'!$F$85*1000/(Legend!$B$83*Legend!$B$82*Legend!$B$84),'IPCC(2006)'!$J$85*1000/(Legend!$B$83*Legend!$B$82*Legend!$B$84))</f>
        <v>0</v>
      </c>
      <c r="D137" s="209">
        <f>IF(SUMIFS('Region Mapping'!$E:$E,'Region Mapping'!$A:$A,'Key inputs_Emissions'!D$39)&gt;0,'IPCC(2006)'!$F$85*1000/(Legend!$B$83*Legend!$B$82*Legend!$B$84),'IPCC(2006)'!$J$85*1000/(Legend!$B$83*Legend!$B$82*Legend!$B$84))</f>
        <v>0</v>
      </c>
      <c r="E137" s="209">
        <f>IF(SUMIFS('Region Mapping'!$E:$E,'Region Mapping'!$A:$A,'Key inputs_Emissions'!E$39)&gt;0,'IPCC(2006)'!$F$85*1000/(Legend!$B$83*Legend!$B$82*Legend!$B$84),'IPCC(2006)'!$J$85*1000/(Legend!$B$83*Legend!$B$82*Legend!$B$84))</f>
        <v>0</v>
      </c>
      <c r="F137" s="209">
        <f>IF(SUMIFS('Region Mapping'!$E:$E,'Region Mapping'!$A:$A,'Key inputs_Emissions'!F$39)&gt;0,'IPCC(2006)'!$F$85*1000/(Legend!$B$83*Legend!$B$82*Legend!$B$84),'IPCC(2006)'!$J$85*1000/(Legend!$B$83*Legend!$B$82*Legend!$B$84))</f>
        <v>0</v>
      </c>
      <c r="G137" s="209">
        <f>IF(SUMIFS('Region Mapping'!$E:$E,'Region Mapping'!$A:$A,'Key inputs_Emissions'!G$39)&gt;0,'IPCC(2006)'!$F$85*1000/(Legend!$B$83*Legend!$B$82*Legend!$B$84),'IPCC(2006)'!$J$85*1000/(Legend!$B$83*Legend!$B$82*Legend!$B$84))</f>
        <v>0</v>
      </c>
      <c r="H137" s="209">
        <f>IF(SUMIFS('Region Mapping'!$E:$E,'Region Mapping'!$A:$A,'Key inputs_Emissions'!H$39)&gt;0,'IPCC(2006)'!$F$85*1000/(Legend!$B$83*Legend!$B$82*Legend!$B$84),'IPCC(2006)'!$J$85*1000/(Legend!$B$83*Legend!$B$82*Legend!$B$84))</f>
        <v>0</v>
      </c>
      <c r="I137" s="209">
        <f>IF(SUMIFS('Region Mapping'!$E:$E,'Region Mapping'!$A:$A,'Key inputs_Emissions'!I$39)&gt;0,'IPCC(2006)'!$F$85*1000/(Legend!$B$83*Legend!$B$82*Legend!$B$84),'IPCC(2006)'!$J$85*1000/(Legend!$B$83*Legend!$B$82*Legend!$B$84))</f>
        <v>0</v>
      </c>
      <c r="J137" s="209">
        <f>IF(SUMIFS('Region Mapping'!$E:$E,'Region Mapping'!$A:$A,'Key inputs_Emissions'!J$39)&gt;0,'IPCC(2006)'!$F$85*1000/(Legend!$B$83*Legend!$B$82*Legend!$B$84),'IPCC(2006)'!$J$85*1000/(Legend!$B$83*Legend!$B$82*Legend!$B$84))</f>
        <v>0</v>
      </c>
      <c r="K137" s="209">
        <f>IF(SUMIFS('Region Mapping'!$E:$E,'Region Mapping'!$A:$A,'Key inputs_Emissions'!K$39)&gt;0,'IPCC(2006)'!$F$85*1000/(Legend!$B$83*Legend!$B$82*Legend!$B$84),'IPCC(2006)'!$J$85*1000/(Legend!$B$83*Legend!$B$82*Legend!$B$84))</f>
        <v>0</v>
      </c>
      <c r="L137" s="209">
        <f>IF(SUMIFS('Region Mapping'!$E:$E,'Region Mapping'!$A:$A,'Key inputs_Emissions'!L$39)&gt;0,'IPCC(2006)'!$F$85*1000/(Legend!$B$83*Legend!$B$82*Legend!$B$84),'IPCC(2006)'!$J$85*1000/(Legend!$B$83*Legend!$B$82*Legend!$B$84))</f>
        <v>0</v>
      </c>
      <c r="M137" s="209">
        <f>IF(SUMIFS('Region Mapping'!$E:$E,'Region Mapping'!$A:$A,'Key inputs_Emissions'!M$39)&gt;0,'IPCC(2006)'!$F$85*1000/(Legend!$B$83*Legend!$B$82*Legend!$B$84),'IPCC(2006)'!$J$85*1000/(Legend!$B$83*Legend!$B$82*Legend!$B$84))</f>
        <v>0</v>
      </c>
      <c r="N137" s="209">
        <f>IF(SUMIFS('Region Mapping'!$E:$E,'Region Mapping'!$A:$A,'Key inputs_Emissions'!N$39)&gt;0,'IPCC(2006)'!$F$85*1000/(Legend!$B$83*Legend!$B$82*Legend!$B$84),'IPCC(2006)'!$J$85*1000/(Legend!$B$83*Legend!$B$82*Legend!$B$84))</f>
        <v>0</v>
      </c>
      <c r="O137" s="209">
        <f>IF(SUMIFS('Region Mapping'!$E:$E,'Region Mapping'!$A:$A,'Key inputs_Emissions'!O$39)&gt;0,'IPCC(2006)'!$F$85*1000/(Legend!$B$83*Legend!$B$82*Legend!$B$84),'IPCC(2006)'!$J$85*1000/(Legend!$B$83*Legend!$B$82*Legend!$B$84))</f>
        <v>0</v>
      </c>
      <c r="P137" s="209">
        <f>IF(SUMIFS('Region Mapping'!$E:$E,'Region Mapping'!$A:$A,'Key inputs_Emissions'!P$39)&gt;0,'IPCC(2006)'!$F$85*1000/(Legend!$B$83*Legend!$B$82*Legend!$B$84),'IPCC(2006)'!$J$85*1000/(Legend!$B$83*Legend!$B$82*Legend!$B$84))</f>
        <v>0</v>
      </c>
      <c r="Q137" s="209">
        <f>IF(SUMIFS('Region Mapping'!$E:$E,'Region Mapping'!$A:$A,'Key inputs_Emissions'!Q$39)&gt;0,'IPCC(2006)'!$F$85*1000/(Legend!$B$83*Legend!$B$82*Legend!$B$84),'IPCC(2006)'!$J$85*1000/(Legend!$B$83*Legend!$B$82*Legend!$B$84))</f>
        <v>0</v>
      </c>
      <c r="R137" s="209">
        <f>IF(SUMIFS('Region Mapping'!$E:$E,'Region Mapping'!$A:$A,'Key inputs_Emissions'!R$39)&gt;0,'IPCC(2006)'!$F$85*1000/(Legend!$B$83*Legend!$B$82*Legend!$B$84),'IPCC(2006)'!$J$85*1000/(Legend!$B$83*Legend!$B$82*Legend!$B$84))</f>
        <v>0</v>
      </c>
      <c r="S137" s="209">
        <f>IF(SUMIFS('Region Mapping'!$E:$E,'Region Mapping'!$A:$A,'Key inputs_Emissions'!S$39)&gt;0,'IPCC(2006)'!$F$85*1000/(Legend!$B$83*Legend!$B$82*Legend!$B$84),'IPCC(2006)'!$J$85*1000/(Legend!$B$83*Legend!$B$82*Legend!$B$84))</f>
        <v>0</v>
      </c>
      <c r="T137" s="209">
        <f>IF(SUMIFS('Region Mapping'!$E:$E,'Region Mapping'!$A:$A,'Key inputs_Emissions'!T$39)&gt;0,'IPCC(2006)'!$F$85*1000/(Legend!$B$83*Legend!$B$82*Legend!$B$84),'IPCC(2006)'!$J$85*1000/(Legend!$B$83*Legend!$B$82*Legend!$B$84))</f>
        <v>0</v>
      </c>
      <c r="U137" s="209">
        <f>IF(SUMIFS('Region Mapping'!$E:$E,'Region Mapping'!$A:$A,'Key inputs_Emissions'!U$39)&gt;0,'IPCC(2006)'!$F$85*1000/(Legend!$B$83*Legend!$B$82*Legend!$B$84),'IPCC(2006)'!$J$85*1000/(Legend!$B$83*Legend!$B$82*Legend!$B$84))</f>
        <v>0</v>
      </c>
      <c r="V137" s="209">
        <f>IF(SUMIFS('Region Mapping'!$E:$E,'Region Mapping'!$A:$A,'Key inputs_Emissions'!V$39)&gt;0,'IPCC(2006)'!$F$85*1000/(Legend!$B$83*Legend!$B$82*Legend!$B$84),'IPCC(2006)'!$J$85*1000/(Legend!$B$83*Legend!$B$82*Legend!$B$84))</f>
        <v>0</v>
      </c>
      <c r="W137" s="209">
        <f>IF(SUMIFS('Region Mapping'!$E:$E,'Region Mapping'!$A:$A,'Key inputs_Emissions'!W$39)&gt;0,'IPCC(2006)'!$F$85*1000/(Legend!$B$83*Legend!$B$82*Legend!$B$84),'IPCC(2006)'!$J$85*1000/(Legend!$B$83*Legend!$B$82*Legend!$B$84))</f>
        <v>0</v>
      </c>
      <c r="X137" s="209">
        <f>IF(SUMIFS('Region Mapping'!$E:$E,'Region Mapping'!$A:$A,'Key inputs_Emissions'!X$39)&gt;0,'IPCC(2006)'!$F$85*1000/(Legend!$B$83*Legend!$B$82*Legend!$B$84),'IPCC(2006)'!$J$85*1000/(Legend!$B$83*Legend!$B$82*Legend!$B$84))</f>
        <v>0</v>
      </c>
      <c r="Y137" s="209">
        <f>IF(SUMIFS('Region Mapping'!$E:$E,'Region Mapping'!$A:$A,'Key inputs_Emissions'!Y$39)&gt;0,'IPCC(2006)'!$F$85*1000/(Legend!$B$83*Legend!$B$82*Legend!$B$84),'IPCC(2006)'!$J$85*1000/(Legend!$B$83*Legend!$B$82*Legend!$B$84))</f>
        <v>0</v>
      </c>
      <c r="Z137" s="209">
        <f>IF(SUMIFS('Region Mapping'!$E:$E,'Region Mapping'!$A:$A,'Key inputs_Emissions'!Z$39)&gt;0,'IPCC(2006)'!$F$85*1000/(Legend!$B$83*Legend!$B$82*Legend!$B$84),'IPCC(2006)'!$J$85*1000/(Legend!$B$83*Legend!$B$82*Legend!$B$84))</f>
        <v>0</v>
      </c>
      <c r="AA137" s="209">
        <f>IF(SUMIFS('Region Mapping'!$E:$E,'Region Mapping'!$A:$A,'Key inputs_Emissions'!AA$39)&gt;0,'IPCC(2006)'!$F$85*1000/(Legend!$B$83*Legend!$B$82*Legend!$B$84),'IPCC(2006)'!$J$85*1000/(Legend!$B$83*Legend!$B$82*Legend!$B$84))</f>
        <v>0</v>
      </c>
      <c r="AB137" s="209">
        <f>IF(SUMIFS('Region Mapping'!$E:$E,'Region Mapping'!$A:$A,'Key inputs_Emissions'!AB$39)&gt;0,'IPCC(2006)'!$F$85*1000/(Legend!$B$83*Legend!$B$82*Legend!$B$84),'IPCC(2006)'!$J$85*1000/(Legend!$B$83*Legend!$B$82*Legend!$B$84))</f>
        <v>0</v>
      </c>
      <c r="AC137" s="209">
        <f>IF(SUMIFS('Region Mapping'!$E:$E,'Region Mapping'!$A:$A,'Key inputs_Emissions'!AC$39)&gt;0,'IPCC(2006)'!$F$85*1000/(Legend!$B$83*Legend!$B$82*Legend!$B$84),'IPCC(2006)'!$J$85*1000/(Legend!$B$83*Legend!$B$82*Legend!$B$84))</f>
        <v>0</v>
      </c>
      <c r="AD137" s="220">
        <f>IF(SUMIFS('Region Mapping'!$E:$E,'Region Mapping'!$A:$A,'Key inputs_Emissions'!AD$39)&gt;0,'IPCC(2006)'!$F$85*1000/(Legend!$B$83*Legend!$B$82*Legend!$B$84),'IPCC(2006)'!$J$85*1000/(Legend!$B$83*Legend!$B$82*Legend!$B$84))</f>
        <v>0</v>
      </c>
    </row>
    <row r="138" spans="1:30">
      <c r="A138" s="215" t="s">
        <v>1018</v>
      </c>
      <c r="B138" t="s">
        <v>1019</v>
      </c>
      <c r="C138" s="209">
        <f>IF(SUMIFS('Region Mapping'!$E:$E,'Region Mapping'!$A:$A,'Key inputs_Emissions'!C$39)&gt;0,'IPCC(2006)'!$F$87*1000/(Legend!$B$83*Legend!$B$82*Legend!$B$84),'IPCC(2006)'!$J$87*1000/(Legend!$B$83*Legend!$B$82*Legend!$B$84))</f>
        <v>0</v>
      </c>
      <c r="D138" s="209">
        <f>IF(SUMIFS('Region Mapping'!$E:$E,'Region Mapping'!$A:$A,'Key inputs_Emissions'!D$39)&gt;0,'IPCC(2006)'!$F$87*1000/(Legend!$B$83*Legend!$B$82*Legend!$B$84),'IPCC(2006)'!$J$87*1000/(Legend!$B$83*Legend!$B$82*Legend!$B$84))</f>
        <v>0</v>
      </c>
      <c r="E138" s="209">
        <f>IF(SUMIFS('Region Mapping'!$E:$E,'Region Mapping'!$A:$A,'Key inputs_Emissions'!E$39)&gt;0,'IPCC(2006)'!$F$87*1000/(Legend!$B$83*Legend!$B$82*Legend!$B$84),'IPCC(2006)'!$J$87*1000/(Legend!$B$83*Legend!$B$82*Legend!$B$84))</f>
        <v>0</v>
      </c>
      <c r="F138" s="209">
        <f>IF(SUMIFS('Region Mapping'!$E:$E,'Region Mapping'!$A:$A,'Key inputs_Emissions'!F$39)&gt;0,'IPCC(2006)'!$F$87*1000/(Legend!$B$83*Legend!$B$82*Legend!$B$84),'IPCC(2006)'!$J$87*1000/(Legend!$B$83*Legend!$B$82*Legend!$B$84))</f>
        <v>0</v>
      </c>
      <c r="G138" s="209">
        <f>IF(SUMIFS('Region Mapping'!$E:$E,'Region Mapping'!$A:$A,'Key inputs_Emissions'!G$39)&gt;0,'IPCC(2006)'!$F$87*1000/(Legend!$B$83*Legend!$B$82*Legend!$B$84),'IPCC(2006)'!$J$87*1000/(Legend!$B$83*Legend!$B$82*Legend!$B$84))</f>
        <v>0</v>
      </c>
      <c r="H138" s="209">
        <f>IF(SUMIFS('Region Mapping'!$E:$E,'Region Mapping'!$A:$A,'Key inputs_Emissions'!H$39)&gt;0,'IPCC(2006)'!$F$87*1000/(Legend!$B$83*Legend!$B$82*Legend!$B$84),'IPCC(2006)'!$J$87*1000/(Legend!$B$83*Legend!$B$82*Legend!$B$84))</f>
        <v>0</v>
      </c>
      <c r="I138" s="209">
        <f>IF(SUMIFS('Region Mapping'!$E:$E,'Region Mapping'!$A:$A,'Key inputs_Emissions'!I$39)&gt;0,'IPCC(2006)'!$F$87*1000/(Legend!$B$83*Legend!$B$82*Legend!$B$84),'IPCC(2006)'!$J$87*1000/(Legend!$B$83*Legend!$B$82*Legend!$B$84))</f>
        <v>0</v>
      </c>
      <c r="J138" s="209">
        <f>IF(SUMIFS('Region Mapping'!$E:$E,'Region Mapping'!$A:$A,'Key inputs_Emissions'!J$39)&gt;0,'IPCC(2006)'!$F$87*1000/(Legend!$B$83*Legend!$B$82*Legend!$B$84),'IPCC(2006)'!$J$87*1000/(Legend!$B$83*Legend!$B$82*Legend!$B$84))</f>
        <v>0</v>
      </c>
      <c r="K138" s="209">
        <f>IF(SUMIFS('Region Mapping'!$E:$E,'Region Mapping'!$A:$A,'Key inputs_Emissions'!K$39)&gt;0,'IPCC(2006)'!$F$87*1000/(Legend!$B$83*Legend!$B$82*Legend!$B$84),'IPCC(2006)'!$J$87*1000/(Legend!$B$83*Legend!$B$82*Legend!$B$84))</f>
        <v>0</v>
      </c>
      <c r="L138" s="209">
        <f>IF(SUMIFS('Region Mapping'!$E:$E,'Region Mapping'!$A:$A,'Key inputs_Emissions'!L$39)&gt;0,'IPCC(2006)'!$F$87*1000/(Legend!$B$83*Legend!$B$82*Legend!$B$84),'IPCC(2006)'!$J$87*1000/(Legend!$B$83*Legend!$B$82*Legend!$B$84))</f>
        <v>0</v>
      </c>
      <c r="M138" s="209">
        <f>IF(SUMIFS('Region Mapping'!$E:$E,'Region Mapping'!$A:$A,'Key inputs_Emissions'!M$39)&gt;0,'IPCC(2006)'!$F$87*1000/(Legend!$B$83*Legend!$B$82*Legend!$B$84),'IPCC(2006)'!$J$87*1000/(Legend!$B$83*Legend!$B$82*Legend!$B$84))</f>
        <v>0</v>
      </c>
      <c r="N138" s="209">
        <f>IF(SUMIFS('Region Mapping'!$E:$E,'Region Mapping'!$A:$A,'Key inputs_Emissions'!N$39)&gt;0,'IPCC(2006)'!$F$87*1000/(Legend!$B$83*Legend!$B$82*Legend!$B$84),'IPCC(2006)'!$J$87*1000/(Legend!$B$83*Legend!$B$82*Legend!$B$84))</f>
        <v>0</v>
      </c>
      <c r="O138" s="209">
        <f>IF(SUMIFS('Region Mapping'!$E:$E,'Region Mapping'!$A:$A,'Key inputs_Emissions'!O$39)&gt;0,'IPCC(2006)'!$F$87*1000/(Legend!$B$83*Legend!$B$82*Legend!$B$84),'IPCC(2006)'!$J$87*1000/(Legend!$B$83*Legend!$B$82*Legend!$B$84))</f>
        <v>0</v>
      </c>
      <c r="P138" s="209">
        <f>IF(SUMIFS('Region Mapping'!$E:$E,'Region Mapping'!$A:$A,'Key inputs_Emissions'!P$39)&gt;0,'IPCC(2006)'!$F$87*1000/(Legend!$B$83*Legend!$B$82*Legend!$B$84),'IPCC(2006)'!$J$87*1000/(Legend!$B$83*Legend!$B$82*Legend!$B$84))</f>
        <v>0</v>
      </c>
      <c r="Q138" s="209">
        <f>IF(SUMIFS('Region Mapping'!$E:$E,'Region Mapping'!$A:$A,'Key inputs_Emissions'!Q$39)&gt;0,'IPCC(2006)'!$F$87*1000/(Legend!$B$83*Legend!$B$82*Legend!$B$84),'IPCC(2006)'!$J$87*1000/(Legend!$B$83*Legend!$B$82*Legend!$B$84))</f>
        <v>0</v>
      </c>
      <c r="R138" s="209">
        <f>IF(SUMIFS('Region Mapping'!$E:$E,'Region Mapping'!$A:$A,'Key inputs_Emissions'!R$39)&gt;0,'IPCC(2006)'!$F$87*1000/(Legend!$B$83*Legend!$B$82*Legend!$B$84),'IPCC(2006)'!$J$87*1000/(Legend!$B$83*Legend!$B$82*Legend!$B$84))</f>
        <v>0</v>
      </c>
      <c r="S138" s="209">
        <f>IF(SUMIFS('Region Mapping'!$E:$E,'Region Mapping'!$A:$A,'Key inputs_Emissions'!S$39)&gt;0,'IPCC(2006)'!$F$87*1000/(Legend!$B$83*Legend!$B$82*Legend!$B$84),'IPCC(2006)'!$J$87*1000/(Legend!$B$83*Legend!$B$82*Legend!$B$84))</f>
        <v>0</v>
      </c>
      <c r="T138" s="209">
        <f>IF(SUMIFS('Region Mapping'!$E:$E,'Region Mapping'!$A:$A,'Key inputs_Emissions'!T$39)&gt;0,'IPCC(2006)'!$F$87*1000/(Legend!$B$83*Legend!$B$82*Legend!$B$84),'IPCC(2006)'!$J$87*1000/(Legend!$B$83*Legend!$B$82*Legend!$B$84))</f>
        <v>0</v>
      </c>
      <c r="U138" s="209">
        <f>IF(SUMIFS('Region Mapping'!$E:$E,'Region Mapping'!$A:$A,'Key inputs_Emissions'!U$39)&gt;0,'IPCC(2006)'!$F$87*1000/(Legend!$B$83*Legend!$B$82*Legend!$B$84),'IPCC(2006)'!$J$87*1000/(Legend!$B$83*Legend!$B$82*Legend!$B$84))</f>
        <v>0</v>
      </c>
      <c r="V138" s="209">
        <f>IF(SUMIFS('Region Mapping'!$E:$E,'Region Mapping'!$A:$A,'Key inputs_Emissions'!V$39)&gt;0,'IPCC(2006)'!$F$87*1000/(Legend!$B$83*Legend!$B$82*Legend!$B$84),'IPCC(2006)'!$J$87*1000/(Legend!$B$83*Legend!$B$82*Legend!$B$84))</f>
        <v>0</v>
      </c>
      <c r="W138" s="209">
        <f>IF(SUMIFS('Region Mapping'!$E:$E,'Region Mapping'!$A:$A,'Key inputs_Emissions'!W$39)&gt;0,'IPCC(2006)'!$F$87*1000/(Legend!$B$83*Legend!$B$82*Legend!$B$84),'IPCC(2006)'!$J$87*1000/(Legend!$B$83*Legend!$B$82*Legend!$B$84))</f>
        <v>0</v>
      </c>
      <c r="X138" s="209">
        <f>IF(SUMIFS('Region Mapping'!$E:$E,'Region Mapping'!$A:$A,'Key inputs_Emissions'!X$39)&gt;0,'IPCC(2006)'!$F$87*1000/(Legend!$B$83*Legend!$B$82*Legend!$B$84),'IPCC(2006)'!$J$87*1000/(Legend!$B$83*Legend!$B$82*Legend!$B$84))</f>
        <v>0</v>
      </c>
      <c r="Y138" s="209">
        <f>IF(SUMIFS('Region Mapping'!$E:$E,'Region Mapping'!$A:$A,'Key inputs_Emissions'!Y$39)&gt;0,'IPCC(2006)'!$F$87*1000/(Legend!$B$83*Legend!$B$82*Legend!$B$84),'IPCC(2006)'!$J$87*1000/(Legend!$B$83*Legend!$B$82*Legend!$B$84))</f>
        <v>0</v>
      </c>
      <c r="Z138" s="209">
        <f>IF(SUMIFS('Region Mapping'!$E:$E,'Region Mapping'!$A:$A,'Key inputs_Emissions'!Z$39)&gt;0,'IPCC(2006)'!$F$87*1000/(Legend!$B$83*Legend!$B$82*Legend!$B$84),'IPCC(2006)'!$J$87*1000/(Legend!$B$83*Legend!$B$82*Legend!$B$84))</f>
        <v>0</v>
      </c>
      <c r="AA138" s="209">
        <f>IF(SUMIFS('Region Mapping'!$E:$E,'Region Mapping'!$A:$A,'Key inputs_Emissions'!AA$39)&gt;0,'IPCC(2006)'!$F$87*1000/(Legend!$B$83*Legend!$B$82*Legend!$B$84),'IPCC(2006)'!$J$87*1000/(Legend!$B$83*Legend!$B$82*Legend!$B$84))</f>
        <v>0</v>
      </c>
      <c r="AB138" s="209">
        <f>IF(SUMIFS('Region Mapping'!$E:$E,'Region Mapping'!$A:$A,'Key inputs_Emissions'!AB$39)&gt;0,'IPCC(2006)'!$F$87*1000/(Legend!$B$83*Legend!$B$82*Legend!$B$84),'IPCC(2006)'!$J$87*1000/(Legend!$B$83*Legend!$B$82*Legend!$B$84))</f>
        <v>0</v>
      </c>
      <c r="AC138" s="209">
        <f>IF(SUMIFS('Region Mapping'!$E:$E,'Region Mapping'!$A:$A,'Key inputs_Emissions'!AC$39)&gt;0,'IPCC(2006)'!$F$87*1000/(Legend!$B$83*Legend!$B$82*Legend!$B$84),'IPCC(2006)'!$J$87*1000/(Legend!$B$83*Legend!$B$82*Legend!$B$84))</f>
        <v>0</v>
      </c>
      <c r="AD138" s="220">
        <f>IF(SUMIFS('Region Mapping'!$E:$E,'Region Mapping'!$A:$A,'Key inputs_Emissions'!AD$39)&gt;0,'IPCC(2006)'!$F$87*1000/(Legend!$B$83*Legend!$B$82*Legend!$B$84),'IPCC(2006)'!$J$87*1000/(Legend!$B$83*Legend!$B$82*Legend!$B$84))</f>
        <v>0</v>
      </c>
    </row>
    <row r="139" spans="1:30">
      <c r="A139" s="215" t="s">
        <v>1020</v>
      </c>
      <c r="B139" t="s">
        <v>1021</v>
      </c>
      <c r="C139" s="209">
        <f>IF(SUMIFS('Region Mapping'!$E:$E,'Region Mapping'!$A:$A,'Key inputs_Emissions'!C$39)&gt;0,'IPCC(2006)'!$F$88*1000/(Legend!$B$83*Legend!$B$82*Legend!$B$84),'IPCC(2006)'!$J$88*1000/(Legend!$B$83*Legend!$B$82*Legend!$B$84))</f>
        <v>0</v>
      </c>
      <c r="D139" s="209">
        <f>IF(SUMIFS('Region Mapping'!$E:$E,'Region Mapping'!$A:$A,'Key inputs_Emissions'!D$39)&gt;0,'IPCC(2006)'!$F$88*1000/(Legend!$B$83*Legend!$B$82*Legend!$B$84),'IPCC(2006)'!$J$88*1000/(Legend!$B$83*Legend!$B$82*Legend!$B$84))</f>
        <v>0</v>
      </c>
      <c r="E139" s="209">
        <f>IF(SUMIFS('Region Mapping'!$E:$E,'Region Mapping'!$A:$A,'Key inputs_Emissions'!E$39)&gt;0,'IPCC(2006)'!$F$88*1000/(Legend!$B$83*Legend!$B$82*Legend!$B$84),'IPCC(2006)'!$J$88*1000/(Legend!$B$83*Legend!$B$82*Legend!$B$84))</f>
        <v>0</v>
      </c>
      <c r="F139" s="209">
        <f>IF(SUMIFS('Region Mapping'!$E:$E,'Region Mapping'!$A:$A,'Key inputs_Emissions'!F$39)&gt;0,'IPCC(2006)'!$F$88*1000/(Legend!$B$83*Legend!$B$82*Legend!$B$84),'IPCC(2006)'!$J$88*1000/(Legend!$B$83*Legend!$B$82*Legend!$B$84))</f>
        <v>0</v>
      </c>
      <c r="G139" s="209">
        <f>IF(SUMIFS('Region Mapping'!$E:$E,'Region Mapping'!$A:$A,'Key inputs_Emissions'!G$39)&gt;0,'IPCC(2006)'!$F$88*1000/(Legend!$B$83*Legend!$B$82*Legend!$B$84),'IPCC(2006)'!$J$88*1000/(Legend!$B$83*Legend!$B$82*Legend!$B$84))</f>
        <v>0</v>
      </c>
      <c r="H139" s="209">
        <f>IF(SUMIFS('Region Mapping'!$E:$E,'Region Mapping'!$A:$A,'Key inputs_Emissions'!H$39)&gt;0,'IPCC(2006)'!$F$88*1000/(Legend!$B$83*Legend!$B$82*Legend!$B$84),'IPCC(2006)'!$J$88*1000/(Legend!$B$83*Legend!$B$82*Legend!$B$84))</f>
        <v>0</v>
      </c>
      <c r="I139" s="209">
        <f>IF(SUMIFS('Region Mapping'!$E:$E,'Region Mapping'!$A:$A,'Key inputs_Emissions'!I$39)&gt;0,'IPCC(2006)'!$F$88*1000/(Legend!$B$83*Legend!$B$82*Legend!$B$84),'IPCC(2006)'!$J$88*1000/(Legend!$B$83*Legend!$B$82*Legend!$B$84))</f>
        <v>0</v>
      </c>
      <c r="J139" s="209">
        <f>IF(SUMIFS('Region Mapping'!$E:$E,'Region Mapping'!$A:$A,'Key inputs_Emissions'!J$39)&gt;0,'IPCC(2006)'!$F$88*1000/(Legend!$B$83*Legend!$B$82*Legend!$B$84),'IPCC(2006)'!$J$88*1000/(Legend!$B$83*Legend!$B$82*Legend!$B$84))</f>
        <v>0</v>
      </c>
      <c r="K139" s="209">
        <f>IF(SUMIFS('Region Mapping'!$E:$E,'Region Mapping'!$A:$A,'Key inputs_Emissions'!K$39)&gt;0,'IPCC(2006)'!$F$88*1000/(Legend!$B$83*Legend!$B$82*Legend!$B$84),'IPCC(2006)'!$J$88*1000/(Legend!$B$83*Legend!$B$82*Legend!$B$84))</f>
        <v>0</v>
      </c>
      <c r="L139" s="209">
        <f>IF(SUMIFS('Region Mapping'!$E:$E,'Region Mapping'!$A:$A,'Key inputs_Emissions'!L$39)&gt;0,'IPCC(2006)'!$F$88*1000/(Legend!$B$83*Legend!$B$82*Legend!$B$84),'IPCC(2006)'!$J$88*1000/(Legend!$B$83*Legend!$B$82*Legend!$B$84))</f>
        <v>0</v>
      </c>
      <c r="M139" s="209">
        <f>IF(SUMIFS('Region Mapping'!$E:$E,'Region Mapping'!$A:$A,'Key inputs_Emissions'!M$39)&gt;0,'IPCC(2006)'!$F$88*1000/(Legend!$B$83*Legend!$B$82*Legend!$B$84),'IPCC(2006)'!$J$88*1000/(Legend!$B$83*Legend!$B$82*Legend!$B$84))</f>
        <v>0</v>
      </c>
      <c r="N139" s="209">
        <f>IF(SUMIFS('Region Mapping'!$E:$E,'Region Mapping'!$A:$A,'Key inputs_Emissions'!N$39)&gt;0,'IPCC(2006)'!$F$88*1000/(Legend!$B$83*Legend!$B$82*Legend!$B$84),'IPCC(2006)'!$J$88*1000/(Legend!$B$83*Legend!$B$82*Legend!$B$84))</f>
        <v>0</v>
      </c>
      <c r="O139" s="209">
        <f>IF(SUMIFS('Region Mapping'!$E:$E,'Region Mapping'!$A:$A,'Key inputs_Emissions'!O$39)&gt;0,'IPCC(2006)'!$F$88*1000/(Legend!$B$83*Legend!$B$82*Legend!$B$84),'IPCC(2006)'!$J$88*1000/(Legend!$B$83*Legend!$B$82*Legend!$B$84))</f>
        <v>0</v>
      </c>
      <c r="P139" s="209">
        <f>IF(SUMIFS('Region Mapping'!$E:$E,'Region Mapping'!$A:$A,'Key inputs_Emissions'!P$39)&gt;0,'IPCC(2006)'!$F$88*1000/(Legend!$B$83*Legend!$B$82*Legend!$B$84),'IPCC(2006)'!$J$88*1000/(Legend!$B$83*Legend!$B$82*Legend!$B$84))</f>
        <v>0</v>
      </c>
      <c r="Q139" s="209">
        <f>IF(SUMIFS('Region Mapping'!$E:$E,'Region Mapping'!$A:$A,'Key inputs_Emissions'!Q$39)&gt;0,'IPCC(2006)'!$F$88*1000/(Legend!$B$83*Legend!$B$82*Legend!$B$84),'IPCC(2006)'!$J$88*1000/(Legend!$B$83*Legend!$B$82*Legend!$B$84))</f>
        <v>0</v>
      </c>
      <c r="R139" s="209">
        <f>IF(SUMIFS('Region Mapping'!$E:$E,'Region Mapping'!$A:$A,'Key inputs_Emissions'!R$39)&gt;0,'IPCC(2006)'!$F$88*1000/(Legend!$B$83*Legend!$B$82*Legend!$B$84),'IPCC(2006)'!$J$88*1000/(Legend!$B$83*Legend!$B$82*Legend!$B$84))</f>
        <v>0</v>
      </c>
      <c r="S139" s="209">
        <f>IF(SUMIFS('Region Mapping'!$E:$E,'Region Mapping'!$A:$A,'Key inputs_Emissions'!S$39)&gt;0,'IPCC(2006)'!$F$88*1000/(Legend!$B$83*Legend!$B$82*Legend!$B$84),'IPCC(2006)'!$J$88*1000/(Legend!$B$83*Legend!$B$82*Legend!$B$84))</f>
        <v>0</v>
      </c>
      <c r="T139" s="209">
        <f>IF(SUMIFS('Region Mapping'!$E:$E,'Region Mapping'!$A:$A,'Key inputs_Emissions'!T$39)&gt;0,'IPCC(2006)'!$F$88*1000/(Legend!$B$83*Legend!$B$82*Legend!$B$84),'IPCC(2006)'!$J$88*1000/(Legend!$B$83*Legend!$B$82*Legend!$B$84))</f>
        <v>0</v>
      </c>
      <c r="U139" s="209">
        <f>IF(SUMIFS('Region Mapping'!$E:$E,'Region Mapping'!$A:$A,'Key inputs_Emissions'!U$39)&gt;0,'IPCC(2006)'!$F$88*1000/(Legend!$B$83*Legend!$B$82*Legend!$B$84),'IPCC(2006)'!$J$88*1000/(Legend!$B$83*Legend!$B$82*Legend!$B$84))</f>
        <v>0</v>
      </c>
      <c r="V139" s="209">
        <f>IF(SUMIFS('Region Mapping'!$E:$E,'Region Mapping'!$A:$A,'Key inputs_Emissions'!V$39)&gt;0,'IPCC(2006)'!$F$88*1000/(Legend!$B$83*Legend!$B$82*Legend!$B$84),'IPCC(2006)'!$J$88*1000/(Legend!$B$83*Legend!$B$82*Legend!$B$84))</f>
        <v>0</v>
      </c>
      <c r="W139" s="209">
        <f>IF(SUMIFS('Region Mapping'!$E:$E,'Region Mapping'!$A:$A,'Key inputs_Emissions'!W$39)&gt;0,'IPCC(2006)'!$F$88*1000/(Legend!$B$83*Legend!$B$82*Legend!$B$84),'IPCC(2006)'!$J$88*1000/(Legend!$B$83*Legend!$B$82*Legend!$B$84))</f>
        <v>0</v>
      </c>
      <c r="X139" s="209">
        <f>IF(SUMIFS('Region Mapping'!$E:$E,'Region Mapping'!$A:$A,'Key inputs_Emissions'!X$39)&gt;0,'IPCC(2006)'!$F$88*1000/(Legend!$B$83*Legend!$B$82*Legend!$B$84),'IPCC(2006)'!$J$88*1000/(Legend!$B$83*Legend!$B$82*Legend!$B$84))</f>
        <v>0</v>
      </c>
      <c r="Y139" s="209">
        <f>IF(SUMIFS('Region Mapping'!$E:$E,'Region Mapping'!$A:$A,'Key inputs_Emissions'!Y$39)&gt;0,'IPCC(2006)'!$F$88*1000/(Legend!$B$83*Legend!$B$82*Legend!$B$84),'IPCC(2006)'!$J$88*1000/(Legend!$B$83*Legend!$B$82*Legend!$B$84))</f>
        <v>0</v>
      </c>
      <c r="Z139" s="209">
        <f>IF(SUMIFS('Region Mapping'!$E:$E,'Region Mapping'!$A:$A,'Key inputs_Emissions'!Z$39)&gt;0,'IPCC(2006)'!$F$88*1000/(Legend!$B$83*Legend!$B$82*Legend!$B$84),'IPCC(2006)'!$J$88*1000/(Legend!$B$83*Legend!$B$82*Legend!$B$84))</f>
        <v>0</v>
      </c>
      <c r="AA139" s="209">
        <f>IF(SUMIFS('Region Mapping'!$E:$E,'Region Mapping'!$A:$A,'Key inputs_Emissions'!AA$39)&gt;0,'IPCC(2006)'!$F$88*1000/(Legend!$B$83*Legend!$B$82*Legend!$B$84),'IPCC(2006)'!$J$88*1000/(Legend!$B$83*Legend!$B$82*Legend!$B$84))</f>
        <v>0</v>
      </c>
      <c r="AB139" s="209">
        <f>IF(SUMIFS('Region Mapping'!$E:$E,'Region Mapping'!$A:$A,'Key inputs_Emissions'!AB$39)&gt;0,'IPCC(2006)'!$F$88*1000/(Legend!$B$83*Legend!$B$82*Legend!$B$84),'IPCC(2006)'!$J$88*1000/(Legend!$B$83*Legend!$B$82*Legend!$B$84))</f>
        <v>0</v>
      </c>
      <c r="AC139" s="209">
        <f>IF(SUMIFS('Region Mapping'!$E:$E,'Region Mapping'!$A:$A,'Key inputs_Emissions'!AC$39)&gt;0,'IPCC(2006)'!$F$88*1000/(Legend!$B$83*Legend!$B$82*Legend!$B$84),'IPCC(2006)'!$J$88*1000/(Legend!$B$83*Legend!$B$82*Legend!$B$84))</f>
        <v>0</v>
      </c>
      <c r="AD139" s="220">
        <f>IF(SUMIFS('Region Mapping'!$E:$E,'Region Mapping'!$A:$A,'Key inputs_Emissions'!AD$39)&gt;0,'IPCC(2006)'!$F$88*1000/(Legend!$B$83*Legend!$B$82*Legend!$B$84),'IPCC(2006)'!$J$88*1000/(Legend!$B$83*Legend!$B$82*Legend!$B$84))</f>
        <v>0</v>
      </c>
    </row>
    <row r="140" spans="1:30">
      <c r="A140" s="215" t="s">
        <v>1022</v>
      </c>
      <c r="B140" t="s">
        <v>1021</v>
      </c>
      <c r="C140" s="209">
        <f>IF(SUMIFS('Region Mapping'!$E:$E,'Region Mapping'!$A:$A,'Key inputs_Emissions'!C$39)&gt;0,'IPCC(2006)'!$F$89*1000/(Legend!$B$83*Legend!$B$82*Legend!$B$84),'IPCC(2006)'!$J$89*1000/(Legend!$B$83*Legend!$B$82*Legend!$B$84))</f>
        <v>0</v>
      </c>
      <c r="D140" s="209">
        <f>IF(SUMIFS('Region Mapping'!$E:$E,'Region Mapping'!$A:$A,'Key inputs_Emissions'!D$39)&gt;0,'IPCC(2006)'!$F$89*1000/(Legend!$B$83*Legend!$B$82*Legend!$B$84),'IPCC(2006)'!$J$89*1000/(Legend!$B$83*Legend!$B$82*Legend!$B$84))</f>
        <v>0</v>
      </c>
      <c r="E140" s="209">
        <f>IF(SUMIFS('Region Mapping'!$E:$E,'Region Mapping'!$A:$A,'Key inputs_Emissions'!E$39)&gt;0,'IPCC(2006)'!$F$89*1000/(Legend!$B$83*Legend!$B$82*Legend!$B$84),'IPCC(2006)'!$J$89*1000/(Legend!$B$83*Legend!$B$82*Legend!$B$84))</f>
        <v>0</v>
      </c>
      <c r="F140" s="209">
        <f>IF(SUMIFS('Region Mapping'!$E:$E,'Region Mapping'!$A:$A,'Key inputs_Emissions'!F$39)&gt;0,'IPCC(2006)'!$F$89*1000/(Legend!$B$83*Legend!$B$82*Legend!$B$84),'IPCC(2006)'!$J$89*1000/(Legend!$B$83*Legend!$B$82*Legend!$B$84))</f>
        <v>0</v>
      </c>
      <c r="G140" s="209">
        <f>IF(SUMIFS('Region Mapping'!$E:$E,'Region Mapping'!$A:$A,'Key inputs_Emissions'!G$39)&gt;0,'IPCC(2006)'!$F$89*1000/(Legend!$B$83*Legend!$B$82*Legend!$B$84),'IPCC(2006)'!$J$89*1000/(Legend!$B$83*Legend!$B$82*Legend!$B$84))</f>
        <v>0</v>
      </c>
      <c r="H140" s="209">
        <f>IF(SUMIFS('Region Mapping'!$E:$E,'Region Mapping'!$A:$A,'Key inputs_Emissions'!H$39)&gt;0,'IPCC(2006)'!$F$89*1000/(Legend!$B$83*Legend!$B$82*Legend!$B$84),'IPCC(2006)'!$J$89*1000/(Legend!$B$83*Legend!$B$82*Legend!$B$84))</f>
        <v>0</v>
      </c>
      <c r="I140" s="209">
        <f>IF(SUMIFS('Region Mapping'!$E:$E,'Region Mapping'!$A:$A,'Key inputs_Emissions'!I$39)&gt;0,'IPCC(2006)'!$F$89*1000/(Legend!$B$83*Legend!$B$82*Legend!$B$84),'IPCC(2006)'!$J$89*1000/(Legend!$B$83*Legend!$B$82*Legend!$B$84))</f>
        <v>0</v>
      </c>
      <c r="J140" s="209">
        <f>IF(SUMIFS('Region Mapping'!$E:$E,'Region Mapping'!$A:$A,'Key inputs_Emissions'!J$39)&gt;0,'IPCC(2006)'!$F$89*1000/(Legend!$B$83*Legend!$B$82*Legend!$B$84),'IPCC(2006)'!$J$89*1000/(Legend!$B$83*Legend!$B$82*Legend!$B$84))</f>
        <v>0</v>
      </c>
      <c r="K140" s="209">
        <f>IF(SUMIFS('Region Mapping'!$E:$E,'Region Mapping'!$A:$A,'Key inputs_Emissions'!K$39)&gt;0,'IPCC(2006)'!$F$89*1000/(Legend!$B$83*Legend!$B$82*Legend!$B$84),'IPCC(2006)'!$J$89*1000/(Legend!$B$83*Legend!$B$82*Legend!$B$84))</f>
        <v>0</v>
      </c>
      <c r="L140" s="209">
        <f>IF(SUMIFS('Region Mapping'!$E:$E,'Region Mapping'!$A:$A,'Key inputs_Emissions'!L$39)&gt;0,'IPCC(2006)'!$F$89*1000/(Legend!$B$83*Legend!$B$82*Legend!$B$84),'IPCC(2006)'!$J$89*1000/(Legend!$B$83*Legend!$B$82*Legend!$B$84))</f>
        <v>0</v>
      </c>
      <c r="M140" s="209">
        <f>IF(SUMIFS('Region Mapping'!$E:$E,'Region Mapping'!$A:$A,'Key inputs_Emissions'!M$39)&gt;0,'IPCC(2006)'!$F$89*1000/(Legend!$B$83*Legend!$B$82*Legend!$B$84),'IPCC(2006)'!$J$89*1000/(Legend!$B$83*Legend!$B$82*Legend!$B$84))</f>
        <v>0</v>
      </c>
      <c r="N140" s="209">
        <f>IF(SUMIFS('Region Mapping'!$E:$E,'Region Mapping'!$A:$A,'Key inputs_Emissions'!N$39)&gt;0,'IPCC(2006)'!$F$89*1000/(Legend!$B$83*Legend!$B$82*Legend!$B$84),'IPCC(2006)'!$J$89*1000/(Legend!$B$83*Legend!$B$82*Legend!$B$84))</f>
        <v>0</v>
      </c>
      <c r="O140" s="209">
        <f>IF(SUMIFS('Region Mapping'!$E:$E,'Region Mapping'!$A:$A,'Key inputs_Emissions'!O$39)&gt;0,'IPCC(2006)'!$F$89*1000/(Legend!$B$83*Legend!$B$82*Legend!$B$84),'IPCC(2006)'!$J$89*1000/(Legend!$B$83*Legend!$B$82*Legend!$B$84))</f>
        <v>0</v>
      </c>
      <c r="P140" s="209">
        <f>IF(SUMIFS('Region Mapping'!$E:$E,'Region Mapping'!$A:$A,'Key inputs_Emissions'!P$39)&gt;0,'IPCC(2006)'!$F$89*1000/(Legend!$B$83*Legend!$B$82*Legend!$B$84),'IPCC(2006)'!$J$89*1000/(Legend!$B$83*Legend!$B$82*Legend!$B$84))</f>
        <v>0</v>
      </c>
      <c r="Q140" s="209">
        <f>IF(SUMIFS('Region Mapping'!$E:$E,'Region Mapping'!$A:$A,'Key inputs_Emissions'!Q$39)&gt;0,'IPCC(2006)'!$F$89*1000/(Legend!$B$83*Legend!$B$82*Legend!$B$84),'IPCC(2006)'!$J$89*1000/(Legend!$B$83*Legend!$B$82*Legend!$B$84))</f>
        <v>0</v>
      </c>
      <c r="R140" s="209">
        <f>IF(SUMIFS('Region Mapping'!$E:$E,'Region Mapping'!$A:$A,'Key inputs_Emissions'!R$39)&gt;0,'IPCC(2006)'!$F$89*1000/(Legend!$B$83*Legend!$B$82*Legend!$B$84),'IPCC(2006)'!$J$89*1000/(Legend!$B$83*Legend!$B$82*Legend!$B$84))</f>
        <v>0</v>
      </c>
      <c r="S140" s="209">
        <f>IF(SUMIFS('Region Mapping'!$E:$E,'Region Mapping'!$A:$A,'Key inputs_Emissions'!S$39)&gt;0,'IPCC(2006)'!$F$89*1000/(Legend!$B$83*Legend!$B$82*Legend!$B$84),'IPCC(2006)'!$J$89*1000/(Legend!$B$83*Legend!$B$82*Legend!$B$84))</f>
        <v>0</v>
      </c>
      <c r="T140" s="209">
        <f>IF(SUMIFS('Region Mapping'!$E:$E,'Region Mapping'!$A:$A,'Key inputs_Emissions'!T$39)&gt;0,'IPCC(2006)'!$F$89*1000/(Legend!$B$83*Legend!$B$82*Legend!$B$84),'IPCC(2006)'!$J$89*1000/(Legend!$B$83*Legend!$B$82*Legend!$B$84))</f>
        <v>0</v>
      </c>
      <c r="U140" s="209">
        <f>IF(SUMIFS('Region Mapping'!$E:$E,'Region Mapping'!$A:$A,'Key inputs_Emissions'!U$39)&gt;0,'IPCC(2006)'!$F$89*1000/(Legend!$B$83*Legend!$B$82*Legend!$B$84),'IPCC(2006)'!$J$89*1000/(Legend!$B$83*Legend!$B$82*Legend!$B$84))</f>
        <v>0</v>
      </c>
      <c r="V140" s="209">
        <f>IF(SUMIFS('Region Mapping'!$E:$E,'Region Mapping'!$A:$A,'Key inputs_Emissions'!V$39)&gt;0,'IPCC(2006)'!$F$89*1000/(Legend!$B$83*Legend!$B$82*Legend!$B$84),'IPCC(2006)'!$J$89*1000/(Legend!$B$83*Legend!$B$82*Legend!$B$84))</f>
        <v>0</v>
      </c>
      <c r="W140" s="209">
        <f>IF(SUMIFS('Region Mapping'!$E:$E,'Region Mapping'!$A:$A,'Key inputs_Emissions'!W$39)&gt;0,'IPCC(2006)'!$F$89*1000/(Legend!$B$83*Legend!$B$82*Legend!$B$84),'IPCC(2006)'!$J$89*1000/(Legend!$B$83*Legend!$B$82*Legend!$B$84))</f>
        <v>0</v>
      </c>
      <c r="X140" s="209">
        <f>IF(SUMIFS('Region Mapping'!$E:$E,'Region Mapping'!$A:$A,'Key inputs_Emissions'!X$39)&gt;0,'IPCC(2006)'!$F$89*1000/(Legend!$B$83*Legend!$B$82*Legend!$B$84),'IPCC(2006)'!$J$89*1000/(Legend!$B$83*Legend!$B$82*Legend!$B$84))</f>
        <v>0</v>
      </c>
      <c r="Y140" s="209">
        <f>IF(SUMIFS('Region Mapping'!$E:$E,'Region Mapping'!$A:$A,'Key inputs_Emissions'!Y$39)&gt;0,'IPCC(2006)'!$F$89*1000/(Legend!$B$83*Legend!$B$82*Legend!$B$84),'IPCC(2006)'!$J$89*1000/(Legend!$B$83*Legend!$B$82*Legend!$B$84))</f>
        <v>0</v>
      </c>
      <c r="Z140" s="209">
        <f>IF(SUMIFS('Region Mapping'!$E:$E,'Region Mapping'!$A:$A,'Key inputs_Emissions'!Z$39)&gt;0,'IPCC(2006)'!$F$89*1000/(Legend!$B$83*Legend!$B$82*Legend!$B$84),'IPCC(2006)'!$J$89*1000/(Legend!$B$83*Legend!$B$82*Legend!$B$84))</f>
        <v>0</v>
      </c>
      <c r="AA140" s="209">
        <f>IF(SUMIFS('Region Mapping'!$E:$E,'Region Mapping'!$A:$A,'Key inputs_Emissions'!AA$39)&gt;0,'IPCC(2006)'!$F$89*1000/(Legend!$B$83*Legend!$B$82*Legend!$B$84),'IPCC(2006)'!$J$89*1000/(Legend!$B$83*Legend!$B$82*Legend!$B$84))</f>
        <v>0</v>
      </c>
      <c r="AB140" s="209">
        <f>IF(SUMIFS('Region Mapping'!$E:$E,'Region Mapping'!$A:$A,'Key inputs_Emissions'!AB$39)&gt;0,'IPCC(2006)'!$F$89*1000/(Legend!$B$83*Legend!$B$82*Legend!$B$84),'IPCC(2006)'!$J$89*1000/(Legend!$B$83*Legend!$B$82*Legend!$B$84))</f>
        <v>0</v>
      </c>
      <c r="AC140" s="209">
        <f>IF(SUMIFS('Region Mapping'!$E:$E,'Region Mapping'!$A:$A,'Key inputs_Emissions'!AC$39)&gt;0,'IPCC(2006)'!$F$89*1000/(Legend!$B$83*Legend!$B$82*Legend!$B$84),'IPCC(2006)'!$J$89*1000/(Legend!$B$83*Legend!$B$82*Legend!$B$84))</f>
        <v>0</v>
      </c>
      <c r="AD140" s="220">
        <f>IF(SUMIFS('Region Mapping'!$E:$E,'Region Mapping'!$A:$A,'Key inputs_Emissions'!AD$39)&gt;0,'IPCC(2006)'!$F$89*1000/(Legend!$B$83*Legend!$B$82*Legend!$B$84),'IPCC(2006)'!$J$89*1000/(Legend!$B$83*Legend!$B$82*Legend!$B$84))</f>
        <v>0</v>
      </c>
    </row>
    <row r="141" spans="1:30">
      <c r="A141" s="215" t="s">
        <v>1023</v>
      </c>
      <c r="B141" t="s">
        <v>1024</v>
      </c>
      <c r="C141" s="209">
        <f>IF(SUMIFS('Region Mapping'!$E:$E,'Region Mapping'!$A:$A,'Key inputs_Emissions'!C$39)&gt;0,'IPCC(2006)'!$F$90*1000/(Legend!$B$83*Legend!$B$82*Legend!$B$84),'IPCC(2006)'!$J$90*1000/(Legend!$B$83*Legend!$B$82*Legend!$B$84))</f>
        <v>0</v>
      </c>
      <c r="D141" s="209">
        <f>IF(SUMIFS('Region Mapping'!$E:$E,'Region Mapping'!$A:$A,'Key inputs_Emissions'!D$39)&gt;0,'IPCC(2006)'!$F$90*1000/(Legend!$B$83*Legend!$B$82*Legend!$B$84),'IPCC(2006)'!$J$90*1000/(Legend!$B$83*Legend!$B$82*Legend!$B$84))</f>
        <v>0</v>
      </c>
      <c r="E141" s="209">
        <f>IF(SUMIFS('Region Mapping'!$E:$E,'Region Mapping'!$A:$A,'Key inputs_Emissions'!E$39)&gt;0,'IPCC(2006)'!$F$90*1000/(Legend!$B$83*Legend!$B$82*Legend!$B$84),'IPCC(2006)'!$J$90*1000/(Legend!$B$83*Legend!$B$82*Legend!$B$84))</f>
        <v>0</v>
      </c>
      <c r="F141" s="209">
        <f>IF(SUMIFS('Region Mapping'!$E:$E,'Region Mapping'!$A:$A,'Key inputs_Emissions'!F$39)&gt;0,'IPCC(2006)'!$F$90*1000/(Legend!$B$83*Legend!$B$82*Legend!$B$84),'IPCC(2006)'!$J$90*1000/(Legend!$B$83*Legend!$B$82*Legend!$B$84))</f>
        <v>0</v>
      </c>
      <c r="G141" s="209">
        <f>IF(SUMIFS('Region Mapping'!$E:$E,'Region Mapping'!$A:$A,'Key inputs_Emissions'!G$39)&gt;0,'IPCC(2006)'!$F$90*1000/(Legend!$B$83*Legend!$B$82*Legend!$B$84),'IPCC(2006)'!$J$90*1000/(Legend!$B$83*Legend!$B$82*Legend!$B$84))</f>
        <v>0</v>
      </c>
      <c r="H141" s="209">
        <f>IF(SUMIFS('Region Mapping'!$E:$E,'Region Mapping'!$A:$A,'Key inputs_Emissions'!H$39)&gt;0,'IPCC(2006)'!$F$90*1000/(Legend!$B$83*Legend!$B$82*Legend!$B$84),'IPCC(2006)'!$J$90*1000/(Legend!$B$83*Legend!$B$82*Legend!$B$84))</f>
        <v>0</v>
      </c>
      <c r="I141" s="209">
        <f>IF(SUMIFS('Region Mapping'!$E:$E,'Region Mapping'!$A:$A,'Key inputs_Emissions'!I$39)&gt;0,'IPCC(2006)'!$F$90*1000/(Legend!$B$83*Legend!$B$82*Legend!$B$84),'IPCC(2006)'!$J$90*1000/(Legend!$B$83*Legend!$B$82*Legend!$B$84))</f>
        <v>0</v>
      </c>
      <c r="J141" s="209">
        <f>IF(SUMIFS('Region Mapping'!$E:$E,'Region Mapping'!$A:$A,'Key inputs_Emissions'!J$39)&gt;0,'IPCC(2006)'!$F$90*1000/(Legend!$B$83*Legend!$B$82*Legend!$B$84),'IPCC(2006)'!$J$90*1000/(Legend!$B$83*Legend!$B$82*Legend!$B$84))</f>
        <v>0</v>
      </c>
      <c r="K141" s="209">
        <f>IF(SUMIFS('Region Mapping'!$E:$E,'Region Mapping'!$A:$A,'Key inputs_Emissions'!K$39)&gt;0,'IPCC(2006)'!$F$90*1000/(Legend!$B$83*Legend!$B$82*Legend!$B$84),'IPCC(2006)'!$J$90*1000/(Legend!$B$83*Legend!$B$82*Legend!$B$84))</f>
        <v>0</v>
      </c>
      <c r="L141" s="209">
        <f>IF(SUMIFS('Region Mapping'!$E:$E,'Region Mapping'!$A:$A,'Key inputs_Emissions'!L$39)&gt;0,'IPCC(2006)'!$F$90*1000/(Legend!$B$83*Legend!$B$82*Legend!$B$84),'IPCC(2006)'!$J$90*1000/(Legend!$B$83*Legend!$B$82*Legend!$B$84))</f>
        <v>0</v>
      </c>
      <c r="M141" s="209">
        <f>IF(SUMIFS('Region Mapping'!$E:$E,'Region Mapping'!$A:$A,'Key inputs_Emissions'!M$39)&gt;0,'IPCC(2006)'!$F$90*1000/(Legend!$B$83*Legend!$B$82*Legend!$B$84),'IPCC(2006)'!$J$90*1000/(Legend!$B$83*Legend!$B$82*Legend!$B$84))</f>
        <v>0</v>
      </c>
      <c r="N141" s="209">
        <f>IF(SUMIFS('Region Mapping'!$E:$E,'Region Mapping'!$A:$A,'Key inputs_Emissions'!N$39)&gt;0,'IPCC(2006)'!$F$90*1000/(Legend!$B$83*Legend!$B$82*Legend!$B$84),'IPCC(2006)'!$J$90*1000/(Legend!$B$83*Legend!$B$82*Legend!$B$84))</f>
        <v>0</v>
      </c>
      <c r="O141" s="209">
        <f>IF(SUMIFS('Region Mapping'!$E:$E,'Region Mapping'!$A:$A,'Key inputs_Emissions'!O$39)&gt;0,'IPCC(2006)'!$F$90*1000/(Legend!$B$83*Legend!$B$82*Legend!$B$84),'IPCC(2006)'!$J$90*1000/(Legend!$B$83*Legend!$B$82*Legend!$B$84))</f>
        <v>0</v>
      </c>
      <c r="P141" s="209">
        <f>IF(SUMIFS('Region Mapping'!$E:$E,'Region Mapping'!$A:$A,'Key inputs_Emissions'!P$39)&gt;0,'IPCC(2006)'!$F$90*1000/(Legend!$B$83*Legend!$B$82*Legend!$B$84),'IPCC(2006)'!$J$90*1000/(Legend!$B$83*Legend!$B$82*Legend!$B$84))</f>
        <v>0</v>
      </c>
      <c r="Q141" s="209">
        <f>IF(SUMIFS('Region Mapping'!$E:$E,'Region Mapping'!$A:$A,'Key inputs_Emissions'!Q$39)&gt;0,'IPCC(2006)'!$F$90*1000/(Legend!$B$83*Legend!$B$82*Legend!$B$84),'IPCC(2006)'!$J$90*1000/(Legend!$B$83*Legend!$B$82*Legend!$B$84))</f>
        <v>0</v>
      </c>
      <c r="R141" s="209">
        <f>IF(SUMIFS('Region Mapping'!$E:$E,'Region Mapping'!$A:$A,'Key inputs_Emissions'!R$39)&gt;0,'IPCC(2006)'!$F$90*1000/(Legend!$B$83*Legend!$B$82*Legend!$B$84),'IPCC(2006)'!$J$90*1000/(Legend!$B$83*Legend!$B$82*Legend!$B$84))</f>
        <v>0</v>
      </c>
      <c r="S141" s="209">
        <f>IF(SUMIFS('Region Mapping'!$E:$E,'Region Mapping'!$A:$A,'Key inputs_Emissions'!S$39)&gt;0,'IPCC(2006)'!$F$90*1000/(Legend!$B$83*Legend!$B$82*Legend!$B$84),'IPCC(2006)'!$J$90*1000/(Legend!$B$83*Legend!$B$82*Legend!$B$84))</f>
        <v>0</v>
      </c>
      <c r="T141" s="209">
        <f>IF(SUMIFS('Region Mapping'!$E:$E,'Region Mapping'!$A:$A,'Key inputs_Emissions'!T$39)&gt;0,'IPCC(2006)'!$F$90*1000/(Legend!$B$83*Legend!$B$82*Legend!$B$84),'IPCC(2006)'!$J$90*1000/(Legend!$B$83*Legend!$B$82*Legend!$B$84))</f>
        <v>0</v>
      </c>
      <c r="U141" s="209">
        <f>IF(SUMIFS('Region Mapping'!$E:$E,'Region Mapping'!$A:$A,'Key inputs_Emissions'!U$39)&gt;0,'IPCC(2006)'!$F$90*1000/(Legend!$B$83*Legend!$B$82*Legend!$B$84),'IPCC(2006)'!$J$90*1000/(Legend!$B$83*Legend!$B$82*Legend!$B$84))</f>
        <v>0</v>
      </c>
      <c r="V141" s="209">
        <f>IF(SUMIFS('Region Mapping'!$E:$E,'Region Mapping'!$A:$A,'Key inputs_Emissions'!V$39)&gt;0,'IPCC(2006)'!$F$90*1000/(Legend!$B$83*Legend!$B$82*Legend!$B$84),'IPCC(2006)'!$J$90*1000/(Legend!$B$83*Legend!$B$82*Legend!$B$84))</f>
        <v>0</v>
      </c>
      <c r="W141" s="209">
        <f>IF(SUMIFS('Region Mapping'!$E:$E,'Region Mapping'!$A:$A,'Key inputs_Emissions'!W$39)&gt;0,'IPCC(2006)'!$F$90*1000/(Legend!$B$83*Legend!$B$82*Legend!$B$84),'IPCC(2006)'!$J$90*1000/(Legend!$B$83*Legend!$B$82*Legend!$B$84))</f>
        <v>0</v>
      </c>
      <c r="X141" s="209">
        <f>IF(SUMIFS('Region Mapping'!$E:$E,'Region Mapping'!$A:$A,'Key inputs_Emissions'!X$39)&gt;0,'IPCC(2006)'!$F$90*1000/(Legend!$B$83*Legend!$B$82*Legend!$B$84),'IPCC(2006)'!$J$90*1000/(Legend!$B$83*Legend!$B$82*Legend!$B$84))</f>
        <v>0</v>
      </c>
      <c r="Y141" s="209">
        <f>IF(SUMIFS('Region Mapping'!$E:$E,'Region Mapping'!$A:$A,'Key inputs_Emissions'!Y$39)&gt;0,'IPCC(2006)'!$F$90*1000/(Legend!$B$83*Legend!$B$82*Legend!$B$84),'IPCC(2006)'!$J$90*1000/(Legend!$B$83*Legend!$B$82*Legend!$B$84))</f>
        <v>0</v>
      </c>
      <c r="Z141" s="209">
        <f>IF(SUMIFS('Region Mapping'!$E:$E,'Region Mapping'!$A:$A,'Key inputs_Emissions'!Z$39)&gt;0,'IPCC(2006)'!$F$90*1000/(Legend!$B$83*Legend!$B$82*Legend!$B$84),'IPCC(2006)'!$J$90*1000/(Legend!$B$83*Legend!$B$82*Legend!$B$84))</f>
        <v>0</v>
      </c>
      <c r="AA141" s="209">
        <f>IF(SUMIFS('Region Mapping'!$E:$E,'Region Mapping'!$A:$A,'Key inputs_Emissions'!AA$39)&gt;0,'IPCC(2006)'!$F$90*1000/(Legend!$B$83*Legend!$B$82*Legend!$B$84),'IPCC(2006)'!$J$90*1000/(Legend!$B$83*Legend!$B$82*Legend!$B$84))</f>
        <v>0</v>
      </c>
      <c r="AB141" s="209">
        <f>IF(SUMIFS('Region Mapping'!$E:$E,'Region Mapping'!$A:$A,'Key inputs_Emissions'!AB$39)&gt;0,'IPCC(2006)'!$F$90*1000/(Legend!$B$83*Legend!$B$82*Legend!$B$84),'IPCC(2006)'!$J$90*1000/(Legend!$B$83*Legend!$B$82*Legend!$B$84))</f>
        <v>0</v>
      </c>
      <c r="AC141" s="209">
        <f>IF(SUMIFS('Region Mapping'!$E:$E,'Region Mapping'!$A:$A,'Key inputs_Emissions'!AC$39)&gt;0,'IPCC(2006)'!$F$90*1000/(Legend!$B$83*Legend!$B$82*Legend!$B$84),'IPCC(2006)'!$J$90*1000/(Legend!$B$83*Legend!$B$82*Legend!$B$84))</f>
        <v>0</v>
      </c>
      <c r="AD141" s="220">
        <f>IF(SUMIFS('Region Mapping'!$E:$E,'Region Mapping'!$A:$A,'Key inputs_Emissions'!AD$39)&gt;0,'IPCC(2006)'!$F$90*1000/(Legend!$B$83*Legend!$B$82*Legend!$B$84),'IPCC(2006)'!$J$90*1000/(Legend!$B$83*Legend!$B$82*Legend!$B$84))</f>
        <v>0</v>
      </c>
    </row>
    <row r="142" spans="1:30">
      <c r="A142" s="215" t="s">
        <v>1025</v>
      </c>
      <c r="B142" t="s">
        <v>1026</v>
      </c>
      <c r="C142" s="209">
        <f>IF(SUMIFS('Region Mapping'!$E:$E,'Region Mapping'!$A:$A,'Key inputs_Emissions'!C$39)&gt;0,'IPCC(2006)'!$F$92*1000/(Legend!$B$97*10^-3),'IPCC(2006)'!$J$92*1000/(Legend!$B$97*10^-3))</f>
        <v>0</v>
      </c>
      <c r="D142" s="209">
        <f>IF(SUMIFS('Region Mapping'!$E:$E,'Region Mapping'!$A:$A,'Key inputs_Emissions'!D$39)&gt;0,'IPCC(2006)'!$F$92*1000/(Legend!$B$97*10^-3),'IPCC(2006)'!$J$92*1000/(Legend!$B$97*10^-3))</f>
        <v>0</v>
      </c>
      <c r="E142" s="209">
        <f>IF(SUMIFS('Region Mapping'!$E:$E,'Region Mapping'!$A:$A,'Key inputs_Emissions'!E$39)&gt;0,'IPCC(2006)'!$F$92*1000/(Legend!$B$97*10^-3),'IPCC(2006)'!$J$92*1000/(Legend!$B$97*10^-3))</f>
        <v>0</v>
      </c>
      <c r="F142" s="209">
        <f>IF(SUMIFS('Region Mapping'!$E:$E,'Region Mapping'!$A:$A,'Key inputs_Emissions'!F$39)&gt;0,'IPCC(2006)'!$F$92*1000/(Legend!$B$97*10^-3),'IPCC(2006)'!$J$92*1000/(Legend!$B$97*10^-3))</f>
        <v>0</v>
      </c>
      <c r="G142" s="209">
        <f>IF(SUMIFS('Region Mapping'!$E:$E,'Region Mapping'!$A:$A,'Key inputs_Emissions'!G$39)&gt;0,'IPCC(2006)'!$F$92*1000/(Legend!$B$97*10^-3),'IPCC(2006)'!$J$92*1000/(Legend!$B$97*10^-3))</f>
        <v>0</v>
      </c>
      <c r="H142" s="209">
        <f>IF(SUMIFS('Region Mapping'!$E:$E,'Region Mapping'!$A:$A,'Key inputs_Emissions'!H$39)&gt;0,'IPCC(2006)'!$F$92*1000/(Legend!$B$97*10^-3),'IPCC(2006)'!$J$92*1000/(Legend!$B$97*10^-3))</f>
        <v>0</v>
      </c>
      <c r="I142" s="209">
        <f>IF(SUMIFS('Region Mapping'!$E:$E,'Region Mapping'!$A:$A,'Key inputs_Emissions'!I$39)&gt;0,'IPCC(2006)'!$F$92*1000/(Legend!$B$97*10^-3),'IPCC(2006)'!$J$92*1000/(Legend!$B$97*10^-3))</f>
        <v>0</v>
      </c>
      <c r="J142" s="209">
        <f>IF(SUMIFS('Region Mapping'!$E:$E,'Region Mapping'!$A:$A,'Key inputs_Emissions'!J$39)&gt;0,'IPCC(2006)'!$F$92*1000/(Legend!$B$97*10^-3),'IPCC(2006)'!$J$92*1000/(Legend!$B$97*10^-3))</f>
        <v>0</v>
      </c>
      <c r="K142" s="209">
        <f>IF(SUMIFS('Region Mapping'!$E:$E,'Region Mapping'!$A:$A,'Key inputs_Emissions'!K$39)&gt;0,'IPCC(2006)'!$F$92*1000/(Legend!$B$97*10^-3),'IPCC(2006)'!$J$92*1000/(Legend!$B$97*10^-3))</f>
        <v>0</v>
      </c>
      <c r="L142" s="209">
        <f>IF(SUMIFS('Region Mapping'!$E:$E,'Region Mapping'!$A:$A,'Key inputs_Emissions'!L$39)&gt;0,'IPCC(2006)'!$F$92*1000/(Legend!$B$97*10^-3),'IPCC(2006)'!$J$92*1000/(Legend!$B$97*10^-3))</f>
        <v>0</v>
      </c>
      <c r="M142" s="209">
        <f>IF(SUMIFS('Region Mapping'!$E:$E,'Region Mapping'!$A:$A,'Key inputs_Emissions'!M$39)&gt;0,'IPCC(2006)'!$F$92*1000/(Legend!$B$97*10^-3),'IPCC(2006)'!$J$92*1000/(Legend!$B$97*10^-3))</f>
        <v>0</v>
      </c>
      <c r="N142" s="209">
        <f>IF(SUMIFS('Region Mapping'!$E:$E,'Region Mapping'!$A:$A,'Key inputs_Emissions'!N$39)&gt;0,'IPCC(2006)'!$F$92*1000/(Legend!$B$97*10^-3),'IPCC(2006)'!$J$92*1000/(Legend!$B$97*10^-3))</f>
        <v>0</v>
      </c>
      <c r="O142" s="209">
        <f>IF(SUMIFS('Region Mapping'!$E:$E,'Region Mapping'!$A:$A,'Key inputs_Emissions'!O$39)&gt;0,'IPCC(2006)'!$F$92*1000/(Legend!$B$97*10^-3),'IPCC(2006)'!$J$92*1000/(Legend!$B$97*10^-3))</f>
        <v>0</v>
      </c>
      <c r="P142" s="209">
        <f>IF(SUMIFS('Region Mapping'!$E:$E,'Region Mapping'!$A:$A,'Key inputs_Emissions'!P$39)&gt;0,'IPCC(2006)'!$F$92*1000/(Legend!$B$97*10^-3),'IPCC(2006)'!$J$92*1000/(Legend!$B$97*10^-3))</f>
        <v>0</v>
      </c>
      <c r="Q142" s="209">
        <f>IF(SUMIFS('Region Mapping'!$E:$E,'Region Mapping'!$A:$A,'Key inputs_Emissions'!Q$39)&gt;0,'IPCC(2006)'!$F$92*1000/(Legend!$B$97*10^-3),'IPCC(2006)'!$J$92*1000/(Legend!$B$97*10^-3))</f>
        <v>0</v>
      </c>
      <c r="R142" s="209">
        <f>IF(SUMIFS('Region Mapping'!$E:$E,'Region Mapping'!$A:$A,'Key inputs_Emissions'!R$39)&gt;0,'IPCC(2006)'!$F$92*1000/(Legend!$B$97*10^-3),'IPCC(2006)'!$J$92*1000/(Legend!$B$97*10^-3))</f>
        <v>0</v>
      </c>
      <c r="S142" s="209">
        <f>IF(SUMIFS('Region Mapping'!$E:$E,'Region Mapping'!$A:$A,'Key inputs_Emissions'!S$39)&gt;0,'IPCC(2006)'!$F$92*1000/(Legend!$B$97*10^-3),'IPCC(2006)'!$J$92*1000/(Legend!$B$97*10^-3))</f>
        <v>0</v>
      </c>
      <c r="T142" s="209">
        <f>IF(SUMIFS('Region Mapping'!$E:$E,'Region Mapping'!$A:$A,'Key inputs_Emissions'!T$39)&gt;0,'IPCC(2006)'!$F$92*1000/(Legend!$B$97*10^-3),'IPCC(2006)'!$J$92*1000/(Legend!$B$97*10^-3))</f>
        <v>0</v>
      </c>
      <c r="U142" s="209">
        <f>IF(SUMIFS('Region Mapping'!$E:$E,'Region Mapping'!$A:$A,'Key inputs_Emissions'!U$39)&gt;0,'IPCC(2006)'!$F$92*1000/(Legend!$B$97*10^-3),'IPCC(2006)'!$J$92*1000/(Legend!$B$97*10^-3))</f>
        <v>0</v>
      </c>
      <c r="V142" s="209">
        <f>IF(SUMIFS('Region Mapping'!$E:$E,'Region Mapping'!$A:$A,'Key inputs_Emissions'!V$39)&gt;0,'IPCC(2006)'!$F$92*1000/(Legend!$B$97*10^-3),'IPCC(2006)'!$J$92*1000/(Legend!$B$97*10^-3))</f>
        <v>0</v>
      </c>
      <c r="W142" s="209">
        <f>IF(SUMIFS('Region Mapping'!$E:$E,'Region Mapping'!$A:$A,'Key inputs_Emissions'!W$39)&gt;0,'IPCC(2006)'!$F$92*1000/(Legend!$B$97*10^-3),'IPCC(2006)'!$J$92*1000/(Legend!$B$97*10^-3))</f>
        <v>0</v>
      </c>
      <c r="X142" s="209">
        <f>IF(SUMIFS('Region Mapping'!$E:$E,'Region Mapping'!$A:$A,'Key inputs_Emissions'!X$39)&gt;0,'IPCC(2006)'!$F$92*1000/(Legend!$B$97*10^-3),'IPCC(2006)'!$J$92*1000/(Legend!$B$97*10^-3))</f>
        <v>0</v>
      </c>
      <c r="Y142" s="209">
        <f>IF(SUMIFS('Region Mapping'!$E:$E,'Region Mapping'!$A:$A,'Key inputs_Emissions'!Y$39)&gt;0,'IPCC(2006)'!$F$92*1000/(Legend!$B$97*10^-3),'IPCC(2006)'!$J$92*1000/(Legend!$B$97*10^-3))</f>
        <v>0</v>
      </c>
      <c r="Z142" s="209">
        <f>IF(SUMIFS('Region Mapping'!$E:$E,'Region Mapping'!$A:$A,'Key inputs_Emissions'!Z$39)&gt;0,'IPCC(2006)'!$F$92*1000/(Legend!$B$97*10^-3),'IPCC(2006)'!$J$92*1000/(Legend!$B$97*10^-3))</f>
        <v>0</v>
      </c>
      <c r="AA142" s="209">
        <f>IF(SUMIFS('Region Mapping'!$E:$E,'Region Mapping'!$A:$A,'Key inputs_Emissions'!AA$39)&gt;0,'IPCC(2006)'!$F$92*1000/(Legend!$B$97*10^-3),'IPCC(2006)'!$J$92*1000/(Legend!$B$97*10^-3))</f>
        <v>0</v>
      </c>
      <c r="AB142" s="209">
        <f>IF(SUMIFS('Region Mapping'!$E:$E,'Region Mapping'!$A:$A,'Key inputs_Emissions'!AB$39)&gt;0,'IPCC(2006)'!$F$92*1000/(Legend!$B$97*10^-3),'IPCC(2006)'!$J$92*1000/(Legend!$B$97*10^-3))</f>
        <v>0</v>
      </c>
      <c r="AC142" s="209">
        <f>IF(SUMIFS('Region Mapping'!$E:$E,'Region Mapping'!$A:$A,'Key inputs_Emissions'!AC$39)&gt;0,'IPCC(2006)'!$F$92*1000/(Legend!$B$97*10^-3),'IPCC(2006)'!$J$92*1000/(Legend!$B$97*10^-3))</f>
        <v>0</v>
      </c>
      <c r="AD142" s="220">
        <f>IF(SUMIFS('Region Mapping'!$E:$E,'Region Mapping'!$A:$A,'Key inputs_Emissions'!AD$39)&gt;0,'IPCC(2006)'!$F$92*1000/(Legend!$B$97*10^-3),'IPCC(2006)'!$J$92*1000/(Legend!$B$97*10^-3))</f>
        <v>0</v>
      </c>
    </row>
    <row r="143" spans="1:30">
      <c r="A143" s="215" t="s">
        <v>1027</v>
      </c>
      <c r="B143" t="s">
        <v>1026</v>
      </c>
      <c r="C143" s="209">
        <f>IF(SUMIFS('Region Mapping'!$E:$E,'Region Mapping'!$A:$A,'Key inputs_Emissions'!C$39)&gt;0,'IPCC(2006)'!$F$93*1000/(Legend!$B$98*10^-3),'IPCC(2006)'!$J$93*1000/(Legend!$B$98*10^-3))</f>
        <v>0</v>
      </c>
      <c r="D143" s="209">
        <f>IF(SUMIFS('Region Mapping'!$E:$E,'Region Mapping'!$A:$A,'Key inputs_Emissions'!D$39)&gt;0,'IPCC(2006)'!$F$93*1000/(Legend!$B$98*10^-3),'IPCC(2006)'!$J$93*1000/(Legend!$B$98*10^-3))</f>
        <v>0</v>
      </c>
      <c r="E143" s="209">
        <f>IF(SUMIFS('Region Mapping'!$E:$E,'Region Mapping'!$A:$A,'Key inputs_Emissions'!E$39)&gt;0,'IPCC(2006)'!$F$93*1000/(Legend!$B$98*10^-3),'IPCC(2006)'!$J$93*1000/(Legend!$B$98*10^-3))</f>
        <v>0</v>
      </c>
      <c r="F143" s="209">
        <f>IF(SUMIFS('Region Mapping'!$E:$E,'Region Mapping'!$A:$A,'Key inputs_Emissions'!F$39)&gt;0,'IPCC(2006)'!$F$93*1000/(Legend!$B$98*10^-3),'IPCC(2006)'!$J$93*1000/(Legend!$B$98*10^-3))</f>
        <v>0</v>
      </c>
      <c r="G143" s="209">
        <f>IF(SUMIFS('Region Mapping'!$E:$E,'Region Mapping'!$A:$A,'Key inputs_Emissions'!G$39)&gt;0,'IPCC(2006)'!$F$93*1000/(Legend!$B$98*10^-3),'IPCC(2006)'!$J$93*1000/(Legend!$B$98*10^-3))</f>
        <v>0</v>
      </c>
      <c r="H143" s="209">
        <f>IF(SUMIFS('Region Mapping'!$E:$E,'Region Mapping'!$A:$A,'Key inputs_Emissions'!H$39)&gt;0,'IPCC(2006)'!$F$93*1000/(Legend!$B$98*10^-3),'IPCC(2006)'!$J$93*1000/(Legend!$B$98*10^-3))</f>
        <v>0</v>
      </c>
      <c r="I143" s="209">
        <f>IF(SUMIFS('Region Mapping'!$E:$E,'Region Mapping'!$A:$A,'Key inputs_Emissions'!I$39)&gt;0,'IPCC(2006)'!$F$93*1000/(Legend!$B$98*10^-3),'IPCC(2006)'!$J$93*1000/(Legend!$B$98*10^-3))</f>
        <v>0</v>
      </c>
      <c r="J143" s="209">
        <f>IF(SUMIFS('Region Mapping'!$E:$E,'Region Mapping'!$A:$A,'Key inputs_Emissions'!J$39)&gt;0,'IPCC(2006)'!$F$93*1000/(Legend!$B$98*10^-3),'IPCC(2006)'!$J$93*1000/(Legend!$B$98*10^-3))</f>
        <v>0</v>
      </c>
      <c r="K143" s="209">
        <f>IF(SUMIFS('Region Mapping'!$E:$E,'Region Mapping'!$A:$A,'Key inputs_Emissions'!K$39)&gt;0,'IPCC(2006)'!$F$93*1000/(Legend!$B$98*10^-3),'IPCC(2006)'!$J$93*1000/(Legend!$B$98*10^-3))</f>
        <v>0</v>
      </c>
      <c r="L143" s="209">
        <f>IF(SUMIFS('Region Mapping'!$E:$E,'Region Mapping'!$A:$A,'Key inputs_Emissions'!L$39)&gt;0,'IPCC(2006)'!$F$93*1000/(Legend!$B$98*10^-3),'IPCC(2006)'!$J$93*1000/(Legend!$B$98*10^-3))</f>
        <v>0</v>
      </c>
      <c r="M143" s="209">
        <f>IF(SUMIFS('Region Mapping'!$E:$E,'Region Mapping'!$A:$A,'Key inputs_Emissions'!M$39)&gt;0,'IPCC(2006)'!$F$93*1000/(Legend!$B$98*10^-3),'IPCC(2006)'!$J$93*1000/(Legend!$B$98*10^-3))</f>
        <v>0</v>
      </c>
      <c r="N143" s="209">
        <f>IF(SUMIFS('Region Mapping'!$E:$E,'Region Mapping'!$A:$A,'Key inputs_Emissions'!N$39)&gt;0,'IPCC(2006)'!$F$93*1000/(Legend!$B$98*10^-3),'IPCC(2006)'!$J$93*1000/(Legend!$B$98*10^-3))</f>
        <v>0</v>
      </c>
      <c r="O143" s="209">
        <f>IF(SUMIFS('Region Mapping'!$E:$E,'Region Mapping'!$A:$A,'Key inputs_Emissions'!O$39)&gt;0,'IPCC(2006)'!$F$93*1000/(Legend!$B$98*10^-3),'IPCC(2006)'!$J$93*1000/(Legend!$B$98*10^-3))</f>
        <v>0</v>
      </c>
      <c r="P143" s="209">
        <f>IF(SUMIFS('Region Mapping'!$E:$E,'Region Mapping'!$A:$A,'Key inputs_Emissions'!P$39)&gt;0,'IPCC(2006)'!$F$93*1000/(Legend!$B$98*10^-3),'IPCC(2006)'!$J$93*1000/(Legend!$B$98*10^-3))</f>
        <v>0</v>
      </c>
      <c r="Q143" s="209">
        <f>IF(SUMIFS('Region Mapping'!$E:$E,'Region Mapping'!$A:$A,'Key inputs_Emissions'!Q$39)&gt;0,'IPCC(2006)'!$F$93*1000/(Legend!$B$98*10^-3),'IPCC(2006)'!$J$93*1000/(Legend!$B$98*10^-3))</f>
        <v>0</v>
      </c>
      <c r="R143" s="209">
        <f>IF(SUMIFS('Region Mapping'!$E:$E,'Region Mapping'!$A:$A,'Key inputs_Emissions'!R$39)&gt;0,'IPCC(2006)'!$F$93*1000/(Legend!$B$98*10^-3),'IPCC(2006)'!$J$93*1000/(Legend!$B$98*10^-3))</f>
        <v>0</v>
      </c>
      <c r="S143" s="209">
        <f>IF(SUMIFS('Region Mapping'!$E:$E,'Region Mapping'!$A:$A,'Key inputs_Emissions'!S$39)&gt;0,'IPCC(2006)'!$F$93*1000/(Legend!$B$98*10^-3),'IPCC(2006)'!$J$93*1000/(Legend!$B$98*10^-3))</f>
        <v>0</v>
      </c>
      <c r="T143" s="209">
        <f>IF(SUMIFS('Region Mapping'!$E:$E,'Region Mapping'!$A:$A,'Key inputs_Emissions'!T$39)&gt;0,'IPCC(2006)'!$F$93*1000/(Legend!$B$98*10^-3),'IPCC(2006)'!$J$93*1000/(Legend!$B$98*10^-3))</f>
        <v>0</v>
      </c>
      <c r="U143" s="209">
        <f>IF(SUMIFS('Region Mapping'!$E:$E,'Region Mapping'!$A:$A,'Key inputs_Emissions'!U$39)&gt;0,'IPCC(2006)'!$F$93*1000/(Legend!$B$98*10^-3),'IPCC(2006)'!$J$93*1000/(Legend!$B$98*10^-3))</f>
        <v>0</v>
      </c>
      <c r="V143" s="209">
        <f>IF(SUMIFS('Region Mapping'!$E:$E,'Region Mapping'!$A:$A,'Key inputs_Emissions'!V$39)&gt;0,'IPCC(2006)'!$F$93*1000/(Legend!$B$98*10^-3),'IPCC(2006)'!$J$93*1000/(Legend!$B$98*10^-3))</f>
        <v>0</v>
      </c>
      <c r="W143" s="209">
        <f>IF(SUMIFS('Region Mapping'!$E:$E,'Region Mapping'!$A:$A,'Key inputs_Emissions'!W$39)&gt;0,'IPCC(2006)'!$F$93*1000/(Legend!$B$98*10^-3),'IPCC(2006)'!$J$93*1000/(Legend!$B$98*10^-3))</f>
        <v>0</v>
      </c>
      <c r="X143" s="209">
        <f>IF(SUMIFS('Region Mapping'!$E:$E,'Region Mapping'!$A:$A,'Key inputs_Emissions'!X$39)&gt;0,'IPCC(2006)'!$F$93*1000/(Legend!$B$98*10^-3),'IPCC(2006)'!$J$93*1000/(Legend!$B$98*10^-3))</f>
        <v>0</v>
      </c>
      <c r="Y143" s="209">
        <f>IF(SUMIFS('Region Mapping'!$E:$E,'Region Mapping'!$A:$A,'Key inputs_Emissions'!Y$39)&gt;0,'IPCC(2006)'!$F$93*1000/(Legend!$B$98*10^-3),'IPCC(2006)'!$J$93*1000/(Legend!$B$98*10^-3))</f>
        <v>0</v>
      </c>
      <c r="Z143" s="209">
        <f>IF(SUMIFS('Region Mapping'!$E:$E,'Region Mapping'!$A:$A,'Key inputs_Emissions'!Z$39)&gt;0,'IPCC(2006)'!$F$93*1000/(Legend!$B$98*10^-3),'IPCC(2006)'!$J$93*1000/(Legend!$B$98*10^-3))</f>
        <v>0</v>
      </c>
      <c r="AA143" s="209">
        <f>IF(SUMIFS('Region Mapping'!$E:$E,'Region Mapping'!$A:$A,'Key inputs_Emissions'!AA$39)&gt;0,'IPCC(2006)'!$F$93*1000/(Legend!$B$98*10^-3),'IPCC(2006)'!$J$93*1000/(Legend!$B$98*10^-3))</f>
        <v>0</v>
      </c>
      <c r="AB143" s="209">
        <f>IF(SUMIFS('Region Mapping'!$E:$E,'Region Mapping'!$A:$A,'Key inputs_Emissions'!AB$39)&gt;0,'IPCC(2006)'!$F$93*1000/(Legend!$B$98*10^-3),'IPCC(2006)'!$J$93*1000/(Legend!$B$98*10^-3))</f>
        <v>0</v>
      </c>
      <c r="AC143" s="209">
        <f>IF(SUMIFS('Region Mapping'!$E:$E,'Region Mapping'!$A:$A,'Key inputs_Emissions'!AC$39)&gt;0,'IPCC(2006)'!$F$93*1000/(Legend!$B$98*10^-3),'IPCC(2006)'!$J$93*1000/(Legend!$B$98*10^-3))</f>
        <v>0</v>
      </c>
      <c r="AD143" s="220">
        <f>IF(SUMIFS('Region Mapping'!$E:$E,'Region Mapping'!$A:$A,'Key inputs_Emissions'!AD$39)&gt;0,'IPCC(2006)'!$F$93*1000/(Legend!$B$98*10^-3),'IPCC(2006)'!$J$93*1000/(Legend!$B$98*10^-3))</f>
        <v>0</v>
      </c>
    </row>
    <row r="144" spans="1:30">
      <c r="A144" s="215" t="s">
        <v>1028</v>
      </c>
      <c r="B144" t="s">
        <v>1026</v>
      </c>
      <c r="C144" s="209">
        <f>IF(SUMIFS('Region Mapping'!$E:$E,'Region Mapping'!$A:$A,'Key inputs_Emissions'!C$39)&gt;0,'IPCC(2006)'!$F$94*1000/(Legend!$B$99*10^-3),'IPCC(2006)'!$J$94*1000/(Legend!$B$99*10^-3))</f>
        <v>0</v>
      </c>
      <c r="D144" s="209">
        <f>IF(SUMIFS('Region Mapping'!$E:$E,'Region Mapping'!$A:$A,'Key inputs_Emissions'!D$39)&gt;0,'IPCC(2006)'!$F$94*1000/(Legend!$B$99*10^-3),'IPCC(2006)'!$J$94*1000/(Legend!$B$99*10^-3))</f>
        <v>0</v>
      </c>
      <c r="E144" s="209">
        <f>IF(SUMIFS('Region Mapping'!$E:$E,'Region Mapping'!$A:$A,'Key inputs_Emissions'!E$39)&gt;0,'IPCC(2006)'!$F$94*1000/(Legend!$B$99*10^-3),'IPCC(2006)'!$J$94*1000/(Legend!$B$99*10^-3))</f>
        <v>0</v>
      </c>
      <c r="F144" s="209">
        <f>IF(SUMIFS('Region Mapping'!$E:$E,'Region Mapping'!$A:$A,'Key inputs_Emissions'!F$39)&gt;0,'IPCC(2006)'!$F$94*1000/(Legend!$B$99*10^-3),'IPCC(2006)'!$J$94*1000/(Legend!$B$99*10^-3))</f>
        <v>0</v>
      </c>
      <c r="G144" s="209">
        <f>IF(SUMIFS('Region Mapping'!$E:$E,'Region Mapping'!$A:$A,'Key inputs_Emissions'!G$39)&gt;0,'IPCC(2006)'!$F$94*1000/(Legend!$B$99*10^-3),'IPCC(2006)'!$J$94*1000/(Legend!$B$99*10^-3))</f>
        <v>0</v>
      </c>
      <c r="H144" s="209">
        <f>IF(SUMIFS('Region Mapping'!$E:$E,'Region Mapping'!$A:$A,'Key inputs_Emissions'!H$39)&gt;0,'IPCC(2006)'!$F$94*1000/(Legend!$B$99*10^-3),'IPCC(2006)'!$J$94*1000/(Legend!$B$99*10^-3))</f>
        <v>0</v>
      </c>
      <c r="I144" s="209">
        <f>IF(SUMIFS('Region Mapping'!$E:$E,'Region Mapping'!$A:$A,'Key inputs_Emissions'!I$39)&gt;0,'IPCC(2006)'!$F$94*1000/(Legend!$B$99*10^-3),'IPCC(2006)'!$J$94*1000/(Legend!$B$99*10^-3))</f>
        <v>0</v>
      </c>
      <c r="J144" s="209">
        <f>IF(SUMIFS('Region Mapping'!$E:$E,'Region Mapping'!$A:$A,'Key inputs_Emissions'!J$39)&gt;0,'IPCC(2006)'!$F$94*1000/(Legend!$B$99*10^-3),'IPCC(2006)'!$J$94*1000/(Legend!$B$99*10^-3))</f>
        <v>0</v>
      </c>
      <c r="K144" s="209">
        <f>IF(SUMIFS('Region Mapping'!$E:$E,'Region Mapping'!$A:$A,'Key inputs_Emissions'!K$39)&gt;0,'IPCC(2006)'!$F$94*1000/(Legend!$B$99*10^-3),'IPCC(2006)'!$J$94*1000/(Legend!$B$99*10^-3))</f>
        <v>0</v>
      </c>
      <c r="L144" s="209">
        <f>IF(SUMIFS('Region Mapping'!$E:$E,'Region Mapping'!$A:$A,'Key inputs_Emissions'!L$39)&gt;0,'IPCC(2006)'!$F$94*1000/(Legend!$B$99*10^-3),'IPCC(2006)'!$J$94*1000/(Legend!$B$99*10^-3))</f>
        <v>0</v>
      </c>
      <c r="M144" s="209">
        <f>IF(SUMIFS('Region Mapping'!$E:$E,'Region Mapping'!$A:$A,'Key inputs_Emissions'!M$39)&gt;0,'IPCC(2006)'!$F$94*1000/(Legend!$B$99*10^-3),'IPCC(2006)'!$J$94*1000/(Legend!$B$99*10^-3))</f>
        <v>0</v>
      </c>
      <c r="N144" s="209">
        <f>IF(SUMIFS('Region Mapping'!$E:$E,'Region Mapping'!$A:$A,'Key inputs_Emissions'!N$39)&gt;0,'IPCC(2006)'!$F$94*1000/(Legend!$B$99*10^-3),'IPCC(2006)'!$J$94*1000/(Legend!$B$99*10^-3))</f>
        <v>0</v>
      </c>
      <c r="O144" s="209">
        <f>IF(SUMIFS('Region Mapping'!$E:$E,'Region Mapping'!$A:$A,'Key inputs_Emissions'!O$39)&gt;0,'IPCC(2006)'!$F$94*1000/(Legend!$B$99*10^-3),'IPCC(2006)'!$J$94*1000/(Legend!$B$99*10^-3))</f>
        <v>0</v>
      </c>
      <c r="P144" s="209">
        <f>IF(SUMIFS('Region Mapping'!$E:$E,'Region Mapping'!$A:$A,'Key inputs_Emissions'!P$39)&gt;0,'IPCC(2006)'!$F$94*1000/(Legend!$B$99*10^-3),'IPCC(2006)'!$J$94*1000/(Legend!$B$99*10^-3))</f>
        <v>0</v>
      </c>
      <c r="Q144" s="209">
        <f>IF(SUMIFS('Region Mapping'!$E:$E,'Region Mapping'!$A:$A,'Key inputs_Emissions'!Q$39)&gt;0,'IPCC(2006)'!$F$94*1000/(Legend!$B$99*10^-3),'IPCC(2006)'!$J$94*1000/(Legend!$B$99*10^-3))</f>
        <v>0</v>
      </c>
      <c r="R144" s="209">
        <f>IF(SUMIFS('Region Mapping'!$E:$E,'Region Mapping'!$A:$A,'Key inputs_Emissions'!R$39)&gt;0,'IPCC(2006)'!$F$94*1000/(Legend!$B$99*10^-3),'IPCC(2006)'!$J$94*1000/(Legend!$B$99*10^-3))</f>
        <v>0</v>
      </c>
      <c r="S144" s="209">
        <f>IF(SUMIFS('Region Mapping'!$E:$E,'Region Mapping'!$A:$A,'Key inputs_Emissions'!S$39)&gt;0,'IPCC(2006)'!$F$94*1000/(Legend!$B$99*10^-3),'IPCC(2006)'!$J$94*1000/(Legend!$B$99*10^-3))</f>
        <v>0</v>
      </c>
      <c r="T144" s="209">
        <f>IF(SUMIFS('Region Mapping'!$E:$E,'Region Mapping'!$A:$A,'Key inputs_Emissions'!T$39)&gt;0,'IPCC(2006)'!$F$94*1000/(Legend!$B$99*10^-3),'IPCC(2006)'!$J$94*1000/(Legend!$B$99*10^-3))</f>
        <v>0</v>
      </c>
      <c r="U144" s="209">
        <f>IF(SUMIFS('Region Mapping'!$E:$E,'Region Mapping'!$A:$A,'Key inputs_Emissions'!U$39)&gt;0,'IPCC(2006)'!$F$94*1000/(Legend!$B$99*10^-3),'IPCC(2006)'!$J$94*1000/(Legend!$B$99*10^-3))</f>
        <v>0</v>
      </c>
      <c r="V144" s="209">
        <f>IF(SUMIFS('Region Mapping'!$E:$E,'Region Mapping'!$A:$A,'Key inputs_Emissions'!V$39)&gt;0,'IPCC(2006)'!$F$94*1000/(Legend!$B$99*10^-3),'IPCC(2006)'!$J$94*1000/(Legend!$B$99*10^-3))</f>
        <v>0</v>
      </c>
      <c r="W144" s="209">
        <f>IF(SUMIFS('Region Mapping'!$E:$E,'Region Mapping'!$A:$A,'Key inputs_Emissions'!W$39)&gt;0,'IPCC(2006)'!$F$94*1000/(Legend!$B$99*10^-3),'IPCC(2006)'!$J$94*1000/(Legend!$B$99*10^-3))</f>
        <v>0</v>
      </c>
      <c r="X144" s="209">
        <f>IF(SUMIFS('Region Mapping'!$E:$E,'Region Mapping'!$A:$A,'Key inputs_Emissions'!X$39)&gt;0,'IPCC(2006)'!$F$94*1000/(Legend!$B$99*10^-3),'IPCC(2006)'!$J$94*1000/(Legend!$B$99*10^-3))</f>
        <v>0</v>
      </c>
      <c r="Y144" s="209">
        <f>IF(SUMIFS('Region Mapping'!$E:$E,'Region Mapping'!$A:$A,'Key inputs_Emissions'!Y$39)&gt;0,'IPCC(2006)'!$F$94*1000/(Legend!$B$99*10^-3),'IPCC(2006)'!$J$94*1000/(Legend!$B$99*10^-3))</f>
        <v>0</v>
      </c>
      <c r="Z144" s="209">
        <f>IF(SUMIFS('Region Mapping'!$E:$E,'Region Mapping'!$A:$A,'Key inputs_Emissions'!Z$39)&gt;0,'IPCC(2006)'!$F$94*1000/(Legend!$B$99*10^-3),'IPCC(2006)'!$J$94*1000/(Legend!$B$99*10^-3))</f>
        <v>0</v>
      </c>
      <c r="AA144" s="209">
        <f>IF(SUMIFS('Region Mapping'!$E:$E,'Region Mapping'!$A:$A,'Key inputs_Emissions'!AA$39)&gt;0,'IPCC(2006)'!$F$94*1000/(Legend!$B$99*10^-3),'IPCC(2006)'!$J$94*1000/(Legend!$B$99*10^-3))</f>
        <v>0</v>
      </c>
      <c r="AB144" s="209">
        <f>IF(SUMIFS('Region Mapping'!$E:$E,'Region Mapping'!$A:$A,'Key inputs_Emissions'!AB$39)&gt;0,'IPCC(2006)'!$F$94*1000/(Legend!$B$99*10^-3),'IPCC(2006)'!$J$94*1000/(Legend!$B$99*10^-3))</f>
        <v>0</v>
      </c>
      <c r="AC144" s="209">
        <f>IF(SUMIFS('Region Mapping'!$E:$E,'Region Mapping'!$A:$A,'Key inputs_Emissions'!AC$39)&gt;0,'IPCC(2006)'!$F$94*1000/(Legend!$B$99*10^-3),'IPCC(2006)'!$J$94*1000/(Legend!$B$99*10^-3))</f>
        <v>0</v>
      </c>
      <c r="AD144" s="220">
        <f>IF(SUMIFS('Region Mapping'!$E:$E,'Region Mapping'!$A:$A,'Key inputs_Emissions'!AD$39)&gt;0,'IPCC(2006)'!$F$94*1000/(Legend!$B$99*10^-3),'IPCC(2006)'!$J$94*1000/(Legend!$B$99*10^-3))</f>
        <v>0</v>
      </c>
    </row>
    <row r="145" spans="1:30">
      <c r="A145" s="229" t="s">
        <v>1029</v>
      </c>
      <c r="B145" s="236" t="s">
        <v>1026</v>
      </c>
      <c r="C145" s="226">
        <f>IF(SUMIFS('Region Mapping'!$E:$E,'Region Mapping'!$A:$A,'Key inputs_Emissions'!C$39)&gt;0,'IPCC(2006)'!$F$95*1000/(Legend!$B$100*10^-3),'IPCC(2006)'!$J$95*1000/(Legend!$B$100*10^-3))</f>
        <v>0</v>
      </c>
      <c r="D145" s="226">
        <f>IF(SUMIFS('Region Mapping'!$E:$E,'Region Mapping'!$A:$A,'Key inputs_Emissions'!D$39)&gt;0,'IPCC(2006)'!$F$95*1000/(Legend!$B$100*10^-3),'IPCC(2006)'!$J$95*1000/(Legend!$B$100*10^-3))</f>
        <v>0</v>
      </c>
      <c r="E145" s="226">
        <f>IF(SUMIFS('Region Mapping'!$E:$E,'Region Mapping'!$A:$A,'Key inputs_Emissions'!E$39)&gt;0,'IPCC(2006)'!$F$95*1000/(Legend!$B$100*10^-3),'IPCC(2006)'!$J$95*1000/(Legend!$B$100*10^-3))</f>
        <v>0</v>
      </c>
      <c r="F145" s="226">
        <f>IF(SUMIFS('Region Mapping'!$E:$E,'Region Mapping'!$A:$A,'Key inputs_Emissions'!F$39)&gt;0,'IPCC(2006)'!$F$95*1000/(Legend!$B$100*10^-3),'IPCC(2006)'!$J$95*1000/(Legend!$B$100*10^-3))</f>
        <v>0</v>
      </c>
      <c r="G145" s="226">
        <f>IF(SUMIFS('Region Mapping'!$E:$E,'Region Mapping'!$A:$A,'Key inputs_Emissions'!G$39)&gt;0,'IPCC(2006)'!$F$95*1000/(Legend!$B$100*10^-3),'IPCC(2006)'!$J$95*1000/(Legend!$B$100*10^-3))</f>
        <v>0</v>
      </c>
      <c r="H145" s="226">
        <f>IF(SUMIFS('Region Mapping'!$E:$E,'Region Mapping'!$A:$A,'Key inputs_Emissions'!H$39)&gt;0,'IPCC(2006)'!$F$95*1000/(Legend!$B$100*10^-3),'IPCC(2006)'!$J$95*1000/(Legend!$B$100*10^-3))</f>
        <v>0</v>
      </c>
      <c r="I145" s="226">
        <f>IF(SUMIFS('Region Mapping'!$E:$E,'Region Mapping'!$A:$A,'Key inputs_Emissions'!I$39)&gt;0,'IPCC(2006)'!$F$95*1000/(Legend!$B$100*10^-3),'IPCC(2006)'!$J$95*1000/(Legend!$B$100*10^-3))</f>
        <v>0</v>
      </c>
      <c r="J145" s="226">
        <f>IF(SUMIFS('Region Mapping'!$E:$E,'Region Mapping'!$A:$A,'Key inputs_Emissions'!J$39)&gt;0,'IPCC(2006)'!$F$95*1000/(Legend!$B$100*10^-3),'IPCC(2006)'!$J$95*1000/(Legend!$B$100*10^-3))</f>
        <v>0</v>
      </c>
      <c r="K145" s="226">
        <f>IF(SUMIFS('Region Mapping'!$E:$E,'Region Mapping'!$A:$A,'Key inputs_Emissions'!K$39)&gt;0,'IPCC(2006)'!$F$95*1000/(Legend!$B$100*10^-3),'IPCC(2006)'!$J$95*1000/(Legend!$B$100*10^-3))</f>
        <v>0</v>
      </c>
      <c r="L145" s="226">
        <f>IF(SUMIFS('Region Mapping'!$E:$E,'Region Mapping'!$A:$A,'Key inputs_Emissions'!L$39)&gt;0,'IPCC(2006)'!$F$95*1000/(Legend!$B$100*10^-3),'IPCC(2006)'!$J$95*1000/(Legend!$B$100*10^-3))</f>
        <v>0</v>
      </c>
      <c r="M145" s="226">
        <f>IF(SUMIFS('Region Mapping'!$E:$E,'Region Mapping'!$A:$A,'Key inputs_Emissions'!M$39)&gt;0,'IPCC(2006)'!$F$95*1000/(Legend!$B$100*10^-3),'IPCC(2006)'!$J$95*1000/(Legend!$B$100*10^-3))</f>
        <v>0</v>
      </c>
      <c r="N145" s="226">
        <f>IF(SUMIFS('Region Mapping'!$E:$E,'Region Mapping'!$A:$A,'Key inputs_Emissions'!N$39)&gt;0,'IPCC(2006)'!$F$95*1000/(Legend!$B$100*10^-3),'IPCC(2006)'!$J$95*1000/(Legend!$B$100*10^-3))</f>
        <v>0</v>
      </c>
      <c r="O145" s="226">
        <f>IF(SUMIFS('Region Mapping'!$E:$E,'Region Mapping'!$A:$A,'Key inputs_Emissions'!O$39)&gt;0,'IPCC(2006)'!$F$95*1000/(Legend!$B$100*10^-3),'IPCC(2006)'!$J$95*1000/(Legend!$B$100*10^-3))</f>
        <v>0</v>
      </c>
      <c r="P145" s="226">
        <f>IF(SUMIFS('Region Mapping'!$E:$E,'Region Mapping'!$A:$A,'Key inputs_Emissions'!P$39)&gt;0,'IPCC(2006)'!$F$95*1000/(Legend!$B$100*10^-3),'IPCC(2006)'!$J$95*1000/(Legend!$B$100*10^-3))</f>
        <v>0</v>
      </c>
      <c r="Q145" s="226">
        <f>IF(SUMIFS('Region Mapping'!$E:$E,'Region Mapping'!$A:$A,'Key inputs_Emissions'!Q$39)&gt;0,'IPCC(2006)'!$F$95*1000/(Legend!$B$100*10^-3),'IPCC(2006)'!$J$95*1000/(Legend!$B$100*10^-3))</f>
        <v>0</v>
      </c>
      <c r="R145" s="226">
        <f>IF(SUMIFS('Region Mapping'!$E:$E,'Region Mapping'!$A:$A,'Key inputs_Emissions'!R$39)&gt;0,'IPCC(2006)'!$F$95*1000/(Legend!$B$100*10^-3),'IPCC(2006)'!$J$95*1000/(Legend!$B$100*10^-3))</f>
        <v>0</v>
      </c>
      <c r="S145" s="226">
        <f>IF(SUMIFS('Region Mapping'!$E:$E,'Region Mapping'!$A:$A,'Key inputs_Emissions'!S$39)&gt;0,'IPCC(2006)'!$F$95*1000/(Legend!$B$100*10^-3),'IPCC(2006)'!$J$95*1000/(Legend!$B$100*10^-3))</f>
        <v>0</v>
      </c>
      <c r="T145" s="226">
        <f>IF(SUMIFS('Region Mapping'!$E:$E,'Region Mapping'!$A:$A,'Key inputs_Emissions'!T$39)&gt;0,'IPCC(2006)'!$F$95*1000/(Legend!$B$100*10^-3),'IPCC(2006)'!$J$95*1000/(Legend!$B$100*10^-3))</f>
        <v>0</v>
      </c>
      <c r="U145" s="226">
        <f>IF(SUMIFS('Region Mapping'!$E:$E,'Region Mapping'!$A:$A,'Key inputs_Emissions'!U$39)&gt;0,'IPCC(2006)'!$F$95*1000/(Legend!$B$100*10^-3),'IPCC(2006)'!$J$95*1000/(Legend!$B$100*10^-3))</f>
        <v>0</v>
      </c>
      <c r="V145" s="226">
        <f>IF(SUMIFS('Region Mapping'!$E:$E,'Region Mapping'!$A:$A,'Key inputs_Emissions'!V$39)&gt;0,'IPCC(2006)'!$F$95*1000/(Legend!$B$100*10^-3),'IPCC(2006)'!$J$95*1000/(Legend!$B$100*10^-3))</f>
        <v>0</v>
      </c>
      <c r="W145" s="226">
        <f>IF(SUMIFS('Region Mapping'!$E:$E,'Region Mapping'!$A:$A,'Key inputs_Emissions'!W$39)&gt;0,'IPCC(2006)'!$F$95*1000/(Legend!$B$100*10^-3),'IPCC(2006)'!$J$95*1000/(Legend!$B$100*10^-3))</f>
        <v>0</v>
      </c>
      <c r="X145" s="226">
        <f>IF(SUMIFS('Region Mapping'!$E:$E,'Region Mapping'!$A:$A,'Key inputs_Emissions'!X$39)&gt;0,'IPCC(2006)'!$F$95*1000/(Legend!$B$100*10^-3),'IPCC(2006)'!$J$95*1000/(Legend!$B$100*10^-3))</f>
        <v>0</v>
      </c>
      <c r="Y145" s="226">
        <f>IF(SUMIFS('Region Mapping'!$E:$E,'Region Mapping'!$A:$A,'Key inputs_Emissions'!Y$39)&gt;0,'IPCC(2006)'!$F$95*1000/(Legend!$B$100*10^-3),'IPCC(2006)'!$J$95*1000/(Legend!$B$100*10^-3))</f>
        <v>0</v>
      </c>
      <c r="Z145" s="226">
        <f>IF(SUMIFS('Region Mapping'!$E:$E,'Region Mapping'!$A:$A,'Key inputs_Emissions'!Z$39)&gt;0,'IPCC(2006)'!$F$95*1000/(Legend!$B$100*10^-3),'IPCC(2006)'!$J$95*1000/(Legend!$B$100*10^-3))</f>
        <v>0</v>
      </c>
      <c r="AA145" s="226">
        <f>IF(SUMIFS('Region Mapping'!$E:$E,'Region Mapping'!$A:$A,'Key inputs_Emissions'!AA$39)&gt;0,'IPCC(2006)'!$F$95*1000/(Legend!$B$100*10^-3),'IPCC(2006)'!$J$95*1000/(Legend!$B$100*10^-3))</f>
        <v>0</v>
      </c>
      <c r="AB145" s="226">
        <f>IF(SUMIFS('Region Mapping'!$E:$E,'Region Mapping'!$A:$A,'Key inputs_Emissions'!AB$39)&gt;0,'IPCC(2006)'!$F$95*1000/(Legend!$B$100*10^-3),'IPCC(2006)'!$J$95*1000/(Legend!$B$100*10^-3))</f>
        <v>0</v>
      </c>
      <c r="AC145" s="226">
        <f>IF(SUMIFS('Region Mapping'!$E:$E,'Region Mapping'!$A:$A,'Key inputs_Emissions'!AC$39)&gt;0,'IPCC(2006)'!$F$95*1000/(Legend!$B$100*10^-3),'IPCC(2006)'!$J$95*1000/(Legend!$B$100*10^-3))</f>
        <v>0</v>
      </c>
      <c r="AD145" s="224">
        <f>IF(SUMIFS('Region Mapping'!$E:$E,'Region Mapping'!$A:$A,'Key inputs_Emissions'!AD$39)&gt;0,'IPCC(2006)'!$F$95*1000/(Legend!$B$100*10^-3),'IPCC(2006)'!$J$95*1000/(Legend!$B$100*10^-3))</f>
        <v>0</v>
      </c>
    </row>
  </sheetData>
  <phoneticPr fontId="26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42505-2548-494A-895C-FF39C1359C19}">
  <sheetPr>
    <tabColor theme="5" tint="0.39997558519241921"/>
  </sheetPr>
  <dimension ref="A1:AU104"/>
  <sheetViews>
    <sheetView workbookViewId="0">
      <selection activeCell="B85" sqref="B85"/>
    </sheetView>
  </sheetViews>
  <sheetFormatPr defaultColWidth="6.5" defaultRowHeight="14.4"/>
  <cols>
    <col min="1" max="1" width="21.59765625" style="107" customWidth="1"/>
    <col min="2" max="41" width="6" style="107" customWidth="1"/>
    <col min="42" max="42" width="6" style="108" customWidth="1"/>
    <col min="43" max="45" width="6.59765625" style="107" customWidth="1"/>
    <col min="46" max="16384" width="6.5" style="107"/>
  </cols>
  <sheetData>
    <row r="1" spans="1:47" ht="11.4" customHeight="1">
      <c r="A1" s="106" t="s">
        <v>1036</v>
      </c>
    </row>
    <row r="3" spans="1:47">
      <c r="A3" s="109" t="s">
        <v>1037</v>
      </c>
      <c r="J3" s="110" t="s">
        <v>1038</v>
      </c>
      <c r="AS3" s="111"/>
      <c r="AU3" s="112"/>
    </row>
    <row r="4" spans="1:47" ht="12" customHeight="1">
      <c r="AQ4" s="601" t="s">
        <v>1039</v>
      </c>
      <c r="AR4" s="601"/>
      <c r="AS4" s="111" t="s">
        <v>1040</v>
      </c>
    </row>
    <row r="5" spans="1:47" ht="12" customHeight="1">
      <c r="A5" s="107" t="s">
        <v>1041</v>
      </c>
      <c r="B5" s="107">
        <v>1980</v>
      </c>
      <c r="C5" s="107">
        <v>1981</v>
      </c>
      <c r="D5" s="107">
        <v>1982</v>
      </c>
      <c r="E5" s="107">
        <v>1983</v>
      </c>
      <c r="F5" s="107">
        <v>1984</v>
      </c>
      <c r="G5" s="107">
        <v>1985</v>
      </c>
      <c r="H5" s="107">
        <v>1986</v>
      </c>
      <c r="I5" s="107">
        <v>1987</v>
      </c>
      <c r="J5" s="107">
        <v>1988</v>
      </c>
      <c r="K5" s="107">
        <v>1989</v>
      </c>
      <c r="L5" s="107">
        <v>1990</v>
      </c>
      <c r="M5" s="107">
        <v>1991</v>
      </c>
      <c r="N5" s="107">
        <v>1992</v>
      </c>
      <c r="O5" s="107">
        <v>1993</v>
      </c>
      <c r="P5" s="107">
        <v>1994</v>
      </c>
      <c r="Q5" s="107">
        <v>1995</v>
      </c>
      <c r="R5" s="107">
        <v>1996</v>
      </c>
      <c r="S5" s="107">
        <v>1997</v>
      </c>
      <c r="T5" s="107">
        <v>1998</v>
      </c>
      <c r="U5" s="107">
        <v>1999</v>
      </c>
      <c r="V5" s="107">
        <v>2000</v>
      </c>
      <c r="W5" s="107">
        <v>2001</v>
      </c>
      <c r="X5" s="107">
        <v>2002</v>
      </c>
      <c r="Y5" s="107">
        <v>2003</v>
      </c>
      <c r="Z5" s="107">
        <v>2004</v>
      </c>
      <c r="AA5" s="107">
        <v>2005</v>
      </c>
      <c r="AB5" s="107">
        <v>2006</v>
      </c>
      <c r="AC5" s="107">
        <v>2007</v>
      </c>
      <c r="AD5" s="107">
        <v>2008</v>
      </c>
      <c r="AE5" s="107">
        <v>2009</v>
      </c>
      <c r="AF5" s="107">
        <v>2010</v>
      </c>
      <c r="AG5" s="107">
        <v>2011</v>
      </c>
      <c r="AH5" s="107">
        <v>2012</v>
      </c>
      <c r="AI5" s="107">
        <v>2013</v>
      </c>
      <c r="AJ5" s="107">
        <v>2014</v>
      </c>
      <c r="AK5" s="107">
        <v>2015</v>
      </c>
      <c r="AL5" s="107">
        <v>2016</v>
      </c>
      <c r="AM5" s="107">
        <v>2017</v>
      </c>
      <c r="AN5" s="107">
        <v>2018</v>
      </c>
      <c r="AO5" s="107">
        <v>2019</v>
      </c>
      <c r="AP5" s="108">
        <v>2020</v>
      </c>
      <c r="AQ5" s="111">
        <v>2020</v>
      </c>
      <c r="AR5" s="111" t="s">
        <v>1042</v>
      </c>
      <c r="AS5" s="111">
        <v>2020</v>
      </c>
    </row>
    <row r="6" spans="1:47" ht="12" customHeight="1">
      <c r="B6" s="113"/>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4"/>
      <c r="AQ6" s="115"/>
      <c r="AR6" s="115"/>
      <c r="AS6" s="113"/>
    </row>
    <row r="7" spans="1:47" ht="12" customHeight="1">
      <c r="A7" s="107" t="s">
        <v>199</v>
      </c>
      <c r="B7" s="116">
        <v>39.527523103571596</v>
      </c>
      <c r="C7" s="116">
        <v>40.175335871323682</v>
      </c>
      <c r="D7" s="116">
        <v>40.31209522632723</v>
      </c>
      <c r="E7" s="116">
        <v>40.4912604853658</v>
      </c>
      <c r="F7" s="116">
        <v>40.531766866556175</v>
      </c>
      <c r="G7" s="116">
        <v>40.939038402031208</v>
      </c>
      <c r="H7" s="116">
        <v>41.102001108593626</v>
      </c>
      <c r="I7" s="116">
        <v>41.20126061194231</v>
      </c>
      <c r="J7" s="116">
        <v>41.467759893159247</v>
      </c>
      <c r="K7" s="116">
        <v>41.295702120261225</v>
      </c>
      <c r="L7" s="116">
        <v>40.293835905737822</v>
      </c>
      <c r="M7" s="116">
        <v>40.098361167440451</v>
      </c>
      <c r="N7" s="116">
        <v>39.633990730032743</v>
      </c>
      <c r="O7" s="116">
        <v>39.495721820450697</v>
      </c>
      <c r="P7" s="116">
        <v>48.149205702975074</v>
      </c>
      <c r="Q7" s="116">
        <v>48.366556403039553</v>
      </c>
      <c r="R7" s="116">
        <v>48.942627589447284</v>
      </c>
      <c r="S7" s="116">
        <v>48.803094427905705</v>
      </c>
      <c r="T7" s="116">
        <v>49.823087876992886</v>
      </c>
      <c r="U7" s="116">
        <v>181.56045041887904</v>
      </c>
      <c r="V7" s="116">
        <v>181.50369745653731</v>
      </c>
      <c r="W7" s="116">
        <v>180.94094808928506</v>
      </c>
      <c r="X7" s="116">
        <v>180.40000549588171</v>
      </c>
      <c r="Y7" s="116">
        <v>179.90294691203823</v>
      </c>
      <c r="Z7" s="116">
        <v>179.57604657824811</v>
      </c>
      <c r="AA7" s="116">
        <v>180.04410913456243</v>
      </c>
      <c r="AB7" s="116">
        <v>179.36196028995963</v>
      </c>
      <c r="AC7" s="116">
        <v>178.83402502517464</v>
      </c>
      <c r="AD7" s="116">
        <v>176.34992088018777</v>
      </c>
      <c r="AE7" s="116">
        <v>175.01521675053203</v>
      </c>
      <c r="AF7" s="116">
        <v>174.84802100133899</v>
      </c>
      <c r="AG7" s="116">
        <v>174.17687303572728</v>
      </c>
      <c r="AH7" s="116">
        <v>173.71610037006505</v>
      </c>
      <c r="AI7" s="116">
        <v>173.03753671758628</v>
      </c>
      <c r="AJ7" s="116">
        <v>172.15599458259271</v>
      </c>
      <c r="AK7" s="116">
        <v>171.51230793068865</v>
      </c>
      <c r="AL7" s="116">
        <v>170.52832364810996</v>
      </c>
      <c r="AM7" s="116">
        <v>171.79168245449819</v>
      </c>
      <c r="AN7" s="116">
        <v>170.73218899393962</v>
      </c>
      <c r="AO7" s="116">
        <v>169.12490962588842</v>
      </c>
      <c r="AP7" s="117">
        <v>168.08761081922799</v>
      </c>
      <c r="AQ7" s="115">
        <v>-6.1333295547959521E-3</v>
      </c>
      <c r="AR7" s="115">
        <v>-3.4176834663925959E-3</v>
      </c>
      <c r="AS7" s="115">
        <v>9.7027760764119411E-2</v>
      </c>
    </row>
    <row r="8" spans="1:47" ht="12" customHeight="1">
      <c r="A8" s="107" t="s">
        <v>237</v>
      </c>
      <c r="B8" s="116">
        <v>47.224000000000004</v>
      </c>
      <c r="C8" s="116">
        <v>52.9</v>
      </c>
      <c r="D8" s="116">
        <v>54.999000000000002</v>
      </c>
      <c r="E8" s="116">
        <v>54.999000000000002</v>
      </c>
      <c r="F8" s="116">
        <v>29.773299999999999</v>
      </c>
      <c r="G8" s="116">
        <v>29.371100000000002</v>
      </c>
      <c r="H8" s="116">
        <v>29.0138</v>
      </c>
      <c r="I8" s="116">
        <v>28.488300000000002</v>
      </c>
      <c r="J8" s="116">
        <v>27.890599999999999</v>
      </c>
      <c r="K8" s="116">
        <v>27.316200000000002</v>
      </c>
      <c r="L8" s="116">
        <v>26.903999999999996</v>
      </c>
      <c r="M8" s="116">
        <v>26.7409</v>
      </c>
      <c r="N8" s="116">
        <v>26.852400000000003</v>
      </c>
      <c r="O8" s="116">
        <v>26.601099999999999</v>
      </c>
      <c r="P8" s="116">
        <v>26.035600000000002</v>
      </c>
      <c r="Q8" s="116">
        <v>25.434399999999997</v>
      </c>
      <c r="R8" s="116">
        <v>24.9483</v>
      </c>
      <c r="S8" s="116">
        <v>39.015999999999998</v>
      </c>
      <c r="T8" s="116">
        <v>41.064</v>
      </c>
      <c r="U8" s="116">
        <v>24.700130000000001</v>
      </c>
      <c r="V8" s="116">
        <v>24.63128</v>
      </c>
      <c r="W8" s="116">
        <v>23.66038</v>
      </c>
      <c r="X8" s="116">
        <v>22.419039999999999</v>
      </c>
      <c r="Y8" s="116">
        <v>15.123559999999999</v>
      </c>
      <c r="Z8" s="116">
        <v>14.119620000000001</v>
      </c>
      <c r="AA8" s="116">
        <v>12.88218</v>
      </c>
      <c r="AB8" s="116">
        <v>11.81385</v>
      </c>
      <c r="AC8" s="116">
        <v>11.04757</v>
      </c>
      <c r="AD8" s="116">
        <v>10.501240000000001</v>
      </c>
      <c r="AE8" s="116">
        <v>10.404200000000001</v>
      </c>
      <c r="AF8" s="116">
        <v>10.419600000000001</v>
      </c>
      <c r="AG8" s="116">
        <v>10.161</v>
      </c>
      <c r="AH8" s="116">
        <v>10.025</v>
      </c>
      <c r="AI8" s="116">
        <v>10.07319</v>
      </c>
      <c r="AJ8" s="116">
        <v>9.8120899999999978</v>
      </c>
      <c r="AK8" s="116">
        <v>9.7109700000000014</v>
      </c>
      <c r="AL8" s="116">
        <v>7.6407100000000012</v>
      </c>
      <c r="AM8" s="116">
        <v>7.0370100000000004</v>
      </c>
      <c r="AN8" s="116">
        <v>6.4641700000000002</v>
      </c>
      <c r="AO8" s="116">
        <v>6.0658799999999991</v>
      </c>
      <c r="AP8" s="117">
        <v>6.0658799999999991</v>
      </c>
      <c r="AQ8" s="115">
        <v>0</v>
      </c>
      <c r="AR8" s="115">
        <v>-5.2523357846367191E-2</v>
      </c>
      <c r="AS8" s="115">
        <v>3.5014999058843818E-3</v>
      </c>
    </row>
    <row r="9" spans="1:47" ht="12" customHeight="1">
      <c r="A9" s="107" t="s">
        <v>1043</v>
      </c>
      <c r="B9" s="116">
        <v>36.533000000000001</v>
      </c>
      <c r="C9" s="116">
        <v>36.494</v>
      </c>
      <c r="D9" s="116">
        <v>35.079000000000001</v>
      </c>
      <c r="E9" s="116">
        <v>35.635999999999996</v>
      </c>
      <c r="F9" s="116">
        <v>36.088999999999999</v>
      </c>
      <c r="G9" s="116">
        <v>36.360000000000007</v>
      </c>
      <c r="H9" s="116">
        <v>35.054000000000002</v>
      </c>
      <c r="I9" s="116">
        <v>35.403000000000006</v>
      </c>
      <c r="J9" s="116">
        <v>35.063000000000002</v>
      </c>
      <c r="K9" s="116">
        <v>34.270000000000003</v>
      </c>
      <c r="L9" s="116">
        <v>33.840000000000003</v>
      </c>
      <c r="M9" s="116">
        <v>32.146000000000001</v>
      </c>
      <c r="N9" s="116">
        <v>31.196000000000002</v>
      </c>
      <c r="O9" s="116">
        <v>30.179000000000002</v>
      </c>
      <c r="P9" s="116">
        <v>29.626999999999999</v>
      </c>
      <c r="Q9" s="116">
        <v>29.75</v>
      </c>
      <c r="R9" s="116">
        <v>29.84</v>
      </c>
      <c r="S9" s="116">
        <v>30.518999999999998</v>
      </c>
      <c r="T9" s="116">
        <v>28.558</v>
      </c>
      <c r="U9" s="116">
        <v>29.670999999999999</v>
      </c>
      <c r="V9" s="116">
        <v>30.39</v>
      </c>
      <c r="W9" s="116">
        <v>30.439</v>
      </c>
      <c r="X9" s="116">
        <v>30.671000000000003</v>
      </c>
      <c r="Y9" s="116">
        <v>29.349999999999998</v>
      </c>
      <c r="Z9" s="116">
        <v>29.298999999999992</v>
      </c>
      <c r="AA9" s="116">
        <v>29.922000000000004</v>
      </c>
      <c r="AB9" s="116">
        <v>29.443999999999996</v>
      </c>
      <c r="AC9" s="116">
        <v>30.46</v>
      </c>
      <c r="AD9" s="116">
        <v>28.396000000000001</v>
      </c>
      <c r="AE9" s="116">
        <v>30.871999999999993</v>
      </c>
      <c r="AF9" s="116">
        <v>34.99</v>
      </c>
      <c r="AG9" s="116">
        <v>39.774999999999999</v>
      </c>
      <c r="AH9" s="116">
        <v>44.18</v>
      </c>
      <c r="AI9" s="116">
        <v>48.463000000000001</v>
      </c>
      <c r="AJ9" s="116">
        <v>54.962000000000003</v>
      </c>
      <c r="AK9" s="116">
        <v>47.986999999999995</v>
      </c>
      <c r="AL9" s="116">
        <v>49.966000000000008</v>
      </c>
      <c r="AM9" s="116">
        <v>61.233000000000011</v>
      </c>
      <c r="AN9" s="116">
        <v>68.893999999999991</v>
      </c>
      <c r="AO9" s="116">
        <v>68.757000000000005</v>
      </c>
      <c r="AP9" s="117">
        <v>68.757000000000005</v>
      </c>
      <c r="AQ9" s="115">
        <v>0</v>
      </c>
      <c r="AR9" s="115">
        <v>8.3366034089123575E-2</v>
      </c>
      <c r="AS9" s="115">
        <v>3.9689645859939941E-2</v>
      </c>
    </row>
    <row r="10" spans="1:47" s="108" customFormat="1" ht="12" customHeight="1">
      <c r="A10" s="118" t="s">
        <v>1044</v>
      </c>
      <c r="B10" s="119">
        <v>123.2845231035716</v>
      </c>
      <c r="C10" s="119">
        <v>129.56933587132369</v>
      </c>
      <c r="D10" s="119">
        <v>130.39009522632722</v>
      </c>
      <c r="E10" s="119">
        <v>131.12626048536578</v>
      </c>
      <c r="F10" s="119">
        <v>106.39406686655619</v>
      </c>
      <c r="G10" s="119">
        <v>106.67013840203123</v>
      </c>
      <c r="H10" s="119">
        <v>105.16980110859363</v>
      </c>
      <c r="I10" s="119">
        <v>105.09256061194232</v>
      </c>
      <c r="J10" s="119">
        <v>104.42135989315925</v>
      </c>
      <c r="K10" s="119">
        <v>102.88190212026123</v>
      </c>
      <c r="L10" s="119">
        <v>101.03783590573782</v>
      </c>
      <c r="M10" s="119">
        <v>98.985261167440456</v>
      </c>
      <c r="N10" s="119">
        <v>97.682390730032751</v>
      </c>
      <c r="O10" s="119">
        <v>96.275821820450702</v>
      </c>
      <c r="P10" s="119">
        <v>103.81180570297508</v>
      </c>
      <c r="Q10" s="119">
        <v>103.55095640303955</v>
      </c>
      <c r="R10" s="119">
        <v>103.73092758944728</v>
      </c>
      <c r="S10" s="119">
        <v>118.3380944279057</v>
      </c>
      <c r="T10" s="119">
        <v>119.44508787699289</v>
      </c>
      <c r="U10" s="119">
        <v>235.93158041887904</v>
      </c>
      <c r="V10" s="119">
        <v>236.52497745653733</v>
      </c>
      <c r="W10" s="119">
        <v>235.04032808928505</v>
      </c>
      <c r="X10" s="119">
        <v>233.4900454958817</v>
      </c>
      <c r="Y10" s="119">
        <v>224.37650691203822</v>
      </c>
      <c r="Z10" s="119">
        <v>222.99466657824809</v>
      </c>
      <c r="AA10" s="119">
        <v>222.84828913456244</v>
      </c>
      <c r="AB10" s="119">
        <v>220.61981028995962</v>
      </c>
      <c r="AC10" s="119">
        <v>220.34159502517463</v>
      </c>
      <c r="AD10" s="119">
        <v>215.24716088018778</v>
      </c>
      <c r="AE10" s="119">
        <v>216.29141675053202</v>
      </c>
      <c r="AF10" s="119">
        <v>220.257621001339</v>
      </c>
      <c r="AG10" s="119">
        <v>224.11287303572729</v>
      </c>
      <c r="AH10" s="119">
        <v>227.92110037006506</v>
      </c>
      <c r="AI10" s="119">
        <v>231.57372671758628</v>
      </c>
      <c r="AJ10" s="119">
        <v>236.93008458259271</v>
      </c>
      <c r="AK10" s="119">
        <v>229.21027793068865</v>
      </c>
      <c r="AL10" s="119">
        <v>228.13503364810998</v>
      </c>
      <c r="AM10" s="119">
        <v>240.0616924544982</v>
      </c>
      <c r="AN10" s="119">
        <v>246.09035899393962</v>
      </c>
      <c r="AO10" s="119">
        <v>243.94778962588842</v>
      </c>
      <c r="AP10" s="119">
        <v>242.91049081922776</v>
      </c>
      <c r="AQ10" s="120">
        <v>-4.2521344761985436E-3</v>
      </c>
      <c r="AR10" s="120">
        <v>1.2105442411024736E-2</v>
      </c>
      <c r="AS10" s="120">
        <v>0.14021890652994373</v>
      </c>
    </row>
    <row r="11" spans="1:47" ht="12" customHeight="1">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7"/>
      <c r="AQ11" s="115"/>
      <c r="AR11" s="115"/>
      <c r="AS11" s="115"/>
    </row>
    <row r="12" spans="1:47" ht="12" customHeight="1">
      <c r="A12" s="107" t="s">
        <v>1045</v>
      </c>
      <c r="B12" s="116">
        <v>2.4569999999999999</v>
      </c>
      <c r="C12" s="116">
        <v>2.1716519999999995</v>
      </c>
      <c r="D12" s="116">
        <v>1.9496</v>
      </c>
      <c r="E12" s="116">
        <v>2.4497690000000003</v>
      </c>
      <c r="F12" s="116">
        <v>2.3490000000000002</v>
      </c>
      <c r="G12" s="116">
        <v>2.2400000000000002</v>
      </c>
      <c r="H12" s="116">
        <v>2.2330000000000001</v>
      </c>
      <c r="I12" s="116">
        <v>2.246</v>
      </c>
      <c r="J12" s="116">
        <v>2.2799</v>
      </c>
      <c r="K12" s="116">
        <v>2.1677</v>
      </c>
      <c r="L12" s="116">
        <v>1.569987080150911</v>
      </c>
      <c r="M12" s="116">
        <v>1.6832665716476494</v>
      </c>
      <c r="N12" s="116">
        <v>2.0174379266576556</v>
      </c>
      <c r="O12" s="116">
        <v>2.216787188373238</v>
      </c>
      <c r="P12" s="116">
        <v>2.2526328198024395</v>
      </c>
      <c r="Q12" s="116">
        <v>2.3863667758381775</v>
      </c>
      <c r="R12" s="116">
        <v>2.6004341946943685</v>
      </c>
      <c r="S12" s="116">
        <v>2.6211779905275852</v>
      </c>
      <c r="T12" s="116">
        <v>2.7534149716062881</v>
      </c>
      <c r="U12" s="116">
        <v>3.0711887900070778</v>
      </c>
      <c r="V12" s="116">
        <v>2.9737030132881475</v>
      </c>
      <c r="W12" s="116">
        <v>2.8786828423808051</v>
      </c>
      <c r="X12" s="116">
        <v>2.8205083828109365</v>
      </c>
      <c r="Y12" s="116">
        <v>2.6745092958246901</v>
      </c>
      <c r="Z12" s="116">
        <v>2.4780093183760723</v>
      </c>
      <c r="AA12" s="116">
        <v>2.1802628863647757</v>
      </c>
      <c r="AB12" s="116">
        <v>2.5867601461372391</v>
      </c>
      <c r="AC12" s="116">
        <v>2.616020345717629</v>
      </c>
      <c r="AD12" s="116">
        <v>2.5203082956284635</v>
      </c>
      <c r="AE12" s="116">
        <v>2.51149627077633</v>
      </c>
      <c r="AF12" s="116">
        <v>2.524151719649196</v>
      </c>
      <c r="AG12" s="116">
        <v>2.5249999999999999</v>
      </c>
      <c r="AH12" s="116">
        <v>2.3542094801262761</v>
      </c>
      <c r="AI12" s="116">
        <v>2.3295841414789447</v>
      </c>
      <c r="AJ12" s="116">
        <v>2.3797089482677052</v>
      </c>
      <c r="AK12" s="116">
        <v>2.3947239844754238</v>
      </c>
      <c r="AL12" s="116">
        <v>2.1622090538923802</v>
      </c>
      <c r="AM12" s="116">
        <v>2.0167650427042791</v>
      </c>
      <c r="AN12" s="116">
        <v>2.3868580729553797</v>
      </c>
      <c r="AO12" s="116">
        <v>2.4827074925111905</v>
      </c>
      <c r="AP12" s="117">
        <v>2.4827074925111905</v>
      </c>
      <c r="AQ12" s="115">
        <v>0</v>
      </c>
      <c r="AR12" s="115">
        <v>-1.1522360481135419E-3</v>
      </c>
      <c r="AS12" s="115">
        <v>1.4331308979680416E-3</v>
      </c>
    </row>
    <row r="13" spans="1:47" ht="12" customHeight="1">
      <c r="A13" s="107" t="s">
        <v>197</v>
      </c>
      <c r="B13" s="116">
        <v>1.3179669432663292</v>
      </c>
      <c r="C13" s="116">
        <v>1.4758411929369644</v>
      </c>
      <c r="D13" s="116">
        <v>1.7184391933272585</v>
      </c>
      <c r="E13" s="116">
        <v>1.8498333397662849</v>
      </c>
      <c r="F13" s="116">
        <v>2.0160101396188024</v>
      </c>
      <c r="G13" s="116">
        <v>2.1680600245406318</v>
      </c>
      <c r="H13" s="116">
        <v>2.3584148568925083</v>
      </c>
      <c r="I13" s="116">
        <v>2.5507572694394414</v>
      </c>
      <c r="J13" s="116">
        <v>2.8161369643439613</v>
      </c>
      <c r="K13" s="116">
        <v>2.7598368683757588</v>
      </c>
      <c r="L13" s="116">
        <v>4.5130398456842764</v>
      </c>
      <c r="M13" s="116">
        <v>4.818340969380011</v>
      </c>
      <c r="N13" s="116">
        <v>4.9657426841621373</v>
      </c>
      <c r="O13" s="116">
        <v>4.9821590902035862</v>
      </c>
      <c r="P13" s="116">
        <v>5.3744420066760226</v>
      </c>
      <c r="Q13" s="116">
        <v>6.2230444028040317</v>
      </c>
      <c r="R13" s="116">
        <v>6.6806784529050711</v>
      </c>
      <c r="S13" s="116">
        <v>7.1059451369182574</v>
      </c>
      <c r="T13" s="116">
        <v>7.3572545251887842</v>
      </c>
      <c r="U13" s="116">
        <v>8.1533118423626707</v>
      </c>
      <c r="V13" s="116">
        <v>8.4644876492931616</v>
      </c>
      <c r="W13" s="116">
        <v>8.4851999960726623</v>
      </c>
      <c r="X13" s="116">
        <v>9.8042865256513956</v>
      </c>
      <c r="Y13" s="116">
        <v>10.601589225352566</v>
      </c>
      <c r="Z13" s="116">
        <v>11.243036704631876</v>
      </c>
      <c r="AA13" s="116">
        <v>11.772261380619415</v>
      </c>
      <c r="AB13" s="116">
        <v>12.182000000000002</v>
      </c>
      <c r="AC13" s="116">
        <v>12.62383</v>
      </c>
      <c r="AD13" s="116">
        <v>12.80142</v>
      </c>
      <c r="AE13" s="116">
        <v>12.87567</v>
      </c>
      <c r="AF13" s="116">
        <v>14.24633</v>
      </c>
      <c r="AG13" s="116">
        <v>15.04989</v>
      </c>
      <c r="AH13" s="116">
        <v>15.314221000000002</v>
      </c>
      <c r="AI13" s="116">
        <v>15.544435216999998</v>
      </c>
      <c r="AJ13" s="116">
        <v>16.184112294000002</v>
      </c>
      <c r="AK13" s="116">
        <v>12.9997812901084</v>
      </c>
      <c r="AL13" s="116">
        <v>12.633719559850002</v>
      </c>
      <c r="AM13" s="116">
        <v>12.793924804610002</v>
      </c>
      <c r="AN13" s="116">
        <v>13.435306572850001</v>
      </c>
      <c r="AO13" s="116">
        <v>12.714599999999999</v>
      </c>
      <c r="AP13" s="117">
        <v>11.925011329482262</v>
      </c>
      <c r="AQ13" s="115">
        <v>-6.2100944624112198E-2</v>
      </c>
      <c r="AR13" s="115">
        <v>-1.2580624309463939E-3</v>
      </c>
      <c r="AS13" s="115">
        <v>6.8836551411917699E-3</v>
      </c>
    </row>
    <row r="14" spans="1:47" ht="12" customHeight="1">
      <c r="A14" s="107" t="s">
        <v>1046</v>
      </c>
      <c r="B14" s="116">
        <v>0.55000000000000004</v>
      </c>
      <c r="C14" s="116">
        <v>0.53</v>
      </c>
      <c r="D14" s="116">
        <v>0.61</v>
      </c>
      <c r="E14" s="116">
        <v>0.64</v>
      </c>
      <c r="F14" s="116">
        <v>1.1000000000000001</v>
      </c>
      <c r="G14" s="116">
        <v>1.24</v>
      </c>
      <c r="H14" s="116">
        <v>1.7</v>
      </c>
      <c r="I14" s="116">
        <v>1.9100000000000001</v>
      </c>
      <c r="J14" s="116">
        <v>2.0499999999999998</v>
      </c>
      <c r="K14" s="116">
        <v>1.98</v>
      </c>
      <c r="L14" s="116">
        <v>1.99</v>
      </c>
      <c r="M14" s="116">
        <v>1.8846000000000001</v>
      </c>
      <c r="N14" s="116">
        <v>3.2319</v>
      </c>
      <c r="O14" s="116">
        <v>3.1564000000000001</v>
      </c>
      <c r="P14" s="116">
        <v>3.1389999999999998</v>
      </c>
      <c r="Q14" s="116">
        <v>2.9518999999999997</v>
      </c>
      <c r="R14" s="116">
        <v>2.798</v>
      </c>
      <c r="S14" s="116">
        <v>2.5772000000000004</v>
      </c>
      <c r="T14" s="116">
        <v>2.4777999999999998</v>
      </c>
      <c r="U14" s="116">
        <v>2.2891999999999997</v>
      </c>
      <c r="V14" s="116">
        <v>1.9719000000000002</v>
      </c>
      <c r="W14" s="116">
        <v>1.8422000000000001</v>
      </c>
      <c r="X14" s="116">
        <v>1.6317000000000002</v>
      </c>
      <c r="Y14" s="116">
        <v>1.5423999999999998</v>
      </c>
      <c r="Z14" s="116">
        <v>1.4775999999999998</v>
      </c>
      <c r="AA14" s="116">
        <v>1.4531999999999998</v>
      </c>
      <c r="AB14" s="116">
        <v>1.5093999999999999</v>
      </c>
      <c r="AC14" s="116">
        <v>1.51</v>
      </c>
      <c r="AD14" s="116">
        <v>1.3620000000000001</v>
      </c>
      <c r="AE14" s="116">
        <v>1.3600000000000003</v>
      </c>
      <c r="AF14" s="116">
        <v>1.9</v>
      </c>
      <c r="AG14" s="116">
        <v>1.9875999999999998</v>
      </c>
      <c r="AH14" s="116">
        <v>2.2000000000000002</v>
      </c>
      <c r="AI14" s="116">
        <v>2.3769999999999998</v>
      </c>
      <c r="AJ14" s="116">
        <v>2.4450000000000003</v>
      </c>
      <c r="AK14" s="116">
        <v>2.3079999999999998</v>
      </c>
      <c r="AL14" s="116">
        <v>2.0019999999999998</v>
      </c>
      <c r="AM14" s="116">
        <v>1.6654899999999999</v>
      </c>
      <c r="AN14" s="116">
        <v>1.782208</v>
      </c>
      <c r="AO14" s="116">
        <v>1.96</v>
      </c>
      <c r="AP14" s="117">
        <v>2.036</v>
      </c>
      <c r="AQ14" s="115">
        <v>3.8775510204081653E-2</v>
      </c>
      <c r="AR14" s="115">
        <v>3.7221991639429186E-2</v>
      </c>
      <c r="AS14" s="115">
        <v>1.1752711574216112E-3</v>
      </c>
    </row>
    <row r="15" spans="1:47" ht="12" customHeight="1">
      <c r="A15" s="107" t="s">
        <v>1047</v>
      </c>
      <c r="B15" s="116">
        <v>0.56910399458427674</v>
      </c>
      <c r="C15" s="116">
        <v>0.52831596827563898</v>
      </c>
      <c r="D15" s="116">
        <v>0.5341010894856032</v>
      </c>
      <c r="E15" s="116">
        <v>0.51522640109349715</v>
      </c>
      <c r="F15" s="116">
        <v>0.66447084119702349</v>
      </c>
      <c r="G15" s="116">
        <v>0.67084031808476219</v>
      </c>
      <c r="H15" s="116">
        <v>0.72173769761889339</v>
      </c>
      <c r="I15" s="116">
        <v>0.93163825707538017</v>
      </c>
      <c r="J15" s="116">
        <v>0.88524041626010985</v>
      </c>
      <c r="K15" s="116">
        <v>0.84240714507926218</v>
      </c>
      <c r="L15" s="116">
        <v>0.79191881451957291</v>
      </c>
      <c r="M15" s="116">
        <v>0.89079179519896468</v>
      </c>
      <c r="N15" s="116">
        <v>1.8933123959883531</v>
      </c>
      <c r="O15" s="116">
        <v>2.1386249095179553</v>
      </c>
      <c r="P15" s="116">
        <v>2.0401025422452279</v>
      </c>
      <c r="Q15" s="116">
        <v>1.9782192759689421</v>
      </c>
      <c r="R15" s="116">
        <v>2.0177801553542536</v>
      </c>
      <c r="S15" s="116">
        <v>2.1469227601423491</v>
      </c>
      <c r="T15" s="116">
        <v>2.3970269902296995</v>
      </c>
      <c r="U15" s="116">
        <v>2.5875269411840822</v>
      </c>
      <c r="V15" s="116">
        <v>2.6681680247169197</v>
      </c>
      <c r="W15" s="116">
        <v>3.4229218181300554</v>
      </c>
      <c r="X15" s="116">
        <v>3.7313389013024914</v>
      </c>
      <c r="Y15" s="116">
        <v>3.7259102370559689</v>
      </c>
      <c r="Z15" s="116">
        <v>3.6560855771187306</v>
      </c>
      <c r="AA15" s="116">
        <v>2.6395345965059853</v>
      </c>
      <c r="AB15" s="116">
        <v>2.4455285114849565</v>
      </c>
      <c r="AC15" s="116">
        <v>2.5103919917178898</v>
      </c>
      <c r="AD15" s="116">
        <v>2.4992892338401811</v>
      </c>
      <c r="AE15" s="116">
        <v>2.6629088236169518</v>
      </c>
      <c r="AF15" s="116">
        <v>2.0674503879650596</v>
      </c>
      <c r="AG15" s="116">
        <v>2.009014820187641</v>
      </c>
      <c r="AH15" s="116">
        <v>1.9423982729213847</v>
      </c>
      <c r="AI15" s="116">
        <v>2.0569319857651243</v>
      </c>
      <c r="AJ15" s="116">
        <v>1.7729351263668711</v>
      </c>
      <c r="AK15" s="116">
        <v>1.8062433999999998</v>
      </c>
      <c r="AL15" s="116">
        <v>1.7037502999999996</v>
      </c>
      <c r="AM15" s="116">
        <v>1.6323077000000001</v>
      </c>
      <c r="AN15" s="116">
        <v>1.3025471</v>
      </c>
      <c r="AO15" s="116">
        <v>1.3025471</v>
      </c>
      <c r="AP15" s="117">
        <v>1.3025471</v>
      </c>
      <c r="AQ15" s="115">
        <v>0</v>
      </c>
      <c r="AR15" s="115">
        <v>-6.9012791456800837E-2</v>
      </c>
      <c r="AS15" s="115">
        <v>7.5188901660764391E-4</v>
      </c>
    </row>
    <row r="16" spans="1:47" ht="12" customHeight="1">
      <c r="A16" s="107" t="s">
        <v>1048</v>
      </c>
      <c r="B16" s="116">
        <v>0.62844500000000003</v>
      </c>
      <c r="C16" s="116">
        <v>0.88203700000000018</v>
      </c>
      <c r="D16" s="116">
        <v>0.77514499999999997</v>
      </c>
      <c r="E16" s="116">
        <v>0.69632400000000005</v>
      </c>
      <c r="F16" s="116">
        <v>0.67044599999999999</v>
      </c>
      <c r="G16" s="116">
        <v>0.58899999999999986</v>
      </c>
      <c r="H16" s="116">
        <v>0.53580000000000005</v>
      </c>
      <c r="I16" s="116">
        <v>0.48040000000000005</v>
      </c>
      <c r="J16" s="116">
        <v>0.85299999999999998</v>
      </c>
      <c r="K16" s="116">
        <v>0.84699999999999998</v>
      </c>
      <c r="L16" s="116">
        <v>0.82320000000000004</v>
      </c>
      <c r="M16" s="116">
        <v>0.82179999999999997</v>
      </c>
      <c r="N16" s="116">
        <v>0.80259999999999998</v>
      </c>
      <c r="O16" s="116">
        <v>0.79946700000000004</v>
      </c>
      <c r="P16" s="116">
        <v>0.83089199999999996</v>
      </c>
      <c r="Q16" s="116">
        <v>0.80810999999999999</v>
      </c>
      <c r="R16" s="116">
        <v>0.77352100000000013</v>
      </c>
      <c r="S16" s="116">
        <v>0.75840999999999992</v>
      </c>
      <c r="T16" s="116">
        <v>0.93738300000000008</v>
      </c>
      <c r="U16" s="116">
        <v>0.89059999999999995</v>
      </c>
      <c r="V16" s="116">
        <v>0.90561999999999998</v>
      </c>
      <c r="W16" s="116">
        <v>0.97937600000000014</v>
      </c>
      <c r="X16" s="116">
        <v>0.95289100000000015</v>
      </c>
      <c r="Y16" s="116">
        <v>0.92955300000000007</v>
      </c>
      <c r="Z16" s="116">
        <v>1.0973029999999999</v>
      </c>
      <c r="AA16" s="116">
        <v>1.0782579999999999</v>
      </c>
      <c r="AB16" s="116">
        <v>1.097288</v>
      </c>
      <c r="AC16" s="116">
        <v>1.12148</v>
      </c>
      <c r="AD16" s="116">
        <v>1.12148</v>
      </c>
      <c r="AE16" s="116">
        <v>1.12148</v>
      </c>
      <c r="AF16" s="116">
        <v>1.24</v>
      </c>
      <c r="AG16" s="116">
        <v>1.2061999999999999</v>
      </c>
      <c r="AH16" s="116">
        <v>1.4227000000000001</v>
      </c>
      <c r="AI16" s="116">
        <v>1.6169520000000002</v>
      </c>
      <c r="AJ16" s="116">
        <v>1.4098459999999999</v>
      </c>
      <c r="AK16" s="116">
        <v>1.1872849999999999</v>
      </c>
      <c r="AL16" s="116">
        <v>1.2246009999999998</v>
      </c>
      <c r="AM16" s="116">
        <v>0.98507499999999992</v>
      </c>
      <c r="AN16" s="116">
        <v>0.85889000000000004</v>
      </c>
      <c r="AO16" s="116">
        <v>0.80317668671327525</v>
      </c>
      <c r="AP16" s="117">
        <v>0.74634602905873759</v>
      </c>
      <c r="AQ16" s="115">
        <v>-7.075735463276156E-2</v>
      </c>
      <c r="AR16" s="115">
        <v>-3.2831917142696176E-2</v>
      </c>
      <c r="AS16" s="115">
        <v>4.3082463723422687E-4</v>
      </c>
    </row>
    <row r="17" spans="1:45" ht="12" customHeight="1">
      <c r="A17" s="107" t="s">
        <v>1049</v>
      </c>
      <c r="B17" s="116">
        <v>0.57099999999999995</v>
      </c>
      <c r="C17" s="116">
        <v>0.57099999999999995</v>
      </c>
      <c r="D17" s="116">
        <v>0.63300000000000001</v>
      </c>
      <c r="E17" s="116">
        <v>0.54</v>
      </c>
      <c r="F17" s="116">
        <v>0.56999999999999995</v>
      </c>
      <c r="G17" s="116">
        <v>0.61199999999999999</v>
      </c>
      <c r="H17" s="116">
        <v>0.56400000000000017</v>
      </c>
      <c r="I17" s="116">
        <v>0.61950000000000005</v>
      </c>
      <c r="J17" s="116">
        <v>0.61299999999999999</v>
      </c>
      <c r="K17" s="116">
        <v>0.61859999999999993</v>
      </c>
      <c r="L17" s="116">
        <v>0.60220000000000007</v>
      </c>
      <c r="M17" s="116">
        <v>0.5726</v>
      </c>
      <c r="N17" s="116">
        <v>0.54100000000000004</v>
      </c>
      <c r="O17" s="116">
        <v>0.56010000000000015</v>
      </c>
      <c r="P17" s="116">
        <v>0.56000000000000005</v>
      </c>
      <c r="Q17" s="116">
        <v>0.65660000000000018</v>
      </c>
      <c r="R17" s="116">
        <v>0.72270000000000001</v>
      </c>
      <c r="S17" s="116">
        <v>0.70619999999999994</v>
      </c>
      <c r="T17" s="116">
        <v>0.74006999999999989</v>
      </c>
      <c r="U17" s="116">
        <v>0.82096999999999998</v>
      </c>
      <c r="V17" s="116">
        <v>0.85106999999999977</v>
      </c>
      <c r="W17" s="116">
        <v>0.96006999999999998</v>
      </c>
      <c r="X17" s="116">
        <v>1.1250700000000002</v>
      </c>
      <c r="Y17" s="116">
        <v>0.89106999999999992</v>
      </c>
      <c r="Z17" s="116">
        <v>0.80899999999999994</v>
      </c>
      <c r="AA17" s="116">
        <v>0.80299999999999994</v>
      </c>
      <c r="AB17" s="116">
        <v>0.79379999999999995</v>
      </c>
      <c r="AC17" s="116">
        <v>0.871</v>
      </c>
      <c r="AD17" s="116">
        <v>0.83</v>
      </c>
      <c r="AE17" s="116">
        <v>0.83</v>
      </c>
      <c r="AF17" s="116">
        <v>0.83</v>
      </c>
      <c r="AG17" s="116">
        <v>0.83</v>
      </c>
      <c r="AH17" s="116">
        <v>0.83</v>
      </c>
      <c r="AI17" s="116">
        <v>0.83</v>
      </c>
      <c r="AJ17" s="116">
        <v>0.83</v>
      </c>
      <c r="AK17" s="116">
        <v>0.72830000000000006</v>
      </c>
      <c r="AL17" s="116">
        <v>0.24298200000000003</v>
      </c>
      <c r="AM17" s="116">
        <v>0.24298200000000003</v>
      </c>
      <c r="AN17" s="116">
        <v>0.24298200000000003</v>
      </c>
      <c r="AO17" s="116">
        <v>0.24298200000000003</v>
      </c>
      <c r="AP17" s="117">
        <v>0.24298200000000003</v>
      </c>
      <c r="AQ17" s="115">
        <v>0</v>
      </c>
      <c r="AR17" s="115">
        <v>-0.11559823422990123</v>
      </c>
      <c r="AS17" s="115">
        <v>1.4026018485884968E-4</v>
      </c>
    </row>
    <row r="18" spans="1:45" ht="12" customHeight="1">
      <c r="A18" s="107" t="s">
        <v>1050</v>
      </c>
      <c r="B18" s="116">
        <v>19.53</v>
      </c>
      <c r="C18" s="116">
        <v>19.888000000000002</v>
      </c>
      <c r="D18" s="116">
        <v>24.9</v>
      </c>
      <c r="E18" s="116">
        <v>25.887</v>
      </c>
      <c r="F18" s="116">
        <v>28.027999999999999</v>
      </c>
      <c r="G18" s="116">
        <v>54.454000000000001</v>
      </c>
      <c r="H18" s="116">
        <v>55.521000000000001</v>
      </c>
      <c r="I18" s="116">
        <v>58.100999999999999</v>
      </c>
      <c r="J18" s="116">
        <v>58.50500000000001</v>
      </c>
      <c r="K18" s="116">
        <v>59.04</v>
      </c>
      <c r="L18" s="116">
        <v>60.054000000000002</v>
      </c>
      <c r="M18" s="116">
        <v>62.648999999999994</v>
      </c>
      <c r="N18" s="116">
        <v>63.329999999999991</v>
      </c>
      <c r="O18" s="116">
        <v>64.447999999999993</v>
      </c>
      <c r="P18" s="116">
        <v>64.876999999999995</v>
      </c>
      <c r="Q18" s="116">
        <v>66.328999999999979</v>
      </c>
      <c r="R18" s="116">
        <v>72.666999999999987</v>
      </c>
      <c r="S18" s="116">
        <v>74.930999999999997</v>
      </c>
      <c r="T18" s="116">
        <v>76.108000000000004</v>
      </c>
      <c r="U18" s="116">
        <v>76.847999999999999</v>
      </c>
      <c r="V18" s="116">
        <v>76.847999999999999</v>
      </c>
      <c r="W18" s="116">
        <v>77.685000000000002</v>
      </c>
      <c r="X18" s="116">
        <v>77.306999999999988</v>
      </c>
      <c r="Y18" s="116">
        <v>77.226000000000013</v>
      </c>
      <c r="Z18" s="116">
        <v>79.728999999999999</v>
      </c>
      <c r="AA18" s="116">
        <v>80.012</v>
      </c>
      <c r="AB18" s="116">
        <v>87.324000000000012</v>
      </c>
      <c r="AC18" s="116">
        <v>99.37700000000001</v>
      </c>
      <c r="AD18" s="116">
        <v>172.32300000000001</v>
      </c>
      <c r="AE18" s="116">
        <v>211.17299999999994</v>
      </c>
      <c r="AF18" s="116">
        <v>296.50099999999998</v>
      </c>
      <c r="AG18" s="116">
        <v>297.57100000000003</v>
      </c>
      <c r="AH18" s="116">
        <v>297.73500000000001</v>
      </c>
      <c r="AI18" s="116">
        <v>298.35319999999996</v>
      </c>
      <c r="AJ18" s="116">
        <v>299.95319999999998</v>
      </c>
      <c r="AK18" s="116">
        <v>300.87830000000002</v>
      </c>
      <c r="AL18" s="116">
        <v>302.25040000000001</v>
      </c>
      <c r="AM18" s="116">
        <v>302.80799999999999</v>
      </c>
      <c r="AN18" s="116">
        <v>303.805745</v>
      </c>
      <c r="AO18" s="116">
        <v>303.805745</v>
      </c>
      <c r="AP18" s="117">
        <v>303.805745</v>
      </c>
      <c r="AQ18" s="115">
        <v>0</v>
      </c>
      <c r="AR18" s="115">
        <v>3.7040599886654535E-2</v>
      </c>
      <c r="AS18" s="115">
        <v>0.17537039762155443</v>
      </c>
    </row>
    <row r="19" spans="1:45" ht="12" customHeight="1">
      <c r="A19" s="107" t="s">
        <v>1051</v>
      </c>
      <c r="B19" s="116">
        <v>0.713696</v>
      </c>
      <c r="C19" s="116">
        <v>0.75824399999999981</v>
      </c>
      <c r="D19" s="116">
        <v>0.82516200000000006</v>
      </c>
      <c r="E19" s="116">
        <v>0.47530999999999995</v>
      </c>
      <c r="F19" s="116">
        <v>0.43992599999999998</v>
      </c>
      <c r="G19" s="116">
        <v>0.43540000000000001</v>
      </c>
      <c r="H19" s="116">
        <v>0.42899999999999999</v>
      </c>
      <c r="I19" s="116">
        <v>0.61612</v>
      </c>
      <c r="J19" s="116">
        <v>0.60819999999999985</v>
      </c>
      <c r="K19" s="116">
        <v>0.63998999999999995</v>
      </c>
      <c r="L19" s="116">
        <v>0.61718299999999993</v>
      </c>
      <c r="M19" s="116">
        <v>0.60253699999999999</v>
      </c>
      <c r="N19" s="116">
        <v>0.63459200000000004</v>
      </c>
      <c r="O19" s="116">
        <v>0.86120099999999999</v>
      </c>
      <c r="P19" s="116">
        <v>0.95752400000000004</v>
      </c>
      <c r="Q19" s="116">
        <v>0.99892099999999995</v>
      </c>
      <c r="R19" s="116">
        <v>1.045031</v>
      </c>
      <c r="S19" s="116">
        <v>1.065113</v>
      </c>
      <c r="T19" s="116">
        <v>1.0784530000000001</v>
      </c>
      <c r="U19" s="116">
        <v>1.2773559999999999</v>
      </c>
      <c r="V19" s="116">
        <v>1.3274080000000001</v>
      </c>
      <c r="W19" s="116">
        <v>1.3706079999999998</v>
      </c>
      <c r="X19" s="116">
        <v>1.6260000000000001</v>
      </c>
      <c r="Y19" s="116">
        <v>1.4728090000000003</v>
      </c>
      <c r="Z19" s="116">
        <v>1.4682090000000003</v>
      </c>
      <c r="AA19" s="116">
        <v>1.4702</v>
      </c>
      <c r="AB19" s="116">
        <v>0.84415200000000001</v>
      </c>
      <c r="AC19" s="116">
        <v>0.82050000000000001</v>
      </c>
      <c r="AD19" s="116">
        <v>0.81207000000000007</v>
      </c>
      <c r="AE19" s="116">
        <v>0.76925900000000014</v>
      </c>
      <c r="AF19" s="116">
        <v>0.76938230000000007</v>
      </c>
      <c r="AG19" s="116">
        <v>0.50960479999999997</v>
      </c>
      <c r="AH19" s="116">
        <v>0.5135324</v>
      </c>
      <c r="AI19" s="116">
        <v>0.53061720000000001</v>
      </c>
      <c r="AJ19" s="116">
        <v>0.54021709999999989</v>
      </c>
      <c r="AK19" s="116">
        <v>0.5214782</v>
      </c>
      <c r="AL19" s="116">
        <v>0.52183849999999987</v>
      </c>
      <c r="AM19" s="116">
        <v>0.57542149052461289</v>
      </c>
      <c r="AN19" s="116">
        <v>0.57341529052461282</v>
      </c>
      <c r="AO19" s="116">
        <v>0.7217731198625964</v>
      </c>
      <c r="AP19" s="117">
        <v>0.82478130000000005</v>
      </c>
      <c r="AQ19" s="115">
        <v>0.14271545628772264</v>
      </c>
      <c r="AR19" s="115">
        <v>-6.3514301266899276E-3</v>
      </c>
      <c r="AS19" s="115">
        <v>4.7610101820761352E-4</v>
      </c>
    </row>
    <row r="20" spans="1:45" s="108" customFormat="1" ht="12" customHeight="1">
      <c r="A20" s="118" t="s">
        <v>1052</v>
      </c>
      <c r="B20" s="119">
        <v>26.337211937850604</v>
      </c>
      <c r="C20" s="119">
        <v>26.805090161212604</v>
      </c>
      <c r="D20" s="119">
        <v>31.945447282812861</v>
      </c>
      <c r="E20" s="119">
        <v>33.053462740859786</v>
      </c>
      <c r="F20" s="119">
        <v>35.837852980815818</v>
      </c>
      <c r="G20" s="119">
        <v>62.409300342625393</v>
      </c>
      <c r="H20" s="119">
        <v>64.062952554511398</v>
      </c>
      <c r="I20" s="119">
        <v>67.455415526514827</v>
      </c>
      <c r="J20" s="119">
        <v>68.610477380604095</v>
      </c>
      <c r="K20" s="119">
        <v>68.89553401345502</v>
      </c>
      <c r="L20" s="119">
        <v>70.961528740354765</v>
      </c>
      <c r="M20" s="119">
        <v>73.922936336226613</v>
      </c>
      <c r="N20" s="119">
        <v>77.416585006808134</v>
      </c>
      <c r="O20" s="119">
        <v>79.162739188094775</v>
      </c>
      <c r="P20" s="119">
        <v>80.031593368723691</v>
      </c>
      <c r="Q20" s="119">
        <v>82.332161454611139</v>
      </c>
      <c r="R20" s="119">
        <v>89.305144802953677</v>
      </c>
      <c r="S20" s="119">
        <v>91.911968887588174</v>
      </c>
      <c r="T20" s="119">
        <v>93.849402487024776</v>
      </c>
      <c r="U20" s="119">
        <v>95.938153573553834</v>
      </c>
      <c r="V20" s="119">
        <v>96.010356687298227</v>
      </c>
      <c r="W20" s="119">
        <v>97.624058656583529</v>
      </c>
      <c r="X20" s="119">
        <v>98.998794809764803</v>
      </c>
      <c r="Y20" s="119">
        <v>99.063840758233241</v>
      </c>
      <c r="Z20" s="119">
        <v>101.95824360012668</v>
      </c>
      <c r="AA20" s="119">
        <v>101.40871686349017</v>
      </c>
      <c r="AB20" s="119">
        <v>108.78292865762221</v>
      </c>
      <c r="AC20" s="119">
        <v>121.45022233743552</v>
      </c>
      <c r="AD20" s="119">
        <v>194.26956752946867</v>
      </c>
      <c r="AE20" s="119">
        <v>233.30381409439326</v>
      </c>
      <c r="AF20" s="119">
        <v>320.07831440761424</v>
      </c>
      <c r="AG20" s="119">
        <v>321.68830962018768</v>
      </c>
      <c r="AH20" s="119">
        <v>322.31206115304764</v>
      </c>
      <c r="AI20" s="119">
        <v>323.63872054424399</v>
      </c>
      <c r="AJ20" s="119">
        <v>325.51501946863459</v>
      </c>
      <c r="AK20" s="119">
        <v>322.82411187458382</v>
      </c>
      <c r="AL20" s="119">
        <v>322.74150041374241</v>
      </c>
      <c r="AM20" s="119">
        <v>322.7199660378389</v>
      </c>
      <c r="AN20" s="119">
        <v>324.38795203632998</v>
      </c>
      <c r="AO20" s="119">
        <v>324.03353139908705</v>
      </c>
      <c r="AP20" s="119">
        <v>323.36612025105217</v>
      </c>
      <c r="AQ20" s="120">
        <v>-2.0596977885380952E-3</v>
      </c>
      <c r="AR20" s="120">
        <v>3.3396084077871535E-2</v>
      </c>
      <c r="AS20" s="120">
        <v>0.18666152967504418</v>
      </c>
    </row>
    <row r="21" spans="1:45" ht="12" customHeight="1">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7"/>
      <c r="AQ21" s="115"/>
      <c r="AR21" s="115"/>
      <c r="AS21" s="115"/>
    </row>
    <row r="22" spans="1:45" ht="12" customHeight="1">
      <c r="A22" s="107" t="s">
        <v>1053</v>
      </c>
      <c r="B22" s="116">
        <v>0.44999999999999996</v>
      </c>
      <c r="C22" s="116">
        <v>0.37100000000000005</v>
      </c>
      <c r="D22" s="116">
        <v>0.32707015868020001</v>
      </c>
      <c r="E22" s="116">
        <v>0.30820072644865004</v>
      </c>
      <c r="F22" s="116">
        <v>0.46544599504489997</v>
      </c>
      <c r="G22" s="116">
        <v>0.44657656281335001</v>
      </c>
      <c r="H22" s="116">
        <v>0.40254788760640003</v>
      </c>
      <c r="I22" s="116">
        <v>0.40254788760640003</v>
      </c>
      <c r="J22" s="116">
        <v>0.5409237239711</v>
      </c>
      <c r="K22" s="116">
        <v>0.62898107438500006</v>
      </c>
      <c r="L22" s="116">
        <v>0.59124220992190013</v>
      </c>
      <c r="M22" s="116">
        <v>0.61640145289730008</v>
      </c>
      <c r="N22" s="116">
        <v>0.74848747851815001</v>
      </c>
      <c r="O22" s="116">
        <v>0.70445880331120003</v>
      </c>
      <c r="P22" s="116">
        <v>0.75477728926199994</v>
      </c>
      <c r="Q22" s="116">
        <v>0.91202255785825004</v>
      </c>
      <c r="R22" s="116">
        <v>0.86170407190745002</v>
      </c>
      <c r="S22" s="116">
        <v>0.94347161157749992</v>
      </c>
      <c r="T22" s="116">
        <v>0.88057350413899993</v>
      </c>
      <c r="U22" s="116">
        <v>0.90573274711439999</v>
      </c>
      <c r="V22" s="116">
        <v>1.11329650166145</v>
      </c>
      <c r="W22" s="116">
        <v>1.3460194991838998</v>
      </c>
      <c r="X22" s="116">
        <v>1.27683158100155</v>
      </c>
      <c r="Y22" s="116">
        <v>1.27683158100155</v>
      </c>
      <c r="Z22" s="116">
        <v>1.3271500669523502</v>
      </c>
      <c r="AA22" s="116">
        <v>1.27683158100155</v>
      </c>
      <c r="AB22" s="116">
        <v>1.1573251768684001</v>
      </c>
      <c r="AC22" s="116">
        <v>1.11329650166145</v>
      </c>
      <c r="AD22" s="116">
        <v>0.81138558595665011</v>
      </c>
      <c r="AE22" s="116">
        <v>0.91831236860210008</v>
      </c>
      <c r="AF22" s="116">
        <v>0.89944293637055006</v>
      </c>
      <c r="AG22" s="116">
        <v>0.80509577521280007</v>
      </c>
      <c r="AH22" s="116">
        <v>0.7296180462866001</v>
      </c>
      <c r="AI22" s="116">
        <v>0.67300974959194992</v>
      </c>
      <c r="AJ22" s="116">
        <v>0.61011164215345004</v>
      </c>
      <c r="AK22" s="116">
        <v>0.49060523802029998</v>
      </c>
      <c r="AL22" s="116">
        <v>0.44028675206949996</v>
      </c>
      <c r="AM22" s="116">
        <v>0.42770713058179999</v>
      </c>
      <c r="AN22" s="116">
        <v>0.44028675206949996</v>
      </c>
      <c r="AO22" s="116">
        <v>0.42770713058179999</v>
      </c>
      <c r="AP22" s="117">
        <v>0.42770713058179999</v>
      </c>
      <c r="AQ22" s="115">
        <v>0</v>
      </c>
      <c r="AR22" s="115">
        <v>-7.356360982065846E-2</v>
      </c>
      <c r="AS22" s="115">
        <v>2.4689187347561308E-4</v>
      </c>
    </row>
    <row r="23" spans="1:45" ht="12" customHeight="1">
      <c r="A23" s="107" t="s">
        <v>1054</v>
      </c>
      <c r="B23" s="116">
        <v>0.37845000000000001</v>
      </c>
      <c r="C23" s="116">
        <v>0.37845000000000001</v>
      </c>
      <c r="D23" s="116">
        <v>0.41629500000000003</v>
      </c>
      <c r="E23" s="116">
        <v>0.43143300000000001</v>
      </c>
      <c r="F23" s="116">
        <v>0.62065800000000004</v>
      </c>
      <c r="G23" s="116">
        <v>0.63579600000000003</v>
      </c>
      <c r="H23" s="116">
        <v>0.64336499999999996</v>
      </c>
      <c r="I23" s="116">
        <v>0.68120999999999998</v>
      </c>
      <c r="J23" s="116">
        <v>0.80231399999999997</v>
      </c>
      <c r="K23" s="116">
        <v>0.76446900000000007</v>
      </c>
      <c r="L23" s="116">
        <v>0.76446900000000007</v>
      </c>
      <c r="M23" s="116">
        <v>0.825021</v>
      </c>
      <c r="N23" s="116">
        <v>0.64336499999999996</v>
      </c>
      <c r="O23" s="116">
        <v>0.64336499999999996</v>
      </c>
      <c r="P23" s="116">
        <v>0.75690000000000002</v>
      </c>
      <c r="Q23" s="116">
        <v>0.772038</v>
      </c>
      <c r="R23" s="116">
        <v>0.75690000000000002</v>
      </c>
      <c r="S23" s="116">
        <v>0.64336499999999996</v>
      </c>
      <c r="T23" s="116">
        <v>0.63579600000000003</v>
      </c>
      <c r="U23" s="116">
        <v>0.63579600000000003</v>
      </c>
      <c r="V23" s="116">
        <v>0.59795100000000001</v>
      </c>
      <c r="W23" s="116">
        <v>0.56767499999999993</v>
      </c>
      <c r="X23" s="116">
        <v>0.55409621400000009</v>
      </c>
      <c r="Y23" s="116">
        <v>0.50510964599999997</v>
      </c>
      <c r="Z23" s="116">
        <v>0.46270053899999997</v>
      </c>
      <c r="AA23" s="116">
        <v>0.45968050799999999</v>
      </c>
      <c r="AB23" s="116">
        <v>0.45048417299999999</v>
      </c>
      <c r="AC23" s="116">
        <v>0.45647882099999998</v>
      </c>
      <c r="AD23" s="116">
        <v>0.46952020799999999</v>
      </c>
      <c r="AE23" s="116">
        <v>0.52799830199999997</v>
      </c>
      <c r="AF23" s="116">
        <v>0.57975512400000007</v>
      </c>
      <c r="AG23" s="116">
        <v>0.57768121800000005</v>
      </c>
      <c r="AH23" s="116">
        <v>0.62114998499999996</v>
      </c>
      <c r="AI23" s="116">
        <v>0.60343852499999995</v>
      </c>
      <c r="AJ23" s="116">
        <v>0.64190418299999996</v>
      </c>
      <c r="AK23" s="116">
        <v>0.61695675899999991</v>
      </c>
      <c r="AL23" s="116">
        <v>0.54057041099999992</v>
      </c>
      <c r="AM23" s="116">
        <v>0.59222883599999998</v>
      </c>
      <c r="AN23" s="116">
        <v>0.57397240799999993</v>
      </c>
      <c r="AO23" s="116">
        <v>0.55181037600000005</v>
      </c>
      <c r="AP23" s="117">
        <v>0.60407432099999991</v>
      </c>
      <c r="AQ23" s="115">
        <v>9.4713595961812613E-2</v>
      </c>
      <c r="AR23" s="115">
        <v>4.4208831711629593E-3</v>
      </c>
      <c r="AS23" s="115">
        <v>3.4869898153749694E-4</v>
      </c>
    </row>
    <row r="24" spans="1:45" ht="12" customHeight="1">
      <c r="A24" s="107" t="s">
        <v>1055</v>
      </c>
      <c r="B24" s="116">
        <v>3.9520615562260497</v>
      </c>
      <c r="C24" s="116">
        <v>3.9549596636645501</v>
      </c>
      <c r="D24" s="116">
        <v>3.8165838272998496</v>
      </c>
      <c r="E24" s="116">
        <v>4.8870108967297492</v>
      </c>
      <c r="F24" s="116">
        <v>4.9619090041682492</v>
      </c>
      <c r="G24" s="116">
        <v>5.9026604857439953</v>
      </c>
      <c r="H24" s="116">
        <v>6.493355228640711</v>
      </c>
      <c r="I24" s="116">
        <v>6.6360845729394207</v>
      </c>
      <c r="J24" s="116">
        <v>8.1564690501401103</v>
      </c>
      <c r="K24" s="116">
        <v>8.4216350604729868</v>
      </c>
      <c r="L24" s="116">
        <v>8.6305727014663454</v>
      </c>
      <c r="M24" s="116">
        <v>8.8110835024573646</v>
      </c>
      <c r="N24" s="116">
        <v>9.74275029659578</v>
      </c>
      <c r="O24" s="116">
        <v>9.5660668326281915</v>
      </c>
      <c r="P24" s="116">
        <v>9.7044422484116755</v>
      </c>
      <c r="Q24" s="116">
        <v>10.804390671313071</v>
      </c>
      <c r="R24" s="116">
        <v>11.682216402559447</v>
      </c>
      <c r="S24" s="116">
        <v>12.04082164057975</v>
      </c>
      <c r="T24" s="116">
        <v>11.663025425702749</v>
      </c>
      <c r="U24" s="116">
        <v>10.937958325696901</v>
      </c>
      <c r="V24" s="116">
        <v>11.366245077766402</v>
      </c>
      <c r="W24" s="116">
        <v>11.596971133963201</v>
      </c>
      <c r="X24" s="116">
        <v>10.448168228168599</v>
      </c>
      <c r="Y24" s="116">
        <v>10.149069394281449</v>
      </c>
      <c r="Z24" s="116">
        <v>9.721941885187352</v>
      </c>
      <c r="AA24" s="116">
        <v>9.6880883198964511</v>
      </c>
      <c r="AB24" s="116">
        <v>8.5457472760874005</v>
      </c>
      <c r="AC24" s="116">
        <v>8.1683586314563996</v>
      </c>
      <c r="AD24" s="116">
        <v>7.4907979355836991</v>
      </c>
      <c r="AE24" s="116">
        <v>7.0776991016965498</v>
      </c>
      <c r="AF24" s="116">
        <v>6.8039921911075032</v>
      </c>
      <c r="AG24" s="116">
        <v>6.8833368525374787</v>
      </c>
      <c r="AH24" s="116">
        <v>7.4946033973840942</v>
      </c>
      <c r="AI24" s="116">
        <v>7.0474897080206755</v>
      </c>
      <c r="AJ24" s="116">
        <v>6.5392239224565571</v>
      </c>
      <c r="AK24" s="116">
        <v>8.0050412256682275</v>
      </c>
      <c r="AL24" s="116">
        <v>7.6012196522795206</v>
      </c>
      <c r="AM24" s="116">
        <v>7.9179968880012295</v>
      </c>
      <c r="AN24" s="116">
        <v>8.6445147048926465</v>
      </c>
      <c r="AO24" s="116">
        <v>8.5229896236442499</v>
      </c>
      <c r="AP24" s="117">
        <v>7.9017046112025353</v>
      </c>
      <c r="AQ24" s="115">
        <v>-7.2895197562855452E-2</v>
      </c>
      <c r="AR24" s="115">
        <v>1.8755547017810237E-2</v>
      </c>
      <c r="AS24" s="115">
        <v>4.5612207878249931E-3</v>
      </c>
    </row>
    <row r="25" spans="1:45" ht="12" customHeight="1">
      <c r="A25" s="107" t="s">
        <v>1056</v>
      </c>
      <c r="B25" s="116">
        <v>1.0901930000000002</v>
      </c>
      <c r="C25" s="116">
        <v>1.0055130000000001</v>
      </c>
      <c r="D25" s="116">
        <v>0.95926</v>
      </c>
      <c r="E25" s="116">
        <v>1.59494</v>
      </c>
      <c r="F25" s="116">
        <v>1.5105999999999999</v>
      </c>
      <c r="G25" s="116">
        <v>1.4419999999999999</v>
      </c>
      <c r="H25" s="116">
        <v>1.3620000000000001</v>
      </c>
      <c r="I25" s="116">
        <v>1.286</v>
      </c>
      <c r="J25" s="116">
        <v>1.2310000000000001</v>
      </c>
      <c r="K25" s="116">
        <v>1.1990000000000001</v>
      </c>
      <c r="L25" s="116">
        <v>1.52</v>
      </c>
      <c r="M25" s="116">
        <v>1.4910000000000001</v>
      </c>
      <c r="N25" s="116">
        <v>1.2448000000000001</v>
      </c>
      <c r="O25" s="116">
        <v>1.0075000000000001</v>
      </c>
      <c r="P25" s="116">
        <v>1.0004</v>
      </c>
      <c r="Q25" s="116">
        <v>1.0058</v>
      </c>
      <c r="R25" s="116">
        <v>0.98039999999999983</v>
      </c>
      <c r="S25" s="116">
        <v>0.93129999999999979</v>
      </c>
      <c r="T25" s="116">
        <v>1.1629</v>
      </c>
      <c r="U25" s="116">
        <v>1.2253000000000003</v>
      </c>
      <c r="V25" s="116">
        <v>1.1699000000000004</v>
      </c>
      <c r="W25" s="116">
        <v>1.1539999999999999</v>
      </c>
      <c r="X25" s="116">
        <v>0.5081</v>
      </c>
      <c r="Y25" s="116">
        <v>0.49380000000000002</v>
      </c>
      <c r="Z25" s="116">
        <v>0.46820000000000001</v>
      </c>
      <c r="AA25" s="116">
        <v>0.45839999999999997</v>
      </c>
      <c r="AB25" s="116">
        <v>0.47770000000000001</v>
      </c>
      <c r="AC25" s="116">
        <v>0.48</v>
      </c>
      <c r="AD25" s="116">
        <v>0.48</v>
      </c>
      <c r="AE25" s="116">
        <v>0.6</v>
      </c>
      <c r="AF25" s="116">
        <v>0.6</v>
      </c>
      <c r="AG25" s="116">
        <v>0.6</v>
      </c>
      <c r="AH25" s="116">
        <v>0.6</v>
      </c>
      <c r="AI25" s="116">
        <v>0.6</v>
      </c>
      <c r="AJ25" s="116">
        <v>0.6</v>
      </c>
      <c r="AK25" s="116">
        <v>0.6</v>
      </c>
      <c r="AL25" s="116">
        <v>0.6</v>
      </c>
      <c r="AM25" s="116">
        <v>0.6</v>
      </c>
      <c r="AN25" s="116">
        <v>0.6</v>
      </c>
      <c r="AO25" s="116">
        <v>0.6</v>
      </c>
      <c r="AP25" s="117">
        <v>0.6</v>
      </c>
      <c r="AQ25" s="115">
        <v>0</v>
      </c>
      <c r="AR25" s="115">
        <v>0</v>
      </c>
      <c r="AS25" s="115">
        <v>3.4634709943662408E-4</v>
      </c>
    </row>
    <row r="26" spans="1:45" ht="12" customHeight="1">
      <c r="A26" s="107" t="s">
        <v>1057</v>
      </c>
      <c r="B26" s="116">
        <v>8.4375</v>
      </c>
      <c r="C26" s="116">
        <v>7.875</v>
      </c>
      <c r="D26" s="116">
        <v>7.4625000000000004</v>
      </c>
      <c r="E26" s="116">
        <v>6.9375</v>
      </c>
      <c r="F26" s="116">
        <v>6</v>
      </c>
      <c r="G26" s="116">
        <v>5.625</v>
      </c>
      <c r="H26" s="116">
        <v>5.3250000000000002</v>
      </c>
      <c r="I26" s="116">
        <v>5.1749999999999998</v>
      </c>
      <c r="J26" s="116">
        <v>4.2750000000000004</v>
      </c>
      <c r="K26" s="116">
        <v>3.8250000000000002</v>
      </c>
      <c r="L26" s="116">
        <v>4.0125000000000002</v>
      </c>
      <c r="M26" s="116">
        <v>4.1624999999999996</v>
      </c>
      <c r="N26" s="116">
        <v>4.5750000000000002</v>
      </c>
      <c r="O26" s="116">
        <v>4.5374999999999996</v>
      </c>
      <c r="P26" s="116">
        <v>4.3125</v>
      </c>
      <c r="Q26" s="116">
        <v>4.5374999999999996</v>
      </c>
      <c r="R26" s="116">
        <v>4.9874999999999998</v>
      </c>
      <c r="S26" s="116">
        <v>5.1749999999999998</v>
      </c>
      <c r="T26" s="116">
        <v>5.1375000000000002</v>
      </c>
      <c r="U26" s="116">
        <v>4.9874999999999998</v>
      </c>
      <c r="V26" s="116">
        <v>4.7249999999999996</v>
      </c>
      <c r="W26" s="116">
        <v>4.5374999999999996</v>
      </c>
      <c r="X26" s="116">
        <v>4.4625000000000004</v>
      </c>
      <c r="Y26" s="116">
        <v>4.2824999999999998</v>
      </c>
      <c r="Z26" s="116">
        <v>3.9975000000000001</v>
      </c>
      <c r="AA26" s="116">
        <v>3.87</v>
      </c>
      <c r="AB26" s="116">
        <v>3.5924999999999998</v>
      </c>
      <c r="AC26" s="116">
        <v>3.39</v>
      </c>
      <c r="AD26" s="116">
        <v>3.06</v>
      </c>
      <c r="AE26" s="116">
        <v>2.835</v>
      </c>
      <c r="AF26" s="116">
        <v>2.8050000000000002</v>
      </c>
      <c r="AG26" s="116">
        <v>3.0975000000000001</v>
      </c>
      <c r="AH26" s="116">
        <v>3.0375000000000001</v>
      </c>
      <c r="AI26" s="116">
        <v>3.03</v>
      </c>
      <c r="AJ26" s="116">
        <v>2.8050000000000002</v>
      </c>
      <c r="AK26" s="116">
        <v>2.5423575</v>
      </c>
      <c r="AL26" s="116">
        <v>2.3132758171378089</v>
      </c>
      <c r="AM26" s="116">
        <v>2.5</v>
      </c>
      <c r="AN26" s="116">
        <v>2.7</v>
      </c>
      <c r="AO26" s="116">
        <v>2.5</v>
      </c>
      <c r="AP26" s="117">
        <v>2.5</v>
      </c>
      <c r="AQ26" s="115">
        <v>0</v>
      </c>
      <c r="AR26" s="115">
        <v>-1.2496384088029555E-2</v>
      </c>
      <c r="AS26" s="115">
        <v>1.4431129143192671E-3</v>
      </c>
    </row>
    <row r="27" spans="1:45" ht="12" customHeight="1">
      <c r="A27" s="107" t="s">
        <v>1058</v>
      </c>
      <c r="B27" s="116">
        <v>2.2702695909117496</v>
      </c>
      <c r="C27" s="116">
        <v>2.1837038338871499</v>
      </c>
      <c r="D27" s="116">
        <v>2.3481535347149505</v>
      </c>
      <c r="E27" s="116">
        <v>2.2515172380202997</v>
      </c>
      <c r="F27" s="116">
        <v>2.2029188057887499</v>
      </c>
      <c r="G27" s="116">
        <v>2.2495432380203</v>
      </c>
      <c r="H27" s="116">
        <v>2.28276680578875</v>
      </c>
      <c r="I27" s="116">
        <v>2.1630639950449</v>
      </c>
      <c r="J27" s="116">
        <v>2.2402275628133497</v>
      </c>
      <c r="K27" s="116">
        <v>2.0408371305817998</v>
      </c>
      <c r="L27" s="116">
        <v>1.9915454340064001</v>
      </c>
      <c r="M27" s="116">
        <v>2.3780714340064004</v>
      </c>
      <c r="N27" s="116">
        <v>2.2023050017748509</v>
      </c>
      <c r="O27" s="116">
        <v>2.1368464433433001</v>
      </c>
      <c r="P27" s="116">
        <v>2.0241824582556003</v>
      </c>
      <c r="Q27" s="116">
        <v>1.9805032883925</v>
      </c>
      <c r="R27" s="116">
        <v>2.1039422531117498</v>
      </c>
      <c r="S27" s="116">
        <v>1.9474619843224499</v>
      </c>
      <c r="T27" s="116">
        <v>1.8964639176242333</v>
      </c>
      <c r="U27" s="116">
        <v>2.0408685948698668</v>
      </c>
      <c r="V27" s="116">
        <v>2.0711899375155003</v>
      </c>
      <c r="W27" s="116">
        <v>1.9745878962277998</v>
      </c>
      <c r="X27" s="116">
        <v>1.9751915402277997</v>
      </c>
      <c r="Y27" s="116">
        <v>2.0875907135365606</v>
      </c>
      <c r="Z27" s="116">
        <v>1.9892830779129671</v>
      </c>
      <c r="AA27" s="116">
        <v>1.9448398240508644</v>
      </c>
      <c r="AB27" s="116">
        <v>1.9098081161079066</v>
      </c>
      <c r="AC27" s="116">
        <v>1.886365789629628</v>
      </c>
      <c r="AD27" s="116">
        <v>1.867593568514055</v>
      </c>
      <c r="AE27" s="116">
        <v>2.0402667371925003</v>
      </c>
      <c r="AF27" s="116">
        <v>1.9394051509939452</v>
      </c>
      <c r="AG27" s="116">
        <v>1.9299523688493758</v>
      </c>
      <c r="AH27" s="116">
        <v>1.7654152816289879</v>
      </c>
      <c r="AI27" s="116">
        <v>1.7473852205304239</v>
      </c>
      <c r="AJ27" s="116">
        <v>1.6956813552442631</v>
      </c>
      <c r="AK27" s="116">
        <v>1.6663835535668496</v>
      </c>
      <c r="AL27" s="116">
        <v>1.6534435967684604</v>
      </c>
      <c r="AM27" s="116">
        <v>1.5787172161381382</v>
      </c>
      <c r="AN27" s="116">
        <v>1.5658525371136269</v>
      </c>
      <c r="AO27" s="116">
        <v>1.5932264675192955</v>
      </c>
      <c r="AP27" s="117">
        <v>1.5954770019583344</v>
      </c>
      <c r="AQ27" s="115">
        <v>1.4125640547153484E-3</v>
      </c>
      <c r="AR27" s="115">
        <v>-2.4428608215361081E-2</v>
      </c>
      <c r="AS27" s="115">
        <v>9.2098138641018355E-4</v>
      </c>
    </row>
    <row r="28" spans="1:45" ht="12" customHeight="1">
      <c r="A28" s="118" t="s">
        <v>1059</v>
      </c>
      <c r="B28" s="119">
        <v>16.578474147137797</v>
      </c>
      <c r="C28" s="119">
        <v>15.768626497551699</v>
      </c>
      <c r="D28" s="119">
        <v>15.329862520695</v>
      </c>
      <c r="E28" s="119">
        <v>16.4106018611987</v>
      </c>
      <c r="F28" s="119">
        <v>15.7615318050019</v>
      </c>
      <c r="G28" s="119">
        <v>16.301576286577642</v>
      </c>
      <c r="H28" s="119">
        <v>16.509034922035859</v>
      </c>
      <c r="I28" s="119">
        <v>16.343906455590719</v>
      </c>
      <c r="J28" s="119">
        <v>17.245934336924559</v>
      </c>
      <c r="K28" s="119">
        <v>16.879922265439788</v>
      </c>
      <c r="L28" s="119">
        <v>17.510329345394645</v>
      </c>
      <c r="M28" s="119">
        <v>18.284077389361066</v>
      </c>
      <c r="N28" s="119">
        <v>19.15670777688878</v>
      </c>
      <c r="O28" s="119">
        <v>18.595737079282692</v>
      </c>
      <c r="P28" s="119">
        <v>18.553201995929282</v>
      </c>
      <c r="Q28" s="119">
        <v>20.012254517563822</v>
      </c>
      <c r="R28" s="119">
        <v>21.372662727578653</v>
      </c>
      <c r="S28" s="119">
        <v>21.681420236479703</v>
      </c>
      <c r="T28" s="119">
        <v>21.376258847465987</v>
      </c>
      <c r="U28" s="119">
        <v>20.733155667681178</v>
      </c>
      <c r="V28" s="119">
        <v>21.043582516943346</v>
      </c>
      <c r="W28" s="119">
        <v>21.176753529374903</v>
      </c>
      <c r="X28" s="119">
        <v>19.224887563397953</v>
      </c>
      <c r="Y28" s="119">
        <v>18.79490133481956</v>
      </c>
      <c r="Z28" s="119">
        <v>17.966775569052672</v>
      </c>
      <c r="AA28" s="119">
        <v>17.697840232948863</v>
      </c>
      <c r="AB28" s="119">
        <v>16.133564742063708</v>
      </c>
      <c r="AC28" s="119">
        <v>15.494499743747475</v>
      </c>
      <c r="AD28" s="119">
        <v>14.179297298054403</v>
      </c>
      <c r="AE28" s="119">
        <v>13.999276509491148</v>
      </c>
      <c r="AF28" s="119">
        <v>13.627595402471997</v>
      </c>
      <c r="AG28" s="119">
        <v>13.893566214599655</v>
      </c>
      <c r="AH28" s="119">
        <v>14.248286710299682</v>
      </c>
      <c r="AI28" s="119">
        <v>13.701323203143048</v>
      </c>
      <c r="AJ28" s="119">
        <v>12.891921102854269</v>
      </c>
      <c r="AK28" s="119">
        <v>13.921344276255379</v>
      </c>
      <c r="AL28" s="119">
        <v>13.148796229255289</v>
      </c>
      <c r="AM28" s="119">
        <v>13.616650070721166</v>
      </c>
      <c r="AN28" s="119">
        <v>14.524626402075771</v>
      </c>
      <c r="AO28" s="119">
        <v>14.195733597745345</v>
      </c>
      <c r="AP28" s="119">
        <v>13.628963064742669</v>
      </c>
      <c r="AQ28" s="120">
        <v>-3.992541344201439E-2</v>
      </c>
      <c r="AR28" s="120">
        <v>1.3945533077146521E-3</v>
      </c>
      <c r="AS28" s="120">
        <v>7.8672530430041777E-3</v>
      </c>
    </row>
    <row r="29" spans="1:45" ht="12" customHeight="1">
      <c r="A29" s="108"/>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7"/>
      <c r="AQ29" s="115"/>
      <c r="AR29" s="115"/>
      <c r="AS29" s="115"/>
    </row>
    <row r="30" spans="1:45" ht="12" customHeight="1">
      <c r="A30" s="107" t="s">
        <v>1060</v>
      </c>
      <c r="B30" s="116" t="s">
        <v>1061</v>
      </c>
      <c r="C30" s="116" t="s">
        <v>1061</v>
      </c>
      <c r="D30" s="116" t="s">
        <v>1061</v>
      </c>
      <c r="E30" s="116" t="s">
        <v>1061</v>
      </c>
      <c r="F30" s="116" t="s">
        <v>1061</v>
      </c>
      <c r="G30" s="116" t="s">
        <v>1061</v>
      </c>
      <c r="H30" s="116" t="s">
        <v>1061</v>
      </c>
      <c r="I30" s="116" t="s">
        <v>1061</v>
      </c>
      <c r="J30" s="116" t="s">
        <v>1061</v>
      </c>
      <c r="K30" s="116" t="s">
        <v>1061</v>
      </c>
      <c r="L30" s="116" t="s">
        <v>1061</v>
      </c>
      <c r="M30" s="116">
        <v>1.254</v>
      </c>
      <c r="N30" s="116">
        <v>1.254</v>
      </c>
      <c r="O30" s="116">
        <v>1.254</v>
      </c>
      <c r="P30" s="116">
        <v>1.157</v>
      </c>
      <c r="Q30" s="116">
        <v>1.157</v>
      </c>
      <c r="R30" s="116">
        <v>1.157</v>
      </c>
      <c r="S30" s="116">
        <v>1.157</v>
      </c>
      <c r="T30" s="116">
        <v>1.157</v>
      </c>
      <c r="U30" s="116">
        <v>1.1779999999999999</v>
      </c>
      <c r="V30" s="116">
        <v>1.1779999999999999</v>
      </c>
      <c r="W30" s="116">
        <v>1.1779999999999999</v>
      </c>
      <c r="X30" s="116">
        <v>7</v>
      </c>
      <c r="Y30" s="116">
        <v>7</v>
      </c>
      <c r="Z30" s="116">
        <v>7</v>
      </c>
      <c r="AA30" s="116">
        <v>7</v>
      </c>
      <c r="AB30" s="116">
        <v>7</v>
      </c>
      <c r="AC30" s="116">
        <v>7</v>
      </c>
      <c r="AD30" s="116">
        <v>7</v>
      </c>
      <c r="AE30" s="116">
        <v>7</v>
      </c>
      <c r="AF30" s="116">
        <v>7</v>
      </c>
      <c r="AG30" s="116">
        <v>7</v>
      </c>
      <c r="AH30" s="116">
        <v>7</v>
      </c>
      <c r="AI30" s="116">
        <v>7</v>
      </c>
      <c r="AJ30" s="116">
        <v>7</v>
      </c>
      <c r="AK30" s="116">
        <v>7</v>
      </c>
      <c r="AL30" s="116">
        <v>7</v>
      </c>
      <c r="AM30" s="116">
        <v>7</v>
      </c>
      <c r="AN30" s="116">
        <v>7</v>
      </c>
      <c r="AO30" s="116">
        <v>7</v>
      </c>
      <c r="AP30" s="117">
        <v>7</v>
      </c>
      <c r="AQ30" s="115">
        <v>0</v>
      </c>
      <c r="AR30" s="115">
        <v>0</v>
      </c>
      <c r="AS30" s="115">
        <v>4.0407161600939474E-3</v>
      </c>
    </row>
    <row r="31" spans="1:45" ht="12" customHeight="1">
      <c r="A31" s="107" t="s">
        <v>1062</v>
      </c>
      <c r="B31" s="116" t="s">
        <v>1061</v>
      </c>
      <c r="C31" s="116" t="s">
        <v>1061</v>
      </c>
      <c r="D31" s="116" t="s">
        <v>1061</v>
      </c>
      <c r="E31" s="116" t="s">
        <v>1061</v>
      </c>
      <c r="F31" s="116" t="s">
        <v>1061</v>
      </c>
      <c r="G31" s="116" t="s">
        <v>1061</v>
      </c>
      <c r="H31" s="116" t="s">
        <v>1061</v>
      </c>
      <c r="I31" s="116" t="s">
        <v>1061</v>
      </c>
      <c r="J31" s="116" t="s">
        <v>1061</v>
      </c>
      <c r="K31" s="116" t="s">
        <v>1061</v>
      </c>
      <c r="L31" s="116" t="s">
        <v>1061</v>
      </c>
      <c r="M31" s="116">
        <v>5.1869999999999994</v>
      </c>
      <c r="N31" s="116">
        <v>5.1869999999999994</v>
      </c>
      <c r="O31" s="116">
        <v>5.1869999999999994</v>
      </c>
      <c r="P31" s="116">
        <v>5.3179999999999996</v>
      </c>
      <c r="Q31" s="116">
        <v>5.3179999999999996</v>
      </c>
      <c r="R31" s="116">
        <v>5.3179999999999996</v>
      </c>
      <c r="S31" s="116">
        <v>5.3179999999999996</v>
      </c>
      <c r="T31" s="116">
        <v>5.4</v>
      </c>
      <c r="U31" s="116">
        <v>5.4</v>
      </c>
      <c r="V31" s="116">
        <v>5.4</v>
      </c>
      <c r="W31" s="116">
        <v>5.4</v>
      </c>
      <c r="X31" s="116">
        <v>5.4</v>
      </c>
      <c r="Y31" s="116">
        <v>8.9999999999999982</v>
      </c>
      <c r="Z31" s="116">
        <v>8.9999999999999982</v>
      </c>
      <c r="AA31" s="116">
        <v>8.9999999999999982</v>
      </c>
      <c r="AB31" s="116">
        <v>8.9999999999999982</v>
      </c>
      <c r="AC31" s="116">
        <v>30</v>
      </c>
      <c r="AD31" s="116">
        <v>30</v>
      </c>
      <c r="AE31" s="116">
        <v>30</v>
      </c>
      <c r="AF31" s="116">
        <v>30</v>
      </c>
      <c r="AG31" s="116">
        <v>30</v>
      </c>
      <c r="AH31" s="116">
        <v>30</v>
      </c>
      <c r="AI31" s="116">
        <v>30</v>
      </c>
      <c r="AJ31" s="116">
        <v>30</v>
      </c>
      <c r="AK31" s="116">
        <v>30</v>
      </c>
      <c r="AL31" s="116">
        <v>30</v>
      </c>
      <c r="AM31" s="116">
        <v>30</v>
      </c>
      <c r="AN31" s="116">
        <v>30</v>
      </c>
      <c r="AO31" s="116">
        <v>30</v>
      </c>
      <c r="AP31" s="117">
        <v>30</v>
      </c>
      <c r="AQ31" s="115">
        <v>0</v>
      </c>
      <c r="AR31" s="115">
        <v>0</v>
      </c>
      <c r="AS31" s="115">
        <v>1.7317354971831206E-2</v>
      </c>
    </row>
    <row r="32" spans="1:45" ht="12" customHeight="1">
      <c r="A32" s="107" t="s">
        <v>242</v>
      </c>
      <c r="B32" s="116" t="s">
        <v>1061</v>
      </c>
      <c r="C32" s="116" t="s">
        <v>1061</v>
      </c>
      <c r="D32" s="116" t="s">
        <v>1061</v>
      </c>
      <c r="E32" s="116" t="s">
        <v>1061</v>
      </c>
      <c r="F32" s="116" t="s">
        <v>1061</v>
      </c>
      <c r="G32" s="116" t="s">
        <v>1061</v>
      </c>
      <c r="H32" s="116" t="s">
        <v>1061</v>
      </c>
      <c r="I32" s="116" t="s">
        <v>1061</v>
      </c>
      <c r="J32" s="116" t="s">
        <v>1061</v>
      </c>
      <c r="K32" s="116" t="s">
        <v>1061</v>
      </c>
      <c r="L32" s="116" t="s">
        <v>1061</v>
      </c>
      <c r="M32" s="116">
        <v>116.14926500000001</v>
      </c>
      <c r="N32" s="116">
        <v>116.14926500000001</v>
      </c>
      <c r="O32" s="116">
        <v>115.07668300000002</v>
      </c>
      <c r="P32" s="116">
        <v>115.07668300000002</v>
      </c>
      <c r="Q32" s="116">
        <v>113.60723100000001</v>
      </c>
      <c r="R32" s="116">
        <v>113.60723100000001</v>
      </c>
      <c r="S32" s="116">
        <v>113.1119934</v>
      </c>
      <c r="T32" s="116">
        <v>113.1119934</v>
      </c>
      <c r="U32" s="116">
        <v>112.11202259999999</v>
      </c>
      <c r="V32" s="116">
        <v>112.11202259999999</v>
      </c>
      <c r="W32" s="116">
        <v>111.295177</v>
      </c>
      <c r="X32" s="116">
        <v>109.67725059999999</v>
      </c>
      <c r="Y32" s="116">
        <v>107.76669899999999</v>
      </c>
      <c r="Z32" s="116">
        <v>105.46368</v>
      </c>
      <c r="AA32" s="116">
        <v>104.404815</v>
      </c>
      <c r="AB32" s="116">
        <v>104.03372400000001</v>
      </c>
      <c r="AC32" s="116">
        <v>106.42702900000002</v>
      </c>
      <c r="AD32" s="116">
        <v>106.36616599999999</v>
      </c>
      <c r="AE32" s="116">
        <v>105.563953</v>
      </c>
      <c r="AF32" s="116">
        <v>105.80035179999999</v>
      </c>
      <c r="AG32" s="116">
        <v>105.7094496</v>
      </c>
      <c r="AH32" s="116">
        <v>105.49158600000001</v>
      </c>
      <c r="AI32" s="116">
        <v>105.0164164</v>
      </c>
      <c r="AJ32" s="116">
        <v>103.16389199999999</v>
      </c>
      <c r="AK32" s="116">
        <v>102.37519999999999</v>
      </c>
      <c r="AL32" s="116">
        <v>106.28288999999999</v>
      </c>
      <c r="AM32" s="116">
        <v>106.591534</v>
      </c>
      <c r="AN32" s="116">
        <v>107.2207794</v>
      </c>
      <c r="AO32" s="116">
        <v>107.80423919999998</v>
      </c>
      <c r="AP32" s="117">
        <v>107.80423919999998</v>
      </c>
      <c r="AQ32" s="115">
        <v>0</v>
      </c>
      <c r="AR32" s="115">
        <v>2.1022089038733593E-3</v>
      </c>
      <c r="AS32" s="115">
        <v>6.2229475923153338E-2</v>
      </c>
    </row>
    <row r="33" spans="1:45" ht="12" customHeight="1">
      <c r="A33" s="107" t="s">
        <v>1063</v>
      </c>
      <c r="B33" s="116" t="s">
        <v>1061</v>
      </c>
      <c r="C33" s="116" t="s">
        <v>1061</v>
      </c>
      <c r="D33" s="116" t="s">
        <v>1061</v>
      </c>
      <c r="E33" s="116" t="s">
        <v>1061</v>
      </c>
      <c r="F33" s="116" t="s">
        <v>1061</v>
      </c>
      <c r="G33" s="116" t="s">
        <v>1061</v>
      </c>
      <c r="H33" s="116" t="s">
        <v>1061</v>
      </c>
      <c r="I33" s="116" t="s">
        <v>1061</v>
      </c>
      <c r="J33" s="116" t="s">
        <v>1061</v>
      </c>
      <c r="K33" s="116" t="s">
        <v>1061</v>
      </c>
      <c r="L33" s="116" t="s">
        <v>1061</v>
      </c>
      <c r="M33" s="116">
        <v>0.54579999999999995</v>
      </c>
      <c r="N33" s="116">
        <v>0.54579999999999995</v>
      </c>
      <c r="O33" s="116">
        <v>0.54579999999999995</v>
      </c>
      <c r="P33" s="116">
        <v>0.54579999999999995</v>
      </c>
      <c r="Q33" s="116">
        <v>0.54579999999999995</v>
      </c>
      <c r="R33" s="116">
        <v>0.54579999999999995</v>
      </c>
      <c r="S33" s="116">
        <v>0.54600000000000004</v>
      </c>
      <c r="T33" s="116">
        <v>0.54600000000000004</v>
      </c>
      <c r="U33" s="116">
        <v>0.54600000000000004</v>
      </c>
      <c r="V33" s="116">
        <v>0.54600000000000004</v>
      </c>
      <c r="W33" s="116">
        <v>0.54600000000000004</v>
      </c>
      <c r="X33" s="116">
        <v>0.54600000000000004</v>
      </c>
      <c r="Y33" s="116">
        <v>0.54600000000000004</v>
      </c>
      <c r="Z33" s="116">
        <v>0.54600000000000004</v>
      </c>
      <c r="AA33" s="116">
        <v>0.54600000000000004</v>
      </c>
      <c r="AB33" s="116">
        <v>0.6</v>
      </c>
      <c r="AC33" s="116">
        <v>0.6</v>
      </c>
      <c r="AD33" s="116">
        <v>0.6</v>
      </c>
      <c r="AE33" s="116">
        <v>0.6</v>
      </c>
      <c r="AF33" s="116">
        <v>0.6</v>
      </c>
      <c r="AG33" s="116">
        <v>0.6</v>
      </c>
      <c r="AH33" s="116">
        <v>0.6</v>
      </c>
      <c r="AI33" s="116">
        <v>0.6</v>
      </c>
      <c r="AJ33" s="116">
        <v>0.6</v>
      </c>
      <c r="AK33" s="116">
        <v>0.6</v>
      </c>
      <c r="AL33" s="116">
        <v>0.6</v>
      </c>
      <c r="AM33" s="116">
        <v>0.6</v>
      </c>
      <c r="AN33" s="116">
        <v>0.6</v>
      </c>
      <c r="AO33" s="116">
        <v>0.6</v>
      </c>
      <c r="AP33" s="117">
        <v>0.6</v>
      </c>
      <c r="AQ33" s="115">
        <v>0</v>
      </c>
      <c r="AR33" s="115">
        <v>0</v>
      </c>
      <c r="AS33" s="115">
        <v>3.4634709943662408E-4</v>
      </c>
    </row>
    <row r="34" spans="1:45" ht="12" customHeight="1">
      <c r="A34" s="107" t="s">
        <v>1064</v>
      </c>
      <c r="B34" s="116">
        <v>67</v>
      </c>
      <c r="C34" s="116">
        <v>63</v>
      </c>
      <c r="D34" s="116">
        <v>63</v>
      </c>
      <c r="E34" s="116">
        <v>63</v>
      </c>
      <c r="F34" s="116">
        <v>63</v>
      </c>
      <c r="G34" s="116">
        <v>63</v>
      </c>
      <c r="H34" s="116">
        <v>60.999999999999993</v>
      </c>
      <c r="I34" s="116">
        <v>59</v>
      </c>
      <c r="J34" s="116">
        <v>59</v>
      </c>
      <c r="K34" s="116">
        <v>58.5</v>
      </c>
      <c r="L34" s="116">
        <v>58.4</v>
      </c>
      <c r="M34" s="116" t="s">
        <v>1061</v>
      </c>
      <c r="N34" s="116" t="s">
        <v>1061</v>
      </c>
      <c r="O34" s="116" t="s">
        <v>1061</v>
      </c>
      <c r="P34" s="116" t="s">
        <v>1061</v>
      </c>
      <c r="Q34" s="116" t="s">
        <v>1061</v>
      </c>
      <c r="R34" s="116" t="s">
        <v>1061</v>
      </c>
      <c r="S34" s="116" t="s">
        <v>1061</v>
      </c>
      <c r="T34" s="116" t="s">
        <v>1061</v>
      </c>
      <c r="U34" s="116" t="s">
        <v>1061</v>
      </c>
      <c r="V34" s="116" t="s">
        <v>1061</v>
      </c>
      <c r="W34" s="116" t="s">
        <v>1061</v>
      </c>
      <c r="X34" s="116" t="s">
        <v>1061</v>
      </c>
      <c r="Y34" s="116" t="s">
        <v>1061</v>
      </c>
      <c r="Z34" s="116" t="s">
        <v>1061</v>
      </c>
      <c r="AA34" s="116" t="s">
        <v>1061</v>
      </c>
      <c r="AB34" s="116" t="s">
        <v>1061</v>
      </c>
      <c r="AC34" s="116" t="s">
        <v>1061</v>
      </c>
      <c r="AD34" s="116" t="s">
        <v>1061</v>
      </c>
      <c r="AE34" s="116" t="s">
        <v>1061</v>
      </c>
      <c r="AF34" s="116" t="s">
        <v>1061</v>
      </c>
      <c r="AG34" s="116" t="s">
        <v>1061</v>
      </c>
      <c r="AH34" s="116" t="s">
        <v>1061</v>
      </c>
      <c r="AI34" s="116" t="s">
        <v>1061</v>
      </c>
      <c r="AJ34" s="116" t="s">
        <v>1061</v>
      </c>
      <c r="AK34" s="116" t="s">
        <v>1061</v>
      </c>
      <c r="AL34" s="116" t="s">
        <v>1061</v>
      </c>
      <c r="AM34" s="116" t="s">
        <v>1061</v>
      </c>
      <c r="AN34" s="116" t="s">
        <v>1061</v>
      </c>
      <c r="AO34" s="116" t="s">
        <v>1061</v>
      </c>
      <c r="AP34" s="117" t="s">
        <v>1061</v>
      </c>
      <c r="AQ34" s="115" t="s">
        <v>1061</v>
      </c>
      <c r="AR34" s="115" t="s">
        <v>1061</v>
      </c>
      <c r="AS34" s="115" t="s">
        <v>1061</v>
      </c>
    </row>
    <row r="35" spans="1:45" ht="12" customHeight="1">
      <c r="A35" s="107" t="s">
        <v>1065</v>
      </c>
      <c r="B35" s="116" t="s">
        <v>1061</v>
      </c>
      <c r="C35" s="116" t="s">
        <v>1061</v>
      </c>
      <c r="D35" s="116" t="s">
        <v>1061</v>
      </c>
      <c r="E35" s="116" t="s">
        <v>1061</v>
      </c>
      <c r="F35" s="116" t="s">
        <v>1061</v>
      </c>
      <c r="G35" s="116" t="s">
        <v>1061</v>
      </c>
      <c r="H35" s="116" t="s">
        <v>1061</v>
      </c>
      <c r="I35" s="116" t="s">
        <v>1061</v>
      </c>
      <c r="J35" s="116" t="s">
        <v>1061</v>
      </c>
      <c r="K35" s="116" t="s">
        <v>1061</v>
      </c>
      <c r="L35" s="116" t="s">
        <v>1061</v>
      </c>
      <c r="M35" s="116">
        <v>0.26219999999999999</v>
      </c>
      <c r="N35" s="116">
        <v>0.26219999999999999</v>
      </c>
      <c r="O35" s="116">
        <v>0.26219999999999999</v>
      </c>
      <c r="P35" s="116">
        <v>0.26219999999999999</v>
      </c>
      <c r="Q35" s="116">
        <v>0.26200000000000001</v>
      </c>
      <c r="R35" s="116">
        <v>0.59420000000000006</v>
      </c>
      <c r="S35" s="116">
        <v>0.59399999999999997</v>
      </c>
      <c r="T35" s="116">
        <v>0.59399999999999997</v>
      </c>
      <c r="U35" s="116">
        <v>0.59399999999999997</v>
      </c>
      <c r="V35" s="116">
        <v>0.59399999999999997</v>
      </c>
      <c r="W35" s="116">
        <v>0.59399999999999997</v>
      </c>
      <c r="X35" s="116">
        <v>0.59399999999999997</v>
      </c>
      <c r="Y35" s="116">
        <v>0.59399999999999997</v>
      </c>
      <c r="Z35" s="116">
        <v>0.59399999999999997</v>
      </c>
      <c r="AA35" s="116">
        <v>0.59399999999999997</v>
      </c>
      <c r="AB35" s="116">
        <v>0.59399999999999997</v>
      </c>
      <c r="AC35" s="116">
        <v>0.59399999999999997</v>
      </c>
      <c r="AD35" s="116">
        <v>0.59399999999999997</v>
      </c>
      <c r="AE35" s="116">
        <v>0.59399999999999997</v>
      </c>
      <c r="AF35" s="116">
        <v>0.59399999999999997</v>
      </c>
      <c r="AG35" s="116">
        <v>0.59399999999999997</v>
      </c>
      <c r="AH35" s="116">
        <v>0.59399999999999997</v>
      </c>
      <c r="AI35" s="116">
        <v>0.59399999999999997</v>
      </c>
      <c r="AJ35" s="116">
        <v>0.59399999999999997</v>
      </c>
      <c r="AK35" s="116">
        <v>0.59399999999999997</v>
      </c>
      <c r="AL35" s="116">
        <v>0.59399999999999997</v>
      </c>
      <c r="AM35" s="116">
        <v>0.59399999999999997</v>
      </c>
      <c r="AN35" s="116">
        <v>0.59399999999999997</v>
      </c>
      <c r="AO35" s="116">
        <v>0.59399999999999997</v>
      </c>
      <c r="AP35" s="116">
        <v>0.59399999999999997</v>
      </c>
      <c r="AQ35" s="115">
        <v>0</v>
      </c>
      <c r="AR35" s="115">
        <v>0</v>
      </c>
      <c r="AS35" s="115">
        <v>3.4288362844225786E-4</v>
      </c>
    </row>
    <row r="36" spans="1:45" ht="12" customHeight="1">
      <c r="A36" s="107" t="s">
        <v>1066</v>
      </c>
      <c r="B36" s="116" t="s">
        <v>1061</v>
      </c>
      <c r="C36" s="116" t="s">
        <v>1061</v>
      </c>
      <c r="D36" s="116" t="s">
        <v>1061</v>
      </c>
      <c r="E36" s="116" t="s">
        <v>1061</v>
      </c>
      <c r="F36" s="116" t="s">
        <v>1061</v>
      </c>
      <c r="G36" s="116" t="s">
        <v>1061</v>
      </c>
      <c r="H36" s="116" t="s">
        <v>1061</v>
      </c>
      <c r="I36" s="116" t="s">
        <v>1061</v>
      </c>
      <c r="J36" s="116" t="s">
        <v>1061</v>
      </c>
      <c r="K36" s="116" t="s">
        <v>1061</v>
      </c>
      <c r="L36" s="116" t="s">
        <v>1061</v>
      </c>
      <c r="M36" s="116">
        <v>0.24959999999999999</v>
      </c>
      <c r="N36" s="116">
        <v>0.24959999999999999</v>
      </c>
      <c r="O36" s="116">
        <v>0.24959999999999999</v>
      </c>
      <c r="P36" s="116">
        <v>0.24959999999999999</v>
      </c>
      <c r="Q36" s="116">
        <v>0.24959999999999999</v>
      </c>
      <c r="R36" s="116">
        <v>0.24959999999999999</v>
      </c>
      <c r="S36" s="116">
        <v>0.25</v>
      </c>
      <c r="T36" s="116">
        <v>0.25</v>
      </c>
      <c r="U36" s="116">
        <v>0.25</v>
      </c>
      <c r="V36" s="116">
        <v>0.25</v>
      </c>
      <c r="W36" s="116">
        <v>0.25</v>
      </c>
      <c r="X36" s="116">
        <v>0.25</v>
      </c>
      <c r="Y36" s="116">
        <v>0.25</v>
      </c>
      <c r="Z36" s="116">
        <v>0.25</v>
      </c>
      <c r="AA36" s="116">
        <v>0.25</v>
      </c>
      <c r="AB36" s="116">
        <v>0.25</v>
      </c>
      <c r="AC36" s="116">
        <v>0.25</v>
      </c>
      <c r="AD36" s="116">
        <v>0.25</v>
      </c>
      <c r="AE36" s="116">
        <v>0.25</v>
      </c>
      <c r="AF36" s="116">
        <v>0.25</v>
      </c>
      <c r="AG36" s="116">
        <v>0.25</v>
      </c>
      <c r="AH36" s="116">
        <v>0.25</v>
      </c>
      <c r="AI36" s="116">
        <v>0.25</v>
      </c>
      <c r="AJ36" s="116">
        <v>0.25</v>
      </c>
      <c r="AK36" s="116">
        <v>0.25</v>
      </c>
      <c r="AL36" s="116">
        <v>0.25</v>
      </c>
      <c r="AM36" s="116">
        <v>0.25</v>
      </c>
      <c r="AN36" s="116">
        <v>0.25</v>
      </c>
      <c r="AO36" s="116">
        <v>0.25</v>
      </c>
      <c r="AP36" s="117">
        <v>0.25</v>
      </c>
      <c r="AQ36" s="115">
        <v>0</v>
      </c>
      <c r="AR36" s="115">
        <v>0</v>
      </c>
      <c r="AS36" s="115">
        <v>1.4431129143192671E-4</v>
      </c>
    </row>
    <row r="37" spans="1:45" s="108" customFormat="1" ht="12" customHeight="1">
      <c r="A37" s="118" t="s">
        <v>1067</v>
      </c>
      <c r="B37" s="119">
        <v>67</v>
      </c>
      <c r="C37" s="119">
        <v>63</v>
      </c>
      <c r="D37" s="119">
        <v>63</v>
      </c>
      <c r="E37" s="119">
        <v>63</v>
      </c>
      <c r="F37" s="119">
        <v>63</v>
      </c>
      <c r="G37" s="119">
        <v>63</v>
      </c>
      <c r="H37" s="119">
        <v>60.999999999999993</v>
      </c>
      <c r="I37" s="119">
        <v>59</v>
      </c>
      <c r="J37" s="119">
        <v>59</v>
      </c>
      <c r="K37" s="119">
        <v>58.5</v>
      </c>
      <c r="L37" s="119">
        <v>58.4</v>
      </c>
      <c r="M37" s="119">
        <v>123.64786500000001</v>
      </c>
      <c r="N37" s="119">
        <v>123.64786500000001</v>
      </c>
      <c r="O37" s="119">
        <v>122.57528300000003</v>
      </c>
      <c r="P37" s="119">
        <v>122.60928300000002</v>
      </c>
      <c r="Q37" s="119">
        <v>121.13963100000001</v>
      </c>
      <c r="R37" s="119">
        <v>121.47183100000001</v>
      </c>
      <c r="S37" s="119">
        <v>120.9769934</v>
      </c>
      <c r="T37" s="119">
        <v>121.05899340000001</v>
      </c>
      <c r="U37" s="119">
        <v>120.08002259999999</v>
      </c>
      <c r="V37" s="119">
        <v>120.08002259999999</v>
      </c>
      <c r="W37" s="119">
        <v>119.263177</v>
      </c>
      <c r="X37" s="119">
        <v>123.4672506</v>
      </c>
      <c r="Y37" s="119">
        <v>125.15669899999999</v>
      </c>
      <c r="Z37" s="119">
        <v>122.85368</v>
      </c>
      <c r="AA37" s="119">
        <v>121.794815</v>
      </c>
      <c r="AB37" s="119">
        <v>121.47772399999999</v>
      </c>
      <c r="AC37" s="119">
        <v>144.87102900000002</v>
      </c>
      <c r="AD37" s="119">
        <v>144.81016600000001</v>
      </c>
      <c r="AE37" s="119">
        <v>144.00795300000001</v>
      </c>
      <c r="AF37" s="119">
        <v>144.24435179999998</v>
      </c>
      <c r="AG37" s="119">
        <v>144.15344960000002</v>
      </c>
      <c r="AH37" s="119">
        <v>143.93558600000003</v>
      </c>
      <c r="AI37" s="119">
        <v>143.46041640000001</v>
      </c>
      <c r="AJ37" s="119">
        <v>141.60789199999999</v>
      </c>
      <c r="AK37" s="119">
        <v>140.8192</v>
      </c>
      <c r="AL37" s="119">
        <v>144.72689</v>
      </c>
      <c r="AM37" s="119">
        <v>145.03553400000001</v>
      </c>
      <c r="AN37" s="119">
        <v>145.66477940000001</v>
      </c>
      <c r="AO37" s="119">
        <v>146.24823919999997</v>
      </c>
      <c r="AP37" s="119">
        <v>146.24823919999997</v>
      </c>
      <c r="AQ37" s="120">
        <v>0</v>
      </c>
      <c r="AR37" s="120">
        <v>1.544884022079529E-3</v>
      </c>
      <c r="AS37" s="120">
        <v>8.4421089074389291E-2</v>
      </c>
    </row>
    <row r="38" spans="1:45" ht="12" customHeight="1">
      <c r="A38" s="108"/>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7"/>
      <c r="AQ38" s="115"/>
      <c r="AR38" s="115"/>
      <c r="AS38" s="115"/>
    </row>
    <row r="39" spans="1:45" ht="12" customHeight="1">
      <c r="A39" s="107" t="s">
        <v>1068</v>
      </c>
      <c r="B39" s="116">
        <v>58.295999999999992</v>
      </c>
      <c r="C39" s="116">
        <v>57.02</v>
      </c>
      <c r="D39" s="116">
        <v>56.148000000000003</v>
      </c>
      <c r="E39" s="116">
        <v>55.256999999999998</v>
      </c>
      <c r="F39" s="116">
        <v>58.874000000000002</v>
      </c>
      <c r="G39" s="116">
        <v>59</v>
      </c>
      <c r="H39" s="116">
        <v>92.86</v>
      </c>
      <c r="I39" s="116">
        <v>92.86</v>
      </c>
      <c r="J39" s="116">
        <v>92.86</v>
      </c>
      <c r="K39" s="116">
        <v>92.86</v>
      </c>
      <c r="L39" s="116">
        <v>92.85</v>
      </c>
      <c r="M39" s="116">
        <v>92.86</v>
      </c>
      <c r="N39" s="116">
        <v>92.86</v>
      </c>
      <c r="O39" s="116">
        <v>92.86</v>
      </c>
      <c r="P39" s="116">
        <v>94.3</v>
      </c>
      <c r="Q39" s="116">
        <v>93.7</v>
      </c>
      <c r="R39" s="116">
        <v>92.6</v>
      </c>
      <c r="S39" s="116">
        <v>92.6</v>
      </c>
      <c r="T39" s="116">
        <v>93.7</v>
      </c>
      <c r="U39" s="116">
        <v>93.1</v>
      </c>
      <c r="V39" s="116">
        <v>99.53</v>
      </c>
      <c r="W39" s="116">
        <v>99.08</v>
      </c>
      <c r="X39" s="116">
        <v>130.69</v>
      </c>
      <c r="Y39" s="116">
        <v>133.25</v>
      </c>
      <c r="Z39" s="116">
        <v>132.74</v>
      </c>
      <c r="AA39" s="116">
        <v>137.49</v>
      </c>
      <c r="AB39" s="116">
        <v>138.4</v>
      </c>
      <c r="AC39" s="116">
        <v>136.15</v>
      </c>
      <c r="AD39" s="116">
        <v>137.62</v>
      </c>
      <c r="AE39" s="116">
        <v>137.01</v>
      </c>
      <c r="AF39" s="116">
        <v>151.16999999999999</v>
      </c>
      <c r="AG39" s="116">
        <v>154.58000000000001</v>
      </c>
      <c r="AH39" s="116">
        <v>157.30000000000004</v>
      </c>
      <c r="AI39" s="116">
        <v>157.80000000000001</v>
      </c>
      <c r="AJ39" s="116">
        <v>157.53</v>
      </c>
      <c r="AK39" s="116">
        <v>158.4</v>
      </c>
      <c r="AL39" s="116">
        <v>157.19999999999999</v>
      </c>
      <c r="AM39" s="116">
        <v>155.60000000000002</v>
      </c>
      <c r="AN39" s="116">
        <v>155.60000000000002</v>
      </c>
      <c r="AO39" s="116">
        <v>157.80000000000001</v>
      </c>
      <c r="AP39" s="117">
        <v>157.80000000000001</v>
      </c>
      <c r="AQ39" s="115">
        <v>0</v>
      </c>
      <c r="AR39" s="115">
        <v>1.4227713267760844E-2</v>
      </c>
      <c r="AS39" s="115">
        <v>9.1089287151832149E-2</v>
      </c>
    </row>
    <row r="40" spans="1:45" ht="12" customHeight="1">
      <c r="A40" s="107" t="s">
        <v>1069</v>
      </c>
      <c r="B40" s="116">
        <v>30</v>
      </c>
      <c r="C40" s="116">
        <v>31.999999999999996</v>
      </c>
      <c r="D40" s="116">
        <v>59</v>
      </c>
      <c r="E40" s="116">
        <v>65.000000000000014</v>
      </c>
      <c r="F40" s="116">
        <v>65.000000000000014</v>
      </c>
      <c r="G40" s="116">
        <v>65.000000000000014</v>
      </c>
      <c r="H40" s="116">
        <v>72</v>
      </c>
      <c r="I40" s="116">
        <v>100</v>
      </c>
      <c r="J40" s="116">
        <v>100</v>
      </c>
      <c r="K40" s="116">
        <v>100</v>
      </c>
      <c r="L40" s="116">
        <v>100</v>
      </c>
      <c r="M40" s="116">
        <v>100</v>
      </c>
      <c r="N40" s="116">
        <v>100</v>
      </c>
      <c r="O40" s="116">
        <v>100</v>
      </c>
      <c r="P40" s="116">
        <v>100</v>
      </c>
      <c r="Q40" s="116">
        <v>100</v>
      </c>
      <c r="R40" s="116">
        <v>112</v>
      </c>
      <c r="S40" s="116">
        <v>112.50000000000001</v>
      </c>
      <c r="T40" s="116">
        <v>112.50000000000001</v>
      </c>
      <c r="U40" s="116">
        <v>112.50000000000001</v>
      </c>
      <c r="V40" s="116">
        <v>112.50000000000001</v>
      </c>
      <c r="W40" s="116">
        <v>115</v>
      </c>
      <c r="X40" s="116">
        <v>115</v>
      </c>
      <c r="Y40" s="116">
        <v>115</v>
      </c>
      <c r="Z40" s="116">
        <v>115</v>
      </c>
      <c r="AA40" s="116">
        <v>115</v>
      </c>
      <c r="AB40" s="116">
        <v>115</v>
      </c>
      <c r="AC40" s="116">
        <v>115</v>
      </c>
      <c r="AD40" s="116">
        <v>115</v>
      </c>
      <c r="AE40" s="116">
        <v>115</v>
      </c>
      <c r="AF40" s="116">
        <v>115</v>
      </c>
      <c r="AG40" s="116">
        <v>143.1</v>
      </c>
      <c r="AH40" s="116">
        <v>140.30000000000004</v>
      </c>
      <c r="AI40" s="116">
        <v>144.21100000000001</v>
      </c>
      <c r="AJ40" s="116">
        <v>143.06899999999999</v>
      </c>
      <c r="AK40" s="116">
        <v>142.50299999999999</v>
      </c>
      <c r="AL40" s="116">
        <v>148.76600000000002</v>
      </c>
      <c r="AM40" s="116">
        <v>147.22300000000001</v>
      </c>
      <c r="AN40" s="116">
        <v>145.01900000000001</v>
      </c>
      <c r="AO40" s="116">
        <v>145.01900000000001</v>
      </c>
      <c r="AP40" s="117">
        <v>145.01900000000001</v>
      </c>
      <c r="AQ40" s="115">
        <v>0</v>
      </c>
      <c r="AR40" s="115">
        <v>2.346431923842629E-2</v>
      </c>
      <c r="AS40" s="115">
        <v>8.3711516688666318E-2</v>
      </c>
    </row>
    <row r="41" spans="1:45" ht="12" customHeight="1">
      <c r="A41" s="107" t="s">
        <v>1070</v>
      </c>
      <c r="B41" s="116">
        <v>67.930000000000007</v>
      </c>
      <c r="C41" s="116">
        <v>67.730000000000018</v>
      </c>
      <c r="D41" s="116">
        <v>67.150000000000006</v>
      </c>
      <c r="E41" s="116">
        <v>67</v>
      </c>
      <c r="F41" s="116">
        <v>92.71</v>
      </c>
      <c r="G41" s="116">
        <v>92.463999999999999</v>
      </c>
      <c r="H41" s="116">
        <v>94.522000000000006</v>
      </c>
      <c r="I41" s="116">
        <v>94.525000000000006</v>
      </c>
      <c r="J41" s="116">
        <v>94.525000000000006</v>
      </c>
      <c r="K41" s="116">
        <v>97.125000000000014</v>
      </c>
      <c r="L41" s="116">
        <v>97.025000000000006</v>
      </c>
      <c r="M41" s="116">
        <v>96.5</v>
      </c>
      <c r="N41" s="116">
        <v>96.5</v>
      </c>
      <c r="O41" s="116">
        <v>96.5</v>
      </c>
      <c r="P41" s="116">
        <v>96.5</v>
      </c>
      <c r="Q41" s="116">
        <v>96.5</v>
      </c>
      <c r="R41" s="116">
        <v>96.5</v>
      </c>
      <c r="S41" s="116">
        <v>96.5</v>
      </c>
      <c r="T41" s="116">
        <v>96.5</v>
      </c>
      <c r="U41" s="116">
        <v>96.5</v>
      </c>
      <c r="V41" s="116">
        <v>96.5</v>
      </c>
      <c r="W41" s="116">
        <v>96.5</v>
      </c>
      <c r="X41" s="116">
        <v>96.5</v>
      </c>
      <c r="Y41" s="116">
        <v>99</v>
      </c>
      <c r="Z41" s="116">
        <v>101.5</v>
      </c>
      <c r="AA41" s="116">
        <v>101.5</v>
      </c>
      <c r="AB41" s="116">
        <v>101.5</v>
      </c>
      <c r="AC41" s="116">
        <v>101.5</v>
      </c>
      <c r="AD41" s="116">
        <v>101.5</v>
      </c>
      <c r="AE41" s="116">
        <v>101.5</v>
      </c>
      <c r="AF41" s="116">
        <v>101.5</v>
      </c>
      <c r="AG41" s="116">
        <v>101.5</v>
      </c>
      <c r="AH41" s="116">
        <v>101.5</v>
      </c>
      <c r="AI41" s="116">
        <v>101.5</v>
      </c>
      <c r="AJ41" s="116">
        <v>101.5</v>
      </c>
      <c r="AK41" s="116">
        <v>101.5</v>
      </c>
      <c r="AL41" s="116">
        <v>101.5</v>
      </c>
      <c r="AM41" s="116">
        <v>101.5</v>
      </c>
      <c r="AN41" s="116">
        <v>101.5</v>
      </c>
      <c r="AO41" s="116">
        <v>101.5</v>
      </c>
      <c r="AP41" s="117">
        <v>101.5</v>
      </c>
      <c r="AQ41" s="115">
        <v>0</v>
      </c>
      <c r="AR41" s="115">
        <v>0</v>
      </c>
      <c r="AS41" s="115">
        <v>5.8590384321362245E-2</v>
      </c>
    </row>
    <row r="42" spans="1:45" ht="12" customHeight="1">
      <c r="A42" s="107" t="s">
        <v>1071</v>
      </c>
      <c r="B42" s="116">
        <v>2.484</v>
      </c>
      <c r="C42" s="116">
        <v>2.9420000000000002</v>
      </c>
      <c r="D42" s="116">
        <v>3.4</v>
      </c>
      <c r="E42" s="116">
        <v>3.4999999999999996</v>
      </c>
      <c r="F42" s="116">
        <v>3.9000000000000004</v>
      </c>
      <c r="G42" s="116">
        <v>4.0670000000000002</v>
      </c>
      <c r="H42" s="116">
        <v>4.0370000000000008</v>
      </c>
      <c r="I42" s="116">
        <v>4.1052000000000008</v>
      </c>
      <c r="J42" s="116">
        <v>4.1420000000000003</v>
      </c>
      <c r="K42" s="116">
        <v>4.2909000000000006</v>
      </c>
      <c r="L42" s="116">
        <v>4.3530000000000006</v>
      </c>
      <c r="M42" s="116">
        <v>4.3499999999999996</v>
      </c>
      <c r="N42" s="116">
        <v>4.74</v>
      </c>
      <c r="O42" s="116">
        <v>5</v>
      </c>
      <c r="P42" s="116">
        <v>5.1000000000000005</v>
      </c>
      <c r="Q42" s="116">
        <v>5.2</v>
      </c>
      <c r="R42" s="116">
        <v>5.3</v>
      </c>
      <c r="S42" s="116">
        <v>5.399</v>
      </c>
      <c r="T42" s="116">
        <v>5.4000000000000012</v>
      </c>
      <c r="U42" s="116">
        <v>5.7439999999999989</v>
      </c>
      <c r="V42" s="116">
        <v>5.8479999999999999</v>
      </c>
      <c r="W42" s="116">
        <v>5.9000000000000012</v>
      </c>
      <c r="X42" s="116">
        <v>5.7060000000000013</v>
      </c>
      <c r="Y42" s="116">
        <v>5.5720000000000001</v>
      </c>
      <c r="Z42" s="116">
        <v>5.5720000000000001</v>
      </c>
      <c r="AA42" s="116">
        <v>5.5720000000000001</v>
      </c>
      <c r="AB42" s="116">
        <v>5.5720000000000001</v>
      </c>
      <c r="AC42" s="116">
        <v>5.5720000000000001</v>
      </c>
      <c r="AD42" s="116">
        <v>5.5720000000000001</v>
      </c>
      <c r="AE42" s="116">
        <v>5.5</v>
      </c>
      <c r="AF42" s="116">
        <v>5.5</v>
      </c>
      <c r="AG42" s="116">
        <v>5.5</v>
      </c>
      <c r="AH42" s="116">
        <v>5.5</v>
      </c>
      <c r="AI42" s="116">
        <v>4.9743000000000004</v>
      </c>
      <c r="AJ42" s="116">
        <v>5.1509999999999998</v>
      </c>
      <c r="AK42" s="116">
        <v>5.306</v>
      </c>
      <c r="AL42" s="116">
        <v>5.3730000000000002</v>
      </c>
      <c r="AM42" s="116">
        <v>5.3730000000000002</v>
      </c>
      <c r="AN42" s="116">
        <v>5.3730000000000002</v>
      </c>
      <c r="AO42" s="116">
        <v>5.3730000000000002</v>
      </c>
      <c r="AP42" s="117">
        <v>5.3730000000000002</v>
      </c>
      <c r="AQ42" s="115">
        <v>0</v>
      </c>
      <c r="AR42" s="115">
        <v>-2.3334413323666814E-3</v>
      </c>
      <c r="AS42" s="115">
        <v>3.1015382754549688E-3</v>
      </c>
    </row>
    <row r="43" spans="1:45" ht="12" customHeight="1">
      <c r="A43" s="107" t="s">
        <v>1072</v>
      </c>
      <c r="B43" s="116">
        <v>3.585</v>
      </c>
      <c r="C43" s="116">
        <v>3.45</v>
      </c>
      <c r="D43" s="116">
        <v>3.4249999999999998</v>
      </c>
      <c r="E43" s="116">
        <v>3.33</v>
      </c>
      <c r="F43" s="116">
        <v>4.5</v>
      </c>
      <c r="G43" s="116">
        <v>4.5</v>
      </c>
      <c r="H43" s="116">
        <v>4.5</v>
      </c>
      <c r="I43" s="116">
        <v>4.5</v>
      </c>
      <c r="J43" s="116">
        <v>4.5</v>
      </c>
      <c r="K43" s="116">
        <v>4.5</v>
      </c>
      <c r="L43" s="116">
        <v>2.9929999999999999</v>
      </c>
      <c r="M43" s="116">
        <v>2.9929999999999999</v>
      </c>
      <c r="N43" s="116">
        <v>3.121</v>
      </c>
      <c r="O43" s="116">
        <v>3.121</v>
      </c>
      <c r="P43" s="116">
        <v>3.5</v>
      </c>
      <c r="Q43" s="116">
        <v>3.7</v>
      </c>
      <c r="R43" s="116">
        <v>3.7</v>
      </c>
      <c r="S43" s="116">
        <v>12.5</v>
      </c>
      <c r="T43" s="116">
        <v>13.4855</v>
      </c>
      <c r="U43" s="116">
        <v>13.102799999999998</v>
      </c>
      <c r="V43" s="116">
        <v>16.866700000000002</v>
      </c>
      <c r="W43" s="116">
        <v>16.836100000000002</v>
      </c>
      <c r="X43" s="116">
        <v>27.595600000000001</v>
      </c>
      <c r="Y43" s="116">
        <v>27.015699999999999</v>
      </c>
      <c r="Z43" s="116">
        <v>26.864820000000002</v>
      </c>
      <c r="AA43" s="116">
        <v>27.910200000000003</v>
      </c>
      <c r="AB43" s="116">
        <v>27.436199999999999</v>
      </c>
      <c r="AC43" s="116">
        <v>27.323</v>
      </c>
      <c r="AD43" s="116">
        <v>26.832999999999998</v>
      </c>
      <c r="AE43" s="116">
        <v>25.907</v>
      </c>
      <c r="AF43" s="116">
        <v>24.683999999999997</v>
      </c>
      <c r="AG43" s="116">
        <v>23.900000000000002</v>
      </c>
      <c r="AH43" s="116">
        <v>25.229000000000003</v>
      </c>
      <c r="AI43" s="116">
        <v>25.063000000000002</v>
      </c>
      <c r="AJ43" s="116">
        <v>25.704999999999998</v>
      </c>
      <c r="AK43" s="116">
        <v>25.243999999999996</v>
      </c>
      <c r="AL43" s="116">
        <v>25.243999999999996</v>
      </c>
      <c r="AM43" s="116">
        <v>25.243999999999996</v>
      </c>
      <c r="AN43" s="116">
        <v>25.243999999999996</v>
      </c>
      <c r="AO43" s="116">
        <v>25.243999999999996</v>
      </c>
      <c r="AP43" s="117">
        <v>25.243999999999996</v>
      </c>
      <c r="AQ43" s="115">
        <v>0</v>
      </c>
      <c r="AR43" s="115">
        <v>-2.5891123257848481E-3</v>
      </c>
      <c r="AS43" s="115">
        <v>1.457197696363023E-2</v>
      </c>
    </row>
    <row r="44" spans="1:45" ht="12" customHeight="1">
      <c r="A44" s="107" t="s">
        <v>1073</v>
      </c>
      <c r="B44" s="116">
        <v>168.03</v>
      </c>
      <c r="C44" s="116">
        <v>167.85</v>
      </c>
      <c r="D44" s="116">
        <v>165.48400000000001</v>
      </c>
      <c r="E44" s="116">
        <v>168.84800000000001</v>
      </c>
      <c r="F44" s="116">
        <v>171.71</v>
      </c>
      <c r="G44" s="116">
        <v>171.49</v>
      </c>
      <c r="H44" s="116">
        <v>169.744</v>
      </c>
      <c r="I44" s="116">
        <v>169.58500000000004</v>
      </c>
      <c r="J44" s="116">
        <v>254.989</v>
      </c>
      <c r="K44" s="116">
        <v>260.05000000000007</v>
      </c>
      <c r="L44" s="116">
        <v>260.34200000000004</v>
      </c>
      <c r="M44" s="116">
        <v>260.93600000000004</v>
      </c>
      <c r="N44" s="116">
        <v>261.20299999999997</v>
      </c>
      <c r="O44" s="116">
        <v>261.35500000000002</v>
      </c>
      <c r="P44" s="116">
        <v>261.37400000000002</v>
      </c>
      <c r="Q44" s="116">
        <v>261.45</v>
      </c>
      <c r="R44" s="116">
        <v>261.44400000000002</v>
      </c>
      <c r="S44" s="116">
        <v>261.541</v>
      </c>
      <c r="T44" s="116">
        <v>261.54199999999997</v>
      </c>
      <c r="U44" s="116">
        <v>262.78399999999999</v>
      </c>
      <c r="V44" s="116">
        <v>262.76600000000002</v>
      </c>
      <c r="W44" s="116">
        <v>262.69700000000006</v>
      </c>
      <c r="X44" s="116">
        <v>262.79000000000002</v>
      </c>
      <c r="Y44" s="116">
        <v>262.73000000000008</v>
      </c>
      <c r="Z44" s="116">
        <v>264.31</v>
      </c>
      <c r="AA44" s="116">
        <v>264.21100000000001</v>
      </c>
      <c r="AB44" s="116">
        <v>264.25099999999998</v>
      </c>
      <c r="AC44" s="116">
        <v>264.20899999999995</v>
      </c>
      <c r="AD44" s="116">
        <v>264.06299999999999</v>
      </c>
      <c r="AE44" s="116">
        <v>264.59000000000003</v>
      </c>
      <c r="AF44" s="116">
        <v>264.51600000000002</v>
      </c>
      <c r="AG44" s="116">
        <v>265.40499999999997</v>
      </c>
      <c r="AH44" s="116">
        <v>265.85000000000002</v>
      </c>
      <c r="AI44" s="116">
        <v>265.78899999999999</v>
      </c>
      <c r="AJ44" s="116">
        <v>266.57799999999997</v>
      </c>
      <c r="AK44" s="116">
        <v>266.45499999999998</v>
      </c>
      <c r="AL44" s="116">
        <v>266.20800000000003</v>
      </c>
      <c r="AM44" s="116">
        <v>295.95800000000003</v>
      </c>
      <c r="AN44" s="116">
        <v>297.67099999999999</v>
      </c>
      <c r="AO44" s="116">
        <v>297.57799999999997</v>
      </c>
      <c r="AP44" s="117">
        <v>297.52699999999999</v>
      </c>
      <c r="AQ44" s="115">
        <v>-1.7138363723123717E-4</v>
      </c>
      <c r="AR44" s="115">
        <v>1.1818788153708182E-2</v>
      </c>
      <c r="AS44" s="115">
        <v>0.17174602242346743</v>
      </c>
    </row>
    <row r="45" spans="1:45" ht="12" customHeight="1">
      <c r="A45" s="107" t="s">
        <v>1074</v>
      </c>
      <c r="B45" s="116">
        <v>1.4520280000000001</v>
      </c>
      <c r="C45" s="116">
        <v>1.89</v>
      </c>
      <c r="D45" s="116">
        <v>1.75</v>
      </c>
      <c r="E45" s="116">
        <v>1.46</v>
      </c>
      <c r="F45" s="116">
        <v>1.3975</v>
      </c>
      <c r="G45" s="116">
        <v>1.54</v>
      </c>
      <c r="H45" s="116">
        <v>1.62</v>
      </c>
      <c r="I45" s="116">
        <v>1.72</v>
      </c>
      <c r="J45" s="116">
        <v>1.8</v>
      </c>
      <c r="K45" s="116">
        <v>2</v>
      </c>
      <c r="L45" s="116">
        <v>1.8799999999999997</v>
      </c>
      <c r="M45" s="116">
        <v>3</v>
      </c>
      <c r="N45" s="116">
        <v>3</v>
      </c>
      <c r="O45" s="116">
        <v>2.95</v>
      </c>
      <c r="P45" s="116">
        <v>2.65</v>
      </c>
      <c r="Q45" s="116">
        <v>2.5584000000000002</v>
      </c>
      <c r="R45" s="116">
        <v>2.4500000000000002</v>
      </c>
      <c r="S45" s="116">
        <v>2.3449999999999998</v>
      </c>
      <c r="T45" s="116">
        <v>2.2999999999999998</v>
      </c>
      <c r="U45" s="116">
        <v>2.2999999999999998</v>
      </c>
      <c r="V45" s="116">
        <v>2.3250000000000002</v>
      </c>
      <c r="W45" s="116">
        <v>2.3250000000000002</v>
      </c>
      <c r="X45" s="116">
        <v>2.2799999999999998</v>
      </c>
      <c r="Y45" s="116">
        <v>2.3949999999999996</v>
      </c>
      <c r="Z45" s="116">
        <v>3.1589999999999998</v>
      </c>
      <c r="AA45" s="116">
        <v>3</v>
      </c>
      <c r="AB45" s="116">
        <v>3</v>
      </c>
      <c r="AC45" s="116">
        <v>2.5</v>
      </c>
      <c r="AD45" s="116">
        <v>2.5</v>
      </c>
      <c r="AE45" s="116">
        <v>2.5</v>
      </c>
      <c r="AF45" s="116">
        <v>2.5</v>
      </c>
      <c r="AG45" s="116">
        <v>2.5</v>
      </c>
      <c r="AH45" s="116">
        <v>2.5</v>
      </c>
      <c r="AI45" s="116">
        <v>2.5</v>
      </c>
      <c r="AJ45" s="116">
        <v>2.5</v>
      </c>
      <c r="AK45" s="116">
        <v>2.5</v>
      </c>
      <c r="AL45" s="116">
        <v>2.5</v>
      </c>
      <c r="AM45" s="116">
        <v>2.5</v>
      </c>
      <c r="AN45" s="116">
        <v>2.5</v>
      </c>
      <c r="AO45" s="116">
        <v>2.5</v>
      </c>
      <c r="AP45" s="117">
        <v>2.5</v>
      </c>
      <c r="AQ45" s="115">
        <v>0</v>
      </c>
      <c r="AR45" s="115">
        <v>0</v>
      </c>
      <c r="AS45" s="115">
        <v>1.4431129143192671E-3</v>
      </c>
    </row>
    <row r="46" spans="1:45" ht="12" customHeight="1">
      <c r="A46" s="107" t="s">
        <v>1075</v>
      </c>
      <c r="B46" s="116">
        <v>30.41</v>
      </c>
      <c r="C46" s="116">
        <v>32.176000000000009</v>
      </c>
      <c r="D46" s="116">
        <v>32.353999999999999</v>
      </c>
      <c r="E46" s="116">
        <v>32.340000000000003</v>
      </c>
      <c r="F46" s="116">
        <v>32.49</v>
      </c>
      <c r="G46" s="116">
        <v>32.990000000000009</v>
      </c>
      <c r="H46" s="116">
        <v>97.202999999999989</v>
      </c>
      <c r="I46" s="116">
        <v>98.105000000000004</v>
      </c>
      <c r="J46" s="116">
        <v>98.105000000000004</v>
      </c>
      <c r="K46" s="116">
        <v>98.105000000000004</v>
      </c>
      <c r="L46" s="116">
        <v>98.1</v>
      </c>
      <c r="M46" s="116">
        <v>98.1</v>
      </c>
      <c r="N46" s="116">
        <v>98.1</v>
      </c>
      <c r="O46" s="116">
        <v>98.1</v>
      </c>
      <c r="P46" s="116">
        <v>98.1</v>
      </c>
      <c r="Q46" s="116">
        <v>98.1</v>
      </c>
      <c r="R46" s="116">
        <v>97.8</v>
      </c>
      <c r="S46" s="116">
        <v>97.8</v>
      </c>
      <c r="T46" s="116">
        <v>97.8</v>
      </c>
      <c r="U46" s="116">
        <v>97.8</v>
      </c>
      <c r="V46" s="116">
        <v>97.8</v>
      </c>
      <c r="W46" s="116">
        <v>97.8</v>
      </c>
      <c r="X46" s="116">
        <v>97.8</v>
      </c>
      <c r="Y46" s="116">
        <v>97.8</v>
      </c>
      <c r="Z46" s="116">
        <v>97.8</v>
      </c>
      <c r="AA46" s="116">
        <v>97.8</v>
      </c>
      <c r="AB46" s="116">
        <v>97.8</v>
      </c>
      <c r="AC46" s="116">
        <v>97.8</v>
      </c>
      <c r="AD46" s="116">
        <v>97.8</v>
      </c>
      <c r="AE46" s="116">
        <v>97.8</v>
      </c>
      <c r="AF46" s="116">
        <v>97.8</v>
      </c>
      <c r="AG46" s="116">
        <v>97.8</v>
      </c>
      <c r="AH46" s="116">
        <v>97.8</v>
      </c>
      <c r="AI46" s="116">
        <v>97.8</v>
      </c>
      <c r="AJ46" s="116">
        <v>97.8</v>
      </c>
      <c r="AK46" s="116">
        <v>97.8</v>
      </c>
      <c r="AL46" s="116">
        <v>97.8</v>
      </c>
      <c r="AM46" s="116">
        <v>97.8</v>
      </c>
      <c r="AN46" s="116">
        <v>97.8</v>
      </c>
      <c r="AO46" s="116">
        <v>97.8</v>
      </c>
      <c r="AP46" s="117">
        <v>97.8</v>
      </c>
      <c r="AQ46" s="115">
        <v>0</v>
      </c>
      <c r="AR46" s="115">
        <v>0</v>
      </c>
      <c r="AS46" s="115">
        <v>5.6454577208169723E-2</v>
      </c>
    </row>
    <row r="47" spans="1:45" ht="12" customHeight="1">
      <c r="A47" s="107" t="s">
        <v>1076</v>
      </c>
      <c r="B47" s="116">
        <v>0</v>
      </c>
      <c r="C47" s="116">
        <v>0</v>
      </c>
      <c r="D47" s="116">
        <v>0</v>
      </c>
      <c r="E47" s="116">
        <v>0</v>
      </c>
      <c r="F47" s="116">
        <v>0</v>
      </c>
      <c r="G47" s="116">
        <v>0.50000000000000011</v>
      </c>
      <c r="H47" s="116">
        <v>0.50000000000000011</v>
      </c>
      <c r="I47" s="116">
        <v>1.0499999999999998</v>
      </c>
      <c r="J47" s="116">
        <v>2.0000000000000004</v>
      </c>
      <c r="K47" s="116">
        <v>2.0000000000000004</v>
      </c>
      <c r="L47" s="116">
        <v>2.0000000000000004</v>
      </c>
      <c r="M47" s="116">
        <v>2.0100000000000007</v>
      </c>
      <c r="N47" s="116">
        <v>2.0100000000000007</v>
      </c>
      <c r="O47" s="116">
        <v>1.986</v>
      </c>
      <c r="P47" s="116">
        <v>1.986</v>
      </c>
      <c r="Q47" s="116">
        <v>1.986</v>
      </c>
      <c r="R47" s="116">
        <v>1.986</v>
      </c>
      <c r="S47" s="116">
        <v>1.829</v>
      </c>
      <c r="T47" s="116">
        <v>1.85</v>
      </c>
      <c r="U47" s="116">
        <v>1.85</v>
      </c>
      <c r="V47" s="116">
        <v>2.4</v>
      </c>
      <c r="W47" s="116">
        <v>2.4</v>
      </c>
      <c r="X47" s="116">
        <v>2.855</v>
      </c>
      <c r="Y47" s="116">
        <v>2.8499999999999996</v>
      </c>
      <c r="Z47" s="116">
        <v>3</v>
      </c>
      <c r="AA47" s="116">
        <v>2.9207000000000001</v>
      </c>
      <c r="AB47" s="116">
        <v>2.78</v>
      </c>
      <c r="AC47" s="116">
        <v>2.6700000000000004</v>
      </c>
      <c r="AD47" s="116">
        <v>2.6700000000000004</v>
      </c>
      <c r="AE47" s="116">
        <v>3</v>
      </c>
      <c r="AF47" s="116">
        <v>3</v>
      </c>
      <c r="AG47" s="116">
        <v>3</v>
      </c>
      <c r="AH47" s="116">
        <v>3</v>
      </c>
      <c r="AI47" s="116">
        <v>3</v>
      </c>
      <c r="AJ47" s="116">
        <v>3</v>
      </c>
      <c r="AK47" s="116">
        <v>3</v>
      </c>
      <c r="AL47" s="116">
        <v>3</v>
      </c>
      <c r="AM47" s="116">
        <v>3</v>
      </c>
      <c r="AN47" s="116">
        <v>3</v>
      </c>
      <c r="AO47" s="116">
        <v>3</v>
      </c>
      <c r="AP47" s="117">
        <v>3</v>
      </c>
      <c r="AQ47" s="115">
        <v>0</v>
      </c>
      <c r="AR47" s="115">
        <v>0</v>
      </c>
      <c r="AS47" s="115">
        <v>1.7317354971831205E-3</v>
      </c>
    </row>
    <row r="48" spans="1:45" ht="12" customHeight="1">
      <c r="A48" s="107" t="s">
        <v>1077</v>
      </c>
      <c r="B48" s="116">
        <v>0.22405900000000001</v>
      </c>
      <c r="C48" s="116">
        <v>0.207147</v>
      </c>
      <c r="D48" s="116">
        <v>0.191022</v>
      </c>
      <c r="E48" s="116">
        <v>0.18579999999999999</v>
      </c>
      <c r="F48" s="116">
        <v>0.17374999999999999</v>
      </c>
      <c r="G48" s="116">
        <v>0.18070999999999998</v>
      </c>
      <c r="H48" s="116">
        <v>0.14169999999999996</v>
      </c>
      <c r="I48" s="116">
        <v>0.12670000000000001</v>
      </c>
      <c r="J48" s="116">
        <v>0.113619</v>
      </c>
      <c r="K48" s="116">
        <v>9.8483000000000001E-2</v>
      </c>
      <c r="L48" s="116">
        <v>7.1400000000000005E-2</v>
      </c>
      <c r="M48" s="116">
        <v>7.1289000000000005E-2</v>
      </c>
      <c r="N48" s="116">
        <v>5.9417999999999999E-2</v>
      </c>
      <c r="O48" s="116">
        <v>6.0351000000000002E-2</v>
      </c>
      <c r="P48" s="116">
        <v>5.2194999999999998E-2</v>
      </c>
      <c r="Q48" s="116">
        <v>0.11390699999999999</v>
      </c>
      <c r="R48" s="116">
        <v>0.21529000000000001</v>
      </c>
      <c r="S48" s="116">
        <v>0.21432999999999999</v>
      </c>
      <c r="T48" s="116">
        <v>0.16422999999999999</v>
      </c>
      <c r="U48" s="116">
        <v>0.15291000000000002</v>
      </c>
      <c r="V48" s="116">
        <v>0.15287000000000003</v>
      </c>
      <c r="W48" s="116">
        <v>0.12928999999999999</v>
      </c>
      <c r="X48" s="116">
        <v>0.12925999999999999</v>
      </c>
      <c r="Y48" s="116">
        <v>0.12933999999999998</v>
      </c>
      <c r="Z48" s="116">
        <v>0.12755999999999998</v>
      </c>
      <c r="AA48" s="116">
        <v>0.12755999999999998</v>
      </c>
      <c r="AB48" s="116">
        <v>0.12751999999999997</v>
      </c>
      <c r="AC48" s="116">
        <v>0.12749999999999997</v>
      </c>
      <c r="AD48" s="116">
        <v>0.12749999999999997</v>
      </c>
      <c r="AE48" s="116">
        <v>0.30903999999999993</v>
      </c>
      <c r="AF48" s="116">
        <v>0.27694000000000002</v>
      </c>
      <c r="AG48" s="116">
        <v>0.65180000000000016</v>
      </c>
      <c r="AH48" s="116">
        <v>0.27930000000000005</v>
      </c>
      <c r="AI48" s="116">
        <v>0.260685</v>
      </c>
      <c r="AJ48" s="116">
        <v>0.23925299999999999</v>
      </c>
      <c r="AK48" s="116">
        <v>0.21705299999999997</v>
      </c>
      <c r="AL48" s="116">
        <v>0.14691004999999999</v>
      </c>
      <c r="AM48" s="116">
        <v>0.13523000000000002</v>
      </c>
      <c r="AN48" s="116">
        <v>0.15672999999999998</v>
      </c>
      <c r="AO48" s="116">
        <v>0.19443000000000002</v>
      </c>
      <c r="AP48" s="117">
        <v>0.17869100000000002</v>
      </c>
      <c r="AQ48" s="115">
        <v>-8.0949441958545476E-2</v>
      </c>
      <c r="AR48" s="115">
        <v>-4.5282555320569573E-2</v>
      </c>
      <c r="AS48" s="115">
        <v>1.0314851590904968E-4</v>
      </c>
    </row>
    <row r="49" spans="1:45" s="108" customFormat="1" ht="12" customHeight="1">
      <c r="A49" s="118" t="s">
        <v>1078</v>
      </c>
      <c r="B49" s="119">
        <v>362.41108700000001</v>
      </c>
      <c r="C49" s="119">
        <v>365.26514700000001</v>
      </c>
      <c r="D49" s="119">
        <v>388.90202200000004</v>
      </c>
      <c r="E49" s="119">
        <v>396.92079999999999</v>
      </c>
      <c r="F49" s="119">
        <v>430.75525000000005</v>
      </c>
      <c r="G49" s="119">
        <v>431.73171000000002</v>
      </c>
      <c r="H49" s="119">
        <v>537.1277</v>
      </c>
      <c r="I49" s="119">
        <v>566.57690000000002</v>
      </c>
      <c r="J49" s="119">
        <v>653.03461900000002</v>
      </c>
      <c r="K49" s="119">
        <v>661.02938300000005</v>
      </c>
      <c r="L49" s="119">
        <v>659.61440000000005</v>
      </c>
      <c r="M49" s="119">
        <v>660.820289</v>
      </c>
      <c r="N49" s="119">
        <v>661.59341800000004</v>
      </c>
      <c r="O49" s="119">
        <v>661.93235100000004</v>
      </c>
      <c r="P49" s="119">
        <v>663.56219499999997</v>
      </c>
      <c r="Q49" s="119">
        <v>663.30830700000001</v>
      </c>
      <c r="R49" s="119">
        <v>673.99528999999995</v>
      </c>
      <c r="S49" s="119">
        <v>683.22832999999991</v>
      </c>
      <c r="T49" s="119">
        <v>685.24172999999996</v>
      </c>
      <c r="U49" s="119">
        <v>685.83371</v>
      </c>
      <c r="V49" s="119">
        <v>696.68857000000003</v>
      </c>
      <c r="W49" s="119">
        <v>698.66739000000007</v>
      </c>
      <c r="X49" s="119">
        <v>741.34586000000002</v>
      </c>
      <c r="Y49" s="119">
        <v>745.74203999999997</v>
      </c>
      <c r="Z49" s="119">
        <v>750.07338000000004</v>
      </c>
      <c r="AA49" s="119">
        <v>755.53146000000004</v>
      </c>
      <c r="AB49" s="119">
        <v>755.86671999999999</v>
      </c>
      <c r="AC49" s="119">
        <v>752.85149999999987</v>
      </c>
      <c r="AD49" s="119">
        <v>753.68549999999993</v>
      </c>
      <c r="AE49" s="119">
        <v>753.11604</v>
      </c>
      <c r="AF49" s="119">
        <v>765.94694000000004</v>
      </c>
      <c r="AG49" s="119">
        <v>797.93679999999995</v>
      </c>
      <c r="AH49" s="119">
        <v>799.25830000000008</v>
      </c>
      <c r="AI49" s="119">
        <v>802.89798500000006</v>
      </c>
      <c r="AJ49" s="119">
        <v>803.07225299999982</v>
      </c>
      <c r="AK49" s="119">
        <v>802.92505299999993</v>
      </c>
      <c r="AL49" s="119">
        <v>807.73791004999998</v>
      </c>
      <c r="AM49" s="119">
        <v>834.33322999999996</v>
      </c>
      <c r="AN49" s="119">
        <v>833.86373000000003</v>
      </c>
      <c r="AO49" s="119">
        <v>836.00842999999986</v>
      </c>
      <c r="AP49" s="119">
        <v>835.94169099999999</v>
      </c>
      <c r="AQ49" s="120">
        <v>-7.9830534723046576E-5</v>
      </c>
      <c r="AR49" s="120">
        <v>1.0496645007910921E-2</v>
      </c>
      <c r="AS49" s="120">
        <v>0.48254329995999451</v>
      </c>
    </row>
    <row r="50" spans="1:45" ht="12" customHeight="1">
      <c r="A50" s="108"/>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7"/>
      <c r="AQ50" s="115"/>
      <c r="AR50" s="115"/>
      <c r="AS50" s="115"/>
    </row>
    <row r="51" spans="1:45" ht="12" customHeight="1">
      <c r="A51" s="107" t="s">
        <v>1079</v>
      </c>
      <c r="B51" s="116">
        <v>8.1999999999999975</v>
      </c>
      <c r="C51" s="116">
        <v>8.08</v>
      </c>
      <c r="D51" s="116">
        <v>9.44</v>
      </c>
      <c r="E51" s="116">
        <v>9.2200000000000006</v>
      </c>
      <c r="F51" s="116">
        <v>9</v>
      </c>
      <c r="G51" s="116">
        <v>8.8200000000000021</v>
      </c>
      <c r="H51" s="116">
        <v>8.8000000000000007</v>
      </c>
      <c r="I51" s="116">
        <v>8.5640000000000001</v>
      </c>
      <c r="J51" s="116">
        <v>9.1999999999999993</v>
      </c>
      <c r="K51" s="116">
        <v>9.2360000000000007</v>
      </c>
      <c r="L51" s="116">
        <v>9.1999999999999993</v>
      </c>
      <c r="M51" s="116">
        <v>9.1999999999999993</v>
      </c>
      <c r="N51" s="116">
        <v>9.1999999999999993</v>
      </c>
      <c r="O51" s="116">
        <v>9.1999999999999993</v>
      </c>
      <c r="P51" s="116">
        <v>9.9789999999999992</v>
      </c>
      <c r="Q51" s="116">
        <v>9.9789999999999992</v>
      </c>
      <c r="R51" s="116">
        <v>10.8</v>
      </c>
      <c r="S51" s="116">
        <v>11.2</v>
      </c>
      <c r="T51" s="116">
        <v>11.314</v>
      </c>
      <c r="U51" s="116">
        <v>11.314</v>
      </c>
      <c r="V51" s="116">
        <v>11.314</v>
      </c>
      <c r="W51" s="116">
        <v>11.314</v>
      </c>
      <c r="X51" s="116">
        <v>11.314</v>
      </c>
      <c r="Y51" s="116">
        <v>11.800000000000002</v>
      </c>
      <c r="Z51" s="116">
        <v>11.800000000000002</v>
      </c>
      <c r="AA51" s="116">
        <v>12.27</v>
      </c>
      <c r="AB51" s="116">
        <v>12.27</v>
      </c>
      <c r="AC51" s="116">
        <v>12.2</v>
      </c>
      <c r="AD51" s="116">
        <v>12.2</v>
      </c>
      <c r="AE51" s="116">
        <v>12.2</v>
      </c>
      <c r="AF51" s="116">
        <v>12.2</v>
      </c>
      <c r="AG51" s="116">
        <v>12.2</v>
      </c>
      <c r="AH51" s="116">
        <v>12.2</v>
      </c>
      <c r="AI51" s="116">
        <v>12.2</v>
      </c>
      <c r="AJ51" s="116">
        <v>12.2</v>
      </c>
      <c r="AK51" s="116">
        <v>12.2</v>
      </c>
      <c r="AL51" s="116">
        <v>12.2</v>
      </c>
      <c r="AM51" s="116">
        <v>12.2</v>
      </c>
      <c r="AN51" s="116">
        <v>12.2</v>
      </c>
      <c r="AO51" s="116">
        <v>12.2</v>
      </c>
      <c r="AP51" s="117">
        <v>12.2</v>
      </c>
      <c r="AQ51" s="115">
        <v>0</v>
      </c>
      <c r="AR51" s="115">
        <v>0</v>
      </c>
      <c r="AS51" s="115">
        <v>7.0423910218780231E-3</v>
      </c>
    </row>
    <row r="52" spans="1:45" ht="12" customHeight="1">
      <c r="A52" s="107" t="s">
        <v>1080</v>
      </c>
      <c r="B52" s="116">
        <v>1.375</v>
      </c>
      <c r="C52" s="116">
        <v>1.1080000000000001</v>
      </c>
      <c r="D52" s="116">
        <v>1.4570000000000001</v>
      </c>
      <c r="E52" s="116">
        <v>1.7150000000000001</v>
      </c>
      <c r="F52" s="116">
        <v>2.1469999999999998</v>
      </c>
      <c r="G52" s="116">
        <v>2.0180000000000002</v>
      </c>
      <c r="H52" s="116">
        <v>1.4</v>
      </c>
      <c r="I52" s="116">
        <v>1.9999999999999998</v>
      </c>
      <c r="J52" s="116">
        <v>1.9999999999999998</v>
      </c>
      <c r="K52" s="116">
        <v>2.0739999999999998</v>
      </c>
      <c r="L52" s="116">
        <v>1.625</v>
      </c>
      <c r="M52" s="116">
        <v>1.45</v>
      </c>
      <c r="N52" s="116">
        <v>1.3339999999999999</v>
      </c>
      <c r="O52" s="116">
        <v>1.9009999999999998</v>
      </c>
      <c r="P52" s="116">
        <v>2.9650000000000003</v>
      </c>
      <c r="Q52" s="116">
        <v>3.125</v>
      </c>
      <c r="R52" s="116">
        <v>3.6949999999999998</v>
      </c>
      <c r="S52" s="116">
        <v>3.8999999999999995</v>
      </c>
      <c r="T52" s="116">
        <v>4.03</v>
      </c>
      <c r="U52" s="116">
        <v>5.0500000000000007</v>
      </c>
      <c r="V52" s="116">
        <v>5.9720000000000004</v>
      </c>
      <c r="W52" s="116">
        <v>6.5</v>
      </c>
      <c r="X52" s="116">
        <v>8.9</v>
      </c>
      <c r="Y52" s="116">
        <v>8.8010000000000002</v>
      </c>
      <c r="Z52" s="116">
        <v>9.0350000000000001</v>
      </c>
      <c r="AA52" s="116">
        <v>9.0500000000000007</v>
      </c>
      <c r="AB52" s="116">
        <v>9.33</v>
      </c>
      <c r="AC52" s="116">
        <v>9.5</v>
      </c>
      <c r="AD52" s="116">
        <v>9.5</v>
      </c>
      <c r="AE52" s="116">
        <v>9.5</v>
      </c>
      <c r="AF52" s="116">
        <v>9.0549999999999997</v>
      </c>
      <c r="AG52" s="116">
        <v>9.0549999999999997</v>
      </c>
      <c r="AH52" s="116">
        <v>9.0549999999999997</v>
      </c>
      <c r="AI52" s="116">
        <v>9.0109999999999992</v>
      </c>
      <c r="AJ52" s="116">
        <v>8.423</v>
      </c>
      <c r="AK52" s="116">
        <v>9.5239999999999991</v>
      </c>
      <c r="AL52" s="116">
        <v>9.5229999999999997</v>
      </c>
      <c r="AM52" s="116">
        <v>8.3840000000000003</v>
      </c>
      <c r="AN52" s="116">
        <v>8.16</v>
      </c>
      <c r="AO52" s="116">
        <v>7.7830000000000013</v>
      </c>
      <c r="AP52" s="117">
        <v>7.7830000000000013</v>
      </c>
      <c r="AQ52" s="115">
        <v>0</v>
      </c>
      <c r="AR52" s="115">
        <v>-1.9737604908610873E-2</v>
      </c>
      <c r="AS52" s="115">
        <v>4.4926991248587433E-3</v>
      </c>
    </row>
    <row r="53" spans="1:45" ht="12" customHeight="1">
      <c r="A53" s="107" t="s">
        <v>1081</v>
      </c>
      <c r="B53" s="116">
        <v>0</v>
      </c>
      <c r="C53" s="116">
        <v>0</v>
      </c>
      <c r="D53" s="116">
        <v>0</v>
      </c>
      <c r="E53" s="116">
        <v>0</v>
      </c>
      <c r="F53" s="116">
        <v>0</v>
      </c>
      <c r="G53" s="116">
        <v>0</v>
      </c>
      <c r="H53" s="116">
        <v>0</v>
      </c>
      <c r="I53" s="116">
        <v>0</v>
      </c>
      <c r="J53" s="116">
        <v>0</v>
      </c>
      <c r="K53" s="116">
        <v>0</v>
      </c>
      <c r="L53" s="116">
        <v>0</v>
      </c>
      <c r="M53" s="116">
        <v>0</v>
      </c>
      <c r="N53" s="116">
        <v>0</v>
      </c>
      <c r="O53" s="116">
        <v>0</v>
      </c>
      <c r="P53" s="116">
        <v>0</v>
      </c>
      <c r="Q53" s="116">
        <v>0</v>
      </c>
      <c r="R53" s="116">
        <v>0</v>
      </c>
      <c r="S53" s="116">
        <v>0</v>
      </c>
      <c r="T53" s="116">
        <v>0</v>
      </c>
      <c r="U53" s="116">
        <v>0</v>
      </c>
      <c r="V53" s="116">
        <v>0.90000000000000013</v>
      </c>
      <c r="W53" s="116">
        <v>0.90000000000000013</v>
      </c>
      <c r="X53" s="116">
        <v>0.90000000000000013</v>
      </c>
      <c r="Y53" s="116">
        <v>0.90000000000000013</v>
      </c>
      <c r="Z53" s="116">
        <v>0.90000000000000013</v>
      </c>
      <c r="AA53" s="116">
        <v>1.5</v>
      </c>
      <c r="AB53" s="116">
        <v>1.5</v>
      </c>
      <c r="AC53" s="116">
        <v>1.5</v>
      </c>
      <c r="AD53" s="116">
        <v>1.5</v>
      </c>
      <c r="AE53" s="116">
        <v>1.5</v>
      </c>
      <c r="AF53" s="116">
        <v>1.5</v>
      </c>
      <c r="AG53" s="116">
        <v>1.5</v>
      </c>
      <c r="AH53" s="116">
        <v>1.5</v>
      </c>
      <c r="AI53" s="116">
        <v>1.5</v>
      </c>
      <c r="AJ53" s="116">
        <v>1.5</v>
      </c>
      <c r="AK53" s="116">
        <v>1.5</v>
      </c>
      <c r="AL53" s="116">
        <v>1.5</v>
      </c>
      <c r="AM53" s="116">
        <v>1.5</v>
      </c>
      <c r="AN53" s="116">
        <v>1.5</v>
      </c>
      <c r="AO53" s="116">
        <v>1.5</v>
      </c>
      <c r="AP53" s="117">
        <v>1.5</v>
      </c>
      <c r="AQ53" s="115">
        <v>0</v>
      </c>
      <c r="AR53" s="115">
        <v>0</v>
      </c>
      <c r="AS53" s="115">
        <v>8.6586774859156025E-4</v>
      </c>
    </row>
    <row r="54" spans="1:45" ht="12" customHeight="1">
      <c r="A54" s="107" t="s">
        <v>1082</v>
      </c>
      <c r="B54" s="116">
        <v>0.70543999999999996</v>
      </c>
      <c r="C54" s="116">
        <v>0.73304499999999995</v>
      </c>
      <c r="D54" s="116">
        <v>0.7544249999999999</v>
      </c>
      <c r="E54" s="116">
        <v>0.73834500000000003</v>
      </c>
      <c r="F54" s="116">
        <v>0.79843099999999989</v>
      </c>
      <c r="G54" s="116">
        <v>0.75600000000000001</v>
      </c>
      <c r="H54" s="116">
        <v>0.71970000000000001</v>
      </c>
      <c r="I54" s="116">
        <v>0.69499999999999995</v>
      </c>
      <c r="J54" s="116">
        <v>0.75</v>
      </c>
      <c r="K54" s="116">
        <v>0.71</v>
      </c>
      <c r="L54" s="116">
        <v>0.75449999999999995</v>
      </c>
      <c r="M54" s="116">
        <v>0.69829999999999992</v>
      </c>
      <c r="N54" s="116">
        <v>0.72499999999999998</v>
      </c>
      <c r="O54" s="116">
        <v>0.65049999999999997</v>
      </c>
      <c r="P54" s="116">
        <v>1.4126999999999998</v>
      </c>
      <c r="Q54" s="116">
        <v>1.3497000000000001</v>
      </c>
      <c r="R54" s="116">
        <v>1.6</v>
      </c>
      <c r="S54" s="116">
        <v>1.615</v>
      </c>
      <c r="T54" s="116">
        <v>1.6999999999999997</v>
      </c>
      <c r="U54" s="116">
        <v>1.6999999999999997</v>
      </c>
      <c r="V54" s="116">
        <v>1.5059130000000001</v>
      </c>
      <c r="W54" s="116">
        <v>1.5059130000000001</v>
      </c>
      <c r="X54" s="116">
        <v>1.5149999999999999</v>
      </c>
      <c r="Y54" s="116">
        <v>1.7849999999999999</v>
      </c>
      <c r="Z54" s="116">
        <v>1.784</v>
      </c>
      <c r="AA54" s="116">
        <v>1.9049999999999998</v>
      </c>
      <c r="AB54" s="116">
        <v>1.9399999999999997</v>
      </c>
      <c r="AC54" s="116">
        <v>1.9399999999999997</v>
      </c>
      <c r="AD54" s="116">
        <v>1.9399999999999997</v>
      </c>
      <c r="AE54" s="116">
        <v>2</v>
      </c>
      <c r="AF54" s="116">
        <v>2</v>
      </c>
      <c r="AG54" s="116">
        <v>2</v>
      </c>
      <c r="AH54" s="116">
        <v>2</v>
      </c>
      <c r="AI54" s="116">
        <v>2.673</v>
      </c>
      <c r="AJ54" s="116">
        <v>2.867</v>
      </c>
      <c r="AK54" s="116">
        <v>2.9820000000000002</v>
      </c>
      <c r="AL54" s="116">
        <v>2.9820000000000002</v>
      </c>
      <c r="AM54" s="116">
        <v>2.9820000000000002</v>
      </c>
      <c r="AN54" s="116">
        <v>2.9820000000000002</v>
      </c>
      <c r="AO54" s="116">
        <v>2.8820000000000001</v>
      </c>
      <c r="AP54" s="117">
        <v>2.8820000000000001</v>
      </c>
      <c r="AQ54" s="115">
        <v>0</v>
      </c>
      <c r="AR54" s="115">
        <v>3.7209290262093075E-2</v>
      </c>
      <c r="AS54" s="115">
        <v>1.6636205676272512E-3</v>
      </c>
    </row>
    <row r="55" spans="1:45" ht="12" customHeight="1">
      <c r="A55" s="107" t="s">
        <v>1083</v>
      </c>
      <c r="B55" s="116">
        <v>2.9164499999999998</v>
      </c>
      <c r="C55" s="116">
        <v>3.5302999999999995</v>
      </c>
      <c r="D55" s="116">
        <v>3.6996250000000002</v>
      </c>
      <c r="E55" s="116">
        <v>3.9585989999999991</v>
      </c>
      <c r="F55" s="116">
        <v>4.0255999999999998</v>
      </c>
      <c r="G55" s="116">
        <v>3.8</v>
      </c>
      <c r="H55" s="116">
        <v>4.5</v>
      </c>
      <c r="I55" s="116">
        <v>4.6850000000000005</v>
      </c>
      <c r="J55" s="116">
        <v>4.2705000000000002</v>
      </c>
      <c r="K55" s="116">
        <v>4.2999999999999989</v>
      </c>
      <c r="L55" s="116">
        <v>3.4590000000000001</v>
      </c>
      <c r="M55" s="116">
        <v>3.5352999999999999</v>
      </c>
      <c r="N55" s="116">
        <v>3.4350000000000001</v>
      </c>
      <c r="O55" s="116">
        <v>3.4249999999999994</v>
      </c>
      <c r="P55" s="116">
        <v>3.9409999999999998</v>
      </c>
      <c r="Q55" s="116">
        <v>3.8039999999999998</v>
      </c>
      <c r="R55" s="116">
        <v>3.8435000000000001</v>
      </c>
      <c r="S55" s="116">
        <v>3.7190000000000003</v>
      </c>
      <c r="T55" s="116">
        <v>3.7567000000000004</v>
      </c>
      <c r="U55" s="116">
        <v>3.7669999999999999</v>
      </c>
      <c r="V55" s="116">
        <v>3.6269</v>
      </c>
      <c r="W55" s="116">
        <v>3.6680000000000001</v>
      </c>
      <c r="X55" s="116">
        <v>3.5249999999999999</v>
      </c>
      <c r="Y55" s="116">
        <v>3.5249999999999999</v>
      </c>
      <c r="Z55" s="116">
        <v>3.62</v>
      </c>
      <c r="AA55" s="116">
        <v>3.7200000000000006</v>
      </c>
      <c r="AB55" s="116">
        <v>3.7200000000000006</v>
      </c>
      <c r="AC55" s="116">
        <v>4.0699999999999994</v>
      </c>
      <c r="AD55" s="116">
        <v>4.2</v>
      </c>
      <c r="AE55" s="116">
        <v>4.4000000000000004</v>
      </c>
      <c r="AF55" s="116">
        <v>4.5</v>
      </c>
      <c r="AG55" s="116">
        <v>4.2999999999999989</v>
      </c>
      <c r="AH55" s="116">
        <v>4.2</v>
      </c>
      <c r="AI55" s="116">
        <v>3.9000000000000004</v>
      </c>
      <c r="AJ55" s="116">
        <v>3.681</v>
      </c>
      <c r="AK55" s="116">
        <v>3.4729999999999999</v>
      </c>
      <c r="AL55" s="116">
        <v>3.3839999999999999</v>
      </c>
      <c r="AM55" s="116">
        <v>3.3250000000000002</v>
      </c>
      <c r="AN55" s="116">
        <v>3.1970000000000001</v>
      </c>
      <c r="AO55" s="116">
        <v>3.1459999999999999</v>
      </c>
      <c r="AP55" s="117">
        <v>3.1459999999999999</v>
      </c>
      <c r="AQ55" s="115">
        <v>0</v>
      </c>
      <c r="AR55" s="115">
        <v>-3.2990803882944175E-2</v>
      </c>
      <c r="AS55" s="115">
        <v>1.8160132913793657E-3</v>
      </c>
    </row>
    <row r="56" spans="1:45" ht="12" customHeight="1">
      <c r="A56" s="107" t="s">
        <v>1084</v>
      </c>
      <c r="B56" s="116" t="s">
        <v>1061</v>
      </c>
      <c r="C56" s="116" t="s">
        <v>1061</v>
      </c>
      <c r="D56" s="116" t="s">
        <v>1061</v>
      </c>
      <c r="E56" s="116" t="s">
        <v>1061</v>
      </c>
      <c r="F56" s="116" t="s">
        <v>1061</v>
      </c>
      <c r="G56" s="116" t="s">
        <v>1061</v>
      </c>
      <c r="H56" s="116" t="s">
        <v>1061</v>
      </c>
      <c r="I56" s="116" t="s">
        <v>1061</v>
      </c>
      <c r="J56" s="116" t="s">
        <v>1061</v>
      </c>
      <c r="K56" s="116" t="s">
        <v>1061</v>
      </c>
      <c r="L56" s="116" t="s">
        <v>1061</v>
      </c>
      <c r="M56" s="116">
        <v>0.30000000000000004</v>
      </c>
      <c r="N56" s="116">
        <v>0.30000000000000004</v>
      </c>
      <c r="O56" s="116">
        <v>0.30000000000000004</v>
      </c>
      <c r="P56" s="116">
        <v>0.30000000000000004</v>
      </c>
      <c r="Q56" s="116">
        <v>0.55500000000000005</v>
      </c>
      <c r="R56" s="116">
        <v>0.55500000000000005</v>
      </c>
      <c r="S56" s="116">
        <v>0.55500000000000005</v>
      </c>
      <c r="T56" s="116">
        <v>0.55500000000000005</v>
      </c>
      <c r="U56" s="116">
        <v>0.55500000000000005</v>
      </c>
      <c r="V56" s="116">
        <v>0.79999999999999993</v>
      </c>
      <c r="W56" s="116">
        <v>1.1100000000000001</v>
      </c>
      <c r="X56" s="116">
        <v>1.095</v>
      </c>
      <c r="Y56" s="116">
        <v>1.28</v>
      </c>
      <c r="Z56" s="116">
        <v>1.7649999999999999</v>
      </c>
      <c r="AA56" s="116">
        <v>1.8049999999999999</v>
      </c>
      <c r="AB56" s="116">
        <v>1.7549999999999999</v>
      </c>
      <c r="AC56" s="116">
        <v>1.7050000000000001</v>
      </c>
      <c r="AD56" s="116">
        <v>1.7050000000000001</v>
      </c>
      <c r="AE56" s="116">
        <v>1.7050000000000001</v>
      </c>
      <c r="AF56" s="116">
        <v>1.7050000000000001</v>
      </c>
      <c r="AG56" s="116">
        <v>1.7050000000000001</v>
      </c>
      <c r="AH56" s="116">
        <v>1.7050000000000001</v>
      </c>
      <c r="AI56" s="116">
        <v>1.7050000000000001</v>
      </c>
      <c r="AJ56" s="116">
        <v>1.1000000000000001</v>
      </c>
      <c r="AK56" s="116">
        <v>1.1000000000000001</v>
      </c>
      <c r="AL56" s="116">
        <v>1.1000000000000001</v>
      </c>
      <c r="AM56" s="116">
        <v>1.1000000000000001</v>
      </c>
      <c r="AN56" s="116">
        <v>1.1000000000000001</v>
      </c>
      <c r="AO56" s="116">
        <v>1.1000000000000001</v>
      </c>
      <c r="AP56" s="117">
        <v>1.1000000000000001</v>
      </c>
      <c r="AQ56" s="115">
        <v>0</v>
      </c>
      <c r="AR56" s="115">
        <v>-4.2879032880059231E-2</v>
      </c>
      <c r="AS56" s="115">
        <v>6.349696823004776E-4</v>
      </c>
    </row>
    <row r="57" spans="1:45" ht="12" customHeight="1">
      <c r="A57" s="107" t="s">
        <v>1085</v>
      </c>
      <c r="B57" s="116">
        <v>0.47092500000000009</v>
      </c>
      <c r="C57" s="116">
        <v>0.46348800000000001</v>
      </c>
      <c r="D57" s="116">
        <v>0.48178500000000002</v>
      </c>
      <c r="E57" s="116">
        <v>0.54730000000000001</v>
      </c>
      <c r="F57" s="116">
        <v>0.623</v>
      </c>
      <c r="G57" s="116">
        <v>0.65700000000000014</v>
      </c>
      <c r="H57" s="116">
        <v>0.64600000000000002</v>
      </c>
      <c r="I57" s="116">
        <v>0.96000000000000019</v>
      </c>
      <c r="J57" s="116">
        <v>0.93000000000000016</v>
      </c>
      <c r="K57" s="116">
        <v>0.95860000000000012</v>
      </c>
      <c r="L57" s="116">
        <v>0.85999999999999988</v>
      </c>
      <c r="M57" s="116">
        <v>0.876</v>
      </c>
      <c r="N57" s="116">
        <v>0.76839999999999997</v>
      </c>
      <c r="O57" s="116">
        <v>0.66200000000000003</v>
      </c>
      <c r="P57" s="116">
        <v>1.4</v>
      </c>
      <c r="Q57" s="116">
        <v>1.47</v>
      </c>
      <c r="R57" s="116">
        <v>2.8</v>
      </c>
      <c r="S57" s="116">
        <v>2.6723000000000003</v>
      </c>
      <c r="T57" s="116">
        <v>2.5649999999999999</v>
      </c>
      <c r="U57" s="116">
        <v>2.5649999999999999</v>
      </c>
      <c r="V57" s="116">
        <v>2.42</v>
      </c>
      <c r="W57" s="116">
        <v>2.4</v>
      </c>
      <c r="X57" s="116">
        <v>2.37</v>
      </c>
      <c r="Y57" s="116">
        <v>2.2850000000000001</v>
      </c>
      <c r="Z57" s="116">
        <v>2.19</v>
      </c>
      <c r="AA57" s="116">
        <v>2.1459999999999995</v>
      </c>
      <c r="AB57" s="116">
        <v>2.15</v>
      </c>
      <c r="AC57" s="116">
        <v>2</v>
      </c>
      <c r="AD57" s="116">
        <v>2</v>
      </c>
      <c r="AE57" s="116">
        <v>2</v>
      </c>
      <c r="AF57" s="116">
        <v>2</v>
      </c>
      <c r="AG57" s="116">
        <v>2</v>
      </c>
      <c r="AH57" s="116">
        <v>2</v>
      </c>
      <c r="AI57" s="116">
        <v>2</v>
      </c>
      <c r="AJ57" s="116">
        <v>2</v>
      </c>
      <c r="AK57" s="116">
        <v>2</v>
      </c>
      <c r="AL57" s="116">
        <v>2</v>
      </c>
      <c r="AM57" s="116">
        <v>2</v>
      </c>
      <c r="AN57" s="116">
        <v>2</v>
      </c>
      <c r="AO57" s="116">
        <v>2</v>
      </c>
      <c r="AP57" s="117">
        <v>2</v>
      </c>
      <c r="AQ57" s="115">
        <v>0</v>
      </c>
      <c r="AR57" s="115">
        <v>0</v>
      </c>
      <c r="AS57" s="115">
        <v>1.1544903314554137E-3</v>
      </c>
    </row>
    <row r="58" spans="1:45" ht="12" customHeight="1">
      <c r="A58" s="107" t="s">
        <v>1086</v>
      </c>
      <c r="B58" s="116">
        <v>20.329999999999998</v>
      </c>
      <c r="C58" s="116">
        <v>22.6</v>
      </c>
      <c r="D58" s="116">
        <v>22.186</v>
      </c>
      <c r="E58" s="116">
        <v>21.783999999999999</v>
      </c>
      <c r="F58" s="116">
        <v>21.425000000000001</v>
      </c>
      <c r="G58" s="116">
        <v>21.3</v>
      </c>
      <c r="H58" s="116">
        <v>22.8</v>
      </c>
      <c r="I58" s="116">
        <v>22.8</v>
      </c>
      <c r="J58" s="116">
        <v>22.8</v>
      </c>
      <c r="K58" s="116">
        <v>22.8</v>
      </c>
      <c r="L58" s="116">
        <v>22.8</v>
      </c>
      <c r="M58" s="116">
        <v>22.8</v>
      </c>
      <c r="N58" s="116">
        <v>22.8</v>
      </c>
      <c r="O58" s="116">
        <v>22.8</v>
      </c>
      <c r="P58" s="116">
        <v>22.8</v>
      </c>
      <c r="Q58" s="116">
        <v>29.5</v>
      </c>
      <c r="R58" s="116">
        <v>29.5</v>
      </c>
      <c r="S58" s="116">
        <v>29.5</v>
      </c>
      <c r="T58" s="116">
        <v>29.5</v>
      </c>
      <c r="U58" s="116">
        <v>29.5</v>
      </c>
      <c r="V58" s="116">
        <v>36</v>
      </c>
      <c r="W58" s="116">
        <v>36</v>
      </c>
      <c r="X58" s="116">
        <v>36</v>
      </c>
      <c r="Y58" s="116">
        <v>39.125999999999998</v>
      </c>
      <c r="Z58" s="116">
        <v>39.125999999999998</v>
      </c>
      <c r="AA58" s="116">
        <v>41.463999999999999</v>
      </c>
      <c r="AB58" s="116">
        <v>41.463999999999999</v>
      </c>
      <c r="AC58" s="116">
        <v>43.662999999999997</v>
      </c>
      <c r="AD58" s="116">
        <v>44.271000000000001</v>
      </c>
      <c r="AE58" s="116">
        <v>46.421999999999997</v>
      </c>
      <c r="AF58" s="116">
        <v>47.097000000000001</v>
      </c>
      <c r="AG58" s="116">
        <v>48.014000000000003</v>
      </c>
      <c r="AH58" s="116">
        <v>48.472000000000001</v>
      </c>
      <c r="AI58" s="116">
        <v>48.363</v>
      </c>
      <c r="AJ58" s="116">
        <v>48.363</v>
      </c>
      <c r="AK58" s="116">
        <v>48.363</v>
      </c>
      <c r="AL58" s="116">
        <v>48.363</v>
      </c>
      <c r="AM58" s="116">
        <v>48.363</v>
      </c>
      <c r="AN58" s="116">
        <v>48.363</v>
      </c>
      <c r="AO58" s="116">
        <v>48.363</v>
      </c>
      <c r="AP58" s="117">
        <v>48.363</v>
      </c>
      <c r="AQ58" s="115">
        <v>0</v>
      </c>
      <c r="AR58" s="115">
        <v>4.1045580955929584E-3</v>
      </c>
      <c r="AS58" s="115">
        <v>2.7917307950089086E-2</v>
      </c>
    </row>
    <row r="59" spans="1:45" ht="12" customHeight="1">
      <c r="A59" s="107" t="s">
        <v>239</v>
      </c>
      <c r="B59" s="116">
        <v>16.699999999999996</v>
      </c>
      <c r="C59" s="116">
        <v>16.5</v>
      </c>
      <c r="D59" s="116">
        <v>16.749999999999996</v>
      </c>
      <c r="E59" s="116">
        <v>16.55</v>
      </c>
      <c r="F59" s="116">
        <v>16.649999999999999</v>
      </c>
      <c r="G59" s="116">
        <v>16.600000000000001</v>
      </c>
      <c r="H59" s="116">
        <v>16.065999999999999</v>
      </c>
      <c r="I59" s="116">
        <v>15.979999999999999</v>
      </c>
      <c r="J59" s="116">
        <v>15.999999999999998</v>
      </c>
      <c r="K59" s="116">
        <v>15.999999999999998</v>
      </c>
      <c r="L59" s="116">
        <v>17.100000000000001</v>
      </c>
      <c r="M59" s="116">
        <v>19.999999999999996</v>
      </c>
      <c r="N59" s="116">
        <v>20.991000000000003</v>
      </c>
      <c r="O59" s="116">
        <v>20.991000000000003</v>
      </c>
      <c r="P59" s="116">
        <v>20.991000000000003</v>
      </c>
      <c r="Q59" s="116">
        <v>20.827999999999999</v>
      </c>
      <c r="R59" s="116">
        <v>20.827999999999999</v>
      </c>
      <c r="S59" s="116">
        <v>20.827999999999999</v>
      </c>
      <c r="T59" s="116">
        <v>22.5</v>
      </c>
      <c r="U59" s="116">
        <v>29</v>
      </c>
      <c r="V59" s="116">
        <v>29</v>
      </c>
      <c r="W59" s="116">
        <v>31.506</v>
      </c>
      <c r="X59" s="116">
        <v>34.348999999999997</v>
      </c>
      <c r="Y59" s="116">
        <v>35.255000000000003</v>
      </c>
      <c r="Z59" s="116">
        <v>35.875999999999998</v>
      </c>
      <c r="AA59" s="116">
        <v>36.22</v>
      </c>
      <c r="AB59" s="116">
        <v>37.200000000000003</v>
      </c>
      <c r="AC59" s="116">
        <v>37.200000000000003</v>
      </c>
      <c r="AD59" s="116">
        <v>37.200000000000003</v>
      </c>
      <c r="AE59" s="116">
        <v>37.200000000000003</v>
      </c>
      <c r="AF59" s="116">
        <v>37.200000000000003</v>
      </c>
      <c r="AG59" s="116">
        <v>36.247</v>
      </c>
      <c r="AH59" s="116">
        <v>37.139000000000003</v>
      </c>
      <c r="AI59" s="116">
        <v>37.071000000000005</v>
      </c>
      <c r="AJ59" s="116">
        <v>37.448</v>
      </c>
      <c r="AK59" s="116">
        <v>37.061999999999998</v>
      </c>
      <c r="AL59" s="116">
        <v>37.453000000000003</v>
      </c>
      <c r="AM59" s="116">
        <v>37.453000000000003</v>
      </c>
      <c r="AN59" s="116">
        <v>36.972000000000001</v>
      </c>
      <c r="AO59" s="116">
        <v>36.890000000000008</v>
      </c>
      <c r="AP59" s="117">
        <v>36.890000000000008</v>
      </c>
      <c r="AQ59" s="115">
        <v>0</v>
      </c>
      <c r="AR59" s="115">
        <v>-8.3647492668659229E-4</v>
      </c>
      <c r="AS59" s="115">
        <v>2.129457416369511E-2</v>
      </c>
    </row>
    <row r="60" spans="1:45" ht="12" customHeight="1">
      <c r="A60" s="107" t="s">
        <v>1087</v>
      </c>
      <c r="B60" s="116" t="s">
        <v>1061</v>
      </c>
      <c r="C60" s="116" t="s">
        <v>1061</v>
      </c>
      <c r="D60" s="116" t="s">
        <v>1061</v>
      </c>
      <c r="E60" s="116" t="s">
        <v>1061</v>
      </c>
      <c r="F60" s="116" t="s">
        <v>1061</v>
      </c>
      <c r="G60" s="116" t="s">
        <v>1061</v>
      </c>
      <c r="H60" s="116" t="s">
        <v>1061</v>
      </c>
      <c r="I60" s="116" t="s">
        <v>1061</v>
      </c>
      <c r="J60" s="116" t="s">
        <v>1061</v>
      </c>
      <c r="K60" s="116" t="s">
        <v>1061</v>
      </c>
      <c r="L60" s="116" t="s">
        <v>1061</v>
      </c>
      <c r="M60" s="116" t="s">
        <v>1061</v>
      </c>
      <c r="N60" s="116" t="s">
        <v>1061</v>
      </c>
      <c r="O60" s="116" t="s">
        <v>1061</v>
      </c>
      <c r="P60" s="116" t="s">
        <v>1061</v>
      </c>
      <c r="Q60" s="116" t="s">
        <v>1061</v>
      </c>
      <c r="R60" s="116" t="s">
        <v>1061</v>
      </c>
      <c r="S60" s="116" t="s">
        <v>1061</v>
      </c>
      <c r="T60" s="116" t="s">
        <v>1061</v>
      </c>
      <c r="U60" s="116" t="s">
        <v>1061</v>
      </c>
      <c r="V60" s="116" t="s">
        <v>1061</v>
      </c>
      <c r="W60" s="116" t="s">
        <v>1061</v>
      </c>
      <c r="X60" s="116" t="s">
        <v>1061</v>
      </c>
      <c r="Y60" s="116" t="s">
        <v>1061</v>
      </c>
      <c r="Z60" s="116" t="s">
        <v>1061</v>
      </c>
      <c r="AA60" s="116" t="s">
        <v>1061</v>
      </c>
      <c r="AB60" s="116" t="s">
        <v>1061</v>
      </c>
      <c r="AC60" s="116" t="s">
        <v>1061</v>
      </c>
      <c r="AD60" s="116" t="s">
        <v>1061</v>
      </c>
      <c r="AE60" s="116" t="s">
        <v>1061</v>
      </c>
      <c r="AF60" s="116" t="s">
        <v>1061</v>
      </c>
      <c r="AG60" s="116" t="s">
        <v>1061</v>
      </c>
      <c r="AH60" s="116">
        <v>3.5</v>
      </c>
      <c r="AI60" s="116">
        <v>3.5</v>
      </c>
      <c r="AJ60" s="116">
        <v>3.5</v>
      </c>
      <c r="AK60" s="116">
        <v>3.5</v>
      </c>
      <c r="AL60" s="116">
        <v>3.5</v>
      </c>
      <c r="AM60" s="116">
        <v>3.5</v>
      </c>
      <c r="AN60" s="116">
        <v>3.5</v>
      </c>
      <c r="AO60" s="116">
        <v>3.5</v>
      </c>
      <c r="AP60" s="117">
        <v>3.5</v>
      </c>
      <c r="AQ60" s="115">
        <v>0</v>
      </c>
      <c r="AR60" s="115" t="s">
        <v>1061</v>
      </c>
      <c r="AS60" s="115">
        <v>2.0203580800469737E-3</v>
      </c>
    </row>
    <row r="61" spans="1:45" ht="12" customHeight="1">
      <c r="A61" s="107" t="s">
        <v>1088</v>
      </c>
      <c r="B61" s="116">
        <v>0</v>
      </c>
      <c r="C61" s="116">
        <v>0.2</v>
      </c>
      <c r="D61" s="116">
        <v>0.4</v>
      </c>
      <c r="E61" s="116">
        <v>0.3</v>
      </c>
      <c r="F61" s="116">
        <v>0.3</v>
      </c>
      <c r="G61" s="116">
        <v>0.3</v>
      </c>
      <c r="H61" s="116">
        <v>0.3</v>
      </c>
      <c r="I61" s="116">
        <v>0.3</v>
      </c>
      <c r="J61" s="116">
        <v>0.3</v>
      </c>
      <c r="K61" s="116">
        <v>0.3</v>
      </c>
      <c r="L61" s="116">
        <v>0.3</v>
      </c>
      <c r="M61" s="116">
        <v>0.3</v>
      </c>
      <c r="N61" s="116">
        <v>0.3</v>
      </c>
      <c r="O61" s="116">
        <v>0.3</v>
      </c>
      <c r="P61" s="116">
        <v>0.3</v>
      </c>
      <c r="Q61" s="116">
        <v>0.3</v>
      </c>
      <c r="R61" s="116">
        <v>0.3</v>
      </c>
      <c r="S61" s="116">
        <v>0.2621</v>
      </c>
      <c r="T61" s="116">
        <v>0.2621</v>
      </c>
      <c r="U61" s="116">
        <v>0.2621</v>
      </c>
      <c r="V61" s="116">
        <v>0.2621</v>
      </c>
      <c r="W61" s="116">
        <v>0.56299999999999983</v>
      </c>
      <c r="X61" s="116">
        <v>0.56299999999999983</v>
      </c>
      <c r="Y61" s="116">
        <v>0.56299999999999983</v>
      </c>
      <c r="Z61" s="116">
        <v>0.56299999999999983</v>
      </c>
      <c r="AA61" s="116">
        <v>0.56299999999999983</v>
      </c>
      <c r="AB61" s="116">
        <v>4.9999999999999991</v>
      </c>
      <c r="AC61" s="116">
        <v>4.9999999999999991</v>
      </c>
      <c r="AD61" s="116">
        <v>4.9999999999999991</v>
      </c>
      <c r="AE61" s="116">
        <v>4.9999999999999991</v>
      </c>
      <c r="AF61" s="116">
        <v>4.9999999999999991</v>
      </c>
      <c r="AG61" s="116">
        <v>4.9999999999999991</v>
      </c>
      <c r="AH61" s="116">
        <v>1.4999999999999998</v>
      </c>
      <c r="AI61" s="116">
        <v>1.4999999999999998</v>
      </c>
      <c r="AJ61" s="116">
        <v>1.4999999999999998</v>
      </c>
      <c r="AK61" s="116">
        <v>1.4999999999999998</v>
      </c>
      <c r="AL61" s="116">
        <v>1.4999999999999998</v>
      </c>
      <c r="AM61" s="116">
        <v>1.4999999999999998</v>
      </c>
      <c r="AN61" s="116">
        <v>1.4999999999999998</v>
      </c>
      <c r="AO61" s="116">
        <v>1.4999999999999998</v>
      </c>
      <c r="AP61" s="117">
        <v>1.4999999999999998</v>
      </c>
      <c r="AQ61" s="115">
        <v>0</v>
      </c>
      <c r="AR61" s="115">
        <v>-0.11343184943478668</v>
      </c>
      <c r="AS61" s="115">
        <v>8.6586774859156014E-4</v>
      </c>
    </row>
    <row r="62" spans="1:45" ht="12" customHeight="1">
      <c r="A62" s="107" t="s">
        <v>1089</v>
      </c>
      <c r="B62" s="116">
        <v>2.1805930000000004</v>
      </c>
      <c r="C62" s="116">
        <v>2.4913999999999996</v>
      </c>
      <c r="D62" s="116">
        <v>2.4517000000000002</v>
      </c>
      <c r="E62" s="116">
        <v>2.5154399999999999</v>
      </c>
      <c r="F62" s="116">
        <v>1.8149999999999999</v>
      </c>
      <c r="G62" s="116">
        <v>1.7800000000000002</v>
      </c>
      <c r="H62" s="116">
        <v>1.7525999999999999</v>
      </c>
      <c r="I62" s="116">
        <v>1.7249999999999999</v>
      </c>
      <c r="J62" s="116">
        <v>1.79</v>
      </c>
      <c r="K62" s="116">
        <v>1.8</v>
      </c>
      <c r="L62" s="116">
        <v>1.7385999999999999</v>
      </c>
      <c r="M62" s="116">
        <v>0.40049999999999997</v>
      </c>
      <c r="N62" s="116">
        <v>0.46750000000000003</v>
      </c>
      <c r="O62" s="116">
        <v>0.36909999999999998</v>
      </c>
      <c r="P62" s="116">
        <v>0.33800000000000002</v>
      </c>
      <c r="Q62" s="116">
        <v>0.37700000000000006</v>
      </c>
      <c r="R62" s="116">
        <v>0.34</v>
      </c>
      <c r="S62" s="116">
        <v>0.31389999999999996</v>
      </c>
      <c r="T62" s="116">
        <v>0.28999999999999992</v>
      </c>
      <c r="U62" s="116">
        <v>0.308</v>
      </c>
      <c r="V62" s="116">
        <v>0.42519999999999997</v>
      </c>
      <c r="W62" s="116">
        <v>0.52600000000000002</v>
      </c>
      <c r="X62" s="116">
        <v>0.50100000000000011</v>
      </c>
      <c r="Y62" s="116">
        <v>0.64989999999999992</v>
      </c>
      <c r="Z62" s="116">
        <v>0.68069999999999997</v>
      </c>
      <c r="AA62" s="116">
        <v>0.56000000000000005</v>
      </c>
      <c r="AB62" s="116">
        <v>0.59599999999999997</v>
      </c>
      <c r="AC62" s="116">
        <v>0.60099999999999998</v>
      </c>
      <c r="AD62" s="116">
        <v>0.57699999999999996</v>
      </c>
      <c r="AE62" s="116">
        <v>0.42499999999999999</v>
      </c>
      <c r="AF62" s="116">
        <v>0.42499999999999999</v>
      </c>
      <c r="AG62" s="116">
        <v>0.42499999999999999</v>
      </c>
      <c r="AH62" s="116">
        <v>0.42499999999999999</v>
      </c>
      <c r="AI62" s="116">
        <v>0.42499999999999999</v>
      </c>
      <c r="AJ62" s="116">
        <v>0.42499999999999999</v>
      </c>
      <c r="AK62" s="116">
        <v>0.42499999999999999</v>
      </c>
      <c r="AL62" s="116">
        <v>0.42499999999999999</v>
      </c>
      <c r="AM62" s="116">
        <v>0.42499999999999999</v>
      </c>
      <c r="AN62" s="116">
        <v>0.42499999999999999</v>
      </c>
      <c r="AO62" s="116">
        <v>0.42499999999999999</v>
      </c>
      <c r="AP62" s="117">
        <v>0.42499999999999999</v>
      </c>
      <c r="AQ62" s="115">
        <v>0</v>
      </c>
      <c r="AR62" s="115">
        <v>0</v>
      </c>
      <c r="AS62" s="115">
        <v>2.4532919543427539E-4</v>
      </c>
    </row>
    <row r="63" spans="1:45" ht="12" customHeight="1">
      <c r="A63" s="107" t="s">
        <v>1090</v>
      </c>
      <c r="B63" s="116">
        <v>0.55810999999999999</v>
      </c>
      <c r="C63" s="116">
        <v>0.57553900000000002</v>
      </c>
      <c r="D63" s="116">
        <v>0.65024499999999996</v>
      </c>
      <c r="E63" s="116">
        <v>0.71007399999999998</v>
      </c>
      <c r="F63" s="116">
        <v>0.98255000000000003</v>
      </c>
      <c r="G63" s="116">
        <v>1.0063833333333334</v>
      </c>
      <c r="H63" s="116">
        <v>0.9817566666666665</v>
      </c>
      <c r="I63" s="116">
        <v>0.9545800000000001</v>
      </c>
      <c r="J63" s="116">
        <v>0.9562533333333334</v>
      </c>
      <c r="K63" s="116">
        <v>0.90792666666666655</v>
      </c>
      <c r="L63" s="116">
        <v>0.88870999999999989</v>
      </c>
      <c r="M63" s="116">
        <v>0.81188233333333337</v>
      </c>
      <c r="N63" s="116">
        <v>0.75818066666666661</v>
      </c>
      <c r="O63" s="116">
        <v>0.63447300000000006</v>
      </c>
      <c r="P63" s="116">
        <v>0.581646</v>
      </c>
      <c r="Q63" s="116">
        <v>0.66522800000000015</v>
      </c>
      <c r="R63" s="116">
        <v>0.67073800000000006</v>
      </c>
      <c r="S63" s="116">
        <v>0.69348600000000005</v>
      </c>
      <c r="T63" s="116">
        <v>0.69948599999999994</v>
      </c>
      <c r="U63" s="116">
        <v>0.69842400000000004</v>
      </c>
      <c r="V63" s="116">
        <v>0.67832000000000015</v>
      </c>
      <c r="W63" s="116">
        <v>0.61463800000000002</v>
      </c>
      <c r="X63" s="116">
        <v>0.569438</v>
      </c>
      <c r="Y63" s="116">
        <v>0.5544380000000001</v>
      </c>
      <c r="Z63" s="116">
        <v>0.56313800000000003</v>
      </c>
      <c r="AA63" s="116">
        <v>0.54599700000000007</v>
      </c>
      <c r="AB63" s="116">
        <v>0.65452599999999994</v>
      </c>
      <c r="AC63" s="116">
        <v>0.65907399999999994</v>
      </c>
      <c r="AD63" s="116">
        <v>0.65829000000000004</v>
      </c>
      <c r="AE63" s="116">
        <v>0.62148999999999999</v>
      </c>
      <c r="AF63" s="116">
        <v>2.2661220000000002</v>
      </c>
      <c r="AG63" s="116">
        <v>2.1760220000000001</v>
      </c>
      <c r="AH63" s="116">
        <v>3.6731120000000002</v>
      </c>
      <c r="AI63" s="116">
        <v>3.6734120000000003</v>
      </c>
      <c r="AJ63" s="116">
        <v>3.7496486666666669</v>
      </c>
      <c r="AK63" s="116">
        <v>3.9989753333333335</v>
      </c>
      <c r="AL63" s="116">
        <v>3.9515720000000001</v>
      </c>
      <c r="AM63" s="116">
        <v>3.8859709875965285</v>
      </c>
      <c r="AN63" s="116">
        <v>3.8073700836651985</v>
      </c>
      <c r="AO63" s="116">
        <v>3.7388839223337373</v>
      </c>
      <c r="AP63" s="117">
        <v>3.8229500820879543</v>
      </c>
      <c r="AQ63" s="115">
        <v>2.2484292505594583E-2</v>
      </c>
      <c r="AR63" s="115">
        <v>0.19654981432385665</v>
      </c>
      <c r="AS63" s="115">
        <v>2.2067794537036114E-3</v>
      </c>
    </row>
    <row r="64" spans="1:45" s="108" customFormat="1" ht="12" customHeight="1">
      <c r="A64" s="118" t="s">
        <v>1091</v>
      </c>
      <c r="B64" s="119">
        <v>53.436518</v>
      </c>
      <c r="C64" s="119">
        <v>56.281771999999997</v>
      </c>
      <c r="D64" s="119">
        <v>58.270780000000002</v>
      </c>
      <c r="E64" s="119">
        <v>58.038757999999994</v>
      </c>
      <c r="F64" s="119">
        <v>57.766580999999988</v>
      </c>
      <c r="G64" s="119">
        <v>57.037383333333345</v>
      </c>
      <c r="H64" s="119">
        <v>57.966056666666674</v>
      </c>
      <c r="I64" s="119">
        <v>58.663580000000003</v>
      </c>
      <c r="J64" s="119">
        <v>58.996753333333331</v>
      </c>
      <c r="K64" s="119">
        <v>59.086526666666657</v>
      </c>
      <c r="L64" s="119">
        <v>58.72581000000001</v>
      </c>
      <c r="M64" s="119">
        <v>60.371982333333342</v>
      </c>
      <c r="N64" s="119">
        <v>61.079080666666684</v>
      </c>
      <c r="O64" s="119">
        <v>61.233073000000005</v>
      </c>
      <c r="P64" s="119">
        <v>65.008346000000003</v>
      </c>
      <c r="Q64" s="119">
        <v>71.952928</v>
      </c>
      <c r="R64" s="119">
        <v>74.932238000000012</v>
      </c>
      <c r="S64" s="119">
        <v>75.258786000000001</v>
      </c>
      <c r="T64" s="119">
        <v>77.172286</v>
      </c>
      <c r="U64" s="119">
        <v>84.719524000000007</v>
      </c>
      <c r="V64" s="119">
        <v>92.904433000000012</v>
      </c>
      <c r="W64" s="119">
        <v>96.607551000000015</v>
      </c>
      <c r="X64" s="119">
        <v>101.601438</v>
      </c>
      <c r="Y64" s="119">
        <v>106.52433800000003</v>
      </c>
      <c r="Z64" s="119">
        <v>107.902838</v>
      </c>
      <c r="AA64" s="119">
        <v>111.748997</v>
      </c>
      <c r="AB64" s="119">
        <v>117.579526</v>
      </c>
      <c r="AC64" s="119">
        <v>120.03807399999999</v>
      </c>
      <c r="AD64" s="119">
        <v>120.75129</v>
      </c>
      <c r="AE64" s="119">
        <v>122.97349000000001</v>
      </c>
      <c r="AF64" s="119">
        <v>124.948122</v>
      </c>
      <c r="AG64" s="119">
        <v>124.622022</v>
      </c>
      <c r="AH64" s="119">
        <v>127.36911200000002</v>
      </c>
      <c r="AI64" s="119">
        <v>127.521412</v>
      </c>
      <c r="AJ64" s="119">
        <v>126.75664866666666</v>
      </c>
      <c r="AK64" s="119">
        <v>127.62797533333332</v>
      </c>
      <c r="AL64" s="119">
        <v>127.88157200000001</v>
      </c>
      <c r="AM64" s="119">
        <v>126.61797098759652</v>
      </c>
      <c r="AN64" s="119">
        <v>125.70637008366521</v>
      </c>
      <c r="AO64" s="119">
        <v>125.02788392233374</v>
      </c>
      <c r="AP64" s="119">
        <v>125.11195008208797</v>
      </c>
      <c r="AQ64" s="120">
        <v>6.7237928945873549E-4</v>
      </c>
      <c r="AR64" s="120">
        <v>1.6581712597905085E-3</v>
      </c>
      <c r="AS64" s="120">
        <v>7.2220268359651452E-2</v>
      </c>
    </row>
    <row r="65" spans="1:45" ht="12" customHeight="1">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7"/>
      <c r="AQ65" s="115"/>
      <c r="AR65" s="115"/>
      <c r="AS65" s="115"/>
    </row>
    <row r="66" spans="1:45" ht="12" customHeight="1">
      <c r="A66" s="107" t="s">
        <v>1092</v>
      </c>
      <c r="B66" s="116">
        <v>2.1228111260493749</v>
      </c>
      <c r="C66" s="116">
        <v>2.618448212664755</v>
      </c>
      <c r="D66" s="116">
        <v>2.9310518066341</v>
      </c>
      <c r="E66" s="116">
        <v>2.4907650545645996</v>
      </c>
      <c r="F66" s="116">
        <v>2.5599529727469497</v>
      </c>
      <c r="G66" s="116">
        <v>2.4593160008453498</v>
      </c>
      <c r="H66" s="116">
        <v>2.8744435099394501</v>
      </c>
      <c r="I66" s="116">
        <v>2.9058925636586999</v>
      </c>
      <c r="J66" s="116">
        <v>3.1889340471319501</v>
      </c>
      <c r="K66" s="116">
        <v>3.1008766967180499</v>
      </c>
      <c r="L66" s="116">
        <v>3.1574849934127003</v>
      </c>
      <c r="M66" s="116">
        <v>3.2266729115950503</v>
      </c>
      <c r="N66" s="116">
        <v>3.2203831008512003</v>
      </c>
      <c r="O66" s="116">
        <v>3.2581219653142997</v>
      </c>
      <c r="P66" s="116">
        <v>3.8179151215169504</v>
      </c>
      <c r="Q66" s="116">
        <v>3.7990456892853999</v>
      </c>
      <c r="R66" s="116">
        <v>3.8179151215169496</v>
      </c>
      <c r="S66" s="116">
        <v>4.0380584975516998</v>
      </c>
      <c r="T66" s="116">
        <v>4.7739663545821509</v>
      </c>
      <c r="U66" s="116">
        <v>4.7425173008629002</v>
      </c>
      <c r="V66" s="116">
        <v>4.9437912446660999</v>
      </c>
      <c r="W66" s="116">
        <v>4.9563708661538</v>
      </c>
      <c r="X66" s="116">
        <v>4.5726924107789504</v>
      </c>
      <c r="Y66" s="116">
        <v>3.7494379519486554</v>
      </c>
      <c r="Z66" s="116">
        <v>3.8892604447844414</v>
      </c>
      <c r="AA66" s="116">
        <v>3.7183411276310601</v>
      </c>
      <c r="AB66" s="116">
        <v>3.5145198104766018</v>
      </c>
      <c r="AC66" s="116">
        <v>3.4289595149280103</v>
      </c>
      <c r="AD66" s="116">
        <v>4.2392003553292792</v>
      </c>
      <c r="AE66" s="116">
        <v>4.0613999852221276</v>
      </c>
      <c r="AF66" s="116">
        <v>3.8310796954038282</v>
      </c>
      <c r="AG66" s="116">
        <v>3.8729446757148938</v>
      </c>
      <c r="AH66" s="116">
        <v>3.9219674606524606</v>
      </c>
      <c r="AI66" s="116">
        <v>3.9574986015444695</v>
      </c>
      <c r="AJ66" s="116">
        <v>2.3903420957597694</v>
      </c>
      <c r="AK66" s="116">
        <v>2.3903420957597694</v>
      </c>
      <c r="AL66" s="116">
        <v>2.3903420957597694</v>
      </c>
      <c r="AM66" s="116">
        <v>2.3903420957597694</v>
      </c>
      <c r="AN66" s="116">
        <v>2.3903420957597694</v>
      </c>
      <c r="AO66" s="116">
        <v>2.3903420957597694</v>
      </c>
      <c r="AP66" s="117">
        <v>2.3903420957597694</v>
      </c>
      <c r="AQ66" s="115">
        <v>0</v>
      </c>
      <c r="AR66" s="115">
        <v>-5.1628641077893334E-2</v>
      </c>
      <c r="AS66" s="115">
        <v>1.3798134192127621E-3</v>
      </c>
    </row>
    <row r="67" spans="1:45" ht="12" customHeight="1">
      <c r="A67" s="107" t="s">
        <v>1093</v>
      </c>
      <c r="B67" s="116">
        <v>1.294</v>
      </c>
      <c r="C67" s="116">
        <v>1.4999999999999998</v>
      </c>
      <c r="D67" s="116">
        <v>1.4452499999999999</v>
      </c>
      <c r="E67" s="116">
        <v>1.5269999999999999</v>
      </c>
      <c r="F67" s="116">
        <v>1.47027</v>
      </c>
      <c r="G67" s="116">
        <v>1.4430000000000001</v>
      </c>
      <c r="H67" s="116">
        <v>1.4750000000000001</v>
      </c>
      <c r="I67" s="116">
        <v>1.6000000000000003</v>
      </c>
      <c r="J67" s="116">
        <v>1.2000000000000002</v>
      </c>
      <c r="K67" s="116">
        <v>1.1516999999999999</v>
      </c>
      <c r="L67" s="116">
        <v>1.1240000000000001</v>
      </c>
      <c r="M67" s="116">
        <v>1.1500000000000001</v>
      </c>
      <c r="N67" s="116">
        <v>1.1299999999999999</v>
      </c>
      <c r="O67" s="116">
        <v>1.25</v>
      </c>
      <c r="P67" s="116">
        <v>1.1879999999999999</v>
      </c>
      <c r="Q67" s="116">
        <v>1.1240000000000001</v>
      </c>
      <c r="R67" s="116">
        <v>1.0900000000000001</v>
      </c>
      <c r="S67" s="116">
        <v>1.06</v>
      </c>
      <c r="T67" s="116">
        <v>1.0199999999999998</v>
      </c>
      <c r="U67" s="116">
        <v>1.3</v>
      </c>
      <c r="V67" s="116">
        <v>1.2299999999999998</v>
      </c>
      <c r="W67" s="116">
        <v>1.1599999999999999</v>
      </c>
      <c r="X67" s="116">
        <v>1.1000000000000001</v>
      </c>
      <c r="Y67" s="116">
        <v>1.0499999999999998</v>
      </c>
      <c r="Z67" s="116">
        <v>1.1202999999999999</v>
      </c>
      <c r="AA67" s="116">
        <v>1.105</v>
      </c>
      <c r="AB67" s="116">
        <v>1.2000000000000002</v>
      </c>
      <c r="AC67" s="116">
        <v>1.0780000000000001</v>
      </c>
      <c r="AD67" s="116">
        <v>1.0780000000000001</v>
      </c>
      <c r="AE67" s="116">
        <v>1.1000000000000001</v>
      </c>
      <c r="AF67" s="116">
        <v>1.1000000000000001</v>
      </c>
      <c r="AG67" s="116">
        <v>1.1000000000000001</v>
      </c>
      <c r="AH67" s="116">
        <v>1.1000000000000001</v>
      </c>
      <c r="AI67" s="116">
        <v>1.1000000000000001</v>
      </c>
      <c r="AJ67" s="116">
        <v>1.1000000000000001</v>
      </c>
      <c r="AK67" s="116">
        <v>1.1000000000000001</v>
      </c>
      <c r="AL67" s="116">
        <v>1.1000000000000001</v>
      </c>
      <c r="AM67" s="116">
        <v>1.1000000000000001</v>
      </c>
      <c r="AN67" s="116">
        <v>1.1000000000000001</v>
      </c>
      <c r="AO67" s="116">
        <v>1.1000000000000001</v>
      </c>
      <c r="AP67" s="117">
        <v>1.1000000000000001</v>
      </c>
      <c r="AQ67" s="115">
        <v>0</v>
      </c>
      <c r="AR67" s="115">
        <v>0</v>
      </c>
      <c r="AS67" s="115">
        <v>6.349696823004776E-4</v>
      </c>
    </row>
    <row r="68" spans="1:45" ht="12" customHeight="1">
      <c r="A68" s="107" t="s">
        <v>203</v>
      </c>
      <c r="B68" s="116">
        <v>13.3526212</v>
      </c>
      <c r="C68" s="116">
        <v>13.290462799999998</v>
      </c>
      <c r="D68" s="116">
        <v>13.2588705</v>
      </c>
      <c r="E68" s="116">
        <v>14.880852900000002</v>
      </c>
      <c r="F68" s="116">
        <v>16.364591500000003</v>
      </c>
      <c r="G68" s="116">
        <v>17.087696000000001</v>
      </c>
      <c r="H68" s="116">
        <v>17.161289199999999</v>
      </c>
      <c r="I68" s="116">
        <v>17.423483300000001</v>
      </c>
      <c r="J68" s="116">
        <v>17.283626900000002</v>
      </c>
      <c r="K68" s="116">
        <v>16.058490700000004</v>
      </c>
      <c r="L68" s="116">
        <v>16.019715000000001</v>
      </c>
      <c r="M68" s="116">
        <v>15.513212000000001</v>
      </c>
      <c r="N68" s="116">
        <v>15.193110899999999</v>
      </c>
      <c r="O68" s="116">
        <v>16.435325999999996</v>
      </c>
      <c r="P68" s="116">
        <v>16.257940000000001</v>
      </c>
      <c r="Q68" s="116">
        <v>16.355062499999999</v>
      </c>
      <c r="R68" s="116">
        <v>16.444488500000002</v>
      </c>
      <c r="S68" s="116">
        <v>17.021506100000003</v>
      </c>
      <c r="T68" s="116">
        <v>17.422823600000001</v>
      </c>
      <c r="U68" s="116">
        <v>15.1119</v>
      </c>
      <c r="V68" s="116">
        <v>15.190300000000001</v>
      </c>
      <c r="W68" s="116">
        <v>15.411500000000002</v>
      </c>
      <c r="X68" s="116">
        <v>15.508700000000001</v>
      </c>
      <c r="Y68" s="116">
        <v>15.4757</v>
      </c>
      <c r="Z68" s="116">
        <v>18.258876069999999</v>
      </c>
      <c r="AA68" s="116">
        <v>18.249655662999999</v>
      </c>
      <c r="AB68" s="116">
        <v>20.220299775000001</v>
      </c>
      <c r="AC68" s="116">
        <v>20.762501341000004</v>
      </c>
      <c r="AD68" s="116">
        <v>21.186851899999997</v>
      </c>
      <c r="AE68" s="116">
        <v>21.617621339999999</v>
      </c>
      <c r="AF68" s="116">
        <v>23.268007489999999</v>
      </c>
      <c r="AG68" s="116">
        <v>23.746847070000001</v>
      </c>
      <c r="AH68" s="116">
        <v>24.427835589000001</v>
      </c>
      <c r="AI68" s="116">
        <v>24.682514973</v>
      </c>
      <c r="AJ68" s="116">
        <v>25.166455500000001</v>
      </c>
      <c r="AK68" s="116">
        <v>25.626464309999999</v>
      </c>
      <c r="AL68" s="116">
        <v>25.663817989999998</v>
      </c>
      <c r="AM68" s="116">
        <v>25.9482</v>
      </c>
      <c r="AN68" s="116">
        <v>26.190090000000001</v>
      </c>
      <c r="AO68" s="116">
        <v>25.962757379999999</v>
      </c>
      <c r="AP68" s="117">
        <v>25.962757379999999</v>
      </c>
      <c r="AQ68" s="115">
        <v>0</v>
      </c>
      <c r="AR68" s="115">
        <v>1.848418800733409E-2</v>
      </c>
      <c r="AS68" s="115">
        <v>1.4986876186566344E-2</v>
      </c>
    </row>
    <row r="69" spans="1:45" ht="12" customHeight="1">
      <c r="A69" s="107" t="s">
        <v>224</v>
      </c>
      <c r="B69" s="116">
        <v>2.7569588999999999</v>
      </c>
      <c r="C69" s="116">
        <v>3.4824000000000002</v>
      </c>
      <c r="D69" s="116">
        <v>3.5046999999999997</v>
      </c>
      <c r="E69" s="116">
        <v>3.6199999999999997</v>
      </c>
      <c r="F69" s="116">
        <v>3.76</v>
      </c>
      <c r="G69" s="116">
        <v>3.7613102999999999</v>
      </c>
      <c r="H69" s="116">
        <v>4.6349999999999998</v>
      </c>
      <c r="I69" s="116">
        <v>4.4156000000000004</v>
      </c>
      <c r="J69" s="116">
        <v>4.4634999999999998</v>
      </c>
      <c r="K69" s="116">
        <v>4.3453999999999997</v>
      </c>
      <c r="L69" s="116">
        <v>5.5631639999999996</v>
      </c>
      <c r="M69" s="116">
        <v>6.1256000000000004</v>
      </c>
      <c r="N69" s="116">
        <v>5.91</v>
      </c>
      <c r="O69" s="116">
        <v>5.86</v>
      </c>
      <c r="P69" s="116">
        <v>5.8072999999999997</v>
      </c>
      <c r="Q69" s="116">
        <v>5.5097763000000004</v>
      </c>
      <c r="R69" s="116">
        <v>5.4869604000000001</v>
      </c>
      <c r="S69" s="116">
        <v>5.625437100000001</v>
      </c>
      <c r="T69" s="116">
        <v>5.3942660999999994</v>
      </c>
      <c r="U69" s="116">
        <v>4.9722096000000002</v>
      </c>
      <c r="V69" s="116">
        <v>5.2899003000000002</v>
      </c>
      <c r="W69" s="116">
        <v>5.5134660000000002</v>
      </c>
      <c r="X69" s="116">
        <v>5.5763414999999998</v>
      </c>
      <c r="Y69" s="116">
        <v>5.7311582999999997</v>
      </c>
      <c r="Z69" s="116">
        <v>5.5652724000000005</v>
      </c>
      <c r="AA69" s="116">
        <v>5.9188811999999995</v>
      </c>
      <c r="AB69" s="116">
        <v>5.6926800000000002</v>
      </c>
      <c r="AC69" s="116">
        <v>5.4592499999999999</v>
      </c>
      <c r="AD69" s="116">
        <v>5.7981000000000007</v>
      </c>
      <c r="AE69" s="116">
        <v>5.8228736999999997</v>
      </c>
      <c r="AF69" s="116">
        <v>5.8331898000000004</v>
      </c>
      <c r="AG69" s="116">
        <v>5.7035232000000002</v>
      </c>
      <c r="AH69" s="116">
        <v>5.7197126999999996</v>
      </c>
      <c r="AI69" s="116">
        <v>5.7110306100000008</v>
      </c>
      <c r="AJ69" s="116">
        <v>5.7434096099999996</v>
      </c>
      <c r="AK69" s="116">
        <v>4.7860680000000002</v>
      </c>
      <c r="AL69" s="116">
        <v>4.6782384000000006</v>
      </c>
      <c r="AM69" s="116">
        <v>4.5488654700000009</v>
      </c>
      <c r="AN69" s="116">
        <v>4.4765774700000005</v>
      </c>
      <c r="AO69" s="116">
        <v>4.6606143141661374</v>
      </c>
      <c r="AP69" s="117">
        <v>4.5432921809788889</v>
      </c>
      <c r="AQ69" s="115">
        <v>-2.5173104933966073E-2</v>
      </c>
      <c r="AR69" s="115">
        <v>-2.2018635296810696E-2</v>
      </c>
      <c r="AS69" s="115">
        <v>2.6225934479585534E-3</v>
      </c>
    </row>
    <row r="70" spans="1:45" ht="12" customHeight="1">
      <c r="A70" s="107" t="s">
        <v>1094</v>
      </c>
      <c r="B70" s="116">
        <v>11.603</v>
      </c>
      <c r="C70" s="116">
        <v>11.018000000000001</v>
      </c>
      <c r="D70" s="116">
        <v>10.534000000000002</v>
      </c>
      <c r="E70" s="116">
        <v>10.080000000000002</v>
      </c>
      <c r="F70" s="116">
        <v>9.6110000000000007</v>
      </c>
      <c r="G70" s="116">
        <v>9.18</v>
      </c>
      <c r="H70" s="116">
        <v>9</v>
      </c>
      <c r="I70" s="116">
        <v>9</v>
      </c>
      <c r="J70" s="116">
        <v>9</v>
      </c>
      <c r="K70" s="116">
        <v>5.1139999999999999</v>
      </c>
      <c r="L70" s="116">
        <v>5.415</v>
      </c>
      <c r="M70" s="116">
        <v>5.9089999999999998</v>
      </c>
      <c r="N70" s="116">
        <v>5.5979999999999999</v>
      </c>
      <c r="O70" s="116">
        <v>5.1669999999999998</v>
      </c>
      <c r="P70" s="116">
        <v>4.9800000000000004</v>
      </c>
      <c r="Q70" s="116">
        <v>4.9800000000000004</v>
      </c>
      <c r="R70" s="116">
        <v>4.7300000000000004</v>
      </c>
      <c r="S70" s="116">
        <v>4.87</v>
      </c>
      <c r="T70" s="116">
        <v>5.0999999999999996</v>
      </c>
      <c r="U70" s="116">
        <v>5.2</v>
      </c>
      <c r="V70" s="116">
        <v>5.12</v>
      </c>
      <c r="W70" s="116">
        <v>5.0999999999999996</v>
      </c>
      <c r="X70" s="116">
        <v>4.72</v>
      </c>
      <c r="Y70" s="116">
        <v>4.7300000000000004</v>
      </c>
      <c r="Z70" s="116">
        <v>4.3</v>
      </c>
      <c r="AA70" s="116">
        <v>4.1900000000000004</v>
      </c>
      <c r="AB70" s="116">
        <v>4.37</v>
      </c>
      <c r="AC70" s="116">
        <v>3.98874</v>
      </c>
      <c r="AD70" s="116">
        <v>3.7475000000000005</v>
      </c>
      <c r="AE70" s="116">
        <v>4.3029999999999999</v>
      </c>
      <c r="AF70" s="116">
        <v>4.2300000000000004</v>
      </c>
      <c r="AG70" s="116">
        <v>3.74133</v>
      </c>
      <c r="AH70" s="116">
        <v>3.74133</v>
      </c>
      <c r="AI70" s="116">
        <v>3.6924999999999999</v>
      </c>
      <c r="AJ70" s="116">
        <v>3.6244999999999998</v>
      </c>
      <c r="AK70" s="116">
        <v>3.6025299999999998</v>
      </c>
      <c r="AL70" s="116">
        <v>3.3069000000000002</v>
      </c>
      <c r="AM70" s="116">
        <v>3.1709000000000001</v>
      </c>
      <c r="AN70" s="116">
        <v>3.1542999999999997</v>
      </c>
      <c r="AO70" s="116">
        <v>2.4839700000000002</v>
      </c>
      <c r="AP70" s="117">
        <v>2.44</v>
      </c>
      <c r="AQ70" s="115">
        <v>-1.7701502031023053E-2</v>
      </c>
      <c r="AR70" s="115">
        <v>-5.3463207298968807E-2</v>
      </c>
      <c r="AS70" s="115">
        <v>1.4084782043756047E-3</v>
      </c>
    </row>
    <row r="71" spans="1:45" ht="12" customHeight="1">
      <c r="A71" s="107" t="s">
        <v>1095</v>
      </c>
      <c r="B71" s="116">
        <v>1.4502510000000002</v>
      </c>
      <c r="C71" s="116">
        <v>1.4389649999999998</v>
      </c>
      <c r="D71" s="116">
        <v>1.6113899999999999</v>
      </c>
      <c r="E71" s="116">
        <v>1.8509039999999997</v>
      </c>
      <c r="F71" s="116">
        <v>1.9223819999999998</v>
      </c>
      <c r="G71" s="116">
        <v>1.895421</v>
      </c>
      <c r="H71" s="116">
        <v>1.8220619999999998</v>
      </c>
      <c r="I71" s="116">
        <v>1.8320940000000001</v>
      </c>
      <c r="J71" s="116">
        <v>1.9148579999999999</v>
      </c>
      <c r="K71" s="116">
        <v>1.8452610000000003</v>
      </c>
      <c r="L71" s="116">
        <v>1.9092149999999999</v>
      </c>
      <c r="M71" s="116">
        <v>3.5199780000000001</v>
      </c>
      <c r="N71" s="116">
        <v>3.8341050000000001</v>
      </c>
      <c r="O71" s="116">
        <v>2.6960999999999999</v>
      </c>
      <c r="P71" s="116">
        <v>2.5782240000000001</v>
      </c>
      <c r="Q71" s="116">
        <v>2.508</v>
      </c>
      <c r="R71" s="116">
        <v>2.4139500000000003</v>
      </c>
      <c r="S71" s="116">
        <v>2.43276</v>
      </c>
      <c r="T71" s="116">
        <v>2.1443399999999997</v>
      </c>
      <c r="U71" s="116">
        <v>2.1255300000000004</v>
      </c>
      <c r="V71" s="116">
        <v>2.1255300000000004</v>
      </c>
      <c r="W71" s="116">
        <v>2.6522100000000002</v>
      </c>
      <c r="X71" s="116">
        <v>2.8528500000000001</v>
      </c>
      <c r="Y71" s="116">
        <v>3.0284100000000005</v>
      </c>
      <c r="Z71" s="116">
        <v>3.3230999999999993</v>
      </c>
      <c r="AA71" s="116">
        <v>3.2942579999999992</v>
      </c>
      <c r="AB71" s="116">
        <v>2.7061319999999998</v>
      </c>
      <c r="AC71" s="116">
        <v>3.4221660000000007</v>
      </c>
      <c r="AD71" s="116">
        <v>3.4591590000000001</v>
      </c>
      <c r="AE71" s="116">
        <v>3.6339999999999999</v>
      </c>
      <c r="AF71" s="116">
        <v>3.5719999999999996</v>
      </c>
      <c r="AG71" s="116">
        <v>3.7389999999999999</v>
      </c>
      <c r="AH71" s="116">
        <v>3.6880000000000002</v>
      </c>
      <c r="AI71" s="116">
        <v>3.8</v>
      </c>
      <c r="AJ71" s="116">
        <v>3.5999999999999996</v>
      </c>
      <c r="AK71" s="116">
        <v>3.0179999999999998</v>
      </c>
      <c r="AL71" s="116">
        <v>2.8356000000000003</v>
      </c>
      <c r="AM71" s="116">
        <v>2.7318000000000002</v>
      </c>
      <c r="AN71" s="116">
        <v>2.7318000000000002</v>
      </c>
      <c r="AO71" s="116">
        <v>2.7318000000000002</v>
      </c>
      <c r="AP71" s="117">
        <v>2.7318000000000002</v>
      </c>
      <c r="AQ71" s="115">
        <v>0</v>
      </c>
      <c r="AR71" s="115">
        <v>-2.8133980204212206E-2</v>
      </c>
      <c r="AS71" s="115">
        <v>1.5769183437349496E-3</v>
      </c>
    </row>
    <row r="72" spans="1:45" ht="12" customHeight="1">
      <c r="A72" s="107" t="s">
        <v>1096</v>
      </c>
      <c r="B72" s="116">
        <v>4.1900000000000005E-4</v>
      </c>
      <c r="C72" s="116">
        <v>1.5209499999999999E-2</v>
      </c>
      <c r="D72" s="116">
        <v>0.03</v>
      </c>
      <c r="E72" s="116">
        <v>0.03</v>
      </c>
      <c r="F72" s="116">
        <v>5.8000000000000003E-2</v>
      </c>
      <c r="G72" s="116">
        <v>0.109</v>
      </c>
      <c r="H72" s="116">
        <v>0.104</v>
      </c>
      <c r="I72" s="116">
        <v>0.104</v>
      </c>
      <c r="J72" s="116">
        <v>0.104</v>
      </c>
      <c r="K72" s="116">
        <v>0.23070000000000002</v>
      </c>
      <c r="L72" s="116">
        <v>0.26139999999999991</v>
      </c>
      <c r="M72" s="116">
        <v>0.22</v>
      </c>
      <c r="N72" s="116">
        <v>0.17859999999999995</v>
      </c>
      <c r="O72" s="116">
        <v>0.21810000000000002</v>
      </c>
      <c r="P72" s="116">
        <v>0.23079999999999998</v>
      </c>
      <c r="Q72" s="116">
        <v>0.29519999999999996</v>
      </c>
      <c r="R72" s="116">
        <v>0.24120000000000003</v>
      </c>
      <c r="S72" s="116">
        <v>0.29629999999999995</v>
      </c>
      <c r="T72" s="116">
        <v>0.38830000000000009</v>
      </c>
      <c r="U72" s="116">
        <v>0.35846999999999996</v>
      </c>
      <c r="V72" s="116">
        <v>0.51500000000000001</v>
      </c>
      <c r="W72" s="116">
        <v>0.58400000000000007</v>
      </c>
      <c r="X72" s="116">
        <v>0.69199999999999984</v>
      </c>
      <c r="Y72" s="116">
        <v>0.5</v>
      </c>
      <c r="Z72" s="116">
        <v>0.5273000000000001</v>
      </c>
      <c r="AA72" s="116">
        <v>0.45300000000000001</v>
      </c>
      <c r="AB72" s="116">
        <v>0.46100000000000002</v>
      </c>
      <c r="AC72" s="116">
        <v>0.46100000000000002</v>
      </c>
      <c r="AD72" s="116">
        <v>0.45400000000000001</v>
      </c>
      <c r="AE72" s="116">
        <v>0.43500000000000005</v>
      </c>
      <c r="AF72" s="116">
        <v>0.442</v>
      </c>
      <c r="AG72" s="116">
        <v>0.45327000000000001</v>
      </c>
      <c r="AH72" s="116">
        <v>0.44882</v>
      </c>
      <c r="AI72" s="116">
        <v>0.46179999999999999</v>
      </c>
      <c r="AJ72" s="116">
        <v>0.40483000000000002</v>
      </c>
      <c r="AK72" s="116">
        <v>0.39636000000000005</v>
      </c>
      <c r="AL72" s="116">
        <v>0.34938999999999998</v>
      </c>
      <c r="AM72" s="116">
        <v>0.32250000000000001</v>
      </c>
      <c r="AN72" s="116">
        <v>0.29259999999999997</v>
      </c>
      <c r="AO72" s="116">
        <v>0.25275000000000003</v>
      </c>
      <c r="AP72" s="117">
        <v>0.25275000000000003</v>
      </c>
      <c r="AQ72" s="115">
        <v>0</v>
      </c>
      <c r="AR72" s="115">
        <v>-5.2846887575652923E-2</v>
      </c>
      <c r="AS72" s="115">
        <v>1.4589871563767791E-4</v>
      </c>
    </row>
    <row r="73" spans="1:45" ht="12" customHeight="1">
      <c r="A73" s="107" t="s">
        <v>1097</v>
      </c>
      <c r="B73" s="116">
        <v>0</v>
      </c>
      <c r="C73" s="116">
        <v>0</v>
      </c>
      <c r="D73" s="116">
        <v>0</v>
      </c>
      <c r="E73" s="116">
        <v>0</v>
      </c>
      <c r="F73" s="116">
        <v>0</v>
      </c>
      <c r="G73" s="116">
        <v>0</v>
      </c>
      <c r="H73" s="116">
        <v>0</v>
      </c>
      <c r="I73" s="116">
        <v>2.1899999999999999E-2</v>
      </c>
      <c r="J73" s="116">
        <v>5.11E-2</v>
      </c>
      <c r="K73" s="116">
        <v>0.1095</v>
      </c>
      <c r="L73" s="116">
        <v>0.20075000000000001</v>
      </c>
      <c r="M73" s="116">
        <v>0.23999999999999996</v>
      </c>
      <c r="N73" s="116">
        <v>0.34999999999999992</v>
      </c>
      <c r="O73" s="116">
        <v>0.59620000000000017</v>
      </c>
      <c r="P73" s="116">
        <v>0.63870000000000005</v>
      </c>
      <c r="Q73" s="116">
        <v>0.76435000000000008</v>
      </c>
      <c r="R73" s="116">
        <v>0.89</v>
      </c>
      <c r="S73" s="116">
        <v>1.2464000000000002</v>
      </c>
      <c r="T73" s="116">
        <v>1.9000000000000001</v>
      </c>
      <c r="U73" s="116">
        <v>1.8</v>
      </c>
      <c r="V73" s="116">
        <v>1.95</v>
      </c>
      <c r="W73" s="116">
        <v>2.2000000000000002</v>
      </c>
      <c r="X73" s="116">
        <v>2.8120000000000003</v>
      </c>
      <c r="Y73" s="116">
        <v>2.96</v>
      </c>
      <c r="Z73" s="116">
        <v>3.0840000000000005</v>
      </c>
      <c r="AA73" s="116">
        <v>3.1192074679999999</v>
      </c>
      <c r="AB73" s="116">
        <v>3.25</v>
      </c>
      <c r="AC73" s="116">
        <v>3.41</v>
      </c>
      <c r="AD73" s="116">
        <v>4.7300000000000004</v>
      </c>
      <c r="AE73" s="116">
        <v>4.4999999999999991</v>
      </c>
      <c r="AF73" s="116">
        <v>4.4000000000000004</v>
      </c>
      <c r="AG73" s="116">
        <v>4.4000000000000004</v>
      </c>
      <c r="AH73" s="116">
        <v>4.4000000000000004</v>
      </c>
      <c r="AI73" s="116">
        <v>4.4000000000000004</v>
      </c>
      <c r="AJ73" s="116">
        <v>4.4000000000000004</v>
      </c>
      <c r="AK73" s="116">
        <v>4.4000000000000004</v>
      </c>
      <c r="AL73" s="116">
        <v>4.4000000000000004</v>
      </c>
      <c r="AM73" s="116">
        <v>4.4000000000000004</v>
      </c>
      <c r="AN73" s="116">
        <v>4.4000000000000004</v>
      </c>
      <c r="AO73" s="116">
        <v>4.4000000000000004</v>
      </c>
      <c r="AP73" s="117">
        <v>4.4000000000000004</v>
      </c>
      <c r="AQ73" s="115">
        <v>0</v>
      </c>
      <c r="AR73" s="115">
        <v>-2.2447623294677976E-3</v>
      </c>
      <c r="AS73" s="115">
        <v>2.5398787292019104E-3</v>
      </c>
    </row>
    <row r="74" spans="1:45" ht="12" customHeight="1">
      <c r="A74" s="107" t="s">
        <v>1098</v>
      </c>
      <c r="B74" s="116">
        <v>0.99311000000000005</v>
      </c>
      <c r="C74" s="116">
        <v>1.0880599999999998</v>
      </c>
      <c r="D74" s="116">
        <v>1.08362</v>
      </c>
      <c r="E74" s="116">
        <v>1.1097920000000001</v>
      </c>
      <c r="F74" s="116">
        <v>1.1002579999999997</v>
      </c>
      <c r="G74" s="116">
        <v>1.1700000000000002</v>
      </c>
      <c r="H74" s="116">
        <v>0.67880000000000007</v>
      </c>
      <c r="I74" s="116">
        <v>0.67049999999999998</v>
      </c>
      <c r="J74" s="116">
        <v>0.97569999999999979</v>
      </c>
      <c r="K74" s="116">
        <v>0.9454999999999999</v>
      </c>
      <c r="L74" s="116">
        <v>1.0052000000000001</v>
      </c>
      <c r="M74" s="116">
        <v>0.91326799999999975</v>
      </c>
      <c r="N74" s="116">
        <v>0.86677999999999977</v>
      </c>
      <c r="O74" s="116">
        <v>1.0894729999999999</v>
      </c>
      <c r="P74" s="116">
        <v>1.0827829999999998</v>
      </c>
      <c r="Q74" s="116">
        <v>1.0728139999999999</v>
      </c>
      <c r="R74" s="116">
        <v>1.3314090000000001</v>
      </c>
      <c r="S74" s="116">
        <v>1.196955</v>
      </c>
      <c r="T74" s="116">
        <v>1.339858</v>
      </c>
      <c r="U74" s="116">
        <v>1.4171070000000001</v>
      </c>
      <c r="V74" s="116">
        <v>1.3076120000000002</v>
      </c>
      <c r="W74" s="116">
        <v>1.2469996666666667</v>
      </c>
      <c r="X74" s="116">
        <v>1.11395</v>
      </c>
      <c r="Y74" s="116">
        <v>1.4288398900000001</v>
      </c>
      <c r="Z74" s="116">
        <v>1.4512944334330768</v>
      </c>
      <c r="AA74" s="116">
        <v>1.4155132770851404</v>
      </c>
      <c r="AB74" s="116">
        <v>1.3907910930851406</v>
      </c>
      <c r="AC74" s="116">
        <v>1.2680459330851406</v>
      </c>
      <c r="AD74" s="116">
        <v>1.2594644837958786</v>
      </c>
      <c r="AE74" s="116">
        <v>1.122902140823977</v>
      </c>
      <c r="AF74" s="116">
        <v>1.1074424463382158</v>
      </c>
      <c r="AG74" s="116">
        <v>1.0957253322267788</v>
      </c>
      <c r="AH74" s="116">
        <v>1.0746144263466397</v>
      </c>
      <c r="AI74" s="116">
        <v>1.295926805047303</v>
      </c>
      <c r="AJ74" s="116">
        <v>1.2341395111343341</v>
      </c>
      <c r="AK74" s="116">
        <v>1.2552914127166912</v>
      </c>
      <c r="AL74" s="116">
        <v>1.185388826989888</v>
      </c>
      <c r="AM74" s="116">
        <v>1.1736568163868095</v>
      </c>
      <c r="AN74" s="116">
        <v>1.1704933906536104</v>
      </c>
      <c r="AO74" s="116">
        <v>1.366695472148207</v>
      </c>
      <c r="AP74" s="117">
        <v>1.3377792917690434</v>
      </c>
      <c r="AQ74" s="115">
        <v>-2.1157734819822305E-2</v>
      </c>
      <c r="AR74" s="115">
        <v>1.9842213914447848E-2</v>
      </c>
      <c r="AS74" s="115">
        <v>7.7222662898431579E-4</v>
      </c>
    </row>
    <row r="75" spans="1:45" s="108" customFormat="1" ht="12" customHeight="1">
      <c r="A75" s="118" t="s">
        <v>1099</v>
      </c>
      <c r="B75" s="119">
        <v>33.573171226049382</v>
      </c>
      <c r="C75" s="119">
        <v>34.451545512664758</v>
      </c>
      <c r="D75" s="119">
        <v>34.398882306634107</v>
      </c>
      <c r="E75" s="119">
        <v>35.589313954564602</v>
      </c>
      <c r="F75" s="119">
        <v>36.846454472746942</v>
      </c>
      <c r="G75" s="119">
        <v>37.10574330084534</v>
      </c>
      <c r="H75" s="119">
        <v>37.750594709939442</v>
      </c>
      <c r="I75" s="119">
        <v>37.9734698636587</v>
      </c>
      <c r="J75" s="119">
        <v>38.181718947131948</v>
      </c>
      <c r="K75" s="119">
        <v>32.901428396718053</v>
      </c>
      <c r="L75" s="119">
        <v>34.655928993412701</v>
      </c>
      <c r="M75" s="119">
        <v>36.817730911595056</v>
      </c>
      <c r="N75" s="119">
        <v>36.280979000851197</v>
      </c>
      <c r="O75" s="119">
        <v>36.570320965314302</v>
      </c>
      <c r="P75" s="119">
        <v>36.581662121516942</v>
      </c>
      <c r="Q75" s="119">
        <v>36.408248489285398</v>
      </c>
      <c r="R75" s="119">
        <v>36.445923021516954</v>
      </c>
      <c r="S75" s="119">
        <v>37.787416697551706</v>
      </c>
      <c r="T75" s="119">
        <v>39.48355405458215</v>
      </c>
      <c r="U75" s="119">
        <v>37.027733900862899</v>
      </c>
      <c r="V75" s="119">
        <v>37.672133544666096</v>
      </c>
      <c r="W75" s="119">
        <v>38.82454653282047</v>
      </c>
      <c r="X75" s="119">
        <v>38.948533910778949</v>
      </c>
      <c r="Y75" s="119">
        <v>38.653546141948659</v>
      </c>
      <c r="Z75" s="119">
        <v>41.519403348217516</v>
      </c>
      <c r="AA75" s="119">
        <v>41.463856735716199</v>
      </c>
      <c r="AB75" s="119">
        <v>42.80542267856174</v>
      </c>
      <c r="AC75" s="119">
        <v>43.278662789013147</v>
      </c>
      <c r="AD75" s="119">
        <v>45.952275739125156</v>
      </c>
      <c r="AE75" s="119">
        <v>46.596797166046109</v>
      </c>
      <c r="AF75" s="119">
        <v>47.78371943174205</v>
      </c>
      <c r="AG75" s="119">
        <v>47.852640277941667</v>
      </c>
      <c r="AH75" s="119">
        <v>48.522280175999093</v>
      </c>
      <c r="AI75" s="119">
        <v>49.101270989591768</v>
      </c>
      <c r="AJ75" s="119">
        <v>47.663676716894102</v>
      </c>
      <c r="AK75" s="119">
        <v>46.575055818476471</v>
      </c>
      <c r="AL75" s="119">
        <v>45.90967731274965</v>
      </c>
      <c r="AM75" s="119">
        <v>45.786264382146584</v>
      </c>
      <c r="AN75" s="119">
        <v>45.906202956413395</v>
      </c>
      <c r="AO75" s="119">
        <v>45.348929262074108</v>
      </c>
      <c r="AP75" s="119">
        <v>45.158720948507693</v>
      </c>
      <c r="AQ75" s="120">
        <v>-4.1943286569610105E-3</v>
      </c>
      <c r="AR75" s="120">
        <v>-2.7108432788033321E-3</v>
      </c>
      <c r="AS75" s="120">
        <v>2.6067653357972589E-2</v>
      </c>
    </row>
    <row r="76" spans="1:45" ht="12" customHeight="1">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7"/>
      <c r="AQ76" s="115"/>
      <c r="AR76" s="115"/>
      <c r="AS76" s="115"/>
    </row>
    <row r="77" spans="1:45" s="108" customFormat="1" ht="12" customHeight="1">
      <c r="A77" s="121" t="s">
        <v>1100</v>
      </c>
      <c r="B77" s="122">
        <v>682.62098541460932</v>
      </c>
      <c r="C77" s="122">
        <v>691.14151704275298</v>
      </c>
      <c r="D77" s="122">
        <v>722.23708933646901</v>
      </c>
      <c r="E77" s="122">
        <v>734.13919704198895</v>
      </c>
      <c r="F77" s="122">
        <v>746.36173712512107</v>
      </c>
      <c r="G77" s="122">
        <v>774.25585166541282</v>
      </c>
      <c r="H77" s="122">
        <v>879.58613996174699</v>
      </c>
      <c r="I77" s="122">
        <v>911.1058324577067</v>
      </c>
      <c r="J77" s="122">
        <v>999.49086289115303</v>
      </c>
      <c r="K77" s="122">
        <v>1000.1746964625406</v>
      </c>
      <c r="L77" s="122">
        <v>1000.9058329848999</v>
      </c>
      <c r="M77" s="122">
        <v>1072.8501421379565</v>
      </c>
      <c r="N77" s="122">
        <v>1076.8570261812474</v>
      </c>
      <c r="O77" s="122">
        <v>1076.3453260531428</v>
      </c>
      <c r="P77" s="122">
        <v>1090.1580871891447</v>
      </c>
      <c r="Q77" s="122">
        <v>1098.7044868644998</v>
      </c>
      <c r="R77" s="122">
        <v>1121.2540171414967</v>
      </c>
      <c r="S77" s="122">
        <v>1149.183009649525</v>
      </c>
      <c r="T77" s="122">
        <v>1157.6273126660656</v>
      </c>
      <c r="U77" s="122">
        <v>1280.2638801609762</v>
      </c>
      <c r="V77" s="122">
        <v>1300.9240758054448</v>
      </c>
      <c r="W77" s="122">
        <v>1307.2038048080642</v>
      </c>
      <c r="X77" s="122">
        <v>1357.0768103798237</v>
      </c>
      <c r="Y77" s="122">
        <v>1358.3118721470396</v>
      </c>
      <c r="Z77" s="122">
        <v>1365.2689870956451</v>
      </c>
      <c r="AA77" s="122">
        <v>1372.493974966718</v>
      </c>
      <c r="AB77" s="122">
        <v>1383.2656963682073</v>
      </c>
      <c r="AC77" s="122">
        <v>1418.3255828953709</v>
      </c>
      <c r="AD77" s="122">
        <v>1488.895257446836</v>
      </c>
      <c r="AE77" s="122">
        <v>1530.2887875204624</v>
      </c>
      <c r="AF77" s="122">
        <v>1636.8866640431672</v>
      </c>
      <c r="AG77" s="122">
        <v>1674.2596607484561</v>
      </c>
      <c r="AH77" s="122">
        <v>1683.5667264094118</v>
      </c>
      <c r="AI77" s="122">
        <v>1691.894854854565</v>
      </c>
      <c r="AJ77" s="122">
        <v>1694.437495537642</v>
      </c>
      <c r="AK77" s="122">
        <v>1683.9030182333377</v>
      </c>
      <c r="AL77" s="122">
        <v>1690.2813796538571</v>
      </c>
      <c r="AM77" s="122">
        <v>1728.1713079328013</v>
      </c>
      <c r="AN77" s="122">
        <v>1736.144019872424</v>
      </c>
      <c r="AO77" s="122">
        <v>1734.8105370071285</v>
      </c>
      <c r="AP77" s="122">
        <v>1732.3661753656183</v>
      </c>
      <c r="AQ77" s="123">
        <v>-1.4090078365139869E-3</v>
      </c>
      <c r="AR77" s="123">
        <v>1.2623182093880025E-2</v>
      </c>
      <c r="AS77" s="123">
        <v>1</v>
      </c>
    </row>
    <row r="78" spans="1:45" ht="12" customHeight="1">
      <c r="A78" s="107" t="s">
        <v>1101</v>
      </c>
      <c r="B78" s="116">
        <v>141.53993537675879</v>
      </c>
      <c r="C78" s="116">
        <v>147.72676958154005</v>
      </c>
      <c r="D78" s="116">
        <v>148.56408355365636</v>
      </c>
      <c r="E78" s="116">
        <v>149.08192540112907</v>
      </c>
      <c r="F78" s="116">
        <v>124.27833864430501</v>
      </c>
      <c r="G78" s="116">
        <v>125.21524068945419</v>
      </c>
      <c r="H78" s="116">
        <v>124.86407954056897</v>
      </c>
      <c r="I78" s="116">
        <v>124.98475963119174</v>
      </c>
      <c r="J78" s="116">
        <v>125.69324727721579</v>
      </c>
      <c r="K78" s="116">
        <v>123.67558408241905</v>
      </c>
      <c r="L78" s="116">
        <v>122.13154569814517</v>
      </c>
      <c r="M78" s="116">
        <v>120.38844892199657</v>
      </c>
      <c r="N78" s="116">
        <v>121.62144506137271</v>
      </c>
      <c r="O78" s="116">
        <v>119.82264044484766</v>
      </c>
      <c r="P78" s="116">
        <v>127.84290776382127</v>
      </c>
      <c r="Q78" s="116">
        <v>128.82831385868877</v>
      </c>
      <c r="R78" s="116">
        <v>130.26318277634292</v>
      </c>
      <c r="S78" s="116">
        <v>145.22417717513707</v>
      </c>
      <c r="T78" s="116">
        <v>146.39182172670766</v>
      </c>
      <c r="U78" s="116">
        <v>261.85437673635647</v>
      </c>
      <c r="V78" s="116">
        <v>262.67762905294683</v>
      </c>
      <c r="W78" s="116">
        <v>261.24375293941381</v>
      </c>
      <c r="X78" s="116">
        <v>257.7897751306586</v>
      </c>
      <c r="Y78" s="116">
        <v>247.34242091874313</v>
      </c>
      <c r="Z78" s="116">
        <v>245.21782056417226</v>
      </c>
      <c r="AA78" s="116">
        <v>244.63678027109148</v>
      </c>
      <c r="AB78" s="116">
        <v>240.70104657639197</v>
      </c>
      <c r="AC78" s="116">
        <v>239.71719899174289</v>
      </c>
      <c r="AD78" s="116">
        <v>233.99718787357142</v>
      </c>
      <c r="AE78" s="116">
        <v>234.59370817924528</v>
      </c>
      <c r="AF78" s="116">
        <v>238.5419245842148</v>
      </c>
      <c r="AG78" s="116">
        <v>242.77802991095757</v>
      </c>
      <c r="AH78" s="116">
        <v>247.23682460080539</v>
      </c>
      <c r="AI78" s="116">
        <v>250.54640669717202</v>
      </c>
      <c r="AJ78" s="116">
        <v>253.60993340120174</v>
      </c>
      <c r="AK78" s="116">
        <v>246.78274261741043</v>
      </c>
      <c r="AL78" s="116">
        <v>244.63269359841982</v>
      </c>
      <c r="AM78" s="116">
        <v>256.69261850002835</v>
      </c>
      <c r="AN78" s="116">
        <v>263.74875563419954</v>
      </c>
      <c r="AO78" s="116">
        <v>261.48075930988199</v>
      </c>
      <c r="AP78" s="117">
        <v>259.96269327167602</v>
      </c>
      <c r="AQ78" s="115">
        <v>-5.8056510246204951E-3</v>
      </c>
      <c r="AR78" s="115">
        <v>1.0909639417190586E-2</v>
      </c>
      <c r="AS78" s="115">
        <v>0.15006220796062963</v>
      </c>
    </row>
    <row r="79" spans="1:45" ht="12" customHeight="1">
      <c r="A79" s="107" t="s">
        <v>1102</v>
      </c>
      <c r="B79" s="116">
        <v>541.08105003785067</v>
      </c>
      <c r="C79" s="116">
        <v>543.41474746121253</v>
      </c>
      <c r="D79" s="116">
        <v>573.67300578281299</v>
      </c>
      <c r="E79" s="116">
        <v>585.05727164085999</v>
      </c>
      <c r="F79" s="116">
        <v>622.08339848081584</v>
      </c>
      <c r="G79" s="116">
        <v>649.04061097595888</v>
      </c>
      <c r="H79" s="116">
        <v>754.72206042117807</v>
      </c>
      <c r="I79" s="116">
        <v>786.12107282651471</v>
      </c>
      <c r="J79" s="116">
        <v>873.79761561393752</v>
      </c>
      <c r="K79" s="116">
        <v>876.49911238012169</v>
      </c>
      <c r="L79" s="116">
        <v>878.77428728675466</v>
      </c>
      <c r="M79" s="116">
        <v>952.46169321596005</v>
      </c>
      <c r="N79" s="116">
        <v>955.23558111987495</v>
      </c>
      <c r="O79" s="116">
        <v>956.52268560829486</v>
      </c>
      <c r="P79" s="116">
        <v>962.31517942532366</v>
      </c>
      <c r="Q79" s="116">
        <v>969.87617300581121</v>
      </c>
      <c r="R79" s="116">
        <v>990.99083436515377</v>
      </c>
      <c r="S79" s="116">
        <v>1003.9588324743883</v>
      </c>
      <c r="T79" s="116">
        <v>1011.2354909393582</v>
      </c>
      <c r="U79" s="116">
        <v>1018.4095034246205</v>
      </c>
      <c r="V79" s="116">
        <v>1038.2464467524981</v>
      </c>
      <c r="W79" s="116">
        <v>1045.9600518686502</v>
      </c>
      <c r="X79" s="116">
        <v>1099.2870352491645</v>
      </c>
      <c r="Y79" s="116">
        <v>1110.9694512282963</v>
      </c>
      <c r="Z79" s="116">
        <v>1120.0511665314727</v>
      </c>
      <c r="AA79" s="116">
        <v>1127.8571946956263</v>
      </c>
      <c r="AB79" s="116">
        <v>1142.5646497918153</v>
      </c>
      <c r="AC79" s="116">
        <v>1178.608383903628</v>
      </c>
      <c r="AD79" s="116">
        <v>1254.8980695732646</v>
      </c>
      <c r="AE79" s="116">
        <v>1295.6950793412177</v>
      </c>
      <c r="AF79" s="116">
        <v>1398.3447394589525</v>
      </c>
      <c r="AG79" s="116">
        <v>1431.4816308374984</v>
      </c>
      <c r="AH79" s="116">
        <v>1436.3299018086061</v>
      </c>
      <c r="AI79" s="116">
        <v>1441.3484481573935</v>
      </c>
      <c r="AJ79" s="116">
        <v>1440.8275621364405</v>
      </c>
      <c r="AK79" s="116">
        <v>1437.1202756159269</v>
      </c>
      <c r="AL79" s="116">
        <v>1445.6486860554378</v>
      </c>
      <c r="AM79" s="116">
        <v>1471.4786894327731</v>
      </c>
      <c r="AN79" s="116">
        <v>1472.3952642382244</v>
      </c>
      <c r="AO79" s="116">
        <v>1473.329777697247</v>
      </c>
      <c r="AP79" s="117">
        <v>1472.4034820939421</v>
      </c>
      <c r="AQ79" s="115">
        <v>-6.2870894033828506E-4</v>
      </c>
      <c r="AR79" s="115">
        <v>1.2930657404130796E-2</v>
      </c>
      <c r="AS79" s="115">
        <v>0.84993779203937025</v>
      </c>
    </row>
    <row r="80" spans="1:45" ht="12" customHeight="1">
      <c r="A80" s="107" t="s">
        <v>1103</v>
      </c>
      <c r="B80" s="116">
        <v>421.97736499999996</v>
      </c>
      <c r="C80" s="116">
        <v>426.14853299999999</v>
      </c>
      <c r="D80" s="116">
        <v>456.10521</v>
      </c>
      <c r="E80" s="116">
        <v>464.88664500000004</v>
      </c>
      <c r="F80" s="116">
        <v>499.45543099999998</v>
      </c>
      <c r="G80" s="116">
        <v>525.54900000000009</v>
      </c>
      <c r="H80" s="116">
        <v>632.28169999999989</v>
      </c>
      <c r="I80" s="116">
        <v>664.17499999999995</v>
      </c>
      <c r="J80" s="116">
        <v>750.66399999999999</v>
      </c>
      <c r="K80" s="116">
        <v>758.95860000000005</v>
      </c>
      <c r="L80" s="116">
        <v>760.71050000000002</v>
      </c>
      <c r="M80" s="116">
        <v>766.36929999999995</v>
      </c>
      <c r="N80" s="116">
        <v>768.1114</v>
      </c>
      <c r="O80" s="116">
        <v>769.76750000000004</v>
      </c>
      <c r="P80" s="116">
        <v>774.99869999999999</v>
      </c>
      <c r="Q80" s="116">
        <v>782.88569999999993</v>
      </c>
      <c r="R80" s="116">
        <v>802.7890000000001</v>
      </c>
      <c r="S80" s="116">
        <v>806.14229999999998</v>
      </c>
      <c r="T80" s="116">
        <v>810.31399999999985</v>
      </c>
      <c r="U80" s="116">
        <v>819.21600000000001</v>
      </c>
      <c r="V80" s="116">
        <v>832.95591300000001</v>
      </c>
      <c r="W80" s="116">
        <v>839.09791300000006</v>
      </c>
      <c r="X80" s="116">
        <v>875.63000000000011</v>
      </c>
      <c r="Y80" s="116">
        <v>885.33800000000008</v>
      </c>
      <c r="Z80" s="116">
        <v>892.65499999999997</v>
      </c>
      <c r="AA80" s="116">
        <v>900.87300000000005</v>
      </c>
      <c r="AB80" s="116">
        <v>910.38400000000001</v>
      </c>
      <c r="AC80" s="116">
        <v>922.24399999999991</v>
      </c>
      <c r="AD80" s="116">
        <v>997.12199999999996</v>
      </c>
      <c r="AE80" s="116">
        <v>1038.0999999999999</v>
      </c>
      <c r="AF80" s="116">
        <v>1137.7439999999999</v>
      </c>
      <c r="AG80" s="116">
        <v>1171.1769999999999</v>
      </c>
      <c r="AH80" s="116">
        <v>1173.056</v>
      </c>
      <c r="AI80" s="116">
        <v>1178.4762000000001</v>
      </c>
      <c r="AJ80" s="116">
        <v>1178.8311999999999</v>
      </c>
      <c r="AK80" s="116">
        <v>1180.7673</v>
      </c>
      <c r="AL80" s="116">
        <v>1187.3454000000002</v>
      </c>
      <c r="AM80" s="116">
        <v>1213.3709999999999</v>
      </c>
      <c r="AN80" s="116">
        <v>1213.1727450000001</v>
      </c>
      <c r="AO80" s="116">
        <v>1214.7207449999999</v>
      </c>
      <c r="AP80" s="117">
        <v>1214.6697449999999</v>
      </c>
      <c r="AQ80" s="115">
        <v>-4.1984958443985754E-5</v>
      </c>
      <c r="AR80" s="115">
        <v>1.5836294959134189E-2</v>
      </c>
      <c r="AS80" s="115">
        <v>0.70116223825695634</v>
      </c>
    </row>
    <row r="81" spans="1:45" ht="12" customHeight="1">
      <c r="A81" s="107" t="s">
        <v>1104</v>
      </c>
      <c r="B81" s="116">
        <v>260.64362041460936</v>
      </c>
      <c r="C81" s="116">
        <v>264.99298404275265</v>
      </c>
      <c r="D81" s="116">
        <v>266.13187933646918</v>
      </c>
      <c r="E81" s="116">
        <v>269.25255204198885</v>
      </c>
      <c r="F81" s="116">
        <v>246.90630612512084</v>
      </c>
      <c r="G81" s="116">
        <v>248.70685166541298</v>
      </c>
      <c r="H81" s="116">
        <v>247.30443996174702</v>
      </c>
      <c r="I81" s="116">
        <v>246.93083245770654</v>
      </c>
      <c r="J81" s="116">
        <v>248.8268628911531</v>
      </c>
      <c r="K81" s="116">
        <v>241.21609646254075</v>
      </c>
      <c r="L81" s="116">
        <v>240.19533298489984</v>
      </c>
      <c r="M81" s="116">
        <v>306.48084213795664</v>
      </c>
      <c r="N81" s="116">
        <v>308.74562618124759</v>
      </c>
      <c r="O81" s="116">
        <v>306.57782605314236</v>
      </c>
      <c r="P81" s="116">
        <v>315.15938718914498</v>
      </c>
      <c r="Q81" s="116">
        <v>315.81878686449988</v>
      </c>
      <c r="R81" s="116">
        <v>318.46501714149667</v>
      </c>
      <c r="S81" s="116">
        <v>343.04070964952524</v>
      </c>
      <c r="T81" s="116">
        <v>347.31331266606588</v>
      </c>
      <c r="U81" s="116">
        <v>461.04788016097694</v>
      </c>
      <c r="V81" s="116">
        <v>467.96816280544493</v>
      </c>
      <c r="W81" s="116">
        <v>468.10589180806392</v>
      </c>
      <c r="X81" s="116">
        <v>481.44681037982332</v>
      </c>
      <c r="Y81" s="116">
        <v>472.97387214703969</v>
      </c>
      <c r="Z81" s="116">
        <v>472.61398709564497</v>
      </c>
      <c r="AA81" s="116">
        <v>471.62097496671765</v>
      </c>
      <c r="AB81" s="116">
        <v>472.88169636820732</v>
      </c>
      <c r="AC81" s="116">
        <v>496.08158289537079</v>
      </c>
      <c r="AD81" s="116">
        <v>491.773257446836</v>
      </c>
      <c r="AE81" s="116">
        <v>492.1887875204626</v>
      </c>
      <c r="AF81" s="116">
        <v>499.14266404316726</v>
      </c>
      <c r="AG81" s="116">
        <v>503.08266074845619</v>
      </c>
      <c r="AH81" s="116">
        <v>510.51072640941146</v>
      </c>
      <c r="AI81" s="116">
        <v>513.41865485456503</v>
      </c>
      <c r="AJ81" s="116">
        <v>515.6062955376425</v>
      </c>
      <c r="AK81" s="116">
        <v>503.13571823333768</v>
      </c>
      <c r="AL81" s="116">
        <v>502.93597965385737</v>
      </c>
      <c r="AM81" s="116">
        <v>514.8003079328015</v>
      </c>
      <c r="AN81" s="116">
        <v>522.97127487242415</v>
      </c>
      <c r="AO81" s="116">
        <v>520.08979200712849</v>
      </c>
      <c r="AP81" s="117">
        <v>517.6964303656182</v>
      </c>
      <c r="AQ81" s="115">
        <v>-4.6018239125090732E-3</v>
      </c>
      <c r="AR81" s="115">
        <v>5.5291412133777751E-3</v>
      </c>
      <c r="AS81" s="115">
        <v>0.2988377617430435</v>
      </c>
    </row>
    <row r="82" spans="1:45" ht="12" customHeight="1">
      <c r="A82" s="107" t="s">
        <v>1105</v>
      </c>
      <c r="B82" s="124">
        <v>3.3424825909117502</v>
      </c>
      <c r="C82" s="124">
        <v>3.1214818338871497</v>
      </c>
      <c r="D82" s="124">
        <v>3.20113869339515</v>
      </c>
      <c r="E82" s="124">
        <v>3.7908299644689496</v>
      </c>
      <c r="F82" s="124">
        <v>4.0273028008336489</v>
      </c>
      <c r="G82" s="124">
        <v>4.0048158008336499</v>
      </c>
      <c r="H82" s="124">
        <v>3.9505296933951501</v>
      </c>
      <c r="I82" s="124">
        <v>3.8206218826513005</v>
      </c>
      <c r="J82" s="124">
        <v>3.9778652867844495</v>
      </c>
      <c r="K82" s="124">
        <v>3.8796872049668001</v>
      </c>
      <c r="L82" s="124">
        <v>4.2414566439283004</v>
      </c>
      <c r="M82" s="124">
        <v>4.3167938869037004</v>
      </c>
      <c r="N82" s="124">
        <v>3.9486574802930008</v>
      </c>
      <c r="O82" s="124">
        <v>3.6050702466544999</v>
      </c>
      <c r="P82" s="124">
        <v>3.6789597475175997</v>
      </c>
      <c r="Q82" s="124">
        <v>3.7888638462507505</v>
      </c>
      <c r="R82" s="124">
        <v>3.7291463250192001</v>
      </c>
      <c r="S82" s="124">
        <v>3.5137985958999494</v>
      </c>
      <c r="T82" s="124">
        <v>3.6026000884299005</v>
      </c>
      <c r="U82" s="124">
        <v>3.8025306753176</v>
      </c>
      <c r="V82" s="124">
        <v>3.9291374391769502</v>
      </c>
      <c r="W82" s="124">
        <v>4.0477823954116996</v>
      </c>
      <c r="X82" s="124">
        <v>3.3252193352293502</v>
      </c>
      <c r="Y82" s="124">
        <v>3.3630509405381113</v>
      </c>
      <c r="Z82" s="124">
        <v>3.2647336838653174</v>
      </c>
      <c r="AA82" s="124">
        <v>3.1524519130524142</v>
      </c>
      <c r="AB82" s="124">
        <v>3.0191174659763069</v>
      </c>
      <c r="AC82" s="124">
        <v>2.9676411122910782</v>
      </c>
      <c r="AD82" s="124">
        <v>2.639999362470705</v>
      </c>
      <c r="AE82" s="124">
        <v>3.2117374077945997</v>
      </c>
      <c r="AF82" s="124">
        <v>3.1935302113644952</v>
      </c>
      <c r="AG82" s="124">
        <v>3.0763608472643402</v>
      </c>
      <c r="AH82" s="124">
        <v>2.9156743019902298</v>
      </c>
      <c r="AI82" s="124">
        <v>2.8153018008786441</v>
      </c>
      <c r="AJ82" s="124">
        <v>2.7481315725301787</v>
      </c>
      <c r="AK82" s="124">
        <v>2.5666152411862924</v>
      </c>
      <c r="AL82" s="124">
        <v>2.3576486222375985</v>
      </c>
      <c r="AM82" s="124">
        <v>2.3756007742120384</v>
      </c>
      <c r="AN82" s="124">
        <v>2.3811766031913595</v>
      </c>
      <c r="AO82" s="124">
        <v>2.3597122862366526</v>
      </c>
      <c r="AP82" s="119">
        <v>2.4243851241331189</v>
      </c>
      <c r="AQ82" s="125">
        <v>2.7407086140831538E-2</v>
      </c>
      <c r="AR82" s="125">
        <v>-3.0356920062988957E-2</v>
      </c>
      <c r="AS82" s="125">
        <v>1.3994645927680094E-3</v>
      </c>
    </row>
    <row r="83" spans="1:45" ht="12" customHeight="1">
      <c r="A83" s="126" t="s">
        <v>1106</v>
      </c>
      <c r="B83" s="116">
        <v>32.266729115950497</v>
      </c>
      <c r="C83" s="116">
        <v>32.266729115950497</v>
      </c>
      <c r="D83" s="116">
        <v>32.644117760581508</v>
      </c>
      <c r="E83" s="116">
        <v>32.783122578020595</v>
      </c>
      <c r="F83" s="116">
        <v>32.97181690033608</v>
      </c>
      <c r="G83" s="116">
        <v>33.161140203725971</v>
      </c>
      <c r="H83" s="116">
        <v>33.030941121328276</v>
      </c>
      <c r="I83" s="116">
        <v>33.098242096287464</v>
      </c>
      <c r="J83" s="116">
        <v>33.144157714717579</v>
      </c>
      <c r="K83" s="116">
        <v>33.085662474799769</v>
      </c>
      <c r="L83" s="116">
        <v>32.439069930331989</v>
      </c>
      <c r="M83" s="116">
        <v>32.396928198348199</v>
      </c>
      <c r="N83" s="116">
        <v>32.381203671488564</v>
      </c>
      <c r="O83" s="116">
        <v>32.333401109835314</v>
      </c>
      <c r="P83" s="116">
        <v>41.300155306267882</v>
      </c>
      <c r="Q83" s="116">
        <v>41.481930836765144</v>
      </c>
      <c r="R83" s="116">
        <v>42.146134851315701</v>
      </c>
      <c r="S83" s="116">
        <v>41.978196904454897</v>
      </c>
      <c r="T83" s="116">
        <v>43.116652649091748</v>
      </c>
      <c r="U83" s="116">
        <v>175.15864959473478</v>
      </c>
      <c r="V83" s="116">
        <v>174.91334697572466</v>
      </c>
      <c r="W83" s="116">
        <v>174.65546473522681</v>
      </c>
      <c r="X83" s="116">
        <v>174.35355381952201</v>
      </c>
      <c r="Y83" s="116">
        <v>174.39129268398511</v>
      </c>
      <c r="Z83" s="116">
        <v>173.98874479637871</v>
      </c>
      <c r="AA83" s="116">
        <v>173.60506634100383</v>
      </c>
      <c r="AB83" s="116">
        <v>173.14591015670277</v>
      </c>
      <c r="AC83" s="116">
        <v>172.64272529719483</v>
      </c>
      <c r="AD83" s="116">
        <v>170.27775645750722</v>
      </c>
      <c r="AE83" s="116">
        <v>169.78086140874305</v>
      </c>
      <c r="AF83" s="116">
        <v>169.18332938807728</v>
      </c>
      <c r="AG83" s="116">
        <v>168.55434831369232</v>
      </c>
      <c r="AH83" s="116">
        <v>167.8498895103811</v>
      </c>
      <c r="AI83" s="116">
        <v>167.08882241037526</v>
      </c>
      <c r="AJ83" s="116">
        <v>166.24598777069934</v>
      </c>
      <c r="AK83" s="116">
        <v>165.32138559135345</v>
      </c>
      <c r="AL83" s="116">
        <v>164.43954154544414</v>
      </c>
      <c r="AM83" s="116">
        <v>164.46626066148403</v>
      </c>
      <c r="AN83" s="116">
        <v>163.46176530606968</v>
      </c>
      <c r="AO83" s="116">
        <v>162.39864262471193</v>
      </c>
      <c r="AP83" s="117">
        <v>161.36134381805127</v>
      </c>
      <c r="AQ83" s="115">
        <v>-6.3873613097724657E-3</v>
      </c>
      <c r="AR83" s="115">
        <v>-4.4355821694415098E-3</v>
      </c>
      <c r="AS83" s="115">
        <v>9.3145055654296482E-2</v>
      </c>
    </row>
    <row r="84" spans="1:45" ht="12" customHeight="1">
      <c r="A84" s="107" t="s">
        <v>1107</v>
      </c>
      <c r="B84" s="116" t="s">
        <v>1061</v>
      </c>
      <c r="C84" s="116" t="s">
        <v>1061</v>
      </c>
      <c r="D84" s="116" t="s">
        <v>1061</v>
      </c>
      <c r="E84" s="116">
        <v>1.9756295546432849</v>
      </c>
      <c r="F84" s="116">
        <v>2.0951359587764355</v>
      </c>
      <c r="G84" s="116">
        <v>2.2278509654716698</v>
      </c>
      <c r="H84" s="116">
        <v>3.6197860830856752</v>
      </c>
      <c r="I84" s="116">
        <v>3.6053195183748192</v>
      </c>
      <c r="J84" s="116">
        <v>3.5631777863910248</v>
      </c>
      <c r="K84" s="116">
        <v>3.4103353853154705</v>
      </c>
      <c r="L84" s="116">
        <v>3.29837675407494</v>
      </c>
      <c r="M84" s="116">
        <v>3.1555980501895449</v>
      </c>
      <c r="N84" s="116">
        <v>3.0329467406844701</v>
      </c>
      <c r="O84" s="116">
        <v>2.8782173963857605</v>
      </c>
      <c r="P84" s="116">
        <v>3.5550010324240198</v>
      </c>
      <c r="Q84" s="116">
        <v>3.610980348044285</v>
      </c>
      <c r="R84" s="116">
        <v>4.1556779584616956</v>
      </c>
      <c r="S84" s="116">
        <v>3.8619437967238999</v>
      </c>
      <c r="T84" s="116">
        <v>8.3987842862629059</v>
      </c>
      <c r="U84" s="116">
        <v>11.894661097694733</v>
      </c>
      <c r="V84" s="116">
        <v>11.70659575645362</v>
      </c>
      <c r="W84" s="116">
        <v>11.527336150253895</v>
      </c>
      <c r="X84" s="116">
        <v>11.564446033642611</v>
      </c>
      <c r="Y84" s="116">
        <v>10.82224836586831</v>
      </c>
      <c r="Z84" s="116">
        <v>10.44737564553485</v>
      </c>
      <c r="AA84" s="116">
        <v>10.176913783549299</v>
      </c>
      <c r="AB84" s="116">
        <v>21.003565016938307</v>
      </c>
      <c r="AC84" s="116">
        <v>22.011821679177459</v>
      </c>
      <c r="AD84" s="116">
        <v>27.038009444587995</v>
      </c>
      <c r="AE84" s="116">
        <v>26.5178420960716</v>
      </c>
      <c r="AF84" s="116">
        <v>25.929744791521621</v>
      </c>
      <c r="AG84" s="116">
        <v>25.55801697656009</v>
      </c>
      <c r="AH84" s="116">
        <v>25.842316422182112</v>
      </c>
      <c r="AI84" s="116">
        <v>25.218367196392187</v>
      </c>
      <c r="AJ84" s="116">
        <v>23.552825311420708</v>
      </c>
      <c r="AK84" s="116">
        <v>23.910715542745777</v>
      </c>
      <c r="AL84" s="116">
        <v>23.027119187012332</v>
      </c>
      <c r="AM84" s="116">
        <v>22.051033321695659</v>
      </c>
      <c r="AN84" s="116">
        <v>20.987906243760197</v>
      </c>
      <c r="AO84" s="116">
        <v>19.911818740325167</v>
      </c>
      <c r="AP84" s="117">
        <v>18.874519933664484</v>
      </c>
      <c r="AQ84" s="115">
        <v>-5.2094628832672019E-2</v>
      </c>
      <c r="AR84" s="115">
        <v>-2.8243901141410399E-2</v>
      </c>
      <c r="AS84" s="115">
        <v>1.0895225387139062E-2</v>
      </c>
    </row>
    <row r="85" spans="1:45" ht="12" customHeight="1">
      <c r="A85" s="507" t="s">
        <v>1108</v>
      </c>
      <c r="B85" s="124">
        <v>0</v>
      </c>
      <c r="C85" s="124">
        <v>0</v>
      </c>
      <c r="D85" s="124">
        <v>0</v>
      </c>
      <c r="E85" s="124">
        <v>0</v>
      </c>
      <c r="F85" s="124">
        <v>0</v>
      </c>
      <c r="G85" s="124">
        <v>0</v>
      </c>
      <c r="H85" s="124">
        <v>0</v>
      </c>
      <c r="I85" s="124">
        <v>0</v>
      </c>
      <c r="J85" s="124">
        <v>0</v>
      </c>
      <c r="K85" s="124">
        <v>0</v>
      </c>
      <c r="L85" s="124">
        <v>0</v>
      </c>
      <c r="M85" s="124">
        <v>0</v>
      </c>
      <c r="N85" s="124">
        <v>0</v>
      </c>
      <c r="O85" s="124">
        <v>0</v>
      </c>
      <c r="P85" s="124">
        <v>0</v>
      </c>
      <c r="Q85" s="124">
        <v>0</v>
      </c>
      <c r="R85" s="124">
        <v>0</v>
      </c>
      <c r="S85" s="124">
        <v>0</v>
      </c>
      <c r="T85" s="124">
        <v>0</v>
      </c>
      <c r="U85" s="124">
        <v>0</v>
      </c>
      <c r="V85" s="124">
        <v>0</v>
      </c>
      <c r="W85" s="124">
        <v>0</v>
      </c>
      <c r="X85" s="124">
        <v>0</v>
      </c>
      <c r="Y85" s="124">
        <v>0</v>
      </c>
      <c r="Z85" s="124">
        <v>0</v>
      </c>
      <c r="AA85" s="124">
        <v>0</v>
      </c>
      <c r="AB85" s="124">
        <v>7.6</v>
      </c>
      <c r="AC85" s="124">
        <v>20</v>
      </c>
      <c r="AD85" s="124">
        <v>94.168000000000006</v>
      </c>
      <c r="AE85" s="124">
        <v>133.40799999999996</v>
      </c>
      <c r="AF85" s="124">
        <v>220</v>
      </c>
      <c r="AG85" s="124">
        <v>220</v>
      </c>
      <c r="AH85" s="124">
        <v>220</v>
      </c>
      <c r="AI85" s="124">
        <v>258.29899999999998</v>
      </c>
      <c r="AJ85" s="124">
        <v>258.73899999999998</v>
      </c>
      <c r="AK85" s="124">
        <v>259.52100000000002</v>
      </c>
      <c r="AL85" s="124">
        <v>261.25299999999999</v>
      </c>
      <c r="AM85" s="124">
        <v>260.928</v>
      </c>
      <c r="AN85" s="124">
        <v>261.78775141792818</v>
      </c>
      <c r="AO85" s="124">
        <v>261.78775141792818</v>
      </c>
      <c r="AP85" s="119">
        <v>261.78775141792818</v>
      </c>
      <c r="AQ85" s="125">
        <v>0</v>
      </c>
      <c r="AR85" s="125">
        <v>6.9736328843595485E-2</v>
      </c>
      <c r="AS85" s="125">
        <v>0.15111571395272566</v>
      </c>
    </row>
    <row r="86" spans="1:45" ht="12" customHeight="1">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7"/>
      <c r="AQ86" s="115"/>
      <c r="AR86" s="115"/>
      <c r="AS86" s="115"/>
    </row>
    <row r="87" spans="1:45" ht="11.4" customHeight="1">
      <c r="A87" s="127" t="s">
        <v>1109</v>
      </c>
    </row>
    <row r="88" spans="1:45" ht="11.4" customHeight="1">
      <c r="A88" s="108" t="s">
        <v>1110</v>
      </c>
    </row>
    <row r="89" spans="1:45" ht="11.4" customHeight="1">
      <c r="A89" s="107" t="s">
        <v>1111</v>
      </c>
    </row>
    <row r="90" spans="1:45" ht="11.4" customHeight="1">
      <c r="A90" s="107" t="s">
        <v>1112</v>
      </c>
    </row>
    <row r="91" spans="1:45" ht="11.4" customHeight="1">
      <c r="A91" s="107" t="s">
        <v>1113</v>
      </c>
    </row>
    <row r="92" spans="1:45" ht="11.4" customHeight="1">
      <c r="A92" s="107" t="s">
        <v>1114</v>
      </c>
    </row>
    <row r="93" spans="1:45" ht="11.4" customHeight="1">
      <c r="A93" s="128" t="s">
        <v>1115</v>
      </c>
    </row>
    <row r="94" spans="1:45" ht="11.4" customHeight="1">
      <c r="A94" s="107" t="s">
        <v>1116</v>
      </c>
    </row>
    <row r="95" spans="1:45" ht="11.4" customHeight="1">
      <c r="A95" s="129" t="s">
        <v>1117</v>
      </c>
    </row>
    <row r="96" spans="1:45" ht="11.4" customHeight="1">
      <c r="A96" s="108" t="s">
        <v>1118</v>
      </c>
    </row>
    <row r="97" spans="1:1" ht="11.4" customHeight="1">
      <c r="A97" s="107" t="s">
        <v>1119</v>
      </c>
    </row>
    <row r="98" spans="1:1" ht="11.4" customHeight="1">
      <c r="A98" s="107" t="s">
        <v>1120</v>
      </c>
    </row>
    <row r="99" spans="1:1" ht="11.4" customHeight="1">
      <c r="A99" s="107" t="s">
        <v>1121</v>
      </c>
    </row>
    <row r="100" spans="1:1" ht="11.4" customHeight="1">
      <c r="A100" s="107" t="s">
        <v>1122</v>
      </c>
    </row>
    <row r="101" spans="1:1" ht="11.4" customHeight="1">
      <c r="A101" s="130" t="s">
        <v>1123</v>
      </c>
    </row>
    <row r="102" spans="1:1" ht="11.4" customHeight="1">
      <c r="A102" s="130" t="s">
        <v>1124</v>
      </c>
    </row>
    <row r="103" spans="1:1" ht="11.4" customHeight="1">
      <c r="A103" s="108" t="s">
        <v>1125</v>
      </c>
    </row>
    <row r="104" spans="1:1" ht="11.4" customHeight="1">
      <c r="A104" s="108" t="s">
        <v>1126</v>
      </c>
    </row>
  </sheetData>
  <mergeCells count="1">
    <mergeCell ref="AQ4:AR4"/>
  </mergeCells>
  <conditionalFormatting sqref="AQ6:AR86 AS7:AS86">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75BD-852B-4457-9E85-74B0009D9854}">
  <sheetPr>
    <tabColor theme="5" tint="0.39997558519241921"/>
  </sheetPr>
  <dimension ref="A1:AU97"/>
  <sheetViews>
    <sheetView topLeftCell="T53" workbookViewId="0">
      <selection activeCell="V43" sqref="V43"/>
    </sheetView>
  </sheetViews>
  <sheetFormatPr defaultColWidth="6.5" defaultRowHeight="14.4"/>
  <cols>
    <col min="1" max="1" width="23.69921875" style="131" customWidth="1"/>
    <col min="2" max="41" width="7.5" style="131" customWidth="1"/>
    <col min="42" max="42" width="7.5" style="132" customWidth="1"/>
    <col min="43" max="45" width="7.5" style="131" customWidth="1"/>
    <col min="46" max="16384" width="6.5" style="131"/>
  </cols>
  <sheetData>
    <row r="1" spans="1:47" ht="11.4" customHeight="1">
      <c r="A1" s="106" t="s">
        <v>1036</v>
      </c>
    </row>
    <row r="3" spans="1:47">
      <c r="A3" s="133" t="s">
        <v>1127</v>
      </c>
      <c r="J3" s="134" t="s">
        <v>1038</v>
      </c>
      <c r="L3" s="112"/>
      <c r="AS3" s="135"/>
      <c r="AU3" s="112"/>
    </row>
    <row r="4" spans="1:47" ht="12" customHeight="1">
      <c r="AQ4" s="602" t="s">
        <v>1039</v>
      </c>
      <c r="AR4" s="602"/>
      <c r="AS4" s="135" t="s">
        <v>1040</v>
      </c>
    </row>
    <row r="5" spans="1:47" ht="12" customHeight="1">
      <c r="A5" s="131" t="s">
        <v>1128</v>
      </c>
      <c r="B5" s="131">
        <v>1980</v>
      </c>
      <c r="C5" s="131">
        <v>1981</v>
      </c>
      <c r="D5" s="131">
        <v>1982</v>
      </c>
      <c r="E5" s="131">
        <v>1983</v>
      </c>
      <c r="F5" s="131">
        <v>1984</v>
      </c>
      <c r="G5" s="131">
        <v>1985</v>
      </c>
      <c r="H5" s="131">
        <v>1986</v>
      </c>
      <c r="I5" s="131">
        <v>1987</v>
      </c>
      <c r="J5" s="131">
        <v>1988</v>
      </c>
      <c r="K5" s="131">
        <v>1989</v>
      </c>
      <c r="L5" s="131">
        <v>1990</v>
      </c>
      <c r="M5" s="131">
        <v>1991</v>
      </c>
      <c r="N5" s="131">
        <v>1992</v>
      </c>
      <c r="O5" s="131">
        <v>1993</v>
      </c>
      <c r="P5" s="131">
        <v>1994</v>
      </c>
      <c r="Q5" s="131">
        <v>1995</v>
      </c>
      <c r="R5" s="131">
        <v>1996</v>
      </c>
      <c r="S5" s="131">
        <v>1997</v>
      </c>
      <c r="T5" s="131">
        <v>1998</v>
      </c>
      <c r="U5" s="131">
        <v>1999</v>
      </c>
      <c r="V5" s="131">
        <v>2000</v>
      </c>
      <c r="W5" s="131">
        <v>2001</v>
      </c>
      <c r="X5" s="131">
        <v>2002</v>
      </c>
      <c r="Y5" s="131">
        <v>2003</v>
      </c>
      <c r="Z5" s="131">
        <v>2004</v>
      </c>
      <c r="AA5" s="131">
        <v>2005</v>
      </c>
      <c r="AB5" s="131">
        <v>2006</v>
      </c>
      <c r="AC5" s="131">
        <v>2007</v>
      </c>
      <c r="AD5" s="131">
        <v>2008</v>
      </c>
      <c r="AE5" s="131">
        <v>2009</v>
      </c>
      <c r="AF5" s="131">
        <v>2010</v>
      </c>
      <c r="AG5" s="131">
        <v>2011</v>
      </c>
      <c r="AH5" s="131">
        <v>2012</v>
      </c>
      <c r="AI5" s="131">
        <v>2013</v>
      </c>
      <c r="AJ5" s="131">
        <v>2014</v>
      </c>
      <c r="AK5" s="131">
        <v>2015</v>
      </c>
      <c r="AL5" s="131">
        <v>2016</v>
      </c>
      <c r="AM5" s="131">
        <v>2017</v>
      </c>
      <c r="AN5" s="131">
        <v>2018</v>
      </c>
      <c r="AO5" s="131">
        <v>2019</v>
      </c>
      <c r="AP5" s="132">
        <v>2020</v>
      </c>
      <c r="AQ5" s="135">
        <v>2020</v>
      </c>
      <c r="AR5" s="135" t="s">
        <v>1042</v>
      </c>
      <c r="AS5" s="135">
        <v>2020</v>
      </c>
    </row>
    <row r="6" spans="1:47" ht="12" customHeight="1">
      <c r="B6" s="136"/>
      <c r="C6" s="136"/>
      <c r="D6" s="136"/>
      <c r="E6" s="136"/>
      <c r="F6" s="136"/>
      <c r="G6" s="136"/>
      <c r="H6" s="136"/>
      <c r="I6" s="136"/>
      <c r="J6" s="136"/>
      <c r="K6" s="136"/>
      <c r="L6" s="136"/>
      <c r="M6" s="136"/>
      <c r="N6" s="136"/>
      <c r="O6" s="136"/>
      <c r="P6" s="136"/>
      <c r="Q6" s="136"/>
      <c r="R6" s="136"/>
      <c r="S6" s="136"/>
      <c r="T6" s="136"/>
      <c r="U6" s="136"/>
      <c r="V6" s="136"/>
      <c r="W6" s="136"/>
      <c r="X6" s="136"/>
      <c r="Y6" s="136"/>
      <c r="Z6" s="136"/>
      <c r="AA6" s="136"/>
      <c r="AB6" s="136"/>
      <c r="AC6" s="136"/>
      <c r="AD6" s="136"/>
      <c r="AE6" s="136"/>
      <c r="AF6" s="136"/>
      <c r="AG6" s="136"/>
      <c r="AH6" s="136"/>
      <c r="AI6" s="136"/>
      <c r="AJ6" s="136"/>
      <c r="AK6" s="136"/>
      <c r="AL6" s="136"/>
      <c r="AM6" s="136"/>
      <c r="AN6" s="136"/>
      <c r="AO6" s="136"/>
      <c r="AP6" s="137"/>
      <c r="AQ6" s="136"/>
      <c r="AR6" s="136"/>
      <c r="AS6" s="136"/>
    </row>
    <row r="7" spans="1:47" ht="12" customHeight="1">
      <c r="A7" s="131" t="s">
        <v>199</v>
      </c>
      <c r="B7" s="138">
        <v>2.4297</v>
      </c>
      <c r="C7" s="138">
        <v>2.4989250000000003</v>
      </c>
      <c r="D7" s="138">
        <v>2.5262249999999997</v>
      </c>
      <c r="E7" s="138">
        <v>2.5476750000000004</v>
      </c>
      <c r="F7" s="138">
        <v>2.7387750000000004</v>
      </c>
      <c r="G7" s="138">
        <v>2.7143999999999999</v>
      </c>
      <c r="H7" s="138">
        <v>2.6773500000000001</v>
      </c>
      <c r="I7" s="138">
        <v>2.6256750000000002</v>
      </c>
      <c r="J7" s="138">
        <v>2.604225</v>
      </c>
      <c r="K7" s="138">
        <v>2.6637</v>
      </c>
      <c r="L7" s="138">
        <v>2.6568750000000003</v>
      </c>
      <c r="M7" s="138">
        <v>2.6432249999999997</v>
      </c>
      <c r="N7" s="138">
        <v>2.6052</v>
      </c>
      <c r="O7" s="138">
        <v>2.1761999999999997</v>
      </c>
      <c r="P7" s="138">
        <v>1.8505499999999999</v>
      </c>
      <c r="Q7" s="138">
        <v>1.8807750000000001</v>
      </c>
      <c r="R7" s="138">
        <v>1.8934500000000001</v>
      </c>
      <c r="S7" s="138">
        <v>1.7637750000000001</v>
      </c>
      <c r="T7" s="138">
        <v>1.7042999999999999</v>
      </c>
      <c r="U7" s="138">
        <v>1.6760250000000001</v>
      </c>
      <c r="V7" s="138">
        <v>1.640925</v>
      </c>
      <c r="W7" s="138">
        <v>1.6516500000000001</v>
      </c>
      <c r="X7" s="138">
        <v>1.6224000000000001</v>
      </c>
      <c r="Y7" s="138">
        <v>1.5629249999999999</v>
      </c>
      <c r="Z7" s="138">
        <v>1.5600000000000003</v>
      </c>
      <c r="AA7" s="138">
        <v>1.5550134</v>
      </c>
      <c r="AB7" s="138">
        <v>1.5618256800000001</v>
      </c>
      <c r="AC7" s="138">
        <v>1.55621736</v>
      </c>
      <c r="AD7" s="138">
        <v>1.6709078850000001</v>
      </c>
      <c r="AE7" s="138">
        <v>1.645396125</v>
      </c>
      <c r="AF7" s="138">
        <v>1.8830710025093751</v>
      </c>
      <c r="AG7" s="138">
        <v>1.8292933950000001</v>
      </c>
      <c r="AH7" s="138">
        <v>1.9044800886525892</v>
      </c>
      <c r="AI7" s="138">
        <v>1.9313871075</v>
      </c>
      <c r="AJ7" s="138">
        <v>1.8928543021823394</v>
      </c>
      <c r="AK7" s="138">
        <v>2.0681445660600897</v>
      </c>
      <c r="AL7" s="138">
        <v>1.9956281842500001</v>
      </c>
      <c r="AM7" s="138">
        <v>1.9840517850000003</v>
      </c>
      <c r="AN7" s="138">
        <v>1.9125066525000003</v>
      </c>
      <c r="AO7" s="138">
        <v>1.9940677701749998</v>
      </c>
      <c r="AP7" s="139">
        <v>2.35395769365</v>
      </c>
      <c r="AQ7" s="140">
        <v>0.1804802870082074</v>
      </c>
      <c r="AR7" s="140">
        <v>1.9405434239469166E-2</v>
      </c>
      <c r="AS7" s="140">
        <v>1.2516109956264858E-2</v>
      </c>
    </row>
    <row r="8" spans="1:47" ht="12" customHeight="1">
      <c r="A8" s="131" t="s">
        <v>237</v>
      </c>
      <c r="B8" s="138">
        <v>1.781325</v>
      </c>
      <c r="C8" s="138">
        <v>2.0806499999999999</v>
      </c>
      <c r="D8" s="138">
        <v>2.0806499999999999</v>
      </c>
      <c r="E8" s="138">
        <v>2.1264750000000001</v>
      </c>
      <c r="F8" s="138">
        <v>2.1176999999999997</v>
      </c>
      <c r="G8" s="138">
        <v>2.112825</v>
      </c>
      <c r="H8" s="138">
        <v>2.0923499999999997</v>
      </c>
      <c r="I8" s="138">
        <v>2.0660250000000002</v>
      </c>
      <c r="J8" s="138">
        <v>2.0260500000000001</v>
      </c>
      <c r="K8" s="138">
        <v>2.0085000000000002</v>
      </c>
      <c r="L8" s="138">
        <v>1.974375</v>
      </c>
      <c r="M8" s="138">
        <v>1.9587750000000002</v>
      </c>
      <c r="N8" s="138">
        <v>1.9334249999999999</v>
      </c>
      <c r="O8" s="138">
        <v>1.923675</v>
      </c>
      <c r="P8" s="138">
        <v>1.8885750000000001</v>
      </c>
      <c r="Q8" s="138">
        <v>1.8680999999999999</v>
      </c>
      <c r="R8" s="138">
        <v>1.76475</v>
      </c>
      <c r="S8" s="138">
        <v>1.752075</v>
      </c>
      <c r="T8" s="138">
        <v>0.82972500000000005</v>
      </c>
      <c r="U8" s="138">
        <v>0.83947499999999997</v>
      </c>
      <c r="V8" s="138">
        <v>0.8141250000000001</v>
      </c>
      <c r="W8" s="138">
        <v>0.77707500000000007</v>
      </c>
      <c r="X8" s="138">
        <v>0.41339999999999999</v>
      </c>
      <c r="Y8" s="138">
        <v>0.41047500000000003</v>
      </c>
      <c r="Z8" s="138">
        <v>0.40852499999999997</v>
      </c>
      <c r="AA8" s="138">
        <v>0.40392</v>
      </c>
      <c r="AB8" s="138">
        <v>0.38408277600000001</v>
      </c>
      <c r="AC8" s="138">
        <v>0.36367500000000003</v>
      </c>
      <c r="AD8" s="138">
        <v>0.35002499999999998</v>
      </c>
      <c r="AE8" s="138">
        <v>0.33545383619715008</v>
      </c>
      <c r="AF8" s="138">
        <v>0.35025842339730001</v>
      </c>
      <c r="AG8" s="138">
        <v>0.35696688338025007</v>
      </c>
      <c r="AH8" s="138">
        <v>0.35639499627765003</v>
      </c>
      <c r="AI8" s="138">
        <v>0.34404615957690005</v>
      </c>
      <c r="AJ8" s="138">
        <v>0.3209127656031</v>
      </c>
      <c r="AK8" s="138">
        <v>0.24136439097869999</v>
      </c>
      <c r="AL8" s="138">
        <v>0.19579283833229999</v>
      </c>
      <c r="AM8" s="138">
        <v>0.18483447223395</v>
      </c>
      <c r="AN8" s="138">
        <v>0.17851007368755001</v>
      </c>
      <c r="AO8" s="138">
        <v>0.17806994488800001</v>
      </c>
      <c r="AP8" s="139">
        <v>0.17806994488800001</v>
      </c>
      <c r="AQ8" s="140">
        <v>0</v>
      </c>
      <c r="AR8" s="140">
        <v>-6.1367070685780956E-2</v>
      </c>
      <c r="AS8" s="140">
        <v>9.4680674004314288E-4</v>
      </c>
    </row>
    <row r="9" spans="1:47" ht="12" customHeight="1">
      <c r="A9" s="131" t="s">
        <v>1043</v>
      </c>
      <c r="B9" s="138">
        <v>5.3961327721863741</v>
      </c>
      <c r="C9" s="138">
        <v>5.4695829291037494</v>
      </c>
      <c r="D9" s="138">
        <v>5.4636722114189995</v>
      </c>
      <c r="E9" s="138">
        <v>5.4293737808171256</v>
      </c>
      <c r="F9" s="138">
        <v>5.3538901201091251</v>
      </c>
      <c r="G9" s="138">
        <v>5.2428879265248742</v>
      </c>
      <c r="H9" s="138">
        <v>5.1945447630757497</v>
      </c>
      <c r="I9" s="138">
        <v>5.075923708622625</v>
      </c>
      <c r="J9" s="138">
        <v>4.5556992122130007</v>
      </c>
      <c r="K9" s="138">
        <v>4.5310802596544999</v>
      </c>
      <c r="L9" s="138">
        <v>4.5915431056957505</v>
      </c>
      <c r="M9" s="138">
        <v>4.5296161369252497</v>
      </c>
      <c r="N9" s="138">
        <v>4.4741150401331247</v>
      </c>
      <c r="O9" s="138">
        <v>4.4036202420581247</v>
      </c>
      <c r="P9" s="138">
        <v>4.4421754739283745</v>
      </c>
      <c r="Q9" s="138">
        <v>4.47766689342075</v>
      </c>
      <c r="R9" s="138">
        <v>4.5136734672067496</v>
      </c>
      <c r="S9" s="138">
        <v>4.5339813917291245</v>
      </c>
      <c r="T9" s="138">
        <v>4.4477066042388742</v>
      </c>
      <c r="U9" s="138">
        <v>4.5389431409782501</v>
      </c>
      <c r="V9" s="138">
        <v>4.810646360789625</v>
      </c>
      <c r="W9" s="138">
        <v>4.9742214057074996</v>
      </c>
      <c r="X9" s="138">
        <v>5.0687386618957495</v>
      </c>
      <c r="Y9" s="138">
        <v>5.1256225412655008</v>
      </c>
      <c r="Z9" s="138">
        <v>5.2196788699278747</v>
      </c>
      <c r="AA9" s="138">
        <v>5.5415689632918745</v>
      </c>
      <c r="AB9" s="138">
        <v>5.7232286352543742</v>
      </c>
      <c r="AC9" s="138">
        <v>6.4455562950682497</v>
      </c>
      <c r="AD9" s="138">
        <v>6.6334520453220005</v>
      </c>
      <c r="AE9" s="138">
        <v>7.3886411263923746</v>
      </c>
      <c r="AF9" s="138">
        <v>8.259414562921874</v>
      </c>
      <c r="AG9" s="138">
        <v>9.0576868109696242</v>
      </c>
      <c r="AH9" s="138">
        <v>8.3518983153194988</v>
      </c>
      <c r="AI9" s="138">
        <v>9.171481683092999</v>
      </c>
      <c r="AJ9" s="138">
        <v>9.9968130882480004</v>
      </c>
      <c r="AK9" s="138">
        <v>8.3436016198537502</v>
      </c>
      <c r="AL9" s="138">
        <v>8.7368541395767494</v>
      </c>
      <c r="AM9" s="138">
        <v>11.888134293832501</v>
      </c>
      <c r="AN9" s="138">
        <v>12.874004044911375</v>
      </c>
      <c r="AO9" s="138">
        <v>12.618704422344374</v>
      </c>
      <c r="AP9" s="139">
        <v>12.618704422344374</v>
      </c>
      <c r="AQ9" s="140">
        <v>0</v>
      </c>
      <c r="AR9" s="140">
        <v>5.4981926305827544E-2</v>
      </c>
      <c r="AS9" s="140">
        <v>6.7094278066983315E-2</v>
      </c>
    </row>
    <row r="10" spans="1:47" s="132" customFormat="1" ht="12" customHeight="1">
      <c r="A10" s="141" t="s">
        <v>1044</v>
      </c>
      <c r="B10" s="142">
        <v>9.6071577721863743</v>
      </c>
      <c r="C10" s="142">
        <v>10.04915792910375</v>
      </c>
      <c r="D10" s="142">
        <v>10.070547211418999</v>
      </c>
      <c r="E10" s="142">
        <v>10.103523780817127</v>
      </c>
      <c r="F10" s="142">
        <v>10.210365120109124</v>
      </c>
      <c r="G10" s="142">
        <v>10.070112926524875</v>
      </c>
      <c r="H10" s="142">
        <v>9.9642447630757509</v>
      </c>
      <c r="I10" s="142">
        <v>9.7676237086226259</v>
      </c>
      <c r="J10" s="142">
        <v>9.1859742122130008</v>
      </c>
      <c r="K10" s="142">
        <v>9.2032802596545</v>
      </c>
      <c r="L10" s="142">
        <v>9.2227931056957502</v>
      </c>
      <c r="M10" s="142">
        <v>9.1316161369252491</v>
      </c>
      <c r="N10" s="142">
        <v>9.0127400401331244</v>
      </c>
      <c r="O10" s="142">
        <v>8.5034952420581256</v>
      </c>
      <c r="P10" s="142">
        <v>8.1813004739283741</v>
      </c>
      <c r="Q10" s="142">
        <v>8.2265418934207499</v>
      </c>
      <c r="R10" s="142">
        <v>8.1718734672067495</v>
      </c>
      <c r="S10" s="142">
        <v>8.0498313917291249</v>
      </c>
      <c r="T10" s="142">
        <v>6.981731604238874</v>
      </c>
      <c r="U10" s="142">
        <v>7.0544431409782504</v>
      </c>
      <c r="V10" s="142">
        <v>7.265696360789625</v>
      </c>
      <c r="W10" s="142">
        <v>7.4029464057074996</v>
      </c>
      <c r="X10" s="142">
        <v>7.1045386618957496</v>
      </c>
      <c r="Y10" s="142">
        <v>7.0990225412655006</v>
      </c>
      <c r="Z10" s="142">
        <v>7.1882038699278752</v>
      </c>
      <c r="AA10" s="142">
        <v>7.5005023632918748</v>
      </c>
      <c r="AB10" s="142">
        <v>7.6691370912543739</v>
      </c>
      <c r="AC10" s="142">
        <v>8.3654486550682492</v>
      </c>
      <c r="AD10" s="142">
        <v>8.6543849303220011</v>
      </c>
      <c r="AE10" s="142">
        <v>9.369491087589525</v>
      </c>
      <c r="AF10" s="142">
        <v>10.492743988828549</v>
      </c>
      <c r="AG10" s="142">
        <v>11.243947089349874</v>
      </c>
      <c r="AH10" s="142">
        <v>10.612773400249738</v>
      </c>
      <c r="AI10" s="142">
        <v>11.4469149501699</v>
      </c>
      <c r="AJ10" s="142">
        <v>12.210580156033441</v>
      </c>
      <c r="AK10" s="142">
        <v>10.653110576892541</v>
      </c>
      <c r="AL10" s="142">
        <v>10.92827516215905</v>
      </c>
      <c r="AM10" s="142">
        <v>14.057020551066451</v>
      </c>
      <c r="AN10" s="142">
        <v>14.965020771098926</v>
      </c>
      <c r="AO10" s="142">
        <v>14.790842137407374</v>
      </c>
      <c r="AP10" s="142">
        <v>15.150732060882374</v>
      </c>
      <c r="AQ10" s="143">
        <v>2.4331942706954157E-2</v>
      </c>
      <c r="AR10" s="143">
        <v>4.6713173236319294E-2</v>
      </c>
      <c r="AS10" s="143">
        <v>8.0557194763291318E-2</v>
      </c>
    </row>
    <row r="11" spans="1:47" ht="12" customHeight="1">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c r="AA11" s="138"/>
      <c r="AB11" s="138"/>
      <c r="AC11" s="138"/>
      <c r="AD11" s="138"/>
      <c r="AE11" s="138"/>
      <c r="AF11" s="138"/>
      <c r="AG11" s="138"/>
      <c r="AH11" s="138"/>
      <c r="AI11" s="138"/>
      <c r="AJ11" s="138"/>
      <c r="AK11" s="138"/>
      <c r="AL11" s="138"/>
      <c r="AM11" s="138"/>
      <c r="AN11" s="138"/>
      <c r="AO11" s="138"/>
      <c r="AP11" s="139"/>
      <c r="AQ11" s="140"/>
      <c r="AR11" s="140"/>
      <c r="AS11" s="140"/>
    </row>
    <row r="12" spans="1:47" ht="12" customHeight="1">
      <c r="A12" s="131" t="s">
        <v>1045</v>
      </c>
      <c r="B12" s="138">
        <v>0.62497500000000006</v>
      </c>
      <c r="C12" s="138">
        <v>0.63179999999999992</v>
      </c>
      <c r="D12" s="138">
        <v>0.67470000000000008</v>
      </c>
      <c r="E12" s="138">
        <v>0.66202500000000009</v>
      </c>
      <c r="F12" s="138">
        <v>0.6513000000000001</v>
      </c>
      <c r="G12" s="138">
        <v>0.66397499999999998</v>
      </c>
      <c r="H12" s="138">
        <v>0.65422500000000006</v>
      </c>
      <c r="I12" s="138">
        <v>0.67567500000000003</v>
      </c>
      <c r="J12" s="138">
        <v>0.75367499999999998</v>
      </c>
      <c r="K12" s="138">
        <v>0.65422500000000006</v>
      </c>
      <c r="L12" s="138">
        <v>0.64349999999999996</v>
      </c>
      <c r="M12" s="138">
        <v>0.62692500000000007</v>
      </c>
      <c r="N12" s="138">
        <v>0.52747500000000014</v>
      </c>
      <c r="O12" s="138">
        <v>0.50407499999999994</v>
      </c>
      <c r="P12" s="138">
        <v>0.52162500000000001</v>
      </c>
      <c r="Q12" s="138">
        <v>0.60352499999999998</v>
      </c>
      <c r="R12" s="138">
        <v>0.62595000000000001</v>
      </c>
      <c r="S12" s="138">
        <v>0.66690000000000005</v>
      </c>
      <c r="T12" s="138">
        <v>0.669825</v>
      </c>
      <c r="U12" s="138">
        <v>0.71077500000000005</v>
      </c>
      <c r="V12" s="138">
        <v>0.75854999999999995</v>
      </c>
      <c r="W12" s="138">
        <v>0.74490000000000001</v>
      </c>
      <c r="X12" s="138">
        <v>0.64739999999999998</v>
      </c>
      <c r="Y12" s="138">
        <v>0.59670000000000001</v>
      </c>
      <c r="Z12" s="138">
        <v>0.52845000000000009</v>
      </c>
      <c r="AA12" s="138">
        <v>0.42802499999999999</v>
      </c>
      <c r="AB12" s="138">
        <v>0.43485000000000001</v>
      </c>
      <c r="AC12" s="138">
        <v>0.4298197150000001</v>
      </c>
      <c r="AD12" s="138">
        <v>0.38756945250000002</v>
      </c>
      <c r="AE12" s="138">
        <v>0.36826532750000002</v>
      </c>
      <c r="AF12" s="138">
        <v>0.34884732766997872</v>
      </c>
      <c r="AG12" s="138">
        <v>0.32336619138625067</v>
      </c>
      <c r="AH12" s="138">
        <v>0.30683125169677994</v>
      </c>
      <c r="AI12" s="138">
        <v>0.3192325553131925</v>
      </c>
      <c r="AJ12" s="138">
        <v>0.32308145318623621</v>
      </c>
      <c r="AK12" s="138">
        <v>0.34084580670000003</v>
      </c>
      <c r="AL12" s="138">
        <v>0.32741024267500007</v>
      </c>
      <c r="AM12" s="138">
        <v>0.34568443182500003</v>
      </c>
      <c r="AN12" s="138">
        <v>0.36048807967500007</v>
      </c>
      <c r="AO12" s="138">
        <v>0.38556774602500005</v>
      </c>
      <c r="AP12" s="139">
        <v>0.38556774602500005</v>
      </c>
      <c r="AQ12" s="140">
        <v>0</v>
      </c>
      <c r="AR12" s="140">
        <v>4.6018798779403625E-3</v>
      </c>
      <c r="AS12" s="140">
        <v>2.0500828531694218E-3</v>
      </c>
    </row>
    <row r="13" spans="1:47" ht="12" customHeight="1">
      <c r="A13" s="131" t="s">
        <v>1129</v>
      </c>
      <c r="B13" s="138">
        <v>0.1201425</v>
      </c>
      <c r="C13" s="138">
        <v>0.15575099411010709</v>
      </c>
      <c r="D13" s="138">
        <v>0.13394200294494649</v>
      </c>
      <c r="E13" s="138">
        <v>0.12834499999999999</v>
      </c>
      <c r="F13" s="138">
        <v>0.12931000000000001</v>
      </c>
      <c r="G13" s="138">
        <v>0.13124</v>
      </c>
      <c r="H13" s="138">
        <v>0.13606499999999999</v>
      </c>
      <c r="I13" s="138">
        <v>0.11222950294494646</v>
      </c>
      <c r="J13" s="138">
        <v>0.11377350147247325</v>
      </c>
      <c r="K13" s="138">
        <v>0.1133875</v>
      </c>
      <c r="L13" s="138">
        <v>0.10943100147247324</v>
      </c>
      <c r="M13" s="138">
        <v>0.11406299705505353</v>
      </c>
      <c r="N13" s="138">
        <v>0.10663250000000001</v>
      </c>
      <c r="O13" s="138">
        <v>0.10412350147247325</v>
      </c>
      <c r="P13" s="138">
        <v>0.10576399852752677</v>
      </c>
      <c r="Q13" s="138">
        <v>0.10576399999999998</v>
      </c>
      <c r="R13" s="138">
        <v>0.10383788895000001</v>
      </c>
      <c r="S13" s="138">
        <v>0.11476819304999999</v>
      </c>
      <c r="T13" s="138">
        <v>0.14482652932499998</v>
      </c>
      <c r="U13" s="138">
        <v>0.14482652932499998</v>
      </c>
      <c r="V13" s="138">
        <v>0.18835362830245919</v>
      </c>
      <c r="W13" s="138">
        <v>0.21684409308770505</v>
      </c>
      <c r="X13" s="138">
        <v>0.22713231648237722</v>
      </c>
      <c r="Y13" s="138">
        <v>0.21842689668688542</v>
      </c>
      <c r="Z13" s="138">
        <v>0.21130428049057395</v>
      </c>
      <c r="AA13" s="138">
        <v>0.20750847277741974</v>
      </c>
      <c r="AB13" s="138">
        <v>0.20346995868879802</v>
      </c>
      <c r="AC13" s="138">
        <v>0.19927468058799072</v>
      </c>
      <c r="AD13" s="138">
        <v>0.27164827200000002</v>
      </c>
      <c r="AE13" s="138">
        <v>0.27164827200000002</v>
      </c>
      <c r="AF13" s="138">
        <v>0.27164827200000002</v>
      </c>
      <c r="AG13" s="138">
        <v>0.27164827200000002</v>
      </c>
      <c r="AH13" s="138">
        <v>0.3060485148</v>
      </c>
      <c r="AI13" s="138">
        <v>0.28692048262499997</v>
      </c>
      <c r="AJ13" s="138">
        <v>0.27052502647499999</v>
      </c>
      <c r="AK13" s="138">
        <v>0.27052502647499999</v>
      </c>
      <c r="AL13" s="138">
        <v>0.29241815999999998</v>
      </c>
      <c r="AM13" s="138">
        <v>0.24702487265999998</v>
      </c>
      <c r="AN13" s="138">
        <v>0.22994627250374999</v>
      </c>
      <c r="AO13" s="138">
        <v>0.21286767234749998</v>
      </c>
      <c r="AP13" s="139">
        <v>0.21286767234749998</v>
      </c>
      <c r="AQ13" s="140">
        <v>0</v>
      </c>
      <c r="AR13" s="140">
        <v>-2.4088857836122024E-2</v>
      </c>
      <c r="AS13" s="140">
        <v>1.1318279850239356E-3</v>
      </c>
    </row>
    <row r="14" spans="1:47" ht="12" customHeight="1">
      <c r="A14" s="131" t="s">
        <v>197</v>
      </c>
      <c r="B14" s="138">
        <v>5.1674999999999999E-2</v>
      </c>
      <c r="C14" s="138">
        <v>5.8499999999999983E-2</v>
      </c>
      <c r="D14" s="138">
        <v>7.0199999999999999E-2</v>
      </c>
      <c r="E14" s="138">
        <v>7.9949999999999993E-2</v>
      </c>
      <c r="F14" s="138">
        <v>8.1900000000000001E-2</v>
      </c>
      <c r="G14" s="138">
        <v>9.0674999999999992E-2</v>
      </c>
      <c r="H14" s="138">
        <v>9.3599999999999989E-2</v>
      </c>
      <c r="I14" s="138">
        <v>0.10237499999999999</v>
      </c>
      <c r="J14" s="138">
        <v>0.10627500000000001</v>
      </c>
      <c r="K14" s="138">
        <v>0.11309999999999999</v>
      </c>
      <c r="L14" s="138">
        <v>0.112125</v>
      </c>
      <c r="M14" s="138">
        <v>0.12090000000000001</v>
      </c>
      <c r="N14" s="138">
        <v>0.12967499999999998</v>
      </c>
      <c r="O14" s="138">
        <v>0.133575</v>
      </c>
      <c r="P14" s="138">
        <v>0.14235</v>
      </c>
      <c r="Q14" s="138">
        <v>0.15014999999999998</v>
      </c>
      <c r="R14" s="138">
        <v>0.15405000000000002</v>
      </c>
      <c r="S14" s="138">
        <v>0.22229999999999994</v>
      </c>
      <c r="T14" s="138">
        <v>0.22034999999999999</v>
      </c>
      <c r="U14" s="138">
        <v>0.22522499999999998</v>
      </c>
      <c r="V14" s="138">
        <v>0.215475</v>
      </c>
      <c r="W14" s="138">
        <v>0.22665493007999998</v>
      </c>
      <c r="X14" s="138">
        <v>0.25212783472650002</v>
      </c>
      <c r="Y14" s="138">
        <v>0.25294541732999998</v>
      </c>
      <c r="Z14" s="138">
        <v>0.33619244095799994</v>
      </c>
      <c r="AA14" s="138">
        <v>0.31589309180249997</v>
      </c>
      <c r="AB14" s="138">
        <v>0.3586878190485</v>
      </c>
      <c r="AC14" s="138">
        <v>0.376304507505</v>
      </c>
      <c r="AD14" s="138">
        <v>0.37552683489214495</v>
      </c>
      <c r="AE14" s="138">
        <v>0.37847447277264001</v>
      </c>
      <c r="AF14" s="138">
        <v>0.43611588149849995</v>
      </c>
      <c r="AG14" s="138">
        <v>0.47364457156735046</v>
      </c>
      <c r="AH14" s="138">
        <v>0.47342200661228689</v>
      </c>
      <c r="AI14" s="138">
        <v>0.47236553627861955</v>
      </c>
      <c r="AJ14" s="138">
        <v>0.48569822314028399</v>
      </c>
      <c r="AK14" s="138">
        <v>0.44328616069194537</v>
      </c>
      <c r="AL14" s="138">
        <v>0.38910567030859566</v>
      </c>
      <c r="AM14" s="138">
        <v>0.38088408763806481</v>
      </c>
      <c r="AN14" s="138">
        <v>0.38034679260862797</v>
      </c>
      <c r="AO14" s="138">
        <v>0.37527866300249996</v>
      </c>
      <c r="AP14" s="139">
        <v>0.34852831763392195</v>
      </c>
      <c r="AQ14" s="140">
        <v>-7.1281285097735014E-2</v>
      </c>
      <c r="AR14" s="140">
        <v>-8.4761818046708015E-4</v>
      </c>
      <c r="AS14" s="140">
        <v>1.8531423730110466E-3</v>
      </c>
    </row>
    <row r="15" spans="1:47" ht="12" customHeight="1">
      <c r="A15" s="131" t="s">
        <v>1046</v>
      </c>
      <c r="B15" s="138">
        <v>0.11895</v>
      </c>
      <c r="C15" s="138">
        <v>0.11895</v>
      </c>
      <c r="D15" s="138">
        <v>0.11700000000000003</v>
      </c>
      <c r="E15" s="138">
        <v>0.110175</v>
      </c>
      <c r="F15" s="138">
        <v>0.10627500000000001</v>
      </c>
      <c r="G15" s="138">
        <v>0.104325</v>
      </c>
      <c r="H15" s="138">
        <v>0.110175</v>
      </c>
      <c r="I15" s="138">
        <v>9.457500000000002E-2</v>
      </c>
      <c r="J15" s="138">
        <v>0.123825</v>
      </c>
      <c r="K15" s="138">
        <v>0.10627500000000001</v>
      </c>
      <c r="L15" s="138">
        <v>9.8474999999999993E-2</v>
      </c>
      <c r="M15" s="138">
        <v>9.6525E-2</v>
      </c>
      <c r="N15" s="138">
        <v>0.18037500000000004</v>
      </c>
      <c r="O15" s="138">
        <v>0.20572499999999999</v>
      </c>
      <c r="P15" s="138">
        <v>0.20865</v>
      </c>
      <c r="Q15" s="138">
        <v>0.21157499999999999</v>
      </c>
      <c r="R15" s="138">
        <v>0.21157499999999999</v>
      </c>
      <c r="S15" s="138">
        <v>0.19110000000000002</v>
      </c>
      <c r="T15" s="138">
        <v>0.19110000000000002</v>
      </c>
      <c r="U15" s="138">
        <v>0.18330000000000002</v>
      </c>
      <c r="V15" s="138">
        <v>0.125775</v>
      </c>
      <c r="W15" s="138">
        <v>0.12480000000000002</v>
      </c>
      <c r="X15" s="138">
        <v>0.11700000000000003</v>
      </c>
      <c r="Y15" s="138">
        <v>0.11115</v>
      </c>
      <c r="Z15" s="138">
        <v>0.116025</v>
      </c>
      <c r="AA15" s="138">
        <v>0.110175</v>
      </c>
      <c r="AB15" s="138">
        <v>0.119925</v>
      </c>
      <c r="AC15" s="138">
        <v>0.12027085629306403</v>
      </c>
      <c r="AD15" s="138">
        <v>0.11948578025999999</v>
      </c>
      <c r="AE15" s="138">
        <v>0.12910678400812498</v>
      </c>
      <c r="AF15" s="138">
        <v>0.14731310271562501</v>
      </c>
      <c r="AG15" s="138">
        <v>0.14889389086687502</v>
      </c>
      <c r="AH15" s="138">
        <v>0.15608920245187499</v>
      </c>
      <c r="AI15" s="138">
        <v>0.15012036443249999</v>
      </c>
      <c r="AJ15" s="138">
        <v>0.12970639330687497</v>
      </c>
      <c r="AK15" s="138">
        <v>0.11885891599312499</v>
      </c>
      <c r="AL15" s="138">
        <v>0.10966510849598406</v>
      </c>
      <c r="AM15" s="138">
        <v>0.10618535581499998</v>
      </c>
      <c r="AN15" s="138">
        <v>0.10307828944875</v>
      </c>
      <c r="AO15" s="138">
        <v>8.6207464179374985E-2</v>
      </c>
      <c r="AP15" s="139">
        <v>8.6207464179374985E-2</v>
      </c>
      <c r="AQ15" s="140">
        <v>0</v>
      </c>
      <c r="AR15" s="140">
        <v>-3.9583570610505547E-2</v>
      </c>
      <c r="AS15" s="140">
        <v>4.5836936816259143E-4</v>
      </c>
    </row>
    <row r="16" spans="1:47" ht="12" customHeight="1">
      <c r="A16" s="131" t="s">
        <v>1048</v>
      </c>
      <c r="B16" s="138">
        <v>3.1200000000000006E-2</v>
      </c>
      <c r="C16" s="138">
        <v>3.1200000000000006E-2</v>
      </c>
      <c r="D16" s="138">
        <v>2.6324999999999998E-2</v>
      </c>
      <c r="E16" s="138">
        <v>2.5350000000000001E-2</v>
      </c>
      <c r="F16" s="138">
        <v>2.4375000000000001E-2</v>
      </c>
      <c r="G16" s="138">
        <v>2.6324999999999998E-2</v>
      </c>
      <c r="H16" s="138">
        <v>5.3624999999999999E-2</v>
      </c>
      <c r="I16" s="138">
        <v>0.33150000000000002</v>
      </c>
      <c r="J16" s="138">
        <v>0.33150000000000002</v>
      </c>
      <c r="K16" s="138">
        <v>0.33150000000000002</v>
      </c>
      <c r="L16" s="138">
        <v>0.33052500000000001</v>
      </c>
      <c r="M16" s="138">
        <v>0.33442500000000008</v>
      </c>
      <c r="N16" s="138">
        <v>0.31785000000000002</v>
      </c>
      <c r="O16" s="138">
        <v>0.32369999999999999</v>
      </c>
      <c r="P16" s="138">
        <v>0.33150000000000002</v>
      </c>
      <c r="Q16" s="138">
        <v>0.19597500000000001</v>
      </c>
      <c r="R16" s="138">
        <v>0.19597500000000001</v>
      </c>
      <c r="S16" s="138">
        <v>0.19305</v>
      </c>
      <c r="T16" s="138">
        <v>0.24082500000000004</v>
      </c>
      <c r="U16" s="138">
        <v>0.24082500000000004</v>
      </c>
      <c r="V16" s="138">
        <v>0.24082500000000004</v>
      </c>
      <c r="W16" s="138">
        <v>0.24082500000000004</v>
      </c>
      <c r="X16" s="138">
        <v>0.24082500000000004</v>
      </c>
      <c r="Y16" s="138">
        <v>0.24082500000000004</v>
      </c>
      <c r="Z16" s="138">
        <v>0.31687500000000007</v>
      </c>
      <c r="AA16" s="138">
        <v>0.32147500000000001</v>
      </c>
      <c r="AB16" s="138">
        <v>0.31914580236000001</v>
      </c>
      <c r="AC16" s="138">
        <v>0.32215372323750002</v>
      </c>
      <c r="AD16" s="138">
        <v>0.32711412743625001</v>
      </c>
      <c r="AE16" s="138">
        <v>0.32711412743625001</v>
      </c>
      <c r="AF16" s="138">
        <v>0.33965141277374999</v>
      </c>
      <c r="AG16" s="138">
        <v>0.34613809518749999</v>
      </c>
      <c r="AH16" s="138">
        <v>0.41907238988999995</v>
      </c>
      <c r="AI16" s="138">
        <v>0.41010550537687507</v>
      </c>
      <c r="AJ16" s="138">
        <v>0.39863116379624997</v>
      </c>
      <c r="AK16" s="138">
        <v>0.38374995119999999</v>
      </c>
      <c r="AL16" s="138">
        <v>0.43853243713125006</v>
      </c>
      <c r="AM16" s="138">
        <v>0.35090771460937498</v>
      </c>
      <c r="AN16" s="138">
        <v>0.28901168199749999</v>
      </c>
      <c r="AO16" s="138">
        <v>0.27559718805536199</v>
      </c>
      <c r="AP16" s="139">
        <v>0.26144213080364553</v>
      </c>
      <c r="AQ16" s="140">
        <v>-5.1361399409028063E-2</v>
      </c>
      <c r="AR16" s="140">
        <v>-1.6990877631924528E-2</v>
      </c>
      <c r="AS16" s="140">
        <v>1.3901007928756525E-3</v>
      </c>
    </row>
    <row r="17" spans="1:45" ht="12" customHeight="1">
      <c r="A17" s="131" t="s">
        <v>1049</v>
      </c>
      <c r="B17" s="138">
        <v>0.28957499999999997</v>
      </c>
      <c r="C17" s="138">
        <v>0.33150000000000002</v>
      </c>
      <c r="D17" s="138">
        <v>0.32565000000000005</v>
      </c>
      <c r="E17" s="138">
        <v>0.30907500000000004</v>
      </c>
      <c r="F17" s="138">
        <v>0.30322500000000002</v>
      </c>
      <c r="G17" s="138">
        <v>0.30907500000000004</v>
      </c>
      <c r="H17" s="138">
        <v>0.30127500000000002</v>
      </c>
      <c r="I17" s="138">
        <v>0.29542499999999999</v>
      </c>
      <c r="J17" s="138">
        <v>0.28664999999999996</v>
      </c>
      <c r="K17" s="138">
        <v>0.27885000000000004</v>
      </c>
      <c r="L17" s="138">
        <v>0.2457</v>
      </c>
      <c r="M17" s="138">
        <v>0.23205000000000001</v>
      </c>
      <c r="N17" s="138">
        <v>0.22717500000000002</v>
      </c>
      <c r="O17" s="138">
        <v>0.22425</v>
      </c>
      <c r="P17" s="138">
        <v>0.27885000000000004</v>
      </c>
      <c r="Q17" s="138">
        <v>0.34027499999999999</v>
      </c>
      <c r="R17" s="138">
        <v>0.4446</v>
      </c>
      <c r="S17" s="138">
        <v>0.50407499999999994</v>
      </c>
      <c r="T17" s="138">
        <v>0.54600000000000004</v>
      </c>
      <c r="U17" s="138">
        <v>0.58987500000000004</v>
      </c>
      <c r="V17" s="138">
        <v>0.54307500000000009</v>
      </c>
      <c r="W17" s="138">
        <v>0.56159999999999999</v>
      </c>
      <c r="X17" s="138">
        <v>0.57427499999999998</v>
      </c>
      <c r="Y17" s="138">
        <v>0.51870000000000005</v>
      </c>
      <c r="Z17" s="138">
        <v>0.51870000000000005</v>
      </c>
      <c r="AA17" s="138">
        <v>0.51675000000000004</v>
      </c>
      <c r="AB17" s="138">
        <v>0.46800000000000003</v>
      </c>
      <c r="AC17" s="138">
        <v>0.46806570821512505</v>
      </c>
      <c r="AD17" s="138">
        <v>0.42326115992625002</v>
      </c>
      <c r="AE17" s="138">
        <v>0.39698977758600007</v>
      </c>
      <c r="AF17" s="138">
        <v>0.37066331897250004</v>
      </c>
      <c r="AG17" s="138">
        <v>0.365073077237625</v>
      </c>
      <c r="AH17" s="138">
        <v>0.36091481860725011</v>
      </c>
      <c r="AI17" s="138">
        <v>0.33706679229000008</v>
      </c>
      <c r="AJ17" s="138">
        <v>0.3167711855973751</v>
      </c>
      <c r="AK17" s="138">
        <v>0.3167711855973751</v>
      </c>
      <c r="AL17" s="138">
        <v>0.29190424822500005</v>
      </c>
      <c r="AM17" s="138">
        <v>0.3095286556650001</v>
      </c>
      <c r="AN17" s="138">
        <v>0.27317831532000009</v>
      </c>
      <c r="AO17" s="138">
        <v>0.28956350661187502</v>
      </c>
      <c r="AP17" s="139">
        <v>0.28986642611475005</v>
      </c>
      <c r="AQ17" s="140">
        <v>1.0461245839279432E-3</v>
      </c>
      <c r="AR17" s="140">
        <v>-3.1060969577102027E-2</v>
      </c>
      <c r="AS17" s="140">
        <v>1.5412341826144846E-3</v>
      </c>
    </row>
    <row r="18" spans="1:45" ht="12" customHeight="1">
      <c r="A18" s="131" t="s">
        <v>1050</v>
      </c>
      <c r="B18" s="138">
        <v>1.4012751000000003</v>
      </c>
      <c r="C18" s="138">
        <v>1.515261</v>
      </c>
      <c r="D18" s="138">
        <v>1.6330542000000003</v>
      </c>
      <c r="E18" s="138">
        <v>1.7341863000000002</v>
      </c>
      <c r="F18" s="138">
        <v>1.849593</v>
      </c>
      <c r="G18" s="138">
        <v>1.9256280000000001</v>
      </c>
      <c r="H18" s="138">
        <v>2.9104200000000007</v>
      </c>
      <c r="I18" s="138">
        <v>3.1501800000000002</v>
      </c>
      <c r="J18" s="138">
        <v>3.170160000000001</v>
      </c>
      <c r="K18" s="138">
        <v>3.3218969999999999</v>
      </c>
      <c r="L18" s="138">
        <v>3.80619</v>
      </c>
      <c r="M18" s="138">
        <v>3.9757980000000011</v>
      </c>
      <c r="N18" s="138">
        <v>4.0992300000000004</v>
      </c>
      <c r="O18" s="138">
        <v>4.0992300000000004</v>
      </c>
      <c r="P18" s="138">
        <v>4.4012055000000005</v>
      </c>
      <c r="Q18" s="138">
        <v>4.5118170000000006</v>
      </c>
      <c r="R18" s="138">
        <v>4.4971650000000007</v>
      </c>
      <c r="S18" s="138">
        <v>4.5740880000000006</v>
      </c>
      <c r="T18" s="138">
        <v>4.6036850400000002</v>
      </c>
      <c r="U18" s="138">
        <v>4.609183980000001</v>
      </c>
      <c r="V18" s="138">
        <v>4.609183980000001</v>
      </c>
      <c r="W18" s="138">
        <v>4.639800000000001</v>
      </c>
      <c r="X18" s="138">
        <v>4.6409100000000008</v>
      </c>
      <c r="Y18" s="138">
        <v>4.6830900000000009</v>
      </c>
      <c r="Z18" s="138">
        <v>4.7612430144765012</v>
      </c>
      <c r="AA18" s="138">
        <v>4.7859169017240006</v>
      </c>
      <c r="AB18" s="138">
        <v>5.2254892751714994</v>
      </c>
      <c r="AC18" s="138">
        <v>5.37230676222</v>
      </c>
      <c r="AD18" s="138">
        <v>5.5313826136335003</v>
      </c>
      <c r="AE18" s="138">
        <v>5.6224088269695001</v>
      </c>
      <c r="AF18" s="138">
        <v>6.1321996260360008</v>
      </c>
      <c r="AG18" s="138">
        <v>6.1365372011190003</v>
      </c>
      <c r="AH18" s="138">
        <v>6.1733437259175004</v>
      </c>
      <c r="AI18" s="138">
        <v>6.1948430111115016</v>
      </c>
      <c r="AJ18" s="138">
        <v>6.2350441598880018</v>
      </c>
      <c r="AK18" s="138">
        <v>6.3287420680215005</v>
      </c>
      <c r="AL18" s="138">
        <v>6.3711434360430008</v>
      </c>
      <c r="AM18" s="138">
        <v>6.3364114036755019</v>
      </c>
      <c r="AN18" s="138">
        <v>6.2965712165819951</v>
      </c>
      <c r="AO18" s="138">
        <v>6.2601734064165262</v>
      </c>
      <c r="AP18" s="139">
        <v>6.2601734064165262</v>
      </c>
      <c r="AQ18" s="140">
        <v>0</v>
      </c>
      <c r="AR18" s="140">
        <v>1.0802701987317365E-2</v>
      </c>
      <c r="AS18" s="140">
        <v>3.328565288635317E-2</v>
      </c>
    </row>
    <row r="19" spans="1:45" ht="12" customHeight="1">
      <c r="A19" s="131" t="s">
        <v>1051</v>
      </c>
      <c r="B19" s="138">
        <v>0.15863956310955002</v>
      </c>
      <c r="C19" s="138">
        <v>0.15278956310955</v>
      </c>
      <c r="D19" s="138">
        <v>0.14883407766555001</v>
      </c>
      <c r="E19" s="138">
        <v>0.15760907766555002</v>
      </c>
      <c r="F19" s="138">
        <v>0.15247645631369999</v>
      </c>
      <c r="G19" s="138">
        <v>0.1476014563137</v>
      </c>
      <c r="H19" s="138">
        <v>0.14636883495270001</v>
      </c>
      <c r="I19" s="138">
        <v>0.1453938349527</v>
      </c>
      <c r="J19" s="138">
        <v>0.1441612135917</v>
      </c>
      <c r="K19" s="138">
        <v>0.16047859223069999</v>
      </c>
      <c r="L19" s="138">
        <v>0.15729597086970004</v>
      </c>
      <c r="M19" s="138">
        <v>0.15508834951785</v>
      </c>
      <c r="N19" s="138">
        <v>0.15580572815685001</v>
      </c>
      <c r="O19" s="138">
        <v>0.15359810679585001</v>
      </c>
      <c r="P19" s="138">
        <v>0.15139048543485001</v>
      </c>
      <c r="Q19" s="138">
        <v>0.14625786407385</v>
      </c>
      <c r="R19" s="138">
        <v>0.141125242722</v>
      </c>
      <c r="S19" s="138">
        <v>0.14061000000000001</v>
      </c>
      <c r="T19" s="138">
        <v>0.13742737863899998</v>
      </c>
      <c r="U19" s="138">
        <v>0.13671</v>
      </c>
      <c r="V19" s="138">
        <v>0.11835000000000001</v>
      </c>
      <c r="W19" s="138">
        <v>0.11737500000000001</v>
      </c>
      <c r="X19" s="138">
        <v>0.1164</v>
      </c>
      <c r="Y19" s="138">
        <v>6.966E-2</v>
      </c>
      <c r="Z19" s="138">
        <v>6.4384499999999997E-2</v>
      </c>
      <c r="AA19" s="138">
        <v>6.4384499999999997E-2</v>
      </c>
      <c r="AB19" s="138">
        <v>6.291540000000001E-2</v>
      </c>
      <c r="AC19" s="138">
        <v>6.55974E-2</v>
      </c>
      <c r="AD19" s="138">
        <v>6.5190750000000006E-2</v>
      </c>
      <c r="AE19" s="138">
        <v>6.4732200000000004E-2</v>
      </c>
      <c r="AF19" s="138">
        <v>6.0732940200000002E-2</v>
      </c>
      <c r="AG19" s="138">
        <v>5.9444400000000008E-2</v>
      </c>
      <c r="AH19" s="138">
        <v>5.8546900000000013E-2</v>
      </c>
      <c r="AI19" s="138">
        <v>5.7165000000000007E-2</v>
      </c>
      <c r="AJ19" s="138">
        <v>6.0739350000000011E-2</v>
      </c>
      <c r="AK19" s="138">
        <v>5.9764350000000008E-2</v>
      </c>
      <c r="AL19" s="138">
        <v>5.8789350000000011E-2</v>
      </c>
      <c r="AM19" s="138">
        <v>5.3599912019941257E-2</v>
      </c>
      <c r="AN19" s="138">
        <v>5.3304823966686503E-2</v>
      </c>
      <c r="AO19" s="138">
        <v>5.3304823966686503E-2</v>
      </c>
      <c r="AP19" s="139">
        <v>5.2823573966686507E-2</v>
      </c>
      <c r="AQ19" s="140">
        <v>-9.0282635639272746E-3</v>
      </c>
      <c r="AR19" s="140">
        <v>-1.9235777783108365E-2</v>
      </c>
      <c r="AS19" s="140">
        <v>2.8086556603520725E-4</v>
      </c>
    </row>
    <row r="20" spans="1:45" s="132" customFormat="1" ht="12" customHeight="1">
      <c r="A20" s="141" t="s">
        <v>1052</v>
      </c>
      <c r="B20" s="142">
        <v>2.7964321631095501</v>
      </c>
      <c r="C20" s="142">
        <v>2.9957515572196574</v>
      </c>
      <c r="D20" s="142">
        <v>3.1297052806104966</v>
      </c>
      <c r="E20" s="142">
        <v>3.2067153776655504</v>
      </c>
      <c r="F20" s="142">
        <v>3.2984544563137006</v>
      </c>
      <c r="G20" s="142">
        <v>3.3988444563136997</v>
      </c>
      <c r="H20" s="142">
        <v>4.4057538349527006</v>
      </c>
      <c r="I20" s="142">
        <v>4.9073533378976464</v>
      </c>
      <c r="J20" s="142">
        <v>5.0300197150641752</v>
      </c>
      <c r="K20" s="142">
        <v>5.0797130922307003</v>
      </c>
      <c r="L20" s="142">
        <v>5.503241972342173</v>
      </c>
      <c r="M20" s="142">
        <v>5.6557743465729038</v>
      </c>
      <c r="N20" s="142">
        <v>5.744218228156849</v>
      </c>
      <c r="O20" s="142">
        <v>5.7482766082683225</v>
      </c>
      <c r="P20" s="142">
        <v>6.1413349839623788</v>
      </c>
      <c r="Q20" s="142">
        <v>6.2653388640738514</v>
      </c>
      <c r="R20" s="142">
        <v>6.3742781316720007</v>
      </c>
      <c r="S20" s="142">
        <v>6.6068911930500009</v>
      </c>
      <c r="T20" s="142">
        <v>6.7540389479640002</v>
      </c>
      <c r="U20" s="142">
        <v>6.840720509325001</v>
      </c>
      <c r="V20" s="142">
        <v>6.7995876083024598</v>
      </c>
      <c r="W20" s="142">
        <v>6.8727990231677065</v>
      </c>
      <c r="X20" s="142">
        <v>6.8160701512088782</v>
      </c>
      <c r="Y20" s="142">
        <v>6.6914973140168872</v>
      </c>
      <c r="Z20" s="142">
        <v>6.8531742359250742</v>
      </c>
      <c r="AA20" s="142">
        <v>6.7501279663039195</v>
      </c>
      <c r="AB20" s="142">
        <v>7.1924832552687956</v>
      </c>
      <c r="AC20" s="142">
        <v>7.3537933530586788</v>
      </c>
      <c r="AD20" s="142">
        <v>7.5011789906481452</v>
      </c>
      <c r="AE20" s="142">
        <v>7.558739788272514</v>
      </c>
      <c r="AF20" s="142">
        <v>8.107171881866357</v>
      </c>
      <c r="AG20" s="142">
        <v>8.1247456993646008</v>
      </c>
      <c r="AH20" s="142">
        <v>8.2542688099756933</v>
      </c>
      <c r="AI20" s="142">
        <v>8.2278192474276874</v>
      </c>
      <c r="AJ20" s="142">
        <v>8.2201969553900209</v>
      </c>
      <c r="AK20" s="142">
        <v>8.2625434646789468</v>
      </c>
      <c r="AL20" s="142">
        <v>8.2789686528788309</v>
      </c>
      <c r="AM20" s="142">
        <v>8.1302264339078807</v>
      </c>
      <c r="AN20" s="142">
        <v>7.9859254721023101</v>
      </c>
      <c r="AO20" s="142">
        <v>7.9385604706048243</v>
      </c>
      <c r="AP20" s="142">
        <v>7.8974767374874046</v>
      </c>
      <c r="AQ20" s="143">
        <v>-5.1752119631192084E-3</v>
      </c>
      <c r="AR20" s="143">
        <v>4.9147857591405053E-3</v>
      </c>
      <c r="AS20" s="143">
        <v>4.1991276007245511E-2</v>
      </c>
    </row>
    <row r="21" spans="1:45" ht="12" customHeight="1">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9"/>
      <c r="AQ21" s="140"/>
      <c r="AR21" s="140"/>
      <c r="AS21" s="140"/>
    </row>
    <row r="22" spans="1:45" ht="12" customHeight="1">
      <c r="A22" s="131" t="s">
        <v>1053</v>
      </c>
      <c r="B22" s="138">
        <v>8.5485000000000005E-2</v>
      </c>
      <c r="C22" s="138">
        <v>8.5485000000000005E-2</v>
      </c>
      <c r="D22" s="138">
        <v>8.5485000000000005E-2</v>
      </c>
      <c r="E22" s="138">
        <v>0.10216500000000001</v>
      </c>
      <c r="F22" s="138">
        <v>0.10737750000000001</v>
      </c>
      <c r="G22" s="138">
        <v>9.4867500000000007E-2</v>
      </c>
      <c r="H22" s="138">
        <v>7.4017500000000014E-2</v>
      </c>
      <c r="I22" s="138">
        <v>7.2974999999999998E-2</v>
      </c>
      <c r="J22" s="138">
        <v>8.23575E-2</v>
      </c>
      <c r="K22" s="138">
        <v>0.11259000000000001</v>
      </c>
      <c r="L22" s="138">
        <v>0.10320750000000001</v>
      </c>
      <c r="M22" s="138">
        <v>0.10529250000000002</v>
      </c>
      <c r="N22" s="138">
        <v>0.1344825</v>
      </c>
      <c r="O22" s="138">
        <v>0.13135500000000003</v>
      </c>
      <c r="P22" s="138">
        <v>0.12927000000000002</v>
      </c>
      <c r="Q22" s="138">
        <v>0.12509999999999999</v>
      </c>
      <c r="R22" s="138">
        <v>0.11884499999999999</v>
      </c>
      <c r="S22" s="138">
        <v>0.11571750000000001</v>
      </c>
      <c r="T22" s="138">
        <v>0.10842</v>
      </c>
      <c r="U22" s="138">
        <v>0.13845000000000002</v>
      </c>
      <c r="V22" s="138">
        <v>0.1404</v>
      </c>
      <c r="W22" s="138">
        <v>0.13747500000000001</v>
      </c>
      <c r="X22" s="138">
        <v>0.125775</v>
      </c>
      <c r="Y22" s="138">
        <v>0.13260000000000002</v>
      </c>
      <c r="Z22" s="138">
        <v>0.12869999999999998</v>
      </c>
      <c r="AA22" s="138">
        <v>0.11895</v>
      </c>
      <c r="AB22" s="138">
        <v>0.11700000000000001</v>
      </c>
      <c r="AC22" s="138">
        <v>7.1931778681666655E-2</v>
      </c>
      <c r="AD22" s="138">
        <v>5.7177615565277777E-2</v>
      </c>
      <c r="AE22" s="138">
        <v>6.650024752E-2</v>
      </c>
      <c r="AF22" s="138">
        <v>5.4031451109999996E-2</v>
      </c>
      <c r="AG22" s="138">
        <v>4.4736467913055557E-2</v>
      </c>
      <c r="AH22" s="138">
        <v>3.9572576652222219E-2</v>
      </c>
      <c r="AI22" s="138">
        <v>3.7985591056111115E-2</v>
      </c>
      <c r="AJ22" s="138">
        <v>3.6433679868055562E-2</v>
      </c>
      <c r="AK22" s="138">
        <v>1.7744148442222222E-2</v>
      </c>
      <c r="AL22" s="138">
        <v>1.3568027640555553E-2</v>
      </c>
      <c r="AM22" s="138">
        <v>2.8196103525000002E-2</v>
      </c>
      <c r="AN22" s="138">
        <v>2.9189525135555557E-2</v>
      </c>
      <c r="AO22" s="138">
        <v>2.9640900853888895E-2</v>
      </c>
      <c r="AP22" s="139">
        <v>2.8027956853326593E-2</v>
      </c>
      <c r="AQ22" s="140">
        <v>-5.4416159903948547E-2</v>
      </c>
      <c r="AR22" s="140">
        <v>-7.7626507212732343E-2</v>
      </c>
      <c r="AS22" s="140">
        <v>1.4902603847639155E-4</v>
      </c>
    </row>
    <row r="23" spans="1:45" ht="12" customHeight="1">
      <c r="A23" s="131" t="s">
        <v>1130</v>
      </c>
      <c r="B23" s="138">
        <v>0.25837500000000002</v>
      </c>
      <c r="C23" s="138">
        <v>0.24180000000000001</v>
      </c>
      <c r="D23" s="138">
        <v>0.23497499999999999</v>
      </c>
      <c r="E23" s="138">
        <v>0.312</v>
      </c>
      <c r="F23" s="138">
        <v>0.29834999999999995</v>
      </c>
      <c r="G23" s="138">
        <v>0.28860000000000002</v>
      </c>
      <c r="H23" s="138">
        <v>0.37245</v>
      </c>
      <c r="I23" s="138">
        <v>0.36660000000000004</v>
      </c>
      <c r="J23" s="138">
        <v>0.35392499999999999</v>
      </c>
      <c r="K23" s="138">
        <v>0.342225</v>
      </c>
      <c r="L23" s="138">
        <v>0.21157499999999999</v>
      </c>
      <c r="M23" s="138">
        <v>0.19012499999999999</v>
      </c>
      <c r="N23" s="138">
        <v>0.19305</v>
      </c>
      <c r="O23" s="138">
        <v>0.19305</v>
      </c>
      <c r="P23" s="138">
        <v>0.21644999999999998</v>
      </c>
      <c r="Q23" s="138">
        <v>0.21116682644399998</v>
      </c>
      <c r="R23" s="138">
        <v>0.21542668610400001</v>
      </c>
      <c r="S23" s="138">
        <v>0.20129661291600001</v>
      </c>
      <c r="T23" s="138">
        <v>0.200602902024</v>
      </c>
      <c r="U23" s="138">
        <v>0.23741617838400003</v>
      </c>
      <c r="V23" s="138">
        <v>0.23205288758399997</v>
      </c>
      <c r="W23" s="138">
        <v>0.22376352600000002</v>
      </c>
      <c r="X23" s="138">
        <v>0.21136641119999999</v>
      </c>
      <c r="Y23" s="138">
        <v>0.19070455320000002</v>
      </c>
      <c r="Z23" s="138">
        <v>0.17690067359999997</v>
      </c>
      <c r="AA23" s="138">
        <v>0.1643277132</v>
      </c>
      <c r="AB23" s="138">
        <v>0.14322624119999999</v>
      </c>
      <c r="AC23" s="138">
        <v>0.13038951239999999</v>
      </c>
      <c r="AD23" s="138">
        <v>0.1109585736</v>
      </c>
      <c r="AE23" s="138">
        <v>8.6428112400000007E-2</v>
      </c>
      <c r="AF23" s="138">
        <v>7.6668681599999997E-2</v>
      </c>
      <c r="AG23" s="138">
        <v>6.9898626000000005E-2</v>
      </c>
      <c r="AH23" s="138">
        <v>6.2425188000000006E-2</v>
      </c>
      <c r="AI23" s="138">
        <v>5.4951750000000008E-2</v>
      </c>
      <c r="AJ23" s="138">
        <v>4.5016473599999995E-2</v>
      </c>
      <c r="AK23" s="138">
        <v>4.0796179199999998E-2</v>
      </c>
      <c r="AL23" s="138">
        <v>3.7015498800000005E-2</v>
      </c>
      <c r="AM23" s="138">
        <v>3.2619358799999998E-2</v>
      </c>
      <c r="AN23" s="138">
        <v>2.6640608400000002E-2</v>
      </c>
      <c r="AO23" s="138">
        <v>2.18048544E-2</v>
      </c>
      <c r="AP23" s="139">
        <v>1.9659538079999997E-2</v>
      </c>
      <c r="AQ23" s="140">
        <v>-9.8387096774193661E-2</v>
      </c>
      <c r="AR23" s="140">
        <v>-0.12865565636997378</v>
      </c>
      <c r="AS23" s="140">
        <v>1.0453074027728972E-4</v>
      </c>
    </row>
    <row r="24" spans="1:45" ht="12" customHeight="1">
      <c r="A24" s="131" t="s">
        <v>1054</v>
      </c>
      <c r="B24" s="138">
        <v>0.15351599999999999</v>
      </c>
      <c r="C24" s="138">
        <v>0.17174602499999997</v>
      </c>
      <c r="D24" s="138">
        <v>0.17270549999999998</v>
      </c>
      <c r="E24" s="138">
        <v>0.22643609999999997</v>
      </c>
      <c r="F24" s="138">
        <v>0.23986875000000002</v>
      </c>
      <c r="G24" s="138">
        <v>0.24946349999999998</v>
      </c>
      <c r="H24" s="138">
        <v>0.254260875</v>
      </c>
      <c r="I24" s="138">
        <v>0.28784249999999995</v>
      </c>
      <c r="J24" s="138">
        <v>0.31374832499999994</v>
      </c>
      <c r="K24" s="138">
        <v>0.31566727499999997</v>
      </c>
      <c r="L24" s="138">
        <v>0.30895095</v>
      </c>
      <c r="M24" s="138">
        <v>0.35308679999999998</v>
      </c>
      <c r="N24" s="138">
        <v>0.28880197499999999</v>
      </c>
      <c r="O24" s="138">
        <v>0.28016669999999999</v>
      </c>
      <c r="P24" s="138">
        <v>0.28592354999999997</v>
      </c>
      <c r="Q24" s="138">
        <v>0.28496407499999998</v>
      </c>
      <c r="R24" s="138">
        <v>0.26673404999999994</v>
      </c>
      <c r="S24" s="138">
        <v>0.26289615</v>
      </c>
      <c r="T24" s="138">
        <v>0.254260875</v>
      </c>
      <c r="U24" s="138">
        <v>0.20280000000000001</v>
      </c>
      <c r="V24" s="138">
        <v>0.194025</v>
      </c>
      <c r="W24" s="138">
        <v>0.178425</v>
      </c>
      <c r="X24" s="138">
        <v>0.16769999999999999</v>
      </c>
      <c r="Y24" s="138">
        <v>0.13162499999999996</v>
      </c>
      <c r="Z24" s="138">
        <v>0.11958224767499999</v>
      </c>
      <c r="AA24" s="138">
        <v>0.11191028557499999</v>
      </c>
      <c r="AB24" s="138">
        <v>9.0331692825000004E-2</v>
      </c>
      <c r="AC24" s="138">
        <v>8.0404964474999993E-2</v>
      </c>
      <c r="AD24" s="138">
        <v>6.6530220000000001E-2</v>
      </c>
      <c r="AE24" s="138">
        <v>6.0554235000000005E-2</v>
      </c>
      <c r="AF24" s="138">
        <v>6.2881192500000002E-2</v>
      </c>
      <c r="AG24" s="138">
        <v>5.9379802500000002E-2</v>
      </c>
      <c r="AH24" s="138">
        <v>5.6602312500000002E-2</v>
      </c>
      <c r="AI24" s="138">
        <v>5.3533357500000003E-2</v>
      </c>
      <c r="AJ24" s="138">
        <v>5.1161632500000005E-2</v>
      </c>
      <c r="AK24" s="138">
        <v>4.6788705000000007E-2</v>
      </c>
      <c r="AL24" s="138">
        <v>3.6303585000000006E-2</v>
      </c>
      <c r="AM24" s="138">
        <v>4.2561509999999997E-2</v>
      </c>
      <c r="AN24" s="138">
        <v>4.6176247500000003E-2</v>
      </c>
      <c r="AO24" s="138">
        <v>4.3600687499999999E-2</v>
      </c>
      <c r="AP24" s="139">
        <v>4.239768E-2</v>
      </c>
      <c r="AQ24" s="140">
        <v>-2.759148006553791E-2</v>
      </c>
      <c r="AR24" s="140">
        <v>-3.2313056141428098E-2</v>
      </c>
      <c r="AS24" s="140">
        <v>2.2543057005740399E-4</v>
      </c>
    </row>
    <row r="25" spans="1:45" ht="12" customHeight="1">
      <c r="A25" s="131" t="s">
        <v>1131</v>
      </c>
      <c r="B25" s="138">
        <v>1.9896138800000001</v>
      </c>
      <c r="C25" s="138">
        <v>1.9215551200000003</v>
      </c>
      <c r="D25" s="138">
        <v>1.8711739600000001</v>
      </c>
      <c r="E25" s="138">
        <v>1.8384704000000001</v>
      </c>
      <c r="F25" s="138">
        <v>1.7986958000000002</v>
      </c>
      <c r="G25" s="138">
        <v>1.7624567200000001</v>
      </c>
      <c r="H25" s="138">
        <v>1.7279854000000003</v>
      </c>
      <c r="I25" s="138">
        <v>1.6882108</v>
      </c>
      <c r="J25" s="138">
        <v>1.6590427600000002</v>
      </c>
      <c r="K25" s="138">
        <v>1.6484362000000001</v>
      </c>
      <c r="L25" s="138">
        <v>1.8676384400000001</v>
      </c>
      <c r="M25" s="138">
        <v>1.8437736800000002</v>
      </c>
      <c r="N25" s="138">
        <v>1.8216766799999999</v>
      </c>
      <c r="O25" s="138">
        <v>1.7765988000000001</v>
      </c>
      <c r="P25" s="138">
        <v>1.7651083600000002</v>
      </c>
      <c r="Q25" s="138">
        <v>1.7253337600000003</v>
      </c>
      <c r="R25" s="138">
        <v>1.7058884000000003</v>
      </c>
      <c r="S25" s="138">
        <v>1.7209143600000003</v>
      </c>
      <c r="T25" s="138">
        <v>1.6731848400000005</v>
      </c>
      <c r="U25" s="138">
        <v>1.6228036800000003</v>
      </c>
      <c r="V25" s="138">
        <v>1.57065476</v>
      </c>
      <c r="W25" s="138">
        <v>1.5361834400000003</v>
      </c>
      <c r="X25" s="138">
        <v>1.4928733200000002</v>
      </c>
      <c r="Y25" s="138">
        <v>1.4274662000000002</v>
      </c>
      <c r="Z25" s="138">
        <v>1.3894593600000003</v>
      </c>
      <c r="AA25" s="138">
        <v>1.3346588000000001</v>
      </c>
      <c r="AB25" s="138">
        <v>1.2719033200000001</v>
      </c>
      <c r="AC25" s="138">
        <v>1.2285931999999999</v>
      </c>
      <c r="AD25" s="138">
        <v>1.1888186000000001</v>
      </c>
      <c r="AE25" s="138">
        <v>1.2285931999999999</v>
      </c>
      <c r="AF25" s="138">
        <v>1.15257952</v>
      </c>
      <c r="AG25" s="138">
        <v>1.0871724000000003</v>
      </c>
      <c r="AH25" s="138">
        <v>0.84410540000000001</v>
      </c>
      <c r="AI25" s="138">
        <v>0.79284036000000002</v>
      </c>
      <c r="AJ25" s="138">
        <v>0.70622012000000012</v>
      </c>
      <c r="AK25" s="138">
        <v>0.7292010000000001</v>
      </c>
      <c r="AL25" s="138">
        <v>0.65407120000000007</v>
      </c>
      <c r="AM25" s="138">
        <v>0.61429659999999997</v>
      </c>
      <c r="AN25" s="138">
        <v>0.17324048000000003</v>
      </c>
      <c r="AO25" s="138">
        <v>0.12993035999999999</v>
      </c>
      <c r="AP25" s="139">
        <v>0.12993035999999999</v>
      </c>
      <c r="AQ25" s="140">
        <v>0</v>
      </c>
      <c r="AR25" s="140">
        <v>-0.20121435150658207</v>
      </c>
      <c r="AS25" s="140">
        <v>6.9084617654937067E-4</v>
      </c>
    </row>
    <row r="26" spans="1:45" ht="12" customHeight="1">
      <c r="A26" s="131" t="s">
        <v>1055</v>
      </c>
      <c r="B26" s="138">
        <v>0.38509000000000004</v>
      </c>
      <c r="C26" s="138">
        <v>0.36921000000000004</v>
      </c>
      <c r="D26" s="138">
        <v>0.34241250000000001</v>
      </c>
      <c r="E26" s="138">
        <v>0.40394750000000007</v>
      </c>
      <c r="F26" s="138">
        <v>0.37715000000000004</v>
      </c>
      <c r="G26" s="138">
        <v>0.54130950000000011</v>
      </c>
      <c r="H26" s="138">
        <v>0.44940400000000014</v>
      </c>
      <c r="I26" s="138">
        <v>1.2375482500000003</v>
      </c>
      <c r="J26" s="138">
        <v>1.7190100000000001</v>
      </c>
      <c r="K26" s="138">
        <v>1.717025</v>
      </c>
      <c r="L26" s="138">
        <v>1.6674992500000001</v>
      </c>
      <c r="M26" s="138">
        <v>1.2641472500000002</v>
      </c>
      <c r="N26" s="138">
        <v>1.370444</v>
      </c>
      <c r="O26" s="138">
        <v>1.3446390000000001</v>
      </c>
      <c r="P26" s="138">
        <v>1.3357064999999999</v>
      </c>
      <c r="Q26" s="138">
        <v>1.3420585</v>
      </c>
      <c r="R26" s="138">
        <v>1.4689000000000001</v>
      </c>
      <c r="S26" s="138">
        <v>1.1642025</v>
      </c>
      <c r="T26" s="138">
        <v>1.1632100000000001</v>
      </c>
      <c r="U26" s="138">
        <v>1.2376475</v>
      </c>
      <c r="V26" s="138">
        <v>1.2495575000000001</v>
      </c>
      <c r="W26" s="138">
        <v>2.1725824999999999</v>
      </c>
      <c r="X26" s="138">
        <v>2.1011225000000002</v>
      </c>
      <c r="Y26" s="138">
        <v>2.4425425000000005</v>
      </c>
      <c r="Z26" s="138">
        <v>2.3681050000000003</v>
      </c>
      <c r="AA26" s="138">
        <v>2.3403149999999999</v>
      </c>
      <c r="AB26" s="138">
        <v>2.284735</v>
      </c>
      <c r="AC26" s="138">
        <v>2.2956525000000001</v>
      </c>
      <c r="AD26" s="138">
        <v>2.1983874999999999</v>
      </c>
      <c r="AE26" s="138">
        <v>2.0306550000000003</v>
      </c>
      <c r="AF26" s="138">
        <v>2.0266850000000001</v>
      </c>
      <c r="AG26" s="138">
        <v>2.0544750000000001</v>
      </c>
      <c r="AH26" s="138">
        <v>2.074325</v>
      </c>
      <c r="AI26" s="138">
        <v>2.0336325</v>
      </c>
      <c r="AJ26" s="138">
        <v>1.9075850000000003</v>
      </c>
      <c r="AK26" s="138">
        <v>1.8429732500000002</v>
      </c>
      <c r="AL26" s="138">
        <v>1.7501745000000011</v>
      </c>
      <c r="AM26" s="138">
        <v>1.7161714499999998</v>
      </c>
      <c r="AN26" s="138">
        <v>1.6093089750000003</v>
      </c>
      <c r="AO26" s="138">
        <v>1.5326780499999997</v>
      </c>
      <c r="AP26" s="139">
        <v>1.4291801499999999</v>
      </c>
      <c r="AQ26" s="140">
        <v>-6.7527488894357113E-2</v>
      </c>
      <c r="AR26" s="140">
        <v>-2.7742103047977973E-2</v>
      </c>
      <c r="AS26" s="140">
        <v>7.599021831600836E-3</v>
      </c>
    </row>
    <row r="27" spans="1:45" ht="12" customHeight="1">
      <c r="A27" s="131" t="s">
        <v>1132</v>
      </c>
      <c r="B27" s="138">
        <v>7.6700000000000004E-2</v>
      </c>
      <c r="C27" s="138">
        <v>7.3749999999999996E-2</v>
      </c>
      <c r="D27" s="138">
        <v>7.153749999999999E-2</v>
      </c>
      <c r="E27" s="138">
        <v>6.9324999999999998E-2</v>
      </c>
      <c r="F27" s="138">
        <v>6.7112499999999992E-2</v>
      </c>
      <c r="G27" s="138">
        <v>7.0800000000000002E-2</v>
      </c>
      <c r="H27" s="138">
        <v>0.1216875</v>
      </c>
      <c r="I27" s="138">
        <v>0.1202125</v>
      </c>
      <c r="J27" s="138">
        <v>0.12611249999999999</v>
      </c>
      <c r="K27" s="138">
        <v>0.12095</v>
      </c>
      <c r="L27" s="138">
        <v>0.11726250000000001</v>
      </c>
      <c r="M27" s="138">
        <v>0.11283750000000001</v>
      </c>
      <c r="N27" s="138">
        <v>0.116525</v>
      </c>
      <c r="O27" s="138">
        <v>0.1143125</v>
      </c>
      <c r="P27" s="138">
        <v>0.1143125</v>
      </c>
      <c r="Q27" s="138">
        <v>0.11283750000000001</v>
      </c>
      <c r="R27" s="138">
        <v>0.1098875</v>
      </c>
      <c r="S27" s="138">
        <v>0.1143125</v>
      </c>
      <c r="T27" s="138">
        <v>0.1039875</v>
      </c>
      <c r="U27" s="138">
        <v>0.10767499999999999</v>
      </c>
      <c r="V27" s="138">
        <v>8.7762500000000007E-2</v>
      </c>
      <c r="W27" s="138">
        <v>8.4812499999999999E-2</v>
      </c>
      <c r="X27" s="138">
        <v>8.5550000000000001E-2</v>
      </c>
      <c r="Y27" s="138">
        <v>8.1125000000000003E-2</v>
      </c>
      <c r="Z27" s="138">
        <v>8.0387500000000001E-2</v>
      </c>
      <c r="AA27" s="138">
        <v>7.8174999999999994E-2</v>
      </c>
      <c r="AB27" s="138">
        <v>8.3337500000000009E-2</v>
      </c>
      <c r="AC27" s="138">
        <v>7.7041063716063354E-2</v>
      </c>
      <c r="AD27" s="138">
        <v>7.766316632352939E-2</v>
      </c>
      <c r="AE27" s="138">
        <v>8.145048811651584E-2</v>
      </c>
      <c r="AF27" s="138">
        <v>8.0503630554298627E-2</v>
      </c>
      <c r="AG27" s="138">
        <v>7.8808500486425334E-2</v>
      </c>
      <c r="AH27" s="138">
        <v>7.5903617466063333E-2</v>
      </c>
      <c r="AI27" s="138">
        <v>7.247484180995474E-2</v>
      </c>
      <c r="AJ27" s="138">
        <v>6.9704935972850685E-2</v>
      </c>
      <c r="AK27" s="138">
        <v>6.6877866877828041E-2</v>
      </c>
      <c r="AL27" s="138">
        <v>6.5391685243212663E-2</v>
      </c>
      <c r="AM27" s="138">
        <v>6.3697844966063344E-2</v>
      </c>
      <c r="AN27" s="138">
        <v>7.2251532149321257E-2</v>
      </c>
      <c r="AO27" s="138">
        <v>7.2260085814479638E-2</v>
      </c>
      <c r="AP27" s="139">
        <v>7.2260085814479638E-2</v>
      </c>
      <c r="AQ27" s="140">
        <v>0</v>
      </c>
      <c r="AR27" s="140">
        <v>-1.1900958136006445E-2</v>
      </c>
      <c r="AS27" s="140">
        <v>3.8421046476021985E-4</v>
      </c>
    </row>
    <row r="28" spans="1:45" ht="12" customHeight="1">
      <c r="A28" s="131" t="s">
        <v>1056</v>
      </c>
      <c r="B28" s="138">
        <v>0.29249999999999998</v>
      </c>
      <c r="C28" s="138">
        <v>0.27300000000000002</v>
      </c>
      <c r="D28" s="138">
        <v>0.24862500000000001</v>
      </c>
      <c r="E28" s="138">
        <v>0.22425</v>
      </c>
      <c r="F28" s="138">
        <v>0.20474999999999996</v>
      </c>
      <c r="G28" s="138">
        <v>0.26324999999999998</v>
      </c>
      <c r="H28" s="138">
        <v>0.229125</v>
      </c>
      <c r="I28" s="138">
        <v>0.19305</v>
      </c>
      <c r="J28" s="138">
        <v>0.16087499999999999</v>
      </c>
      <c r="K28" s="138">
        <v>0.12967500000000001</v>
      </c>
      <c r="L28" s="138">
        <v>0.37927499999999997</v>
      </c>
      <c r="M28" s="138">
        <v>0.35489999999999999</v>
      </c>
      <c r="N28" s="138">
        <v>0.33247500000000002</v>
      </c>
      <c r="O28" s="138">
        <v>0.312</v>
      </c>
      <c r="P28" s="138">
        <v>0.29249999999999998</v>
      </c>
      <c r="Q28" s="138">
        <v>0.27300000000000002</v>
      </c>
      <c r="R28" s="138">
        <v>0.25545000000000001</v>
      </c>
      <c r="S28" s="138">
        <v>0.23985000000000001</v>
      </c>
      <c r="T28" s="138">
        <v>0.22522499999999998</v>
      </c>
      <c r="U28" s="138">
        <v>0.21059999999999998</v>
      </c>
      <c r="V28" s="138">
        <v>0.19694999999999999</v>
      </c>
      <c r="W28" s="138">
        <v>0.18427499999999999</v>
      </c>
      <c r="X28" s="138">
        <v>0.17355000000000001</v>
      </c>
      <c r="Y28" s="138">
        <v>0.16087499999999999</v>
      </c>
      <c r="Z28" s="138">
        <v>0.1482</v>
      </c>
      <c r="AA28" s="138">
        <v>0.13942500000000002</v>
      </c>
      <c r="AB28" s="138">
        <v>0.12675</v>
      </c>
      <c r="AC28" s="138">
        <v>0.11700000000000001</v>
      </c>
      <c r="AD28" s="138">
        <v>0.110175</v>
      </c>
      <c r="AE28" s="138">
        <v>0.10920000000000001</v>
      </c>
      <c r="AF28" s="138">
        <v>0.10725</v>
      </c>
      <c r="AG28" s="138">
        <v>0.1087125</v>
      </c>
      <c r="AH28" s="138">
        <v>0.11612249999999999</v>
      </c>
      <c r="AI28" s="138">
        <v>0.110175</v>
      </c>
      <c r="AJ28" s="138">
        <v>0.10627500000000001</v>
      </c>
      <c r="AK28" s="138">
        <v>0.100425</v>
      </c>
      <c r="AL28" s="138">
        <v>9.692474999999999E-2</v>
      </c>
      <c r="AM28" s="138">
        <v>8.9592749999999999E-2</v>
      </c>
      <c r="AN28" s="138">
        <v>8.4824999999999998E-2</v>
      </c>
      <c r="AO28" s="138">
        <v>7.8867749999999986E-2</v>
      </c>
      <c r="AP28" s="139">
        <v>7.8867749999999986E-2</v>
      </c>
      <c r="AQ28" s="140">
        <v>0</v>
      </c>
      <c r="AR28" s="140">
        <v>-3.2017108978693809E-2</v>
      </c>
      <c r="AS28" s="140">
        <v>4.1934374337569463E-4</v>
      </c>
    </row>
    <row r="29" spans="1:45" ht="12" customHeight="1">
      <c r="A29" s="131" t="s">
        <v>1133</v>
      </c>
      <c r="B29" s="138" t="s">
        <v>1061</v>
      </c>
      <c r="C29" s="138" t="s">
        <v>1061</v>
      </c>
      <c r="D29" s="138" t="s">
        <v>1061</v>
      </c>
      <c r="E29" s="138" t="s">
        <v>1061</v>
      </c>
      <c r="F29" s="138" t="s">
        <v>1061</v>
      </c>
      <c r="G29" s="138" t="s">
        <v>1061</v>
      </c>
      <c r="H29" s="138" t="s">
        <v>1061</v>
      </c>
      <c r="I29" s="138" t="s">
        <v>1061</v>
      </c>
      <c r="J29" s="138" t="s">
        <v>1061</v>
      </c>
      <c r="K29" s="138" t="s">
        <v>1061</v>
      </c>
      <c r="L29" s="138" t="s">
        <v>1061</v>
      </c>
      <c r="M29" s="138" t="s">
        <v>1061</v>
      </c>
      <c r="N29" s="138" t="s">
        <v>1061</v>
      </c>
      <c r="O29" s="138" t="s">
        <v>1061</v>
      </c>
      <c r="P29" s="138" t="s">
        <v>1061</v>
      </c>
      <c r="Q29" s="138" t="s">
        <v>1061</v>
      </c>
      <c r="R29" s="138" t="s">
        <v>1061</v>
      </c>
      <c r="S29" s="138">
        <v>0.74259619267074373</v>
      </c>
      <c r="T29" s="138">
        <v>0.79563877453432241</v>
      </c>
      <c r="U29" s="138">
        <v>0.7885664302858435</v>
      </c>
      <c r="V29" s="138">
        <v>0.78503030474228197</v>
      </c>
      <c r="W29" s="138">
        <v>0.78503030474228197</v>
      </c>
      <c r="X29" s="138">
        <v>0.78503030474228197</v>
      </c>
      <c r="Y29" s="138">
        <v>0.78149408603736492</v>
      </c>
      <c r="Z29" s="138">
        <v>0.78503030474228197</v>
      </c>
      <c r="AA29" s="138">
        <v>0.77795791391312963</v>
      </c>
      <c r="AB29" s="138">
        <v>0.77652928453750003</v>
      </c>
      <c r="AC29" s="138">
        <v>0.77652928453750003</v>
      </c>
      <c r="AD29" s="138">
        <v>0.76145107268493362</v>
      </c>
      <c r="AE29" s="138">
        <v>0.74637281425167779</v>
      </c>
      <c r="AF29" s="138">
        <v>0.7301978804080631</v>
      </c>
      <c r="AG29" s="138">
        <v>0.72908307448377607</v>
      </c>
      <c r="AH29" s="138">
        <v>1.1650165089254554</v>
      </c>
      <c r="AI29" s="138">
        <v>1.1372402297617012</v>
      </c>
      <c r="AJ29" s="138">
        <v>1.1382322397318354</v>
      </c>
      <c r="AK29" s="138">
        <v>1.0695851497985576</v>
      </c>
      <c r="AL29" s="138">
        <v>1.0501417543839295</v>
      </c>
      <c r="AM29" s="138">
        <v>1.0316903689394359</v>
      </c>
      <c r="AN29" s="138">
        <v>1.0912109671474803</v>
      </c>
      <c r="AO29" s="138">
        <v>1.0912109671474803</v>
      </c>
      <c r="AP29" s="139">
        <v>1.0912109671474803</v>
      </c>
      <c r="AQ29" s="140">
        <v>0</v>
      </c>
      <c r="AR29" s="140">
        <v>3.871233969253729E-2</v>
      </c>
      <c r="AS29" s="140">
        <v>5.8020229025962655E-3</v>
      </c>
    </row>
    <row r="30" spans="1:45" ht="12" customHeight="1">
      <c r="A30" s="131" t="s">
        <v>1057</v>
      </c>
      <c r="B30" s="138">
        <v>0.72052499999999997</v>
      </c>
      <c r="C30" s="138">
        <v>0.64739999999999998</v>
      </c>
      <c r="D30" s="138">
        <v>0.61717499999999992</v>
      </c>
      <c r="E30" s="138">
        <v>0.69420000000000004</v>
      </c>
      <c r="F30" s="138">
        <v>0.70687500000000003</v>
      </c>
      <c r="G30" s="138">
        <v>0.63179999999999992</v>
      </c>
      <c r="H30" s="138">
        <v>0.61814999999999998</v>
      </c>
      <c r="I30" s="138">
        <v>0.62790000000000001</v>
      </c>
      <c r="J30" s="138">
        <v>0.57525000000000004</v>
      </c>
      <c r="K30" s="138">
        <v>0.54599999999999993</v>
      </c>
      <c r="L30" s="138">
        <v>0.53137500000000004</v>
      </c>
      <c r="M30" s="138">
        <v>0.52649999999999997</v>
      </c>
      <c r="N30" s="138">
        <v>0.59475</v>
      </c>
      <c r="O30" s="138">
        <v>0.61424999999999996</v>
      </c>
      <c r="P30" s="138">
        <v>0.64349999999999996</v>
      </c>
      <c r="Q30" s="138">
        <v>0.6825</v>
      </c>
      <c r="R30" s="138">
        <v>0.74099999999999999</v>
      </c>
      <c r="S30" s="138">
        <v>0.74587499999999995</v>
      </c>
      <c r="T30" s="138">
        <v>0.73612500000000003</v>
      </c>
      <c r="U30" s="138">
        <v>0.75619999999999998</v>
      </c>
      <c r="V30" s="138">
        <v>0.73132499999999989</v>
      </c>
      <c r="W30" s="138">
        <v>0.65172499999999989</v>
      </c>
      <c r="X30" s="138">
        <v>0.62685000000000002</v>
      </c>
      <c r="Y30" s="138">
        <v>0.58704999999999996</v>
      </c>
      <c r="Z30" s="138">
        <v>0.52834500000000006</v>
      </c>
      <c r="AA30" s="138">
        <v>0.47859499999999999</v>
      </c>
      <c r="AB30" s="138">
        <v>0.40993999999999992</v>
      </c>
      <c r="AC30" s="138">
        <v>0.34128499999999995</v>
      </c>
      <c r="AD30" s="138">
        <v>0.29053999999999996</v>
      </c>
      <c r="AE30" s="138">
        <v>0.25471999999999995</v>
      </c>
      <c r="AF30" s="138">
        <v>0.25132704999999994</v>
      </c>
      <c r="AG30" s="138">
        <v>0.24479984999999996</v>
      </c>
      <c r="AH30" s="138">
        <v>0.24277999999999997</v>
      </c>
      <c r="AI30" s="138">
        <v>0.23979499999999998</v>
      </c>
      <c r="AJ30" s="138">
        <v>0.20496999999999996</v>
      </c>
      <c r="AK30" s="138">
        <v>0.20596499999999998</v>
      </c>
      <c r="AL30" s="138">
        <v>0.18395764378378376</v>
      </c>
      <c r="AM30" s="138">
        <v>0.18697934276987774</v>
      </c>
      <c r="AN30" s="138">
        <v>0.18697934276987774</v>
      </c>
      <c r="AO30" s="138">
        <v>0.18697934276987774</v>
      </c>
      <c r="AP30" s="139">
        <v>0.18697934276987774</v>
      </c>
      <c r="AQ30" s="140">
        <v>0</v>
      </c>
      <c r="AR30" s="140">
        <v>-3.0443642818151817E-2</v>
      </c>
      <c r="AS30" s="140">
        <v>9.9417845102779874E-4</v>
      </c>
    </row>
    <row r="31" spans="1:45" ht="12" customHeight="1">
      <c r="A31" s="131" t="s">
        <v>1058</v>
      </c>
      <c r="B31" s="138">
        <v>0.31785000000000008</v>
      </c>
      <c r="C31" s="138">
        <v>0.33150000000000013</v>
      </c>
      <c r="D31" s="138">
        <v>0.34027500000000011</v>
      </c>
      <c r="E31" s="138">
        <v>0.36075000000000007</v>
      </c>
      <c r="F31" s="138">
        <v>0.36367500000000008</v>
      </c>
      <c r="G31" s="138">
        <v>0.35685000000000006</v>
      </c>
      <c r="H31" s="138">
        <v>0.35002500000000003</v>
      </c>
      <c r="I31" s="138">
        <v>0.34320000000000001</v>
      </c>
      <c r="J31" s="138">
        <v>0.33832500000000004</v>
      </c>
      <c r="K31" s="138">
        <v>0.34125000000000005</v>
      </c>
      <c r="L31" s="138">
        <v>0.32742871500000004</v>
      </c>
      <c r="M31" s="138">
        <v>0.31451252250000006</v>
      </c>
      <c r="N31" s="138">
        <v>0.31440180750000007</v>
      </c>
      <c r="O31" s="138">
        <v>0.30634903500000005</v>
      </c>
      <c r="P31" s="138">
        <v>0.25655598750000003</v>
      </c>
      <c r="Q31" s="138">
        <v>0.259060185</v>
      </c>
      <c r="R31" s="138">
        <v>0.21322490999999999</v>
      </c>
      <c r="S31" s="138">
        <v>0.20033560794374999</v>
      </c>
      <c r="T31" s="138">
        <v>0.17203226544375</v>
      </c>
      <c r="U31" s="138">
        <v>0.20480939294375006</v>
      </c>
      <c r="V31" s="138">
        <v>0.18259025632933251</v>
      </c>
      <c r="W31" s="138">
        <v>0.18293828529967232</v>
      </c>
      <c r="X31" s="138">
        <v>0.17006733228484222</v>
      </c>
      <c r="Y31" s="138">
        <v>0.13326799324035196</v>
      </c>
      <c r="Z31" s="138">
        <v>0.13301013574035195</v>
      </c>
      <c r="AA31" s="138">
        <v>0.1387888768153471</v>
      </c>
      <c r="AB31" s="138">
        <v>0.1357670693153471</v>
      </c>
      <c r="AC31" s="138">
        <v>0.15040344505992909</v>
      </c>
      <c r="AD31" s="138">
        <v>0.13786667593168311</v>
      </c>
      <c r="AE31" s="138">
        <v>0.12990705043375866</v>
      </c>
      <c r="AF31" s="138">
        <v>0.12675255332264754</v>
      </c>
      <c r="AG31" s="138">
        <v>0.12504320085449785</v>
      </c>
      <c r="AH31" s="138">
        <v>0.12370530547768545</v>
      </c>
      <c r="AI31" s="138">
        <v>0.11830326010480557</v>
      </c>
      <c r="AJ31" s="138">
        <v>0.11251601731855557</v>
      </c>
      <c r="AK31" s="138">
        <v>0.10694692736645836</v>
      </c>
      <c r="AL31" s="138">
        <v>0.10128526538570834</v>
      </c>
      <c r="AM31" s="138">
        <v>9.7189537064277798E-2</v>
      </c>
      <c r="AN31" s="138">
        <v>9.35665915207778E-2</v>
      </c>
      <c r="AO31" s="138">
        <v>8.9987327803305567E-2</v>
      </c>
      <c r="AP31" s="139">
        <v>9.0268283490100548E-2</v>
      </c>
      <c r="AQ31" s="140">
        <v>3.1221694615612972E-3</v>
      </c>
      <c r="AR31" s="140">
        <v>-3.6049210569196188E-2</v>
      </c>
      <c r="AS31" s="140">
        <v>4.7996094610074693E-4</v>
      </c>
    </row>
    <row r="32" spans="1:45" ht="12" customHeight="1">
      <c r="A32" s="141" t="s">
        <v>1059</v>
      </c>
      <c r="B32" s="142">
        <v>4.2796548799999998</v>
      </c>
      <c r="C32" s="142">
        <v>4.1154461449999999</v>
      </c>
      <c r="D32" s="142">
        <v>3.9843644600000001</v>
      </c>
      <c r="E32" s="142">
        <v>4.2315439999999995</v>
      </c>
      <c r="F32" s="142">
        <v>4.1638545499999999</v>
      </c>
      <c r="G32" s="142">
        <v>4.2593972199999994</v>
      </c>
      <c r="H32" s="142">
        <v>4.1971052750000002</v>
      </c>
      <c r="I32" s="142">
        <v>4.9375390500000007</v>
      </c>
      <c r="J32" s="142">
        <v>5.3286460850000008</v>
      </c>
      <c r="K32" s="142">
        <v>5.2738184750000006</v>
      </c>
      <c r="L32" s="142">
        <v>5.5142123549999997</v>
      </c>
      <c r="M32" s="142">
        <v>5.0651752524999996</v>
      </c>
      <c r="N32" s="142">
        <v>5.1666069625000004</v>
      </c>
      <c r="O32" s="142">
        <v>5.0727210350000007</v>
      </c>
      <c r="P32" s="142">
        <v>5.0393268975000005</v>
      </c>
      <c r="Q32" s="142">
        <v>5.0160208464440004</v>
      </c>
      <c r="R32" s="142">
        <v>5.095356546104</v>
      </c>
      <c r="S32" s="142">
        <v>5.5079964235304946</v>
      </c>
      <c r="T32" s="142">
        <v>5.4326871570020723</v>
      </c>
      <c r="U32" s="142">
        <v>5.506968181613594</v>
      </c>
      <c r="V32" s="142">
        <v>5.3703482086556136</v>
      </c>
      <c r="W32" s="142">
        <v>6.1372105560419534</v>
      </c>
      <c r="X32" s="142">
        <v>5.9398848682271241</v>
      </c>
      <c r="Y32" s="142">
        <v>6.0687503324777161</v>
      </c>
      <c r="Z32" s="142">
        <v>5.8577202217576341</v>
      </c>
      <c r="AA32" s="142">
        <v>5.6831035895034772</v>
      </c>
      <c r="AB32" s="142">
        <v>5.439520107877847</v>
      </c>
      <c r="AC32" s="142">
        <v>5.2692307488701573</v>
      </c>
      <c r="AD32" s="142">
        <v>4.9995684241054237</v>
      </c>
      <c r="AE32" s="142">
        <v>4.7943811477219533</v>
      </c>
      <c r="AF32" s="142">
        <v>4.6688769594950097</v>
      </c>
      <c r="AG32" s="142">
        <v>4.6021094222377554</v>
      </c>
      <c r="AH32" s="142">
        <v>4.8005584090214262</v>
      </c>
      <c r="AI32" s="142">
        <v>4.650931890232572</v>
      </c>
      <c r="AJ32" s="142">
        <v>4.3781150989912971</v>
      </c>
      <c r="AK32" s="142">
        <v>4.2273032266850663</v>
      </c>
      <c r="AL32" s="142">
        <v>3.988833910237191</v>
      </c>
      <c r="AM32" s="142">
        <v>3.9029948660646538</v>
      </c>
      <c r="AN32" s="142">
        <v>3.4133892696230133</v>
      </c>
      <c r="AO32" s="142">
        <v>3.2769603262890312</v>
      </c>
      <c r="AP32" s="142">
        <v>3.1687821141552646</v>
      </c>
      <c r="AQ32" s="143">
        <v>-3.3011755212878136E-2</v>
      </c>
      <c r="AR32" s="143">
        <v>-3.733792511788947E-2</v>
      </c>
      <c r="AS32" s="143">
        <v>1.6848571864822016E-2</v>
      </c>
    </row>
    <row r="33" spans="1:45" ht="12" customHeight="1">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9"/>
      <c r="AQ33" s="140"/>
      <c r="AR33" s="140"/>
      <c r="AS33" s="140"/>
    </row>
    <row r="34" spans="1:45" ht="12" customHeight="1">
      <c r="A34" s="131" t="s">
        <v>1060</v>
      </c>
      <c r="B34" s="138" t="s">
        <v>1061</v>
      </c>
      <c r="C34" s="138" t="s">
        <v>1061</v>
      </c>
      <c r="D34" s="138" t="s">
        <v>1061</v>
      </c>
      <c r="E34" s="138" t="s">
        <v>1061</v>
      </c>
      <c r="F34" s="138" t="s">
        <v>1061</v>
      </c>
      <c r="G34" s="138" t="s">
        <v>1061</v>
      </c>
      <c r="H34" s="138" t="s">
        <v>1061</v>
      </c>
      <c r="I34" s="138" t="s">
        <v>1061</v>
      </c>
      <c r="J34" s="138" t="s">
        <v>1061</v>
      </c>
      <c r="K34" s="138" t="s">
        <v>1061</v>
      </c>
      <c r="L34" s="138" t="s">
        <v>1061</v>
      </c>
      <c r="M34" s="138" t="s">
        <v>1061</v>
      </c>
      <c r="N34" s="138" t="s">
        <v>1061</v>
      </c>
      <c r="O34" s="138" t="s">
        <v>1061</v>
      </c>
      <c r="P34" s="138" t="s">
        <v>1061</v>
      </c>
      <c r="Q34" s="138" t="s">
        <v>1061</v>
      </c>
      <c r="R34" s="138" t="s">
        <v>1061</v>
      </c>
      <c r="S34" s="138">
        <v>0.65568902358189485</v>
      </c>
      <c r="T34" s="138">
        <v>0.65568902358189485</v>
      </c>
      <c r="U34" s="138">
        <v>0.99019970902395682</v>
      </c>
      <c r="V34" s="138">
        <v>0.99019970902395682</v>
      </c>
      <c r="W34" s="138">
        <v>0.99019970902395682</v>
      </c>
      <c r="X34" s="138">
        <v>0.99019970902395682</v>
      </c>
      <c r="Y34" s="138">
        <v>0.99019970902395682</v>
      </c>
      <c r="Z34" s="138">
        <v>0.99019970902395682</v>
      </c>
      <c r="AA34" s="138">
        <v>0.99019970902395682</v>
      </c>
      <c r="AB34" s="138">
        <v>0.99019970902395682</v>
      </c>
      <c r="AC34" s="138">
        <v>0.99796594324061849</v>
      </c>
      <c r="AD34" s="138">
        <v>1.0554363643488429</v>
      </c>
      <c r="AE34" s="138">
        <v>1.0173816727347311</v>
      </c>
      <c r="AF34" s="138">
        <v>1.0209230501032451</v>
      </c>
      <c r="AG34" s="138">
        <v>1.0209230501032451</v>
      </c>
      <c r="AH34" s="138">
        <v>1.0209230501032451</v>
      </c>
      <c r="AI34" s="138">
        <v>9.4580850000000008E-4</v>
      </c>
      <c r="AJ34" s="138">
        <v>1.3392184376069667</v>
      </c>
      <c r="AK34" s="138">
        <v>1.3187447912942858</v>
      </c>
      <c r="AL34" s="138">
        <v>1.3187447912942858</v>
      </c>
      <c r="AM34" s="138">
        <v>1.3187447912942858</v>
      </c>
      <c r="AN34" s="138">
        <v>2.0948931584885848</v>
      </c>
      <c r="AO34" s="138">
        <v>2.5036527991692847</v>
      </c>
      <c r="AP34" s="139">
        <v>2.5036527991692847</v>
      </c>
      <c r="AQ34" s="140">
        <v>0</v>
      </c>
      <c r="AR34" s="140">
        <v>9.4231012173773943E-2</v>
      </c>
      <c r="AS34" s="140">
        <v>1.3312046266270869E-2</v>
      </c>
    </row>
    <row r="35" spans="1:45" ht="12" customHeight="1">
      <c r="A35" s="131" t="s">
        <v>1062</v>
      </c>
      <c r="B35" s="138" t="s">
        <v>1061</v>
      </c>
      <c r="C35" s="138" t="s">
        <v>1061</v>
      </c>
      <c r="D35" s="138" t="s">
        <v>1061</v>
      </c>
      <c r="E35" s="138" t="s">
        <v>1061</v>
      </c>
      <c r="F35" s="138" t="s">
        <v>1061</v>
      </c>
      <c r="G35" s="138" t="s">
        <v>1061</v>
      </c>
      <c r="H35" s="138" t="s">
        <v>1061</v>
      </c>
      <c r="I35" s="138" t="s">
        <v>1061</v>
      </c>
      <c r="J35" s="138" t="s">
        <v>1061</v>
      </c>
      <c r="K35" s="138" t="s">
        <v>1061</v>
      </c>
      <c r="L35" s="138" t="s">
        <v>1061</v>
      </c>
      <c r="M35" s="138" t="s">
        <v>1061</v>
      </c>
      <c r="N35" s="138" t="s">
        <v>1061</v>
      </c>
      <c r="O35" s="138" t="s">
        <v>1061</v>
      </c>
      <c r="P35" s="138" t="s">
        <v>1061</v>
      </c>
      <c r="Q35" s="138" t="s">
        <v>1061</v>
      </c>
      <c r="R35" s="138" t="s">
        <v>1061</v>
      </c>
      <c r="S35" s="138">
        <v>1.7132322067407268</v>
      </c>
      <c r="T35" s="138">
        <v>1.7132322067407268</v>
      </c>
      <c r="U35" s="138">
        <v>1.7132322067407268</v>
      </c>
      <c r="V35" s="138">
        <v>1.7132322067407268</v>
      </c>
      <c r="W35" s="138">
        <v>1.7132322067407268</v>
      </c>
      <c r="X35" s="138">
        <v>1.7132322067407268</v>
      </c>
      <c r="Y35" s="138">
        <v>1.7132322067407268</v>
      </c>
      <c r="Z35" s="138">
        <v>1.7132322067407268</v>
      </c>
      <c r="AA35" s="138">
        <v>1.7132322067407268</v>
      </c>
      <c r="AB35" s="138">
        <v>1.7132322067407268</v>
      </c>
      <c r="AC35" s="138">
        <v>1.7132322067407268</v>
      </c>
      <c r="AD35" s="138">
        <v>1.7132322067407268</v>
      </c>
      <c r="AE35" s="138">
        <v>1.7132322067407268</v>
      </c>
      <c r="AF35" s="138">
        <v>1.7132322067407268</v>
      </c>
      <c r="AG35" s="138">
        <v>1.7132322067407268</v>
      </c>
      <c r="AH35" s="138">
        <v>1.7132322067407268</v>
      </c>
      <c r="AI35" s="138">
        <v>1.7132322067407268</v>
      </c>
      <c r="AJ35" s="138">
        <v>1.7132322067407268</v>
      </c>
      <c r="AK35" s="138">
        <v>1.7132322067407268</v>
      </c>
      <c r="AL35" s="138">
        <v>2.2571154469758783</v>
      </c>
      <c r="AM35" s="138">
        <v>2.2571154469758783</v>
      </c>
      <c r="AN35" s="138">
        <v>2.2571154469758783</v>
      </c>
      <c r="AO35" s="138">
        <v>2.2571154469758783</v>
      </c>
      <c r="AP35" s="139">
        <v>2.2571154469758783</v>
      </c>
      <c r="AQ35" s="140">
        <v>0</v>
      </c>
      <c r="AR35" s="140">
        <v>2.7954173919989556E-2</v>
      </c>
      <c r="AS35" s="140">
        <v>1.2001194921447222E-2</v>
      </c>
    </row>
    <row r="36" spans="1:45" ht="12" customHeight="1">
      <c r="A36" s="131" t="s">
        <v>242</v>
      </c>
      <c r="B36" s="138" t="s">
        <v>1061</v>
      </c>
      <c r="C36" s="138" t="s">
        <v>1061</v>
      </c>
      <c r="D36" s="138" t="s">
        <v>1061</v>
      </c>
      <c r="E36" s="138" t="s">
        <v>1061</v>
      </c>
      <c r="F36" s="138" t="s">
        <v>1061</v>
      </c>
      <c r="G36" s="138" t="s">
        <v>1061</v>
      </c>
      <c r="H36" s="138" t="s">
        <v>1061</v>
      </c>
      <c r="I36" s="138" t="s">
        <v>1061</v>
      </c>
      <c r="J36" s="138" t="s">
        <v>1061</v>
      </c>
      <c r="K36" s="138" t="s">
        <v>1061</v>
      </c>
      <c r="L36" s="138" t="s">
        <v>1061</v>
      </c>
      <c r="M36" s="138">
        <v>33.910552838672558</v>
      </c>
      <c r="N36" s="138">
        <v>34.729896947522114</v>
      </c>
      <c r="O36" s="138">
        <v>34.734014254601767</v>
      </c>
      <c r="P36" s="138">
        <v>34.509415153407069</v>
      </c>
      <c r="Q36" s="138">
        <v>33.704687484690268</v>
      </c>
      <c r="R36" s="138">
        <v>33.425328199336278</v>
      </c>
      <c r="S36" s="138">
        <v>33.567443915368727</v>
      </c>
      <c r="T36" s="138">
        <v>33.364048945634217</v>
      </c>
      <c r="U36" s="138">
        <v>32.949847853421829</v>
      </c>
      <c r="V36" s="138">
        <v>33.155713207404119</v>
      </c>
      <c r="W36" s="138">
        <v>33.36157856138643</v>
      </c>
      <c r="X36" s="138">
        <v>33.910552838672558</v>
      </c>
      <c r="Y36" s="138">
        <v>33.773309269351024</v>
      </c>
      <c r="Z36" s="138">
        <v>33.636065700029498</v>
      </c>
      <c r="AA36" s="138">
        <v>33.773309269351024</v>
      </c>
      <c r="AB36" s="138">
        <v>33.773309269351024</v>
      </c>
      <c r="AC36" s="138">
        <v>33.910552838672558</v>
      </c>
      <c r="AD36" s="138">
        <v>33.979174623333328</v>
      </c>
      <c r="AE36" s="138">
        <v>34.047796407994092</v>
      </c>
      <c r="AF36" s="138">
        <v>34.116418192654862</v>
      </c>
      <c r="AG36" s="138">
        <v>34.4595271159587</v>
      </c>
      <c r="AH36" s="138">
        <v>34.640071031401177</v>
      </c>
      <c r="AI36" s="138">
        <v>34.943996915663718</v>
      </c>
      <c r="AJ36" s="138">
        <v>35.049058926632888</v>
      </c>
      <c r="AK36" s="138">
        <v>34.957399828550294</v>
      </c>
      <c r="AL36" s="138">
        <v>34.83325247195036</v>
      </c>
      <c r="AM36" s="138">
        <v>37.888234645802612</v>
      </c>
      <c r="AN36" s="138">
        <v>37.640988013333349</v>
      </c>
      <c r="AO36" s="138">
        <v>37.556741012640117</v>
      </c>
      <c r="AP36" s="139">
        <v>37.391524354530056</v>
      </c>
      <c r="AQ36" s="140">
        <v>-4.3991212670571045E-3</v>
      </c>
      <c r="AR36" s="140">
        <v>9.8570204216719137E-3</v>
      </c>
      <c r="AS36" s="140">
        <v>0.19881259188137218</v>
      </c>
    </row>
    <row r="37" spans="1:45" ht="12" customHeight="1">
      <c r="A37" s="131" t="s">
        <v>1063</v>
      </c>
      <c r="B37" s="138" t="s">
        <v>1061</v>
      </c>
      <c r="C37" s="138" t="s">
        <v>1061</v>
      </c>
      <c r="D37" s="138" t="s">
        <v>1061</v>
      </c>
      <c r="E37" s="138" t="s">
        <v>1061</v>
      </c>
      <c r="F37" s="138" t="s">
        <v>1061</v>
      </c>
      <c r="G37" s="138" t="s">
        <v>1061</v>
      </c>
      <c r="H37" s="138" t="s">
        <v>1061</v>
      </c>
      <c r="I37" s="138" t="s">
        <v>1061</v>
      </c>
      <c r="J37" s="138" t="s">
        <v>1061</v>
      </c>
      <c r="K37" s="138" t="s">
        <v>1061</v>
      </c>
      <c r="L37" s="138" t="s">
        <v>1061</v>
      </c>
      <c r="M37" s="138" t="s">
        <v>1061</v>
      </c>
      <c r="N37" s="138" t="s">
        <v>1061</v>
      </c>
      <c r="O37" s="138" t="s">
        <v>1061</v>
      </c>
      <c r="P37" s="138" t="s">
        <v>1061</v>
      </c>
      <c r="Q37" s="138" t="s">
        <v>1061</v>
      </c>
      <c r="R37" s="138" t="s">
        <v>1061</v>
      </c>
      <c r="S37" s="138">
        <v>1.757925</v>
      </c>
      <c r="T37" s="138">
        <v>1.81545</v>
      </c>
      <c r="U37" s="138">
        <v>1.81545</v>
      </c>
      <c r="V37" s="138">
        <v>1.81545</v>
      </c>
      <c r="W37" s="138">
        <v>1.81545</v>
      </c>
      <c r="X37" s="138">
        <v>1.81545</v>
      </c>
      <c r="Y37" s="138">
        <v>1.81545</v>
      </c>
      <c r="Z37" s="138">
        <v>1.81545</v>
      </c>
      <c r="AA37" s="138">
        <v>1.81545</v>
      </c>
      <c r="AB37" s="138">
        <v>1.81545</v>
      </c>
      <c r="AC37" s="138">
        <v>5.7125249999999994</v>
      </c>
      <c r="AD37" s="138">
        <v>5.7125249999999994</v>
      </c>
      <c r="AE37" s="138">
        <v>7.910174999999998</v>
      </c>
      <c r="AF37" s="138">
        <v>13.60125</v>
      </c>
      <c r="AG37" s="138">
        <v>13.60125</v>
      </c>
      <c r="AH37" s="138">
        <v>13.60125</v>
      </c>
      <c r="AI37" s="138">
        <v>13.60125</v>
      </c>
      <c r="AJ37" s="138">
        <v>13.60125</v>
      </c>
      <c r="AK37" s="138">
        <v>13.60125</v>
      </c>
      <c r="AL37" s="138">
        <v>13.60125</v>
      </c>
      <c r="AM37" s="138">
        <v>13.60125</v>
      </c>
      <c r="AN37" s="138">
        <v>13.60125</v>
      </c>
      <c r="AO37" s="138">
        <v>13.60125</v>
      </c>
      <c r="AP37" s="139">
        <v>13.60125</v>
      </c>
      <c r="AQ37" s="140">
        <v>0</v>
      </c>
      <c r="AR37" s="140">
        <v>5.5696965365080731E-2</v>
      </c>
      <c r="AS37" s="140">
        <v>7.2318521697254806E-2</v>
      </c>
    </row>
    <row r="38" spans="1:45" ht="12" customHeight="1">
      <c r="A38" s="131" t="s">
        <v>1064</v>
      </c>
      <c r="B38" s="138">
        <v>20.469295466937123</v>
      </c>
      <c r="C38" s="138">
        <v>21.748627023445884</v>
      </c>
      <c r="D38" s="138">
        <v>22.388291453528382</v>
      </c>
      <c r="E38" s="138">
        <v>23.027957231782764</v>
      </c>
      <c r="F38" s="138">
        <v>23.987456573250313</v>
      </c>
      <c r="G38" s="138">
        <v>25.586620344800359</v>
      </c>
      <c r="H38" s="138">
        <v>26.226284774882785</v>
      </c>
      <c r="I38" s="138">
        <v>26.674050415209319</v>
      </c>
      <c r="J38" s="138">
        <v>27.185784116350327</v>
      </c>
      <c r="K38" s="138">
        <v>33.262604291165381</v>
      </c>
      <c r="L38" s="138">
        <v>34.880957941690987</v>
      </c>
      <c r="M38" s="138">
        <v>2.4150403297872645</v>
      </c>
      <c r="N38" s="138">
        <v>2.3909378388396725</v>
      </c>
      <c r="O38" s="138">
        <v>3.4104241375283593</v>
      </c>
      <c r="P38" s="138">
        <v>3.8513290731541776</v>
      </c>
      <c r="Q38" s="138">
        <v>4.1299692203682028</v>
      </c>
      <c r="R38" s="138">
        <v>3.9393443604916611</v>
      </c>
      <c r="S38" s="138" t="s">
        <v>1061</v>
      </c>
      <c r="T38" s="138" t="s">
        <v>1061</v>
      </c>
      <c r="U38" s="138" t="s">
        <v>1061</v>
      </c>
      <c r="V38" s="138" t="s">
        <v>1061</v>
      </c>
      <c r="W38" s="138" t="s">
        <v>1061</v>
      </c>
      <c r="X38" s="138" t="s">
        <v>1061</v>
      </c>
      <c r="Y38" s="138" t="s">
        <v>1061</v>
      </c>
      <c r="Z38" s="138" t="s">
        <v>1061</v>
      </c>
      <c r="AA38" s="138" t="s">
        <v>1061</v>
      </c>
      <c r="AB38" s="138" t="s">
        <v>1061</v>
      </c>
      <c r="AC38" s="138" t="s">
        <v>1061</v>
      </c>
      <c r="AD38" s="138" t="s">
        <v>1061</v>
      </c>
      <c r="AE38" s="138" t="s">
        <v>1061</v>
      </c>
      <c r="AF38" s="138" t="s">
        <v>1061</v>
      </c>
      <c r="AG38" s="138" t="s">
        <v>1061</v>
      </c>
      <c r="AH38" s="138" t="s">
        <v>1061</v>
      </c>
      <c r="AI38" s="138" t="s">
        <v>1061</v>
      </c>
      <c r="AJ38" s="138" t="s">
        <v>1061</v>
      </c>
      <c r="AK38" s="138" t="s">
        <v>1061</v>
      </c>
      <c r="AL38" s="138" t="s">
        <v>1061</v>
      </c>
      <c r="AM38" s="138" t="s">
        <v>1061</v>
      </c>
      <c r="AN38" s="138" t="s">
        <v>1061</v>
      </c>
      <c r="AO38" s="138" t="s">
        <v>1061</v>
      </c>
      <c r="AP38" s="139" t="s">
        <v>1061</v>
      </c>
      <c r="AQ38" s="140" t="s">
        <v>1061</v>
      </c>
      <c r="AR38" s="140" t="s">
        <v>1061</v>
      </c>
      <c r="AS38" s="140" t="s">
        <v>1061</v>
      </c>
    </row>
    <row r="39" spans="1:45" ht="12" customHeight="1">
      <c r="A39" s="131" t="s">
        <v>1065</v>
      </c>
      <c r="B39" s="138" t="s">
        <v>1061</v>
      </c>
      <c r="C39" s="138" t="s">
        <v>1061</v>
      </c>
      <c r="D39" s="138" t="s">
        <v>1061</v>
      </c>
      <c r="E39" s="138" t="s">
        <v>1061</v>
      </c>
      <c r="F39" s="138" t="s">
        <v>1061</v>
      </c>
      <c r="G39" s="138" t="s">
        <v>1061</v>
      </c>
      <c r="H39" s="138" t="s">
        <v>1061</v>
      </c>
      <c r="I39" s="138" t="s">
        <v>1061</v>
      </c>
      <c r="J39" s="138" t="s">
        <v>1061</v>
      </c>
      <c r="K39" s="138" t="s">
        <v>1061</v>
      </c>
      <c r="L39" s="138" t="s">
        <v>1061</v>
      </c>
      <c r="M39" s="138" t="s">
        <v>1061</v>
      </c>
      <c r="N39" s="138" t="s">
        <v>1061</v>
      </c>
      <c r="O39" s="138" t="s">
        <v>1061</v>
      </c>
      <c r="P39" s="138" t="s">
        <v>1061</v>
      </c>
      <c r="Q39" s="138" t="s">
        <v>1061</v>
      </c>
      <c r="R39" s="138" t="s">
        <v>1061</v>
      </c>
      <c r="S39" s="138">
        <v>0.86385000000000001</v>
      </c>
      <c r="T39" s="138">
        <v>0.86385000000000001</v>
      </c>
      <c r="U39" s="138">
        <v>0.91357500000000003</v>
      </c>
      <c r="V39" s="138">
        <v>0.91357500000000003</v>
      </c>
      <c r="W39" s="138">
        <v>0.91357500000000003</v>
      </c>
      <c r="X39" s="138">
        <v>0.9184500000000001</v>
      </c>
      <c r="Y39" s="138">
        <v>0.9184500000000001</v>
      </c>
      <c r="Z39" s="138">
        <v>0.91357500000000003</v>
      </c>
      <c r="AA39" s="138">
        <v>0.9242999999999999</v>
      </c>
      <c r="AB39" s="138">
        <v>0.9242999999999999</v>
      </c>
      <c r="AC39" s="138">
        <v>0.9184500000000001</v>
      </c>
      <c r="AD39" s="138">
        <v>0.88529999999999998</v>
      </c>
      <c r="AE39" s="138">
        <v>0.87359999999999982</v>
      </c>
      <c r="AF39" s="138">
        <v>0.87359999999999982</v>
      </c>
      <c r="AG39" s="138">
        <v>0.87359999999999982</v>
      </c>
      <c r="AH39" s="138">
        <v>0.84532499999999999</v>
      </c>
      <c r="AI39" s="138">
        <v>0.84532499999999999</v>
      </c>
      <c r="AJ39" s="138">
        <v>0.84532499999999999</v>
      </c>
      <c r="AK39" s="138">
        <v>0.84532499999999999</v>
      </c>
      <c r="AL39" s="138">
        <v>0.84532499999999999</v>
      </c>
      <c r="AM39" s="138">
        <v>0.84532499999999999</v>
      </c>
      <c r="AN39" s="138">
        <v>0.84532499999999999</v>
      </c>
      <c r="AO39" s="138">
        <v>0.84532499999999999</v>
      </c>
      <c r="AP39" s="139">
        <v>0.84532499999999999</v>
      </c>
      <c r="AQ39" s="140">
        <v>0</v>
      </c>
      <c r="AR39" s="140">
        <v>-3.2847370280333354E-3</v>
      </c>
      <c r="AS39" s="140">
        <v>4.4946350044100299E-3</v>
      </c>
    </row>
    <row r="40" spans="1:45" ht="12" customHeight="1">
      <c r="A40" s="131" t="s">
        <v>1066</v>
      </c>
      <c r="B40" s="138" t="s">
        <v>1061</v>
      </c>
      <c r="C40" s="138" t="s">
        <v>1061</v>
      </c>
      <c r="D40" s="138" t="s">
        <v>1061</v>
      </c>
      <c r="E40" s="138" t="s">
        <v>1061</v>
      </c>
      <c r="F40" s="138" t="s">
        <v>1061</v>
      </c>
      <c r="G40" s="138" t="s">
        <v>1061</v>
      </c>
      <c r="H40" s="138" t="s">
        <v>1061</v>
      </c>
      <c r="I40" s="138" t="s">
        <v>1061</v>
      </c>
      <c r="J40" s="138" t="s">
        <v>1061</v>
      </c>
      <c r="K40" s="138" t="s">
        <v>1061</v>
      </c>
      <c r="L40" s="138" t="s">
        <v>1061</v>
      </c>
      <c r="M40" s="138" t="s">
        <v>1061</v>
      </c>
      <c r="N40" s="138" t="s">
        <v>1061</v>
      </c>
      <c r="O40" s="138" t="s">
        <v>1061</v>
      </c>
      <c r="P40" s="138" t="s">
        <v>1061</v>
      </c>
      <c r="Q40" s="138" t="s">
        <v>1061</v>
      </c>
      <c r="R40" s="138" t="s">
        <v>1061</v>
      </c>
      <c r="S40" s="138">
        <v>9.8042408539630154E-3</v>
      </c>
      <c r="T40" s="138">
        <v>9.5502063449841319E-3</v>
      </c>
      <c r="U40" s="138">
        <v>9.292136339436867E-3</v>
      </c>
      <c r="V40" s="138">
        <v>9.032653910090685E-3</v>
      </c>
      <c r="W40" s="138">
        <v>7.746757035070476E-3</v>
      </c>
      <c r="X40" s="138">
        <v>7.4324985914404488E-3</v>
      </c>
      <c r="Y40" s="138">
        <v>7.1449160915783103E-3</v>
      </c>
      <c r="Z40" s="138">
        <v>6.8297958676594491E-3</v>
      </c>
      <c r="AA40" s="138">
        <v>6.5308122829843378E-3</v>
      </c>
      <c r="AB40" s="138">
        <v>6.2294271743072605E-3</v>
      </c>
      <c r="AC40" s="138">
        <v>5.9367913248312646E-3</v>
      </c>
      <c r="AD40" s="138">
        <v>5.6674975945489765E-3</v>
      </c>
      <c r="AE40" s="138">
        <v>5.3836569080474147E-3</v>
      </c>
      <c r="AF40" s="138">
        <v>5.1145462884587024E-3</v>
      </c>
      <c r="AG40" s="138">
        <v>4.8366070112519245E-3</v>
      </c>
      <c r="AH40" s="138">
        <v>4.5841050261051647E-3</v>
      </c>
      <c r="AI40" s="138">
        <v>3.8268864019908536E-3</v>
      </c>
      <c r="AJ40" s="138">
        <v>3.5661715326299886E-3</v>
      </c>
      <c r="AK40" s="138">
        <v>3.2985462789623379E-3</v>
      </c>
      <c r="AL40" s="138">
        <v>3.2545442333625349E-3</v>
      </c>
      <c r="AM40" s="138">
        <v>3.1828717967351998E-3</v>
      </c>
      <c r="AN40" s="138">
        <v>3.0890577002528983E-3</v>
      </c>
      <c r="AO40" s="138">
        <v>2.9824806396924258E-3</v>
      </c>
      <c r="AP40" s="139">
        <v>2.8606568678094372E-3</v>
      </c>
      <c r="AQ40" s="140">
        <v>-4.0846458569317567E-2</v>
      </c>
      <c r="AR40" s="140">
        <v>-5.7350968194348817E-2</v>
      </c>
      <c r="AS40" s="140">
        <v>1.5210254628293558E-5</v>
      </c>
    </row>
    <row r="41" spans="1:45" s="132" customFormat="1" ht="12" customHeight="1">
      <c r="A41" s="141" t="s">
        <v>1067</v>
      </c>
      <c r="B41" s="142">
        <v>20.469295466937123</v>
      </c>
      <c r="C41" s="142">
        <v>21.748627023445884</v>
      </c>
      <c r="D41" s="142">
        <v>22.388291453528382</v>
      </c>
      <c r="E41" s="142">
        <v>23.027957231782764</v>
      </c>
      <c r="F41" s="142">
        <v>23.987456573250313</v>
      </c>
      <c r="G41" s="142">
        <v>25.586620344800359</v>
      </c>
      <c r="H41" s="142">
        <v>26.226284774882785</v>
      </c>
      <c r="I41" s="142">
        <v>26.674050415209319</v>
      </c>
      <c r="J41" s="142">
        <v>27.185784116350327</v>
      </c>
      <c r="K41" s="142">
        <v>33.262604291165381</v>
      </c>
      <c r="L41" s="142">
        <v>34.880957941690987</v>
      </c>
      <c r="M41" s="142">
        <v>36.325593168459825</v>
      </c>
      <c r="N41" s="142">
        <v>37.120834786361783</v>
      </c>
      <c r="O41" s="142">
        <v>38.144438392130127</v>
      </c>
      <c r="P41" s="142">
        <v>38.360744226561245</v>
      </c>
      <c r="Q41" s="142">
        <v>37.834656705058471</v>
      </c>
      <c r="R41" s="142">
        <v>37.364672559827937</v>
      </c>
      <c r="S41" s="142">
        <v>38.567944386545314</v>
      </c>
      <c r="T41" s="142">
        <v>38.421820382301824</v>
      </c>
      <c r="U41" s="142">
        <v>38.391596905525951</v>
      </c>
      <c r="V41" s="142">
        <v>38.597202777078898</v>
      </c>
      <c r="W41" s="142">
        <v>38.801782234186184</v>
      </c>
      <c r="X41" s="142">
        <v>39.35531725302868</v>
      </c>
      <c r="Y41" s="142">
        <v>39.217786101207281</v>
      </c>
      <c r="Z41" s="142">
        <v>39.075352411661846</v>
      </c>
      <c r="AA41" s="142">
        <v>39.223021997398696</v>
      </c>
      <c r="AB41" s="142">
        <v>39.222720612290018</v>
      </c>
      <c r="AC41" s="142">
        <v>43.258662779978728</v>
      </c>
      <c r="AD41" s="142">
        <v>43.35133569201745</v>
      </c>
      <c r="AE41" s="142">
        <v>45.567568944377591</v>
      </c>
      <c r="AF41" s="142">
        <v>51.330537995787296</v>
      </c>
      <c r="AG41" s="142">
        <v>51.67336897981393</v>
      </c>
      <c r="AH41" s="142">
        <v>51.825385393271262</v>
      </c>
      <c r="AI41" s="142">
        <v>51.108576817306435</v>
      </c>
      <c r="AJ41" s="142">
        <v>52.551650742513218</v>
      </c>
      <c r="AK41" s="142">
        <v>52.439250372864272</v>
      </c>
      <c r="AL41" s="142">
        <v>52.858942254453886</v>
      </c>
      <c r="AM41" s="142">
        <v>55.91385275586952</v>
      </c>
      <c r="AN41" s="142">
        <v>56.442660676498072</v>
      </c>
      <c r="AO41" s="142">
        <v>56.767066739424976</v>
      </c>
      <c r="AP41" s="142">
        <v>56.60172825754303</v>
      </c>
      <c r="AQ41" s="143">
        <v>-2.9125775097891271E-3</v>
      </c>
      <c r="AR41" s="143">
        <v>2.2219260166516319E-2</v>
      </c>
      <c r="AS41" s="143">
        <v>0.30095420002538342</v>
      </c>
    </row>
    <row r="42" spans="1:45" ht="12" customHeight="1">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9"/>
      <c r="AQ42" s="140"/>
      <c r="AR42" s="140"/>
      <c r="AS42" s="140"/>
    </row>
    <row r="43" spans="1:45" ht="12" customHeight="1">
      <c r="A43" s="131" t="s">
        <v>1134</v>
      </c>
      <c r="B43" s="138">
        <v>0.56968562482833363</v>
      </c>
      <c r="C43" s="138">
        <v>0.55012560337500027</v>
      </c>
      <c r="D43" s="138">
        <v>0.54279059533000018</v>
      </c>
      <c r="E43" s="138">
        <v>0.5330105846033335</v>
      </c>
      <c r="F43" s="138">
        <v>0.52323057387666683</v>
      </c>
      <c r="G43" s="138">
        <v>0.51100556046833356</v>
      </c>
      <c r="H43" s="138">
        <v>0.49878054706000025</v>
      </c>
      <c r="I43" s="138">
        <v>0.48411053097000023</v>
      </c>
      <c r="J43" s="138">
        <v>0.46455050951666682</v>
      </c>
      <c r="K43" s="138">
        <v>0.44743549074500016</v>
      </c>
      <c r="L43" s="138">
        <v>0.43276547465500004</v>
      </c>
      <c r="M43" s="138">
        <v>0.42298546392833336</v>
      </c>
      <c r="N43" s="138">
        <v>0.4083154478383334</v>
      </c>
      <c r="O43" s="138">
        <v>0.3887554263850001</v>
      </c>
      <c r="P43" s="138">
        <v>0.37408541029500003</v>
      </c>
      <c r="Q43" s="138">
        <v>0.35941539420500002</v>
      </c>
      <c r="R43" s="138">
        <v>0.34719038079666664</v>
      </c>
      <c r="S43" s="138">
        <v>0.34719038079666664</v>
      </c>
      <c r="T43" s="138">
        <v>0.34719038079666664</v>
      </c>
      <c r="U43" s="138">
        <v>0.28851031643666664</v>
      </c>
      <c r="V43" s="138">
        <v>0.26895029498333334</v>
      </c>
      <c r="W43" s="138">
        <v>0.26895029498333334</v>
      </c>
      <c r="X43" s="138">
        <v>0.26895029498333334</v>
      </c>
      <c r="Y43" s="138">
        <v>0.22494024671333332</v>
      </c>
      <c r="Z43" s="138">
        <v>0.22005024134999998</v>
      </c>
      <c r="AA43" s="138">
        <v>0.22005024134999998</v>
      </c>
      <c r="AB43" s="138">
        <v>0.22005024134999998</v>
      </c>
      <c r="AC43" s="138">
        <v>0.20782522794166669</v>
      </c>
      <c r="AD43" s="138">
        <v>0.22005024134999998</v>
      </c>
      <c r="AE43" s="138">
        <v>0.22005024134999998</v>
      </c>
      <c r="AF43" s="138">
        <v>0.20799858998999998</v>
      </c>
      <c r="AG43" s="138">
        <v>0.20799858998999998</v>
      </c>
      <c r="AH43" s="138">
        <v>0.18935619179249999</v>
      </c>
      <c r="AI43" s="138">
        <v>0.18098891391585703</v>
      </c>
      <c r="AJ43" s="138">
        <v>0.17220084450189743</v>
      </c>
      <c r="AK43" s="138">
        <v>0.16346132795762822</v>
      </c>
      <c r="AL43" s="138">
        <v>0.17378992380262498</v>
      </c>
      <c r="AM43" s="138">
        <v>0.18246953387250001</v>
      </c>
      <c r="AN43" s="138">
        <v>0.182926851</v>
      </c>
      <c r="AO43" s="138">
        <v>7.7313495555E-2</v>
      </c>
      <c r="AP43" s="139">
        <v>6.4831428075000003E-2</v>
      </c>
      <c r="AQ43" s="140">
        <v>-0.16144745998608212</v>
      </c>
      <c r="AR43" s="140">
        <v>-9.9314137369329369E-2</v>
      </c>
      <c r="AS43" s="140">
        <v>3.447119226472495E-4</v>
      </c>
    </row>
    <row r="44" spans="1:45" ht="12" customHeight="1">
      <c r="A44" s="131" t="s">
        <v>1068</v>
      </c>
      <c r="B44" s="138">
        <v>13.3183945</v>
      </c>
      <c r="C44" s="138">
        <v>13.303282500000002</v>
      </c>
      <c r="D44" s="138">
        <v>13.288170500000001</v>
      </c>
      <c r="E44" s="138">
        <v>13.265502499999998</v>
      </c>
      <c r="F44" s="138">
        <v>13.238111999999999</v>
      </c>
      <c r="G44" s="138">
        <v>13.209776999999999</v>
      </c>
      <c r="H44" s="138">
        <v>13.180497500000001</v>
      </c>
      <c r="I44" s="138">
        <v>13.149329000000002</v>
      </c>
      <c r="J44" s="138">
        <v>13.411899999999999</v>
      </c>
      <c r="K44" s="138">
        <v>16.0565</v>
      </c>
      <c r="L44" s="138">
        <v>16.059333499999997</v>
      </c>
      <c r="M44" s="138">
        <v>18.7011</v>
      </c>
      <c r="N44" s="138">
        <v>19.55115</v>
      </c>
      <c r="O44" s="138">
        <v>19.55115</v>
      </c>
      <c r="P44" s="138">
        <v>19.611598000000001</v>
      </c>
      <c r="Q44" s="138">
        <v>18.276075000000002</v>
      </c>
      <c r="R44" s="138">
        <v>21.723500000000001</v>
      </c>
      <c r="S44" s="138">
        <v>21.723500000000001</v>
      </c>
      <c r="T44" s="138">
        <v>22.762450000000001</v>
      </c>
      <c r="U44" s="138">
        <v>24.375</v>
      </c>
      <c r="V44" s="138">
        <v>25.35</v>
      </c>
      <c r="W44" s="138">
        <v>25.447500000000002</v>
      </c>
      <c r="X44" s="138">
        <v>26.022749999999998</v>
      </c>
      <c r="Y44" s="138">
        <v>26.880749999999999</v>
      </c>
      <c r="Z44" s="138">
        <v>26.8125</v>
      </c>
      <c r="AA44" s="138">
        <v>26.049310000000002</v>
      </c>
      <c r="AB44" s="138">
        <v>25.359825000000001</v>
      </c>
      <c r="AC44" s="138">
        <v>26.568785000000002</v>
      </c>
      <c r="AD44" s="138">
        <v>27.966645</v>
      </c>
      <c r="AE44" s="138">
        <v>27.966645</v>
      </c>
      <c r="AF44" s="138">
        <v>32.262749999999997</v>
      </c>
      <c r="AG44" s="138">
        <v>32.779499999999999</v>
      </c>
      <c r="AH44" s="138">
        <v>31.905210000000004</v>
      </c>
      <c r="AI44" s="138">
        <v>32.131890000000006</v>
      </c>
      <c r="AJ44" s="138">
        <v>32.131890000000006</v>
      </c>
      <c r="AK44" s="138">
        <v>31.640750000000001</v>
      </c>
      <c r="AL44" s="138">
        <v>31.849719680500002</v>
      </c>
      <c r="AM44" s="138">
        <v>31.933545000000002</v>
      </c>
      <c r="AN44" s="138">
        <v>32.017368241599996</v>
      </c>
      <c r="AO44" s="138">
        <v>32.10137858865</v>
      </c>
      <c r="AP44" s="139">
        <v>32.10137858865</v>
      </c>
      <c r="AQ44" s="140">
        <v>0</v>
      </c>
      <c r="AR44" s="140">
        <v>1.3884144356687944E-2</v>
      </c>
      <c r="AS44" s="140">
        <v>0.17068462413197874</v>
      </c>
    </row>
    <row r="45" spans="1:45" ht="12" customHeight="1">
      <c r="A45" s="131" t="s">
        <v>1069</v>
      </c>
      <c r="B45" s="138">
        <v>0.73853000000000002</v>
      </c>
      <c r="C45" s="138">
        <v>0.7344925000000001</v>
      </c>
      <c r="D45" s="138">
        <v>0.77484849999999994</v>
      </c>
      <c r="E45" s="138">
        <v>0.78014000000000006</v>
      </c>
      <c r="F45" s="138">
        <v>0.77710000000000001</v>
      </c>
      <c r="G45" s="138">
        <v>0.78014000000000006</v>
      </c>
      <c r="H45" s="138">
        <v>0.78013049999999995</v>
      </c>
      <c r="I45" s="138">
        <v>0.95</v>
      </c>
      <c r="J45" s="138">
        <v>2.5554999999999999</v>
      </c>
      <c r="K45" s="138">
        <v>2.9592499999999999</v>
      </c>
      <c r="L45" s="138">
        <v>2.9516499999999999</v>
      </c>
      <c r="M45" s="138">
        <v>2.9449999999999998</v>
      </c>
      <c r="N45" s="138">
        <v>2.9449999999999998</v>
      </c>
      <c r="O45" s="138">
        <v>2.9449999999999998</v>
      </c>
      <c r="P45" s="138">
        <v>2.9592499999999999</v>
      </c>
      <c r="Q45" s="138">
        <v>3.1920000000000002</v>
      </c>
      <c r="R45" s="138">
        <v>3.1920000000000002</v>
      </c>
      <c r="S45" s="138">
        <v>3.0286</v>
      </c>
      <c r="T45" s="138">
        <v>3.0286</v>
      </c>
      <c r="U45" s="138">
        <v>3.1207500000000001</v>
      </c>
      <c r="V45" s="138">
        <v>2.9535500000000003</v>
      </c>
      <c r="W45" s="138">
        <v>2.9535500000000003</v>
      </c>
      <c r="X45" s="138">
        <v>3.0305</v>
      </c>
      <c r="Y45" s="138">
        <v>3.0114999999999998</v>
      </c>
      <c r="Z45" s="138">
        <v>3.0114999999999998</v>
      </c>
      <c r="AA45" s="138">
        <v>3.0114999999999998</v>
      </c>
      <c r="AB45" s="138">
        <v>3.0114999999999998</v>
      </c>
      <c r="AC45" s="138">
        <v>3.0114999999999998</v>
      </c>
      <c r="AD45" s="138">
        <v>3.0114999999999998</v>
      </c>
      <c r="AE45" s="138">
        <v>3.0114999999999998</v>
      </c>
      <c r="AF45" s="138">
        <v>3.0000999999999998</v>
      </c>
      <c r="AG45" s="138">
        <v>3.0000999999999998</v>
      </c>
      <c r="AH45" s="138">
        <v>3.0000999999999998</v>
      </c>
      <c r="AI45" s="138">
        <v>3.0000999999999998</v>
      </c>
      <c r="AJ45" s="138">
        <v>3.0000999999999998</v>
      </c>
      <c r="AK45" s="138">
        <v>3.0000999999999998</v>
      </c>
      <c r="AL45" s="138">
        <v>3.628905</v>
      </c>
      <c r="AM45" s="138">
        <v>3.5569139999999999</v>
      </c>
      <c r="AN45" s="138">
        <v>3.5428824999999997</v>
      </c>
      <c r="AO45" s="138">
        <v>3.5285259099999995</v>
      </c>
      <c r="AP45" s="139">
        <v>3.5285259099999995</v>
      </c>
      <c r="AQ45" s="140">
        <v>0</v>
      </c>
      <c r="AR45" s="140">
        <v>1.5970374830099665E-2</v>
      </c>
      <c r="AS45" s="140">
        <v>1.8761347492448174E-2</v>
      </c>
    </row>
    <row r="46" spans="1:45" ht="12" customHeight="1">
      <c r="A46" s="131" t="s">
        <v>1135</v>
      </c>
      <c r="B46" s="138">
        <v>2.9249999999999996E-3</v>
      </c>
      <c r="C46" s="138">
        <v>1.9500000000000003E-3</v>
      </c>
      <c r="D46" s="138">
        <v>9.7500000000000017E-4</v>
      </c>
      <c r="E46" s="138">
        <v>9.7500000000000017E-4</v>
      </c>
      <c r="F46" s="138">
        <v>9.7500000000000017E-4</v>
      </c>
      <c r="G46" s="138">
        <v>9.7500000000000017E-4</v>
      </c>
      <c r="H46" s="138">
        <v>9.7500000000000017E-4</v>
      </c>
      <c r="I46" s="138">
        <v>9.7500000000000017E-4</v>
      </c>
      <c r="J46" s="138">
        <v>9.7500000000000017E-4</v>
      </c>
      <c r="K46" s="138">
        <v>9.7500000000000017E-4</v>
      </c>
      <c r="L46" s="138">
        <v>9.7500000000000017E-4</v>
      </c>
      <c r="M46" s="138">
        <v>9.7500000000000017E-4</v>
      </c>
      <c r="N46" s="138">
        <v>9.7500000000000017E-4</v>
      </c>
      <c r="O46" s="138">
        <v>9.7500000000000017E-4</v>
      </c>
      <c r="P46" s="138">
        <v>9.7500000000000017E-4</v>
      </c>
      <c r="Q46" s="138">
        <v>9.7500000000000017E-4</v>
      </c>
      <c r="R46" s="138">
        <v>9.7500000000000017E-4</v>
      </c>
      <c r="S46" s="138">
        <v>9.7500000000000017E-4</v>
      </c>
      <c r="T46" s="138">
        <v>9.7500000000000017E-4</v>
      </c>
      <c r="U46" s="138">
        <v>1.9500000000000003E-3</v>
      </c>
      <c r="V46" s="138">
        <v>4.3874999999999997E-2</v>
      </c>
      <c r="W46" s="138">
        <v>4.3874999999999997E-2</v>
      </c>
      <c r="X46" s="138">
        <v>4.3874999999999997E-2</v>
      </c>
      <c r="Y46" s="138">
        <v>4.5825000000000005E-2</v>
      </c>
      <c r="Z46" s="138">
        <v>4.5825000000000005E-2</v>
      </c>
      <c r="AA46" s="138">
        <v>4.3874999999999997E-2</v>
      </c>
      <c r="AB46" s="138">
        <v>4.3874999999999997E-2</v>
      </c>
      <c r="AC46" s="138">
        <v>4.2900000000000001E-2</v>
      </c>
      <c r="AD46" s="138">
        <v>4.2900000000000001E-2</v>
      </c>
      <c r="AE46" s="138">
        <v>8.7749999999999995E-2</v>
      </c>
      <c r="AF46" s="138">
        <v>0.19694999999999999</v>
      </c>
      <c r="AG46" s="138">
        <v>0.19694999999999999</v>
      </c>
      <c r="AH46" s="138">
        <v>0.19694999999999999</v>
      </c>
      <c r="AI46" s="138">
        <v>0.18719326949959783</v>
      </c>
      <c r="AJ46" s="138">
        <v>0.18243603836669156</v>
      </c>
      <c r="AK46" s="138">
        <v>0.17397872640000006</v>
      </c>
      <c r="AL46" s="138">
        <v>0.16594893902769234</v>
      </c>
      <c r="AM46" s="138">
        <v>0.4556904333784616</v>
      </c>
      <c r="AN46" s="138">
        <v>0.41236303901538468</v>
      </c>
      <c r="AO46" s="138">
        <v>0.56670502196365713</v>
      </c>
      <c r="AP46" s="139">
        <v>0.58855774267410421</v>
      </c>
      <c r="AQ46" s="140">
        <v>3.8561014749307176E-2</v>
      </c>
      <c r="AR46" s="140">
        <v>0.20506644470420787</v>
      </c>
      <c r="AS46" s="140">
        <v>3.129390745972945E-3</v>
      </c>
    </row>
    <row r="47" spans="1:45" ht="12" customHeight="1">
      <c r="A47" s="131" t="s">
        <v>1070</v>
      </c>
      <c r="B47" s="138">
        <v>1.0012999999999999</v>
      </c>
      <c r="C47" s="138">
        <v>0.99370000000000003</v>
      </c>
      <c r="D47" s="138">
        <v>0.98799999999999999</v>
      </c>
      <c r="E47" s="138">
        <v>0.98420000000000007</v>
      </c>
      <c r="F47" s="138">
        <v>0.98591000000000006</v>
      </c>
      <c r="G47" s="138">
        <v>0.98467499999999997</v>
      </c>
      <c r="H47" s="138">
        <v>1.1086500000000001</v>
      </c>
      <c r="I47" s="138">
        <v>1.1447499999999999</v>
      </c>
      <c r="J47" s="138">
        <v>1.3090999999999999</v>
      </c>
      <c r="K47" s="138">
        <v>1.33</v>
      </c>
      <c r="L47" s="138">
        <v>1.4420999999999999</v>
      </c>
      <c r="M47" s="138">
        <v>1.4354500000000001</v>
      </c>
      <c r="N47" s="138">
        <v>1.42025</v>
      </c>
      <c r="O47" s="138">
        <v>1.4174</v>
      </c>
      <c r="P47" s="138">
        <v>1.4243190051020447</v>
      </c>
      <c r="Q47" s="138">
        <v>1.4193</v>
      </c>
      <c r="R47" s="138">
        <v>1.41455</v>
      </c>
      <c r="S47" s="138">
        <v>1.4155</v>
      </c>
      <c r="T47" s="138">
        <v>1.4079000000000002</v>
      </c>
      <c r="U47" s="138">
        <v>1.4079000000000002</v>
      </c>
      <c r="V47" s="138">
        <v>1.4791500000000002</v>
      </c>
      <c r="W47" s="138">
        <v>1.4791500000000002</v>
      </c>
      <c r="X47" s="138">
        <v>1.4791500000000002</v>
      </c>
      <c r="Y47" s="138">
        <v>1.4934000000000001</v>
      </c>
      <c r="Z47" s="138">
        <v>1.4934000000000001</v>
      </c>
      <c r="AA47" s="138">
        <v>1.5326999999999997</v>
      </c>
      <c r="AB47" s="138">
        <v>1.7354999999999996</v>
      </c>
      <c r="AC47" s="138">
        <v>1.6947999999999999</v>
      </c>
      <c r="AD47" s="138">
        <v>1.6947999999999999</v>
      </c>
      <c r="AE47" s="138">
        <v>1.6947999999999999</v>
      </c>
      <c r="AF47" s="138">
        <v>1.6947999999999999</v>
      </c>
      <c r="AG47" s="138">
        <v>1.6947999999999999</v>
      </c>
      <c r="AH47" s="138">
        <v>1.6947999999999999</v>
      </c>
      <c r="AI47" s="138">
        <v>1.6947999999999999</v>
      </c>
      <c r="AJ47" s="138">
        <v>1.6947999999999999</v>
      </c>
      <c r="AK47" s="138">
        <v>1.6947999999999999</v>
      </c>
      <c r="AL47" s="138">
        <v>1.6947999999999999</v>
      </c>
      <c r="AM47" s="138">
        <v>1.6947999999999999</v>
      </c>
      <c r="AN47" s="138">
        <v>1.6947999999999999</v>
      </c>
      <c r="AO47" s="138">
        <v>1.6947999999999999</v>
      </c>
      <c r="AP47" s="139">
        <v>1.6947999999999999</v>
      </c>
      <c r="AQ47" s="140">
        <v>0</v>
      </c>
      <c r="AR47" s="140">
        <v>0</v>
      </c>
      <c r="AS47" s="140">
        <v>9.0113357649118601E-3</v>
      </c>
    </row>
    <row r="48" spans="1:45" ht="12" customHeight="1">
      <c r="A48" s="131" t="s">
        <v>1071</v>
      </c>
      <c r="B48" s="138">
        <v>7.897499999999999E-2</v>
      </c>
      <c r="C48" s="138">
        <v>7.6049999999999979E-2</v>
      </c>
      <c r="D48" s="138">
        <v>8.0924999999999997E-2</v>
      </c>
      <c r="E48" s="138">
        <v>0.16087499999999999</v>
      </c>
      <c r="F48" s="138">
        <v>0.20962500000000001</v>
      </c>
      <c r="G48" s="138">
        <v>0.21255000000000002</v>
      </c>
      <c r="H48" s="138">
        <v>0.223275</v>
      </c>
      <c r="I48" s="138">
        <v>0.26519999999999999</v>
      </c>
      <c r="J48" s="138">
        <v>0.27592500000000003</v>
      </c>
      <c r="K48" s="138">
        <v>0.27202499999999996</v>
      </c>
      <c r="L48" s="138">
        <v>0.27300000000000002</v>
      </c>
      <c r="M48" s="138">
        <v>9.0674999999999992E-2</v>
      </c>
      <c r="N48" s="138">
        <v>0.14624999999999999</v>
      </c>
      <c r="O48" s="138">
        <v>0.19500000000000001</v>
      </c>
      <c r="P48" s="138">
        <v>0.24959999999999999</v>
      </c>
      <c r="Q48" s="138">
        <v>0.44167499999999998</v>
      </c>
      <c r="R48" s="138">
        <v>0.60157500000000008</v>
      </c>
      <c r="S48" s="138">
        <v>0.52845000000000009</v>
      </c>
      <c r="T48" s="138">
        <v>0.55379999999999996</v>
      </c>
      <c r="U48" s="138">
        <v>0.78227500000000005</v>
      </c>
      <c r="V48" s="138">
        <v>0.80960750000000004</v>
      </c>
      <c r="W48" s="138">
        <v>0.89160500000000009</v>
      </c>
      <c r="X48" s="138">
        <v>0.89160500000000009</v>
      </c>
      <c r="Y48" s="138">
        <v>0.9330750000000001</v>
      </c>
      <c r="Z48" s="138">
        <v>0.9377875</v>
      </c>
      <c r="AA48" s="138">
        <v>0.9377875</v>
      </c>
      <c r="AB48" s="138">
        <v>0.92364999999999997</v>
      </c>
      <c r="AC48" s="138">
        <v>0.92364999999999997</v>
      </c>
      <c r="AD48" s="138">
        <v>0.92625000000000002</v>
      </c>
      <c r="AE48" s="138">
        <v>0.49880587249999997</v>
      </c>
      <c r="AF48" s="138">
        <v>0.4902658800000001</v>
      </c>
      <c r="AG48" s="138">
        <v>0.48519428749999999</v>
      </c>
      <c r="AH48" s="138">
        <v>0.47559140664750005</v>
      </c>
      <c r="AI48" s="138">
        <v>0.66481380132375012</v>
      </c>
      <c r="AJ48" s="138">
        <v>0.66446250000000007</v>
      </c>
      <c r="AK48" s="138">
        <v>0.66446250000000007</v>
      </c>
      <c r="AL48" s="138">
        <v>0.66446250000000007</v>
      </c>
      <c r="AM48" s="138">
        <v>0.66446250000000007</v>
      </c>
      <c r="AN48" s="138">
        <v>0.66634750000000009</v>
      </c>
      <c r="AO48" s="138">
        <v>0.66634750000000009</v>
      </c>
      <c r="AP48" s="139">
        <v>0.66634750000000009</v>
      </c>
      <c r="AQ48" s="140">
        <v>0</v>
      </c>
      <c r="AR48" s="140">
        <v>2.9382833547465292E-2</v>
      </c>
      <c r="AS48" s="140">
        <v>3.5430027487665843E-3</v>
      </c>
    </row>
    <row r="49" spans="1:45" ht="12" customHeight="1">
      <c r="A49" s="131" t="s">
        <v>1072</v>
      </c>
      <c r="B49" s="138">
        <v>2.8980000000000006</v>
      </c>
      <c r="C49" s="138">
        <v>2.9290500000000002</v>
      </c>
      <c r="D49" s="138">
        <v>3.2550750000000002</v>
      </c>
      <c r="E49" s="138">
        <v>3.519000000000001</v>
      </c>
      <c r="F49" s="138">
        <v>4.4298000000000011</v>
      </c>
      <c r="G49" s="138">
        <v>4.5954000000000006</v>
      </c>
      <c r="H49" s="138">
        <v>4.5954000000000006</v>
      </c>
      <c r="I49" s="138">
        <v>4.5954000000000006</v>
      </c>
      <c r="J49" s="138">
        <v>4.7827350000000006</v>
      </c>
      <c r="K49" s="138">
        <v>4.7817000000000007</v>
      </c>
      <c r="L49" s="138">
        <v>4.7765250000000004</v>
      </c>
      <c r="M49" s="138">
        <v>6.6529800000000003</v>
      </c>
      <c r="N49" s="138">
        <v>6.9479550000000003</v>
      </c>
      <c r="O49" s="138">
        <v>7.3174500000000018</v>
      </c>
      <c r="P49" s="138">
        <v>7.3174500000000018</v>
      </c>
      <c r="Q49" s="138">
        <v>8.7975000000000012</v>
      </c>
      <c r="R49" s="138">
        <v>8.7975000000000012</v>
      </c>
      <c r="S49" s="138">
        <v>8.7975000000000012</v>
      </c>
      <c r="T49" s="138">
        <v>11.281500000000001</v>
      </c>
      <c r="U49" s="138">
        <v>11.547495000000001</v>
      </c>
      <c r="V49" s="138">
        <v>14.948505000000001</v>
      </c>
      <c r="W49" s="138">
        <v>26.685405000000006</v>
      </c>
      <c r="X49" s="138">
        <v>26.685405000000006</v>
      </c>
      <c r="Y49" s="138">
        <v>26.230005000000006</v>
      </c>
      <c r="Z49" s="138">
        <v>26.248635000000004</v>
      </c>
      <c r="AA49" s="138">
        <v>24.995099999999997</v>
      </c>
      <c r="AB49" s="138">
        <v>26.436758124451508</v>
      </c>
      <c r="AC49" s="138">
        <v>26.356190598078751</v>
      </c>
      <c r="AD49" s="138">
        <v>26.252850802520253</v>
      </c>
      <c r="AE49" s="138">
        <v>26.207833807064258</v>
      </c>
      <c r="AF49" s="138">
        <v>25.923722639127753</v>
      </c>
      <c r="AG49" s="138">
        <v>25.923722639127753</v>
      </c>
      <c r="AH49" s="138">
        <v>25.758748246275001</v>
      </c>
      <c r="AI49" s="138">
        <v>25.541869492125002</v>
      </c>
      <c r="AJ49" s="138">
        <v>25.386537411450004</v>
      </c>
      <c r="AK49" s="138">
        <v>25.149532710280379</v>
      </c>
      <c r="AL49" s="138">
        <v>24.915038232795247</v>
      </c>
      <c r="AM49" s="138">
        <v>24.696135000000002</v>
      </c>
      <c r="AN49" s="138">
        <v>24.680966143500001</v>
      </c>
      <c r="AO49" s="138">
        <v>24.665471469000003</v>
      </c>
      <c r="AP49" s="139">
        <v>24.665471469000003</v>
      </c>
      <c r="AQ49" s="140">
        <v>0</v>
      </c>
      <c r="AR49" s="140">
        <v>-6.0470442791619172E-3</v>
      </c>
      <c r="AS49" s="140">
        <v>0.13114753670463347</v>
      </c>
    </row>
    <row r="50" spans="1:45" ht="12" customHeight="1">
      <c r="A50" s="131" t="s">
        <v>1073</v>
      </c>
      <c r="B50" s="138">
        <v>3.0240685000000003</v>
      </c>
      <c r="C50" s="138">
        <v>3.178776</v>
      </c>
      <c r="D50" s="138">
        <v>3.2605615000000001</v>
      </c>
      <c r="E50" s="138">
        <v>3.3667715</v>
      </c>
      <c r="F50" s="138">
        <v>3.4276095</v>
      </c>
      <c r="G50" s="138">
        <v>3.50265</v>
      </c>
      <c r="H50" s="138">
        <v>3.81995</v>
      </c>
      <c r="I50" s="138">
        <v>3.9800249999999999</v>
      </c>
      <c r="J50" s="138">
        <v>4.7690000000000001</v>
      </c>
      <c r="K50" s="138">
        <v>4.9574799999999994</v>
      </c>
      <c r="L50" s="138">
        <v>4.9615650000000002</v>
      </c>
      <c r="M50" s="138">
        <v>4.9595700000000003</v>
      </c>
      <c r="N50" s="138">
        <v>4.9863599999999995</v>
      </c>
      <c r="O50" s="138">
        <v>4.9863599999999995</v>
      </c>
      <c r="P50" s="138">
        <v>4.9969999999999999</v>
      </c>
      <c r="Q50" s="138">
        <v>5.2672749999999997</v>
      </c>
      <c r="R50" s="138">
        <v>5.4086350000000003</v>
      </c>
      <c r="S50" s="138">
        <v>5.5878999999999994</v>
      </c>
      <c r="T50" s="138">
        <v>5.7646000000000006</v>
      </c>
      <c r="U50" s="138">
        <v>5.8387000000000002</v>
      </c>
      <c r="V50" s="138">
        <v>5.9859499999999999</v>
      </c>
      <c r="W50" s="138">
        <v>6.1327820000000006</v>
      </c>
      <c r="X50" s="138">
        <v>6.3136999999999999</v>
      </c>
      <c r="Y50" s="138">
        <v>6.4163000000000006</v>
      </c>
      <c r="Z50" s="138">
        <v>6.4191499999999992</v>
      </c>
      <c r="AA50" s="138">
        <v>6.4808999999999992</v>
      </c>
      <c r="AB50" s="138">
        <v>6.7193500000000004</v>
      </c>
      <c r="AC50" s="138">
        <v>6.939222488655</v>
      </c>
      <c r="AD50" s="138">
        <v>7.0749649725000001</v>
      </c>
      <c r="AE50" s="138">
        <v>7.4031572639999998</v>
      </c>
      <c r="AF50" s="138">
        <v>7.5053810924999995</v>
      </c>
      <c r="AG50" s="138">
        <v>7.6022247194999997</v>
      </c>
      <c r="AH50" s="138">
        <v>7.6614069359999997</v>
      </c>
      <c r="AI50" s="138">
        <v>7.7582505629999989</v>
      </c>
      <c r="AJ50" s="138">
        <v>7.9088962049999987</v>
      </c>
      <c r="AK50" s="138">
        <v>8.0057398319999997</v>
      </c>
      <c r="AL50" s="138">
        <v>8.0353309402500006</v>
      </c>
      <c r="AM50" s="138">
        <v>5.6510426800842639</v>
      </c>
      <c r="AN50" s="138">
        <v>5.8927559759107249</v>
      </c>
      <c r="AO50" s="138">
        <v>5.9845458350853198</v>
      </c>
      <c r="AP50" s="139">
        <v>6.0191200153744173</v>
      </c>
      <c r="AQ50" s="140">
        <v>5.7772437945751154E-3</v>
      </c>
      <c r="AR50" s="140">
        <v>-2.1047945324526474E-2</v>
      </c>
      <c r="AS50" s="140">
        <v>3.2003960035308185E-2</v>
      </c>
    </row>
    <row r="51" spans="1:45" ht="12" customHeight="1">
      <c r="A51" s="131" t="s">
        <v>1074</v>
      </c>
      <c r="B51" s="138">
        <v>8.7749999999999995E-2</v>
      </c>
      <c r="C51" s="138">
        <v>8.7749999999999995E-2</v>
      </c>
      <c r="D51" s="138">
        <v>0.100425</v>
      </c>
      <c r="E51" s="138">
        <v>0.1014</v>
      </c>
      <c r="F51" s="138">
        <v>0.1014</v>
      </c>
      <c r="G51" s="138">
        <v>0.12089999999999998</v>
      </c>
      <c r="H51" s="138">
        <v>0.13844999999999999</v>
      </c>
      <c r="I51" s="138">
        <v>0.121875</v>
      </c>
      <c r="J51" s="138">
        <v>0.110175</v>
      </c>
      <c r="K51" s="138">
        <v>0.15307499999999999</v>
      </c>
      <c r="L51" s="138">
        <v>0.17745</v>
      </c>
      <c r="M51" s="138">
        <v>0.19500000000000001</v>
      </c>
      <c r="N51" s="138">
        <v>0.19500000000000001</v>
      </c>
      <c r="O51" s="138">
        <v>0.22132499999999999</v>
      </c>
      <c r="P51" s="138">
        <v>0.229125</v>
      </c>
      <c r="Q51" s="138">
        <v>0.229125</v>
      </c>
      <c r="R51" s="138">
        <v>0.229125</v>
      </c>
      <c r="S51" s="138">
        <v>0.23205000000000001</v>
      </c>
      <c r="T51" s="138">
        <v>0.23205000000000001</v>
      </c>
      <c r="U51" s="138">
        <v>0.23497499999999999</v>
      </c>
      <c r="V51" s="138">
        <v>0.23497499999999999</v>
      </c>
      <c r="W51" s="138">
        <v>0.23497499999999999</v>
      </c>
      <c r="X51" s="138">
        <v>0.24374999999999999</v>
      </c>
      <c r="Y51" s="138">
        <v>0.28275</v>
      </c>
      <c r="Z51" s="138">
        <v>0.28275</v>
      </c>
      <c r="AA51" s="138">
        <v>0.27787499999999998</v>
      </c>
      <c r="AB51" s="138">
        <v>0.27300000000000002</v>
      </c>
      <c r="AC51" s="138">
        <v>0.268125</v>
      </c>
      <c r="AD51" s="138">
        <v>0.26324999999999998</v>
      </c>
      <c r="AE51" s="138">
        <v>0.26861250000000003</v>
      </c>
      <c r="AF51" s="138">
        <v>0.26861250000000003</v>
      </c>
      <c r="AG51" s="138">
        <v>0.27787499999999998</v>
      </c>
      <c r="AH51" s="138">
        <v>0.26861250000000003</v>
      </c>
      <c r="AI51" s="138">
        <v>0.27787499999999998</v>
      </c>
      <c r="AJ51" s="138">
        <v>0.26861250000000003</v>
      </c>
      <c r="AK51" s="138">
        <v>0.26861250000000003</v>
      </c>
      <c r="AL51" s="138">
        <v>0.26861250000000003</v>
      </c>
      <c r="AM51" s="138">
        <v>0.26861250000000003</v>
      </c>
      <c r="AN51" s="138">
        <v>0.26861250000000003</v>
      </c>
      <c r="AO51" s="138">
        <v>0.26861250000000003</v>
      </c>
      <c r="AP51" s="139">
        <v>0.26861250000000003</v>
      </c>
      <c r="AQ51" s="140">
        <v>0</v>
      </c>
      <c r="AR51" s="140">
        <v>0</v>
      </c>
      <c r="AS51" s="140">
        <v>1.4282260019780431E-3</v>
      </c>
    </row>
    <row r="52" spans="1:45" ht="12" customHeight="1">
      <c r="A52" s="131" t="s">
        <v>1075</v>
      </c>
      <c r="B52" s="138">
        <v>2.3107500000000001</v>
      </c>
      <c r="C52" s="138">
        <v>2.4657750000000003</v>
      </c>
      <c r="D52" s="138">
        <v>2.8986750000000003</v>
      </c>
      <c r="E52" s="138">
        <v>2.9727749999999999</v>
      </c>
      <c r="F52" s="138">
        <v>3.0303</v>
      </c>
      <c r="G52" s="138">
        <v>3.0693000000000001</v>
      </c>
      <c r="H52" s="138">
        <v>5.2788449999999996</v>
      </c>
      <c r="I52" s="138">
        <v>5.5419</v>
      </c>
      <c r="J52" s="138">
        <v>5.5214249999999998</v>
      </c>
      <c r="K52" s="138">
        <v>5.50875</v>
      </c>
      <c r="L52" s="138">
        <v>5.4824250000000001</v>
      </c>
      <c r="M52" s="138">
        <v>5.6481750000000002</v>
      </c>
      <c r="N52" s="138">
        <v>5.6501250000000001</v>
      </c>
      <c r="O52" s="138">
        <v>5.6501250000000001</v>
      </c>
      <c r="P52" s="138">
        <v>6.6075749999999998</v>
      </c>
      <c r="Q52" s="138">
        <v>5.7125249999999994</v>
      </c>
      <c r="R52" s="138">
        <v>5.6393999999999993</v>
      </c>
      <c r="S52" s="138">
        <v>5.9114250000000004</v>
      </c>
      <c r="T52" s="138">
        <v>5.8461000000000007</v>
      </c>
      <c r="U52" s="138">
        <v>5.8451250000000003</v>
      </c>
      <c r="V52" s="138">
        <v>5.84415</v>
      </c>
      <c r="W52" s="138">
        <v>5.9065500000000002</v>
      </c>
      <c r="X52" s="138">
        <v>5.9026499999999995</v>
      </c>
      <c r="Y52" s="138">
        <v>5.8958249999999994</v>
      </c>
      <c r="Z52" s="138">
        <v>5.901675</v>
      </c>
      <c r="AA52" s="138">
        <v>5.9085000000000001</v>
      </c>
      <c r="AB52" s="138">
        <v>5.8899750000000006</v>
      </c>
      <c r="AC52" s="138">
        <v>5.9231249999999998</v>
      </c>
      <c r="AD52" s="138">
        <v>5.9377500000000003</v>
      </c>
      <c r="AE52" s="138">
        <v>5.9387250000000007</v>
      </c>
      <c r="AF52" s="138">
        <v>5.9387250000000007</v>
      </c>
      <c r="AG52" s="138">
        <v>5.9387250000000007</v>
      </c>
      <c r="AH52" s="138">
        <v>5.9387250000000007</v>
      </c>
      <c r="AI52" s="138">
        <v>5.9387250000000007</v>
      </c>
      <c r="AJ52" s="138">
        <v>5.9387250000000007</v>
      </c>
      <c r="AK52" s="138">
        <v>5.9387250000000007</v>
      </c>
      <c r="AL52" s="138">
        <v>5.9387250000000007</v>
      </c>
      <c r="AM52" s="138">
        <v>5.9387250000000007</v>
      </c>
      <c r="AN52" s="138">
        <v>5.9387250000000007</v>
      </c>
      <c r="AO52" s="138">
        <v>5.9387250000000007</v>
      </c>
      <c r="AP52" s="139">
        <v>5.9387250000000007</v>
      </c>
      <c r="AQ52" s="140">
        <v>0</v>
      </c>
      <c r="AR52" s="140">
        <v>0</v>
      </c>
      <c r="AS52" s="140">
        <v>3.1576495746091691E-2</v>
      </c>
    </row>
    <row r="53" spans="1:45" ht="12" customHeight="1">
      <c r="A53" s="131" t="s">
        <v>1076</v>
      </c>
      <c r="B53" s="138">
        <v>0</v>
      </c>
      <c r="C53" s="138">
        <v>0</v>
      </c>
      <c r="D53" s="138">
        <v>0</v>
      </c>
      <c r="E53" s="138">
        <v>0</v>
      </c>
      <c r="F53" s="138">
        <v>0</v>
      </c>
      <c r="G53" s="138">
        <v>0</v>
      </c>
      <c r="H53" s="138">
        <v>1.6574999999999996E-2</v>
      </c>
      <c r="I53" s="138">
        <v>0.110175</v>
      </c>
      <c r="J53" s="138">
        <v>0.15209999999999996</v>
      </c>
      <c r="K53" s="138">
        <v>0.19304999999999997</v>
      </c>
      <c r="L53" s="138">
        <v>0.23887499999999995</v>
      </c>
      <c r="M53" s="138">
        <v>0.32468367952572669</v>
      </c>
      <c r="N53" s="138">
        <v>0.32468367952572669</v>
      </c>
      <c r="O53" s="138">
        <v>0.32468367952572669</v>
      </c>
      <c r="P53" s="138">
        <v>0.32468367952572669</v>
      </c>
      <c r="Q53" s="138">
        <v>0.32468367952572669</v>
      </c>
      <c r="R53" s="138">
        <v>0.32468367952572669</v>
      </c>
      <c r="S53" s="138">
        <v>0.32468367952572669</v>
      </c>
      <c r="T53" s="138">
        <v>0.32468367952572669</v>
      </c>
      <c r="U53" s="138">
        <v>0.32468367952572669</v>
      </c>
      <c r="V53" s="138">
        <v>0.32468367952572669</v>
      </c>
      <c r="W53" s="138">
        <v>0.32468367952572669</v>
      </c>
      <c r="X53" s="138">
        <v>0.32468367952572669</v>
      </c>
      <c r="Y53" s="138">
        <v>0.32468367952572669</v>
      </c>
      <c r="Z53" s="138">
        <v>0.32468367952572669</v>
      </c>
      <c r="AA53" s="138">
        <v>0.32468367952572669</v>
      </c>
      <c r="AB53" s="138">
        <v>0.32468367952572669</v>
      </c>
      <c r="AC53" s="138">
        <v>0.32468367952572669</v>
      </c>
      <c r="AD53" s="138">
        <v>0.32468367952572669</v>
      </c>
      <c r="AE53" s="138">
        <v>0.32371187963334852</v>
      </c>
      <c r="AF53" s="138">
        <v>0.31589237963334849</v>
      </c>
      <c r="AG53" s="138">
        <v>0.3041130046333485</v>
      </c>
      <c r="AH53" s="138">
        <v>0.29460178588334857</v>
      </c>
      <c r="AI53" s="138">
        <v>0.28165700463334847</v>
      </c>
      <c r="AJ53" s="138">
        <v>0.26952774460209855</v>
      </c>
      <c r="AK53" s="138">
        <v>0.26693753522709834</v>
      </c>
      <c r="AL53" s="138">
        <v>0.26643515741459833</v>
      </c>
      <c r="AM53" s="138">
        <v>0.26613373824584835</v>
      </c>
      <c r="AN53" s="138">
        <v>0.26603326518959841</v>
      </c>
      <c r="AO53" s="138">
        <v>0.26593279213334842</v>
      </c>
      <c r="AP53" s="139">
        <v>0.26583103001075847</v>
      </c>
      <c r="AQ53" s="140">
        <v>-3.8266105422202212E-4</v>
      </c>
      <c r="AR53" s="140">
        <v>-1.9469006945760814E-2</v>
      </c>
      <c r="AS53" s="140">
        <v>1.4134367879155688E-3</v>
      </c>
    </row>
    <row r="54" spans="1:45" ht="12" customHeight="1">
      <c r="A54" s="131" t="s">
        <v>1077</v>
      </c>
      <c r="B54" s="138">
        <v>0</v>
      </c>
      <c r="C54" s="138">
        <v>0</v>
      </c>
      <c r="D54" s="138">
        <v>0</v>
      </c>
      <c r="E54" s="138">
        <v>0</v>
      </c>
      <c r="F54" s="138">
        <v>0</v>
      </c>
      <c r="G54" s="138">
        <v>0</v>
      </c>
      <c r="H54" s="138">
        <v>0</v>
      </c>
      <c r="I54" s="138">
        <v>2.7300000000000001E-2</v>
      </c>
      <c r="J54" s="138">
        <v>2.7300000000000001E-2</v>
      </c>
      <c r="K54" s="138">
        <v>1.0725E-2</v>
      </c>
      <c r="L54" s="138">
        <v>1.4625000000000001E-2</v>
      </c>
      <c r="M54" s="138">
        <v>4.875E-3</v>
      </c>
      <c r="N54" s="138">
        <v>4.875E-3</v>
      </c>
      <c r="O54" s="138">
        <v>4.875E-3</v>
      </c>
      <c r="P54" s="138">
        <v>4.875E-3</v>
      </c>
      <c r="Q54" s="138">
        <v>4.875E-3</v>
      </c>
      <c r="R54" s="138">
        <v>4.875E-3</v>
      </c>
      <c r="S54" s="138">
        <v>4.875E-3</v>
      </c>
      <c r="T54" s="138">
        <v>4.875E-3</v>
      </c>
      <c r="U54" s="138">
        <v>6.8250000000000003E-3</v>
      </c>
      <c r="V54" s="138">
        <v>6.8250000000000003E-3</v>
      </c>
      <c r="W54" s="138">
        <v>6.8250000000000003E-3</v>
      </c>
      <c r="X54" s="138">
        <v>6.8250000000000003E-3</v>
      </c>
      <c r="Y54" s="138">
        <v>5.8499999999999993E-3</v>
      </c>
      <c r="Z54" s="138">
        <v>5.8499999999999993E-3</v>
      </c>
      <c r="AA54" s="138">
        <v>5.8499999999999993E-3</v>
      </c>
      <c r="AB54" s="138">
        <v>4.875E-3</v>
      </c>
      <c r="AC54" s="138">
        <v>4.875E-3</v>
      </c>
      <c r="AD54" s="138">
        <v>4.875E-3</v>
      </c>
      <c r="AE54" s="138">
        <v>4.6950000000000004E-3</v>
      </c>
      <c r="AF54" s="138">
        <v>4.6950000000000004E-3</v>
      </c>
      <c r="AG54" s="138">
        <v>5.8499999999999993E-3</v>
      </c>
      <c r="AH54" s="138">
        <v>4.6950000000000004E-3</v>
      </c>
      <c r="AI54" s="138">
        <v>5.8499999999999993E-3</v>
      </c>
      <c r="AJ54" s="138">
        <v>4.7196401816250004E-3</v>
      </c>
      <c r="AK54" s="138">
        <v>4.7196401816250004E-3</v>
      </c>
      <c r="AL54" s="138">
        <v>4.7196401816250004E-3</v>
      </c>
      <c r="AM54" s="138">
        <v>4.7196401816250004E-3</v>
      </c>
      <c r="AN54" s="138">
        <v>4.7196401816250004E-3</v>
      </c>
      <c r="AO54" s="138">
        <v>4.7196401816250004E-3</v>
      </c>
      <c r="AP54" s="139">
        <v>4.7196401816250004E-3</v>
      </c>
      <c r="AQ54" s="140">
        <v>0</v>
      </c>
      <c r="AR54" s="140">
        <v>5.2358215379100237E-4</v>
      </c>
      <c r="AS54" s="140">
        <v>2.5094561226216945E-5</v>
      </c>
    </row>
    <row r="55" spans="1:45" s="132" customFormat="1" ht="12" customHeight="1">
      <c r="A55" s="141" t="s">
        <v>1078</v>
      </c>
      <c r="B55" s="142">
        <v>24.030378624828334</v>
      </c>
      <c r="C55" s="142">
        <v>24.320951603375001</v>
      </c>
      <c r="D55" s="142">
        <v>25.190446095330007</v>
      </c>
      <c r="E55" s="142">
        <v>25.684649584603331</v>
      </c>
      <c r="F55" s="142">
        <v>26.724062073876667</v>
      </c>
      <c r="G55" s="142">
        <v>26.987372560468334</v>
      </c>
      <c r="H55" s="142">
        <v>29.641528547060002</v>
      </c>
      <c r="I55" s="142">
        <v>30.371039530970005</v>
      </c>
      <c r="J55" s="142">
        <v>33.380685509516667</v>
      </c>
      <c r="K55" s="142">
        <v>36.670965490745004</v>
      </c>
      <c r="L55" s="142">
        <v>36.811288974655</v>
      </c>
      <c r="M55" s="142">
        <v>41.381469143454062</v>
      </c>
      <c r="N55" s="142">
        <v>42.580939127364061</v>
      </c>
      <c r="O55" s="142">
        <v>43.003099105910728</v>
      </c>
      <c r="P55" s="142">
        <v>44.100536094922774</v>
      </c>
      <c r="Q55" s="142">
        <v>44.025424073730726</v>
      </c>
      <c r="R55" s="142">
        <v>47.684009060322396</v>
      </c>
      <c r="S55" s="142">
        <v>47.902649060322389</v>
      </c>
      <c r="T55" s="142">
        <v>51.5547240603224</v>
      </c>
      <c r="U55" s="142">
        <v>53.77418899596239</v>
      </c>
      <c r="V55" s="142">
        <v>58.250221474509061</v>
      </c>
      <c r="W55" s="142">
        <v>70.375850974509063</v>
      </c>
      <c r="X55" s="142">
        <v>71.213843974509061</v>
      </c>
      <c r="Y55" s="142">
        <v>71.744903926239061</v>
      </c>
      <c r="Z55" s="142">
        <v>71.703806420875736</v>
      </c>
      <c r="AA55" s="142">
        <v>69.788131420875729</v>
      </c>
      <c r="AB55" s="142">
        <v>70.943042045327232</v>
      </c>
      <c r="AC55" s="142">
        <v>72.265681994201145</v>
      </c>
      <c r="AD55" s="142">
        <v>73.720519695895973</v>
      </c>
      <c r="AE55" s="142">
        <v>73.626286564547613</v>
      </c>
      <c r="AF55" s="142">
        <v>77.80989308125109</v>
      </c>
      <c r="AG55" s="142">
        <v>78.417053240751102</v>
      </c>
      <c r="AH55" s="142">
        <v>77.388797066598357</v>
      </c>
      <c r="AI55" s="142">
        <v>77.664013044497551</v>
      </c>
      <c r="AJ55" s="142">
        <v>77.622907884102318</v>
      </c>
      <c r="AK55" s="142">
        <v>76.971819772046743</v>
      </c>
      <c r="AL55" s="142">
        <v>77.606487513971786</v>
      </c>
      <c r="AM55" s="142">
        <v>75.313250025762713</v>
      </c>
      <c r="AN55" s="142">
        <v>75.568500656397333</v>
      </c>
      <c r="AO55" s="142">
        <v>75.763077752568961</v>
      </c>
      <c r="AP55" s="142">
        <v>75.80692082396591</v>
      </c>
      <c r="AQ55" s="143">
        <v>5.7868651455961206E-4</v>
      </c>
      <c r="AR55" s="143">
        <v>2.8649919380756561E-3</v>
      </c>
      <c r="AS55" s="143">
        <v>0.40306916264387876</v>
      </c>
    </row>
    <row r="56" spans="1:45" ht="12" customHeight="1">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9"/>
      <c r="AQ56" s="140"/>
      <c r="AR56" s="140"/>
      <c r="AS56" s="140"/>
    </row>
    <row r="57" spans="1:45" ht="12" customHeight="1">
      <c r="A57" s="131" t="s">
        <v>1079</v>
      </c>
      <c r="B57" s="138">
        <v>3.5814625000000002</v>
      </c>
      <c r="C57" s="138">
        <v>3.5400749999999999</v>
      </c>
      <c r="D57" s="138">
        <v>3.4775125</v>
      </c>
      <c r="E57" s="138">
        <v>3.3985875000000001</v>
      </c>
      <c r="F57" s="138">
        <v>3.3129250000000003</v>
      </c>
      <c r="G57" s="138">
        <v>3.2234124999999998</v>
      </c>
      <c r="H57" s="138">
        <v>3.1367875000000001</v>
      </c>
      <c r="I57" s="138">
        <v>3.0443875</v>
      </c>
      <c r="J57" s="138">
        <v>3.1127249999999997</v>
      </c>
      <c r="K57" s="138">
        <v>3.1281249999999998</v>
      </c>
      <c r="L57" s="138">
        <v>3.17625</v>
      </c>
      <c r="M57" s="138">
        <v>3.4900250000000002</v>
      </c>
      <c r="N57" s="138">
        <v>3.5131250000000001</v>
      </c>
      <c r="O57" s="138">
        <v>3.5612499999999998</v>
      </c>
      <c r="P57" s="138">
        <v>2.8518874999999997</v>
      </c>
      <c r="Q57" s="138">
        <v>3.551625</v>
      </c>
      <c r="R57" s="138">
        <v>3.5612499999999998</v>
      </c>
      <c r="S57" s="138">
        <v>3.9241125000000001</v>
      </c>
      <c r="T57" s="138">
        <v>3.9241125000000001</v>
      </c>
      <c r="U57" s="138">
        <v>4.3505000000000003</v>
      </c>
      <c r="V57" s="138">
        <v>4.3533875000000002</v>
      </c>
      <c r="W57" s="138">
        <v>4.3533875000000002</v>
      </c>
      <c r="X57" s="138">
        <v>4.3533875000000002</v>
      </c>
      <c r="Y57" s="138">
        <v>4.3745624999999997</v>
      </c>
      <c r="Z57" s="138">
        <v>4.3745624999999997</v>
      </c>
      <c r="AA57" s="138">
        <v>4.3352924999999995</v>
      </c>
      <c r="AB57" s="138">
        <v>4.3352924999999995</v>
      </c>
      <c r="AC57" s="138">
        <v>4.3351000000000006</v>
      </c>
      <c r="AD57" s="138">
        <v>4.3351000000000006</v>
      </c>
      <c r="AE57" s="138">
        <v>4.3351000000000006</v>
      </c>
      <c r="AF57" s="138">
        <v>4.3351000000000006</v>
      </c>
      <c r="AG57" s="138">
        <v>4.3351000000000006</v>
      </c>
      <c r="AH57" s="138">
        <v>4.3350117001537498</v>
      </c>
      <c r="AI57" s="138">
        <v>4.3350117001537498</v>
      </c>
      <c r="AJ57" s="138">
        <v>4.3351000000000006</v>
      </c>
      <c r="AK57" s="138">
        <v>4.3351000000000006</v>
      </c>
      <c r="AL57" s="138">
        <v>4.3351000000000006</v>
      </c>
      <c r="AM57" s="138">
        <v>4.3351000000000006</v>
      </c>
      <c r="AN57" s="138">
        <v>4.3351000000000006</v>
      </c>
      <c r="AO57" s="138">
        <v>4.3351000000000006</v>
      </c>
      <c r="AP57" s="139">
        <v>2.2791999999999999</v>
      </c>
      <c r="AQ57" s="140">
        <v>-0.4742451154529308</v>
      </c>
      <c r="AR57" s="140">
        <v>0</v>
      </c>
      <c r="AS57" s="140">
        <v>1.2118619586610285E-2</v>
      </c>
    </row>
    <row r="58" spans="1:45" ht="12" customHeight="1">
      <c r="A58" s="131" t="s">
        <v>1083</v>
      </c>
      <c r="B58" s="138">
        <v>8.0849999999999991E-2</v>
      </c>
      <c r="C58" s="138">
        <v>7.98875E-2</v>
      </c>
      <c r="D58" s="138">
        <v>0.19538749999999999</v>
      </c>
      <c r="E58" s="138">
        <v>0.1925</v>
      </c>
      <c r="F58" s="138">
        <v>0.22618750000000001</v>
      </c>
      <c r="G58" s="138">
        <v>0.2454375</v>
      </c>
      <c r="H58" s="138">
        <v>0.27912500000000001</v>
      </c>
      <c r="I58" s="138">
        <v>0.29548750000000001</v>
      </c>
      <c r="J58" s="138">
        <v>0.31666250000000001</v>
      </c>
      <c r="K58" s="138">
        <v>0.33783749999999996</v>
      </c>
      <c r="L58" s="138">
        <v>0.36478750000000004</v>
      </c>
      <c r="M58" s="138">
        <v>0.38114999999999999</v>
      </c>
      <c r="N58" s="138">
        <v>0.41964999999999997</v>
      </c>
      <c r="O58" s="138">
        <v>0.57268750000000002</v>
      </c>
      <c r="P58" s="138">
        <v>0.60733749999999997</v>
      </c>
      <c r="Q58" s="138">
        <v>0.62081249999999999</v>
      </c>
      <c r="R58" s="138">
        <v>0.81716250000000001</v>
      </c>
      <c r="S58" s="138">
        <v>0.89223749999999991</v>
      </c>
      <c r="T58" s="138">
        <v>0.98175000000000001</v>
      </c>
      <c r="U58" s="138">
        <v>1.1771374999999999</v>
      </c>
      <c r="V58" s="138">
        <v>1.3792625000000001</v>
      </c>
      <c r="W58" s="138">
        <v>1.4986124999999999</v>
      </c>
      <c r="X58" s="138">
        <v>1.5948624999999998</v>
      </c>
      <c r="Y58" s="138">
        <v>1.66012</v>
      </c>
      <c r="Z58" s="138">
        <v>1.7998749999999999</v>
      </c>
      <c r="AA58" s="138">
        <v>1.8239375</v>
      </c>
      <c r="AB58" s="138">
        <v>1.9105624999999999</v>
      </c>
      <c r="AC58" s="138">
        <v>1.992375</v>
      </c>
      <c r="AD58" s="138">
        <v>2.069375</v>
      </c>
      <c r="AE58" s="138">
        <v>2.1078749999999999</v>
      </c>
      <c r="AF58" s="138">
        <v>2.1271249999999999</v>
      </c>
      <c r="AG58" s="138">
        <v>2.1078749999999999</v>
      </c>
      <c r="AH58" s="138">
        <v>2.1030625000000001</v>
      </c>
      <c r="AI58" s="138">
        <v>2.1030625000000001</v>
      </c>
      <c r="AJ58" s="138">
        <v>2.104025</v>
      </c>
      <c r="AK58" s="138">
        <v>2.0077750000000001</v>
      </c>
      <c r="AL58" s="138">
        <v>2.1377125000000001</v>
      </c>
      <c r="AM58" s="138">
        <v>2.1377125000000001</v>
      </c>
      <c r="AN58" s="138">
        <v>2.1377125000000001</v>
      </c>
      <c r="AO58" s="138">
        <v>2.1377125000000001</v>
      </c>
      <c r="AP58" s="139">
        <v>2.1377125000000001</v>
      </c>
      <c r="AQ58" s="140">
        <v>0</v>
      </c>
      <c r="AR58" s="140">
        <v>1.4065884272265183E-3</v>
      </c>
      <c r="AS58" s="140">
        <v>1.1366323522745544E-2</v>
      </c>
    </row>
    <row r="59" spans="1:45" ht="12" customHeight="1">
      <c r="A59" s="131" t="s">
        <v>1086</v>
      </c>
      <c r="B59" s="138">
        <v>0.65075000000000005</v>
      </c>
      <c r="C59" s="138">
        <v>0.63175000000000003</v>
      </c>
      <c r="D59" s="138">
        <v>0.62035000000000007</v>
      </c>
      <c r="E59" s="138">
        <v>0.60799999999999998</v>
      </c>
      <c r="F59" s="138">
        <v>0.59660000000000002</v>
      </c>
      <c r="G59" s="138">
        <v>0.59470000000000001</v>
      </c>
      <c r="H59" s="138">
        <v>0.69159999999999999</v>
      </c>
      <c r="I59" s="138">
        <v>0.69064999999999999</v>
      </c>
      <c r="J59" s="138">
        <v>0.78564999999999996</v>
      </c>
      <c r="K59" s="138">
        <v>1.1571</v>
      </c>
      <c r="L59" s="138">
        <v>1.1476</v>
      </c>
      <c r="M59" s="138">
        <v>1.2435499999999999</v>
      </c>
      <c r="N59" s="138">
        <v>1.2340499999999999</v>
      </c>
      <c r="O59" s="138">
        <v>1.22455</v>
      </c>
      <c r="P59" s="138">
        <v>1.2444999999999999</v>
      </c>
      <c r="Q59" s="138">
        <v>1.24735</v>
      </c>
      <c r="R59" s="138">
        <v>1.2454499999999999</v>
      </c>
      <c r="S59" s="138">
        <v>1.2483</v>
      </c>
      <c r="T59" s="138">
        <v>1.24925</v>
      </c>
      <c r="U59" s="138">
        <v>1.24925</v>
      </c>
      <c r="V59" s="138">
        <v>1.2483</v>
      </c>
      <c r="W59" s="138">
        <v>1.2483</v>
      </c>
      <c r="X59" s="138">
        <v>1.4278499999999998</v>
      </c>
      <c r="Y59" s="138">
        <v>1.41645</v>
      </c>
      <c r="Z59" s="138">
        <v>1.41645</v>
      </c>
      <c r="AA59" s="138">
        <v>1.41645</v>
      </c>
      <c r="AB59" s="138">
        <v>1.349</v>
      </c>
      <c r="AC59" s="138">
        <v>1.4630000000000001</v>
      </c>
      <c r="AD59" s="138">
        <v>1.4630000000000001</v>
      </c>
      <c r="AE59" s="138">
        <v>1.4715499999999999</v>
      </c>
      <c r="AF59" s="138">
        <v>1.42025</v>
      </c>
      <c r="AG59" s="138">
        <v>1.4696500000000001</v>
      </c>
      <c r="AH59" s="138">
        <v>1.4715499999999999</v>
      </c>
      <c r="AI59" s="138">
        <v>1.4307000000000001</v>
      </c>
      <c r="AJ59" s="138">
        <v>1.4296550000000001</v>
      </c>
      <c r="AK59" s="138">
        <v>1.4296544888133671</v>
      </c>
      <c r="AL59" s="138">
        <v>1.4296544888133671</v>
      </c>
      <c r="AM59" s="138">
        <v>1.4296544888133671</v>
      </c>
      <c r="AN59" s="138">
        <v>1.4296544888133671</v>
      </c>
      <c r="AO59" s="138">
        <v>1.4296544888133671</v>
      </c>
      <c r="AP59" s="139">
        <v>1.4296544888133671</v>
      </c>
      <c r="AQ59" s="140">
        <v>0</v>
      </c>
      <c r="AR59" s="140">
        <v>-2.8841795578279372E-3</v>
      </c>
      <c r="AS59" s="140">
        <v>7.6015439146274949E-3</v>
      </c>
    </row>
    <row r="60" spans="1:45" ht="12" customHeight="1">
      <c r="A60" s="131" t="s">
        <v>239</v>
      </c>
      <c r="B60" s="138">
        <v>1.103083</v>
      </c>
      <c r="C60" s="138">
        <v>1.0896309999999998</v>
      </c>
      <c r="D60" s="138">
        <v>1.3157595</v>
      </c>
      <c r="E60" s="138">
        <v>1.3015000000000001</v>
      </c>
      <c r="F60" s="138">
        <v>1.28725</v>
      </c>
      <c r="G60" s="138">
        <v>1.2729999999999999</v>
      </c>
      <c r="H60" s="138">
        <v>2.2799999999999998</v>
      </c>
      <c r="I60" s="138">
        <v>2.2866500000000003</v>
      </c>
      <c r="J60" s="138">
        <v>2.3521999999999998</v>
      </c>
      <c r="K60" s="138">
        <v>2.6903999999999999</v>
      </c>
      <c r="L60" s="138">
        <v>2.698</v>
      </c>
      <c r="M60" s="138">
        <v>3.23</v>
      </c>
      <c r="N60" s="138">
        <v>3.5303900000000001</v>
      </c>
      <c r="O60" s="138">
        <v>3.49885</v>
      </c>
      <c r="P60" s="138">
        <v>3.2774999999999999</v>
      </c>
      <c r="Q60" s="138">
        <v>3.3003</v>
      </c>
      <c r="R60" s="138">
        <v>3.30125</v>
      </c>
      <c r="S60" s="138">
        <v>3.3088500000000001</v>
      </c>
      <c r="T60" s="138">
        <v>3.3364000000000003</v>
      </c>
      <c r="U60" s="138">
        <v>3.3364000000000003</v>
      </c>
      <c r="V60" s="138">
        <v>3.9006999999999996</v>
      </c>
      <c r="W60" s="138">
        <v>4.4010650000000009</v>
      </c>
      <c r="X60" s="138">
        <v>4.7474349999999994</v>
      </c>
      <c r="Y60" s="138">
        <v>4.9286250000000003</v>
      </c>
      <c r="Z60" s="138">
        <v>4.9674550000000002</v>
      </c>
      <c r="AA60" s="138">
        <v>4.8942100000000002</v>
      </c>
      <c r="AB60" s="138">
        <v>4.94665</v>
      </c>
      <c r="AC60" s="138">
        <v>5.0273999999999992</v>
      </c>
      <c r="AD60" s="138">
        <v>5.0273999999999992</v>
      </c>
      <c r="AE60" s="138">
        <v>5.0273999999999992</v>
      </c>
      <c r="AF60" s="138">
        <v>4.9186915887850464</v>
      </c>
      <c r="AG60" s="138">
        <v>4.9168082696120079</v>
      </c>
      <c r="AH60" s="138">
        <v>4.8624610591900321</v>
      </c>
      <c r="AI60" s="138">
        <v>4.8516992353440935</v>
      </c>
      <c r="AJ60" s="138">
        <v>5.0577881619937699</v>
      </c>
      <c r="AK60" s="138">
        <v>5.0200639660152904</v>
      </c>
      <c r="AL60" s="138">
        <v>5.2014440818266001</v>
      </c>
      <c r="AM60" s="138">
        <v>5.3455265000000001</v>
      </c>
      <c r="AN60" s="138">
        <v>5.3912474919362454</v>
      </c>
      <c r="AO60" s="138">
        <v>5.4729794499999995</v>
      </c>
      <c r="AP60" s="139">
        <v>5.4729794499999995</v>
      </c>
      <c r="AQ60" s="140">
        <v>0</v>
      </c>
      <c r="AR60" s="140">
        <v>8.5281800390701878E-3</v>
      </c>
      <c r="AS60" s="140">
        <v>2.9100103527503328E-2</v>
      </c>
    </row>
    <row r="61" spans="1:45" ht="12" customHeight="1">
      <c r="A61" s="131" t="s">
        <v>1090</v>
      </c>
      <c r="B61" s="138">
        <v>0.32954999999999995</v>
      </c>
      <c r="C61" s="138">
        <v>0.33149999999999996</v>
      </c>
      <c r="D61" s="138">
        <v>0.42119999999999996</v>
      </c>
      <c r="E61" s="138">
        <v>0.53234999999999988</v>
      </c>
      <c r="F61" s="138">
        <v>0.54112500000000008</v>
      </c>
      <c r="G61" s="138">
        <v>0.57720000000000005</v>
      </c>
      <c r="H61" s="138">
        <v>0.7056</v>
      </c>
      <c r="I61" s="138">
        <v>0.75743749999999999</v>
      </c>
      <c r="J61" s="138">
        <v>0.78473749999999998</v>
      </c>
      <c r="K61" s="138">
        <v>0.7905875</v>
      </c>
      <c r="L61" s="138">
        <v>0.79253750000000001</v>
      </c>
      <c r="M61" s="138">
        <v>0.73598749999999991</v>
      </c>
      <c r="N61" s="138">
        <v>0.75248749999999998</v>
      </c>
      <c r="O61" s="138">
        <v>0.70861249999999987</v>
      </c>
      <c r="P61" s="138">
        <v>0.73786249999999987</v>
      </c>
      <c r="Q61" s="138">
        <v>0.76613749999999992</v>
      </c>
      <c r="R61" s="138">
        <v>0.79137875000000002</v>
      </c>
      <c r="S61" s="138">
        <v>0.77870375000000003</v>
      </c>
      <c r="T61" s="138">
        <v>0.80307874999999984</v>
      </c>
      <c r="U61" s="138">
        <v>0.82901874999999992</v>
      </c>
      <c r="V61" s="138">
        <v>1.0434360304999999</v>
      </c>
      <c r="W61" s="138">
        <v>1.0454140139999999</v>
      </c>
      <c r="X61" s="138">
        <v>1.0288063974999999</v>
      </c>
      <c r="Y61" s="138">
        <v>0.98662807656171581</v>
      </c>
      <c r="Z61" s="138">
        <v>1.0234150880617157</v>
      </c>
      <c r="AA61" s="138">
        <v>1.1084650800230678</v>
      </c>
      <c r="AB61" s="138">
        <v>1.1080283322857143</v>
      </c>
      <c r="AC61" s="138">
        <v>1.1057700654621696</v>
      </c>
      <c r="AD61" s="138">
        <v>1.1328825268609515</v>
      </c>
      <c r="AE61" s="138">
        <v>1.2064357327144422</v>
      </c>
      <c r="AF61" s="138">
        <v>1.2086778747857205</v>
      </c>
      <c r="AG61" s="138">
        <v>1.265417603711569</v>
      </c>
      <c r="AH61" s="138">
        <v>1.2605053766123442</v>
      </c>
      <c r="AI61" s="138">
        <v>1.2469127105330287</v>
      </c>
      <c r="AJ61" s="138">
        <v>1.21060961937695</v>
      </c>
      <c r="AK61" s="138">
        <v>1.1927120680160954</v>
      </c>
      <c r="AL61" s="138">
        <v>1.3150926327745993</v>
      </c>
      <c r="AM61" s="138">
        <v>1.2882507611637166</v>
      </c>
      <c r="AN61" s="138">
        <v>1.3027385754386807</v>
      </c>
      <c r="AO61" s="138">
        <v>1.5710558106298358</v>
      </c>
      <c r="AP61" s="139">
        <v>1.5690112490795358</v>
      </c>
      <c r="AQ61" s="140">
        <v>-1.3013933282741696E-3</v>
      </c>
      <c r="AR61" s="140">
        <v>2.6759529158589812E-2</v>
      </c>
      <c r="AS61" s="140">
        <v>8.3425107295134835E-3</v>
      </c>
    </row>
    <row r="62" spans="1:45" s="132" customFormat="1" ht="12" customHeight="1">
      <c r="A62" s="141" t="s">
        <v>1091</v>
      </c>
      <c r="B62" s="142">
        <v>5.745695500000001</v>
      </c>
      <c r="C62" s="142">
        <v>5.6728434999999999</v>
      </c>
      <c r="D62" s="142">
        <v>6.0302094999999998</v>
      </c>
      <c r="E62" s="142">
        <v>6.0329374999999992</v>
      </c>
      <c r="F62" s="142">
        <v>5.9640874999999998</v>
      </c>
      <c r="G62" s="142">
        <v>5.9137499999999985</v>
      </c>
      <c r="H62" s="142">
        <v>7.093112500000001</v>
      </c>
      <c r="I62" s="142">
        <v>7.0746125000000006</v>
      </c>
      <c r="J62" s="142">
        <v>7.3519749999999995</v>
      </c>
      <c r="K62" s="142">
        <v>8.1040499999999991</v>
      </c>
      <c r="L62" s="142">
        <v>8.1791750000000008</v>
      </c>
      <c r="M62" s="142">
        <v>9.0807124999999989</v>
      </c>
      <c r="N62" s="142">
        <v>9.449702499999999</v>
      </c>
      <c r="O62" s="142">
        <v>9.5659499999999991</v>
      </c>
      <c r="P62" s="142">
        <v>8.7190874999999988</v>
      </c>
      <c r="Q62" s="142">
        <v>9.4862249999999975</v>
      </c>
      <c r="R62" s="142">
        <v>9.7164912499999971</v>
      </c>
      <c r="S62" s="142">
        <v>10.152203749999998</v>
      </c>
      <c r="T62" s="142">
        <v>10.294591249999996</v>
      </c>
      <c r="U62" s="142">
        <v>10.942306249999998</v>
      </c>
      <c r="V62" s="142">
        <v>11.925086030499997</v>
      </c>
      <c r="W62" s="142">
        <v>12.546779013999998</v>
      </c>
      <c r="X62" s="142">
        <v>13.152341397499997</v>
      </c>
      <c r="Y62" s="142">
        <v>13.366385576561717</v>
      </c>
      <c r="Z62" s="142">
        <v>13.581757588061716</v>
      </c>
      <c r="AA62" s="142">
        <v>13.578355080023067</v>
      </c>
      <c r="AB62" s="142">
        <v>13.649533332285714</v>
      </c>
      <c r="AC62" s="142">
        <v>13.923645065462171</v>
      </c>
      <c r="AD62" s="142">
        <v>14.027757526860952</v>
      </c>
      <c r="AE62" s="142">
        <v>14.148360732714446</v>
      </c>
      <c r="AF62" s="142">
        <v>14.009844463570767</v>
      </c>
      <c r="AG62" s="142">
        <v>14.094850873323576</v>
      </c>
      <c r="AH62" s="142">
        <v>14.032590635956128</v>
      </c>
      <c r="AI62" s="142">
        <v>13.967386146030872</v>
      </c>
      <c r="AJ62" s="142">
        <v>14.137177781370722</v>
      </c>
      <c r="AK62" s="142">
        <v>13.985305522844756</v>
      </c>
      <c r="AL62" s="142">
        <v>14.419003703414569</v>
      </c>
      <c r="AM62" s="142">
        <v>14.536244249977088</v>
      </c>
      <c r="AN62" s="142">
        <v>14.596453056188295</v>
      </c>
      <c r="AO62" s="142">
        <v>14.946502249443204</v>
      </c>
      <c r="AP62" s="142">
        <v>12.888557687892904</v>
      </c>
      <c r="AQ62" s="143">
        <v>-0.13768736840266182</v>
      </c>
      <c r="AR62" s="143">
        <v>5.5029399665744716E-3</v>
      </c>
      <c r="AS62" s="143">
        <v>6.8529101281000149E-2</v>
      </c>
    </row>
    <row r="63" spans="1:45" ht="12" customHeight="1">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9"/>
      <c r="AQ63" s="140"/>
      <c r="AR63" s="140"/>
      <c r="AS63" s="140"/>
    </row>
    <row r="64" spans="1:45" ht="12" customHeight="1">
      <c r="A64" s="131" t="s">
        <v>1092</v>
      </c>
      <c r="B64" s="138">
        <v>0.14133599999999999</v>
      </c>
      <c r="C64" s="138">
        <v>0.35638199999999992</v>
      </c>
      <c r="D64" s="138">
        <v>0.49998000000000004</v>
      </c>
      <c r="E64" s="138">
        <v>0.49062</v>
      </c>
      <c r="F64" s="138">
        <v>0.53742000000000001</v>
      </c>
      <c r="G64" s="138">
        <v>0.55301999999999996</v>
      </c>
      <c r="H64" s="138">
        <v>0.70355999999999996</v>
      </c>
      <c r="I64" s="138">
        <v>0.83381999999999989</v>
      </c>
      <c r="J64" s="138">
        <v>0.80574000000000001</v>
      </c>
      <c r="K64" s="138">
        <v>0.74490000000000001</v>
      </c>
      <c r="L64" s="138">
        <v>0.72305999999999993</v>
      </c>
      <c r="M64" s="138">
        <v>0.74099999999999999</v>
      </c>
      <c r="N64" s="138">
        <v>0.78468000000000004</v>
      </c>
      <c r="O64" s="138">
        <v>0.77376</v>
      </c>
      <c r="P64" s="138">
        <v>1.00776</v>
      </c>
      <c r="Q64" s="138">
        <v>0.9859199999999998</v>
      </c>
      <c r="R64" s="138">
        <v>1.0608</v>
      </c>
      <c r="S64" s="138">
        <v>1.1653199999999999</v>
      </c>
      <c r="T64" s="138">
        <v>1.5514199999999998</v>
      </c>
      <c r="U64" s="138">
        <v>1.5514199999999998</v>
      </c>
      <c r="V64" s="138">
        <v>1.7183399999999998</v>
      </c>
      <c r="W64" s="138">
        <v>2.0802599999999996</v>
      </c>
      <c r="X64" s="138">
        <v>1.9718399999999996</v>
      </c>
      <c r="Y64" s="138">
        <v>1.8576643800000001</v>
      </c>
      <c r="Z64" s="138">
        <v>1.8116443800000002</v>
      </c>
      <c r="AA64" s="138">
        <v>1.83582438</v>
      </c>
      <c r="AB64" s="138">
        <v>1.8519836399999998</v>
      </c>
      <c r="AC64" s="138">
        <v>1.7882837700000001</v>
      </c>
      <c r="AD64" s="138">
        <v>2.7432639000000001</v>
      </c>
      <c r="AE64" s="138">
        <v>2.7534428999999996</v>
      </c>
      <c r="AF64" s="138">
        <v>2.8596648599999996</v>
      </c>
      <c r="AG64" s="138">
        <v>2.8148239471824903</v>
      </c>
      <c r="AH64" s="138">
        <v>2.8194356299139902</v>
      </c>
      <c r="AI64" s="138">
        <v>2.8203782687931658</v>
      </c>
      <c r="AJ64" s="138">
        <v>2.3861091168224222</v>
      </c>
      <c r="AK64" s="138">
        <v>2.3895955044697197</v>
      </c>
      <c r="AL64" s="138">
        <v>2.3895955044697197</v>
      </c>
      <c r="AM64" s="138">
        <v>2.3895955044697197</v>
      </c>
      <c r="AN64" s="138">
        <v>2.3895955044697197</v>
      </c>
      <c r="AO64" s="138">
        <v>2.3895955044697197</v>
      </c>
      <c r="AP64" s="139">
        <v>2.3895955044697197</v>
      </c>
      <c r="AQ64" s="140">
        <v>0</v>
      </c>
      <c r="AR64" s="140">
        <v>-1.4072837254869741E-2</v>
      </c>
      <c r="AS64" s="140">
        <v>1.2705597966191046E-2</v>
      </c>
    </row>
    <row r="65" spans="1:45" ht="12" customHeight="1">
      <c r="A65" s="131" t="s">
        <v>1136</v>
      </c>
      <c r="B65" s="138">
        <v>0.27885000000000004</v>
      </c>
      <c r="C65" s="138">
        <v>0.30907499999999999</v>
      </c>
      <c r="D65" s="138">
        <v>0.33052500000000001</v>
      </c>
      <c r="E65" s="138">
        <v>0.30322500000000002</v>
      </c>
      <c r="F65" s="138">
        <v>0.34417500000000001</v>
      </c>
      <c r="G65" s="138">
        <v>0.34417500000000001</v>
      </c>
      <c r="H65" s="138">
        <v>0.34514999999999996</v>
      </c>
      <c r="I65" s="138">
        <v>0.34514999999999996</v>
      </c>
      <c r="J65" s="138">
        <v>0.34125</v>
      </c>
      <c r="K65" s="138">
        <v>0.70687500000000014</v>
      </c>
      <c r="L65" s="138">
        <v>0.70687500000000014</v>
      </c>
      <c r="M65" s="138">
        <v>0.70200000000000007</v>
      </c>
      <c r="N65" s="138">
        <v>0.29542499999999999</v>
      </c>
      <c r="O65" s="138">
        <v>0.28957500000000003</v>
      </c>
      <c r="P65" s="138">
        <v>0.29347500000000004</v>
      </c>
      <c r="Q65" s="138">
        <v>0.26519999999999999</v>
      </c>
      <c r="R65" s="138">
        <v>0.29249999999999998</v>
      </c>
      <c r="S65" s="138">
        <v>0.28957500000000003</v>
      </c>
      <c r="T65" s="138">
        <v>0.28957500000000003</v>
      </c>
      <c r="U65" s="138">
        <v>0.31492500000000001</v>
      </c>
      <c r="V65" s="138">
        <v>0.29835</v>
      </c>
      <c r="W65" s="138">
        <v>0.33150000000000002</v>
      </c>
      <c r="X65" s="138">
        <v>0.33150000000000002</v>
      </c>
      <c r="Y65" s="138">
        <v>0.42217500000000002</v>
      </c>
      <c r="Z65" s="138">
        <v>0.41144999999999998</v>
      </c>
      <c r="AA65" s="138">
        <v>0.39682500000000004</v>
      </c>
      <c r="AB65" s="138">
        <v>0.37342500000000006</v>
      </c>
      <c r="AC65" s="138">
        <v>0.36465000000000003</v>
      </c>
      <c r="AD65" s="138">
        <v>0.33539999999999998</v>
      </c>
      <c r="AE65" s="138">
        <v>0.35489999999999999</v>
      </c>
      <c r="AF65" s="138">
        <v>0.34514999999999996</v>
      </c>
      <c r="AG65" s="138">
        <v>0.34027499999999999</v>
      </c>
      <c r="AH65" s="138">
        <v>0.26537590108981873</v>
      </c>
      <c r="AI65" s="138">
        <v>0.24371528772215623</v>
      </c>
      <c r="AJ65" s="138">
        <v>0.2234474032256813</v>
      </c>
      <c r="AK65" s="138">
        <v>0.19767565046604371</v>
      </c>
      <c r="AL65" s="138">
        <v>0.17789072400474371</v>
      </c>
      <c r="AM65" s="138">
        <v>0.16236247846520621</v>
      </c>
      <c r="AN65" s="138">
        <v>0.12042144331573119</v>
      </c>
      <c r="AO65" s="138">
        <v>0.11022726758793749</v>
      </c>
      <c r="AP65" s="139">
        <v>0.11022726758793749</v>
      </c>
      <c r="AQ65" s="140">
        <v>0</v>
      </c>
      <c r="AR65" s="140">
        <v>-0.11035180029135305</v>
      </c>
      <c r="AS65" s="140">
        <v>5.8608385572556706E-4</v>
      </c>
    </row>
    <row r="66" spans="1:45" ht="12" customHeight="1">
      <c r="A66" s="131" t="s">
        <v>1093</v>
      </c>
      <c r="B66" s="138">
        <v>0.20182499999999998</v>
      </c>
      <c r="C66" s="138">
        <v>0.20669999999999999</v>
      </c>
      <c r="D66" s="138">
        <v>0.215475</v>
      </c>
      <c r="E66" s="138">
        <v>0.21255000000000002</v>
      </c>
      <c r="F66" s="138">
        <v>0.23205000000000001</v>
      </c>
      <c r="G66" s="138">
        <v>0.23205000000000001</v>
      </c>
      <c r="H66" s="138">
        <v>0.33150000000000002</v>
      </c>
      <c r="I66" s="138">
        <v>0.32272500000000004</v>
      </c>
      <c r="J66" s="138">
        <v>0.31395000000000001</v>
      </c>
      <c r="K66" s="138">
        <v>0.30907499999999999</v>
      </c>
      <c r="L66" s="138">
        <v>0.32272500000000004</v>
      </c>
      <c r="M66" s="138">
        <v>0.3861</v>
      </c>
      <c r="N66" s="138">
        <v>0.39</v>
      </c>
      <c r="O66" s="138">
        <v>0.39</v>
      </c>
      <c r="P66" s="138">
        <v>0.39</v>
      </c>
      <c r="Q66" s="138">
        <v>0.39</v>
      </c>
      <c r="R66" s="138">
        <v>0.39</v>
      </c>
      <c r="S66" s="138">
        <v>0.38122500000000004</v>
      </c>
      <c r="T66" s="138">
        <v>0.37245</v>
      </c>
      <c r="U66" s="138">
        <v>0.36464999999999997</v>
      </c>
      <c r="V66" s="138">
        <v>0.35685</v>
      </c>
      <c r="W66" s="138">
        <v>0.34710000000000002</v>
      </c>
      <c r="X66" s="138">
        <v>0.34125</v>
      </c>
      <c r="Y66" s="138">
        <v>0.33637499999999998</v>
      </c>
      <c r="Z66" s="138">
        <v>0.33637499999999998</v>
      </c>
      <c r="AA66" s="138">
        <v>0.32467499999999999</v>
      </c>
      <c r="AB66" s="138">
        <v>0.312975</v>
      </c>
      <c r="AC66" s="138">
        <v>0.312975</v>
      </c>
      <c r="AD66" s="138">
        <v>0.312975</v>
      </c>
      <c r="AE66" s="138">
        <v>0.30127499999999996</v>
      </c>
      <c r="AF66" s="138">
        <v>0.29370661125000003</v>
      </c>
      <c r="AG66" s="138">
        <v>0.28079999999999999</v>
      </c>
      <c r="AH66" s="138">
        <v>0.26910000000000001</v>
      </c>
      <c r="AI66" s="138">
        <v>0.26324999999999998</v>
      </c>
      <c r="AJ66" s="138">
        <v>0.25642500000000001</v>
      </c>
      <c r="AK66" s="138">
        <v>0.25155</v>
      </c>
      <c r="AL66" s="138">
        <v>0.2457</v>
      </c>
      <c r="AM66" s="138">
        <v>0.23400000000000001</v>
      </c>
      <c r="AN66" s="138">
        <v>0.2223</v>
      </c>
      <c r="AO66" s="138">
        <v>0.2223</v>
      </c>
      <c r="AP66" s="139">
        <v>0.2223</v>
      </c>
      <c r="AQ66" s="140">
        <v>0</v>
      </c>
      <c r="AR66" s="140">
        <v>-2.9942144865032438E-2</v>
      </c>
      <c r="AS66" s="140">
        <v>1.1819801395680355E-3</v>
      </c>
    </row>
    <row r="67" spans="1:45" ht="12" customHeight="1">
      <c r="A67" s="131" t="s">
        <v>203</v>
      </c>
      <c r="B67" s="138">
        <v>0.70832841691248771</v>
      </c>
      <c r="C67" s="138">
        <v>0.70490167158308759</v>
      </c>
      <c r="D67" s="138">
        <v>0.86585791543756152</v>
      </c>
      <c r="E67" s="138">
        <v>0.87996804326450362</v>
      </c>
      <c r="F67" s="138">
        <v>0.89679941002949848</v>
      </c>
      <c r="G67" s="138">
        <v>0.87885939036381511</v>
      </c>
      <c r="H67" s="138">
        <v>0.87180432645034422</v>
      </c>
      <c r="I67" s="138">
        <v>0.90103244837758123</v>
      </c>
      <c r="J67" s="138">
        <v>0.92935349065880057</v>
      </c>
      <c r="K67" s="138">
        <v>1.0308456243854476</v>
      </c>
      <c r="L67" s="138">
        <v>1.0068584070796462</v>
      </c>
      <c r="M67" s="138">
        <v>1.0096804326450344</v>
      </c>
      <c r="N67" s="138">
        <v>1.4099041297935104</v>
      </c>
      <c r="O67" s="138">
        <v>1.6838421828908554</v>
      </c>
      <c r="P67" s="138">
        <v>1.6828343166175026</v>
      </c>
      <c r="Q67" s="138">
        <v>1.6828343166175026</v>
      </c>
      <c r="R67" s="138">
        <v>1.1796066863323504</v>
      </c>
      <c r="S67" s="138">
        <v>1.1694272369714847</v>
      </c>
      <c r="T67" s="138">
        <v>1.3776524090462146</v>
      </c>
      <c r="U67" s="138">
        <v>1.3776524090462146</v>
      </c>
      <c r="V67" s="138">
        <v>1.3776524090462146</v>
      </c>
      <c r="W67" s="138">
        <v>1.3784587020648966</v>
      </c>
      <c r="X67" s="138">
        <v>1.2779655653883975</v>
      </c>
      <c r="Y67" s="138">
        <v>1.3466254473942967</v>
      </c>
      <c r="Z67" s="138">
        <v>1.4595488003933137</v>
      </c>
      <c r="AA67" s="138">
        <v>1.5466421533923305</v>
      </c>
      <c r="AB67" s="138">
        <v>1.696748515240905</v>
      </c>
      <c r="AC67" s="138">
        <v>2.272839233038348</v>
      </c>
      <c r="AD67" s="138">
        <v>2.7106009095378569</v>
      </c>
      <c r="AE67" s="138">
        <v>2.868212045231072</v>
      </c>
      <c r="AF67" s="138">
        <v>2.7470937315634218</v>
      </c>
      <c r="AG67" s="138">
        <v>2.9289974680432649</v>
      </c>
      <c r="AH67" s="138">
        <v>3.1398622418879047</v>
      </c>
      <c r="AI67" s="138">
        <v>3.3745167366696043</v>
      </c>
      <c r="AJ67" s="138">
        <v>3.5764380339351947</v>
      </c>
      <c r="AK67" s="138">
        <v>4.6794021632251717</v>
      </c>
      <c r="AL67" s="138">
        <v>5.4793113569321523</v>
      </c>
      <c r="AM67" s="138">
        <v>6.0702979351032456</v>
      </c>
      <c r="AN67" s="138">
        <v>6.3639276794493611</v>
      </c>
      <c r="AO67" s="138">
        <v>8.398549655850541</v>
      </c>
      <c r="AP67" s="139">
        <v>8.398549655850541</v>
      </c>
      <c r="AQ67" s="140">
        <v>0</v>
      </c>
      <c r="AR67" s="140">
        <v>0.11342073263279451</v>
      </c>
      <c r="AS67" s="140">
        <v>4.4655505597801619E-2</v>
      </c>
    </row>
    <row r="68" spans="1:45" ht="12" customHeight="1">
      <c r="A68" s="131" t="s">
        <v>224</v>
      </c>
      <c r="B68" s="138">
        <v>0.33442500000000008</v>
      </c>
      <c r="C68" s="138">
        <v>0.400725</v>
      </c>
      <c r="D68" s="138">
        <v>0.40950000000000003</v>
      </c>
      <c r="E68" s="138">
        <v>0.45045000000000013</v>
      </c>
      <c r="F68" s="138">
        <v>0.46605000000000002</v>
      </c>
      <c r="G68" s="138">
        <v>0.46800000000000014</v>
      </c>
      <c r="H68" s="138">
        <v>0.52747500000000003</v>
      </c>
      <c r="I68" s="138">
        <v>0.53820000000000001</v>
      </c>
      <c r="J68" s="138">
        <v>0.58499999999999996</v>
      </c>
      <c r="K68" s="138">
        <v>0.66885000000000017</v>
      </c>
      <c r="L68" s="138">
        <v>0.6825</v>
      </c>
      <c r="M68" s="138">
        <v>0.7117500000000001</v>
      </c>
      <c r="N68" s="138">
        <v>0.71662500000000007</v>
      </c>
      <c r="O68" s="138">
        <v>0.70004999999999995</v>
      </c>
      <c r="P68" s="138">
        <v>0.68445</v>
      </c>
      <c r="Q68" s="138">
        <v>0.65075587500000009</v>
      </c>
      <c r="R68" s="138">
        <v>0.61726087499999993</v>
      </c>
      <c r="S68" s="138">
        <v>0.66630025000000004</v>
      </c>
      <c r="T68" s="138">
        <v>0.64945649999999999</v>
      </c>
      <c r="U68" s="138">
        <v>0.62366150000000009</v>
      </c>
      <c r="V68" s="138">
        <v>0.7313171249999999</v>
      </c>
      <c r="W68" s="138">
        <v>0.73433937500000002</v>
      </c>
      <c r="X68" s="138">
        <v>0.72255837500000009</v>
      </c>
      <c r="Y68" s="138">
        <v>0.82197500000000001</v>
      </c>
      <c r="Z68" s="138">
        <v>0.8883875</v>
      </c>
      <c r="AA68" s="138">
        <v>1.0734750000000002</v>
      </c>
      <c r="AB68" s="138">
        <v>1.0481250000000002</v>
      </c>
      <c r="AC68" s="138">
        <v>1.0154375</v>
      </c>
      <c r="AD68" s="138">
        <v>1.0491250000000001</v>
      </c>
      <c r="AE68" s="138">
        <v>1.0734377500000001</v>
      </c>
      <c r="AF68" s="138">
        <v>1.1054986249999998</v>
      </c>
      <c r="AG68" s="138">
        <v>1.2301327499999999</v>
      </c>
      <c r="AH68" s="138">
        <v>1.280356</v>
      </c>
      <c r="AI68" s="138">
        <v>1.3039565</v>
      </c>
      <c r="AJ68" s="138">
        <v>1.3736309124999999</v>
      </c>
      <c r="AK68" s="138">
        <v>1.2049441250000001</v>
      </c>
      <c r="AL68" s="138">
        <v>1.1813724999999999</v>
      </c>
      <c r="AM68" s="138">
        <v>1.2413314375</v>
      </c>
      <c r="AN68" s="138">
        <v>1.2893361249999999</v>
      </c>
      <c r="AO68" s="138">
        <v>1.3288660897833995</v>
      </c>
      <c r="AP68" s="139">
        <v>1.3204431160449042</v>
      </c>
      <c r="AQ68" s="140">
        <v>-6.3384669104380453E-3</v>
      </c>
      <c r="AR68" s="140">
        <v>2.1575421457242783E-2</v>
      </c>
      <c r="AS68" s="140">
        <v>7.0208616221070965E-3</v>
      </c>
    </row>
    <row r="69" spans="1:45" ht="12" customHeight="1">
      <c r="A69" s="131" t="s">
        <v>1094</v>
      </c>
      <c r="B69" s="138">
        <v>0.83433000000000013</v>
      </c>
      <c r="C69" s="138">
        <v>0.87662505000000002</v>
      </c>
      <c r="D69" s="138">
        <v>0.97439999999999993</v>
      </c>
      <c r="E69" s="138">
        <v>1.2071395</v>
      </c>
      <c r="F69" s="138">
        <v>1.7245053000000001</v>
      </c>
      <c r="G69" s="138">
        <v>2.0119330000000004</v>
      </c>
      <c r="H69" s="138">
        <v>2.298975</v>
      </c>
      <c r="I69" s="138">
        <v>2.4025050000000001</v>
      </c>
      <c r="J69" s="138">
        <v>2.5990090000000001</v>
      </c>
      <c r="K69" s="138">
        <v>2.5909904999999998</v>
      </c>
      <c r="L69" s="138">
        <v>2.9065540000000003</v>
      </c>
      <c r="M69" s="138">
        <v>1.8675999999999999</v>
      </c>
      <c r="N69" s="138">
        <v>1.8472999999999999</v>
      </c>
      <c r="O69" s="138">
        <v>1.8472999999999999</v>
      </c>
      <c r="P69" s="138">
        <v>1.8472999999999999</v>
      </c>
      <c r="Q69" s="138">
        <v>1.97925</v>
      </c>
      <c r="R69" s="138">
        <v>2.0807500000000001</v>
      </c>
      <c r="S69" s="138">
        <v>2.1842799999999998</v>
      </c>
      <c r="T69" s="138">
        <v>2.2137150000000001</v>
      </c>
      <c r="U69" s="138">
        <v>2.6593</v>
      </c>
      <c r="V69" s="138">
        <v>2.7222300000000001</v>
      </c>
      <c r="W69" s="138">
        <v>2.642045</v>
      </c>
      <c r="X69" s="138">
        <v>2.5953550000000001</v>
      </c>
      <c r="Y69" s="138">
        <v>2.5953550000000001</v>
      </c>
      <c r="Z69" s="138">
        <v>2.8105350000000002</v>
      </c>
      <c r="AA69" s="138">
        <v>2.5151699999999999</v>
      </c>
      <c r="AB69" s="138">
        <v>2.6714799999999999</v>
      </c>
      <c r="AC69" s="138">
        <v>3.0468973075274999</v>
      </c>
      <c r="AD69" s="138">
        <v>3.2325680612925001</v>
      </c>
      <c r="AE69" s="138">
        <v>3.1155897381000002</v>
      </c>
      <c r="AF69" s="138">
        <v>3.0095332239524994</v>
      </c>
      <c r="AG69" s="138">
        <v>3.0095332239524994</v>
      </c>
      <c r="AH69" s="138">
        <v>2.9704446442124999</v>
      </c>
      <c r="AI69" s="138">
        <v>2.918422343235</v>
      </c>
      <c r="AJ69" s="138">
        <v>2.8816330917149999</v>
      </c>
      <c r="AK69" s="138">
        <v>2.8163896534725001</v>
      </c>
      <c r="AL69" s="138">
        <v>2.909225030355</v>
      </c>
      <c r="AM69" s="138">
        <v>2.8847946680174998</v>
      </c>
      <c r="AN69" s="138">
        <v>2.7609183601650003</v>
      </c>
      <c r="AO69" s="138">
        <v>1.4295484004993626</v>
      </c>
      <c r="AP69" s="139">
        <v>1.2522716318174998</v>
      </c>
      <c r="AQ69" s="140">
        <v>-0.12400893080635633</v>
      </c>
      <c r="AR69" s="140">
        <v>-7.4948610299005236E-2</v>
      </c>
      <c r="AS69" s="140">
        <v>6.6583904550280701E-3</v>
      </c>
    </row>
    <row r="70" spans="1:45" ht="12" customHeight="1">
      <c r="A70" s="131" t="s">
        <v>1095</v>
      </c>
      <c r="B70" s="138">
        <v>0.55781952867361873</v>
      </c>
      <c r="C70" s="138">
        <v>0.62047270430000634</v>
      </c>
      <c r="D70" s="138">
        <v>0.6447089121554811</v>
      </c>
      <c r="E70" s="138">
        <v>0.62653175626387492</v>
      </c>
      <c r="F70" s="138">
        <v>0.67423067597943764</v>
      </c>
      <c r="G70" s="138">
        <v>0.68273913192869984</v>
      </c>
      <c r="H70" s="138">
        <v>0.67203910399250621</v>
      </c>
      <c r="I70" s="138">
        <v>0.66494872403478733</v>
      </c>
      <c r="J70" s="138">
        <v>0.65966316806630609</v>
      </c>
      <c r="K70" s="138">
        <v>0.73391878362350615</v>
      </c>
      <c r="L70" s="138">
        <v>0.76124897546053105</v>
      </c>
      <c r="M70" s="138">
        <v>0.87405047478787512</v>
      </c>
      <c r="N70" s="138">
        <v>0.99007487409599981</v>
      </c>
      <c r="O70" s="138">
        <v>1.0403521137961875</v>
      </c>
      <c r="P70" s="138">
        <v>1.0919185134886875</v>
      </c>
      <c r="Q70" s="138">
        <v>1.0339063138346249</v>
      </c>
      <c r="R70" s="138">
        <v>1.028749673865375</v>
      </c>
      <c r="S70" s="138">
        <v>1.1215691933118748</v>
      </c>
      <c r="T70" s="138">
        <v>1.1060992734041248</v>
      </c>
      <c r="U70" s="138">
        <v>1.0635569936578126</v>
      </c>
      <c r="V70" s="138">
        <v>1.0635569936578126</v>
      </c>
      <c r="W70" s="138">
        <v>1.1254366732888124</v>
      </c>
      <c r="X70" s="138">
        <v>1.1473523931581249</v>
      </c>
      <c r="Y70" s="138">
        <v>1.1218270253103371</v>
      </c>
      <c r="Z70" s="138">
        <v>1.0982353974510188</v>
      </c>
      <c r="AA70" s="138">
        <v>1.1338162132388439</v>
      </c>
      <c r="AB70" s="138">
        <v>1.1463984147638135</v>
      </c>
      <c r="AC70" s="138">
        <v>1.1345897092342312</v>
      </c>
      <c r="AD70" s="138">
        <v>1.1340482620374597</v>
      </c>
      <c r="AE70" s="138">
        <v>1.078013425159168</v>
      </c>
      <c r="AF70" s="138">
        <v>1.0272670498726655</v>
      </c>
      <c r="AG70" s="138">
        <v>1.0511749166489812</v>
      </c>
      <c r="AH70" s="138">
        <v>1.0183208803692698</v>
      </c>
      <c r="AI70" s="138">
        <v>1.0180123917657045</v>
      </c>
      <c r="AJ70" s="138">
        <v>1.1105589728353138</v>
      </c>
      <c r="AK70" s="138">
        <v>1.0022386846052831</v>
      </c>
      <c r="AL70" s="138">
        <v>0.94668120365539854</v>
      </c>
      <c r="AM70" s="138">
        <v>0.90823063050878827</v>
      </c>
      <c r="AN70" s="138">
        <v>0.90823063050878827</v>
      </c>
      <c r="AO70" s="138">
        <v>0.90823063050878827</v>
      </c>
      <c r="AP70" s="139">
        <v>0.90823063050878827</v>
      </c>
      <c r="AQ70" s="140">
        <v>0</v>
      </c>
      <c r="AR70" s="140">
        <v>-1.6991671212173931E-2</v>
      </c>
      <c r="AS70" s="140">
        <v>4.8291073657613249E-3</v>
      </c>
    </row>
    <row r="71" spans="1:45" ht="12" customHeight="1">
      <c r="A71" s="131" t="s">
        <v>1137</v>
      </c>
      <c r="B71" s="138">
        <v>9.0674999999999992E-2</v>
      </c>
      <c r="C71" s="138">
        <v>0.14235</v>
      </c>
      <c r="D71" s="138">
        <v>0.14235</v>
      </c>
      <c r="E71" s="138">
        <v>0.238875</v>
      </c>
      <c r="F71" s="138">
        <v>0.2535</v>
      </c>
      <c r="G71" s="138">
        <v>0.26130000000000003</v>
      </c>
      <c r="H71" s="138">
        <v>0.26130000000000003</v>
      </c>
      <c r="I71" s="138">
        <v>0.26130000000000003</v>
      </c>
      <c r="J71" s="138">
        <v>0.26032499999999997</v>
      </c>
      <c r="K71" s="138">
        <v>0.25935000000000002</v>
      </c>
      <c r="L71" s="138">
        <v>0.25837500000000002</v>
      </c>
      <c r="M71" s="138">
        <v>0.27105000000000007</v>
      </c>
      <c r="N71" s="138">
        <v>0.27105000000000007</v>
      </c>
      <c r="O71" s="138">
        <v>0.26130000000000003</v>
      </c>
      <c r="P71" s="138">
        <v>0.26130000000000003</v>
      </c>
      <c r="Q71" s="138">
        <v>0.26130000000000003</v>
      </c>
      <c r="R71" s="138">
        <v>0.27495000000000003</v>
      </c>
      <c r="S71" s="138">
        <v>0.27592500000000003</v>
      </c>
      <c r="T71" s="138">
        <v>0.27787500000000004</v>
      </c>
      <c r="U71" s="138">
        <v>0.27982499999999999</v>
      </c>
      <c r="V71" s="138">
        <v>0.27982499999999999</v>
      </c>
      <c r="W71" s="138">
        <v>0.33637499999999998</v>
      </c>
      <c r="X71" s="138">
        <v>0.43387500000000001</v>
      </c>
      <c r="Y71" s="138">
        <v>0.39487499999999998</v>
      </c>
      <c r="Z71" s="138">
        <v>0.47287499999999999</v>
      </c>
      <c r="AA71" s="138">
        <v>0.52858500000000008</v>
      </c>
      <c r="AB71" s="138">
        <v>0.52858500000000008</v>
      </c>
      <c r="AC71" s="138">
        <v>0.48575998748250004</v>
      </c>
      <c r="AD71" s="138">
        <v>0.33925299469425008</v>
      </c>
      <c r="AE71" s="138">
        <v>0.32690033521875</v>
      </c>
      <c r="AF71" s="138">
        <v>0.21723189422347913</v>
      </c>
      <c r="AG71" s="138">
        <v>0.21723189422347913</v>
      </c>
      <c r="AH71" s="138">
        <v>0.27821305125000001</v>
      </c>
      <c r="AI71" s="138">
        <v>0.51831091447875</v>
      </c>
      <c r="AJ71" s="138">
        <v>0.51914555363250003</v>
      </c>
      <c r="AK71" s="138">
        <v>0.50559676760265182</v>
      </c>
      <c r="AL71" s="138">
        <v>0.48980886309076871</v>
      </c>
      <c r="AM71" s="138">
        <v>0.47488455779076605</v>
      </c>
      <c r="AN71" s="138">
        <v>0.46052314396758204</v>
      </c>
      <c r="AO71" s="138">
        <v>0.44693441588332539</v>
      </c>
      <c r="AP71" s="139">
        <v>0.43221186916584658</v>
      </c>
      <c r="AQ71" s="140">
        <v>-3.2941179274326049E-2</v>
      </c>
      <c r="AR71" s="140">
        <v>3.1769874538634113E-2</v>
      </c>
      <c r="AS71" s="140">
        <v>2.2980919722879393E-3</v>
      </c>
    </row>
    <row r="72" spans="1:45" ht="12" customHeight="1">
      <c r="A72" s="131" t="s">
        <v>1138</v>
      </c>
      <c r="B72" s="138">
        <v>0.29129189634375002</v>
      </c>
      <c r="C72" s="138">
        <v>0.31637000662499998</v>
      </c>
      <c r="D72" s="138">
        <v>0.35765243431874999</v>
      </c>
      <c r="E72" s="138">
        <v>0.30479549418749996</v>
      </c>
      <c r="F72" s="138">
        <v>0.30402386002500004</v>
      </c>
      <c r="G72" s="138">
        <v>0.29707915256250006</v>
      </c>
      <c r="H72" s="138">
        <v>0.36073897096874996</v>
      </c>
      <c r="I72" s="138">
        <v>0.43211513100000004</v>
      </c>
      <c r="J72" s="138">
        <v>0.34187251569562505</v>
      </c>
      <c r="K72" s="138">
        <v>0.34723537312500002</v>
      </c>
      <c r="L72" s="138">
        <v>0.37518782066156259</v>
      </c>
      <c r="M72" s="138">
        <v>0.43597330181249999</v>
      </c>
      <c r="N72" s="138">
        <v>0.47574174024768506</v>
      </c>
      <c r="O72" s="138">
        <v>0.44968490145961387</v>
      </c>
      <c r="P72" s="138">
        <v>0.45040317733799584</v>
      </c>
      <c r="Q72" s="138">
        <v>0.4081022533003637</v>
      </c>
      <c r="R72" s="138">
        <v>0.39342732458511409</v>
      </c>
      <c r="S72" s="138">
        <v>0.36427637432093596</v>
      </c>
      <c r="T72" s="138">
        <v>0.40411672440922281</v>
      </c>
      <c r="U72" s="138">
        <v>0.40145204897144948</v>
      </c>
      <c r="V72" s="138">
        <v>0.50078379027706943</v>
      </c>
      <c r="W72" s="138">
        <v>0.51623795826588748</v>
      </c>
      <c r="X72" s="138">
        <v>0.54821406351916835</v>
      </c>
      <c r="Y72" s="138">
        <v>0.54336494769133781</v>
      </c>
      <c r="Z72" s="138">
        <v>0.58058684339663769</v>
      </c>
      <c r="AA72" s="138">
        <v>0.67682779858200726</v>
      </c>
      <c r="AB72" s="138">
        <v>0.67671124128668902</v>
      </c>
      <c r="AC72" s="138">
        <v>0.66898403859849642</v>
      </c>
      <c r="AD72" s="138">
        <v>0.60911869244264405</v>
      </c>
      <c r="AE72" s="138">
        <v>0.58144879765183188</v>
      </c>
      <c r="AF72" s="138">
        <v>0.55108455397739142</v>
      </c>
      <c r="AG72" s="138">
        <v>0.5461972187512999</v>
      </c>
      <c r="AH72" s="138">
        <v>0.53946989249463539</v>
      </c>
      <c r="AI72" s="138">
        <v>0.48517603253250591</v>
      </c>
      <c r="AJ72" s="138">
        <v>0.4548386136531184</v>
      </c>
      <c r="AK72" s="138">
        <v>0.37964705140697402</v>
      </c>
      <c r="AL72" s="138">
        <v>0.36496273129741619</v>
      </c>
      <c r="AM72" s="138">
        <v>0.37984313353718346</v>
      </c>
      <c r="AN72" s="138">
        <v>0.36582705942827887</v>
      </c>
      <c r="AO72" s="138">
        <v>0.39464306139179206</v>
      </c>
      <c r="AP72" s="139">
        <v>0.38478632986503009</v>
      </c>
      <c r="AQ72" s="140">
        <v>-2.4976320353891746E-2</v>
      </c>
      <c r="AR72" s="140">
        <v>-3.8012786665457932E-2</v>
      </c>
      <c r="AS72" s="140">
        <v>2.0459280246412073E-3</v>
      </c>
    </row>
    <row r="73" spans="1:45" ht="12" customHeight="1">
      <c r="A73" s="131" t="s">
        <v>1139</v>
      </c>
      <c r="B73" s="138">
        <v>0</v>
      </c>
      <c r="C73" s="138">
        <v>0</v>
      </c>
      <c r="D73" s="138">
        <v>0</v>
      </c>
      <c r="E73" s="138">
        <v>0</v>
      </c>
      <c r="F73" s="138">
        <v>0</v>
      </c>
      <c r="G73" s="138">
        <v>1.0898796641036697E-4</v>
      </c>
      <c r="H73" s="138">
        <v>2.9971689176864911E-4</v>
      </c>
      <c r="I73" s="138">
        <v>5.8581031152579244E-4</v>
      </c>
      <c r="J73" s="138">
        <v>8.7190373128286731E-4</v>
      </c>
      <c r="K73" s="138">
        <v>1.5394549256293694E-3</v>
      </c>
      <c r="L73" s="138">
        <v>1.6416311433461162E-3</v>
      </c>
      <c r="M73" s="138">
        <v>2.7519461169700186E-3</v>
      </c>
      <c r="N73" s="138">
        <v>2.969921872160539E-3</v>
      </c>
      <c r="O73" s="138">
        <v>3.7328375228422644E-3</v>
      </c>
      <c r="P73" s="138">
        <v>2.9154279841143785E-3</v>
      </c>
      <c r="Q73" s="138">
        <v>2.9154279841143785E-3</v>
      </c>
      <c r="R73" s="138">
        <v>2.9154279841143785E-3</v>
      </c>
      <c r="S73" s="138">
        <v>2.9154279841143785E-3</v>
      </c>
      <c r="T73" s="138">
        <v>2.9154279841143785E-3</v>
      </c>
      <c r="U73" s="138">
        <v>2.9154279841143785E-3</v>
      </c>
      <c r="V73" s="138">
        <v>2.9154279841143785E-3</v>
      </c>
      <c r="W73" s="138">
        <v>2.9162815893750004E-3</v>
      </c>
      <c r="X73" s="138">
        <v>2.7609282710625003E-3</v>
      </c>
      <c r="Y73" s="138">
        <v>2.6246534304375001E-3</v>
      </c>
      <c r="Z73" s="138">
        <v>2.4802020993749999E-3</v>
      </c>
      <c r="AA73" s="138">
        <v>2.3330252714999994E-3</v>
      </c>
      <c r="AB73" s="138">
        <v>2.1940249340624998E-3</v>
      </c>
      <c r="AC73" s="138">
        <v>2.0632010870625002E-3</v>
      </c>
      <c r="AD73" s="138">
        <v>1.9214752528125001E-3</v>
      </c>
      <c r="AE73" s="138">
        <v>0.14959293380795688</v>
      </c>
      <c r="AF73" s="138">
        <v>0.14944030598645691</v>
      </c>
      <c r="AG73" s="138">
        <v>0.14929040366176941</v>
      </c>
      <c r="AH73" s="138">
        <v>0.1491459523307069</v>
      </c>
      <c r="AI73" s="138">
        <v>0.1489960500060194</v>
      </c>
      <c r="AJ73" s="138">
        <v>0.14561045816395504</v>
      </c>
      <c r="AK73" s="138">
        <v>0.13596024056721734</v>
      </c>
      <c r="AL73" s="138">
        <v>0.20248354713897374</v>
      </c>
      <c r="AM73" s="138">
        <v>0.19208546841872015</v>
      </c>
      <c r="AN73" s="138">
        <v>0.18224749304613577</v>
      </c>
      <c r="AO73" s="138">
        <v>0.17601944488460564</v>
      </c>
      <c r="AP73" s="139">
        <v>0.16314447989030173</v>
      </c>
      <c r="AQ73" s="140">
        <v>-7.3145128952908811E-2</v>
      </c>
      <c r="AR73" s="140">
        <v>1.6400702950087664E-2</v>
      </c>
      <c r="AS73" s="140">
        <v>8.674473014417157E-4</v>
      </c>
    </row>
    <row r="74" spans="1:45" ht="12" customHeight="1">
      <c r="A74" s="131" t="s">
        <v>1096</v>
      </c>
      <c r="B74" s="138">
        <v>0.28470000000000001</v>
      </c>
      <c r="C74" s="138">
        <v>0.39194999999999991</v>
      </c>
      <c r="D74" s="138">
        <v>0.34125</v>
      </c>
      <c r="E74" s="138">
        <v>0.1638</v>
      </c>
      <c r="F74" s="138">
        <v>0.20474999999999999</v>
      </c>
      <c r="G74" s="138">
        <v>0.21255000000000002</v>
      </c>
      <c r="H74" s="138">
        <v>0.19889999999999999</v>
      </c>
      <c r="I74" s="138">
        <v>0.1794</v>
      </c>
      <c r="J74" s="138">
        <v>0.19012499999999999</v>
      </c>
      <c r="K74" s="138">
        <v>0.223275</v>
      </c>
      <c r="L74" s="138">
        <v>0.21840000000000001</v>
      </c>
      <c r="M74" s="138">
        <v>0.23985000000000001</v>
      </c>
      <c r="N74" s="138">
        <v>0.22522499999999998</v>
      </c>
      <c r="O74" s="138">
        <v>0.17647499999999999</v>
      </c>
      <c r="P74" s="138">
        <v>0.170625</v>
      </c>
      <c r="Q74" s="138">
        <v>0.1716</v>
      </c>
      <c r="R74" s="138">
        <v>0.19109999999999999</v>
      </c>
      <c r="S74" s="138">
        <v>0.19987499999999997</v>
      </c>
      <c r="T74" s="138">
        <v>0.40949999999999998</v>
      </c>
      <c r="U74" s="138">
        <v>0.33637499999999998</v>
      </c>
      <c r="V74" s="138">
        <v>0.35099999999999998</v>
      </c>
      <c r="W74" s="138">
        <v>0.36854999999999993</v>
      </c>
      <c r="X74" s="138">
        <v>0.429975</v>
      </c>
      <c r="Y74" s="138">
        <v>0.40754999999999997</v>
      </c>
      <c r="Z74" s="138">
        <v>0.34514999999999996</v>
      </c>
      <c r="AA74" s="138">
        <v>0.2964</v>
      </c>
      <c r="AB74" s="138">
        <v>0.32272500000000004</v>
      </c>
      <c r="AC74" s="138">
        <v>0.32823959860937291</v>
      </c>
      <c r="AD74" s="138">
        <v>0.35168528422432821</v>
      </c>
      <c r="AE74" s="138">
        <v>0.32325739041619495</v>
      </c>
      <c r="AF74" s="138">
        <v>0.31006919225778268</v>
      </c>
      <c r="AG74" s="138">
        <v>0.2948588037150805</v>
      </c>
      <c r="AH74" s="138">
        <v>0.26490459577341374</v>
      </c>
      <c r="AI74" s="138">
        <v>0.24661256492769584</v>
      </c>
      <c r="AJ74" s="138">
        <v>0.2271801945478806</v>
      </c>
      <c r="AK74" s="138">
        <v>0.2140637988016641</v>
      </c>
      <c r="AL74" s="138">
        <v>0.20016900629303105</v>
      </c>
      <c r="AM74" s="138">
        <v>0.1878620728426709</v>
      </c>
      <c r="AN74" s="138">
        <v>0.17754040282175704</v>
      </c>
      <c r="AO74" s="138">
        <v>0.14308403709987846</v>
      </c>
      <c r="AP74" s="139">
        <v>0.14308403709987846</v>
      </c>
      <c r="AQ74" s="140">
        <v>0</v>
      </c>
      <c r="AR74" s="140">
        <v>-7.8268834099182949E-2</v>
      </c>
      <c r="AS74" s="140">
        <v>7.6078493090990702E-4</v>
      </c>
    </row>
    <row r="75" spans="1:45" ht="12" customHeight="1">
      <c r="A75" s="131" t="s">
        <v>1097</v>
      </c>
      <c r="B75" s="138">
        <v>0</v>
      </c>
      <c r="C75" s="138">
        <v>0</v>
      </c>
      <c r="D75" s="138">
        <v>0</v>
      </c>
      <c r="E75" s="138">
        <v>0</v>
      </c>
      <c r="F75" s="138">
        <v>0</v>
      </c>
      <c r="G75" s="138">
        <v>0</v>
      </c>
      <c r="H75" s="138">
        <v>0</v>
      </c>
      <c r="I75" s="138">
        <v>0</v>
      </c>
      <c r="J75" s="138">
        <v>0</v>
      </c>
      <c r="K75" s="138">
        <v>0</v>
      </c>
      <c r="L75" s="138">
        <v>1.4625000000000001E-2</v>
      </c>
      <c r="M75" s="138">
        <v>1.4625000000000001E-2</v>
      </c>
      <c r="N75" s="138">
        <v>0.10335</v>
      </c>
      <c r="O75" s="138">
        <v>0.10335</v>
      </c>
      <c r="P75" s="138">
        <v>0.13065000000000002</v>
      </c>
      <c r="Q75" s="138">
        <v>0.14332499999999998</v>
      </c>
      <c r="R75" s="138">
        <v>0.16672499999999998</v>
      </c>
      <c r="S75" s="138">
        <v>0.16575000000000001</v>
      </c>
      <c r="T75" s="138">
        <v>0.16575000000000001</v>
      </c>
      <c r="U75" s="138">
        <v>0.16575000000000001</v>
      </c>
      <c r="V75" s="138">
        <v>0.16575000000000001</v>
      </c>
      <c r="W75" s="138">
        <v>0.18817500000000001</v>
      </c>
      <c r="X75" s="138">
        <v>0.22425</v>
      </c>
      <c r="Y75" s="138">
        <v>0.2145</v>
      </c>
      <c r="Z75" s="138">
        <v>0.2145</v>
      </c>
      <c r="AA75" s="138">
        <v>0.2145</v>
      </c>
      <c r="AB75" s="138">
        <v>0.2145</v>
      </c>
      <c r="AC75" s="138">
        <v>0.49974478885767332</v>
      </c>
      <c r="AD75" s="138">
        <v>0.58303558700061875</v>
      </c>
      <c r="AE75" s="138">
        <v>0.71392112693953336</v>
      </c>
      <c r="AF75" s="138">
        <v>0.64592863865957773</v>
      </c>
      <c r="AG75" s="138">
        <v>0.64592863865957773</v>
      </c>
      <c r="AH75" s="138">
        <v>0.64592863865957773</v>
      </c>
      <c r="AI75" s="138">
        <v>0.64592863865957773</v>
      </c>
      <c r="AJ75" s="138">
        <v>0.64592863865957773</v>
      </c>
      <c r="AK75" s="138">
        <v>0.64592863865957773</v>
      </c>
      <c r="AL75" s="138">
        <v>0.64592863865957773</v>
      </c>
      <c r="AM75" s="138">
        <v>0.64592863865957773</v>
      </c>
      <c r="AN75" s="138">
        <v>0.64592863865957773</v>
      </c>
      <c r="AO75" s="138">
        <v>0.64592863865957773</v>
      </c>
      <c r="AP75" s="139">
        <v>0.64592863865957773</v>
      </c>
      <c r="AQ75" s="140">
        <v>0</v>
      </c>
      <c r="AR75" s="140">
        <v>-9.9584290293984745E-3</v>
      </c>
      <c r="AS75" s="140">
        <v>3.4344346490051232E-3</v>
      </c>
    </row>
    <row r="76" spans="1:45" ht="12" customHeight="1">
      <c r="A76" s="131" t="s">
        <v>1098</v>
      </c>
      <c r="B76" s="138">
        <v>0.23692500000000005</v>
      </c>
      <c r="C76" s="138">
        <v>0.23985000000000001</v>
      </c>
      <c r="D76" s="138">
        <v>0.23010000000000003</v>
      </c>
      <c r="E76" s="138">
        <v>0.22912500000000002</v>
      </c>
      <c r="F76" s="138">
        <v>0.22620000000000001</v>
      </c>
      <c r="G76" s="138">
        <v>0.24765000000000004</v>
      </c>
      <c r="H76" s="138">
        <v>0.22815000000000002</v>
      </c>
      <c r="I76" s="138">
        <v>0.2223</v>
      </c>
      <c r="J76" s="138">
        <v>0.26227500000000004</v>
      </c>
      <c r="K76" s="138">
        <v>0.252525</v>
      </c>
      <c r="L76" s="138">
        <v>0.27329250000000005</v>
      </c>
      <c r="M76" s="138">
        <v>0.25340249999999997</v>
      </c>
      <c r="N76" s="138">
        <v>0.2588625</v>
      </c>
      <c r="O76" s="138">
        <v>0.26246999999999998</v>
      </c>
      <c r="P76" s="138">
        <v>0.26802749999999997</v>
      </c>
      <c r="Q76" s="138">
        <v>0.2588625</v>
      </c>
      <c r="R76" s="138">
        <v>0.253695</v>
      </c>
      <c r="S76" s="138">
        <v>0.26500499999999999</v>
      </c>
      <c r="T76" s="138">
        <v>0.26178750000000001</v>
      </c>
      <c r="U76" s="138">
        <v>0.24872250000000001</v>
      </c>
      <c r="V76" s="138">
        <v>0.24648</v>
      </c>
      <c r="W76" s="138">
        <v>0.29288999999999998</v>
      </c>
      <c r="X76" s="138">
        <v>0.2906475</v>
      </c>
      <c r="Y76" s="138">
        <v>0.32757024962164316</v>
      </c>
      <c r="Z76" s="138">
        <v>0.32803333460599371</v>
      </c>
      <c r="AA76" s="138">
        <v>0.32442366633173225</v>
      </c>
      <c r="AB76" s="138">
        <v>0.32276916868778655</v>
      </c>
      <c r="AC76" s="138">
        <v>0.31528796516071833</v>
      </c>
      <c r="AD76" s="138">
        <v>0.30383586319415545</v>
      </c>
      <c r="AE76" s="138">
        <v>0.27124124141972561</v>
      </c>
      <c r="AF76" s="138">
        <v>0.26009202716697788</v>
      </c>
      <c r="AG76" s="138">
        <v>0.25416346744053575</v>
      </c>
      <c r="AH76" s="138">
        <v>0.24027409838731945</v>
      </c>
      <c r="AI76" s="138">
        <v>0.24589478848764904</v>
      </c>
      <c r="AJ76" s="138">
        <v>0.24079806311577642</v>
      </c>
      <c r="AK76" s="138">
        <v>0.23106441444841727</v>
      </c>
      <c r="AL76" s="138">
        <v>0.22241421618711618</v>
      </c>
      <c r="AM76" s="138">
        <v>0.2035623743796568</v>
      </c>
      <c r="AN76" s="138">
        <v>0.19511402296975616</v>
      </c>
      <c r="AO76" s="138">
        <v>0.19093977904799739</v>
      </c>
      <c r="AP76" s="139">
        <v>0.18925524456781392</v>
      </c>
      <c r="AQ76" s="140">
        <v>-8.8223338718749211E-3</v>
      </c>
      <c r="AR76" s="140">
        <v>-3.4496018087489477E-2</v>
      </c>
      <c r="AS76" s="140">
        <v>1.0062795339102447E-3</v>
      </c>
    </row>
    <row r="77" spans="1:45" s="132" customFormat="1" ht="12" customHeight="1">
      <c r="A77" s="141" t="s">
        <v>1099</v>
      </c>
      <c r="B77" s="142">
        <v>3.9605058419298569</v>
      </c>
      <c r="C77" s="142">
        <v>4.5654014325080938</v>
      </c>
      <c r="D77" s="142">
        <v>5.0117992619117926</v>
      </c>
      <c r="E77" s="142">
        <v>5.1070797937158785</v>
      </c>
      <c r="F77" s="142">
        <v>5.8637042460339366</v>
      </c>
      <c r="G77" s="142">
        <v>6.1894646628214263</v>
      </c>
      <c r="H77" s="142">
        <v>6.7998921183033687</v>
      </c>
      <c r="I77" s="142">
        <v>7.1040821137238952</v>
      </c>
      <c r="J77" s="142">
        <v>7.2894350781520139</v>
      </c>
      <c r="K77" s="142">
        <v>7.8693797360595843</v>
      </c>
      <c r="L77" s="142">
        <v>8.251343334345087</v>
      </c>
      <c r="M77" s="142">
        <v>7.5098336553623799</v>
      </c>
      <c r="N77" s="142">
        <v>7.7712081660093553</v>
      </c>
      <c r="O77" s="142">
        <v>7.9818920356695005</v>
      </c>
      <c r="P77" s="142">
        <v>8.2816589354282986</v>
      </c>
      <c r="Q77" s="142">
        <v>8.2339716867366057</v>
      </c>
      <c r="R77" s="142">
        <v>7.9324799877669525</v>
      </c>
      <c r="S77" s="142">
        <v>8.2514434825884084</v>
      </c>
      <c r="T77" s="142">
        <v>9.082312834843675</v>
      </c>
      <c r="U77" s="142">
        <v>9.3902058796595895</v>
      </c>
      <c r="V77" s="142">
        <v>9.815050745965209</v>
      </c>
      <c r="W77" s="142">
        <v>10.34428399020897</v>
      </c>
      <c r="X77" s="142">
        <v>10.317543825336752</v>
      </c>
      <c r="Y77" s="142">
        <v>10.392481703448052</v>
      </c>
      <c r="Z77" s="142">
        <v>10.759801457946338</v>
      </c>
      <c r="AA77" s="142">
        <v>10.869497236816411</v>
      </c>
      <c r="AB77" s="142">
        <v>11.16862000491326</v>
      </c>
      <c r="AC77" s="142">
        <v>12.235752099595905</v>
      </c>
      <c r="AD77" s="142">
        <v>13.706831029676627</v>
      </c>
      <c r="AE77" s="142">
        <v>13.911232683944235</v>
      </c>
      <c r="AF77" s="142">
        <v>13.521760713910256</v>
      </c>
      <c r="AG77" s="142">
        <v>13.763407732278981</v>
      </c>
      <c r="AH77" s="142">
        <v>13.880831526369137</v>
      </c>
      <c r="AI77" s="142">
        <v>14.233170517277827</v>
      </c>
      <c r="AJ77" s="142">
        <v>14.04174405280642</v>
      </c>
      <c r="AK77" s="142">
        <v>14.654056692725218</v>
      </c>
      <c r="AL77" s="142">
        <v>15.455543322083894</v>
      </c>
      <c r="AM77" s="142">
        <v>15.974778899693032</v>
      </c>
      <c r="AN77" s="142">
        <v>16.081910503801687</v>
      </c>
      <c r="AO77" s="142">
        <v>16.784866925666929</v>
      </c>
      <c r="AP77" s="142">
        <v>16.560028405527841</v>
      </c>
      <c r="AQ77" s="143">
        <v>-1.3395311451368741E-2</v>
      </c>
      <c r="AR77" s="143">
        <v>1.895552562238545E-2</v>
      </c>
      <c r="AS77" s="143">
        <v>8.8050493414378914E-2</v>
      </c>
    </row>
    <row r="78" spans="1:45" ht="12" customHeight="1">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9"/>
      <c r="AQ78" s="140"/>
      <c r="AR78" s="140"/>
      <c r="AS78" s="140"/>
    </row>
    <row r="79" spans="1:45" s="147" customFormat="1" ht="12" customHeight="1">
      <c r="A79" s="144" t="s">
        <v>1100</v>
      </c>
      <c r="B79" s="145">
        <v>70.889120248991233</v>
      </c>
      <c r="C79" s="145">
        <v>73.468179190652393</v>
      </c>
      <c r="D79" s="145">
        <v>75.805363262799673</v>
      </c>
      <c r="E79" s="145">
        <v>77.394407268584658</v>
      </c>
      <c r="F79" s="145">
        <v>80.211984519583737</v>
      </c>
      <c r="G79" s="145">
        <v>82.405562170928704</v>
      </c>
      <c r="H79" s="145">
        <v>88.3279218132746</v>
      </c>
      <c r="I79" s="145">
        <v>90.836300656423489</v>
      </c>
      <c r="J79" s="145">
        <v>94.752519716296163</v>
      </c>
      <c r="K79" s="145">
        <v>105.46381134485516</v>
      </c>
      <c r="L79" s="145">
        <v>108.36301268372898</v>
      </c>
      <c r="M79" s="145">
        <v>114.15017420327439</v>
      </c>
      <c r="N79" s="145">
        <v>116.84624981052521</v>
      </c>
      <c r="O79" s="145">
        <v>118.01987241903682</v>
      </c>
      <c r="P79" s="145">
        <v>118.82398911230305</v>
      </c>
      <c r="Q79" s="145">
        <v>119.0881790694644</v>
      </c>
      <c r="R79" s="145">
        <v>122.33916100289998</v>
      </c>
      <c r="S79" s="145">
        <v>125.03895968776575</v>
      </c>
      <c r="T79" s="145">
        <v>128.52190623667283</v>
      </c>
      <c r="U79" s="145">
        <v>131.90042986306477</v>
      </c>
      <c r="V79" s="145">
        <v>138.02319320580088</v>
      </c>
      <c r="W79" s="145">
        <v>152.48165219782138</v>
      </c>
      <c r="X79" s="145">
        <v>153.89954013170629</v>
      </c>
      <c r="Y79" s="145">
        <v>154.58082749521623</v>
      </c>
      <c r="Z79" s="145">
        <v>155.01981620615624</v>
      </c>
      <c r="AA79" s="145">
        <v>153.39273965421313</v>
      </c>
      <c r="AB79" s="145">
        <v>155.28505644921719</v>
      </c>
      <c r="AC79" s="145">
        <v>162.6722146962351</v>
      </c>
      <c r="AD79" s="145">
        <v>165.96157628952656</v>
      </c>
      <c r="AE79" s="145">
        <v>168.97606094916785</v>
      </c>
      <c r="AF79" s="145">
        <v>179.94082908470924</v>
      </c>
      <c r="AG79" s="145">
        <v>181.91948303711985</v>
      </c>
      <c r="AH79" s="145">
        <v>180.79520524144172</v>
      </c>
      <c r="AI79" s="145">
        <v>181.29881261294278</v>
      </c>
      <c r="AJ79" s="145">
        <v>183.16237267120746</v>
      </c>
      <c r="AK79" s="145">
        <v>181.19338962873761</v>
      </c>
      <c r="AL79" s="145">
        <v>183.53605451919921</v>
      </c>
      <c r="AM79" s="145">
        <v>187.82836778234136</v>
      </c>
      <c r="AN79" s="145">
        <v>189.05386040570963</v>
      </c>
      <c r="AO79" s="145">
        <v>190.26787660140531</v>
      </c>
      <c r="AP79" s="145">
        <v>188.07422608745472</v>
      </c>
      <c r="AQ79" s="146">
        <v>-1.1529274164057135E-2</v>
      </c>
      <c r="AR79" s="146">
        <v>1.193828948532949E-2</v>
      </c>
      <c r="AS79" s="146">
        <v>1</v>
      </c>
    </row>
    <row r="80" spans="1:45" ht="12" customHeight="1">
      <c r="A80" s="131" t="s">
        <v>1140</v>
      </c>
      <c r="B80" s="138">
        <v>14.069098652186376</v>
      </c>
      <c r="C80" s="138">
        <v>14.561936074103752</v>
      </c>
      <c r="D80" s="138">
        <v>14.602666671419003</v>
      </c>
      <c r="E80" s="138">
        <v>14.891012780817125</v>
      </c>
      <c r="F80" s="138">
        <v>14.988664670109127</v>
      </c>
      <c r="G80" s="138">
        <v>14.906905146524872</v>
      </c>
      <c r="H80" s="138">
        <v>14.915610038075748</v>
      </c>
      <c r="I80" s="138">
        <v>15.601382758622625</v>
      </c>
      <c r="J80" s="138">
        <v>15.449060297213002</v>
      </c>
      <c r="K80" s="138">
        <v>15.3487487346545</v>
      </c>
      <c r="L80" s="138">
        <v>15.327465460695752</v>
      </c>
      <c r="M80" s="138">
        <v>14.793491389425252</v>
      </c>
      <c r="N80" s="138">
        <v>14.913327002633126</v>
      </c>
      <c r="O80" s="138">
        <v>14.340226277058123</v>
      </c>
      <c r="P80" s="138">
        <v>14.229362371428376</v>
      </c>
      <c r="Q80" s="138">
        <v>14.23530773986475</v>
      </c>
      <c r="R80" s="138">
        <v>14.377755013310749</v>
      </c>
      <c r="S80" s="138">
        <v>14.039658819645124</v>
      </c>
      <c r="T80" s="138">
        <v>13.240032183762878</v>
      </c>
      <c r="U80" s="138">
        <v>13.356072089362252</v>
      </c>
      <c r="V80" s="138">
        <v>13.602136461759203</v>
      </c>
      <c r="W80" s="138">
        <v>14.925693854063422</v>
      </c>
      <c r="X80" s="138">
        <v>14.329340422436843</v>
      </c>
      <c r="Y80" s="138">
        <v>14.336102864762104</v>
      </c>
      <c r="Z80" s="138">
        <v>14.180590363999478</v>
      </c>
      <c r="AA80" s="138">
        <v>14.346892115938472</v>
      </c>
      <c r="AB80" s="138">
        <v>14.31331636636097</v>
      </c>
      <c r="AC80" s="138">
        <v>14.774279137964614</v>
      </c>
      <c r="AD80" s="138">
        <v>15.771628366087088</v>
      </c>
      <c r="AE80" s="138">
        <v>16.338628569515727</v>
      </c>
      <c r="AF80" s="138">
        <v>17.58164547226303</v>
      </c>
      <c r="AG80" s="138">
        <v>18.228197245439532</v>
      </c>
      <c r="AH80" s="138">
        <v>17.361057813536338</v>
      </c>
      <c r="AI80" s="138">
        <v>18.07669352623024</v>
      </c>
      <c r="AJ80" s="138">
        <v>18.109859195741816</v>
      </c>
      <c r="AK80" s="138">
        <v>16.460905108677622</v>
      </c>
      <c r="AL80" s="138">
        <v>16.502459841104109</v>
      </c>
      <c r="AM80" s="138">
        <v>19.853971489400301</v>
      </c>
      <c r="AN80" s="138">
        <v>20.173544776844665</v>
      </c>
      <c r="AO80" s="138">
        <v>20.006327159899676</v>
      </c>
      <c r="AP80" s="139">
        <v>20.279693883704656</v>
      </c>
      <c r="AQ80" s="140">
        <v>1.3664013470344072E-2</v>
      </c>
      <c r="AR80" s="140">
        <v>2.045809849810154E-2</v>
      </c>
      <c r="AS80" s="140">
        <v>0.10782813948294316</v>
      </c>
    </row>
    <row r="81" spans="1:45" ht="12" customHeight="1">
      <c r="A81" s="131" t="s">
        <v>1102</v>
      </c>
      <c r="B81" s="138">
        <v>56.820021596804864</v>
      </c>
      <c r="C81" s="138">
        <v>58.906243116548644</v>
      </c>
      <c r="D81" s="138">
        <v>61.202696591380686</v>
      </c>
      <c r="E81" s="138">
        <v>62.503394487767508</v>
      </c>
      <c r="F81" s="138">
        <v>65.22331984947462</v>
      </c>
      <c r="G81" s="138">
        <v>67.49865702440384</v>
      </c>
      <c r="H81" s="138">
        <v>73.412311775198845</v>
      </c>
      <c r="I81" s="138">
        <v>75.234917897800855</v>
      </c>
      <c r="J81" s="138">
        <v>79.303459419083154</v>
      </c>
      <c r="K81" s="138">
        <v>90.115062610200624</v>
      </c>
      <c r="L81" s="138">
        <v>93.035547223033234</v>
      </c>
      <c r="M81" s="138">
        <v>99.356682813849147</v>
      </c>
      <c r="N81" s="138">
        <v>101.93292280789204</v>
      </c>
      <c r="O81" s="138">
        <v>103.67964614197869</v>
      </c>
      <c r="P81" s="138">
        <v>104.59462674087472</v>
      </c>
      <c r="Q81" s="138">
        <v>104.85287132959965</v>
      </c>
      <c r="R81" s="138">
        <v>107.96140598958927</v>
      </c>
      <c r="S81" s="138">
        <v>110.99930086812063</v>
      </c>
      <c r="T81" s="138">
        <v>115.28187405290997</v>
      </c>
      <c r="U81" s="138">
        <v>118.54435777370252</v>
      </c>
      <c r="V81" s="138">
        <v>124.42105674404168</v>
      </c>
      <c r="W81" s="138">
        <v>137.55595834375796</v>
      </c>
      <c r="X81" s="138">
        <v>139.57019970926947</v>
      </c>
      <c r="Y81" s="138">
        <v>140.2447246304541</v>
      </c>
      <c r="Z81" s="138">
        <v>140.83922584215671</v>
      </c>
      <c r="AA81" s="138">
        <v>139.04584753827473</v>
      </c>
      <c r="AB81" s="138">
        <v>140.97174008285617</v>
      </c>
      <c r="AC81" s="138">
        <v>147.89793555827038</v>
      </c>
      <c r="AD81" s="138">
        <v>150.18994792343952</v>
      </c>
      <c r="AE81" s="138">
        <v>152.63743237965207</v>
      </c>
      <c r="AF81" s="138">
        <v>162.35918361244629</v>
      </c>
      <c r="AG81" s="138">
        <v>163.69128579168026</v>
      </c>
      <c r="AH81" s="138">
        <v>163.43414742790534</v>
      </c>
      <c r="AI81" s="138">
        <v>163.22211908671252</v>
      </c>
      <c r="AJ81" s="138">
        <v>165.05251347546567</v>
      </c>
      <c r="AK81" s="138">
        <v>164.73248452005996</v>
      </c>
      <c r="AL81" s="138">
        <v>167.0335946780952</v>
      </c>
      <c r="AM81" s="138">
        <v>167.97439629294109</v>
      </c>
      <c r="AN81" s="138">
        <v>168.88031562886499</v>
      </c>
      <c r="AO81" s="138">
        <v>170.26154944150562</v>
      </c>
      <c r="AP81" s="139">
        <v>167.79453220375001</v>
      </c>
      <c r="AQ81" s="140">
        <v>-1.4489573517026955E-2</v>
      </c>
      <c r="AR81" s="140">
        <v>1.0986957610715331E-2</v>
      </c>
      <c r="AS81" s="140">
        <v>0.89217186051705655</v>
      </c>
    </row>
    <row r="82" spans="1:45" ht="12" customHeight="1">
      <c r="A82" s="148" t="s">
        <v>1141</v>
      </c>
      <c r="B82" s="149">
        <v>3.0950648800000007</v>
      </c>
      <c r="C82" s="149">
        <v>3.0081611450000003</v>
      </c>
      <c r="D82" s="149">
        <v>2.92532696</v>
      </c>
      <c r="E82" s="149">
        <v>3.0124965000000001</v>
      </c>
      <c r="F82" s="149">
        <v>2.9608795499999996</v>
      </c>
      <c r="G82" s="149">
        <v>2.9683127200000006</v>
      </c>
      <c r="H82" s="149">
        <v>3.0125512750000003</v>
      </c>
      <c r="I82" s="149">
        <v>2.9502158000000001</v>
      </c>
      <c r="J82" s="149">
        <v>2.9154360850000001</v>
      </c>
      <c r="K82" s="149">
        <v>2.8918434750000004</v>
      </c>
      <c r="L82" s="149">
        <v>3.1993131049999994</v>
      </c>
      <c r="M82" s="149">
        <v>3.1624030025000005</v>
      </c>
      <c r="N82" s="149">
        <v>3.0834379625000001</v>
      </c>
      <c r="O82" s="149">
        <v>2.9978070350000001</v>
      </c>
      <c r="P82" s="149">
        <v>2.9421453975</v>
      </c>
      <c r="Q82" s="149">
        <v>2.8705623464439998</v>
      </c>
      <c r="R82" s="149">
        <v>2.8006315461040008</v>
      </c>
      <c r="S82" s="149">
        <v>2.7740299279160006</v>
      </c>
      <c r="T82" s="149">
        <v>2.6739705795240001</v>
      </c>
      <c r="U82" s="149">
        <v>2.6617864483840004</v>
      </c>
      <c r="V82" s="149">
        <v>2.547517600969583</v>
      </c>
      <c r="W82" s="149">
        <v>2.4709549483559226</v>
      </c>
      <c r="X82" s="149">
        <v>2.3699642605410927</v>
      </c>
      <c r="Y82" s="149">
        <v>2.2328234434966019</v>
      </c>
      <c r="Z82" s="149">
        <v>2.1487671140716023</v>
      </c>
      <c r="AA82" s="149">
        <v>2.0580803726465975</v>
      </c>
      <c r="AB82" s="149">
        <v>1.9403555203965972</v>
      </c>
      <c r="AC82" s="149">
        <v>1.8269261613889092</v>
      </c>
      <c r="AD82" s="149">
        <v>1.7224970484767403</v>
      </c>
      <c r="AE82" s="149">
        <v>1.7372080305265245</v>
      </c>
      <c r="AF82" s="149">
        <v>1.6360521731431961</v>
      </c>
      <c r="AG82" s="149">
        <v>1.5493011948102291</v>
      </c>
      <c r="AH82" s="149">
        <v>1.2939768637838356</v>
      </c>
      <c r="AI82" s="149">
        <v>1.2158188575271214</v>
      </c>
      <c r="AJ82" s="149">
        <v>1.1042475563157119</v>
      </c>
      <c r="AK82" s="149">
        <v>1.0867504549968838</v>
      </c>
      <c r="AL82" s="149">
        <v>0.98407035583810165</v>
      </c>
      <c r="AM82" s="149">
        <v>0.94682299231409106</v>
      </c>
      <c r="AN82" s="149">
        <v>0.50512290650315461</v>
      </c>
      <c r="AO82" s="149">
        <v>0.44649596998867408</v>
      </c>
      <c r="AP82" s="142">
        <v>0.44181565785490678</v>
      </c>
      <c r="AQ82" s="150">
        <v>-1.0482316635211819E-2</v>
      </c>
      <c r="AR82" s="150">
        <v>-0.12703552316748656</v>
      </c>
      <c r="AS82" s="150">
        <v>2.3491557936783005E-3</v>
      </c>
    </row>
    <row r="83" spans="1:45" ht="12" customHeight="1">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9"/>
      <c r="AQ83" s="140"/>
      <c r="AR83" s="140"/>
      <c r="AS83" s="140"/>
    </row>
    <row r="84" spans="1:45" ht="11.4" customHeight="1">
      <c r="A84" s="127" t="s">
        <v>1109</v>
      </c>
    </row>
    <row r="85" spans="1:45" ht="11.4" customHeight="1">
      <c r="A85" s="151" t="s">
        <v>1142</v>
      </c>
    </row>
    <row r="86" spans="1:45" ht="11.4" customHeight="1">
      <c r="A86" s="152" t="s">
        <v>1114</v>
      </c>
    </row>
    <row r="87" spans="1:45" ht="11.4" customHeight="1">
      <c r="A87" s="153" t="s">
        <v>1115</v>
      </c>
    </row>
    <row r="88" spans="1:45" ht="11.4" customHeight="1">
      <c r="A88" s="154" t="s">
        <v>1116</v>
      </c>
    </row>
    <row r="89" spans="1:45" ht="11.4" customHeight="1">
      <c r="A89" s="154" t="s">
        <v>1143</v>
      </c>
    </row>
    <row r="90" spans="1:45" ht="11.4" customHeight="1">
      <c r="A90" s="131" t="s">
        <v>1144</v>
      </c>
    </row>
    <row r="91" spans="1:45" ht="11.4" customHeight="1">
      <c r="A91" s="131" t="s">
        <v>1120</v>
      </c>
    </row>
    <row r="92" spans="1:45" ht="11.4" customHeight="1">
      <c r="A92" s="131" t="s">
        <v>1121</v>
      </c>
    </row>
    <row r="93" spans="1:45" ht="11.4" customHeight="1">
      <c r="A93" s="151" t="s">
        <v>1145</v>
      </c>
    </row>
    <row r="94" spans="1:45" ht="11.4" customHeight="1">
      <c r="A94" s="131" t="s">
        <v>1146</v>
      </c>
    </row>
    <row r="95" spans="1:45" ht="11.4" customHeight="1">
      <c r="A95" s="152" t="s">
        <v>1147</v>
      </c>
    </row>
    <row r="96" spans="1:45" ht="11.4" customHeight="1">
      <c r="A96" s="132" t="s">
        <v>1148</v>
      </c>
    </row>
    <row r="97" spans="1:1" ht="11.4" customHeight="1">
      <c r="A97" s="132"/>
    </row>
  </sheetData>
  <mergeCells count="1">
    <mergeCell ref="AQ4:AR4"/>
  </mergeCells>
  <conditionalFormatting sqref="AQ7:AS83">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6B6FB-2B98-4B99-B3ED-0DB4FFCE19F4}">
  <sheetPr>
    <tabColor theme="5" tint="0.39997558519241921"/>
  </sheetPr>
  <dimension ref="A1:E12"/>
  <sheetViews>
    <sheetView workbookViewId="0">
      <selection activeCell="A11" sqref="A11"/>
    </sheetView>
  </sheetViews>
  <sheetFormatPr defaultRowHeight="15.6"/>
  <cols>
    <col min="1" max="1" width="34.59765625" customWidth="1"/>
    <col min="2" max="2" width="13" bestFit="1" customWidth="1"/>
    <col min="3" max="3" width="15.59765625" bestFit="1" customWidth="1"/>
    <col min="4" max="4" width="12.3984375" bestFit="1" customWidth="1"/>
    <col min="5" max="5" width="11" bestFit="1" customWidth="1"/>
  </cols>
  <sheetData>
    <row r="1" spans="1:5">
      <c r="A1" t="s">
        <v>2703</v>
      </c>
    </row>
    <row r="2" spans="1:5">
      <c r="A2" t="s">
        <v>2704</v>
      </c>
      <c r="B2" t="s">
        <v>2705</v>
      </c>
      <c r="C2" t="s">
        <v>2706</v>
      </c>
      <c r="D2" t="s">
        <v>2707</v>
      </c>
      <c r="E2" t="s">
        <v>2708</v>
      </c>
    </row>
    <row r="3" spans="1:5" ht="31.2">
      <c r="A3" s="546" t="s">
        <v>2709</v>
      </c>
      <c r="B3">
        <v>88</v>
      </c>
      <c r="C3">
        <v>111</v>
      </c>
      <c r="D3">
        <v>130</v>
      </c>
      <c r="E3">
        <v>48</v>
      </c>
    </row>
    <row r="4" spans="1:5" ht="31.2">
      <c r="A4" s="546" t="s">
        <v>2710</v>
      </c>
      <c r="B4">
        <v>27</v>
      </c>
      <c r="C4">
        <v>32</v>
      </c>
      <c r="D4">
        <v>32</v>
      </c>
      <c r="E4">
        <v>19</v>
      </c>
    </row>
    <row r="5" spans="1:5">
      <c r="A5" t="s">
        <v>2711</v>
      </c>
      <c r="B5">
        <v>62</v>
      </c>
      <c r="C5">
        <v>78</v>
      </c>
      <c r="D5">
        <v>128</v>
      </c>
      <c r="E5">
        <v>106</v>
      </c>
    </row>
    <row r="6" spans="1:5">
      <c r="A6" t="s">
        <v>2712</v>
      </c>
      <c r="B6">
        <v>13</v>
      </c>
      <c r="C6">
        <v>17</v>
      </c>
      <c r="D6">
        <v>27</v>
      </c>
      <c r="E6">
        <v>108</v>
      </c>
    </row>
    <row r="7" spans="1:5">
      <c r="A7" t="s">
        <v>2713</v>
      </c>
      <c r="B7">
        <v>68</v>
      </c>
      <c r="C7">
        <v>113</v>
      </c>
      <c r="D7">
        <v>187</v>
      </c>
      <c r="E7">
        <v>175</v>
      </c>
    </row>
    <row r="8" spans="1:5">
      <c r="A8" t="s">
        <v>1746</v>
      </c>
      <c r="B8">
        <v>15</v>
      </c>
      <c r="C8">
        <v>28</v>
      </c>
      <c r="D8">
        <v>37</v>
      </c>
      <c r="E8">
        <v>147</v>
      </c>
    </row>
    <row r="9" spans="1:5">
      <c r="A9" t="s">
        <v>2714</v>
      </c>
      <c r="B9">
        <v>145</v>
      </c>
      <c r="C9">
        <v>177</v>
      </c>
      <c r="D9">
        <v>213</v>
      </c>
      <c r="E9">
        <v>47</v>
      </c>
    </row>
    <row r="10" spans="1:5">
      <c r="A10" t="s">
        <v>2715</v>
      </c>
      <c r="B10">
        <v>53</v>
      </c>
      <c r="C10">
        <v>69</v>
      </c>
      <c r="D10">
        <v>91</v>
      </c>
      <c r="E10">
        <v>72</v>
      </c>
    </row>
    <row r="11" spans="1:5">
      <c r="A11" t="s">
        <v>2716</v>
      </c>
      <c r="B11">
        <v>42</v>
      </c>
      <c r="C11">
        <v>45</v>
      </c>
      <c r="D11">
        <v>49</v>
      </c>
      <c r="E11">
        <v>17</v>
      </c>
    </row>
    <row r="12" spans="1:5">
      <c r="A12" t="s">
        <v>823</v>
      </c>
      <c r="B12">
        <v>513</v>
      </c>
      <c r="C12">
        <v>669</v>
      </c>
      <c r="D12">
        <v>894</v>
      </c>
      <c r="E12">
        <v>67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2A504-22AD-458A-9377-9961D18BB9C5}">
  <sheetPr>
    <tabColor theme="5" tint="0.39997558519241921"/>
  </sheetPr>
  <dimension ref="A1:L76"/>
  <sheetViews>
    <sheetView workbookViewId="0">
      <selection activeCell="M37" sqref="M37"/>
    </sheetView>
  </sheetViews>
  <sheetFormatPr defaultColWidth="6.5" defaultRowHeight="14.4"/>
  <cols>
    <col min="1" max="1" width="22" style="131" customWidth="1"/>
    <col min="2" max="6" width="13.3984375" style="131" customWidth="1"/>
    <col min="7" max="16384" width="6.5" style="131"/>
  </cols>
  <sheetData>
    <row r="1" spans="1:12" s="106" customFormat="1" ht="10.199999999999999">
      <c r="A1" s="106" t="s">
        <v>1036</v>
      </c>
    </row>
    <row r="2" spans="1:12" s="106" customFormat="1" ht="10.199999999999999"/>
    <row r="3" spans="1:12">
      <c r="A3" s="155" t="s">
        <v>1149</v>
      </c>
      <c r="G3" s="156" t="s">
        <v>1038</v>
      </c>
      <c r="H3" s="112"/>
      <c r="L3" s="112"/>
    </row>
    <row r="4" spans="1:12">
      <c r="A4" s="155" t="s">
        <v>1150</v>
      </c>
    </row>
    <row r="5" spans="1:12" ht="12" customHeight="1">
      <c r="B5" s="136" t="s">
        <v>1151</v>
      </c>
      <c r="C5" s="136" t="s">
        <v>1152</v>
      </c>
    </row>
    <row r="6" spans="1:12" ht="12" customHeight="1">
      <c r="A6" s="131" t="s">
        <v>1153</v>
      </c>
      <c r="B6" s="136" t="s">
        <v>1154</v>
      </c>
      <c r="C6" s="136" t="s">
        <v>1155</v>
      </c>
      <c r="D6" s="136" t="s">
        <v>823</v>
      </c>
      <c r="E6" s="136" t="s">
        <v>1156</v>
      </c>
      <c r="F6" s="136" t="s">
        <v>1157</v>
      </c>
    </row>
    <row r="7" spans="1:12" ht="12" customHeight="1">
      <c r="D7" s="132"/>
      <c r="F7" s="157"/>
    </row>
    <row r="8" spans="1:12" ht="12" customHeight="1">
      <c r="A8" s="131" t="s">
        <v>199</v>
      </c>
      <c r="B8" s="158">
        <v>4346</v>
      </c>
      <c r="C8" s="158">
        <v>2236</v>
      </c>
      <c r="D8" s="159">
        <v>6582</v>
      </c>
      <c r="E8" s="160">
        <v>6.1278754091767312E-3</v>
      </c>
      <c r="F8" s="157">
        <v>166.42117460920855</v>
      </c>
    </row>
    <row r="9" spans="1:12" ht="12" customHeight="1">
      <c r="A9" s="131" t="s">
        <v>237</v>
      </c>
      <c r="B9" s="158">
        <v>1160</v>
      </c>
      <c r="C9" s="158">
        <v>51</v>
      </c>
      <c r="D9" s="159">
        <v>1211</v>
      </c>
      <c r="E9" s="160">
        <v>1.1274471468418446E-3</v>
      </c>
      <c r="F9" s="157">
        <v>184.99943253123462</v>
      </c>
    </row>
    <row r="10" spans="1:12" ht="12" customHeight="1">
      <c r="A10" s="131" t="s">
        <v>1043</v>
      </c>
      <c r="B10" s="158">
        <v>218938</v>
      </c>
      <c r="C10" s="158">
        <v>30003</v>
      </c>
      <c r="D10" s="159">
        <v>248941</v>
      </c>
      <c r="E10" s="160">
        <v>0.23176533458460416</v>
      </c>
      <c r="F10" s="157">
        <v>513.58656592211571</v>
      </c>
    </row>
    <row r="11" spans="1:12" s="132" customFormat="1" ht="12" customHeight="1">
      <c r="A11" s="141" t="s">
        <v>1044</v>
      </c>
      <c r="B11" s="161">
        <v>224444</v>
      </c>
      <c r="C11" s="161">
        <v>32290</v>
      </c>
      <c r="D11" s="162">
        <v>256734</v>
      </c>
      <c r="E11" s="163">
        <v>0.23902065714062273</v>
      </c>
      <c r="F11" s="164">
        <v>483.66722248484115</v>
      </c>
    </row>
    <row r="12" spans="1:12" ht="12" customHeight="1">
      <c r="B12" s="165"/>
      <c r="C12" s="165"/>
      <c r="D12" s="166"/>
      <c r="E12" s="160"/>
      <c r="F12" s="157"/>
    </row>
    <row r="13" spans="1:12" ht="12" customHeight="1">
      <c r="A13" s="131" t="s">
        <v>197</v>
      </c>
      <c r="B13" s="158">
        <v>1547</v>
      </c>
      <c r="C13" s="158">
        <v>5049</v>
      </c>
      <c r="D13" s="159">
        <v>6596</v>
      </c>
      <c r="E13" s="160">
        <v>6.1409094802384861E-3</v>
      </c>
      <c r="F13" s="157">
        <v>1396.4599866366657</v>
      </c>
    </row>
    <row r="14" spans="1:12" ht="12" customHeight="1">
      <c r="A14" s="131" t="s">
        <v>1046</v>
      </c>
      <c r="B14" s="158">
        <v>4554</v>
      </c>
      <c r="C14" s="158">
        <v>0</v>
      </c>
      <c r="D14" s="159">
        <v>4554</v>
      </c>
      <c r="E14" s="160">
        <v>4.2397971153738728E-3</v>
      </c>
      <c r="F14" s="157">
        <v>89.989913446760653</v>
      </c>
    </row>
    <row r="15" spans="1:12" ht="12" customHeight="1">
      <c r="A15" s="131" t="s">
        <v>1050</v>
      </c>
      <c r="B15" s="158">
        <v>731</v>
      </c>
      <c r="C15" s="158">
        <v>0</v>
      </c>
      <c r="D15" s="159">
        <v>731</v>
      </c>
      <c r="E15" s="160">
        <v>6.8056471043880136E-4</v>
      </c>
      <c r="F15" s="157">
        <v>1049.348700047799</v>
      </c>
    </row>
    <row r="16" spans="1:12" ht="12" customHeight="1">
      <c r="A16" s="131" t="s">
        <v>1051</v>
      </c>
      <c r="B16" s="158">
        <v>1784</v>
      </c>
      <c r="C16" s="158">
        <v>24</v>
      </c>
      <c r="D16" s="159">
        <v>1808</v>
      </c>
      <c r="E16" s="160">
        <v>1.6832571771181297E-3</v>
      </c>
      <c r="F16" s="157">
        <v>1763.7450102300343</v>
      </c>
    </row>
    <row r="17" spans="1:6" s="132" customFormat="1" ht="12" customHeight="1">
      <c r="A17" s="141" t="s">
        <v>1052</v>
      </c>
      <c r="B17" s="161">
        <v>8616</v>
      </c>
      <c r="C17" s="161">
        <v>5073</v>
      </c>
      <c r="D17" s="162">
        <v>13689</v>
      </c>
      <c r="E17" s="163">
        <v>1.2744528483169291E-2</v>
      </c>
      <c r="F17" s="164">
        <v>239.94422822849987</v>
      </c>
    </row>
    <row r="18" spans="1:6" ht="12" customHeight="1">
      <c r="B18" s="165"/>
      <c r="C18" s="165"/>
      <c r="D18" s="166"/>
      <c r="E18" s="160"/>
      <c r="F18" s="157"/>
    </row>
    <row r="19" spans="1:6" ht="12" customHeight="1">
      <c r="A19" s="131" t="s">
        <v>1158</v>
      </c>
      <c r="B19" s="158">
        <v>191.99999999999997</v>
      </c>
      <c r="C19" s="158">
        <v>2174</v>
      </c>
      <c r="D19" s="159">
        <v>2366</v>
      </c>
      <c r="E19" s="160">
        <v>2.2027580094366676E-3</v>
      </c>
      <c r="F19" s="157">
        <v>192.44974368262189</v>
      </c>
    </row>
    <row r="20" spans="1:6" ht="12" customHeight="1">
      <c r="A20" s="131" t="s">
        <v>1159</v>
      </c>
      <c r="B20" s="158">
        <v>1081</v>
      </c>
      <c r="C20" s="158">
        <v>2514.0000000000005</v>
      </c>
      <c r="D20" s="159">
        <v>3595.0000000000005</v>
      </c>
      <c r="E20" s="160">
        <v>3.3469632476436266E-3</v>
      </c>
      <c r="F20" s="157">
        <v>113.33445088520402</v>
      </c>
    </row>
    <row r="21" spans="1:6" ht="12" customHeight="1">
      <c r="A21" s="131" t="s">
        <v>1130</v>
      </c>
      <c r="B21" s="158">
        <v>0</v>
      </c>
      <c r="C21" s="158">
        <v>35900</v>
      </c>
      <c r="D21" s="159">
        <v>35900</v>
      </c>
      <c r="E21" s="160">
        <v>3.3423082222644278E-2</v>
      </c>
      <c r="F21" s="157">
        <v>334.26443202979516</v>
      </c>
    </row>
    <row r="22" spans="1:6" ht="12" customHeight="1">
      <c r="A22" s="131" t="s">
        <v>1160</v>
      </c>
      <c r="B22" s="158">
        <v>0</v>
      </c>
      <c r="C22" s="158">
        <v>2876</v>
      </c>
      <c r="D22" s="159">
        <v>2876</v>
      </c>
      <c r="E22" s="160">
        <v>2.6775705981149011E-3</v>
      </c>
      <c r="F22" s="157">
        <v>205.45479663835584</v>
      </c>
    </row>
    <row r="23" spans="1:6" ht="12" customHeight="1">
      <c r="A23" s="131" t="s">
        <v>1161</v>
      </c>
      <c r="B23" s="158">
        <v>276</v>
      </c>
      <c r="C23" s="158">
        <v>2633</v>
      </c>
      <c r="D23" s="159">
        <v>2909</v>
      </c>
      <c r="E23" s="160">
        <v>2.7082937656176102E-3</v>
      </c>
      <c r="F23" s="157">
        <v>474.9410348569283</v>
      </c>
    </row>
    <row r="24" spans="1:6" ht="12" customHeight="1">
      <c r="A24" s="131" t="s">
        <v>1132</v>
      </c>
      <c r="B24" s="158">
        <v>22530</v>
      </c>
      <c r="C24" s="158">
        <v>5864.9999999999991</v>
      </c>
      <c r="D24" s="159">
        <v>28395</v>
      </c>
      <c r="E24" s="160">
        <v>2.6435889128467529E-2</v>
      </c>
      <c r="F24" s="157">
        <v>281.9837806742766</v>
      </c>
    </row>
    <row r="25" spans="1:6" ht="12" customHeight="1">
      <c r="A25" s="131" t="s">
        <v>1056</v>
      </c>
      <c r="B25" s="158">
        <v>10.999999999999998</v>
      </c>
      <c r="C25" s="158">
        <v>280</v>
      </c>
      <c r="D25" s="159">
        <v>291</v>
      </c>
      <c r="E25" s="160">
        <v>2.7092247706934496E-4</v>
      </c>
      <c r="F25" s="157">
        <v>19.398021702256894</v>
      </c>
    </row>
    <row r="26" spans="1:6" ht="12" customHeight="1">
      <c r="A26" s="131" t="s">
        <v>1162</v>
      </c>
      <c r="B26" s="158">
        <v>402</v>
      </c>
      <c r="C26" s="158">
        <v>7111.9999999999991</v>
      </c>
      <c r="D26" s="159">
        <v>7513.9999999999991</v>
      </c>
      <c r="E26" s="160">
        <v>6.9955721398593058E-3</v>
      </c>
      <c r="F26" s="157">
        <v>188.86889582473125</v>
      </c>
    </row>
    <row r="27" spans="1:6" ht="12" customHeight="1">
      <c r="A27" s="131" t="s">
        <v>1163</v>
      </c>
      <c r="B27" s="158">
        <v>868.00000000000011</v>
      </c>
      <c r="C27" s="158">
        <v>319</v>
      </c>
      <c r="D27" s="159">
        <v>1187</v>
      </c>
      <c r="E27" s="160">
        <v>1.1051030250216925E-3</v>
      </c>
      <c r="F27" s="157">
        <v>282.46942666925054</v>
      </c>
    </row>
    <row r="28" spans="1:6" ht="12" customHeight="1">
      <c r="A28" s="131" t="s">
        <v>1164</v>
      </c>
      <c r="B28" s="158">
        <v>550</v>
      </c>
      <c r="C28" s="158">
        <v>10975</v>
      </c>
      <c r="D28" s="159">
        <v>11525</v>
      </c>
      <c r="E28" s="160">
        <v>1.0729833499052236E-2</v>
      </c>
      <c r="F28" s="157">
        <v>167.97703038009095</v>
      </c>
    </row>
    <row r="29" spans="1:6" ht="12" customHeight="1">
      <c r="A29" s="131" t="s">
        <v>1133</v>
      </c>
      <c r="B29" s="158">
        <v>32039</v>
      </c>
      <c r="C29" s="158">
        <v>2336</v>
      </c>
      <c r="D29" s="159">
        <v>34375</v>
      </c>
      <c r="E29" s="160">
        <v>3.2003299481988774E-2</v>
      </c>
      <c r="F29" s="157">
        <v>1428.6640249471363</v>
      </c>
    </row>
    <row r="30" spans="1:6" ht="12" customHeight="1">
      <c r="A30" s="131" t="s">
        <v>1057</v>
      </c>
      <c r="B30" s="158">
        <v>25.999999999999996</v>
      </c>
      <c r="C30" s="158">
        <v>0</v>
      </c>
      <c r="D30" s="159">
        <v>25.999999999999996</v>
      </c>
      <c r="E30" s="160">
        <v>2.4206131971831509E-5</v>
      </c>
      <c r="F30" s="157">
        <v>15.538250990563498</v>
      </c>
    </row>
    <row r="31" spans="1:6" ht="12" customHeight="1">
      <c r="A31" s="131" t="s">
        <v>1058</v>
      </c>
      <c r="B31" s="158">
        <v>1109</v>
      </c>
      <c r="C31" s="158">
        <v>5172</v>
      </c>
      <c r="D31" s="159">
        <v>6281</v>
      </c>
      <c r="E31" s="160">
        <v>5.8476428813489887E-3</v>
      </c>
      <c r="F31" s="157">
        <v>188.58018727511967</v>
      </c>
    </row>
    <row r="32" spans="1:6" ht="12" customHeight="1">
      <c r="A32" s="141" t="s">
        <v>1165</v>
      </c>
      <c r="B32" s="161">
        <v>59084</v>
      </c>
      <c r="C32" s="161">
        <v>78156</v>
      </c>
      <c r="D32" s="162">
        <v>137240</v>
      </c>
      <c r="E32" s="163">
        <v>0.1277711366082368</v>
      </c>
      <c r="F32" s="164">
        <v>299.07965293451173</v>
      </c>
    </row>
    <row r="33" spans="1:6" ht="12" customHeight="1">
      <c r="B33" s="158"/>
      <c r="C33" s="158"/>
      <c r="D33" s="159"/>
      <c r="E33" s="160"/>
      <c r="F33" s="157"/>
    </row>
    <row r="34" spans="1:6" ht="12" customHeight="1">
      <c r="A34" s="131" t="s">
        <v>1062</v>
      </c>
      <c r="B34" s="158">
        <v>25605</v>
      </c>
      <c r="C34" s="158">
        <v>0</v>
      </c>
      <c r="D34" s="159">
        <v>25605</v>
      </c>
      <c r="E34" s="160">
        <v>2.3838384966874838E-2</v>
      </c>
      <c r="F34" s="157">
        <v>226.2429445424246</v>
      </c>
    </row>
    <row r="35" spans="1:6" ht="12" customHeight="1">
      <c r="A35" s="131" t="s">
        <v>242</v>
      </c>
      <c r="B35" s="158">
        <v>71719</v>
      </c>
      <c r="C35" s="158">
        <v>90446.999999999985</v>
      </c>
      <c r="D35" s="159">
        <v>162166</v>
      </c>
      <c r="E35" s="160">
        <v>0.15097736912861648</v>
      </c>
      <c r="F35" s="157">
        <v>407.14536781320612</v>
      </c>
    </row>
    <row r="36" spans="1:6" ht="12" customHeight="1">
      <c r="A36" s="131" t="s">
        <v>1065</v>
      </c>
      <c r="B36" s="158">
        <v>1375.0000000000002</v>
      </c>
      <c r="C36" s="158">
        <v>0</v>
      </c>
      <c r="D36" s="159">
        <v>1375.0000000000002</v>
      </c>
      <c r="E36" s="160">
        <v>1.2801319792795512E-3</v>
      </c>
      <c r="F36" s="157">
        <v>332.68400673778274</v>
      </c>
    </row>
    <row r="37" spans="1:6" ht="12" customHeight="1">
      <c r="A37" s="131" t="s">
        <v>1066</v>
      </c>
      <c r="B37" s="158">
        <v>1509</v>
      </c>
      <c r="C37" s="158">
        <v>0</v>
      </c>
      <c r="D37" s="159">
        <v>1509</v>
      </c>
      <c r="E37" s="160">
        <v>1.4048866594420673E-3</v>
      </c>
      <c r="F37" s="157">
        <v>336.19998217627659</v>
      </c>
    </row>
    <row r="38" spans="1:6" s="132" customFormat="1" ht="12" customHeight="1">
      <c r="A38" s="141" t="s">
        <v>1067</v>
      </c>
      <c r="B38" s="161">
        <v>100208</v>
      </c>
      <c r="C38" s="161">
        <v>90446.999999999985</v>
      </c>
      <c r="D38" s="162">
        <v>190655</v>
      </c>
      <c r="E38" s="163">
        <v>0.17750077273421294</v>
      </c>
      <c r="F38" s="164">
        <v>366.57637811610056</v>
      </c>
    </row>
    <row r="39" spans="1:6" ht="12" customHeight="1">
      <c r="B39" s="165"/>
      <c r="C39" s="165"/>
      <c r="D39" s="166"/>
      <c r="E39" s="160"/>
      <c r="F39" s="157"/>
    </row>
    <row r="40" spans="1:6" ht="12" customHeight="1">
      <c r="A40" s="131" t="s">
        <v>1166</v>
      </c>
      <c r="B40" s="158">
        <v>9893</v>
      </c>
      <c r="C40" s="158">
        <v>0</v>
      </c>
      <c r="D40" s="159">
        <v>9893</v>
      </c>
      <c r="E40" s="160">
        <v>9.21043321528189E-3</v>
      </c>
      <c r="F40" s="157">
        <v>39.836631528808347</v>
      </c>
    </row>
    <row r="41" spans="1:6" ht="12" customHeight="1">
      <c r="A41" s="131" t="s">
        <v>1167</v>
      </c>
      <c r="B41" s="158">
        <v>501.99999999999994</v>
      </c>
      <c r="C41" s="158">
        <v>0</v>
      </c>
      <c r="D41" s="159">
        <v>501.99999999999994</v>
      </c>
      <c r="E41" s="160">
        <v>4.6736454807151602E-4</v>
      </c>
      <c r="F41" s="157">
        <v>153.04587202124412</v>
      </c>
    </row>
    <row r="42" spans="1:6" ht="12" customHeight="1">
      <c r="A42" s="131" t="s">
        <v>1090</v>
      </c>
      <c r="B42" s="158">
        <v>4376</v>
      </c>
      <c r="C42" s="158">
        <v>66</v>
      </c>
      <c r="D42" s="159">
        <v>4442</v>
      </c>
      <c r="E42" s="160">
        <v>4.1355245468798294E-3</v>
      </c>
      <c r="F42" s="157">
        <v>280.37332026228182</v>
      </c>
    </row>
    <row r="43" spans="1:6" ht="12" customHeight="1">
      <c r="A43" s="131" t="s">
        <v>1168</v>
      </c>
      <c r="B43" s="158">
        <v>1203</v>
      </c>
      <c r="C43" s="158">
        <v>0</v>
      </c>
      <c r="D43" s="159">
        <v>1203</v>
      </c>
      <c r="E43" s="160">
        <v>1.1199991062351272E-3</v>
      </c>
      <c r="F43" s="157">
        <v>703.20405017474889</v>
      </c>
    </row>
    <row r="44" spans="1:6" s="132" customFormat="1" ht="12" customHeight="1">
      <c r="A44" s="141" t="s">
        <v>1169</v>
      </c>
      <c r="B44" s="161">
        <v>15974</v>
      </c>
      <c r="C44" s="161">
        <v>66</v>
      </c>
      <c r="D44" s="162">
        <v>16040</v>
      </c>
      <c r="E44" s="163">
        <v>1.4933321416468363E-2</v>
      </c>
      <c r="F44" s="164">
        <v>59.589876964283974</v>
      </c>
    </row>
    <row r="45" spans="1:6" ht="12" customHeight="1">
      <c r="B45" s="165"/>
      <c r="C45" s="165"/>
      <c r="D45" s="166"/>
      <c r="E45" s="160"/>
      <c r="F45" s="157"/>
    </row>
    <row r="46" spans="1:6" ht="12" customHeight="1">
      <c r="A46" s="131" t="s">
        <v>1092</v>
      </c>
      <c r="B46" s="158">
        <v>73719</v>
      </c>
      <c r="C46" s="158">
        <v>76508</v>
      </c>
      <c r="D46" s="159">
        <v>150227</v>
      </c>
      <c r="E46" s="160">
        <v>0.13986209952816664</v>
      </c>
      <c r="F46" s="157">
        <v>315.12672842257831</v>
      </c>
    </row>
    <row r="47" spans="1:6" ht="12" customHeight="1">
      <c r="A47" s="131" t="s">
        <v>203</v>
      </c>
      <c r="B47" s="158">
        <v>135069</v>
      </c>
      <c r="C47" s="158">
        <v>8127.9999999999991</v>
      </c>
      <c r="D47" s="159">
        <v>143197</v>
      </c>
      <c r="E47" s="160">
        <v>0.13331713384501373</v>
      </c>
      <c r="F47" s="157">
        <v>36.698359815479243</v>
      </c>
    </row>
    <row r="48" spans="1:6" ht="12" customHeight="1">
      <c r="A48" s="131" t="s">
        <v>224</v>
      </c>
      <c r="B48" s="158">
        <v>105979</v>
      </c>
      <c r="C48" s="158">
        <v>5073</v>
      </c>
      <c r="D48" s="159">
        <v>111052</v>
      </c>
      <c r="E48" s="160">
        <v>0.10338997568214742</v>
      </c>
      <c r="F48" s="157">
        <v>146.79828304838179</v>
      </c>
    </row>
    <row r="49" spans="1:6" ht="12" customHeight="1">
      <c r="A49" s="131" t="s">
        <v>1094</v>
      </c>
      <c r="B49" s="158">
        <v>23140.999999999996</v>
      </c>
      <c r="C49" s="158">
        <v>11728.000000000002</v>
      </c>
      <c r="D49" s="159">
        <v>34869</v>
      </c>
      <c r="E49" s="160">
        <v>3.2463215989453571E-2</v>
      </c>
      <c r="F49" s="157">
        <v>61.986027411871369</v>
      </c>
    </row>
    <row r="50" spans="1:6" ht="12" customHeight="1">
      <c r="A50" s="131" t="s">
        <v>226</v>
      </c>
      <c r="B50" s="158">
        <v>339.99999999999994</v>
      </c>
      <c r="C50" s="158">
        <v>10</v>
      </c>
      <c r="D50" s="159">
        <v>349.99999999999994</v>
      </c>
      <c r="E50" s="160">
        <v>3.2585177654388567E-4</v>
      </c>
      <c r="F50" s="157">
        <v>453.36082858815649</v>
      </c>
    </row>
    <row r="51" spans="1:6" ht="12" customHeight="1">
      <c r="A51" s="131" t="s">
        <v>1170</v>
      </c>
      <c r="B51" s="158">
        <v>1170</v>
      </c>
      <c r="C51" s="158">
        <v>1349.9999999999998</v>
      </c>
      <c r="D51" s="159">
        <v>2520</v>
      </c>
      <c r="E51" s="160">
        <v>2.3461327911159773E-3</v>
      </c>
      <c r="F51" s="157">
        <v>58.496772231675067</v>
      </c>
    </row>
    <row r="52" spans="1:6" ht="12" customHeight="1">
      <c r="A52" s="131" t="s">
        <v>1171</v>
      </c>
      <c r="B52" s="158">
        <v>825.00000000000011</v>
      </c>
      <c r="C52" s="158">
        <v>6750</v>
      </c>
      <c r="D52" s="159">
        <v>7575</v>
      </c>
      <c r="E52" s="160">
        <v>7.0523634494855268E-3</v>
      </c>
      <c r="F52" s="157">
        <v>2687.4262509924856</v>
      </c>
    </row>
    <row r="53" spans="1:6" ht="12" customHeight="1">
      <c r="A53" s="131" t="s">
        <v>1138</v>
      </c>
      <c r="B53" s="158">
        <v>207</v>
      </c>
      <c r="C53" s="158">
        <v>2857</v>
      </c>
      <c r="D53" s="159">
        <v>3064</v>
      </c>
      <c r="E53" s="160">
        <v>2.8525995523727594E-3</v>
      </c>
      <c r="F53" s="157">
        <v>395.83249361035405</v>
      </c>
    </row>
    <row r="54" spans="1:6" ht="12" customHeight="1">
      <c r="A54" s="131" t="s">
        <v>1172</v>
      </c>
      <c r="B54" s="158">
        <v>326</v>
      </c>
      <c r="C54" s="158">
        <v>0</v>
      </c>
      <c r="D54" s="159">
        <v>326</v>
      </c>
      <c r="E54" s="160">
        <v>3.0350765472373357E-4</v>
      </c>
      <c r="F54" s="157">
        <v>319.92149165848866</v>
      </c>
    </row>
    <row r="55" spans="1:6" ht="12" customHeight="1">
      <c r="A55" s="131" t="s">
        <v>1096</v>
      </c>
      <c r="B55" s="158">
        <v>0</v>
      </c>
      <c r="C55" s="158">
        <v>1063</v>
      </c>
      <c r="D55" s="159">
        <v>1063</v>
      </c>
      <c r="E55" s="160">
        <v>9.896583956175728E-4</v>
      </c>
      <c r="F55" s="157">
        <v>80.222939776042921</v>
      </c>
    </row>
    <row r="56" spans="1:6" ht="12" customHeight="1">
      <c r="A56" s="131" t="s">
        <v>1097</v>
      </c>
      <c r="B56" s="158">
        <v>3115.9999999999995</v>
      </c>
      <c r="C56" s="158">
        <v>244</v>
      </c>
      <c r="D56" s="159">
        <v>3359.9999999999995</v>
      </c>
      <c r="E56" s="160">
        <v>3.1281770548213027E-3</v>
      </c>
      <c r="F56" s="157">
        <v>69.111059003566609</v>
      </c>
    </row>
    <row r="57" spans="1:6" ht="12" customHeight="1">
      <c r="A57" s="131" t="s">
        <v>1098</v>
      </c>
      <c r="B57" s="158">
        <v>1421</v>
      </c>
      <c r="C57" s="158">
        <v>726</v>
      </c>
      <c r="D57" s="159">
        <v>2147</v>
      </c>
      <c r="E57" s="160">
        <v>1.9988678978277788E-3</v>
      </c>
      <c r="F57" s="157">
        <v>33.381951392869588</v>
      </c>
    </row>
    <row r="58" spans="1:6" s="132" customFormat="1" ht="12" customHeight="1">
      <c r="A58" s="141" t="s">
        <v>1099</v>
      </c>
      <c r="B58" s="161">
        <v>345313</v>
      </c>
      <c r="C58" s="161">
        <v>114437</v>
      </c>
      <c r="D58" s="162">
        <v>459750</v>
      </c>
      <c r="E58" s="163">
        <v>0.42802958361728988</v>
      </c>
      <c r="F58" s="164">
        <v>78.197326805406433</v>
      </c>
    </row>
    <row r="59" spans="1:6" ht="12" customHeight="1">
      <c r="B59" s="165"/>
      <c r="C59" s="165"/>
      <c r="D59" s="166"/>
      <c r="E59" s="160"/>
      <c r="F59" s="157"/>
    </row>
    <row r="60" spans="1:6" s="147" customFormat="1" ht="12" customHeight="1">
      <c r="A60" s="167" t="s">
        <v>1100</v>
      </c>
      <c r="B60" s="168">
        <v>753639</v>
      </c>
      <c r="C60" s="168">
        <v>320469</v>
      </c>
      <c r="D60" s="168">
        <v>1074108</v>
      </c>
      <c r="E60" s="169">
        <v>1</v>
      </c>
      <c r="F60" s="170">
        <v>139.2168574311134</v>
      </c>
    </row>
    <row r="61" spans="1:6" ht="12" customHeight="1">
      <c r="A61" s="131" t="s">
        <v>1101</v>
      </c>
      <c r="B61" s="158">
        <v>331303</v>
      </c>
      <c r="C61" s="158">
        <v>177130</v>
      </c>
      <c r="D61" s="159">
        <v>508433</v>
      </c>
      <c r="E61" s="160">
        <v>0.47335370372439273</v>
      </c>
      <c r="F61" s="157">
        <v>362.56928559255715</v>
      </c>
    </row>
    <row r="62" spans="1:6" ht="12" customHeight="1">
      <c r="A62" s="131" t="s">
        <v>1102</v>
      </c>
      <c r="B62" s="158">
        <v>422336</v>
      </c>
      <c r="C62" s="158">
        <v>143338.99999999997</v>
      </c>
      <c r="D62" s="159">
        <v>565675</v>
      </c>
      <c r="E62" s="160">
        <v>0.52664629627560733</v>
      </c>
      <c r="F62" s="157">
        <v>89.604031667707076</v>
      </c>
    </row>
    <row r="63" spans="1:6" ht="12" customHeight="1">
      <c r="A63" s="148" t="s">
        <v>1173</v>
      </c>
      <c r="B63" s="161">
        <v>25539</v>
      </c>
      <c r="C63" s="161">
        <v>53051</v>
      </c>
      <c r="D63" s="162">
        <v>78590</v>
      </c>
      <c r="E63" s="163">
        <v>7.3167688910239934E-2</v>
      </c>
      <c r="F63" s="164">
        <v>265.78371191581698</v>
      </c>
    </row>
    <row r="64" spans="1:6" ht="12" customHeight="1">
      <c r="B64" s="158"/>
      <c r="C64" s="158"/>
      <c r="D64" s="159"/>
      <c r="E64" s="160"/>
      <c r="F64" s="157"/>
    </row>
    <row r="65" spans="1:6" ht="11.4" customHeight="1">
      <c r="A65" s="127" t="s">
        <v>1109</v>
      </c>
      <c r="B65" s="158"/>
      <c r="C65" s="158"/>
      <c r="D65" s="159"/>
      <c r="E65" s="160"/>
      <c r="F65" s="157"/>
    </row>
    <row r="66" spans="1:6" ht="11.4" customHeight="1">
      <c r="A66" s="171" t="s">
        <v>1174</v>
      </c>
      <c r="B66" s="158"/>
      <c r="C66" s="158"/>
      <c r="D66" s="159"/>
      <c r="E66" s="160"/>
      <c r="F66" s="157"/>
    </row>
    <row r="67" spans="1:6" ht="11.4" customHeight="1">
      <c r="A67" s="131" t="s">
        <v>1175</v>
      </c>
      <c r="F67" s="136"/>
    </row>
    <row r="68" spans="1:6" ht="11.4" customHeight="1">
      <c r="A68" s="172" t="s">
        <v>1115</v>
      </c>
    </row>
    <row r="69" spans="1:6" ht="11.4" customHeight="1">
      <c r="A69" s="132" t="s">
        <v>1176</v>
      </c>
    </row>
    <row r="70" spans="1:6" ht="11.4" customHeight="1">
      <c r="A70" s="131" t="s">
        <v>1177</v>
      </c>
    </row>
    <row r="71" spans="1:6" ht="11.4" customHeight="1">
      <c r="A71" s="131" t="s">
        <v>1120</v>
      </c>
    </row>
    <row r="72" spans="1:6" ht="11.4" customHeight="1">
      <c r="A72" s="131" t="s">
        <v>1121</v>
      </c>
    </row>
    <row r="73" spans="1:6" ht="11.4" customHeight="1">
      <c r="A73" s="132" t="s">
        <v>1178</v>
      </c>
    </row>
    <row r="74" spans="1:6" ht="11.4" customHeight="1">
      <c r="A74" s="131" t="s">
        <v>1179</v>
      </c>
    </row>
    <row r="75" spans="1:6" ht="11.4" customHeight="1">
      <c r="A75" s="132" t="s">
        <v>1180</v>
      </c>
    </row>
    <row r="76" spans="1:6" ht="11.4" customHeight="1">
      <c r="A76" s="132" t="s">
        <v>1181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2C98A-F2E3-42D7-9EF4-D0E60B682162}">
  <sheetPr>
    <tabColor theme="5" tint="0.39997558519241921"/>
  </sheetPr>
  <dimension ref="A1:U58"/>
  <sheetViews>
    <sheetView topLeftCell="F1" workbookViewId="0">
      <selection activeCell="T56" sqref="T4:T56"/>
    </sheetView>
  </sheetViews>
  <sheetFormatPr defaultColWidth="9" defaultRowHeight="14.4"/>
  <cols>
    <col min="1" max="1" width="23" style="179" bestFit="1" customWidth="1"/>
    <col min="2" max="3" width="9.59765625" style="179" bestFit="1" customWidth="1"/>
    <col min="4" max="4" width="10.8984375" style="179" bestFit="1" customWidth="1"/>
    <col min="5" max="5" width="11.59765625" style="179" bestFit="1" customWidth="1"/>
    <col min="6" max="7" width="9" style="179"/>
    <col min="8" max="8" width="22" style="179" bestFit="1" customWidth="1"/>
    <col min="9" max="10" width="10.59765625" style="179" bestFit="1" customWidth="1"/>
    <col min="11" max="12" width="11.5" style="179" bestFit="1" customWidth="1"/>
    <col min="13" max="13" width="9" style="179"/>
    <col min="14" max="14" width="9" style="203"/>
    <col min="15" max="15" width="9" style="179"/>
    <col min="16" max="16" width="24.3984375" style="179" bestFit="1" customWidth="1"/>
    <col min="17" max="20" width="8.69921875" style="179" bestFit="1" customWidth="1"/>
    <col min="21" max="16384" width="9" style="179"/>
  </cols>
  <sheetData>
    <row r="1" spans="1:21" ht="86.4">
      <c r="A1" s="200" t="s">
        <v>1182</v>
      </c>
      <c r="B1" s="186"/>
      <c r="C1" s="186"/>
      <c r="D1" s="186"/>
      <c r="E1" s="186"/>
      <c r="F1" s="186"/>
      <c r="G1" s="508"/>
      <c r="H1" s="201" t="s">
        <v>1183</v>
      </c>
      <c r="I1" s="192"/>
      <c r="J1" s="192"/>
      <c r="K1" s="192"/>
      <c r="L1" s="192"/>
      <c r="M1" s="192"/>
      <c r="N1" s="509"/>
      <c r="O1" s="508"/>
      <c r="P1" s="310" t="s">
        <v>1184</v>
      </c>
      <c r="Q1" s="310"/>
      <c r="R1" s="310"/>
      <c r="S1" s="310"/>
      <c r="T1" s="310"/>
      <c r="U1" s="310"/>
    </row>
    <row r="2" spans="1:21" ht="15.6">
      <c r="A2" s="187" t="s">
        <v>1185</v>
      </c>
      <c r="B2" s="188" t="s">
        <v>1186</v>
      </c>
      <c r="C2" s="188"/>
      <c r="D2" s="188"/>
      <c r="E2" s="189"/>
      <c r="F2" s="177"/>
      <c r="G2" s="508"/>
      <c r="H2" s="193" t="s">
        <v>1187</v>
      </c>
      <c r="I2" s="194" t="s">
        <v>1186</v>
      </c>
      <c r="J2" s="194"/>
      <c r="K2" s="194"/>
      <c r="L2" s="195"/>
      <c r="M2" s="178"/>
      <c r="N2" s="509" t="s">
        <v>811</v>
      </c>
      <c r="O2" s="508"/>
      <c r="P2" s="300" t="s">
        <v>1188</v>
      </c>
      <c r="Q2" s="301">
        <v>2016</v>
      </c>
      <c r="R2" s="302">
        <v>2017</v>
      </c>
      <c r="S2" s="301">
        <v>2018</v>
      </c>
      <c r="T2" s="303">
        <v>2019</v>
      </c>
      <c r="U2" s="304"/>
    </row>
    <row r="3" spans="1:21" ht="15.6">
      <c r="A3" s="187"/>
      <c r="B3" s="190" t="s">
        <v>1189</v>
      </c>
      <c r="C3" s="191" t="s">
        <v>1190</v>
      </c>
      <c r="D3" s="191" t="s">
        <v>1191</v>
      </c>
      <c r="E3" s="180" t="s">
        <v>1192</v>
      </c>
      <c r="F3" s="177"/>
      <c r="G3" s="508"/>
      <c r="H3" s="193"/>
      <c r="I3" s="181" t="s">
        <v>1189</v>
      </c>
      <c r="J3" s="182" t="s">
        <v>1190</v>
      </c>
      <c r="K3" s="182" t="s">
        <v>1191</v>
      </c>
      <c r="L3" s="182" t="s">
        <v>1192</v>
      </c>
      <c r="M3" s="178"/>
      <c r="N3" s="509"/>
      <c r="O3" s="508"/>
      <c r="P3" s="311"/>
      <c r="Q3" s="301"/>
      <c r="R3" s="302"/>
      <c r="S3" s="301"/>
      <c r="T3" s="301"/>
      <c r="U3" s="304"/>
    </row>
    <row r="4" spans="1:21" ht="15.6">
      <c r="A4" s="197" t="s">
        <v>1079</v>
      </c>
      <c r="B4" s="202">
        <v>0</v>
      </c>
      <c r="C4" s="202">
        <v>0</v>
      </c>
      <c r="D4" s="202">
        <v>0</v>
      </c>
      <c r="E4" s="202">
        <v>19500</v>
      </c>
      <c r="F4" s="177"/>
      <c r="G4" s="508"/>
      <c r="H4" s="197" t="s">
        <v>1079</v>
      </c>
      <c r="I4" s="202">
        <v>0</v>
      </c>
      <c r="J4" s="202">
        <v>0</v>
      </c>
      <c r="K4" s="202">
        <v>0</v>
      </c>
      <c r="L4" s="202">
        <v>0</v>
      </c>
      <c r="M4" s="178"/>
      <c r="N4" s="509" t="str">
        <f>_xlfn.XLOOKUP(H4,'Region Mapping'!B:B,'Region Mapping'!A:A)</f>
        <v>AFN</v>
      </c>
      <c r="O4" s="508"/>
      <c r="P4" s="197" t="s">
        <v>1079</v>
      </c>
      <c r="Q4" s="202">
        <v>0</v>
      </c>
      <c r="R4" s="202">
        <v>0</v>
      </c>
      <c r="S4" s="202">
        <v>0</v>
      </c>
      <c r="T4" s="202">
        <v>0</v>
      </c>
      <c r="U4" s="304"/>
    </row>
    <row r="5" spans="1:21" ht="15.6">
      <c r="A5" s="197" t="s">
        <v>1045</v>
      </c>
      <c r="B5" s="202">
        <v>0</v>
      </c>
      <c r="C5" s="202">
        <v>5100</v>
      </c>
      <c r="D5" s="202">
        <v>11000</v>
      </c>
      <c r="E5" s="202">
        <v>11000</v>
      </c>
      <c r="F5" s="177"/>
      <c r="G5" s="508"/>
      <c r="H5" s="197" t="s">
        <v>1045</v>
      </c>
      <c r="I5" s="202">
        <v>2400</v>
      </c>
      <c r="J5" s="202">
        <v>12700</v>
      </c>
      <c r="K5" s="202">
        <v>27700</v>
      </c>
      <c r="L5" s="202">
        <v>28800</v>
      </c>
      <c r="M5" s="178"/>
      <c r="N5" s="509" t="str">
        <f>_xlfn.XLOOKUP(H5,'Region Mapping'!B:B,'Region Mapping'!A:A)</f>
        <v>LAM</v>
      </c>
      <c r="O5" s="508"/>
      <c r="P5" s="197" t="s">
        <v>1045</v>
      </c>
      <c r="Q5" s="202">
        <v>0</v>
      </c>
      <c r="R5" s="202">
        <v>0</v>
      </c>
      <c r="S5" s="202">
        <v>0</v>
      </c>
      <c r="T5" s="202">
        <v>0</v>
      </c>
      <c r="U5" s="304"/>
    </row>
    <row r="6" spans="1:21" ht="15.6">
      <c r="A6" s="197" t="s">
        <v>1092</v>
      </c>
      <c r="B6" s="202">
        <v>0</v>
      </c>
      <c r="C6" s="202">
        <v>0</v>
      </c>
      <c r="D6" s="202">
        <v>1183900</v>
      </c>
      <c r="E6" s="202">
        <v>1284800</v>
      </c>
      <c r="F6" s="177"/>
      <c r="G6" s="508"/>
      <c r="H6" s="197" t="s">
        <v>1092</v>
      </c>
      <c r="I6" s="202">
        <v>0</v>
      </c>
      <c r="J6" s="202">
        <v>0</v>
      </c>
      <c r="K6" s="202">
        <v>508800</v>
      </c>
      <c r="L6" s="202">
        <v>764600</v>
      </c>
      <c r="M6" s="178"/>
      <c r="N6" s="509" t="str">
        <f>_xlfn.XLOOKUP(H6,'Region Mapping'!B:B,'Region Mapping'!A:A)</f>
        <v>ANZ</v>
      </c>
      <c r="O6" s="508"/>
      <c r="P6" s="197" t="s">
        <v>1092</v>
      </c>
      <c r="Q6" s="202">
        <v>6313</v>
      </c>
      <c r="R6" s="202">
        <v>5882</v>
      </c>
      <c r="S6" s="202">
        <v>6526</v>
      </c>
      <c r="T6" s="202">
        <v>6613</v>
      </c>
      <c r="U6" s="304"/>
    </row>
    <row r="7" spans="1:21" ht="15.6">
      <c r="A7" s="197" t="s">
        <v>1193</v>
      </c>
      <c r="B7" s="202">
        <v>0</v>
      </c>
      <c r="C7" s="202">
        <v>0</v>
      </c>
      <c r="D7" s="202">
        <v>20400</v>
      </c>
      <c r="E7" s="202">
        <v>20400</v>
      </c>
      <c r="F7" s="177"/>
      <c r="G7" s="508"/>
      <c r="H7" s="197" t="s">
        <v>1193</v>
      </c>
      <c r="I7" s="202">
        <v>0</v>
      </c>
      <c r="J7" s="202">
        <v>0</v>
      </c>
      <c r="K7" s="202">
        <v>66800</v>
      </c>
      <c r="L7" s="202">
        <v>66800</v>
      </c>
      <c r="M7" s="178"/>
      <c r="N7" s="509" t="str">
        <f>_xlfn.XLOOKUP(H7,'Region Mapping'!B:B,'Region Mapping'!A:A)</f>
        <v>AFZ</v>
      </c>
      <c r="O7" s="508"/>
      <c r="P7" s="197" t="s">
        <v>1193</v>
      </c>
      <c r="Q7" s="202"/>
      <c r="R7" s="202"/>
      <c r="S7" s="202"/>
      <c r="T7" s="202"/>
      <c r="U7" s="304"/>
    </row>
    <row r="8" spans="1:21" ht="15.6">
      <c r="A8" s="197" t="s">
        <v>197</v>
      </c>
      <c r="B8" s="202">
        <v>138100</v>
      </c>
      <c r="C8" s="202">
        <v>155900</v>
      </c>
      <c r="D8" s="202">
        <v>155900</v>
      </c>
      <c r="E8" s="202">
        <v>155900</v>
      </c>
      <c r="F8" s="177"/>
      <c r="G8" s="508"/>
      <c r="H8" s="197" t="s">
        <v>197</v>
      </c>
      <c r="I8" s="202">
        <v>0</v>
      </c>
      <c r="J8" s="202">
        <v>73500</v>
      </c>
      <c r="K8" s="202">
        <v>120900</v>
      </c>
      <c r="L8" s="202">
        <v>120900</v>
      </c>
      <c r="M8" s="178"/>
      <c r="N8" s="509" t="str">
        <f>_xlfn.XLOOKUP(H8,'Region Mapping'!B:B,'Region Mapping'!A:A)</f>
        <v>BRA</v>
      </c>
      <c r="O8" s="508"/>
      <c r="P8" s="197" t="s">
        <v>197</v>
      </c>
      <c r="Q8" s="202">
        <v>0</v>
      </c>
      <c r="R8" s="202">
        <v>0</v>
      </c>
      <c r="S8" s="202">
        <v>0</v>
      </c>
      <c r="T8" s="202">
        <v>0</v>
      </c>
      <c r="U8" s="304"/>
    </row>
    <row r="9" spans="1:21" ht="15.6">
      <c r="A9" s="197" t="s">
        <v>199</v>
      </c>
      <c r="B9" s="202">
        <v>258500</v>
      </c>
      <c r="C9" s="202">
        <v>258500</v>
      </c>
      <c r="D9" s="202">
        <v>461600</v>
      </c>
      <c r="E9" s="202">
        <v>652200</v>
      </c>
      <c r="F9" s="177"/>
      <c r="G9" s="508"/>
      <c r="H9" s="197" t="s">
        <v>199</v>
      </c>
      <c r="I9" s="202">
        <v>1900</v>
      </c>
      <c r="J9" s="202">
        <v>10900</v>
      </c>
      <c r="K9" s="202">
        <v>103300</v>
      </c>
      <c r="L9" s="202">
        <v>220800</v>
      </c>
      <c r="M9" s="178"/>
      <c r="N9" s="509" t="str">
        <f>_xlfn.XLOOKUP(H9,'Region Mapping'!B:B,'Region Mapping'!A:A)</f>
        <v>CAN</v>
      </c>
      <c r="O9" s="508"/>
      <c r="P9" s="197" t="s">
        <v>199</v>
      </c>
      <c r="Q9" s="202">
        <v>14039</v>
      </c>
      <c r="R9" s="202">
        <v>13130</v>
      </c>
      <c r="S9" s="202">
        <v>6996</v>
      </c>
      <c r="T9" s="202">
        <v>6944</v>
      </c>
      <c r="U9" s="304"/>
    </row>
    <row r="10" spans="1:21" ht="15.6">
      <c r="A10" s="197" t="s">
        <v>1194</v>
      </c>
      <c r="B10" s="202">
        <v>0</v>
      </c>
      <c r="C10" s="202">
        <v>0</v>
      </c>
      <c r="D10" s="202">
        <v>32000</v>
      </c>
      <c r="E10" s="202">
        <v>32000</v>
      </c>
      <c r="F10" s="508"/>
      <c r="G10" s="508"/>
      <c r="H10" s="197" t="s">
        <v>1194</v>
      </c>
      <c r="I10" s="202">
        <v>0</v>
      </c>
      <c r="J10" s="202">
        <v>0</v>
      </c>
      <c r="K10" s="202">
        <v>0</v>
      </c>
      <c r="L10" s="202">
        <v>0</v>
      </c>
      <c r="M10" s="178"/>
      <c r="N10" s="509" t="str">
        <f>_xlfn.XLOOKUP(H10,'Region Mapping'!B:B,'Region Mapping'!A:A)</f>
        <v>AFW</v>
      </c>
      <c r="O10" s="508"/>
      <c r="P10" s="197" t="s">
        <v>1194</v>
      </c>
      <c r="Q10" s="202"/>
      <c r="R10" s="202"/>
      <c r="S10" s="202"/>
      <c r="T10" s="202"/>
      <c r="U10" s="304"/>
    </row>
    <row r="11" spans="1:21" ht="15.6">
      <c r="A11" s="197" t="s">
        <v>1081</v>
      </c>
      <c r="B11" s="202">
        <v>0</v>
      </c>
      <c r="C11" s="202">
        <v>0</v>
      </c>
      <c r="D11" s="202">
        <v>0</v>
      </c>
      <c r="E11" s="202">
        <v>0</v>
      </c>
      <c r="F11" s="508"/>
      <c r="G11" s="508"/>
      <c r="H11" s="197" t="s">
        <v>1081</v>
      </c>
      <c r="I11" s="202">
        <v>0</v>
      </c>
      <c r="J11" s="202">
        <v>0</v>
      </c>
      <c r="K11" s="202">
        <v>0</v>
      </c>
      <c r="L11" s="202">
        <v>2400</v>
      </c>
      <c r="M11" s="178"/>
      <c r="N11" s="509" t="str">
        <f>_xlfn.XLOOKUP(H11,'Region Mapping'!B:B,'Region Mapping'!A:A)</f>
        <v>AFW</v>
      </c>
      <c r="O11" s="508"/>
      <c r="P11" s="197" t="s">
        <v>1081</v>
      </c>
      <c r="Q11" s="202"/>
      <c r="R11" s="202"/>
      <c r="S11" s="202"/>
      <c r="T11" s="202"/>
      <c r="U11" s="304"/>
    </row>
    <row r="12" spans="1:21" ht="15.6">
      <c r="A12" s="197" t="s">
        <v>201</v>
      </c>
      <c r="B12" s="202">
        <v>0</v>
      </c>
      <c r="C12" s="202">
        <v>0</v>
      </c>
      <c r="D12" s="202">
        <v>0</v>
      </c>
      <c r="E12" s="202">
        <v>600</v>
      </c>
      <c r="F12" s="508"/>
      <c r="G12" s="508"/>
      <c r="H12" s="197" t="s">
        <v>201</v>
      </c>
      <c r="I12" s="202">
        <v>0</v>
      </c>
      <c r="J12" s="202">
        <v>0</v>
      </c>
      <c r="K12" s="202">
        <v>0</v>
      </c>
      <c r="L12" s="202">
        <v>900</v>
      </c>
      <c r="M12" s="178"/>
      <c r="N12" s="509" t="str">
        <f>_xlfn.XLOOKUP(H12,'Region Mapping'!B:B,'Region Mapping'!A:A)</f>
        <v>CHL</v>
      </c>
      <c r="O12" s="508"/>
      <c r="P12" s="197" t="s">
        <v>201</v>
      </c>
      <c r="Q12" s="202"/>
      <c r="R12" s="202"/>
      <c r="S12" s="202"/>
      <c r="T12" s="202"/>
      <c r="U12" s="304"/>
    </row>
    <row r="13" spans="1:21" ht="15.6">
      <c r="A13" s="197" t="s">
        <v>203</v>
      </c>
      <c r="B13" s="202">
        <v>37100</v>
      </c>
      <c r="C13" s="202">
        <v>64500</v>
      </c>
      <c r="D13" s="202">
        <v>119000</v>
      </c>
      <c r="E13" s="202">
        <v>122600</v>
      </c>
      <c r="F13" s="508"/>
      <c r="G13" s="508"/>
      <c r="H13" s="197" t="s">
        <v>203</v>
      </c>
      <c r="I13" s="202">
        <v>48900</v>
      </c>
      <c r="J13" s="202">
        <v>89700</v>
      </c>
      <c r="K13" s="202">
        <v>129900</v>
      </c>
      <c r="L13" s="202">
        <v>147100</v>
      </c>
      <c r="M13" s="178"/>
      <c r="N13" s="509" t="str">
        <f>_xlfn.XLOOKUP(H13,'Region Mapping'!B:B,'Region Mapping'!A:A)</f>
        <v>CHN</v>
      </c>
      <c r="O13" s="508"/>
      <c r="P13" s="197" t="s">
        <v>203</v>
      </c>
      <c r="Q13" s="202">
        <v>1650</v>
      </c>
      <c r="R13" s="202">
        <v>1580</v>
      </c>
      <c r="S13" s="202">
        <v>1620</v>
      </c>
      <c r="T13" s="202">
        <v>1600</v>
      </c>
      <c r="U13" s="304"/>
    </row>
    <row r="14" spans="1:21" ht="15.6">
      <c r="A14" s="197" t="s">
        <v>1195</v>
      </c>
      <c r="B14" s="202">
        <v>0</v>
      </c>
      <c r="C14" s="202">
        <v>0</v>
      </c>
      <c r="D14" s="202">
        <v>0</v>
      </c>
      <c r="E14" s="202">
        <v>1400</v>
      </c>
      <c r="F14" s="508"/>
      <c r="G14" s="508"/>
      <c r="H14" s="197" t="s">
        <v>1195</v>
      </c>
      <c r="I14" s="202">
        <v>0</v>
      </c>
      <c r="J14" s="202">
        <v>0</v>
      </c>
      <c r="K14" s="202">
        <v>0</v>
      </c>
      <c r="L14" s="202">
        <v>1300</v>
      </c>
      <c r="M14" s="178"/>
      <c r="N14" s="509" t="str">
        <f>_xlfn.XLOOKUP(H14,'Region Mapping'!B:B,'Region Mapping'!A:A)</f>
        <v>AFW</v>
      </c>
      <c r="O14" s="508"/>
      <c r="P14" s="197" t="s">
        <v>1195</v>
      </c>
      <c r="Q14" s="202">
        <v>0</v>
      </c>
      <c r="R14" s="202">
        <v>0</v>
      </c>
      <c r="S14" s="202">
        <v>0</v>
      </c>
      <c r="T14" s="202">
        <v>0</v>
      </c>
      <c r="U14" s="304"/>
    </row>
    <row r="15" spans="1:21" ht="15.6">
      <c r="A15" s="197" t="s">
        <v>1196</v>
      </c>
      <c r="B15" s="202">
        <v>0</v>
      </c>
      <c r="C15" s="202">
        <v>0</v>
      </c>
      <c r="D15" s="202">
        <v>900</v>
      </c>
      <c r="E15" s="202">
        <v>50900</v>
      </c>
      <c r="F15" s="508"/>
      <c r="G15" s="508"/>
      <c r="H15" s="197" t="s">
        <v>1196</v>
      </c>
      <c r="I15" s="202">
        <v>0</v>
      </c>
      <c r="J15" s="202">
        <v>0</v>
      </c>
      <c r="K15" s="202">
        <v>0</v>
      </c>
      <c r="L15" s="202">
        <v>68300</v>
      </c>
      <c r="M15" s="178"/>
      <c r="N15" s="509" t="str">
        <f>_xlfn.XLOOKUP(H15,'Region Mapping'!B:B,'Region Mapping'!A:A)</f>
        <v>EUE</v>
      </c>
      <c r="O15" s="508"/>
      <c r="P15" s="197" t="s">
        <v>1196</v>
      </c>
      <c r="Q15" s="202">
        <v>138</v>
      </c>
      <c r="R15" s="202">
        <v>64</v>
      </c>
      <c r="S15" s="202">
        <v>34</v>
      </c>
      <c r="T15" s="202">
        <v>39</v>
      </c>
      <c r="U15" s="304"/>
    </row>
    <row r="16" spans="1:21" ht="15.6">
      <c r="A16" s="197" t="s">
        <v>1083</v>
      </c>
      <c r="B16" s="202">
        <v>0</v>
      </c>
      <c r="C16" s="202">
        <v>0</v>
      </c>
      <c r="D16" s="202">
        <v>0</v>
      </c>
      <c r="E16" s="202">
        <v>0</v>
      </c>
      <c r="F16" s="508"/>
      <c r="G16" s="508"/>
      <c r="H16" s="197" t="s">
        <v>1083</v>
      </c>
      <c r="I16" s="202">
        <v>0</v>
      </c>
      <c r="J16" s="202">
        <v>0</v>
      </c>
      <c r="K16" s="202">
        <v>400</v>
      </c>
      <c r="L16" s="202">
        <v>1900</v>
      </c>
      <c r="M16" s="178"/>
      <c r="N16" s="509" t="str">
        <f>_xlfn.XLOOKUP(H16,'Region Mapping'!B:B,'Region Mapping'!A:A)</f>
        <v>AFN</v>
      </c>
      <c r="O16" s="508"/>
      <c r="P16" s="197" t="s">
        <v>1083</v>
      </c>
      <c r="Q16" s="202"/>
      <c r="R16" s="202"/>
      <c r="S16" s="202"/>
      <c r="T16" s="202"/>
      <c r="U16" s="304"/>
    </row>
    <row r="17" spans="1:21" ht="15.6">
      <c r="A17" s="197" t="s">
        <v>1197</v>
      </c>
      <c r="B17" s="202">
        <v>0</v>
      </c>
      <c r="C17" s="202">
        <v>0</v>
      </c>
      <c r="D17" s="202">
        <v>1200</v>
      </c>
      <c r="E17" s="202">
        <v>1200</v>
      </c>
      <c r="F17" s="508"/>
      <c r="G17" s="508"/>
      <c r="H17" s="197" t="s">
        <v>1197</v>
      </c>
      <c r="I17" s="202">
        <v>0</v>
      </c>
      <c r="J17" s="202">
        <v>0</v>
      </c>
      <c r="K17" s="202">
        <v>0</v>
      </c>
      <c r="L17" s="202">
        <v>0</v>
      </c>
      <c r="M17" s="508"/>
      <c r="N17" s="509" t="str">
        <f>_xlfn.XLOOKUP(H17,'Region Mapping'!B:B,'Region Mapping'!A:A)</f>
        <v>EUW</v>
      </c>
      <c r="O17" s="508"/>
      <c r="P17" s="197" t="s">
        <v>1197</v>
      </c>
      <c r="Q17" s="202">
        <v>0</v>
      </c>
      <c r="R17" s="202">
        <v>0</v>
      </c>
      <c r="S17" s="202">
        <v>0</v>
      </c>
      <c r="T17" s="202">
        <v>0</v>
      </c>
      <c r="U17" s="304"/>
    </row>
    <row r="18" spans="1:21" ht="15.6">
      <c r="A18" s="197" t="s">
        <v>1085</v>
      </c>
      <c r="B18" s="202">
        <v>0</v>
      </c>
      <c r="C18" s="202">
        <v>0</v>
      </c>
      <c r="D18" s="202">
        <v>4800</v>
      </c>
      <c r="E18" s="202">
        <v>4800</v>
      </c>
      <c r="F18" s="508"/>
      <c r="G18" s="508"/>
      <c r="H18" s="197" t="s">
        <v>1085</v>
      </c>
      <c r="I18" s="202">
        <v>0</v>
      </c>
      <c r="J18" s="202">
        <v>0</v>
      </c>
      <c r="K18" s="202">
        <v>0</v>
      </c>
      <c r="L18" s="202">
        <v>1000</v>
      </c>
      <c r="M18" s="508"/>
      <c r="N18" s="509" t="str">
        <f>_xlfn.XLOOKUP(H18,'Region Mapping'!B:B,'Region Mapping'!A:A)</f>
        <v>AFW</v>
      </c>
      <c r="O18" s="508"/>
      <c r="P18" s="197" t="s">
        <v>1085</v>
      </c>
      <c r="Q18" s="202">
        <v>0</v>
      </c>
      <c r="R18" s="202">
        <v>0</v>
      </c>
      <c r="S18" s="202">
        <v>0</v>
      </c>
      <c r="T18" s="202">
        <v>0</v>
      </c>
      <c r="U18" s="304"/>
    </row>
    <row r="19" spans="1:21" ht="15.6">
      <c r="A19" s="197" t="s">
        <v>1130</v>
      </c>
      <c r="B19" s="202">
        <v>0</v>
      </c>
      <c r="C19" s="202">
        <v>0</v>
      </c>
      <c r="D19" s="202">
        <v>0</v>
      </c>
      <c r="E19" s="202">
        <v>3000</v>
      </c>
      <c r="F19" s="508"/>
      <c r="G19" s="508"/>
      <c r="H19" s="197" t="s">
        <v>1130</v>
      </c>
      <c r="I19" s="202">
        <v>0</v>
      </c>
      <c r="J19" s="202">
        <v>0</v>
      </c>
      <c r="K19" s="202">
        <v>0</v>
      </c>
      <c r="L19" s="202">
        <v>4000</v>
      </c>
      <c r="M19" s="508"/>
      <c r="N19" s="509" t="str">
        <f>_xlfn.XLOOKUP(H19,'Region Mapping'!B:B,'Region Mapping'!A:A)</f>
        <v>EUW</v>
      </c>
      <c r="O19" s="508"/>
      <c r="P19" s="197" t="s">
        <v>1130</v>
      </c>
      <c r="Q19" s="202"/>
      <c r="R19" s="202"/>
      <c r="S19" s="202"/>
      <c r="T19" s="202"/>
      <c r="U19" s="304"/>
    </row>
    <row r="20" spans="1:21" ht="15.6">
      <c r="A20" s="197" t="s">
        <v>1160</v>
      </c>
      <c r="B20" s="202">
        <v>0</v>
      </c>
      <c r="C20" s="202">
        <v>0</v>
      </c>
      <c r="D20" s="202">
        <v>0</v>
      </c>
      <c r="E20" s="202">
        <v>1000</v>
      </c>
      <c r="F20" s="508"/>
      <c r="G20" s="508"/>
      <c r="H20" s="197" t="s">
        <v>1160</v>
      </c>
      <c r="I20" s="202">
        <v>0</v>
      </c>
      <c r="J20" s="202">
        <v>0</v>
      </c>
      <c r="K20" s="202">
        <v>0</v>
      </c>
      <c r="L20" s="202">
        <v>6000</v>
      </c>
      <c r="M20" s="508"/>
      <c r="N20" s="509" t="str">
        <f>_xlfn.XLOOKUP(H20,'Region Mapping'!B:B,'Region Mapping'!A:A)</f>
        <v>EUM</v>
      </c>
      <c r="O20" s="508"/>
      <c r="P20" s="197" t="s">
        <v>1160</v>
      </c>
      <c r="Q20" s="202"/>
      <c r="R20" s="202"/>
      <c r="S20" s="202"/>
      <c r="T20" s="202"/>
      <c r="U20" s="304"/>
    </row>
    <row r="21" spans="1:21" ht="15.6">
      <c r="A21" s="197" t="s">
        <v>1198</v>
      </c>
      <c r="B21" s="202">
        <v>0</v>
      </c>
      <c r="C21" s="202">
        <v>0</v>
      </c>
      <c r="D21" s="202">
        <v>0</v>
      </c>
      <c r="E21" s="202">
        <v>51400</v>
      </c>
      <c r="F21" s="508"/>
      <c r="G21" s="508"/>
      <c r="H21" s="197" t="s">
        <v>1198</v>
      </c>
      <c r="I21" s="202">
        <v>0</v>
      </c>
      <c r="J21" s="202">
        <v>0</v>
      </c>
      <c r="K21" s="202">
        <v>0</v>
      </c>
      <c r="L21" s="202">
        <v>62600</v>
      </c>
      <c r="M21" s="508"/>
      <c r="N21" s="509" t="str">
        <f>_xlfn.XLOOKUP(H21,'Region Mapping'!B:B,'Region Mapping'!A:A)</f>
        <v>EUW</v>
      </c>
      <c r="O21" s="508"/>
      <c r="P21" s="197" t="s">
        <v>1198</v>
      </c>
      <c r="Q21" s="202"/>
      <c r="R21" s="202"/>
      <c r="S21" s="202"/>
      <c r="T21" s="202"/>
      <c r="U21" s="304"/>
    </row>
    <row r="22" spans="1:21" ht="15.6">
      <c r="A22" s="197" t="s">
        <v>1161</v>
      </c>
      <c r="B22" s="202">
        <v>0</v>
      </c>
      <c r="C22" s="202">
        <v>0</v>
      </c>
      <c r="D22" s="202">
        <v>0</v>
      </c>
      <c r="E22" s="202">
        <v>0</v>
      </c>
      <c r="F22" s="508"/>
      <c r="G22" s="508"/>
      <c r="H22" s="197" t="s">
        <v>1161</v>
      </c>
      <c r="I22" s="202">
        <v>0</v>
      </c>
      <c r="J22" s="202">
        <v>0</v>
      </c>
      <c r="K22" s="202">
        <v>0</v>
      </c>
      <c r="L22" s="202">
        <v>13500</v>
      </c>
      <c r="M22" s="508"/>
      <c r="N22" s="509" t="str">
        <f>_xlfn.XLOOKUP(H22,'Region Mapping'!B:B,'Region Mapping'!A:A)</f>
        <v>EUE</v>
      </c>
      <c r="O22" s="508"/>
      <c r="P22" s="197" t="s">
        <v>1161</v>
      </c>
      <c r="Q22" s="202"/>
      <c r="R22" s="202"/>
      <c r="S22" s="202"/>
      <c r="T22" s="202"/>
      <c r="U22" s="304"/>
    </row>
    <row r="23" spans="1:21" ht="15.6">
      <c r="A23" s="197" t="s">
        <v>224</v>
      </c>
      <c r="B23" s="202">
        <v>0</v>
      </c>
      <c r="C23" s="202">
        <v>0</v>
      </c>
      <c r="D23" s="202">
        <v>0</v>
      </c>
      <c r="E23" s="202">
        <v>188000</v>
      </c>
      <c r="F23" s="508"/>
      <c r="G23" s="508"/>
      <c r="H23" s="197" t="s">
        <v>224</v>
      </c>
      <c r="I23" s="202">
        <v>0</v>
      </c>
      <c r="J23" s="202">
        <v>0</v>
      </c>
      <c r="K23" s="202">
        <v>0</v>
      </c>
      <c r="L23" s="202">
        <v>8000</v>
      </c>
      <c r="M23" s="508"/>
      <c r="N23" s="509" t="str">
        <f>_xlfn.XLOOKUP(H23,'Region Mapping'!B:B,'Region Mapping'!A:A)</f>
        <v>IND</v>
      </c>
      <c r="O23" s="508"/>
      <c r="P23" s="197" t="s">
        <v>224</v>
      </c>
      <c r="Q23" s="202">
        <v>385</v>
      </c>
      <c r="R23" s="202">
        <v>400</v>
      </c>
      <c r="S23" s="202">
        <v>400</v>
      </c>
      <c r="T23" s="202">
        <v>400</v>
      </c>
      <c r="U23" s="304"/>
    </row>
    <row r="24" spans="1:21" ht="15.6">
      <c r="A24" s="197" t="s">
        <v>1094</v>
      </c>
      <c r="B24" s="202">
        <v>0</v>
      </c>
      <c r="C24" s="202">
        <v>1500</v>
      </c>
      <c r="D24" s="202">
        <v>5300</v>
      </c>
      <c r="E24" s="202">
        <v>5300</v>
      </c>
      <c r="F24" s="508"/>
      <c r="G24" s="508"/>
      <c r="H24" s="197" t="s">
        <v>1094</v>
      </c>
      <c r="I24" s="202">
        <v>0</v>
      </c>
      <c r="J24" s="202">
        <v>0</v>
      </c>
      <c r="K24" s="202">
        <v>3000</v>
      </c>
      <c r="L24" s="202">
        <v>3000</v>
      </c>
      <c r="M24" s="508"/>
      <c r="N24" s="509" t="str">
        <f>_xlfn.XLOOKUP(H24,'Region Mapping'!B:B,'Region Mapping'!A:A)</f>
        <v>IDN</v>
      </c>
      <c r="O24" s="508"/>
      <c r="P24" s="197" t="s">
        <v>1094</v>
      </c>
      <c r="Q24" s="202"/>
      <c r="R24" s="202"/>
      <c r="S24" s="202"/>
      <c r="T24" s="202"/>
      <c r="U24" s="304"/>
    </row>
    <row r="25" spans="1:21" ht="15.6">
      <c r="A25" s="197" t="s">
        <v>1199</v>
      </c>
      <c r="B25" s="202">
        <v>0</v>
      </c>
      <c r="C25" s="202">
        <v>0</v>
      </c>
      <c r="D25" s="202">
        <v>3200</v>
      </c>
      <c r="E25" s="202">
        <v>3200</v>
      </c>
      <c r="F25" s="508"/>
      <c r="G25" s="508"/>
      <c r="H25" s="197" t="s">
        <v>1199</v>
      </c>
      <c r="I25" s="202">
        <v>0</v>
      </c>
      <c r="J25" s="202">
        <v>0</v>
      </c>
      <c r="K25" s="202">
        <v>4200</v>
      </c>
      <c r="L25" s="202">
        <v>4200</v>
      </c>
      <c r="M25" s="508"/>
      <c r="N25" s="509" t="str">
        <f>_xlfn.XLOOKUP(H25,'Region Mapping'!B:B,'Region Mapping'!A:A)</f>
        <v>MEA</v>
      </c>
      <c r="O25" s="508"/>
      <c r="P25" s="197" t="s">
        <v>1199</v>
      </c>
      <c r="Q25" s="202">
        <v>8</v>
      </c>
      <c r="R25" s="202">
        <v>15</v>
      </c>
      <c r="S25" s="202">
        <v>20</v>
      </c>
      <c r="T25" s="202">
        <v>21</v>
      </c>
      <c r="U25" s="304"/>
    </row>
    <row r="26" spans="1:21" ht="15.6">
      <c r="A26" s="197" t="s">
        <v>1054</v>
      </c>
      <c r="B26" s="202">
        <v>0</v>
      </c>
      <c r="C26" s="202">
        <v>4800</v>
      </c>
      <c r="D26" s="202">
        <v>4800</v>
      </c>
      <c r="E26" s="202">
        <v>4800</v>
      </c>
      <c r="F26" s="508"/>
      <c r="G26" s="508"/>
      <c r="H26" s="197" t="s">
        <v>1054</v>
      </c>
      <c r="I26" s="202">
        <v>0</v>
      </c>
      <c r="J26" s="202">
        <v>1300</v>
      </c>
      <c r="K26" s="202">
        <v>1300</v>
      </c>
      <c r="L26" s="202">
        <v>1300</v>
      </c>
      <c r="M26" s="508"/>
      <c r="N26" s="509" t="str">
        <f>_xlfn.XLOOKUP(H26,'Region Mapping'!B:B,'Region Mapping'!A:A)</f>
        <v>EUM</v>
      </c>
      <c r="O26" s="508"/>
      <c r="P26" s="197" t="s">
        <v>1054</v>
      </c>
      <c r="Q26" s="202"/>
      <c r="R26" s="202"/>
      <c r="S26" s="202"/>
      <c r="T26" s="202"/>
      <c r="U26" s="304"/>
    </row>
    <row r="27" spans="1:21" ht="15.6">
      <c r="A27" s="197" t="s">
        <v>226</v>
      </c>
      <c r="B27" s="202">
        <v>0</v>
      </c>
      <c r="C27" s="202">
        <v>0</v>
      </c>
      <c r="D27" s="202">
        <v>6600</v>
      </c>
      <c r="E27" s="202">
        <v>6600</v>
      </c>
      <c r="F27" s="508"/>
      <c r="G27" s="508"/>
      <c r="H27" s="197" t="s">
        <v>226</v>
      </c>
      <c r="I27" s="202">
        <v>0</v>
      </c>
      <c r="J27" s="202">
        <v>0</v>
      </c>
      <c r="K27" s="202">
        <v>0</v>
      </c>
      <c r="L27" s="202">
        <v>0</v>
      </c>
      <c r="M27" s="508"/>
      <c r="N27" s="509" t="str">
        <f>_xlfn.XLOOKUP(H27,'Region Mapping'!B:B,'Region Mapping'!A:A)</f>
        <v>JPN</v>
      </c>
      <c r="O27" s="508"/>
      <c r="P27" s="197" t="s">
        <v>226</v>
      </c>
      <c r="Q27" s="202">
        <v>0</v>
      </c>
      <c r="R27" s="202">
        <v>0</v>
      </c>
      <c r="S27" s="202">
        <v>0</v>
      </c>
      <c r="T27" s="202">
        <v>0</v>
      </c>
      <c r="U27" s="304"/>
    </row>
    <row r="28" spans="1:21" ht="15.6">
      <c r="A28" s="197" t="s">
        <v>1200</v>
      </c>
      <c r="B28" s="202">
        <v>0</v>
      </c>
      <c r="C28" s="202">
        <v>0</v>
      </c>
      <c r="D28" s="202">
        <v>6000</v>
      </c>
      <c r="E28" s="202">
        <v>6000</v>
      </c>
      <c r="F28" s="508"/>
      <c r="G28" s="508"/>
      <c r="H28" s="197" t="s">
        <v>1200</v>
      </c>
      <c r="I28" s="202">
        <v>0</v>
      </c>
      <c r="J28" s="202">
        <v>0</v>
      </c>
      <c r="K28" s="202">
        <v>46500</v>
      </c>
      <c r="L28" s="202">
        <v>46500</v>
      </c>
      <c r="M28" s="508"/>
      <c r="N28" s="509" t="str">
        <f>_xlfn.XLOOKUP(H28,'Region Mapping'!B:B,'Region Mapping'!A:A)</f>
        <v>MDA</v>
      </c>
      <c r="O28" s="508"/>
      <c r="P28" s="197" t="s">
        <v>1200</v>
      </c>
      <c r="Q28" s="202"/>
      <c r="R28" s="202"/>
      <c r="S28" s="202"/>
      <c r="T28" s="202"/>
      <c r="U28" s="304"/>
    </row>
    <row r="29" spans="1:21" ht="15.6">
      <c r="A29" s="197" t="s">
        <v>1062</v>
      </c>
      <c r="B29" s="202">
        <v>272200</v>
      </c>
      <c r="C29" s="202">
        <v>343800</v>
      </c>
      <c r="D29" s="202">
        <v>445100</v>
      </c>
      <c r="E29" s="202">
        <v>464700</v>
      </c>
      <c r="F29" s="508"/>
      <c r="G29" s="508"/>
      <c r="H29" s="197" t="s">
        <v>1062</v>
      </c>
      <c r="I29" s="202">
        <v>258400</v>
      </c>
      <c r="J29" s="202">
        <v>376400</v>
      </c>
      <c r="K29" s="202">
        <v>461700</v>
      </c>
      <c r="L29" s="202">
        <v>504400</v>
      </c>
      <c r="M29" s="508"/>
      <c r="N29" s="509" t="str">
        <f>_xlfn.XLOOKUP(H29,'Region Mapping'!B:B,'Region Mapping'!A:A)</f>
        <v>ASC</v>
      </c>
      <c r="O29" s="508"/>
      <c r="P29" s="197" t="s">
        <v>1062</v>
      </c>
      <c r="Q29" s="202">
        <v>24689</v>
      </c>
      <c r="R29" s="202">
        <v>23391</v>
      </c>
      <c r="S29" s="202">
        <v>21705</v>
      </c>
      <c r="T29" s="202">
        <v>22808</v>
      </c>
      <c r="U29" s="304"/>
    </row>
    <row r="30" spans="1:21" ht="15.6">
      <c r="A30" s="197" t="s">
        <v>1201</v>
      </c>
      <c r="B30" s="202">
        <v>0</v>
      </c>
      <c r="C30" s="202">
        <v>0</v>
      </c>
      <c r="D30" s="202">
        <v>4400</v>
      </c>
      <c r="E30" s="202">
        <v>9700</v>
      </c>
      <c r="F30" s="508"/>
      <c r="G30" s="508"/>
      <c r="H30" s="197" t="s">
        <v>1201</v>
      </c>
      <c r="I30" s="202">
        <v>0</v>
      </c>
      <c r="J30" s="202">
        <v>0</v>
      </c>
      <c r="K30" s="202">
        <v>1800</v>
      </c>
      <c r="L30" s="202">
        <v>4600</v>
      </c>
      <c r="M30" s="508"/>
      <c r="N30" s="509" t="str">
        <f>_xlfn.XLOOKUP(H30,'Region Mapping'!B:B,'Region Mapping'!A:A)</f>
        <v>AFW</v>
      </c>
      <c r="O30" s="508"/>
      <c r="P30" s="197" t="s">
        <v>1201</v>
      </c>
      <c r="Q30" s="202">
        <v>0</v>
      </c>
      <c r="R30" s="202">
        <v>0</v>
      </c>
      <c r="S30" s="202">
        <v>0</v>
      </c>
      <c r="T30" s="202">
        <v>0</v>
      </c>
      <c r="U30" s="304"/>
    </row>
    <row r="31" spans="1:21" ht="15.6">
      <c r="A31" s="197" t="s">
        <v>1202</v>
      </c>
      <c r="B31" s="202">
        <v>0</v>
      </c>
      <c r="C31" s="202">
        <v>0</v>
      </c>
      <c r="D31" s="202">
        <v>5000</v>
      </c>
      <c r="E31" s="202">
        <v>5000</v>
      </c>
      <c r="F31" s="508"/>
      <c r="G31" s="508"/>
      <c r="H31" s="197" t="s">
        <v>1202</v>
      </c>
      <c r="I31" s="202">
        <v>0</v>
      </c>
      <c r="J31" s="202">
        <v>0</v>
      </c>
      <c r="K31" s="202">
        <v>3900</v>
      </c>
      <c r="L31" s="202">
        <v>3900</v>
      </c>
      <c r="M31" s="508"/>
      <c r="N31" s="509" t="str">
        <f>_xlfn.XLOOKUP(H31,'Region Mapping'!B:B,'Region Mapping'!A:A)</f>
        <v>AFW</v>
      </c>
      <c r="O31" s="508"/>
      <c r="P31" s="197" t="s">
        <v>1202</v>
      </c>
      <c r="Q31" s="202"/>
      <c r="R31" s="202"/>
      <c r="S31" s="202"/>
      <c r="T31" s="202"/>
      <c r="U31" s="304"/>
    </row>
    <row r="32" spans="1:21" ht="15.6">
      <c r="A32" s="197" t="s">
        <v>1203</v>
      </c>
      <c r="B32" s="202">
        <v>0</v>
      </c>
      <c r="C32" s="202">
        <v>0</v>
      </c>
      <c r="D32" s="202">
        <v>5700</v>
      </c>
      <c r="E32" s="202">
        <v>5900</v>
      </c>
      <c r="F32" s="508"/>
      <c r="G32" s="508"/>
      <c r="H32" s="197" t="s">
        <v>1203</v>
      </c>
      <c r="I32" s="202">
        <v>0</v>
      </c>
      <c r="J32" s="202">
        <v>0</v>
      </c>
      <c r="K32" s="202">
        <v>11500</v>
      </c>
      <c r="L32" s="202">
        <v>18500</v>
      </c>
      <c r="M32" s="508"/>
      <c r="N32" s="509" t="str">
        <f>_xlfn.XLOOKUP(H32,'Region Mapping'!B:B,'Region Mapping'!A:A)</f>
        <v>AFW</v>
      </c>
      <c r="O32" s="508"/>
      <c r="P32" s="197" t="s">
        <v>1203</v>
      </c>
      <c r="Q32" s="202"/>
      <c r="R32" s="202"/>
      <c r="S32" s="202"/>
      <c r="T32" s="202"/>
      <c r="U32" s="304"/>
    </row>
    <row r="33" spans="1:21" ht="15.6">
      <c r="A33" s="197" t="s">
        <v>237</v>
      </c>
      <c r="B33" s="202">
        <v>0</v>
      </c>
      <c r="C33" s="202">
        <v>0</v>
      </c>
      <c r="D33" s="202">
        <v>1800</v>
      </c>
      <c r="E33" s="202">
        <v>1800</v>
      </c>
      <c r="F33" s="508"/>
      <c r="G33" s="508"/>
      <c r="H33" s="197" t="s">
        <v>237</v>
      </c>
      <c r="I33" s="202">
        <v>0</v>
      </c>
      <c r="J33" s="202">
        <v>0</v>
      </c>
      <c r="K33" s="202">
        <v>1800</v>
      </c>
      <c r="L33" s="202">
        <v>3200</v>
      </c>
      <c r="M33" s="508"/>
      <c r="N33" s="509" t="str">
        <f>_xlfn.XLOOKUP(H33,'Region Mapping'!B:B,'Region Mapping'!A:A)</f>
        <v>MEX</v>
      </c>
      <c r="O33" s="508"/>
      <c r="P33" s="197" t="s">
        <v>237</v>
      </c>
      <c r="Q33" s="202">
        <v>0</v>
      </c>
      <c r="R33" s="202">
        <v>0</v>
      </c>
      <c r="S33" s="202">
        <v>0</v>
      </c>
      <c r="T33" s="202">
        <v>0</v>
      </c>
      <c r="U33" s="304"/>
    </row>
    <row r="34" spans="1:21" ht="15.6">
      <c r="A34" s="197" t="s">
        <v>1170</v>
      </c>
      <c r="B34" s="202">
        <v>0</v>
      </c>
      <c r="C34" s="202">
        <v>33300</v>
      </c>
      <c r="D34" s="202">
        <v>60500</v>
      </c>
      <c r="E34" s="202">
        <v>60500</v>
      </c>
      <c r="F34" s="508"/>
      <c r="G34" s="508"/>
      <c r="H34" s="197" t="s">
        <v>1170</v>
      </c>
      <c r="I34" s="202">
        <v>0</v>
      </c>
      <c r="J34" s="202">
        <v>26700</v>
      </c>
      <c r="K34" s="202">
        <v>82900</v>
      </c>
      <c r="L34" s="202">
        <v>82900</v>
      </c>
      <c r="M34" s="508"/>
      <c r="N34" s="509" t="str">
        <f>_xlfn.XLOOKUP(H34,'Region Mapping'!B:B,'Region Mapping'!A:A)</f>
        <v>ASC</v>
      </c>
      <c r="O34" s="508"/>
      <c r="P34" s="197" t="s">
        <v>1170</v>
      </c>
      <c r="Q34" s="202">
        <v>0</v>
      </c>
      <c r="R34" s="202">
        <v>0</v>
      </c>
      <c r="S34" s="202">
        <v>0</v>
      </c>
      <c r="T34" s="202">
        <v>0</v>
      </c>
      <c r="U34" s="304"/>
    </row>
    <row r="35" spans="1:21" ht="15.6">
      <c r="A35" s="197" t="s">
        <v>1204</v>
      </c>
      <c r="B35" s="202">
        <v>0</v>
      </c>
      <c r="C35" s="202">
        <v>0</v>
      </c>
      <c r="D35" s="202">
        <v>279400</v>
      </c>
      <c r="E35" s="202">
        <v>320700</v>
      </c>
      <c r="F35" s="508"/>
      <c r="G35" s="508"/>
      <c r="H35" s="197" t="s">
        <v>1204</v>
      </c>
      <c r="I35" s="202">
        <v>0</v>
      </c>
      <c r="J35" s="202">
        <v>0</v>
      </c>
      <c r="K35" s="202">
        <v>168900</v>
      </c>
      <c r="L35" s="202">
        <v>183500</v>
      </c>
      <c r="M35" s="508"/>
      <c r="N35" s="509" t="str">
        <f>_xlfn.XLOOKUP(H35,'Region Mapping'!B:B,'Region Mapping'!A:A)</f>
        <v>AFZ</v>
      </c>
      <c r="O35" s="508"/>
      <c r="P35" s="197" t="s">
        <v>1204</v>
      </c>
      <c r="Q35" s="202">
        <v>3593</v>
      </c>
      <c r="R35" s="202">
        <v>4221</v>
      </c>
      <c r="S35" s="202">
        <v>5520</v>
      </c>
      <c r="T35" s="202">
        <v>5103</v>
      </c>
      <c r="U35" s="304"/>
    </row>
    <row r="36" spans="1:21" ht="15.6">
      <c r="A36" s="197" t="s">
        <v>1205</v>
      </c>
      <c r="B36" s="202">
        <v>0</v>
      </c>
      <c r="C36" s="202">
        <v>9900</v>
      </c>
      <c r="D36" s="202">
        <v>238700</v>
      </c>
      <c r="E36" s="202">
        <v>315500</v>
      </c>
      <c r="F36" s="508"/>
      <c r="G36" s="508"/>
      <c r="H36" s="197" t="s">
        <v>1205</v>
      </c>
      <c r="I36" s="202">
        <v>0</v>
      </c>
      <c r="J36" s="202">
        <v>0</v>
      </c>
      <c r="K36" s="202">
        <v>37700</v>
      </c>
      <c r="L36" s="202">
        <v>123900</v>
      </c>
      <c r="M36" s="508"/>
      <c r="N36" s="509" t="str">
        <f>_xlfn.XLOOKUP(H36,'Region Mapping'!B:B,'Region Mapping'!A:A)</f>
        <v>AFW</v>
      </c>
      <c r="O36" s="508"/>
      <c r="P36" s="197" t="s">
        <v>1205</v>
      </c>
      <c r="Q36" s="202">
        <v>3478</v>
      </c>
      <c r="R36" s="202">
        <v>3484</v>
      </c>
      <c r="S36" s="202">
        <v>2878</v>
      </c>
      <c r="T36" s="202">
        <v>3053</v>
      </c>
      <c r="U36" s="304"/>
    </row>
    <row r="37" spans="1:21" ht="15.6">
      <c r="A37" s="197" t="s">
        <v>1206</v>
      </c>
      <c r="B37" s="202">
        <v>0</v>
      </c>
      <c r="C37" s="202">
        <v>0</v>
      </c>
      <c r="D37" s="202">
        <v>0</v>
      </c>
      <c r="E37" s="202">
        <v>2900</v>
      </c>
      <c r="F37" s="508"/>
      <c r="G37" s="508"/>
      <c r="H37" s="197" t="s">
        <v>1206</v>
      </c>
      <c r="I37" s="202">
        <v>0</v>
      </c>
      <c r="J37" s="202">
        <v>0</v>
      </c>
      <c r="K37" s="202">
        <v>0</v>
      </c>
      <c r="L37" s="202">
        <v>700</v>
      </c>
      <c r="M37" s="508"/>
      <c r="N37" s="509" t="str">
        <f>_xlfn.XLOOKUP(H37,'Region Mapping'!B:B,'Region Mapping'!A:A)</f>
        <v>LAM</v>
      </c>
      <c r="O37" s="508"/>
      <c r="P37" s="197" t="s">
        <v>1206</v>
      </c>
      <c r="Q37" s="202"/>
      <c r="R37" s="202"/>
      <c r="S37" s="202"/>
      <c r="T37" s="202"/>
      <c r="U37" s="304"/>
    </row>
    <row r="38" spans="1:21" ht="15.6">
      <c r="A38" s="197" t="s">
        <v>1048</v>
      </c>
      <c r="B38" s="202">
        <v>0</v>
      </c>
      <c r="C38" s="202">
        <v>14000</v>
      </c>
      <c r="D38" s="202">
        <v>14000</v>
      </c>
      <c r="E38" s="202">
        <v>14000</v>
      </c>
      <c r="F38" s="508"/>
      <c r="G38" s="508"/>
      <c r="H38" s="197" t="s">
        <v>1048</v>
      </c>
      <c r="I38" s="202">
        <v>0</v>
      </c>
      <c r="J38" s="202">
        <v>19400</v>
      </c>
      <c r="K38" s="202">
        <v>19400</v>
      </c>
      <c r="L38" s="202">
        <v>19400</v>
      </c>
      <c r="M38" s="508"/>
      <c r="N38" s="509" t="str">
        <f>_xlfn.XLOOKUP(H38,'Region Mapping'!B:B,'Region Mapping'!A:A)</f>
        <v>LAM</v>
      </c>
      <c r="O38" s="508"/>
      <c r="P38" s="197" t="s">
        <v>1048</v>
      </c>
      <c r="Q38" s="202"/>
      <c r="R38" s="202"/>
      <c r="S38" s="202"/>
      <c r="T38" s="202"/>
      <c r="U38" s="304"/>
    </row>
    <row r="39" spans="1:21" ht="15.6">
      <c r="A39" s="197" t="s">
        <v>1207</v>
      </c>
      <c r="B39" s="202">
        <v>0</v>
      </c>
      <c r="C39" s="202">
        <v>4500</v>
      </c>
      <c r="D39" s="202">
        <v>6000</v>
      </c>
      <c r="E39" s="202">
        <v>6000</v>
      </c>
      <c r="F39" s="508"/>
      <c r="G39" s="508"/>
      <c r="H39" s="197" t="s">
        <v>1207</v>
      </c>
      <c r="I39" s="202">
        <v>0</v>
      </c>
      <c r="J39" s="202">
        <v>0</v>
      </c>
      <c r="K39" s="202">
        <v>1000</v>
      </c>
      <c r="L39" s="202">
        <v>1000</v>
      </c>
      <c r="M39" s="508"/>
      <c r="N39" s="509" t="str">
        <f>_xlfn.XLOOKUP(H39,'Region Mapping'!B:B,'Region Mapping'!A:A)</f>
        <v>EUM</v>
      </c>
      <c r="O39" s="508"/>
      <c r="P39" s="197" t="s">
        <v>1207</v>
      </c>
      <c r="Q39" s="202">
        <v>0</v>
      </c>
      <c r="R39" s="202">
        <v>0</v>
      </c>
      <c r="S39" s="202">
        <v>0</v>
      </c>
      <c r="T39" s="202">
        <v>0</v>
      </c>
      <c r="U39" s="304"/>
    </row>
    <row r="40" spans="1:21" ht="15.6">
      <c r="A40" s="197" t="s">
        <v>1056</v>
      </c>
      <c r="B40" s="202">
        <v>0</v>
      </c>
      <c r="C40" s="202">
        <v>0</v>
      </c>
      <c r="D40" s="202">
        <v>3000</v>
      </c>
      <c r="E40" s="202">
        <v>3000</v>
      </c>
      <c r="F40" s="508"/>
      <c r="G40" s="508"/>
      <c r="H40" s="197" t="s">
        <v>1056</v>
      </c>
      <c r="I40" s="202">
        <v>0</v>
      </c>
      <c r="J40" s="202">
        <v>0</v>
      </c>
      <c r="K40" s="202">
        <v>3600</v>
      </c>
      <c r="L40" s="202">
        <v>3600</v>
      </c>
      <c r="M40" s="508"/>
      <c r="N40" s="509" t="str">
        <f>_xlfn.XLOOKUP(H40,'Region Mapping'!B:B,'Region Mapping'!A:A)</f>
        <v>EUE</v>
      </c>
      <c r="O40" s="508"/>
      <c r="P40" s="197" t="s">
        <v>1056</v>
      </c>
      <c r="Q40" s="202">
        <v>0</v>
      </c>
      <c r="R40" s="202">
        <v>0</v>
      </c>
      <c r="S40" s="202">
        <v>0</v>
      </c>
      <c r="T40" s="202">
        <v>0</v>
      </c>
      <c r="U40" s="304"/>
    </row>
    <row r="41" spans="1:21" ht="15.6">
      <c r="A41" s="197" t="s">
        <v>242</v>
      </c>
      <c r="B41" s="202">
        <v>0</v>
      </c>
      <c r="C41" s="202">
        <v>23300</v>
      </c>
      <c r="D41" s="202">
        <v>211200</v>
      </c>
      <c r="E41" s="202">
        <v>256600</v>
      </c>
      <c r="F41" s="508"/>
      <c r="G41" s="508"/>
      <c r="H41" s="197" t="s">
        <v>242</v>
      </c>
      <c r="I41" s="202">
        <v>0</v>
      </c>
      <c r="J41" s="202">
        <v>14700</v>
      </c>
      <c r="K41" s="202">
        <v>274800</v>
      </c>
      <c r="L41" s="202">
        <v>405300</v>
      </c>
      <c r="M41" s="508"/>
      <c r="N41" s="509" t="str">
        <f>_xlfn.XLOOKUP(H41,'Region Mapping'!B:B,'Region Mapping'!A:A)</f>
        <v>RUS</v>
      </c>
      <c r="O41" s="508"/>
      <c r="P41" s="197" t="s">
        <v>242</v>
      </c>
      <c r="Q41" s="202">
        <v>3005</v>
      </c>
      <c r="R41" s="202">
        <v>2917</v>
      </c>
      <c r="S41" s="202">
        <v>2904</v>
      </c>
      <c r="T41" s="202">
        <v>2900</v>
      </c>
      <c r="U41" s="304"/>
    </row>
    <row r="42" spans="1:21" ht="15.6">
      <c r="A42" s="197" t="s">
        <v>1208</v>
      </c>
      <c r="B42" s="202">
        <v>0</v>
      </c>
      <c r="C42" s="202">
        <v>0</v>
      </c>
      <c r="D42" s="202">
        <v>0</v>
      </c>
      <c r="E42" s="202">
        <v>0</v>
      </c>
      <c r="F42" s="177"/>
      <c r="G42" s="508"/>
      <c r="H42" s="197" t="s">
        <v>1208</v>
      </c>
      <c r="I42" s="202">
        <v>0</v>
      </c>
      <c r="J42" s="202">
        <v>0</v>
      </c>
      <c r="K42" s="202">
        <v>0</v>
      </c>
      <c r="L42" s="202">
        <v>1100</v>
      </c>
      <c r="M42" s="508"/>
      <c r="N42" s="509" t="str">
        <f>_xlfn.XLOOKUP(H42,'Region Mapping'!B:B,'Region Mapping'!A:A)</f>
        <v>AFW</v>
      </c>
      <c r="O42" s="508"/>
      <c r="P42" s="197" t="s">
        <v>1208</v>
      </c>
      <c r="Q42" s="202"/>
      <c r="R42" s="202"/>
      <c r="S42" s="202"/>
      <c r="T42" s="202"/>
      <c r="U42" s="304"/>
    </row>
    <row r="43" spans="1:21" ht="15.6">
      <c r="A43" s="197" t="s">
        <v>1209</v>
      </c>
      <c r="B43" s="202">
        <v>0</v>
      </c>
      <c r="C43" s="202">
        <v>8800</v>
      </c>
      <c r="D43" s="202">
        <v>8800</v>
      </c>
      <c r="E43" s="202">
        <v>8800</v>
      </c>
      <c r="F43" s="177"/>
      <c r="G43" s="508"/>
      <c r="H43" s="197" t="s">
        <v>1209</v>
      </c>
      <c r="I43" s="202">
        <v>0</v>
      </c>
      <c r="J43" s="202">
        <v>3900</v>
      </c>
      <c r="K43" s="202">
        <v>6700</v>
      </c>
      <c r="L43" s="202">
        <v>6700</v>
      </c>
      <c r="M43" s="508"/>
      <c r="N43" s="509" t="str">
        <f>_xlfn.XLOOKUP(H43,'Region Mapping'!B:B,'Region Mapping'!A:A)</f>
        <v>EUE</v>
      </c>
      <c r="O43" s="508"/>
      <c r="P43" s="197" t="s">
        <v>1209</v>
      </c>
      <c r="Q43" s="202">
        <v>0</v>
      </c>
      <c r="R43" s="202">
        <v>0</v>
      </c>
      <c r="S43" s="202">
        <v>0</v>
      </c>
      <c r="T43" s="202">
        <v>0</v>
      </c>
      <c r="U43" s="304"/>
    </row>
    <row r="44" spans="1:21">
      <c r="A44" s="197" t="s">
        <v>1210</v>
      </c>
      <c r="B44" s="202">
        <v>0</v>
      </c>
      <c r="C44" s="202">
        <v>1700</v>
      </c>
      <c r="D44" s="202">
        <v>1700</v>
      </c>
      <c r="E44" s="202">
        <v>1700</v>
      </c>
      <c r="F44" s="177"/>
      <c r="G44" s="508"/>
      <c r="H44" s="197" t="s">
        <v>1210</v>
      </c>
      <c r="I44" s="202">
        <v>0</v>
      </c>
      <c r="J44" s="202">
        <v>3800</v>
      </c>
      <c r="K44" s="202">
        <v>7500</v>
      </c>
      <c r="L44" s="202">
        <v>7500</v>
      </c>
      <c r="M44" s="508"/>
      <c r="N44" s="509" t="str">
        <f>_xlfn.XLOOKUP(H44,'Region Mapping'!B:B,'Region Mapping'!A:A)</f>
        <v>EUE</v>
      </c>
      <c r="O44" s="508"/>
      <c r="P44" s="197" t="s">
        <v>1210</v>
      </c>
      <c r="Q44" s="202">
        <v>0</v>
      </c>
      <c r="R44" s="202">
        <v>0</v>
      </c>
      <c r="S44" s="202">
        <v>0</v>
      </c>
      <c r="T44" s="202">
        <v>0</v>
      </c>
      <c r="U44" s="508"/>
    </row>
    <row r="45" spans="1:21">
      <c r="A45" s="197" t="s">
        <v>1211</v>
      </c>
      <c r="B45" s="202">
        <v>0</v>
      </c>
      <c r="C45" s="202">
        <v>0</v>
      </c>
      <c r="D45" s="202">
        <v>0</v>
      </c>
      <c r="E45" s="202">
        <v>5000</v>
      </c>
      <c r="F45" s="177"/>
      <c r="G45" s="508"/>
      <c r="H45" s="197" t="s">
        <v>1211</v>
      </c>
      <c r="I45" s="202">
        <v>0</v>
      </c>
      <c r="J45" s="202">
        <v>0</v>
      </c>
      <c r="K45" s="202">
        <v>0</v>
      </c>
      <c r="L45" s="202">
        <v>2600</v>
      </c>
      <c r="M45" s="508"/>
      <c r="N45" s="509" t="str">
        <f>_xlfn.XLOOKUP(H45,'Region Mapping'!B:B,'Region Mapping'!A:A)</f>
        <v>AFE</v>
      </c>
      <c r="O45" s="508"/>
      <c r="P45" s="197" t="s">
        <v>1211</v>
      </c>
      <c r="Q45" s="202"/>
      <c r="R45" s="202"/>
      <c r="S45" s="202"/>
      <c r="T45" s="202"/>
      <c r="U45" s="508"/>
    </row>
    <row r="46" spans="1:21">
      <c r="A46" s="197" t="s">
        <v>1166</v>
      </c>
      <c r="B46" s="202">
        <v>0</v>
      </c>
      <c r="C46" s="202">
        <v>166300</v>
      </c>
      <c r="D46" s="202">
        <v>236000</v>
      </c>
      <c r="E46" s="202">
        <v>258000</v>
      </c>
      <c r="F46" s="177"/>
      <c r="G46" s="508"/>
      <c r="H46" s="197" t="s">
        <v>1166</v>
      </c>
      <c r="I46" s="202">
        <v>0</v>
      </c>
      <c r="J46" s="202">
        <v>61700</v>
      </c>
      <c r="K46" s="202">
        <v>84800</v>
      </c>
      <c r="L46" s="202">
        <v>189700</v>
      </c>
      <c r="M46" s="508"/>
      <c r="N46" s="509" t="str">
        <f>_xlfn.XLOOKUP(H46,'Region Mapping'!B:B,'Region Mapping'!A:A)</f>
        <v>AFZ</v>
      </c>
      <c r="O46" s="508"/>
      <c r="P46" s="197" t="s">
        <v>1166</v>
      </c>
      <c r="Q46" s="202">
        <v>490</v>
      </c>
      <c r="R46" s="202">
        <v>308</v>
      </c>
      <c r="S46" s="202">
        <v>346</v>
      </c>
      <c r="T46" s="202">
        <v>346</v>
      </c>
      <c r="U46" s="508"/>
    </row>
    <row r="47" spans="1:21">
      <c r="A47" s="197" t="s">
        <v>1163</v>
      </c>
      <c r="B47" s="202">
        <v>8100</v>
      </c>
      <c r="C47" s="202">
        <v>19100</v>
      </c>
      <c r="D47" s="202">
        <v>19100</v>
      </c>
      <c r="E47" s="202">
        <v>19100</v>
      </c>
      <c r="F47" s="177"/>
      <c r="G47" s="508"/>
      <c r="H47" s="197" t="s">
        <v>1163</v>
      </c>
      <c r="I47" s="202">
        <v>0</v>
      </c>
      <c r="J47" s="202">
        <v>9400</v>
      </c>
      <c r="K47" s="202">
        <v>9400</v>
      </c>
      <c r="L47" s="202">
        <v>9400</v>
      </c>
      <c r="M47" s="508"/>
      <c r="N47" s="509" t="str">
        <f>_xlfn.XLOOKUP(H47,'Region Mapping'!B:B,'Region Mapping'!A:A)</f>
        <v>EUM</v>
      </c>
      <c r="O47" s="508"/>
      <c r="P47" s="197" t="s">
        <v>1163</v>
      </c>
      <c r="Q47" s="202">
        <v>0</v>
      </c>
      <c r="R47" s="202">
        <v>0</v>
      </c>
      <c r="S47" s="202">
        <v>0</v>
      </c>
      <c r="T47" s="202">
        <v>0</v>
      </c>
      <c r="U47" s="508"/>
    </row>
    <row r="48" spans="1:21">
      <c r="A48" s="197" t="s">
        <v>1212</v>
      </c>
      <c r="B48" s="202">
        <v>0</v>
      </c>
      <c r="C48" s="202">
        <v>0</v>
      </c>
      <c r="D48" s="202">
        <v>4900</v>
      </c>
      <c r="E48" s="202">
        <v>4900</v>
      </c>
      <c r="F48" s="177"/>
      <c r="G48" s="508"/>
      <c r="H48" s="197" t="s">
        <v>1212</v>
      </c>
      <c r="I48" s="202">
        <v>0</v>
      </c>
      <c r="J48" s="202">
        <v>0</v>
      </c>
      <c r="K48" s="202">
        <v>4700</v>
      </c>
      <c r="L48" s="202">
        <v>4700</v>
      </c>
      <c r="M48" s="508"/>
      <c r="N48" s="509" t="str">
        <f>_xlfn.XLOOKUP(H48,'Region Mapping'!B:B,'Region Mapping'!A:A)</f>
        <v>EUW</v>
      </c>
      <c r="O48" s="508"/>
      <c r="P48" s="197" t="s">
        <v>1212</v>
      </c>
      <c r="Q48" s="202">
        <v>0</v>
      </c>
      <c r="R48" s="202">
        <v>0</v>
      </c>
      <c r="S48" s="202">
        <v>0</v>
      </c>
      <c r="T48" s="202">
        <v>0</v>
      </c>
      <c r="U48" s="508"/>
    </row>
    <row r="49" spans="1:20">
      <c r="A49" s="197" t="s">
        <v>1213</v>
      </c>
      <c r="B49" s="202">
        <v>0</v>
      </c>
      <c r="C49" s="202">
        <v>38300</v>
      </c>
      <c r="D49" s="202">
        <v>39700</v>
      </c>
      <c r="E49" s="202">
        <v>39700</v>
      </c>
      <c r="F49" s="177"/>
      <c r="G49" s="508"/>
      <c r="H49" s="197" t="s">
        <v>1213</v>
      </c>
      <c r="I49" s="202">
        <v>0</v>
      </c>
      <c r="J49" s="202">
        <v>8500</v>
      </c>
      <c r="K49" s="202">
        <v>18500</v>
      </c>
      <c r="L49" s="202">
        <v>18500</v>
      </c>
      <c r="M49" s="178"/>
      <c r="N49" s="509" t="str">
        <f>_xlfn.XLOOKUP(H49,'Region Mapping'!B:B,'Region Mapping'!A:A)</f>
        <v>AFE</v>
      </c>
      <c r="O49" s="508"/>
      <c r="P49" s="197" t="s">
        <v>1213</v>
      </c>
      <c r="Q49" s="202"/>
      <c r="R49" s="202"/>
      <c r="S49" s="202"/>
      <c r="T49" s="202"/>
    </row>
    <row r="50" spans="1:20">
      <c r="A50" s="197" t="s">
        <v>1164</v>
      </c>
      <c r="B50" s="202">
        <v>0</v>
      </c>
      <c r="C50" s="202">
        <v>0</v>
      </c>
      <c r="D50" s="202">
        <v>3700</v>
      </c>
      <c r="E50" s="202">
        <v>3700</v>
      </c>
      <c r="F50" s="177"/>
      <c r="G50" s="508"/>
      <c r="H50" s="197" t="s">
        <v>1164</v>
      </c>
      <c r="I50" s="202">
        <v>0</v>
      </c>
      <c r="J50" s="202">
        <v>0</v>
      </c>
      <c r="K50" s="202">
        <v>8800</v>
      </c>
      <c r="L50" s="202">
        <v>9900</v>
      </c>
      <c r="M50" s="178"/>
      <c r="N50" s="509" t="str">
        <f>_xlfn.XLOOKUP(H50,'Region Mapping'!B:B,'Region Mapping'!A:A)</f>
        <v>MDA</v>
      </c>
      <c r="O50" s="508"/>
      <c r="P50" s="197" t="s">
        <v>1164</v>
      </c>
      <c r="Q50" s="202"/>
      <c r="R50" s="202"/>
      <c r="S50" s="202"/>
      <c r="T50" s="202"/>
    </row>
    <row r="51" spans="1:20">
      <c r="A51" s="197" t="s">
        <v>1133</v>
      </c>
      <c r="B51" s="202">
        <v>0</v>
      </c>
      <c r="C51" s="202">
        <v>46200</v>
      </c>
      <c r="D51" s="202">
        <v>74900</v>
      </c>
      <c r="E51" s="202">
        <v>122100</v>
      </c>
      <c r="F51" s="177"/>
      <c r="G51" s="508"/>
      <c r="H51" s="197" t="s">
        <v>1133</v>
      </c>
      <c r="I51" s="202">
        <v>0</v>
      </c>
      <c r="J51" s="202">
        <v>26700</v>
      </c>
      <c r="K51" s="202">
        <v>33800</v>
      </c>
      <c r="L51" s="202">
        <v>64800</v>
      </c>
      <c r="M51" s="178"/>
      <c r="N51" s="509" t="str">
        <f>_xlfn.XLOOKUP(H51,'Region Mapping'!B:B,'Region Mapping'!A:A)</f>
        <v>ENE</v>
      </c>
      <c r="O51" s="508"/>
      <c r="P51" s="197" t="s">
        <v>1133</v>
      </c>
      <c r="Q51" s="202">
        <v>808</v>
      </c>
      <c r="R51" s="202">
        <v>707</v>
      </c>
      <c r="S51" s="202">
        <v>790</v>
      </c>
      <c r="T51" s="202">
        <v>750</v>
      </c>
    </row>
    <row r="52" spans="1:20">
      <c r="A52" s="197" t="s">
        <v>247</v>
      </c>
      <c r="B52" s="202">
        <v>0</v>
      </c>
      <c r="C52" s="202">
        <v>13900</v>
      </c>
      <c r="D52" s="202">
        <v>47900</v>
      </c>
      <c r="E52" s="202">
        <v>101900</v>
      </c>
      <c r="F52" s="177"/>
      <c r="G52" s="508"/>
      <c r="H52" s="197" t="s">
        <v>247</v>
      </c>
      <c r="I52" s="202">
        <v>0</v>
      </c>
      <c r="J52" s="202">
        <v>0</v>
      </c>
      <c r="K52" s="202">
        <v>0</v>
      </c>
      <c r="L52" s="202">
        <v>0</v>
      </c>
      <c r="M52" s="192"/>
      <c r="N52" s="509" t="str">
        <f>_xlfn.XLOOKUP(H52,'Region Mapping'!B:B,'Region Mapping'!A:A)</f>
        <v>USA</v>
      </c>
      <c r="O52" s="508"/>
      <c r="P52" s="197" t="s">
        <v>247</v>
      </c>
      <c r="Q52" s="202">
        <v>979</v>
      </c>
      <c r="R52" s="202">
        <v>442</v>
      </c>
      <c r="S52" s="202">
        <v>277</v>
      </c>
      <c r="T52" s="202">
        <v>67</v>
      </c>
    </row>
    <row r="53" spans="1:20">
      <c r="A53" s="197" t="s">
        <v>1065</v>
      </c>
      <c r="B53" s="202">
        <v>30500</v>
      </c>
      <c r="C53" s="202">
        <v>30500</v>
      </c>
      <c r="D53" s="202">
        <v>50800</v>
      </c>
      <c r="E53" s="202">
        <v>50800</v>
      </c>
      <c r="F53" s="177"/>
      <c r="G53" s="508"/>
      <c r="H53" s="197" t="s">
        <v>1065</v>
      </c>
      <c r="I53" s="202">
        <v>24300</v>
      </c>
      <c r="J53" s="202">
        <v>24300</v>
      </c>
      <c r="K53" s="202">
        <v>81500</v>
      </c>
      <c r="L53" s="202">
        <v>81500</v>
      </c>
      <c r="M53" s="508"/>
      <c r="N53" s="509" t="str">
        <f>_xlfn.XLOOKUP(H53,'Region Mapping'!B:B,'Region Mapping'!A:A)</f>
        <v>ASC</v>
      </c>
      <c r="O53" s="508"/>
      <c r="P53" s="197" t="s">
        <v>1065</v>
      </c>
      <c r="Q53" s="202">
        <v>3325</v>
      </c>
      <c r="R53" s="202">
        <v>3400</v>
      </c>
      <c r="S53" s="202">
        <v>3450</v>
      </c>
      <c r="T53" s="202">
        <v>3500</v>
      </c>
    </row>
    <row r="54" spans="1:20">
      <c r="A54" s="197" t="s">
        <v>1214</v>
      </c>
      <c r="B54" s="202">
        <v>0</v>
      </c>
      <c r="C54" s="202">
        <v>0</v>
      </c>
      <c r="D54" s="202">
        <v>0</v>
      </c>
      <c r="E54" s="202">
        <v>900</v>
      </c>
      <c r="F54" s="508"/>
      <c r="G54" s="508"/>
      <c r="H54" s="197" t="s">
        <v>1214</v>
      </c>
      <c r="I54" s="202">
        <v>0</v>
      </c>
      <c r="J54" s="202">
        <v>0</v>
      </c>
      <c r="K54" s="202">
        <v>0</v>
      </c>
      <c r="L54" s="202">
        <v>3000</v>
      </c>
      <c r="M54" s="508"/>
      <c r="N54" s="509" t="str">
        <f>_xlfn.XLOOKUP(H54,'Region Mapping'!B:B,'Region Mapping'!A:A)</f>
        <v>IDN</v>
      </c>
      <c r="O54" s="508"/>
      <c r="P54" s="197" t="s">
        <v>1214</v>
      </c>
      <c r="Q54" s="202"/>
      <c r="R54" s="202"/>
      <c r="S54" s="202"/>
      <c r="T54" s="202"/>
    </row>
    <row r="55" spans="1:20">
      <c r="A55" s="197" t="s">
        <v>1215</v>
      </c>
      <c r="B55" s="202">
        <v>0</v>
      </c>
      <c r="C55" s="202">
        <v>0</v>
      </c>
      <c r="D55" s="202">
        <v>12800</v>
      </c>
      <c r="E55" s="202">
        <v>12800</v>
      </c>
      <c r="F55" s="508"/>
      <c r="G55" s="508"/>
      <c r="H55" s="197" t="s">
        <v>1215</v>
      </c>
      <c r="I55" s="202">
        <v>0</v>
      </c>
      <c r="J55" s="202">
        <v>0</v>
      </c>
      <c r="K55" s="202">
        <v>18200</v>
      </c>
      <c r="L55" s="202">
        <v>18200</v>
      </c>
      <c r="M55" s="508"/>
      <c r="N55" s="509" t="str">
        <f>_xlfn.XLOOKUP(H55,'Region Mapping'!B:B,'Region Mapping'!A:A)</f>
        <v>AFZ</v>
      </c>
      <c r="O55" s="508"/>
      <c r="P55" s="197" t="s">
        <v>1215</v>
      </c>
      <c r="Q55" s="202">
        <v>0</v>
      </c>
      <c r="R55" s="202">
        <v>0</v>
      </c>
      <c r="S55" s="202">
        <v>0</v>
      </c>
      <c r="T55" s="202">
        <v>0</v>
      </c>
    </row>
    <row r="56" spans="1:20">
      <c r="A56" s="197" t="s">
        <v>1167</v>
      </c>
      <c r="B56" s="202">
        <v>0</v>
      </c>
      <c r="C56" s="202">
        <v>0</v>
      </c>
      <c r="D56" s="202">
        <v>0</v>
      </c>
      <c r="E56" s="202">
        <v>1400</v>
      </c>
      <c r="F56" s="508"/>
      <c r="G56" s="508"/>
      <c r="H56" s="197" t="s">
        <v>1167</v>
      </c>
      <c r="I56" s="202">
        <v>0</v>
      </c>
      <c r="J56" s="202">
        <v>0</v>
      </c>
      <c r="K56" s="202">
        <v>0</v>
      </c>
      <c r="L56" s="202">
        <v>0</v>
      </c>
      <c r="M56" s="508"/>
      <c r="N56" s="509" t="str">
        <f>_xlfn.XLOOKUP(H56,'Region Mapping'!B:B,'Region Mapping'!A:A)</f>
        <v>AFZ</v>
      </c>
      <c r="O56" s="508"/>
      <c r="P56" s="197" t="s">
        <v>1167</v>
      </c>
      <c r="Q56" s="202"/>
      <c r="R56" s="202"/>
      <c r="S56" s="202"/>
      <c r="T56" s="202"/>
    </row>
    <row r="57" spans="1:20">
      <c r="A57" s="199" t="s">
        <v>823</v>
      </c>
      <c r="B57" s="196">
        <v>744500</v>
      </c>
      <c r="C57" s="196">
        <v>1243900</v>
      </c>
      <c r="D57" s="196">
        <v>3791700</v>
      </c>
      <c r="E57" s="184">
        <v>4723700</v>
      </c>
      <c r="F57" s="508"/>
      <c r="G57" s="508"/>
      <c r="H57" s="198" t="s">
        <v>823</v>
      </c>
      <c r="I57" s="183">
        <v>335900</v>
      </c>
      <c r="J57" s="183">
        <v>763600</v>
      </c>
      <c r="K57" s="183">
        <v>2355700</v>
      </c>
      <c r="L57" s="183">
        <v>3346400</v>
      </c>
      <c r="M57" s="508"/>
      <c r="N57" s="509"/>
      <c r="O57" s="508"/>
      <c r="P57" s="305" t="s">
        <v>1216</v>
      </c>
      <c r="Q57" s="306">
        <v>62997</v>
      </c>
      <c r="R57" s="307">
        <v>60025</v>
      </c>
      <c r="S57" s="306">
        <v>53516</v>
      </c>
      <c r="T57" s="306">
        <v>54224</v>
      </c>
    </row>
    <row r="58" spans="1:20">
      <c r="A58" s="185"/>
      <c r="B58" s="185"/>
      <c r="C58" s="185"/>
      <c r="D58" s="185"/>
      <c r="E58" s="508"/>
      <c r="F58" s="508"/>
      <c r="G58" s="508"/>
      <c r="H58" s="192"/>
      <c r="I58" s="192"/>
      <c r="J58" s="192"/>
      <c r="K58" s="192"/>
      <c r="L58" s="192"/>
      <c r="M58" s="508"/>
      <c r="N58" s="509"/>
      <c r="O58" s="508"/>
      <c r="P58" s="305" t="s">
        <v>1217</v>
      </c>
      <c r="Q58" s="308">
        <v>21521</v>
      </c>
      <c r="R58" s="309">
        <v>19557</v>
      </c>
      <c r="S58" s="308">
        <v>13838</v>
      </c>
      <c r="T58" s="308">
        <v>13698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79490-8D4C-47F3-94FC-E9E977976EDD}">
  <sheetPr>
    <tabColor theme="5" tint="0.39997558519241921"/>
  </sheetPr>
  <dimension ref="A1:O103"/>
  <sheetViews>
    <sheetView workbookViewId="0">
      <selection activeCell="E9" sqref="E9"/>
    </sheetView>
  </sheetViews>
  <sheetFormatPr defaultRowHeight="15.6"/>
  <cols>
    <col min="1" max="1" width="10.09765625" bestFit="1" customWidth="1"/>
    <col min="2" max="2" width="19.5" bestFit="1" customWidth="1"/>
    <col min="3" max="3" width="16.19921875" bestFit="1" customWidth="1"/>
    <col min="4" max="4" width="22.3984375" bestFit="1" customWidth="1"/>
    <col min="5" max="5" width="17.3984375" bestFit="1" customWidth="1"/>
    <col min="11" max="11" width="13.69921875" bestFit="1" customWidth="1"/>
    <col min="12" max="12" width="16.3984375" bestFit="1" customWidth="1"/>
    <col min="13" max="13" width="13.69921875" bestFit="1" customWidth="1"/>
    <col min="14" max="14" width="16.19921875" bestFit="1" customWidth="1"/>
    <col min="15" max="15" width="12.59765625" bestFit="1" customWidth="1"/>
  </cols>
  <sheetData>
    <row r="1" spans="1:15" ht="16.2" thickBot="1">
      <c r="B1" t="s">
        <v>1218</v>
      </c>
      <c r="C1" t="s">
        <v>420</v>
      </c>
      <c r="D1" t="s">
        <v>1219</v>
      </c>
      <c r="E1" t="s">
        <v>1220</v>
      </c>
    </row>
    <row r="2" spans="1:15">
      <c r="A2" t="s">
        <v>1221</v>
      </c>
      <c r="B2">
        <v>4100</v>
      </c>
      <c r="C2">
        <v>4200</v>
      </c>
      <c r="D2">
        <v>4400</v>
      </c>
      <c r="E2">
        <v>4500</v>
      </c>
      <c r="F2" t="s">
        <v>811</v>
      </c>
      <c r="J2" s="204"/>
      <c r="K2" s="205" t="s">
        <v>422</v>
      </c>
      <c r="L2" s="205" t="s">
        <v>420</v>
      </c>
      <c r="M2" s="214" t="s">
        <v>422</v>
      </c>
      <c r="N2" s="206" t="s">
        <v>420</v>
      </c>
    </row>
    <row r="3" spans="1:15">
      <c r="A3">
        <v>8</v>
      </c>
      <c r="B3" s="173">
        <v>42515.307000000001</v>
      </c>
      <c r="C3" s="173"/>
      <c r="D3" s="173"/>
      <c r="E3" s="173"/>
      <c r="F3" t="str">
        <f>_xlfn.XLOOKUP(A3,'Region Mapping'!$D:$D,'Region Mapping'!A:A)</f>
        <v>ENE</v>
      </c>
      <c r="J3" s="207"/>
      <c r="K3" t="s">
        <v>387</v>
      </c>
      <c r="L3" t="s">
        <v>387</v>
      </c>
      <c r="M3" s="215" t="s">
        <v>650</v>
      </c>
      <c r="N3" s="208" t="s">
        <v>650</v>
      </c>
      <c r="O3" s="174"/>
    </row>
    <row r="4" spans="1:15">
      <c r="A4">
        <v>12</v>
      </c>
      <c r="B4" s="173">
        <v>2047066.2</v>
      </c>
      <c r="C4" s="173">
        <v>730051.4</v>
      </c>
      <c r="D4" s="173"/>
      <c r="E4" s="173"/>
      <c r="F4" t="str">
        <f>_xlfn.XLOOKUP(A4,'Region Mapping'!$D:$D,'Region Mapping'!A:A)</f>
        <v>AFN</v>
      </c>
      <c r="J4" s="207" t="s">
        <v>172</v>
      </c>
      <c r="K4" s="209">
        <f>SUMIFS($B:$B,$F:$F,$J4)+SUMIFS($D:$D,$F:$F,$J4)+SUMIFS($E:$E,$F:$F,$J4)</f>
        <v>527341.40999999992</v>
      </c>
      <c r="L4" s="209">
        <f>SUMIFS($C:$C,$F:$F,$J4)</f>
        <v>0</v>
      </c>
      <c r="M4" s="216">
        <f>K4/SUM($K4:$L4)</f>
        <v>1</v>
      </c>
      <c r="N4" s="210">
        <f>L4/SUM($K4:$L4)</f>
        <v>0</v>
      </c>
      <c r="O4" s="174"/>
    </row>
    <row r="5" spans="1:15">
      <c r="A5">
        <v>24</v>
      </c>
      <c r="B5" s="173">
        <v>2833300.91916</v>
      </c>
      <c r="C5" s="173">
        <v>124564.44</v>
      </c>
      <c r="D5" s="173"/>
      <c r="E5" s="173"/>
      <c r="F5" t="str">
        <f>_xlfn.XLOOKUP(A5,'Region Mapping'!$D:$D,'Region Mapping'!A:A)</f>
        <v>AFZ</v>
      </c>
      <c r="J5" s="207" t="s">
        <v>175</v>
      </c>
      <c r="K5" s="209">
        <f t="shared" ref="K5:K31" si="0">SUMIFS($B:$B,$F:$F,$J5)+SUMIFS($D:$D,$F:$F,$J5)+SUMIFS($E:$E,$F:$F,$J5)</f>
        <v>5959941.8414999992</v>
      </c>
      <c r="L5" s="209">
        <f t="shared" ref="L5:L31" si="1">SUMIFS($C:$C,$F:$F,$J5)</f>
        <v>1029716.9246</v>
      </c>
      <c r="M5" s="216">
        <f t="shared" ref="M5:M31" si="2">K5/SUM($K5:$L5)</f>
        <v>0.8526799434624549</v>
      </c>
      <c r="N5" s="210">
        <f t="shared" ref="N5:N31" si="3">L5/SUM($K5:$L5)</f>
        <v>0.14732005653754518</v>
      </c>
      <c r="O5" s="174"/>
    </row>
    <row r="6" spans="1:15">
      <c r="A6">
        <v>31</v>
      </c>
      <c r="B6" s="173">
        <v>1448043.6300000001</v>
      </c>
      <c r="C6" s="173">
        <v>152642.49000000002</v>
      </c>
      <c r="D6" s="173"/>
      <c r="E6" s="173"/>
      <c r="F6" t="str">
        <f>_xlfn.XLOOKUP(A6,'Region Mapping'!$D:$D,'Region Mapping'!A:A)</f>
        <v>ASC</v>
      </c>
      <c r="J6" s="207" t="s">
        <v>178</v>
      </c>
      <c r="K6" s="209">
        <f t="shared" si="0"/>
        <v>2529497.639</v>
      </c>
      <c r="L6" s="209">
        <f t="shared" si="1"/>
        <v>42493.06700000001</v>
      </c>
      <c r="M6" s="216">
        <f t="shared" si="2"/>
        <v>0.98347853011254238</v>
      </c>
      <c r="N6" s="210">
        <f t="shared" si="3"/>
        <v>1.6521469887457677E-2</v>
      </c>
      <c r="O6" s="174"/>
    </row>
    <row r="7" spans="1:15">
      <c r="A7">
        <v>32</v>
      </c>
      <c r="B7" s="173">
        <v>1111178.7</v>
      </c>
      <c r="C7" s="173">
        <v>181485.2</v>
      </c>
      <c r="D7" s="173"/>
      <c r="E7" s="173"/>
      <c r="F7" t="str">
        <f>_xlfn.XLOOKUP(A7,'Region Mapping'!$D:$D,'Region Mapping'!A:A)</f>
        <v>LAM</v>
      </c>
      <c r="J7" s="207" t="s">
        <v>181</v>
      </c>
      <c r="K7" s="209">
        <f t="shared" si="0"/>
        <v>2833850.81916</v>
      </c>
      <c r="L7" s="209">
        <f t="shared" si="1"/>
        <v>127672.0978</v>
      </c>
      <c r="M7" s="216">
        <f t="shared" si="2"/>
        <v>0.95688971472452578</v>
      </c>
      <c r="N7" s="210">
        <f t="shared" si="3"/>
        <v>4.3110285275474169E-2</v>
      </c>
      <c r="O7" s="174"/>
    </row>
    <row r="8" spans="1:15">
      <c r="A8">
        <v>36</v>
      </c>
      <c r="B8" s="173">
        <v>625634.94262500003</v>
      </c>
      <c r="C8" s="173">
        <v>96253.715190000003</v>
      </c>
      <c r="D8" s="173"/>
      <c r="E8" s="173"/>
      <c r="F8" t="str">
        <f>_xlfn.XLOOKUP(A8,'Region Mapping'!$D:$D,'Region Mapping'!A:A)</f>
        <v>ANZ</v>
      </c>
      <c r="J8" s="207" t="s">
        <v>238</v>
      </c>
      <c r="K8" s="209">
        <f t="shared" si="0"/>
        <v>4041471.7340999995</v>
      </c>
      <c r="L8" s="209">
        <f t="shared" si="1"/>
        <v>218490.32400000002</v>
      </c>
      <c r="M8" s="216">
        <f t="shared" si="2"/>
        <v>0.94871073473892631</v>
      </c>
      <c r="N8" s="210">
        <f t="shared" si="3"/>
        <v>5.1289265261073622E-2</v>
      </c>
      <c r="O8" s="174"/>
    </row>
    <row r="9" spans="1:15">
      <c r="A9">
        <v>40</v>
      </c>
      <c r="B9" s="173">
        <v>26959.364999999998</v>
      </c>
      <c r="C9" s="173">
        <v>683.86750000000006</v>
      </c>
      <c r="D9" s="173"/>
      <c r="E9" s="173"/>
      <c r="F9" t="str">
        <f>_xlfn.XLOOKUP(A9,'Region Mapping'!$D:$D,'Region Mapping'!A:A)</f>
        <v>EUW</v>
      </c>
      <c r="J9" s="207" t="s">
        <v>240</v>
      </c>
      <c r="K9" s="209">
        <f t="shared" si="0"/>
        <v>22316880.905099999</v>
      </c>
      <c r="L9" s="209">
        <f t="shared" si="1"/>
        <v>1477640.9180000001</v>
      </c>
      <c r="M9" s="216">
        <f t="shared" si="2"/>
        <v>0.93789995323354258</v>
      </c>
      <c r="N9" s="210">
        <f t="shared" si="3"/>
        <v>6.2100046766457348E-2</v>
      </c>
      <c r="O9" s="174"/>
    </row>
    <row r="10" spans="1:15">
      <c r="A10">
        <v>48</v>
      </c>
      <c r="B10" s="173">
        <v>409633.19999999995</v>
      </c>
      <c r="C10" s="173">
        <v>28774.2</v>
      </c>
      <c r="D10" s="173"/>
      <c r="E10" s="173"/>
      <c r="F10" t="str">
        <f>_xlfn.XLOOKUP(A10,'Region Mapping'!$D:$D,'Region Mapping'!A:A)</f>
        <v>MEA</v>
      </c>
      <c r="J10" s="207" t="s">
        <v>187</v>
      </c>
      <c r="K10" s="209">
        <f t="shared" si="0"/>
        <v>5253437.9249999998</v>
      </c>
      <c r="L10" s="209">
        <f t="shared" si="1"/>
        <v>826123.63600000006</v>
      </c>
      <c r="M10" s="216">
        <f t="shared" si="2"/>
        <v>0.86411460304974452</v>
      </c>
      <c r="N10" s="210">
        <f t="shared" si="3"/>
        <v>0.13588539695025553</v>
      </c>
      <c r="O10" s="174"/>
    </row>
    <row r="11" spans="1:15">
      <c r="A11">
        <v>50</v>
      </c>
      <c r="B11" s="173"/>
      <c r="C11" s="173">
        <v>17338.422399999999</v>
      </c>
      <c r="D11" s="173"/>
      <c r="E11" s="173"/>
      <c r="F11" t="str">
        <f>_xlfn.XLOOKUP(A11,'Region Mapping'!$D:$D,'Region Mapping'!A:A)</f>
        <v>ASO</v>
      </c>
      <c r="J11" s="207" t="s">
        <v>190</v>
      </c>
      <c r="K11" s="209">
        <f t="shared" si="0"/>
        <v>1974672.7785799997</v>
      </c>
      <c r="L11" s="209">
        <f t="shared" si="1"/>
        <v>444376.32460000005</v>
      </c>
      <c r="M11" s="216">
        <f t="shared" si="2"/>
        <v>0.8163012383602144</v>
      </c>
      <c r="N11" s="210">
        <f t="shared" si="3"/>
        <v>0.18369876163978568</v>
      </c>
      <c r="O11" s="174"/>
    </row>
    <row r="12" spans="1:15">
      <c r="A12">
        <v>52</v>
      </c>
      <c r="B12" s="173">
        <v>1221.201</v>
      </c>
      <c r="C12" s="173"/>
      <c r="D12" s="173"/>
      <c r="E12" s="173"/>
      <c r="F12" t="str">
        <f>_xlfn.XLOOKUP(A12,'Region Mapping'!$D:$D,'Region Mapping'!A:A)</f>
        <v>LAM</v>
      </c>
      <c r="J12" s="207" t="s">
        <v>202</v>
      </c>
      <c r="K12" s="209">
        <f t="shared" si="0"/>
        <v>7997760.3669999996</v>
      </c>
      <c r="L12" s="209">
        <f t="shared" si="1"/>
        <v>0</v>
      </c>
      <c r="M12" s="216">
        <f t="shared" si="2"/>
        <v>1</v>
      </c>
      <c r="N12" s="210">
        <f t="shared" si="3"/>
        <v>0</v>
      </c>
      <c r="O12" s="174"/>
    </row>
    <row r="13" spans="1:15">
      <c r="A13">
        <v>68</v>
      </c>
      <c r="B13" s="173">
        <v>73664.138699999996</v>
      </c>
      <c r="C13" s="173">
        <v>45681.142</v>
      </c>
      <c r="D13" s="173"/>
      <c r="E13" s="173"/>
      <c r="F13" t="str">
        <f>_xlfn.XLOOKUP(A13,'Region Mapping'!$D:$D,'Region Mapping'!A:A)</f>
        <v>LAM</v>
      </c>
      <c r="J13" s="207" t="s">
        <v>220</v>
      </c>
      <c r="K13" s="209">
        <f t="shared" si="0"/>
        <v>2122399.8774000001</v>
      </c>
      <c r="L13" s="209">
        <f t="shared" si="1"/>
        <v>85762.320800000001</v>
      </c>
      <c r="M13" s="216">
        <f t="shared" si="2"/>
        <v>0.96116122227347711</v>
      </c>
      <c r="N13" s="210">
        <f t="shared" si="3"/>
        <v>3.8838777726522895E-2</v>
      </c>
      <c r="O13" s="174"/>
    </row>
    <row r="14" spans="1:15">
      <c r="A14">
        <v>76</v>
      </c>
      <c r="B14" s="173">
        <v>6041629.2750000004</v>
      </c>
      <c r="C14" s="173">
        <v>253487.00000000003</v>
      </c>
      <c r="D14" s="173"/>
      <c r="E14" s="173"/>
      <c r="F14" t="str">
        <f>_xlfn.XLOOKUP(A14,'Region Mapping'!$D:$D,'Region Mapping'!A:A)</f>
        <v>BRA</v>
      </c>
      <c r="J14" s="207" t="s">
        <v>223</v>
      </c>
      <c r="K14" s="209">
        <f t="shared" si="0"/>
        <v>1360748.7</v>
      </c>
      <c r="L14" s="209">
        <f t="shared" si="1"/>
        <v>210524.6</v>
      </c>
      <c r="M14" s="216">
        <f t="shared" si="2"/>
        <v>0.86601656121821702</v>
      </c>
      <c r="N14" s="210">
        <f t="shared" si="3"/>
        <v>0.1339834387817829</v>
      </c>
      <c r="O14" s="174"/>
    </row>
    <row r="15" spans="1:15">
      <c r="A15">
        <v>84</v>
      </c>
      <c r="B15" s="173">
        <v>1630.069999999997</v>
      </c>
      <c r="C15" s="173">
        <v>52.649999999999764</v>
      </c>
      <c r="D15" s="173"/>
      <c r="E15" s="173"/>
      <c r="F15" t="str">
        <f>_xlfn.XLOOKUP(A15,'Region Mapping'!$D:$D,'Region Mapping'!A:A)</f>
        <v>LAM</v>
      </c>
      <c r="J15" s="207" t="s">
        <v>193</v>
      </c>
      <c r="K15" s="209">
        <f t="shared" si="0"/>
        <v>162329.13934379999</v>
      </c>
      <c r="L15" s="209">
        <f t="shared" si="1"/>
        <v>28612.5164</v>
      </c>
      <c r="M15" s="216">
        <f t="shared" si="2"/>
        <v>0.85015047508338648</v>
      </c>
      <c r="N15" s="210">
        <f t="shared" si="3"/>
        <v>0.14984952491661355</v>
      </c>
      <c r="O15" s="174"/>
    </row>
    <row r="16" spans="1:15">
      <c r="A16">
        <v>96</v>
      </c>
      <c r="B16" s="173">
        <v>230206.96349999998</v>
      </c>
      <c r="C16" s="173">
        <v>23167.960400000004</v>
      </c>
      <c r="D16" s="173"/>
      <c r="E16" s="173"/>
      <c r="F16" t="str">
        <f>_xlfn.XLOOKUP(A16,'Region Mapping'!$D:$D,'Region Mapping'!A:A)</f>
        <v>ASE</v>
      </c>
      <c r="J16" s="207" t="s">
        <v>225</v>
      </c>
      <c r="K16" s="209">
        <f t="shared" si="0"/>
        <v>8837.6951879999997</v>
      </c>
      <c r="L16" s="209">
        <f t="shared" si="1"/>
        <v>9011.7843400000002</v>
      </c>
      <c r="M16" s="216">
        <f t="shared" si="2"/>
        <v>0.49512341097321882</v>
      </c>
      <c r="N16" s="210">
        <f t="shared" si="3"/>
        <v>0.50487658902678123</v>
      </c>
      <c r="O16" s="174"/>
    </row>
    <row r="17" spans="1:15">
      <c r="A17">
        <v>104</v>
      </c>
      <c r="B17" s="173">
        <v>18273.599999999999</v>
      </c>
      <c r="C17" s="173">
        <v>574.6</v>
      </c>
      <c r="D17" s="173"/>
      <c r="E17" s="173"/>
      <c r="F17" t="str">
        <f>_xlfn.XLOOKUP(A17,'Region Mapping'!$D:$D,'Region Mapping'!A:A)</f>
        <v>ASE</v>
      </c>
      <c r="J17" s="207" t="s">
        <v>243</v>
      </c>
      <c r="K17" s="209">
        <f t="shared" si="0"/>
        <v>33528.386849999995</v>
      </c>
      <c r="L17" s="209">
        <f t="shared" si="1"/>
        <v>0</v>
      </c>
      <c r="M17" s="216">
        <f t="shared" si="2"/>
        <v>1</v>
      </c>
      <c r="N17" s="210">
        <f t="shared" si="3"/>
        <v>0</v>
      </c>
      <c r="O17" s="174"/>
    </row>
    <row r="18" spans="1:15">
      <c r="A18">
        <v>112</v>
      </c>
      <c r="B18" s="173">
        <v>71487</v>
      </c>
      <c r="C18" s="173">
        <v>4508.4000000000005</v>
      </c>
      <c r="D18" s="173"/>
      <c r="E18" s="173"/>
      <c r="F18" t="str">
        <f>_xlfn.XLOOKUP(A18,'Region Mapping'!$D:$D,'Region Mapping'!A:A)</f>
        <v>ENE</v>
      </c>
      <c r="J18" s="207" t="s">
        <v>184</v>
      </c>
      <c r="K18" s="209">
        <f t="shared" si="0"/>
        <v>674173.45779300004</v>
      </c>
      <c r="L18" s="209">
        <f t="shared" si="1"/>
        <v>104110.65939</v>
      </c>
      <c r="M18" s="216">
        <f t="shared" si="2"/>
        <v>0.86623052290103431</v>
      </c>
      <c r="N18" s="210">
        <f t="shared" si="3"/>
        <v>0.13376947709896561</v>
      </c>
      <c r="O18" s="174"/>
    </row>
    <row r="19" spans="1:15">
      <c r="A19">
        <v>120</v>
      </c>
      <c r="B19" s="173">
        <v>152514.68039999998</v>
      </c>
      <c r="C19" s="173">
        <v>1082.5464000000002</v>
      </c>
      <c r="D19" s="173"/>
      <c r="E19" s="173"/>
      <c r="F19" t="str">
        <f>_xlfn.XLOOKUP(A19,'Region Mapping'!$D:$D,'Region Mapping'!A:A)</f>
        <v>AFW</v>
      </c>
      <c r="J19" s="207" t="s">
        <v>245</v>
      </c>
      <c r="K19" s="209">
        <f t="shared" si="0"/>
        <v>25674729.624500003</v>
      </c>
      <c r="L19" s="209">
        <f t="shared" si="1"/>
        <v>6146304.5110999998</v>
      </c>
      <c r="M19" s="216">
        <f t="shared" si="2"/>
        <v>0.80684774464247289</v>
      </c>
      <c r="N19" s="210">
        <f t="shared" si="3"/>
        <v>0.19315225535752717</v>
      </c>
      <c r="O19" s="174"/>
    </row>
    <row r="20" spans="1:15">
      <c r="A20">
        <v>124</v>
      </c>
      <c r="B20" s="173">
        <v>8064452.99407</v>
      </c>
      <c r="C20" s="173">
        <v>840502.19553999987</v>
      </c>
      <c r="D20" s="173"/>
      <c r="E20" s="173">
        <v>2676114.5534640001</v>
      </c>
      <c r="F20" t="str">
        <f>_xlfn.XLOOKUP(A20,'Region Mapping'!$D:$D,'Region Mapping'!A:A)</f>
        <v>CAN</v>
      </c>
      <c r="J20" s="207" t="s">
        <v>198</v>
      </c>
      <c r="K20" s="209">
        <f t="shared" si="0"/>
        <v>10740567.547534</v>
      </c>
      <c r="L20" s="209">
        <f t="shared" si="1"/>
        <v>840502.19553999987</v>
      </c>
      <c r="M20" s="216">
        <f t="shared" si="2"/>
        <v>0.92742447682411566</v>
      </c>
      <c r="N20" s="210">
        <f t="shared" si="3"/>
        <v>7.2575523175884324E-2</v>
      </c>
      <c r="O20" s="174"/>
    </row>
    <row r="21" spans="1:15">
      <c r="A21">
        <v>148</v>
      </c>
      <c r="B21" s="173">
        <v>284738.21999999997</v>
      </c>
      <c r="C21" s="173"/>
      <c r="D21" s="173"/>
      <c r="E21" s="173"/>
      <c r="F21" t="str">
        <f>_xlfn.XLOOKUP(A21,'Region Mapping'!$D:$D,'Region Mapping'!A:A)</f>
        <v>AFW</v>
      </c>
      <c r="J21" s="207" t="s">
        <v>227</v>
      </c>
      <c r="K21" s="209">
        <f t="shared" si="0"/>
        <v>7087629.5005999999</v>
      </c>
      <c r="L21" s="209">
        <f t="shared" si="1"/>
        <v>591960.39545000007</v>
      </c>
      <c r="M21" s="216">
        <f t="shared" si="2"/>
        <v>0.9229177073954854</v>
      </c>
      <c r="N21" s="210">
        <f t="shared" si="3"/>
        <v>7.7082292604514616E-2</v>
      </c>
      <c r="O21" s="174"/>
    </row>
    <row r="22" spans="1:15">
      <c r="A22">
        <v>152</v>
      </c>
      <c r="B22" s="173">
        <v>7217.8241694569997</v>
      </c>
      <c r="C22" s="173">
        <v>14796.631677167999</v>
      </c>
      <c r="D22" s="173"/>
      <c r="E22" s="173"/>
      <c r="F22" t="str">
        <f>_xlfn.XLOOKUP(A22,'Region Mapping'!$D:$D,'Region Mapping'!A:A)</f>
        <v>CHL</v>
      </c>
      <c r="J22" s="207" t="s">
        <v>196</v>
      </c>
      <c r="K22" s="209">
        <f t="shared" si="0"/>
        <v>6041629.2750000004</v>
      </c>
      <c r="L22" s="209">
        <f t="shared" si="1"/>
        <v>253487.00000000003</v>
      </c>
      <c r="M22" s="216">
        <f t="shared" si="2"/>
        <v>0.95973275330803953</v>
      </c>
      <c r="N22" s="210">
        <f t="shared" si="3"/>
        <v>4.0267246691960433E-2</v>
      </c>
      <c r="O22" s="174"/>
    </row>
    <row r="23" spans="1:15">
      <c r="A23">
        <v>156</v>
      </c>
      <c r="B23" s="173">
        <v>7997760.3669999996</v>
      </c>
      <c r="C23" s="173"/>
      <c r="D23" s="173"/>
      <c r="E23" s="173"/>
      <c r="F23" t="str">
        <f>_xlfn.XLOOKUP(A23,'Region Mapping'!$D:$D,'Region Mapping'!A:A)</f>
        <v>CHN</v>
      </c>
      <c r="J23" s="207" t="s">
        <v>236</v>
      </c>
      <c r="K23" s="209">
        <f t="shared" si="0"/>
        <v>3851852.594</v>
      </c>
      <c r="L23" s="209">
        <f t="shared" si="1"/>
        <v>257406.546</v>
      </c>
      <c r="M23" s="216">
        <f t="shared" si="2"/>
        <v>0.93735937860565299</v>
      </c>
      <c r="N23" s="210">
        <f t="shared" si="3"/>
        <v>6.2640621394347007E-2</v>
      </c>
      <c r="O23" s="174"/>
    </row>
    <row r="24" spans="1:15">
      <c r="A24">
        <v>158</v>
      </c>
      <c r="B24" s="173">
        <v>162.85499999999999</v>
      </c>
      <c r="C24" s="173"/>
      <c r="D24" s="173">
        <v>13068.48</v>
      </c>
      <c r="E24" s="173"/>
      <c r="F24" t="e">
        <f>_xlfn.XLOOKUP(A24,'Region Mapping'!$D:$D,'Region Mapping'!A:A)</f>
        <v>#N/A</v>
      </c>
      <c r="J24" s="207" t="s">
        <v>200</v>
      </c>
      <c r="K24" s="209">
        <f t="shared" si="0"/>
        <v>7217.8241694569997</v>
      </c>
      <c r="L24" s="209">
        <f t="shared" si="1"/>
        <v>14796.631677167999</v>
      </c>
      <c r="M24" s="216">
        <f t="shared" si="2"/>
        <v>0.32786748033854096</v>
      </c>
      <c r="N24" s="210">
        <f t="shared" si="3"/>
        <v>0.67213251966145904</v>
      </c>
      <c r="O24" s="174"/>
    </row>
    <row r="25" spans="1:15">
      <c r="A25">
        <v>170</v>
      </c>
      <c r="B25" s="173">
        <v>1968152.9273999999</v>
      </c>
      <c r="C25" s="173">
        <v>16620.702799999999</v>
      </c>
      <c r="D25" s="173"/>
      <c r="E25" s="173"/>
      <c r="F25" t="str">
        <f>_xlfn.XLOOKUP(A25,'Region Mapping'!$D:$D,'Region Mapping'!A:A)</f>
        <v>LAM</v>
      </c>
      <c r="J25" s="207" t="s">
        <v>205</v>
      </c>
      <c r="K25" s="209">
        <f t="shared" si="0"/>
        <v>223723.7157</v>
      </c>
      <c r="L25" s="209">
        <f t="shared" si="1"/>
        <v>38322.770199999999</v>
      </c>
      <c r="M25" s="216">
        <f t="shared" si="2"/>
        <v>0.85375583241125996</v>
      </c>
      <c r="N25" s="210">
        <f t="shared" si="3"/>
        <v>0.14624416758874001</v>
      </c>
      <c r="O25" s="174"/>
    </row>
    <row r="26" spans="1:15">
      <c r="A26">
        <v>178</v>
      </c>
      <c r="B26" s="173">
        <v>715864.38840000005</v>
      </c>
      <c r="C26" s="173">
        <v>13285.989600000003</v>
      </c>
      <c r="D26" s="173"/>
      <c r="E26" s="173"/>
      <c r="F26" t="str">
        <f>_xlfn.XLOOKUP(A26,'Region Mapping'!$D:$D,'Region Mapping'!A:A)</f>
        <v>AFW</v>
      </c>
      <c r="J26" s="207" t="s">
        <v>208</v>
      </c>
      <c r="K26" s="209">
        <f t="shared" si="0"/>
        <v>5126373.3295729998</v>
      </c>
      <c r="L26" s="209">
        <f t="shared" si="1"/>
        <v>539227.88936999999</v>
      </c>
      <c r="M26" s="216">
        <f t="shared" si="2"/>
        <v>0.90482424220626656</v>
      </c>
      <c r="N26" s="210">
        <f t="shared" si="3"/>
        <v>9.5175757793733454E-2</v>
      </c>
      <c r="O26" s="174"/>
    </row>
    <row r="27" spans="1:15">
      <c r="A27">
        <v>180</v>
      </c>
      <c r="B27" s="173">
        <v>47293.091999999997</v>
      </c>
      <c r="C27" s="173"/>
      <c r="D27" s="173"/>
      <c r="E27" s="173"/>
      <c r="F27" t="str">
        <f>_xlfn.XLOOKUP(A27,'Region Mapping'!$D:$D,'Region Mapping'!A:A)</f>
        <v>AFW</v>
      </c>
      <c r="J27" s="207" t="s">
        <v>211</v>
      </c>
      <c r="K27" s="209">
        <f t="shared" si="0"/>
        <v>266191.71142599999</v>
      </c>
      <c r="L27" s="209">
        <f t="shared" si="1"/>
        <v>16299.520536</v>
      </c>
      <c r="M27" s="216">
        <f t="shared" si="2"/>
        <v>0.94230079134564926</v>
      </c>
      <c r="N27" s="210">
        <f t="shared" si="3"/>
        <v>5.7699208654350617E-2</v>
      </c>
      <c r="O27" s="174"/>
    </row>
    <row r="28" spans="1:15">
      <c r="A28">
        <v>191</v>
      </c>
      <c r="B28" s="173">
        <v>28087.199999999997</v>
      </c>
      <c r="C28" s="173">
        <v>2603.38</v>
      </c>
      <c r="D28" s="173"/>
      <c r="E28" s="173"/>
      <c r="F28" t="str">
        <f>_xlfn.XLOOKUP(A28,'Region Mapping'!$D:$D,'Region Mapping'!A:A)</f>
        <v>EUE</v>
      </c>
      <c r="J28" s="207" t="s">
        <v>217</v>
      </c>
      <c r="K28" s="209">
        <f t="shared" si="0"/>
        <v>418214.41078400007</v>
      </c>
      <c r="L28" s="209">
        <f t="shared" si="1"/>
        <v>6506.7394999999997</v>
      </c>
      <c r="M28" s="216">
        <f t="shared" si="2"/>
        <v>0.98467997297603582</v>
      </c>
      <c r="N28" s="210">
        <f t="shared" si="3"/>
        <v>1.5320027023964101E-2</v>
      </c>
      <c r="O28" s="174"/>
    </row>
    <row r="29" spans="1:15">
      <c r="A29">
        <v>192</v>
      </c>
      <c r="B29" s="173">
        <v>100314.45</v>
      </c>
      <c r="C29" s="173"/>
      <c r="D29" s="173"/>
      <c r="E29" s="173"/>
      <c r="F29" t="str">
        <f>_xlfn.XLOOKUP(A29,'Region Mapping'!$D:$D,'Region Mapping'!A:A)</f>
        <v>LAM</v>
      </c>
      <c r="J29" s="207" t="s">
        <v>214</v>
      </c>
      <c r="K29" s="209">
        <f t="shared" si="0"/>
        <v>245409.25381999998</v>
      </c>
      <c r="L29" s="209">
        <f t="shared" si="1"/>
        <v>0</v>
      </c>
      <c r="M29" s="216">
        <f t="shared" si="2"/>
        <v>1</v>
      </c>
      <c r="N29" s="210">
        <f t="shared" si="3"/>
        <v>0</v>
      </c>
      <c r="O29" s="174"/>
    </row>
    <row r="30" spans="1:15">
      <c r="A30">
        <v>203</v>
      </c>
      <c r="B30" s="173">
        <v>3442.5</v>
      </c>
      <c r="C30" s="173"/>
      <c r="D30" s="173">
        <v>3239</v>
      </c>
      <c r="E30" s="173"/>
      <c r="F30" t="str">
        <f>_xlfn.XLOOKUP(A30,'Region Mapping'!$D:$D,'Region Mapping'!A:A)</f>
        <v>EUE</v>
      </c>
      <c r="J30" s="207" t="s">
        <v>233</v>
      </c>
      <c r="K30" s="209">
        <f t="shared" si="0"/>
        <v>51504919.370099999</v>
      </c>
      <c r="L30" s="209">
        <f t="shared" si="1"/>
        <v>7642485.0241999999</v>
      </c>
      <c r="M30" s="216">
        <f t="shared" si="2"/>
        <v>0.87078917321118321</v>
      </c>
      <c r="N30" s="210">
        <f t="shared" si="3"/>
        <v>0.12921082678881682</v>
      </c>
      <c r="O30" s="174"/>
    </row>
    <row r="31" spans="1:15" ht="16.2" thickBot="1">
      <c r="A31">
        <v>208</v>
      </c>
      <c r="B31" s="173">
        <v>215741.06200000001</v>
      </c>
      <c r="C31" s="173"/>
      <c r="D31" s="173"/>
      <c r="E31" s="173"/>
      <c r="F31" t="str">
        <f>_xlfn.XLOOKUP(A31,'Region Mapping'!$D:$D,'Region Mapping'!A:A)</f>
        <v>EUW</v>
      </c>
      <c r="J31" s="211" t="s">
        <v>230</v>
      </c>
      <c r="K31" s="212">
        <f t="shared" si="0"/>
        <v>195402.80556000001</v>
      </c>
      <c r="L31" s="212">
        <f t="shared" si="1"/>
        <v>3779.1000000000004</v>
      </c>
      <c r="M31" s="217">
        <f t="shared" si="2"/>
        <v>0.98102689102519092</v>
      </c>
      <c r="N31" s="213">
        <f t="shared" si="3"/>
        <v>1.8973108974809028E-2</v>
      </c>
    </row>
    <row r="32" spans="1:15">
      <c r="A32">
        <v>218</v>
      </c>
      <c r="B32" s="173">
        <v>1139483.3219999999</v>
      </c>
      <c r="C32" s="173">
        <v>7263.8280000000004</v>
      </c>
      <c r="D32" s="173"/>
      <c r="E32" s="173"/>
      <c r="F32" t="str">
        <f>_xlfn.XLOOKUP(A32,'Region Mapping'!$D:$D,'Region Mapping'!A:A)</f>
        <v>LAM</v>
      </c>
    </row>
    <row r="33" spans="1:6">
      <c r="A33">
        <v>226</v>
      </c>
      <c r="B33" s="173">
        <v>302952.59999999998</v>
      </c>
      <c r="C33" s="173">
        <v>24950.75</v>
      </c>
      <c r="D33" s="173">
        <v>19523.503999999997</v>
      </c>
      <c r="E33" s="173"/>
      <c r="F33" t="str">
        <f>_xlfn.XLOOKUP(A33,'Region Mapping'!$D:$D,'Region Mapping'!A:A)</f>
        <v>AFW</v>
      </c>
    </row>
    <row r="34" spans="1:6">
      <c r="A34">
        <v>251</v>
      </c>
      <c r="B34" s="173">
        <v>31016.224999999999</v>
      </c>
      <c r="C34" s="173"/>
      <c r="D34" s="173">
        <v>8700.6167430000005</v>
      </c>
      <c r="E34" s="173"/>
      <c r="F34" t="str">
        <f>_xlfn.XLOOKUP(A34,'Region Mapping'!$D:$D,'Region Mapping'!A:A)</f>
        <v>EUM</v>
      </c>
    </row>
    <row r="35" spans="1:6">
      <c r="A35">
        <v>266</v>
      </c>
      <c r="B35" s="173">
        <v>460082.29499999993</v>
      </c>
      <c r="C35" s="173"/>
      <c r="D35" s="173"/>
      <c r="E35" s="173"/>
      <c r="F35" t="str">
        <f>_xlfn.XLOOKUP(A35,'Region Mapping'!$D:$D,'Region Mapping'!A:A)</f>
        <v>AFW</v>
      </c>
    </row>
    <row r="36" spans="1:6">
      <c r="A36">
        <v>268</v>
      </c>
      <c r="B36" s="173">
        <v>1490.4749999999999</v>
      </c>
      <c r="C36" s="173"/>
      <c r="D36" s="173"/>
      <c r="E36" s="173"/>
      <c r="F36" t="str">
        <f>_xlfn.XLOOKUP(A36,'Region Mapping'!$D:$D,'Region Mapping'!A:A)</f>
        <v>ASC</v>
      </c>
    </row>
    <row r="37" spans="1:6">
      <c r="A37">
        <v>276</v>
      </c>
      <c r="B37" s="173">
        <v>81907.135000000009</v>
      </c>
      <c r="C37" s="173"/>
      <c r="D37" s="173">
        <v>52625.313999999998</v>
      </c>
      <c r="E37" s="173"/>
      <c r="F37" t="str">
        <f>_xlfn.XLOOKUP(A37,'Region Mapping'!$D:$D,'Region Mapping'!A:A)</f>
        <v>EUW</v>
      </c>
    </row>
    <row r="38" spans="1:6">
      <c r="A38">
        <v>288</v>
      </c>
      <c r="B38" s="173">
        <v>431698.99499999994</v>
      </c>
      <c r="C38" s="173">
        <v>2903.9400000000005</v>
      </c>
      <c r="D38" s="173"/>
      <c r="E38" s="173"/>
      <c r="F38" t="str">
        <f>_xlfn.XLOOKUP(A38,'Region Mapping'!$D:$D,'Region Mapping'!A:A)</f>
        <v>AFW</v>
      </c>
    </row>
    <row r="39" spans="1:6">
      <c r="A39">
        <v>300</v>
      </c>
      <c r="B39" s="173">
        <v>6883.9550730000001</v>
      </c>
      <c r="C39" s="173"/>
      <c r="D39" s="173"/>
      <c r="E39" s="173"/>
      <c r="F39" t="str">
        <f>_xlfn.XLOOKUP(A39,'Region Mapping'!$D:$D,'Region Mapping'!A:A)</f>
        <v>EUM</v>
      </c>
    </row>
    <row r="40" spans="1:6">
      <c r="A40">
        <v>320</v>
      </c>
      <c r="B40" s="173">
        <v>23153.751</v>
      </c>
      <c r="C40" s="173"/>
      <c r="D40" s="173"/>
      <c r="E40" s="173"/>
      <c r="F40" t="str">
        <f>_xlfn.XLOOKUP(A40,'Region Mapping'!$D:$D,'Region Mapping'!A:A)</f>
        <v>LAM</v>
      </c>
    </row>
    <row r="41" spans="1:6">
      <c r="A41">
        <v>328</v>
      </c>
      <c r="B41" s="173">
        <v>2651.9999999999995</v>
      </c>
      <c r="C41" s="173"/>
      <c r="D41" s="173"/>
      <c r="E41" s="173"/>
      <c r="F41" t="str">
        <f>_xlfn.XLOOKUP(A41,'Region Mapping'!$D:$D,'Region Mapping'!A:A)</f>
        <v>LAM</v>
      </c>
    </row>
    <row r="42" spans="1:6">
      <c r="A42">
        <v>348</v>
      </c>
      <c r="B42" s="173">
        <v>38874</v>
      </c>
      <c r="C42" s="173">
        <v>7912</v>
      </c>
      <c r="D42" s="173">
        <v>1922.8</v>
      </c>
      <c r="E42" s="173"/>
      <c r="F42" t="str">
        <f>_xlfn.XLOOKUP(A42,'Region Mapping'!$D:$D,'Region Mapping'!A:A)</f>
        <v>EUE</v>
      </c>
    </row>
    <row r="43" spans="1:6">
      <c r="A43">
        <v>356</v>
      </c>
      <c r="B43" s="173">
        <v>1360748.7</v>
      </c>
      <c r="C43" s="173">
        <v>210524.6</v>
      </c>
      <c r="D43" s="173"/>
      <c r="E43" s="173"/>
      <c r="F43" t="str">
        <f>_xlfn.XLOOKUP(A43,'Region Mapping'!$D:$D,'Region Mapping'!A:A)</f>
        <v>IND</v>
      </c>
    </row>
    <row r="44" spans="1:6">
      <c r="A44">
        <v>360</v>
      </c>
      <c r="B44" s="173">
        <v>1650797.1773999999</v>
      </c>
      <c r="C44" s="173">
        <v>51454.280800000008</v>
      </c>
      <c r="D44" s="173"/>
      <c r="E44" s="173"/>
      <c r="F44" t="str">
        <f>_xlfn.XLOOKUP(A44,'Region Mapping'!$D:$D,'Region Mapping'!A:A)</f>
        <v>IDN</v>
      </c>
    </row>
    <row r="45" spans="1:6">
      <c r="A45">
        <v>364</v>
      </c>
      <c r="B45" s="173">
        <v>4977855.1592999995</v>
      </c>
      <c r="C45" s="173">
        <v>1263120.5938000001</v>
      </c>
      <c r="D45" s="173"/>
      <c r="E45" s="173"/>
      <c r="F45" t="str">
        <f>_xlfn.XLOOKUP(A45,'Region Mapping'!$D:$D,'Region Mapping'!A:A)</f>
        <v>MEA</v>
      </c>
    </row>
    <row r="46" spans="1:6">
      <c r="A46">
        <v>368</v>
      </c>
      <c r="B46" s="173">
        <v>9791510.6438999996</v>
      </c>
      <c r="C46" s="173">
        <v>89256.419200000004</v>
      </c>
      <c r="D46" s="173"/>
      <c r="E46" s="173"/>
      <c r="F46" t="str">
        <f>_xlfn.XLOOKUP(A46,'Region Mapping'!$D:$D,'Region Mapping'!A:A)</f>
        <v>MEA</v>
      </c>
    </row>
    <row r="47" spans="1:6">
      <c r="A47">
        <v>376</v>
      </c>
      <c r="B47" s="173">
        <v>3574.0427599999994</v>
      </c>
      <c r="C47" s="173"/>
      <c r="D47" s="173"/>
      <c r="E47" s="173"/>
      <c r="F47" t="str">
        <f>_xlfn.XLOOKUP(A47,'Region Mapping'!$D:$D,'Region Mapping'!A:A)</f>
        <v>MDA</v>
      </c>
    </row>
    <row r="48" spans="1:6">
      <c r="A48">
        <v>382</v>
      </c>
      <c r="B48" s="173">
        <v>179134.457004</v>
      </c>
      <c r="C48" s="173"/>
      <c r="D48" s="173">
        <v>17982</v>
      </c>
      <c r="E48" s="173"/>
      <c r="F48" t="str">
        <f>_xlfn.XLOOKUP(A48,'Region Mapping'!$D:$D,'Region Mapping'!A:A)</f>
        <v>EUM</v>
      </c>
    </row>
    <row r="49" spans="1:6">
      <c r="A49">
        <v>384</v>
      </c>
      <c r="B49" s="173">
        <v>76558.558499999999</v>
      </c>
      <c r="C49" s="173">
        <v>269.84100000000001</v>
      </c>
      <c r="D49" s="173"/>
      <c r="E49" s="173"/>
      <c r="F49" t="str">
        <f>_xlfn.XLOOKUP(A49,'Region Mapping'!$D:$D,'Region Mapping'!A:A)</f>
        <v>AFW</v>
      </c>
    </row>
    <row r="50" spans="1:6">
      <c r="A50">
        <v>392</v>
      </c>
      <c r="B50" s="173">
        <v>8837.6951879999997</v>
      </c>
      <c r="C50" s="173">
        <v>9011.7843400000002</v>
      </c>
      <c r="D50" s="173"/>
      <c r="E50" s="173"/>
      <c r="F50" t="str">
        <f>_xlfn.XLOOKUP(A50,'Region Mapping'!$D:$D,'Region Mapping'!A:A)</f>
        <v>JPN</v>
      </c>
    </row>
    <row r="51" spans="1:6">
      <c r="A51">
        <v>398</v>
      </c>
      <c r="B51" s="173">
        <v>3326607.3599999999</v>
      </c>
      <c r="C51" s="173">
        <v>526519.24000000011</v>
      </c>
      <c r="D51" s="173"/>
      <c r="E51" s="173"/>
      <c r="F51" t="str">
        <f>_xlfn.XLOOKUP(A51,'Region Mapping'!$D:$D,'Region Mapping'!A:A)</f>
        <v>ASC</v>
      </c>
    </row>
    <row r="52" spans="1:6">
      <c r="A52">
        <v>400</v>
      </c>
      <c r="B52" s="173">
        <v>67.679999999999993</v>
      </c>
      <c r="C52" s="173"/>
      <c r="D52" s="173"/>
      <c r="E52" s="173"/>
      <c r="F52" t="str">
        <f>_xlfn.XLOOKUP(A52,'Region Mapping'!$D:$D,'Region Mapping'!A:A)</f>
        <v>MDA</v>
      </c>
    </row>
    <row r="53" spans="1:6">
      <c r="A53">
        <v>410</v>
      </c>
      <c r="B53" s="173">
        <v>887.40248100000008</v>
      </c>
      <c r="C53" s="173"/>
      <c r="D53" s="173">
        <v>32640.984368999998</v>
      </c>
      <c r="E53" s="173"/>
      <c r="F53" t="str">
        <f>_xlfn.XLOOKUP(A53,'Region Mapping'!$D:$D,'Region Mapping'!A:A)</f>
        <v>SKT</v>
      </c>
    </row>
    <row r="54" spans="1:6">
      <c r="A54">
        <v>414</v>
      </c>
      <c r="B54" s="173">
        <v>5741895.9906000001</v>
      </c>
      <c r="C54" s="173">
        <v>354731.65260000003</v>
      </c>
      <c r="D54" s="173"/>
      <c r="E54" s="173"/>
      <c r="F54" t="str">
        <f>_xlfn.XLOOKUP(A54,'Region Mapping'!$D:$D,'Region Mapping'!A:A)</f>
        <v>MEA</v>
      </c>
    </row>
    <row r="55" spans="1:6">
      <c r="A55">
        <v>417</v>
      </c>
      <c r="B55" s="173">
        <v>9855.9</v>
      </c>
      <c r="C55" s="173"/>
      <c r="D55" s="173"/>
      <c r="E55" s="173"/>
      <c r="F55" t="str">
        <f>_xlfn.XLOOKUP(A55,'Region Mapping'!$D:$D,'Region Mapping'!A:A)</f>
        <v>ASC</v>
      </c>
    </row>
    <row r="56" spans="1:6">
      <c r="A56">
        <v>434</v>
      </c>
      <c r="B56" s="173">
        <v>2525720.0984999998</v>
      </c>
      <c r="C56" s="173">
        <v>151173.28200000001</v>
      </c>
      <c r="D56" s="173"/>
      <c r="E56" s="173"/>
      <c r="F56" t="str">
        <f>_xlfn.XLOOKUP(A56,'Region Mapping'!$D:$D,'Region Mapping'!A:A)</f>
        <v>AFN</v>
      </c>
    </row>
    <row r="57" spans="1:6">
      <c r="A57">
        <v>440</v>
      </c>
      <c r="B57" s="173">
        <v>1672.6745999999998</v>
      </c>
      <c r="C57" s="173"/>
      <c r="D57" s="173"/>
      <c r="E57" s="173"/>
      <c r="F57" t="str">
        <f>_xlfn.XLOOKUP(A57,'Region Mapping'!$D:$D,'Region Mapping'!A:A)</f>
        <v>EUE</v>
      </c>
    </row>
    <row r="58" spans="1:6">
      <c r="A58">
        <v>458</v>
      </c>
      <c r="B58" s="173">
        <v>1222044.5888999999</v>
      </c>
      <c r="C58" s="173">
        <v>85631.53300000001</v>
      </c>
      <c r="D58" s="173"/>
      <c r="E58" s="173"/>
      <c r="F58" t="str">
        <f>_xlfn.XLOOKUP(A58,'Region Mapping'!$D:$D,'Region Mapping'!A:A)</f>
        <v>ASE</v>
      </c>
    </row>
    <row r="59" spans="1:6">
      <c r="A59">
        <v>484</v>
      </c>
      <c r="B59" s="173">
        <v>3845586.4739999999</v>
      </c>
      <c r="C59" s="173">
        <v>257406.546</v>
      </c>
      <c r="D59" s="173">
        <v>6266.12</v>
      </c>
      <c r="E59" s="173"/>
      <c r="F59" t="str">
        <f>_xlfn.XLOOKUP(A59,'Region Mapping'!$D:$D,'Region Mapping'!A:A)</f>
        <v>MEX</v>
      </c>
    </row>
    <row r="60" spans="1:6">
      <c r="A60">
        <v>496</v>
      </c>
      <c r="B60" s="173">
        <v>34427.969999999994</v>
      </c>
      <c r="C60" s="173"/>
      <c r="D60" s="173"/>
      <c r="E60" s="173"/>
      <c r="F60" t="str">
        <f>_xlfn.XLOOKUP(A60,'Region Mapping'!$D:$D,'Region Mapping'!A:A)</f>
        <v>ASC</v>
      </c>
    </row>
    <row r="61" spans="1:6">
      <c r="A61">
        <v>498</v>
      </c>
      <c r="B61" s="173">
        <v>211.5</v>
      </c>
      <c r="C61" s="173"/>
      <c r="D61" s="173"/>
      <c r="E61" s="173"/>
      <c r="F61" t="str">
        <f>_xlfn.XLOOKUP(A61,'Region Mapping'!$D:$D,'Region Mapping'!A:A)</f>
        <v>ENE</v>
      </c>
    </row>
    <row r="62" spans="1:6">
      <c r="A62">
        <v>504</v>
      </c>
      <c r="B62" s="173">
        <v>183.804</v>
      </c>
      <c r="C62" s="173"/>
      <c r="D62" s="173"/>
      <c r="E62" s="173"/>
      <c r="F62" t="str">
        <f>_xlfn.XLOOKUP(A62,'Region Mapping'!$D:$D,'Region Mapping'!A:A)</f>
        <v>AFN</v>
      </c>
    </row>
    <row r="63" spans="1:6">
      <c r="A63">
        <v>508</v>
      </c>
      <c r="B63" s="173"/>
      <c r="C63" s="173">
        <v>323.05780000000004</v>
      </c>
      <c r="D63" s="173"/>
      <c r="E63" s="173"/>
      <c r="F63" t="str">
        <f>_xlfn.XLOOKUP(A63,'Region Mapping'!$D:$D,'Region Mapping'!A:A)</f>
        <v>AFZ</v>
      </c>
    </row>
    <row r="64" spans="1:6">
      <c r="A64">
        <v>512</v>
      </c>
      <c r="B64" s="173">
        <v>2006420.13</v>
      </c>
      <c r="C64" s="173">
        <v>12436.951800000003</v>
      </c>
      <c r="D64" s="173"/>
      <c r="E64" s="173"/>
      <c r="F64" t="str">
        <f>_xlfn.XLOOKUP(A64,'Region Mapping'!$D:$D,'Region Mapping'!A:A)</f>
        <v>MEA</v>
      </c>
    </row>
    <row r="65" spans="1:6">
      <c r="A65">
        <v>528</v>
      </c>
      <c r="B65" s="173">
        <v>31885.968800000002</v>
      </c>
      <c r="C65" s="173">
        <v>5822.8719999999994</v>
      </c>
      <c r="D65" s="173">
        <v>9095.5659839999989</v>
      </c>
      <c r="E65" s="173"/>
      <c r="F65" t="str">
        <f>_xlfn.XLOOKUP(A65,'Region Mapping'!$D:$D,'Region Mapping'!A:A)</f>
        <v>EUW</v>
      </c>
    </row>
    <row r="66" spans="1:6">
      <c r="A66">
        <v>554</v>
      </c>
      <c r="B66" s="173">
        <v>48538.515168000005</v>
      </c>
      <c r="C66" s="173">
        <v>7856.9441999999999</v>
      </c>
      <c r="D66" s="173"/>
      <c r="E66" s="173"/>
      <c r="F66" t="str">
        <f>_xlfn.XLOOKUP(A66,'Region Mapping'!$D:$D,'Region Mapping'!A:A)</f>
        <v>ANZ</v>
      </c>
    </row>
    <row r="67" spans="1:6">
      <c r="A67">
        <v>562</v>
      </c>
      <c r="B67" s="173">
        <v>38271.305699999997</v>
      </c>
      <c r="C67" s="173"/>
      <c r="D67" s="173"/>
      <c r="E67" s="173"/>
      <c r="F67" t="str">
        <f>_xlfn.XLOOKUP(A67,'Region Mapping'!$D:$D,'Region Mapping'!A:A)</f>
        <v>AFW</v>
      </c>
    </row>
    <row r="68" spans="1:6">
      <c r="A68">
        <v>566</v>
      </c>
      <c r="B68" s="173">
        <v>4041471.7340999995</v>
      </c>
      <c r="C68" s="173">
        <v>218490.32400000002</v>
      </c>
      <c r="D68" s="173"/>
      <c r="E68" s="173"/>
      <c r="F68" t="str">
        <f>_xlfn.XLOOKUP(A68,'Region Mapping'!$D:$D,'Region Mapping'!A:A)</f>
        <v>NIG</v>
      </c>
    </row>
    <row r="69" spans="1:6">
      <c r="A69">
        <v>579</v>
      </c>
      <c r="B69" s="173">
        <v>2983529.6148729995</v>
      </c>
      <c r="C69" s="173">
        <v>396805.03545000002</v>
      </c>
      <c r="D69" s="173">
        <v>2740.7536</v>
      </c>
      <c r="E69" s="173"/>
      <c r="F69" t="str">
        <f>_xlfn.XLOOKUP(A69,'Region Mapping'!$D:$D,'Region Mapping'!A:A)</f>
        <v>ENW</v>
      </c>
    </row>
    <row r="70" spans="1:6">
      <c r="A70">
        <v>586</v>
      </c>
      <c r="B70" s="173">
        <v>162329.13934379999</v>
      </c>
      <c r="C70" s="173">
        <v>11274.094000000001</v>
      </c>
      <c r="D70" s="173"/>
      <c r="E70" s="173"/>
      <c r="F70" t="str">
        <f>_xlfn.XLOOKUP(A70,'Region Mapping'!$D:$D,'Region Mapping'!A:A)</f>
        <v>ASO</v>
      </c>
    </row>
    <row r="71" spans="1:6">
      <c r="A71">
        <v>598</v>
      </c>
      <c r="B71" s="173">
        <v>28594.799999999999</v>
      </c>
      <c r="C71" s="173"/>
      <c r="D71" s="173"/>
      <c r="E71" s="173"/>
      <c r="F71" t="str">
        <f>_xlfn.XLOOKUP(A71,'Region Mapping'!$D:$D,'Region Mapping'!A:A)</f>
        <v>ASE</v>
      </c>
    </row>
    <row r="72" spans="1:6">
      <c r="A72">
        <v>604</v>
      </c>
      <c r="B72" s="173">
        <v>111985.90829999998</v>
      </c>
      <c r="C72" s="173">
        <v>143587.72005000003</v>
      </c>
      <c r="D72" s="173"/>
      <c r="E72" s="173"/>
      <c r="F72" t="str">
        <f>_xlfn.XLOOKUP(A72,'Region Mapping'!$D:$D,'Region Mapping'!A:A)</f>
        <v>LAM</v>
      </c>
    </row>
    <row r="73" spans="1:6">
      <c r="A73">
        <v>608</v>
      </c>
      <c r="B73" s="173">
        <v>4483.7999999999993</v>
      </c>
      <c r="C73" s="173">
        <v>17025.84</v>
      </c>
      <c r="D73" s="173"/>
      <c r="E73" s="173"/>
      <c r="F73" t="str">
        <f>_xlfn.XLOOKUP(A73,'Region Mapping'!$D:$D,'Region Mapping'!A:A)</f>
        <v>IDN</v>
      </c>
    </row>
    <row r="74" spans="1:6">
      <c r="A74">
        <v>616</v>
      </c>
      <c r="B74" s="173">
        <v>41333.97</v>
      </c>
      <c r="C74" s="173"/>
      <c r="D74" s="173">
        <v>891.61514999999986</v>
      </c>
      <c r="E74" s="173"/>
      <c r="F74" t="str">
        <f>_xlfn.XLOOKUP(A74,'Region Mapping'!$D:$D,'Region Mapping'!A:A)</f>
        <v>EUE</v>
      </c>
    </row>
    <row r="75" spans="1:6">
      <c r="A75">
        <v>626</v>
      </c>
      <c r="B75" s="173"/>
      <c r="C75" s="173">
        <v>40049.620000000003</v>
      </c>
      <c r="D75" s="173"/>
      <c r="E75" s="173"/>
      <c r="F75" t="str">
        <f>_xlfn.XLOOKUP(A75,'Region Mapping'!$D:$D,'Region Mapping'!A:A)</f>
        <v>ASE</v>
      </c>
    </row>
    <row r="76" spans="1:6">
      <c r="A76">
        <v>634</v>
      </c>
      <c r="B76" s="173">
        <v>1338295.8599999999</v>
      </c>
      <c r="C76" s="173">
        <v>1779831.5885999999</v>
      </c>
      <c r="D76" s="173"/>
      <c r="E76" s="173"/>
      <c r="F76" t="str">
        <f>_xlfn.XLOOKUP(A76,'Region Mapping'!$D:$D,'Region Mapping'!A:A)</f>
        <v>MEA</v>
      </c>
    </row>
    <row r="77" spans="1:6">
      <c r="A77">
        <v>642</v>
      </c>
      <c r="B77" s="173">
        <v>145493.55719999998</v>
      </c>
      <c r="C77" s="173">
        <v>5689.3356000000003</v>
      </c>
      <c r="D77" s="173">
        <v>1050</v>
      </c>
      <c r="E77" s="173"/>
      <c r="F77" t="str">
        <f>_xlfn.XLOOKUP(A77,'Region Mapping'!$D:$D,'Region Mapping'!A:A)</f>
        <v>EUE</v>
      </c>
    </row>
    <row r="78" spans="1:6">
      <c r="A78">
        <v>643</v>
      </c>
      <c r="B78" s="173">
        <v>22316880.905099999</v>
      </c>
      <c r="C78" s="173">
        <v>1477640.9180000001</v>
      </c>
      <c r="D78" s="173"/>
      <c r="E78" s="173"/>
      <c r="F78" t="str">
        <f>_xlfn.XLOOKUP(A78,'Region Mapping'!$D:$D,'Region Mapping'!A:A)</f>
        <v>RUS</v>
      </c>
    </row>
    <row r="79" spans="1:6">
      <c r="A79">
        <v>682</v>
      </c>
      <c r="B79" s="173">
        <v>20635370.585999999</v>
      </c>
      <c r="C79" s="173">
        <v>2470311.4800000004</v>
      </c>
      <c r="D79" s="173"/>
      <c r="E79" s="173"/>
      <c r="F79" t="str">
        <f>_xlfn.XLOOKUP(A79,'Region Mapping'!$D:$D,'Region Mapping'!A:A)</f>
        <v>MEA</v>
      </c>
    </row>
    <row r="80" spans="1:6">
      <c r="A80">
        <v>688</v>
      </c>
      <c r="B80" s="173">
        <v>35974.8387</v>
      </c>
      <c r="C80" s="173">
        <v>1349.4702</v>
      </c>
      <c r="D80" s="173">
        <v>361.62</v>
      </c>
      <c r="E80" s="173"/>
      <c r="F80" t="str">
        <f>_xlfn.XLOOKUP(A80,'Region Mapping'!$D:$D,'Region Mapping'!A:A)</f>
        <v>ENE</v>
      </c>
    </row>
    <row r="81" spans="1:6">
      <c r="A81">
        <v>703</v>
      </c>
      <c r="B81" s="173">
        <v>173.04</v>
      </c>
      <c r="C81" s="173">
        <v>83.96</v>
      </c>
      <c r="D81" s="173"/>
      <c r="E81" s="173"/>
      <c r="F81" t="str">
        <f>_xlfn.XLOOKUP(A81,'Region Mapping'!$D:$D,'Region Mapping'!A:A)</f>
        <v>EUE</v>
      </c>
    </row>
    <row r="82" spans="1:6">
      <c r="A82">
        <v>704</v>
      </c>
      <c r="B82" s="173">
        <v>467118.89999999997</v>
      </c>
      <c r="C82" s="173">
        <v>17282.2</v>
      </c>
      <c r="D82" s="173"/>
      <c r="E82" s="173"/>
      <c r="F82" t="str">
        <f>_xlfn.XLOOKUP(A82,'Region Mapping'!$D:$D,'Region Mapping'!A:A)</f>
        <v>IDN</v>
      </c>
    </row>
    <row r="83" spans="1:6">
      <c r="A83">
        <v>705</v>
      </c>
      <c r="B83" s="173">
        <v>11.354476</v>
      </c>
      <c r="C83" s="173">
        <v>10.844936000000001</v>
      </c>
      <c r="D83" s="173"/>
      <c r="E83" s="173"/>
      <c r="F83" t="str">
        <f>_xlfn.XLOOKUP(A83,'Region Mapping'!$D:$D,'Region Mapping'!A:A)</f>
        <v>EUE</v>
      </c>
    </row>
    <row r="84" spans="1:6">
      <c r="A84">
        <v>710</v>
      </c>
      <c r="B84" s="173">
        <v>549.9</v>
      </c>
      <c r="C84" s="173">
        <v>2784.6000000000004</v>
      </c>
      <c r="D84" s="173"/>
      <c r="E84" s="173"/>
      <c r="F84" t="str">
        <f>_xlfn.XLOOKUP(A84,'Region Mapping'!$D:$D,'Region Mapping'!A:A)</f>
        <v>AFZ</v>
      </c>
    </row>
    <row r="85" spans="1:6">
      <c r="A85">
        <v>724</v>
      </c>
      <c r="B85" s="173">
        <v>1692</v>
      </c>
      <c r="C85" s="173"/>
      <c r="D85" s="173"/>
      <c r="E85" s="173"/>
      <c r="F85" t="str">
        <f>_xlfn.XLOOKUP(A85,'Region Mapping'!$D:$D,'Region Mapping'!A:A)</f>
        <v>EUM</v>
      </c>
    </row>
    <row r="86" spans="1:6">
      <c r="A86">
        <v>728</v>
      </c>
      <c r="B86" s="173">
        <v>363780</v>
      </c>
      <c r="C86" s="173"/>
      <c r="D86" s="173"/>
      <c r="E86" s="173"/>
      <c r="F86" t="str">
        <f>_xlfn.XLOOKUP(A86,'Region Mapping'!$D:$D,'Region Mapping'!A:A)</f>
        <v>AFE</v>
      </c>
    </row>
    <row r="87" spans="1:6">
      <c r="A87">
        <v>729</v>
      </c>
      <c r="B87" s="173">
        <v>163561.40999999997</v>
      </c>
      <c r="C87" s="173"/>
      <c r="D87" s="173"/>
      <c r="E87" s="173"/>
      <c r="F87" t="str">
        <f>_xlfn.XLOOKUP(A87,'Region Mapping'!$D:$D,'Region Mapping'!A:A)</f>
        <v>AFE</v>
      </c>
    </row>
    <row r="88" spans="1:6">
      <c r="A88">
        <v>740</v>
      </c>
      <c r="B88" s="173">
        <v>39064.049999999996</v>
      </c>
      <c r="C88" s="173"/>
      <c r="D88" s="173"/>
      <c r="E88" s="173"/>
      <c r="F88" t="str">
        <f>_xlfn.XLOOKUP(A88,'Region Mapping'!$D:$D,'Region Mapping'!A:A)</f>
        <v>LAM</v>
      </c>
    </row>
    <row r="89" spans="1:6">
      <c r="A89">
        <v>760</v>
      </c>
      <c r="B89" s="173">
        <v>59779.882799999999</v>
      </c>
      <c r="C89" s="173">
        <v>3779.1000000000004</v>
      </c>
      <c r="D89" s="173"/>
      <c r="E89" s="173"/>
      <c r="F89" t="str">
        <f>_xlfn.XLOOKUP(A89,'Region Mapping'!$D:$D,'Region Mapping'!A:A)</f>
        <v>MDA</v>
      </c>
    </row>
    <row r="90" spans="1:6">
      <c r="A90">
        <v>762</v>
      </c>
      <c r="B90" s="173">
        <v>516.05999999999995</v>
      </c>
      <c r="C90" s="173"/>
      <c r="D90" s="173"/>
      <c r="E90" s="173"/>
      <c r="F90" t="str">
        <f>_xlfn.XLOOKUP(A90,'Region Mapping'!$D:$D,'Region Mapping'!A:A)</f>
        <v>ASC</v>
      </c>
    </row>
    <row r="91" spans="1:6">
      <c r="A91">
        <v>764</v>
      </c>
      <c r="B91" s="173">
        <v>475552.82617999997</v>
      </c>
      <c r="C91" s="173">
        <v>294952.61120000004</v>
      </c>
      <c r="D91" s="173"/>
      <c r="E91" s="173"/>
      <c r="F91" t="str">
        <f>_xlfn.XLOOKUP(A91,'Region Mapping'!$D:$D,'Region Mapping'!A:A)</f>
        <v>ASE</v>
      </c>
    </row>
    <row r="92" spans="1:6">
      <c r="A92">
        <v>780</v>
      </c>
      <c r="B92" s="173">
        <v>128337.5655</v>
      </c>
      <c r="C92" s="173">
        <v>35395.802000000003</v>
      </c>
      <c r="D92" s="173"/>
      <c r="E92" s="173"/>
      <c r="F92" t="str">
        <f>_xlfn.XLOOKUP(A92,'Region Mapping'!$D:$D,'Region Mapping'!A:A)</f>
        <v>LAM</v>
      </c>
    </row>
    <row r="93" spans="1:6">
      <c r="A93">
        <v>784</v>
      </c>
      <c r="B93" s="173">
        <v>6449988.5999999996</v>
      </c>
      <c r="C93" s="173">
        <v>1629530.24</v>
      </c>
      <c r="D93" s="173"/>
      <c r="E93" s="173"/>
      <c r="F93" t="str">
        <f>_xlfn.XLOOKUP(A93,'Region Mapping'!$D:$D,'Region Mapping'!A:A)</f>
        <v>MEA</v>
      </c>
    </row>
    <row r="94" spans="1:6">
      <c r="A94">
        <v>788</v>
      </c>
      <c r="B94" s="173">
        <v>71314.838999999993</v>
      </c>
      <c r="C94" s="173">
        <v>6256.6426000000001</v>
      </c>
      <c r="D94" s="173"/>
      <c r="E94" s="173"/>
      <c r="F94" t="str">
        <f>_xlfn.XLOOKUP(A94,'Region Mapping'!$D:$D,'Region Mapping'!A:A)</f>
        <v>AFN</v>
      </c>
    </row>
    <row r="95" spans="1:6">
      <c r="A95">
        <v>792</v>
      </c>
      <c r="B95" s="173">
        <v>131981.20000000001</v>
      </c>
      <c r="C95" s="173"/>
      <c r="D95" s="173"/>
      <c r="E95" s="173"/>
      <c r="F95" t="str">
        <f>_xlfn.XLOOKUP(A95,'Region Mapping'!$D:$D,'Region Mapping'!A:A)</f>
        <v>MDA</v>
      </c>
    </row>
    <row r="96" spans="1:6">
      <c r="A96">
        <v>795</v>
      </c>
      <c r="B96" s="173">
        <v>397620</v>
      </c>
      <c r="C96" s="173">
        <v>44869.232199999999</v>
      </c>
      <c r="D96" s="173"/>
      <c r="E96" s="173"/>
      <c r="F96" t="str">
        <f>_xlfn.XLOOKUP(A96,'Region Mapping'!$D:$D,'Region Mapping'!A:A)</f>
        <v>ASC</v>
      </c>
    </row>
    <row r="97" spans="1:6">
      <c r="A97">
        <v>804</v>
      </c>
      <c r="B97" s="173">
        <v>72717.929999999993</v>
      </c>
      <c r="C97" s="173">
        <v>32464.9</v>
      </c>
      <c r="D97" s="173">
        <v>455.52</v>
      </c>
      <c r="E97" s="173"/>
      <c r="F97" t="str">
        <f>_xlfn.XLOOKUP(A97,'Region Mapping'!$D:$D,'Region Mapping'!A:A)</f>
        <v>ENE</v>
      </c>
    </row>
    <row r="98" spans="1:6">
      <c r="A98">
        <v>818</v>
      </c>
      <c r="B98" s="173">
        <v>1315656.8999999999</v>
      </c>
      <c r="C98" s="173">
        <v>142235.6</v>
      </c>
      <c r="D98" s="173"/>
      <c r="E98" s="173"/>
      <c r="F98" t="str">
        <f>_xlfn.XLOOKUP(A98,'Region Mapping'!$D:$D,'Region Mapping'!A:A)</f>
        <v>AFN</v>
      </c>
    </row>
    <row r="99" spans="1:6">
      <c r="A99">
        <v>826</v>
      </c>
      <c r="B99" s="173">
        <v>2140102.9611</v>
      </c>
      <c r="C99" s="173">
        <v>142422.85391999999</v>
      </c>
      <c r="D99" s="173"/>
      <c r="E99" s="173"/>
      <c r="F99" t="str">
        <f>_xlfn.XLOOKUP(A99,'Region Mapping'!$D:$D,'Region Mapping'!A:A)</f>
        <v>ENW</v>
      </c>
    </row>
    <row r="100" spans="1:6">
      <c r="A100">
        <v>840</v>
      </c>
      <c r="B100" s="173">
        <v>25674729.624500003</v>
      </c>
      <c r="C100" s="173">
        <v>6146304.5110999998</v>
      </c>
      <c r="D100" s="173"/>
      <c r="E100" s="173"/>
      <c r="F100" t="str">
        <f>_xlfn.XLOOKUP(A100,'Region Mapping'!$D:$D,'Region Mapping'!A:A)</f>
        <v>USA</v>
      </c>
    </row>
    <row r="101" spans="1:6">
      <c r="A101">
        <v>860</v>
      </c>
      <c r="B101" s="173">
        <v>29656.53</v>
      </c>
      <c r="C101" s="173">
        <v>102092.67380000002</v>
      </c>
      <c r="D101" s="173"/>
      <c r="E101" s="173">
        <v>5220</v>
      </c>
      <c r="F101" t="str">
        <f>_xlfn.XLOOKUP(A101,'Region Mapping'!$D:$D,'Region Mapping'!A:A)</f>
        <v>ASC</v>
      </c>
    </row>
    <row r="102" spans="1:6">
      <c r="A102">
        <v>862</v>
      </c>
      <c r="B102" s="173">
        <v>2386791.4166999999</v>
      </c>
      <c r="C102" s="173">
        <v>161873.35060000001</v>
      </c>
      <c r="D102" s="173"/>
      <c r="E102" s="173"/>
      <c r="F102" t="str">
        <f>_xlfn.XLOOKUP(A102,'Region Mapping'!$D:$D,'Region Mapping'!A:A)</f>
        <v>LAM</v>
      </c>
    </row>
    <row r="103" spans="1:6">
      <c r="A103">
        <v>887</v>
      </c>
      <c r="B103" s="173">
        <v>153949.20029999997</v>
      </c>
      <c r="C103" s="173">
        <v>14491.8982</v>
      </c>
      <c r="D103" s="173"/>
      <c r="E103" s="173"/>
      <c r="F103" t="str">
        <f>_xlfn.XLOOKUP(A103,'Region Mapping'!$D:$D,'Region Mapping'!A:A)</f>
        <v>MEA</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A7B2-250E-4820-A61B-ABFBEEDB4CC8}">
  <sheetPr>
    <tabColor theme="5" tint="0.39997558519241921"/>
  </sheetPr>
  <dimension ref="A1:AE24"/>
  <sheetViews>
    <sheetView workbookViewId="0">
      <selection activeCell="V30" sqref="V30:V31"/>
    </sheetView>
  </sheetViews>
  <sheetFormatPr defaultRowHeight="15.6"/>
  <cols>
    <col min="1" max="1" width="10.19921875" bestFit="1" customWidth="1"/>
    <col min="2" max="2" width="16.5" bestFit="1" customWidth="1"/>
    <col min="3" max="3" width="26.5" bestFit="1" customWidth="1"/>
    <col min="4" max="4" width="5.59765625" bestFit="1" customWidth="1"/>
    <col min="5" max="7" width="12" bestFit="1" customWidth="1"/>
    <col min="8" max="8" width="5.59765625" bestFit="1" customWidth="1"/>
    <col min="9" max="13" width="12" bestFit="1" customWidth="1"/>
    <col min="14" max="15" width="5.59765625" bestFit="1" customWidth="1"/>
    <col min="16" max="16" width="11" bestFit="1" customWidth="1"/>
    <col min="17" max="18" width="12" bestFit="1" customWidth="1"/>
    <col min="19" max="19" width="5.59765625" bestFit="1" customWidth="1"/>
    <col min="20" max="20" width="12" bestFit="1" customWidth="1"/>
    <col min="21" max="21" width="5.59765625" bestFit="1" customWidth="1"/>
    <col min="22" max="24" width="12" bestFit="1" customWidth="1"/>
    <col min="25" max="25" width="5.59765625" bestFit="1" customWidth="1"/>
    <col min="26" max="26" width="11" bestFit="1" customWidth="1"/>
    <col min="27" max="27" width="12" bestFit="1" customWidth="1"/>
    <col min="28" max="28" width="5.59765625" bestFit="1" customWidth="1"/>
    <col min="29" max="29" width="11" bestFit="1" customWidth="1"/>
    <col min="30" max="30" width="5.59765625" bestFit="1" customWidth="1"/>
    <col min="31" max="31" width="12" bestFit="1" customWidth="1"/>
  </cols>
  <sheetData>
    <row r="1" spans="1:31">
      <c r="A1" s="227"/>
      <c r="B1" s="358"/>
      <c r="C1" s="358" t="s">
        <v>1222</v>
      </c>
      <c r="D1" s="358" t="s">
        <v>172</v>
      </c>
      <c r="E1" s="358" t="s">
        <v>175</v>
      </c>
      <c r="F1" s="358" t="s">
        <v>178</v>
      </c>
      <c r="G1" s="358" t="s">
        <v>181</v>
      </c>
      <c r="H1" s="358" t="s">
        <v>184</v>
      </c>
      <c r="I1" s="358" t="s">
        <v>187</v>
      </c>
      <c r="J1" s="358" t="s">
        <v>190</v>
      </c>
      <c r="K1" s="358" t="s">
        <v>193</v>
      </c>
      <c r="L1" s="358" t="s">
        <v>196</v>
      </c>
      <c r="M1" s="358" t="s">
        <v>198</v>
      </c>
      <c r="N1" s="358" t="s">
        <v>200</v>
      </c>
      <c r="O1" s="358" t="s">
        <v>202</v>
      </c>
      <c r="P1" s="358" t="s">
        <v>205</v>
      </c>
      <c r="Q1" s="358" t="s">
        <v>208</v>
      </c>
      <c r="R1" s="358" t="s">
        <v>211</v>
      </c>
      <c r="S1" s="358" t="s">
        <v>214</v>
      </c>
      <c r="T1" s="358" t="s">
        <v>217</v>
      </c>
      <c r="U1" s="358" t="s">
        <v>220</v>
      </c>
      <c r="V1" s="358" t="s">
        <v>223</v>
      </c>
      <c r="W1" s="358" t="s">
        <v>225</v>
      </c>
      <c r="X1" s="358" t="s">
        <v>227</v>
      </c>
      <c r="Y1" s="358" t="s">
        <v>230</v>
      </c>
      <c r="Z1" s="358" t="s">
        <v>233</v>
      </c>
      <c r="AA1" s="358" t="s">
        <v>236</v>
      </c>
      <c r="AB1" s="358" t="s">
        <v>238</v>
      </c>
      <c r="AC1" s="358" t="s">
        <v>240</v>
      </c>
      <c r="AD1" s="358" t="s">
        <v>243</v>
      </c>
      <c r="AE1" s="228" t="s">
        <v>245</v>
      </c>
    </row>
    <row r="2" spans="1:31">
      <c r="A2" s="215" t="s">
        <v>515</v>
      </c>
      <c r="C2" t="s">
        <v>1223</v>
      </c>
      <c r="D2" t="s">
        <v>384</v>
      </c>
      <c r="E2" t="s">
        <v>384</v>
      </c>
      <c r="F2" t="s">
        <v>384</v>
      </c>
      <c r="G2" t="s">
        <v>384</v>
      </c>
      <c r="H2" t="s">
        <v>384</v>
      </c>
      <c r="I2" t="s">
        <v>384</v>
      </c>
      <c r="J2" t="s">
        <v>384</v>
      </c>
      <c r="K2" t="s">
        <v>384</v>
      </c>
      <c r="L2" t="s">
        <v>384</v>
      </c>
      <c r="M2" t="s">
        <v>384</v>
      </c>
      <c r="N2" t="s">
        <v>384</v>
      </c>
      <c r="O2" t="s">
        <v>384</v>
      </c>
      <c r="P2" t="s">
        <v>384</v>
      </c>
      <c r="Q2" t="s">
        <v>384</v>
      </c>
      <c r="R2" t="s">
        <v>384</v>
      </c>
      <c r="S2" t="s">
        <v>384</v>
      </c>
      <c r="T2" t="s">
        <v>384</v>
      </c>
      <c r="U2" t="s">
        <v>384</v>
      </c>
      <c r="V2" t="s">
        <v>384</v>
      </c>
      <c r="W2" t="s">
        <v>384</v>
      </c>
      <c r="X2" t="s">
        <v>384</v>
      </c>
      <c r="Y2" t="s">
        <v>384</v>
      </c>
      <c r="Z2" t="s">
        <v>384</v>
      </c>
      <c r="AA2" t="s">
        <v>384</v>
      </c>
      <c r="AB2" t="s">
        <v>384</v>
      </c>
      <c r="AC2" t="s">
        <v>384</v>
      </c>
      <c r="AD2" t="s">
        <v>384</v>
      </c>
      <c r="AE2" s="218" t="s">
        <v>384</v>
      </c>
    </row>
    <row r="3" spans="1:31">
      <c r="A3" s="215" t="s">
        <v>521</v>
      </c>
      <c r="C3" t="s">
        <v>1223</v>
      </c>
      <c r="D3" t="s">
        <v>384</v>
      </c>
      <c r="E3" t="s">
        <v>384</v>
      </c>
      <c r="F3" t="s">
        <v>384</v>
      </c>
      <c r="G3" t="s">
        <v>384</v>
      </c>
      <c r="H3" t="s">
        <v>384</v>
      </c>
      <c r="I3" t="s">
        <v>384</v>
      </c>
      <c r="J3" t="s">
        <v>384</v>
      </c>
      <c r="K3" t="s">
        <v>384</v>
      </c>
      <c r="L3" t="s">
        <v>384</v>
      </c>
      <c r="M3" t="s">
        <v>384</v>
      </c>
      <c r="N3" t="s">
        <v>384</v>
      </c>
      <c r="O3" t="s">
        <v>384</v>
      </c>
      <c r="P3" t="s">
        <v>384</v>
      </c>
      <c r="Q3" t="s">
        <v>384</v>
      </c>
      <c r="R3" t="s">
        <v>384</v>
      </c>
      <c r="S3" t="s">
        <v>384</v>
      </c>
      <c r="T3" t="s">
        <v>384</v>
      </c>
      <c r="U3" t="s">
        <v>384</v>
      </c>
      <c r="V3" t="s">
        <v>384</v>
      </c>
      <c r="W3" t="s">
        <v>384</v>
      </c>
      <c r="X3" t="s">
        <v>384</v>
      </c>
      <c r="Y3" t="s">
        <v>384</v>
      </c>
      <c r="Z3" t="s">
        <v>384</v>
      </c>
      <c r="AA3" t="s">
        <v>384</v>
      </c>
      <c r="AB3" t="s">
        <v>384</v>
      </c>
      <c r="AC3" t="s">
        <v>384</v>
      </c>
      <c r="AD3" t="s">
        <v>384</v>
      </c>
      <c r="AE3" s="218" t="s">
        <v>384</v>
      </c>
    </row>
    <row r="4" spans="1:31">
      <c r="A4" s="215" t="s">
        <v>523</v>
      </c>
      <c r="C4" t="s">
        <v>1223</v>
      </c>
      <c r="D4" t="s">
        <v>384</v>
      </c>
      <c r="E4" t="s">
        <v>384</v>
      </c>
      <c r="F4" t="s">
        <v>384</v>
      </c>
      <c r="G4" t="s">
        <v>384</v>
      </c>
      <c r="H4" t="s">
        <v>384</v>
      </c>
      <c r="I4" t="s">
        <v>384</v>
      </c>
      <c r="J4" t="s">
        <v>384</v>
      </c>
      <c r="K4" t="s">
        <v>384</v>
      </c>
      <c r="L4" t="s">
        <v>384</v>
      </c>
      <c r="M4" t="s">
        <v>384</v>
      </c>
      <c r="N4" t="s">
        <v>384</v>
      </c>
      <c r="O4" t="s">
        <v>384</v>
      </c>
      <c r="P4" t="s">
        <v>384</v>
      </c>
      <c r="Q4" t="s">
        <v>384</v>
      </c>
      <c r="R4" t="s">
        <v>384</v>
      </c>
      <c r="S4" t="s">
        <v>384</v>
      </c>
      <c r="T4" t="s">
        <v>384</v>
      </c>
      <c r="U4" t="s">
        <v>384</v>
      </c>
      <c r="V4" t="s">
        <v>384</v>
      </c>
      <c r="W4" t="s">
        <v>384</v>
      </c>
      <c r="X4" t="s">
        <v>384</v>
      </c>
      <c r="Y4" t="s">
        <v>384</v>
      </c>
      <c r="Z4" t="s">
        <v>384</v>
      </c>
      <c r="AA4" t="s">
        <v>384</v>
      </c>
      <c r="AB4" t="s">
        <v>384</v>
      </c>
      <c r="AC4" t="s">
        <v>384</v>
      </c>
      <c r="AD4" t="s">
        <v>384</v>
      </c>
      <c r="AE4" s="218" t="s">
        <v>384</v>
      </c>
    </row>
    <row r="5" spans="1:31">
      <c r="A5" s="215" t="s">
        <v>525</v>
      </c>
      <c r="C5" t="s">
        <v>1223</v>
      </c>
      <c r="D5" t="s">
        <v>384</v>
      </c>
      <c r="E5" t="s">
        <v>384</v>
      </c>
      <c r="F5" t="s">
        <v>384</v>
      </c>
      <c r="G5" t="s">
        <v>384</v>
      </c>
      <c r="H5" t="s">
        <v>384</v>
      </c>
      <c r="I5" t="s">
        <v>384</v>
      </c>
      <c r="J5" t="s">
        <v>384</v>
      </c>
      <c r="K5" t="s">
        <v>384</v>
      </c>
      <c r="L5" t="s">
        <v>384</v>
      </c>
      <c r="M5" t="s">
        <v>384</v>
      </c>
      <c r="N5" t="s">
        <v>384</v>
      </c>
      <c r="O5" t="s">
        <v>384</v>
      </c>
      <c r="P5" t="s">
        <v>384</v>
      </c>
      <c r="Q5" t="s">
        <v>384</v>
      </c>
      <c r="R5" t="s">
        <v>384</v>
      </c>
      <c r="S5" t="s">
        <v>384</v>
      </c>
      <c r="T5" t="s">
        <v>384</v>
      </c>
      <c r="U5" t="s">
        <v>384</v>
      </c>
      <c r="V5" t="s">
        <v>384</v>
      </c>
      <c r="W5" t="s">
        <v>384</v>
      </c>
      <c r="X5" t="s">
        <v>384</v>
      </c>
      <c r="Y5" t="s">
        <v>384</v>
      </c>
      <c r="Z5" t="s">
        <v>384</v>
      </c>
      <c r="AA5" t="s">
        <v>384</v>
      </c>
      <c r="AB5" t="s">
        <v>384</v>
      </c>
      <c r="AC5" t="s">
        <v>384</v>
      </c>
      <c r="AD5" t="s">
        <v>384</v>
      </c>
      <c r="AE5" s="218" t="s">
        <v>384</v>
      </c>
    </row>
    <row r="6" spans="1:31">
      <c r="A6" s="215" t="s">
        <v>527</v>
      </c>
      <c r="C6" t="s">
        <v>1223</v>
      </c>
      <c r="D6" t="s">
        <v>384</v>
      </c>
      <c r="E6" t="s">
        <v>384</v>
      </c>
      <c r="F6" t="s">
        <v>384</v>
      </c>
      <c r="G6" t="s">
        <v>384</v>
      </c>
      <c r="H6" t="s">
        <v>384</v>
      </c>
      <c r="I6" t="s">
        <v>384</v>
      </c>
      <c r="J6" t="s">
        <v>384</v>
      </c>
      <c r="K6" t="s">
        <v>384</v>
      </c>
      <c r="L6" t="s">
        <v>384</v>
      </c>
      <c r="M6" t="s">
        <v>384</v>
      </c>
      <c r="N6" t="s">
        <v>384</v>
      </c>
      <c r="O6" t="s">
        <v>384</v>
      </c>
      <c r="P6" t="s">
        <v>384</v>
      </c>
      <c r="Q6" t="s">
        <v>384</v>
      </c>
      <c r="R6" t="s">
        <v>384</v>
      </c>
      <c r="S6" t="s">
        <v>384</v>
      </c>
      <c r="T6" t="s">
        <v>384</v>
      </c>
      <c r="U6" t="s">
        <v>384</v>
      </c>
      <c r="V6" t="s">
        <v>384</v>
      </c>
      <c r="W6" t="s">
        <v>384</v>
      </c>
      <c r="X6" t="s">
        <v>384</v>
      </c>
      <c r="Y6" t="s">
        <v>384</v>
      </c>
      <c r="Z6" t="s">
        <v>384</v>
      </c>
      <c r="AA6" t="s">
        <v>384</v>
      </c>
      <c r="AB6" t="s">
        <v>384</v>
      </c>
      <c r="AC6" t="s">
        <v>384</v>
      </c>
      <c r="AD6" t="s">
        <v>384</v>
      </c>
      <c r="AE6" s="218" t="s">
        <v>384</v>
      </c>
    </row>
    <row r="7" spans="1:31">
      <c r="A7" s="215" t="s">
        <v>529</v>
      </c>
      <c r="C7" t="s">
        <v>1223</v>
      </c>
      <c r="D7" t="s">
        <v>384</v>
      </c>
      <c r="E7" t="s">
        <v>384</v>
      </c>
      <c r="F7" t="s">
        <v>384</v>
      </c>
      <c r="G7" t="s">
        <v>384</v>
      </c>
      <c r="H7" t="s">
        <v>384</v>
      </c>
      <c r="I7" t="s">
        <v>384</v>
      </c>
      <c r="J7" t="s">
        <v>384</v>
      </c>
      <c r="K7" t="s">
        <v>384</v>
      </c>
      <c r="L7" t="s">
        <v>384</v>
      </c>
      <c r="M7" t="s">
        <v>384</v>
      </c>
      <c r="N7" t="s">
        <v>384</v>
      </c>
      <c r="O7" t="s">
        <v>384</v>
      </c>
      <c r="P7" t="s">
        <v>384</v>
      </c>
      <c r="Q7" t="s">
        <v>384</v>
      </c>
      <c r="R7" t="s">
        <v>384</v>
      </c>
      <c r="S7" t="s">
        <v>384</v>
      </c>
      <c r="T7" t="s">
        <v>384</v>
      </c>
      <c r="U7" t="s">
        <v>384</v>
      </c>
      <c r="V7" t="s">
        <v>384</v>
      </c>
      <c r="W7" t="s">
        <v>384</v>
      </c>
      <c r="X7" t="s">
        <v>384</v>
      </c>
      <c r="Y7" t="s">
        <v>384</v>
      </c>
      <c r="Z7" t="s">
        <v>384</v>
      </c>
      <c r="AA7" t="s">
        <v>384</v>
      </c>
      <c r="AB7" t="s">
        <v>384</v>
      </c>
      <c r="AC7" t="s">
        <v>384</v>
      </c>
      <c r="AD7" t="s">
        <v>384</v>
      </c>
      <c r="AE7" s="218" t="s">
        <v>384</v>
      </c>
    </row>
    <row r="8" spans="1:31">
      <c r="A8" s="215" t="s">
        <v>531</v>
      </c>
      <c r="C8" t="s">
        <v>1223</v>
      </c>
      <c r="D8" t="s">
        <v>384</v>
      </c>
      <c r="E8" t="s">
        <v>384</v>
      </c>
      <c r="F8" t="s">
        <v>384</v>
      </c>
      <c r="G8" t="s">
        <v>384</v>
      </c>
      <c r="H8" t="s">
        <v>384</v>
      </c>
      <c r="I8" t="s">
        <v>384</v>
      </c>
      <c r="J8" t="s">
        <v>384</v>
      </c>
      <c r="K8" t="s">
        <v>384</v>
      </c>
      <c r="L8" t="s">
        <v>384</v>
      </c>
      <c r="M8" t="s">
        <v>384</v>
      </c>
      <c r="N8" t="s">
        <v>384</v>
      </c>
      <c r="O8" t="s">
        <v>384</v>
      </c>
      <c r="P8" t="s">
        <v>384</v>
      </c>
      <c r="Q8" t="s">
        <v>384</v>
      </c>
      <c r="R8" t="s">
        <v>384</v>
      </c>
      <c r="S8" t="s">
        <v>384</v>
      </c>
      <c r="T8" t="s">
        <v>384</v>
      </c>
      <c r="U8" t="s">
        <v>384</v>
      </c>
      <c r="V8" t="s">
        <v>384</v>
      </c>
      <c r="W8" t="s">
        <v>384</v>
      </c>
      <c r="X8" t="s">
        <v>384</v>
      </c>
      <c r="Y8" t="s">
        <v>384</v>
      </c>
      <c r="Z8" t="s">
        <v>384</v>
      </c>
      <c r="AA8" t="s">
        <v>384</v>
      </c>
      <c r="AB8" t="s">
        <v>384</v>
      </c>
      <c r="AC8" t="s">
        <v>384</v>
      </c>
      <c r="AD8" t="s">
        <v>384</v>
      </c>
      <c r="AE8" s="218" t="s">
        <v>384</v>
      </c>
    </row>
    <row r="9" spans="1:31">
      <c r="A9" s="215" t="s">
        <v>533</v>
      </c>
      <c r="C9" t="s">
        <v>1223</v>
      </c>
      <c r="D9" t="s">
        <v>384</v>
      </c>
      <c r="E9" t="s">
        <v>384</v>
      </c>
      <c r="F9" t="s">
        <v>384</v>
      </c>
      <c r="G9" t="s">
        <v>384</v>
      </c>
      <c r="H9" t="s">
        <v>384</v>
      </c>
      <c r="I9" t="s">
        <v>384</v>
      </c>
      <c r="J9" t="s">
        <v>384</v>
      </c>
      <c r="K9" t="s">
        <v>384</v>
      </c>
      <c r="L9" t="s">
        <v>384</v>
      </c>
      <c r="M9" t="s">
        <v>384</v>
      </c>
      <c r="N9" t="s">
        <v>384</v>
      </c>
      <c r="O9" t="s">
        <v>384</v>
      </c>
      <c r="P9" t="s">
        <v>384</v>
      </c>
      <c r="Q9" t="s">
        <v>384</v>
      </c>
      <c r="R9" t="s">
        <v>384</v>
      </c>
      <c r="S9" t="s">
        <v>384</v>
      </c>
      <c r="T9" t="s">
        <v>384</v>
      </c>
      <c r="U9" t="s">
        <v>384</v>
      </c>
      <c r="V9" t="s">
        <v>384</v>
      </c>
      <c r="W9" t="s">
        <v>384</v>
      </c>
      <c r="X9" t="s">
        <v>384</v>
      </c>
      <c r="Y9" t="s">
        <v>384</v>
      </c>
      <c r="Z9" t="s">
        <v>384</v>
      </c>
      <c r="AA9" t="s">
        <v>384</v>
      </c>
      <c r="AB9" t="s">
        <v>384</v>
      </c>
      <c r="AC9" t="s">
        <v>384</v>
      </c>
      <c r="AD9" t="s">
        <v>384</v>
      </c>
      <c r="AE9" s="218" t="s">
        <v>384</v>
      </c>
    </row>
    <row r="10" spans="1:31">
      <c r="A10" s="215" t="s">
        <v>535</v>
      </c>
      <c r="C10" t="s">
        <v>1223</v>
      </c>
      <c r="D10" t="s">
        <v>384</v>
      </c>
      <c r="E10" t="s">
        <v>384</v>
      </c>
      <c r="F10" t="s">
        <v>384</v>
      </c>
      <c r="G10" t="s">
        <v>384</v>
      </c>
      <c r="H10" t="s">
        <v>384</v>
      </c>
      <c r="I10" t="s">
        <v>384</v>
      </c>
      <c r="J10" t="s">
        <v>384</v>
      </c>
      <c r="K10" t="s">
        <v>384</v>
      </c>
      <c r="L10" t="s">
        <v>384</v>
      </c>
      <c r="M10" t="s">
        <v>384</v>
      </c>
      <c r="N10" t="s">
        <v>384</v>
      </c>
      <c r="O10" t="s">
        <v>384</v>
      </c>
      <c r="P10" t="s">
        <v>384</v>
      </c>
      <c r="Q10" t="s">
        <v>384</v>
      </c>
      <c r="R10" t="s">
        <v>384</v>
      </c>
      <c r="S10" t="s">
        <v>384</v>
      </c>
      <c r="T10" t="s">
        <v>384</v>
      </c>
      <c r="U10" t="s">
        <v>384</v>
      </c>
      <c r="V10" t="s">
        <v>384</v>
      </c>
      <c r="W10" t="s">
        <v>384</v>
      </c>
      <c r="X10" t="s">
        <v>384</v>
      </c>
      <c r="Y10" t="s">
        <v>384</v>
      </c>
      <c r="Z10" t="s">
        <v>384</v>
      </c>
      <c r="AA10" t="s">
        <v>384</v>
      </c>
      <c r="AB10" t="s">
        <v>384</v>
      </c>
      <c r="AC10" t="s">
        <v>384</v>
      </c>
      <c r="AD10" t="s">
        <v>384</v>
      </c>
      <c r="AE10" s="218" t="s">
        <v>384</v>
      </c>
    </row>
    <row r="11" spans="1:31">
      <c r="A11" s="215" t="s">
        <v>537</v>
      </c>
      <c r="C11" t="s">
        <v>1223</v>
      </c>
      <c r="D11" t="s">
        <v>384</v>
      </c>
      <c r="E11" t="s">
        <v>384</v>
      </c>
      <c r="F11" t="s">
        <v>384</v>
      </c>
      <c r="G11" t="s">
        <v>384</v>
      </c>
      <c r="H11" t="s">
        <v>384</v>
      </c>
      <c r="I11" t="s">
        <v>384</v>
      </c>
      <c r="J11" t="s">
        <v>384</v>
      </c>
      <c r="K11" t="s">
        <v>384</v>
      </c>
      <c r="L11" t="s">
        <v>384</v>
      </c>
      <c r="M11" t="s">
        <v>384</v>
      </c>
      <c r="N11" t="s">
        <v>384</v>
      </c>
      <c r="O11" t="s">
        <v>384</v>
      </c>
      <c r="P11" t="s">
        <v>384</v>
      </c>
      <c r="Q11" t="s">
        <v>384</v>
      </c>
      <c r="R11" t="s">
        <v>384</v>
      </c>
      <c r="S11" t="s">
        <v>384</v>
      </c>
      <c r="T11" t="s">
        <v>384</v>
      </c>
      <c r="U11" t="s">
        <v>384</v>
      </c>
      <c r="V11" t="s">
        <v>384</v>
      </c>
      <c r="W11" t="s">
        <v>384</v>
      </c>
      <c r="X11" t="s">
        <v>384</v>
      </c>
      <c r="Y11" t="s">
        <v>384</v>
      </c>
      <c r="Z11" t="s">
        <v>384</v>
      </c>
      <c r="AA11" t="s">
        <v>384</v>
      </c>
      <c r="AB11" t="s">
        <v>384</v>
      </c>
      <c r="AC11" t="s">
        <v>384</v>
      </c>
      <c r="AD11" t="s">
        <v>384</v>
      </c>
      <c r="AE11" s="218" t="s">
        <v>384</v>
      </c>
    </row>
    <row r="12" spans="1:31">
      <c r="A12" s="215" t="s">
        <v>541</v>
      </c>
      <c r="C12" t="s">
        <v>1223</v>
      </c>
      <c r="D12" t="s">
        <v>384</v>
      </c>
      <c r="E12" t="s">
        <v>384</v>
      </c>
      <c r="F12" t="s">
        <v>384</v>
      </c>
      <c r="G12" t="s">
        <v>384</v>
      </c>
      <c r="H12" t="s">
        <v>384</v>
      </c>
      <c r="I12" t="s">
        <v>384</v>
      </c>
      <c r="J12" t="s">
        <v>384</v>
      </c>
      <c r="K12" t="s">
        <v>384</v>
      </c>
      <c r="L12" t="s">
        <v>384</v>
      </c>
      <c r="M12" t="s">
        <v>384</v>
      </c>
      <c r="N12" t="s">
        <v>384</v>
      </c>
      <c r="O12">
        <v>1</v>
      </c>
      <c r="P12" t="s">
        <v>384</v>
      </c>
      <c r="Q12" t="s">
        <v>384</v>
      </c>
      <c r="R12" t="s">
        <v>384</v>
      </c>
      <c r="S12" t="s">
        <v>384</v>
      </c>
      <c r="T12" t="s">
        <v>384</v>
      </c>
      <c r="U12" t="s">
        <v>384</v>
      </c>
      <c r="V12" t="s">
        <v>384</v>
      </c>
      <c r="W12" t="s">
        <v>384</v>
      </c>
      <c r="X12" t="s">
        <v>384</v>
      </c>
      <c r="Y12" t="s">
        <v>384</v>
      </c>
      <c r="Z12" t="s">
        <v>384</v>
      </c>
      <c r="AA12" t="s">
        <v>384</v>
      </c>
      <c r="AB12" t="s">
        <v>384</v>
      </c>
      <c r="AC12" t="s">
        <v>384</v>
      </c>
      <c r="AD12" t="s">
        <v>384</v>
      </c>
      <c r="AE12" s="218" t="s">
        <v>384</v>
      </c>
    </row>
    <row r="13" spans="1:31">
      <c r="A13" s="215" t="s">
        <v>543</v>
      </c>
      <c r="C13" t="s">
        <v>1223</v>
      </c>
      <c r="D13" t="s">
        <v>384</v>
      </c>
      <c r="E13" t="s">
        <v>384</v>
      </c>
      <c r="F13" t="s">
        <v>384</v>
      </c>
      <c r="G13" t="s">
        <v>384</v>
      </c>
      <c r="H13" t="s">
        <v>384</v>
      </c>
      <c r="I13" t="s">
        <v>384</v>
      </c>
      <c r="J13" t="s">
        <v>384</v>
      </c>
      <c r="K13" t="s">
        <v>384</v>
      </c>
      <c r="L13" t="s">
        <v>384</v>
      </c>
      <c r="M13" t="s">
        <v>384</v>
      </c>
      <c r="N13" t="s">
        <v>384</v>
      </c>
      <c r="O13" t="s">
        <v>384</v>
      </c>
      <c r="P13" t="s">
        <v>384</v>
      </c>
      <c r="Q13" t="s">
        <v>384</v>
      </c>
      <c r="R13" t="s">
        <v>384</v>
      </c>
      <c r="S13" t="s">
        <v>384</v>
      </c>
      <c r="T13" t="s">
        <v>384</v>
      </c>
      <c r="U13" t="s">
        <v>384</v>
      </c>
      <c r="V13" t="s">
        <v>384</v>
      </c>
      <c r="W13" t="s">
        <v>384</v>
      </c>
      <c r="X13" t="s">
        <v>384</v>
      </c>
      <c r="Y13" t="s">
        <v>384</v>
      </c>
      <c r="Z13" t="s">
        <v>384</v>
      </c>
      <c r="AA13" t="s">
        <v>384</v>
      </c>
      <c r="AB13" t="s">
        <v>384</v>
      </c>
      <c r="AC13" t="s">
        <v>384</v>
      </c>
      <c r="AD13" t="s">
        <v>384</v>
      </c>
      <c r="AE13" s="218" t="s">
        <v>384</v>
      </c>
    </row>
    <row r="14" spans="1:31">
      <c r="A14" s="215" t="s">
        <v>545</v>
      </c>
      <c r="C14" t="s">
        <v>1223</v>
      </c>
      <c r="D14" t="s">
        <v>384</v>
      </c>
      <c r="E14" t="s">
        <v>384</v>
      </c>
      <c r="F14" t="s">
        <v>384</v>
      </c>
      <c r="G14" t="s">
        <v>384</v>
      </c>
      <c r="H14" t="s">
        <v>384</v>
      </c>
      <c r="I14" t="s">
        <v>384</v>
      </c>
      <c r="J14" t="s">
        <v>384</v>
      </c>
      <c r="K14" t="s">
        <v>384</v>
      </c>
      <c r="L14" t="s">
        <v>384</v>
      </c>
      <c r="M14" t="s">
        <v>384</v>
      </c>
      <c r="N14" t="s">
        <v>384</v>
      </c>
      <c r="O14" t="s">
        <v>384</v>
      </c>
      <c r="P14" t="s">
        <v>384</v>
      </c>
      <c r="Q14" t="s">
        <v>384</v>
      </c>
      <c r="R14" t="s">
        <v>384</v>
      </c>
      <c r="S14" t="s">
        <v>384</v>
      </c>
      <c r="T14" t="s">
        <v>384</v>
      </c>
      <c r="U14" t="s">
        <v>384</v>
      </c>
      <c r="V14" t="s">
        <v>384</v>
      </c>
      <c r="W14" t="s">
        <v>384</v>
      </c>
      <c r="X14" t="s">
        <v>384</v>
      </c>
      <c r="Y14" t="s">
        <v>384</v>
      </c>
      <c r="Z14" t="s">
        <v>384</v>
      </c>
      <c r="AA14" t="s">
        <v>384</v>
      </c>
      <c r="AB14" t="s">
        <v>384</v>
      </c>
      <c r="AC14" t="s">
        <v>384</v>
      </c>
      <c r="AD14" t="s">
        <v>384</v>
      </c>
      <c r="AE14" s="218" t="s">
        <v>384</v>
      </c>
    </row>
    <row r="15" spans="1:31">
      <c r="A15" s="215" t="s">
        <v>548</v>
      </c>
      <c r="C15" t="s">
        <v>1223</v>
      </c>
      <c r="D15" t="s">
        <v>384</v>
      </c>
      <c r="E15" t="s">
        <v>384</v>
      </c>
      <c r="F15" t="s">
        <v>384</v>
      </c>
      <c r="G15" t="s">
        <v>384</v>
      </c>
      <c r="H15" t="s">
        <v>384</v>
      </c>
      <c r="I15" t="s">
        <v>384</v>
      </c>
      <c r="J15" t="s">
        <v>384</v>
      </c>
      <c r="K15" t="s">
        <v>384</v>
      </c>
      <c r="L15" t="s">
        <v>384</v>
      </c>
      <c r="M15" t="s">
        <v>384</v>
      </c>
      <c r="N15" t="s">
        <v>384</v>
      </c>
      <c r="O15" t="s">
        <v>384</v>
      </c>
      <c r="P15" t="s">
        <v>384</v>
      </c>
      <c r="Q15" t="s">
        <v>384</v>
      </c>
      <c r="R15" t="s">
        <v>384</v>
      </c>
      <c r="S15" t="s">
        <v>384</v>
      </c>
      <c r="T15" t="s">
        <v>384</v>
      </c>
      <c r="U15" t="s">
        <v>384</v>
      </c>
      <c r="V15" t="s">
        <v>384</v>
      </c>
      <c r="W15" t="s">
        <v>384</v>
      </c>
      <c r="X15" t="s">
        <v>384</v>
      </c>
      <c r="Y15" t="s">
        <v>384</v>
      </c>
      <c r="Z15" t="s">
        <v>384</v>
      </c>
      <c r="AA15" t="s">
        <v>384</v>
      </c>
      <c r="AB15" t="s">
        <v>384</v>
      </c>
      <c r="AC15" t="s">
        <v>384</v>
      </c>
      <c r="AD15" t="s">
        <v>384</v>
      </c>
      <c r="AE15" s="218" t="s">
        <v>384</v>
      </c>
    </row>
    <row r="16" spans="1:31">
      <c r="A16" s="215" t="s">
        <v>550</v>
      </c>
      <c r="C16" t="s">
        <v>1223</v>
      </c>
      <c r="D16" t="s">
        <v>384</v>
      </c>
      <c r="E16" t="s">
        <v>384</v>
      </c>
      <c r="F16" t="s">
        <v>384</v>
      </c>
      <c r="G16" t="s">
        <v>384</v>
      </c>
      <c r="H16" t="s">
        <v>384</v>
      </c>
      <c r="I16" t="s">
        <v>384</v>
      </c>
      <c r="J16" t="s">
        <v>384</v>
      </c>
      <c r="K16" t="s">
        <v>384</v>
      </c>
      <c r="L16" t="s">
        <v>384</v>
      </c>
      <c r="M16" t="s">
        <v>384</v>
      </c>
      <c r="N16" t="s">
        <v>384</v>
      </c>
      <c r="O16" t="s">
        <v>384</v>
      </c>
      <c r="P16" t="s">
        <v>384</v>
      </c>
      <c r="Q16" t="s">
        <v>384</v>
      </c>
      <c r="R16" t="s">
        <v>384</v>
      </c>
      <c r="S16" t="s">
        <v>384</v>
      </c>
      <c r="T16" t="s">
        <v>384</v>
      </c>
      <c r="U16" t="s">
        <v>384</v>
      </c>
      <c r="V16" t="s">
        <v>384</v>
      </c>
      <c r="W16" t="s">
        <v>384</v>
      </c>
      <c r="X16" t="s">
        <v>384</v>
      </c>
      <c r="Y16" t="s">
        <v>384</v>
      </c>
      <c r="Z16" t="s">
        <v>384</v>
      </c>
      <c r="AA16" t="s">
        <v>384</v>
      </c>
      <c r="AB16" t="s">
        <v>384</v>
      </c>
      <c r="AC16" t="s">
        <v>384</v>
      </c>
      <c r="AD16" t="s">
        <v>384</v>
      </c>
      <c r="AE16" s="218" t="s">
        <v>384</v>
      </c>
    </row>
    <row r="17" spans="1:31">
      <c r="A17" s="215" t="s">
        <v>552</v>
      </c>
      <c r="C17" t="s">
        <v>1223</v>
      </c>
      <c r="D17" t="s">
        <v>384</v>
      </c>
      <c r="E17" t="s">
        <v>384</v>
      </c>
      <c r="F17" t="s">
        <v>384</v>
      </c>
      <c r="G17" t="s">
        <v>384</v>
      </c>
      <c r="H17" t="s">
        <v>384</v>
      </c>
      <c r="I17" t="s">
        <v>384</v>
      </c>
      <c r="J17" t="s">
        <v>384</v>
      </c>
      <c r="K17" t="s">
        <v>384</v>
      </c>
      <c r="L17" t="s">
        <v>384</v>
      </c>
      <c r="M17" t="s">
        <v>384</v>
      </c>
      <c r="N17" t="s">
        <v>384</v>
      </c>
      <c r="O17" t="s">
        <v>384</v>
      </c>
      <c r="P17" t="s">
        <v>384</v>
      </c>
      <c r="Q17" t="s">
        <v>384</v>
      </c>
      <c r="R17" t="s">
        <v>384</v>
      </c>
      <c r="S17" t="s">
        <v>384</v>
      </c>
      <c r="T17" t="s">
        <v>384</v>
      </c>
      <c r="U17" t="s">
        <v>384</v>
      </c>
      <c r="V17" t="s">
        <v>384</v>
      </c>
      <c r="W17" t="s">
        <v>384</v>
      </c>
      <c r="X17" t="s">
        <v>384</v>
      </c>
      <c r="Y17" t="s">
        <v>384</v>
      </c>
      <c r="Z17" t="s">
        <v>384</v>
      </c>
      <c r="AA17" t="s">
        <v>384</v>
      </c>
      <c r="AB17" t="s">
        <v>384</v>
      </c>
      <c r="AC17" t="s">
        <v>384</v>
      </c>
      <c r="AD17" t="s">
        <v>384</v>
      </c>
      <c r="AE17" s="218" t="s">
        <v>384</v>
      </c>
    </row>
    <row r="18" spans="1:31">
      <c r="A18" s="215" t="s">
        <v>554</v>
      </c>
      <c r="C18" t="s">
        <v>1223</v>
      </c>
      <c r="D18" t="s">
        <v>384</v>
      </c>
      <c r="E18" t="s">
        <v>384</v>
      </c>
      <c r="F18" t="s">
        <v>384</v>
      </c>
      <c r="G18" t="s">
        <v>384</v>
      </c>
      <c r="H18" t="s">
        <v>384</v>
      </c>
      <c r="I18" t="s">
        <v>384</v>
      </c>
      <c r="J18" t="s">
        <v>384</v>
      </c>
      <c r="K18" t="s">
        <v>384</v>
      </c>
      <c r="L18" t="s">
        <v>384</v>
      </c>
      <c r="M18" t="s">
        <v>384</v>
      </c>
      <c r="N18" t="s">
        <v>384</v>
      </c>
      <c r="O18" t="s">
        <v>384</v>
      </c>
      <c r="P18" t="s">
        <v>384</v>
      </c>
      <c r="Q18" t="s">
        <v>384</v>
      </c>
      <c r="R18" t="s">
        <v>384</v>
      </c>
      <c r="S18" t="s">
        <v>384</v>
      </c>
      <c r="T18" t="s">
        <v>384</v>
      </c>
      <c r="U18" t="s">
        <v>384</v>
      </c>
      <c r="V18" t="s">
        <v>384</v>
      </c>
      <c r="W18" t="s">
        <v>384</v>
      </c>
      <c r="X18" t="s">
        <v>384</v>
      </c>
      <c r="Y18" t="s">
        <v>384</v>
      </c>
      <c r="Z18" t="s">
        <v>384</v>
      </c>
      <c r="AA18" t="s">
        <v>384</v>
      </c>
      <c r="AB18" t="s">
        <v>384</v>
      </c>
      <c r="AC18" t="s">
        <v>384</v>
      </c>
      <c r="AD18" t="s">
        <v>384</v>
      </c>
      <c r="AE18" s="218" t="s">
        <v>384</v>
      </c>
    </row>
    <row r="19" spans="1:31">
      <c r="A19" s="215" t="s">
        <v>556</v>
      </c>
      <c r="C19" t="s">
        <v>1223</v>
      </c>
      <c r="D19" s="209">
        <v>1</v>
      </c>
      <c r="E19" s="209">
        <v>1</v>
      </c>
      <c r="F19" s="209">
        <v>1</v>
      </c>
      <c r="G19" s="209">
        <v>1</v>
      </c>
      <c r="H19" s="209">
        <v>1</v>
      </c>
      <c r="I19" s="209">
        <v>1</v>
      </c>
      <c r="J19" s="209">
        <v>1</v>
      </c>
      <c r="K19" s="209">
        <v>1</v>
      </c>
      <c r="L19" s="209">
        <v>1</v>
      </c>
      <c r="M19" s="209">
        <v>1</v>
      </c>
      <c r="N19" s="209">
        <v>1</v>
      </c>
      <c r="O19" s="209">
        <v>1</v>
      </c>
      <c r="P19" s="209">
        <v>1</v>
      </c>
      <c r="Q19" s="209">
        <v>1</v>
      </c>
      <c r="R19" s="209">
        <v>1</v>
      </c>
      <c r="S19" s="209">
        <v>1</v>
      </c>
      <c r="T19" s="209">
        <v>1</v>
      </c>
      <c r="U19" s="209">
        <v>1</v>
      </c>
      <c r="V19" s="209">
        <v>1</v>
      </c>
      <c r="W19" s="209">
        <v>1</v>
      </c>
      <c r="X19" s="209">
        <v>1</v>
      </c>
      <c r="Y19" s="209">
        <v>1</v>
      </c>
      <c r="Z19" s="209">
        <v>1</v>
      </c>
      <c r="AA19" s="209">
        <v>1</v>
      </c>
      <c r="AB19" s="209">
        <v>1</v>
      </c>
      <c r="AC19" s="209">
        <v>1</v>
      </c>
      <c r="AD19" s="209">
        <v>1</v>
      </c>
      <c r="AE19" s="220">
        <v>1</v>
      </c>
    </row>
    <row r="20" spans="1:31">
      <c r="A20" s="215"/>
      <c r="B20" t="s">
        <v>1224</v>
      </c>
      <c r="C20" t="s">
        <v>1223</v>
      </c>
      <c r="D20" s="209">
        <v>1</v>
      </c>
      <c r="E20" s="209">
        <v>0.93801442727979212</v>
      </c>
      <c r="F20" s="209">
        <v>0.91949985083002772</v>
      </c>
      <c r="G20" s="209">
        <v>0.99740460317617763</v>
      </c>
      <c r="H20" s="209">
        <v>0.928615513345458</v>
      </c>
      <c r="I20" s="209">
        <v>0.91639518378407092</v>
      </c>
      <c r="J20" s="209">
        <v>0.94431302733945777</v>
      </c>
      <c r="K20" s="209">
        <v>0.98591200745217644</v>
      </c>
      <c r="L20" s="209">
        <v>0.93780796290236501</v>
      </c>
      <c r="M20" s="209">
        <v>0.56996073966810612</v>
      </c>
      <c r="N20" s="209">
        <v>0.86918682281026183</v>
      </c>
      <c r="O20" s="209">
        <v>0.87172656183068253</v>
      </c>
      <c r="P20" s="209">
        <v>0.93444093580440735</v>
      </c>
      <c r="Q20" s="209">
        <v>0.87995938784732719</v>
      </c>
      <c r="R20" s="209">
        <v>0.9358100194661757</v>
      </c>
      <c r="S20" s="209">
        <v>0.91940989980348842</v>
      </c>
      <c r="T20" s="209">
        <v>0.89422895551753323</v>
      </c>
      <c r="U20" s="209">
        <v>1</v>
      </c>
      <c r="V20" s="209">
        <v>0.96286368602075689</v>
      </c>
      <c r="W20" s="209">
        <v>0.96427680737264687</v>
      </c>
      <c r="X20" s="209">
        <v>0.87319907456440382</v>
      </c>
      <c r="Y20" s="209">
        <v>0.89219329365292899</v>
      </c>
      <c r="Z20" s="209">
        <v>0.90689639628487817</v>
      </c>
      <c r="AA20" s="209">
        <v>0.93700696277517981</v>
      </c>
      <c r="AB20" s="209">
        <v>0.77993557920064449</v>
      </c>
      <c r="AC20" s="209">
        <v>0.88552316978533918</v>
      </c>
      <c r="AD20" s="209">
        <v>0.87469765410854983</v>
      </c>
      <c r="AE20" s="220">
        <v>0.95191875679641325</v>
      </c>
    </row>
    <row r="21" spans="1:31">
      <c r="A21" s="215"/>
      <c r="B21" t="s">
        <v>420</v>
      </c>
      <c r="C21" t="s">
        <v>1223</v>
      </c>
      <c r="D21" s="209">
        <v>0</v>
      </c>
      <c r="E21" s="209">
        <v>6.1985572720207931E-2</v>
      </c>
      <c r="F21" s="209">
        <v>2.90091783403371E-3</v>
      </c>
      <c r="G21" s="209">
        <v>2.5953968238223209E-3</v>
      </c>
      <c r="H21" s="209">
        <v>0</v>
      </c>
      <c r="I21" s="209">
        <v>8.0217041471502493E-2</v>
      </c>
      <c r="J21" s="209">
        <v>7.7376185790895642E-4</v>
      </c>
      <c r="K21" s="209">
        <v>1.4087992547823556E-2</v>
      </c>
      <c r="L21" s="209">
        <v>1.9866285685727968E-2</v>
      </c>
      <c r="M21" s="209">
        <v>2.3255551430589858E-2</v>
      </c>
      <c r="N21" s="209">
        <v>0</v>
      </c>
      <c r="O21" s="209">
        <v>0</v>
      </c>
      <c r="P21" s="209">
        <v>3.2582559530680774E-2</v>
      </c>
      <c r="Q21" s="209">
        <v>9.9119347759068933E-3</v>
      </c>
      <c r="R21" s="209">
        <v>2.8308059702351648E-3</v>
      </c>
      <c r="S21" s="209">
        <v>0</v>
      </c>
      <c r="T21" s="209">
        <v>1.2528936610525249E-2</v>
      </c>
      <c r="U21" s="209">
        <v>0</v>
      </c>
      <c r="V21" s="209">
        <v>5.4698533576845974E-3</v>
      </c>
      <c r="W21" s="209">
        <v>1.7125859481097253E-2</v>
      </c>
      <c r="X21" s="209">
        <v>3.5751494066272781E-2</v>
      </c>
      <c r="Y21" s="209">
        <v>0</v>
      </c>
      <c r="Z21" s="209">
        <v>8.9167770326433957E-2</v>
      </c>
      <c r="AA21" s="209">
        <v>4.2281405595393666E-2</v>
      </c>
      <c r="AB21" s="209">
        <v>0</v>
      </c>
      <c r="AC21" s="209">
        <v>0.11447683021466086</v>
      </c>
      <c r="AD21" s="209">
        <v>0</v>
      </c>
      <c r="AE21" s="220">
        <v>2.033116397212446E-2</v>
      </c>
    </row>
    <row r="22" spans="1:31">
      <c r="A22" s="215"/>
      <c r="B22" t="s">
        <v>1225</v>
      </c>
      <c r="C22" t="s">
        <v>1223</v>
      </c>
      <c r="D22" s="209">
        <v>0</v>
      </c>
      <c r="E22" s="209">
        <v>0</v>
      </c>
      <c r="F22" s="209">
        <v>7.7599231335938545E-2</v>
      </c>
      <c r="G22" s="209">
        <v>0</v>
      </c>
      <c r="H22" s="209">
        <v>7.1384486654541918E-2</v>
      </c>
      <c r="I22" s="209">
        <v>3.3877747444265695E-3</v>
      </c>
      <c r="J22" s="209">
        <v>5.4913210802633346E-2</v>
      </c>
      <c r="K22" s="209">
        <v>0</v>
      </c>
      <c r="L22" s="209">
        <v>4.2325751411907087E-2</v>
      </c>
      <c r="M22" s="209">
        <v>0.40678370890130411</v>
      </c>
      <c r="N22" s="209">
        <v>0.13081317718973817</v>
      </c>
      <c r="O22" s="209">
        <v>0.12827343816931744</v>
      </c>
      <c r="P22" s="209">
        <v>3.2976504664911838E-2</v>
      </c>
      <c r="Q22" s="209">
        <v>0.11012867737676596</v>
      </c>
      <c r="R22" s="209">
        <v>6.1359174563589025E-2</v>
      </c>
      <c r="S22" s="209">
        <v>8.0590100196511513E-2</v>
      </c>
      <c r="T22" s="209">
        <v>9.3242107871941482E-2</v>
      </c>
      <c r="U22" s="209">
        <v>0</v>
      </c>
      <c r="V22" s="209">
        <v>3.166646062155852E-2</v>
      </c>
      <c r="W22" s="209">
        <v>1.8597333146255841E-2</v>
      </c>
      <c r="X22" s="209">
        <v>9.1049431369323391E-2</v>
      </c>
      <c r="Y22" s="209">
        <v>0.10780670634707092</v>
      </c>
      <c r="Z22" s="209">
        <v>3.9358333886878724E-3</v>
      </c>
      <c r="AA22" s="209">
        <v>2.0711631629426384E-2</v>
      </c>
      <c r="AB22" s="209">
        <v>0.22006442079935556</v>
      </c>
      <c r="AC22" s="209">
        <v>0</v>
      </c>
      <c r="AD22" s="209">
        <v>0.12530234589145017</v>
      </c>
      <c r="AE22" s="220">
        <v>2.775007923146236E-2</v>
      </c>
    </row>
    <row r="23" spans="1:31">
      <c r="A23" s="215" t="s">
        <v>558</v>
      </c>
      <c r="C23" t="s">
        <v>1223</v>
      </c>
      <c r="D23" t="s">
        <v>384</v>
      </c>
      <c r="E23" t="s">
        <v>384</v>
      </c>
      <c r="F23" t="s">
        <v>384</v>
      </c>
      <c r="G23" t="s">
        <v>384</v>
      </c>
      <c r="H23" t="s">
        <v>384</v>
      </c>
      <c r="I23" t="s">
        <v>384</v>
      </c>
      <c r="J23" t="s">
        <v>384</v>
      </c>
      <c r="K23" t="s">
        <v>384</v>
      </c>
      <c r="L23" t="s">
        <v>384</v>
      </c>
      <c r="M23" t="s">
        <v>384</v>
      </c>
      <c r="N23" t="s">
        <v>384</v>
      </c>
      <c r="O23" t="s">
        <v>384</v>
      </c>
      <c r="P23" t="s">
        <v>384</v>
      </c>
      <c r="Q23" t="s">
        <v>384</v>
      </c>
      <c r="R23" t="s">
        <v>384</v>
      </c>
      <c r="S23" t="s">
        <v>384</v>
      </c>
      <c r="T23" t="s">
        <v>384</v>
      </c>
      <c r="U23" t="s">
        <v>384</v>
      </c>
      <c r="V23" t="s">
        <v>384</v>
      </c>
      <c r="W23" t="s">
        <v>384</v>
      </c>
      <c r="X23" t="s">
        <v>384</v>
      </c>
      <c r="Y23" t="s">
        <v>384</v>
      </c>
      <c r="Z23" t="s">
        <v>384</v>
      </c>
      <c r="AA23" t="s">
        <v>384</v>
      </c>
      <c r="AB23" t="s">
        <v>384</v>
      </c>
      <c r="AC23" t="s">
        <v>384</v>
      </c>
      <c r="AD23" t="s">
        <v>384</v>
      </c>
      <c r="AE23" s="218" t="s">
        <v>384</v>
      </c>
    </row>
    <row r="24" spans="1:31">
      <c r="A24" s="229" t="s">
        <v>560</v>
      </c>
      <c r="B24" s="236"/>
      <c r="C24" s="236" t="s">
        <v>1223</v>
      </c>
      <c r="D24" s="236" t="s">
        <v>384</v>
      </c>
      <c r="E24" s="236" t="s">
        <v>384</v>
      </c>
      <c r="F24" s="236" t="s">
        <v>384</v>
      </c>
      <c r="G24" s="236" t="s">
        <v>384</v>
      </c>
      <c r="H24" s="236" t="s">
        <v>384</v>
      </c>
      <c r="I24" s="236" t="s">
        <v>384</v>
      </c>
      <c r="J24" s="236" t="s">
        <v>384</v>
      </c>
      <c r="K24" s="236" t="s">
        <v>384</v>
      </c>
      <c r="L24" s="236" t="s">
        <v>384</v>
      </c>
      <c r="M24" s="236" t="s">
        <v>384</v>
      </c>
      <c r="N24" s="236" t="s">
        <v>384</v>
      </c>
      <c r="O24" s="236" t="s">
        <v>384</v>
      </c>
      <c r="P24" s="236" t="s">
        <v>384</v>
      </c>
      <c r="Q24" s="236" t="s">
        <v>384</v>
      </c>
      <c r="R24" s="236" t="s">
        <v>384</v>
      </c>
      <c r="S24" s="236" t="s">
        <v>384</v>
      </c>
      <c r="T24" s="236" t="s">
        <v>384</v>
      </c>
      <c r="U24" s="236" t="s">
        <v>384</v>
      </c>
      <c r="V24" s="236" t="s">
        <v>384</v>
      </c>
      <c r="W24" s="236" t="s">
        <v>384</v>
      </c>
      <c r="X24" s="236" t="s">
        <v>384</v>
      </c>
      <c r="Y24" s="236" t="s">
        <v>384</v>
      </c>
      <c r="Z24" s="236" t="s">
        <v>384</v>
      </c>
      <c r="AA24" s="236" t="s">
        <v>384</v>
      </c>
      <c r="AB24" s="236" t="s">
        <v>384</v>
      </c>
      <c r="AC24" s="236" t="s">
        <v>384</v>
      </c>
      <c r="AD24" s="236" t="s">
        <v>384</v>
      </c>
      <c r="AE24" s="230" t="s">
        <v>384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A552-55E0-4BE3-A565-14CD8579B120}">
  <sheetPr>
    <tabColor theme="5" tint="0.39997558519241921"/>
  </sheetPr>
  <dimension ref="A1:AE25"/>
  <sheetViews>
    <sheetView workbookViewId="0">
      <selection activeCell="B15" sqref="B15"/>
    </sheetView>
  </sheetViews>
  <sheetFormatPr defaultRowHeight="15.6"/>
  <cols>
    <col min="1" max="1" width="10.19921875" bestFit="1" customWidth="1"/>
    <col min="2" max="2" width="16.5" bestFit="1" customWidth="1"/>
  </cols>
  <sheetData>
    <row r="1" spans="1:31">
      <c r="A1" s="227"/>
      <c r="B1" s="358"/>
      <c r="C1" s="358" t="s">
        <v>1222</v>
      </c>
      <c r="D1" s="358" t="s">
        <v>172</v>
      </c>
      <c r="E1" s="358" t="s">
        <v>175</v>
      </c>
      <c r="F1" s="358" t="s">
        <v>178</v>
      </c>
      <c r="G1" s="358" t="s">
        <v>181</v>
      </c>
      <c r="H1" s="358" t="s">
        <v>184</v>
      </c>
      <c r="I1" s="358" t="s">
        <v>187</v>
      </c>
      <c r="J1" s="358" t="s">
        <v>190</v>
      </c>
      <c r="K1" s="358" t="s">
        <v>193</v>
      </c>
      <c r="L1" s="358" t="s">
        <v>196</v>
      </c>
      <c r="M1" s="358" t="s">
        <v>198</v>
      </c>
      <c r="N1" s="358" t="s">
        <v>200</v>
      </c>
      <c r="O1" s="358" t="s">
        <v>202</v>
      </c>
      <c r="P1" s="358" t="s">
        <v>205</v>
      </c>
      <c r="Q1" s="358" t="s">
        <v>208</v>
      </c>
      <c r="R1" s="358" t="s">
        <v>211</v>
      </c>
      <c r="S1" s="358" t="s">
        <v>214</v>
      </c>
      <c r="T1" s="358" t="s">
        <v>217</v>
      </c>
      <c r="U1" s="358" t="s">
        <v>220</v>
      </c>
      <c r="V1" s="358" t="s">
        <v>223</v>
      </c>
      <c r="W1" s="358" t="s">
        <v>225</v>
      </c>
      <c r="X1" s="358" t="s">
        <v>227</v>
      </c>
      <c r="Y1" s="358" t="s">
        <v>230</v>
      </c>
      <c r="Z1" s="358" t="s">
        <v>233</v>
      </c>
      <c r="AA1" s="358" t="s">
        <v>236</v>
      </c>
      <c r="AB1" s="358" t="s">
        <v>238</v>
      </c>
      <c r="AC1" s="358" t="s">
        <v>240</v>
      </c>
      <c r="AD1" s="358" t="s">
        <v>243</v>
      </c>
      <c r="AE1" s="228" t="s">
        <v>245</v>
      </c>
    </row>
    <row r="2" spans="1:31">
      <c r="A2" s="215" t="s">
        <v>515</v>
      </c>
      <c r="C2" t="s">
        <v>723</v>
      </c>
      <c r="D2" s="209" t="s">
        <v>384</v>
      </c>
      <c r="E2" s="209" t="s">
        <v>384</v>
      </c>
      <c r="F2" s="209" t="s">
        <v>384</v>
      </c>
      <c r="G2" s="209" t="s">
        <v>384</v>
      </c>
      <c r="H2" s="209" t="s">
        <v>384</v>
      </c>
      <c r="I2" s="209" t="s">
        <v>384</v>
      </c>
      <c r="J2" s="209" t="s">
        <v>384</v>
      </c>
      <c r="K2" s="209" t="s">
        <v>384</v>
      </c>
      <c r="L2" s="209" t="s">
        <v>384</v>
      </c>
      <c r="M2" s="209" t="s">
        <v>384</v>
      </c>
      <c r="N2" s="209" t="s">
        <v>384</v>
      </c>
      <c r="O2" s="209" t="s">
        <v>384</v>
      </c>
      <c r="P2" s="209" t="s">
        <v>384</v>
      </c>
      <c r="Q2" s="209" t="s">
        <v>384</v>
      </c>
      <c r="R2" s="209" t="s">
        <v>384</v>
      </c>
      <c r="S2" s="209">
        <v>1</v>
      </c>
      <c r="T2" s="209" t="s">
        <v>384</v>
      </c>
      <c r="U2" s="209" t="s">
        <v>384</v>
      </c>
      <c r="V2" s="209" t="s">
        <v>384</v>
      </c>
      <c r="W2" s="209" t="s">
        <v>384</v>
      </c>
      <c r="X2" s="209" t="s">
        <v>384</v>
      </c>
      <c r="Y2" s="209" t="s">
        <v>384</v>
      </c>
      <c r="Z2" s="209" t="s">
        <v>384</v>
      </c>
      <c r="AA2" s="209" t="s">
        <v>384</v>
      </c>
      <c r="AB2" s="209" t="s">
        <v>384</v>
      </c>
      <c r="AC2" s="209" t="s">
        <v>384</v>
      </c>
      <c r="AD2" s="209" t="s">
        <v>384</v>
      </c>
      <c r="AE2" s="220" t="s">
        <v>384</v>
      </c>
    </row>
    <row r="3" spans="1:31">
      <c r="A3" s="215" t="s">
        <v>521</v>
      </c>
      <c r="C3" t="s">
        <v>723</v>
      </c>
      <c r="D3" s="209" t="s">
        <v>384</v>
      </c>
      <c r="E3" s="209" t="s">
        <v>384</v>
      </c>
      <c r="F3" s="209" t="s">
        <v>384</v>
      </c>
      <c r="G3" s="209" t="s">
        <v>384</v>
      </c>
      <c r="H3" s="209" t="s">
        <v>384</v>
      </c>
      <c r="I3" s="209" t="s">
        <v>384</v>
      </c>
      <c r="J3" s="209" t="s">
        <v>384</v>
      </c>
      <c r="K3" s="209" t="s">
        <v>384</v>
      </c>
      <c r="L3" s="209" t="s">
        <v>384</v>
      </c>
      <c r="M3" s="209" t="s">
        <v>384</v>
      </c>
      <c r="N3" s="209" t="s">
        <v>384</v>
      </c>
      <c r="O3" s="209" t="s">
        <v>384</v>
      </c>
      <c r="P3" s="209" t="s">
        <v>384</v>
      </c>
      <c r="Q3" s="209">
        <v>1</v>
      </c>
      <c r="R3" s="209" t="s">
        <v>384</v>
      </c>
      <c r="S3" s="209" t="s">
        <v>384</v>
      </c>
      <c r="T3" s="209" t="s">
        <v>384</v>
      </c>
      <c r="U3" s="209" t="s">
        <v>384</v>
      </c>
      <c r="V3" s="209" t="s">
        <v>384</v>
      </c>
      <c r="W3" s="209" t="s">
        <v>384</v>
      </c>
      <c r="X3" s="209" t="s">
        <v>384</v>
      </c>
      <c r="Y3" s="209" t="s">
        <v>384</v>
      </c>
      <c r="Z3" s="209" t="s">
        <v>384</v>
      </c>
      <c r="AA3" s="209" t="s">
        <v>384</v>
      </c>
      <c r="AB3" s="209" t="s">
        <v>384</v>
      </c>
      <c r="AC3" s="209" t="s">
        <v>384</v>
      </c>
      <c r="AD3" s="209" t="s">
        <v>384</v>
      </c>
      <c r="AE3" s="220" t="s">
        <v>384</v>
      </c>
    </row>
    <row r="4" spans="1:31">
      <c r="A4" s="215" t="s">
        <v>523</v>
      </c>
      <c r="C4" t="s">
        <v>723</v>
      </c>
      <c r="D4" s="209" t="s">
        <v>384</v>
      </c>
      <c r="E4" s="209" t="s">
        <v>384</v>
      </c>
      <c r="F4" s="209" t="s">
        <v>384</v>
      </c>
      <c r="G4" s="209" t="s">
        <v>384</v>
      </c>
      <c r="H4" s="209" t="s">
        <v>384</v>
      </c>
      <c r="I4" s="209" t="s">
        <v>384</v>
      </c>
      <c r="J4" s="209" t="s">
        <v>384</v>
      </c>
      <c r="K4" s="209" t="s">
        <v>384</v>
      </c>
      <c r="L4" s="209" t="s">
        <v>384</v>
      </c>
      <c r="M4" s="209" t="s">
        <v>384</v>
      </c>
      <c r="N4" s="209" t="s">
        <v>384</v>
      </c>
      <c r="O4" s="209" t="s">
        <v>384</v>
      </c>
      <c r="P4" s="209" t="s">
        <v>384</v>
      </c>
      <c r="Q4" s="209">
        <v>1</v>
      </c>
      <c r="R4" s="209">
        <v>1</v>
      </c>
      <c r="S4" s="209">
        <v>1</v>
      </c>
      <c r="T4" s="209">
        <v>1</v>
      </c>
      <c r="U4" s="209" t="s">
        <v>384</v>
      </c>
      <c r="V4" s="209" t="s">
        <v>384</v>
      </c>
      <c r="W4" s="209">
        <v>1</v>
      </c>
      <c r="X4" s="209" t="s">
        <v>384</v>
      </c>
      <c r="Y4" s="209" t="s">
        <v>384</v>
      </c>
      <c r="Z4" s="209" t="s">
        <v>384</v>
      </c>
      <c r="AA4" s="209" t="s">
        <v>384</v>
      </c>
      <c r="AB4" s="209" t="s">
        <v>384</v>
      </c>
      <c r="AC4" s="209" t="s">
        <v>384</v>
      </c>
      <c r="AD4" s="209" t="s">
        <v>384</v>
      </c>
      <c r="AE4" s="220" t="s">
        <v>384</v>
      </c>
    </row>
    <row r="5" spans="1:31">
      <c r="A5" s="215" t="s">
        <v>525</v>
      </c>
      <c r="C5" t="s">
        <v>723</v>
      </c>
      <c r="D5" s="209">
        <v>1</v>
      </c>
      <c r="E5" s="209">
        <v>1</v>
      </c>
      <c r="F5" s="209">
        <v>1</v>
      </c>
      <c r="G5" s="209">
        <v>1</v>
      </c>
      <c r="H5" s="209" t="s">
        <v>384</v>
      </c>
      <c r="I5" s="209">
        <v>1</v>
      </c>
      <c r="J5" s="209">
        <v>1</v>
      </c>
      <c r="K5" s="209">
        <v>1</v>
      </c>
      <c r="L5" s="209">
        <v>1</v>
      </c>
      <c r="M5" s="209" t="s">
        <v>384</v>
      </c>
      <c r="N5" s="209">
        <v>1</v>
      </c>
      <c r="O5" s="209">
        <v>1</v>
      </c>
      <c r="P5" s="209">
        <v>1</v>
      </c>
      <c r="Q5" s="209" t="s">
        <v>384</v>
      </c>
      <c r="R5" s="209">
        <v>1</v>
      </c>
      <c r="S5" s="209">
        <v>1</v>
      </c>
      <c r="T5" s="209">
        <v>1</v>
      </c>
      <c r="U5" s="209">
        <v>1</v>
      </c>
      <c r="V5" s="209">
        <v>1</v>
      </c>
      <c r="W5" s="209">
        <v>1</v>
      </c>
      <c r="X5" s="209">
        <v>1</v>
      </c>
      <c r="Y5" s="209">
        <v>1</v>
      </c>
      <c r="Z5" s="209">
        <v>1</v>
      </c>
      <c r="AA5" s="209" t="s">
        <v>384</v>
      </c>
      <c r="AB5" s="209">
        <v>1</v>
      </c>
      <c r="AC5" s="209">
        <v>1</v>
      </c>
      <c r="AD5" s="209" t="s">
        <v>384</v>
      </c>
      <c r="AE5" s="220">
        <v>1</v>
      </c>
    </row>
    <row r="6" spans="1:31">
      <c r="A6" s="215" t="s">
        <v>527</v>
      </c>
      <c r="C6" t="s">
        <v>723</v>
      </c>
      <c r="D6" s="209" t="s">
        <v>384</v>
      </c>
      <c r="E6" s="209">
        <v>1</v>
      </c>
      <c r="F6" s="209">
        <v>1</v>
      </c>
      <c r="G6" s="209">
        <v>1</v>
      </c>
      <c r="H6" s="209" t="s">
        <v>384</v>
      </c>
      <c r="I6" s="209">
        <v>1</v>
      </c>
      <c r="J6" s="209" t="s">
        <v>384</v>
      </c>
      <c r="K6" s="209" t="s">
        <v>384</v>
      </c>
      <c r="L6" s="209" t="s">
        <v>384</v>
      </c>
      <c r="M6" s="209" t="s">
        <v>384</v>
      </c>
      <c r="N6" s="209" t="s">
        <v>384</v>
      </c>
      <c r="O6" s="209">
        <v>1</v>
      </c>
      <c r="P6" s="209">
        <v>1</v>
      </c>
      <c r="Q6" s="209">
        <v>1</v>
      </c>
      <c r="R6" s="209">
        <v>1</v>
      </c>
      <c r="S6" s="209" t="s">
        <v>384</v>
      </c>
      <c r="T6" s="209">
        <v>1</v>
      </c>
      <c r="U6" s="209">
        <v>1</v>
      </c>
      <c r="V6" s="209">
        <v>1</v>
      </c>
      <c r="W6" s="209" t="s">
        <v>384</v>
      </c>
      <c r="X6" s="209" t="s">
        <v>384</v>
      </c>
      <c r="Y6" s="209" t="s">
        <v>384</v>
      </c>
      <c r="Z6" s="209" t="s">
        <v>384</v>
      </c>
      <c r="AA6" s="209" t="s">
        <v>384</v>
      </c>
      <c r="AB6" s="209" t="s">
        <v>384</v>
      </c>
      <c r="AC6" s="209">
        <v>1</v>
      </c>
      <c r="AD6" s="209">
        <v>1</v>
      </c>
      <c r="AE6" s="220">
        <v>1</v>
      </c>
    </row>
    <row r="7" spans="1:31">
      <c r="A7" s="215" t="s">
        <v>529</v>
      </c>
      <c r="C7" t="s">
        <v>723</v>
      </c>
      <c r="D7" s="209" t="s">
        <v>384</v>
      </c>
      <c r="E7" s="209" t="s">
        <v>384</v>
      </c>
      <c r="F7" s="209" t="s">
        <v>384</v>
      </c>
      <c r="G7" s="209" t="s">
        <v>384</v>
      </c>
      <c r="H7" s="209" t="s">
        <v>384</v>
      </c>
      <c r="I7" s="209">
        <v>1</v>
      </c>
      <c r="J7" s="209" t="s">
        <v>384</v>
      </c>
      <c r="K7" s="209" t="s">
        <v>384</v>
      </c>
      <c r="L7" s="209" t="s">
        <v>384</v>
      </c>
      <c r="M7" s="209" t="s">
        <v>384</v>
      </c>
      <c r="N7" s="209" t="s">
        <v>384</v>
      </c>
      <c r="O7" s="209" t="s">
        <v>384</v>
      </c>
      <c r="P7" s="209">
        <v>1</v>
      </c>
      <c r="Q7" s="209" t="s">
        <v>384</v>
      </c>
      <c r="R7" s="209">
        <v>1</v>
      </c>
      <c r="S7" s="209" t="s">
        <v>384</v>
      </c>
      <c r="T7" s="209">
        <v>1</v>
      </c>
      <c r="U7" s="209" t="s">
        <v>384</v>
      </c>
      <c r="V7" s="209" t="s">
        <v>384</v>
      </c>
      <c r="W7" s="209" t="s">
        <v>384</v>
      </c>
      <c r="X7" s="209" t="s">
        <v>384</v>
      </c>
      <c r="Y7" s="209" t="s">
        <v>384</v>
      </c>
      <c r="Z7" s="209" t="s">
        <v>384</v>
      </c>
      <c r="AA7" s="209" t="s">
        <v>384</v>
      </c>
      <c r="AB7" s="209" t="s">
        <v>384</v>
      </c>
      <c r="AC7" s="209" t="s">
        <v>384</v>
      </c>
      <c r="AD7" s="209" t="s">
        <v>384</v>
      </c>
      <c r="AE7" s="220">
        <v>1</v>
      </c>
    </row>
    <row r="8" spans="1:31">
      <c r="A8" s="215" t="s">
        <v>531</v>
      </c>
      <c r="C8" t="s">
        <v>723</v>
      </c>
      <c r="D8" s="209" t="s">
        <v>384</v>
      </c>
      <c r="E8" s="209" t="s">
        <v>384</v>
      </c>
      <c r="F8" s="209" t="s">
        <v>384</v>
      </c>
      <c r="G8" s="209" t="s">
        <v>384</v>
      </c>
      <c r="H8" s="209" t="s">
        <v>384</v>
      </c>
      <c r="I8" s="209" t="s">
        <v>384</v>
      </c>
      <c r="J8" s="209" t="s">
        <v>384</v>
      </c>
      <c r="K8" s="209" t="s">
        <v>384</v>
      </c>
      <c r="L8" s="209" t="s">
        <v>384</v>
      </c>
      <c r="M8" s="209" t="s">
        <v>384</v>
      </c>
      <c r="N8" s="209" t="s">
        <v>384</v>
      </c>
      <c r="O8" s="209" t="s">
        <v>384</v>
      </c>
      <c r="P8" s="209" t="s">
        <v>384</v>
      </c>
      <c r="Q8" s="209" t="s">
        <v>384</v>
      </c>
      <c r="R8" s="209" t="s">
        <v>384</v>
      </c>
      <c r="S8" s="209" t="s">
        <v>384</v>
      </c>
      <c r="T8" s="209" t="s">
        <v>384</v>
      </c>
      <c r="U8" s="209" t="s">
        <v>384</v>
      </c>
      <c r="V8" s="209" t="s">
        <v>384</v>
      </c>
      <c r="W8" s="209" t="s">
        <v>384</v>
      </c>
      <c r="X8" s="209" t="s">
        <v>384</v>
      </c>
      <c r="Y8" s="209" t="s">
        <v>384</v>
      </c>
      <c r="Z8" s="209" t="s">
        <v>384</v>
      </c>
      <c r="AA8" s="209" t="s">
        <v>384</v>
      </c>
      <c r="AB8" s="209" t="s">
        <v>384</v>
      </c>
      <c r="AC8" s="209" t="s">
        <v>384</v>
      </c>
      <c r="AD8" s="209" t="s">
        <v>384</v>
      </c>
      <c r="AE8" s="220" t="s">
        <v>384</v>
      </c>
    </row>
    <row r="9" spans="1:31">
      <c r="A9" s="215" t="s">
        <v>533</v>
      </c>
      <c r="C9" t="s">
        <v>723</v>
      </c>
      <c r="D9" s="209" t="s">
        <v>384</v>
      </c>
      <c r="E9" s="209" t="s">
        <v>384</v>
      </c>
      <c r="F9" s="209" t="s">
        <v>384</v>
      </c>
      <c r="G9" s="209" t="s">
        <v>384</v>
      </c>
      <c r="H9" s="209" t="s">
        <v>384</v>
      </c>
      <c r="I9" s="209" t="s">
        <v>384</v>
      </c>
      <c r="J9" s="209" t="s">
        <v>384</v>
      </c>
      <c r="K9" s="209" t="s">
        <v>384</v>
      </c>
      <c r="L9" s="209" t="s">
        <v>384</v>
      </c>
      <c r="M9" s="209" t="s">
        <v>384</v>
      </c>
      <c r="N9" s="209" t="s">
        <v>384</v>
      </c>
      <c r="O9" s="209">
        <v>1</v>
      </c>
      <c r="P9" s="209">
        <v>1</v>
      </c>
      <c r="Q9" s="209" t="s">
        <v>384</v>
      </c>
      <c r="R9" s="209">
        <v>1</v>
      </c>
      <c r="S9" s="209" t="s">
        <v>384</v>
      </c>
      <c r="T9" s="209">
        <v>1</v>
      </c>
      <c r="U9" s="209" t="s">
        <v>384</v>
      </c>
      <c r="V9" s="209" t="s">
        <v>384</v>
      </c>
      <c r="W9" s="209" t="s">
        <v>384</v>
      </c>
      <c r="X9" s="209" t="s">
        <v>384</v>
      </c>
      <c r="Y9" s="209" t="s">
        <v>384</v>
      </c>
      <c r="Z9" s="209" t="s">
        <v>384</v>
      </c>
      <c r="AA9" s="209" t="s">
        <v>384</v>
      </c>
      <c r="AB9" s="209" t="s">
        <v>384</v>
      </c>
      <c r="AC9" s="209" t="s">
        <v>384</v>
      </c>
      <c r="AD9" s="209" t="s">
        <v>384</v>
      </c>
      <c r="AE9" s="220" t="s">
        <v>384</v>
      </c>
    </row>
    <row r="10" spans="1:31">
      <c r="A10" s="215" t="s">
        <v>535</v>
      </c>
      <c r="C10" t="s">
        <v>723</v>
      </c>
      <c r="D10" s="209" t="s">
        <v>384</v>
      </c>
      <c r="E10" s="209" t="s">
        <v>384</v>
      </c>
      <c r="F10" s="209" t="s">
        <v>384</v>
      </c>
      <c r="G10" s="209" t="s">
        <v>384</v>
      </c>
      <c r="H10" s="209" t="s">
        <v>384</v>
      </c>
      <c r="I10" s="209" t="s">
        <v>384</v>
      </c>
      <c r="J10" s="209" t="s">
        <v>384</v>
      </c>
      <c r="K10" s="209" t="s">
        <v>384</v>
      </c>
      <c r="L10" s="209" t="s">
        <v>384</v>
      </c>
      <c r="M10" s="209" t="s">
        <v>384</v>
      </c>
      <c r="N10" s="209" t="s">
        <v>384</v>
      </c>
      <c r="O10" s="209">
        <v>1</v>
      </c>
      <c r="P10" s="209" t="s">
        <v>384</v>
      </c>
      <c r="Q10" s="209">
        <v>1</v>
      </c>
      <c r="R10" s="209">
        <v>1</v>
      </c>
      <c r="S10" s="209">
        <v>1</v>
      </c>
      <c r="T10" s="209">
        <v>1</v>
      </c>
      <c r="U10" s="209" t="s">
        <v>384</v>
      </c>
      <c r="V10" s="209" t="s">
        <v>384</v>
      </c>
      <c r="W10" s="209" t="s">
        <v>384</v>
      </c>
      <c r="X10" s="209">
        <v>1</v>
      </c>
      <c r="Y10" s="209" t="s">
        <v>384</v>
      </c>
      <c r="Z10" s="209" t="s">
        <v>384</v>
      </c>
      <c r="AA10" s="209" t="s">
        <v>384</v>
      </c>
      <c r="AB10" s="209" t="s">
        <v>384</v>
      </c>
      <c r="AC10" s="209" t="s">
        <v>384</v>
      </c>
      <c r="AD10" s="209">
        <v>1</v>
      </c>
      <c r="AE10" s="220" t="s">
        <v>384</v>
      </c>
    </row>
    <row r="11" spans="1:31">
      <c r="A11" s="215" t="s">
        <v>537</v>
      </c>
      <c r="C11" t="s">
        <v>723</v>
      </c>
      <c r="D11" s="209" t="s">
        <v>384</v>
      </c>
      <c r="E11" s="209" t="s">
        <v>384</v>
      </c>
      <c r="F11" s="209" t="s">
        <v>384</v>
      </c>
      <c r="G11" s="209" t="s">
        <v>384</v>
      </c>
      <c r="H11" s="209" t="s">
        <v>384</v>
      </c>
      <c r="I11" s="209" t="s">
        <v>384</v>
      </c>
      <c r="J11" s="209" t="s">
        <v>384</v>
      </c>
      <c r="K11" s="209" t="s">
        <v>384</v>
      </c>
      <c r="L11" s="209" t="s">
        <v>384</v>
      </c>
      <c r="M11" s="209" t="s">
        <v>384</v>
      </c>
      <c r="N11" s="209" t="s">
        <v>384</v>
      </c>
      <c r="O11" s="209" t="s">
        <v>384</v>
      </c>
      <c r="P11" s="209" t="s">
        <v>384</v>
      </c>
      <c r="Q11" s="209" t="s">
        <v>384</v>
      </c>
      <c r="R11" s="209" t="s">
        <v>384</v>
      </c>
      <c r="S11" s="209" t="s">
        <v>384</v>
      </c>
      <c r="T11" s="209" t="s">
        <v>384</v>
      </c>
      <c r="U11" s="209" t="s">
        <v>384</v>
      </c>
      <c r="V11" s="209" t="s">
        <v>384</v>
      </c>
      <c r="W11" s="209" t="s">
        <v>384</v>
      </c>
      <c r="X11" s="209" t="s">
        <v>384</v>
      </c>
      <c r="Y11" s="209" t="s">
        <v>384</v>
      </c>
      <c r="Z11" s="209" t="s">
        <v>384</v>
      </c>
      <c r="AA11" s="209" t="s">
        <v>384</v>
      </c>
      <c r="AB11" s="209" t="s">
        <v>384</v>
      </c>
      <c r="AC11" s="209" t="s">
        <v>384</v>
      </c>
      <c r="AD11" s="209" t="s">
        <v>384</v>
      </c>
      <c r="AE11" s="220" t="s">
        <v>384</v>
      </c>
    </row>
    <row r="12" spans="1:31">
      <c r="A12" s="215" t="s">
        <v>541</v>
      </c>
      <c r="C12" t="s">
        <v>723</v>
      </c>
      <c r="D12" s="209" t="s">
        <v>384</v>
      </c>
      <c r="E12" s="209" t="s">
        <v>384</v>
      </c>
      <c r="F12" s="209" t="s">
        <v>384</v>
      </c>
      <c r="G12" s="209" t="s">
        <v>384</v>
      </c>
      <c r="H12" s="209">
        <v>1</v>
      </c>
      <c r="I12" s="209" t="s">
        <v>384</v>
      </c>
      <c r="J12" s="209" t="s">
        <v>384</v>
      </c>
      <c r="K12" s="209" t="s">
        <v>384</v>
      </c>
      <c r="L12" s="209" t="s">
        <v>384</v>
      </c>
      <c r="M12" s="209">
        <v>1</v>
      </c>
      <c r="N12" s="209" t="s">
        <v>384</v>
      </c>
      <c r="O12" s="209">
        <v>1</v>
      </c>
      <c r="P12" s="209">
        <v>1</v>
      </c>
      <c r="Q12" s="209" t="s">
        <v>384</v>
      </c>
      <c r="R12" s="209">
        <v>1</v>
      </c>
      <c r="S12" s="209">
        <v>1</v>
      </c>
      <c r="T12" s="209">
        <v>1</v>
      </c>
      <c r="U12" s="209">
        <v>1</v>
      </c>
      <c r="V12" s="209" t="s">
        <v>384</v>
      </c>
      <c r="W12" s="209" t="s">
        <v>384</v>
      </c>
      <c r="X12" s="209">
        <v>1</v>
      </c>
      <c r="Y12" s="209">
        <v>1</v>
      </c>
      <c r="Z12" s="209" t="s">
        <v>384</v>
      </c>
      <c r="AA12" s="209" t="s">
        <v>384</v>
      </c>
      <c r="AB12" s="209" t="s">
        <v>384</v>
      </c>
      <c r="AC12" s="209">
        <v>1</v>
      </c>
      <c r="AD12" s="209" t="s">
        <v>384</v>
      </c>
      <c r="AE12" s="220">
        <v>1</v>
      </c>
    </row>
    <row r="13" spans="1:31">
      <c r="A13" s="215" t="s">
        <v>543</v>
      </c>
      <c r="C13" t="s">
        <v>723</v>
      </c>
      <c r="D13" s="209" t="s">
        <v>384</v>
      </c>
      <c r="E13" s="209" t="s">
        <v>384</v>
      </c>
      <c r="F13" s="209" t="s">
        <v>384</v>
      </c>
      <c r="G13" s="209" t="s">
        <v>384</v>
      </c>
      <c r="H13" s="209" t="s">
        <v>384</v>
      </c>
      <c r="I13" s="209" t="s">
        <v>384</v>
      </c>
      <c r="J13" s="209" t="s">
        <v>384</v>
      </c>
      <c r="K13" s="209" t="s">
        <v>384</v>
      </c>
      <c r="L13" s="209" t="s">
        <v>384</v>
      </c>
      <c r="M13" s="209" t="s">
        <v>384</v>
      </c>
      <c r="N13" s="209" t="s">
        <v>384</v>
      </c>
      <c r="O13" s="209">
        <v>1</v>
      </c>
      <c r="P13" s="209" t="s">
        <v>384</v>
      </c>
      <c r="Q13" s="209" t="s">
        <v>384</v>
      </c>
      <c r="R13" s="209" t="s">
        <v>384</v>
      </c>
      <c r="S13" s="209">
        <v>1</v>
      </c>
      <c r="T13" s="209">
        <v>1</v>
      </c>
      <c r="U13" s="209" t="s">
        <v>384</v>
      </c>
      <c r="V13" s="209" t="s">
        <v>384</v>
      </c>
      <c r="W13" s="209" t="s">
        <v>384</v>
      </c>
      <c r="X13" s="209" t="s">
        <v>384</v>
      </c>
      <c r="Y13" s="209" t="s">
        <v>384</v>
      </c>
      <c r="Z13" s="209" t="s">
        <v>384</v>
      </c>
      <c r="AA13" s="209" t="s">
        <v>384</v>
      </c>
      <c r="AB13" s="209" t="s">
        <v>384</v>
      </c>
      <c r="AC13" s="209" t="s">
        <v>384</v>
      </c>
      <c r="AD13" s="209" t="s">
        <v>384</v>
      </c>
      <c r="AE13" s="220" t="s">
        <v>384</v>
      </c>
    </row>
    <row r="14" spans="1:31">
      <c r="A14" s="215" t="s">
        <v>545</v>
      </c>
      <c r="C14" t="s">
        <v>723</v>
      </c>
      <c r="D14" s="209" t="s">
        <v>384</v>
      </c>
      <c r="E14" s="209" t="s">
        <v>384</v>
      </c>
      <c r="F14" s="209" t="s">
        <v>384</v>
      </c>
      <c r="G14" s="209" t="s">
        <v>384</v>
      </c>
      <c r="H14" s="209" t="s">
        <v>384</v>
      </c>
      <c r="I14" s="209" t="s">
        <v>384</v>
      </c>
      <c r="J14" s="209" t="s">
        <v>384</v>
      </c>
      <c r="K14" s="209" t="s">
        <v>384</v>
      </c>
      <c r="L14" s="209" t="s">
        <v>384</v>
      </c>
      <c r="M14" s="209" t="s">
        <v>384</v>
      </c>
      <c r="N14" s="209" t="s">
        <v>384</v>
      </c>
      <c r="O14" s="209" t="s">
        <v>384</v>
      </c>
      <c r="P14" s="209" t="s">
        <v>384</v>
      </c>
      <c r="Q14" s="209" t="s">
        <v>384</v>
      </c>
      <c r="R14" s="209" t="s">
        <v>384</v>
      </c>
      <c r="S14" s="209" t="s">
        <v>384</v>
      </c>
      <c r="T14" s="209" t="s">
        <v>384</v>
      </c>
      <c r="U14" s="209" t="s">
        <v>384</v>
      </c>
      <c r="V14" s="209" t="s">
        <v>384</v>
      </c>
      <c r="W14" s="209" t="s">
        <v>384</v>
      </c>
      <c r="X14" s="209" t="s">
        <v>384</v>
      </c>
      <c r="Y14" s="209" t="s">
        <v>384</v>
      </c>
      <c r="Z14" s="209" t="s">
        <v>384</v>
      </c>
      <c r="AA14" s="209" t="s">
        <v>384</v>
      </c>
      <c r="AB14" s="209" t="s">
        <v>384</v>
      </c>
      <c r="AC14" s="209" t="s">
        <v>384</v>
      </c>
      <c r="AD14" s="209" t="s">
        <v>384</v>
      </c>
      <c r="AE14" s="220" t="s">
        <v>384</v>
      </c>
    </row>
    <row r="15" spans="1:31">
      <c r="A15" s="215" t="s">
        <v>548</v>
      </c>
      <c r="C15" t="s">
        <v>723</v>
      </c>
      <c r="D15" s="209" t="s">
        <v>384</v>
      </c>
      <c r="E15" s="209" t="s">
        <v>384</v>
      </c>
      <c r="F15" s="209" t="s">
        <v>384</v>
      </c>
      <c r="G15" s="209" t="s">
        <v>384</v>
      </c>
      <c r="H15" s="209" t="s">
        <v>384</v>
      </c>
      <c r="I15" s="209">
        <v>1</v>
      </c>
      <c r="J15" s="209" t="s">
        <v>384</v>
      </c>
      <c r="K15" s="209" t="s">
        <v>384</v>
      </c>
      <c r="L15" s="209" t="s">
        <v>384</v>
      </c>
      <c r="M15" s="209" t="s">
        <v>384</v>
      </c>
      <c r="N15" s="209" t="s">
        <v>384</v>
      </c>
      <c r="O15" s="209">
        <v>1</v>
      </c>
      <c r="P15" s="209" t="s">
        <v>384</v>
      </c>
      <c r="Q15" s="209" t="s">
        <v>384</v>
      </c>
      <c r="R15" s="209" t="s">
        <v>384</v>
      </c>
      <c r="S15" s="209">
        <v>1</v>
      </c>
      <c r="T15" s="209">
        <v>1</v>
      </c>
      <c r="U15" s="209" t="s">
        <v>384</v>
      </c>
      <c r="V15" s="209" t="s">
        <v>384</v>
      </c>
      <c r="W15" s="209" t="s">
        <v>384</v>
      </c>
      <c r="X15" s="209" t="s">
        <v>384</v>
      </c>
      <c r="Y15" s="209" t="s">
        <v>384</v>
      </c>
      <c r="Z15" s="209" t="s">
        <v>384</v>
      </c>
      <c r="AA15" s="209" t="s">
        <v>384</v>
      </c>
      <c r="AB15" s="209" t="s">
        <v>384</v>
      </c>
      <c r="AC15" s="209" t="s">
        <v>384</v>
      </c>
      <c r="AD15" s="209" t="s">
        <v>384</v>
      </c>
      <c r="AE15" s="220" t="s">
        <v>384</v>
      </c>
    </row>
    <row r="16" spans="1:31">
      <c r="A16" s="215" t="s">
        <v>550</v>
      </c>
      <c r="C16" t="s">
        <v>723</v>
      </c>
      <c r="D16" s="209" t="s">
        <v>384</v>
      </c>
      <c r="E16" s="209" t="s">
        <v>384</v>
      </c>
      <c r="F16" s="209" t="s">
        <v>384</v>
      </c>
      <c r="G16" s="209" t="s">
        <v>384</v>
      </c>
      <c r="H16" s="209" t="s">
        <v>384</v>
      </c>
      <c r="I16" s="209" t="s">
        <v>384</v>
      </c>
      <c r="J16" s="209" t="s">
        <v>384</v>
      </c>
      <c r="K16" s="209" t="s">
        <v>384</v>
      </c>
      <c r="L16" s="209" t="s">
        <v>384</v>
      </c>
      <c r="M16" s="209" t="s">
        <v>384</v>
      </c>
      <c r="N16" s="209" t="s">
        <v>384</v>
      </c>
      <c r="O16" s="209" t="s">
        <v>384</v>
      </c>
      <c r="P16" s="209" t="s">
        <v>384</v>
      </c>
      <c r="Q16" s="209" t="s">
        <v>384</v>
      </c>
      <c r="R16" s="209" t="s">
        <v>384</v>
      </c>
      <c r="S16" s="209">
        <v>1</v>
      </c>
      <c r="T16" s="209">
        <v>1</v>
      </c>
      <c r="U16" s="209" t="s">
        <v>384</v>
      </c>
      <c r="V16" s="209" t="s">
        <v>384</v>
      </c>
      <c r="W16" s="209" t="s">
        <v>384</v>
      </c>
      <c r="X16" s="209" t="s">
        <v>384</v>
      </c>
      <c r="Y16" s="209" t="s">
        <v>384</v>
      </c>
      <c r="Z16" s="209" t="s">
        <v>384</v>
      </c>
      <c r="AA16" s="209" t="s">
        <v>384</v>
      </c>
      <c r="AB16" s="209" t="s">
        <v>384</v>
      </c>
      <c r="AC16" s="209" t="s">
        <v>384</v>
      </c>
      <c r="AD16" s="209">
        <v>1</v>
      </c>
      <c r="AE16" s="220" t="s">
        <v>384</v>
      </c>
    </row>
    <row r="17" spans="1:31">
      <c r="A17" s="215" t="s">
        <v>552</v>
      </c>
      <c r="C17" t="s">
        <v>723</v>
      </c>
      <c r="D17" s="209" t="s">
        <v>384</v>
      </c>
      <c r="E17" s="209" t="s">
        <v>384</v>
      </c>
      <c r="F17" s="209" t="s">
        <v>384</v>
      </c>
      <c r="G17" s="209" t="s">
        <v>384</v>
      </c>
      <c r="H17" s="209" t="s">
        <v>384</v>
      </c>
      <c r="I17" s="209" t="s">
        <v>384</v>
      </c>
      <c r="J17" s="209" t="s">
        <v>384</v>
      </c>
      <c r="K17" s="209" t="s">
        <v>384</v>
      </c>
      <c r="L17" s="209" t="s">
        <v>384</v>
      </c>
      <c r="M17" s="209" t="s">
        <v>384</v>
      </c>
      <c r="N17" s="209" t="s">
        <v>384</v>
      </c>
      <c r="O17" s="209">
        <v>1</v>
      </c>
      <c r="P17" s="209">
        <v>1</v>
      </c>
      <c r="Q17" s="209">
        <v>1</v>
      </c>
      <c r="R17" s="209">
        <v>1</v>
      </c>
      <c r="S17" s="209">
        <v>1</v>
      </c>
      <c r="T17" s="209">
        <v>1</v>
      </c>
      <c r="U17" s="209" t="s">
        <v>384</v>
      </c>
      <c r="V17" s="209" t="s">
        <v>384</v>
      </c>
      <c r="W17" s="209">
        <v>1</v>
      </c>
      <c r="X17" s="209" t="s">
        <v>384</v>
      </c>
      <c r="Y17" s="209" t="s">
        <v>384</v>
      </c>
      <c r="Z17" s="209" t="s">
        <v>384</v>
      </c>
      <c r="AA17" s="209">
        <v>1</v>
      </c>
      <c r="AB17" s="209" t="s">
        <v>384</v>
      </c>
      <c r="AC17" s="209" t="s">
        <v>384</v>
      </c>
      <c r="AD17" s="209">
        <v>1</v>
      </c>
      <c r="AE17" s="220" t="s">
        <v>384</v>
      </c>
    </row>
    <row r="18" spans="1:31">
      <c r="A18" s="215" t="s">
        <v>554</v>
      </c>
      <c r="C18" t="s">
        <v>723</v>
      </c>
      <c r="D18" s="209" t="s">
        <v>384</v>
      </c>
      <c r="E18" s="209" t="s">
        <v>384</v>
      </c>
      <c r="F18" s="209" t="s">
        <v>384</v>
      </c>
      <c r="G18" s="209" t="s">
        <v>384</v>
      </c>
      <c r="H18" s="209" t="s">
        <v>384</v>
      </c>
      <c r="I18" s="209" t="s">
        <v>384</v>
      </c>
      <c r="J18" s="209" t="s">
        <v>384</v>
      </c>
      <c r="K18" s="209" t="s">
        <v>384</v>
      </c>
      <c r="L18" s="209" t="s">
        <v>384</v>
      </c>
      <c r="M18" s="209" t="s">
        <v>384</v>
      </c>
      <c r="N18" s="209" t="s">
        <v>384</v>
      </c>
      <c r="O18" s="209">
        <v>1</v>
      </c>
      <c r="P18" s="209">
        <v>1</v>
      </c>
      <c r="Q18" s="209" t="s">
        <v>384</v>
      </c>
      <c r="R18" s="209">
        <v>1</v>
      </c>
      <c r="S18" s="209">
        <v>1</v>
      </c>
      <c r="T18" s="209">
        <v>1</v>
      </c>
      <c r="U18" s="209" t="s">
        <v>384</v>
      </c>
      <c r="V18" s="209" t="s">
        <v>384</v>
      </c>
      <c r="W18" s="209">
        <v>1</v>
      </c>
      <c r="X18" s="209">
        <v>1</v>
      </c>
      <c r="Y18" s="209">
        <v>1</v>
      </c>
      <c r="Z18" s="209" t="s">
        <v>384</v>
      </c>
      <c r="AA18" s="209">
        <v>1</v>
      </c>
      <c r="AB18" s="209" t="s">
        <v>384</v>
      </c>
      <c r="AC18" s="209" t="s">
        <v>384</v>
      </c>
      <c r="AD18" s="209">
        <v>1</v>
      </c>
      <c r="AE18" s="220" t="s">
        <v>384</v>
      </c>
    </row>
    <row r="19" spans="1:31">
      <c r="A19" s="215" t="s">
        <v>556</v>
      </c>
      <c r="C19" t="s">
        <v>723</v>
      </c>
      <c r="D19" s="209" t="s">
        <v>384</v>
      </c>
      <c r="E19" s="209">
        <v>1</v>
      </c>
      <c r="F19" s="209">
        <v>1</v>
      </c>
      <c r="G19" s="209">
        <v>1</v>
      </c>
      <c r="H19" s="209">
        <v>1</v>
      </c>
      <c r="I19" s="209">
        <v>1</v>
      </c>
      <c r="J19" s="209">
        <v>1</v>
      </c>
      <c r="K19" s="209">
        <v>1</v>
      </c>
      <c r="L19" s="209">
        <v>1</v>
      </c>
      <c r="M19" s="209" t="s">
        <v>384</v>
      </c>
      <c r="N19" s="209" t="s">
        <v>384</v>
      </c>
      <c r="O19" s="209" t="s">
        <v>384</v>
      </c>
      <c r="P19" s="209">
        <v>1</v>
      </c>
      <c r="Q19" s="209">
        <v>1</v>
      </c>
      <c r="R19" s="209">
        <v>1</v>
      </c>
      <c r="S19" s="209">
        <v>1</v>
      </c>
      <c r="T19" s="209">
        <v>1</v>
      </c>
      <c r="U19" s="209">
        <v>1</v>
      </c>
      <c r="V19" s="209">
        <v>1</v>
      </c>
      <c r="W19" s="209" t="s">
        <v>384</v>
      </c>
      <c r="X19" s="209">
        <v>1</v>
      </c>
      <c r="Y19" s="209">
        <v>1</v>
      </c>
      <c r="Z19" s="209">
        <v>1</v>
      </c>
      <c r="AA19" s="209">
        <v>1</v>
      </c>
      <c r="AB19" s="209" t="s">
        <v>384</v>
      </c>
      <c r="AC19" s="209" t="s">
        <v>384</v>
      </c>
      <c r="AD19" s="209" t="s">
        <v>384</v>
      </c>
      <c r="AE19" s="220">
        <v>1</v>
      </c>
    </row>
    <row r="20" spans="1:31">
      <c r="A20" s="215"/>
      <c r="B20" t="s">
        <v>1224</v>
      </c>
      <c r="C20" t="s">
        <v>723</v>
      </c>
      <c r="D20" s="209" t="s">
        <v>384</v>
      </c>
      <c r="E20" s="209">
        <v>0</v>
      </c>
      <c r="F20" s="209">
        <v>0</v>
      </c>
      <c r="G20" s="209">
        <v>0</v>
      </c>
      <c r="H20" s="209">
        <v>0</v>
      </c>
      <c r="I20" s="209">
        <v>0</v>
      </c>
      <c r="J20" s="209">
        <v>0</v>
      </c>
      <c r="K20" s="209">
        <v>0</v>
      </c>
      <c r="L20" s="209">
        <v>0</v>
      </c>
      <c r="M20" s="209" t="s">
        <v>384</v>
      </c>
      <c r="N20" s="209" t="s">
        <v>384</v>
      </c>
      <c r="O20" s="209" t="s">
        <v>384</v>
      </c>
      <c r="P20" s="209">
        <v>0</v>
      </c>
      <c r="Q20" s="209">
        <v>0</v>
      </c>
      <c r="R20" s="209">
        <v>0</v>
      </c>
      <c r="S20" s="209">
        <v>0</v>
      </c>
      <c r="T20" s="209">
        <v>0</v>
      </c>
      <c r="U20" s="209">
        <v>0</v>
      </c>
      <c r="V20" s="209">
        <v>0</v>
      </c>
      <c r="W20" s="209" t="s">
        <v>384</v>
      </c>
      <c r="X20" s="209">
        <v>0</v>
      </c>
      <c r="Y20" s="209">
        <v>0</v>
      </c>
      <c r="Z20" s="209">
        <v>0</v>
      </c>
      <c r="AA20" s="209">
        <v>0</v>
      </c>
      <c r="AB20" s="209" t="s">
        <v>384</v>
      </c>
      <c r="AC20" s="209" t="s">
        <v>384</v>
      </c>
      <c r="AD20" s="209" t="s">
        <v>384</v>
      </c>
      <c r="AE20" s="220">
        <v>0</v>
      </c>
    </row>
    <row r="21" spans="1:31">
      <c r="A21" s="215"/>
      <c r="B21" t="s">
        <v>420</v>
      </c>
      <c r="C21" t="s">
        <v>723</v>
      </c>
      <c r="D21" s="209" t="s">
        <v>384</v>
      </c>
      <c r="E21" s="209">
        <v>1</v>
      </c>
      <c r="F21" s="209">
        <v>1</v>
      </c>
      <c r="G21" s="209">
        <v>1</v>
      </c>
      <c r="H21" s="209">
        <v>1</v>
      </c>
      <c r="I21" s="209">
        <v>1</v>
      </c>
      <c r="J21" s="209">
        <v>1</v>
      </c>
      <c r="K21" s="209">
        <v>1</v>
      </c>
      <c r="L21" s="209">
        <v>1</v>
      </c>
      <c r="M21" s="209" t="s">
        <v>384</v>
      </c>
      <c r="N21" s="209" t="s">
        <v>384</v>
      </c>
      <c r="O21" s="209" t="s">
        <v>384</v>
      </c>
      <c r="P21" s="209">
        <v>1</v>
      </c>
      <c r="Q21" s="209">
        <v>1</v>
      </c>
      <c r="R21" s="209">
        <v>0.18866057737209757</v>
      </c>
      <c r="S21" s="209">
        <v>1</v>
      </c>
      <c r="T21" s="209">
        <v>1</v>
      </c>
      <c r="U21" s="209">
        <v>1</v>
      </c>
      <c r="V21" s="209">
        <v>1</v>
      </c>
      <c r="W21" s="209" t="s">
        <v>384</v>
      </c>
      <c r="X21" s="209">
        <v>1</v>
      </c>
      <c r="Y21" s="209">
        <v>1</v>
      </c>
      <c r="Z21" s="209">
        <v>1</v>
      </c>
      <c r="AA21" s="209">
        <v>1</v>
      </c>
      <c r="AB21" s="209" t="s">
        <v>384</v>
      </c>
      <c r="AC21" s="209" t="s">
        <v>384</v>
      </c>
      <c r="AD21" s="209" t="s">
        <v>384</v>
      </c>
      <c r="AE21" s="220">
        <v>1</v>
      </c>
    </row>
    <row r="22" spans="1:31">
      <c r="A22" s="215"/>
      <c r="B22" t="s">
        <v>1225</v>
      </c>
      <c r="C22" t="s">
        <v>723</v>
      </c>
      <c r="D22" s="209" t="s">
        <v>384</v>
      </c>
      <c r="E22" s="209">
        <v>0</v>
      </c>
      <c r="F22" s="209">
        <v>0</v>
      </c>
      <c r="G22" s="209">
        <v>0</v>
      </c>
      <c r="H22" s="209">
        <v>0</v>
      </c>
      <c r="I22" s="209">
        <v>0</v>
      </c>
      <c r="J22" s="209">
        <v>0</v>
      </c>
      <c r="K22" s="209">
        <v>0</v>
      </c>
      <c r="L22" s="209">
        <v>0</v>
      </c>
      <c r="M22" s="209" t="s">
        <v>384</v>
      </c>
      <c r="N22" s="209" t="s">
        <v>384</v>
      </c>
      <c r="O22" s="209" t="s">
        <v>384</v>
      </c>
      <c r="P22" s="209">
        <v>0</v>
      </c>
      <c r="Q22" s="209">
        <v>0</v>
      </c>
      <c r="R22" s="209">
        <v>0.81133942262790237</v>
      </c>
      <c r="S22" s="209">
        <v>0</v>
      </c>
      <c r="T22" s="209">
        <v>0</v>
      </c>
      <c r="U22" s="209">
        <v>0</v>
      </c>
      <c r="V22" s="209">
        <v>0</v>
      </c>
      <c r="W22" s="209" t="s">
        <v>384</v>
      </c>
      <c r="X22" s="209">
        <v>0</v>
      </c>
      <c r="Y22" s="209">
        <v>0</v>
      </c>
      <c r="Z22" s="209">
        <v>0</v>
      </c>
      <c r="AA22" s="209">
        <v>0</v>
      </c>
      <c r="AB22" s="209" t="s">
        <v>384</v>
      </c>
      <c r="AC22" s="209" t="s">
        <v>384</v>
      </c>
      <c r="AD22" s="209" t="s">
        <v>384</v>
      </c>
      <c r="AE22" s="220">
        <v>0</v>
      </c>
    </row>
    <row r="23" spans="1:31">
      <c r="A23" s="215" t="s">
        <v>558</v>
      </c>
      <c r="C23" t="s">
        <v>723</v>
      </c>
      <c r="D23" s="209" t="s">
        <v>384</v>
      </c>
      <c r="E23" s="209" t="s">
        <v>384</v>
      </c>
      <c r="F23" s="209" t="s">
        <v>384</v>
      </c>
      <c r="G23" s="209" t="s">
        <v>384</v>
      </c>
      <c r="H23" s="209" t="s">
        <v>384</v>
      </c>
      <c r="I23" s="209">
        <v>1</v>
      </c>
      <c r="J23" s="209" t="s">
        <v>384</v>
      </c>
      <c r="K23" s="209" t="s">
        <v>384</v>
      </c>
      <c r="L23" s="209" t="s">
        <v>384</v>
      </c>
      <c r="M23" s="209">
        <v>1</v>
      </c>
      <c r="N23" s="209" t="s">
        <v>384</v>
      </c>
      <c r="O23" s="209">
        <v>1</v>
      </c>
      <c r="P23" s="209" t="s">
        <v>384</v>
      </c>
      <c r="Q23" s="209">
        <v>1</v>
      </c>
      <c r="R23" s="209">
        <v>1</v>
      </c>
      <c r="S23" s="209">
        <v>1</v>
      </c>
      <c r="T23" s="209">
        <v>1</v>
      </c>
      <c r="U23" s="209" t="s">
        <v>384</v>
      </c>
      <c r="V23" s="209" t="s">
        <v>384</v>
      </c>
      <c r="W23" s="209">
        <v>1</v>
      </c>
      <c r="X23" s="209" t="s">
        <v>384</v>
      </c>
      <c r="Y23" s="209" t="s">
        <v>384</v>
      </c>
      <c r="Z23" s="209" t="s">
        <v>384</v>
      </c>
      <c r="AA23" s="209" t="s">
        <v>384</v>
      </c>
      <c r="AB23" s="209" t="s">
        <v>384</v>
      </c>
      <c r="AC23" s="209" t="s">
        <v>384</v>
      </c>
      <c r="AD23" s="209">
        <v>1</v>
      </c>
      <c r="AE23" s="220" t="s">
        <v>384</v>
      </c>
    </row>
    <row r="24" spans="1:31">
      <c r="A24" s="229" t="s">
        <v>560</v>
      </c>
      <c r="B24" s="236"/>
      <c r="C24" s="236" t="s">
        <v>723</v>
      </c>
      <c r="D24" s="226" t="s">
        <v>384</v>
      </c>
      <c r="E24" s="226" t="s">
        <v>384</v>
      </c>
      <c r="F24" s="226">
        <v>1</v>
      </c>
      <c r="G24" s="226" t="s">
        <v>384</v>
      </c>
      <c r="H24" s="226" t="s">
        <v>384</v>
      </c>
      <c r="I24" s="226" t="s">
        <v>384</v>
      </c>
      <c r="J24" s="226" t="s">
        <v>384</v>
      </c>
      <c r="K24" s="226" t="s">
        <v>384</v>
      </c>
      <c r="L24" s="226" t="s">
        <v>384</v>
      </c>
      <c r="M24" s="226" t="s">
        <v>384</v>
      </c>
      <c r="N24" s="226" t="s">
        <v>384</v>
      </c>
      <c r="O24" s="226" t="s">
        <v>384</v>
      </c>
      <c r="P24" s="226">
        <v>1</v>
      </c>
      <c r="Q24" s="226" t="s">
        <v>384</v>
      </c>
      <c r="R24" s="226" t="s">
        <v>384</v>
      </c>
      <c r="S24" s="226" t="s">
        <v>384</v>
      </c>
      <c r="T24" s="226" t="s">
        <v>384</v>
      </c>
      <c r="U24" s="226" t="s">
        <v>384</v>
      </c>
      <c r="V24" s="226" t="s">
        <v>384</v>
      </c>
      <c r="W24" s="226" t="s">
        <v>384</v>
      </c>
      <c r="X24" s="226" t="s">
        <v>384</v>
      </c>
      <c r="Y24" s="226" t="s">
        <v>384</v>
      </c>
      <c r="Z24" s="226" t="s">
        <v>384</v>
      </c>
      <c r="AA24" s="226" t="s">
        <v>384</v>
      </c>
      <c r="AB24" s="226" t="s">
        <v>384</v>
      </c>
      <c r="AC24" s="226" t="s">
        <v>384</v>
      </c>
      <c r="AD24" s="226" t="s">
        <v>384</v>
      </c>
      <c r="AE24" s="224" t="s">
        <v>384</v>
      </c>
    </row>
    <row r="25" spans="1:31">
      <c r="D25" s="173"/>
      <c r="E25" s="173"/>
      <c r="F25" s="173"/>
      <c r="G25" s="173"/>
      <c r="H25" s="173"/>
      <c r="I25" s="173"/>
      <c r="J25" s="173"/>
      <c r="K25" s="173"/>
      <c r="L25" s="173"/>
      <c r="M25" s="173"/>
      <c r="N25" s="173"/>
      <c r="O25" s="173"/>
      <c r="P25" s="173"/>
      <c r="Q25" s="173"/>
      <c r="R25" s="173"/>
      <c r="S25" s="173"/>
      <c r="T25" s="173"/>
      <c r="U25" s="173"/>
      <c r="V25" s="173"/>
      <c r="W25" s="173"/>
      <c r="X25" s="173"/>
      <c r="Y25" s="173"/>
      <c r="Z25" s="173"/>
      <c r="AA25" s="173"/>
      <c r="AB25" s="173"/>
      <c r="AC25" s="173"/>
      <c r="AD25" s="173"/>
      <c r="AE25" s="17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B0BF-EABF-478C-8158-BA31337236C5}">
  <sheetPr>
    <tabColor theme="5" tint="0.39997558519241921"/>
  </sheetPr>
  <dimension ref="A1:H108"/>
  <sheetViews>
    <sheetView workbookViewId="0">
      <selection activeCell="E2" sqref="E2"/>
    </sheetView>
  </sheetViews>
  <sheetFormatPr defaultRowHeight="15.6"/>
  <cols>
    <col min="1" max="1" width="16.09765625" customWidth="1"/>
    <col min="2" max="2" width="26.69921875" bestFit="1" customWidth="1"/>
    <col min="3" max="3" width="25.5" bestFit="1" customWidth="1"/>
    <col min="4" max="4" width="20.5" bestFit="1" customWidth="1"/>
    <col min="5" max="5" width="25.3984375" bestFit="1" customWidth="1"/>
    <col min="6" max="6" width="137.59765625" bestFit="1" customWidth="1"/>
    <col min="7" max="7" width="37.3984375" bestFit="1" customWidth="1"/>
    <col min="8" max="8" width="12.3984375" style="355" bestFit="1" customWidth="1"/>
  </cols>
  <sheetData>
    <row r="1" spans="1:8">
      <c r="A1" t="s">
        <v>1226</v>
      </c>
    </row>
    <row r="2" spans="1:8">
      <c r="A2" t="s">
        <v>1227</v>
      </c>
      <c r="B2" t="s">
        <v>1228</v>
      </c>
      <c r="C2" t="s">
        <v>1229</v>
      </c>
      <c r="D2" t="s">
        <v>1230</v>
      </c>
      <c r="E2" t="s">
        <v>1231</v>
      </c>
      <c r="F2" t="s">
        <v>1232</v>
      </c>
      <c r="G2" t="s">
        <v>1233</v>
      </c>
      <c r="H2" s="355" t="s">
        <v>1234</v>
      </c>
    </row>
    <row r="3" spans="1:8">
      <c r="A3">
        <v>1</v>
      </c>
      <c r="B3" t="s">
        <v>1086</v>
      </c>
      <c r="C3" t="s">
        <v>1235</v>
      </c>
      <c r="D3">
        <v>1970</v>
      </c>
      <c r="E3">
        <v>3.2</v>
      </c>
      <c r="F3" t="s">
        <v>1236</v>
      </c>
      <c r="G3" t="s">
        <v>1237</v>
      </c>
      <c r="H3" s="355" t="str">
        <f>_xlfn.XLOOKUP(B3,'Region Mapping'!B:B,'Region Mapping'!A:A)</f>
        <v>AFN</v>
      </c>
    </row>
    <row r="4" spans="1:8">
      <c r="A4">
        <v>2</v>
      </c>
      <c r="B4" t="s">
        <v>1238</v>
      </c>
      <c r="C4" t="s">
        <v>1239</v>
      </c>
      <c r="D4">
        <v>1972</v>
      </c>
      <c r="E4">
        <v>2.88</v>
      </c>
      <c r="F4" t="s">
        <v>1240</v>
      </c>
      <c r="G4" t="s">
        <v>1241</v>
      </c>
      <c r="H4" s="355" t="str">
        <f>_xlfn.XLOOKUP(B4,'Region Mapping'!B:B,'Region Mapping'!A:A)</f>
        <v>ASE</v>
      </c>
    </row>
    <row r="5" spans="1:8">
      <c r="A5">
        <v>2</v>
      </c>
      <c r="B5" t="s">
        <v>1238</v>
      </c>
      <c r="C5" t="s">
        <v>1242</v>
      </c>
      <c r="D5">
        <v>1973</v>
      </c>
      <c r="E5">
        <v>2.88</v>
      </c>
      <c r="F5" t="s">
        <v>1240</v>
      </c>
      <c r="G5" t="s">
        <v>1241</v>
      </c>
      <c r="H5" s="355" t="str">
        <f>_xlfn.XLOOKUP(B5,'Region Mapping'!B:B,'Region Mapping'!A:A)</f>
        <v>ASE</v>
      </c>
    </row>
    <row r="6" spans="1:8">
      <c r="A6">
        <v>2</v>
      </c>
      <c r="B6" t="s">
        <v>1238</v>
      </c>
      <c r="C6" t="s">
        <v>1243</v>
      </c>
      <c r="D6">
        <v>1974</v>
      </c>
      <c r="E6">
        <v>1.44</v>
      </c>
      <c r="F6" t="s">
        <v>1240</v>
      </c>
      <c r="G6" t="s">
        <v>1241</v>
      </c>
      <c r="H6" s="355" t="str">
        <f>_xlfn.XLOOKUP(B6,'Region Mapping'!B:B,'Region Mapping'!A:A)</f>
        <v>ASE</v>
      </c>
    </row>
    <row r="7" spans="1:8">
      <c r="A7">
        <v>3</v>
      </c>
      <c r="B7" t="s">
        <v>1075</v>
      </c>
      <c r="C7" t="s">
        <v>1244</v>
      </c>
      <c r="D7">
        <v>1977</v>
      </c>
      <c r="E7">
        <v>2.6</v>
      </c>
      <c r="F7" t="s">
        <v>1245</v>
      </c>
      <c r="G7" t="s">
        <v>1241</v>
      </c>
      <c r="H7" s="355" t="str">
        <f>_xlfn.XLOOKUP(B7,'Region Mapping'!B:B,'Region Mapping'!A:A)</f>
        <v>MEA</v>
      </c>
    </row>
    <row r="8" spans="1:8">
      <c r="A8">
        <v>4</v>
      </c>
      <c r="B8" t="s">
        <v>1079</v>
      </c>
      <c r="C8" t="s">
        <v>1246</v>
      </c>
      <c r="D8">
        <v>1978</v>
      </c>
      <c r="E8">
        <v>7.9</v>
      </c>
      <c r="F8" t="s">
        <v>1247</v>
      </c>
      <c r="G8" t="s">
        <v>1241</v>
      </c>
      <c r="H8" s="355" t="str">
        <f>_xlfn.XLOOKUP(B8,'Region Mapping'!B:B,'Region Mapping'!A:A)</f>
        <v>AFN</v>
      </c>
    </row>
    <row r="9" spans="1:8">
      <c r="A9">
        <v>4</v>
      </c>
      <c r="B9" t="s">
        <v>1079</v>
      </c>
      <c r="C9" t="s">
        <v>1248</v>
      </c>
      <c r="D9">
        <v>1981</v>
      </c>
      <c r="E9">
        <v>8.4</v>
      </c>
      <c r="F9" t="s">
        <v>1247</v>
      </c>
      <c r="G9" t="s">
        <v>1241</v>
      </c>
      <c r="H9" s="355" t="str">
        <f>_xlfn.XLOOKUP(B9,'Region Mapping'!B:B,'Region Mapping'!A:A)</f>
        <v>AFN</v>
      </c>
    </row>
    <row r="10" spans="1:8">
      <c r="A10">
        <v>5</v>
      </c>
      <c r="B10" t="s">
        <v>1094</v>
      </c>
      <c r="C10" t="s">
        <v>1249</v>
      </c>
      <c r="D10">
        <v>1983</v>
      </c>
      <c r="E10">
        <v>5.6</v>
      </c>
      <c r="F10" t="s">
        <v>1250</v>
      </c>
      <c r="G10" t="s">
        <v>1241</v>
      </c>
      <c r="H10" s="355" t="str">
        <f>_xlfn.XLOOKUP(B10,'Region Mapping'!B:B,'Region Mapping'!A:A)</f>
        <v>IDN</v>
      </c>
    </row>
    <row r="11" spans="1:8">
      <c r="A11">
        <v>6</v>
      </c>
      <c r="B11" t="s">
        <v>1095</v>
      </c>
      <c r="C11" t="s">
        <v>1251</v>
      </c>
      <c r="D11">
        <v>1983</v>
      </c>
      <c r="E11">
        <v>8.4</v>
      </c>
      <c r="F11" t="s">
        <v>1252</v>
      </c>
      <c r="G11" t="s">
        <v>1241</v>
      </c>
      <c r="H11" s="355" t="str">
        <f>_xlfn.XLOOKUP(B11,'Region Mapping'!B:B,'Region Mapping'!A:A)</f>
        <v>ASE</v>
      </c>
    </row>
    <row r="12" spans="1:8">
      <c r="A12">
        <v>5</v>
      </c>
      <c r="B12" t="s">
        <v>1094</v>
      </c>
      <c r="C12" t="s">
        <v>1253</v>
      </c>
      <c r="D12">
        <v>1989</v>
      </c>
      <c r="E12">
        <v>2.8</v>
      </c>
      <c r="F12" t="s">
        <v>1250</v>
      </c>
      <c r="G12" t="s">
        <v>1241</v>
      </c>
      <c r="H12" s="355" t="str">
        <f>_xlfn.XLOOKUP(B12,'Region Mapping'!B:B,'Region Mapping'!A:A)</f>
        <v>IDN</v>
      </c>
    </row>
    <row r="13" spans="1:8">
      <c r="A13">
        <v>7</v>
      </c>
      <c r="B13" t="s">
        <v>1092</v>
      </c>
      <c r="C13" t="s">
        <v>1254</v>
      </c>
      <c r="D13">
        <v>1989</v>
      </c>
      <c r="E13">
        <v>5</v>
      </c>
      <c r="F13" t="s">
        <v>1255</v>
      </c>
      <c r="G13" t="s">
        <v>1241</v>
      </c>
      <c r="H13" s="355" t="str">
        <f>_xlfn.XLOOKUP(B13,'Region Mapping'!B:B,'Region Mapping'!A:A)</f>
        <v>ANZ</v>
      </c>
    </row>
    <row r="14" spans="1:8">
      <c r="A14">
        <v>7</v>
      </c>
      <c r="B14" t="s">
        <v>1092</v>
      </c>
      <c r="C14" t="s">
        <v>1256</v>
      </c>
      <c r="D14">
        <v>1992</v>
      </c>
      <c r="E14">
        <v>2.5</v>
      </c>
      <c r="F14" t="s">
        <v>1255</v>
      </c>
      <c r="G14" t="s">
        <v>1241</v>
      </c>
      <c r="H14" s="355" t="str">
        <f>_xlfn.XLOOKUP(B14,'Region Mapping'!B:B,'Region Mapping'!A:A)</f>
        <v>ANZ</v>
      </c>
    </row>
    <row r="15" spans="1:8">
      <c r="A15">
        <v>5</v>
      </c>
      <c r="B15" t="s">
        <v>1094</v>
      </c>
      <c r="C15" t="s">
        <v>1257</v>
      </c>
      <c r="D15">
        <v>1993</v>
      </c>
      <c r="E15">
        <v>2.8</v>
      </c>
      <c r="F15" t="s">
        <v>1250</v>
      </c>
      <c r="G15" t="s">
        <v>1241</v>
      </c>
      <c r="H15" s="355" t="str">
        <f>_xlfn.XLOOKUP(B15,'Region Mapping'!B:B,'Region Mapping'!A:A)</f>
        <v>IDN</v>
      </c>
    </row>
    <row r="16" spans="1:8">
      <c r="A16">
        <v>3</v>
      </c>
      <c r="B16" t="s">
        <v>1075</v>
      </c>
      <c r="C16" t="s">
        <v>1258</v>
      </c>
      <c r="D16">
        <v>1994</v>
      </c>
      <c r="E16">
        <v>3.2</v>
      </c>
      <c r="F16" t="s">
        <v>1259</v>
      </c>
      <c r="G16" t="s">
        <v>1241</v>
      </c>
      <c r="H16" s="355" t="str">
        <f>_xlfn.XLOOKUP(B16,'Region Mapping'!B:B,'Region Mapping'!A:A)</f>
        <v>MEA</v>
      </c>
    </row>
    <row r="17" spans="1:8">
      <c r="A17">
        <v>6</v>
      </c>
      <c r="B17" t="s">
        <v>1095</v>
      </c>
      <c r="C17" t="s">
        <v>1260</v>
      </c>
      <c r="D17">
        <v>1995</v>
      </c>
      <c r="E17">
        <v>6.4</v>
      </c>
      <c r="F17" t="s">
        <v>1252</v>
      </c>
      <c r="G17" t="s">
        <v>1241</v>
      </c>
      <c r="H17" s="355" t="str">
        <f>_xlfn.XLOOKUP(B17,'Region Mapping'!B:B,'Region Mapping'!A:A)</f>
        <v>ASE</v>
      </c>
    </row>
    <row r="18" spans="1:8">
      <c r="A18">
        <v>6</v>
      </c>
      <c r="B18" t="s">
        <v>1095</v>
      </c>
      <c r="C18" t="s">
        <v>1261</v>
      </c>
      <c r="D18">
        <v>1995</v>
      </c>
      <c r="E18">
        <v>3.2</v>
      </c>
      <c r="F18" t="s">
        <v>1252</v>
      </c>
      <c r="G18" t="s">
        <v>1241</v>
      </c>
      <c r="H18" s="355" t="str">
        <f>_xlfn.XLOOKUP(B18,'Region Mapping'!B:B,'Region Mapping'!A:A)</f>
        <v>ASE</v>
      </c>
    </row>
    <row r="19" spans="1:8">
      <c r="A19">
        <v>8</v>
      </c>
      <c r="B19" t="s">
        <v>1072</v>
      </c>
      <c r="C19" t="s">
        <v>1262</v>
      </c>
      <c r="D19">
        <v>1996</v>
      </c>
      <c r="E19">
        <v>3.2</v>
      </c>
      <c r="F19" t="s">
        <v>1263</v>
      </c>
      <c r="G19" t="s">
        <v>1241</v>
      </c>
      <c r="H19" s="355" t="str">
        <f>_xlfn.XLOOKUP(B19,'Region Mapping'!B:B,'Region Mapping'!A:A)</f>
        <v>MEA</v>
      </c>
    </row>
    <row r="20" spans="1:8">
      <c r="A20">
        <v>5</v>
      </c>
      <c r="B20" t="s">
        <v>1094</v>
      </c>
      <c r="C20" t="s">
        <v>1264</v>
      </c>
      <c r="D20">
        <v>1997</v>
      </c>
      <c r="E20">
        <v>2.8</v>
      </c>
      <c r="F20" t="s">
        <v>1250</v>
      </c>
      <c r="G20" t="s">
        <v>1241</v>
      </c>
      <c r="H20" s="355" t="str">
        <f>_xlfn.XLOOKUP(B20,'Region Mapping'!B:B,'Region Mapping'!A:A)</f>
        <v>IDN</v>
      </c>
    </row>
    <row r="21" spans="1:8">
      <c r="A21">
        <v>8</v>
      </c>
      <c r="B21" t="s">
        <v>1072</v>
      </c>
      <c r="C21" t="s">
        <v>1265</v>
      </c>
      <c r="D21">
        <v>1997</v>
      </c>
      <c r="E21">
        <v>3.2</v>
      </c>
      <c r="F21" t="s">
        <v>1263</v>
      </c>
      <c r="G21" t="s">
        <v>1241</v>
      </c>
      <c r="H21" s="355" t="str">
        <f>_xlfn.XLOOKUP(B21,'Region Mapping'!B:B,'Region Mapping'!A:A)</f>
        <v>MEA</v>
      </c>
    </row>
    <row r="22" spans="1:8">
      <c r="A22">
        <v>8</v>
      </c>
      <c r="B22" t="s">
        <v>1072</v>
      </c>
      <c r="C22" t="s">
        <v>1266</v>
      </c>
      <c r="D22">
        <v>1998</v>
      </c>
      <c r="E22">
        <v>3.2</v>
      </c>
      <c r="F22" t="s">
        <v>1263</v>
      </c>
      <c r="G22" t="s">
        <v>1241</v>
      </c>
      <c r="H22" s="355" t="str">
        <f>_xlfn.XLOOKUP(B22,'Region Mapping'!B:B,'Region Mapping'!A:A)</f>
        <v>MEA</v>
      </c>
    </row>
    <row r="23" spans="1:8">
      <c r="A23">
        <v>5</v>
      </c>
      <c r="B23" t="s">
        <v>1094</v>
      </c>
      <c r="C23" t="s">
        <v>1267</v>
      </c>
      <c r="D23">
        <v>1999</v>
      </c>
      <c r="E23">
        <v>2.95</v>
      </c>
      <c r="F23" t="s">
        <v>1250</v>
      </c>
      <c r="G23" t="s">
        <v>1241</v>
      </c>
      <c r="H23" s="355" t="str">
        <f>_xlfn.XLOOKUP(B23,'Region Mapping'!B:B,'Region Mapping'!A:A)</f>
        <v>IDN</v>
      </c>
    </row>
    <row r="24" spans="1:8">
      <c r="A24">
        <v>8</v>
      </c>
      <c r="B24" t="s">
        <v>1072</v>
      </c>
      <c r="C24" t="s">
        <v>1268</v>
      </c>
      <c r="D24">
        <v>1999</v>
      </c>
      <c r="E24">
        <v>3.3</v>
      </c>
      <c r="F24" t="s">
        <v>1269</v>
      </c>
      <c r="G24" t="s">
        <v>1241</v>
      </c>
      <c r="H24" s="355" t="str">
        <f>_xlfn.XLOOKUP(B24,'Region Mapping'!B:B,'Region Mapping'!A:A)</f>
        <v>MEA</v>
      </c>
    </row>
    <row r="25" spans="1:8">
      <c r="A25">
        <v>9</v>
      </c>
      <c r="B25" t="s">
        <v>1270</v>
      </c>
      <c r="C25" t="s">
        <v>1271</v>
      </c>
      <c r="D25">
        <v>1999</v>
      </c>
      <c r="E25">
        <v>3</v>
      </c>
      <c r="F25" t="s">
        <v>1272</v>
      </c>
      <c r="G25" t="s">
        <v>1273</v>
      </c>
      <c r="H25" s="355" t="str">
        <f>_xlfn.XLOOKUP(B25,'Region Mapping'!B:B,'Region Mapping'!A:A)</f>
        <v>LAM</v>
      </c>
    </row>
    <row r="26" spans="1:8">
      <c r="A26">
        <v>10</v>
      </c>
      <c r="B26" t="s">
        <v>239</v>
      </c>
      <c r="C26" t="s">
        <v>1274</v>
      </c>
      <c r="D26">
        <v>1999</v>
      </c>
      <c r="E26">
        <v>6.6</v>
      </c>
      <c r="F26" t="s">
        <v>1275</v>
      </c>
      <c r="G26" t="s">
        <v>1241</v>
      </c>
      <c r="H26" s="355" t="str">
        <f>_xlfn.XLOOKUP(B26,'Region Mapping'!B:B,'Region Mapping'!A:A)</f>
        <v>NIG</v>
      </c>
    </row>
    <row r="27" spans="1:8">
      <c r="A27">
        <v>8</v>
      </c>
      <c r="B27" t="s">
        <v>1072</v>
      </c>
      <c r="C27" t="s">
        <v>1276</v>
      </c>
      <c r="D27">
        <v>2000</v>
      </c>
      <c r="E27">
        <v>3.3</v>
      </c>
      <c r="F27" t="s">
        <v>1269</v>
      </c>
      <c r="G27" t="s">
        <v>1241</v>
      </c>
      <c r="H27" s="355" t="str">
        <f>_xlfn.XLOOKUP(B27,'Region Mapping'!B:B,'Region Mapping'!A:A)</f>
        <v>MEA</v>
      </c>
    </row>
    <row r="28" spans="1:8">
      <c r="A28">
        <v>11</v>
      </c>
      <c r="B28" t="s">
        <v>1071</v>
      </c>
      <c r="C28" t="s">
        <v>1277</v>
      </c>
      <c r="D28">
        <v>2000</v>
      </c>
      <c r="E28">
        <v>7.1</v>
      </c>
      <c r="F28" t="s">
        <v>1278</v>
      </c>
      <c r="G28" t="s">
        <v>1241</v>
      </c>
      <c r="H28" s="355" t="str">
        <f>_xlfn.XLOOKUP(B28,'Region Mapping'!B:B,'Region Mapping'!A:A)</f>
        <v>MEA</v>
      </c>
    </row>
    <row r="29" spans="1:8">
      <c r="A29">
        <v>9</v>
      </c>
      <c r="B29" t="s">
        <v>1270</v>
      </c>
      <c r="C29" t="s">
        <v>1279</v>
      </c>
      <c r="D29">
        <v>2002</v>
      </c>
      <c r="E29">
        <v>3.3</v>
      </c>
      <c r="F29" t="s">
        <v>1280</v>
      </c>
      <c r="G29" t="s">
        <v>1273</v>
      </c>
      <c r="H29" s="355" t="str">
        <f>_xlfn.XLOOKUP(B29,'Region Mapping'!B:B,'Region Mapping'!A:A)</f>
        <v>LAM</v>
      </c>
    </row>
    <row r="30" spans="1:8">
      <c r="A30">
        <v>10</v>
      </c>
      <c r="B30" t="s">
        <v>239</v>
      </c>
      <c r="C30" t="s">
        <v>1281</v>
      </c>
      <c r="D30">
        <v>2002</v>
      </c>
      <c r="E30">
        <v>3.3</v>
      </c>
      <c r="F30" t="s">
        <v>1275</v>
      </c>
      <c r="G30" t="s">
        <v>1241</v>
      </c>
      <c r="H30" s="355" t="str">
        <f>_xlfn.XLOOKUP(B30,'Region Mapping'!B:B,'Region Mapping'!A:A)</f>
        <v>NIG</v>
      </c>
    </row>
    <row r="31" spans="1:8">
      <c r="A31">
        <v>6</v>
      </c>
      <c r="B31" t="s">
        <v>1095</v>
      </c>
      <c r="C31" t="s">
        <v>1282</v>
      </c>
      <c r="D31">
        <v>2003</v>
      </c>
      <c r="E31">
        <v>7.7</v>
      </c>
      <c r="F31" t="s">
        <v>1283</v>
      </c>
      <c r="G31" t="s">
        <v>1241</v>
      </c>
      <c r="H31" s="355" t="str">
        <f>_xlfn.XLOOKUP(B31,'Region Mapping'!B:B,'Region Mapping'!A:A)</f>
        <v>ASE</v>
      </c>
    </row>
    <row r="32" spans="1:8">
      <c r="A32">
        <v>9</v>
      </c>
      <c r="B32" t="s">
        <v>1270</v>
      </c>
      <c r="C32" t="s">
        <v>1284</v>
      </c>
      <c r="D32">
        <v>2003</v>
      </c>
      <c r="E32">
        <v>3.3</v>
      </c>
      <c r="F32" t="s">
        <v>1285</v>
      </c>
      <c r="G32" t="s">
        <v>1273</v>
      </c>
      <c r="H32" s="355" t="str">
        <f>_xlfn.XLOOKUP(B32,'Region Mapping'!B:B,'Region Mapping'!A:A)</f>
        <v>LAM</v>
      </c>
    </row>
    <row r="33" spans="1:8">
      <c r="A33">
        <v>7</v>
      </c>
      <c r="B33" t="s">
        <v>1092</v>
      </c>
      <c r="C33" t="s">
        <v>1286</v>
      </c>
      <c r="D33">
        <v>2004</v>
      </c>
      <c r="E33">
        <v>4.5999999999999996</v>
      </c>
      <c r="F33" t="s">
        <v>1255</v>
      </c>
      <c r="G33" t="s">
        <v>1241</v>
      </c>
      <c r="H33" s="355" t="str">
        <f>_xlfn.XLOOKUP(B33,'Region Mapping'!B:B,'Region Mapping'!A:A)</f>
        <v>ANZ</v>
      </c>
    </row>
    <row r="34" spans="1:8">
      <c r="A34">
        <v>8</v>
      </c>
      <c r="B34" t="s">
        <v>1072</v>
      </c>
      <c r="C34" t="s">
        <v>1287</v>
      </c>
      <c r="D34">
        <v>2004</v>
      </c>
      <c r="E34">
        <v>4.7</v>
      </c>
      <c r="F34" t="s">
        <v>1288</v>
      </c>
      <c r="G34" t="s">
        <v>1289</v>
      </c>
      <c r="H34" s="355" t="str">
        <f>_xlfn.XLOOKUP(B34,'Region Mapping'!B:B,'Region Mapping'!A:A)</f>
        <v>MEA</v>
      </c>
    </row>
    <row r="35" spans="1:8">
      <c r="A35">
        <v>8</v>
      </c>
      <c r="B35" t="s">
        <v>1072</v>
      </c>
      <c r="C35" t="s">
        <v>1290</v>
      </c>
      <c r="D35">
        <v>2005</v>
      </c>
      <c r="E35">
        <v>4.7</v>
      </c>
      <c r="F35" t="s">
        <v>1288</v>
      </c>
      <c r="G35" t="s">
        <v>1289</v>
      </c>
      <c r="H35" s="355" t="str">
        <f>_xlfn.XLOOKUP(B35,'Region Mapping'!B:B,'Region Mapping'!A:A)</f>
        <v>MEA</v>
      </c>
    </row>
    <row r="36" spans="1:8">
      <c r="A36">
        <v>9</v>
      </c>
      <c r="B36" t="s">
        <v>1270</v>
      </c>
      <c r="C36" t="s">
        <v>1291</v>
      </c>
      <c r="D36">
        <v>2005</v>
      </c>
      <c r="E36">
        <v>5.2</v>
      </c>
      <c r="F36" t="s">
        <v>1292</v>
      </c>
      <c r="G36" t="s">
        <v>1273</v>
      </c>
      <c r="H36" s="355" t="str">
        <f>_xlfn.XLOOKUP(B36,'Region Mapping'!B:B,'Region Mapping'!A:A)</f>
        <v>LAM</v>
      </c>
    </row>
    <row r="37" spans="1:8">
      <c r="A37">
        <v>10</v>
      </c>
      <c r="B37" t="s">
        <v>239</v>
      </c>
      <c r="C37" t="s">
        <v>1293</v>
      </c>
      <c r="D37">
        <v>2005</v>
      </c>
      <c r="E37">
        <v>4.0999999999999996</v>
      </c>
      <c r="F37" t="s">
        <v>1275</v>
      </c>
      <c r="G37" t="s">
        <v>1241</v>
      </c>
      <c r="H37" s="355" t="str">
        <f>_xlfn.XLOOKUP(B37,'Region Mapping'!B:B,'Region Mapping'!A:A)</f>
        <v>NIG</v>
      </c>
    </row>
    <row r="38" spans="1:8">
      <c r="A38">
        <v>12</v>
      </c>
      <c r="B38" t="s">
        <v>1083</v>
      </c>
      <c r="C38" t="s">
        <v>1294</v>
      </c>
      <c r="D38">
        <v>2005</v>
      </c>
      <c r="E38">
        <v>5</v>
      </c>
      <c r="F38" t="s">
        <v>1295</v>
      </c>
      <c r="G38" t="s">
        <v>1289</v>
      </c>
      <c r="H38" s="355" t="str">
        <f>_xlfn.XLOOKUP(B38,'Region Mapping'!B:B,'Region Mapping'!A:A)</f>
        <v>AFN</v>
      </c>
    </row>
    <row r="39" spans="1:8">
      <c r="A39">
        <v>13</v>
      </c>
      <c r="B39" t="s">
        <v>1083</v>
      </c>
      <c r="C39" t="s">
        <v>1296</v>
      </c>
      <c r="D39">
        <v>2005</v>
      </c>
      <c r="E39">
        <v>7.2</v>
      </c>
      <c r="F39" t="s">
        <v>1297</v>
      </c>
      <c r="G39" t="s">
        <v>1273</v>
      </c>
      <c r="H39" s="355" t="str">
        <f>_xlfn.XLOOKUP(B39,'Region Mapping'!B:B,'Region Mapping'!A:A)</f>
        <v>AFN</v>
      </c>
    </row>
    <row r="40" spans="1:8">
      <c r="A40">
        <v>10</v>
      </c>
      <c r="B40" t="s">
        <v>239</v>
      </c>
      <c r="C40" t="s">
        <v>1298</v>
      </c>
      <c r="D40">
        <v>2006</v>
      </c>
      <c r="E40">
        <v>4.0999999999999996</v>
      </c>
      <c r="F40" t="s">
        <v>1275</v>
      </c>
      <c r="G40" t="s">
        <v>1241</v>
      </c>
      <c r="H40" s="355" t="str">
        <f>_xlfn.XLOOKUP(B40,'Region Mapping'!B:B,'Region Mapping'!A:A)</f>
        <v>NIG</v>
      </c>
    </row>
    <row r="41" spans="1:8">
      <c r="A41">
        <v>11</v>
      </c>
      <c r="B41" t="s">
        <v>1071</v>
      </c>
      <c r="C41" t="s">
        <v>1299</v>
      </c>
      <c r="D41">
        <v>2006</v>
      </c>
      <c r="E41">
        <v>3.3</v>
      </c>
      <c r="F41" t="s">
        <v>1300</v>
      </c>
      <c r="G41" t="s">
        <v>1241</v>
      </c>
      <c r="H41" s="355" t="str">
        <f>_xlfn.XLOOKUP(B41,'Region Mapping'!B:B,'Region Mapping'!A:A)</f>
        <v>MEA</v>
      </c>
    </row>
    <row r="42" spans="1:8">
      <c r="A42">
        <v>14</v>
      </c>
      <c r="B42" t="s">
        <v>1092</v>
      </c>
      <c r="C42" t="s">
        <v>1301</v>
      </c>
      <c r="D42">
        <v>2006</v>
      </c>
      <c r="E42">
        <v>3.7</v>
      </c>
      <c r="F42" t="s">
        <v>1302</v>
      </c>
      <c r="G42" t="s">
        <v>1273</v>
      </c>
      <c r="H42" s="355" t="str">
        <f>_xlfn.XLOOKUP(B42,'Region Mapping'!B:B,'Region Mapping'!A:A)</f>
        <v>ANZ</v>
      </c>
    </row>
    <row r="43" spans="1:8">
      <c r="A43">
        <v>8</v>
      </c>
      <c r="B43" t="s">
        <v>1072</v>
      </c>
      <c r="C43" t="s">
        <v>1303</v>
      </c>
      <c r="D43">
        <v>2007</v>
      </c>
      <c r="E43">
        <v>4.7</v>
      </c>
      <c r="F43" t="s">
        <v>1288</v>
      </c>
      <c r="G43" t="s">
        <v>1289</v>
      </c>
      <c r="H43" s="355" t="str">
        <f>_xlfn.XLOOKUP(B43,'Region Mapping'!B:B,'Region Mapping'!A:A)</f>
        <v>MEA</v>
      </c>
    </row>
    <row r="44" spans="1:8">
      <c r="A44">
        <v>10</v>
      </c>
      <c r="B44" t="s">
        <v>239</v>
      </c>
      <c r="C44" t="s">
        <v>1304</v>
      </c>
      <c r="D44">
        <v>2007</v>
      </c>
      <c r="E44">
        <v>4.0999999999999996</v>
      </c>
      <c r="F44" t="s">
        <v>1275</v>
      </c>
      <c r="G44" t="s">
        <v>1241</v>
      </c>
      <c r="H44" s="355" t="str">
        <f>_xlfn.XLOOKUP(B44,'Region Mapping'!B:B,'Region Mapping'!A:A)</f>
        <v>NIG</v>
      </c>
    </row>
    <row r="45" spans="1:8">
      <c r="A45">
        <v>15</v>
      </c>
      <c r="B45" t="s">
        <v>1084</v>
      </c>
      <c r="C45" t="s">
        <v>1305</v>
      </c>
      <c r="D45">
        <v>2007</v>
      </c>
      <c r="E45">
        <v>3.7</v>
      </c>
      <c r="F45" t="s">
        <v>1306</v>
      </c>
      <c r="G45" t="s">
        <v>1273</v>
      </c>
      <c r="H45" s="355" t="str">
        <f>_xlfn.XLOOKUP(B45,'Region Mapping'!B:B,'Region Mapping'!A:A)</f>
        <v>AFW</v>
      </c>
    </row>
    <row r="46" spans="1:8">
      <c r="A46">
        <v>16</v>
      </c>
      <c r="B46" t="s">
        <v>1055</v>
      </c>
      <c r="C46" t="s">
        <v>1307</v>
      </c>
      <c r="D46">
        <v>2007</v>
      </c>
      <c r="E46">
        <v>4.2</v>
      </c>
      <c r="F46" t="s">
        <v>1308</v>
      </c>
      <c r="G46" t="s">
        <v>1309</v>
      </c>
      <c r="H46" s="355" t="str">
        <f>_xlfn.XLOOKUP(B46,'Region Mapping'!B:B,'Region Mapping'!A:A)</f>
        <v>ENW</v>
      </c>
    </row>
    <row r="47" spans="1:8">
      <c r="A47">
        <v>7</v>
      </c>
      <c r="B47" t="s">
        <v>1092</v>
      </c>
      <c r="C47" t="s">
        <v>1310</v>
      </c>
      <c r="D47">
        <v>2008</v>
      </c>
      <c r="E47">
        <v>4.5999999999999996</v>
      </c>
      <c r="F47" t="s">
        <v>1255</v>
      </c>
      <c r="G47" t="s">
        <v>1241</v>
      </c>
      <c r="H47" s="355" t="str">
        <f>_xlfn.XLOOKUP(B47,'Region Mapping'!B:B,'Region Mapping'!A:A)</f>
        <v>ANZ</v>
      </c>
    </row>
    <row r="48" spans="1:8">
      <c r="A48">
        <v>8</v>
      </c>
      <c r="B48" t="s">
        <v>1072</v>
      </c>
      <c r="C48" t="s">
        <v>1311</v>
      </c>
      <c r="D48">
        <v>2009</v>
      </c>
      <c r="E48">
        <v>15.6</v>
      </c>
      <c r="F48" t="s">
        <v>1312</v>
      </c>
      <c r="G48" t="s">
        <v>1313</v>
      </c>
      <c r="H48" s="355" t="str">
        <f>_xlfn.XLOOKUP(B48,'Region Mapping'!B:B,'Region Mapping'!A:A)</f>
        <v>MEA</v>
      </c>
    </row>
    <row r="49" spans="1:8">
      <c r="A49">
        <v>8</v>
      </c>
      <c r="B49" t="s">
        <v>1072</v>
      </c>
      <c r="C49" t="s">
        <v>1314</v>
      </c>
      <c r="D49">
        <v>2009</v>
      </c>
      <c r="E49">
        <v>15.6</v>
      </c>
      <c r="F49" t="s">
        <v>1288</v>
      </c>
      <c r="G49" t="s">
        <v>1313</v>
      </c>
      <c r="H49" s="355" t="str">
        <f>_xlfn.XLOOKUP(B49,'Region Mapping'!B:B,'Region Mapping'!A:A)</f>
        <v>MEA</v>
      </c>
    </row>
    <row r="50" spans="1:8">
      <c r="A50">
        <v>17</v>
      </c>
      <c r="B50" t="s">
        <v>242</v>
      </c>
      <c r="C50" t="s">
        <v>1315</v>
      </c>
      <c r="D50">
        <v>2009</v>
      </c>
      <c r="E50">
        <v>9.6</v>
      </c>
      <c r="F50" t="s">
        <v>1316</v>
      </c>
      <c r="G50" t="s">
        <v>1317</v>
      </c>
      <c r="H50" s="355" t="str">
        <f>_xlfn.XLOOKUP(B50,'Region Mapping'!B:B,'Region Mapping'!A:A)</f>
        <v>RUS</v>
      </c>
    </row>
    <row r="51" spans="1:8">
      <c r="A51">
        <v>18</v>
      </c>
      <c r="B51" t="s">
        <v>1094</v>
      </c>
      <c r="C51" t="s">
        <v>1318</v>
      </c>
      <c r="D51">
        <v>2009</v>
      </c>
      <c r="E51">
        <v>3.8</v>
      </c>
      <c r="F51" t="s">
        <v>1319</v>
      </c>
      <c r="G51" t="s">
        <v>1289</v>
      </c>
      <c r="H51" s="355" t="str">
        <f>_xlfn.XLOOKUP(B51,'Region Mapping'!B:B,'Region Mapping'!A:A)</f>
        <v>IDN</v>
      </c>
    </row>
    <row r="52" spans="1:8">
      <c r="A52">
        <v>19</v>
      </c>
      <c r="B52" t="s">
        <v>1076</v>
      </c>
      <c r="C52" t="s">
        <v>1320</v>
      </c>
      <c r="D52">
        <v>2009</v>
      </c>
      <c r="E52">
        <v>6.7</v>
      </c>
      <c r="F52" t="s">
        <v>1321</v>
      </c>
      <c r="G52" t="s">
        <v>1289</v>
      </c>
      <c r="H52" s="355" t="str">
        <f>_xlfn.XLOOKUP(B52,'Region Mapping'!B:B,'Region Mapping'!A:A)</f>
        <v>MEA</v>
      </c>
    </row>
    <row r="53" spans="1:8">
      <c r="A53">
        <v>8</v>
      </c>
      <c r="B53" t="s">
        <v>1072</v>
      </c>
      <c r="C53" t="s">
        <v>1322</v>
      </c>
      <c r="D53">
        <v>2010</v>
      </c>
      <c r="E53">
        <v>7.8</v>
      </c>
      <c r="F53" t="s">
        <v>1323</v>
      </c>
      <c r="G53" t="s">
        <v>1313</v>
      </c>
      <c r="H53" s="355" t="str">
        <f>_xlfn.XLOOKUP(B53,'Region Mapping'!B:B,'Region Mapping'!A:A)</f>
        <v>MEA</v>
      </c>
    </row>
    <row r="54" spans="1:8">
      <c r="A54">
        <v>18</v>
      </c>
      <c r="B54" t="s">
        <v>1094</v>
      </c>
      <c r="C54" t="s">
        <v>1324</v>
      </c>
      <c r="D54">
        <v>2010</v>
      </c>
      <c r="E54">
        <v>3.8</v>
      </c>
      <c r="F54" t="s">
        <v>1319</v>
      </c>
      <c r="G54" t="s">
        <v>1289</v>
      </c>
      <c r="H54" s="355" t="str">
        <f>_xlfn.XLOOKUP(B54,'Region Mapping'!B:B,'Region Mapping'!A:A)</f>
        <v>IDN</v>
      </c>
    </row>
    <row r="55" spans="1:8">
      <c r="A55">
        <v>20</v>
      </c>
      <c r="B55" t="s">
        <v>1048</v>
      </c>
      <c r="C55" t="s">
        <v>1325</v>
      </c>
      <c r="D55">
        <v>2010</v>
      </c>
      <c r="E55">
        <v>4.45</v>
      </c>
      <c r="F55" t="s">
        <v>1326</v>
      </c>
      <c r="G55" t="s">
        <v>1289</v>
      </c>
      <c r="H55" s="355" t="str">
        <f>_xlfn.XLOOKUP(B55,'Region Mapping'!B:B,'Region Mapping'!A:A)</f>
        <v>LAM</v>
      </c>
    </row>
    <row r="56" spans="1:8">
      <c r="A56">
        <v>8</v>
      </c>
      <c r="B56" t="s">
        <v>1072</v>
      </c>
      <c r="C56" t="s">
        <v>1327</v>
      </c>
      <c r="D56">
        <v>2011</v>
      </c>
      <c r="E56">
        <v>7.8</v>
      </c>
      <c r="F56" t="s">
        <v>1328</v>
      </c>
      <c r="G56" t="s">
        <v>1313</v>
      </c>
      <c r="H56" s="355" t="str">
        <f>_xlfn.XLOOKUP(B56,'Region Mapping'!B:B,'Region Mapping'!A:A)</f>
        <v>MEA</v>
      </c>
    </row>
    <row r="57" spans="1:8">
      <c r="A57">
        <v>21</v>
      </c>
      <c r="B57" t="s">
        <v>1092</v>
      </c>
      <c r="C57" t="s">
        <v>1329</v>
      </c>
      <c r="D57">
        <v>2012</v>
      </c>
      <c r="E57">
        <v>4.9000000000000004</v>
      </c>
      <c r="F57" t="s">
        <v>1330</v>
      </c>
      <c r="G57" t="s">
        <v>1331</v>
      </c>
      <c r="H57" s="355" t="str">
        <f>_xlfn.XLOOKUP(B57,'Region Mapping'!B:B,'Region Mapping'!A:A)</f>
        <v>ANZ</v>
      </c>
    </row>
    <row r="58" spans="1:8">
      <c r="A58">
        <v>4</v>
      </c>
      <c r="B58" t="s">
        <v>1079</v>
      </c>
      <c r="C58" t="s">
        <v>1332</v>
      </c>
      <c r="D58">
        <v>2013</v>
      </c>
      <c r="E58">
        <v>4.5</v>
      </c>
      <c r="F58" t="s">
        <v>1247</v>
      </c>
      <c r="G58" t="s">
        <v>1289</v>
      </c>
      <c r="H58" s="355" t="str">
        <f>_xlfn.XLOOKUP(B58,'Region Mapping'!B:B,'Region Mapping'!A:A)</f>
        <v>AFN</v>
      </c>
    </row>
    <row r="59" spans="1:8">
      <c r="A59">
        <v>22</v>
      </c>
      <c r="B59" t="s">
        <v>1080</v>
      </c>
      <c r="C59" t="s">
        <v>1333</v>
      </c>
      <c r="D59">
        <v>2013</v>
      </c>
      <c r="E59">
        <v>5.2</v>
      </c>
      <c r="F59" t="s">
        <v>1334</v>
      </c>
      <c r="G59" t="s">
        <v>1273</v>
      </c>
      <c r="H59" s="355" t="str">
        <f>_xlfn.XLOOKUP(B59,'Region Mapping'!B:B,'Region Mapping'!A:A)</f>
        <v>AFZ</v>
      </c>
    </row>
    <row r="60" spans="1:8">
      <c r="A60">
        <v>4</v>
      </c>
      <c r="B60" t="s">
        <v>1079</v>
      </c>
      <c r="C60" t="s">
        <v>1335</v>
      </c>
      <c r="D60">
        <v>2014</v>
      </c>
      <c r="E60">
        <v>4.7</v>
      </c>
      <c r="F60" t="s">
        <v>1247</v>
      </c>
      <c r="G60" t="s">
        <v>1289</v>
      </c>
      <c r="H60" s="355" t="str">
        <f>_xlfn.XLOOKUP(B60,'Region Mapping'!B:B,'Region Mapping'!A:A)</f>
        <v>AFN</v>
      </c>
    </row>
    <row r="61" spans="1:8">
      <c r="A61">
        <v>23</v>
      </c>
      <c r="B61" t="s">
        <v>1139</v>
      </c>
      <c r="C61" t="s">
        <v>1336</v>
      </c>
      <c r="D61">
        <v>2014</v>
      </c>
      <c r="E61">
        <v>6.9</v>
      </c>
      <c r="F61" t="s">
        <v>1337</v>
      </c>
      <c r="G61" t="s">
        <v>1241</v>
      </c>
      <c r="H61" s="355" t="str">
        <f>_xlfn.XLOOKUP(B61,'Region Mapping'!B:B,'Region Mapping'!A:A)</f>
        <v>ASE</v>
      </c>
    </row>
    <row r="62" spans="1:8">
      <c r="A62">
        <v>24</v>
      </c>
      <c r="B62" t="s">
        <v>1094</v>
      </c>
      <c r="C62" t="s">
        <v>1338</v>
      </c>
      <c r="D62">
        <v>2015</v>
      </c>
      <c r="E62">
        <v>2</v>
      </c>
      <c r="F62" t="s">
        <v>1339</v>
      </c>
      <c r="G62" t="s">
        <v>1241</v>
      </c>
      <c r="H62" s="355" t="str">
        <f>_xlfn.XLOOKUP(B62,'Region Mapping'!B:B,'Region Mapping'!A:A)</f>
        <v>IDN</v>
      </c>
    </row>
    <row r="63" spans="1:8">
      <c r="A63">
        <v>25</v>
      </c>
      <c r="B63" t="s">
        <v>1092</v>
      </c>
      <c r="C63" t="s">
        <v>1340</v>
      </c>
      <c r="D63">
        <v>2015</v>
      </c>
      <c r="E63">
        <v>3.9</v>
      </c>
      <c r="F63" t="s">
        <v>1341</v>
      </c>
      <c r="G63" t="s">
        <v>1273</v>
      </c>
      <c r="H63" s="355" t="str">
        <f>_xlfn.XLOOKUP(B63,'Region Mapping'!B:B,'Region Mapping'!A:A)</f>
        <v>ANZ</v>
      </c>
    </row>
    <row r="64" spans="1:8">
      <c r="A64">
        <v>26</v>
      </c>
      <c r="B64" t="s">
        <v>1092</v>
      </c>
      <c r="C64" t="s">
        <v>1342</v>
      </c>
      <c r="D64">
        <v>2015</v>
      </c>
      <c r="E64">
        <v>8.5</v>
      </c>
      <c r="F64" t="s">
        <v>1343</v>
      </c>
      <c r="G64" t="s">
        <v>1273</v>
      </c>
      <c r="H64" s="355" t="str">
        <f>_xlfn.XLOOKUP(B64,'Region Mapping'!B:B,'Region Mapping'!A:A)</f>
        <v>ANZ</v>
      </c>
    </row>
    <row r="65" spans="1:8">
      <c r="A65">
        <v>25</v>
      </c>
      <c r="B65" t="s">
        <v>1092</v>
      </c>
      <c r="C65" t="s">
        <v>1344</v>
      </c>
      <c r="D65">
        <v>2016</v>
      </c>
      <c r="E65">
        <v>3.9</v>
      </c>
      <c r="F65" t="s">
        <v>1341</v>
      </c>
      <c r="G65" t="s">
        <v>1273</v>
      </c>
      <c r="H65" s="355" t="str">
        <f>_xlfn.XLOOKUP(B65,'Region Mapping'!B:B,'Region Mapping'!A:A)</f>
        <v>ANZ</v>
      </c>
    </row>
    <row r="66" spans="1:8">
      <c r="A66">
        <v>27</v>
      </c>
      <c r="B66" t="s">
        <v>1092</v>
      </c>
      <c r="C66" t="s">
        <v>1345</v>
      </c>
      <c r="D66">
        <v>2016</v>
      </c>
      <c r="E66">
        <v>9</v>
      </c>
      <c r="F66" t="s">
        <v>1346</v>
      </c>
      <c r="G66" t="s">
        <v>1273</v>
      </c>
      <c r="H66" s="355" t="str">
        <f>_xlfn.XLOOKUP(B66,'Region Mapping'!B:B,'Region Mapping'!A:A)</f>
        <v>ANZ</v>
      </c>
    </row>
    <row r="67" spans="1:8">
      <c r="A67">
        <v>28</v>
      </c>
      <c r="B67" t="s">
        <v>1092</v>
      </c>
      <c r="C67" t="s">
        <v>1347</v>
      </c>
      <c r="D67">
        <v>2016</v>
      </c>
      <c r="E67">
        <v>10.4</v>
      </c>
      <c r="F67" t="s">
        <v>1348</v>
      </c>
      <c r="G67" t="s">
        <v>1289</v>
      </c>
      <c r="H67" s="355" t="str">
        <f>_xlfn.XLOOKUP(B67,'Region Mapping'!B:B,'Region Mapping'!A:A)</f>
        <v>ANZ</v>
      </c>
    </row>
    <row r="68" spans="1:8">
      <c r="A68">
        <v>29</v>
      </c>
      <c r="B68" t="s">
        <v>247</v>
      </c>
      <c r="C68" t="s">
        <v>1349</v>
      </c>
      <c r="D68">
        <v>2016</v>
      </c>
      <c r="E68">
        <v>9</v>
      </c>
      <c r="F68" t="s">
        <v>1350</v>
      </c>
      <c r="G68" t="s">
        <v>1351</v>
      </c>
      <c r="H68" s="355" t="str">
        <f>_xlfn.XLOOKUP(B68,'Region Mapping'!B:B,'Region Mapping'!A:A)</f>
        <v>USA</v>
      </c>
    </row>
    <row r="69" spans="1:8">
      <c r="A69">
        <v>6</v>
      </c>
      <c r="B69" t="s">
        <v>1095</v>
      </c>
      <c r="C69" t="s">
        <v>1352</v>
      </c>
      <c r="D69">
        <v>2017</v>
      </c>
      <c r="E69">
        <v>3.6</v>
      </c>
      <c r="F69" t="s">
        <v>1353</v>
      </c>
      <c r="G69" t="s">
        <v>1289</v>
      </c>
      <c r="H69" s="355" t="str">
        <f>_xlfn.XLOOKUP(B69,'Region Mapping'!B:B,'Region Mapping'!A:A)</f>
        <v>ASE</v>
      </c>
    </row>
    <row r="70" spans="1:8">
      <c r="A70">
        <v>28</v>
      </c>
      <c r="B70" t="s">
        <v>1092</v>
      </c>
      <c r="C70" t="s">
        <v>1354</v>
      </c>
      <c r="D70">
        <v>2017</v>
      </c>
      <c r="E70">
        <v>5.2</v>
      </c>
      <c r="F70" t="s">
        <v>1355</v>
      </c>
      <c r="G70" t="s">
        <v>1289</v>
      </c>
      <c r="H70" s="355" t="str">
        <f>_xlfn.XLOOKUP(B70,'Region Mapping'!B:B,'Region Mapping'!A:A)</f>
        <v>ANZ</v>
      </c>
    </row>
    <row r="71" spans="1:8">
      <c r="A71">
        <v>29</v>
      </c>
      <c r="B71" t="s">
        <v>247</v>
      </c>
      <c r="C71" t="s">
        <v>1356</v>
      </c>
      <c r="D71">
        <v>2017</v>
      </c>
      <c r="E71">
        <v>9</v>
      </c>
      <c r="F71" t="s">
        <v>1350</v>
      </c>
      <c r="G71" t="s">
        <v>1273</v>
      </c>
      <c r="H71" s="355" t="str">
        <f>_xlfn.XLOOKUP(B71,'Region Mapping'!B:B,'Region Mapping'!A:A)</f>
        <v>USA</v>
      </c>
    </row>
    <row r="72" spans="1:8">
      <c r="A72">
        <v>30</v>
      </c>
      <c r="B72" t="s">
        <v>1095</v>
      </c>
      <c r="C72" t="s">
        <v>1357</v>
      </c>
      <c r="D72">
        <v>2017</v>
      </c>
      <c r="E72">
        <v>1.2</v>
      </c>
      <c r="F72" t="s">
        <v>1358</v>
      </c>
      <c r="G72" t="s">
        <v>1359</v>
      </c>
      <c r="H72" s="355" t="str">
        <f>_xlfn.XLOOKUP(B72,'Region Mapping'!B:B,'Region Mapping'!A:A)</f>
        <v>ASE</v>
      </c>
    </row>
    <row r="73" spans="1:8">
      <c r="A73">
        <v>31</v>
      </c>
      <c r="B73" t="s">
        <v>1092</v>
      </c>
      <c r="C73" t="s">
        <v>1360</v>
      </c>
      <c r="D73">
        <v>2017</v>
      </c>
      <c r="E73">
        <v>4.45</v>
      </c>
      <c r="F73" t="s">
        <v>1361</v>
      </c>
      <c r="G73" t="s">
        <v>1273</v>
      </c>
      <c r="H73" s="355" t="str">
        <f>_xlfn.XLOOKUP(B73,'Region Mapping'!B:B,'Region Mapping'!A:A)</f>
        <v>ANZ</v>
      </c>
    </row>
    <row r="74" spans="1:8">
      <c r="A74">
        <v>32</v>
      </c>
      <c r="B74" t="s">
        <v>242</v>
      </c>
      <c r="C74" t="s">
        <v>1362</v>
      </c>
      <c r="D74">
        <v>2017</v>
      </c>
      <c r="E74">
        <v>5.5</v>
      </c>
      <c r="F74" t="s">
        <v>1363</v>
      </c>
      <c r="G74" t="s">
        <v>1241</v>
      </c>
      <c r="H74" s="355" t="str">
        <f>_xlfn.XLOOKUP(B74,'Region Mapping'!B:B,'Region Mapping'!A:A)</f>
        <v>RUS</v>
      </c>
    </row>
    <row r="75" spans="1:8">
      <c r="A75">
        <v>31</v>
      </c>
      <c r="B75" t="s">
        <v>1092</v>
      </c>
      <c r="C75" t="s">
        <v>1364</v>
      </c>
      <c r="D75">
        <v>2018</v>
      </c>
      <c r="E75">
        <v>4.45</v>
      </c>
      <c r="F75" t="s">
        <v>1361</v>
      </c>
      <c r="G75" t="s">
        <v>1273</v>
      </c>
      <c r="H75" s="355" t="str">
        <f>_xlfn.XLOOKUP(B75,'Region Mapping'!B:B,'Region Mapping'!A:A)</f>
        <v>ANZ</v>
      </c>
    </row>
    <row r="76" spans="1:8">
      <c r="A76">
        <v>32</v>
      </c>
      <c r="B76" t="s">
        <v>242</v>
      </c>
      <c r="C76" t="s">
        <v>1365</v>
      </c>
      <c r="D76">
        <v>2018</v>
      </c>
      <c r="E76">
        <v>5.5</v>
      </c>
      <c r="F76" t="s">
        <v>1363</v>
      </c>
      <c r="G76" t="s">
        <v>1241</v>
      </c>
      <c r="H76" s="355" t="str">
        <f>_xlfn.XLOOKUP(B76,'Region Mapping'!B:B,'Region Mapping'!A:A)</f>
        <v>RUS</v>
      </c>
    </row>
    <row r="77" spans="1:8">
      <c r="A77">
        <v>33</v>
      </c>
      <c r="B77" t="s">
        <v>1366</v>
      </c>
      <c r="C77" t="s">
        <v>1367</v>
      </c>
      <c r="D77">
        <v>2018</v>
      </c>
      <c r="E77">
        <v>2.4</v>
      </c>
      <c r="F77" t="s">
        <v>1368</v>
      </c>
      <c r="G77" t="s">
        <v>1369</v>
      </c>
      <c r="H77" s="355" t="str">
        <f>_xlfn.XLOOKUP(B77,'Region Mapping'!B:B,'Region Mapping'!A:A)</f>
        <v>AFW</v>
      </c>
    </row>
    <row r="78" spans="1:8">
      <c r="A78">
        <v>34</v>
      </c>
      <c r="B78" t="s">
        <v>247</v>
      </c>
      <c r="C78" t="s">
        <v>1370</v>
      </c>
      <c r="D78">
        <v>2018</v>
      </c>
      <c r="E78">
        <v>5.25</v>
      </c>
      <c r="F78" t="s">
        <v>1371</v>
      </c>
      <c r="G78" t="s">
        <v>1241</v>
      </c>
      <c r="H78" s="355" t="str">
        <f>_xlfn.XLOOKUP(B78,'Region Mapping'!B:B,'Region Mapping'!A:A)</f>
        <v>USA</v>
      </c>
    </row>
    <row r="79" spans="1:8">
      <c r="A79">
        <v>29</v>
      </c>
      <c r="B79" t="s">
        <v>247</v>
      </c>
      <c r="C79" t="s">
        <v>1372</v>
      </c>
      <c r="D79">
        <v>2019</v>
      </c>
      <c r="E79">
        <v>4.5</v>
      </c>
      <c r="F79" t="s">
        <v>1350</v>
      </c>
      <c r="G79" t="s">
        <v>1273</v>
      </c>
      <c r="H79" s="355" t="str">
        <f>_xlfn.XLOOKUP(B79,'Region Mapping'!B:B,'Region Mapping'!A:A)</f>
        <v>USA</v>
      </c>
    </row>
    <row r="80" spans="1:8">
      <c r="A80">
        <v>32</v>
      </c>
      <c r="B80" t="s">
        <v>242</v>
      </c>
      <c r="C80" t="s">
        <v>1373</v>
      </c>
      <c r="D80">
        <v>2019</v>
      </c>
      <c r="E80">
        <v>5.5</v>
      </c>
      <c r="F80" t="s">
        <v>1363</v>
      </c>
      <c r="G80" t="s">
        <v>1241</v>
      </c>
      <c r="H80" s="355" t="str">
        <f>_xlfn.XLOOKUP(B80,'Region Mapping'!B:B,'Region Mapping'!A:A)</f>
        <v>RUS</v>
      </c>
    </row>
    <row r="81" spans="1:8">
      <c r="A81">
        <v>35</v>
      </c>
      <c r="B81" t="s">
        <v>1092</v>
      </c>
      <c r="C81" t="s">
        <v>1374</v>
      </c>
      <c r="D81">
        <v>2019</v>
      </c>
      <c r="E81">
        <v>8.9</v>
      </c>
      <c r="F81" t="s">
        <v>1375</v>
      </c>
      <c r="G81" t="s">
        <v>1289</v>
      </c>
      <c r="H81" s="355" t="str">
        <f>_xlfn.XLOOKUP(B81,'Region Mapping'!B:B,'Region Mapping'!A:A)</f>
        <v>ANZ</v>
      </c>
    </row>
    <row r="82" spans="1:8">
      <c r="A82">
        <v>36</v>
      </c>
      <c r="B82" t="s">
        <v>1045</v>
      </c>
      <c r="C82" t="s">
        <v>1376</v>
      </c>
      <c r="D82">
        <v>2019</v>
      </c>
      <c r="E82">
        <v>0.5</v>
      </c>
      <c r="F82" t="s">
        <v>1377</v>
      </c>
      <c r="G82" t="s">
        <v>1369</v>
      </c>
      <c r="H82" s="355" t="str">
        <f>_xlfn.XLOOKUP(B82,'Region Mapping'!B:B,'Region Mapping'!A:A)</f>
        <v>LAM</v>
      </c>
    </row>
    <row r="83" spans="1:8">
      <c r="A83">
        <v>37</v>
      </c>
      <c r="B83" t="s">
        <v>247</v>
      </c>
      <c r="C83" t="s">
        <v>1378</v>
      </c>
      <c r="D83">
        <v>2019</v>
      </c>
      <c r="E83">
        <v>4.5</v>
      </c>
      <c r="F83" t="s">
        <v>1350</v>
      </c>
      <c r="G83" t="s">
        <v>1273</v>
      </c>
      <c r="H83" s="355" t="str">
        <f>_xlfn.XLOOKUP(B83,'Region Mapping'!B:B,'Region Mapping'!A:A)</f>
        <v>USA</v>
      </c>
    </row>
    <row r="84" spans="1:8">
      <c r="A84">
        <v>37</v>
      </c>
      <c r="B84" t="s">
        <v>247</v>
      </c>
      <c r="C84" t="s">
        <v>1379</v>
      </c>
      <c r="D84">
        <v>2019</v>
      </c>
      <c r="E84">
        <v>4</v>
      </c>
      <c r="F84" t="s">
        <v>1380</v>
      </c>
      <c r="G84" t="s">
        <v>1289</v>
      </c>
      <c r="H84" s="355" t="str">
        <f>_xlfn.XLOOKUP(B84,'Region Mapping'!B:B,'Region Mapping'!A:A)</f>
        <v>USA</v>
      </c>
    </row>
    <row r="85" spans="1:8">
      <c r="A85">
        <v>38</v>
      </c>
      <c r="B85" t="s">
        <v>247</v>
      </c>
      <c r="C85" t="s">
        <v>1381</v>
      </c>
      <c r="D85">
        <v>2019</v>
      </c>
      <c r="E85">
        <v>4.5</v>
      </c>
      <c r="F85" t="s">
        <v>1350</v>
      </c>
      <c r="G85" t="s">
        <v>1273</v>
      </c>
      <c r="H85" s="355" t="str">
        <f>_xlfn.XLOOKUP(B85,'Region Mapping'!B:B,'Region Mapping'!A:A)</f>
        <v>USA</v>
      </c>
    </row>
    <row r="86" spans="1:8">
      <c r="A86">
        <v>39</v>
      </c>
      <c r="B86" t="s">
        <v>247</v>
      </c>
      <c r="C86" t="s">
        <v>1382</v>
      </c>
      <c r="D86">
        <v>2019</v>
      </c>
      <c r="E86">
        <v>5.0999999999999996</v>
      </c>
      <c r="F86" t="s">
        <v>1383</v>
      </c>
      <c r="G86" t="s">
        <v>1241</v>
      </c>
      <c r="H86" s="355" t="str">
        <f>_xlfn.XLOOKUP(B86,'Region Mapping'!B:B,'Region Mapping'!A:A)</f>
        <v>USA</v>
      </c>
    </row>
    <row r="87" spans="1:8">
      <c r="A87">
        <v>40</v>
      </c>
      <c r="B87" t="s">
        <v>1092</v>
      </c>
      <c r="C87" t="s">
        <v>1384</v>
      </c>
      <c r="D87">
        <v>2019</v>
      </c>
      <c r="E87">
        <v>3.6</v>
      </c>
      <c r="F87" t="s">
        <v>1385</v>
      </c>
      <c r="G87" t="s">
        <v>1317</v>
      </c>
      <c r="H87" s="355" t="str">
        <f>_xlfn.XLOOKUP(B87,'Region Mapping'!B:B,'Region Mapping'!A:A)</f>
        <v>ANZ</v>
      </c>
    </row>
    <row r="88" spans="1:8">
      <c r="A88">
        <v>41</v>
      </c>
      <c r="B88" t="s">
        <v>242</v>
      </c>
      <c r="C88" t="s">
        <v>1386</v>
      </c>
      <c r="D88">
        <v>2019</v>
      </c>
      <c r="E88">
        <v>0.66</v>
      </c>
      <c r="F88" t="s">
        <v>1387</v>
      </c>
      <c r="G88" t="s">
        <v>1388</v>
      </c>
      <c r="H88" s="355" t="str">
        <f>_xlfn.XLOOKUP(B88,'Region Mapping'!B:B,'Region Mapping'!A:A)</f>
        <v>RUS</v>
      </c>
    </row>
    <row r="89" spans="1:8">
      <c r="A89">
        <v>42</v>
      </c>
      <c r="B89" t="s">
        <v>247</v>
      </c>
      <c r="C89" t="s">
        <v>1389</v>
      </c>
      <c r="D89">
        <v>2019</v>
      </c>
      <c r="E89">
        <v>0.75</v>
      </c>
      <c r="F89" t="s">
        <v>1390</v>
      </c>
      <c r="G89" t="s">
        <v>1391</v>
      </c>
      <c r="H89" s="355" t="str">
        <f>_xlfn.XLOOKUP(B89,'Region Mapping'!B:B,'Region Mapping'!A:A)</f>
        <v>USA</v>
      </c>
    </row>
    <row r="90" spans="1:8">
      <c r="B90" t="s">
        <v>247</v>
      </c>
      <c r="C90" t="s">
        <v>1392</v>
      </c>
      <c r="D90">
        <v>2020</v>
      </c>
      <c r="E90">
        <v>1.75</v>
      </c>
      <c r="F90" t="s">
        <v>1390</v>
      </c>
      <c r="G90" t="s">
        <v>1391</v>
      </c>
      <c r="H90" s="355" t="str">
        <f>_xlfn.XLOOKUP(B90,'Region Mapping'!B:B,'Region Mapping'!A:A)</f>
        <v>USA</v>
      </c>
    </row>
    <row r="91" spans="1:8">
      <c r="B91" t="s">
        <v>1094</v>
      </c>
      <c r="C91" t="s">
        <v>1393</v>
      </c>
      <c r="D91">
        <v>2020</v>
      </c>
      <c r="E91">
        <v>0.5</v>
      </c>
      <c r="F91" t="s">
        <v>1394</v>
      </c>
      <c r="G91" t="s">
        <v>1395</v>
      </c>
      <c r="H91" s="355" t="str">
        <f>_xlfn.XLOOKUP(B91,'Region Mapping'!B:B,'Region Mapping'!A:A)</f>
        <v>IDN</v>
      </c>
    </row>
    <row r="92" spans="1:8">
      <c r="B92" t="s">
        <v>247</v>
      </c>
      <c r="C92" t="s">
        <v>1396</v>
      </c>
      <c r="D92">
        <v>2020</v>
      </c>
      <c r="E92">
        <v>8</v>
      </c>
      <c r="F92" t="s">
        <v>1397</v>
      </c>
      <c r="G92" t="s">
        <v>1398</v>
      </c>
      <c r="H92" s="355" t="str">
        <f>_xlfn.XLOOKUP(B92,'Region Mapping'!B:B,'Region Mapping'!A:A)</f>
        <v>USA</v>
      </c>
    </row>
    <row r="93" spans="1:8">
      <c r="B93" t="s">
        <v>247</v>
      </c>
      <c r="C93" t="s">
        <v>1399</v>
      </c>
      <c r="D93">
        <v>2020</v>
      </c>
      <c r="E93">
        <v>10.199999999999999</v>
      </c>
      <c r="F93" t="s">
        <v>1383</v>
      </c>
      <c r="G93" t="s">
        <v>1241</v>
      </c>
      <c r="H93" s="355" t="str">
        <f>_xlfn.XLOOKUP(B93,'Region Mapping'!B:B,'Region Mapping'!A:A)</f>
        <v>USA</v>
      </c>
    </row>
    <row r="94" spans="1:8">
      <c r="B94" t="s">
        <v>1095</v>
      </c>
      <c r="C94" t="s">
        <v>1400</v>
      </c>
      <c r="D94">
        <v>2020</v>
      </c>
      <c r="E94">
        <v>1.5</v>
      </c>
      <c r="F94" t="s">
        <v>1358</v>
      </c>
      <c r="G94" t="s">
        <v>1359</v>
      </c>
      <c r="H94" s="355" t="str">
        <f>_xlfn.XLOOKUP(B94,'Region Mapping'!B:B,'Region Mapping'!A:A)</f>
        <v>ASE</v>
      </c>
    </row>
    <row r="95" spans="1:8">
      <c r="B95" t="s">
        <v>242</v>
      </c>
      <c r="C95" t="s">
        <v>1401</v>
      </c>
      <c r="D95">
        <v>2020</v>
      </c>
      <c r="E95">
        <v>1.5</v>
      </c>
      <c r="F95" t="s">
        <v>1402</v>
      </c>
      <c r="G95" t="s">
        <v>1403</v>
      </c>
      <c r="H95" s="355" t="str">
        <f>_xlfn.XLOOKUP(B95,'Region Mapping'!B:B,'Region Mapping'!A:A)</f>
        <v>RUS</v>
      </c>
    </row>
    <row r="96" spans="1:8">
      <c r="B96" t="s">
        <v>242</v>
      </c>
      <c r="C96" t="s">
        <v>1404</v>
      </c>
      <c r="D96">
        <v>2020</v>
      </c>
      <c r="E96">
        <v>0.9</v>
      </c>
      <c r="F96" t="s">
        <v>1363</v>
      </c>
      <c r="G96" t="s">
        <v>1405</v>
      </c>
      <c r="H96" s="355" t="str">
        <f>_xlfn.XLOOKUP(B96,'Region Mapping'!B:B,'Region Mapping'!A:A)</f>
        <v>RUS</v>
      </c>
    </row>
    <row r="97" spans="2:8">
      <c r="B97" t="s">
        <v>247</v>
      </c>
      <c r="C97" t="s">
        <v>1406</v>
      </c>
      <c r="D97">
        <v>2021</v>
      </c>
      <c r="E97">
        <v>4.5</v>
      </c>
      <c r="F97" t="s">
        <v>1350</v>
      </c>
      <c r="G97" t="s">
        <v>1407</v>
      </c>
      <c r="H97" s="355" t="str">
        <f>_xlfn.XLOOKUP(B97,'Region Mapping'!B:B,'Region Mapping'!A:A)</f>
        <v>USA</v>
      </c>
    </row>
    <row r="98" spans="2:8">
      <c r="B98" t="s">
        <v>1094</v>
      </c>
      <c r="C98" t="s">
        <v>1408</v>
      </c>
      <c r="D98">
        <v>2021</v>
      </c>
      <c r="E98">
        <v>3.8</v>
      </c>
      <c r="F98" t="s">
        <v>1409</v>
      </c>
      <c r="G98" t="s">
        <v>1398</v>
      </c>
      <c r="H98" s="355" t="str">
        <f>_xlfn.XLOOKUP(B98,'Region Mapping'!B:B,'Region Mapping'!A:A)</f>
        <v>IDN</v>
      </c>
    </row>
    <row r="99" spans="2:8">
      <c r="B99" t="s">
        <v>1410</v>
      </c>
      <c r="C99" t="s">
        <v>1411</v>
      </c>
      <c r="D99">
        <v>2022</v>
      </c>
      <c r="E99">
        <v>3.4</v>
      </c>
      <c r="F99" t="s">
        <v>1412</v>
      </c>
      <c r="G99" t="s">
        <v>1413</v>
      </c>
      <c r="H99" s="355" t="str">
        <f>_xlfn.XLOOKUP(B99,'Region Mapping'!B:B,'Region Mapping'!A:A)</f>
        <v>AFZ</v>
      </c>
    </row>
    <row r="100" spans="2:8">
      <c r="B100" t="s">
        <v>1203</v>
      </c>
      <c r="C100" t="s">
        <v>1414</v>
      </c>
      <c r="D100">
        <v>2022</v>
      </c>
      <c r="E100">
        <v>2.5</v>
      </c>
      <c r="F100" t="s">
        <v>1415</v>
      </c>
      <c r="G100" t="s">
        <v>1416</v>
      </c>
      <c r="H100" s="355" t="str">
        <f>_xlfn.XLOOKUP(B100,'Region Mapping'!B:B,'Region Mapping'!A:A)</f>
        <v>AFW</v>
      </c>
    </row>
    <row r="101" spans="2:8">
      <c r="B101" t="s">
        <v>247</v>
      </c>
      <c r="C101" t="s">
        <v>1417</v>
      </c>
      <c r="D101">
        <v>2023</v>
      </c>
      <c r="E101">
        <v>10</v>
      </c>
      <c r="F101" t="s">
        <v>1418</v>
      </c>
      <c r="G101" t="s">
        <v>1419</v>
      </c>
      <c r="H101" s="355" t="str">
        <f>_xlfn.XLOOKUP(B101,'Region Mapping'!B:B,'Region Mapping'!A:A)</f>
        <v>USA</v>
      </c>
    </row>
    <row r="102" spans="2:8">
      <c r="B102" t="s">
        <v>247</v>
      </c>
      <c r="C102" t="s">
        <v>1420</v>
      </c>
      <c r="D102">
        <v>2023</v>
      </c>
      <c r="E102">
        <v>4.5</v>
      </c>
      <c r="F102" t="s">
        <v>1350</v>
      </c>
      <c r="G102" t="s">
        <v>1407</v>
      </c>
      <c r="H102" s="355" t="str">
        <f>_xlfn.XLOOKUP(B102,'Region Mapping'!B:B,'Region Mapping'!A:A)</f>
        <v>USA</v>
      </c>
    </row>
    <row r="103" spans="2:8">
      <c r="B103" t="s">
        <v>242</v>
      </c>
      <c r="C103" t="s">
        <v>1421</v>
      </c>
      <c r="D103">
        <v>2024</v>
      </c>
      <c r="E103">
        <v>6.6</v>
      </c>
      <c r="F103" t="s">
        <v>1422</v>
      </c>
      <c r="G103" t="s">
        <v>1309</v>
      </c>
      <c r="H103" s="355" t="str">
        <f>_xlfn.XLOOKUP(B103,'Region Mapping'!B:B,'Region Mapping'!A:A)</f>
        <v>RUS</v>
      </c>
    </row>
    <row r="104" spans="2:8">
      <c r="B104" t="s">
        <v>247</v>
      </c>
      <c r="C104" t="s">
        <v>1423</v>
      </c>
      <c r="D104">
        <v>2024</v>
      </c>
      <c r="E104">
        <v>15.6</v>
      </c>
      <c r="F104" t="s">
        <v>1424</v>
      </c>
      <c r="G104" t="s">
        <v>1398</v>
      </c>
      <c r="H104" s="355" t="str">
        <f>_xlfn.XLOOKUP(B104,'Region Mapping'!B:B,'Region Mapping'!A:A)</f>
        <v>USA</v>
      </c>
    </row>
    <row r="105" spans="2:8">
      <c r="B105" t="s">
        <v>199</v>
      </c>
      <c r="C105" t="s">
        <v>1425</v>
      </c>
      <c r="D105">
        <v>2024</v>
      </c>
      <c r="E105">
        <v>14</v>
      </c>
      <c r="F105" t="s">
        <v>1426</v>
      </c>
      <c r="G105" t="s">
        <v>1317</v>
      </c>
      <c r="H105" s="355" t="str">
        <f>_xlfn.XLOOKUP(B105,'Region Mapping'!B:B,'Region Mapping'!A:A)</f>
        <v>CAN</v>
      </c>
    </row>
    <row r="106" spans="2:8">
      <c r="B106" t="s">
        <v>1410</v>
      </c>
      <c r="C106" t="s">
        <v>1427</v>
      </c>
      <c r="D106">
        <v>2024</v>
      </c>
      <c r="E106">
        <v>12.88</v>
      </c>
      <c r="F106" t="s">
        <v>1428</v>
      </c>
      <c r="G106" t="s">
        <v>1241</v>
      </c>
      <c r="H106" s="355" t="str">
        <f>_xlfn.XLOOKUP(B106,'Region Mapping'!B:B,'Region Mapping'!A:A)</f>
        <v>AFZ</v>
      </c>
    </row>
    <row r="107" spans="2:8">
      <c r="B107" t="s">
        <v>239</v>
      </c>
      <c r="C107" t="s">
        <v>1429</v>
      </c>
      <c r="D107">
        <v>2024</v>
      </c>
      <c r="E107">
        <v>8</v>
      </c>
      <c r="F107" t="s">
        <v>1275</v>
      </c>
      <c r="G107" t="s">
        <v>1241</v>
      </c>
      <c r="H107" s="355" t="str">
        <f>_xlfn.XLOOKUP(B107,'Region Mapping'!B:B,'Region Mapping'!A:A)</f>
        <v>NIG</v>
      </c>
    </row>
    <row r="108" spans="2:8">
      <c r="B108" t="s">
        <v>242</v>
      </c>
      <c r="C108" t="s">
        <v>1430</v>
      </c>
      <c r="D108">
        <v>2025</v>
      </c>
      <c r="E108">
        <v>13.2</v>
      </c>
      <c r="F108" t="s">
        <v>1422</v>
      </c>
      <c r="G108" t="s">
        <v>1309</v>
      </c>
      <c r="H108" s="355" t="str">
        <f>_xlfn.XLOOKUP(B108,'Region Mapping'!B:B,'Region Mapping'!A:A)</f>
        <v>RUS</v>
      </c>
    </row>
  </sheetData>
  <autoFilter ref="A2:H143" xr:uid="{508EB0BF-EABF-478C-8158-BA31337236C5}"/>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99D9-C4AB-40B1-BC22-BA3EAB0604D6}">
  <sheetPr>
    <tabColor theme="5" tint="0.39997558519241921"/>
  </sheetPr>
  <dimension ref="A1:H143"/>
  <sheetViews>
    <sheetView workbookViewId="0">
      <selection activeCell="F26" sqref="F26"/>
    </sheetView>
  </sheetViews>
  <sheetFormatPr defaultRowHeight="15.6"/>
  <cols>
    <col min="1" max="1" width="18.59765625" customWidth="1"/>
    <col min="2" max="2" width="21.3984375" bestFit="1" customWidth="1"/>
    <col min="3" max="3" width="41.8984375" bestFit="1" customWidth="1"/>
    <col min="5" max="5" width="32.69921875" bestFit="1" customWidth="1"/>
    <col min="6" max="6" width="98.09765625" bestFit="1" customWidth="1"/>
    <col min="7" max="7" width="8" bestFit="1" customWidth="1"/>
    <col min="8" max="8" width="12.3984375" style="355" bestFit="1" customWidth="1"/>
  </cols>
  <sheetData>
    <row r="1" spans="1:8">
      <c r="A1" t="s">
        <v>1431</v>
      </c>
    </row>
    <row r="2" spans="1:8">
      <c r="A2" t="s">
        <v>1227</v>
      </c>
      <c r="B2" t="s">
        <v>1228</v>
      </c>
      <c r="C2" t="s">
        <v>1432</v>
      </c>
      <c r="D2" t="s">
        <v>1433</v>
      </c>
      <c r="E2" t="s">
        <v>1434</v>
      </c>
      <c r="F2" t="s">
        <v>1232</v>
      </c>
      <c r="G2" t="s">
        <v>1435</v>
      </c>
      <c r="H2" s="355" t="s">
        <v>1234</v>
      </c>
    </row>
    <row r="3" spans="1:8">
      <c r="A3">
        <v>1</v>
      </c>
      <c r="B3" t="s">
        <v>1163</v>
      </c>
      <c r="C3" t="s">
        <v>1436</v>
      </c>
      <c r="D3">
        <v>1969</v>
      </c>
      <c r="E3">
        <v>12.5</v>
      </c>
      <c r="F3" t="s">
        <v>1437</v>
      </c>
      <c r="G3" t="s">
        <v>1438</v>
      </c>
      <c r="H3" s="355" t="str">
        <f>_xlfn.XLOOKUP(B3,'Region Mapping'!B:B,'Region Mapping'!A:A)</f>
        <v>EUM</v>
      </c>
    </row>
    <row r="4" spans="1:8">
      <c r="A4">
        <v>2</v>
      </c>
      <c r="B4" t="s">
        <v>226</v>
      </c>
      <c r="C4" t="s">
        <v>1439</v>
      </c>
      <c r="D4">
        <v>1969</v>
      </c>
      <c r="E4">
        <v>12</v>
      </c>
      <c r="F4" t="s">
        <v>1440</v>
      </c>
      <c r="G4" t="s">
        <v>1438</v>
      </c>
      <c r="H4" s="355" t="str">
        <f>_xlfn.XLOOKUP(B4,'Region Mapping'!B:B,'Region Mapping'!A:A)</f>
        <v>JPN</v>
      </c>
    </row>
    <row r="5" spans="1:8">
      <c r="A5">
        <v>3</v>
      </c>
      <c r="B5" t="s">
        <v>247</v>
      </c>
      <c r="C5" t="s">
        <v>1441</v>
      </c>
      <c r="D5">
        <v>1971</v>
      </c>
      <c r="E5">
        <v>5.4</v>
      </c>
      <c r="F5" t="s">
        <v>1442</v>
      </c>
      <c r="G5" t="s">
        <v>1438</v>
      </c>
      <c r="H5" s="355" t="str">
        <f>_xlfn.XLOOKUP(B5,'Region Mapping'!B:B,'Region Mapping'!A:A)</f>
        <v>USA</v>
      </c>
    </row>
    <row r="6" spans="1:8">
      <c r="A6">
        <v>4</v>
      </c>
      <c r="B6" t="s">
        <v>1054</v>
      </c>
      <c r="C6" t="s">
        <v>1443</v>
      </c>
      <c r="D6">
        <v>1971</v>
      </c>
      <c r="E6">
        <v>2.5</v>
      </c>
      <c r="F6" t="s">
        <v>1444</v>
      </c>
      <c r="G6" t="s">
        <v>1438</v>
      </c>
      <c r="H6" s="355" t="str">
        <f>_xlfn.XLOOKUP(B6,'Region Mapping'!B:B,'Region Mapping'!A:A)</f>
        <v>EUM</v>
      </c>
    </row>
    <row r="7" spans="1:8">
      <c r="A7">
        <v>5</v>
      </c>
      <c r="B7" t="s">
        <v>1445</v>
      </c>
      <c r="C7" t="s">
        <v>1446</v>
      </c>
      <c r="D7">
        <v>1972</v>
      </c>
      <c r="E7">
        <v>2.2000000000000002</v>
      </c>
      <c r="F7" t="s">
        <v>1447</v>
      </c>
      <c r="G7" t="s">
        <v>1438</v>
      </c>
      <c r="H7" s="355" t="str">
        <f>_xlfn.XLOOKUP(B7,'Region Mapping'!B:B,'Region Mapping'!A:A)</f>
        <v>EUM</v>
      </c>
    </row>
    <row r="8" spans="1:8">
      <c r="A8">
        <v>6</v>
      </c>
      <c r="B8" t="s">
        <v>226</v>
      </c>
      <c r="C8" t="s">
        <v>1448</v>
      </c>
      <c r="D8">
        <v>1972</v>
      </c>
      <c r="E8">
        <v>15.3</v>
      </c>
      <c r="F8" t="s">
        <v>1449</v>
      </c>
      <c r="G8" t="s">
        <v>1438</v>
      </c>
      <c r="H8" s="355" t="str">
        <f>_xlfn.XLOOKUP(B8,'Region Mapping'!B:B,'Region Mapping'!A:A)</f>
        <v>JPN</v>
      </c>
    </row>
    <row r="9" spans="1:8">
      <c r="A9">
        <v>7</v>
      </c>
      <c r="B9" t="s">
        <v>226</v>
      </c>
      <c r="C9" t="s">
        <v>1450</v>
      </c>
      <c r="D9">
        <v>1973</v>
      </c>
      <c r="E9">
        <v>29.4</v>
      </c>
      <c r="F9" t="s">
        <v>1440</v>
      </c>
      <c r="G9" t="s">
        <v>1438</v>
      </c>
      <c r="H9" s="355" t="str">
        <f>_xlfn.XLOOKUP(B9,'Region Mapping'!B:B,'Region Mapping'!A:A)</f>
        <v>JPN</v>
      </c>
    </row>
    <row r="10" spans="1:8">
      <c r="A10">
        <v>8</v>
      </c>
      <c r="B10" t="s">
        <v>226</v>
      </c>
      <c r="C10" t="s">
        <v>1451</v>
      </c>
      <c r="D10">
        <v>1977</v>
      </c>
      <c r="E10">
        <v>7.5</v>
      </c>
      <c r="F10" t="s">
        <v>1452</v>
      </c>
      <c r="G10" t="s">
        <v>1438</v>
      </c>
      <c r="H10" s="355" t="str">
        <f>_xlfn.XLOOKUP(B10,'Region Mapping'!B:B,'Region Mapping'!A:A)</f>
        <v>JPN</v>
      </c>
    </row>
    <row r="11" spans="1:8">
      <c r="A11">
        <v>9</v>
      </c>
      <c r="B11" t="s">
        <v>226</v>
      </c>
      <c r="C11" t="s">
        <v>1453</v>
      </c>
      <c r="D11">
        <v>1977</v>
      </c>
      <c r="E11">
        <v>6.8</v>
      </c>
      <c r="F11" t="s">
        <v>1454</v>
      </c>
      <c r="G11" t="s">
        <v>1438</v>
      </c>
      <c r="H11" s="355" t="str">
        <f>_xlfn.XLOOKUP(B11,'Region Mapping'!B:B,'Region Mapping'!A:A)</f>
        <v>JPN</v>
      </c>
    </row>
    <row r="12" spans="1:8">
      <c r="A12">
        <v>10</v>
      </c>
      <c r="B12" t="s">
        <v>247</v>
      </c>
      <c r="C12" t="s">
        <v>1455</v>
      </c>
      <c r="D12">
        <v>1978</v>
      </c>
      <c r="E12">
        <v>12</v>
      </c>
      <c r="F12" t="s">
        <v>1456</v>
      </c>
      <c r="G12" t="s">
        <v>1438</v>
      </c>
      <c r="H12" s="355" t="str">
        <f>_xlfn.XLOOKUP(B12,'Region Mapping'!B:B,'Region Mapping'!A:A)</f>
        <v>USA</v>
      </c>
    </row>
    <row r="13" spans="1:8">
      <c r="A13">
        <v>11</v>
      </c>
      <c r="B13" t="s">
        <v>226</v>
      </c>
      <c r="C13" t="s">
        <v>1457</v>
      </c>
      <c r="D13">
        <v>1979</v>
      </c>
      <c r="E13">
        <v>14</v>
      </c>
      <c r="F13" t="s">
        <v>1449</v>
      </c>
      <c r="G13" t="s">
        <v>1438</v>
      </c>
      <c r="H13" s="355" t="str">
        <f>_xlfn.XLOOKUP(B13,'Region Mapping'!B:B,'Region Mapping'!A:A)</f>
        <v>JPN</v>
      </c>
    </row>
    <row r="14" spans="1:8">
      <c r="A14">
        <v>12</v>
      </c>
      <c r="B14" t="s">
        <v>1445</v>
      </c>
      <c r="C14" t="s">
        <v>1458</v>
      </c>
      <c r="D14">
        <v>1980</v>
      </c>
      <c r="E14">
        <v>7.3</v>
      </c>
      <c r="F14" t="s">
        <v>1459</v>
      </c>
      <c r="G14" t="s">
        <v>1438</v>
      </c>
      <c r="H14" s="355" t="str">
        <f>_xlfn.XLOOKUP(B14,'Region Mapping'!B:B,'Region Mapping'!A:A)</f>
        <v>EUM</v>
      </c>
    </row>
    <row r="15" spans="1:8">
      <c r="A15">
        <v>13</v>
      </c>
      <c r="B15" t="s">
        <v>226</v>
      </c>
      <c r="C15" t="s">
        <v>1460</v>
      </c>
      <c r="D15">
        <v>1983</v>
      </c>
      <c r="E15">
        <v>10.9</v>
      </c>
      <c r="F15" t="s">
        <v>1452</v>
      </c>
      <c r="G15" t="s">
        <v>1438</v>
      </c>
      <c r="H15" s="355" t="str">
        <f>_xlfn.XLOOKUP(B15,'Region Mapping'!B:B,'Region Mapping'!A:A)</f>
        <v>JPN</v>
      </c>
    </row>
    <row r="16" spans="1:8">
      <c r="A16">
        <v>14</v>
      </c>
      <c r="B16" t="s">
        <v>226</v>
      </c>
      <c r="C16" t="s">
        <v>1461</v>
      </c>
      <c r="D16">
        <v>1984</v>
      </c>
      <c r="E16">
        <v>14.7</v>
      </c>
      <c r="F16" t="s">
        <v>1462</v>
      </c>
      <c r="G16" t="s">
        <v>1438</v>
      </c>
      <c r="H16" s="355" t="str">
        <f>_xlfn.XLOOKUP(B16,'Region Mapping'!B:B,'Region Mapping'!A:A)</f>
        <v>JPN</v>
      </c>
    </row>
    <row r="17" spans="1:8">
      <c r="A17">
        <v>15</v>
      </c>
      <c r="B17" t="s">
        <v>226</v>
      </c>
      <c r="C17" t="s">
        <v>1463</v>
      </c>
      <c r="D17">
        <v>1984</v>
      </c>
      <c r="E17">
        <v>8.9</v>
      </c>
      <c r="F17" t="s">
        <v>1464</v>
      </c>
      <c r="G17" t="s">
        <v>1438</v>
      </c>
      <c r="H17" s="355" t="str">
        <f>_xlfn.XLOOKUP(B17,'Region Mapping'!B:B,'Region Mapping'!A:A)</f>
        <v>JPN</v>
      </c>
    </row>
    <row r="18" spans="1:8">
      <c r="A18">
        <v>16</v>
      </c>
      <c r="B18" t="s">
        <v>226</v>
      </c>
      <c r="C18" t="s">
        <v>1465</v>
      </c>
      <c r="D18">
        <v>1985</v>
      </c>
      <c r="E18">
        <v>16</v>
      </c>
      <c r="F18" t="s">
        <v>1462</v>
      </c>
      <c r="G18" t="s">
        <v>1438</v>
      </c>
      <c r="H18" s="355" t="str">
        <f>_xlfn.XLOOKUP(B18,'Region Mapping'!B:B,'Region Mapping'!A:A)</f>
        <v>JPN</v>
      </c>
    </row>
    <row r="19" spans="1:8">
      <c r="A19">
        <v>17</v>
      </c>
      <c r="B19" t="s">
        <v>1466</v>
      </c>
      <c r="C19" t="s">
        <v>1467</v>
      </c>
      <c r="D19">
        <v>1986</v>
      </c>
      <c r="E19">
        <v>40.6</v>
      </c>
      <c r="F19" t="s">
        <v>1468</v>
      </c>
      <c r="G19" t="s">
        <v>1438</v>
      </c>
      <c r="H19" s="355" t="str">
        <f>_xlfn.XLOOKUP(B19,'Region Mapping'!B:B,'Region Mapping'!A:A)</f>
        <v>SKT</v>
      </c>
    </row>
    <row r="20" spans="1:8">
      <c r="A20">
        <v>18</v>
      </c>
      <c r="B20" t="s">
        <v>1469</v>
      </c>
      <c r="C20" t="s">
        <v>1470</v>
      </c>
      <c r="D20">
        <v>1987</v>
      </c>
      <c r="E20">
        <v>6.6</v>
      </c>
      <c r="F20" t="s">
        <v>1471</v>
      </c>
      <c r="G20" t="s">
        <v>1438</v>
      </c>
      <c r="H20" s="355" t="str">
        <f>_xlfn.XLOOKUP(B20,'Region Mapping'!B:B,'Region Mapping'!A:A)</f>
        <v>EUW</v>
      </c>
    </row>
    <row r="21" spans="1:8">
      <c r="A21">
        <v>19</v>
      </c>
      <c r="B21" t="s">
        <v>226</v>
      </c>
      <c r="C21" t="s">
        <v>1472</v>
      </c>
      <c r="D21">
        <v>1987</v>
      </c>
      <c r="E21">
        <v>7.1</v>
      </c>
      <c r="F21" t="s">
        <v>1462</v>
      </c>
      <c r="G21" t="s">
        <v>1438</v>
      </c>
      <c r="H21" s="355" t="str">
        <f>_xlfn.XLOOKUP(B21,'Region Mapping'!B:B,'Region Mapping'!A:A)</f>
        <v>JPN</v>
      </c>
    </row>
    <row r="22" spans="1:8">
      <c r="A22">
        <v>20</v>
      </c>
      <c r="B22" t="s">
        <v>1163</v>
      </c>
      <c r="C22" t="s">
        <v>1473</v>
      </c>
      <c r="D22">
        <v>1988</v>
      </c>
      <c r="E22">
        <v>8.6</v>
      </c>
      <c r="F22" t="s">
        <v>1437</v>
      </c>
      <c r="G22" t="s">
        <v>1438</v>
      </c>
      <c r="H22" s="355" t="str">
        <f>_xlfn.XLOOKUP(B22,'Region Mapping'!B:B,'Region Mapping'!A:A)</f>
        <v>EUM</v>
      </c>
    </row>
    <row r="23" spans="1:8">
      <c r="A23">
        <v>21</v>
      </c>
      <c r="B23" t="s">
        <v>1163</v>
      </c>
      <c r="C23" t="s">
        <v>1474</v>
      </c>
      <c r="D23">
        <v>1989</v>
      </c>
      <c r="E23">
        <v>8.6</v>
      </c>
      <c r="F23" t="s">
        <v>1437</v>
      </c>
      <c r="G23" t="s">
        <v>1438</v>
      </c>
      <c r="H23" s="355" t="str">
        <f>_xlfn.XLOOKUP(B23,'Region Mapping'!B:B,'Region Mapping'!A:A)</f>
        <v>EUM</v>
      </c>
    </row>
    <row r="24" spans="1:8">
      <c r="A24">
        <v>22</v>
      </c>
      <c r="B24" t="s">
        <v>226</v>
      </c>
      <c r="C24" t="s">
        <v>1475</v>
      </c>
      <c r="D24">
        <v>1990</v>
      </c>
      <c r="E24">
        <v>5.0999999999999996</v>
      </c>
      <c r="F24" t="s">
        <v>1476</v>
      </c>
      <c r="G24" t="s">
        <v>1438</v>
      </c>
      <c r="H24" s="355" t="str">
        <f>_xlfn.XLOOKUP(B24,'Region Mapping'!B:B,'Region Mapping'!A:A)</f>
        <v>JPN</v>
      </c>
    </row>
    <row r="25" spans="1:8">
      <c r="A25">
        <v>23</v>
      </c>
      <c r="B25" t="s">
        <v>1477</v>
      </c>
      <c r="C25" t="s">
        <v>1478</v>
      </c>
      <c r="D25">
        <v>1990</v>
      </c>
      <c r="E25">
        <v>9.5</v>
      </c>
      <c r="F25" t="s">
        <v>1479</v>
      </c>
      <c r="G25" t="s">
        <v>1438</v>
      </c>
      <c r="H25" s="355" t="str">
        <f>_xlfn.XLOOKUP(B25,'Region Mapping'!B:B,'Region Mapping'!A:A)</f>
        <v>SKT</v>
      </c>
    </row>
    <row r="26" spans="1:8">
      <c r="A26">
        <v>24</v>
      </c>
      <c r="B26" t="s">
        <v>226</v>
      </c>
      <c r="C26" t="s">
        <v>1480</v>
      </c>
      <c r="D26">
        <v>1990</v>
      </c>
      <c r="E26">
        <v>2.4</v>
      </c>
      <c r="F26" t="s">
        <v>1481</v>
      </c>
      <c r="G26" t="s">
        <v>1438</v>
      </c>
      <c r="H26" s="355" t="str">
        <f>_xlfn.XLOOKUP(B26,'Region Mapping'!B:B,'Region Mapping'!A:A)</f>
        <v>JPN</v>
      </c>
    </row>
    <row r="27" spans="1:8">
      <c r="A27">
        <v>25</v>
      </c>
      <c r="B27" t="s">
        <v>226</v>
      </c>
      <c r="C27" t="s">
        <v>1482</v>
      </c>
      <c r="D27">
        <v>1991</v>
      </c>
      <c r="E27">
        <v>2.1</v>
      </c>
      <c r="F27" t="s">
        <v>1483</v>
      </c>
      <c r="G27" t="s">
        <v>1438</v>
      </c>
      <c r="H27" s="355" t="str">
        <f>_xlfn.XLOOKUP(B27,'Region Mapping'!B:B,'Region Mapping'!A:A)</f>
        <v>JPN</v>
      </c>
    </row>
    <row r="28" spans="1:8">
      <c r="A28">
        <v>26</v>
      </c>
      <c r="B28" t="s">
        <v>1164</v>
      </c>
      <c r="C28" t="s">
        <v>1484</v>
      </c>
      <c r="D28">
        <v>1994</v>
      </c>
      <c r="E28">
        <v>5.9</v>
      </c>
      <c r="F28" t="s">
        <v>1485</v>
      </c>
      <c r="G28" t="s">
        <v>1438</v>
      </c>
      <c r="H28" s="355" t="str">
        <f>_xlfn.XLOOKUP(B28,'Region Mapping'!B:B,'Region Mapping'!A:A)</f>
        <v>MDA</v>
      </c>
    </row>
    <row r="29" spans="1:8">
      <c r="A29">
        <v>27</v>
      </c>
      <c r="B29" t="s">
        <v>1466</v>
      </c>
      <c r="C29" t="s">
        <v>1486</v>
      </c>
      <c r="D29">
        <v>1996</v>
      </c>
      <c r="E29">
        <v>41.7</v>
      </c>
      <c r="F29" t="s">
        <v>1468</v>
      </c>
      <c r="G29" t="s">
        <v>1438</v>
      </c>
      <c r="H29" s="355" t="str">
        <f>_xlfn.XLOOKUP(B29,'Region Mapping'!B:B,'Region Mapping'!A:A)</f>
        <v>SKT</v>
      </c>
    </row>
    <row r="30" spans="1:8">
      <c r="A30">
        <v>28</v>
      </c>
      <c r="B30" t="s">
        <v>226</v>
      </c>
      <c r="C30" t="s">
        <v>1487</v>
      </c>
      <c r="D30">
        <v>1996</v>
      </c>
      <c r="E30">
        <v>0.9</v>
      </c>
      <c r="F30" t="s">
        <v>1488</v>
      </c>
      <c r="G30" t="s">
        <v>1438</v>
      </c>
      <c r="H30" s="355" t="str">
        <f>_xlfn.XLOOKUP(B30,'Region Mapping'!B:B,'Region Mapping'!A:A)</f>
        <v>JPN</v>
      </c>
    </row>
    <row r="31" spans="1:8">
      <c r="A31">
        <v>29</v>
      </c>
      <c r="B31" t="s">
        <v>226</v>
      </c>
      <c r="C31" t="s">
        <v>1489</v>
      </c>
      <c r="D31">
        <v>1996</v>
      </c>
      <c r="E31">
        <v>1.6</v>
      </c>
      <c r="F31" t="s">
        <v>1490</v>
      </c>
      <c r="G31" t="s">
        <v>1438</v>
      </c>
      <c r="H31" s="355" t="str">
        <f>_xlfn.XLOOKUP(B31,'Region Mapping'!B:B,'Region Mapping'!A:A)</f>
        <v>JPN</v>
      </c>
    </row>
    <row r="32" spans="1:8">
      <c r="A32">
        <v>30</v>
      </c>
      <c r="B32" t="s">
        <v>226</v>
      </c>
      <c r="C32" t="s">
        <v>1491</v>
      </c>
      <c r="D32">
        <v>1997</v>
      </c>
      <c r="E32">
        <v>7.7</v>
      </c>
      <c r="F32" t="s">
        <v>1462</v>
      </c>
      <c r="G32" t="s">
        <v>1438</v>
      </c>
      <c r="H32" s="355" t="str">
        <f>_xlfn.XLOOKUP(B32,'Region Mapping'!B:B,'Region Mapping'!A:A)</f>
        <v>JPN</v>
      </c>
    </row>
    <row r="33" spans="1:8">
      <c r="A33">
        <v>31</v>
      </c>
      <c r="B33" t="s">
        <v>226</v>
      </c>
      <c r="C33" t="s">
        <v>1492</v>
      </c>
      <c r="D33">
        <v>1997</v>
      </c>
      <c r="E33">
        <v>0.3</v>
      </c>
      <c r="F33" t="s">
        <v>1493</v>
      </c>
      <c r="G33" t="s">
        <v>1438</v>
      </c>
      <c r="H33" s="355" t="str">
        <f>_xlfn.XLOOKUP(B33,'Region Mapping'!B:B,'Region Mapping'!A:A)</f>
        <v>JPN</v>
      </c>
    </row>
    <row r="34" spans="1:8">
      <c r="A34">
        <v>32</v>
      </c>
      <c r="B34" t="s">
        <v>226</v>
      </c>
      <c r="C34" t="s">
        <v>1494</v>
      </c>
      <c r="D34">
        <v>1998</v>
      </c>
      <c r="E34">
        <v>9.9</v>
      </c>
      <c r="F34" t="s">
        <v>1495</v>
      </c>
      <c r="G34" t="s">
        <v>1438</v>
      </c>
      <c r="H34" s="355" t="str">
        <f>_xlfn.XLOOKUP(B34,'Region Mapping'!B:B,'Region Mapping'!A:A)</f>
        <v>JPN</v>
      </c>
    </row>
    <row r="35" spans="1:8">
      <c r="A35">
        <v>33</v>
      </c>
      <c r="B35" t="s">
        <v>1160</v>
      </c>
      <c r="C35" t="s">
        <v>1496</v>
      </c>
      <c r="D35">
        <v>2000</v>
      </c>
      <c r="E35">
        <v>4.5999999999999996</v>
      </c>
      <c r="F35" t="s">
        <v>1497</v>
      </c>
      <c r="G35" t="s">
        <v>1438</v>
      </c>
      <c r="H35" s="355" t="str">
        <f>_xlfn.XLOOKUP(B35,'Region Mapping'!B:B,'Region Mapping'!A:A)</f>
        <v>EUM</v>
      </c>
    </row>
    <row r="36" spans="1:8">
      <c r="A36">
        <v>34</v>
      </c>
      <c r="B36" t="s">
        <v>247</v>
      </c>
      <c r="C36" t="s">
        <v>1498</v>
      </c>
      <c r="D36">
        <v>2000</v>
      </c>
      <c r="E36">
        <v>1.2</v>
      </c>
      <c r="F36" t="s">
        <v>1499</v>
      </c>
      <c r="G36" t="s">
        <v>1438</v>
      </c>
      <c r="H36" s="355" t="str">
        <f>_xlfn.XLOOKUP(B36,'Region Mapping'!B:B,'Region Mapping'!A:A)</f>
        <v>USA</v>
      </c>
    </row>
    <row r="37" spans="1:8">
      <c r="A37">
        <v>35</v>
      </c>
      <c r="B37" t="s">
        <v>226</v>
      </c>
      <c r="C37" t="s">
        <v>1500</v>
      </c>
      <c r="D37">
        <v>2001</v>
      </c>
      <c r="E37">
        <v>8.3000000000000007</v>
      </c>
      <c r="F37" t="s">
        <v>1483</v>
      </c>
      <c r="G37" t="s">
        <v>1438</v>
      </c>
      <c r="H37" s="355" t="str">
        <f>_xlfn.XLOOKUP(B37,'Region Mapping'!B:B,'Region Mapping'!A:A)</f>
        <v>JPN</v>
      </c>
    </row>
    <row r="38" spans="1:8">
      <c r="A38">
        <v>36</v>
      </c>
      <c r="B38" t="s">
        <v>1466</v>
      </c>
      <c r="C38" t="s">
        <v>1501</v>
      </c>
      <c r="D38">
        <v>2002</v>
      </c>
      <c r="E38">
        <v>26.6</v>
      </c>
      <c r="F38" t="s">
        <v>1468</v>
      </c>
      <c r="G38" t="s">
        <v>1438</v>
      </c>
      <c r="H38" s="355" t="str">
        <f>_xlfn.XLOOKUP(B38,'Region Mapping'!B:B,'Region Mapping'!A:A)</f>
        <v>SKT</v>
      </c>
    </row>
    <row r="39" spans="1:8">
      <c r="A39">
        <v>37</v>
      </c>
      <c r="B39" t="s">
        <v>247</v>
      </c>
      <c r="C39" t="s">
        <v>1502</v>
      </c>
      <c r="D39">
        <v>2003</v>
      </c>
      <c r="E39">
        <v>11</v>
      </c>
      <c r="F39" t="s">
        <v>1503</v>
      </c>
      <c r="G39" t="s">
        <v>1438</v>
      </c>
      <c r="H39" s="355" t="str">
        <f>_xlfn.XLOOKUP(B39,'Region Mapping'!B:B,'Region Mapping'!A:A)</f>
        <v>USA</v>
      </c>
    </row>
    <row r="40" spans="1:8">
      <c r="A40">
        <v>38</v>
      </c>
      <c r="B40" t="s">
        <v>1504</v>
      </c>
      <c r="C40" t="s">
        <v>1505</v>
      </c>
      <c r="D40">
        <v>2003</v>
      </c>
      <c r="E40">
        <v>1.9</v>
      </c>
      <c r="F40" t="s">
        <v>1506</v>
      </c>
      <c r="G40" t="s">
        <v>1438</v>
      </c>
      <c r="H40" s="355" t="str">
        <f>_xlfn.XLOOKUP(B40,'Region Mapping'!B:B,'Region Mapping'!A:A)</f>
        <v>LAM</v>
      </c>
    </row>
    <row r="41" spans="1:8">
      <c r="A41">
        <v>39</v>
      </c>
      <c r="B41" t="s">
        <v>1163</v>
      </c>
      <c r="C41" t="s">
        <v>1507</v>
      </c>
      <c r="D41">
        <v>2003</v>
      </c>
      <c r="E41">
        <v>5.0999999999999996</v>
      </c>
      <c r="F41" t="s">
        <v>1508</v>
      </c>
      <c r="G41" t="s">
        <v>1438</v>
      </c>
      <c r="H41" s="355" t="str">
        <f>_xlfn.XLOOKUP(B41,'Region Mapping'!B:B,'Region Mapping'!A:A)</f>
        <v>EUM</v>
      </c>
    </row>
    <row r="42" spans="1:8">
      <c r="A42">
        <v>40</v>
      </c>
      <c r="B42" t="s">
        <v>1207</v>
      </c>
      <c r="C42" t="s">
        <v>1509</v>
      </c>
      <c r="D42">
        <v>2004</v>
      </c>
      <c r="E42">
        <v>5.8</v>
      </c>
      <c r="F42" t="s">
        <v>1510</v>
      </c>
      <c r="G42" t="s">
        <v>1438</v>
      </c>
      <c r="H42" s="355" t="str">
        <f>_xlfn.XLOOKUP(B42,'Region Mapping'!B:B,'Region Mapping'!A:A)</f>
        <v>EUM</v>
      </c>
    </row>
    <row r="43" spans="1:8">
      <c r="A43">
        <v>41</v>
      </c>
      <c r="B43" t="s">
        <v>224</v>
      </c>
      <c r="C43" t="s">
        <v>1511</v>
      </c>
      <c r="D43">
        <v>2004</v>
      </c>
      <c r="E43">
        <v>17.5</v>
      </c>
      <c r="F43" t="s">
        <v>1512</v>
      </c>
      <c r="G43" t="s">
        <v>1438</v>
      </c>
      <c r="H43" s="355" t="str">
        <f>_xlfn.XLOOKUP(B43,'Region Mapping'!B:B,'Region Mapping'!A:A)</f>
        <v>IND</v>
      </c>
    </row>
    <row r="44" spans="1:8">
      <c r="A44">
        <v>42</v>
      </c>
      <c r="B44" t="s">
        <v>1466</v>
      </c>
      <c r="C44" t="s">
        <v>1513</v>
      </c>
      <c r="D44">
        <v>2005</v>
      </c>
      <c r="E44">
        <v>2.2999999999999998</v>
      </c>
      <c r="F44" t="s">
        <v>1514</v>
      </c>
      <c r="G44" t="s">
        <v>1438</v>
      </c>
      <c r="H44" s="355" t="str">
        <f>_xlfn.XLOOKUP(B44,'Region Mapping'!B:B,'Region Mapping'!A:A)</f>
        <v>SKT</v>
      </c>
    </row>
    <row r="45" spans="1:8">
      <c r="A45">
        <v>43</v>
      </c>
      <c r="B45" t="s">
        <v>224</v>
      </c>
      <c r="C45" t="s">
        <v>1515</v>
      </c>
      <c r="D45">
        <v>2005</v>
      </c>
      <c r="E45">
        <v>5</v>
      </c>
      <c r="F45" t="s">
        <v>1516</v>
      </c>
      <c r="G45" t="s">
        <v>1438</v>
      </c>
      <c r="H45" s="355" t="str">
        <f>_xlfn.XLOOKUP(B45,'Region Mapping'!B:B,'Region Mapping'!A:A)</f>
        <v>IND</v>
      </c>
    </row>
    <row r="46" spans="1:8">
      <c r="A46">
        <v>44</v>
      </c>
      <c r="B46" t="s">
        <v>1517</v>
      </c>
      <c r="C46" t="s">
        <v>1518</v>
      </c>
      <c r="D46">
        <v>2005</v>
      </c>
      <c r="E46">
        <v>15</v>
      </c>
      <c r="F46" t="s">
        <v>1519</v>
      </c>
      <c r="G46" t="s">
        <v>1438</v>
      </c>
      <c r="H46" s="355" t="str">
        <f>_xlfn.XLOOKUP(B46,'Region Mapping'!B:B,'Region Mapping'!A:A)</f>
        <v>ENW</v>
      </c>
    </row>
    <row r="47" spans="1:8">
      <c r="A47">
        <v>45</v>
      </c>
      <c r="B47" t="s">
        <v>226</v>
      </c>
      <c r="C47" t="s">
        <v>1520</v>
      </c>
      <c r="D47">
        <v>2006</v>
      </c>
      <c r="E47">
        <v>6.4</v>
      </c>
      <c r="F47" t="s">
        <v>1521</v>
      </c>
      <c r="G47" t="s">
        <v>1438</v>
      </c>
      <c r="H47" s="355" t="str">
        <f>_xlfn.XLOOKUP(B47,'Region Mapping'!B:B,'Region Mapping'!A:A)</f>
        <v>JPN</v>
      </c>
    </row>
    <row r="48" spans="1:8">
      <c r="A48">
        <v>46</v>
      </c>
      <c r="B48" t="s">
        <v>226</v>
      </c>
      <c r="C48" t="s">
        <v>1522</v>
      </c>
      <c r="D48">
        <v>2006</v>
      </c>
      <c r="E48">
        <v>4.3</v>
      </c>
      <c r="F48" t="s">
        <v>1523</v>
      </c>
      <c r="G48" t="s">
        <v>1438</v>
      </c>
      <c r="H48" s="355" t="str">
        <f>_xlfn.XLOOKUP(B48,'Region Mapping'!B:B,'Region Mapping'!A:A)</f>
        <v>JPN</v>
      </c>
    </row>
    <row r="49" spans="1:8">
      <c r="A49">
        <v>47</v>
      </c>
      <c r="B49" t="s">
        <v>1163</v>
      </c>
      <c r="C49" t="s">
        <v>1524</v>
      </c>
      <c r="D49">
        <v>2006</v>
      </c>
      <c r="E49">
        <v>6.4</v>
      </c>
      <c r="F49" t="s">
        <v>1525</v>
      </c>
      <c r="G49" t="s">
        <v>1438</v>
      </c>
      <c r="H49" s="355" t="str">
        <f>_xlfn.XLOOKUP(B49,'Region Mapping'!B:B,'Region Mapping'!A:A)</f>
        <v>EUM</v>
      </c>
    </row>
    <row r="50" spans="1:8">
      <c r="A50">
        <v>48</v>
      </c>
      <c r="B50" t="s">
        <v>1164</v>
      </c>
      <c r="C50" t="s">
        <v>1526</v>
      </c>
      <c r="D50">
        <v>2006</v>
      </c>
      <c r="E50">
        <v>4.4000000000000004</v>
      </c>
      <c r="F50" t="s">
        <v>1527</v>
      </c>
      <c r="G50" t="s">
        <v>1438</v>
      </c>
      <c r="H50" s="355" t="str">
        <f>_xlfn.XLOOKUP(B50,'Region Mapping'!B:B,'Region Mapping'!A:A)</f>
        <v>MDA</v>
      </c>
    </row>
    <row r="51" spans="1:8">
      <c r="A51">
        <v>49</v>
      </c>
      <c r="B51" t="s">
        <v>237</v>
      </c>
      <c r="C51" t="s">
        <v>1528</v>
      </c>
      <c r="D51">
        <v>2006</v>
      </c>
      <c r="E51">
        <v>5.4</v>
      </c>
      <c r="F51" t="s">
        <v>1529</v>
      </c>
      <c r="G51" t="s">
        <v>1438</v>
      </c>
      <c r="H51" s="355" t="str">
        <f>_xlfn.XLOOKUP(B51,'Region Mapping'!B:B,'Region Mapping'!A:A)</f>
        <v>MEX</v>
      </c>
    </row>
    <row r="52" spans="1:8">
      <c r="A52">
        <v>50</v>
      </c>
      <c r="B52" t="s">
        <v>203</v>
      </c>
      <c r="C52" t="s">
        <v>1530</v>
      </c>
      <c r="D52">
        <v>2006</v>
      </c>
      <c r="E52">
        <v>6.8</v>
      </c>
      <c r="F52" t="s">
        <v>1531</v>
      </c>
      <c r="G52" t="s">
        <v>1438</v>
      </c>
      <c r="H52" s="355" t="str">
        <f>_xlfn.XLOOKUP(B52,'Region Mapping'!B:B,'Region Mapping'!A:A)</f>
        <v>CHN</v>
      </c>
    </row>
    <row r="53" spans="1:8">
      <c r="A53">
        <v>51</v>
      </c>
      <c r="B53" t="s">
        <v>1163</v>
      </c>
      <c r="C53" t="s">
        <v>1532</v>
      </c>
      <c r="D53">
        <v>2007</v>
      </c>
      <c r="E53">
        <v>2.6</v>
      </c>
      <c r="F53" t="s">
        <v>1533</v>
      </c>
      <c r="G53" t="s">
        <v>1438</v>
      </c>
      <c r="H53" s="355" t="str">
        <f>_xlfn.XLOOKUP(B53,'Region Mapping'!B:B,'Region Mapping'!A:A)</f>
        <v>EUM</v>
      </c>
    </row>
    <row r="54" spans="1:8">
      <c r="A54">
        <v>52</v>
      </c>
      <c r="B54" t="s">
        <v>237</v>
      </c>
      <c r="C54" t="s">
        <v>1534</v>
      </c>
      <c r="D54">
        <v>2008</v>
      </c>
      <c r="E54">
        <v>7.6</v>
      </c>
      <c r="F54" t="s">
        <v>1535</v>
      </c>
      <c r="G54" t="s">
        <v>1438</v>
      </c>
      <c r="H54" s="355" t="str">
        <f>_xlfn.XLOOKUP(B54,'Region Mapping'!B:B,'Region Mapping'!A:A)</f>
        <v>MEX</v>
      </c>
    </row>
    <row r="55" spans="1:8">
      <c r="A55">
        <v>53</v>
      </c>
      <c r="B55" t="s">
        <v>247</v>
      </c>
      <c r="C55" t="s">
        <v>1536</v>
      </c>
      <c r="D55">
        <v>2008</v>
      </c>
      <c r="E55">
        <v>11.3</v>
      </c>
      <c r="F55" t="s">
        <v>1537</v>
      </c>
      <c r="G55" t="s">
        <v>1438</v>
      </c>
      <c r="H55" s="355" t="str">
        <f>_xlfn.XLOOKUP(B55,'Region Mapping'!B:B,'Region Mapping'!A:A)</f>
        <v>USA</v>
      </c>
    </row>
    <row r="56" spans="1:8">
      <c r="A56">
        <v>54</v>
      </c>
      <c r="B56" t="s">
        <v>203</v>
      </c>
      <c r="C56" t="s">
        <v>1538</v>
      </c>
      <c r="D56">
        <v>2008</v>
      </c>
      <c r="E56">
        <v>1</v>
      </c>
      <c r="F56" t="s">
        <v>1539</v>
      </c>
      <c r="G56" t="s">
        <v>1438</v>
      </c>
      <c r="H56" s="355" t="str">
        <f>_xlfn.XLOOKUP(B56,'Region Mapping'!B:B,'Region Mapping'!A:A)</f>
        <v>CHN</v>
      </c>
    </row>
    <row r="57" spans="1:8">
      <c r="A57">
        <v>55</v>
      </c>
      <c r="B57" t="s">
        <v>247</v>
      </c>
      <c r="C57" t="s">
        <v>1540</v>
      </c>
      <c r="D57">
        <v>2008</v>
      </c>
      <c r="E57">
        <v>4.5</v>
      </c>
      <c r="F57" t="s">
        <v>1541</v>
      </c>
      <c r="G57" t="s">
        <v>1542</v>
      </c>
      <c r="H57" s="355" t="str">
        <f>_xlfn.XLOOKUP(B57,'Region Mapping'!B:B,'Region Mapping'!A:A)</f>
        <v>USA</v>
      </c>
    </row>
    <row r="58" spans="1:8">
      <c r="A58">
        <v>56</v>
      </c>
      <c r="B58" t="s">
        <v>199</v>
      </c>
      <c r="C58" t="s">
        <v>1543</v>
      </c>
      <c r="D58">
        <v>2009</v>
      </c>
      <c r="E58">
        <v>7.5</v>
      </c>
      <c r="F58" t="s">
        <v>1544</v>
      </c>
      <c r="G58" t="s">
        <v>1438</v>
      </c>
      <c r="H58" s="355" t="str">
        <f>_xlfn.XLOOKUP(B58,'Region Mapping'!B:B,'Region Mapping'!A:A)</f>
        <v>CAN</v>
      </c>
    </row>
    <row r="59" spans="1:8">
      <c r="A59">
        <v>57</v>
      </c>
      <c r="B59" t="s">
        <v>1517</v>
      </c>
      <c r="C59" t="s">
        <v>1545</v>
      </c>
      <c r="D59">
        <v>2009</v>
      </c>
      <c r="E59">
        <v>15.6</v>
      </c>
      <c r="F59" t="s">
        <v>1546</v>
      </c>
      <c r="G59" t="s">
        <v>1438</v>
      </c>
      <c r="H59" s="355" t="str">
        <f>_xlfn.XLOOKUP(B59,'Region Mapping'!B:B,'Region Mapping'!A:A)</f>
        <v>ENW</v>
      </c>
    </row>
    <row r="60" spans="1:8">
      <c r="A60">
        <v>58</v>
      </c>
      <c r="B60" t="s">
        <v>1477</v>
      </c>
      <c r="C60" t="s">
        <v>1547</v>
      </c>
      <c r="D60">
        <v>2009</v>
      </c>
      <c r="E60">
        <v>4.5</v>
      </c>
      <c r="F60" t="s">
        <v>1479</v>
      </c>
      <c r="G60" t="s">
        <v>1438</v>
      </c>
      <c r="H60" s="355" t="str">
        <f>_xlfn.XLOOKUP(B60,'Region Mapping'!B:B,'Region Mapping'!A:A)</f>
        <v>SKT</v>
      </c>
    </row>
    <row r="61" spans="1:8">
      <c r="A61">
        <v>59</v>
      </c>
      <c r="B61" t="s">
        <v>1054</v>
      </c>
      <c r="C61" t="s">
        <v>1548</v>
      </c>
      <c r="D61">
        <v>2009</v>
      </c>
      <c r="E61">
        <v>5.8</v>
      </c>
      <c r="F61" t="s">
        <v>1549</v>
      </c>
      <c r="G61" t="s">
        <v>1550</v>
      </c>
      <c r="H61" s="355" t="str">
        <f>_xlfn.XLOOKUP(B61,'Region Mapping'!B:B,'Region Mapping'!A:A)</f>
        <v>EUM</v>
      </c>
    </row>
    <row r="62" spans="1:8">
      <c r="A62">
        <v>60</v>
      </c>
      <c r="B62" t="s">
        <v>201</v>
      </c>
      <c r="C62" t="s">
        <v>1551</v>
      </c>
      <c r="D62">
        <v>2009</v>
      </c>
      <c r="E62">
        <v>4</v>
      </c>
      <c r="F62" t="s">
        <v>1552</v>
      </c>
      <c r="G62" t="s">
        <v>1438</v>
      </c>
      <c r="H62" s="355" t="str">
        <f>_xlfn.XLOOKUP(B62,'Region Mapping'!B:B,'Region Mapping'!A:A)</f>
        <v>CHL</v>
      </c>
    </row>
    <row r="63" spans="1:8">
      <c r="A63">
        <v>61</v>
      </c>
      <c r="B63" t="s">
        <v>1517</v>
      </c>
      <c r="C63" t="s">
        <v>1553</v>
      </c>
      <c r="D63">
        <v>2009</v>
      </c>
      <c r="E63">
        <v>7.5</v>
      </c>
      <c r="F63" t="s">
        <v>1554</v>
      </c>
      <c r="G63" t="s">
        <v>1438</v>
      </c>
      <c r="H63" s="355" t="str">
        <f>_xlfn.XLOOKUP(B63,'Region Mapping'!B:B,'Region Mapping'!A:A)</f>
        <v>ENW</v>
      </c>
    </row>
    <row r="64" spans="1:8">
      <c r="A64">
        <v>62</v>
      </c>
      <c r="B64" t="s">
        <v>203</v>
      </c>
      <c r="C64" t="s">
        <v>1555</v>
      </c>
      <c r="D64">
        <v>2009</v>
      </c>
      <c r="E64">
        <v>3</v>
      </c>
      <c r="F64" t="s">
        <v>1556</v>
      </c>
      <c r="G64" t="s">
        <v>1438</v>
      </c>
      <c r="H64" s="355" t="str">
        <f>_xlfn.XLOOKUP(B64,'Region Mapping'!B:B,'Region Mapping'!A:A)</f>
        <v>CHN</v>
      </c>
    </row>
    <row r="65" spans="1:8">
      <c r="A65">
        <v>63</v>
      </c>
      <c r="B65" t="s">
        <v>203</v>
      </c>
      <c r="C65" t="s">
        <v>1557</v>
      </c>
      <c r="D65">
        <v>2009</v>
      </c>
      <c r="E65">
        <v>5.2</v>
      </c>
      <c r="F65" t="s">
        <v>1558</v>
      </c>
      <c r="G65" t="s">
        <v>1438</v>
      </c>
      <c r="H65" s="355" t="str">
        <f>_xlfn.XLOOKUP(B65,'Region Mapping'!B:B,'Region Mapping'!A:A)</f>
        <v>CHN</v>
      </c>
    </row>
    <row r="66" spans="1:8">
      <c r="A66">
        <v>64</v>
      </c>
      <c r="B66" t="s">
        <v>226</v>
      </c>
      <c r="C66" t="s">
        <v>1559</v>
      </c>
      <c r="D66">
        <v>2010</v>
      </c>
      <c r="E66">
        <v>1.2</v>
      </c>
      <c r="F66" t="s">
        <v>1560</v>
      </c>
      <c r="G66" t="s">
        <v>1438</v>
      </c>
      <c r="H66" s="355" t="str">
        <f>_xlfn.XLOOKUP(B66,'Region Mapping'!B:B,'Region Mapping'!A:A)</f>
        <v>JPN</v>
      </c>
    </row>
    <row r="67" spans="1:8">
      <c r="A67">
        <v>65</v>
      </c>
      <c r="B67" t="s">
        <v>1445</v>
      </c>
      <c r="C67" t="s">
        <v>1561</v>
      </c>
      <c r="D67">
        <v>2010</v>
      </c>
      <c r="E67">
        <v>6</v>
      </c>
      <c r="F67" t="s">
        <v>1562</v>
      </c>
      <c r="G67" t="s">
        <v>1438</v>
      </c>
      <c r="H67" s="355" t="str">
        <f>_xlfn.XLOOKUP(B67,'Region Mapping'!B:B,'Region Mapping'!A:A)</f>
        <v>EUM</v>
      </c>
    </row>
    <row r="68" spans="1:8">
      <c r="A68">
        <v>66</v>
      </c>
      <c r="B68" t="s">
        <v>203</v>
      </c>
      <c r="C68" t="s">
        <v>1563</v>
      </c>
      <c r="D68">
        <v>2011</v>
      </c>
      <c r="E68">
        <v>6.5</v>
      </c>
      <c r="F68" t="s">
        <v>1564</v>
      </c>
      <c r="G68" t="s">
        <v>1438</v>
      </c>
      <c r="H68" s="355" t="str">
        <f>_xlfn.XLOOKUP(B68,'Region Mapping'!B:B,'Region Mapping'!A:A)</f>
        <v>CHN</v>
      </c>
    </row>
    <row r="69" spans="1:8">
      <c r="A69">
        <v>67</v>
      </c>
      <c r="B69" t="s">
        <v>1045</v>
      </c>
      <c r="C69" t="s">
        <v>1565</v>
      </c>
      <c r="D69">
        <v>2011</v>
      </c>
      <c r="E69">
        <v>3.8</v>
      </c>
      <c r="F69" t="s">
        <v>1566</v>
      </c>
      <c r="G69" t="s">
        <v>1542</v>
      </c>
      <c r="H69" s="355" t="str">
        <f>_xlfn.XLOOKUP(B69,'Region Mapping'!B:B,'Region Mapping'!A:A)</f>
        <v>LAM</v>
      </c>
    </row>
    <row r="70" spans="1:8">
      <c r="A70">
        <v>68</v>
      </c>
      <c r="B70" t="s">
        <v>203</v>
      </c>
      <c r="C70" t="s">
        <v>1567</v>
      </c>
      <c r="D70">
        <v>2011</v>
      </c>
      <c r="E70">
        <v>6</v>
      </c>
      <c r="F70" t="s">
        <v>1568</v>
      </c>
      <c r="G70" t="s">
        <v>1438</v>
      </c>
      <c r="H70" s="355" t="str">
        <f>_xlfn.XLOOKUP(B70,'Region Mapping'!B:B,'Region Mapping'!A:A)</f>
        <v>CHN</v>
      </c>
    </row>
    <row r="71" spans="1:8">
      <c r="A71">
        <v>69</v>
      </c>
      <c r="B71" t="s">
        <v>1131</v>
      </c>
      <c r="C71" t="s">
        <v>1569</v>
      </c>
      <c r="D71">
        <v>2011</v>
      </c>
      <c r="E71">
        <v>9</v>
      </c>
      <c r="F71" t="s">
        <v>1570</v>
      </c>
      <c r="G71" t="s">
        <v>1438</v>
      </c>
      <c r="H71" s="355" t="str">
        <f>_xlfn.XLOOKUP(B71,'Region Mapping'!B:B,'Region Mapping'!A:A)</f>
        <v>EUW</v>
      </c>
    </row>
    <row r="72" spans="1:8">
      <c r="A72">
        <v>70</v>
      </c>
      <c r="B72" t="s">
        <v>1096</v>
      </c>
      <c r="C72" t="s">
        <v>1571</v>
      </c>
      <c r="D72">
        <v>2011</v>
      </c>
      <c r="E72">
        <v>11.5</v>
      </c>
      <c r="F72" t="s">
        <v>1572</v>
      </c>
      <c r="G72" t="s">
        <v>1438</v>
      </c>
      <c r="H72" s="355" t="str">
        <f>_xlfn.XLOOKUP(B72,'Region Mapping'!B:B,'Region Mapping'!A:A)</f>
        <v>ASE</v>
      </c>
    </row>
    <row r="73" spans="1:8">
      <c r="A73">
        <v>71</v>
      </c>
      <c r="B73" t="s">
        <v>237</v>
      </c>
      <c r="C73" t="s">
        <v>1573</v>
      </c>
      <c r="D73">
        <v>2012</v>
      </c>
      <c r="E73">
        <v>3.8</v>
      </c>
      <c r="F73" t="s">
        <v>1574</v>
      </c>
      <c r="G73" t="s">
        <v>1438</v>
      </c>
      <c r="H73" s="355" t="str">
        <f>_xlfn.XLOOKUP(B73,'Region Mapping'!B:B,'Region Mapping'!A:A)</f>
        <v>MEX</v>
      </c>
    </row>
    <row r="74" spans="1:8">
      <c r="A74">
        <v>72</v>
      </c>
      <c r="B74" t="s">
        <v>1094</v>
      </c>
      <c r="C74" t="s">
        <v>1575</v>
      </c>
      <c r="D74">
        <v>2012</v>
      </c>
      <c r="E74">
        <v>3.8</v>
      </c>
      <c r="F74" t="s">
        <v>1576</v>
      </c>
      <c r="G74" t="s">
        <v>1542</v>
      </c>
      <c r="H74" s="355" t="str">
        <f>_xlfn.XLOOKUP(B74,'Region Mapping'!B:B,'Region Mapping'!A:A)</f>
        <v>IDN</v>
      </c>
    </row>
    <row r="75" spans="1:8">
      <c r="A75">
        <v>73</v>
      </c>
      <c r="B75" t="s">
        <v>226</v>
      </c>
      <c r="C75" t="s">
        <v>1577</v>
      </c>
      <c r="D75">
        <v>2012</v>
      </c>
      <c r="E75">
        <v>2.2999999999999998</v>
      </c>
      <c r="F75" t="s">
        <v>1462</v>
      </c>
      <c r="G75" t="s">
        <v>1438</v>
      </c>
      <c r="H75" s="355" t="str">
        <f>_xlfn.XLOOKUP(B75,'Region Mapping'!B:B,'Region Mapping'!A:A)</f>
        <v>JPN</v>
      </c>
    </row>
    <row r="76" spans="1:8">
      <c r="A76">
        <v>74</v>
      </c>
      <c r="B76" t="s">
        <v>203</v>
      </c>
      <c r="C76" t="s">
        <v>1578</v>
      </c>
      <c r="D76">
        <v>2012</v>
      </c>
      <c r="E76">
        <v>3</v>
      </c>
      <c r="F76" t="s">
        <v>1579</v>
      </c>
      <c r="G76" t="s">
        <v>1438</v>
      </c>
      <c r="H76" s="355" t="str">
        <f>_xlfn.XLOOKUP(B76,'Region Mapping'!B:B,'Region Mapping'!A:A)</f>
        <v>CHN</v>
      </c>
    </row>
    <row r="77" spans="1:8">
      <c r="A77">
        <v>75</v>
      </c>
      <c r="B77" t="s">
        <v>226</v>
      </c>
      <c r="C77" t="s">
        <v>1580</v>
      </c>
      <c r="D77">
        <v>2012</v>
      </c>
      <c r="E77">
        <v>2.7</v>
      </c>
      <c r="F77" t="s">
        <v>1581</v>
      </c>
      <c r="G77" t="s">
        <v>1438</v>
      </c>
      <c r="H77" s="355" t="str">
        <f>_xlfn.XLOOKUP(B77,'Region Mapping'!B:B,'Region Mapping'!A:A)</f>
        <v>JPN</v>
      </c>
    </row>
    <row r="78" spans="1:8">
      <c r="A78">
        <v>76</v>
      </c>
      <c r="B78" t="s">
        <v>1582</v>
      </c>
      <c r="C78" t="s">
        <v>1583</v>
      </c>
      <c r="D78">
        <v>2013</v>
      </c>
      <c r="E78">
        <v>11</v>
      </c>
      <c r="F78" t="s">
        <v>1584</v>
      </c>
      <c r="G78" t="s">
        <v>1438</v>
      </c>
      <c r="H78" s="355" t="str">
        <f>_xlfn.XLOOKUP(B78,'Region Mapping'!B:B,'Region Mapping'!A:A)</f>
        <v>ASE</v>
      </c>
    </row>
    <row r="79" spans="1:8">
      <c r="A79">
        <v>77</v>
      </c>
      <c r="B79" t="s">
        <v>203</v>
      </c>
      <c r="C79" t="s">
        <v>1585</v>
      </c>
      <c r="D79">
        <v>2013</v>
      </c>
      <c r="E79">
        <v>3.5</v>
      </c>
      <c r="F79" t="s">
        <v>1586</v>
      </c>
      <c r="G79" t="s">
        <v>1438</v>
      </c>
      <c r="H79" s="355" t="str">
        <f>_xlfn.XLOOKUP(B79,'Region Mapping'!B:B,'Region Mapping'!A:A)</f>
        <v>CHN</v>
      </c>
    </row>
    <row r="80" spans="1:8">
      <c r="A80">
        <v>78</v>
      </c>
      <c r="B80" t="s">
        <v>1095</v>
      </c>
      <c r="C80" t="s">
        <v>1587</v>
      </c>
      <c r="D80">
        <v>2013</v>
      </c>
      <c r="E80">
        <v>3.8</v>
      </c>
      <c r="F80" t="s">
        <v>1588</v>
      </c>
      <c r="G80" t="s">
        <v>1542</v>
      </c>
      <c r="H80" s="355" t="str">
        <f>_xlfn.XLOOKUP(B80,'Region Mapping'!B:B,'Region Mapping'!A:A)</f>
        <v>ASE</v>
      </c>
    </row>
    <row r="81" spans="1:8">
      <c r="A81">
        <v>79</v>
      </c>
      <c r="B81" t="s">
        <v>203</v>
      </c>
      <c r="C81" t="s">
        <v>1589</v>
      </c>
      <c r="D81">
        <v>2013</v>
      </c>
      <c r="E81">
        <v>1.5</v>
      </c>
      <c r="F81" t="s">
        <v>1590</v>
      </c>
      <c r="G81" t="s">
        <v>1438</v>
      </c>
      <c r="H81" s="355" t="str">
        <f>_xlfn.XLOOKUP(B81,'Region Mapping'!B:B,'Region Mapping'!A:A)</f>
        <v>CHN</v>
      </c>
    </row>
    <row r="82" spans="1:8">
      <c r="A82">
        <v>80</v>
      </c>
      <c r="B82" t="s">
        <v>1135</v>
      </c>
      <c r="C82" t="s">
        <v>1591</v>
      </c>
      <c r="D82">
        <v>2013</v>
      </c>
      <c r="E82">
        <v>3</v>
      </c>
      <c r="F82" t="s">
        <v>1592</v>
      </c>
      <c r="G82" t="s">
        <v>1542</v>
      </c>
      <c r="H82" s="355" t="str">
        <f>_xlfn.XLOOKUP(B82,'Region Mapping'!B:B,'Region Mapping'!A:A)</f>
        <v>MDA</v>
      </c>
    </row>
    <row r="83" spans="1:8">
      <c r="A83">
        <v>81</v>
      </c>
      <c r="B83" t="s">
        <v>203</v>
      </c>
      <c r="C83" t="s">
        <v>1593</v>
      </c>
      <c r="D83">
        <v>2013</v>
      </c>
      <c r="E83">
        <v>6.5</v>
      </c>
      <c r="F83" t="s">
        <v>1594</v>
      </c>
      <c r="G83" t="s">
        <v>1438</v>
      </c>
      <c r="H83" s="355" t="str">
        <f>_xlfn.XLOOKUP(B83,'Region Mapping'!B:B,'Region Mapping'!A:A)</f>
        <v>CHN</v>
      </c>
    </row>
    <row r="84" spans="1:8">
      <c r="A84">
        <v>82</v>
      </c>
      <c r="B84" t="s">
        <v>226</v>
      </c>
      <c r="C84" t="s">
        <v>1595</v>
      </c>
      <c r="D84">
        <v>2013</v>
      </c>
      <c r="E84">
        <v>1.5</v>
      </c>
      <c r="F84" t="s">
        <v>1596</v>
      </c>
      <c r="G84" t="s">
        <v>1438</v>
      </c>
      <c r="H84" s="355" t="str">
        <f>_xlfn.XLOOKUP(B84,'Region Mapping'!B:B,'Region Mapping'!A:A)</f>
        <v>JPN</v>
      </c>
    </row>
    <row r="85" spans="1:8">
      <c r="A85">
        <v>83</v>
      </c>
      <c r="B85" t="s">
        <v>224</v>
      </c>
      <c r="C85" t="s">
        <v>1597</v>
      </c>
      <c r="D85">
        <v>2013</v>
      </c>
      <c r="E85">
        <v>5</v>
      </c>
      <c r="F85" t="s">
        <v>1512</v>
      </c>
      <c r="G85" t="s">
        <v>1438</v>
      </c>
      <c r="H85" s="355" t="str">
        <f>_xlfn.XLOOKUP(B85,'Region Mapping'!B:B,'Region Mapping'!A:A)</f>
        <v>IND</v>
      </c>
    </row>
    <row r="86" spans="1:8">
      <c r="A86">
        <v>84</v>
      </c>
      <c r="B86" t="s">
        <v>224</v>
      </c>
      <c r="C86" t="s">
        <v>1598</v>
      </c>
      <c r="D86">
        <v>2013</v>
      </c>
      <c r="E86">
        <v>2</v>
      </c>
      <c r="F86" t="s">
        <v>1599</v>
      </c>
      <c r="G86" t="s">
        <v>1438</v>
      </c>
      <c r="H86" s="355" t="str">
        <f>_xlfn.XLOOKUP(B86,'Region Mapping'!B:B,'Region Mapping'!A:A)</f>
        <v>IND</v>
      </c>
    </row>
    <row r="87" spans="1:8">
      <c r="A87">
        <v>85</v>
      </c>
      <c r="B87" t="s">
        <v>1054</v>
      </c>
      <c r="C87" t="s">
        <v>1600</v>
      </c>
      <c r="D87">
        <v>2013</v>
      </c>
      <c r="E87">
        <v>2.7</v>
      </c>
      <c r="F87" t="s">
        <v>1601</v>
      </c>
      <c r="G87" t="s">
        <v>1542</v>
      </c>
      <c r="H87" s="355" t="str">
        <f>_xlfn.XLOOKUP(B87,'Region Mapping'!B:B,'Region Mapping'!A:A)</f>
        <v>EUM</v>
      </c>
    </row>
    <row r="88" spans="1:8">
      <c r="A88">
        <v>86</v>
      </c>
      <c r="B88" t="s">
        <v>203</v>
      </c>
      <c r="C88" t="s">
        <v>1602</v>
      </c>
      <c r="D88">
        <v>2014</v>
      </c>
      <c r="E88">
        <v>3</v>
      </c>
      <c r="F88" t="s">
        <v>1603</v>
      </c>
      <c r="G88" t="s">
        <v>1438</v>
      </c>
      <c r="H88" s="355" t="str">
        <f>_xlfn.XLOOKUP(B88,'Region Mapping'!B:B,'Region Mapping'!A:A)</f>
        <v>CHN</v>
      </c>
    </row>
    <row r="89" spans="1:8">
      <c r="A89">
        <v>87</v>
      </c>
      <c r="B89" t="s">
        <v>1604</v>
      </c>
      <c r="C89" t="s">
        <v>1605</v>
      </c>
      <c r="D89">
        <v>2014</v>
      </c>
      <c r="E89">
        <v>3</v>
      </c>
      <c r="F89" t="s">
        <v>1606</v>
      </c>
      <c r="G89" t="s">
        <v>1542</v>
      </c>
      <c r="H89" s="355" t="str">
        <f>_xlfn.XLOOKUP(B89,'Region Mapping'!B:B,'Region Mapping'!A:A)</f>
        <v>EUE</v>
      </c>
    </row>
    <row r="90" spans="1:8">
      <c r="A90">
        <v>88</v>
      </c>
      <c r="B90" t="s">
        <v>197</v>
      </c>
      <c r="C90" t="s">
        <v>1607</v>
      </c>
      <c r="D90">
        <v>2014</v>
      </c>
      <c r="E90">
        <v>3.8</v>
      </c>
      <c r="F90" t="s">
        <v>1608</v>
      </c>
      <c r="G90" t="s">
        <v>1542</v>
      </c>
      <c r="H90" s="355" t="str">
        <f>_xlfn.XLOOKUP(B90,'Region Mapping'!B:B,'Region Mapping'!A:A)</f>
        <v>BRA</v>
      </c>
    </row>
    <row r="91" spans="1:8">
      <c r="A91">
        <v>89</v>
      </c>
      <c r="B91" t="s">
        <v>201</v>
      </c>
      <c r="C91" t="s">
        <v>1609</v>
      </c>
      <c r="D91">
        <v>2014</v>
      </c>
      <c r="E91">
        <v>1.5</v>
      </c>
      <c r="F91" t="s">
        <v>1610</v>
      </c>
      <c r="G91" t="s">
        <v>1438</v>
      </c>
      <c r="H91" s="355" t="str">
        <f>_xlfn.XLOOKUP(B91,'Region Mapping'!B:B,'Region Mapping'!A:A)</f>
        <v>CHL</v>
      </c>
    </row>
    <row r="92" spans="1:8">
      <c r="A92">
        <v>90</v>
      </c>
      <c r="B92" t="s">
        <v>1070</v>
      </c>
      <c r="C92" t="s">
        <v>1611</v>
      </c>
      <c r="D92">
        <v>2014</v>
      </c>
      <c r="E92">
        <v>5.8</v>
      </c>
      <c r="F92" t="s">
        <v>1612</v>
      </c>
      <c r="G92" t="s">
        <v>1542</v>
      </c>
      <c r="H92" s="355" t="str">
        <f>_xlfn.XLOOKUP(B92,'Region Mapping'!B:B,'Region Mapping'!A:A)</f>
        <v>MEA</v>
      </c>
    </row>
    <row r="93" spans="1:8">
      <c r="A93">
        <v>91</v>
      </c>
      <c r="B93" t="s">
        <v>226</v>
      </c>
      <c r="C93" t="s">
        <v>1613</v>
      </c>
      <c r="D93">
        <v>2014</v>
      </c>
      <c r="E93">
        <v>2.4</v>
      </c>
      <c r="F93" t="s">
        <v>1614</v>
      </c>
      <c r="G93" t="s">
        <v>1438</v>
      </c>
      <c r="H93" s="355" t="str">
        <f>_xlfn.XLOOKUP(B93,'Region Mapping'!B:B,'Region Mapping'!A:A)</f>
        <v>JPN</v>
      </c>
    </row>
    <row r="94" spans="1:8">
      <c r="A94">
        <v>92</v>
      </c>
      <c r="B94" t="s">
        <v>1094</v>
      </c>
      <c r="C94" t="s">
        <v>1615</v>
      </c>
      <c r="D94">
        <v>2014</v>
      </c>
      <c r="E94">
        <v>1.8</v>
      </c>
      <c r="F94" t="s">
        <v>1616</v>
      </c>
      <c r="G94" t="s">
        <v>1542</v>
      </c>
      <c r="H94" s="355" t="str">
        <f>_xlfn.XLOOKUP(B94,'Region Mapping'!B:B,'Region Mapping'!A:A)</f>
        <v>IDN</v>
      </c>
    </row>
    <row r="95" spans="1:8">
      <c r="A95">
        <v>93</v>
      </c>
      <c r="B95" t="s">
        <v>1466</v>
      </c>
      <c r="C95" t="s">
        <v>1617</v>
      </c>
      <c r="D95">
        <v>2014</v>
      </c>
      <c r="E95">
        <v>11.6</v>
      </c>
      <c r="F95" t="s">
        <v>1468</v>
      </c>
      <c r="G95" t="s">
        <v>1438</v>
      </c>
      <c r="H95" s="355" t="str">
        <f>_xlfn.XLOOKUP(B95,'Region Mapping'!B:B,'Region Mapping'!A:A)</f>
        <v>SKT</v>
      </c>
    </row>
    <row r="96" spans="1:8">
      <c r="A96">
        <v>94</v>
      </c>
      <c r="B96" t="s">
        <v>203</v>
      </c>
      <c r="C96" t="s">
        <v>1618</v>
      </c>
      <c r="D96">
        <v>2014</v>
      </c>
      <c r="E96">
        <v>4.32</v>
      </c>
      <c r="F96" t="s">
        <v>1619</v>
      </c>
      <c r="G96" t="s">
        <v>1438</v>
      </c>
      <c r="H96" s="355" t="str">
        <f>_xlfn.XLOOKUP(B96,'Region Mapping'!B:B,'Region Mapping'!A:A)</f>
        <v>CHN</v>
      </c>
    </row>
    <row r="97" spans="1:8">
      <c r="A97">
        <v>95</v>
      </c>
      <c r="B97" t="s">
        <v>226</v>
      </c>
      <c r="C97" t="s">
        <v>1620</v>
      </c>
      <c r="D97">
        <v>2015</v>
      </c>
      <c r="E97">
        <v>1.5</v>
      </c>
      <c r="F97" t="s">
        <v>1621</v>
      </c>
      <c r="G97" t="s">
        <v>1438</v>
      </c>
      <c r="H97" s="355" t="str">
        <f>_xlfn.XLOOKUP(B97,'Region Mapping'!B:B,'Region Mapping'!A:A)</f>
        <v>JPN</v>
      </c>
    </row>
    <row r="98" spans="1:8">
      <c r="A98">
        <v>96</v>
      </c>
      <c r="B98" t="s">
        <v>1138</v>
      </c>
      <c r="C98" t="s">
        <v>1622</v>
      </c>
      <c r="D98">
        <v>2015</v>
      </c>
      <c r="E98">
        <v>3.8</v>
      </c>
      <c r="F98" t="s">
        <v>1623</v>
      </c>
      <c r="G98" t="s">
        <v>1542</v>
      </c>
      <c r="H98" s="355" t="str">
        <f>_xlfn.XLOOKUP(B98,'Region Mapping'!B:B,'Region Mapping'!A:A)</f>
        <v>ASO</v>
      </c>
    </row>
    <row r="99" spans="1:8">
      <c r="A99">
        <v>97</v>
      </c>
      <c r="B99" t="s">
        <v>1200</v>
      </c>
      <c r="C99" t="s">
        <v>1624</v>
      </c>
      <c r="D99">
        <v>2015</v>
      </c>
      <c r="E99">
        <v>3.8</v>
      </c>
      <c r="F99" t="s">
        <v>1625</v>
      </c>
      <c r="G99" t="s">
        <v>1542</v>
      </c>
      <c r="H99" s="355" t="str">
        <f>_xlfn.XLOOKUP(B99,'Region Mapping'!B:B,'Region Mapping'!A:A)</f>
        <v>MDA</v>
      </c>
    </row>
    <row r="100" spans="1:8">
      <c r="A100">
        <v>98</v>
      </c>
      <c r="B100" t="s">
        <v>1094</v>
      </c>
      <c r="C100" t="s">
        <v>1626</v>
      </c>
      <c r="D100">
        <v>2015</v>
      </c>
      <c r="E100">
        <v>3</v>
      </c>
      <c r="F100" t="s">
        <v>1627</v>
      </c>
      <c r="G100" t="s">
        <v>1438</v>
      </c>
      <c r="H100" s="355" t="str">
        <f>_xlfn.XLOOKUP(B100,'Region Mapping'!B:B,'Region Mapping'!A:A)</f>
        <v>IDN</v>
      </c>
    </row>
    <row r="101" spans="1:8">
      <c r="A101">
        <v>99</v>
      </c>
      <c r="B101" t="s">
        <v>226</v>
      </c>
      <c r="C101" t="s">
        <v>1628</v>
      </c>
      <c r="D101">
        <v>2015</v>
      </c>
      <c r="E101">
        <v>1.5</v>
      </c>
      <c r="F101" t="s">
        <v>1629</v>
      </c>
      <c r="G101" t="s">
        <v>1438</v>
      </c>
      <c r="H101" s="355" t="str">
        <f>_xlfn.XLOOKUP(B101,'Region Mapping'!B:B,'Region Mapping'!A:A)</f>
        <v>JPN</v>
      </c>
    </row>
    <row r="102" spans="1:8">
      <c r="A102">
        <v>100</v>
      </c>
      <c r="B102" t="s">
        <v>1075</v>
      </c>
      <c r="C102" t="s">
        <v>1630</v>
      </c>
      <c r="D102">
        <v>2015</v>
      </c>
      <c r="E102">
        <v>6</v>
      </c>
      <c r="F102" t="s">
        <v>1631</v>
      </c>
      <c r="G102" t="s">
        <v>1542</v>
      </c>
      <c r="H102" s="355" t="str">
        <f>_xlfn.XLOOKUP(B102,'Region Mapping'!B:B,'Region Mapping'!A:A)</f>
        <v>MEA</v>
      </c>
    </row>
    <row r="103" spans="1:8">
      <c r="A103">
        <v>101</v>
      </c>
      <c r="B103" t="s">
        <v>226</v>
      </c>
      <c r="C103" t="s">
        <v>1632</v>
      </c>
      <c r="D103">
        <v>2015</v>
      </c>
      <c r="E103">
        <v>0.5</v>
      </c>
      <c r="F103" t="s">
        <v>1633</v>
      </c>
      <c r="G103" t="s">
        <v>1438</v>
      </c>
      <c r="H103" s="355" t="str">
        <f>_xlfn.XLOOKUP(B103,'Region Mapping'!B:B,'Region Mapping'!A:A)</f>
        <v>JPN</v>
      </c>
    </row>
    <row r="104" spans="1:8">
      <c r="A104">
        <v>102</v>
      </c>
      <c r="B104" t="s">
        <v>1132</v>
      </c>
      <c r="C104" t="s">
        <v>1634</v>
      </c>
      <c r="D104">
        <v>2016</v>
      </c>
      <c r="E104">
        <v>3.6</v>
      </c>
      <c r="F104" t="s">
        <v>1635</v>
      </c>
      <c r="G104" t="s">
        <v>1438</v>
      </c>
      <c r="H104" s="355" t="str">
        <f>_xlfn.XLOOKUP(B104,'Region Mapping'!B:B,'Region Mapping'!A:A)</f>
        <v>EUE</v>
      </c>
    </row>
    <row r="105" spans="1:8">
      <c r="A105">
        <v>103</v>
      </c>
      <c r="B105" t="s">
        <v>203</v>
      </c>
      <c r="C105" t="s">
        <v>1636</v>
      </c>
      <c r="D105">
        <v>2016</v>
      </c>
      <c r="E105">
        <v>3</v>
      </c>
      <c r="F105" t="s">
        <v>1637</v>
      </c>
      <c r="G105" t="s">
        <v>1438</v>
      </c>
      <c r="H105" s="355" t="str">
        <f>_xlfn.XLOOKUP(B105,'Region Mapping'!B:B,'Region Mapping'!A:A)</f>
        <v>CHN</v>
      </c>
    </row>
    <row r="106" spans="1:8">
      <c r="A106">
        <v>104</v>
      </c>
      <c r="B106" t="s">
        <v>1046</v>
      </c>
      <c r="C106" t="s">
        <v>1638</v>
      </c>
      <c r="D106">
        <v>2016</v>
      </c>
      <c r="E106">
        <v>3</v>
      </c>
      <c r="F106" t="s">
        <v>1639</v>
      </c>
      <c r="G106" t="s">
        <v>1542</v>
      </c>
      <c r="H106" s="355" t="str">
        <f>_xlfn.XLOOKUP(B106,'Region Mapping'!B:B,'Region Mapping'!A:A)</f>
        <v>LAM</v>
      </c>
    </row>
    <row r="107" spans="1:8">
      <c r="A107">
        <v>105</v>
      </c>
      <c r="B107" t="s">
        <v>197</v>
      </c>
      <c r="C107" t="s">
        <v>1640</v>
      </c>
      <c r="D107">
        <v>2016</v>
      </c>
      <c r="E107">
        <v>5.4</v>
      </c>
      <c r="F107" t="s">
        <v>1608</v>
      </c>
      <c r="G107" t="s">
        <v>1542</v>
      </c>
      <c r="H107" s="355" t="str">
        <f>_xlfn.XLOOKUP(B107,'Region Mapping'!B:B,'Region Mapping'!A:A)</f>
        <v>BRA</v>
      </c>
    </row>
    <row r="108" spans="1:8">
      <c r="A108">
        <v>106</v>
      </c>
      <c r="B108" t="s">
        <v>226</v>
      </c>
      <c r="C108" t="s">
        <v>1641</v>
      </c>
      <c r="D108">
        <v>2016</v>
      </c>
      <c r="E108">
        <v>3.8</v>
      </c>
      <c r="F108" t="s">
        <v>1495</v>
      </c>
      <c r="G108" t="s">
        <v>1438</v>
      </c>
      <c r="H108" s="355" t="str">
        <f>_xlfn.XLOOKUP(B108,'Region Mapping'!B:B,'Region Mapping'!A:A)</f>
        <v>JPN</v>
      </c>
    </row>
    <row r="109" spans="1:8">
      <c r="A109">
        <v>107</v>
      </c>
      <c r="B109" t="s">
        <v>203</v>
      </c>
      <c r="C109" t="s">
        <v>1642</v>
      </c>
      <c r="D109">
        <v>2017</v>
      </c>
      <c r="E109">
        <v>1.2</v>
      </c>
      <c r="F109" t="s">
        <v>1643</v>
      </c>
      <c r="G109" t="s">
        <v>1438</v>
      </c>
      <c r="H109" s="355" t="str">
        <f>_xlfn.XLOOKUP(B109,'Region Mapping'!B:B,'Region Mapping'!A:A)</f>
        <v>CHN</v>
      </c>
    </row>
    <row r="110" spans="1:8">
      <c r="A110">
        <v>108</v>
      </c>
      <c r="B110" t="s">
        <v>1466</v>
      </c>
      <c r="C110" t="s">
        <v>1644</v>
      </c>
      <c r="D110">
        <v>2017</v>
      </c>
      <c r="E110">
        <v>3</v>
      </c>
      <c r="F110" t="s">
        <v>1645</v>
      </c>
      <c r="G110" t="s">
        <v>1438</v>
      </c>
      <c r="H110" s="355" t="str">
        <f>_xlfn.XLOOKUP(B110,'Region Mapping'!B:B,'Region Mapping'!A:A)</f>
        <v>SKT</v>
      </c>
    </row>
    <row r="111" spans="1:8">
      <c r="A111">
        <v>109</v>
      </c>
      <c r="B111" t="s">
        <v>1445</v>
      </c>
      <c r="C111" t="s">
        <v>1646</v>
      </c>
      <c r="D111">
        <v>2017</v>
      </c>
      <c r="E111">
        <v>9.5</v>
      </c>
      <c r="F111" t="s">
        <v>1647</v>
      </c>
      <c r="G111" t="s">
        <v>1438</v>
      </c>
      <c r="H111" s="355" t="str">
        <f>_xlfn.XLOOKUP(B111,'Region Mapping'!B:B,'Region Mapping'!A:A)</f>
        <v>EUM</v>
      </c>
    </row>
    <row r="112" spans="1:8">
      <c r="A112">
        <v>110</v>
      </c>
      <c r="B112" t="s">
        <v>1083</v>
      </c>
      <c r="C112" t="s">
        <v>1648</v>
      </c>
      <c r="D112">
        <v>2017</v>
      </c>
      <c r="E112">
        <v>5.7</v>
      </c>
      <c r="F112" t="s">
        <v>1649</v>
      </c>
      <c r="G112" t="s">
        <v>1542</v>
      </c>
      <c r="H112" s="355" t="str">
        <f>_xlfn.XLOOKUP(B112,'Region Mapping'!B:B,'Region Mapping'!A:A)</f>
        <v>AFN</v>
      </c>
    </row>
    <row r="113" spans="1:8">
      <c r="A113">
        <v>111</v>
      </c>
      <c r="B113" t="s">
        <v>1138</v>
      </c>
      <c r="C113" t="s">
        <v>1650</v>
      </c>
      <c r="D113">
        <v>2017</v>
      </c>
      <c r="E113">
        <v>5.7</v>
      </c>
      <c r="F113" t="s">
        <v>1651</v>
      </c>
      <c r="G113" t="s">
        <v>1542</v>
      </c>
      <c r="H113" s="355" t="str">
        <f>_xlfn.XLOOKUP(B113,'Region Mapping'!B:B,'Region Mapping'!A:A)</f>
        <v>ASO</v>
      </c>
    </row>
    <row r="114" spans="1:8">
      <c r="A114">
        <v>112</v>
      </c>
      <c r="B114" t="s">
        <v>1095</v>
      </c>
      <c r="C114" t="s">
        <v>1652</v>
      </c>
      <c r="D114">
        <v>2017</v>
      </c>
      <c r="E114">
        <v>3.5</v>
      </c>
      <c r="F114" t="s">
        <v>1653</v>
      </c>
      <c r="G114" t="s">
        <v>1438</v>
      </c>
      <c r="H114" s="355" t="str">
        <f>_xlfn.XLOOKUP(B114,'Region Mapping'!B:B,'Region Mapping'!A:A)</f>
        <v>ASE</v>
      </c>
    </row>
    <row r="115" spans="1:8">
      <c r="A115">
        <v>113</v>
      </c>
      <c r="B115" t="s">
        <v>203</v>
      </c>
      <c r="C115" t="s">
        <v>1654</v>
      </c>
      <c r="D115">
        <v>2017</v>
      </c>
      <c r="E115">
        <v>2</v>
      </c>
      <c r="F115" t="s">
        <v>1655</v>
      </c>
      <c r="G115" t="s">
        <v>1438</v>
      </c>
      <c r="H115" s="355" t="str">
        <f>_xlfn.XLOOKUP(B115,'Region Mapping'!B:B,'Region Mapping'!A:A)</f>
        <v>CHN</v>
      </c>
    </row>
    <row r="116" spans="1:8">
      <c r="A116">
        <v>114</v>
      </c>
      <c r="B116" t="s">
        <v>203</v>
      </c>
      <c r="C116" t="s">
        <v>1656</v>
      </c>
      <c r="D116">
        <v>2018</v>
      </c>
      <c r="E116">
        <v>3.5</v>
      </c>
      <c r="F116" t="s">
        <v>1655</v>
      </c>
      <c r="G116" t="s">
        <v>1438</v>
      </c>
      <c r="H116" s="355" t="str">
        <f>_xlfn.XLOOKUP(B116,'Region Mapping'!B:B,'Region Mapping'!A:A)</f>
        <v>CHN</v>
      </c>
    </row>
    <row r="117" spans="1:8">
      <c r="A117">
        <v>115</v>
      </c>
      <c r="B117" t="s">
        <v>226</v>
      </c>
      <c r="C117" t="s">
        <v>1657</v>
      </c>
      <c r="D117">
        <v>2018</v>
      </c>
      <c r="E117">
        <v>1.5</v>
      </c>
      <c r="F117" t="s">
        <v>1658</v>
      </c>
      <c r="G117" t="s">
        <v>1438</v>
      </c>
      <c r="H117" s="355" t="str">
        <f>_xlfn.XLOOKUP(B117,'Region Mapping'!B:B,'Region Mapping'!A:A)</f>
        <v>JPN</v>
      </c>
    </row>
    <row r="118" spans="1:8">
      <c r="A118">
        <v>1</v>
      </c>
      <c r="B118" t="s">
        <v>224</v>
      </c>
      <c r="C118" t="s">
        <v>1659</v>
      </c>
      <c r="D118">
        <v>2020</v>
      </c>
      <c r="E118">
        <v>5</v>
      </c>
      <c r="F118" t="s">
        <v>1660</v>
      </c>
      <c r="G118" t="s">
        <v>1542</v>
      </c>
      <c r="H118" s="355" t="str">
        <f>_xlfn.XLOOKUP(B118,'Region Mapping'!B:B,'Region Mapping'!A:A)</f>
        <v>IND</v>
      </c>
    </row>
    <row r="119" spans="1:8">
      <c r="A119">
        <v>2</v>
      </c>
      <c r="B119" t="s">
        <v>242</v>
      </c>
      <c r="C119" t="s">
        <v>1661</v>
      </c>
      <c r="D119">
        <v>2020</v>
      </c>
      <c r="E119">
        <v>2.7</v>
      </c>
      <c r="F119" t="s">
        <v>1662</v>
      </c>
      <c r="G119" t="s">
        <v>1542</v>
      </c>
      <c r="H119" s="355" t="str">
        <f>_xlfn.XLOOKUP(B119,'Region Mapping'!B:B,'Region Mapping'!A:A)</f>
        <v>RUS</v>
      </c>
    </row>
    <row r="120" spans="1:8">
      <c r="A120">
        <v>3</v>
      </c>
      <c r="B120" t="s">
        <v>1134</v>
      </c>
      <c r="C120" t="s">
        <v>1663</v>
      </c>
      <c r="D120">
        <v>2020</v>
      </c>
      <c r="E120">
        <v>6</v>
      </c>
      <c r="F120" t="s">
        <v>1664</v>
      </c>
      <c r="G120" t="s">
        <v>1542</v>
      </c>
      <c r="H120" s="355" t="str">
        <f>_xlfn.XLOOKUP(B120,'Region Mapping'!B:B,'Region Mapping'!A:A)</f>
        <v>MEA</v>
      </c>
    </row>
    <row r="121" spans="1:8">
      <c r="A121">
        <v>4</v>
      </c>
      <c r="B121" t="s">
        <v>224</v>
      </c>
      <c r="C121" t="s">
        <v>1665</v>
      </c>
      <c r="D121">
        <v>2020</v>
      </c>
      <c r="E121">
        <v>4</v>
      </c>
      <c r="F121" t="s">
        <v>1666</v>
      </c>
      <c r="G121" t="s">
        <v>1542</v>
      </c>
      <c r="H121" s="355" t="str">
        <f>_xlfn.XLOOKUP(B121,'Region Mapping'!B:B,'Region Mapping'!A:A)</f>
        <v>IND</v>
      </c>
    </row>
    <row r="122" spans="1:8">
      <c r="A122">
        <v>5</v>
      </c>
      <c r="B122" t="s">
        <v>197</v>
      </c>
      <c r="C122" t="s">
        <v>1667</v>
      </c>
      <c r="D122">
        <v>2020</v>
      </c>
      <c r="E122">
        <v>5.6</v>
      </c>
      <c r="F122" t="s">
        <v>1668</v>
      </c>
      <c r="G122" t="s">
        <v>1542</v>
      </c>
      <c r="H122" s="355" t="str">
        <f>_xlfn.XLOOKUP(B122,'Region Mapping'!B:B,'Region Mapping'!A:A)</f>
        <v>BRA</v>
      </c>
    </row>
    <row r="123" spans="1:8">
      <c r="A123">
        <v>6</v>
      </c>
      <c r="B123" t="s">
        <v>1669</v>
      </c>
      <c r="C123" t="s">
        <v>1670</v>
      </c>
      <c r="D123">
        <v>2020</v>
      </c>
      <c r="E123">
        <v>2</v>
      </c>
      <c r="F123" t="s">
        <v>1671</v>
      </c>
      <c r="G123" t="s">
        <v>1542</v>
      </c>
      <c r="H123" s="355" t="str">
        <f>_xlfn.XLOOKUP(B123,'Region Mapping'!B:B,'Region Mapping'!A:A)</f>
        <v>AFW</v>
      </c>
    </row>
    <row r="124" spans="1:8">
      <c r="A124">
        <v>7</v>
      </c>
      <c r="B124" t="s">
        <v>203</v>
      </c>
      <c r="C124" t="s">
        <v>1672</v>
      </c>
      <c r="D124">
        <v>2020</v>
      </c>
      <c r="E124">
        <v>1</v>
      </c>
      <c r="F124" t="s">
        <v>1673</v>
      </c>
      <c r="G124" t="s">
        <v>1438</v>
      </c>
      <c r="H124" s="355" t="str">
        <f>_xlfn.XLOOKUP(B124,'Region Mapping'!B:B,'Region Mapping'!A:A)</f>
        <v>CHN</v>
      </c>
    </row>
    <row r="125" spans="1:8">
      <c r="A125">
        <v>8</v>
      </c>
      <c r="B125" t="s">
        <v>247</v>
      </c>
      <c r="C125" t="s">
        <v>1674</v>
      </c>
      <c r="D125">
        <v>2020</v>
      </c>
      <c r="E125">
        <v>0.5</v>
      </c>
      <c r="F125" t="s">
        <v>1675</v>
      </c>
      <c r="G125" t="s">
        <v>1542</v>
      </c>
      <c r="H125" s="355" t="str">
        <f>_xlfn.XLOOKUP(B125,'Region Mapping'!B:B,'Region Mapping'!A:A)</f>
        <v>USA</v>
      </c>
    </row>
    <row r="126" spans="1:8">
      <c r="A126">
        <v>9</v>
      </c>
      <c r="B126" t="s">
        <v>237</v>
      </c>
      <c r="C126" t="s">
        <v>1676</v>
      </c>
      <c r="D126">
        <v>2020</v>
      </c>
      <c r="E126">
        <v>3</v>
      </c>
      <c r="F126" t="s">
        <v>1677</v>
      </c>
      <c r="G126" t="s">
        <v>1438</v>
      </c>
      <c r="H126" s="355" t="str">
        <f>_xlfn.XLOOKUP(B126,'Region Mapping'!B:B,'Region Mapping'!A:A)</f>
        <v>MEX</v>
      </c>
    </row>
    <row r="127" spans="1:8">
      <c r="A127">
        <v>10</v>
      </c>
      <c r="B127" t="s">
        <v>1164</v>
      </c>
      <c r="C127" t="s">
        <v>1678</v>
      </c>
      <c r="D127">
        <v>2020</v>
      </c>
      <c r="E127">
        <v>5.4</v>
      </c>
      <c r="F127" t="s">
        <v>1485</v>
      </c>
      <c r="G127" t="s">
        <v>1542</v>
      </c>
      <c r="H127" s="355" t="str">
        <f>_xlfn.XLOOKUP(B127,'Region Mapping'!B:B,'Region Mapping'!A:A)</f>
        <v>MDA</v>
      </c>
    </row>
    <row r="128" spans="1:8">
      <c r="A128">
        <v>11</v>
      </c>
      <c r="B128" t="s">
        <v>1679</v>
      </c>
      <c r="C128" t="s">
        <v>1680</v>
      </c>
      <c r="D128">
        <v>2020</v>
      </c>
      <c r="E128">
        <v>3</v>
      </c>
      <c r="F128" t="s">
        <v>1681</v>
      </c>
      <c r="G128" t="s">
        <v>1438</v>
      </c>
      <c r="H128" s="355" t="str">
        <f>_xlfn.XLOOKUP(B128,'Region Mapping'!B:B,'Region Mapping'!A:A)</f>
        <v>IDN</v>
      </c>
    </row>
    <row r="129" spans="1:8">
      <c r="A129">
        <v>12</v>
      </c>
      <c r="B129" t="s">
        <v>1682</v>
      </c>
      <c r="C129" t="s">
        <v>1683</v>
      </c>
      <c r="D129">
        <v>2021</v>
      </c>
      <c r="E129">
        <v>1.9</v>
      </c>
      <c r="F129" t="s">
        <v>1684</v>
      </c>
      <c r="G129" t="s">
        <v>1542</v>
      </c>
      <c r="H129" s="355" t="str">
        <f>_xlfn.XLOOKUP(B129,'Region Mapping'!B:B,'Region Mapping'!A:A)</f>
        <v>EUE</v>
      </c>
    </row>
    <row r="130" spans="1:8">
      <c r="A130">
        <v>13</v>
      </c>
      <c r="B130" t="s">
        <v>1070</v>
      </c>
      <c r="C130" t="s">
        <v>1685</v>
      </c>
      <c r="D130">
        <v>2021</v>
      </c>
      <c r="E130">
        <v>22</v>
      </c>
      <c r="F130" t="s">
        <v>1686</v>
      </c>
      <c r="G130" t="s">
        <v>1438</v>
      </c>
      <c r="H130" s="355" t="str">
        <f>_xlfn.XLOOKUP(B130,'Region Mapping'!B:B,'Region Mapping'!A:A)</f>
        <v>MEA</v>
      </c>
    </row>
    <row r="131" spans="1:8">
      <c r="A131">
        <v>14</v>
      </c>
      <c r="B131" t="s">
        <v>203</v>
      </c>
      <c r="C131" t="s">
        <v>1687</v>
      </c>
      <c r="D131">
        <v>2021</v>
      </c>
      <c r="E131">
        <v>3</v>
      </c>
      <c r="F131" t="s">
        <v>1688</v>
      </c>
      <c r="G131" t="s">
        <v>1438</v>
      </c>
      <c r="H131" s="355" t="str">
        <f>_xlfn.XLOOKUP(B131,'Region Mapping'!B:B,'Region Mapping'!A:A)</f>
        <v>CHN</v>
      </c>
    </row>
    <row r="132" spans="1:8">
      <c r="A132">
        <v>15</v>
      </c>
      <c r="B132" t="s">
        <v>224</v>
      </c>
      <c r="C132" t="s">
        <v>1689</v>
      </c>
      <c r="D132">
        <v>2021</v>
      </c>
      <c r="E132">
        <v>5</v>
      </c>
      <c r="F132" t="s">
        <v>1690</v>
      </c>
      <c r="G132" t="s">
        <v>1438</v>
      </c>
      <c r="H132" s="355" t="str">
        <f>_xlfn.XLOOKUP(B132,'Region Mapping'!B:B,'Region Mapping'!A:A)</f>
        <v>IND</v>
      </c>
    </row>
    <row r="133" spans="1:8">
      <c r="A133">
        <v>16</v>
      </c>
      <c r="B133" t="s">
        <v>1691</v>
      </c>
      <c r="C133" t="s">
        <v>1692</v>
      </c>
      <c r="D133">
        <v>2021</v>
      </c>
      <c r="E133">
        <v>0.5</v>
      </c>
      <c r="F133" t="s">
        <v>1693</v>
      </c>
      <c r="G133" t="s">
        <v>1542</v>
      </c>
      <c r="H133" s="355" t="str">
        <f>_xlfn.XLOOKUP(B133,'Region Mapping'!B:B,'Region Mapping'!A:A)</f>
        <v>LAM</v>
      </c>
    </row>
    <row r="134" spans="1:8">
      <c r="A134">
        <v>17</v>
      </c>
      <c r="B134" t="s">
        <v>1094</v>
      </c>
      <c r="C134" t="s">
        <v>1694</v>
      </c>
      <c r="D134">
        <v>2021</v>
      </c>
      <c r="E134">
        <v>2.4</v>
      </c>
      <c r="F134" t="s">
        <v>1695</v>
      </c>
      <c r="G134" t="s">
        <v>1542</v>
      </c>
      <c r="H134" s="355" t="str">
        <f>_xlfn.XLOOKUP(B134,'Region Mapping'!B:B,'Region Mapping'!A:A)</f>
        <v>IDN</v>
      </c>
    </row>
    <row r="135" spans="1:8">
      <c r="A135">
        <v>18</v>
      </c>
      <c r="B135" t="s">
        <v>203</v>
      </c>
      <c r="C135" t="s">
        <v>1696</v>
      </c>
      <c r="D135">
        <v>2021</v>
      </c>
      <c r="E135">
        <v>3</v>
      </c>
      <c r="F135" t="s">
        <v>1655</v>
      </c>
      <c r="G135" t="s">
        <v>1438</v>
      </c>
      <c r="H135" s="355" t="str">
        <f>_xlfn.XLOOKUP(B135,'Region Mapping'!B:B,'Region Mapping'!A:A)</f>
        <v>CHN</v>
      </c>
    </row>
    <row r="136" spans="1:8">
      <c r="A136">
        <v>19</v>
      </c>
      <c r="B136" t="s">
        <v>1697</v>
      </c>
      <c r="C136" t="s">
        <v>1698</v>
      </c>
      <c r="D136">
        <v>2021</v>
      </c>
      <c r="E136">
        <v>0.6</v>
      </c>
      <c r="F136" t="s">
        <v>1699</v>
      </c>
      <c r="G136" t="s">
        <v>1542</v>
      </c>
      <c r="H136" s="355" t="str">
        <f>_xlfn.XLOOKUP(B136,'Region Mapping'!B:B,'Region Mapping'!A:A)</f>
        <v>EUM</v>
      </c>
    </row>
    <row r="137" spans="1:8">
      <c r="A137">
        <v>20</v>
      </c>
      <c r="B137" t="s">
        <v>1096</v>
      </c>
      <c r="C137" t="s">
        <v>1700</v>
      </c>
      <c r="D137">
        <v>2022</v>
      </c>
      <c r="E137">
        <v>7.5</v>
      </c>
      <c r="F137" t="s">
        <v>1572</v>
      </c>
      <c r="G137" t="s">
        <v>1438</v>
      </c>
      <c r="H137" s="355" t="str">
        <f>_xlfn.XLOOKUP(B137,'Region Mapping'!B:B,'Region Mapping'!A:A)</f>
        <v>ASE</v>
      </c>
    </row>
    <row r="138" spans="1:8">
      <c r="A138">
        <v>21</v>
      </c>
      <c r="B138" t="s">
        <v>226</v>
      </c>
      <c r="C138" t="s">
        <v>1701</v>
      </c>
      <c r="D138">
        <v>2022</v>
      </c>
      <c r="E138">
        <v>0.5</v>
      </c>
      <c r="F138" t="s">
        <v>1702</v>
      </c>
      <c r="G138" t="s">
        <v>1438</v>
      </c>
      <c r="H138" s="355" t="str">
        <f>_xlfn.XLOOKUP(B138,'Region Mapping'!B:B,'Region Mapping'!A:A)</f>
        <v>JPN</v>
      </c>
    </row>
    <row r="139" spans="1:8">
      <c r="A139">
        <v>22</v>
      </c>
      <c r="B139" t="s">
        <v>224</v>
      </c>
      <c r="C139" t="s">
        <v>1703</v>
      </c>
      <c r="D139">
        <v>2022</v>
      </c>
      <c r="E139">
        <v>5</v>
      </c>
      <c r="F139" t="s">
        <v>1704</v>
      </c>
      <c r="G139" t="s">
        <v>1438</v>
      </c>
      <c r="H139" s="355" t="str">
        <f>_xlfn.XLOOKUP(B139,'Region Mapping'!B:B,'Region Mapping'!A:A)</f>
        <v>IND</v>
      </c>
    </row>
    <row r="140" spans="1:8">
      <c r="A140">
        <v>23</v>
      </c>
      <c r="B140" t="s">
        <v>1214</v>
      </c>
      <c r="C140" t="s">
        <v>1705</v>
      </c>
      <c r="D140">
        <v>2022</v>
      </c>
      <c r="E140">
        <v>1</v>
      </c>
      <c r="F140" t="s">
        <v>1706</v>
      </c>
      <c r="G140" t="s">
        <v>1438</v>
      </c>
      <c r="H140" s="355" t="str">
        <f>_xlfn.XLOOKUP(B140,'Region Mapping'!B:B,'Region Mapping'!A:A)</f>
        <v>IDN</v>
      </c>
    </row>
    <row r="141" spans="1:8">
      <c r="A141">
        <v>24</v>
      </c>
      <c r="B141" t="s">
        <v>203</v>
      </c>
      <c r="C141" t="s">
        <v>1707</v>
      </c>
      <c r="D141">
        <v>2022</v>
      </c>
      <c r="E141">
        <v>3</v>
      </c>
      <c r="F141" t="s">
        <v>1708</v>
      </c>
      <c r="G141" t="s">
        <v>1438</v>
      </c>
      <c r="H141" s="355" t="str">
        <f>_xlfn.XLOOKUP(B141,'Region Mapping'!B:B,'Region Mapping'!A:A)</f>
        <v>CHN</v>
      </c>
    </row>
    <row r="142" spans="1:8">
      <c r="A142">
        <v>25</v>
      </c>
      <c r="B142" t="s">
        <v>203</v>
      </c>
      <c r="C142" t="s">
        <v>1709</v>
      </c>
      <c r="D142">
        <v>2022</v>
      </c>
      <c r="E142">
        <v>2</v>
      </c>
      <c r="F142" t="s">
        <v>1710</v>
      </c>
      <c r="G142" t="s">
        <v>1438</v>
      </c>
      <c r="H142" s="355" t="str">
        <f>_xlfn.XLOOKUP(B142,'Region Mapping'!B:B,'Region Mapping'!A:A)</f>
        <v>CHN</v>
      </c>
    </row>
    <row r="143" spans="1:8">
      <c r="A143">
        <v>26</v>
      </c>
      <c r="B143" t="s">
        <v>203</v>
      </c>
      <c r="C143" t="s">
        <v>1711</v>
      </c>
      <c r="D143">
        <v>2023</v>
      </c>
      <c r="E143">
        <v>2</v>
      </c>
      <c r="F143" t="s">
        <v>1712</v>
      </c>
      <c r="G143" t="s">
        <v>1438</v>
      </c>
      <c r="H143" s="355" t="str">
        <f>_xlfn.XLOOKUP(B143,'Region Mapping'!B:B,'Region Mapping'!A:A)</f>
        <v>CHN</v>
      </c>
    </row>
  </sheetData>
  <autoFilter ref="A2:H143" xr:uid="{C6CA99D9-C4AB-40B1-BC22-BA3EAB0604D6}"/>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352F-E6F1-4CC1-857B-90F4BB7A98A4}">
  <sheetPr>
    <tabColor theme="5" tint="0.39997558519241921"/>
  </sheetPr>
  <dimension ref="A1:Z48"/>
  <sheetViews>
    <sheetView workbookViewId="0">
      <selection activeCell="F26" sqref="F26"/>
    </sheetView>
  </sheetViews>
  <sheetFormatPr defaultRowHeight="15.6"/>
  <cols>
    <col min="1" max="1" width="11.8984375" customWidth="1"/>
    <col min="2" max="2" width="43.09765625" bestFit="1" customWidth="1"/>
    <col min="3" max="3" width="6.3984375" bestFit="1" customWidth="1"/>
    <col min="4" max="4" width="6.19921875" bestFit="1" customWidth="1"/>
    <col min="5" max="5" width="8.5" bestFit="1" customWidth="1"/>
    <col min="6" max="6" width="7.69921875" bestFit="1" customWidth="1"/>
    <col min="7" max="7" width="15.3984375" bestFit="1" customWidth="1"/>
    <col min="8" max="8" width="8.8984375" bestFit="1" customWidth="1"/>
    <col min="9" max="9" width="5.09765625" bestFit="1" customWidth="1"/>
    <col min="10" max="10" width="14.69921875" bestFit="1" customWidth="1"/>
    <col min="11" max="11" width="8.5" bestFit="1" customWidth="1"/>
    <col min="12" max="12" width="7.59765625" bestFit="1" customWidth="1"/>
    <col min="13" max="13" width="6.5" bestFit="1" customWidth="1"/>
    <col min="14" max="14" width="6.8984375" bestFit="1" customWidth="1"/>
    <col min="15" max="15" width="5.5" bestFit="1" customWidth="1"/>
    <col min="16" max="16" width="15.59765625" bestFit="1" customWidth="1"/>
    <col min="17" max="17" width="4.5" bestFit="1" customWidth="1"/>
    <col min="18" max="18" width="5.09765625" bestFit="1" customWidth="1"/>
    <col min="19" max="19" width="15.69921875" bestFit="1" customWidth="1"/>
    <col min="20" max="20" width="16.59765625" bestFit="1" customWidth="1"/>
    <col min="21" max="21" width="17.5" bestFit="1" customWidth="1"/>
    <col min="22" max="22" width="20.19921875" bestFit="1" customWidth="1"/>
    <col min="23" max="23" width="16.3984375" bestFit="1" customWidth="1"/>
    <col min="24" max="24" width="14.8984375" bestFit="1" customWidth="1"/>
    <col min="25" max="26" width="11.69921875" bestFit="1" customWidth="1"/>
  </cols>
  <sheetData>
    <row r="1" spans="1:26">
      <c r="A1" s="374" t="s">
        <v>1713</v>
      </c>
      <c r="B1" s="374"/>
      <c r="C1" s="374"/>
      <c r="D1" s="374"/>
      <c r="E1" s="374"/>
      <c r="F1" s="374"/>
      <c r="G1" s="374"/>
      <c r="H1" s="374"/>
      <c r="I1" s="374"/>
      <c r="J1" s="374"/>
      <c r="K1" s="374"/>
      <c r="L1" s="374"/>
      <c r="M1" s="374"/>
      <c r="N1" s="374"/>
      <c r="O1" s="374"/>
      <c r="P1" s="374"/>
      <c r="Q1" s="374"/>
      <c r="R1" s="374"/>
      <c r="S1" s="374"/>
      <c r="T1" s="374"/>
      <c r="U1" s="374"/>
      <c r="V1" s="374"/>
      <c r="W1" s="374"/>
      <c r="X1" s="374"/>
      <c r="Y1" s="374"/>
      <c r="Z1" s="374"/>
    </row>
    <row r="3" spans="1:26">
      <c r="A3" s="374"/>
      <c r="B3" s="374" t="s">
        <v>1714</v>
      </c>
      <c r="C3" s="374" t="str">
        <f>_xlfn.XLOOKUP(C$4,'Region Mapping'!$B:$B,'Region Mapping'!$A:$A)</f>
        <v>AFN</v>
      </c>
      <c r="D3" s="374" t="str">
        <f>_xlfn.XLOOKUP(D$4,'Region Mapping'!$B:$B,'Region Mapping'!$A:$A)</f>
        <v>AFZ</v>
      </c>
      <c r="E3" s="374" t="str">
        <f>_xlfn.XLOOKUP(E$4,'Region Mapping'!$B:$B,'Region Mapping'!$A:$A)</f>
        <v>LAM</v>
      </c>
      <c r="F3" s="374" t="str">
        <f>_xlfn.XLOOKUP(F$4,'Region Mapping'!$B:$B,'Region Mapping'!$A:$A)</f>
        <v>ANZ</v>
      </c>
      <c r="G3" s="374" t="str">
        <f>_xlfn.XLOOKUP(G$4,'Region Mapping'!$B:$B,'Region Mapping'!$A:$A)</f>
        <v>ASE</v>
      </c>
      <c r="H3" s="374" t="str">
        <f>_xlfn.XLOOKUP(H$4,'Region Mapping'!$B:$B,'Region Mapping'!$A:$A)</f>
        <v>AFW</v>
      </c>
      <c r="I3" s="374" t="str">
        <f>_xlfn.XLOOKUP(I$4,'Region Mapping'!$B:$B,'Region Mapping'!$A:$A)</f>
        <v>AFN</v>
      </c>
      <c r="J3" s="374" t="str">
        <f>_xlfn.XLOOKUP(J$4,'Region Mapping'!$B:$B,'Region Mapping'!$A:$A)</f>
        <v>AFW</v>
      </c>
      <c r="K3" s="374" t="str">
        <f>_xlfn.XLOOKUP(K$4,'Region Mapping'!$B:$B,'Region Mapping'!$A:$A)</f>
        <v>IDN</v>
      </c>
      <c r="L3" s="374" t="str">
        <f>_xlfn.XLOOKUP(L$4,'Region Mapping'!$B:$B,'Region Mapping'!$A:$A)</f>
        <v>ASE</v>
      </c>
      <c r="M3" s="374" t="str">
        <f>_xlfn.XLOOKUP(M$4,'Region Mapping'!$B:$B,'Region Mapping'!$A:$A)</f>
        <v>NIG</v>
      </c>
      <c r="N3" s="374" t="str">
        <f>_xlfn.XLOOKUP(N$4,'Region Mapping'!$B:$B,'Region Mapping'!$A:$A)</f>
        <v>ENW</v>
      </c>
      <c r="O3" s="374" t="str">
        <f>_xlfn.XLOOKUP(O$4,'Region Mapping'!$B:$B,'Region Mapping'!$A:$A)</f>
        <v>MEA</v>
      </c>
      <c r="P3" s="374" t="str">
        <f>_xlfn.XLOOKUP(P$4,'Region Mapping'!$B:$B,'Region Mapping'!$A:$A)</f>
        <v>ASE</v>
      </c>
      <c r="Q3" s="374" t="str">
        <f>_xlfn.XLOOKUP(Q$4,'Region Mapping'!$B:$B,'Region Mapping'!$A:$A)</f>
        <v>LAM</v>
      </c>
      <c r="R3" s="374" t="str">
        <f>_xlfn.XLOOKUP(R$4,'Region Mapping'!$B:$B,'Region Mapping'!$A:$A)</f>
        <v>MEA</v>
      </c>
      <c r="S3" s="374" t="str">
        <f>_xlfn.XLOOKUP(S$4,'Region Mapping'!$B:$B,'Region Mapping'!$A:$A)</f>
        <v>RUS</v>
      </c>
      <c r="T3" s="374" t="str">
        <f>_xlfn.XLOOKUP(T$4,'Region Mapping'!$B:$B,'Region Mapping'!$A:$A)</f>
        <v>LAM</v>
      </c>
      <c r="U3" s="374" t="str">
        <f>_xlfn.XLOOKUP(U$4,'Region Mapping'!$B:$B,'Region Mapping'!$A:$A)</f>
        <v>MEA</v>
      </c>
      <c r="V3" s="374" t="str">
        <f>_xlfn.XLOOKUP(V$4,'Region Mapping'!$B:$B,'Region Mapping'!$A:$A)</f>
        <v>USA</v>
      </c>
      <c r="W3" s="374"/>
      <c r="X3" s="374"/>
      <c r="Y3" s="374"/>
      <c r="Z3" s="374"/>
    </row>
    <row r="4" spans="1:26">
      <c r="A4" s="374" t="s">
        <v>1715</v>
      </c>
      <c r="B4" s="374"/>
      <c r="C4" s="374" t="s">
        <v>1079</v>
      </c>
      <c r="D4" s="374" t="s">
        <v>1080</v>
      </c>
      <c r="E4" s="374" t="s">
        <v>1045</v>
      </c>
      <c r="F4" s="374" t="s">
        <v>1092</v>
      </c>
      <c r="G4" s="374" t="s">
        <v>1238</v>
      </c>
      <c r="H4" s="374" t="s">
        <v>1366</v>
      </c>
      <c r="I4" s="374" t="s">
        <v>1083</v>
      </c>
      <c r="J4" s="374" t="s">
        <v>1084</v>
      </c>
      <c r="K4" s="374" t="s">
        <v>1094</v>
      </c>
      <c r="L4" s="374" t="s">
        <v>1095</v>
      </c>
      <c r="M4" s="374" t="s">
        <v>239</v>
      </c>
      <c r="N4" s="374" t="s">
        <v>1055</v>
      </c>
      <c r="O4" s="374" t="s">
        <v>1071</v>
      </c>
      <c r="P4" s="374" t="s">
        <v>1139</v>
      </c>
      <c r="Q4" s="374" t="s">
        <v>1048</v>
      </c>
      <c r="R4" s="374" t="s">
        <v>1072</v>
      </c>
      <c r="S4" s="374" t="s">
        <v>242</v>
      </c>
      <c r="T4" s="374" t="s">
        <v>1270</v>
      </c>
      <c r="U4" s="374" t="s">
        <v>1075</v>
      </c>
      <c r="V4" s="374" t="s">
        <v>247</v>
      </c>
      <c r="W4" s="374" t="s">
        <v>1716</v>
      </c>
      <c r="X4" s="374" t="s">
        <v>1717</v>
      </c>
      <c r="Y4" s="374" t="s">
        <v>1718</v>
      </c>
      <c r="Z4" s="374" t="s">
        <v>1719</v>
      </c>
    </row>
    <row r="5" spans="1:26">
      <c r="A5" s="374" t="str">
        <f>_xlfn.XLOOKUP($B5,'Region Mapping'!$B:$B,'Region Mapping'!$A:$A)</f>
        <v>ASO</v>
      </c>
      <c r="B5" s="374" t="s">
        <v>1136</v>
      </c>
      <c r="C5" s="374">
        <v>0.3</v>
      </c>
      <c r="D5" s="374"/>
      <c r="E5" s="374"/>
      <c r="F5" s="374"/>
      <c r="G5" s="374"/>
      <c r="H5" s="374"/>
      <c r="I5" s="374">
        <v>0.1</v>
      </c>
      <c r="J5" s="374"/>
      <c r="K5" s="374">
        <v>0.1</v>
      </c>
      <c r="L5" s="374">
        <v>0.1</v>
      </c>
      <c r="M5" s="374">
        <v>0.4</v>
      </c>
      <c r="N5" s="374"/>
      <c r="O5" s="374">
        <v>0.1</v>
      </c>
      <c r="P5" s="374"/>
      <c r="Q5" s="374"/>
      <c r="R5" s="374">
        <v>2.8</v>
      </c>
      <c r="S5" s="374">
        <v>0.3</v>
      </c>
      <c r="T5" s="374"/>
      <c r="U5" s="374"/>
      <c r="V5" s="374"/>
      <c r="W5" s="374">
        <v>0.1</v>
      </c>
      <c r="X5" s="374"/>
      <c r="Y5" s="374">
        <v>4.0999999999999996</v>
      </c>
      <c r="Z5" s="374">
        <v>0.7</v>
      </c>
    </row>
    <row r="6" spans="1:26">
      <c r="A6" s="374" t="str">
        <f>_xlfn.XLOOKUP($B6,'Region Mapping'!$B:$B,'Region Mapping'!$A:$A)</f>
        <v>CHN</v>
      </c>
      <c r="B6" s="374" t="s">
        <v>203</v>
      </c>
      <c r="C6" s="374">
        <v>0.1</v>
      </c>
      <c r="D6" s="374">
        <v>0.1</v>
      </c>
      <c r="E6" s="374"/>
      <c r="F6" s="374">
        <v>28.2</v>
      </c>
      <c r="G6" s="374">
        <v>0.6</v>
      </c>
      <c r="H6" s="374">
        <v>0.5</v>
      </c>
      <c r="I6" s="374">
        <v>0.2</v>
      </c>
      <c r="J6" s="374">
        <v>0.4</v>
      </c>
      <c r="K6" s="374">
        <v>4.5</v>
      </c>
      <c r="L6" s="374">
        <v>7.5</v>
      </c>
      <c r="M6" s="374">
        <v>2</v>
      </c>
      <c r="N6" s="374">
        <v>0.1</v>
      </c>
      <c r="O6" s="374">
        <v>1.1000000000000001</v>
      </c>
      <c r="P6" s="374">
        <v>2.8</v>
      </c>
      <c r="Q6" s="374">
        <v>0.7</v>
      </c>
      <c r="R6" s="374">
        <v>8.5</v>
      </c>
      <c r="S6" s="374">
        <v>2.8</v>
      </c>
      <c r="T6" s="374">
        <v>0.8</v>
      </c>
      <c r="U6" s="374">
        <v>0.1</v>
      </c>
      <c r="V6" s="374">
        <v>0.3</v>
      </c>
      <c r="W6" s="374">
        <v>0.5</v>
      </c>
      <c r="X6" s="374">
        <v>0.1</v>
      </c>
      <c r="Y6" s="374">
        <v>61.7</v>
      </c>
      <c r="Z6" s="374">
        <v>54</v>
      </c>
    </row>
    <row r="7" spans="1:26">
      <c r="A7" s="374" t="str">
        <f>_xlfn.XLOOKUP($B7,'Region Mapping'!$B:$B,'Region Mapping'!$A:$A)</f>
        <v>SKT</v>
      </c>
      <c r="B7" s="374" t="s">
        <v>1477</v>
      </c>
      <c r="C7" s="374"/>
      <c r="D7" s="374"/>
      <c r="E7" s="374"/>
      <c r="F7" s="374">
        <v>4.4000000000000004</v>
      </c>
      <c r="G7" s="374">
        <v>0.2</v>
      </c>
      <c r="H7" s="374">
        <v>0.1</v>
      </c>
      <c r="I7" s="374">
        <v>0.1</v>
      </c>
      <c r="J7" s="374">
        <v>0.1</v>
      </c>
      <c r="K7" s="374">
        <v>0.4</v>
      </c>
      <c r="L7" s="374">
        <v>2.5</v>
      </c>
      <c r="M7" s="374">
        <v>0.2</v>
      </c>
      <c r="N7" s="374"/>
      <c r="O7" s="374">
        <v>0.1</v>
      </c>
      <c r="P7" s="374">
        <v>1.5</v>
      </c>
      <c r="Q7" s="374">
        <v>0.1</v>
      </c>
      <c r="R7" s="374">
        <v>4.7</v>
      </c>
      <c r="S7" s="374">
        <v>1.5</v>
      </c>
      <c r="T7" s="374">
        <v>0.2</v>
      </c>
      <c r="U7" s="374">
        <v>0.1</v>
      </c>
      <c r="V7" s="374">
        <v>0.5</v>
      </c>
      <c r="W7" s="374">
        <v>0.1</v>
      </c>
      <c r="X7" s="374"/>
      <c r="Y7" s="374">
        <v>16.7</v>
      </c>
      <c r="Z7" s="374">
        <v>16.8</v>
      </c>
    </row>
    <row r="8" spans="1:26">
      <c r="A8" s="374" t="str">
        <f>_xlfn.XLOOKUP($B8,'Region Mapping'!$B:$B,'Region Mapping'!$A:$A)</f>
        <v>IND</v>
      </c>
      <c r="B8" s="374" t="s">
        <v>224</v>
      </c>
      <c r="C8" s="374">
        <v>0.2</v>
      </c>
      <c r="D8" s="374">
        <v>2.9</v>
      </c>
      <c r="E8" s="374"/>
      <c r="F8" s="374">
        <v>1</v>
      </c>
      <c r="G8" s="374"/>
      <c r="H8" s="374">
        <v>0.4</v>
      </c>
      <c r="I8" s="374">
        <v>0.2</v>
      </c>
      <c r="J8" s="374">
        <v>0.5</v>
      </c>
      <c r="K8" s="374"/>
      <c r="L8" s="374">
        <v>0.4</v>
      </c>
      <c r="M8" s="374">
        <v>2.7</v>
      </c>
      <c r="N8" s="374">
        <v>0.1</v>
      </c>
      <c r="O8" s="374">
        <v>1</v>
      </c>
      <c r="P8" s="374"/>
      <c r="Q8" s="374"/>
      <c r="R8" s="374">
        <v>9.6999999999999993</v>
      </c>
      <c r="S8" s="374">
        <v>0.2</v>
      </c>
      <c r="T8" s="374">
        <v>0.1</v>
      </c>
      <c r="U8" s="374">
        <v>2.6</v>
      </c>
      <c r="V8" s="374">
        <v>1.8</v>
      </c>
      <c r="W8" s="374">
        <v>0.1</v>
      </c>
      <c r="X8" s="374">
        <v>0.1</v>
      </c>
      <c r="Y8" s="374">
        <v>24</v>
      </c>
      <c r="Z8" s="374">
        <v>22.4</v>
      </c>
    </row>
    <row r="9" spans="1:26">
      <c r="A9" s="374" t="str">
        <f>_xlfn.XLOOKUP($B9,'Region Mapping'!$B:$B,'Region Mapping'!$A:$A)</f>
        <v>ASO</v>
      </c>
      <c r="B9" s="374" t="s">
        <v>1138</v>
      </c>
      <c r="C9" s="374">
        <v>0.3</v>
      </c>
      <c r="D9" s="374"/>
      <c r="E9" s="374"/>
      <c r="F9" s="374"/>
      <c r="G9" s="374"/>
      <c r="H9" s="374"/>
      <c r="I9" s="374">
        <v>0.6</v>
      </c>
      <c r="J9" s="374">
        <v>0.2</v>
      </c>
      <c r="K9" s="374"/>
      <c r="L9" s="374">
        <v>0.1</v>
      </c>
      <c r="M9" s="374">
        <v>1</v>
      </c>
      <c r="N9" s="374"/>
      <c r="O9" s="374">
        <v>0.3</v>
      </c>
      <c r="P9" s="374"/>
      <c r="Q9" s="374"/>
      <c r="R9" s="374">
        <v>4.8</v>
      </c>
      <c r="S9" s="374"/>
      <c r="T9" s="374"/>
      <c r="U9" s="374">
        <v>0.4</v>
      </c>
      <c r="V9" s="374">
        <v>0.5</v>
      </c>
      <c r="W9" s="374">
        <v>0.1</v>
      </c>
      <c r="X9" s="374"/>
      <c r="Y9" s="374">
        <v>8.1</v>
      </c>
      <c r="Z9" s="374">
        <v>6.9</v>
      </c>
    </row>
    <row r="10" spans="1:26">
      <c r="A10" s="374" t="str">
        <f>_xlfn.XLOOKUP($B10,'Region Mapping'!$B:$B,'Region Mapping'!$A:$A)</f>
        <v>IDN</v>
      </c>
      <c r="B10" s="374" t="s">
        <v>1094</v>
      </c>
      <c r="C10" s="374"/>
      <c r="D10" s="374"/>
      <c r="E10" s="374"/>
      <c r="F10" s="374">
        <v>0.1</v>
      </c>
      <c r="G10" s="374"/>
      <c r="H10" s="374"/>
      <c r="I10" s="374"/>
      <c r="J10" s="374"/>
      <c r="K10" s="374">
        <v>3.6</v>
      </c>
      <c r="L10" s="374"/>
      <c r="M10" s="374"/>
      <c r="N10" s="374"/>
      <c r="O10" s="374"/>
      <c r="P10" s="374"/>
      <c r="Q10" s="374"/>
      <c r="R10" s="374">
        <v>0</v>
      </c>
      <c r="S10" s="374"/>
      <c r="T10" s="374"/>
      <c r="U10" s="374"/>
      <c r="V10" s="374"/>
      <c r="W10" s="374"/>
      <c r="X10" s="374"/>
      <c r="Y10" s="374">
        <v>3.6</v>
      </c>
      <c r="Z10" s="374">
        <v>3</v>
      </c>
    </row>
    <row r="11" spans="1:26">
      <c r="A11" s="374" t="str">
        <f>_xlfn.XLOOKUP($B11,'Region Mapping'!$B:$B,'Region Mapping'!$A:$A)</f>
        <v>JPN</v>
      </c>
      <c r="B11" s="374" t="s">
        <v>226</v>
      </c>
      <c r="C11" s="374">
        <v>0.1</v>
      </c>
      <c r="D11" s="374"/>
      <c r="E11" s="374"/>
      <c r="F11" s="374">
        <v>29.8</v>
      </c>
      <c r="G11" s="374">
        <v>4.3</v>
      </c>
      <c r="H11" s="374"/>
      <c r="I11" s="374">
        <v>0.1</v>
      </c>
      <c r="J11" s="374">
        <v>0.1</v>
      </c>
      <c r="K11" s="374">
        <v>4</v>
      </c>
      <c r="L11" s="374">
        <v>9.4</v>
      </c>
      <c r="M11" s="374">
        <v>0.8</v>
      </c>
      <c r="N11" s="374"/>
      <c r="O11" s="374">
        <v>2.9</v>
      </c>
      <c r="P11" s="374">
        <v>3.7</v>
      </c>
      <c r="Q11" s="374">
        <v>0.7</v>
      </c>
      <c r="R11" s="374">
        <v>8.6999999999999993</v>
      </c>
      <c r="S11" s="374">
        <v>6.3</v>
      </c>
      <c r="T11" s="374"/>
      <c r="U11" s="374">
        <v>2.2000000000000002</v>
      </c>
      <c r="V11" s="374">
        <v>3.6</v>
      </c>
      <c r="W11" s="374">
        <v>0.1</v>
      </c>
      <c r="X11" s="374"/>
      <c r="Y11" s="374">
        <v>76.900000000000006</v>
      </c>
      <c r="Z11" s="374">
        <v>82.5</v>
      </c>
    </row>
    <row r="12" spans="1:26">
      <c r="A12" s="374" t="str">
        <f>_xlfn.XLOOKUP($B12,'Region Mapping'!$B:$B,'Region Mapping'!$A:$A)</f>
        <v>ASE</v>
      </c>
      <c r="B12" s="374" t="s">
        <v>1095</v>
      </c>
      <c r="C12" s="374"/>
      <c r="D12" s="374"/>
      <c r="E12" s="374"/>
      <c r="F12" s="374">
        <v>1.5</v>
      </c>
      <c r="G12" s="374">
        <v>0.7</v>
      </c>
      <c r="H12" s="374"/>
      <c r="I12" s="374"/>
      <c r="J12" s="374">
        <v>0.1</v>
      </c>
      <c r="K12" s="374"/>
      <c r="L12" s="374">
        <v>0.3</v>
      </c>
      <c r="M12" s="374">
        <v>0.1</v>
      </c>
      <c r="N12" s="374"/>
      <c r="O12" s="374"/>
      <c r="P12" s="374"/>
      <c r="Q12" s="374"/>
      <c r="R12" s="374"/>
      <c r="S12" s="374"/>
      <c r="T12" s="374"/>
      <c r="U12" s="374"/>
      <c r="V12" s="374">
        <v>0.1</v>
      </c>
      <c r="W12" s="374">
        <v>0.1</v>
      </c>
      <c r="X12" s="374"/>
      <c r="Y12" s="374">
        <v>2.7</v>
      </c>
      <c r="Z12" s="374">
        <v>1.4</v>
      </c>
    </row>
    <row r="13" spans="1:26">
      <c r="A13" s="374" t="str">
        <f>_xlfn.XLOOKUP($B13,'Region Mapping'!$B:$B,'Region Mapping'!$A:$A)</f>
        <v>ASE</v>
      </c>
      <c r="B13" s="374" t="s">
        <v>1582</v>
      </c>
      <c r="C13" s="374"/>
      <c r="D13" s="374">
        <v>0.1</v>
      </c>
      <c r="E13" s="374"/>
      <c r="F13" s="374">
        <v>1.9</v>
      </c>
      <c r="G13" s="374"/>
      <c r="H13" s="374"/>
      <c r="I13" s="374">
        <v>0.4</v>
      </c>
      <c r="J13" s="374">
        <v>0.3</v>
      </c>
      <c r="K13" s="374">
        <v>0.1</v>
      </c>
      <c r="L13" s="374"/>
      <c r="M13" s="374">
        <v>0.1</v>
      </c>
      <c r="N13" s="374"/>
      <c r="O13" s="374"/>
      <c r="P13" s="374"/>
      <c r="Q13" s="374"/>
      <c r="R13" s="374">
        <v>0.1</v>
      </c>
      <c r="S13" s="374"/>
      <c r="T13" s="374">
        <v>0.1</v>
      </c>
      <c r="U13" s="374"/>
      <c r="V13" s="374">
        <v>0.6</v>
      </c>
      <c r="W13" s="374"/>
      <c r="X13" s="374">
        <v>0.4</v>
      </c>
      <c r="Y13" s="374">
        <v>3.3</v>
      </c>
      <c r="Z13" s="374">
        <v>2.6</v>
      </c>
    </row>
    <row r="14" spans="1:26">
      <c r="A14" s="374" t="str">
        <f>_xlfn.XLOOKUP($B14,'Region Mapping'!$B:$B,'Region Mapping'!$A:$A)</f>
        <v>SKT</v>
      </c>
      <c r="B14" s="374" t="s">
        <v>1466</v>
      </c>
      <c r="C14" s="374"/>
      <c r="D14" s="374"/>
      <c r="E14" s="374"/>
      <c r="F14" s="374">
        <v>7.6</v>
      </c>
      <c r="G14" s="374">
        <v>0.6</v>
      </c>
      <c r="H14" s="374"/>
      <c r="I14" s="374">
        <v>0.1</v>
      </c>
      <c r="J14" s="374">
        <v>0.1</v>
      </c>
      <c r="K14" s="374">
        <v>2.2999999999999998</v>
      </c>
      <c r="L14" s="374">
        <v>4.7</v>
      </c>
      <c r="M14" s="374">
        <v>0.6</v>
      </c>
      <c r="N14" s="374"/>
      <c r="O14" s="374">
        <v>3.9</v>
      </c>
      <c r="P14" s="374">
        <v>0.3</v>
      </c>
      <c r="Q14" s="374">
        <v>1.1000000000000001</v>
      </c>
      <c r="R14" s="374">
        <v>11.1</v>
      </c>
      <c r="S14" s="374">
        <v>2.4</v>
      </c>
      <c r="T14" s="374">
        <v>0.1</v>
      </c>
      <c r="U14" s="374">
        <v>0.2</v>
      </c>
      <c r="V14" s="374">
        <v>5</v>
      </c>
      <c r="W14" s="374">
        <v>0.1</v>
      </c>
      <c r="X14" s="374"/>
      <c r="Y14" s="374">
        <v>40.1</v>
      </c>
      <c r="Z14" s="374">
        <v>43.9</v>
      </c>
    </row>
    <row r="15" spans="1:26">
      <c r="A15" s="374" t="str">
        <f>_xlfn.XLOOKUP($B15,'Region Mapping'!$B:$B,'Region Mapping'!$A:$A)</f>
        <v>ASE</v>
      </c>
      <c r="B15" s="374" t="s">
        <v>1096</v>
      </c>
      <c r="C15" s="374"/>
      <c r="D15" s="374">
        <v>0.1</v>
      </c>
      <c r="E15" s="374"/>
      <c r="F15" s="374">
        <v>0.8</v>
      </c>
      <c r="G15" s="374"/>
      <c r="H15" s="374"/>
      <c r="I15" s="374">
        <v>0.1</v>
      </c>
      <c r="J15" s="374"/>
      <c r="K15" s="374">
        <v>0.3</v>
      </c>
      <c r="L15" s="374">
        <v>1.3</v>
      </c>
      <c r="M15" s="374">
        <v>0</v>
      </c>
      <c r="N15" s="374"/>
      <c r="O15" s="374">
        <v>0.1</v>
      </c>
      <c r="P15" s="374"/>
      <c r="Q15" s="374">
        <v>0.1</v>
      </c>
      <c r="R15" s="374">
        <v>2</v>
      </c>
      <c r="S15" s="374">
        <v>0.1</v>
      </c>
      <c r="T15" s="374">
        <v>0.1</v>
      </c>
      <c r="U15" s="374"/>
      <c r="V15" s="374">
        <v>0.1</v>
      </c>
      <c r="W15" s="374"/>
      <c r="X15" s="374"/>
      <c r="Y15" s="374">
        <v>5</v>
      </c>
      <c r="Z15" s="374">
        <v>4.4000000000000004</v>
      </c>
    </row>
    <row r="16" spans="1:26">
      <c r="A16" s="374" t="str">
        <f>_xlfn.XLOOKUP($B16,'Region Mapping'!$B:$B,'Region Mapping'!$A:$A)</f>
        <v>EUW</v>
      </c>
      <c r="B16" s="374" t="s">
        <v>1469</v>
      </c>
      <c r="C16" s="374"/>
      <c r="D16" s="374">
        <v>0.1</v>
      </c>
      <c r="E16" s="374"/>
      <c r="F16" s="374"/>
      <c r="G16" s="374"/>
      <c r="H16" s="374"/>
      <c r="I16" s="374">
        <v>0.1</v>
      </c>
      <c r="J16" s="374"/>
      <c r="K16" s="374"/>
      <c r="L16" s="374"/>
      <c r="M16" s="374"/>
      <c r="N16" s="374"/>
      <c r="O16" s="374"/>
      <c r="P16" s="374"/>
      <c r="Q16" s="374"/>
      <c r="R16" s="374">
        <v>3.3</v>
      </c>
      <c r="S16" s="374">
        <v>1.4</v>
      </c>
      <c r="T16" s="374"/>
      <c r="U16" s="374"/>
      <c r="V16" s="374">
        <v>0.3</v>
      </c>
      <c r="W16" s="374"/>
      <c r="X16" s="374">
        <v>0.1</v>
      </c>
      <c r="Y16" s="374">
        <v>5.0999999999999996</v>
      </c>
      <c r="Z16" s="374">
        <v>1.9</v>
      </c>
    </row>
    <row r="17" spans="1:26">
      <c r="A17" s="374" t="str">
        <f>_xlfn.XLOOKUP($B17,'Region Mapping'!$B:$B,'Region Mapping'!$A:$A)</f>
        <v>EUW</v>
      </c>
      <c r="B17" s="374" t="s">
        <v>1197</v>
      </c>
      <c r="C17" s="374"/>
      <c r="D17" s="374"/>
      <c r="E17" s="374"/>
      <c r="F17" s="374"/>
      <c r="G17" s="374"/>
      <c r="H17" s="374"/>
      <c r="I17" s="374"/>
      <c r="J17" s="374"/>
      <c r="K17" s="374"/>
      <c r="L17" s="374"/>
      <c r="M17" s="374"/>
      <c r="N17" s="374"/>
      <c r="O17" s="374"/>
      <c r="P17" s="374"/>
      <c r="Q17" s="374"/>
      <c r="R17" s="374"/>
      <c r="S17" s="374">
        <v>0.1</v>
      </c>
      <c r="T17" s="374"/>
      <c r="U17" s="374"/>
      <c r="V17" s="374"/>
      <c r="W17" s="374"/>
      <c r="X17" s="374"/>
      <c r="Y17" s="374">
        <v>0.1</v>
      </c>
      <c r="Z17" s="374">
        <v>0.1</v>
      </c>
    </row>
    <row r="18" spans="1:26">
      <c r="A18" s="374" t="str">
        <f>_xlfn.XLOOKUP($B18,'Region Mapping'!$B:$B,'Region Mapping'!$A:$A)</f>
        <v>EUM</v>
      </c>
      <c r="B18" s="374" t="s">
        <v>1445</v>
      </c>
      <c r="C18" s="374">
        <v>2.7</v>
      </c>
      <c r="D18" s="374">
        <v>0.3</v>
      </c>
      <c r="E18" s="374"/>
      <c r="F18" s="374"/>
      <c r="G18" s="374"/>
      <c r="H18" s="374"/>
      <c r="I18" s="374">
        <v>0.3</v>
      </c>
      <c r="J18" s="374"/>
      <c r="K18" s="374"/>
      <c r="L18" s="374"/>
      <c r="M18" s="374">
        <v>3</v>
      </c>
      <c r="N18" s="374">
        <v>1.1000000000000001</v>
      </c>
      <c r="O18" s="374"/>
      <c r="P18" s="374"/>
      <c r="Q18" s="374">
        <v>0.3</v>
      </c>
      <c r="R18" s="374">
        <v>1.3</v>
      </c>
      <c r="S18" s="374">
        <v>5</v>
      </c>
      <c r="T18" s="374">
        <v>0.2</v>
      </c>
      <c r="U18" s="374"/>
      <c r="V18" s="374">
        <v>2</v>
      </c>
      <c r="W18" s="374"/>
      <c r="X18" s="374">
        <v>0.6</v>
      </c>
      <c r="Y18" s="374">
        <v>15.6</v>
      </c>
      <c r="Z18" s="374">
        <v>7.8</v>
      </c>
    </row>
    <row r="19" spans="1:26">
      <c r="A19" s="374" t="str">
        <f>_xlfn.XLOOKUP($B19,'Region Mapping'!$B:$B,'Region Mapping'!$A:$A)</f>
        <v>ENW</v>
      </c>
      <c r="B19" s="374" t="s">
        <v>1720</v>
      </c>
      <c r="C19" s="374"/>
      <c r="D19" s="374"/>
      <c r="E19" s="374"/>
      <c r="F19" s="374"/>
      <c r="G19" s="374"/>
      <c r="H19" s="374"/>
      <c r="I19" s="374"/>
      <c r="J19" s="374"/>
      <c r="K19" s="374"/>
      <c r="L19" s="374"/>
      <c r="M19" s="374"/>
      <c r="N19" s="374"/>
      <c r="O19" s="374"/>
      <c r="P19" s="374"/>
      <c r="Q19" s="374"/>
      <c r="R19" s="374">
        <v>0</v>
      </c>
      <c r="S19" s="374"/>
      <c r="T19" s="374"/>
      <c r="U19" s="374"/>
      <c r="V19" s="374"/>
      <c r="W19" s="374">
        <v>0.1</v>
      </c>
      <c r="X19" s="374"/>
      <c r="Y19" s="374">
        <v>0.1</v>
      </c>
      <c r="Z19" s="374"/>
    </row>
    <row r="20" spans="1:26">
      <c r="A20" s="374" t="str">
        <f>_xlfn.XLOOKUP($B20,'Region Mapping'!$B:$B,'Region Mapping'!$A:$A)</f>
        <v>EUM</v>
      </c>
      <c r="B20" s="374" t="s">
        <v>1160</v>
      </c>
      <c r="C20" s="374">
        <v>0.4</v>
      </c>
      <c r="D20" s="374">
        <v>0.1</v>
      </c>
      <c r="E20" s="374"/>
      <c r="F20" s="374"/>
      <c r="G20" s="374"/>
      <c r="H20" s="374"/>
      <c r="I20" s="374">
        <v>0.2</v>
      </c>
      <c r="J20" s="374"/>
      <c r="K20" s="374"/>
      <c r="L20" s="374"/>
      <c r="M20" s="374">
        <v>0.3</v>
      </c>
      <c r="N20" s="374">
        <v>0.4</v>
      </c>
      <c r="O20" s="374"/>
      <c r="P20" s="374"/>
      <c r="Q20" s="374"/>
      <c r="R20" s="374">
        <v>0.4</v>
      </c>
      <c r="S20" s="374">
        <v>0.1</v>
      </c>
      <c r="T20" s="374"/>
      <c r="U20" s="374"/>
      <c r="V20" s="374">
        <v>0.2</v>
      </c>
      <c r="W20" s="374"/>
      <c r="X20" s="374"/>
      <c r="Y20" s="374">
        <v>2.1</v>
      </c>
      <c r="Z20" s="374">
        <v>0.9</v>
      </c>
    </row>
    <row r="21" spans="1:26">
      <c r="A21" s="374" t="str">
        <f>_xlfn.XLOOKUP($B21,'Region Mapping'!$B:$B,'Region Mapping'!$A:$A)</f>
        <v>EUM</v>
      </c>
      <c r="B21" s="374" t="s">
        <v>1054</v>
      </c>
      <c r="C21" s="374">
        <v>2.2000000000000002</v>
      </c>
      <c r="D21" s="374"/>
      <c r="E21" s="374"/>
      <c r="F21" s="374"/>
      <c r="G21" s="374"/>
      <c r="H21" s="374"/>
      <c r="I21" s="374">
        <v>0.3</v>
      </c>
      <c r="J21" s="374">
        <v>0.1</v>
      </c>
      <c r="K21" s="374"/>
      <c r="L21" s="374"/>
      <c r="M21" s="374">
        <v>0.1</v>
      </c>
      <c r="N21" s="374">
        <v>0.1</v>
      </c>
      <c r="O21" s="374"/>
      <c r="P21" s="374"/>
      <c r="Q21" s="374"/>
      <c r="R21" s="374">
        <v>4.7</v>
      </c>
      <c r="S21" s="374">
        <v>0.1</v>
      </c>
      <c r="T21" s="374">
        <v>1.1000000000000001</v>
      </c>
      <c r="U21" s="374"/>
      <c r="V21" s="374">
        <v>1.2</v>
      </c>
      <c r="W21" s="374">
        <v>0.1</v>
      </c>
      <c r="X21" s="374"/>
      <c r="Y21" s="374">
        <v>9.8000000000000007</v>
      </c>
      <c r="Z21" s="374">
        <v>6.1</v>
      </c>
    </row>
    <row r="22" spans="1:26">
      <c r="A22" s="374" t="str">
        <f>_xlfn.XLOOKUP($B22,'Region Mapping'!$B:$B,'Region Mapping'!$A:$A)</f>
        <v>EUE</v>
      </c>
      <c r="B22" s="374" t="s">
        <v>1604</v>
      </c>
      <c r="C22" s="374"/>
      <c r="D22" s="374"/>
      <c r="E22" s="374"/>
      <c r="F22" s="374"/>
      <c r="G22" s="374"/>
      <c r="H22" s="374"/>
      <c r="I22" s="374"/>
      <c r="J22" s="374"/>
      <c r="K22" s="374"/>
      <c r="L22" s="374"/>
      <c r="M22" s="374"/>
      <c r="N22" s="374">
        <v>1</v>
      </c>
      <c r="O22" s="374"/>
      <c r="P22" s="374"/>
      <c r="Q22" s="374"/>
      <c r="R22" s="374"/>
      <c r="S22" s="374">
        <v>0.3</v>
      </c>
      <c r="T22" s="374"/>
      <c r="U22" s="374"/>
      <c r="V22" s="374">
        <v>0.1</v>
      </c>
      <c r="W22" s="374">
        <v>0.1</v>
      </c>
      <c r="X22" s="374"/>
      <c r="Y22" s="374">
        <v>1.4</v>
      </c>
      <c r="Z22" s="374">
        <v>0.6</v>
      </c>
    </row>
    <row r="23" spans="1:26">
      <c r="A23" s="374" t="str">
        <f>_xlfn.XLOOKUP($B23,'Region Mapping'!$B:$B,'Region Mapping'!$A:$A)</f>
        <v>EUM</v>
      </c>
      <c r="B23" s="374" t="s">
        <v>1721</v>
      </c>
      <c r="C23" s="374"/>
      <c r="D23" s="374"/>
      <c r="E23" s="374"/>
      <c r="F23" s="374"/>
      <c r="G23" s="374"/>
      <c r="H23" s="374"/>
      <c r="I23" s="374"/>
      <c r="J23" s="374"/>
      <c r="K23" s="374"/>
      <c r="L23" s="374"/>
      <c r="M23" s="374"/>
      <c r="N23" s="374">
        <v>0.1</v>
      </c>
      <c r="O23" s="374"/>
      <c r="P23" s="374"/>
      <c r="Q23" s="374"/>
      <c r="R23" s="374"/>
      <c r="S23" s="374"/>
      <c r="T23" s="374">
        <v>0.3</v>
      </c>
      <c r="U23" s="374"/>
      <c r="V23" s="374"/>
      <c r="W23" s="374"/>
      <c r="X23" s="374"/>
      <c r="Y23" s="374">
        <v>0.4</v>
      </c>
      <c r="Z23" s="374">
        <v>0.3</v>
      </c>
    </row>
    <row r="24" spans="1:26">
      <c r="A24" s="374" t="str">
        <f>_xlfn.XLOOKUP($B24,'Region Mapping'!$B:$B,'Region Mapping'!$A:$A)</f>
        <v>EUW</v>
      </c>
      <c r="B24" s="374" t="s">
        <v>1131</v>
      </c>
      <c r="C24" s="374">
        <v>0.1</v>
      </c>
      <c r="D24" s="374">
        <v>0.2</v>
      </c>
      <c r="E24" s="374"/>
      <c r="F24" s="374"/>
      <c r="G24" s="374"/>
      <c r="H24" s="374"/>
      <c r="I24" s="374"/>
      <c r="J24" s="374"/>
      <c r="K24" s="374"/>
      <c r="L24" s="374"/>
      <c r="M24" s="374">
        <v>0.2</v>
      </c>
      <c r="N24" s="374">
        <v>0.3</v>
      </c>
      <c r="O24" s="374"/>
      <c r="P24" s="374"/>
      <c r="Q24" s="374">
        <v>0.3</v>
      </c>
      <c r="R24" s="374">
        <v>0.1</v>
      </c>
      <c r="S24" s="374">
        <v>3.1</v>
      </c>
      <c r="T24" s="374">
        <v>0.1</v>
      </c>
      <c r="U24" s="374"/>
      <c r="V24" s="374">
        <v>1.4</v>
      </c>
      <c r="W24" s="374"/>
      <c r="X24" s="374">
        <v>0.1</v>
      </c>
      <c r="Y24" s="374">
        <v>5.8</v>
      </c>
      <c r="Z24" s="374">
        <v>2</v>
      </c>
    </row>
    <row r="25" spans="1:26">
      <c r="A25" s="374" t="str">
        <f>_xlfn.XLOOKUP($B25,'Region Mapping'!$B:$B,'Region Mapping'!$A:$A)</f>
        <v>ENW</v>
      </c>
      <c r="B25" s="374" t="s">
        <v>1055</v>
      </c>
      <c r="C25" s="374"/>
      <c r="D25" s="374"/>
      <c r="E25" s="374"/>
      <c r="F25" s="374"/>
      <c r="G25" s="374"/>
      <c r="H25" s="374"/>
      <c r="I25" s="374"/>
      <c r="J25" s="374"/>
      <c r="K25" s="374"/>
      <c r="L25" s="374"/>
      <c r="M25" s="374"/>
      <c r="N25" s="374">
        <v>0.1</v>
      </c>
      <c r="O25" s="374"/>
      <c r="P25" s="374"/>
      <c r="Q25" s="374"/>
      <c r="R25" s="374"/>
      <c r="S25" s="374"/>
      <c r="T25" s="374"/>
      <c r="U25" s="374"/>
      <c r="V25" s="374"/>
      <c r="W25" s="374"/>
      <c r="X25" s="374"/>
      <c r="Y25" s="374">
        <v>0.1</v>
      </c>
      <c r="Z25" s="374">
        <v>0.1</v>
      </c>
    </row>
    <row r="26" spans="1:26">
      <c r="A26" s="374" t="str">
        <f>_xlfn.XLOOKUP($B26,'Region Mapping'!$B:$B,'Region Mapping'!$A:$A)</f>
        <v>EUE</v>
      </c>
      <c r="B26" s="374" t="s">
        <v>1132</v>
      </c>
      <c r="C26" s="374"/>
      <c r="D26" s="374"/>
      <c r="E26" s="374"/>
      <c r="F26" s="374"/>
      <c r="G26" s="374"/>
      <c r="H26" s="374"/>
      <c r="I26" s="374"/>
      <c r="J26" s="374"/>
      <c r="K26" s="374"/>
      <c r="L26" s="374"/>
      <c r="M26" s="374"/>
      <c r="N26" s="374">
        <v>0.1</v>
      </c>
      <c r="O26" s="374"/>
      <c r="P26" s="374"/>
      <c r="Q26" s="374"/>
      <c r="R26" s="374">
        <v>1.7</v>
      </c>
      <c r="S26" s="374"/>
      <c r="T26" s="374"/>
      <c r="U26" s="374"/>
      <c r="V26" s="374">
        <v>0.7</v>
      </c>
      <c r="W26" s="374"/>
      <c r="X26" s="374"/>
      <c r="Y26" s="374">
        <v>2.5</v>
      </c>
      <c r="Z26" s="374">
        <v>2</v>
      </c>
    </row>
    <row r="27" spans="1:26">
      <c r="A27" s="374" t="str">
        <f>_xlfn.XLOOKUP($B27,'Region Mapping'!$B:$B,'Region Mapping'!$A:$A)</f>
        <v>EUM</v>
      </c>
      <c r="B27" s="374" t="s">
        <v>1207</v>
      </c>
      <c r="C27" s="374">
        <v>0.1</v>
      </c>
      <c r="D27" s="374"/>
      <c r="E27" s="374"/>
      <c r="F27" s="374"/>
      <c r="G27" s="374"/>
      <c r="H27" s="374"/>
      <c r="I27" s="374"/>
      <c r="J27" s="374"/>
      <c r="K27" s="374"/>
      <c r="L27" s="374"/>
      <c r="M27" s="374">
        <v>2.4</v>
      </c>
      <c r="N27" s="374"/>
      <c r="O27" s="374"/>
      <c r="P27" s="374"/>
      <c r="Q27" s="374"/>
      <c r="R27" s="374">
        <v>0.5</v>
      </c>
      <c r="S27" s="374">
        <v>0.1</v>
      </c>
      <c r="T27" s="374">
        <v>0.1</v>
      </c>
      <c r="U27" s="374"/>
      <c r="V27" s="374">
        <v>1</v>
      </c>
      <c r="W27" s="374"/>
      <c r="X27" s="374"/>
      <c r="Y27" s="374">
        <v>4.0999999999999996</v>
      </c>
      <c r="Z27" s="374">
        <v>2.9</v>
      </c>
    </row>
    <row r="28" spans="1:26">
      <c r="A28" s="374" t="str">
        <f>_xlfn.XLOOKUP($B28,'Region Mapping'!$B:$B,'Region Mapping'!$A:$A)</f>
        <v>EUM</v>
      </c>
      <c r="B28" s="374" t="s">
        <v>1163</v>
      </c>
      <c r="C28" s="374">
        <v>0.8</v>
      </c>
      <c r="D28" s="374">
        <v>0.2</v>
      </c>
      <c r="E28" s="374"/>
      <c r="F28" s="374"/>
      <c r="G28" s="374"/>
      <c r="H28" s="374">
        <v>0.1</v>
      </c>
      <c r="I28" s="374"/>
      <c r="J28" s="374">
        <v>0.1</v>
      </c>
      <c r="K28" s="374"/>
      <c r="L28" s="374"/>
      <c r="M28" s="374">
        <v>3.1</v>
      </c>
      <c r="N28" s="374">
        <v>0.5</v>
      </c>
      <c r="O28" s="374"/>
      <c r="P28" s="374"/>
      <c r="Q28" s="374">
        <v>0.3</v>
      </c>
      <c r="R28" s="374">
        <v>3.2</v>
      </c>
      <c r="S28" s="374">
        <v>2.2999999999999998</v>
      </c>
      <c r="T28" s="374">
        <v>2.1</v>
      </c>
      <c r="U28" s="374"/>
      <c r="V28" s="374">
        <v>3.1</v>
      </c>
      <c r="W28" s="374"/>
      <c r="X28" s="374"/>
      <c r="Y28" s="374">
        <v>15.7</v>
      </c>
      <c r="Z28" s="374">
        <v>10.7</v>
      </c>
    </row>
    <row r="29" spans="1:26">
      <c r="A29" s="374" t="str">
        <f>_xlfn.XLOOKUP($B29,'Region Mapping'!$B:$B,'Region Mapping'!$A:$A)</f>
        <v>EUW</v>
      </c>
      <c r="B29" s="374" t="s">
        <v>1212</v>
      </c>
      <c r="C29" s="374"/>
      <c r="D29" s="374"/>
      <c r="E29" s="374"/>
      <c r="F29" s="374"/>
      <c r="G29" s="374"/>
      <c r="H29" s="374"/>
      <c r="I29" s="374"/>
      <c r="J29" s="374"/>
      <c r="K29" s="374"/>
      <c r="L29" s="374"/>
      <c r="M29" s="374"/>
      <c r="N29" s="374">
        <v>0.1</v>
      </c>
      <c r="O29" s="374"/>
      <c r="P29" s="374"/>
      <c r="Q29" s="374"/>
      <c r="R29" s="374"/>
      <c r="S29" s="374">
        <v>0.1</v>
      </c>
      <c r="T29" s="374"/>
      <c r="U29" s="374"/>
      <c r="V29" s="374"/>
      <c r="W29" s="374">
        <v>0.1</v>
      </c>
      <c r="X29" s="374"/>
      <c r="Y29" s="374">
        <v>0.3</v>
      </c>
      <c r="Z29" s="374">
        <v>0.2</v>
      </c>
    </row>
    <row r="30" spans="1:26">
      <c r="A30" s="374" t="str">
        <f>_xlfn.XLOOKUP($B30,'Region Mapping'!$B:$B,'Region Mapping'!$A:$A)</f>
        <v>MDA</v>
      </c>
      <c r="B30" s="374" t="s">
        <v>1164</v>
      </c>
      <c r="C30" s="374">
        <v>4.3</v>
      </c>
      <c r="D30" s="374"/>
      <c r="E30" s="374"/>
      <c r="F30" s="374"/>
      <c r="G30" s="374"/>
      <c r="H30" s="374"/>
      <c r="I30" s="374">
        <v>0.3</v>
      </c>
      <c r="J30" s="374">
        <v>0.1</v>
      </c>
      <c r="K30" s="374"/>
      <c r="L30" s="374"/>
      <c r="M30" s="374">
        <v>1.8</v>
      </c>
      <c r="N30" s="374">
        <v>0.1</v>
      </c>
      <c r="O30" s="374"/>
      <c r="P30" s="374"/>
      <c r="Q30" s="374"/>
      <c r="R30" s="374">
        <v>1.8</v>
      </c>
      <c r="S30" s="374">
        <v>0.1</v>
      </c>
      <c r="T30" s="374">
        <v>0.3</v>
      </c>
      <c r="U30" s="374"/>
      <c r="V30" s="374">
        <v>0.7</v>
      </c>
      <c r="W30" s="374"/>
      <c r="X30" s="374"/>
      <c r="Y30" s="374">
        <v>9.4</v>
      </c>
      <c r="Z30" s="374">
        <v>8.3000000000000007</v>
      </c>
    </row>
    <row r="31" spans="1:26">
      <c r="A31" s="374" t="str">
        <f>_xlfn.XLOOKUP($B31,'Region Mapping'!$B:$B,'Region Mapping'!$A:$A)</f>
        <v>ENW</v>
      </c>
      <c r="B31" s="374" t="s">
        <v>1517</v>
      </c>
      <c r="C31" s="374">
        <v>0.7</v>
      </c>
      <c r="D31" s="374">
        <v>0.1</v>
      </c>
      <c r="E31" s="374"/>
      <c r="F31" s="374"/>
      <c r="G31" s="374"/>
      <c r="H31" s="374">
        <v>0.1</v>
      </c>
      <c r="I31" s="374"/>
      <c r="J31" s="374">
        <v>0.2</v>
      </c>
      <c r="K31" s="374"/>
      <c r="L31" s="374"/>
      <c r="M31" s="374">
        <v>0.3</v>
      </c>
      <c r="N31" s="374">
        <v>0.3</v>
      </c>
      <c r="O31" s="374"/>
      <c r="P31" s="374"/>
      <c r="Q31" s="374">
        <v>0.2</v>
      </c>
      <c r="R31" s="374">
        <v>6.6</v>
      </c>
      <c r="S31" s="374">
        <v>2.4</v>
      </c>
      <c r="T31" s="374">
        <v>0.7</v>
      </c>
      <c r="U31" s="374"/>
      <c r="V31" s="374">
        <v>2.1</v>
      </c>
      <c r="W31" s="374"/>
      <c r="X31" s="374"/>
      <c r="Y31" s="374">
        <v>13.5</v>
      </c>
      <c r="Z31" s="374">
        <v>5</v>
      </c>
    </row>
    <row r="32" spans="1:26">
      <c r="A32" s="374" t="str">
        <f>_xlfn.XLOOKUP($B32,'Region Mapping'!$B:$B,'Region Mapping'!$A:$A)</f>
        <v>LAM</v>
      </c>
      <c r="B32" s="374" t="s">
        <v>1045</v>
      </c>
      <c r="C32" s="374"/>
      <c r="D32" s="374"/>
      <c r="E32" s="374"/>
      <c r="F32" s="374"/>
      <c r="G32" s="374"/>
      <c r="H32" s="374"/>
      <c r="I32" s="374"/>
      <c r="J32" s="374"/>
      <c r="K32" s="374"/>
      <c r="L32" s="374"/>
      <c r="M32" s="374"/>
      <c r="N32" s="374"/>
      <c r="O32" s="374"/>
      <c r="P32" s="374"/>
      <c r="Q32" s="374"/>
      <c r="R32" s="374"/>
      <c r="S32" s="374"/>
      <c r="T32" s="374">
        <v>0.4</v>
      </c>
      <c r="U32" s="374"/>
      <c r="V32" s="374">
        <v>0.7</v>
      </c>
      <c r="W32" s="374"/>
      <c r="X32" s="374"/>
      <c r="Y32" s="374">
        <v>1.2</v>
      </c>
      <c r="Z32" s="374">
        <v>2.6</v>
      </c>
    </row>
    <row r="33" spans="1:26">
      <c r="A33" s="374" t="str">
        <f>_xlfn.XLOOKUP($B33,'Region Mapping'!$B:$B,'Region Mapping'!$A:$A)</f>
        <v>BRA</v>
      </c>
      <c r="B33" s="374" t="s">
        <v>197</v>
      </c>
      <c r="C33" s="374"/>
      <c r="D33" s="374">
        <v>0.1</v>
      </c>
      <c r="E33" s="374">
        <v>0.1</v>
      </c>
      <c r="F33" s="374"/>
      <c r="G33" s="374"/>
      <c r="H33" s="374">
        <v>0.1</v>
      </c>
      <c r="I33" s="374"/>
      <c r="J33" s="374">
        <v>0.1</v>
      </c>
      <c r="K33" s="374"/>
      <c r="L33" s="374"/>
      <c r="M33" s="374">
        <v>0.2</v>
      </c>
      <c r="N33" s="374">
        <v>0.2</v>
      </c>
      <c r="O33" s="374"/>
      <c r="P33" s="374"/>
      <c r="Q33" s="374"/>
      <c r="R33" s="374"/>
      <c r="S33" s="374"/>
      <c r="T33" s="374">
        <v>0.4</v>
      </c>
      <c r="U33" s="374"/>
      <c r="V33" s="374">
        <v>1.1000000000000001</v>
      </c>
      <c r="W33" s="374"/>
      <c r="X33" s="374"/>
      <c r="Y33" s="374">
        <v>2.2999999999999998</v>
      </c>
      <c r="Z33" s="374">
        <v>1.9</v>
      </c>
    </row>
    <row r="34" spans="1:26">
      <c r="A34" s="374" t="str">
        <f>_xlfn.XLOOKUP($B34,'Region Mapping'!$B:$B,'Region Mapping'!$A:$A)</f>
        <v>CHL</v>
      </c>
      <c r="B34" s="374" t="s">
        <v>201</v>
      </c>
      <c r="C34" s="374"/>
      <c r="D34" s="374"/>
      <c r="E34" s="374"/>
      <c r="F34" s="374"/>
      <c r="G34" s="374"/>
      <c r="H34" s="374"/>
      <c r="I34" s="374"/>
      <c r="J34" s="374">
        <v>0.1</v>
      </c>
      <c r="K34" s="374"/>
      <c r="L34" s="374"/>
      <c r="M34" s="374"/>
      <c r="N34" s="374"/>
      <c r="O34" s="374"/>
      <c r="P34" s="374"/>
      <c r="Q34" s="374"/>
      <c r="R34" s="374"/>
      <c r="S34" s="374"/>
      <c r="T34" s="374">
        <v>0.6</v>
      </c>
      <c r="U34" s="374"/>
      <c r="V34" s="374">
        <v>1.7</v>
      </c>
      <c r="W34" s="374"/>
      <c r="X34" s="374"/>
      <c r="Y34" s="374">
        <v>2.4</v>
      </c>
      <c r="Z34" s="374">
        <v>3.1</v>
      </c>
    </row>
    <row r="35" spans="1:26">
      <c r="A35" s="374" t="str">
        <f>_xlfn.XLOOKUP($B35,'Region Mapping'!$B:$B,'Region Mapping'!$A:$A)</f>
        <v>LAM</v>
      </c>
      <c r="B35" s="374" t="s">
        <v>1046</v>
      </c>
      <c r="C35" s="374"/>
      <c r="D35" s="374"/>
      <c r="E35" s="374"/>
      <c r="F35" s="374"/>
      <c r="G35" s="374"/>
      <c r="H35" s="374"/>
      <c r="I35" s="374"/>
      <c r="J35" s="374"/>
      <c r="K35" s="374"/>
      <c r="L35" s="374"/>
      <c r="M35" s="374">
        <v>0.1</v>
      </c>
      <c r="N35" s="374"/>
      <c r="O35" s="374"/>
      <c r="P35" s="374"/>
      <c r="Q35" s="374"/>
      <c r="R35" s="374"/>
      <c r="S35" s="374"/>
      <c r="T35" s="374"/>
      <c r="U35" s="374"/>
      <c r="V35" s="374">
        <v>0.1</v>
      </c>
      <c r="W35" s="374"/>
      <c r="X35" s="374"/>
      <c r="Y35" s="374">
        <v>0.2</v>
      </c>
      <c r="Z35" s="374">
        <v>0.3</v>
      </c>
    </row>
    <row r="36" spans="1:26">
      <c r="A36" s="374" t="str">
        <f>_xlfn.XLOOKUP($B36,'Region Mapping'!$B:$B,'Region Mapping'!$A:$A)</f>
        <v>LAM</v>
      </c>
      <c r="B36" s="374" t="s">
        <v>1722</v>
      </c>
      <c r="C36" s="374"/>
      <c r="D36" s="374"/>
      <c r="E36" s="374"/>
      <c r="F36" s="374"/>
      <c r="G36" s="374"/>
      <c r="H36" s="374"/>
      <c r="I36" s="374"/>
      <c r="J36" s="374"/>
      <c r="K36" s="374"/>
      <c r="L36" s="374"/>
      <c r="M36" s="374"/>
      <c r="N36" s="374">
        <v>0.1</v>
      </c>
      <c r="O36" s="374"/>
      <c r="P36" s="374"/>
      <c r="Q36" s="374"/>
      <c r="R36" s="374"/>
      <c r="S36" s="374"/>
      <c r="T36" s="374">
        <v>0.1</v>
      </c>
      <c r="U36" s="374"/>
      <c r="V36" s="374">
        <v>0.2</v>
      </c>
      <c r="W36" s="374"/>
      <c r="X36" s="374"/>
      <c r="Y36" s="374">
        <v>0.4</v>
      </c>
      <c r="Z36" s="374">
        <v>0.2</v>
      </c>
    </row>
    <row r="37" spans="1:26">
      <c r="A37" s="374" t="str">
        <f>_xlfn.XLOOKUP($B37,'Region Mapping'!$B:$B,'Region Mapping'!$A:$A)</f>
        <v>LAM</v>
      </c>
      <c r="B37" s="374" t="s">
        <v>1504</v>
      </c>
      <c r="C37" s="374"/>
      <c r="D37" s="374"/>
      <c r="E37" s="374"/>
      <c r="F37" s="374"/>
      <c r="G37" s="374"/>
      <c r="H37" s="374"/>
      <c r="I37" s="374"/>
      <c r="J37" s="374"/>
      <c r="K37" s="374"/>
      <c r="L37" s="374"/>
      <c r="M37" s="374">
        <v>0.1</v>
      </c>
      <c r="N37" s="374">
        <v>0.1</v>
      </c>
      <c r="O37" s="374"/>
      <c r="P37" s="374"/>
      <c r="Q37" s="374"/>
      <c r="R37" s="374"/>
      <c r="S37" s="374"/>
      <c r="T37" s="374">
        <v>0.9</v>
      </c>
      <c r="U37" s="374"/>
      <c r="V37" s="374">
        <v>0.2</v>
      </c>
      <c r="W37" s="374"/>
      <c r="X37" s="374"/>
      <c r="Y37" s="374">
        <v>1.2</v>
      </c>
      <c r="Z37" s="374">
        <v>0.9</v>
      </c>
    </row>
    <row r="38" spans="1:26">
      <c r="A38" s="374" t="str">
        <f>_xlfn.XLOOKUP($B38,'Region Mapping'!$B:$B,'Region Mapping'!$A:$A)</f>
        <v>LAM</v>
      </c>
      <c r="B38" s="374" t="s">
        <v>1723</v>
      </c>
      <c r="C38" s="374"/>
      <c r="D38" s="374"/>
      <c r="E38" s="374"/>
      <c r="F38" s="374"/>
      <c r="G38" s="374"/>
      <c r="H38" s="374"/>
      <c r="I38" s="374"/>
      <c r="J38" s="374"/>
      <c r="K38" s="374"/>
      <c r="L38" s="374"/>
      <c r="M38" s="374"/>
      <c r="N38" s="374"/>
      <c r="O38" s="374"/>
      <c r="P38" s="374"/>
      <c r="Q38" s="374"/>
      <c r="R38" s="374"/>
      <c r="S38" s="374"/>
      <c r="T38" s="374">
        <v>0.1</v>
      </c>
      <c r="U38" s="374"/>
      <c r="V38" s="374">
        <v>0.2</v>
      </c>
      <c r="W38" s="374"/>
      <c r="X38" s="374"/>
      <c r="Y38" s="374">
        <v>0.3</v>
      </c>
      <c r="Z38" s="374">
        <v>0.2</v>
      </c>
    </row>
    <row r="39" spans="1:26">
      <c r="A39" s="374" t="str">
        <f>_xlfn.XLOOKUP($B39,'Region Mapping'!$B:$B,'Region Mapping'!$A:$A)</f>
        <v>CAN</v>
      </c>
      <c r="B39" s="374" t="s">
        <v>199</v>
      </c>
      <c r="C39" s="374"/>
      <c r="D39" s="374">
        <v>0.1</v>
      </c>
      <c r="E39" s="374"/>
      <c r="F39" s="374"/>
      <c r="G39" s="374"/>
      <c r="H39" s="374"/>
      <c r="I39" s="374"/>
      <c r="J39" s="374"/>
      <c r="K39" s="374"/>
      <c r="L39" s="374"/>
      <c r="M39" s="374"/>
      <c r="N39" s="374"/>
      <c r="O39" s="374"/>
      <c r="P39" s="374"/>
      <c r="Q39" s="374"/>
      <c r="R39" s="374"/>
      <c r="S39" s="374"/>
      <c r="T39" s="374">
        <v>0.3</v>
      </c>
      <c r="U39" s="374"/>
      <c r="V39" s="374"/>
      <c r="W39" s="374"/>
      <c r="X39" s="374"/>
      <c r="Y39" s="374">
        <v>0.4</v>
      </c>
      <c r="Z39" s="374">
        <v>0.4</v>
      </c>
    </row>
    <row r="40" spans="1:26">
      <c r="A40" s="374" t="str">
        <f>_xlfn.XLOOKUP($B40,'Region Mapping'!$B:$B,'Region Mapping'!$A:$A)</f>
        <v>MEX</v>
      </c>
      <c r="B40" s="374" t="s">
        <v>237</v>
      </c>
      <c r="C40" s="374"/>
      <c r="D40" s="374"/>
      <c r="E40" s="374"/>
      <c r="F40" s="374"/>
      <c r="G40" s="374"/>
      <c r="H40" s="374"/>
      <c r="I40" s="374"/>
      <c r="J40" s="374">
        <v>0.3</v>
      </c>
      <c r="K40" s="374">
        <v>0.2</v>
      </c>
      <c r="L40" s="374"/>
      <c r="M40" s="374">
        <v>1</v>
      </c>
      <c r="N40" s="374"/>
      <c r="O40" s="374"/>
      <c r="P40" s="374"/>
      <c r="Q40" s="374"/>
      <c r="R40" s="374"/>
      <c r="S40" s="374"/>
      <c r="T40" s="374">
        <v>0.4</v>
      </c>
      <c r="U40" s="374"/>
      <c r="V40" s="374">
        <v>2.9</v>
      </c>
      <c r="W40" s="374"/>
      <c r="X40" s="374"/>
      <c r="Y40" s="374">
        <v>4.9000000000000004</v>
      </c>
      <c r="Z40" s="374">
        <v>5</v>
      </c>
    </row>
    <row r="41" spans="1:26">
      <c r="A41" s="374" t="str">
        <f>_xlfn.XLOOKUP($B41,'Region Mapping'!$B:$B,'Region Mapping'!$A:$A)</f>
        <v>USA</v>
      </c>
      <c r="B41" s="374" t="s">
        <v>247</v>
      </c>
      <c r="C41" s="374"/>
      <c r="D41" s="374"/>
      <c r="E41" s="374"/>
      <c r="F41" s="374"/>
      <c r="G41" s="374"/>
      <c r="H41" s="374"/>
      <c r="I41" s="374"/>
      <c r="J41" s="374"/>
      <c r="K41" s="374"/>
      <c r="L41" s="374"/>
      <c r="M41" s="374">
        <v>0.1</v>
      </c>
      <c r="N41" s="374"/>
      <c r="O41" s="374"/>
      <c r="P41" s="374"/>
      <c r="Q41" s="374"/>
      <c r="R41" s="374"/>
      <c r="S41" s="374">
        <v>0.1</v>
      </c>
      <c r="T41" s="374">
        <v>2.2999999999999998</v>
      </c>
      <c r="U41" s="374"/>
      <c r="V41" s="374"/>
      <c r="W41" s="374"/>
      <c r="X41" s="374"/>
      <c r="Y41" s="374">
        <v>2.4</v>
      </c>
      <c r="Z41" s="374">
        <v>2.8</v>
      </c>
    </row>
    <row r="42" spans="1:26">
      <c r="A42" s="374" t="str">
        <f>_xlfn.XLOOKUP($B42,'Region Mapping'!$B:$B,'Region Mapping'!$A:$A)</f>
        <v>AFN</v>
      </c>
      <c r="B42" s="374" t="s">
        <v>1083</v>
      </c>
      <c r="C42" s="374"/>
      <c r="D42" s="374"/>
      <c r="E42" s="374"/>
      <c r="F42" s="374"/>
      <c r="G42" s="374"/>
      <c r="H42" s="374"/>
      <c r="I42" s="374">
        <v>0.1</v>
      </c>
      <c r="J42" s="374"/>
      <c r="K42" s="374"/>
      <c r="L42" s="374"/>
      <c r="M42" s="374"/>
      <c r="N42" s="374"/>
      <c r="O42" s="374"/>
      <c r="P42" s="374"/>
      <c r="Q42" s="374"/>
      <c r="R42" s="374"/>
      <c r="S42" s="374"/>
      <c r="T42" s="374"/>
      <c r="U42" s="374"/>
      <c r="V42" s="374"/>
      <c r="W42" s="374"/>
      <c r="X42" s="374"/>
      <c r="Y42" s="374">
        <v>0.1</v>
      </c>
      <c r="Z42" s="374">
        <v>1.9</v>
      </c>
    </row>
    <row r="43" spans="1:26">
      <c r="A43" s="374" t="str">
        <f>_xlfn.XLOOKUP($B43,'Region Mapping'!$B:$B,'Region Mapping'!$A:$A)</f>
        <v>MDA</v>
      </c>
      <c r="B43" s="374" t="s">
        <v>1135</v>
      </c>
      <c r="C43" s="374"/>
      <c r="D43" s="374"/>
      <c r="E43" s="374"/>
      <c r="F43" s="374"/>
      <c r="G43" s="374"/>
      <c r="H43" s="374"/>
      <c r="I43" s="374"/>
      <c r="J43" s="374"/>
      <c r="K43" s="374"/>
      <c r="L43" s="374"/>
      <c r="M43" s="374"/>
      <c r="N43" s="374"/>
      <c r="O43" s="374"/>
      <c r="P43" s="374"/>
      <c r="Q43" s="374"/>
      <c r="R43" s="374"/>
      <c r="S43" s="374">
        <v>0.1</v>
      </c>
      <c r="T43" s="374">
        <v>0.4</v>
      </c>
      <c r="U43" s="374"/>
      <c r="V43" s="374"/>
      <c r="W43" s="374"/>
      <c r="X43" s="374"/>
      <c r="Y43" s="374">
        <v>0.6</v>
      </c>
      <c r="Z43" s="374">
        <v>0.5</v>
      </c>
    </row>
    <row r="44" spans="1:26">
      <c r="A44" s="374" t="str">
        <f>_xlfn.XLOOKUP($B44,'Region Mapping'!$B:$B,'Region Mapping'!$A:$A)</f>
        <v>MDA</v>
      </c>
      <c r="B44" s="374" t="s">
        <v>1200</v>
      </c>
      <c r="C44" s="374"/>
      <c r="D44" s="374"/>
      <c r="E44" s="374"/>
      <c r="F44" s="374"/>
      <c r="G44" s="374"/>
      <c r="H44" s="374"/>
      <c r="I44" s="374"/>
      <c r="J44" s="374"/>
      <c r="K44" s="374"/>
      <c r="L44" s="374"/>
      <c r="M44" s="374"/>
      <c r="N44" s="374"/>
      <c r="O44" s="374"/>
      <c r="P44" s="374"/>
      <c r="Q44" s="374"/>
      <c r="R44" s="374">
        <v>0.1</v>
      </c>
      <c r="S44" s="374">
        <v>0.4</v>
      </c>
      <c r="T44" s="374">
        <v>0.2</v>
      </c>
      <c r="U44" s="374"/>
      <c r="V44" s="374">
        <v>0.8</v>
      </c>
      <c r="W44" s="374"/>
      <c r="X44" s="374"/>
      <c r="Y44" s="374">
        <v>1.4</v>
      </c>
      <c r="Z44" s="374">
        <v>2.5</v>
      </c>
    </row>
    <row r="45" spans="1:26">
      <c r="A45" s="374" t="str">
        <f>_xlfn.XLOOKUP($B45,'Region Mapping'!$B:$B,'Region Mapping'!$A:$A)</f>
        <v>MEA</v>
      </c>
      <c r="B45" s="374" t="s">
        <v>1070</v>
      </c>
      <c r="C45" s="374">
        <v>0.1</v>
      </c>
      <c r="D45" s="374">
        <v>0.1</v>
      </c>
      <c r="E45" s="374"/>
      <c r="F45" s="374"/>
      <c r="G45" s="374"/>
      <c r="H45" s="374"/>
      <c r="I45" s="374">
        <v>0.1</v>
      </c>
      <c r="J45" s="374"/>
      <c r="K45" s="374"/>
      <c r="L45" s="374"/>
      <c r="M45" s="374">
        <v>0.4</v>
      </c>
      <c r="N45" s="374"/>
      <c r="O45" s="374">
        <v>0.7</v>
      </c>
      <c r="P45" s="374"/>
      <c r="Q45" s="374"/>
      <c r="R45" s="374">
        <v>1.8</v>
      </c>
      <c r="S45" s="374"/>
      <c r="T45" s="374">
        <v>0.1</v>
      </c>
      <c r="U45" s="374"/>
      <c r="V45" s="374">
        <v>0.2</v>
      </c>
      <c r="W45" s="374"/>
      <c r="X45" s="374"/>
      <c r="Y45" s="374">
        <v>3.6</v>
      </c>
      <c r="Z45" s="374">
        <v>3.4</v>
      </c>
    </row>
    <row r="46" spans="1:26">
      <c r="A46" s="374" t="str">
        <f>_xlfn.XLOOKUP($B46,'Region Mapping'!$B:$B,'Region Mapping'!$A:$A)</f>
        <v>MEA</v>
      </c>
      <c r="B46" s="374" t="s">
        <v>1075</v>
      </c>
      <c r="C46" s="374"/>
      <c r="D46" s="374">
        <v>0.1</v>
      </c>
      <c r="E46" s="374"/>
      <c r="F46" s="374">
        <v>0.1</v>
      </c>
      <c r="G46" s="374"/>
      <c r="H46" s="374"/>
      <c r="I46" s="374">
        <v>0.1</v>
      </c>
      <c r="J46" s="374"/>
      <c r="K46" s="374"/>
      <c r="L46" s="374"/>
      <c r="M46" s="374">
        <v>0.1</v>
      </c>
      <c r="N46" s="374"/>
      <c r="O46" s="374">
        <v>0.1</v>
      </c>
      <c r="P46" s="374"/>
      <c r="Q46" s="374"/>
      <c r="R46" s="374"/>
      <c r="S46" s="374">
        <v>0.1</v>
      </c>
      <c r="T46" s="374">
        <v>0.1</v>
      </c>
      <c r="U46" s="374">
        <v>0.3</v>
      </c>
      <c r="V46" s="374">
        <v>0.4</v>
      </c>
      <c r="W46" s="374">
        <v>0.1</v>
      </c>
      <c r="X46" s="374"/>
      <c r="Y46" s="374">
        <v>1.4</v>
      </c>
      <c r="Z46" s="374">
        <v>0.8</v>
      </c>
    </row>
    <row r="47" spans="1:26">
      <c r="A47" s="374"/>
      <c r="B47" s="374" t="s">
        <v>1724</v>
      </c>
      <c r="C47" s="374">
        <v>12.2</v>
      </c>
      <c r="D47" s="374">
        <v>4.4000000000000004</v>
      </c>
      <c r="E47" s="374">
        <v>0.1</v>
      </c>
      <c r="F47" s="374">
        <v>75.400000000000006</v>
      </c>
      <c r="G47" s="374">
        <v>6.4</v>
      </c>
      <c r="H47" s="374">
        <v>1.3</v>
      </c>
      <c r="I47" s="374">
        <v>3.5</v>
      </c>
      <c r="J47" s="374">
        <v>2.8</v>
      </c>
      <c r="K47" s="374">
        <v>15.5</v>
      </c>
      <c r="L47" s="374">
        <v>26.2</v>
      </c>
      <c r="M47" s="374">
        <v>20.8</v>
      </c>
      <c r="N47" s="374">
        <v>4.7</v>
      </c>
      <c r="O47" s="374">
        <v>10.3</v>
      </c>
      <c r="P47" s="374">
        <v>8.1999999999999993</v>
      </c>
      <c r="Q47" s="374">
        <v>3.8</v>
      </c>
      <c r="R47" s="374">
        <v>77.8</v>
      </c>
      <c r="S47" s="374">
        <v>29.3</v>
      </c>
      <c r="T47" s="374">
        <v>12.5</v>
      </c>
      <c r="U47" s="374">
        <v>5.8</v>
      </c>
      <c r="V47" s="374">
        <v>33.799999999999997</v>
      </c>
      <c r="W47" s="374">
        <v>1.6</v>
      </c>
      <c r="X47" s="374">
        <v>1.6</v>
      </c>
      <c r="Y47" s="374">
        <v>354.7</v>
      </c>
      <c r="Z47" s="374"/>
    </row>
    <row r="48" spans="1:26">
      <c r="A48" s="374"/>
      <c r="B48" s="374" t="s">
        <v>1725</v>
      </c>
      <c r="C48" s="374">
        <v>10.1</v>
      </c>
      <c r="D48" s="374">
        <v>4</v>
      </c>
      <c r="E48" s="374"/>
      <c r="F48" s="374">
        <v>66.7</v>
      </c>
      <c r="G48" s="374">
        <v>6.4</v>
      </c>
      <c r="H48" s="374">
        <v>0.6</v>
      </c>
      <c r="I48" s="374">
        <v>1.4</v>
      </c>
      <c r="J48" s="374">
        <v>3.4</v>
      </c>
      <c r="K48" s="374">
        <v>18.2</v>
      </c>
      <c r="L48" s="374">
        <v>24.7</v>
      </c>
      <c r="M48" s="374">
        <v>19.7</v>
      </c>
      <c r="N48" s="374">
        <v>5.2</v>
      </c>
      <c r="O48" s="374">
        <v>10</v>
      </c>
      <c r="P48" s="374">
        <v>7</v>
      </c>
      <c r="Q48" s="374">
        <v>3.5</v>
      </c>
      <c r="R48" s="374">
        <v>76.8</v>
      </c>
      <c r="S48" s="374">
        <v>18.3</v>
      </c>
      <c r="T48" s="374">
        <v>11.6</v>
      </c>
      <c r="U48" s="374">
        <v>5.5</v>
      </c>
      <c r="V48" s="374">
        <v>20.6</v>
      </c>
      <c r="W48" s="374">
        <v>3.8</v>
      </c>
      <c r="X48" s="374">
        <v>3.8</v>
      </c>
      <c r="Y48" s="374"/>
      <c r="Z48" s="374">
        <v>313.8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FD6C7-CEA9-47D9-AE0F-98C33FF30DDD}">
  <sheetPr>
    <tabColor theme="5" tint="0.39997558519241921"/>
  </sheetPr>
  <dimension ref="A1:E21"/>
  <sheetViews>
    <sheetView workbookViewId="0">
      <selection activeCell="F41" sqref="F41"/>
    </sheetView>
  </sheetViews>
  <sheetFormatPr defaultRowHeight="15.6"/>
  <cols>
    <col min="1" max="1" width="10.3984375" bestFit="1" customWidth="1"/>
    <col min="2" max="2" width="20.5" bestFit="1" customWidth="1"/>
    <col min="3" max="3" width="30.3984375" bestFit="1" customWidth="1"/>
    <col min="4" max="4" width="24.69921875" bestFit="1" customWidth="1"/>
    <col min="5" max="5" width="22" bestFit="1" customWidth="1"/>
  </cols>
  <sheetData>
    <row r="1" spans="1:5">
      <c r="A1" t="s">
        <v>1221</v>
      </c>
      <c r="B1" t="s">
        <v>1726</v>
      </c>
      <c r="C1" t="s">
        <v>1727</v>
      </c>
      <c r="D1" t="s">
        <v>1728</v>
      </c>
      <c r="E1" t="s">
        <v>1729</v>
      </c>
    </row>
    <row r="2" spans="1:5">
      <c r="A2" t="s">
        <v>198</v>
      </c>
      <c r="B2">
        <v>7571406.1621969696</v>
      </c>
      <c r="C2">
        <v>15965.826488011531</v>
      </c>
      <c r="D2">
        <v>766.43099999999993</v>
      </c>
      <c r="E2">
        <v>608000</v>
      </c>
    </row>
    <row r="3" spans="1:5">
      <c r="A3" t="s">
        <v>172</v>
      </c>
      <c r="B3">
        <v>6443930.3506929129</v>
      </c>
      <c r="C3">
        <v>44388.235759507108</v>
      </c>
      <c r="D3">
        <v>1270.5650000000001</v>
      </c>
      <c r="E3">
        <v>129250</v>
      </c>
    </row>
    <row r="4" spans="1:5">
      <c r="A4" t="s">
        <v>175</v>
      </c>
      <c r="B4">
        <v>2818368.0148837366</v>
      </c>
      <c r="C4">
        <v>1344.7069606063681</v>
      </c>
      <c r="D4">
        <v>191.14833333333331</v>
      </c>
      <c r="E4">
        <v>340499.9975</v>
      </c>
    </row>
    <row r="5" spans="1:5">
      <c r="A5" t="s">
        <v>178</v>
      </c>
      <c r="B5">
        <v>3757488.6173017016</v>
      </c>
      <c r="C5">
        <v>48222.222222222226</v>
      </c>
      <c r="D5">
        <v>1510</v>
      </c>
      <c r="E5">
        <v>157500</v>
      </c>
    </row>
    <row r="6" spans="1:5">
      <c r="A6" t="s">
        <v>184</v>
      </c>
      <c r="B6">
        <v>1234507.7652389917</v>
      </c>
      <c r="C6">
        <v>9716.7400472611989</v>
      </c>
      <c r="D6">
        <v>142.45999999999998</v>
      </c>
      <c r="E6">
        <v>87238.864999999991</v>
      </c>
    </row>
    <row r="7" spans="1:5">
      <c r="A7" t="s">
        <v>187</v>
      </c>
      <c r="B7">
        <v>1124857.3792190603</v>
      </c>
      <c r="C7">
        <v>1415.4474805433865</v>
      </c>
      <c r="D7">
        <v>537</v>
      </c>
      <c r="E7">
        <v>593936.07333333336</v>
      </c>
    </row>
    <row r="8" spans="1:5">
      <c r="A8" t="s">
        <v>190</v>
      </c>
      <c r="B8">
        <v>1945525.2918287937</v>
      </c>
      <c r="C8">
        <v>3393.6651583710409</v>
      </c>
      <c r="D8">
        <v>771</v>
      </c>
      <c r="E8">
        <v>442000</v>
      </c>
    </row>
    <row r="9" spans="1:5">
      <c r="A9" t="s">
        <v>193</v>
      </c>
      <c r="B9">
        <v>3154545.4545454546</v>
      </c>
      <c r="C9" t="e">
        <v>#DIV/0!</v>
      </c>
      <c r="D9">
        <v>220</v>
      </c>
      <c r="E9" t="e">
        <v>#DIV/0!</v>
      </c>
    </row>
    <row r="10" spans="1:5">
      <c r="A10" t="s">
        <v>202</v>
      </c>
      <c r="B10">
        <v>18344803.430683643</v>
      </c>
      <c r="C10">
        <v>1496.8564190248417</v>
      </c>
      <c r="D10">
        <v>112.15358490566035</v>
      </c>
      <c r="E10">
        <v>299553.66595744685</v>
      </c>
    </row>
    <row r="11" spans="1:5">
      <c r="A11" t="s">
        <v>205</v>
      </c>
      <c r="B11">
        <v>4555193.4620207958</v>
      </c>
      <c r="C11">
        <v>9224.0373287264229</v>
      </c>
      <c r="D11">
        <v>349.97500000000002</v>
      </c>
      <c r="E11">
        <v>145595.89250000002</v>
      </c>
    </row>
    <row r="12" spans="1:5">
      <c r="A12" t="s">
        <v>208</v>
      </c>
      <c r="B12">
        <v>56520930.232558139</v>
      </c>
      <c r="C12" t="e">
        <v>#DIV/0!</v>
      </c>
      <c r="D12">
        <v>43</v>
      </c>
      <c r="E12" t="e">
        <v>#DIV/0!</v>
      </c>
    </row>
    <row r="13" spans="1:5">
      <c r="A13" t="s">
        <v>211</v>
      </c>
      <c r="B13">
        <v>1072030.2278523119</v>
      </c>
      <c r="C13">
        <v>1276.7811070292194</v>
      </c>
      <c r="D13">
        <v>1239</v>
      </c>
      <c r="E13">
        <v>1100821.92</v>
      </c>
    </row>
    <row r="14" spans="1:5">
      <c r="A14" t="s">
        <v>217</v>
      </c>
      <c r="B14">
        <v>500000</v>
      </c>
      <c r="C14">
        <v>298.77216590698862</v>
      </c>
      <c r="D14">
        <v>60</v>
      </c>
      <c r="E14">
        <v>100410.96</v>
      </c>
    </row>
    <row r="15" spans="1:5">
      <c r="A15" t="s">
        <v>220</v>
      </c>
      <c r="B15">
        <v>798782.46971432108</v>
      </c>
      <c r="C15">
        <v>6179.7619047619046</v>
      </c>
      <c r="D15">
        <v>313.33333333333331</v>
      </c>
      <c r="E15">
        <v>170800</v>
      </c>
    </row>
    <row r="16" spans="1:5">
      <c r="A16" t="s">
        <v>223</v>
      </c>
      <c r="B16">
        <v>507805.69514237856</v>
      </c>
      <c r="C16">
        <v>1785.3628746569163</v>
      </c>
      <c r="D16">
        <v>1194</v>
      </c>
      <c r="E16">
        <v>260064.38500000001</v>
      </c>
    </row>
    <row r="17" spans="1:5">
      <c r="A17" t="s">
        <v>227</v>
      </c>
      <c r="B17">
        <v>2777966.2861025222</v>
      </c>
      <c r="C17">
        <v>3735.6688417110731</v>
      </c>
      <c r="D17">
        <v>551.80181818181813</v>
      </c>
      <c r="E17">
        <v>224500</v>
      </c>
    </row>
    <row r="18" spans="1:5">
      <c r="A18" t="s">
        <v>233</v>
      </c>
      <c r="B18">
        <v>3447645.6431317721</v>
      </c>
      <c r="C18">
        <v>3818.7200252086614</v>
      </c>
      <c r="D18">
        <v>592.52941176470586</v>
      </c>
      <c r="E18">
        <v>868705.8823529412</v>
      </c>
    </row>
    <row r="19" spans="1:5">
      <c r="A19" t="s">
        <v>238</v>
      </c>
      <c r="B19">
        <v>11340206.18556701</v>
      </c>
      <c r="C19">
        <v>7333.333333333333</v>
      </c>
      <c r="D19">
        <v>97</v>
      </c>
      <c r="E19">
        <v>150000</v>
      </c>
    </row>
    <row r="20" spans="1:5">
      <c r="A20" t="s">
        <v>240</v>
      </c>
      <c r="B20">
        <v>1478365.5828666741</v>
      </c>
      <c r="C20">
        <v>3956.115944569277</v>
      </c>
      <c r="D20">
        <v>381.35599999999999</v>
      </c>
      <c r="E20">
        <v>279971.9375</v>
      </c>
    </row>
    <row r="21" spans="1:5">
      <c r="A21" t="s">
        <v>245</v>
      </c>
      <c r="B21">
        <v>2131055.1066911952</v>
      </c>
      <c r="C21">
        <v>3030.3786383566894</v>
      </c>
      <c r="D21">
        <v>597.21759999999995</v>
      </c>
      <c r="E21">
        <v>411826.08695652173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E32E3-A9FA-44CD-B776-E72029537539}">
  <sheetPr>
    <tabColor theme="5" tint="0.39997558519241921"/>
  </sheetPr>
  <dimension ref="A1:E10"/>
  <sheetViews>
    <sheetView workbookViewId="0">
      <selection activeCell="D26" sqref="D26"/>
    </sheetView>
  </sheetViews>
  <sheetFormatPr defaultRowHeight="15.6"/>
  <cols>
    <col min="1" max="1" width="10.09765625" bestFit="1" customWidth="1"/>
    <col min="2" max="2" width="30.3984375" bestFit="1" customWidth="1"/>
    <col min="3" max="3" width="20.5" bestFit="1" customWidth="1"/>
    <col min="4" max="4" width="24.69921875" bestFit="1" customWidth="1"/>
    <col min="5" max="5" width="22" bestFit="1" customWidth="1"/>
  </cols>
  <sheetData>
    <row r="1" spans="1:5">
      <c r="A1" t="s">
        <v>1221</v>
      </c>
      <c r="B1" t="s">
        <v>1727</v>
      </c>
      <c r="C1" t="s">
        <v>1726</v>
      </c>
      <c r="D1" t="s">
        <v>1728</v>
      </c>
      <c r="E1" t="s">
        <v>1729</v>
      </c>
    </row>
    <row r="2" spans="1:5">
      <c r="A2" t="s">
        <v>198</v>
      </c>
      <c r="B2">
        <v>2477.8697136853166</v>
      </c>
      <c r="C2">
        <v>2742424.2424242422</v>
      </c>
      <c r="D2">
        <v>61.666666666666664</v>
      </c>
      <c r="E2">
        <v>194333.33333333334</v>
      </c>
    </row>
    <row r="3" spans="1:5">
      <c r="A3" t="s">
        <v>184</v>
      </c>
      <c r="B3">
        <v>26305.43584543512</v>
      </c>
      <c r="C3">
        <v>105654.10909090909</v>
      </c>
      <c r="D3">
        <v>1375</v>
      </c>
      <c r="E3">
        <v>5522.6</v>
      </c>
    </row>
    <row r="4" spans="1:5">
      <c r="A4" t="s">
        <v>187</v>
      </c>
      <c r="B4">
        <v>471.74553006171658</v>
      </c>
      <c r="C4">
        <v>2036199.0950226244</v>
      </c>
      <c r="D4">
        <v>1768</v>
      </c>
      <c r="E4">
        <v>7631232.8799999999</v>
      </c>
    </row>
    <row r="5" spans="1:5">
      <c r="A5" t="s">
        <v>202</v>
      </c>
      <c r="B5">
        <v>3303.8907880279257</v>
      </c>
      <c r="C5">
        <v>3579347.9302523672</v>
      </c>
      <c r="D5">
        <v>14.324000000000002</v>
      </c>
      <c r="E5">
        <v>16567.809999999998</v>
      </c>
    </row>
    <row r="6" spans="1:5">
      <c r="A6" t="s">
        <v>214</v>
      </c>
      <c r="B6" t="e">
        <v>#DIV/0!</v>
      </c>
      <c r="C6">
        <v>502022.85714285716</v>
      </c>
      <c r="D6">
        <v>350</v>
      </c>
      <c r="E6" t="e">
        <v>#DIV/0!</v>
      </c>
    </row>
    <row r="7" spans="1:5">
      <c r="A7" t="s">
        <v>227</v>
      </c>
      <c r="B7">
        <v>18338.808152072939</v>
      </c>
      <c r="C7">
        <v>4356009.4408133626</v>
      </c>
      <c r="D7">
        <v>270</v>
      </c>
      <c r="E7">
        <v>36908.26666666667</v>
      </c>
    </row>
    <row r="8" spans="1:5">
      <c r="A8" t="s">
        <v>233</v>
      </c>
      <c r="B8" t="e">
        <v>#DIV/0!</v>
      </c>
      <c r="C8">
        <v>1010000</v>
      </c>
      <c r="D8">
        <v>300</v>
      </c>
      <c r="E8" t="e">
        <v>#DIV/0!</v>
      </c>
    </row>
    <row r="9" spans="1:5">
      <c r="A9" t="s">
        <v>240</v>
      </c>
      <c r="B9">
        <v>3529.9463372678861</v>
      </c>
      <c r="C9">
        <v>1667007.8419431017</v>
      </c>
      <c r="D9">
        <v>392.7</v>
      </c>
      <c r="E9">
        <v>208051.50833333333</v>
      </c>
    </row>
    <row r="10" spans="1:5">
      <c r="A10" t="s">
        <v>245</v>
      </c>
      <c r="B10">
        <v>5150.0851121043434</v>
      </c>
      <c r="C10">
        <v>1967100.6638621106</v>
      </c>
      <c r="D10">
        <v>460.67500000000001</v>
      </c>
      <c r="E10">
        <v>203700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CB853-B3F9-4A95-8181-441B0E498889}">
  <sheetPr>
    <tabColor theme="5" tint="0.39997558519241921"/>
  </sheetPr>
  <dimension ref="A1:E26"/>
  <sheetViews>
    <sheetView workbookViewId="0">
      <selection activeCell="C2" sqref="C2"/>
    </sheetView>
  </sheetViews>
  <sheetFormatPr defaultRowHeight="15.6"/>
  <cols>
    <col min="1" max="1" width="10.3984375" bestFit="1" customWidth="1"/>
    <col min="2" max="2" width="30.19921875" bestFit="1" customWidth="1"/>
    <col min="3" max="3" width="20.5" bestFit="1" customWidth="1"/>
    <col min="4" max="4" width="24.69921875" bestFit="1" customWidth="1"/>
    <col min="5" max="5" width="22.59765625" bestFit="1" customWidth="1"/>
  </cols>
  <sheetData>
    <row r="1" spans="1:5">
      <c r="A1" t="s">
        <v>1221</v>
      </c>
      <c r="B1" t="s">
        <v>1730</v>
      </c>
      <c r="C1" t="s">
        <v>1726</v>
      </c>
      <c r="D1" t="s">
        <v>1728</v>
      </c>
      <c r="E1" t="s">
        <v>1731</v>
      </c>
    </row>
    <row r="2" spans="1:5">
      <c r="A2" t="s">
        <v>198</v>
      </c>
      <c r="B2">
        <v>126203834.71686113</v>
      </c>
      <c r="C2">
        <v>7647928.4837678922</v>
      </c>
      <c r="D2">
        <v>263.90944444444443</v>
      </c>
      <c r="E2">
        <v>14.713076923076926</v>
      </c>
    </row>
    <row r="3" spans="1:5">
      <c r="A3" t="s">
        <v>172</v>
      </c>
      <c r="B3">
        <v>333333333.33333331</v>
      </c>
      <c r="C3">
        <v>3524228.5962624946</v>
      </c>
      <c r="D3">
        <v>683.5</v>
      </c>
      <c r="E3">
        <v>12</v>
      </c>
    </row>
    <row r="4" spans="1:5">
      <c r="A4" t="s">
        <v>175</v>
      </c>
      <c r="B4">
        <v>2434862636.9707537</v>
      </c>
      <c r="C4">
        <v>1983000.8417761028</v>
      </c>
      <c r="D4">
        <v>473.78260869565219</v>
      </c>
      <c r="E4">
        <v>8.2878571428571437</v>
      </c>
    </row>
    <row r="5" spans="1:5">
      <c r="A5" t="s">
        <v>178</v>
      </c>
      <c r="B5">
        <v>64516129.032258064</v>
      </c>
      <c r="C5">
        <v>326328.15559326462</v>
      </c>
      <c r="D5">
        <v>306.44</v>
      </c>
      <c r="E5">
        <v>1.55</v>
      </c>
    </row>
    <row r="6" spans="1:5">
      <c r="A6" t="s">
        <v>184</v>
      </c>
      <c r="B6">
        <v>255258589.04387128</v>
      </c>
      <c r="C6">
        <v>2726409.3822515174</v>
      </c>
      <c r="D6">
        <v>547.91789473684219</v>
      </c>
      <c r="E6">
        <v>4.0624999999999991</v>
      </c>
    </row>
    <row r="7" spans="1:5">
      <c r="A7" t="s">
        <v>187</v>
      </c>
      <c r="B7">
        <v>129868052.6829526</v>
      </c>
      <c r="C7">
        <v>1843374.2371808181</v>
      </c>
      <c r="D7">
        <v>434.32678571428579</v>
      </c>
      <c r="E7">
        <v>10.3148</v>
      </c>
    </row>
    <row r="8" spans="1:5">
      <c r="A8" t="s">
        <v>190</v>
      </c>
      <c r="B8">
        <v>80000000</v>
      </c>
      <c r="C8">
        <v>3003802.8764143409</v>
      </c>
      <c r="D8">
        <v>1048.5</v>
      </c>
      <c r="E8">
        <v>13</v>
      </c>
    </row>
    <row r="9" spans="1:5">
      <c r="A9" t="s">
        <v>193</v>
      </c>
      <c r="B9">
        <v>209892339.8242445</v>
      </c>
      <c r="C9">
        <v>1727363.0121352754</v>
      </c>
      <c r="D9">
        <v>580.20000000000005</v>
      </c>
      <c r="E9">
        <v>11.168000000000001</v>
      </c>
    </row>
    <row r="10" spans="1:5">
      <c r="A10" t="s">
        <v>196</v>
      </c>
      <c r="B10">
        <v>236444557.83008996</v>
      </c>
      <c r="C10">
        <v>2497462.8652600441</v>
      </c>
      <c r="D10">
        <v>426.8</v>
      </c>
      <c r="E10">
        <v>4.4700000000000006</v>
      </c>
    </row>
    <row r="11" spans="1:5">
      <c r="A11" t="s">
        <v>202</v>
      </c>
      <c r="B11">
        <v>167183272.48711917</v>
      </c>
      <c r="C11">
        <v>1495325.9679426679</v>
      </c>
      <c r="D11">
        <v>202.07247379454927</v>
      </c>
      <c r="E11">
        <v>4.0162189054726349</v>
      </c>
    </row>
    <row r="12" spans="1:5">
      <c r="A12" t="s">
        <v>205</v>
      </c>
      <c r="B12">
        <v>36751645.99179022</v>
      </c>
      <c r="C12">
        <v>628223.36039052368</v>
      </c>
      <c r="D12">
        <v>147.79000000000002</v>
      </c>
      <c r="E12">
        <v>4.0369230769230775</v>
      </c>
    </row>
    <row r="13" spans="1:5">
      <c r="A13" t="s">
        <v>208</v>
      </c>
      <c r="B13">
        <v>228900000</v>
      </c>
      <c r="C13">
        <v>2731483.9821195756</v>
      </c>
      <c r="D13">
        <v>353.58333333333331</v>
      </c>
      <c r="E13">
        <v>10</v>
      </c>
    </row>
    <row r="14" spans="1:5">
      <c r="A14" t="s">
        <v>211</v>
      </c>
      <c r="B14">
        <v>64463389.289457455</v>
      </c>
      <c r="C14">
        <v>1294470.6582864972</v>
      </c>
      <c r="D14">
        <v>170.89553571428573</v>
      </c>
      <c r="E14">
        <v>6.3160714285714281</v>
      </c>
    </row>
    <row r="15" spans="1:5">
      <c r="A15" t="s">
        <v>214</v>
      </c>
      <c r="B15">
        <v>116565689.77312164</v>
      </c>
      <c r="C15">
        <v>2623262.6436240068</v>
      </c>
      <c r="D15">
        <v>232.11363636363637</v>
      </c>
      <c r="E15">
        <v>7.6274999999999995</v>
      </c>
    </row>
    <row r="16" spans="1:5">
      <c r="A16" t="s">
        <v>217</v>
      </c>
      <c r="B16">
        <v>45681992.703179814</v>
      </c>
      <c r="C16">
        <v>3583172.363033779</v>
      </c>
      <c r="D16">
        <v>129.71428571428572</v>
      </c>
      <c r="E16">
        <v>19.535</v>
      </c>
    </row>
    <row r="17" spans="1:5">
      <c r="A17" t="s">
        <v>220</v>
      </c>
      <c r="B17">
        <v>77369439.071566731</v>
      </c>
      <c r="C17">
        <v>2253033.5381587422</v>
      </c>
      <c r="D17">
        <v>388</v>
      </c>
      <c r="E17">
        <v>5.17</v>
      </c>
    </row>
    <row r="18" spans="1:5">
      <c r="A18" t="s">
        <v>223</v>
      </c>
      <c r="B18">
        <v>126410502.94977464</v>
      </c>
      <c r="C18">
        <v>942285.66400676302</v>
      </c>
      <c r="D18">
        <v>1081</v>
      </c>
      <c r="E18">
        <v>14.052222222222223</v>
      </c>
    </row>
    <row r="19" spans="1:5">
      <c r="A19" t="s">
        <v>225</v>
      </c>
      <c r="B19" t="e">
        <v>#DIV/0!</v>
      </c>
      <c r="C19">
        <v>5866666.666666667</v>
      </c>
      <c r="D19">
        <v>30</v>
      </c>
      <c r="E19" t="e">
        <v>#DIV/0!</v>
      </c>
    </row>
    <row r="20" spans="1:5">
      <c r="A20" t="s">
        <v>227</v>
      </c>
      <c r="B20">
        <v>336104948.76995093</v>
      </c>
      <c r="C20">
        <v>7012432.7560415976</v>
      </c>
      <c r="D20">
        <v>211.7709090909091</v>
      </c>
      <c r="E20">
        <v>4.3329999999999993</v>
      </c>
    </row>
    <row r="21" spans="1:5">
      <c r="A21" t="s">
        <v>230</v>
      </c>
      <c r="B21">
        <v>262550046.09318998</v>
      </c>
      <c r="C21">
        <v>3995205.9015536755</v>
      </c>
      <c r="D21">
        <v>345.03499999999997</v>
      </c>
      <c r="E21">
        <v>6.4</v>
      </c>
    </row>
    <row r="22" spans="1:5">
      <c r="A22" t="s">
        <v>233</v>
      </c>
      <c r="B22">
        <v>382814300.11281222</v>
      </c>
      <c r="C22">
        <v>2558499.9524353738</v>
      </c>
      <c r="D22">
        <v>449.34230769230766</v>
      </c>
      <c r="E22">
        <v>20282.679499999998</v>
      </c>
    </row>
    <row r="23" spans="1:5">
      <c r="A23" t="s">
        <v>236</v>
      </c>
      <c r="B23">
        <v>219071328.80968413</v>
      </c>
      <c r="C23">
        <v>3734892.3756014071</v>
      </c>
      <c r="D23">
        <v>411</v>
      </c>
      <c r="E23">
        <v>7.7539999999999996</v>
      </c>
    </row>
    <row r="24" spans="1:5">
      <c r="A24" t="s">
        <v>238</v>
      </c>
      <c r="B24">
        <v>448833640.27010435</v>
      </c>
      <c r="C24">
        <v>3263087.6200068407</v>
      </c>
      <c r="D24">
        <v>3696</v>
      </c>
      <c r="E24">
        <v>32.06666666666667</v>
      </c>
    </row>
    <row r="25" spans="1:5">
      <c r="A25" t="s">
        <v>240</v>
      </c>
      <c r="B25">
        <v>416138654.89545751</v>
      </c>
      <c r="C25">
        <v>5685951.021834664</v>
      </c>
      <c r="D25">
        <v>774.93451612903232</v>
      </c>
      <c r="E25">
        <v>23.562580645161294</v>
      </c>
    </row>
    <row r="26" spans="1:5">
      <c r="A26" t="s">
        <v>245</v>
      </c>
      <c r="B26">
        <v>103624424.21445504</v>
      </c>
      <c r="C26">
        <v>11707395.506964762</v>
      </c>
      <c r="D26">
        <v>173.4958986175115</v>
      </c>
      <c r="E26">
        <v>7.7516097560975608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D6B3-D5D2-4A73-8C51-307140168588}">
  <sheetPr>
    <tabColor theme="5" tint="0.39997558519241921"/>
  </sheetPr>
  <dimension ref="A1:AI31"/>
  <sheetViews>
    <sheetView workbookViewId="0">
      <selection activeCell="H14" sqref="H14"/>
    </sheetView>
  </sheetViews>
  <sheetFormatPr defaultRowHeight="15.6"/>
  <cols>
    <col min="1" max="1" width="25.09765625" bestFit="1" customWidth="1"/>
    <col min="2" max="2" width="24" bestFit="1" customWidth="1"/>
    <col min="3" max="3" width="19" bestFit="1" customWidth="1"/>
    <col min="4" max="4" width="19.3984375" bestFit="1" customWidth="1"/>
    <col min="5" max="5" width="14.3984375" bestFit="1" customWidth="1"/>
    <col min="6" max="6" width="18.5" bestFit="1" customWidth="1"/>
    <col min="7" max="7" width="18.8984375" bestFit="1" customWidth="1"/>
    <col min="8" max="8" width="32.19921875" bestFit="1" customWidth="1"/>
    <col min="9" max="9" width="32.59765625" bestFit="1" customWidth="1"/>
    <col min="10" max="10" width="35.8984375" bestFit="1" customWidth="1"/>
    <col min="11" max="35" width="11.8984375" bestFit="1" customWidth="1"/>
  </cols>
  <sheetData>
    <row r="1" spans="1:35">
      <c r="A1" s="175" t="s">
        <v>1732</v>
      </c>
      <c r="B1" t="s">
        <v>1733</v>
      </c>
      <c r="C1" t="s">
        <v>1734</v>
      </c>
      <c r="D1" t="s">
        <v>1735</v>
      </c>
      <c r="E1" t="s">
        <v>1736</v>
      </c>
      <c r="F1" t="s">
        <v>1737</v>
      </c>
      <c r="G1" t="s">
        <v>1738</v>
      </c>
      <c r="H1" t="s">
        <v>1739</v>
      </c>
      <c r="I1" t="s">
        <v>1740</v>
      </c>
      <c r="J1" t="s">
        <v>1741</v>
      </c>
    </row>
    <row r="2" spans="1:35">
      <c r="A2" t="s">
        <v>1742</v>
      </c>
      <c r="B2">
        <v>13496.503496503399</v>
      </c>
      <c r="C2" s="173">
        <v>0.88865408944931801</v>
      </c>
      <c r="D2" s="173">
        <v>17.727620292232601</v>
      </c>
      <c r="E2" s="173">
        <v>13496.503496503399</v>
      </c>
      <c r="F2" s="173">
        <v>871.73757146321748</v>
      </c>
      <c r="G2" s="173">
        <v>17390.155342614074</v>
      </c>
      <c r="H2" s="173">
        <v>2727.818660999335</v>
      </c>
      <c r="I2" s="173">
        <v>22109.052528276661</v>
      </c>
      <c r="J2" s="173">
        <v>12418.435594637998</v>
      </c>
    </row>
    <row r="3" spans="1:35">
      <c r="A3" t="s">
        <v>1743</v>
      </c>
      <c r="B3">
        <v>17202.797202797199</v>
      </c>
      <c r="C3" s="173">
        <v>2.2953189951201902</v>
      </c>
      <c r="D3" s="173">
        <v>20.525657245339101</v>
      </c>
      <c r="E3" s="173">
        <v>3706.2937062937999</v>
      </c>
      <c r="F3" s="173">
        <v>2251.625047693638</v>
      </c>
      <c r="G3" s="173">
        <v>20134.928553388243</v>
      </c>
      <c r="H3" s="173"/>
      <c r="I3" s="173"/>
      <c r="J3" s="173"/>
    </row>
    <row r="4" spans="1:35">
      <c r="A4" t="s">
        <v>1744</v>
      </c>
      <c r="B4">
        <v>27202.797202797199</v>
      </c>
      <c r="C4" s="173">
        <v>4.0047824938481096</v>
      </c>
      <c r="D4" s="173">
        <v>28.358659233410702</v>
      </c>
      <c r="E4" s="173">
        <v>10000</v>
      </c>
      <c r="F4" s="173">
        <v>3928.5470093193849</v>
      </c>
      <c r="G4" s="173">
        <v>27818.820645281361</v>
      </c>
      <c r="H4" s="173"/>
      <c r="I4" s="173"/>
      <c r="J4" s="173"/>
    </row>
    <row r="5" spans="1:35">
      <c r="A5" t="s">
        <v>1745</v>
      </c>
      <c r="B5">
        <v>33986.013986013902</v>
      </c>
      <c r="C5" s="173">
        <v>5.0061866562860597</v>
      </c>
      <c r="D5" s="173">
        <v>24.628175005908599</v>
      </c>
      <c r="E5" s="173">
        <v>6783.2167832167033</v>
      </c>
      <c r="F5" s="173">
        <v>4910.8883308540362</v>
      </c>
      <c r="G5" s="173">
        <v>24159.350330032237</v>
      </c>
      <c r="H5" s="173"/>
      <c r="I5" s="173"/>
      <c r="J5" s="173"/>
    </row>
    <row r="6" spans="1:35">
      <c r="A6" t="s">
        <v>1746</v>
      </c>
      <c r="B6">
        <v>37062.937062937002</v>
      </c>
      <c r="C6" s="173">
        <v>7.24478304995203</v>
      </c>
      <c r="D6" s="173">
        <v>42.036035535041499</v>
      </c>
      <c r="E6" s="173">
        <v>3076.9230769230999</v>
      </c>
      <c r="F6" s="173">
        <v>7106.8705548372491</v>
      </c>
      <c r="G6" s="173">
        <v>41235.832891925835</v>
      </c>
      <c r="H6" s="173"/>
      <c r="I6" s="173"/>
      <c r="J6" s="173"/>
    </row>
    <row r="7" spans="1:35">
      <c r="A7" t="s">
        <v>1747</v>
      </c>
      <c r="B7">
        <v>40069.93006993</v>
      </c>
      <c r="C7" s="173">
        <v>7.1175742746319299</v>
      </c>
      <c r="D7" s="173">
        <v>44.970456978409203</v>
      </c>
      <c r="E7" s="173">
        <v>3006.9930069929978</v>
      </c>
      <c r="F7" s="173">
        <v>6982.0833398984514</v>
      </c>
      <c r="G7" s="173">
        <v>44114.394362650761</v>
      </c>
      <c r="H7" s="173"/>
      <c r="I7" s="173"/>
      <c r="J7" s="173"/>
    </row>
    <row r="8" spans="1:35">
      <c r="A8" t="s">
        <v>1748</v>
      </c>
      <c r="B8">
        <v>51538.461538461503</v>
      </c>
      <c r="C8" s="173">
        <v>8.8331549166539194</v>
      </c>
      <c r="D8" s="173">
        <v>32.908701636335799</v>
      </c>
      <c r="E8" s="173">
        <v>11468.531468531502</v>
      </c>
      <c r="F8" s="173">
        <v>8665.0059981988379</v>
      </c>
      <c r="G8" s="173">
        <v>32282.247935464107</v>
      </c>
      <c r="H8" s="173"/>
      <c r="I8" s="173"/>
      <c r="J8" s="173"/>
    </row>
    <row r="9" spans="1:35">
      <c r="A9" t="s">
        <v>1749</v>
      </c>
      <c r="B9">
        <v>69860.139860139796</v>
      </c>
      <c r="C9" s="173">
        <v>8.9060045322470796</v>
      </c>
      <c r="D9" s="173">
        <v>46.619722226084001</v>
      </c>
      <c r="E9" s="173">
        <v>18321.678321678293</v>
      </c>
      <c r="F9" s="173">
        <v>8736.4688404151657</v>
      </c>
      <c r="G9" s="173">
        <v>45732.264013819135</v>
      </c>
      <c r="H9" s="173"/>
      <c r="I9" s="173"/>
      <c r="J9" s="173"/>
    </row>
    <row r="12" spans="1:35">
      <c r="H12" t="s">
        <v>172</v>
      </c>
      <c r="I12" t="s">
        <v>175</v>
      </c>
      <c r="J12" t="s">
        <v>178</v>
      </c>
      <c r="K12" t="s">
        <v>181</v>
      </c>
      <c r="L12" t="s">
        <v>184</v>
      </c>
      <c r="M12" t="s">
        <v>187</v>
      </c>
      <c r="N12" t="s">
        <v>190</v>
      </c>
      <c r="O12" t="s">
        <v>193</v>
      </c>
      <c r="P12" t="s">
        <v>196</v>
      </c>
      <c r="Q12" t="s">
        <v>198</v>
      </c>
      <c r="R12" t="s">
        <v>200</v>
      </c>
      <c r="S12" t="s">
        <v>202</v>
      </c>
      <c r="T12" t="s">
        <v>205</v>
      </c>
      <c r="U12" t="s">
        <v>208</v>
      </c>
      <c r="V12" t="s">
        <v>211</v>
      </c>
      <c r="W12" t="s">
        <v>214</v>
      </c>
      <c r="X12" t="s">
        <v>217</v>
      </c>
      <c r="Y12" t="s">
        <v>220</v>
      </c>
      <c r="Z12" t="s">
        <v>223</v>
      </c>
      <c r="AA12" t="s">
        <v>225</v>
      </c>
      <c r="AB12" t="s">
        <v>227</v>
      </c>
      <c r="AC12" t="s">
        <v>230</v>
      </c>
      <c r="AD12" t="s">
        <v>233</v>
      </c>
      <c r="AE12" t="s">
        <v>236</v>
      </c>
      <c r="AF12" t="s">
        <v>238</v>
      </c>
      <c r="AG12" t="s">
        <v>240</v>
      </c>
      <c r="AH12" t="s">
        <v>243</v>
      </c>
      <c r="AI12" t="s">
        <v>245</v>
      </c>
    </row>
    <row r="13" spans="1:35">
      <c r="A13" s="175" t="s">
        <v>1750</v>
      </c>
      <c r="B13" t="s">
        <v>1751</v>
      </c>
      <c r="C13" t="s">
        <v>1752</v>
      </c>
      <c r="D13" t="s">
        <v>1753</v>
      </c>
      <c r="E13" t="s">
        <v>1754</v>
      </c>
      <c r="F13" t="s">
        <v>1755</v>
      </c>
      <c r="G13" t="s">
        <v>1756</v>
      </c>
      <c r="H13" t="s">
        <v>1757</v>
      </c>
    </row>
    <row r="14" spans="1:35">
      <c r="A14" t="s">
        <v>1758</v>
      </c>
      <c r="B14" s="173">
        <v>1890.9170479327399</v>
      </c>
      <c r="C14" s="173">
        <v>0.88730760045908097</v>
      </c>
      <c r="D14" s="173">
        <v>23.3596581387201</v>
      </c>
      <c r="E14" s="173">
        <v>1890.9170479327399</v>
      </c>
      <c r="F14" s="173">
        <v>145.00859625087122</v>
      </c>
      <c r="G14" s="173">
        <v>3817.5613889067008</v>
      </c>
      <c r="H14" s="173">
        <v>6020.220576421345</v>
      </c>
      <c r="I14" s="173">
        <v>3611.156582128533</v>
      </c>
      <c r="J14" s="173">
        <v>3611.156582128533</v>
      </c>
      <c r="K14" s="173">
        <v>6020.220576421345</v>
      </c>
      <c r="L14" s="173">
        <v>6020.220576421345</v>
      </c>
      <c r="M14" s="173">
        <v>6020.220576421345</v>
      </c>
      <c r="N14" s="173">
        <v>6020.220576421345</v>
      </c>
      <c r="O14" s="173">
        <v>6020.220576421345</v>
      </c>
      <c r="P14" s="173">
        <v>6020.220576421345</v>
      </c>
      <c r="Q14" s="173">
        <v>6558.9814747587825</v>
      </c>
      <c r="R14" s="173">
        <v>6020.220576421345</v>
      </c>
      <c r="S14" s="173">
        <v>6020.220576421345</v>
      </c>
      <c r="T14" s="173">
        <v>6020.220576421345</v>
      </c>
      <c r="U14" s="173">
        <v>6020.220576421345</v>
      </c>
      <c r="V14" s="173">
        <v>6020.220576421345</v>
      </c>
      <c r="W14" s="173">
        <v>6020.220576421345</v>
      </c>
      <c r="X14" s="173">
        <v>6020.220576421345</v>
      </c>
      <c r="Y14" s="173">
        <v>6020.220576421345</v>
      </c>
      <c r="Z14" s="173">
        <v>6020.220576421345</v>
      </c>
      <c r="AA14" s="173">
        <v>6020.220576421345</v>
      </c>
      <c r="AB14" s="173">
        <v>6020.220576421345</v>
      </c>
      <c r="AC14" s="173">
        <v>6020.220576421345</v>
      </c>
      <c r="AD14" s="173">
        <v>1981.2849925787859</v>
      </c>
      <c r="AE14" s="173">
        <v>6020.220576421345</v>
      </c>
      <c r="AF14" s="173">
        <v>3611.156582128533</v>
      </c>
      <c r="AG14" s="173">
        <v>6020.220576421345</v>
      </c>
      <c r="AH14" s="173">
        <v>6020.220576421345</v>
      </c>
      <c r="AI14" s="173">
        <v>6020.220576421345</v>
      </c>
    </row>
    <row r="15" spans="1:35">
      <c r="A15" t="s">
        <v>1759</v>
      </c>
      <c r="B15" s="173">
        <v>2859.4735109056601</v>
      </c>
      <c r="C15" s="173">
        <v>9.4379003556846897</v>
      </c>
      <c r="D15" s="173">
        <v>34.755433896404298</v>
      </c>
      <c r="E15" s="173">
        <v>968.55646297292014</v>
      </c>
      <c r="F15" s="173">
        <v>1542.3926059298399</v>
      </c>
      <c r="G15" s="173">
        <v>5679.920558327226</v>
      </c>
      <c r="H15" s="173"/>
      <c r="I15" s="173"/>
      <c r="J15" s="173"/>
      <c r="K15" s="173"/>
      <c r="L15" s="173"/>
      <c r="M15" s="173"/>
      <c r="N15" s="173"/>
      <c r="O15" s="173"/>
      <c r="P15" s="173"/>
      <c r="Q15" s="173"/>
      <c r="R15" s="173"/>
      <c r="S15" s="173"/>
      <c r="T15" s="173"/>
      <c r="U15" s="173"/>
      <c r="V15" s="173"/>
      <c r="W15" s="173"/>
      <c r="X15" s="173"/>
      <c r="Y15" s="173"/>
      <c r="Z15" s="173"/>
      <c r="AA15" s="173"/>
      <c r="AB15" s="173"/>
      <c r="AC15" s="173"/>
      <c r="AD15" s="173"/>
      <c r="AE15" s="173"/>
      <c r="AF15" s="173"/>
      <c r="AG15" s="173"/>
      <c r="AH15" s="173"/>
      <c r="AI15" s="173"/>
    </row>
    <row r="16" spans="1:35">
      <c r="A16" t="s">
        <v>1760</v>
      </c>
      <c r="B16" s="173">
        <v>4012.99863975063</v>
      </c>
      <c r="C16" s="173">
        <v>9.1740877229341606</v>
      </c>
      <c r="D16" s="173">
        <v>40.180756416473997</v>
      </c>
      <c r="E16" s="173">
        <v>1153.5251288449699</v>
      </c>
      <c r="F16" s="173">
        <v>1499.2789218719008</v>
      </c>
      <c r="G16" s="173">
        <v>6566.5560412606637</v>
      </c>
      <c r="H16" s="173"/>
      <c r="I16" s="173"/>
      <c r="J16" s="173"/>
      <c r="K16" s="173"/>
      <c r="L16" s="173"/>
      <c r="M16" s="173"/>
      <c r="N16" s="173"/>
      <c r="O16" s="173"/>
      <c r="P16" s="173"/>
      <c r="Q16" s="173"/>
      <c r="R16" s="173"/>
      <c r="S16" s="173"/>
      <c r="T16" s="173"/>
      <c r="U16" s="173"/>
      <c r="V16" s="173"/>
      <c r="W16" s="173"/>
      <c r="X16" s="173"/>
      <c r="Y16" s="173"/>
      <c r="Z16" s="173"/>
      <c r="AA16" s="173"/>
      <c r="AB16" s="173"/>
      <c r="AC16" s="173"/>
      <c r="AD16" s="173"/>
      <c r="AE16" s="173"/>
      <c r="AF16" s="173"/>
      <c r="AG16" s="173"/>
      <c r="AH16" s="173"/>
      <c r="AI16" s="173"/>
    </row>
    <row r="17" spans="1:35">
      <c r="A17" t="s">
        <v>1761</v>
      </c>
      <c r="B17" s="173">
        <v>4605.1373872902404</v>
      </c>
      <c r="C17" s="173">
        <v>17.718662979019701</v>
      </c>
      <c r="D17" s="173">
        <v>43.035922997051202</v>
      </c>
      <c r="E17" s="173">
        <v>592.13874753961045</v>
      </c>
      <c r="F17" s="173">
        <v>2895.6795193691296</v>
      </c>
      <c r="G17" s="173">
        <v>7033.1627712128138</v>
      </c>
      <c r="H17" s="173"/>
      <c r="I17" s="173"/>
      <c r="J17" s="173"/>
      <c r="K17" s="173"/>
      <c r="L17" s="173"/>
      <c r="M17" s="173"/>
      <c r="N17" s="173"/>
      <c r="O17" s="173"/>
      <c r="P17" s="173"/>
      <c r="Q17" s="173"/>
      <c r="R17" s="173"/>
      <c r="S17" s="173"/>
      <c r="T17" s="173"/>
      <c r="U17" s="173"/>
      <c r="V17" s="173"/>
      <c r="W17" s="173"/>
      <c r="X17" s="173"/>
      <c r="Y17" s="173"/>
      <c r="Z17" s="173"/>
      <c r="AA17" s="173"/>
      <c r="AB17" s="173"/>
      <c r="AC17" s="173"/>
      <c r="AD17" s="173"/>
      <c r="AE17" s="173"/>
      <c r="AF17" s="173"/>
      <c r="AG17" s="173"/>
      <c r="AH17" s="173"/>
      <c r="AI17" s="173"/>
    </row>
    <row r="18" spans="1:35">
      <c r="A18" t="s">
        <v>1762</v>
      </c>
      <c r="B18" s="173">
        <v>5374.2663542897299</v>
      </c>
      <c r="C18" s="173">
        <v>22.852683836176698</v>
      </c>
      <c r="D18" s="173">
        <v>44.756380705709503</v>
      </c>
      <c r="E18" s="173">
        <v>769.12896699948942</v>
      </c>
      <c r="F18" s="173">
        <v>3734.7089125962902</v>
      </c>
      <c r="G18" s="173">
        <v>7314.3292540790171</v>
      </c>
      <c r="H18" s="173"/>
      <c r="I18" s="173"/>
      <c r="J18" s="173"/>
      <c r="K18" s="173"/>
      <c r="L18" s="173"/>
      <c r="M18" s="173"/>
      <c r="N18" s="173"/>
      <c r="O18" s="173"/>
      <c r="P18" s="173"/>
      <c r="Q18" s="173"/>
      <c r="R18" s="173"/>
      <c r="S18" s="173"/>
      <c r="T18" s="173"/>
      <c r="U18" s="173"/>
      <c r="V18" s="173"/>
      <c r="W18" s="173"/>
      <c r="X18" s="173"/>
      <c r="Y18" s="173"/>
      <c r="Z18" s="173"/>
      <c r="AA18" s="173"/>
      <c r="AB18" s="173"/>
      <c r="AC18" s="173"/>
      <c r="AD18" s="173"/>
      <c r="AE18" s="173"/>
      <c r="AF18" s="173"/>
      <c r="AG18" s="173"/>
      <c r="AH18" s="173"/>
      <c r="AI18" s="173"/>
    </row>
    <row r="19" spans="1:35">
      <c r="A19" t="s">
        <v>1763</v>
      </c>
      <c r="B19" s="173">
        <v>5635.5688903710497</v>
      </c>
      <c r="C19" s="173">
        <v>27.408614491863201</v>
      </c>
      <c r="D19" s="173">
        <v>48.743520931323701</v>
      </c>
      <c r="E19" s="173">
        <v>261.30253608131989</v>
      </c>
      <c r="F19" s="173">
        <v>4479.2636855471819</v>
      </c>
      <c r="G19" s="173">
        <v>7965.9292255799483</v>
      </c>
      <c r="H19" s="173"/>
      <c r="I19" s="173"/>
      <c r="J19" s="173"/>
      <c r="K19" s="173"/>
      <c r="L19" s="173"/>
      <c r="M19" s="173"/>
      <c r="N19" s="173"/>
      <c r="O19" s="173"/>
      <c r="P19" s="173"/>
      <c r="Q19" s="173"/>
      <c r="R19" s="173"/>
      <c r="S19" s="173"/>
      <c r="T19" s="173"/>
      <c r="U19" s="173"/>
      <c r="V19" s="173"/>
      <c r="W19" s="173"/>
      <c r="X19" s="173"/>
      <c r="Y19" s="173"/>
      <c r="Z19" s="173"/>
      <c r="AA19" s="173"/>
      <c r="AB19" s="173"/>
      <c r="AC19" s="173"/>
      <c r="AD19" s="173"/>
      <c r="AE19" s="173"/>
      <c r="AF19" s="173"/>
      <c r="AG19" s="173"/>
      <c r="AH19" s="173"/>
      <c r="AI19" s="173"/>
    </row>
    <row r="20" spans="1:35">
      <c r="A20" t="s">
        <v>1746</v>
      </c>
      <c r="B20" s="173">
        <v>5989.2631824785503</v>
      </c>
      <c r="C20" s="173">
        <v>28.553033419212401</v>
      </c>
      <c r="D20" s="173">
        <v>51.309984314525799</v>
      </c>
      <c r="E20" s="173">
        <v>353.69429210750059</v>
      </c>
      <c r="F20" s="173">
        <v>4666.2908022899828</v>
      </c>
      <c r="G20" s="173">
        <v>8385.3545210860921</v>
      </c>
      <c r="H20" s="173"/>
      <c r="I20" s="173"/>
      <c r="J20" s="173"/>
      <c r="K20" s="173"/>
      <c r="L20" s="173"/>
      <c r="M20" s="173"/>
      <c r="N20" s="173"/>
      <c r="O20" s="173"/>
      <c r="P20" s="173"/>
      <c r="Q20" s="173"/>
      <c r="R20" s="173"/>
      <c r="S20" s="173"/>
      <c r="T20" s="173"/>
      <c r="U20" s="173"/>
      <c r="V20" s="173"/>
      <c r="W20" s="173"/>
      <c r="X20" s="173"/>
      <c r="Y20" s="173"/>
      <c r="Z20" s="173"/>
      <c r="AA20" s="173"/>
      <c r="AB20" s="173"/>
      <c r="AC20" s="173"/>
      <c r="AD20" s="173"/>
      <c r="AE20" s="173"/>
      <c r="AF20" s="173"/>
      <c r="AG20" s="173"/>
      <c r="AH20" s="173"/>
      <c r="AI20" s="173"/>
    </row>
    <row r="21" spans="1:35">
      <c r="A21" t="s">
        <v>1764</v>
      </c>
      <c r="B21" s="173">
        <v>6127.3710998031602</v>
      </c>
      <c r="C21" s="173">
        <v>37.373866590360798</v>
      </c>
      <c r="D21" s="173">
        <v>57.286181528592003</v>
      </c>
      <c r="E21" s="173">
        <v>138.10791732460984</v>
      </c>
      <c r="F21" s="173">
        <v>6107.8389590391898</v>
      </c>
      <c r="G21" s="173">
        <v>9362.0169192011781</v>
      </c>
      <c r="H21" s="173"/>
      <c r="I21" s="173"/>
      <c r="J21" s="173"/>
      <c r="K21" s="173"/>
      <c r="L21" s="173"/>
      <c r="M21" s="173"/>
      <c r="N21" s="173"/>
      <c r="O21" s="173"/>
      <c r="P21" s="173"/>
      <c r="Q21" s="173"/>
      <c r="R21" s="173"/>
      <c r="S21" s="173"/>
      <c r="T21" s="173"/>
      <c r="U21" s="173"/>
      <c r="V21" s="173"/>
      <c r="W21" s="173"/>
      <c r="X21" s="173"/>
      <c r="Y21" s="173"/>
      <c r="Z21" s="173"/>
      <c r="AA21" s="173"/>
      <c r="AB21" s="173"/>
      <c r="AC21" s="173"/>
      <c r="AD21" s="173"/>
      <c r="AE21" s="173"/>
      <c r="AF21" s="173"/>
      <c r="AG21" s="173"/>
      <c r="AH21" s="173"/>
      <c r="AI21" s="173"/>
    </row>
    <row r="22" spans="1:35">
      <c r="A22" t="s">
        <v>1765</v>
      </c>
      <c r="B22" s="173">
        <v>6296.4333693471499</v>
      </c>
      <c r="C22" s="173">
        <v>49.324209598331898</v>
      </c>
      <c r="D22" s="173">
        <v>60.1338262352442</v>
      </c>
      <c r="E22" s="173">
        <v>169.06226954398971</v>
      </c>
      <c r="F22" s="173">
        <v>8060.8285011165071</v>
      </c>
      <c r="G22" s="173">
        <v>9827.3943839261647</v>
      </c>
      <c r="H22" s="173"/>
      <c r="I22" s="173"/>
      <c r="J22" s="173"/>
      <c r="K22" s="173"/>
      <c r="L22" s="173"/>
      <c r="M22" s="173"/>
      <c r="N22" s="173"/>
      <c r="O22" s="173"/>
      <c r="P22" s="173"/>
      <c r="Q22" s="173"/>
      <c r="R22" s="173"/>
      <c r="S22" s="173"/>
      <c r="T22" s="173"/>
      <c r="U22" s="173"/>
      <c r="V22" s="173"/>
      <c r="W22" s="173"/>
      <c r="X22" s="173"/>
      <c r="Y22" s="173"/>
      <c r="Z22" s="173"/>
      <c r="AA22" s="173"/>
      <c r="AB22" s="173"/>
      <c r="AC22" s="173"/>
      <c r="AD22" s="173"/>
      <c r="AE22" s="173"/>
      <c r="AF22" s="173"/>
      <c r="AG22" s="173"/>
      <c r="AH22" s="173"/>
      <c r="AI22" s="173"/>
    </row>
    <row r="23" spans="1:35">
      <c r="A23" t="s">
        <v>1766</v>
      </c>
      <c r="B23" s="173">
        <v>6811.4807992332899</v>
      </c>
      <c r="C23" s="173">
        <v>51.893544969759901</v>
      </c>
      <c r="D23" s="173">
        <v>65.832261159462604</v>
      </c>
      <c r="E23" s="173">
        <v>515.04742988613998</v>
      </c>
      <c r="F23" s="173">
        <v>8480.7231524366562</v>
      </c>
      <c r="G23" s="173">
        <v>10758.663369743848</v>
      </c>
      <c r="H23" s="173"/>
      <c r="I23" s="173"/>
      <c r="J23" s="173"/>
      <c r="K23" s="173"/>
      <c r="L23" s="173"/>
      <c r="M23" s="173"/>
      <c r="N23" s="173"/>
      <c r="O23" s="173"/>
      <c r="P23" s="173"/>
      <c r="Q23" s="173"/>
      <c r="R23" s="173"/>
      <c r="S23" s="173"/>
      <c r="T23" s="173"/>
      <c r="U23" s="173"/>
      <c r="V23" s="173"/>
      <c r="W23" s="173"/>
      <c r="X23" s="173"/>
      <c r="Y23" s="173"/>
      <c r="Z23" s="173"/>
      <c r="AA23" s="173"/>
      <c r="AB23" s="173"/>
      <c r="AC23" s="173"/>
      <c r="AD23" s="173"/>
      <c r="AE23" s="173"/>
      <c r="AF23" s="173"/>
      <c r="AG23" s="173"/>
      <c r="AH23" s="173"/>
      <c r="AI23" s="173"/>
    </row>
    <row r="24" spans="1:35">
      <c r="A24" t="s">
        <v>1767</v>
      </c>
      <c r="B24" s="173">
        <v>7087.0906759271602</v>
      </c>
      <c r="C24" s="173">
        <v>51.329677948074803</v>
      </c>
      <c r="D24" s="173">
        <v>88.0253450330909</v>
      </c>
      <c r="E24" s="173">
        <v>275.60987669387032</v>
      </c>
      <c r="F24" s="173">
        <v>8388.5729609535574</v>
      </c>
      <c r="G24" s="173">
        <v>14385.576897056855</v>
      </c>
      <c r="H24" s="173"/>
      <c r="I24" s="173"/>
      <c r="J24" s="173"/>
      <c r="K24" s="173"/>
      <c r="L24" s="173"/>
      <c r="M24" s="173"/>
      <c r="N24" s="173"/>
      <c r="O24" s="173"/>
      <c r="P24" s="173"/>
      <c r="Q24" s="173"/>
      <c r="R24" s="173"/>
      <c r="S24" s="173"/>
      <c r="T24" s="173"/>
      <c r="U24" s="173"/>
      <c r="V24" s="173"/>
      <c r="W24" s="173"/>
      <c r="X24" s="173"/>
      <c r="Y24" s="173"/>
      <c r="Z24" s="173"/>
      <c r="AA24" s="173"/>
      <c r="AB24" s="173"/>
      <c r="AC24" s="173"/>
      <c r="AD24" s="173"/>
      <c r="AE24" s="173"/>
      <c r="AF24" s="173"/>
      <c r="AG24" s="173"/>
      <c r="AH24" s="173"/>
      <c r="AI24" s="173"/>
    </row>
    <row r="25" spans="1:35">
      <c r="A25" t="s">
        <v>1768</v>
      </c>
      <c r="B25" s="173">
        <v>7356.1360081046796</v>
      </c>
      <c r="C25" s="173">
        <v>54.748027743616603</v>
      </c>
      <c r="D25" s="173">
        <v>91.159231232924498</v>
      </c>
      <c r="E25" s="173">
        <v>269.04533217751941</v>
      </c>
      <c r="F25" s="173">
        <v>8947.2181310045107</v>
      </c>
      <c r="G25" s="173">
        <v>14897.733491244404</v>
      </c>
      <c r="H25" s="173"/>
      <c r="I25" s="173"/>
      <c r="J25" s="173"/>
      <c r="K25" s="173"/>
      <c r="L25" s="173"/>
      <c r="M25" s="173"/>
      <c r="N25" s="173"/>
      <c r="O25" s="173"/>
      <c r="P25" s="173"/>
      <c r="Q25" s="173"/>
      <c r="R25" s="173"/>
      <c r="S25" s="173"/>
      <c r="T25" s="173"/>
      <c r="U25" s="173"/>
      <c r="V25" s="173"/>
      <c r="W25" s="173"/>
      <c r="X25" s="173"/>
      <c r="Y25" s="173"/>
      <c r="Z25" s="173"/>
      <c r="AA25" s="173"/>
      <c r="AB25" s="173"/>
      <c r="AC25" s="173"/>
      <c r="AD25" s="173"/>
      <c r="AE25" s="173"/>
      <c r="AF25" s="173"/>
      <c r="AG25" s="173"/>
      <c r="AH25" s="173"/>
      <c r="AI25" s="173"/>
    </row>
    <row r="26" spans="1:35">
      <c r="A26" t="s">
        <v>1769</v>
      </c>
      <c r="B26" s="173">
        <v>7455.8834204222503</v>
      </c>
      <c r="C26" s="173">
        <v>66.1282127080745</v>
      </c>
      <c r="D26" s="173">
        <v>95.427963066020993</v>
      </c>
      <c r="E26" s="173">
        <v>99.747412317570706</v>
      </c>
      <c r="F26" s="173">
        <v>10807.029368863296</v>
      </c>
      <c r="G26" s="173">
        <v>15595.352682794741</v>
      </c>
      <c r="H26" s="173"/>
      <c r="I26" s="173"/>
      <c r="J26" s="173"/>
      <c r="K26" s="173"/>
      <c r="L26" s="173"/>
      <c r="M26" s="173"/>
      <c r="N26" s="173"/>
      <c r="O26" s="173"/>
      <c r="P26" s="173"/>
      <c r="Q26" s="173"/>
      <c r="R26" s="173"/>
      <c r="S26" s="173"/>
      <c r="T26" s="173"/>
      <c r="U26" s="173"/>
      <c r="V26" s="173"/>
      <c r="W26" s="173"/>
      <c r="X26" s="173"/>
      <c r="Y26" s="173"/>
      <c r="Z26" s="173"/>
      <c r="AA26" s="173"/>
      <c r="AB26" s="173"/>
      <c r="AC26" s="173"/>
      <c r="AD26" s="173"/>
      <c r="AE26" s="173"/>
      <c r="AF26" s="173"/>
      <c r="AG26" s="173"/>
      <c r="AH26" s="173"/>
      <c r="AI26" s="173"/>
    </row>
    <row r="27" spans="1:35">
      <c r="B27" s="173"/>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173"/>
      <c r="AA27" s="173"/>
      <c r="AB27" s="173"/>
      <c r="AC27" s="173"/>
      <c r="AD27" s="173"/>
      <c r="AE27" s="173"/>
      <c r="AF27" s="173"/>
      <c r="AG27" s="173"/>
      <c r="AH27" s="173"/>
      <c r="AI27" s="173"/>
    </row>
    <row r="28" spans="1:35">
      <c r="B28" s="173"/>
      <c r="C28" s="173"/>
      <c r="D28" s="173"/>
      <c r="E28" s="173"/>
      <c r="F28" s="173"/>
      <c r="G28" s="173"/>
      <c r="H28" s="173"/>
      <c r="I28" s="173"/>
      <c r="J28" s="173"/>
      <c r="K28" s="173"/>
      <c r="L28" s="173"/>
      <c r="M28" s="173"/>
      <c r="N28" s="173"/>
      <c r="O28" s="173"/>
      <c r="P28" s="173"/>
      <c r="Q28" s="173"/>
      <c r="R28" s="173"/>
      <c r="S28" s="173"/>
      <c r="T28" s="173"/>
      <c r="U28" s="173"/>
      <c r="V28" s="173"/>
      <c r="W28" s="173"/>
      <c r="X28" s="173"/>
      <c r="Y28" s="173"/>
      <c r="Z28" s="173"/>
      <c r="AA28" s="173"/>
      <c r="AB28" s="173"/>
      <c r="AC28" s="173"/>
      <c r="AD28" s="173"/>
      <c r="AE28" s="173"/>
      <c r="AF28" s="173"/>
      <c r="AG28" s="173"/>
      <c r="AH28" s="173"/>
      <c r="AI28" s="173"/>
    </row>
    <row r="29" spans="1:35">
      <c r="A29" s="175" t="s">
        <v>1770</v>
      </c>
      <c r="B29" t="s">
        <v>1751</v>
      </c>
      <c r="C29" t="s">
        <v>1752</v>
      </c>
      <c r="D29" t="s">
        <v>1753</v>
      </c>
      <c r="E29" t="s">
        <v>1754</v>
      </c>
      <c r="F29" t="s">
        <v>1755</v>
      </c>
      <c r="G29" t="s">
        <v>1756</v>
      </c>
      <c r="H29" t="s">
        <v>1741</v>
      </c>
    </row>
    <row r="30" spans="1:35">
      <c r="A30" t="s">
        <v>1771</v>
      </c>
      <c r="B30">
        <v>92.396535129939366</v>
      </c>
      <c r="C30">
        <v>80.043668122270702</v>
      </c>
      <c r="D30">
        <v>99.061135371179006</v>
      </c>
      <c r="E30">
        <v>92.396535129939366</v>
      </c>
      <c r="F30">
        <v>13081.168184714938</v>
      </c>
      <c r="G30">
        <v>16189.1053066153</v>
      </c>
      <c r="H30">
        <v>14635.136745665119</v>
      </c>
    </row>
    <row r="31" spans="1:35">
      <c r="A31" t="s">
        <v>1772</v>
      </c>
      <c r="B31">
        <v>169.15828538525966</v>
      </c>
      <c r="C31">
        <v>82.030567685589403</v>
      </c>
      <c r="D31">
        <v>122.33624454148401</v>
      </c>
      <c r="E31">
        <v>76.761750255320294</v>
      </c>
      <c r="F31">
        <v>13405.87803327168</v>
      </c>
      <c r="G31">
        <v>19992.849246851449</v>
      </c>
      <c r="H31">
        <v>16699.363640061565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4F46E-1D41-4C35-BDAC-59977C49D793}">
  <sheetPr>
    <tabColor theme="5" tint="0.39997558519241921"/>
  </sheetPr>
  <dimension ref="A2:O15"/>
  <sheetViews>
    <sheetView workbookViewId="0">
      <selection activeCell="M25" sqref="M25"/>
    </sheetView>
  </sheetViews>
  <sheetFormatPr defaultRowHeight="15.6"/>
  <cols>
    <col min="1" max="1" width="28.59765625" bestFit="1" customWidth="1"/>
    <col min="9" max="9" width="12.59765625" bestFit="1" customWidth="1"/>
    <col min="14" max="14" width="12" bestFit="1" customWidth="1"/>
    <col min="15" max="15" width="7.5" bestFit="1" customWidth="1"/>
  </cols>
  <sheetData>
    <row r="2" spans="1:15">
      <c r="B2" t="s">
        <v>1773</v>
      </c>
      <c r="C2" t="s">
        <v>197</v>
      </c>
      <c r="D2" t="s">
        <v>239</v>
      </c>
      <c r="E2" t="s">
        <v>1050</v>
      </c>
      <c r="F2" t="s">
        <v>199</v>
      </c>
      <c r="G2" t="s">
        <v>1774</v>
      </c>
      <c r="H2" t="s">
        <v>1055</v>
      </c>
      <c r="I2" t="s">
        <v>1775</v>
      </c>
      <c r="J2" t="s">
        <v>1094</v>
      </c>
      <c r="K2" t="s">
        <v>1776</v>
      </c>
      <c r="L2" t="s">
        <v>1069</v>
      </c>
      <c r="M2" t="s">
        <v>1068</v>
      </c>
      <c r="N2" t="s">
        <v>1777</v>
      </c>
    </row>
    <row r="3" spans="1:15">
      <c r="A3" t="s">
        <v>1778</v>
      </c>
      <c r="D3" t="s">
        <v>238</v>
      </c>
      <c r="F3" t="s">
        <v>198</v>
      </c>
      <c r="G3" t="s">
        <v>245</v>
      </c>
      <c r="I3" t="s">
        <v>245</v>
      </c>
      <c r="J3" t="s">
        <v>220</v>
      </c>
      <c r="K3" t="s">
        <v>240</v>
      </c>
      <c r="L3" t="s">
        <v>233</v>
      </c>
      <c r="M3" t="s">
        <v>233</v>
      </c>
      <c r="N3" t="s">
        <v>233</v>
      </c>
    </row>
    <row r="4" spans="1:15">
      <c r="A4" t="s">
        <v>1779</v>
      </c>
      <c r="B4">
        <v>22.596153846153801</v>
      </c>
      <c r="C4">
        <v>16.057692307692299</v>
      </c>
      <c r="D4">
        <v>13.1730769230769</v>
      </c>
      <c r="E4">
        <v>6.7307692307692299</v>
      </c>
      <c r="F4">
        <v>9.6634615384615294</v>
      </c>
      <c r="G4">
        <v>7.5480769230769198</v>
      </c>
      <c r="H4">
        <v>13.701923076923</v>
      </c>
      <c r="I4">
        <v>7.7884615384615303</v>
      </c>
      <c r="J4">
        <v>7.6923076923076898</v>
      </c>
      <c r="K4">
        <v>5.0961538461538396</v>
      </c>
      <c r="L4">
        <v>5.0480769230769198</v>
      </c>
      <c r="M4">
        <v>4.4711538461538396</v>
      </c>
      <c r="N4">
        <v>3.5096153846153801</v>
      </c>
    </row>
    <row r="5" spans="1:15">
      <c r="A5" t="s">
        <v>1780</v>
      </c>
      <c r="B5">
        <v>17.3421300659754</v>
      </c>
      <c r="C5">
        <v>9.4721960414702995</v>
      </c>
      <c r="D5">
        <v>8.8124410933081894</v>
      </c>
      <c r="E5">
        <v>7.9170593779453302</v>
      </c>
      <c r="F5">
        <v>11.498586239396699</v>
      </c>
      <c r="G5">
        <v>5.9377945334589999</v>
      </c>
      <c r="H5">
        <v>4.2412818096135698</v>
      </c>
      <c r="I5">
        <v>5.1837888784165802</v>
      </c>
      <c r="J5">
        <v>6.8331762488218599</v>
      </c>
      <c r="K5">
        <v>2.9688972667294999</v>
      </c>
      <c r="L5">
        <v>2.12064090480678</v>
      </c>
      <c r="M5">
        <v>1.9792648444863301</v>
      </c>
      <c r="N5">
        <v>3.0631479736098002</v>
      </c>
    </row>
    <row r="6" spans="1:15">
      <c r="A6" t="s">
        <v>1781</v>
      </c>
      <c r="B6">
        <v>4.3457497612225398</v>
      </c>
      <c r="C6">
        <v>2.8175740210124101</v>
      </c>
      <c r="D6">
        <v>2.9130850047755499</v>
      </c>
      <c r="E6">
        <v>2.4832855778414502</v>
      </c>
      <c r="F6">
        <v>2.9608404966571098</v>
      </c>
      <c r="G6">
        <v>3.58166189111747</v>
      </c>
      <c r="H6">
        <v>3.10410697230181</v>
      </c>
      <c r="I6">
        <v>3.10410697230181</v>
      </c>
      <c r="J6">
        <v>3.6771728748806098</v>
      </c>
      <c r="K6">
        <v>2.72206303724928</v>
      </c>
      <c r="L6">
        <v>2.4832855778414502</v>
      </c>
      <c r="M6">
        <v>2.62655205348615</v>
      </c>
      <c r="N6">
        <v>2.4832855778414502</v>
      </c>
    </row>
    <row r="7" spans="1:15">
      <c r="A7" t="s">
        <v>1782</v>
      </c>
      <c r="C7">
        <v>6.6888045540796899</v>
      </c>
      <c r="D7">
        <v>4.1271347248576804</v>
      </c>
      <c r="E7">
        <v>10.4838709677419</v>
      </c>
      <c r="F7">
        <v>2.5142314990512298</v>
      </c>
      <c r="G7">
        <v>6.4516129032257998</v>
      </c>
      <c r="H7">
        <v>0.23719165085389099</v>
      </c>
      <c r="I7">
        <v>5.0759013282732397</v>
      </c>
      <c r="J7">
        <v>1.61290322580645</v>
      </c>
      <c r="K7">
        <v>8.5388994307400399</v>
      </c>
      <c r="L7">
        <v>0.94876660341555996</v>
      </c>
    </row>
    <row r="8" spans="1:15">
      <c r="A8" t="s">
        <v>1783</v>
      </c>
      <c r="B8">
        <v>44.232602478551001</v>
      </c>
      <c r="C8">
        <v>34.938036224976102</v>
      </c>
      <c r="D8">
        <v>28.884652049570999</v>
      </c>
      <c r="E8">
        <v>27.5023832221163</v>
      </c>
      <c r="F8">
        <v>26.596758817921799</v>
      </c>
      <c r="G8">
        <v>23.212583412773999</v>
      </c>
      <c r="H8">
        <v>21.210676835080999</v>
      </c>
      <c r="I8">
        <v>20.924690181124799</v>
      </c>
      <c r="J8">
        <v>19.637750238322202</v>
      </c>
      <c r="K8">
        <v>19.161105815061902</v>
      </c>
      <c r="L8">
        <v>10.486177311725401</v>
      </c>
      <c r="M8">
        <v>9.0085795996186793</v>
      </c>
      <c r="N8">
        <v>8.8655862726406003</v>
      </c>
    </row>
    <row r="10" spans="1:15">
      <c r="B10" t="s">
        <v>1773</v>
      </c>
      <c r="C10" t="s">
        <v>197</v>
      </c>
      <c r="D10" t="s">
        <v>239</v>
      </c>
      <c r="E10" t="s">
        <v>1050</v>
      </c>
      <c r="F10" t="s">
        <v>199</v>
      </c>
      <c r="G10" t="s">
        <v>1774</v>
      </c>
      <c r="H10" t="s">
        <v>1055</v>
      </c>
      <c r="I10" t="s">
        <v>1775</v>
      </c>
      <c r="J10" t="s">
        <v>1094</v>
      </c>
      <c r="K10" t="s">
        <v>1776</v>
      </c>
      <c r="L10" t="s">
        <v>1069</v>
      </c>
      <c r="M10" t="s">
        <v>1068</v>
      </c>
      <c r="N10" t="s">
        <v>1777</v>
      </c>
      <c r="O10" t="s">
        <v>917</v>
      </c>
    </row>
    <row r="11" spans="1:15">
      <c r="A11" t="s">
        <v>1784</v>
      </c>
      <c r="B11" t="s">
        <v>208</v>
      </c>
      <c r="C11" t="s">
        <v>196</v>
      </c>
      <c r="D11" t="s">
        <v>238</v>
      </c>
      <c r="E11" t="s">
        <v>227</v>
      </c>
      <c r="F11" t="s">
        <v>198</v>
      </c>
      <c r="G11" t="s">
        <v>245</v>
      </c>
      <c r="H11" t="s">
        <v>208</v>
      </c>
      <c r="I11" t="s">
        <v>245</v>
      </c>
      <c r="J11" t="s">
        <v>220</v>
      </c>
      <c r="K11" t="s">
        <v>240</v>
      </c>
      <c r="L11" t="s">
        <v>233</v>
      </c>
      <c r="M11" t="s">
        <v>233</v>
      </c>
      <c r="N11" t="s">
        <v>233</v>
      </c>
    </row>
    <row r="12" spans="1:15">
      <c r="A12" t="s">
        <v>1779</v>
      </c>
      <c r="B12" s="173">
        <f>B4/SUM(B$4:B$7)</f>
        <v>0.51025509583945627</v>
      </c>
      <c r="C12" s="173">
        <f t="shared" ref="C12:N12" si="0">C4/SUM(C$4:C$7)</f>
        <v>0.45831630243049598</v>
      </c>
      <c r="D12" s="173">
        <f t="shared" si="0"/>
        <v>0.45384124387618541</v>
      </c>
      <c r="E12" s="173">
        <f t="shared" si="0"/>
        <v>0.24373611621231211</v>
      </c>
      <c r="F12" s="173">
        <f t="shared" si="0"/>
        <v>0.36278177297723824</v>
      </c>
      <c r="G12" s="173">
        <f t="shared" si="0"/>
        <v>0.32093328739748617</v>
      </c>
      <c r="H12" s="173">
        <f t="shared" si="0"/>
        <v>0.6437511248821749</v>
      </c>
      <c r="I12" s="173">
        <f t="shared" si="0"/>
        <v>0.36820944952016454</v>
      </c>
      <c r="J12" s="173">
        <f t="shared" si="0"/>
        <v>0.38819532105449844</v>
      </c>
      <c r="K12" s="173">
        <f t="shared" si="0"/>
        <v>0.26369400108450741</v>
      </c>
      <c r="L12" s="173">
        <f t="shared" si="0"/>
        <v>0.47619907975780268</v>
      </c>
      <c r="M12" s="173">
        <f t="shared" si="0"/>
        <v>0.49258215898152025</v>
      </c>
      <c r="N12" s="173">
        <f t="shared" si="0"/>
        <v>0.38754377426539532</v>
      </c>
      <c r="O12" s="174">
        <f>AVERAGE(B12:N12)</f>
        <v>0.41307990217532592</v>
      </c>
    </row>
    <row r="13" spans="1:15">
      <c r="A13" t="s">
        <v>1780</v>
      </c>
      <c r="B13" s="173">
        <f t="shared" ref="B13:N15" si="1">B5/SUM(B$4:B$7)</f>
        <v>0.39161134674168491</v>
      </c>
      <c r="C13" s="173">
        <f t="shared" si="1"/>
        <v>0.27035403235020294</v>
      </c>
      <c r="D13" s="173">
        <f t="shared" si="1"/>
        <v>0.30360782455967233</v>
      </c>
      <c r="E13" s="173">
        <f t="shared" si="1"/>
        <v>0.28669431954096647</v>
      </c>
      <c r="F13" s="173">
        <f t="shared" si="1"/>
        <v>0.43167528385735454</v>
      </c>
      <c r="G13" s="173">
        <f t="shared" si="1"/>
        <v>0.25246641481456983</v>
      </c>
      <c r="H13" s="173">
        <f t="shared" si="1"/>
        <v>0.19926618479412631</v>
      </c>
      <c r="I13" s="173">
        <f t="shared" si="1"/>
        <v>0.24507022855858557</v>
      </c>
      <c r="J13" s="173">
        <f t="shared" si="1"/>
        <v>0.34483891620533891</v>
      </c>
      <c r="K13" s="173">
        <f t="shared" si="1"/>
        <v>0.15362181415767381</v>
      </c>
      <c r="L13" s="173">
        <f t="shared" si="1"/>
        <v>0.20004593090673772</v>
      </c>
      <c r="M13" s="173">
        <f t="shared" si="1"/>
        <v>0.21805345640968449</v>
      </c>
      <c r="N13" s="173">
        <f t="shared" si="1"/>
        <v>0.33824331065731145</v>
      </c>
      <c r="O13" s="174">
        <f>AVERAGE(B13:N13)</f>
        <v>0.27965762027337759</v>
      </c>
    </row>
    <row r="14" spans="1:15">
      <c r="A14" t="s">
        <v>1781</v>
      </c>
      <c r="B14" s="173">
        <f t="shared" si="1"/>
        <v>9.8133557418858791E-2</v>
      </c>
      <c r="C14" s="173">
        <f t="shared" si="1"/>
        <v>8.0418785114971164E-2</v>
      </c>
      <c r="D14" s="173">
        <f t="shared" si="1"/>
        <v>0.10036213481516623</v>
      </c>
      <c r="E14" s="173">
        <f t="shared" si="1"/>
        <v>8.9925291068098198E-2</v>
      </c>
      <c r="F14" s="173">
        <f t="shared" si="1"/>
        <v>0.11115467895276386</v>
      </c>
      <c r="G14" s="173">
        <f t="shared" si="1"/>
        <v>0.15228707083632259</v>
      </c>
      <c r="H14" s="173">
        <f t="shared" si="1"/>
        <v>0.14583882451795507</v>
      </c>
      <c r="I14" s="173">
        <f t="shared" si="1"/>
        <v>0.14675061485233007</v>
      </c>
      <c r="J14" s="173">
        <f t="shared" si="1"/>
        <v>0.18556996961583233</v>
      </c>
      <c r="K14" s="173">
        <f t="shared" si="1"/>
        <v>0.1408496907993152</v>
      </c>
      <c r="L14" s="173">
        <f t="shared" si="1"/>
        <v>0.23425520747079612</v>
      </c>
      <c r="M14" s="173">
        <f t="shared" si="1"/>
        <v>0.2893643846087951</v>
      </c>
      <c r="N14" s="173">
        <f t="shared" si="1"/>
        <v>0.27421291507729317</v>
      </c>
      <c r="O14" s="174">
        <f>AVERAGE(B14:N14)</f>
        <v>0.15762485578065366</v>
      </c>
    </row>
    <row r="15" spans="1:15">
      <c r="A15" t="s">
        <v>1782</v>
      </c>
      <c r="B15" s="173">
        <f t="shared" si="1"/>
        <v>0</v>
      </c>
      <c r="C15" s="173">
        <f t="shared" si="1"/>
        <v>0.19091088010432997</v>
      </c>
      <c r="D15" s="173">
        <f t="shared" si="1"/>
        <v>0.14218879674897603</v>
      </c>
      <c r="E15" s="173">
        <f t="shared" si="1"/>
        <v>0.3796442731786232</v>
      </c>
      <c r="F15" s="173">
        <f t="shared" si="1"/>
        <v>9.438826421264343E-2</v>
      </c>
      <c r="G15" s="173">
        <f t="shared" si="1"/>
        <v>0.27431322695162147</v>
      </c>
      <c r="H15" s="173">
        <f t="shared" si="1"/>
        <v>1.1143865805743678E-2</v>
      </c>
      <c r="I15" s="173">
        <f t="shared" si="1"/>
        <v>0.23996970706891976</v>
      </c>
      <c r="J15" s="173">
        <f t="shared" si="1"/>
        <v>8.1395793124330262E-2</v>
      </c>
      <c r="K15" s="173">
        <f t="shared" si="1"/>
        <v>0.44183449395850366</v>
      </c>
      <c r="L15" s="173">
        <f t="shared" si="1"/>
        <v>8.9499781864663452E-2</v>
      </c>
      <c r="M15" s="173">
        <f t="shared" si="1"/>
        <v>0</v>
      </c>
      <c r="N15" s="173">
        <f t="shared" si="1"/>
        <v>0</v>
      </c>
      <c r="O15" s="174">
        <f>1-O12-O13-O14</f>
        <v>0.14963762177064277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E1101-5785-488C-A05D-88B102FD7C99}">
  <sheetPr>
    <tabColor theme="5" tint="0.39997558519241921"/>
  </sheetPr>
  <dimension ref="A2:N190"/>
  <sheetViews>
    <sheetView workbookViewId="0">
      <selection activeCell="N4" sqref="N4"/>
    </sheetView>
  </sheetViews>
  <sheetFormatPr defaultRowHeight="15.6"/>
  <cols>
    <col min="1" max="1" width="22.59765625" bestFit="1" customWidth="1"/>
    <col min="2" max="2" width="22.59765625" customWidth="1"/>
    <col min="6" max="6" width="22.09765625" bestFit="1" customWidth="1"/>
    <col min="11" max="11" width="22.59765625" bestFit="1" customWidth="1"/>
    <col min="12" max="12" width="13" bestFit="1" customWidth="1"/>
  </cols>
  <sheetData>
    <row r="2" spans="1:14">
      <c r="A2" t="s">
        <v>1785</v>
      </c>
      <c r="C2" t="s">
        <v>1786</v>
      </c>
      <c r="D2" t="s">
        <v>1787</v>
      </c>
      <c r="F2" t="s">
        <v>1788</v>
      </c>
      <c r="H2" t="s">
        <v>1786</v>
      </c>
      <c r="I2" t="s">
        <v>1787</v>
      </c>
      <c r="K2" t="s">
        <v>1789</v>
      </c>
      <c r="M2" t="s">
        <v>1786</v>
      </c>
      <c r="N2" t="s">
        <v>1787</v>
      </c>
    </row>
    <row r="3" spans="1:14">
      <c r="A3" t="s">
        <v>1790</v>
      </c>
      <c r="B3" t="s">
        <v>1791</v>
      </c>
      <c r="C3" t="s">
        <v>1792</v>
      </c>
      <c r="D3" t="s">
        <v>1793</v>
      </c>
      <c r="F3" t="s">
        <v>1790</v>
      </c>
      <c r="G3" t="s">
        <v>1791</v>
      </c>
      <c r="H3" t="s">
        <v>1792</v>
      </c>
      <c r="I3" t="s">
        <v>1793</v>
      </c>
      <c r="L3" t="s">
        <v>1791</v>
      </c>
      <c r="M3" t="s">
        <v>1792</v>
      </c>
      <c r="N3" t="s">
        <v>1793</v>
      </c>
    </row>
    <row r="4" spans="1:14">
      <c r="A4" t="s">
        <v>242</v>
      </c>
      <c r="B4" t="str">
        <f>IFERROR(_xlfn.XLOOKUP(A4,'Region Mapping'!$B:$B,'Region Mapping'!$A:$A),"All")</f>
        <v>RUS</v>
      </c>
      <c r="C4">
        <v>0.2</v>
      </c>
      <c r="D4">
        <v>88.3</v>
      </c>
      <c r="F4" t="s">
        <v>1094</v>
      </c>
      <c r="G4" t="str">
        <f>IFERROR(_xlfn.XLOOKUP(F4,'Region Mapping'!$B:$B,'Region Mapping'!$A:$A),"All")</f>
        <v>IDN</v>
      </c>
      <c r="H4">
        <v>5.6</v>
      </c>
      <c r="I4">
        <v>24.4</v>
      </c>
      <c r="K4" t="s">
        <v>242</v>
      </c>
      <c r="L4" t="str">
        <f>IFERROR(_xlfn.XLOOKUP(K4,'Region Mapping'!$B:$B,'Region Mapping'!$A:$A),"All")</f>
        <v>RUS</v>
      </c>
      <c r="M4">
        <v>0.4</v>
      </c>
      <c r="N4">
        <v>31.2</v>
      </c>
    </row>
    <row r="5" spans="1:14">
      <c r="A5" t="s">
        <v>1092</v>
      </c>
      <c r="B5" t="str">
        <f>IFERROR(_xlfn.XLOOKUP(A5,'Region Mapping'!$B:$B,'Region Mapping'!$A:$A),"All")</f>
        <v>ANZ</v>
      </c>
      <c r="C5">
        <v>7</v>
      </c>
      <c r="D5">
        <v>91.3</v>
      </c>
      <c r="F5" t="s">
        <v>1094</v>
      </c>
      <c r="G5" t="str">
        <f>IFERROR(_xlfn.XLOOKUP(F5,'Region Mapping'!$B:$B,'Region Mapping'!$A:$A),"All")</f>
        <v>IDN</v>
      </c>
      <c r="H5">
        <v>1.2</v>
      </c>
      <c r="I5">
        <v>24.9</v>
      </c>
      <c r="K5" t="s">
        <v>1094</v>
      </c>
      <c r="L5" t="str">
        <f>IFERROR(_xlfn.XLOOKUP(K5,'Region Mapping'!$B:$B,'Region Mapping'!$A:$A),"All")</f>
        <v>IDN</v>
      </c>
      <c r="M5">
        <v>6.4</v>
      </c>
      <c r="N5">
        <v>35.5</v>
      </c>
    </row>
    <row r="6" spans="1:14">
      <c r="A6" t="s">
        <v>242</v>
      </c>
      <c r="B6" t="str">
        <f>IFERROR(_xlfn.XLOOKUP(A6,'Region Mapping'!$B:$B,'Region Mapping'!$A:$A),"All")</f>
        <v>RUS</v>
      </c>
      <c r="C6">
        <v>0.4</v>
      </c>
      <c r="D6">
        <v>98.7</v>
      </c>
      <c r="F6" t="s">
        <v>1094</v>
      </c>
      <c r="G6" t="str">
        <f>IFERROR(_xlfn.XLOOKUP(F6,'Region Mapping'!$B:$B,'Region Mapping'!$A:$A),"All")</f>
        <v>IDN</v>
      </c>
      <c r="H6">
        <v>9.4</v>
      </c>
      <c r="I6">
        <v>27.9</v>
      </c>
      <c r="K6" t="s">
        <v>1046</v>
      </c>
      <c r="L6" t="str">
        <f>IFERROR(_xlfn.XLOOKUP(K6,'Region Mapping'!$B:$B,'Region Mapping'!$A:$A),"All")</f>
        <v>LAM</v>
      </c>
      <c r="M6">
        <v>1.8</v>
      </c>
      <c r="N6">
        <v>42</v>
      </c>
    </row>
    <row r="7" spans="1:14">
      <c r="A7" t="s">
        <v>247</v>
      </c>
      <c r="B7" t="str">
        <f>IFERROR(_xlfn.XLOOKUP(A7,'Region Mapping'!$B:$B,'Region Mapping'!$A:$A),"All")</f>
        <v>USA</v>
      </c>
      <c r="C7">
        <v>5.2</v>
      </c>
      <c r="D7">
        <v>100.3</v>
      </c>
      <c r="F7" t="s">
        <v>1094</v>
      </c>
      <c r="G7" t="str">
        <f>IFERROR(_xlfn.XLOOKUP(F7,'Region Mapping'!$B:$B,'Region Mapping'!$A:$A),"All")</f>
        <v>IDN</v>
      </c>
      <c r="H7">
        <v>4.5999999999999996</v>
      </c>
      <c r="I7">
        <v>31.6</v>
      </c>
      <c r="K7" t="s">
        <v>1092</v>
      </c>
      <c r="L7" t="str">
        <f>IFERROR(_xlfn.XLOOKUP(K7,'Region Mapping'!$B:$B,'Region Mapping'!$A:$A),"All")</f>
        <v>ANZ</v>
      </c>
      <c r="M7">
        <v>11.8</v>
      </c>
      <c r="N7">
        <v>43.7</v>
      </c>
    </row>
    <row r="8" spans="1:14">
      <c r="A8" t="s">
        <v>1794</v>
      </c>
      <c r="B8" t="str">
        <f>IFERROR(_xlfn.XLOOKUP(A8,'Region Mapping'!$B:$B,'Region Mapping'!$A:$A),"All")</f>
        <v>All</v>
      </c>
      <c r="C8">
        <v>0.8</v>
      </c>
      <c r="D8">
        <v>100.6</v>
      </c>
      <c r="F8" t="s">
        <v>1094</v>
      </c>
      <c r="G8" t="str">
        <f>IFERROR(_xlfn.XLOOKUP(F8,'Region Mapping'!$B:$B,'Region Mapping'!$A:$A),"All")</f>
        <v>IDN</v>
      </c>
      <c r="H8">
        <v>0.8</v>
      </c>
      <c r="I8">
        <v>32.200000000000003</v>
      </c>
      <c r="K8" t="s">
        <v>1092</v>
      </c>
      <c r="L8" t="str">
        <f>IFERROR(_xlfn.XLOOKUP(K8,'Region Mapping'!$B:$B,'Region Mapping'!$A:$A),"All")</f>
        <v>ANZ</v>
      </c>
      <c r="M8">
        <v>3</v>
      </c>
      <c r="N8">
        <v>46.2</v>
      </c>
    </row>
    <row r="9" spans="1:14">
      <c r="A9" t="s">
        <v>1092</v>
      </c>
      <c r="B9" t="str">
        <f>IFERROR(_xlfn.XLOOKUP(A9,'Region Mapping'!$B:$B,'Region Mapping'!$A:$A),"All")</f>
        <v>ANZ</v>
      </c>
      <c r="C9">
        <v>2.4</v>
      </c>
      <c r="D9">
        <v>100.9</v>
      </c>
      <c r="F9" t="s">
        <v>1094</v>
      </c>
      <c r="G9" t="str">
        <f>IFERROR(_xlfn.XLOOKUP(F9,'Region Mapping'!$B:$B,'Region Mapping'!$A:$A),"All")</f>
        <v>IDN</v>
      </c>
      <c r="H9">
        <v>18.600000000000001</v>
      </c>
      <c r="I9">
        <v>32.6</v>
      </c>
      <c r="K9" t="s">
        <v>242</v>
      </c>
      <c r="L9" t="str">
        <f>IFERROR(_xlfn.XLOOKUP(K9,'Region Mapping'!$B:$B,'Region Mapping'!$A:$A),"All")</f>
        <v>RUS</v>
      </c>
      <c r="M9">
        <v>10</v>
      </c>
      <c r="N9">
        <v>46.5</v>
      </c>
    </row>
    <row r="10" spans="1:14">
      <c r="A10" t="s">
        <v>1092</v>
      </c>
      <c r="B10" t="str">
        <f>IFERROR(_xlfn.XLOOKUP(A10,'Region Mapping'!$B:$B,'Region Mapping'!$A:$A),"All")</f>
        <v>ANZ</v>
      </c>
      <c r="C10">
        <v>4.8</v>
      </c>
      <c r="D10">
        <v>101.6</v>
      </c>
      <c r="F10" t="s">
        <v>242</v>
      </c>
      <c r="G10" t="str">
        <f>IFERROR(_xlfn.XLOOKUP(F10,'Region Mapping'!$B:$B,'Region Mapping'!$A:$A),"All")</f>
        <v>RUS</v>
      </c>
      <c r="H10">
        <v>1.8</v>
      </c>
      <c r="I10">
        <v>33.6</v>
      </c>
      <c r="K10" t="s">
        <v>1166</v>
      </c>
      <c r="L10" t="str">
        <f>IFERROR(_xlfn.XLOOKUP(K10,'Region Mapping'!$B:$B,'Region Mapping'!$A:$A),"All")</f>
        <v>AFZ</v>
      </c>
      <c r="M10">
        <v>7.2</v>
      </c>
      <c r="N10">
        <v>47.1</v>
      </c>
    </row>
    <row r="11" spans="1:14">
      <c r="A11" t="s">
        <v>1092</v>
      </c>
      <c r="B11" t="str">
        <f>IFERROR(_xlfn.XLOOKUP(A11,'Region Mapping'!$B:$B,'Region Mapping'!$A:$A),"All")</f>
        <v>ANZ</v>
      </c>
      <c r="C11">
        <v>3.2</v>
      </c>
      <c r="D11">
        <v>104</v>
      </c>
      <c r="F11" t="s">
        <v>1094</v>
      </c>
      <c r="G11" t="str">
        <f>IFERROR(_xlfn.XLOOKUP(F11,'Region Mapping'!$B:$B,'Region Mapping'!$A:$A),"All")</f>
        <v>IDN</v>
      </c>
      <c r="H11">
        <v>2.2000000000000002</v>
      </c>
      <c r="I11">
        <v>34.9</v>
      </c>
      <c r="K11" t="s">
        <v>242</v>
      </c>
      <c r="L11" t="str">
        <f>IFERROR(_xlfn.XLOOKUP(K11,'Region Mapping'!$B:$B,'Region Mapping'!$A:$A),"All")</f>
        <v>RUS</v>
      </c>
      <c r="M11">
        <v>29.8</v>
      </c>
      <c r="N11">
        <v>47.2</v>
      </c>
    </row>
    <row r="12" spans="1:14">
      <c r="A12" t="s">
        <v>1092</v>
      </c>
      <c r="B12" t="str">
        <f>IFERROR(_xlfn.XLOOKUP(A12,'Region Mapping'!$B:$B,'Region Mapping'!$A:$A),"All")</f>
        <v>ANZ</v>
      </c>
      <c r="C12">
        <v>2</v>
      </c>
      <c r="D12">
        <v>105</v>
      </c>
      <c r="F12" t="s">
        <v>1094</v>
      </c>
      <c r="G12" t="str">
        <f>IFERROR(_xlfn.XLOOKUP(F12,'Region Mapping'!$B:$B,'Region Mapping'!$A:$A),"All")</f>
        <v>IDN</v>
      </c>
      <c r="H12">
        <v>6.4</v>
      </c>
      <c r="I12">
        <v>35.799999999999997</v>
      </c>
      <c r="K12" t="s">
        <v>242</v>
      </c>
      <c r="L12" t="str">
        <f>IFERROR(_xlfn.XLOOKUP(K12,'Region Mapping'!$B:$B,'Region Mapping'!$A:$A),"All")</f>
        <v>RUS</v>
      </c>
      <c r="M12">
        <v>11.8</v>
      </c>
      <c r="N12">
        <v>47.9</v>
      </c>
    </row>
    <row r="13" spans="1:14">
      <c r="A13" t="s">
        <v>1092</v>
      </c>
      <c r="B13" t="str">
        <f>IFERROR(_xlfn.XLOOKUP(A13,'Region Mapping'!$B:$B,'Region Mapping'!$A:$A),"All")</f>
        <v>ANZ</v>
      </c>
      <c r="C13">
        <v>4.8</v>
      </c>
      <c r="D13">
        <v>105.4</v>
      </c>
      <c r="F13" t="s">
        <v>1094</v>
      </c>
      <c r="G13" t="str">
        <f>IFERROR(_xlfn.XLOOKUP(F13,'Region Mapping'!$B:$B,'Region Mapping'!$A:$A),"All")</f>
        <v>IDN</v>
      </c>
      <c r="H13">
        <v>4</v>
      </c>
      <c r="I13">
        <v>37.4</v>
      </c>
      <c r="K13" t="s">
        <v>1092</v>
      </c>
      <c r="L13" t="str">
        <f>IFERROR(_xlfn.XLOOKUP(K13,'Region Mapping'!$B:$B,'Region Mapping'!$A:$A),"All")</f>
        <v>ANZ</v>
      </c>
      <c r="M13">
        <v>2.2000000000000002</v>
      </c>
      <c r="N13">
        <v>49.3</v>
      </c>
    </row>
    <row r="14" spans="1:14">
      <c r="A14" t="s">
        <v>242</v>
      </c>
      <c r="B14" t="str">
        <f>IFERROR(_xlfn.XLOOKUP(A14,'Region Mapping'!$B:$B,'Region Mapping'!$A:$A),"All")</f>
        <v>RUS</v>
      </c>
      <c r="C14">
        <v>4.5999999999999996</v>
      </c>
      <c r="D14">
        <v>106.3</v>
      </c>
      <c r="F14" t="s">
        <v>1094</v>
      </c>
      <c r="G14" t="str">
        <f>IFERROR(_xlfn.XLOOKUP(F14,'Region Mapping'!$B:$B,'Region Mapping'!$A:$A),"All")</f>
        <v>IDN</v>
      </c>
      <c r="H14">
        <v>28</v>
      </c>
      <c r="I14">
        <v>40.1</v>
      </c>
      <c r="K14" t="s">
        <v>1092</v>
      </c>
      <c r="L14" t="str">
        <f>IFERROR(_xlfn.XLOOKUP(K14,'Region Mapping'!$B:$B,'Region Mapping'!$A:$A),"All")</f>
        <v>ANZ</v>
      </c>
      <c r="M14">
        <v>17.8</v>
      </c>
      <c r="N14">
        <v>49.4</v>
      </c>
    </row>
    <row r="15" spans="1:14">
      <c r="A15" t="s">
        <v>199</v>
      </c>
      <c r="B15" t="str">
        <f>IFERROR(_xlfn.XLOOKUP(A15,'Region Mapping'!$B:$B,'Region Mapping'!$A:$A),"All")</f>
        <v>CAN</v>
      </c>
      <c r="C15">
        <v>6.8</v>
      </c>
      <c r="D15">
        <v>106.4</v>
      </c>
      <c r="F15" t="s">
        <v>1094</v>
      </c>
      <c r="G15" t="str">
        <f>IFERROR(_xlfn.XLOOKUP(F15,'Region Mapping'!$B:$B,'Region Mapping'!$A:$A),"All")</f>
        <v>IDN</v>
      </c>
      <c r="H15">
        <v>4.5999999999999996</v>
      </c>
      <c r="I15">
        <v>40.4</v>
      </c>
      <c r="K15" t="s">
        <v>1092</v>
      </c>
      <c r="L15" t="str">
        <f>IFERROR(_xlfn.XLOOKUP(K15,'Region Mapping'!$B:$B,'Region Mapping'!$A:$A),"All")</f>
        <v>ANZ</v>
      </c>
      <c r="M15">
        <v>0.2</v>
      </c>
      <c r="N15">
        <v>49.7</v>
      </c>
    </row>
    <row r="16" spans="1:14">
      <c r="A16" t="s">
        <v>247</v>
      </c>
      <c r="B16" t="str">
        <f>IFERROR(_xlfn.XLOOKUP(A16,'Region Mapping'!$B:$B,'Region Mapping'!$A:$A),"All")</f>
        <v>USA</v>
      </c>
      <c r="C16">
        <v>2.6</v>
      </c>
      <c r="D16">
        <v>106.9</v>
      </c>
      <c r="F16" t="s">
        <v>1094</v>
      </c>
      <c r="G16" t="str">
        <f>IFERROR(_xlfn.XLOOKUP(F16,'Region Mapping'!$B:$B,'Region Mapping'!$A:$A),"All")</f>
        <v>IDN</v>
      </c>
      <c r="H16">
        <v>41.4</v>
      </c>
      <c r="I16">
        <v>41.6</v>
      </c>
      <c r="K16" t="s">
        <v>1094</v>
      </c>
      <c r="L16" t="str">
        <f>IFERROR(_xlfn.XLOOKUP(K16,'Region Mapping'!$B:$B,'Region Mapping'!$A:$A),"All")</f>
        <v>IDN</v>
      </c>
      <c r="M16">
        <v>1.6</v>
      </c>
      <c r="N16">
        <v>49.7</v>
      </c>
    </row>
    <row r="17" spans="1:14">
      <c r="A17" t="s">
        <v>242</v>
      </c>
      <c r="B17" t="str">
        <f>IFERROR(_xlfn.XLOOKUP(A17,'Region Mapping'!$B:$B,'Region Mapping'!$A:$A),"All")</f>
        <v>RUS</v>
      </c>
      <c r="C17">
        <v>6.8</v>
      </c>
      <c r="D17">
        <v>107.7</v>
      </c>
      <c r="F17" t="s">
        <v>1094</v>
      </c>
      <c r="G17" t="str">
        <f>IFERROR(_xlfn.XLOOKUP(F17,'Region Mapping'!$B:$B,'Region Mapping'!$A:$A),"All")</f>
        <v>IDN</v>
      </c>
      <c r="H17">
        <v>15</v>
      </c>
      <c r="I17">
        <v>42.3</v>
      </c>
      <c r="K17" t="s">
        <v>242</v>
      </c>
      <c r="L17" t="str">
        <f>IFERROR(_xlfn.XLOOKUP(K17,'Region Mapping'!$B:$B,'Region Mapping'!$A:$A),"All")</f>
        <v>RUS</v>
      </c>
      <c r="M17">
        <v>17.399999999999999</v>
      </c>
      <c r="N17">
        <v>50.2</v>
      </c>
    </row>
    <row r="18" spans="1:14">
      <c r="A18" t="s">
        <v>242</v>
      </c>
      <c r="B18" t="str">
        <f>IFERROR(_xlfn.XLOOKUP(A18,'Region Mapping'!$B:$B,'Region Mapping'!$A:$A),"All")</f>
        <v>RUS</v>
      </c>
      <c r="C18">
        <v>0.8</v>
      </c>
      <c r="D18">
        <v>109</v>
      </c>
      <c r="F18" t="s">
        <v>1092</v>
      </c>
      <c r="G18" t="str">
        <f>IFERROR(_xlfn.XLOOKUP(F18,'Region Mapping'!$B:$B,'Region Mapping'!$A:$A),"All")</f>
        <v>ANZ</v>
      </c>
      <c r="H18">
        <v>1</v>
      </c>
      <c r="I18">
        <v>43.3</v>
      </c>
      <c r="K18" t="s">
        <v>1094</v>
      </c>
      <c r="L18" t="str">
        <f>IFERROR(_xlfn.XLOOKUP(K18,'Region Mapping'!$B:$B,'Region Mapping'!$A:$A),"All")</f>
        <v>IDN</v>
      </c>
      <c r="M18">
        <v>4.4000000000000004</v>
      </c>
      <c r="N18">
        <v>50.3</v>
      </c>
    </row>
    <row r="19" spans="1:14">
      <c r="A19" t="s">
        <v>199</v>
      </c>
      <c r="B19" t="str">
        <f>IFERROR(_xlfn.XLOOKUP(A19,'Region Mapping'!$B:$B,'Region Mapping'!$A:$A),"All")</f>
        <v>CAN</v>
      </c>
      <c r="C19">
        <v>8</v>
      </c>
      <c r="D19">
        <v>109.6</v>
      </c>
      <c r="F19" t="s">
        <v>1094</v>
      </c>
      <c r="G19" t="str">
        <f>IFERROR(_xlfn.XLOOKUP(F19,'Region Mapping'!$B:$B,'Region Mapping'!$A:$A),"All")</f>
        <v>IDN</v>
      </c>
      <c r="H19">
        <v>1</v>
      </c>
      <c r="I19">
        <v>46</v>
      </c>
      <c r="K19" t="s">
        <v>1046</v>
      </c>
      <c r="L19" t="str">
        <f>IFERROR(_xlfn.XLOOKUP(K19,'Region Mapping'!$B:$B,'Region Mapping'!$A:$A),"All")</f>
        <v>LAM</v>
      </c>
      <c r="M19">
        <v>25.8</v>
      </c>
      <c r="N19">
        <v>50.5</v>
      </c>
    </row>
    <row r="20" spans="1:14">
      <c r="A20" t="s">
        <v>1092</v>
      </c>
      <c r="B20" t="str">
        <f>IFERROR(_xlfn.XLOOKUP(A20,'Region Mapping'!$B:$B,'Region Mapping'!$A:$A),"All")</f>
        <v>ANZ</v>
      </c>
      <c r="C20">
        <v>5.8</v>
      </c>
      <c r="D20">
        <v>110.3</v>
      </c>
      <c r="F20" t="s">
        <v>1094</v>
      </c>
      <c r="G20" t="str">
        <f>IFERROR(_xlfn.XLOOKUP(F20,'Region Mapping'!$B:$B,'Region Mapping'!$A:$A),"All")</f>
        <v>IDN</v>
      </c>
      <c r="H20">
        <v>3</v>
      </c>
      <c r="I20">
        <v>47.1</v>
      </c>
      <c r="K20" t="s">
        <v>1166</v>
      </c>
      <c r="L20" t="str">
        <f>IFERROR(_xlfn.XLOOKUP(K20,'Region Mapping'!$B:$B,'Region Mapping'!$A:$A),"All")</f>
        <v>AFZ</v>
      </c>
      <c r="M20">
        <v>6</v>
      </c>
      <c r="N20">
        <v>50.8</v>
      </c>
    </row>
    <row r="21" spans="1:14">
      <c r="A21" t="s">
        <v>1092</v>
      </c>
      <c r="B21" t="str">
        <f>IFERROR(_xlfn.XLOOKUP(A21,'Region Mapping'!$B:$B,'Region Mapping'!$A:$A),"All")</f>
        <v>ANZ</v>
      </c>
      <c r="C21">
        <v>12</v>
      </c>
      <c r="D21">
        <v>110.5</v>
      </c>
      <c r="F21" t="s">
        <v>1092</v>
      </c>
      <c r="G21" t="str">
        <f>IFERROR(_xlfn.XLOOKUP(F21,'Region Mapping'!$B:$B,'Region Mapping'!$A:$A),"All")</f>
        <v>ANZ</v>
      </c>
      <c r="H21">
        <v>0.8</v>
      </c>
      <c r="I21">
        <v>55.5</v>
      </c>
      <c r="K21" t="s">
        <v>1094</v>
      </c>
      <c r="L21" t="str">
        <f>IFERROR(_xlfn.XLOOKUP(K21,'Region Mapping'!$B:$B,'Region Mapping'!$A:$A),"All")</f>
        <v>IDN</v>
      </c>
      <c r="M21">
        <v>4.2</v>
      </c>
      <c r="N21">
        <v>51.1</v>
      </c>
    </row>
    <row r="22" spans="1:14">
      <c r="A22" t="s">
        <v>1092</v>
      </c>
      <c r="B22" t="str">
        <f>IFERROR(_xlfn.XLOOKUP(A22,'Region Mapping'!$B:$B,'Region Mapping'!$A:$A),"All")</f>
        <v>ANZ</v>
      </c>
      <c r="C22">
        <v>4</v>
      </c>
      <c r="D22">
        <v>111</v>
      </c>
      <c r="F22" t="s">
        <v>1094</v>
      </c>
      <c r="G22" t="str">
        <f>IFERROR(_xlfn.XLOOKUP(F22,'Region Mapping'!$B:$B,'Region Mapping'!$A:$A),"All")</f>
        <v>IDN</v>
      </c>
      <c r="H22">
        <v>1.6</v>
      </c>
      <c r="I22">
        <v>58.1</v>
      </c>
      <c r="K22" t="s">
        <v>242</v>
      </c>
      <c r="L22" t="str">
        <f>IFERROR(_xlfn.XLOOKUP(K22,'Region Mapping'!$B:$B,'Region Mapping'!$A:$A),"All")</f>
        <v>RUS</v>
      </c>
      <c r="M22">
        <v>3</v>
      </c>
      <c r="N22">
        <v>51.2</v>
      </c>
    </row>
    <row r="23" spans="1:14">
      <c r="A23" t="s">
        <v>242</v>
      </c>
      <c r="B23" t="str">
        <f>IFERROR(_xlfn.XLOOKUP(A23,'Region Mapping'!$B:$B,'Region Mapping'!$A:$A),"All")</f>
        <v>RUS</v>
      </c>
      <c r="C23">
        <v>0.4</v>
      </c>
      <c r="D23">
        <v>111.9</v>
      </c>
      <c r="F23" t="s">
        <v>1094</v>
      </c>
      <c r="G23" t="str">
        <f>IFERROR(_xlfn.XLOOKUP(F23,'Region Mapping'!$B:$B,'Region Mapping'!$A:$A),"All")</f>
        <v>IDN</v>
      </c>
      <c r="H23">
        <v>10.199999999999999</v>
      </c>
      <c r="I23">
        <v>59.1</v>
      </c>
      <c r="K23" t="s">
        <v>1094</v>
      </c>
      <c r="L23" t="str">
        <f>IFERROR(_xlfn.XLOOKUP(K23,'Region Mapping'!$B:$B,'Region Mapping'!$A:$A),"All")</f>
        <v>IDN</v>
      </c>
      <c r="M23">
        <v>7</v>
      </c>
      <c r="N23">
        <v>51.4</v>
      </c>
    </row>
    <row r="24" spans="1:14">
      <c r="A24" t="s">
        <v>1092</v>
      </c>
      <c r="B24" t="str">
        <f>IFERROR(_xlfn.XLOOKUP(A24,'Region Mapping'!$B:$B,'Region Mapping'!$A:$A),"All")</f>
        <v>ANZ</v>
      </c>
      <c r="C24">
        <v>2.8</v>
      </c>
      <c r="D24">
        <v>114.1</v>
      </c>
      <c r="F24" t="s">
        <v>1094</v>
      </c>
      <c r="G24" t="str">
        <f>IFERROR(_xlfn.XLOOKUP(F24,'Region Mapping'!$B:$B,'Region Mapping'!$A:$A),"All")</f>
        <v>IDN</v>
      </c>
      <c r="H24">
        <v>3.6</v>
      </c>
      <c r="I24">
        <v>59.7</v>
      </c>
      <c r="K24" t="s">
        <v>1046</v>
      </c>
      <c r="L24" t="str">
        <f>IFERROR(_xlfn.XLOOKUP(K24,'Region Mapping'!$B:$B,'Region Mapping'!$A:$A),"All")</f>
        <v>LAM</v>
      </c>
      <c r="M24">
        <v>9.6</v>
      </c>
      <c r="N24">
        <v>51.9</v>
      </c>
    </row>
    <row r="25" spans="1:14">
      <c r="A25" t="s">
        <v>1092</v>
      </c>
      <c r="B25" t="str">
        <f>IFERROR(_xlfn.XLOOKUP(A25,'Region Mapping'!$B:$B,'Region Mapping'!$A:$A),"All")</f>
        <v>ANZ</v>
      </c>
      <c r="C25">
        <v>7.6</v>
      </c>
      <c r="D25">
        <v>114.4</v>
      </c>
      <c r="F25" t="s">
        <v>1094</v>
      </c>
      <c r="G25" t="str">
        <f>IFERROR(_xlfn.XLOOKUP(F25,'Region Mapping'!$B:$B,'Region Mapping'!$A:$A),"All")</f>
        <v>IDN</v>
      </c>
      <c r="H25">
        <v>0.6</v>
      </c>
      <c r="I25">
        <v>62.3</v>
      </c>
      <c r="K25" t="s">
        <v>1046</v>
      </c>
      <c r="L25" t="str">
        <f>IFERROR(_xlfn.XLOOKUP(K25,'Region Mapping'!$B:$B,'Region Mapping'!$A:$A),"All")</f>
        <v>LAM</v>
      </c>
      <c r="M25">
        <v>10</v>
      </c>
      <c r="N25">
        <v>52.2</v>
      </c>
    </row>
    <row r="26" spans="1:14">
      <c r="A26" t="s">
        <v>199</v>
      </c>
      <c r="B26" t="str">
        <f>IFERROR(_xlfn.XLOOKUP(A26,'Region Mapping'!$B:$B,'Region Mapping'!$A:$A),"All")</f>
        <v>CAN</v>
      </c>
      <c r="C26">
        <v>4.2</v>
      </c>
      <c r="D26">
        <v>115.4</v>
      </c>
      <c r="F26" t="s">
        <v>1166</v>
      </c>
      <c r="G26" t="str">
        <f>IFERROR(_xlfn.XLOOKUP(F26,'Region Mapping'!$B:$B,'Region Mapping'!$A:$A),"All")</f>
        <v>AFZ</v>
      </c>
      <c r="H26">
        <v>3.2</v>
      </c>
      <c r="I26">
        <v>64.599999999999994</v>
      </c>
      <c r="K26" t="s">
        <v>1092</v>
      </c>
      <c r="L26" t="str">
        <f>IFERROR(_xlfn.XLOOKUP(K26,'Region Mapping'!$B:$B,'Region Mapping'!$A:$A),"All")</f>
        <v>ANZ</v>
      </c>
      <c r="M26">
        <v>11.2</v>
      </c>
      <c r="N26">
        <v>52.4</v>
      </c>
    </row>
    <row r="27" spans="1:14">
      <c r="A27" t="s">
        <v>1092</v>
      </c>
      <c r="B27" t="str">
        <f>IFERROR(_xlfn.XLOOKUP(A27,'Region Mapping'!$B:$B,'Region Mapping'!$A:$A),"All")</f>
        <v>ANZ</v>
      </c>
      <c r="C27">
        <v>6</v>
      </c>
      <c r="D27">
        <v>116.4</v>
      </c>
      <c r="F27" t="s">
        <v>1094</v>
      </c>
      <c r="G27" t="str">
        <f>IFERROR(_xlfn.XLOOKUP(F27,'Region Mapping'!$B:$B,'Region Mapping'!$A:$A),"All")</f>
        <v>IDN</v>
      </c>
      <c r="H27">
        <v>2.6</v>
      </c>
      <c r="I27">
        <v>65.7</v>
      </c>
      <c r="K27" t="s">
        <v>242</v>
      </c>
      <c r="L27" t="str">
        <f>IFERROR(_xlfn.XLOOKUP(K27,'Region Mapping'!$B:$B,'Region Mapping'!$A:$A),"All")</f>
        <v>RUS</v>
      </c>
      <c r="M27">
        <v>25</v>
      </c>
      <c r="N27">
        <v>52.5</v>
      </c>
    </row>
    <row r="28" spans="1:14">
      <c r="A28" t="s">
        <v>247</v>
      </c>
      <c r="B28" t="str">
        <f>IFERROR(_xlfn.XLOOKUP(A28,'Region Mapping'!$B:$B,'Region Mapping'!$A:$A),"All")</f>
        <v>USA</v>
      </c>
      <c r="C28">
        <v>2</v>
      </c>
      <c r="D28">
        <v>117.2</v>
      </c>
      <c r="F28" t="s">
        <v>1094</v>
      </c>
      <c r="G28" t="str">
        <f>IFERROR(_xlfn.XLOOKUP(F28,'Region Mapping'!$B:$B,'Region Mapping'!$A:$A),"All")</f>
        <v>IDN</v>
      </c>
      <c r="H28">
        <v>0.6</v>
      </c>
      <c r="I28">
        <v>68.2</v>
      </c>
      <c r="K28" t="s">
        <v>242</v>
      </c>
      <c r="L28" t="str">
        <f>IFERROR(_xlfn.XLOOKUP(K28,'Region Mapping'!$B:$B,'Region Mapping'!$A:$A),"All")</f>
        <v>RUS</v>
      </c>
      <c r="M28">
        <v>3</v>
      </c>
      <c r="N28">
        <v>52.7</v>
      </c>
    </row>
    <row r="29" spans="1:14">
      <c r="A29" t="s">
        <v>1092</v>
      </c>
      <c r="B29" t="str">
        <f>IFERROR(_xlfn.XLOOKUP(A29,'Region Mapping'!$B:$B,'Region Mapping'!$A:$A),"All")</f>
        <v>ANZ</v>
      </c>
      <c r="C29">
        <v>10.199999999999999</v>
      </c>
      <c r="D29">
        <v>117.4</v>
      </c>
      <c r="K29" t="s">
        <v>1092</v>
      </c>
      <c r="L29" t="str">
        <f>IFERROR(_xlfn.XLOOKUP(K29,'Region Mapping'!$B:$B,'Region Mapping'!$A:$A),"All")</f>
        <v>ANZ</v>
      </c>
      <c r="M29">
        <v>1.2</v>
      </c>
      <c r="N29">
        <v>53.7</v>
      </c>
    </row>
    <row r="30" spans="1:14">
      <c r="A30" t="s">
        <v>199</v>
      </c>
      <c r="B30" t="str">
        <f>IFERROR(_xlfn.XLOOKUP(A30,'Region Mapping'!$B:$B,'Region Mapping'!$A:$A),"All")</f>
        <v>CAN</v>
      </c>
      <c r="C30">
        <v>1.8</v>
      </c>
      <c r="D30">
        <v>118.1</v>
      </c>
      <c r="K30" t="s">
        <v>242</v>
      </c>
      <c r="L30" t="str">
        <f>IFERROR(_xlfn.XLOOKUP(K30,'Region Mapping'!$B:$B,'Region Mapping'!$A:$A),"All")</f>
        <v>RUS</v>
      </c>
      <c r="M30">
        <v>4</v>
      </c>
      <c r="N30">
        <v>54.1</v>
      </c>
    </row>
    <row r="31" spans="1:14">
      <c r="A31" t="s">
        <v>1794</v>
      </c>
      <c r="B31" t="str">
        <f>IFERROR(_xlfn.XLOOKUP(A31,'Region Mapping'!$B:$B,'Region Mapping'!$A:$A),"All")</f>
        <v>All</v>
      </c>
      <c r="C31">
        <v>0.6</v>
      </c>
      <c r="D31">
        <v>118.8</v>
      </c>
      <c r="K31" t="s">
        <v>247</v>
      </c>
      <c r="L31" t="str">
        <f>IFERROR(_xlfn.XLOOKUP(K31,'Region Mapping'!$B:$B,'Region Mapping'!$A:$A),"All")</f>
        <v>USA</v>
      </c>
      <c r="M31">
        <v>5.4</v>
      </c>
      <c r="N31">
        <v>54.3</v>
      </c>
    </row>
    <row r="32" spans="1:14">
      <c r="A32" t="s">
        <v>1170</v>
      </c>
      <c r="B32" t="str">
        <f>IFERROR(_xlfn.XLOOKUP(A32,'Region Mapping'!$B:$B,'Region Mapping'!$A:$A),"All")</f>
        <v>ASC</v>
      </c>
      <c r="C32">
        <v>0.6</v>
      </c>
      <c r="D32">
        <v>120.5</v>
      </c>
      <c r="K32" t="s">
        <v>1166</v>
      </c>
      <c r="L32" t="str">
        <f>IFERROR(_xlfn.XLOOKUP(K32,'Region Mapping'!$B:$B,'Region Mapping'!$A:$A),"All")</f>
        <v>AFZ</v>
      </c>
      <c r="M32">
        <v>1.8</v>
      </c>
      <c r="N32">
        <v>54.4</v>
      </c>
    </row>
    <row r="33" spans="1:14">
      <c r="A33" t="s">
        <v>1092</v>
      </c>
      <c r="B33" t="str">
        <f>IFERROR(_xlfn.XLOOKUP(A33,'Region Mapping'!$B:$B,'Region Mapping'!$A:$A),"All")</f>
        <v>ANZ</v>
      </c>
      <c r="C33">
        <v>1</v>
      </c>
      <c r="D33">
        <v>120.7</v>
      </c>
      <c r="K33" t="s">
        <v>242</v>
      </c>
      <c r="L33" t="str">
        <f>IFERROR(_xlfn.XLOOKUP(K33,'Region Mapping'!$B:$B,'Region Mapping'!$A:$A),"All")</f>
        <v>RUS</v>
      </c>
      <c r="M33">
        <v>2.8</v>
      </c>
      <c r="N33">
        <v>54.4</v>
      </c>
    </row>
    <row r="34" spans="1:14">
      <c r="A34" t="s">
        <v>1794</v>
      </c>
      <c r="B34" t="str">
        <f>IFERROR(_xlfn.XLOOKUP(A34,'Region Mapping'!$B:$B,'Region Mapping'!$A:$A),"All")</f>
        <v>All</v>
      </c>
      <c r="C34">
        <v>0.4</v>
      </c>
      <c r="D34">
        <v>121.5</v>
      </c>
      <c r="K34" t="s">
        <v>1046</v>
      </c>
      <c r="L34" t="str">
        <f>IFERROR(_xlfn.XLOOKUP(K34,'Region Mapping'!$B:$B,'Region Mapping'!$A:$A),"All")</f>
        <v>LAM</v>
      </c>
      <c r="M34">
        <v>0.6</v>
      </c>
      <c r="N34">
        <v>54.5</v>
      </c>
    </row>
    <row r="35" spans="1:14">
      <c r="A35" t="s">
        <v>1092</v>
      </c>
      <c r="B35" t="str">
        <f>IFERROR(_xlfn.XLOOKUP(A35,'Region Mapping'!$B:$B,'Region Mapping'!$A:$A),"All")</f>
        <v>ANZ</v>
      </c>
      <c r="C35">
        <v>1.4</v>
      </c>
      <c r="D35">
        <v>122.7</v>
      </c>
      <c r="K35" t="s">
        <v>1166</v>
      </c>
      <c r="L35" t="str">
        <f>IFERROR(_xlfn.XLOOKUP(K35,'Region Mapping'!$B:$B,'Region Mapping'!$A:$A),"All")</f>
        <v>AFZ</v>
      </c>
      <c r="M35">
        <v>1</v>
      </c>
      <c r="N35">
        <v>54.5</v>
      </c>
    </row>
    <row r="36" spans="1:14">
      <c r="A36" t="s">
        <v>1092</v>
      </c>
      <c r="B36" t="str">
        <f>IFERROR(_xlfn.XLOOKUP(A36,'Region Mapping'!$B:$B,'Region Mapping'!$A:$A),"All")</f>
        <v>ANZ</v>
      </c>
      <c r="C36">
        <v>5.6</v>
      </c>
      <c r="D36">
        <v>123.4</v>
      </c>
      <c r="K36" t="s">
        <v>242</v>
      </c>
      <c r="L36" t="str">
        <f>IFERROR(_xlfn.XLOOKUP(K36,'Region Mapping'!$B:$B,'Region Mapping'!$A:$A),"All")</f>
        <v>RUS</v>
      </c>
      <c r="M36">
        <v>5</v>
      </c>
      <c r="N36">
        <v>54.7</v>
      </c>
    </row>
    <row r="37" spans="1:14">
      <c r="A37" t="s">
        <v>247</v>
      </c>
      <c r="B37" t="str">
        <f>IFERROR(_xlfn.XLOOKUP(A37,'Region Mapping'!$B:$B,'Region Mapping'!$A:$A),"All")</f>
        <v>USA</v>
      </c>
      <c r="C37">
        <v>1.2</v>
      </c>
      <c r="D37">
        <v>124.6</v>
      </c>
      <c r="K37" t="s">
        <v>1166</v>
      </c>
      <c r="L37" t="str">
        <f>IFERROR(_xlfn.XLOOKUP(K37,'Region Mapping'!$B:$B,'Region Mapping'!$A:$A),"All")</f>
        <v>AFZ</v>
      </c>
      <c r="M37">
        <v>1.6</v>
      </c>
      <c r="N37">
        <v>54.9</v>
      </c>
    </row>
    <row r="38" spans="1:14">
      <c r="A38" t="s">
        <v>1092</v>
      </c>
      <c r="B38" t="str">
        <f>IFERROR(_xlfn.XLOOKUP(A38,'Region Mapping'!$B:$B,'Region Mapping'!$A:$A),"All")</f>
        <v>ANZ</v>
      </c>
      <c r="C38">
        <v>1.4</v>
      </c>
      <c r="D38">
        <v>124.8</v>
      </c>
      <c r="K38" t="s">
        <v>242</v>
      </c>
      <c r="L38" t="str">
        <f>IFERROR(_xlfn.XLOOKUP(K38,'Region Mapping'!$B:$B,'Region Mapping'!$A:$A),"All")</f>
        <v>RUS</v>
      </c>
      <c r="M38">
        <v>4.8</v>
      </c>
      <c r="N38">
        <v>55.9</v>
      </c>
    </row>
    <row r="39" spans="1:14">
      <c r="A39" t="s">
        <v>1170</v>
      </c>
      <c r="B39" t="str">
        <f>IFERROR(_xlfn.XLOOKUP(A39,'Region Mapping'!$B:$B,'Region Mapping'!$A:$A),"All")</f>
        <v>ASC</v>
      </c>
      <c r="C39">
        <v>4.4000000000000004</v>
      </c>
      <c r="D39">
        <v>125</v>
      </c>
      <c r="K39" t="s">
        <v>1092</v>
      </c>
      <c r="L39" t="str">
        <f>IFERROR(_xlfn.XLOOKUP(K39,'Region Mapping'!$B:$B,'Region Mapping'!$A:$A),"All")</f>
        <v>ANZ</v>
      </c>
      <c r="M39">
        <v>5</v>
      </c>
      <c r="N39">
        <v>57</v>
      </c>
    </row>
    <row r="40" spans="1:14">
      <c r="A40" t="s">
        <v>247</v>
      </c>
      <c r="B40" t="str">
        <f>IFERROR(_xlfn.XLOOKUP(A40,'Region Mapping'!$B:$B,'Region Mapping'!$A:$A),"All")</f>
        <v>USA</v>
      </c>
      <c r="C40">
        <v>2.8</v>
      </c>
      <c r="D40">
        <v>125.2</v>
      </c>
      <c r="K40" t="s">
        <v>1166</v>
      </c>
      <c r="L40" t="str">
        <f>IFERROR(_xlfn.XLOOKUP(K40,'Region Mapping'!$B:$B,'Region Mapping'!$A:$A),"All")</f>
        <v>AFZ</v>
      </c>
      <c r="M40">
        <v>2</v>
      </c>
      <c r="N40">
        <v>57.1</v>
      </c>
    </row>
    <row r="41" spans="1:14">
      <c r="A41" t="s">
        <v>242</v>
      </c>
      <c r="B41" t="str">
        <f>IFERROR(_xlfn.XLOOKUP(A41,'Region Mapping'!$B:$B,'Region Mapping'!$A:$A),"All")</f>
        <v>RUS</v>
      </c>
      <c r="C41">
        <v>0.8</v>
      </c>
      <c r="D41">
        <v>126</v>
      </c>
      <c r="K41" t="s">
        <v>1092</v>
      </c>
      <c r="L41" t="str">
        <f>IFERROR(_xlfn.XLOOKUP(K41,'Region Mapping'!$B:$B,'Region Mapping'!$A:$A),"All")</f>
        <v>ANZ</v>
      </c>
      <c r="M41">
        <v>8.6</v>
      </c>
      <c r="N41">
        <v>57.2</v>
      </c>
    </row>
    <row r="42" spans="1:14">
      <c r="A42" t="s">
        <v>1092</v>
      </c>
      <c r="B42" t="str">
        <f>IFERROR(_xlfn.XLOOKUP(A42,'Region Mapping'!$B:$B,'Region Mapping'!$A:$A),"All")</f>
        <v>ANZ</v>
      </c>
      <c r="C42">
        <v>17.8</v>
      </c>
      <c r="D42">
        <v>126.5</v>
      </c>
      <c r="K42" t="s">
        <v>1092</v>
      </c>
      <c r="L42" t="str">
        <f>IFERROR(_xlfn.XLOOKUP(K42,'Region Mapping'!$B:$B,'Region Mapping'!$A:$A),"All")</f>
        <v>ANZ</v>
      </c>
      <c r="M42">
        <v>16</v>
      </c>
      <c r="N42">
        <v>57.6</v>
      </c>
    </row>
    <row r="43" spans="1:14">
      <c r="A43" t="s">
        <v>1170</v>
      </c>
      <c r="B43" t="str">
        <f>IFERROR(_xlfn.XLOOKUP(A43,'Region Mapping'!$B:$B,'Region Mapping'!$A:$A),"All")</f>
        <v>ASC</v>
      </c>
      <c r="C43">
        <v>4.5999999999999996</v>
      </c>
      <c r="D43">
        <v>127</v>
      </c>
      <c r="K43" t="s">
        <v>1092</v>
      </c>
      <c r="L43" t="str">
        <f>IFERROR(_xlfn.XLOOKUP(K43,'Region Mapping'!$B:$B,'Region Mapping'!$A:$A),"All")</f>
        <v>ANZ</v>
      </c>
      <c r="M43">
        <v>11.4</v>
      </c>
      <c r="N43">
        <v>57.6</v>
      </c>
    </row>
    <row r="44" spans="1:14">
      <c r="A44" t="s">
        <v>247</v>
      </c>
      <c r="B44" t="str">
        <f>IFERROR(_xlfn.XLOOKUP(A44,'Region Mapping'!$B:$B,'Region Mapping'!$A:$A),"All")</f>
        <v>USA</v>
      </c>
      <c r="C44">
        <v>2.6</v>
      </c>
      <c r="D44">
        <v>127.5</v>
      </c>
      <c r="K44" t="s">
        <v>1092</v>
      </c>
      <c r="L44" t="str">
        <f>IFERROR(_xlfn.XLOOKUP(K44,'Region Mapping'!$B:$B,'Region Mapping'!$A:$A),"All")</f>
        <v>ANZ</v>
      </c>
      <c r="M44">
        <v>1</v>
      </c>
      <c r="N44">
        <v>57.7</v>
      </c>
    </row>
    <row r="45" spans="1:14">
      <c r="A45" t="s">
        <v>242</v>
      </c>
      <c r="B45" t="str">
        <f>IFERROR(_xlfn.XLOOKUP(A45,'Region Mapping'!$B:$B,'Region Mapping'!$A:$A),"All")</f>
        <v>RUS</v>
      </c>
      <c r="C45">
        <v>0.8</v>
      </c>
      <c r="D45">
        <v>128.30000000000001</v>
      </c>
      <c r="K45" t="s">
        <v>1166</v>
      </c>
      <c r="L45" t="str">
        <f>IFERROR(_xlfn.XLOOKUP(K45,'Region Mapping'!$B:$B,'Region Mapping'!$A:$A),"All")</f>
        <v>AFZ</v>
      </c>
      <c r="M45">
        <v>1.8</v>
      </c>
      <c r="N45">
        <v>58.5</v>
      </c>
    </row>
    <row r="46" spans="1:14">
      <c r="A46" t="s">
        <v>1092</v>
      </c>
      <c r="B46" t="str">
        <f>IFERROR(_xlfn.XLOOKUP(A46,'Region Mapping'!$B:$B,'Region Mapping'!$A:$A),"All")</f>
        <v>ANZ</v>
      </c>
      <c r="C46">
        <v>4.4000000000000004</v>
      </c>
      <c r="D46">
        <v>128.4</v>
      </c>
      <c r="K46" t="s">
        <v>242</v>
      </c>
      <c r="L46" t="str">
        <f>IFERROR(_xlfn.XLOOKUP(K46,'Region Mapping'!$B:$B,'Region Mapping'!$A:$A),"All")</f>
        <v>RUS</v>
      </c>
      <c r="M46">
        <v>4</v>
      </c>
      <c r="N46">
        <v>58.5</v>
      </c>
    </row>
    <row r="47" spans="1:14">
      <c r="A47" t="s">
        <v>199</v>
      </c>
      <c r="B47" t="str">
        <f>IFERROR(_xlfn.XLOOKUP(A47,'Region Mapping'!$B:$B,'Region Mapping'!$A:$A),"All")</f>
        <v>CAN</v>
      </c>
      <c r="C47">
        <v>5</v>
      </c>
      <c r="D47">
        <v>129</v>
      </c>
      <c r="K47" t="s">
        <v>1092</v>
      </c>
      <c r="L47" t="str">
        <f>IFERROR(_xlfn.XLOOKUP(K47,'Region Mapping'!$B:$B,'Region Mapping'!$A:$A),"All")</f>
        <v>ANZ</v>
      </c>
      <c r="M47">
        <v>1.6</v>
      </c>
      <c r="N47">
        <v>58.7</v>
      </c>
    </row>
    <row r="48" spans="1:14">
      <c r="A48" t="s">
        <v>1092</v>
      </c>
      <c r="B48" t="str">
        <f>IFERROR(_xlfn.XLOOKUP(A48,'Region Mapping'!$B:$B,'Region Mapping'!$A:$A),"All")</f>
        <v>ANZ</v>
      </c>
      <c r="C48">
        <v>3.8</v>
      </c>
      <c r="D48">
        <v>129.80000000000001</v>
      </c>
      <c r="K48" t="s">
        <v>1166</v>
      </c>
      <c r="L48" t="str">
        <f>IFERROR(_xlfn.XLOOKUP(K48,'Region Mapping'!$B:$B,'Region Mapping'!$A:$A),"All")</f>
        <v>AFZ</v>
      </c>
      <c r="M48">
        <v>4.8</v>
      </c>
      <c r="N48">
        <v>59</v>
      </c>
    </row>
    <row r="49" spans="1:14">
      <c r="A49" t="s">
        <v>247</v>
      </c>
      <c r="B49" t="str">
        <f>IFERROR(_xlfn.XLOOKUP(A49,'Region Mapping'!$B:$B,'Region Mapping'!$A:$A),"All")</f>
        <v>USA</v>
      </c>
      <c r="C49">
        <v>2</v>
      </c>
      <c r="D49">
        <v>131.19999999999999</v>
      </c>
      <c r="K49" t="s">
        <v>1094</v>
      </c>
      <c r="L49" t="str">
        <f>IFERROR(_xlfn.XLOOKUP(K49,'Region Mapping'!$B:$B,'Region Mapping'!$A:$A),"All")</f>
        <v>IDN</v>
      </c>
      <c r="M49">
        <v>2</v>
      </c>
      <c r="N49">
        <v>59.3</v>
      </c>
    </row>
    <row r="50" spans="1:14">
      <c r="A50" t="s">
        <v>1092</v>
      </c>
      <c r="B50" t="str">
        <f>IFERROR(_xlfn.XLOOKUP(A50,'Region Mapping'!$B:$B,'Region Mapping'!$A:$A),"All")</f>
        <v>ANZ</v>
      </c>
      <c r="C50">
        <v>2</v>
      </c>
      <c r="D50">
        <v>132.6</v>
      </c>
      <c r="K50" t="s">
        <v>242</v>
      </c>
      <c r="L50" t="str">
        <f>IFERROR(_xlfn.XLOOKUP(K50,'Region Mapping'!$B:$B,'Region Mapping'!$A:$A),"All")</f>
        <v>RUS</v>
      </c>
      <c r="M50">
        <v>0.8</v>
      </c>
      <c r="N50">
        <v>59.4</v>
      </c>
    </row>
    <row r="51" spans="1:14">
      <c r="A51" t="s">
        <v>242</v>
      </c>
      <c r="B51" t="str">
        <f>IFERROR(_xlfn.XLOOKUP(A51,'Region Mapping'!$B:$B,'Region Mapping'!$A:$A),"All")</f>
        <v>RUS</v>
      </c>
      <c r="C51">
        <v>2.2000000000000002</v>
      </c>
      <c r="D51">
        <v>132.69999999999999</v>
      </c>
      <c r="K51" t="s">
        <v>1166</v>
      </c>
      <c r="L51" t="str">
        <f>IFERROR(_xlfn.XLOOKUP(K51,'Region Mapping'!$B:$B,'Region Mapping'!$A:$A),"All")</f>
        <v>AFZ</v>
      </c>
      <c r="M51">
        <v>1</v>
      </c>
      <c r="N51">
        <v>59.5</v>
      </c>
    </row>
    <row r="52" spans="1:14">
      <c r="A52" t="s">
        <v>199</v>
      </c>
      <c r="B52" t="str">
        <f>IFERROR(_xlfn.XLOOKUP(A52,'Region Mapping'!$B:$B,'Region Mapping'!$A:$A),"All")</f>
        <v>CAN</v>
      </c>
      <c r="C52">
        <v>1.6</v>
      </c>
      <c r="D52">
        <v>133.80000000000001</v>
      </c>
      <c r="K52" t="s">
        <v>1092</v>
      </c>
      <c r="L52" t="str">
        <f>IFERROR(_xlfn.XLOOKUP(K52,'Region Mapping'!$B:$B,'Region Mapping'!$A:$A),"All")</f>
        <v>ANZ</v>
      </c>
      <c r="M52">
        <v>4</v>
      </c>
      <c r="N52">
        <v>59.9</v>
      </c>
    </row>
    <row r="53" spans="1:14">
      <c r="A53" t="s">
        <v>247</v>
      </c>
      <c r="B53" t="str">
        <f>IFERROR(_xlfn.XLOOKUP(A53,'Region Mapping'!$B:$B,'Region Mapping'!$A:$A),"All")</f>
        <v>USA</v>
      </c>
      <c r="C53">
        <v>1.8</v>
      </c>
      <c r="D53">
        <v>134.80000000000001</v>
      </c>
      <c r="K53" t="s">
        <v>242</v>
      </c>
      <c r="L53" t="str">
        <f>IFERROR(_xlfn.XLOOKUP(K53,'Region Mapping'!$B:$B,'Region Mapping'!$A:$A),"All")</f>
        <v>RUS</v>
      </c>
      <c r="M53">
        <v>2</v>
      </c>
      <c r="N53">
        <v>60.2</v>
      </c>
    </row>
    <row r="54" spans="1:14">
      <c r="A54" t="s">
        <v>1092</v>
      </c>
      <c r="B54" t="str">
        <f>IFERROR(_xlfn.XLOOKUP(A54,'Region Mapping'!$B:$B,'Region Mapping'!$A:$A),"All")</f>
        <v>ANZ</v>
      </c>
      <c r="C54">
        <v>1</v>
      </c>
      <c r="D54">
        <v>135.69999999999999</v>
      </c>
      <c r="K54" t="s">
        <v>1166</v>
      </c>
      <c r="L54" t="str">
        <f>IFERROR(_xlfn.XLOOKUP(K54,'Region Mapping'!$B:$B,'Region Mapping'!$A:$A),"All")</f>
        <v>AFZ</v>
      </c>
      <c r="M54">
        <v>14.2</v>
      </c>
      <c r="N54">
        <v>60.3</v>
      </c>
    </row>
    <row r="55" spans="1:14">
      <c r="A55" t="s">
        <v>247</v>
      </c>
      <c r="B55" t="str">
        <f>IFERROR(_xlfn.XLOOKUP(A55,'Region Mapping'!$B:$B,'Region Mapping'!$A:$A),"All")</f>
        <v>USA</v>
      </c>
      <c r="C55">
        <v>1</v>
      </c>
      <c r="D55">
        <v>136</v>
      </c>
      <c r="K55" t="s">
        <v>1092</v>
      </c>
      <c r="L55" t="str">
        <f>IFERROR(_xlfn.XLOOKUP(K55,'Region Mapping'!$B:$B,'Region Mapping'!$A:$A),"All")</f>
        <v>ANZ</v>
      </c>
      <c r="M55">
        <v>6.2</v>
      </c>
      <c r="N55">
        <v>60.3</v>
      </c>
    </row>
    <row r="56" spans="1:14">
      <c r="A56" t="s">
        <v>1794</v>
      </c>
      <c r="B56" t="str">
        <f>IFERROR(_xlfn.XLOOKUP(A56,'Region Mapping'!$B:$B,'Region Mapping'!$A:$A),"All")</f>
        <v>All</v>
      </c>
      <c r="C56">
        <v>1.8</v>
      </c>
      <c r="D56">
        <v>138.19999999999999</v>
      </c>
      <c r="K56" t="s">
        <v>1094</v>
      </c>
      <c r="L56" t="str">
        <f>IFERROR(_xlfn.XLOOKUP(K56,'Region Mapping'!$B:$B,'Region Mapping'!$A:$A),"All")</f>
        <v>IDN</v>
      </c>
      <c r="M56">
        <v>1.4</v>
      </c>
      <c r="N56">
        <v>60.5</v>
      </c>
    </row>
    <row r="57" spans="1:14">
      <c r="A57" t="s">
        <v>199</v>
      </c>
      <c r="B57" t="str">
        <f>IFERROR(_xlfn.XLOOKUP(A57,'Region Mapping'!$B:$B,'Region Mapping'!$A:$A),"All")</f>
        <v>CAN</v>
      </c>
      <c r="C57">
        <v>1.6</v>
      </c>
      <c r="D57">
        <v>140.80000000000001</v>
      </c>
      <c r="K57" t="s">
        <v>242</v>
      </c>
      <c r="L57" t="str">
        <f>IFERROR(_xlfn.XLOOKUP(K57,'Region Mapping'!$B:$B,'Region Mapping'!$A:$A),"All")</f>
        <v>RUS</v>
      </c>
      <c r="M57">
        <v>3.6</v>
      </c>
      <c r="N57">
        <v>60.7</v>
      </c>
    </row>
    <row r="58" spans="1:14">
      <c r="A58" t="s">
        <v>242</v>
      </c>
      <c r="B58" t="str">
        <f>IFERROR(_xlfn.XLOOKUP(A58,'Region Mapping'!$B:$B,'Region Mapping'!$A:$A),"All")</f>
        <v>RUS</v>
      </c>
      <c r="C58">
        <v>0.4</v>
      </c>
      <c r="D58">
        <v>143.30000000000001</v>
      </c>
      <c r="K58" t="s">
        <v>1166</v>
      </c>
      <c r="L58" t="str">
        <f>IFERROR(_xlfn.XLOOKUP(K58,'Region Mapping'!$B:$B,'Region Mapping'!$A:$A),"All")</f>
        <v>AFZ</v>
      </c>
      <c r="M58">
        <v>6.4</v>
      </c>
      <c r="N58">
        <v>60.8</v>
      </c>
    </row>
    <row r="59" spans="1:14">
      <c r="A59" t="s">
        <v>247</v>
      </c>
      <c r="B59" t="str">
        <f>IFERROR(_xlfn.XLOOKUP(A59,'Region Mapping'!$B:$B,'Region Mapping'!$A:$A),"All")</f>
        <v>USA</v>
      </c>
      <c r="C59">
        <v>5.6</v>
      </c>
      <c r="D59">
        <v>145.9</v>
      </c>
      <c r="K59" t="s">
        <v>1092</v>
      </c>
      <c r="L59" t="str">
        <f>IFERROR(_xlfn.XLOOKUP(K59,'Region Mapping'!$B:$B,'Region Mapping'!$A:$A),"All")</f>
        <v>ANZ</v>
      </c>
      <c r="M59">
        <v>6</v>
      </c>
      <c r="N59">
        <v>60.8</v>
      </c>
    </row>
    <row r="60" spans="1:14">
      <c r="A60" t="s">
        <v>247</v>
      </c>
      <c r="B60" t="str">
        <f>IFERROR(_xlfn.XLOOKUP(A60,'Region Mapping'!$B:$B,'Region Mapping'!$A:$A),"All")</f>
        <v>USA</v>
      </c>
      <c r="C60">
        <v>0.4</v>
      </c>
      <c r="D60">
        <v>148.19999999999999</v>
      </c>
      <c r="K60" t="s">
        <v>1092</v>
      </c>
      <c r="L60" t="str">
        <f>IFERROR(_xlfn.XLOOKUP(K60,'Region Mapping'!$B:$B,'Region Mapping'!$A:$A),"All")</f>
        <v>ANZ</v>
      </c>
      <c r="M60">
        <v>3.6</v>
      </c>
      <c r="N60">
        <v>61.4</v>
      </c>
    </row>
    <row r="61" spans="1:14">
      <c r="A61" t="s">
        <v>247</v>
      </c>
      <c r="B61" t="str">
        <f>IFERROR(_xlfn.XLOOKUP(A61,'Region Mapping'!$B:$B,'Region Mapping'!$A:$A),"All")</f>
        <v>USA</v>
      </c>
      <c r="C61">
        <v>0.6</v>
      </c>
      <c r="D61">
        <v>148.4</v>
      </c>
      <c r="K61" t="s">
        <v>1092</v>
      </c>
      <c r="L61" t="str">
        <f>IFERROR(_xlfn.XLOOKUP(K61,'Region Mapping'!$B:$B,'Region Mapping'!$A:$A),"All")</f>
        <v>ANZ</v>
      </c>
      <c r="M61">
        <v>5.6</v>
      </c>
      <c r="N61">
        <v>61.5</v>
      </c>
    </row>
    <row r="62" spans="1:14">
      <c r="A62" t="s">
        <v>247</v>
      </c>
      <c r="B62" t="str">
        <f>IFERROR(_xlfn.XLOOKUP(A62,'Region Mapping'!$B:$B,'Region Mapping'!$A:$A),"All")</f>
        <v>USA</v>
      </c>
      <c r="C62">
        <v>1.4</v>
      </c>
      <c r="D62">
        <v>150.5</v>
      </c>
      <c r="K62" t="s">
        <v>1092</v>
      </c>
      <c r="L62" t="str">
        <f>IFERROR(_xlfn.XLOOKUP(K62,'Region Mapping'!$B:$B,'Region Mapping'!$A:$A),"All")</f>
        <v>ANZ</v>
      </c>
      <c r="M62">
        <v>2</v>
      </c>
      <c r="N62">
        <v>61.8</v>
      </c>
    </row>
    <row r="63" spans="1:14">
      <c r="A63" t="s">
        <v>247</v>
      </c>
      <c r="B63" t="str">
        <f>IFERROR(_xlfn.XLOOKUP(A63,'Region Mapping'!$B:$B,'Region Mapping'!$A:$A),"All")</f>
        <v>USA</v>
      </c>
      <c r="C63">
        <v>0.6</v>
      </c>
      <c r="D63">
        <v>153.6</v>
      </c>
      <c r="K63" t="s">
        <v>1166</v>
      </c>
      <c r="L63" t="str">
        <f>IFERROR(_xlfn.XLOOKUP(K63,'Region Mapping'!$B:$B,'Region Mapping'!$A:$A),"All")</f>
        <v>AFZ</v>
      </c>
      <c r="M63">
        <v>0.4</v>
      </c>
      <c r="N63">
        <v>61.8</v>
      </c>
    </row>
    <row r="64" spans="1:14">
      <c r="A64" t="s">
        <v>247</v>
      </c>
      <c r="B64" t="str">
        <f>IFERROR(_xlfn.XLOOKUP(A64,'Region Mapping'!$B:$B,'Region Mapping'!$A:$A),"All")</f>
        <v>USA</v>
      </c>
      <c r="C64">
        <v>1.6</v>
      </c>
      <c r="D64">
        <v>154.9</v>
      </c>
      <c r="K64" t="s">
        <v>1092</v>
      </c>
      <c r="L64" t="str">
        <f>IFERROR(_xlfn.XLOOKUP(K64,'Region Mapping'!$B:$B,'Region Mapping'!$A:$A),"All")</f>
        <v>ANZ</v>
      </c>
      <c r="M64">
        <v>2.4</v>
      </c>
      <c r="N64">
        <v>62.5</v>
      </c>
    </row>
    <row r="65" spans="1:14">
      <c r="A65" t="s">
        <v>1092</v>
      </c>
      <c r="B65" t="str">
        <f>IFERROR(_xlfn.XLOOKUP(A65,'Region Mapping'!$B:$B,'Region Mapping'!$A:$A),"All")</f>
        <v>ANZ</v>
      </c>
      <c r="C65">
        <v>2</v>
      </c>
      <c r="D65">
        <v>159.19999999999999</v>
      </c>
      <c r="K65" t="s">
        <v>1092</v>
      </c>
      <c r="L65" t="str">
        <f>IFERROR(_xlfn.XLOOKUP(K65,'Region Mapping'!$B:$B,'Region Mapping'!$A:$A),"All")</f>
        <v>ANZ</v>
      </c>
      <c r="M65">
        <v>5</v>
      </c>
      <c r="N65">
        <v>63.3</v>
      </c>
    </row>
    <row r="66" spans="1:14">
      <c r="A66" t="s">
        <v>1170</v>
      </c>
      <c r="B66" t="str">
        <f>IFERROR(_xlfn.XLOOKUP(A66,'Region Mapping'!$B:$B,'Region Mapping'!$A:$A),"All")</f>
        <v>ASC</v>
      </c>
      <c r="C66">
        <v>0.8</v>
      </c>
      <c r="D66">
        <v>164</v>
      </c>
      <c r="K66" t="s">
        <v>242</v>
      </c>
      <c r="L66" t="str">
        <f>IFERROR(_xlfn.XLOOKUP(K66,'Region Mapping'!$B:$B,'Region Mapping'!$A:$A),"All")</f>
        <v>RUS</v>
      </c>
      <c r="M66">
        <v>2</v>
      </c>
      <c r="N66">
        <v>63.3</v>
      </c>
    </row>
    <row r="67" spans="1:14">
      <c r="A67" t="s">
        <v>247</v>
      </c>
      <c r="B67" t="str">
        <f>IFERROR(_xlfn.XLOOKUP(A67,'Region Mapping'!$B:$B,'Region Mapping'!$A:$A),"All")</f>
        <v>USA</v>
      </c>
      <c r="C67">
        <v>1</v>
      </c>
      <c r="D67">
        <v>164.4</v>
      </c>
      <c r="K67" t="s">
        <v>1092</v>
      </c>
      <c r="L67" t="str">
        <f>IFERROR(_xlfn.XLOOKUP(K67,'Region Mapping'!$B:$B,'Region Mapping'!$A:$A),"All")</f>
        <v>ANZ</v>
      </c>
      <c r="M67">
        <v>0.6</v>
      </c>
      <c r="N67">
        <v>63.3</v>
      </c>
    </row>
    <row r="68" spans="1:14">
      <c r="A68" t="s">
        <v>199</v>
      </c>
      <c r="B68" t="str">
        <f>IFERROR(_xlfn.XLOOKUP(A68,'Region Mapping'!$B:$B,'Region Mapping'!$A:$A),"All")</f>
        <v>CAN</v>
      </c>
      <c r="C68">
        <v>0.4</v>
      </c>
      <c r="D68">
        <v>164.9</v>
      </c>
      <c r="K68" t="s">
        <v>1166</v>
      </c>
      <c r="L68" t="str">
        <f>IFERROR(_xlfn.XLOOKUP(K68,'Region Mapping'!$B:$B,'Region Mapping'!$A:$A),"All")</f>
        <v>AFZ</v>
      </c>
      <c r="M68">
        <v>4.5999999999999996</v>
      </c>
      <c r="N68">
        <v>63.4</v>
      </c>
    </row>
    <row r="69" spans="1:14">
      <c r="A69" t="s">
        <v>242</v>
      </c>
      <c r="B69" t="str">
        <f>IFERROR(_xlfn.XLOOKUP(A69,'Region Mapping'!$B:$B,'Region Mapping'!$A:$A),"All")</f>
        <v>RUS</v>
      </c>
      <c r="C69">
        <v>1</v>
      </c>
      <c r="D69">
        <v>166.1</v>
      </c>
      <c r="K69" t="s">
        <v>1092</v>
      </c>
      <c r="L69" t="str">
        <f>IFERROR(_xlfn.XLOOKUP(K69,'Region Mapping'!$B:$B,'Region Mapping'!$A:$A),"All")</f>
        <v>ANZ</v>
      </c>
      <c r="M69">
        <v>3</v>
      </c>
      <c r="N69">
        <v>63.5</v>
      </c>
    </row>
    <row r="70" spans="1:14">
      <c r="A70" t="s">
        <v>199</v>
      </c>
      <c r="B70" t="str">
        <f>IFERROR(_xlfn.XLOOKUP(A70,'Region Mapping'!$B:$B,'Region Mapping'!$A:$A),"All")</f>
        <v>CAN</v>
      </c>
      <c r="C70">
        <v>0.8</v>
      </c>
      <c r="D70">
        <v>166.5</v>
      </c>
      <c r="K70" t="s">
        <v>1046</v>
      </c>
      <c r="L70" t="str">
        <f>IFERROR(_xlfn.XLOOKUP(K70,'Region Mapping'!$B:$B,'Region Mapping'!$A:$A),"All")</f>
        <v>LAM</v>
      </c>
      <c r="M70">
        <v>1.4</v>
      </c>
      <c r="N70">
        <v>63.7</v>
      </c>
    </row>
    <row r="71" spans="1:14">
      <c r="A71" t="s">
        <v>1410</v>
      </c>
      <c r="B71" t="str">
        <f>IFERROR(_xlfn.XLOOKUP(A71,'Region Mapping'!$B:$B,'Region Mapping'!$A:$A),"All")</f>
        <v>AFZ</v>
      </c>
      <c r="C71">
        <v>0.4</v>
      </c>
      <c r="D71">
        <v>167.7</v>
      </c>
      <c r="K71" t="s">
        <v>1166</v>
      </c>
      <c r="L71" t="str">
        <f>IFERROR(_xlfn.XLOOKUP(K71,'Region Mapping'!$B:$B,'Region Mapping'!$A:$A),"All")</f>
        <v>AFZ</v>
      </c>
      <c r="M71">
        <v>2.2000000000000002</v>
      </c>
      <c r="N71">
        <v>63.9</v>
      </c>
    </row>
    <row r="72" spans="1:14">
      <c r="A72" t="s">
        <v>247</v>
      </c>
      <c r="B72" t="str">
        <f>IFERROR(_xlfn.XLOOKUP(A72,'Region Mapping'!$B:$B,'Region Mapping'!$A:$A),"All")</f>
        <v>USA</v>
      </c>
      <c r="C72">
        <v>2.4</v>
      </c>
      <c r="D72">
        <v>168.4</v>
      </c>
      <c r="K72" t="s">
        <v>242</v>
      </c>
      <c r="L72" t="str">
        <f>IFERROR(_xlfn.XLOOKUP(K72,'Region Mapping'!$B:$B,'Region Mapping'!$A:$A),"All")</f>
        <v>RUS</v>
      </c>
      <c r="M72">
        <v>1.8</v>
      </c>
      <c r="N72">
        <v>64.099999999999994</v>
      </c>
    </row>
    <row r="73" spans="1:14">
      <c r="A73" t="s">
        <v>247</v>
      </c>
      <c r="B73" t="str">
        <f>IFERROR(_xlfn.XLOOKUP(A73,'Region Mapping'!$B:$B,'Region Mapping'!$A:$A),"All")</f>
        <v>USA</v>
      </c>
      <c r="C73">
        <v>0.4</v>
      </c>
      <c r="D73">
        <v>168.6</v>
      </c>
      <c r="K73" t="s">
        <v>1092</v>
      </c>
      <c r="L73" t="str">
        <f>IFERROR(_xlfn.XLOOKUP(K73,'Region Mapping'!$B:$B,'Region Mapping'!$A:$A),"All")</f>
        <v>ANZ</v>
      </c>
      <c r="M73">
        <v>1</v>
      </c>
      <c r="N73">
        <v>64.3</v>
      </c>
    </row>
    <row r="74" spans="1:14">
      <c r="A74" t="s">
        <v>247</v>
      </c>
      <c r="B74" t="str">
        <f>IFERROR(_xlfn.XLOOKUP(A74,'Region Mapping'!$B:$B,'Region Mapping'!$A:$A),"All")</f>
        <v>USA</v>
      </c>
      <c r="C74">
        <v>1</v>
      </c>
      <c r="D74">
        <v>171.5</v>
      </c>
      <c r="K74" t="s">
        <v>247</v>
      </c>
      <c r="L74" t="str">
        <f>IFERROR(_xlfn.XLOOKUP(K74,'Region Mapping'!$B:$B,'Region Mapping'!$A:$A),"All")</f>
        <v>USA</v>
      </c>
      <c r="M74">
        <v>3.4</v>
      </c>
      <c r="N74">
        <v>64.5</v>
      </c>
    </row>
    <row r="75" spans="1:14">
      <c r="A75" t="s">
        <v>1092</v>
      </c>
      <c r="B75" t="str">
        <f>IFERROR(_xlfn.XLOOKUP(A75,'Region Mapping'!$B:$B,'Region Mapping'!$A:$A),"All")</f>
        <v>ANZ</v>
      </c>
      <c r="C75">
        <v>6.6</v>
      </c>
      <c r="D75">
        <v>173.6</v>
      </c>
      <c r="K75" t="s">
        <v>1092</v>
      </c>
      <c r="L75" t="str">
        <f>IFERROR(_xlfn.XLOOKUP(K75,'Region Mapping'!$B:$B,'Region Mapping'!$A:$A),"All")</f>
        <v>ANZ</v>
      </c>
      <c r="M75">
        <v>9</v>
      </c>
      <c r="N75">
        <v>65.3</v>
      </c>
    </row>
    <row r="76" spans="1:14">
      <c r="A76" t="s">
        <v>1094</v>
      </c>
      <c r="B76" t="str">
        <f>IFERROR(_xlfn.XLOOKUP(A76,'Region Mapping'!$B:$B,'Region Mapping'!$A:$A),"All")</f>
        <v>IDN</v>
      </c>
      <c r="C76">
        <v>0.4</v>
      </c>
      <c r="D76">
        <v>174.8</v>
      </c>
      <c r="K76" t="s">
        <v>247</v>
      </c>
      <c r="L76" t="str">
        <f>IFERROR(_xlfn.XLOOKUP(K76,'Region Mapping'!$B:$B,'Region Mapping'!$A:$A),"All")</f>
        <v>USA</v>
      </c>
      <c r="M76">
        <v>1.4</v>
      </c>
      <c r="N76">
        <v>65.400000000000006</v>
      </c>
    </row>
    <row r="77" spans="1:14">
      <c r="A77" t="s">
        <v>247</v>
      </c>
      <c r="B77" t="str">
        <f>IFERROR(_xlfn.XLOOKUP(A77,'Region Mapping'!$B:$B,'Region Mapping'!$A:$A),"All")</f>
        <v>USA</v>
      </c>
      <c r="C77">
        <v>1.6</v>
      </c>
      <c r="D77">
        <v>176.7</v>
      </c>
      <c r="K77" t="s">
        <v>242</v>
      </c>
      <c r="L77" t="str">
        <f>IFERROR(_xlfn.XLOOKUP(K77,'Region Mapping'!$B:$B,'Region Mapping'!$A:$A),"All")</f>
        <v>RUS</v>
      </c>
      <c r="M77">
        <v>1.4</v>
      </c>
      <c r="N77">
        <v>65.400000000000006</v>
      </c>
    </row>
    <row r="78" spans="1:14">
      <c r="A78" t="s">
        <v>1092</v>
      </c>
      <c r="B78" t="str">
        <f>IFERROR(_xlfn.XLOOKUP(A78,'Region Mapping'!$B:$B,'Region Mapping'!$A:$A),"All")</f>
        <v>ANZ</v>
      </c>
      <c r="C78">
        <v>2</v>
      </c>
      <c r="D78">
        <v>187.7</v>
      </c>
      <c r="K78" t="s">
        <v>242</v>
      </c>
      <c r="L78" t="str">
        <f>IFERROR(_xlfn.XLOOKUP(K78,'Region Mapping'!$B:$B,'Region Mapping'!$A:$A),"All")</f>
        <v>RUS</v>
      </c>
      <c r="M78">
        <v>4</v>
      </c>
      <c r="N78">
        <v>65.7</v>
      </c>
    </row>
    <row r="79" spans="1:14">
      <c r="A79" t="s">
        <v>247</v>
      </c>
      <c r="B79" t="str">
        <f>IFERROR(_xlfn.XLOOKUP(A79,'Region Mapping'!$B:$B,'Region Mapping'!$A:$A),"All")</f>
        <v>USA</v>
      </c>
      <c r="C79">
        <v>0.4</v>
      </c>
      <c r="D79">
        <v>189.3</v>
      </c>
      <c r="K79" t="s">
        <v>1092</v>
      </c>
      <c r="L79" t="str">
        <f>IFERROR(_xlfn.XLOOKUP(K79,'Region Mapping'!$B:$B,'Region Mapping'!$A:$A),"All")</f>
        <v>ANZ</v>
      </c>
      <c r="M79">
        <v>0.2</v>
      </c>
      <c r="N79">
        <v>65.8</v>
      </c>
    </row>
    <row r="80" spans="1:14">
      <c r="A80" t="s">
        <v>1092</v>
      </c>
      <c r="B80" t="str">
        <f>IFERROR(_xlfn.XLOOKUP(A80,'Region Mapping'!$B:$B,'Region Mapping'!$A:$A),"All")</f>
        <v>ANZ</v>
      </c>
      <c r="C80">
        <v>0.4</v>
      </c>
      <c r="D80">
        <v>193</v>
      </c>
      <c r="K80" t="s">
        <v>242</v>
      </c>
      <c r="L80" t="str">
        <f>IFERROR(_xlfn.XLOOKUP(K80,'Region Mapping'!$B:$B,'Region Mapping'!$A:$A),"All")</f>
        <v>RUS</v>
      </c>
      <c r="M80">
        <v>1.2</v>
      </c>
      <c r="N80">
        <v>66.599999999999994</v>
      </c>
    </row>
    <row r="81" spans="1:14">
      <c r="A81" t="s">
        <v>1410</v>
      </c>
      <c r="B81" t="str">
        <f>IFERROR(_xlfn.XLOOKUP(A81,'Region Mapping'!$B:$B,'Region Mapping'!$A:$A),"All")</f>
        <v>AFZ</v>
      </c>
      <c r="C81">
        <v>6</v>
      </c>
      <c r="D81">
        <v>227.1</v>
      </c>
      <c r="K81" t="s">
        <v>1094</v>
      </c>
      <c r="L81" t="str">
        <f>IFERROR(_xlfn.XLOOKUP(K81,'Region Mapping'!$B:$B,'Region Mapping'!$A:$A),"All")</f>
        <v>IDN</v>
      </c>
      <c r="M81">
        <v>0.4</v>
      </c>
      <c r="N81">
        <v>66.599999999999994</v>
      </c>
    </row>
    <row r="82" spans="1:14">
      <c r="A82" t="s">
        <v>247</v>
      </c>
      <c r="B82" t="str">
        <f>IFERROR(_xlfn.XLOOKUP(A82,'Region Mapping'!$B:$B,'Region Mapping'!$A:$A),"All")</f>
        <v>USA</v>
      </c>
      <c r="C82">
        <v>1.4</v>
      </c>
      <c r="D82">
        <v>240.9</v>
      </c>
      <c r="K82" t="s">
        <v>1092</v>
      </c>
      <c r="L82" t="str">
        <f>IFERROR(_xlfn.XLOOKUP(K82,'Region Mapping'!$B:$B,'Region Mapping'!$A:$A),"All")</f>
        <v>ANZ</v>
      </c>
      <c r="M82">
        <v>3</v>
      </c>
      <c r="N82">
        <v>66.900000000000006</v>
      </c>
    </row>
    <row r="83" spans="1:14">
      <c r="A83" t="s">
        <v>1092</v>
      </c>
      <c r="B83" t="str">
        <f>IFERROR(_xlfn.XLOOKUP(A83,'Region Mapping'!$B:$B,'Region Mapping'!$A:$A),"All")</f>
        <v>ANZ</v>
      </c>
      <c r="C83">
        <v>0.4</v>
      </c>
      <c r="D83">
        <v>272.8</v>
      </c>
      <c r="K83" t="s">
        <v>1092</v>
      </c>
      <c r="L83" t="str">
        <f>IFERROR(_xlfn.XLOOKUP(K83,'Region Mapping'!$B:$B,'Region Mapping'!$A:$A),"All")</f>
        <v>ANZ</v>
      </c>
      <c r="M83">
        <v>0.6</v>
      </c>
      <c r="N83">
        <v>67.2</v>
      </c>
    </row>
    <row r="84" spans="1:14">
      <c r="K84" t="s">
        <v>1046</v>
      </c>
      <c r="L84" t="str">
        <f>IFERROR(_xlfn.XLOOKUP(K84,'Region Mapping'!$B:$B,'Region Mapping'!$A:$A),"All")</f>
        <v>LAM</v>
      </c>
      <c r="M84">
        <v>5</v>
      </c>
      <c r="N84">
        <v>67.8</v>
      </c>
    </row>
    <row r="85" spans="1:14">
      <c r="K85" t="s">
        <v>1092</v>
      </c>
      <c r="L85" t="str">
        <f>IFERROR(_xlfn.XLOOKUP(K85,'Region Mapping'!$B:$B,'Region Mapping'!$A:$A),"All")</f>
        <v>ANZ</v>
      </c>
      <c r="M85">
        <v>2</v>
      </c>
      <c r="N85">
        <v>68.099999999999994</v>
      </c>
    </row>
    <row r="86" spans="1:14">
      <c r="K86" t="s">
        <v>1092</v>
      </c>
      <c r="L86" t="str">
        <f>IFERROR(_xlfn.XLOOKUP(K86,'Region Mapping'!$B:$B,'Region Mapping'!$A:$A),"All")</f>
        <v>ANZ</v>
      </c>
      <c r="M86">
        <v>7.2</v>
      </c>
      <c r="N86">
        <v>68.2</v>
      </c>
    </row>
    <row r="87" spans="1:14">
      <c r="K87" t="s">
        <v>247</v>
      </c>
      <c r="L87" t="str">
        <f>IFERROR(_xlfn.XLOOKUP(K87,'Region Mapping'!$B:$B,'Region Mapping'!$A:$A),"All")</f>
        <v>USA</v>
      </c>
      <c r="M87">
        <v>2.2000000000000002</v>
      </c>
      <c r="N87">
        <v>68.400000000000006</v>
      </c>
    </row>
    <row r="88" spans="1:14">
      <c r="K88" t="s">
        <v>1092</v>
      </c>
      <c r="L88" t="str">
        <f>IFERROR(_xlfn.XLOOKUP(K88,'Region Mapping'!$B:$B,'Region Mapping'!$A:$A),"All")</f>
        <v>ANZ</v>
      </c>
      <c r="M88">
        <v>2.6</v>
      </c>
      <c r="N88">
        <v>68.599999999999994</v>
      </c>
    </row>
    <row r="89" spans="1:14">
      <c r="K89" t="s">
        <v>242</v>
      </c>
      <c r="L89" t="str">
        <f>IFERROR(_xlfn.XLOOKUP(K89,'Region Mapping'!$B:$B,'Region Mapping'!$A:$A),"All")</f>
        <v>RUS</v>
      </c>
      <c r="M89">
        <v>0.6</v>
      </c>
      <c r="N89">
        <v>68.900000000000006</v>
      </c>
    </row>
    <row r="90" spans="1:14">
      <c r="K90" t="s">
        <v>1092</v>
      </c>
      <c r="L90" t="str">
        <f>IFERROR(_xlfn.XLOOKUP(K90,'Region Mapping'!$B:$B,'Region Mapping'!$A:$A),"All")</f>
        <v>ANZ</v>
      </c>
      <c r="M90">
        <v>6.2</v>
      </c>
      <c r="N90">
        <v>68.900000000000006</v>
      </c>
    </row>
    <row r="91" spans="1:14">
      <c r="K91" t="s">
        <v>1794</v>
      </c>
      <c r="L91" t="str">
        <f>IFERROR(_xlfn.XLOOKUP(K91,'Region Mapping'!$B:$B,'Region Mapping'!$A:$A),"All")</f>
        <v>All</v>
      </c>
      <c r="M91">
        <v>1.4</v>
      </c>
      <c r="N91">
        <v>69</v>
      </c>
    </row>
    <row r="92" spans="1:14">
      <c r="K92" t="s">
        <v>242</v>
      </c>
      <c r="L92" t="str">
        <f>IFERROR(_xlfn.XLOOKUP(K92,'Region Mapping'!$B:$B,'Region Mapping'!$A:$A),"All")</f>
        <v>RUS</v>
      </c>
      <c r="M92">
        <v>5.2</v>
      </c>
      <c r="N92">
        <v>69.099999999999994</v>
      </c>
    </row>
    <row r="93" spans="1:14">
      <c r="K93" t="s">
        <v>1166</v>
      </c>
      <c r="L93" t="str">
        <f>IFERROR(_xlfn.XLOOKUP(K93,'Region Mapping'!$B:$B,'Region Mapping'!$A:$A),"All")</f>
        <v>AFZ</v>
      </c>
      <c r="M93">
        <v>0.6</v>
      </c>
      <c r="N93">
        <v>69.5</v>
      </c>
    </row>
    <row r="94" spans="1:14">
      <c r="K94" t="s">
        <v>1092</v>
      </c>
      <c r="L94" t="str">
        <f>IFERROR(_xlfn.XLOOKUP(K94,'Region Mapping'!$B:$B,'Region Mapping'!$A:$A),"All")</f>
        <v>ANZ</v>
      </c>
      <c r="M94">
        <v>7.6</v>
      </c>
      <c r="N94">
        <v>69.599999999999994</v>
      </c>
    </row>
    <row r="95" spans="1:14">
      <c r="K95" t="s">
        <v>1094</v>
      </c>
      <c r="L95" t="str">
        <f>IFERROR(_xlfn.XLOOKUP(K95,'Region Mapping'!$B:$B,'Region Mapping'!$A:$A),"All")</f>
        <v>IDN</v>
      </c>
      <c r="M95">
        <v>1.4</v>
      </c>
      <c r="N95">
        <v>69.900000000000006</v>
      </c>
    </row>
    <row r="96" spans="1:14">
      <c r="K96" t="s">
        <v>242</v>
      </c>
      <c r="L96" t="str">
        <f>IFERROR(_xlfn.XLOOKUP(K96,'Region Mapping'!$B:$B,'Region Mapping'!$A:$A),"All")</f>
        <v>RUS</v>
      </c>
      <c r="M96">
        <v>1</v>
      </c>
      <c r="N96">
        <v>70.7</v>
      </c>
    </row>
    <row r="97" spans="11:14">
      <c r="K97" t="s">
        <v>1094</v>
      </c>
      <c r="L97" t="str">
        <f>IFERROR(_xlfn.XLOOKUP(K97,'Region Mapping'!$B:$B,'Region Mapping'!$A:$A),"All")</f>
        <v>IDN</v>
      </c>
      <c r="M97">
        <v>1.8</v>
      </c>
      <c r="N97">
        <v>71.8</v>
      </c>
    </row>
    <row r="98" spans="11:14">
      <c r="K98" t="s">
        <v>247</v>
      </c>
      <c r="L98" t="str">
        <f>IFERROR(_xlfn.XLOOKUP(K98,'Region Mapping'!$B:$B,'Region Mapping'!$A:$A),"All")</f>
        <v>USA</v>
      </c>
      <c r="M98">
        <v>3.2</v>
      </c>
      <c r="N98">
        <v>72</v>
      </c>
    </row>
    <row r="99" spans="11:14">
      <c r="K99" t="s">
        <v>1794</v>
      </c>
      <c r="L99" t="str">
        <f>IFERROR(_xlfn.XLOOKUP(K99,'Region Mapping'!$B:$B,'Region Mapping'!$A:$A),"All")</f>
        <v>All</v>
      </c>
      <c r="M99">
        <v>0.6</v>
      </c>
      <c r="N99">
        <v>72.400000000000006</v>
      </c>
    </row>
    <row r="100" spans="11:14">
      <c r="K100" t="s">
        <v>242</v>
      </c>
      <c r="L100" t="str">
        <f>IFERROR(_xlfn.XLOOKUP(K100,'Region Mapping'!$B:$B,'Region Mapping'!$A:$A),"All")</f>
        <v>RUS</v>
      </c>
      <c r="M100">
        <v>1.4</v>
      </c>
      <c r="N100">
        <v>72.900000000000006</v>
      </c>
    </row>
    <row r="101" spans="11:14">
      <c r="K101" t="s">
        <v>247</v>
      </c>
      <c r="L101" t="str">
        <f>IFERROR(_xlfn.XLOOKUP(K101,'Region Mapping'!$B:$B,'Region Mapping'!$A:$A),"All")</f>
        <v>USA</v>
      </c>
      <c r="M101">
        <v>2</v>
      </c>
      <c r="N101">
        <v>73.5</v>
      </c>
    </row>
    <row r="102" spans="11:14">
      <c r="K102" t="s">
        <v>247</v>
      </c>
      <c r="L102" t="str">
        <f>IFERROR(_xlfn.XLOOKUP(K102,'Region Mapping'!$B:$B,'Region Mapping'!$A:$A),"All")</f>
        <v>USA</v>
      </c>
      <c r="M102">
        <v>3.4</v>
      </c>
      <c r="N102">
        <v>73.7</v>
      </c>
    </row>
    <row r="103" spans="11:14">
      <c r="K103" t="s">
        <v>1092</v>
      </c>
      <c r="L103" t="str">
        <f>IFERROR(_xlfn.XLOOKUP(K103,'Region Mapping'!$B:$B,'Region Mapping'!$A:$A),"All")</f>
        <v>ANZ</v>
      </c>
      <c r="M103">
        <v>1</v>
      </c>
      <c r="N103">
        <v>76</v>
      </c>
    </row>
    <row r="104" spans="11:14">
      <c r="K104" t="s">
        <v>1092</v>
      </c>
      <c r="L104" t="str">
        <f>IFERROR(_xlfn.XLOOKUP(K104,'Region Mapping'!$B:$B,'Region Mapping'!$A:$A),"All")</f>
        <v>ANZ</v>
      </c>
      <c r="M104">
        <v>2.6</v>
      </c>
      <c r="N104">
        <v>76.400000000000006</v>
      </c>
    </row>
    <row r="105" spans="11:14">
      <c r="K105" t="s">
        <v>1094</v>
      </c>
      <c r="L105" t="str">
        <f>IFERROR(_xlfn.XLOOKUP(K105,'Region Mapping'!$B:$B,'Region Mapping'!$A:$A),"All")</f>
        <v>IDN</v>
      </c>
      <c r="M105">
        <v>0.6</v>
      </c>
      <c r="N105">
        <v>77</v>
      </c>
    </row>
    <row r="106" spans="11:14">
      <c r="K106" t="s">
        <v>1092</v>
      </c>
      <c r="L106" t="str">
        <f>IFERROR(_xlfn.XLOOKUP(K106,'Region Mapping'!$B:$B,'Region Mapping'!$A:$A),"All")</f>
        <v>ANZ</v>
      </c>
      <c r="M106">
        <v>0.4</v>
      </c>
      <c r="N106">
        <v>78.400000000000006</v>
      </c>
    </row>
    <row r="107" spans="11:14">
      <c r="K107" t="s">
        <v>1794</v>
      </c>
      <c r="L107" t="str">
        <f>IFERROR(_xlfn.XLOOKUP(K107,'Region Mapping'!$B:$B,'Region Mapping'!$A:$A),"All")</f>
        <v>All</v>
      </c>
      <c r="M107">
        <v>3.8</v>
      </c>
      <c r="N107">
        <v>79.599999999999994</v>
      </c>
    </row>
    <row r="108" spans="11:14">
      <c r="K108" t="s">
        <v>247</v>
      </c>
      <c r="L108" t="str">
        <f>IFERROR(_xlfn.XLOOKUP(K108,'Region Mapping'!$B:$B,'Region Mapping'!$A:$A),"All")</f>
        <v>USA</v>
      </c>
      <c r="M108">
        <v>0.8</v>
      </c>
      <c r="N108">
        <v>80.7</v>
      </c>
    </row>
    <row r="109" spans="11:14">
      <c r="K109" t="s">
        <v>1092</v>
      </c>
      <c r="L109" t="str">
        <f>IFERROR(_xlfn.XLOOKUP(K109,'Region Mapping'!$B:$B,'Region Mapping'!$A:$A),"All")</f>
        <v>ANZ</v>
      </c>
      <c r="M109">
        <v>2.2000000000000002</v>
      </c>
      <c r="N109">
        <v>81.400000000000006</v>
      </c>
    </row>
    <row r="110" spans="11:14">
      <c r="K110" t="s">
        <v>1092</v>
      </c>
      <c r="L110" t="str">
        <f>IFERROR(_xlfn.XLOOKUP(K110,'Region Mapping'!$B:$B,'Region Mapping'!$A:$A),"All")</f>
        <v>ANZ</v>
      </c>
      <c r="M110">
        <v>0.8</v>
      </c>
      <c r="N110">
        <v>82.7</v>
      </c>
    </row>
    <row r="111" spans="11:14">
      <c r="K111" t="s">
        <v>1092</v>
      </c>
      <c r="L111" t="str">
        <f>IFERROR(_xlfn.XLOOKUP(K111,'Region Mapping'!$B:$B,'Region Mapping'!$A:$A),"All")</f>
        <v>ANZ</v>
      </c>
      <c r="M111">
        <v>2</v>
      </c>
      <c r="N111">
        <v>85.9</v>
      </c>
    </row>
    <row r="112" spans="11:14">
      <c r="K112" t="s">
        <v>247</v>
      </c>
      <c r="L112" t="str">
        <f>IFERROR(_xlfn.XLOOKUP(K112,'Region Mapping'!$B:$B,'Region Mapping'!$A:$A),"All")</f>
        <v>USA</v>
      </c>
      <c r="M112">
        <v>0.2</v>
      </c>
      <c r="N112">
        <v>88.6</v>
      </c>
    </row>
    <row r="113" spans="11:14">
      <c r="K113" t="s">
        <v>1092</v>
      </c>
      <c r="L113" t="str">
        <f>IFERROR(_xlfn.XLOOKUP(K113,'Region Mapping'!$B:$B,'Region Mapping'!$A:$A),"All")</f>
        <v>ANZ</v>
      </c>
      <c r="M113">
        <v>3.8</v>
      </c>
      <c r="N113">
        <v>90.1</v>
      </c>
    </row>
    <row r="114" spans="11:14">
      <c r="K114" t="s">
        <v>247</v>
      </c>
      <c r="L114" t="str">
        <f>IFERROR(_xlfn.XLOOKUP(K114,'Region Mapping'!$B:$B,'Region Mapping'!$A:$A),"All")</f>
        <v>USA</v>
      </c>
      <c r="M114">
        <v>0.4</v>
      </c>
      <c r="N114">
        <v>91</v>
      </c>
    </row>
    <row r="115" spans="11:14">
      <c r="K115" t="s">
        <v>1794</v>
      </c>
      <c r="L115" t="str">
        <f>IFERROR(_xlfn.XLOOKUP(K115,'Region Mapping'!$B:$B,'Region Mapping'!$A:$A),"All")</f>
        <v>All</v>
      </c>
      <c r="M115">
        <v>1</v>
      </c>
      <c r="N115">
        <v>91.4</v>
      </c>
    </row>
    <row r="116" spans="11:14">
      <c r="K116" t="s">
        <v>1794</v>
      </c>
      <c r="L116" t="str">
        <f>IFERROR(_xlfn.XLOOKUP(K116,'Region Mapping'!$B:$B,'Region Mapping'!$A:$A),"All")</f>
        <v>All</v>
      </c>
      <c r="M116">
        <v>2.6</v>
      </c>
      <c r="N116">
        <v>92.7</v>
      </c>
    </row>
    <row r="117" spans="11:14">
      <c r="K117" t="s">
        <v>247</v>
      </c>
      <c r="L117" t="str">
        <f>IFERROR(_xlfn.XLOOKUP(K117,'Region Mapping'!$B:$B,'Region Mapping'!$A:$A),"All")</f>
        <v>USA</v>
      </c>
      <c r="M117">
        <v>0.8</v>
      </c>
      <c r="N117">
        <v>93</v>
      </c>
    </row>
    <row r="118" spans="11:14">
      <c r="K118" t="s">
        <v>247</v>
      </c>
      <c r="L118" t="str">
        <f>IFERROR(_xlfn.XLOOKUP(K118,'Region Mapping'!$B:$B,'Region Mapping'!$A:$A),"All")</f>
        <v>USA</v>
      </c>
      <c r="M118">
        <v>0.2</v>
      </c>
      <c r="N118">
        <v>96.9</v>
      </c>
    </row>
    <row r="119" spans="11:14">
      <c r="K119" t="s">
        <v>1092</v>
      </c>
      <c r="L119" t="str">
        <f>IFERROR(_xlfn.XLOOKUP(K119,'Region Mapping'!$B:$B,'Region Mapping'!$A:$A),"All")</f>
        <v>ANZ</v>
      </c>
      <c r="M119">
        <v>0.6</v>
      </c>
      <c r="N119">
        <v>97.2</v>
      </c>
    </row>
    <row r="120" spans="11:14">
      <c r="K120" t="s">
        <v>1092</v>
      </c>
      <c r="L120" t="str">
        <f>IFERROR(_xlfn.XLOOKUP(K120,'Region Mapping'!$B:$B,'Region Mapping'!$A:$A),"All")</f>
        <v>ANZ</v>
      </c>
      <c r="M120">
        <v>0.8</v>
      </c>
      <c r="N120">
        <v>105.6</v>
      </c>
    </row>
    <row r="121" spans="11:14">
      <c r="K121" t="s">
        <v>1794</v>
      </c>
      <c r="L121" t="str">
        <f>IFERROR(_xlfn.XLOOKUP(K121,'Region Mapping'!$B:$B,'Region Mapping'!$A:$A),"All")</f>
        <v>All</v>
      </c>
      <c r="M121">
        <v>0.4</v>
      </c>
      <c r="N121">
        <v>106.9</v>
      </c>
    </row>
    <row r="122" spans="11:14">
      <c r="K122" t="s">
        <v>1094</v>
      </c>
      <c r="L122" t="str">
        <f>IFERROR(_xlfn.XLOOKUP(K122,'Region Mapping'!$B:$B,'Region Mapping'!$A:$A),"All")</f>
        <v>IDN</v>
      </c>
      <c r="M122">
        <v>0.8</v>
      </c>
      <c r="N122">
        <v>109.8</v>
      </c>
    </row>
    <row r="123" spans="11:14">
      <c r="K123" t="s">
        <v>1092</v>
      </c>
      <c r="L123" t="str">
        <f>IFERROR(_xlfn.XLOOKUP(K123,'Region Mapping'!$B:$B,'Region Mapping'!$A:$A),"All")</f>
        <v>ANZ</v>
      </c>
      <c r="M123">
        <v>1</v>
      </c>
      <c r="N123">
        <v>121.9</v>
      </c>
    </row>
    <row r="124" spans="11:14">
      <c r="K124" t="s">
        <v>1092</v>
      </c>
      <c r="L124" t="str">
        <f>IFERROR(_xlfn.XLOOKUP(K124,'Region Mapping'!$B:$B,'Region Mapping'!$A:$A),"All")</f>
        <v>ANZ</v>
      </c>
      <c r="M124">
        <v>0.2</v>
      </c>
      <c r="N124">
        <v>140.80000000000001</v>
      </c>
    </row>
    <row r="125" spans="11:14">
      <c r="K125" t="s">
        <v>1094</v>
      </c>
      <c r="L125" t="str">
        <f>IFERROR(_xlfn.XLOOKUP(K125,'Region Mapping'!$B:$B,'Region Mapping'!$A:$A),"All")</f>
        <v>IDN</v>
      </c>
      <c r="M125">
        <v>0.6</v>
      </c>
      <c r="N125">
        <v>272.60000000000002</v>
      </c>
    </row>
    <row r="190" ht="16.5" customHeight="1"/>
  </sheetData>
  <autoFilter ref="A3:D83" xr:uid="{3ECE1101-5785-488C-A05D-88B102FD7C99}"/>
  <sortState xmlns:xlrd2="http://schemas.microsoft.com/office/spreadsheetml/2017/richdata2" ref="K4:N125">
    <sortCondition ref="N4:N125"/>
  </sortState>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C4560-F64A-4A6B-B810-5B723D6727BA}">
  <sheetPr>
    <tabColor theme="5" tint="0.39997558519241921"/>
  </sheetPr>
  <dimension ref="A1:F26"/>
  <sheetViews>
    <sheetView workbookViewId="0">
      <selection activeCell="E2" sqref="E2"/>
    </sheetView>
  </sheetViews>
  <sheetFormatPr defaultRowHeight="15.6"/>
  <cols>
    <col min="1" max="1" width="30.09765625" bestFit="1" customWidth="1"/>
    <col min="2" max="2" width="21.8984375" bestFit="1" customWidth="1"/>
    <col min="3" max="3" width="17.5" bestFit="1" customWidth="1"/>
    <col min="4" max="4" width="16.8984375" bestFit="1" customWidth="1"/>
    <col min="5" max="5" width="17.8984375" bestFit="1" customWidth="1"/>
  </cols>
  <sheetData>
    <row r="1" spans="1:5">
      <c r="C1" t="s">
        <v>902</v>
      </c>
      <c r="D1" t="s">
        <v>903</v>
      </c>
      <c r="E1" t="s">
        <v>904</v>
      </c>
    </row>
    <row r="2" spans="1:5">
      <c r="C2" t="s">
        <v>905</v>
      </c>
      <c r="D2" t="s">
        <v>906</v>
      </c>
      <c r="E2" t="s">
        <v>907</v>
      </c>
    </row>
    <row r="3" spans="1:5">
      <c r="A3" s="175" t="s">
        <v>690</v>
      </c>
    </row>
    <row r="4" spans="1:5">
      <c r="A4" t="s">
        <v>413</v>
      </c>
      <c r="B4" t="s">
        <v>1795</v>
      </c>
      <c r="C4">
        <v>223.58</v>
      </c>
      <c r="D4">
        <v>223.58</v>
      </c>
      <c r="E4">
        <v>223.58</v>
      </c>
    </row>
    <row r="5" spans="1:5">
      <c r="A5" t="s">
        <v>620</v>
      </c>
      <c r="B5" t="s">
        <v>1796</v>
      </c>
      <c r="C5">
        <v>6.58</v>
      </c>
      <c r="D5">
        <v>8.09</v>
      </c>
      <c r="E5">
        <v>8.34</v>
      </c>
    </row>
    <row r="6" spans="1:5">
      <c r="A6" t="s">
        <v>1797</v>
      </c>
      <c r="B6" t="s">
        <v>1795</v>
      </c>
      <c r="C6">
        <v>19.829999999999998</v>
      </c>
      <c r="D6">
        <v>19.829999999999998</v>
      </c>
      <c r="E6">
        <v>19.829999999999998</v>
      </c>
    </row>
    <row r="7" spans="1:5">
      <c r="A7" t="s">
        <v>425</v>
      </c>
      <c r="B7" t="s">
        <v>1798</v>
      </c>
      <c r="C7">
        <v>46336</v>
      </c>
      <c r="D7">
        <v>46336</v>
      </c>
      <c r="E7">
        <v>46336</v>
      </c>
    </row>
    <row r="8" spans="1:5">
      <c r="A8" s="175" t="s">
        <v>1799</v>
      </c>
    </row>
    <row r="9" spans="1:5">
      <c r="A9" t="s">
        <v>1800</v>
      </c>
      <c r="B9" t="s">
        <v>1801</v>
      </c>
      <c r="C9">
        <v>171.42</v>
      </c>
      <c r="D9">
        <v>171.42</v>
      </c>
      <c r="E9">
        <v>171.42</v>
      </c>
    </row>
    <row r="10" spans="1:5">
      <c r="A10" t="s">
        <v>425</v>
      </c>
      <c r="B10" t="s">
        <v>1798</v>
      </c>
      <c r="C10">
        <v>80209</v>
      </c>
      <c r="D10">
        <v>80209</v>
      </c>
      <c r="E10">
        <v>80209</v>
      </c>
    </row>
    <row r="11" spans="1:5">
      <c r="A11" t="s">
        <v>1802</v>
      </c>
      <c r="B11" t="s">
        <v>1795</v>
      </c>
      <c r="C11">
        <v>8.84</v>
      </c>
      <c r="D11">
        <v>8.84</v>
      </c>
      <c r="E11">
        <v>8.84</v>
      </c>
    </row>
    <row r="12" spans="1:5">
      <c r="A12" t="s">
        <v>1803</v>
      </c>
      <c r="B12" t="s">
        <v>1795</v>
      </c>
      <c r="C12">
        <v>2.44</v>
      </c>
      <c r="D12">
        <v>2.44</v>
      </c>
      <c r="E12">
        <v>2.44</v>
      </c>
    </row>
    <row r="13" spans="1:5">
      <c r="A13" t="s">
        <v>620</v>
      </c>
      <c r="B13" t="s">
        <v>1796</v>
      </c>
      <c r="D13">
        <v>22.98</v>
      </c>
      <c r="E13">
        <v>32.119999999999997</v>
      </c>
    </row>
    <row r="14" spans="1:5">
      <c r="A14" t="s">
        <v>1804</v>
      </c>
      <c r="B14" t="s">
        <v>1795</v>
      </c>
      <c r="E14">
        <v>10.6</v>
      </c>
    </row>
    <row r="15" spans="1:5">
      <c r="A15" t="s">
        <v>1805</v>
      </c>
      <c r="B15" t="s">
        <v>1806</v>
      </c>
      <c r="C15" s="399">
        <v>0.88260000000000005</v>
      </c>
      <c r="D15" s="399">
        <v>0.89300000000000002</v>
      </c>
      <c r="E15" s="399">
        <v>0.90129999999999999</v>
      </c>
    </row>
    <row r="16" spans="1:5">
      <c r="A16" t="s">
        <v>1807</v>
      </c>
      <c r="B16" t="s">
        <v>1808</v>
      </c>
      <c r="C16">
        <v>5.14</v>
      </c>
      <c r="D16">
        <v>3.47</v>
      </c>
      <c r="E16">
        <v>2.62</v>
      </c>
    </row>
    <row r="17" spans="1:6">
      <c r="A17" s="175" t="s">
        <v>908</v>
      </c>
      <c r="B17" t="s">
        <v>1809</v>
      </c>
      <c r="C17">
        <f>C18+C22</f>
        <v>9.7810000000000006</v>
      </c>
      <c r="D17">
        <f>D18+D22</f>
        <v>11.878</v>
      </c>
      <c r="E17">
        <f>E18+E22</f>
        <v>12.326000000000001</v>
      </c>
    </row>
    <row r="18" spans="1:6">
      <c r="A18" t="s">
        <v>910</v>
      </c>
      <c r="B18" t="s">
        <v>1809</v>
      </c>
      <c r="C18">
        <v>8.7330000000000005</v>
      </c>
      <c r="D18">
        <v>10.605</v>
      </c>
      <c r="E18">
        <v>11.005000000000001</v>
      </c>
    </row>
    <row r="19" spans="1:6">
      <c r="A19" s="400" t="s">
        <v>902</v>
      </c>
      <c r="B19" t="s">
        <v>1809</v>
      </c>
      <c r="C19">
        <v>8.7330000000000005</v>
      </c>
      <c r="D19">
        <v>8.7330000000000005</v>
      </c>
      <c r="E19">
        <v>8.7330000000000005</v>
      </c>
    </row>
    <row r="20" spans="1:6">
      <c r="A20" s="400" t="s">
        <v>903</v>
      </c>
      <c r="B20" t="s">
        <v>1809</v>
      </c>
      <c r="D20">
        <v>1.8720000000000001</v>
      </c>
      <c r="E20">
        <v>1.8720000000000001</v>
      </c>
    </row>
    <row r="21" spans="1:6">
      <c r="A21" s="400" t="s">
        <v>911</v>
      </c>
      <c r="B21" t="s">
        <v>1809</v>
      </c>
      <c r="E21">
        <v>0.40100000000000002</v>
      </c>
    </row>
    <row r="22" spans="1:6">
      <c r="A22" t="s">
        <v>912</v>
      </c>
      <c r="B22" t="s">
        <v>1809</v>
      </c>
      <c r="C22">
        <v>1.048</v>
      </c>
      <c r="D22">
        <v>1.2729999999999999</v>
      </c>
      <c r="E22">
        <v>1.321</v>
      </c>
    </row>
    <row r="23" spans="1:6">
      <c r="A23" s="175" t="s">
        <v>913</v>
      </c>
      <c r="B23" t="s">
        <v>1810</v>
      </c>
      <c r="C23">
        <f>15.1+3.02+12.74+4.46+2.26</f>
        <v>37.58</v>
      </c>
      <c r="D23">
        <f>15.81+3.16+15.47+5.41+2.37</f>
        <v>42.219999999999992</v>
      </c>
      <c r="E23">
        <f>16.34+3.27+16.05+5.62+2.45</f>
        <v>43.73</v>
      </c>
    </row>
    <row r="24" spans="1:6">
      <c r="C24" s="173"/>
      <c r="D24" s="174"/>
    </row>
    <row r="25" spans="1:6">
      <c r="F25" s="401"/>
    </row>
    <row r="26" spans="1:6">
      <c r="F26" s="40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2E91-5D73-4B58-903E-959B8DDEE007}">
  <sheetPr>
    <tabColor theme="5" tint="0.39997558519241921"/>
  </sheetPr>
  <dimension ref="A1:C10"/>
  <sheetViews>
    <sheetView workbookViewId="0">
      <selection activeCell="B5" sqref="B5"/>
    </sheetView>
  </sheetViews>
  <sheetFormatPr defaultRowHeight="15.6"/>
  <cols>
    <col min="3" max="3" width="13.8984375" bestFit="1" customWidth="1"/>
  </cols>
  <sheetData>
    <row r="1" spans="1:3">
      <c r="A1" t="s">
        <v>1811</v>
      </c>
    </row>
    <row r="3" spans="1:3">
      <c r="B3" t="s">
        <v>919</v>
      </c>
      <c r="C3" t="s">
        <v>1812</v>
      </c>
    </row>
    <row r="4" spans="1:3">
      <c r="B4" t="s">
        <v>1813</v>
      </c>
      <c r="C4" t="s">
        <v>1814</v>
      </c>
    </row>
    <row r="5" spans="1:3">
      <c r="A5" t="s">
        <v>921</v>
      </c>
      <c r="B5">
        <v>390</v>
      </c>
      <c r="C5">
        <v>190</v>
      </c>
    </row>
    <row r="6" spans="1:3">
      <c r="A6" t="s">
        <v>1815</v>
      </c>
      <c r="B6">
        <v>290</v>
      </c>
      <c r="C6">
        <v>50</v>
      </c>
    </row>
    <row r="7" spans="1:3">
      <c r="A7" t="s">
        <v>923</v>
      </c>
      <c r="B7">
        <v>390</v>
      </c>
      <c r="C7">
        <v>110</v>
      </c>
    </row>
    <row r="8" spans="1:3">
      <c r="A8" t="s">
        <v>924</v>
      </c>
      <c r="B8">
        <v>170</v>
      </c>
    </row>
    <row r="9" spans="1:3">
      <c r="A9" t="s">
        <v>925</v>
      </c>
      <c r="B9">
        <v>530</v>
      </c>
      <c r="C9">
        <v>250</v>
      </c>
    </row>
    <row r="10" spans="1:3">
      <c r="A10" t="s">
        <v>1816</v>
      </c>
      <c r="B10">
        <v>800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A6D17-F88A-4179-9C26-921CEAE07CF0}">
  <sheetPr>
    <tabColor theme="5" tint="0.39997558519241921"/>
  </sheetPr>
  <dimension ref="A1:AD23"/>
  <sheetViews>
    <sheetView topLeftCell="B1" workbookViewId="0">
      <selection activeCell="AC16" sqref="AC16"/>
    </sheetView>
  </sheetViews>
  <sheetFormatPr defaultRowHeight="15.6"/>
  <cols>
    <col min="1" max="1" width="29.5" customWidth="1"/>
    <col min="2" max="2" width="14.19921875" bestFit="1" customWidth="1"/>
    <col min="3" max="3" width="20.59765625" bestFit="1" customWidth="1"/>
    <col min="4" max="4" width="20.3984375" bestFit="1" customWidth="1"/>
    <col min="5" max="5" width="11.09765625" bestFit="1" customWidth="1"/>
    <col min="6" max="6" width="18.59765625" bestFit="1" customWidth="1"/>
    <col min="7" max="7" width="20.59765625" bestFit="1" customWidth="1"/>
    <col min="8" max="8" width="20.3984375" bestFit="1" customWidth="1"/>
    <col min="9" max="9" width="12.59765625" bestFit="1" customWidth="1"/>
    <col min="10" max="10" width="11.09765625" bestFit="1" customWidth="1"/>
    <col min="11" max="12" width="12.59765625" bestFit="1" customWidth="1"/>
    <col min="13" max="13" width="11.09765625" bestFit="1" customWidth="1"/>
    <col min="14" max="14" width="13.69921875" bestFit="1" customWidth="1"/>
    <col min="15" max="20" width="12.59765625" bestFit="1" customWidth="1"/>
    <col min="21" max="21" width="13.69921875" bestFit="1" customWidth="1"/>
    <col min="22" max="24" width="12.59765625" bestFit="1" customWidth="1"/>
    <col min="25" max="25" width="13.69921875" bestFit="1" customWidth="1"/>
    <col min="26" max="26" width="12.59765625" bestFit="1" customWidth="1"/>
    <col min="27" max="27" width="10.09765625" bestFit="1" customWidth="1"/>
    <col min="28" max="28" width="13.69921875" bestFit="1" customWidth="1"/>
    <col min="29" max="29" width="12.59765625" bestFit="1" customWidth="1"/>
    <col min="30" max="30" width="13.69921875" bestFit="1" customWidth="1"/>
  </cols>
  <sheetData>
    <row r="1" spans="1:30">
      <c r="A1" s="204" t="s">
        <v>1817</v>
      </c>
      <c r="B1" s="205"/>
      <c r="C1" s="205"/>
      <c r="D1" s="205"/>
      <c r="E1" s="205"/>
      <c r="F1" s="205"/>
      <c r="G1" s="205"/>
      <c r="H1" s="205"/>
      <c r="I1" s="206"/>
    </row>
    <row r="2" spans="1:30">
      <c r="A2" s="207"/>
      <c r="I2" s="208"/>
    </row>
    <row r="3" spans="1:30">
      <c r="A3" s="207"/>
      <c r="B3" s="413"/>
      <c r="C3" s="417" t="s">
        <v>1818</v>
      </c>
      <c r="D3" s="228" t="s">
        <v>1819</v>
      </c>
      <c r="F3" s="413"/>
      <c r="G3" s="417" t="s">
        <v>1818</v>
      </c>
      <c r="H3" s="228" t="s">
        <v>1819</v>
      </c>
      <c r="I3" s="208"/>
    </row>
    <row r="4" spans="1:30">
      <c r="A4" s="207"/>
      <c r="B4" s="416"/>
      <c r="C4" s="412" t="s">
        <v>1820</v>
      </c>
      <c r="D4" s="415" t="s">
        <v>1820</v>
      </c>
      <c r="F4" s="416"/>
      <c r="G4" s="412" t="s">
        <v>1820</v>
      </c>
      <c r="H4" s="415" t="s">
        <v>1820</v>
      </c>
      <c r="I4" s="208"/>
    </row>
    <row r="5" spans="1:30">
      <c r="A5" s="207"/>
      <c r="B5" s="416" t="s">
        <v>1821</v>
      </c>
      <c r="C5" s="510">
        <v>9.6897810218978098</v>
      </c>
      <c r="D5" s="220">
        <f>C5</f>
        <v>9.6897810218978098</v>
      </c>
      <c r="F5" s="416" t="s">
        <v>1822</v>
      </c>
      <c r="G5" s="510">
        <v>14.6167883211678</v>
      </c>
      <c r="H5" s="220">
        <f>G5</f>
        <v>14.6167883211678</v>
      </c>
      <c r="I5" s="208"/>
    </row>
    <row r="6" spans="1:30">
      <c r="A6" s="207"/>
      <c r="B6" s="416" t="s">
        <v>203</v>
      </c>
      <c r="C6" s="510">
        <v>18.394160583941598</v>
      </c>
      <c r="D6" s="220">
        <f>C6-C5</f>
        <v>8.7043795620437887</v>
      </c>
      <c r="F6" s="416" t="s">
        <v>1823</v>
      </c>
      <c r="G6" s="510">
        <v>33.503649635036403</v>
      </c>
      <c r="H6" s="220">
        <f>G6-G5</f>
        <v>18.886861313868604</v>
      </c>
      <c r="I6" s="208"/>
    </row>
    <row r="7" spans="1:30">
      <c r="A7" s="207"/>
      <c r="B7" s="416" t="s">
        <v>1168</v>
      </c>
      <c r="C7" s="510">
        <v>22.6642335766423</v>
      </c>
      <c r="D7" s="220">
        <f t="shared" ref="D7:D11" si="0">C7-C6</f>
        <v>4.2700729927007011</v>
      </c>
      <c r="F7" s="414" t="s">
        <v>1824</v>
      </c>
      <c r="G7" s="511">
        <v>40.729927007299203</v>
      </c>
      <c r="H7" s="224">
        <f>G7-G6</f>
        <v>7.2262773722627998</v>
      </c>
      <c r="I7" s="208"/>
    </row>
    <row r="8" spans="1:30">
      <c r="A8" s="207"/>
      <c r="B8" s="416" t="s">
        <v>1825</v>
      </c>
      <c r="C8" s="510">
        <v>27.427007299269999</v>
      </c>
      <c r="D8" s="220">
        <f t="shared" si="0"/>
        <v>4.7627737226276992</v>
      </c>
      <c r="E8" s="412"/>
      <c r="I8" s="208"/>
    </row>
    <row r="9" spans="1:30">
      <c r="A9" s="207"/>
      <c r="B9" s="416" t="s">
        <v>224</v>
      </c>
      <c r="C9" s="510">
        <v>31.040145985401399</v>
      </c>
      <c r="D9" s="220">
        <f t="shared" si="0"/>
        <v>3.6131386861313999</v>
      </c>
      <c r="E9" s="412"/>
      <c r="I9" s="208"/>
    </row>
    <row r="10" spans="1:30">
      <c r="A10" s="207"/>
      <c r="B10" s="416" t="s">
        <v>1826</v>
      </c>
      <c r="C10" s="510">
        <v>36.9525547445255</v>
      </c>
      <c r="D10" s="220">
        <f t="shared" si="0"/>
        <v>5.9124087591241015</v>
      </c>
      <c r="E10" s="412"/>
      <c r="I10" s="208"/>
    </row>
    <row r="11" spans="1:30">
      <c r="A11" s="207"/>
      <c r="B11" s="414" t="s">
        <v>1827</v>
      </c>
      <c r="C11" s="511">
        <v>40.072992700729898</v>
      </c>
      <c r="D11" s="224">
        <f t="shared" si="0"/>
        <v>3.1204379562043982</v>
      </c>
      <c r="E11" s="412"/>
      <c r="I11" s="208"/>
    </row>
    <row r="12" spans="1:30" ht="16.2" thickBot="1">
      <c r="A12" s="211"/>
      <c r="B12" s="411"/>
      <c r="C12" s="411"/>
      <c r="D12" s="411"/>
      <c r="E12" s="411"/>
      <c r="F12" s="411"/>
      <c r="G12" s="411"/>
      <c r="H12" s="411"/>
      <c r="I12" s="410"/>
    </row>
    <row r="15" spans="1:30">
      <c r="C15" t="s">
        <v>172</v>
      </c>
      <c r="D15" t="s">
        <v>175</v>
      </c>
      <c r="E15" t="s">
        <v>178</v>
      </c>
      <c r="F15" t="s">
        <v>181</v>
      </c>
      <c r="G15" t="s">
        <v>184</v>
      </c>
      <c r="H15" t="s">
        <v>187</v>
      </c>
      <c r="I15" t="s">
        <v>190</v>
      </c>
      <c r="J15" t="s">
        <v>193</v>
      </c>
      <c r="K15" t="s">
        <v>196</v>
      </c>
      <c r="L15" t="s">
        <v>198</v>
      </c>
      <c r="M15" t="s">
        <v>200</v>
      </c>
      <c r="N15" t="s">
        <v>202</v>
      </c>
      <c r="O15" t="s">
        <v>205</v>
      </c>
      <c r="P15" t="s">
        <v>208</v>
      </c>
      <c r="Q15" t="s">
        <v>211</v>
      </c>
      <c r="R15" t="s">
        <v>214</v>
      </c>
      <c r="S15" t="s">
        <v>217</v>
      </c>
      <c r="T15" t="s">
        <v>220</v>
      </c>
      <c r="U15" t="s">
        <v>223</v>
      </c>
      <c r="V15" t="s">
        <v>225</v>
      </c>
      <c r="W15" t="s">
        <v>227</v>
      </c>
      <c r="X15" t="s">
        <v>230</v>
      </c>
      <c r="Y15" t="s">
        <v>233</v>
      </c>
      <c r="Z15" t="s">
        <v>236</v>
      </c>
      <c r="AA15" t="s">
        <v>238</v>
      </c>
      <c r="AB15" t="s">
        <v>240</v>
      </c>
      <c r="AC15" t="s">
        <v>243</v>
      </c>
      <c r="AD15" t="s">
        <v>245</v>
      </c>
    </row>
    <row r="16" spans="1:30">
      <c r="A16" t="s">
        <v>1828</v>
      </c>
      <c r="C16" s="173">
        <f>-'Key inputs_Refineries'!E12</f>
        <v>149721</v>
      </c>
      <c r="D16" s="173">
        <f>-'Key inputs_Refineries'!F12</f>
        <v>2047246</v>
      </c>
      <c r="E16" s="173">
        <f>-'Key inputs_Refineries'!G12</f>
        <v>307214</v>
      </c>
      <c r="F16" s="173">
        <f>-'Key inputs_Refineries'!H12</f>
        <v>1169083</v>
      </c>
      <c r="G16" s="173">
        <f>-'Key inputs_Refineries'!I12</f>
        <v>1230814</v>
      </c>
      <c r="H16" s="173">
        <f>-'Key inputs_Refineries'!J12</f>
        <v>1321072</v>
      </c>
      <c r="I16" s="173">
        <f>-'Key inputs_Refineries'!K12</f>
        <v>4987770</v>
      </c>
      <c r="J16" s="173">
        <f>-'Key inputs_Refineries'!L12</f>
        <v>642029</v>
      </c>
      <c r="K16" s="173">
        <f>-'Key inputs_Refineries'!M12</f>
        <v>4045073</v>
      </c>
      <c r="L16" s="173">
        <f>-'Key inputs_Refineries'!N12</f>
        <v>4878030</v>
      </c>
      <c r="M16" s="173">
        <f>-'Key inputs_Refineries'!O12</f>
        <v>430309</v>
      </c>
      <c r="N16" s="173">
        <f>-'Key inputs_Refineries'!P12</f>
        <v>31798001</v>
      </c>
      <c r="O16" s="173">
        <f>-'Key inputs_Refineries'!Q12</f>
        <v>1007574</v>
      </c>
      <c r="P16" s="173">
        <f>-'Key inputs_Refineries'!R12</f>
        <v>2739304</v>
      </c>
      <c r="Q16" s="173">
        <f>-'Key inputs_Refineries'!S12</f>
        <v>3372528</v>
      </c>
      <c r="R16" s="173">
        <f>-'Key inputs_Refineries'!T12</f>
        <v>9267541</v>
      </c>
      <c r="S16" s="173">
        <f>-'Key inputs_Refineries'!U12</f>
        <v>9972022</v>
      </c>
      <c r="T16" s="173">
        <f>-'Key inputs_Refineries'!V12</f>
        <v>2897727</v>
      </c>
      <c r="U16" s="173">
        <f>-'Key inputs_Refineries'!W12</f>
        <v>10591072</v>
      </c>
      <c r="V16" s="173">
        <f>-'Key inputs_Refineries'!X12</f>
        <v>6347819</v>
      </c>
      <c r="W16" s="173">
        <f>-'Key inputs_Refineries'!Y12</f>
        <v>3339599</v>
      </c>
      <c r="X16" s="173">
        <f>-'Key inputs_Refineries'!Z12</f>
        <v>2456860</v>
      </c>
      <c r="Y16" s="173">
        <f>-'Key inputs_Refineries'!AA12</f>
        <v>10793144</v>
      </c>
      <c r="Z16" s="173">
        <f>-'Key inputs_Refineries'!AB12</f>
        <v>1184602</v>
      </c>
      <c r="AA16" s="173">
        <f>-'Key inputs_Refineries'!AC12</f>
        <v>91396</v>
      </c>
      <c r="AB16" s="173">
        <f>-'Key inputs_Refineries'!AD12</f>
        <v>11350730</v>
      </c>
      <c r="AC16" s="173">
        <f>-'Key inputs_Refineries'!AE12</f>
        <v>6139385</v>
      </c>
      <c r="AD16" s="173">
        <f>-'Key inputs_Refineries'!AF12</f>
        <v>30928861</v>
      </c>
    </row>
    <row r="17" spans="1:30">
      <c r="A17" t="s">
        <v>823</v>
      </c>
      <c r="B17" t="s">
        <v>1820</v>
      </c>
      <c r="C17" s="173">
        <f>$D11*C16/SUM($C$16,$D$16,$E$16,$F$16,$G$16,$K$16,$M$16,$W$16,$AA$16,$AB$16)</f>
        <v>1.933659674560162E-2</v>
      </c>
      <c r="D17" s="173">
        <f t="shared" ref="D17:G17" si="1">$D11*D16/SUM($C$16,$D$16,$E$16,$F$16,$G$16,$K$16,$M$16,$W$16,$AA$16,$AB$16)</f>
        <v>0.26440359295653876</v>
      </c>
      <c r="E17" s="173">
        <f t="shared" si="1"/>
        <v>3.9676954018496115E-2</v>
      </c>
      <c r="F17" s="173">
        <f t="shared" si="1"/>
        <v>0.1509880813856318</v>
      </c>
      <c r="G17" s="173">
        <f t="shared" si="1"/>
        <v>0.15896069346879138</v>
      </c>
      <c r="H17" s="173">
        <f>$D10*H16/SUM($H$16,$I$16,$J$16,$T$16,$V$16,$X$16,$AC$16)</f>
        <v>0.31504150963029282</v>
      </c>
      <c r="I17" s="173">
        <f>$D10*I16/SUM($H$16,$I$16,$J$16,$T$16,$V$16,$X$16,$AC$16)</f>
        <v>1.1894541633527058</v>
      </c>
      <c r="J17" s="173">
        <f>$D10*J16/SUM($H$16,$I$16,$J$16,$T$16,$V$16,$X$16,$AC$16)</f>
        <v>0.15310731389843041</v>
      </c>
      <c r="K17" s="173">
        <f>$D11*K16/SUM($C$16,$D$16,$E$16,$F$16,$G$16,$K$16,$M$16,$W$16,$AA$16,$AB$16)</f>
        <v>0.52242467928694702</v>
      </c>
      <c r="L17" s="173">
        <f>$D5*L16/SUM($AD$16,$Z$16,$L$16)</f>
        <v>1.2777814217514327</v>
      </c>
      <c r="M17" s="173">
        <f>$D11*M16/SUM($C$16,$D$16,$E$16,$F$16,$G$16,$K$16,$M$16,$W$16,$AA$16,$AB$16)</f>
        <v>5.5574779817147146E-2</v>
      </c>
      <c r="N17" s="173">
        <f>D6</f>
        <v>8.7043795620437887</v>
      </c>
      <c r="O17" s="173">
        <f>$D8*O16/SUM($O$16:$S$16)</f>
        <v>0.18205746100323125</v>
      </c>
      <c r="P17" s="173">
        <f t="shared" ref="P17:S17" si="2">$D8*P16/SUM($O$16:$S$16)</f>
        <v>0.49496188980263028</v>
      </c>
      <c r="Q17" s="173">
        <f t="shared" si="2"/>
        <v>0.60937845244349842</v>
      </c>
      <c r="R17" s="173">
        <f t="shared" si="2"/>
        <v>1.6745420030720788</v>
      </c>
      <c r="S17" s="173">
        <f t="shared" si="2"/>
        <v>1.8018339163062604</v>
      </c>
      <c r="T17" s="173">
        <f>$D10*T16/SUM($H$16,$I$16,$J$16,$T$16,$V$16,$X$16,$AC$16)</f>
        <v>0.69103295549104016</v>
      </c>
      <c r="U17" s="173">
        <f>D9</f>
        <v>3.6131386861313999</v>
      </c>
      <c r="V17" s="173">
        <f>$D10*V16/SUM($H$16,$I$16,$J$16,$T$16,$V$16,$X$16,$AC$16)</f>
        <v>1.5137906795540712</v>
      </c>
      <c r="W17" s="173">
        <f>$D11*W16/SUM($C$16,$D$16,$E$16,$F$16,$G$16,$K$16,$M$16,$W$16,$AA$16,$AB$16)</f>
        <v>0.43131210154229821</v>
      </c>
      <c r="X17" s="173">
        <f>$D10*X16/SUM($H$16,$I$16,$J$16,$T$16,$V$16,$X$16,$AC$16)</f>
        <v>0.58589757662737629</v>
      </c>
      <c r="Y17" s="173">
        <f>D7</f>
        <v>4.2700729927007011</v>
      </c>
      <c r="Z17" s="173">
        <f>$D5*Z16/SUM($AD$16,$Z$16,$L$16)</f>
        <v>0.31030199235543665</v>
      </c>
      <c r="AA17" s="173">
        <f>$D11*AA16/SUM($C$16,$D$16,$E$16,$F$16,$G$16,$K$16,$M$16,$W$16,$AA$16,$AB$16)</f>
        <v>1.1803872510609773E-2</v>
      </c>
      <c r="AB17" s="173">
        <f>$D11*AB16/SUM($C$16,$D$16,$E$16,$F$16,$G$16,$K$16,$M$16,$W$16,$AA$16,$AB$16)</f>
        <v>1.4659566044723367</v>
      </c>
      <c r="AC17" s="173">
        <f>$D10*AC16/SUM($H$16,$I$16,$J$16,$T$16,$V$16,$X$16,$AC$16)</f>
        <v>1.4640845605701849</v>
      </c>
      <c r="AD17" s="173">
        <f>$D5*AD16/SUM($AD$16,$Z$16,$L$16)</f>
        <v>8.1016976077909408</v>
      </c>
    </row>
    <row r="18" spans="1:30">
      <c r="A18" s="412" t="s">
        <v>1822</v>
      </c>
      <c r="B18" t="s">
        <v>1820</v>
      </c>
      <c r="C18" s="174">
        <f>C$17*$H5/SUM($H$5:$H$7)</f>
        <v>6.9393431869295861E-3</v>
      </c>
      <c r="D18" s="174">
        <f t="shared" ref="D18:AD20" si="3">D$17*$H5/SUM($H$5:$H$7)</f>
        <v>9.4886773278757469E-2</v>
      </c>
      <c r="E18" s="174">
        <f t="shared" si="3"/>
        <v>1.4238906885669918E-2</v>
      </c>
      <c r="F18" s="174">
        <f t="shared" si="3"/>
        <v>5.4185238884359575E-2</v>
      </c>
      <c r="G18" s="174">
        <f t="shared" si="3"/>
        <v>5.7046377898074097E-2</v>
      </c>
      <c r="H18" s="174">
        <f t="shared" si="3"/>
        <v>0.113059251439903</v>
      </c>
      <c r="I18" s="174">
        <f t="shared" si="3"/>
        <v>0.42686056668705802</v>
      </c>
      <c r="J18" s="174">
        <f t="shared" si="3"/>
        <v>5.4945769907097784E-2</v>
      </c>
      <c r="K18" s="174">
        <f t="shared" si="3"/>
        <v>0.18748305022797618</v>
      </c>
      <c r="L18" s="174">
        <f t="shared" si="3"/>
        <v>0.45855865538660096</v>
      </c>
      <c r="M18" s="174">
        <f t="shared" si="3"/>
        <v>1.99441750150245E-2</v>
      </c>
      <c r="N18" s="174">
        <f t="shared" si="3"/>
        <v>3.1237491170237663</v>
      </c>
      <c r="O18" s="174">
        <f t="shared" si="3"/>
        <v>6.5335137214869013E-2</v>
      </c>
      <c r="P18" s="174">
        <f t="shared" si="3"/>
        <v>0.17762745238884642</v>
      </c>
      <c r="Q18" s="174">
        <f t="shared" si="3"/>
        <v>0.21868823494948039</v>
      </c>
      <c r="R18" s="174">
        <f t="shared" si="3"/>
        <v>0.6009445091669936</v>
      </c>
      <c r="S18" s="174">
        <f t="shared" si="3"/>
        <v>0.6466258812550667</v>
      </c>
      <c r="T18" s="174">
        <f t="shared" si="3"/>
        <v>0.24799166547863841</v>
      </c>
      <c r="U18" s="174">
        <f t="shared" si="3"/>
        <v>1.2966505768777954</v>
      </c>
      <c r="V18" s="174">
        <f t="shared" si="3"/>
        <v>0.54325552613028949</v>
      </c>
      <c r="W18" s="174">
        <f t="shared" si="3"/>
        <v>0.15478539127929189</v>
      </c>
      <c r="X18" s="174">
        <f t="shared" si="3"/>
        <v>0.21026163032192047</v>
      </c>
      <c r="Y18" s="174">
        <f t="shared" si="3"/>
        <v>1.532405227219197</v>
      </c>
      <c r="Z18" s="174">
        <f t="shared" si="3"/>
        <v>0.11135837628884576</v>
      </c>
      <c r="AA18" s="174">
        <f t="shared" si="3"/>
        <v>4.2360671509849412E-3</v>
      </c>
      <c r="AB18" s="174">
        <f t="shared" si="3"/>
        <v>0.52608926531466704</v>
      </c>
      <c r="AC18" s="174">
        <f t="shared" si="3"/>
        <v>0.52541744310784644</v>
      </c>
      <c r="AD18" s="174">
        <f t="shared" si="3"/>
        <v>2.907464060860447</v>
      </c>
    </row>
    <row r="19" spans="1:30">
      <c r="A19" s="412" t="s">
        <v>1823</v>
      </c>
      <c r="B19" t="s">
        <v>1820</v>
      </c>
      <c r="C19" s="174">
        <f t="shared" ref="C19:R20" si="4">C$17*$H6/SUM($H$5:$H$7)</f>
        <v>8.9665670392910842E-3</v>
      </c>
      <c r="D19" s="174">
        <f t="shared" si="4"/>
        <v>0.12260650479839513</v>
      </c>
      <c r="E19" s="174">
        <f t="shared" si="4"/>
        <v>1.839858754889943E-2</v>
      </c>
      <c r="F19" s="174">
        <f t="shared" si="4"/>
        <v>7.0014634513498694E-2</v>
      </c>
      <c r="G19" s="174">
        <f t="shared" si="4"/>
        <v>7.3711611890770287E-2</v>
      </c>
      <c r="H19" s="174">
        <f t="shared" si="4"/>
        <v>0.14608779680436981</v>
      </c>
      <c r="I19" s="174">
        <f t="shared" si="4"/>
        <v>0.55156140639339246</v>
      </c>
      <c r="J19" s="174">
        <f t="shared" si="4"/>
        <v>7.0997343138385141E-2</v>
      </c>
      <c r="K19" s="174">
        <f t="shared" si="4"/>
        <v>0.24225337950806039</v>
      </c>
      <c r="L19" s="174">
        <f t="shared" si="4"/>
        <v>0.59251961089280214</v>
      </c>
      <c r="M19" s="174">
        <f t="shared" si="4"/>
        <v>2.5770563221661005E-2</v>
      </c>
      <c r="N19" s="174">
        <f t="shared" si="4"/>
        <v>4.0363050388509549</v>
      </c>
      <c r="O19" s="174">
        <f t="shared" si="4"/>
        <v>8.4421806513595238E-2</v>
      </c>
      <c r="P19" s="174">
        <f t="shared" si="4"/>
        <v>0.22951861825525224</v>
      </c>
      <c r="Q19" s="174">
        <f t="shared" si="4"/>
        <v>0.2825746856088806</v>
      </c>
      <c r="R19" s="174">
        <f t="shared" si="4"/>
        <v>0.77650133206971483</v>
      </c>
      <c r="S19" s="174">
        <f t="shared" si="3"/>
        <v>0.8355278240936298</v>
      </c>
      <c r="T19" s="174">
        <f t="shared" si="3"/>
        <v>0.32043866887689398</v>
      </c>
      <c r="U19" s="174">
        <f t="shared" si="3"/>
        <v>1.6754473746173848</v>
      </c>
      <c r="V19" s="174">
        <f t="shared" si="3"/>
        <v>0.70195938769644517</v>
      </c>
      <c r="W19" s="174">
        <f t="shared" si="3"/>
        <v>0.20000359547324334</v>
      </c>
      <c r="X19" s="174">
        <f t="shared" si="3"/>
        <v>0.27168637625866271</v>
      </c>
      <c r="Y19" s="174">
        <f t="shared" si="3"/>
        <v>1.9800741700023434</v>
      </c>
      <c r="Z19" s="174">
        <f t="shared" si="3"/>
        <v>0.1438900367777228</v>
      </c>
      <c r="AA19" s="174">
        <f t="shared" si="3"/>
        <v>5.473569914194054E-3</v>
      </c>
      <c r="AB19" s="174">
        <f t="shared" si="3"/>
        <v>0.6797782641706408</v>
      </c>
      <c r="AC19" s="174">
        <f t="shared" si="3"/>
        <v>0.67891017929665909</v>
      </c>
      <c r="AD19" s="174">
        <f t="shared" si="3"/>
        <v>3.7568355842579</v>
      </c>
    </row>
    <row r="20" spans="1:30">
      <c r="A20" s="412" t="s">
        <v>1824</v>
      </c>
      <c r="B20" t="s">
        <v>1820</v>
      </c>
      <c r="C20" s="174">
        <f t="shared" si="4"/>
        <v>3.4306865193809506E-3</v>
      </c>
      <c r="D20" s="174">
        <f t="shared" si="3"/>
        <v>4.6910314879386156E-2</v>
      </c>
      <c r="E20" s="174">
        <f t="shared" si="3"/>
        <v>7.0394595839267668E-3</v>
      </c>
      <c r="F20" s="174">
        <f t="shared" si="3"/>
        <v>2.6788207987773528E-2</v>
      </c>
      <c r="G20" s="174">
        <f t="shared" si="3"/>
        <v>2.8202703679947008E-2</v>
      </c>
      <c r="H20" s="174">
        <f t="shared" si="3"/>
        <v>5.5894461386019986E-2</v>
      </c>
      <c r="I20" s="174">
        <f t="shared" si="3"/>
        <v>0.21103219027225537</v>
      </c>
      <c r="J20" s="174">
        <f t="shared" si="3"/>
        <v>2.7164200852947476E-2</v>
      </c>
      <c r="K20" s="174">
        <f t="shared" si="3"/>
        <v>9.2688249550910443E-2</v>
      </c>
      <c r="L20" s="174">
        <f t="shared" si="3"/>
        <v>0.22670315547202957</v>
      </c>
      <c r="M20" s="174">
        <f t="shared" si="3"/>
        <v>9.8600415804616422E-3</v>
      </c>
      <c r="N20" s="174">
        <f t="shared" si="3"/>
        <v>1.5443254061690672</v>
      </c>
      <c r="O20" s="174">
        <f t="shared" si="3"/>
        <v>3.2300517274767009E-2</v>
      </c>
      <c r="P20" s="174">
        <f t="shared" si="3"/>
        <v>8.7815819158531636E-2</v>
      </c>
      <c r="Q20" s="174">
        <f t="shared" si="3"/>
        <v>0.10811553188513738</v>
      </c>
      <c r="R20" s="174">
        <f t="shared" si="3"/>
        <v>0.29709616183537035</v>
      </c>
      <c r="S20" s="174">
        <f t="shared" si="3"/>
        <v>0.31968021095756405</v>
      </c>
      <c r="T20" s="174">
        <f t="shared" si="3"/>
        <v>0.12260262113550778</v>
      </c>
      <c r="U20" s="174">
        <f t="shared" si="3"/>
        <v>0.64104073463621947</v>
      </c>
      <c r="V20" s="174">
        <f t="shared" si="3"/>
        <v>0.2685757657273366</v>
      </c>
      <c r="W20" s="174">
        <f t="shared" si="3"/>
        <v>7.652311478976298E-2</v>
      </c>
      <c r="X20" s="174">
        <f t="shared" si="3"/>
        <v>0.10394957004679312</v>
      </c>
      <c r="Y20" s="174">
        <f t="shared" si="3"/>
        <v>0.75759359547916061</v>
      </c>
      <c r="Z20" s="174">
        <f t="shared" si="3"/>
        <v>5.5053579288868087E-2</v>
      </c>
      <c r="AA20" s="174">
        <f t="shared" si="3"/>
        <v>2.0942354454307772E-3</v>
      </c>
      <c r="AB20" s="174">
        <f t="shared" si="3"/>
        <v>0.26008907498702888</v>
      </c>
      <c r="AC20" s="174">
        <f t="shared" si="3"/>
        <v>0.2597569381656793</v>
      </c>
      <c r="AD20" s="174">
        <f t="shared" si="3"/>
        <v>1.4373979626725939</v>
      </c>
    </row>
    <row r="21" spans="1:30">
      <c r="A21" s="412" t="s">
        <v>1822</v>
      </c>
      <c r="B21" t="s">
        <v>1829</v>
      </c>
      <c r="C21" s="174">
        <f>C18*10^6*Legend!$B$94*10^-3</f>
        <v>832.72118243155035</v>
      </c>
      <c r="D21" s="174">
        <f>D18*10^6*Legend!$B$94*10^-3</f>
        <v>11386.412793450896</v>
      </c>
      <c r="E21" s="174">
        <f>E18*10^6*Legend!$B$94*10^-3</f>
        <v>1708.6688262803902</v>
      </c>
      <c r="F21" s="174">
        <f>F18*10^6*Legend!$B$94*10^-3</f>
        <v>6502.2286661231492</v>
      </c>
      <c r="G21" s="174">
        <f>G18*10^6*Legend!$B$94*10^-3</f>
        <v>6845.565347768892</v>
      </c>
      <c r="H21" s="174">
        <f>H18*10^6*Legend!$B$94*10^-3</f>
        <v>13567.110172788362</v>
      </c>
      <c r="I21" s="174">
        <f>I18*10^6*Legend!$B$94*10^-3</f>
        <v>51223.268002446966</v>
      </c>
      <c r="J21" s="174">
        <f>J18*10^6*Legend!$B$94*10^-3</f>
        <v>6593.4923888517342</v>
      </c>
      <c r="K21" s="174">
        <f>K18*10^6*Legend!$B$94*10^-3</f>
        <v>22497.966027357139</v>
      </c>
      <c r="L21" s="174">
        <f>L18*10^6*Legend!$B$94*10^-3</f>
        <v>55027.038646392117</v>
      </c>
      <c r="M21" s="174">
        <f>M18*10^6*Legend!$B$94*10^-3</f>
        <v>2393.3010018029399</v>
      </c>
      <c r="N21" s="174">
        <f>N18*10^6*Legend!$B$94*10^-3</f>
        <v>374849.89404285199</v>
      </c>
      <c r="O21" s="174">
        <f>O18*10^6*Legend!$B$94*10^-3</f>
        <v>7840.2164657842814</v>
      </c>
      <c r="P21" s="174">
        <f>P18*10^6*Legend!$B$94*10^-3</f>
        <v>21315.294286661574</v>
      </c>
      <c r="Q21" s="174">
        <f>Q18*10^6*Legend!$B$94*10^-3</f>
        <v>26242.588193937649</v>
      </c>
      <c r="R21" s="174">
        <f>R18*10^6*Legend!$B$94*10^-3</f>
        <v>72113.341100039237</v>
      </c>
      <c r="S21" s="174">
        <f>S18*10^6*Legend!$B$94*10^-3</f>
        <v>77595.105750608011</v>
      </c>
      <c r="T21" s="174">
        <f>T18*10^6*Legend!$B$94*10^-3</f>
        <v>29758.999857436611</v>
      </c>
      <c r="U21" s="174">
        <f>U18*10^6*Legend!$B$94*10^-3</f>
        <v>155598.06922533546</v>
      </c>
      <c r="V21" s="174">
        <f>V18*10^6*Legend!$B$94*10^-3</f>
        <v>65190.663135634743</v>
      </c>
      <c r="W21" s="174">
        <f>W18*10^6*Legend!$B$94*10^-3</f>
        <v>18574.246953515027</v>
      </c>
      <c r="X21" s="174">
        <f>X18*10^6*Legend!$B$94*10^-3</f>
        <v>25231.395638630456</v>
      </c>
      <c r="Y21" s="174">
        <f>Y18*10^6*Legend!$B$94*10^-3</f>
        <v>183888.62726630364</v>
      </c>
      <c r="Z21" s="174">
        <f>Z18*10^6*Legend!$B$94*10^-3</f>
        <v>13363.005154661492</v>
      </c>
      <c r="AA21" s="174">
        <f>AA18*10^6*Legend!$B$94*10^-3</f>
        <v>508.32805811819287</v>
      </c>
      <c r="AB21" s="174">
        <f>AB18*10^6*Legend!$B$94*10^-3</f>
        <v>63130.711837760049</v>
      </c>
      <c r="AC21" s="174">
        <f>AC18*10^6*Legend!$B$94*10^-3</f>
        <v>63050.093172941575</v>
      </c>
      <c r="AD21" s="174">
        <f>AD18*10^6*Legend!$B$94*10^-3</f>
        <v>348895.68730325368</v>
      </c>
    </row>
    <row r="22" spans="1:30">
      <c r="A22" s="412" t="s">
        <v>1823</v>
      </c>
      <c r="B22" t="s">
        <v>1829</v>
      </c>
      <c r="C22" s="174">
        <f>C19*10^6*Legend!$B$94*10^-3</f>
        <v>1075.9880447149301</v>
      </c>
      <c r="D22" s="174">
        <f>D19*10^6*Legend!$B$94*10^-3</f>
        <v>14712.780575807417</v>
      </c>
      <c r="E22" s="174">
        <f>E19*10^6*Legend!$B$94*10^-3</f>
        <v>2207.8305058679321</v>
      </c>
      <c r="F22" s="174">
        <f>F19*10^6*Legend!$B$94*10^-3</f>
        <v>8401.7561416198423</v>
      </c>
      <c r="G22" s="174">
        <f>G19*10^6*Legend!$B$94*10^-3</f>
        <v>8845.3934268924349</v>
      </c>
      <c r="H22" s="174">
        <f>H19*10^6*Legend!$B$94*10^-3</f>
        <v>17530.535616524376</v>
      </c>
      <c r="I22" s="174">
        <f>I19*10^6*Legend!$B$94*10^-3</f>
        <v>66187.368767207096</v>
      </c>
      <c r="J22" s="174">
        <f>J19*10^6*Legend!$B$94*10^-3</f>
        <v>8519.6811766062183</v>
      </c>
      <c r="K22" s="174">
        <f>K19*10^6*Legend!$B$94*10^-3</f>
        <v>29070.405540967247</v>
      </c>
      <c r="L22" s="174">
        <f>L19*10^6*Legend!$B$94*10^-3</f>
        <v>71102.353307136247</v>
      </c>
      <c r="M22" s="174">
        <f>M19*10^6*Legend!$B$94*10^-3</f>
        <v>3092.4675865993208</v>
      </c>
      <c r="N22" s="174">
        <f>N19*10^6*Legend!$B$94*10^-3</f>
        <v>484356.60466211458</v>
      </c>
      <c r="O22" s="174">
        <f>O19*10^6*Legend!$B$94*10^-3</f>
        <v>10130.616781631428</v>
      </c>
      <c r="P22" s="174">
        <f>P19*10^6*Legend!$B$94*10^-3</f>
        <v>27542.234190630272</v>
      </c>
      <c r="Q22" s="174">
        <f>Q19*10^6*Legend!$B$94*10^-3</f>
        <v>33908.96227306567</v>
      </c>
      <c r="R22" s="174">
        <f>R19*10^6*Legend!$B$94*10^-3</f>
        <v>93180.159848365773</v>
      </c>
      <c r="S22" s="174">
        <f>S19*10^6*Legend!$B$94*10^-3</f>
        <v>100263.33889123557</v>
      </c>
      <c r="T22" s="174">
        <f>T19*10^6*Legend!$B$94*10^-3</f>
        <v>38452.640265227281</v>
      </c>
      <c r="U22" s="174">
        <f>U19*10^6*Legend!$B$94*10^-3</f>
        <v>201053.6849540862</v>
      </c>
      <c r="V22" s="174">
        <f>V19*10^6*Legend!$B$94*10^-3</f>
        <v>84235.126523573432</v>
      </c>
      <c r="W22" s="174">
        <f>W19*10^6*Legend!$B$94*10^-3</f>
        <v>24000.4314567892</v>
      </c>
      <c r="X22" s="174">
        <f>X19*10^6*Legend!$B$94*10^-3</f>
        <v>32602.365151039525</v>
      </c>
      <c r="Y22" s="174">
        <f>Y19*10^6*Legend!$B$94*10^-3</f>
        <v>237608.90040028119</v>
      </c>
      <c r="Z22" s="174">
        <f>Z19*10^6*Legend!$B$94*10^-3</f>
        <v>17266.804413326736</v>
      </c>
      <c r="AA22" s="174">
        <f>AA19*10^6*Legend!$B$94*10^-3</f>
        <v>656.82838970328646</v>
      </c>
      <c r="AB22" s="174">
        <f>AB19*10^6*Legend!$B$94*10^-3</f>
        <v>81573.391700476903</v>
      </c>
      <c r="AC22" s="174">
        <f>AC19*10^6*Legend!$B$94*10^-3</f>
        <v>81469.221515599085</v>
      </c>
      <c r="AD22" s="174">
        <f>AD19*10^6*Legend!$B$94*10^-3</f>
        <v>450820.27011094795</v>
      </c>
    </row>
    <row r="23" spans="1:30">
      <c r="A23" s="412" t="s">
        <v>1824</v>
      </c>
      <c r="B23" t="s">
        <v>1829</v>
      </c>
      <c r="C23" s="174">
        <f>C20*10^6*Legend!$B$94*10^-3</f>
        <v>411.68238232571412</v>
      </c>
      <c r="D23" s="174">
        <f>D20*10^6*Legend!$B$94*10^-3</f>
        <v>5629.2377855263394</v>
      </c>
      <c r="E23" s="174">
        <f>E20*10^6*Legend!$B$94*10^-3</f>
        <v>844.73515007121205</v>
      </c>
      <c r="F23" s="174">
        <f>F20*10^6*Legend!$B$94*10^-3</f>
        <v>3214.5849585328233</v>
      </c>
      <c r="G23" s="174">
        <f>G20*10^6*Legend!$B$94*10^-3</f>
        <v>3384.324441593641</v>
      </c>
      <c r="H23" s="174">
        <f>H20*10^6*Legend!$B$94*10^-3</f>
        <v>6707.3353663223988</v>
      </c>
      <c r="I23" s="174">
        <f>I20*10^6*Legend!$B$94*10^-3</f>
        <v>25323.862832670646</v>
      </c>
      <c r="J23" s="174">
        <f>J20*10^6*Legend!$B$94*10^-3</f>
        <v>3259.7041023536972</v>
      </c>
      <c r="K23" s="174">
        <f>K20*10^6*Legend!$B$94*10^-3</f>
        <v>11122.589946109254</v>
      </c>
      <c r="L23" s="174">
        <f>L20*10^6*Legend!$B$94*10^-3</f>
        <v>27204.378656643552</v>
      </c>
      <c r="M23" s="174">
        <f>M20*10^6*Legend!$B$94*10^-3</f>
        <v>1183.2049896553972</v>
      </c>
      <c r="N23" s="174">
        <f>N20*10^6*Legend!$B$94*10^-3</f>
        <v>185319.04874028804</v>
      </c>
      <c r="O23" s="174">
        <f>O20*10^6*Legend!$B$94*10^-3</f>
        <v>3876.0620729720413</v>
      </c>
      <c r="P23" s="174">
        <f>P20*10^6*Legend!$B$94*10^-3</f>
        <v>10537.898299023796</v>
      </c>
      <c r="Q23" s="174">
        <f>Q20*10^6*Legend!$B$94*10^-3</f>
        <v>12973.863826216486</v>
      </c>
      <c r="R23" s="174">
        <f>R20*10^6*Legend!$B$94*10^-3</f>
        <v>35651.539420244444</v>
      </c>
      <c r="S23" s="174">
        <f>S20*10^6*Legend!$B$94*10^-3</f>
        <v>38361.625314907687</v>
      </c>
      <c r="T23" s="174">
        <f>T20*10^6*Legend!$B$94*10^-3</f>
        <v>14712.314536260936</v>
      </c>
      <c r="U23" s="174">
        <f>U20*10^6*Legend!$B$94*10^-3</f>
        <v>76924.888156346336</v>
      </c>
      <c r="V23" s="174">
        <f>V20*10^6*Legend!$B$94*10^-3</f>
        <v>32229.091887280389</v>
      </c>
      <c r="W23" s="174">
        <f>W20*10^6*Legend!$B$94*10^-3</f>
        <v>9182.7737747715582</v>
      </c>
      <c r="X23" s="174">
        <f>X20*10^6*Legend!$B$94*10^-3</f>
        <v>12473.948405615174</v>
      </c>
      <c r="Y23" s="174">
        <f>Y20*10^6*Legend!$B$94*10^-3</f>
        <v>90911.231457499278</v>
      </c>
      <c r="Z23" s="174">
        <f>Z20*10^6*Legend!$B$94*10^-3</f>
        <v>6606.4295146641707</v>
      </c>
      <c r="AA23" s="174">
        <f>AA20*10^6*Legend!$B$94*10^-3</f>
        <v>251.30825345169322</v>
      </c>
      <c r="AB23" s="174">
        <f>AB20*10^6*Legend!$B$94*10^-3</f>
        <v>31210.688998443467</v>
      </c>
      <c r="AC23" s="174">
        <f>AC20*10^6*Legend!$B$94*10^-3</f>
        <v>31170.832579881517</v>
      </c>
      <c r="AD23" s="174">
        <f>AD20*10^6*Legend!$B$94*10^-3</f>
        <v>172487.75552071127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3F601-4751-4D42-A295-169009CE316A}">
  <sheetPr>
    <tabColor theme="5" tint="0.39997558519241921"/>
  </sheetPr>
  <dimension ref="A2:F22"/>
  <sheetViews>
    <sheetView workbookViewId="0">
      <selection activeCell="A10" sqref="A10"/>
    </sheetView>
  </sheetViews>
  <sheetFormatPr defaultRowHeight="15.6"/>
  <cols>
    <col min="1" max="1" width="33.69921875" bestFit="1" customWidth="1"/>
    <col min="2" max="2" width="33.69921875" customWidth="1"/>
    <col min="3" max="3" width="18.5" bestFit="1" customWidth="1"/>
    <col min="4" max="4" width="13.8984375" bestFit="1" customWidth="1"/>
    <col min="6" max="6" width="19.8984375" bestFit="1" customWidth="1"/>
  </cols>
  <sheetData>
    <row r="2" spans="1:6">
      <c r="A2" s="175" t="s">
        <v>928</v>
      </c>
      <c r="C2" t="s">
        <v>919</v>
      </c>
      <c r="D2" t="s">
        <v>928</v>
      </c>
    </row>
    <row r="3" spans="1:6">
      <c r="C3" t="s">
        <v>1830</v>
      </c>
      <c r="D3" t="s">
        <v>1831</v>
      </c>
    </row>
    <row r="4" spans="1:6">
      <c r="A4" t="s">
        <v>1832</v>
      </c>
      <c r="C4" s="173">
        <v>160000</v>
      </c>
      <c r="D4" s="173">
        <f>6*10^3</f>
        <v>6000</v>
      </c>
      <c r="F4" s="173"/>
    </row>
    <row r="5" spans="1:6">
      <c r="A5" t="s">
        <v>1833</v>
      </c>
      <c r="C5" s="173">
        <v>100000</v>
      </c>
      <c r="D5" s="173">
        <f>3*10^3</f>
        <v>3000</v>
      </c>
    </row>
    <row r="6" spans="1:6">
      <c r="A6" t="s">
        <v>1834</v>
      </c>
      <c r="C6" s="173">
        <v>160000</v>
      </c>
      <c r="D6">
        <f>10*10^3</f>
        <v>10000</v>
      </c>
    </row>
    <row r="8" spans="1:6">
      <c r="A8" s="175" t="s">
        <v>1835</v>
      </c>
      <c r="B8" s="175"/>
      <c r="C8" t="s">
        <v>1836</v>
      </c>
    </row>
    <row r="9" spans="1:6">
      <c r="A9" s="175"/>
      <c r="B9" s="175"/>
      <c r="C9" t="s">
        <v>1837</v>
      </c>
    </row>
    <row r="10" spans="1:6">
      <c r="A10" t="s">
        <v>1838</v>
      </c>
      <c r="C10">
        <v>1</v>
      </c>
    </row>
    <row r="14" spans="1:6">
      <c r="A14" s="175" t="s">
        <v>1839</v>
      </c>
      <c r="B14" s="175"/>
      <c r="C14" t="s">
        <v>1836</v>
      </c>
    </row>
    <row r="15" spans="1:6">
      <c r="A15" s="175"/>
      <c r="B15" s="175"/>
      <c r="C15" t="s">
        <v>1840</v>
      </c>
    </row>
    <row r="16" spans="1:6">
      <c r="A16" t="s">
        <v>1841</v>
      </c>
      <c r="B16" t="s">
        <v>1842</v>
      </c>
      <c r="C16">
        <v>15</v>
      </c>
    </row>
    <row r="17" spans="1:4">
      <c r="A17" t="s">
        <v>1843</v>
      </c>
      <c r="B17" t="s">
        <v>1842</v>
      </c>
      <c r="C17">
        <v>40</v>
      </c>
    </row>
    <row r="18" spans="1:4">
      <c r="C18" t="s">
        <v>1844</v>
      </c>
    </row>
    <row r="19" spans="1:4">
      <c r="A19" t="s">
        <v>1841</v>
      </c>
      <c r="B19" t="s">
        <v>1845</v>
      </c>
      <c r="C19" s="401">
        <v>0.01</v>
      </c>
      <c r="D19" s="174"/>
    </row>
    <row r="20" spans="1:4">
      <c r="A20" t="s">
        <v>1843</v>
      </c>
      <c r="B20" t="s">
        <v>1845</v>
      </c>
      <c r="C20" s="401">
        <v>0.01</v>
      </c>
    </row>
    <row r="21" spans="1:4">
      <c r="C21" t="s">
        <v>1846</v>
      </c>
    </row>
    <row r="22" spans="1:4">
      <c r="B22" t="s">
        <v>1847</v>
      </c>
      <c r="C22">
        <v>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2A51-A117-4B00-9E04-69BB15742AAE}">
  <sheetPr>
    <tabColor theme="5" tint="0.39997558519241921"/>
  </sheetPr>
  <dimension ref="A1:S15"/>
  <sheetViews>
    <sheetView workbookViewId="0">
      <selection activeCell="E6" sqref="E6"/>
    </sheetView>
  </sheetViews>
  <sheetFormatPr defaultRowHeight="15.6"/>
  <cols>
    <col min="1" max="1" width="33" customWidth="1"/>
    <col min="2" max="2" width="24" bestFit="1" customWidth="1"/>
    <col min="3" max="3" width="9.09765625" bestFit="1" customWidth="1"/>
    <col min="4" max="4" width="19.19921875" bestFit="1" customWidth="1"/>
    <col min="5" max="5" width="5.59765625" bestFit="1" customWidth="1"/>
    <col min="6" max="6" width="16.69921875" bestFit="1" customWidth="1"/>
    <col min="7" max="7" width="5.59765625" bestFit="1" customWidth="1"/>
    <col min="8" max="8" width="12.09765625" bestFit="1" customWidth="1"/>
  </cols>
  <sheetData>
    <row r="1" spans="1:19">
      <c r="A1" t="s">
        <v>1848</v>
      </c>
    </row>
    <row r="4" spans="1:19" ht="15.75" customHeight="1">
      <c r="A4" s="422"/>
      <c r="B4" s="596" t="s">
        <v>1849</v>
      </c>
      <c r="C4" s="596"/>
      <c r="D4" s="596" t="s">
        <v>1850</v>
      </c>
      <c r="E4" s="596"/>
      <c r="F4" s="596" t="s">
        <v>1851</v>
      </c>
      <c r="G4" s="596"/>
      <c r="H4" t="s">
        <v>1852</v>
      </c>
      <c r="S4" s="423"/>
    </row>
    <row r="5" spans="1:19">
      <c r="A5" t="s">
        <v>1853</v>
      </c>
      <c r="B5">
        <v>2010</v>
      </c>
      <c r="C5">
        <v>2050</v>
      </c>
      <c r="D5">
        <v>2010</v>
      </c>
      <c r="E5">
        <v>2050</v>
      </c>
      <c r="F5">
        <v>2010</v>
      </c>
      <c r="G5">
        <v>2050</v>
      </c>
    </row>
    <row r="6" spans="1:19">
      <c r="A6" t="s">
        <v>1854</v>
      </c>
      <c r="B6" s="173">
        <v>33</v>
      </c>
      <c r="C6" s="173">
        <v>33</v>
      </c>
      <c r="D6" s="173">
        <v>0.3</v>
      </c>
      <c r="E6" s="173">
        <v>0.3</v>
      </c>
      <c r="F6" s="173">
        <v>0.77</v>
      </c>
      <c r="G6" s="173">
        <v>0.8</v>
      </c>
      <c r="H6">
        <v>15</v>
      </c>
    </row>
    <row r="7" spans="1:19" ht="15.75" customHeight="1">
      <c r="A7" t="s">
        <v>1855</v>
      </c>
      <c r="B7" s="173">
        <v>44</v>
      </c>
      <c r="C7" s="173">
        <v>44</v>
      </c>
      <c r="D7" s="173">
        <v>0.4</v>
      </c>
      <c r="E7" s="173">
        <v>0.4</v>
      </c>
      <c r="F7" s="173">
        <v>0.8</v>
      </c>
      <c r="G7" s="173">
        <v>0.82</v>
      </c>
      <c r="H7">
        <v>15</v>
      </c>
    </row>
    <row r="8" spans="1:19" ht="15.75" customHeight="1">
      <c r="A8" t="s">
        <v>1856</v>
      </c>
      <c r="B8" s="173">
        <v>363</v>
      </c>
      <c r="C8" s="173">
        <v>363</v>
      </c>
      <c r="D8" s="173">
        <v>3.1</v>
      </c>
      <c r="E8" s="173">
        <v>3.1</v>
      </c>
      <c r="F8" s="173">
        <v>2.96</v>
      </c>
      <c r="G8" s="173">
        <v>3.45</v>
      </c>
      <c r="H8">
        <v>15</v>
      </c>
    </row>
    <row r="9" spans="1:19" ht="15.75" customHeight="1">
      <c r="A9" t="s">
        <v>1857</v>
      </c>
      <c r="B9" s="173">
        <v>30</v>
      </c>
      <c r="C9" s="173">
        <v>30</v>
      </c>
      <c r="D9" s="173">
        <v>0.3</v>
      </c>
      <c r="E9" s="173">
        <v>0.3</v>
      </c>
      <c r="F9" s="173">
        <v>0.84</v>
      </c>
      <c r="G9" s="173">
        <v>0.85</v>
      </c>
      <c r="H9">
        <v>15</v>
      </c>
    </row>
    <row r="10" spans="1:19">
      <c r="A10" t="s">
        <v>1858</v>
      </c>
      <c r="B10" s="173">
        <v>2750</v>
      </c>
      <c r="C10" s="173">
        <v>2750</v>
      </c>
      <c r="D10" s="173">
        <v>0.2</v>
      </c>
      <c r="E10" s="173">
        <v>0.2</v>
      </c>
      <c r="F10" s="173"/>
      <c r="G10" s="173"/>
      <c r="H10">
        <v>15</v>
      </c>
    </row>
    <row r="11" spans="1:19">
      <c r="A11" t="s">
        <v>1859</v>
      </c>
      <c r="B11" s="173">
        <v>75</v>
      </c>
      <c r="C11" s="173">
        <v>75</v>
      </c>
      <c r="D11" s="173">
        <v>0.6</v>
      </c>
      <c r="E11" s="173">
        <v>0.6</v>
      </c>
      <c r="F11" s="173">
        <v>0.74</v>
      </c>
      <c r="G11" s="173">
        <v>0.75</v>
      </c>
      <c r="H11">
        <v>15</v>
      </c>
    </row>
    <row r="12" spans="1:19">
      <c r="A12" t="s">
        <v>1860</v>
      </c>
      <c r="B12" s="173">
        <v>73</v>
      </c>
      <c r="C12" s="173">
        <v>73</v>
      </c>
      <c r="D12" s="173">
        <v>0.6</v>
      </c>
      <c r="E12" s="173">
        <v>0.6</v>
      </c>
      <c r="F12" s="173">
        <v>0.59</v>
      </c>
      <c r="G12" s="173">
        <v>0.6</v>
      </c>
      <c r="H12">
        <v>15</v>
      </c>
    </row>
    <row r="13" spans="1:19">
      <c r="A13" t="s">
        <v>1861</v>
      </c>
      <c r="B13" s="173">
        <v>58</v>
      </c>
      <c r="C13" s="173">
        <v>58</v>
      </c>
      <c r="D13" s="173">
        <v>0.5</v>
      </c>
      <c r="E13" s="173">
        <v>0.5</v>
      </c>
      <c r="F13" s="173">
        <v>0.66</v>
      </c>
      <c r="G13" s="173">
        <v>0.68</v>
      </c>
      <c r="H13">
        <v>15</v>
      </c>
    </row>
    <row r="14" spans="1:19" ht="15.75" customHeight="1">
      <c r="A14" t="s">
        <v>1862</v>
      </c>
      <c r="B14" s="173">
        <v>58</v>
      </c>
      <c r="C14" s="173">
        <v>58</v>
      </c>
      <c r="D14" s="173">
        <v>0.5</v>
      </c>
      <c r="E14" s="173">
        <v>0.5</v>
      </c>
      <c r="F14" s="173">
        <v>0.66</v>
      </c>
      <c r="G14" s="173">
        <v>0.68</v>
      </c>
      <c r="H14">
        <v>15</v>
      </c>
    </row>
    <row r="15" spans="1:19">
      <c r="A15" t="s">
        <v>1863</v>
      </c>
      <c r="B15" s="173">
        <v>30</v>
      </c>
      <c r="C15" s="173">
        <v>30</v>
      </c>
      <c r="D15" s="173">
        <v>0.3</v>
      </c>
      <c r="E15" s="173">
        <v>0.3</v>
      </c>
      <c r="F15" s="173">
        <v>0.66</v>
      </c>
      <c r="G15" s="173">
        <v>0.72</v>
      </c>
      <c r="H15">
        <v>15</v>
      </c>
    </row>
  </sheetData>
  <mergeCells count="3">
    <mergeCell ref="B4:C4"/>
    <mergeCell ref="D4:E4"/>
    <mergeCell ref="F4:G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1DBF-5D08-4FC7-BFDE-706B321807AD}">
  <sheetPr>
    <tabColor theme="5" tint="0.39997558519241921"/>
  </sheetPr>
  <dimension ref="A1:C12"/>
  <sheetViews>
    <sheetView workbookViewId="0">
      <selection activeCell="D45" sqref="D45"/>
    </sheetView>
  </sheetViews>
  <sheetFormatPr defaultRowHeight="15.6"/>
  <cols>
    <col min="1" max="1" width="26.5" bestFit="1" customWidth="1"/>
    <col min="2" max="2" width="16.69921875" bestFit="1" customWidth="1"/>
    <col min="3" max="3" width="7.8984375" bestFit="1" customWidth="1"/>
  </cols>
  <sheetData>
    <row r="1" spans="1:3">
      <c r="A1" t="s">
        <v>333</v>
      </c>
    </row>
    <row r="3" spans="1:3">
      <c r="A3" s="227"/>
      <c r="B3" s="358"/>
      <c r="C3" s="228" t="s">
        <v>1864</v>
      </c>
    </row>
    <row r="4" spans="1:3">
      <c r="A4" s="215" t="s">
        <v>949</v>
      </c>
      <c r="B4" t="s">
        <v>1865</v>
      </c>
      <c r="C4" s="218">
        <v>4360</v>
      </c>
    </row>
    <row r="5" spans="1:3">
      <c r="A5" s="215" t="s">
        <v>948</v>
      </c>
      <c r="B5" t="s">
        <v>1866</v>
      </c>
      <c r="C5" s="218">
        <v>2.83</v>
      </c>
    </row>
    <row r="6" spans="1:3">
      <c r="A6" s="215" t="s">
        <v>948</v>
      </c>
      <c r="B6" t="s">
        <v>1867</v>
      </c>
      <c r="C6" s="218">
        <f>C4*C5</f>
        <v>12338.800000000001</v>
      </c>
    </row>
    <row r="7" spans="1:3">
      <c r="A7" s="215" t="s">
        <v>861</v>
      </c>
      <c r="B7" t="s">
        <v>698</v>
      </c>
      <c r="C7" s="218">
        <v>30</v>
      </c>
    </row>
    <row r="8" spans="1:3">
      <c r="A8" s="215" t="s">
        <v>896</v>
      </c>
      <c r="B8" t="s">
        <v>1868</v>
      </c>
      <c r="C8" s="218">
        <v>147.9</v>
      </c>
    </row>
    <row r="9" spans="1:3">
      <c r="A9" s="215" t="s">
        <v>953</v>
      </c>
      <c r="B9" t="s">
        <v>1869</v>
      </c>
      <c r="C9" s="441">
        <v>0.03</v>
      </c>
    </row>
    <row r="10" spans="1:3">
      <c r="A10" s="215" t="s">
        <v>954</v>
      </c>
      <c r="C10" s="441"/>
    </row>
    <row r="11" spans="1:3">
      <c r="A11" s="215" t="s">
        <v>956</v>
      </c>
      <c r="B11" t="s">
        <v>1870</v>
      </c>
      <c r="C11" s="218">
        <v>6660</v>
      </c>
    </row>
    <row r="12" spans="1:3">
      <c r="A12" s="229" t="s">
        <v>957</v>
      </c>
      <c r="B12" s="236" t="s">
        <v>1871</v>
      </c>
      <c r="C12" s="230">
        <v>347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46C3B-D31B-4F35-B950-18063C11E1F3}">
  <sheetPr>
    <tabColor theme="5" tint="0.39997558519241921"/>
  </sheetPr>
  <dimension ref="A2:C22"/>
  <sheetViews>
    <sheetView workbookViewId="0">
      <selection activeCell="D45" sqref="D45"/>
    </sheetView>
  </sheetViews>
  <sheetFormatPr defaultRowHeight="15.6"/>
  <cols>
    <col min="1" max="1" width="38" bestFit="1" customWidth="1"/>
    <col min="3" max="3" width="22.5" bestFit="1" customWidth="1"/>
  </cols>
  <sheetData>
    <row r="2" spans="1:3">
      <c r="C2" t="s">
        <v>959</v>
      </c>
    </row>
    <row r="3" spans="1:3">
      <c r="C3" t="s">
        <v>960</v>
      </c>
    </row>
    <row r="4" spans="1:3">
      <c r="A4" t="s">
        <v>961</v>
      </c>
      <c r="B4" t="s">
        <v>939</v>
      </c>
      <c r="C4">
        <v>50.8</v>
      </c>
    </row>
    <row r="5" spans="1:3">
      <c r="A5" t="s">
        <v>962</v>
      </c>
      <c r="B5" t="s">
        <v>939</v>
      </c>
      <c r="C5">
        <v>50</v>
      </c>
    </row>
    <row r="6" spans="1:3">
      <c r="A6" t="s">
        <v>956</v>
      </c>
      <c r="B6" t="s">
        <v>1872</v>
      </c>
      <c r="C6">
        <v>30</v>
      </c>
    </row>
    <row r="7" spans="1:3">
      <c r="A7" t="s">
        <v>964</v>
      </c>
      <c r="B7" t="s">
        <v>1873</v>
      </c>
      <c r="C7">
        <v>1.4</v>
      </c>
    </row>
    <row r="8" spans="1:3">
      <c r="A8" t="s">
        <v>965</v>
      </c>
    </row>
    <row r="9" spans="1:3">
      <c r="A9" t="s">
        <v>861</v>
      </c>
      <c r="B9" t="s">
        <v>698</v>
      </c>
      <c r="C9">
        <v>10</v>
      </c>
    </row>
    <row r="10" spans="1:3">
      <c r="A10" t="s">
        <v>896</v>
      </c>
      <c r="B10" t="s">
        <v>1874</v>
      </c>
      <c r="C10">
        <v>9.4</v>
      </c>
    </row>
    <row r="11" spans="1:3">
      <c r="A11" t="s">
        <v>967</v>
      </c>
      <c r="B11" t="s">
        <v>1875</v>
      </c>
      <c r="C11">
        <f>1.62+0.313+0.1+0.01*C10</f>
        <v>2.1269999999999998</v>
      </c>
    </row>
    <row r="12" spans="1:3">
      <c r="A12" t="s">
        <v>930</v>
      </c>
      <c r="B12" t="s">
        <v>1875</v>
      </c>
      <c r="C12">
        <f>15*40000*10^-6*(1+0.2*2+0.5)+(0.1+0.15+0.04)*C10</f>
        <v>3.8659999999999997</v>
      </c>
    </row>
    <row r="19" spans="3:3">
      <c r="C19" s="173"/>
    </row>
    <row r="21" spans="3:3">
      <c r="C21" s="174"/>
    </row>
    <row r="22" spans="3:3">
      <c r="C22" s="17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79B01-F6A3-48AD-99EC-67FCCA0D9CEC}">
  <sheetPr>
    <tabColor theme="5" tint="0.39997558519241921"/>
  </sheetPr>
  <dimension ref="A1:D15"/>
  <sheetViews>
    <sheetView workbookViewId="0">
      <selection activeCell="D45" sqref="D45"/>
    </sheetView>
  </sheetViews>
  <sheetFormatPr defaultRowHeight="15.6"/>
  <cols>
    <col min="1" max="1" width="20" bestFit="1" customWidth="1"/>
    <col min="2" max="2" width="16.19921875" bestFit="1" customWidth="1"/>
    <col min="3" max="3" width="14.69921875" bestFit="1" customWidth="1"/>
    <col min="4" max="4" width="12.59765625" bestFit="1" customWidth="1"/>
    <col min="7" max="7" width="20" bestFit="1" customWidth="1"/>
    <col min="8" max="8" width="33.19921875" bestFit="1" customWidth="1"/>
    <col min="10" max="10" width="10.09765625" bestFit="1" customWidth="1"/>
  </cols>
  <sheetData>
    <row r="1" spans="1:4">
      <c r="A1" t="s">
        <v>1876</v>
      </c>
    </row>
    <row r="2" spans="1:4">
      <c r="A2" t="s">
        <v>760</v>
      </c>
      <c r="B2" t="s">
        <v>1877</v>
      </c>
      <c r="C2" s="173">
        <v>40</v>
      </c>
    </row>
    <row r="3" spans="1:4">
      <c r="A3" t="s">
        <v>964</v>
      </c>
      <c r="B3" t="s">
        <v>1878</v>
      </c>
      <c r="C3" s="173">
        <v>1839.2</v>
      </c>
    </row>
    <row r="4" spans="1:4">
      <c r="A4" t="s">
        <v>956</v>
      </c>
      <c r="B4" t="s">
        <v>1879</v>
      </c>
      <c r="C4" s="173">
        <f>1630.69+47823.5</f>
        <v>49454.19</v>
      </c>
    </row>
    <row r="5" spans="1:4">
      <c r="A5" t="s">
        <v>1880</v>
      </c>
      <c r="B5" t="s">
        <v>1881</v>
      </c>
      <c r="C5" s="173">
        <v>9963.14</v>
      </c>
    </row>
    <row r="6" spans="1:4">
      <c r="A6" t="s">
        <v>1882</v>
      </c>
      <c r="B6" t="s">
        <v>1881</v>
      </c>
      <c r="C6" s="173">
        <v>2779.64</v>
      </c>
    </row>
    <row r="7" spans="1:4">
      <c r="C7" s="173"/>
    </row>
    <row r="8" spans="1:4">
      <c r="A8" t="s">
        <v>1883</v>
      </c>
    </row>
    <row r="9" spans="1:4">
      <c r="A9" t="s">
        <v>760</v>
      </c>
      <c r="B9" t="s">
        <v>1877</v>
      </c>
      <c r="C9" s="173">
        <v>40</v>
      </c>
    </row>
    <row r="10" spans="1:4">
      <c r="A10" t="s">
        <v>964</v>
      </c>
      <c r="B10" t="s">
        <v>1878</v>
      </c>
      <c r="C10" s="173">
        <v>1839.2</v>
      </c>
    </row>
    <row r="11" spans="1:4">
      <c r="A11" t="s">
        <v>956</v>
      </c>
      <c r="B11" t="s">
        <v>1879</v>
      </c>
      <c r="C11" s="173">
        <v>1554.55</v>
      </c>
    </row>
    <row r="12" spans="1:4">
      <c r="A12" t="s">
        <v>1880</v>
      </c>
      <c r="B12" t="s">
        <v>1881</v>
      </c>
      <c r="C12" s="173">
        <v>9963.14</v>
      </c>
    </row>
    <row r="13" spans="1:4">
      <c r="C13" s="173"/>
      <c r="D13" s="174"/>
    </row>
    <row r="14" spans="1:4">
      <c r="C14" s="173"/>
    </row>
    <row r="15" spans="1:4">
      <c r="C15" s="209"/>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4F525-01CA-4EDF-9A55-8604601D7A06}">
  <sheetPr>
    <tabColor theme="5" tint="0.39997558519241921"/>
  </sheetPr>
  <dimension ref="A2:F23"/>
  <sheetViews>
    <sheetView workbookViewId="0">
      <selection activeCell="D45" sqref="D45"/>
    </sheetView>
  </sheetViews>
  <sheetFormatPr defaultRowHeight="15.6"/>
  <cols>
    <col min="1" max="1" width="20" bestFit="1" customWidth="1"/>
    <col min="3" max="3" width="15" bestFit="1" customWidth="1"/>
    <col min="5" max="6" width="12.59765625" bestFit="1" customWidth="1"/>
  </cols>
  <sheetData>
    <row r="2" spans="1:6">
      <c r="E2" t="s">
        <v>945</v>
      </c>
    </row>
    <row r="3" spans="1:6">
      <c r="A3" t="s">
        <v>1884</v>
      </c>
      <c r="C3" t="s">
        <v>1885</v>
      </c>
      <c r="D3">
        <v>500</v>
      </c>
      <c r="E3" s="173"/>
    </row>
    <row r="4" spans="1:6">
      <c r="A4" t="s">
        <v>1886</v>
      </c>
      <c r="C4" t="s">
        <v>1887</v>
      </c>
      <c r="D4">
        <v>0.55000000000000004</v>
      </c>
    </row>
    <row r="5" spans="1:6">
      <c r="A5" t="s">
        <v>1888</v>
      </c>
      <c r="C5" t="s">
        <v>1887</v>
      </c>
      <c r="D5">
        <v>0.45</v>
      </c>
    </row>
    <row r="6" spans="1:6">
      <c r="A6" t="s">
        <v>1889</v>
      </c>
      <c r="B6" t="s">
        <v>1890</v>
      </c>
      <c r="C6" t="s">
        <v>650</v>
      </c>
      <c r="D6">
        <v>0.99080000000000001</v>
      </c>
    </row>
    <row r="7" spans="1:6">
      <c r="B7" t="s">
        <v>1891</v>
      </c>
      <c r="C7" t="s">
        <v>650</v>
      </c>
      <c r="D7">
        <v>0.99970000000000003</v>
      </c>
    </row>
    <row r="8" spans="1:6">
      <c r="B8" t="s">
        <v>1892</v>
      </c>
      <c r="C8" t="s">
        <v>650</v>
      </c>
      <c r="D8">
        <v>0.90290000000000004</v>
      </c>
    </row>
    <row r="9" spans="1:6">
      <c r="A9" t="s">
        <v>982</v>
      </c>
      <c r="B9" t="s">
        <v>1890</v>
      </c>
      <c r="C9" t="s">
        <v>1885</v>
      </c>
      <c r="D9" s="173">
        <f>D$3*D$4*D6</f>
        <v>272.47000000000003</v>
      </c>
      <c r="E9" s="174">
        <f>D9*24*365*Legend!B86*10^-6</f>
        <v>85.926139199999994</v>
      </c>
      <c r="F9" s="174"/>
    </row>
    <row r="10" spans="1:6">
      <c r="B10" t="s">
        <v>1891</v>
      </c>
      <c r="D10" s="173">
        <f t="shared" ref="D10:D11" si="0">D$3*D$4*D7</f>
        <v>274.91750000000002</v>
      </c>
    </row>
    <row r="11" spans="1:6">
      <c r="B11" t="s">
        <v>1892</v>
      </c>
      <c r="D11" s="173">
        <f t="shared" si="0"/>
        <v>248.29750000000001</v>
      </c>
    </row>
    <row r="12" spans="1:6">
      <c r="A12" t="s">
        <v>956</v>
      </c>
      <c r="C12" t="s">
        <v>1893</v>
      </c>
    </row>
    <row r="13" spans="1:6">
      <c r="B13" t="s">
        <v>1890</v>
      </c>
      <c r="D13">
        <v>0.27</v>
      </c>
    </row>
    <row r="14" spans="1:6">
      <c r="B14" t="s">
        <v>1891</v>
      </c>
      <c r="D14">
        <v>0.2</v>
      </c>
    </row>
    <row r="15" spans="1:6">
      <c r="B15" t="s">
        <v>1892</v>
      </c>
      <c r="D15">
        <v>0.24</v>
      </c>
    </row>
    <row r="16" spans="1:6">
      <c r="A16" t="s">
        <v>964</v>
      </c>
      <c r="C16" t="s">
        <v>1893</v>
      </c>
    </row>
    <row r="17" spans="1:4">
      <c r="B17" t="s">
        <v>1890</v>
      </c>
      <c r="D17">
        <v>0</v>
      </c>
    </row>
    <row r="18" spans="1:4">
      <c r="B18" t="s">
        <v>1891</v>
      </c>
      <c r="D18">
        <v>0.67</v>
      </c>
    </row>
    <row r="19" spans="1:4">
      <c r="B19" t="s">
        <v>1892</v>
      </c>
      <c r="D19">
        <v>0</v>
      </c>
    </row>
    <row r="20" spans="1:4">
      <c r="A20" t="s">
        <v>896</v>
      </c>
    </row>
    <row r="21" spans="1:4">
      <c r="B21" t="s">
        <v>1890</v>
      </c>
      <c r="C21" t="s">
        <v>1894</v>
      </c>
      <c r="D21">
        <v>1.3234999999999999</v>
      </c>
    </row>
    <row r="22" spans="1:4">
      <c r="B22" t="s">
        <v>1891</v>
      </c>
      <c r="C22" t="s">
        <v>1894</v>
      </c>
      <c r="D22">
        <v>1.0573999999999999</v>
      </c>
    </row>
    <row r="23" spans="1:4">
      <c r="B23" t="s">
        <v>1892</v>
      </c>
      <c r="C23" t="s">
        <v>1894</v>
      </c>
      <c r="D23">
        <v>1.4075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54E8-85F1-4C43-90F3-75223F5EFF50}">
  <sheetPr>
    <tabColor theme="5" tint="0.39997558519241921"/>
  </sheetPr>
  <dimension ref="A2:F7"/>
  <sheetViews>
    <sheetView workbookViewId="0">
      <selection activeCell="D45" sqref="D45"/>
    </sheetView>
  </sheetViews>
  <sheetFormatPr defaultRowHeight="15.6"/>
  <cols>
    <col min="2" max="3" width="13.69921875" bestFit="1" customWidth="1"/>
    <col min="6" max="6" width="13.69921875" bestFit="1" customWidth="1"/>
  </cols>
  <sheetData>
    <row r="2" spans="1:6">
      <c r="A2" t="s">
        <v>896</v>
      </c>
      <c r="B2" t="s">
        <v>1895</v>
      </c>
      <c r="C2" t="s">
        <v>1895</v>
      </c>
      <c r="D2" t="s">
        <v>1798</v>
      </c>
      <c r="E2" t="s">
        <v>972</v>
      </c>
    </row>
    <row r="3" spans="1:6">
      <c r="A3" t="s">
        <v>1896</v>
      </c>
      <c r="B3" s="173">
        <f>5000</f>
        <v>5000</v>
      </c>
      <c r="C3" s="173">
        <f>7500</f>
        <v>7500</v>
      </c>
      <c r="D3">
        <v>1</v>
      </c>
      <c r="E3">
        <f>D3*24*365</f>
        <v>8760</v>
      </c>
      <c r="F3" s="174"/>
    </row>
    <row r="4" spans="1:6">
      <c r="A4" t="s">
        <v>1897</v>
      </c>
      <c r="B4" s="173">
        <v>1950</v>
      </c>
      <c r="C4" s="173">
        <v>2600</v>
      </c>
      <c r="D4">
        <v>1</v>
      </c>
      <c r="E4">
        <f>D4*24*365</f>
        <v>8760</v>
      </c>
    </row>
    <row r="6" spans="1:6">
      <c r="A6" t="s">
        <v>861</v>
      </c>
      <c r="B6">
        <v>20</v>
      </c>
      <c r="C6" t="s">
        <v>698</v>
      </c>
      <c r="E6" s="174"/>
      <c r="F6" s="173"/>
    </row>
    <row r="7" spans="1:6">
      <c r="B7" s="399"/>
      <c r="C7"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0D2BA-DAA6-46FF-B985-3553D40E948E}">
  <sheetPr>
    <tabColor theme="5" tint="0.39997558519241921"/>
  </sheetPr>
  <dimension ref="A1:L102"/>
  <sheetViews>
    <sheetView topLeftCell="A52" workbookViewId="0">
      <selection activeCell="D53" sqref="D53:G55"/>
    </sheetView>
  </sheetViews>
  <sheetFormatPr defaultRowHeight="15.6"/>
  <cols>
    <col min="1" max="1" width="71.8984375" bestFit="1" customWidth="1"/>
    <col min="2" max="2" width="27.59765625" bestFit="1" customWidth="1"/>
    <col min="3" max="3" width="13.09765625" bestFit="1" customWidth="1"/>
    <col min="4" max="4" width="15.69921875" bestFit="1" customWidth="1"/>
    <col min="5" max="5" width="13.19921875" bestFit="1" customWidth="1"/>
    <col min="6" max="6" width="12.3984375" bestFit="1" customWidth="1"/>
    <col min="7" max="7" width="10.3984375" bestFit="1" customWidth="1"/>
    <col min="8" max="9" width="11.3984375" bestFit="1" customWidth="1"/>
    <col min="10" max="10" width="12.3984375" bestFit="1" customWidth="1"/>
    <col min="11" max="11" width="30.19921875" bestFit="1" customWidth="1"/>
  </cols>
  <sheetData>
    <row r="1" spans="1:9">
      <c r="A1" s="175" t="s">
        <v>1898</v>
      </c>
      <c r="I1" s="461" t="s">
        <v>1899</v>
      </c>
    </row>
    <row r="2" spans="1:9">
      <c r="C2" t="s">
        <v>981</v>
      </c>
      <c r="D2" t="s">
        <v>982</v>
      </c>
      <c r="E2" t="s">
        <v>983</v>
      </c>
    </row>
    <row r="3" spans="1:9">
      <c r="C3" t="s">
        <v>1900</v>
      </c>
      <c r="D3" t="s">
        <v>1900</v>
      </c>
      <c r="E3" t="s">
        <v>1900</v>
      </c>
    </row>
    <row r="4" spans="1:9">
      <c r="A4" t="s">
        <v>515</v>
      </c>
      <c r="B4" t="s">
        <v>516</v>
      </c>
      <c r="C4" s="173">
        <v>70800</v>
      </c>
      <c r="D4">
        <v>3</v>
      </c>
      <c r="E4">
        <v>0.6</v>
      </c>
    </row>
    <row r="5" spans="1:9">
      <c r="A5" t="s">
        <v>517</v>
      </c>
      <c r="B5" t="s">
        <v>518</v>
      </c>
      <c r="C5" s="173">
        <v>70800</v>
      </c>
      <c r="D5">
        <v>3</v>
      </c>
      <c r="E5">
        <v>0.6</v>
      </c>
    </row>
    <row r="6" spans="1:9">
      <c r="A6" t="s">
        <v>519</v>
      </c>
      <c r="B6" t="s">
        <v>520</v>
      </c>
      <c r="C6" s="173">
        <v>79600</v>
      </c>
      <c r="D6">
        <v>3</v>
      </c>
      <c r="E6">
        <v>0.6</v>
      </c>
    </row>
    <row r="7" spans="1:9">
      <c r="A7" t="s">
        <v>521</v>
      </c>
      <c r="B7" t="s">
        <v>522</v>
      </c>
      <c r="C7" s="173">
        <v>260000</v>
      </c>
    </row>
    <row r="8" spans="1:9">
      <c r="A8" t="s">
        <v>523</v>
      </c>
      <c r="B8" t="s">
        <v>524</v>
      </c>
      <c r="C8" s="173">
        <v>54600</v>
      </c>
      <c r="D8">
        <v>1</v>
      </c>
      <c r="E8">
        <v>0.1</v>
      </c>
    </row>
    <row r="9" spans="1:9">
      <c r="A9" t="s">
        <v>525</v>
      </c>
      <c r="B9" t="s">
        <v>526</v>
      </c>
      <c r="C9" s="173">
        <v>112000</v>
      </c>
      <c r="D9">
        <v>30</v>
      </c>
      <c r="E9">
        <v>4</v>
      </c>
    </row>
    <row r="10" spans="1:9">
      <c r="A10" t="s">
        <v>527</v>
      </c>
      <c r="B10" t="s">
        <v>528</v>
      </c>
      <c r="C10" s="173">
        <f>AVERAGE(98300,94600,96100)</f>
        <v>96333.333333333328</v>
      </c>
      <c r="D10">
        <v>1</v>
      </c>
      <c r="E10">
        <v>1.5</v>
      </c>
    </row>
    <row r="11" spans="1:9">
      <c r="A11" t="s">
        <v>529</v>
      </c>
      <c r="B11" t="s">
        <v>530</v>
      </c>
      <c r="C11" s="173">
        <v>101000</v>
      </c>
      <c r="D11">
        <v>1</v>
      </c>
      <c r="E11">
        <v>1.5</v>
      </c>
    </row>
    <row r="12" spans="1:9">
      <c r="A12" t="s">
        <v>531</v>
      </c>
      <c r="B12" t="s">
        <v>532</v>
      </c>
      <c r="C12" s="173">
        <v>44400</v>
      </c>
      <c r="D12">
        <v>1</v>
      </c>
      <c r="E12">
        <v>0.1</v>
      </c>
    </row>
    <row r="13" spans="1:9">
      <c r="A13" t="s">
        <v>533</v>
      </c>
      <c r="B13" t="s">
        <v>534</v>
      </c>
      <c r="C13" s="173">
        <v>107000</v>
      </c>
      <c r="D13">
        <v>1</v>
      </c>
      <c r="E13">
        <v>1.5</v>
      </c>
    </row>
    <row r="14" spans="1:9">
      <c r="A14" t="s">
        <v>535</v>
      </c>
      <c r="B14" t="s">
        <v>536</v>
      </c>
      <c r="C14" s="173">
        <v>74100</v>
      </c>
      <c r="D14">
        <v>3</v>
      </c>
      <c r="E14">
        <v>0.6</v>
      </c>
    </row>
    <row r="15" spans="1:9">
      <c r="A15" t="s">
        <v>537</v>
      </c>
      <c r="B15" t="s">
        <v>538</v>
      </c>
      <c r="C15" s="173"/>
    </row>
    <row r="16" spans="1:9">
      <c r="A16" t="s">
        <v>541</v>
      </c>
      <c r="B16" t="s">
        <v>542</v>
      </c>
      <c r="C16" s="173">
        <v>56100</v>
      </c>
      <c r="D16">
        <v>1</v>
      </c>
      <c r="E16">
        <v>0.1</v>
      </c>
    </row>
    <row r="17" spans="1:5">
      <c r="A17" t="s">
        <v>543</v>
      </c>
      <c r="B17" t="s">
        <v>544</v>
      </c>
      <c r="C17" s="173">
        <v>69300</v>
      </c>
      <c r="D17">
        <v>3</v>
      </c>
      <c r="E17">
        <v>0.6</v>
      </c>
    </row>
    <row r="18" spans="1:5">
      <c r="A18" t="s">
        <v>545</v>
      </c>
      <c r="B18" t="s">
        <v>546</v>
      </c>
      <c r="C18" s="173"/>
    </row>
    <row r="19" spans="1:5">
      <c r="A19" t="s">
        <v>548</v>
      </c>
      <c r="B19" t="s">
        <v>549</v>
      </c>
      <c r="C19" s="173">
        <v>77400</v>
      </c>
      <c r="D19">
        <v>1</v>
      </c>
      <c r="E19">
        <v>0.6</v>
      </c>
    </row>
    <row r="20" spans="1:5">
      <c r="A20" t="s">
        <v>550</v>
      </c>
      <c r="B20" t="s">
        <v>551</v>
      </c>
      <c r="C20" s="173">
        <v>71500</v>
      </c>
      <c r="D20">
        <v>3</v>
      </c>
      <c r="E20">
        <v>0.6</v>
      </c>
    </row>
    <row r="21" spans="1:5">
      <c r="A21" t="s">
        <v>552</v>
      </c>
      <c r="B21" t="s">
        <v>553</v>
      </c>
      <c r="C21" s="173">
        <v>63100</v>
      </c>
      <c r="D21">
        <v>1</v>
      </c>
      <c r="E21">
        <v>0.1</v>
      </c>
    </row>
    <row r="22" spans="1:5">
      <c r="A22" t="s">
        <v>554</v>
      </c>
      <c r="B22" t="s">
        <v>555</v>
      </c>
      <c r="C22" s="173">
        <v>73300</v>
      </c>
      <c r="D22">
        <v>3</v>
      </c>
      <c r="E22">
        <v>0.6</v>
      </c>
    </row>
    <row r="23" spans="1:5">
      <c r="A23" t="s">
        <v>556</v>
      </c>
      <c r="B23" t="s">
        <v>557</v>
      </c>
      <c r="C23" s="173">
        <v>73300</v>
      </c>
      <c r="D23">
        <v>3</v>
      </c>
      <c r="E23">
        <v>0.6</v>
      </c>
    </row>
    <row r="24" spans="1:5">
      <c r="A24" t="s">
        <v>558</v>
      </c>
      <c r="B24" t="s">
        <v>559</v>
      </c>
      <c r="C24" s="335">
        <v>80000</v>
      </c>
      <c r="D24">
        <v>3</v>
      </c>
      <c r="E24">
        <v>0.6</v>
      </c>
    </row>
    <row r="25" spans="1:5">
      <c r="A25" t="s">
        <v>560</v>
      </c>
      <c r="B25" t="s">
        <v>561</v>
      </c>
      <c r="C25" s="173">
        <v>100000</v>
      </c>
      <c r="D25">
        <v>30</v>
      </c>
      <c r="E25">
        <v>4</v>
      </c>
    </row>
    <row r="26" spans="1:5">
      <c r="A26" t="s">
        <v>562</v>
      </c>
      <c r="B26" t="s">
        <v>563</v>
      </c>
      <c r="C26" s="173"/>
    </row>
    <row r="29" spans="1:5" ht="18">
      <c r="A29" s="463" t="s">
        <v>1901</v>
      </c>
    </row>
    <row r="31" spans="1:5">
      <c r="A31" s="175" t="s">
        <v>988</v>
      </c>
    </row>
    <row r="32" spans="1:5" s="400" customFormat="1">
      <c r="A32" s="400" t="s">
        <v>1902</v>
      </c>
    </row>
    <row r="33" spans="1:3">
      <c r="A33" t="s">
        <v>1903</v>
      </c>
      <c r="B33">
        <v>18</v>
      </c>
      <c r="C33" t="s">
        <v>1904</v>
      </c>
    </row>
    <row r="34" spans="1:3">
      <c r="A34" t="s">
        <v>1905</v>
      </c>
      <c r="B34">
        <f>0.67*10^-6</f>
        <v>6.7000000000000004E-7</v>
      </c>
      <c r="C34" t="s">
        <v>1906</v>
      </c>
    </row>
    <row r="35" spans="1:3">
      <c r="A35" s="400" t="s">
        <v>1907</v>
      </c>
    </row>
    <row r="36" spans="1:3">
      <c r="A36" t="s">
        <v>1903</v>
      </c>
      <c r="B36">
        <v>2.5</v>
      </c>
      <c r="C36" t="s">
        <v>1904</v>
      </c>
    </row>
    <row r="37" spans="1:3">
      <c r="A37" t="s">
        <v>1905</v>
      </c>
      <c r="B37">
        <f>0.67*10^-6</f>
        <v>6.7000000000000004E-7</v>
      </c>
      <c r="C37" t="s">
        <v>1906</v>
      </c>
    </row>
    <row r="38" spans="1:3">
      <c r="A38" s="400" t="s">
        <v>1908</v>
      </c>
    </row>
    <row r="39" spans="1:3">
      <c r="A39" s="400" t="s">
        <v>1909</v>
      </c>
      <c r="B39">
        <f>B40*B41*B42</f>
        <v>1.80565E-6</v>
      </c>
      <c r="C39" t="s">
        <v>1910</v>
      </c>
    </row>
    <row r="40" spans="1:3">
      <c r="A40" t="s">
        <v>1911</v>
      </c>
      <c r="B40">
        <v>0.98</v>
      </c>
    </row>
    <row r="41" spans="1:3">
      <c r="A41" t="s">
        <v>1912</v>
      </c>
      <c r="B41">
        <v>2.75</v>
      </c>
    </row>
    <row r="42" spans="1:3">
      <c r="A42" t="s">
        <v>1905</v>
      </c>
      <c r="B42">
        <f>0.67*10^-6</f>
        <v>6.7000000000000004E-7</v>
      </c>
      <c r="C42" t="s">
        <v>1906</v>
      </c>
    </row>
    <row r="43" spans="1:3">
      <c r="A43" s="400" t="s">
        <v>1913</v>
      </c>
      <c r="B43">
        <f>B44*B45</f>
        <v>1.3400000000000012E-8</v>
      </c>
      <c r="C43" t="s">
        <v>1910</v>
      </c>
    </row>
    <row r="44" spans="1:3">
      <c r="A44" t="s">
        <v>640</v>
      </c>
      <c r="B44">
        <f>1-B40</f>
        <v>2.0000000000000018E-2</v>
      </c>
    </row>
    <row r="45" spans="1:3">
      <c r="A45" t="s">
        <v>1905</v>
      </c>
      <c r="B45">
        <f>0.67*10^-6</f>
        <v>6.7000000000000004E-7</v>
      </c>
      <c r="C45" t="s">
        <v>1906</v>
      </c>
    </row>
    <row r="46" spans="1:3">
      <c r="A46" s="175" t="s">
        <v>1914</v>
      </c>
    </row>
    <row r="47" spans="1:3">
      <c r="A47" s="400" t="s">
        <v>1902</v>
      </c>
    </row>
    <row r="48" spans="1:3">
      <c r="A48" t="s">
        <v>1903</v>
      </c>
      <c r="B48">
        <v>1.2</v>
      </c>
      <c r="C48" t="s">
        <v>1904</v>
      </c>
    </row>
    <row r="49" spans="1:11">
      <c r="A49" t="s">
        <v>1905</v>
      </c>
      <c r="B49">
        <f>0.67*10^-6</f>
        <v>6.7000000000000004E-7</v>
      </c>
      <c r="C49" t="s">
        <v>1906</v>
      </c>
    </row>
    <row r="50" spans="1:11">
      <c r="A50" s="400" t="s">
        <v>1907</v>
      </c>
    </row>
    <row r="51" spans="1:11">
      <c r="A51" t="s">
        <v>1903</v>
      </c>
      <c r="B51">
        <v>0.1</v>
      </c>
      <c r="C51" t="s">
        <v>1904</v>
      </c>
    </row>
    <row r="52" spans="1:11">
      <c r="A52" t="s">
        <v>1905</v>
      </c>
      <c r="B52">
        <f>0.67*10^-6</f>
        <v>6.7000000000000004E-7</v>
      </c>
      <c r="C52" t="s">
        <v>1906</v>
      </c>
    </row>
    <row r="53" spans="1:11">
      <c r="A53" s="462" t="s">
        <v>1915</v>
      </c>
    </row>
    <row r="54" spans="1:11">
      <c r="F54" s="174"/>
      <c r="G54" s="174"/>
    </row>
    <row r="56" spans="1:11" ht="31.5" customHeight="1">
      <c r="C56" s="596" t="s">
        <v>1916</v>
      </c>
      <c r="D56" s="596"/>
      <c r="E56" s="596"/>
      <c r="F56" s="596"/>
      <c r="G56" s="603" t="s">
        <v>1917</v>
      </c>
      <c r="H56" s="603"/>
      <c r="I56" s="603"/>
      <c r="J56" s="603"/>
    </row>
    <row r="57" spans="1:11">
      <c r="C57" t="s">
        <v>982</v>
      </c>
      <c r="D57" t="s">
        <v>981</v>
      </c>
      <c r="E57" t="s">
        <v>1918</v>
      </c>
      <c r="F57" t="s">
        <v>983</v>
      </c>
      <c r="G57" t="s">
        <v>982</v>
      </c>
      <c r="H57" t="s">
        <v>981</v>
      </c>
      <c r="I57" t="s">
        <v>1918</v>
      </c>
      <c r="J57" t="s">
        <v>983</v>
      </c>
    </row>
    <row r="58" spans="1:11">
      <c r="C58" t="s">
        <v>1919</v>
      </c>
      <c r="D58" t="s">
        <v>1919</v>
      </c>
      <c r="E58" t="s">
        <v>1919</v>
      </c>
      <c r="F58" t="s">
        <v>1919</v>
      </c>
      <c r="G58" t="s">
        <v>1919</v>
      </c>
      <c r="H58" t="s">
        <v>1919</v>
      </c>
      <c r="I58" t="s">
        <v>1919</v>
      </c>
      <c r="J58" t="s">
        <v>1919</v>
      </c>
    </row>
    <row r="59" spans="1:11">
      <c r="A59" s="175" t="s">
        <v>418</v>
      </c>
    </row>
    <row r="60" spans="1:11">
      <c r="A60" t="s">
        <v>1920</v>
      </c>
    </row>
    <row r="61" spans="1:11">
      <c r="B61" s="400" t="s">
        <v>1921</v>
      </c>
      <c r="C61" s="348">
        <f>2.3*10^-3</f>
        <v>2.3E-3</v>
      </c>
      <c r="D61" s="348">
        <f>8.2*10^-5</f>
        <v>8.2000000000000001E-5</v>
      </c>
      <c r="E61" s="348">
        <f>5.5*10^-4</f>
        <v>5.5000000000000003E-4</v>
      </c>
      <c r="F61" s="348"/>
      <c r="G61" s="348">
        <f>2.4*10^-2</f>
        <v>2.4E-2</v>
      </c>
      <c r="H61" s="348">
        <f>1.8*10^-4</f>
        <v>1.8000000000000001E-4</v>
      </c>
      <c r="I61" s="348">
        <f>1.2*10^-3</f>
        <v>1.1999999999999999E-3</v>
      </c>
      <c r="J61" s="348"/>
      <c r="K61" t="s">
        <v>1922</v>
      </c>
    </row>
    <row r="62" spans="1:11">
      <c r="B62" s="400" t="s">
        <v>1923</v>
      </c>
      <c r="C62" s="348">
        <f>7.6*10^-7</f>
        <v>7.5999999999999992E-7</v>
      </c>
      <c r="D62" s="348">
        <f>1.2*10^-3</f>
        <v>1.1999999999999999E-3</v>
      </c>
      <c r="E62" s="348">
        <f>6.2*10^-7</f>
        <v>6.1999999999999999E-7</v>
      </c>
      <c r="F62" s="348">
        <f>2.1*10^-8</f>
        <v>2.1000000000000003E-8</v>
      </c>
      <c r="G62" s="348">
        <f>1*10^-6</f>
        <v>9.9999999999999995E-7</v>
      </c>
      <c r="H62" s="348">
        <f>1.6*10^-3</f>
        <v>1.6000000000000001E-3</v>
      </c>
      <c r="I62" s="348">
        <f>8.5*10^-7</f>
        <v>8.4999999999999991E-7</v>
      </c>
      <c r="J62" s="348">
        <f>2.9*10^-8</f>
        <v>2.8999999999999998E-8</v>
      </c>
      <c r="K62" t="s">
        <v>1922</v>
      </c>
    </row>
    <row r="63" spans="1:11">
      <c r="A63" t="s">
        <v>1924</v>
      </c>
      <c r="C63" s="348"/>
      <c r="D63" s="348"/>
      <c r="E63" s="348"/>
      <c r="F63" s="348"/>
      <c r="G63" s="348"/>
      <c r="H63" s="348"/>
      <c r="I63" s="348"/>
      <c r="J63" s="348"/>
    </row>
    <row r="64" spans="1:11">
      <c r="B64" t="s">
        <v>1921</v>
      </c>
      <c r="C64" s="348">
        <f>10.3*10^-4</f>
        <v>1.0300000000000001E-3</v>
      </c>
      <c r="D64" s="348">
        <f>3.2*10^-4</f>
        <v>3.2000000000000003E-4</v>
      </c>
      <c r="E64" s="348">
        <f>4.7*10^-4</f>
        <v>4.7000000000000004E-4</v>
      </c>
      <c r="F64" s="348"/>
      <c r="G64" s="348">
        <f>3.5*10^-4</f>
        <v>3.5E-4</v>
      </c>
      <c r="H64" s="348">
        <f>2.8*10^-5</f>
        <v>2.8E-5</v>
      </c>
      <c r="I64" s="348">
        <f>3.2*10^-4</f>
        <v>3.2000000000000003E-4</v>
      </c>
      <c r="J64" s="348"/>
      <c r="K64" t="s">
        <v>1922</v>
      </c>
    </row>
    <row r="65" spans="1:11">
      <c r="B65" t="s">
        <v>1923</v>
      </c>
      <c r="C65" s="348">
        <f>2*10^-6</f>
        <v>1.9999999999999999E-6</v>
      </c>
      <c r="D65" s="348">
        <f>3*10^-3</f>
        <v>3.0000000000000001E-3</v>
      </c>
      <c r="E65" s="348">
        <f>1.6*10^-6</f>
        <v>1.5999999999999999E-6</v>
      </c>
      <c r="F65" s="348">
        <f>3.3*10^-8</f>
        <v>3.2999999999999998E-8</v>
      </c>
      <c r="G65" s="348">
        <f>2.8*10^-6</f>
        <v>2.7999999999999999E-6</v>
      </c>
      <c r="H65" s="348">
        <f>4.1*10^-3</f>
        <v>4.0999999999999995E-3</v>
      </c>
      <c r="I65" s="348">
        <f>2.2*10^-6</f>
        <v>2.2000000000000001E-6</v>
      </c>
      <c r="J65" s="348">
        <f>4.5*10^-8</f>
        <v>4.4999999999999999E-8</v>
      </c>
      <c r="K65" t="s">
        <v>1922</v>
      </c>
    </row>
    <row r="66" spans="1:11">
      <c r="B66" t="s">
        <v>1925</v>
      </c>
      <c r="C66" s="348"/>
      <c r="D66" s="348">
        <f>4*10^-2</f>
        <v>0.04</v>
      </c>
      <c r="E66" s="348"/>
      <c r="F66" s="348"/>
      <c r="G66" s="348"/>
      <c r="H66" s="348">
        <f>9.5*10^-2</f>
        <v>9.5000000000000001E-2</v>
      </c>
      <c r="I66" s="348"/>
      <c r="J66" s="348"/>
      <c r="K66" t="s">
        <v>1922</v>
      </c>
    </row>
    <row r="67" spans="1:11">
      <c r="A67" t="s">
        <v>1926</v>
      </c>
      <c r="C67" s="348"/>
      <c r="D67" s="348"/>
      <c r="E67" s="348"/>
      <c r="F67" s="348"/>
      <c r="G67" s="348"/>
      <c r="H67" s="348"/>
      <c r="I67" s="348"/>
      <c r="J67" s="348"/>
    </row>
    <row r="68" spans="1:11">
      <c r="B68" t="s">
        <v>1921</v>
      </c>
      <c r="C68" s="348">
        <f>4.8*10^-4</f>
        <v>4.8000000000000001E-4</v>
      </c>
      <c r="D68" s="348">
        <f>8.8*10^-7</f>
        <v>8.8000000000000004E-7</v>
      </c>
      <c r="E68" s="348">
        <f>7*10^-6</f>
        <v>6.9999999999999999E-6</v>
      </c>
      <c r="F68" s="348"/>
      <c r="G68" s="348">
        <f>1.1*10^-3</f>
        <v>1.1000000000000001E-3</v>
      </c>
      <c r="H68" s="348">
        <f>2*10^-6</f>
        <v>1.9999999999999999E-6</v>
      </c>
      <c r="I68" s="348">
        <f>1.6*10^-5</f>
        <v>1.6000000000000003E-5</v>
      </c>
      <c r="J68" s="348"/>
      <c r="K68" t="s">
        <v>1927</v>
      </c>
    </row>
    <row r="69" spans="1:11">
      <c r="B69" t="s">
        <v>1928</v>
      </c>
      <c r="C69" s="348">
        <f>3.2*10^-4</f>
        <v>3.2000000000000003E-4</v>
      </c>
      <c r="D69" s="348">
        <f>3.1*10^-6</f>
        <v>3.1E-6</v>
      </c>
      <c r="E69" s="348">
        <f>4.6*10^-6</f>
        <v>4.5999999999999992E-6</v>
      </c>
      <c r="F69" s="348"/>
      <c r="G69" s="348">
        <f>7.4*10^-4</f>
        <v>7.400000000000001E-4</v>
      </c>
      <c r="H69" s="348">
        <f>7.3*10^-6</f>
        <v>7.2999999999999996E-6</v>
      </c>
      <c r="I69" s="348">
        <f>1.1*10^-5</f>
        <v>1.1000000000000001E-5</v>
      </c>
      <c r="J69" s="348"/>
      <c r="K69" t="s">
        <v>1927</v>
      </c>
    </row>
    <row r="70" spans="1:11">
      <c r="A70" t="s">
        <v>1929</v>
      </c>
      <c r="C70" s="348"/>
      <c r="D70" s="348"/>
      <c r="E70" s="348"/>
      <c r="F70" s="348"/>
      <c r="G70" s="348"/>
      <c r="H70" s="348"/>
      <c r="I70" s="348"/>
      <c r="J70" s="348"/>
    </row>
    <row r="71" spans="1:11">
      <c r="B71" t="s">
        <v>1921</v>
      </c>
      <c r="C71" s="348">
        <f>2.5*10^-5</f>
        <v>2.5000000000000001E-5</v>
      </c>
      <c r="D71" s="348">
        <f>1.1*10^-7</f>
        <v>1.1000000000000001E-7</v>
      </c>
      <c r="E71" s="348">
        <f>3.6*10^-7</f>
        <v>3.5999999999999999E-7</v>
      </c>
      <c r="F71" s="348"/>
      <c r="G71" s="348">
        <f>5.8*10^-5</f>
        <v>5.8E-5</v>
      </c>
      <c r="H71" s="348">
        <f>2.6*10^-7</f>
        <v>2.6E-7</v>
      </c>
      <c r="I71" s="348">
        <f>8.3*10^-7</f>
        <v>8.2999999999999999E-7</v>
      </c>
      <c r="J71" s="348"/>
      <c r="K71" t="s">
        <v>1927</v>
      </c>
    </row>
    <row r="72" spans="1:11">
      <c r="A72" t="s">
        <v>1930</v>
      </c>
      <c r="C72" s="348"/>
      <c r="D72" s="348"/>
      <c r="E72" s="348"/>
      <c r="F72" s="348"/>
      <c r="G72" s="348"/>
      <c r="H72" s="348"/>
      <c r="I72" s="348"/>
      <c r="J72" s="348"/>
    </row>
    <row r="73" spans="1:11">
      <c r="B73" t="s">
        <v>1921</v>
      </c>
      <c r="C73" s="348">
        <f>1.1*10^-3</f>
        <v>1.1000000000000001E-3</v>
      </c>
      <c r="D73" s="348">
        <f>5.1*10^-5</f>
        <v>5.1E-5</v>
      </c>
      <c r="E73" s="348">
        <f>1.6*10^-5</f>
        <v>1.6000000000000003E-5</v>
      </c>
      <c r="F73" s="348"/>
      <c r="G73" s="348">
        <f>2.5*10^-3</f>
        <v>2.5000000000000001E-3</v>
      </c>
      <c r="H73" s="348">
        <f>1.4*10^-4</f>
        <v>1.3999999999999999E-4</v>
      </c>
      <c r="I73" s="348">
        <f>3.6*10^-5</f>
        <v>3.6000000000000001E-5</v>
      </c>
      <c r="J73" s="348"/>
      <c r="K73" t="s">
        <v>1931</v>
      </c>
    </row>
    <row r="74" spans="1:11">
      <c r="A74" t="s">
        <v>1932</v>
      </c>
      <c r="C74" s="348"/>
      <c r="D74" s="348"/>
      <c r="E74" s="348"/>
      <c r="F74" s="348"/>
      <c r="G74" s="348"/>
      <c r="H74" s="348"/>
      <c r="I74" s="348"/>
      <c r="J74" s="348"/>
    </row>
    <row r="75" spans="1:11">
      <c r="A75" s="400" t="s">
        <v>1933</v>
      </c>
      <c r="B75" t="s">
        <v>1921</v>
      </c>
      <c r="C75" s="348">
        <f>1.1*10^-4</f>
        <v>1.1000000000000002E-4</v>
      </c>
      <c r="D75" s="348">
        <f>7.2*10^-6</f>
        <v>7.1999999999999997E-6</v>
      </c>
      <c r="E75" s="348">
        <f>1.1*10^-3</f>
        <v>1.1000000000000001E-3</v>
      </c>
      <c r="F75" s="348"/>
      <c r="G75" s="348">
        <f>1.1*10^-4</f>
        <v>1.1000000000000002E-4</v>
      </c>
      <c r="H75" s="348">
        <f>7.2*10^-6</f>
        <v>7.1999999999999997E-6</v>
      </c>
      <c r="I75" s="348">
        <f>1.1*10^-3</f>
        <v>1.1000000000000001E-3</v>
      </c>
      <c r="J75" s="348"/>
      <c r="K75" t="s">
        <v>1934</v>
      </c>
    </row>
    <row r="76" spans="1:11">
      <c r="A76" s="400" t="s">
        <v>465</v>
      </c>
      <c r="B76" t="s">
        <v>1921</v>
      </c>
      <c r="C76" s="348"/>
      <c r="D76" s="348">
        <f>4.3*10^-4</f>
        <v>4.2999999999999999E-4</v>
      </c>
      <c r="E76" s="348"/>
      <c r="F76" s="348">
        <f>2.2*10^-9</f>
        <v>2.2000000000000003E-9</v>
      </c>
      <c r="G76" s="348"/>
      <c r="H76" s="348">
        <f>4.3*10^-4</f>
        <v>4.2999999999999999E-4</v>
      </c>
      <c r="I76" s="348"/>
      <c r="J76" s="348">
        <f>2.2*10^-9</f>
        <v>2.2000000000000003E-9</v>
      </c>
      <c r="K76" t="s">
        <v>1935</v>
      </c>
    </row>
    <row r="77" spans="1:11">
      <c r="A77" s="400" t="s">
        <v>1936</v>
      </c>
      <c r="B77" t="s">
        <v>1921</v>
      </c>
      <c r="C77" s="348"/>
      <c r="D77" s="348"/>
      <c r="E77" s="348"/>
      <c r="F77" s="348"/>
      <c r="G77" s="348"/>
      <c r="H77" s="348"/>
      <c r="I77" s="348"/>
      <c r="J77" s="348"/>
      <c r="K77" t="s">
        <v>1937</v>
      </c>
    </row>
    <row r="78" spans="1:11">
      <c r="A78" s="175" t="s">
        <v>1938</v>
      </c>
      <c r="C78" s="348"/>
      <c r="D78" s="348"/>
      <c r="E78" s="348"/>
      <c r="F78" s="348"/>
      <c r="G78" s="348"/>
      <c r="H78" s="348"/>
      <c r="I78" s="348"/>
      <c r="J78" s="348"/>
    </row>
    <row r="79" spans="1:11">
      <c r="A79" t="s">
        <v>1939</v>
      </c>
      <c r="B79" t="s">
        <v>1940</v>
      </c>
      <c r="C79" s="348">
        <f>3.3*10^-5</f>
        <v>3.3000000000000003E-5</v>
      </c>
      <c r="D79" s="348">
        <f>1*10^-4</f>
        <v>1E-4</v>
      </c>
      <c r="E79" s="348">
        <f>8.7*10^-7</f>
        <v>8.6999999999999993E-7</v>
      </c>
      <c r="F79" s="348"/>
      <c r="G79" s="348">
        <f>5.6*10^-4</f>
        <v>5.5999999999999995E-4</v>
      </c>
      <c r="H79" s="348">
        <f>1.7*10^-3</f>
        <v>1.6999999999999999E-3</v>
      </c>
      <c r="I79" s="348">
        <f>1.5*10^-5</f>
        <v>1.5000000000000002E-5</v>
      </c>
      <c r="J79" s="348"/>
      <c r="K79" t="s">
        <v>1941</v>
      </c>
    </row>
    <row r="80" spans="1:11">
      <c r="A80" t="s">
        <v>1942</v>
      </c>
      <c r="B80" t="s">
        <v>1940</v>
      </c>
      <c r="C80" s="348">
        <f>5.1*10^-5</f>
        <v>5.1E-5</v>
      </c>
      <c r="D80" s="348">
        <f>9*10^-3</f>
        <v>9.0000000000000011E-3</v>
      </c>
      <c r="E80" s="348">
        <f>1.2*10^-5</f>
        <v>1.2E-5</v>
      </c>
      <c r="F80" s="348">
        <f>6.8*10^-8</f>
        <v>6.8E-8</v>
      </c>
      <c r="G80" s="348">
        <f>8.5*10^-4</f>
        <v>8.5000000000000006E-4</v>
      </c>
      <c r="H80" s="348">
        <f>1.5*10^-1</f>
        <v>0.15000000000000002</v>
      </c>
      <c r="I80" s="348">
        <f>2*10^-4</f>
        <v>2.0000000000000001E-4</v>
      </c>
      <c r="J80" s="348">
        <f>1.1*10^-6</f>
        <v>1.1000000000000001E-6</v>
      </c>
      <c r="K80" t="s">
        <v>1941</v>
      </c>
    </row>
    <row r="81" spans="1:11">
      <c r="A81" t="s">
        <v>1943</v>
      </c>
      <c r="B81" t="s">
        <v>1940</v>
      </c>
      <c r="C81" s="348">
        <f>1.1*10^-4</f>
        <v>1.1000000000000002E-4</v>
      </c>
      <c r="D81" s="348">
        <f>1.9*10^-6</f>
        <v>1.8999999999999998E-6</v>
      </c>
      <c r="E81" s="348">
        <f>1.7*10^-5</f>
        <v>1.7E-5</v>
      </c>
      <c r="F81" s="348"/>
      <c r="G81" s="348">
        <f>1.8*10^-3</f>
        <v>1.8000000000000002E-3</v>
      </c>
      <c r="H81" s="348">
        <f>3.2*10^-5</f>
        <v>3.2000000000000005E-5</v>
      </c>
      <c r="I81" s="348">
        <f>2.8*10^-4</f>
        <v>2.7999999999999998E-4</v>
      </c>
      <c r="J81" s="348"/>
      <c r="K81" t="s">
        <v>1941</v>
      </c>
    </row>
    <row r="82" spans="1:11">
      <c r="A82" t="s">
        <v>1944</v>
      </c>
      <c r="B82" t="s">
        <v>1921</v>
      </c>
      <c r="C82" s="348">
        <f>2.2*10^-3</f>
        <v>2.2000000000000001E-3</v>
      </c>
      <c r="D82" s="348">
        <f>2.8*10^-4</f>
        <v>2.7999999999999998E-4</v>
      </c>
      <c r="E82" s="348">
        <f>3.1*10^-3</f>
        <v>3.1000000000000003E-3</v>
      </c>
      <c r="F82" s="348"/>
      <c r="G82" s="348">
        <f>3.7*10^-2</f>
        <v>3.7000000000000005E-2</v>
      </c>
      <c r="H82" s="348">
        <f>4.7*10^-3</f>
        <v>4.7000000000000002E-3</v>
      </c>
      <c r="I82" s="348">
        <f>5.2*10^-2</f>
        <v>5.2000000000000005E-2</v>
      </c>
      <c r="J82" s="348"/>
      <c r="K82" t="s">
        <v>1941</v>
      </c>
    </row>
    <row r="83" spans="1:11">
      <c r="B83" t="s">
        <v>1928</v>
      </c>
      <c r="C83" s="348">
        <f>8.7*10^-3</f>
        <v>8.6999999999999994E-3</v>
      </c>
      <c r="D83" s="348">
        <f>1.8*10^-3</f>
        <v>1.8000000000000002E-3</v>
      </c>
      <c r="E83" s="348">
        <f>1.6*10^-3</f>
        <v>1.6000000000000001E-3</v>
      </c>
      <c r="F83" s="348"/>
      <c r="G83" s="348">
        <f>1.2*10^-2</f>
        <v>1.2E-2</v>
      </c>
      <c r="H83" s="348">
        <f>2.5*10^-3</f>
        <v>2.5000000000000001E-3</v>
      </c>
      <c r="I83" s="348">
        <f>2.2*10^-3</f>
        <v>2.2000000000000001E-3</v>
      </c>
      <c r="J83" s="348"/>
      <c r="K83" t="s">
        <v>1941</v>
      </c>
    </row>
    <row r="84" spans="1:11">
      <c r="B84" t="s">
        <v>1923</v>
      </c>
      <c r="C84" s="348">
        <f>2.1*10^-5</f>
        <v>2.1000000000000002E-5</v>
      </c>
      <c r="D84" s="348">
        <f>3.4*10^-2</f>
        <v>3.4000000000000002E-2</v>
      </c>
      <c r="E84" s="348">
        <f>1.7*10^-5</f>
        <v>1.7E-5</v>
      </c>
      <c r="F84" s="348">
        <f>5.4*10^-7</f>
        <v>5.4000000000000002E-7</v>
      </c>
      <c r="G84" s="348">
        <f>2.9*10^-5</f>
        <v>2.9E-5</v>
      </c>
      <c r="H84" s="348">
        <f>4.7*10^-2</f>
        <v>4.7E-2</v>
      </c>
      <c r="I84" s="348">
        <f>2.3*10^-5</f>
        <v>2.3E-5</v>
      </c>
      <c r="J84" s="348">
        <f>7.4*10^-7</f>
        <v>7.4000000000000001E-7</v>
      </c>
      <c r="K84" t="s">
        <v>1941</v>
      </c>
    </row>
    <row r="85" spans="1:11">
      <c r="A85" t="s">
        <v>1945</v>
      </c>
      <c r="C85" s="348"/>
      <c r="D85" s="348"/>
      <c r="E85" s="348"/>
      <c r="F85" s="348"/>
      <c r="G85" s="348"/>
      <c r="H85" s="348"/>
      <c r="I85" s="348"/>
      <c r="J85" s="348"/>
      <c r="K85" t="s">
        <v>1946</v>
      </c>
    </row>
    <row r="86" spans="1:11">
      <c r="A86" t="s">
        <v>1947</v>
      </c>
      <c r="C86" s="348"/>
      <c r="D86" s="348"/>
      <c r="E86" s="348"/>
      <c r="F86" s="348"/>
      <c r="G86" s="348"/>
      <c r="H86" s="348"/>
      <c r="I86" s="348"/>
      <c r="J86" s="348"/>
    </row>
    <row r="87" spans="1:11">
      <c r="A87" s="400" t="s">
        <v>786</v>
      </c>
      <c r="B87" t="s">
        <v>1921</v>
      </c>
      <c r="C87" s="348">
        <f>5.4*10^-6</f>
        <v>5.4E-6</v>
      </c>
      <c r="D87" s="348">
        <f>4.9*10^-7</f>
        <v>4.8999999999999997E-7</v>
      </c>
      <c r="E87" s="348">
        <f>5.4*10^-5</f>
        <v>5.4000000000000005E-5</v>
      </c>
      <c r="F87" s="348"/>
      <c r="G87" s="348">
        <f>5.4*10^-6</f>
        <v>5.4E-6</v>
      </c>
      <c r="H87" s="348">
        <f>4.9*10^-7</f>
        <v>4.8999999999999997E-7</v>
      </c>
      <c r="I87" s="348">
        <f>5.4*10^-5</f>
        <v>5.4000000000000005E-5</v>
      </c>
      <c r="J87" s="348"/>
      <c r="K87" t="s">
        <v>1948</v>
      </c>
    </row>
    <row r="88" spans="1:11">
      <c r="A88" s="400" t="s">
        <v>1949</v>
      </c>
      <c r="B88" t="s">
        <v>1928</v>
      </c>
      <c r="C88" s="348">
        <f>2.5*10^-5</f>
        <v>2.5000000000000001E-5</v>
      </c>
      <c r="D88" s="348">
        <f>2.3*10^-6</f>
        <v>2.2999999999999996E-6</v>
      </c>
      <c r="E88" s="348">
        <f>2.5*10^-4</f>
        <v>2.5000000000000001E-4</v>
      </c>
      <c r="F88" s="348"/>
      <c r="G88" s="348">
        <f>2.5*10^-5</f>
        <v>2.5000000000000001E-5</v>
      </c>
      <c r="H88" s="348">
        <f>2.3*10^-6</f>
        <v>2.2999999999999996E-6</v>
      </c>
      <c r="I88" s="348">
        <f>2.5*10^-4</f>
        <v>2.5000000000000001E-4</v>
      </c>
      <c r="J88" s="348"/>
      <c r="K88" t="s">
        <v>1950</v>
      </c>
    </row>
    <row r="89" spans="1:11">
      <c r="A89" s="400" t="s">
        <v>1951</v>
      </c>
      <c r="B89" t="s">
        <v>1928</v>
      </c>
      <c r="C89" s="348">
        <v>3.6</v>
      </c>
      <c r="D89" s="348"/>
      <c r="E89" s="348"/>
      <c r="F89" s="348"/>
      <c r="G89" s="348">
        <v>3.6</v>
      </c>
      <c r="H89" s="348"/>
      <c r="I89" s="348"/>
      <c r="J89" s="348"/>
      <c r="K89" t="s">
        <v>1950</v>
      </c>
    </row>
    <row r="90" spans="1:11">
      <c r="A90" t="s">
        <v>1952</v>
      </c>
      <c r="B90" t="s">
        <v>1921</v>
      </c>
      <c r="C90" s="348">
        <f>41*10^-6</f>
        <v>4.1E-5</v>
      </c>
      <c r="D90" s="348"/>
      <c r="E90" s="348">
        <v>1.2999999999999999E-3</v>
      </c>
      <c r="F90" s="348"/>
      <c r="G90" s="348"/>
      <c r="H90" s="348"/>
      <c r="I90" s="348"/>
      <c r="J90" s="348"/>
      <c r="K90" t="s">
        <v>1953</v>
      </c>
    </row>
    <row r="91" spans="1:11">
      <c r="A91" s="400" t="s">
        <v>1954</v>
      </c>
      <c r="C91" s="348"/>
      <c r="D91" s="348"/>
      <c r="E91" s="348"/>
      <c r="F91" s="348"/>
      <c r="G91" s="348"/>
      <c r="H91" s="348"/>
      <c r="I91" s="348"/>
      <c r="J91" s="348"/>
    </row>
    <row r="92" spans="1:11">
      <c r="B92" t="s">
        <v>459</v>
      </c>
      <c r="C92" s="348"/>
      <c r="D92" s="348"/>
      <c r="E92" s="348">
        <v>2.2000000000000001E-3</v>
      </c>
      <c r="F92" s="348"/>
      <c r="G92" s="348"/>
      <c r="H92" s="348"/>
      <c r="I92" s="348"/>
      <c r="J92" s="348"/>
      <c r="K92" t="s">
        <v>1955</v>
      </c>
    </row>
    <row r="93" spans="1:11">
      <c r="B93" t="s">
        <v>457</v>
      </c>
      <c r="C93" s="348"/>
      <c r="D93" s="348"/>
      <c r="E93" s="348"/>
      <c r="F93" s="348"/>
      <c r="G93" s="348"/>
      <c r="H93" s="348"/>
      <c r="I93" s="348"/>
      <c r="J93" s="348"/>
      <c r="K93" t="s">
        <v>1955</v>
      </c>
    </row>
    <row r="94" spans="1:11">
      <c r="B94" t="s">
        <v>1956</v>
      </c>
      <c r="C94" s="348"/>
      <c r="D94" s="348"/>
      <c r="E94" s="348"/>
      <c r="F94" s="348"/>
      <c r="G94" s="348"/>
      <c r="H94" s="348"/>
      <c r="I94" s="348"/>
      <c r="J94" s="348"/>
      <c r="K94" t="s">
        <v>1955</v>
      </c>
    </row>
    <row r="95" spans="1:11">
      <c r="B95" t="s">
        <v>1957</v>
      </c>
      <c r="C95" s="348"/>
      <c r="D95" s="348"/>
      <c r="E95" s="348"/>
      <c r="F95" s="348"/>
      <c r="G95" s="348"/>
      <c r="H95" s="348"/>
      <c r="I95" s="348"/>
      <c r="J95" s="348"/>
      <c r="K95" t="s">
        <v>1955</v>
      </c>
    </row>
    <row r="98" spans="1:12">
      <c r="A98" t="s">
        <v>1923</v>
      </c>
      <c r="C98">
        <v>1.2E-2</v>
      </c>
      <c r="D98">
        <v>2</v>
      </c>
      <c r="F98">
        <v>2.3E-5</v>
      </c>
      <c r="K98" t="s">
        <v>1958</v>
      </c>
      <c r="L98" t="s">
        <v>1959</v>
      </c>
    </row>
    <row r="99" spans="1:12">
      <c r="A99" t="s">
        <v>1928</v>
      </c>
      <c r="C99">
        <v>0.66</v>
      </c>
      <c r="D99">
        <v>4.8999999999999998E-3</v>
      </c>
      <c r="K99" t="s">
        <v>1960</v>
      </c>
    </row>
    <row r="101" spans="1:12">
      <c r="C101" s="464"/>
      <c r="D101" s="464"/>
      <c r="E101" s="464"/>
      <c r="F101" s="464"/>
    </row>
    <row r="102" spans="1:12">
      <c r="D102" s="465"/>
    </row>
  </sheetData>
  <mergeCells count="2">
    <mergeCell ref="C56:F56"/>
    <mergeCell ref="G56:J56"/>
  </mergeCells>
  <hyperlinks>
    <hyperlink ref="I1" r:id="rId1" display="https://www.ipcc-nggip.iges.or.jp/public/2006gl/vol2.html" xr:uid="{F6B8AF1D-C384-45DE-ABF7-CB2D017A0216}"/>
  </hyperlinks>
  <pageMargins left="0.7" right="0.7" top="0.75" bottom="0.75" header="0.3" footer="0.3"/>
  <pageSetup orientation="portrait"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18A26-0A32-4CFF-A3D3-B79B46326696}">
  <sheetPr>
    <tabColor theme="5" tint="0.39997558519241921"/>
  </sheetPr>
  <dimension ref="A1:H82"/>
  <sheetViews>
    <sheetView workbookViewId="0">
      <selection activeCell="E9" sqref="E9"/>
    </sheetView>
  </sheetViews>
  <sheetFormatPr defaultRowHeight="15.6"/>
  <cols>
    <col min="1" max="1" width="71.3984375" bestFit="1" customWidth="1"/>
    <col min="2" max="2" width="16.09765625" bestFit="1" customWidth="1"/>
    <col min="8" max="8" width="16.09765625" bestFit="1" customWidth="1"/>
  </cols>
  <sheetData>
    <row r="1" spans="1:8">
      <c r="A1" t="s">
        <v>1961</v>
      </c>
    </row>
    <row r="2" spans="1:8">
      <c r="A2" t="s">
        <v>1962</v>
      </c>
    </row>
    <row r="3" spans="1:8">
      <c r="A3" t="s">
        <v>1963</v>
      </c>
    </row>
    <row r="4" spans="1:8">
      <c r="A4" t="s">
        <v>1964</v>
      </c>
    </row>
    <row r="6" spans="1:8">
      <c r="A6" t="s">
        <v>1965</v>
      </c>
    </row>
    <row r="8" spans="1:8">
      <c r="B8" t="s">
        <v>1966</v>
      </c>
      <c r="E8" t="s">
        <v>1967</v>
      </c>
      <c r="H8" s="355" t="s">
        <v>1968</v>
      </c>
    </row>
    <row r="9" spans="1:8">
      <c r="A9" t="s">
        <v>1790</v>
      </c>
      <c r="B9" t="s">
        <v>1969</v>
      </c>
      <c r="C9" t="s">
        <v>1970</v>
      </c>
      <c r="D9" t="s">
        <v>1971</v>
      </c>
      <c r="E9" t="s">
        <v>1972</v>
      </c>
      <c r="F9" t="s">
        <v>1973</v>
      </c>
      <c r="G9" t="s">
        <v>1974</v>
      </c>
      <c r="H9" s="355"/>
    </row>
    <row r="10" spans="1:8">
      <c r="A10" t="s">
        <v>1975</v>
      </c>
      <c r="B10">
        <v>0</v>
      </c>
      <c r="C10">
        <v>1</v>
      </c>
      <c r="D10">
        <v>0</v>
      </c>
      <c r="E10">
        <v>0</v>
      </c>
      <c r="F10">
        <v>0</v>
      </c>
      <c r="G10">
        <v>0</v>
      </c>
      <c r="H10" s="426" t="str">
        <f>_xlfn.XLOOKUP(A10,'Region Mapping'!B:B,'Region Mapping'!A:A)</f>
        <v>ASC</v>
      </c>
    </row>
    <row r="11" spans="1:8">
      <c r="A11" t="s">
        <v>1976</v>
      </c>
      <c r="B11">
        <v>0</v>
      </c>
      <c r="C11">
        <v>0</v>
      </c>
      <c r="D11">
        <v>0</v>
      </c>
      <c r="E11">
        <v>0</v>
      </c>
      <c r="F11">
        <v>0</v>
      </c>
      <c r="G11">
        <v>0</v>
      </c>
      <c r="H11" s="426" t="str">
        <f>_xlfn.XLOOKUP(A11,'Region Mapping'!B:B,'Region Mapping'!A:A)</f>
        <v>ENE</v>
      </c>
    </row>
    <row r="12" spans="1:8">
      <c r="A12" t="s">
        <v>1045</v>
      </c>
      <c r="B12">
        <v>0</v>
      </c>
      <c r="C12">
        <v>0</v>
      </c>
      <c r="D12">
        <v>0</v>
      </c>
      <c r="E12">
        <v>0</v>
      </c>
      <c r="F12">
        <v>0</v>
      </c>
      <c r="G12">
        <v>0</v>
      </c>
      <c r="H12" s="426" t="str">
        <f>_xlfn.XLOOKUP(A12,'Region Mapping'!B:B,'Region Mapping'!A:A)</f>
        <v>LAM</v>
      </c>
    </row>
    <row r="13" spans="1:8">
      <c r="A13" t="s">
        <v>1092</v>
      </c>
      <c r="B13">
        <v>441</v>
      </c>
      <c r="C13">
        <v>88</v>
      </c>
      <c r="D13">
        <v>46</v>
      </c>
      <c r="E13">
        <v>92</v>
      </c>
      <c r="F13">
        <v>29</v>
      </c>
      <c r="G13">
        <v>142</v>
      </c>
      <c r="H13" s="426" t="str">
        <f>_xlfn.XLOOKUP(A13,'Region Mapping'!B:B,'Region Mapping'!A:A)</f>
        <v>ANZ</v>
      </c>
    </row>
    <row r="14" spans="1:8">
      <c r="A14" t="s">
        <v>1136</v>
      </c>
      <c r="B14">
        <v>0</v>
      </c>
      <c r="C14">
        <v>0</v>
      </c>
      <c r="D14">
        <v>0</v>
      </c>
      <c r="E14">
        <v>19</v>
      </c>
      <c r="F14">
        <v>0</v>
      </c>
      <c r="G14">
        <v>0</v>
      </c>
      <c r="H14" s="426" t="str">
        <f>_xlfn.XLOOKUP(A14,'Region Mapping'!B:B,'Region Mapping'!A:A)</f>
        <v>ASO</v>
      </c>
    </row>
    <row r="15" spans="1:8">
      <c r="A15" t="s">
        <v>1977</v>
      </c>
      <c r="B15">
        <v>0</v>
      </c>
      <c r="C15">
        <v>0</v>
      </c>
      <c r="D15">
        <v>0</v>
      </c>
      <c r="E15">
        <v>0</v>
      </c>
      <c r="F15">
        <v>0</v>
      </c>
      <c r="G15">
        <v>0</v>
      </c>
      <c r="H15" s="426" t="str">
        <f>_xlfn.XLOOKUP(A15,'Region Mapping'!B:B,'Region Mapping'!A:A)</f>
        <v>ASO</v>
      </c>
    </row>
    <row r="16" spans="1:8">
      <c r="A16" t="s">
        <v>1978</v>
      </c>
      <c r="B16">
        <v>8</v>
      </c>
      <c r="C16">
        <v>0</v>
      </c>
      <c r="D16">
        <v>3</v>
      </c>
      <c r="E16">
        <v>4</v>
      </c>
      <c r="F16">
        <v>0</v>
      </c>
      <c r="G16">
        <v>0</v>
      </c>
      <c r="H16" s="426" t="str">
        <f>_xlfn.XLOOKUP(A16,'Region Mapping'!B:B,'Region Mapping'!A:A)</f>
        <v>ENE</v>
      </c>
    </row>
    <row r="17" spans="1:8">
      <c r="A17" t="s">
        <v>1193</v>
      </c>
      <c r="B17">
        <v>0</v>
      </c>
      <c r="C17">
        <v>0</v>
      </c>
      <c r="D17">
        <v>4</v>
      </c>
      <c r="E17">
        <v>0</v>
      </c>
      <c r="F17">
        <v>0</v>
      </c>
      <c r="G17">
        <v>1</v>
      </c>
      <c r="H17" s="426" t="str">
        <f>_xlfn.XLOOKUP(A17,'Region Mapping'!B:B,'Region Mapping'!A:A)</f>
        <v>AFZ</v>
      </c>
    </row>
    <row r="18" spans="1:8">
      <c r="A18" t="s">
        <v>197</v>
      </c>
      <c r="B18">
        <v>6</v>
      </c>
      <c r="C18">
        <v>3</v>
      </c>
      <c r="D18">
        <v>0</v>
      </c>
      <c r="E18">
        <v>0</v>
      </c>
      <c r="F18">
        <v>0</v>
      </c>
      <c r="G18">
        <v>0</v>
      </c>
      <c r="H18" s="426" t="str">
        <f>_xlfn.XLOOKUP(A18,'Region Mapping'!B:B,'Region Mapping'!A:A)</f>
        <v>BRA</v>
      </c>
    </row>
    <row r="19" spans="1:8">
      <c r="A19" t="s">
        <v>1158</v>
      </c>
      <c r="B19">
        <v>34</v>
      </c>
      <c r="C19">
        <v>0</v>
      </c>
      <c r="D19">
        <v>0</v>
      </c>
      <c r="E19">
        <v>0</v>
      </c>
      <c r="F19">
        <v>0</v>
      </c>
      <c r="G19">
        <v>0</v>
      </c>
      <c r="H19" s="426" t="str">
        <f>_xlfn.XLOOKUP(A19,'Region Mapping'!B:B,'Region Mapping'!A:A)</f>
        <v>EUE</v>
      </c>
    </row>
    <row r="20" spans="1:8">
      <c r="A20" t="s">
        <v>1979</v>
      </c>
      <c r="B20">
        <v>0</v>
      </c>
      <c r="C20">
        <v>0</v>
      </c>
      <c r="D20">
        <v>0</v>
      </c>
      <c r="E20">
        <v>0</v>
      </c>
      <c r="F20">
        <v>0</v>
      </c>
      <c r="G20">
        <v>0</v>
      </c>
      <c r="H20" s="426" t="str">
        <f>_xlfn.XLOOKUP(A20,'Region Mapping'!B:B,'Region Mapping'!A:A)</f>
        <v>ASE</v>
      </c>
    </row>
    <row r="21" spans="1:8">
      <c r="A21" t="s">
        <v>199</v>
      </c>
      <c r="B21">
        <v>48</v>
      </c>
      <c r="C21">
        <v>4</v>
      </c>
      <c r="D21">
        <v>0</v>
      </c>
      <c r="E21">
        <v>20</v>
      </c>
      <c r="F21">
        <v>6</v>
      </c>
      <c r="G21">
        <v>0</v>
      </c>
      <c r="H21" s="426" t="str">
        <f>_xlfn.XLOOKUP(A21,'Region Mapping'!B:B,'Region Mapping'!A:A)</f>
        <v>CAN</v>
      </c>
    </row>
    <row r="22" spans="1:8">
      <c r="A22" t="s">
        <v>201</v>
      </c>
      <c r="B22">
        <v>0</v>
      </c>
      <c r="C22">
        <v>0</v>
      </c>
      <c r="D22">
        <v>0</v>
      </c>
      <c r="E22">
        <v>0</v>
      </c>
      <c r="F22">
        <v>0</v>
      </c>
      <c r="G22">
        <v>0</v>
      </c>
      <c r="H22" s="426" t="str">
        <f>_xlfn.XLOOKUP(A22,'Region Mapping'!B:B,'Region Mapping'!A:A)</f>
        <v>CHL</v>
      </c>
    </row>
    <row r="23" spans="1:8">
      <c r="A23" t="s">
        <v>203</v>
      </c>
      <c r="B23">
        <v>965</v>
      </c>
      <c r="C23">
        <v>2912</v>
      </c>
      <c r="D23">
        <v>4</v>
      </c>
      <c r="E23">
        <v>219</v>
      </c>
      <c r="F23">
        <v>863</v>
      </c>
      <c r="G23">
        <v>31</v>
      </c>
      <c r="H23" s="426" t="str">
        <f>_xlfn.XLOOKUP(A23,'Region Mapping'!B:B,'Region Mapping'!A:A)</f>
        <v>CHN</v>
      </c>
    </row>
    <row r="24" spans="1:8">
      <c r="A24" t="s">
        <v>1046</v>
      </c>
      <c r="B24">
        <v>49</v>
      </c>
      <c r="C24">
        <v>0</v>
      </c>
      <c r="D24">
        <v>0</v>
      </c>
      <c r="E24">
        <v>1</v>
      </c>
      <c r="F24">
        <v>11</v>
      </c>
      <c r="G24">
        <v>0</v>
      </c>
      <c r="H24" s="426" t="str">
        <f>_xlfn.XLOOKUP(A24,'Region Mapping'!B:B,'Region Mapping'!A:A)</f>
        <v>LAM</v>
      </c>
    </row>
    <row r="25" spans="1:8">
      <c r="A25" t="s">
        <v>1196</v>
      </c>
      <c r="B25">
        <v>34</v>
      </c>
      <c r="C25">
        <v>2</v>
      </c>
      <c r="D25">
        <v>0</v>
      </c>
      <c r="E25">
        <v>0</v>
      </c>
      <c r="F25">
        <v>0</v>
      </c>
      <c r="G25">
        <v>0</v>
      </c>
      <c r="H25" s="426" t="str">
        <f>_xlfn.XLOOKUP(A25,'Region Mapping'!B:B,'Region Mapping'!A:A)</f>
        <v>EUE</v>
      </c>
    </row>
    <row r="26" spans="1:8">
      <c r="A26" t="s">
        <v>1083</v>
      </c>
      <c r="B26">
        <v>0</v>
      </c>
      <c r="C26">
        <v>0</v>
      </c>
      <c r="D26">
        <v>0</v>
      </c>
      <c r="E26">
        <v>0</v>
      </c>
      <c r="F26">
        <v>0</v>
      </c>
      <c r="G26">
        <v>0</v>
      </c>
      <c r="H26" s="426" t="str">
        <f>_xlfn.XLOOKUP(A26,'Region Mapping'!B:B,'Region Mapping'!A:A)</f>
        <v>AFN</v>
      </c>
    </row>
    <row r="27" spans="1:8">
      <c r="A27" t="s">
        <v>1980</v>
      </c>
      <c r="B27">
        <v>0</v>
      </c>
      <c r="C27">
        <v>0</v>
      </c>
      <c r="D27">
        <v>0</v>
      </c>
      <c r="E27">
        <v>0</v>
      </c>
      <c r="F27">
        <v>0</v>
      </c>
      <c r="G27">
        <v>0</v>
      </c>
      <c r="H27" s="426" t="str">
        <f>_xlfn.XLOOKUP(A27,'Region Mapping'!B:B,'Region Mapping'!A:A)</f>
        <v>AFZ</v>
      </c>
    </row>
    <row r="28" spans="1:8">
      <c r="A28" t="s">
        <v>1981</v>
      </c>
      <c r="B28">
        <v>0</v>
      </c>
      <c r="C28">
        <v>0</v>
      </c>
      <c r="D28">
        <v>0</v>
      </c>
      <c r="E28">
        <v>0</v>
      </c>
      <c r="F28">
        <v>0</v>
      </c>
      <c r="G28">
        <v>0</v>
      </c>
      <c r="H28" s="426" t="str">
        <f>_xlfn.XLOOKUP(A28,'Region Mapping'!B:B,'Region Mapping'!A:A)</f>
        <v>AFE</v>
      </c>
    </row>
    <row r="29" spans="1:8">
      <c r="A29" t="s">
        <v>1982</v>
      </c>
      <c r="B29">
        <v>0</v>
      </c>
      <c r="C29">
        <v>0</v>
      </c>
      <c r="D29">
        <v>0</v>
      </c>
      <c r="E29">
        <v>0</v>
      </c>
      <c r="F29">
        <v>0</v>
      </c>
      <c r="G29">
        <v>0</v>
      </c>
      <c r="H29" s="426" t="str">
        <f>_xlfn.XLOOKUP(A29,'Region Mapping'!B:B,'Region Mapping'!A:A)</f>
        <v>ASC</v>
      </c>
    </row>
    <row r="30" spans="1:8">
      <c r="A30" t="s">
        <v>1130</v>
      </c>
      <c r="B30">
        <v>116</v>
      </c>
      <c r="C30">
        <v>0</v>
      </c>
      <c r="D30">
        <v>0</v>
      </c>
      <c r="E30">
        <v>0</v>
      </c>
      <c r="F30">
        <v>0</v>
      </c>
      <c r="G30">
        <v>0</v>
      </c>
      <c r="H30" s="426" t="str">
        <f>_xlfn.XLOOKUP(A30,'Region Mapping'!B:B,'Region Mapping'!A:A)</f>
        <v>EUW</v>
      </c>
    </row>
    <row r="31" spans="1:8">
      <c r="A31" t="s">
        <v>1160</v>
      </c>
      <c r="B31">
        <v>15</v>
      </c>
      <c r="C31">
        <v>0</v>
      </c>
      <c r="D31">
        <v>0</v>
      </c>
      <c r="E31">
        <v>0</v>
      </c>
      <c r="F31">
        <v>0</v>
      </c>
      <c r="G31">
        <v>0</v>
      </c>
      <c r="H31" s="426" t="str">
        <f>_xlfn.XLOOKUP(A31,'Region Mapping'!B:B,'Region Mapping'!A:A)</f>
        <v>EUM</v>
      </c>
    </row>
    <row r="32" spans="1:8">
      <c r="A32" t="s">
        <v>1161</v>
      </c>
      <c r="B32">
        <v>5</v>
      </c>
      <c r="C32">
        <v>0</v>
      </c>
      <c r="D32">
        <v>0</v>
      </c>
      <c r="E32">
        <v>0</v>
      </c>
      <c r="F32">
        <v>0</v>
      </c>
      <c r="G32">
        <v>0</v>
      </c>
      <c r="H32" s="426" t="str">
        <f>_xlfn.XLOOKUP(A32,'Region Mapping'!B:B,'Region Mapping'!A:A)</f>
        <v>EUE</v>
      </c>
    </row>
    <row r="33" spans="1:8">
      <c r="A33" t="s">
        <v>224</v>
      </c>
      <c r="B33">
        <v>833</v>
      </c>
      <c r="C33">
        <v>16</v>
      </c>
      <c r="D33">
        <v>17</v>
      </c>
      <c r="E33">
        <v>444</v>
      </c>
      <c r="F33">
        <v>22</v>
      </c>
      <c r="G33">
        <v>64</v>
      </c>
      <c r="H33" s="426" t="str">
        <f>_xlfn.XLOOKUP(A33,'Region Mapping'!B:B,'Region Mapping'!A:A)</f>
        <v>IND</v>
      </c>
    </row>
    <row r="34" spans="1:8">
      <c r="A34" t="s">
        <v>1094</v>
      </c>
      <c r="B34">
        <v>550</v>
      </c>
      <c r="C34">
        <v>2</v>
      </c>
      <c r="D34">
        <v>37</v>
      </c>
      <c r="E34">
        <v>34</v>
      </c>
      <c r="F34">
        <v>0</v>
      </c>
      <c r="G34">
        <v>0</v>
      </c>
      <c r="H34" s="426" t="str">
        <f>_xlfn.XLOOKUP(A34,'Region Mapping'!B:B,'Region Mapping'!A:A)</f>
        <v>IDN</v>
      </c>
    </row>
    <row r="35" spans="1:8">
      <c r="A35" t="s">
        <v>1199</v>
      </c>
      <c r="B35">
        <v>2</v>
      </c>
      <c r="C35">
        <v>0</v>
      </c>
      <c r="D35">
        <v>0</v>
      </c>
      <c r="E35">
        <v>0</v>
      </c>
      <c r="F35">
        <v>0</v>
      </c>
      <c r="G35">
        <v>0</v>
      </c>
      <c r="H35" s="426" t="str">
        <f>_xlfn.XLOOKUP(A35,'Region Mapping'!B:B,'Region Mapping'!A:A)</f>
        <v>MEA</v>
      </c>
    </row>
    <row r="36" spans="1:8">
      <c r="A36" t="s">
        <v>226</v>
      </c>
      <c r="B36">
        <v>0</v>
      </c>
      <c r="C36">
        <v>0</v>
      </c>
      <c r="D36">
        <v>0</v>
      </c>
      <c r="E36">
        <v>0</v>
      </c>
      <c r="F36">
        <v>0</v>
      </c>
      <c r="G36">
        <v>0</v>
      </c>
      <c r="H36" s="426" t="str">
        <f>_xlfn.XLOOKUP(A36,'Region Mapping'!B:B,'Region Mapping'!A:A)</f>
        <v>JPN</v>
      </c>
    </row>
    <row r="37" spans="1:8">
      <c r="A37" t="s">
        <v>1062</v>
      </c>
      <c r="B37">
        <v>98</v>
      </c>
      <c r="C37">
        <v>5</v>
      </c>
      <c r="D37">
        <v>0</v>
      </c>
      <c r="E37">
        <v>20</v>
      </c>
      <c r="F37">
        <v>0</v>
      </c>
      <c r="G37">
        <v>0</v>
      </c>
      <c r="H37" s="426" t="str">
        <f>_xlfn.XLOOKUP(A37,'Region Mapping'!B:B,'Region Mapping'!A:A)</f>
        <v>ASC</v>
      </c>
    </row>
    <row r="38" spans="1:8">
      <c r="A38" t="s">
        <v>1983</v>
      </c>
      <c r="B38">
        <v>8</v>
      </c>
      <c r="C38">
        <v>0</v>
      </c>
      <c r="D38">
        <v>0</v>
      </c>
      <c r="E38">
        <v>0</v>
      </c>
      <c r="F38">
        <v>0</v>
      </c>
      <c r="G38">
        <v>0</v>
      </c>
      <c r="H38" s="426" t="str">
        <f>_xlfn.XLOOKUP(A38,'Region Mapping'!B:B,'Region Mapping'!A:A)</f>
        <v>ENE</v>
      </c>
    </row>
    <row r="39" spans="1:8">
      <c r="A39" t="s">
        <v>1984</v>
      </c>
      <c r="B39">
        <v>0</v>
      </c>
      <c r="C39">
        <v>0</v>
      </c>
      <c r="D39">
        <v>0</v>
      </c>
      <c r="E39">
        <v>1</v>
      </c>
      <c r="F39">
        <v>0</v>
      </c>
      <c r="G39">
        <v>0</v>
      </c>
      <c r="H39" s="426" t="str">
        <f>_xlfn.XLOOKUP(A39,'Region Mapping'!B:B,'Region Mapping'!A:A)</f>
        <v>ASC</v>
      </c>
    </row>
    <row r="40" spans="1:8">
      <c r="A40" t="s">
        <v>1985</v>
      </c>
      <c r="B40">
        <v>14</v>
      </c>
      <c r="C40">
        <v>0</v>
      </c>
      <c r="D40">
        <v>0</v>
      </c>
      <c r="E40">
        <v>0</v>
      </c>
      <c r="F40">
        <v>0</v>
      </c>
      <c r="G40">
        <v>2</v>
      </c>
      <c r="H40" s="426" t="str">
        <f>_xlfn.XLOOKUP(A40,'Region Mapping'!B:B,'Region Mapping'!A:A)</f>
        <v>ASE</v>
      </c>
    </row>
    <row r="41" spans="1:8">
      <c r="A41" t="s">
        <v>1986</v>
      </c>
      <c r="B41">
        <v>0</v>
      </c>
      <c r="C41">
        <v>0</v>
      </c>
      <c r="D41">
        <v>0</v>
      </c>
      <c r="E41">
        <v>0</v>
      </c>
      <c r="F41">
        <v>0</v>
      </c>
      <c r="G41">
        <v>0</v>
      </c>
      <c r="H41" s="426" t="str">
        <f>_xlfn.XLOOKUP(A41,'Region Mapping'!B:B,'Region Mapping'!A:A)</f>
        <v>AFE</v>
      </c>
    </row>
    <row r="42" spans="1:8">
      <c r="A42" t="s">
        <v>1201</v>
      </c>
      <c r="B42">
        <v>0</v>
      </c>
      <c r="C42">
        <v>0</v>
      </c>
      <c r="D42">
        <v>0</v>
      </c>
      <c r="E42">
        <v>0</v>
      </c>
      <c r="F42">
        <v>0</v>
      </c>
      <c r="G42">
        <v>0</v>
      </c>
      <c r="H42" s="426" t="str">
        <f>_xlfn.XLOOKUP(A42,'Region Mapping'!B:B,'Region Mapping'!A:A)</f>
        <v>AFW</v>
      </c>
    </row>
    <row r="43" spans="1:8">
      <c r="A43" t="s">
        <v>1095</v>
      </c>
      <c r="B43">
        <v>0</v>
      </c>
      <c r="C43">
        <v>2</v>
      </c>
      <c r="D43">
        <v>0</v>
      </c>
      <c r="E43">
        <v>0</v>
      </c>
      <c r="F43">
        <v>0</v>
      </c>
      <c r="G43">
        <v>0</v>
      </c>
      <c r="H43" s="426" t="str">
        <f>_xlfn.XLOOKUP(A43,'Region Mapping'!B:B,'Region Mapping'!A:A)</f>
        <v>ASE</v>
      </c>
    </row>
    <row r="44" spans="1:8">
      <c r="A44" t="s">
        <v>237</v>
      </c>
      <c r="B44">
        <v>1</v>
      </c>
      <c r="C44">
        <v>0</v>
      </c>
      <c r="D44">
        <v>9</v>
      </c>
      <c r="E44">
        <v>0</v>
      </c>
      <c r="F44">
        <v>0</v>
      </c>
      <c r="G44">
        <v>0</v>
      </c>
      <c r="H44" s="426" t="str">
        <f>_xlfn.XLOOKUP(A44,'Region Mapping'!B:B,'Region Mapping'!A:A)</f>
        <v>MEX</v>
      </c>
    </row>
    <row r="45" spans="1:8">
      <c r="A45" t="s">
        <v>1170</v>
      </c>
      <c r="B45">
        <v>51</v>
      </c>
      <c r="C45">
        <v>0</v>
      </c>
      <c r="D45">
        <v>0</v>
      </c>
      <c r="E45">
        <v>1</v>
      </c>
      <c r="F45">
        <v>0</v>
      </c>
      <c r="G45">
        <v>4</v>
      </c>
      <c r="H45" s="426" t="str">
        <f>_xlfn.XLOOKUP(A45,'Region Mapping'!B:B,'Region Mapping'!A:A)</f>
        <v>ASC</v>
      </c>
    </row>
    <row r="46" spans="1:8">
      <c r="A46" t="s">
        <v>1987</v>
      </c>
      <c r="B46">
        <v>2</v>
      </c>
      <c r="C46">
        <v>0</v>
      </c>
      <c r="D46">
        <v>0</v>
      </c>
      <c r="E46">
        <v>0</v>
      </c>
      <c r="F46">
        <v>0</v>
      </c>
      <c r="G46">
        <v>0</v>
      </c>
      <c r="H46" s="426" t="str">
        <f>_xlfn.XLOOKUP(A46,'Region Mapping'!B:B,'Region Mapping'!A:A)</f>
        <v>ENE</v>
      </c>
    </row>
    <row r="47" spans="1:8">
      <c r="A47" t="s">
        <v>1410</v>
      </c>
      <c r="B47">
        <v>14</v>
      </c>
      <c r="C47">
        <v>0</v>
      </c>
      <c r="D47">
        <v>0</v>
      </c>
      <c r="E47">
        <v>12</v>
      </c>
      <c r="F47">
        <v>0</v>
      </c>
      <c r="G47">
        <v>0</v>
      </c>
      <c r="H47" s="426" t="str">
        <f>_xlfn.XLOOKUP(A47,'Region Mapping'!B:B,'Region Mapping'!A:A)</f>
        <v>AFZ</v>
      </c>
    </row>
    <row r="48" spans="1:8">
      <c r="A48" t="s">
        <v>1137</v>
      </c>
      <c r="B48">
        <v>1</v>
      </c>
      <c r="C48">
        <v>0</v>
      </c>
      <c r="D48">
        <v>0</v>
      </c>
      <c r="E48">
        <v>0</v>
      </c>
      <c r="F48">
        <v>0</v>
      </c>
      <c r="G48">
        <v>0</v>
      </c>
      <c r="H48" s="426" t="str">
        <f>_xlfn.XLOOKUP(A48,'Region Mapping'!B:B,'Region Mapping'!A:A)</f>
        <v>ASE</v>
      </c>
    </row>
    <row r="49" spans="1:8">
      <c r="A49" t="s">
        <v>1988</v>
      </c>
      <c r="B49">
        <v>0</v>
      </c>
      <c r="C49">
        <v>0</v>
      </c>
      <c r="D49">
        <v>0</v>
      </c>
      <c r="E49">
        <v>0</v>
      </c>
      <c r="F49">
        <v>0</v>
      </c>
      <c r="G49">
        <v>0</v>
      </c>
      <c r="H49" s="426" t="str">
        <f>_xlfn.XLOOKUP(A49,'Region Mapping'!B:B,'Region Mapping'!A:A)</f>
        <v>ASO</v>
      </c>
    </row>
    <row r="50" spans="1:8">
      <c r="A50" t="s">
        <v>1171</v>
      </c>
      <c r="B50">
        <v>0</v>
      </c>
      <c r="C50">
        <v>0</v>
      </c>
      <c r="D50">
        <v>0</v>
      </c>
      <c r="E50">
        <v>0</v>
      </c>
      <c r="F50">
        <v>0</v>
      </c>
      <c r="G50">
        <v>0</v>
      </c>
      <c r="H50" s="426" t="str">
        <f>_xlfn.XLOOKUP(A50,'Region Mapping'!B:B,'Region Mapping'!A:A)</f>
        <v>ANZ</v>
      </c>
    </row>
    <row r="51" spans="1:8">
      <c r="A51" t="s">
        <v>1205</v>
      </c>
      <c r="B51">
        <v>0</v>
      </c>
      <c r="C51">
        <v>0</v>
      </c>
      <c r="D51">
        <v>0</v>
      </c>
      <c r="E51">
        <v>1</v>
      </c>
      <c r="F51">
        <v>0</v>
      </c>
      <c r="G51">
        <v>0</v>
      </c>
      <c r="H51" s="426" t="str">
        <f>_xlfn.XLOOKUP(A51,'Region Mapping'!B:B,'Region Mapping'!A:A)</f>
        <v>AFW</v>
      </c>
    </row>
    <row r="52" spans="1:8">
      <c r="A52" t="s">
        <v>239</v>
      </c>
      <c r="B52">
        <v>0</v>
      </c>
      <c r="C52">
        <v>0</v>
      </c>
      <c r="D52">
        <v>0</v>
      </c>
      <c r="E52">
        <v>0</v>
      </c>
      <c r="F52">
        <v>0</v>
      </c>
      <c r="G52">
        <v>0</v>
      </c>
      <c r="H52" s="426" t="str">
        <f>_xlfn.XLOOKUP(A52,'Region Mapping'!B:B,'Region Mapping'!A:A)</f>
        <v>NIG</v>
      </c>
    </row>
    <row r="53" spans="1:8">
      <c r="A53" t="s">
        <v>1989</v>
      </c>
      <c r="B53">
        <v>0</v>
      </c>
      <c r="C53">
        <v>20</v>
      </c>
      <c r="D53">
        <v>0</v>
      </c>
      <c r="E53">
        <v>0</v>
      </c>
      <c r="F53">
        <v>0</v>
      </c>
      <c r="G53">
        <v>0</v>
      </c>
      <c r="H53" s="426" t="str">
        <f>_xlfn.XLOOKUP(A53,'Region Mapping'!B:B,'Region Mapping'!A:A)</f>
        <v>ASE</v>
      </c>
    </row>
    <row r="54" spans="1:8">
      <c r="A54" t="s">
        <v>1990</v>
      </c>
      <c r="B54">
        <v>4</v>
      </c>
      <c r="C54">
        <v>0</v>
      </c>
      <c r="D54">
        <v>0</v>
      </c>
      <c r="E54">
        <v>0</v>
      </c>
      <c r="F54">
        <v>0</v>
      </c>
      <c r="G54">
        <v>3</v>
      </c>
      <c r="H54" s="426" t="str">
        <f>_xlfn.XLOOKUP(A54,'Region Mapping'!B:B,'Region Mapping'!A:A)</f>
        <v>ENE</v>
      </c>
    </row>
    <row r="55" spans="1:8">
      <c r="A55" t="s">
        <v>1055</v>
      </c>
      <c r="B55">
        <v>0</v>
      </c>
      <c r="C55">
        <v>0</v>
      </c>
      <c r="D55">
        <v>0</v>
      </c>
      <c r="E55">
        <v>0</v>
      </c>
      <c r="F55">
        <v>0</v>
      </c>
      <c r="G55">
        <v>0</v>
      </c>
      <c r="H55" s="426" t="str">
        <f>_xlfn.XLOOKUP(A55,'Region Mapping'!B:B,'Region Mapping'!A:A)</f>
        <v>ENW</v>
      </c>
    </row>
    <row r="56" spans="1:8">
      <c r="A56" t="s">
        <v>1138</v>
      </c>
      <c r="B56">
        <v>10</v>
      </c>
      <c r="C56">
        <v>0</v>
      </c>
      <c r="D56">
        <v>0</v>
      </c>
      <c r="E56">
        <v>0</v>
      </c>
      <c r="F56">
        <v>0</v>
      </c>
      <c r="G56">
        <v>0</v>
      </c>
      <c r="H56" s="426" t="str">
        <f>_xlfn.XLOOKUP(A56,'Region Mapping'!B:B,'Region Mapping'!A:A)</f>
        <v>ASO</v>
      </c>
    </row>
    <row r="57" spans="1:8">
      <c r="A57" t="s">
        <v>1048</v>
      </c>
      <c r="B57">
        <v>0</v>
      </c>
      <c r="C57">
        <v>0</v>
      </c>
      <c r="D57">
        <v>0</v>
      </c>
      <c r="E57">
        <v>0</v>
      </c>
      <c r="F57">
        <v>0</v>
      </c>
      <c r="G57">
        <v>0</v>
      </c>
      <c r="H57" s="426" t="str">
        <f>_xlfn.XLOOKUP(A57,'Region Mapping'!B:B,'Region Mapping'!A:A)</f>
        <v>LAM</v>
      </c>
    </row>
    <row r="58" spans="1:8">
      <c r="A58" t="s">
        <v>1679</v>
      </c>
      <c r="B58">
        <v>16</v>
      </c>
      <c r="C58">
        <v>0</v>
      </c>
      <c r="D58">
        <v>0</v>
      </c>
      <c r="E58">
        <v>16</v>
      </c>
      <c r="F58">
        <v>0</v>
      </c>
      <c r="G58">
        <v>0</v>
      </c>
      <c r="H58" s="426" t="str">
        <f>_xlfn.XLOOKUP(A58,'Region Mapping'!B:B,'Region Mapping'!A:A)</f>
        <v>IDN</v>
      </c>
    </row>
    <row r="59" spans="1:8">
      <c r="A59" t="s">
        <v>1132</v>
      </c>
      <c r="B59">
        <v>56</v>
      </c>
      <c r="C59">
        <v>44</v>
      </c>
      <c r="D59">
        <v>0</v>
      </c>
      <c r="E59">
        <v>0</v>
      </c>
      <c r="F59">
        <v>0</v>
      </c>
      <c r="G59">
        <v>0</v>
      </c>
      <c r="H59" s="426" t="str">
        <f>_xlfn.XLOOKUP(A59,'Region Mapping'!B:B,'Region Mapping'!A:A)</f>
        <v>EUE</v>
      </c>
    </row>
    <row r="60" spans="1:8">
      <c r="A60" t="s">
        <v>1056</v>
      </c>
      <c r="B60">
        <v>21</v>
      </c>
      <c r="C60">
        <v>0</v>
      </c>
      <c r="D60">
        <v>0</v>
      </c>
      <c r="E60">
        <v>8</v>
      </c>
      <c r="F60">
        <v>0</v>
      </c>
      <c r="G60">
        <v>0</v>
      </c>
      <c r="H60" s="426" t="str">
        <f>_xlfn.XLOOKUP(A60,'Region Mapping'!B:B,'Region Mapping'!A:A)</f>
        <v>EUE</v>
      </c>
    </row>
    <row r="61" spans="1:8">
      <c r="A61" t="s">
        <v>242</v>
      </c>
      <c r="B61">
        <v>336</v>
      </c>
      <c r="C61">
        <v>111</v>
      </c>
      <c r="D61">
        <v>0</v>
      </c>
      <c r="E61">
        <v>120</v>
      </c>
      <c r="F61">
        <v>15</v>
      </c>
      <c r="G61">
        <v>3</v>
      </c>
      <c r="H61" s="426" t="str">
        <f>_xlfn.XLOOKUP(A61,'Region Mapping'!B:B,'Region Mapping'!A:A)</f>
        <v>RUS</v>
      </c>
    </row>
    <row r="62" spans="1:8">
      <c r="A62" t="s">
        <v>1162</v>
      </c>
      <c r="B62">
        <v>48</v>
      </c>
      <c r="C62">
        <v>0</v>
      </c>
      <c r="D62">
        <v>0</v>
      </c>
      <c r="E62">
        <v>2</v>
      </c>
      <c r="F62">
        <v>0</v>
      </c>
      <c r="G62">
        <v>0</v>
      </c>
      <c r="H62" s="426" t="str">
        <f>_xlfn.XLOOKUP(A62,'Region Mapping'!B:B,'Region Mapping'!A:A)</f>
        <v>ENE</v>
      </c>
    </row>
    <row r="63" spans="1:8">
      <c r="A63" t="s">
        <v>1209</v>
      </c>
      <c r="B63">
        <v>0</v>
      </c>
      <c r="C63">
        <v>0</v>
      </c>
      <c r="D63">
        <v>0</v>
      </c>
      <c r="E63">
        <v>0</v>
      </c>
      <c r="F63">
        <v>0</v>
      </c>
      <c r="G63">
        <v>0</v>
      </c>
      <c r="H63" s="426" t="str">
        <f>_xlfn.XLOOKUP(A63,'Region Mapping'!B:B,'Region Mapping'!A:A)</f>
        <v>EUE</v>
      </c>
    </row>
    <row r="64" spans="1:8">
      <c r="A64" t="s">
        <v>1210</v>
      </c>
      <c r="B64">
        <v>0</v>
      </c>
      <c r="C64">
        <v>2</v>
      </c>
      <c r="D64">
        <v>0</v>
      </c>
      <c r="E64">
        <v>0</v>
      </c>
      <c r="F64">
        <v>0</v>
      </c>
      <c r="G64">
        <v>0</v>
      </c>
      <c r="H64" s="426" t="str">
        <f>_xlfn.XLOOKUP(A64,'Region Mapping'!B:B,'Region Mapping'!A:A)</f>
        <v>EUE</v>
      </c>
    </row>
    <row r="65" spans="1:8">
      <c r="A65" t="s">
        <v>1166</v>
      </c>
      <c r="B65">
        <v>168</v>
      </c>
      <c r="C65">
        <v>59</v>
      </c>
      <c r="D65">
        <v>52</v>
      </c>
      <c r="E65">
        <v>55</v>
      </c>
      <c r="F65">
        <v>32</v>
      </c>
      <c r="G65">
        <v>32</v>
      </c>
      <c r="H65" s="426" t="str">
        <f>_xlfn.XLOOKUP(A65,'Region Mapping'!B:B,'Region Mapping'!A:A)</f>
        <v>AFZ</v>
      </c>
    </row>
    <row r="66" spans="1:8">
      <c r="A66" t="s">
        <v>1466</v>
      </c>
      <c r="B66">
        <v>0</v>
      </c>
      <c r="C66">
        <v>0</v>
      </c>
      <c r="D66">
        <v>0</v>
      </c>
      <c r="E66">
        <v>0</v>
      </c>
      <c r="F66">
        <v>0</v>
      </c>
      <c r="G66">
        <v>0</v>
      </c>
      <c r="H66" s="426" t="str">
        <f>_xlfn.XLOOKUP(A66,'Region Mapping'!B:B,'Region Mapping'!A:A)</f>
        <v>SKT</v>
      </c>
    </row>
    <row r="67" spans="1:8">
      <c r="A67" t="s">
        <v>1163</v>
      </c>
      <c r="B67">
        <v>0</v>
      </c>
      <c r="C67">
        <v>0</v>
      </c>
      <c r="D67">
        <v>0</v>
      </c>
      <c r="E67">
        <v>0</v>
      </c>
      <c r="F67">
        <v>0</v>
      </c>
      <c r="G67">
        <v>0</v>
      </c>
      <c r="H67" s="426" t="str">
        <f>_xlfn.XLOOKUP(A67,'Region Mapping'!B:B,'Region Mapping'!A:A)</f>
        <v>EUM</v>
      </c>
    </row>
    <row r="68" spans="1:8">
      <c r="A68" t="s">
        <v>1991</v>
      </c>
      <c r="B68">
        <v>0</v>
      </c>
      <c r="C68">
        <v>0</v>
      </c>
      <c r="D68">
        <v>0</v>
      </c>
      <c r="E68">
        <v>0</v>
      </c>
      <c r="F68">
        <v>0</v>
      </c>
      <c r="G68">
        <v>0</v>
      </c>
      <c r="H68" s="426" t="str">
        <f>_xlfn.XLOOKUP(A68,'Region Mapping'!B:B,'Region Mapping'!A:A)</f>
        <v>ASC</v>
      </c>
    </row>
    <row r="69" spans="1:8">
      <c r="A69" t="s">
        <v>1213</v>
      </c>
      <c r="B69">
        <v>0</v>
      </c>
      <c r="C69">
        <v>0</v>
      </c>
      <c r="D69">
        <v>0</v>
      </c>
      <c r="E69">
        <v>0</v>
      </c>
      <c r="F69">
        <v>0</v>
      </c>
      <c r="G69">
        <v>0</v>
      </c>
      <c r="H69" s="426" t="str">
        <f>_xlfn.XLOOKUP(A69,'Region Mapping'!B:B,'Region Mapping'!A:A)</f>
        <v>AFE</v>
      </c>
    </row>
    <row r="70" spans="1:8">
      <c r="A70" t="s">
        <v>1096</v>
      </c>
      <c r="B70">
        <v>0</v>
      </c>
      <c r="C70">
        <v>0</v>
      </c>
      <c r="D70">
        <v>14</v>
      </c>
      <c r="E70">
        <v>0</v>
      </c>
      <c r="F70">
        <v>0</v>
      </c>
      <c r="G70">
        <v>0</v>
      </c>
      <c r="H70" s="426" t="str">
        <f>_xlfn.XLOOKUP(A70,'Region Mapping'!B:B,'Region Mapping'!A:A)</f>
        <v>ASE</v>
      </c>
    </row>
    <row r="71" spans="1:8">
      <c r="A71" t="s">
        <v>1164</v>
      </c>
      <c r="B71">
        <v>43</v>
      </c>
      <c r="C71">
        <v>6</v>
      </c>
      <c r="D71">
        <v>39</v>
      </c>
      <c r="E71">
        <v>0</v>
      </c>
      <c r="F71">
        <v>3</v>
      </c>
      <c r="G71">
        <v>0</v>
      </c>
      <c r="H71" s="426" t="str">
        <f>_xlfn.XLOOKUP(A71,'Region Mapping'!B:B,'Region Mapping'!A:A)</f>
        <v>MDA</v>
      </c>
    </row>
    <row r="72" spans="1:8">
      <c r="A72" t="s">
        <v>1133</v>
      </c>
      <c r="B72">
        <v>0</v>
      </c>
      <c r="C72">
        <v>28</v>
      </c>
      <c r="D72">
        <v>0</v>
      </c>
      <c r="E72">
        <v>0</v>
      </c>
      <c r="F72">
        <v>0</v>
      </c>
      <c r="G72">
        <v>0</v>
      </c>
      <c r="H72" s="426" t="str">
        <f>_xlfn.XLOOKUP(A72,'Region Mapping'!B:B,'Region Mapping'!A:A)</f>
        <v>ENE</v>
      </c>
    </row>
    <row r="73" spans="1:8">
      <c r="A73" t="s">
        <v>1517</v>
      </c>
      <c r="B73">
        <v>0</v>
      </c>
      <c r="C73">
        <v>0</v>
      </c>
      <c r="D73">
        <v>0</v>
      </c>
      <c r="E73">
        <v>0</v>
      </c>
      <c r="F73">
        <v>4</v>
      </c>
      <c r="G73">
        <v>0</v>
      </c>
      <c r="H73" s="426" t="str">
        <f>_xlfn.XLOOKUP(A73,'Region Mapping'!B:B,'Region Mapping'!A:A)</f>
        <v>ENW</v>
      </c>
    </row>
    <row r="74" spans="1:8">
      <c r="A74" t="s">
        <v>247</v>
      </c>
      <c r="B74">
        <v>298</v>
      </c>
      <c r="C74">
        <v>166</v>
      </c>
      <c r="D74">
        <v>2</v>
      </c>
      <c r="E74">
        <v>0</v>
      </c>
      <c r="F74">
        <v>3</v>
      </c>
      <c r="G74">
        <v>0</v>
      </c>
      <c r="H74" s="426" t="str">
        <f>_xlfn.XLOOKUP(A74,'Region Mapping'!B:B,'Region Mapping'!A:A)</f>
        <v>USA</v>
      </c>
    </row>
    <row r="75" spans="1:8">
      <c r="A75" t="s">
        <v>1065</v>
      </c>
      <c r="B75">
        <v>5</v>
      </c>
      <c r="C75">
        <v>0</v>
      </c>
      <c r="D75">
        <v>0</v>
      </c>
      <c r="E75">
        <v>0</v>
      </c>
      <c r="F75">
        <v>4</v>
      </c>
      <c r="G75">
        <v>0</v>
      </c>
      <c r="H75" s="426" t="str">
        <f>_xlfn.XLOOKUP(A75,'Region Mapping'!B:B,'Region Mapping'!A:A)</f>
        <v>ASC</v>
      </c>
    </row>
    <row r="76" spans="1:8">
      <c r="A76" t="s">
        <v>1992</v>
      </c>
      <c r="B76">
        <v>8</v>
      </c>
      <c r="C76">
        <v>0</v>
      </c>
      <c r="D76">
        <v>0</v>
      </c>
      <c r="E76">
        <v>1</v>
      </c>
      <c r="F76">
        <v>0</v>
      </c>
      <c r="G76">
        <v>0</v>
      </c>
      <c r="H76" s="426" t="str">
        <f>_xlfn.XLOOKUP(A76,'Region Mapping'!B:B,'Region Mapping'!A:A)</f>
        <v>LAM</v>
      </c>
    </row>
    <row r="77" spans="1:8">
      <c r="A77" t="s">
        <v>1214</v>
      </c>
      <c r="B77">
        <v>22</v>
      </c>
      <c r="C77">
        <v>25</v>
      </c>
      <c r="D77">
        <v>8</v>
      </c>
      <c r="E77">
        <v>0</v>
      </c>
      <c r="F77">
        <v>0</v>
      </c>
      <c r="G77">
        <v>0</v>
      </c>
      <c r="H77" s="426" t="str">
        <f>_xlfn.XLOOKUP(A77,'Region Mapping'!B:B,'Region Mapping'!A:A)</f>
        <v>IDN</v>
      </c>
    </row>
    <row r="78" spans="1:8">
      <c r="A78" t="s">
        <v>1215</v>
      </c>
      <c r="B78">
        <v>0</v>
      </c>
      <c r="C78">
        <v>0</v>
      </c>
      <c r="D78">
        <v>0</v>
      </c>
      <c r="E78">
        <v>0</v>
      </c>
      <c r="F78">
        <v>0</v>
      </c>
      <c r="G78">
        <v>0</v>
      </c>
      <c r="H78" s="426" t="str">
        <f>_xlfn.XLOOKUP(A78,'Region Mapping'!B:B,'Region Mapping'!A:A)</f>
        <v>AFZ</v>
      </c>
    </row>
    <row r="79" spans="1:8">
      <c r="A79" t="s">
        <v>1167</v>
      </c>
      <c r="B79">
        <v>1</v>
      </c>
      <c r="C79">
        <v>1</v>
      </c>
      <c r="D79">
        <v>1</v>
      </c>
      <c r="E79">
        <v>0</v>
      </c>
      <c r="F79">
        <v>0</v>
      </c>
      <c r="G79">
        <v>0</v>
      </c>
      <c r="H79" s="426" t="str">
        <f>_xlfn.XLOOKUP(A79,'Region Mapping'!B:B,'Region Mapping'!A:A)</f>
        <v>AFZ</v>
      </c>
    </row>
    <row r="80" spans="1:8">
      <c r="A80" t="s">
        <v>1993</v>
      </c>
      <c r="B80" s="176">
        <v>4332</v>
      </c>
      <c r="C80" s="176">
        <v>3496</v>
      </c>
      <c r="D80">
        <v>236</v>
      </c>
      <c r="E80" s="176">
        <v>1071</v>
      </c>
      <c r="F80">
        <v>991</v>
      </c>
      <c r="G80">
        <v>280</v>
      </c>
      <c r="H80" s="426"/>
    </row>
    <row r="82" spans="1:1">
      <c r="A82" t="s">
        <v>1994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E4F5C-47AC-4DD8-87B7-29FFB284CCA9}">
  <sheetPr>
    <tabColor theme="5" tint="0.59999389629810485"/>
  </sheetPr>
  <dimension ref="A1:AI398"/>
  <sheetViews>
    <sheetView topLeftCell="A150" workbookViewId="0">
      <selection activeCell="M166" sqref="M166"/>
    </sheetView>
  </sheetViews>
  <sheetFormatPr defaultRowHeight="15.6"/>
  <cols>
    <col min="1" max="1" width="36.5" bestFit="1" customWidth="1"/>
    <col min="2" max="2" width="22.09765625" bestFit="1" customWidth="1"/>
    <col min="3" max="3" width="22.09765625" customWidth="1"/>
    <col min="4" max="4" width="12.09765625" bestFit="1" customWidth="1"/>
    <col min="5" max="5" width="14.8984375" bestFit="1" customWidth="1"/>
    <col min="6" max="32" width="14.69921875" bestFit="1" customWidth="1"/>
    <col min="33" max="33" width="17.09765625" bestFit="1" customWidth="1"/>
    <col min="35" max="35" width="16.19921875" bestFit="1" customWidth="1"/>
  </cols>
  <sheetData>
    <row r="1" spans="1:35">
      <c r="A1" s="345" t="s">
        <v>931</v>
      </c>
    </row>
    <row r="2" spans="1:35">
      <c r="E2" s="174"/>
    </row>
    <row r="4" spans="1:35">
      <c r="A4" s="227"/>
      <c r="B4" s="231"/>
      <c r="C4" s="231"/>
      <c r="D4" s="231"/>
      <c r="E4" s="599" t="s">
        <v>932</v>
      </c>
      <c r="F4" s="599"/>
      <c r="G4" s="599"/>
      <c r="H4" s="599"/>
      <c r="I4" s="599"/>
      <c r="J4" s="599"/>
      <c r="K4" s="599"/>
      <c r="L4" s="599"/>
      <c r="M4" s="599"/>
      <c r="N4" s="599"/>
      <c r="O4" s="599"/>
      <c r="P4" s="599"/>
      <c r="Q4" s="599"/>
      <c r="R4" s="599"/>
      <c r="S4" s="599"/>
      <c r="T4" s="599"/>
      <c r="U4" s="599"/>
      <c r="V4" s="599"/>
      <c r="W4" s="599"/>
      <c r="X4" s="599"/>
      <c r="Y4" s="599"/>
      <c r="Z4" s="599"/>
      <c r="AA4" s="599"/>
      <c r="AB4" s="599"/>
      <c r="AC4" s="599"/>
      <c r="AD4" s="599"/>
      <c r="AE4" s="599"/>
      <c r="AF4" s="600"/>
      <c r="AG4" s="231" t="s">
        <v>933</v>
      </c>
    </row>
    <row r="5" spans="1:35">
      <c r="A5" s="434" t="s">
        <v>934</v>
      </c>
      <c r="B5" s="68" t="s">
        <v>935</v>
      </c>
      <c r="C5" s="68" t="s">
        <v>655</v>
      </c>
      <c r="D5" s="68" t="s">
        <v>375</v>
      </c>
      <c r="E5" s="69" t="s">
        <v>172</v>
      </c>
      <c r="F5" s="69" t="s">
        <v>175</v>
      </c>
      <c r="G5" s="69" t="s">
        <v>178</v>
      </c>
      <c r="H5" s="69" t="s">
        <v>181</v>
      </c>
      <c r="I5" s="69" t="s">
        <v>184</v>
      </c>
      <c r="J5" s="69" t="s">
        <v>187</v>
      </c>
      <c r="K5" s="69" t="s">
        <v>190</v>
      </c>
      <c r="L5" s="69" t="s">
        <v>193</v>
      </c>
      <c r="M5" s="69" t="s">
        <v>196</v>
      </c>
      <c r="N5" s="69" t="s">
        <v>198</v>
      </c>
      <c r="O5" s="69" t="s">
        <v>200</v>
      </c>
      <c r="P5" s="69" t="s">
        <v>202</v>
      </c>
      <c r="Q5" s="69" t="s">
        <v>205</v>
      </c>
      <c r="R5" s="69" t="s">
        <v>208</v>
      </c>
      <c r="S5" s="69" t="s">
        <v>211</v>
      </c>
      <c r="T5" s="69" t="s">
        <v>214</v>
      </c>
      <c r="U5" s="69" t="s">
        <v>217</v>
      </c>
      <c r="V5" s="69" t="s">
        <v>220</v>
      </c>
      <c r="W5" s="69" t="s">
        <v>223</v>
      </c>
      <c r="X5" s="69" t="s">
        <v>225</v>
      </c>
      <c r="Y5" s="69" t="s">
        <v>227</v>
      </c>
      <c r="Z5" s="69" t="s">
        <v>230</v>
      </c>
      <c r="AA5" s="69" t="s">
        <v>233</v>
      </c>
      <c r="AB5" s="69" t="s">
        <v>236</v>
      </c>
      <c r="AC5" s="69" t="s">
        <v>238</v>
      </c>
      <c r="AD5" s="69" t="s">
        <v>240</v>
      </c>
      <c r="AE5" s="69" t="s">
        <v>243</v>
      </c>
      <c r="AF5" s="91" t="s">
        <v>245</v>
      </c>
      <c r="AG5" s="68" t="s">
        <v>936</v>
      </c>
    </row>
    <row r="6" spans="1:35">
      <c r="A6" s="215" t="s">
        <v>937</v>
      </c>
      <c r="B6" s="232" t="s">
        <v>938</v>
      </c>
      <c r="C6" s="232">
        <v>2019</v>
      </c>
      <c r="D6" s="232" t="s">
        <v>939</v>
      </c>
      <c r="E6" s="209">
        <v>80998</v>
      </c>
      <c r="F6" s="209">
        <v>12.230409401185399</v>
      </c>
      <c r="G6" s="209">
        <v>74843</v>
      </c>
      <c r="H6" s="209">
        <v>22170.438792213299</v>
      </c>
      <c r="I6" s="209">
        <v>1705.55555555556</v>
      </c>
      <c r="J6" s="209">
        <v>1483.0775543647301</v>
      </c>
      <c r="K6" s="209">
        <v>25692</v>
      </c>
      <c r="L6" s="209">
        <v>22875</v>
      </c>
      <c r="M6" s="209">
        <v>33852</v>
      </c>
      <c r="N6" s="209">
        <v>1133</v>
      </c>
      <c r="O6" s="209">
        <v>4074</v>
      </c>
      <c r="P6" s="209">
        <v>49458</v>
      </c>
      <c r="Q6" s="209">
        <v>10071.0327066875</v>
      </c>
      <c r="R6" s="209">
        <v>5443.5994575214499</v>
      </c>
      <c r="S6" s="209">
        <v>11941.710804084201</v>
      </c>
      <c r="T6" s="209">
        <v>13099</v>
      </c>
      <c r="U6" s="209">
        <v>19231.216157694198</v>
      </c>
      <c r="V6" s="209">
        <v>26810</v>
      </c>
      <c r="W6" s="209">
        <v>78701.349145108295</v>
      </c>
      <c r="X6" s="209">
        <v>193.333333333333</v>
      </c>
      <c r="Y6" s="209">
        <v>27869</v>
      </c>
      <c r="Z6" s="209">
        <v>1590.59295</v>
      </c>
      <c r="AA6" s="209">
        <v>313.43378391884301</v>
      </c>
      <c r="AB6" s="209">
        <v>12335</v>
      </c>
      <c r="AC6" s="209">
        <v>20281.591409873199</v>
      </c>
      <c r="AD6" s="209">
        <v>4991.3078590109999</v>
      </c>
      <c r="AE6" s="209">
        <v>0</v>
      </c>
      <c r="AF6" s="220">
        <v>13973.530081233201</v>
      </c>
      <c r="AG6" s="436">
        <v>19</v>
      </c>
      <c r="AI6" s="174"/>
    </row>
    <row r="7" spans="1:35">
      <c r="A7" s="215" t="s">
        <v>937</v>
      </c>
      <c r="B7" s="232" t="s">
        <v>938</v>
      </c>
      <c r="C7">
        <v>2020</v>
      </c>
      <c r="D7" s="232" t="s">
        <v>939</v>
      </c>
      <c r="E7" s="209">
        <v>80998</v>
      </c>
      <c r="F7" s="209">
        <v>12.230409401185399</v>
      </c>
      <c r="G7" s="209">
        <v>74843</v>
      </c>
      <c r="H7" s="209">
        <v>22170.438792213299</v>
      </c>
      <c r="I7" s="209">
        <v>1705.55555555556</v>
      </c>
      <c r="J7" s="209">
        <v>1483.0775543647301</v>
      </c>
      <c r="K7" s="209">
        <v>25692</v>
      </c>
      <c r="L7" s="209">
        <v>22875</v>
      </c>
      <c r="M7" s="209">
        <v>33852</v>
      </c>
      <c r="N7" s="209">
        <v>1133</v>
      </c>
      <c r="O7" s="209">
        <v>4074</v>
      </c>
      <c r="P7" s="209">
        <v>49458</v>
      </c>
      <c r="Q7" s="209">
        <v>10071.0327066875</v>
      </c>
      <c r="R7" s="209">
        <v>5443.5994575214499</v>
      </c>
      <c r="S7" s="209">
        <v>11941.710804084201</v>
      </c>
      <c r="T7" s="209">
        <v>13099</v>
      </c>
      <c r="U7" s="209">
        <v>19231.216157694198</v>
      </c>
      <c r="V7" s="209">
        <v>26810</v>
      </c>
      <c r="W7" s="209">
        <v>78701.349145108295</v>
      </c>
      <c r="X7" s="209">
        <v>193.333333333333</v>
      </c>
      <c r="Y7" s="209">
        <v>27869</v>
      </c>
      <c r="Z7" s="209">
        <v>1590.59295</v>
      </c>
      <c r="AA7" s="209">
        <v>313.43378391884301</v>
      </c>
      <c r="AB7" s="209">
        <v>12335</v>
      </c>
      <c r="AC7" s="209">
        <v>20281.591409873199</v>
      </c>
      <c r="AD7" s="209">
        <v>4991.3078590109999</v>
      </c>
      <c r="AE7" s="209">
        <v>0</v>
      </c>
      <c r="AF7" s="220">
        <v>13973.530081233201</v>
      </c>
      <c r="AG7" s="436">
        <v>19</v>
      </c>
      <c r="AI7" s="174"/>
    </row>
    <row r="8" spans="1:35">
      <c r="A8" s="215" t="s">
        <v>937</v>
      </c>
      <c r="B8" s="232" t="s">
        <v>938</v>
      </c>
      <c r="C8" s="232">
        <v>2025</v>
      </c>
      <c r="D8" s="232" t="s">
        <v>939</v>
      </c>
      <c r="E8" s="209">
        <v>87536</v>
      </c>
      <c r="F8" s="209">
        <v>12.583846143468302</v>
      </c>
      <c r="G8" s="209">
        <v>81707</v>
      </c>
      <c r="H8" s="209">
        <v>23375.929997470601</v>
      </c>
      <c r="I8" s="209">
        <v>1822.35294117647</v>
      </c>
      <c r="J8" s="209">
        <v>1451.9095979051099</v>
      </c>
      <c r="K8" s="209">
        <v>26180</v>
      </c>
      <c r="L8" s="209">
        <v>19609.167452617701</v>
      </c>
      <c r="M8" s="209">
        <v>33091</v>
      </c>
      <c r="N8" s="209">
        <v>1256.7176470588199</v>
      </c>
      <c r="O8" s="209">
        <v>4125.45</v>
      </c>
      <c r="P8" s="209">
        <v>43439</v>
      </c>
      <c r="Q8" s="209">
        <v>12750.6201784881</v>
      </c>
      <c r="R8" s="209">
        <v>8913.8217240158592</v>
      </c>
      <c r="S8" s="209">
        <v>21349.4710501673</v>
      </c>
      <c r="T8" s="209">
        <v>12688</v>
      </c>
      <c r="U8" s="209">
        <v>18519.2975232303</v>
      </c>
      <c r="V8" s="209">
        <v>25169</v>
      </c>
      <c r="W8" s="209">
        <v>67010.488965759199</v>
      </c>
      <c r="X8" s="209">
        <v>190.58823529411799</v>
      </c>
      <c r="Y8" s="209">
        <v>28135</v>
      </c>
      <c r="Z8" s="209">
        <v>1539.81495</v>
      </c>
      <c r="AA8" s="209">
        <v>331.44535673885599</v>
      </c>
      <c r="AB8" s="209">
        <v>12335</v>
      </c>
      <c r="AC8" s="209">
        <v>12639.5007136271</v>
      </c>
      <c r="AD8" s="209">
        <v>5386.0081454476403</v>
      </c>
      <c r="AE8" s="209">
        <v>0</v>
      </c>
      <c r="AF8" s="220">
        <v>14804.831674859401</v>
      </c>
      <c r="AG8" s="436">
        <v>19</v>
      </c>
      <c r="AI8" s="174"/>
    </row>
    <row r="9" spans="1:35">
      <c r="A9" s="215" t="s">
        <v>937</v>
      </c>
      <c r="B9" s="232" t="s">
        <v>938</v>
      </c>
      <c r="C9" s="232">
        <v>2030</v>
      </c>
      <c r="D9" s="232" t="s">
        <v>939</v>
      </c>
      <c r="E9" s="209">
        <v>89116</v>
      </c>
      <c r="F9" s="209">
        <v>12.9613351922011</v>
      </c>
      <c r="G9" s="209">
        <v>87809</v>
      </c>
      <c r="H9" s="209">
        <v>23155.7072378989</v>
      </c>
      <c r="I9" s="209">
        <v>1945</v>
      </c>
      <c r="J9" s="209">
        <v>1384.39355119725</v>
      </c>
      <c r="K9" s="209">
        <v>25130</v>
      </c>
      <c r="L9" s="209">
        <v>17716.7183180631</v>
      </c>
      <c r="M9" s="209">
        <v>32524</v>
      </c>
      <c r="N9" s="209">
        <v>1351.3500000000001</v>
      </c>
      <c r="O9" s="209">
        <v>3856</v>
      </c>
      <c r="P9" s="209">
        <v>38986</v>
      </c>
      <c r="Q9" s="209">
        <v>14905.445688437901</v>
      </c>
      <c r="R9" s="209">
        <v>12598.8749754165</v>
      </c>
      <c r="S9" s="209">
        <v>28511.598163362803</v>
      </c>
      <c r="T9" s="209">
        <v>12291</v>
      </c>
      <c r="U9" s="209">
        <v>19484.268552323701</v>
      </c>
      <c r="V9" s="209">
        <v>23049</v>
      </c>
      <c r="W9" s="209">
        <v>56608.779119912804</v>
      </c>
      <c r="X9" s="209">
        <v>188.75</v>
      </c>
      <c r="Y9" s="209">
        <v>28112</v>
      </c>
      <c r="Z9" s="209">
        <v>1485.396</v>
      </c>
      <c r="AA9" s="209">
        <v>251.31525795580001</v>
      </c>
      <c r="AB9" s="209">
        <v>12259</v>
      </c>
      <c r="AC9" s="209">
        <v>1993.54895011998</v>
      </c>
      <c r="AD9" s="209">
        <v>5916.4464250595001</v>
      </c>
      <c r="AE9" s="209">
        <v>0</v>
      </c>
      <c r="AF9" s="220">
        <v>15916.446425059499</v>
      </c>
      <c r="AG9" s="436">
        <v>19</v>
      </c>
      <c r="AI9" s="174"/>
    </row>
    <row r="10" spans="1:35">
      <c r="A10" s="215" t="s">
        <v>937</v>
      </c>
      <c r="B10" s="232" t="s">
        <v>938</v>
      </c>
      <c r="C10" s="232">
        <v>2035</v>
      </c>
      <c r="D10" s="232" t="s">
        <v>939</v>
      </c>
      <c r="E10" s="209">
        <v>89347</v>
      </c>
      <c r="F10" s="209">
        <v>13.1657048222332</v>
      </c>
      <c r="G10" s="209">
        <v>89725</v>
      </c>
      <c r="H10" s="209">
        <v>22933.0325272023</v>
      </c>
      <c r="I10" s="209">
        <v>1906.25</v>
      </c>
      <c r="J10" s="209">
        <v>1416.5919639342399</v>
      </c>
      <c r="K10" s="209">
        <v>23329</v>
      </c>
      <c r="L10" s="209">
        <v>16753.1845055903</v>
      </c>
      <c r="M10" s="209">
        <v>31005</v>
      </c>
      <c r="N10" s="209">
        <v>1306.8</v>
      </c>
      <c r="O10" s="209">
        <v>3739</v>
      </c>
      <c r="P10" s="209">
        <v>35187</v>
      </c>
      <c r="Q10" s="209">
        <v>14668.9733571631</v>
      </c>
      <c r="R10" s="209">
        <v>12657.7192255627</v>
      </c>
      <c r="S10" s="209">
        <v>28186.971967237099</v>
      </c>
      <c r="T10" s="209">
        <v>11920</v>
      </c>
      <c r="U10" s="209">
        <v>19163.8846552945</v>
      </c>
      <c r="V10" s="209">
        <v>21429</v>
      </c>
      <c r="W10" s="209">
        <v>52312.826804902099</v>
      </c>
      <c r="X10" s="209">
        <v>178.75</v>
      </c>
      <c r="Y10" s="209">
        <v>27351</v>
      </c>
      <c r="Z10" s="209">
        <v>1089.6096115938601</v>
      </c>
      <c r="AA10" s="209">
        <v>103.31928971252501</v>
      </c>
      <c r="AB10" s="209">
        <v>11974</v>
      </c>
      <c r="AC10" s="209">
        <v>1610.0363225386</v>
      </c>
      <c r="AD10" s="209">
        <v>5655.56703222325</v>
      </c>
      <c r="AE10" s="209">
        <v>0</v>
      </c>
      <c r="AF10" s="220">
        <v>15804.3170322232</v>
      </c>
      <c r="AG10" s="436">
        <v>19</v>
      </c>
      <c r="AI10" s="174"/>
    </row>
    <row r="11" spans="1:35">
      <c r="A11" s="215" t="s">
        <v>937</v>
      </c>
      <c r="B11" s="232" t="s">
        <v>938</v>
      </c>
      <c r="C11" s="232">
        <v>2040</v>
      </c>
      <c r="D11" s="232" t="s">
        <v>939</v>
      </c>
      <c r="E11" s="209">
        <v>89172</v>
      </c>
      <c r="F11" s="209">
        <v>13.5898797853774</v>
      </c>
      <c r="G11" s="209">
        <v>90148</v>
      </c>
      <c r="H11" s="209">
        <v>22707.768134480903</v>
      </c>
      <c r="I11" s="209">
        <v>1865</v>
      </c>
      <c r="J11" s="209">
        <v>1468.10942431341</v>
      </c>
      <c r="K11" s="209">
        <v>21554</v>
      </c>
      <c r="L11" s="209">
        <v>15812.8202458221</v>
      </c>
      <c r="M11" s="209">
        <v>28996</v>
      </c>
      <c r="N11" s="209">
        <v>1259.7750000000001</v>
      </c>
      <c r="O11" s="209">
        <v>3597</v>
      </c>
      <c r="P11" s="209">
        <v>32295</v>
      </c>
      <c r="Q11" s="209">
        <v>14473.972226068501</v>
      </c>
      <c r="R11" s="209">
        <v>12713.071410663</v>
      </c>
      <c r="S11" s="209">
        <v>27959.7550649447</v>
      </c>
      <c r="T11" s="209">
        <v>11594</v>
      </c>
      <c r="U11" s="209">
        <v>18868.9012105724</v>
      </c>
      <c r="V11" s="209">
        <v>20102</v>
      </c>
      <c r="W11" s="209">
        <v>48580.133999298501</v>
      </c>
      <c r="X11" s="209">
        <v>168.75</v>
      </c>
      <c r="Y11" s="209">
        <v>26259</v>
      </c>
      <c r="Z11" s="209">
        <v>1048.9697034907799</v>
      </c>
      <c r="AA11" s="209">
        <v>48.9049311543925</v>
      </c>
      <c r="AB11" s="209">
        <v>11611</v>
      </c>
      <c r="AC11" s="209">
        <v>941.029794930771</v>
      </c>
      <c r="AD11" s="209">
        <v>5448.4744872375704</v>
      </c>
      <c r="AE11" s="209">
        <v>0</v>
      </c>
      <c r="AF11" s="220">
        <v>15745.9744872376</v>
      </c>
      <c r="AG11" s="436">
        <v>19</v>
      </c>
      <c r="AI11" s="174"/>
    </row>
    <row r="12" spans="1:35">
      <c r="A12" s="215" t="s">
        <v>937</v>
      </c>
      <c r="B12" s="232" t="s">
        <v>938</v>
      </c>
      <c r="C12" s="232">
        <v>2045</v>
      </c>
      <c r="D12" s="232" t="s">
        <v>939</v>
      </c>
      <c r="E12" s="209">
        <v>88200</v>
      </c>
      <c r="F12" s="209">
        <v>13.518138021882301</v>
      </c>
      <c r="G12" s="209">
        <v>89422</v>
      </c>
      <c r="H12" s="209">
        <v>22294.578207782</v>
      </c>
      <c r="I12" s="209">
        <v>1825</v>
      </c>
      <c r="J12" s="209">
        <v>1529.2864085136798</v>
      </c>
      <c r="K12" s="209">
        <v>19815</v>
      </c>
      <c r="L12" s="209">
        <v>14860.471734655001</v>
      </c>
      <c r="M12" s="209">
        <v>26756</v>
      </c>
      <c r="N12" s="209">
        <v>1215.2249999999999</v>
      </c>
      <c r="O12" s="209">
        <v>3430</v>
      </c>
      <c r="P12" s="209">
        <v>29609</v>
      </c>
      <c r="Q12" s="209">
        <v>13989.4120047695</v>
      </c>
      <c r="R12" s="209">
        <v>12455.473374101401</v>
      </c>
      <c r="S12" s="209">
        <v>27162.944846352901</v>
      </c>
      <c r="T12" s="209">
        <v>11286</v>
      </c>
      <c r="U12" s="209">
        <v>18367.339307873099</v>
      </c>
      <c r="V12" s="209">
        <v>18956</v>
      </c>
      <c r="W12" s="209">
        <v>45083.930292680197</v>
      </c>
      <c r="X12" s="209">
        <v>158.75</v>
      </c>
      <c r="Y12" s="209">
        <v>24958</v>
      </c>
      <c r="Z12" s="209">
        <v>1012.1637489823401</v>
      </c>
      <c r="AA12" s="209">
        <v>312.41554646507802</v>
      </c>
      <c r="AB12" s="209">
        <v>11172</v>
      </c>
      <c r="AC12" s="209">
        <v>1433.2489972026301</v>
      </c>
      <c r="AD12" s="209">
        <v>5235.2461963002006</v>
      </c>
      <c r="AE12" s="209">
        <v>0</v>
      </c>
      <c r="AF12" s="220">
        <v>15643.996196300201</v>
      </c>
      <c r="AG12" s="436">
        <v>19</v>
      </c>
      <c r="AI12" s="174"/>
    </row>
    <row r="13" spans="1:35">
      <c r="A13" s="215" t="s">
        <v>937</v>
      </c>
      <c r="B13" s="232" t="s">
        <v>938</v>
      </c>
      <c r="C13" s="232">
        <v>2050</v>
      </c>
      <c r="D13" s="232" t="s">
        <v>939</v>
      </c>
      <c r="E13" s="209">
        <v>86491</v>
      </c>
      <c r="F13" s="209">
        <v>13.6552945414767</v>
      </c>
      <c r="G13" s="209">
        <v>87752</v>
      </c>
      <c r="H13" s="209">
        <v>21632.624886945203</v>
      </c>
      <c r="I13" s="209">
        <v>1795</v>
      </c>
      <c r="J13" s="209">
        <v>1592.8782736692199</v>
      </c>
      <c r="K13" s="209">
        <v>18129</v>
      </c>
      <c r="L13" s="209">
        <v>13922.504325166499</v>
      </c>
      <c r="M13" s="209">
        <v>24491</v>
      </c>
      <c r="N13" s="209">
        <v>1180.5749999999998</v>
      </c>
      <c r="O13" s="209">
        <v>3256</v>
      </c>
      <c r="P13" s="209">
        <v>27032</v>
      </c>
      <c r="Q13" s="209">
        <v>13126.3848040349</v>
      </c>
      <c r="R13" s="209">
        <v>11812.4855473158</v>
      </c>
      <c r="S13" s="209">
        <v>25607.470062297001</v>
      </c>
      <c r="T13" s="209">
        <v>10987</v>
      </c>
      <c r="U13" s="209">
        <v>17607.1887681997</v>
      </c>
      <c r="V13" s="209">
        <v>17922</v>
      </c>
      <c r="W13" s="209">
        <v>41739.527021221198</v>
      </c>
      <c r="X13" s="209">
        <v>150</v>
      </c>
      <c r="Y13" s="209">
        <v>23560</v>
      </c>
      <c r="Z13" s="209">
        <v>974.59100375496098</v>
      </c>
      <c r="AA13" s="209">
        <v>157.64049821597601</v>
      </c>
      <c r="AB13" s="209">
        <v>10690</v>
      </c>
      <c r="AC13" s="209">
        <v>4055.7286439763498</v>
      </c>
      <c r="AD13" s="209">
        <v>4992.4979353308299</v>
      </c>
      <c r="AE13" s="209">
        <v>0</v>
      </c>
      <c r="AF13" s="220">
        <v>15486.247935330801</v>
      </c>
      <c r="AG13" s="436">
        <v>19</v>
      </c>
      <c r="AI13" s="174"/>
    </row>
    <row r="14" spans="1:35">
      <c r="A14" s="215" t="s">
        <v>937</v>
      </c>
      <c r="B14" s="232" t="s">
        <v>938</v>
      </c>
      <c r="C14" s="232">
        <v>2060</v>
      </c>
      <c r="D14" s="232" t="s">
        <v>939</v>
      </c>
      <c r="E14" s="209">
        <v>80821</v>
      </c>
      <c r="F14" s="209">
        <v>32.9876166940495</v>
      </c>
      <c r="G14" s="209">
        <v>82081</v>
      </c>
      <c r="H14" s="209">
        <v>20034.441642571099</v>
      </c>
      <c r="I14" s="209">
        <v>1737.5</v>
      </c>
      <c r="J14" s="209">
        <v>1702.3528769749701</v>
      </c>
      <c r="K14" s="209">
        <v>14998</v>
      </c>
      <c r="L14" s="209">
        <v>12112.083413837099</v>
      </c>
      <c r="M14" s="209">
        <v>20326</v>
      </c>
      <c r="N14" s="209">
        <v>1117.4625000000001</v>
      </c>
      <c r="O14" s="209">
        <v>3079</v>
      </c>
      <c r="P14" s="209">
        <v>22185</v>
      </c>
      <c r="Q14" s="209">
        <v>13170.308558684799</v>
      </c>
      <c r="R14" s="209">
        <v>12139.8586835317</v>
      </c>
      <c r="S14" s="209">
        <v>23955.270260416699</v>
      </c>
      <c r="T14" s="209">
        <v>11266.3679985136</v>
      </c>
      <c r="U14" s="209">
        <v>17366.575891201803</v>
      </c>
      <c r="V14" s="209">
        <v>15988</v>
      </c>
      <c r="W14" s="209">
        <v>35680.292809385297</v>
      </c>
      <c r="X14" s="209">
        <v>130</v>
      </c>
      <c r="Y14" s="209">
        <v>20727</v>
      </c>
      <c r="Z14" s="209">
        <v>894.84476898665594</v>
      </c>
      <c r="AA14" s="209">
        <v>36.044376247751103</v>
      </c>
      <c r="AB14" s="209">
        <v>9734</v>
      </c>
      <c r="AC14" s="209">
        <v>4106.2309988111601</v>
      </c>
      <c r="AD14" s="209">
        <v>4711.9440976473898</v>
      </c>
      <c r="AE14" s="209">
        <v>0</v>
      </c>
      <c r="AF14" s="220">
        <v>11206.433506496101</v>
      </c>
      <c r="AG14" s="436">
        <v>19</v>
      </c>
      <c r="AI14" s="174"/>
    </row>
    <row r="15" spans="1:35">
      <c r="A15" s="215" t="s">
        <v>937</v>
      </c>
      <c r="B15" s="232" t="s">
        <v>938</v>
      </c>
      <c r="C15" s="232">
        <v>2070</v>
      </c>
      <c r="D15" s="232" t="s">
        <v>939</v>
      </c>
      <c r="E15" s="209">
        <v>73032</v>
      </c>
      <c r="F15" s="209">
        <v>1496.5274651833899</v>
      </c>
      <c r="G15" s="209">
        <v>75078.045281647501</v>
      </c>
      <c r="H15" s="209">
        <v>17086.433789976501</v>
      </c>
      <c r="I15" s="209">
        <v>1670</v>
      </c>
      <c r="J15" s="209">
        <v>1778.03958279671</v>
      </c>
      <c r="K15" s="209">
        <v>12308</v>
      </c>
      <c r="L15" s="209">
        <v>10421.5050164968</v>
      </c>
      <c r="M15" s="209">
        <v>16783</v>
      </c>
      <c r="N15" s="209">
        <v>1063.0124999999998</v>
      </c>
      <c r="O15" s="209">
        <v>3185</v>
      </c>
      <c r="P15" s="209">
        <v>22905.6741070307</v>
      </c>
      <c r="Q15" s="209">
        <v>6184.32285549271</v>
      </c>
      <c r="R15" s="209">
        <v>5716.9374984305705</v>
      </c>
      <c r="S15" s="209">
        <v>11460.9782867139</v>
      </c>
      <c r="T15" s="209">
        <v>12034.6875</v>
      </c>
      <c r="U15" s="209">
        <v>18617.709819522803</v>
      </c>
      <c r="V15" s="209">
        <v>17790</v>
      </c>
      <c r="W15" s="209">
        <v>30423.204054917998</v>
      </c>
      <c r="X15" s="209">
        <v>111.25</v>
      </c>
      <c r="Y15" s="209">
        <v>22655</v>
      </c>
      <c r="Z15" s="209">
        <v>818.16569709405496</v>
      </c>
      <c r="AA15" s="209">
        <v>254.67798977659601</v>
      </c>
      <c r="AB15" s="209">
        <v>8838</v>
      </c>
      <c r="AC15" s="209">
        <v>5044.6321267966705</v>
      </c>
      <c r="AD15" s="209">
        <v>3462.5982140615101</v>
      </c>
      <c r="AE15" s="209">
        <v>0</v>
      </c>
      <c r="AF15" s="220">
        <v>14187.5982140615</v>
      </c>
      <c r="AG15" s="436">
        <v>19</v>
      </c>
      <c r="AI15" s="174"/>
    </row>
    <row r="16" spans="1:35">
      <c r="A16" s="215" t="s">
        <v>937</v>
      </c>
      <c r="B16" s="232" t="s">
        <v>938</v>
      </c>
      <c r="C16" s="232">
        <v>2080</v>
      </c>
      <c r="D16" s="232" t="s">
        <v>939</v>
      </c>
      <c r="E16" s="209">
        <v>64394.000000000007</v>
      </c>
      <c r="F16" s="209">
        <v>5477.9159413397601</v>
      </c>
      <c r="G16" s="209">
        <v>66516</v>
      </c>
      <c r="H16" s="209">
        <v>14806.6759599657</v>
      </c>
      <c r="I16" s="209">
        <v>1601.25</v>
      </c>
      <c r="J16" s="209">
        <v>1825.53224158377</v>
      </c>
      <c r="K16" s="209">
        <v>10168</v>
      </c>
      <c r="L16" s="209">
        <v>8931.4630925649508</v>
      </c>
      <c r="M16" s="209">
        <v>13866</v>
      </c>
      <c r="N16" s="209">
        <v>1012.2750000000001</v>
      </c>
      <c r="O16" s="209">
        <v>2775</v>
      </c>
      <c r="P16" s="209">
        <v>19006.654001000301</v>
      </c>
      <c r="Q16" s="209">
        <v>5305.9468947243504</v>
      </c>
      <c r="R16" s="209">
        <v>5054.4060140041402</v>
      </c>
      <c r="S16" s="209">
        <v>10699.216029008599</v>
      </c>
      <c r="T16" s="209">
        <v>10674.114564072999</v>
      </c>
      <c r="U16" s="209">
        <v>15452.052380655499</v>
      </c>
      <c r="V16" s="209">
        <v>15841.25</v>
      </c>
      <c r="W16" s="209">
        <v>25917.926929319001</v>
      </c>
      <c r="X16" s="209">
        <v>96.25</v>
      </c>
      <c r="Y16" s="209">
        <v>19816.25</v>
      </c>
      <c r="Z16" s="209">
        <v>972.46012432078294</v>
      </c>
      <c r="AA16" s="209">
        <v>226.99559958348701</v>
      </c>
      <c r="AB16" s="209">
        <v>6413.5326633165805</v>
      </c>
      <c r="AC16" s="209">
        <v>5929.71656053886</v>
      </c>
      <c r="AD16" s="209">
        <v>3083.30800200059</v>
      </c>
      <c r="AE16" s="209">
        <v>0</v>
      </c>
      <c r="AF16" s="220">
        <v>13835.8080020006</v>
      </c>
      <c r="AG16" s="436">
        <v>19</v>
      </c>
      <c r="AI16" s="174"/>
    </row>
    <row r="17" spans="1:35">
      <c r="A17" s="215" t="s">
        <v>937</v>
      </c>
      <c r="B17" s="232" t="s">
        <v>938</v>
      </c>
      <c r="C17" s="232">
        <v>2090</v>
      </c>
      <c r="D17" s="232" t="s">
        <v>939</v>
      </c>
      <c r="E17" s="209">
        <v>45818.091265627503</v>
      </c>
      <c r="F17" s="209">
        <v>1384.1984560968801</v>
      </c>
      <c r="G17" s="209">
        <v>62045.885201049299</v>
      </c>
      <c r="H17" s="209">
        <v>12681.0125789719</v>
      </c>
      <c r="I17" s="209">
        <v>1522.5</v>
      </c>
      <c r="J17" s="209">
        <v>1835.9967257232802</v>
      </c>
      <c r="K17" s="209">
        <v>10539.790329650299</v>
      </c>
      <c r="L17" s="209">
        <v>7683.50304689123</v>
      </c>
      <c r="M17" s="209">
        <v>13119.421848448799</v>
      </c>
      <c r="N17" s="209">
        <v>957.82500000000005</v>
      </c>
      <c r="O17" s="209">
        <v>2413.75</v>
      </c>
      <c r="P17" s="209">
        <v>15872.3791558047</v>
      </c>
      <c r="Q17" s="209">
        <v>4919.8211734453998</v>
      </c>
      <c r="R17" s="209">
        <v>4819.5581812660002</v>
      </c>
      <c r="S17" s="209">
        <v>10055.2455183367</v>
      </c>
      <c r="T17" s="209">
        <v>10960.537499999999</v>
      </c>
      <c r="U17" s="209">
        <v>16304.195648680099</v>
      </c>
      <c r="V17" s="209">
        <v>14091.25</v>
      </c>
      <c r="W17" s="209">
        <v>22174.847778151998</v>
      </c>
      <c r="X17" s="209">
        <v>83.75</v>
      </c>
      <c r="Y17" s="209">
        <v>17373.75</v>
      </c>
      <c r="Z17" s="209">
        <v>1078.8</v>
      </c>
      <c r="AA17" s="209">
        <v>203.26783656082301</v>
      </c>
      <c r="AB17" s="209">
        <v>7332</v>
      </c>
      <c r="AC17" s="209">
        <v>6803.8561320761701</v>
      </c>
      <c r="AD17" s="209">
        <v>2799.7583116094302</v>
      </c>
      <c r="AE17" s="209">
        <v>0</v>
      </c>
      <c r="AF17" s="220">
        <v>13376.008311609401</v>
      </c>
      <c r="AG17" s="436">
        <v>19</v>
      </c>
      <c r="AI17" s="174"/>
    </row>
    <row r="18" spans="1:35">
      <c r="A18" s="229" t="s">
        <v>937</v>
      </c>
      <c r="B18" s="235" t="s">
        <v>938</v>
      </c>
      <c r="C18" s="235">
        <v>2100</v>
      </c>
      <c r="D18" s="235" t="s">
        <v>939</v>
      </c>
      <c r="E18" s="226">
        <v>38841.996568427101</v>
      </c>
      <c r="F18" s="226">
        <v>140.389202438572</v>
      </c>
      <c r="G18" s="226">
        <v>53477.336577182905</v>
      </c>
      <c r="H18" s="226">
        <v>10776.0641273171</v>
      </c>
      <c r="I18" s="226">
        <v>1437.5</v>
      </c>
      <c r="J18" s="226">
        <v>1821.17261849798</v>
      </c>
      <c r="K18" s="226">
        <v>8860</v>
      </c>
      <c r="L18" s="226">
        <v>6652.0584764912601</v>
      </c>
      <c r="M18" s="226">
        <v>12106.25</v>
      </c>
      <c r="N18" s="226">
        <v>899.66250000000002</v>
      </c>
      <c r="O18" s="226">
        <v>2111.25</v>
      </c>
      <c r="P18" s="226">
        <v>13398.6283921331</v>
      </c>
      <c r="Q18" s="226">
        <v>4545.4099321992298</v>
      </c>
      <c r="R18" s="226">
        <v>4568.2974898634002</v>
      </c>
      <c r="S18" s="226">
        <v>9430.2233718599</v>
      </c>
      <c r="T18" s="226">
        <v>10454.4</v>
      </c>
      <c r="U18" s="226">
        <v>15437.932666262701</v>
      </c>
      <c r="V18" s="226">
        <v>12533.75</v>
      </c>
      <c r="W18" s="226">
        <v>19100.489491345001</v>
      </c>
      <c r="X18" s="226">
        <v>73.75</v>
      </c>
      <c r="Y18" s="226">
        <v>15292.5</v>
      </c>
      <c r="Z18" s="226">
        <v>986.40000000000009</v>
      </c>
      <c r="AA18" s="226">
        <v>181.121924406337</v>
      </c>
      <c r="AB18" s="226">
        <v>6751</v>
      </c>
      <c r="AC18" s="226">
        <v>5464.9030930430699</v>
      </c>
      <c r="AD18" s="226">
        <v>2528.5067842662002</v>
      </c>
      <c r="AE18" s="226">
        <v>0</v>
      </c>
      <c r="AF18" s="224">
        <v>12816.006784266201</v>
      </c>
      <c r="AG18" s="437">
        <v>19</v>
      </c>
      <c r="AI18" s="174"/>
    </row>
    <row r="19" spans="1:35">
      <c r="A19" s="215" t="s">
        <v>937</v>
      </c>
      <c r="B19" s="232" t="s">
        <v>940</v>
      </c>
      <c r="C19" s="232">
        <v>2019</v>
      </c>
      <c r="D19" s="232" t="s">
        <v>939</v>
      </c>
      <c r="E19" s="553"/>
      <c r="F19" s="553"/>
      <c r="G19" s="553"/>
      <c r="H19" s="553"/>
      <c r="I19" s="553"/>
      <c r="J19" s="553"/>
      <c r="K19" s="553"/>
      <c r="L19" s="553"/>
      <c r="M19" s="553"/>
      <c r="N19" s="553"/>
      <c r="O19" s="553"/>
      <c r="P19" s="553"/>
      <c r="Q19" s="553"/>
      <c r="R19" s="553"/>
      <c r="S19" s="553"/>
      <c r="T19" s="553"/>
      <c r="U19" s="553"/>
      <c r="V19" s="553"/>
      <c r="W19" s="553"/>
      <c r="X19" s="553"/>
      <c r="Y19" s="553"/>
      <c r="Z19" s="553"/>
      <c r="AA19" s="553"/>
      <c r="AB19" s="553"/>
      <c r="AC19" s="553"/>
      <c r="AD19" s="553"/>
      <c r="AE19" s="553"/>
      <c r="AF19" s="554"/>
      <c r="AG19" s="436">
        <v>19</v>
      </c>
    </row>
    <row r="20" spans="1:35">
      <c r="A20" s="215" t="s">
        <v>937</v>
      </c>
      <c r="B20" s="232" t="s">
        <v>940</v>
      </c>
      <c r="C20">
        <v>2020</v>
      </c>
      <c r="D20" s="232" t="s">
        <v>939</v>
      </c>
      <c r="E20" s="553"/>
      <c r="F20" s="553"/>
      <c r="G20" s="553"/>
      <c r="H20" s="553"/>
      <c r="I20" s="553"/>
      <c r="J20" s="553"/>
      <c r="K20" s="553"/>
      <c r="L20" s="553"/>
      <c r="M20" s="553"/>
      <c r="N20" s="553"/>
      <c r="O20" s="553"/>
      <c r="P20" s="553"/>
      <c r="Q20" s="553"/>
      <c r="R20" s="553"/>
      <c r="S20" s="553"/>
      <c r="T20" s="553"/>
      <c r="U20" s="553"/>
      <c r="V20" s="553"/>
      <c r="W20" s="553"/>
      <c r="X20" s="553"/>
      <c r="Y20" s="553"/>
      <c r="Z20" s="553"/>
      <c r="AA20" s="553"/>
      <c r="AB20" s="553"/>
      <c r="AC20" s="553"/>
      <c r="AD20" s="553"/>
      <c r="AE20" s="553"/>
      <c r="AF20" s="554"/>
      <c r="AG20" s="436">
        <v>19</v>
      </c>
      <c r="AI20" s="174"/>
    </row>
    <row r="21" spans="1:35">
      <c r="A21" s="215" t="s">
        <v>937</v>
      </c>
      <c r="B21" s="232" t="s">
        <v>940</v>
      </c>
      <c r="C21" s="232">
        <v>2025</v>
      </c>
      <c r="D21" s="232" t="s">
        <v>939</v>
      </c>
      <c r="E21" s="553"/>
      <c r="F21" s="553"/>
      <c r="G21" s="553"/>
      <c r="H21" s="553"/>
      <c r="I21" s="553"/>
      <c r="J21" s="553"/>
      <c r="K21" s="553"/>
      <c r="L21" s="553"/>
      <c r="M21" s="553"/>
      <c r="N21" s="553"/>
      <c r="O21" s="553"/>
      <c r="P21" s="553"/>
      <c r="Q21" s="553"/>
      <c r="R21" s="553"/>
      <c r="S21" s="553"/>
      <c r="T21" s="553"/>
      <c r="U21" s="553"/>
      <c r="V21" s="553"/>
      <c r="W21" s="553"/>
      <c r="X21" s="553"/>
      <c r="Y21" s="553"/>
      <c r="Z21" s="553"/>
      <c r="AA21" s="553"/>
      <c r="AB21" s="553"/>
      <c r="AC21" s="553"/>
      <c r="AD21" s="553"/>
      <c r="AE21" s="553"/>
      <c r="AF21" s="554"/>
      <c r="AG21" s="436">
        <v>19</v>
      </c>
      <c r="AI21" s="174"/>
    </row>
    <row r="22" spans="1:35">
      <c r="A22" s="215" t="s">
        <v>937</v>
      </c>
      <c r="B22" s="232" t="s">
        <v>940</v>
      </c>
      <c r="C22" s="232">
        <v>2030</v>
      </c>
      <c r="D22" s="232" t="s">
        <v>939</v>
      </c>
      <c r="E22" s="553"/>
      <c r="F22" s="553"/>
      <c r="G22" s="553"/>
      <c r="H22" s="553"/>
      <c r="I22" s="553"/>
      <c r="J22" s="553"/>
      <c r="K22" s="553"/>
      <c r="L22" s="553"/>
      <c r="M22" s="553"/>
      <c r="N22" s="553"/>
      <c r="O22" s="553"/>
      <c r="P22" s="553"/>
      <c r="Q22" s="553"/>
      <c r="R22" s="553"/>
      <c r="S22" s="553"/>
      <c r="T22" s="553"/>
      <c r="U22" s="553"/>
      <c r="V22" s="553"/>
      <c r="W22" s="553"/>
      <c r="X22" s="553"/>
      <c r="Y22" s="553"/>
      <c r="Z22" s="553"/>
      <c r="AA22" s="553"/>
      <c r="AB22" s="553"/>
      <c r="AC22" s="553"/>
      <c r="AD22" s="553"/>
      <c r="AE22" s="553"/>
      <c r="AF22" s="554"/>
      <c r="AG22" s="436">
        <v>19</v>
      </c>
      <c r="AI22" s="174"/>
    </row>
    <row r="23" spans="1:35">
      <c r="A23" s="215" t="s">
        <v>937</v>
      </c>
      <c r="B23" s="232" t="s">
        <v>940</v>
      </c>
      <c r="C23" s="232">
        <v>2035</v>
      </c>
      <c r="D23" s="232" t="s">
        <v>939</v>
      </c>
      <c r="E23" s="553"/>
      <c r="F23" s="553"/>
      <c r="G23" s="553"/>
      <c r="H23" s="553"/>
      <c r="I23" s="553"/>
      <c r="J23" s="553"/>
      <c r="K23" s="553"/>
      <c r="L23" s="553"/>
      <c r="M23" s="553"/>
      <c r="N23" s="553"/>
      <c r="O23" s="553"/>
      <c r="P23" s="553"/>
      <c r="Q23" s="553"/>
      <c r="R23" s="553"/>
      <c r="S23" s="553"/>
      <c r="T23" s="553"/>
      <c r="U23" s="553"/>
      <c r="V23" s="553"/>
      <c r="W23" s="553"/>
      <c r="X23" s="553"/>
      <c r="Y23" s="553"/>
      <c r="Z23" s="553"/>
      <c r="AA23" s="553"/>
      <c r="AB23" s="553"/>
      <c r="AC23" s="553"/>
      <c r="AD23" s="553"/>
      <c r="AE23" s="553"/>
      <c r="AF23" s="554"/>
      <c r="AG23" s="436">
        <v>19</v>
      </c>
      <c r="AI23" s="174"/>
    </row>
    <row r="24" spans="1:35">
      <c r="A24" s="215" t="s">
        <v>937</v>
      </c>
      <c r="B24" s="232" t="s">
        <v>940</v>
      </c>
      <c r="C24" s="232">
        <v>2040</v>
      </c>
      <c r="D24" s="232" t="s">
        <v>939</v>
      </c>
      <c r="E24" s="553"/>
      <c r="F24" s="553"/>
      <c r="G24" s="553"/>
      <c r="H24" s="553"/>
      <c r="I24" s="553"/>
      <c r="J24" s="553"/>
      <c r="K24" s="553"/>
      <c r="L24" s="553"/>
      <c r="M24" s="553"/>
      <c r="N24" s="553"/>
      <c r="O24" s="553"/>
      <c r="P24" s="553"/>
      <c r="Q24" s="553"/>
      <c r="R24" s="553"/>
      <c r="S24" s="553"/>
      <c r="T24" s="553"/>
      <c r="U24" s="553"/>
      <c r="V24" s="553"/>
      <c r="W24" s="553"/>
      <c r="X24" s="553"/>
      <c r="Y24" s="553"/>
      <c r="Z24" s="553"/>
      <c r="AA24" s="553"/>
      <c r="AB24" s="553"/>
      <c r="AC24" s="553"/>
      <c r="AD24" s="553"/>
      <c r="AE24" s="553"/>
      <c r="AF24" s="554"/>
      <c r="AG24" s="436">
        <v>19</v>
      </c>
      <c r="AI24" s="174"/>
    </row>
    <row r="25" spans="1:35">
      <c r="A25" s="215" t="s">
        <v>937</v>
      </c>
      <c r="B25" s="232" t="s">
        <v>940</v>
      </c>
      <c r="C25" s="232">
        <v>2045</v>
      </c>
      <c r="D25" s="232" t="s">
        <v>939</v>
      </c>
      <c r="E25" s="553"/>
      <c r="F25" s="553"/>
      <c r="G25" s="553"/>
      <c r="H25" s="553"/>
      <c r="I25" s="553"/>
      <c r="J25" s="553"/>
      <c r="K25" s="553"/>
      <c r="L25" s="553"/>
      <c r="M25" s="553"/>
      <c r="N25" s="553"/>
      <c r="O25" s="553"/>
      <c r="P25" s="553"/>
      <c r="Q25" s="553"/>
      <c r="R25" s="553"/>
      <c r="S25" s="553"/>
      <c r="T25" s="553"/>
      <c r="U25" s="553"/>
      <c r="V25" s="553"/>
      <c r="W25" s="553"/>
      <c r="X25" s="553"/>
      <c r="Y25" s="553"/>
      <c r="Z25" s="553"/>
      <c r="AA25" s="553"/>
      <c r="AB25" s="553"/>
      <c r="AC25" s="553"/>
      <c r="AD25" s="553"/>
      <c r="AE25" s="553"/>
      <c r="AF25" s="554"/>
      <c r="AG25" s="436">
        <v>19</v>
      </c>
      <c r="AI25" s="174"/>
    </row>
    <row r="26" spans="1:35">
      <c r="A26" s="215" t="s">
        <v>937</v>
      </c>
      <c r="B26" s="232" t="s">
        <v>940</v>
      </c>
      <c r="C26" s="232">
        <v>2050</v>
      </c>
      <c r="D26" s="232" t="s">
        <v>939</v>
      </c>
      <c r="E26" s="553"/>
      <c r="F26" s="553"/>
      <c r="G26" s="553"/>
      <c r="H26" s="553"/>
      <c r="I26" s="553"/>
      <c r="J26" s="553"/>
      <c r="K26" s="553"/>
      <c r="L26" s="553"/>
      <c r="M26" s="553"/>
      <c r="N26" s="553"/>
      <c r="O26" s="553"/>
      <c r="P26" s="553"/>
      <c r="Q26" s="553"/>
      <c r="R26" s="553"/>
      <c r="S26" s="553"/>
      <c r="T26" s="553"/>
      <c r="U26" s="553"/>
      <c r="V26" s="553"/>
      <c r="W26" s="553"/>
      <c r="X26" s="553"/>
      <c r="Y26" s="553"/>
      <c r="Z26" s="553"/>
      <c r="AA26" s="553"/>
      <c r="AB26" s="553"/>
      <c r="AC26" s="553"/>
      <c r="AD26" s="553"/>
      <c r="AE26" s="553"/>
      <c r="AF26" s="554"/>
      <c r="AG26" s="436">
        <v>19</v>
      </c>
      <c r="AI26" s="174"/>
    </row>
    <row r="27" spans="1:35">
      <c r="A27" s="215" t="s">
        <v>937</v>
      </c>
      <c r="B27" s="232" t="s">
        <v>940</v>
      </c>
      <c r="C27" s="232">
        <v>2060</v>
      </c>
      <c r="D27" s="232" t="s">
        <v>939</v>
      </c>
      <c r="E27" s="553"/>
      <c r="F27" s="553"/>
      <c r="G27" s="553"/>
      <c r="H27" s="553"/>
      <c r="I27" s="553"/>
      <c r="J27" s="553"/>
      <c r="K27" s="553"/>
      <c r="L27" s="553"/>
      <c r="M27" s="553"/>
      <c r="N27" s="553"/>
      <c r="O27" s="553"/>
      <c r="P27" s="553"/>
      <c r="Q27" s="553"/>
      <c r="R27" s="553"/>
      <c r="S27" s="553"/>
      <c r="T27" s="553"/>
      <c r="U27" s="553"/>
      <c r="V27" s="553"/>
      <c r="W27" s="553"/>
      <c r="X27" s="553"/>
      <c r="Y27" s="553"/>
      <c r="Z27" s="553"/>
      <c r="AA27" s="553"/>
      <c r="AB27" s="553"/>
      <c r="AC27" s="553"/>
      <c r="AD27" s="553"/>
      <c r="AE27" s="553"/>
      <c r="AF27" s="554"/>
      <c r="AG27" s="436">
        <v>19</v>
      </c>
      <c r="AI27" s="174"/>
    </row>
    <row r="28" spans="1:35">
      <c r="A28" s="215" t="s">
        <v>937</v>
      </c>
      <c r="B28" s="232" t="s">
        <v>940</v>
      </c>
      <c r="C28" s="232">
        <v>2070</v>
      </c>
      <c r="D28" s="232" t="s">
        <v>939</v>
      </c>
      <c r="E28" s="553"/>
      <c r="F28" s="553"/>
      <c r="G28" s="553"/>
      <c r="H28" s="553"/>
      <c r="I28" s="553"/>
      <c r="J28" s="553"/>
      <c r="K28" s="553"/>
      <c r="L28" s="553"/>
      <c r="M28" s="553"/>
      <c r="N28" s="553"/>
      <c r="O28" s="553"/>
      <c r="P28" s="553"/>
      <c r="Q28" s="553"/>
      <c r="R28" s="553"/>
      <c r="S28" s="553"/>
      <c r="T28" s="553"/>
      <c r="U28" s="553"/>
      <c r="V28" s="553"/>
      <c r="W28" s="553"/>
      <c r="X28" s="553"/>
      <c r="Y28" s="553"/>
      <c r="Z28" s="553"/>
      <c r="AA28" s="553"/>
      <c r="AB28" s="553"/>
      <c r="AC28" s="553"/>
      <c r="AD28" s="553"/>
      <c r="AE28" s="553"/>
      <c r="AF28" s="554"/>
      <c r="AG28" s="436">
        <v>19</v>
      </c>
      <c r="AI28" s="174"/>
    </row>
    <row r="29" spans="1:35">
      <c r="A29" s="215" t="s">
        <v>937</v>
      </c>
      <c r="B29" s="232" t="s">
        <v>940</v>
      </c>
      <c r="C29" s="232">
        <v>2080</v>
      </c>
      <c r="D29" s="232" t="s">
        <v>939</v>
      </c>
      <c r="E29" s="553"/>
      <c r="F29" s="553"/>
      <c r="G29" s="553"/>
      <c r="H29" s="553"/>
      <c r="I29" s="553"/>
      <c r="J29" s="553"/>
      <c r="K29" s="553"/>
      <c r="L29" s="553"/>
      <c r="M29" s="553"/>
      <c r="N29" s="553"/>
      <c r="O29" s="553"/>
      <c r="P29" s="553"/>
      <c r="Q29" s="553"/>
      <c r="R29" s="553"/>
      <c r="S29" s="553"/>
      <c r="T29" s="553"/>
      <c r="U29" s="553"/>
      <c r="V29" s="553"/>
      <c r="W29" s="553"/>
      <c r="X29" s="553"/>
      <c r="Y29" s="553"/>
      <c r="Z29" s="553"/>
      <c r="AA29" s="553"/>
      <c r="AB29" s="553"/>
      <c r="AC29" s="553"/>
      <c r="AD29" s="553"/>
      <c r="AE29" s="553"/>
      <c r="AF29" s="554"/>
      <c r="AG29" s="436">
        <v>19</v>
      </c>
      <c r="AI29" s="174"/>
    </row>
    <row r="30" spans="1:35">
      <c r="A30" s="215" t="s">
        <v>937</v>
      </c>
      <c r="B30" s="232" t="s">
        <v>940</v>
      </c>
      <c r="C30" s="232">
        <v>2090</v>
      </c>
      <c r="D30" s="232" t="s">
        <v>939</v>
      </c>
      <c r="E30" s="553"/>
      <c r="F30" s="553"/>
      <c r="G30" s="553"/>
      <c r="H30" s="553"/>
      <c r="I30" s="553"/>
      <c r="J30" s="553"/>
      <c r="K30" s="553"/>
      <c r="L30" s="553"/>
      <c r="M30" s="553"/>
      <c r="N30" s="553"/>
      <c r="O30" s="553"/>
      <c r="P30" s="553"/>
      <c r="Q30" s="553"/>
      <c r="R30" s="553"/>
      <c r="S30" s="553"/>
      <c r="T30" s="553"/>
      <c r="U30" s="553"/>
      <c r="V30" s="553"/>
      <c r="W30" s="553"/>
      <c r="X30" s="553"/>
      <c r="Y30" s="553"/>
      <c r="Z30" s="553"/>
      <c r="AA30" s="553"/>
      <c r="AB30" s="553"/>
      <c r="AC30" s="553"/>
      <c r="AD30" s="553"/>
      <c r="AE30" s="553"/>
      <c r="AF30" s="554"/>
      <c r="AG30" s="436">
        <v>19</v>
      </c>
      <c r="AI30" s="174"/>
    </row>
    <row r="31" spans="1:35">
      <c r="A31" s="229" t="s">
        <v>937</v>
      </c>
      <c r="B31" s="235" t="s">
        <v>940</v>
      </c>
      <c r="C31" s="235">
        <v>2100</v>
      </c>
      <c r="D31" s="235" t="s">
        <v>939</v>
      </c>
      <c r="E31" s="555"/>
      <c r="F31" s="555"/>
      <c r="G31" s="555"/>
      <c r="H31" s="555"/>
      <c r="I31" s="555"/>
      <c r="J31" s="555"/>
      <c r="K31" s="555"/>
      <c r="L31" s="555"/>
      <c r="M31" s="555"/>
      <c r="N31" s="555"/>
      <c r="O31" s="555"/>
      <c r="P31" s="555"/>
      <c r="Q31" s="555"/>
      <c r="R31" s="555"/>
      <c r="S31" s="555"/>
      <c r="T31" s="555"/>
      <c r="U31" s="555"/>
      <c r="V31" s="555"/>
      <c r="W31" s="555"/>
      <c r="X31" s="555"/>
      <c r="Y31" s="555"/>
      <c r="Z31" s="555"/>
      <c r="AA31" s="555"/>
      <c r="AB31" s="555"/>
      <c r="AC31" s="555"/>
      <c r="AD31" s="555"/>
      <c r="AE31" s="555"/>
      <c r="AF31" s="556"/>
      <c r="AG31" s="437">
        <v>19</v>
      </c>
      <c r="AI31" s="174"/>
    </row>
    <row r="32" spans="1:35">
      <c r="A32" t="s">
        <v>937</v>
      </c>
      <c r="B32" s="231" t="s">
        <v>941</v>
      </c>
      <c r="C32" s="232">
        <v>2019</v>
      </c>
      <c r="D32" s="231" t="s">
        <v>939</v>
      </c>
      <c r="E32" s="553"/>
      <c r="F32" s="553"/>
      <c r="G32" s="553"/>
      <c r="H32" s="553"/>
      <c r="I32" s="553"/>
      <c r="J32" s="553"/>
      <c r="K32" s="553"/>
      <c r="L32" s="553"/>
      <c r="M32" s="553"/>
      <c r="N32" s="553"/>
      <c r="O32" s="553"/>
      <c r="P32" s="553"/>
      <c r="Q32" s="553"/>
      <c r="R32" s="553"/>
      <c r="S32" s="553"/>
      <c r="T32" s="553"/>
      <c r="U32" s="553"/>
      <c r="V32" s="553"/>
      <c r="W32" s="553"/>
      <c r="X32" s="553"/>
      <c r="Y32" s="553"/>
      <c r="Z32" s="553"/>
      <c r="AA32" s="553"/>
      <c r="AB32" s="553"/>
      <c r="AC32" s="553"/>
      <c r="AD32" s="553"/>
      <c r="AE32" s="553"/>
      <c r="AF32" s="553"/>
      <c r="AG32" s="453">
        <v>19</v>
      </c>
    </row>
    <row r="33" spans="1:35">
      <c r="A33" s="215" t="s">
        <v>937</v>
      </c>
      <c r="B33" s="232" t="s">
        <v>941</v>
      </c>
      <c r="C33">
        <v>2020</v>
      </c>
      <c r="D33" s="232" t="s">
        <v>939</v>
      </c>
      <c r="E33" s="553"/>
      <c r="F33" s="553"/>
      <c r="G33" s="553"/>
      <c r="H33" s="553"/>
      <c r="I33" s="553"/>
      <c r="J33" s="553"/>
      <c r="K33" s="553"/>
      <c r="L33" s="553"/>
      <c r="M33" s="553"/>
      <c r="N33" s="553"/>
      <c r="O33" s="553"/>
      <c r="P33" s="553"/>
      <c r="Q33" s="553"/>
      <c r="R33" s="553"/>
      <c r="S33" s="553"/>
      <c r="T33" s="553"/>
      <c r="U33" s="553"/>
      <c r="V33" s="553"/>
      <c r="W33" s="553"/>
      <c r="X33" s="553"/>
      <c r="Y33" s="553"/>
      <c r="Z33" s="553"/>
      <c r="AA33" s="553"/>
      <c r="AB33" s="553"/>
      <c r="AC33" s="553"/>
      <c r="AD33" s="553"/>
      <c r="AE33" s="553"/>
      <c r="AF33" s="554"/>
      <c r="AG33" s="436">
        <v>19</v>
      </c>
      <c r="AI33" s="174"/>
    </row>
    <row r="34" spans="1:35">
      <c r="A34" s="215" t="s">
        <v>937</v>
      </c>
      <c r="B34" s="232" t="s">
        <v>941</v>
      </c>
      <c r="C34" s="232">
        <v>2025</v>
      </c>
      <c r="D34" s="232" t="s">
        <v>939</v>
      </c>
      <c r="E34" s="553"/>
      <c r="F34" s="553"/>
      <c r="G34" s="553"/>
      <c r="H34" s="553"/>
      <c r="I34" s="553"/>
      <c r="J34" s="553"/>
      <c r="K34" s="553"/>
      <c r="L34" s="553"/>
      <c r="M34" s="553"/>
      <c r="N34" s="553"/>
      <c r="O34" s="553"/>
      <c r="P34" s="553"/>
      <c r="Q34" s="553"/>
      <c r="R34" s="553"/>
      <c r="S34" s="553"/>
      <c r="T34" s="553"/>
      <c r="U34" s="553"/>
      <c r="V34" s="553"/>
      <c r="W34" s="553"/>
      <c r="X34" s="553"/>
      <c r="Y34" s="553"/>
      <c r="Z34" s="553"/>
      <c r="AA34" s="553"/>
      <c r="AB34" s="553"/>
      <c r="AC34" s="553"/>
      <c r="AD34" s="553"/>
      <c r="AE34" s="553"/>
      <c r="AF34" s="554"/>
      <c r="AG34" s="436">
        <v>19</v>
      </c>
      <c r="AI34" s="174"/>
    </row>
    <row r="35" spans="1:35">
      <c r="A35" s="215" t="s">
        <v>937</v>
      </c>
      <c r="B35" s="232" t="s">
        <v>941</v>
      </c>
      <c r="C35" s="232">
        <v>2030</v>
      </c>
      <c r="D35" s="232" t="s">
        <v>939</v>
      </c>
      <c r="E35" s="553"/>
      <c r="F35" s="553"/>
      <c r="G35" s="553"/>
      <c r="H35" s="553"/>
      <c r="I35" s="553"/>
      <c r="J35" s="553"/>
      <c r="K35" s="553"/>
      <c r="L35" s="553"/>
      <c r="M35" s="553"/>
      <c r="N35" s="553"/>
      <c r="O35" s="553"/>
      <c r="P35" s="553"/>
      <c r="Q35" s="553"/>
      <c r="R35" s="553"/>
      <c r="S35" s="553"/>
      <c r="T35" s="553"/>
      <c r="U35" s="553"/>
      <c r="V35" s="553"/>
      <c r="W35" s="553"/>
      <c r="X35" s="553"/>
      <c r="Y35" s="553"/>
      <c r="Z35" s="553"/>
      <c r="AA35" s="553"/>
      <c r="AB35" s="553"/>
      <c r="AC35" s="553"/>
      <c r="AD35" s="553"/>
      <c r="AE35" s="553"/>
      <c r="AF35" s="554"/>
      <c r="AG35" s="436">
        <v>19</v>
      </c>
      <c r="AI35" s="174"/>
    </row>
    <row r="36" spans="1:35">
      <c r="A36" s="215" t="s">
        <v>937</v>
      </c>
      <c r="B36" s="232" t="s">
        <v>941</v>
      </c>
      <c r="C36" s="232">
        <v>2035</v>
      </c>
      <c r="D36" s="232" t="s">
        <v>939</v>
      </c>
      <c r="E36" s="553"/>
      <c r="F36" s="553"/>
      <c r="G36" s="553"/>
      <c r="H36" s="553"/>
      <c r="I36" s="553"/>
      <c r="J36" s="553"/>
      <c r="K36" s="553"/>
      <c r="L36" s="553"/>
      <c r="M36" s="553"/>
      <c r="N36" s="553"/>
      <c r="O36" s="553"/>
      <c r="P36" s="553"/>
      <c r="Q36" s="553"/>
      <c r="R36" s="553"/>
      <c r="S36" s="553"/>
      <c r="T36" s="553"/>
      <c r="U36" s="553"/>
      <c r="V36" s="553"/>
      <c r="W36" s="553"/>
      <c r="X36" s="553"/>
      <c r="Y36" s="553"/>
      <c r="Z36" s="553"/>
      <c r="AA36" s="553"/>
      <c r="AB36" s="553"/>
      <c r="AC36" s="553"/>
      <c r="AD36" s="553"/>
      <c r="AE36" s="553"/>
      <c r="AF36" s="554"/>
      <c r="AG36" s="436">
        <v>19</v>
      </c>
      <c r="AI36" s="174"/>
    </row>
    <row r="37" spans="1:35">
      <c r="A37" s="215" t="s">
        <v>937</v>
      </c>
      <c r="B37" s="232" t="s">
        <v>941</v>
      </c>
      <c r="C37" s="232">
        <v>2040</v>
      </c>
      <c r="D37" s="232" t="s">
        <v>939</v>
      </c>
      <c r="E37" s="553"/>
      <c r="F37" s="553"/>
      <c r="G37" s="553"/>
      <c r="H37" s="553"/>
      <c r="I37" s="553"/>
      <c r="J37" s="553"/>
      <c r="K37" s="553"/>
      <c r="L37" s="553"/>
      <c r="M37" s="553"/>
      <c r="N37" s="553"/>
      <c r="O37" s="553"/>
      <c r="P37" s="553"/>
      <c r="Q37" s="553"/>
      <c r="R37" s="553"/>
      <c r="S37" s="553"/>
      <c r="T37" s="553"/>
      <c r="U37" s="553"/>
      <c r="V37" s="553"/>
      <c r="W37" s="553"/>
      <c r="X37" s="553"/>
      <c r="Y37" s="553"/>
      <c r="Z37" s="553"/>
      <c r="AA37" s="553"/>
      <c r="AB37" s="553"/>
      <c r="AC37" s="553"/>
      <c r="AD37" s="553"/>
      <c r="AE37" s="553"/>
      <c r="AF37" s="554"/>
      <c r="AG37" s="436">
        <v>19</v>
      </c>
      <c r="AI37" s="174"/>
    </row>
    <row r="38" spans="1:35">
      <c r="A38" s="215" t="s">
        <v>937</v>
      </c>
      <c r="B38" s="232" t="s">
        <v>941</v>
      </c>
      <c r="C38" s="232">
        <v>2045</v>
      </c>
      <c r="D38" s="232" t="s">
        <v>939</v>
      </c>
      <c r="E38" s="553"/>
      <c r="F38" s="553"/>
      <c r="G38" s="553"/>
      <c r="H38" s="553"/>
      <c r="I38" s="553"/>
      <c r="J38" s="553"/>
      <c r="K38" s="553"/>
      <c r="L38" s="553"/>
      <c r="M38" s="553"/>
      <c r="N38" s="553"/>
      <c r="O38" s="553"/>
      <c r="P38" s="553"/>
      <c r="Q38" s="553"/>
      <c r="R38" s="553"/>
      <c r="S38" s="553"/>
      <c r="T38" s="553"/>
      <c r="U38" s="553"/>
      <c r="V38" s="553"/>
      <c r="W38" s="553"/>
      <c r="X38" s="553"/>
      <c r="Y38" s="553"/>
      <c r="Z38" s="553"/>
      <c r="AA38" s="553"/>
      <c r="AB38" s="553"/>
      <c r="AC38" s="553"/>
      <c r="AD38" s="553"/>
      <c r="AE38" s="553"/>
      <c r="AF38" s="554"/>
      <c r="AG38" s="436">
        <v>19</v>
      </c>
      <c r="AI38" s="174"/>
    </row>
    <row r="39" spans="1:35">
      <c r="A39" s="215" t="s">
        <v>937</v>
      </c>
      <c r="B39" s="232" t="s">
        <v>941</v>
      </c>
      <c r="C39" s="232">
        <v>2050</v>
      </c>
      <c r="D39" s="232" t="s">
        <v>939</v>
      </c>
      <c r="E39" s="553"/>
      <c r="F39" s="553"/>
      <c r="G39" s="553"/>
      <c r="H39" s="553"/>
      <c r="I39" s="553"/>
      <c r="J39" s="553"/>
      <c r="K39" s="553"/>
      <c r="L39" s="553"/>
      <c r="M39" s="553"/>
      <c r="N39" s="553"/>
      <c r="O39" s="553"/>
      <c r="P39" s="553"/>
      <c r="Q39" s="553"/>
      <c r="R39" s="553"/>
      <c r="S39" s="553"/>
      <c r="T39" s="553"/>
      <c r="U39" s="553"/>
      <c r="V39" s="553"/>
      <c r="W39" s="553"/>
      <c r="X39" s="553"/>
      <c r="Y39" s="553"/>
      <c r="Z39" s="553"/>
      <c r="AA39" s="553"/>
      <c r="AB39" s="553"/>
      <c r="AC39" s="553"/>
      <c r="AD39" s="553"/>
      <c r="AE39" s="553"/>
      <c r="AF39" s="554"/>
      <c r="AG39" s="436">
        <v>19</v>
      </c>
      <c r="AI39" s="174"/>
    </row>
    <row r="40" spans="1:35">
      <c r="A40" s="215" t="s">
        <v>937</v>
      </c>
      <c r="B40" s="232" t="s">
        <v>941</v>
      </c>
      <c r="C40" s="232">
        <v>2060</v>
      </c>
      <c r="D40" s="232" t="s">
        <v>939</v>
      </c>
      <c r="E40" s="553"/>
      <c r="F40" s="553"/>
      <c r="G40" s="553"/>
      <c r="H40" s="553"/>
      <c r="I40" s="553"/>
      <c r="J40" s="553"/>
      <c r="K40" s="553"/>
      <c r="L40" s="553"/>
      <c r="M40" s="553"/>
      <c r="N40" s="553"/>
      <c r="O40" s="553"/>
      <c r="P40" s="553"/>
      <c r="Q40" s="553"/>
      <c r="R40" s="553"/>
      <c r="S40" s="553"/>
      <c r="T40" s="553"/>
      <c r="U40" s="553"/>
      <c r="V40" s="553"/>
      <c r="W40" s="553"/>
      <c r="X40" s="553"/>
      <c r="Y40" s="553"/>
      <c r="Z40" s="553"/>
      <c r="AA40" s="553"/>
      <c r="AB40" s="553"/>
      <c r="AC40" s="553"/>
      <c r="AD40" s="553"/>
      <c r="AE40" s="553"/>
      <c r="AF40" s="554"/>
      <c r="AG40" s="436">
        <v>19</v>
      </c>
      <c r="AI40" s="174"/>
    </row>
    <row r="41" spans="1:35">
      <c r="A41" s="215" t="s">
        <v>937</v>
      </c>
      <c r="B41" s="232" t="s">
        <v>941</v>
      </c>
      <c r="C41" s="232">
        <v>2070</v>
      </c>
      <c r="D41" s="232" t="s">
        <v>939</v>
      </c>
      <c r="E41" s="553"/>
      <c r="F41" s="553"/>
      <c r="G41" s="553"/>
      <c r="H41" s="553"/>
      <c r="I41" s="553"/>
      <c r="J41" s="553"/>
      <c r="K41" s="553"/>
      <c r="L41" s="553"/>
      <c r="M41" s="553"/>
      <c r="N41" s="553"/>
      <c r="O41" s="553"/>
      <c r="P41" s="553"/>
      <c r="Q41" s="553"/>
      <c r="R41" s="553"/>
      <c r="S41" s="553"/>
      <c r="T41" s="553"/>
      <c r="U41" s="553"/>
      <c r="V41" s="553"/>
      <c r="W41" s="553"/>
      <c r="X41" s="553"/>
      <c r="Y41" s="553"/>
      <c r="Z41" s="553"/>
      <c r="AA41" s="553"/>
      <c r="AB41" s="553"/>
      <c r="AC41" s="553"/>
      <c r="AD41" s="553"/>
      <c r="AE41" s="553"/>
      <c r="AF41" s="554"/>
      <c r="AG41" s="436">
        <v>19</v>
      </c>
      <c r="AI41" s="174"/>
    </row>
    <row r="42" spans="1:35">
      <c r="A42" s="215" t="s">
        <v>937</v>
      </c>
      <c r="B42" s="232" t="s">
        <v>941</v>
      </c>
      <c r="C42" s="232">
        <v>2080</v>
      </c>
      <c r="D42" s="232" t="s">
        <v>939</v>
      </c>
      <c r="E42" s="553"/>
      <c r="F42" s="553"/>
      <c r="G42" s="553"/>
      <c r="H42" s="553"/>
      <c r="I42" s="553"/>
      <c r="J42" s="553"/>
      <c r="K42" s="553"/>
      <c r="L42" s="553"/>
      <c r="M42" s="553"/>
      <c r="N42" s="553"/>
      <c r="O42" s="553"/>
      <c r="P42" s="553"/>
      <c r="Q42" s="553"/>
      <c r="R42" s="553"/>
      <c r="S42" s="553"/>
      <c r="T42" s="553"/>
      <c r="U42" s="553"/>
      <c r="V42" s="553"/>
      <c r="W42" s="553"/>
      <c r="X42" s="553"/>
      <c r="Y42" s="553"/>
      <c r="Z42" s="553"/>
      <c r="AA42" s="553"/>
      <c r="AB42" s="553"/>
      <c r="AC42" s="553"/>
      <c r="AD42" s="553"/>
      <c r="AE42" s="553"/>
      <c r="AF42" s="554"/>
      <c r="AG42" s="436">
        <v>19</v>
      </c>
      <c r="AI42" s="174"/>
    </row>
    <row r="43" spans="1:35">
      <c r="A43" s="215" t="s">
        <v>937</v>
      </c>
      <c r="B43" s="232" t="s">
        <v>941</v>
      </c>
      <c r="C43" s="232">
        <v>2090</v>
      </c>
      <c r="D43" s="232" t="s">
        <v>939</v>
      </c>
      <c r="E43" s="553"/>
      <c r="F43" s="553"/>
      <c r="G43" s="553"/>
      <c r="H43" s="553"/>
      <c r="I43" s="553"/>
      <c r="J43" s="553"/>
      <c r="K43" s="553"/>
      <c r="L43" s="553"/>
      <c r="M43" s="553"/>
      <c r="N43" s="553"/>
      <c r="O43" s="553"/>
      <c r="P43" s="553"/>
      <c r="Q43" s="553"/>
      <c r="R43" s="553"/>
      <c r="S43" s="553"/>
      <c r="T43" s="553"/>
      <c r="U43" s="553"/>
      <c r="V43" s="553"/>
      <c r="W43" s="553"/>
      <c r="X43" s="553"/>
      <c r="Y43" s="553"/>
      <c r="Z43" s="553"/>
      <c r="AA43" s="553"/>
      <c r="AB43" s="553"/>
      <c r="AC43" s="553"/>
      <c r="AD43" s="553"/>
      <c r="AE43" s="553"/>
      <c r="AF43" s="554"/>
      <c r="AG43" s="436">
        <v>19</v>
      </c>
      <c r="AI43" s="174"/>
    </row>
    <row r="44" spans="1:35" ht="16.2" thickBot="1">
      <c r="A44" s="449" t="s">
        <v>937</v>
      </c>
      <c r="B44" s="450" t="s">
        <v>941</v>
      </c>
      <c r="C44" s="450">
        <v>2100</v>
      </c>
      <c r="D44" s="450" t="s">
        <v>939</v>
      </c>
      <c r="E44" s="557"/>
      <c r="F44" s="557"/>
      <c r="G44" s="557"/>
      <c r="H44" s="557"/>
      <c r="I44" s="557"/>
      <c r="J44" s="557"/>
      <c r="K44" s="557"/>
      <c r="L44" s="557"/>
      <c r="M44" s="557"/>
      <c r="N44" s="557"/>
      <c r="O44" s="557"/>
      <c r="P44" s="557"/>
      <c r="Q44" s="557"/>
      <c r="R44" s="557"/>
      <c r="S44" s="557"/>
      <c r="T44" s="557"/>
      <c r="U44" s="557"/>
      <c r="V44" s="557"/>
      <c r="W44" s="557"/>
      <c r="X44" s="557"/>
      <c r="Y44" s="557"/>
      <c r="Z44" s="557"/>
      <c r="AA44" s="557"/>
      <c r="AB44" s="557"/>
      <c r="AC44" s="557"/>
      <c r="AD44" s="557"/>
      <c r="AE44" s="557"/>
      <c r="AF44" s="558"/>
      <c r="AG44" s="452">
        <v>19</v>
      </c>
      <c r="AI44" s="174"/>
    </row>
    <row r="45" spans="1:35">
      <c r="A45" s="215" t="s">
        <v>942</v>
      </c>
      <c r="B45" s="232" t="s">
        <v>938</v>
      </c>
      <c r="C45" s="232">
        <v>2019</v>
      </c>
      <c r="D45" s="232" t="s">
        <v>939</v>
      </c>
      <c r="E45" s="209">
        <v>492.14210534873104</v>
      </c>
      <c r="F45" s="209">
        <v>64.863369934056323</v>
      </c>
      <c r="G45" s="209">
        <v>487.75311720390317</v>
      </c>
      <c r="H45" s="209">
        <v>232.76368563348052</v>
      </c>
      <c r="I45" s="209">
        <v>397.15212252879837</v>
      </c>
      <c r="J45" s="209">
        <v>2416.0793462020051</v>
      </c>
      <c r="K45" s="209">
        <v>930.34185375882623</v>
      </c>
      <c r="L45" s="209">
        <v>1747.3923098144051</v>
      </c>
      <c r="M45" s="209">
        <v>6540.6070258238415</v>
      </c>
      <c r="N45" s="209">
        <v>511.77551902102527</v>
      </c>
      <c r="O45" s="209">
        <v>566.45658790534742</v>
      </c>
      <c r="P45" s="209">
        <v>5247.8262117338099</v>
      </c>
      <c r="Q45" s="209">
        <v>3096.6602556300318</v>
      </c>
      <c r="R45" s="209">
        <v>2462.1330122619997</v>
      </c>
      <c r="S45" s="209">
        <v>2423.383111822774</v>
      </c>
      <c r="T45" s="209">
        <v>4513.1539888157267</v>
      </c>
      <c r="U45" s="209">
        <v>3335.5179768155845</v>
      </c>
      <c r="V45" s="209">
        <v>1899.0867067713789</v>
      </c>
      <c r="W45" s="209">
        <v>780.4198170743947</v>
      </c>
      <c r="X45" s="209">
        <v>3498.7741897954998</v>
      </c>
      <c r="Y45" s="209">
        <v>8798.5206880717888</v>
      </c>
      <c r="Z45" s="209">
        <v>5623.5348248553164</v>
      </c>
      <c r="AA45" s="209">
        <v>65.670444173451045</v>
      </c>
      <c r="AB45" s="209">
        <v>3748.6880047498425</v>
      </c>
      <c r="AC45" s="209">
        <v>283.35738246463421</v>
      </c>
      <c r="AD45" s="209">
        <v>4117.3468537135104</v>
      </c>
      <c r="AE45" s="209">
        <v>3498.7741897954998</v>
      </c>
      <c r="AF45" s="220">
        <v>4114.9864439136054</v>
      </c>
      <c r="AG45" s="436">
        <v>19</v>
      </c>
    </row>
    <row r="46" spans="1:35">
      <c r="A46" s="215" t="s">
        <v>942</v>
      </c>
      <c r="B46" s="232" t="s">
        <v>938</v>
      </c>
      <c r="C46">
        <v>2020</v>
      </c>
      <c r="D46" s="232" t="s">
        <v>939</v>
      </c>
      <c r="E46" s="209">
        <v>492.14210534873104</v>
      </c>
      <c r="F46" s="209">
        <v>64.863369934056323</v>
      </c>
      <c r="G46" s="209">
        <v>487.75311720390317</v>
      </c>
      <c r="H46" s="209">
        <v>232.76368563348052</v>
      </c>
      <c r="I46" s="209">
        <v>397.15212252879837</v>
      </c>
      <c r="J46" s="209">
        <v>2416.0793462020051</v>
      </c>
      <c r="K46" s="209">
        <v>930.34185375882623</v>
      </c>
      <c r="L46" s="209">
        <v>1747.3923098144051</v>
      </c>
      <c r="M46" s="209">
        <v>6540.6070258238415</v>
      </c>
      <c r="N46" s="209">
        <v>511.77551902102527</v>
      </c>
      <c r="O46" s="209">
        <v>566.45658790534742</v>
      </c>
      <c r="P46" s="209">
        <v>5247.8262117338099</v>
      </c>
      <c r="Q46" s="209">
        <v>3096.6602556300318</v>
      </c>
      <c r="R46" s="209">
        <v>2462.1330122619997</v>
      </c>
      <c r="S46" s="209">
        <v>2423.383111822774</v>
      </c>
      <c r="T46" s="209">
        <v>4513.1539888157267</v>
      </c>
      <c r="U46" s="209">
        <v>3335.5179768155845</v>
      </c>
      <c r="V46" s="209">
        <v>1899.0867067713789</v>
      </c>
      <c r="W46" s="209">
        <v>780.4198170743947</v>
      </c>
      <c r="X46" s="209">
        <v>3498.7741897954998</v>
      </c>
      <c r="Y46" s="209">
        <v>8798.5206880717888</v>
      </c>
      <c r="Z46" s="209">
        <v>5623.5348248553164</v>
      </c>
      <c r="AA46" s="209">
        <v>65.670444173451045</v>
      </c>
      <c r="AB46" s="209">
        <v>3748.6880047498425</v>
      </c>
      <c r="AC46" s="209">
        <v>283.35738246463421</v>
      </c>
      <c r="AD46" s="209">
        <v>4117.3468537135104</v>
      </c>
      <c r="AE46" s="209">
        <v>3498.7741897954998</v>
      </c>
      <c r="AF46" s="220">
        <v>4114.9864439136054</v>
      </c>
      <c r="AG46" s="436">
        <v>19</v>
      </c>
      <c r="AI46" s="174"/>
    </row>
    <row r="47" spans="1:35">
      <c r="A47" s="215" t="s">
        <v>942</v>
      </c>
      <c r="B47" s="232" t="s">
        <v>938</v>
      </c>
      <c r="C47" s="232">
        <v>2025</v>
      </c>
      <c r="D47" s="232" t="s">
        <v>939</v>
      </c>
      <c r="E47" s="209">
        <v>1161.5832366146421</v>
      </c>
      <c r="F47" s="209">
        <v>64.793154001014216</v>
      </c>
      <c r="G47" s="209">
        <v>1153.8853355920578</v>
      </c>
      <c r="H47" s="209">
        <v>551.54658868829472</v>
      </c>
      <c r="I47" s="209">
        <v>1010.0879279784103</v>
      </c>
      <c r="J47" s="209">
        <v>3343.3738926054739</v>
      </c>
      <c r="K47" s="209">
        <v>1644.8595060904893</v>
      </c>
      <c r="L47" s="209">
        <v>3088.5071513202474</v>
      </c>
      <c r="M47" s="209">
        <v>16346.43254214921</v>
      </c>
      <c r="N47" s="209">
        <v>1301.8334245955211</v>
      </c>
      <c r="O47" s="209">
        <v>1415.6457501827579</v>
      </c>
      <c r="P47" s="209">
        <v>9581.5851146720524</v>
      </c>
      <c r="Q47" s="209">
        <v>4452.0904687250577</v>
      </c>
      <c r="R47" s="209">
        <v>6733.1232569748945</v>
      </c>
      <c r="S47" s="209">
        <v>8642.5595874562114</v>
      </c>
      <c r="T47" s="209">
        <v>16089.037909963155</v>
      </c>
      <c r="U47" s="209">
        <v>11868.857041601685</v>
      </c>
      <c r="V47" s="209">
        <v>3356.8747886384945</v>
      </c>
      <c r="W47" s="209">
        <v>1779.1541894746579</v>
      </c>
      <c r="X47" s="209">
        <v>5468.8848413530004</v>
      </c>
      <c r="Y47" s="209">
        <v>21988.905846869315</v>
      </c>
      <c r="Z47" s="209">
        <v>8594.2301541347351</v>
      </c>
      <c r="AA47" s="209">
        <v>65.598453175090526</v>
      </c>
      <c r="AB47" s="209">
        <v>9368.5393827704211</v>
      </c>
      <c r="AC47" s="209">
        <v>670.86179231144206</v>
      </c>
      <c r="AD47" s="209">
        <v>5602.9010705865267</v>
      </c>
      <c r="AE47" s="209">
        <v>5468.8848413530004</v>
      </c>
      <c r="AF47" s="220">
        <v>7387.1361453263689</v>
      </c>
      <c r="AG47" s="436">
        <v>19</v>
      </c>
      <c r="AI47" s="174"/>
    </row>
    <row r="48" spans="1:35">
      <c r="A48" s="215" t="s">
        <v>942</v>
      </c>
      <c r="B48" s="232" t="s">
        <v>938</v>
      </c>
      <c r="C48" s="232">
        <v>2030</v>
      </c>
      <c r="D48" s="232" t="s">
        <v>939</v>
      </c>
      <c r="E48" s="209">
        <v>4202.0523305057532</v>
      </c>
      <c r="F48" s="209">
        <v>3350.7028297136158</v>
      </c>
      <c r="G48" s="209">
        <v>3530.8891383533369</v>
      </c>
      <c r="H48" s="209">
        <v>1688.9036184800107</v>
      </c>
      <c r="I48" s="209">
        <v>3621.7924661740476</v>
      </c>
      <c r="J48" s="209">
        <v>3385.8086483669949</v>
      </c>
      <c r="K48" s="209">
        <v>1698.9633770377156</v>
      </c>
      <c r="L48" s="209">
        <v>3189.9549275312843</v>
      </c>
      <c r="M48" s="209">
        <v>14316.447008100791</v>
      </c>
      <c r="N48" s="209">
        <v>4668.1022398291843</v>
      </c>
      <c r="O48" s="209">
        <v>1239.8651816644422</v>
      </c>
      <c r="P48" s="209">
        <v>10915.162772852369</v>
      </c>
      <c r="Q48" s="209">
        <v>4171.7075703475211</v>
      </c>
      <c r="R48" s="209">
        <v>3398.1029281141268</v>
      </c>
      <c r="S48" s="209">
        <v>3456.8662035282528</v>
      </c>
      <c r="T48" s="209">
        <v>6437.2696605975261</v>
      </c>
      <c r="U48" s="209">
        <v>4756.2847707366527</v>
      </c>
      <c r="V48" s="209">
        <v>3467.2556564244373</v>
      </c>
      <c r="W48" s="209">
        <v>8795.8276683669465</v>
      </c>
      <c r="X48" s="209">
        <v>6430.7830658226048</v>
      </c>
      <c r="Y48" s="209">
        <v>19258.777568593898</v>
      </c>
      <c r="Z48" s="209">
        <v>8264.9380492734217</v>
      </c>
      <c r="AA48" s="209">
        <v>3457.3666098669</v>
      </c>
      <c r="AB48" s="209">
        <v>8205.1008818322625</v>
      </c>
      <c r="AC48" s="209">
        <v>2053.6823301348632</v>
      </c>
      <c r="AD48" s="209">
        <v>5665.2013601030521</v>
      </c>
      <c r="AE48" s="209">
        <v>6430.7830658226048</v>
      </c>
      <c r="AF48" s="220">
        <v>15213.875247335947</v>
      </c>
      <c r="AG48" s="436">
        <v>19</v>
      </c>
      <c r="AI48" s="174"/>
    </row>
    <row r="49" spans="1:35">
      <c r="A49" s="215" t="s">
        <v>942</v>
      </c>
      <c r="B49" s="232" t="s">
        <v>938</v>
      </c>
      <c r="C49" s="232">
        <v>2035</v>
      </c>
      <c r="D49" s="232" t="s">
        <v>939</v>
      </c>
      <c r="E49" s="209">
        <v>3980.0821553568162</v>
      </c>
      <c r="F49" s="209">
        <v>3186.9294893915421</v>
      </c>
      <c r="G49" s="209">
        <v>3341.8586334142897</v>
      </c>
      <c r="H49" s="209">
        <v>1598.4851061379156</v>
      </c>
      <c r="I49" s="209">
        <v>3371.0372667821953</v>
      </c>
      <c r="J49" s="209">
        <v>3373.1967308228627</v>
      </c>
      <c r="K49" s="209">
        <v>1676.2694983193949</v>
      </c>
      <c r="L49" s="209">
        <v>3178.3686116349108</v>
      </c>
      <c r="M49" s="209">
        <v>9967.8831061652618</v>
      </c>
      <c r="N49" s="209">
        <v>4344.8992815899046</v>
      </c>
      <c r="O49" s="209">
        <v>863.27925869189471</v>
      </c>
      <c r="P49" s="209">
        <v>16785.380111287315</v>
      </c>
      <c r="Q49" s="209">
        <v>4100.7121072792579</v>
      </c>
      <c r="R49" s="209">
        <v>3104.0047026857997</v>
      </c>
      <c r="S49" s="209">
        <v>3043.3952162176947</v>
      </c>
      <c r="T49" s="209">
        <v>5667.5693632773682</v>
      </c>
      <c r="U49" s="209">
        <v>4188.7766377632524</v>
      </c>
      <c r="V49" s="209">
        <v>3420.9780225777422</v>
      </c>
      <c r="W49" s="209">
        <v>8949.6395170597898</v>
      </c>
      <c r="X49" s="209">
        <v>6376.2736428578946</v>
      </c>
      <c r="Y49" s="209">
        <v>13409.315386135422</v>
      </c>
      <c r="Z49" s="209">
        <v>7967.387342806579</v>
      </c>
      <c r="AA49" s="209">
        <v>3288.3845358169424</v>
      </c>
      <c r="AB49" s="209">
        <v>5712.931499340526</v>
      </c>
      <c r="AC49" s="209">
        <v>1943.7420398016368</v>
      </c>
      <c r="AD49" s="209">
        <v>5648.5560414251577</v>
      </c>
      <c r="AE49" s="209">
        <v>6376.2736428578946</v>
      </c>
      <c r="AF49" s="220">
        <v>14183.959292232736</v>
      </c>
      <c r="AG49" s="436">
        <v>19</v>
      </c>
      <c r="AI49" s="174"/>
    </row>
    <row r="50" spans="1:35">
      <c r="A50" s="215" t="s">
        <v>942</v>
      </c>
      <c r="B50" s="232" t="s">
        <v>938</v>
      </c>
      <c r="C50" s="232">
        <v>2040</v>
      </c>
      <c r="D50" s="232" t="s">
        <v>939</v>
      </c>
      <c r="E50" s="209">
        <v>4187.3201076987152</v>
      </c>
      <c r="F50" s="209">
        <v>3061.6613201106684</v>
      </c>
      <c r="G50" s="209">
        <v>3572.3598653476524</v>
      </c>
      <c r="H50" s="209">
        <v>1708.8206563938472</v>
      </c>
      <c r="I50" s="209">
        <v>3186.4479595540051</v>
      </c>
      <c r="J50" s="209">
        <v>3380.2419422223998</v>
      </c>
      <c r="K50" s="209">
        <v>1755.0329409156313</v>
      </c>
      <c r="L50" s="209">
        <v>3294.9767065982364</v>
      </c>
      <c r="M50" s="209">
        <v>8339.4091632588952</v>
      </c>
      <c r="N50" s="209">
        <v>4106.9820404034735</v>
      </c>
      <c r="O50" s="209">
        <v>722.24643440750526</v>
      </c>
      <c r="P50" s="209">
        <v>35188.64757785837</v>
      </c>
      <c r="Q50" s="209">
        <v>4025.9561917879159</v>
      </c>
      <c r="R50" s="209">
        <v>2618.4994846123313</v>
      </c>
      <c r="S50" s="209">
        <v>2320.2036756919733</v>
      </c>
      <c r="T50" s="209">
        <v>4321.5488925389</v>
      </c>
      <c r="U50" s="209">
        <v>3196.6171833132844</v>
      </c>
      <c r="V50" s="209">
        <v>3581.6428839100736</v>
      </c>
      <c r="W50" s="209">
        <v>9223.6129273509996</v>
      </c>
      <c r="X50" s="209">
        <v>6079.2313258373952</v>
      </c>
      <c r="Y50" s="209">
        <v>11218.668621390105</v>
      </c>
      <c r="Z50" s="209">
        <v>7651.2513881329478</v>
      </c>
      <c r="AA50" s="209">
        <v>3159.1487629823155</v>
      </c>
      <c r="AB50" s="209">
        <v>4779.5683868656006</v>
      </c>
      <c r="AC50" s="209">
        <v>2077.8776111450843</v>
      </c>
      <c r="AD50" s="209">
        <v>5640.343724389737</v>
      </c>
      <c r="AE50" s="209">
        <v>6079.2313258373952</v>
      </c>
      <c r="AF50" s="220">
        <v>16953.610741229895</v>
      </c>
      <c r="AG50" s="436">
        <v>19</v>
      </c>
      <c r="AI50" s="174"/>
    </row>
    <row r="51" spans="1:35">
      <c r="A51" s="215" t="s">
        <v>942</v>
      </c>
      <c r="B51" s="232" t="s">
        <v>938</v>
      </c>
      <c r="C51" s="232">
        <v>2045</v>
      </c>
      <c r="D51" s="232" t="s">
        <v>939</v>
      </c>
      <c r="E51" s="209">
        <v>7031.2925089436312</v>
      </c>
      <c r="F51" s="209">
        <v>3096.1259077705104</v>
      </c>
      <c r="G51" s="209">
        <v>6395.3857393344206</v>
      </c>
      <c r="H51" s="209">
        <v>3059.5986640060682</v>
      </c>
      <c r="I51" s="209">
        <v>3190.6876285932526</v>
      </c>
      <c r="J51" s="209">
        <v>3618.9216048748581</v>
      </c>
      <c r="K51" s="209">
        <v>2719.839634269405</v>
      </c>
      <c r="L51" s="209">
        <v>5105.8396979289519</v>
      </c>
      <c r="M51" s="209">
        <v>13864.42866938716</v>
      </c>
      <c r="N51" s="209">
        <v>4112.4585019229735</v>
      </c>
      <c r="O51" s="209">
        <v>1200.7092488603737</v>
      </c>
      <c r="P51" s="209">
        <v>76887.667307685784</v>
      </c>
      <c r="Q51" s="209">
        <v>4121.7175886305413</v>
      </c>
      <c r="R51" s="209">
        <v>2460.3304922799689</v>
      </c>
      <c r="S51" s="209">
        <v>2027.5703237727314</v>
      </c>
      <c r="T51" s="209">
        <v>3776.9755831569369</v>
      </c>
      <c r="U51" s="209">
        <v>2795.649334859821</v>
      </c>
      <c r="V51" s="209">
        <v>5550.109186475579</v>
      </c>
      <c r="W51" s="209">
        <v>10666.872649050947</v>
      </c>
      <c r="X51" s="209">
        <v>6410.3388699104207</v>
      </c>
      <c r="Y51" s="209">
        <v>18650.638812291581</v>
      </c>
      <c r="Z51" s="209">
        <v>7759.6624553399479</v>
      </c>
      <c r="AA51" s="209">
        <v>3194.6922245978421</v>
      </c>
      <c r="AB51" s="209">
        <v>7946.0442078213155</v>
      </c>
      <c r="AC51" s="209">
        <v>3720.165496557247</v>
      </c>
      <c r="AD51" s="209">
        <v>5813.872232711421</v>
      </c>
      <c r="AE51" s="209">
        <v>6410.3388699104207</v>
      </c>
      <c r="AF51" s="220">
        <v>33011.762288664053</v>
      </c>
      <c r="AG51" s="436">
        <v>19</v>
      </c>
      <c r="AI51" s="174"/>
    </row>
    <row r="52" spans="1:35">
      <c r="A52" s="215" t="s">
        <v>942</v>
      </c>
      <c r="B52" s="232" t="s">
        <v>938</v>
      </c>
      <c r="C52" s="232">
        <v>2050</v>
      </c>
      <c r="D52" s="232" t="s">
        <v>939</v>
      </c>
      <c r="E52" s="209">
        <v>17511.248288221526</v>
      </c>
      <c r="F52" s="209">
        <v>3248.3721892732319</v>
      </c>
      <c r="G52" s="209">
        <v>16793.323999237473</v>
      </c>
      <c r="H52" s="209">
        <v>8034.6548055128951</v>
      </c>
      <c r="I52" s="209">
        <v>3302.6071545063528</v>
      </c>
      <c r="J52" s="209">
        <v>4379.4079744463261</v>
      </c>
      <c r="K52" s="209">
        <v>6637.768699825474</v>
      </c>
      <c r="L52" s="209">
        <v>12459.955435858526</v>
      </c>
      <c r="M52" s="209">
        <v>30202.985761647364</v>
      </c>
      <c r="N52" s="209">
        <v>4256.7102193871524</v>
      </c>
      <c r="O52" s="209">
        <v>2615.5850882586001</v>
      </c>
      <c r="P52" s="209">
        <v>148747.6044752679</v>
      </c>
      <c r="Q52" s="209">
        <v>4432.9472550803839</v>
      </c>
      <c r="R52" s="209">
        <v>2965.4807066400685</v>
      </c>
      <c r="S52" s="209">
        <v>2657.8685410453945</v>
      </c>
      <c r="T52" s="209">
        <v>4950.2838444197478</v>
      </c>
      <c r="U52" s="209">
        <v>3661.3299255309416</v>
      </c>
      <c r="V52" s="209">
        <v>13543.938154953476</v>
      </c>
      <c r="W52" s="209">
        <v>14246.343748704894</v>
      </c>
      <c r="X52" s="209">
        <v>9282.4098607409742</v>
      </c>
      <c r="Y52" s="209">
        <v>40628.319430160838</v>
      </c>
      <c r="Z52" s="209">
        <v>8504.5431608810541</v>
      </c>
      <c r="AA52" s="209">
        <v>3351.7801081784683</v>
      </c>
      <c r="AB52" s="209">
        <v>17309.834851011739</v>
      </c>
      <c r="AC52" s="209">
        <v>9769.0498033173153</v>
      </c>
      <c r="AD52" s="209">
        <v>6140.9448707979473</v>
      </c>
      <c r="AE52" s="209">
        <v>9282.4098607409742</v>
      </c>
      <c r="AF52" s="220">
        <v>74263.411946868422</v>
      </c>
      <c r="AG52" s="436">
        <v>19</v>
      </c>
      <c r="AI52" s="174"/>
    </row>
    <row r="53" spans="1:35">
      <c r="A53" s="215" t="s">
        <v>942</v>
      </c>
      <c r="B53" s="232" t="s">
        <v>938</v>
      </c>
      <c r="C53" s="232">
        <v>2060</v>
      </c>
      <c r="D53" s="232" t="s">
        <v>939</v>
      </c>
      <c r="E53" s="209">
        <v>82927.411198218411</v>
      </c>
      <c r="F53" s="209">
        <v>3542.0374973682101</v>
      </c>
      <c r="G53" s="209">
        <v>81824.858723926853</v>
      </c>
      <c r="H53" s="209">
        <v>39150.142509942423</v>
      </c>
      <c r="I53" s="209">
        <v>2664.6846188826212</v>
      </c>
      <c r="J53" s="209">
        <v>8248.5639841492102</v>
      </c>
      <c r="K53" s="209">
        <v>33330.729424166318</v>
      </c>
      <c r="L53" s="209">
        <v>62564.470631724726</v>
      </c>
      <c r="M53" s="209">
        <v>90344.180632835269</v>
      </c>
      <c r="N53" s="209">
        <v>3434.4721856462215</v>
      </c>
      <c r="O53" s="209">
        <v>7823.8021295763683</v>
      </c>
      <c r="P53" s="209">
        <v>359853.54204988579</v>
      </c>
      <c r="Q53" s="209">
        <v>5020.7653483051045</v>
      </c>
      <c r="R53" s="209">
        <v>8661.9796519223673</v>
      </c>
      <c r="S53" s="209">
        <v>11367.173584905368</v>
      </c>
      <c r="T53" s="209">
        <v>21160.539186878683</v>
      </c>
      <c r="U53" s="209">
        <v>15607.944647474947</v>
      </c>
      <c r="V53" s="209">
        <v>68006.712106290535</v>
      </c>
      <c r="W53" s="209">
        <v>19408.882829442315</v>
      </c>
      <c r="X53" s="209">
        <v>21619.011146940156</v>
      </c>
      <c r="Y53" s="209">
        <v>121526.77329698209</v>
      </c>
      <c r="Z53" s="209">
        <v>11142.758975774632</v>
      </c>
      <c r="AA53" s="209">
        <v>3654.8053205734313</v>
      </c>
      <c r="AB53" s="209">
        <v>51777.434827361896</v>
      </c>
      <c r="AC53" s="209">
        <v>47600.257581781851</v>
      </c>
      <c r="AD53" s="209">
        <v>5997.0173621784215</v>
      </c>
      <c r="AE53" s="209">
        <v>21619.011146940156</v>
      </c>
      <c r="AF53" s="220">
        <v>245384.91301196843</v>
      </c>
      <c r="AG53" s="436">
        <v>19</v>
      </c>
      <c r="AI53" s="174"/>
    </row>
    <row r="54" spans="1:35">
      <c r="A54" s="215" t="s">
        <v>942</v>
      </c>
      <c r="B54" s="232" t="s">
        <v>938</v>
      </c>
      <c r="C54" s="232">
        <v>2070</v>
      </c>
      <c r="D54" s="232" t="s">
        <v>939</v>
      </c>
      <c r="E54" s="209">
        <v>189194.34674547156</v>
      </c>
      <c r="F54" s="209">
        <v>4536.0340289462938</v>
      </c>
      <c r="G54" s="209">
        <v>187366.8431076</v>
      </c>
      <c r="H54" s="209">
        <v>89648.308707458418</v>
      </c>
      <c r="I54" s="209">
        <v>977.40983873688424</v>
      </c>
      <c r="J54" s="209">
        <v>14385.107842402527</v>
      </c>
      <c r="K54" s="209">
        <v>83573.108626393689</v>
      </c>
      <c r="L54" s="209">
        <v>156873.02760581052</v>
      </c>
      <c r="M54" s="209">
        <v>152049.93390128895</v>
      </c>
      <c r="N54" s="209">
        <v>1259.7118362343315</v>
      </c>
      <c r="O54" s="209">
        <v>13167.519131768262</v>
      </c>
      <c r="P54" s="209">
        <v>541126.1130286</v>
      </c>
      <c r="Q54" s="209">
        <v>4578.3952929532898</v>
      </c>
      <c r="R54" s="209">
        <v>18362.082884016894</v>
      </c>
      <c r="S54" s="209">
        <v>26889.95089905526</v>
      </c>
      <c r="T54" s="209">
        <v>50051.194961432528</v>
      </c>
      <c r="U54" s="209">
        <v>36895.001302181736</v>
      </c>
      <c r="V54" s="209">
        <v>170518.35206432053</v>
      </c>
      <c r="W54" s="209">
        <v>7650.679342820421</v>
      </c>
      <c r="X54" s="209">
        <v>29127.072402433947</v>
      </c>
      <c r="Y54" s="209">
        <v>204529.60816707314</v>
      </c>
      <c r="Z54" s="209">
        <v>13435.988004935212</v>
      </c>
      <c r="AA54" s="209">
        <v>4680.3354692921257</v>
      </c>
      <c r="AB54" s="209">
        <v>87141.715014543166</v>
      </c>
      <c r="AC54" s="209">
        <v>108997.83927712632</v>
      </c>
      <c r="AD54" s="209">
        <v>3653.5695343071529</v>
      </c>
      <c r="AE54" s="209">
        <v>29127.072402433947</v>
      </c>
      <c r="AF54" s="220">
        <v>433893.2188777079</v>
      </c>
      <c r="AG54" s="436">
        <v>19</v>
      </c>
      <c r="AI54" s="174"/>
    </row>
    <row r="55" spans="1:35">
      <c r="A55" s="215" t="s">
        <v>942</v>
      </c>
      <c r="B55" s="232" t="s">
        <v>938</v>
      </c>
      <c r="C55" s="232">
        <v>2080</v>
      </c>
      <c r="D55" s="232" t="s">
        <v>939</v>
      </c>
      <c r="E55" s="209">
        <v>286569.41862774</v>
      </c>
      <c r="F55" s="209">
        <v>7413.094538800683</v>
      </c>
      <c r="G55" s="209">
        <v>283695.92183174368</v>
      </c>
      <c r="H55" s="209">
        <v>135738.53967776842</v>
      </c>
      <c r="I55" s="209">
        <v>1763.6563478582107</v>
      </c>
      <c r="J55" s="209">
        <v>25183.879167671577</v>
      </c>
      <c r="K55" s="209">
        <v>141030.8010246442</v>
      </c>
      <c r="L55" s="209">
        <v>264725.30082569848</v>
      </c>
      <c r="M55" s="209">
        <v>198442.97505453211</v>
      </c>
      <c r="N55" s="209">
        <v>2273.134498183605</v>
      </c>
      <c r="O55" s="209">
        <v>17185.136491586265</v>
      </c>
      <c r="P55" s="209">
        <v>589518.5771021106</v>
      </c>
      <c r="Q55" s="209">
        <v>6857.9958751713157</v>
      </c>
      <c r="R55" s="209">
        <v>18218.251857464213</v>
      </c>
      <c r="S55" s="209">
        <v>25958.170295789001</v>
      </c>
      <c r="T55" s="209">
        <v>48318.118668939103</v>
      </c>
      <c r="U55" s="209">
        <v>35622.606456697213</v>
      </c>
      <c r="V55" s="209">
        <v>287751.75244936155</v>
      </c>
      <c r="W55" s="209">
        <v>1481.1451006244947</v>
      </c>
      <c r="X55" s="209">
        <v>49605.599127723683</v>
      </c>
      <c r="Y55" s="209">
        <v>266935.13115572109</v>
      </c>
      <c r="Z55" s="209">
        <v>16516.275848003264</v>
      </c>
      <c r="AA55" s="209">
        <v>7648.5590826698954</v>
      </c>
      <c r="AB55" s="209">
        <v>113730.05484635527</v>
      </c>
      <c r="AC55" s="209">
        <v>165035.92010229052</v>
      </c>
      <c r="AD55" s="209">
        <v>7809.5909731509482</v>
      </c>
      <c r="AE55" s="209">
        <v>49605.599127723683</v>
      </c>
      <c r="AF55" s="220">
        <v>534707.31362523686</v>
      </c>
      <c r="AG55" s="436">
        <v>19</v>
      </c>
      <c r="AI55" s="174"/>
    </row>
    <row r="56" spans="1:35">
      <c r="A56" s="215" t="s">
        <v>942</v>
      </c>
      <c r="B56" s="232" t="s">
        <v>938</v>
      </c>
      <c r="C56" s="232">
        <v>2090</v>
      </c>
      <c r="D56" s="232" t="s">
        <v>939</v>
      </c>
      <c r="E56" s="209">
        <v>405054.36199912737</v>
      </c>
      <c r="F56" s="209">
        <v>13385.826582223524</v>
      </c>
      <c r="G56" s="209">
        <v>400428.30329943157</v>
      </c>
      <c r="H56" s="209">
        <v>191590.99042970949</v>
      </c>
      <c r="I56" s="209">
        <v>5725.1998177564747</v>
      </c>
      <c r="J56" s="209">
        <v>45403.343799740418</v>
      </c>
      <c r="K56" s="209">
        <v>189541.62721122894</v>
      </c>
      <c r="L56" s="209">
        <v>355783.54685757734</v>
      </c>
      <c r="M56" s="209">
        <v>217781.35370327896</v>
      </c>
      <c r="N56" s="209">
        <v>7379.3082143911051</v>
      </c>
      <c r="O56" s="209">
        <v>18859.843978082947</v>
      </c>
      <c r="P56" s="209">
        <v>456487.11791113735</v>
      </c>
      <c r="Q56" s="209">
        <v>17748.015487197368</v>
      </c>
      <c r="R56" s="209">
        <v>12044.132096266316</v>
      </c>
      <c r="S56" s="209">
        <v>14182.082575502578</v>
      </c>
      <c r="T56" s="209">
        <v>26403.515283631157</v>
      </c>
      <c r="U56" s="209">
        <v>19488.128365965629</v>
      </c>
      <c r="V56" s="209">
        <v>386730.34836907737</v>
      </c>
      <c r="W56" s="209">
        <v>8496.5804851713692</v>
      </c>
      <c r="X56" s="209">
        <v>57837.345794046851</v>
      </c>
      <c r="Y56" s="209">
        <v>292948.89047134155</v>
      </c>
      <c r="Z56" s="209">
        <v>23161.500521967002</v>
      </c>
      <c r="AA56" s="209">
        <v>13810.634998152842</v>
      </c>
      <c r="AB56" s="209">
        <v>124813.03130457633</v>
      </c>
      <c r="AC56" s="209">
        <v>232943.35473362106</v>
      </c>
      <c r="AD56" s="209">
        <v>31470.074029534211</v>
      </c>
      <c r="AE56" s="209">
        <v>57837.345794046851</v>
      </c>
      <c r="AF56" s="220">
        <v>556936.3928895368</v>
      </c>
      <c r="AG56" s="436">
        <v>19</v>
      </c>
      <c r="AI56" s="174"/>
    </row>
    <row r="57" spans="1:35">
      <c r="A57" s="229" t="s">
        <v>942</v>
      </c>
      <c r="B57" s="235" t="s">
        <v>938</v>
      </c>
      <c r="C57" s="235">
        <v>2100</v>
      </c>
      <c r="D57" s="235" t="s">
        <v>939</v>
      </c>
      <c r="E57" s="226">
        <v>539747.35390042106</v>
      </c>
      <c r="F57" s="226">
        <v>19647.72556504684</v>
      </c>
      <c r="G57" s="226">
        <v>533231.45934668416</v>
      </c>
      <c r="H57" s="226">
        <v>255132.7346398884</v>
      </c>
      <c r="I57" s="226">
        <v>8566.3372201246839</v>
      </c>
      <c r="J57" s="226">
        <v>63643.660260026831</v>
      </c>
      <c r="K57" s="226">
        <v>213247.03873195002</v>
      </c>
      <c r="L57" s="226">
        <v>400280.34307927004</v>
      </c>
      <c r="M57" s="226">
        <v>640379.58105452638</v>
      </c>
      <c r="N57" s="226">
        <v>11041.284474133157</v>
      </c>
      <c r="O57" s="226">
        <v>19734.232365359214</v>
      </c>
      <c r="P57" s="226">
        <v>1038583.2692440579</v>
      </c>
      <c r="Q57" s="226">
        <v>29757.206868040212</v>
      </c>
      <c r="R57" s="226">
        <v>12186.883541365316</v>
      </c>
      <c r="S57" s="226">
        <v>4792.9958625581103</v>
      </c>
      <c r="T57" s="226">
        <v>8931.337918984631</v>
      </c>
      <c r="U57" s="226">
        <v>6625.2452394563161</v>
      </c>
      <c r="V57" s="226">
        <v>435097.52980318584</v>
      </c>
      <c r="W57" s="226">
        <v>29012.444484790001</v>
      </c>
      <c r="X57" s="226">
        <v>59567.061568897108</v>
      </c>
      <c r="Y57" s="226">
        <v>441324.01252377901</v>
      </c>
      <c r="Z57" s="226">
        <v>29382.294869563317</v>
      </c>
      <c r="AA57" s="226">
        <v>20271.004427953369</v>
      </c>
      <c r="AB57" s="226">
        <v>120784.25040404788</v>
      </c>
      <c r="AC57" s="226">
        <v>310199.65224154212</v>
      </c>
      <c r="AD57" s="226">
        <v>77348.13281211369</v>
      </c>
      <c r="AE57" s="226">
        <v>59567.061568897108</v>
      </c>
      <c r="AF57" s="224">
        <v>526099.97187242948</v>
      </c>
      <c r="AG57" s="437">
        <v>19</v>
      </c>
      <c r="AI57" s="174"/>
    </row>
    <row r="58" spans="1:35">
      <c r="A58" s="215" t="s">
        <v>942</v>
      </c>
      <c r="B58" s="232" t="s">
        <v>940</v>
      </c>
      <c r="C58" s="232">
        <v>2019</v>
      </c>
      <c r="D58" s="232" t="s">
        <v>939</v>
      </c>
      <c r="E58" s="209">
        <v>0</v>
      </c>
      <c r="F58" s="209">
        <v>0</v>
      </c>
      <c r="G58" s="209">
        <v>0</v>
      </c>
      <c r="H58" s="209">
        <v>0</v>
      </c>
      <c r="I58" s="209">
        <v>0</v>
      </c>
      <c r="J58" s="209">
        <v>0</v>
      </c>
      <c r="K58" s="209">
        <v>0</v>
      </c>
      <c r="L58" s="209">
        <v>0</v>
      </c>
      <c r="M58" s="209">
        <v>0</v>
      </c>
      <c r="N58" s="209">
        <v>0</v>
      </c>
      <c r="O58" s="209">
        <v>0</v>
      </c>
      <c r="P58" s="209">
        <v>0</v>
      </c>
      <c r="Q58" s="209">
        <v>0</v>
      </c>
      <c r="R58" s="209">
        <v>0</v>
      </c>
      <c r="S58" s="209">
        <v>0</v>
      </c>
      <c r="T58" s="209">
        <v>0</v>
      </c>
      <c r="U58" s="209">
        <v>0</v>
      </c>
      <c r="V58" s="209">
        <v>0</v>
      </c>
      <c r="W58" s="209">
        <v>0</v>
      </c>
      <c r="X58" s="209">
        <v>0</v>
      </c>
      <c r="Y58" s="209">
        <v>0</v>
      </c>
      <c r="Z58" s="209">
        <v>0</v>
      </c>
      <c r="AA58" s="209">
        <v>0</v>
      </c>
      <c r="AB58" s="209">
        <v>0</v>
      </c>
      <c r="AC58" s="209">
        <v>0</v>
      </c>
      <c r="AD58" s="209">
        <v>0</v>
      </c>
      <c r="AE58" s="209">
        <v>0</v>
      </c>
      <c r="AF58" s="220">
        <v>0</v>
      </c>
      <c r="AG58" s="436">
        <v>19</v>
      </c>
    </row>
    <row r="59" spans="1:35">
      <c r="A59" s="215" t="s">
        <v>942</v>
      </c>
      <c r="B59" s="232" t="s">
        <v>940</v>
      </c>
      <c r="C59">
        <v>2020</v>
      </c>
      <c r="D59" s="232" t="s">
        <v>939</v>
      </c>
      <c r="E59" s="209">
        <v>0</v>
      </c>
      <c r="F59" s="209">
        <v>0</v>
      </c>
      <c r="G59" s="209">
        <v>0</v>
      </c>
      <c r="H59" s="209">
        <v>0</v>
      </c>
      <c r="I59" s="209">
        <v>0</v>
      </c>
      <c r="J59" s="209">
        <v>0</v>
      </c>
      <c r="K59" s="209">
        <v>0</v>
      </c>
      <c r="L59" s="209">
        <v>0</v>
      </c>
      <c r="M59" s="209">
        <v>0</v>
      </c>
      <c r="N59" s="209">
        <v>0</v>
      </c>
      <c r="O59" s="209">
        <v>0</v>
      </c>
      <c r="P59" s="209">
        <v>0</v>
      </c>
      <c r="Q59" s="209">
        <v>0</v>
      </c>
      <c r="R59" s="209">
        <v>0</v>
      </c>
      <c r="S59" s="209">
        <v>0</v>
      </c>
      <c r="T59" s="209">
        <v>0</v>
      </c>
      <c r="U59" s="209">
        <v>0</v>
      </c>
      <c r="V59" s="209">
        <v>0</v>
      </c>
      <c r="W59" s="209">
        <v>0</v>
      </c>
      <c r="X59" s="209">
        <v>0</v>
      </c>
      <c r="Y59" s="209">
        <v>0</v>
      </c>
      <c r="Z59" s="209">
        <v>0</v>
      </c>
      <c r="AA59" s="209">
        <v>0</v>
      </c>
      <c r="AB59" s="209">
        <v>0</v>
      </c>
      <c r="AC59" s="209">
        <v>0</v>
      </c>
      <c r="AD59" s="209">
        <v>0</v>
      </c>
      <c r="AE59" s="209">
        <v>0</v>
      </c>
      <c r="AF59" s="220">
        <v>0</v>
      </c>
      <c r="AG59" s="436">
        <v>19</v>
      </c>
      <c r="AI59" s="174"/>
    </row>
    <row r="60" spans="1:35">
      <c r="A60" s="215" t="s">
        <v>942</v>
      </c>
      <c r="B60" s="232" t="s">
        <v>940</v>
      </c>
      <c r="C60" s="232">
        <v>2025</v>
      </c>
      <c r="D60" s="232" t="s">
        <v>939</v>
      </c>
      <c r="E60" s="209">
        <v>0</v>
      </c>
      <c r="F60" s="209">
        <v>0</v>
      </c>
      <c r="G60" s="209">
        <v>0</v>
      </c>
      <c r="H60" s="209">
        <v>0</v>
      </c>
      <c r="I60" s="209">
        <v>0</v>
      </c>
      <c r="J60" s="209">
        <v>0</v>
      </c>
      <c r="K60" s="209">
        <v>0</v>
      </c>
      <c r="L60" s="209">
        <v>0</v>
      </c>
      <c r="M60" s="209">
        <v>0</v>
      </c>
      <c r="N60" s="209">
        <v>0</v>
      </c>
      <c r="O60" s="209">
        <v>0</v>
      </c>
      <c r="P60" s="209">
        <v>0</v>
      </c>
      <c r="Q60" s="209">
        <v>0</v>
      </c>
      <c r="R60" s="209">
        <v>0</v>
      </c>
      <c r="S60" s="209">
        <v>0</v>
      </c>
      <c r="T60" s="209">
        <v>0</v>
      </c>
      <c r="U60" s="209">
        <v>0</v>
      </c>
      <c r="V60" s="209">
        <v>0</v>
      </c>
      <c r="W60" s="209">
        <v>0</v>
      </c>
      <c r="X60" s="209">
        <v>0</v>
      </c>
      <c r="Y60" s="209">
        <v>0</v>
      </c>
      <c r="Z60" s="209">
        <v>0</v>
      </c>
      <c r="AA60" s="209">
        <v>0</v>
      </c>
      <c r="AB60" s="209">
        <v>0</v>
      </c>
      <c r="AC60" s="209">
        <v>0</v>
      </c>
      <c r="AD60" s="209">
        <v>0</v>
      </c>
      <c r="AE60" s="209">
        <v>0</v>
      </c>
      <c r="AF60" s="220">
        <v>0</v>
      </c>
      <c r="AG60" s="436">
        <v>19</v>
      </c>
      <c r="AI60" s="174"/>
    </row>
    <row r="61" spans="1:35">
      <c r="A61" s="215" t="s">
        <v>942</v>
      </c>
      <c r="B61" s="232" t="s">
        <v>940</v>
      </c>
      <c r="C61" s="232">
        <v>2030</v>
      </c>
      <c r="D61" s="232" t="s">
        <v>939</v>
      </c>
      <c r="E61" s="209">
        <v>0</v>
      </c>
      <c r="F61" s="209">
        <v>0</v>
      </c>
      <c r="G61" s="209">
        <v>0</v>
      </c>
      <c r="H61" s="209">
        <v>0</v>
      </c>
      <c r="I61" s="209">
        <v>0</v>
      </c>
      <c r="J61" s="209">
        <v>0</v>
      </c>
      <c r="K61" s="209">
        <v>0</v>
      </c>
      <c r="L61" s="209">
        <v>0</v>
      </c>
      <c r="M61" s="209">
        <v>0</v>
      </c>
      <c r="N61" s="209">
        <v>0</v>
      </c>
      <c r="O61" s="209">
        <v>0</v>
      </c>
      <c r="P61" s="209">
        <v>0</v>
      </c>
      <c r="Q61" s="209">
        <v>0</v>
      </c>
      <c r="R61" s="209">
        <v>0</v>
      </c>
      <c r="S61" s="209">
        <v>0</v>
      </c>
      <c r="T61" s="209">
        <v>0</v>
      </c>
      <c r="U61" s="209">
        <v>0</v>
      </c>
      <c r="V61" s="209">
        <v>0</v>
      </c>
      <c r="W61" s="209">
        <v>0</v>
      </c>
      <c r="X61" s="209">
        <v>0</v>
      </c>
      <c r="Y61" s="209">
        <v>0</v>
      </c>
      <c r="Z61" s="209">
        <v>0</v>
      </c>
      <c r="AA61" s="209">
        <v>0</v>
      </c>
      <c r="AB61" s="209">
        <v>0</v>
      </c>
      <c r="AC61" s="209">
        <v>0</v>
      </c>
      <c r="AD61" s="209">
        <v>0</v>
      </c>
      <c r="AE61" s="209">
        <v>0</v>
      </c>
      <c r="AF61" s="220">
        <v>0</v>
      </c>
      <c r="AG61" s="436">
        <v>19</v>
      </c>
      <c r="AI61" s="174"/>
    </row>
    <row r="62" spans="1:35">
      <c r="A62" s="215" t="s">
        <v>942</v>
      </c>
      <c r="B62" s="232" t="s">
        <v>940</v>
      </c>
      <c r="C62" s="232">
        <v>2035</v>
      </c>
      <c r="D62" s="232" t="s">
        <v>939</v>
      </c>
      <c r="E62" s="209">
        <v>0</v>
      </c>
      <c r="F62" s="209">
        <v>0</v>
      </c>
      <c r="G62" s="209">
        <v>0</v>
      </c>
      <c r="H62" s="209">
        <v>0</v>
      </c>
      <c r="I62" s="209">
        <v>0</v>
      </c>
      <c r="J62" s="209">
        <v>0</v>
      </c>
      <c r="K62" s="209">
        <v>0</v>
      </c>
      <c r="L62" s="209">
        <v>0</v>
      </c>
      <c r="M62" s="209">
        <v>0</v>
      </c>
      <c r="N62" s="209">
        <v>0</v>
      </c>
      <c r="O62" s="209">
        <v>0</v>
      </c>
      <c r="P62" s="209">
        <v>0</v>
      </c>
      <c r="Q62" s="209">
        <v>0</v>
      </c>
      <c r="R62" s="209">
        <v>0</v>
      </c>
      <c r="S62" s="209">
        <v>0</v>
      </c>
      <c r="T62" s="209">
        <v>0</v>
      </c>
      <c r="U62" s="209">
        <v>0</v>
      </c>
      <c r="V62" s="209">
        <v>0</v>
      </c>
      <c r="W62" s="209">
        <v>0</v>
      </c>
      <c r="X62" s="209">
        <v>0</v>
      </c>
      <c r="Y62" s="209">
        <v>0</v>
      </c>
      <c r="Z62" s="209">
        <v>0</v>
      </c>
      <c r="AA62" s="209">
        <v>0</v>
      </c>
      <c r="AB62" s="209">
        <v>0</v>
      </c>
      <c r="AC62" s="209">
        <v>0</v>
      </c>
      <c r="AD62" s="209">
        <v>0</v>
      </c>
      <c r="AE62" s="209">
        <v>0</v>
      </c>
      <c r="AF62" s="220">
        <v>0</v>
      </c>
      <c r="AG62" s="436">
        <v>19</v>
      </c>
      <c r="AI62" s="174"/>
    </row>
    <row r="63" spans="1:35">
      <c r="A63" s="215" t="s">
        <v>942</v>
      </c>
      <c r="B63" s="232" t="s">
        <v>940</v>
      </c>
      <c r="C63" s="232">
        <v>2040</v>
      </c>
      <c r="D63" s="232" t="s">
        <v>939</v>
      </c>
      <c r="E63" s="209">
        <v>0</v>
      </c>
      <c r="F63" s="209">
        <v>2.4096533051073802E-3</v>
      </c>
      <c r="G63" s="209">
        <v>0</v>
      </c>
      <c r="H63" s="209">
        <v>0</v>
      </c>
      <c r="I63" s="209">
        <v>0</v>
      </c>
      <c r="J63" s="209">
        <v>0</v>
      </c>
      <c r="K63" s="209">
        <v>0</v>
      </c>
      <c r="L63" s="209">
        <v>0</v>
      </c>
      <c r="M63" s="209">
        <v>0</v>
      </c>
      <c r="N63" s="209">
        <v>0</v>
      </c>
      <c r="O63" s="209">
        <v>0</v>
      </c>
      <c r="P63" s="209">
        <v>0</v>
      </c>
      <c r="Q63" s="209">
        <v>0</v>
      </c>
      <c r="R63" s="209">
        <v>0</v>
      </c>
      <c r="S63" s="209">
        <v>0</v>
      </c>
      <c r="T63" s="209">
        <v>0</v>
      </c>
      <c r="U63" s="209">
        <v>0</v>
      </c>
      <c r="V63" s="209">
        <v>0</v>
      </c>
      <c r="W63" s="209">
        <v>0</v>
      </c>
      <c r="X63" s="209">
        <v>0</v>
      </c>
      <c r="Y63" s="209">
        <v>0</v>
      </c>
      <c r="Z63" s="209">
        <v>0</v>
      </c>
      <c r="AA63" s="209">
        <v>0</v>
      </c>
      <c r="AB63" s="209">
        <v>0</v>
      </c>
      <c r="AC63" s="209">
        <v>0</v>
      </c>
      <c r="AD63" s="209">
        <v>0</v>
      </c>
      <c r="AE63" s="209">
        <v>0</v>
      </c>
      <c r="AF63" s="220">
        <v>0</v>
      </c>
      <c r="AG63" s="436">
        <v>19</v>
      </c>
      <c r="AI63" s="174"/>
    </row>
    <row r="64" spans="1:35">
      <c r="A64" s="215" t="s">
        <v>942</v>
      </c>
      <c r="B64" s="232" t="s">
        <v>940</v>
      </c>
      <c r="C64" s="232">
        <v>2045</v>
      </c>
      <c r="D64" s="232" t="s">
        <v>939</v>
      </c>
      <c r="E64" s="209">
        <v>0</v>
      </c>
      <c r="F64" s="209">
        <v>0</v>
      </c>
      <c r="G64" s="209">
        <v>0</v>
      </c>
      <c r="H64" s="209">
        <v>0</v>
      </c>
      <c r="I64" s="209">
        <v>0</v>
      </c>
      <c r="J64" s="209">
        <v>0</v>
      </c>
      <c r="K64" s="209">
        <v>0</v>
      </c>
      <c r="L64" s="209">
        <v>0</v>
      </c>
      <c r="M64" s="209">
        <v>0</v>
      </c>
      <c r="N64" s="209">
        <v>0</v>
      </c>
      <c r="O64" s="209">
        <v>0</v>
      </c>
      <c r="P64" s="209">
        <v>0</v>
      </c>
      <c r="Q64" s="209">
        <v>0</v>
      </c>
      <c r="R64" s="209">
        <v>0</v>
      </c>
      <c r="S64" s="209">
        <v>0</v>
      </c>
      <c r="T64" s="209">
        <v>0</v>
      </c>
      <c r="U64" s="209">
        <v>0</v>
      </c>
      <c r="V64" s="209">
        <v>0</v>
      </c>
      <c r="W64" s="209">
        <v>0</v>
      </c>
      <c r="X64" s="209">
        <v>3.5718186055054761E-3</v>
      </c>
      <c r="Y64" s="209">
        <v>0</v>
      </c>
      <c r="Z64" s="209">
        <v>0</v>
      </c>
      <c r="AA64" s="209">
        <v>0</v>
      </c>
      <c r="AB64" s="209">
        <v>0</v>
      </c>
      <c r="AC64" s="209">
        <v>0</v>
      </c>
      <c r="AD64" s="209">
        <v>0</v>
      </c>
      <c r="AE64" s="209">
        <v>3.5718186055054761E-3</v>
      </c>
      <c r="AF64" s="220">
        <v>0</v>
      </c>
      <c r="AG64" s="436">
        <v>19</v>
      </c>
      <c r="AI64" s="174"/>
    </row>
    <row r="65" spans="1:35">
      <c r="A65" s="215" t="s">
        <v>942</v>
      </c>
      <c r="B65" s="232" t="s">
        <v>940</v>
      </c>
      <c r="C65" s="232">
        <v>2050</v>
      </c>
      <c r="D65" s="232" t="s">
        <v>939</v>
      </c>
      <c r="E65" s="209">
        <v>0</v>
      </c>
      <c r="F65" s="209">
        <v>0</v>
      </c>
      <c r="G65" s="209">
        <v>0</v>
      </c>
      <c r="H65" s="209">
        <v>0</v>
      </c>
      <c r="I65" s="209">
        <v>0</v>
      </c>
      <c r="J65" s="209">
        <v>0</v>
      </c>
      <c r="K65" s="209">
        <v>0</v>
      </c>
      <c r="L65" s="209">
        <v>0</v>
      </c>
      <c r="M65" s="209">
        <v>0</v>
      </c>
      <c r="N65" s="209">
        <v>0</v>
      </c>
      <c r="O65" s="209">
        <v>0</v>
      </c>
      <c r="P65" s="209">
        <v>0</v>
      </c>
      <c r="Q65" s="209">
        <v>0</v>
      </c>
      <c r="R65" s="209">
        <v>0</v>
      </c>
      <c r="S65" s="209">
        <v>0</v>
      </c>
      <c r="T65" s="209">
        <v>0</v>
      </c>
      <c r="U65" s="209">
        <v>0</v>
      </c>
      <c r="V65" s="209">
        <v>0</v>
      </c>
      <c r="W65" s="209">
        <v>0</v>
      </c>
      <c r="X65" s="209">
        <v>1.867624320984225E-2</v>
      </c>
      <c r="Y65" s="209">
        <v>0</v>
      </c>
      <c r="Z65" s="209">
        <v>0</v>
      </c>
      <c r="AA65" s="209">
        <v>0</v>
      </c>
      <c r="AB65" s="209">
        <v>0</v>
      </c>
      <c r="AC65" s="209">
        <v>0</v>
      </c>
      <c r="AD65" s="209">
        <v>0</v>
      </c>
      <c r="AE65" s="209">
        <v>1.867624320984225E-2</v>
      </c>
      <c r="AF65" s="220">
        <v>0</v>
      </c>
      <c r="AG65" s="436">
        <v>19</v>
      </c>
      <c r="AI65" s="174"/>
    </row>
    <row r="66" spans="1:35">
      <c r="A66" s="215" t="s">
        <v>942</v>
      </c>
      <c r="B66" s="232" t="s">
        <v>940</v>
      </c>
      <c r="C66" s="232">
        <v>2060</v>
      </c>
      <c r="D66" s="232" t="s">
        <v>939</v>
      </c>
      <c r="E66" s="209">
        <v>0</v>
      </c>
      <c r="F66" s="209">
        <v>0</v>
      </c>
      <c r="G66" s="209">
        <v>0</v>
      </c>
      <c r="H66" s="209">
        <v>0</v>
      </c>
      <c r="I66" s="209">
        <v>0</v>
      </c>
      <c r="J66" s="209">
        <v>0</v>
      </c>
      <c r="K66" s="209">
        <v>0</v>
      </c>
      <c r="L66" s="209">
        <v>0</v>
      </c>
      <c r="M66" s="209">
        <v>0</v>
      </c>
      <c r="N66" s="209">
        <v>0</v>
      </c>
      <c r="O66" s="209">
        <v>0</v>
      </c>
      <c r="P66" s="209">
        <v>0</v>
      </c>
      <c r="Q66" s="209">
        <v>0</v>
      </c>
      <c r="R66" s="209">
        <v>0</v>
      </c>
      <c r="S66" s="209">
        <v>0</v>
      </c>
      <c r="T66" s="209">
        <v>0</v>
      </c>
      <c r="U66" s="209">
        <v>0</v>
      </c>
      <c r="V66" s="209">
        <v>0</v>
      </c>
      <c r="W66" s="209">
        <v>0</v>
      </c>
      <c r="X66" s="209">
        <v>2.5149774052797631E-2</v>
      </c>
      <c r="Y66" s="209">
        <v>0</v>
      </c>
      <c r="Z66" s="209">
        <v>0</v>
      </c>
      <c r="AA66" s="209">
        <v>0</v>
      </c>
      <c r="AB66" s="209">
        <v>0</v>
      </c>
      <c r="AC66" s="209">
        <v>0</v>
      </c>
      <c r="AD66" s="209">
        <v>0</v>
      </c>
      <c r="AE66" s="209">
        <v>2.5149774052797631E-2</v>
      </c>
      <c r="AF66" s="220">
        <v>0</v>
      </c>
      <c r="AG66" s="436">
        <v>19</v>
      </c>
      <c r="AI66" s="174"/>
    </row>
    <row r="67" spans="1:35">
      <c r="A67" s="215" t="s">
        <v>942</v>
      </c>
      <c r="B67" s="232" t="s">
        <v>940</v>
      </c>
      <c r="C67" s="232">
        <v>2070</v>
      </c>
      <c r="D67" s="232" t="s">
        <v>939</v>
      </c>
      <c r="E67" s="209">
        <v>0</v>
      </c>
      <c r="F67" s="209">
        <v>0</v>
      </c>
      <c r="G67" s="209">
        <v>0</v>
      </c>
      <c r="H67" s="209">
        <v>0</v>
      </c>
      <c r="I67" s="209">
        <v>0</v>
      </c>
      <c r="J67" s="209">
        <v>0</v>
      </c>
      <c r="K67" s="209">
        <v>0</v>
      </c>
      <c r="L67" s="209">
        <v>0</v>
      </c>
      <c r="M67" s="209">
        <v>0</v>
      </c>
      <c r="N67" s="209">
        <v>0</v>
      </c>
      <c r="O67" s="209">
        <v>0</v>
      </c>
      <c r="P67" s="209">
        <v>0</v>
      </c>
      <c r="Q67" s="209">
        <v>0</v>
      </c>
      <c r="R67" s="209">
        <v>0</v>
      </c>
      <c r="S67" s="209">
        <v>0</v>
      </c>
      <c r="T67" s="209">
        <v>0</v>
      </c>
      <c r="U67" s="209">
        <v>0</v>
      </c>
      <c r="V67" s="209">
        <v>0</v>
      </c>
      <c r="W67" s="209">
        <v>0</v>
      </c>
      <c r="X67" s="209">
        <v>0</v>
      </c>
      <c r="Y67" s="209">
        <v>0</v>
      </c>
      <c r="Z67" s="209">
        <v>0</v>
      </c>
      <c r="AA67" s="209">
        <v>0</v>
      </c>
      <c r="AB67" s="209">
        <v>0</v>
      </c>
      <c r="AC67" s="209">
        <v>0</v>
      </c>
      <c r="AD67" s="209">
        <v>25287.254912565637</v>
      </c>
      <c r="AE67" s="209">
        <v>0</v>
      </c>
      <c r="AF67" s="220">
        <v>0</v>
      </c>
      <c r="AG67" s="436">
        <v>19</v>
      </c>
      <c r="AI67" s="174"/>
    </row>
    <row r="68" spans="1:35">
      <c r="A68" s="215" t="s">
        <v>942</v>
      </c>
      <c r="B68" s="232" t="s">
        <v>940</v>
      </c>
      <c r="C68" s="232">
        <v>2080</v>
      </c>
      <c r="D68" s="232" t="s">
        <v>939</v>
      </c>
      <c r="E68" s="209">
        <v>0</v>
      </c>
      <c r="F68" s="209">
        <v>0</v>
      </c>
      <c r="G68" s="209">
        <v>0</v>
      </c>
      <c r="H68" s="209">
        <v>9435.3899695720957</v>
      </c>
      <c r="I68" s="209">
        <v>0</v>
      </c>
      <c r="J68" s="209">
        <v>0</v>
      </c>
      <c r="K68" s="209">
        <v>4.6406531716806851E-3</v>
      </c>
      <c r="L68" s="209">
        <v>0</v>
      </c>
      <c r="M68" s="209">
        <v>911837.64035837841</v>
      </c>
      <c r="N68" s="209">
        <v>0</v>
      </c>
      <c r="O68" s="209">
        <v>0</v>
      </c>
      <c r="P68" s="209">
        <v>15962.838815378922</v>
      </c>
      <c r="Q68" s="209">
        <v>0</v>
      </c>
      <c r="R68" s="209">
        <v>3015.1708440935786</v>
      </c>
      <c r="S68" s="209">
        <v>0</v>
      </c>
      <c r="T68" s="209">
        <v>0</v>
      </c>
      <c r="U68" s="209">
        <v>0</v>
      </c>
      <c r="V68" s="209">
        <v>0</v>
      </c>
      <c r="W68" s="209">
        <v>0</v>
      </c>
      <c r="X68" s="209">
        <v>1.1128708948523296E-2</v>
      </c>
      <c r="Y68" s="209">
        <v>385940.92508276843</v>
      </c>
      <c r="Z68" s="209">
        <v>0</v>
      </c>
      <c r="AA68" s="209">
        <v>0</v>
      </c>
      <c r="AB68" s="209">
        <v>0</v>
      </c>
      <c r="AC68" s="209">
        <v>0</v>
      </c>
      <c r="AD68" s="209">
        <v>108623.78311732327</v>
      </c>
      <c r="AE68" s="209">
        <v>1.1128708948523296E-2</v>
      </c>
      <c r="AF68" s="220">
        <v>0</v>
      </c>
      <c r="AG68" s="436">
        <v>19</v>
      </c>
      <c r="AI68" s="174"/>
    </row>
    <row r="69" spans="1:35">
      <c r="A69" s="215" t="s">
        <v>942</v>
      </c>
      <c r="B69" s="232" t="s">
        <v>940</v>
      </c>
      <c r="C69" s="232">
        <v>2090</v>
      </c>
      <c r="D69" s="232" t="s">
        <v>939</v>
      </c>
      <c r="E69" s="209">
        <v>386283.53138111479</v>
      </c>
      <c r="F69" s="209">
        <v>0</v>
      </c>
      <c r="G69" s="209">
        <v>2552251.6703412789</v>
      </c>
      <c r="H69" s="209">
        <v>782550.45425199578</v>
      </c>
      <c r="I69" s="209">
        <v>211462.16960453457</v>
      </c>
      <c r="J69" s="209">
        <v>0</v>
      </c>
      <c r="K69" s="209">
        <v>1652621.6594293974</v>
      </c>
      <c r="L69" s="209">
        <v>0</v>
      </c>
      <c r="M69" s="209">
        <v>2271456.1874876106</v>
      </c>
      <c r="N69" s="209">
        <v>560356.18627075106</v>
      </c>
      <c r="O69" s="209">
        <v>0</v>
      </c>
      <c r="P69" s="209">
        <v>1302798.1162879732</v>
      </c>
      <c r="Q69" s="209">
        <v>104276.50975075579</v>
      </c>
      <c r="R69" s="209">
        <v>43153.592936253153</v>
      </c>
      <c r="S69" s="209">
        <v>22136.290959809528</v>
      </c>
      <c r="T69" s="209">
        <v>55329.66295281674</v>
      </c>
      <c r="U69" s="209">
        <v>0</v>
      </c>
      <c r="V69" s="209">
        <v>1705952.8956922598</v>
      </c>
      <c r="W69" s="209">
        <v>0</v>
      </c>
      <c r="X69" s="209">
        <v>415.61045897946735</v>
      </c>
      <c r="Y69" s="209">
        <v>5124886.8423008695</v>
      </c>
      <c r="Z69" s="209">
        <v>0</v>
      </c>
      <c r="AA69" s="209">
        <v>0</v>
      </c>
      <c r="AB69" s="209">
        <v>241596.83017464521</v>
      </c>
      <c r="AC69" s="209">
        <v>0</v>
      </c>
      <c r="AD69" s="209">
        <v>115560.81671756369</v>
      </c>
      <c r="AE69" s="209">
        <v>415.61045897946735</v>
      </c>
      <c r="AF69" s="220">
        <v>1278005.8556094735</v>
      </c>
      <c r="AG69" s="436">
        <v>19</v>
      </c>
      <c r="AI69" s="174"/>
    </row>
    <row r="70" spans="1:35">
      <c r="A70" s="229" t="s">
        <v>942</v>
      </c>
      <c r="B70" s="235" t="s">
        <v>940</v>
      </c>
      <c r="C70" s="235">
        <v>2100</v>
      </c>
      <c r="D70" s="235" t="s">
        <v>939</v>
      </c>
      <c r="E70" s="226">
        <v>439160.89733595261</v>
      </c>
      <c r="F70" s="226">
        <v>0</v>
      </c>
      <c r="G70" s="226">
        <v>2217993.3249284266</v>
      </c>
      <c r="H70" s="226">
        <v>1576502.6266903854</v>
      </c>
      <c r="I70" s="226">
        <v>1441353.3602991491</v>
      </c>
      <c r="J70" s="226">
        <v>0</v>
      </c>
      <c r="K70" s="226">
        <v>3027871.256548408</v>
      </c>
      <c r="L70" s="226">
        <v>0</v>
      </c>
      <c r="M70" s="226">
        <v>2916321.0522408993</v>
      </c>
      <c r="N70" s="226">
        <v>1000815.4277519352</v>
      </c>
      <c r="O70" s="226">
        <v>1293.794002169788</v>
      </c>
      <c r="P70" s="226">
        <v>3093587.792975374</v>
      </c>
      <c r="Q70" s="226">
        <v>273246.50154005241</v>
      </c>
      <c r="R70" s="226">
        <v>71217.082425438377</v>
      </c>
      <c r="S70" s="226">
        <v>43986.302901263152</v>
      </c>
      <c r="T70" s="226">
        <v>371520.35029014642</v>
      </c>
      <c r="U70" s="226">
        <v>0</v>
      </c>
      <c r="V70" s="226">
        <v>2253215.7848206982</v>
      </c>
      <c r="W70" s="226">
        <v>1096794.4332442994</v>
      </c>
      <c r="X70" s="226">
        <v>68332.472328999967</v>
      </c>
      <c r="Y70" s="226">
        <v>8692641.7454460636</v>
      </c>
      <c r="Z70" s="226">
        <v>1728.0924268151005</v>
      </c>
      <c r="AA70" s="226">
        <v>0</v>
      </c>
      <c r="AB70" s="226">
        <v>582712.81846688362</v>
      </c>
      <c r="AC70" s="226">
        <v>78057.620941849935</v>
      </c>
      <c r="AD70" s="226">
        <v>243090.08343731047</v>
      </c>
      <c r="AE70" s="226">
        <v>68332.472328999967</v>
      </c>
      <c r="AF70" s="224">
        <v>3769177.6105897967</v>
      </c>
      <c r="AG70" s="437">
        <v>19</v>
      </c>
      <c r="AI70" s="174"/>
    </row>
    <row r="71" spans="1:35">
      <c r="A71" t="s">
        <v>942</v>
      </c>
      <c r="B71" s="231" t="s">
        <v>941</v>
      </c>
      <c r="C71" s="232">
        <v>2019</v>
      </c>
      <c r="D71" s="231" t="s">
        <v>939</v>
      </c>
      <c r="E71" s="209">
        <v>0</v>
      </c>
      <c r="F71" s="209">
        <v>0</v>
      </c>
      <c r="G71" s="209">
        <v>0</v>
      </c>
      <c r="H71" s="209">
        <v>0</v>
      </c>
      <c r="I71" s="209">
        <v>0</v>
      </c>
      <c r="J71" s="209">
        <v>0</v>
      </c>
      <c r="K71" s="209">
        <v>0</v>
      </c>
      <c r="L71" s="209">
        <v>0</v>
      </c>
      <c r="M71" s="209">
        <v>0</v>
      </c>
      <c r="N71" s="209">
        <v>0</v>
      </c>
      <c r="O71" s="209">
        <v>0</v>
      </c>
      <c r="P71" s="209">
        <v>0</v>
      </c>
      <c r="Q71" s="209">
        <v>0</v>
      </c>
      <c r="R71" s="209">
        <v>0</v>
      </c>
      <c r="S71" s="209">
        <v>0</v>
      </c>
      <c r="T71" s="209">
        <v>0</v>
      </c>
      <c r="U71" s="209">
        <v>0</v>
      </c>
      <c r="V71" s="209">
        <v>0</v>
      </c>
      <c r="W71" s="209">
        <v>0</v>
      </c>
      <c r="X71" s="209">
        <v>0</v>
      </c>
      <c r="Y71" s="209">
        <v>0</v>
      </c>
      <c r="Z71" s="209">
        <v>0</v>
      </c>
      <c r="AA71" s="209">
        <v>0</v>
      </c>
      <c r="AB71" s="209">
        <v>0</v>
      </c>
      <c r="AC71" s="209">
        <v>0</v>
      </c>
      <c r="AD71" s="209">
        <v>0</v>
      </c>
      <c r="AE71" s="209">
        <v>0</v>
      </c>
      <c r="AF71" s="209">
        <v>0</v>
      </c>
      <c r="AG71" s="453">
        <v>19</v>
      </c>
    </row>
    <row r="72" spans="1:35">
      <c r="A72" s="215" t="s">
        <v>942</v>
      </c>
      <c r="B72" s="232" t="s">
        <v>941</v>
      </c>
      <c r="C72">
        <v>2020</v>
      </c>
      <c r="D72" s="232" t="s">
        <v>939</v>
      </c>
      <c r="E72" s="209">
        <v>0</v>
      </c>
      <c r="F72" s="209">
        <v>0</v>
      </c>
      <c r="G72" s="209">
        <v>0</v>
      </c>
      <c r="H72" s="209">
        <v>0</v>
      </c>
      <c r="I72" s="209">
        <v>0</v>
      </c>
      <c r="J72" s="209">
        <v>0</v>
      </c>
      <c r="K72" s="209">
        <v>0</v>
      </c>
      <c r="L72" s="209">
        <v>0</v>
      </c>
      <c r="M72" s="209">
        <v>0</v>
      </c>
      <c r="N72" s="209">
        <v>0</v>
      </c>
      <c r="O72" s="209">
        <v>0</v>
      </c>
      <c r="P72" s="209">
        <v>0</v>
      </c>
      <c r="Q72" s="209">
        <v>0</v>
      </c>
      <c r="R72" s="209">
        <v>0</v>
      </c>
      <c r="S72" s="209">
        <v>0</v>
      </c>
      <c r="T72" s="209">
        <v>0</v>
      </c>
      <c r="U72" s="209">
        <v>0</v>
      </c>
      <c r="V72" s="209">
        <v>0</v>
      </c>
      <c r="W72" s="209">
        <v>0</v>
      </c>
      <c r="X72" s="209">
        <v>0</v>
      </c>
      <c r="Y72" s="209">
        <v>0</v>
      </c>
      <c r="Z72" s="209">
        <v>0</v>
      </c>
      <c r="AA72" s="209">
        <v>0</v>
      </c>
      <c r="AB72" s="209">
        <v>0</v>
      </c>
      <c r="AC72" s="209">
        <v>0</v>
      </c>
      <c r="AD72" s="209">
        <v>0</v>
      </c>
      <c r="AE72" s="209">
        <v>0</v>
      </c>
      <c r="AF72" s="220">
        <v>0</v>
      </c>
      <c r="AG72" s="436">
        <v>19</v>
      </c>
      <c r="AI72" s="174"/>
    </row>
    <row r="73" spans="1:35">
      <c r="A73" s="215" t="s">
        <v>942</v>
      </c>
      <c r="B73" s="232" t="s">
        <v>941</v>
      </c>
      <c r="C73" s="232">
        <v>2025</v>
      </c>
      <c r="D73" s="232" t="s">
        <v>939</v>
      </c>
      <c r="E73" s="209">
        <v>0</v>
      </c>
      <c r="F73" s="209">
        <v>0</v>
      </c>
      <c r="G73" s="209">
        <v>0</v>
      </c>
      <c r="H73" s="209">
        <v>0</v>
      </c>
      <c r="I73" s="209">
        <v>0</v>
      </c>
      <c r="J73" s="209">
        <v>0</v>
      </c>
      <c r="K73" s="209">
        <v>0</v>
      </c>
      <c r="L73" s="209">
        <v>0</v>
      </c>
      <c r="M73" s="209">
        <v>0</v>
      </c>
      <c r="N73" s="209">
        <v>0</v>
      </c>
      <c r="O73" s="209">
        <v>0</v>
      </c>
      <c r="P73" s="209">
        <v>0</v>
      </c>
      <c r="Q73" s="209">
        <v>0</v>
      </c>
      <c r="R73" s="209">
        <v>0</v>
      </c>
      <c r="S73" s="209">
        <v>0</v>
      </c>
      <c r="T73" s="209">
        <v>0</v>
      </c>
      <c r="U73" s="209">
        <v>0</v>
      </c>
      <c r="V73" s="209">
        <v>0</v>
      </c>
      <c r="W73" s="209">
        <v>0</v>
      </c>
      <c r="X73" s="209">
        <v>0</v>
      </c>
      <c r="Y73" s="209">
        <v>0</v>
      </c>
      <c r="Z73" s="209">
        <v>0</v>
      </c>
      <c r="AA73" s="209">
        <v>0</v>
      </c>
      <c r="AB73" s="209">
        <v>0</v>
      </c>
      <c r="AC73" s="209">
        <v>0</v>
      </c>
      <c r="AD73" s="209">
        <v>0</v>
      </c>
      <c r="AE73" s="209">
        <v>0</v>
      </c>
      <c r="AF73" s="220">
        <v>0</v>
      </c>
      <c r="AG73" s="436">
        <v>19</v>
      </c>
      <c r="AI73" s="174"/>
    </row>
    <row r="74" spans="1:35">
      <c r="A74" s="215" t="s">
        <v>942</v>
      </c>
      <c r="B74" s="232" t="s">
        <v>941</v>
      </c>
      <c r="C74" s="232">
        <v>2030</v>
      </c>
      <c r="D74" s="232" t="s">
        <v>939</v>
      </c>
      <c r="E74" s="209">
        <v>0</v>
      </c>
      <c r="F74" s="209">
        <v>0</v>
      </c>
      <c r="G74" s="209">
        <v>0</v>
      </c>
      <c r="H74" s="209">
        <v>0</v>
      </c>
      <c r="I74" s="209">
        <v>0</v>
      </c>
      <c r="J74" s="209">
        <v>0</v>
      </c>
      <c r="K74" s="209">
        <v>0</v>
      </c>
      <c r="L74" s="209">
        <v>0</v>
      </c>
      <c r="M74" s="209">
        <v>0</v>
      </c>
      <c r="N74" s="209">
        <v>0</v>
      </c>
      <c r="O74" s="209">
        <v>0</v>
      </c>
      <c r="P74" s="209">
        <v>0</v>
      </c>
      <c r="Q74" s="209">
        <v>0</v>
      </c>
      <c r="R74" s="209">
        <v>0</v>
      </c>
      <c r="S74" s="209">
        <v>0</v>
      </c>
      <c r="T74" s="209">
        <v>0</v>
      </c>
      <c r="U74" s="209">
        <v>0</v>
      </c>
      <c r="V74" s="209">
        <v>0</v>
      </c>
      <c r="W74" s="209">
        <v>0</v>
      </c>
      <c r="X74" s="209">
        <v>0</v>
      </c>
      <c r="Y74" s="209">
        <v>0</v>
      </c>
      <c r="Z74" s="209">
        <v>0</v>
      </c>
      <c r="AA74" s="209">
        <v>0</v>
      </c>
      <c r="AB74" s="209">
        <v>0</v>
      </c>
      <c r="AC74" s="209">
        <v>0</v>
      </c>
      <c r="AD74" s="209">
        <v>0</v>
      </c>
      <c r="AE74" s="209">
        <v>0</v>
      </c>
      <c r="AF74" s="220">
        <v>0</v>
      </c>
      <c r="AG74" s="436">
        <v>19</v>
      </c>
      <c r="AI74" s="174"/>
    </row>
    <row r="75" spans="1:35">
      <c r="A75" s="215" t="s">
        <v>942</v>
      </c>
      <c r="B75" s="232" t="s">
        <v>941</v>
      </c>
      <c r="C75" s="232">
        <v>2035</v>
      </c>
      <c r="D75" s="232" t="s">
        <v>939</v>
      </c>
      <c r="E75" s="209">
        <v>0</v>
      </c>
      <c r="F75" s="209">
        <v>0</v>
      </c>
      <c r="G75" s="209">
        <v>0</v>
      </c>
      <c r="H75" s="209">
        <v>0</v>
      </c>
      <c r="I75" s="209">
        <v>0</v>
      </c>
      <c r="J75" s="209">
        <v>0</v>
      </c>
      <c r="K75" s="209">
        <v>10.005531343968158</v>
      </c>
      <c r="L75" s="209">
        <v>0</v>
      </c>
      <c r="M75" s="209">
        <v>0</v>
      </c>
      <c r="N75" s="209">
        <v>0</v>
      </c>
      <c r="O75" s="209">
        <v>0</v>
      </c>
      <c r="P75" s="209">
        <v>0</v>
      </c>
      <c r="Q75" s="209">
        <v>0</v>
      </c>
      <c r="R75" s="209">
        <v>0</v>
      </c>
      <c r="S75" s="209">
        <v>0</v>
      </c>
      <c r="T75" s="209">
        <v>0</v>
      </c>
      <c r="U75" s="209">
        <v>0</v>
      </c>
      <c r="V75" s="209">
        <v>0</v>
      </c>
      <c r="W75" s="209">
        <v>0</v>
      </c>
      <c r="X75" s="209">
        <v>0</v>
      </c>
      <c r="Y75" s="209">
        <v>0</v>
      </c>
      <c r="Z75" s="209">
        <v>0</v>
      </c>
      <c r="AA75" s="209">
        <v>0</v>
      </c>
      <c r="AB75" s="209">
        <v>0</v>
      </c>
      <c r="AC75" s="209">
        <v>0</v>
      </c>
      <c r="AD75" s="209">
        <v>0</v>
      </c>
      <c r="AE75" s="209">
        <v>0</v>
      </c>
      <c r="AF75" s="220">
        <v>0</v>
      </c>
      <c r="AG75" s="436">
        <v>19</v>
      </c>
      <c r="AI75" s="174"/>
    </row>
    <row r="76" spans="1:35">
      <c r="A76" s="215" t="s">
        <v>942</v>
      </c>
      <c r="B76" s="232" t="s">
        <v>941</v>
      </c>
      <c r="C76" s="232">
        <v>2040</v>
      </c>
      <c r="D76" s="232" t="s">
        <v>939</v>
      </c>
      <c r="E76" s="209">
        <v>0</v>
      </c>
      <c r="F76" s="209">
        <v>0</v>
      </c>
      <c r="G76" s="209">
        <v>0</v>
      </c>
      <c r="H76" s="209">
        <v>0</v>
      </c>
      <c r="I76" s="209">
        <v>0</v>
      </c>
      <c r="J76" s="209">
        <v>0</v>
      </c>
      <c r="K76" s="209">
        <v>1.7066908683089088E-3</v>
      </c>
      <c r="L76" s="209">
        <v>0</v>
      </c>
      <c r="M76" s="209">
        <v>0</v>
      </c>
      <c r="N76" s="209">
        <v>0</v>
      </c>
      <c r="O76" s="209">
        <v>0</v>
      </c>
      <c r="P76" s="209">
        <v>0</v>
      </c>
      <c r="Q76" s="209">
        <v>0</v>
      </c>
      <c r="R76" s="209">
        <v>0</v>
      </c>
      <c r="S76" s="209">
        <v>0</v>
      </c>
      <c r="T76" s="209">
        <v>0</v>
      </c>
      <c r="U76" s="209">
        <v>0</v>
      </c>
      <c r="V76" s="209">
        <v>0</v>
      </c>
      <c r="W76" s="209">
        <v>0</v>
      </c>
      <c r="X76" s="209">
        <v>0</v>
      </c>
      <c r="Y76" s="209">
        <v>0</v>
      </c>
      <c r="Z76" s="209">
        <v>0</v>
      </c>
      <c r="AA76" s="209">
        <v>0</v>
      </c>
      <c r="AB76" s="209">
        <v>0</v>
      </c>
      <c r="AC76" s="209">
        <v>0</v>
      </c>
      <c r="AD76" s="209">
        <v>0</v>
      </c>
      <c r="AE76" s="209">
        <v>0</v>
      </c>
      <c r="AF76" s="220">
        <v>0</v>
      </c>
      <c r="AG76" s="436">
        <v>19</v>
      </c>
      <c r="AI76" s="174"/>
    </row>
    <row r="77" spans="1:35">
      <c r="A77" s="215" t="s">
        <v>942</v>
      </c>
      <c r="B77" s="232" t="s">
        <v>941</v>
      </c>
      <c r="C77" s="232">
        <v>2045</v>
      </c>
      <c r="D77" s="232" t="s">
        <v>939</v>
      </c>
      <c r="E77" s="209">
        <v>0</v>
      </c>
      <c r="F77" s="209">
        <v>0</v>
      </c>
      <c r="G77" s="209">
        <v>0</v>
      </c>
      <c r="H77" s="209">
        <v>0</v>
      </c>
      <c r="I77" s="209">
        <v>0</v>
      </c>
      <c r="J77" s="209">
        <v>0</v>
      </c>
      <c r="K77" s="209">
        <v>2.6986839053648967E-3</v>
      </c>
      <c r="L77" s="209">
        <v>0</v>
      </c>
      <c r="M77" s="209">
        <v>0</v>
      </c>
      <c r="N77" s="209">
        <v>0</v>
      </c>
      <c r="O77" s="209">
        <v>0</v>
      </c>
      <c r="P77" s="209">
        <v>0</v>
      </c>
      <c r="Q77" s="209">
        <v>0</v>
      </c>
      <c r="R77" s="209">
        <v>0</v>
      </c>
      <c r="S77" s="209">
        <v>0</v>
      </c>
      <c r="T77" s="209">
        <v>0</v>
      </c>
      <c r="U77" s="209">
        <v>0</v>
      </c>
      <c r="V77" s="209">
        <v>0</v>
      </c>
      <c r="W77" s="209">
        <v>9.6135630789362367E-2</v>
      </c>
      <c r="X77" s="209">
        <v>0</v>
      </c>
      <c r="Y77" s="209">
        <v>0</v>
      </c>
      <c r="Z77" s="209">
        <v>0</v>
      </c>
      <c r="AA77" s="209">
        <v>0</v>
      </c>
      <c r="AB77" s="209">
        <v>0</v>
      </c>
      <c r="AC77" s="209">
        <v>0</v>
      </c>
      <c r="AD77" s="209">
        <v>0</v>
      </c>
      <c r="AE77" s="209">
        <v>0</v>
      </c>
      <c r="AF77" s="220">
        <v>0</v>
      </c>
      <c r="AG77" s="436">
        <v>19</v>
      </c>
      <c r="AI77" s="174"/>
    </row>
    <row r="78" spans="1:35">
      <c r="A78" s="215" t="s">
        <v>942</v>
      </c>
      <c r="B78" s="232" t="s">
        <v>941</v>
      </c>
      <c r="C78" s="232">
        <v>2050</v>
      </c>
      <c r="D78" s="232" t="s">
        <v>939</v>
      </c>
      <c r="E78" s="209">
        <v>0</v>
      </c>
      <c r="F78" s="209">
        <v>0</v>
      </c>
      <c r="G78" s="209">
        <v>0</v>
      </c>
      <c r="H78" s="209">
        <v>0</v>
      </c>
      <c r="I78" s="209">
        <v>0</v>
      </c>
      <c r="J78" s="209">
        <v>0</v>
      </c>
      <c r="K78" s="209">
        <v>4.7907854744692231E-3</v>
      </c>
      <c r="L78" s="209">
        <v>0</v>
      </c>
      <c r="M78" s="209">
        <v>0</v>
      </c>
      <c r="N78" s="209">
        <v>0</v>
      </c>
      <c r="O78" s="209">
        <v>0</v>
      </c>
      <c r="P78" s="209">
        <v>0</v>
      </c>
      <c r="Q78" s="209">
        <v>0</v>
      </c>
      <c r="R78" s="209">
        <v>0</v>
      </c>
      <c r="S78" s="209">
        <v>0</v>
      </c>
      <c r="T78" s="209">
        <v>0</v>
      </c>
      <c r="U78" s="209">
        <v>0</v>
      </c>
      <c r="V78" s="209">
        <v>0</v>
      </c>
      <c r="W78" s="209">
        <v>0</v>
      </c>
      <c r="X78" s="209">
        <v>0</v>
      </c>
      <c r="Y78" s="209">
        <v>0</v>
      </c>
      <c r="Z78" s="209">
        <v>0</v>
      </c>
      <c r="AA78" s="209">
        <v>0</v>
      </c>
      <c r="AB78" s="209">
        <v>0</v>
      </c>
      <c r="AC78" s="209">
        <v>0</v>
      </c>
      <c r="AD78" s="209">
        <v>0</v>
      </c>
      <c r="AE78" s="209">
        <v>0</v>
      </c>
      <c r="AF78" s="220">
        <v>0</v>
      </c>
      <c r="AG78" s="436">
        <v>19</v>
      </c>
      <c r="AI78" s="174"/>
    </row>
    <row r="79" spans="1:35">
      <c r="A79" s="215" t="s">
        <v>942</v>
      </c>
      <c r="B79" s="232" t="s">
        <v>941</v>
      </c>
      <c r="C79" s="232">
        <v>2060</v>
      </c>
      <c r="D79" s="232" t="s">
        <v>939</v>
      </c>
      <c r="E79" s="209">
        <v>0</v>
      </c>
      <c r="F79" s="209">
        <v>0</v>
      </c>
      <c r="G79" s="209">
        <v>0</v>
      </c>
      <c r="H79" s="209">
        <v>0</v>
      </c>
      <c r="I79" s="209">
        <v>0</v>
      </c>
      <c r="J79" s="209">
        <v>0</v>
      </c>
      <c r="K79" s="209">
        <v>8.3564089975159787E-3</v>
      </c>
      <c r="L79" s="209">
        <v>0</v>
      </c>
      <c r="M79" s="209">
        <v>86210.708614822113</v>
      </c>
      <c r="N79" s="209">
        <v>0</v>
      </c>
      <c r="O79" s="209">
        <v>0</v>
      </c>
      <c r="P79" s="209">
        <v>0</v>
      </c>
      <c r="Q79" s="209">
        <v>0</v>
      </c>
      <c r="R79" s="209">
        <v>0</v>
      </c>
      <c r="S79" s="209">
        <v>0</v>
      </c>
      <c r="T79" s="209">
        <v>0</v>
      </c>
      <c r="U79" s="209">
        <v>0</v>
      </c>
      <c r="V79" s="209">
        <v>0</v>
      </c>
      <c r="W79" s="209">
        <v>0</v>
      </c>
      <c r="X79" s="209">
        <v>0</v>
      </c>
      <c r="Y79" s="209">
        <v>0</v>
      </c>
      <c r="Z79" s="209">
        <v>0</v>
      </c>
      <c r="AA79" s="209">
        <v>0</v>
      </c>
      <c r="AB79" s="209">
        <v>0</v>
      </c>
      <c r="AC79" s="209">
        <v>0</v>
      </c>
      <c r="AD79" s="209">
        <v>39231.613651310108</v>
      </c>
      <c r="AE79" s="209">
        <v>0</v>
      </c>
      <c r="AF79" s="220">
        <v>0</v>
      </c>
      <c r="AG79" s="436">
        <v>19</v>
      </c>
      <c r="AI79" s="174"/>
    </row>
    <row r="80" spans="1:35">
      <c r="A80" s="215" t="s">
        <v>942</v>
      </c>
      <c r="B80" s="232" t="s">
        <v>941</v>
      </c>
      <c r="C80" s="232">
        <v>2070</v>
      </c>
      <c r="D80" s="232" t="s">
        <v>939</v>
      </c>
      <c r="E80" s="209">
        <v>0</v>
      </c>
      <c r="F80" s="209">
        <v>0</v>
      </c>
      <c r="G80" s="209">
        <v>622356.4909612895</v>
      </c>
      <c r="H80" s="209">
        <v>54564.473214788421</v>
      </c>
      <c r="I80" s="209">
        <v>0</v>
      </c>
      <c r="J80" s="209">
        <v>0</v>
      </c>
      <c r="K80" s="209">
        <v>1021670.2489723379</v>
      </c>
      <c r="L80" s="209">
        <v>0</v>
      </c>
      <c r="M80" s="209">
        <v>1821803.6956138902</v>
      </c>
      <c r="N80" s="209">
        <v>0</v>
      </c>
      <c r="O80" s="209">
        <v>0</v>
      </c>
      <c r="P80" s="209">
        <v>0</v>
      </c>
      <c r="Q80" s="209">
        <v>25094.785911495554</v>
      </c>
      <c r="R80" s="209">
        <v>0</v>
      </c>
      <c r="S80" s="209">
        <v>6219.4684958901107</v>
      </c>
      <c r="T80" s="209">
        <v>0</v>
      </c>
      <c r="U80" s="209">
        <v>0</v>
      </c>
      <c r="V80" s="209">
        <v>1230498.7690039007</v>
      </c>
      <c r="W80" s="209">
        <v>0</v>
      </c>
      <c r="X80" s="209">
        <v>1.2035200263283448E-2</v>
      </c>
      <c r="Y80" s="209">
        <v>2025237.2788222649</v>
      </c>
      <c r="Z80" s="209">
        <v>0</v>
      </c>
      <c r="AA80" s="209">
        <v>0</v>
      </c>
      <c r="AB80" s="209">
        <v>0</v>
      </c>
      <c r="AC80" s="209">
        <v>0</v>
      </c>
      <c r="AD80" s="209">
        <v>103842.63425968458</v>
      </c>
      <c r="AE80" s="209">
        <v>1.2035200263283448E-2</v>
      </c>
      <c r="AF80" s="220">
        <v>1.14894099380679E-2</v>
      </c>
      <c r="AG80" s="436">
        <v>19</v>
      </c>
      <c r="AI80" s="174"/>
    </row>
    <row r="81" spans="1:35">
      <c r="A81" s="215" t="s">
        <v>942</v>
      </c>
      <c r="B81" s="232" t="s">
        <v>941</v>
      </c>
      <c r="C81" s="232">
        <v>2080</v>
      </c>
      <c r="D81" s="232" t="s">
        <v>939</v>
      </c>
      <c r="E81" s="209">
        <v>370752.27382190205</v>
      </c>
      <c r="F81" s="209">
        <v>0</v>
      </c>
      <c r="G81" s="209">
        <v>2733061.7908390141</v>
      </c>
      <c r="H81" s="209">
        <v>832849.15279441734</v>
      </c>
      <c r="I81" s="209">
        <v>219979.93996946866</v>
      </c>
      <c r="J81" s="209">
        <v>0</v>
      </c>
      <c r="K81" s="209">
        <v>2187934.8514221818</v>
      </c>
      <c r="L81" s="209">
        <v>0</v>
      </c>
      <c r="M81" s="209">
        <v>1251020.9193740052</v>
      </c>
      <c r="N81" s="209">
        <v>515937.22329541435</v>
      </c>
      <c r="O81" s="209">
        <v>4874.6780140258925</v>
      </c>
      <c r="P81" s="209">
        <v>148664.80078798416</v>
      </c>
      <c r="Q81" s="209">
        <v>97151.854994943409</v>
      </c>
      <c r="R81" s="209">
        <v>17146.059399527789</v>
      </c>
      <c r="S81" s="209">
        <v>79099.550080047848</v>
      </c>
      <c r="T81" s="209">
        <v>167867.72080363223</v>
      </c>
      <c r="U81" s="209">
        <v>0</v>
      </c>
      <c r="V81" s="209">
        <v>1606174.2706305701</v>
      </c>
      <c r="W81" s="209">
        <v>27684.297229692038</v>
      </c>
      <c r="X81" s="209">
        <v>24123.420265085784</v>
      </c>
      <c r="Y81" s="209">
        <v>3289488.7495977837</v>
      </c>
      <c r="Z81" s="209">
        <v>0</v>
      </c>
      <c r="AA81" s="209">
        <v>0</v>
      </c>
      <c r="AB81" s="209">
        <v>166364.90225767315</v>
      </c>
      <c r="AC81" s="209">
        <v>0</v>
      </c>
      <c r="AD81" s="209">
        <v>22985.467283223152</v>
      </c>
      <c r="AE81" s="209">
        <v>24123.420265085784</v>
      </c>
      <c r="AF81" s="220">
        <v>1212951.0226892314</v>
      </c>
      <c r="AG81" s="436">
        <v>19</v>
      </c>
      <c r="AI81" s="174"/>
    </row>
    <row r="82" spans="1:35">
      <c r="A82" s="215" t="s">
        <v>942</v>
      </c>
      <c r="B82" s="232" t="s">
        <v>941</v>
      </c>
      <c r="C82" s="232">
        <v>2090</v>
      </c>
      <c r="D82" s="232" t="s">
        <v>939</v>
      </c>
      <c r="E82" s="209">
        <v>135482.12919482106</v>
      </c>
      <c r="F82" s="209">
        <v>5851.7635044000526</v>
      </c>
      <c r="G82" s="209">
        <v>98749.992517468476</v>
      </c>
      <c r="H82" s="209">
        <v>521904.50600994204</v>
      </c>
      <c r="I82" s="209">
        <v>1233082.564625409</v>
      </c>
      <c r="J82" s="209">
        <v>20009.344679797479</v>
      </c>
      <c r="K82" s="209">
        <v>786384.64936614735</v>
      </c>
      <c r="L82" s="209">
        <v>0</v>
      </c>
      <c r="M82" s="209">
        <v>399058.255462058</v>
      </c>
      <c r="N82" s="209">
        <v>257843.27465538422</v>
      </c>
      <c r="O82" s="209">
        <v>127914.05380876179</v>
      </c>
      <c r="P82" s="209">
        <v>1899403.0983329897</v>
      </c>
      <c r="Q82" s="209">
        <v>134648.18000058841</v>
      </c>
      <c r="R82" s="209">
        <v>21858.086253737903</v>
      </c>
      <c r="S82" s="209">
        <v>177804.44143069946</v>
      </c>
      <c r="T82" s="209">
        <v>148635.42795414632</v>
      </c>
      <c r="U82" s="209">
        <v>0</v>
      </c>
      <c r="V82" s="209">
        <v>47819.773469905231</v>
      </c>
      <c r="W82" s="209">
        <v>810727.53186235158</v>
      </c>
      <c r="X82" s="209">
        <v>63466.720159562094</v>
      </c>
      <c r="Y82" s="209">
        <v>1786859.909998579</v>
      </c>
      <c r="Z82" s="209">
        <v>0</v>
      </c>
      <c r="AA82" s="209">
        <v>0</v>
      </c>
      <c r="AB82" s="209">
        <v>185459.8702901837</v>
      </c>
      <c r="AC82" s="209">
        <v>0</v>
      </c>
      <c r="AD82" s="209">
        <v>943132.93544408109</v>
      </c>
      <c r="AE82" s="209">
        <v>63466.720159562094</v>
      </c>
      <c r="AF82" s="220">
        <v>424555.12365638418</v>
      </c>
      <c r="AG82" s="436">
        <v>19</v>
      </c>
      <c r="AI82" s="174"/>
    </row>
    <row r="83" spans="1:35" ht="16.2" thickBot="1">
      <c r="A83" s="449" t="s">
        <v>942</v>
      </c>
      <c r="B83" s="450" t="s">
        <v>941</v>
      </c>
      <c r="C83" s="450">
        <v>2100</v>
      </c>
      <c r="D83" s="450" t="s">
        <v>939</v>
      </c>
      <c r="E83" s="212">
        <v>833220.26592394209</v>
      </c>
      <c r="F83" s="212">
        <v>0</v>
      </c>
      <c r="G83" s="212">
        <v>1654671.7258305743</v>
      </c>
      <c r="H83" s="212">
        <v>17422.488317342228</v>
      </c>
      <c r="I83" s="212">
        <v>827430.05379458424</v>
      </c>
      <c r="J83" s="212">
        <v>233926.65494455735</v>
      </c>
      <c r="K83" s="212">
        <v>0</v>
      </c>
      <c r="L83" s="212">
        <v>0</v>
      </c>
      <c r="M83" s="212">
        <v>62883.860320353255</v>
      </c>
      <c r="N83" s="212">
        <v>80608.978404199952</v>
      </c>
      <c r="O83" s="212">
        <v>222343.67847568469</v>
      </c>
      <c r="P83" s="212">
        <v>291561.79293038364</v>
      </c>
      <c r="Q83" s="212">
        <v>83725.997549456835</v>
      </c>
      <c r="R83" s="212">
        <v>81701.459053257902</v>
      </c>
      <c r="S83" s="212">
        <v>304213.64846358821</v>
      </c>
      <c r="T83" s="212">
        <v>0</v>
      </c>
      <c r="U83" s="212">
        <v>99873.611840423066</v>
      </c>
      <c r="V83" s="212">
        <v>0</v>
      </c>
      <c r="W83" s="212">
        <v>234704.60953999474</v>
      </c>
      <c r="X83" s="212">
        <v>8171.8567788392184</v>
      </c>
      <c r="Y83" s="212">
        <v>324157.88166294812</v>
      </c>
      <c r="Z83" s="212">
        <v>42029.250885653164</v>
      </c>
      <c r="AA83" s="212">
        <v>154054.65788620926</v>
      </c>
      <c r="AB83" s="212">
        <v>34875.745884331525</v>
      </c>
      <c r="AC83" s="212">
        <v>0</v>
      </c>
      <c r="AD83" s="212">
        <v>1178206.3626930653</v>
      </c>
      <c r="AE83" s="212">
        <v>8171.8567788392184</v>
      </c>
      <c r="AF83" s="451">
        <v>251888.36147956894</v>
      </c>
      <c r="AG83" s="452">
        <v>19</v>
      </c>
      <c r="AI83" s="174"/>
    </row>
    <row r="84" spans="1:35">
      <c r="A84" s="215" t="s">
        <v>943</v>
      </c>
      <c r="B84" s="232" t="s">
        <v>938</v>
      </c>
      <c r="C84" s="232">
        <v>2019</v>
      </c>
      <c r="D84" s="232" t="s">
        <v>939</v>
      </c>
      <c r="E84" s="209">
        <v>88118.315879770409</v>
      </c>
      <c r="F84" s="209">
        <v>34820.672193760103</v>
      </c>
      <c r="G84" s="209">
        <v>91314.609815583302</v>
      </c>
      <c r="H84" s="209">
        <v>21857.419414087701</v>
      </c>
      <c r="I84" s="209">
        <v>23205.099462189701</v>
      </c>
      <c r="J84" s="209">
        <v>31153.041557348799</v>
      </c>
      <c r="K84" s="209">
        <v>71069.046436641991</v>
      </c>
      <c r="L84" s="209">
        <v>115057.788714018</v>
      </c>
      <c r="M84" s="209">
        <v>101513.834898726</v>
      </c>
      <c r="N84" s="209">
        <v>7635.0230792331204</v>
      </c>
      <c r="O84" s="209">
        <v>3504.4834195040503</v>
      </c>
      <c r="P84" s="209">
        <v>374384.23321115196</v>
      </c>
      <c r="Q84" s="209">
        <v>19859.503180883901</v>
      </c>
      <c r="R84" s="209">
        <v>18375.7555964764</v>
      </c>
      <c r="S84" s="209">
        <v>6043.6523159644994</v>
      </c>
      <c r="T84" s="209">
        <v>62693.086791597205</v>
      </c>
      <c r="U84" s="209">
        <v>31615.250640357601</v>
      </c>
      <c r="V84" s="209">
        <v>177284.19155243601</v>
      </c>
      <c r="W84" s="209">
        <v>379930.213220014</v>
      </c>
      <c r="X84" s="209">
        <v>5256.4639687178496</v>
      </c>
      <c r="Y84" s="209">
        <v>88270.413724376194</v>
      </c>
      <c r="Z84" s="209">
        <v>21732.129314031499</v>
      </c>
      <c r="AA84" s="209">
        <v>16066.3979764708</v>
      </c>
      <c r="AB84" s="209">
        <v>17727.724170854101</v>
      </c>
      <c r="AC84" s="209">
        <v>49761.788056130201</v>
      </c>
      <c r="AD84" s="209">
        <v>19861.670026142201</v>
      </c>
      <c r="AE84" s="209">
        <v>5256.4639687178496</v>
      </c>
      <c r="AF84" s="220">
        <v>103735.85058538901</v>
      </c>
      <c r="AG84" s="436">
        <v>16.760000000000002</v>
      </c>
    </row>
    <row r="85" spans="1:35">
      <c r="A85" s="215" t="s">
        <v>943</v>
      </c>
      <c r="B85" s="232" t="s">
        <v>938</v>
      </c>
      <c r="C85">
        <v>2020</v>
      </c>
      <c r="D85" s="232" t="s">
        <v>939</v>
      </c>
      <c r="E85" s="209">
        <v>88118.315879770409</v>
      </c>
      <c r="F85" s="209">
        <v>34820.672193760103</v>
      </c>
      <c r="G85" s="209">
        <v>91314.609815583302</v>
      </c>
      <c r="H85" s="209">
        <v>21857.419414087701</v>
      </c>
      <c r="I85" s="209">
        <v>23205.099462189701</v>
      </c>
      <c r="J85" s="209">
        <v>31153.041557348799</v>
      </c>
      <c r="K85" s="209">
        <v>71069.046436641991</v>
      </c>
      <c r="L85" s="209">
        <v>115057.788714018</v>
      </c>
      <c r="M85" s="209">
        <v>101513.834898726</v>
      </c>
      <c r="N85" s="209">
        <v>7635.0230792331204</v>
      </c>
      <c r="O85" s="209">
        <v>3504.4834195040503</v>
      </c>
      <c r="P85" s="209">
        <v>374384.23321115196</v>
      </c>
      <c r="Q85" s="209">
        <v>19859.503180883901</v>
      </c>
      <c r="R85" s="209">
        <v>18375.7555964764</v>
      </c>
      <c r="S85" s="209">
        <v>6043.6523159644994</v>
      </c>
      <c r="T85" s="209">
        <v>62693.086791597205</v>
      </c>
      <c r="U85" s="209">
        <v>31615.250640357601</v>
      </c>
      <c r="V85" s="209">
        <v>177284.19155243601</v>
      </c>
      <c r="W85" s="209">
        <v>379930.213220014</v>
      </c>
      <c r="X85" s="209">
        <v>5256.4639687178496</v>
      </c>
      <c r="Y85" s="209">
        <v>88270.413724376194</v>
      </c>
      <c r="Z85" s="209">
        <v>21732.129314031499</v>
      </c>
      <c r="AA85" s="209">
        <v>16066.3979764708</v>
      </c>
      <c r="AB85" s="209">
        <v>17727.724170854101</v>
      </c>
      <c r="AC85" s="209">
        <v>49761.788056130201</v>
      </c>
      <c r="AD85" s="209">
        <v>19861.670026142201</v>
      </c>
      <c r="AE85" s="209">
        <v>5256.4639687178496</v>
      </c>
      <c r="AF85" s="220">
        <v>103735.85058538901</v>
      </c>
      <c r="AG85" s="436">
        <v>16.760000000000002</v>
      </c>
      <c r="AI85" s="174"/>
    </row>
    <row r="86" spans="1:35">
      <c r="A86" s="215" t="s">
        <v>943</v>
      </c>
      <c r="B86" s="232" t="s">
        <v>938</v>
      </c>
      <c r="C86" s="232">
        <v>2025</v>
      </c>
      <c r="D86" s="232" t="s">
        <v>939</v>
      </c>
      <c r="E86" s="209">
        <v>93810.783830342698</v>
      </c>
      <c r="F86" s="209">
        <v>37682.462503941701</v>
      </c>
      <c r="G86" s="209">
        <v>95562.962405355094</v>
      </c>
      <c r="H86" s="209">
        <v>22495.8842774197</v>
      </c>
      <c r="I86" s="209">
        <v>23869.753089242</v>
      </c>
      <c r="J86" s="209">
        <v>34112.2394327847</v>
      </c>
      <c r="K86" s="209">
        <v>69253.563807551298</v>
      </c>
      <c r="L86" s="209">
        <v>120330.268153125</v>
      </c>
      <c r="M86" s="209">
        <v>105472.456098215</v>
      </c>
      <c r="N86" s="209">
        <v>8905.9584007293888</v>
      </c>
      <c r="O86" s="209">
        <v>4061.6434654289701</v>
      </c>
      <c r="P86" s="209">
        <v>405532.86652640899</v>
      </c>
      <c r="Q86" s="209">
        <v>22193.4350357533</v>
      </c>
      <c r="R86" s="209">
        <v>20897.164051443498</v>
      </c>
      <c r="S86" s="209">
        <v>6173.2475152201805</v>
      </c>
      <c r="T86" s="209">
        <v>65591.95085241209</v>
      </c>
      <c r="U86" s="209">
        <v>33516.726717788399</v>
      </c>
      <c r="V86" s="209">
        <v>188990.67810316398</v>
      </c>
      <c r="W86" s="209">
        <v>436288.50407151901</v>
      </c>
      <c r="X86" s="209">
        <v>6347.1981145812497</v>
      </c>
      <c r="Y86" s="209">
        <v>94730.216008486808</v>
      </c>
      <c r="Z86" s="209">
        <v>27121.4124943766</v>
      </c>
      <c r="AA86" s="209">
        <v>17248.039935220302</v>
      </c>
      <c r="AB86" s="209">
        <v>18660.1643300367</v>
      </c>
      <c r="AC86" s="209">
        <v>46840.586784698498</v>
      </c>
      <c r="AD86" s="209">
        <v>22070.306328628001</v>
      </c>
      <c r="AE86" s="209">
        <v>6347.1981145812497</v>
      </c>
      <c r="AF86" s="220">
        <v>109656.855360423</v>
      </c>
      <c r="AG86" s="436">
        <v>16.760000000000002</v>
      </c>
      <c r="AI86" s="174"/>
    </row>
    <row r="87" spans="1:35">
      <c r="A87" s="215" t="s">
        <v>943</v>
      </c>
      <c r="B87" s="232" t="s">
        <v>938</v>
      </c>
      <c r="C87" s="232">
        <v>2030</v>
      </c>
      <c r="D87" s="232" t="s">
        <v>939</v>
      </c>
      <c r="E87" s="209">
        <v>103706.44136624099</v>
      </c>
      <c r="F87" s="209">
        <v>40259.828622531597</v>
      </c>
      <c r="G87" s="209">
        <v>99162.673700510888</v>
      </c>
      <c r="H87" s="209">
        <v>23854.864656899899</v>
      </c>
      <c r="I87" s="209">
        <v>22726.5977973314</v>
      </c>
      <c r="J87" s="209">
        <v>36021.738987837896</v>
      </c>
      <c r="K87" s="209">
        <v>72067.219883326397</v>
      </c>
      <c r="L87" s="209">
        <v>133571.82398353398</v>
      </c>
      <c r="M87" s="209">
        <v>106839.863634013</v>
      </c>
      <c r="N87" s="209">
        <v>10022.562821952199</v>
      </c>
      <c r="O87" s="209">
        <v>4468.7800354889405</v>
      </c>
      <c r="P87" s="209">
        <v>469377.83084135404</v>
      </c>
      <c r="Q87" s="209">
        <v>26841.6867495964</v>
      </c>
      <c r="R87" s="209">
        <v>23125.544660003201</v>
      </c>
      <c r="S87" s="209">
        <v>6360.3022006486099</v>
      </c>
      <c r="T87" s="209">
        <v>65523.677120958593</v>
      </c>
      <c r="U87" s="209">
        <v>34468.291928229301</v>
      </c>
      <c r="V87" s="209">
        <v>208867.224692786</v>
      </c>
      <c r="W87" s="209">
        <v>486437.20242637099</v>
      </c>
      <c r="X87" s="209">
        <v>9006.7419901348512</v>
      </c>
      <c r="Y87" s="209">
        <v>99114.313286013305</v>
      </c>
      <c r="Z87" s="209">
        <v>32843.749930850798</v>
      </c>
      <c r="AA87" s="209">
        <v>19765.604948888002</v>
      </c>
      <c r="AB87" s="209">
        <v>19403.535795124099</v>
      </c>
      <c r="AC87" s="209">
        <v>46111.201047504896</v>
      </c>
      <c r="AD87" s="209">
        <v>23340.033247699099</v>
      </c>
      <c r="AE87" s="209">
        <v>9006.7419901348512</v>
      </c>
      <c r="AF87" s="220">
        <v>115330.87294996101</v>
      </c>
      <c r="AG87" s="436">
        <v>16.760000000000002</v>
      </c>
      <c r="AI87" s="174"/>
    </row>
    <row r="88" spans="1:35">
      <c r="A88" s="215" t="s">
        <v>943</v>
      </c>
      <c r="B88" s="232" t="s">
        <v>938</v>
      </c>
      <c r="C88" s="232">
        <v>2035</v>
      </c>
      <c r="D88" s="232" t="s">
        <v>939</v>
      </c>
      <c r="E88" s="209">
        <v>114519.16151571101</v>
      </c>
      <c r="F88" s="209">
        <v>37967.783292079701</v>
      </c>
      <c r="G88" s="209">
        <v>111027.128699693</v>
      </c>
      <c r="H88" s="209">
        <v>25626.129929809602</v>
      </c>
      <c r="I88" s="209">
        <v>24537.799707451399</v>
      </c>
      <c r="J88" s="209">
        <v>37813.3292128748</v>
      </c>
      <c r="K88" s="209">
        <v>77731.476140504892</v>
      </c>
      <c r="L88" s="209">
        <v>142537.761922615</v>
      </c>
      <c r="M88" s="209">
        <v>110029.096229098</v>
      </c>
      <c r="N88" s="209">
        <v>11495.890925076801</v>
      </c>
      <c r="O88" s="209">
        <v>5007.6954329973096</v>
      </c>
      <c r="P88" s="209">
        <v>486989.33557997202</v>
      </c>
      <c r="Q88" s="209">
        <v>29835.199590886699</v>
      </c>
      <c r="R88" s="209">
        <v>24264.189607531102</v>
      </c>
      <c r="S88" s="209">
        <v>6554.1107294267094</v>
      </c>
      <c r="T88" s="209">
        <v>67628.1027659299</v>
      </c>
      <c r="U88" s="209">
        <v>35310.092558328899</v>
      </c>
      <c r="V88" s="209">
        <v>231522.787495611</v>
      </c>
      <c r="W88" s="209">
        <v>512025.17863569799</v>
      </c>
      <c r="X88" s="209">
        <v>12263.99237269</v>
      </c>
      <c r="Y88" s="209">
        <v>106195.740178383</v>
      </c>
      <c r="Z88" s="209">
        <v>40219.4779183176</v>
      </c>
      <c r="AA88" s="209">
        <v>22951.508905035498</v>
      </c>
      <c r="AB88" s="209">
        <v>20330.388350255402</v>
      </c>
      <c r="AC88" s="209">
        <v>53555.502048853697</v>
      </c>
      <c r="AD88" s="209">
        <v>25076.426683840298</v>
      </c>
      <c r="AE88" s="209">
        <v>12263.99237269</v>
      </c>
      <c r="AF88" s="220">
        <v>121563.217493203</v>
      </c>
      <c r="AG88" s="436">
        <v>16.760000000000002</v>
      </c>
      <c r="AI88" s="174"/>
    </row>
    <row r="89" spans="1:35">
      <c r="A89" s="215" t="s">
        <v>943</v>
      </c>
      <c r="B89" s="232" t="s">
        <v>938</v>
      </c>
      <c r="C89" s="232">
        <v>2040</v>
      </c>
      <c r="D89" s="232" t="s">
        <v>939</v>
      </c>
      <c r="E89" s="209">
        <v>132833.560445893</v>
      </c>
      <c r="F89" s="209">
        <v>38862.366555655601</v>
      </c>
      <c r="G89" s="209">
        <v>126896.499838677</v>
      </c>
      <c r="H89" s="209">
        <v>28932.7652436393</v>
      </c>
      <c r="I89" s="209">
        <v>26477.498432217602</v>
      </c>
      <c r="J89" s="209">
        <v>39446.240035220399</v>
      </c>
      <c r="K89" s="209">
        <v>80299.474754157796</v>
      </c>
      <c r="L89" s="209">
        <v>149599.23732446501</v>
      </c>
      <c r="M89" s="209">
        <v>118118.889121225</v>
      </c>
      <c r="N89" s="209">
        <v>12870.9821441559</v>
      </c>
      <c r="O89" s="209">
        <v>6078.7644979623501</v>
      </c>
      <c r="P89" s="209">
        <v>503379.94827208796</v>
      </c>
      <c r="Q89" s="209">
        <v>30963.303608729799</v>
      </c>
      <c r="R89" s="209">
        <v>25914.677301293199</v>
      </c>
      <c r="S89" s="209">
        <v>6678.7705523455897</v>
      </c>
      <c r="T89" s="209">
        <v>66562.407057124699</v>
      </c>
      <c r="U89" s="209">
        <v>35545.367739962901</v>
      </c>
      <c r="V89" s="209">
        <v>255153.66620544402</v>
      </c>
      <c r="W89" s="209">
        <v>524629.934214312</v>
      </c>
      <c r="X89" s="209">
        <v>14707.41132168365</v>
      </c>
      <c r="Y89" s="209">
        <v>121466.83925899499</v>
      </c>
      <c r="Z89" s="209">
        <v>49936.616435504497</v>
      </c>
      <c r="AA89" s="209">
        <v>25544.353567026199</v>
      </c>
      <c r="AB89" s="209">
        <v>22055.818134041398</v>
      </c>
      <c r="AC89" s="209">
        <v>62364.531890070801</v>
      </c>
      <c r="AD89" s="209">
        <v>27042.640001430598</v>
      </c>
      <c r="AE89" s="209">
        <v>14707.41132168365</v>
      </c>
      <c r="AF89" s="220">
        <v>126572.89469019799</v>
      </c>
      <c r="AG89" s="436">
        <v>16.760000000000002</v>
      </c>
      <c r="AI89" s="174"/>
    </row>
    <row r="90" spans="1:35">
      <c r="A90" s="215" t="s">
        <v>943</v>
      </c>
      <c r="B90" s="232" t="s">
        <v>938</v>
      </c>
      <c r="C90" s="232">
        <v>2045</v>
      </c>
      <c r="D90" s="232" t="s">
        <v>939</v>
      </c>
      <c r="E90" s="209">
        <v>148565.74211007199</v>
      </c>
      <c r="F90" s="209">
        <v>39288.516242884805</v>
      </c>
      <c r="G90" s="209">
        <v>144735.549947397</v>
      </c>
      <c r="H90" s="209">
        <v>32029.855886206904</v>
      </c>
      <c r="I90" s="209">
        <v>30967.7996176751</v>
      </c>
      <c r="J90" s="209">
        <v>40769.0015902132</v>
      </c>
      <c r="K90" s="209">
        <v>85095.725170727805</v>
      </c>
      <c r="L90" s="209">
        <v>148877.516391365</v>
      </c>
      <c r="M90" s="209">
        <v>122135.55946712301</v>
      </c>
      <c r="N90" s="209">
        <v>13914.709126743101</v>
      </c>
      <c r="O90" s="209">
        <v>6748.1705547799102</v>
      </c>
      <c r="P90" s="209">
        <v>526544.04962805205</v>
      </c>
      <c r="Q90" s="209">
        <v>33676.493459149395</v>
      </c>
      <c r="R90" s="209">
        <v>27363.148851400598</v>
      </c>
      <c r="S90" s="209">
        <v>6786.6662836918704</v>
      </c>
      <c r="T90" s="209">
        <v>66362.5361459462</v>
      </c>
      <c r="U90" s="209">
        <v>36070.470144332197</v>
      </c>
      <c r="V90" s="209">
        <v>290986.932640496</v>
      </c>
      <c r="W90" s="209">
        <v>530755.1906737861</v>
      </c>
      <c r="X90" s="209">
        <v>17879.716620561951</v>
      </c>
      <c r="Y90" s="209">
        <v>134929.73895991698</v>
      </c>
      <c r="Z90" s="209">
        <v>55817.904029000201</v>
      </c>
      <c r="AA90" s="209">
        <v>27352.3335367775</v>
      </c>
      <c r="AB90" s="209">
        <v>25207.910426868901</v>
      </c>
      <c r="AC90" s="209">
        <v>71623.077475341401</v>
      </c>
      <c r="AD90" s="209">
        <v>28947.0114855678</v>
      </c>
      <c r="AE90" s="209">
        <v>17879.716620561951</v>
      </c>
      <c r="AF90" s="220">
        <v>131508.82247326299</v>
      </c>
      <c r="AG90" s="436">
        <v>16.760000000000002</v>
      </c>
      <c r="AI90" s="174"/>
    </row>
    <row r="91" spans="1:35">
      <c r="A91" s="215" t="s">
        <v>943</v>
      </c>
      <c r="B91" s="232" t="s">
        <v>938</v>
      </c>
      <c r="C91" s="232">
        <v>2050</v>
      </c>
      <c r="D91" s="232" t="s">
        <v>939</v>
      </c>
      <c r="E91" s="209">
        <v>164798.40944297099</v>
      </c>
      <c r="F91" s="209">
        <v>38987.970263400101</v>
      </c>
      <c r="G91" s="209">
        <v>165802.77583710302</v>
      </c>
      <c r="H91" s="209">
        <v>36237.189074725698</v>
      </c>
      <c r="I91" s="209">
        <v>33485.002734989299</v>
      </c>
      <c r="J91" s="209">
        <v>41784.830306058902</v>
      </c>
      <c r="K91" s="209">
        <v>90146.074950283801</v>
      </c>
      <c r="L91" s="209">
        <v>155972.20722060101</v>
      </c>
      <c r="M91" s="209">
        <v>126424.58815928</v>
      </c>
      <c r="N91" s="209">
        <v>15251.4529329091</v>
      </c>
      <c r="O91" s="209">
        <v>7344.7728384172897</v>
      </c>
      <c r="P91" s="209">
        <v>554735.72853987897</v>
      </c>
      <c r="Q91" s="209">
        <v>36468.3572681269</v>
      </c>
      <c r="R91" s="209">
        <v>28904.0336504101</v>
      </c>
      <c r="S91" s="209">
        <v>7019.9505086202698</v>
      </c>
      <c r="T91" s="209">
        <v>68206.299097047711</v>
      </c>
      <c r="U91" s="209">
        <v>37315.324780278701</v>
      </c>
      <c r="V91" s="209">
        <v>302114.982477371</v>
      </c>
      <c r="W91" s="209">
        <v>536898.15250036097</v>
      </c>
      <c r="X91" s="209">
        <v>20945.38397231065</v>
      </c>
      <c r="Y91" s="209">
        <v>143354.07773601598</v>
      </c>
      <c r="Z91" s="209">
        <v>60522.765544445698</v>
      </c>
      <c r="AA91" s="209">
        <v>34180.927484489599</v>
      </c>
      <c r="AB91" s="209">
        <v>26363.0553229957</v>
      </c>
      <c r="AC91" s="209">
        <v>82353.9471495896</v>
      </c>
      <c r="AD91" s="209">
        <v>30652.6456465915</v>
      </c>
      <c r="AE91" s="209">
        <v>20945.38397231065</v>
      </c>
      <c r="AF91" s="220">
        <v>137174.08688933501</v>
      </c>
      <c r="AG91" s="436">
        <v>16.760000000000002</v>
      </c>
      <c r="AI91" s="174"/>
    </row>
    <row r="92" spans="1:35">
      <c r="A92" s="215" t="s">
        <v>943</v>
      </c>
      <c r="B92" s="232" t="s">
        <v>938</v>
      </c>
      <c r="C92" s="232">
        <v>2060</v>
      </c>
      <c r="D92" s="232" t="s">
        <v>939</v>
      </c>
      <c r="E92" s="209">
        <v>184008.116827277</v>
      </c>
      <c r="F92" s="209">
        <v>39727.2565014098</v>
      </c>
      <c r="G92" s="209">
        <v>186881.21759395802</v>
      </c>
      <c r="H92" s="209">
        <v>44366.707540735501</v>
      </c>
      <c r="I92" s="209">
        <v>34024.852083268896</v>
      </c>
      <c r="J92" s="209">
        <v>41260.905694743</v>
      </c>
      <c r="K92" s="209">
        <v>94369.009993055006</v>
      </c>
      <c r="L92" s="209">
        <v>166431.444407503</v>
      </c>
      <c r="M92" s="209">
        <v>120671.706154625</v>
      </c>
      <c r="N92" s="209">
        <v>15592.6103803101</v>
      </c>
      <c r="O92" s="209">
        <v>7498.8033478634297</v>
      </c>
      <c r="P92" s="209">
        <v>549913.22166979499</v>
      </c>
      <c r="Q92" s="209">
        <v>35973.914241393803</v>
      </c>
      <c r="R92" s="209">
        <v>29268.241068724401</v>
      </c>
      <c r="S92" s="209">
        <v>6906.8124605167704</v>
      </c>
      <c r="T92" s="209">
        <v>65269.131071549695</v>
      </c>
      <c r="U92" s="209">
        <v>36405.7487653196</v>
      </c>
      <c r="V92" s="209">
        <v>304115.69537754502</v>
      </c>
      <c r="W92" s="209">
        <v>521205.01561830397</v>
      </c>
      <c r="X92" s="209">
        <v>25707.055604636149</v>
      </c>
      <c r="Y92" s="209">
        <v>144088.12513646399</v>
      </c>
      <c r="Z92" s="209">
        <v>61285.293924951198</v>
      </c>
      <c r="AA92" s="209">
        <v>38603.948137318606</v>
      </c>
      <c r="AB92" s="209">
        <v>26714.534468285899</v>
      </c>
      <c r="AC92" s="209">
        <v>95076.376033787295</v>
      </c>
      <c r="AD92" s="209">
        <v>30746.318614322499</v>
      </c>
      <c r="AE92" s="209">
        <v>25707.055604636149</v>
      </c>
      <c r="AF92" s="220">
        <v>136839.01506472501</v>
      </c>
      <c r="AG92" s="436">
        <v>16.760000000000002</v>
      </c>
      <c r="AI92" s="174"/>
    </row>
    <row r="93" spans="1:35">
      <c r="A93" s="215" t="s">
        <v>943</v>
      </c>
      <c r="B93" s="232" t="s">
        <v>938</v>
      </c>
      <c r="C93" s="232">
        <v>2070</v>
      </c>
      <c r="D93" s="232" t="s">
        <v>939</v>
      </c>
      <c r="E93" s="209">
        <v>188712.573424779</v>
      </c>
      <c r="F93" s="209">
        <v>39327.865571397604</v>
      </c>
      <c r="G93" s="209">
        <v>201953.98170228201</v>
      </c>
      <c r="H93" s="209">
        <v>54085.953787577702</v>
      </c>
      <c r="I93" s="209">
        <v>33696.993876210799</v>
      </c>
      <c r="J93" s="209">
        <v>41339.8929051663</v>
      </c>
      <c r="K93" s="209">
        <v>104121.57944320001</v>
      </c>
      <c r="L93" s="209">
        <v>177111.28382005898</v>
      </c>
      <c r="M93" s="209">
        <v>116850.34118793899</v>
      </c>
      <c r="N93" s="209">
        <v>16445.6059453696</v>
      </c>
      <c r="O93" s="209">
        <v>7744.8640233890492</v>
      </c>
      <c r="P93" s="209">
        <v>533987.72743813694</v>
      </c>
      <c r="Q93" s="209">
        <v>33348.534236438602</v>
      </c>
      <c r="R93" s="209">
        <v>29610.1526275912</v>
      </c>
      <c r="S93" s="209">
        <v>6828.2254463912304</v>
      </c>
      <c r="T93" s="209">
        <v>64917.322902152904</v>
      </c>
      <c r="U93" s="209">
        <v>36405.832075188897</v>
      </c>
      <c r="V93" s="209">
        <v>296489.47035831801</v>
      </c>
      <c r="W93" s="209">
        <v>492955.86372446502</v>
      </c>
      <c r="X93" s="209">
        <v>28716.648550173202</v>
      </c>
      <c r="Y93" s="209">
        <v>143463.300830744</v>
      </c>
      <c r="Z93" s="209">
        <v>62029.958549587594</v>
      </c>
      <c r="AA93" s="209">
        <v>39803.330142578401</v>
      </c>
      <c r="AB93" s="209">
        <v>26728.4998909061</v>
      </c>
      <c r="AC93" s="209">
        <v>101473.042923669</v>
      </c>
      <c r="AD93" s="209">
        <v>28999.668011931997</v>
      </c>
      <c r="AE93" s="209">
        <v>28716.648550173202</v>
      </c>
      <c r="AF93" s="220">
        <v>136695.467632527</v>
      </c>
      <c r="AG93" s="436">
        <v>16.760000000000002</v>
      </c>
      <c r="AI93" s="174"/>
    </row>
    <row r="94" spans="1:35">
      <c r="A94" s="215" t="s">
        <v>943</v>
      </c>
      <c r="B94" s="232" t="s">
        <v>938</v>
      </c>
      <c r="C94" s="232">
        <v>2080</v>
      </c>
      <c r="D94" s="232" t="s">
        <v>939</v>
      </c>
      <c r="E94" s="209">
        <v>196726.09468392699</v>
      </c>
      <c r="F94" s="209">
        <v>38305.798740295701</v>
      </c>
      <c r="G94" s="209">
        <v>201637.65420085701</v>
      </c>
      <c r="H94" s="209">
        <v>63750.245950829703</v>
      </c>
      <c r="I94" s="209">
        <v>34508.753262463797</v>
      </c>
      <c r="J94" s="209">
        <v>38750.1410926752</v>
      </c>
      <c r="K94" s="209">
        <v>103609.62632015401</v>
      </c>
      <c r="L94" s="209">
        <v>178863.95735289098</v>
      </c>
      <c r="M94" s="209">
        <v>110393.692057459</v>
      </c>
      <c r="N94" s="209">
        <v>17085.2084665086</v>
      </c>
      <c r="O94" s="209">
        <v>7789.7236292772604</v>
      </c>
      <c r="P94" s="209">
        <v>514844.486168025</v>
      </c>
      <c r="Q94" s="209">
        <v>31415.276664160599</v>
      </c>
      <c r="R94" s="209">
        <v>29698.048348341901</v>
      </c>
      <c r="S94" s="209">
        <v>6673.5645068582398</v>
      </c>
      <c r="T94" s="209">
        <v>63609.111546679502</v>
      </c>
      <c r="U94" s="209">
        <v>35321.212519364402</v>
      </c>
      <c r="V94" s="209">
        <v>285282.454358163</v>
      </c>
      <c r="W94" s="209">
        <v>493285.989291401</v>
      </c>
      <c r="X94" s="209">
        <v>30820.871344155701</v>
      </c>
      <c r="Y94" s="209">
        <v>140146.31490577001</v>
      </c>
      <c r="Z94" s="209">
        <v>66828.5880463207</v>
      </c>
      <c r="AA94" s="209">
        <v>40843.266278702897</v>
      </c>
      <c r="AB94" s="209">
        <v>26547.6011082648</v>
      </c>
      <c r="AC94" s="209">
        <v>99660.476857383997</v>
      </c>
      <c r="AD94" s="209">
        <v>25995.056751993299</v>
      </c>
      <c r="AE94" s="209">
        <v>30820.871344155701</v>
      </c>
      <c r="AF94" s="220">
        <v>135533.31442233702</v>
      </c>
      <c r="AG94" s="436">
        <v>16.760000000000002</v>
      </c>
      <c r="AI94" s="174"/>
    </row>
    <row r="95" spans="1:35">
      <c r="A95" s="215" t="s">
        <v>943</v>
      </c>
      <c r="B95" s="232" t="s">
        <v>938</v>
      </c>
      <c r="C95" s="232">
        <v>2090</v>
      </c>
      <c r="D95" s="232" t="s">
        <v>939</v>
      </c>
      <c r="E95" s="209">
        <v>195761.25543948001</v>
      </c>
      <c r="F95" s="209">
        <v>36288.777247453101</v>
      </c>
      <c r="G95" s="209">
        <v>190666.019212076</v>
      </c>
      <c r="H95" s="209">
        <v>64809.169806870996</v>
      </c>
      <c r="I95" s="209">
        <v>33131.762109114097</v>
      </c>
      <c r="J95" s="209">
        <v>37391.330123435306</v>
      </c>
      <c r="K95" s="209">
        <v>102348.466790337</v>
      </c>
      <c r="L95" s="209">
        <v>178182.207358791</v>
      </c>
      <c r="M95" s="209">
        <v>106094.66786961499</v>
      </c>
      <c r="N95" s="209">
        <v>16037.281776862201</v>
      </c>
      <c r="O95" s="209">
        <v>7803.63769372963</v>
      </c>
      <c r="P95" s="209">
        <v>495521.36477648298</v>
      </c>
      <c r="Q95" s="209">
        <v>29444.769378095098</v>
      </c>
      <c r="R95" s="209">
        <v>29828.816993726199</v>
      </c>
      <c r="S95" s="209">
        <v>6691.3039362092404</v>
      </c>
      <c r="T95" s="209">
        <v>63500.9629651867</v>
      </c>
      <c r="U95" s="209">
        <v>34514.037025973106</v>
      </c>
      <c r="V95" s="209">
        <v>270793.79728039901</v>
      </c>
      <c r="W95" s="209">
        <v>485285.26226154401</v>
      </c>
      <c r="X95" s="209">
        <v>32620.928666372598</v>
      </c>
      <c r="Y95" s="209">
        <v>139677.63908945699</v>
      </c>
      <c r="Z95" s="209">
        <v>67180.145438171807</v>
      </c>
      <c r="AA95" s="209">
        <v>41471.569039447801</v>
      </c>
      <c r="AB95" s="209">
        <v>26425.847089404702</v>
      </c>
      <c r="AC95" s="209">
        <v>87879.20809993599</v>
      </c>
      <c r="AD95" s="209">
        <v>23183.208843223001</v>
      </c>
      <c r="AE95" s="209">
        <v>32620.928666372598</v>
      </c>
      <c r="AF95" s="220">
        <v>134767.04992518402</v>
      </c>
      <c r="AG95" s="436">
        <v>16.760000000000002</v>
      </c>
      <c r="AI95" s="174"/>
    </row>
    <row r="96" spans="1:35">
      <c r="A96" s="229" t="s">
        <v>943</v>
      </c>
      <c r="B96" s="235" t="s">
        <v>938</v>
      </c>
      <c r="C96" s="235">
        <v>2100</v>
      </c>
      <c r="D96" s="235" t="s">
        <v>939</v>
      </c>
      <c r="E96" s="226">
        <v>193983.82957070199</v>
      </c>
      <c r="F96" s="226">
        <v>35669.798474366704</v>
      </c>
      <c r="G96" s="226">
        <v>190925.274286759</v>
      </c>
      <c r="H96" s="226">
        <v>65230.202524617096</v>
      </c>
      <c r="I96" s="226">
        <v>33926.964710706205</v>
      </c>
      <c r="J96" s="226">
        <v>37980.668139870897</v>
      </c>
      <c r="K96" s="226">
        <v>101350.307597027</v>
      </c>
      <c r="L96" s="226">
        <v>176567.59276675398</v>
      </c>
      <c r="M96" s="226">
        <v>95876.073846229701</v>
      </c>
      <c r="N96" s="226">
        <v>14942.3635095503</v>
      </c>
      <c r="O96" s="226">
        <v>7965.8242360107197</v>
      </c>
      <c r="P96" s="226">
        <v>492342.59776934801</v>
      </c>
      <c r="Q96" s="226">
        <v>28642.6704283297</v>
      </c>
      <c r="R96" s="226">
        <v>29611.141842895398</v>
      </c>
      <c r="S96" s="226">
        <v>6690.5850501089108</v>
      </c>
      <c r="T96" s="226">
        <v>60136.110840019202</v>
      </c>
      <c r="U96" s="226">
        <v>33750.354783747804</v>
      </c>
      <c r="V96" s="226">
        <v>269883.90279657999</v>
      </c>
      <c r="W96" s="226">
        <v>467048.75470876903</v>
      </c>
      <c r="X96" s="226">
        <v>33136.953482034747</v>
      </c>
      <c r="Y96" s="226">
        <v>140710.64933265699</v>
      </c>
      <c r="Z96" s="226">
        <v>64926.309118575307</v>
      </c>
      <c r="AA96" s="226">
        <v>41750.433212583703</v>
      </c>
      <c r="AB96" s="226">
        <v>26090.2315371076</v>
      </c>
      <c r="AC96" s="226">
        <v>92622.578007137898</v>
      </c>
      <c r="AD96" s="226">
        <v>22930.549916639102</v>
      </c>
      <c r="AE96" s="226">
        <v>33136.953482034747</v>
      </c>
      <c r="AF96" s="224">
        <v>135856.81865938599</v>
      </c>
      <c r="AG96" s="437">
        <v>16.760000000000002</v>
      </c>
      <c r="AI96" s="174"/>
    </row>
    <row r="97" spans="1:35">
      <c r="A97" s="215" t="s">
        <v>943</v>
      </c>
      <c r="B97" s="232" t="s">
        <v>940</v>
      </c>
      <c r="C97" s="232">
        <v>2019</v>
      </c>
      <c r="D97" s="232" t="s">
        <v>939</v>
      </c>
      <c r="E97" s="209">
        <v>0</v>
      </c>
      <c r="F97" s="209">
        <v>0</v>
      </c>
      <c r="G97" s="209">
        <v>0</v>
      </c>
      <c r="H97" s="209">
        <v>0</v>
      </c>
      <c r="I97" s="209">
        <v>0</v>
      </c>
      <c r="J97" s="209">
        <v>0</v>
      </c>
      <c r="K97" s="209">
        <v>0</v>
      </c>
      <c r="L97" s="209">
        <v>0</v>
      </c>
      <c r="M97" s="209">
        <v>0</v>
      </c>
      <c r="N97" s="209">
        <v>0</v>
      </c>
      <c r="O97" s="209">
        <v>0</v>
      </c>
      <c r="P97" s="209">
        <v>0</v>
      </c>
      <c r="Q97" s="209">
        <v>0</v>
      </c>
      <c r="R97" s="209">
        <v>0</v>
      </c>
      <c r="S97" s="209">
        <v>0</v>
      </c>
      <c r="T97" s="209">
        <v>0</v>
      </c>
      <c r="U97" s="209">
        <v>0</v>
      </c>
      <c r="V97" s="209">
        <v>0</v>
      </c>
      <c r="W97" s="209">
        <v>0</v>
      </c>
      <c r="X97" s="209">
        <v>0</v>
      </c>
      <c r="Y97" s="209">
        <v>0</v>
      </c>
      <c r="Z97" s="209">
        <v>0</v>
      </c>
      <c r="AA97" s="209">
        <v>0</v>
      </c>
      <c r="AB97" s="209">
        <v>0</v>
      </c>
      <c r="AC97" s="209">
        <v>0</v>
      </c>
      <c r="AD97" s="209">
        <v>0</v>
      </c>
      <c r="AE97" s="209">
        <v>0</v>
      </c>
      <c r="AF97" s="220">
        <v>0</v>
      </c>
      <c r="AG97" s="436">
        <v>16.760000000000002</v>
      </c>
    </row>
    <row r="98" spans="1:35">
      <c r="A98" s="215" t="s">
        <v>943</v>
      </c>
      <c r="B98" s="232" t="s">
        <v>940</v>
      </c>
      <c r="C98">
        <v>2020</v>
      </c>
      <c r="D98" s="232" t="s">
        <v>939</v>
      </c>
      <c r="E98" s="209">
        <v>0</v>
      </c>
      <c r="F98" s="209">
        <v>0</v>
      </c>
      <c r="G98" s="209">
        <v>0</v>
      </c>
      <c r="H98" s="209">
        <v>0</v>
      </c>
      <c r="I98" s="209">
        <v>0</v>
      </c>
      <c r="J98" s="209">
        <v>0</v>
      </c>
      <c r="K98" s="209">
        <v>0</v>
      </c>
      <c r="L98" s="209">
        <v>0</v>
      </c>
      <c r="M98" s="209">
        <v>0</v>
      </c>
      <c r="N98" s="209">
        <v>0</v>
      </c>
      <c r="O98" s="209">
        <v>0</v>
      </c>
      <c r="P98" s="209">
        <v>0</v>
      </c>
      <c r="Q98" s="209">
        <v>0</v>
      </c>
      <c r="R98" s="209">
        <v>0</v>
      </c>
      <c r="S98" s="209">
        <v>0</v>
      </c>
      <c r="T98" s="209">
        <v>0</v>
      </c>
      <c r="U98" s="209">
        <v>0</v>
      </c>
      <c r="V98" s="209">
        <v>0</v>
      </c>
      <c r="W98" s="209">
        <v>0</v>
      </c>
      <c r="X98" s="209">
        <v>0</v>
      </c>
      <c r="Y98" s="209">
        <v>0</v>
      </c>
      <c r="Z98" s="209">
        <v>0</v>
      </c>
      <c r="AA98" s="209">
        <v>0</v>
      </c>
      <c r="AB98" s="209">
        <v>0</v>
      </c>
      <c r="AC98" s="209">
        <v>0</v>
      </c>
      <c r="AD98" s="209">
        <v>0</v>
      </c>
      <c r="AE98" s="209">
        <v>0</v>
      </c>
      <c r="AF98" s="220">
        <v>0</v>
      </c>
      <c r="AG98" s="436">
        <v>16.760000000000002</v>
      </c>
      <c r="AI98" s="174"/>
    </row>
    <row r="99" spans="1:35">
      <c r="A99" s="215" t="s">
        <v>943</v>
      </c>
      <c r="B99" s="232" t="s">
        <v>940</v>
      </c>
      <c r="C99" s="232">
        <v>2025</v>
      </c>
      <c r="D99" s="232" t="s">
        <v>939</v>
      </c>
      <c r="E99" s="209">
        <v>0</v>
      </c>
      <c r="F99" s="209">
        <v>0</v>
      </c>
      <c r="G99" s="209">
        <v>0</v>
      </c>
      <c r="H99" s="209">
        <v>0</v>
      </c>
      <c r="I99" s="209">
        <v>0</v>
      </c>
      <c r="J99" s="209">
        <v>0</v>
      </c>
      <c r="K99" s="209">
        <v>0</v>
      </c>
      <c r="L99" s="209">
        <v>0</v>
      </c>
      <c r="M99" s="209">
        <v>0</v>
      </c>
      <c r="N99" s="209">
        <v>0</v>
      </c>
      <c r="O99" s="209">
        <v>0</v>
      </c>
      <c r="P99" s="209">
        <v>0</v>
      </c>
      <c r="Q99" s="209">
        <v>0</v>
      </c>
      <c r="R99" s="209">
        <v>0</v>
      </c>
      <c r="S99" s="209">
        <v>0</v>
      </c>
      <c r="T99" s="209">
        <v>0</v>
      </c>
      <c r="U99" s="209">
        <v>0</v>
      </c>
      <c r="V99" s="209">
        <v>0</v>
      </c>
      <c r="W99" s="209">
        <v>0</v>
      </c>
      <c r="X99" s="209">
        <v>0</v>
      </c>
      <c r="Y99" s="209">
        <v>0</v>
      </c>
      <c r="Z99" s="209">
        <v>0</v>
      </c>
      <c r="AA99" s="209">
        <v>0</v>
      </c>
      <c r="AB99" s="209">
        <v>0</v>
      </c>
      <c r="AC99" s="209">
        <v>0</v>
      </c>
      <c r="AD99" s="209">
        <v>0</v>
      </c>
      <c r="AE99" s="209">
        <v>0</v>
      </c>
      <c r="AF99" s="220">
        <v>0</v>
      </c>
      <c r="AG99" s="436">
        <v>16.760000000000002</v>
      </c>
      <c r="AI99" s="174"/>
    </row>
    <row r="100" spans="1:35">
      <c r="A100" s="215" t="s">
        <v>943</v>
      </c>
      <c r="B100" s="232" t="s">
        <v>940</v>
      </c>
      <c r="C100" s="232">
        <v>2030</v>
      </c>
      <c r="D100" s="232" t="s">
        <v>939</v>
      </c>
      <c r="E100" s="209">
        <v>0</v>
      </c>
      <c r="F100" s="209">
        <v>0</v>
      </c>
      <c r="G100" s="209">
        <v>0</v>
      </c>
      <c r="H100" s="209">
        <v>0</v>
      </c>
      <c r="I100" s="209">
        <v>0</v>
      </c>
      <c r="J100" s="209">
        <v>0</v>
      </c>
      <c r="K100" s="209">
        <v>0</v>
      </c>
      <c r="L100" s="209">
        <v>0</v>
      </c>
      <c r="M100" s="209">
        <v>0</v>
      </c>
      <c r="N100" s="209">
        <v>0</v>
      </c>
      <c r="O100" s="209">
        <v>0</v>
      </c>
      <c r="P100" s="209">
        <v>0</v>
      </c>
      <c r="Q100" s="209">
        <v>0</v>
      </c>
      <c r="R100" s="209">
        <v>0</v>
      </c>
      <c r="S100" s="209">
        <v>0</v>
      </c>
      <c r="T100" s="209">
        <v>0</v>
      </c>
      <c r="U100" s="209">
        <v>0</v>
      </c>
      <c r="V100" s="209">
        <v>0</v>
      </c>
      <c r="W100" s="209">
        <v>0</v>
      </c>
      <c r="X100" s="209">
        <v>0</v>
      </c>
      <c r="Y100" s="209">
        <v>0</v>
      </c>
      <c r="Z100" s="209">
        <v>0</v>
      </c>
      <c r="AA100" s="209">
        <v>0</v>
      </c>
      <c r="AB100" s="209">
        <v>0</v>
      </c>
      <c r="AC100" s="209">
        <v>0</v>
      </c>
      <c r="AD100" s="209">
        <v>0</v>
      </c>
      <c r="AE100" s="209">
        <v>0</v>
      </c>
      <c r="AF100" s="220">
        <v>0</v>
      </c>
      <c r="AG100" s="436">
        <v>16.760000000000002</v>
      </c>
      <c r="AI100" s="174"/>
    </row>
    <row r="101" spans="1:35">
      <c r="A101" s="215" t="s">
        <v>943</v>
      </c>
      <c r="B101" s="232" t="s">
        <v>940</v>
      </c>
      <c r="C101" s="232">
        <v>2035</v>
      </c>
      <c r="D101" s="232" t="s">
        <v>939</v>
      </c>
      <c r="E101" s="209">
        <v>0</v>
      </c>
      <c r="F101" s="209">
        <v>0</v>
      </c>
      <c r="G101" s="209">
        <v>0</v>
      </c>
      <c r="H101" s="209">
        <v>0</v>
      </c>
      <c r="I101" s="209">
        <v>0</v>
      </c>
      <c r="J101" s="209">
        <v>0</v>
      </c>
      <c r="K101" s="209">
        <v>0</v>
      </c>
      <c r="L101" s="209">
        <v>0</v>
      </c>
      <c r="M101" s="209">
        <v>0</v>
      </c>
      <c r="N101" s="209">
        <v>0</v>
      </c>
      <c r="O101" s="209">
        <v>0</v>
      </c>
      <c r="P101" s="209">
        <v>0</v>
      </c>
      <c r="Q101" s="209">
        <v>0</v>
      </c>
      <c r="R101" s="209">
        <v>0</v>
      </c>
      <c r="S101" s="209">
        <v>0</v>
      </c>
      <c r="T101" s="209">
        <v>0</v>
      </c>
      <c r="U101" s="209">
        <v>0</v>
      </c>
      <c r="V101" s="209">
        <v>0</v>
      </c>
      <c r="W101" s="209">
        <v>0</v>
      </c>
      <c r="X101" s="209">
        <v>0</v>
      </c>
      <c r="Y101" s="209">
        <v>0</v>
      </c>
      <c r="Z101" s="209">
        <v>0</v>
      </c>
      <c r="AA101" s="209">
        <v>0</v>
      </c>
      <c r="AB101" s="209">
        <v>0</v>
      </c>
      <c r="AC101" s="209">
        <v>0</v>
      </c>
      <c r="AD101" s="209">
        <v>0</v>
      </c>
      <c r="AE101" s="209">
        <v>0</v>
      </c>
      <c r="AF101" s="220">
        <v>0</v>
      </c>
      <c r="AG101" s="436">
        <v>16.760000000000002</v>
      </c>
      <c r="AI101" s="174"/>
    </row>
    <row r="102" spans="1:35">
      <c r="A102" s="215" t="s">
        <v>943</v>
      </c>
      <c r="B102" s="232" t="s">
        <v>940</v>
      </c>
      <c r="C102" s="232">
        <v>2040</v>
      </c>
      <c r="D102" s="232" t="s">
        <v>939</v>
      </c>
      <c r="E102" s="209">
        <v>0</v>
      </c>
      <c r="F102" s="209">
        <v>0</v>
      </c>
      <c r="G102" s="209">
        <v>0</v>
      </c>
      <c r="H102" s="209">
        <v>0</v>
      </c>
      <c r="I102" s="209">
        <v>0</v>
      </c>
      <c r="J102" s="209">
        <v>0</v>
      </c>
      <c r="K102" s="209">
        <v>0</v>
      </c>
      <c r="L102" s="209">
        <v>0</v>
      </c>
      <c r="M102" s="209">
        <v>0</v>
      </c>
      <c r="N102" s="209">
        <v>0</v>
      </c>
      <c r="O102" s="209">
        <v>0</v>
      </c>
      <c r="P102" s="209">
        <v>0</v>
      </c>
      <c r="Q102" s="209">
        <v>0</v>
      </c>
      <c r="R102" s="209">
        <v>0</v>
      </c>
      <c r="S102" s="209">
        <v>0</v>
      </c>
      <c r="T102" s="209">
        <v>0</v>
      </c>
      <c r="U102" s="209">
        <v>0</v>
      </c>
      <c r="V102" s="209">
        <v>0</v>
      </c>
      <c r="W102" s="209">
        <v>0</v>
      </c>
      <c r="X102" s="209">
        <v>0</v>
      </c>
      <c r="Y102" s="209">
        <v>0</v>
      </c>
      <c r="Z102" s="209">
        <v>0</v>
      </c>
      <c r="AA102" s="209">
        <v>0</v>
      </c>
      <c r="AB102" s="209">
        <v>0</v>
      </c>
      <c r="AC102" s="209">
        <v>0</v>
      </c>
      <c r="AD102" s="209">
        <v>0</v>
      </c>
      <c r="AE102" s="209">
        <v>0</v>
      </c>
      <c r="AF102" s="220">
        <v>0</v>
      </c>
      <c r="AG102" s="436">
        <v>16.760000000000002</v>
      </c>
      <c r="AI102" s="174"/>
    </row>
    <row r="103" spans="1:35">
      <c r="A103" s="215" t="s">
        <v>943</v>
      </c>
      <c r="B103" s="232" t="s">
        <v>940</v>
      </c>
      <c r="C103" s="232">
        <v>2045</v>
      </c>
      <c r="D103" s="232" t="s">
        <v>939</v>
      </c>
      <c r="E103" s="209">
        <v>0</v>
      </c>
      <c r="F103" s="209">
        <v>0</v>
      </c>
      <c r="G103" s="209">
        <v>0</v>
      </c>
      <c r="H103" s="209">
        <v>0</v>
      </c>
      <c r="I103" s="209">
        <v>0</v>
      </c>
      <c r="J103" s="209">
        <v>0</v>
      </c>
      <c r="K103" s="209">
        <v>0</v>
      </c>
      <c r="L103" s="209">
        <v>0</v>
      </c>
      <c r="M103" s="209">
        <v>0</v>
      </c>
      <c r="N103" s="209">
        <v>0</v>
      </c>
      <c r="O103" s="209">
        <v>0</v>
      </c>
      <c r="P103" s="209">
        <v>0</v>
      </c>
      <c r="Q103" s="209">
        <v>0</v>
      </c>
      <c r="R103" s="209">
        <v>0</v>
      </c>
      <c r="S103" s="209">
        <v>0</v>
      </c>
      <c r="T103" s="209">
        <v>0</v>
      </c>
      <c r="U103" s="209">
        <v>0</v>
      </c>
      <c r="V103" s="209">
        <v>0</v>
      </c>
      <c r="W103" s="209">
        <v>0</v>
      </c>
      <c r="X103" s="209">
        <v>0</v>
      </c>
      <c r="Y103" s="209">
        <v>0</v>
      </c>
      <c r="Z103" s="209">
        <v>0</v>
      </c>
      <c r="AA103" s="209">
        <v>0</v>
      </c>
      <c r="AB103" s="209">
        <v>0</v>
      </c>
      <c r="AC103" s="209">
        <v>0</v>
      </c>
      <c r="AD103" s="209">
        <v>0</v>
      </c>
      <c r="AE103" s="209">
        <v>0</v>
      </c>
      <c r="AF103" s="220">
        <v>0</v>
      </c>
      <c r="AG103" s="436">
        <v>16.760000000000002</v>
      </c>
      <c r="AI103" s="174"/>
    </row>
    <row r="104" spans="1:35">
      <c r="A104" s="215" t="s">
        <v>943</v>
      </c>
      <c r="B104" s="232" t="s">
        <v>940</v>
      </c>
      <c r="C104" s="232">
        <v>2050</v>
      </c>
      <c r="D104" s="232" t="s">
        <v>939</v>
      </c>
      <c r="E104" s="209">
        <v>0</v>
      </c>
      <c r="F104" s="209">
        <v>0</v>
      </c>
      <c r="G104" s="209">
        <v>0</v>
      </c>
      <c r="H104" s="209">
        <v>0</v>
      </c>
      <c r="I104" s="209">
        <v>0</v>
      </c>
      <c r="J104" s="209">
        <v>0</v>
      </c>
      <c r="K104" s="209">
        <v>0</v>
      </c>
      <c r="L104" s="209">
        <v>0</v>
      </c>
      <c r="M104" s="209">
        <v>0</v>
      </c>
      <c r="N104" s="209">
        <v>0</v>
      </c>
      <c r="O104" s="209">
        <v>0</v>
      </c>
      <c r="P104" s="209">
        <v>0</v>
      </c>
      <c r="Q104" s="209">
        <v>0</v>
      </c>
      <c r="R104" s="209">
        <v>0</v>
      </c>
      <c r="S104" s="209">
        <v>0</v>
      </c>
      <c r="T104" s="209">
        <v>0</v>
      </c>
      <c r="U104" s="209">
        <v>0</v>
      </c>
      <c r="V104" s="209">
        <v>0</v>
      </c>
      <c r="W104" s="209">
        <v>0</v>
      </c>
      <c r="X104" s="209">
        <v>0</v>
      </c>
      <c r="Y104" s="209">
        <v>0</v>
      </c>
      <c r="Z104" s="209">
        <v>0</v>
      </c>
      <c r="AA104" s="209">
        <v>0</v>
      </c>
      <c r="AB104" s="209">
        <v>0</v>
      </c>
      <c r="AC104" s="209">
        <v>0</v>
      </c>
      <c r="AD104" s="209">
        <v>0</v>
      </c>
      <c r="AE104" s="209">
        <v>0</v>
      </c>
      <c r="AF104" s="220">
        <v>0</v>
      </c>
      <c r="AG104" s="436">
        <v>16.760000000000002</v>
      </c>
      <c r="AI104" s="174"/>
    </row>
    <row r="105" spans="1:35">
      <c r="A105" s="215" t="s">
        <v>943</v>
      </c>
      <c r="B105" s="232" t="s">
        <v>940</v>
      </c>
      <c r="C105" s="232">
        <v>2060</v>
      </c>
      <c r="D105" s="232" t="s">
        <v>939</v>
      </c>
      <c r="E105" s="209">
        <v>0</v>
      </c>
      <c r="F105" s="209">
        <v>0</v>
      </c>
      <c r="G105" s="209">
        <v>0</v>
      </c>
      <c r="H105" s="209">
        <v>0</v>
      </c>
      <c r="I105" s="209">
        <v>0</v>
      </c>
      <c r="J105" s="209">
        <v>0</v>
      </c>
      <c r="K105" s="209">
        <v>0</v>
      </c>
      <c r="L105" s="209">
        <v>0</v>
      </c>
      <c r="M105" s="209">
        <v>0</v>
      </c>
      <c r="N105" s="209">
        <v>0</v>
      </c>
      <c r="O105" s="209">
        <v>0</v>
      </c>
      <c r="P105" s="209">
        <v>0</v>
      </c>
      <c r="Q105" s="209">
        <v>0</v>
      </c>
      <c r="R105" s="209">
        <v>0</v>
      </c>
      <c r="S105" s="209">
        <v>0</v>
      </c>
      <c r="T105" s="209">
        <v>0</v>
      </c>
      <c r="U105" s="209">
        <v>0</v>
      </c>
      <c r="V105" s="209">
        <v>0</v>
      </c>
      <c r="W105" s="209">
        <v>0</v>
      </c>
      <c r="X105" s="209">
        <v>0</v>
      </c>
      <c r="Y105" s="209">
        <v>0</v>
      </c>
      <c r="Z105" s="209">
        <v>0</v>
      </c>
      <c r="AA105" s="209">
        <v>0</v>
      </c>
      <c r="AB105" s="209">
        <v>0</v>
      </c>
      <c r="AC105" s="209">
        <v>0</v>
      </c>
      <c r="AD105" s="209">
        <v>0</v>
      </c>
      <c r="AE105" s="209">
        <v>0</v>
      </c>
      <c r="AF105" s="220">
        <v>0</v>
      </c>
      <c r="AG105" s="436">
        <v>16.760000000000002</v>
      </c>
      <c r="AI105" s="174"/>
    </row>
    <row r="106" spans="1:35">
      <c r="A106" s="215" t="s">
        <v>943</v>
      </c>
      <c r="B106" s="232" t="s">
        <v>940</v>
      </c>
      <c r="C106" s="232">
        <v>2070</v>
      </c>
      <c r="D106" s="232" t="s">
        <v>939</v>
      </c>
      <c r="E106" s="209">
        <v>0</v>
      </c>
      <c r="F106" s="209">
        <v>0</v>
      </c>
      <c r="G106" s="209">
        <v>0</v>
      </c>
      <c r="H106" s="209">
        <v>0</v>
      </c>
      <c r="I106" s="209">
        <v>0</v>
      </c>
      <c r="J106" s="209">
        <v>0</v>
      </c>
      <c r="K106" s="209">
        <v>0</v>
      </c>
      <c r="L106" s="209">
        <v>0</v>
      </c>
      <c r="M106" s="209">
        <v>0</v>
      </c>
      <c r="N106" s="209">
        <v>0</v>
      </c>
      <c r="O106" s="209">
        <v>0</v>
      </c>
      <c r="P106" s="209">
        <v>0</v>
      </c>
      <c r="Q106" s="209">
        <v>0</v>
      </c>
      <c r="R106" s="209">
        <v>0</v>
      </c>
      <c r="S106" s="209">
        <v>0</v>
      </c>
      <c r="T106" s="209">
        <v>0</v>
      </c>
      <c r="U106" s="209">
        <v>0</v>
      </c>
      <c r="V106" s="209">
        <v>0</v>
      </c>
      <c r="W106" s="209">
        <v>0</v>
      </c>
      <c r="X106" s="209">
        <v>0</v>
      </c>
      <c r="Y106" s="209">
        <v>0</v>
      </c>
      <c r="Z106" s="209">
        <v>0</v>
      </c>
      <c r="AA106" s="209">
        <v>0</v>
      </c>
      <c r="AB106" s="209">
        <v>0</v>
      </c>
      <c r="AC106" s="209">
        <v>0</v>
      </c>
      <c r="AD106" s="209">
        <v>0</v>
      </c>
      <c r="AE106" s="209">
        <v>0</v>
      </c>
      <c r="AF106" s="220">
        <v>0</v>
      </c>
      <c r="AG106" s="436">
        <v>16.760000000000002</v>
      </c>
      <c r="AI106" s="174"/>
    </row>
    <row r="107" spans="1:35">
      <c r="A107" s="215" t="s">
        <v>943</v>
      </c>
      <c r="B107" s="232" t="s">
        <v>940</v>
      </c>
      <c r="C107" s="232">
        <v>2080</v>
      </c>
      <c r="D107" s="232" t="s">
        <v>939</v>
      </c>
      <c r="E107" s="209">
        <v>0</v>
      </c>
      <c r="F107" s="209">
        <v>0</v>
      </c>
      <c r="G107" s="209">
        <v>0</v>
      </c>
      <c r="H107" s="209">
        <v>0</v>
      </c>
      <c r="I107" s="209">
        <v>0</v>
      </c>
      <c r="J107" s="209">
        <v>0</v>
      </c>
      <c r="K107" s="209">
        <v>0</v>
      </c>
      <c r="L107" s="209">
        <v>0</v>
      </c>
      <c r="M107" s="209">
        <v>0</v>
      </c>
      <c r="N107" s="209">
        <v>0</v>
      </c>
      <c r="O107" s="209">
        <v>0</v>
      </c>
      <c r="P107" s="209">
        <v>0</v>
      </c>
      <c r="Q107" s="209">
        <v>0</v>
      </c>
      <c r="R107" s="209">
        <v>0</v>
      </c>
      <c r="S107" s="209">
        <v>0</v>
      </c>
      <c r="T107" s="209">
        <v>0</v>
      </c>
      <c r="U107" s="209">
        <v>0</v>
      </c>
      <c r="V107" s="209">
        <v>0</v>
      </c>
      <c r="W107" s="209">
        <v>0</v>
      </c>
      <c r="X107" s="209">
        <v>0</v>
      </c>
      <c r="Y107" s="209">
        <v>0</v>
      </c>
      <c r="Z107" s="209">
        <v>0</v>
      </c>
      <c r="AA107" s="209">
        <v>0</v>
      </c>
      <c r="AB107" s="209">
        <v>0</v>
      </c>
      <c r="AC107" s="209">
        <v>0</v>
      </c>
      <c r="AD107" s="209">
        <v>0</v>
      </c>
      <c r="AE107" s="209">
        <v>0</v>
      </c>
      <c r="AF107" s="220">
        <v>0</v>
      </c>
      <c r="AG107" s="436">
        <v>16.760000000000002</v>
      </c>
      <c r="AI107" s="174"/>
    </row>
    <row r="108" spans="1:35">
      <c r="A108" s="215" t="s">
        <v>943</v>
      </c>
      <c r="B108" s="232" t="s">
        <v>940</v>
      </c>
      <c r="C108" s="232">
        <v>2090</v>
      </c>
      <c r="D108" s="232" t="s">
        <v>939</v>
      </c>
      <c r="E108" s="209">
        <v>0</v>
      </c>
      <c r="F108" s="209">
        <v>0</v>
      </c>
      <c r="G108" s="209">
        <v>0</v>
      </c>
      <c r="H108" s="209">
        <v>0</v>
      </c>
      <c r="I108" s="209">
        <v>0</v>
      </c>
      <c r="J108" s="209">
        <v>0</v>
      </c>
      <c r="K108" s="209">
        <v>0</v>
      </c>
      <c r="L108" s="209">
        <v>0</v>
      </c>
      <c r="M108" s="209">
        <v>0</v>
      </c>
      <c r="N108" s="209">
        <v>0</v>
      </c>
      <c r="O108" s="209">
        <v>0</v>
      </c>
      <c r="P108" s="209">
        <v>0</v>
      </c>
      <c r="Q108" s="209">
        <v>0</v>
      </c>
      <c r="R108" s="209">
        <v>0</v>
      </c>
      <c r="S108" s="209">
        <v>0</v>
      </c>
      <c r="T108" s="209">
        <v>0</v>
      </c>
      <c r="U108" s="209">
        <v>0</v>
      </c>
      <c r="V108" s="209">
        <v>0</v>
      </c>
      <c r="W108" s="209">
        <v>0</v>
      </c>
      <c r="X108" s="209">
        <v>0</v>
      </c>
      <c r="Y108" s="209">
        <v>0</v>
      </c>
      <c r="Z108" s="209">
        <v>0</v>
      </c>
      <c r="AA108" s="209">
        <v>0</v>
      </c>
      <c r="AB108" s="209">
        <v>0</v>
      </c>
      <c r="AC108" s="209">
        <v>0</v>
      </c>
      <c r="AD108" s="209">
        <v>0</v>
      </c>
      <c r="AE108" s="209">
        <v>0</v>
      </c>
      <c r="AF108" s="220">
        <v>0</v>
      </c>
      <c r="AG108" s="436">
        <v>16.760000000000002</v>
      </c>
      <c r="AI108" s="174"/>
    </row>
    <row r="109" spans="1:35">
      <c r="A109" s="229" t="s">
        <v>943</v>
      </c>
      <c r="B109" s="235" t="s">
        <v>940</v>
      </c>
      <c r="C109" s="235">
        <v>2100</v>
      </c>
      <c r="D109" s="235" t="s">
        <v>939</v>
      </c>
      <c r="E109" s="226">
        <v>0</v>
      </c>
      <c r="F109" s="226">
        <v>0</v>
      </c>
      <c r="G109" s="226">
        <v>0</v>
      </c>
      <c r="H109" s="226">
        <v>0</v>
      </c>
      <c r="I109" s="226">
        <v>0</v>
      </c>
      <c r="J109" s="226">
        <v>0</v>
      </c>
      <c r="K109" s="226">
        <v>0</v>
      </c>
      <c r="L109" s="226">
        <v>0</v>
      </c>
      <c r="M109" s="226">
        <v>0</v>
      </c>
      <c r="N109" s="226">
        <v>0</v>
      </c>
      <c r="O109" s="226">
        <v>0</v>
      </c>
      <c r="P109" s="226">
        <v>0</v>
      </c>
      <c r="Q109" s="226">
        <v>0</v>
      </c>
      <c r="R109" s="226">
        <v>0</v>
      </c>
      <c r="S109" s="226">
        <v>0</v>
      </c>
      <c r="T109" s="226">
        <v>0</v>
      </c>
      <c r="U109" s="226">
        <v>0</v>
      </c>
      <c r="V109" s="226">
        <v>0</v>
      </c>
      <c r="W109" s="226">
        <v>0</v>
      </c>
      <c r="X109" s="226">
        <v>0</v>
      </c>
      <c r="Y109" s="226">
        <v>0</v>
      </c>
      <c r="Z109" s="226">
        <v>0</v>
      </c>
      <c r="AA109" s="226">
        <v>0</v>
      </c>
      <c r="AB109" s="226">
        <v>0</v>
      </c>
      <c r="AC109" s="226">
        <v>0</v>
      </c>
      <c r="AD109" s="226">
        <v>0</v>
      </c>
      <c r="AE109" s="226">
        <v>0</v>
      </c>
      <c r="AF109" s="224">
        <v>0</v>
      </c>
      <c r="AG109" s="437">
        <v>16.760000000000002</v>
      </c>
      <c r="AI109" s="174"/>
    </row>
    <row r="110" spans="1:35">
      <c r="A110" t="s">
        <v>943</v>
      </c>
      <c r="B110" s="231" t="s">
        <v>941</v>
      </c>
      <c r="C110" s="232">
        <v>2019</v>
      </c>
      <c r="D110" s="231" t="s">
        <v>939</v>
      </c>
      <c r="E110" s="209">
        <v>0</v>
      </c>
      <c r="F110" s="209">
        <v>0</v>
      </c>
      <c r="G110" s="209">
        <v>0</v>
      </c>
      <c r="H110" s="209">
        <v>0</v>
      </c>
      <c r="I110" s="209">
        <v>0</v>
      </c>
      <c r="J110" s="209">
        <v>0</v>
      </c>
      <c r="K110" s="209">
        <v>0</v>
      </c>
      <c r="L110" s="209">
        <v>0</v>
      </c>
      <c r="M110" s="209">
        <v>0</v>
      </c>
      <c r="N110" s="209">
        <v>0</v>
      </c>
      <c r="O110" s="209">
        <v>0</v>
      </c>
      <c r="P110" s="209">
        <v>0</v>
      </c>
      <c r="Q110" s="209">
        <v>0</v>
      </c>
      <c r="R110" s="209">
        <v>0</v>
      </c>
      <c r="S110" s="209">
        <v>0</v>
      </c>
      <c r="T110" s="209">
        <v>0</v>
      </c>
      <c r="U110" s="209">
        <v>0</v>
      </c>
      <c r="V110" s="209">
        <v>0</v>
      </c>
      <c r="W110" s="209">
        <v>0</v>
      </c>
      <c r="X110" s="209">
        <v>0</v>
      </c>
      <c r="Y110" s="209">
        <v>0</v>
      </c>
      <c r="Z110" s="209">
        <v>0</v>
      </c>
      <c r="AA110" s="209">
        <v>0</v>
      </c>
      <c r="AB110" s="209">
        <v>0</v>
      </c>
      <c r="AC110" s="209">
        <v>0</v>
      </c>
      <c r="AD110" s="209">
        <v>0</v>
      </c>
      <c r="AE110" s="209">
        <v>0</v>
      </c>
      <c r="AF110" s="209">
        <v>0</v>
      </c>
      <c r="AG110" s="453">
        <v>16.760000000000002</v>
      </c>
    </row>
    <row r="111" spans="1:35">
      <c r="A111" s="215" t="s">
        <v>943</v>
      </c>
      <c r="B111" s="232" t="s">
        <v>941</v>
      </c>
      <c r="C111">
        <v>2020</v>
      </c>
      <c r="D111" s="232" t="s">
        <v>939</v>
      </c>
      <c r="E111" s="209">
        <v>0</v>
      </c>
      <c r="F111" s="209">
        <v>0</v>
      </c>
      <c r="G111" s="209">
        <v>0</v>
      </c>
      <c r="H111" s="209">
        <v>0</v>
      </c>
      <c r="I111" s="209">
        <v>0</v>
      </c>
      <c r="J111" s="209">
        <v>0</v>
      </c>
      <c r="K111" s="209">
        <v>0</v>
      </c>
      <c r="L111" s="209">
        <v>0</v>
      </c>
      <c r="M111" s="209">
        <v>0</v>
      </c>
      <c r="N111" s="209">
        <v>0</v>
      </c>
      <c r="O111" s="209">
        <v>0</v>
      </c>
      <c r="P111" s="209">
        <v>0</v>
      </c>
      <c r="Q111" s="209">
        <v>0</v>
      </c>
      <c r="R111" s="209">
        <v>0</v>
      </c>
      <c r="S111" s="209">
        <v>0</v>
      </c>
      <c r="T111" s="209">
        <v>0</v>
      </c>
      <c r="U111" s="209">
        <v>0</v>
      </c>
      <c r="V111" s="209">
        <v>0</v>
      </c>
      <c r="W111" s="209">
        <v>0</v>
      </c>
      <c r="X111" s="209">
        <v>0</v>
      </c>
      <c r="Y111" s="209">
        <v>0</v>
      </c>
      <c r="Z111" s="209">
        <v>0</v>
      </c>
      <c r="AA111" s="209">
        <v>0</v>
      </c>
      <c r="AB111" s="209">
        <v>0</v>
      </c>
      <c r="AC111" s="209">
        <v>0</v>
      </c>
      <c r="AD111" s="209">
        <v>0</v>
      </c>
      <c r="AE111" s="209">
        <v>0</v>
      </c>
      <c r="AF111" s="220">
        <v>0</v>
      </c>
      <c r="AG111" s="436">
        <v>16.760000000000002</v>
      </c>
      <c r="AI111" s="174"/>
    </row>
    <row r="112" spans="1:35">
      <c r="A112" s="215" t="s">
        <v>943</v>
      </c>
      <c r="B112" s="232" t="s">
        <v>941</v>
      </c>
      <c r="C112" s="232">
        <v>2025</v>
      </c>
      <c r="D112" s="232" t="s">
        <v>939</v>
      </c>
      <c r="E112" s="209">
        <v>0</v>
      </c>
      <c r="F112" s="209">
        <v>0</v>
      </c>
      <c r="G112" s="209">
        <v>0</v>
      </c>
      <c r="H112" s="209">
        <v>0</v>
      </c>
      <c r="I112" s="209">
        <v>0</v>
      </c>
      <c r="J112" s="209">
        <v>0</v>
      </c>
      <c r="K112" s="209">
        <v>0</v>
      </c>
      <c r="L112" s="209">
        <v>0</v>
      </c>
      <c r="M112" s="209">
        <v>0</v>
      </c>
      <c r="N112" s="209">
        <v>0</v>
      </c>
      <c r="O112" s="209">
        <v>0</v>
      </c>
      <c r="P112" s="209">
        <v>0</v>
      </c>
      <c r="Q112" s="209">
        <v>0</v>
      </c>
      <c r="R112" s="209">
        <v>0</v>
      </c>
      <c r="S112" s="209">
        <v>0</v>
      </c>
      <c r="T112" s="209">
        <v>0</v>
      </c>
      <c r="U112" s="209">
        <v>0</v>
      </c>
      <c r="V112" s="209">
        <v>0</v>
      </c>
      <c r="W112" s="209">
        <v>0</v>
      </c>
      <c r="X112" s="209">
        <v>0</v>
      </c>
      <c r="Y112" s="209">
        <v>0</v>
      </c>
      <c r="Z112" s="209">
        <v>0</v>
      </c>
      <c r="AA112" s="209">
        <v>0</v>
      </c>
      <c r="AB112" s="209">
        <v>0</v>
      </c>
      <c r="AC112" s="209">
        <v>0</v>
      </c>
      <c r="AD112" s="209">
        <v>0</v>
      </c>
      <c r="AE112" s="209">
        <v>0</v>
      </c>
      <c r="AF112" s="220">
        <v>0</v>
      </c>
      <c r="AG112" s="436">
        <v>16.760000000000002</v>
      </c>
      <c r="AI112" s="174"/>
    </row>
    <row r="113" spans="1:35">
      <c r="A113" s="215" t="s">
        <v>943</v>
      </c>
      <c r="B113" s="232" t="s">
        <v>941</v>
      </c>
      <c r="C113" s="232">
        <v>2030</v>
      </c>
      <c r="D113" s="232" t="s">
        <v>939</v>
      </c>
      <c r="E113" s="209">
        <v>0</v>
      </c>
      <c r="F113" s="209">
        <v>0</v>
      </c>
      <c r="G113" s="209">
        <v>0</v>
      </c>
      <c r="H113" s="209">
        <v>0</v>
      </c>
      <c r="I113" s="209">
        <v>0</v>
      </c>
      <c r="J113" s="209">
        <v>0</v>
      </c>
      <c r="K113" s="209">
        <v>0</v>
      </c>
      <c r="L113" s="209">
        <v>0</v>
      </c>
      <c r="M113" s="209">
        <v>0</v>
      </c>
      <c r="N113" s="209">
        <v>0</v>
      </c>
      <c r="O113" s="209">
        <v>0</v>
      </c>
      <c r="P113" s="209">
        <v>0</v>
      </c>
      <c r="Q113" s="209">
        <v>0</v>
      </c>
      <c r="R113" s="209">
        <v>0</v>
      </c>
      <c r="S113" s="209">
        <v>0</v>
      </c>
      <c r="T113" s="209">
        <v>0</v>
      </c>
      <c r="U113" s="209">
        <v>0</v>
      </c>
      <c r="V113" s="209">
        <v>0</v>
      </c>
      <c r="W113" s="209">
        <v>0</v>
      </c>
      <c r="X113" s="209">
        <v>0</v>
      </c>
      <c r="Y113" s="209">
        <v>0</v>
      </c>
      <c r="Z113" s="209">
        <v>0</v>
      </c>
      <c r="AA113" s="209">
        <v>0</v>
      </c>
      <c r="AB113" s="209">
        <v>0</v>
      </c>
      <c r="AC113" s="209">
        <v>0</v>
      </c>
      <c r="AD113" s="209">
        <v>0</v>
      </c>
      <c r="AE113" s="209">
        <v>0</v>
      </c>
      <c r="AF113" s="220">
        <v>0</v>
      </c>
      <c r="AG113" s="436">
        <v>16.760000000000002</v>
      </c>
      <c r="AI113" s="174"/>
    </row>
    <row r="114" spans="1:35">
      <c r="A114" s="215" t="s">
        <v>943</v>
      </c>
      <c r="B114" s="232" t="s">
        <v>941</v>
      </c>
      <c r="C114" s="232">
        <v>2035</v>
      </c>
      <c r="D114" s="232" t="s">
        <v>939</v>
      </c>
      <c r="E114" s="209">
        <v>0</v>
      </c>
      <c r="F114" s="209">
        <v>0</v>
      </c>
      <c r="G114" s="209">
        <v>0</v>
      </c>
      <c r="H114" s="209">
        <v>0</v>
      </c>
      <c r="I114" s="209">
        <v>0</v>
      </c>
      <c r="J114" s="209">
        <v>0</v>
      </c>
      <c r="K114" s="209">
        <v>0</v>
      </c>
      <c r="L114" s="209">
        <v>0</v>
      </c>
      <c r="M114" s="209">
        <v>0</v>
      </c>
      <c r="N114" s="209">
        <v>0</v>
      </c>
      <c r="O114" s="209">
        <v>0</v>
      </c>
      <c r="P114" s="209">
        <v>0</v>
      </c>
      <c r="Q114" s="209">
        <v>0</v>
      </c>
      <c r="R114" s="209">
        <v>0</v>
      </c>
      <c r="S114" s="209">
        <v>0</v>
      </c>
      <c r="T114" s="209">
        <v>0</v>
      </c>
      <c r="U114" s="209">
        <v>0</v>
      </c>
      <c r="V114" s="209">
        <v>0</v>
      </c>
      <c r="W114" s="209">
        <v>0</v>
      </c>
      <c r="X114" s="209">
        <v>0</v>
      </c>
      <c r="Y114" s="209">
        <v>0</v>
      </c>
      <c r="Z114" s="209">
        <v>0</v>
      </c>
      <c r="AA114" s="209">
        <v>0</v>
      </c>
      <c r="AB114" s="209">
        <v>0</v>
      </c>
      <c r="AC114" s="209">
        <v>0</v>
      </c>
      <c r="AD114" s="209">
        <v>0</v>
      </c>
      <c r="AE114" s="209">
        <v>0</v>
      </c>
      <c r="AF114" s="220">
        <v>0</v>
      </c>
      <c r="AG114" s="436">
        <v>16.760000000000002</v>
      </c>
      <c r="AI114" s="174"/>
    </row>
    <row r="115" spans="1:35">
      <c r="A115" s="215" t="s">
        <v>943</v>
      </c>
      <c r="B115" s="232" t="s">
        <v>941</v>
      </c>
      <c r="C115" s="232">
        <v>2040</v>
      </c>
      <c r="D115" s="232" t="s">
        <v>939</v>
      </c>
      <c r="E115" s="209">
        <v>0</v>
      </c>
      <c r="F115" s="209">
        <v>0</v>
      </c>
      <c r="G115" s="209">
        <v>0</v>
      </c>
      <c r="H115" s="209">
        <v>0</v>
      </c>
      <c r="I115" s="209">
        <v>0</v>
      </c>
      <c r="J115" s="209">
        <v>0</v>
      </c>
      <c r="K115" s="209">
        <v>0</v>
      </c>
      <c r="L115" s="209">
        <v>0</v>
      </c>
      <c r="M115" s="209">
        <v>0</v>
      </c>
      <c r="N115" s="209">
        <v>0</v>
      </c>
      <c r="O115" s="209">
        <v>0</v>
      </c>
      <c r="P115" s="209">
        <v>0</v>
      </c>
      <c r="Q115" s="209">
        <v>0</v>
      </c>
      <c r="R115" s="209">
        <v>0</v>
      </c>
      <c r="S115" s="209">
        <v>0</v>
      </c>
      <c r="T115" s="209">
        <v>0</v>
      </c>
      <c r="U115" s="209">
        <v>0</v>
      </c>
      <c r="V115" s="209">
        <v>0</v>
      </c>
      <c r="W115" s="209">
        <v>0</v>
      </c>
      <c r="X115" s="209">
        <v>0</v>
      </c>
      <c r="Y115" s="209">
        <v>0</v>
      </c>
      <c r="Z115" s="209">
        <v>0</v>
      </c>
      <c r="AA115" s="209">
        <v>0</v>
      </c>
      <c r="AB115" s="209">
        <v>0</v>
      </c>
      <c r="AC115" s="209">
        <v>0</v>
      </c>
      <c r="AD115" s="209">
        <v>0</v>
      </c>
      <c r="AE115" s="209">
        <v>0</v>
      </c>
      <c r="AF115" s="220">
        <v>0</v>
      </c>
      <c r="AG115" s="436">
        <v>16.760000000000002</v>
      </c>
      <c r="AI115" s="174"/>
    </row>
    <row r="116" spans="1:35">
      <c r="A116" s="215" t="s">
        <v>943</v>
      </c>
      <c r="B116" s="232" t="s">
        <v>941</v>
      </c>
      <c r="C116" s="232">
        <v>2045</v>
      </c>
      <c r="D116" s="232" t="s">
        <v>939</v>
      </c>
      <c r="E116" s="209">
        <v>0</v>
      </c>
      <c r="F116" s="209">
        <v>0</v>
      </c>
      <c r="G116" s="209">
        <v>0</v>
      </c>
      <c r="H116" s="209">
        <v>0</v>
      </c>
      <c r="I116" s="209">
        <v>0</v>
      </c>
      <c r="J116" s="209">
        <v>0</v>
      </c>
      <c r="K116" s="209">
        <v>0</v>
      </c>
      <c r="L116" s="209">
        <v>0</v>
      </c>
      <c r="M116" s="209">
        <v>0</v>
      </c>
      <c r="N116" s="209">
        <v>0</v>
      </c>
      <c r="O116" s="209">
        <v>0</v>
      </c>
      <c r="P116" s="209">
        <v>0</v>
      </c>
      <c r="Q116" s="209">
        <v>0</v>
      </c>
      <c r="R116" s="209">
        <v>0</v>
      </c>
      <c r="S116" s="209">
        <v>0</v>
      </c>
      <c r="T116" s="209">
        <v>0</v>
      </c>
      <c r="U116" s="209">
        <v>0</v>
      </c>
      <c r="V116" s="209">
        <v>0</v>
      </c>
      <c r="W116" s="209">
        <v>0</v>
      </c>
      <c r="X116" s="209">
        <v>0</v>
      </c>
      <c r="Y116" s="209">
        <v>0</v>
      </c>
      <c r="Z116" s="209">
        <v>0</v>
      </c>
      <c r="AA116" s="209">
        <v>0</v>
      </c>
      <c r="AB116" s="209">
        <v>0</v>
      </c>
      <c r="AC116" s="209">
        <v>0</v>
      </c>
      <c r="AD116" s="209">
        <v>0</v>
      </c>
      <c r="AE116" s="209">
        <v>0</v>
      </c>
      <c r="AF116" s="220">
        <v>0</v>
      </c>
      <c r="AG116" s="436">
        <v>16.760000000000002</v>
      </c>
      <c r="AI116" s="174"/>
    </row>
    <row r="117" spans="1:35">
      <c r="A117" s="215" t="s">
        <v>943</v>
      </c>
      <c r="B117" s="232" t="s">
        <v>941</v>
      </c>
      <c r="C117" s="232">
        <v>2050</v>
      </c>
      <c r="D117" s="232" t="s">
        <v>939</v>
      </c>
      <c r="E117" s="209">
        <v>0</v>
      </c>
      <c r="F117" s="209">
        <v>0</v>
      </c>
      <c r="G117" s="209">
        <v>0</v>
      </c>
      <c r="H117" s="209">
        <v>0</v>
      </c>
      <c r="I117" s="209">
        <v>0</v>
      </c>
      <c r="J117" s="209">
        <v>0</v>
      </c>
      <c r="K117" s="209">
        <v>0</v>
      </c>
      <c r="L117" s="209">
        <v>0</v>
      </c>
      <c r="M117" s="209">
        <v>0</v>
      </c>
      <c r="N117" s="209">
        <v>0</v>
      </c>
      <c r="O117" s="209">
        <v>0</v>
      </c>
      <c r="P117" s="209">
        <v>0</v>
      </c>
      <c r="Q117" s="209">
        <v>0</v>
      </c>
      <c r="R117" s="209">
        <v>0</v>
      </c>
      <c r="S117" s="209">
        <v>0</v>
      </c>
      <c r="T117" s="209">
        <v>0</v>
      </c>
      <c r="U117" s="209">
        <v>0</v>
      </c>
      <c r="V117" s="209">
        <v>0</v>
      </c>
      <c r="W117" s="209">
        <v>0</v>
      </c>
      <c r="X117" s="209">
        <v>0</v>
      </c>
      <c r="Y117" s="209">
        <v>0</v>
      </c>
      <c r="Z117" s="209">
        <v>0</v>
      </c>
      <c r="AA117" s="209">
        <v>0</v>
      </c>
      <c r="AB117" s="209">
        <v>0</v>
      </c>
      <c r="AC117" s="209">
        <v>0</v>
      </c>
      <c r="AD117" s="209">
        <v>0</v>
      </c>
      <c r="AE117" s="209">
        <v>0</v>
      </c>
      <c r="AF117" s="220">
        <v>0</v>
      </c>
      <c r="AG117" s="436">
        <v>16.760000000000002</v>
      </c>
      <c r="AI117" s="174"/>
    </row>
    <row r="118" spans="1:35">
      <c r="A118" s="215" t="s">
        <v>943</v>
      </c>
      <c r="B118" s="232" t="s">
        <v>941</v>
      </c>
      <c r="C118" s="232">
        <v>2060</v>
      </c>
      <c r="D118" s="232" t="s">
        <v>939</v>
      </c>
      <c r="E118" s="209">
        <v>0</v>
      </c>
      <c r="F118" s="209">
        <v>0</v>
      </c>
      <c r="G118" s="209">
        <v>0</v>
      </c>
      <c r="H118" s="209">
        <v>0</v>
      </c>
      <c r="I118" s="209">
        <v>0</v>
      </c>
      <c r="J118" s="209">
        <v>0</v>
      </c>
      <c r="K118" s="209">
        <v>0</v>
      </c>
      <c r="L118" s="209">
        <v>0</v>
      </c>
      <c r="M118" s="209">
        <v>0</v>
      </c>
      <c r="N118" s="209">
        <v>0</v>
      </c>
      <c r="O118" s="209">
        <v>0</v>
      </c>
      <c r="P118" s="209">
        <v>0</v>
      </c>
      <c r="Q118" s="209">
        <v>0</v>
      </c>
      <c r="R118" s="209">
        <v>0</v>
      </c>
      <c r="S118" s="209">
        <v>0</v>
      </c>
      <c r="T118" s="209">
        <v>0</v>
      </c>
      <c r="U118" s="209">
        <v>0</v>
      </c>
      <c r="V118" s="209">
        <v>0</v>
      </c>
      <c r="W118" s="209">
        <v>0</v>
      </c>
      <c r="X118" s="209">
        <v>0</v>
      </c>
      <c r="Y118" s="209">
        <v>0</v>
      </c>
      <c r="Z118" s="209">
        <v>0</v>
      </c>
      <c r="AA118" s="209">
        <v>0</v>
      </c>
      <c r="AB118" s="209">
        <v>0</v>
      </c>
      <c r="AC118" s="209">
        <v>0</v>
      </c>
      <c r="AD118" s="209">
        <v>0</v>
      </c>
      <c r="AE118" s="209">
        <v>0</v>
      </c>
      <c r="AF118" s="220">
        <v>0</v>
      </c>
      <c r="AG118" s="436">
        <v>16.760000000000002</v>
      </c>
      <c r="AI118" s="174"/>
    </row>
    <row r="119" spans="1:35">
      <c r="A119" s="215" t="s">
        <v>943</v>
      </c>
      <c r="B119" s="232" t="s">
        <v>941</v>
      </c>
      <c r="C119" s="232">
        <v>2070</v>
      </c>
      <c r="D119" s="232" t="s">
        <v>939</v>
      </c>
      <c r="E119" s="209">
        <v>0</v>
      </c>
      <c r="F119" s="209">
        <v>0</v>
      </c>
      <c r="G119" s="209">
        <v>0</v>
      </c>
      <c r="H119" s="209">
        <v>0</v>
      </c>
      <c r="I119" s="209">
        <v>0</v>
      </c>
      <c r="J119" s="209">
        <v>0</v>
      </c>
      <c r="K119" s="209">
        <v>0</v>
      </c>
      <c r="L119" s="209">
        <v>0</v>
      </c>
      <c r="M119" s="209">
        <v>0</v>
      </c>
      <c r="N119" s="209">
        <v>0</v>
      </c>
      <c r="O119" s="209">
        <v>0</v>
      </c>
      <c r="P119" s="209">
        <v>0</v>
      </c>
      <c r="Q119" s="209">
        <v>0</v>
      </c>
      <c r="R119" s="209">
        <v>0</v>
      </c>
      <c r="S119" s="209">
        <v>0</v>
      </c>
      <c r="T119" s="209">
        <v>0</v>
      </c>
      <c r="U119" s="209">
        <v>0</v>
      </c>
      <c r="V119" s="209">
        <v>0</v>
      </c>
      <c r="W119" s="209">
        <v>0</v>
      </c>
      <c r="X119" s="209">
        <v>0</v>
      </c>
      <c r="Y119" s="209">
        <v>0</v>
      </c>
      <c r="Z119" s="209">
        <v>0</v>
      </c>
      <c r="AA119" s="209">
        <v>0</v>
      </c>
      <c r="AB119" s="209">
        <v>0</v>
      </c>
      <c r="AC119" s="209">
        <v>0</v>
      </c>
      <c r="AD119" s="209">
        <v>0</v>
      </c>
      <c r="AE119" s="209">
        <v>0</v>
      </c>
      <c r="AF119" s="220">
        <v>0</v>
      </c>
      <c r="AG119" s="436">
        <v>16.760000000000002</v>
      </c>
      <c r="AI119" s="174"/>
    </row>
    <row r="120" spans="1:35">
      <c r="A120" s="215" t="s">
        <v>943</v>
      </c>
      <c r="B120" s="232" t="s">
        <v>941</v>
      </c>
      <c r="C120" s="232">
        <v>2080</v>
      </c>
      <c r="D120" s="232" t="s">
        <v>939</v>
      </c>
      <c r="E120" s="209">
        <v>0</v>
      </c>
      <c r="F120" s="209">
        <v>0</v>
      </c>
      <c r="G120" s="209">
        <v>0</v>
      </c>
      <c r="H120" s="209">
        <v>0</v>
      </c>
      <c r="I120" s="209">
        <v>0</v>
      </c>
      <c r="J120" s="209">
        <v>0</v>
      </c>
      <c r="K120" s="209">
        <v>0</v>
      </c>
      <c r="L120" s="209">
        <v>0</v>
      </c>
      <c r="M120" s="209">
        <v>0</v>
      </c>
      <c r="N120" s="209">
        <v>0</v>
      </c>
      <c r="O120" s="209">
        <v>0</v>
      </c>
      <c r="P120" s="209">
        <v>0</v>
      </c>
      <c r="Q120" s="209">
        <v>0</v>
      </c>
      <c r="R120" s="209">
        <v>0</v>
      </c>
      <c r="S120" s="209">
        <v>0</v>
      </c>
      <c r="T120" s="209">
        <v>0</v>
      </c>
      <c r="U120" s="209">
        <v>0</v>
      </c>
      <c r="V120" s="209">
        <v>0</v>
      </c>
      <c r="W120" s="209">
        <v>0</v>
      </c>
      <c r="X120" s="209">
        <v>0</v>
      </c>
      <c r="Y120" s="209">
        <v>0</v>
      </c>
      <c r="Z120" s="209">
        <v>0</v>
      </c>
      <c r="AA120" s="209">
        <v>0</v>
      </c>
      <c r="AB120" s="209">
        <v>0</v>
      </c>
      <c r="AC120" s="209">
        <v>0</v>
      </c>
      <c r="AD120" s="209">
        <v>0</v>
      </c>
      <c r="AE120" s="209">
        <v>0</v>
      </c>
      <c r="AF120" s="220">
        <v>0</v>
      </c>
      <c r="AG120" s="436">
        <v>16.760000000000002</v>
      </c>
      <c r="AI120" s="174"/>
    </row>
    <row r="121" spans="1:35">
      <c r="A121" s="215" t="s">
        <v>943</v>
      </c>
      <c r="B121" s="232" t="s">
        <v>941</v>
      </c>
      <c r="C121" s="232">
        <v>2090</v>
      </c>
      <c r="D121" s="232" t="s">
        <v>939</v>
      </c>
      <c r="E121" s="209">
        <v>0</v>
      </c>
      <c r="F121" s="209">
        <v>0</v>
      </c>
      <c r="G121" s="209">
        <v>0</v>
      </c>
      <c r="H121" s="209">
        <v>0</v>
      </c>
      <c r="I121" s="209">
        <v>0</v>
      </c>
      <c r="J121" s="209">
        <v>0</v>
      </c>
      <c r="K121" s="209">
        <v>0</v>
      </c>
      <c r="L121" s="209">
        <v>0</v>
      </c>
      <c r="M121" s="209">
        <v>0</v>
      </c>
      <c r="N121" s="209">
        <v>0</v>
      </c>
      <c r="O121" s="209">
        <v>0</v>
      </c>
      <c r="P121" s="209">
        <v>0</v>
      </c>
      <c r="Q121" s="209">
        <v>0</v>
      </c>
      <c r="R121" s="209">
        <v>0</v>
      </c>
      <c r="S121" s="209">
        <v>0</v>
      </c>
      <c r="T121" s="209">
        <v>0</v>
      </c>
      <c r="U121" s="209">
        <v>0</v>
      </c>
      <c r="V121" s="209">
        <v>0</v>
      </c>
      <c r="W121" s="209">
        <v>0</v>
      </c>
      <c r="X121" s="209">
        <v>0</v>
      </c>
      <c r="Y121" s="209">
        <v>0</v>
      </c>
      <c r="Z121" s="209">
        <v>0</v>
      </c>
      <c r="AA121" s="209">
        <v>0</v>
      </c>
      <c r="AB121" s="209">
        <v>0</v>
      </c>
      <c r="AC121" s="209">
        <v>0</v>
      </c>
      <c r="AD121" s="209">
        <v>0</v>
      </c>
      <c r="AE121" s="209">
        <v>0</v>
      </c>
      <c r="AF121" s="220">
        <v>0</v>
      </c>
      <c r="AG121" s="436">
        <v>16.760000000000002</v>
      </c>
      <c r="AI121" s="174"/>
    </row>
    <row r="122" spans="1:35" ht="16.2" thickBot="1">
      <c r="A122" s="449" t="s">
        <v>943</v>
      </c>
      <c r="B122" s="450" t="s">
        <v>941</v>
      </c>
      <c r="C122" s="450">
        <v>2100</v>
      </c>
      <c r="D122" s="450" t="s">
        <v>939</v>
      </c>
      <c r="E122" s="212">
        <v>0</v>
      </c>
      <c r="F122" s="212">
        <v>0</v>
      </c>
      <c r="G122" s="212">
        <v>0</v>
      </c>
      <c r="H122" s="212">
        <v>0</v>
      </c>
      <c r="I122" s="212">
        <v>0</v>
      </c>
      <c r="J122" s="212">
        <v>0</v>
      </c>
      <c r="K122" s="212">
        <v>0</v>
      </c>
      <c r="L122" s="212">
        <v>0</v>
      </c>
      <c r="M122" s="212">
        <v>0</v>
      </c>
      <c r="N122" s="212">
        <v>0</v>
      </c>
      <c r="O122" s="212">
        <v>0</v>
      </c>
      <c r="P122" s="212">
        <v>0</v>
      </c>
      <c r="Q122" s="212">
        <v>0</v>
      </c>
      <c r="R122" s="212">
        <v>0</v>
      </c>
      <c r="S122" s="212">
        <v>0</v>
      </c>
      <c r="T122" s="212">
        <v>0</v>
      </c>
      <c r="U122" s="212">
        <v>0</v>
      </c>
      <c r="V122" s="212">
        <v>0</v>
      </c>
      <c r="W122" s="212">
        <v>0</v>
      </c>
      <c r="X122" s="212">
        <v>0</v>
      </c>
      <c r="Y122" s="212">
        <v>0</v>
      </c>
      <c r="Z122" s="212">
        <v>0</v>
      </c>
      <c r="AA122" s="212">
        <v>0</v>
      </c>
      <c r="AB122" s="212">
        <v>0</v>
      </c>
      <c r="AC122" s="212">
        <v>0</v>
      </c>
      <c r="AD122" s="212">
        <v>0</v>
      </c>
      <c r="AE122" s="212">
        <v>0</v>
      </c>
      <c r="AF122" s="451">
        <v>0</v>
      </c>
      <c r="AG122" s="452">
        <v>16.760000000000002</v>
      </c>
      <c r="AI122" s="174"/>
    </row>
    <row r="123" spans="1:35">
      <c r="A123" s="215" t="s">
        <v>944</v>
      </c>
      <c r="B123" s="232" t="s">
        <v>938</v>
      </c>
      <c r="C123" s="232">
        <v>2019</v>
      </c>
      <c r="D123" s="232" t="s">
        <v>945</v>
      </c>
      <c r="E123" s="209">
        <v>100000000</v>
      </c>
      <c r="F123" s="209">
        <v>100000000</v>
      </c>
      <c r="G123" s="209">
        <v>100000000</v>
      </c>
      <c r="H123" s="209">
        <v>100000000</v>
      </c>
      <c r="I123" s="209">
        <v>100000000</v>
      </c>
      <c r="J123" s="209">
        <v>100000000</v>
      </c>
      <c r="K123" s="209">
        <v>100000000</v>
      </c>
      <c r="L123" s="209">
        <v>100000000</v>
      </c>
      <c r="M123" s="209">
        <v>100000000</v>
      </c>
      <c r="N123" s="209">
        <v>100000000</v>
      </c>
      <c r="O123" s="209">
        <v>100000000</v>
      </c>
      <c r="P123" s="209">
        <v>100000000</v>
      </c>
      <c r="Q123" s="209">
        <v>100000000</v>
      </c>
      <c r="R123" s="209">
        <v>100000000</v>
      </c>
      <c r="S123" s="209">
        <v>100000000</v>
      </c>
      <c r="T123" s="209">
        <v>100000000</v>
      </c>
      <c r="U123" s="209">
        <v>100000000</v>
      </c>
      <c r="V123" s="209">
        <v>100000000</v>
      </c>
      <c r="W123" s="209">
        <v>100000000</v>
      </c>
      <c r="X123" s="209">
        <v>100000000</v>
      </c>
      <c r="Y123" s="209">
        <v>100000000</v>
      </c>
      <c r="Z123" s="209">
        <v>100000000</v>
      </c>
      <c r="AA123" s="209">
        <v>100000000</v>
      </c>
      <c r="AB123" s="209">
        <v>100000000</v>
      </c>
      <c r="AC123" s="209">
        <v>100000000</v>
      </c>
      <c r="AD123" s="209">
        <v>100000000</v>
      </c>
      <c r="AE123" s="209">
        <v>100000000</v>
      </c>
      <c r="AF123" s="220">
        <v>100000000</v>
      </c>
      <c r="AG123" s="436">
        <v>1</v>
      </c>
    </row>
    <row r="124" spans="1:35">
      <c r="A124" s="215" t="s">
        <v>944</v>
      </c>
      <c r="B124" s="232" t="s">
        <v>938</v>
      </c>
      <c r="C124">
        <v>2020</v>
      </c>
      <c r="D124" s="232" t="s">
        <v>945</v>
      </c>
      <c r="E124" s="209">
        <v>100000000</v>
      </c>
      <c r="F124" s="209">
        <v>100000000</v>
      </c>
      <c r="G124" s="209">
        <v>100000000</v>
      </c>
      <c r="H124" s="209">
        <v>100000000</v>
      </c>
      <c r="I124" s="209">
        <v>100000000</v>
      </c>
      <c r="J124" s="209">
        <v>100000000</v>
      </c>
      <c r="K124" s="209">
        <v>100000000</v>
      </c>
      <c r="L124" s="209">
        <v>100000000</v>
      </c>
      <c r="M124" s="209">
        <v>100000000</v>
      </c>
      <c r="N124" s="209">
        <v>100000000</v>
      </c>
      <c r="O124" s="209">
        <v>100000000</v>
      </c>
      <c r="P124" s="209">
        <v>100000000</v>
      </c>
      <c r="Q124" s="209">
        <v>100000000</v>
      </c>
      <c r="R124" s="209">
        <v>100000000</v>
      </c>
      <c r="S124" s="209">
        <v>100000000</v>
      </c>
      <c r="T124" s="209">
        <v>100000000</v>
      </c>
      <c r="U124" s="209">
        <v>100000000</v>
      </c>
      <c r="V124" s="209">
        <v>100000000</v>
      </c>
      <c r="W124" s="209">
        <v>100000000</v>
      </c>
      <c r="X124" s="209">
        <v>100000000</v>
      </c>
      <c r="Y124" s="209">
        <v>100000000</v>
      </c>
      <c r="Z124" s="209">
        <v>100000000</v>
      </c>
      <c r="AA124" s="209">
        <v>100000000</v>
      </c>
      <c r="AB124" s="209">
        <v>100000000</v>
      </c>
      <c r="AC124" s="209">
        <v>100000000</v>
      </c>
      <c r="AD124" s="209">
        <v>100000000</v>
      </c>
      <c r="AE124" s="209">
        <v>100000000</v>
      </c>
      <c r="AF124" s="220">
        <v>100000000</v>
      </c>
      <c r="AG124" s="436">
        <v>1</v>
      </c>
      <c r="AI124" s="174"/>
    </row>
    <row r="125" spans="1:35">
      <c r="A125" s="215" t="s">
        <v>944</v>
      </c>
      <c r="B125" s="232" t="s">
        <v>938</v>
      </c>
      <c r="C125" s="232">
        <v>2025</v>
      </c>
      <c r="D125" s="232" t="s">
        <v>945</v>
      </c>
      <c r="E125" s="209">
        <v>100000000</v>
      </c>
      <c r="F125" s="209">
        <v>100000000</v>
      </c>
      <c r="G125" s="209">
        <v>100000000</v>
      </c>
      <c r="H125" s="209">
        <v>100000000</v>
      </c>
      <c r="I125" s="209">
        <v>100000000</v>
      </c>
      <c r="J125" s="209">
        <v>100000000</v>
      </c>
      <c r="K125" s="209">
        <v>100000000</v>
      </c>
      <c r="L125" s="209">
        <v>100000000</v>
      </c>
      <c r="M125" s="209">
        <v>100000000</v>
      </c>
      <c r="N125" s="209">
        <v>100000000</v>
      </c>
      <c r="O125" s="209">
        <v>100000000</v>
      </c>
      <c r="P125" s="209">
        <v>100000000</v>
      </c>
      <c r="Q125" s="209">
        <v>100000000</v>
      </c>
      <c r="R125" s="209">
        <v>100000000</v>
      </c>
      <c r="S125" s="209">
        <v>100000000</v>
      </c>
      <c r="T125" s="209">
        <v>100000000</v>
      </c>
      <c r="U125" s="209">
        <v>100000000</v>
      </c>
      <c r="V125" s="209">
        <v>100000000</v>
      </c>
      <c r="W125" s="209">
        <v>100000000</v>
      </c>
      <c r="X125" s="209">
        <v>100000000</v>
      </c>
      <c r="Y125" s="209">
        <v>100000000</v>
      </c>
      <c r="Z125" s="209">
        <v>100000000</v>
      </c>
      <c r="AA125" s="209">
        <v>100000000</v>
      </c>
      <c r="AB125" s="209">
        <v>100000000</v>
      </c>
      <c r="AC125" s="209">
        <v>100000000</v>
      </c>
      <c r="AD125" s="209">
        <v>100000000</v>
      </c>
      <c r="AE125" s="209">
        <v>100000000</v>
      </c>
      <c r="AF125" s="220">
        <v>100000000</v>
      </c>
      <c r="AG125" s="436">
        <v>1</v>
      </c>
      <c r="AI125" s="174"/>
    </row>
    <row r="126" spans="1:35">
      <c r="A126" s="215" t="s">
        <v>944</v>
      </c>
      <c r="B126" s="232" t="s">
        <v>938</v>
      </c>
      <c r="C126" s="232">
        <v>2030</v>
      </c>
      <c r="D126" s="232" t="s">
        <v>945</v>
      </c>
      <c r="E126" s="209">
        <v>100000000</v>
      </c>
      <c r="F126" s="209">
        <v>100000000</v>
      </c>
      <c r="G126" s="209">
        <v>100000000</v>
      </c>
      <c r="H126" s="209">
        <v>100000000</v>
      </c>
      <c r="I126" s="209">
        <v>100000000</v>
      </c>
      <c r="J126" s="209">
        <v>100000000</v>
      </c>
      <c r="K126" s="209">
        <v>100000000</v>
      </c>
      <c r="L126" s="209">
        <v>100000000</v>
      </c>
      <c r="M126" s="209">
        <v>100000000</v>
      </c>
      <c r="N126" s="209">
        <v>100000000</v>
      </c>
      <c r="O126" s="209">
        <v>100000000</v>
      </c>
      <c r="P126" s="209">
        <v>100000000</v>
      </c>
      <c r="Q126" s="209">
        <v>100000000</v>
      </c>
      <c r="R126" s="209">
        <v>100000000</v>
      </c>
      <c r="S126" s="209">
        <v>100000000</v>
      </c>
      <c r="T126" s="209">
        <v>100000000</v>
      </c>
      <c r="U126" s="209">
        <v>100000000</v>
      </c>
      <c r="V126" s="209">
        <v>100000000</v>
      </c>
      <c r="W126" s="209">
        <v>100000000</v>
      </c>
      <c r="X126" s="209">
        <v>100000000</v>
      </c>
      <c r="Y126" s="209">
        <v>100000000</v>
      </c>
      <c r="Z126" s="209">
        <v>100000000</v>
      </c>
      <c r="AA126" s="209">
        <v>100000000</v>
      </c>
      <c r="AB126" s="209">
        <v>100000000</v>
      </c>
      <c r="AC126" s="209">
        <v>100000000</v>
      </c>
      <c r="AD126" s="209">
        <v>100000000</v>
      </c>
      <c r="AE126" s="209">
        <v>100000000</v>
      </c>
      <c r="AF126" s="220">
        <v>100000000</v>
      </c>
      <c r="AG126" s="436">
        <v>1</v>
      </c>
      <c r="AI126" s="174"/>
    </row>
    <row r="127" spans="1:35">
      <c r="A127" s="215" t="s">
        <v>944</v>
      </c>
      <c r="B127" s="232" t="s">
        <v>938</v>
      </c>
      <c r="C127" s="232">
        <v>2035</v>
      </c>
      <c r="D127" s="232" t="s">
        <v>945</v>
      </c>
      <c r="E127" s="209">
        <v>100000000</v>
      </c>
      <c r="F127" s="209">
        <v>100000000</v>
      </c>
      <c r="G127" s="209">
        <v>100000000</v>
      </c>
      <c r="H127" s="209">
        <v>100000000</v>
      </c>
      <c r="I127" s="209">
        <v>100000000</v>
      </c>
      <c r="J127" s="209">
        <v>100000000</v>
      </c>
      <c r="K127" s="209">
        <v>100000000</v>
      </c>
      <c r="L127" s="209">
        <v>100000000</v>
      </c>
      <c r="M127" s="209">
        <v>100000000</v>
      </c>
      <c r="N127" s="209">
        <v>100000000</v>
      </c>
      <c r="O127" s="209">
        <v>100000000</v>
      </c>
      <c r="P127" s="209">
        <v>100000000</v>
      </c>
      <c r="Q127" s="209">
        <v>100000000</v>
      </c>
      <c r="R127" s="209">
        <v>100000000</v>
      </c>
      <c r="S127" s="209">
        <v>100000000</v>
      </c>
      <c r="T127" s="209">
        <v>100000000</v>
      </c>
      <c r="U127" s="209">
        <v>100000000</v>
      </c>
      <c r="V127" s="209">
        <v>100000000</v>
      </c>
      <c r="W127" s="209">
        <v>100000000</v>
      </c>
      <c r="X127" s="209">
        <v>100000000</v>
      </c>
      <c r="Y127" s="209">
        <v>100000000</v>
      </c>
      <c r="Z127" s="209">
        <v>100000000</v>
      </c>
      <c r="AA127" s="209">
        <v>100000000</v>
      </c>
      <c r="AB127" s="209">
        <v>100000000</v>
      </c>
      <c r="AC127" s="209">
        <v>100000000</v>
      </c>
      <c r="AD127" s="209">
        <v>100000000</v>
      </c>
      <c r="AE127" s="209">
        <v>100000000</v>
      </c>
      <c r="AF127" s="220">
        <v>100000000</v>
      </c>
      <c r="AG127" s="436">
        <v>1</v>
      </c>
      <c r="AI127" s="174"/>
    </row>
    <row r="128" spans="1:35">
      <c r="A128" s="215" t="s">
        <v>944</v>
      </c>
      <c r="B128" s="232" t="s">
        <v>938</v>
      </c>
      <c r="C128" s="232">
        <v>2040</v>
      </c>
      <c r="D128" s="232" t="s">
        <v>945</v>
      </c>
      <c r="E128" s="209">
        <v>100000000</v>
      </c>
      <c r="F128" s="209">
        <v>100000000</v>
      </c>
      <c r="G128" s="209">
        <v>100000000</v>
      </c>
      <c r="H128" s="209">
        <v>100000000</v>
      </c>
      <c r="I128" s="209">
        <v>100000000</v>
      </c>
      <c r="J128" s="209">
        <v>100000000</v>
      </c>
      <c r="K128" s="209">
        <v>100000000</v>
      </c>
      <c r="L128" s="209">
        <v>100000000</v>
      </c>
      <c r="M128" s="209">
        <v>100000000</v>
      </c>
      <c r="N128" s="209">
        <v>100000000</v>
      </c>
      <c r="O128" s="209">
        <v>100000000</v>
      </c>
      <c r="P128" s="209">
        <v>100000000</v>
      </c>
      <c r="Q128" s="209">
        <v>100000000</v>
      </c>
      <c r="R128" s="209">
        <v>100000000</v>
      </c>
      <c r="S128" s="209">
        <v>100000000</v>
      </c>
      <c r="T128" s="209">
        <v>100000000</v>
      </c>
      <c r="U128" s="209">
        <v>100000000</v>
      </c>
      <c r="V128" s="209">
        <v>100000000</v>
      </c>
      <c r="W128" s="209">
        <v>100000000</v>
      </c>
      <c r="X128" s="209">
        <v>100000000</v>
      </c>
      <c r="Y128" s="209">
        <v>100000000</v>
      </c>
      <c r="Z128" s="209">
        <v>100000000</v>
      </c>
      <c r="AA128" s="209">
        <v>100000000</v>
      </c>
      <c r="AB128" s="209">
        <v>100000000</v>
      </c>
      <c r="AC128" s="209">
        <v>100000000</v>
      </c>
      <c r="AD128" s="209">
        <v>100000000</v>
      </c>
      <c r="AE128" s="209">
        <v>100000000</v>
      </c>
      <c r="AF128" s="220">
        <v>100000000</v>
      </c>
      <c r="AG128" s="436">
        <v>1</v>
      </c>
      <c r="AI128" s="174"/>
    </row>
    <row r="129" spans="1:35">
      <c r="A129" s="215" t="s">
        <v>944</v>
      </c>
      <c r="B129" s="232" t="s">
        <v>938</v>
      </c>
      <c r="C129" s="232">
        <v>2045</v>
      </c>
      <c r="D129" s="232" t="s">
        <v>945</v>
      </c>
      <c r="E129" s="209">
        <v>100000000</v>
      </c>
      <c r="F129" s="209">
        <v>100000000</v>
      </c>
      <c r="G129" s="209">
        <v>100000000</v>
      </c>
      <c r="H129" s="209">
        <v>100000000</v>
      </c>
      <c r="I129" s="209">
        <v>100000000</v>
      </c>
      <c r="J129" s="209">
        <v>100000000</v>
      </c>
      <c r="K129" s="209">
        <v>100000000</v>
      </c>
      <c r="L129" s="209">
        <v>100000000</v>
      </c>
      <c r="M129" s="209">
        <v>100000000</v>
      </c>
      <c r="N129" s="209">
        <v>100000000</v>
      </c>
      <c r="O129" s="209">
        <v>100000000</v>
      </c>
      <c r="P129" s="209">
        <v>100000000</v>
      </c>
      <c r="Q129" s="209">
        <v>100000000</v>
      </c>
      <c r="R129" s="209">
        <v>100000000</v>
      </c>
      <c r="S129" s="209">
        <v>100000000</v>
      </c>
      <c r="T129" s="209">
        <v>100000000</v>
      </c>
      <c r="U129" s="209">
        <v>100000000</v>
      </c>
      <c r="V129" s="209">
        <v>100000000</v>
      </c>
      <c r="W129" s="209">
        <v>100000000</v>
      </c>
      <c r="X129" s="209">
        <v>100000000</v>
      </c>
      <c r="Y129" s="209">
        <v>100000000</v>
      </c>
      <c r="Z129" s="209">
        <v>100000000</v>
      </c>
      <c r="AA129" s="209">
        <v>100000000</v>
      </c>
      <c r="AB129" s="209">
        <v>100000000</v>
      </c>
      <c r="AC129" s="209">
        <v>100000000</v>
      </c>
      <c r="AD129" s="209">
        <v>100000000</v>
      </c>
      <c r="AE129" s="209">
        <v>100000000</v>
      </c>
      <c r="AF129" s="220">
        <v>100000000</v>
      </c>
      <c r="AG129" s="436">
        <v>1</v>
      </c>
      <c r="AI129" s="174"/>
    </row>
    <row r="130" spans="1:35">
      <c r="A130" s="215" t="s">
        <v>944</v>
      </c>
      <c r="B130" s="232" t="s">
        <v>938</v>
      </c>
      <c r="C130" s="232">
        <v>2050</v>
      </c>
      <c r="D130" s="232" t="s">
        <v>945</v>
      </c>
      <c r="E130" s="209">
        <v>100000000</v>
      </c>
      <c r="F130" s="209">
        <v>100000000</v>
      </c>
      <c r="G130" s="209">
        <v>100000000</v>
      </c>
      <c r="H130" s="209">
        <v>100000000</v>
      </c>
      <c r="I130" s="209">
        <v>100000000</v>
      </c>
      <c r="J130" s="209">
        <v>100000000</v>
      </c>
      <c r="K130" s="209">
        <v>100000000</v>
      </c>
      <c r="L130" s="209">
        <v>100000000</v>
      </c>
      <c r="M130" s="209">
        <v>100000000</v>
      </c>
      <c r="N130" s="209">
        <v>100000000</v>
      </c>
      <c r="O130" s="209">
        <v>100000000</v>
      </c>
      <c r="P130" s="209">
        <v>100000000</v>
      </c>
      <c r="Q130" s="209">
        <v>100000000</v>
      </c>
      <c r="R130" s="209">
        <v>100000000</v>
      </c>
      <c r="S130" s="209">
        <v>100000000</v>
      </c>
      <c r="T130" s="209">
        <v>100000000</v>
      </c>
      <c r="U130" s="209">
        <v>100000000</v>
      </c>
      <c r="V130" s="209">
        <v>100000000</v>
      </c>
      <c r="W130" s="209">
        <v>100000000</v>
      </c>
      <c r="X130" s="209">
        <v>100000000</v>
      </c>
      <c r="Y130" s="209">
        <v>100000000</v>
      </c>
      <c r="Z130" s="209">
        <v>100000000</v>
      </c>
      <c r="AA130" s="209">
        <v>100000000</v>
      </c>
      <c r="AB130" s="209">
        <v>100000000</v>
      </c>
      <c r="AC130" s="209">
        <v>100000000</v>
      </c>
      <c r="AD130" s="209">
        <v>100000000</v>
      </c>
      <c r="AE130" s="209">
        <v>100000000</v>
      </c>
      <c r="AF130" s="220">
        <v>100000000</v>
      </c>
      <c r="AG130" s="436">
        <v>1</v>
      </c>
      <c r="AI130" s="174"/>
    </row>
    <row r="131" spans="1:35">
      <c r="A131" s="215" t="s">
        <v>944</v>
      </c>
      <c r="B131" s="232" t="s">
        <v>938</v>
      </c>
      <c r="C131" s="232">
        <v>2060</v>
      </c>
      <c r="D131" s="232" t="s">
        <v>945</v>
      </c>
      <c r="E131" s="209">
        <v>100000000</v>
      </c>
      <c r="F131" s="209">
        <v>100000000</v>
      </c>
      <c r="G131" s="209">
        <v>100000000</v>
      </c>
      <c r="H131" s="209">
        <v>100000000</v>
      </c>
      <c r="I131" s="209">
        <v>100000000</v>
      </c>
      <c r="J131" s="209">
        <v>100000000</v>
      </c>
      <c r="K131" s="209">
        <v>100000000</v>
      </c>
      <c r="L131" s="209">
        <v>100000000</v>
      </c>
      <c r="M131" s="209">
        <v>100000000</v>
      </c>
      <c r="N131" s="209">
        <v>100000000</v>
      </c>
      <c r="O131" s="209">
        <v>100000000</v>
      </c>
      <c r="P131" s="209">
        <v>100000000</v>
      </c>
      <c r="Q131" s="209">
        <v>100000000</v>
      </c>
      <c r="R131" s="209">
        <v>100000000</v>
      </c>
      <c r="S131" s="209">
        <v>100000000</v>
      </c>
      <c r="T131" s="209">
        <v>100000000</v>
      </c>
      <c r="U131" s="209">
        <v>100000000</v>
      </c>
      <c r="V131" s="209">
        <v>100000000</v>
      </c>
      <c r="W131" s="209">
        <v>100000000</v>
      </c>
      <c r="X131" s="209">
        <v>100000000</v>
      </c>
      <c r="Y131" s="209">
        <v>100000000</v>
      </c>
      <c r="Z131" s="209">
        <v>100000000</v>
      </c>
      <c r="AA131" s="209">
        <v>100000000</v>
      </c>
      <c r="AB131" s="209">
        <v>100000000</v>
      </c>
      <c r="AC131" s="209">
        <v>100000000</v>
      </c>
      <c r="AD131" s="209">
        <v>100000000</v>
      </c>
      <c r="AE131" s="209">
        <v>100000000</v>
      </c>
      <c r="AF131" s="220">
        <v>100000000</v>
      </c>
      <c r="AG131" s="436">
        <v>1</v>
      </c>
      <c r="AI131" s="174"/>
    </row>
    <row r="132" spans="1:35">
      <c r="A132" s="215" t="s">
        <v>944</v>
      </c>
      <c r="B132" s="232" t="s">
        <v>938</v>
      </c>
      <c r="C132" s="232">
        <v>2070</v>
      </c>
      <c r="D132" s="232" t="s">
        <v>945</v>
      </c>
      <c r="E132" s="209">
        <v>100000000</v>
      </c>
      <c r="F132" s="209">
        <v>100000000</v>
      </c>
      <c r="G132" s="209">
        <v>100000000</v>
      </c>
      <c r="H132" s="209">
        <v>100000000</v>
      </c>
      <c r="I132" s="209">
        <v>100000000</v>
      </c>
      <c r="J132" s="209">
        <v>100000000</v>
      </c>
      <c r="K132" s="209">
        <v>100000000</v>
      </c>
      <c r="L132" s="209">
        <v>100000000</v>
      </c>
      <c r="M132" s="209">
        <v>100000000</v>
      </c>
      <c r="N132" s="209">
        <v>100000000</v>
      </c>
      <c r="O132" s="209">
        <v>100000000</v>
      </c>
      <c r="P132" s="209">
        <v>100000000</v>
      </c>
      <c r="Q132" s="209">
        <v>100000000</v>
      </c>
      <c r="R132" s="209">
        <v>100000000</v>
      </c>
      <c r="S132" s="209">
        <v>100000000</v>
      </c>
      <c r="T132" s="209">
        <v>100000000</v>
      </c>
      <c r="U132" s="209">
        <v>100000000</v>
      </c>
      <c r="V132" s="209">
        <v>100000000</v>
      </c>
      <c r="W132" s="209">
        <v>100000000</v>
      </c>
      <c r="X132" s="209">
        <v>100000000</v>
      </c>
      <c r="Y132" s="209">
        <v>100000000</v>
      </c>
      <c r="Z132" s="209">
        <v>100000000</v>
      </c>
      <c r="AA132" s="209">
        <v>100000000</v>
      </c>
      <c r="AB132" s="209">
        <v>100000000</v>
      </c>
      <c r="AC132" s="209">
        <v>100000000</v>
      </c>
      <c r="AD132" s="209">
        <v>100000000</v>
      </c>
      <c r="AE132" s="209">
        <v>100000000</v>
      </c>
      <c r="AF132" s="220">
        <v>100000000</v>
      </c>
      <c r="AG132" s="436">
        <v>1</v>
      </c>
      <c r="AI132" s="174"/>
    </row>
    <row r="133" spans="1:35">
      <c r="A133" s="215" t="s">
        <v>944</v>
      </c>
      <c r="B133" s="232" t="s">
        <v>938</v>
      </c>
      <c r="C133" s="232">
        <v>2080</v>
      </c>
      <c r="D133" s="232" t="s">
        <v>945</v>
      </c>
      <c r="E133" s="209">
        <v>100000000</v>
      </c>
      <c r="F133" s="209">
        <v>100000000</v>
      </c>
      <c r="G133" s="209">
        <v>100000000</v>
      </c>
      <c r="H133" s="209">
        <v>100000000</v>
      </c>
      <c r="I133" s="209">
        <v>100000000</v>
      </c>
      <c r="J133" s="209">
        <v>100000000</v>
      </c>
      <c r="K133" s="209">
        <v>100000000</v>
      </c>
      <c r="L133" s="209">
        <v>100000000</v>
      </c>
      <c r="M133" s="209">
        <v>100000000</v>
      </c>
      <c r="N133" s="209">
        <v>100000000</v>
      </c>
      <c r="O133" s="209">
        <v>100000000</v>
      </c>
      <c r="P133" s="209">
        <v>100000000</v>
      </c>
      <c r="Q133" s="209">
        <v>100000000</v>
      </c>
      <c r="R133" s="209">
        <v>100000000</v>
      </c>
      <c r="S133" s="209">
        <v>100000000</v>
      </c>
      <c r="T133" s="209">
        <v>100000000</v>
      </c>
      <c r="U133" s="209">
        <v>100000000</v>
      </c>
      <c r="V133" s="209">
        <v>100000000</v>
      </c>
      <c r="W133" s="209">
        <v>100000000</v>
      </c>
      <c r="X133" s="209">
        <v>100000000</v>
      </c>
      <c r="Y133" s="209">
        <v>100000000</v>
      </c>
      <c r="Z133" s="209">
        <v>100000000</v>
      </c>
      <c r="AA133" s="209">
        <v>100000000</v>
      </c>
      <c r="AB133" s="209">
        <v>100000000</v>
      </c>
      <c r="AC133" s="209">
        <v>100000000</v>
      </c>
      <c r="AD133" s="209">
        <v>100000000</v>
      </c>
      <c r="AE133" s="209">
        <v>100000000</v>
      </c>
      <c r="AF133" s="220">
        <v>100000000</v>
      </c>
      <c r="AG133" s="436">
        <v>1</v>
      </c>
      <c r="AI133" s="174"/>
    </row>
    <row r="134" spans="1:35">
      <c r="A134" s="215" t="s">
        <v>944</v>
      </c>
      <c r="B134" s="232" t="s">
        <v>938</v>
      </c>
      <c r="C134" s="232">
        <v>2090</v>
      </c>
      <c r="D134" s="232" t="s">
        <v>945</v>
      </c>
      <c r="E134" s="209">
        <v>100000000</v>
      </c>
      <c r="F134" s="209">
        <v>100000000</v>
      </c>
      <c r="G134" s="209">
        <v>100000000</v>
      </c>
      <c r="H134" s="209">
        <v>100000000</v>
      </c>
      <c r="I134" s="209">
        <v>100000000</v>
      </c>
      <c r="J134" s="209">
        <v>100000000</v>
      </c>
      <c r="K134" s="209">
        <v>100000000</v>
      </c>
      <c r="L134" s="209">
        <v>100000000</v>
      </c>
      <c r="M134" s="209">
        <v>100000000</v>
      </c>
      <c r="N134" s="209">
        <v>100000000</v>
      </c>
      <c r="O134" s="209">
        <v>100000000</v>
      </c>
      <c r="P134" s="209">
        <v>100000000</v>
      </c>
      <c r="Q134" s="209">
        <v>100000000</v>
      </c>
      <c r="R134" s="209">
        <v>100000000</v>
      </c>
      <c r="S134" s="209">
        <v>100000000</v>
      </c>
      <c r="T134" s="209">
        <v>100000000</v>
      </c>
      <c r="U134" s="209">
        <v>100000000</v>
      </c>
      <c r="V134" s="209">
        <v>100000000</v>
      </c>
      <c r="W134" s="209">
        <v>100000000</v>
      </c>
      <c r="X134" s="209">
        <v>100000000</v>
      </c>
      <c r="Y134" s="209">
        <v>100000000</v>
      </c>
      <c r="Z134" s="209">
        <v>100000000</v>
      </c>
      <c r="AA134" s="209">
        <v>100000000</v>
      </c>
      <c r="AB134" s="209">
        <v>100000000</v>
      </c>
      <c r="AC134" s="209">
        <v>100000000</v>
      </c>
      <c r="AD134" s="209">
        <v>100000000</v>
      </c>
      <c r="AE134" s="209">
        <v>100000000</v>
      </c>
      <c r="AF134" s="220">
        <v>100000000</v>
      </c>
      <c r="AG134" s="436">
        <v>1</v>
      </c>
      <c r="AI134" s="174"/>
    </row>
    <row r="135" spans="1:35">
      <c r="A135" s="229" t="s">
        <v>944</v>
      </c>
      <c r="B135" s="235" t="s">
        <v>938</v>
      </c>
      <c r="C135" s="235">
        <v>2100</v>
      </c>
      <c r="D135" s="235" t="s">
        <v>945</v>
      </c>
      <c r="E135" s="226">
        <v>100000000</v>
      </c>
      <c r="F135" s="226">
        <v>100000000</v>
      </c>
      <c r="G135" s="226">
        <v>100000000</v>
      </c>
      <c r="H135" s="226">
        <v>100000000</v>
      </c>
      <c r="I135" s="226">
        <v>100000000</v>
      </c>
      <c r="J135" s="226">
        <v>100000000</v>
      </c>
      <c r="K135" s="226">
        <v>100000000</v>
      </c>
      <c r="L135" s="226">
        <v>100000000</v>
      </c>
      <c r="M135" s="226">
        <v>100000000</v>
      </c>
      <c r="N135" s="226">
        <v>100000000</v>
      </c>
      <c r="O135" s="226">
        <v>100000000</v>
      </c>
      <c r="P135" s="226">
        <v>100000000</v>
      </c>
      <c r="Q135" s="226">
        <v>100000000</v>
      </c>
      <c r="R135" s="226">
        <v>100000000</v>
      </c>
      <c r="S135" s="226">
        <v>100000000</v>
      </c>
      <c r="T135" s="226">
        <v>100000000</v>
      </c>
      <c r="U135" s="226">
        <v>100000000</v>
      </c>
      <c r="V135" s="226">
        <v>100000000</v>
      </c>
      <c r="W135" s="226">
        <v>100000000</v>
      </c>
      <c r="X135" s="226">
        <v>100000000</v>
      </c>
      <c r="Y135" s="226">
        <v>100000000</v>
      </c>
      <c r="Z135" s="226">
        <v>100000000</v>
      </c>
      <c r="AA135" s="226">
        <v>100000000</v>
      </c>
      <c r="AB135" s="226">
        <v>100000000</v>
      </c>
      <c r="AC135" s="226">
        <v>100000000</v>
      </c>
      <c r="AD135" s="226">
        <v>100000000</v>
      </c>
      <c r="AE135" s="226">
        <v>100000000</v>
      </c>
      <c r="AF135" s="224">
        <v>100000000</v>
      </c>
      <c r="AG135" s="437">
        <v>1</v>
      </c>
      <c r="AI135" s="174"/>
    </row>
    <row r="136" spans="1:35">
      <c r="A136" s="215" t="s">
        <v>944</v>
      </c>
      <c r="B136" s="232" t="s">
        <v>940</v>
      </c>
      <c r="C136" s="232">
        <v>2019</v>
      </c>
      <c r="D136" s="232" t="s">
        <v>945</v>
      </c>
      <c r="E136" s="209">
        <v>100000000</v>
      </c>
      <c r="F136" s="209">
        <v>100000000</v>
      </c>
      <c r="G136" s="209">
        <v>100000000</v>
      </c>
      <c r="H136" s="209">
        <v>100000000</v>
      </c>
      <c r="I136" s="209">
        <v>100000000</v>
      </c>
      <c r="J136" s="209">
        <v>100000000</v>
      </c>
      <c r="K136" s="209">
        <v>100000000</v>
      </c>
      <c r="L136" s="209">
        <v>100000000</v>
      </c>
      <c r="M136" s="209">
        <v>100000000</v>
      </c>
      <c r="N136" s="209">
        <v>100000000</v>
      </c>
      <c r="O136" s="209">
        <v>100000000</v>
      </c>
      <c r="P136" s="209">
        <v>100000000</v>
      </c>
      <c r="Q136" s="209">
        <v>100000000</v>
      </c>
      <c r="R136" s="209">
        <v>100000000</v>
      </c>
      <c r="S136" s="209">
        <v>100000000</v>
      </c>
      <c r="T136" s="209">
        <v>100000000</v>
      </c>
      <c r="U136" s="209">
        <v>100000000</v>
      </c>
      <c r="V136" s="209">
        <v>100000000</v>
      </c>
      <c r="W136" s="209">
        <v>100000000</v>
      </c>
      <c r="X136" s="209">
        <v>100000000</v>
      </c>
      <c r="Y136" s="209">
        <v>100000000</v>
      </c>
      <c r="Z136" s="209">
        <v>100000000</v>
      </c>
      <c r="AA136" s="209">
        <v>100000000</v>
      </c>
      <c r="AB136" s="209">
        <v>100000000</v>
      </c>
      <c r="AC136" s="209">
        <v>100000000</v>
      </c>
      <c r="AD136" s="209">
        <v>100000000</v>
      </c>
      <c r="AE136" s="209">
        <v>100000000</v>
      </c>
      <c r="AF136" s="220">
        <v>100000000</v>
      </c>
      <c r="AG136" s="436">
        <v>1</v>
      </c>
    </row>
    <row r="137" spans="1:35">
      <c r="A137" s="215" t="s">
        <v>944</v>
      </c>
      <c r="B137" s="232" t="s">
        <v>940</v>
      </c>
      <c r="C137">
        <v>2020</v>
      </c>
      <c r="D137" s="232" t="s">
        <v>945</v>
      </c>
      <c r="E137" s="209">
        <v>100000000</v>
      </c>
      <c r="F137" s="209">
        <v>100000000</v>
      </c>
      <c r="G137" s="209">
        <v>100000000</v>
      </c>
      <c r="H137" s="209">
        <v>100000000</v>
      </c>
      <c r="I137" s="209">
        <v>100000000</v>
      </c>
      <c r="J137" s="209">
        <v>100000000</v>
      </c>
      <c r="K137" s="209">
        <v>100000000</v>
      </c>
      <c r="L137" s="209">
        <v>100000000</v>
      </c>
      <c r="M137" s="209">
        <v>100000000</v>
      </c>
      <c r="N137" s="209">
        <v>100000000</v>
      </c>
      <c r="O137" s="209">
        <v>100000000</v>
      </c>
      <c r="P137" s="209">
        <v>100000000</v>
      </c>
      <c r="Q137" s="209">
        <v>100000000</v>
      </c>
      <c r="R137" s="209">
        <v>100000000</v>
      </c>
      <c r="S137" s="209">
        <v>100000000</v>
      </c>
      <c r="T137" s="209">
        <v>100000000</v>
      </c>
      <c r="U137" s="209">
        <v>100000000</v>
      </c>
      <c r="V137" s="209">
        <v>100000000</v>
      </c>
      <c r="W137" s="209">
        <v>100000000</v>
      </c>
      <c r="X137" s="209">
        <v>100000000</v>
      </c>
      <c r="Y137" s="209">
        <v>100000000</v>
      </c>
      <c r="Z137" s="209">
        <v>100000000</v>
      </c>
      <c r="AA137" s="209">
        <v>100000000</v>
      </c>
      <c r="AB137" s="209">
        <v>100000000</v>
      </c>
      <c r="AC137" s="209">
        <v>100000000</v>
      </c>
      <c r="AD137" s="209">
        <v>100000000</v>
      </c>
      <c r="AE137" s="209">
        <v>100000000</v>
      </c>
      <c r="AF137" s="220">
        <v>100000000</v>
      </c>
      <c r="AG137" s="436">
        <v>1</v>
      </c>
      <c r="AI137" s="174"/>
    </row>
    <row r="138" spans="1:35">
      <c r="A138" s="215" t="s">
        <v>944</v>
      </c>
      <c r="B138" s="232" t="s">
        <v>940</v>
      </c>
      <c r="C138" s="232">
        <v>2025</v>
      </c>
      <c r="D138" s="232" t="s">
        <v>945</v>
      </c>
      <c r="E138" s="209">
        <v>100000000</v>
      </c>
      <c r="F138" s="209">
        <v>100000000</v>
      </c>
      <c r="G138" s="209">
        <v>100000000</v>
      </c>
      <c r="H138" s="209">
        <v>100000000</v>
      </c>
      <c r="I138" s="209">
        <v>100000000</v>
      </c>
      <c r="J138" s="209">
        <v>100000000</v>
      </c>
      <c r="K138" s="209">
        <v>100000000</v>
      </c>
      <c r="L138" s="209">
        <v>100000000</v>
      </c>
      <c r="M138" s="209">
        <v>100000000</v>
      </c>
      <c r="N138" s="209">
        <v>100000000</v>
      </c>
      <c r="O138" s="209">
        <v>100000000</v>
      </c>
      <c r="P138" s="209">
        <v>100000000</v>
      </c>
      <c r="Q138" s="209">
        <v>100000000</v>
      </c>
      <c r="R138" s="209">
        <v>100000000</v>
      </c>
      <c r="S138" s="209">
        <v>100000000</v>
      </c>
      <c r="T138" s="209">
        <v>100000000</v>
      </c>
      <c r="U138" s="209">
        <v>100000000</v>
      </c>
      <c r="V138" s="209">
        <v>100000000</v>
      </c>
      <c r="W138" s="209">
        <v>100000000</v>
      </c>
      <c r="X138" s="209">
        <v>100000000</v>
      </c>
      <c r="Y138" s="209">
        <v>100000000</v>
      </c>
      <c r="Z138" s="209">
        <v>100000000</v>
      </c>
      <c r="AA138" s="209">
        <v>100000000</v>
      </c>
      <c r="AB138" s="209">
        <v>100000000</v>
      </c>
      <c r="AC138" s="209">
        <v>100000000</v>
      </c>
      <c r="AD138" s="209">
        <v>100000000</v>
      </c>
      <c r="AE138" s="209">
        <v>100000000</v>
      </c>
      <c r="AF138" s="220">
        <v>100000000</v>
      </c>
      <c r="AG138" s="436">
        <v>1</v>
      </c>
      <c r="AI138" s="174"/>
    </row>
    <row r="139" spans="1:35">
      <c r="A139" s="215" t="s">
        <v>944</v>
      </c>
      <c r="B139" s="232" t="s">
        <v>940</v>
      </c>
      <c r="C139" s="232">
        <v>2030</v>
      </c>
      <c r="D139" s="232" t="s">
        <v>945</v>
      </c>
      <c r="E139" s="209">
        <v>100000000</v>
      </c>
      <c r="F139" s="209">
        <v>100000000</v>
      </c>
      <c r="G139" s="209">
        <v>100000000</v>
      </c>
      <c r="H139" s="209">
        <v>100000000</v>
      </c>
      <c r="I139" s="209">
        <v>100000000</v>
      </c>
      <c r="J139" s="209">
        <v>100000000</v>
      </c>
      <c r="K139" s="209">
        <v>100000000</v>
      </c>
      <c r="L139" s="209">
        <v>100000000</v>
      </c>
      <c r="M139" s="209">
        <v>100000000</v>
      </c>
      <c r="N139" s="209">
        <v>100000000</v>
      </c>
      <c r="O139" s="209">
        <v>100000000</v>
      </c>
      <c r="P139" s="209">
        <v>100000000</v>
      </c>
      <c r="Q139" s="209">
        <v>100000000</v>
      </c>
      <c r="R139" s="209">
        <v>100000000</v>
      </c>
      <c r="S139" s="209">
        <v>100000000</v>
      </c>
      <c r="T139" s="209">
        <v>100000000</v>
      </c>
      <c r="U139" s="209">
        <v>100000000</v>
      </c>
      <c r="V139" s="209">
        <v>100000000</v>
      </c>
      <c r="W139" s="209">
        <v>100000000</v>
      </c>
      <c r="X139" s="209">
        <v>100000000</v>
      </c>
      <c r="Y139" s="209">
        <v>100000000</v>
      </c>
      <c r="Z139" s="209">
        <v>100000000</v>
      </c>
      <c r="AA139" s="209">
        <v>100000000</v>
      </c>
      <c r="AB139" s="209">
        <v>100000000</v>
      </c>
      <c r="AC139" s="209">
        <v>100000000</v>
      </c>
      <c r="AD139" s="209">
        <v>100000000</v>
      </c>
      <c r="AE139" s="209">
        <v>100000000</v>
      </c>
      <c r="AF139" s="220">
        <v>100000000</v>
      </c>
      <c r="AG139" s="436">
        <v>1</v>
      </c>
      <c r="AI139" s="174"/>
    </row>
    <row r="140" spans="1:35">
      <c r="A140" s="215" t="s">
        <v>944</v>
      </c>
      <c r="B140" s="232" t="s">
        <v>940</v>
      </c>
      <c r="C140" s="232">
        <v>2035</v>
      </c>
      <c r="D140" s="232" t="s">
        <v>945</v>
      </c>
      <c r="E140" s="209">
        <v>100000000</v>
      </c>
      <c r="F140" s="209">
        <v>100000000</v>
      </c>
      <c r="G140" s="209">
        <v>100000000</v>
      </c>
      <c r="H140" s="209">
        <v>100000000</v>
      </c>
      <c r="I140" s="209">
        <v>100000000</v>
      </c>
      <c r="J140" s="209">
        <v>100000000</v>
      </c>
      <c r="K140" s="209">
        <v>100000000</v>
      </c>
      <c r="L140" s="209">
        <v>100000000</v>
      </c>
      <c r="M140" s="209">
        <v>100000000</v>
      </c>
      <c r="N140" s="209">
        <v>100000000</v>
      </c>
      <c r="O140" s="209">
        <v>100000000</v>
      </c>
      <c r="P140" s="209">
        <v>100000000</v>
      </c>
      <c r="Q140" s="209">
        <v>100000000</v>
      </c>
      <c r="R140" s="209">
        <v>100000000</v>
      </c>
      <c r="S140" s="209">
        <v>100000000</v>
      </c>
      <c r="T140" s="209">
        <v>100000000</v>
      </c>
      <c r="U140" s="209">
        <v>100000000</v>
      </c>
      <c r="V140" s="209">
        <v>100000000</v>
      </c>
      <c r="W140" s="209">
        <v>100000000</v>
      </c>
      <c r="X140" s="209">
        <v>100000000</v>
      </c>
      <c r="Y140" s="209">
        <v>100000000</v>
      </c>
      <c r="Z140" s="209">
        <v>100000000</v>
      </c>
      <c r="AA140" s="209">
        <v>100000000</v>
      </c>
      <c r="AB140" s="209">
        <v>100000000</v>
      </c>
      <c r="AC140" s="209">
        <v>100000000</v>
      </c>
      <c r="AD140" s="209">
        <v>100000000</v>
      </c>
      <c r="AE140" s="209">
        <v>100000000</v>
      </c>
      <c r="AF140" s="220">
        <v>100000000</v>
      </c>
      <c r="AG140" s="436">
        <v>1</v>
      </c>
      <c r="AI140" s="174"/>
    </row>
    <row r="141" spans="1:35">
      <c r="A141" s="215" t="s">
        <v>944</v>
      </c>
      <c r="B141" s="232" t="s">
        <v>940</v>
      </c>
      <c r="C141" s="232">
        <v>2040</v>
      </c>
      <c r="D141" s="232" t="s">
        <v>945</v>
      </c>
      <c r="E141" s="209">
        <v>100000000</v>
      </c>
      <c r="F141" s="209">
        <v>100000000</v>
      </c>
      <c r="G141" s="209">
        <v>100000000</v>
      </c>
      <c r="H141" s="209">
        <v>100000000</v>
      </c>
      <c r="I141" s="209">
        <v>100000000</v>
      </c>
      <c r="J141" s="209">
        <v>100000000</v>
      </c>
      <c r="K141" s="209">
        <v>100000000</v>
      </c>
      <c r="L141" s="209">
        <v>100000000</v>
      </c>
      <c r="M141" s="209">
        <v>100000000</v>
      </c>
      <c r="N141" s="209">
        <v>100000000</v>
      </c>
      <c r="O141" s="209">
        <v>100000000</v>
      </c>
      <c r="P141" s="209">
        <v>100000000</v>
      </c>
      <c r="Q141" s="209">
        <v>100000000</v>
      </c>
      <c r="R141" s="209">
        <v>100000000</v>
      </c>
      <c r="S141" s="209">
        <v>100000000</v>
      </c>
      <c r="T141" s="209">
        <v>100000000</v>
      </c>
      <c r="U141" s="209">
        <v>100000000</v>
      </c>
      <c r="V141" s="209">
        <v>100000000</v>
      </c>
      <c r="W141" s="209">
        <v>100000000</v>
      </c>
      <c r="X141" s="209">
        <v>100000000</v>
      </c>
      <c r="Y141" s="209">
        <v>100000000</v>
      </c>
      <c r="Z141" s="209">
        <v>100000000</v>
      </c>
      <c r="AA141" s="209">
        <v>100000000</v>
      </c>
      <c r="AB141" s="209">
        <v>100000000</v>
      </c>
      <c r="AC141" s="209">
        <v>100000000</v>
      </c>
      <c r="AD141" s="209">
        <v>100000000</v>
      </c>
      <c r="AE141" s="209">
        <v>100000000</v>
      </c>
      <c r="AF141" s="220">
        <v>100000000</v>
      </c>
      <c r="AG141" s="436">
        <v>1</v>
      </c>
      <c r="AI141" s="174"/>
    </row>
    <row r="142" spans="1:35">
      <c r="A142" s="215" t="s">
        <v>944</v>
      </c>
      <c r="B142" s="232" t="s">
        <v>940</v>
      </c>
      <c r="C142" s="232">
        <v>2045</v>
      </c>
      <c r="D142" s="232" t="s">
        <v>945</v>
      </c>
      <c r="E142" s="209">
        <v>100000000</v>
      </c>
      <c r="F142" s="209">
        <v>100000000</v>
      </c>
      <c r="G142" s="209">
        <v>100000000</v>
      </c>
      <c r="H142" s="209">
        <v>100000000</v>
      </c>
      <c r="I142" s="209">
        <v>100000000</v>
      </c>
      <c r="J142" s="209">
        <v>100000000</v>
      </c>
      <c r="K142" s="209">
        <v>100000000</v>
      </c>
      <c r="L142" s="209">
        <v>100000000</v>
      </c>
      <c r="M142" s="209">
        <v>100000000</v>
      </c>
      <c r="N142" s="209">
        <v>100000000</v>
      </c>
      <c r="O142" s="209">
        <v>100000000</v>
      </c>
      <c r="P142" s="209">
        <v>100000000</v>
      </c>
      <c r="Q142" s="209">
        <v>100000000</v>
      </c>
      <c r="R142" s="209">
        <v>100000000</v>
      </c>
      <c r="S142" s="209">
        <v>100000000</v>
      </c>
      <c r="T142" s="209">
        <v>100000000</v>
      </c>
      <c r="U142" s="209">
        <v>100000000</v>
      </c>
      <c r="V142" s="209">
        <v>100000000</v>
      </c>
      <c r="W142" s="209">
        <v>100000000</v>
      </c>
      <c r="X142" s="209">
        <v>100000000</v>
      </c>
      <c r="Y142" s="209">
        <v>100000000</v>
      </c>
      <c r="Z142" s="209">
        <v>100000000</v>
      </c>
      <c r="AA142" s="209">
        <v>100000000</v>
      </c>
      <c r="AB142" s="209">
        <v>100000000</v>
      </c>
      <c r="AC142" s="209">
        <v>100000000</v>
      </c>
      <c r="AD142" s="209">
        <v>100000000</v>
      </c>
      <c r="AE142" s="209">
        <v>100000000</v>
      </c>
      <c r="AF142" s="220">
        <v>100000000</v>
      </c>
      <c r="AG142" s="436">
        <v>1</v>
      </c>
      <c r="AI142" s="174"/>
    </row>
    <row r="143" spans="1:35">
      <c r="A143" s="215" t="s">
        <v>944</v>
      </c>
      <c r="B143" s="232" t="s">
        <v>940</v>
      </c>
      <c r="C143" s="232">
        <v>2050</v>
      </c>
      <c r="D143" s="232" t="s">
        <v>945</v>
      </c>
      <c r="E143" s="209">
        <v>100000000</v>
      </c>
      <c r="F143" s="209">
        <v>100000000</v>
      </c>
      <c r="G143" s="209">
        <v>100000000</v>
      </c>
      <c r="H143" s="209">
        <v>100000000</v>
      </c>
      <c r="I143" s="209">
        <v>100000000</v>
      </c>
      <c r="J143" s="209">
        <v>100000000</v>
      </c>
      <c r="K143" s="209">
        <v>100000000</v>
      </c>
      <c r="L143" s="209">
        <v>100000000</v>
      </c>
      <c r="M143" s="209">
        <v>100000000</v>
      </c>
      <c r="N143" s="209">
        <v>100000000</v>
      </c>
      <c r="O143" s="209">
        <v>100000000</v>
      </c>
      <c r="P143" s="209">
        <v>100000000</v>
      </c>
      <c r="Q143" s="209">
        <v>100000000</v>
      </c>
      <c r="R143" s="209">
        <v>100000000</v>
      </c>
      <c r="S143" s="209">
        <v>100000000</v>
      </c>
      <c r="T143" s="209">
        <v>100000000</v>
      </c>
      <c r="U143" s="209">
        <v>100000000</v>
      </c>
      <c r="V143" s="209">
        <v>100000000</v>
      </c>
      <c r="W143" s="209">
        <v>100000000</v>
      </c>
      <c r="X143" s="209">
        <v>100000000</v>
      </c>
      <c r="Y143" s="209">
        <v>100000000</v>
      </c>
      <c r="Z143" s="209">
        <v>100000000</v>
      </c>
      <c r="AA143" s="209">
        <v>100000000</v>
      </c>
      <c r="AB143" s="209">
        <v>100000000</v>
      </c>
      <c r="AC143" s="209">
        <v>100000000</v>
      </c>
      <c r="AD143" s="209">
        <v>100000000</v>
      </c>
      <c r="AE143" s="209">
        <v>100000000</v>
      </c>
      <c r="AF143" s="220">
        <v>100000000</v>
      </c>
      <c r="AG143" s="436">
        <v>1</v>
      </c>
      <c r="AI143" s="174"/>
    </row>
    <row r="144" spans="1:35">
      <c r="A144" s="215" t="s">
        <v>944</v>
      </c>
      <c r="B144" s="232" t="s">
        <v>940</v>
      </c>
      <c r="C144" s="232">
        <v>2060</v>
      </c>
      <c r="D144" s="232" t="s">
        <v>945</v>
      </c>
      <c r="E144" s="209">
        <v>100000000</v>
      </c>
      <c r="F144" s="209">
        <v>100000000</v>
      </c>
      <c r="G144" s="209">
        <v>100000000</v>
      </c>
      <c r="H144" s="209">
        <v>100000000</v>
      </c>
      <c r="I144" s="209">
        <v>100000000</v>
      </c>
      <c r="J144" s="209">
        <v>100000000</v>
      </c>
      <c r="K144" s="209">
        <v>100000000</v>
      </c>
      <c r="L144" s="209">
        <v>100000000</v>
      </c>
      <c r="M144" s="209">
        <v>100000000</v>
      </c>
      <c r="N144" s="209">
        <v>100000000</v>
      </c>
      <c r="O144" s="209">
        <v>100000000</v>
      </c>
      <c r="P144" s="209">
        <v>100000000</v>
      </c>
      <c r="Q144" s="209">
        <v>100000000</v>
      </c>
      <c r="R144" s="209">
        <v>100000000</v>
      </c>
      <c r="S144" s="209">
        <v>100000000</v>
      </c>
      <c r="T144" s="209">
        <v>100000000</v>
      </c>
      <c r="U144" s="209">
        <v>100000000</v>
      </c>
      <c r="V144" s="209">
        <v>100000000</v>
      </c>
      <c r="W144" s="209">
        <v>100000000</v>
      </c>
      <c r="X144" s="209">
        <v>100000000</v>
      </c>
      <c r="Y144" s="209">
        <v>100000000</v>
      </c>
      <c r="Z144" s="209">
        <v>100000000</v>
      </c>
      <c r="AA144" s="209">
        <v>100000000</v>
      </c>
      <c r="AB144" s="209">
        <v>100000000</v>
      </c>
      <c r="AC144" s="209">
        <v>100000000</v>
      </c>
      <c r="AD144" s="209">
        <v>100000000</v>
      </c>
      <c r="AE144" s="209">
        <v>100000000</v>
      </c>
      <c r="AF144" s="220">
        <v>100000000</v>
      </c>
      <c r="AG144" s="436">
        <v>1</v>
      </c>
      <c r="AI144" s="174"/>
    </row>
    <row r="145" spans="1:35">
      <c r="A145" s="215" t="s">
        <v>944</v>
      </c>
      <c r="B145" s="232" t="s">
        <v>940</v>
      </c>
      <c r="C145" s="232">
        <v>2070</v>
      </c>
      <c r="D145" s="232" t="s">
        <v>945</v>
      </c>
      <c r="E145" s="209">
        <v>100000000</v>
      </c>
      <c r="F145" s="209">
        <v>100000000</v>
      </c>
      <c r="G145" s="209">
        <v>100000000</v>
      </c>
      <c r="H145" s="209">
        <v>100000000</v>
      </c>
      <c r="I145" s="209">
        <v>100000000</v>
      </c>
      <c r="J145" s="209">
        <v>100000000</v>
      </c>
      <c r="K145" s="209">
        <v>100000000</v>
      </c>
      <c r="L145" s="209">
        <v>100000000</v>
      </c>
      <c r="M145" s="209">
        <v>100000000</v>
      </c>
      <c r="N145" s="209">
        <v>100000000</v>
      </c>
      <c r="O145" s="209">
        <v>100000000</v>
      </c>
      <c r="P145" s="209">
        <v>100000000</v>
      </c>
      <c r="Q145" s="209">
        <v>100000000</v>
      </c>
      <c r="R145" s="209">
        <v>100000000</v>
      </c>
      <c r="S145" s="209">
        <v>100000000</v>
      </c>
      <c r="T145" s="209">
        <v>100000000</v>
      </c>
      <c r="U145" s="209">
        <v>100000000</v>
      </c>
      <c r="V145" s="209">
        <v>100000000</v>
      </c>
      <c r="W145" s="209">
        <v>100000000</v>
      </c>
      <c r="X145" s="209">
        <v>100000000</v>
      </c>
      <c r="Y145" s="209">
        <v>100000000</v>
      </c>
      <c r="Z145" s="209">
        <v>100000000</v>
      </c>
      <c r="AA145" s="209">
        <v>100000000</v>
      </c>
      <c r="AB145" s="209">
        <v>100000000</v>
      </c>
      <c r="AC145" s="209">
        <v>100000000</v>
      </c>
      <c r="AD145" s="209">
        <v>100000000</v>
      </c>
      <c r="AE145" s="209">
        <v>100000000</v>
      </c>
      <c r="AF145" s="220">
        <v>100000000</v>
      </c>
      <c r="AG145" s="436">
        <v>1</v>
      </c>
      <c r="AI145" s="174"/>
    </row>
    <row r="146" spans="1:35">
      <c r="A146" s="215" t="s">
        <v>944</v>
      </c>
      <c r="B146" s="232" t="s">
        <v>940</v>
      </c>
      <c r="C146" s="232">
        <v>2080</v>
      </c>
      <c r="D146" s="232" t="s">
        <v>945</v>
      </c>
      <c r="E146" s="209">
        <v>100000000</v>
      </c>
      <c r="F146" s="209">
        <v>100000000</v>
      </c>
      <c r="G146" s="209">
        <v>100000000</v>
      </c>
      <c r="H146" s="209">
        <v>100000000</v>
      </c>
      <c r="I146" s="209">
        <v>100000000</v>
      </c>
      <c r="J146" s="209">
        <v>100000000</v>
      </c>
      <c r="K146" s="209">
        <v>100000000</v>
      </c>
      <c r="L146" s="209">
        <v>100000000</v>
      </c>
      <c r="M146" s="209">
        <v>100000000</v>
      </c>
      <c r="N146" s="209">
        <v>100000000</v>
      </c>
      <c r="O146" s="209">
        <v>100000000</v>
      </c>
      <c r="P146" s="209">
        <v>100000000</v>
      </c>
      <c r="Q146" s="209">
        <v>100000000</v>
      </c>
      <c r="R146" s="209">
        <v>100000000</v>
      </c>
      <c r="S146" s="209">
        <v>100000000</v>
      </c>
      <c r="T146" s="209">
        <v>100000000</v>
      </c>
      <c r="U146" s="209">
        <v>100000000</v>
      </c>
      <c r="V146" s="209">
        <v>100000000</v>
      </c>
      <c r="W146" s="209">
        <v>100000000</v>
      </c>
      <c r="X146" s="209">
        <v>100000000</v>
      </c>
      <c r="Y146" s="209">
        <v>100000000</v>
      </c>
      <c r="Z146" s="209">
        <v>100000000</v>
      </c>
      <c r="AA146" s="209">
        <v>100000000</v>
      </c>
      <c r="AB146" s="209">
        <v>100000000</v>
      </c>
      <c r="AC146" s="209">
        <v>100000000</v>
      </c>
      <c r="AD146" s="209">
        <v>100000000</v>
      </c>
      <c r="AE146" s="209">
        <v>100000000</v>
      </c>
      <c r="AF146" s="220">
        <v>100000000</v>
      </c>
      <c r="AG146" s="436">
        <v>1</v>
      </c>
      <c r="AI146" s="174"/>
    </row>
    <row r="147" spans="1:35">
      <c r="A147" s="215" t="s">
        <v>944</v>
      </c>
      <c r="B147" s="232" t="s">
        <v>940</v>
      </c>
      <c r="C147" s="232">
        <v>2090</v>
      </c>
      <c r="D147" s="232" t="s">
        <v>945</v>
      </c>
      <c r="E147" s="209">
        <v>100000000</v>
      </c>
      <c r="F147" s="209">
        <v>100000000</v>
      </c>
      <c r="G147" s="209">
        <v>100000000</v>
      </c>
      <c r="H147" s="209">
        <v>100000000</v>
      </c>
      <c r="I147" s="209">
        <v>100000000</v>
      </c>
      <c r="J147" s="209">
        <v>100000000</v>
      </c>
      <c r="K147" s="209">
        <v>100000000</v>
      </c>
      <c r="L147" s="209">
        <v>100000000</v>
      </c>
      <c r="M147" s="209">
        <v>100000000</v>
      </c>
      <c r="N147" s="209">
        <v>100000000</v>
      </c>
      <c r="O147" s="209">
        <v>100000000</v>
      </c>
      <c r="P147" s="209">
        <v>100000000</v>
      </c>
      <c r="Q147" s="209">
        <v>100000000</v>
      </c>
      <c r="R147" s="209">
        <v>100000000</v>
      </c>
      <c r="S147" s="209">
        <v>100000000</v>
      </c>
      <c r="T147" s="209">
        <v>100000000</v>
      </c>
      <c r="U147" s="209">
        <v>100000000</v>
      </c>
      <c r="V147" s="209">
        <v>100000000</v>
      </c>
      <c r="W147" s="209">
        <v>100000000</v>
      </c>
      <c r="X147" s="209">
        <v>100000000</v>
      </c>
      <c r="Y147" s="209">
        <v>100000000</v>
      </c>
      <c r="Z147" s="209">
        <v>100000000</v>
      </c>
      <c r="AA147" s="209">
        <v>100000000</v>
      </c>
      <c r="AB147" s="209">
        <v>100000000</v>
      </c>
      <c r="AC147" s="209">
        <v>100000000</v>
      </c>
      <c r="AD147" s="209">
        <v>100000000</v>
      </c>
      <c r="AE147" s="209">
        <v>100000000</v>
      </c>
      <c r="AF147" s="220">
        <v>100000000</v>
      </c>
      <c r="AG147" s="436">
        <v>1</v>
      </c>
      <c r="AI147" s="174"/>
    </row>
    <row r="148" spans="1:35">
      <c r="A148" s="229" t="s">
        <v>944</v>
      </c>
      <c r="B148" s="235" t="s">
        <v>940</v>
      </c>
      <c r="C148" s="235">
        <v>2100</v>
      </c>
      <c r="D148" s="235" t="s">
        <v>945</v>
      </c>
      <c r="E148" s="226">
        <v>100000000</v>
      </c>
      <c r="F148" s="226">
        <v>100000000</v>
      </c>
      <c r="G148" s="226">
        <v>100000000</v>
      </c>
      <c r="H148" s="226">
        <v>100000000</v>
      </c>
      <c r="I148" s="226">
        <v>100000000</v>
      </c>
      <c r="J148" s="226">
        <v>100000000</v>
      </c>
      <c r="K148" s="226">
        <v>100000000</v>
      </c>
      <c r="L148" s="226">
        <v>100000000</v>
      </c>
      <c r="M148" s="226">
        <v>100000000</v>
      </c>
      <c r="N148" s="226">
        <v>100000000</v>
      </c>
      <c r="O148" s="226">
        <v>100000000</v>
      </c>
      <c r="P148" s="226">
        <v>100000000</v>
      </c>
      <c r="Q148" s="226">
        <v>100000000</v>
      </c>
      <c r="R148" s="226">
        <v>100000000</v>
      </c>
      <c r="S148" s="226">
        <v>100000000</v>
      </c>
      <c r="T148" s="226">
        <v>100000000</v>
      </c>
      <c r="U148" s="226">
        <v>100000000</v>
      </c>
      <c r="V148" s="226">
        <v>100000000</v>
      </c>
      <c r="W148" s="226">
        <v>100000000</v>
      </c>
      <c r="X148" s="226">
        <v>100000000</v>
      </c>
      <c r="Y148" s="226">
        <v>100000000</v>
      </c>
      <c r="Z148" s="226">
        <v>100000000</v>
      </c>
      <c r="AA148" s="226">
        <v>100000000</v>
      </c>
      <c r="AB148" s="226">
        <v>100000000</v>
      </c>
      <c r="AC148" s="226">
        <v>100000000</v>
      </c>
      <c r="AD148" s="226">
        <v>100000000</v>
      </c>
      <c r="AE148" s="226">
        <v>100000000</v>
      </c>
      <c r="AF148" s="224">
        <v>100000000</v>
      </c>
      <c r="AG148" s="437">
        <v>1</v>
      </c>
      <c r="AI148" s="174"/>
    </row>
    <row r="149" spans="1:35">
      <c r="A149" t="s">
        <v>944</v>
      </c>
      <c r="B149" s="231" t="s">
        <v>941</v>
      </c>
      <c r="C149" s="232">
        <v>2019</v>
      </c>
      <c r="D149" s="231" t="s">
        <v>945</v>
      </c>
      <c r="E149" s="209">
        <v>100000000</v>
      </c>
      <c r="F149" s="209">
        <v>100000000</v>
      </c>
      <c r="G149" s="209">
        <v>100000000</v>
      </c>
      <c r="H149" s="209">
        <v>100000000</v>
      </c>
      <c r="I149" s="209">
        <v>100000000</v>
      </c>
      <c r="J149" s="209">
        <v>100000000</v>
      </c>
      <c r="K149" s="209">
        <v>100000000</v>
      </c>
      <c r="L149" s="209">
        <v>100000000</v>
      </c>
      <c r="M149" s="209">
        <v>100000000</v>
      </c>
      <c r="N149" s="209">
        <v>100000000</v>
      </c>
      <c r="O149" s="209">
        <v>100000000</v>
      </c>
      <c r="P149" s="209">
        <v>100000000</v>
      </c>
      <c r="Q149" s="209">
        <v>100000000</v>
      </c>
      <c r="R149" s="209">
        <v>100000000</v>
      </c>
      <c r="S149" s="209">
        <v>100000000</v>
      </c>
      <c r="T149" s="209">
        <v>100000000</v>
      </c>
      <c r="U149" s="209">
        <v>100000000</v>
      </c>
      <c r="V149" s="209">
        <v>100000000</v>
      </c>
      <c r="W149" s="209">
        <v>100000000</v>
      </c>
      <c r="X149" s="209">
        <v>100000000</v>
      </c>
      <c r="Y149" s="209">
        <v>100000000</v>
      </c>
      <c r="Z149" s="209">
        <v>100000000</v>
      </c>
      <c r="AA149" s="209">
        <v>100000000</v>
      </c>
      <c r="AB149" s="209">
        <v>100000000</v>
      </c>
      <c r="AC149" s="209">
        <v>100000000</v>
      </c>
      <c r="AD149" s="209">
        <v>100000000</v>
      </c>
      <c r="AE149" s="209">
        <v>100000000</v>
      </c>
      <c r="AF149" s="209">
        <v>100000000</v>
      </c>
      <c r="AG149" s="453">
        <v>1</v>
      </c>
    </row>
    <row r="150" spans="1:35">
      <c r="A150" s="215" t="s">
        <v>944</v>
      </c>
      <c r="B150" s="232" t="s">
        <v>941</v>
      </c>
      <c r="C150">
        <v>2020</v>
      </c>
      <c r="D150" s="232" t="s">
        <v>945</v>
      </c>
      <c r="E150" s="209">
        <v>100000000</v>
      </c>
      <c r="F150" s="209">
        <v>100000000</v>
      </c>
      <c r="G150" s="209">
        <v>100000000</v>
      </c>
      <c r="H150" s="209">
        <v>100000000</v>
      </c>
      <c r="I150" s="209">
        <v>100000000</v>
      </c>
      <c r="J150" s="209">
        <v>100000000</v>
      </c>
      <c r="K150" s="209">
        <v>100000000</v>
      </c>
      <c r="L150" s="209">
        <v>100000000</v>
      </c>
      <c r="M150" s="209">
        <v>100000000</v>
      </c>
      <c r="N150" s="209">
        <v>100000000</v>
      </c>
      <c r="O150" s="209">
        <v>100000000</v>
      </c>
      <c r="P150" s="209">
        <v>100000000</v>
      </c>
      <c r="Q150" s="209">
        <v>100000000</v>
      </c>
      <c r="R150" s="209">
        <v>100000000</v>
      </c>
      <c r="S150" s="209">
        <v>100000000</v>
      </c>
      <c r="T150" s="209">
        <v>100000000</v>
      </c>
      <c r="U150" s="209">
        <v>100000000</v>
      </c>
      <c r="V150" s="209">
        <v>100000000</v>
      </c>
      <c r="W150" s="209">
        <v>100000000</v>
      </c>
      <c r="X150" s="209">
        <v>100000000</v>
      </c>
      <c r="Y150" s="209">
        <v>100000000</v>
      </c>
      <c r="Z150" s="209">
        <v>100000000</v>
      </c>
      <c r="AA150" s="209">
        <v>100000000</v>
      </c>
      <c r="AB150" s="209">
        <v>100000000</v>
      </c>
      <c r="AC150" s="209">
        <v>100000000</v>
      </c>
      <c r="AD150" s="209">
        <v>100000000</v>
      </c>
      <c r="AE150" s="209">
        <v>100000000</v>
      </c>
      <c r="AF150" s="220">
        <v>100000000</v>
      </c>
      <c r="AG150" s="436">
        <v>1</v>
      </c>
      <c r="AI150" s="174"/>
    </row>
    <row r="151" spans="1:35">
      <c r="A151" s="215" t="s">
        <v>944</v>
      </c>
      <c r="B151" s="232" t="s">
        <v>941</v>
      </c>
      <c r="C151" s="232">
        <v>2025</v>
      </c>
      <c r="D151" s="232" t="s">
        <v>945</v>
      </c>
      <c r="E151" s="209">
        <v>100000000</v>
      </c>
      <c r="F151" s="209">
        <v>100000000</v>
      </c>
      <c r="G151" s="209">
        <v>100000000</v>
      </c>
      <c r="H151" s="209">
        <v>100000000</v>
      </c>
      <c r="I151" s="209">
        <v>100000000</v>
      </c>
      <c r="J151" s="209">
        <v>100000000</v>
      </c>
      <c r="K151" s="209">
        <v>100000000</v>
      </c>
      <c r="L151" s="209">
        <v>100000000</v>
      </c>
      <c r="M151" s="209">
        <v>100000000</v>
      </c>
      <c r="N151" s="209">
        <v>100000000</v>
      </c>
      <c r="O151" s="209">
        <v>100000000</v>
      </c>
      <c r="P151" s="209">
        <v>100000000</v>
      </c>
      <c r="Q151" s="209">
        <v>100000000</v>
      </c>
      <c r="R151" s="209">
        <v>100000000</v>
      </c>
      <c r="S151" s="209">
        <v>100000000</v>
      </c>
      <c r="T151" s="209">
        <v>100000000</v>
      </c>
      <c r="U151" s="209">
        <v>100000000</v>
      </c>
      <c r="V151" s="209">
        <v>100000000</v>
      </c>
      <c r="W151" s="209">
        <v>100000000</v>
      </c>
      <c r="X151" s="209">
        <v>100000000</v>
      </c>
      <c r="Y151" s="209">
        <v>100000000</v>
      </c>
      <c r="Z151" s="209">
        <v>100000000</v>
      </c>
      <c r="AA151" s="209">
        <v>100000000</v>
      </c>
      <c r="AB151" s="209">
        <v>100000000</v>
      </c>
      <c r="AC151" s="209">
        <v>100000000</v>
      </c>
      <c r="AD151" s="209">
        <v>100000000</v>
      </c>
      <c r="AE151" s="209">
        <v>100000000</v>
      </c>
      <c r="AF151" s="220">
        <v>100000000</v>
      </c>
      <c r="AG151" s="436">
        <v>1</v>
      </c>
      <c r="AI151" s="174"/>
    </row>
    <row r="152" spans="1:35">
      <c r="A152" s="215" t="s">
        <v>944</v>
      </c>
      <c r="B152" s="232" t="s">
        <v>941</v>
      </c>
      <c r="C152" s="232">
        <v>2030</v>
      </c>
      <c r="D152" s="232" t="s">
        <v>945</v>
      </c>
      <c r="E152" s="209">
        <v>100000000</v>
      </c>
      <c r="F152" s="209">
        <v>100000000</v>
      </c>
      <c r="G152" s="209">
        <v>100000000</v>
      </c>
      <c r="H152" s="209">
        <v>100000000</v>
      </c>
      <c r="I152" s="209">
        <v>100000000</v>
      </c>
      <c r="J152" s="209">
        <v>100000000</v>
      </c>
      <c r="K152" s="209">
        <v>100000000</v>
      </c>
      <c r="L152" s="209">
        <v>100000000</v>
      </c>
      <c r="M152" s="209">
        <v>100000000</v>
      </c>
      <c r="N152" s="209">
        <v>100000000</v>
      </c>
      <c r="O152" s="209">
        <v>100000000</v>
      </c>
      <c r="P152" s="209">
        <v>100000000</v>
      </c>
      <c r="Q152" s="209">
        <v>100000000</v>
      </c>
      <c r="R152" s="209">
        <v>100000000</v>
      </c>
      <c r="S152" s="209">
        <v>100000000</v>
      </c>
      <c r="T152" s="209">
        <v>100000000</v>
      </c>
      <c r="U152" s="209">
        <v>100000000</v>
      </c>
      <c r="V152" s="209">
        <v>100000000</v>
      </c>
      <c r="W152" s="209">
        <v>100000000</v>
      </c>
      <c r="X152" s="209">
        <v>100000000</v>
      </c>
      <c r="Y152" s="209">
        <v>100000000</v>
      </c>
      <c r="Z152" s="209">
        <v>100000000</v>
      </c>
      <c r="AA152" s="209">
        <v>100000000</v>
      </c>
      <c r="AB152" s="209">
        <v>100000000</v>
      </c>
      <c r="AC152" s="209">
        <v>100000000</v>
      </c>
      <c r="AD152" s="209">
        <v>100000000</v>
      </c>
      <c r="AE152" s="209">
        <v>100000000</v>
      </c>
      <c r="AF152" s="220">
        <v>100000000</v>
      </c>
      <c r="AG152" s="436">
        <v>1</v>
      </c>
      <c r="AI152" s="174"/>
    </row>
    <row r="153" spans="1:35">
      <c r="A153" s="215" t="s">
        <v>944</v>
      </c>
      <c r="B153" s="232" t="s">
        <v>941</v>
      </c>
      <c r="C153" s="232">
        <v>2035</v>
      </c>
      <c r="D153" s="232" t="s">
        <v>945</v>
      </c>
      <c r="E153" s="209">
        <v>100000000</v>
      </c>
      <c r="F153" s="209">
        <v>100000000</v>
      </c>
      <c r="G153" s="209">
        <v>100000000</v>
      </c>
      <c r="H153" s="209">
        <v>100000000</v>
      </c>
      <c r="I153" s="209">
        <v>100000000</v>
      </c>
      <c r="J153" s="209">
        <v>100000000</v>
      </c>
      <c r="K153" s="209">
        <v>100000000</v>
      </c>
      <c r="L153" s="209">
        <v>100000000</v>
      </c>
      <c r="M153" s="209">
        <v>100000000</v>
      </c>
      <c r="N153" s="209">
        <v>100000000</v>
      </c>
      <c r="O153" s="209">
        <v>100000000</v>
      </c>
      <c r="P153" s="209">
        <v>100000000</v>
      </c>
      <c r="Q153" s="209">
        <v>100000000</v>
      </c>
      <c r="R153" s="209">
        <v>100000000</v>
      </c>
      <c r="S153" s="209">
        <v>100000000</v>
      </c>
      <c r="T153" s="209">
        <v>100000000</v>
      </c>
      <c r="U153" s="209">
        <v>100000000</v>
      </c>
      <c r="V153" s="209">
        <v>100000000</v>
      </c>
      <c r="W153" s="209">
        <v>100000000</v>
      </c>
      <c r="X153" s="209">
        <v>100000000</v>
      </c>
      <c r="Y153" s="209">
        <v>100000000</v>
      </c>
      <c r="Z153" s="209">
        <v>100000000</v>
      </c>
      <c r="AA153" s="209">
        <v>100000000</v>
      </c>
      <c r="AB153" s="209">
        <v>100000000</v>
      </c>
      <c r="AC153" s="209">
        <v>100000000</v>
      </c>
      <c r="AD153" s="209">
        <v>100000000</v>
      </c>
      <c r="AE153" s="209">
        <v>100000000</v>
      </c>
      <c r="AF153" s="220">
        <v>100000000</v>
      </c>
      <c r="AG153" s="436">
        <v>1</v>
      </c>
      <c r="AI153" s="174"/>
    </row>
    <row r="154" spans="1:35">
      <c r="A154" s="215" t="s">
        <v>944</v>
      </c>
      <c r="B154" s="232" t="s">
        <v>941</v>
      </c>
      <c r="C154" s="232">
        <v>2040</v>
      </c>
      <c r="D154" s="232" t="s">
        <v>945</v>
      </c>
      <c r="E154" s="209">
        <v>100000000</v>
      </c>
      <c r="F154" s="209">
        <v>100000000</v>
      </c>
      <c r="G154" s="209">
        <v>100000000</v>
      </c>
      <c r="H154" s="209">
        <v>100000000</v>
      </c>
      <c r="I154" s="209">
        <v>100000000</v>
      </c>
      <c r="J154" s="209">
        <v>100000000</v>
      </c>
      <c r="K154" s="209">
        <v>100000000</v>
      </c>
      <c r="L154" s="209">
        <v>100000000</v>
      </c>
      <c r="M154" s="209">
        <v>100000000</v>
      </c>
      <c r="N154" s="209">
        <v>100000000</v>
      </c>
      <c r="O154" s="209">
        <v>100000000</v>
      </c>
      <c r="P154" s="209">
        <v>100000000</v>
      </c>
      <c r="Q154" s="209">
        <v>100000000</v>
      </c>
      <c r="R154" s="209">
        <v>100000000</v>
      </c>
      <c r="S154" s="209">
        <v>100000000</v>
      </c>
      <c r="T154" s="209">
        <v>100000000</v>
      </c>
      <c r="U154" s="209">
        <v>100000000</v>
      </c>
      <c r="V154" s="209">
        <v>100000000</v>
      </c>
      <c r="W154" s="209">
        <v>100000000</v>
      </c>
      <c r="X154" s="209">
        <v>100000000</v>
      </c>
      <c r="Y154" s="209">
        <v>100000000</v>
      </c>
      <c r="Z154" s="209">
        <v>100000000</v>
      </c>
      <c r="AA154" s="209">
        <v>100000000</v>
      </c>
      <c r="AB154" s="209">
        <v>100000000</v>
      </c>
      <c r="AC154" s="209">
        <v>100000000</v>
      </c>
      <c r="AD154" s="209">
        <v>100000000</v>
      </c>
      <c r="AE154" s="209">
        <v>100000000</v>
      </c>
      <c r="AF154" s="220">
        <v>100000000</v>
      </c>
      <c r="AG154" s="436">
        <v>1</v>
      </c>
      <c r="AI154" s="174"/>
    </row>
    <row r="155" spans="1:35">
      <c r="A155" s="215" t="s">
        <v>944</v>
      </c>
      <c r="B155" s="232" t="s">
        <v>941</v>
      </c>
      <c r="C155" s="232">
        <v>2045</v>
      </c>
      <c r="D155" s="232" t="s">
        <v>945</v>
      </c>
      <c r="E155" s="209">
        <v>100000000</v>
      </c>
      <c r="F155" s="209">
        <v>100000000</v>
      </c>
      <c r="G155" s="209">
        <v>100000000</v>
      </c>
      <c r="H155" s="209">
        <v>100000000</v>
      </c>
      <c r="I155" s="209">
        <v>100000000</v>
      </c>
      <c r="J155" s="209">
        <v>100000000</v>
      </c>
      <c r="K155" s="209">
        <v>100000000</v>
      </c>
      <c r="L155" s="209">
        <v>100000000</v>
      </c>
      <c r="M155" s="209">
        <v>100000000</v>
      </c>
      <c r="N155" s="209">
        <v>100000000</v>
      </c>
      <c r="O155" s="209">
        <v>100000000</v>
      </c>
      <c r="P155" s="209">
        <v>100000000</v>
      </c>
      <c r="Q155" s="209">
        <v>100000000</v>
      </c>
      <c r="R155" s="209">
        <v>100000000</v>
      </c>
      <c r="S155" s="209">
        <v>100000000</v>
      </c>
      <c r="T155" s="209">
        <v>100000000</v>
      </c>
      <c r="U155" s="209">
        <v>100000000</v>
      </c>
      <c r="V155" s="209">
        <v>100000000</v>
      </c>
      <c r="W155" s="209">
        <v>100000000</v>
      </c>
      <c r="X155" s="209">
        <v>100000000</v>
      </c>
      <c r="Y155" s="209">
        <v>100000000</v>
      </c>
      <c r="Z155" s="209">
        <v>100000000</v>
      </c>
      <c r="AA155" s="209">
        <v>100000000</v>
      </c>
      <c r="AB155" s="209">
        <v>100000000</v>
      </c>
      <c r="AC155" s="209">
        <v>100000000</v>
      </c>
      <c r="AD155" s="209">
        <v>100000000</v>
      </c>
      <c r="AE155" s="209">
        <v>100000000</v>
      </c>
      <c r="AF155" s="220">
        <v>100000000</v>
      </c>
      <c r="AG155" s="436">
        <v>1</v>
      </c>
      <c r="AI155" s="174"/>
    </row>
    <row r="156" spans="1:35">
      <c r="A156" s="215" t="s">
        <v>944</v>
      </c>
      <c r="B156" s="232" t="s">
        <v>941</v>
      </c>
      <c r="C156" s="232">
        <v>2050</v>
      </c>
      <c r="D156" s="232" t="s">
        <v>945</v>
      </c>
      <c r="E156" s="209">
        <v>100000000</v>
      </c>
      <c r="F156" s="209">
        <v>100000000</v>
      </c>
      <c r="G156" s="209">
        <v>100000000</v>
      </c>
      <c r="H156" s="209">
        <v>100000000</v>
      </c>
      <c r="I156" s="209">
        <v>100000000</v>
      </c>
      <c r="J156" s="209">
        <v>100000000</v>
      </c>
      <c r="K156" s="209">
        <v>100000000</v>
      </c>
      <c r="L156" s="209">
        <v>100000000</v>
      </c>
      <c r="M156" s="209">
        <v>100000000</v>
      </c>
      <c r="N156" s="209">
        <v>100000000</v>
      </c>
      <c r="O156" s="209">
        <v>100000000</v>
      </c>
      <c r="P156" s="209">
        <v>100000000</v>
      </c>
      <c r="Q156" s="209">
        <v>100000000</v>
      </c>
      <c r="R156" s="209">
        <v>100000000</v>
      </c>
      <c r="S156" s="209">
        <v>100000000</v>
      </c>
      <c r="T156" s="209">
        <v>100000000</v>
      </c>
      <c r="U156" s="209">
        <v>100000000</v>
      </c>
      <c r="V156" s="209">
        <v>100000000</v>
      </c>
      <c r="W156" s="209">
        <v>100000000</v>
      </c>
      <c r="X156" s="209">
        <v>100000000</v>
      </c>
      <c r="Y156" s="209">
        <v>100000000</v>
      </c>
      <c r="Z156" s="209">
        <v>100000000</v>
      </c>
      <c r="AA156" s="209">
        <v>100000000</v>
      </c>
      <c r="AB156" s="209">
        <v>100000000</v>
      </c>
      <c r="AC156" s="209">
        <v>100000000</v>
      </c>
      <c r="AD156" s="209">
        <v>100000000</v>
      </c>
      <c r="AE156" s="209">
        <v>100000000</v>
      </c>
      <c r="AF156" s="220">
        <v>100000000</v>
      </c>
      <c r="AG156" s="436">
        <v>1</v>
      </c>
      <c r="AI156" s="174"/>
    </row>
    <row r="157" spans="1:35">
      <c r="A157" s="215" t="s">
        <v>944</v>
      </c>
      <c r="B157" s="232" t="s">
        <v>941</v>
      </c>
      <c r="C157" s="232">
        <v>2060</v>
      </c>
      <c r="D157" s="232" t="s">
        <v>945</v>
      </c>
      <c r="E157" s="209">
        <v>100000000</v>
      </c>
      <c r="F157" s="209">
        <v>100000000</v>
      </c>
      <c r="G157" s="209">
        <v>100000000</v>
      </c>
      <c r="H157" s="209">
        <v>100000000</v>
      </c>
      <c r="I157" s="209">
        <v>100000000</v>
      </c>
      <c r="J157" s="209">
        <v>100000000</v>
      </c>
      <c r="K157" s="209">
        <v>100000000</v>
      </c>
      <c r="L157" s="209">
        <v>100000000</v>
      </c>
      <c r="M157" s="209">
        <v>100000000</v>
      </c>
      <c r="N157" s="209">
        <v>100000000</v>
      </c>
      <c r="O157" s="209">
        <v>100000000</v>
      </c>
      <c r="P157" s="209">
        <v>100000000</v>
      </c>
      <c r="Q157" s="209">
        <v>100000000</v>
      </c>
      <c r="R157" s="209">
        <v>100000000</v>
      </c>
      <c r="S157" s="209">
        <v>100000000</v>
      </c>
      <c r="T157" s="209">
        <v>100000000</v>
      </c>
      <c r="U157" s="209">
        <v>100000000</v>
      </c>
      <c r="V157" s="209">
        <v>100000000</v>
      </c>
      <c r="W157" s="209">
        <v>100000000</v>
      </c>
      <c r="X157" s="209">
        <v>100000000</v>
      </c>
      <c r="Y157" s="209">
        <v>100000000</v>
      </c>
      <c r="Z157" s="209">
        <v>100000000</v>
      </c>
      <c r="AA157" s="209">
        <v>100000000</v>
      </c>
      <c r="AB157" s="209">
        <v>100000000</v>
      </c>
      <c r="AC157" s="209">
        <v>100000000</v>
      </c>
      <c r="AD157" s="209">
        <v>100000000</v>
      </c>
      <c r="AE157" s="209">
        <v>100000000</v>
      </c>
      <c r="AF157" s="220">
        <v>100000000</v>
      </c>
      <c r="AG157" s="436">
        <v>1</v>
      </c>
      <c r="AI157" s="174"/>
    </row>
    <row r="158" spans="1:35">
      <c r="A158" s="215" t="s">
        <v>944</v>
      </c>
      <c r="B158" s="232" t="s">
        <v>941</v>
      </c>
      <c r="C158" s="232">
        <v>2070</v>
      </c>
      <c r="D158" s="232" t="s">
        <v>945</v>
      </c>
      <c r="E158" s="209">
        <v>100000000</v>
      </c>
      <c r="F158" s="209">
        <v>100000000</v>
      </c>
      <c r="G158" s="209">
        <v>100000000</v>
      </c>
      <c r="H158" s="209">
        <v>100000000</v>
      </c>
      <c r="I158" s="209">
        <v>100000000</v>
      </c>
      <c r="J158" s="209">
        <v>100000000</v>
      </c>
      <c r="K158" s="209">
        <v>100000000</v>
      </c>
      <c r="L158" s="209">
        <v>100000000</v>
      </c>
      <c r="M158" s="209">
        <v>100000000</v>
      </c>
      <c r="N158" s="209">
        <v>100000000</v>
      </c>
      <c r="O158" s="209">
        <v>100000000</v>
      </c>
      <c r="P158" s="209">
        <v>100000000</v>
      </c>
      <c r="Q158" s="209">
        <v>100000000</v>
      </c>
      <c r="R158" s="209">
        <v>100000000</v>
      </c>
      <c r="S158" s="209">
        <v>100000000</v>
      </c>
      <c r="T158" s="209">
        <v>100000000</v>
      </c>
      <c r="U158" s="209">
        <v>100000000</v>
      </c>
      <c r="V158" s="209">
        <v>100000000</v>
      </c>
      <c r="W158" s="209">
        <v>100000000</v>
      </c>
      <c r="X158" s="209">
        <v>100000000</v>
      </c>
      <c r="Y158" s="209">
        <v>100000000</v>
      </c>
      <c r="Z158" s="209">
        <v>100000000</v>
      </c>
      <c r="AA158" s="209">
        <v>100000000</v>
      </c>
      <c r="AB158" s="209">
        <v>100000000</v>
      </c>
      <c r="AC158" s="209">
        <v>100000000</v>
      </c>
      <c r="AD158" s="209">
        <v>100000000</v>
      </c>
      <c r="AE158" s="209">
        <v>100000000</v>
      </c>
      <c r="AF158" s="220">
        <v>100000000</v>
      </c>
      <c r="AG158" s="436">
        <v>1</v>
      </c>
      <c r="AI158" s="174"/>
    </row>
    <row r="159" spans="1:35">
      <c r="A159" s="215" t="s">
        <v>944</v>
      </c>
      <c r="B159" s="232" t="s">
        <v>941</v>
      </c>
      <c r="C159" s="232">
        <v>2080</v>
      </c>
      <c r="D159" s="232" t="s">
        <v>945</v>
      </c>
      <c r="E159" s="209">
        <v>100000000</v>
      </c>
      <c r="F159" s="209">
        <v>100000000</v>
      </c>
      <c r="G159" s="209">
        <v>100000000</v>
      </c>
      <c r="H159" s="209">
        <v>100000000</v>
      </c>
      <c r="I159" s="209">
        <v>100000000</v>
      </c>
      <c r="J159" s="209">
        <v>100000000</v>
      </c>
      <c r="K159" s="209">
        <v>100000000</v>
      </c>
      <c r="L159" s="209">
        <v>100000000</v>
      </c>
      <c r="M159" s="209">
        <v>100000000</v>
      </c>
      <c r="N159" s="209">
        <v>100000000</v>
      </c>
      <c r="O159" s="209">
        <v>100000000</v>
      </c>
      <c r="P159" s="209">
        <v>100000000</v>
      </c>
      <c r="Q159" s="209">
        <v>100000000</v>
      </c>
      <c r="R159" s="209">
        <v>100000000</v>
      </c>
      <c r="S159" s="209">
        <v>100000000</v>
      </c>
      <c r="T159" s="209">
        <v>100000000</v>
      </c>
      <c r="U159" s="209">
        <v>100000000</v>
      </c>
      <c r="V159" s="209">
        <v>100000000</v>
      </c>
      <c r="W159" s="209">
        <v>100000000</v>
      </c>
      <c r="X159" s="209">
        <v>100000000</v>
      </c>
      <c r="Y159" s="209">
        <v>100000000</v>
      </c>
      <c r="Z159" s="209">
        <v>100000000</v>
      </c>
      <c r="AA159" s="209">
        <v>100000000</v>
      </c>
      <c r="AB159" s="209">
        <v>100000000</v>
      </c>
      <c r="AC159" s="209">
        <v>100000000</v>
      </c>
      <c r="AD159" s="209">
        <v>100000000</v>
      </c>
      <c r="AE159" s="209">
        <v>100000000</v>
      </c>
      <c r="AF159" s="220">
        <v>100000000</v>
      </c>
      <c r="AG159" s="436">
        <v>1</v>
      </c>
      <c r="AI159" s="174"/>
    </row>
    <row r="160" spans="1:35">
      <c r="A160" s="215" t="s">
        <v>944</v>
      </c>
      <c r="B160" s="232" t="s">
        <v>941</v>
      </c>
      <c r="C160" s="232">
        <v>2090</v>
      </c>
      <c r="D160" s="232" t="s">
        <v>945</v>
      </c>
      <c r="E160" s="209">
        <v>100000000</v>
      </c>
      <c r="F160" s="209">
        <v>100000000</v>
      </c>
      <c r="G160" s="209">
        <v>100000000</v>
      </c>
      <c r="H160" s="209">
        <v>100000000</v>
      </c>
      <c r="I160" s="209">
        <v>100000000</v>
      </c>
      <c r="J160" s="209">
        <v>100000000</v>
      </c>
      <c r="K160" s="209">
        <v>100000000</v>
      </c>
      <c r="L160" s="209">
        <v>100000000</v>
      </c>
      <c r="M160" s="209">
        <v>100000000</v>
      </c>
      <c r="N160" s="209">
        <v>100000000</v>
      </c>
      <c r="O160" s="209">
        <v>100000000</v>
      </c>
      <c r="P160" s="209">
        <v>100000000</v>
      </c>
      <c r="Q160" s="209">
        <v>100000000</v>
      </c>
      <c r="R160" s="209">
        <v>100000000</v>
      </c>
      <c r="S160" s="209">
        <v>100000000</v>
      </c>
      <c r="T160" s="209">
        <v>100000000</v>
      </c>
      <c r="U160" s="209">
        <v>100000000</v>
      </c>
      <c r="V160" s="209">
        <v>100000000</v>
      </c>
      <c r="W160" s="209">
        <v>100000000</v>
      </c>
      <c r="X160" s="209">
        <v>100000000</v>
      </c>
      <c r="Y160" s="209">
        <v>100000000</v>
      </c>
      <c r="Z160" s="209">
        <v>100000000</v>
      </c>
      <c r="AA160" s="209">
        <v>100000000</v>
      </c>
      <c r="AB160" s="209">
        <v>100000000</v>
      </c>
      <c r="AC160" s="209">
        <v>100000000</v>
      </c>
      <c r="AD160" s="209">
        <v>100000000</v>
      </c>
      <c r="AE160" s="209">
        <v>100000000</v>
      </c>
      <c r="AF160" s="220">
        <v>100000000</v>
      </c>
      <c r="AG160" s="436">
        <v>1</v>
      </c>
      <c r="AI160" s="174"/>
    </row>
    <row r="161" spans="1:35" ht="16.2" thickBot="1">
      <c r="A161" s="449" t="s">
        <v>944</v>
      </c>
      <c r="B161" s="450" t="s">
        <v>941</v>
      </c>
      <c r="C161" s="450">
        <v>2100</v>
      </c>
      <c r="D161" s="450" t="s">
        <v>945</v>
      </c>
      <c r="E161" s="212">
        <v>100000000</v>
      </c>
      <c r="F161" s="212">
        <v>100000000</v>
      </c>
      <c r="G161" s="212">
        <v>100000000</v>
      </c>
      <c r="H161" s="212">
        <v>100000000</v>
      </c>
      <c r="I161" s="212">
        <v>100000000</v>
      </c>
      <c r="J161" s="212">
        <v>100000000</v>
      </c>
      <c r="K161" s="212">
        <v>100000000</v>
      </c>
      <c r="L161" s="212">
        <v>100000000</v>
      </c>
      <c r="M161" s="212">
        <v>100000000</v>
      </c>
      <c r="N161" s="212">
        <v>100000000</v>
      </c>
      <c r="O161" s="212">
        <v>100000000</v>
      </c>
      <c r="P161" s="212">
        <v>100000000</v>
      </c>
      <c r="Q161" s="212">
        <v>100000000</v>
      </c>
      <c r="R161" s="212">
        <v>100000000</v>
      </c>
      <c r="S161" s="212">
        <v>100000000</v>
      </c>
      <c r="T161" s="212">
        <v>100000000</v>
      </c>
      <c r="U161" s="212">
        <v>100000000</v>
      </c>
      <c r="V161" s="212">
        <v>100000000</v>
      </c>
      <c r="W161" s="212">
        <v>100000000</v>
      </c>
      <c r="X161" s="212">
        <v>100000000</v>
      </c>
      <c r="Y161" s="212">
        <v>100000000</v>
      </c>
      <c r="Z161" s="212">
        <v>100000000</v>
      </c>
      <c r="AA161" s="212">
        <v>100000000</v>
      </c>
      <c r="AB161" s="212">
        <v>100000000</v>
      </c>
      <c r="AC161" s="212">
        <v>100000000</v>
      </c>
      <c r="AD161" s="212">
        <v>100000000</v>
      </c>
      <c r="AE161" s="212">
        <v>100000000</v>
      </c>
      <c r="AF161" s="451">
        <v>100000000</v>
      </c>
      <c r="AG161" s="452">
        <v>1</v>
      </c>
      <c r="AI161" s="174"/>
    </row>
    <row r="162" spans="1:35">
      <c r="A162" s="215" t="s">
        <v>946</v>
      </c>
      <c r="B162" s="232" t="s">
        <v>938</v>
      </c>
      <c r="C162" s="232">
        <v>2019</v>
      </c>
      <c r="D162" s="232" t="s">
        <v>945</v>
      </c>
      <c r="E162" s="209">
        <v>80</v>
      </c>
      <c r="F162" s="209">
        <v>0</v>
      </c>
      <c r="G162" s="209">
        <v>0</v>
      </c>
      <c r="H162" s="209">
        <v>0</v>
      </c>
      <c r="I162" s="209">
        <v>4399</v>
      </c>
      <c r="J162" s="209">
        <v>0</v>
      </c>
      <c r="K162" s="209">
        <v>0</v>
      </c>
      <c r="L162" s="209">
        <v>0</v>
      </c>
      <c r="M162" s="209">
        <v>1090000</v>
      </c>
      <c r="N162" s="209">
        <v>40000</v>
      </c>
      <c r="O162" s="209">
        <v>0</v>
      </c>
      <c r="P162" s="209">
        <v>100000</v>
      </c>
      <c r="Q162" s="209">
        <v>0</v>
      </c>
      <c r="R162" s="209">
        <v>37685</v>
      </c>
      <c r="S162" s="209">
        <v>60073</v>
      </c>
      <c r="T162" s="209">
        <v>116469</v>
      </c>
      <c r="U162" s="209">
        <v>85801</v>
      </c>
      <c r="V162" s="209">
        <v>291</v>
      </c>
      <c r="W162" s="209">
        <v>418</v>
      </c>
      <c r="X162" s="209">
        <v>375.5</v>
      </c>
      <c r="Y162" s="209">
        <v>11901</v>
      </c>
      <c r="Z162" s="209">
        <v>0</v>
      </c>
      <c r="AA162" s="209">
        <v>0</v>
      </c>
      <c r="AB162" s="209">
        <v>0</v>
      </c>
      <c r="AC162" s="209">
        <v>0</v>
      </c>
      <c r="AD162" s="209">
        <v>0</v>
      </c>
      <c r="AE162" s="209">
        <v>375.5</v>
      </c>
      <c r="AF162" s="220">
        <v>1400000</v>
      </c>
      <c r="AG162" s="436">
        <v>1</v>
      </c>
    </row>
    <row r="163" spans="1:35">
      <c r="A163" s="215" t="s">
        <v>946</v>
      </c>
      <c r="B163" s="232" t="s">
        <v>938</v>
      </c>
      <c r="C163">
        <v>2020</v>
      </c>
      <c r="D163" s="232" t="s">
        <v>945</v>
      </c>
      <c r="E163" s="209">
        <v>80</v>
      </c>
      <c r="F163" s="209">
        <v>0</v>
      </c>
      <c r="G163" s="209">
        <v>0</v>
      </c>
      <c r="H163" s="209">
        <v>0</v>
      </c>
      <c r="I163" s="209">
        <v>4399</v>
      </c>
      <c r="J163" s="209">
        <v>0</v>
      </c>
      <c r="K163" s="209">
        <v>0</v>
      </c>
      <c r="L163" s="209">
        <v>0</v>
      </c>
      <c r="M163" s="209">
        <v>1090000</v>
      </c>
      <c r="N163" s="209">
        <v>40000</v>
      </c>
      <c r="O163" s="209">
        <v>0</v>
      </c>
      <c r="P163" s="209">
        <v>100000</v>
      </c>
      <c r="Q163" s="209">
        <v>0</v>
      </c>
      <c r="R163" s="209">
        <v>37685</v>
      </c>
      <c r="S163" s="209">
        <v>60073</v>
      </c>
      <c r="T163" s="209">
        <v>116469</v>
      </c>
      <c r="U163" s="209">
        <v>85801</v>
      </c>
      <c r="V163" s="209">
        <v>291</v>
      </c>
      <c r="W163" s="209">
        <v>418</v>
      </c>
      <c r="X163" s="209">
        <v>375.5</v>
      </c>
      <c r="Y163" s="209">
        <v>11901</v>
      </c>
      <c r="Z163" s="209">
        <v>0</v>
      </c>
      <c r="AA163" s="209">
        <v>0</v>
      </c>
      <c r="AB163" s="209">
        <v>0</v>
      </c>
      <c r="AC163" s="209">
        <v>0</v>
      </c>
      <c r="AD163" s="209">
        <v>0</v>
      </c>
      <c r="AE163" s="209">
        <v>375.5</v>
      </c>
      <c r="AF163" s="220">
        <v>1400000</v>
      </c>
      <c r="AG163" s="436">
        <v>1</v>
      </c>
      <c r="AI163" s="174"/>
    </row>
    <row r="164" spans="1:35">
      <c r="A164" s="215" t="s">
        <v>946</v>
      </c>
      <c r="B164" s="232" t="s">
        <v>938</v>
      </c>
      <c r="C164" s="232">
        <v>2025</v>
      </c>
      <c r="D164" s="232" t="s">
        <v>945</v>
      </c>
      <c r="E164" s="209">
        <v>80</v>
      </c>
      <c r="F164" s="209">
        <v>0</v>
      </c>
      <c r="G164" s="209">
        <v>0</v>
      </c>
      <c r="H164" s="209">
        <v>0</v>
      </c>
      <c r="I164" s="209">
        <v>4399</v>
      </c>
      <c r="J164" s="209">
        <v>0</v>
      </c>
      <c r="K164" s="209">
        <v>0</v>
      </c>
      <c r="L164" s="209">
        <v>0</v>
      </c>
      <c r="M164" s="209">
        <v>1090000</v>
      </c>
      <c r="N164" s="209">
        <v>40000</v>
      </c>
      <c r="O164" s="209">
        <v>0</v>
      </c>
      <c r="P164" s="209">
        <v>100000</v>
      </c>
      <c r="Q164" s="209">
        <v>0</v>
      </c>
      <c r="R164" s="209">
        <v>37685</v>
      </c>
      <c r="S164" s="209">
        <v>60073</v>
      </c>
      <c r="T164" s="209">
        <v>116469</v>
      </c>
      <c r="U164" s="209">
        <v>85801</v>
      </c>
      <c r="V164" s="209">
        <v>291</v>
      </c>
      <c r="W164" s="209">
        <v>418</v>
      </c>
      <c r="X164" s="209">
        <v>375.5</v>
      </c>
      <c r="Y164" s="209">
        <v>11901</v>
      </c>
      <c r="Z164" s="209">
        <v>0</v>
      </c>
      <c r="AA164" s="209">
        <v>0</v>
      </c>
      <c r="AB164" s="209">
        <v>0</v>
      </c>
      <c r="AC164" s="209">
        <v>0</v>
      </c>
      <c r="AD164" s="209">
        <v>0</v>
      </c>
      <c r="AE164" s="209">
        <v>375.5</v>
      </c>
      <c r="AF164" s="220">
        <v>1400000</v>
      </c>
      <c r="AG164" s="436">
        <v>1</v>
      </c>
      <c r="AI164" s="174"/>
    </row>
    <row r="165" spans="1:35">
      <c r="A165" s="215" t="s">
        <v>946</v>
      </c>
      <c r="B165" s="232" t="s">
        <v>938</v>
      </c>
      <c r="C165" s="232">
        <v>2030</v>
      </c>
      <c r="D165" s="232" t="s">
        <v>945</v>
      </c>
      <c r="E165" s="209">
        <v>80</v>
      </c>
      <c r="F165" s="209">
        <v>0</v>
      </c>
      <c r="G165" s="209">
        <v>0</v>
      </c>
      <c r="H165" s="209">
        <v>0</v>
      </c>
      <c r="I165" s="209">
        <v>4399</v>
      </c>
      <c r="J165" s="209">
        <v>0</v>
      </c>
      <c r="K165" s="209">
        <v>0</v>
      </c>
      <c r="L165" s="209">
        <v>0</v>
      </c>
      <c r="M165" s="209">
        <v>1090000</v>
      </c>
      <c r="N165" s="209">
        <v>40000</v>
      </c>
      <c r="O165" s="209">
        <v>0</v>
      </c>
      <c r="P165" s="209">
        <v>100000</v>
      </c>
      <c r="Q165" s="209">
        <v>0</v>
      </c>
      <c r="R165" s="209">
        <v>37685</v>
      </c>
      <c r="S165" s="209">
        <v>60073</v>
      </c>
      <c r="T165" s="209">
        <v>116469</v>
      </c>
      <c r="U165" s="209">
        <v>85801</v>
      </c>
      <c r="V165" s="209">
        <v>291</v>
      </c>
      <c r="W165" s="209">
        <v>418</v>
      </c>
      <c r="X165" s="209">
        <v>375.5</v>
      </c>
      <c r="Y165" s="209">
        <v>11901</v>
      </c>
      <c r="Z165" s="209">
        <v>0</v>
      </c>
      <c r="AA165" s="209">
        <v>0</v>
      </c>
      <c r="AB165" s="209">
        <v>0</v>
      </c>
      <c r="AC165" s="209">
        <v>0</v>
      </c>
      <c r="AD165" s="209">
        <v>0</v>
      </c>
      <c r="AE165" s="209">
        <v>375.5</v>
      </c>
      <c r="AF165" s="220">
        <v>1400000</v>
      </c>
      <c r="AG165" s="436">
        <v>1</v>
      </c>
      <c r="AI165" s="174"/>
    </row>
    <row r="166" spans="1:35">
      <c r="A166" s="215" t="s">
        <v>946</v>
      </c>
      <c r="B166" s="232" t="s">
        <v>938</v>
      </c>
      <c r="C166" s="232">
        <v>2035</v>
      </c>
      <c r="D166" s="232" t="s">
        <v>945</v>
      </c>
      <c r="E166" s="209">
        <v>80</v>
      </c>
      <c r="F166" s="209">
        <v>0</v>
      </c>
      <c r="G166" s="209">
        <v>0</v>
      </c>
      <c r="H166" s="209">
        <v>0</v>
      </c>
      <c r="I166" s="209">
        <v>4399</v>
      </c>
      <c r="J166" s="209">
        <v>0</v>
      </c>
      <c r="K166" s="209">
        <v>0</v>
      </c>
      <c r="L166" s="209">
        <v>0</v>
      </c>
      <c r="M166" s="209">
        <v>1090000</v>
      </c>
      <c r="N166" s="209">
        <v>40000</v>
      </c>
      <c r="O166" s="209">
        <v>0</v>
      </c>
      <c r="P166" s="209">
        <v>100000</v>
      </c>
      <c r="Q166" s="209">
        <v>0</v>
      </c>
      <c r="R166" s="209">
        <v>37685</v>
      </c>
      <c r="S166" s="209">
        <v>60073</v>
      </c>
      <c r="T166" s="209">
        <v>116469</v>
      </c>
      <c r="U166" s="209">
        <v>85801</v>
      </c>
      <c r="V166" s="209">
        <v>291</v>
      </c>
      <c r="W166" s="209">
        <v>418</v>
      </c>
      <c r="X166" s="209">
        <v>375.5</v>
      </c>
      <c r="Y166" s="209">
        <v>11901</v>
      </c>
      <c r="Z166" s="209">
        <v>0</v>
      </c>
      <c r="AA166" s="209">
        <v>0</v>
      </c>
      <c r="AB166" s="209">
        <v>0</v>
      </c>
      <c r="AC166" s="209">
        <v>0</v>
      </c>
      <c r="AD166" s="209">
        <v>0</v>
      </c>
      <c r="AE166" s="209">
        <v>375.5</v>
      </c>
      <c r="AF166" s="220">
        <v>1400000</v>
      </c>
      <c r="AG166" s="436">
        <v>1</v>
      </c>
      <c r="AI166" s="174"/>
    </row>
    <row r="167" spans="1:35">
      <c r="A167" s="215" t="s">
        <v>946</v>
      </c>
      <c r="B167" s="232" t="s">
        <v>938</v>
      </c>
      <c r="C167" s="232">
        <v>2040</v>
      </c>
      <c r="D167" s="232" t="s">
        <v>945</v>
      </c>
      <c r="E167" s="209">
        <v>80</v>
      </c>
      <c r="F167" s="209">
        <v>0</v>
      </c>
      <c r="G167" s="209">
        <v>0</v>
      </c>
      <c r="H167" s="209">
        <v>0</v>
      </c>
      <c r="I167" s="209">
        <v>4399</v>
      </c>
      <c r="J167" s="209">
        <v>0</v>
      </c>
      <c r="K167" s="209">
        <v>0</v>
      </c>
      <c r="L167" s="209">
        <v>0</v>
      </c>
      <c r="M167" s="209">
        <v>1090000</v>
      </c>
      <c r="N167" s="209">
        <v>40000</v>
      </c>
      <c r="O167" s="209">
        <v>0</v>
      </c>
      <c r="P167" s="209">
        <v>100000</v>
      </c>
      <c r="Q167" s="209">
        <v>0</v>
      </c>
      <c r="R167" s="209">
        <v>37685</v>
      </c>
      <c r="S167" s="209">
        <v>60073</v>
      </c>
      <c r="T167" s="209">
        <v>116469</v>
      </c>
      <c r="U167" s="209">
        <v>85801</v>
      </c>
      <c r="V167" s="209">
        <v>291</v>
      </c>
      <c r="W167" s="209">
        <v>418</v>
      </c>
      <c r="X167" s="209">
        <v>375.5</v>
      </c>
      <c r="Y167" s="209">
        <v>11901</v>
      </c>
      <c r="Z167" s="209">
        <v>0</v>
      </c>
      <c r="AA167" s="209">
        <v>0</v>
      </c>
      <c r="AB167" s="209">
        <v>0</v>
      </c>
      <c r="AC167" s="209">
        <v>0</v>
      </c>
      <c r="AD167" s="209">
        <v>0</v>
      </c>
      <c r="AE167" s="209">
        <v>375.5</v>
      </c>
      <c r="AF167" s="220">
        <v>1400000</v>
      </c>
      <c r="AG167" s="436">
        <v>1</v>
      </c>
      <c r="AI167" s="174"/>
    </row>
    <row r="168" spans="1:35">
      <c r="A168" s="215" t="s">
        <v>946</v>
      </c>
      <c r="B168" s="232" t="s">
        <v>938</v>
      </c>
      <c r="C168" s="232">
        <v>2045</v>
      </c>
      <c r="D168" s="232" t="s">
        <v>945</v>
      </c>
      <c r="E168" s="209">
        <v>80</v>
      </c>
      <c r="F168" s="209">
        <v>0</v>
      </c>
      <c r="G168" s="209">
        <v>0</v>
      </c>
      <c r="H168" s="209">
        <v>0</v>
      </c>
      <c r="I168" s="209">
        <v>4399</v>
      </c>
      <c r="J168" s="209">
        <v>0</v>
      </c>
      <c r="K168" s="209">
        <v>0</v>
      </c>
      <c r="L168" s="209">
        <v>0</v>
      </c>
      <c r="M168" s="209">
        <v>1090000</v>
      </c>
      <c r="N168" s="209">
        <v>40000</v>
      </c>
      <c r="O168" s="209">
        <v>0</v>
      </c>
      <c r="P168" s="209">
        <v>100000</v>
      </c>
      <c r="Q168" s="209">
        <v>0</v>
      </c>
      <c r="R168" s="209">
        <v>37685</v>
      </c>
      <c r="S168" s="209">
        <v>60073</v>
      </c>
      <c r="T168" s="209">
        <v>116469</v>
      </c>
      <c r="U168" s="209">
        <v>85801</v>
      </c>
      <c r="V168" s="209">
        <v>291</v>
      </c>
      <c r="W168" s="209">
        <v>418</v>
      </c>
      <c r="X168" s="209">
        <v>375.5</v>
      </c>
      <c r="Y168" s="209">
        <v>11901</v>
      </c>
      <c r="Z168" s="209">
        <v>0</v>
      </c>
      <c r="AA168" s="209">
        <v>0</v>
      </c>
      <c r="AB168" s="209">
        <v>0</v>
      </c>
      <c r="AC168" s="209">
        <v>0</v>
      </c>
      <c r="AD168" s="209">
        <v>0</v>
      </c>
      <c r="AE168" s="209">
        <v>375.5</v>
      </c>
      <c r="AF168" s="220">
        <v>1400000</v>
      </c>
      <c r="AG168" s="436">
        <v>1</v>
      </c>
      <c r="AI168" s="174"/>
    </row>
    <row r="169" spans="1:35">
      <c r="A169" s="215" t="s">
        <v>946</v>
      </c>
      <c r="B169" s="232" t="s">
        <v>938</v>
      </c>
      <c r="C169" s="232">
        <v>2050</v>
      </c>
      <c r="D169" s="232" t="s">
        <v>945</v>
      </c>
      <c r="E169" s="209">
        <v>80</v>
      </c>
      <c r="F169" s="209">
        <v>0</v>
      </c>
      <c r="G169" s="209">
        <v>0</v>
      </c>
      <c r="H169" s="209">
        <v>0</v>
      </c>
      <c r="I169" s="209">
        <v>4399</v>
      </c>
      <c r="J169" s="209">
        <v>0</v>
      </c>
      <c r="K169" s="209">
        <v>0</v>
      </c>
      <c r="L169" s="209">
        <v>0</v>
      </c>
      <c r="M169" s="209">
        <v>1090000</v>
      </c>
      <c r="N169" s="209">
        <v>40000</v>
      </c>
      <c r="O169" s="209">
        <v>0</v>
      </c>
      <c r="P169" s="209">
        <v>100000</v>
      </c>
      <c r="Q169" s="209">
        <v>0</v>
      </c>
      <c r="R169" s="209">
        <v>37685</v>
      </c>
      <c r="S169" s="209">
        <v>60073</v>
      </c>
      <c r="T169" s="209">
        <v>116469</v>
      </c>
      <c r="U169" s="209">
        <v>85801</v>
      </c>
      <c r="V169" s="209">
        <v>291</v>
      </c>
      <c r="W169" s="209">
        <v>418</v>
      </c>
      <c r="X169" s="209">
        <v>375.5</v>
      </c>
      <c r="Y169" s="209">
        <v>11901</v>
      </c>
      <c r="Z169" s="209">
        <v>0</v>
      </c>
      <c r="AA169" s="209">
        <v>0</v>
      </c>
      <c r="AB169" s="209">
        <v>0</v>
      </c>
      <c r="AC169" s="209">
        <v>0</v>
      </c>
      <c r="AD169" s="209">
        <v>0</v>
      </c>
      <c r="AE169" s="209">
        <v>375.5</v>
      </c>
      <c r="AF169" s="220">
        <v>1400000</v>
      </c>
      <c r="AG169" s="436">
        <v>1</v>
      </c>
      <c r="AI169" s="174"/>
    </row>
    <row r="170" spans="1:35">
      <c r="A170" s="215" t="s">
        <v>946</v>
      </c>
      <c r="B170" s="232" t="s">
        <v>938</v>
      </c>
      <c r="C170" s="232">
        <v>2060</v>
      </c>
      <c r="D170" s="232" t="s">
        <v>945</v>
      </c>
      <c r="E170" s="209">
        <v>80</v>
      </c>
      <c r="F170" s="209">
        <v>0</v>
      </c>
      <c r="G170" s="209">
        <v>0</v>
      </c>
      <c r="H170" s="209">
        <v>0</v>
      </c>
      <c r="I170" s="209">
        <v>4399</v>
      </c>
      <c r="J170" s="209">
        <v>0</v>
      </c>
      <c r="K170" s="209">
        <v>0</v>
      </c>
      <c r="L170" s="209">
        <v>0</v>
      </c>
      <c r="M170" s="209">
        <v>1090000</v>
      </c>
      <c r="N170" s="209">
        <v>40000</v>
      </c>
      <c r="O170" s="209">
        <v>0</v>
      </c>
      <c r="P170" s="209">
        <v>100000</v>
      </c>
      <c r="Q170" s="209">
        <v>0</v>
      </c>
      <c r="R170" s="209">
        <v>37685</v>
      </c>
      <c r="S170" s="209">
        <v>60073</v>
      </c>
      <c r="T170" s="209">
        <v>116469</v>
      </c>
      <c r="U170" s="209">
        <v>85801</v>
      </c>
      <c r="V170" s="209">
        <v>291</v>
      </c>
      <c r="W170" s="209">
        <v>418</v>
      </c>
      <c r="X170" s="209">
        <v>375.5</v>
      </c>
      <c r="Y170" s="209">
        <v>11901</v>
      </c>
      <c r="Z170" s="209">
        <v>0</v>
      </c>
      <c r="AA170" s="209">
        <v>0</v>
      </c>
      <c r="AB170" s="209">
        <v>0</v>
      </c>
      <c r="AC170" s="209">
        <v>0</v>
      </c>
      <c r="AD170" s="209">
        <v>0</v>
      </c>
      <c r="AE170" s="209">
        <v>375.5</v>
      </c>
      <c r="AF170" s="220">
        <v>1400000</v>
      </c>
      <c r="AG170" s="436">
        <v>1</v>
      </c>
      <c r="AI170" s="174"/>
    </row>
    <row r="171" spans="1:35">
      <c r="A171" s="215" t="s">
        <v>946</v>
      </c>
      <c r="B171" s="232" t="s">
        <v>938</v>
      </c>
      <c r="C171" s="232">
        <v>2070</v>
      </c>
      <c r="D171" s="232" t="s">
        <v>945</v>
      </c>
      <c r="E171" s="209">
        <v>80</v>
      </c>
      <c r="F171" s="209">
        <v>0</v>
      </c>
      <c r="G171" s="209">
        <v>0</v>
      </c>
      <c r="H171" s="209">
        <v>0</v>
      </c>
      <c r="I171" s="209">
        <v>4399</v>
      </c>
      <c r="J171" s="209">
        <v>0</v>
      </c>
      <c r="K171" s="209">
        <v>0</v>
      </c>
      <c r="L171" s="209">
        <v>0</v>
      </c>
      <c r="M171" s="209">
        <v>1090000</v>
      </c>
      <c r="N171" s="209">
        <v>40000</v>
      </c>
      <c r="O171" s="209">
        <v>0</v>
      </c>
      <c r="P171" s="209">
        <v>100000</v>
      </c>
      <c r="Q171" s="209">
        <v>0</v>
      </c>
      <c r="R171" s="209">
        <v>37685</v>
      </c>
      <c r="S171" s="209">
        <v>60073</v>
      </c>
      <c r="T171" s="209">
        <v>116469</v>
      </c>
      <c r="U171" s="209">
        <v>85801</v>
      </c>
      <c r="V171" s="209">
        <v>291</v>
      </c>
      <c r="W171" s="209">
        <v>418</v>
      </c>
      <c r="X171" s="209">
        <v>375.5</v>
      </c>
      <c r="Y171" s="209">
        <v>11901</v>
      </c>
      <c r="Z171" s="209">
        <v>0</v>
      </c>
      <c r="AA171" s="209">
        <v>0</v>
      </c>
      <c r="AB171" s="209">
        <v>0</v>
      </c>
      <c r="AC171" s="209">
        <v>0</v>
      </c>
      <c r="AD171" s="209">
        <v>0</v>
      </c>
      <c r="AE171" s="209">
        <v>375.5</v>
      </c>
      <c r="AF171" s="220">
        <v>1400000</v>
      </c>
      <c r="AG171" s="436">
        <v>1</v>
      </c>
      <c r="AI171" s="174"/>
    </row>
    <row r="172" spans="1:35">
      <c r="A172" s="215" t="s">
        <v>946</v>
      </c>
      <c r="B172" s="232" t="s">
        <v>938</v>
      </c>
      <c r="C172" s="232">
        <v>2080</v>
      </c>
      <c r="D172" s="232" t="s">
        <v>945</v>
      </c>
      <c r="E172" s="209">
        <v>80</v>
      </c>
      <c r="F172" s="209">
        <v>0</v>
      </c>
      <c r="G172" s="209">
        <v>0</v>
      </c>
      <c r="H172" s="209">
        <v>0</v>
      </c>
      <c r="I172" s="209">
        <v>4399</v>
      </c>
      <c r="J172" s="209">
        <v>0</v>
      </c>
      <c r="K172" s="209">
        <v>0</v>
      </c>
      <c r="L172" s="209">
        <v>0</v>
      </c>
      <c r="M172" s="209">
        <v>1090000</v>
      </c>
      <c r="N172" s="209">
        <v>40000</v>
      </c>
      <c r="O172" s="209">
        <v>0</v>
      </c>
      <c r="P172" s="209">
        <v>100000</v>
      </c>
      <c r="Q172" s="209">
        <v>0</v>
      </c>
      <c r="R172" s="209">
        <v>37685</v>
      </c>
      <c r="S172" s="209">
        <v>60073</v>
      </c>
      <c r="T172" s="209">
        <v>116469</v>
      </c>
      <c r="U172" s="209">
        <v>85801</v>
      </c>
      <c r="V172" s="209">
        <v>291</v>
      </c>
      <c r="W172" s="209">
        <v>418</v>
      </c>
      <c r="X172" s="209">
        <v>375.5</v>
      </c>
      <c r="Y172" s="209">
        <v>11901</v>
      </c>
      <c r="Z172" s="209">
        <v>0</v>
      </c>
      <c r="AA172" s="209">
        <v>0</v>
      </c>
      <c r="AB172" s="209">
        <v>0</v>
      </c>
      <c r="AC172" s="209">
        <v>0</v>
      </c>
      <c r="AD172" s="209">
        <v>0</v>
      </c>
      <c r="AE172" s="209">
        <v>375.5</v>
      </c>
      <c r="AF172" s="220">
        <v>1400000</v>
      </c>
      <c r="AG172" s="436">
        <v>1</v>
      </c>
      <c r="AI172" s="174"/>
    </row>
    <row r="173" spans="1:35">
      <c r="A173" s="215" t="s">
        <v>946</v>
      </c>
      <c r="B173" s="232" t="s">
        <v>938</v>
      </c>
      <c r="C173" s="232">
        <v>2090</v>
      </c>
      <c r="D173" s="232" t="s">
        <v>945</v>
      </c>
      <c r="E173" s="209">
        <v>80</v>
      </c>
      <c r="F173" s="209">
        <v>0</v>
      </c>
      <c r="G173" s="209">
        <v>0</v>
      </c>
      <c r="H173" s="209">
        <v>0</v>
      </c>
      <c r="I173" s="209">
        <v>4399</v>
      </c>
      <c r="J173" s="209">
        <v>0</v>
      </c>
      <c r="K173" s="209">
        <v>0</v>
      </c>
      <c r="L173" s="209">
        <v>0</v>
      </c>
      <c r="M173" s="209">
        <v>1090000</v>
      </c>
      <c r="N173" s="209">
        <v>40000</v>
      </c>
      <c r="O173" s="209">
        <v>0</v>
      </c>
      <c r="P173" s="209">
        <v>100000</v>
      </c>
      <c r="Q173" s="209">
        <v>0</v>
      </c>
      <c r="R173" s="209">
        <v>37685</v>
      </c>
      <c r="S173" s="209">
        <v>60073</v>
      </c>
      <c r="T173" s="209">
        <v>116469</v>
      </c>
      <c r="U173" s="209">
        <v>85801</v>
      </c>
      <c r="V173" s="209">
        <v>291</v>
      </c>
      <c r="W173" s="209">
        <v>418</v>
      </c>
      <c r="X173" s="209">
        <v>375.5</v>
      </c>
      <c r="Y173" s="209">
        <v>11901</v>
      </c>
      <c r="Z173" s="209">
        <v>0</v>
      </c>
      <c r="AA173" s="209">
        <v>0</v>
      </c>
      <c r="AB173" s="209">
        <v>0</v>
      </c>
      <c r="AC173" s="209">
        <v>0</v>
      </c>
      <c r="AD173" s="209">
        <v>0</v>
      </c>
      <c r="AE173" s="209">
        <v>375.5</v>
      </c>
      <c r="AF173" s="220">
        <v>1400000</v>
      </c>
      <c r="AG173" s="436">
        <v>1</v>
      </c>
      <c r="AI173" s="174"/>
    </row>
    <row r="174" spans="1:35">
      <c r="A174" s="229" t="s">
        <v>946</v>
      </c>
      <c r="B174" s="235" t="s">
        <v>938</v>
      </c>
      <c r="C174" s="235">
        <v>2100</v>
      </c>
      <c r="D174" s="235" t="s">
        <v>945</v>
      </c>
      <c r="E174" s="226">
        <v>80</v>
      </c>
      <c r="F174" s="226">
        <v>0</v>
      </c>
      <c r="G174" s="226">
        <v>0</v>
      </c>
      <c r="H174" s="226">
        <v>0</v>
      </c>
      <c r="I174" s="226">
        <v>4399</v>
      </c>
      <c r="J174" s="226">
        <v>0</v>
      </c>
      <c r="K174" s="226">
        <v>0</v>
      </c>
      <c r="L174" s="226">
        <v>0</v>
      </c>
      <c r="M174" s="226">
        <v>1090000</v>
      </c>
      <c r="N174" s="226">
        <v>40000</v>
      </c>
      <c r="O174" s="226">
        <v>0</v>
      </c>
      <c r="P174" s="226">
        <v>100000</v>
      </c>
      <c r="Q174" s="226">
        <v>0</v>
      </c>
      <c r="R174" s="226">
        <v>37685</v>
      </c>
      <c r="S174" s="226">
        <v>60073</v>
      </c>
      <c r="T174" s="226">
        <v>116469</v>
      </c>
      <c r="U174" s="226">
        <v>85801</v>
      </c>
      <c r="V174" s="226">
        <v>291</v>
      </c>
      <c r="W174" s="226">
        <v>418</v>
      </c>
      <c r="X174" s="226">
        <v>375.5</v>
      </c>
      <c r="Y174" s="226">
        <v>11901</v>
      </c>
      <c r="Z174" s="226">
        <v>0</v>
      </c>
      <c r="AA174" s="226">
        <v>0</v>
      </c>
      <c r="AB174" s="226">
        <v>0</v>
      </c>
      <c r="AC174" s="226">
        <v>0</v>
      </c>
      <c r="AD174" s="226">
        <v>0</v>
      </c>
      <c r="AE174" s="226">
        <v>375.5</v>
      </c>
      <c r="AF174" s="224">
        <v>1400000</v>
      </c>
      <c r="AG174" s="437">
        <v>1</v>
      </c>
      <c r="AI174" s="174"/>
    </row>
    <row r="175" spans="1:35">
      <c r="A175" s="215" t="s">
        <v>946</v>
      </c>
      <c r="B175" s="232" t="s">
        <v>940</v>
      </c>
      <c r="C175" s="232">
        <v>2019</v>
      </c>
      <c r="D175" s="232" t="s">
        <v>945</v>
      </c>
      <c r="E175" s="209">
        <v>0</v>
      </c>
      <c r="F175" s="209">
        <v>0</v>
      </c>
      <c r="G175" s="209">
        <v>0</v>
      </c>
      <c r="H175" s="209">
        <v>0</v>
      </c>
      <c r="I175" s="209">
        <v>0</v>
      </c>
      <c r="J175" s="209">
        <v>0</v>
      </c>
      <c r="K175" s="209">
        <v>0</v>
      </c>
      <c r="L175" s="209">
        <v>0</v>
      </c>
      <c r="M175" s="209">
        <v>0</v>
      </c>
      <c r="N175" s="209">
        <v>0</v>
      </c>
      <c r="O175" s="209">
        <v>0</v>
      </c>
      <c r="P175" s="209">
        <v>0</v>
      </c>
      <c r="Q175" s="209">
        <v>0</v>
      </c>
      <c r="R175" s="209">
        <v>0</v>
      </c>
      <c r="S175" s="209">
        <v>0</v>
      </c>
      <c r="T175" s="209">
        <v>0</v>
      </c>
      <c r="U175" s="209">
        <v>0</v>
      </c>
      <c r="V175" s="209">
        <v>0</v>
      </c>
      <c r="W175" s="209">
        <v>0</v>
      </c>
      <c r="X175" s="209">
        <v>0</v>
      </c>
      <c r="Y175" s="209">
        <v>0</v>
      </c>
      <c r="Z175" s="209">
        <v>0</v>
      </c>
      <c r="AA175" s="209">
        <v>0</v>
      </c>
      <c r="AB175" s="209">
        <v>0</v>
      </c>
      <c r="AC175" s="209">
        <v>0</v>
      </c>
      <c r="AD175" s="209">
        <v>0</v>
      </c>
      <c r="AE175" s="209">
        <v>0</v>
      </c>
      <c r="AF175" s="220">
        <v>0</v>
      </c>
      <c r="AG175" s="436">
        <v>1</v>
      </c>
    </row>
    <row r="176" spans="1:35">
      <c r="A176" s="215" t="s">
        <v>946</v>
      </c>
      <c r="B176" s="232" t="s">
        <v>940</v>
      </c>
      <c r="C176">
        <v>2020</v>
      </c>
      <c r="D176" s="232" t="s">
        <v>945</v>
      </c>
      <c r="E176" s="209">
        <v>0</v>
      </c>
      <c r="F176" s="209">
        <v>0</v>
      </c>
      <c r="G176" s="209">
        <v>0</v>
      </c>
      <c r="H176" s="209">
        <v>0</v>
      </c>
      <c r="I176" s="209">
        <v>0</v>
      </c>
      <c r="J176" s="209">
        <v>0</v>
      </c>
      <c r="K176" s="209">
        <v>0</v>
      </c>
      <c r="L176" s="209">
        <v>0</v>
      </c>
      <c r="M176" s="209">
        <v>0</v>
      </c>
      <c r="N176" s="209">
        <v>0</v>
      </c>
      <c r="O176" s="209">
        <v>0</v>
      </c>
      <c r="P176" s="209">
        <v>0</v>
      </c>
      <c r="Q176" s="209">
        <v>0</v>
      </c>
      <c r="R176" s="209">
        <v>0</v>
      </c>
      <c r="S176" s="209">
        <v>0</v>
      </c>
      <c r="T176" s="209">
        <v>0</v>
      </c>
      <c r="U176" s="209">
        <v>0</v>
      </c>
      <c r="V176" s="209">
        <v>0</v>
      </c>
      <c r="W176" s="209">
        <v>0</v>
      </c>
      <c r="X176" s="209">
        <v>0</v>
      </c>
      <c r="Y176" s="209">
        <v>0</v>
      </c>
      <c r="Z176" s="209">
        <v>0</v>
      </c>
      <c r="AA176" s="209">
        <v>0</v>
      </c>
      <c r="AB176" s="209">
        <v>0</v>
      </c>
      <c r="AC176" s="209">
        <v>0</v>
      </c>
      <c r="AD176" s="209">
        <v>0</v>
      </c>
      <c r="AE176" s="209">
        <v>0</v>
      </c>
      <c r="AF176" s="220">
        <v>0</v>
      </c>
      <c r="AG176" s="436">
        <v>1</v>
      </c>
      <c r="AI176" s="174"/>
    </row>
    <row r="177" spans="1:35">
      <c r="A177" s="215" t="s">
        <v>946</v>
      </c>
      <c r="B177" s="232" t="s">
        <v>940</v>
      </c>
      <c r="C177" s="232">
        <v>2025</v>
      </c>
      <c r="D177" s="232" t="s">
        <v>945</v>
      </c>
      <c r="E177" s="209">
        <v>0</v>
      </c>
      <c r="F177" s="209">
        <v>0</v>
      </c>
      <c r="G177" s="209">
        <v>0</v>
      </c>
      <c r="H177" s="209">
        <v>0</v>
      </c>
      <c r="I177" s="209">
        <v>0</v>
      </c>
      <c r="J177" s="209">
        <v>0</v>
      </c>
      <c r="K177" s="209">
        <v>0</v>
      </c>
      <c r="L177" s="209">
        <v>0</v>
      </c>
      <c r="M177" s="209">
        <v>0</v>
      </c>
      <c r="N177" s="209">
        <v>0</v>
      </c>
      <c r="O177" s="209">
        <v>0</v>
      </c>
      <c r="P177" s="209">
        <v>0</v>
      </c>
      <c r="Q177" s="209">
        <v>0</v>
      </c>
      <c r="R177" s="209">
        <v>0</v>
      </c>
      <c r="S177" s="209">
        <v>0</v>
      </c>
      <c r="T177" s="209">
        <v>0</v>
      </c>
      <c r="U177" s="209">
        <v>0</v>
      </c>
      <c r="V177" s="209">
        <v>0</v>
      </c>
      <c r="W177" s="209">
        <v>0</v>
      </c>
      <c r="X177" s="209">
        <v>0</v>
      </c>
      <c r="Y177" s="209">
        <v>0</v>
      </c>
      <c r="Z177" s="209">
        <v>0</v>
      </c>
      <c r="AA177" s="209">
        <v>0</v>
      </c>
      <c r="AB177" s="209">
        <v>0</v>
      </c>
      <c r="AC177" s="209">
        <v>0</v>
      </c>
      <c r="AD177" s="209">
        <v>0</v>
      </c>
      <c r="AE177" s="209">
        <v>0</v>
      </c>
      <c r="AF177" s="220">
        <v>0</v>
      </c>
      <c r="AG177" s="436">
        <v>1</v>
      </c>
      <c r="AI177" s="174"/>
    </row>
    <row r="178" spans="1:35">
      <c r="A178" s="215" t="s">
        <v>946</v>
      </c>
      <c r="B178" s="232" t="s">
        <v>940</v>
      </c>
      <c r="C178" s="232">
        <v>2030</v>
      </c>
      <c r="D178" s="232" t="s">
        <v>945</v>
      </c>
      <c r="E178" s="209">
        <v>0</v>
      </c>
      <c r="F178" s="209">
        <v>0</v>
      </c>
      <c r="G178" s="209">
        <v>0</v>
      </c>
      <c r="H178" s="209">
        <v>0</v>
      </c>
      <c r="I178" s="209">
        <v>0</v>
      </c>
      <c r="J178" s="209">
        <v>0</v>
      </c>
      <c r="K178" s="209">
        <v>0</v>
      </c>
      <c r="L178" s="209">
        <v>0</v>
      </c>
      <c r="M178" s="209">
        <v>0</v>
      </c>
      <c r="N178" s="209">
        <v>0</v>
      </c>
      <c r="O178" s="209">
        <v>0</v>
      </c>
      <c r="P178" s="209">
        <v>0</v>
      </c>
      <c r="Q178" s="209">
        <v>0</v>
      </c>
      <c r="R178" s="209">
        <v>0</v>
      </c>
      <c r="S178" s="209">
        <v>0</v>
      </c>
      <c r="T178" s="209">
        <v>0</v>
      </c>
      <c r="U178" s="209">
        <v>0</v>
      </c>
      <c r="V178" s="209">
        <v>0</v>
      </c>
      <c r="W178" s="209">
        <v>0</v>
      </c>
      <c r="X178" s="209">
        <v>0</v>
      </c>
      <c r="Y178" s="209">
        <v>0</v>
      </c>
      <c r="Z178" s="209">
        <v>0</v>
      </c>
      <c r="AA178" s="209">
        <v>0</v>
      </c>
      <c r="AB178" s="209">
        <v>0</v>
      </c>
      <c r="AC178" s="209">
        <v>0</v>
      </c>
      <c r="AD178" s="209">
        <v>0</v>
      </c>
      <c r="AE178" s="209">
        <v>0</v>
      </c>
      <c r="AF178" s="220">
        <v>0</v>
      </c>
      <c r="AG178" s="436">
        <v>1</v>
      </c>
      <c r="AI178" s="174"/>
    </row>
    <row r="179" spans="1:35">
      <c r="A179" s="215" t="s">
        <v>946</v>
      </c>
      <c r="B179" s="232" t="s">
        <v>940</v>
      </c>
      <c r="C179" s="232">
        <v>2035</v>
      </c>
      <c r="D179" s="232" t="s">
        <v>945</v>
      </c>
      <c r="E179" s="209">
        <v>0</v>
      </c>
      <c r="F179" s="209">
        <v>0</v>
      </c>
      <c r="G179" s="209">
        <v>0</v>
      </c>
      <c r="H179" s="209">
        <v>0</v>
      </c>
      <c r="I179" s="209">
        <v>0</v>
      </c>
      <c r="J179" s="209">
        <v>0</v>
      </c>
      <c r="K179" s="209">
        <v>0</v>
      </c>
      <c r="L179" s="209">
        <v>0</v>
      </c>
      <c r="M179" s="209">
        <v>0</v>
      </c>
      <c r="N179" s="209">
        <v>0</v>
      </c>
      <c r="O179" s="209">
        <v>0</v>
      </c>
      <c r="P179" s="209">
        <v>0</v>
      </c>
      <c r="Q179" s="209">
        <v>0</v>
      </c>
      <c r="R179" s="209">
        <v>0</v>
      </c>
      <c r="S179" s="209">
        <v>0</v>
      </c>
      <c r="T179" s="209">
        <v>0</v>
      </c>
      <c r="U179" s="209">
        <v>0</v>
      </c>
      <c r="V179" s="209">
        <v>0</v>
      </c>
      <c r="W179" s="209">
        <v>0</v>
      </c>
      <c r="X179" s="209">
        <v>0</v>
      </c>
      <c r="Y179" s="209">
        <v>0</v>
      </c>
      <c r="Z179" s="209">
        <v>0</v>
      </c>
      <c r="AA179" s="209">
        <v>0</v>
      </c>
      <c r="AB179" s="209">
        <v>0</v>
      </c>
      <c r="AC179" s="209">
        <v>0</v>
      </c>
      <c r="AD179" s="209">
        <v>0</v>
      </c>
      <c r="AE179" s="209">
        <v>0</v>
      </c>
      <c r="AF179" s="220">
        <v>0</v>
      </c>
      <c r="AG179" s="436">
        <v>1</v>
      </c>
      <c r="AI179" s="174"/>
    </row>
    <row r="180" spans="1:35">
      <c r="A180" s="215" t="s">
        <v>946</v>
      </c>
      <c r="B180" s="232" t="s">
        <v>940</v>
      </c>
      <c r="C180" s="232">
        <v>2040</v>
      </c>
      <c r="D180" s="232" t="s">
        <v>945</v>
      </c>
      <c r="E180" s="209">
        <v>0</v>
      </c>
      <c r="F180" s="209">
        <v>0</v>
      </c>
      <c r="G180" s="209">
        <v>0</v>
      </c>
      <c r="H180" s="209">
        <v>0</v>
      </c>
      <c r="I180" s="209">
        <v>0</v>
      </c>
      <c r="J180" s="209">
        <v>0</v>
      </c>
      <c r="K180" s="209">
        <v>0</v>
      </c>
      <c r="L180" s="209">
        <v>0</v>
      </c>
      <c r="M180" s="209">
        <v>0</v>
      </c>
      <c r="N180" s="209">
        <v>0</v>
      </c>
      <c r="O180" s="209">
        <v>0</v>
      </c>
      <c r="P180" s="209">
        <v>0</v>
      </c>
      <c r="Q180" s="209">
        <v>0</v>
      </c>
      <c r="R180" s="209">
        <v>0</v>
      </c>
      <c r="S180" s="209">
        <v>0</v>
      </c>
      <c r="T180" s="209">
        <v>0</v>
      </c>
      <c r="U180" s="209">
        <v>0</v>
      </c>
      <c r="V180" s="209">
        <v>0</v>
      </c>
      <c r="W180" s="209">
        <v>0</v>
      </c>
      <c r="X180" s="209">
        <v>0</v>
      </c>
      <c r="Y180" s="209">
        <v>0</v>
      </c>
      <c r="Z180" s="209">
        <v>0</v>
      </c>
      <c r="AA180" s="209">
        <v>0</v>
      </c>
      <c r="AB180" s="209">
        <v>0</v>
      </c>
      <c r="AC180" s="209">
        <v>0</v>
      </c>
      <c r="AD180" s="209">
        <v>0</v>
      </c>
      <c r="AE180" s="209">
        <v>0</v>
      </c>
      <c r="AF180" s="220">
        <v>0</v>
      </c>
      <c r="AG180" s="436">
        <v>1</v>
      </c>
      <c r="AI180" s="174"/>
    </row>
    <row r="181" spans="1:35">
      <c r="A181" s="215" t="s">
        <v>946</v>
      </c>
      <c r="B181" s="232" t="s">
        <v>940</v>
      </c>
      <c r="C181" s="232">
        <v>2045</v>
      </c>
      <c r="D181" s="232" t="s">
        <v>945</v>
      </c>
      <c r="E181" s="209">
        <v>0</v>
      </c>
      <c r="F181" s="209">
        <v>0</v>
      </c>
      <c r="G181" s="209">
        <v>0</v>
      </c>
      <c r="H181" s="209">
        <v>0</v>
      </c>
      <c r="I181" s="209">
        <v>0</v>
      </c>
      <c r="J181" s="209">
        <v>0</v>
      </c>
      <c r="K181" s="209">
        <v>0</v>
      </c>
      <c r="L181" s="209">
        <v>0</v>
      </c>
      <c r="M181" s="209">
        <v>0</v>
      </c>
      <c r="N181" s="209">
        <v>0</v>
      </c>
      <c r="O181" s="209">
        <v>0</v>
      </c>
      <c r="P181" s="209">
        <v>0</v>
      </c>
      <c r="Q181" s="209">
        <v>0</v>
      </c>
      <c r="R181" s="209">
        <v>0</v>
      </c>
      <c r="S181" s="209">
        <v>0</v>
      </c>
      <c r="T181" s="209">
        <v>0</v>
      </c>
      <c r="U181" s="209">
        <v>0</v>
      </c>
      <c r="V181" s="209">
        <v>0</v>
      </c>
      <c r="W181" s="209">
        <v>0</v>
      </c>
      <c r="X181" s="209">
        <v>0</v>
      </c>
      <c r="Y181" s="209">
        <v>0</v>
      </c>
      <c r="Z181" s="209">
        <v>0</v>
      </c>
      <c r="AA181" s="209">
        <v>0</v>
      </c>
      <c r="AB181" s="209">
        <v>0</v>
      </c>
      <c r="AC181" s="209">
        <v>0</v>
      </c>
      <c r="AD181" s="209">
        <v>0</v>
      </c>
      <c r="AE181" s="209">
        <v>0</v>
      </c>
      <c r="AF181" s="220">
        <v>0</v>
      </c>
      <c r="AG181" s="436">
        <v>1</v>
      </c>
      <c r="AI181" s="174"/>
    </row>
    <row r="182" spans="1:35">
      <c r="A182" s="215" t="s">
        <v>946</v>
      </c>
      <c r="B182" s="232" t="s">
        <v>940</v>
      </c>
      <c r="C182" s="232">
        <v>2050</v>
      </c>
      <c r="D182" s="232" t="s">
        <v>945</v>
      </c>
      <c r="E182" s="209">
        <v>0</v>
      </c>
      <c r="F182" s="209">
        <v>0</v>
      </c>
      <c r="G182" s="209">
        <v>0</v>
      </c>
      <c r="H182" s="209">
        <v>0</v>
      </c>
      <c r="I182" s="209">
        <v>0</v>
      </c>
      <c r="J182" s="209">
        <v>0</v>
      </c>
      <c r="K182" s="209">
        <v>0</v>
      </c>
      <c r="L182" s="209">
        <v>0</v>
      </c>
      <c r="M182" s="209">
        <v>0</v>
      </c>
      <c r="N182" s="209">
        <v>0</v>
      </c>
      <c r="O182" s="209">
        <v>0</v>
      </c>
      <c r="P182" s="209">
        <v>0</v>
      </c>
      <c r="Q182" s="209">
        <v>0</v>
      </c>
      <c r="R182" s="209">
        <v>0</v>
      </c>
      <c r="S182" s="209">
        <v>0</v>
      </c>
      <c r="T182" s="209">
        <v>0</v>
      </c>
      <c r="U182" s="209">
        <v>0</v>
      </c>
      <c r="V182" s="209">
        <v>0</v>
      </c>
      <c r="W182" s="209">
        <v>0</v>
      </c>
      <c r="X182" s="209">
        <v>0</v>
      </c>
      <c r="Y182" s="209">
        <v>0</v>
      </c>
      <c r="Z182" s="209">
        <v>0</v>
      </c>
      <c r="AA182" s="209">
        <v>0</v>
      </c>
      <c r="AB182" s="209">
        <v>0</v>
      </c>
      <c r="AC182" s="209">
        <v>0</v>
      </c>
      <c r="AD182" s="209">
        <v>0</v>
      </c>
      <c r="AE182" s="209">
        <v>0</v>
      </c>
      <c r="AF182" s="220">
        <v>0</v>
      </c>
      <c r="AG182" s="436">
        <v>1</v>
      </c>
      <c r="AI182" s="174"/>
    </row>
    <row r="183" spans="1:35">
      <c r="A183" s="215" t="s">
        <v>946</v>
      </c>
      <c r="B183" s="232" t="s">
        <v>940</v>
      </c>
      <c r="C183" s="232">
        <v>2060</v>
      </c>
      <c r="D183" s="232" t="s">
        <v>945</v>
      </c>
      <c r="E183" s="209">
        <v>0</v>
      </c>
      <c r="F183" s="209">
        <v>0</v>
      </c>
      <c r="G183" s="209">
        <v>0</v>
      </c>
      <c r="H183" s="209">
        <v>0</v>
      </c>
      <c r="I183" s="209">
        <v>0</v>
      </c>
      <c r="J183" s="209">
        <v>0</v>
      </c>
      <c r="K183" s="209">
        <v>0</v>
      </c>
      <c r="L183" s="209">
        <v>0</v>
      </c>
      <c r="M183" s="209">
        <v>0</v>
      </c>
      <c r="N183" s="209">
        <v>0</v>
      </c>
      <c r="O183" s="209">
        <v>0</v>
      </c>
      <c r="P183" s="209">
        <v>0</v>
      </c>
      <c r="Q183" s="209">
        <v>0</v>
      </c>
      <c r="R183" s="209">
        <v>0</v>
      </c>
      <c r="S183" s="209">
        <v>0</v>
      </c>
      <c r="T183" s="209">
        <v>0</v>
      </c>
      <c r="U183" s="209">
        <v>0</v>
      </c>
      <c r="V183" s="209">
        <v>0</v>
      </c>
      <c r="W183" s="209">
        <v>0</v>
      </c>
      <c r="X183" s="209">
        <v>0</v>
      </c>
      <c r="Y183" s="209">
        <v>0</v>
      </c>
      <c r="Z183" s="209">
        <v>0</v>
      </c>
      <c r="AA183" s="209">
        <v>0</v>
      </c>
      <c r="AB183" s="209">
        <v>0</v>
      </c>
      <c r="AC183" s="209">
        <v>0</v>
      </c>
      <c r="AD183" s="209">
        <v>0</v>
      </c>
      <c r="AE183" s="209">
        <v>0</v>
      </c>
      <c r="AF183" s="220">
        <v>0</v>
      </c>
      <c r="AG183" s="436">
        <v>1</v>
      </c>
      <c r="AI183" s="174"/>
    </row>
    <row r="184" spans="1:35">
      <c r="A184" s="215" t="s">
        <v>946</v>
      </c>
      <c r="B184" s="232" t="s">
        <v>940</v>
      </c>
      <c r="C184" s="232">
        <v>2070</v>
      </c>
      <c r="D184" s="232" t="s">
        <v>945</v>
      </c>
      <c r="E184" s="209">
        <v>0</v>
      </c>
      <c r="F184" s="209">
        <v>0</v>
      </c>
      <c r="G184" s="209">
        <v>0</v>
      </c>
      <c r="H184" s="209">
        <v>0</v>
      </c>
      <c r="I184" s="209">
        <v>0</v>
      </c>
      <c r="J184" s="209">
        <v>0</v>
      </c>
      <c r="K184" s="209">
        <v>0</v>
      </c>
      <c r="L184" s="209">
        <v>0</v>
      </c>
      <c r="M184" s="209">
        <v>0</v>
      </c>
      <c r="N184" s="209">
        <v>0</v>
      </c>
      <c r="O184" s="209">
        <v>0</v>
      </c>
      <c r="P184" s="209">
        <v>0</v>
      </c>
      <c r="Q184" s="209">
        <v>0</v>
      </c>
      <c r="R184" s="209">
        <v>0</v>
      </c>
      <c r="S184" s="209">
        <v>0</v>
      </c>
      <c r="T184" s="209">
        <v>0</v>
      </c>
      <c r="U184" s="209">
        <v>0</v>
      </c>
      <c r="V184" s="209">
        <v>0</v>
      </c>
      <c r="W184" s="209">
        <v>0</v>
      </c>
      <c r="X184" s="209">
        <v>0</v>
      </c>
      <c r="Y184" s="209">
        <v>0</v>
      </c>
      <c r="Z184" s="209">
        <v>0</v>
      </c>
      <c r="AA184" s="209">
        <v>0</v>
      </c>
      <c r="AB184" s="209">
        <v>0</v>
      </c>
      <c r="AC184" s="209">
        <v>0</v>
      </c>
      <c r="AD184" s="209">
        <v>0</v>
      </c>
      <c r="AE184" s="209">
        <v>0</v>
      </c>
      <c r="AF184" s="220">
        <v>0</v>
      </c>
      <c r="AG184" s="436">
        <v>1</v>
      </c>
      <c r="AI184" s="174"/>
    </row>
    <row r="185" spans="1:35">
      <c r="A185" s="215" t="s">
        <v>946</v>
      </c>
      <c r="B185" s="232" t="s">
        <v>940</v>
      </c>
      <c r="C185" s="232">
        <v>2080</v>
      </c>
      <c r="D185" s="232" t="s">
        <v>945</v>
      </c>
      <c r="E185" s="209">
        <v>0</v>
      </c>
      <c r="F185" s="209">
        <v>0</v>
      </c>
      <c r="G185" s="209">
        <v>0</v>
      </c>
      <c r="H185" s="209">
        <v>0</v>
      </c>
      <c r="I185" s="209">
        <v>0</v>
      </c>
      <c r="J185" s="209">
        <v>0</v>
      </c>
      <c r="K185" s="209">
        <v>0</v>
      </c>
      <c r="L185" s="209">
        <v>0</v>
      </c>
      <c r="M185" s="209">
        <v>0</v>
      </c>
      <c r="N185" s="209">
        <v>0</v>
      </c>
      <c r="O185" s="209">
        <v>0</v>
      </c>
      <c r="P185" s="209">
        <v>0</v>
      </c>
      <c r="Q185" s="209">
        <v>0</v>
      </c>
      <c r="R185" s="209">
        <v>0</v>
      </c>
      <c r="S185" s="209">
        <v>0</v>
      </c>
      <c r="T185" s="209">
        <v>0</v>
      </c>
      <c r="U185" s="209">
        <v>0</v>
      </c>
      <c r="V185" s="209">
        <v>0</v>
      </c>
      <c r="W185" s="209">
        <v>0</v>
      </c>
      <c r="X185" s="209">
        <v>0</v>
      </c>
      <c r="Y185" s="209">
        <v>0</v>
      </c>
      <c r="Z185" s="209">
        <v>0</v>
      </c>
      <c r="AA185" s="209">
        <v>0</v>
      </c>
      <c r="AB185" s="209">
        <v>0</v>
      </c>
      <c r="AC185" s="209">
        <v>0</v>
      </c>
      <c r="AD185" s="209">
        <v>0</v>
      </c>
      <c r="AE185" s="209">
        <v>0</v>
      </c>
      <c r="AF185" s="220">
        <v>0</v>
      </c>
      <c r="AG185" s="436">
        <v>1</v>
      </c>
      <c r="AI185" s="174"/>
    </row>
    <row r="186" spans="1:35">
      <c r="A186" s="215" t="s">
        <v>946</v>
      </c>
      <c r="B186" s="232" t="s">
        <v>940</v>
      </c>
      <c r="C186" s="232">
        <v>2090</v>
      </c>
      <c r="D186" s="232" t="s">
        <v>945</v>
      </c>
      <c r="E186" s="209">
        <v>0</v>
      </c>
      <c r="F186" s="209">
        <v>0</v>
      </c>
      <c r="G186" s="209">
        <v>0</v>
      </c>
      <c r="H186" s="209">
        <v>0</v>
      </c>
      <c r="I186" s="209">
        <v>0</v>
      </c>
      <c r="J186" s="209">
        <v>0</v>
      </c>
      <c r="K186" s="209">
        <v>0</v>
      </c>
      <c r="L186" s="209">
        <v>0</v>
      </c>
      <c r="M186" s="209">
        <v>0</v>
      </c>
      <c r="N186" s="209">
        <v>0</v>
      </c>
      <c r="O186" s="209">
        <v>0</v>
      </c>
      <c r="P186" s="209">
        <v>0</v>
      </c>
      <c r="Q186" s="209">
        <v>0</v>
      </c>
      <c r="R186" s="209">
        <v>0</v>
      </c>
      <c r="S186" s="209">
        <v>0</v>
      </c>
      <c r="T186" s="209">
        <v>0</v>
      </c>
      <c r="U186" s="209">
        <v>0</v>
      </c>
      <c r="V186" s="209">
        <v>0</v>
      </c>
      <c r="W186" s="209">
        <v>0</v>
      </c>
      <c r="X186" s="209">
        <v>0</v>
      </c>
      <c r="Y186" s="209">
        <v>0</v>
      </c>
      <c r="Z186" s="209">
        <v>0</v>
      </c>
      <c r="AA186" s="209">
        <v>0</v>
      </c>
      <c r="AB186" s="209">
        <v>0</v>
      </c>
      <c r="AC186" s="209">
        <v>0</v>
      </c>
      <c r="AD186" s="209">
        <v>0</v>
      </c>
      <c r="AE186" s="209">
        <v>0</v>
      </c>
      <c r="AF186" s="220">
        <v>0</v>
      </c>
      <c r="AG186" s="436">
        <v>1</v>
      </c>
      <c r="AI186" s="174"/>
    </row>
    <row r="187" spans="1:35">
      <c r="A187" s="229" t="s">
        <v>946</v>
      </c>
      <c r="B187" s="235" t="s">
        <v>940</v>
      </c>
      <c r="C187" s="235">
        <v>2100</v>
      </c>
      <c r="D187" s="235" t="s">
        <v>945</v>
      </c>
      <c r="E187" s="226">
        <v>0</v>
      </c>
      <c r="F187" s="226">
        <v>0</v>
      </c>
      <c r="G187" s="226">
        <v>0</v>
      </c>
      <c r="H187" s="226">
        <v>0</v>
      </c>
      <c r="I187" s="226">
        <v>0</v>
      </c>
      <c r="J187" s="226">
        <v>0</v>
      </c>
      <c r="K187" s="226">
        <v>0</v>
      </c>
      <c r="L187" s="226">
        <v>0</v>
      </c>
      <c r="M187" s="226">
        <v>0</v>
      </c>
      <c r="N187" s="226">
        <v>0</v>
      </c>
      <c r="O187" s="226">
        <v>0</v>
      </c>
      <c r="P187" s="226">
        <v>0</v>
      </c>
      <c r="Q187" s="226">
        <v>0</v>
      </c>
      <c r="R187" s="226">
        <v>0</v>
      </c>
      <c r="S187" s="226">
        <v>0</v>
      </c>
      <c r="T187" s="226">
        <v>0</v>
      </c>
      <c r="U187" s="226">
        <v>0</v>
      </c>
      <c r="V187" s="226">
        <v>0</v>
      </c>
      <c r="W187" s="226">
        <v>0</v>
      </c>
      <c r="X187" s="226">
        <v>0</v>
      </c>
      <c r="Y187" s="226">
        <v>0</v>
      </c>
      <c r="Z187" s="226">
        <v>0</v>
      </c>
      <c r="AA187" s="226">
        <v>0</v>
      </c>
      <c r="AB187" s="226">
        <v>0</v>
      </c>
      <c r="AC187" s="226">
        <v>0</v>
      </c>
      <c r="AD187" s="226">
        <v>0</v>
      </c>
      <c r="AE187" s="226">
        <v>0</v>
      </c>
      <c r="AF187" s="224">
        <v>0</v>
      </c>
      <c r="AG187" s="437">
        <v>1</v>
      </c>
      <c r="AI187" s="174"/>
    </row>
    <row r="188" spans="1:35">
      <c r="A188" t="s">
        <v>946</v>
      </c>
      <c r="B188" s="231" t="s">
        <v>941</v>
      </c>
      <c r="C188" s="232">
        <v>2019</v>
      </c>
      <c r="D188" s="231" t="s">
        <v>945</v>
      </c>
      <c r="E188" s="209">
        <v>0</v>
      </c>
      <c r="F188" s="209">
        <v>0</v>
      </c>
      <c r="G188" s="209">
        <v>0</v>
      </c>
      <c r="H188" s="209">
        <v>0</v>
      </c>
      <c r="I188" s="209">
        <v>0</v>
      </c>
      <c r="J188" s="209">
        <v>0</v>
      </c>
      <c r="K188" s="209">
        <v>0</v>
      </c>
      <c r="L188" s="209">
        <v>0</v>
      </c>
      <c r="M188" s="209">
        <v>0</v>
      </c>
      <c r="N188" s="209">
        <v>0</v>
      </c>
      <c r="O188" s="209">
        <v>0</v>
      </c>
      <c r="P188" s="209">
        <v>0</v>
      </c>
      <c r="Q188" s="209">
        <v>0</v>
      </c>
      <c r="R188" s="209">
        <v>0</v>
      </c>
      <c r="S188" s="209">
        <v>0</v>
      </c>
      <c r="T188" s="209">
        <v>0</v>
      </c>
      <c r="U188" s="209">
        <v>0</v>
      </c>
      <c r="V188" s="209">
        <v>0</v>
      </c>
      <c r="W188" s="209">
        <v>0</v>
      </c>
      <c r="X188" s="209">
        <v>0</v>
      </c>
      <c r="Y188" s="209">
        <v>0</v>
      </c>
      <c r="Z188" s="209">
        <v>0</v>
      </c>
      <c r="AA188" s="209">
        <v>0</v>
      </c>
      <c r="AB188" s="209">
        <v>0</v>
      </c>
      <c r="AC188" s="209">
        <v>0</v>
      </c>
      <c r="AD188" s="209">
        <v>0</v>
      </c>
      <c r="AE188" s="209">
        <v>0</v>
      </c>
      <c r="AF188" s="209">
        <v>0</v>
      </c>
      <c r="AG188" s="453">
        <v>1</v>
      </c>
    </row>
    <row r="189" spans="1:35">
      <c r="A189" s="215" t="s">
        <v>946</v>
      </c>
      <c r="B189" s="232" t="s">
        <v>941</v>
      </c>
      <c r="C189">
        <v>2020</v>
      </c>
      <c r="D189" s="232" t="s">
        <v>945</v>
      </c>
      <c r="E189" s="209">
        <v>0</v>
      </c>
      <c r="F189" s="209">
        <v>0</v>
      </c>
      <c r="G189" s="209">
        <v>0</v>
      </c>
      <c r="H189" s="209">
        <v>0</v>
      </c>
      <c r="I189" s="209">
        <v>0</v>
      </c>
      <c r="J189" s="209">
        <v>0</v>
      </c>
      <c r="K189" s="209">
        <v>0</v>
      </c>
      <c r="L189" s="209">
        <v>0</v>
      </c>
      <c r="M189" s="209">
        <v>0</v>
      </c>
      <c r="N189" s="209">
        <v>0</v>
      </c>
      <c r="O189" s="209">
        <v>0</v>
      </c>
      <c r="P189" s="209">
        <v>0</v>
      </c>
      <c r="Q189" s="209">
        <v>0</v>
      </c>
      <c r="R189" s="209">
        <v>0</v>
      </c>
      <c r="S189" s="209">
        <v>0</v>
      </c>
      <c r="T189" s="209">
        <v>0</v>
      </c>
      <c r="U189" s="209">
        <v>0</v>
      </c>
      <c r="V189" s="209">
        <v>0</v>
      </c>
      <c r="W189" s="209">
        <v>0</v>
      </c>
      <c r="X189" s="209">
        <v>0</v>
      </c>
      <c r="Y189" s="209">
        <v>0</v>
      </c>
      <c r="Z189" s="209">
        <v>0</v>
      </c>
      <c r="AA189" s="209">
        <v>0</v>
      </c>
      <c r="AB189" s="209">
        <v>0</v>
      </c>
      <c r="AC189" s="209">
        <v>0</v>
      </c>
      <c r="AD189" s="209">
        <v>0</v>
      </c>
      <c r="AE189" s="209">
        <v>0</v>
      </c>
      <c r="AF189" s="220">
        <v>0</v>
      </c>
      <c r="AG189" s="436">
        <v>1</v>
      </c>
      <c r="AI189" s="174"/>
    </row>
    <row r="190" spans="1:35">
      <c r="A190" s="215" t="s">
        <v>946</v>
      </c>
      <c r="B190" s="232" t="s">
        <v>941</v>
      </c>
      <c r="C190" s="232">
        <v>2025</v>
      </c>
      <c r="D190" s="232" t="s">
        <v>945</v>
      </c>
      <c r="E190" s="209">
        <v>0</v>
      </c>
      <c r="F190" s="209">
        <v>0</v>
      </c>
      <c r="G190" s="209">
        <v>0</v>
      </c>
      <c r="H190" s="209">
        <v>0</v>
      </c>
      <c r="I190" s="209">
        <v>0</v>
      </c>
      <c r="J190" s="209">
        <v>0</v>
      </c>
      <c r="K190" s="209">
        <v>0</v>
      </c>
      <c r="L190" s="209">
        <v>0</v>
      </c>
      <c r="M190" s="209">
        <v>0</v>
      </c>
      <c r="N190" s="209">
        <v>0</v>
      </c>
      <c r="O190" s="209">
        <v>0</v>
      </c>
      <c r="P190" s="209">
        <v>0</v>
      </c>
      <c r="Q190" s="209">
        <v>0</v>
      </c>
      <c r="R190" s="209">
        <v>0</v>
      </c>
      <c r="S190" s="209">
        <v>0</v>
      </c>
      <c r="T190" s="209">
        <v>0</v>
      </c>
      <c r="U190" s="209">
        <v>0</v>
      </c>
      <c r="V190" s="209">
        <v>0</v>
      </c>
      <c r="W190" s="209">
        <v>0</v>
      </c>
      <c r="X190" s="209">
        <v>0</v>
      </c>
      <c r="Y190" s="209">
        <v>0</v>
      </c>
      <c r="Z190" s="209">
        <v>0</v>
      </c>
      <c r="AA190" s="209">
        <v>0</v>
      </c>
      <c r="AB190" s="209">
        <v>0</v>
      </c>
      <c r="AC190" s="209">
        <v>0</v>
      </c>
      <c r="AD190" s="209">
        <v>0</v>
      </c>
      <c r="AE190" s="209">
        <v>0</v>
      </c>
      <c r="AF190" s="220">
        <v>0</v>
      </c>
      <c r="AG190" s="436">
        <v>1</v>
      </c>
      <c r="AI190" s="174"/>
    </row>
    <row r="191" spans="1:35">
      <c r="A191" s="215" t="s">
        <v>946</v>
      </c>
      <c r="B191" s="232" t="s">
        <v>941</v>
      </c>
      <c r="C191" s="232">
        <v>2030</v>
      </c>
      <c r="D191" s="232" t="s">
        <v>945</v>
      </c>
      <c r="E191" s="209">
        <v>0</v>
      </c>
      <c r="F191" s="209">
        <v>0</v>
      </c>
      <c r="G191" s="209">
        <v>0</v>
      </c>
      <c r="H191" s="209">
        <v>0</v>
      </c>
      <c r="I191" s="209">
        <v>0</v>
      </c>
      <c r="J191" s="209">
        <v>0</v>
      </c>
      <c r="K191" s="209">
        <v>0</v>
      </c>
      <c r="L191" s="209">
        <v>0</v>
      </c>
      <c r="M191" s="209">
        <v>0</v>
      </c>
      <c r="N191" s="209">
        <v>0</v>
      </c>
      <c r="O191" s="209">
        <v>0</v>
      </c>
      <c r="P191" s="209">
        <v>0</v>
      </c>
      <c r="Q191" s="209">
        <v>0</v>
      </c>
      <c r="R191" s="209">
        <v>0</v>
      </c>
      <c r="S191" s="209">
        <v>0</v>
      </c>
      <c r="T191" s="209">
        <v>0</v>
      </c>
      <c r="U191" s="209">
        <v>0</v>
      </c>
      <c r="V191" s="209">
        <v>0</v>
      </c>
      <c r="W191" s="209">
        <v>0</v>
      </c>
      <c r="X191" s="209">
        <v>0</v>
      </c>
      <c r="Y191" s="209">
        <v>0</v>
      </c>
      <c r="Z191" s="209">
        <v>0</v>
      </c>
      <c r="AA191" s="209">
        <v>0</v>
      </c>
      <c r="AB191" s="209">
        <v>0</v>
      </c>
      <c r="AC191" s="209">
        <v>0</v>
      </c>
      <c r="AD191" s="209">
        <v>0</v>
      </c>
      <c r="AE191" s="209">
        <v>0</v>
      </c>
      <c r="AF191" s="220">
        <v>0</v>
      </c>
      <c r="AG191" s="436">
        <v>1</v>
      </c>
      <c r="AI191" s="174"/>
    </row>
    <row r="192" spans="1:35">
      <c r="A192" s="215" t="s">
        <v>946</v>
      </c>
      <c r="B192" s="232" t="s">
        <v>941</v>
      </c>
      <c r="C192" s="232">
        <v>2035</v>
      </c>
      <c r="D192" s="232" t="s">
        <v>945</v>
      </c>
      <c r="E192" s="209">
        <v>0</v>
      </c>
      <c r="F192" s="209">
        <v>0</v>
      </c>
      <c r="G192" s="209">
        <v>0</v>
      </c>
      <c r="H192" s="209">
        <v>0</v>
      </c>
      <c r="I192" s="209">
        <v>0</v>
      </c>
      <c r="J192" s="209">
        <v>0</v>
      </c>
      <c r="K192" s="209">
        <v>0</v>
      </c>
      <c r="L192" s="209">
        <v>0</v>
      </c>
      <c r="M192" s="209">
        <v>0</v>
      </c>
      <c r="N192" s="209">
        <v>0</v>
      </c>
      <c r="O192" s="209">
        <v>0</v>
      </c>
      <c r="P192" s="209">
        <v>0</v>
      </c>
      <c r="Q192" s="209">
        <v>0</v>
      </c>
      <c r="R192" s="209">
        <v>0</v>
      </c>
      <c r="S192" s="209">
        <v>0</v>
      </c>
      <c r="T192" s="209">
        <v>0</v>
      </c>
      <c r="U192" s="209">
        <v>0</v>
      </c>
      <c r="V192" s="209">
        <v>0</v>
      </c>
      <c r="W192" s="209">
        <v>0</v>
      </c>
      <c r="X192" s="209">
        <v>0</v>
      </c>
      <c r="Y192" s="209">
        <v>0</v>
      </c>
      <c r="Z192" s="209">
        <v>0</v>
      </c>
      <c r="AA192" s="209">
        <v>0</v>
      </c>
      <c r="AB192" s="209">
        <v>0</v>
      </c>
      <c r="AC192" s="209">
        <v>0</v>
      </c>
      <c r="AD192" s="209">
        <v>0</v>
      </c>
      <c r="AE192" s="209">
        <v>0</v>
      </c>
      <c r="AF192" s="220">
        <v>0</v>
      </c>
      <c r="AG192" s="436">
        <v>1</v>
      </c>
      <c r="AI192" s="174"/>
    </row>
    <row r="193" spans="1:35">
      <c r="A193" s="215" t="s">
        <v>946</v>
      </c>
      <c r="B193" s="232" t="s">
        <v>941</v>
      </c>
      <c r="C193" s="232">
        <v>2040</v>
      </c>
      <c r="D193" s="232" t="s">
        <v>945</v>
      </c>
      <c r="E193" s="209">
        <v>0</v>
      </c>
      <c r="F193" s="209">
        <v>0</v>
      </c>
      <c r="G193" s="209">
        <v>0</v>
      </c>
      <c r="H193" s="209">
        <v>0</v>
      </c>
      <c r="I193" s="209">
        <v>0</v>
      </c>
      <c r="J193" s="209">
        <v>0</v>
      </c>
      <c r="K193" s="209">
        <v>0</v>
      </c>
      <c r="L193" s="209">
        <v>0</v>
      </c>
      <c r="M193" s="209">
        <v>0</v>
      </c>
      <c r="N193" s="209">
        <v>0</v>
      </c>
      <c r="O193" s="209">
        <v>0</v>
      </c>
      <c r="P193" s="209">
        <v>0</v>
      </c>
      <c r="Q193" s="209">
        <v>0</v>
      </c>
      <c r="R193" s="209">
        <v>0</v>
      </c>
      <c r="S193" s="209">
        <v>0</v>
      </c>
      <c r="T193" s="209">
        <v>0</v>
      </c>
      <c r="U193" s="209">
        <v>0</v>
      </c>
      <c r="V193" s="209">
        <v>0</v>
      </c>
      <c r="W193" s="209">
        <v>0</v>
      </c>
      <c r="X193" s="209">
        <v>0</v>
      </c>
      <c r="Y193" s="209">
        <v>0</v>
      </c>
      <c r="Z193" s="209">
        <v>0</v>
      </c>
      <c r="AA193" s="209">
        <v>0</v>
      </c>
      <c r="AB193" s="209">
        <v>0</v>
      </c>
      <c r="AC193" s="209">
        <v>0</v>
      </c>
      <c r="AD193" s="209">
        <v>0</v>
      </c>
      <c r="AE193" s="209">
        <v>0</v>
      </c>
      <c r="AF193" s="220">
        <v>0</v>
      </c>
      <c r="AG193" s="436">
        <v>1</v>
      </c>
      <c r="AI193" s="174"/>
    </row>
    <row r="194" spans="1:35">
      <c r="A194" s="215" t="s">
        <v>946</v>
      </c>
      <c r="B194" s="232" t="s">
        <v>941</v>
      </c>
      <c r="C194" s="232">
        <v>2045</v>
      </c>
      <c r="D194" s="232" t="s">
        <v>945</v>
      </c>
      <c r="E194" s="209">
        <v>0</v>
      </c>
      <c r="F194" s="209">
        <v>0</v>
      </c>
      <c r="G194" s="209">
        <v>0</v>
      </c>
      <c r="H194" s="209">
        <v>0</v>
      </c>
      <c r="I194" s="209">
        <v>0</v>
      </c>
      <c r="J194" s="209">
        <v>0</v>
      </c>
      <c r="K194" s="209">
        <v>0</v>
      </c>
      <c r="L194" s="209">
        <v>0</v>
      </c>
      <c r="M194" s="209">
        <v>0</v>
      </c>
      <c r="N194" s="209">
        <v>0</v>
      </c>
      <c r="O194" s="209">
        <v>0</v>
      </c>
      <c r="P194" s="209">
        <v>0</v>
      </c>
      <c r="Q194" s="209">
        <v>0</v>
      </c>
      <c r="R194" s="209">
        <v>0</v>
      </c>
      <c r="S194" s="209">
        <v>0</v>
      </c>
      <c r="T194" s="209">
        <v>0</v>
      </c>
      <c r="U194" s="209">
        <v>0</v>
      </c>
      <c r="V194" s="209">
        <v>0</v>
      </c>
      <c r="W194" s="209">
        <v>0</v>
      </c>
      <c r="X194" s="209">
        <v>0</v>
      </c>
      <c r="Y194" s="209">
        <v>0</v>
      </c>
      <c r="Z194" s="209">
        <v>0</v>
      </c>
      <c r="AA194" s="209">
        <v>0</v>
      </c>
      <c r="AB194" s="209">
        <v>0</v>
      </c>
      <c r="AC194" s="209">
        <v>0</v>
      </c>
      <c r="AD194" s="209">
        <v>0</v>
      </c>
      <c r="AE194" s="209">
        <v>0</v>
      </c>
      <c r="AF194" s="220">
        <v>0</v>
      </c>
      <c r="AG194" s="436">
        <v>1</v>
      </c>
      <c r="AI194" s="174"/>
    </row>
    <row r="195" spans="1:35">
      <c r="A195" s="215" t="s">
        <v>946</v>
      </c>
      <c r="B195" s="232" t="s">
        <v>941</v>
      </c>
      <c r="C195" s="232">
        <v>2050</v>
      </c>
      <c r="D195" s="232" t="s">
        <v>945</v>
      </c>
      <c r="E195" s="209">
        <v>0</v>
      </c>
      <c r="F195" s="209">
        <v>0</v>
      </c>
      <c r="G195" s="209">
        <v>0</v>
      </c>
      <c r="H195" s="209">
        <v>0</v>
      </c>
      <c r="I195" s="209">
        <v>0</v>
      </c>
      <c r="J195" s="209">
        <v>0</v>
      </c>
      <c r="K195" s="209">
        <v>0</v>
      </c>
      <c r="L195" s="209">
        <v>0</v>
      </c>
      <c r="M195" s="209">
        <v>0</v>
      </c>
      <c r="N195" s="209">
        <v>0</v>
      </c>
      <c r="O195" s="209">
        <v>0</v>
      </c>
      <c r="P195" s="209">
        <v>0</v>
      </c>
      <c r="Q195" s="209">
        <v>0</v>
      </c>
      <c r="R195" s="209">
        <v>0</v>
      </c>
      <c r="S195" s="209">
        <v>0</v>
      </c>
      <c r="T195" s="209">
        <v>0</v>
      </c>
      <c r="U195" s="209">
        <v>0</v>
      </c>
      <c r="V195" s="209">
        <v>0</v>
      </c>
      <c r="W195" s="209">
        <v>0</v>
      </c>
      <c r="X195" s="209">
        <v>0</v>
      </c>
      <c r="Y195" s="209">
        <v>0</v>
      </c>
      <c r="Z195" s="209">
        <v>0</v>
      </c>
      <c r="AA195" s="209">
        <v>0</v>
      </c>
      <c r="AB195" s="209">
        <v>0</v>
      </c>
      <c r="AC195" s="209">
        <v>0</v>
      </c>
      <c r="AD195" s="209">
        <v>0</v>
      </c>
      <c r="AE195" s="209">
        <v>0</v>
      </c>
      <c r="AF195" s="220">
        <v>0</v>
      </c>
      <c r="AG195" s="436">
        <v>1</v>
      </c>
      <c r="AI195" s="174"/>
    </row>
    <row r="196" spans="1:35">
      <c r="A196" s="215" t="s">
        <v>946</v>
      </c>
      <c r="B196" s="232" t="s">
        <v>941</v>
      </c>
      <c r="C196" s="232">
        <v>2060</v>
      </c>
      <c r="D196" s="232" t="s">
        <v>945</v>
      </c>
      <c r="E196" s="209">
        <v>0</v>
      </c>
      <c r="F196" s="209">
        <v>0</v>
      </c>
      <c r="G196" s="209">
        <v>0</v>
      </c>
      <c r="H196" s="209">
        <v>0</v>
      </c>
      <c r="I196" s="209">
        <v>0</v>
      </c>
      <c r="J196" s="209">
        <v>0</v>
      </c>
      <c r="K196" s="209">
        <v>0</v>
      </c>
      <c r="L196" s="209">
        <v>0</v>
      </c>
      <c r="M196" s="209">
        <v>0</v>
      </c>
      <c r="N196" s="209">
        <v>0</v>
      </c>
      <c r="O196" s="209">
        <v>0</v>
      </c>
      <c r="P196" s="209">
        <v>0</v>
      </c>
      <c r="Q196" s="209">
        <v>0</v>
      </c>
      <c r="R196" s="209">
        <v>0</v>
      </c>
      <c r="S196" s="209">
        <v>0</v>
      </c>
      <c r="T196" s="209">
        <v>0</v>
      </c>
      <c r="U196" s="209">
        <v>0</v>
      </c>
      <c r="V196" s="209">
        <v>0</v>
      </c>
      <c r="W196" s="209">
        <v>0</v>
      </c>
      <c r="X196" s="209">
        <v>0</v>
      </c>
      <c r="Y196" s="209">
        <v>0</v>
      </c>
      <c r="Z196" s="209">
        <v>0</v>
      </c>
      <c r="AA196" s="209">
        <v>0</v>
      </c>
      <c r="AB196" s="209">
        <v>0</v>
      </c>
      <c r="AC196" s="209">
        <v>0</v>
      </c>
      <c r="AD196" s="209">
        <v>0</v>
      </c>
      <c r="AE196" s="209">
        <v>0</v>
      </c>
      <c r="AF196" s="220">
        <v>0</v>
      </c>
      <c r="AG196" s="436">
        <v>1</v>
      </c>
      <c r="AI196" s="174"/>
    </row>
    <row r="197" spans="1:35">
      <c r="A197" s="215" t="s">
        <v>946</v>
      </c>
      <c r="B197" s="232" t="s">
        <v>941</v>
      </c>
      <c r="C197" s="232">
        <v>2070</v>
      </c>
      <c r="D197" s="232" t="s">
        <v>945</v>
      </c>
      <c r="E197" s="209">
        <v>0</v>
      </c>
      <c r="F197" s="209">
        <v>0</v>
      </c>
      <c r="G197" s="209">
        <v>0</v>
      </c>
      <c r="H197" s="209">
        <v>0</v>
      </c>
      <c r="I197" s="209">
        <v>0</v>
      </c>
      <c r="J197" s="209">
        <v>0</v>
      </c>
      <c r="K197" s="209">
        <v>0</v>
      </c>
      <c r="L197" s="209">
        <v>0</v>
      </c>
      <c r="M197" s="209">
        <v>0</v>
      </c>
      <c r="N197" s="209">
        <v>0</v>
      </c>
      <c r="O197" s="209">
        <v>0</v>
      </c>
      <c r="P197" s="209">
        <v>0</v>
      </c>
      <c r="Q197" s="209">
        <v>0</v>
      </c>
      <c r="R197" s="209">
        <v>0</v>
      </c>
      <c r="S197" s="209">
        <v>0</v>
      </c>
      <c r="T197" s="209">
        <v>0</v>
      </c>
      <c r="U197" s="209">
        <v>0</v>
      </c>
      <c r="V197" s="209">
        <v>0</v>
      </c>
      <c r="W197" s="209">
        <v>0</v>
      </c>
      <c r="X197" s="209">
        <v>0</v>
      </c>
      <c r="Y197" s="209">
        <v>0</v>
      </c>
      <c r="Z197" s="209">
        <v>0</v>
      </c>
      <c r="AA197" s="209">
        <v>0</v>
      </c>
      <c r="AB197" s="209">
        <v>0</v>
      </c>
      <c r="AC197" s="209">
        <v>0</v>
      </c>
      <c r="AD197" s="209">
        <v>0</v>
      </c>
      <c r="AE197" s="209">
        <v>0</v>
      </c>
      <c r="AF197" s="220">
        <v>0</v>
      </c>
      <c r="AG197" s="436">
        <v>1</v>
      </c>
      <c r="AI197" s="174"/>
    </row>
    <row r="198" spans="1:35">
      <c r="A198" s="215" t="s">
        <v>946</v>
      </c>
      <c r="B198" s="232" t="s">
        <v>941</v>
      </c>
      <c r="C198" s="232">
        <v>2080</v>
      </c>
      <c r="D198" s="232" t="s">
        <v>945</v>
      </c>
      <c r="E198" s="209">
        <v>0</v>
      </c>
      <c r="F198" s="209">
        <v>0</v>
      </c>
      <c r="G198" s="209">
        <v>0</v>
      </c>
      <c r="H198" s="209">
        <v>0</v>
      </c>
      <c r="I198" s="209">
        <v>0</v>
      </c>
      <c r="J198" s="209">
        <v>0</v>
      </c>
      <c r="K198" s="209">
        <v>0</v>
      </c>
      <c r="L198" s="209">
        <v>0</v>
      </c>
      <c r="M198" s="209">
        <v>0</v>
      </c>
      <c r="N198" s="209">
        <v>0</v>
      </c>
      <c r="O198" s="209">
        <v>0</v>
      </c>
      <c r="P198" s="209">
        <v>0</v>
      </c>
      <c r="Q198" s="209">
        <v>0</v>
      </c>
      <c r="R198" s="209">
        <v>0</v>
      </c>
      <c r="S198" s="209">
        <v>0</v>
      </c>
      <c r="T198" s="209">
        <v>0</v>
      </c>
      <c r="U198" s="209">
        <v>0</v>
      </c>
      <c r="V198" s="209">
        <v>0</v>
      </c>
      <c r="W198" s="209">
        <v>0</v>
      </c>
      <c r="X198" s="209">
        <v>0</v>
      </c>
      <c r="Y198" s="209">
        <v>0</v>
      </c>
      <c r="Z198" s="209">
        <v>0</v>
      </c>
      <c r="AA198" s="209">
        <v>0</v>
      </c>
      <c r="AB198" s="209">
        <v>0</v>
      </c>
      <c r="AC198" s="209">
        <v>0</v>
      </c>
      <c r="AD198" s="209">
        <v>0</v>
      </c>
      <c r="AE198" s="209">
        <v>0</v>
      </c>
      <c r="AF198" s="220">
        <v>0</v>
      </c>
      <c r="AG198" s="436">
        <v>1</v>
      </c>
      <c r="AI198" s="174"/>
    </row>
    <row r="199" spans="1:35">
      <c r="A199" s="215" t="s">
        <v>946</v>
      </c>
      <c r="B199" s="232" t="s">
        <v>941</v>
      </c>
      <c r="C199" s="232">
        <v>2090</v>
      </c>
      <c r="D199" s="232" t="s">
        <v>945</v>
      </c>
      <c r="E199" s="209">
        <v>0</v>
      </c>
      <c r="F199" s="209">
        <v>0</v>
      </c>
      <c r="G199" s="209">
        <v>0</v>
      </c>
      <c r="H199" s="209">
        <v>0</v>
      </c>
      <c r="I199" s="209">
        <v>0</v>
      </c>
      <c r="J199" s="209">
        <v>0</v>
      </c>
      <c r="K199" s="209">
        <v>0</v>
      </c>
      <c r="L199" s="209">
        <v>0</v>
      </c>
      <c r="M199" s="209">
        <v>0</v>
      </c>
      <c r="N199" s="209">
        <v>0</v>
      </c>
      <c r="O199" s="209">
        <v>0</v>
      </c>
      <c r="P199" s="209">
        <v>0</v>
      </c>
      <c r="Q199" s="209">
        <v>0</v>
      </c>
      <c r="R199" s="209">
        <v>0</v>
      </c>
      <c r="S199" s="209">
        <v>0</v>
      </c>
      <c r="T199" s="209">
        <v>0</v>
      </c>
      <c r="U199" s="209">
        <v>0</v>
      </c>
      <c r="V199" s="209">
        <v>0</v>
      </c>
      <c r="W199" s="209">
        <v>0</v>
      </c>
      <c r="X199" s="209">
        <v>0</v>
      </c>
      <c r="Y199" s="209">
        <v>0</v>
      </c>
      <c r="Z199" s="209">
        <v>0</v>
      </c>
      <c r="AA199" s="209">
        <v>0</v>
      </c>
      <c r="AB199" s="209">
        <v>0</v>
      </c>
      <c r="AC199" s="209">
        <v>0</v>
      </c>
      <c r="AD199" s="209">
        <v>0</v>
      </c>
      <c r="AE199" s="209">
        <v>0</v>
      </c>
      <c r="AF199" s="220">
        <v>0</v>
      </c>
      <c r="AG199" s="436">
        <v>1</v>
      </c>
      <c r="AI199" s="174"/>
    </row>
    <row r="200" spans="1:35" ht="16.2" thickBot="1">
      <c r="A200" s="449" t="s">
        <v>946</v>
      </c>
      <c r="B200" s="450" t="s">
        <v>941</v>
      </c>
      <c r="C200" s="450">
        <v>2100</v>
      </c>
      <c r="D200" s="450" t="s">
        <v>945</v>
      </c>
      <c r="E200" s="212">
        <v>0</v>
      </c>
      <c r="F200" s="212">
        <v>0</v>
      </c>
      <c r="G200" s="212">
        <v>0</v>
      </c>
      <c r="H200" s="212">
        <v>0</v>
      </c>
      <c r="I200" s="212">
        <v>0</v>
      </c>
      <c r="J200" s="212">
        <v>0</v>
      </c>
      <c r="K200" s="212">
        <v>0</v>
      </c>
      <c r="L200" s="212">
        <v>0</v>
      </c>
      <c r="M200" s="212">
        <v>0</v>
      </c>
      <c r="N200" s="212">
        <v>0</v>
      </c>
      <c r="O200" s="212">
        <v>0</v>
      </c>
      <c r="P200" s="212">
        <v>0</v>
      </c>
      <c r="Q200" s="212">
        <v>0</v>
      </c>
      <c r="R200" s="212">
        <v>0</v>
      </c>
      <c r="S200" s="212">
        <v>0</v>
      </c>
      <c r="T200" s="212">
        <v>0</v>
      </c>
      <c r="U200" s="212">
        <v>0</v>
      </c>
      <c r="V200" s="212">
        <v>0</v>
      </c>
      <c r="W200" s="212">
        <v>0</v>
      </c>
      <c r="X200" s="212">
        <v>0</v>
      </c>
      <c r="Y200" s="212">
        <v>0</v>
      </c>
      <c r="Z200" s="212">
        <v>0</v>
      </c>
      <c r="AA200" s="212">
        <v>0</v>
      </c>
      <c r="AB200" s="212">
        <v>0</v>
      </c>
      <c r="AC200" s="212">
        <v>0</v>
      </c>
      <c r="AD200" s="212">
        <v>0</v>
      </c>
      <c r="AE200" s="212">
        <v>0</v>
      </c>
      <c r="AF200" s="451">
        <v>0</v>
      </c>
      <c r="AG200" s="452">
        <v>1</v>
      </c>
      <c r="AI200" s="174"/>
    </row>
    <row r="202" spans="1:35">
      <c r="A202" s="227"/>
      <c r="B202" s="231"/>
      <c r="C202" s="231"/>
      <c r="D202" s="231"/>
      <c r="E202" s="599" t="s">
        <v>947</v>
      </c>
      <c r="F202" s="599"/>
      <c r="G202" s="599"/>
      <c r="H202" s="599"/>
      <c r="I202" s="599"/>
      <c r="J202" s="599"/>
      <c r="K202" s="599"/>
      <c r="L202" s="599"/>
      <c r="M202" s="599"/>
      <c r="N202" s="599"/>
      <c r="O202" s="599"/>
      <c r="P202" s="599"/>
      <c r="Q202" s="599"/>
      <c r="R202" s="599"/>
      <c r="S202" s="599"/>
      <c r="T202" s="599"/>
      <c r="U202" s="599"/>
      <c r="V202" s="599"/>
      <c r="W202" s="599"/>
      <c r="X202" s="599"/>
      <c r="Y202" s="599"/>
      <c r="Z202" s="599"/>
      <c r="AA202" s="599"/>
      <c r="AB202" s="599"/>
      <c r="AC202" s="599"/>
      <c r="AD202" s="599"/>
      <c r="AE202" s="599"/>
      <c r="AF202" s="600"/>
      <c r="AG202" s="231"/>
    </row>
    <row r="203" spans="1:35">
      <c r="A203" s="434" t="s">
        <v>934</v>
      </c>
      <c r="B203" s="68" t="s">
        <v>935</v>
      </c>
      <c r="C203" s="68" t="s">
        <v>655</v>
      </c>
      <c r="D203" s="68" t="s">
        <v>375</v>
      </c>
      <c r="E203" s="69" t="s">
        <v>172</v>
      </c>
      <c r="F203" s="69" t="s">
        <v>175</v>
      </c>
      <c r="G203" s="69" t="s">
        <v>178</v>
      </c>
      <c r="H203" s="69" t="s">
        <v>181</v>
      </c>
      <c r="I203" s="69" t="s">
        <v>184</v>
      </c>
      <c r="J203" s="69" t="s">
        <v>187</v>
      </c>
      <c r="K203" s="69" t="s">
        <v>190</v>
      </c>
      <c r="L203" s="69" t="s">
        <v>193</v>
      </c>
      <c r="M203" s="69" t="s">
        <v>196</v>
      </c>
      <c r="N203" s="69" t="s">
        <v>198</v>
      </c>
      <c r="O203" s="69" t="s">
        <v>200</v>
      </c>
      <c r="P203" s="69" t="s">
        <v>202</v>
      </c>
      <c r="Q203" s="69" t="s">
        <v>205</v>
      </c>
      <c r="R203" s="69" t="s">
        <v>208</v>
      </c>
      <c r="S203" s="69" t="s">
        <v>211</v>
      </c>
      <c r="T203" s="69" t="s">
        <v>214</v>
      </c>
      <c r="U203" s="69" t="s">
        <v>217</v>
      </c>
      <c r="V203" s="69" t="s">
        <v>220</v>
      </c>
      <c r="W203" s="69" t="s">
        <v>223</v>
      </c>
      <c r="X203" s="69" t="s">
        <v>225</v>
      </c>
      <c r="Y203" s="69" t="s">
        <v>227</v>
      </c>
      <c r="Z203" s="69" t="s">
        <v>230</v>
      </c>
      <c r="AA203" s="69" t="s">
        <v>233</v>
      </c>
      <c r="AB203" s="69" t="s">
        <v>236</v>
      </c>
      <c r="AC203" s="69" t="s">
        <v>238</v>
      </c>
      <c r="AD203" s="69" t="s">
        <v>240</v>
      </c>
      <c r="AE203" s="69" t="s">
        <v>243</v>
      </c>
      <c r="AF203" s="91" t="s">
        <v>245</v>
      </c>
      <c r="AG203" s="68"/>
    </row>
    <row r="204" spans="1:35">
      <c r="A204" s="215" t="s">
        <v>937</v>
      </c>
      <c r="B204" s="232" t="s">
        <v>938</v>
      </c>
      <c r="C204" s="232">
        <v>2019</v>
      </c>
      <c r="D204" s="232" t="s">
        <v>680</v>
      </c>
      <c r="E204" s="209">
        <v>9.5000000000000001E-2</v>
      </c>
      <c r="F204" s="209">
        <v>9.5000000000000001E-2</v>
      </c>
      <c r="G204" s="209">
        <v>9.5000000000000001E-2</v>
      </c>
      <c r="H204" s="209">
        <v>9.5000000000000001E-2</v>
      </c>
      <c r="I204" s="209">
        <v>9.5000000000000001E-2</v>
      </c>
      <c r="J204" s="209">
        <v>9.5000000000000001E-2</v>
      </c>
      <c r="K204" s="209">
        <v>9.5000000000000001E-2</v>
      </c>
      <c r="L204" s="209">
        <v>9.5000000000000001E-2</v>
      </c>
      <c r="M204" s="209">
        <v>9.5000000000000001E-2</v>
      </c>
      <c r="N204" s="209">
        <v>9.5000000000000001E-2</v>
      </c>
      <c r="O204" s="209">
        <v>9.5000000000000001E-2</v>
      </c>
      <c r="P204" s="209">
        <v>9.5000000000000001E-2</v>
      </c>
      <c r="Q204" s="209">
        <v>9.5000000000000001E-2</v>
      </c>
      <c r="R204" s="209">
        <v>9.5000000000000001E-2</v>
      </c>
      <c r="S204" s="209">
        <v>9.5000000000000001E-2</v>
      </c>
      <c r="T204" s="209">
        <v>9.5000000000000001E-2</v>
      </c>
      <c r="U204" s="209">
        <v>9.5000000000000001E-2</v>
      </c>
      <c r="V204" s="209">
        <v>9.5000000000000001E-2</v>
      </c>
      <c r="W204" s="209">
        <v>9.5000000000000001E-2</v>
      </c>
      <c r="X204" s="209">
        <v>9.5000000000000001E-2</v>
      </c>
      <c r="Y204" s="209">
        <v>9.5000000000000001E-2</v>
      </c>
      <c r="Z204" s="209">
        <v>9.5000000000000001E-2</v>
      </c>
      <c r="AA204" s="209">
        <v>9.5000000000000001E-2</v>
      </c>
      <c r="AB204" s="209">
        <v>9.5000000000000001E-2</v>
      </c>
      <c r="AC204" s="209">
        <v>9.5000000000000001E-2</v>
      </c>
      <c r="AD204" s="209">
        <v>9.5000000000000001E-2</v>
      </c>
      <c r="AE204" s="209">
        <v>9.5000000000000001E-2</v>
      </c>
      <c r="AF204" s="220">
        <v>9.5000000000000001E-2</v>
      </c>
      <c r="AG204" s="436"/>
    </row>
    <row r="205" spans="1:35">
      <c r="A205" s="215" t="s">
        <v>937</v>
      </c>
      <c r="B205" s="232" t="s">
        <v>938</v>
      </c>
      <c r="C205">
        <v>2020</v>
      </c>
      <c r="D205" s="232" t="s">
        <v>680</v>
      </c>
      <c r="E205" s="209">
        <v>9.5000000000000001E-2</v>
      </c>
      <c r="F205" s="209">
        <v>9.5000000000000001E-2</v>
      </c>
      <c r="G205" s="209">
        <v>9.5000000000000001E-2</v>
      </c>
      <c r="H205" s="209">
        <v>9.5000000000000001E-2</v>
      </c>
      <c r="I205" s="209">
        <v>9.5000000000000001E-2</v>
      </c>
      <c r="J205" s="209">
        <v>9.5000000000000001E-2</v>
      </c>
      <c r="K205" s="209">
        <v>9.5000000000000001E-2</v>
      </c>
      <c r="L205" s="209">
        <v>9.5000000000000001E-2</v>
      </c>
      <c r="M205" s="209">
        <v>9.5000000000000001E-2</v>
      </c>
      <c r="N205" s="209">
        <v>9.5000000000000001E-2</v>
      </c>
      <c r="O205" s="209">
        <v>9.5000000000000001E-2</v>
      </c>
      <c r="P205" s="209">
        <v>9.5000000000000001E-2</v>
      </c>
      <c r="Q205" s="209">
        <v>9.5000000000000001E-2</v>
      </c>
      <c r="R205" s="209">
        <v>9.5000000000000001E-2</v>
      </c>
      <c r="S205" s="209">
        <v>9.5000000000000001E-2</v>
      </c>
      <c r="T205" s="209">
        <v>9.5000000000000001E-2</v>
      </c>
      <c r="U205" s="209">
        <v>9.5000000000000001E-2</v>
      </c>
      <c r="V205" s="209">
        <v>9.5000000000000001E-2</v>
      </c>
      <c r="W205" s="209">
        <v>9.5000000000000001E-2</v>
      </c>
      <c r="X205" s="209">
        <v>9.5000000000000001E-2</v>
      </c>
      <c r="Y205" s="209">
        <v>9.5000000000000001E-2</v>
      </c>
      <c r="Z205" s="209">
        <v>9.5000000000000001E-2</v>
      </c>
      <c r="AA205" s="209">
        <v>9.5000000000000001E-2</v>
      </c>
      <c r="AB205" s="209">
        <v>9.5000000000000001E-2</v>
      </c>
      <c r="AC205" s="209">
        <v>9.5000000000000001E-2</v>
      </c>
      <c r="AD205" s="209">
        <v>9.5000000000000001E-2</v>
      </c>
      <c r="AE205" s="209">
        <v>9.5000000000000001E-2</v>
      </c>
      <c r="AF205" s="220">
        <v>9.5000000000000001E-2</v>
      </c>
      <c r="AG205" s="436"/>
    </row>
    <row r="206" spans="1:35">
      <c r="A206" s="215" t="s">
        <v>937</v>
      </c>
      <c r="B206" s="232" t="s">
        <v>938</v>
      </c>
      <c r="C206" s="232">
        <v>2025</v>
      </c>
      <c r="D206" s="232" t="s">
        <v>680</v>
      </c>
      <c r="E206" s="209">
        <v>9.5000000000000001E-2</v>
      </c>
      <c r="F206" s="209">
        <v>9.5000000000000001E-2</v>
      </c>
      <c r="G206" s="209">
        <v>9.5000000000000001E-2</v>
      </c>
      <c r="H206" s="209">
        <v>9.5000000000000001E-2</v>
      </c>
      <c r="I206" s="209">
        <v>9.5000000000000001E-2</v>
      </c>
      <c r="J206" s="209">
        <v>9.5000000000000001E-2</v>
      </c>
      <c r="K206" s="209">
        <v>9.5000000000000001E-2</v>
      </c>
      <c r="L206" s="209">
        <v>9.5000000000000001E-2</v>
      </c>
      <c r="M206" s="209">
        <v>9.5000000000000001E-2</v>
      </c>
      <c r="N206" s="209">
        <v>9.5000000000000001E-2</v>
      </c>
      <c r="O206" s="209">
        <v>9.5000000000000001E-2</v>
      </c>
      <c r="P206" s="209">
        <v>9.5000000000000001E-2</v>
      </c>
      <c r="Q206" s="209">
        <v>9.5000000000000001E-2</v>
      </c>
      <c r="R206" s="209">
        <v>9.5000000000000001E-2</v>
      </c>
      <c r="S206" s="209">
        <v>9.5000000000000001E-2</v>
      </c>
      <c r="T206" s="209">
        <v>9.5000000000000001E-2</v>
      </c>
      <c r="U206" s="209">
        <v>9.5000000000000001E-2</v>
      </c>
      <c r="V206" s="209">
        <v>9.5000000000000001E-2</v>
      </c>
      <c r="W206" s="209">
        <v>9.5000000000000001E-2</v>
      </c>
      <c r="X206" s="209">
        <v>9.5000000000000001E-2</v>
      </c>
      <c r="Y206" s="209">
        <v>9.5000000000000001E-2</v>
      </c>
      <c r="Z206" s="209">
        <v>9.5000000000000001E-2</v>
      </c>
      <c r="AA206" s="209">
        <v>9.5000000000000001E-2</v>
      </c>
      <c r="AB206" s="209">
        <v>9.5000000000000001E-2</v>
      </c>
      <c r="AC206" s="209">
        <v>9.5000000000000001E-2</v>
      </c>
      <c r="AD206" s="209">
        <v>9.5000000000000001E-2</v>
      </c>
      <c r="AE206" s="209">
        <v>9.5000000000000001E-2</v>
      </c>
      <c r="AF206" s="220">
        <v>9.5000000000000001E-2</v>
      </c>
      <c r="AG206" s="436"/>
    </row>
    <row r="207" spans="1:35">
      <c r="A207" s="215" t="s">
        <v>937</v>
      </c>
      <c r="B207" s="232" t="s">
        <v>938</v>
      </c>
      <c r="C207" s="232">
        <v>2030</v>
      </c>
      <c r="D207" s="232" t="s">
        <v>680</v>
      </c>
      <c r="E207" s="209">
        <v>9.5000000000000001E-2</v>
      </c>
      <c r="F207" s="209">
        <v>9.5000000000000001E-2</v>
      </c>
      <c r="G207" s="209">
        <v>9.5000000000000001E-2</v>
      </c>
      <c r="H207" s="209">
        <v>9.5000000000000001E-2</v>
      </c>
      <c r="I207" s="209">
        <v>9.5000000000000001E-2</v>
      </c>
      <c r="J207" s="209">
        <v>9.5000000000000001E-2</v>
      </c>
      <c r="K207" s="209">
        <v>9.5000000000000001E-2</v>
      </c>
      <c r="L207" s="209">
        <v>9.5000000000000001E-2</v>
      </c>
      <c r="M207" s="209">
        <v>9.5000000000000001E-2</v>
      </c>
      <c r="N207" s="209">
        <v>9.5000000000000001E-2</v>
      </c>
      <c r="O207" s="209">
        <v>9.5000000000000001E-2</v>
      </c>
      <c r="P207" s="209">
        <v>9.5000000000000001E-2</v>
      </c>
      <c r="Q207" s="209">
        <v>9.5000000000000001E-2</v>
      </c>
      <c r="R207" s="209">
        <v>9.5000000000000001E-2</v>
      </c>
      <c r="S207" s="209">
        <v>9.5000000000000001E-2</v>
      </c>
      <c r="T207" s="209">
        <v>9.5000000000000001E-2</v>
      </c>
      <c r="U207" s="209">
        <v>9.5000000000000001E-2</v>
      </c>
      <c r="V207" s="209">
        <v>9.5000000000000001E-2</v>
      </c>
      <c r="W207" s="209">
        <v>9.5000000000000001E-2</v>
      </c>
      <c r="X207" s="209">
        <v>9.5000000000000001E-2</v>
      </c>
      <c r="Y207" s="209">
        <v>9.5000000000000001E-2</v>
      </c>
      <c r="Z207" s="209">
        <v>9.5000000000000001E-2</v>
      </c>
      <c r="AA207" s="209">
        <v>9.5000000000000001E-2</v>
      </c>
      <c r="AB207" s="209">
        <v>9.5000000000000001E-2</v>
      </c>
      <c r="AC207" s="209">
        <v>9.5000000000000001E-2</v>
      </c>
      <c r="AD207" s="209">
        <v>9.5000000000000001E-2</v>
      </c>
      <c r="AE207" s="209">
        <v>9.5000000000000001E-2</v>
      </c>
      <c r="AF207" s="220">
        <v>9.5000000000000001E-2</v>
      </c>
      <c r="AG207" s="436"/>
    </row>
    <row r="208" spans="1:35">
      <c r="A208" s="215" t="s">
        <v>937</v>
      </c>
      <c r="B208" s="232" t="s">
        <v>938</v>
      </c>
      <c r="C208" s="232">
        <v>2035</v>
      </c>
      <c r="D208" s="232" t="s">
        <v>680</v>
      </c>
      <c r="E208" s="209">
        <v>9.5000000000000001E-2</v>
      </c>
      <c r="F208" s="209">
        <v>9.5000000000000001E-2</v>
      </c>
      <c r="G208" s="209">
        <v>9.5000000000000001E-2</v>
      </c>
      <c r="H208" s="209">
        <v>9.5000000000000001E-2</v>
      </c>
      <c r="I208" s="209">
        <v>9.5000000000000001E-2</v>
      </c>
      <c r="J208" s="209">
        <v>9.5000000000000001E-2</v>
      </c>
      <c r="K208" s="209">
        <v>9.5000000000000001E-2</v>
      </c>
      <c r="L208" s="209">
        <v>9.5000000000000001E-2</v>
      </c>
      <c r="M208" s="209">
        <v>9.5000000000000001E-2</v>
      </c>
      <c r="N208" s="209">
        <v>9.5000000000000001E-2</v>
      </c>
      <c r="O208" s="209">
        <v>9.5000000000000001E-2</v>
      </c>
      <c r="P208" s="209">
        <v>9.5000000000000001E-2</v>
      </c>
      <c r="Q208" s="209">
        <v>9.5000000000000001E-2</v>
      </c>
      <c r="R208" s="209">
        <v>9.5000000000000001E-2</v>
      </c>
      <c r="S208" s="209">
        <v>9.5000000000000001E-2</v>
      </c>
      <c r="T208" s="209">
        <v>9.5000000000000001E-2</v>
      </c>
      <c r="U208" s="209">
        <v>9.5000000000000001E-2</v>
      </c>
      <c r="V208" s="209">
        <v>9.5000000000000001E-2</v>
      </c>
      <c r="W208" s="209">
        <v>9.5000000000000001E-2</v>
      </c>
      <c r="X208" s="209">
        <v>9.5000000000000001E-2</v>
      </c>
      <c r="Y208" s="209">
        <v>9.5000000000000001E-2</v>
      </c>
      <c r="Z208" s="209">
        <v>9.5000000000000001E-2</v>
      </c>
      <c r="AA208" s="209">
        <v>9.5000000000000001E-2</v>
      </c>
      <c r="AB208" s="209">
        <v>9.5000000000000001E-2</v>
      </c>
      <c r="AC208" s="209">
        <v>9.5000000000000001E-2</v>
      </c>
      <c r="AD208" s="209">
        <v>9.5000000000000001E-2</v>
      </c>
      <c r="AE208" s="209">
        <v>9.5000000000000001E-2</v>
      </c>
      <c r="AF208" s="220">
        <v>9.5000000000000001E-2</v>
      </c>
      <c r="AG208" s="436"/>
    </row>
    <row r="209" spans="1:33">
      <c r="A209" s="215" t="s">
        <v>937</v>
      </c>
      <c r="B209" s="232" t="s">
        <v>938</v>
      </c>
      <c r="C209" s="232">
        <v>2040</v>
      </c>
      <c r="D209" s="232" t="s">
        <v>680</v>
      </c>
      <c r="E209" s="209">
        <v>9.5000000000000001E-2</v>
      </c>
      <c r="F209" s="209">
        <v>9.5000000000000001E-2</v>
      </c>
      <c r="G209" s="209">
        <v>9.5000000000000001E-2</v>
      </c>
      <c r="H209" s="209">
        <v>9.5000000000000001E-2</v>
      </c>
      <c r="I209" s="209">
        <v>9.5000000000000001E-2</v>
      </c>
      <c r="J209" s="209">
        <v>9.5000000000000001E-2</v>
      </c>
      <c r="K209" s="209">
        <v>9.5000000000000001E-2</v>
      </c>
      <c r="L209" s="209">
        <v>9.5000000000000001E-2</v>
      </c>
      <c r="M209" s="209">
        <v>9.5000000000000001E-2</v>
      </c>
      <c r="N209" s="209">
        <v>9.5000000000000001E-2</v>
      </c>
      <c r="O209" s="209">
        <v>9.5000000000000001E-2</v>
      </c>
      <c r="P209" s="209">
        <v>9.5000000000000001E-2</v>
      </c>
      <c r="Q209" s="209">
        <v>9.5000000000000001E-2</v>
      </c>
      <c r="R209" s="209">
        <v>9.5000000000000001E-2</v>
      </c>
      <c r="S209" s="209">
        <v>9.5000000000000001E-2</v>
      </c>
      <c r="T209" s="209">
        <v>9.5000000000000001E-2</v>
      </c>
      <c r="U209" s="209">
        <v>9.5000000000000001E-2</v>
      </c>
      <c r="V209" s="209">
        <v>9.5000000000000001E-2</v>
      </c>
      <c r="W209" s="209">
        <v>9.5000000000000001E-2</v>
      </c>
      <c r="X209" s="209">
        <v>9.5000000000000001E-2</v>
      </c>
      <c r="Y209" s="209">
        <v>9.5000000000000001E-2</v>
      </c>
      <c r="Z209" s="209">
        <v>9.5000000000000001E-2</v>
      </c>
      <c r="AA209" s="209">
        <v>9.5000000000000001E-2</v>
      </c>
      <c r="AB209" s="209">
        <v>9.5000000000000001E-2</v>
      </c>
      <c r="AC209" s="209">
        <v>9.5000000000000001E-2</v>
      </c>
      <c r="AD209" s="209">
        <v>9.5000000000000001E-2</v>
      </c>
      <c r="AE209" s="209">
        <v>9.5000000000000001E-2</v>
      </c>
      <c r="AF209" s="220">
        <v>9.5000000000000001E-2</v>
      </c>
      <c r="AG209" s="436"/>
    </row>
    <row r="210" spans="1:33">
      <c r="A210" s="215" t="s">
        <v>937</v>
      </c>
      <c r="B210" s="232" t="s">
        <v>938</v>
      </c>
      <c r="C210" s="232">
        <v>2045</v>
      </c>
      <c r="D210" s="232" t="s">
        <v>680</v>
      </c>
      <c r="E210" s="209">
        <v>9.5000000000000001E-2</v>
      </c>
      <c r="F210" s="209">
        <v>9.5000000000000001E-2</v>
      </c>
      <c r="G210" s="209">
        <v>9.5000000000000001E-2</v>
      </c>
      <c r="H210" s="209">
        <v>9.5000000000000001E-2</v>
      </c>
      <c r="I210" s="209">
        <v>9.5000000000000001E-2</v>
      </c>
      <c r="J210" s="209">
        <v>9.5000000000000001E-2</v>
      </c>
      <c r="K210" s="209">
        <v>9.5000000000000001E-2</v>
      </c>
      <c r="L210" s="209">
        <v>9.5000000000000001E-2</v>
      </c>
      <c r="M210" s="209">
        <v>9.5000000000000001E-2</v>
      </c>
      <c r="N210" s="209">
        <v>9.5000000000000001E-2</v>
      </c>
      <c r="O210" s="209">
        <v>9.5000000000000001E-2</v>
      </c>
      <c r="P210" s="209">
        <v>9.5000000000000001E-2</v>
      </c>
      <c r="Q210" s="209">
        <v>9.5000000000000001E-2</v>
      </c>
      <c r="R210" s="209">
        <v>9.5000000000000001E-2</v>
      </c>
      <c r="S210" s="209">
        <v>9.5000000000000001E-2</v>
      </c>
      <c r="T210" s="209">
        <v>9.5000000000000001E-2</v>
      </c>
      <c r="U210" s="209">
        <v>9.5000000000000001E-2</v>
      </c>
      <c r="V210" s="209">
        <v>9.5000000000000001E-2</v>
      </c>
      <c r="W210" s="209">
        <v>9.5000000000000001E-2</v>
      </c>
      <c r="X210" s="209">
        <v>9.5000000000000001E-2</v>
      </c>
      <c r="Y210" s="209">
        <v>9.5000000000000001E-2</v>
      </c>
      <c r="Z210" s="209">
        <v>9.5000000000000001E-2</v>
      </c>
      <c r="AA210" s="209">
        <v>9.5000000000000001E-2</v>
      </c>
      <c r="AB210" s="209">
        <v>9.5000000000000001E-2</v>
      </c>
      <c r="AC210" s="209">
        <v>9.5000000000000001E-2</v>
      </c>
      <c r="AD210" s="209">
        <v>9.5000000000000001E-2</v>
      </c>
      <c r="AE210" s="209">
        <v>9.5000000000000001E-2</v>
      </c>
      <c r="AF210" s="220">
        <v>9.5000000000000001E-2</v>
      </c>
      <c r="AG210" s="436"/>
    </row>
    <row r="211" spans="1:33">
      <c r="A211" s="215" t="s">
        <v>937</v>
      </c>
      <c r="B211" s="232" t="s">
        <v>938</v>
      </c>
      <c r="C211" s="232">
        <v>2050</v>
      </c>
      <c r="D211" s="232" t="s">
        <v>680</v>
      </c>
      <c r="E211" s="209">
        <v>9.5000000000000001E-2</v>
      </c>
      <c r="F211" s="209">
        <v>9.5000000000000001E-2</v>
      </c>
      <c r="G211" s="209">
        <v>9.5000000000000001E-2</v>
      </c>
      <c r="H211" s="209">
        <v>9.5000000000000001E-2</v>
      </c>
      <c r="I211" s="209">
        <v>9.5000000000000001E-2</v>
      </c>
      <c r="J211" s="209">
        <v>9.5000000000000001E-2</v>
      </c>
      <c r="K211" s="209">
        <v>9.5000000000000001E-2</v>
      </c>
      <c r="L211" s="209">
        <v>9.5000000000000001E-2</v>
      </c>
      <c r="M211" s="209">
        <v>9.5000000000000001E-2</v>
      </c>
      <c r="N211" s="209">
        <v>9.5000000000000001E-2</v>
      </c>
      <c r="O211" s="209">
        <v>9.5000000000000001E-2</v>
      </c>
      <c r="P211" s="209">
        <v>9.5000000000000001E-2</v>
      </c>
      <c r="Q211" s="209">
        <v>9.5000000000000001E-2</v>
      </c>
      <c r="R211" s="209">
        <v>9.5000000000000001E-2</v>
      </c>
      <c r="S211" s="209">
        <v>9.5000000000000001E-2</v>
      </c>
      <c r="T211" s="209">
        <v>9.5000000000000001E-2</v>
      </c>
      <c r="U211" s="209">
        <v>9.5000000000000001E-2</v>
      </c>
      <c r="V211" s="209">
        <v>9.5000000000000001E-2</v>
      </c>
      <c r="W211" s="209">
        <v>9.5000000000000001E-2</v>
      </c>
      <c r="X211" s="209">
        <v>9.5000000000000001E-2</v>
      </c>
      <c r="Y211" s="209">
        <v>9.5000000000000001E-2</v>
      </c>
      <c r="Z211" s="209">
        <v>9.5000000000000001E-2</v>
      </c>
      <c r="AA211" s="209">
        <v>9.5000000000000001E-2</v>
      </c>
      <c r="AB211" s="209">
        <v>9.5000000000000001E-2</v>
      </c>
      <c r="AC211" s="209">
        <v>9.5000000000000001E-2</v>
      </c>
      <c r="AD211" s="209">
        <v>9.5000000000000001E-2</v>
      </c>
      <c r="AE211" s="209">
        <v>9.5000000000000001E-2</v>
      </c>
      <c r="AF211" s="220">
        <v>9.5000000000000001E-2</v>
      </c>
      <c r="AG211" s="436"/>
    </row>
    <row r="212" spans="1:33">
      <c r="A212" s="215" t="s">
        <v>937</v>
      </c>
      <c r="B212" s="232" t="s">
        <v>938</v>
      </c>
      <c r="C212" s="232">
        <v>2060</v>
      </c>
      <c r="D212" s="232" t="s">
        <v>680</v>
      </c>
      <c r="E212" s="209">
        <v>9.5000000000000001E-2</v>
      </c>
      <c r="F212" s="209">
        <v>9.5000000000000001E-2</v>
      </c>
      <c r="G212" s="209">
        <v>9.5000000000000001E-2</v>
      </c>
      <c r="H212" s="209">
        <v>9.5000000000000001E-2</v>
      </c>
      <c r="I212" s="209">
        <v>9.5000000000000001E-2</v>
      </c>
      <c r="J212" s="209">
        <v>9.5000000000000001E-2</v>
      </c>
      <c r="K212" s="209">
        <v>9.5000000000000001E-2</v>
      </c>
      <c r="L212" s="209">
        <v>9.5000000000000001E-2</v>
      </c>
      <c r="M212" s="209">
        <v>9.5000000000000001E-2</v>
      </c>
      <c r="N212" s="209">
        <v>9.5000000000000001E-2</v>
      </c>
      <c r="O212" s="209">
        <v>9.5000000000000001E-2</v>
      </c>
      <c r="P212" s="209">
        <v>9.5000000000000001E-2</v>
      </c>
      <c r="Q212" s="209">
        <v>9.5000000000000001E-2</v>
      </c>
      <c r="R212" s="209">
        <v>9.5000000000000001E-2</v>
      </c>
      <c r="S212" s="209">
        <v>9.5000000000000001E-2</v>
      </c>
      <c r="T212" s="209">
        <v>9.5000000000000001E-2</v>
      </c>
      <c r="U212" s="209">
        <v>9.5000000000000001E-2</v>
      </c>
      <c r="V212" s="209">
        <v>9.5000000000000001E-2</v>
      </c>
      <c r="W212" s="209">
        <v>9.5000000000000001E-2</v>
      </c>
      <c r="X212" s="209">
        <v>9.5000000000000001E-2</v>
      </c>
      <c r="Y212" s="209">
        <v>9.5000000000000001E-2</v>
      </c>
      <c r="Z212" s="209">
        <v>9.5000000000000001E-2</v>
      </c>
      <c r="AA212" s="209">
        <v>9.5000000000000001E-2</v>
      </c>
      <c r="AB212" s="209">
        <v>9.5000000000000001E-2</v>
      </c>
      <c r="AC212" s="209">
        <v>9.5000000000000001E-2</v>
      </c>
      <c r="AD212" s="209">
        <v>9.5000000000000001E-2</v>
      </c>
      <c r="AE212" s="209">
        <v>9.5000000000000001E-2</v>
      </c>
      <c r="AF212" s="220">
        <v>9.5000000000000001E-2</v>
      </c>
      <c r="AG212" s="436"/>
    </row>
    <row r="213" spans="1:33">
      <c r="A213" s="215" t="s">
        <v>937</v>
      </c>
      <c r="B213" s="232" t="s">
        <v>938</v>
      </c>
      <c r="C213" s="232">
        <v>2070</v>
      </c>
      <c r="D213" s="232" t="s">
        <v>680</v>
      </c>
      <c r="E213" s="209">
        <v>9.5000000000000001E-2</v>
      </c>
      <c r="F213" s="209">
        <v>9.5000000000000001E-2</v>
      </c>
      <c r="G213" s="209">
        <v>9.5000000000000001E-2</v>
      </c>
      <c r="H213" s="209">
        <v>9.5000000000000001E-2</v>
      </c>
      <c r="I213" s="209">
        <v>9.5000000000000001E-2</v>
      </c>
      <c r="J213" s="209">
        <v>9.5000000000000001E-2</v>
      </c>
      <c r="K213" s="209">
        <v>9.5000000000000001E-2</v>
      </c>
      <c r="L213" s="209">
        <v>9.5000000000000001E-2</v>
      </c>
      <c r="M213" s="209">
        <v>9.5000000000000001E-2</v>
      </c>
      <c r="N213" s="209">
        <v>9.5000000000000001E-2</v>
      </c>
      <c r="O213" s="209">
        <v>9.5000000000000001E-2</v>
      </c>
      <c r="P213" s="209">
        <v>9.5000000000000001E-2</v>
      </c>
      <c r="Q213" s="209">
        <v>9.5000000000000001E-2</v>
      </c>
      <c r="R213" s="209">
        <v>9.5000000000000001E-2</v>
      </c>
      <c r="S213" s="209">
        <v>9.5000000000000001E-2</v>
      </c>
      <c r="T213" s="209">
        <v>9.5000000000000001E-2</v>
      </c>
      <c r="U213" s="209">
        <v>9.5000000000000001E-2</v>
      </c>
      <c r="V213" s="209">
        <v>9.5000000000000001E-2</v>
      </c>
      <c r="W213" s="209">
        <v>9.5000000000000001E-2</v>
      </c>
      <c r="X213" s="209">
        <v>9.5000000000000001E-2</v>
      </c>
      <c r="Y213" s="209">
        <v>9.5000000000000001E-2</v>
      </c>
      <c r="Z213" s="209">
        <v>9.5000000000000001E-2</v>
      </c>
      <c r="AA213" s="209">
        <v>9.5000000000000001E-2</v>
      </c>
      <c r="AB213" s="209">
        <v>9.5000000000000001E-2</v>
      </c>
      <c r="AC213" s="209">
        <v>9.5000000000000001E-2</v>
      </c>
      <c r="AD213" s="209">
        <v>9.5000000000000001E-2</v>
      </c>
      <c r="AE213" s="209">
        <v>9.5000000000000001E-2</v>
      </c>
      <c r="AF213" s="220">
        <v>9.5000000000000001E-2</v>
      </c>
      <c r="AG213" s="436"/>
    </row>
    <row r="214" spans="1:33">
      <c r="A214" s="215" t="s">
        <v>937</v>
      </c>
      <c r="B214" s="232" t="s">
        <v>938</v>
      </c>
      <c r="C214" s="232">
        <v>2080</v>
      </c>
      <c r="D214" s="232" t="s">
        <v>680</v>
      </c>
      <c r="E214" s="209">
        <v>9.5000000000000001E-2</v>
      </c>
      <c r="F214" s="209">
        <v>9.5000000000000001E-2</v>
      </c>
      <c r="G214" s="209">
        <v>9.5000000000000001E-2</v>
      </c>
      <c r="H214" s="209">
        <v>9.5000000000000001E-2</v>
      </c>
      <c r="I214" s="209">
        <v>9.5000000000000001E-2</v>
      </c>
      <c r="J214" s="209">
        <v>9.5000000000000001E-2</v>
      </c>
      <c r="K214" s="209">
        <v>9.5000000000000001E-2</v>
      </c>
      <c r="L214" s="209">
        <v>9.5000000000000001E-2</v>
      </c>
      <c r="M214" s="209">
        <v>9.5000000000000001E-2</v>
      </c>
      <c r="N214" s="209">
        <v>9.5000000000000001E-2</v>
      </c>
      <c r="O214" s="209">
        <v>9.5000000000000001E-2</v>
      </c>
      <c r="P214" s="209">
        <v>9.5000000000000001E-2</v>
      </c>
      <c r="Q214" s="209">
        <v>9.5000000000000001E-2</v>
      </c>
      <c r="R214" s="209">
        <v>9.5000000000000001E-2</v>
      </c>
      <c r="S214" s="209">
        <v>9.5000000000000001E-2</v>
      </c>
      <c r="T214" s="209">
        <v>9.5000000000000001E-2</v>
      </c>
      <c r="U214" s="209">
        <v>9.5000000000000001E-2</v>
      </c>
      <c r="V214" s="209">
        <v>9.5000000000000001E-2</v>
      </c>
      <c r="W214" s="209">
        <v>9.5000000000000001E-2</v>
      </c>
      <c r="X214" s="209">
        <v>9.5000000000000001E-2</v>
      </c>
      <c r="Y214" s="209">
        <v>9.5000000000000001E-2</v>
      </c>
      <c r="Z214" s="209">
        <v>9.5000000000000001E-2</v>
      </c>
      <c r="AA214" s="209">
        <v>9.5000000000000001E-2</v>
      </c>
      <c r="AB214" s="209">
        <v>9.5000000000000001E-2</v>
      </c>
      <c r="AC214" s="209">
        <v>9.5000000000000001E-2</v>
      </c>
      <c r="AD214" s="209">
        <v>9.5000000000000001E-2</v>
      </c>
      <c r="AE214" s="209">
        <v>9.5000000000000001E-2</v>
      </c>
      <c r="AF214" s="220">
        <v>9.5000000000000001E-2</v>
      </c>
      <c r="AG214" s="436"/>
    </row>
    <row r="215" spans="1:33">
      <c r="A215" s="215" t="s">
        <v>937</v>
      </c>
      <c r="B215" s="232" t="s">
        <v>938</v>
      </c>
      <c r="C215" s="232">
        <v>2090</v>
      </c>
      <c r="D215" s="232" t="s">
        <v>680</v>
      </c>
      <c r="E215" s="209">
        <v>9.5000000000000001E-2</v>
      </c>
      <c r="F215" s="209">
        <v>9.5000000000000001E-2</v>
      </c>
      <c r="G215" s="209">
        <v>9.5000000000000001E-2</v>
      </c>
      <c r="H215" s="209">
        <v>9.5000000000000001E-2</v>
      </c>
      <c r="I215" s="209">
        <v>9.5000000000000001E-2</v>
      </c>
      <c r="J215" s="209">
        <v>9.5000000000000001E-2</v>
      </c>
      <c r="K215" s="209">
        <v>9.5000000000000001E-2</v>
      </c>
      <c r="L215" s="209">
        <v>9.5000000000000001E-2</v>
      </c>
      <c r="M215" s="209">
        <v>9.5000000000000001E-2</v>
      </c>
      <c r="N215" s="209">
        <v>9.5000000000000001E-2</v>
      </c>
      <c r="O215" s="209">
        <v>9.5000000000000001E-2</v>
      </c>
      <c r="P215" s="209">
        <v>9.5000000000000001E-2</v>
      </c>
      <c r="Q215" s="209">
        <v>9.5000000000000001E-2</v>
      </c>
      <c r="R215" s="209">
        <v>9.5000000000000001E-2</v>
      </c>
      <c r="S215" s="209">
        <v>9.5000000000000001E-2</v>
      </c>
      <c r="T215" s="209">
        <v>9.5000000000000001E-2</v>
      </c>
      <c r="U215" s="209">
        <v>9.5000000000000001E-2</v>
      </c>
      <c r="V215" s="209">
        <v>9.5000000000000001E-2</v>
      </c>
      <c r="W215" s="209">
        <v>9.5000000000000001E-2</v>
      </c>
      <c r="X215" s="209">
        <v>9.5000000000000001E-2</v>
      </c>
      <c r="Y215" s="209">
        <v>9.5000000000000001E-2</v>
      </c>
      <c r="Z215" s="209">
        <v>9.5000000000000001E-2</v>
      </c>
      <c r="AA215" s="209">
        <v>9.5000000000000001E-2</v>
      </c>
      <c r="AB215" s="209">
        <v>9.5000000000000001E-2</v>
      </c>
      <c r="AC215" s="209">
        <v>9.5000000000000001E-2</v>
      </c>
      <c r="AD215" s="209">
        <v>9.5000000000000001E-2</v>
      </c>
      <c r="AE215" s="209">
        <v>9.5000000000000001E-2</v>
      </c>
      <c r="AF215" s="220">
        <v>9.5000000000000001E-2</v>
      </c>
      <c r="AG215" s="436"/>
    </row>
    <row r="216" spans="1:33">
      <c r="A216" s="229" t="s">
        <v>937</v>
      </c>
      <c r="B216" s="235" t="s">
        <v>938</v>
      </c>
      <c r="C216" s="235">
        <v>2100</v>
      </c>
      <c r="D216" s="235" t="s">
        <v>680</v>
      </c>
      <c r="E216" s="223">
        <v>9.5000000000000001E-2</v>
      </c>
      <c r="F216" s="226">
        <v>9.5000000000000001E-2</v>
      </c>
      <c r="G216" s="226">
        <v>9.5000000000000001E-2</v>
      </c>
      <c r="H216" s="226">
        <v>9.5000000000000001E-2</v>
      </c>
      <c r="I216" s="226">
        <v>9.5000000000000001E-2</v>
      </c>
      <c r="J216" s="226">
        <v>9.5000000000000001E-2</v>
      </c>
      <c r="K216" s="226">
        <v>9.5000000000000001E-2</v>
      </c>
      <c r="L216" s="226">
        <v>9.5000000000000001E-2</v>
      </c>
      <c r="M216" s="226">
        <v>9.5000000000000001E-2</v>
      </c>
      <c r="N216" s="226">
        <v>9.5000000000000001E-2</v>
      </c>
      <c r="O216" s="226">
        <v>9.5000000000000001E-2</v>
      </c>
      <c r="P216" s="226">
        <v>9.5000000000000001E-2</v>
      </c>
      <c r="Q216" s="226">
        <v>9.5000000000000001E-2</v>
      </c>
      <c r="R216" s="226">
        <v>9.5000000000000001E-2</v>
      </c>
      <c r="S216" s="226">
        <v>9.5000000000000001E-2</v>
      </c>
      <c r="T216" s="226">
        <v>9.5000000000000001E-2</v>
      </c>
      <c r="U216" s="226">
        <v>9.5000000000000001E-2</v>
      </c>
      <c r="V216" s="226">
        <v>9.5000000000000001E-2</v>
      </c>
      <c r="W216" s="226">
        <v>9.5000000000000001E-2</v>
      </c>
      <c r="X216" s="226">
        <v>9.5000000000000001E-2</v>
      </c>
      <c r="Y216" s="226">
        <v>9.5000000000000001E-2</v>
      </c>
      <c r="Z216" s="226">
        <v>9.5000000000000001E-2</v>
      </c>
      <c r="AA216" s="226">
        <v>9.5000000000000001E-2</v>
      </c>
      <c r="AB216" s="226">
        <v>9.5000000000000001E-2</v>
      </c>
      <c r="AC216" s="226">
        <v>9.5000000000000001E-2</v>
      </c>
      <c r="AD216" s="226">
        <v>9.5000000000000001E-2</v>
      </c>
      <c r="AE216" s="226">
        <v>9.5000000000000001E-2</v>
      </c>
      <c r="AF216" s="224">
        <v>9.5000000000000001E-2</v>
      </c>
      <c r="AG216" s="437"/>
    </row>
    <row r="217" spans="1:33">
      <c r="A217" s="215" t="s">
        <v>937</v>
      </c>
      <c r="B217" s="232" t="s">
        <v>940</v>
      </c>
      <c r="C217" s="232">
        <v>2019</v>
      </c>
      <c r="D217" s="232" t="s">
        <v>680</v>
      </c>
      <c r="E217" s="209">
        <v>0.19</v>
      </c>
      <c r="F217" s="209">
        <v>0.19</v>
      </c>
      <c r="G217" s="209">
        <v>0.19</v>
      </c>
      <c r="H217" s="209">
        <v>0.19</v>
      </c>
      <c r="I217" s="209">
        <v>0.19</v>
      </c>
      <c r="J217" s="209">
        <v>0.19</v>
      </c>
      <c r="K217" s="209">
        <v>0.19</v>
      </c>
      <c r="L217" s="209">
        <v>0.19</v>
      </c>
      <c r="M217" s="209">
        <v>0.19</v>
      </c>
      <c r="N217" s="209">
        <v>0.19</v>
      </c>
      <c r="O217" s="209">
        <v>0.19</v>
      </c>
      <c r="P217" s="209">
        <v>0.19</v>
      </c>
      <c r="Q217" s="209">
        <v>0.19</v>
      </c>
      <c r="R217" s="209">
        <v>0.19</v>
      </c>
      <c r="S217" s="209">
        <v>0.19</v>
      </c>
      <c r="T217" s="209">
        <v>0.19</v>
      </c>
      <c r="U217" s="209">
        <v>0.19</v>
      </c>
      <c r="V217" s="209">
        <v>0.19</v>
      </c>
      <c r="W217" s="209">
        <v>0.19</v>
      </c>
      <c r="X217" s="209">
        <v>0.19</v>
      </c>
      <c r="Y217" s="209">
        <v>0.19</v>
      </c>
      <c r="Z217" s="209">
        <v>0.19</v>
      </c>
      <c r="AA217" s="209">
        <v>0.19</v>
      </c>
      <c r="AB217" s="209">
        <v>0.19</v>
      </c>
      <c r="AC217" s="209">
        <v>0.19</v>
      </c>
      <c r="AD217" s="209">
        <v>0.19</v>
      </c>
      <c r="AE217" s="209">
        <v>0.19</v>
      </c>
      <c r="AF217" s="220">
        <v>0.19</v>
      </c>
      <c r="AG217" s="436"/>
    </row>
    <row r="218" spans="1:33">
      <c r="A218" s="215" t="s">
        <v>937</v>
      </c>
      <c r="B218" s="232" t="s">
        <v>940</v>
      </c>
      <c r="C218">
        <v>2020</v>
      </c>
      <c r="D218" s="232" t="s">
        <v>680</v>
      </c>
      <c r="E218" s="209">
        <v>0.19</v>
      </c>
      <c r="F218" s="209">
        <v>0.19</v>
      </c>
      <c r="G218" s="209">
        <v>0.19</v>
      </c>
      <c r="H218" s="209">
        <v>0.19</v>
      </c>
      <c r="I218" s="209">
        <v>0.19</v>
      </c>
      <c r="J218" s="209">
        <v>0.19</v>
      </c>
      <c r="K218" s="209">
        <v>0.19</v>
      </c>
      <c r="L218" s="209">
        <v>0.19</v>
      </c>
      <c r="M218" s="209">
        <v>0.19</v>
      </c>
      <c r="N218" s="209">
        <v>0.19</v>
      </c>
      <c r="O218" s="209">
        <v>0.19</v>
      </c>
      <c r="P218" s="209">
        <v>0.19</v>
      </c>
      <c r="Q218" s="209">
        <v>0.19</v>
      </c>
      <c r="R218" s="209">
        <v>0.19</v>
      </c>
      <c r="S218" s="209">
        <v>0.19</v>
      </c>
      <c r="T218" s="209">
        <v>0.19</v>
      </c>
      <c r="U218" s="209">
        <v>0.19</v>
      </c>
      <c r="V218" s="209">
        <v>0.19</v>
      </c>
      <c r="W218" s="209">
        <v>0.19</v>
      </c>
      <c r="X218" s="209">
        <v>0.19</v>
      </c>
      <c r="Y218" s="209">
        <v>0.19</v>
      </c>
      <c r="Z218" s="209">
        <v>0.19</v>
      </c>
      <c r="AA218" s="209">
        <v>0.19</v>
      </c>
      <c r="AB218" s="209">
        <v>0.19</v>
      </c>
      <c r="AC218" s="209">
        <v>0.19</v>
      </c>
      <c r="AD218" s="209">
        <v>0.19</v>
      </c>
      <c r="AE218" s="209">
        <v>0.19</v>
      </c>
      <c r="AF218" s="220">
        <v>0.19</v>
      </c>
      <c r="AG218" s="436"/>
    </row>
    <row r="219" spans="1:33">
      <c r="A219" s="215" t="s">
        <v>937</v>
      </c>
      <c r="B219" s="232" t="s">
        <v>940</v>
      </c>
      <c r="C219" s="232">
        <v>2025</v>
      </c>
      <c r="D219" s="232" t="s">
        <v>680</v>
      </c>
      <c r="E219" s="209">
        <v>0.19</v>
      </c>
      <c r="F219" s="209">
        <v>0.19</v>
      </c>
      <c r="G219" s="209">
        <v>0.19</v>
      </c>
      <c r="H219" s="209">
        <v>0.19</v>
      </c>
      <c r="I219" s="209">
        <v>0.19</v>
      </c>
      <c r="J219" s="209">
        <v>0.19</v>
      </c>
      <c r="K219" s="209">
        <v>0.19</v>
      </c>
      <c r="L219" s="209">
        <v>0.19</v>
      </c>
      <c r="M219" s="209">
        <v>0.19</v>
      </c>
      <c r="N219" s="209">
        <v>0.19</v>
      </c>
      <c r="O219" s="209">
        <v>0.19</v>
      </c>
      <c r="P219" s="209">
        <v>0.19</v>
      </c>
      <c r="Q219" s="209">
        <v>0.19</v>
      </c>
      <c r="R219" s="209">
        <v>0.19</v>
      </c>
      <c r="S219" s="209">
        <v>0.19</v>
      </c>
      <c r="T219" s="209">
        <v>0.19</v>
      </c>
      <c r="U219" s="209">
        <v>0.19</v>
      </c>
      <c r="V219" s="209">
        <v>0.19</v>
      </c>
      <c r="W219" s="209">
        <v>0.19</v>
      </c>
      <c r="X219" s="209">
        <v>0.19</v>
      </c>
      <c r="Y219" s="209">
        <v>0.19</v>
      </c>
      <c r="Z219" s="209">
        <v>0.19</v>
      </c>
      <c r="AA219" s="209">
        <v>0.19</v>
      </c>
      <c r="AB219" s="209">
        <v>0.19</v>
      </c>
      <c r="AC219" s="209">
        <v>0.19</v>
      </c>
      <c r="AD219" s="209">
        <v>0.19</v>
      </c>
      <c r="AE219" s="209">
        <v>0.19</v>
      </c>
      <c r="AF219" s="220">
        <v>0.19</v>
      </c>
      <c r="AG219" s="436"/>
    </row>
    <row r="220" spans="1:33">
      <c r="A220" s="215" t="s">
        <v>937</v>
      </c>
      <c r="B220" s="232" t="s">
        <v>940</v>
      </c>
      <c r="C220" s="232">
        <v>2030</v>
      </c>
      <c r="D220" s="232" t="s">
        <v>680</v>
      </c>
      <c r="E220" s="209">
        <v>0.19</v>
      </c>
      <c r="F220" s="209">
        <v>0.19</v>
      </c>
      <c r="G220" s="209">
        <v>0.19</v>
      </c>
      <c r="H220" s="209">
        <v>0.19</v>
      </c>
      <c r="I220" s="209">
        <v>0.19</v>
      </c>
      <c r="J220" s="209">
        <v>0.19</v>
      </c>
      <c r="K220" s="209">
        <v>0.19</v>
      </c>
      <c r="L220" s="209">
        <v>0.19</v>
      </c>
      <c r="M220" s="209">
        <v>0.19</v>
      </c>
      <c r="N220" s="209">
        <v>0.19</v>
      </c>
      <c r="O220" s="209">
        <v>0.19</v>
      </c>
      <c r="P220" s="209">
        <v>0.19</v>
      </c>
      <c r="Q220" s="209">
        <v>0.19</v>
      </c>
      <c r="R220" s="209">
        <v>0.19</v>
      </c>
      <c r="S220" s="209">
        <v>0.19</v>
      </c>
      <c r="T220" s="209">
        <v>0.19</v>
      </c>
      <c r="U220" s="209">
        <v>0.19</v>
      </c>
      <c r="V220" s="209">
        <v>0.19</v>
      </c>
      <c r="W220" s="209">
        <v>0.19</v>
      </c>
      <c r="X220" s="209">
        <v>0.19</v>
      </c>
      <c r="Y220" s="209">
        <v>0.19</v>
      </c>
      <c r="Z220" s="209">
        <v>0.19</v>
      </c>
      <c r="AA220" s="209">
        <v>0.19</v>
      </c>
      <c r="AB220" s="209">
        <v>0.19</v>
      </c>
      <c r="AC220" s="209">
        <v>0.19</v>
      </c>
      <c r="AD220" s="209">
        <v>0.19</v>
      </c>
      <c r="AE220" s="209">
        <v>0.19</v>
      </c>
      <c r="AF220" s="220">
        <v>0.19</v>
      </c>
      <c r="AG220" s="436"/>
    </row>
    <row r="221" spans="1:33">
      <c r="A221" s="215" t="s">
        <v>937</v>
      </c>
      <c r="B221" s="232" t="s">
        <v>940</v>
      </c>
      <c r="C221" s="232">
        <v>2035</v>
      </c>
      <c r="D221" s="232" t="s">
        <v>680</v>
      </c>
      <c r="E221" s="209">
        <v>0.19</v>
      </c>
      <c r="F221" s="209">
        <v>0.19</v>
      </c>
      <c r="G221" s="209">
        <v>0.19</v>
      </c>
      <c r="H221" s="209">
        <v>0.19</v>
      </c>
      <c r="I221" s="209">
        <v>0.19</v>
      </c>
      <c r="J221" s="209">
        <v>0.19</v>
      </c>
      <c r="K221" s="209">
        <v>0.19</v>
      </c>
      <c r="L221" s="209">
        <v>0.19</v>
      </c>
      <c r="M221" s="209">
        <v>0.19</v>
      </c>
      <c r="N221" s="209">
        <v>0.19</v>
      </c>
      <c r="O221" s="209">
        <v>0.19</v>
      </c>
      <c r="P221" s="209">
        <v>0.19</v>
      </c>
      <c r="Q221" s="209">
        <v>0.19</v>
      </c>
      <c r="R221" s="209">
        <v>0.19</v>
      </c>
      <c r="S221" s="209">
        <v>0.19</v>
      </c>
      <c r="T221" s="209">
        <v>0.19</v>
      </c>
      <c r="U221" s="209">
        <v>0.19</v>
      </c>
      <c r="V221" s="209">
        <v>0.19</v>
      </c>
      <c r="W221" s="209">
        <v>0.19</v>
      </c>
      <c r="X221" s="209">
        <v>0.19</v>
      </c>
      <c r="Y221" s="209">
        <v>0.19</v>
      </c>
      <c r="Z221" s="209">
        <v>0.19</v>
      </c>
      <c r="AA221" s="209">
        <v>0.19</v>
      </c>
      <c r="AB221" s="209">
        <v>0.19</v>
      </c>
      <c r="AC221" s="209">
        <v>0.19</v>
      </c>
      <c r="AD221" s="209">
        <v>0.19</v>
      </c>
      <c r="AE221" s="209">
        <v>0.19</v>
      </c>
      <c r="AF221" s="220">
        <v>0.19</v>
      </c>
      <c r="AG221" s="436"/>
    </row>
    <row r="222" spans="1:33">
      <c r="A222" s="215" t="s">
        <v>937</v>
      </c>
      <c r="B222" s="232" t="s">
        <v>940</v>
      </c>
      <c r="C222" s="232">
        <v>2040</v>
      </c>
      <c r="D222" s="232" t="s">
        <v>680</v>
      </c>
      <c r="E222" s="209">
        <v>0.19</v>
      </c>
      <c r="F222" s="209">
        <v>0.19</v>
      </c>
      <c r="G222" s="209">
        <v>0.19</v>
      </c>
      <c r="H222" s="209">
        <v>0.19</v>
      </c>
      <c r="I222" s="209">
        <v>0.19</v>
      </c>
      <c r="J222" s="209">
        <v>0.19</v>
      </c>
      <c r="K222" s="209">
        <v>0.19</v>
      </c>
      <c r="L222" s="209">
        <v>0.19</v>
      </c>
      <c r="M222" s="209">
        <v>0.19</v>
      </c>
      <c r="N222" s="209">
        <v>0.19</v>
      </c>
      <c r="O222" s="209">
        <v>0.19</v>
      </c>
      <c r="P222" s="209">
        <v>0.19</v>
      </c>
      <c r="Q222" s="209">
        <v>0.19</v>
      </c>
      <c r="R222" s="209">
        <v>0.19</v>
      </c>
      <c r="S222" s="209">
        <v>0.19</v>
      </c>
      <c r="T222" s="209">
        <v>0.19</v>
      </c>
      <c r="U222" s="209">
        <v>0.19</v>
      </c>
      <c r="V222" s="209">
        <v>0.19</v>
      </c>
      <c r="W222" s="209">
        <v>0.19</v>
      </c>
      <c r="X222" s="209">
        <v>0.19</v>
      </c>
      <c r="Y222" s="209">
        <v>0.19</v>
      </c>
      <c r="Z222" s="209">
        <v>0.19</v>
      </c>
      <c r="AA222" s="209">
        <v>0.19</v>
      </c>
      <c r="AB222" s="209">
        <v>0.19</v>
      </c>
      <c r="AC222" s="209">
        <v>0.19</v>
      </c>
      <c r="AD222" s="209">
        <v>0.19</v>
      </c>
      <c r="AE222" s="209">
        <v>0.19</v>
      </c>
      <c r="AF222" s="220">
        <v>0.19</v>
      </c>
      <c r="AG222" s="436"/>
    </row>
    <row r="223" spans="1:33">
      <c r="A223" s="215" t="s">
        <v>937</v>
      </c>
      <c r="B223" s="232" t="s">
        <v>940</v>
      </c>
      <c r="C223" s="232">
        <v>2045</v>
      </c>
      <c r="D223" s="232" t="s">
        <v>680</v>
      </c>
      <c r="E223" s="209">
        <v>0.19</v>
      </c>
      <c r="F223" s="209">
        <v>0.19</v>
      </c>
      <c r="G223" s="209">
        <v>0.19</v>
      </c>
      <c r="H223" s="209">
        <v>0.19</v>
      </c>
      <c r="I223" s="209">
        <v>0.19</v>
      </c>
      <c r="J223" s="209">
        <v>0.19</v>
      </c>
      <c r="K223" s="209">
        <v>0.19</v>
      </c>
      <c r="L223" s="209">
        <v>0.19</v>
      </c>
      <c r="M223" s="209">
        <v>0.19</v>
      </c>
      <c r="N223" s="209">
        <v>0.19</v>
      </c>
      <c r="O223" s="209">
        <v>0.19</v>
      </c>
      <c r="P223" s="209">
        <v>0.19</v>
      </c>
      <c r="Q223" s="209">
        <v>0.19</v>
      </c>
      <c r="R223" s="209">
        <v>0.19</v>
      </c>
      <c r="S223" s="209">
        <v>0.19</v>
      </c>
      <c r="T223" s="209">
        <v>0.19</v>
      </c>
      <c r="U223" s="209">
        <v>0.19</v>
      </c>
      <c r="V223" s="209">
        <v>0.19</v>
      </c>
      <c r="W223" s="209">
        <v>0.19</v>
      </c>
      <c r="X223" s="209">
        <v>0.19</v>
      </c>
      <c r="Y223" s="209">
        <v>0.19</v>
      </c>
      <c r="Z223" s="209">
        <v>0.19</v>
      </c>
      <c r="AA223" s="209">
        <v>0.19</v>
      </c>
      <c r="AB223" s="209">
        <v>0.19</v>
      </c>
      <c r="AC223" s="209">
        <v>0.19</v>
      </c>
      <c r="AD223" s="209">
        <v>0.19</v>
      </c>
      <c r="AE223" s="209">
        <v>0.19</v>
      </c>
      <c r="AF223" s="220">
        <v>0.19</v>
      </c>
      <c r="AG223" s="436"/>
    </row>
    <row r="224" spans="1:33">
      <c r="A224" s="215" t="s">
        <v>937</v>
      </c>
      <c r="B224" s="232" t="s">
        <v>940</v>
      </c>
      <c r="C224" s="232">
        <v>2050</v>
      </c>
      <c r="D224" s="232" t="s">
        <v>680</v>
      </c>
      <c r="E224" s="209">
        <v>0.19</v>
      </c>
      <c r="F224" s="209">
        <v>0.19</v>
      </c>
      <c r="G224" s="209">
        <v>0.19</v>
      </c>
      <c r="H224" s="209">
        <v>0.19</v>
      </c>
      <c r="I224" s="209">
        <v>0.19</v>
      </c>
      <c r="J224" s="209">
        <v>0.19</v>
      </c>
      <c r="K224" s="209">
        <v>0.19</v>
      </c>
      <c r="L224" s="209">
        <v>0.19</v>
      </c>
      <c r="M224" s="209">
        <v>0.19</v>
      </c>
      <c r="N224" s="209">
        <v>0.19</v>
      </c>
      <c r="O224" s="209">
        <v>0.19</v>
      </c>
      <c r="P224" s="209">
        <v>0.19</v>
      </c>
      <c r="Q224" s="209">
        <v>0.19</v>
      </c>
      <c r="R224" s="209">
        <v>0.19</v>
      </c>
      <c r="S224" s="209">
        <v>0.19</v>
      </c>
      <c r="T224" s="209">
        <v>0.19</v>
      </c>
      <c r="U224" s="209">
        <v>0.19</v>
      </c>
      <c r="V224" s="209">
        <v>0.19</v>
      </c>
      <c r="W224" s="209">
        <v>0.19</v>
      </c>
      <c r="X224" s="209">
        <v>0.19</v>
      </c>
      <c r="Y224" s="209">
        <v>0.19</v>
      </c>
      <c r="Z224" s="209">
        <v>0.19</v>
      </c>
      <c r="AA224" s="209">
        <v>0.19</v>
      </c>
      <c r="AB224" s="209">
        <v>0.19</v>
      </c>
      <c r="AC224" s="209">
        <v>0.19</v>
      </c>
      <c r="AD224" s="209">
        <v>0.19</v>
      </c>
      <c r="AE224" s="209">
        <v>0.19</v>
      </c>
      <c r="AF224" s="220">
        <v>0.19</v>
      </c>
      <c r="AG224" s="436"/>
    </row>
    <row r="225" spans="1:33">
      <c r="A225" s="215" t="s">
        <v>937</v>
      </c>
      <c r="B225" s="232" t="s">
        <v>940</v>
      </c>
      <c r="C225" s="232">
        <v>2060</v>
      </c>
      <c r="D225" s="232" t="s">
        <v>680</v>
      </c>
      <c r="E225" s="209">
        <v>0.19</v>
      </c>
      <c r="F225" s="209">
        <v>0.19</v>
      </c>
      <c r="G225" s="209">
        <v>0.19</v>
      </c>
      <c r="H225" s="209">
        <v>0.19</v>
      </c>
      <c r="I225" s="209">
        <v>0.19</v>
      </c>
      <c r="J225" s="209">
        <v>0.19</v>
      </c>
      <c r="K225" s="209">
        <v>0.19</v>
      </c>
      <c r="L225" s="209">
        <v>0.19</v>
      </c>
      <c r="M225" s="209">
        <v>0.19</v>
      </c>
      <c r="N225" s="209">
        <v>0.19</v>
      </c>
      <c r="O225" s="209">
        <v>0.19</v>
      </c>
      <c r="P225" s="209">
        <v>0.19</v>
      </c>
      <c r="Q225" s="209">
        <v>0.19</v>
      </c>
      <c r="R225" s="209">
        <v>0.19</v>
      </c>
      <c r="S225" s="209">
        <v>0.19</v>
      </c>
      <c r="T225" s="209">
        <v>0.19</v>
      </c>
      <c r="U225" s="209">
        <v>0.19</v>
      </c>
      <c r="V225" s="209">
        <v>0.19</v>
      </c>
      <c r="W225" s="209">
        <v>0.19</v>
      </c>
      <c r="X225" s="209">
        <v>0.19</v>
      </c>
      <c r="Y225" s="209">
        <v>0.19</v>
      </c>
      <c r="Z225" s="209">
        <v>0.19</v>
      </c>
      <c r="AA225" s="209">
        <v>0.19</v>
      </c>
      <c r="AB225" s="209">
        <v>0.19</v>
      </c>
      <c r="AC225" s="209">
        <v>0.19</v>
      </c>
      <c r="AD225" s="209">
        <v>0.19</v>
      </c>
      <c r="AE225" s="209">
        <v>0.19</v>
      </c>
      <c r="AF225" s="220">
        <v>0.19</v>
      </c>
      <c r="AG225" s="436"/>
    </row>
    <row r="226" spans="1:33">
      <c r="A226" s="215" t="s">
        <v>937</v>
      </c>
      <c r="B226" s="232" t="s">
        <v>940</v>
      </c>
      <c r="C226" s="232">
        <v>2070</v>
      </c>
      <c r="D226" s="232" t="s">
        <v>680</v>
      </c>
      <c r="E226" s="209">
        <v>0.19</v>
      </c>
      <c r="F226" s="209">
        <v>0.19</v>
      </c>
      <c r="G226" s="209">
        <v>0.19</v>
      </c>
      <c r="H226" s="209">
        <v>0.19</v>
      </c>
      <c r="I226" s="209">
        <v>0.19</v>
      </c>
      <c r="J226" s="209">
        <v>0.19</v>
      </c>
      <c r="K226" s="209">
        <v>0.19</v>
      </c>
      <c r="L226" s="209">
        <v>0.19</v>
      </c>
      <c r="M226" s="209">
        <v>0.19</v>
      </c>
      <c r="N226" s="209">
        <v>0.19</v>
      </c>
      <c r="O226" s="209">
        <v>0.19</v>
      </c>
      <c r="P226" s="209">
        <v>0.19</v>
      </c>
      <c r="Q226" s="209">
        <v>0.19</v>
      </c>
      <c r="R226" s="209">
        <v>0.19</v>
      </c>
      <c r="S226" s="209">
        <v>0.19</v>
      </c>
      <c r="T226" s="209">
        <v>0.19</v>
      </c>
      <c r="U226" s="209">
        <v>0.19</v>
      </c>
      <c r="V226" s="209">
        <v>0.19</v>
      </c>
      <c r="W226" s="209">
        <v>0.19</v>
      </c>
      <c r="X226" s="209">
        <v>0.19</v>
      </c>
      <c r="Y226" s="209">
        <v>0.19</v>
      </c>
      <c r="Z226" s="209">
        <v>0.19</v>
      </c>
      <c r="AA226" s="209">
        <v>0.19</v>
      </c>
      <c r="AB226" s="209">
        <v>0.19</v>
      </c>
      <c r="AC226" s="209">
        <v>0.19</v>
      </c>
      <c r="AD226" s="209">
        <v>0.19</v>
      </c>
      <c r="AE226" s="209">
        <v>0.19</v>
      </c>
      <c r="AF226" s="220">
        <v>0.19</v>
      </c>
      <c r="AG226" s="436"/>
    </row>
    <row r="227" spans="1:33">
      <c r="A227" s="215" t="s">
        <v>937</v>
      </c>
      <c r="B227" s="232" t="s">
        <v>940</v>
      </c>
      <c r="C227" s="232">
        <v>2080</v>
      </c>
      <c r="D227" s="232" t="s">
        <v>680</v>
      </c>
      <c r="E227" s="209">
        <v>0.19</v>
      </c>
      <c r="F227" s="209">
        <v>0.19</v>
      </c>
      <c r="G227" s="209">
        <v>0.19</v>
      </c>
      <c r="H227" s="209">
        <v>0.19</v>
      </c>
      <c r="I227" s="209">
        <v>0.19</v>
      </c>
      <c r="J227" s="209">
        <v>0.19</v>
      </c>
      <c r="K227" s="209">
        <v>0.19</v>
      </c>
      <c r="L227" s="209">
        <v>0.19</v>
      </c>
      <c r="M227" s="209">
        <v>0.19</v>
      </c>
      <c r="N227" s="209">
        <v>0.19</v>
      </c>
      <c r="O227" s="209">
        <v>0.19</v>
      </c>
      <c r="P227" s="209">
        <v>0.19</v>
      </c>
      <c r="Q227" s="209">
        <v>0.19</v>
      </c>
      <c r="R227" s="209">
        <v>0.19</v>
      </c>
      <c r="S227" s="209">
        <v>0.19</v>
      </c>
      <c r="T227" s="209">
        <v>0.19</v>
      </c>
      <c r="U227" s="209">
        <v>0.19</v>
      </c>
      <c r="V227" s="209">
        <v>0.19</v>
      </c>
      <c r="W227" s="209">
        <v>0.19</v>
      </c>
      <c r="X227" s="209">
        <v>0.19</v>
      </c>
      <c r="Y227" s="209">
        <v>0.19</v>
      </c>
      <c r="Z227" s="209">
        <v>0.19</v>
      </c>
      <c r="AA227" s="209">
        <v>0.19</v>
      </c>
      <c r="AB227" s="209">
        <v>0.19</v>
      </c>
      <c r="AC227" s="209">
        <v>0.19</v>
      </c>
      <c r="AD227" s="209">
        <v>0.19</v>
      </c>
      <c r="AE227" s="209">
        <v>0.19</v>
      </c>
      <c r="AF227" s="220">
        <v>0.19</v>
      </c>
      <c r="AG227" s="436"/>
    </row>
    <row r="228" spans="1:33">
      <c r="A228" s="215" t="s">
        <v>937</v>
      </c>
      <c r="B228" s="232" t="s">
        <v>940</v>
      </c>
      <c r="C228" s="232">
        <v>2090</v>
      </c>
      <c r="D228" s="232" t="s">
        <v>680</v>
      </c>
      <c r="E228" s="209">
        <v>0.19</v>
      </c>
      <c r="F228" s="209">
        <v>0.19</v>
      </c>
      <c r="G228" s="209">
        <v>0.19</v>
      </c>
      <c r="H228" s="209">
        <v>0.19</v>
      </c>
      <c r="I228" s="209">
        <v>0.19</v>
      </c>
      <c r="J228" s="209">
        <v>0.19</v>
      </c>
      <c r="K228" s="209">
        <v>0.19</v>
      </c>
      <c r="L228" s="209">
        <v>0.19</v>
      </c>
      <c r="M228" s="209">
        <v>0.19</v>
      </c>
      <c r="N228" s="209">
        <v>0.19</v>
      </c>
      <c r="O228" s="209">
        <v>0.19</v>
      </c>
      <c r="P228" s="209">
        <v>0.19</v>
      </c>
      <c r="Q228" s="209">
        <v>0.19</v>
      </c>
      <c r="R228" s="209">
        <v>0.19</v>
      </c>
      <c r="S228" s="209">
        <v>0.19</v>
      </c>
      <c r="T228" s="209">
        <v>0.19</v>
      </c>
      <c r="U228" s="209">
        <v>0.19</v>
      </c>
      <c r="V228" s="209">
        <v>0.19</v>
      </c>
      <c r="W228" s="209">
        <v>0.19</v>
      </c>
      <c r="X228" s="209">
        <v>0.19</v>
      </c>
      <c r="Y228" s="209">
        <v>0.19</v>
      </c>
      <c r="Z228" s="209">
        <v>0.19</v>
      </c>
      <c r="AA228" s="209">
        <v>0.19</v>
      </c>
      <c r="AB228" s="209">
        <v>0.19</v>
      </c>
      <c r="AC228" s="209">
        <v>0.19</v>
      </c>
      <c r="AD228" s="209">
        <v>0.19</v>
      </c>
      <c r="AE228" s="209">
        <v>0.19</v>
      </c>
      <c r="AF228" s="220">
        <v>0.19</v>
      </c>
      <c r="AG228" s="436"/>
    </row>
    <row r="229" spans="1:33">
      <c r="A229" s="229" t="s">
        <v>937</v>
      </c>
      <c r="B229" s="235" t="s">
        <v>940</v>
      </c>
      <c r="C229" s="235">
        <v>2100</v>
      </c>
      <c r="D229" s="235" t="s">
        <v>680</v>
      </c>
      <c r="E229" s="226">
        <v>0.19</v>
      </c>
      <c r="F229" s="226">
        <v>0.19</v>
      </c>
      <c r="G229" s="226">
        <v>0.19</v>
      </c>
      <c r="H229" s="226">
        <v>0.19</v>
      </c>
      <c r="I229" s="226">
        <v>0.19</v>
      </c>
      <c r="J229" s="226">
        <v>0.19</v>
      </c>
      <c r="K229" s="226">
        <v>0.19</v>
      </c>
      <c r="L229" s="226">
        <v>0.19</v>
      </c>
      <c r="M229" s="226">
        <v>0.19</v>
      </c>
      <c r="N229" s="226">
        <v>0.19</v>
      </c>
      <c r="O229" s="226">
        <v>0.19</v>
      </c>
      <c r="P229" s="226">
        <v>0.19</v>
      </c>
      <c r="Q229" s="226">
        <v>0.19</v>
      </c>
      <c r="R229" s="226">
        <v>0.19</v>
      </c>
      <c r="S229" s="226">
        <v>0.19</v>
      </c>
      <c r="T229" s="226">
        <v>0.19</v>
      </c>
      <c r="U229" s="226">
        <v>0.19</v>
      </c>
      <c r="V229" s="226">
        <v>0.19</v>
      </c>
      <c r="W229" s="226">
        <v>0.19</v>
      </c>
      <c r="X229" s="226">
        <v>0.19</v>
      </c>
      <c r="Y229" s="226">
        <v>0.19</v>
      </c>
      <c r="Z229" s="226">
        <v>0.19</v>
      </c>
      <c r="AA229" s="226">
        <v>0.19</v>
      </c>
      <c r="AB229" s="226">
        <v>0.19</v>
      </c>
      <c r="AC229" s="226">
        <v>0.19</v>
      </c>
      <c r="AD229" s="226">
        <v>0.19</v>
      </c>
      <c r="AE229" s="226">
        <v>0.19</v>
      </c>
      <c r="AF229" s="224">
        <v>0.19</v>
      </c>
      <c r="AG229" s="437"/>
    </row>
    <row r="230" spans="1:33">
      <c r="A230" t="s">
        <v>937</v>
      </c>
      <c r="B230" s="231" t="s">
        <v>941</v>
      </c>
      <c r="C230" s="232">
        <v>2019</v>
      </c>
      <c r="D230" s="231" t="s">
        <v>680</v>
      </c>
      <c r="E230" s="209">
        <v>0.28499999999999998</v>
      </c>
      <c r="F230" s="209">
        <v>0.28499999999999998</v>
      </c>
      <c r="G230" s="209">
        <v>0.28499999999999998</v>
      </c>
      <c r="H230" s="209">
        <v>0.28499999999999998</v>
      </c>
      <c r="I230" s="209">
        <v>0.28499999999999998</v>
      </c>
      <c r="J230" s="209">
        <v>0.28499999999999998</v>
      </c>
      <c r="K230" s="209">
        <v>0.28499999999999998</v>
      </c>
      <c r="L230" s="209">
        <v>0.28499999999999998</v>
      </c>
      <c r="M230" s="209">
        <v>0.28499999999999998</v>
      </c>
      <c r="N230" s="209">
        <v>0.28499999999999998</v>
      </c>
      <c r="O230" s="209">
        <v>0.28499999999999998</v>
      </c>
      <c r="P230" s="209">
        <v>0.28499999999999998</v>
      </c>
      <c r="Q230" s="209">
        <v>0.28499999999999998</v>
      </c>
      <c r="R230" s="209">
        <v>0.28499999999999998</v>
      </c>
      <c r="S230" s="209">
        <v>0.28499999999999998</v>
      </c>
      <c r="T230" s="209">
        <v>0.28499999999999998</v>
      </c>
      <c r="U230" s="209">
        <v>0.28499999999999998</v>
      </c>
      <c r="V230" s="209">
        <v>0.28499999999999998</v>
      </c>
      <c r="W230" s="209">
        <v>0.28499999999999998</v>
      </c>
      <c r="X230" s="209">
        <v>0.28499999999999998</v>
      </c>
      <c r="Y230" s="209">
        <v>0.28499999999999998</v>
      </c>
      <c r="Z230" s="209">
        <v>0.28499999999999998</v>
      </c>
      <c r="AA230" s="209">
        <v>0.28499999999999998</v>
      </c>
      <c r="AB230" s="209">
        <v>0.28499999999999998</v>
      </c>
      <c r="AC230" s="209">
        <v>0.28499999999999998</v>
      </c>
      <c r="AD230" s="209">
        <v>0.28499999999999998</v>
      </c>
      <c r="AE230" s="209">
        <v>0.28499999999999998</v>
      </c>
      <c r="AF230" s="209">
        <v>0.28499999999999998</v>
      </c>
      <c r="AG230" s="453"/>
    </row>
    <row r="231" spans="1:33">
      <c r="A231" s="215" t="s">
        <v>937</v>
      </c>
      <c r="B231" s="232" t="s">
        <v>941</v>
      </c>
      <c r="C231">
        <v>2020</v>
      </c>
      <c r="D231" s="232" t="s">
        <v>680</v>
      </c>
      <c r="E231" s="209">
        <v>0.28499999999999998</v>
      </c>
      <c r="F231" s="209">
        <v>0.28499999999999998</v>
      </c>
      <c r="G231" s="209">
        <v>0.28499999999999998</v>
      </c>
      <c r="H231" s="209">
        <v>0.28499999999999998</v>
      </c>
      <c r="I231" s="209">
        <v>0.28499999999999998</v>
      </c>
      <c r="J231" s="209">
        <v>0.28499999999999998</v>
      </c>
      <c r="K231" s="209">
        <v>0.28499999999999998</v>
      </c>
      <c r="L231" s="209">
        <v>0.28499999999999998</v>
      </c>
      <c r="M231" s="209">
        <v>0.28499999999999998</v>
      </c>
      <c r="N231" s="209">
        <v>0.28499999999999998</v>
      </c>
      <c r="O231" s="209">
        <v>0.28499999999999998</v>
      </c>
      <c r="P231" s="209">
        <v>0.28499999999999998</v>
      </c>
      <c r="Q231" s="209">
        <v>0.28499999999999998</v>
      </c>
      <c r="R231" s="209">
        <v>0.28499999999999998</v>
      </c>
      <c r="S231" s="209">
        <v>0.28499999999999998</v>
      </c>
      <c r="T231" s="209">
        <v>0.28499999999999998</v>
      </c>
      <c r="U231" s="209">
        <v>0.28499999999999998</v>
      </c>
      <c r="V231" s="209">
        <v>0.28499999999999998</v>
      </c>
      <c r="W231" s="209">
        <v>0.28499999999999998</v>
      </c>
      <c r="X231" s="209">
        <v>0.28499999999999998</v>
      </c>
      <c r="Y231" s="209">
        <v>0.28499999999999998</v>
      </c>
      <c r="Z231" s="209">
        <v>0.28499999999999998</v>
      </c>
      <c r="AA231" s="209">
        <v>0.28499999999999998</v>
      </c>
      <c r="AB231" s="209">
        <v>0.28499999999999998</v>
      </c>
      <c r="AC231" s="209">
        <v>0.28499999999999998</v>
      </c>
      <c r="AD231" s="209">
        <v>0.28499999999999998</v>
      </c>
      <c r="AE231" s="209">
        <v>0.28499999999999998</v>
      </c>
      <c r="AF231" s="220">
        <v>0.28499999999999998</v>
      </c>
      <c r="AG231" s="436"/>
    </row>
    <row r="232" spans="1:33">
      <c r="A232" s="215" t="s">
        <v>937</v>
      </c>
      <c r="B232" s="232" t="s">
        <v>941</v>
      </c>
      <c r="C232" s="232">
        <v>2025</v>
      </c>
      <c r="D232" s="232" t="s">
        <v>680</v>
      </c>
      <c r="E232" s="209">
        <v>0.28499999999999998</v>
      </c>
      <c r="F232" s="209">
        <v>0.28499999999999998</v>
      </c>
      <c r="G232" s="209">
        <v>0.28499999999999998</v>
      </c>
      <c r="H232" s="209">
        <v>0.28499999999999998</v>
      </c>
      <c r="I232" s="209">
        <v>0.28499999999999998</v>
      </c>
      <c r="J232" s="209">
        <v>0.28499999999999998</v>
      </c>
      <c r="K232" s="209">
        <v>0.28499999999999998</v>
      </c>
      <c r="L232" s="209">
        <v>0.28499999999999998</v>
      </c>
      <c r="M232" s="209">
        <v>0.28499999999999998</v>
      </c>
      <c r="N232" s="209">
        <v>0.28499999999999998</v>
      </c>
      <c r="O232" s="209">
        <v>0.28499999999999998</v>
      </c>
      <c r="P232" s="209">
        <v>0.28499999999999998</v>
      </c>
      <c r="Q232" s="209">
        <v>0.28499999999999998</v>
      </c>
      <c r="R232" s="209">
        <v>0.28499999999999998</v>
      </c>
      <c r="S232" s="209">
        <v>0.28499999999999998</v>
      </c>
      <c r="T232" s="209">
        <v>0.28499999999999998</v>
      </c>
      <c r="U232" s="209">
        <v>0.28499999999999998</v>
      </c>
      <c r="V232" s="209">
        <v>0.28499999999999998</v>
      </c>
      <c r="W232" s="209">
        <v>0.28499999999999998</v>
      </c>
      <c r="X232" s="209">
        <v>0.28499999999999998</v>
      </c>
      <c r="Y232" s="209">
        <v>0.28499999999999998</v>
      </c>
      <c r="Z232" s="209">
        <v>0.28499999999999998</v>
      </c>
      <c r="AA232" s="209">
        <v>0.28499999999999998</v>
      </c>
      <c r="AB232" s="209">
        <v>0.28499999999999998</v>
      </c>
      <c r="AC232" s="209">
        <v>0.28499999999999998</v>
      </c>
      <c r="AD232" s="209">
        <v>0.28499999999999998</v>
      </c>
      <c r="AE232" s="209">
        <v>0.28499999999999998</v>
      </c>
      <c r="AF232" s="220">
        <v>0.28499999999999998</v>
      </c>
      <c r="AG232" s="436"/>
    </row>
    <row r="233" spans="1:33">
      <c r="A233" s="215" t="s">
        <v>937</v>
      </c>
      <c r="B233" s="232" t="s">
        <v>941</v>
      </c>
      <c r="C233" s="232">
        <v>2030</v>
      </c>
      <c r="D233" s="232" t="s">
        <v>680</v>
      </c>
      <c r="E233" s="209">
        <v>0.28499999999999998</v>
      </c>
      <c r="F233" s="209">
        <v>0.28499999999999998</v>
      </c>
      <c r="G233" s="209">
        <v>0.28499999999999998</v>
      </c>
      <c r="H233" s="209">
        <v>0.28499999999999998</v>
      </c>
      <c r="I233" s="209">
        <v>0.28499999999999998</v>
      </c>
      <c r="J233" s="209">
        <v>0.28499999999999998</v>
      </c>
      <c r="K233" s="209">
        <v>0.28499999999999998</v>
      </c>
      <c r="L233" s="209">
        <v>0.28499999999999998</v>
      </c>
      <c r="M233" s="209">
        <v>0.28499999999999998</v>
      </c>
      <c r="N233" s="209">
        <v>0.28499999999999998</v>
      </c>
      <c r="O233" s="209">
        <v>0.28499999999999998</v>
      </c>
      <c r="P233" s="209">
        <v>0.28499999999999998</v>
      </c>
      <c r="Q233" s="209">
        <v>0.28499999999999998</v>
      </c>
      <c r="R233" s="209">
        <v>0.28499999999999998</v>
      </c>
      <c r="S233" s="209">
        <v>0.28499999999999998</v>
      </c>
      <c r="T233" s="209">
        <v>0.28499999999999998</v>
      </c>
      <c r="U233" s="209">
        <v>0.28499999999999998</v>
      </c>
      <c r="V233" s="209">
        <v>0.28499999999999998</v>
      </c>
      <c r="W233" s="209">
        <v>0.28499999999999998</v>
      </c>
      <c r="X233" s="209">
        <v>0.28499999999999998</v>
      </c>
      <c r="Y233" s="209">
        <v>0.28499999999999998</v>
      </c>
      <c r="Z233" s="209">
        <v>0.28499999999999998</v>
      </c>
      <c r="AA233" s="209">
        <v>0.28499999999999998</v>
      </c>
      <c r="AB233" s="209">
        <v>0.28499999999999998</v>
      </c>
      <c r="AC233" s="209">
        <v>0.28499999999999998</v>
      </c>
      <c r="AD233" s="209">
        <v>0.28499999999999998</v>
      </c>
      <c r="AE233" s="209">
        <v>0.28499999999999998</v>
      </c>
      <c r="AF233" s="220">
        <v>0.28499999999999998</v>
      </c>
      <c r="AG233" s="436"/>
    </row>
    <row r="234" spans="1:33">
      <c r="A234" s="215" t="s">
        <v>937</v>
      </c>
      <c r="B234" s="232" t="s">
        <v>941</v>
      </c>
      <c r="C234" s="232">
        <v>2035</v>
      </c>
      <c r="D234" s="232" t="s">
        <v>680</v>
      </c>
      <c r="E234" s="209">
        <v>0.28499999999999998</v>
      </c>
      <c r="F234" s="209">
        <v>0.28499999999999998</v>
      </c>
      <c r="G234" s="209">
        <v>0.28499999999999998</v>
      </c>
      <c r="H234" s="209">
        <v>0.28499999999999998</v>
      </c>
      <c r="I234" s="209">
        <v>0.28499999999999998</v>
      </c>
      <c r="J234" s="209">
        <v>0.28499999999999998</v>
      </c>
      <c r="K234" s="209">
        <v>0.28499999999999998</v>
      </c>
      <c r="L234" s="209">
        <v>0.28499999999999998</v>
      </c>
      <c r="M234" s="209">
        <v>0.28499999999999998</v>
      </c>
      <c r="N234" s="209">
        <v>0.28499999999999998</v>
      </c>
      <c r="O234" s="209">
        <v>0.28499999999999998</v>
      </c>
      <c r="P234" s="209">
        <v>0.28499999999999998</v>
      </c>
      <c r="Q234" s="209">
        <v>0.28499999999999998</v>
      </c>
      <c r="R234" s="209">
        <v>0.28499999999999998</v>
      </c>
      <c r="S234" s="209">
        <v>0.28499999999999998</v>
      </c>
      <c r="T234" s="209">
        <v>0.28499999999999998</v>
      </c>
      <c r="U234" s="209">
        <v>0.28499999999999998</v>
      </c>
      <c r="V234" s="209">
        <v>0.28499999999999998</v>
      </c>
      <c r="W234" s="209">
        <v>0.28499999999999998</v>
      </c>
      <c r="X234" s="209">
        <v>0.28499999999999998</v>
      </c>
      <c r="Y234" s="209">
        <v>0.28499999999999998</v>
      </c>
      <c r="Z234" s="209">
        <v>0.28499999999999998</v>
      </c>
      <c r="AA234" s="209">
        <v>0.28499999999999998</v>
      </c>
      <c r="AB234" s="209">
        <v>0.28499999999999998</v>
      </c>
      <c r="AC234" s="209">
        <v>0.28499999999999998</v>
      </c>
      <c r="AD234" s="209">
        <v>0.28499999999999998</v>
      </c>
      <c r="AE234" s="209">
        <v>0.28499999999999998</v>
      </c>
      <c r="AF234" s="220">
        <v>0.28499999999999998</v>
      </c>
      <c r="AG234" s="436"/>
    </row>
    <row r="235" spans="1:33">
      <c r="A235" s="215" t="s">
        <v>937</v>
      </c>
      <c r="B235" s="232" t="s">
        <v>941</v>
      </c>
      <c r="C235" s="232">
        <v>2040</v>
      </c>
      <c r="D235" s="232" t="s">
        <v>680</v>
      </c>
      <c r="E235" s="209">
        <v>0.28499999999999998</v>
      </c>
      <c r="F235" s="209">
        <v>0.28499999999999998</v>
      </c>
      <c r="G235" s="209">
        <v>0.28499999999999998</v>
      </c>
      <c r="H235" s="209">
        <v>0.28499999999999998</v>
      </c>
      <c r="I235" s="209">
        <v>0.28499999999999998</v>
      </c>
      <c r="J235" s="209">
        <v>0.28499999999999998</v>
      </c>
      <c r="K235" s="209">
        <v>0.28499999999999998</v>
      </c>
      <c r="L235" s="209">
        <v>0.28499999999999998</v>
      </c>
      <c r="M235" s="209">
        <v>0.28499999999999998</v>
      </c>
      <c r="N235" s="209">
        <v>0.28499999999999998</v>
      </c>
      <c r="O235" s="209">
        <v>0.28499999999999998</v>
      </c>
      <c r="P235" s="209">
        <v>0.28499999999999998</v>
      </c>
      <c r="Q235" s="209">
        <v>0.28499999999999998</v>
      </c>
      <c r="R235" s="209">
        <v>0.28499999999999998</v>
      </c>
      <c r="S235" s="209">
        <v>0.28499999999999998</v>
      </c>
      <c r="T235" s="209">
        <v>0.28499999999999998</v>
      </c>
      <c r="U235" s="209">
        <v>0.28499999999999998</v>
      </c>
      <c r="V235" s="209">
        <v>0.28499999999999998</v>
      </c>
      <c r="W235" s="209">
        <v>0.28499999999999998</v>
      </c>
      <c r="X235" s="209">
        <v>0.28499999999999998</v>
      </c>
      <c r="Y235" s="209">
        <v>0.28499999999999998</v>
      </c>
      <c r="Z235" s="209">
        <v>0.28499999999999998</v>
      </c>
      <c r="AA235" s="209">
        <v>0.28499999999999998</v>
      </c>
      <c r="AB235" s="209">
        <v>0.28499999999999998</v>
      </c>
      <c r="AC235" s="209">
        <v>0.28499999999999998</v>
      </c>
      <c r="AD235" s="209">
        <v>0.28499999999999998</v>
      </c>
      <c r="AE235" s="209">
        <v>0.28499999999999998</v>
      </c>
      <c r="AF235" s="220">
        <v>0.28499999999999998</v>
      </c>
      <c r="AG235" s="436"/>
    </row>
    <row r="236" spans="1:33">
      <c r="A236" s="215" t="s">
        <v>937</v>
      </c>
      <c r="B236" s="232" t="s">
        <v>941</v>
      </c>
      <c r="C236" s="232">
        <v>2045</v>
      </c>
      <c r="D236" s="232" t="s">
        <v>680</v>
      </c>
      <c r="E236" s="209">
        <v>0.28499999999999998</v>
      </c>
      <c r="F236" s="209">
        <v>0.28499999999999998</v>
      </c>
      <c r="G236" s="209">
        <v>0.28499999999999998</v>
      </c>
      <c r="H236" s="209">
        <v>0.28499999999999998</v>
      </c>
      <c r="I236" s="209">
        <v>0.28499999999999998</v>
      </c>
      <c r="J236" s="209">
        <v>0.28499999999999998</v>
      </c>
      <c r="K236" s="209">
        <v>0.28499999999999998</v>
      </c>
      <c r="L236" s="209">
        <v>0.28499999999999998</v>
      </c>
      <c r="M236" s="209">
        <v>0.28499999999999998</v>
      </c>
      <c r="N236" s="209">
        <v>0.28499999999999998</v>
      </c>
      <c r="O236" s="209">
        <v>0.28499999999999998</v>
      </c>
      <c r="P236" s="209">
        <v>0.28499999999999998</v>
      </c>
      <c r="Q236" s="209">
        <v>0.28499999999999998</v>
      </c>
      <c r="R236" s="209">
        <v>0.28499999999999998</v>
      </c>
      <c r="S236" s="209">
        <v>0.28499999999999998</v>
      </c>
      <c r="T236" s="209">
        <v>0.28499999999999998</v>
      </c>
      <c r="U236" s="209">
        <v>0.28499999999999998</v>
      </c>
      <c r="V236" s="209">
        <v>0.28499999999999998</v>
      </c>
      <c r="W236" s="209">
        <v>0.28499999999999998</v>
      </c>
      <c r="X236" s="209">
        <v>0.28499999999999998</v>
      </c>
      <c r="Y236" s="209">
        <v>0.28499999999999998</v>
      </c>
      <c r="Z236" s="209">
        <v>0.28499999999999998</v>
      </c>
      <c r="AA236" s="209">
        <v>0.28499999999999998</v>
      </c>
      <c r="AB236" s="209">
        <v>0.28499999999999998</v>
      </c>
      <c r="AC236" s="209">
        <v>0.28499999999999998</v>
      </c>
      <c r="AD236" s="209">
        <v>0.28499999999999998</v>
      </c>
      <c r="AE236" s="209">
        <v>0.28499999999999998</v>
      </c>
      <c r="AF236" s="220">
        <v>0.28499999999999998</v>
      </c>
      <c r="AG236" s="436"/>
    </row>
    <row r="237" spans="1:33">
      <c r="A237" s="215" t="s">
        <v>937</v>
      </c>
      <c r="B237" s="232" t="s">
        <v>941</v>
      </c>
      <c r="C237" s="232">
        <v>2050</v>
      </c>
      <c r="D237" s="232" t="s">
        <v>680</v>
      </c>
      <c r="E237" s="209">
        <v>0.28499999999999998</v>
      </c>
      <c r="F237" s="209">
        <v>0.28499999999999998</v>
      </c>
      <c r="G237" s="209">
        <v>0.28499999999999998</v>
      </c>
      <c r="H237" s="209">
        <v>0.28499999999999998</v>
      </c>
      <c r="I237" s="209">
        <v>0.28499999999999998</v>
      </c>
      <c r="J237" s="209">
        <v>0.28499999999999998</v>
      </c>
      <c r="K237" s="209">
        <v>0.28499999999999998</v>
      </c>
      <c r="L237" s="209">
        <v>0.28499999999999998</v>
      </c>
      <c r="M237" s="209">
        <v>0.28499999999999998</v>
      </c>
      <c r="N237" s="209">
        <v>0.28499999999999998</v>
      </c>
      <c r="O237" s="209">
        <v>0.28499999999999998</v>
      </c>
      <c r="P237" s="209">
        <v>0.28499999999999998</v>
      </c>
      <c r="Q237" s="209">
        <v>0.28499999999999998</v>
      </c>
      <c r="R237" s="209">
        <v>0.28499999999999998</v>
      </c>
      <c r="S237" s="209">
        <v>0.28499999999999998</v>
      </c>
      <c r="T237" s="209">
        <v>0.28499999999999998</v>
      </c>
      <c r="U237" s="209">
        <v>0.28499999999999998</v>
      </c>
      <c r="V237" s="209">
        <v>0.28499999999999998</v>
      </c>
      <c r="W237" s="209">
        <v>0.28499999999999998</v>
      </c>
      <c r="X237" s="209">
        <v>0.28499999999999998</v>
      </c>
      <c r="Y237" s="209">
        <v>0.28499999999999998</v>
      </c>
      <c r="Z237" s="209">
        <v>0.28499999999999998</v>
      </c>
      <c r="AA237" s="209">
        <v>0.28499999999999998</v>
      </c>
      <c r="AB237" s="209">
        <v>0.28499999999999998</v>
      </c>
      <c r="AC237" s="209">
        <v>0.28499999999999998</v>
      </c>
      <c r="AD237" s="209">
        <v>0.28499999999999998</v>
      </c>
      <c r="AE237" s="209">
        <v>0.28499999999999998</v>
      </c>
      <c r="AF237" s="220">
        <v>0.28499999999999998</v>
      </c>
      <c r="AG237" s="436"/>
    </row>
    <row r="238" spans="1:33">
      <c r="A238" s="215" t="s">
        <v>937</v>
      </c>
      <c r="B238" s="232" t="s">
        <v>941</v>
      </c>
      <c r="C238" s="232">
        <v>2060</v>
      </c>
      <c r="D238" s="232" t="s">
        <v>680</v>
      </c>
      <c r="E238" s="209">
        <v>0.28499999999999998</v>
      </c>
      <c r="F238" s="209">
        <v>0.28499999999999998</v>
      </c>
      <c r="G238" s="209">
        <v>0.28499999999999998</v>
      </c>
      <c r="H238" s="209">
        <v>0.28499999999999998</v>
      </c>
      <c r="I238" s="209">
        <v>0.28499999999999998</v>
      </c>
      <c r="J238" s="209">
        <v>0.28499999999999998</v>
      </c>
      <c r="K238" s="209">
        <v>0.28499999999999998</v>
      </c>
      <c r="L238" s="209">
        <v>0.28499999999999998</v>
      </c>
      <c r="M238" s="209">
        <v>0.28499999999999998</v>
      </c>
      <c r="N238" s="209">
        <v>0.28499999999999998</v>
      </c>
      <c r="O238" s="209">
        <v>0.28499999999999998</v>
      </c>
      <c r="P238" s="209">
        <v>0.28499999999999998</v>
      </c>
      <c r="Q238" s="209">
        <v>0.28499999999999998</v>
      </c>
      <c r="R238" s="209">
        <v>0.28499999999999998</v>
      </c>
      <c r="S238" s="209">
        <v>0.28499999999999998</v>
      </c>
      <c r="T238" s="209">
        <v>0.28499999999999998</v>
      </c>
      <c r="U238" s="209">
        <v>0.28499999999999998</v>
      </c>
      <c r="V238" s="209">
        <v>0.28499999999999998</v>
      </c>
      <c r="W238" s="209">
        <v>0.28499999999999998</v>
      </c>
      <c r="X238" s="209">
        <v>0.28499999999999998</v>
      </c>
      <c r="Y238" s="209">
        <v>0.28499999999999998</v>
      </c>
      <c r="Z238" s="209">
        <v>0.28499999999999998</v>
      </c>
      <c r="AA238" s="209">
        <v>0.28499999999999998</v>
      </c>
      <c r="AB238" s="209">
        <v>0.28499999999999998</v>
      </c>
      <c r="AC238" s="209">
        <v>0.28499999999999998</v>
      </c>
      <c r="AD238" s="209">
        <v>0.28499999999999998</v>
      </c>
      <c r="AE238" s="209">
        <v>0.28499999999999998</v>
      </c>
      <c r="AF238" s="220">
        <v>0.28499999999999998</v>
      </c>
      <c r="AG238" s="436"/>
    </row>
    <row r="239" spans="1:33">
      <c r="A239" s="215" t="s">
        <v>937</v>
      </c>
      <c r="B239" s="232" t="s">
        <v>941</v>
      </c>
      <c r="C239" s="232">
        <v>2070</v>
      </c>
      <c r="D239" s="232" t="s">
        <v>680</v>
      </c>
      <c r="E239" s="209">
        <v>0.28499999999999998</v>
      </c>
      <c r="F239" s="209">
        <v>0.28499999999999998</v>
      </c>
      <c r="G239" s="209">
        <v>0.28499999999999998</v>
      </c>
      <c r="H239" s="209">
        <v>0.28499999999999998</v>
      </c>
      <c r="I239" s="209">
        <v>0.28499999999999998</v>
      </c>
      <c r="J239" s="209">
        <v>0.28499999999999998</v>
      </c>
      <c r="K239" s="209">
        <v>0.28499999999999998</v>
      </c>
      <c r="L239" s="209">
        <v>0.28499999999999998</v>
      </c>
      <c r="M239" s="209">
        <v>0.28499999999999998</v>
      </c>
      <c r="N239" s="209">
        <v>0.28499999999999998</v>
      </c>
      <c r="O239" s="209">
        <v>0.28499999999999998</v>
      </c>
      <c r="P239" s="209">
        <v>0.28499999999999998</v>
      </c>
      <c r="Q239" s="209">
        <v>0.28499999999999998</v>
      </c>
      <c r="R239" s="209">
        <v>0.28499999999999998</v>
      </c>
      <c r="S239" s="209">
        <v>0.28499999999999998</v>
      </c>
      <c r="T239" s="209">
        <v>0.28499999999999998</v>
      </c>
      <c r="U239" s="209">
        <v>0.28499999999999998</v>
      </c>
      <c r="V239" s="209">
        <v>0.28499999999999998</v>
      </c>
      <c r="W239" s="209">
        <v>0.28499999999999998</v>
      </c>
      <c r="X239" s="209">
        <v>0.28499999999999998</v>
      </c>
      <c r="Y239" s="209">
        <v>0.28499999999999998</v>
      </c>
      <c r="Z239" s="209">
        <v>0.28499999999999998</v>
      </c>
      <c r="AA239" s="209">
        <v>0.28499999999999998</v>
      </c>
      <c r="AB239" s="209">
        <v>0.28499999999999998</v>
      </c>
      <c r="AC239" s="209">
        <v>0.28499999999999998</v>
      </c>
      <c r="AD239" s="209">
        <v>0.28499999999999998</v>
      </c>
      <c r="AE239" s="209">
        <v>0.28499999999999998</v>
      </c>
      <c r="AF239" s="220">
        <v>0.28499999999999998</v>
      </c>
      <c r="AG239" s="436"/>
    </row>
    <row r="240" spans="1:33">
      <c r="A240" s="215" t="s">
        <v>937</v>
      </c>
      <c r="B240" s="232" t="s">
        <v>941</v>
      </c>
      <c r="C240" s="232">
        <v>2080</v>
      </c>
      <c r="D240" s="232" t="s">
        <v>680</v>
      </c>
      <c r="E240" s="209">
        <v>0.28499999999999998</v>
      </c>
      <c r="F240" s="209">
        <v>0.28499999999999998</v>
      </c>
      <c r="G240" s="209">
        <v>0.28499999999999998</v>
      </c>
      <c r="H240" s="209">
        <v>0.28499999999999998</v>
      </c>
      <c r="I240" s="209">
        <v>0.28499999999999998</v>
      </c>
      <c r="J240" s="209">
        <v>0.28499999999999998</v>
      </c>
      <c r="K240" s="209">
        <v>0.28499999999999998</v>
      </c>
      <c r="L240" s="209">
        <v>0.28499999999999998</v>
      </c>
      <c r="M240" s="209">
        <v>0.28499999999999998</v>
      </c>
      <c r="N240" s="209">
        <v>0.28499999999999998</v>
      </c>
      <c r="O240" s="209">
        <v>0.28499999999999998</v>
      </c>
      <c r="P240" s="209">
        <v>0.28499999999999998</v>
      </c>
      <c r="Q240" s="209">
        <v>0.28499999999999998</v>
      </c>
      <c r="R240" s="209">
        <v>0.28499999999999998</v>
      </c>
      <c r="S240" s="209">
        <v>0.28499999999999998</v>
      </c>
      <c r="T240" s="209">
        <v>0.28499999999999998</v>
      </c>
      <c r="U240" s="209">
        <v>0.28499999999999998</v>
      </c>
      <c r="V240" s="209">
        <v>0.28499999999999998</v>
      </c>
      <c r="W240" s="209">
        <v>0.28499999999999998</v>
      </c>
      <c r="X240" s="209">
        <v>0.28499999999999998</v>
      </c>
      <c r="Y240" s="209">
        <v>0.28499999999999998</v>
      </c>
      <c r="Z240" s="209">
        <v>0.28499999999999998</v>
      </c>
      <c r="AA240" s="209">
        <v>0.28499999999999998</v>
      </c>
      <c r="AB240" s="209">
        <v>0.28499999999999998</v>
      </c>
      <c r="AC240" s="209">
        <v>0.28499999999999998</v>
      </c>
      <c r="AD240" s="209">
        <v>0.28499999999999998</v>
      </c>
      <c r="AE240" s="209">
        <v>0.28499999999999998</v>
      </c>
      <c r="AF240" s="220">
        <v>0.28499999999999998</v>
      </c>
      <c r="AG240" s="436"/>
    </row>
    <row r="241" spans="1:33">
      <c r="A241" s="215" t="s">
        <v>937</v>
      </c>
      <c r="B241" s="232" t="s">
        <v>941</v>
      </c>
      <c r="C241" s="232">
        <v>2090</v>
      </c>
      <c r="D241" s="232" t="s">
        <v>680</v>
      </c>
      <c r="E241" s="209">
        <v>0.28499999999999998</v>
      </c>
      <c r="F241" s="209">
        <v>0.28499999999999998</v>
      </c>
      <c r="G241" s="209">
        <v>0.28499999999999998</v>
      </c>
      <c r="H241" s="209">
        <v>0.28499999999999998</v>
      </c>
      <c r="I241" s="209">
        <v>0.28499999999999998</v>
      </c>
      <c r="J241" s="209">
        <v>0.28499999999999998</v>
      </c>
      <c r="K241" s="209">
        <v>0.28499999999999998</v>
      </c>
      <c r="L241" s="209">
        <v>0.28499999999999998</v>
      </c>
      <c r="M241" s="209">
        <v>0.28499999999999998</v>
      </c>
      <c r="N241" s="209">
        <v>0.28499999999999998</v>
      </c>
      <c r="O241" s="209">
        <v>0.28499999999999998</v>
      </c>
      <c r="P241" s="209">
        <v>0.28499999999999998</v>
      </c>
      <c r="Q241" s="209">
        <v>0.28499999999999998</v>
      </c>
      <c r="R241" s="209">
        <v>0.28499999999999998</v>
      </c>
      <c r="S241" s="209">
        <v>0.28499999999999998</v>
      </c>
      <c r="T241" s="209">
        <v>0.28499999999999998</v>
      </c>
      <c r="U241" s="209">
        <v>0.28499999999999998</v>
      </c>
      <c r="V241" s="209">
        <v>0.28499999999999998</v>
      </c>
      <c r="W241" s="209">
        <v>0.28499999999999998</v>
      </c>
      <c r="X241" s="209">
        <v>0.28499999999999998</v>
      </c>
      <c r="Y241" s="209">
        <v>0.28499999999999998</v>
      </c>
      <c r="Z241" s="209">
        <v>0.28499999999999998</v>
      </c>
      <c r="AA241" s="209">
        <v>0.28499999999999998</v>
      </c>
      <c r="AB241" s="209">
        <v>0.28499999999999998</v>
      </c>
      <c r="AC241" s="209">
        <v>0.28499999999999998</v>
      </c>
      <c r="AD241" s="209">
        <v>0.28499999999999998</v>
      </c>
      <c r="AE241" s="209">
        <v>0.28499999999999998</v>
      </c>
      <c r="AF241" s="220">
        <v>0.28499999999999998</v>
      </c>
      <c r="AG241" s="436"/>
    </row>
    <row r="242" spans="1:33" ht="16.2" thickBot="1">
      <c r="A242" s="449" t="s">
        <v>937</v>
      </c>
      <c r="B242" s="450" t="s">
        <v>941</v>
      </c>
      <c r="C242" s="450">
        <v>2100</v>
      </c>
      <c r="D242" s="450" t="s">
        <v>680</v>
      </c>
      <c r="E242" s="212">
        <v>0.28499999999999998</v>
      </c>
      <c r="F242" s="212">
        <v>0.28499999999999998</v>
      </c>
      <c r="G242" s="212">
        <v>0.28499999999999998</v>
      </c>
      <c r="H242" s="212">
        <v>0.28499999999999998</v>
      </c>
      <c r="I242" s="212">
        <v>0.28499999999999998</v>
      </c>
      <c r="J242" s="212">
        <v>0.28499999999999998</v>
      </c>
      <c r="K242" s="212">
        <v>0.28499999999999998</v>
      </c>
      <c r="L242" s="212">
        <v>0.28499999999999998</v>
      </c>
      <c r="M242" s="212">
        <v>0.28499999999999998</v>
      </c>
      <c r="N242" s="212">
        <v>0.28499999999999998</v>
      </c>
      <c r="O242" s="212">
        <v>0.28499999999999998</v>
      </c>
      <c r="P242" s="212">
        <v>0.28499999999999998</v>
      </c>
      <c r="Q242" s="212">
        <v>0.28499999999999998</v>
      </c>
      <c r="R242" s="212">
        <v>0.28499999999999998</v>
      </c>
      <c r="S242" s="212">
        <v>0.28499999999999998</v>
      </c>
      <c r="T242" s="212">
        <v>0.28499999999999998</v>
      </c>
      <c r="U242" s="212">
        <v>0.28499999999999998</v>
      </c>
      <c r="V242" s="212">
        <v>0.28499999999999998</v>
      </c>
      <c r="W242" s="212">
        <v>0.28499999999999998</v>
      </c>
      <c r="X242" s="212">
        <v>0.28499999999999998</v>
      </c>
      <c r="Y242" s="212">
        <v>0.28499999999999998</v>
      </c>
      <c r="Z242" s="212">
        <v>0.28499999999999998</v>
      </c>
      <c r="AA242" s="212">
        <v>0.28499999999999998</v>
      </c>
      <c r="AB242" s="212">
        <v>0.28499999999999998</v>
      </c>
      <c r="AC242" s="212">
        <v>0.28499999999999998</v>
      </c>
      <c r="AD242" s="212">
        <v>0.28499999999999998</v>
      </c>
      <c r="AE242" s="212">
        <v>0.28499999999999998</v>
      </c>
      <c r="AF242" s="451">
        <v>0.28499999999999998</v>
      </c>
      <c r="AG242" s="452"/>
    </row>
    <row r="243" spans="1:33">
      <c r="A243" s="215" t="s">
        <v>942</v>
      </c>
      <c r="B243" s="232" t="s">
        <v>938</v>
      </c>
      <c r="C243" s="232">
        <v>2019</v>
      </c>
      <c r="D243" s="232" t="s">
        <v>680</v>
      </c>
      <c r="E243" s="209">
        <v>9.5000000000000001E-2</v>
      </c>
      <c r="F243" s="209">
        <v>9.5000000000000001E-2</v>
      </c>
      <c r="G243" s="209">
        <v>9.5000000000000001E-2</v>
      </c>
      <c r="H243" s="209">
        <v>9.5000000000000001E-2</v>
      </c>
      <c r="I243" s="209">
        <v>9.5000000000000001E-2</v>
      </c>
      <c r="J243" s="209">
        <v>9.5000000000000001E-2</v>
      </c>
      <c r="K243" s="209">
        <v>9.5000000000000001E-2</v>
      </c>
      <c r="L243" s="209">
        <v>9.5000000000000001E-2</v>
      </c>
      <c r="M243" s="209">
        <v>9.5000000000000001E-2</v>
      </c>
      <c r="N243" s="209">
        <v>9.5000000000000001E-2</v>
      </c>
      <c r="O243" s="209">
        <v>9.5000000000000001E-2</v>
      </c>
      <c r="P243" s="209">
        <v>9.5000000000000001E-2</v>
      </c>
      <c r="Q243" s="209">
        <v>9.5000000000000001E-2</v>
      </c>
      <c r="R243" s="209">
        <v>9.5000000000000001E-2</v>
      </c>
      <c r="S243" s="209">
        <v>9.5000000000000001E-2</v>
      </c>
      <c r="T243" s="209">
        <v>9.5000000000000001E-2</v>
      </c>
      <c r="U243" s="209">
        <v>9.5000000000000001E-2</v>
      </c>
      <c r="V243" s="209">
        <v>9.5000000000000001E-2</v>
      </c>
      <c r="W243" s="209">
        <v>9.5000000000000001E-2</v>
      </c>
      <c r="X243" s="209">
        <v>9.5000000000000001E-2</v>
      </c>
      <c r="Y243" s="209">
        <v>9.5000000000000001E-2</v>
      </c>
      <c r="Z243" s="209">
        <v>9.5000000000000001E-2</v>
      </c>
      <c r="AA243" s="209">
        <v>9.5000000000000001E-2</v>
      </c>
      <c r="AB243" s="209">
        <v>9.5000000000000001E-2</v>
      </c>
      <c r="AC243" s="209">
        <v>9.5000000000000001E-2</v>
      </c>
      <c r="AD243" s="209">
        <v>9.5000000000000001E-2</v>
      </c>
      <c r="AE243" s="209">
        <v>9.5000000000000001E-2</v>
      </c>
      <c r="AF243" s="220">
        <v>9.5000000000000001E-2</v>
      </c>
      <c r="AG243" s="436"/>
    </row>
    <row r="244" spans="1:33">
      <c r="A244" s="215" t="s">
        <v>942</v>
      </c>
      <c r="B244" s="232" t="s">
        <v>938</v>
      </c>
      <c r="C244">
        <v>2020</v>
      </c>
      <c r="D244" s="232" t="s">
        <v>680</v>
      </c>
      <c r="E244" s="209">
        <v>9.5000000000000001E-2</v>
      </c>
      <c r="F244" s="209">
        <v>9.5000000000000001E-2</v>
      </c>
      <c r="G244" s="209">
        <v>9.5000000000000001E-2</v>
      </c>
      <c r="H244" s="209">
        <v>9.5000000000000001E-2</v>
      </c>
      <c r="I244" s="209">
        <v>9.5000000000000001E-2</v>
      </c>
      <c r="J244" s="209">
        <v>9.5000000000000001E-2</v>
      </c>
      <c r="K244" s="209">
        <v>9.5000000000000001E-2</v>
      </c>
      <c r="L244" s="209">
        <v>9.5000000000000001E-2</v>
      </c>
      <c r="M244" s="209">
        <v>9.5000000000000001E-2</v>
      </c>
      <c r="N244" s="209">
        <v>9.5000000000000001E-2</v>
      </c>
      <c r="O244" s="209">
        <v>9.5000000000000001E-2</v>
      </c>
      <c r="P244" s="209">
        <v>9.5000000000000001E-2</v>
      </c>
      <c r="Q244" s="209">
        <v>9.5000000000000001E-2</v>
      </c>
      <c r="R244" s="209">
        <v>9.5000000000000001E-2</v>
      </c>
      <c r="S244" s="209">
        <v>9.5000000000000001E-2</v>
      </c>
      <c r="T244" s="209">
        <v>9.5000000000000001E-2</v>
      </c>
      <c r="U244" s="209">
        <v>9.5000000000000001E-2</v>
      </c>
      <c r="V244" s="209">
        <v>9.5000000000000001E-2</v>
      </c>
      <c r="W244" s="209">
        <v>9.5000000000000001E-2</v>
      </c>
      <c r="X244" s="209">
        <v>9.5000000000000001E-2</v>
      </c>
      <c r="Y244" s="209">
        <v>9.5000000000000001E-2</v>
      </c>
      <c r="Z244" s="209">
        <v>9.5000000000000001E-2</v>
      </c>
      <c r="AA244" s="209">
        <v>9.5000000000000001E-2</v>
      </c>
      <c r="AB244" s="209">
        <v>9.5000000000000001E-2</v>
      </c>
      <c r="AC244" s="209">
        <v>9.5000000000000001E-2</v>
      </c>
      <c r="AD244" s="209">
        <v>9.5000000000000001E-2</v>
      </c>
      <c r="AE244" s="209">
        <v>9.5000000000000001E-2</v>
      </c>
      <c r="AF244" s="220">
        <v>9.5000000000000001E-2</v>
      </c>
      <c r="AG244" s="436"/>
    </row>
    <row r="245" spans="1:33">
      <c r="A245" s="215" t="s">
        <v>942</v>
      </c>
      <c r="B245" s="232" t="s">
        <v>938</v>
      </c>
      <c r="C245" s="232">
        <v>2025</v>
      </c>
      <c r="D245" s="232" t="s">
        <v>680</v>
      </c>
      <c r="E245" s="209">
        <v>9.5000000000000001E-2</v>
      </c>
      <c r="F245" s="209">
        <v>9.5000000000000001E-2</v>
      </c>
      <c r="G245" s="209">
        <v>9.5000000000000001E-2</v>
      </c>
      <c r="H245" s="209">
        <v>9.5000000000000001E-2</v>
      </c>
      <c r="I245" s="209">
        <v>9.5000000000000001E-2</v>
      </c>
      <c r="J245" s="209">
        <v>9.5000000000000001E-2</v>
      </c>
      <c r="K245" s="209">
        <v>9.5000000000000001E-2</v>
      </c>
      <c r="L245" s="209">
        <v>9.5000000000000001E-2</v>
      </c>
      <c r="M245" s="209">
        <v>9.5000000000000001E-2</v>
      </c>
      <c r="N245" s="209">
        <v>9.5000000000000001E-2</v>
      </c>
      <c r="O245" s="209">
        <v>9.5000000000000001E-2</v>
      </c>
      <c r="P245" s="209">
        <v>9.5000000000000001E-2</v>
      </c>
      <c r="Q245" s="209">
        <v>9.5000000000000001E-2</v>
      </c>
      <c r="R245" s="209">
        <v>9.5000000000000001E-2</v>
      </c>
      <c r="S245" s="209">
        <v>9.5000000000000001E-2</v>
      </c>
      <c r="T245" s="209">
        <v>9.5000000000000001E-2</v>
      </c>
      <c r="U245" s="209">
        <v>9.5000000000000001E-2</v>
      </c>
      <c r="V245" s="209">
        <v>9.5000000000000001E-2</v>
      </c>
      <c r="W245" s="209">
        <v>9.5000000000000001E-2</v>
      </c>
      <c r="X245" s="209">
        <v>9.5000000000000001E-2</v>
      </c>
      <c r="Y245" s="209">
        <v>9.5000000000000001E-2</v>
      </c>
      <c r="Z245" s="209">
        <v>9.5000000000000001E-2</v>
      </c>
      <c r="AA245" s="209">
        <v>9.5000000000000001E-2</v>
      </c>
      <c r="AB245" s="209">
        <v>9.5000000000000001E-2</v>
      </c>
      <c r="AC245" s="209">
        <v>9.5000000000000001E-2</v>
      </c>
      <c r="AD245" s="209">
        <v>9.5000000000000001E-2</v>
      </c>
      <c r="AE245" s="209">
        <v>9.5000000000000001E-2</v>
      </c>
      <c r="AF245" s="220">
        <v>9.5000000000000001E-2</v>
      </c>
      <c r="AG245" s="436"/>
    </row>
    <row r="246" spans="1:33">
      <c r="A246" s="215" t="s">
        <v>942</v>
      </c>
      <c r="B246" s="232" t="s">
        <v>938</v>
      </c>
      <c r="C246" s="232">
        <v>2030</v>
      </c>
      <c r="D246" s="232" t="s">
        <v>680</v>
      </c>
      <c r="E246" s="209">
        <v>9.5000000000000001E-2</v>
      </c>
      <c r="F246" s="209">
        <v>9.5000000000000001E-2</v>
      </c>
      <c r="G246" s="209">
        <v>9.5000000000000001E-2</v>
      </c>
      <c r="H246" s="209">
        <v>9.5000000000000001E-2</v>
      </c>
      <c r="I246" s="209">
        <v>9.5000000000000001E-2</v>
      </c>
      <c r="J246" s="209">
        <v>9.5000000000000001E-2</v>
      </c>
      <c r="K246" s="209">
        <v>9.5000000000000001E-2</v>
      </c>
      <c r="L246" s="209">
        <v>9.5000000000000001E-2</v>
      </c>
      <c r="M246" s="209">
        <v>9.5000000000000001E-2</v>
      </c>
      <c r="N246" s="209">
        <v>9.5000000000000001E-2</v>
      </c>
      <c r="O246" s="209">
        <v>9.5000000000000001E-2</v>
      </c>
      <c r="P246" s="209">
        <v>9.5000000000000001E-2</v>
      </c>
      <c r="Q246" s="209">
        <v>9.5000000000000001E-2</v>
      </c>
      <c r="R246" s="209">
        <v>9.5000000000000001E-2</v>
      </c>
      <c r="S246" s="209">
        <v>9.5000000000000001E-2</v>
      </c>
      <c r="T246" s="209">
        <v>9.5000000000000001E-2</v>
      </c>
      <c r="U246" s="209">
        <v>9.5000000000000001E-2</v>
      </c>
      <c r="V246" s="209">
        <v>9.5000000000000001E-2</v>
      </c>
      <c r="W246" s="209">
        <v>9.5000000000000001E-2</v>
      </c>
      <c r="X246" s="209">
        <v>9.5000000000000001E-2</v>
      </c>
      <c r="Y246" s="209">
        <v>9.5000000000000001E-2</v>
      </c>
      <c r="Z246" s="209">
        <v>9.5000000000000001E-2</v>
      </c>
      <c r="AA246" s="209">
        <v>9.5000000000000001E-2</v>
      </c>
      <c r="AB246" s="209">
        <v>9.5000000000000001E-2</v>
      </c>
      <c r="AC246" s="209">
        <v>9.5000000000000001E-2</v>
      </c>
      <c r="AD246" s="209">
        <v>9.5000000000000001E-2</v>
      </c>
      <c r="AE246" s="209">
        <v>9.5000000000000001E-2</v>
      </c>
      <c r="AF246" s="220">
        <v>9.5000000000000001E-2</v>
      </c>
      <c r="AG246" s="436"/>
    </row>
    <row r="247" spans="1:33">
      <c r="A247" s="215" t="s">
        <v>942</v>
      </c>
      <c r="B247" s="232" t="s">
        <v>938</v>
      </c>
      <c r="C247" s="232">
        <v>2035</v>
      </c>
      <c r="D247" s="232" t="s">
        <v>680</v>
      </c>
      <c r="E247" s="209">
        <v>9.5000000000000001E-2</v>
      </c>
      <c r="F247" s="209">
        <v>9.5000000000000001E-2</v>
      </c>
      <c r="G247" s="209">
        <v>9.5000000000000001E-2</v>
      </c>
      <c r="H247" s="209">
        <v>9.5000000000000001E-2</v>
      </c>
      <c r="I247" s="209">
        <v>9.5000000000000001E-2</v>
      </c>
      <c r="J247" s="209">
        <v>9.5000000000000001E-2</v>
      </c>
      <c r="K247" s="209">
        <v>9.5000000000000001E-2</v>
      </c>
      <c r="L247" s="209">
        <v>9.5000000000000001E-2</v>
      </c>
      <c r="M247" s="209">
        <v>9.5000000000000001E-2</v>
      </c>
      <c r="N247" s="209">
        <v>9.5000000000000001E-2</v>
      </c>
      <c r="O247" s="209">
        <v>9.5000000000000001E-2</v>
      </c>
      <c r="P247" s="209">
        <v>9.5000000000000001E-2</v>
      </c>
      <c r="Q247" s="209">
        <v>9.5000000000000001E-2</v>
      </c>
      <c r="R247" s="209">
        <v>9.5000000000000001E-2</v>
      </c>
      <c r="S247" s="209">
        <v>9.5000000000000001E-2</v>
      </c>
      <c r="T247" s="209">
        <v>9.5000000000000001E-2</v>
      </c>
      <c r="U247" s="209">
        <v>9.5000000000000001E-2</v>
      </c>
      <c r="V247" s="209">
        <v>9.5000000000000001E-2</v>
      </c>
      <c r="W247" s="209">
        <v>9.5000000000000001E-2</v>
      </c>
      <c r="X247" s="209">
        <v>9.5000000000000001E-2</v>
      </c>
      <c r="Y247" s="209">
        <v>9.5000000000000001E-2</v>
      </c>
      <c r="Z247" s="209">
        <v>9.5000000000000001E-2</v>
      </c>
      <c r="AA247" s="209">
        <v>9.5000000000000001E-2</v>
      </c>
      <c r="AB247" s="209">
        <v>9.5000000000000001E-2</v>
      </c>
      <c r="AC247" s="209">
        <v>9.5000000000000001E-2</v>
      </c>
      <c r="AD247" s="209">
        <v>9.5000000000000001E-2</v>
      </c>
      <c r="AE247" s="209">
        <v>9.5000000000000001E-2</v>
      </c>
      <c r="AF247" s="220">
        <v>9.5000000000000001E-2</v>
      </c>
      <c r="AG247" s="436"/>
    </row>
    <row r="248" spans="1:33">
      <c r="A248" s="215" t="s">
        <v>942</v>
      </c>
      <c r="B248" s="232" t="s">
        <v>938</v>
      </c>
      <c r="C248" s="232">
        <v>2040</v>
      </c>
      <c r="D248" s="232" t="s">
        <v>680</v>
      </c>
      <c r="E248" s="209">
        <v>9.5000000000000001E-2</v>
      </c>
      <c r="F248" s="209">
        <v>9.5000000000000001E-2</v>
      </c>
      <c r="G248" s="209">
        <v>9.5000000000000001E-2</v>
      </c>
      <c r="H248" s="209">
        <v>9.5000000000000001E-2</v>
      </c>
      <c r="I248" s="209">
        <v>9.5000000000000001E-2</v>
      </c>
      <c r="J248" s="209">
        <v>9.5000000000000001E-2</v>
      </c>
      <c r="K248" s="209">
        <v>9.5000000000000001E-2</v>
      </c>
      <c r="L248" s="209">
        <v>9.5000000000000001E-2</v>
      </c>
      <c r="M248" s="209">
        <v>9.5000000000000001E-2</v>
      </c>
      <c r="N248" s="209">
        <v>9.5000000000000001E-2</v>
      </c>
      <c r="O248" s="209">
        <v>9.5000000000000001E-2</v>
      </c>
      <c r="P248" s="209">
        <v>9.5000000000000001E-2</v>
      </c>
      <c r="Q248" s="209">
        <v>9.5000000000000001E-2</v>
      </c>
      <c r="R248" s="209">
        <v>9.5000000000000001E-2</v>
      </c>
      <c r="S248" s="209">
        <v>9.5000000000000001E-2</v>
      </c>
      <c r="T248" s="209">
        <v>9.5000000000000001E-2</v>
      </c>
      <c r="U248" s="209">
        <v>9.5000000000000001E-2</v>
      </c>
      <c r="V248" s="209">
        <v>9.5000000000000001E-2</v>
      </c>
      <c r="W248" s="209">
        <v>9.5000000000000001E-2</v>
      </c>
      <c r="X248" s="209">
        <v>9.5000000000000001E-2</v>
      </c>
      <c r="Y248" s="209">
        <v>9.5000000000000001E-2</v>
      </c>
      <c r="Z248" s="209">
        <v>9.5000000000000001E-2</v>
      </c>
      <c r="AA248" s="209">
        <v>9.5000000000000001E-2</v>
      </c>
      <c r="AB248" s="209">
        <v>9.5000000000000001E-2</v>
      </c>
      <c r="AC248" s="209">
        <v>9.5000000000000001E-2</v>
      </c>
      <c r="AD248" s="209">
        <v>9.5000000000000001E-2</v>
      </c>
      <c r="AE248" s="209">
        <v>9.5000000000000001E-2</v>
      </c>
      <c r="AF248" s="220">
        <v>9.5000000000000001E-2</v>
      </c>
      <c r="AG248" s="436"/>
    </row>
    <row r="249" spans="1:33">
      <c r="A249" s="215" t="s">
        <v>942</v>
      </c>
      <c r="B249" s="232" t="s">
        <v>938</v>
      </c>
      <c r="C249" s="232">
        <v>2045</v>
      </c>
      <c r="D249" s="232" t="s">
        <v>680</v>
      </c>
      <c r="E249" s="209">
        <v>9.5000000000000001E-2</v>
      </c>
      <c r="F249" s="209">
        <v>9.5000000000000001E-2</v>
      </c>
      <c r="G249" s="209">
        <v>9.5000000000000001E-2</v>
      </c>
      <c r="H249" s="209">
        <v>9.5000000000000001E-2</v>
      </c>
      <c r="I249" s="209">
        <v>9.5000000000000001E-2</v>
      </c>
      <c r="J249" s="209">
        <v>9.5000000000000001E-2</v>
      </c>
      <c r="K249" s="209">
        <v>9.5000000000000001E-2</v>
      </c>
      <c r="L249" s="209">
        <v>9.5000000000000001E-2</v>
      </c>
      <c r="M249" s="209">
        <v>9.5000000000000001E-2</v>
      </c>
      <c r="N249" s="209">
        <v>9.5000000000000001E-2</v>
      </c>
      <c r="O249" s="209">
        <v>9.5000000000000001E-2</v>
      </c>
      <c r="P249" s="209">
        <v>9.5000000000000001E-2</v>
      </c>
      <c r="Q249" s="209">
        <v>9.5000000000000001E-2</v>
      </c>
      <c r="R249" s="209">
        <v>9.5000000000000001E-2</v>
      </c>
      <c r="S249" s="209">
        <v>9.5000000000000001E-2</v>
      </c>
      <c r="T249" s="209">
        <v>9.5000000000000001E-2</v>
      </c>
      <c r="U249" s="209">
        <v>9.5000000000000001E-2</v>
      </c>
      <c r="V249" s="209">
        <v>9.5000000000000001E-2</v>
      </c>
      <c r="W249" s="209">
        <v>9.5000000000000001E-2</v>
      </c>
      <c r="X249" s="209">
        <v>9.5000000000000001E-2</v>
      </c>
      <c r="Y249" s="209">
        <v>9.5000000000000001E-2</v>
      </c>
      <c r="Z249" s="209">
        <v>9.5000000000000001E-2</v>
      </c>
      <c r="AA249" s="209">
        <v>9.5000000000000001E-2</v>
      </c>
      <c r="AB249" s="209">
        <v>9.5000000000000001E-2</v>
      </c>
      <c r="AC249" s="209">
        <v>9.5000000000000001E-2</v>
      </c>
      <c r="AD249" s="209">
        <v>9.5000000000000001E-2</v>
      </c>
      <c r="AE249" s="209">
        <v>9.5000000000000001E-2</v>
      </c>
      <c r="AF249" s="220">
        <v>9.5000000000000001E-2</v>
      </c>
      <c r="AG249" s="436"/>
    </row>
    <row r="250" spans="1:33">
      <c r="A250" s="215" t="s">
        <v>942</v>
      </c>
      <c r="B250" s="232" t="s">
        <v>938</v>
      </c>
      <c r="C250" s="232">
        <v>2050</v>
      </c>
      <c r="D250" s="232" t="s">
        <v>680</v>
      </c>
      <c r="E250" s="209">
        <v>9.5000000000000001E-2</v>
      </c>
      <c r="F250" s="209">
        <v>9.5000000000000001E-2</v>
      </c>
      <c r="G250" s="209">
        <v>9.5000000000000001E-2</v>
      </c>
      <c r="H250" s="209">
        <v>9.5000000000000001E-2</v>
      </c>
      <c r="I250" s="209">
        <v>9.5000000000000001E-2</v>
      </c>
      <c r="J250" s="209">
        <v>9.5000000000000001E-2</v>
      </c>
      <c r="K250" s="209">
        <v>9.5000000000000001E-2</v>
      </c>
      <c r="L250" s="209">
        <v>9.5000000000000001E-2</v>
      </c>
      <c r="M250" s="209">
        <v>9.5000000000000001E-2</v>
      </c>
      <c r="N250" s="209">
        <v>9.5000000000000001E-2</v>
      </c>
      <c r="O250" s="209">
        <v>9.5000000000000001E-2</v>
      </c>
      <c r="P250" s="209">
        <v>9.5000000000000001E-2</v>
      </c>
      <c r="Q250" s="209">
        <v>9.5000000000000001E-2</v>
      </c>
      <c r="R250" s="209">
        <v>9.5000000000000001E-2</v>
      </c>
      <c r="S250" s="209">
        <v>9.5000000000000001E-2</v>
      </c>
      <c r="T250" s="209">
        <v>9.5000000000000001E-2</v>
      </c>
      <c r="U250" s="209">
        <v>9.5000000000000001E-2</v>
      </c>
      <c r="V250" s="209">
        <v>9.5000000000000001E-2</v>
      </c>
      <c r="W250" s="209">
        <v>9.5000000000000001E-2</v>
      </c>
      <c r="X250" s="209">
        <v>9.5000000000000001E-2</v>
      </c>
      <c r="Y250" s="209">
        <v>9.5000000000000001E-2</v>
      </c>
      <c r="Z250" s="209">
        <v>9.5000000000000001E-2</v>
      </c>
      <c r="AA250" s="209">
        <v>9.5000000000000001E-2</v>
      </c>
      <c r="AB250" s="209">
        <v>9.5000000000000001E-2</v>
      </c>
      <c r="AC250" s="209">
        <v>9.5000000000000001E-2</v>
      </c>
      <c r="AD250" s="209">
        <v>9.5000000000000001E-2</v>
      </c>
      <c r="AE250" s="209">
        <v>9.5000000000000001E-2</v>
      </c>
      <c r="AF250" s="220">
        <v>9.5000000000000001E-2</v>
      </c>
      <c r="AG250" s="436"/>
    </row>
    <row r="251" spans="1:33">
      <c r="A251" s="215" t="s">
        <v>942</v>
      </c>
      <c r="B251" s="232" t="s">
        <v>938</v>
      </c>
      <c r="C251" s="232">
        <v>2060</v>
      </c>
      <c r="D251" s="232" t="s">
        <v>680</v>
      </c>
      <c r="E251" s="209">
        <v>9.5000000000000001E-2</v>
      </c>
      <c r="F251" s="209">
        <v>9.5000000000000001E-2</v>
      </c>
      <c r="G251" s="209">
        <v>9.5000000000000001E-2</v>
      </c>
      <c r="H251" s="209">
        <v>9.5000000000000001E-2</v>
      </c>
      <c r="I251" s="209">
        <v>9.5000000000000001E-2</v>
      </c>
      <c r="J251" s="209">
        <v>9.5000000000000001E-2</v>
      </c>
      <c r="K251" s="209">
        <v>9.5000000000000001E-2</v>
      </c>
      <c r="L251" s="209">
        <v>9.5000000000000001E-2</v>
      </c>
      <c r="M251" s="209">
        <v>9.5000000000000001E-2</v>
      </c>
      <c r="N251" s="209">
        <v>9.5000000000000001E-2</v>
      </c>
      <c r="O251" s="209">
        <v>9.5000000000000001E-2</v>
      </c>
      <c r="P251" s="209">
        <v>9.5000000000000001E-2</v>
      </c>
      <c r="Q251" s="209">
        <v>9.5000000000000001E-2</v>
      </c>
      <c r="R251" s="209">
        <v>9.5000000000000001E-2</v>
      </c>
      <c r="S251" s="209">
        <v>9.5000000000000001E-2</v>
      </c>
      <c r="T251" s="209">
        <v>9.5000000000000001E-2</v>
      </c>
      <c r="U251" s="209">
        <v>9.5000000000000001E-2</v>
      </c>
      <c r="V251" s="209">
        <v>9.5000000000000001E-2</v>
      </c>
      <c r="W251" s="209">
        <v>9.5000000000000001E-2</v>
      </c>
      <c r="X251" s="209">
        <v>9.5000000000000001E-2</v>
      </c>
      <c r="Y251" s="209">
        <v>9.5000000000000001E-2</v>
      </c>
      <c r="Z251" s="209">
        <v>9.5000000000000001E-2</v>
      </c>
      <c r="AA251" s="209">
        <v>9.5000000000000001E-2</v>
      </c>
      <c r="AB251" s="209">
        <v>9.5000000000000001E-2</v>
      </c>
      <c r="AC251" s="209">
        <v>9.5000000000000001E-2</v>
      </c>
      <c r="AD251" s="209">
        <v>9.5000000000000001E-2</v>
      </c>
      <c r="AE251" s="209">
        <v>9.5000000000000001E-2</v>
      </c>
      <c r="AF251" s="220">
        <v>9.5000000000000001E-2</v>
      </c>
      <c r="AG251" s="436"/>
    </row>
    <row r="252" spans="1:33">
      <c r="A252" s="215" t="s">
        <v>942</v>
      </c>
      <c r="B252" s="232" t="s">
        <v>938</v>
      </c>
      <c r="C252" s="232">
        <v>2070</v>
      </c>
      <c r="D252" s="232" t="s">
        <v>680</v>
      </c>
      <c r="E252" s="209">
        <v>9.5000000000000001E-2</v>
      </c>
      <c r="F252" s="209">
        <v>9.5000000000000001E-2</v>
      </c>
      <c r="G252" s="209">
        <v>9.5000000000000001E-2</v>
      </c>
      <c r="H252" s="209">
        <v>9.5000000000000001E-2</v>
      </c>
      <c r="I252" s="209">
        <v>9.5000000000000001E-2</v>
      </c>
      <c r="J252" s="209">
        <v>9.5000000000000001E-2</v>
      </c>
      <c r="K252" s="209">
        <v>9.5000000000000001E-2</v>
      </c>
      <c r="L252" s="209">
        <v>9.5000000000000001E-2</v>
      </c>
      <c r="M252" s="209">
        <v>9.5000000000000001E-2</v>
      </c>
      <c r="N252" s="209">
        <v>9.5000000000000001E-2</v>
      </c>
      <c r="O252" s="209">
        <v>9.5000000000000001E-2</v>
      </c>
      <c r="P252" s="209">
        <v>9.5000000000000001E-2</v>
      </c>
      <c r="Q252" s="209">
        <v>9.5000000000000001E-2</v>
      </c>
      <c r="R252" s="209">
        <v>9.5000000000000001E-2</v>
      </c>
      <c r="S252" s="209">
        <v>9.5000000000000001E-2</v>
      </c>
      <c r="T252" s="209">
        <v>9.5000000000000001E-2</v>
      </c>
      <c r="U252" s="209">
        <v>9.5000000000000001E-2</v>
      </c>
      <c r="V252" s="209">
        <v>9.5000000000000001E-2</v>
      </c>
      <c r="W252" s="209">
        <v>9.5000000000000001E-2</v>
      </c>
      <c r="X252" s="209">
        <v>9.5000000000000001E-2</v>
      </c>
      <c r="Y252" s="209">
        <v>9.5000000000000001E-2</v>
      </c>
      <c r="Z252" s="209">
        <v>9.5000000000000001E-2</v>
      </c>
      <c r="AA252" s="209">
        <v>9.5000000000000001E-2</v>
      </c>
      <c r="AB252" s="209">
        <v>9.5000000000000001E-2</v>
      </c>
      <c r="AC252" s="209">
        <v>9.5000000000000001E-2</v>
      </c>
      <c r="AD252" s="209">
        <v>9.5000000000000001E-2</v>
      </c>
      <c r="AE252" s="209">
        <v>9.5000000000000001E-2</v>
      </c>
      <c r="AF252" s="220">
        <v>9.5000000000000001E-2</v>
      </c>
      <c r="AG252" s="436"/>
    </row>
    <row r="253" spans="1:33">
      <c r="A253" s="215" t="s">
        <v>942</v>
      </c>
      <c r="B253" s="232" t="s">
        <v>938</v>
      </c>
      <c r="C253" s="232">
        <v>2080</v>
      </c>
      <c r="D253" s="232" t="s">
        <v>680</v>
      </c>
      <c r="E253" s="209">
        <v>9.5000000000000001E-2</v>
      </c>
      <c r="F253" s="209">
        <v>9.5000000000000001E-2</v>
      </c>
      <c r="G253" s="209">
        <v>9.5000000000000001E-2</v>
      </c>
      <c r="H253" s="209">
        <v>9.5000000000000001E-2</v>
      </c>
      <c r="I253" s="209">
        <v>9.5000000000000001E-2</v>
      </c>
      <c r="J253" s="209">
        <v>9.5000000000000001E-2</v>
      </c>
      <c r="K253" s="209">
        <v>9.5000000000000001E-2</v>
      </c>
      <c r="L253" s="209">
        <v>9.5000000000000001E-2</v>
      </c>
      <c r="M253" s="209">
        <v>9.5000000000000001E-2</v>
      </c>
      <c r="N253" s="209">
        <v>9.5000000000000001E-2</v>
      </c>
      <c r="O253" s="209">
        <v>9.5000000000000001E-2</v>
      </c>
      <c r="P253" s="209">
        <v>9.5000000000000001E-2</v>
      </c>
      <c r="Q253" s="209">
        <v>9.5000000000000001E-2</v>
      </c>
      <c r="R253" s="209">
        <v>9.5000000000000001E-2</v>
      </c>
      <c r="S253" s="209">
        <v>9.5000000000000001E-2</v>
      </c>
      <c r="T253" s="209">
        <v>9.5000000000000001E-2</v>
      </c>
      <c r="U253" s="209">
        <v>9.5000000000000001E-2</v>
      </c>
      <c r="V253" s="209">
        <v>9.5000000000000001E-2</v>
      </c>
      <c r="W253" s="209">
        <v>9.5000000000000001E-2</v>
      </c>
      <c r="X253" s="209">
        <v>9.5000000000000001E-2</v>
      </c>
      <c r="Y253" s="209">
        <v>9.5000000000000001E-2</v>
      </c>
      <c r="Z253" s="209">
        <v>9.5000000000000001E-2</v>
      </c>
      <c r="AA253" s="209">
        <v>9.5000000000000001E-2</v>
      </c>
      <c r="AB253" s="209">
        <v>9.5000000000000001E-2</v>
      </c>
      <c r="AC253" s="209">
        <v>9.5000000000000001E-2</v>
      </c>
      <c r="AD253" s="209">
        <v>9.5000000000000001E-2</v>
      </c>
      <c r="AE253" s="209">
        <v>9.5000000000000001E-2</v>
      </c>
      <c r="AF253" s="220">
        <v>9.5000000000000001E-2</v>
      </c>
      <c r="AG253" s="436"/>
    </row>
    <row r="254" spans="1:33">
      <c r="A254" s="215" t="s">
        <v>942</v>
      </c>
      <c r="B254" s="232" t="s">
        <v>938</v>
      </c>
      <c r="C254" s="232">
        <v>2090</v>
      </c>
      <c r="D254" s="232" t="s">
        <v>680</v>
      </c>
      <c r="E254" s="209">
        <v>9.5000000000000001E-2</v>
      </c>
      <c r="F254" s="209">
        <v>9.5000000000000001E-2</v>
      </c>
      <c r="G254" s="209">
        <v>9.5000000000000001E-2</v>
      </c>
      <c r="H254" s="209">
        <v>9.5000000000000001E-2</v>
      </c>
      <c r="I254" s="209">
        <v>9.5000000000000001E-2</v>
      </c>
      <c r="J254" s="209">
        <v>9.5000000000000001E-2</v>
      </c>
      <c r="K254" s="209">
        <v>9.5000000000000001E-2</v>
      </c>
      <c r="L254" s="209">
        <v>9.5000000000000001E-2</v>
      </c>
      <c r="M254" s="209">
        <v>9.5000000000000001E-2</v>
      </c>
      <c r="N254" s="209">
        <v>9.5000000000000001E-2</v>
      </c>
      <c r="O254" s="209">
        <v>9.5000000000000001E-2</v>
      </c>
      <c r="P254" s="209">
        <v>9.5000000000000001E-2</v>
      </c>
      <c r="Q254" s="209">
        <v>9.5000000000000001E-2</v>
      </c>
      <c r="R254" s="209">
        <v>9.5000000000000001E-2</v>
      </c>
      <c r="S254" s="209">
        <v>9.5000000000000001E-2</v>
      </c>
      <c r="T254" s="209">
        <v>9.5000000000000001E-2</v>
      </c>
      <c r="U254" s="209">
        <v>9.5000000000000001E-2</v>
      </c>
      <c r="V254" s="209">
        <v>9.5000000000000001E-2</v>
      </c>
      <c r="W254" s="209">
        <v>9.5000000000000001E-2</v>
      </c>
      <c r="X254" s="209">
        <v>9.5000000000000001E-2</v>
      </c>
      <c r="Y254" s="209">
        <v>9.5000000000000001E-2</v>
      </c>
      <c r="Z254" s="209">
        <v>9.5000000000000001E-2</v>
      </c>
      <c r="AA254" s="209">
        <v>9.5000000000000001E-2</v>
      </c>
      <c r="AB254" s="209">
        <v>9.5000000000000001E-2</v>
      </c>
      <c r="AC254" s="209">
        <v>9.5000000000000001E-2</v>
      </c>
      <c r="AD254" s="209">
        <v>9.5000000000000001E-2</v>
      </c>
      <c r="AE254" s="209">
        <v>9.5000000000000001E-2</v>
      </c>
      <c r="AF254" s="220">
        <v>9.5000000000000001E-2</v>
      </c>
      <c r="AG254" s="436"/>
    </row>
    <row r="255" spans="1:33">
      <c r="A255" s="229" t="s">
        <v>942</v>
      </c>
      <c r="B255" s="235" t="s">
        <v>938</v>
      </c>
      <c r="C255" s="235">
        <v>2100</v>
      </c>
      <c r="D255" s="235" t="s">
        <v>680</v>
      </c>
      <c r="E255" s="226">
        <v>9.5000000000000001E-2</v>
      </c>
      <c r="F255" s="226">
        <v>9.5000000000000001E-2</v>
      </c>
      <c r="G255" s="226">
        <v>9.5000000000000001E-2</v>
      </c>
      <c r="H255" s="226">
        <v>9.5000000000000001E-2</v>
      </c>
      <c r="I255" s="226">
        <v>9.5000000000000001E-2</v>
      </c>
      <c r="J255" s="226">
        <v>9.5000000000000001E-2</v>
      </c>
      <c r="K255" s="226">
        <v>9.5000000000000001E-2</v>
      </c>
      <c r="L255" s="226">
        <v>9.5000000000000001E-2</v>
      </c>
      <c r="M255" s="226">
        <v>9.5000000000000001E-2</v>
      </c>
      <c r="N255" s="226">
        <v>9.5000000000000001E-2</v>
      </c>
      <c r="O255" s="226">
        <v>9.5000000000000001E-2</v>
      </c>
      <c r="P255" s="226">
        <v>9.5000000000000001E-2</v>
      </c>
      <c r="Q255" s="226">
        <v>9.5000000000000001E-2</v>
      </c>
      <c r="R255" s="226">
        <v>9.5000000000000001E-2</v>
      </c>
      <c r="S255" s="226">
        <v>9.5000000000000001E-2</v>
      </c>
      <c r="T255" s="226">
        <v>9.5000000000000001E-2</v>
      </c>
      <c r="U255" s="226">
        <v>9.5000000000000001E-2</v>
      </c>
      <c r="V255" s="226">
        <v>9.5000000000000001E-2</v>
      </c>
      <c r="W255" s="226">
        <v>9.5000000000000001E-2</v>
      </c>
      <c r="X255" s="226">
        <v>9.5000000000000001E-2</v>
      </c>
      <c r="Y255" s="226">
        <v>9.5000000000000001E-2</v>
      </c>
      <c r="Z255" s="226">
        <v>9.5000000000000001E-2</v>
      </c>
      <c r="AA255" s="226">
        <v>9.5000000000000001E-2</v>
      </c>
      <c r="AB255" s="226">
        <v>9.5000000000000001E-2</v>
      </c>
      <c r="AC255" s="226">
        <v>9.5000000000000001E-2</v>
      </c>
      <c r="AD255" s="226">
        <v>9.5000000000000001E-2</v>
      </c>
      <c r="AE255" s="226">
        <v>9.5000000000000001E-2</v>
      </c>
      <c r="AF255" s="224">
        <v>9.5000000000000001E-2</v>
      </c>
      <c r="AG255" s="437"/>
    </row>
    <row r="256" spans="1:33">
      <c r="A256" s="215" t="s">
        <v>942</v>
      </c>
      <c r="B256" s="232" t="s">
        <v>940</v>
      </c>
      <c r="C256" s="232">
        <v>2019</v>
      </c>
      <c r="D256" s="232" t="s">
        <v>680</v>
      </c>
      <c r="E256" s="209">
        <v>0.19</v>
      </c>
      <c r="F256" s="209">
        <v>0.19</v>
      </c>
      <c r="G256" s="209">
        <v>0.19</v>
      </c>
      <c r="H256" s="209">
        <v>0.19</v>
      </c>
      <c r="I256" s="209">
        <v>0.19</v>
      </c>
      <c r="J256" s="209">
        <v>0.19</v>
      </c>
      <c r="K256" s="209">
        <v>0.19</v>
      </c>
      <c r="L256" s="209">
        <v>0.19</v>
      </c>
      <c r="M256" s="209">
        <v>0.19</v>
      </c>
      <c r="N256" s="209">
        <v>0.19</v>
      </c>
      <c r="O256" s="209">
        <v>0.19</v>
      </c>
      <c r="P256" s="209">
        <v>0.19</v>
      </c>
      <c r="Q256" s="209">
        <v>0.19</v>
      </c>
      <c r="R256" s="209">
        <v>0.19</v>
      </c>
      <c r="S256" s="209">
        <v>0.19</v>
      </c>
      <c r="T256" s="209">
        <v>0.19</v>
      </c>
      <c r="U256" s="209">
        <v>0.19</v>
      </c>
      <c r="V256" s="209">
        <v>0.19</v>
      </c>
      <c r="W256" s="209">
        <v>0.19</v>
      </c>
      <c r="X256" s="209">
        <v>0.19</v>
      </c>
      <c r="Y256" s="209">
        <v>0.19</v>
      </c>
      <c r="Z256" s="209">
        <v>0.19</v>
      </c>
      <c r="AA256" s="209">
        <v>0.19</v>
      </c>
      <c r="AB256" s="209">
        <v>0.19</v>
      </c>
      <c r="AC256" s="209">
        <v>0.19</v>
      </c>
      <c r="AD256" s="209">
        <v>0.19</v>
      </c>
      <c r="AE256" s="209">
        <v>0.19</v>
      </c>
      <c r="AF256" s="220">
        <v>0.19</v>
      </c>
      <c r="AG256" s="436"/>
    </row>
    <row r="257" spans="1:33">
      <c r="A257" s="215" t="s">
        <v>942</v>
      </c>
      <c r="B257" s="232" t="s">
        <v>940</v>
      </c>
      <c r="C257">
        <v>2020</v>
      </c>
      <c r="D257" s="232" t="s">
        <v>680</v>
      </c>
      <c r="E257" s="209">
        <v>0.19</v>
      </c>
      <c r="F257" s="209">
        <v>0.19</v>
      </c>
      <c r="G257" s="209">
        <v>0.19</v>
      </c>
      <c r="H257" s="209">
        <v>0.19</v>
      </c>
      <c r="I257" s="209">
        <v>0.19</v>
      </c>
      <c r="J257" s="209">
        <v>0.19</v>
      </c>
      <c r="K257" s="209">
        <v>0.19</v>
      </c>
      <c r="L257" s="209">
        <v>0.19</v>
      </c>
      <c r="M257" s="209">
        <v>0.19</v>
      </c>
      <c r="N257" s="209">
        <v>0.19</v>
      </c>
      <c r="O257" s="209">
        <v>0.19</v>
      </c>
      <c r="P257" s="209">
        <v>0.19</v>
      </c>
      <c r="Q257" s="209">
        <v>0.19</v>
      </c>
      <c r="R257" s="209">
        <v>0.19</v>
      </c>
      <c r="S257" s="209">
        <v>0.19</v>
      </c>
      <c r="T257" s="209">
        <v>0.19</v>
      </c>
      <c r="U257" s="209">
        <v>0.19</v>
      </c>
      <c r="V257" s="209">
        <v>0.19</v>
      </c>
      <c r="W257" s="209">
        <v>0.19</v>
      </c>
      <c r="X257" s="209">
        <v>0.19</v>
      </c>
      <c r="Y257" s="209">
        <v>0.19</v>
      </c>
      <c r="Z257" s="209">
        <v>0.19</v>
      </c>
      <c r="AA257" s="209">
        <v>0.19</v>
      </c>
      <c r="AB257" s="209">
        <v>0.19</v>
      </c>
      <c r="AC257" s="209">
        <v>0.19</v>
      </c>
      <c r="AD257" s="209">
        <v>0.19</v>
      </c>
      <c r="AE257" s="209">
        <v>0.19</v>
      </c>
      <c r="AF257" s="220">
        <v>0.19</v>
      </c>
      <c r="AG257" s="436"/>
    </row>
    <row r="258" spans="1:33">
      <c r="A258" s="215" t="s">
        <v>942</v>
      </c>
      <c r="B258" s="232" t="s">
        <v>940</v>
      </c>
      <c r="C258" s="232">
        <v>2025</v>
      </c>
      <c r="D258" s="232" t="s">
        <v>680</v>
      </c>
      <c r="E258" s="209">
        <v>0.19</v>
      </c>
      <c r="F258" s="209">
        <v>0.19</v>
      </c>
      <c r="G258" s="209">
        <v>0.19</v>
      </c>
      <c r="H258" s="209">
        <v>0.19</v>
      </c>
      <c r="I258" s="209">
        <v>0.19</v>
      </c>
      <c r="J258" s="209">
        <v>0.19</v>
      </c>
      <c r="K258" s="209">
        <v>0.19</v>
      </c>
      <c r="L258" s="209">
        <v>0.19</v>
      </c>
      <c r="M258" s="209">
        <v>0.19</v>
      </c>
      <c r="N258" s="209">
        <v>0.19</v>
      </c>
      <c r="O258" s="209">
        <v>0.19</v>
      </c>
      <c r="P258" s="209">
        <v>0.19</v>
      </c>
      <c r="Q258" s="209">
        <v>0.19</v>
      </c>
      <c r="R258" s="209">
        <v>0.19</v>
      </c>
      <c r="S258" s="209">
        <v>0.19</v>
      </c>
      <c r="T258" s="209">
        <v>0.19</v>
      </c>
      <c r="U258" s="209">
        <v>0.19</v>
      </c>
      <c r="V258" s="209">
        <v>0.19</v>
      </c>
      <c r="W258" s="209">
        <v>0.19</v>
      </c>
      <c r="X258" s="209">
        <v>0.19</v>
      </c>
      <c r="Y258" s="209">
        <v>0.19</v>
      </c>
      <c r="Z258" s="209">
        <v>0.19</v>
      </c>
      <c r="AA258" s="209">
        <v>0.19</v>
      </c>
      <c r="AB258" s="209">
        <v>0.19</v>
      </c>
      <c r="AC258" s="209">
        <v>0.19</v>
      </c>
      <c r="AD258" s="209">
        <v>0.19</v>
      </c>
      <c r="AE258" s="209">
        <v>0.19</v>
      </c>
      <c r="AF258" s="220">
        <v>0.19</v>
      </c>
      <c r="AG258" s="436"/>
    </row>
    <row r="259" spans="1:33">
      <c r="A259" s="215" t="s">
        <v>942</v>
      </c>
      <c r="B259" s="232" t="s">
        <v>940</v>
      </c>
      <c r="C259" s="232">
        <v>2030</v>
      </c>
      <c r="D259" s="232" t="s">
        <v>680</v>
      </c>
      <c r="E259" s="209">
        <v>0.19</v>
      </c>
      <c r="F259" s="209">
        <v>0.19</v>
      </c>
      <c r="G259" s="209">
        <v>0.19</v>
      </c>
      <c r="H259" s="209">
        <v>0.19</v>
      </c>
      <c r="I259" s="209">
        <v>0.19</v>
      </c>
      <c r="J259" s="209">
        <v>0.19</v>
      </c>
      <c r="K259" s="209">
        <v>0.19</v>
      </c>
      <c r="L259" s="209">
        <v>0.19</v>
      </c>
      <c r="M259" s="209">
        <v>0.19</v>
      </c>
      <c r="N259" s="209">
        <v>0.19</v>
      </c>
      <c r="O259" s="209">
        <v>0.19</v>
      </c>
      <c r="P259" s="209">
        <v>0.19</v>
      </c>
      <c r="Q259" s="209">
        <v>0.19</v>
      </c>
      <c r="R259" s="209">
        <v>0.19</v>
      </c>
      <c r="S259" s="209">
        <v>0.19</v>
      </c>
      <c r="T259" s="209">
        <v>0.19</v>
      </c>
      <c r="U259" s="209">
        <v>0.19</v>
      </c>
      <c r="V259" s="209">
        <v>0.19</v>
      </c>
      <c r="W259" s="209">
        <v>0.19</v>
      </c>
      <c r="X259" s="209">
        <v>0.19</v>
      </c>
      <c r="Y259" s="209">
        <v>0.19</v>
      </c>
      <c r="Z259" s="209">
        <v>0.19</v>
      </c>
      <c r="AA259" s="209">
        <v>0.19</v>
      </c>
      <c r="AB259" s="209">
        <v>0.19</v>
      </c>
      <c r="AC259" s="209">
        <v>0.19</v>
      </c>
      <c r="AD259" s="209">
        <v>0.19</v>
      </c>
      <c r="AE259" s="209">
        <v>0.19</v>
      </c>
      <c r="AF259" s="220">
        <v>0.19</v>
      </c>
      <c r="AG259" s="436"/>
    </row>
    <row r="260" spans="1:33">
      <c r="A260" s="215" t="s">
        <v>942</v>
      </c>
      <c r="B260" s="232" t="s">
        <v>940</v>
      </c>
      <c r="C260" s="232">
        <v>2035</v>
      </c>
      <c r="D260" s="232" t="s">
        <v>680</v>
      </c>
      <c r="E260" s="209">
        <v>0.19</v>
      </c>
      <c r="F260" s="209">
        <v>0.19</v>
      </c>
      <c r="G260" s="209">
        <v>0.19</v>
      </c>
      <c r="H260" s="209">
        <v>0.19</v>
      </c>
      <c r="I260" s="209">
        <v>0.19</v>
      </c>
      <c r="J260" s="209">
        <v>0.19</v>
      </c>
      <c r="K260" s="209">
        <v>0.19</v>
      </c>
      <c r="L260" s="209">
        <v>0.19</v>
      </c>
      <c r="M260" s="209">
        <v>0.19</v>
      </c>
      <c r="N260" s="209">
        <v>0.19</v>
      </c>
      <c r="O260" s="209">
        <v>0.19</v>
      </c>
      <c r="P260" s="209">
        <v>0.19</v>
      </c>
      <c r="Q260" s="209">
        <v>0.19</v>
      </c>
      <c r="R260" s="209">
        <v>0.19</v>
      </c>
      <c r="S260" s="209">
        <v>0.19</v>
      </c>
      <c r="T260" s="209">
        <v>0.19</v>
      </c>
      <c r="U260" s="209">
        <v>0.19</v>
      </c>
      <c r="V260" s="209">
        <v>0.19</v>
      </c>
      <c r="W260" s="209">
        <v>0.19</v>
      </c>
      <c r="X260" s="209">
        <v>0.19</v>
      </c>
      <c r="Y260" s="209">
        <v>0.19</v>
      </c>
      <c r="Z260" s="209">
        <v>0.19</v>
      </c>
      <c r="AA260" s="209">
        <v>0.19</v>
      </c>
      <c r="AB260" s="209">
        <v>0.19</v>
      </c>
      <c r="AC260" s="209">
        <v>0.19</v>
      </c>
      <c r="AD260" s="209">
        <v>0.19</v>
      </c>
      <c r="AE260" s="209">
        <v>0.19</v>
      </c>
      <c r="AF260" s="220">
        <v>0.19</v>
      </c>
      <c r="AG260" s="436"/>
    </row>
    <row r="261" spans="1:33">
      <c r="A261" s="215" t="s">
        <v>942</v>
      </c>
      <c r="B261" s="232" t="s">
        <v>940</v>
      </c>
      <c r="C261" s="232">
        <v>2040</v>
      </c>
      <c r="D261" s="232" t="s">
        <v>680</v>
      </c>
      <c r="E261" s="209">
        <v>0.19</v>
      </c>
      <c r="F261" s="209">
        <v>0.19</v>
      </c>
      <c r="G261" s="209">
        <v>0.19</v>
      </c>
      <c r="H261" s="209">
        <v>0.19</v>
      </c>
      <c r="I261" s="209">
        <v>0.19</v>
      </c>
      <c r="J261" s="209">
        <v>0.19</v>
      </c>
      <c r="K261" s="209">
        <v>0.19</v>
      </c>
      <c r="L261" s="209">
        <v>0.19</v>
      </c>
      <c r="M261" s="209">
        <v>0.19</v>
      </c>
      <c r="N261" s="209">
        <v>0.19</v>
      </c>
      <c r="O261" s="209">
        <v>0.19</v>
      </c>
      <c r="P261" s="209">
        <v>0.19</v>
      </c>
      <c r="Q261" s="209">
        <v>0.19</v>
      </c>
      <c r="R261" s="209">
        <v>0.19</v>
      </c>
      <c r="S261" s="209">
        <v>0.19</v>
      </c>
      <c r="T261" s="209">
        <v>0.19</v>
      </c>
      <c r="U261" s="209">
        <v>0.19</v>
      </c>
      <c r="V261" s="209">
        <v>0.19</v>
      </c>
      <c r="W261" s="209">
        <v>0.19</v>
      </c>
      <c r="X261" s="209">
        <v>0.19</v>
      </c>
      <c r="Y261" s="209">
        <v>0.19</v>
      </c>
      <c r="Z261" s="209">
        <v>0.19</v>
      </c>
      <c r="AA261" s="209">
        <v>0.19</v>
      </c>
      <c r="AB261" s="209">
        <v>0.19</v>
      </c>
      <c r="AC261" s="209">
        <v>0.19</v>
      </c>
      <c r="AD261" s="209">
        <v>0.19</v>
      </c>
      <c r="AE261" s="209">
        <v>0.19</v>
      </c>
      <c r="AF261" s="220">
        <v>0.19</v>
      </c>
      <c r="AG261" s="436"/>
    </row>
    <row r="262" spans="1:33">
      <c r="A262" s="215" t="s">
        <v>942</v>
      </c>
      <c r="B262" s="232" t="s">
        <v>940</v>
      </c>
      <c r="C262" s="232">
        <v>2045</v>
      </c>
      <c r="D262" s="232" t="s">
        <v>680</v>
      </c>
      <c r="E262" s="209">
        <v>0.19</v>
      </c>
      <c r="F262" s="209">
        <v>0.19</v>
      </c>
      <c r="G262" s="209">
        <v>0.19</v>
      </c>
      <c r="H262" s="209">
        <v>0.19</v>
      </c>
      <c r="I262" s="209">
        <v>0.19</v>
      </c>
      <c r="J262" s="209">
        <v>0.19</v>
      </c>
      <c r="K262" s="209">
        <v>0.19</v>
      </c>
      <c r="L262" s="209">
        <v>0.19</v>
      </c>
      <c r="M262" s="209">
        <v>0.19</v>
      </c>
      <c r="N262" s="209">
        <v>0.19</v>
      </c>
      <c r="O262" s="209">
        <v>0.19</v>
      </c>
      <c r="P262" s="209">
        <v>0.19</v>
      </c>
      <c r="Q262" s="209">
        <v>0.19</v>
      </c>
      <c r="R262" s="209">
        <v>0.19</v>
      </c>
      <c r="S262" s="209">
        <v>0.19</v>
      </c>
      <c r="T262" s="209">
        <v>0.19</v>
      </c>
      <c r="U262" s="209">
        <v>0.19</v>
      </c>
      <c r="V262" s="209">
        <v>0.19</v>
      </c>
      <c r="W262" s="209">
        <v>0.19</v>
      </c>
      <c r="X262" s="209">
        <v>0.19</v>
      </c>
      <c r="Y262" s="209">
        <v>0.19</v>
      </c>
      <c r="Z262" s="209">
        <v>0.19</v>
      </c>
      <c r="AA262" s="209">
        <v>0.19</v>
      </c>
      <c r="AB262" s="209">
        <v>0.19</v>
      </c>
      <c r="AC262" s="209">
        <v>0.19</v>
      </c>
      <c r="AD262" s="209">
        <v>0.19</v>
      </c>
      <c r="AE262" s="209">
        <v>0.19</v>
      </c>
      <c r="AF262" s="220">
        <v>0.19</v>
      </c>
      <c r="AG262" s="436"/>
    </row>
    <row r="263" spans="1:33">
      <c r="A263" s="215" t="s">
        <v>942</v>
      </c>
      <c r="B263" s="232" t="s">
        <v>940</v>
      </c>
      <c r="C263" s="232">
        <v>2050</v>
      </c>
      <c r="D263" s="232" t="s">
        <v>680</v>
      </c>
      <c r="E263" s="209">
        <v>0.19</v>
      </c>
      <c r="F263" s="209">
        <v>0.19</v>
      </c>
      <c r="G263" s="209">
        <v>0.19</v>
      </c>
      <c r="H263" s="209">
        <v>0.19</v>
      </c>
      <c r="I263" s="209">
        <v>0.19</v>
      </c>
      <c r="J263" s="209">
        <v>0.19</v>
      </c>
      <c r="K263" s="209">
        <v>0.19</v>
      </c>
      <c r="L263" s="209">
        <v>0.19</v>
      </c>
      <c r="M263" s="209">
        <v>0.19</v>
      </c>
      <c r="N263" s="209">
        <v>0.19</v>
      </c>
      <c r="O263" s="209">
        <v>0.19</v>
      </c>
      <c r="P263" s="209">
        <v>0.19</v>
      </c>
      <c r="Q263" s="209">
        <v>0.19</v>
      </c>
      <c r="R263" s="209">
        <v>0.19</v>
      </c>
      <c r="S263" s="209">
        <v>0.19</v>
      </c>
      <c r="T263" s="209">
        <v>0.19</v>
      </c>
      <c r="U263" s="209">
        <v>0.19</v>
      </c>
      <c r="V263" s="209">
        <v>0.19</v>
      </c>
      <c r="W263" s="209">
        <v>0.19</v>
      </c>
      <c r="X263" s="209">
        <v>0.19</v>
      </c>
      <c r="Y263" s="209">
        <v>0.19</v>
      </c>
      <c r="Z263" s="209">
        <v>0.19</v>
      </c>
      <c r="AA263" s="209">
        <v>0.19</v>
      </c>
      <c r="AB263" s="209">
        <v>0.19</v>
      </c>
      <c r="AC263" s="209">
        <v>0.19</v>
      </c>
      <c r="AD263" s="209">
        <v>0.19</v>
      </c>
      <c r="AE263" s="209">
        <v>0.19</v>
      </c>
      <c r="AF263" s="220">
        <v>0.19</v>
      </c>
      <c r="AG263" s="436"/>
    </row>
    <row r="264" spans="1:33">
      <c r="A264" s="215" t="s">
        <v>942</v>
      </c>
      <c r="B264" s="232" t="s">
        <v>940</v>
      </c>
      <c r="C264" s="232">
        <v>2060</v>
      </c>
      <c r="D264" s="232" t="s">
        <v>680</v>
      </c>
      <c r="E264" s="209">
        <v>0.19</v>
      </c>
      <c r="F264" s="209">
        <v>0.19</v>
      </c>
      <c r="G264" s="209">
        <v>0.19</v>
      </c>
      <c r="H264" s="209">
        <v>0.19</v>
      </c>
      <c r="I264" s="209">
        <v>0.19</v>
      </c>
      <c r="J264" s="209">
        <v>0.19</v>
      </c>
      <c r="K264" s="209">
        <v>0.19</v>
      </c>
      <c r="L264" s="209">
        <v>0.19</v>
      </c>
      <c r="M264" s="209">
        <v>0.19</v>
      </c>
      <c r="N264" s="209">
        <v>0.19</v>
      </c>
      <c r="O264" s="209">
        <v>0.19</v>
      </c>
      <c r="P264" s="209">
        <v>0.19</v>
      </c>
      <c r="Q264" s="209">
        <v>0.19</v>
      </c>
      <c r="R264" s="209">
        <v>0.19</v>
      </c>
      <c r="S264" s="209">
        <v>0.19</v>
      </c>
      <c r="T264" s="209">
        <v>0.19</v>
      </c>
      <c r="U264" s="209">
        <v>0.19</v>
      </c>
      <c r="V264" s="209">
        <v>0.19</v>
      </c>
      <c r="W264" s="209">
        <v>0.19</v>
      </c>
      <c r="X264" s="209">
        <v>0.19</v>
      </c>
      <c r="Y264" s="209">
        <v>0.19</v>
      </c>
      <c r="Z264" s="209">
        <v>0.19</v>
      </c>
      <c r="AA264" s="209">
        <v>0.19</v>
      </c>
      <c r="AB264" s="209">
        <v>0.19</v>
      </c>
      <c r="AC264" s="209">
        <v>0.19</v>
      </c>
      <c r="AD264" s="209">
        <v>0.19</v>
      </c>
      <c r="AE264" s="209">
        <v>0.19</v>
      </c>
      <c r="AF264" s="220">
        <v>0.19</v>
      </c>
      <c r="AG264" s="436"/>
    </row>
    <row r="265" spans="1:33">
      <c r="A265" s="215" t="s">
        <v>942</v>
      </c>
      <c r="B265" s="232" t="s">
        <v>940</v>
      </c>
      <c r="C265" s="232">
        <v>2070</v>
      </c>
      <c r="D265" s="232" t="s">
        <v>680</v>
      </c>
      <c r="E265" s="209">
        <v>0.19</v>
      </c>
      <c r="F265" s="209">
        <v>0.19</v>
      </c>
      <c r="G265" s="209">
        <v>0.19</v>
      </c>
      <c r="H265" s="209">
        <v>0.19</v>
      </c>
      <c r="I265" s="209">
        <v>0.19</v>
      </c>
      <c r="J265" s="209">
        <v>0.19</v>
      </c>
      <c r="K265" s="209">
        <v>0.19</v>
      </c>
      <c r="L265" s="209">
        <v>0.19</v>
      </c>
      <c r="M265" s="209">
        <v>0.19</v>
      </c>
      <c r="N265" s="209">
        <v>0.19</v>
      </c>
      <c r="O265" s="209">
        <v>0.19</v>
      </c>
      <c r="P265" s="209">
        <v>0.19</v>
      </c>
      <c r="Q265" s="209">
        <v>0.19</v>
      </c>
      <c r="R265" s="209">
        <v>0.19</v>
      </c>
      <c r="S265" s="209">
        <v>0.19</v>
      </c>
      <c r="T265" s="209">
        <v>0.19</v>
      </c>
      <c r="U265" s="209">
        <v>0.19</v>
      </c>
      <c r="V265" s="209">
        <v>0.19</v>
      </c>
      <c r="W265" s="209">
        <v>0.19</v>
      </c>
      <c r="X265" s="209">
        <v>0.19</v>
      </c>
      <c r="Y265" s="209">
        <v>0.19</v>
      </c>
      <c r="Z265" s="209">
        <v>0.19</v>
      </c>
      <c r="AA265" s="209">
        <v>0.19</v>
      </c>
      <c r="AB265" s="209">
        <v>0.19</v>
      </c>
      <c r="AC265" s="209">
        <v>0.19</v>
      </c>
      <c r="AD265" s="209">
        <v>0.19</v>
      </c>
      <c r="AE265" s="209">
        <v>0.19</v>
      </c>
      <c r="AF265" s="220">
        <v>0.19</v>
      </c>
      <c r="AG265" s="436"/>
    </row>
    <row r="266" spans="1:33">
      <c r="A266" s="215" t="s">
        <v>942</v>
      </c>
      <c r="B266" s="232" t="s">
        <v>940</v>
      </c>
      <c r="C266" s="232">
        <v>2080</v>
      </c>
      <c r="D266" s="232" t="s">
        <v>680</v>
      </c>
      <c r="E266" s="209">
        <v>0.19</v>
      </c>
      <c r="F266" s="209">
        <v>0.19</v>
      </c>
      <c r="G266" s="209">
        <v>0.19</v>
      </c>
      <c r="H266" s="209">
        <v>0.19</v>
      </c>
      <c r="I266" s="209">
        <v>0.19</v>
      </c>
      <c r="J266" s="209">
        <v>0.19</v>
      </c>
      <c r="K266" s="209">
        <v>0.19</v>
      </c>
      <c r="L266" s="209">
        <v>0.19</v>
      </c>
      <c r="M266" s="209">
        <v>0.19</v>
      </c>
      <c r="N266" s="209">
        <v>0.19</v>
      </c>
      <c r="O266" s="209">
        <v>0.19</v>
      </c>
      <c r="P266" s="209">
        <v>0.19</v>
      </c>
      <c r="Q266" s="209">
        <v>0.19</v>
      </c>
      <c r="R266" s="209">
        <v>0.19</v>
      </c>
      <c r="S266" s="209">
        <v>0.19</v>
      </c>
      <c r="T266" s="209">
        <v>0.19</v>
      </c>
      <c r="U266" s="209">
        <v>0.19</v>
      </c>
      <c r="V266" s="209">
        <v>0.19</v>
      </c>
      <c r="W266" s="209">
        <v>0.19</v>
      </c>
      <c r="X266" s="209">
        <v>0.19</v>
      </c>
      <c r="Y266" s="209">
        <v>0.19</v>
      </c>
      <c r="Z266" s="209">
        <v>0.19</v>
      </c>
      <c r="AA266" s="209">
        <v>0.19</v>
      </c>
      <c r="AB266" s="209">
        <v>0.19</v>
      </c>
      <c r="AC266" s="209">
        <v>0.19</v>
      </c>
      <c r="AD266" s="209">
        <v>0.19</v>
      </c>
      <c r="AE266" s="209">
        <v>0.19</v>
      </c>
      <c r="AF266" s="220">
        <v>0.19</v>
      </c>
      <c r="AG266" s="436"/>
    </row>
    <row r="267" spans="1:33">
      <c r="A267" s="215" t="s">
        <v>942</v>
      </c>
      <c r="B267" s="232" t="s">
        <v>940</v>
      </c>
      <c r="C267" s="232">
        <v>2090</v>
      </c>
      <c r="D267" s="232" t="s">
        <v>680</v>
      </c>
      <c r="E267" s="209">
        <v>0.19</v>
      </c>
      <c r="F267" s="209">
        <v>0.19</v>
      </c>
      <c r="G267" s="209">
        <v>0.19</v>
      </c>
      <c r="H267" s="209">
        <v>0.19</v>
      </c>
      <c r="I267" s="209">
        <v>0.19</v>
      </c>
      <c r="J267" s="209">
        <v>0.19</v>
      </c>
      <c r="K267" s="209">
        <v>0.19</v>
      </c>
      <c r="L267" s="209">
        <v>0.19</v>
      </c>
      <c r="M267" s="209">
        <v>0.19</v>
      </c>
      <c r="N267" s="209">
        <v>0.19</v>
      </c>
      <c r="O267" s="209">
        <v>0.19</v>
      </c>
      <c r="P267" s="209">
        <v>0.19</v>
      </c>
      <c r="Q267" s="209">
        <v>0.19</v>
      </c>
      <c r="R267" s="209">
        <v>0.19</v>
      </c>
      <c r="S267" s="209">
        <v>0.19</v>
      </c>
      <c r="T267" s="209">
        <v>0.19</v>
      </c>
      <c r="U267" s="209">
        <v>0.19</v>
      </c>
      <c r="V267" s="209">
        <v>0.19</v>
      </c>
      <c r="W267" s="209">
        <v>0.19</v>
      </c>
      <c r="X267" s="209">
        <v>0.19</v>
      </c>
      <c r="Y267" s="209">
        <v>0.19</v>
      </c>
      <c r="Z267" s="209">
        <v>0.19</v>
      </c>
      <c r="AA267" s="209">
        <v>0.19</v>
      </c>
      <c r="AB267" s="209">
        <v>0.19</v>
      </c>
      <c r="AC267" s="209">
        <v>0.19</v>
      </c>
      <c r="AD267" s="209">
        <v>0.19</v>
      </c>
      <c r="AE267" s="209">
        <v>0.19</v>
      </c>
      <c r="AF267" s="220">
        <v>0.19</v>
      </c>
      <c r="AG267" s="436"/>
    </row>
    <row r="268" spans="1:33">
      <c r="A268" s="229" t="s">
        <v>942</v>
      </c>
      <c r="B268" s="235" t="s">
        <v>940</v>
      </c>
      <c r="C268" s="235">
        <v>2100</v>
      </c>
      <c r="D268" s="235" t="s">
        <v>680</v>
      </c>
      <c r="E268" s="226">
        <v>0.19</v>
      </c>
      <c r="F268" s="226">
        <v>0.19</v>
      </c>
      <c r="G268" s="226">
        <v>0.19</v>
      </c>
      <c r="H268" s="226">
        <v>0.19</v>
      </c>
      <c r="I268" s="226">
        <v>0.19</v>
      </c>
      <c r="J268" s="226">
        <v>0.19</v>
      </c>
      <c r="K268" s="226">
        <v>0.19</v>
      </c>
      <c r="L268" s="226">
        <v>0.19</v>
      </c>
      <c r="M268" s="226">
        <v>0.19</v>
      </c>
      <c r="N268" s="226">
        <v>0.19</v>
      </c>
      <c r="O268" s="226">
        <v>0.19</v>
      </c>
      <c r="P268" s="226">
        <v>0.19</v>
      </c>
      <c r="Q268" s="226">
        <v>0.19</v>
      </c>
      <c r="R268" s="226">
        <v>0.19</v>
      </c>
      <c r="S268" s="226">
        <v>0.19</v>
      </c>
      <c r="T268" s="226">
        <v>0.19</v>
      </c>
      <c r="U268" s="226">
        <v>0.19</v>
      </c>
      <c r="V268" s="226">
        <v>0.19</v>
      </c>
      <c r="W268" s="226">
        <v>0.19</v>
      </c>
      <c r="X268" s="226">
        <v>0.19</v>
      </c>
      <c r="Y268" s="226">
        <v>0.19</v>
      </c>
      <c r="Z268" s="226">
        <v>0.19</v>
      </c>
      <c r="AA268" s="226">
        <v>0.19</v>
      </c>
      <c r="AB268" s="226">
        <v>0.19</v>
      </c>
      <c r="AC268" s="226">
        <v>0.19</v>
      </c>
      <c r="AD268" s="226">
        <v>0.19</v>
      </c>
      <c r="AE268" s="226">
        <v>0.19</v>
      </c>
      <c r="AF268" s="224">
        <v>0.19</v>
      </c>
      <c r="AG268" s="437"/>
    </row>
    <row r="269" spans="1:33">
      <c r="A269" t="s">
        <v>942</v>
      </c>
      <c r="B269" s="231" t="s">
        <v>941</v>
      </c>
      <c r="C269" s="232">
        <v>2019</v>
      </c>
      <c r="D269" s="231" t="s">
        <v>680</v>
      </c>
      <c r="E269" s="209">
        <v>0.28499999999999998</v>
      </c>
      <c r="F269" s="209">
        <v>0.28499999999999998</v>
      </c>
      <c r="G269" s="209">
        <v>0.28499999999999998</v>
      </c>
      <c r="H269" s="209">
        <v>0.28499999999999998</v>
      </c>
      <c r="I269" s="209">
        <v>0.28499999999999998</v>
      </c>
      <c r="J269" s="209">
        <v>0.28499999999999998</v>
      </c>
      <c r="K269" s="209">
        <v>0.28499999999999998</v>
      </c>
      <c r="L269" s="209">
        <v>0.28499999999999998</v>
      </c>
      <c r="M269" s="209">
        <v>0.28499999999999998</v>
      </c>
      <c r="N269" s="209">
        <v>0.28499999999999998</v>
      </c>
      <c r="O269" s="209">
        <v>0.28499999999999998</v>
      </c>
      <c r="P269" s="209">
        <v>0.28499999999999998</v>
      </c>
      <c r="Q269" s="209">
        <v>0.28499999999999998</v>
      </c>
      <c r="R269" s="209">
        <v>0.28499999999999998</v>
      </c>
      <c r="S269" s="209">
        <v>0.28499999999999998</v>
      </c>
      <c r="T269" s="209">
        <v>0.28499999999999998</v>
      </c>
      <c r="U269" s="209">
        <v>0.28499999999999998</v>
      </c>
      <c r="V269" s="209">
        <v>0.28499999999999998</v>
      </c>
      <c r="W269" s="209">
        <v>0.28499999999999998</v>
      </c>
      <c r="X269" s="209">
        <v>0.28499999999999998</v>
      </c>
      <c r="Y269" s="209">
        <v>0.28499999999999998</v>
      </c>
      <c r="Z269" s="209">
        <v>0.28499999999999998</v>
      </c>
      <c r="AA269" s="209">
        <v>0.28499999999999998</v>
      </c>
      <c r="AB269" s="209">
        <v>0.28499999999999998</v>
      </c>
      <c r="AC269" s="209">
        <v>0.28499999999999998</v>
      </c>
      <c r="AD269" s="209">
        <v>0.28499999999999998</v>
      </c>
      <c r="AE269" s="209">
        <v>0.28499999999999998</v>
      </c>
      <c r="AF269" s="209">
        <v>0.28499999999999998</v>
      </c>
      <c r="AG269" s="453"/>
    </row>
    <row r="270" spans="1:33">
      <c r="A270" s="215" t="s">
        <v>942</v>
      </c>
      <c r="B270" s="232" t="s">
        <v>941</v>
      </c>
      <c r="C270">
        <v>2020</v>
      </c>
      <c r="D270" s="232" t="s">
        <v>680</v>
      </c>
      <c r="E270" s="209">
        <v>0.28499999999999998</v>
      </c>
      <c r="F270" s="209">
        <v>0.28499999999999998</v>
      </c>
      <c r="G270" s="209">
        <v>0.28499999999999998</v>
      </c>
      <c r="H270" s="209">
        <v>0.28499999999999998</v>
      </c>
      <c r="I270" s="209">
        <v>0.28499999999999998</v>
      </c>
      <c r="J270" s="209">
        <v>0.28499999999999998</v>
      </c>
      <c r="K270" s="209">
        <v>0.28499999999999998</v>
      </c>
      <c r="L270" s="209">
        <v>0.28499999999999998</v>
      </c>
      <c r="M270" s="209">
        <v>0.28499999999999998</v>
      </c>
      <c r="N270" s="209">
        <v>0.28499999999999998</v>
      </c>
      <c r="O270" s="209">
        <v>0.28499999999999998</v>
      </c>
      <c r="P270" s="209">
        <v>0.28499999999999998</v>
      </c>
      <c r="Q270" s="209">
        <v>0.28499999999999998</v>
      </c>
      <c r="R270" s="209">
        <v>0.28499999999999998</v>
      </c>
      <c r="S270" s="209">
        <v>0.28499999999999998</v>
      </c>
      <c r="T270" s="209">
        <v>0.28499999999999998</v>
      </c>
      <c r="U270" s="209">
        <v>0.28499999999999998</v>
      </c>
      <c r="V270" s="209">
        <v>0.28499999999999998</v>
      </c>
      <c r="W270" s="209">
        <v>0.28499999999999998</v>
      </c>
      <c r="X270" s="209">
        <v>0.28499999999999998</v>
      </c>
      <c r="Y270" s="209">
        <v>0.28499999999999998</v>
      </c>
      <c r="Z270" s="209">
        <v>0.28499999999999998</v>
      </c>
      <c r="AA270" s="209">
        <v>0.28499999999999998</v>
      </c>
      <c r="AB270" s="209">
        <v>0.28499999999999998</v>
      </c>
      <c r="AC270" s="209">
        <v>0.28499999999999998</v>
      </c>
      <c r="AD270" s="209">
        <v>0.28499999999999998</v>
      </c>
      <c r="AE270" s="209">
        <v>0.28499999999999998</v>
      </c>
      <c r="AF270" s="220">
        <v>0.28499999999999998</v>
      </c>
      <c r="AG270" s="436"/>
    </row>
    <row r="271" spans="1:33">
      <c r="A271" s="215" t="s">
        <v>942</v>
      </c>
      <c r="B271" s="232" t="s">
        <v>941</v>
      </c>
      <c r="C271" s="232">
        <v>2025</v>
      </c>
      <c r="D271" s="232" t="s">
        <v>680</v>
      </c>
      <c r="E271" s="209">
        <v>0.28499999999999998</v>
      </c>
      <c r="F271" s="209">
        <v>0.28499999999999998</v>
      </c>
      <c r="G271" s="209">
        <v>0.28499999999999998</v>
      </c>
      <c r="H271" s="209">
        <v>0.28499999999999998</v>
      </c>
      <c r="I271" s="209">
        <v>0.28499999999999998</v>
      </c>
      <c r="J271" s="209">
        <v>0.28499999999999998</v>
      </c>
      <c r="K271" s="209">
        <v>0.28499999999999998</v>
      </c>
      <c r="L271" s="209">
        <v>0.28499999999999998</v>
      </c>
      <c r="M271" s="209">
        <v>0.28499999999999998</v>
      </c>
      <c r="N271" s="209">
        <v>0.28499999999999998</v>
      </c>
      <c r="O271" s="209">
        <v>0.28499999999999998</v>
      </c>
      <c r="P271" s="209">
        <v>0.28499999999999998</v>
      </c>
      <c r="Q271" s="209">
        <v>0.28499999999999998</v>
      </c>
      <c r="R271" s="209">
        <v>0.28499999999999998</v>
      </c>
      <c r="S271" s="209">
        <v>0.28499999999999998</v>
      </c>
      <c r="T271" s="209">
        <v>0.28499999999999998</v>
      </c>
      <c r="U271" s="209">
        <v>0.28499999999999998</v>
      </c>
      <c r="V271" s="209">
        <v>0.28499999999999998</v>
      </c>
      <c r="W271" s="209">
        <v>0.28499999999999998</v>
      </c>
      <c r="X271" s="209">
        <v>0.28499999999999998</v>
      </c>
      <c r="Y271" s="209">
        <v>0.28499999999999998</v>
      </c>
      <c r="Z271" s="209">
        <v>0.28499999999999998</v>
      </c>
      <c r="AA271" s="209">
        <v>0.28499999999999998</v>
      </c>
      <c r="AB271" s="209">
        <v>0.28499999999999998</v>
      </c>
      <c r="AC271" s="209">
        <v>0.28499999999999998</v>
      </c>
      <c r="AD271" s="209">
        <v>0.28499999999999998</v>
      </c>
      <c r="AE271" s="209">
        <v>0.28499999999999998</v>
      </c>
      <c r="AF271" s="220">
        <v>0.28499999999999998</v>
      </c>
      <c r="AG271" s="436"/>
    </row>
    <row r="272" spans="1:33">
      <c r="A272" s="215" t="s">
        <v>942</v>
      </c>
      <c r="B272" s="232" t="s">
        <v>941</v>
      </c>
      <c r="C272" s="232">
        <v>2030</v>
      </c>
      <c r="D272" s="232" t="s">
        <v>680</v>
      </c>
      <c r="E272" s="209">
        <v>0.28499999999999998</v>
      </c>
      <c r="F272" s="209">
        <v>0.28499999999999998</v>
      </c>
      <c r="G272" s="209">
        <v>0.28499999999999998</v>
      </c>
      <c r="H272" s="209">
        <v>0.28499999999999998</v>
      </c>
      <c r="I272" s="209">
        <v>0.28499999999999998</v>
      </c>
      <c r="J272" s="209">
        <v>0.28499999999999998</v>
      </c>
      <c r="K272" s="209">
        <v>0.28499999999999998</v>
      </c>
      <c r="L272" s="209">
        <v>0.28499999999999998</v>
      </c>
      <c r="M272" s="209">
        <v>0.28499999999999998</v>
      </c>
      <c r="N272" s="209">
        <v>0.28499999999999998</v>
      </c>
      <c r="O272" s="209">
        <v>0.28499999999999998</v>
      </c>
      <c r="P272" s="209">
        <v>0.28499999999999998</v>
      </c>
      <c r="Q272" s="209">
        <v>0.28499999999999998</v>
      </c>
      <c r="R272" s="209">
        <v>0.28499999999999998</v>
      </c>
      <c r="S272" s="209">
        <v>0.28499999999999998</v>
      </c>
      <c r="T272" s="209">
        <v>0.28499999999999998</v>
      </c>
      <c r="U272" s="209">
        <v>0.28499999999999998</v>
      </c>
      <c r="V272" s="209">
        <v>0.28499999999999998</v>
      </c>
      <c r="W272" s="209">
        <v>0.28499999999999998</v>
      </c>
      <c r="X272" s="209">
        <v>0.28499999999999998</v>
      </c>
      <c r="Y272" s="209">
        <v>0.28499999999999998</v>
      </c>
      <c r="Z272" s="209">
        <v>0.28499999999999998</v>
      </c>
      <c r="AA272" s="209">
        <v>0.28499999999999998</v>
      </c>
      <c r="AB272" s="209">
        <v>0.28499999999999998</v>
      </c>
      <c r="AC272" s="209">
        <v>0.28499999999999998</v>
      </c>
      <c r="AD272" s="209">
        <v>0.28499999999999998</v>
      </c>
      <c r="AE272" s="209">
        <v>0.28499999999999998</v>
      </c>
      <c r="AF272" s="220">
        <v>0.28499999999999998</v>
      </c>
      <c r="AG272" s="436"/>
    </row>
    <row r="273" spans="1:33">
      <c r="A273" s="215" t="s">
        <v>942</v>
      </c>
      <c r="B273" s="232" t="s">
        <v>941</v>
      </c>
      <c r="C273" s="232">
        <v>2035</v>
      </c>
      <c r="D273" s="232" t="s">
        <v>680</v>
      </c>
      <c r="E273" s="209">
        <v>0.28499999999999998</v>
      </c>
      <c r="F273" s="209">
        <v>0.28499999999999998</v>
      </c>
      <c r="G273" s="209">
        <v>0.28499999999999998</v>
      </c>
      <c r="H273" s="209">
        <v>0.28499999999999998</v>
      </c>
      <c r="I273" s="209">
        <v>0.28499999999999998</v>
      </c>
      <c r="J273" s="209">
        <v>0.28499999999999998</v>
      </c>
      <c r="K273" s="209">
        <v>0.28499999999999998</v>
      </c>
      <c r="L273" s="209">
        <v>0.28499999999999998</v>
      </c>
      <c r="M273" s="209">
        <v>0.28499999999999998</v>
      </c>
      <c r="N273" s="209">
        <v>0.28499999999999998</v>
      </c>
      <c r="O273" s="209">
        <v>0.28499999999999998</v>
      </c>
      <c r="P273" s="209">
        <v>0.28499999999999998</v>
      </c>
      <c r="Q273" s="209">
        <v>0.28499999999999998</v>
      </c>
      <c r="R273" s="209">
        <v>0.28499999999999998</v>
      </c>
      <c r="S273" s="209">
        <v>0.28499999999999998</v>
      </c>
      <c r="T273" s="209">
        <v>0.28499999999999998</v>
      </c>
      <c r="U273" s="209">
        <v>0.28499999999999998</v>
      </c>
      <c r="V273" s="209">
        <v>0.28499999999999998</v>
      </c>
      <c r="W273" s="209">
        <v>0.28499999999999998</v>
      </c>
      <c r="X273" s="209">
        <v>0.28499999999999998</v>
      </c>
      <c r="Y273" s="209">
        <v>0.28499999999999998</v>
      </c>
      <c r="Z273" s="209">
        <v>0.28499999999999998</v>
      </c>
      <c r="AA273" s="209">
        <v>0.28499999999999998</v>
      </c>
      <c r="AB273" s="209">
        <v>0.28499999999999998</v>
      </c>
      <c r="AC273" s="209">
        <v>0.28499999999999998</v>
      </c>
      <c r="AD273" s="209">
        <v>0.28499999999999998</v>
      </c>
      <c r="AE273" s="209">
        <v>0.28499999999999998</v>
      </c>
      <c r="AF273" s="220">
        <v>0.28499999999999998</v>
      </c>
      <c r="AG273" s="436"/>
    </row>
    <row r="274" spans="1:33">
      <c r="A274" s="215" t="s">
        <v>942</v>
      </c>
      <c r="B274" s="232" t="s">
        <v>941</v>
      </c>
      <c r="C274" s="232">
        <v>2040</v>
      </c>
      <c r="D274" s="232" t="s">
        <v>680</v>
      </c>
      <c r="E274" s="209">
        <v>0.28499999999999998</v>
      </c>
      <c r="F274" s="209">
        <v>0.28499999999999998</v>
      </c>
      <c r="G274" s="209">
        <v>0.28499999999999998</v>
      </c>
      <c r="H274" s="209">
        <v>0.28499999999999998</v>
      </c>
      <c r="I274" s="209">
        <v>0.28499999999999998</v>
      </c>
      <c r="J274" s="209">
        <v>0.28499999999999998</v>
      </c>
      <c r="K274" s="209">
        <v>0.28499999999999998</v>
      </c>
      <c r="L274" s="209">
        <v>0.28499999999999998</v>
      </c>
      <c r="M274" s="209">
        <v>0.28499999999999998</v>
      </c>
      <c r="N274" s="209">
        <v>0.28499999999999998</v>
      </c>
      <c r="O274" s="209">
        <v>0.28499999999999998</v>
      </c>
      <c r="P274" s="209">
        <v>0.28499999999999998</v>
      </c>
      <c r="Q274" s="209">
        <v>0.28499999999999998</v>
      </c>
      <c r="R274" s="209">
        <v>0.28499999999999998</v>
      </c>
      <c r="S274" s="209">
        <v>0.28499999999999998</v>
      </c>
      <c r="T274" s="209">
        <v>0.28499999999999998</v>
      </c>
      <c r="U274" s="209">
        <v>0.28499999999999998</v>
      </c>
      <c r="V274" s="209">
        <v>0.28499999999999998</v>
      </c>
      <c r="W274" s="209">
        <v>0.28499999999999998</v>
      </c>
      <c r="X274" s="209">
        <v>0.28499999999999998</v>
      </c>
      <c r="Y274" s="209">
        <v>0.28499999999999998</v>
      </c>
      <c r="Z274" s="209">
        <v>0.28499999999999998</v>
      </c>
      <c r="AA274" s="209">
        <v>0.28499999999999998</v>
      </c>
      <c r="AB274" s="209">
        <v>0.28499999999999998</v>
      </c>
      <c r="AC274" s="209">
        <v>0.28499999999999998</v>
      </c>
      <c r="AD274" s="209">
        <v>0.28499999999999998</v>
      </c>
      <c r="AE274" s="209">
        <v>0.28499999999999998</v>
      </c>
      <c r="AF274" s="220">
        <v>0.28499999999999998</v>
      </c>
      <c r="AG274" s="436"/>
    </row>
    <row r="275" spans="1:33">
      <c r="A275" s="215" t="s">
        <v>942</v>
      </c>
      <c r="B275" s="232" t="s">
        <v>941</v>
      </c>
      <c r="C275" s="232">
        <v>2045</v>
      </c>
      <c r="D275" s="232" t="s">
        <v>680</v>
      </c>
      <c r="E275" s="209">
        <v>0.28499999999999998</v>
      </c>
      <c r="F275" s="209">
        <v>0.28499999999999998</v>
      </c>
      <c r="G275" s="209">
        <v>0.28499999999999998</v>
      </c>
      <c r="H275" s="209">
        <v>0.28499999999999998</v>
      </c>
      <c r="I275" s="209">
        <v>0.28499999999999998</v>
      </c>
      <c r="J275" s="209">
        <v>0.28499999999999998</v>
      </c>
      <c r="K275" s="209">
        <v>0.28499999999999998</v>
      </c>
      <c r="L275" s="209">
        <v>0.28499999999999998</v>
      </c>
      <c r="M275" s="209">
        <v>0.28499999999999998</v>
      </c>
      <c r="N275" s="209">
        <v>0.28499999999999998</v>
      </c>
      <c r="O275" s="209">
        <v>0.28499999999999998</v>
      </c>
      <c r="P275" s="209">
        <v>0.28499999999999998</v>
      </c>
      <c r="Q275" s="209">
        <v>0.28499999999999998</v>
      </c>
      <c r="R275" s="209">
        <v>0.28499999999999998</v>
      </c>
      <c r="S275" s="209">
        <v>0.28499999999999998</v>
      </c>
      <c r="T275" s="209">
        <v>0.28499999999999998</v>
      </c>
      <c r="U275" s="209">
        <v>0.28499999999999998</v>
      </c>
      <c r="V275" s="209">
        <v>0.28499999999999998</v>
      </c>
      <c r="W275" s="209">
        <v>0.28499999999999998</v>
      </c>
      <c r="X275" s="209">
        <v>0.28499999999999998</v>
      </c>
      <c r="Y275" s="209">
        <v>0.28499999999999998</v>
      </c>
      <c r="Z275" s="209">
        <v>0.28499999999999998</v>
      </c>
      <c r="AA275" s="209">
        <v>0.28499999999999998</v>
      </c>
      <c r="AB275" s="209">
        <v>0.28499999999999998</v>
      </c>
      <c r="AC275" s="209">
        <v>0.28499999999999998</v>
      </c>
      <c r="AD275" s="209">
        <v>0.28499999999999998</v>
      </c>
      <c r="AE275" s="209">
        <v>0.28499999999999998</v>
      </c>
      <c r="AF275" s="220">
        <v>0.28499999999999998</v>
      </c>
      <c r="AG275" s="436"/>
    </row>
    <row r="276" spans="1:33">
      <c r="A276" s="215" t="s">
        <v>942</v>
      </c>
      <c r="B276" s="232" t="s">
        <v>941</v>
      </c>
      <c r="C276" s="232">
        <v>2050</v>
      </c>
      <c r="D276" s="232" t="s">
        <v>680</v>
      </c>
      <c r="E276" s="209">
        <v>0.28499999999999998</v>
      </c>
      <c r="F276" s="209">
        <v>0.28499999999999998</v>
      </c>
      <c r="G276" s="209">
        <v>0.28499999999999998</v>
      </c>
      <c r="H276" s="209">
        <v>0.28499999999999998</v>
      </c>
      <c r="I276" s="209">
        <v>0.28499999999999998</v>
      </c>
      <c r="J276" s="209">
        <v>0.28499999999999998</v>
      </c>
      <c r="K276" s="209">
        <v>0.28499999999999998</v>
      </c>
      <c r="L276" s="209">
        <v>0.28499999999999998</v>
      </c>
      <c r="M276" s="209">
        <v>0.28499999999999998</v>
      </c>
      <c r="N276" s="209">
        <v>0.28499999999999998</v>
      </c>
      <c r="O276" s="209">
        <v>0.28499999999999998</v>
      </c>
      <c r="P276" s="209">
        <v>0.28499999999999998</v>
      </c>
      <c r="Q276" s="209">
        <v>0.28499999999999998</v>
      </c>
      <c r="R276" s="209">
        <v>0.28499999999999998</v>
      </c>
      <c r="S276" s="209">
        <v>0.28499999999999998</v>
      </c>
      <c r="T276" s="209">
        <v>0.28499999999999998</v>
      </c>
      <c r="U276" s="209">
        <v>0.28499999999999998</v>
      </c>
      <c r="V276" s="209">
        <v>0.28499999999999998</v>
      </c>
      <c r="W276" s="209">
        <v>0.28499999999999998</v>
      </c>
      <c r="X276" s="209">
        <v>0.28499999999999998</v>
      </c>
      <c r="Y276" s="209">
        <v>0.28499999999999998</v>
      </c>
      <c r="Z276" s="209">
        <v>0.28499999999999998</v>
      </c>
      <c r="AA276" s="209">
        <v>0.28499999999999998</v>
      </c>
      <c r="AB276" s="209">
        <v>0.28499999999999998</v>
      </c>
      <c r="AC276" s="209">
        <v>0.28499999999999998</v>
      </c>
      <c r="AD276" s="209">
        <v>0.28499999999999998</v>
      </c>
      <c r="AE276" s="209">
        <v>0.28499999999999998</v>
      </c>
      <c r="AF276" s="220">
        <v>0.28499999999999998</v>
      </c>
      <c r="AG276" s="436"/>
    </row>
    <row r="277" spans="1:33">
      <c r="A277" s="215" t="s">
        <v>942</v>
      </c>
      <c r="B277" s="232" t="s">
        <v>941</v>
      </c>
      <c r="C277" s="232">
        <v>2060</v>
      </c>
      <c r="D277" s="232" t="s">
        <v>680</v>
      </c>
      <c r="E277" s="209">
        <v>0.28499999999999998</v>
      </c>
      <c r="F277" s="209">
        <v>0.28499999999999998</v>
      </c>
      <c r="G277" s="209">
        <v>0.28499999999999998</v>
      </c>
      <c r="H277" s="209">
        <v>0.28499999999999998</v>
      </c>
      <c r="I277" s="209">
        <v>0.28499999999999998</v>
      </c>
      <c r="J277" s="209">
        <v>0.28499999999999998</v>
      </c>
      <c r="K277" s="209">
        <v>0.28499999999999998</v>
      </c>
      <c r="L277" s="209">
        <v>0.28499999999999998</v>
      </c>
      <c r="M277" s="209">
        <v>0.28499999999999998</v>
      </c>
      <c r="N277" s="209">
        <v>0.28499999999999998</v>
      </c>
      <c r="O277" s="209">
        <v>0.28499999999999998</v>
      </c>
      <c r="P277" s="209">
        <v>0.28499999999999998</v>
      </c>
      <c r="Q277" s="209">
        <v>0.28499999999999998</v>
      </c>
      <c r="R277" s="209">
        <v>0.28499999999999998</v>
      </c>
      <c r="S277" s="209">
        <v>0.28499999999999998</v>
      </c>
      <c r="T277" s="209">
        <v>0.28499999999999998</v>
      </c>
      <c r="U277" s="209">
        <v>0.28499999999999998</v>
      </c>
      <c r="V277" s="209">
        <v>0.28499999999999998</v>
      </c>
      <c r="W277" s="209">
        <v>0.28499999999999998</v>
      </c>
      <c r="X277" s="209">
        <v>0.28499999999999998</v>
      </c>
      <c r="Y277" s="209">
        <v>0.28499999999999998</v>
      </c>
      <c r="Z277" s="209">
        <v>0.28499999999999998</v>
      </c>
      <c r="AA277" s="209">
        <v>0.28499999999999998</v>
      </c>
      <c r="AB277" s="209">
        <v>0.28499999999999998</v>
      </c>
      <c r="AC277" s="209">
        <v>0.28499999999999998</v>
      </c>
      <c r="AD277" s="209">
        <v>0.28499999999999998</v>
      </c>
      <c r="AE277" s="209">
        <v>0.28499999999999998</v>
      </c>
      <c r="AF277" s="220">
        <v>0.28499999999999998</v>
      </c>
      <c r="AG277" s="436"/>
    </row>
    <row r="278" spans="1:33">
      <c r="A278" s="215" t="s">
        <v>942</v>
      </c>
      <c r="B278" s="232" t="s">
        <v>941</v>
      </c>
      <c r="C278" s="232">
        <v>2070</v>
      </c>
      <c r="D278" s="232" t="s">
        <v>680</v>
      </c>
      <c r="E278" s="209">
        <v>0.28499999999999998</v>
      </c>
      <c r="F278" s="209">
        <v>0.28499999999999998</v>
      </c>
      <c r="G278" s="209">
        <v>0.28499999999999998</v>
      </c>
      <c r="H278" s="209">
        <v>0.28499999999999998</v>
      </c>
      <c r="I278" s="209">
        <v>0.28499999999999998</v>
      </c>
      <c r="J278" s="209">
        <v>0.28499999999999998</v>
      </c>
      <c r="K278" s="209">
        <v>0.28499999999999998</v>
      </c>
      <c r="L278" s="209">
        <v>0.28499999999999998</v>
      </c>
      <c r="M278" s="209">
        <v>0.28499999999999998</v>
      </c>
      <c r="N278" s="209">
        <v>0.28499999999999998</v>
      </c>
      <c r="O278" s="209">
        <v>0.28499999999999998</v>
      </c>
      <c r="P278" s="209">
        <v>0.28499999999999998</v>
      </c>
      <c r="Q278" s="209">
        <v>0.28499999999999998</v>
      </c>
      <c r="R278" s="209">
        <v>0.28499999999999998</v>
      </c>
      <c r="S278" s="209">
        <v>0.28499999999999998</v>
      </c>
      <c r="T278" s="209">
        <v>0.28499999999999998</v>
      </c>
      <c r="U278" s="209">
        <v>0.28499999999999998</v>
      </c>
      <c r="V278" s="209">
        <v>0.28499999999999998</v>
      </c>
      <c r="W278" s="209">
        <v>0.28499999999999998</v>
      </c>
      <c r="X278" s="209">
        <v>0.28499999999999998</v>
      </c>
      <c r="Y278" s="209">
        <v>0.28499999999999998</v>
      </c>
      <c r="Z278" s="209">
        <v>0.28499999999999998</v>
      </c>
      <c r="AA278" s="209">
        <v>0.28499999999999998</v>
      </c>
      <c r="AB278" s="209">
        <v>0.28499999999999998</v>
      </c>
      <c r="AC278" s="209">
        <v>0.28499999999999998</v>
      </c>
      <c r="AD278" s="209">
        <v>0.28499999999999998</v>
      </c>
      <c r="AE278" s="209">
        <v>0.28499999999999998</v>
      </c>
      <c r="AF278" s="220">
        <v>0.28499999999999998</v>
      </c>
      <c r="AG278" s="436"/>
    </row>
    <row r="279" spans="1:33">
      <c r="A279" s="215" t="s">
        <v>942</v>
      </c>
      <c r="B279" s="232" t="s">
        <v>941</v>
      </c>
      <c r="C279" s="232">
        <v>2080</v>
      </c>
      <c r="D279" s="232" t="s">
        <v>680</v>
      </c>
      <c r="E279" s="209">
        <v>0.28499999999999998</v>
      </c>
      <c r="F279" s="209">
        <v>0.28499999999999998</v>
      </c>
      <c r="G279" s="209">
        <v>0.28499999999999998</v>
      </c>
      <c r="H279" s="209">
        <v>0.28499999999999998</v>
      </c>
      <c r="I279" s="209">
        <v>0.28499999999999998</v>
      </c>
      <c r="J279" s="209">
        <v>0.28499999999999998</v>
      </c>
      <c r="K279" s="209">
        <v>0.28499999999999998</v>
      </c>
      <c r="L279" s="209">
        <v>0.28499999999999998</v>
      </c>
      <c r="M279" s="209">
        <v>0.28499999999999998</v>
      </c>
      <c r="N279" s="209">
        <v>0.28499999999999998</v>
      </c>
      <c r="O279" s="209">
        <v>0.28499999999999998</v>
      </c>
      <c r="P279" s="209">
        <v>0.28499999999999998</v>
      </c>
      <c r="Q279" s="209">
        <v>0.28499999999999998</v>
      </c>
      <c r="R279" s="209">
        <v>0.28499999999999998</v>
      </c>
      <c r="S279" s="209">
        <v>0.28499999999999998</v>
      </c>
      <c r="T279" s="209">
        <v>0.28499999999999998</v>
      </c>
      <c r="U279" s="209">
        <v>0.28499999999999998</v>
      </c>
      <c r="V279" s="209">
        <v>0.28499999999999998</v>
      </c>
      <c r="W279" s="209">
        <v>0.28499999999999998</v>
      </c>
      <c r="X279" s="209">
        <v>0.28499999999999998</v>
      </c>
      <c r="Y279" s="209">
        <v>0.28499999999999998</v>
      </c>
      <c r="Z279" s="209">
        <v>0.28499999999999998</v>
      </c>
      <c r="AA279" s="209">
        <v>0.28499999999999998</v>
      </c>
      <c r="AB279" s="209">
        <v>0.28499999999999998</v>
      </c>
      <c r="AC279" s="209">
        <v>0.28499999999999998</v>
      </c>
      <c r="AD279" s="209">
        <v>0.28499999999999998</v>
      </c>
      <c r="AE279" s="209">
        <v>0.28499999999999998</v>
      </c>
      <c r="AF279" s="220">
        <v>0.28499999999999998</v>
      </c>
      <c r="AG279" s="436"/>
    </row>
    <row r="280" spans="1:33">
      <c r="A280" s="215" t="s">
        <v>942</v>
      </c>
      <c r="B280" s="232" t="s">
        <v>941</v>
      </c>
      <c r="C280" s="232">
        <v>2090</v>
      </c>
      <c r="D280" s="232" t="s">
        <v>680</v>
      </c>
      <c r="E280" s="209">
        <v>0.28499999999999998</v>
      </c>
      <c r="F280" s="209">
        <v>0.28499999999999998</v>
      </c>
      <c r="G280" s="209">
        <v>0.28499999999999998</v>
      </c>
      <c r="H280" s="209">
        <v>0.28499999999999998</v>
      </c>
      <c r="I280" s="209">
        <v>0.28499999999999998</v>
      </c>
      <c r="J280" s="209">
        <v>0.28499999999999998</v>
      </c>
      <c r="K280" s="209">
        <v>0.28499999999999998</v>
      </c>
      <c r="L280" s="209">
        <v>0.28499999999999998</v>
      </c>
      <c r="M280" s="209">
        <v>0.28499999999999998</v>
      </c>
      <c r="N280" s="209">
        <v>0.28499999999999998</v>
      </c>
      <c r="O280" s="209">
        <v>0.28499999999999998</v>
      </c>
      <c r="P280" s="209">
        <v>0.28499999999999998</v>
      </c>
      <c r="Q280" s="209">
        <v>0.28499999999999998</v>
      </c>
      <c r="R280" s="209">
        <v>0.28499999999999998</v>
      </c>
      <c r="S280" s="209">
        <v>0.28499999999999998</v>
      </c>
      <c r="T280" s="209">
        <v>0.28499999999999998</v>
      </c>
      <c r="U280" s="209">
        <v>0.28499999999999998</v>
      </c>
      <c r="V280" s="209">
        <v>0.28499999999999998</v>
      </c>
      <c r="W280" s="209">
        <v>0.28499999999999998</v>
      </c>
      <c r="X280" s="209">
        <v>0.28499999999999998</v>
      </c>
      <c r="Y280" s="209">
        <v>0.28499999999999998</v>
      </c>
      <c r="Z280" s="209">
        <v>0.28499999999999998</v>
      </c>
      <c r="AA280" s="209">
        <v>0.28499999999999998</v>
      </c>
      <c r="AB280" s="209">
        <v>0.28499999999999998</v>
      </c>
      <c r="AC280" s="209">
        <v>0.28499999999999998</v>
      </c>
      <c r="AD280" s="209">
        <v>0.28499999999999998</v>
      </c>
      <c r="AE280" s="209">
        <v>0.28499999999999998</v>
      </c>
      <c r="AF280" s="220">
        <v>0.28499999999999998</v>
      </c>
      <c r="AG280" s="436"/>
    </row>
    <row r="281" spans="1:33" ht="16.2" thickBot="1">
      <c r="A281" s="449" t="s">
        <v>942</v>
      </c>
      <c r="B281" s="450" t="s">
        <v>941</v>
      </c>
      <c r="C281" s="450">
        <v>2100</v>
      </c>
      <c r="D281" s="450" t="s">
        <v>680</v>
      </c>
      <c r="E281" s="212">
        <v>0.28499999999999998</v>
      </c>
      <c r="F281" s="212">
        <v>0.28499999999999998</v>
      </c>
      <c r="G281" s="212">
        <v>0.28499999999999998</v>
      </c>
      <c r="H281" s="212">
        <v>0.28499999999999998</v>
      </c>
      <c r="I281" s="212">
        <v>0.28499999999999998</v>
      </c>
      <c r="J281" s="212">
        <v>0.28499999999999998</v>
      </c>
      <c r="K281" s="212">
        <v>0.28499999999999998</v>
      </c>
      <c r="L281" s="212">
        <v>0.28499999999999998</v>
      </c>
      <c r="M281" s="212">
        <v>0.28499999999999998</v>
      </c>
      <c r="N281" s="212">
        <v>0.28499999999999998</v>
      </c>
      <c r="O281" s="212">
        <v>0.28499999999999998</v>
      </c>
      <c r="P281" s="212">
        <v>0.28499999999999998</v>
      </c>
      <c r="Q281" s="212">
        <v>0.28499999999999998</v>
      </c>
      <c r="R281" s="212">
        <v>0.28499999999999998</v>
      </c>
      <c r="S281" s="212">
        <v>0.28499999999999998</v>
      </c>
      <c r="T281" s="212">
        <v>0.28499999999999998</v>
      </c>
      <c r="U281" s="212">
        <v>0.28499999999999998</v>
      </c>
      <c r="V281" s="212">
        <v>0.28499999999999998</v>
      </c>
      <c r="W281" s="212">
        <v>0.28499999999999998</v>
      </c>
      <c r="X281" s="212">
        <v>0.28499999999999998</v>
      </c>
      <c r="Y281" s="212">
        <v>0.28499999999999998</v>
      </c>
      <c r="Z281" s="212">
        <v>0.28499999999999998</v>
      </c>
      <c r="AA281" s="212">
        <v>0.28499999999999998</v>
      </c>
      <c r="AB281" s="212">
        <v>0.28499999999999998</v>
      </c>
      <c r="AC281" s="212">
        <v>0.28499999999999998</v>
      </c>
      <c r="AD281" s="212">
        <v>0.28499999999999998</v>
      </c>
      <c r="AE281" s="212">
        <v>0.28499999999999998</v>
      </c>
      <c r="AF281" s="451">
        <v>0.28499999999999998</v>
      </c>
      <c r="AG281" s="452"/>
    </row>
    <row r="282" spans="1:33">
      <c r="A282" s="215" t="s">
        <v>943</v>
      </c>
      <c r="B282" s="232" t="s">
        <v>938</v>
      </c>
      <c r="C282" s="232">
        <v>2019</v>
      </c>
      <c r="D282" s="232" t="s">
        <v>680</v>
      </c>
      <c r="E282" s="209">
        <v>0.41900000000000004</v>
      </c>
      <c r="F282" s="209">
        <v>0.41900000000000004</v>
      </c>
      <c r="G282" s="209">
        <v>0.41900000000000004</v>
      </c>
      <c r="H282" s="209">
        <v>0.41900000000000004</v>
      </c>
      <c r="I282" s="209">
        <v>0.41900000000000004</v>
      </c>
      <c r="J282" s="209">
        <v>0.41900000000000004</v>
      </c>
      <c r="K282" s="209">
        <v>0.41900000000000004</v>
      </c>
      <c r="L282" s="209">
        <v>0.41900000000000004</v>
      </c>
      <c r="M282" s="209">
        <v>0.41900000000000004</v>
      </c>
      <c r="N282" s="209">
        <v>0.41900000000000004</v>
      </c>
      <c r="O282" s="209">
        <v>0.41900000000000004</v>
      </c>
      <c r="P282" s="209">
        <v>0.41900000000000004</v>
      </c>
      <c r="Q282" s="209">
        <v>0.41900000000000004</v>
      </c>
      <c r="R282" s="209">
        <v>0.41900000000000004</v>
      </c>
      <c r="S282" s="209">
        <v>0.41900000000000004</v>
      </c>
      <c r="T282" s="209">
        <v>0.41900000000000004</v>
      </c>
      <c r="U282" s="209">
        <v>0.41900000000000004</v>
      </c>
      <c r="V282" s="209">
        <v>0.41900000000000004</v>
      </c>
      <c r="W282" s="209">
        <v>0.41900000000000004</v>
      </c>
      <c r="X282" s="209">
        <v>0.41900000000000004</v>
      </c>
      <c r="Y282" s="209">
        <v>0.41900000000000004</v>
      </c>
      <c r="Z282" s="209">
        <v>0.41900000000000004</v>
      </c>
      <c r="AA282" s="209">
        <v>0.41900000000000004</v>
      </c>
      <c r="AB282" s="209">
        <v>0.41900000000000004</v>
      </c>
      <c r="AC282" s="209">
        <v>0.41900000000000004</v>
      </c>
      <c r="AD282" s="209">
        <v>0.41900000000000004</v>
      </c>
      <c r="AE282" s="209">
        <v>0.41900000000000004</v>
      </c>
      <c r="AF282" s="220">
        <v>0.41900000000000004</v>
      </c>
      <c r="AG282" s="436"/>
    </row>
    <row r="283" spans="1:33">
      <c r="A283" s="215" t="s">
        <v>943</v>
      </c>
      <c r="B283" s="232" t="s">
        <v>938</v>
      </c>
      <c r="C283">
        <v>2020</v>
      </c>
      <c r="D283" s="232" t="s">
        <v>680</v>
      </c>
      <c r="E283" s="209">
        <v>0.41900000000000004</v>
      </c>
      <c r="F283" s="209">
        <v>0.41900000000000004</v>
      </c>
      <c r="G283" s="209">
        <v>0.41900000000000004</v>
      </c>
      <c r="H283" s="209">
        <v>0.41900000000000004</v>
      </c>
      <c r="I283" s="209">
        <v>0.41900000000000004</v>
      </c>
      <c r="J283" s="209">
        <v>0.41900000000000004</v>
      </c>
      <c r="K283" s="209">
        <v>0.41900000000000004</v>
      </c>
      <c r="L283" s="209">
        <v>0.41900000000000004</v>
      </c>
      <c r="M283" s="209">
        <v>0.41900000000000004</v>
      </c>
      <c r="N283" s="209">
        <v>0.41900000000000004</v>
      </c>
      <c r="O283" s="209">
        <v>0.41900000000000004</v>
      </c>
      <c r="P283" s="209">
        <v>0.41900000000000004</v>
      </c>
      <c r="Q283" s="209">
        <v>0.41900000000000004</v>
      </c>
      <c r="R283" s="209">
        <v>0.41900000000000004</v>
      </c>
      <c r="S283" s="209">
        <v>0.41900000000000004</v>
      </c>
      <c r="T283" s="209">
        <v>0.41900000000000004</v>
      </c>
      <c r="U283" s="209">
        <v>0.41900000000000004</v>
      </c>
      <c r="V283" s="209">
        <v>0.41900000000000004</v>
      </c>
      <c r="W283" s="209">
        <v>0.41900000000000004</v>
      </c>
      <c r="X283" s="209">
        <v>0.41900000000000004</v>
      </c>
      <c r="Y283" s="209">
        <v>0.41900000000000004</v>
      </c>
      <c r="Z283" s="209">
        <v>0.41900000000000004</v>
      </c>
      <c r="AA283" s="209">
        <v>0.41900000000000004</v>
      </c>
      <c r="AB283" s="209">
        <v>0.41900000000000004</v>
      </c>
      <c r="AC283" s="209">
        <v>0.41900000000000004</v>
      </c>
      <c r="AD283" s="209">
        <v>0.41900000000000004</v>
      </c>
      <c r="AE283" s="209">
        <v>0.41900000000000004</v>
      </c>
      <c r="AF283" s="220">
        <v>0.41900000000000004</v>
      </c>
      <c r="AG283" s="436"/>
    </row>
    <row r="284" spans="1:33">
      <c r="A284" s="215" t="s">
        <v>943</v>
      </c>
      <c r="B284" s="232" t="s">
        <v>938</v>
      </c>
      <c r="C284" s="232">
        <v>2025</v>
      </c>
      <c r="D284" s="232" t="s">
        <v>680</v>
      </c>
      <c r="E284" s="209">
        <v>0.41900000000000004</v>
      </c>
      <c r="F284" s="209">
        <v>0.41900000000000004</v>
      </c>
      <c r="G284" s="209">
        <v>0.41900000000000004</v>
      </c>
      <c r="H284" s="209">
        <v>0.41900000000000004</v>
      </c>
      <c r="I284" s="209">
        <v>0.41900000000000004</v>
      </c>
      <c r="J284" s="209">
        <v>0.41900000000000004</v>
      </c>
      <c r="K284" s="209">
        <v>0.41900000000000004</v>
      </c>
      <c r="L284" s="209">
        <v>0.41900000000000004</v>
      </c>
      <c r="M284" s="209">
        <v>0.41900000000000004</v>
      </c>
      <c r="N284" s="209">
        <v>0.41900000000000004</v>
      </c>
      <c r="O284" s="209">
        <v>0.41900000000000004</v>
      </c>
      <c r="P284" s="209">
        <v>0.41900000000000004</v>
      </c>
      <c r="Q284" s="209">
        <v>0.41900000000000004</v>
      </c>
      <c r="R284" s="209">
        <v>0.41900000000000004</v>
      </c>
      <c r="S284" s="209">
        <v>0.41900000000000004</v>
      </c>
      <c r="T284" s="209">
        <v>0.41900000000000004</v>
      </c>
      <c r="U284" s="209">
        <v>0.41900000000000004</v>
      </c>
      <c r="V284" s="209">
        <v>0.41900000000000004</v>
      </c>
      <c r="W284" s="209">
        <v>0.41900000000000004</v>
      </c>
      <c r="X284" s="209">
        <v>0.41900000000000004</v>
      </c>
      <c r="Y284" s="209">
        <v>0.41900000000000004</v>
      </c>
      <c r="Z284" s="209">
        <v>0.41900000000000004</v>
      </c>
      <c r="AA284" s="209">
        <v>0.41900000000000004</v>
      </c>
      <c r="AB284" s="209">
        <v>0.41900000000000004</v>
      </c>
      <c r="AC284" s="209">
        <v>0.41900000000000004</v>
      </c>
      <c r="AD284" s="209">
        <v>0.41900000000000004</v>
      </c>
      <c r="AE284" s="209">
        <v>0.41900000000000004</v>
      </c>
      <c r="AF284" s="220">
        <v>0.41900000000000004</v>
      </c>
      <c r="AG284" s="436"/>
    </row>
    <row r="285" spans="1:33">
      <c r="A285" s="215" t="s">
        <v>943</v>
      </c>
      <c r="B285" s="232" t="s">
        <v>938</v>
      </c>
      <c r="C285" s="232">
        <v>2030</v>
      </c>
      <c r="D285" s="232" t="s">
        <v>680</v>
      </c>
      <c r="E285" s="209">
        <v>0.41900000000000004</v>
      </c>
      <c r="F285" s="209">
        <v>0.41900000000000004</v>
      </c>
      <c r="G285" s="209">
        <v>0.41900000000000004</v>
      </c>
      <c r="H285" s="209">
        <v>0.41900000000000004</v>
      </c>
      <c r="I285" s="209">
        <v>0.41900000000000004</v>
      </c>
      <c r="J285" s="209">
        <v>0.41900000000000004</v>
      </c>
      <c r="K285" s="209">
        <v>0.41900000000000004</v>
      </c>
      <c r="L285" s="209">
        <v>0.41900000000000004</v>
      </c>
      <c r="M285" s="209">
        <v>0.41900000000000004</v>
      </c>
      <c r="N285" s="209">
        <v>0.41900000000000004</v>
      </c>
      <c r="O285" s="209">
        <v>0.41900000000000004</v>
      </c>
      <c r="P285" s="209">
        <v>0.41900000000000004</v>
      </c>
      <c r="Q285" s="209">
        <v>0.41900000000000004</v>
      </c>
      <c r="R285" s="209">
        <v>0.41900000000000004</v>
      </c>
      <c r="S285" s="209">
        <v>0.41900000000000004</v>
      </c>
      <c r="T285" s="209">
        <v>0.41900000000000004</v>
      </c>
      <c r="U285" s="209">
        <v>0.41900000000000004</v>
      </c>
      <c r="V285" s="209">
        <v>0.41900000000000004</v>
      </c>
      <c r="W285" s="209">
        <v>0.41900000000000004</v>
      </c>
      <c r="X285" s="209">
        <v>0.41900000000000004</v>
      </c>
      <c r="Y285" s="209">
        <v>0.41900000000000004</v>
      </c>
      <c r="Z285" s="209">
        <v>0.41900000000000004</v>
      </c>
      <c r="AA285" s="209">
        <v>0.41900000000000004</v>
      </c>
      <c r="AB285" s="209">
        <v>0.41900000000000004</v>
      </c>
      <c r="AC285" s="209">
        <v>0.41900000000000004</v>
      </c>
      <c r="AD285" s="209">
        <v>0.41900000000000004</v>
      </c>
      <c r="AE285" s="209">
        <v>0.41900000000000004</v>
      </c>
      <c r="AF285" s="220">
        <v>0.41900000000000004</v>
      </c>
      <c r="AG285" s="436"/>
    </row>
    <row r="286" spans="1:33">
      <c r="A286" s="215" t="s">
        <v>943</v>
      </c>
      <c r="B286" s="232" t="s">
        <v>938</v>
      </c>
      <c r="C286" s="232">
        <v>2035</v>
      </c>
      <c r="D286" s="232" t="s">
        <v>680</v>
      </c>
      <c r="E286" s="209">
        <v>0.41900000000000004</v>
      </c>
      <c r="F286" s="209">
        <v>0.41900000000000004</v>
      </c>
      <c r="G286" s="209">
        <v>0.41900000000000004</v>
      </c>
      <c r="H286" s="209">
        <v>0.41900000000000004</v>
      </c>
      <c r="I286" s="209">
        <v>0.41900000000000004</v>
      </c>
      <c r="J286" s="209">
        <v>0.41900000000000004</v>
      </c>
      <c r="K286" s="209">
        <v>0.41900000000000004</v>
      </c>
      <c r="L286" s="209">
        <v>0.41900000000000004</v>
      </c>
      <c r="M286" s="209">
        <v>0.41900000000000004</v>
      </c>
      <c r="N286" s="209">
        <v>0.41900000000000004</v>
      </c>
      <c r="O286" s="209">
        <v>0.41900000000000004</v>
      </c>
      <c r="P286" s="209">
        <v>0.41900000000000004</v>
      </c>
      <c r="Q286" s="209">
        <v>0.41900000000000004</v>
      </c>
      <c r="R286" s="209">
        <v>0.41900000000000004</v>
      </c>
      <c r="S286" s="209">
        <v>0.41900000000000004</v>
      </c>
      <c r="T286" s="209">
        <v>0.41900000000000004</v>
      </c>
      <c r="U286" s="209">
        <v>0.41900000000000004</v>
      </c>
      <c r="V286" s="209">
        <v>0.41900000000000004</v>
      </c>
      <c r="W286" s="209">
        <v>0.41900000000000004</v>
      </c>
      <c r="X286" s="209">
        <v>0.41900000000000004</v>
      </c>
      <c r="Y286" s="209">
        <v>0.41900000000000004</v>
      </c>
      <c r="Z286" s="209">
        <v>0.41900000000000004</v>
      </c>
      <c r="AA286" s="209">
        <v>0.41900000000000004</v>
      </c>
      <c r="AB286" s="209">
        <v>0.41900000000000004</v>
      </c>
      <c r="AC286" s="209">
        <v>0.41900000000000004</v>
      </c>
      <c r="AD286" s="209">
        <v>0.41900000000000004</v>
      </c>
      <c r="AE286" s="209">
        <v>0.41900000000000004</v>
      </c>
      <c r="AF286" s="220">
        <v>0.41900000000000004</v>
      </c>
      <c r="AG286" s="436"/>
    </row>
    <row r="287" spans="1:33">
      <c r="A287" s="215" t="s">
        <v>943</v>
      </c>
      <c r="B287" s="232" t="s">
        <v>938</v>
      </c>
      <c r="C287" s="232">
        <v>2040</v>
      </c>
      <c r="D287" s="232" t="s">
        <v>680</v>
      </c>
      <c r="E287" s="209">
        <v>0.41900000000000004</v>
      </c>
      <c r="F287" s="209">
        <v>0.41900000000000004</v>
      </c>
      <c r="G287" s="209">
        <v>0.41900000000000004</v>
      </c>
      <c r="H287" s="209">
        <v>0.41900000000000004</v>
      </c>
      <c r="I287" s="209">
        <v>0.41900000000000004</v>
      </c>
      <c r="J287" s="209">
        <v>0.41900000000000004</v>
      </c>
      <c r="K287" s="209">
        <v>0.41900000000000004</v>
      </c>
      <c r="L287" s="209">
        <v>0.41900000000000004</v>
      </c>
      <c r="M287" s="209">
        <v>0.41900000000000004</v>
      </c>
      <c r="N287" s="209">
        <v>0.41900000000000004</v>
      </c>
      <c r="O287" s="209">
        <v>0.41900000000000004</v>
      </c>
      <c r="P287" s="209">
        <v>0.41900000000000004</v>
      </c>
      <c r="Q287" s="209">
        <v>0.41900000000000004</v>
      </c>
      <c r="R287" s="209">
        <v>0.41900000000000004</v>
      </c>
      <c r="S287" s="209">
        <v>0.41900000000000004</v>
      </c>
      <c r="T287" s="209">
        <v>0.41900000000000004</v>
      </c>
      <c r="U287" s="209">
        <v>0.41900000000000004</v>
      </c>
      <c r="V287" s="209">
        <v>0.41900000000000004</v>
      </c>
      <c r="W287" s="209">
        <v>0.41900000000000004</v>
      </c>
      <c r="X287" s="209">
        <v>0.41900000000000004</v>
      </c>
      <c r="Y287" s="209">
        <v>0.41900000000000004</v>
      </c>
      <c r="Z287" s="209">
        <v>0.41900000000000004</v>
      </c>
      <c r="AA287" s="209">
        <v>0.41900000000000004</v>
      </c>
      <c r="AB287" s="209">
        <v>0.41900000000000004</v>
      </c>
      <c r="AC287" s="209">
        <v>0.41900000000000004</v>
      </c>
      <c r="AD287" s="209">
        <v>0.41900000000000004</v>
      </c>
      <c r="AE287" s="209">
        <v>0.41900000000000004</v>
      </c>
      <c r="AF287" s="220">
        <v>0.41900000000000004</v>
      </c>
      <c r="AG287" s="436"/>
    </row>
    <row r="288" spans="1:33">
      <c r="A288" s="215" t="s">
        <v>943</v>
      </c>
      <c r="B288" s="232" t="s">
        <v>938</v>
      </c>
      <c r="C288" s="232">
        <v>2045</v>
      </c>
      <c r="D288" s="232" t="s">
        <v>680</v>
      </c>
      <c r="E288" s="209">
        <v>0.41900000000000004</v>
      </c>
      <c r="F288" s="209">
        <v>0.41900000000000004</v>
      </c>
      <c r="G288" s="209">
        <v>0.41900000000000004</v>
      </c>
      <c r="H288" s="209">
        <v>0.41900000000000004</v>
      </c>
      <c r="I288" s="209">
        <v>0.41900000000000004</v>
      </c>
      <c r="J288" s="209">
        <v>0.41900000000000004</v>
      </c>
      <c r="K288" s="209">
        <v>0.41900000000000004</v>
      </c>
      <c r="L288" s="209">
        <v>0.41900000000000004</v>
      </c>
      <c r="M288" s="209">
        <v>0.41900000000000004</v>
      </c>
      <c r="N288" s="209">
        <v>0.41900000000000004</v>
      </c>
      <c r="O288" s="209">
        <v>0.41900000000000004</v>
      </c>
      <c r="P288" s="209">
        <v>0.41900000000000004</v>
      </c>
      <c r="Q288" s="209">
        <v>0.41900000000000004</v>
      </c>
      <c r="R288" s="209">
        <v>0.41900000000000004</v>
      </c>
      <c r="S288" s="209">
        <v>0.41900000000000004</v>
      </c>
      <c r="T288" s="209">
        <v>0.41900000000000004</v>
      </c>
      <c r="U288" s="209">
        <v>0.41900000000000004</v>
      </c>
      <c r="V288" s="209">
        <v>0.41900000000000004</v>
      </c>
      <c r="W288" s="209">
        <v>0.41900000000000004</v>
      </c>
      <c r="X288" s="209">
        <v>0.41900000000000004</v>
      </c>
      <c r="Y288" s="209">
        <v>0.41900000000000004</v>
      </c>
      <c r="Z288" s="209">
        <v>0.41900000000000004</v>
      </c>
      <c r="AA288" s="209">
        <v>0.41900000000000004</v>
      </c>
      <c r="AB288" s="209">
        <v>0.41900000000000004</v>
      </c>
      <c r="AC288" s="209">
        <v>0.41900000000000004</v>
      </c>
      <c r="AD288" s="209">
        <v>0.41900000000000004</v>
      </c>
      <c r="AE288" s="209">
        <v>0.41900000000000004</v>
      </c>
      <c r="AF288" s="220">
        <v>0.41900000000000004</v>
      </c>
      <c r="AG288" s="436"/>
    </row>
    <row r="289" spans="1:33">
      <c r="A289" s="215" t="s">
        <v>943</v>
      </c>
      <c r="B289" s="232" t="s">
        <v>938</v>
      </c>
      <c r="C289" s="232">
        <v>2050</v>
      </c>
      <c r="D289" s="232" t="s">
        <v>680</v>
      </c>
      <c r="E289" s="209">
        <v>0.41900000000000004</v>
      </c>
      <c r="F289" s="209">
        <v>0.41900000000000004</v>
      </c>
      <c r="G289" s="209">
        <v>0.41900000000000004</v>
      </c>
      <c r="H289" s="209">
        <v>0.41900000000000004</v>
      </c>
      <c r="I289" s="209">
        <v>0.41900000000000004</v>
      </c>
      <c r="J289" s="209">
        <v>0.41900000000000004</v>
      </c>
      <c r="K289" s="209">
        <v>0.41900000000000004</v>
      </c>
      <c r="L289" s="209">
        <v>0.41900000000000004</v>
      </c>
      <c r="M289" s="209">
        <v>0.41900000000000004</v>
      </c>
      <c r="N289" s="209">
        <v>0.41900000000000004</v>
      </c>
      <c r="O289" s="209">
        <v>0.41900000000000004</v>
      </c>
      <c r="P289" s="209">
        <v>0.41900000000000004</v>
      </c>
      <c r="Q289" s="209">
        <v>0.41900000000000004</v>
      </c>
      <c r="R289" s="209">
        <v>0.41900000000000004</v>
      </c>
      <c r="S289" s="209">
        <v>0.41900000000000004</v>
      </c>
      <c r="T289" s="209">
        <v>0.41900000000000004</v>
      </c>
      <c r="U289" s="209">
        <v>0.41900000000000004</v>
      </c>
      <c r="V289" s="209">
        <v>0.41900000000000004</v>
      </c>
      <c r="W289" s="209">
        <v>0.41900000000000004</v>
      </c>
      <c r="X289" s="209">
        <v>0.41900000000000004</v>
      </c>
      <c r="Y289" s="209">
        <v>0.41900000000000004</v>
      </c>
      <c r="Z289" s="209">
        <v>0.41900000000000004</v>
      </c>
      <c r="AA289" s="209">
        <v>0.41900000000000004</v>
      </c>
      <c r="AB289" s="209">
        <v>0.41900000000000004</v>
      </c>
      <c r="AC289" s="209">
        <v>0.41900000000000004</v>
      </c>
      <c r="AD289" s="209">
        <v>0.41900000000000004</v>
      </c>
      <c r="AE289" s="209">
        <v>0.41900000000000004</v>
      </c>
      <c r="AF289" s="220">
        <v>0.41900000000000004</v>
      </c>
      <c r="AG289" s="436"/>
    </row>
    <row r="290" spans="1:33">
      <c r="A290" s="215" t="s">
        <v>943</v>
      </c>
      <c r="B290" s="232" t="s">
        <v>938</v>
      </c>
      <c r="C290" s="232">
        <v>2060</v>
      </c>
      <c r="D290" s="232" t="s">
        <v>680</v>
      </c>
      <c r="E290" s="209">
        <v>0.41900000000000004</v>
      </c>
      <c r="F290" s="209">
        <v>0.41900000000000004</v>
      </c>
      <c r="G290" s="209">
        <v>0.41900000000000004</v>
      </c>
      <c r="H290" s="209">
        <v>0.41900000000000004</v>
      </c>
      <c r="I290" s="209">
        <v>0.41900000000000004</v>
      </c>
      <c r="J290" s="209">
        <v>0.41900000000000004</v>
      </c>
      <c r="K290" s="209">
        <v>0.41900000000000004</v>
      </c>
      <c r="L290" s="209">
        <v>0.41900000000000004</v>
      </c>
      <c r="M290" s="209">
        <v>0.41900000000000004</v>
      </c>
      <c r="N290" s="209">
        <v>0.41900000000000004</v>
      </c>
      <c r="O290" s="209">
        <v>0.41900000000000004</v>
      </c>
      <c r="P290" s="209">
        <v>0.41900000000000004</v>
      </c>
      <c r="Q290" s="209">
        <v>0.41900000000000004</v>
      </c>
      <c r="R290" s="209">
        <v>0.41900000000000004</v>
      </c>
      <c r="S290" s="209">
        <v>0.41900000000000004</v>
      </c>
      <c r="T290" s="209">
        <v>0.41900000000000004</v>
      </c>
      <c r="U290" s="209">
        <v>0.41900000000000004</v>
      </c>
      <c r="V290" s="209">
        <v>0.41900000000000004</v>
      </c>
      <c r="W290" s="209">
        <v>0.41900000000000004</v>
      </c>
      <c r="X290" s="209">
        <v>0.41900000000000004</v>
      </c>
      <c r="Y290" s="209">
        <v>0.41900000000000004</v>
      </c>
      <c r="Z290" s="209">
        <v>0.41900000000000004</v>
      </c>
      <c r="AA290" s="209">
        <v>0.41900000000000004</v>
      </c>
      <c r="AB290" s="209">
        <v>0.41900000000000004</v>
      </c>
      <c r="AC290" s="209">
        <v>0.41900000000000004</v>
      </c>
      <c r="AD290" s="209">
        <v>0.41900000000000004</v>
      </c>
      <c r="AE290" s="209">
        <v>0.41900000000000004</v>
      </c>
      <c r="AF290" s="220">
        <v>0.41900000000000004</v>
      </c>
      <c r="AG290" s="436"/>
    </row>
    <row r="291" spans="1:33">
      <c r="A291" s="215" t="s">
        <v>943</v>
      </c>
      <c r="B291" s="232" t="s">
        <v>938</v>
      </c>
      <c r="C291" s="232">
        <v>2070</v>
      </c>
      <c r="D291" s="232" t="s">
        <v>680</v>
      </c>
      <c r="E291" s="209">
        <v>0.41900000000000004</v>
      </c>
      <c r="F291" s="209">
        <v>0.41900000000000004</v>
      </c>
      <c r="G291" s="209">
        <v>0.41900000000000004</v>
      </c>
      <c r="H291" s="209">
        <v>0.41900000000000004</v>
      </c>
      <c r="I291" s="209">
        <v>0.41900000000000004</v>
      </c>
      <c r="J291" s="209">
        <v>0.41900000000000004</v>
      </c>
      <c r="K291" s="209">
        <v>0.41900000000000004</v>
      </c>
      <c r="L291" s="209">
        <v>0.41900000000000004</v>
      </c>
      <c r="M291" s="209">
        <v>0.41900000000000004</v>
      </c>
      <c r="N291" s="209">
        <v>0.41900000000000004</v>
      </c>
      <c r="O291" s="209">
        <v>0.41900000000000004</v>
      </c>
      <c r="P291" s="209">
        <v>0.41900000000000004</v>
      </c>
      <c r="Q291" s="209">
        <v>0.41900000000000004</v>
      </c>
      <c r="R291" s="209">
        <v>0.41900000000000004</v>
      </c>
      <c r="S291" s="209">
        <v>0.41900000000000004</v>
      </c>
      <c r="T291" s="209">
        <v>0.41900000000000004</v>
      </c>
      <c r="U291" s="209">
        <v>0.41900000000000004</v>
      </c>
      <c r="V291" s="209">
        <v>0.41900000000000004</v>
      </c>
      <c r="W291" s="209">
        <v>0.41900000000000004</v>
      </c>
      <c r="X291" s="209">
        <v>0.41900000000000004</v>
      </c>
      <c r="Y291" s="209">
        <v>0.41900000000000004</v>
      </c>
      <c r="Z291" s="209">
        <v>0.41900000000000004</v>
      </c>
      <c r="AA291" s="209">
        <v>0.41900000000000004</v>
      </c>
      <c r="AB291" s="209">
        <v>0.41900000000000004</v>
      </c>
      <c r="AC291" s="209">
        <v>0.41900000000000004</v>
      </c>
      <c r="AD291" s="209">
        <v>0.41900000000000004</v>
      </c>
      <c r="AE291" s="209">
        <v>0.41900000000000004</v>
      </c>
      <c r="AF291" s="220">
        <v>0.41900000000000004</v>
      </c>
      <c r="AG291" s="436"/>
    </row>
    <row r="292" spans="1:33">
      <c r="A292" s="215" t="s">
        <v>943</v>
      </c>
      <c r="B292" s="232" t="s">
        <v>938</v>
      </c>
      <c r="C292" s="232">
        <v>2080</v>
      </c>
      <c r="D292" s="232" t="s">
        <v>680</v>
      </c>
      <c r="E292" s="209">
        <v>0.41900000000000004</v>
      </c>
      <c r="F292" s="209">
        <v>0.41900000000000004</v>
      </c>
      <c r="G292" s="209">
        <v>0.41900000000000004</v>
      </c>
      <c r="H292" s="209">
        <v>0.41900000000000004</v>
      </c>
      <c r="I292" s="209">
        <v>0.41900000000000004</v>
      </c>
      <c r="J292" s="209">
        <v>0.41900000000000004</v>
      </c>
      <c r="K292" s="209">
        <v>0.41900000000000004</v>
      </c>
      <c r="L292" s="209">
        <v>0.41900000000000004</v>
      </c>
      <c r="M292" s="209">
        <v>0.41900000000000004</v>
      </c>
      <c r="N292" s="209">
        <v>0.41900000000000004</v>
      </c>
      <c r="O292" s="209">
        <v>0.41900000000000004</v>
      </c>
      <c r="P292" s="209">
        <v>0.41900000000000004</v>
      </c>
      <c r="Q292" s="209">
        <v>0.41900000000000004</v>
      </c>
      <c r="R292" s="209">
        <v>0.41900000000000004</v>
      </c>
      <c r="S292" s="209">
        <v>0.41900000000000004</v>
      </c>
      <c r="T292" s="209">
        <v>0.41900000000000004</v>
      </c>
      <c r="U292" s="209">
        <v>0.41900000000000004</v>
      </c>
      <c r="V292" s="209">
        <v>0.41900000000000004</v>
      </c>
      <c r="W292" s="209">
        <v>0.41900000000000004</v>
      </c>
      <c r="X292" s="209">
        <v>0.41900000000000004</v>
      </c>
      <c r="Y292" s="209">
        <v>0.41900000000000004</v>
      </c>
      <c r="Z292" s="209">
        <v>0.41900000000000004</v>
      </c>
      <c r="AA292" s="209">
        <v>0.41900000000000004</v>
      </c>
      <c r="AB292" s="209">
        <v>0.41900000000000004</v>
      </c>
      <c r="AC292" s="209">
        <v>0.41900000000000004</v>
      </c>
      <c r="AD292" s="209">
        <v>0.41900000000000004</v>
      </c>
      <c r="AE292" s="209">
        <v>0.41900000000000004</v>
      </c>
      <c r="AF292" s="220">
        <v>0.41900000000000004</v>
      </c>
      <c r="AG292" s="436"/>
    </row>
    <row r="293" spans="1:33">
      <c r="A293" s="215" t="s">
        <v>943</v>
      </c>
      <c r="B293" s="232" t="s">
        <v>938</v>
      </c>
      <c r="C293" s="232">
        <v>2090</v>
      </c>
      <c r="D293" s="232" t="s">
        <v>680</v>
      </c>
      <c r="E293" s="209">
        <v>0.41900000000000004</v>
      </c>
      <c r="F293" s="209">
        <v>0.41900000000000004</v>
      </c>
      <c r="G293" s="209">
        <v>0.41900000000000004</v>
      </c>
      <c r="H293" s="209">
        <v>0.41900000000000004</v>
      </c>
      <c r="I293" s="209">
        <v>0.41900000000000004</v>
      </c>
      <c r="J293" s="209">
        <v>0.41900000000000004</v>
      </c>
      <c r="K293" s="209">
        <v>0.41900000000000004</v>
      </c>
      <c r="L293" s="209">
        <v>0.41900000000000004</v>
      </c>
      <c r="M293" s="209">
        <v>0.41900000000000004</v>
      </c>
      <c r="N293" s="209">
        <v>0.41900000000000004</v>
      </c>
      <c r="O293" s="209">
        <v>0.41900000000000004</v>
      </c>
      <c r="P293" s="209">
        <v>0.41900000000000004</v>
      </c>
      <c r="Q293" s="209">
        <v>0.41900000000000004</v>
      </c>
      <c r="R293" s="209">
        <v>0.41900000000000004</v>
      </c>
      <c r="S293" s="209">
        <v>0.41900000000000004</v>
      </c>
      <c r="T293" s="209">
        <v>0.41900000000000004</v>
      </c>
      <c r="U293" s="209">
        <v>0.41900000000000004</v>
      </c>
      <c r="V293" s="209">
        <v>0.41900000000000004</v>
      </c>
      <c r="W293" s="209">
        <v>0.41900000000000004</v>
      </c>
      <c r="X293" s="209">
        <v>0.41900000000000004</v>
      </c>
      <c r="Y293" s="209">
        <v>0.41900000000000004</v>
      </c>
      <c r="Z293" s="209">
        <v>0.41900000000000004</v>
      </c>
      <c r="AA293" s="209">
        <v>0.41900000000000004</v>
      </c>
      <c r="AB293" s="209">
        <v>0.41900000000000004</v>
      </c>
      <c r="AC293" s="209">
        <v>0.41900000000000004</v>
      </c>
      <c r="AD293" s="209">
        <v>0.41900000000000004</v>
      </c>
      <c r="AE293" s="209">
        <v>0.41900000000000004</v>
      </c>
      <c r="AF293" s="220">
        <v>0.41900000000000004</v>
      </c>
      <c r="AG293" s="436"/>
    </row>
    <row r="294" spans="1:33">
      <c r="A294" s="229" t="s">
        <v>943</v>
      </c>
      <c r="B294" s="235" t="s">
        <v>938</v>
      </c>
      <c r="C294" s="235">
        <v>2100</v>
      </c>
      <c r="D294" s="235" t="s">
        <v>680</v>
      </c>
      <c r="E294" s="226">
        <v>0.41900000000000004</v>
      </c>
      <c r="F294" s="226">
        <v>0.41900000000000004</v>
      </c>
      <c r="G294" s="226">
        <v>0.41900000000000004</v>
      </c>
      <c r="H294" s="226">
        <v>0.41900000000000004</v>
      </c>
      <c r="I294" s="226">
        <v>0.41900000000000004</v>
      </c>
      <c r="J294" s="226">
        <v>0.41900000000000004</v>
      </c>
      <c r="K294" s="226">
        <v>0.41900000000000004</v>
      </c>
      <c r="L294" s="226">
        <v>0.41900000000000004</v>
      </c>
      <c r="M294" s="226">
        <v>0.41900000000000004</v>
      </c>
      <c r="N294" s="226">
        <v>0.41900000000000004</v>
      </c>
      <c r="O294" s="226">
        <v>0.41900000000000004</v>
      </c>
      <c r="P294" s="226">
        <v>0.41900000000000004</v>
      </c>
      <c r="Q294" s="226">
        <v>0.41900000000000004</v>
      </c>
      <c r="R294" s="226">
        <v>0.41900000000000004</v>
      </c>
      <c r="S294" s="226">
        <v>0.41900000000000004</v>
      </c>
      <c r="T294" s="226">
        <v>0.41900000000000004</v>
      </c>
      <c r="U294" s="226">
        <v>0.41900000000000004</v>
      </c>
      <c r="V294" s="226">
        <v>0.41900000000000004</v>
      </c>
      <c r="W294" s="226">
        <v>0.41900000000000004</v>
      </c>
      <c r="X294" s="226">
        <v>0.41900000000000004</v>
      </c>
      <c r="Y294" s="226">
        <v>0.41900000000000004</v>
      </c>
      <c r="Z294" s="226">
        <v>0.41900000000000004</v>
      </c>
      <c r="AA294" s="226">
        <v>0.41900000000000004</v>
      </c>
      <c r="AB294" s="226">
        <v>0.41900000000000004</v>
      </c>
      <c r="AC294" s="226">
        <v>0.41900000000000004</v>
      </c>
      <c r="AD294" s="226">
        <v>0.41900000000000004</v>
      </c>
      <c r="AE294" s="226">
        <v>0.41900000000000004</v>
      </c>
      <c r="AF294" s="224">
        <v>0.41900000000000004</v>
      </c>
      <c r="AG294" s="437"/>
    </row>
    <row r="295" spans="1:33">
      <c r="A295" s="215" t="s">
        <v>943</v>
      </c>
      <c r="B295" s="232" t="s">
        <v>940</v>
      </c>
      <c r="C295" s="232">
        <v>2019</v>
      </c>
      <c r="D295" s="232" t="s">
        <v>680</v>
      </c>
      <c r="E295" s="209">
        <v>0.50280000000000002</v>
      </c>
      <c r="F295" s="209">
        <v>0.50280000000000002</v>
      </c>
      <c r="G295" s="209">
        <v>0.50280000000000002</v>
      </c>
      <c r="H295" s="209">
        <v>0.50280000000000002</v>
      </c>
      <c r="I295" s="209">
        <v>0.50280000000000002</v>
      </c>
      <c r="J295" s="209">
        <v>0.50280000000000002</v>
      </c>
      <c r="K295" s="209">
        <v>0.50280000000000002</v>
      </c>
      <c r="L295" s="209">
        <v>0.50280000000000002</v>
      </c>
      <c r="M295" s="209">
        <v>0.50280000000000002</v>
      </c>
      <c r="N295" s="209">
        <v>0.50280000000000002</v>
      </c>
      <c r="O295" s="209">
        <v>0.50280000000000002</v>
      </c>
      <c r="P295" s="209">
        <v>0.50280000000000002</v>
      </c>
      <c r="Q295" s="209">
        <v>0.50280000000000002</v>
      </c>
      <c r="R295" s="209">
        <v>0.50280000000000002</v>
      </c>
      <c r="S295" s="209">
        <v>0.50280000000000002</v>
      </c>
      <c r="T295" s="209">
        <v>0.50280000000000002</v>
      </c>
      <c r="U295" s="209">
        <v>0.50280000000000002</v>
      </c>
      <c r="V295" s="209">
        <v>0.50280000000000002</v>
      </c>
      <c r="W295" s="209">
        <v>0.50280000000000002</v>
      </c>
      <c r="X295" s="209">
        <v>0.50280000000000002</v>
      </c>
      <c r="Y295" s="209">
        <v>0.50280000000000002</v>
      </c>
      <c r="Z295" s="209">
        <v>0.50280000000000002</v>
      </c>
      <c r="AA295" s="209">
        <v>0.50280000000000002</v>
      </c>
      <c r="AB295" s="209">
        <v>0.50280000000000002</v>
      </c>
      <c r="AC295" s="209">
        <v>0.50280000000000002</v>
      </c>
      <c r="AD295" s="209">
        <v>0.50280000000000002</v>
      </c>
      <c r="AE295" s="209">
        <v>0.50280000000000002</v>
      </c>
      <c r="AF295" s="220">
        <v>0.50280000000000002</v>
      </c>
      <c r="AG295" s="436"/>
    </row>
    <row r="296" spans="1:33">
      <c r="A296" s="215" t="s">
        <v>943</v>
      </c>
      <c r="B296" s="232" t="s">
        <v>940</v>
      </c>
      <c r="C296">
        <v>2020</v>
      </c>
      <c r="D296" s="232" t="s">
        <v>680</v>
      </c>
      <c r="E296" s="209">
        <v>0.50280000000000002</v>
      </c>
      <c r="F296" s="209">
        <v>0.50280000000000002</v>
      </c>
      <c r="G296" s="209">
        <v>0.50280000000000002</v>
      </c>
      <c r="H296" s="209">
        <v>0.50280000000000002</v>
      </c>
      <c r="I296" s="209">
        <v>0.50280000000000002</v>
      </c>
      <c r="J296" s="209">
        <v>0.50280000000000002</v>
      </c>
      <c r="K296" s="209">
        <v>0.50280000000000002</v>
      </c>
      <c r="L296" s="209">
        <v>0.50280000000000002</v>
      </c>
      <c r="M296" s="209">
        <v>0.50280000000000002</v>
      </c>
      <c r="N296" s="209">
        <v>0.50280000000000002</v>
      </c>
      <c r="O296" s="209">
        <v>0.50280000000000002</v>
      </c>
      <c r="P296" s="209">
        <v>0.50280000000000002</v>
      </c>
      <c r="Q296" s="209">
        <v>0.50280000000000002</v>
      </c>
      <c r="R296" s="209">
        <v>0.50280000000000002</v>
      </c>
      <c r="S296" s="209">
        <v>0.50280000000000002</v>
      </c>
      <c r="T296" s="209">
        <v>0.50280000000000002</v>
      </c>
      <c r="U296" s="209">
        <v>0.50280000000000002</v>
      </c>
      <c r="V296" s="209">
        <v>0.50280000000000002</v>
      </c>
      <c r="W296" s="209">
        <v>0.50280000000000002</v>
      </c>
      <c r="X296" s="209">
        <v>0.50280000000000002</v>
      </c>
      <c r="Y296" s="209">
        <v>0.50280000000000002</v>
      </c>
      <c r="Z296" s="209">
        <v>0.50280000000000002</v>
      </c>
      <c r="AA296" s="209">
        <v>0.50280000000000002</v>
      </c>
      <c r="AB296" s="209">
        <v>0.50280000000000002</v>
      </c>
      <c r="AC296" s="209">
        <v>0.50280000000000002</v>
      </c>
      <c r="AD296" s="209">
        <v>0.50280000000000002</v>
      </c>
      <c r="AE296" s="209">
        <v>0.50280000000000002</v>
      </c>
      <c r="AF296" s="220">
        <v>0.50280000000000002</v>
      </c>
      <c r="AG296" s="436"/>
    </row>
    <row r="297" spans="1:33">
      <c r="A297" s="215" t="s">
        <v>943</v>
      </c>
      <c r="B297" s="232" t="s">
        <v>940</v>
      </c>
      <c r="C297" s="232">
        <v>2025</v>
      </c>
      <c r="D297" s="232" t="s">
        <v>680</v>
      </c>
      <c r="E297" s="209">
        <v>0.50280000000000002</v>
      </c>
      <c r="F297" s="209">
        <v>0.50280000000000002</v>
      </c>
      <c r="G297" s="209">
        <v>0.50280000000000002</v>
      </c>
      <c r="H297" s="209">
        <v>0.50280000000000002</v>
      </c>
      <c r="I297" s="209">
        <v>0.50280000000000002</v>
      </c>
      <c r="J297" s="209">
        <v>0.50280000000000002</v>
      </c>
      <c r="K297" s="209">
        <v>0.50280000000000002</v>
      </c>
      <c r="L297" s="209">
        <v>0.50280000000000002</v>
      </c>
      <c r="M297" s="209">
        <v>0.50280000000000002</v>
      </c>
      <c r="N297" s="209">
        <v>0.50280000000000002</v>
      </c>
      <c r="O297" s="209">
        <v>0.50280000000000002</v>
      </c>
      <c r="P297" s="209">
        <v>0.50280000000000002</v>
      </c>
      <c r="Q297" s="209">
        <v>0.50280000000000002</v>
      </c>
      <c r="R297" s="209">
        <v>0.50280000000000002</v>
      </c>
      <c r="S297" s="209">
        <v>0.50280000000000002</v>
      </c>
      <c r="T297" s="209">
        <v>0.50280000000000002</v>
      </c>
      <c r="U297" s="209">
        <v>0.50280000000000002</v>
      </c>
      <c r="V297" s="209">
        <v>0.50280000000000002</v>
      </c>
      <c r="W297" s="209">
        <v>0.50280000000000002</v>
      </c>
      <c r="X297" s="209">
        <v>0.50280000000000002</v>
      </c>
      <c r="Y297" s="209">
        <v>0.50280000000000002</v>
      </c>
      <c r="Z297" s="209">
        <v>0.50280000000000002</v>
      </c>
      <c r="AA297" s="209">
        <v>0.50280000000000002</v>
      </c>
      <c r="AB297" s="209">
        <v>0.50280000000000002</v>
      </c>
      <c r="AC297" s="209">
        <v>0.50280000000000002</v>
      </c>
      <c r="AD297" s="209">
        <v>0.50280000000000002</v>
      </c>
      <c r="AE297" s="209">
        <v>0.50280000000000002</v>
      </c>
      <c r="AF297" s="220">
        <v>0.50280000000000002</v>
      </c>
      <c r="AG297" s="436"/>
    </row>
    <row r="298" spans="1:33">
      <c r="A298" s="215" t="s">
        <v>943</v>
      </c>
      <c r="B298" s="232" t="s">
        <v>940</v>
      </c>
      <c r="C298" s="232">
        <v>2030</v>
      </c>
      <c r="D298" s="232" t="s">
        <v>680</v>
      </c>
      <c r="E298" s="209">
        <v>0.50280000000000002</v>
      </c>
      <c r="F298" s="209">
        <v>0.50280000000000002</v>
      </c>
      <c r="G298" s="209">
        <v>0.50280000000000002</v>
      </c>
      <c r="H298" s="209">
        <v>0.50280000000000002</v>
      </c>
      <c r="I298" s="209">
        <v>0.50280000000000002</v>
      </c>
      <c r="J298" s="209">
        <v>0.50280000000000002</v>
      </c>
      <c r="K298" s="209">
        <v>0.50280000000000002</v>
      </c>
      <c r="L298" s="209">
        <v>0.50280000000000002</v>
      </c>
      <c r="M298" s="209">
        <v>0.50280000000000002</v>
      </c>
      <c r="N298" s="209">
        <v>0.50280000000000002</v>
      </c>
      <c r="O298" s="209">
        <v>0.50280000000000002</v>
      </c>
      <c r="P298" s="209">
        <v>0.50280000000000002</v>
      </c>
      <c r="Q298" s="209">
        <v>0.50280000000000002</v>
      </c>
      <c r="R298" s="209">
        <v>0.50280000000000002</v>
      </c>
      <c r="S298" s="209">
        <v>0.50280000000000002</v>
      </c>
      <c r="T298" s="209">
        <v>0.50280000000000002</v>
      </c>
      <c r="U298" s="209">
        <v>0.50280000000000002</v>
      </c>
      <c r="V298" s="209">
        <v>0.50280000000000002</v>
      </c>
      <c r="W298" s="209">
        <v>0.50280000000000002</v>
      </c>
      <c r="X298" s="209">
        <v>0.50280000000000002</v>
      </c>
      <c r="Y298" s="209">
        <v>0.50280000000000002</v>
      </c>
      <c r="Z298" s="209">
        <v>0.50280000000000002</v>
      </c>
      <c r="AA298" s="209">
        <v>0.50280000000000002</v>
      </c>
      <c r="AB298" s="209">
        <v>0.50280000000000002</v>
      </c>
      <c r="AC298" s="209">
        <v>0.50280000000000002</v>
      </c>
      <c r="AD298" s="209">
        <v>0.50280000000000002</v>
      </c>
      <c r="AE298" s="209">
        <v>0.50280000000000002</v>
      </c>
      <c r="AF298" s="220">
        <v>0.50280000000000002</v>
      </c>
      <c r="AG298" s="436"/>
    </row>
    <row r="299" spans="1:33">
      <c r="A299" s="215" t="s">
        <v>943</v>
      </c>
      <c r="B299" s="232" t="s">
        <v>940</v>
      </c>
      <c r="C299" s="232">
        <v>2035</v>
      </c>
      <c r="D299" s="232" t="s">
        <v>680</v>
      </c>
      <c r="E299" s="209">
        <v>0.50280000000000002</v>
      </c>
      <c r="F299" s="209">
        <v>0.50280000000000002</v>
      </c>
      <c r="G299" s="209">
        <v>0.50280000000000002</v>
      </c>
      <c r="H299" s="209">
        <v>0.50280000000000002</v>
      </c>
      <c r="I299" s="209">
        <v>0.50280000000000002</v>
      </c>
      <c r="J299" s="209">
        <v>0.50280000000000002</v>
      </c>
      <c r="K299" s="209">
        <v>0.50280000000000002</v>
      </c>
      <c r="L299" s="209">
        <v>0.50280000000000002</v>
      </c>
      <c r="M299" s="209">
        <v>0.50280000000000002</v>
      </c>
      <c r="N299" s="209">
        <v>0.50280000000000002</v>
      </c>
      <c r="O299" s="209">
        <v>0.50280000000000002</v>
      </c>
      <c r="P299" s="209">
        <v>0.50280000000000002</v>
      </c>
      <c r="Q299" s="209">
        <v>0.50280000000000002</v>
      </c>
      <c r="R299" s="209">
        <v>0.50280000000000002</v>
      </c>
      <c r="S299" s="209">
        <v>0.50280000000000002</v>
      </c>
      <c r="T299" s="209">
        <v>0.50280000000000002</v>
      </c>
      <c r="U299" s="209">
        <v>0.50280000000000002</v>
      </c>
      <c r="V299" s="209">
        <v>0.50280000000000002</v>
      </c>
      <c r="W299" s="209">
        <v>0.50280000000000002</v>
      </c>
      <c r="X299" s="209">
        <v>0.50280000000000002</v>
      </c>
      <c r="Y299" s="209">
        <v>0.50280000000000002</v>
      </c>
      <c r="Z299" s="209">
        <v>0.50280000000000002</v>
      </c>
      <c r="AA299" s="209">
        <v>0.50280000000000002</v>
      </c>
      <c r="AB299" s="209">
        <v>0.50280000000000002</v>
      </c>
      <c r="AC299" s="209">
        <v>0.50280000000000002</v>
      </c>
      <c r="AD299" s="209">
        <v>0.50280000000000002</v>
      </c>
      <c r="AE299" s="209">
        <v>0.50280000000000002</v>
      </c>
      <c r="AF299" s="220">
        <v>0.50280000000000002</v>
      </c>
      <c r="AG299" s="436"/>
    </row>
    <row r="300" spans="1:33">
      <c r="A300" s="215" t="s">
        <v>943</v>
      </c>
      <c r="B300" s="232" t="s">
        <v>940</v>
      </c>
      <c r="C300" s="232">
        <v>2040</v>
      </c>
      <c r="D300" s="232" t="s">
        <v>680</v>
      </c>
      <c r="E300" s="209">
        <v>0.50280000000000002</v>
      </c>
      <c r="F300" s="209">
        <v>0.50280000000000002</v>
      </c>
      <c r="G300" s="209">
        <v>0.50280000000000002</v>
      </c>
      <c r="H300" s="209">
        <v>0.50280000000000002</v>
      </c>
      <c r="I300" s="209">
        <v>0.50280000000000002</v>
      </c>
      <c r="J300" s="209">
        <v>0.50280000000000002</v>
      </c>
      <c r="K300" s="209">
        <v>0.50280000000000002</v>
      </c>
      <c r="L300" s="209">
        <v>0.50280000000000002</v>
      </c>
      <c r="M300" s="209">
        <v>0.50280000000000002</v>
      </c>
      <c r="N300" s="209">
        <v>0.50280000000000002</v>
      </c>
      <c r="O300" s="209">
        <v>0.50280000000000002</v>
      </c>
      <c r="P300" s="209">
        <v>0.50280000000000002</v>
      </c>
      <c r="Q300" s="209">
        <v>0.50280000000000002</v>
      </c>
      <c r="R300" s="209">
        <v>0.50280000000000002</v>
      </c>
      <c r="S300" s="209">
        <v>0.50280000000000002</v>
      </c>
      <c r="T300" s="209">
        <v>0.50280000000000002</v>
      </c>
      <c r="U300" s="209">
        <v>0.50280000000000002</v>
      </c>
      <c r="V300" s="209">
        <v>0.50280000000000002</v>
      </c>
      <c r="W300" s="209">
        <v>0.50280000000000002</v>
      </c>
      <c r="X300" s="209">
        <v>0.50280000000000002</v>
      </c>
      <c r="Y300" s="209">
        <v>0.50280000000000002</v>
      </c>
      <c r="Z300" s="209">
        <v>0.50280000000000002</v>
      </c>
      <c r="AA300" s="209">
        <v>0.50280000000000002</v>
      </c>
      <c r="AB300" s="209">
        <v>0.50280000000000002</v>
      </c>
      <c r="AC300" s="209">
        <v>0.50280000000000002</v>
      </c>
      <c r="AD300" s="209">
        <v>0.50280000000000002</v>
      </c>
      <c r="AE300" s="209">
        <v>0.50280000000000002</v>
      </c>
      <c r="AF300" s="220">
        <v>0.50280000000000002</v>
      </c>
      <c r="AG300" s="436"/>
    </row>
    <row r="301" spans="1:33">
      <c r="A301" s="215" t="s">
        <v>943</v>
      </c>
      <c r="B301" s="232" t="s">
        <v>940</v>
      </c>
      <c r="C301" s="232">
        <v>2045</v>
      </c>
      <c r="D301" s="232" t="s">
        <v>680</v>
      </c>
      <c r="E301" s="209">
        <v>0.50280000000000002</v>
      </c>
      <c r="F301" s="209">
        <v>0.50280000000000002</v>
      </c>
      <c r="G301" s="209">
        <v>0.50280000000000002</v>
      </c>
      <c r="H301" s="209">
        <v>0.50280000000000002</v>
      </c>
      <c r="I301" s="209">
        <v>0.50280000000000002</v>
      </c>
      <c r="J301" s="209">
        <v>0.50280000000000002</v>
      </c>
      <c r="K301" s="209">
        <v>0.50280000000000002</v>
      </c>
      <c r="L301" s="209">
        <v>0.50280000000000002</v>
      </c>
      <c r="M301" s="209">
        <v>0.50280000000000002</v>
      </c>
      <c r="N301" s="209">
        <v>0.50280000000000002</v>
      </c>
      <c r="O301" s="209">
        <v>0.50280000000000002</v>
      </c>
      <c r="P301" s="209">
        <v>0.50280000000000002</v>
      </c>
      <c r="Q301" s="209">
        <v>0.50280000000000002</v>
      </c>
      <c r="R301" s="209">
        <v>0.50280000000000002</v>
      </c>
      <c r="S301" s="209">
        <v>0.50280000000000002</v>
      </c>
      <c r="T301" s="209">
        <v>0.50280000000000002</v>
      </c>
      <c r="U301" s="209">
        <v>0.50280000000000002</v>
      </c>
      <c r="V301" s="209">
        <v>0.50280000000000002</v>
      </c>
      <c r="W301" s="209">
        <v>0.50280000000000002</v>
      </c>
      <c r="X301" s="209">
        <v>0.50280000000000002</v>
      </c>
      <c r="Y301" s="209">
        <v>0.50280000000000002</v>
      </c>
      <c r="Z301" s="209">
        <v>0.50280000000000002</v>
      </c>
      <c r="AA301" s="209">
        <v>0.50280000000000002</v>
      </c>
      <c r="AB301" s="209">
        <v>0.50280000000000002</v>
      </c>
      <c r="AC301" s="209">
        <v>0.50280000000000002</v>
      </c>
      <c r="AD301" s="209">
        <v>0.50280000000000002</v>
      </c>
      <c r="AE301" s="209">
        <v>0.50280000000000002</v>
      </c>
      <c r="AF301" s="220">
        <v>0.50280000000000002</v>
      </c>
      <c r="AG301" s="436"/>
    </row>
    <row r="302" spans="1:33">
      <c r="A302" s="215" t="s">
        <v>943</v>
      </c>
      <c r="B302" s="232" t="s">
        <v>940</v>
      </c>
      <c r="C302" s="232">
        <v>2050</v>
      </c>
      <c r="D302" s="232" t="s">
        <v>680</v>
      </c>
      <c r="E302" s="209">
        <v>0.50280000000000002</v>
      </c>
      <c r="F302" s="209">
        <v>0.50280000000000002</v>
      </c>
      <c r="G302" s="209">
        <v>0.50280000000000002</v>
      </c>
      <c r="H302" s="209">
        <v>0.50280000000000002</v>
      </c>
      <c r="I302" s="209">
        <v>0.50280000000000002</v>
      </c>
      <c r="J302" s="209">
        <v>0.50280000000000002</v>
      </c>
      <c r="K302" s="209">
        <v>0.50280000000000002</v>
      </c>
      <c r="L302" s="209">
        <v>0.50280000000000002</v>
      </c>
      <c r="M302" s="209">
        <v>0.50280000000000002</v>
      </c>
      <c r="N302" s="209">
        <v>0.50280000000000002</v>
      </c>
      <c r="O302" s="209">
        <v>0.50280000000000002</v>
      </c>
      <c r="P302" s="209">
        <v>0.50280000000000002</v>
      </c>
      <c r="Q302" s="209">
        <v>0.50280000000000002</v>
      </c>
      <c r="R302" s="209">
        <v>0.50280000000000002</v>
      </c>
      <c r="S302" s="209">
        <v>0.50280000000000002</v>
      </c>
      <c r="T302" s="209">
        <v>0.50280000000000002</v>
      </c>
      <c r="U302" s="209">
        <v>0.50280000000000002</v>
      </c>
      <c r="V302" s="209">
        <v>0.50280000000000002</v>
      </c>
      <c r="W302" s="209">
        <v>0.50280000000000002</v>
      </c>
      <c r="X302" s="209">
        <v>0.50280000000000002</v>
      </c>
      <c r="Y302" s="209">
        <v>0.50280000000000002</v>
      </c>
      <c r="Z302" s="209">
        <v>0.50280000000000002</v>
      </c>
      <c r="AA302" s="209">
        <v>0.50280000000000002</v>
      </c>
      <c r="AB302" s="209">
        <v>0.50280000000000002</v>
      </c>
      <c r="AC302" s="209">
        <v>0.50280000000000002</v>
      </c>
      <c r="AD302" s="209">
        <v>0.50280000000000002</v>
      </c>
      <c r="AE302" s="209">
        <v>0.50280000000000002</v>
      </c>
      <c r="AF302" s="220">
        <v>0.50280000000000002</v>
      </c>
      <c r="AG302" s="436"/>
    </row>
    <row r="303" spans="1:33">
      <c r="A303" s="215" t="s">
        <v>943</v>
      </c>
      <c r="B303" s="232" t="s">
        <v>940</v>
      </c>
      <c r="C303" s="232">
        <v>2060</v>
      </c>
      <c r="D303" s="232" t="s">
        <v>680</v>
      </c>
      <c r="E303" s="209">
        <v>0.50280000000000002</v>
      </c>
      <c r="F303" s="209">
        <v>0.50280000000000002</v>
      </c>
      <c r="G303" s="209">
        <v>0.50280000000000002</v>
      </c>
      <c r="H303" s="209">
        <v>0.50280000000000002</v>
      </c>
      <c r="I303" s="209">
        <v>0.50280000000000002</v>
      </c>
      <c r="J303" s="209">
        <v>0.50280000000000002</v>
      </c>
      <c r="K303" s="209">
        <v>0.50280000000000002</v>
      </c>
      <c r="L303" s="209">
        <v>0.50280000000000002</v>
      </c>
      <c r="M303" s="209">
        <v>0.50280000000000002</v>
      </c>
      <c r="N303" s="209">
        <v>0.50280000000000002</v>
      </c>
      <c r="O303" s="209">
        <v>0.50280000000000002</v>
      </c>
      <c r="P303" s="209">
        <v>0.50280000000000002</v>
      </c>
      <c r="Q303" s="209">
        <v>0.50280000000000002</v>
      </c>
      <c r="R303" s="209">
        <v>0.50280000000000002</v>
      </c>
      <c r="S303" s="209">
        <v>0.50280000000000002</v>
      </c>
      <c r="T303" s="209">
        <v>0.50280000000000002</v>
      </c>
      <c r="U303" s="209">
        <v>0.50280000000000002</v>
      </c>
      <c r="V303" s="209">
        <v>0.50280000000000002</v>
      </c>
      <c r="W303" s="209">
        <v>0.50280000000000002</v>
      </c>
      <c r="X303" s="209">
        <v>0.50280000000000002</v>
      </c>
      <c r="Y303" s="209">
        <v>0.50280000000000002</v>
      </c>
      <c r="Z303" s="209">
        <v>0.50280000000000002</v>
      </c>
      <c r="AA303" s="209">
        <v>0.50280000000000002</v>
      </c>
      <c r="AB303" s="209">
        <v>0.50280000000000002</v>
      </c>
      <c r="AC303" s="209">
        <v>0.50280000000000002</v>
      </c>
      <c r="AD303" s="209">
        <v>0.50280000000000002</v>
      </c>
      <c r="AE303" s="209">
        <v>0.50280000000000002</v>
      </c>
      <c r="AF303" s="220">
        <v>0.50280000000000002</v>
      </c>
      <c r="AG303" s="436"/>
    </row>
    <row r="304" spans="1:33">
      <c r="A304" s="215" t="s">
        <v>943</v>
      </c>
      <c r="B304" s="232" t="s">
        <v>940</v>
      </c>
      <c r="C304" s="232">
        <v>2070</v>
      </c>
      <c r="D304" s="232" t="s">
        <v>680</v>
      </c>
      <c r="E304" s="209">
        <v>0.50280000000000002</v>
      </c>
      <c r="F304" s="209">
        <v>0.50280000000000002</v>
      </c>
      <c r="G304" s="209">
        <v>0.50280000000000002</v>
      </c>
      <c r="H304" s="209">
        <v>0.50280000000000002</v>
      </c>
      <c r="I304" s="209">
        <v>0.50280000000000002</v>
      </c>
      <c r="J304" s="209">
        <v>0.50280000000000002</v>
      </c>
      <c r="K304" s="209">
        <v>0.50280000000000002</v>
      </c>
      <c r="L304" s="209">
        <v>0.50280000000000002</v>
      </c>
      <c r="M304" s="209">
        <v>0.50280000000000002</v>
      </c>
      <c r="N304" s="209">
        <v>0.50280000000000002</v>
      </c>
      <c r="O304" s="209">
        <v>0.50280000000000002</v>
      </c>
      <c r="P304" s="209">
        <v>0.50280000000000002</v>
      </c>
      <c r="Q304" s="209">
        <v>0.50280000000000002</v>
      </c>
      <c r="R304" s="209">
        <v>0.50280000000000002</v>
      </c>
      <c r="S304" s="209">
        <v>0.50280000000000002</v>
      </c>
      <c r="T304" s="209">
        <v>0.50280000000000002</v>
      </c>
      <c r="U304" s="209">
        <v>0.50280000000000002</v>
      </c>
      <c r="V304" s="209">
        <v>0.50280000000000002</v>
      </c>
      <c r="W304" s="209">
        <v>0.50280000000000002</v>
      </c>
      <c r="X304" s="209">
        <v>0.50280000000000002</v>
      </c>
      <c r="Y304" s="209">
        <v>0.50280000000000002</v>
      </c>
      <c r="Z304" s="209">
        <v>0.50280000000000002</v>
      </c>
      <c r="AA304" s="209">
        <v>0.50280000000000002</v>
      </c>
      <c r="AB304" s="209">
        <v>0.50280000000000002</v>
      </c>
      <c r="AC304" s="209">
        <v>0.50280000000000002</v>
      </c>
      <c r="AD304" s="209">
        <v>0.50280000000000002</v>
      </c>
      <c r="AE304" s="209">
        <v>0.50280000000000002</v>
      </c>
      <c r="AF304" s="220">
        <v>0.50280000000000002</v>
      </c>
      <c r="AG304" s="436"/>
    </row>
    <row r="305" spans="1:33">
      <c r="A305" s="215" t="s">
        <v>943</v>
      </c>
      <c r="B305" s="232" t="s">
        <v>940</v>
      </c>
      <c r="C305" s="232">
        <v>2080</v>
      </c>
      <c r="D305" s="232" t="s">
        <v>680</v>
      </c>
      <c r="E305" s="209">
        <v>0.50280000000000002</v>
      </c>
      <c r="F305" s="209">
        <v>0.50280000000000002</v>
      </c>
      <c r="G305" s="209">
        <v>0.50280000000000002</v>
      </c>
      <c r="H305" s="209">
        <v>0.50280000000000002</v>
      </c>
      <c r="I305" s="209">
        <v>0.50280000000000002</v>
      </c>
      <c r="J305" s="209">
        <v>0.50280000000000002</v>
      </c>
      <c r="K305" s="209">
        <v>0.50280000000000002</v>
      </c>
      <c r="L305" s="209">
        <v>0.50280000000000002</v>
      </c>
      <c r="M305" s="209">
        <v>0.50280000000000002</v>
      </c>
      <c r="N305" s="209">
        <v>0.50280000000000002</v>
      </c>
      <c r="O305" s="209">
        <v>0.50280000000000002</v>
      </c>
      <c r="P305" s="209">
        <v>0.50280000000000002</v>
      </c>
      <c r="Q305" s="209">
        <v>0.50280000000000002</v>
      </c>
      <c r="R305" s="209">
        <v>0.50280000000000002</v>
      </c>
      <c r="S305" s="209">
        <v>0.50280000000000002</v>
      </c>
      <c r="T305" s="209">
        <v>0.50280000000000002</v>
      </c>
      <c r="U305" s="209">
        <v>0.50280000000000002</v>
      </c>
      <c r="V305" s="209">
        <v>0.50280000000000002</v>
      </c>
      <c r="W305" s="209">
        <v>0.50280000000000002</v>
      </c>
      <c r="X305" s="209">
        <v>0.50280000000000002</v>
      </c>
      <c r="Y305" s="209">
        <v>0.50280000000000002</v>
      </c>
      <c r="Z305" s="209">
        <v>0.50280000000000002</v>
      </c>
      <c r="AA305" s="209">
        <v>0.50280000000000002</v>
      </c>
      <c r="AB305" s="209">
        <v>0.50280000000000002</v>
      </c>
      <c r="AC305" s="209">
        <v>0.50280000000000002</v>
      </c>
      <c r="AD305" s="209">
        <v>0.50280000000000002</v>
      </c>
      <c r="AE305" s="209">
        <v>0.50280000000000002</v>
      </c>
      <c r="AF305" s="220">
        <v>0.50280000000000002</v>
      </c>
      <c r="AG305" s="436"/>
    </row>
    <row r="306" spans="1:33">
      <c r="A306" s="215" t="s">
        <v>943</v>
      </c>
      <c r="B306" s="232" t="s">
        <v>940</v>
      </c>
      <c r="C306" s="232">
        <v>2090</v>
      </c>
      <c r="D306" s="232" t="s">
        <v>680</v>
      </c>
      <c r="E306" s="209">
        <v>0.50280000000000002</v>
      </c>
      <c r="F306" s="209">
        <v>0.50280000000000002</v>
      </c>
      <c r="G306" s="209">
        <v>0.50280000000000002</v>
      </c>
      <c r="H306" s="209">
        <v>0.50280000000000002</v>
      </c>
      <c r="I306" s="209">
        <v>0.50280000000000002</v>
      </c>
      <c r="J306" s="209">
        <v>0.50280000000000002</v>
      </c>
      <c r="K306" s="209">
        <v>0.50280000000000002</v>
      </c>
      <c r="L306" s="209">
        <v>0.50280000000000002</v>
      </c>
      <c r="M306" s="209">
        <v>0.50280000000000002</v>
      </c>
      <c r="N306" s="209">
        <v>0.50280000000000002</v>
      </c>
      <c r="O306" s="209">
        <v>0.50280000000000002</v>
      </c>
      <c r="P306" s="209">
        <v>0.50280000000000002</v>
      </c>
      <c r="Q306" s="209">
        <v>0.50280000000000002</v>
      </c>
      <c r="R306" s="209">
        <v>0.50280000000000002</v>
      </c>
      <c r="S306" s="209">
        <v>0.50280000000000002</v>
      </c>
      <c r="T306" s="209">
        <v>0.50280000000000002</v>
      </c>
      <c r="U306" s="209">
        <v>0.50280000000000002</v>
      </c>
      <c r="V306" s="209">
        <v>0.50280000000000002</v>
      </c>
      <c r="W306" s="209">
        <v>0.50280000000000002</v>
      </c>
      <c r="X306" s="209">
        <v>0.50280000000000002</v>
      </c>
      <c r="Y306" s="209">
        <v>0.50280000000000002</v>
      </c>
      <c r="Z306" s="209">
        <v>0.50280000000000002</v>
      </c>
      <c r="AA306" s="209">
        <v>0.50280000000000002</v>
      </c>
      <c r="AB306" s="209">
        <v>0.50280000000000002</v>
      </c>
      <c r="AC306" s="209">
        <v>0.50280000000000002</v>
      </c>
      <c r="AD306" s="209">
        <v>0.50280000000000002</v>
      </c>
      <c r="AE306" s="209">
        <v>0.50280000000000002</v>
      </c>
      <c r="AF306" s="220">
        <v>0.50280000000000002</v>
      </c>
      <c r="AG306" s="436"/>
    </row>
    <row r="307" spans="1:33">
      <c r="A307" s="229" t="s">
        <v>943</v>
      </c>
      <c r="B307" s="235" t="s">
        <v>940</v>
      </c>
      <c r="C307" s="235">
        <v>2100</v>
      </c>
      <c r="D307" s="235" t="s">
        <v>680</v>
      </c>
      <c r="E307" s="226">
        <v>0.50280000000000002</v>
      </c>
      <c r="F307" s="226">
        <v>0.50280000000000002</v>
      </c>
      <c r="G307" s="226">
        <v>0.50280000000000002</v>
      </c>
      <c r="H307" s="226">
        <v>0.50280000000000002</v>
      </c>
      <c r="I307" s="226">
        <v>0.50280000000000002</v>
      </c>
      <c r="J307" s="226">
        <v>0.50280000000000002</v>
      </c>
      <c r="K307" s="226">
        <v>0.50280000000000002</v>
      </c>
      <c r="L307" s="226">
        <v>0.50280000000000002</v>
      </c>
      <c r="M307" s="226">
        <v>0.50280000000000002</v>
      </c>
      <c r="N307" s="226">
        <v>0.50280000000000002</v>
      </c>
      <c r="O307" s="226">
        <v>0.50280000000000002</v>
      </c>
      <c r="P307" s="226">
        <v>0.50280000000000002</v>
      </c>
      <c r="Q307" s="226">
        <v>0.50280000000000002</v>
      </c>
      <c r="R307" s="226">
        <v>0.50280000000000002</v>
      </c>
      <c r="S307" s="226">
        <v>0.50280000000000002</v>
      </c>
      <c r="T307" s="226">
        <v>0.50280000000000002</v>
      </c>
      <c r="U307" s="226">
        <v>0.50280000000000002</v>
      </c>
      <c r="V307" s="226">
        <v>0.50280000000000002</v>
      </c>
      <c r="W307" s="226">
        <v>0.50280000000000002</v>
      </c>
      <c r="X307" s="226">
        <v>0.50280000000000002</v>
      </c>
      <c r="Y307" s="226">
        <v>0.50280000000000002</v>
      </c>
      <c r="Z307" s="226">
        <v>0.50280000000000002</v>
      </c>
      <c r="AA307" s="226">
        <v>0.50280000000000002</v>
      </c>
      <c r="AB307" s="226">
        <v>0.50280000000000002</v>
      </c>
      <c r="AC307" s="226">
        <v>0.50280000000000002</v>
      </c>
      <c r="AD307" s="226">
        <v>0.50280000000000002</v>
      </c>
      <c r="AE307" s="226">
        <v>0.50280000000000002</v>
      </c>
      <c r="AF307" s="224">
        <v>0.50280000000000002</v>
      </c>
      <c r="AG307" s="437"/>
    </row>
    <row r="308" spans="1:33">
      <c r="A308" t="s">
        <v>943</v>
      </c>
      <c r="B308" s="231" t="s">
        <v>941</v>
      </c>
      <c r="C308" s="232">
        <v>2019</v>
      </c>
      <c r="D308" s="231" t="s">
        <v>680</v>
      </c>
      <c r="E308" s="209">
        <v>0.58660000000000001</v>
      </c>
      <c r="F308" s="209">
        <v>0.58660000000000001</v>
      </c>
      <c r="G308" s="209">
        <v>0.58660000000000001</v>
      </c>
      <c r="H308" s="209">
        <v>0.58660000000000001</v>
      </c>
      <c r="I308" s="209">
        <v>0.58660000000000001</v>
      </c>
      <c r="J308" s="209">
        <v>0.58660000000000001</v>
      </c>
      <c r="K308" s="209">
        <v>0.58660000000000001</v>
      </c>
      <c r="L308" s="209">
        <v>0.58660000000000001</v>
      </c>
      <c r="M308" s="209">
        <v>0.58660000000000001</v>
      </c>
      <c r="N308" s="209">
        <v>0.58660000000000001</v>
      </c>
      <c r="O308" s="209">
        <v>0.58660000000000001</v>
      </c>
      <c r="P308" s="209">
        <v>0.58660000000000001</v>
      </c>
      <c r="Q308" s="209">
        <v>0.58660000000000001</v>
      </c>
      <c r="R308" s="209">
        <v>0.58660000000000001</v>
      </c>
      <c r="S308" s="209">
        <v>0.58660000000000001</v>
      </c>
      <c r="T308" s="209">
        <v>0.58660000000000001</v>
      </c>
      <c r="U308" s="209">
        <v>0.58660000000000001</v>
      </c>
      <c r="V308" s="209">
        <v>0.58660000000000001</v>
      </c>
      <c r="W308" s="209">
        <v>0.58660000000000001</v>
      </c>
      <c r="X308" s="209">
        <v>0.58660000000000001</v>
      </c>
      <c r="Y308" s="209">
        <v>0.58660000000000001</v>
      </c>
      <c r="Z308" s="209">
        <v>0.58660000000000001</v>
      </c>
      <c r="AA308" s="209">
        <v>0.58660000000000001</v>
      </c>
      <c r="AB308" s="209">
        <v>0.58660000000000001</v>
      </c>
      <c r="AC308" s="209">
        <v>0.58660000000000001</v>
      </c>
      <c r="AD308" s="209">
        <v>0.58660000000000001</v>
      </c>
      <c r="AE308" s="209">
        <v>0.58660000000000001</v>
      </c>
      <c r="AF308" s="209">
        <v>0.58660000000000001</v>
      </c>
      <c r="AG308" s="453"/>
    </row>
    <row r="309" spans="1:33">
      <c r="A309" s="215" t="s">
        <v>943</v>
      </c>
      <c r="B309" s="232" t="s">
        <v>941</v>
      </c>
      <c r="C309">
        <v>2020</v>
      </c>
      <c r="D309" s="232" t="s">
        <v>680</v>
      </c>
      <c r="E309" s="209">
        <v>0.58660000000000001</v>
      </c>
      <c r="F309" s="209">
        <v>0.58660000000000001</v>
      </c>
      <c r="G309" s="209">
        <v>0.58660000000000001</v>
      </c>
      <c r="H309" s="209">
        <v>0.58660000000000001</v>
      </c>
      <c r="I309" s="209">
        <v>0.58660000000000001</v>
      </c>
      <c r="J309" s="209">
        <v>0.58660000000000001</v>
      </c>
      <c r="K309" s="209">
        <v>0.58660000000000001</v>
      </c>
      <c r="L309" s="209">
        <v>0.58660000000000001</v>
      </c>
      <c r="M309" s="209">
        <v>0.58660000000000001</v>
      </c>
      <c r="N309" s="209">
        <v>0.58660000000000001</v>
      </c>
      <c r="O309" s="209">
        <v>0.58660000000000001</v>
      </c>
      <c r="P309" s="209">
        <v>0.58660000000000001</v>
      </c>
      <c r="Q309" s="209">
        <v>0.58660000000000001</v>
      </c>
      <c r="R309" s="209">
        <v>0.58660000000000001</v>
      </c>
      <c r="S309" s="209">
        <v>0.58660000000000001</v>
      </c>
      <c r="T309" s="209">
        <v>0.58660000000000001</v>
      </c>
      <c r="U309" s="209">
        <v>0.58660000000000001</v>
      </c>
      <c r="V309" s="209">
        <v>0.58660000000000001</v>
      </c>
      <c r="W309" s="209">
        <v>0.58660000000000001</v>
      </c>
      <c r="X309" s="209">
        <v>0.58660000000000001</v>
      </c>
      <c r="Y309" s="209">
        <v>0.58660000000000001</v>
      </c>
      <c r="Z309" s="209">
        <v>0.58660000000000001</v>
      </c>
      <c r="AA309" s="209">
        <v>0.58660000000000001</v>
      </c>
      <c r="AB309" s="209">
        <v>0.58660000000000001</v>
      </c>
      <c r="AC309" s="209">
        <v>0.58660000000000001</v>
      </c>
      <c r="AD309" s="209">
        <v>0.58660000000000001</v>
      </c>
      <c r="AE309" s="209">
        <v>0.58660000000000001</v>
      </c>
      <c r="AF309" s="220">
        <v>0.58660000000000001</v>
      </c>
      <c r="AG309" s="436"/>
    </row>
    <row r="310" spans="1:33">
      <c r="A310" s="215" t="s">
        <v>943</v>
      </c>
      <c r="B310" s="232" t="s">
        <v>941</v>
      </c>
      <c r="C310" s="232">
        <v>2025</v>
      </c>
      <c r="D310" s="232" t="s">
        <v>680</v>
      </c>
      <c r="E310" s="209">
        <v>0.58660000000000001</v>
      </c>
      <c r="F310" s="209">
        <v>0.58660000000000001</v>
      </c>
      <c r="G310" s="209">
        <v>0.58660000000000001</v>
      </c>
      <c r="H310" s="209">
        <v>0.58660000000000001</v>
      </c>
      <c r="I310" s="209">
        <v>0.58660000000000001</v>
      </c>
      <c r="J310" s="209">
        <v>0.58660000000000001</v>
      </c>
      <c r="K310" s="209">
        <v>0.58660000000000001</v>
      </c>
      <c r="L310" s="209">
        <v>0.58660000000000001</v>
      </c>
      <c r="M310" s="209">
        <v>0.58660000000000001</v>
      </c>
      <c r="N310" s="209">
        <v>0.58660000000000001</v>
      </c>
      <c r="O310" s="209">
        <v>0.58660000000000001</v>
      </c>
      <c r="P310" s="209">
        <v>0.58660000000000001</v>
      </c>
      <c r="Q310" s="209">
        <v>0.58660000000000001</v>
      </c>
      <c r="R310" s="209">
        <v>0.58660000000000001</v>
      </c>
      <c r="S310" s="209">
        <v>0.58660000000000001</v>
      </c>
      <c r="T310" s="209">
        <v>0.58660000000000001</v>
      </c>
      <c r="U310" s="209">
        <v>0.58660000000000001</v>
      </c>
      <c r="V310" s="209">
        <v>0.58660000000000001</v>
      </c>
      <c r="W310" s="209">
        <v>0.58660000000000001</v>
      </c>
      <c r="X310" s="209">
        <v>0.58660000000000001</v>
      </c>
      <c r="Y310" s="209">
        <v>0.58660000000000001</v>
      </c>
      <c r="Z310" s="209">
        <v>0.58660000000000001</v>
      </c>
      <c r="AA310" s="209">
        <v>0.58660000000000001</v>
      </c>
      <c r="AB310" s="209">
        <v>0.58660000000000001</v>
      </c>
      <c r="AC310" s="209">
        <v>0.58660000000000001</v>
      </c>
      <c r="AD310" s="209">
        <v>0.58660000000000001</v>
      </c>
      <c r="AE310" s="209">
        <v>0.58660000000000001</v>
      </c>
      <c r="AF310" s="220">
        <v>0.58660000000000001</v>
      </c>
      <c r="AG310" s="436"/>
    </row>
    <row r="311" spans="1:33">
      <c r="A311" s="215" t="s">
        <v>943</v>
      </c>
      <c r="B311" s="232" t="s">
        <v>941</v>
      </c>
      <c r="C311" s="232">
        <v>2030</v>
      </c>
      <c r="D311" s="232" t="s">
        <v>680</v>
      </c>
      <c r="E311" s="209">
        <v>0.58660000000000001</v>
      </c>
      <c r="F311" s="209">
        <v>0.58660000000000001</v>
      </c>
      <c r="G311" s="209">
        <v>0.58660000000000001</v>
      </c>
      <c r="H311" s="209">
        <v>0.58660000000000001</v>
      </c>
      <c r="I311" s="209">
        <v>0.58660000000000001</v>
      </c>
      <c r="J311" s="209">
        <v>0.58660000000000001</v>
      </c>
      <c r="K311" s="209">
        <v>0.58660000000000001</v>
      </c>
      <c r="L311" s="209">
        <v>0.58660000000000001</v>
      </c>
      <c r="M311" s="209">
        <v>0.58660000000000001</v>
      </c>
      <c r="N311" s="209">
        <v>0.58660000000000001</v>
      </c>
      <c r="O311" s="209">
        <v>0.58660000000000001</v>
      </c>
      <c r="P311" s="209">
        <v>0.58660000000000001</v>
      </c>
      <c r="Q311" s="209">
        <v>0.58660000000000001</v>
      </c>
      <c r="R311" s="209">
        <v>0.58660000000000001</v>
      </c>
      <c r="S311" s="209">
        <v>0.58660000000000001</v>
      </c>
      <c r="T311" s="209">
        <v>0.58660000000000001</v>
      </c>
      <c r="U311" s="209">
        <v>0.58660000000000001</v>
      </c>
      <c r="V311" s="209">
        <v>0.58660000000000001</v>
      </c>
      <c r="W311" s="209">
        <v>0.58660000000000001</v>
      </c>
      <c r="X311" s="209">
        <v>0.58660000000000001</v>
      </c>
      <c r="Y311" s="209">
        <v>0.58660000000000001</v>
      </c>
      <c r="Z311" s="209">
        <v>0.58660000000000001</v>
      </c>
      <c r="AA311" s="209">
        <v>0.58660000000000001</v>
      </c>
      <c r="AB311" s="209">
        <v>0.58660000000000001</v>
      </c>
      <c r="AC311" s="209">
        <v>0.58660000000000001</v>
      </c>
      <c r="AD311" s="209">
        <v>0.58660000000000001</v>
      </c>
      <c r="AE311" s="209">
        <v>0.58660000000000001</v>
      </c>
      <c r="AF311" s="220">
        <v>0.58660000000000001</v>
      </c>
      <c r="AG311" s="436"/>
    </row>
    <row r="312" spans="1:33">
      <c r="A312" s="215" t="s">
        <v>943</v>
      </c>
      <c r="B312" s="232" t="s">
        <v>941</v>
      </c>
      <c r="C312" s="232">
        <v>2035</v>
      </c>
      <c r="D312" s="232" t="s">
        <v>680</v>
      </c>
      <c r="E312" s="209">
        <v>0.58660000000000001</v>
      </c>
      <c r="F312" s="209">
        <v>0.58660000000000001</v>
      </c>
      <c r="G312" s="209">
        <v>0.58660000000000001</v>
      </c>
      <c r="H312" s="209">
        <v>0.58660000000000001</v>
      </c>
      <c r="I312" s="209">
        <v>0.58660000000000001</v>
      </c>
      <c r="J312" s="209">
        <v>0.58660000000000001</v>
      </c>
      <c r="K312" s="209">
        <v>0.58660000000000001</v>
      </c>
      <c r="L312" s="209">
        <v>0.58660000000000001</v>
      </c>
      <c r="M312" s="209">
        <v>0.58660000000000001</v>
      </c>
      <c r="N312" s="209">
        <v>0.58660000000000001</v>
      </c>
      <c r="O312" s="209">
        <v>0.58660000000000001</v>
      </c>
      <c r="P312" s="209">
        <v>0.58660000000000001</v>
      </c>
      <c r="Q312" s="209">
        <v>0.58660000000000001</v>
      </c>
      <c r="R312" s="209">
        <v>0.58660000000000001</v>
      </c>
      <c r="S312" s="209">
        <v>0.58660000000000001</v>
      </c>
      <c r="T312" s="209">
        <v>0.58660000000000001</v>
      </c>
      <c r="U312" s="209">
        <v>0.58660000000000001</v>
      </c>
      <c r="V312" s="209">
        <v>0.58660000000000001</v>
      </c>
      <c r="W312" s="209">
        <v>0.58660000000000001</v>
      </c>
      <c r="X312" s="209">
        <v>0.58660000000000001</v>
      </c>
      <c r="Y312" s="209">
        <v>0.58660000000000001</v>
      </c>
      <c r="Z312" s="209">
        <v>0.58660000000000001</v>
      </c>
      <c r="AA312" s="209">
        <v>0.58660000000000001</v>
      </c>
      <c r="AB312" s="209">
        <v>0.58660000000000001</v>
      </c>
      <c r="AC312" s="209">
        <v>0.58660000000000001</v>
      </c>
      <c r="AD312" s="209">
        <v>0.58660000000000001</v>
      </c>
      <c r="AE312" s="209">
        <v>0.58660000000000001</v>
      </c>
      <c r="AF312" s="220">
        <v>0.58660000000000001</v>
      </c>
      <c r="AG312" s="436"/>
    </row>
    <row r="313" spans="1:33">
      <c r="A313" s="215" t="s">
        <v>943</v>
      </c>
      <c r="B313" s="232" t="s">
        <v>941</v>
      </c>
      <c r="C313" s="232">
        <v>2040</v>
      </c>
      <c r="D313" s="232" t="s">
        <v>680</v>
      </c>
      <c r="E313" s="209">
        <v>0.58660000000000001</v>
      </c>
      <c r="F313" s="209">
        <v>0.58660000000000001</v>
      </c>
      <c r="G313" s="209">
        <v>0.58660000000000001</v>
      </c>
      <c r="H313" s="209">
        <v>0.58660000000000001</v>
      </c>
      <c r="I313" s="209">
        <v>0.58660000000000001</v>
      </c>
      <c r="J313" s="209">
        <v>0.58660000000000001</v>
      </c>
      <c r="K313" s="209">
        <v>0.58660000000000001</v>
      </c>
      <c r="L313" s="209">
        <v>0.58660000000000001</v>
      </c>
      <c r="M313" s="209">
        <v>0.58660000000000001</v>
      </c>
      <c r="N313" s="209">
        <v>0.58660000000000001</v>
      </c>
      <c r="O313" s="209">
        <v>0.58660000000000001</v>
      </c>
      <c r="P313" s="209">
        <v>0.58660000000000001</v>
      </c>
      <c r="Q313" s="209">
        <v>0.58660000000000001</v>
      </c>
      <c r="R313" s="209">
        <v>0.58660000000000001</v>
      </c>
      <c r="S313" s="209">
        <v>0.58660000000000001</v>
      </c>
      <c r="T313" s="209">
        <v>0.58660000000000001</v>
      </c>
      <c r="U313" s="209">
        <v>0.58660000000000001</v>
      </c>
      <c r="V313" s="209">
        <v>0.58660000000000001</v>
      </c>
      <c r="W313" s="209">
        <v>0.58660000000000001</v>
      </c>
      <c r="X313" s="209">
        <v>0.58660000000000001</v>
      </c>
      <c r="Y313" s="209">
        <v>0.58660000000000001</v>
      </c>
      <c r="Z313" s="209">
        <v>0.58660000000000001</v>
      </c>
      <c r="AA313" s="209">
        <v>0.58660000000000001</v>
      </c>
      <c r="AB313" s="209">
        <v>0.58660000000000001</v>
      </c>
      <c r="AC313" s="209">
        <v>0.58660000000000001</v>
      </c>
      <c r="AD313" s="209">
        <v>0.58660000000000001</v>
      </c>
      <c r="AE313" s="209">
        <v>0.58660000000000001</v>
      </c>
      <c r="AF313" s="220">
        <v>0.58660000000000001</v>
      </c>
      <c r="AG313" s="436"/>
    </row>
    <row r="314" spans="1:33">
      <c r="A314" s="215" t="s">
        <v>943</v>
      </c>
      <c r="B314" s="232" t="s">
        <v>941</v>
      </c>
      <c r="C314" s="232">
        <v>2045</v>
      </c>
      <c r="D314" s="232" t="s">
        <v>680</v>
      </c>
      <c r="E314" s="209">
        <v>0.58660000000000001</v>
      </c>
      <c r="F314" s="209">
        <v>0.58660000000000001</v>
      </c>
      <c r="G314" s="209">
        <v>0.58660000000000001</v>
      </c>
      <c r="H314" s="209">
        <v>0.58660000000000001</v>
      </c>
      <c r="I314" s="209">
        <v>0.58660000000000001</v>
      </c>
      <c r="J314" s="209">
        <v>0.58660000000000001</v>
      </c>
      <c r="K314" s="209">
        <v>0.58660000000000001</v>
      </c>
      <c r="L314" s="209">
        <v>0.58660000000000001</v>
      </c>
      <c r="M314" s="209">
        <v>0.58660000000000001</v>
      </c>
      <c r="N314" s="209">
        <v>0.58660000000000001</v>
      </c>
      <c r="O314" s="209">
        <v>0.58660000000000001</v>
      </c>
      <c r="P314" s="209">
        <v>0.58660000000000001</v>
      </c>
      <c r="Q314" s="209">
        <v>0.58660000000000001</v>
      </c>
      <c r="R314" s="209">
        <v>0.58660000000000001</v>
      </c>
      <c r="S314" s="209">
        <v>0.58660000000000001</v>
      </c>
      <c r="T314" s="209">
        <v>0.58660000000000001</v>
      </c>
      <c r="U314" s="209">
        <v>0.58660000000000001</v>
      </c>
      <c r="V314" s="209">
        <v>0.58660000000000001</v>
      </c>
      <c r="W314" s="209">
        <v>0.58660000000000001</v>
      </c>
      <c r="X314" s="209">
        <v>0.58660000000000001</v>
      </c>
      <c r="Y314" s="209">
        <v>0.58660000000000001</v>
      </c>
      <c r="Z314" s="209">
        <v>0.58660000000000001</v>
      </c>
      <c r="AA314" s="209">
        <v>0.58660000000000001</v>
      </c>
      <c r="AB314" s="209">
        <v>0.58660000000000001</v>
      </c>
      <c r="AC314" s="209">
        <v>0.58660000000000001</v>
      </c>
      <c r="AD314" s="209">
        <v>0.58660000000000001</v>
      </c>
      <c r="AE314" s="209">
        <v>0.58660000000000001</v>
      </c>
      <c r="AF314" s="220">
        <v>0.58660000000000001</v>
      </c>
      <c r="AG314" s="436"/>
    </row>
    <row r="315" spans="1:33">
      <c r="A315" s="215" t="s">
        <v>943</v>
      </c>
      <c r="B315" s="232" t="s">
        <v>941</v>
      </c>
      <c r="C315" s="232">
        <v>2050</v>
      </c>
      <c r="D315" s="232" t="s">
        <v>680</v>
      </c>
      <c r="E315" s="209">
        <v>0.58660000000000001</v>
      </c>
      <c r="F315" s="209">
        <v>0.58660000000000001</v>
      </c>
      <c r="G315" s="209">
        <v>0.58660000000000001</v>
      </c>
      <c r="H315" s="209">
        <v>0.58660000000000001</v>
      </c>
      <c r="I315" s="209">
        <v>0.58660000000000001</v>
      </c>
      <c r="J315" s="209">
        <v>0.58660000000000001</v>
      </c>
      <c r="K315" s="209">
        <v>0.58660000000000001</v>
      </c>
      <c r="L315" s="209">
        <v>0.58660000000000001</v>
      </c>
      <c r="M315" s="209">
        <v>0.58660000000000001</v>
      </c>
      <c r="N315" s="209">
        <v>0.58660000000000001</v>
      </c>
      <c r="O315" s="209">
        <v>0.58660000000000001</v>
      </c>
      <c r="P315" s="209">
        <v>0.58660000000000001</v>
      </c>
      <c r="Q315" s="209">
        <v>0.58660000000000001</v>
      </c>
      <c r="R315" s="209">
        <v>0.58660000000000001</v>
      </c>
      <c r="S315" s="209">
        <v>0.58660000000000001</v>
      </c>
      <c r="T315" s="209">
        <v>0.58660000000000001</v>
      </c>
      <c r="U315" s="209">
        <v>0.58660000000000001</v>
      </c>
      <c r="V315" s="209">
        <v>0.58660000000000001</v>
      </c>
      <c r="W315" s="209">
        <v>0.58660000000000001</v>
      </c>
      <c r="X315" s="209">
        <v>0.58660000000000001</v>
      </c>
      <c r="Y315" s="209">
        <v>0.58660000000000001</v>
      </c>
      <c r="Z315" s="209">
        <v>0.58660000000000001</v>
      </c>
      <c r="AA315" s="209">
        <v>0.58660000000000001</v>
      </c>
      <c r="AB315" s="209">
        <v>0.58660000000000001</v>
      </c>
      <c r="AC315" s="209">
        <v>0.58660000000000001</v>
      </c>
      <c r="AD315" s="209">
        <v>0.58660000000000001</v>
      </c>
      <c r="AE315" s="209">
        <v>0.58660000000000001</v>
      </c>
      <c r="AF315" s="220">
        <v>0.58660000000000001</v>
      </c>
      <c r="AG315" s="436"/>
    </row>
    <row r="316" spans="1:33">
      <c r="A316" s="215" t="s">
        <v>943</v>
      </c>
      <c r="B316" s="232" t="s">
        <v>941</v>
      </c>
      <c r="C316" s="232">
        <v>2060</v>
      </c>
      <c r="D316" s="232" t="s">
        <v>680</v>
      </c>
      <c r="E316" s="209">
        <v>0.58660000000000001</v>
      </c>
      <c r="F316" s="209">
        <v>0.58660000000000001</v>
      </c>
      <c r="G316" s="209">
        <v>0.58660000000000001</v>
      </c>
      <c r="H316" s="209">
        <v>0.58660000000000001</v>
      </c>
      <c r="I316" s="209">
        <v>0.58660000000000001</v>
      </c>
      <c r="J316" s="209">
        <v>0.58660000000000001</v>
      </c>
      <c r="K316" s="209">
        <v>0.58660000000000001</v>
      </c>
      <c r="L316" s="209">
        <v>0.58660000000000001</v>
      </c>
      <c r="M316" s="209">
        <v>0.58660000000000001</v>
      </c>
      <c r="N316" s="209">
        <v>0.58660000000000001</v>
      </c>
      <c r="O316" s="209">
        <v>0.58660000000000001</v>
      </c>
      <c r="P316" s="209">
        <v>0.58660000000000001</v>
      </c>
      <c r="Q316" s="209">
        <v>0.58660000000000001</v>
      </c>
      <c r="R316" s="209">
        <v>0.58660000000000001</v>
      </c>
      <c r="S316" s="209">
        <v>0.58660000000000001</v>
      </c>
      <c r="T316" s="209">
        <v>0.58660000000000001</v>
      </c>
      <c r="U316" s="209">
        <v>0.58660000000000001</v>
      </c>
      <c r="V316" s="209">
        <v>0.58660000000000001</v>
      </c>
      <c r="W316" s="209">
        <v>0.58660000000000001</v>
      </c>
      <c r="X316" s="209">
        <v>0.58660000000000001</v>
      </c>
      <c r="Y316" s="209">
        <v>0.58660000000000001</v>
      </c>
      <c r="Z316" s="209">
        <v>0.58660000000000001</v>
      </c>
      <c r="AA316" s="209">
        <v>0.58660000000000001</v>
      </c>
      <c r="AB316" s="209">
        <v>0.58660000000000001</v>
      </c>
      <c r="AC316" s="209">
        <v>0.58660000000000001</v>
      </c>
      <c r="AD316" s="209">
        <v>0.58660000000000001</v>
      </c>
      <c r="AE316" s="209">
        <v>0.58660000000000001</v>
      </c>
      <c r="AF316" s="220">
        <v>0.58660000000000001</v>
      </c>
      <c r="AG316" s="436"/>
    </row>
    <row r="317" spans="1:33">
      <c r="A317" s="215" t="s">
        <v>943</v>
      </c>
      <c r="B317" s="232" t="s">
        <v>941</v>
      </c>
      <c r="C317" s="232">
        <v>2070</v>
      </c>
      <c r="D317" s="232" t="s">
        <v>680</v>
      </c>
      <c r="E317" s="209">
        <v>0.58660000000000001</v>
      </c>
      <c r="F317" s="209">
        <v>0.58660000000000001</v>
      </c>
      <c r="G317" s="209">
        <v>0.58660000000000001</v>
      </c>
      <c r="H317" s="209">
        <v>0.58660000000000001</v>
      </c>
      <c r="I317" s="209">
        <v>0.58660000000000001</v>
      </c>
      <c r="J317" s="209">
        <v>0.58660000000000001</v>
      </c>
      <c r="K317" s="209">
        <v>0.58660000000000001</v>
      </c>
      <c r="L317" s="209">
        <v>0.58660000000000001</v>
      </c>
      <c r="M317" s="209">
        <v>0.58660000000000001</v>
      </c>
      <c r="N317" s="209">
        <v>0.58660000000000001</v>
      </c>
      <c r="O317" s="209">
        <v>0.58660000000000001</v>
      </c>
      <c r="P317" s="209">
        <v>0.58660000000000001</v>
      </c>
      <c r="Q317" s="209">
        <v>0.58660000000000001</v>
      </c>
      <c r="R317" s="209">
        <v>0.58660000000000001</v>
      </c>
      <c r="S317" s="209">
        <v>0.58660000000000001</v>
      </c>
      <c r="T317" s="209">
        <v>0.58660000000000001</v>
      </c>
      <c r="U317" s="209">
        <v>0.58660000000000001</v>
      </c>
      <c r="V317" s="209">
        <v>0.58660000000000001</v>
      </c>
      <c r="W317" s="209">
        <v>0.58660000000000001</v>
      </c>
      <c r="X317" s="209">
        <v>0.58660000000000001</v>
      </c>
      <c r="Y317" s="209">
        <v>0.58660000000000001</v>
      </c>
      <c r="Z317" s="209">
        <v>0.58660000000000001</v>
      </c>
      <c r="AA317" s="209">
        <v>0.58660000000000001</v>
      </c>
      <c r="AB317" s="209">
        <v>0.58660000000000001</v>
      </c>
      <c r="AC317" s="209">
        <v>0.58660000000000001</v>
      </c>
      <c r="AD317" s="209">
        <v>0.58660000000000001</v>
      </c>
      <c r="AE317" s="209">
        <v>0.58660000000000001</v>
      </c>
      <c r="AF317" s="220">
        <v>0.58660000000000001</v>
      </c>
      <c r="AG317" s="436"/>
    </row>
    <row r="318" spans="1:33">
      <c r="A318" s="215" t="s">
        <v>943</v>
      </c>
      <c r="B318" s="232" t="s">
        <v>941</v>
      </c>
      <c r="C318" s="232">
        <v>2080</v>
      </c>
      <c r="D318" s="232" t="s">
        <v>680</v>
      </c>
      <c r="E318" s="209">
        <v>0.58660000000000001</v>
      </c>
      <c r="F318" s="209">
        <v>0.58660000000000001</v>
      </c>
      <c r="G318" s="209">
        <v>0.58660000000000001</v>
      </c>
      <c r="H318" s="209">
        <v>0.58660000000000001</v>
      </c>
      <c r="I318" s="209">
        <v>0.58660000000000001</v>
      </c>
      <c r="J318" s="209">
        <v>0.58660000000000001</v>
      </c>
      <c r="K318" s="209">
        <v>0.58660000000000001</v>
      </c>
      <c r="L318" s="209">
        <v>0.58660000000000001</v>
      </c>
      <c r="M318" s="209">
        <v>0.58660000000000001</v>
      </c>
      <c r="N318" s="209">
        <v>0.58660000000000001</v>
      </c>
      <c r="O318" s="209">
        <v>0.58660000000000001</v>
      </c>
      <c r="P318" s="209">
        <v>0.58660000000000001</v>
      </c>
      <c r="Q318" s="209">
        <v>0.58660000000000001</v>
      </c>
      <c r="R318" s="209">
        <v>0.58660000000000001</v>
      </c>
      <c r="S318" s="209">
        <v>0.58660000000000001</v>
      </c>
      <c r="T318" s="209">
        <v>0.58660000000000001</v>
      </c>
      <c r="U318" s="209">
        <v>0.58660000000000001</v>
      </c>
      <c r="V318" s="209">
        <v>0.58660000000000001</v>
      </c>
      <c r="W318" s="209">
        <v>0.58660000000000001</v>
      </c>
      <c r="X318" s="209">
        <v>0.58660000000000001</v>
      </c>
      <c r="Y318" s="209">
        <v>0.58660000000000001</v>
      </c>
      <c r="Z318" s="209">
        <v>0.58660000000000001</v>
      </c>
      <c r="AA318" s="209">
        <v>0.58660000000000001</v>
      </c>
      <c r="AB318" s="209">
        <v>0.58660000000000001</v>
      </c>
      <c r="AC318" s="209">
        <v>0.58660000000000001</v>
      </c>
      <c r="AD318" s="209">
        <v>0.58660000000000001</v>
      </c>
      <c r="AE318" s="209">
        <v>0.58660000000000001</v>
      </c>
      <c r="AF318" s="220">
        <v>0.58660000000000001</v>
      </c>
      <c r="AG318" s="436"/>
    </row>
    <row r="319" spans="1:33">
      <c r="A319" s="215" t="s">
        <v>943</v>
      </c>
      <c r="B319" s="232" t="s">
        <v>941</v>
      </c>
      <c r="C319" s="232">
        <v>2090</v>
      </c>
      <c r="D319" s="232" t="s">
        <v>680</v>
      </c>
      <c r="E319" s="209">
        <v>0.58660000000000001</v>
      </c>
      <c r="F319" s="209">
        <v>0.58660000000000001</v>
      </c>
      <c r="G319" s="209">
        <v>0.58660000000000001</v>
      </c>
      <c r="H319" s="209">
        <v>0.58660000000000001</v>
      </c>
      <c r="I319" s="209">
        <v>0.58660000000000001</v>
      </c>
      <c r="J319" s="209">
        <v>0.58660000000000001</v>
      </c>
      <c r="K319" s="209">
        <v>0.58660000000000001</v>
      </c>
      <c r="L319" s="209">
        <v>0.58660000000000001</v>
      </c>
      <c r="M319" s="209">
        <v>0.58660000000000001</v>
      </c>
      <c r="N319" s="209">
        <v>0.58660000000000001</v>
      </c>
      <c r="O319" s="209">
        <v>0.58660000000000001</v>
      </c>
      <c r="P319" s="209">
        <v>0.58660000000000001</v>
      </c>
      <c r="Q319" s="209">
        <v>0.58660000000000001</v>
      </c>
      <c r="R319" s="209">
        <v>0.58660000000000001</v>
      </c>
      <c r="S319" s="209">
        <v>0.58660000000000001</v>
      </c>
      <c r="T319" s="209">
        <v>0.58660000000000001</v>
      </c>
      <c r="U319" s="209">
        <v>0.58660000000000001</v>
      </c>
      <c r="V319" s="209">
        <v>0.58660000000000001</v>
      </c>
      <c r="W319" s="209">
        <v>0.58660000000000001</v>
      </c>
      <c r="X319" s="209">
        <v>0.58660000000000001</v>
      </c>
      <c r="Y319" s="209">
        <v>0.58660000000000001</v>
      </c>
      <c r="Z319" s="209">
        <v>0.58660000000000001</v>
      </c>
      <c r="AA319" s="209">
        <v>0.58660000000000001</v>
      </c>
      <c r="AB319" s="209">
        <v>0.58660000000000001</v>
      </c>
      <c r="AC319" s="209">
        <v>0.58660000000000001</v>
      </c>
      <c r="AD319" s="209">
        <v>0.58660000000000001</v>
      </c>
      <c r="AE319" s="209">
        <v>0.58660000000000001</v>
      </c>
      <c r="AF319" s="220">
        <v>0.58660000000000001</v>
      </c>
      <c r="AG319" s="436"/>
    </row>
    <row r="320" spans="1:33" ht="16.2" thickBot="1">
      <c r="A320" s="449" t="s">
        <v>943</v>
      </c>
      <c r="B320" s="450" t="s">
        <v>941</v>
      </c>
      <c r="C320" s="450">
        <v>2100</v>
      </c>
      <c r="D320" s="450" t="s">
        <v>680</v>
      </c>
      <c r="E320" s="212">
        <v>0.58660000000000001</v>
      </c>
      <c r="F320" s="212">
        <v>0.58660000000000001</v>
      </c>
      <c r="G320" s="212">
        <v>0.58660000000000001</v>
      </c>
      <c r="H320" s="212">
        <v>0.58660000000000001</v>
      </c>
      <c r="I320" s="212">
        <v>0.58660000000000001</v>
      </c>
      <c r="J320" s="212">
        <v>0.58660000000000001</v>
      </c>
      <c r="K320" s="212">
        <v>0.58660000000000001</v>
      </c>
      <c r="L320" s="212">
        <v>0.58660000000000001</v>
      </c>
      <c r="M320" s="212">
        <v>0.58660000000000001</v>
      </c>
      <c r="N320" s="212">
        <v>0.58660000000000001</v>
      </c>
      <c r="O320" s="212">
        <v>0.58660000000000001</v>
      </c>
      <c r="P320" s="212">
        <v>0.58660000000000001</v>
      </c>
      <c r="Q320" s="212">
        <v>0.58660000000000001</v>
      </c>
      <c r="R320" s="212">
        <v>0.58660000000000001</v>
      </c>
      <c r="S320" s="212">
        <v>0.58660000000000001</v>
      </c>
      <c r="T320" s="212">
        <v>0.58660000000000001</v>
      </c>
      <c r="U320" s="212">
        <v>0.58660000000000001</v>
      </c>
      <c r="V320" s="212">
        <v>0.58660000000000001</v>
      </c>
      <c r="W320" s="212">
        <v>0.58660000000000001</v>
      </c>
      <c r="X320" s="212">
        <v>0.58660000000000001</v>
      </c>
      <c r="Y320" s="212">
        <v>0.58660000000000001</v>
      </c>
      <c r="Z320" s="212">
        <v>0.58660000000000001</v>
      </c>
      <c r="AA320" s="212">
        <v>0.58660000000000001</v>
      </c>
      <c r="AB320" s="212">
        <v>0.58660000000000001</v>
      </c>
      <c r="AC320" s="212">
        <v>0.58660000000000001</v>
      </c>
      <c r="AD320" s="212">
        <v>0.58660000000000001</v>
      </c>
      <c r="AE320" s="212">
        <v>0.58660000000000001</v>
      </c>
      <c r="AF320" s="451">
        <v>0.58660000000000001</v>
      </c>
      <c r="AG320" s="452"/>
    </row>
    <row r="321" spans="1:33">
      <c r="A321" s="215" t="s">
        <v>944</v>
      </c>
      <c r="B321" s="232" t="s">
        <v>938</v>
      </c>
      <c r="C321" s="232">
        <v>2019</v>
      </c>
      <c r="D321" s="232" t="s">
        <v>674</v>
      </c>
      <c r="E321" s="209">
        <v>1.105628E-2</v>
      </c>
      <c r="F321" s="209">
        <v>1.105628E-2</v>
      </c>
      <c r="G321" s="209">
        <v>1.105628E-2</v>
      </c>
      <c r="H321" s="209">
        <v>1.105628E-2</v>
      </c>
      <c r="I321" s="209">
        <v>1.105628E-2</v>
      </c>
      <c r="J321" s="209">
        <v>1.105628E-2</v>
      </c>
      <c r="K321" s="209">
        <v>1.105628E-2</v>
      </c>
      <c r="L321" s="209">
        <v>1.105628E-2</v>
      </c>
      <c r="M321" s="209">
        <v>1.105628E-2</v>
      </c>
      <c r="N321" s="209">
        <v>1.105628E-2</v>
      </c>
      <c r="O321" s="209">
        <v>1.105628E-2</v>
      </c>
      <c r="P321" s="209">
        <v>1.105628E-2</v>
      </c>
      <c r="Q321" s="209">
        <v>1.105628E-2</v>
      </c>
      <c r="R321" s="209">
        <v>1.105628E-2</v>
      </c>
      <c r="S321" s="209">
        <v>1.105628E-2</v>
      </c>
      <c r="T321" s="209">
        <v>1.105628E-2</v>
      </c>
      <c r="U321" s="209">
        <v>1.105628E-2</v>
      </c>
      <c r="V321" s="209">
        <v>1.105628E-2</v>
      </c>
      <c r="W321" s="209">
        <v>1.105628E-2</v>
      </c>
      <c r="X321" s="209">
        <v>1.105628E-2</v>
      </c>
      <c r="Y321" s="209">
        <v>1.105628E-2</v>
      </c>
      <c r="Z321" s="209">
        <v>1.105628E-2</v>
      </c>
      <c r="AA321" s="209">
        <v>1.105628E-2</v>
      </c>
      <c r="AB321" s="209">
        <v>1.105628E-2</v>
      </c>
      <c r="AC321" s="209">
        <v>1.105628E-2</v>
      </c>
      <c r="AD321" s="209">
        <v>1.105628E-2</v>
      </c>
      <c r="AE321" s="209">
        <v>1.105628E-2</v>
      </c>
      <c r="AF321" s="220">
        <v>1.105628E-2</v>
      </c>
      <c r="AG321" s="436"/>
    </row>
    <row r="322" spans="1:33">
      <c r="A322" s="215" t="s">
        <v>944</v>
      </c>
      <c r="B322" s="232" t="s">
        <v>938</v>
      </c>
      <c r="C322">
        <v>2020</v>
      </c>
      <c r="D322" s="232" t="s">
        <v>674</v>
      </c>
      <c r="E322" s="209">
        <v>1.105628E-2</v>
      </c>
      <c r="F322" s="209">
        <v>1.105628E-2</v>
      </c>
      <c r="G322" s="209">
        <v>1.105628E-2</v>
      </c>
      <c r="H322" s="209">
        <v>1.105628E-2</v>
      </c>
      <c r="I322" s="209">
        <v>1.105628E-2</v>
      </c>
      <c r="J322" s="209">
        <v>1.105628E-2</v>
      </c>
      <c r="K322" s="209">
        <v>1.105628E-2</v>
      </c>
      <c r="L322" s="209">
        <v>1.105628E-2</v>
      </c>
      <c r="M322" s="209">
        <v>1.105628E-2</v>
      </c>
      <c r="N322" s="209">
        <v>1.105628E-2</v>
      </c>
      <c r="O322" s="209">
        <v>1.105628E-2</v>
      </c>
      <c r="P322" s="209">
        <v>1.105628E-2</v>
      </c>
      <c r="Q322" s="209">
        <v>1.105628E-2</v>
      </c>
      <c r="R322" s="209">
        <v>1.105628E-2</v>
      </c>
      <c r="S322" s="209">
        <v>1.105628E-2</v>
      </c>
      <c r="T322" s="209">
        <v>1.105628E-2</v>
      </c>
      <c r="U322" s="209">
        <v>1.105628E-2</v>
      </c>
      <c r="V322" s="209">
        <v>1.105628E-2</v>
      </c>
      <c r="W322" s="209">
        <v>1.105628E-2</v>
      </c>
      <c r="X322" s="209">
        <v>1.105628E-2</v>
      </c>
      <c r="Y322" s="209">
        <v>1.105628E-2</v>
      </c>
      <c r="Z322" s="209">
        <v>1.105628E-2</v>
      </c>
      <c r="AA322" s="209">
        <v>1.105628E-2</v>
      </c>
      <c r="AB322" s="209">
        <v>1.105628E-2</v>
      </c>
      <c r="AC322" s="209">
        <v>1.105628E-2</v>
      </c>
      <c r="AD322" s="209">
        <v>1.105628E-2</v>
      </c>
      <c r="AE322" s="209">
        <v>1.105628E-2</v>
      </c>
      <c r="AF322" s="220">
        <v>1.105628E-2</v>
      </c>
      <c r="AG322" s="436"/>
    </row>
    <row r="323" spans="1:33">
      <c r="A323" s="215" t="s">
        <v>944</v>
      </c>
      <c r="B323" s="232" t="s">
        <v>938</v>
      </c>
      <c r="C323" s="232">
        <v>2025</v>
      </c>
      <c r="D323" s="232" t="s">
        <v>674</v>
      </c>
      <c r="E323" s="209">
        <v>1.105628E-2</v>
      </c>
      <c r="F323" s="209">
        <v>1.105628E-2</v>
      </c>
      <c r="G323" s="209">
        <v>1.105628E-2</v>
      </c>
      <c r="H323" s="209">
        <v>1.105628E-2</v>
      </c>
      <c r="I323" s="209">
        <v>1.105628E-2</v>
      </c>
      <c r="J323" s="209">
        <v>1.105628E-2</v>
      </c>
      <c r="K323" s="209">
        <v>1.105628E-2</v>
      </c>
      <c r="L323" s="209">
        <v>1.105628E-2</v>
      </c>
      <c r="M323" s="209">
        <v>1.105628E-2</v>
      </c>
      <c r="N323" s="209">
        <v>1.105628E-2</v>
      </c>
      <c r="O323" s="209">
        <v>1.105628E-2</v>
      </c>
      <c r="P323" s="209">
        <v>1.105628E-2</v>
      </c>
      <c r="Q323" s="209">
        <v>1.105628E-2</v>
      </c>
      <c r="R323" s="209">
        <v>1.105628E-2</v>
      </c>
      <c r="S323" s="209">
        <v>1.105628E-2</v>
      </c>
      <c r="T323" s="209">
        <v>1.105628E-2</v>
      </c>
      <c r="U323" s="209">
        <v>1.105628E-2</v>
      </c>
      <c r="V323" s="209">
        <v>1.105628E-2</v>
      </c>
      <c r="W323" s="209">
        <v>1.105628E-2</v>
      </c>
      <c r="X323" s="209">
        <v>1.105628E-2</v>
      </c>
      <c r="Y323" s="209">
        <v>1.105628E-2</v>
      </c>
      <c r="Z323" s="209">
        <v>1.105628E-2</v>
      </c>
      <c r="AA323" s="209">
        <v>1.105628E-2</v>
      </c>
      <c r="AB323" s="209">
        <v>1.105628E-2</v>
      </c>
      <c r="AC323" s="209">
        <v>1.105628E-2</v>
      </c>
      <c r="AD323" s="209">
        <v>1.105628E-2</v>
      </c>
      <c r="AE323" s="209">
        <v>1.105628E-2</v>
      </c>
      <c r="AF323" s="220">
        <v>1.105628E-2</v>
      </c>
      <c r="AG323" s="436"/>
    </row>
    <row r="324" spans="1:33">
      <c r="A324" s="215" t="s">
        <v>944</v>
      </c>
      <c r="B324" s="232" t="s">
        <v>938</v>
      </c>
      <c r="C324" s="232">
        <v>2030</v>
      </c>
      <c r="D324" s="232" t="s">
        <v>674</v>
      </c>
      <c r="E324" s="209">
        <v>1.105628E-2</v>
      </c>
      <c r="F324" s="209">
        <v>1.105628E-2</v>
      </c>
      <c r="G324" s="209">
        <v>1.105628E-2</v>
      </c>
      <c r="H324" s="209">
        <v>1.105628E-2</v>
      </c>
      <c r="I324" s="209">
        <v>1.105628E-2</v>
      </c>
      <c r="J324" s="209">
        <v>1.105628E-2</v>
      </c>
      <c r="K324" s="209">
        <v>1.105628E-2</v>
      </c>
      <c r="L324" s="209">
        <v>1.105628E-2</v>
      </c>
      <c r="M324" s="209">
        <v>1.105628E-2</v>
      </c>
      <c r="N324" s="209">
        <v>1.105628E-2</v>
      </c>
      <c r="O324" s="209">
        <v>1.105628E-2</v>
      </c>
      <c r="P324" s="209">
        <v>1.105628E-2</v>
      </c>
      <c r="Q324" s="209">
        <v>1.105628E-2</v>
      </c>
      <c r="R324" s="209">
        <v>1.105628E-2</v>
      </c>
      <c r="S324" s="209">
        <v>1.105628E-2</v>
      </c>
      <c r="T324" s="209">
        <v>1.105628E-2</v>
      </c>
      <c r="U324" s="209">
        <v>1.105628E-2</v>
      </c>
      <c r="V324" s="209">
        <v>1.105628E-2</v>
      </c>
      <c r="W324" s="209">
        <v>1.105628E-2</v>
      </c>
      <c r="X324" s="209">
        <v>1.105628E-2</v>
      </c>
      <c r="Y324" s="209">
        <v>1.105628E-2</v>
      </c>
      <c r="Z324" s="209">
        <v>1.105628E-2</v>
      </c>
      <c r="AA324" s="209">
        <v>1.105628E-2</v>
      </c>
      <c r="AB324" s="209">
        <v>1.105628E-2</v>
      </c>
      <c r="AC324" s="209">
        <v>1.105628E-2</v>
      </c>
      <c r="AD324" s="209">
        <v>1.105628E-2</v>
      </c>
      <c r="AE324" s="209">
        <v>1.105628E-2</v>
      </c>
      <c r="AF324" s="220">
        <v>1.105628E-2</v>
      </c>
      <c r="AG324" s="436"/>
    </row>
    <row r="325" spans="1:33">
      <c r="A325" s="215" t="s">
        <v>944</v>
      </c>
      <c r="B325" s="232" t="s">
        <v>938</v>
      </c>
      <c r="C325" s="232">
        <v>2035</v>
      </c>
      <c r="D325" s="232" t="s">
        <v>674</v>
      </c>
      <c r="E325" s="209">
        <v>1.105628E-2</v>
      </c>
      <c r="F325" s="209">
        <v>1.105628E-2</v>
      </c>
      <c r="G325" s="209">
        <v>1.105628E-2</v>
      </c>
      <c r="H325" s="209">
        <v>1.105628E-2</v>
      </c>
      <c r="I325" s="209">
        <v>1.105628E-2</v>
      </c>
      <c r="J325" s="209">
        <v>1.105628E-2</v>
      </c>
      <c r="K325" s="209">
        <v>1.105628E-2</v>
      </c>
      <c r="L325" s="209">
        <v>1.105628E-2</v>
      </c>
      <c r="M325" s="209">
        <v>1.105628E-2</v>
      </c>
      <c r="N325" s="209">
        <v>1.105628E-2</v>
      </c>
      <c r="O325" s="209">
        <v>1.105628E-2</v>
      </c>
      <c r="P325" s="209">
        <v>1.105628E-2</v>
      </c>
      <c r="Q325" s="209">
        <v>1.105628E-2</v>
      </c>
      <c r="R325" s="209">
        <v>1.105628E-2</v>
      </c>
      <c r="S325" s="209">
        <v>1.105628E-2</v>
      </c>
      <c r="T325" s="209">
        <v>1.105628E-2</v>
      </c>
      <c r="U325" s="209">
        <v>1.105628E-2</v>
      </c>
      <c r="V325" s="209">
        <v>1.105628E-2</v>
      </c>
      <c r="W325" s="209">
        <v>1.105628E-2</v>
      </c>
      <c r="X325" s="209">
        <v>1.105628E-2</v>
      </c>
      <c r="Y325" s="209">
        <v>1.105628E-2</v>
      </c>
      <c r="Z325" s="209">
        <v>1.105628E-2</v>
      </c>
      <c r="AA325" s="209">
        <v>1.105628E-2</v>
      </c>
      <c r="AB325" s="209">
        <v>1.105628E-2</v>
      </c>
      <c r="AC325" s="209">
        <v>1.105628E-2</v>
      </c>
      <c r="AD325" s="209">
        <v>1.105628E-2</v>
      </c>
      <c r="AE325" s="209">
        <v>1.105628E-2</v>
      </c>
      <c r="AF325" s="220">
        <v>1.105628E-2</v>
      </c>
      <c r="AG325" s="436"/>
    </row>
    <row r="326" spans="1:33">
      <c r="A326" s="215" t="s">
        <v>944</v>
      </c>
      <c r="B326" s="232" t="s">
        <v>938</v>
      </c>
      <c r="C326" s="232">
        <v>2040</v>
      </c>
      <c r="D326" s="232" t="s">
        <v>674</v>
      </c>
      <c r="E326" s="209">
        <v>1.105628E-2</v>
      </c>
      <c r="F326" s="209">
        <v>1.105628E-2</v>
      </c>
      <c r="G326" s="209">
        <v>1.105628E-2</v>
      </c>
      <c r="H326" s="209">
        <v>1.105628E-2</v>
      </c>
      <c r="I326" s="209">
        <v>1.105628E-2</v>
      </c>
      <c r="J326" s="209">
        <v>1.105628E-2</v>
      </c>
      <c r="K326" s="209">
        <v>1.105628E-2</v>
      </c>
      <c r="L326" s="209">
        <v>1.105628E-2</v>
      </c>
      <c r="M326" s="209">
        <v>1.105628E-2</v>
      </c>
      <c r="N326" s="209">
        <v>1.105628E-2</v>
      </c>
      <c r="O326" s="209">
        <v>1.105628E-2</v>
      </c>
      <c r="P326" s="209">
        <v>1.105628E-2</v>
      </c>
      <c r="Q326" s="209">
        <v>1.105628E-2</v>
      </c>
      <c r="R326" s="209">
        <v>1.105628E-2</v>
      </c>
      <c r="S326" s="209">
        <v>1.105628E-2</v>
      </c>
      <c r="T326" s="209">
        <v>1.105628E-2</v>
      </c>
      <c r="U326" s="209">
        <v>1.105628E-2</v>
      </c>
      <c r="V326" s="209">
        <v>1.105628E-2</v>
      </c>
      <c r="W326" s="209">
        <v>1.105628E-2</v>
      </c>
      <c r="X326" s="209">
        <v>1.105628E-2</v>
      </c>
      <c r="Y326" s="209">
        <v>1.105628E-2</v>
      </c>
      <c r="Z326" s="209">
        <v>1.105628E-2</v>
      </c>
      <c r="AA326" s="209">
        <v>1.105628E-2</v>
      </c>
      <c r="AB326" s="209">
        <v>1.105628E-2</v>
      </c>
      <c r="AC326" s="209">
        <v>1.105628E-2</v>
      </c>
      <c r="AD326" s="209">
        <v>1.105628E-2</v>
      </c>
      <c r="AE326" s="209">
        <v>1.105628E-2</v>
      </c>
      <c r="AF326" s="220">
        <v>1.105628E-2</v>
      </c>
      <c r="AG326" s="436"/>
    </row>
    <row r="327" spans="1:33">
      <c r="A327" s="215" t="s">
        <v>944</v>
      </c>
      <c r="B327" s="232" t="s">
        <v>938</v>
      </c>
      <c r="C327" s="232">
        <v>2045</v>
      </c>
      <c r="D327" s="232" t="s">
        <v>674</v>
      </c>
      <c r="E327" s="209">
        <v>1.105628E-2</v>
      </c>
      <c r="F327" s="209">
        <v>1.105628E-2</v>
      </c>
      <c r="G327" s="209">
        <v>1.105628E-2</v>
      </c>
      <c r="H327" s="209">
        <v>1.105628E-2</v>
      </c>
      <c r="I327" s="209">
        <v>1.105628E-2</v>
      </c>
      <c r="J327" s="209">
        <v>1.105628E-2</v>
      </c>
      <c r="K327" s="209">
        <v>1.105628E-2</v>
      </c>
      <c r="L327" s="209">
        <v>1.105628E-2</v>
      </c>
      <c r="M327" s="209">
        <v>1.105628E-2</v>
      </c>
      <c r="N327" s="209">
        <v>1.105628E-2</v>
      </c>
      <c r="O327" s="209">
        <v>1.105628E-2</v>
      </c>
      <c r="P327" s="209">
        <v>1.105628E-2</v>
      </c>
      <c r="Q327" s="209">
        <v>1.105628E-2</v>
      </c>
      <c r="R327" s="209">
        <v>1.105628E-2</v>
      </c>
      <c r="S327" s="209">
        <v>1.105628E-2</v>
      </c>
      <c r="T327" s="209">
        <v>1.105628E-2</v>
      </c>
      <c r="U327" s="209">
        <v>1.105628E-2</v>
      </c>
      <c r="V327" s="209">
        <v>1.105628E-2</v>
      </c>
      <c r="W327" s="209">
        <v>1.105628E-2</v>
      </c>
      <c r="X327" s="209">
        <v>1.105628E-2</v>
      </c>
      <c r="Y327" s="209">
        <v>1.105628E-2</v>
      </c>
      <c r="Z327" s="209">
        <v>1.105628E-2</v>
      </c>
      <c r="AA327" s="209">
        <v>1.105628E-2</v>
      </c>
      <c r="AB327" s="209">
        <v>1.105628E-2</v>
      </c>
      <c r="AC327" s="209">
        <v>1.105628E-2</v>
      </c>
      <c r="AD327" s="209">
        <v>1.105628E-2</v>
      </c>
      <c r="AE327" s="209">
        <v>1.105628E-2</v>
      </c>
      <c r="AF327" s="220">
        <v>1.105628E-2</v>
      </c>
      <c r="AG327" s="436"/>
    </row>
    <row r="328" spans="1:33">
      <c r="A328" s="215" t="s">
        <v>944</v>
      </c>
      <c r="B328" s="232" t="s">
        <v>938</v>
      </c>
      <c r="C328" s="232">
        <v>2050</v>
      </c>
      <c r="D328" s="232" t="s">
        <v>674</v>
      </c>
      <c r="E328" s="209">
        <v>1.105628E-2</v>
      </c>
      <c r="F328" s="209">
        <v>1.105628E-2</v>
      </c>
      <c r="G328" s="209">
        <v>1.105628E-2</v>
      </c>
      <c r="H328" s="209">
        <v>1.105628E-2</v>
      </c>
      <c r="I328" s="209">
        <v>1.105628E-2</v>
      </c>
      <c r="J328" s="209">
        <v>1.105628E-2</v>
      </c>
      <c r="K328" s="209">
        <v>1.105628E-2</v>
      </c>
      <c r="L328" s="209">
        <v>1.105628E-2</v>
      </c>
      <c r="M328" s="209">
        <v>1.105628E-2</v>
      </c>
      <c r="N328" s="209">
        <v>1.105628E-2</v>
      </c>
      <c r="O328" s="209">
        <v>1.105628E-2</v>
      </c>
      <c r="P328" s="209">
        <v>1.105628E-2</v>
      </c>
      <c r="Q328" s="209">
        <v>1.105628E-2</v>
      </c>
      <c r="R328" s="209">
        <v>1.105628E-2</v>
      </c>
      <c r="S328" s="209">
        <v>1.105628E-2</v>
      </c>
      <c r="T328" s="209">
        <v>1.105628E-2</v>
      </c>
      <c r="U328" s="209">
        <v>1.105628E-2</v>
      </c>
      <c r="V328" s="209">
        <v>1.105628E-2</v>
      </c>
      <c r="W328" s="209">
        <v>1.105628E-2</v>
      </c>
      <c r="X328" s="209">
        <v>1.105628E-2</v>
      </c>
      <c r="Y328" s="209">
        <v>1.105628E-2</v>
      </c>
      <c r="Z328" s="209">
        <v>1.105628E-2</v>
      </c>
      <c r="AA328" s="209">
        <v>1.105628E-2</v>
      </c>
      <c r="AB328" s="209">
        <v>1.105628E-2</v>
      </c>
      <c r="AC328" s="209">
        <v>1.105628E-2</v>
      </c>
      <c r="AD328" s="209">
        <v>1.105628E-2</v>
      </c>
      <c r="AE328" s="209">
        <v>1.105628E-2</v>
      </c>
      <c r="AF328" s="220">
        <v>1.105628E-2</v>
      </c>
      <c r="AG328" s="436"/>
    </row>
    <row r="329" spans="1:33">
      <c r="A329" s="215" t="s">
        <v>944</v>
      </c>
      <c r="B329" s="232" t="s">
        <v>938</v>
      </c>
      <c r="C329" s="232">
        <v>2060</v>
      </c>
      <c r="D329" s="232" t="s">
        <v>674</v>
      </c>
      <c r="E329" s="209">
        <v>1.105628E-2</v>
      </c>
      <c r="F329" s="209">
        <v>1.105628E-2</v>
      </c>
      <c r="G329" s="209">
        <v>1.105628E-2</v>
      </c>
      <c r="H329" s="209">
        <v>1.105628E-2</v>
      </c>
      <c r="I329" s="209">
        <v>1.105628E-2</v>
      </c>
      <c r="J329" s="209">
        <v>1.105628E-2</v>
      </c>
      <c r="K329" s="209">
        <v>1.105628E-2</v>
      </c>
      <c r="L329" s="209">
        <v>1.105628E-2</v>
      </c>
      <c r="M329" s="209">
        <v>1.105628E-2</v>
      </c>
      <c r="N329" s="209">
        <v>1.105628E-2</v>
      </c>
      <c r="O329" s="209">
        <v>1.105628E-2</v>
      </c>
      <c r="P329" s="209">
        <v>1.105628E-2</v>
      </c>
      <c r="Q329" s="209">
        <v>1.105628E-2</v>
      </c>
      <c r="R329" s="209">
        <v>1.105628E-2</v>
      </c>
      <c r="S329" s="209">
        <v>1.105628E-2</v>
      </c>
      <c r="T329" s="209">
        <v>1.105628E-2</v>
      </c>
      <c r="U329" s="209">
        <v>1.105628E-2</v>
      </c>
      <c r="V329" s="209">
        <v>1.105628E-2</v>
      </c>
      <c r="W329" s="209">
        <v>1.105628E-2</v>
      </c>
      <c r="X329" s="209">
        <v>1.105628E-2</v>
      </c>
      <c r="Y329" s="209">
        <v>1.105628E-2</v>
      </c>
      <c r="Z329" s="209">
        <v>1.105628E-2</v>
      </c>
      <c r="AA329" s="209">
        <v>1.105628E-2</v>
      </c>
      <c r="AB329" s="209">
        <v>1.105628E-2</v>
      </c>
      <c r="AC329" s="209">
        <v>1.105628E-2</v>
      </c>
      <c r="AD329" s="209">
        <v>1.105628E-2</v>
      </c>
      <c r="AE329" s="209">
        <v>1.105628E-2</v>
      </c>
      <c r="AF329" s="220">
        <v>1.105628E-2</v>
      </c>
      <c r="AG329" s="436"/>
    </row>
    <row r="330" spans="1:33">
      <c r="A330" s="215" t="s">
        <v>944</v>
      </c>
      <c r="B330" s="232" t="s">
        <v>938</v>
      </c>
      <c r="C330" s="232">
        <v>2070</v>
      </c>
      <c r="D330" s="232" t="s">
        <v>674</v>
      </c>
      <c r="E330" s="209">
        <v>1.105628E-2</v>
      </c>
      <c r="F330" s="209">
        <v>1.105628E-2</v>
      </c>
      <c r="G330" s="209">
        <v>1.105628E-2</v>
      </c>
      <c r="H330" s="209">
        <v>1.105628E-2</v>
      </c>
      <c r="I330" s="209">
        <v>1.105628E-2</v>
      </c>
      <c r="J330" s="209">
        <v>1.105628E-2</v>
      </c>
      <c r="K330" s="209">
        <v>1.105628E-2</v>
      </c>
      <c r="L330" s="209">
        <v>1.105628E-2</v>
      </c>
      <c r="M330" s="209">
        <v>1.105628E-2</v>
      </c>
      <c r="N330" s="209">
        <v>1.105628E-2</v>
      </c>
      <c r="O330" s="209">
        <v>1.105628E-2</v>
      </c>
      <c r="P330" s="209">
        <v>1.105628E-2</v>
      </c>
      <c r="Q330" s="209">
        <v>1.105628E-2</v>
      </c>
      <c r="R330" s="209">
        <v>1.105628E-2</v>
      </c>
      <c r="S330" s="209">
        <v>1.105628E-2</v>
      </c>
      <c r="T330" s="209">
        <v>1.105628E-2</v>
      </c>
      <c r="U330" s="209">
        <v>1.105628E-2</v>
      </c>
      <c r="V330" s="209">
        <v>1.105628E-2</v>
      </c>
      <c r="W330" s="209">
        <v>1.105628E-2</v>
      </c>
      <c r="X330" s="209">
        <v>1.105628E-2</v>
      </c>
      <c r="Y330" s="209">
        <v>1.105628E-2</v>
      </c>
      <c r="Z330" s="209">
        <v>1.105628E-2</v>
      </c>
      <c r="AA330" s="209">
        <v>1.105628E-2</v>
      </c>
      <c r="AB330" s="209">
        <v>1.105628E-2</v>
      </c>
      <c r="AC330" s="209">
        <v>1.105628E-2</v>
      </c>
      <c r="AD330" s="209">
        <v>1.105628E-2</v>
      </c>
      <c r="AE330" s="209">
        <v>1.105628E-2</v>
      </c>
      <c r="AF330" s="220">
        <v>1.105628E-2</v>
      </c>
      <c r="AG330" s="436"/>
    </row>
    <row r="331" spans="1:33">
      <c r="A331" s="215" t="s">
        <v>944</v>
      </c>
      <c r="B331" s="232" t="s">
        <v>938</v>
      </c>
      <c r="C331" s="232">
        <v>2080</v>
      </c>
      <c r="D331" s="232" t="s">
        <v>674</v>
      </c>
      <c r="E331" s="209">
        <v>1.105628E-2</v>
      </c>
      <c r="F331" s="209">
        <v>1.105628E-2</v>
      </c>
      <c r="G331" s="209">
        <v>1.105628E-2</v>
      </c>
      <c r="H331" s="209">
        <v>1.105628E-2</v>
      </c>
      <c r="I331" s="209">
        <v>1.105628E-2</v>
      </c>
      <c r="J331" s="209">
        <v>1.105628E-2</v>
      </c>
      <c r="K331" s="209">
        <v>1.105628E-2</v>
      </c>
      <c r="L331" s="209">
        <v>1.105628E-2</v>
      </c>
      <c r="M331" s="209">
        <v>1.105628E-2</v>
      </c>
      <c r="N331" s="209">
        <v>1.105628E-2</v>
      </c>
      <c r="O331" s="209">
        <v>1.105628E-2</v>
      </c>
      <c r="P331" s="209">
        <v>1.105628E-2</v>
      </c>
      <c r="Q331" s="209">
        <v>1.105628E-2</v>
      </c>
      <c r="R331" s="209">
        <v>1.105628E-2</v>
      </c>
      <c r="S331" s="209">
        <v>1.105628E-2</v>
      </c>
      <c r="T331" s="209">
        <v>1.105628E-2</v>
      </c>
      <c r="U331" s="209">
        <v>1.105628E-2</v>
      </c>
      <c r="V331" s="209">
        <v>1.105628E-2</v>
      </c>
      <c r="W331" s="209">
        <v>1.105628E-2</v>
      </c>
      <c r="X331" s="209">
        <v>1.105628E-2</v>
      </c>
      <c r="Y331" s="209">
        <v>1.105628E-2</v>
      </c>
      <c r="Z331" s="209">
        <v>1.105628E-2</v>
      </c>
      <c r="AA331" s="209">
        <v>1.105628E-2</v>
      </c>
      <c r="AB331" s="209">
        <v>1.105628E-2</v>
      </c>
      <c r="AC331" s="209">
        <v>1.105628E-2</v>
      </c>
      <c r="AD331" s="209">
        <v>1.105628E-2</v>
      </c>
      <c r="AE331" s="209">
        <v>1.105628E-2</v>
      </c>
      <c r="AF331" s="220">
        <v>1.105628E-2</v>
      </c>
      <c r="AG331" s="436"/>
    </row>
    <row r="332" spans="1:33">
      <c r="A332" s="215" t="s">
        <v>944</v>
      </c>
      <c r="B332" s="232" t="s">
        <v>938</v>
      </c>
      <c r="C332" s="232">
        <v>2090</v>
      </c>
      <c r="D332" s="232" t="s">
        <v>674</v>
      </c>
      <c r="E332" s="209">
        <v>1.105628E-2</v>
      </c>
      <c r="F332" s="209">
        <v>1.105628E-2</v>
      </c>
      <c r="G332" s="209">
        <v>1.105628E-2</v>
      </c>
      <c r="H332" s="209">
        <v>1.105628E-2</v>
      </c>
      <c r="I332" s="209">
        <v>1.105628E-2</v>
      </c>
      <c r="J332" s="209">
        <v>1.105628E-2</v>
      </c>
      <c r="K332" s="209">
        <v>1.105628E-2</v>
      </c>
      <c r="L332" s="209">
        <v>1.105628E-2</v>
      </c>
      <c r="M332" s="209">
        <v>1.105628E-2</v>
      </c>
      <c r="N332" s="209">
        <v>1.105628E-2</v>
      </c>
      <c r="O332" s="209">
        <v>1.105628E-2</v>
      </c>
      <c r="P332" s="209">
        <v>1.105628E-2</v>
      </c>
      <c r="Q332" s="209">
        <v>1.105628E-2</v>
      </c>
      <c r="R332" s="209">
        <v>1.105628E-2</v>
      </c>
      <c r="S332" s="209">
        <v>1.105628E-2</v>
      </c>
      <c r="T332" s="209">
        <v>1.105628E-2</v>
      </c>
      <c r="U332" s="209">
        <v>1.105628E-2</v>
      </c>
      <c r="V332" s="209">
        <v>1.105628E-2</v>
      </c>
      <c r="W332" s="209">
        <v>1.105628E-2</v>
      </c>
      <c r="X332" s="209">
        <v>1.105628E-2</v>
      </c>
      <c r="Y332" s="209">
        <v>1.105628E-2</v>
      </c>
      <c r="Z332" s="209">
        <v>1.105628E-2</v>
      </c>
      <c r="AA332" s="209">
        <v>1.105628E-2</v>
      </c>
      <c r="AB332" s="209">
        <v>1.105628E-2</v>
      </c>
      <c r="AC332" s="209">
        <v>1.105628E-2</v>
      </c>
      <c r="AD332" s="209">
        <v>1.105628E-2</v>
      </c>
      <c r="AE332" s="209">
        <v>1.105628E-2</v>
      </c>
      <c r="AF332" s="220">
        <v>1.105628E-2</v>
      </c>
      <c r="AG332" s="436"/>
    </row>
    <row r="333" spans="1:33">
      <c r="A333" s="229" t="s">
        <v>944</v>
      </c>
      <c r="B333" s="235" t="s">
        <v>938</v>
      </c>
      <c r="C333" s="235">
        <v>2100</v>
      </c>
      <c r="D333" s="235" t="s">
        <v>674</v>
      </c>
      <c r="E333" s="226">
        <v>1.105628E-2</v>
      </c>
      <c r="F333" s="226">
        <v>1.105628E-2</v>
      </c>
      <c r="G333" s="226">
        <v>1.105628E-2</v>
      </c>
      <c r="H333" s="226">
        <v>1.105628E-2</v>
      </c>
      <c r="I333" s="226">
        <v>1.105628E-2</v>
      </c>
      <c r="J333" s="226">
        <v>1.105628E-2</v>
      </c>
      <c r="K333" s="226">
        <v>1.105628E-2</v>
      </c>
      <c r="L333" s="226">
        <v>1.105628E-2</v>
      </c>
      <c r="M333" s="226">
        <v>1.105628E-2</v>
      </c>
      <c r="N333" s="226">
        <v>1.105628E-2</v>
      </c>
      <c r="O333" s="226">
        <v>1.105628E-2</v>
      </c>
      <c r="P333" s="226">
        <v>1.105628E-2</v>
      </c>
      <c r="Q333" s="226">
        <v>1.105628E-2</v>
      </c>
      <c r="R333" s="226">
        <v>1.105628E-2</v>
      </c>
      <c r="S333" s="226">
        <v>1.105628E-2</v>
      </c>
      <c r="T333" s="226">
        <v>1.105628E-2</v>
      </c>
      <c r="U333" s="226">
        <v>1.105628E-2</v>
      </c>
      <c r="V333" s="226">
        <v>1.105628E-2</v>
      </c>
      <c r="W333" s="226">
        <v>1.105628E-2</v>
      </c>
      <c r="X333" s="226">
        <v>1.105628E-2</v>
      </c>
      <c r="Y333" s="226">
        <v>1.105628E-2</v>
      </c>
      <c r="Z333" s="226">
        <v>1.105628E-2</v>
      </c>
      <c r="AA333" s="226">
        <v>1.105628E-2</v>
      </c>
      <c r="AB333" s="226">
        <v>1.105628E-2</v>
      </c>
      <c r="AC333" s="226">
        <v>1.105628E-2</v>
      </c>
      <c r="AD333" s="226">
        <v>1.105628E-2</v>
      </c>
      <c r="AE333" s="226">
        <v>1.105628E-2</v>
      </c>
      <c r="AF333" s="224">
        <v>1.105628E-2</v>
      </c>
      <c r="AG333" s="437"/>
    </row>
    <row r="334" spans="1:33">
      <c r="A334" s="215" t="s">
        <v>944</v>
      </c>
      <c r="B334" s="232" t="s">
        <v>940</v>
      </c>
      <c r="C334" s="232">
        <v>2019</v>
      </c>
      <c r="D334" s="232" t="s">
        <v>674</v>
      </c>
      <c r="E334" s="209">
        <v>5.5281400000000001E-2</v>
      </c>
      <c r="F334" s="209">
        <v>5.5281400000000001E-2</v>
      </c>
      <c r="G334" s="209">
        <v>5.5281400000000001E-2</v>
      </c>
      <c r="H334" s="209">
        <v>5.5281400000000001E-2</v>
      </c>
      <c r="I334" s="209">
        <v>5.5281400000000001E-2</v>
      </c>
      <c r="J334" s="209">
        <v>5.5281400000000001E-2</v>
      </c>
      <c r="K334" s="209">
        <v>5.5281400000000001E-2</v>
      </c>
      <c r="L334" s="209">
        <v>5.5281400000000001E-2</v>
      </c>
      <c r="M334" s="209">
        <v>5.5281400000000001E-2</v>
      </c>
      <c r="N334" s="209">
        <v>5.5281400000000001E-2</v>
      </c>
      <c r="O334" s="209">
        <v>5.5281400000000001E-2</v>
      </c>
      <c r="P334" s="209">
        <v>5.5281400000000001E-2</v>
      </c>
      <c r="Q334" s="209">
        <v>5.5281400000000001E-2</v>
      </c>
      <c r="R334" s="209">
        <v>5.5281400000000001E-2</v>
      </c>
      <c r="S334" s="209">
        <v>5.5281400000000001E-2</v>
      </c>
      <c r="T334" s="209">
        <v>5.5281400000000001E-2</v>
      </c>
      <c r="U334" s="209">
        <v>5.5281400000000001E-2</v>
      </c>
      <c r="V334" s="209">
        <v>5.5281400000000001E-2</v>
      </c>
      <c r="W334" s="209">
        <v>5.5281400000000001E-2</v>
      </c>
      <c r="X334" s="209">
        <v>5.5281400000000001E-2</v>
      </c>
      <c r="Y334" s="209">
        <v>5.5281400000000001E-2</v>
      </c>
      <c r="Z334" s="209">
        <v>5.5281400000000001E-2</v>
      </c>
      <c r="AA334" s="209">
        <v>5.5281400000000001E-2</v>
      </c>
      <c r="AB334" s="209">
        <v>5.5281400000000001E-2</v>
      </c>
      <c r="AC334" s="209">
        <v>5.5281400000000001E-2</v>
      </c>
      <c r="AD334" s="209">
        <v>5.5281400000000001E-2</v>
      </c>
      <c r="AE334" s="209">
        <v>5.5281400000000001E-2</v>
      </c>
      <c r="AF334" s="220">
        <v>5.5281400000000001E-2</v>
      </c>
      <c r="AG334" s="436"/>
    </row>
    <row r="335" spans="1:33">
      <c r="A335" s="215" t="s">
        <v>944</v>
      </c>
      <c r="B335" s="232" t="s">
        <v>940</v>
      </c>
      <c r="C335">
        <v>2020</v>
      </c>
      <c r="D335" s="232" t="s">
        <v>674</v>
      </c>
      <c r="E335" s="209">
        <v>5.5281400000000001E-2</v>
      </c>
      <c r="F335" s="209">
        <v>5.5281400000000001E-2</v>
      </c>
      <c r="G335" s="209">
        <v>5.5281400000000001E-2</v>
      </c>
      <c r="H335" s="209">
        <v>5.5281400000000001E-2</v>
      </c>
      <c r="I335" s="209">
        <v>5.5281400000000001E-2</v>
      </c>
      <c r="J335" s="209">
        <v>5.5281400000000001E-2</v>
      </c>
      <c r="K335" s="209">
        <v>5.5281400000000001E-2</v>
      </c>
      <c r="L335" s="209">
        <v>5.5281400000000001E-2</v>
      </c>
      <c r="M335" s="209">
        <v>5.5281400000000001E-2</v>
      </c>
      <c r="N335" s="209">
        <v>5.5281400000000001E-2</v>
      </c>
      <c r="O335" s="209">
        <v>5.5281400000000001E-2</v>
      </c>
      <c r="P335" s="209">
        <v>5.5281400000000001E-2</v>
      </c>
      <c r="Q335" s="209">
        <v>5.5281400000000001E-2</v>
      </c>
      <c r="R335" s="209">
        <v>5.5281400000000001E-2</v>
      </c>
      <c r="S335" s="209">
        <v>5.5281400000000001E-2</v>
      </c>
      <c r="T335" s="209">
        <v>5.5281400000000001E-2</v>
      </c>
      <c r="U335" s="209">
        <v>5.5281400000000001E-2</v>
      </c>
      <c r="V335" s="209">
        <v>5.5281400000000001E-2</v>
      </c>
      <c r="W335" s="209">
        <v>5.5281400000000001E-2</v>
      </c>
      <c r="X335" s="209">
        <v>5.5281400000000001E-2</v>
      </c>
      <c r="Y335" s="209">
        <v>5.5281400000000001E-2</v>
      </c>
      <c r="Z335" s="209">
        <v>5.5281400000000001E-2</v>
      </c>
      <c r="AA335" s="209">
        <v>5.5281400000000001E-2</v>
      </c>
      <c r="AB335" s="209">
        <v>5.5281400000000001E-2</v>
      </c>
      <c r="AC335" s="209">
        <v>5.5281400000000001E-2</v>
      </c>
      <c r="AD335" s="209">
        <v>5.5281400000000001E-2</v>
      </c>
      <c r="AE335" s="209">
        <v>5.5281400000000001E-2</v>
      </c>
      <c r="AF335" s="220">
        <v>5.5281400000000001E-2</v>
      </c>
      <c r="AG335" s="436"/>
    </row>
    <row r="336" spans="1:33">
      <c r="A336" s="215" t="s">
        <v>944</v>
      </c>
      <c r="B336" s="232" t="s">
        <v>940</v>
      </c>
      <c r="C336" s="232">
        <v>2025</v>
      </c>
      <c r="D336" s="232" t="s">
        <v>674</v>
      </c>
      <c r="E336" s="209">
        <v>5.5281400000000001E-2</v>
      </c>
      <c r="F336" s="209">
        <v>5.5281400000000001E-2</v>
      </c>
      <c r="G336" s="209">
        <v>5.5281400000000001E-2</v>
      </c>
      <c r="H336" s="209">
        <v>5.5281400000000001E-2</v>
      </c>
      <c r="I336" s="209">
        <v>5.5281400000000001E-2</v>
      </c>
      <c r="J336" s="209">
        <v>5.5281400000000001E-2</v>
      </c>
      <c r="K336" s="209">
        <v>5.5281400000000001E-2</v>
      </c>
      <c r="L336" s="209">
        <v>5.5281400000000001E-2</v>
      </c>
      <c r="M336" s="209">
        <v>5.5281400000000001E-2</v>
      </c>
      <c r="N336" s="209">
        <v>5.5281400000000001E-2</v>
      </c>
      <c r="O336" s="209">
        <v>5.5281400000000001E-2</v>
      </c>
      <c r="P336" s="209">
        <v>5.5281400000000001E-2</v>
      </c>
      <c r="Q336" s="209">
        <v>5.5281400000000001E-2</v>
      </c>
      <c r="R336" s="209">
        <v>5.5281400000000001E-2</v>
      </c>
      <c r="S336" s="209">
        <v>5.5281400000000001E-2</v>
      </c>
      <c r="T336" s="209">
        <v>5.5281400000000001E-2</v>
      </c>
      <c r="U336" s="209">
        <v>5.5281400000000001E-2</v>
      </c>
      <c r="V336" s="209">
        <v>5.5281400000000001E-2</v>
      </c>
      <c r="W336" s="209">
        <v>5.5281400000000001E-2</v>
      </c>
      <c r="X336" s="209">
        <v>5.5281400000000001E-2</v>
      </c>
      <c r="Y336" s="209">
        <v>5.5281400000000001E-2</v>
      </c>
      <c r="Z336" s="209">
        <v>5.5281400000000001E-2</v>
      </c>
      <c r="AA336" s="209">
        <v>5.5281400000000001E-2</v>
      </c>
      <c r="AB336" s="209">
        <v>5.5281400000000001E-2</v>
      </c>
      <c r="AC336" s="209">
        <v>5.5281400000000001E-2</v>
      </c>
      <c r="AD336" s="209">
        <v>5.5281400000000001E-2</v>
      </c>
      <c r="AE336" s="209">
        <v>5.5281400000000001E-2</v>
      </c>
      <c r="AF336" s="220">
        <v>5.5281400000000001E-2</v>
      </c>
      <c r="AG336" s="436"/>
    </row>
    <row r="337" spans="1:33">
      <c r="A337" s="215" t="s">
        <v>944</v>
      </c>
      <c r="B337" s="232" t="s">
        <v>940</v>
      </c>
      <c r="C337" s="232">
        <v>2030</v>
      </c>
      <c r="D337" s="232" t="s">
        <v>674</v>
      </c>
      <c r="E337" s="209">
        <v>5.5281400000000001E-2</v>
      </c>
      <c r="F337" s="209">
        <v>5.5281400000000001E-2</v>
      </c>
      <c r="G337" s="209">
        <v>5.5281400000000001E-2</v>
      </c>
      <c r="H337" s="209">
        <v>5.5281400000000001E-2</v>
      </c>
      <c r="I337" s="209">
        <v>5.5281400000000001E-2</v>
      </c>
      <c r="J337" s="209">
        <v>5.5281400000000001E-2</v>
      </c>
      <c r="K337" s="209">
        <v>5.5281400000000001E-2</v>
      </c>
      <c r="L337" s="209">
        <v>5.5281400000000001E-2</v>
      </c>
      <c r="M337" s="209">
        <v>5.5281400000000001E-2</v>
      </c>
      <c r="N337" s="209">
        <v>5.5281400000000001E-2</v>
      </c>
      <c r="O337" s="209">
        <v>5.5281400000000001E-2</v>
      </c>
      <c r="P337" s="209">
        <v>5.5281400000000001E-2</v>
      </c>
      <c r="Q337" s="209">
        <v>5.5281400000000001E-2</v>
      </c>
      <c r="R337" s="209">
        <v>5.5281400000000001E-2</v>
      </c>
      <c r="S337" s="209">
        <v>5.5281400000000001E-2</v>
      </c>
      <c r="T337" s="209">
        <v>5.5281400000000001E-2</v>
      </c>
      <c r="U337" s="209">
        <v>5.5281400000000001E-2</v>
      </c>
      <c r="V337" s="209">
        <v>5.5281400000000001E-2</v>
      </c>
      <c r="W337" s="209">
        <v>5.5281400000000001E-2</v>
      </c>
      <c r="X337" s="209">
        <v>5.5281400000000001E-2</v>
      </c>
      <c r="Y337" s="209">
        <v>5.5281400000000001E-2</v>
      </c>
      <c r="Z337" s="209">
        <v>5.5281400000000001E-2</v>
      </c>
      <c r="AA337" s="209">
        <v>5.5281400000000001E-2</v>
      </c>
      <c r="AB337" s="209">
        <v>5.5281400000000001E-2</v>
      </c>
      <c r="AC337" s="209">
        <v>5.5281400000000001E-2</v>
      </c>
      <c r="AD337" s="209">
        <v>5.5281400000000001E-2</v>
      </c>
      <c r="AE337" s="209">
        <v>5.5281400000000001E-2</v>
      </c>
      <c r="AF337" s="220">
        <v>5.5281400000000001E-2</v>
      </c>
      <c r="AG337" s="436"/>
    </row>
    <row r="338" spans="1:33">
      <c r="A338" s="215" t="s">
        <v>944</v>
      </c>
      <c r="B338" s="232" t="s">
        <v>940</v>
      </c>
      <c r="C338" s="232">
        <v>2035</v>
      </c>
      <c r="D338" s="232" t="s">
        <v>674</v>
      </c>
      <c r="E338" s="209">
        <v>5.5281400000000001E-2</v>
      </c>
      <c r="F338" s="209">
        <v>5.5281400000000001E-2</v>
      </c>
      <c r="G338" s="209">
        <v>5.5281400000000001E-2</v>
      </c>
      <c r="H338" s="209">
        <v>5.5281400000000001E-2</v>
      </c>
      <c r="I338" s="209">
        <v>5.5281400000000001E-2</v>
      </c>
      <c r="J338" s="209">
        <v>5.5281400000000001E-2</v>
      </c>
      <c r="K338" s="209">
        <v>5.5281400000000001E-2</v>
      </c>
      <c r="L338" s="209">
        <v>5.5281400000000001E-2</v>
      </c>
      <c r="M338" s="209">
        <v>5.5281400000000001E-2</v>
      </c>
      <c r="N338" s="209">
        <v>5.5281400000000001E-2</v>
      </c>
      <c r="O338" s="209">
        <v>5.5281400000000001E-2</v>
      </c>
      <c r="P338" s="209">
        <v>5.5281400000000001E-2</v>
      </c>
      <c r="Q338" s="209">
        <v>5.5281400000000001E-2</v>
      </c>
      <c r="R338" s="209">
        <v>5.5281400000000001E-2</v>
      </c>
      <c r="S338" s="209">
        <v>5.5281400000000001E-2</v>
      </c>
      <c r="T338" s="209">
        <v>5.5281400000000001E-2</v>
      </c>
      <c r="U338" s="209">
        <v>5.5281400000000001E-2</v>
      </c>
      <c r="V338" s="209">
        <v>5.5281400000000001E-2</v>
      </c>
      <c r="W338" s="209">
        <v>5.5281400000000001E-2</v>
      </c>
      <c r="X338" s="209">
        <v>5.5281400000000001E-2</v>
      </c>
      <c r="Y338" s="209">
        <v>5.5281400000000001E-2</v>
      </c>
      <c r="Z338" s="209">
        <v>5.5281400000000001E-2</v>
      </c>
      <c r="AA338" s="209">
        <v>5.5281400000000001E-2</v>
      </c>
      <c r="AB338" s="209">
        <v>5.5281400000000001E-2</v>
      </c>
      <c r="AC338" s="209">
        <v>5.5281400000000001E-2</v>
      </c>
      <c r="AD338" s="209">
        <v>5.5281400000000001E-2</v>
      </c>
      <c r="AE338" s="209">
        <v>5.5281400000000001E-2</v>
      </c>
      <c r="AF338" s="220">
        <v>5.5281400000000001E-2</v>
      </c>
      <c r="AG338" s="436"/>
    </row>
    <row r="339" spans="1:33">
      <c r="A339" s="215" t="s">
        <v>944</v>
      </c>
      <c r="B339" s="232" t="s">
        <v>940</v>
      </c>
      <c r="C339" s="232">
        <v>2040</v>
      </c>
      <c r="D339" s="232" t="s">
        <v>674</v>
      </c>
      <c r="E339" s="209">
        <v>5.5281400000000001E-2</v>
      </c>
      <c r="F339" s="209">
        <v>5.5281400000000001E-2</v>
      </c>
      <c r="G339" s="209">
        <v>5.5281400000000001E-2</v>
      </c>
      <c r="H339" s="209">
        <v>5.5281400000000001E-2</v>
      </c>
      <c r="I339" s="209">
        <v>5.5281400000000001E-2</v>
      </c>
      <c r="J339" s="209">
        <v>5.5281400000000001E-2</v>
      </c>
      <c r="K339" s="209">
        <v>5.5281400000000001E-2</v>
      </c>
      <c r="L339" s="209">
        <v>5.5281400000000001E-2</v>
      </c>
      <c r="M339" s="209">
        <v>5.5281400000000001E-2</v>
      </c>
      <c r="N339" s="209">
        <v>5.5281400000000001E-2</v>
      </c>
      <c r="O339" s="209">
        <v>5.5281400000000001E-2</v>
      </c>
      <c r="P339" s="209">
        <v>5.5281400000000001E-2</v>
      </c>
      <c r="Q339" s="209">
        <v>5.5281400000000001E-2</v>
      </c>
      <c r="R339" s="209">
        <v>5.5281400000000001E-2</v>
      </c>
      <c r="S339" s="209">
        <v>5.5281400000000001E-2</v>
      </c>
      <c r="T339" s="209">
        <v>5.5281400000000001E-2</v>
      </c>
      <c r="U339" s="209">
        <v>5.5281400000000001E-2</v>
      </c>
      <c r="V339" s="209">
        <v>5.5281400000000001E-2</v>
      </c>
      <c r="W339" s="209">
        <v>5.5281400000000001E-2</v>
      </c>
      <c r="X339" s="209">
        <v>5.5281400000000001E-2</v>
      </c>
      <c r="Y339" s="209">
        <v>5.5281400000000001E-2</v>
      </c>
      <c r="Z339" s="209">
        <v>5.5281400000000001E-2</v>
      </c>
      <c r="AA339" s="209">
        <v>5.5281400000000001E-2</v>
      </c>
      <c r="AB339" s="209">
        <v>5.5281400000000001E-2</v>
      </c>
      <c r="AC339" s="209">
        <v>5.5281400000000001E-2</v>
      </c>
      <c r="AD339" s="209">
        <v>5.5281400000000001E-2</v>
      </c>
      <c r="AE339" s="209">
        <v>5.5281400000000001E-2</v>
      </c>
      <c r="AF339" s="220">
        <v>5.5281400000000001E-2</v>
      </c>
      <c r="AG339" s="436"/>
    </row>
    <row r="340" spans="1:33">
      <c r="A340" s="215" t="s">
        <v>944</v>
      </c>
      <c r="B340" s="232" t="s">
        <v>940</v>
      </c>
      <c r="C340" s="232">
        <v>2045</v>
      </c>
      <c r="D340" s="232" t="s">
        <v>674</v>
      </c>
      <c r="E340" s="209">
        <v>5.5281400000000001E-2</v>
      </c>
      <c r="F340" s="209">
        <v>5.5281400000000001E-2</v>
      </c>
      <c r="G340" s="209">
        <v>5.5281400000000001E-2</v>
      </c>
      <c r="H340" s="209">
        <v>5.5281400000000001E-2</v>
      </c>
      <c r="I340" s="209">
        <v>5.5281400000000001E-2</v>
      </c>
      <c r="J340" s="209">
        <v>5.5281400000000001E-2</v>
      </c>
      <c r="K340" s="209">
        <v>5.5281400000000001E-2</v>
      </c>
      <c r="L340" s="209">
        <v>5.5281400000000001E-2</v>
      </c>
      <c r="M340" s="209">
        <v>5.5281400000000001E-2</v>
      </c>
      <c r="N340" s="209">
        <v>5.5281400000000001E-2</v>
      </c>
      <c r="O340" s="209">
        <v>5.5281400000000001E-2</v>
      </c>
      <c r="P340" s="209">
        <v>5.5281400000000001E-2</v>
      </c>
      <c r="Q340" s="209">
        <v>5.5281400000000001E-2</v>
      </c>
      <c r="R340" s="209">
        <v>5.5281400000000001E-2</v>
      </c>
      <c r="S340" s="209">
        <v>5.5281400000000001E-2</v>
      </c>
      <c r="T340" s="209">
        <v>5.5281400000000001E-2</v>
      </c>
      <c r="U340" s="209">
        <v>5.5281400000000001E-2</v>
      </c>
      <c r="V340" s="209">
        <v>5.5281400000000001E-2</v>
      </c>
      <c r="W340" s="209">
        <v>5.5281400000000001E-2</v>
      </c>
      <c r="X340" s="209">
        <v>5.5281400000000001E-2</v>
      </c>
      <c r="Y340" s="209">
        <v>5.5281400000000001E-2</v>
      </c>
      <c r="Z340" s="209">
        <v>5.5281400000000001E-2</v>
      </c>
      <c r="AA340" s="209">
        <v>5.5281400000000001E-2</v>
      </c>
      <c r="AB340" s="209">
        <v>5.5281400000000001E-2</v>
      </c>
      <c r="AC340" s="209">
        <v>5.5281400000000001E-2</v>
      </c>
      <c r="AD340" s="209">
        <v>5.5281400000000001E-2</v>
      </c>
      <c r="AE340" s="209">
        <v>5.5281400000000001E-2</v>
      </c>
      <c r="AF340" s="220">
        <v>5.5281400000000001E-2</v>
      </c>
      <c r="AG340" s="436"/>
    </row>
    <row r="341" spans="1:33">
      <c r="A341" s="215" t="s">
        <v>944</v>
      </c>
      <c r="B341" s="232" t="s">
        <v>940</v>
      </c>
      <c r="C341" s="232">
        <v>2050</v>
      </c>
      <c r="D341" s="232" t="s">
        <v>674</v>
      </c>
      <c r="E341" s="209">
        <v>5.5281400000000001E-2</v>
      </c>
      <c r="F341" s="209">
        <v>5.5281400000000001E-2</v>
      </c>
      <c r="G341" s="209">
        <v>5.5281400000000001E-2</v>
      </c>
      <c r="H341" s="209">
        <v>5.5281400000000001E-2</v>
      </c>
      <c r="I341" s="209">
        <v>5.5281400000000001E-2</v>
      </c>
      <c r="J341" s="209">
        <v>5.5281400000000001E-2</v>
      </c>
      <c r="K341" s="209">
        <v>5.5281400000000001E-2</v>
      </c>
      <c r="L341" s="209">
        <v>5.5281400000000001E-2</v>
      </c>
      <c r="M341" s="209">
        <v>5.5281400000000001E-2</v>
      </c>
      <c r="N341" s="209">
        <v>5.5281400000000001E-2</v>
      </c>
      <c r="O341" s="209">
        <v>5.5281400000000001E-2</v>
      </c>
      <c r="P341" s="209">
        <v>5.5281400000000001E-2</v>
      </c>
      <c r="Q341" s="209">
        <v>5.5281400000000001E-2</v>
      </c>
      <c r="R341" s="209">
        <v>5.5281400000000001E-2</v>
      </c>
      <c r="S341" s="209">
        <v>5.5281400000000001E-2</v>
      </c>
      <c r="T341" s="209">
        <v>5.5281400000000001E-2</v>
      </c>
      <c r="U341" s="209">
        <v>5.5281400000000001E-2</v>
      </c>
      <c r="V341" s="209">
        <v>5.5281400000000001E-2</v>
      </c>
      <c r="W341" s="209">
        <v>5.5281400000000001E-2</v>
      </c>
      <c r="X341" s="209">
        <v>5.5281400000000001E-2</v>
      </c>
      <c r="Y341" s="209">
        <v>5.5281400000000001E-2</v>
      </c>
      <c r="Z341" s="209">
        <v>5.5281400000000001E-2</v>
      </c>
      <c r="AA341" s="209">
        <v>5.5281400000000001E-2</v>
      </c>
      <c r="AB341" s="209">
        <v>5.5281400000000001E-2</v>
      </c>
      <c r="AC341" s="209">
        <v>5.5281400000000001E-2</v>
      </c>
      <c r="AD341" s="209">
        <v>5.5281400000000001E-2</v>
      </c>
      <c r="AE341" s="209">
        <v>5.5281400000000001E-2</v>
      </c>
      <c r="AF341" s="220">
        <v>5.5281400000000001E-2</v>
      </c>
      <c r="AG341" s="436"/>
    </row>
    <row r="342" spans="1:33">
      <c r="A342" s="215" t="s">
        <v>944</v>
      </c>
      <c r="B342" s="232" t="s">
        <v>940</v>
      </c>
      <c r="C342" s="232">
        <v>2060</v>
      </c>
      <c r="D342" s="232" t="s">
        <v>674</v>
      </c>
      <c r="E342" s="209">
        <v>5.5281400000000001E-2</v>
      </c>
      <c r="F342" s="209">
        <v>5.5281400000000001E-2</v>
      </c>
      <c r="G342" s="209">
        <v>5.5281400000000001E-2</v>
      </c>
      <c r="H342" s="209">
        <v>5.5281400000000001E-2</v>
      </c>
      <c r="I342" s="209">
        <v>5.5281400000000001E-2</v>
      </c>
      <c r="J342" s="209">
        <v>5.5281400000000001E-2</v>
      </c>
      <c r="K342" s="209">
        <v>5.5281400000000001E-2</v>
      </c>
      <c r="L342" s="209">
        <v>5.5281400000000001E-2</v>
      </c>
      <c r="M342" s="209">
        <v>5.5281400000000001E-2</v>
      </c>
      <c r="N342" s="209">
        <v>5.5281400000000001E-2</v>
      </c>
      <c r="O342" s="209">
        <v>5.5281400000000001E-2</v>
      </c>
      <c r="P342" s="209">
        <v>5.5281400000000001E-2</v>
      </c>
      <c r="Q342" s="209">
        <v>5.5281400000000001E-2</v>
      </c>
      <c r="R342" s="209">
        <v>5.5281400000000001E-2</v>
      </c>
      <c r="S342" s="209">
        <v>5.5281400000000001E-2</v>
      </c>
      <c r="T342" s="209">
        <v>5.5281400000000001E-2</v>
      </c>
      <c r="U342" s="209">
        <v>5.5281400000000001E-2</v>
      </c>
      <c r="V342" s="209">
        <v>5.5281400000000001E-2</v>
      </c>
      <c r="W342" s="209">
        <v>5.5281400000000001E-2</v>
      </c>
      <c r="X342" s="209">
        <v>5.5281400000000001E-2</v>
      </c>
      <c r="Y342" s="209">
        <v>5.5281400000000001E-2</v>
      </c>
      <c r="Z342" s="209">
        <v>5.5281400000000001E-2</v>
      </c>
      <c r="AA342" s="209">
        <v>5.5281400000000001E-2</v>
      </c>
      <c r="AB342" s="209">
        <v>5.5281400000000001E-2</v>
      </c>
      <c r="AC342" s="209">
        <v>5.5281400000000001E-2</v>
      </c>
      <c r="AD342" s="209">
        <v>5.5281400000000001E-2</v>
      </c>
      <c r="AE342" s="209">
        <v>5.5281400000000001E-2</v>
      </c>
      <c r="AF342" s="220">
        <v>5.5281400000000001E-2</v>
      </c>
      <c r="AG342" s="436"/>
    </row>
    <row r="343" spans="1:33">
      <c r="A343" s="215" t="s">
        <v>944</v>
      </c>
      <c r="B343" s="232" t="s">
        <v>940</v>
      </c>
      <c r="C343" s="232">
        <v>2070</v>
      </c>
      <c r="D343" s="232" t="s">
        <v>674</v>
      </c>
      <c r="E343" s="209">
        <v>5.5281400000000001E-2</v>
      </c>
      <c r="F343" s="209">
        <v>5.5281400000000001E-2</v>
      </c>
      <c r="G343" s="209">
        <v>5.5281400000000001E-2</v>
      </c>
      <c r="H343" s="209">
        <v>5.5281400000000001E-2</v>
      </c>
      <c r="I343" s="209">
        <v>5.5281400000000001E-2</v>
      </c>
      <c r="J343" s="209">
        <v>5.5281400000000001E-2</v>
      </c>
      <c r="K343" s="209">
        <v>5.5281400000000001E-2</v>
      </c>
      <c r="L343" s="209">
        <v>5.5281400000000001E-2</v>
      </c>
      <c r="M343" s="209">
        <v>5.5281400000000001E-2</v>
      </c>
      <c r="N343" s="209">
        <v>5.5281400000000001E-2</v>
      </c>
      <c r="O343" s="209">
        <v>5.5281400000000001E-2</v>
      </c>
      <c r="P343" s="209">
        <v>5.5281400000000001E-2</v>
      </c>
      <c r="Q343" s="209">
        <v>5.5281400000000001E-2</v>
      </c>
      <c r="R343" s="209">
        <v>5.5281400000000001E-2</v>
      </c>
      <c r="S343" s="209">
        <v>5.5281400000000001E-2</v>
      </c>
      <c r="T343" s="209">
        <v>5.5281400000000001E-2</v>
      </c>
      <c r="U343" s="209">
        <v>5.5281400000000001E-2</v>
      </c>
      <c r="V343" s="209">
        <v>5.5281400000000001E-2</v>
      </c>
      <c r="W343" s="209">
        <v>5.5281400000000001E-2</v>
      </c>
      <c r="X343" s="209">
        <v>5.5281400000000001E-2</v>
      </c>
      <c r="Y343" s="209">
        <v>5.5281400000000001E-2</v>
      </c>
      <c r="Z343" s="209">
        <v>5.5281400000000001E-2</v>
      </c>
      <c r="AA343" s="209">
        <v>5.5281400000000001E-2</v>
      </c>
      <c r="AB343" s="209">
        <v>5.5281400000000001E-2</v>
      </c>
      <c r="AC343" s="209">
        <v>5.5281400000000001E-2</v>
      </c>
      <c r="AD343" s="209">
        <v>5.5281400000000001E-2</v>
      </c>
      <c r="AE343" s="209">
        <v>5.5281400000000001E-2</v>
      </c>
      <c r="AF343" s="220">
        <v>5.5281400000000001E-2</v>
      </c>
      <c r="AG343" s="436"/>
    </row>
    <row r="344" spans="1:33">
      <c r="A344" s="215" t="s">
        <v>944</v>
      </c>
      <c r="B344" s="232" t="s">
        <v>940</v>
      </c>
      <c r="C344" s="232">
        <v>2080</v>
      </c>
      <c r="D344" s="232" t="s">
        <v>674</v>
      </c>
      <c r="E344" s="209">
        <v>5.5281400000000001E-2</v>
      </c>
      <c r="F344" s="209">
        <v>5.5281400000000001E-2</v>
      </c>
      <c r="G344" s="209">
        <v>5.5281400000000001E-2</v>
      </c>
      <c r="H344" s="209">
        <v>5.5281400000000001E-2</v>
      </c>
      <c r="I344" s="209">
        <v>5.5281400000000001E-2</v>
      </c>
      <c r="J344" s="209">
        <v>5.5281400000000001E-2</v>
      </c>
      <c r="K344" s="209">
        <v>5.5281400000000001E-2</v>
      </c>
      <c r="L344" s="209">
        <v>5.5281400000000001E-2</v>
      </c>
      <c r="M344" s="209">
        <v>5.5281400000000001E-2</v>
      </c>
      <c r="N344" s="209">
        <v>5.5281400000000001E-2</v>
      </c>
      <c r="O344" s="209">
        <v>5.5281400000000001E-2</v>
      </c>
      <c r="P344" s="209">
        <v>5.5281400000000001E-2</v>
      </c>
      <c r="Q344" s="209">
        <v>5.5281400000000001E-2</v>
      </c>
      <c r="R344" s="209">
        <v>5.5281400000000001E-2</v>
      </c>
      <c r="S344" s="209">
        <v>5.5281400000000001E-2</v>
      </c>
      <c r="T344" s="209">
        <v>5.5281400000000001E-2</v>
      </c>
      <c r="U344" s="209">
        <v>5.5281400000000001E-2</v>
      </c>
      <c r="V344" s="209">
        <v>5.5281400000000001E-2</v>
      </c>
      <c r="W344" s="209">
        <v>5.5281400000000001E-2</v>
      </c>
      <c r="X344" s="209">
        <v>5.5281400000000001E-2</v>
      </c>
      <c r="Y344" s="209">
        <v>5.5281400000000001E-2</v>
      </c>
      <c r="Z344" s="209">
        <v>5.5281400000000001E-2</v>
      </c>
      <c r="AA344" s="209">
        <v>5.5281400000000001E-2</v>
      </c>
      <c r="AB344" s="209">
        <v>5.5281400000000001E-2</v>
      </c>
      <c r="AC344" s="209">
        <v>5.5281400000000001E-2</v>
      </c>
      <c r="AD344" s="209">
        <v>5.5281400000000001E-2</v>
      </c>
      <c r="AE344" s="209">
        <v>5.5281400000000001E-2</v>
      </c>
      <c r="AF344" s="220">
        <v>5.5281400000000001E-2</v>
      </c>
      <c r="AG344" s="436"/>
    </row>
    <row r="345" spans="1:33">
      <c r="A345" s="215" t="s">
        <v>944</v>
      </c>
      <c r="B345" s="232" t="s">
        <v>940</v>
      </c>
      <c r="C345" s="232">
        <v>2090</v>
      </c>
      <c r="D345" s="232" t="s">
        <v>674</v>
      </c>
      <c r="E345" s="209">
        <v>5.5281400000000001E-2</v>
      </c>
      <c r="F345" s="209">
        <v>5.5281400000000001E-2</v>
      </c>
      <c r="G345" s="209">
        <v>5.5281400000000001E-2</v>
      </c>
      <c r="H345" s="209">
        <v>5.5281400000000001E-2</v>
      </c>
      <c r="I345" s="209">
        <v>5.5281400000000001E-2</v>
      </c>
      <c r="J345" s="209">
        <v>5.5281400000000001E-2</v>
      </c>
      <c r="K345" s="209">
        <v>5.5281400000000001E-2</v>
      </c>
      <c r="L345" s="209">
        <v>5.5281400000000001E-2</v>
      </c>
      <c r="M345" s="209">
        <v>5.5281400000000001E-2</v>
      </c>
      <c r="N345" s="209">
        <v>5.5281400000000001E-2</v>
      </c>
      <c r="O345" s="209">
        <v>5.5281400000000001E-2</v>
      </c>
      <c r="P345" s="209">
        <v>5.5281400000000001E-2</v>
      </c>
      <c r="Q345" s="209">
        <v>5.5281400000000001E-2</v>
      </c>
      <c r="R345" s="209">
        <v>5.5281400000000001E-2</v>
      </c>
      <c r="S345" s="209">
        <v>5.5281400000000001E-2</v>
      </c>
      <c r="T345" s="209">
        <v>5.5281400000000001E-2</v>
      </c>
      <c r="U345" s="209">
        <v>5.5281400000000001E-2</v>
      </c>
      <c r="V345" s="209">
        <v>5.5281400000000001E-2</v>
      </c>
      <c r="W345" s="209">
        <v>5.5281400000000001E-2</v>
      </c>
      <c r="X345" s="209">
        <v>5.5281400000000001E-2</v>
      </c>
      <c r="Y345" s="209">
        <v>5.5281400000000001E-2</v>
      </c>
      <c r="Z345" s="209">
        <v>5.5281400000000001E-2</v>
      </c>
      <c r="AA345" s="209">
        <v>5.5281400000000001E-2</v>
      </c>
      <c r="AB345" s="209">
        <v>5.5281400000000001E-2</v>
      </c>
      <c r="AC345" s="209">
        <v>5.5281400000000001E-2</v>
      </c>
      <c r="AD345" s="209">
        <v>5.5281400000000001E-2</v>
      </c>
      <c r="AE345" s="209">
        <v>5.5281400000000001E-2</v>
      </c>
      <c r="AF345" s="220">
        <v>5.5281400000000001E-2</v>
      </c>
      <c r="AG345" s="436"/>
    </row>
    <row r="346" spans="1:33">
      <c r="A346" s="229" t="s">
        <v>944</v>
      </c>
      <c r="B346" s="235" t="s">
        <v>940</v>
      </c>
      <c r="C346" s="235">
        <v>2100</v>
      </c>
      <c r="D346" s="235" t="s">
        <v>674</v>
      </c>
      <c r="E346" s="226">
        <v>5.5281400000000001E-2</v>
      </c>
      <c r="F346" s="226">
        <v>5.5281400000000001E-2</v>
      </c>
      <c r="G346" s="226">
        <v>5.5281400000000001E-2</v>
      </c>
      <c r="H346" s="226">
        <v>5.5281400000000001E-2</v>
      </c>
      <c r="I346" s="226">
        <v>5.5281400000000001E-2</v>
      </c>
      <c r="J346" s="226">
        <v>5.5281400000000001E-2</v>
      </c>
      <c r="K346" s="226">
        <v>5.5281400000000001E-2</v>
      </c>
      <c r="L346" s="226">
        <v>5.5281400000000001E-2</v>
      </c>
      <c r="M346" s="226">
        <v>5.5281400000000001E-2</v>
      </c>
      <c r="N346" s="226">
        <v>5.5281400000000001E-2</v>
      </c>
      <c r="O346" s="226">
        <v>5.5281400000000001E-2</v>
      </c>
      <c r="P346" s="226">
        <v>5.5281400000000001E-2</v>
      </c>
      <c r="Q346" s="226">
        <v>5.5281400000000001E-2</v>
      </c>
      <c r="R346" s="226">
        <v>5.5281400000000001E-2</v>
      </c>
      <c r="S346" s="226">
        <v>5.5281400000000001E-2</v>
      </c>
      <c r="T346" s="226">
        <v>5.5281400000000001E-2</v>
      </c>
      <c r="U346" s="226">
        <v>5.5281400000000001E-2</v>
      </c>
      <c r="V346" s="226">
        <v>5.5281400000000001E-2</v>
      </c>
      <c r="W346" s="226">
        <v>5.5281400000000001E-2</v>
      </c>
      <c r="X346" s="226">
        <v>5.5281400000000001E-2</v>
      </c>
      <c r="Y346" s="226">
        <v>5.5281400000000001E-2</v>
      </c>
      <c r="Z346" s="226">
        <v>5.5281400000000001E-2</v>
      </c>
      <c r="AA346" s="226">
        <v>5.5281400000000001E-2</v>
      </c>
      <c r="AB346" s="226">
        <v>5.5281400000000001E-2</v>
      </c>
      <c r="AC346" s="226">
        <v>5.5281400000000001E-2</v>
      </c>
      <c r="AD346" s="226">
        <v>5.5281400000000001E-2</v>
      </c>
      <c r="AE346" s="226">
        <v>5.5281400000000001E-2</v>
      </c>
      <c r="AF346" s="224">
        <v>5.5281400000000001E-2</v>
      </c>
      <c r="AG346" s="437"/>
    </row>
    <row r="347" spans="1:33">
      <c r="A347" t="s">
        <v>944</v>
      </c>
      <c r="B347" s="231" t="s">
        <v>941</v>
      </c>
      <c r="C347" s="232">
        <v>2019</v>
      </c>
      <c r="D347" s="231" t="s">
        <v>674</v>
      </c>
      <c r="E347" s="209">
        <v>0.1105628</v>
      </c>
      <c r="F347" s="209">
        <v>0.1105628</v>
      </c>
      <c r="G347" s="209">
        <v>0.1105628</v>
      </c>
      <c r="H347" s="209">
        <v>0.1105628</v>
      </c>
      <c r="I347" s="209">
        <v>0.1105628</v>
      </c>
      <c r="J347" s="209">
        <v>0.1105628</v>
      </c>
      <c r="K347" s="209">
        <v>0.1105628</v>
      </c>
      <c r="L347" s="209">
        <v>0.1105628</v>
      </c>
      <c r="M347" s="209">
        <v>0.1105628</v>
      </c>
      <c r="N347" s="209">
        <v>0.1105628</v>
      </c>
      <c r="O347" s="209">
        <v>0.1105628</v>
      </c>
      <c r="P347" s="209">
        <v>0.1105628</v>
      </c>
      <c r="Q347" s="209">
        <v>0.1105628</v>
      </c>
      <c r="R347" s="209">
        <v>0.1105628</v>
      </c>
      <c r="S347" s="209">
        <v>0.1105628</v>
      </c>
      <c r="T347" s="209">
        <v>0.1105628</v>
      </c>
      <c r="U347" s="209">
        <v>0.1105628</v>
      </c>
      <c r="V347" s="209">
        <v>0.1105628</v>
      </c>
      <c r="W347" s="209">
        <v>0.1105628</v>
      </c>
      <c r="X347" s="209">
        <v>0.1105628</v>
      </c>
      <c r="Y347" s="209">
        <v>0.1105628</v>
      </c>
      <c r="Z347" s="209">
        <v>0.1105628</v>
      </c>
      <c r="AA347" s="209">
        <v>0.1105628</v>
      </c>
      <c r="AB347" s="209">
        <v>0.1105628</v>
      </c>
      <c r="AC347" s="209">
        <v>0.1105628</v>
      </c>
      <c r="AD347" s="209">
        <v>0.1105628</v>
      </c>
      <c r="AE347" s="209">
        <v>0.1105628</v>
      </c>
      <c r="AF347" s="209">
        <v>0.1105628</v>
      </c>
      <c r="AG347" s="453"/>
    </row>
    <row r="348" spans="1:33">
      <c r="A348" s="215" t="s">
        <v>944</v>
      </c>
      <c r="B348" s="232" t="s">
        <v>941</v>
      </c>
      <c r="C348">
        <v>2020</v>
      </c>
      <c r="D348" s="232" t="s">
        <v>674</v>
      </c>
      <c r="E348" s="209">
        <v>0.1105628</v>
      </c>
      <c r="F348" s="209">
        <v>0.1105628</v>
      </c>
      <c r="G348" s="209">
        <v>0.1105628</v>
      </c>
      <c r="H348" s="209">
        <v>0.1105628</v>
      </c>
      <c r="I348" s="209">
        <v>0.1105628</v>
      </c>
      <c r="J348" s="209">
        <v>0.1105628</v>
      </c>
      <c r="K348" s="209">
        <v>0.1105628</v>
      </c>
      <c r="L348" s="209">
        <v>0.1105628</v>
      </c>
      <c r="M348" s="209">
        <v>0.1105628</v>
      </c>
      <c r="N348" s="209">
        <v>0.1105628</v>
      </c>
      <c r="O348" s="209">
        <v>0.1105628</v>
      </c>
      <c r="P348" s="209">
        <v>0.1105628</v>
      </c>
      <c r="Q348" s="209">
        <v>0.1105628</v>
      </c>
      <c r="R348" s="209">
        <v>0.1105628</v>
      </c>
      <c r="S348" s="209">
        <v>0.1105628</v>
      </c>
      <c r="T348" s="209">
        <v>0.1105628</v>
      </c>
      <c r="U348" s="209">
        <v>0.1105628</v>
      </c>
      <c r="V348" s="209">
        <v>0.1105628</v>
      </c>
      <c r="W348" s="209">
        <v>0.1105628</v>
      </c>
      <c r="X348" s="209">
        <v>0.1105628</v>
      </c>
      <c r="Y348" s="209">
        <v>0.1105628</v>
      </c>
      <c r="Z348" s="209">
        <v>0.1105628</v>
      </c>
      <c r="AA348" s="209">
        <v>0.1105628</v>
      </c>
      <c r="AB348" s="209">
        <v>0.1105628</v>
      </c>
      <c r="AC348" s="209">
        <v>0.1105628</v>
      </c>
      <c r="AD348" s="209">
        <v>0.1105628</v>
      </c>
      <c r="AE348" s="209">
        <v>0.1105628</v>
      </c>
      <c r="AF348" s="220">
        <v>0.1105628</v>
      </c>
      <c r="AG348" s="436"/>
    </row>
    <row r="349" spans="1:33">
      <c r="A349" s="215" t="s">
        <v>944</v>
      </c>
      <c r="B349" s="232" t="s">
        <v>941</v>
      </c>
      <c r="C349" s="232">
        <v>2025</v>
      </c>
      <c r="D349" s="232" t="s">
        <v>674</v>
      </c>
      <c r="E349" s="209">
        <v>0.1105628</v>
      </c>
      <c r="F349" s="209">
        <v>0.1105628</v>
      </c>
      <c r="G349" s="209">
        <v>0.1105628</v>
      </c>
      <c r="H349" s="209">
        <v>0.1105628</v>
      </c>
      <c r="I349" s="209">
        <v>0.1105628</v>
      </c>
      <c r="J349" s="209">
        <v>0.1105628</v>
      </c>
      <c r="K349" s="209">
        <v>0.1105628</v>
      </c>
      <c r="L349" s="209">
        <v>0.1105628</v>
      </c>
      <c r="M349" s="209">
        <v>0.1105628</v>
      </c>
      <c r="N349" s="209">
        <v>0.1105628</v>
      </c>
      <c r="O349" s="209">
        <v>0.1105628</v>
      </c>
      <c r="P349" s="209">
        <v>0.1105628</v>
      </c>
      <c r="Q349" s="209">
        <v>0.1105628</v>
      </c>
      <c r="R349" s="209">
        <v>0.1105628</v>
      </c>
      <c r="S349" s="209">
        <v>0.1105628</v>
      </c>
      <c r="T349" s="209">
        <v>0.1105628</v>
      </c>
      <c r="U349" s="209">
        <v>0.1105628</v>
      </c>
      <c r="V349" s="209">
        <v>0.1105628</v>
      </c>
      <c r="W349" s="209">
        <v>0.1105628</v>
      </c>
      <c r="X349" s="209">
        <v>0.1105628</v>
      </c>
      <c r="Y349" s="209">
        <v>0.1105628</v>
      </c>
      <c r="Z349" s="209">
        <v>0.1105628</v>
      </c>
      <c r="AA349" s="209">
        <v>0.1105628</v>
      </c>
      <c r="AB349" s="209">
        <v>0.1105628</v>
      </c>
      <c r="AC349" s="209">
        <v>0.1105628</v>
      </c>
      <c r="AD349" s="209">
        <v>0.1105628</v>
      </c>
      <c r="AE349" s="209">
        <v>0.1105628</v>
      </c>
      <c r="AF349" s="220">
        <v>0.1105628</v>
      </c>
      <c r="AG349" s="436"/>
    </row>
    <row r="350" spans="1:33">
      <c r="A350" s="215" t="s">
        <v>944</v>
      </c>
      <c r="B350" s="232" t="s">
        <v>941</v>
      </c>
      <c r="C350" s="232">
        <v>2030</v>
      </c>
      <c r="D350" s="232" t="s">
        <v>674</v>
      </c>
      <c r="E350" s="209">
        <v>0.1105628</v>
      </c>
      <c r="F350" s="209">
        <v>0.1105628</v>
      </c>
      <c r="G350" s="209">
        <v>0.1105628</v>
      </c>
      <c r="H350" s="209">
        <v>0.1105628</v>
      </c>
      <c r="I350" s="209">
        <v>0.1105628</v>
      </c>
      <c r="J350" s="209">
        <v>0.1105628</v>
      </c>
      <c r="K350" s="209">
        <v>0.1105628</v>
      </c>
      <c r="L350" s="209">
        <v>0.1105628</v>
      </c>
      <c r="M350" s="209">
        <v>0.1105628</v>
      </c>
      <c r="N350" s="209">
        <v>0.1105628</v>
      </c>
      <c r="O350" s="209">
        <v>0.1105628</v>
      </c>
      <c r="P350" s="209">
        <v>0.1105628</v>
      </c>
      <c r="Q350" s="209">
        <v>0.1105628</v>
      </c>
      <c r="R350" s="209">
        <v>0.1105628</v>
      </c>
      <c r="S350" s="209">
        <v>0.1105628</v>
      </c>
      <c r="T350" s="209">
        <v>0.1105628</v>
      </c>
      <c r="U350" s="209">
        <v>0.1105628</v>
      </c>
      <c r="V350" s="209">
        <v>0.1105628</v>
      </c>
      <c r="W350" s="209">
        <v>0.1105628</v>
      </c>
      <c r="X350" s="209">
        <v>0.1105628</v>
      </c>
      <c r="Y350" s="209">
        <v>0.1105628</v>
      </c>
      <c r="Z350" s="209">
        <v>0.1105628</v>
      </c>
      <c r="AA350" s="209">
        <v>0.1105628</v>
      </c>
      <c r="AB350" s="209">
        <v>0.1105628</v>
      </c>
      <c r="AC350" s="209">
        <v>0.1105628</v>
      </c>
      <c r="AD350" s="209">
        <v>0.1105628</v>
      </c>
      <c r="AE350" s="209">
        <v>0.1105628</v>
      </c>
      <c r="AF350" s="220">
        <v>0.1105628</v>
      </c>
      <c r="AG350" s="436"/>
    </row>
    <row r="351" spans="1:33">
      <c r="A351" s="215" t="s">
        <v>944</v>
      </c>
      <c r="B351" s="232" t="s">
        <v>941</v>
      </c>
      <c r="C351" s="232">
        <v>2035</v>
      </c>
      <c r="D351" s="232" t="s">
        <v>674</v>
      </c>
      <c r="E351" s="209">
        <v>0.1105628</v>
      </c>
      <c r="F351" s="209">
        <v>0.1105628</v>
      </c>
      <c r="G351" s="209">
        <v>0.1105628</v>
      </c>
      <c r="H351" s="209">
        <v>0.1105628</v>
      </c>
      <c r="I351" s="209">
        <v>0.1105628</v>
      </c>
      <c r="J351" s="209">
        <v>0.1105628</v>
      </c>
      <c r="K351" s="209">
        <v>0.1105628</v>
      </c>
      <c r="L351" s="209">
        <v>0.1105628</v>
      </c>
      <c r="M351" s="209">
        <v>0.1105628</v>
      </c>
      <c r="N351" s="209">
        <v>0.1105628</v>
      </c>
      <c r="O351" s="209">
        <v>0.1105628</v>
      </c>
      <c r="P351" s="209">
        <v>0.1105628</v>
      </c>
      <c r="Q351" s="209">
        <v>0.1105628</v>
      </c>
      <c r="R351" s="209">
        <v>0.1105628</v>
      </c>
      <c r="S351" s="209">
        <v>0.1105628</v>
      </c>
      <c r="T351" s="209">
        <v>0.1105628</v>
      </c>
      <c r="U351" s="209">
        <v>0.1105628</v>
      </c>
      <c r="V351" s="209">
        <v>0.1105628</v>
      </c>
      <c r="W351" s="209">
        <v>0.1105628</v>
      </c>
      <c r="X351" s="209">
        <v>0.1105628</v>
      </c>
      <c r="Y351" s="209">
        <v>0.1105628</v>
      </c>
      <c r="Z351" s="209">
        <v>0.1105628</v>
      </c>
      <c r="AA351" s="209">
        <v>0.1105628</v>
      </c>
      <c r="AB351" s="209">
        <v>0.1105628</v>
      </c>
      <c r="AC351" s="209">
        <v>0.1105628</v>
      </c>
      <c r="AD351" s="209">
        <v>0.1105628</v>
      </c>
      <c r="AE351" s="209">
        <v>0.1105628</v>
      </c>
      <c r="AF351" s="220">
        <v>0.1105628</v>
      </c>
      <c r="AG351" s="436"/>
    </row>
    <row r="352" spans="1:33">
      <c r="A352" s="215" t="s">
        <v>944</v>
      </c>
      <c r="B352" s="232" t="s">
        <v>941</v>
      </c>
      <c r="C352" s="232">
        <v>2040</v>
      </c>
      <c r="D352" s="232" t="s">
        <v>674</v>
      </c>
      <c r="E352" s="209">
        <v>0.1105628</v>
      </c>
      <c r="F352" s="209">
        <v>0.1105628</v>
      </c>
      <c r="G352" s="209">
        <v>0.1105628</v>
      </c>
      <c r="H352" s="209">
        <v>0.1105628</v>
      </c>
      <c r="I352" s="209">
        <v>0.1105628</v>
      </c>
      <c r="J352" s="209">
        <v>0.1105628</v>
      </c>
      <c r="K352" s="209">
        <v>0.1105628</v>
      </c>
      <c r="L352" s="209">
        <v>0.1105628</v>
      </c>
      <c r="M352" s="209">
        <v>0.1105628</v>
      </c>
      <c r="N352" s="209">
        <v>0.1105628</v>
      </c>
      <c r="O352" s="209">
        <v>0.1105628</v>
      </c>
      <c r="P352" s="209">
        <v>0.1105628</v>
      </c>
      <c r="Q352" s="209">
        <v>0.1105628</v>
      </c>
      <c r="R352" s="209">
        <v>0.1105628</v>
      </c>
      <c r="S352" s="209">
        <v>0.1105628</v>
      </c>
      <c r="T352" s="209">
        <v>0.1105628</v>
      </c>
      <c r="U352" s="209">
        <v>0.1105628</v>
      </c>
      <c r="V352" s="209">
        <v>0.1105628</v>
      </c>
      <c r="W352" s="209">
        <v>0.1105628</v>
      </c>
      <c r="X352" s="209">
        <v>0.1105628</v>
      </c>
      <c r="Y352" s="209">
        <v>0.1105628</v>
      </c>
      <c r="Z352" s="209">
        <v>0.1105628</v>
      </c>
      <c r="AA352" s="209">
        <v>0.1105628</v>
      </c>
      <c r="AB352" s="209">
        <v>0.1105628</v>
      </c>
      <c r="AC352" s="209">
        <v>0.1105628</v>
      </c>
      <c r="AD352" s="209">
        <v>0.1105628</v>
      </c>
      <c r="AE352" s="209">
        <v>0.1105628</v>
      </c>
      <c r="AF352" s="220">
        <v>0.1105628</v>
      </c>
      <c r="AG352" s="436"/>
    </row>
    <row r="353" spans="1:33">
      <c r="A353" s="215" t="s">
        <v>944</v>
      </c>
      <c r="B353" s="232" t="s">
        <v>941</v>
      </c>
      <c r="C353" s="232">
        <v>2045</v>
      </c>
      <c r="D353" s="232" t="s">
        <v>674</v>
      </c>
      <c r="E353" s="209">
        <v>0.1105628</v>
      </c>
      <c r="F353" s="209">
        <v>0.1105628</v>
      </c>
      <c r="G353" s="209">
        <v>0.1105628</v>
      </c>
      <c r="H353" s="209">
        <v>0.1105628</v>
      </c>
      <c r="I353" s="209">
        <v>0.1105628</v>
      </c>
      <c r="J353" s="209">
        <v>0.1105628</v>
      </c>
      <c r="K353" s="209">
        <v>0.1105628</v>
      </c>
      <c r="L353" s="209">
        <v>0.1105628</v>
      </c>
      <c r="M353" s="209">
        <v>0.1105628</v>
      </c>
      <c r="N353" s="209">
        <v>0.1105628</v>
      </c>
      <c r="O353" s="209">
        <v>0.1105628</v>
      </c>
      <c r="P353" s="209">
        <v>0.1105628</v>
      </c>
      <c r="Q353" s="209">
        <v>0.1105628</v>
      </c>
      <c r="R353" s="209">
        <v>0.1105628</v>
      </c>
      <c r="S353" s="209">
        <v>0.1105628</v>
      </c>
      <c r="T353" s="209">
        <v>0.1105628</v>
      </c>
      <c r="U353" s="209">
        <v>0.1105628</v>
      </c>
      <c r="V353" s="209">
        <v>0.1105628</v>
      </c>
      <c r="W353" s="209">
        <v>0.1105628</v>
      </c>
      <c r="X353" s="209">
        <v>0.1105628</v>
      </c>
      <c r="Y353" s="209">
        <v>0.1105628</v>
      </c>
      <c r="Z353" s="209">
        <v>0.1105628</v>
      </c>
      <c r="AA353" s="209">
        <v>0.1105628</v>
      </c>
      <c r="AB353" s="209">
        <v>0.1105628</v>
      </c>
      <c r="AC353" s="209">
        <v>0.1105628</v>
      </c>
      <c r="AD353" s="209">
        <v>0.1105628</v>
      </c>
      <c r="AE353" s="209">
        <v>0.1105628</v>
      </c>
      <c r="AF353" s="220">
        <v>0.1105628</v>
      </c>
      <c r="AG353" s="436"/>
    </row>
    <row r="354" spans="1:33">
      <c r="A354" s="215" t="s">
        <v>944</v>
      </c>
      <c r="B354" s="232" t="s">
        <v>941</v>
      </c>
      <c r="C354" s="232">
        <v>2050</v>
      </c>
      <c r="D354" s="232" t="s">
        <v>674</v>
      </c>
      <c r="E354" s="209">
        <v>0.1105628</v>
      </c>
      <c r="F354" s="209">
        <v>0.1105628</v>
      </c>
      <c r="G354" s="209">
        <v>0.1105628</v>
      </c>
      <c r="H354" s="209">
        <v>0.1105628</v>
      </c>
      <c r="I354" s="209">
        <v>0.1105628</v>
      </c>
      <c r="J354" s="209">
        <v>0.1105628</v>
      </c>
      <c r="K354" s="209">
        <v>0.1105628</v>
      </c>
      <c r="L354" s="209">
        <v>0.1105628</v>
      </c>
      <c r="M354" s="209">
        <v>0.1105628</v>
      </c>
      <c r="N354" s="209">
        <v>0.1105628</v>
      </c>
      <c r="O354" s="209">
        <v>0.1105628</v>
      </c>
      <c r="P354" s="209">
        <v>0.1105628</v>
      </c>
      <c r="Q354" s="209">
        <v>0.1105628</v>
      </c>
      <c r="R354" s="209">
        <v>0.1105628</v>
      </c>
      <c r="S354" s="209">
        <v>0.1105628</v>
      </c>
      <c r="T354" s="209">
        <v>0.1105628</v>
      </c>
      <c r="U354" s="209">
        <v>0.1105628</v>
      </c>
      <c r="V354" s="209">
        <v>0.1105628</v>
      </c>
      <c r="W354" s="209">
        <v>0.1105628</v>
      </c>
      <c r="X354" s="209">
        <v>0.1105628</v>
      </c>
      <c r="Y354" s="209">
        <v>0.1105628</v>
      </c>
      <c r="Z354" s="209">
        <v>0.1105628</v>
      </c>
      <c r="AA354" s="209">
        <v>0.1105628</v>
      </c>
      <c r="AB354" s="209">
        <v>0.1105628</v>
      </c>
      <c r="AC354" s="209">
        <v>0.1105628</v>
      </c>
      <c r="AD354" s="209">
        <v>0.1105628</v>
      </c>
      <c r="AE354" s="209">
        <v>0.1105628</v>
      </c>
      <c r="AF354" s="220">
        <v>0.1105628</v>
      </c>
      <c r="AG354" s="436"/>
    </row>
    <row r="355" spans="1:33">
      <c r="A355" s="215" t="s">
        <v>944</v>
      </c>
      <c r="B355" s="232" t="s">
        <v>941</v>
      </c>
      <c r="C355" s="232">
        <v>2060</v>
      </c>
      <c r="D355" s="232" t="s">
        <v>674</v>
      </c>
      <c r="E355" s="209">
        <v>0.1105628</v>
      </c>
      <c r="F355" s="209">
        <v>0.1105628</v>
      </c>
      <c r="G355" s="209">
        <v>0.1105628</v>
      </c>
      <c r="H355" s="209">
        <v>0.1105628</v>
      </c>
      <c r="I355" s="209">
        <v>0.1105628</v>
      </c>
      <c r="J355" s="209">
        <v>0.1105628</v>
      </c>
      <c r="K355" s="209">
        <v>0.1105628</v>
      </c>
      <c r="L355" s="209">
        <v>0.1105628</v>
      </c>
      <c r="M355" s="209">
        <v>0.1105628</v>
      </c>
      <c r="N355" s="209">
        <v>0.1105628</v>
      </c>
      <c r="O355" s="209">
        <v>0.1105628</v>
      </c>
      <c r="P355" s="209">
        <v>0.1105628</v>
      </c>
      <c r="Q355" s="209">
        <v>0.1105628</v>
      </c>
      <c r="R355" s="209">
        <v>0.1105628</v>
      </c>
      <c r="S355" s="209">
        <v>0.1105628</v>
      </c>
      <c r="T355" s="209">
        <v>0.1105628</v>
      </c>
      <c r="U355" s="209">
        <v>0.1105628</v>
      </c>
      <c r="V355" s="209">
        <v>0.1105628</v>
      </c>
      <c r="W355" s="209">
        <v>0.1105628</v>
      </c>
      <c r="X355" s="209">
        <v>0.1105628</v>
      </c>
      <c r="Y355" s="209">
        <v>0.1105628</v>
      </c>
      <c r="Z355" s="209">
        <v>0.1105628</v>
      </c>
      <c r="AA355" s="209">
        <v>0.1105628</v>
      </c>
      <c r="AB355" s="209">
        <v>0.1105628</v>
      </c>
      <c r="AC355" s="209">
        <v>0.1105628</v>
      </c>
      <c r="AD355" s="209">
        <v>0.1105628</v>
      </c>
      <c r="AE355" s="209">
        <v>0.1105628</v>
      </c>
      <c r="AF355" s="220">
        <v>0.1105628</v>
      </c>
      <c r="AG355" s="436"/>
    </row>
    <row r="356" spans="1:33">
      <c r="A356" s="215" t="s">
        <v>944</v>
      </c>
      <c r="B356" s="232" t="s">
        <v>941</v>
      </c>
      <c r="C356" s="232">
        <v>2070</v>
      </c>
      <c r="D356" s="232" t="s">
        <v>674</v>
      </c>
      <c r="E356" s="209">
        <v>0.1105628</v>
      </c>
      <c r="F356" s="209">
        <v>0.1105628</v>
      </c>
      <c r="G356" s="209">
        <v>0.1105628</v>
      </c>
      <c r="H356" s="209">
        <v>0.1105628</v>
      </c>
      <c r="I356" s="209">
        <v>0.1105628</v>
      </c>
      <c r="J356" s="209">
        <v>0.1105628</v>
      </c>
      <c r="K356" s="209">
        <v>0.1105628</v>
      </c>
      <c r="L356" s="209">
        <v>0.1105628</v>
      </c>
      <c r="M356" s="209">
        <v>0.1105628</v>
      </c>
      <c r="N356" s="209">
        <v>0.1105628</v>
      </c>
      <c r="O356" s="209">
        <v>0.1105628</v>
      </c>
      <c r="P356" s="209">
        <v>0.1105628</v>
      </c>
      <c r="Q356" s="209">
        <v>0.1105628</v>
      </c>
      <c r="R356" s="209">
        <v>0.1105628</v>
      </c>
      <c r="S356" s="209">
        <v>0.1105628</v>
      </c>
      <c r="T356" s="209">
        <v>0.1105628</v>
      </c>
      <c r="U356" s="209">
        <v>0.1105628</v>
      </c>
      <c r="V356" s="209">
        <v>0.1105628</v>
      </c>
      <c r="W356" s="209">
        <v>0.1105628</v>
      </c>
      <c r="X356" s="209">
        <v>0.1105628</v>
      </c>
      <c r="Y356" s="209">
        <v>0.1105628</v>
      </c>
      <c r="Z356" s="209">
        <v>0.1105628</v>
      </c>
      <c r="AA356" s="209">
        <v>0.1105628</v>
      </c>
      <c r="AB356" s="209">
        <v>0.1105628</v>
      </c>
      <c r="AC356" s="209">
        <v>0.1105628</v>
      </c>
      <c r="AD356" s="209">
        <v>0.1105628</v>
      </c>
      <c r="AE356" s="209">
        <v>0.1105628</v>
      </c>
      <c r="AF356" s="220">
        <v>0.1105628</v>
      </c>
      <c r="AG356" s="436"/>
    </row>
    <row r="357" spans="1:33">
      <c r="A357" s="215" t="s">
        <v>944</v>
      </c>
      <c r="B357" s="232" t="s">
        <v>941</v>
      </c>
      <c r="C357" s="232">
        <v>2080</v>
      </c>
      <c r="D357" s="232" t="s">
        <v>674</v>
      </c>
      <c r="E357" s="209">
        <v>0.1105628</v>
      </c>
      <c r="F357" s="209">
        <v>0.1105628</v>
      </c>
      <c r="G357" s="209">
        <v>0.1105628</v>
      </c>
      <c r="H357" s="209">
        <v>0.1105628</v>
      </c>
      <c r="I357" s="209">
        <v>0.1105628</v>
      </c>
      <c r="J357" s="209">
        <v>0.1105628</v>
      </c>
      <c r="K357" s="209">
        <v>0.1105628</v>
      </c>
      <c r="L357" s="209">
        <v>0.1105628</v>
      </c>
      <c r="M357" s="209">
        <v>0.1105628</v>
      </c>
      <c r="N357" s="209">
        <v>0.1105628</v>
      </c>
      <c r="O357" s="209">
        <v>0.1105628</v>
      </c>
      <c r="P357" s="209">
        <v>0.1105628</v>
      </c>
      <c r="Q357" s="209">
        <v>0.1105628</v>
      </c>
      <c r="R357" s="209">
        <v>0.1105628</v>
      </c>
      <c r="S357" s="209">
        <v>0.1105628</v>
      </c>
      <c r="T357" s="209">
        <v>0.1105628</v>
      </c>
      <c r="U357" s="209">
        <v>0.1105628</v>
      </c>
      <c r="V357" s="209">
        <v>0.1105628</v>
      </c>
      <c r="W357" s="209">
        <v>0.1105628</v>
      </c>
      <c r="X357" s="209">
        <v>0.1105628</v>
      </c>
      <c r="Y357" s="209">
        <v>0.1105628</v>
      </c>
      <c r="Z357" s="209">
        <v>0.1105628</v>
      </c>
      <c r="AA357" s="209">
        <v>0.1105628</v>
      </c>
      <c r="AB357" s="209">
        <v>0.1105628</v>
      </c>
      <c r="AC357" s="209">
        <v>0.1105628</v>
      </c>
      <c r="AD357" s="209">
        <v>0.1105628</v>
      </c>
      <c r="AE357" s="209">
        <v>0.1105628</v>
      </c>
      <c r="AF357" s="220">
        <v>0.1105628</v>
      </c>
      <c r="AG357" s="436"/>
    </row>
    <row r="358" spans="1:33">
      <c r="A358" s="215" t="s">
        <v>944</v>
      </c>
      <c r="B358" s="232" t="s">
        <v>941</v>
      </c>
      <c r="C358" s="232">
        <v>2090</v>
      </c>
      <c r="D358" s="232" t="s">
        <v>674</v>
      </c>
      <c r="E358" s="209">
        <v>0.1105628</v>
      </c>
      <c r="F358" s="209">
        <v>0.1105628</v>
      </c>
      <c r="G358" s="209">
        <v>0.1105628</v>
      </c>
      <c r="H358" s="209">
        <v>0.1105628</v>
      </c>
      <c r="I358" s="209">
        <v>0.1105628</v>
      </c>
      <c r="J358" s="209">
        <v>0.1105628</v>
      </c>
      <c r="K358" s="209">
        <v>0.1105628</v>
      </c>
      <c r="L358" s="209">
        <v>0.1105628</v>
      </c>
      <c r="M358" s="209">
        <v>0.1105628</v>
      </c>
      <c r="N358" s="209">
        <v>0.1105628</v>
      </c>
      <c r="O358" s="209">
        <v>0.1105628</v>
      </c>
      <c r="P358" s="209">
        <v>0.1105628</v>
      </c>
      <c r="Q358" s="209">
        <v>0.1105628</v>
      </c>
      <c r="R358" s="209">
        <v>0.1105628</v>
      </c>
      <c r="S358" s="209">
        <v>0.1105628</v>
      </c>
      <c r="T358" s="209">
        <v>0.1105628</v>
      </c>
      <c r="U358" s="209">
        <v>0.1105628</v>
      </c>
      <c r="V358" s="209">
        <v>0.1105628</v>
      </c>
      <c r="W358" s="209">
        <v>0.1105628</v>
      </c>
      <c r="X358" s="209">
        <v>0.1105628</v>
      </c>
      <c r="Y358" s="209">
        <v>0.1105628</v>
      </c>
      <c r="Z358" s="209">
        <v>0.1105628</v>
      </c>
      <c r="AA358" s="209">
        <v>0.1105628</v>
      </c>
      <c r="AB358" s="209">
        <v>0.1105628</v>
      </c>
      <c r="AC358" s="209">
        <v>0.1105628</v>
      </c>
      <c r="AD358" s="209">
        <v>0.1105628</v>
      </c>
      <c r="AE358" s="209">
        <v>0.1105628</v>
      </c>
      <c r="AF358" s="220">
        <v>0.1105628</v>
      </c>
      <c r="AG358" s="436"/>
    </row>
    <row r="359" spans="1:33" ht="16.2" thickBot="1">
      <c r="A359" s="449" t="s">
        <v>944</v>
      </c>
      <c r="B359" s="450" t="s">
        <v>941</v>
      </c>
      <c r="C359" s="450">
        <v>2100</v>
      </c>
      <c r="D359" s="450" t="s">
        <v>674</v>
      </c>
      <c r="E359" s="212">
        <v>0.1105628</v>
      </c>
      <c r="F359" s="212">
        <v>0.1105628</v>
      </c>
      <c r="G359" s="212">
        <v>0.1105628</v>
      </c>
      <c r="H359" s="212">
        <v>0.1105628</v>
      </c>
      <c r="I359" s="212">
        <v>0.1105628</v>
      </c>
      <c r="J359" s="212">
        <v>0.1105628</v>
      </c>
      <c r="K359" s="212">
        <v>0.1105628</v>
      </c>
      <c r="L359" s="212">
        <v>0.1105628</v>
      </c>
      <c r="M359" s="212">
        <v>0.1105628</v>
      </c>
      <c r="N359" s="212">
        <v>0.1105628</v>
      </c>
      <c r="O359" s="212">
        <v>0.1105628</v>
      </c>
      <c r="P359" s="212">
        <v>0.1105628</v>
      </c>
      <c r="Q359" s="212">
        <v>0.1105628</v>
      </c>
      <c r="R359" s="212">
        <v>0.1105628</v>
      </c>
      <c r="S359" s="212">
        <v>0.1105628</v>
      </c>
      <c r="T359" s="212">
        <v>0.1105628</v>
      </c>
      <c r="U359" s="212">
        <v>0.1105628</v>
      </c>
      <c r="V359" s="212">
        <v>0.1105628</v>
      </c>
      <c r="W359" s="212">
        <v>0.1105628</v>
      </c>
      <c r="X359" s="212">
        <v>0.1105628</v>
      </c>
      <c r="Y359" s="212">
        <v>0.1105628</v>
      </c>
      <c r="Z359" s="212">
        <v>0.1105628</v>
      </c>
      <c r="AA359" s="212">
        <v>0.1105628</v>
      </c>
      <c r="AB359" s="212">
        <v>0.1105628</v>
      </c>
      <c r="AC359" s="212">
        <v>0.1105628</v>
      </c>
      <c r="AD359" s="212">
        <v>0.1105628</v>
      </c>
      <c r="AE359" s="212">
        <v>0.1105628</v>
      </c>
      <c r="AF359" s="451">
        <v>0.1105628</v>
      </c>
      <c r="AG359" s="452"/>
    </row>
    <row r="360" spans="1:33">
      <c r="A360" s="215" t="s">
        <v>946</v>
      </c>
      <c r="B360" s="232" t="s">
        <v>938</v>
      </c>
      <c r="C360" s="232">
        <v>2019</v>
      </c>
      <c r="D360" s="232" t="s">
        <v>674</v>
      </c>
      <c r="E360" s="209">
        <v>1.105628E-2</v>
      </c>
      <c r="F360" s="209">
        <v>1.105628E-2</v>
      </c>
      <c r="G360" s="209">
        <v>1.105628E-2</v>
      </c>
      <c r="H360" s="209">
        <v>1.105628E-2</v>
      </c>
      <c r="I360" s="209">
        <v>1.105628E-2</v>
      </c>
      <c r="J360" s="209">
        <v>1.105628E-2</v>
      </c>
      <c r="K360" s="209">
        <v>1.105628E-2</v>
      </c>
      <c r="L360" s="209">
        <v>1.105628E-2</v>
      </c>
      <c r="M360" s="209">
        <v>1.105628E-2</v>
      </c>
      <c r="N360" s="209">
        <v>1.105628E-2</v>
      </c>
      <c r="O360" s="209">
        <v>1.105628E-2</v>
      </c>
      <c r="P360" s="209">
        <v>1.105628E-2</v>
      </c>
      <c r="Q360" s="209">
        <v>1.105628E-2</v>
      </c>
      <c r="R360" s="209">
        <v>1.105628E-2</v>
      </c>
      <c r="S360" s="209">
        <v>1.105628E-2</v>
      </c>
      <c r="T360" s="209">
        <v>1.105628E-2</v>
      </c>
      <c r="U360" s="209">
        <v>1.105628E-2</v>
      </c>
      <c r="V360" s="209">
        <v>1.105628E-2</v>
      </c>
      <c r="W360" s="209">
        <v>1.105628E-2</v>
      </c>
      <c r="X360" s="209">
        <v>1.105628E-2</v>
      </c>
      <c r="Y360" s="209">
        <v>1.105628E-2</v>
      </c>
      <c r="Z360" s="209">
        <v>1.105628E-2</v>
      </c>
      <c r="AA360" s="209">
        <v>1.105628E-2</v>
      </c>
      <c r="AB360" s="209">
        <v>1.105628E-2</v>
      </c>
      <c r="AC360" s="209">
        <v>1.105628E-2</v>
      </c>
      <c r="AD360" s="209">
        <v>1.105628E-2</v>
      </c>
      <c r="AE360" s="209">
        <v>1.105628E-2</v>
      </c>
      <c r="AF360" s="220">
        <v>1.105628E-2</v>
      </c>
      <c r="AG360" s="436"/>
    </row>
    <row r="361" spans="1:33">
      <c r="A361" s="215" t="s">
        <v>946</v>
      </c>
      <c r="B361" s="232" t="s">
        <v>938</v>
      </c>
      <c r="C361">
        <v>2020</v>
      </c>
      <c r="D361" s="232" t="s">
        <v>674</v>
      </c>
      <c r="E361" s="209">
        <v>1.105628E-2</v>
      </c>
      <c r="F361" s="209">
        <v>1.105628E-2</v>
      </c>
      <c r="G361" s="209">
        <v>1.105628E-2</v>
      </c>
      <c r="H361" s="209">
        <v>1.105628E-2</v>
      </c>
      <c r="I361" s="209">
        <v>1.105628E-2</v>
      </c>
      <c r="J361" s="209">
        <v>1.105628E-2</v>
      </c>
      <c r="K361" s="209">
        <v>1.105628E-2</v>
      </c>
      <c r="L361" s="209">
        <v>1.105628E-2</v>
      </c>
      <c r="M361" s="209">
        <v>1.105628E-2</v>
      </c>
      <c r="N361" s="209">
        <v>1.105628E-2</v>
      </c>
      <c r="O361" s="209">
        <v>1.105628E-2</v>
      </c>
      <c r="P361" s="209">
        <v>1.105628E-2</v>
      </c>
      <c r="Q361" s="209">
        <v>1.105628E-2</v>
      </c>
      <c r="R361" s="209">
        <v>1.105628E-2</v>
      </c>
      <c r="S361" s="209">
        <v>1.105628E-2</v>
      </c>
      <c r="T361" s="209">
        <v>1.105628E-2</v>
      </c>
      <c r="U361" s="209">
        <v>1.105628E-2</v>
      </c>
      <c r="V361" s="209">
        <v>1.105628E-2</v>
      </c>
      <c r="W361" s="209">
        <v>1.105628E-2</v>
      </c>
      <c r="X361" s="209">
        <v>1.105628E-2</v>
      </c>
      <c r="Y361" s="209">
        <v>1.105628E-2</v>
      </c>
      <c r="Z361" s="209">
        <v>1.105628E-2</v>
      </c>
      <c r="AA361" s="209">
        <v>1.105628E-2</v>
      </c>
      <c r="AB361" s="209">
        <v>1.105628E-2</v>
      </c>
      <c r="AC361" s="209">
        <v>1.105628E-2</v>
      </c>
      <c r="AD361" s="209">
        <v>1.105628E-2</v>
      </c>
      <c r="AE361" s="209">
        <v>1.105628E-2</v>
      </c>
      <c r="AF361" s="220">
        <v>1.105628E-2</v>
      </c>
      <c r="AG361" s="436"/>
    </row>
    <row r="362" spans="1:33">
      <c r="A362" s="215" t="s">
        <v>946</v>
      </c>
      <c r="B362" s="232" t="s">
        <v>938</v>
      </c>
      <c r="C362" s="232">
        <v>2025</v>
      </c>
      <c r="D362" s="232" t="s">
        <v>674</v>
      </c>
      <c r="E362" s="209">
        <v>1.105628E-2</v>
      </c>
      <c r="F362" s="209">
        <v>1.105628E-2</v>
      </c>
      <c r="G362" s="209">
        <v>1.105628E-2</v>
      </c>
      <c r="H362" s="209">
        <v>1.105628E-2</v>
      </c>
      <c r="I362" s="209">
        <v>1.105628E-2</v>
      </c>
      <c r="J362" s="209">
        <v>1.105628E-2</v>
      </c>
      <c r="K362" s="209">
        <v>1.105628E-2</v>
      </c>
      <c r="L362" s="209">
        <v>1.105628E-2</v>
      </c>
      <c r="M362" s="209">
        <v>1.105628E-2</v>
      </c>
      <c r="N362" s="209">
        <v>1.105628E-2</v>
      </c>
      <c r="O362" s="209">
        <v>1.105628E-2</v>
      </c>
      <c r="P362" s="209">
        <v>1.105628E-2</v>
      </c>
      <c r="Q362" s="209">
        <v>1.105628E-2</v>
      </c>
      <c r="R362" s="209">
        <v>1.105628E-2</v>
      </c>
      <c r="S362" s="209">
        <v>1.105628E-2</v>
      </c>
      <c r="T362" s="209">
        <v>1.105628E-2</v>
      </c>
      <c r="U362" s="209">
        <v>1.105628E-2</v>
      </c>
      <c r="V362" s="209">
        <v>1.105628E-2</v>
      </c>
      <c r="W362" s="209">
        <v>1.105628E-2</v>
      </c>
      <c r="X362" s="209">
        <v>1.105628E-2</v>
      </c>
      <c r="Y362" s="209">
        <v>1.105628E-2</v>
      </c>
      <c r="Z362" s="209">
        <v>1.105628E-2</v>
      </c>
      <c r="AA362" s="209">
        <v>1.105628E-2</v>
      </c>
      <c r="AB362" s="209">
        <v>1.105628E-2</v>
      </c>
      <c r="AC362" s="209">
        <v>1.105628E-2</v>
      </c>
      <c r="AD362" s="209">
        <v>1.105628E-2</v>
      </c>
      <c r="AE362" s="209">
        <v>1.105628E-2</v>
      </c>
      <c r="AF362" s="220">
        <v>1.105628E-2</v>
      </c>
      <c r="AG362" s="436"/>
    </row>
    <row r="363" spans="1:33">
      <c r="A363" s="215" t="s">
        <v>946</v>
      </c>
      <c r="B363" s="232" t="s">
        <v>938</v>
      </c>
      <c r="C363" s="232">
        <v>2030</v>
      </c>
      <c r="D363" s="232" t="s">
        <v>674</v>
      </c>
      <c r="E363" s="209">
        <v>1.105628E-2</v>
      </c>
      <c r="F363" s="209">
        <v>1.105628E-2</v>
      </c>
      <c r="G363" s="209">
        <v>1.105628E-2</v>
      </c>
      <c r="H363" s="209">
        <v>1.105628E-2</v>
      </c>
      <c r="I363" s="209">
        <v>1.105628E-2</v>
      </c>
      <c r="J363" s="209">
        <v>1.105628E-2</v>
      </c>
      <c r="K363" s="209">
        <v>1.105628E-2</v>
      </c>
      <c r="L363" s="209">
        <v>1.105628E-2</v>
      </c>
      <c r="M363" s="209">
        <v>1.105628E-2</v>
      </c>
      <c r="N363" s="209">
        <v>1.105628E-2</v>
      </c>
      <c r="O363" s="209">
        <v>1.105628E-2</v>
      </c>
      <c r="P363" s="209">
        <v>1.105628E-2</v>
      </c>
      <c r="Q363" s="209">
        <v>1.105628E-2</v>
      </c>
      <c r="R363" s="209">
        <v>1.105628E-2</v>
      </c>
      <c r="S363" s="209">
        <v>1.105628E-2</v>
      </c>
      <c r="T363" s="209">
        <v>1.105628E-2</v>
      </c>
      <c r="U363" s="209">
        <v>1.105628E-2</v>
      </c>
      <c r="V363" s="209">
        <v>1.105628E-2</v>
      </c>
      <c r="W363" s="209">
        <v>1.105628E-2</v>
      </c>
      <c r="X363" s="209">
        <v>1.105628E-2</v>
      </c>
      <c r="Y363" s="209">
        <v>1.105628E-2</v>
      </c>
      <c r="Z363" s="209">
        <v>1.105628E-2</v>
      </c>
      <c r="AA363" s="209">
        <v>1.105628E-2</v>
      </c>
      <c r="AB363" s="209">
        <v>1.105628E-2</v>
      </c>
      <c r="AC363" s="209">
        <v>1.105628E-2</v>
      </c>
      <c r="AD363" s="209">
        <v>1.105628E-2</v>
      </c>
      <c r="AE363" s="209">
        <v>1.105628E-2</v>
      </c>
      <c r="AF363" s="220">
        <v>1.105628E-2</v>
      </c>
      <c r="AG363" s="436"/>
    </row>
    <row r="364" spans="1:33">
      <c r="A364" s="215" t="s">
        <v>946</v>
      </c>
      <c r="B364" s="232" t="s">
        <v>938</v>
      </c>
      <c r="C364" s="232">
        <v>2035</v>
      </c>
      <c r="D364" s="232" t="s">
        <v>674</v>
      </c>
      <c r="E364" s="209">
        <v>1.105628E-2</v>
      </c>
      <c r="F364" s="209">
        <v>1.105628E-2</v>
      </c>
      <c r="G364" s="209">
        <v>1.105628E-2</v>
      </c>
      <c r="H364" s="209">
        <v>1.105628E-2</v>
      </c>
      <c r="I364" s="209">
        <v>1.105628E-2</v>
      </c>
      <c r="J364" s="209">
        <v>1.105628E-2</v>
      </c>
      <c r="K364" s="209">
        <v>1.105628E-2</v>
      </c>
      <c r="L364" s="209">
        <v>1.105628E-2</v>
      </c>
      <c r="M364" s="209">
        <v>1.105628E-2</v>
      </c>
      <c r="N364" s="209">
        <v>1.105628E-2</v>
      </c>
      <c r="O364" s="209">
        <v>1.105628E-2</v>
      </c>
      <c r="P364" s="209">
        <v>1.105628E-2</v>
      </c>
      <c r="Q364" s="209">
        <v>1.105628E-2</v>
      </c>
      <c r="R364" s="209">
        <v>1.105628E-2</v>
      </c>
      <c r="S364" s="209">
        <v>1.105628E-2</v>
      </c>
      <c r="T364" s="209">
        <v>1.105628E-2</v>
      </c>
      <c r="U364" s="209">
        <v>1.105628E-2</v>
      </c>
      <c r="V364" s="209">
        <v>1.105628E-2</v>
      </c>
      <c r="W364" s="209">
        <v>1.105628E-2</v>
      </c>
      <c r="X364" s="209">
        <v>1.105628E-2</v>
      </c>
      <c r="Y364" s="209">
        <v>1.105628E-2</v>
      </c>
      <c r="Z364" s="209">
        <v>1.105628E-2</v>
      </c>
      <c r="AA364" s="209">
        <v>1.105628E-2</v>
      </c>
      <c r="AB364" s="209">
        <v>1.105628E-2</v>
      </c>
      <c r="AC364" s="209">
        <v>1.105628E-2</v>
      </c>
      <c r="AD364" s="209">
        <v>1.105628E-2</v>
      </c>
      <c r="AE364" s="209">
        <v>1.105628E-2</v>
      </c>
      <c r="AF364" s="220">
        <v>1.105628E-2</v>
      </c>
      <c r="AG364" s="436"/>
    </row>
    <row r="365" spans="1:33">
      <c r="A365" s="215" t="s">
        <v>946</v>
      </c>
      <c r="B365" s="232" t="s">
        <v>938</v>
      </c>
      <c r="C365" s="232">
        <v>2040</v>
      </c>
      <c r="D365" s="232" t="s">
        <v>674</v>
      </c>
      <c r="E365" s="209">
        <v>1.105628E-2</v>
      </c>
      <c r="F365" s="209">
        <v>1.105628E-2</v>
      </c>
      <c r="G365" s="209">
        <v>1.105628E-2</v>
      </c>
      <c r="H365" s="209">
        <v>1.105628E-2</v>
      </c>
      <c r="I365" s="209">
        <v>1.105628E-2</v>
      </c>
      <c r="J365" s="209">
        <v>1.105628E-2</v>
      </c>
      <c r="K365" s="209">
        <v>1.105628E-2</v>
      </c>
      <c r="L365" s="209">
        <v>1.105628E-2</v>
      </c>
      <c r="M365" s="209">
        <v>1.105628E-2</v>
      </c>
      <c r="N365" s="209">
        <v>1.105628E-2</v>
      </c>
      <c r="O365" s="209">
        <v>1.105628E-2</v>
      </c>
      <c r="P365" s="209">
        <v>1.105628E-2</v>
      </c>
      <c r="Q365" s="209">
        <v>1.105628E-2</v>
      </c>
      <c r="R365" s="209">
        <v>1.105628E-2</v>
      </c>
      <c r="S365" s="209">
        <v>1.105628E-2</v>
      </c>
      <c r="T365" s="209">
        <v>1.105628E-2</v>
      </c>
      <c r="U365" s="209">
        <v>1.105628E-2</v>
      </c>
      <c r="V365" s="209">
        <v>1.105628E-2</v>
      </c>
      <c r="W365" s="209">
        <v>1.105628E-2</v>
      </c>
      <c r="X365" s="209">
        <v>1.105628E-2</v>
      </c>
      <c r="Y365" s="209">
        <v>1.105628E-2</v>
      </c>
      <c r="Z365" s="209">
        <v>1.105628E-2</v>
      </c>
      <c r="AA365" s="209">
        <v>1.105628E-2</v>
      </c>
      <c r="AB365" s="209">
        <v>1.105628E-2</v>
      </c>
      <c r="AC365" s="209">
        <v>1.105628E-2</v>
      </c>
      <c r="AD365" s="209">
        <v>1.105628E-2</v>
      </c>
      <c r="AE365" s="209">
        <v>1.105628E-2</v>
      </c>
      <c r="AF365" s="220">
        <v>1.105628E-2</v>
      </c>
      <c r="AG365" s="436"/>
    </row>
    <row r="366" spans="1:33">
      <c r="A366" s="215" t="s">
        <v>946</v>
      </c>
      <c r="B366" s="232" t="s">
        <v>938</v>
      </c>
      <c r="C366" s="232">
        <v>2045</v>
      </c>
      <c r="D366" s="232" t="s">
        <v>674</v>
      </c>
      <c r="E366" s="209">
        <v>1.105628E-2</v>
      </c>
      <c r="F366" s="209">
        <v>1.105628E-2</v>
      </c>
      <c r="G366" s="209">
        <v>1.105628E-2</v>
      </c>
      <c r="H366" s="209">
        <v>1.105628E-2</v>
      </c>
      <c r="I366" s="209">
        <v>1.105628E-2</v>
      </c>
      <c r="J366" s="209">
        <v>1.105628E-2</v>
      </c>
      <c r="K366" s="209">
        <v>1.105628E-2</v>
      </c>
      <c r="L366" s="209">
        <v>1.105628E-2</v>
      </c>
      <c r="M366" s="209">
        <v>1.105628E-2</v>
      </c>
      <c r="N366" s="209">
        <v>1.105628E-2</v>
      </c>
      <c r="O366" s="209">
        <v>1.105628E-2</v>
      </c>
      <c r="P366" s="209">
        <v>1.105628E-2</v>
      </c>
      <c r="Q366" s="209">
        <v>1.105628E-2</v>
      </c>
      <c r="R366" s="209">
        <v>1.105628E-2</v>
      </c>
      <c r="S366" s="209">
        <v>1.105628E-2</v>
      </c>
      <c r="T366" s="209">
        <v>1.105628E-2</v>
      </c>
      <c r="U366" s="209">
        <v>1.105628E-2</v>
      </c>
      <c r="V366" s="209">
        <v>1.105628E-2</v>
      </c>
      <c r="W366" s="209">
        <v>1.105628E-2</v>
      </c>
      <c r="X366" s="209">
        <v>1.105628E-2</v>
      </c>
      <c r="Y366" s="209">
        <v>1.105628E-2</v>
      </c>
      <c r="Z366" s="209">
        <v>1.105628E-2</v>
      </c>
      <c r="AA366" s="209">
        <v>1.105628E-2</v>
      </c>
      <c r="AB366" s="209">
        <v>1.105628E-2</v>
      </c>
      <c r="AC366" s="209">
        <v>1.105628E-2</v>
      </c>
      <c r="AD366" s="209">
        <v>1.105628E-2</v>
      </c>
      <c r="AE366" s="209">
        <v>1.105628E-2</v>
      </c>
      <c r="AF366" s="220">
        <v>1.105628E-2</v>
      </c>
      <c r="AG366" s="436"/>
    </row>
    <row r="367" spans="1:33">
      <c r="A367" s="215" t="s">
        <v>946</v>
      </c>
      <c r="B367" s="232" t="s">
        <v>938</v>
      </c>
      <c r="C367" s="232">
        <v>2050</v>
      </c>
      <c r="D367" s="232" t="s">
        <v>674</v>
      </c>
      <c r="E367" s="209">
        <v>1.105628E-2</v>
      </c>
      <c r="F367" s="209">
        <v>1.105628E-2</v>
      </c>
      <c r="G367" s="209">
        <v>1.105628E-2</v>
      </c>
      <c r="H367" s="209">
        <v>1.105628E-2</v>
      </c>
      <c r="I367" s="209">
        <v>1.105628E-2</v>
      </c>
      <c r="J367" s="209">
        <v>1.105628E-2</v>
      </c>
      <c r="K367" s="209">
        <v>1.105628E-2</v>
      </c>
      <c r="L367" s="209">
        <v>1.105628E-2</v>
      </c>
      <c r="M367" s="209">
        <v>1.105628E-2</v>
      </c>
      <c r="N367" s="209">
        <v>1.105628E-2</v>
      </c>
      <c r="O367" s="209">
        <v>1.105628E-2</v>
      </c>
      <c r="P367" s="209">
        <v>1.105628E-2</v>
      </c>
      <c r="Q367" s="209">
        <v>1.105628E-2</v>
      </c>
      <c r="R367" s="209">
        <v>1.105628E-2</v>
      </c>
      <c r="S367" s="209">
        <v>1.105628E-2</v>
      </c>
      <c r="T367" s="209">
        <v>1.105628E-2</v>
      </c>
      <c r="U367" s="209">
        <v>1.105628E-2</v>
      </c>
      <c r="V367" s="209">
        <v>1.105628E-2</v>
      </c>
      <c r="W367" s="209">
        <v>1.105628E-2</v>
      </c>
      <c r="X367" s="209">
        <v>1.105628E-2</v>
      </c>
      <c r="Y367" s="209">
        <v>1.105628E-2</v>
      </c>
      <c r="Z367" s="209">
        <v>1.105628E-2</v>
      </c>
      <c r="AA367" s="209">
        <v>1.105628E-2</v>
      </c>
      <c r="AB367" s="209">
        <v>1.105628E-2</v>
      </c>
      <c r="AC367" s="209">
        <v>1.105628E-2</v>
      </c>
      <c r="AD367" s="209">
        <v>1.105628E-2</v>
      </c>
      <c r="AE367" s="209">
        <v>1.105628E-2</v>
      </c>
      <c r="AF367" s="220">
        <v>1.105628E-2</v>
      </c>
      <c r="AG367" s="436"/>
    </row>
    <row r="368" spans="1:33">
      <c r="A368" s="215" t="s">
        <v>946</v>
      </c>
      <c r="B368" s="232" t="s">
        <v>938</v>
      </c>
      <c r="C368" s="232">
        <v>2060</v>
      </c>
      <c r="D368" s="232" t="s">
        <v>674</v>
      </c>
      <c r="E368" s="209">
        <v>1.105628E-2</v>
      </c>
      <c r="F368" s="209">
        <v>1.105628E-2</v>
      </c>
      <c r="G368" s="209">
        <v>1.105628E-2</v>
      </c>
      <c r="H368" s="209">
        <v>1.105628E-2</v>
      </c>
      <c r="I368" s="209">
        <v>1.105628E-2</v>
      </c>
      <c r="J368" s="209">
        <v>1.105628E-2</v>
      </c>
      <c r="K368" s="209">
        <v>1.105628E-2</v>
      </c>
      <c r="L368" s="209">
        <v>1.105628E-2</v>
      </c>
      <c r="M368" s="209">
        <v>1.105628E-2</v>
      </c>
      <c r="N368" s="209">
        <v>1.105628E-2</v>
      </c>
      <c r="O368" s="209">
        <v>1.105628E-2</v>
      </c>
      <c r="P368" s="209">
        <v>1.105628E-2</v>
      </c>
      <c r="Q368" s="209">
        <v>1.105628E-2</v>
      </c>
      <c r="R368" s="209">
        <v>1.105628E-2</v>
      </c>
      <c r="S368" s="209">
        <v>1.105628E-2</v>
      </c>
      <c r="T368" s="209">
        <v>1.105628E-2</v>
      </c>
      <c r="U368" s="209">
        <v>1.105628E-2</v>
      </c>
      <c r="V368" s="209">
        <v>1.105628E-2</v>
      </c>
      <c r="W368" s="209">
        <v>1.105628E-2</v>
      </c>
      <c r="X368" s="209">
        <v>1.105628E-2</v>
      </c>
      <c r="Y368" s="209">
        <v>1.105628E-2</v>
      </c>
      <c r="Z368" s="209">
        <v>1.105628E-2</v>
      </c>
      <c r="AA368" s="209">
        <v>1.105628E-2</v>
      </c>
      <c r="AB368" s="209">
        <v>1.105628E-2</v>
      </c>
      <c r="AC368" s="209">
        <v>1.105628E-2</v>
      </c>
      <c r="AD368" s="209">
        <v>1.105628E-2</v>
      </c>
      <c r="AE368" s="209">
        <v>1.105628E-2</v>
      </c>
      <c r="AF368" s="220">
        <v>1.105628E-2</v>
      </c>
      <c r="AG368" s="436"/>
    </row>
    <row r="369" spans="1:33">
      <c r="A369" s="215" t="s">
        <v>946</v>
      </c>
      <c r="B369" s="232" t="s">
        <v>938</v>
      </c>
      <c r="C369" s="232">
        <v>2070</v>
      </c>
      <c r="D369" s="232" t="s">
        <v>674</v>
      </c>
      <c r="E369" s="209">
        <v>1.105628E-2</v>
      </c>
      <c r="F369" s="209">
        <v>1.105628E-2</v>
      </c>
      <c r="G369" s="209">
        <v>1.105628E-2</v>
      </c>
      <c r="H369" s="209">
        <v>1.105628E-2</v>
      </c>
      <c r="I369" s="209">
        <v>1.105628E-2</v>
      </c>
      <c r="J369" s="209">
        <v>1.105628E-2</v>
      </c>
      <c r="K369" s="209">
        <v>1.105628E-2</v>
      </c>
      <c r="L369" s="209">
        <v>1.105628E-2</v>
      </c>
      <c r="M369" s="209">
        <v>1.105628E-2</v>
      </c>
      <c r="N369" s="209">
        <v>1.105628E-2</v>
      </c>
      <c r="O369" s="209">
        <v>1.105628E-2</v>
      </c>
      <c r="P369" s="209">
        <v>1.105628E-2</v>
      </c>
      <c r="Q369" s="209">
        <v>1.105628E-2</v>
      </c>
      <c r="R369" s="209">
        <v>1.105628E-2</v>
      </c>
      <c r="S369" s="209">
        <v>1.105628E-2</v>
      </c>
      <c r="T369" s="209">
        <v>1.105628E-2</v>
      </c>
      <c r="U369" s="209">
        <v>1.105628E-2</v>
      </c>
      <c r="V369" s="209">
        <v>1.105628E-2</v>
      </c>
      <c r="W369" s="209">
        <v>1.105628E-2</v>
      </c>
      <c r="X369" s="209">
        <v>1.105628E-2</v>
      </c>
      <c r="Y369" s="209">
        <v>1.105628E-2</v>
      </c>
      <c r="Z369" s="209">
        <v>1.105628E-2</v>
      </c>
      <c r="AA369" s="209">
        <v>1.105628E-2</v>
      </c>
      <c r="AB369" s="209">
        <v>1.105628E-2</v>
      </c>
      <c r="AC369" s="209">
        <v>1.105628E-2</v>
      </c>
      <c r="AD369" s="209">
        <v>1.105628E-2</v>
      </c>
      <c r="AE369" s="209">
        <v>1.105628E-2</v>
      </c>
      <c r="AF369" s="220">
        <v>1.105628E-2</v>
      </c>
      <c r="AG369" s="436"/>
    </row>
    <row r="370" spans="1:33">
      <c r="A370" s="215" t="s">
        <v>946</v>
      </c>
      <c r="B370" s="232" t="s">
        <v>938</v>
      </c>
      <c r="C370" s="232">
        <v>2080</v>
      </c>
      <c r="D370" s="232" t="s">
        <v>674</v>
      </c>
      <c r="E370" s="209">
        <v>1.105628E-2</v>
      </c>
      <c r="F370" s="209">
        <v>1.105628E-2</v>
      </c>
      <c r="G370" s="209">
        <v>1.105628E-2</v>
      </c>
      <c r="H370" s="209">
        <v>1.105628E-2</v>
      </c>
      <c r="I370" s="209">
        <v>1.105628E-2</v>
      </c>
      <c r="J370" s="209">
        <v>1.105628E-2</v>
      </c>
      <c r="K370" s="209">
        <v>1.105628E-2</v>
      </c>
      <c r="L370" s="209">
        <v>1.105628E-2</v>
      </c>
      <c r="M370" s="209">
        <v>1.105628E-2</v>
      </c>
      <c r="N370" s="209">
        <v>1.105628E-2</v>
      </c>
      <c r="O370" s="209">
        <v>1.105628E-2</v>
      </c>
      <c r="P370" s="209">
        <v>1.105628E-2</v>
      </c>
      <c r="Q370" s="209">
        <v>1.105628E-2</v>
      </c>
      <c r="R370" s="209">
        <v>1.105628E-2</v>
      </c>
      <c r="S370" s="209">
        <v>1.105628E-2</v>
      </c>
      <c r="T370" s="209">
        <v>1.105628E-2</v>
      </c>
      <c r="U370" s="209">
        <v>1.105628E-2</v>
      </c>
      <c r="V370" s="209">
        <v>1.105628E-2</v>
      </c>
      <c r="W370" s="209">
        <v>1.105628E-2</v>
      </c>
      <c r="X370" s="209">
        <v>1.105628E-2</v>
      </c>
      <c r="Y370" s="209">
        <v>1.105628E-2</v>
      </c>
      <c r="Z370" s="209">
        <v>1.105628E-2</v>
      </c>
      <c r="AA370" s="209">
        <v>1.105628E-2</v>
      </c>
      <c r="AB370" s="209">
        <v>1.105628E-2</v>
      </c>
      <c r="AC370" s="209">
        <v>1.105628E-2</v>
      </c>
      <c r="AD370" s="209">
        <v>1.105628E-2</v>
      </c>
      <c r="AE370" s="209">
        <v>1.105628E-2</v>
      </c>
      <c r="AF370" s="220">
        <v>1.105628E-2</v>
      </c>
      <c r="AG370" s="436"/>
    </row>
    <row r="371" spans="1:33">
      <c r="A371" s="215" t="s">
        <v>946</v>
      </c>
      <c r="B371" s="232" t="s">
        <v>938</v>
      </c>
      <c r="C371" s="232">
        <v>2090</v>
      </c>
      <c r="D371" s="232" t="s">
        <v>674</v>
      </c>
      <c r="E371" s="209">
        <v>1.105628E-2</v>
      </c>
      <c r="F371" s="209">
        <v>1.105628E-2</v>
      </c>
      <c r="G371" s="209">
        <v>1.105628E-2</v>
      </c>
      <c r="H371" s="209">
        <v>1.105628E-2</v>
      </c>
      <c r="I371" s="209">
        <v>1.105628E-2</v>
      </c>
      <c r="J371" s="209">
        <v>1.105628E-2</v>
      </c>
      <c r="K371" s="209">
        <v>1.105628E-2</v>
      </c>
      <c r="L371" s="209">
        <v>1.105628E-2</v>
      </c>
      <c r="M371" s="209">
        <v>1.105628E-2</v>
      </c>
      <c r="N371" s="209">
        <v>1.105628E-2</v>
      </c>
      <c r="O371" s="209">
        <v>1.105628E-2</v>
      </c>
      <c r="P371" s="209">
        <v>1.105628E-2</v>
      </c>
      <c r="Q371" s="209">
        <v>1.105628E-2</v>
      </c>
      <c r="R371" s="209">
        <v>1.105628E-2</v>
      </c>
      <c r="S371" s="209">
        <v>1.105628E-2</v>
      </c>
      <c r="T371" s="209">
        <v>1.105628E-2</v>
      </c>
      <c r="U371" s="209">
        <v>1.105628E-2</v>
      </c>
      <c r="V371" s="209">
        <v>1.105628E-2</v>
      </c>
      <c r="W371" s="209">
        <v>1.105628E-2</v>
      </c>
      <c r="X371" s="209">
        <v>1.105628E-2</v>
      </c>
      <c r="Y371" s="209">
        <v>1.105628E-2</v>
      </c>
      <c r="Z371" s="209">
        <v>1.105628E-2</v>
      </c>
      <c r="AA371" s="209">
        <v>1.105628E-2</v>
      </c>
      <c r="AB371" s="209">
        <v>1.105628E-2</v>
      </c>
      <c r="AC371" s="209">
        <v>1.105628E-2</v>
      </c>
      <c r="AD371" s="209">
        <v>1.105628E-2</v>
      </c>
      <c r="AE371" s="209">
        <v>1.105628E-2</v>
      </c>
      <c r="AF371" s="220">
        <v>1.105628E-2</v>
      </c>
      <c r="AG371" s="436"/>
    </row>
    <row r="372" spans="1:33">
      <c r="A372" s="229" t="s">
        <v>946</v>
      </c>
      <c r="B372" s="235" t="s">
        <v>938</v>
      </c>
      <c r="C372" s="235">
        <v>2100</v>
      </c>
      <c r="D372" s="235" t="s">
        <v>674</v>
      </c>
      <c r="E372" s="226">
        <v>1.105628E-2</v>
      </c>
      <c r="F372" s="226">
        <v>1.105628E-2</v>
      </c>
      <c r="G372" s="226">
        <v>1.105628E-2</v>
      </c>
      <c r="H372" s="226">
        <v>1.105628E-2</v>
      </c>
      <c r="I372" s="226">
        <v>1.105628E-2</v>
      </c>
      <c r="J372" s="226">
        <v>1.105628E-2</v>
      </c>
      <c r="K372" s="226">
        <v>1.105628E-2</v>
      </c>
      <c r="L372" s="226">
        <v>1.105628E-2</v>
      </c>
      <c r="M372" s="226">
        <v>1.105628E-2</v>
      </c>
      <c r="N372" s="226">
        <v>1.105628E-2</v>
      </c>
      <c r="O372" s="226">
        <v>1.105628E-2</v>
      </c>
      <c r="P372" s="226">
        <v>1.105628E-2</v>
      </c>
      <c r="Q372" s="226">
        <v>1.105628E-2</v>
      </c>
      <c r="R372" s="226">
        <v>1.105628E-2</v>
      </c>
      <c r="S372" s="226">
        <v>1.105628E-2</v>
      </c>
      <c r="T372" s="226">
        <v>1.105628E-2</v>
      </c>
      <c r="U372" s="226">
        <v>1.105628E-2</v>
      </c>
      <c r="V372" s="226">
        <v>1.105628E-2</v>
      </c>
      <c r="W372" s="226">
        <v>1.105628E-2</v>
      </c>
      <c r="X372" s="226">
        <v>1.105628E-2</v>
      </c>
      <c r="Y372" s="226">
        <v>1.105628E-2</v>
      </c>
      <c r="Z372" s="226">
        <v>1.105628E-2</v>
      </c>
      <c r="AA372" s="226">
        <v>1.105628E-2</v>
      </c>
      <c r="AB372" s="226">
        <v>1.105628E-2</v>
      </c>
      <c r="AC372" s="226">
        <v>1.105628E-2</v>
      </c>
      <c r="AD372" s="226">
        <v>1.105628E-2</v>
      </c>
      <c r="AE372" s="226">
        <v>1.105628E-2</v>
      </c>
      <c r="AF372" s="224">
        <v>1.105628E-2</v>
      </c>
      <c r="AG372" s="437"/>
    </row>
    <row r="373" spans="1:33">
      <c r="A373" s="215" t="s">
        <v>946</v>
      </c>
      <c r="B373" s="232" t="s">
        <v>940</v>
      </c>
      <c r="C373" s="232">
        <v>2019</v>
      </c>
      <c r="D373" s="232" t="s">
        <v>674</v>
      </c>
      <c r="E373" s="209">
        <v>5.5281400000000001E-2</v>
      </c>
      <c r="F373" s="209">
        <v>5.5281400000000001E-2</v>
      </c>
      <c r="G373" s="209">
        <v>5.5281400000000001E-2</v>
      </c>
      <c r="H373" s="209">
        <v>5.5281400000000001E-2</v>
      </c>
      <c r="I373" s="209">
        <v>5.5281400000000001E-2</v>
      </c>
      <c r="J373" s="209">
        <v>5.5281400000000001E-2</v>
      </c>
      <c r="K373" s="209">
        <v>5.5281400000000001E-2</v>
      </c>
      <c r="L373" s="209">
        <v>5.5281400000000001E-2</v>
      </c>
      <c r="M373" s="209">
        <v>5.5281400000000001E-2</v>
      </c>
      <c r="N373" s="209">
        <v>5.5281400000000001E-2</v>
      </c>
      <c r="O373" s="209">
        <v>5.5281400000000001E-2</v>
      </c>
      <c r="P373" s="209">
        <v>5.5281400000000001E-2</v>
      </c>
      <c r="Q373" s="209">
        <v>5.5281400000000001E-2</v>
      </c>
      <c r="R373" s="209">
        <v>5.5281400000000001E-2</v>
      </c>
      <c r="S373" s="209">
        <v>5.5281400000000001E-2</v>
      </c>
      <c r="T373" s="209">
        <v>5.5281400000000001E-2</v>
      </c>
      <c r="U373" s="209">
        <v>5.5281400000000001E-2</v>
      </c>
      <c r="V373" s="209">
        <v>5.5281400000000001E-2</v>
      </c>
      <c r="W373" s="209">
        <v>5.5281400000000001E-2</v>
      </c>
      <c r="X373" s="209">
        <v>5.5281400000000001E-2</v>
      </c>
      <c r="Y373" s="209">
        <v>5.5281400000000001E-2</v>
      </c>
      <c r="Z373" s="209">
        <v>5.5281400000000001E-2</v>
      </c>
      <c r="AA373" s="209">
        <v>5.5281400000000001E-2</v>
      </c>
      <c r="AB373" s="209">
        <v>5.5281400000000001E-2</v>
      </c>
      <c r="AC373" s="209">
        <v>5.5281400000000001E-2</v>
      </c>
      <c r="AD373" s="209">
        <v>5.5281400000000001E-2</v>
      </c>
      <c r="AE373" s="209">
        <v>5.5281400000000001E-2</v>
      </c>
      <c r="AF373" s="220">
        <v>5.5281400000000001E-2</v>
      </c>
      <c r="AG373" s="436"/>
    </row>
    <row r="374" spans="1:33">
      <c r="A374" s="215" t="s">
        <v>946</v>
      </c>
      <c r="B374" s="232" t="s">
        <v>940</v>
      </c>
      <c r="C374">
        <v>2020</v>
      </c>
      <c r="D374" s="232" t="s">
        <v>674</v>
      </c>
      <c r="E374" s="209">
        <v>5.5281400000000001E-2</v>
      </c>
      <c r="F374" s="209">
        <v>5.5281400000000001E-2</v>
      </c>
      <c r="G374" s="209">
        <v>5.5281400000000001E-2</v>
      </c>
      <c r="H374" s="209">
        <v>5.5281400000000001E-2</v>
      </c>
      <c r="I374" s="209">
        <v>5.5281400000000001E-2</v>
      </c>
      <c r="J374" s="209">
        <v>5.5281400000000001E-2</v>
      </c>
      <c r="K374" s="209">
        <v>5.5281400000000001E-2</v>
      </c>
      <c r="L374" s="209">
        <v>5.5281400000000001E-2</v>
      </c>
      <c r="M374" s="209">
        <v>5.5281400000000001E-2</v>
      </c>
      <c r="N374" s="209">
        <v>5.5281400000000001E-2</v>
      </c>
      <c r="O374" s="209">
        <v>5.5281400000000001E-2</v>
      </c>
      <c r="P374" s="209">
        <v>5.5281400000000001E-2</v>
      </c>
      <c r="Q374" s="209">
        <v>5.5281400000000001E-2</v>
      </c>
      <c r="R374" s="209">
        <v>5.5281400000000001E-2</v>
      </c>
      <c r="S374" s="209">
        <v>5.5281400000000001E-2</v>
      </c>
      <c r="T374" s="209">
        <v>5.5281400000000001E-2</v>
      </c>
      <c r="U374" s="209">
        <v>5.5281400000000001E-2</v>
      </c>
      <c r="V374" s="209">
        <v>5.5281400000000001E-2</v>
      </c>
      <c r="W374" s="209">
        <v>5.5281400000000001E-2</v>
      </c>
      <c r="X374" s="209">
        <v>5.5281400000000001E-2</v>
      </c>
      <c r="Y374" s="209">
        <v>5.5281400000000001E-2</v>
      </c>
      <c r="Z374" s="209">
        <v>5.5281400000000001E-2</v>
      </c>
      <c r="AA374" s="209">
        <v>5.5281400000000001E-2</v>
      </c>
      <c r="AB374" s="209">
        <v>5.5281400000000001E-2</v>
      </c>
      <c r="AC374" s="209">
        <v>5.5281400000000001E-2</v>
      </c>
      <c r="AD374" s="209">
        <v>5.5281400000000001E-2</v>
      </c>
      <c r="AE374" s="209">
        <v>5.5281400000000001E-2</v>
      </c>
      <c r="AF374" s="220">
        <v>5.5281400000000001E-2</v>
      </c>
      <c r="AG374" s="436"/>
    </row>
    <row r="375" spans="1:33">
      <c r="A375" s="215" t="s">
        <v>946</v>
      </c>
      <c r="B375" s="232" t="s">
        <v>940</v>
      </c>
      <c r="C375" s="232">
        <v>2025</v>
      </c>
      <c r="D375" s="232" t="s">
        <v>674</v>
      </c>
      <c r="E375" s="209">
        <v>5.5281400000000001E-2</v>
      </c>
      <c r="F375" s="209">
        <v>5.5281400000000001E-2</v>
      </c>
      <c r="G375" s="209">
        <v>5.5281400000000001E-2</v>
      </c>
      <c r="H375" s="209">
        <v>5.5281400000000001E-2</v>
      </c>
      <c r="I375" s="209">
        <v>5.5281400000000001E-2</v>
      </c>
      <c r="J375" s="209">
        <v>5.5281400000000001E-2</v>
      </c>
      <c r="K375" s="209">
        <v>5.5281400000000001E-2</v>
      </c>
      <c r="L375" s="209">
        <v>5.5281400000000001E-2</v>
      </c>
      <c r="M375" s="209">
        <v>5.5281400000000001E-2</v>
      </c>
      <c r="N375" s="209">
        <v>5.5281400000000001E-2</v>
      </c>
      <c r="O375" s="209">
        <v>5.5281400000000001E-2</v>
      </c>
      <c r="P375" s="209">
        <v>5.5281400000000001E-2</v>
      </c>
      <c r="Q375" s="209">
        <v>5.5281400000000001E-2</v>
      </c>
      <c r="R375" s="209">
        <v>5.5281400000000001E-2</v>
      </c>
      <c r="S375" s="209">
        <v>5.5281400000000001E-2</v>
      </c>
      <c r="T375" s="209">
        <v>5.5281400000000001E-2</v>
      </c>
      <c r="U375" s="209">
        <v>5.5281400000000001E-2</v>
      </c>
      <c r="V375" s="209">
        <v>5.5281400000000001E-2</v>
      </c>
      <c r="W375" s="209">
        <v>5.5281400000000001E-2</v>
      </c>
      <c r="X375" s="209">
        <v>5.5281400000000001E-2</v>
      </c>
      <c r="Y375" s="209">
        <v>5.5281400000000001E-2</v>
      </c>
      <c r="Z375" s="209">
        <v>5.5281400000000001E-2</v>
      </c>
      <c r="AA375" s="209">
        <v>5.5281400000000001E-2</v>
      </c>
      <c r="AB375" s="209">
        <v>5.5281400000000001E-2</v>
      </c>
      <c r="AC375" s="209">
        <v>5.5281400000000001E-2</v>
      </c>
      <c r="AD375" s="209">
        <v>5.5281400000000001E-2</v>
      </c>
      <c r="AE375" s="209">
        <v>5.5281400000000001E-2</v>
      </c>
      <c r="AF375" s="220">
        <v>5.5281400000000001E-2</v>
      </c>
      <c r="AG375" s="436"/>
    </row>
    <row r="376" spans="1:33">
      <c r="A376" s="215" t="s">
        <v>946</v>
      </c>
      <c r="B376" s="232" t="s">
        <v>940</v>
      </c>
      <c r="C376" s="232">
        <v>2030</v>
      </c>
      <c r="D376" s="232" t="s">
        <v>674</v>
      </c>
      <c r="E376" s="209">
        <v>5.5281400000000001E-2</v>
      </c>
      <c r="F376" s="209">
        <v>5.5281400000000001E-2</v>
      </c>
      <c r="G376" s="209">
        <v>5.5281400000000001E-2</v>
      </c>
      <c r="H376" s="209">
        <v>5.5281400000000001E-2</v>
      </c>
      <c r="I376" s="209">
        <v>5.5281400000000001E-2</v>
      </c>
      <c r="J376" s="209">
        <v>5.5281400000000001E-2</v>
      </c>
      <c r="K376" s="209">
        <v>5.5281400000000001E-2</v>
      </c>
      <c r="L376" s="209">
        <v>5.5281400000000001E-2</v>
      </c>
      <c r="M376" s="209">
        <v>5.5281400000000001E-2</v>
      </c>
      <c r="N376" s="209">
        <v>5.5281400000000001E-2</v>
      </c>
      <c r="O376" s="209">
        <v>5.5281400000000001E-2</v>
      </c>
      <c r="P376" s="209">
        <v>5.5281400000000001E-2</v>
      </c>
      <c r="Q376" s="209">
        <v>5.5281400000000001E-2</v>
      </c>
      <c r="R376" s="209">
        <v>5.5281400000000001E-2</v>
      </c>
      <c r="S376" s="209">
        <v>5.5281400000000001E-2</v>
      </c>
      <c r="T376" s="209">
        <v>5.5281400000000001E-2</v>
      </c>
      <c r="U376" s="209">
        <v>5.5281400000000001E-2</v>
      </c>
      <c r="V376" s="209">
        <v>5.5281400000000001E-2</v>
      </c>
      <c r="W376" s="209">
        <v>5.5281400000000001E-2</v>
      </c>
      <c r="X376" s="209">
        <v>5.5281400000000001E-2</v>
      </c>
      <c r="Y376" s="209">
        <v>5.5281400000000001E-2</v>
      </c>
      <c r="Z376" s="209">
        <v>5.5281400000000001E-2</v>
      </c>
      <c r="AA376" s="209">
        <v>5.5281400000000001E-2</v>
      </c>
      <c r="AB376" s="209">
        <v>5.5281400000000001E-2</v>
      </c>
      <c r="AC376" s="209">
        <v>5.5281400000000001E-2</v>
      </c>
      <c r="AD376" s="209">
        <v>5.5281400000000001E-2</v>
      </c>
      <c r="AE376" s="209">
        <v>5.5281400000000001E-2</v>
      </c>
      <c r="AF376" s="220">
        <v>5.5281400000000001E-2</v>
      </c>
      <c r="AG376" s="436"/>
    </row>
    <row r="377" spans="1:33">
      <c r="A377" s="215" t="s">
        <v>946</v>
      </c>
      <c r="B377" s="232" t="s">
        <v>940</v>
      </c>
      <c r="C377" s="232">
        <v>2035</v>
      </c>
      <c r="D377" s="232" t="s">
        <v>674</v>
      </c>
      <c r="E377" s="209">
        <v>5.5281400000000001E-2</v>
      </c>
      <c r="F377" s="209">
        <v>5.5281400000000001E-2</v>
      </c>
      <c r="G377" s="209">
        <v>5.5281400000000001E-2</v>
      </c>
      <c r="H377" s="209">
        <v>5.5281400000000001E-2</v>
      </c>
      <c r="I377" s="209">
        <v>5.5281400000000001E-2</v>
      </c>
      <c r="J377" s="209">
        <v>5.5281400000000001E-2</v>
      </c>
      <c r="K377" s="209">
        <v>5.5281400000000001E-2</v>
      </c>
      <c r="L377" s="209">
        <v>5.5281400000000001E-2</v>
      </c>
      <c r="M377" s="209">
        <v>5.5281400000000001E-2</v>
      </c>
      <c r="N377" s="209">
        <v>5.5281400000000001E-2</v>
      </c>
      <c r="O377" s="209">
        <v>5.5281400000000001E-2</v>
      </c>
      <c r="P377" s="209">
        <v>5.5281400000000001E-2</v>
      </c>
      <c r="Q377" s="209">
        <v>5.5281400000000001E-2</v>
      </c>
      <c r="R377" s="209">
        <v>5.5281400000000001E-2</v>
      </c>
      <c r="S377" s="209">
        <v>5.5281400000000001E-2</v>
      </c>
      <c r="T377" s="209">
        <v>5.5281400000000001E-2</v>
      </c>
      <c r="U377" s="209">
        <v>5.5281400000000001E-2</v>
      </c>
      <c r="V377" s="209">
        <v>5.5281400000000001E-2</v>
      </c>
      <c r="W377" s="209">
        <v>5.5281400000000001E-2</v>
      </c>
      <c r="X377" s="209">
        <v>5.5281400000000001E-2</v>
      </c>
      <c r="Y377" s="209">
        <v>5.5281400000000001E-2</v>
      </c>
      <c r="Z377" s="209">
        <v>5.5281400000000001E-2</v>
      </c>
      <c r="AA377" s="209">
        <v>5.5281400000000001E-2</v>
      </c>
      <c r="AB377" s="209">
        <v>5.5281400000000001E-2</v>
      </c>
      <c r="AC377" s="209">
        <v>5.5281400000000001E-2</v>
      </c>
      <c r="AD377" s="209">
        <v>5.5281400000000001E-2</v>
      </c>
      <c r="AE377" s="209">
        <v>5.5281400000000001E-2</v>
      </c>
      <c r="AF377" s="220">
        <v>5.5281400000000001E-2</v>
      </c>
      <c r="AG377" s="436"/>
    </row>
    <row r="378" spans="1:33">
      <c r="A378" s="215" t="s">
        <v>946</v>
      </c>
      <c r="B378" s="232" t="s">
        <v>940</v>
      </c>
      <c r="C378" s="232">
        <v>2040</v>
      </c>
      <c r="D378" s="232" t="s">
        <v>674</v>
      </c>
      <c r="E378" s="209">
        <v>5.5281400000000001E-2</v>
      </c>
      <c r="F378" s="209">
        <v>5.5281400000000001E-2</v>
      </c>
      <c r="G378" s="209">
        <v>5.5281400000000001E-2</v>
      </c>
      <c r="H378" s="209">
        <v>5.5281400000000001E-2</v>
      </c>
      <c r="I378" s="209">
        <v>5.5281400000000001E-2</v>
      </c>
      <c r="J378" s="209">
        <v>5.5281400000000001E-2</v>
      </c>
      <c r="K378" s="209">
        <v>5.5281400000000001E-2</v>
      </c>
      <c r="L378" s="209">
        <v>5.5281400000000001E-2</v>
      </c>
      <c r="M378" s="209">
        <v>5.5281400000000001E-2</v>
      </c>
      <c r="N378" s="209">
        <v>5.5281400000000001E-2</v>
      </c>
      <c r="O378" s="209">
        <v>5.5281400000000001E-2</v>
      </c>
      <c r="P378" s="209">
        <v>5.5281400000000001E-2</v>
      </c>
      <c r="Q378" s="209">
        <v>5.5281400000000001E-2</v>
      </c>
      <c r="R378" s="209">
        <v>5.5281400000000001E-2</v>
      </c>
      <c r="S378" s="209">
        <v>5.5281400000000001E-2</v>
      </c>
      <c r="T378" s="209">
        <v>5.5281400000000001E-2</v>
      </c>
      <c r="U378" s="209">
        <v>5.5281400000000001E-2</v>
      </c>
      <c r="V378" s="209">
        <v>5.5281400000000001E-2</v>
      </c>
      <c r="W378" s="209">
        <v>5.5281400000000001E-2</v>
      </c>
      <c r="X378" s="209">
        <v>5.5281400000000001E-2</v>
      </c>
      <c r="Y378" s="209">
        <v>5.5281400000000001E-2</v>
      </c>
      <c r="Z378" s="209">
        <v>5.5281400000000001E-2</v>
      </c>
      <c r="AA378" s="209">
        <v>5.5281400000000001E-2</v>
      </c>
      <c r="AB378" s="209">
        <v>5.5281400000000001E-2</v>
      </c>
      <c r="AC378" s="209">
        <v>5.5281400000000001E-2</v>
      </c>
      <c r="AD378" s="209">
        <v>5.5281400000000001E-2</v>
      </c>
      <c r="AE378" s="209">
        <v>5.5281400000000001E-2</v>
      </c>
      <c r="AF378" s="220">
        <v>5.5281400000000001E-2</v>
      </c>
      <c r="AG378" s="436"/>
    </row>
    <row r="379" spans="1:33">
      <c r="A379" s="215" t="s">
        <v>946</v>
      </c>
      <c r="B379" s="232" t="s">
        <v>940</v>
      </c>
      <c r="C379" s="232">
        <v>2045</v>
      </c>
      <c r="D379" s="232" t="s">
        <v>674</v>
      </c>
      <c r="E379" s="209">
        <v>5.5281400000000001E-2</v>
      </c>
      <c r="F379" s="209">
        <v>5.5281400000000001E-2</v>
      </c>
      <c r="G379" s="209">
        <v>5.5281400000000001E-2</v>
      </c>
      <c r="H379" s="209">
        <v>5.5281400000000001E-2</v>
      </c>
      <c r="I379" s="209">
        <v>5.5281400000000001E-2</v>
      </c>
      <c r="J379" s="209">
        <v>5.5281400000000001E-2</v>
      </c>
      <c r="K379" s="209">
        <v>5.5281400000000001E-2</v>
      </c>
      <c r="L379" s="209">
        <v>5.5281400000000001E-2</v>
      </c>
      <c r="M379" s="209">
        <v>5.5281400000000001E-2</v>
      </c>
      <c r="N379" s="209">
        <v>5.5281400000000001E-2</v>
      </c>
      <c r="O379" s="209">
        <v>5.5281400000000001E-2</v>
      </c>
      <c r="P379" s="209">
        <v>5.5281400000000001E-2</v>
      </c>
      <c r="Q379" s="209">
        <v>5.5281400000000001E-2</v>
      </c>
      <c r="R379" s="209">
        <v>5.5281400000000001E-2</v>
      </c>
      <c r="S379" s="209">
        <v>5.5281400000000001E-2</v>
      </c>
      <c r="T379" s="209">
        <v>5.5281400000000001E-2</v>
      </c>
      <c r="U379" s="209">
        <v>5.5281400000000001E-2</v>
      </c>
      <c r="V379" s="209">
        <v>5.5281400000000001E-2</v>
      </c>
      <c r="W379" s="209">
        <v>5.5281400000000001E-2</v>
      </c>
      <c r="X379" s="209">
        <v>5.5281400000000001E-2</v>
      </c>
      <c r="Y379" s="209">
        <v>5.5281400000000001E-2</v>
      </c>
      <c r="Z379" s="209">
        <v>5.5281400000000001E-2</v>
      </c>
      <c r="AA379" s="209">
        <v>5.5281400000000001E-2</v>
      </c>
      <c r="AB379" s="209">
        <v>5.5281400000000001E-2</v>
      </c>
      <c r="AC379" s="209">
        <v>5.5281400000000001E-2</v>
      </c>
      <c r="AD379" s="209">
        <v>5.5281400000000001E-2</v>
      </c>
      <c r="AE379" s="209">
        <v>5.5281400000000001E-2</v>
      </c>
      <c r="AF379" s="220">
        <v>5.5281400000000001E-2</v>
      </c>
      <c r="AG379" s="436"/>
    </row>
    <row r="380" spans="1:33">
      <c r="A380" s="215" t="s">
        <v>946</v>
      </c>
      <c r="B380" s="232" t="s">
        <v>940</v>
      </c>
      <c r="C380" s="232">
        <v>2050</v>
      </c>
      <c r="D380" s="232" t="s">
        <v>674</v>
      </c>
      <c r="E380" s="209">
        <v>5.5281400000000001E-2</v>
      </c>
      <c r="F380" s="209">
        <v>5.5281400000000001E-2</v>
      </c>
      <c r="G380" s="209">
        <v>5.5281400000000001E-2</v>
      </c>
      <c r="H380" s="209">
        <v>5.5281400000000001E-2</v>
      </c>
      <c r="I380" s="209">
        <v>5.5281400000000001E-2</v>
      </c>
      <c r="J380" s="209">
        <v>5.5281400000000001E-2</v>
      </c>
      <c r="K380" s="209">
        <v>5.5281400000000001E-2</v>
      </c>
      <c r="L380" s="209">
        <v>5.5281400000000001E-2</v>
      </c>
      <c r="M380" s="209">
        <v>5.5281400000000001E-2</v>
      </c>
      <c r="N380" s="209">
        <v>5.5281400000000001E-2</v>
      </c>
      <c r="O380" s="209">
        <v>5.5281400000000001E-2</v>
      </c>
      <c r="P380" s="209">
        <v>5.5281400000000001E-2</v>
      </c>
      <c r="Q380" s="209">
        <v>5.5281400000000001E-2</v>
      </c>
      <c r="R380" s="209">
        <v>5.5281400000000001E-2</v>
      </c>
      <c r="S380" s="209">
        <v>5.5281400000000001E-2</v>
      </c>
      <c r="T380" s="209">
        <v>5.5281400000000001E-2</v>
      </c>
      <c r="U380" s="209">
        <v>5.5281400000000001E-2</v>
      </c>
      <c r="V380" s="209">
        <v>5.5281400000000001E-2</v>
      </c>
      <c r="W380" s="209">
        <v>5.5281400000000001E-2</v>
      </c>
      <c r="X380" s="209">
        <v>5.5281400000000001E-2</v>
      </c>
      <c r="Y380" s="209">
        <v>5.5281400000000001E-2</v>
      </c>
      <c r="Z380" s="209">
        <v>5.5281400000000001E-2</v>
      </c>
      <c r="AA380" s="209">
        <v>5.5281400000000001E-2</v>
      </c>
      <c r="AB380" s="209">
        <v>5.5281400000000001E-2</v>
      </c>
      <c r="AC380" s="209">
        <v>5.5281400000000001E-2</v>
      </c>
      <c r="AD380" s="209">
        <v>5.5281400000000001E-2</v>
      </c>
      <c r="AE380" s="209">
        <v>5.5281400000000001E-2</v>
      </c>
      <c r="AF380" s="220">
        <v>5.5281400000000001E-2</v>
      </c>
      <c r="AG380" s="436"/>
    </row>
    <row r="381" spans="1:33">
      <c r="A381" s="215" t="s">
        <v>946</v>
      </c>
      <c r="B381" s="232" t="s">
        <v>940</v>
      </c>
      <c r="C381" s="232">
        <v>2060</v>
      </c>
      <c r="D381" s="232" t="s">
        <v>674</v>
      </c>
      <c r="E381" s="209">
        <v>5.5281400000000001E-2</v>
      </c>
      <c r="F381" s="209">
        <v>5.5281400000000001E-2</v>
      </c>
      <c r="G381" s="209">
        <v>5.5281400000000001E-2</v>
      </c>
      <c r="H381" s="209">
        <v>5.5281400000000001E-2</v>
      </c>
      <c r="I381" s="209">
        <v>5.5281400000000001E-2</v>
      </c>
      <c r="J381" s="209">
        <v>5.5281400000000001E-2</v>
      </c>
      <c r="K381" s="209">
        <v>5.5281400000000001E-2</v>
      </c>
      <c r="L381" s="209">
        <v>5.5281400000000001E-2</v>
      </c>
      <c r="M381" s="209">
        <v>5.5281400000000001E-2</v>
      </c>
      <c r="N381" s="209">
        <v>5.5281400000000001E-2</v>
      </c>
      <c r="O381" s="209">
        <v>5.5281400000000001E-2</v>
      </c>
      <c r="P381" s="209">
        <v>5.5281400000000001E-2</v>
      </c>
      <c r="Q381" s="209">
        <v>5.5281400000000001E-2</v>
      </c>
      <c r="R381" s="209">
        <v>5.5281400000000001E-2</v>
      </c>
      <c r="S381" s="209">
        <v>5.5281400000000001E-2</v>
      </c>
      <c r="T381" s="209">
        <v>5.5281400000000001E-2</v>
      </c>
      <c r="U381" s="209">
        <v>5.5281400000000001E-2</v>
      </c>
      <c r="V381" s="209">
        <v>5.5281400000000001E-2</v>
      </c>
      <c r="W381" s="209">
        <v>5.5281400000000001E-2</v>
      </c>
      <c r="X381" s="209">
        <v>5.5281400000000001E-2</v>
      </c>
      <c r="Y381" s="209">
        <v>5.5281400000000001E-2</v>
      </c>
      <c r="Z381" s="209">
        <v>5.5281400000000001E-2</v>
      </c>
      <c r="AA381" s="209">
        <v>5.5281400000000001E-2</v>
      </c>
      <c r="AB381" s="209">
        <v>5.5281400000000001E-2</v>
      </c>
      <c r="AC381" s="209">
        <v>5.5281400000000001E-2</v>
      </c>
      <c r="AD381" s="209">
        <v>5.5281400000000001E-2</v>
      </c>
      <c r="AE381" s="209">
        <v>5.5281400000000001E-2</v>
      </c>
      <c r="AF381" s="220">
        <v>5.5281400000000001E-2</v>
      </c>
      <c r="AG381" s="436"/>
    </row>
    <row r="382" spans="1:33">
      <c r="A382" s="215" t="s">
        <v>946</v>
      </c>
      <c r="B382" s="232" t="s">
        <v>940</v>
      </c>
      <c r="C382" s="232">
        <v>2070</v>
      </c>
      <c r="D382" s="232" t="s">
        <v>674</v>
      </c>
      <c r="E382" s="209">
        <v>5.5281400000000001E-2</v>
      </c>
      <c r="F382" s="209">
        <v>5.5281400000000001E-2</v>
      </c>
      <c r="G382" s="209">
        <v>5.5281400000000001E-2</v>
      </c>
      <c r="H382" s="209">
        <v>5.5281400000000001E-2</v>
      </c>
      <c r="I382" s="209">
        <v>5.5281400000000001E-2</v>
      </c>
      <c r="J382" s="209">
        <v>5.5281400000000001E-2</v>
      </c>
      <c r="K382" s="209">
        <v>5.5281400000000001E-2</v>
      </c>
      <c r="L382" s="209">
        <v>5.5281400000000001E-2</v>
      </c>
      <c r="M382" s="209">
        <v>5.5281400000000001E-2</v>
      </c>
      <c r="N382" s="209">
        <v>5.5281400000000001E-2</v>
      </c>
      <c r="O382" s="209">
        <v>5.5281400000000001E-2</v>
      </c>
      <c r="P382" s="209">
        <v>5.5281400000000001E-2</v>
      </c>
      <c r="Q382" s="209">
        <v>5.5281400000000001E-2</v>
      </c>
      <c r="R382" s="209">
        <v>5.5281400000000001E-2</v>
      </c>
      <c r="S382" s="209">
        <v>5.5281400000000001E-2</v>
      </c>
      <c r="T382" s="209">
        <v>5.5281400000000001E-2</v>
      </c>
      <c r="U382" s="209">
        <v>5.5281400000000001E-2</v>
      </c>
      <c r="V382" s="209">
        <v>5.5281400000000001E-2</v>
      </c>
      <c r="W382" s="209">
        <v>5.5281400000000001E-2</v>
      </c>
      <c r="X382" s="209">
        <v>5.5281400000000001E-2</v>
      </c>
      <c r="Y382" s="209">
        <v>5.5281400000000001E-2</v>
      </c>
      <c r="Z382" s="209">
        <v>5.5281400000000001E-2</v>
      </c>
      <c r="AA382" s="209">
        <v>5.5281400000000001E-2</v>
      </c>
      <c r="AB382" s="209">
        <v>5.5281400000000001E-2</v>
      </c>
      <c r="AC382" s="209">
        <v>5.5281400000000001E-2</v>
      </c>
      <c r="AD382" s="209">
        <v>5.5281400000000001E-2</v>
      </c>
      <c r="AE382" s="209">
        <v>5.5281400000000001E-2</v>
      </c>
      <c r="AF382" s="220">
        <v>5.5281400000000001E-2</v>
      </c>
      <c r="AG382" s="436"/>
    </row>
    <row r="383" spans="1:33">
      <c r="A383" s="215" t="s">
        <v>946</v>
      </c>
      <c r="B383" s="232" t="s">
        <v>940</v>
      </c>
      <c r="C383" s="232">
        <v>2080</v>
      </c>
      <c r="D383" s="232" t="s">
        <v>674</v>
      </c>
      <c r="E383" s="209">
        <v>5.5281400000000001E-2</v>
      </c>
      <c r="F383" s="209">
        <v>5.5281400000000001E-2</v>
      </c>
      <c r="G383" s="209">
        <v>5.5281400000000001E-2</v>
      </c>
      <c r="H383" s="209">
        <v>5.5281400000000001E-2</v>
      </c>
      <c r="I383" s="209">
        <v>5.5281400000000001E-2</v>
      </c>
      <c r="J383" s="209">
        <v>5.5281400000000001E-2</v>
      </c>
      <c r="K383" s="209">
        <v>5.5281400000000001E-2</v>
      </c>
      <c r="L383" s="209">
        <v>5.5281400000000001E-2</v>
      </c>
      <c r="M383" s="209">
        <v>5.5281400000000001E-2</v>
      </c>
      <c r="N383" s="209">
        <v>5.5281400000000001E-2</v>
      </c>
      <c r="O383" s="209">
        <v>5.5281400000000001E-2</v>
      </c>
      <c r="P383" s="209">
        <v>5.5281400000000001E-2</v>
      </c>
      <c r="Q383" s="209">
        <v>5.5281400000000001E-2</v>
      </c>
      <c r="R383" s="209">
        <v>5.5281400000000001E-2</v>
      </c>
      <c r="S383" s="209">
        <v>5.5281400000000001E-2</v>
      </c>
      <c r="T383" s="209">
        <v>5.5281400000000001E-2</v>
      </c>
      <c r="U383" s="209">
        <v>5.5281400000000001E-2</v>
      </c>
      <c r="V383" s="209">
        <v>5.5281400000000001E-2</v>
      </c>
      <c r="W383" s="209">
        <v>5.5281400000000001E-2</v>
      </c>
      <c r="X383" s="209">
        <v>5.5281400000000001E-2</v>
      </c>
      <c r="Y383" s="209">
        <v>5.5281400000000001E-2</v>
      </c>
      <c r="Z383" s="209">
        <v>5.5281400000000001E-2</v>
      </c>
      <c r="AA383" s="209">
        <v>5.5281400000000001E-2</v>
      </c>
      <c r="AB383" s="209">
        <v>5.5281400000000001E-2</v>
      </c>
      <c r="AC383" s="209">
        <v>5.5281400000000001E-2</v>
      </c>
      <c r="AD383" s="209">
        <v>5.5281400000000001E-2</v>
      </c>
      <c r="AE383" s="209">
        <v>5.5281400000000001E-2</v>
      </c>
      <c r="AF383" s="220">
        <v>5.5281400000000001E-2</v>
      </c>
      <c r="AG383" s="436"/>
    </row>
    <row r="384" spans="1:33">
      <c r="A384" s="215" t="s">
        <v>946</v>
      </c>
      <c r="B384" s="232" t="s">
        <v>940</v>
      </c>
      <c r="C384" s="232">
        <v>2090</v>
      </c>
      <c r="D384" s="232" t="s">
        <v>674</v>
      </c>
      <c r="E384" s="209">
        <v>5.5281400000000001E-2</v>
      </c>
      <c r="F384" s="209">
        <v>5.5281400000000001E-2</v>
      </c>
      <c r="G384" s="209">
        <v>5.5281400000000001E-2</v>
      </c>
      <c r="H384" s="209">
        <v>5.5281400000000001E-2</v>
      </c>
      <c r="I384" s="209">
        <v>5.5281400000000001E-2</v>
      </c>
      <c r="J384" s="209">
        <v>5.5281400000000001E-2</v>
      </c>
      <c r="K384" s="209">
        <v>5.5281400000000001E-2</v>
      </c>
      <c r="L384" s="209">
        <v>5.5281400000000001E-2</v>
      </c>
      <c r="M384" s="209">
        <v>5.5281400000000001E-2</v>
      </c>
      <c r="N384" s="209">
        <v>5.5281400000000001E-2</v>
      </c>
      <c r="O384" s="209">
        <v>5.5281400000000001E-2</v>
      </c>
      <c r="P384" s="209">
        <v>5.5281400000000001E-2</v>
      </c>
      <c r="Q384" s="209">
        <v>5.5281400000000001E-2</v>
      </c>
      <c r="R384" s="209">
        <v>5.5281400000000001E-2</v>
      </c>
      <c r="S384" s="209">
        <v>5.5281400000000001E-2</v>
      </c>
      <c r="T384" s="209">
        <v>5.5281400000000001E-2</v>
      </c>
      <c r="U384" s="209">
        <v>5.5281400000000001E-2</v>
      </c>
      <c r="V384" s="209">
        <v>5.5281400000000001E-2</v>
      </c>
      <c r="W384" s="209">
        <v>5.5281400000000001E-2</v>
      </c>
      <c r="X384" s="209">
        <v>5.5281400000000001E-2</v>
      </c>
      <c r="Y384" s="209">
        <v>5.5281400000000001E-2</v>
      </c>
      <c r="Z384" s="209">
        <v>5.5281400000000001E-2</v>
      </c>
      <c r="AA384" s="209">
        <v>5.5281400000000001E-2</v>
      </c>
      <c r="AB384" s="209">
        <v>5.5281400000000001E-2</v>
      </c>
      <c r="AC384" s="209">
        <v>5.5281400000000001E-2</v>
      </c>
      <c r="AD384" s="209">
        <v>5.5281400000000001E-2</v>
      </c>
      <c r="AE384" s="209">
        <v>5.5281400000000001E-2</v>
      </c>
      <c r="AF384" s="220">
        <v>5.5281400000000001E-2</v>
      </c>
      <c r="AG384" s="436"/>
    </row>
    <row r="385" spans="1:33">
      <c r="A385" s="229" t="s">
        <v>946</v>
      </c>
      <c r="B385" s="235" t="s">
        <v>940</v>
      </c>
      <c r="C385" s="235">
        <v>2100</v>
      </c>
      <c r="D385" s="235" t="s">
        <v>674</v>
      </c>
      <c r="E385" s="226">
        <v>5.5281400000000001E-2</v>
      </c>
      <c r="F385" s="226">
        <v>5.5281400000000001E-2</v>
      </c>
      <c r="G385" s="226">
        <v>5.5281400000000001E-2</v>
      </c>
      <c r="H385" s="226">
        <v>5.5281400000000001E-2</v>
      </c>
      <c r="I385" s="226">
        <v>5.5281400000000001E-2</v>
      </c>
      <c r="J385" s="226">
        <v>5.5281400000000001E-2</v>
      </c>
      <c r="K385" s="226">
        <v>5.5281400000000001E-2</v>
      </c>
      <c r="L385" s="226">
        <v>5.5281400000000001E-2</v>
      </c>
      <c r="M385" s="226">
        <v>5.5281400000000001E-2</v>
      </c>
      <c r="N385" s="226">
        <v>5.5281400000000001E-2</v>
      </c>
      <c r="O385" s="226">
        <v>5.5281400000000001E-2</v>
      </c>
      <c r="P385" s="226">
        <v>5.5281400000000001E-2</v>
      </c>
      <c r="Q385" s="226">
        <v>5.5281400000000001E-2</v>
      </c>
      <c r="R385" s="226">
        <v>5.5281400000000001E-2</v>
      </c>
      <c r="S385" s="226">
        <v>5.5281400000000001E-2</v>
      </c>
      <c r="T385" s="226">
        <v>5.5281400000000001E-2</v>
      </c>
      <c r="U385" s="226">
        <v>5.5281400000000001E-2</v>
      </c>
      <c r="V385" s="226">
        <v>5.5281400000000001E-2</v>
      </c>
      <c r="W385" s="226">
        <v>5.5281400000000001E-2</v>
      </c>
      <c r="X385" s="226">
        <v>5.5281400000000001E-2</v>
      </c>
      <c r="Y385" s="226">
        <v>5.5281400000000001E-2</v>
      </c>
      <c r="Z385" s="226">
        <v>5.5281400000000001E-2</v>
      </c>
      <c r="AA385" s="226">
        <v>5.5281400000000001E-2</v>
      </c>
      <c r="AB385" s="226">
        <v>5.5281400000000001E-2</v>
      </c>
      <c r="AC385" s="226">
        <v>5.5281400000000001E-2</v>
      </c>
      <c r="AD385" s="226">
        <v>5.5281400000000001E-2</v>
      </c>
      <c r="AE385" s="226">
        <v>5.5281400000000001E-2</v>
      </c>
      <c r="AF385" s="224">
        <v>5.5281400000000001E-2</v>
      </c>
      <c r="AG385" s="437"/>
    </row>
    <row r="386" spans="1:33">
      <c r="A386" t="s">
        <v>946</v>
      </c>
      <c r="B386" s="231" t="s">
        <v>941</v>
      </c>
      <c r="C386" s="232">
        <v>2019</v>
      </c>
      <c r="D386" s="231" t="s">
        <v>674</v>
      </c>
      <c r="E386" s="209">
        <v>0.1105628</v>
      </c>
      <c r="F386" s="209">
        <v>0.1105628</v>
      </c>
      <c r="G386" s="209">
        <v>0.1105628</v>
      </c>
      <c r="H386" s="209">
        <v>0.1105628</v>
      </c>
      <c r="I386" s="209">
        <v>0.1105628</v>
      </c>
      <c r="J386" s="209">
        <v>0.1105628</v>
      </c>
      <c r="K386" s="209">
        <v>0.1105628</v>
      </c>
      <c r="L386" s="209">
        <v>0.1105628</v>
      </c>
      <c r="M386" s="209">
        <v>0.1105628</v>
      </c>
      <c r="N386" s="209">
        <v>0.1105628</v>
      </c>
      <c r="O386" s="209">
        <v>0.1105628</v>
      </c>
      <c r="P386" s="209">
        <v>0.1105628</v>
      </c>
      <c r="Q386" s="209">
        <v>0.1105628</v>
      </c>
      <c r="R386" s="209">
        <v>0.1105628</v>
      </c>
      <c r="S386" s="209">
        <v>0.1105628</v>
      </c>
      <c r="T386" s="209">
        <v>0.1105628</v>
      </c>
      <c r="U386" s="209">
        <v>0.1105628</v>
      </c>
      <c r="V386" s="209">
        <v>0.1105628</v>
      </c>
      <c r="W386" s="209">
        <v>0.1105628</v>
      </c>
      <c r="X386" s="209">
        <v>0.1105628</v>
      </c>
      <c r="Y386" s="209">
        <v>0.1105628</v>
      </c>
      <c r="Z386" s="209">
        <v>0.1105628</v>
      </c>
      <c r="AA386" s="209">
        <v>0.1105628</v>
      </c>
      <c r="AB386" s="209">
        <v>0.1105628</v>
      </c>
      <c r="AC386" s="209">
        <v>0.1105628</v>
      </c>
      <c r="AD386" s="209">
        <v>0.1105628</v>
      </c>
      <c r="AE386" s="209">
        <v>0.1105628</v>
      </c>
      <c r="AF386" s="209">
        <v>0.1105628</v>
      </c>
      <c r="AG386" s="453"/>
    </row>
    <row r="387" spans="1:33">
      <c r="A387" s="215" t="s">
        <v>946</v>
      </c>
      <c r="B387" s="232" t="s">
        <v>941</v>
      </c>
      <c r="C387">
        <v>2020</v>
      </c>
      <c r="D387" s="232" t="s">
        <v>674</v>
      </c>
      <c r="E387" s="209">
        <v>0.1105628</v>
      </c>
      <c r="F387" s="209">
        <v>0.1105628</v>
      </c>
      <c r="G387" s="209">
        <v>0.1105628</v>
      </c>
      <c r="H387" s="209">
        <v>0.1105628</v>
      </c>
      <c r="I387" s="209">
        <v>0.1105628</v>
      </c>
      <c r="J387" s="209">
        <v>0.1105628</v>
      </c>
      <c r="K387" s="209">
        <v>0.1105628</v>
      </c>
      <c r="L387" s="209">
        <v>0.1105628</v>
      </c>
      <c r="M387" s="209">
        <v>0.1105628</v>
      </c>
      <c r="N387" s="209">
        <v>0.1105628</v>
      </c>
      <c r="O387" s="209">
        <v>0.1105628</v>
      </c>
      <c r="P387" s="209">
        <v>0.1105628</v>
      </c>
      <c r="Q387" s="209">
        <v>0.1105628</v>
      </c>
      <c r="R387" s="209">
        <v>0.1105628</v>
      </c>
      <c r="S387" s="209">
        <v>0.1105628</v>
      </c>
      <c r="T387" s="209">
        <v>0.1105628</v>
      </c>
      <c r="U387" s="209">
        <v>0.1105628</v>
      </c>
      <c r="V387" s="209">
        <v>0.1105628</v>
      </c>
      <c r="W387" s="209">
        <v>0.1105628</v>
      </c>
      <c r="X387" s="209">
        <v>0.1105628</v>
      </c>
      <c r="Y387" s="209">
        <v>0.1105628</v>
      </c>
      <c r="Z387" s="209">
        <v>0.1105628</v>
      </c>
      <c r="AA387" s="209">
        <v>0.1105628</v>
      </c>
      <c r="AB387" s="209">
        <v>0.1105628</v>
      </c>
      <c r="AC387" s="209">
        <v>0.1105628</v>
      </c>
      <c r="AD387" s="209">
        <v>0.1105628</v>
      </c>
      <c r="AE387" s="209">
        <v>0.1105628</v>
      </c>
      <c r="AF387" s="220">
        <v>0.1105628</v>
      </c>
      <c r="AG387" s="436"/>
    </row>
    <row r="388" spans="1:33">
      <c r="A388" s="215" t="s">
        <v>946</v>
      </c>
      <c r="B388" s="232" t="s">
        <v>941</v>
      </c>
      <c r="C388" s="232">
        <v>2025</v>
      </c>
      <c r="D388" s="232" t="s">
        <v>674</v>
      </c>
      <c r="E388" s="209">
        <v>0.1105628</v>
      </c>
      <c r="F388" s="209">
        <v>0.1105628</v>
      </c>
      <c r="G388" s="209">
        <v>0.1105628</v>
      </c>
      <c r="H388" s="209">
        <v>0.1105628</v>
      </c>
      <c r="I388" s="209">
        <v>0.1105628</v>
      </c>
      <c r="J388" s="209">
        <v>0.1105628</v>
      </c>
      <c r="K388" s="209">
        <v>0.1105628</v>
      </c>
      <c r="L388" s="209">
        <v>0.1105628</v>
      </c>
      <c r="M388" s="209">
        <v>0.1105628</v>
      </c>
      <c r="N388" s="209">
        <v>0.1105628</v>
      </c>
      <c r="O388" s="209">
        <v>0.1105628</v>
      </c>
      <c r="P388" s="209">
        <v>0.1105628</v>
      </c>
      <c r="Q388" s="209">
        <v>0.1105628</v>
      </c>
      <c r="R388" s="209">
        <v>0.1105628</v>
      </c>
      <c r="S388" s="209">
        <v>0.1105628</v>
      </c>
      <c r="T388" s="209">
        <v>0.1105628</v>
      </c>
      <c r="U388" s="209">
        <v>0.1105628</v>
      </c>
      <c r="V388" s="209">
        <v>0.1105628</v>
      </c>
      <c r="W388" s="209">
        <v>0.1105628</v>
      </c>
      <c r="X388" s="209">
        <v>0.1105628</v>
      </c>
      <c r="Y388" s="209">
        <v>0.1105628</v>
      </c>
      <c r="Z388" s="209">
        <v>0.1105628</v>
      </c>
      <c r="AA388" s="209">
        <v>0.1105628</v>
      </c>
      <c r="AB388" s="209">
        <v>0.1105628</v>
      </c>
      <c r="AC388" s="209">
        <v>0.1105628</v>
      </c>
      <c r="AD388" s="209">
        <v>0.1105628</v>
      </c>
      <c r="AE388" s="209">
        <v>0.1105628</v>
      </c>
      <c r="AF388" s="220">
        <v>0.1105628</v>
      </c>
      <c r="AG388" s="436"/>
    </row>
    <row r="389" spans="1:33">
      <c r="A389" s="215" t="s">
        <v>946</v>
      </c>
      <c r="B389" s="232" t="s">
        <v>941</v>
      </c>
      <c r="C389" s="232">
        <v>2030</v>
      </c>
      <c r="D389" s="232" t="s">
        <v>674</v>
      </c>
      <c r="E389" s="209">
        <v>0.1105628</v>
      </c>
      <c r="F389" s="209">
        <v>0.1105628</v>
      </c>
      <c r="G389" s="209">
        <v>0.1105628</v>
      </c>
      <c r="H389" s="209">
        <v>0.1105628</v>
      </c>
      <c r="I389" s="209">
        <v>0.1105628</v>
      </c>
      <c r="J389" s="209">
        <v>0.1105628</v>
      </c>
      <c r="K389" s="209">
        <v>0.1105628</v>
      </c>
      <c r="L389" s="209">
        <v>0.1105628</v>
      </c>
      <c r="M389" s="209">
        <v>0.1105628</v>
      </c>
      <c r="N389" s="209">
        <v>0.1105628</v>
      </c>
      <c r="O389" s="209">
        <v>0.1105628</v>
      </c>
      <c r="P389" s="209">
        <v>0.1105628</v>
      </c>
      <c r="Q389" s="209">
        <v>0.1105628</v>
      </c>
      <c r="R389" s="209">
        <v>0.1105628</v>
      </c>
      <c r="S389" s="209">
        <v>0.1105628</v>
      </c>
      <c r="T389" s="209">
        <v>0.1105628</v>
      </c>
      <c r="U389" s="209">
        <v>0.1105628</v>
      </c>
      <c r="V389" s="209">
        <v>0.1105628</v>
      </c>
      <c r="W389" s="209">
        <v>0.1105628</v>
      </c>
      <c r="X389" s="209">
        <v>0.1105628</v>
      </c>
      <c r="Y389" s="209">
        <v>0.1105628</v>
      </c>
      <c r="Z389" s="209">
        <v>0.1105628</v>
      </c>
      <c r="AA389" s="209">
        <v>0.1105628</v>
      </c>
      <c r="AB389" s="209">
        <v>0.1105628</v>
      </c>
      <c r="AC389" s="209">
        <v>0.1105628</v>
      </c>
      <c r="AD389" s="209">
        <v>0.1105628</v>
      </c>
      <c r="AE389" s="209">
        <v>0.1105628</v>
      </c>
      <c r="AF389" s="220">
        <v>0.1105628</v>
      </c>
      <c r="AG389" s="436"/>
    </row>
    <row r="390" spans="1:33">
      <c r="A390" s="215" t="s">
        <v>946</v>
      </c>
      <c r="B390" s="232" t="s">
        <v>941</v>
      </c>
      <c r="C390" s="232">
        <v>2035</v>
      </c>
      <c r="D390" s="232" t="s">
        <v>674</v>
      </c>
      <c r="E390" s="209">
        <v>0.1105628</v>
      </c>
      <c r="F390" s="209">
        <v>0.1105628</v>
      </c>
      <c r="G390" s="209">
        <v>0.1105628</v>
      </c>
      <c r="H390" s="209">
        <v>0.1105628</v>
      </c>
      <c r="I390" s="209">
        <v>0.1105628</v>
      </c>
      <c r="J390" s="209">
        <v>0.1105628</v>
      </c>
      <c r="K390" s="209">
        <v>0.1105628</v>
      </c>
      <c r="L390" s="209">
        <v>0.1105628</v>
      </c>
      <c r="M390" s="209">
        <v>0.1105628</v>
      </c>
      <c r="N390" s="209">
        <v>0.1105628</v>
      </c>
      <c r="O390" s="209">
        <v>0.1105628</v>
      </c>
      <c r="P390" s="209">
        <v>0.1105628</v>
      </c>
      <c r="Q390" s="209">
        <v>0.1105628</v>
      </c>
      <c r="R390" s="209">
        <v>0.1105628</v>
      </c>
      <c r="S390" s="209">
        <v>0.1105628</v>
      </c>
      <c r="T390" s="209">
        <v>0.1105628</v>
      </c>
      <c r="U390" s="209">
        <v>0.1105628</v>
      </c>
      <c r="V390" s="209">
        <v>0.1105628</v>
      </c>
      <c r="W390" s="209">
        <v>0.1105628</v>
      </c>
      <c r="X390" s="209">
        <v>0.1105628</v>
      </c>
      <c r="Y390" s="209">
        <v>0.1105628</v>
      </c>
      <c r="Z390" s="209">
        <v>0.1105628</v>
      </c>
      <c r="AA390" s="209">
        <v>0.1105628</v>
      </c>
      <c r="AB390" s="209">
        <v>0.1105628</v>
      </c>
      <c r="AC390" s="209">
        <v>0.1105628</v>
      </c>
      <c r="AD390" s="209">
        <v>0.1105628</v>
      </c>
      <c r="AE390" s="209">
        <v>0.1105628</v>
      </c>
      <c r="AF390" s="220">
        <v>0.1105628</v>
      </c>
      <c r="AG390" s="436"/>
    </row>
    <row r="391" spans="1:33">
      <c r="A391" s="215" t="s">
        <v>946</v>
      </c>
      <c r="B391" s="232" t="s">
        <v>941</v>
      </c>
      <c r="C391" s="232">
        <v>2040</v>
      </c>
      <c r="D391" s="232" t="s">
        <v>674</v>
      </c>
      <c r="E391" s="209">
        <v>0.1105628</v>
      </c>
      <c r="F391" s="209">
        <v>0.1105628</v>
      </c>
      <c r="G391" s="209">
        <v>0.1105628</v>
      </c>
      <c r="H391" s="209">
        <v>0.1105628</v>
      </c>
      <c r="I391" s="209">
        <v>0.1105628</v>
      </c>
      <c r="J391" s="209">
        <v>0.1105628</v>
      </c>
      <c r="K391" s="209">
        <v>0.1105628</v>
      </c>
      <c r="L391" s="209">
        <v>0.1105628</v>
      </c>
      <c r="M391" s="209">
        <v>0.1105628</v>
      </c>
      <c r="N391" s="209">
        <v>0.1105628</v>
      </c>
      <c r="O391" s="209">
        <v>0.1105628</v>
      </c>
      <c r="P391" s="209">
        <v>0.1105628</v>
      </c>
      <c r="Q391" s="209">
        <v>0.1105628</v>
      </c>
      <c r="R391" s="209">
        <v>0.1105628</v>
      </c>
      <c r="S391" s="209">
        <v>0.1105628</v>
      </c>
      <c r="T391" s="209">
        <v>0.1105628</v>
      </c>
      <c r="U391" s="209">
        <v>0.1105628</v>
      </c>
      <c r="V391" s="209">
        <v>0.1105628</v>
      </c>
      <c r="W391" s="209">
        <v>0.1105628</v>
      </c>
      <c r="X391" s="209">
        <v>0.1105628</v>
      </c>
      <c r="Y391" s="209">
        <v>0.1105628</v>
      </c>
      <c r="Z391" s="209">
        <v>0.1105628</v>
      </c>
      <c r="AA391" s="209">
        <v>0.1105628</v>
      </c>
      <c r="AB391" s="209">
        <v>0.1105628</v>
      </c>
      <c r="AC391" s="209">
        <v>0.1105628</v>
      </c>
      <c r="AD391" s="209">
        <v>0.1105628</v>
      </c>
      <c r="AE391" s="209">
        <v>0.1105628</v>
      </c>
      <c r="AF391" s="220">
        <v>0.1105628</v>
      </c>
      <c r="AG391" s="436"/>
    </row>
    <row r="392" spans="1:33">
      <c r="A392" s="215" t="s">
        <v>946</v>
      </c>
      <c r="B392" s="232" t="s">
        <v>941</v>
      </c>
      <c r="C392" s="232">
        <v>2045</v>
      </c>
      <c r="D392" s="232" t="s">
        <v>674</v>
      </c>
      <c r="E392" s="209">
        <v>0.1105628</v>
      </c>
      <c r="F392" s="209">
        <v>0.1105628</v>
      </c>
      <c r="G392" s="209">
        <v>0.1105628</v>
      </c>
      <c r="H392" s="209">
        <v>0.1105628</v>
      </c>
      <c r="I392" s="209">
        <v>0.1105628</v>
      </c>
      <c r="J392" s="209">
        <v>0.1105628</v>
      </c>
      <c r="K392" s="209">
        <v>0.1105628</v>
      </c>
      <c r="L392" s="209">
        <v>0.1105628</v>
      </c>
      <c r="M392" s="209">
        <v>0.1105628</v>
      </c>
      <c r="N392" s="209">
        <v>0.1105628</v>
      </c>
      <c r="O392" s="209">
        <v>0.1105628</v>
      </c>
      <c r="P392" s="209">
        <v>0.1105628</v>
      </c>
      <c r="Q392" s="209">
        <v>0.1105628</v>
      </c>
      <c r="R392" s="209">
        <v>0.1105628</v>
      </c>
      <c r="S392" s="209">
        <v>0.1105628</v>
      </c>
      <c r="T392" s="209">
        <v>0.1105628</v>
      </c>
      <c r="U392" s="209">
        <v>0.1105628</v>
      </c>
      <c r="V392" s="209">
        <v>0.1105628</v>
      </c>
      <c r="W392" s="209">
        <v>0.1105628</v>
      </c>
      <c r="X392" s="209">
        <v>0.1105628</v>
      </c>
      <c r="Y392" s="209">
        <v>0.1105628</v>
      </c>
      <c r="Z392" s="209">
        <v>0.1105628</v>
      </c>
      <c r="AA392" s="209">
        <v>0.1105628</v>
      </c>
      <c r="AB392" s="209">
        <v>0.1105628</v>
      </c>
      <c r="AC392" s="209">
        <v>0.1105628</v>
      </c>
      <c r="AD392" s="209">
        <v>0.1105628</v>
      </c>
      <c r="AE392" s="209">
        <v>0.1105628</v>
      </c>
      <c r="AF392" s="220">
        <v>0.1105628</v>
      </c>
      <c r="AG392" s="436"/>
    </row>
    <row r="393" spans="1:33">
      <c r="A393" s="215" t="s">
        <v>946</v>
      </c>
      <c r="B393" s="232" t="s">
        <v>941</v>
      </c>
      <c r="C393" s="232">
        <v>2050</v>
      </c>
      <c r="D393" s="232" t="s">
        <v>674</v>
      </c>
      <c r="E393" s="209">
        <v>0.1105628</v>
      </c>
      <c r="F393" s="209">
        <v>0.1105628</v>
      </c>
      <c r="G393" s="209">
        <v>0.1105628</v>
      </c>
      <c r="H393" s="209">
        <v>0.1105628</v>
      </c>
      <c r="I393" s="209">
        <v>0.1105628</v>
      </c>
      <c r="J393" s="209">
        <v>0.1105628</v>
      </c>
      <c r="K393" s="209">
        <v>0.1105628</v>
      </c>
      <c r="L393" s="209">
        <v>0.1105628</v>
      </c>
      <c r="M393" s="209">
        <v>0.1105628</v>
      </c>
      <c r="N393" s="209">
        <v>0.1105628</v>
      </c>
      <c r="O393" s="209">
        <v>0.1105628</v>
      </c>
      <c r="P393" s="209">
        <v>0.1105628</v>
      </c>
      <c r="Q393" s="209">
        <v>0.1105628</v>
      </c>
      <c r="R393" s="209">
        <v>0.1105628</v>
      </c>
      <c r="S393" s="209">
        <v>0.1105628</v>
      </c>
      <c r="T393" s="209">
        <v>0.1105628</v>
      </c>
      <c r="U393" s="209">
        <v>0.1105628</v>
      </c>
      <c r="V393" s="209">
        <v>0.1105628</v>
      </c>
      <c r="W393" s="209">
        <v>0.1105628</v>
      </c>
      <c r="X393" s="209">
        <v>0.1105628</v>
      </c>
      <c r="Y393" s="209">
        <v>0.1105628</v>
      </c>
      <c r="Z393" s="209">
        <v>0.1105628</v>
      </c>
      <c r="AA393" s="209">
        <v>0.1105628</v>
      </c>
      <c r="AB393" s="209">
        <v>0.1105628</v>
      </c>
      <c r="AC393" s="209">
        <v>0.1105628</v>
      </c>
      <c r="AD393" s="209">
        <v>0.1105628</v>
      </c>
      <c r="AE393" s="209">
        <v>0.1105628</v>
      </c>
      <c r="AF393" s="220">
        <v>0.1105628</v>
      </c>
      <c r="AG393" s="436"/>
    </row>
    <row r="394" spans="1:33">
      <c r="A394" s="215" t="s">
        <v>946</v>
      </c>
      <c r="B394" s="232" t="s">
        <v>941</v>
      </c>
      <c r="C394" s="232">
        <v>2060</v>
      </c>
      <c r="D394" s="232" t="s">
        <v>674</v>
      </c>
      <c r="E394" s="209">
        <v>0.1105628</v>
      </c>
      <c r="F394" s="209">
        <v>0.1105628</v>
      </c>
      <c r="G394" s="209">
        <v>0.1105628</v>
      </c>
      <c r="H394" s="209">
        <v>0.1105628</v>
      </c>
      <c r="I394" s="209">
        <v>0.1105628</v>
      </c>
      <c r="J394" s="209">
        <v>0.1105628</v>
      </c>
      <c r="K394" s="209">
        <v>0.1105628</v>
      </c>
      <c r="L394" s="209">
        <v>0.1105628</v>
      </c>
      <c r="M394" s="209">
        <v>0.1105628</v>
      </c>
      <c r="N394" s="209">
        <v>0.1105628</v>
      </c>
      <c r="O394" s="209">
        <v>0.1105628</v>
      </c>
      <c r="P394" s="209">
        <v>0.1105628</v>
      </c>
      <c r="Q394" s="209">
        <v>0.1105628</v>
      </c>
      <c r="R394" s="209">
        <v>0.1105628</v>
      </c>
      <c r="S394" s="209">
        <v>0.1105628</v>
      </c>
      <c r="T394" s="209">
        <v>0.1105628</v>
      </c>
      <c r="U394" s="209">
        <v>0.1105628</v>
      </c>
      <c r="V394" s="209">
        <v>0.1105628</v>
      </c>
      <c r="W394" s="209">
        <v>0.1105628</v>
      </c>
      <c r="X394" s="209">
        <v>0.1105628</v>
      </c>
      <c r="Y394" s="209">
        <v>0.1105628</v>
      </c>
      <c r="Z394" s="209">
        <v>0.1105628</v>
      </c>
      <c r="AA394" s="209">
        <v>0.1105628</v>
      </c>
      <c r="AB394" s="209">
        <v>0.1105628</v>
      </c>
      <c r="AC394" s="209">
        <v>0.1105628</v>
      </c>
      <c r="AD394" s="209">
        <v>0.1105628</v>
      </c>
      <c r="AE394" s="209">
        <v>0.1105628</v>
      </c>
      <c r="AF394" s="220">
        <v>0.1105628</v>
      </c>
      <c r="AG394" s="436"/>
    </row>
    <row r="395" spans="1:33">
      <c r="A395" s="215" t="s">
        <v>946</v>
      </c>
      <c r="B395" s="232" t="s">
        <v>941</v>
      </c>
      <c r="C395" s="232">
        <v>2070</v>
      </c>
      <c r="D395" s="232" t="s">
        <v>674</v>
      </c>
      <c r="E395" s="209">
        <v>0.1105628</v>
      </c>
      <c r="F395" s="209">
        <v>0.1105628</v>
      </c>
      <c r="G395" s="209">
        <v>0.1105628</v>
      </c>
      <c r="H395" s="209">
        <v>0.1105628</v>
      </c>
      <c r="I395" s="209">
        <v>0.1105628</v>
      </c>
      <c r="J395" s="209">
        <v>0.1105628</v>
      </c>
      <c r="K395" s="209">
        <v>0.1105628</v>
      </c>
      <c r="L395" s="209">
        <v>0.1105628</v>
      </c>
      <c r="M395" s="209">
        <v>0.1105628</v>
      </c>
      <c r="N395" s="209">
        <v>0.1105628</v>
      </c>
      <c r="O395" s="209">
        <v>0.1105628</v>
      </c>
      <c r="P395" s="209">
        <v>0.1105628</v>
      </c>
      <c r="Q395" s="209">
        <v>0.1105628</v>
      </c>
      <c r="R395" s="209">
        <v>0.1105628</v>
      </c>
      <c r="S395" s="209">
        <v>0.1105628</v>
      </c>
      <c r="T395" s="209">
        <v>0.1105628</v>
      </c>
      <c r="U395" s="209">
        <v>0.1105628</v>
      </c>
      <c r="V395" s="209">
        <v>0.1105628</v>
      </c>
      <c r="W395" s="209">
        <v>0.1105628</v>
      </c>
      <c r="X395" s="209">
        <v>0.1105628</v>
      </c>
      <c r="Y395" s="209">
        <v>0.1105628</v>
      </c>
      <c r="Z395" s="209">
        <v>0.1105628</v>
      </c>
      <c r="AA395" s="209">
        <v>0.1105628</v>
      </c>
      <c r="AB395" s="209">
        <v>0.1105628</v>
      </c>
      <c r="AC395" s="209">
        <v>0.1105628</v>
      </c>
      <c r="AD395" s="209">
        <v>0.1105628</v>
      </c>
      <c r="AE395" s="209">
        <v>0.1105628</v>
      </c>
      <c r="AF395" s="220">
        <v>0.1105628</v>
      </c>
      <c r="AG395" s="436"/>
    </row>
    <row r="396" spans="1:33">
      <c r="A396" s="215" t="s">
        <v>946</v>
      </c>
      <c r="B396" s="232" t="s">
        <v>941</v>
      </c>
      <c r="C396" s="232">
        <v>2080</v>
      </c>
      <c r="D396" s="232" t="s">
        <v>674</v>
      </c>
      <c r="E396" s="209">
        <v>0.1105628</v>
      </c>
      <c r="F396" s="209">
        <v>0.1105628</v>
      </c>
      <c r="G396" s="209">
        <v>0.1105628</v>
      </c>
      <c r="H396" s="209">
        <v>0.1105628</v>
      </c>
      <c r="I396" s="209">
        <v>0.1105628</v>
      </c>
      <c r="J396" s="209">
        <v>0.1105628</v>
      </c>
      <c r="K396" s="209">
        <v>0.1105628</v>
      </c>
      <c r="L396" s="209">
        <v>0.1105628</v>
      </c>
      <c r="M396" s="209">
        <v>0.1105628</v>
      </c>
      <c r="N396" s="209">
        <v>0.1105628</v>
      </c>
      <c r="O396" s="209">
        <v>0.1105628</v>
      </c>
      <c r="P396" s="209">
        <v>0.1105628</v>
      </c>
      <c r="Q396" s="209">
        <v>0.1105628</v>
      </c>
      <c r="R396" s="209">
        <v>0.1105628</v>
      </c>
      <c r="S396" s="209">
        <v>0.1105628</v>
      </c>
      <c r="T396" s="209">
        <v>0.1105628</v>
      </c>
      <c r="U396" s="209">
        <v>0.1105628</v>
      </c>
      <c r="V396" s="209">
        <v>0.1105628</v>
      </c>
      <c r="W396" s="209">
        <v>0.1105628</v>
      </c>
      <c r="X396" s="209">
        <v>0.1105628</v>
      </c>
      <c r="Y396" s="209">
        <v>0.1105628</v>
      </c>
      <c r="Z396" s="209">
        <v>0.1105628</v>
      </c>
      <c r="AA396" s="209">
        <v>0.1105628</v>
      </c>
      <c r="AB396" s="209">
        <v>0.1105628</v>
      </c>
      <c r="AC396" s="209">
        <v>0.1105628</v>
      </c>
      <c r="AD396" s="209">
        <v>0.1105628</v>
      </c>
      <c r="AE396" s="209">
        <v>0.1105628</v>
      </c>
      <c r="AF396" s="220">
        <v>0.1105628</v>
      </c>
      <c r="AG396" s="436"/>
    </row>
    <row r="397" spans="1:33">
      <c r="A397" s="215" t="s">
        <v>946</v>
      </c>
      <c r="B397" s="232" t="s">
        <v>941</v>
      </c>
      <c r="C397" s="232">
        <v>2090</v>
      </c>
      <c r="D397" s="232" t="s">
        <v>674</v>
      </c>
      <c r="E397" s="209">
        <v>0.1105628</v>
      </c>
      <c r="F397" s="209">
        <v>0.1105628</v>
      </c>
      <c r="G397" s="209">
        <v>0.1105628</v>
      </c>
      <c r="H397" s="209">
        <v>0.1105628</v>
      </c>
      <c r="I397" s="209">
        <v>0.1105628</v>
      </c>
      <c r="J397" s="209">
        <v>0.1105628</v>
      </c>
      <c r="K397" s="209">
        <v>0.1105628</v>
      </c>
      <c r="L397" s="209">
        <v>0.1105628</v>
      </c>
      <c r="M397" s="209">
        <v>0.1105628</v>
      </c>
      <c r="N397" s="209">
        <v>0.1105628</v>
      </c>
      <c r="O397" s="209">
        <v>0.1105628</v>
      </c>
      <c r="P397" s="209">
        <v>0.1105628</v>
      </c>
      <c r="Q397" s="209">
        <v>0.1105628</v>
      </c>
      <c r="R397" s="209">
        <v>0.1105628</v>
      </c>
      <c r="S397" s="209">
        <v>0.1105628</v>
      </c>
      <c r="T397" s="209">
        <v>0.1105628</v>
      </c>
      <c r="U397" s="209">
        <v>0.1105628</v>
      </c>
      <c r="V397" s="209">
        <v>0.1105628</v>
      </c>
      <c r="W397" s="209">
        <v>0.1105628</v>
      </c>
      <c r="X397" s="209">
        <v>0.1105628</v>
      </c>
      <c r="Y397" s="209">
        <v>0.1105628</v>
      </c>
      <c r="Z397" s="209">
        <v>0.1105628</v>
      </c>
      <c r="AA397" s="209">
        <v>0.1105628</v>
      </c>
      <c r="AB397" s="209">
        <v>0.1105628</v>
      </c>
      <c r="AC397" s="209">
        <v>0.1105628</v>
      </c>
      <c r="AD397" s="209">
        <v>0.1105628</v>
      </c>
      <c r="AE397" s="209">
        <v>0.1105628</v>
      </c>
      <c r="AF397" s="220">
        <v>0.1105628</v>
      </c>
      <c r="AG397" s="436"/>
    </row>
    <row r="398" spans="1:33" ht="16.2" thickBot="1">
      <c r="A398" s="449" t="s">
        <v>946</v>
      </c>
      <c r="B398" s="450" t="s">
        <v>941</v>
      </c>
      <c r="C398" s="450">
        <v>2100</v>
      </c>
      <c r="D398" s="450" t="s">
        <v>674</v>
      </c>
      <c r="E398" s="212">
        <v>0.1105628</v>
      </c>
      <c r="F398" s="212">
        <v>0.1105628</v>
      </c>
      <c r="G398" s="212">
        <v>0.1105628</v>
      </c>
      <c r="H398" s="212">
        <v>0.1105628</v>
      </c>
      <c r="I398" s="212">
        <v>0.1105628</v>
      </c>
      <c r="J398" s="212">
        <v>0.1105628</v>
      </c>
      <c r="K398" s="212">
        <v>0.1105628</v>
      </c>
      <c r="L398" s="212">
        <v>0.1105628</v>
      </c>
      <c r="M398" s="212">
        <v>0.1105628</v>
      </c>
      <c r="N398" s="212">
        <v>0.1105628</v>
      </c>
      <c r="O398" s="212">
        <v>0.1105628</v>
      </c>
      <c r="P398" s="212">
        <v>0.1105628</v>
      </c>
      <c r="Q398" s="212">
        <v>0.1105628</v>
      </c>
      <c r="R398" s="212">
        <v>0.1105628</v>
      </c>
      <c r="S398" s="212">
        <v>0.1105628</v>
      </c>
      <c r="T398" s="212">
        <v>0.1105628</v>
      </c>
      <c r="U398" s="212">
        <v>0.1105628</v>
      </c>
      <c r="V398" s="212">
        <v>0.1105628</v>
      </c>
      <c r="W398" s="212">
        <v>0.1105628</v>
      </c>
      <c r="X398" s="212">
        <v>0.1105628</v>
      </c>
      <c r="Y398" s="212">
        <v>0.1105628</v>
      </c>
      <c r="Z398" s="212">
        <v>0.1105628</v>
      </c>
      <c r="AA398" s="212">
        <v>0.1105628</v>
      </c>
      <c r="AB398" s="212">
        <v>0.1105628</v>
      </c>
      <c r="AC398" s="212">
        <v>0.1105628</v>
      </c>
      <c r="AD398" s="212">
        <v>0.1105628</v>
      </c>
      <c r="AE398" s="212">
        <v>0.1105628</v>
      </c>
      <c r="AF398" s="451">
        <v>0.1105628</v>
      </c>
      <c r="AG398" s="452"/>
    </row>
  </sheetData>
  <mergeCells count="2">
    <mergeCell ref="E4:AF4"/>
    <mergeCell ref="E202:AF202"/>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94038-981A-4C46-9307-532E78898BEE}">
  <sheetPr>
    <tabColor theme="5" tint="0.59999389629810485"/>
  </sheetPr>
  <dimension ref="A1:AE27"/>
  <sheetViews>
    <sheetView workbookViewId="0">
      <selection activeCell="B7" sqref="B7:AC7"/>
    </sheetView>
  </sheetViews>
  <sheetFormatPr defaultRowHeight="15.6"/>
  <cols>
    <col min="1" max="1" width="9.8984375" bestFit="1" customWidth="1"/>
    <col min="2" max="2" width="17.09765625" bestFit="1" customWidth="1"/>
    <col min="3" max="29" width="15.3984375" bestFit="1" customWidth="1"/>
  </cols>
  <sheetData>
    <row r="1" spans="1:31">
      <c r="A1" s="175" t="s">
        <v>2732</v>
      </c>
    </row>
    <row r="2" spans="1:31">
      <c r="A2" s="559" t="s">
        <v>384</v>
      </c>
      <c r="B2" s="559">
        <v>2019</v>
      </c>
      <c r="C2" s="559">
        <v>2019</v>
      </c>
      <c r="D2" s="559">
        <v>2019</v>
      </c>
      <c r="E2" s="559">
        <v>2019</v>
      </c>
      <c r="F2" s="559">
        <v>2019</v>
      </c>
      <c r="G2" s="559">
        <v>2019</v>
      </c>
      <c r="H2" s="559">
        <v>2019</v>
      </c>
      <c r="I2" s="559">
        <v>2019</v>
      </c>
      <c r="J2" s="559">
        <v>2019</v>
      </c>
      <c r="K2" s="559">
        <v>2019</v>
      </c>
      <c r="L2" s="559">
        <v>2019</v>
      </c>
      <c r="M2" s="559">
        <v>2019</v>
      </c>
      <c r="N2" s="559">
        <v>2019</v>
      </c>
      <c r="O2" s="559">
        <v>2019</v>
      </c>
      <c r="P2" s="559">
        <v>2019</v>
      </c>
      <c r="Q2" s="559">
        <v>2019</v>
      </c>
      <c r="R2" s="559">
        <v>2019</v>
      </c>
      <c r="S2" s="559">
        <v>2019</v>
      </c>
      <c r="T2" s="559">
        <v>2019</v>
      </c>
      <c r="U2" s="559">
        <v>2019</v>
      </c>
      <c r="V2" s="559">
        <v>2019</v>
      </c>
      <c r="W2" s="559">
        <v>2019</v>
      </c>
      <c r="X2" s="559">
        <v>2019</v>
      </c>
      <c r="Y2" s="559">
        <v>2019</v>
      </c>
      <c r="Z2" s="559">
        <v>2019</v>
      </c>
      <c r="AA2" s="559">
        <v>2019</v>
      </c>
      <c r="AB2" s="559">
        <v>2019</v>
      </c>
      <c r="AC2" s="559">
        <v>2019</v>
      </c>
    </row>
    <row r="3" spans="1:31">
      <c r="A3" s="559"/>
      <c r="B3" s="559" t="s">
        <v>172</v>
      </c>
      <c r="C3" s="559" t="s">
        <v>175</v>
      </c>
      <c r="D3" s="559" t="s">
        <v>178</v>
      </c>
      <c r="E3" s="559" t="s">
        <v>181</v>
      </c>
      <c r="F3" s="559" t="s">
        <v>184</v>
      </c>
      <c r="G3" s="559" t="s">
        <v>187</v>
      </c>
      <c r="H3" s="559" t="s">
        <v>190</v>
      </c>
      <c r="I3" s="559" t="s">
        <v>193</v>
      </c>
      <c r="J3" s="559" t="s">
        <v>196</v>
      </c>
      <c r="K3" s="559" t="s">
        <v>198</v>
      </c>
      <c r="L3" s="559" t="s">
        <v>200</v>
      </c>
      <c r="M3" s="559" t="s">
        <v>202</v>
      </c>
      <c r="N3" s="559" t="s">
        <v>205</v>
      </c>
      <c r="O3" s="559" t="s">
        <v>208</v>
      </c>
      <c r="P3" s="559" t="s">
        <v>211</v>
      </c>
      <c r="Q3" s="559" t="s">
        <v>214</v>
      </c>
      <c r="R3" s="559" t="s">
        <v>217</v>
      </c>
      <c r="S3" s="559" t="s">
        <v>220</v>
      </c>
      <c r="T3" s="559" t="s">
        <v>223</v>
      </c>
      <c r="U3" s="559" t="s">
        <v>225</v>
      </c>
      <c r="V3" s="559" t="s">
        <v>227</v>
      </c>
      <c r="W3" s="559" t="s">
        <v>230</v>
      </c>
      <c r="X3" s="559" t="s">
        <v>233</v>
      </c>
      <c r="Y3" s="559" t="s">
        <v>236</v>
      </c>
      <c r="Z3" s="559" t="s">
        <v>238</v>
      </c>
      <c r="AA3" s="559" t="s">
        <v>240</v>
      </c>
      <c r="AB3" s="559" t="s">
        <v>243</v>
      </c>
      <c r="AC3" s="559" t="s">
        <v>245</v>
      </c>
    </row>
    <row r="4" spans="1:31">
      <c r="A4" s="559" t="s">
        <v>483</v>
      </c>
      <c r="B4" s="560">
        <v>1.047667242579769E-2</v>
      </c>
      <c r="C4" s="560">
        <v>0</v>
      </c>
      <c r="D4" s="560">
        <v>8.6353566489769124E-3</v>
      </c>
      <c r="E4" s="560">
        <v>0</v>
      </c>
      <c r="F4" s="560">
        <v>3.0341795709865771</v>
      </c>
      <c r="G4" s="560">
        <v>8.8399413244577094E-3</v>
      </c>
      <c r="H4" s="560">
        <v>9.9351949661749828</v>
      </c>
      <c r="I4" s="560">
        <v>1.4872275706211764</v>
      </c>
      <c r="J4" s="560">
        <v>1.4315626824447691</v>
      </c>
      <c r="K4" s="560">
        <v>2.5381070938915893</v>
      </c>
      <c r="L4" s="560">
        <v>0.525166634912968</v>
      </c>
      <c r="M4" s="560">
        <v>0</v>
      </c>
      <c r="N4" s="560">
        <v>0.42059042631492377</v>
      </c>
      <c r="O4" s="560">
        <v>14.755325449046524</v>
      </c>
      <c r="P4" s="560">
        <v>8.8180085291719283</v>
      </c>
      <c r="Q4" s="560">
        <v>23.146605180760993</v>
      </c>
      <c r="R4" s="560">
        <v>59.830391557256689</v>
      </c>
      <c r="S4" s="560">
        <v>8.9058176388391308E-2</v>
      </c>
      <c r="T4" s="560">
        <v>0</v>
      </c>
      <c r="U4" s="560">
        <v>9.0445276304601616E-3</v>
      </c>
      <c r="V4" s="560">
        <v>0.31028408187578327</v>
      </c>
      <c r="W4" s="560">
        <v>4.4992715734927637</v>
      </c>
      <c r="X4" s="560">
        <v>3.6259711792799861E-2</v>
      </c>
      <c r="Y4" s="560">
        <v>0.23190321260134469</v>
      </c>
      <c r="Z4" s="560">
        <v>0</v>
      </c>
      <c r="AA4" s="560">
        <v>0</v>
      </c>
      <c r="AB4" s="560">
        <v>1.269070330557861</v>
      </c>
      <c r="AC4" s="560">
        <v>24.87733349079824</v>
      </c>
    </row>
    <row r="5" spans="1:31">
      <c r="A5" s="559" t="s">
        <v>487</v>
      </c>
      <c r="B5" s="560">
        <v>170.00003141914701</v>
      </c>
      <c r="C5" s="560">
        <v>0</v>
      </c>
      <c r="D5" s="560">
        <v>371.00003136390001</v>
      </c>
      <c r="E5" s="560">
        <v>1718.0000312677998</v>
      </c>
      <c r="F5" s="560">
        <v>5503.0000312055772</v>
      </c>
      <c r="G5" s="560">
        <v>0</v>
      </c>
      <c r="H5" s="560">
        <v>38298.000031828735</v>
      </c>
      <c r="I5" s="560">
        <v>0</v>
      </c>
      <c r="J5" s="560">
        <v>774356.99982851127</v>
      </c>
      <c r="K5" s="560">
        <v>41390.00003242946</v>
      </c>
      <c r="L5" s="560">
        <v>0</v>
      </c>
      <c r="M5" s="560">
        <v>114696.00003012375</v>
      </c>
      <c r="N5" s="560">
        <v>2056.0000312598172</v>
      </c>
      <c r="O5" s="560">
        <v>11263.00003112981</v>
      </c>
      <c r="P5" s="560">
        <v>30608.000031266722</v>
      </c>
      <c r="Q5" s="560">
        <v>48756.000031293159</v>
      </c>
      <c r="R5" s="560">
        <v>49397.000029548115</v>
      </c>
      <c r="S5" s="560">
        <v>30329.000031309908</v>
      </c>
      <c r="T5" s="560">
        <v>0</v>
      </c>
      <c r="U5" s="560">
        <v>1234.0000312892482</v>
      </c>
      <c r="V5" s="560">
        <v>55602.000028402763</v>
      </c>
      <c r="W5" s="560">
        <v>2504.0000312500156</v>
      </c>
      <c r="X5" s="560">
        <v>0</v>
      </c>
      <c r="Y5" s="560">
        <v>0</v>
      </c>
      <c r="Z5" s="560">
        <v>0</v>
      </c>
      <c r="AA5" s="560">
        <v>0</v>
      </c>
      <c r="AB5" s="560">
        <v>0</v>
      </c>
      <c r="AC5" s="560">
        <v>1285465.9978854966</v>
      </c>
    </row>
    <row r="6" spans="1:31">
      <c r="A6" s="559" t="s">
        <v>485</v>
      </c>
      <c r="B6" s="560">
        <v>0</v>
      </c>
      <c r="C6" s="560">
        <v>0</v>
      </c>
      <c r="D6" s="560">
        <v>0</v>
      </c>
      <c r="E6" s="560">
        <v>0</v>
      </c>
      <c r="F6" s="560">
        <v>149.00003142970201</v>
      </c>
      <c r="G6" s="560">
        <v>10.000031827479653</v>
      </c>
      <c r="H6" s="560">
        <v>101622.00003435931</v>
      </c>
      <c r="I6" s="560">
        <v>0</v>
      </c>
      <c r="J6" s="560">
        <v>142711.00001549741</v>
      </c>
      <c r="K6" s="560">
        <v>10415.000031118168</v>
      </c>
      <c r="L6" s="560">
        <v>0</v>
      </c>
      <c r="M6" s="560">
        <v>307624.99993902113</v>
      </c>
      <c r="N6" s="560">
        <v>424.00003135486804</v>
      </c>
      <c r="O6" s="560">
        <v>35655.000032095384</v>
      </c>
      <c r="P6" s="560">
        <v>74124.000031689007</v>
      </c>
      <c r="Q6" s="560">
        <v>223742.0000314074</v>
      </c>
      <c r="R6" s="560">
        <v>260098.99998852657</v>
      </c>
      <c r="S6" s="560">
        <v>238984.00006615132</v>
      </c>
      <c r="T6" s="560">
        <v>0</v>
      </c>
      <c r="U6" s="560">
        <v>339.00003136981621</v>
      </c>
      <c r="V6" s="560">
        <v>100062.00003130113</v>
      </c>
      <c r="W6" s="560">
        <v>4184.0000312384082</v>
      </c>
      <c r="X6" s="560">
        <v>0</v>
      </c>
      <c r="Y6" s="560">
        <v>0</v>
      </c>
      <c r="Z6" s="560">
        <v>0</v>
      </c>
      <c r="AA6" s="560">
        <v>5170.000031198706</v>
      </c>
      <c r="AB6" s="560">
        <v>35137.000031280411</v>
      </c>
      <c r="AC6" s="560">
        <v>180579.00004796547</v>
      </c>
    </row>
    <row r="7" spans="1:31">
      <c r="A7" s="559" t="s">
        <v>479</v>
      </c>
      <c r="B7" s="560">
        <f>('Key inputs_EB_MIN'!E8+'Key inputs_EB_MIN'!E44)/CommodityConv!$E29</f>
        <v>213170368.42105263</v>
      </c>
      <c r="C7" s="560">
        <f>('Key inputs_EB_MIN'!F8+'Key inputs_EB_MIN'!F44)/CommodityConv!$E29</f>
        <v>15624894.736842105</v>
      </c>
      <c r="D7" s="560">
        <f>('Key inputs_EB_MIN'!G8+'Key inputs_EB_MIN'!G44)/CommodityConv!$E29</f>
        <v>169638631.57894737</v>
      </c>
      <c r="E7" s="560">
        <f>('Key inputs_EB_MIN'!H8+'Key inputs_EB_MIN'!H44)/CommodityConv!$E29</f>
        <v>70326263.157894745</v>
      </c>
      <c r="F7" s="560">
        <f>('Key inputs_EB_MIN'!I8+'Key inputs_EB_MIN'!I44)/CommodityConv!$E29</f>
        <v>11846789.47368421</v>
      </c>
      <c r="G7" s="560">
        <f>('Key inputs_EB_MIN'!J8+'Key inputs_EB_MIN'!J44)/CommodityConv!$E29</f>
        <v>4848421.0526315793</v>
      </c>
      <c r="H7" s="560">
        <f>('Key inputs_EB_MIN'!K8+'Key inputs_EB_MIN'!K44)/CommodityConv!$E29</f>
        <v>83199052.631578952</v>
      </c>
      <c r="I7" s="560">
        <f>('Key inputs_EB_MIN'!L8+'Key inputs_EB_MIN'!L44)/CommodityConv!$E29</f>
        <v>75870263.157894745</v>
      </c>
      <c r="J7" s="560">
        <f>('Key inputs_EB_MIN'!M8+'Key inputs_EB_MIN'!M44)/CommodityConv!$E29</f>
        <v>126778157.89473684</v>
      </c>
      <c r="K7" s="560">
        <f>('Key inputs_EB_MIN'!N8+'Key inputs_EB_MIN'!N44)/CommodityConv!$E29</f>
        <v>28775315.789473686</v>
      </c>
      <c r="L7" s="560">
        <f>('Key inputs_EB_MIN'!O8+'Key inputs_EB_MIN'!O44)/CommodityConv!$E29</f>
        <v>18446789.47368421</v>
      </c>
      <c r="M7" s="560">
        <f>('Key inputs_EB_MIN'!P8+'Key inputs_EB_MIN'!P44)/CommodityConv!$E29</f>
        <v>96970631.578947365</v>
      </c>
      <c r="N7" s="560">
        <f>('Key inputs_EB_MIN'!Q8+'Key inputs_EB_MIN'!Q44)/CommodityConv!$E29</f>
        <v>21321263.157894738</v>
      </c>
      <c r="O7" s="560">
        <f>('Key inputs_EB_MIN'!R8+'Key inputs_EB_MIN'!R44)/CommodityConv!$E29</f>
        <v>10560842.105263159</v>
      </c>
      <c r="P7" s="560">
        <f>('Key inputs_EB_MIN'!S8+'Key inputs_EB_MIN'!S44)/CommodityConv!$E29</f>
        <v>67360315.789473683</v>
      </c>
      <c r="Q7" s="560">
        <f>('Key inputs_EB_MIN'!T8+'Key inputs_EB_MIN'!T44)/CommodityConv!$E29</f>
        <v>60417684.210526317</v>
      </c>
      <c r="R7" s="560">
        <f>('Key inputs_EB_MIN'!U8+'Key inputs_EB_MIN'!U44)/CommodityConv!$E29</f>
        <v>99905894.736842111</v>
      </c>
      <c r="S7" s="560">
        <f>('Key inputs_EB_MIN'!V8+'Key inputs_EB_MIN'!V44)/CommodityConv!$E29</f>
        <v>105599263.15789475</v>
      </c>
      <c r="T7" s="560">
        <f>('Key inputs_EB_MIN'!W8+'Key inputs_EB_MIN'!W44)/CommodityConv!$E29</f>
        <v>344543894.7368421</v>
      </c>
      <c r="U7" s="560">
        <f>('Key inputs_EB_MIN'!X8+'Key inputs_EB_MIN'!X44)/CommodityConv!$E29</f>
        <v>7489000</v>
      </c>
      <c r="V7" s="560">
        <f>('Key inputs_EB_MIN'!Y8+'Key inputs_EB_MIN'!Y44)/CommodityConv!$E29</f>
        <v>73761368.421052635</v>
      </c>
      <c r="W7" s="560">
        <f>('Key inputs_EB_MIN'!Z8+'Key inputs_EB_MIN'!Z44)/CommodityConv!$E29</f>
        <v>3570526.3157894737</v>
      </c>
      <c r="X7" s="560">
        <f>('Key inputs_EB_MIN'!AA8+'Key inputs_EB_MIN'!AA44)/CommodityConv!$E29</f>
        <v>4507736.8421052629</v>
      </c>
      <c r="Y7" s="560">
        <f>('Key inputs_EB_MIN'!AB8+'Key inputs_EB_MIN'!AB44)/CommodityConv!$E29</f>
        <v>20518052.631578948</v>
      </c>
      <c r="Z7" s="560">
        <f>('Key inputs_EB_MIN'!AC8+'Key inputs_EB_MIN'!AC44)/CommodityConv!$E29</f>
        <v>151357315.78947368</v>
      </c>
      <c r="AA7" s="560">
        <f>('Key inputs_EB_MIN'!AD8+'Key inputs_EB_MIN'!AD44)/CommodityConv!$E29</f>
        <v>7774473.6842105268</v>
      </c>
      <c r="AB7" s="560">
        <f>('Key inputs_EB_MIN'!AE8+'Key inputs_EB_MIN'!AE44)/CommodityConv!$E29</f>
        <v>5069578.9473684216</v>
      </c>
      <c r="AC7" s="560">
        <f>('Key inputs_EB_MIN'!AF8+'Key inputs_EB_MIN'!AF44)/CommodityConv!$E29</f>
        <v>129438473.68421052</v>
      </c>
    </row>
    <row r="9" spans="1:31">
      <c r="A9" s="562" t="s">
        <v>384</v>
      </c>
      <c r="B9" s="562" t="s">
        <v>384</v>
      </c>
      <c r="C9" s="562" t="s">
        <v>384</v>
      </c>
      <c r="D9" s="562" t="s">
        <v>384</v>
      </c>
      <c r="E9" s="562" t="s">
        <v>384</v>
      </c>
      <c r="F9" s="562" t="s">
        <v>384</v>
      </c>
      <c r="G9" s="562" t="s">
        <v>384</v>
      </c>
      <c r="H9" s="562" t="s">
        <v>384</v>
      </c>
      <c r="I9" s="562" t="s">
        <v>384</v>
      </c>
      <c r="J9" s="562" t="s">
        <v>384</v>
      </c>
      <c r="K9" s="562" t="s">
        <v>384</v>
      </c>
      <c r="L9" s="562" t="s">
        <v>384</v>
      </c>
      <c r="M9" s="562" t="s">
        <v>384</v>
      </c>
      <c r="N9" s="562" t="s">
        <v>384</v>
      </c>
      <c r="O9" s="562" t="s">
        <v>384</v>
      </c>
      <c r="P9" s="562" t="s">
        <v>384</v>
      </c>
      <c r="Q9" s="562" t="s">
        <v>384</v>
      </c>
      <c r="R9" s="562" t="s">
        <v>384</v>
      </c>
      <c r="S9" s="562" t="s">
        <v>384</v>
      </c>
      <c r="T9" s="562" t="s">
        <v>384</v>
      </c>
      <c r="U9" s="562" t="s">
        <v>384</v>
      </c>
      <c r="V9" s="562" t="s">
        <v>384</v>
      </c>
      <c r="W9" s="562" t="s">
        <v>384</v>
      </c>
      <c r="X9" s="562" t="s">
        <v>384</v>
      </c>
      <c r="Y9" s="562" t="s">
        <v>384</v>
      </c>
      <c r="Z9" s="562" t="s">
        <v>384</v>
      </c>
      <c r="AA9" s="562" t="s">
        <v>384</v>
      </c>
      <c r="AB9" s="562" t="s">
        <v>384</v>
      </c>
      <c r="AC9" s="562" t="s">
        <v>384</v>
      </c>
      <c r="AD9" s="562"/>
      <c r="AE9" s="562"/>
    </row>
    <row r="10" spans="1:31">
      <c r="A10" s="562" t="s">
        <v>731</v>
      </c>
      <c r="B10" s="562" t="s">
        <v>2730</v>
      </c>
      <c r="C10" s="562" t="s">
        <v>172</v>
      </c>
      <c r="D10" s="562" t="s">
        <v>175</v>
      </c>
      <c r="E10" s="562" t="s">
        <v>178</v>
      </c>
      <c r="F10" s="562" t="s">
        <v>181</v>
      </c>
      <c r="G10" s="562" t="s">
        <v>184</v>
      </c>
      <c r="H10" s="562" t="s">
        <v>187</v>
      </c>
      <c r="I10" s="562" t="s">
        <v>190</v>
      </c>
      <c r="J10" s="562" t="s">
        <v>193</v>
      </c>
      <c r="K10" s="562" t="s">
        <v>196</v>
      </c>
      <c r="L10" s="562" t="s">
        <v>198</v>
      </c>
      <c r="M10" s="562" t="s">
        <v>200</v>
      </c>
      <c r="N10" s="562" t="s">
        <v>202</v>
      </c>
      <c r="O10" s="562" t="s">
        <v>205</v>
      </c>
      <c r="P10" s="562" t="s">
        <v>208</v>
      </c>
      <c r="Q10" s="562" t="s">
        <v>211</v>
      </c>
      <c r="R10" s="562" t="s">
        <v>214</v>
      </c>
      <c r="S10" s="562" t="s">
        <v>217</v>
      </c>
      <c r="T10" s="562" t="s">
        <v>220</v>
      </c>
      <c r="U10" s="562" t="s">
        <v>223</v>
      </c>
      <c r="V10" s="562" t="s">
        <v>225</v>
      </c>
      <c r="W10" s="562" t="s">
        <v>227</v>
      </c>
      <c r="X10" s="562" t="s">
        <v>230</v>
      </c>
      <c r="Y10" s="562" t="s">
        <v>233</v>
      </c>
      <c r="Z10" s="562" t="s">
        <v>236</v>
      </c>
      <c r="AA10" s="562" t="s">
        <v>238</v>
      </c>
      <c r="AB10" s="562" t="s">
        <v>240</v>
      </c>
      <c r="AC10" s="562" t="s">
        <v>243</v>
      </c>
      <c r="AD10" s="562" t="s">
        <v>245</v>
      </c>
    </row>
    <row r="11" spans="1:31">
      <c r="A11" s="562" t="s">
        <v>406</v>
      </c>
      <c r="B11" s="562">
        <v>2019</v>
      </c>
      <c r="C11" s="562"/>
      <c r="D11" s="562"/>
      <c r="E11" s="562"/>
      <c r="F11" s="562"/>
      <c r="G11" s="562">
        <v>149.00003142970201</v>
      </c>
      <c r="H11" s="562">
        <v>10.000031827479701</v>
      </c>
      <c r="I11" s="562">
        <v>101622.00003435901</v>
      </c>
      <c r="J11" s="562"/>
      <c r="K11" s="562">
        <v>142711.000015497</v>
      </c>
      <c r="L11" s="562">
        <v>10415.000031118199</v>
      </c>
      <c r="M11" s="562"/>
      <c r="N11" s="562">
        <v>307624.99993902101</v>
      </c>
      <c r="O11" s="562">
        <v>424.00003135486799</v>
      </c>
      <c r="P11" s="562">
        <v>35655.000032095399</v>
      </c>
      <c r="Q11" s="562">
        <v>74124.000031688993</v>
      </c>
      <c r="R11" s="562">
        <v>223742.00003140699</v>
      </c>
      <c r="S11" s="562">
        <v>260098.99998852701</v>
      </c>
      <c r="T11" s="562">
        <v>238984.000066151</v>
      </c>
      <c r="U11" s="562"/>
      <c r="V11" s="562">
        <v>339.00003136981599</v>
      </c>
      <c r="W11" s="562">
        <v>100062.000031301</v>
      </c>
      <c r="X11" s="562">
        <v>4184.00003123841</v>
      </c>
      <c r="Y11" s="562"/>
      <c r="Z11" s="562"/>
      <c r="AA11" s="562"/>
      <c r="AB11" s="562">
        <v>5170.0000311987096</v>
      </c>
      <c r="AC11" s="562">
        <v>35137.000031280397</v>
      </c>
      <c r="AD11" s="562">
        <v>180579.000047965</v>
      </c>
    </row>
    <row r="12" spans="1:31">
      <c r="A12" s="562" t="s">
        <v>406</v>
      </c>
      <c r="B12" s="562">
        <v>2022</v>
      </c>
      <c r="C12" s="562">
        <v>4.2262818415376101E-4</v>
      </c>
      <c r="D12" s="562">
        <v>4.1551132213574698E-4</v>
      </c>
      <c r="E12" s="562">
        <v>21.992361433181699</v>
      </c>
      <c r="F12" s="562">
        <v>4.2865997655154299E-4</v>
      </c>
      <c r="G12" s="562">
        <v>141.55002357622601</v>
      </c>
      <c r="H12" s="562">
        <v>19.612458171137401</v>
      </c>
      <c r="I12" s="562">
        <v>96540.900016715095</v>
      </c>
      <c r="J12" s="562">
        <v>4.2921737619410697E-4</v>
      </c>
      <c r="K12" s="562">
        <v>135575.45002049001</v>
      </c>
      <c r="L12" s="562">
        <v>9894.2500200521699</v>
      </c>
      <c r="M12" s="562">
        <v>3.9043104480524198E-4</v>
      </c>
      <c r="N12" s="562">
        <v>292243.74992871197</v>
      </c>
      <c r="O12" s="562">
        <v>402.80002116908997</v>
      </c>
      <c r="P12" s="562">
        <v>33872.250018441497</v>
      </c>
      <c r="Q12" s="562">
        <v>70417.800007244397</v>
      </c>
      <c r="R12" s="562">
        <v>212554.89999199499</v>
      </c>
      <c r="S12" s="562">
        <v>247094.049884276</v>
      </c>
      <c r="T12" s="562">
        <v>227034.79984982399</v>
      </c>
      <c r="U12" s="562">
        <v>3.9584779476865698E-4</v>
      </c>
      <c r="V12" s="562">
        <v>529.28275675854104</v>
      </c>
      <c r="W12" s="562">
        <v>95058.899964720506</v>
      </c>
      <c r="X12" s="562">
        <v>3974.8000234669698</v>
      </c>
      <c r="Y12" s="562">
        <v>1239.48733944227</v>
      </c>
      <c r="Z12" s="562">
        <v>4.2298973898480702E-4</v>
      </c>
      <c r="AA12" s="562">
        <v>32.730553273789099</v>
      </c>
      <c r="AB12" s="562">
        <v>4911.50001999092</v>
      </c>
      <c r="AC12" s="562">
        <v>33380.150018550798</v>
      </c>
      <c r="AD12" s="562">
        <v>171550.04984780899</v>
      </c>
    </row>
    <row r="13" spans="1:31">
      <c r="A13" s="562" t="s">
        <v>406</v>
      </c>
      <c r="B13" s="562">
        <v>2027</v>
      </c>
      <c r="C13" s="562">
        <v>1.42767542493522E-3</v>
      </c>
      <c r="D13" s="562">
        <v>1.36034253968897E-3</v>
      </c>
      <c r="E13" s="562">
        <v>1.47894157397355E-3</v>
      </c>
      <c r="F13" s="562">
        <v>1.39434428944865E-3</v>
      </c>
      <c r="G13" s="562">
        <v>122.925065019172</v>
      </c>
      <c r="H13" s="562">
        <v>8.2500868534662697</v>
      </c>
      <c r="I13" s="562">
        <v>83838.150052538898</v>
      </c>
      <c r="J13" s="562">
        <v>1.46249683040796E-3</v>
      </c>
      <c r="K13" s="562">
        <v>117736.575060473</v>
      </c>
      <c r="L13" s="562">
        <v>8592.3750512639199</v>
      </c>
      <c r="M13" s="562">
        <v>1.2969205227949801E-3</v>
      </c>
      <c r="N13" s="562">
        <v>253790.62507818401</v>
      </c>
      <c r="O13" s="562">
        <v>349.80005457010901</v>
      </c>
      <c r="P13" s="562">
        <v>29415.375052109899</v>
      </c>
      <c r="Q13" s="562">
        <v>61152.300048036297</v>
      </c>
      <c r="R13" s="562">
        <v>184587.15007574201</v>
      </c>
      <c r="S13" s="562">
        <v>214581.674983559</v>
      </c>
      <c r="T13" s="562">
        <v>197161.80005481699</v>
      </c>
      <c r="U13" s="562">
        <v>1.30451705192531E-3</v>
      </c>
      <c r="V13" s="562">
        <v>279.67506680581698</v>
      </c>
      <c r="W13" s="562">
        <v>82551.150064345304</v>
      </c>
      <c r="X13" s="562">
        <v>3451.8000542131399</v>
      </c>
      <c r="Y13" s="562">
        <v>1.1983006421877999E-3</v>
      </c>
      <c r="Z13" s="562">
        <v>1.42482199239975E-3</v>
      </c>
      <c r="AA13" s="562">
        <v>1.4364759752652E-3</v>
      </c>
      <c r="AB13" s="562">
        <v>4265.25005246004</v>
      </c>
      <c r="AC13" s="562">
        <v>28988.025050944801</v>
      </c>
      <c r="AD13" s="562">
        <v>148977.675056573</v>
      </c>
    </row>
    <row r="14" spans="1:31">
      <c r="A14" s="562" t="s">
        <v>406</v>
      </c>
      <c r="B14" s="562">
        <v>2031</v>
      </c>
      <c r="C14" s="562">
        <v>1.11381257505694E-3</v>
      </c>
      <c r="D14" s="562">
        <v>1.0283166139716899E-3</v>
      </c>
      <c r="E14" s="562">
        <v>1.1513382574455701E-3</v>
      </c>
      <c r="F14" s="562">
        <v>1.05728579600297E-3</v>
      </c>
      <c r="G14" s="562">
        <v>23.5985335596915</v>
      </c>
      <c r="H14" s="562">
        <v>1.05572283751804E-3</v>
      </c>
      <c r="I14" s="562">
        <v>15976.7789197981</v>
      </c>
      <c r="J14" s="562">
        <v>1.1747570133031999E-3</v>
      </c>
      <c r="K14" s="562">
        <v>25845.420353466401</v>
      </c>
      <c r="L14" s="562">
        <v>414.76436743885898</v>
      </c>
      <c r="M14" s="562">
        <v>9.8848971125391292E-4</v>
      </c>
      <c r="N14" s="562">
        <v>84586.685691892504</v>
      </c>
      <c r="O14" s="562">
        <v>748.53149452341495</v>
      </c>
      <c r="P14" s="562">
        <v>1931.0899925682099</v>
      </c>
      <c r="Q14" s="562">
        <v>10028.1375431012</v>
      </c>
      <c r="R14" s="562">
        <v>6117.9538109385103</v>
      </c>
      <c r="S14" s="562">
        <v>4684.3967679424304</v>
      </c>
      <c r="T14" s="562">
        <v>24735.1693264928</v>
      </c>
      <c r="U14" s="562">
        <v>9.9365588999601696E-4</v>
      </c>
      <c r="V14" s="562">
        <v>71.723885549692795</v>
      </c>
      <c r="W14" s="562">
        <v>12522.682281937899</v>
      </c>
      <c r="X14" s="562">
        <v>518.44761934184703</v>
      </c>
      <c r="Y14" s="562">
        <v>9.4687500073466105E-4</v>
      </c>
      <c r="Z14" s="562">
        <v>1.1154269690634099E-3</v>
      </c>
      <c r="AA14" s="562">
        <v>1.1197519857832801E-3</v>
      </c>
      <c r="AB14" s="562">
        <v>1.1258256964024099E-3</v>
      </c>
      <c r="AC14" s="562">
        <v>3885.5877404922098</v>
      </c>
      <c r="AD14" s="562">
        <v>24147.677022321001</v>
      </c>
    </row>
    <row r="15" spans="1:31">
      <c r="A15" s="562" t="s">
        <v>406</v>
      </c>
      <c r="B15" s="562">
        <v>2036</v>
      </c>
      <c r="C15" s="562">
        <v>1.43741598976913E-3</v>
      </c>
      <c r="D15" s="562">
        <v>1.30234058320991E-3</v>
      </c>
      <c r="E15" s="562">
        <v>1.49748482219138E-3</v>
      </c>
      <c r="F15" s="562">
        <v>1.3373158781680801E-3</v>
      </c>
      <c r="G15" s="562">
        <v>0.799229644336234</v>
      </c>
      <c r="H15" s="562">
        <v>1.3427581510021499E-3</v>
      </c>
      <c r="I15" s="562">
        <v>3967.4714079896999</v>
      </c>
      <c r="J15" s="562">
        <v>1.6041163474048699E-3</v>
      </c>
      <c r="K15" s="562">
        <v>2873.3008502606299</v>
      </c>
      <c r="L15" s="562">
        <v>152.70419361158801</v>
      </c>
      <c r="M15" s="562">
        <v>1.2769364075143001E-3</v>
      </c>
      <c r="N15" s="562">
        <v>17947.380310735101</v>
      </c>
      <c r="O15" s="562">
        <v>261.59985152167502</v>
      </c>
      <c r="P15" s="562">
        <v>468.40499334482001</v>
      </c>
      <c r="Q15" s="562">
        <v>538.31033998764406</v>
      </c>
      <c r="R15" s="562">
        <v>1529.9625168529501</v>
      </c>
      <c r="S15" s="562">
        <v>1273.56181084987</v>
      </c>
      <c r="T15" s="562">
        <v>4838.9442553755098</v>
      </c>
      <c r="U15" s="562">
        <v>1.2877889779137599E-3</v>
      </c>
      <c r="V15" s="562">
        <v>3.2973396957068699</v>
      </c>
      <c r="W15" s="562">
        <v>92.900828522309197</v>
      </c>
      <c r="X15" s="562">
        <v>23.9057151039842</v>
      </c>
      <c r="Y15" s="562">
        <v>1.2501480635981801E-3</v>
      </c>
      <c r="Z15" s="562">
        <v>1.5006422679174499E-3</v>
      </c>
      <c r="AA15" s="562">
        <v>1.44315028476956E-3</v>
      </c>
      <c r="AB15" s="562">
        <v>1.45320926536694E-3</v>
      </c>
      <c r="AC15" s="562">
        <v>525.21945918123799</v>
      </c>
      <c r="AD15" s="562">
        <v>1260.9060739454401</v>
      </c>
    </row>
    <row r="16" spans="1:31">
      <c r="A16" s="562" t="s">
        <v>406</v>
      </c>
      <c r="B16" s="562">
        <v>2041</v>
      </c>
      <c r="C16" s="562">
        <v>2.1839369376216102E-3</v>
      </c>
      <c r="D16" s="562">
        <v>1.9906201383926999E-3</v>
      </c>
      <c r="E16" s="562">
        <v>2.2638796826915399E-3</v>
      </c>
      <c r="F16" s="562">
        <v>2.0372239417721602E-3</v>
      </c>
      <c r="G16" s="562">
        <v>2.1700061843445899E-3</v>
      </c>
      <c r="H16" s="562">
        <v>2.04842992278293E-3</v>
      </c>
      <c r="I16" s="562">
        <v>7.5970024983242103E-3</v>
      </c>
      <c r="J16" s="562">
        <v>2.4316568051000399E-3</v>
      </c>
      <c r="K16" s="562">
        <v>56.716558589951497</v>
      </c>
      <c r="L16" s="562">
        <v>1.6983837774322201E-3</v>
      </c>
      <c r="M16" s="562">
        <v>1.89769877446772E-3</v>
      </c>
      <c r="N16" s="562">
        <v>1.7649603219389101E-3</v>
      </c>
      <c r="O16" s="562">
        <v>234.00125770230301</v>
      </c>
      <c r="P16" s="562">
        <v>1.9167806462226399E-3</v>
      </c>
      <c r="Q16" s="562">
        <v>0.26974911247285799</v>
      </c>
      <c r="R16" s="562">
        <v>56.066950633639799</v>
      </c>
      <c r="S16" s="562">
        <v>81.498717793878797</v>
      </c>
      <c r="T16" s="562">
        <v>4777.7367141635104</v>
      </c>
      <c r="U16" s="562">
        <v>1.9110337703152199E-3</v>
      </c>
      <c r="V16" s="562">
        <v>1.7334044356556401E-3</v>
      </c>
      <c r="W16" s="562">
        <v>5.0047104802558896E-3</v>
      </c>
      <c r="X16" s="562">
        <v>2.2392279162951399E-3</v>
      </c>
      <c r="Y16" s="562">
        <v>1.7930455096881201E-3</v>
      </c>
      <c r="Z16" s="562">
        <v>2.2271003531624299E-3</v>
      </c>
      <c r="AA16" s="562">
        <v>2.19133203848163E-3</v>
      </c>
      <c r="AB16" s="562">
        <v>2.1911568676253601E-3</v>
      </c>
      <c r="AC16" s="562">
        <v>2.2696873704984299E-3</v>
      </c>
      <c r="AD16" s="562">
        <v>665.28857019354905</v>
      </c>
    </row>
    <row r="17" spans="1:30">
      <c r="A17" s="562" t="s">
        <v>406</v>
      </c>
      <c r="B17" s="562">
        <v>2046</v>
      </c>
      <c r="C17" s="562">
        <v>2.7863841755263298E-3</v>
      </c>
      <c r="D17" s="562">
        <v>2.6132547603123901E-3</v>
      </c>
      <c r="E17" s="562">
        <v>2.88635379249675E-3</v>
      </c>
      <c r="F17" s="562">
        <v>2.62914790759331E-3</v>
      </c>
      <c r="G17" s="562">
        <v>2.78616685347257E-3</v>
      </c>
      <c r="H17" s="562">
        <v>2.6420189380200599E-3</v>
      </c>
      <c r="I17" s="562">
        <v>8.1285721307738992E-3</v>
      </c>
      <c r="J17" s="562">
        <v>3.3017618794411799E-3</v>
      </c>
      <c r="K17" s="562">
        <v>16.5830901988842</v>
      </c>
      <c r="L17" s="562">
        <v>2.1439936770391199E-3</v>
      </c>
      <c r="M17" s="562">
        <v>2.44297730133284E-3</v>
      </c>
      <c r="N17" s="562">
        <v>2.2118358552290899E-3</v>
      </c>
      <c r="O17" s="562">
        <v>234.00140020049599</v>
      </c>
      <c r="P17" s="562">
        <v>2.3790370620186498E-3</v>
      </c>
      <c r="Q17" s="562">
        <v>0.102333644140485</v>
      </c>
      <c r="R17" s="562">
        <v>48.439865493768998</v>
      </c>
      <c r="S17" s="562">
        <v>44.995106529602502</v>
      </c>
      <c r="T17" s="562">
        <v>4717.8095688859803</v>
      </c>
      <c r="U17" s="562">
        <v>2.4639196796896901E-3</v>
      </c>
      <c r="V17" s="562">
        <v>2.1998420266480302E-3</v>
      </c>
      <c r="W17" s="562">
        <v>5.3776265773441204E-3</v>
      </c>
      <c r="X17" s="562">
        <v>2.8601942620739601E-3</v>
      </c>
      <c r="Y17" s="562">
        <v>2.2904202659720101E-3</v>
      </c>
      <c r="Z17" s="562">
        <v>2.83516238635932E-3</v>
      </c>
      <c r="AA17" s="562">
        <v>2.80169422415127E-3</v>
      </c>
      <c r="AB17" s="562">
        <v>2.8008137864782498E-3</v>
      </c>
      <c r="AC17" s="562">
        <v>2.8542867585043099E-3</v>
      </c>
      <c r="AD17" s="562">
        <v>663.83660554087396</v>
      </c>
    </row>
    <row r="18" spans="1:30">
      <c r="A18" s="562" t="s">
        <v>406</v>
      </c>
      <c r="B18" s="562">
        <v>2051</v>
      </c>
      <c r="C18" s="562">
        <v>3.0382535240995401E-3</v>
      </c>
      <c r="D18" s="562">
        <v>2.7741580111071101E-3</v>
      </c>
      <c r="E18" s="562">
        <v>3.12503842844829E-3</v>
      </c>
      <c r="F18" s="562">
        <v>2.7918067096299498E-3</v>
      </c>
      <c r="G18" s="562">
        <v>3.0493209134993902E-3</v>
      </c>
      <c r="H18" s="562">
        <v>2.8037177167012299E-3</v>
      </c>
      <c r="I18" s="562">
        <v>9.1043329344481106E-3</v>
      </c>
      <c r="J18" s="562">
        <v>3.6200009662161999E-3</v>
      </c>
      <c r="K18" s="562">
        <v>3.7353667682467001E-3</v>
      </c>
      <c r="L18" s="562">
        <v>2.3572377591338299E-3</v>
      </c>
      <c r="M18" s="562">
        <v>2.58766025943801E-3</v>
      </c>
      <c r="N18" s="562">
        <v>2.42248830677224E-3</v>
      </c>
      <c r="O18" s="562">
        <v>234.00165951499</v>
      </c>
      <c r="P18" s="562">
        <v>2.6628349719686902E-3</v>
      </c>
      <c r="Q18" s="562">
        <v>2.3744412486430698E-3</v>
      </c>
      <c r="R18" s="562">
        <v>45.0003559225242</v>
      </c>
      <c r="S18" s="562">
        <v>28.876477142225902</v>
      </c>
      <c r="T18" s="562">
        <v>4683.00498834883</v>
      </c>
      <c r="U18" s="562">
        <v>2.6147628821777801E-3</v>
      </c>
      <c r="V18" s="562">
        <v>2.4049088033952998E-3</v>
      </c>
      <c r="W18" s="562">
        <v>6.4398128874748302E-3</v>
      </c>
      <c r="X18" s="562">
        <v>3.1169943085181898E-3</v>
      </c>
      <c r="Y18" s="562">
        <v>2.5002830042088601E-3</v>
      </c>
      <c r="Z18" s="562">
        <v>3.0954936647878501E-3</v>
      </c>
      <c r="AA18" s="562">
        <v>3.0533875563543401E-3</v>
      </c>
      <c r="AB18" s="562">
        <v>3.06009817711893E-3</v>
      </c>
      <c r="AC18" s="562">
        <v>3.1110216207362799E-3</v>
      </c>
      <c r="AD18" s="562">
        <v>679.07904821793295</v>
      </c>
    </row>
    <row r="20" spans="1:30">
      <c r="B20" t="s">
        <v>2731</v>
      </c>
    </row>
    <row r="21" spans="1:30">
      <c r="B21" t="s">
        <v>202</v>
      </c>
    </row>
    <row r="22" spans="1:30">
      <c r="A22">
        <v>2025</v>
      </c>
      <c r="B22">
        <v>157.07858619288632</v>
      </c>
    </row>
    <row r="23" spans="1:30">
      <c r="A23">
        <v>2030</v>
      </c>
      <c r="B23">
        <v>9280.9425815920586</v>
      </c>
    </row>
    <row r="24" spans="1:30">
      <c r="A24">
        <v>2035</v>
      </c>
      <c r="B24">
        <v>16535.742133099946</v>
      </c>
    </row>
    <row r="25" spans="1:30">
      <c r="A25">
        <v>2040</v>
      </c>
      <c r="B25">
        <v>24597.059111566632</v>
      </c>
    </row>
    <row r="26" spans="1:30">
      <c r="A26">
        <v>2045</v>
      </c>
      <c r="B26">
        <v>32358.97511760737</v>
      </c>
    </row>
    <row r="27" spans="1:30">
      <c r="A27">
        <v>2050</v>
      </c>
      <c r="B27">
        <v>47831.921095609672</v>
      </c>
      <c r="D27" s="563"/>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D51C5-1226-424F-A180-D57455E0F13A}">
  <dimension ref="A1:E230"/>
  <sheetViews>
    <sheetView topLeftCell="A73" workbookViewId="0">
      <selection activeCell="A73" sqref="A1:XFD1048576"/>
    </sheetView>
  </sheetViews>
  <sheetFormatPr defaultRowHeight="15.6"/>
  <cols>
    <col min="1" max="1" width="6" bestFit="1" customWidth="1"/>
    <col min="2" max="2" width="45" bestFit="1" customWidth="1"/>
    <col min="3" max="3" width="6" bestFit="1" customWidth="1"/>
    <col min="4" max="4" width="8.5" bestFit="1" customWidth="1"/>
  </cols>
  <sheetData>
    <row r="1" spans="1:5">
      <c r="A1" t="s">
        <v>1995</v>
      </c>
      <c r="B1" t="s">
        <v>1996</v>
      </c>
      <c r="C1" t="s">
        <v>1997</v>
      </c>
      <c r="D1" t="s">
        <v>1998</v>
      </c>
      <c r="E1" t="s">
        <v>1999</v>
      </c>
    </row>
    <row r="2" spans="1:5">
      <c r="A2" t="s">
        <v>172</v>
      </c>
      <c r="B2" t="s">
        <v>1981</v>
      </c>
      <c r="C2" t="s">
        <v>2000</v>
      </c>
      <c r="D2">
        <v>231</v>
      </c>
    </row>
    <row r="3" spans="1:5">
      <c r="A3" t="s">
        <v>172</v>
      </c>
      <c r="B3" t="s">
        <v>2001</v>
      </c>
      <c r="C3" t="s">
        <v>2002</v>
      </c>
      <c r="D3">
        <v>404</v>
      </c>
    </row>
    <row r="4" spans="1:5">
      <c r="A4" t="s">
        <v>172</v>
      </c>
      <c r="B4" t="s">
        <v>1088</v>
      </c>
      <c r="C4" t="s">
        <v>2003</v>
      </c>
      <c r="D4">
        <v>729</v>
      </c>
    </row>
    <row r="5" spans="1:5">
      <c r="A5" t="s">
        <v>172</v>
      </c>
      <c r="B5" t="s">
        <v>2004</v>
      </c>
      <c r="C5" t="s">
        <v>2005</v>
      </c>
      <c r="D5">
        <v>480</v>
      </c>
    </row>
    <row r="6" spans="1:5">
      <c r="A6" t="s">
        <v>172</v>
      </c>
      <c r="B6" t="s">
        <v>2006</v>
      </c>
      <c r="C6" t="s">
        <v>2007</v>
      </c>
      <c r="D6">
        <v>232</v>
      </c>
    </row>
    <row r="7" spans="1:5">
      <c r="A7" t="s">
        <v>172</v>
      </c>
      <c r="B7" t="s">
        <v>1087</v>
      </c>
      <c r="C7" t="s">
        <v>2008</v>
      </c>
      <c r="D7">
        <v>728</v>
      </c>
    </row>
    <row r="8" spans="1:5">
      <c r="A8" t="s">
        <v>172</v>
      </c>
      <c r="B8" t="s">
        <v>2009</v>
      </c>
      <c r="C8" t="s">
        <v>2010</v>
      </c>
      <c r="D8">
        <v>108</v>
      </c>
    </row>
    <row r="9" spans="1:5">
      <c r="A9" t="s">
        <v>172</v>
      </c>
      <c r="B9" t="s">
        <v>2011</v>
      </c>
      <c r="C9" t="s">
        <v>2012</v>
      </c>
      <c r="D9">
        <v>174</v>
      </c>
    </row>
    <row r="10" spans="1:5">
      <c r="A10" t="s">
        <v>172</v>
      </c>
      <c r="B10" t="s">
        <v>2013</v>
      </c>
      <c r="C10" t="s">
        <v>2014</v>
      </c>
      <c r="D10">
        <v>262</v>
      </c>
    </row>
    <row r="11" spans="1:5">
      <c r="A11" t="s">
        <v>172</v>
      </c>
      <c r="B11" t="s">
        <v>1986</v>
      </c>
      <c r="C11" t="s">
        <v>2015</v>
      </c>
      <c r="D11">
        <v>450</v>
      </c>
    </row>
    <row r="12" spans="1:5">
      <c r="A12" t="s">
        <v>172</v>
      </c>
      <c r="B12" t="s">
        <v>2016</v>
      </c>
      <c r="C12" t="s">
        <v>2017</v>
      </c>
      <c r="D12">
        <v>638</v>
      </c>
    </row>
    <row r="13" spans="1:5">
      <c r="A13" t="s">
        <v>172</v>
      </c>
      <c r="B13" t="s">
        <v>2018</v>
      </c>
      <c r="C13" t="s">
        <v>2019</v>
      </c>
      <c r="D13">
        <v>646</v>
      </c>
    </row>
    <row r="14" spans="1:5">
      <c r="A14" t="s">
        <v>172</v>
      </c>
      <c r="B14" t="s">
        <v>1211</v>
      </c>
      <c r="C14" t="s">
        <v>2020</v>
      </c>
      <c r="D14">
        <v>706</v>
      </c>
    </row>
    <row r="15" spans="1:5">
      <c r="A15" t="s">
        <v>172</v>
      </c>
      <c r="B15" t="s">
        <v>2021</v>
      </c>
      <c r="C15" t="s">
        <v>2022</v>
      </c>
      <c r="D15">
        <v>800</v>
      </c>
    </row>
    <row r="16" spans="1:5">
      <c r="A16" t="s">
        <v>172</v>
      </c>
      <c r="B16" t="s">
        <v>2023</v>
      </c>
      <c r="C16" t="s">
        <v>2024</v>
      </c>
      <c r="D16">
        <v>690</v>
      </c>
    </row>
    <row r="17" spans="1:4">
      <c r="A17" t="s">
        <v>172</v>
      </c>
      <c r="B17" t="s">
        <v>1213</v>
      </c>
      <c r="C17" t="s">
        <v>2025</v>
      </c>
      <c r="D17">
        <v>834</v>
      </c>
    </row>
    <row r="18" spans="1:4">
      <c r="A18" t="s">
        <v>175</v>
      </c>
      <c r="B18" t="s">
        <v>1083</v>
      </c>
      <c r="C18" t="s">
        <v>2026</v>
      </c>
      <c r="D18">
        <v>818</v>
      </c>
    </row>
    <row r="19" spans="1:4">
      <c r="A19" t="s">
        <v>175</v>
      </c>
      <c r="B19" t="s">
        <v>1079</v>
      </c>
      <c r="C19" t="s">
        <v>2027</v>
      </c>
      <c r="D19">
        <v>12</v>
      </c>
    </row>
    <row r="20" spans="1:4">
      <c r="A20" t="s">
        <v>175</v>
      </c>
      <c r="B20" t="s">
        <v>2028</v>
      </c>
      <c r="C20" t="s">
        <v>2029</v>
      </c>
      <c r="D20">
        <v>504</v>
      </c>
    </row>
    <row r="21" spans="1:4">
      <c r="A21" t="s">
        <v>175</v>
      </c>
      <c r="B21" t="s">
        <v>1086</v>
      </c>
      <c r="C21" t="s">
        <v>2030</v>
      </c>
      <c r="D21">
        <v>434</v>
      </c>
    </row>
    <row r="22" spans="1:4">
      <c r="A22" t="s">
        <v>175</v>
      </c>
      <c r="B22" t="s">
        <v>1089</v>
      </c>
      <c r="C22" t="s">
        <v>2031</v>
      </c>
      <c r="D22">
        <v>788</v>
      </c>
    </row>
    <row r="23" spans="1:4">
      <c r="A23" t="s">
        <v>178</v>
      </c>
      <c r="B23" t="s">
        <v>1195</v>
      </c>
      <c r="C23" t="s">
        <v>2032</v>
      </c>
      <c r="D23">
        <v>180</v>
      </c>
    </row>
    <row r="24" spans="1:4">
      <c r="A24" t="s">
        <v>178</v>
      </c>
      <c r="B24" t="s">
        <v>2033</v>
      </c>
      <c r="C24" t="s">
        <v>2034</v>
      </c>
      <c r="D24">
        <v>384</v>
      </c>
    </row>
    <row r="25" spans="1:4">
      <c r="A25" t="s">
        <v>178</v>
      </c>
      <c r="B25" t="s">
        <v>1669</v>
      </c>
      <c r="C25" t="s">
        <v>2035</v>
      </c>
      <c r="D25">
        <v>288</v>
      </c>
    </row>
    <row r="26" spans="1:4">
      <c r="A26" t="s">
        <v>178</v>
      </c>
      <c r="B26" t="s">
        <v>1366</v>
      </c>
      <c r="C26" t="s">
        <v>2036</v>
      </c>
      <c r="D26">
        <v>120</v>
      </c>
    </row>
    <row r="27" spans="1:4">
      <c r="A27" t="s">
        <v>178</v>
      </c>
      <c r="B27" t="s">
        <v>1085</v>
      </c>
      <c r="C27" t="s">
        <v>2037</v>
      </c>
      <c r="D27">
        <v>266</v>
      </c>
    </row>
    <row r="28" spans="1:4">
      <c r="A28" t="s">
        <v>178</v>
      </c>
      <c r="B28" t="s">
        <v>2038</v>
      </c>
      <c r="C28" t="s">
        <v>2039</v>
      </c>
      <c r="D28">
        <v>204</v>
      </c>
    </row>
    <row r="29" spans="1:4">
      <c r="A29" t="s">
        <v>178</v>
      </c>
      <c r="B29" t="s">
        <v>1208</v>
      </c>
      <c r="C29" t="s">
        <v>2040</v>
      </c>
      <c r="D29">
        <v>686</v>
      </c>
    </row>
    <row r="30" spans="1:4">
      <c r="A30" t="s">
        <v>178</v>
      </c>
      <c r="B30" t="s">
        <v>2041</v>
      </c>
      <c r="C30" t="s">
        <v>2042</v>
      </c>
      <c r="D30">
        <v>768</v>
      </c>
    </row>
    <row r="31" spans="1:4">
      <c r="A31" t="s">
        <v>178</v>
      </c>
      <c r="B31" t="s">
        <v>1205</v>
      </c>
      <c r="C31" t="s">
        <v>2043</v>
      </c>
      <c r="D31">
        <v>562</v>
      </c>
    </row>
    <row r="32" spans="1:4">
      <c r="A32" t="s">
        <v>178</v>
      </c>
      <c r="B32" t="s">
        <v>2044</v>
      </c>
      <c r="C32" t="s">
        <v>2045</v>
      </c>
      <c r="D32">
        <v>178</v>
      </c>
    </row>
    <row r="33" spans="1:4">
      <c r="A33" t="s">
        <v>178</v>
      </c>
      <c r="B33" t="s">
        <v>2046</v>
      </c>
      <c r="C33" t="s">
        <v>2047</v>
      </c>
      <c r="D33">
        <v>854</v>
      </c>
    </row>
    <row r="34" spans="1:4">
      <c r="A34" t="s">
        <v>178</v>
      </c>
      <c r="B34" t="s">
        <v>2048</v>
      </c>
      <c r="C34" t="s">
        <v>2049</v>
      </c>
      <c r="D34">
        <v>132</v>
      </c>
    </row>
    <row r="35" spans="1:4">
      <c r="A35" t="s">
        <v>178</v>
      </c>
      <c r="B35" t="s">
        <v>1194</v>
      </c>
      <c r="C35" t="s">
        <v>2050</v>
      </c>
      <c r="D35">
        <v>140</v>
      </c>
    </row>
    <row r="36" spans="1:4">
      <c r="A36" t="s">
        <v>178</v>
      </c>
      <c r="B36" t="s">
        <v>1081</v>
      </c>
      <c r="C36" t="s">
        <v>2051</v>
      </c>
      <c r="D36">
        <v>148</v>
      </c>
    </row>
    <row r="37" spans="1:4">
      <c r="A37" t="s">
        <v>178</v>
      </c>
      <c r="B37" t="s">
        <v>1084</v>
      </c>
      <c r="C37" t="s">
        <v>2052</v>
      </c>
      <c r="D37">
        <v>226</v>
      </c>
    </row>
    <row r="38" spans="1:4">
      <c r="A38" t="s">
        <v>178</v>
      </c>
      <c r="B38" t="s">
        <v>2053</v>
      </c>
      <c r="C38" t="s">
        <v>2054</v>
      </c>
      <c r="D38">
        <v>270</v>
      </c>
    </row>
    <row r="39" spans="1:4">
      <c r="A39" t="s">
        <v>178</v>
      </c>
      <c r="B39" t="s">
        <v>2055</v>
      </c>
      <c r="C39" t="s">
        <v>2056</v>
      </c>
      <c r="D39">
        <v>324</v>
      </c>
    </row>
    <row r="40" spans="1:4">
      <c r="A40" t="s">
        <v>178</v>
      </c>
      <c r="B40" t="s">
        <v>2057</v>
      </c>
      <c r="C40" t="s">
        <v>2058</v>
      </c>
      <c r="D40">
        <v>624</v>
      </c>
    </row>
    <row r="41" spans="1:4">
      <c r="A41" t="s">
        <v>178</v>
      </c>
      <c r="B41" t="s">
        <v>2059</v>
      </c>
      <c r="C41" t="s">
        <v>2060</v>
      </c>
      <c r="D41">
        <v>430</v>
      </c>
    </row>
    <row r="42" spans="1:4">
      <c r="A42" t="s">
        <v>178</v>
      </c>
      <c r="B42" t="s">
        <v>1201</v>
      </c>
      <c r="C42" t="s">
        <v>1796</v>
      </c>
      <c r="D42">
        <v>454</v>
      </c>
    </row>
    <row r="43" spans="1:4">
      <c r="A43" t="s">
        <v>178</v>
      </c>
      <c r="B43" t="s">
        <v>1202</v>
      </c>
      <c r="C43" t="s">
        <v>2061</v>
      </c>
      <c r="D43">
        <v>466</v>
      </c>
    </row>
    <row r="44" spans="1:4">
      <c r="A44" t="s">
        <v>178</v>
      </c>
      <c r="B44" t="s">
        <v>1203</v>
      </c>
      <c r="C44" t="s">
        <v>2062</v>
      </c>
      <c r="D44">
        <v>478</v>
      </c>
    </row>
    <row r="45" spans="1:4">
      <c r="A45" t="s">
        <v>178</v>
      </c>
      <c r="B45" t="s">
        <v>2063</v>
      </c>
      <c r="C45" t="s">
        <v>2064</v>
      </c>
      <c r="D45">
        <v>678</v>
      </c>
    </row>
    <row r="46" spans="1:4">
      <c r="A46" t="s">
        <v>178</v>
      </c>
      <c r="B46" t="s">
        <v>2065</v>
      </c>
      <c r="C46" t="s">
        <v>2066</v>
      </c>
      <c r="D46">
        <v>694</v>
      </c>
    </row>
    <row r="47" spans="1:4">
      <c r="A47" t="s">
        <v>181</v>
      </c>
      <c r="B47" t="s">
        <v>1080</v>
      </c>
      <c r="C47" t="s">
        <v>2067</v>
      </c>
      <c r="D47">
        <v>24</v>
      </c>
    </row>
    <row r="48" spans="1:4">
      <c r="A48" t="s">
        <v>181</v>
      </c>
      <c r="B48" t="s">
        <v>1410</v>
      </c>
      <c r="C48" t="s">
        <v>2068</v>
      </c>
      <c r="D48">
        <v>508</v>
      </c>
    </row>
    <row r="49" spans="1:4">
      <c r="A49" t="s">
        <v>181</v>
      </c>
      <c r="B49" t="s">
        <v>1167</v>
      </c>
      <c r="C49" t="s">
        <v>2069</v>
      </c>
      <c r="D49">
        <v>716</v>
      </c>
    </row>
    <row r="50" spans="1:4">
      <c r="A50" t="s">
        <v>181</v>
      </c>
      <c r="B50" t="s">
        <v>1215</v>
      </c>
      <c r="C50" t="s">
        <v>2070</v>
      </c>
      <c r="D50">
        <v>894</v>
      </c>
    </row>
    <row r="51" spans="1:4">
      <c r="A51" t="s">
        <v>181</v>
      </c>
      <c r="B51" t="s">
        <v>1193</v>
      </c>
      <c r="C51" t="s">
        <v>2071</v>
      </c>
      <c r="D51">
        <v>72</v>
      </c>
    </row>
    <row r="52" spans="1:4">
      <c r="A52" t="s">
        <v>181</v>
      </c>
      <c r="B52" t="s">
        <v>1204</v>
      </c>
      <c r="C52" t="s">
        <v>2072</v>
      </c>
      <c r="D52">
        <v>516</v>
      </c>
    </row>
    <row r="53" spans="1:4">
      <c r="A53" t="s">
        <v>181</v>
      </c>
      <c r="B53" t="s">
        <v>1166</v>
      </c>
      <c r="C53" t="s">
        <v>2073</v>
      </c>
      <c r="D53">
        <v>710</v>
      </c>
    </row>
    <row r="54" spans="1:4">
      <c r="A54" t="s">
        <v>181</v>
      </c>
      <c r="B54" t="s">
        <v>1980</v>
      </c>
      <c r="C54" t="s">
        <v>2074</v>
      </c>
      <c r="D54">
        <v>748</v>
      </c>
    </row>
    <row r="55" spans="1:4">
      <c r="A55" t="s">
        <v>181</v>
      </c>
      <c r="B55" t="s">
        <v>2075</v>
      </c>
      <c r="C55" t="s">
        <v>2076</v>
      </c>
      <c r="D55">
        <v>426</v>
      </c>
    </row>
    <row r="56" spans="1:4">
      <c r="A56" t="s">
        <v>238</v>
      </c>
      <c r="B56" t="s">
        <v>239</v>
      </c>
      <c r="C56" t="s">
        <v>2077</v>
      </c>
      <c r="D56">
        <v>566</v>
      </c>
    </row>
    <row r="57" spans="1:4">
      <c r="A57" t="s">
        <v>240</v>
      </c>
      <c r="B57" t="s">
        <v>242</v>
      </c>
      <c r="C57" t="s">
        <v>2078</v>
      </c>
      <c r="D57">
        <v>643</v>
      </c>
    </row>
    <row r="58" spans="1:4">
      <c r="A58" t="s">
        <v>187</v>
      </c>
      <c r="B58" t="s">
        <v>1062</v>
      </c>
      <c r="C58" t="s">
        <v>2079</v>
      </c>
      <c r="D58">
        <v>398</v>
      </c>
    </row>
    <row r="59" spans="1:4">
      <c r="A59" t="s">
        <v>187</v>
      </c>
      <c r="B59" t="s">
        <v>1065</v>
      </c>
      <c r="C59" t="s">
        <v>2080</v>
      </c>
      <c r="D59">
        <v>860</v>
      </c>
    </row>
    <row r="60" spans="1:4">
      <c r="A60" t="s">
        <v>187</v>
      </c>
      <c r="B60" t="s">
        <v>1063</v>
      </c>
      <c r="C60" t="s">
        <v>2081</v>
      </c>
      <c r="D60">
        <v>795</v>
      </c>
    </row>
    <row r="61" spans="1:4">
      <c r="A61" t="s">
        <v>187</v>
      </c>
      <c r="B61" t="s">
        <v>1060</v>
      </c>
      <c r="C61" t="s">
        <v>2082</v>
      </c>
      <c r="D61">
        <v>31</v>
      </c>
    </row>
    <row r="62" spans="1:4">
      <c r="A62" t="s">
        <v>187</v>
      </c>
      <c r="B62" t="s">
        <v>1170</v>
      </c>
      <c r="C62" t="s">
        <v>2083</v>
      </c>
      <c r="D62">
        <v>496</v>
      </c>
    </row>
    <row r="63" spans="1:4">
      <c r="A63" t="s">
        <v>187</v>
      </c>
      <c r="B63" t="s">
        <v>1982</v>
      </c>
      <c r="C63" t="s">
        <v>2084</v>
      </c>
      <c r="D63">
        <v>268</v>
      </c>
    </row>
    <row r="64" spans="1:4">
      <c r="A64" t="s">
        <v>187</v>
      </c>
      <c r="B64" t="s">
        <v>1984</v>
      </c>
      <c r="C64" t="s">
        <v>2085</v>
      </c>
      <c r="D64">
        <v>417</v>
      </c>
    </row>
    <row r="65" spans="1:4">
      <c r="A65" t="s">
        <v>187</v>
      </c>
      <c r="B65" t="s">
        <v>2086</v>
      </c>
      <c r="C65" t="s">
        <v>2087</v>
      </c>
      <c r="D65">
        <v>51</v>
      </c>
    </row>
    <row r="66" spans="1:4">
      <c r="A66" t="s">
        <v>187</v>
      </c>
      <c r="B66" t="s">
        <v>1991</v>
      </c>
      <c r="C66" t="s">
        <v>387</v>
      </c>
      <c r="D66">
        <v>762</v>
      </c>
    </row>
    <row r="67" spans="1:4">
      <c r="A67" t="s">
        <v>187</v>
      </c>
      <c r="B67" t="s">
        <v>1975</v>
      </c>
      <c r="C67" t="s">
        <v>2088</v>
      </c>
      <c r="D67">
        <v>4</v>
      </c>
    </row>
    <row r="68" spans="1:4">
      <c r="A68" t="s">
        <v>190</v>
      </c>
      <c r="B68" t="s">
        <v>1096</v>
      </c>
      <c r="C68" t="s">
        <v>2089</v>
      </c>
      <c r="D68">
        <v>764</v>
      </c>
    </row>
    <row r="69" spans="1:4">
      <c r="A69" t="s">
        <v>190</v>
      </c>
      <c r="B69" t="s">
        <v>1095</v>
      </c>
      <c r="C69" t="s">
        <v>2090</v>
      </c>
      <c r="D69">
        <v>458</v>
      </c>
    </row>
    <row r="70" spans="1:4">
      <c r="A70" t="s">
        <v>190</v>
      </c>
      <c r="B70" t="s">
        <v>1582</v>
      </c>
      <c r="C70" t="s">
        <v>2091</v>
      </c>
      <c r="D70">
        <v>702</v>
      </c>
    </row>
    <row r="71" spans="1:4">
      <c r="A71" t="s">
        <v>190</v>
      </c>
      <c r="B71" t="s">
        <v>1137</v>
      </c>
      <c r="C71" t="s">
        <v>2092</v>
      </c>
      <c r="D71">
        <v>104</v>
      </c>
    </row>
    <row r="72" spans="1:4">
      <c r="A72" t="s">
        <v>190</v>
      </c>
      <c r="B72" t="s">
        <v>1979</v>
      </c>
      <c r="C72" t="s">
        <v>2093</v>
      </c>
      <c r="D72">
        <v>116</v>
      </c>
    </row>
    <row r="73" spans="1:4">
      <c r="A73" t="s">
        <v>190</v>
      </c>
      <c r="B73" t="s">
        <v>1238</v>
      </c>
      <c r="C73" t="s">
        <v>2094</v>
      </c>
      <c r="D73">
        <v>96</v>
      </c>
    </row>
    <row r="74" spans="1:4">
      <c r="A74" t="s">
        <v>190</v>
      </c>
      <c r="B74" t="s">
        <v>1985</v>
      </c>
      <c r="C74" t="s">
        <v>2095</v>
      </c>
      <c r="D74">
        <v>418</v>
      </c>
    </row>
    <row r="75" spans="1:4">
      <c r="A75" t="s">
        <v>190</v>
      </c>
      <c r="B75" t="s">
        <v>1989</v>
      </c>
      <c r="C75" t="s">
        <v>2096</v>
      </c>
      <c r="D75">
        <v>408</v>
      </c>
    </row>
    <row r="76" spans="1:4">
      <c r="A76" t="s">
        <v>190</v>
      </c>
      <c r="B76" t="s">
        <v>2097</v>
      </c>
      <c r="C76" t="s">
        <v>2098</v>
      </c>
      <c r="D76">
        <v>184</v>
      </c>
    </row>
    <row r="77" spans="1:4">
      <c r="A77" t="s">
        <v>190</v>
      </c>
      <c r="B77" t="s">
        <v>2099</v>
      </c>
      <c r="C77" t="s">
        <v>2100</v>
      </c>
      <c r="D77">
        <v>626</v>
      </c>
    </row>
    <row r="78" spans="1:4">
      <c r="A78" t="s">
        <v>190</v>
      </c>
      <c r="B78" t="s">
        <v>2101</v>
      </c>
      <c r="C78" t="s">
        <v>2102</v>
      </c>
      <c r="D78">
        <v>242</v>
      </c>
    </row>
    <row r="79" spans="1:4">
      <c r="A79" t="s">
        <v>190</v>
      </c>
      <c r="B79" t="s">
        <v>2103</v>
      </c>
      <c r="C79" t="s">
        <v>2104</v>
      </c>
      <c r="D79">
        <v>258</v>
      </c>
    </row>
    <row r="80" spans="1:4">
      <c r="A80" t="s">
        <v>190</v>
      </c>
      <c r="B80" t="s">
        <v>2105</v>
      </c>
      <c r="C80" t="s">
        <v>2106</v>
      </c>
      <c r="D80">
        <v>296</v>
      </c>
    </row>
    <row r="81" spans="1:4">
      <c r="A81" t="s">
        <v>190</v>
      </c>
      <c r="B81" t="s">
        <v>2107</v>
      </c>
      <c r="C81" t="s">
        <v>2108</v>
      </c>
      <c r="D81">
        <v>540</v>
      </c>
    </row>
    <row r="82" spans="1:4">
      <c r="A82" t="s">
        <v>190</v>
      </c>
      <c r="B82" t="s">
        <v>2109</v>
      </c>
      <c r="C82" t="s">
        <v>2110</v>
      </c>
      <c r="D82">
        <v>585</v>
      </c>
    </row>
    <row r="83" spans="1:4">
      <c r="A83" t="s">
        <v>190</v>
      </c>
      <c r="B83" t="s">
        <v>1139</v>
      </c>
      <c r="C83" t="s">
        <v>2111</v>
      </c>
      <c r="D83">
        <v>598</v>
      </c>
    </row>
    <row r="84" spans="1:4">
      <c r="A84" t="s">
        <v>190</v>
      </c>
      <c r="B84" t="s">
        <v>2112</v>
      </c>
      <c r="C84" t="s">
        <v>2113</v>
      </c>
      <c r="D84">
        <v>16</v>
      </c>
    </row>
    <row r="85" spans="1:4">
      <c r="A85" t="s">
        <v>190</v>
      </c>
      <c r="B85" t="s">
        <v>2114</v>
      </c>
      <c r="C85" t="s">
        <v>2115</v>
      </c>
      <c r="D85">
        <v>90</v>
      </c>
    </row>
    <row r="86" spans="1:4">
      <c r="A86" t="s">
        <v>190</v>
      </c>
      <c r="B86" t="s">
        <v>2116</v>
      </c>
      <c r="C86" t="s">
        <v>2117</v>
      </c>
      <c r="D86">
        <v>776</v>
      </c>
    </row>
    <row r="87" spans="1:4">
      <c r="A87" t="s">
        <v>190</v>
      </c>
      <c r="B87" t="s">
        <v>2118</v>
      </c>
      <c r="C87" t="s">
        <v>2119</v>
      </c>
      <c r="D87">
        <v>548</v>
      </c>
    </row>
    <row r="88" spans="1:4">
      <c r="A88" t="s">
        <v>190</v>
      </c>
      <c r="B88" t="s">
        <v>2120</v>
      </c>
      <c r="C88" t="s">
        <v>2121</v>
      </c>
      <c r="D88">
        <v>570</v>
      </c>
    </row>
    <row r="89" spans="1:4">
      <c r="A89" t="s">
        <v>190</v>
      </c>
      <c r="B89" t="s">
        <v>2122</v>
      </c>
      <c r="C89" t="s">
        <v>2123</v>
      </c>
      <c r="D89">
        <v>882</v>
      </c>
    </row>
    <row r="90" spans="1:4">
      <c r="A90" t="s">
        <v>190</v>
      </c>
      <c r="B90" t="s">
        <v>2124</v>
      </c>
      <c r="C90" t="s">
        <v>2125</v>
      </c>
      <c r="D90">
        <v>876</v>
      </c>
    </row>
    <row r="91" spans="1:4">
      <c r="A91" t="s">
        <v>190</v>
      </c>
      <c r="B91" t="s">
        <v>2126</v>
      </c>
      <c r="C91" t="s">
        <v>2127</v>
      </c>
      <c r="D91">
        <v>583</v>
      </c>
    </row>
    <row r="92" spans="1:4">
      <c r="A92" t="s">
        <v>190</v>
      </c>
      <c r="B92" t="s">
        <v>2128</v>
      </c>
      <c r="C92" t="s">
        <v>2129</v>
      </c>
      <c r="D92">
        <v>520</v>
      </c>
    </row>
    <row r="93" spans="1:4">
      <c r="A93" t="s">
        <v>190</v>
      </c>
      <c r="B93" t="s">
        <v>2130</v>
      </c>
      <c r="C93" t="s">
        <v>2131</v>
      </c>
      <c r="D93">
        <v>798</v>
      </c>
    </row>
    <row r="94" spans="1:4">
      <c r="A94" t="s">
        <v>190</v>
      </c>
      <c r="B94" t="s">
        <v>2132</v>
      </c>
      <c r="C94" t="s">
        <v>2133</v>
      </c>
      <c r="D94">
        <v>580</v>
      </c>
    </row>
    <row r="95" spans="1:4">
      <c r="A95" t="s">
        <v>202</v>
      </c>
      <c r="B95" t="s">
        <v>203</v>
      </c>
      <c r="C95" t="s">
        <v>2134</v>
      </c>
      <c r="D95">
        <v>156</v>
      </c>
    </row>
    <row r="96" spans="1:4">
      <c r="A96" t="s">
        <v>202</v>
      </c>
      <c r="B96" t="s">
        <v>2135</v>
      </c>
      <c r="C96" t="s">
        <v>2136</v>
      </c>
      <c r="D96">
        <v>344</v>
      </c>
    </row>
    <row r="97" spans="1:5">
      <c r="A97" t="s">
        <v>202</v>
      </c>
      <c r="B97" t="s">
        <v>2137</v>
      </c>
      <c r="C97" t="s">
        <v>2138</v>
      </c>
      <c r="D97">
        <v>446</v>
      </c>
    </row>
    <row r="98" spans="1:5">
      <c r="A98" t="s">
        <v>220</v>
      </c>
      <c r="B98" t="s">
        <v>1094</v>
      </c>
      <c r="C98" t="s">
        <v>2139</v>
      </c>
      <c r="D98">
        <v>360</v>
      </c>
    </row>
    <row r="99" spans="1:5">
      <c r="A99" t="s">
        <v>220</v>
      </c>
      <c r="B99" t="s">
        <v>1679</v>
      </c>
      <c r="C99" t="s">
        <v>2140</v>
      </c>
      <c r="D99">
        <v>608</v>
      </c>
    </row>
    <row r="100" spans="1:5">
      <c r="A100" t="s">
        <v>220</v>
      </c>
      <c r="B100" t="s">
        <v>1214</v>
      </c>
      <c r="C100" t="s">
        <v>2141</v>
      </c>
      <c r="D100">
        <v>704</v>
      </c>
    </row>
    <row r="101" spans="1:5">
      <c r="A101" t="s">
        <v>223</v>
      </c>
      <c r="B101" t="s">
        <v>224</v>
      </c>
      <c r="C101" t="s">
        <v>2142</v>
      </c>
      <c r="D101">
        <v>356</v>
      </c>
    </row>
    <row r="102" spans="1:5">
      <c r="A102" t="s">
        <v>193</v>
      </c>
      <c r="B102" t="s">
        <v>1136</v>
      </c>
      <c r="C102" t="s">
        <v>2143</v>
      </c>
      <c r="D102">
        <v>50</v>
      </c>
    </row>
    <row r="103" spans="1:5">
      <c r="A103" t="s">
        <v>193</v>
      </c>
      <c r="B103" t="s">
        <v>1988</v>
      </c>
      <c r="C103" t="s">
        <v>2144</v>
      </c>
      <c r="D103">
        <v>524</v>
      </c>
    </row>
    <row r="104" spans="1:5">
      <c r="A104" t="s">
        <v>193</v>
      </c>
      <c r="B104" t="s">
        <v>2145</v>
      </c>
      <c r="C104" t="s">
        <v>2146</v>
      </c>
      <c r="D104">
        <v>144</v>
      </c>
    </row>
    <row r="105" spans="1:5">
      <c r="A105" t="s">
        <v>193</v>
      </c>
      <c r="B105" t="s">
        <v>1138</v>
      </c>
      <c r="C105" t="s">
        <v>2147</v>
      </c>
      <c r="D105">
        <v>586</v>
      </c>
    </row>
    <row r="106" spans="1:5">
      <c r="A106" t="s">
        <v>193</v>
      </c>
      <c r="B106" t="s">
        <v>1977</v>
      </c>
      <c r="C106" t="s">
        <v>2148</v>
      </c>
      <c r="D106">
        <v>64</v>
      </c>
    </row>
    <row r="107" spans="1:5">
      <c r="A107" t="s">
        <v>193</v>
      </c>
      <c r="B107" t="s">
        <v>2149</v>
      </c>
      <c r="C107" t="s">
        <v>2150</v>
      </c>
      <c r="D107">
        <v>462</v>
      </c>
    </row>
    <row r="108" spans="1:5">
      <c r="A108" t="s">
        <v>225</v>
      </c>
      <c r="B108" t="s">
        <v>226</v>
      </c>
      <c r="C108" t="s">
        <v>2151</v>
      </c>
      <c r="D108">
        <v>392</v>
      </c>
      <c r="E108">
        <v>1</v>
      </c>
    </row>
    <row r="109" spans="1:5">
      <c r="A109" t="s">
        <v>243</v>
      </c>
      <c r="B109" t="s">
        <v>1477</v>
      </c>
      <c r="C109" t="s">
        <v>2152</v>
      </c>
    </row>
    <row r="110" spans="1:5">
      <c r="A110" t="s">
        <v>243</v>
      </c>
      <c r="B110" t="s">
        <v>1466</v>
      </c>
      <c r="C110" t="s">
        <v>2153</v>
      </c>
      <c r="D110">
        <v>410</v>
      </c>
      <c r="E110">
        <v>1</v>
      </c>
    </row>
    <row r="111" spans="1:5">
      <c r="A111" t="s">
        <v>184</v>
      </c>
      <c r="B111" t="s">
        <v>1092</v>
      </c>
      <c r="C111" t="s">
        <v>2154</v>
      </c>
      <c r="D111">
        <v>36</v>
      </c>
      <c r="E111">
        <v>1</v>
      </c>
    </row>
    <row r="112" spans="1:5">
      <c r="A112" t="s">
        <v>184</v>
      </c>
      <c r="B112" t="s">
        <v>1171</v>
      </c>
      <c r="C112" t="s">
        <v>2155</v>
      </c>
      <c r="D112">
        <v>554</v>
      </c>
      <c r="E112">
        <v>1</v>
      </c>
    </row>
    <row r="113" spans="1:5">
      <c r="A113" t="s">
        <v>245</v>
      </c>
      <c r="B113" t="s">
        <v>247</v>
      </c>
      <c r="C113" t="s">
        <v>1043</v>
      </c>
      <c r="D113">
        <v>840</v>
      </c>
      <c r="E113">
        <v>1</v>
      </c>
    </row>
    <row r="114" spans="1:5">
      <c r="A114" t="s">
        <v>198</v>
      </c>
      <c r="B114" t="s">
        <v>199</v>
      </c>
      <c r="C114" t="s">
        <v>2156</v>
      </c>
      <c r="D114">
        <v>124</v>
      </c>
      <c r="E114">
        <v>1</v>
      </c>
    </row>
    <row r="115" spans="1:5">
      <c r="A115" t="s">
        <v>227</v>
      </c>
      <c r="B115" t="s">
        <v>1045</v>
      </c>
      <c r="C115" t="s">
        <v>2157</v>
      </c>
      <c r="D115">
        <v>32</v>
      </c>
    </row>
    <row r="116" spans="1:5">
      <c r="A116" t="s">
        <v>227</v>
      </c>
      <c r="B116" t="s">
        <v>1992</v>
      </c>
      <c r="C116" t="s">
        <v>2158</v>
      </c>
      <c r="D116">
        <v>862</v>
      </c>
    </row>
    <row r="117" spans="1:5">
      <c r="A117" t="s">
        <v>227</v>
      </c>
      <c r="B117" t="s">
        <v>1046</v>
      </c>
      <c r="C117" t="s">
        <v>2159</v>
      </c>
      <c r="D117">
        <v>170</v>
      </c>
    </row>
    <row r="118" spans="1:5">
      <c r="A118" t="s">
        <v>227</v>
      </c>
      <c r="B118" t="s">
        <v>1048</v>
      </c>
      <c r="C118" t="s">
        <v>2160</v>
      </c>
      <c r="D118">
        <v>604</v>
      </c>
    </row>
    <row r="119" spans="1:5">
      <c r="A119" t="s">
        <v>227</v>
      </c>
      <c r="B119" t="s">
        <v>1270</v>
      </c>
      <c r="C119" t="s">
        <v>2161</v>
      </c>
      <c r="D119">
        <v>780</v>
      </c>
    </row>
    <row r="120" spans="1:5">
      <c r="A120" t="s">
        <v>227</v>
      </c>
      <c r="B120" t="s">
        <v>1047</v>
      </c>
      <c r="C120" t="s">
        <v>2162</v>
      </c>
      <c r="D120">
        <v>218</v>
      </c>
    </row>
    <row r="121" spans="1:5">
      <c r="A121" t="s">
        <v>227</v>
      </c>
      <c r="B121" t="s">
        <v>2163</v>
      </c>
      <c r="C121" t="s">
        <v>2164</v>
      </c>
      <c r="D121">
        <v>320</v>
      </c>
    </row>
    <row r="122" spans="1:5">
      <c r="A122" t="s">
        <v>227</v>
      </c>
      <c r="B122" t="s">
        <v>2165</v>
      </c>
      <c r="C122" t="s">
        <v>2166</v>
      </c>
      <c r="D122">
        <v>192</v>
      </c>
    </row>
    <row r="123" spans="1:5">
      <c r="A123" t="s">
        <v>227</v>
      </c>
      <c r="B123" t="s">
        <v>2167</v>
      </c>
      <c r="C123" t="s">
        <v>2168</v>
      </c>
      <c r="D123">
        <v>68</v>
      </c>
    </row>
    <row r="124" spans="1:5">
      <c r="A124" t="s">
        <v>227</v>
      </c>
      <c r="B124" t="s">
        <v>1504</v>
      </c>
      <c r="C124" t="s">
        <v>2169</v>
      </c>
      <c r="D124">
        <v>214</v>
      </c>
    </row>
    <row r="125" spans="1:5">
      <c r="A125" t="s">
        <v>227</v>
      </c>
      <c r="B125" t="s">
        <v>2170</v>
      </c>
      <c r="C125" t="s">
        <v>2171</v>
      </c>
      <c r="D125">
        <v>340</v>
      </c>
    </row>
    <row r="126" spans="1:5">
      <c r="A126" t="s">
        <v>227</v>
      </c>
      <c r="B126" t="s">
        <v>1206</v>
      </c>
      <c r="C126" t="s">
        <v>2172</v>
      </c>
      <c r="D126">
        <v>600</v>
      </c>
    </row>
    <row r="127" spans="1:5">
      <c r="A127" t="s">
        <v>227</v>
      </c>
      <c r="B127" t="s">
        <v>2173</v>
      </c>
      <c r="C127" t="s">
        <v>2174</v>
      </c>
      <c r="D127">
        <v>858</v>
      </c>
    </row>
    <row r="128" spans="1:5">
      <c r="A128" t="s">
        <v>227</v>
      </c>
      <c r="B128" t="s">
        <v>2175</v>
      </c>
      <c r="C128" t="s">
        <v>2176</v>
      </c>
      <c r="D128">
        <v>188</v>
      </c>
    </row>
    <row r="129" spans="1:4">
      <c r="A129" t="s">
        <v>227</v>
      </c>
      <c r="B129" t="s">
        <v>1691</v>
      </c>
      <c r="C129" t="s">
        <v>2177</v>
      </c>
      <c r="D129">
        <v>222</v>
      </c>
    </row>
    <row r="130" spans="1:4">
      <c r="A130" t="s">
        <v>227</v>
      </c>
      <c r="B130" t="s">
        <v>2178</v>
      </c>
      <c r="C130" t="s">
        <v>2179</v>
      </c>
      <c r="D130">
        <v>332</v>
      </c>
    </row>
    <row r="131" spans="1:4">
      <c r="A131" t="s">
        <v>227</v>
      </c>
      <c r="B131" t="s">
        <v>1722</v>
      </c>
      <c r="C131" t="s">
        <v>2180</v>
      </c>
      <c r="D131">
        <v>591</v>
      </c>
    </row>
    <row r="132" spans="1:4">
      <c r="A132" t="s">
        <v>227</v>
      </c>
      <c r="B132" t="s">
        <v>2181</v>
      </c>
      <c r="C132" t="s">
        <v>2182</v>
      </c>
      <c r="D132">
        <v>558</v>
      </c>
    </row>
    <row r="133" spans="1:4">
      <c r="A133" t="s">
        <v>227</v>
      </c>
      <c r="B133" t="s">
        <v>1723</v>
      </c>
      <c r="C133" t="s">
        <v>2183</v>
      </c>
      <c r="D133">
        <v>388</v>
      </c>
    </row>
    <row r="134" spans="1:4">
      <c r="A134" t="s">
        <v>227</v>
      </c>
      <c r="B134" t="s">
        <v>2184</v>
      </c>
      <c r="C134" t="s">
        <v>2185</v>
      </c>
      <c r="D134">
        <v>531</v>
      </c>
    </row>
    <row r="135" spans="1:4">
      <c r="A135" t="s">
        <v>227</v>
      </c>
      <c r="B135" t="s">
        <v>2186</v>
      </c>
      <c r="C135" t="s">
        <v>2187</v>
      </c>
      <c r="D135">
        <v>740</v>
      </c>
    </row>
    <row r="136" spans="1:4">
      <c r="A136" t="s">
        <v>227</v>
      </c>
      <c r="B136" t="s">
        <v>2188</v>
      </c>
      <c r="C136" t="s">
        <v>2189</v>
      </c>
      <c r="D136">
        <v>28</v>
      </c>
    </row>
    <row r="137" spans="1:4">
      <c r="A137" t="s">
        <v>227</v>
      </c>
      <c r="B137" t="s">
        <v>2190</v>
      </c>
      <c r="C137" t="s">
        <v>2191</v>
      </c>
      <c r="D137">
        <v>533</v>
      </c>
    </row>
    <row r="138" spans="1:4">
      <c r="A138" t="s">
        <v>227</v>
      </c>
      <c r="B138" t="s">
        <v>2192</v>
      </c>
      <c r="C138" t="s">
        <v>2193</v>
      </c>
      <c r="D138">
        <v>44</v>
      </c>
    </row>
    <row r="139" spans="1:4">
      <c r="A139" t="s">
        <v>227</v>
      </c>
      <c r="B139" t="s">
        <v>2194</v>
      </c>
      <c r="C139" t="s">
        <v>2195</v>
      </c>
      <c r="D139">
        <v>52</v>
      </c>
    </row>
    <row r="140" spans="1:4">
      <c r="A140" t="s">
        <v>227</v>
      </c>
      <c r="B140" t="s">
        <v>2196</v>
      </c>
      <c r="C140" t="s">
        <v>2197</v>
      </c>
      <c r="D140">
        <v>84</v>
      </c>
    </row>
    <row r="141" spans="1:4">
      <c r="A141" t="s">
        <v>227</v>
      </c>
      <c r="B141" t="s">
        <v>2198</v>
      </c>
      <c r="C141" t="s">
        <v>2199</v>
      </c>
      <c r="D141">
        <v>60</v>
      </c>
    </row>
    <row r="142" spans="1:4">
      <c r="A142" t="s">
        <v>227</v>
      </c>
      <c r="B142" t="s">
        <v>2200</v>
      </c>
      <c r="C142" t="s">
        <v>2201</v>
      </c>
      <c r="D142">
        <v>92</v>
      </c>
    </row>
    <row r="143" spans="1:4">
      <c r="A143" t="s">
        <v>227</v>
      </c>
      <c r="B143" t="s">
        <v>2202</v>
      </c>
      <c r="C143" t="s">
        <v>2203</v>
      </c>
      <c r="D143">
        <v>136</v>
      </c>
    </row>
    <row r="144" spans="1:4">
      <c r="A144" t="s">
        <v>227</v>
      </c>
      <c r="B144" t="s">
        <v>2204</v>
      </c>
      <c r="C144" t="s">
        <v>2205</v>
      </c>
      <c r="D144">
        <v>212</v>
      </c>
    </row>
    <row r="145" spans="1:4">
      <c r="A145" t="s">
        <v>227</v>
      </c>
      <c r="B145" t="s">
        <v>2206</v>
      </c>
      <c r="C145" t="s">
        <v>2207</v>
      </c>
      <c r="D145">
        <v>238</v>
      </c>
    </row>
    <row r="146" spans="1:4">
      <c r="A146" t="s">
        <v>227</v>
      </c>
      <c r="B146" t="s">
        <v>2208</v>
      </c>
      <c r="C146" t="s">
        <v>2209</v>
      </c>
      <c r="D146">
        <v>328</v>
      </c>
    </row>
    <row r="147" spans="1:4">
      <c r="A147" t="s">
        <v>227</v>
      </c>
      <c r="B147" t="s">
        <v>2210</v>
      </c>
      <c r="C147" t="s">
        <v>2211</v>
      </c>
      <c r="D147">
        <v>308</v>
      </c>
    </row>
    <row r="148" spans="1:4">
      <c r="A148" t="s">
        <v>227</v>
      </c>
      <c r="B148" t="s">
        <v>2212</v>
      </c>
      <c r="C148" t="s">
        <v>2213</v>
      </c>
      <c r="D148">
        <v>312</v>
      </c>
    </row>
    <row r="149" spans="1:4">
      <c r="A149" t="s">
        <v>227</v>
      </c>
      <c r="B149" t="s">
        <v>2214</v>
      </c>
      <c r="C149" t="s">
        <v>2209</v>
      </c>
    </row>
    <row r="150" spans="1:4">
      <c r="A150" t="s">
        <v>227</v>
      </c>
      <c r="B150" t="s">
        <v>2215</v>
      </c>
      <c r="C150" t="s">
        <v>2216</v>
      </c>
      <c r="D150">
        <v>474</v>
      </c>
    </row>
    <row r="151" spans="1:4">
      <c r="A151" t="s">
        <v>227</v>
      </c>
      <c r="B151" t="s">
        <v>2217</v>
      </c>
      <c r="C151" t="s">
        <v>2218</v>
      </c>
      <c r="D151">
        <v>500</v>
      </c>
    </row>
    <row r="152" spans="1:4">
      <c r="A152" t="s">
        <v>227</v>
      </c>
      <c r="B152" t="s">
        <v>2219</v>
      </c>
      <c r="C152" t="s">
        <v>2220</v>
      </c>
      <c r="D152">
        <v>630</v>
      </c>
    </row>
    <row r="153" spans="1:4">
      <c r="A153" t="s">
        <v>227</v>
      </c>
      <c r="B153" t="s">
        <v>2221</v>
      </c>
      <c r="C153" t="s">
        <v>2222</v>
      </c>
    </row>
    <row r="154" spans="1:4">
      <c r="A154" t="s">
        <v>227</v>
      </c>
      <c r="B154" t="s">
        <v>2223</v>
      </c>
      <c r="C154" t="s">
        <v>2224</v>
      </c>
      <c r="D154">
        <v>535</v>
      </c>
    </row>
    <row r="155" spans="1:4">
      <c r="A155" t="s">
        <v>227</v>
      </c>
      <c r="B155" t="s">
        <v>2225</v>
      </c>
      <c r="C155" t="s">
        <v>2226</v>
      </c>
      <c r="D155">
        <v>659</v>
      </c>
    </row>
    <row r="156" spans="1:4">
      <c r="A156" t="s">
        <v>227</v>
      </c>
      <c r="B156" t="s">
        <v>2227</v>
      </c>
      <c r="C156" t="s">
        <v>2228</v>
      </c>
      <c r="D156">
        <v>662</v>
      </c>
    </row>
    <row r="157" spans="1:4">
      <c r="A157" t="s">
        <v>227</v>
      </c>
      <c r="B157" t="s">
        <v>2229</v>
      </c>
      <c r="C157" t="s">
        <v>2230</v>
      </c>
      <c r="D157">
        <v>666</v>
      </c>
    </row>
    <row r="158" spans="1:4">
      <c r="A158" t="s">
        <v>227</v>
      </c>
      <c r="B158" t="s">
        <v>2231</v>
      </c>
      <c r="C158" t="s">
        <v>2232</v>
      </c>
      <c r="D158">
        <v>670</v>
      </c>
    </row>
    <row r="159" spans="1:4">
      <c r="A159" t="s">
        <v>227</v>
      </c>
      <c r="B159" t="s">
        <v>2233</v>
      </c>
      <c r="C159" t="s">
        <v>2234</v>
      </c>
    </row>
    <row r="160" spans="1:4">
      <c r="A160" t="s">
        <v>227</v>
      </c>
      <c r="B160" t="s">
        <v>2235</v>
      </c>
      <c r="C160" t="s">
        <v>2236</v>
      </c>
      <c r="D160">
        <v>796</v>
      </c>
    </row>
    <row r="161" spans="1:5">
      <c r="A161" t="s">
        <v>227</v>
      </c>
      <c r="B161" t="s">
        <v>2237</v>
      </c>
      <c r="C161" t="s">
        <v>2238</v>
      </c>
      <c r="D161">
        <v>534</v>
      </c>
    </row>
    <row r="162" spans="1:5">
      <c r="A162" t="s">
        <v>227</v>
      </c>
      <c r="B162" t="s">
        <v>2239</v>
      </c>
      <c r="C162" t="s">
        <v>2240</v>
      </c>
      <c r="D162">
        <v>660</v>
      </c>
    </row>
    <row r="163" spans="1:5">
      <c r="A163" t="s">
        <v>196</v>
      </c>
      <c r="B163" t="s">
        <v>197</v>
      </c>
      <c r="C163" t="s">
        <v>2241</v>
      </c>
      <c r="D163">
        <v>76</v>
      </c>
    </row>
    <row r="164" spans="1:5">
      <c r="A164" t="s">
        <v>236</v>
      </c>
      <c r="B164" t="s">
        <v>237</v>
      </c>
      <c r="C164" t="s">
        <v>2242</v>
      </c>
      <c r="D164">
        <v>484</v>
      </c>
    </row>
    <row r="165" spans="1:5">
      <c r="A165" t="s">
        <v>200</v>
      </c>
      <c r="B165" t="s">
        <v>201</v>
      </c>
      <c r="C165" t="s">
        <v>2243</v>
      </c>
      <c r="D165">
        <v>152</v>
      </c>
    </row>
    <row r="166" spans="1:5">
      <c r="A166" t="s">
        <v>205</v>
      </c>
      <c r="B166" t="s">
        <v>1133</v>
      </c>
      <c r="C166" t="s">
        <v>2244</v>
      </c>
      <c r="D166">
        <v>804</v>
      </c>
    </row>
    <row r="167" spans="1:5">
      <c r="A167" t="s">
        <v>205</v>
      </c>
      <c r="B167" t="s">
        <v>2245</v>
      </c>
      <c r="C167" t="s">
        <v>2246</v>
      </c>
      <c r="D167">
        <v>112</v>
      </c>
    </row>
    <row r="168" spans="1:5">
      <c r="A168" t="s">
        <v>205</v>
      </c>
      <c r="B168" t="s">
        <v>1162</v>
      </c>
      <c r="C168" t="s">
        <v>2247</v>
      </c>
      <c r="D168">
        <v>688</v>
      </c>
    </row>
    <row r="169" spans="1:5">
      <c r="A169" t="s">
        <v>205</v>
      </c>
      <c r="B169" t="s">
        <v>1978</v>
      </c>
      <c r="C169" t="s">
        <v>2248</v>
      </c>
      <c r="D169">
        <v>70</v>
      </c>
    </row>
    <row r="170" spans="1:5">
      <c r="A170" t="s">
        <v>205</v>
      </c>
      <c r="B170" t="s">
        <v>2249</v>
      </c>
      <c r="C170" t="s">
        <v>2250</v>
      </c>
      <c r="D170">
        <v>498</v>
      </c>
    </row>
    <row r="171" spans="1:5">
      <c r="A171" t="s">
        <v>205</v>
      </c>
      <c r="B171" t="s">
        <v>1990</v>
      </c>
      <c r="C171" t="s">
        <v>2251</v>
      </c>
      <c r="D171">
        <v>807</v>
      </c>
    </row>
    <row r="172" spans="1:5">
      <c r="A172" t="s">
        <v>205</v>
      </c>
      <c r="B172" t="s">
        <v>1983</v>
      </c>
      <c r="C172" t="s">
        <v>2252</v>
      </c>
      <c r="D172">
        <v>412</v>
      </c>
    </row>
    <row r="173" spans="1:5">
      <c r="A173" t="s">
        <v>205</v>
      </c>
      <c r="B173" t="s">
        <v>1976</v>
      </c>
      <c r="C173" t="s">
        <v>2253</v>
      </c>
      <c r="D173">
        <v>8</v>
      </c>
    </row>
    <row r="174" spans="1:5">
      <c r="A174" t="s">
        <v>205</v>
      </c>
      <c r="B174" t="s">
        <v>1987</v>
      </c>
      <c r="C174" t="s">
        <v>2254</v>
      </c>
      <c r="D174">
        <v>499</v>
      </c>
    </row>
    <row r="175" spans="1:5">
      <c r="A175" t="s">
        <v>208</v>
      </c>
      <c r="B175" t="s">
        <v>1055</v>
      </c>
      <c r="C175" t="s">
        <v>2255</v>
      </c>
      <c r="D175">
        <v>579</v>
      </c>
      <c r="E175">
        <v>1</v>
      </c>
    </row>
    <row r="176" spans="1:5">
      <c r="A176" t="s">
        <v>208</v>
      </c>
      <c r="B176" t="s">
        <v>2256</v>
      </c>
      <c r="C176" t="s">
        <v>2257</v>
      </c>
    </row>
    <row r="177" spans="1:5">
      <c r="A177" t="s">
        <v>208</v>
      </c>
      <c r="B177" t="s">
        <v>2258</v>
      </c>
      <c r="C177" t="s">
        <v>2259</v>
      </c>
      <c r="D177">
        <v>757</v>
      </c>
      <c r="E177">
        <v>1</v>
      </c>
    </row>
    <row r="178" spans="1:5">
      <c r="A178" t="s">
        <v>208</v>
      </c>
      <c r="B178" t="s">
        <v>2260</v>
      </c>
      <c r="C178" t="s">
        <v>2261</v>
      </c>
      <c r="D178">
        <v>438</v>
      </c>
    </row>
    <row r="179" spans="1:5">
      <c r="A179" t="s">
        <v>208</v>
      </c>
      <c r="B179" t="s">
        <v>2262</v>
      </c>
      <c r="C179" t="s">
        <v>2263</v>
      </c>
      <c r="D179">
        <v>352</v>
      </c>
      <c r="E179">
        <v>1</v>
      </c>
    </row>
    <row r="180" spans="1:5">
      <c r="A180" t="s">
        <v>208</v>
      </c>
      <c r="B180" t="s">
        <v>1517</v>
      </c>
      <c r="C180" t="s">
        <v>2264</v>
      </c>
      <c r="D180">
        <v>826</v>
      </c>
      <c r="E180">
        <v>1</v>
      </c>
    </row>
    <row r="181" spans="1:5">
      <c r="A181" t="s">
        <v>208</v>
      </c>
      <c r="B181" t="s">
        <v>1720</v>
      </c>
      <c r="C181" t="s">
        <v>2265</v>
      </c>
      <c r="D181">
        <v>292</v>
      </c>
    </row>
    <row r="182" spans="1:5">
      <c r="A182" t="s">
        <v>208</v>
      </c>
      <c r="B182" t="s">
        <v>2266</v>
      </c>
      <c r="C182" t="s">
        <v>2267</v>
      </c>
      <c r="D182">
        <v>654</v>
      </c>
    </row>
    <row r="183" spans="1:5">
      <c r="A183" t="s">
        <v>208</v>
      </c>
      <c r="B183" t="s">
        <v>2260</v>
      </c>
      <c r="C183" t="s">
        <v>2261</v>
      </c>
      <c r="D183">
        <v>438</v>
      </c>
    </row>
    <row r="184" spans="1:5">
      <c r="A184" t="s">
        <v>211</v>
      </c>
      <c r="B184" t="s">
        <v>1132</v>
      </c>
      <c r="C184" t="s">
        <v>2268</v>
      </c>
      <c r="D184">
        <v>616</v>
      </c>
      <c r="E184">
        <v>1</v>
      </c>
    </row>
    <row r="185" spans="1:5">
      <c r="A185" t="s">
        <v>211</v>
      </c>
      <c r="B185" t="s">
        <v>1196</v>
      </c>
      <c r="C185" t="s">
        <v>2269</v>
      </c>
      <c r="D185">
        <v>203</v>
      </c>
      <c r="E185">
        <v>1</v>
      </c>
    </row>
    <row r="186" spans="1:5">
      <c r="A186" t="s">
        <v>211</v>
      </c>
      <c r="B186" t="s">
        <v>1056</v>
      </c>
      <c r="C186" t="s">
        <v>2270</v>
      </c>
      <c r="D186">
        <v>642</v>
      </c>
      <c r="E186">
        <v>1</v>
      </c>
    </row>
    <row r="187" spans="1:5">
      <c r="A187" t="s">
        <v>211</v>
      </c>
      <c r="B187" t="s">
        <v>1161</v>
      </c>
      <c r="C187" t="s">
        <v>2271</v>
      </c>
      <c r="D187">
        <v>348</v>
      </c>
      <c r="E187">
        <v>1</v>
      </c>
    </row>
    <row r="188" spans="1:5">
      <c r="A188" t="s">
        <v>211</v>
      </c>
      <c r="B188" t="s">
        <v>1158</v>
      </c>
      <c r="C188" t="s">
        <v>2272</v>
      </c>
      <c r="D188">
        <v>100</v>
      </c>
      <c r="E188">
        <v>1</v>
      </c>
    </row>
    <row r="189" spans="1:5">
      <c r="A189" t="s">
        <v>211</v>
      </c>
      <c r="B189" t="s">
        <v>1209</v>
      </c>
      <c r="C189" t="s">
        <v>2273</v>
      </c>
      <c r="D189">
        <v>703</v>
      </c>
      <c r="E189">
        <v>1</v>
      </c>
    </row>
    <row r="190" spans="1:5">
      <c r="A190" t="s">
        <v>211</v>
      </c>
      <c r="B190" t="s">
        <v>1682</v>
      </c>
      <c r="C190" t="s">
        <v>2274</v>
      </c>
      <c r="D190">
        <v>191</v>
      </c>
      <c r="E190">
        <v>1</v>
      </c>
    </row>
    <row r="191" spans="1:5">
      <c r="A191" t="s">
        <v>211</v>
      </c>
      <c r="B191" t="s">
        <v>1604</v>
      </c>
      <c r="C191" t="s">
        <v>2275</v>
      </c>
      <c r="D191">
        <v>440</v>
      </c>
      <c r="E191">
        <v>1</v>
      </c>
    </row>
    <row r="192" spans="1:5">
      <c r="A192" t="s">
        <v>211</v>
      </c>
      <c r="B192" t="s">
        <v>1210</v>
      </c>
      <c r="C192" t="s">
        <v>2276</v>
      </c>
      <c r="D192">
        <v>705</v>
      </c>
      <c r="E192">
        <v>1</v>
      </c>
    </row>
    <row r="193" spans="1:5">
      <c r="A193" t="s">
        <v>211</v>
      </c>
      <c r="B193" t="s">
        <v>2277</v>
      </c>
      <c r="C193" t="s">
        <v>2278</v>
      </c>
      <c r="D193">
        <v>233</v>
      </c>
      <c r="E193">
        <v>1</v>
      </c>
    </row>
    <row r="194" spans="1:5">
      <c r="A194" t="s">
        <v>211</v>
      </c>
      <c r="B194" t="s">
        <v>2279</v>
      </c>
      <c r="C194" t="s">
        <v>2280</v>
      </c>
      <c r="D194">
        <v>428</v>
      </c>
      <c r="E194">
        <v>1</v>
      </c>
    </row>
    <row r="195" spans="1:5">
      <c r="A195" t="s">
        <v>217</v>
      </c>
      <c r="B195" t="s">
        <v>1130</v>
      </c>
      <c r="C195" t="s">
        <v>2281</v>
      </c>
      <c r="D195">
        <v>276</v>
      </c>
      <c r="E195">
        <v>1</v>
      </c>
    </row>
    <row r="196" spans="1:5">
      <c r="A196" t="s">
        <v>217</v>
      </c>
      <c r="B196" t="s">
        <v>1131</v>
      </c>
      <c r="C196" t="s">
        <v>2282</v>
      </c>
      <c r="D196">
        <v>528</v>
      </c>
      <c r="E196">
        <v>1</v>
      </c>
    </row>
    <row r="197" spans="1:5">
      <c r="A197" t="s">
        <v>217</v>
      </c>
      <c r="B197" t="s">
        <v>1469</v>
      </c>
      <c r="C197" t="s">
        <v>2283</v>
      </c>
      <c r="D197">
        <v>56</v>
      </c>
      <c r="E197">
        <v>1</v>
      </c>
    </row>
    <row r="198" spans="1:5">
      <c r="A198" t="s">
        <v>217</v>
      </c>
      <c r="B198" t="s">
        <v>1212</v>
      </c>
      <c r="C198" t="s">
        <v>2284</v>
      </c>
      <c r="D198">
        <v>752</v>
      </c>
      <c r="E198">
        <v>1</v>
      </c>
    </row>
    <row r="199" spans="1:5">
      <c r="A199" t="s">
        <v>217</v>
      </c>
      <c r="B199" t="s">
        <v>2285</v>
      </c>
      <c r="C199" t="s">
        <v>2286</v>
      </c>
      <c r="D199">
        <v>40</v>
      </c>
      <c r="E199">
        <v>1</v>
      </c>
    </row>
    <row r="200" spans="1:5">
      <c r="A200" t="s">
        <v>217</v>
      </c>
      <c r="B200" t="s">
        <v>1197</v>
      </c>
      <c r="C200" t="s">
        <v>2287</v>
      </c>
      <c r="D200">
        <v>246</v>
      </c>
      <c r="E200">
        <v>1</v>
      </c>
    </row>
    <row r="201" spans="1:5">
      <c r="A201" t="s">
        <v>217</v>
      </c>
      <c r="B201" t="s">
        <v>1053</v>
      </c>
      <c r="C201" t="s">
        <v>2288</v>
      </c>
      <c r="D201">
        <v>208</v>
      </c>
      <c r="E201">
        <v>1</v>
      </c>
    </row>
    <row r="202" spans="1:5">
      <c r="A202" t="s">
        <v>217</v>
      </c>
      <c r="B202" t="s">
        <v>2289</v>
      </c>
      <c r="C202" t="s">
        <v>2290</v>
      </c>
      <c r="D202">
        <v>372</v>
      </c>
      <c r="E202">
        <v>1</v>
      </c>
    </row>
    <row r="203" spans="1:5">
      <c r="A203" t="s">
        <v>217</v>
      </c>
      <c r="B203" t="s">
        <v>2291</v>
      </c>
      <c r="C203" t="s">
        <v>2292</v>
      </c>
      <c r="D203">
        <v>442</v>
      </c>
      <c r="E203">
        <v>1</v>
      </c>
    </row>
    <row r="204" spans="1:5">
      <c r="A204" t="s">
        <v>217</v>
      </c>
      <c r="B204" t="s">
        <v>1198</v>
      </c>
      <c r="C204" t="s">
        <v>2293</v>
      </c>
      <c r="D204">
        <v>304</v>
      </c>
    </row>
    <row r="205" spans="1:5">
      <c r="A205" t="s">
        <v>217</v>
      </c>
      <c r="B205" t="s">
        <v>2294</v>
      </c>
      <c r="C205" t="s">
        <v>2295</v>
      </c>
    </row>
    <row r="206" spans="1:5">
      <c r="A206" t="s">
        <v>217</v>
      </c>
      <c r="B206" t="s">
        <v>2296</v>
      </c>
      <c r="C206" t="s">
        <v>1896</v>
      </c>
      <c r="D206">
        <v>20</v>
      </c>
    </row>
    <row r="207" spans="1:5">
      <c r="A207" t="s">
        <v>214</v>
      </c>
      <c r="B207" t="s">
        <v>1445</v>
      </c>
      <c r="C207" t="s">
        <v>2297</v>
      </c>
      <c r="D207">
        <v>251</v>
      </c>
      <c r="E207">
        <v>1</v>
      </c>
    </row>
    <row r="208" spans="1:5">
      <c r="A208" t="s">
        <v>214</v>
      </c>
      <c r="B208" t="s">
        <v>2298</v>
      </c>
      <c r="C208" t="s">
        <v>2299</v>
      </c>
    </row>
    <row r="209" spans="1:5">
      <c r="A209" t="s">
        <v>214</v>
      </c>
      <c r="B209" t="s">
        <v>1054</v>
      </c>
      <c r="C209" t="s">
        <v>2300</v>
      </c>
      <c r="D209">
        <v>382</v>
      </c>
      <c r="E209">
        <v>1</v>
      </c>
    </row>
    <row r="210" spans="1:5">
      <c r="A210" t="s">
        <v>214</v>
      </c>
      <c r="B210" t="s">
        <v>2301</v>
      </c>
      <c r="C210" t="s">
        <v>2302</v>
      </c>
    </row>
    <row r="211" spans="1:5">
      <c r="A211" t="s">
        <v>214</v>
      </c>
      <c r="B211" t="s">
        <v>1163</v>
      </c>
      <c r="C211" t="s">
        <v>2303</v>
      </c>
      <c r="D211">
        <v>724</v>
      </c>
      <c r="E211">
        <v>1</v>
      </c>
    </row>
    <row r="212" spans="1:5">
      <c r="A212" t="s">
        <v>214</v>
      </c>
      <c r="B212" t="s">
        <v>1160</v>
      </c>
      <c r="C212" t="s">
        <v>2304</v>
      </c>
      <c r="D212">
        <v>300</v>
      </c>
      <c r="E212">
        <v>1</v>
      </c>
    </row>
    <row r="213" spans="1:5">
      <c r="A213" t="s">
        <v>214</v>
      </c>
      <c r="B213" t="s">
        <v>1207</v>
      </c>
      <c r="C213" t="s">
        <v>2305</v>
      </c>
      <c r="D213">
        <v>620</v>
      </c>
      <c r="E213">
        <v>1</v>
      </c>
    </row>
    <row r="214" spans="1:5">
      <c r="A214" t="s">
        <v>214</v>
      </c>
      <c r="B214" t="s">
        <v>1697</v>
      </c>
      <c r="C214" t="s">
        <v>2306</v>
      </c>
      <c r="D214">
        <v>196</v>
      </c>
      <c r="E214">
        <v>1</v>
      </c>
    </row>
    <row r="215" spans="1:5">
      <c r="A215" t="s">
        <v>214</v>
      </c>
      <c r="B215" t="s">
        <v>1721</v>
      </c>
      <c r="C215" t="s">
        <v>2307</v>
      </c>
      <c r="D215">
        <v>470</v>
      </c>
      <c r="E215">
        <v>1</v>
      </c>
    </row>
    <row r="216" spans="1:5">
      <c r="A216" t="s">
        <v>233</v>
      </c>
      <c r="B216" t="s">
        <v>1199</v>
      </c>
      <c r="C216" t="s">
        <v>2308</v>
      </c>
      <c r="D216">
        <v>364</v>
      </c>
    </row>
    <row r="217" spans="1:5">
      <c r="A217" t="s">
        <v>233</v>
      </c>
      <c r="B217" t="s">
        <v>1073</v>
      </c>
      <c r="C217" t="s">
        <v>2309</v>
      </c>
      <c r="D217">
        <v>682</v>
      </c>
    </row>
    <row r="218" spans="1:5">
      <c r="A218" t="s">
        <v>233</v>
      </c>
      <c r="B218" t="s">
        <v>1075</v>
      </c>
      <c r="C218" t="s">
        <v>2310</v>
      </c>
      <c r="D218">
        <v>784</v>
      </c>
    </row>
    <row r="219" spans="1:5">
      <c r="A219" t="s">
        <v>233</v>
      </c>
      <c r="B219" t="s">
        <v>1069</v>
      </c>
      <c r="C219" t="s">
        <v>2311</v>
      </c>
      <c r="D219">
        <v>368</v>
      </c>
    </row>
    <row r="220" spans="1:5">
      <c r="A220" t="s">
        <v>233</v>
      </c>
      <c r="B220" t="s">
        <v>1072</v>
      </c>
      <c r="C220" t="s">
        <v>2312</v>
      </c>
      <c r="D220">
        <v>634</v>
      </c>
    </row>
    <row r="221" spans="1:5">
      <c r="A221" t="s">
        <v>233</v>
      </c>
      <c r="B221" t="s">
        <v>1070</v>
      </c>
      <c r="C221" t="s">
        <v>2313</v>
      </c>
      <c r="D221">
        <v>414</v>
      </c>
    </row>
    <row r="222" spans="1:5">
      <c r="A222" t="s">
        <v>233</v>
      </c>
      <c r="B222" t="s">
        <v>1071</v>
      </c>
      <c r="C222" t="s">
        <v>2314</v>
      </c>
      <c r="D222">
        <v>512</v>
      </c>
    </row>
    <row r="223" spans="1:5">
      <c r="A223" t="s">
        <v>233</v>
      </c>
      <c r="B223" t="s">
        <v>1134</v>
      </c>
      <c r="C223" t="s">
        <v>2315</v>
      </c>
      <c r="D223">
        <v>48</v>
      </c>
    </row>
    <row r="224" spans="1:5">
      <c r="A224" t="s">
        <v>233</v>
      </c>
      <c r="B224" t="s">
        <v>1076</v>
      </c>
      <c r="C224" t="s">
        <v>2316</v>
      </c>
      <c r="D224">
        <v>887</v>
      </c>
    </row>
    <row r="225" spans="1:4">
      <c r="A225" t="s">
        <v>230</v>
      </c>
      <c r="B225" t="s">
        <v>1164</v>
      </c>
      <c r="C225" t="s">
        <v>2317</v>
      </c>
      <c r="D225">
        <v>792</v>
      </c>
    </row>
    <row r="226" spans="1:4">
      <c r="A226" t="s">
        <v>230</v>
      </c>
      <c r="B226" t="s">
        <v>1135</v>
      </c>
      <c r="C226" t="s">
        <v>2318</v>
      </c>
      <c r="D226">
        <v>376</v>
      </c>
    </row>
    <row r="227" spans="1:4">
      <c r="A227" t="s">
        <v>230</v>
      </c>
      <c r="B227" t="s">
        <v>2319</v>
      </c>
      <c r="C227" t="s">
        <v>2320</v>
      </c>
      <c r="D227">
        <v>760</v>
      </c>
    </row>
    <row r="228" spans="1:4">
      <c r="A228" t="s">
        <v>230</v>
      </c>
      <c r="B228" t="s">
        <v>1200</v>
      </c>
      <c r="C228" t="s">
        <v>2321</v>
      </c>
      <c r="D228">
        <v>400</v>
      </c>
    </row>
    <row r="229" spans="1:4">
      <c r="A229" t="s">
        <v>230</v>
      </c>
      <c r="B229" t="s">
        <v>2322</v>
      </c>
      <c r="C229" t="s">
        <v>2323</v>
      </c>
      <c r="D229">
        <v>422</v>
      </c>
    </row>
    <row r="230" spans="1:4">
      <c r="A230" t="s">
        <v>230</v>
      </c>
      <c r="B230" t="s">
        <v>2324</v>
      </c>
      <c r="C230" t="s">
        <v>2325</v>
      </c>
      <c r="D230">
        <v>275</v>
      </c>
    </row>
  </sheetData>
  <autoFilter ref="A1:D230" xr:uid="{CE2D51C5-1226-424F-A180-D57455E0F13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0EF7-B809-46B4-B10C-760DA47F79E1}">
  <dimension ref="A1:BP271"/>
  <sheetViews>
    <sheetView topLeftCell="AB1" workbookViewId="0">
      <selection activeCell="BP1" sqref="BP1:BP1048576"/>
    </sheetView>
  </sheetViews>
  <sheetFormatPr defaultRowHeight="15.6"/>
  <cols>
    <col min="1" max="1" width="42.8984375" bestFit="1" customWidth="1"/>
    <col min="2" max="2" width="25" bestFit="1" customWidth="1"/>
    <col min="3" max="3" width="27.59765625" bestFit="1" customWidth="1"/>
    <col min="4" max="4" width="12.09765625" bestFit="1" customWidth="1"/>
    <col min="5" max="54" width="10.5" bestFit="1" customWidth="1"/>
    <col min="55" max="55" width="4.3984375" bestFit="1" customWidth="1"/>
    <col min="56" max="68" width="10.5" bestFit="1" customWidth="1"/>
  </cols>
  <sheetData>
    <row r="1" spans="1:68">
      <c r="A1" s="382" t="s">
        <v>2326</v>
      </c>
      <c r="B1" s="382" t="s">
        <v>2327</v>
      </c>
      <c r="C1" s="382"/>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row>
    <row r="3" spans="1:68">
      <c r="A3" s="382" t="s">
        <v>2328</v>
      </c>
      <c r="B3" s="383">
        <v>45554</v>
      </c>
      <c r="C3" s="382"/>
      <c r="D3" s="382"/>
      <c r="E3" s="382"/>
      <c r="F3" s="382"/>
      <c r="G3" s="382"/>
      <c r="H3" s="382"/>
      <c r="I3" s="382"/>
      <c r="J3" s="382"/>
      <c r="K3" s="382"/>
      <c r="L3" s="382"/>
      <c r="M3" s="382"/>
      <c r="N3" s="382"/>
      <c r="O3" s="382"/>
      <c r="P3" s="382"/>
      <c r="Q3" s="382"/>
      <c r="R3" s="382"/>
      <c r="S3" s="382"/>
      <c r="T3" s="382"/>
      <c r="U3" s="382"/>
      <c r="V3" s="382"/>
      <c r="W3" s="382"/>
      <c r="X3" s="382"/>
      <c r="Y3" s="382"/>
      <c r="Z3" s="382"/>
      <c r="AA3" s="382"/>
      <c r="AB3" s="382"/>
      <c r="AC3" s="382"/>
      <c r="AD3" s="382"/>
      <c r="AE3" s="382"/>
      <c r="AF3" s="382"/>
      <c r="AG3" s="382"/>
      <c r="AH3" s="382"/>
      <c r="AI3" s="382"/>
      <c r="AJ3" s="382"/>
      <c r="AK3" s="382"/>
      <c r="AL3" s="382"/>
      <c r="AM3" s="382"/>
      <c r="AN3" s="382"/>
      <c r="AO3" s="382"/>
      <c r="AP3" s="382"/>
      <c r="AQ3" s="382"/>
      <c r="AR3" s="382"/>
      <c r="AS3" s="382"/>
      <c r="AT3" s="382"/>
      <c r="AU3" s="382"/>
      <c r="AV3" s="382"/>
      <c r="AW3" s="382"/>
      <c r="AX3" s="382"/>
      <c r="AY3" s="382"/>
      <c r="AZ3" s="382"/>
      <c r="BA3" s="382"/>
      <c r="BB3" s="382"/>
      <c r="BC3" s="382"/>
      <c r="BD3" s="382"/>
      <c r="BE3" s="382"/>
      <c r="BF3" s="382"/>
      <c r="BG3" s="382"/>
      <c r="BH3" s="382"/>
      <c r="BI3" s="382"/>
      <c r="BJ3" s="382"/>
      <c r="BK3" s="382"/>
      <c r="BL3" s="382"/>
      <c r="BM3" s="382"/>
      <c r="BN3" s="382"/>
      <c r="BO3" s="382"/>
      <c r="BP3" s="382"/>
    </row>
    <row r="5" spans="1:68">
      <c r="A5" s="382" t="s">
        <v>2329</v>
      </c>
      <c r="B5" s="382" t="s">
        <v>2330</v>
      </c>
      <c r="C5" s="382" t="s">
        <v>2331</v>
      </c>
      <c r="D5" s="382" t="s">
        <v>2332</v>
      </c>
      <c r="E5" s="382">
        <v>1960</v>
      </c>
      <c r="F5" s="382">
        <v>1961</v>
      </c>
      <c r="G5" s="382">
        <v>1962</v>
      </c>
      <c r="H5" s="382">
        <v>1963</v>
      </c>
      <c r="I5" s="382">
        <v>1964</v>
      </c>
      <c r="J5" s="382">
        <v>1965</v>
      </c>
      <c r="K5" s="382">
        <v>1966</v>
      </c>
      <c r="L5" s="382">
        <v>1967</v>
      </c>
      <c r="M5" s="382">
        <v>1968</v>
      </c>
      <c r="N5" s="382">
        <v>1969</v>
      </c>
      <c r="O5" s="382">
        <v>1970</v>
      </c>
      <c r="P5" s="382">
        <v>1971</v>
      </c>
      <c r="Q5" s="382">
        <v>1972</v>
      </c>
      <c r="R5" s="382">
        <v>1973</v>
      </c>
      <c r="S5" s="382">
        <v>1974</v>
      </c>
      <c r="T5" s="382">
        <v>1975</v>
      </c>
      <c r="U5" s="382">
        <v>1976</v>
      </c>
      <c r="V5" s="382">
        <v>1977</v>
      </c>
      <c r="W5" s="382">
        <v>1978</v>
      </c>
      <c r="X5" s="382">
        <v>1979</v>
      </c>
      <c r="Y5" s="382">
        <v>1980</v>
      </c>
      <c r="Z5" s="382">
        <v>1981</v>
      </c>
      <c r="AA5" s="382">
        <v>1982</v>
      </c>
      <c r="AB5" s="382">
        <v>1983</v>
      </c>
      <c r="AC5" s="382">
        <v>1984</v>
      </c>
      <c r="AD5" s="382">
        <v>1985</v>
      </c>
      <c r="AE5" s="382">
        <v>1986</v>
      </c>
      <c r="AF5" s="382">
        <v>1987</v>
      </c>
      <c r="AG5" s="382">
        <v>1988</v>
      </c>
      <c r="AH5" s="382">
        <v>1989</v>
      </c>
      <c r="AI5" s="382">
        <v>1990</v>
      </c>
      <c r="AJ5" s="382">
        <v>1991</v>
      </c>
      <c r="AK5" s="382">
        <v>1992</v>
      </c>
      <c r="AL5" s="382">
        <v>1993</v>
      </c>
      <c r="AM5" s="382">
        <v>1994</v>
      </c>
      <c r="AN5" s="382">
        <v>1995</v>
      </c>
      <c r="AO5" s="382">
        <v>1996</v>
      </c>
      <c r="AP5" s="382">
        <v>1997</v>
      </c>
      <c r="AQ5" s="382">
        <v>1998</v>
      </c>
      <c r="AR5" s="382">
        <v>1999</v>
      </c>
      <c r="AS5" s="382">
        <v>2000</v>
      </c>
      <c r="AT5" s="382">
        <v>2001</v>
      </c>
      <c r="AU5" s="382">
        <v>2002</v>
      </c>
      <c r="AV5" s="382">
        <v>2003</v>
      </c>
      <c r="AW5" s="382">
        <v>2004</v>
      </c>
      <c r="AX5" s="382">
        <v>2005</v>
      </c>
      <c r="AY5" s="382">
        <v>2006</v>
      </c>
      <c r="AZ5" s="382">
        <v>2007</v>
      </c>
      <c r="BA5" s="382">
        <v>2008</v>
      </c>
      <c r="BB5" s="382">
        <v>2009</v>
      </c>
      <c r="BC5" s="382">
        <v>2010</v>
      </c>
      <c r="BD5" s="382">
        <v>2011</v>
      </c>
      <c r="BE5" s="382">
        <v>2012</v>
      </c>
      <c r="BF5" s="382">
        <v>2013</v>
      </c>
      <c r="BG5" s="382">
        <v>2014</v>
      </c>
      <c r="BH5" s="382">
        <v>2015</v>
      </c>
      <c r="BI5" s="382">
        <v>2016</v>
      </c>
      <c r="BJ5" s="382">
        <v>2017</v>
      </c>
      <c r="BK5" s="382">
        <v>2018</v>
      </c>
      <c r="BL5" s="382">
        <v>2019</v>
      </c>
      <c r="BM5" s="382">
        <v>2020</v>
      </c>
      <c r="BN5" s="382">
        <v>2021</v>
      </c>
      <c r="BO5" s="382">
        <v>2022</v>
      </c>
      <c r="BP5" s="382">
        <v>2023</v>
      </c>
    </row>
    <row r="6" spans="1:68">
      <c r="A6" s="382" t="s">
        <v>2190</v>
      </c>
      <c r="B6" s="382" t="s">
        <v>2333</v>
      </c>
      <c r="C6" s="382" t="s">
        <v>2334</v>
      </c>
      <c r="D6" s="382" t="s">
        <v>2335</v>
      </c>
      <c r="E6" s="382"/>
      <c r="F6" s="382"/>
      <c r="G6" s="382"/>
      <c r="H6" s="382"/>
      <c r="I6" s="382"/>
      <c r="J6" s="382"/>
      <c r="K6" s="382"/>
      <c r="L6" s="382"/>
      <c r="M6" s="382"/>
      <c r="N6" s="382"/>
      <c r="O6" s="382"/>
      <c r="P6" s="382"/>
      <c r="Q6" s="382"/>
      <c r="R6" s="382"/>
      <c r="S6" s="382"/>
      <c r="T6" s="382"/>
      <c r="U6" s="382"/>
      <c r="V6" s="382"/>
      <c r="W6" s="382"/>
      <c r="X6" s="382"/>
      <c r="Y6" s="382">
        <v>31.982459138140499</v>
      </c>
      <c r="Z6" s="382"/>
      <c r="AA6" s="382"/>
      <c r="AB6" s="382"/>
      <c r="AC6" s="382">
        <v>39.857537016526898</v>
      </c>
      <c r="AD6" s="382">
        <v>41.464695763913099</v>
      </c>
      <c r="AE6" s="382">
        <v>41.910012667708102</v>
      </c>
      <c r="AF6" s="382">
        <v>43.436813480720502</v>
      </c>
      <c r="AG6" s="382">
        <v>44.792853676488001</v>
      </c>
      <c r="AH6" s="382">
        <v>46.580817786462902</v>
      </c>
      <c r="AI6" s="382">
        <v>49.299594672791898</v>
      </c>
      <c r="AJ6" s="382">
        <v>52.0384610435027</v>
      </c>
      <c r="AK6" s="382">
        <v>54.054105976470503</v>
      </c>
      <c r="AL6" s="382">
        <v>56.873330284708302</v>
      </c>
      <c r="AM6" s="382">
        <v>60.462651494245897</v>
      </c>
      <c r="AN6" s="382">
        <v>62.495037664198897</v>
      </c>
      <c r="AO6" s="382">
        <v>64.510682597166607</v>
      </c>
      <c r="AP6" s="382">
        <v>66.445969592607796</v>
      </c>
      <c r="AQ6" s="382">
        <v>67.688169376878903</v>
      </c>
      <c r="AR6" s="382">
        <v>69.231711426875606</v>
      </c>
      <c r="AS6" s="382">
        <v>72.031456591575207</v>
      </c>
      <c r="AT6" s="382">
        <v>74.108558773480596</v>
      </c>
      <c r="AU6" s="382">
        <v>76.565440386261301</v>
      </c>
      <c r="AV6" s="382">
        <v>79.3649524114212</v>
      </c>
      <c r="AW6" s="382">
        <v>81.3721948111763</v>
      </c>
      <c r="AX6" s="382">
        <v>84.137048487673297</v>
      </c>
      <c r="AY6" s="382">
        <v>87.172733716321801</v>
      </c>
      <c r="AZ6" s="382">
        <v>91.873582524102304</v>
      </c>
      <c r="BA6" s="382">
        <v>100.101768678965</v>
      </c>
      <c r="BB6" s="382">
        <v>97.964166760896902</v>
      </c>
      <c r="BC6" s="382">
        <v>100</v>
      </c>
      <c r="BD6" s="382">
        <v>104.316297421952</v>
      </c>
      <c r="BE6" s="382">
        <v>104.970852972298</v>
      </c>
      <c r="BF6" s="382">
        <v>102.480875854163</v>
      </c>
      <c r="BG6" s="382">
        <v>102.91277219904001</v>
      </c>
      <c r="BH6" s="382">
        <v>103.40136457845701</v>
      </c>
      <c r="BI6" s="382">
        <v>102.43849522091701</v>
      </c>
      <c r="BJ6" s="382">
        <v>101.385138831048</v>
      </c>
      <c r="BK6" s="382">
        <v>105.06140595222701</v>
      </c>
      <c r="BL6" s="382">
        <v>109.534355432857</v>
      </c>
      <c r="BM6" s="382"/>
      <c r="BN6" s="382"/>
      <c r="BO6" s="382"/>
      <c r="BP6" s="382"/>
    </row>
    <row r="7" spans="1:68">
      <c r="A7" s="382" t="s">
        <v>2336</v>
      </c>
      <c r="B7" s="382" t="s">
        <v>172</v>
      </c>
      <c r="C7" s="382" t="s">
        <v>2334</v>
      </c>
      <c r="D7" s="382" t="s">
        <v>2335</v>
      </c>
      <c r="E7" s="382"/>
      <c r="F7" s="382"/>
      <c r="G7" s="382"/>
      <c r="H7" s="382"/>
      <c r="I7" s="382"/>
      <c r="J7" s="382"/>
      <c r="K7" s="382"/>
      <c r="L7" s="382"/>
      <c r="M7" s="382"/>
      <c r="N7" s="382"/>
      <c r="O7" s="382"/>
      <c r="P7" s="382"/>
      <c r="Q7" s="382"/>
      <c r="R7" s="382"/>
      <c r="S7" s="382"/>
      <c r="T7" s="382"/>
      <c r="U7" s="382"/>
      <c r="V7" s="382"/>
      <c r="W7" s="382"/>
      <c r="X7" s="382"/>
      <c r="Y7" s="382"/>
      <c r="Z7" s="382"/>
      <c r="AA7" s="382"/>
      <c r="AB7" s="382"/>
      <c r="AC7" s="382"/>
      <c r="AD7" s="382"/>
      <c r="AE7" s="382"/>
      <c r="AF7" s="382"/>
      <c r="AG7" s="382"/>
      <c r="AH7" s="382"/>
      <c r="AI7" s="382"/>
      <c r="AJ7" s="382"/>
      <c r="AK7" s="382"/>
      <c r="AL7" s="382"/>
      <c r="AM7" s="382"/>
      <c r="AN7" s="382"/>
      <c r="AO7" s="382"/>
      <c r="AP7" s="382"/>
      <c r="AQ7" s="382"/>
      <c r="AR7" s="382"/>
      <c r="AS7" s="382"/>
      <c r="AT7" s="382"/>
      <c r="AU7" s="382"/>
      <c r="AV7" s="382"/>
      <c r="AW7" s="382"/>
      <c r="AX7" s="382"/>
      <c r="AY7" s="382"/>
      <c r="AZ7" s="382"/>
      <c r="BA7" s="382"/>
      <c r="BB7" s="382"/>
      <c r="BC7" s="382"/>
      <c r="BD7" s="382"/>
      <c r="BE7" s="382"/>
      <c r="BF7" s="382"/>
      <c r="BG7" s="382"/>
      <c r="BH7" s="382"/>
      <c r="BI7" s="382"/>
      <c r="BJ7" s="382"/>
      <c r="BK7" s="382"/>
      <c r="BL7" s="382"/>
      <c r="BM7" s="382"/>
      <c r="BN7" s="382"/>
      <c r="BO7" s="382"/>
      <c r="BP7" s="382"/>
    </row>
    <row r="8" spans="1:68">
      <c r="A8" s="382" t="s">
        <v>1975</v>
      </c>
      <c r="B8" s="382" t="s">
        <v>2337</v>
      </c>
      <c r="C8" s="382" t="s">
        <v>2334</v>
      </c>
      <c r="D8" s="382" t="s">
        <v>2335</v>
      </c>
      <c r="E8" s="382"/>
      <c r="F8" s="382"/>
      <c r="G8" s="382"/>
      <c r="H8" s="382"/>
      <c r="I8" s="382"/>
      <c r="J8" s="382"/>
      <c r="K8" s="382"/>
      <c r="L8" s="382"/>
      <c r="M8" s="382"/>
      <c r="N8" s="382"/>
      <c r="O8" s="382"/>
      <c r="P8" s="382"/>
      <c r="Q8" s="382"/>
      <c r="R8" s="382"/>
      <c r="S8" s="382"/>
      <c r="T8" s="382"/>
      <c r="U8" s="382"/>
      <c r="V8" s="382"/>
      <c r="W8" s="382"/>
      <c r="X8" s="382"/>
      <c r="Y8" s="382"/>
      <c r="Z8" s="382"/>
      <c r="AA8" s="382"/>
      <c r="AB8" s="382"/>
      <c r="AC8" s="382"/>
      <c r="AD8" s="382"/>
      <c r="AE8" s="382"/>
      <c r="AF8" s="382"/>
      <c r="AG8" s="382"/>
      <c r="AH8" s="382"/>
      <c r="AI8" s="382"/>
      <c r="AJ8" s="382"/>
      <c r="AK8" s="382"/>
      <c r="AL8" s="382"/>
      <c r="AM8" s="382"/>
      <c r="AN8" s="382"/>
      <c r="AO8" s="382"/>
      <c r="AP8" s="382"/>
      <c r="AQ8" s="382"/>
      <c r="AR8" s="382"/>
      <c r="AS8" s="382"/>
      <c r="AT8" s="382"/>
      <c r="AU8" s="382"/>
      <c r="AV8" s="382"/>
      <c r="AW8" s="382">
        <v>63.523394809315697</v>
      </c>
      <c r="AX8" s="382">
        <v>71.582143375953805</v>
      </c>
      <c r="AY8" s="382">
        <v>76.438703005866699</v>
      </c>
      <c r="AZ8" s="382">
        <v>83.074018727529406</v>
      </c>
      <c r="BA8" s="382">
        <v>105.021064735005</v>
      </c>
      <c r="BB8" s="382">
        <v>97.867910838531301</v>
      </c>
      <c r="BC8" s="382">
        <v>100</v>
      </c>
      <c r="BD8" s="382">
        <v>111.804185808913</v>
      </c>
      <c r="BE8" s="382">
        <v>119.005731346616</v>
      </c>
      <c r="BF8" s="382">
        <v>127.795223073732</v>
      </c>
      <c r="BG8" s="382">
        <v>133.76836673358201</v>
      </c>
      <c r="BH8" s="382">
        <v>132.88320919141799</v>
      </c>
      <c r="BI8" s="382">
        <v>138.70866550889099</v>
      </c>
      <c r="BJ8" s="382">
        <v>145.61074143859301</v>
      </c>
      <c r="BK8" s="382">
        <v>146.52248185721001</v>
      </c>
      <c r="BL8" s="382">
        <v>149.89597520803201</v>
      </c>
      <c r="BM8" s="382"/>
      <c r="BN8" s="382"/>
      <c r="BO8" s="382"/>
      <c r="BP8" s="382"/>
    </row>
    <row r="9" spans="1:68">
      <c r="A9" s="382" t="s">
        <v>2338</v>
      </c>
      <c r="B9" s="382" t="s">
        <v>178</v>
      </c>
      <c r="C9" s="382" t="s">
        <v>2334</v>
      </c>
      <c r="D9" s="382" t="s">
        <v>2335</v>
      </c>
      <c r="E9" s="382"/>
      <c r="F9" s="382"/>
      <c r="G9" s="382"/>
      <c r="H9" s="382"/>
      <c r="I9" s="382"/>
      <c r="J9" s="382"/>
      <c r="K9" s="382"/>
      <c r="L9" s="382"/>
      <c r="M9" s="382"/>
      <c r="N9" s="382"/>
      <c r="O9" s="382"/>
      <c r="P9" s="382"/>
      <c r="Q9" s="382"/>
      <c r="R9" s="382"/>
      <c r="S9" s="382"/>
      <c r="T9" s="382"/>
      <c r="U9" s="382"/>
      <c r="V9" s="382"/>
      <c r="W9" s="382"/>
      <c r="X9" s="382"/>
      <c r="Y9" s="382"/>
      <c r="Z9" s="382"/>
      <c r="AA9" s="382"/>
      <c r="AB9" s="382"/>
      <c r="AC9" s="382"/>
      <c r="AD9" s="382"/>
      <c r="AE9" s="382"/>
      <c r="AF9" s="382"/>
      <c r="AG9" s="382"/>
      <c r="AH9" s="382"/>
      <c r="AI9" s="382"/>
      <c r="AJ9" s="382"/>
      <c r="AK9" s="382"/>
      <c r="AL9" s="382"/>
      <c r="AM9" s="382"/>
      <c r="AN9" s="382"/>
      <c r="AO9" s="382"/>
      <c r="AP9" s="382"/>
      <c r="AQ9" s="382"/>
      <c r="AR9" s="382"/>
      <c r="AS9" s="382"/>
      <c r="AT9" s="382"/>
      <c r="AU9" s="382"/>
      <c r="AV9" s="382"/>
      <c r="AW9" s="382"/>
      <c r="AX9" s="382"/>
      <c r="AY9" s="382"/>
      <c r="AZ9" s="382"/>
      <c r="BA9" s="382"/>
      <c r="BB9" s="382"/>
      <c r="BC9" s="382"/>
      <c r="BD9" s="382"/>
      <c r="BE9" s="382"/>
      <c r="BF9" s="382"/>
      <c r="BG9" s="382"/>
      <c r="BH9" s="382"/>
      <c r="BI9" s="382"/>
      <c r="BJ9" s="382"/>
      <c r="BK9" s="382"/>
      <c r="BL9" s="382"/>
      <c r="BM9" s="382"/>
      <c r="BN9" s="382"/>
      <c r="BO9" s="382"/>
      <c r="BP9" s="382"/>
    </row>
    <row r="10" spans="1:68">
      <c r="A10" s="382" t="s">
        <v>1080</v>
      </c>
      <c r="B10" s="382" t="s">
        <v>2339</v>
      </c>
      <c r="C10" s="382" t="s">
        <v>2334</v>
      </c>
      <c r="D10" s="382" t="s">
        <v>2335</v>
      </c>
      <c r="E10" s="382"/>
      <c r="F10" s="382"/>
      <c r="G10" s="382"/>
      <c r="H10" s="382"/>
      <c r="I10" s="382"/>
      <c r="J10" s="382"/>
      <c r="K10" s="382"/>
      <c r="L10" s="382"/>
      <c r="M10" s="382"/>
      <c r="N10" s="382"/>
      <c r="O10" s="382"/>
      <c r="P10" s="382"/>
      <c r="Q10" s="382"/>
      <c r="R10" s="382"/>
      <c r="S10" s="382"/>
      <c r="T10" s="382"/>
      <c r="U10" s="382"/>
      <c r="V10" s="382"/>
      <c r="W10" s="382"/>
      <c r="X10" s="382"/>
      <c r="Y10" s="382"/>
      <c r="Z10" s="382"/>
      <c r="AA10" s="382"/>
      <c r="AB10" s="382"/>
      <c r="AC10" s="382"/>
      <c r="AD10" s="382"/>
      <c r="AE10" s="382"/>
      <c r="AF10" s="382"/>
      <c r="AG10" s="382"/>
      <c r="AH10" s="382"/>
      <c r="AI10" s="384">
        <v>2.22008150730772E-8</v>
      </c>
      <c r="AJ10" s="384">
        <v>4.0801497972141797E-8</v>
      </c>
      <c r="AK10" s="384">
        <v>1.63005984545567E-7</v>
      </c>
      <c r="AL10" s="384">
        <v>2.4100884831583802E-6</v>
      </c>
      <c r="AM10" s="384">
        <v>2.5300928889588001E-5</v>
      </c>
      <c r="AN10" s="382">
        <v>6.9993769727151297E-4</v>
      </c>
      <c r="AO10" s="382">
        <v>2.9713097058590598E-2</v>
      </c>
      <c r="AP10" s="382">
        <v>9.4837288950552795E-2</v>
      </c>
      <c r="AQ10" s="382">
        <v>0.19658330514343</v>
      </c>
      <c r="AR10" s="382">
        <v>0.68449501333720797</v>
      </c>
      <c r="AS10" s="382">
        <v>2.9090823929501801</v>
      </c>
      <c r="AT10" s="382">
        <v>7.3472082361093101</v>
      </c>
      <c r="AU10" s="382">
        <v>15.348129629383701</v>
      </c>
      <c r="AV10" s="382">
        <v>30.4236985252629</v>
      </c>
      <c r="AW10" s="382">
        <v>43.670817815029899</v>
      </c>
      <c r="AX10" s="382">
        <v>53.6948050312199</v>
      </c>
      <c r="AY10" s="382">
        <v>60.839011695292697</v>
      </c>
      <c r="AZ10" s="382">
        <v>68.292701659281903</v>
      </c>
      <c r="BA10" s="382">
        <v>76.812782428357394</v>
      </c>
      <c r="BB10" s="382">
        <v>87.359395549413605</v>
      </c>
      <c r="BC10" s="382">
        <v>100</v>
      </c>
      <c r="BD10" s="382">
        <v>113.482467921851</v>
      </c>
      <c r="BE10" s="382">
        <v>125.146088077866</v>
      </c>
      <c r="BF10" s="382">
        <v>136.13117928470399</v>
      </c>
      <c r="BG10" s="382">
        <v>146.04205637760401</v>
      </c>
      <c r="BH10" s="382">
        <v>159.70571050737499</v>
      </c>
      <c r="BI10" s="382">
        <v>208.72644419804499</v>
      </c>
      <c r="BJ10" s="382">
        <v>271.01976588598802</v>
      </c>
      <c r="BK10" s="382">
        <v>324.2180676186</v>
      </c>
      <c r="BL10" s="382">
        <v>379.59760707327399</v>
      </c>
      <c r="BM10" s="382">
        <v>464.13983711346498</v>
      </c>
      <c r="BN10" s="382">
        <v>583.67577943866104</v>
      </c>
      <c r="BO10" s="382">
        <v>708.32143556847996</v>
      </c>
      <c r="BP10" s="382">
        <v>804.965533144132</v>
      </c>
    </row>
    <row r="11" spans="1:68">
      <c r="A11" s="382" t="s">
        <v>1976</v>
      </c>
      <c r="B11" s="382" t="s">
        <v>2340</v>
      </c>
      <c r="C11" s="382" t="s">
        <v>2334</v>
      </c>
      <c r="D11" s="382" t="s">
        <v>2335</v>
      </c>
      <c r="E11" s="382"/>
      <c r="F11" s="382"/>
      <c r="G11" s="382"/>
      <c r="H11" s="382"/>
      <c r="I11" s="382"/>
      <c r="J11" s="382"/>
      <c r="K11" s="382"/>
      <c r="L11" s="382"/>
      <c r="M11" s="382"/>
      <c r="N11" s="382"/>
      <c r="O11" s="382"/>
      <c r="P11" s="382"/>
      <c r="Q11" s="382"/>
      <c r="R11" s="382"/>
      <c r="S11" s="382"/>
      <c r="T11" s="382"/>
      <c r="U11" s="382"/>
      <c r="V11" s="382"/>
      <c r="W11" s="382"/>
      <c r="X11" s="382"/>
      <c r="Y11" s="382"/>
      <c r="Z11" s="382"/>
      <c r="AA11" s="382"/>
      <c r="AB11" s="382"/>
      <c r="AC11" s="382"/>
      <c r="AD11" s="382"/>
      <c r="AE11" s="382"/>
      <c r="AF11" s="382"/>
      <c r="AG11" s="382"/>
      <c r="AH11" s="382"/>
      <c r="AI11" s="382"/>
      <c r="AJ11" s="382">
        <v>5.1145517610624598</v>
      </c>
      <c r="AK11" s="382">
        <v>16.6737160138813</v>
      </c>
      <c r="AL11" s="382">
        <v>30.847166833730899</v>
      </c>
      <c r="AM11" s="382">
        <v>37.807846284173998</v>
      </c>
      <c r="AN11" s="382">
        <v>40.754294369569998</v>
      </c>
      <c r="AO11" s="382">
        <v>45.940473055666097</v>
      </c>
      <c r="AP11" s="382">
        <v>61.183648064890697</v>
      </c>
      <c r="AQ11" s="382">
        <v>73.813702184644598</v>
      </c>
      <c r="AR11" s="382">
        <v>74.101160534439401</v>
      </c>
      <c r="AS11" s="382">
        <v>74.138224553950195</v>
      </c>
      <c r="AT11" s="382">
        <v>76.442135324008007</v>
      </c>
      <c r="AU11" s="382">
        <v>82.382091197662504</v>
      </c>
      <c r="AV11" s="382">
        <v>82.780822670729805</v>
      </c>
      <c r="AW11" s="382">
        <v>84.668241296193798</v>
      </c>
      <c r="AX11" s="382">
        <v>86.671984617847698</v>
      </c>
      <c r="AY11" s="382">
        <v>88.726741901859398</v>
      </c>
      <c r="AZ11" s="382">
        <v>91.328815518130298</v>
      </c>
      <c r="BA11" s="382">
        <v>94.361727579541693</v>
      </c>
      <c r="BB11" s="382">
        <v>96.500834430802001</v>
      </c>
      <c r="BC11" s="382">
        <v>100</v>
      </c>
      <c r="BD11" s="382">
        <v>103.42912324722199</v>
      </c>
      <c r="BE11" s="382">
        <v>105.530381748189</v>
      </c>
      <c r="BF11" s="382">
        <v>107.575160377427</v>
      </c>
      <c r="BG11" s="382">
        <v>109.324187306059</v>
      </c>
      <c r="BH11" s="382">
        <v>111.39716414980801</v>
      </c>
      <c r="BI11" s="382">
        <v>112.81795887608899</v>
      </c>
      <c r="BJ11" s="382">
        <v>115.05926964030699</v>
      </c>
      <c r="BK11" s="382">
        <v>117.392740239274</v>
      </c>
      <c r="BL11" s="382">
        <v>119.049258384382</v>
      </c>
      <c r="BM11" s="382">
        <v>120.978911881374</v>
      </c>
      <c r="BN11" s="382">
        <v>123.448662047404</v>
      </c>
      <c r="BO11" s="382">
        <v>131.750834819418</v>
      </c>
      <c r="BP11" s="382"/>
    </row>
    <row r="12" spans="1:68">
      <c r="A12" s="382" t="s">
        <v>2296</v>
      </c>
      <c r="B12" s="382" t="s">
        <v>2341</v>
      </c>
      <c r="C12" s="382" t="s">
        <v>2334</v>
      </c>
      <c r="D12" s="382" t="s">
        <v>2335</v>
      </c>
      <c r="E12" s="382"/>
      <c r="F12" s="382"/>
      <c r="G12" s="382"/>
      <c r="H12" s="382"/>
      <c r="I12" s="382"/>
      <c r="J12" s="382"/>
      <c r="K12" s="382"/>
      <c r="L12" s="382"/>
      <c r="M12" s="382"/>
      <c r="N12" s="382"/>
      <c r="O12" s="382"/>
      <c r="P12" s="382"/>
      <c r="Q12" s="382"/>
      <c r="R12" s="382"/>
      <c r="S12" s="382"/>
      <c r="T12" s="382"/>
      <c r="U12" s="382"/>
      <c r="V12" s="382"/>
      <c r="W12" s="382"/>
      <c r="X12" s="382"/>
      <c r="Y12" s="382"/>
      <c r="Z12" s="382"/>
      <c r="AA12" s="382"/>
      <c r="AB12" s="382"/>
      <c r="AC12" s="382"/>
      <c r="AD12" s="382"/>
      <c r="AE12" s="382"/>
      <c r="AF12" s="382"/>
      <c r="AG12" s="382"/>
      <c r="AH12" s="382"/>
      <c r="AI12" s="382"/>
      <c r="AJ12" s="382"/>
      <c r="AK12" s="382"/>
      <c r="AL12" s="382"/>
      <c r="AM12" s="382"/>
      <c r="AN12" s="382"/>
      <c r="AO12" s="382"/>
      <c r="AP12" s="382"/>
      <c r="AQ12" s="382"/>
      <c r="AR12" s="382"/>
      <c r="AS12" s="382"/>
      <c r="AT12" s="382"/>
      <c r="AU12" s="382"/>
      <c r="AV12" s="382"/>
      <c r="AW12" s="382"/>
      <c r="AX12" s="382"/>
      <c r="AY12" s="382"/>
      <c r="AZ12" s="382"/>
      <c r="BA12" s="382"/>
      <c r="BB12" s="382"/>
      <c r="BC12" s="382"/>
      <c r="BD12" s="382"/>
      <c r="BE12" s="382"/>
      <c r="BF12" s="382"/>
      <c r="BG12" s="382"/>
      <c r="BH12" s="382"/>
      <c r="BI12" s="382"/>
      <c r="BJ12" s="382"/>
      <c r="BK12" s="382"/>
      <c r="BL12" s="382"/>
      <c r="BM12" s="382"/>
      <c r="BN12" s="382"/>
      <c r="BO12" s="382"/>
      <c r="BP12" s="382"/>
    </row>
    <row r="13" spans="1:68">
      <c r="A13" s="382" t="s">
        <v>2342</v>
      </c>
      <c r="B13" s="382" t="s">
        <v>2343</v>
      </c>
      <c r="C13" s="382" t="s">
        <v>2334</v>
      </c>
      <c r="D13" s="382" t="s">
        <v>2335</v>
      </c>
      <c r="E13" s="382"/>
      <c r="F13" s="382"/>
      <c r="G13" s="382"/>
      <c r="H13" s="382"/>
      <c r="I13" s="382"/>
      <c r="J13" s="382"/>
      <c r="K13" s="382"/>
      <c r="L13" s="382"/>
      <c r="M13" s="382"/>
      <c r="N13" s="382"/>
      <c r="O13" s="382"/>
      <c r="P13" s="382"/>
      <c r="Q13" s="382"/>
      <c r="R13" s="382"/>
      <c r="S13" s="382"/>
      <c r="T13" s="382"/>
      <c r="U13" s="382"/>
      <c r="V13" s="382"/>
      <c r="W13" s="382"/>
      <c r="X13" s="382"/>
      <c r="Y13" s="382"/>
      <c r="Z13" s="382"/>
      <c r="AA13" s="382"/>
      <c r="AB13" s="382"/>
      <c r="AC13" s="382"/>
      <c r="AD13" s="382"/>
      <c r="AE13" s="382"/>
      <c r="AF13" s="382"/>
      <c r="AG13" s="382"/>
      <c r="AH13" s="382"/>
      <c r="AI13" s="382"/>
      <c r="AJ13" s="382"/>
      <c r="AK13" s="382"/>
      <c r="AL13" s="382"/>
      <c r="AM13" s="382"/>
      <c r="AN13" s="382"/>
      <c r="AO13" s="382"/>
      <c r="AP13" s="382"/>
      <c r="AQ13" s="382"/>
      <c r="AR13" s="382"/>
      <c r="AS13" s="382"/>
      <c r="AT13" s="382"/>
      <c r="AU13" s="382"/>
      <c r="AV13" s="382"/>
      <c r="AW13" s="382"/>
      <c r="AX13" s="382"/>
      <c r="AY13" s="382"/>
      <c r="AZ13" s="382"/>
      <c r="BA13" s="382"/>
      <c r="BB13" s="382"/>
      <c r="BC13" s="382"/>
      <c r="BD13" s="382"/>
      <c r="BE13" s="382"/>
      <c r="BF13" s="382"/>
      <c r="BG13" s="382"/>
      <c r="BH13" s="382"/>
      <c r="BI13" s="382"/>
      <c r="BJ13" s="382"/>
      <c r="BK13" s="382"/>
      <c r="BL13" s="382"/>
      <c r="BM13" s="382"/>
      <c r="BN13" s="382"/>
      <c r="BO13" s="382"/>
      <c r="BP13" s="382"/>
    </row>
    <row r="14" spans="1:68">
      <c r="A14" s="382" t="s">
        <v>1075</v>
      </c>
      <c r="B14" s="382" t="s">
        <v>2344</v>
      </c>
      <c r="C14" s="382" t="s">
        <v>2334</v>
      </c>
      <c r="D14" s="382" t="s">
        <v>2335</v>
      </c>
      <c r="E14" s="382"/>
      <c r="F14" s="382"/>
      <c r="G14" s="382"/>
      <c r="H14" s="382"/>
      <c r="I14" s="382"/>
      <c r="J14" s="382"/>
      <c r="K14" s="382"/>
      <c r="L14" s="382"/>
      <c r="M14" s="382"/>
      <c r="N14" s="382"/>
      <c r="O14" s="382"/>
      <c r="P14" s="382"/>
      <c r="Q14" s="382"/>
      <c r="R14" s="382"/>
      <c r="S14" s="382"/>
      <c r="T14" s="382"/>
      <c r="U14" s="382"/>
      <c r="V14" s="382"/>
      <c r="W14" s="382"/>
      <c r="X14" s="382"/>
      <c r="Y14" s="382"/>
      <c r="Z14" s="382"/>
      <c r="AA14" s="382"/>
      <c r="AB14" s="382"/>
      <c r="AC14" s="382"/>
      <c r="AD14" s="382"/>
      <c r="AE14" s="382"/>
      <c r="AF14" s="382"/>
      <c r="AG14" s="382"/>
      <c r="AH14" s="382"/>
      <c r="AI14" s="382"/>
      <c r="AJ14" s="382"/>
      <c r="AK14" s="382"/>
      <c r="AL14" s="382"/>
      <c r="AM14" s="382"/>
      <c r="AN14" s="382"/>
      <c r="AO14" s="382"/>
      <c r="AP14" s="382"/>
      <c r="AQ14" s="382"/>
      <c r="AR14" s="382"/>
      <c r="AS14" s="382"/>
      <c r="AT14" s="382"/>
      <c r="AU14" s="382"/>
      <c r="AV14" s="382"/>
      <c r="AW14" s="382"/>
      <c r="AX14" s="382"/>
      <c r="AY14" s="382"/>
      <c r="AZ14" s="382">
        <v>86.953123520422096</v>
      </c>
      <c r="BA14" s="382">
        <v>97.605246567666001</v>
      </c>
      <c r="BB14" s="382">
        <v>99.129658167553799</v>
      </c>
      <c r="BC14" s="382">
        <v>100</v>
      </c>
      <c r="BD14" s="382">
        <v>100.877346595685</v>
      </c>
      <c r="BE14" s="382">
        <v>101.545425889605</v>
      </c>
      <c r="BF14" s="382">
        <v>102.663561221631</v>
      </c>
      <c r="BG14" s="382">
        <v>105.072324180443</v>
      </c>
      <c r="BH14" s="382">
        <v>109.348732137854</v>
      </c>
      <c r="BI14" s="382">
        <v>111.117434855702</v>
      </c>
      <c r="BJ14" s="382">
        <v>113.302920986271</v>
      </c>
      <c r="BK14" s="382">
        <v>116.779772707568</v>
      </c>
      <c r="BL14" s="382">
        <v>114.52466053234301</v>
      </c>
      <c r="BM14" s="382">
        <v>112.14323110002501</v>
      </c>
      <c r="BN14" s="382">
        <v>112.12768811054499</v>
      </c>
      <c r="BO14" s="382">
        <v>117.541087977731</v>
      </c>
      <c r="BP14" s="382"/>
    </row>
    <row r="15" spans="1:68">
      <c r="A15" s="382" t="s">
        <v>1045</v>
      </c>
      <c r="B15" s="382" t="s">
        <v>2345</v>
      </c>
      <c r="C15" s="382" t="s">
        <v>2334</v>
      </c>
      <c r="D15" s="382" t="s">
        <v>2335</v>
      </c>
      <c r="E15" s="382"/>
      <c r="F15" s="382"/>
      <c r="G15" s="382"/>
      <c r="H15" s="382"/>
      <c r="I15" s="382"/>
      <c r="J15" s="382"/>
      <c r="K15" s="382"/>
      <c r="L15" s="382"/>
      <c r="M15" s="382"/>
      <c r="N15" s="382"/>
      <c r="O15" s="382"/>
      <c r="P15" s="382"/>
      <c r="Q15" s="382"/>
      <c r="R15" s="382"/>
      <c r="S15" s="382"/>
      <c r="T15" s="382"/>
      <c r="U15" s="382"/>
      <c r="V15" s="382"/>
      <c r="W15" s="382"/>
      <c r="X15" s="382"/>
      <c r="Y15" s="382"/>
      <c r="Z15" s="382"/>
      <c r="AA15" s="382"/>
      <c r="AB15" s="382"/>
      <c r="AC15" s="382"/>
      <c r="AD15" s="382"/>
      <c r="AE15" s="382"/>
      <c r="AF15" s="382"/>
      <c r="AG15" s="382"/>
      <c r="AH15" s="382"/>
      <c r="AI15" s="382"/>
      <c r="AJ15" s="382"/>
      <c r="AK15" s="382"/>
      <c r="AL15" s="382"/>
      <c r="AM15" s="382"/>
      <c r="AN15" s="382"/>
      <c r="AO15" s="382"/>
      <c r="AP15" s="382"/>
      <c r="AQ15" s="382"/>
      <c r="AR15" s="382"/>
      <c r="AS15" s="382"/>
      <c r="AT15" s="382"/>
      <c r="AU15" s="382"/>
      <c r="AV15" s="382"/>
      <c r="AW15" s="382"/>
      <c r="AX15" s="382"/>
      <c r="AY15" s="382"/>
      <c r="AZ15" s="382"/>
      <c r="BA15" s="382"/>
      <c r="BB15" s="382"/>
      <c r="BC15" s="382"/>
      <c r="BD15" s="382"/>
      <c r="BE15" s="382"/>
      <c r="BF15" s="382"/>
      <c r="BG15" s="382"/>
      <c r="BH15" s="382"/>
      <c r="BI15" s="382"/>
      <c r="BJ15" s="382"/>
      <c r="BK15" s="382"/>
      <c r="BL15" s="382"/>
      <c r="BM15" s="382"/>
      <c r="BN15" s="382"/>
      <c r="BO15" s="382"/>
      <c r="BP15" s="382"/>
    </row>
    <row r="16" spans="1:68">
      <c r="A16" s="382" t="s">
        <v>2086</v>
      </c>
      <c r="B16" s="382" t="s">
        <v>2346</v>
      </c>
      <c r="C16" s="382" t="s">
        <v>2334</v>
      </c>
      <c r="D16" s="382" t="s">
        <v>2335</v>
      </c>
      <c r="E16" s="382"/>
      <c r="F16" s="382"/>
      <c r="G16" s="382"/>
      <c r="H16" s="382"/>
      <c r="I16" s="382"/>
      <c r="J16" s="382"/>
      <c r="K16" s="382"/>
      <c r="L16" s="382"/>
      <c r="M16" s="382"/>
      <c r="N16" s="382"/>
      <c r="O16" s="382"/>
      <c r="P16" s="382"/>
      <c r="Q16" s="382"/>
      <c r="R16" s="382"/>
      <c r="S16" s="382"/>
      <c r="T16" s="382"/>
      <c r="U16" s="382"/>
      <c r="V16" s="382"/>
      <c r="W16" s="382"/>
      <c r="X16" s="382"/>
      <c r="Y16" s="382"/>
      <c r="Z16" s="382"/>
      <c r="AA16" s="382"/>
      <c r="AB16" s="382"/>
      <c r="AC16" s="382"/>
      <c r="AD16" s="382"/>
      <c r="AE16" s="382"/>
      <c r="AF16" s="382"/>
      <c r="AG16" s="382"/>
      <c r="AH16" s="382"/>
      <c r="AI16" s="382"/>
      <c r="AJ16" s="382"/>
      <c r="AK16" s="382"/>
      <c r="AL16" s="382">
        <v>0.46203029570684201</v>
      </c>
      <c r="AM16" s="382">
        <v>16.049821028314099</v>
      </c>
      <c r="AN16" s="382">
        <v>44.289693873560999</v>
      </c>
      <c r="AO16" s="382">
        <v>52.563533805484603</v>
      </c>
      <c r="AP16" s="382">
        <v>59.9018047741462</v>
      </c>
      <c r="AQ16" s="382">
        <v>65.096780600924305</v>
      </c>
      <c r="AR16" s="382">
        <v>65.518767721372498</v>
      </c>
      <c r="AS16" s="382">
        <v>65.000590421858107</v>
      </c>
      <c r="AT16" s="382">
        <v>67.045447016419402</v>
      </c>
      <c r="AU16" s="382">
        <v>67.756161803785005</v>
      </c>
      <c r="AV16" s="382">
        <v>70.955305142140205</v>
      </c>
      <c r="AW16" s="382">
        <v>75.894689380988794</v>
      </c>
      <c r="AX16" s="382">
        <v>76.379601803786102</v>
      </c>
      <c r="AY16" s="382">
        <v>78.588772276393399</v>
      </c>
      <c r="AZ16" s="382">
        <v>82.052463094699505</v>
      </c>
      <c r="BA16" s="382">
        <v>89.396120267100699</v>
      </c>
      <c r="BB16" s="382">
        <v>92.441637636840497</v>
      </c>
      <c r="BC16" s="382">
        <v>100</v>
      </c>
      <c r="BD16" s="382">
        <v>107.650008078593</v>
      </c>
      <c r="BE16" s="382">
        <v>110.403716898759</v>
      </c>
      <c r="BF16" s="382">
        <v>116.79572532998201</v>
      </c>
      <c r="BG16" s="382">
        <v>120.27776643801801</v>
      </c>
      <c r="BH16" s="382">
        <v>124.766161254862</v>
      </c>
      <c r="BI16" s="382">
        <v>123.014933984404</v>
      </c>
      <c r="BJ16" s="382">
        <v>124.207629297981</v>
      </c>
      <c r="BK16" s="382">
        <v>127.33795197859</v>
      </c>
      <c r="BL16" s="382">
        <v>129.17600732674799</v>
      </c>
      <c r="BM16" s="382">
        <v>130.740891696593</v>
      </c>
      <c r="BN16" s="382">
        <v>140.13441073487601</v>
      </c>
      <c r="BO16" s="382">
        <v>152.24330057260599</v>
      </c>
      <c r="BP16" s="382">
        <v>155.25835548258499</v>
      </c>
    </row>
    <row r="17" spans="1:68">
      <c r="A17" s="382" t="s">
        <v>2112</v>
      </c>
      <c r="B17" s="382" t="s">
        <v>2347</v>
      </c>
      <c r="C17" s="382" t="s">
        <v>2334</v>
      </c>
      <c r="D17" s="382" t="s">
        <v>2335</v>
      </c>
      <c r="E17" s="382"/>
      <c r="F17" s="382"/>
      <c r="G17" s="382"/>
      <c r="H17" s="382"/>
      <c r="I17" s="382"/>
      <c r="J17" s="382"/>
      <c r="K17" s="382"/>
      <c r="L17" s="382"/>
      <c r="M17" s="382"/>
      <c r="N17" s="382"/>
      <c r="O17" s="382"/>
      <c r="P17" s="382"/>
      <c r="Q17" s="382"/>
      <c r="R17" s="382"/>
      <c r="S17" s="382"/>
      <c r="T17" s="382"/>
      <c r="U17" s="382"/>
      <c r="V17" s="382"/>
      <c r="W17" s="382"/>
      <c r="X17" s="382"/>
      <c r="Y17" s="382"/>
      <c r="Z17" s="382"/>
      <c r="AA17" s="382"/>
      <c r="AB17" s="382"/>
      <c r="AC17" s="382"/>
      <c r="AD17" s="382"/>
      <c r="AE17" s="382"/>
      <c r="AF17" s="382"/>
      <c r="AG17" s="382"/>
      <c r="AH17" s="382"/>
      <c r="AI17" s="382"/>
      <c r="AJ17" s="382"/>
      <c r="AK17" s="382"/>
      <c r="AL17" s="382"/>
      <c r="AM17" s="382"/>
      <c r="AN17" s="382"/>
      <c r="AO17" s="382"/>
      <c r="AP17" s="382"/>
      <c r="AQ17" s="382"/>
      <c r="AR17" s="382"/>
      <c r="AS17" s="382"/>
      <c r="AT17" s="382"/>
      <c r="AU17" s="382"/>
      <c r="AV17" s="382"/>
      <c r="AW17" s="382"/>
      <c r="AX17" s="382"/>
      <c r="AY17" s="382"/>
      <c r="AZ17" s="382"/>
      <c r="BA17" s="382"/>
      <c r="BB17" s="382"/>
      <c r="BC17" s="382"/>
      <c r="BD17" s="382"/>
      <c r="BE17" s="382"/>
      <c r="BF17" s="382"/>
      <c r="BG17" s="382"/>
      <c r="BH17" s="382"/>
      <c r="BI17" s="382"/>
      <c r="BJ17" s="382"/>
      <c r="BK17" s="382"/>
      <c r="BL17" s="382"/>
      <c r="BM17" s="382"/>
      <c r="BN17" s="382"/>
      <c r="BO17" s="382"/>
      <c r="BP17" s="382"/>
    </row>
    <row r="18" spans="1:68">
      <c r="A18" s="382" t="s">
        <v>2188</v>
      </c>
      <c r="B18" s="382" t="s">
        <v>2348</v>
      </c>
      <c r="C18" s="382" t="s">
        <v>2334</v>
      </c>
      <c r="D18" s="382" t="s">
        <v>2335</v>
      </c>
      <c r="E18" s="382"/>
      <c r="F18" s="382"/>
      <c r="G18" s="382"/>
      <c r="H18" s="382"/>
      <c r="I18" s="382"/>
      <c r="J18" s="382"/>
      <c r="K18" s="382"/>
      <c r="L18" s="382"/>
      <c r="M18" s="382"/>
      <c r="N18" s="382"/>
      <c r="O18" s="382"/>
      <c r="P18" s="382"/>
      <c r="Q18" s="382"/>
      <c r="R18" s="382"/>
      <c r="S18" s="382"/>
      <c r="T18" s="382"/>
      <c r="U18" s="382"/>
      <c r="V18" s="382"/>
      <c r="W18" s="382"/>
      <c r="X18" s="382"/>
      <c r="Y18" s="382"/>
      <c r="Z18" s="382"/>
      <c r="AA18" s="382"/>
      <c r="AB18" s="382"/>
      <c r="AC18" s="382"/>
      <c r="AD18" s="382"/>
      <c r="AE18" s="382"/>
      <c r="AF18" s="382"/>
      <c r="AG18" s="382"/>
      <c r="AH18" s="382"/>
      <c r="AI18" s="382"/>
      <c r="AJ18" s="382"/>
      <c r="AK18" s="382"/>
      <c r="AL18" s="382"/>
      <c r="AM18" s="382"/>
      <c r="AN18" s="382"/>
      <c r="AO18" s="382"/>
      <c r="AP18" s="382"/>
      <c r="AQ18" s="382">
        <v>79.569380733944797</v>
      </c>
      <c r="AR18" s="382">
        <v>80.461582568807103</v>
      </c>
      <c r="AS18" s="382">
        <v>81.0825688073393</v>
      </c>
      <c r="AT18" s="382">
        <v>82.2199923547401</v>
      </c>
      <c r="AU18" s="382">
        <v>84.199568588903503</v>
      </c>
      <c r="AV18" s="382">
        <v>85.878112712975096</v>
      </c>
      <c r="AW18" s="382">
        <v>87.621505024027996</v>
      </c>
      <c r="AX18" s="382">
        <v>89.460463084316302</v>
      </c>
      <c r="AY18" s="382">
        <v>91.059824159021503</v>
      </c>
      <c r="AZ18" s="382">
        <v>92.3492791612058</v>
      </c>
      <c r="BA18" s="382">
        <v>97.275010921800003</v>
      </c>
      <c r="BB18" s="382">
        <v>96.739842726081307</v>
      </c>
      <c r="BC18" s="382">
        <v>100</v>
      </c>
      <c r="BD18" s="382">
        <v>103.45674967234601</v>
      </c>
      <c r="BE18" s="382">
        <v>106.950360419397</v>
      </c>
      <c r="BF18" s="382">
        <v>108.083497160332</v>
      </c>
      <c r="BG18" s="382">
        <v>109.26100371341199</v>
      </c>
      <c r="BH18" s="382">
        <v>110.31973569244199</v>
      </c>
      <c r="BI18" s="382">
        <v>109.77978920926201</v>
      </c>
      <c r="BJ18" s="382">
        <v>112.450169287899</v>
      </c>
      <c r="BK18" s="382">
        <v>113.80762042788299</v>
      </c>
      <c r="BL18" s="382">
        <v>115.436612610656</v>
      </c>
      <c r="BM18" s="382">
        <v>116.159233923762</v>
      </c>
      <c r="BN18" s="382">
        <v>118.555594720979</v>
      </c>
      <c r="BO18" s="382">
        <v>127.484109443389</v>
      </c>
      <c r="BP18" s="382">
        <v>133.94390603024601</v>
      </c>
    </row>
    <row r="19" spans="1:68">
      <c r="A19" s="382" t="s">
        <v>1092</v>
      </c>
      <c r="B19" s="382" t="s">
        <v>2349</v>
      </c>
      <c r="C19" s="382" t="s">
        <v>2334</v>
      </c>
      <c r="D19" s="382" t="s">
        <v>2335</v>
      </c>
      <c r="E19" s="382">
        <v>7.9604578563995796</v>
      </c>
      <c r="F19" s="382">
        <v>8.1425598335067608</v>
      </c>
      <c r="G19" s="382">
        <v>8.1165452653485897</v>
      </c>
      <c r="H19" s="382">
        <v>8.1685744016649302</v>
      </c>
      <c r="I19" s="382">
        <v>8.4027055150884493</v>
      </c>
      <c r="J19" s="382">
        <v>8.6888657648283001</v>
      </c>
      <c r="K19" s="382">
        <v>8.9750260145681597</v>
      </c>
      <c r="L19" s="382">
        <v>9.2872008324661799</v>
      </c>
      <c r="M19" s="382">
        <v>9.5213319458897008</v>
      </c>
      <c r="N19" s="382">
        <v>9.8335067637877192</v>
      </c>
      <c r="O19" s="382">
        <v>10.1716961498439</v>
      </c>
      <c r="P19" s="382">
        <v>10.796045785640001</v>
      </c>
      <c r="Q19" s="382">
        <v>11.4464099895942</v>
      </c>
      <c r="R19" s="382">
        <v>12.4869927159209</v>
      </c>
      <c r="S19" s="382">
        <v>14.412070759625401</v>
      </c>
      <c r="T19" s="382">
        <v>16.5972944849116</v>
      </c>
      <c r="U19" s="382">
        <v>18.8085327783559</v>
      </c>
      <c r="V19" s="382">
        <v>21.123829344432899</v>
      </c>
      <c r="W19" s="382">
        <v>22.8147762747138</v>
      </c>
      <c r="X19" s="382">
        <v>24.895941727367301</v>
      </c>
      <c r="Y19" s="382">
        <v>27.419354838709701</v>
      </c>
      <c r="Z19" s="382">
        <v>30.020811654526501</v>
      </c>
      <c r="AA19" s="382">
        <v>33.428720083246603</v>
      </c>
      <c r="AB19" s="382">
        <v>36.784599375650401</v>
      </c>
      <c r="AC19" s="382">
        <v>38.241415192507802</v>
      </c>
      <c r="AD19" s="382">
        <v>40.816857440166501</v>
      </c>
      <c r="AE19" s="382">
        <v>44.510926118626401</v>
      </c>
      <c r="AF19" s="382">
        <v>48.309053069718999</v>
      </c>
      <c r="AG19" s="382">
        <v>51.7950052029136</v>
      </c>
      <c r="AH19" s="382">
        <v>55.697190426638898</v>
      </c>
      <c r="AI19" s="382">
        <v>59.781477627471403</v>
      </c>
      <c r="AJ19" s="382">
        <v>61.680541103017703</v>
      </c>
      <c r="AK19" s="382">
        <v>62.304890738813697</v>
      </c>
      <c r="AL19" s="382">
        <v>63.3975026014568</v>
      </c>
      <c r="AM19" s="382">
        <v>64.646201873048895</v>
      </c>
      <c r="AN19" s="382">
        <v>67.637877211238305</v>
      </c>
      <c r="AO19" s="382">
        <v>69.406867845993801</v>
      </c>
      <c r="AP19" s="382">
        <v>69.562955254942807</v>
      </c>
      <c r="AQ19" s="382">
        <v>70.161290322580697</v>
      </c>
      <c r="AR19" s="382">
        <v>71.201873048907402</v>
      </c>
      <c r="AS19" s="382">
        <v>74.375650364204006</v>
      </c>
      <c r="AT19" s="382">
        <v>77.653485952133195</v>
      </c>
      <c r="AU19" s="382">
        <v>79.968782518210205</v>
      </c>
      <c r="AV19" s="382">
        <v>82.154006243496397</v>
      </c>
      <c r="AW19" s="382">
        <v>84.0790842872008</v>
      </c>
      <c r="AX19" s="382">
        <v>86.342351716961502</v>
      </c>
      <c r="AY19" s="382">
        <v>89.412070759625394</v>
      </c>
      <c r="AZ19" s="382">
        <v>91.493236212278902</v>
      </c>
      <c r="BA19" s="382">
        <v>95.473465140478694</v>
      </c>
      <c r="BB19" s="382">
        <v>97.164412070759596</v>
      </c>
      <c r="BC19" s="382">
        <v>100</v>
      </c>
      <c r="BD19" s="382">
        <v>103.30385015608699</v>
      </c>
      <c r="BE19" s="382">
        <v>105.124869927159</v>
      </c>
      <c r="BF19" s="382">
        <v>107.700312174818</v>
      </c>
      <c r="BG19" s="382">
        <v>110.379812695109</v>
      </c>
      <c r="BH19" s="382">
        <v>112.04474505723201</v>
      </c>
      <c r="BI19" s="382">
        <v>113.475546305931</v>
      </c>
      <c r="BJ19" s="382">
        <v>115.686784599376</v>
      </c>
      <c r="BK19" s="382">
        <v>117.89802289281999</v>
      </c>
      <c r="BL19" s="382">
        <v>119.797086368366</v>
      </c>
      <c r="BM19" s="382">
        <v>120.81165452653499</v>
      </c>
      <c r="BN19" s="382">
        <v>124.27159209157099</v>
      </c>
      <c r="BO19" s="382">
        <v>132.466181061394</v>
      </c>
      <c r="BP19" s="382">
        <v>139.88033298647201</v>
      </c>
    </row>
    <row r="20" spans="1:68">
      <c r="A20" s="382" t="s">
        <v>2285</v>
      </c>
      <c r="B20" s="382" t="s">
        <v>2350</v>
      </c>
      <c r="C20" s="382" t="s">
        <v>2334</v>
      </c>
      <c r="D20" s="382" t="s">
        <v>2335</v>
      </c>
      <c r="E20" s="382">
        <v>17.824166743342701</v>
      </c>
      <c r="F20" s="382">
        <v>18.4555414837351</v>
      </c>
      <c r="G20" s="382">
        <v>19.264226149199398</v>
      </c>
      <c r="H20" s="382">
        <v>19.786049148970701</v>
      </c>
      <c r="I20" s="382">
        <v>20.551485034207499</v>
      </c>
      <c r="J20" s="382">
        <v>21.564861575427202</v>
      </c>
      <c r="K20" s="382">
        <v>22.007980791840399</v>
      </c>
      <c r="L20" s="382">
        <v>22.882726046590601</v>
      </c>
      <c r="M20" s="382">
        <v>23.515402409597701</v>
      </c>
      <c r="N20" s="382">
        <v>24.239771851987101</v>
      </c>
      <c r="O20" s="382">
        <v>25.299734513870099</v>
      </c>
      <c r="P20" s="382">
        <v>26.489899333703899</v>
      </c>
      <c r="Q20" s="382">
        <v>28.173371145221001</v>
      </c>
      <c r="R20" s="382">
        <v>30.2951297121793</v>
      </c>
      <c r="S20" s="382">
        <v>33.179767797507402</v>
      </c>
      <c r="T20" s="382">
        <v>35.981885003886198</v>
      </c>
      <c r="U20" s="382">
        <v>38.615285986685997</v>
      </c>
      <c r="V20" s="382">
        <v>40.737047545880301</v>
      </c>
      <c r="W20" s="382">
        <v>42.193119403428</v>
      </c>
      <c r="X20" s="382">
        <v>43.757387518735698</v>
      </c>
      <c r="Y20" s="382">
        <v>46.5264973709467</v>
      </c>
      <c r="Z20" s="382">
        <v>49.691714423998299</v>
      </c>
      <c r="AA20" s="382">
        <v>52.392971337621702</v>
      </c>
      <c r="AB20" s="382">
        <v>54.1424588548863</v>
      </c>
      <c r="AC20" s="382">
        <v>57.208646863550797</v>
      </c>
      <c r="AD20" s="382">
        <v>59.033326276643699</v>
      </c>
      <c r="AE20" s="382">
        <v>60.040106932536801</v>
      </c>
      <c r="AF20" s="382">
        <v>60.881840843471402</v>
      </c>
      <c r="AG20" s="382">
        <v>62.0481645250985</v>
      </c>
      <c r="AH20" s="382">
        <v>63.641777497837502</v>
      </c>
      <c r="AI20" s="382">
        <v>65.717691021222706</v>
      </c>
      <c r="AJ20" s="382">
        <v>67.910971007977096</v>
      </c>
      <c r="AK20" s="382">
        <v>70.641567791971795</v>
      </c>
      <c r="AL20" s="382">
        <v>73.207117831008006</v>
      </c>
      <c r="AM20" s="382">
        <v>75.369223706786798</v>
      </c>
      <c r="AN20" s="382">
        <v>77.060031483308705</v>
      </c>
      <c r="AO20" s="382">
        <v>78.494096443253895</v>
      </c>
      <c r="AP20" s="382">
        <v>79.5192125233052</v>
      </c>
      <c r="AQ20" s="382">
        <v>80.252751173891596</v>
      </c>
      <c r="AR20" s="382">
        <v>80.709384325022697</v>
      </c>
      <c r="AS20" s="382">
        <v>82.601908697407396</v>
      </c>
      <c r="AT20" s="382">
        <v>84.790859916232407</v>
      </c>
      <c r="AU20" s="382">
        <v>86.325877928245703</v>
      </c>
      <c r="AV20" s="382">
        <v>87.496071568298206</v>
      </c>
      <c r="AW20" s="382">
        <v>89.2995460030087</v>
      </c>
      <c r="AX20" s="382">
        <v>91.352665670750795</v>
      </c>
      <c r="AY20" s="382">
        <v>92.669558662660094</v>
      </c>
      <c r="AZ20" s="382">
        <v>94.679149277412407</v>
      </c>
      <c r="BA20" s="382">
        <v>97.723983693311794</v>
      </c>
      <c r="BB20" s="382">
        <v>98.218768849527706</v>
      </c>
      <c r="BC20" s="382">
        <v>100</v>
      </c>
      <c r="BD20" s="382">
        <v>103.286579148754</v>
      </c>
      <c r="BE20" s="382">
        <v>105.85394846721501</v>
      </c>
      <c r="BF20" s="382">
        <v>107.97119274761801</v>
      </c>
      <c r="BG20" s="382">
        <v>109.70500693325999</v>
      </c>
      <c r="BH20" s="382">
        <v>110.68858180236801</v>
      </c>
      <c r="BI20" s="382">
        <v>111.675472068849</v>
      </c>
      <c r="BJ20" s="382">
        <v>113.999739176771</v>
      </c>
      <c r="BK20" s="382">
        <v>116.27788695282899</v>
      </c>
      <c r="BL20" s="382">
        <v>118.05798005624899</v>
      </c>
      <c r="BM20" s="382">
        <v>119.689435836364</v>
      </c>
      <c r="BN20" s="382">
        <v>123.00084356117</v>
      </c>
      <c r="BO20" s="382">
        <v>133.51356567546401</v>
      </c>
      <c r="BP20" s="382">
        <v>143.94649483253301</v>
      </c>
    </row>
    <row r="21" spans="1:68">
      <c r="A21" s="382" t="s">
        <v>1060</v>
      </c>
      <c r="B21" s="382" t="s">
        <v>2351</v>
      </c>
      <c r="C21" s="382" t="s">
        <v>2334</v>
      </c>
      <c r="D21" s="382" t="s">
        <v>2335</v>
      </c>
      <c r="E21" s="382"/>
      <c r="F21" s="382"/>
      <c r="G21" s="382"/>
      <c r="H21" s="382"/>
      <c r="I21" s="382"/>
      <c r="J21" s="382"/>
      <c r="K21" s="382"/>
      <c r="L21" s="382"/>
      <c r="M21" s="382"/>
      <c r="N21" s="382"/>
      <c r="O21" s="382"/>
      <c r="P21" s="382"/>
      <c r="Q21" s="382"/>
      <c r="R21" s="382"/>
      <c r="S21" s="382"/>
      <c r="T21" s="382"/>
      <c r="U21" s="382"/>
      <c r="V21" s="382"/>
      <c r="W21" s="382"/>
      <c r="X21" s="382"/>
      <c r="Y21" s="382"/>
      <c r="Z21" s="382"/>
      <c r="AA21" s="382"/>
      <c r="AB21" s="382"/>
      <c r="AC21" s="382"/>
      <c r="AD21" s="382"/>
      <c r="AE21" s="382"/>
      <c r="AF21" s="382"/>
      <c r="AG21" s="382"/>
      <c r="AH21" s="382"/>
      <c r="AI21" s="382"/>
      <c r="AJ21" s="382">
        <v>4.3021778631455898E-2</v>
      </c>
      <c r="AK21" s="382">
        <v>3.8448521763995901E-2</v>
      </c>
      <c r="AL21" s="382">
        <v>0.47214785660257103</v>
      </c>
      <c r="AM21" s="382">
        <v>8.3202648307742297</v>
      </c>
      <c r="AN21" s="382">
        <v>42.579757492890202</v>
      </c>
      <c r="AO21" s="382">
        <v>51.008336523961702</v>
      </c>
      <c r="AP21" s="382">
        <v>52.882560366263299</v>
      </c>
      <c r="AQ21" s="382">
        <v>52.473937940233</v>
      </c>
      <c r="AR21" s="382">
        <v>48.000445522320703</v>
      </c>
      <c r="AS21" s="382">
        <v>48.866855021793</v>
      </c>
      <c r="AT21" s="382">
        <v>49.622920999893303</v>
      </c>
      <c r="AU21" s="382">
        <v>50.998053879667196</v>
      </c>
      <c r="AV21" s="382">
        <v>52.137281520099599</v>
      </c>
      <c r="AW21" s="382">
        <v>55.635135464321998</v>
      </c>
      <c r="AX21" s="382">
        <v>61.020342473621497</v>
      </c>
      <c r="AY21" s="382">
        <v>66.102680928423297</v>
      </c>
      <c r="AZ21" s="382">
        <v>77.141666666666694</v>
      </c>
      <c r="BA21" s="382">
        <v>93.224999999999994</v>
      </c>
      <c r="BB21" s="382">
        <v>94.5833333333333</v>
      </c>
      <c r="BC21" s="382">
        <v>100</v>
      </c>
      <c r="BD21" s="382">
        <v>107.85833333333299</v>
      </c>
      <c r="BE21" s="382">
        <v>109.008333333333</v>
      </c>
      <c r="BF21" s="382">
        <v>111.64166666666701</v>
      </c>
      <c r="BG21" s="382">
        <v>113.175</v>
      </c>
      <c r="BH21" s="382">
        <v>117.73333333333299</v>
      </c>
      <c r="BI21" s="382">
        <v>132.38333333333301</v>
      </c>
      <c r="BJ21" s="382">
        <v>149.50833333333301</v>
      </c>
      <c r="BK21" s="382">
        <v>152.9</v>
      </c>
      <c r="BL21" s="382">
        <v>156.89156432499999</v>
      </c>
      <c r="BM21" s="382">
        <v>161.22147257500001</v>
      </c>
      <c r="BN21" s="382">
        <v>171.94318275833299</v>
      </c>
      <c r="BO21" s="382">
        <v>195.761197791667</v>
      </c>
      <c r="BP21" s="382">
        <v>212.95966176666701</v>
      </c>
    </row>
    <row r="22" spans="1:68">
      <c r="A22" s="382" t="s">
        <v>2009</v>
      </c>
      <c r="B22" s="382" t="s">
        <v>2352</v>
      </c>
      <c r="C22" s="382" t="s">
        <v>2334</v>
      </c>
      <c r="D22" s="382" t="s">
        <v>2335</v>
      </c>
      <c r="E22" s="382"/>
      <c r="F22" s="382"/>
      <c r="G22" s="382"/>
      <c r="H22" s="382"/>
      <c r="I22" s="382"/>
      <c r="J22" s="382">
        <v>1.46845115458481</v>
      </c>
      <c r="K22" s="382">
        <v>1.53360427747613</v>
      </c>
      <c r="L22" s="382">
        <v>1.5168983485274901</v>
      </c>
      <c r="M22" s="382">
        <v>1.6087809577408001</v>
      </c>
      <c r="N22" s="382">
        <v>1.6735164324251</v>
      </c>
      <c r="O22" s="382">
        <v>1.6701752466353701</v>
      </c>
      <c r="P22" s="382">
        <v>1.73449307308343</v>
      </c>
      <c r="Q22" s="382">
        <v>1.8008991406542501</v>
      </c>
      <c r="R22" s="382">
        <v>1.9090700306008199</v>
      </c>
      <c r="S22" s="382">
        <v>2.2092198873667801</v>
      </c>
      <c r="T22" s="382">
        <v>2.55628556128437</v>
      </c>
      <c r="U22" s="382">
        <v>2.7315585991634799</v>
      </c>
      <c r="V22" s="382">
        <v>2.9182473551714199</v>
      </c>
      <c r="W22" s="382">
        <v>3.6155806727022499</v>
      </c>
      <c r="X22" s="382">
        <v>4.9367412203843797</v>
      </c>
      <c r="Y22" s="382">
        <v>5.0600866624551202</v>
      </c>
      <c r="Z22" s="382">
        <v>5.6757673610667503</v>
      </c>
      <c r="AA22" s="382">
        <v>6.0088268588261702</v>
      </c>
      <c r="AB22" s="382">
        <v>6.4986202378841504</v>
      </c>
      <c r="AC22" s="382">
        <v>7.4290192353798199</v>
      </c>
      <c r="AD22" s="382">
        <v>7.7116404362319999</v>
      </c>
      <c r="AE22" s="382">
        <v>7.8408625192174899</v>
      </c>
      <c r="AF22" s="382">
        <v>8.3986017032001001</v>
      </c>
      <c r="AG22" s="382">
        <v>8.7754299710029997</v>
      </c>
      <c r="AH22" s="382">
        <v>9.7987854991624594</v>
      </c>
      <c r="AI22" s="382">
        <v>10.4849130752725</v>
      </c>
      <c r="AJ22" s="382">
        <v>11.428234281066899</v>
      </c>
      <c r="AK22" s="382">
        <v>11.636609086125</v>
      </c>
      <c r="AL22" s="382">
        <v>12.762956809809801</v>
      </c>
      <c r="AM22" s="382">
        <v>14.658615171181699</v>
      </c>
      <c r="AN22" s="382">
        <v>17.482341391462001</v>
      </c>
      <c r="AO22" s="382">
        <v>22.104109805296702</v>
      </c>
      <c r="AP22" s="382">
        <v>28.9810497839288</v>
      </c>
      <c r="AQ22" s="382">
        <v>32.603800051026901</v>
      </c>
      <c r="AR22" s="382">
        <v>33.707577012006702</v>
      </c>
      <c r="AS22" s="382">
        <v>41.943020388256997</v>
      </c>
      <c r="AT22" s="382">
        <v>45.842122296226997</v>
      </c>
      <c r="AU22" s="382">
        <v>45.216065576026899</v>
      </c>
      <c r="AV22" s="382">
        <v>50.030430136297099</v>
      </c>
      <c r="AW22" s="382">
        <v>54.121132922310302</v>
      </c>
      <c r="AX22" s="382">
        <v>61.293303298033699</v>
      </c>
      <c r="AY22" s="382">
        <v>62.976061906751703</v>
      </c>
      <c r="AZ22" s="382">
        <v>68.273647819667801</v>
      </c>
      <c r="BA22" s="382">
        <v>84.937163613089595</v>
      </c>
      <c r="BB22" s="382">
        <v>93.902651159239895</v>
      </c>
      <c r="BC22" s="382">
        <v>100</v>
      </c>
      <c r="BD22" s="382">
        <v>109.59216605979699</v>
      </c>
      <c r="BE22" s="382">
        <v>129.495248990341</v>
      </c>
      <c r="BF22" s="382">
        <v>139.77452756421201</v>
      </c>
      <c r="BG22" s="382">
        <v>145.93208798757601</v>
      </c>
      <c r="BH22" s="382">
        <v>154.02356829014599</v>
      </c>
      <c r="BI22" s="382">
        <v>162.58372014813401</v>
      </c>
      <c r="BJ22" s="382">
        <v>188.682529221908</v>
      </c>
      <c r="BK22" s="382">
        <v>183.37168570085899</v>
      </c>
      <c r="BL22" s="382">
        <v>182.11233999434401</v>
      </c>
      <c r="BM22" s="382">
        <v>195.44497823506001</v>
      </c>
      <c r="BN22" s="382">
        <v>211.87122658091201</v>
      </c>
      <c r="BO22" s="382">
        <v>251.70487881960301</v>
      </c>
      <c r="BP22" s="382">
        <v>319.51790740739398</v>
      </c>
    </row>
    <row r="23" spans="1:68">
      <c r="A23" s="382" t="s">
        <v>1469</v>
      </c>
      <c r="B23" s="382" t="s">
        <v>2353</v>
      </c>
      <c r="C23" s="382" t="s">
        <v>2334</v>
      </c>
      <c r="D23" s="382" t="s">
        <v>2335</v>
      </c>
      <c r="E23" s="382">
        <v>15.5960812459628</v>
      </c>
      <c r="F23" s="382">
        <v>15.7508998421015</v>
      </c>
      <c r="G23" s="382">
        <v>15.972138089428</v>
      </c>
      <c r="H23" s="382">
        <v>16.3152201607694</v>
      </c>
      <c r="I23" s="382">
        <v>16.9953626282926</v>
      </c>
      <c r="J23" s="382">
        <v>17.686258343500999</v>
      </c>
      <c r="K23" s="382">
        <v>18.424544247469999</v>
      </c>
      <c r="L23" s="382">
        <v>18.927590073925199</v>
      </c>
      <c r="M23" s="382">
        <v>19.438909423670399</v>
      </c>
      <c r="N23" s="382">
        <v>20.168644584798699</v>
      </c>
      <c r="O23" s="382">
        <v>20.9569304887677</v>
      </c>
      <c r="P23" s="382">
        <v>21.867221703868498</v>
      </c>
      <c r="Q23" s="382">
        <v>23.058642252207001</v>
      </c>
      <c r="R23" s="382">
        <v>24.6624354051532</v>
      </c>
      <c r="S23" s="382">
        <v>27.789111282566601</v>
      </c>
      <c r="T23" s="382">
        <v>31.337280198090799</v>
      </c>
      <c r="U23" s="382">
        <v>34.179135864494398</v>
      </c>
      <c r="V23" s="382">
        <v>36.604487547548999</v>
      </c>
      <c r="W23" s="382">
        <v>38.240925321179901</v>
      </c>
      <c r="X23" s="382">
        <v>39.949944376659701</v>
      </c>
      <c r="Y23" s="382">
        <v>42.606091652910301</v>
      </c>
      <c r="Z23" s="382">
        <v>45.855865570946698</v>
      </c>
      <c r="AA23" s="382">
        <v>49.857500179430097</v>
      </c>
      <c r="AB23" s="382">
        <v>53.677387317878399</v>
      </c>
      <c r="AC23" s="382">
        <v>57.081486399196102</v>
      </c>
      <c r="AD23" s="382">
        <v>59.860632132347703</v>
      </c>
      <c r="AE23" s="382">
        <v>60.635449113615103</v>
      </c>
      <c r="AF23" s="382">
        <v>61.577349637551102</v>
      </c>
      <c r="AG23" s="382">
        <v>62.292222601019198</v>
      </c>
      <c r="AH23" s="382">
        <v>64.227673508935595</v>
      </c>
      <c r="AI23" s="382">
        <v>66.442444197229605</v>
      </c>
      <c r="AJ23" s="382">
        <v>68.578775209933298</v>
      </c>
      <c r="AK23" s="382">
        <v>70.243837472188304</v>
      </c>
      <c r="AL23" s="382">
        <v>72.178652300294303</v>
      </c>
      <c r="AM23" s="382">
        <v>73.894729239933895</v>
      </c>
      <c r="AN23" s="382">
        <v>74.979479473193095</v>
      </c>
      <c r="AO23" s="382">
        <v>76.536819062657003</v>
      </c>
      <c r="AP23" s="382">
        <v>77.782961314863996</v>
      </c>
      <c r="AQ23" s="382">
        <v>78.521316299432996</v>
      </c>
      <c r="AR23" s="382">
        <v>79.401421086628801</v>
      </c>
      <c r="AS23" s="382">
        <v>81.421804349386306</v>
      </c>
      <c r="AT23" s="382">
        <v>83.432318954998905</v>
      </c>
      <c r="AU23" s="382">
        <v>84.804959448790598</v>
      </c>
      <c r="AV23" s="382">
        <v>86.152479724395306</v>
      </c>
      <c r="AW23" s="382">
        <v>87.959341132562997</v>
      </c>
      <c r="AX23" s="382">
        <v>90.405870953850496</v>
      </c>
      <c r="AY23" s="382">
        <v>92.025227876265006</v>
      </c>
      <c r="AZ23" s="382">
        <v>93.702899590899307</v>
      </c>
      <c r="BA23" s="382">
        <v>97.909638986578599</v>
      </c>
      <c r="BB23" s="382">
        <v>97.857604248905503</v>
      </c>
      <c r="BC23" s="382">
        <v>100</v>
      </c>
      <c r="BD23" s="382">
        <v>103.532082107227</v>
      </c>
      <c r="BE23" s="382">
        <v>106.47204478576</v>
      </c>
      <c r="BF23" s="382">
        <v>107.657180793799</v>
      </c>
      <c r="BG23" s="382">
        <v>108.02321825881</v>
      </c>
      <c r="BH23" s="382">
        <v>108.62969209789701</v>
      </c>
      <c r="BI23" s="382">
        <v>110.773882150291</v>
      </c>
      <c r="BJ23" s="382">
        <v>113.128902605325</v>
      </c>
      <c r="BK23" s="382">
        <v>115.451625636977</v>
      </c>
      <c r="BL23" s="382">
        <v>117.11045718797099</v>
      </c>
      <c r="BM23" s="382">
        <v>117.978001866073</v>
      </c>
      <c r="BN23" s="382">
        <v>120.856958300438</v>
      </c>
      <c r="BO23" s="382">
        <v>132.45621904830301</v>
      </c>
      <c r="BP23" s="382">
        <v>137.81938563123501</v>
      </c>
    </row>
    <row r="24" spans="1:68">
      <c r="A24" s="382" t="s">
        <v>2038</v>
      </c>
      <c r="B24" s="382" t="s">
        <v>2354</v>
      </c>
      <c r="C24" s="382" t="s">
        <v>2334</v>
      </c>
      <c r="D24" s="382" t="s">
        <v>2335</v>
      </c>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v>38.903511086678698</v>
      </c>
      <c r="AL24" s="382">
        <v>39.0749196511075</v>
      </c>
      <c r="AM24" s="382">
        <v>54.130824646681397</v>
      </c>
      <c r="AN24" s="382">
        <v>61.959521262057201</v>
      </c>
      <c r="AO24" s="382">
        <v>65.004360670187097</v>
      </c>
      <c r="AP24" s="382">
        <v>67.257604162590297</v>
      </c>
      <c r="AQ24" s="382">
        <v>71.127145711840399</v>
      </c>
      <c r="AR24" s="382">
        <v>71.359534380300701</v>
      </c>
      <c r="AS24" s="382">
        <v>74.331947581540604</v>
      </c>
      <c r="AT24" s="382">
        <v>77.293552007502598</v>
      </c>
      <c r="AU24" s="382">
        <v>79.217514006850294</v>
      </c>
      <c r="AV24" s="382">
        <v>80.395670512068804</v>
      </c>
      <c r="AW24" s="382">
        <v>81.098240905089</v>
      </c>
      <c r="AX24" s="382">
        <v>85.448772954175894</v>
      </c>
      <c r="AY24" s="382">
        <v>88.680596762068902</v>
      </c>
      <c r="AZ24" s="382">
        <v>89.831731329094396</v>
      </c>
      <c r="BA24" s="382">
        <v>96.970927399707605</v>
      </c>
      <c r="BB24" s="382">
        <v>97.839857073249902</v>
      </c>
      <c r="BC24" s="382">
        <v>100</v>
      </c>
      <c r="BD24" s="382">
        <v>102.70423907747301</v>
      </c>
      <c r="BE24" s="382">
        <v>109.63131395160001</v>
      </c>
      <c r="BF24" s="382">
        <v>110.101510475881</v>
      </c>
      <c r="BG24" s="382">
        <v>109.49732012343701</v>
      </c>
      <c r="BH24" s="382">
        <v>109.73688484651601</v>
      </c>
      <c r="BI24" s="382">
        <v>108.86633100536</v>
      </c>
      <c r="BJ24" s="382">
        <v>108.91343186616901</v>
      </c>
      <c r="BK24" s="382">
        <v>109.914532239727</v>
      </c>
      <c r="BL24" s="382">
        <v>110.720040198148</v>
      </c>
      <c r="BM24" s="382">
        <v>114.066798322144</v>
      </c>
      <c r="BN24" s="382">
        <v>116.04419147224</v>
      </c>
      <c r="BO24" s="382">
        <v>117.611691618775</v>
      </c>
      <c r="BP24" s="382">
        <v>120.823695911462</v>
      </c>
    </row>
    <row r="25" spans="1:68">
      <c r="A25" s="382" t="s">
        <v>2046</v>
      </c>
      <c r="B25" s="382" t="s">
        <v>2355</v>
      </c>
      <c r="C25" s="382" t="s">
        <v>2334</v>
      </c>
      <c r="D25" s="382" t="s">
        <v>2335</v>
      </c>
      <c r="E25" s="382">
        <v>10.7133005080714</v>
      </c>
      <c r="F25" s="382">
        <v>12.7019182107387</v>
      </c>
      <c r="G25" s="382">
        <v>12.914790872513899</v>
      </c>
      <c r="H25" s="382">
        <v>13.634687510708501</v>
      </c>
      <c r="I25" s="382">
        <v>13.886264292909299</v>
      </c>
      <c r="J25" s="382">
        <v>13.784859497606901</v>
      </c>
      <c r="K25" s="382">
        <v>14.1107481908154</v>
      </c>
      <c r="L25" s="382">
        <v>13.4992230895676</v>
      </c>
      <c r="M25" s="382">
        <v>13.4605189692272</v>
      </c>
      <c r="N25" s="382">
        <v>14.7602033299891</v>
      </c>
      <c r="O25" s="382">
        <v>15.0218431834454</v>
      </c>
      <c r="P25" s="382">
        <v>15.3314761461065</v>
      </c>
      <c r="Q25" s="382">
        <v>14.883282432646901</v>
      </c>
      <c r="R25" s="382">
        <v>16.014990911173001</v>
      </c>
      <c r="S25" s="382">
        <v>17.411435572766401</v>
      </c>
      <c r="T25" s="382">
        <v>20.6772892464645</v>
      </c>
      <c r="U25" s="382">
        <v>18.940248325912901</v>
      </c>
      <c r="V25" s="382">
        <v>24.619690943546001</v>
      </c>
      <c r="W25" s="382">
        <v>26.655527672995898</v>
      </c>
      <c r="X25" s="382">
        <v>30.652115138535201</v>
      </c>
      <c r="Y25" s="382">
        <v>34.392481327480397</v>
      </c>
      <c r="Z25" s="382">
        <v>36.991075966636302</v>
      </c>
      <c r="AA25" s="382">
        <v>41.452112876175001</v>
      </c>
      <c r="AB25" s="382">
        <v>44.832019824993701</v>
      </c>
      <c r="AC25" s="382">
        <v>47.005008853834603</v>
      </c>
      <c r="AD25" s="382">
        <v>50.251201944236797</v>
      </c>
      <c r="AE25" s="382">
        <v>48.938769732847398</v>
      </c>
      <c r="AF25" s="382">
        <v>47.6263375212922</v>
      </c>
      <c r="AG25" s="382">
        <v>49.653131569568103</v>
      </c>
      <c r="AH25" s="382">
        <v>49.413903419607699</v>
      </c>
      <c r="AI25" s="382">
        <v>49.164707430065498</v>
      </c>
      <c r="AJ25" s="382">
        <v>50.227943652112103</v>
      </c>
      <c r="AK25" s="382">
        <v>49.227837080749801</v>
      </c>
      <c r="AL25" s="382">
        <v>49.500291362649101</v>
      </c>
      <c r="AM25" s="382">
        <v>61.963413452949403</v>
      </c>
      <c r="AN25" s="382">
        <v>66.585168405657598</v>
      </c>
      <c r="AO25" s="382">
        <v>70.645401728597307</v>
      </c>
      <c r="AP25" s="382">
        <v>72.283450033187805</v>
      </c>
      <c r="AQ25" s="382">
        <v>75.958581655861295</v>
      </c>
      <c r="AR25" s="382">
        <v>75.143839557692402</v>
      </c>
      <c r="AS25" s="382">
        <v>74.915242853889694</v>
      </c>
      <c r="AT25" s="382">
        <v>78.666573377831099</v>
      </c>
      <c r="AU25" s="382">
        <v>80.378117929379002</v>
      </c>
      <c r="AV25" s="382">
        <v>82.013463579659501</v>
      </c>
      <c r="AW25" s="382">
        <v>81.685222158814696</v>
      </c>
      <c r="AX25" s="382">
        <v>86.925361984444706</v>
      </c>
      <c r="AY25" s="382">
        <v>88.953425048950294</v>
      </c>
      <c r="AZ25" s="382">
        <v>88.748274160922307</v>
      </c>
      <c r="BA25" s="382">
        <v>98.208660825985902</v>
      </c>
      <c r="BB25" s="382">
        <v>100.77011619936501</v>
      </c>
      <c r="BC25" s="382">
        <v>100</v>
      </c>
      <c r="BD25" s="382">
        <v>102.759767248545</v>
      </c>
      <c r="BE25" s="382">
        <v>106.683291770574</v>
      </c>
      <c r="BF25" s="382">
        <v>107.252701579385</v>
      </c>
      <c r="BG25" s="382">
        <v>106.975893599335</v>
      </c>
      <c r="BH25" s="382">
        <v>107.751296576491</v>
      </c>
      <c r="BI25" s="382">
        <v>108.226524455215</v>
      </c>
      <c r="BJ25" s="382">
        <v>109.831522699898</v>
      </c>
      <c r="BK25" s="382">
        <v>111.97976470929299</v>
      </c>
      <c r="BL25" s="382">
        <v>108.359022934412</v>
      </c>
      <c r="BM25" s="382">
        <v>110.40098363881999</v>
      </c>
      <c r="BN25" s="382">
        <v>114.434519867232</v>
      </c>
      <c r="BO25" s="382">
        <v>130.78748216983399</v>
      </c>
      <c r="BP25" s="382">
        <v>131.75911601426699</v>
      </c>
    </row>
    <row r="26" spans="1:68">
      <c r="A26" s="382" t="s">
        <v>1136</v>
      </c>
      <c r="B26" s="382" t="s">
        <v>2356</v>
      </c>
      <c r="C26" s="382" t="s">
        <v>2334</v>
      </c>
      <c r="D26" s="382" t="s">
        <v>2335</v>
      </c>
      <c r="E26" s="382"/>
      <c r="F26" s="382"/>
      <c r="G26" s="382"/>
      <c r="H26" s="382"/>
      <c r="I26" s="382"/>
      <c r="J26" s="382"/>
      <c r="K26" s="382"/>
      <c r="L26" s="382"/>
      <c r="M26" s="382"/>
      <c r="N26" s="382"/>
      <c r="O26" s="382"/>
      <c r="P26" s="382"/>
      <c r="Q26" s="382"/>
      <c r="R26" s="382"/>
      <c r="S26" s="382"/>
      <c r="T26" s="382"/>
      <c r="U26" s="382"/>
      <c r="V26" s="382"/>
      <c r="W26" s="382"/>
      <c r="X26" s="382"/>
      <c r="Y26" s="382"/>
      <c r="Z26" s="382"/>
      <c r="AA26" s="382"/>
      <c r="AB26" s="382"/>
      <c r="AC26" s="382"/>
      <c r="AD26" s="382"/>
      <c r="AE26" s="382">
        <v>24.280002828765799</v>
      </c>
      <c r="AF26" s="382">
        <v>26.677579319057301</v>
      </c>
      <c r="AG26" s="382">
        <v>28.655125837091202</v>
      </c>
      <c r="AH26" s="382">
        <v>30.387465668618098</v>
      </c>
      <c r="AI26" s="382">
        <v>32.249220140245903</v>
      </c>
      <c r="AJ26" s="382">
        <v>34.299420491318998</v>
      </c>
      <c r="AK26" s="382">
        <v>35.5458878143966</v>
      </c>
      <c r="AL26" s="382">
        <v>36.617531851723903</v>
      </c>
      <c r="AM26" s="382">
        <v>38.563292317803203</v>
      </c>
      <c r="AN26" s="382">
        <v>42.534467582538497</v>
      </c>
      <c r="AO26" s="382">
        <v>43.545566759000003</v>
      </c>
      <c r="AP26" s="382">
        <v>45.855920809106301</v>
      </c>
      <c r="AQ26" s="382">
        <v>49.708844392463</v>
      </c>
      <c r="AR26" s="382">
        <v>52.744412354129302</v>
      </c>
      <c r="AS26" s="382">
        <v>53.909144115037897</v>
      </c>
      <c r="AT26" s="382">
        <v>54.991194300326498</v>
      </c>
      <c r="AU26" s="382">
        <v>56.823811557662602</v>
      </c>
      <c r="AV26" s="382">
        <v>60.044987358421103</v>
      </c>
      <c r="AW26" s="382">
        <v>64.600922621638105</v>
      </c>
      <c r="AX26" s="382">
        <v>69.153102968056402</v>
      </c>
      <c r="AY26" s="382">
        <v>73.831490991383106</v>
      </c>
      <c r="AZ26" s="382">
        <v>80.555313778396695</v>
      </c>
      <c r="BA26" s="382">
        <v>87.7263034206632</v>
      </c>
      <c r="BB26" s="382">
        <v>92.484115240665005</v>
      </c>
      <c r="BC26" s="382">
        <v>100</v>
      </c>
      <c r="BD26" s="382">
        <v>111.39516515523999</v>
      </c>
      <c r="BE26" s="382">
        <v>118.32116425041499</v>
      </c>
      <c r="BF26" s="382">
        <v>127.23122878648699</v>
      </c>
      <c r="BG26" s="382">
        <v>136.126776861358</v>
      </c>
      <c r="BH26" s="382">
        <v>144.55885088801301</v>
      </c>
      <c r="BI26" s="382">
        <v>152.52914032227801</v>
      </c>
      <c r="BJ26" s="382">
        <v>161.22645891358599</v>
      </c>
      <c r="BK26" s="382">
        <v>170.16424338410201</v>
      </c>
      <c r="BL26" s="382">
        <v>179.67982174704801</v>
      </c>
      <c r="BM26" s="382">
        <v>189.90553470877899</v>
      </c>
      <c r="BN26" s="382">
        <v>200.43703917498399</v>
      </c>
      <c r="BO26" s="382">
        <v>215.864586624407</v>
      </c>
      <c r="BP26" s="382">
        <v>237.199569600947</v>
      </c>
    </row>
    <row r="27" spans="1:68">
      <c r="A27" s="382" t="s">
        <v>1158</v>
      </c>
      <c r="B27" s="382" t="s">
        <v>2357</v>
      </c>
      <c r="C27" s="382" t="s">
        <v>2334</v>
      </c>
      <c r="D27" s="382" t="s">
        <v>2335</v>
      </c>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v>2.4834862532264201E-2</v>
      </c>
      <c r="AE27" s="382">
        <v>2.5505403820635299E-2</v>
      </c>
      <c r="AF27" s="382">
        <v>2.6200779971538701E-2</v>
      </c>
      <c r="AG27" s="382">
        <v>2.6821651534845298E-2</v>
      </c>
      <c r="AH27" s="382">
        <v>2.8535257049571501E-2</v>
      </c>
      <c r="AI27" s="382">
        <v>3.5326648227369598E-2</v>
      </c>
      <c r="AJ27" s="382">
        <v>0.15488937526507399</v>
      </c>
      <c r="AK27" s="382">
        <v>0.29630017289574401</v>
      </c>
      <c r="AL27" s="382">
        <v>0.51224015777866705</v>
      </c>
      <c r="AM27" s="382">
        <v>1.0042844188839899</v>
      </c>
      <c r="AN27" s="382">
        <v>1.6274914447347599</v>
      </c>
      <c r="AO27" s="382">
        <v>3.6066437942484999</v>
      </c>
      <c r="AP27" s="382">
        <v>41.778408087814</v>
      </c>
      <c r="AQ27" s="382">
        <v>49.5793578586104</v>
      </c>
      <c r="AR27" s="382">
        <v>50.8550559656491</v>
      </c>
      <c r="AS27" s="382">
        <v>56.101396844914603</v>
      </c>
      <c r="AT27" s="382">
        <v>60.230986597591198</v>
      </c>
      <c r="AU27" s="382">
        <v>63.730493445071097</v>
      </c>
      <c r="AV27" s="382">
        <v>65.2272943870787</v>
      </c>
      <c r="AW27" s="382">
        <v>69.236901452823503</v>
      </c>
      <c r="AX27" s="382">
        <v>72.725636802491493</v>
      </c>
      <c r="AY27" s="382">
        <v>78.006677737501406</v>
      </c>
      <c r="AZ27" s="382">
        <v>84.561215504924107</v>
      </c>
      <c r="BA27" s="382">
        <v>95.003442897473306</v>
      </c>
      <c r="BB27" s="382">
        <v>97.6190798145944</v>
      </c>
      <c r="BC27" s="382">
        <v>100</v>
      </c>
      <c r="BD27" s="382">
        <v>104.21990346601901</v>
      </c>
      <c r="BE27" s="382">
        <v>107.299151694355</v>
      </c>
      <c r="BF27" s="382">
        <v>108.25421451304101</v>
      </c>
      <c r="BG27" s="382">
        <v>106.71897077713299</v>
      </c>
      <c r="BH27" s="382">
        <v>106.60730723789401</v>
      </c>
      <c r="BI27" s="382">
        <v>105.755888099687</v>
      </c>
      <c r="BJ27" s="382">
        <v>107.936147464138</v>
      </c>
      <c r="BK27" s="382">
        <v>110.974058623258</v>
      </c>
      <c r="BL27" s="382">
        <v>114.41839316035301</v>
      </c>
      <c r="BM27" s="382">
        <v>116.331973243132</v>
      </c>
      <c r="BN27" s="382">
        <v>120.168304321485</v>
      </c>
      <c r="BO27" s="382">
        <v>138.58440810626101</v>
      </c>
      <c r="BP27" s="382">
        <v>151.67071397009099</v>
      </c>
    </row>
    <row r="28" spans="1:68">
      <c r="A28" s="382" t="s">
        <v>1134</v>
      </c>
      <c r="B28" s="382" t="s">
        <v>2358</v>
      </c>
      <c r="C28" s="382" t="s">
        <v>2334</v>
      </c>
      <c r="D28" s="382" t="s">
        <v>2335</v>
      </c>
      <c r="E28" s="382"/>
      <c r="F28" s="382"/>
      <c r="G28" s="382"/>
      <c r="H28" s="382"/>
      <c r="I28" s="382"/>
      <c r="J28" s="382">
        <v>17.965654749727001</v>
      </c>
      <c r="K28" s="382">
        <v>18.3491265694073</v>
      </c>
      <c r="L28" s="382">
        <v>19.1304504018123</v>
      </c>
      <c r="M28" s="382">
        <v>19.753592108714901</v>
      </c>
      <c r="N28" s="382">
        <v>19.715244926751598</v>
      </c>
      <c r="O28" s="382">
        <v>20.036402575597801</v>
      </c>
      <c r="P28" s="382">
        <v>21.196404830129499</v>
      </c>
      <c r="Q28" s="382">
        <v>22.274919322797501</v>
      </c>
      <c r="R28" s="382">
        <v>25.467322221188699</v>
      </c>
      <c r="S28" s="382">
        <v>31.679565699232601</v>
      </c>
      <c r="T28" s="382">
        <v>36.798914491324297</v>
      </c>
      <c r="U28" s="382">
        <v>45.0771123977812</v>
      </c>
      <c r="V28" s="382">
        <v>53.069789692663001</v>
      </c>
      <c r="W28" s="382">
        <v>61.447141295760503</v>
      </c>
      <c r="X28" s="382">
        <v>62.802660286967601</v>
      </c>
      <c r="Y28" s="382">
        <v>65.232824964751103</v>
      </c>
      <c r="Z28" s="382">
        <v>72.633225943729798</v>
      </c>
      <c r="AA28" s="382">
        <v>79.087206005262104</v>
      </c>
      <c r="AB28" s="382">
        <v>81.437993444914994</v>
      </c>
      <c r="AC28" s="382">
        <v>81.700548925188102</v>
      </c>
      <c r="AD28" s="382">
        <v>79.546947535162403</v>
      </c>
      <c r="AE28" s="382">
        <v>77.720475470707797</v>
      </c>
      <c r="AF28" s="382">
        <v>76.364251810705099</v>
      </c>
      <c r="AG28" s="382">
        <v>76.595968415931694</v>
      </c>
      <c r="AH28" s="382">
        <v>77.734105859250505</v>
      </c>
      <c r="AI28" s="382">
        <v>78.456516452015805</v>
      </c>
      <c r="AJ28" s="382">
        <v>79.056253547896304</v>
      </c>
      <c r="AK28" s="382">
        <v>78.919949662468994</v>
      </c>
      <c r="AL28" s="382">
        <v>80.923616778251898</v>
      </c>
      <c r="AM28" s="382">
        <v>81.584690622574797</v>
      </c>
      <c r="AN28" s="382">
        <v>83.790769008217097</v>
      </c>
      <c r="AO28" s="382">
        <v>83.411844206729199</v>
      </c>
      <c r="AP28" s="382">
        <v>85.440046021889003</v>
      </c>
      <c r="AQ28" s="382">
        <v>85.126879319338698</v>
      </c>
      <c r="AR28" s="382">
        <v>84.030795860412397</v>
      </c>
      <c r="AS28" s="382">
        <v>83.438502314284605</v>
      </c>
      <c r="AT28" s="382">
        <v>82.430922488687798</v>
      </c>
      <c r="AU28" s="382">
        <v>82.022444181013498</v>
      </c>
      <c r="AV28" s="382">
        <v>83.329574765571394</v>
      </c>
      <c r="AW28" s="382">
        <v>85.290270642408402</v>
      </c>
      <c r="AX28" s="382">
        <v>87.496053503850007</v>
      </c>
      <c r="AY28" s="382">
        <v>89.252510226849793</v>
      </c>
      <c r="AZ28" s="382">
        <v>92.1591669765712</v>
      </c>
      <c r="BA28" s="382">
        <v>95.408702119746806</v>
      </c>
      <c r="BB28" s="382">
        <v>98.075864633692206</v>
      </c>
      <c r="BC28" s="382">
        <v>100</v>
      </c>
      <c r="BD28" s="382">
        <v>99.599959302511905</v>
      </c>
      <c r="BE28" s="382">
        <v>102.34632529315201</v>
      </c>
      <c r="BF28" s="382">
        <v>105.723765868154</v>
      </c>
      <c r="BG28" s="382">
        <v>108.52285882773199</v>
      </c>
      <c r="BH28" s="382">
        <v>110.529042157059</v>
      </c>
      <c r="BI28" s="382">
        <v>113.609258293</v>
      </c>
      <c r="BJ28" s="382">
        <v>115.18469867479099</v>
      </c>
      <c r="BK28" s="382">
        <v>117.58937436001101</v>
      </c>
      <c r="BL28" s="382">
        <v>118.77211186049099</v>
      </c>
      <c r="BM28" s="382">
        <v>116.019323149199</v>
      </c>
      <c r="BN28" s="382">
        <v>115.315875502436</v>
      </c>
      <c r="BO28" s="382">
        <v>119.496930529675</v>
      </c>
      <c r="BP28" s="382">
        <v>119.586099949687</v>
      </c>
    </row>
    <row r="29" spans="1:68">
      <c r="A29" s="382" t="s">
        <v>2359</v>
      </c>
      <c r="B29" s="382" t="s">
        <v>2360</v>
      </c>
      <c r="C29" s="382" t="s">
        <v>2334</v>
      </c>
      <c r="D29" s="382" t="s">
        <v>2335</v>
      </c>
      <c r="E29" s="382"/>
      <c r="F29" s="382"/>
      <c r="G29" s="382"/>
      <c r="H29" s="382"/>
      <c r="I29" s="382"/>
      <c r="J29" s="382"/>
      <c r="K29" s="382">
        <v>13.962336896827299</v>
      </c>
      <c r="L29" s="382">
        <v>14.721574778853499</v>
      </c>
      <c r="M29" s="382">
        <v>15.390086121392001</v>
      </c>
      <c r="N29" s="382">
        <v>16.765309454518501</v>
      </c>
      <c r="O29" s="382">
        <v>17.796726954530602</v>
      </c>
      <c r="P29" s="382">
        <v>18.6180408895538</v>
      </c>
      <c r="Q29" s="382">
        <v>19.889804134017901</v>
      </c>
      <c r="R29" s="382">
        <v>20.9801142998882</v>
      </c>
      <c r="S29" s="382">
        <v>23.722602497952899</v>
      </c>
      <c r="T29" s="382">
        <v>26.1801775286024</v>
      </c>
      <c r="U29" s="382">
        <v>27.294363099483999</v>
      </c>
      <c r="V29" s="382">
        <v>28.1650195384886</v>
      </c>
      <c r="W29" s="382">
        <v>29.8856403987206</v>
      </c>
      <c r="X29" s="382">
        <v>32.602661498005901</v>
      </c>
      <c r="Y29" s="382">
        <v>36.546878419030797</v>
      </c>
      <c r="Z29" s="382">
        <v>40.608880671756602</v>
      </c>
      <c r="AA29" s="382">
        <v>43.050538765663099</v>
      </c>
      <c r="AB29" s="382">
        <v>44.772560316289599</v>
      </c>
      <c r="AC29" s="382">
        <v>46.548395040373201</v>
      </c>
      <c r="AD29" s="382">
        <v>48.691953116413501</v>
      </c>
      <c r="AE29" s="382">
        <v>51.337767478053202</v>
      </c>
      <c r="AF29" s="382">
        <v>54.293007587071301</v>
      </c>
      <c r="AG29" s="382">
        <v>56.683209374789598</v>
      </c>
      <c r="AH29" s="382">
        <v>59.737106968478798</v>
      </c>
      <c r="AI29" s="382">
        <v>62.526423126004403</v>
      </c>
      <c r="AJ29" s="382">
        <v>66.974978798455894</v>
      </c>
      <c r="AK29" s="382">
        <v>70.818136269515804</v>
      </c>
      <c r="AL29" s="382">
        <v>72.746441651727594</v>
      </c>
      <c r="AM29" s="382">
        <v>73.764407516290802</v>
      </c>
      <c r="AN29" s="382">
        <v>75.289114097574597</v>
      </c>
      <c r="AO29" s="382">
        <v>76.327454437435804</v>
      </c>
      <c r="AP29" s="382">
        <v>76.742790573380304</v>
      </c>
      <c r="AQ29" s="382">
        <v>77.768544969728097</v>
      </c>
      <c r="AR29" s="382">
        <v>78.743955592022004</v>
      </c>
      <c r="AS29" s="382">
        <v>80.008842915125598</v>
      </c>
      <c r="AT29" s="382">
        <v>81.645015571876698</v>
      </c>
      <c r="AU29" s="382">
        <v>83.419633607275898</v>
      </c>
      <c r="AV29" s="382">
        <v>85.943115281726307</v>
      </c>
      <c r="AW29" s="382">
        <v>86.787002794304399</v>
      </c>
      <c r="AX29" s="382">
        <v>88.168310094907895</v>
      </c>
      <c r="AY29" s="382">
        <v>90.2753795352439</v>
      </c>
      <c r="AZ29" s="382">
        <v>92.525563739271107</v>
      </c>
      <c r="BA29" s="382">
        <v>96.679554395891401</v>
      </c>
      <c r="BB29" s="382">
        <v>98.673797145601199</v>
      </c>
      <c r="BC29" s="382">
        <v>100</v>
      </c>
      <c r="BD29" s="382">
        <v>103.198781416603</v>
      </c>
      <c r="BE29" s="382">
        <v>105.23527269114901</v>
      </c>
      <c r="BF29" s="382">
        <v>105.995507859611</v>
      </c>
      <c r="BG29" s="382">
        <v>107.600021675885</v>
      </c>
      <c r="BH29" s="382">
        <v>109.60297781818799</v>
      </c>
      <c r="BI29" s="382">
        <v>109.223338388445</v>
      </c>
      <c r="BJ29" s="382">
        <v>110.88157476553199</v>
      </c>
      <c r="BK29" s="382">
        <v>113.393999859543</v>
      </c>
      <c r="BL29" s="382">
        <v>116.218911182281</v>
      </c>
      <c r="BM29" s="382">
        <v>116.263679982958</v>
      </c>
      <c r="BN29" s="382">
        <v>119.641038306054</v>
      </c>
      <c r="BO29" s="382">
        <v>126.34740464751501</v>
      </c>
      <c r="BP29" s="382">
        <v>130.204684513872</v>
      </c>
    </row>
    <row r="30" spans="1:68">
      <c r="A30" s="382" t="s">
        <v>1978</v>
      </c>
      <c r="B30" s="382" t="s">
        <v>2361</v>
      </c>
      <c r="C30" s="382" t="s">
        <v>2334</v>
      </c>
      <c r="D30" s="382" t="s">
        <v>2335</v>
      </c>
      <c r="E30" s="382"/>
      <c r="F30" s="382"/>
      <c r="G30" s="382"/>
      <c r="H30" s="382"/>
      <c r="I30" s="382"/>
      <c r="J30" s="382"/>
      <c r="K30" s="382"/>
      <c r="L30" s="382"/>
      <c r="M30" s="382"/>
      <c r="N30" s="382"/>
      <c r="O30" s="382"/>
      <c r="P30" s="382"/>
      <c r="Q30" s="382"/>
      <c r="R30" s="382"/>
      <c r="S30" s="382"/>
      <c r="T30" s="382"/>
      <c r="U30" s="382"/>
      <c r="V30" s="382"/>
      <c r="W30" s="382"/>
      <c r="X30" s="382"/>
      <c r="Y30" s="382"/>
      <c r="Z30" s="382"/>
      <c r="AA30" s="382"/>
      <c r="AB30" s="382"/>
      <c r="AC30" s="382"/>
      <c r="AD30" s="382"/>
      <c r="AE30" s="382"/>
      <c r="AF30" s="382"/>
      <c r="AG30" s="382"/>
      <c r="AH30" s="382"/>
      <c r="AI30" s="382"/>
      <c r="AJ30" s="382"/>
      <c r="AK30" s="382"/>
      <c r="AL30" s="382"/>
      <c r="AM30" s="382"/>
      <c r="AN30" s="382"/>
      <c r="AO30" s="382"/>
      <c r="AP30" s="382"/>
      <c r="AQ30" s="382"/>
      <c r="AR30" s="382"/>
      <c r="AS30" s="382"/>
      <c r="AT30" s="382"/>
      <c r="AU30" s="382"/>
      <c r="AV30" s="382"/>
      <c r="AW30" s="382"/>
      <c r="AX30" s="382">
        <v>85.049701205601494</v>
      </c>
      <c r="AY30" s="382">
        <v>90.259476918603497</v>
      </c>
      <c r="AZ30" s="382">
        <v>91.6140704842974</v>
      </c>
      <c r="BA30" s="382">
        <v>98.418286987880904</v>
      </c>
      <c r="BB30" s="382">
        <v>98.042856375619905</v>
      </c>
      <c r="BC30" s="382">
        <v>100</v>
      </c>
      <c r="BD30" s="382">
        <v>103.67125</v>
      </c>
      <c r="BE30" s="382">
        <v>105.79928333333299</v>
      </c>
      <c r="BF30" s="382"/>
      <c r="BG30" s="382"/>
      <c r="BH30" s="382"/>
      <c r="BI30" s="382"/>
      <c r="BJ30" s="382"/>
      <c r="BK30" s="382"/>
      <c r="BL30" s="382"/>
      <c r="BM30" s="382"/>
      <c r="BN30" s="382"/>
      <c r="BO30" s="382"/>
      <c r="BP30" s="382"/>
    </row>
    <row r="31" spans="1:68">
      <c r="A31" s="382" t="s">
        <v>2245</v>
      </c>
      <c r="B31" s="382" t="s">
        <v>2362</v>
      </c>
      <c r="C31" s="382" t="s">
        <v>2334</v>
      </c>
      <c r="D31" s="382" t="s">
        <v>2335</v>
      </c>
      <c r="E31" s="382"/>
      <c r="F31" s="382"/>
      <c r="G31" s="382"/>
      <c r="H31" s="382"/>
      <c r="I31" s="382"/>
      <c r="J31" s="382"/>
      <c r="K31" s="382"/>
      <c r="L31" s="382"/>
      <c r="M31" s="382"/>
      <c r="N31" s="382"/>
      <c r="O31" s="382"/>
      <c r="P31" s="382"/>
      <c r="Q31" s="382"/>
      <c r="R31" s="382"/>
      <c r="S31" s="382"/>
      <c r="T31" s="382"/>
      <c r="U31" s="382"/>
      <c r="V31" s="382"/>
      <c r="W31" s="382"/>
      <c r="X31" s="382"/>
      <c r="Y31" s="382"/>
      <c r="Z31" s="382"/>
      <c r="AA31" s="382"/>
      <c r="AB31" s="382"/>
      <c r="AC31" s="382"/>
      <c r="AD31" s="382"/>
      <c r="AE31" s="382"/>
      <c r="AF31" s="382"/>
      <c r="AG31" s="382"/>
      <c r="AH31" s="382"/>
      <c r="AI31" s="382"/>
      <c r="AJ31" s="382"/>
      <c r="AK31" s="382">
        <v>1.44697526067745E-4</v>
      </c>
      <c r="AL31" s="382">
        <v>1.86692978146556E-3</v>
      </c>
      <c r="AM31" s="382">
        <v>4.3331749576594303E-2</v>
      </c>
      <c r="AN31" s="382">
        <v>0.35070379584573702</v>
      </c>
      <c r="AO31" s="382">
        <v>0.53556704988831105</v>
      </c>
      <c r="AP31" s="382">
        <v>0.87799451654895799</v>
      </c>
      <c r="AQ31" s="382">
        <v>1.51778663650374</v>
      </c>
      <c r="AR31" s="382">
        <v>5.9752034717598201</v>
      </c>
      <c r="AS31" s="382">
        <v>16.050605658414401</v>
      </c>
      <c r="AT31" s="382">
        <v>25.863132699757699</v>
      </c>
      <c r="AU31" s="382">
        <v>36.864675221104903</v>
      </c>
      <c r="AV31" s="382">
        <v>47.3334466749698</v>
      </c>
      <c r="AW31" s="382">
        <v>55.904701979530103</v>
      </c>
      <c r="AX31" s="382">
        <v>61.684621721723701</v>
      </c>
      <c r="AY31" s="382">
        <v>66.000774298563798</v>
      </c>
      <c r="AZ31" s="382">
        <v>71.562496351924295</v>
      </c>
      <c r="BA31" s="382">
        <v>82.180851168649198</v>
      </c>
      <c r="BB31" s="382">
        <v>92.819701739084294</v>
      </c>
      <c r="BC31" s="382">
        <v>100</v>
      </c>
      <c r="BD31" s="382">
        <v>153.228698311817</v>
      </c>
      <c r="BE31" s="382">
        <v>243.97032896394001</v>
      </c>
      <c r="BF31" s="382">
        <v>288.64681245856599</v>
      </c>
      <c r="BG31" s="382">
        <v>340.94832852925498</v>
      </c>
      <c r="BH31" s="382">
        <v>387.09394515789398</v>
      </c>
      <c r="BI31" s="382">
        <v>432.91263261428702</v>
      </c>
      <c r="BJ31" s="382">
        <v>459.02521805596803</v>
      </c>
      <c r="BK31" s="382">
        <v>481.39031387914201</v>
      </c>
      <c r="BL31" s="382">
        <v>508.33929438020903</v>
      </c>
      <c r="BM31" s="382">
        <v>536.54268827835403</v>
      </c>
      <c r="BN31" s="382">
        <v>587.30114981395604</v>
      </c>
      <c r="BO31" s="382">
        <v>676.62774758160299</v>
      </c>
      <c r="BP31" s="382">
        <v>710.46318817005795</v>
      </c>
    </row>
    <row r="32" spans="1:68">
      <c r="A32" s="382" t="s">
        <v>2196</v>
      </c>
      <c r="B32" s="382" t="s">
        <v>2363</v>
      </c>
      <c r="C32" s="382" t="s">
        <v>2334</v>
      </c>
      <c r="D32" s="382" t="s">
        <v>2335</v>
      </c>
      <c r="E32" s="382"/>
      <c r="F32" s="382"/>
      <c r="G32" s="382"/>
      <c r="H32" s="382"/>
      <c r="I32" s="382"/>
      <c r="J32" s="382"/>
      <c r="K32" s="382"/>
      <c r="L32" s="382"/>
      <c r="M32" s="382"/>
      <c r="N32" s="382"/>
      <c r="O32" s="382"/>
      <c r="P32" s="382"/>
      <c r="Q32" s="382"/>
      <c r="R32" s="382"/>
      <c r="S32" s="382"/>
      <c r="T32" s="382"/>
      <c r="U32" s="382"/>
      <c r="V32" s="382"/>
      <c r="W32" s="382"/>
      <c r="X32" s="382"/>
      <c r="Y32" s="382">
        <v>43.5056855487787</v>
      </c>
      <c r="Z32" s="382">
        <v>48.388976783891003</v>
      </c>
      <c r="AA32" s="382">
        <v>51.698314645702602</v>
      </c>
      <c r="AB32" s="382">
        <v>54.281212489269599</v>
      </c>
      <c r="AC32" s="382">
        <v>56.117491424988799</v>
      </c>
      <c r="AD32" s="382">
        <v>59.617632586450902</v>
      </c>
      <c r="AE32" s="382">
        <v>60.094437417190903</v>
      </c>
      <c r="AF32" s="382">
        <v>61.303478237995797</v>
      </c>
      <c r="AG32" s="382">
        <v>63.227726304910703</v>
      </c>
      <c r="AH32" s="382">
        <v>64.572997077355595</v>
      </c>
      <c r="AI32" s="382">
        <v>66.548331376135494</v>
      </c>
      <c r="AJ32" s="382">
        <v>67.055397385817898</v>
      </c>
      <c r="AK32" s="382">
        <v>68.662514584637094</v>
      </c>
      <c r="AL32" s="382">
        <v>69.673636678100493</v>
      </c>
      <c r="AM32" s="382">
        <v>71.463791417293194</v>
      </c>
      <c r="AN32" s="382">
        <v>73.528820456611399</v>
      </c>
      <c r="AO32" s="382">
        <v>77.914830019792205</v>
      </c>
      <c r="AP32" s="382">
        <v>78.810100687455503</v>
      </c>
      <c r="AQ32" s="382">
        <v>80.540189274355697</v>
      </c>
      <c r="AR32" s="382">
        <v>82.651465966974101</v>
      </c>
      <c r="AS32" s="382">
        <v>85.186749821307899</v>
      </c>
      <c r="AT32" s="382">
        <v>88.297274023419902</v>
      </c>
      <c r="AU32" s="382">
        <v>92.041313848626004</v>
      </c>
      <c r="AV32" s="382">
        <v>94.174907664723506</v>
      </c>
      <c r="AW32" s="382">
        <v>100.196857152232</v>
      </c>
      <c r="AX32" s="382">
        <v>99.090372794020794</v>
      </c>
      <c r="AY32" s="382">
        <v>92.041313847855093</v>
      </c>
      <c r="AZ32" s="382">
        <v>94.174907663740697</v>
      </c>
      <c r="BA32" s="382">
        <v>100.196857155967</v>
      </c>
      <c r="BB32" s="382">
        <v>99.090372793181203</v>
      </c>
      <c r="BC32" s="382">
        <v>100</v>
      </c>
      <c r="BD32" s="382">
        <v>101.602056156402</v>
      </c>
      <c r="BE32" s="382">
        <v>102.923472935782</v>
      </c>
      <c r="BF32" s="382">
        <v>103.448123042833</v>
      </c>
      <c r="BG32" s="382">
        <v>104.690948425632</v>
      </c>
      <c r="BH32" s="382">
        <v>103.788947954679</v>
      </c>
      <c r="BI32" s="382">
        <v>104.477512032706</v>
      </c>
      <c r="BJ32" s="382">
        <v>105.67655174453201</v>
      </c>
      <c r="BK32" s="382">
        <v>105.96186007045399</v>
      </c>
      <c r="BL32" s="382">
        <v>106.16008227061501</v>
      </c>
      <c r="BM32" s="382">
        <v>106.28899738924299</v>
      </c>
      <c r="BN32" s="382">
        <v>109.728123082433</v>
      </c>
      <c r="BO32" s="382">
        <v>116.61564017262</v>
      </c>
      <c r="BP32" s="382">
        <v>121.73488039510799</v>
      </c>
    </row>
    <row r="33" spans="1:68">
      <c r="A33" s="382" t="s">
        <v>2198</v>
      </c>
      <c r="B33" s="382" t="s">
        <v>2364</v>
      </c>
      <c r="C33" s="382" t="s">
        <v>2334</v>
      </c>
      <c r="D33" s="382" t="s">
        <v>2335</v>
      </c>
      <c r="E33" s="382"/>
      <c r="F33" s="382"/>
      <c r="G33" s="382"/>
      <c r="H33" s="382"/>
      <c r="I33" s="382"/>
      <c r="J33" s="382"/>
      <c r="K33" s="382"/>
      <c r="L33" s="382"/>
      <c r="M33" s="382"/>
      <c r="N33" s="382"/>
      <c r="O33" s="382"/>
      <c r="P33" s="382"/>
      <c r="Q33" s="382"/>
      <c r="R33" s="382"/>
      <c r="S33" s="382"/>
      <c r="T33" s="382"/>
      <c r="U33" s="382"/>
      <c r="V33" s="382"/>
      <c r="W33" s="382"/>
      <c r="X33" s="382"/>
      <c r="Y33" s="382"/>
      <c r="Z33" s="382"/>
      <c r="AA33" s="382"/>
      <c r="AB33" s="382"/>
      <c r="AC33" s="382"/>
      <c r="AD33" s="382"/>
      <c r="AE33" s="382"/>
      <c r="AF33" s="382"/>
      <c r="AG33" s="382"/>
      <c r="AH33" s="382"/>
      <c r="AI33" s="382"/>
      <c r="AJ33" s="382"/>
      <c r="AK33" s="382"/>
      <c r="AL33" s="382"/>
      <c r="AM33" s="382"/>
      <c r="AN33" s="382"/>
      <c r="AO33" s="382"/>
      <c r="AP33" s="382"/>
      <c r="AQ33" s="382"/>
      <c r="AR33" s="382"/>
      <c r="AS33" s="382"/>
      <c r="AT33" s="382"/>
      <c r="AU33" s="382"/>
      <c r="AV33" s="382"/>
      <c r="AW33" s="382"/>
      <c r="AX33" s="382"/>
      <c r="AY33" s="382"/>
      <c r="AZ33" s="382"/>
      <c r="BA33" s="382"/>
      <c r="BB33" s="382"/>
      <c r="BC33" s="382"/>
      <c r="BD33" s="382"/>
      <c r="BE33" s="382"/>
      <c r="BF33" s="382"/>
      <c r="BG33" s="382"/>
      <c r="BH33" s="382"/>
      <c r="BI33" s="382"/>
      <c r="BJ33" s="382"/>
      <c r="BK33" s="382"/>
      <c r="BL33" s="382"/>
      <c r="BM33" s="382"/>
      <c r="BN33" s="382"/>
      <c r="BO33" s="382"/>
      <c r="BP33" s="382"/>
    </row>
    <row r="34" spans="1:68">
      <c r="A34" s="382" t="s">
        <v>1129</v>
      </c>
      <c r="B34" s="382" t="s">
        <v>2365</v>
      </c>
      <c r="C34" s="382" t="s">
        <v>2334</v>
      </c>
      <c r="D34" s="382" t="s">
        <v>2335</v>
      </c>
      <c r="E34" s="384">
        <v>2.2431194687767998E-5</v>
      </c>
      <c r="F34" s="384">
        <v>2.4127327920014301E-5</v>
      </c>
      <c r="G34" s="384">
        <v>2.55458534917657E-5</v>
      </c>
      <c r="H34" s="384">
        <v>2.53654085126076E-5</v>
      </c>
      <c r="I34" s="384">
        <v>2.7948068288436701E-5</v>
      </c>
      <c r="J34" s="384">
        <v>2.87474629809552E-5</v>
      </c>
      <c r="K34" s="384">
        <v>3.0745949712251602E-5</v>
      </c>
      <c r="L34" s="384">
        <v>3.4189496079716301E-5</v>
      </c>
      <c r="M34" s="384">
        <v>3.6059874687339697E-5</v>
      </c>
      <c r="N34" s="384">
        <v>3.68567072174334E-5</v>
      </c>
      <c r="O34" s="384">
        <v>3.8314577666289402E-5</v>
      </c>
      <c r="P34" s="384">
        <v>3.9722490618402699E-5</v>
      </c>
      <c r="Q34" s="384">
        <v>4.23090380775013E-5</v>
      </c>
      <c r="R34" s="384">
        <v>5.56304739870008E-5</v>
      </c>
      <c r="S34" s="384">
        <v>9.0586480679737594E-5</v>
      </c>
      <c r="T34" s="384">
        <v>9.7812334176970497E-5</v>
      </c>
      <c r="U34" s="382">
        <v>1.0220803186715701E-4</v>
      </c>
      <c r="V34" s="382">
        <v>1.10494298173105E-4</v>
      </c>
      <c r="W34" s="382">
        <v>1.2193672557526801E-4</v>
      </c>
      <c r="X34" s="382">
        <v>1.4598230250805299E-4</v>
      </c>
      <c r="Y34" s="382">
        <v>2.1494675106952099E-4</v>
      </c>
      <c r="Z34" s="382">
        <v>2.84016882664291E-4</v>
      </c>
      <c r="AA34" s="382">
        <v>6.3487917951047005E-4</v>
      </c>
      <c r="AB34" s="382">
        <v>2.3845191154218898E-3</v>
      </c>
      <c r="AC34" s="382">
        <v>3.2938553411775297E-2</v>
      </c>
      <c r="AD34" s="382">
        <v>3.9030998793365899</v>
      </c>
      <c r="AE34" s="382">
        <v>14.688768695859499</v>
      </c>
      <c r="AF34" s="382">
        <v>16.830199989888101</v>
      </c>
      <c r="AG34" s="382">
        <v>19.523383916998299</v>
      </c>
      <c r="AH34" s="382">
        <v>22.485758350139299</v>
      </c>
      <c r="AI34" s="382">
        <v>26.335044640285101</v>
      </c>
      <c r="AJ34" s="382">
        <v>31.983140050655201</v>
      </c>
      <c r="AK34" s="382">
        <v>35.840410238790298</v>
      </c>
      <c r="AL34" s="382">
        <v>38.896836324795402</v>
      </c>
      <c r="AM34" s="382">
        <v>41.959590415119301</v>
      </c>
      <c r="AN34" s="382">
        <v>46.236618223071602</v>
      </c>
      <c r="AO34" s="382">
        <v>51.9817430329974</v>
      </c>
      <c r="AP34" s="382">
        <v>54.429274481210797</v>
      </c>
      <c r="AQ34" s="382">
        <v>58.605757331652498</v>
      </c>
      <c r="AR34" s="382">
        <v>59.871358195422701</v>
      </c>
      <c r="AS34" s="382">
        <v>62.630368078441698</v>
      </c>
      <c r="AT34" s="382">
        <v>63.625974091274301</v>
      </c>
      <c r="AU34" s="382">
        <v>64.216587827700394</v>
      </c>
      <c r="AV34" s="382">
        <v>66.359671957017994</v>
      </c>
      <c r="AW34" s="382">
        <v>69.304303300056702</v>
      </c>
      <c r="AX34" s="382">
        <v>73.042044517724605</v>
      </c>
      <c r="AY34" s="382">
        <v>76.169994145548799</v>
      </c>
      <c r="AZ34" s="382">
        <v>82.801056190783399</v>
      </c>
      <c r="BA34" s="382">
        <v>94.398843447196398</v>
      </c>
      <c r="BB34" s="382">
        <v>97.557857509827102</v>
      </c>
      <c r="BC34" s="382">
        <v>100</v>
      </c>
      <c r="BD34" s="382">
        <v>109.884464198239</v>
      </c>
      <c r="BE34" s="382">
        <v>114.84641026560099</v>
      </c>
      <c r="BF34" s="382">
        <v>121.434460016488</v>
      </c>
      <c r="BG34" s="382">
        <v>128.43710049344699</v>
      </c>
      <c r="BH34" s="382">
        <v>133.651146397123</v>
      </c>
      <c r="BI34" s="382">
        <v>138.49361386907501</v>
      </c>
      <c r="BJ34" s="382">
        <v>142.40295351087801</v>
      </c>
      <c r="BK34" s="382">
        <v>145.63843387457101</v>
      </c>
      <c r="BL34" s="382">
        <v>148.31751847535801</v>
      </c>
      <c r="BM34" s="382">
        <v>149.71280389250501</v>
      </c>
      <c r="BN34" s="382">
        <v>150.816761737338</v>
      </c>
      <c r="BO34" s="382">
        <v>153.45051817639799</v>
      </c>
      <c r="BP34" s="382">
        <v>157.40476617273001</v>
      </c>
    </row>
    <row r="35" spans="1:68">
      <c r="A35" s="382" t="s">
        <v>197</v>
      </c>
      <c r="B35" s="382" t="s">
        <v>196</v>
      </c>
      <c r="C35" s="382" t="s">
        <v>2334</v>
      </c>
      <c r="D35" s="382" t="s">
        <v>2335</v>
      </c>
      <c r="E35" s="382"/>
      <c r="F35" s="382"/>
      <c r="G35" s="382"/>
      <c r="H35" s="382"/>
      <c r="I35" s="382"/>
      <c r="J35" s="382"/>
      <c r="K35" s="382"/>
      <c r="L35" s="382"/>
      <c r="M35" s="382"/>
      <c r="N35" s="382"/>
      <c r="O35" s="382"/>
      <c r="P35" s="382"/>
      <c r="Q35" s="382"/>
      <c r="R35" s="382"/>
      <c r="S35" s="382"/>
      <c r="T35" s="382"/>
      <c r="U35" s="382"/>
      <c r="V35" s="382"/>
      <c r="W35" s="382"/>
      <c r="X35" s="382"/>
      <c r="Y35" s="384">
        <v>3.5720399582062901E-10</v>
      </c>
      <c r="Z35" s="384">
        <v>7.2057002117779498E-10</v>
      </c>
      <c r="AA35" s="384">
        <v>1.4450553258209899E-9</v>
      </c>
      <c r="AB35" s="384">
        <v>3.3962800392250802E-9</v>
      </c>
      <c r="AC35" s="384">
        <v>9.92127211260218E-9</v>
      </c>
      <c r="AD35" s="384">
        <v>3.2342321744633003E-8</v>
      </c>
      <c r="AE35" s="384">
        <v>7.9931728030545196E-8</v>
      </c>
      <c r="AF35" s="384">
        <v>2.6244476849578802E-7</v>
      </c>
      <c r="AG35" s="384">
        <v>1.9135228855315402E-6</v>
      </c>
      <c r="AH35" s="384">
        <v>2.92907487949526E-5</v>
      </c>
      <c r="AI35" s="382">
        <v>8.92703750329439E-4</v>
      </c>
      <c r="AJ35" s="382">
        <v>4.7562065122725497E-3</v>
      </c>
      <c r="AK35" s="382">
        <v>5.0033487673934202E-2</v>
      </c>
      <c r="AL35" s="382">
        <v>1.01436931774855</v>
      </c>
      <c r="AM35" s="382">
        <v>22.071544293433501</v>
      </c>
      <c r="AN35" s="382">
        <v>36.640315941140898</v>
      </c>
      <c r="AO35" s="382">
        <v>42.413974402024898</v>
      </c>
      <c r="AP35" s="382">
        <v>45.351868475586699</v>
      </c>
      <c r="AQ35" s="382">
        <v>46.800895273592197</v>
      </c>
      <c r="AR35" s="382">
        <v>49.074692199534098</v>
      </c>
      <c r="AS35" s="382">
        <v>52.531582742571402</v>
      </c>
      <c r="AT35" s="382">
        <v>56.124931603612602</v>
      </c>
      <c r="AU35" s="382">
        <v>60.867580580643498</v>
      </c>
      <c r="AV35" s="382">
        <v>69.824196200304698</v>
      </c>
      <c r="AW35" s="382">
        <v>74.430627668127997</v>
      </c>
      <c r="AX35" s="382">
        <v>79.543667330674594</v>
      </c>
      <c r="AY35" s="382">
        <v>82.871430845733897</v>
      </c>
      <c r="AZ35" s="382">
        <v>85.889005874396801</v>
      </c>
      <c r="BA35" s="382">
        <v>90.766293725191602</v>
      </c>
      <c r="BB35" s="382">
        <v>95.202981748030993</v>
      </c>
      <c r="BC35" s="382">
        <v>100</v>
      </c>
      <c r="BD35" s="382">
        <v>106.636449622131</v>
      </c>
      <c r="BE35" s="382">
        <v>112.39854926078399</v>
      </c>
      <c r="BF35" s="382">
        <v>119.372104441451</v>
      </c>
      <c r="BG35" s="382">
        <v>126.927212865611</v>
      </c>
      <c r="BH35" s="382">
        <v>138.38861456010201</v>
      </c>
      <c r="BI35" s="382">
        <v>150.48259420640801</v>
      </c>
      <c r="BJ35" s="382">
        <v>155.66878623001799</v>
      </c>
      <c r="BK35" s="382">
        <v>161.37381418390601</v>
      </c>
      <c r="BL35" s="382">
        <v>167.397860280061</v>
      </c>
      <c r="BM35" s="382">
        <v>172.77429125288799</v>
      </c>
      <c r="BN35" s="382">
        <v>187.11742505829599</v>
      </c>
      <c r="BO35" s="382">
        <v>204.48212061577499</v>
      </c>
      <c r="BP35" s="382">
        <v>213.87513528772001</v>
      </c>
    </row>
    <row r="36" spans="1:68">
      <c r="A36" s="382" t="s">
        <v>2194</v>
      </c>
      <c r="B36" s="382" t="s">
        <v>2366</v>
      </c>
      <c r="C36" s="382" t="s">
        <v>2334</v>
      </c>
      <c r="D36" s="382" t="s">
        <v>2335</v>
      </c>
      <c r="E36" s="382"/>
      <c r="F36" s="382"/>
      <c r="G36" s="382"/>
      <c r="H36" s="382"/>
      <c r="I36" s="382"/>
      <c r="J36" s="382"/>
      <c r="K36" s="382">
        <v>6.1383620902613396</v>
      </c>
      <c r="L36" s="382">
        <v>6.3614838887033702</v>
      </c>
      <c r="M36" s="382">
        <v>6.8378790800028701</v>
      </c>
      <c r="N36" s="382">
        <v>7.2368851790414999</v>
      </c>
      <c r="O36" s="382">
        <v>7.7640355541980401</v>
      </c>
      <c r="P36" s="382">
        <v>8.3439512195491297</v>
      </c>
      <c r="Q36" s="382">
        <v>9.3349336216880108</v>
      </c>
      <c r="R36" s="382">
        <v>10.908344322028301</v>
      </c>
      <c r="S36" s="382">
        <v>15.1541913380622</v>
      </c>
      <c r="T36" s="382">
        <v>18.2296539653791</v>
      </c>
      <c r="U36" s="382">
        <v>19.138724536094301</v>
      </c>
      <c r="V36" s="382">
        <v>20.737261565089099</v>
      </c>
      <c r="W36" s="382">
        <v>22.703648045590899</v>
      </c>
      <c r="X36" s="382">
        <v>25.6936811554976</v>
      </c>
      <c r="Y36" s="382">
        <v>29.401412881536899</v>
      </c>
      <c r="Z36" s="382">
        <v>33.684482289066402</v>
      </c>
      <c r="AA36" s="382">
        <v>37.164920116080303</v>
      </c>
      <c r="AB36" s="382">
        <v>39.108756480573099</v>
      </c>
      <c r="AC36" s="382">
        <v>40.941313540440099</v>
      </c>
      <c r="AD36" s="382">
        <v>42.544209056619799</v>
      </c>
      <c r="AE36" s="382">
        <v>43.110076159272801</v>
      </c>
      <c r="AF36" s="382">
        <v>44.537765961877298</v>
      </c>
      <c r="AG36" s="382">
        <v>46.701793291054699</v>
      </c>
      <c r="AH36" s="382">
        <v>49.592687567778597</v>
      </c>
      <c r="AI36" s="382">
        <v>51.117450806279997</v>
      </c>
      <c r="AJ36" s="382">
        <v>54.3161389044404</v>
      </c>
      <c r="AK36" s="382">
        <v>57.6261063072741</v>
      </c>
      <c r="AL36" s="382">
        <v>58.267738042730301</v>
      </c>
      <c r="AM36" s="382">
        <v>58.312723293555798</v>
      </c>
      <c r="AN36" s="382">
        <v>59.408339355437199</v>
      </c>
      <c r="AO36" s="382">
        <v>60.825912768836197</v>
      </c>
      <c r="AP36" s="382">
        <v>65.515918367065694</v>
      </c>
      <c r="AQ36" s="382">
        <v>64.684595653445001</v>
      </c>
      <c r="AR36" s="382">
        <v>65.693715710440998</v>
      </c>
      <c r="AS36" s="382">
        <v>67.293891800820404</v>
      </c>
      <c r="AT36" s="382">
        <v>69.028617232132504</v>
      </c>
      <c r="AU36" s="382">
        <v>69.115075201119296</v>
      </c>
      <c r="AV36" s="382">
        <v>70.2343476740119</v>
      </c>
      <c r="AW36" s="382">
        <v>71.213711087792902</v>
      </c>
      <c r="AX36" s="382">
        <v>75.545062376122203</v>
      </c>
      <c r="AY36" s="382">
        <v>81.065640666899995</v>
      </c>
      <c r="AZ36" s="382">
        <v>84.336014923633002</v>
      </c>
      <c r="BA36" s="382">
        <v>91.174070187711095</v>
      </c>
      <c r="BB36" s="382">
        <v>94.496327387198306</v>
      </c>
      <c r="BC36" s="382">
        <v>100</v>
      </c>
      <c r="BD36" s="382">
        <v>109.432202401772</v>
      </c>
      <c r="BE36" s="382">
        <v>114.393144456103</v>
      </c>
      <c r="BF36" s="382">
        <v>116.468355477784</v>
      </c>
      <c r="BG36" s="382">
        <v>118.52926677929</v>
      </c>
      <c r="BH36" s="382">
        <v>117.210285040264</v>
      </c>
      <c r="BI36" s="382">
        <v>118.712836656173</v>
      </c>
      <c r="BJ36" s="382">
        <v>124.24507403521</v>
      </c>
      <c r="BK36" s="382">
        <v>128.80960708872601</v>
      </c>
      <c r="BL36" s="382">
        <v>134.091174070188</v>
      </c>
      <c r="BM36" s="382"/>
      <c r="BN36" s="382"/>
      <c r="BO36" s="382">
        <v>155.64882826163</v>
      </c>
      <c r="BP36" s="382">
        <v>170.890071679653</v>
      </c>
    </row>
    <row r="37" spans="1:68">
      <c r="A37" s="382" t="s">
        <v>1238</v>
      </c>
      <c r="B37" s="382" t="s">
        <v>2367</v>
      </c>
      <c r="C37" s="382" t="s">
        <v>2334</v>
      </c>
      <c r="D37" s="382" t="s">
        <v>2335</v>
      </c>
      <c r="E37" s="382"/>
      <c r="F37" s="382"/>
      <c r="G37" s="382"/>
      <c r="H37" s="382"/>
      <c r="I37" s="382"/>
      <c r="J37" s="382"/>
      <c r="K37" s="382"/>
      <c r="L37" s="382"/>
      <c r="M37" s="382"/>
      <c r="N37" s="382"/>
      <c r="O37" s="382"/>
      <c r="P37" s="382"/>
      <c r="Q37" s="382"/>
      <c r="R37" s="382"/>
      <c r="S37" s="382"/>
      <c r="T37" s="382"/>
      <c r="U37" s="382"/>
      <c r="V37" s="382">
        <v>49.3979184996874</v>
      </c>
      <c r="W37" s="382"/>
      <c r="X37" s="382"/>
      <c r="Y37" s="382">
        <v>58.3883396666305</v>
      </c>
      <c r="Z37" s="382">
        <v>63.723314864596702</v>
      </c>
      <c r="AA37" s="382">
        <v>67.773944181571096</v>
      </c>
      <c r="AB37" s="382">
        <v>68.564310877566101</v>
      </c>
      <c r="AC37" s="382">
        <v>70.671955400219602</v>
      </c>
      <c r="AD37" s="382">
        <v>72.335018656375397</v>
      </c>
      <c r="AE37" s="382">
        <v>73.623481030575903</v>
      </c>
      <c r="AF37" s="382">
        <v>74.541459016028199</v>
      </c>
      <c r="AG37" s="382">
        <v>75.430621549022604</v>
      </c>
      <c r="AH37" s="382">
        <v>76.414463425808194</v>
      </c>
      <c r="AI37" s="382">
        <v>78.048711229505997</v>
      </c>
      <c r="AJ37" s="382">
        <v>79.297490609178098</v>
      </c>
      <c r="AK37" s="382">
        <v>80.312123855161701</v>
      </c>
      <c r="AL37" s="382">
        <v>83.726754971452607</v>
      </c>
      <c r="AM37" s="382">
        <v>85.788541759765394</v>
      </c>
      <c r="AN37" s="382">
        <v>90.907236404567101</v>
      </c>
      <c r="AO37" s="382">
        <v>92.721868940653195</v>
      </c>
      <c r="AP37" s="382">
        <v>94.308859402319797</v>
      </c>
      <c r="AQ37" s="382">
        <v>93.892599609095697</v>
      </c>
      <c r="AR37" s="382">
        <v>93.502356052948201</v>
      </c>
      <c r="AS37" s="382">
        <v>94.959265329232295</v>
      </c>
      <c r="AT37" s="382">
        <v>95.525118485646303</v>
      </c>
      <c r="AU37" s="382">
        <v>93.313738334143594</v>
      </c>
      <c r="AV37" s="382">
        <v>93.593679549146003</v>
      </c>
      <c r="AW37" s="382">
        <v>94.355741745541494</v>
      </c>
      <c r="AX37" s="382">
        <v>95.529939619579494</v>
      </c>
      <c r="AY37" s="382">
        <v>95.682680604281501</v>
      </c>
      <c r="AZ37" s="382">
        <v>96.608672824037598</v>
      </c>
      <c r="BA37" s="382">
        <v>98.622944559795698</v>
      </c>
      <c r="BB37" s="382">
        <v>99.644399894990599</v>
      </c>
      <c r="BC37" s="382">
        <v>100</v>
      </c>
      <c r="BD37" s="382">
        <v>100.137911563169</v>
      </c>
      <c r="BE37" s="382">
        <v>100.24983196316801</v>
      </c>
      <c r="BF37" s="382">
        <v>100.640009374917</v>
      </c>
      <c r="BG37" s="382">
        <v>100.431575127898</v>
      </c>
      <c r="BH37" s="382">
        <v>99.941120121148302</v>
      </c>
      <c r="BI37" s="382">
        <v>99.662590949652497</v>
      </c>
      <c r="BJ37" s="382">
        <v>98.406338363493603</v>
      </c>
      <c r="BK37" s="382">
        <v>99.4150542992179</v>
      </c>
      <c r="BL37" s="382">
        <v>99.026816572106597</v>
      </c>
      <c r="BM37" s="382">
        <v>100.948253665821</v>
      </c>
      <c r="BN37" s="382">
        <v>102.69810471103</v>
      </c>
      <c r="BO37" s="382">
        <v>106.479705986051</v>
      </c>
      <c r="BP37" s="382">
        <v>106.85990701515701</v>
      </c>
    </row>
    <row r="38" spans="1:68">
      <c r="A38" s="382" t="s">
        <v>1977</v>
      </c>
      <c r="B38" s="382" t="s">
        <v>2368</v>
      </c>
      <c r="C38" s="382" t="s">
        <v>2334</v>
      </c>
      <c r="D38" s="382" t="s">
        <v>2335</v>
      </c>
      <c r="E38" s="382"/>
      <c r="F38" s="382"/>
      <c r="G38" s="382"/>
      <c r="H38" s="382"/>
      <c r="I38" s="382"/>
      <c r="J38" s="382"/>
      <c r="K38" s="382"/>
      <c r="L38" s="382"/>
      <c r="M38" s="382"/>
      <c r="N38" s="382"/>
      <c r="O38" s="382"/>
      <c r="P38" s="382"/>
      <c r="Q38" s="382"/>
      <c r="R38" s="382"/>
      <c r="S38" s="382"/>
      <c r="T38" s="382"/>
      <c r="U38" s="382"/>
      <c r="V38" s="382"/>
      <c r="W38" s="382"/>
      <c r="X38" s="382"/>
      <c r="Y38" s="382">
        <v>10.86</v>
      </c>
      <c r="Z38" s="382">
        <v>11.943</v>
      </c>
      <c r="AA38" s="382">
        <v>13.119</v>
      </c>
      <c r="AB38" s="382">
        <v>15.488</v>
      </c>
      <c r="AC38" s="382">
        <v>16.577999999999999</v>
      </c>
      <c r="AD38" s="382">
        <v>16.89</v>
      </c>
      <c r="AE38" s="382">
        <v>18.573</v>
      </c>
      <c r="AF38" s="382">
        <v>19.748999999999999</v>
      </c>
      <c r="AG38" s="382">
        <v>21.742999999999999</v>
      </c>
      <c r="AH38" s="382">
        <v>23.652000000000001</v>
      </c>
      <c r="AI38" s="382">
        <v>26.02</v>
      </c>
      <c r="AJ38" s="382">
        <v>29.213999999999999</v>
      </c>
      <c r="AK38" s="382">
        <v>33.881</v>
      </c>
      <c r="AL38" s="382">
        <v>37.674999999999997</v>
      </c>
      <c r="AM38" s="382">
        <v>40.316000000000003</v>
      </c>
      <c r="AN38" s="382">
        <v>44.140999999999998</v>
      </c>
      <c r="AO38" s="382">
        <v>48.021000000000001</v>
      </c>
      <c r="AP38" s="382">
        <v>51.145000000000003</v>
      </c>
      <c r="AQ38" s="382">
        <v>56.558999999999997</v>
      </c>
      <c r="AR38" s="382">
        <v>60.392000000000003</v>
      </c>
      <c r="AS38" s="382">
        <v>62.814999999999998</v>
      </c>
      <c r="AT38" s="382">
        <v>64.959999999999994</v>
      </c>
      <c r="AU38" s="382">
        <v>66.555000000000007</v>
      </c>
      <c r="AV38" s="382">
        <v>68.266999999999996</v>
      </c>
      <c r="AW38" s="382">
        <v>71.069999999999993</v>
      </c>
      <c r="AX38" s="382">
        <v>74.845686884660495</v>
      </c>
      <c r="AY38" s="382">
        <v>78.588311312894305</v>
      </c>
      <c r="AZ38" s="382">
        <v>82.640412181808898</v>
      </c>
      <c r="BA38" s="382">
        <v>89.522011936948402</v>
      </c>
      <c r="BB38" s="382">
        <v>93.426176265537606</v>
      </c>
      <c r="BC38" s="382">
        <v>100</v>
      </c>
      <c r="BD38" s="382">
        <v>108.848985699468</v>
      </c>
      <c r="BE38" s="382">
        <v>120.734921525617</v>
      </c>
      <c r="BF38" s="382">
        <v>131.3310812</v>
      </c>
      <c r="BG38" s="382">
        <v>142.193554958547</v>
      </c>
      <c r="BH38" s="382">
        <v>148.66072252685299</v>
      </c>
      <c r="BI38" s="382">
        <v>153.44742964795799</v>
      </c>
      <c r="BJ38" s="382">
        <v>161.05087817625</v>
      </c>
      <c r="BK38" s="382">
        <v>165.437845896943</v>
      </c>
      <c r="BL38" s="382">
        <v>169.948393577383</v>
      </c>
      <c r="BM38" s="382">
        <v>179.51540934812701</v>
      </c>
      <c r="BN38" s="382">
        <v>192.704073301911</v>
      </c>
      <c r="BO38" s="382">
        <v>203.57097726000501</v>
      </c>
      <c r="BP38" s="382">
        <v>212.18069457819399</v>
      </c>
    </row>
    <row r="39" spans="1:68">
      <c r="A39" s="382" t="s">
        <v>1193</v>
      </c>
      <c r="B39" s="382" t="s">
        <v>2369</v>
      </c>
      <c r="C39" s="382" t="s">
        <v>2334</v>
      </c>
      <c r="D39" s="382" t="s">
        <v>2335</v>
      </c>
      <c r="E39" s="382"/>
      <c r="F39" s="382"/>
      <c r="G39" s="382"/>
      <c r="H39" s="382"/>
      <c r="I39" s="382"/>
      <c r="J39" s="382"/>
      <c r="K39" s="382"/>
      <c r="L39" s="382"/>
      <c r="M39" s="382"/>
      <c r="N39" s="382"/>
      <c r="O39" s="382"/>
      <c r="P39" s="382"/>
      <c r="Q39" s="382"/>
      <c r="R39" s="382"/>
      <c r="S39" s="382">
        <v>3.0385770591977499</v>
      </c>
      <c r="T39" s="382">
        <v>3.40243921825504</v>
      </c>
      <c r="U39" s="382">
        <v>3.80162780053741</v>
      </c>
      <c r="V39" s="382">
        <v>4.3022536837461098</v>
      </c>
      <c r="W39" s="382">
        <v>4.6913490022542099</v>
      </c>
      <c r="X39" s="382">
        <v>5.2419365411354404</v>
      </c>
      <c r="Y39" s="382">
        <v>5.9565396163636599</v>
      </c>
      <c r="Z39" s="382">
        <v>6.9350815392586904</v>
      </c>
      <c r="AA39" s="382">
        <v>7.7074558861992202</v>
      </c>
      <c r="AB39" s="382">
        <v>8.5149771235289897</v>
      </c>
      <c r="AC39" s="382">
        <v>9.2453466502772699</v>
      </c>
      <c r="AD39" s="382">
        <v>9.9937182428344808</v>
      </c>
      <c r="AE39" s="382">
        <v>10.993261515410801</v>
      </c>
      <c r="AF39" s="382">
        <v>12.0708137397458</v>
      </c>
      <c r="AG39" s="382">
        <v>13.0789294245651</v>
      </c>
      <c r="AH39" s="382">
        <v>14.5928174342512</v>
      </c>
      <c r="AI39" s="382">
        <v>16.2558654177117</v>
      </c>
      <c r="AJ39" s="382">
        <v>18.1683705986913</v>
      </c>
      <c r="AK39" s="382">
        <v>21.1057623358172</v>
      </c>
      <c r="AL39" s="382">
        <v>24.130387628851</v>
      </c>
      <c r="AM39" s="382">
        <v>26.674435332063702</v>
      </c>
      <c r="AN39" s="382">
        <v>29.4785976383479</v>
      </c>
      <c r="AO39" s="382">
        <v>32.450882797837103</v>
      </c>
      <c r="AP39" s="382">
        <v>35.280577474796203</v>
      </c>
      <c r="AQ39" s="382">
        <v>37.6307573887633</v>
      </c>
      <c r="AR39" s="382">
        <v>40.546876238122202</v>
      </c>
      <c r="AS39" s="382">
        <v>44.034509775930999</v>
      </c>
      <c r="AT39" s="382">
        <v>46.922749859999598</v>
      </c>
      <c r="AU39" s="382">
        <v>50.691958927239803</v>
      </c>
      <c r="AV39" s="382">
        <v>55.350500607238601</v>
      </c>
      <c r="AW39" s="382">
        <v>59.194982340762401</v>
      </c>
      <c r="AX39" s="382">
        <v>64.291803677992903</v>
      </c>
      <c r="AY39" s="382">
        <v>71.720862257946706</v>
      </c>
      <c r="AZ39" s="382">
        <v>76.799415418341297</v>
      </c>
      <c r="BA39" s="382">
        <v>86.554621848739501</v>
      </c>
      <c r="BB39" s="382">
        <v>93.502618438679605</v>
      </c>
      <c r="BC39" s="382">
        <v>100</v>
      </c>
      <c r="BD39" s="382">
        <v>108.459872334086</v>
      </c>
      <c r="BE39" s="382">
        <v>116.63438728383299</v>
      </c>
      <c r="BF39" s="382">
        <v>123.497862684651</v>
      </c>
      <c r="BG39" s="382">
        <v>128.934551163777</v>
      </c>
      <c r="BH39" s="382">
        <v>132.88256798725601</v>
      </c>
      <c r="BI39" s="382">
        <v>136.62315635063399</v>
      </c>
      <c r="BJ39" s="382">
        <v>141.14303395638299</v>
      </c>
      <c r="BK39" s="382">
        <v>145.713267399351</v>
      </c>
      <c r="BL39" s="382">
        <v>149.75369875886699</v>
      </c>
      <c r="BM39" s="382">
        <v>152.584581533137</v>
      </c>
      <c r="BN39" s="382">
        <v>163.63319698827601</v>
      </c>
      <c r="BO39" s="382">
        <v>182.72193800066501</v>
      </c>
      <c r="BP39" s="382">
        <v>191.98158324069701</v>
      </c>
    </row>
    <row r="40" spans="1:68">
      <c r="A40" s="382" t="s">
        <v>1194</v>
      </c>
      <c r="B40" s="382" t="s">
        <v>2370</v>
      </c>
      <c r="C40" s="382" t="s">
        <v>2334</v>
      </c>
      <c r="D40" s="382" t="s">
        <v>2335</v>
      </c>
      <c r="E40" s="382"/>
      <c r="F40" s="382"/>
      <c r="G40" s="382"/>
      <c r="H40" s="382"/>
      <c r="I40" s="382"/>
      <c r="J40" s="382"/>
      <c r="K40" s="382"/>
      <c r="L40" s="382"/>
      <c r="M40" s="382"/>
      <c r="N40" s="382"/>
      <c r="O40" s="382"/>
      <c r="P40" s="382"/>
      <c r="Q40" s="382"/>
      <c r="R40" s="382"/>
      <c r="S40" s="382"/>
      <c r="T40" s="382"/>
      <c r="U40" s="382"/>
      <c r="V40" s="382"/>
      <c r="W40" s="382"/>
      <c r="X40" s="382"/>
      <c r="Y40" s="382">
        <v>36.775048436736398</v>
      </c>
      <c r="Z40" s="382">
        <v>36.7627900872575</v>
      </c>
      <c r="AA40" s="382">
        <v>41.650806941973599</v>
      </c>
      <c r="AB40" s="382">
        <v>47.737077458253502</v>
      </c>
      <c r="AC40" s="382">
        <v>48.950654056665797</v>
      </c>
      <c r="AD40" s="382">
        <v>54.053192027262902</v>
      </c>
      <c r="AE40" s="382">
        <v>55.266768625675198</v>
      </c>
      <c r="AF40" s="382">
        <v>51.405388539817899</v>
      </c>
      <c r="AG40" s="382">
        <v>49.367437938949003</v>
      </c>
      <c r="AH40" s="382">
        <v>49.707607136988898</v>
      </c>
      <c r="AI40" s="382">
        <v>49.7014779622492</v>
      </c>
      <c r="AJ40" s="382">
        <v>48.328542820611197</v>
      </c>
      <c r="AK40" s="382">
        <v>47.829015079345297</v>
      </c>
      <c r="AL40" s="382">
        <v>46.434627826119304</v>
      </c>
      <c r="AM40" s="382">
        <v>57.844086603616702</v>
      </c>
      <c r="AN40" s="382">
        <v>68.944022056771601</v>
      </c>
      <c r="AO40" s="382">
        <v>71.512146272603601</v>
      </c>
      <c r="AP40" s="382">
        <v>72.664431123621597</v>
      </c>
      <c r="AQ40" s="382">
        <v>71.294560569353095</v>
      </c>
      <c r="AR40" s="382">
        <v>70.286311324712401</v>
      </c>
      <c r="AS40" s="382">
        <v>72.537863665251606</v>
      </c>
      <c r="AT40" s="382">
        <v>75.319589620753803</v>
      </c>
      <c r="AU40" s="382">
        <v>77.075904642344895</v>
      </c>
      <c r="AV40" s="382">
        <v>80.262769048125094</v>
      </c>
      <c r="AW40" s="382">
        <v>78.604214363628301</v>
      </c>
      <c r="AX40" s="382">
        <v>80.870783182279197</v>
      </c>
      <c r="AY40" s="382">
        <v>86.285296147114593</v>
      </c>
      <c r="AZ40" s="382">
        <v>87.113563907831505</v>
      </c>
      <c r="BA40" s="382">
        <v>95.179366099333294</v>
      </c>
      <c r="BB40" s="382">
        <v>98.530881208885702</v>
      </c>
      <c r="BC40" s="382">
        <v>100</v>
      </c>
      <c r="BD40" s="382">
        <v>101.194475724499</v>
      </c>
      <c r="BE40" s="382">
        <v>106.73820858312</v>
      </c>
      <c r="BF40" s="382">
        <v>114.197921480885</v>
      </c>
      <c r="BG40" s="382">
        <v>131.211909142167</v>
      </c>
      <c r="BH40" s="382">
        <v>133.05277308871399</v>
      </c>
      <c r="BI40" s="382">
        <v>139.63280851854901</v>
      </c>
      <c r="BJ40" s="382">
        <v>145.47046990485799</v>
      </c>
      <c r="BK40" s="382">
        <v>147.81568207912699</v>
      </c>
      <c r="BL40" s="382">
        <v>151.785085312376</v>
      </c>
      <c r="BM40" s="382">
        <v>154.38084795942299</v>
      </c>
      <c r="BN40" s="382">
        <v>160.95649049113001</v>
      </c>
      <c r="BO40" s="382">
        <v>169.94296071888601</v>
      </c>
      <c r="BP40" s="382">
        <v>175.005796934209</v>
      </c>
    </row>
    <row r="41" spans="1:68">
      <c r="A41" s="382" t="s">
        <v>199</v>
      </c>
      <c r="B41" s="382" t="s">
        <v>198</v>
      </c>
      <c r="C41" s="382" t="s">
        <v>2334</v>
      </c>
      <c r="D41" s="382" t="s">
        <v>2335</v>
      </c>
      <c r="E41" s="382">
        <v>13.344304522037801</v>
      </c>
      <c r="F41" s="382">
        <v>13.480251860332</v>
      </c>
      <c r="G41" s="382">
        <v>13.6233543216943</v>
      </c>
      <c r="H41" s="382">
        <v>13.845163136805899</v>
      </c>
      <c r="I41" s="382">
        <v>14.109902690326299</v>
      </c>
      <c r="J41" s="382">
        <v>14.439038351459599</v>
      </c>
      <c r="K41" s="382">
        <v>14.989982827704599</v>
      </c>
      <c r="L41" s="382">
        <v>15.5266170578134</v>
      </c>
      <c r="M41" s="382">
        <v>16.156267887807701</v>
      </c>
      <c r="N41" s="382">
        <v>16.893245563823701</v>
      </c>
      <c r="O41" s="382">
        <v>17.458500286204899</v>
      </c>
      <c r="P41" s="382">
        <v>17.930738408700599</v>
      </c>
      <c r="Q41" s="382">
        <v>18.8251287922152</v>
      </c>
      <c r="R41" s="382">
        <v>20.2346880366342</v>
      </c>
      <c r="S41" s="382">
        <v>22.459931310818501</v>
      </c>
      <c r="T41" s="382">
        <v>24.8568975386377</v>
      </c>
      <c r="U41" s="382">
        <v>26.731539782484202</v>
      </c>
      <c r="V41" s="382">
        <v>28.8637664567831</v>
      </c>
      <c r="W41" s="382">
        <v>31.453921007441298</v>
      </c>
      <c r="X41" s="382">
        <v>34.3302804808242</v>
      </c>
      <c r="Y41" s="382">
        <v>37.807670291929</v>
      </c>
      <c r="Z41" s="382">
        <v>42.522896393818002</v>
      </c>
      <c r="AA41" s="382">
        <v>47.102175157412702</v>
      </c>
      <c r="AB41" s="382">
        <v>49.864052661705799</v>
      </c>
      <c r="AC41" s="382">
        <v>52.010589582140803</v>
      </c>
      <c r="AD41" s="382">
        <v>54.0712650257584</v>
      </c>
      <c r="AE41" s="382">
        <v>56.3394390383515</v>
      </c>
      <c r="AF41" s="382">
        <v>58.793646250715497</v>
      </c>
      <c r="AG41" s="382">
        <v>61.161991986262201</v>
      </c>
      <c r="AH41" s="382">
        <v>64.210074413279898</v>
      </c>
      <c r="AI41" s="382">
        <v>67.279622209501994</v>
      </c>
      <c r="AJ41" s="382">
        <v>71.064682312535794</v>
      </c>
      <c r="AK41" s="382">
        <v>72.123640526616995</v>
      </c>
      <c r="AL41" s="382">
        <v>73.468803663423003</v>
      </c>
      <c r="AM41" s="382">
        <v>73.590440755581</v>
      </c>
      <c r="AN41" s="382">
        <v>75.171722953634799</v>
      </c>
      <c r="AO41" s="382">
        <v>76.352318259873996</v>
      </c>
      <c r="AP41" s="382">
        <v>77.590154550658298</v>
      </c>
      <c r="AQ41" s="382">
        <v>78.362907842014806</v>
      </c>
      <c r="AR41" s="382">
        <v>79.722381224957005</v>
      </c>
      <c r="AS41" s="382">
        <v>81.890383514596394</v>
      </c>
      <c r="AT41" s="382">
        <v>83.958214081282193</v>
      </c>
      <c r="AU41" s="382">
        <v>85.854321694333095</v>
      </c>
      <c r="AV41" s="382">
        <v>88.222667429879806</v>
      </c>
      <c r="AW41" s="382">
        <v>89.861190612478495</v>
      </c>
      <c r="AX41" s="382">
        <v>91.850314825414998</v>
      </c>
      <c r="AY41" s="382">
        <v>93.689181453920995</v>
      </c>
      <c r="AZ41" s="382">
        <v>95.692615912993702</v>
      </c>
      <c r="BA41" s="382">
        <v>97.960789925586695</v>
      </c>
      <c r="BB41" s="382">
        <v>98.254149971379505</v>
      </c>
      <c r="BC41" s="382">
        <v>100</v>
      </c>
      <c r="BD41" s="382">
        <v>102.912135088724</v>
      </c>
      <c r="BE41" s="382">
        <v>104.47195191757299</v>
      </c>
      <c r="BF41" s="382">
        <v>105.452203777905</v>
      </c>
      <c r="BG41" s="382">
        <v>107.46279336004601</v>
      </c>
      <c r="BH41" s="382">
        <v>108.672009158557</v>
      </c>
      <c r="BI41" s="382">
        <v>110.224670864339</v>
      </c>
      <c r="BJ41" s="382">
        <v>111.984831139096</v>
      </c>
      <c r="BK41" s="382">
        <v>114.524899828277</v>
      </c>
      <c r="BL41" s="382">
        <v>116.757298225529</v>
      </c>
      <c r="BM41" s="382">
        <v>117.594447624499</v>
      </c>
      <c r="BN41" s="382">
        <v>121.58700629650799</v>
      </c>
      <c r="BO41" s="382">
        <v>129.85832856325101</v>
      </c>
      <c r="BP41" s="382">
        <v>134.89553520320499</v>
      </c>
    </row>
    <row r="42" spans="1:68">
      <c r="A42" s="382" t="s">
        <v>2371</v>
      </c>
      <c r="B42" s="382" t="s">
        <v>2372</v>
      </c>
      <c r="C42" s="382" t="s">
        <v>2334</v>
      </c>
      <c r="D42" s="382" t="s">
        <v>2335</v>
      </c>
      <c r="E42" s="382"/>
      <c r="F42" s="382"/>
      <c r="G42" s="382"/>
      <c r="H42" s="382"/>
      <c r="I42" s="382"/>
      <c r="J42" s="382"/>
      <c r="K42" s="382"/>
      <c r="L42" s="382"/>
      <c r="M42" s="382"/>
      <c r="N42" s="382"/>
      <c r="O42" s="382"/>
      <c r="P42" s="382"/>
      <c r="Q42" s="382"/>
      <c r="R42" s="382"/>
      <c r="S42" s="382"/>
      <c r="T42" s="382"/>
      <c r="U42" s="382"/>
      <c r="V42" s="382"/>
      <c r="W42" s="382"/>
      <c r="X42" s="382"/>
      <c r="Y42" s="382"/>
      <c r="Z42" s="382"/>
      <c r="AA42" s="382"/>
      <c r="AB42" s="382"/>
      <c r="AC42" s="382"/>
      <c r="AD42" s="382"/>
      <c r="AE42" s="382"/>
      <c r="AF42" s="382"/>
      <c r="AG42" s="382"/>
      <c r="AH42" s="382"/>
      <c r="AI42" s="382"/>
      <c r="AJ42" s="382"/>
      <c r="AK42" s="382"/>
      <c r="AL42" s="382"/>
      <c r="AM42" s="382"/>
      <c r="AN42" s="382"/>
      <c r="AO42" s="382"/>
      <c r="AP42" s="382"/>
      <c r="AQ42" s="382"/>
      <c r="AR42" s="382"/>
      <c r="AS42" s="382"/>
      <c r="AT42" s="382"/>
      <c r="AU42" s="382"/>
      <c r="AV42" s="382"/>
      <c r="AW42" s="382"/>
      <c r="AX42" s="382"/>
      <c r="AY42" s="382"/>
      <c r="AZ42" s="382"/>
      <c r="BA42" s="382"/>
      <c r="BB42" s="382"/>
      <c r="BC42" s="382"/>
      <c r="BD42" s="382"/>
      <c r="BE42" s="382"/>
      <c r="BF42" s="382"/>
      <c r="BG42" s="382"/>
      <c r="BH42" s="382"/>
      <c r="BI42" s="382"/>
      <c r="BJ42" s="382"/>
      <c r="BK42" s="382"/>
      <c r="BL42" s="382"/>
      <c r="BM42" s="382"/>
      <c r="BN42" s="382"/>
      <c r="BO42" s="382"/>
      <c r="BP42" s="382"/>
    </row>
    <row r="43" spans="1:68">
      <c r="A43" s="382" t="s">
        <v>2258</v>
      </c>
      <c r="B43" s="382" t="s">
        <v>2373</v>
      </c>
      <c r="C43" s="382" t="s">
        <v>2334</v>
      </c>
      <c r="D43" s="382" t="s">
        <v>2335</v>
      </c>
      <c r="E43" s="382">
        <v>24.041191164265999</v>
      </c>
      <c r="F43" s="382">
        <v>24.4848467950127</v>
      </c>
      <c r="G43" s="382">
        <v>25.541611038763001</v>
      </c>
      <c r="H43" s="382">
        <v>26.420296831587699</v>
      </c>
      <c r="I43" s="382">
        <v>27.234189100976501</v>
      </c>
      <c r="J43" s="382">
        <v>28.164094662017401</v>
      </c>
      <c r="K43" s="382">
        <v>29.5092060763712</v>
      </c>
      <c r="L43" s="382">
        <v>30.6911076814071</v>
      </c>
      <c r="M43" s="382">
        <v>31.426412074016</v>
      </c>
      <c r="N43" s="382">
        <v>32.208626780776299</v>
      </c>
      <c r="O43" s="382">
        <v>33.373286469216303</v>
      </c>
      <c r="P43" s="382">
        <v>35.566986383601296</v>
      </c>
      <c r="Q43" s="382">
        <v>37.935750181234901</v>
      </c>
      <c r="R43" s="382">
        <v>41.256900046907901</v>
      </c>
      <c r="S43" s="382">
        <v>45.286632409718798</v>
      </c>
      <c r="T43" s="382">
        <v>48.319294873266799</v>
      </c>
      <c r="U43" s="382">
        <v>49.1482009361889</v>
      </c>
      <c r="V43" s="382">
        <v>49.785161208844897</v>
      </c>
      <c r="W43" s="382">
        <v>50.297347410063203</v>
      </c>
      <c r="X43" s="382">
        <v>52.132013626239498</v>
      </c>
      <c r="Y43" s="382">
        <v>54.229024316637798</v>
      </c>
      <c r="Z43" s="382">
        <v>57.7486559095695</v>
      </c>
      <c r="AA43" s="382">
        <v>61.014401203202901</v>
      </c>
      <c r="AB43" s="382">
        <v>62.814200614722502</v>
      </c>
      <c r="AC43" s="382">
        <v>64.655571701770995</v>
      </c>
      <c r="AD43" s="382">
        <v>66.876748793680903</v>
      </c>
      <c r="AE43" s="382">
        <v>67.378531620157901</v>
      </c>
      <c r="AF43" s="382">
        <v>68.348999353786894</v>
      </c>
      <c r="AG43" s="382">
        <v>69.628812903268098</v>
      </c>
      <c r="AH43" s="382">
        <v>71.825789806890498</v>
      </c>
      <c r="AI43" s="382">
        <v>75.707226105696805</v>
      </c>
      <c r="AJ43" s="382">
        <v>80.143364178800894</v>
      </c>
      <c r="AK43" s="382">
        <v>83.378776000236101</v>
      </c>
      <c r="AL43" s="382">
        <v>86.124123758007897</v>
      </c>
      <c r="AM43" s="382">
        <v>86.858002053448701</v>
      </c>
      <c r="AN43" s="382">
        <v>88.421296493719893</v>
      </c>
      <c r="AO43" s="382">
        <v>89.138953856448794</v>
      </c>
      <c r="AP43" s="382">
        <v>89.602677355971593</v>
      </c>
      <c r="AQ43" s="382">
        <v>89.618750676555507</v>
      </c>
      <c r="AR43" s="382">
        <v>90.3414760556727</v>
      </c>
      <c r="AS43" s="382">
        <v>91.749474336811502</v>
      </c>
      <c r="AT43" s="382">
        <v>92.656895290516999</v>
      </c>
      <c r="AU43" s="382">
        <v>93.252411818154997</v>
      </c>
      <c r="AV43" s="382">
        <v>93.847616720189706</v>
      </c>
      <c r="AW43" s="382">
        <v>94.601127428629496</v>
      </c>
      <c r="AX43" s="382">
        <v>95.709809317933505</v>
      </c>
      <c r="AY43" s="382">
        <v>96.723863632635997</v>
      </c>
      <c r="AZ43" s="382">
        <v>97.432221431312797</v>
      </c>
      <c r="BA43" s="382">
        <v>99.795967236668105</v>
      </c>
      <c r="BB43" s="382">
        <v>99.316465640817</v>
      </c>
      <c r="BC43" s="382">
        <v>100</v>
      </c>
      <c r="BD43" s="382">
        <v>100.23134920765099</v>
      </c>
      <c r="BE43" s="382">
        <v>99.537194975939201</v>
      </c>
      <c r="BF43" s="382">
        <v>99.320877603303799</v>
      </c>
      <c r="BG43" s="382">
        <v>99.307764725949895</v>
      </c>
      <c r="BH43" s="382">
        <v>98.171774593000507</v>
      </c>
      <c r="BI43" s="382">
        <v>97.745101737558699</v>
      </c>
      <c r="BJ43" s="382">
        <v>98.266853204659299</v>
      </c>
      <c r="BK43" s="382">
        <v>99.186960600682895</v>
      </c>
      <c r="BL43" s="382">
        <v>99.546896373005893</v>
      </c>
      <c r="BM43" s="382">
        <v>98.8243104053428</v>
      </c>
      <c r="BN43" s="382">
        <v>99.399284245193499</v>
      </c>
      <c r="BO43" s="382">
        <v>102.21728177187001</v>
      </c>
      <c r="BP43" s="382">
        <v>104.400030506506</v>
      </c>
    </row>
    <row r="44" spans="1:68">
      <c r="A44" s="382" t="s">
        <v>2374</v>
      </c>
      <c r="B44" s="382" t="s">
        <v>2375</v>
      </c>
      <c r="C44" s="382" t="s">
        <v>2334</v>
      </c>
      <c r="D44" s="382" t="s">
        <v>2335</v>
      </c>
      <c r="E44" s="382"/>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2"/>
      <c r="AJ44" s="382"/>
      <c r="AK44" s="382"/>
      <c r="AL44" s="382"/>
      <c r="AM44" s="382"/>
      <c r="AN44" s="382"/>
      <c r="AO44" s="382"/>
      <c r="AP44" s="382"/>
      <c r="AQ44" s="382"/>
      <c r="AR44" s="382"/>
      <c r="AS44" s="382"/>
      <c r="AT44" s="382"/>
      <c r="AU44" s="382"/>
      <c r="AV44" s="382"/>
      <c r="AW44" s="382"/>
      <c r="AX44" s="382"/>
      <c r="AY44" s="382"/>
      <c r="AZ44" s="382"/>
      <c r="BA44" s="382"/>
      <c r="BB44" s="382"/>
      <c r="BC44" s="382"/>
      <c r="BD44" s="382"/>
      <c r="BE44" s="382"/>
      <c r="BF44" s="382"/>
      <c r="BG44" s="382"/>
      <c r="BH44" s="382"/>
      <c r="BI44" s="382"/>
      <c r="BJ44" s="382"/>
      <c r="BK44" s="382"/>
      <c r="BL44" s="382"/>
      <c r="BM44" s="382"/>
      <c r="BN44" s="382"/>
      <c r="BO44" s="382"/>
      <c r="BP44" s="382"/>
    </row>
    <row r="45" spans="1:68">
      <c r="A45" s="382" t="s">
        <v>201</v>
      </c>
      <c r="B45" s="382" t="s">
        <v>200</v>
      </c>
      <c r="C45" s="382" t="s">
        <v>2334</v>
      </c>
      <c r="D45" s="382" t="s">
        <v>2335</v>
      </c>
      <c r="E45" s="382"/>
      <c r="F45" s="382"/>
      <c r="G45" s="382"/>
      <c r="H45" s="382"/>
      <c r="I45" s="382"/>
      <c r="J45" s="382"/>
      <c r="K45" s="382"/>
      <c r="L45" s="382"/>
      <c r="M45" s="382"/>
      <c r="N45" s="382"/>
      <c r="O45" s="382">
        <v>1.12474788217588E-3</v>
      </c>
      <c r="P45" s="382">
        <v>1.3502849279724801E-3</v>
      </c>
      <c r="Q45" s="382">
        <v>2.4007490862180199E-3</v>
      </c>
      <c r="R45" s="382">
        <v>1.0870855622446799E-2</v>
      </c>
      <c r="S45" s="382">
        <v>6.5740253708879801E-2</v>
      </c>
      <c r="T45" s="382">
        <v>0.31209217372608</v>
      </c>
      <c r="U45" s="382">
        <v>0.97349133519673103</v>
      </c>
      <c r="V45" s="382">
        <v>1.8686568479896799</v>
      </c>
      <c r="W45" s="382">
        <v>2.61774951623307</v>
      </c>
      <c r="X45" s="382">
        <v>3.4917956353472399</v>
      </c>
      <c r="Y45" s="382">
        <v>4.7187546764136696</v>
      </c>
      <c r="Z45" s="382">
        <v>5.6477280154805403</v>
      </c>
      <c r="AA45" s="382">
        <v>6.2091701784562403</v>
      </c>
      <c r="AB45" s="382">
        <v>7.9016157815523496</v>
      </c>
      <c r="AC45" s="382">
        <v>9.4708929262524197</v>
      </c>
      <c r="AD45" s="382">
        <v>12.378788432595099</v>
      </c>
      <c r="AE45" s="382">
        <v>14.789784992474701</v>
      </c>
      <c r="AF45" s="382">
        <v>17.7301193291765</v>
      </c>
      <c r="AG45" s="382">
        <v>20.333672328531499</v>
      </c>
      <c r="AH45" s="382">
        <v>23.796077187701599</v>
      </c>
      <c r="AI45" s="382">
        <v>29.991738335841799</v>
      </c>
      <c r="AJ45" s="382">
        <v>36.525262309180803</v>
      </c>
      <c r="AK45" s="382">
        <v>42.1595785852505</v>
      </c>
      <c r="AL45" s="382">
        <v>47.525551494302299</v>
      </c>
      <c r="AM45" s="382">
        <v>52.963957213502503</v>
      </c>
      <c r="AN45" s="382">
        <v>57.324284024940802</v>
      </c>
      <c r="AO45" s="382">
        <v>61.5428456245969</v>
      </c>
      <c r="AP45" s="382">
        <v>65.317800473016604</v>
      </c>
      <c r="AQ45" s="382">
        <v>68.655703074607601</v>
      </c>
      <c r="AR45" s="382">
        <v>70.946660933132605</v>
      </c>
      <c r="AS45" s="382">
        <v>73.673334766716806</v>
      </c>
      <c r="AT45" s="382">
        <v>76.302810148355107</v>
      </c>
      <c r="AU45" s="382">
        <v>78.202290905181698</v>
      </c>
      <c r="AV45" s="382">
        <v>80.399915072027497</v>
      </c>
      <c r="AW45" s="382">
        <v>81.247924102343603</v>
      </c>
      <c r="AX45" s="382">
        <v>83.728078907761699</v>
      </c>
      <c r="AY45" s="382">
        <v>86.5681498602451</v>
      </c>
      <c r="AZ45" s="382">
        <v>90.383900236508197</v>
      </c>
      <c r="BA45" s="382">
        <v>98.262003870135402</v>
      </c>
      <c r="BB45" s="382">
        <v>98.608913136959799</v>
      </c>
      <c r="BC45" s="382">
        <v>100</v>
      </c>
      <c r="BD45" s="382">
        <v>103.34121694259299</v>
      </c>
      <c r="BE45" s="382">
        <v>106.449150720275</v>
      </c>
      <c r="BF45" s="382">
        <v>108.354117394109</v>
      </c>
      <c r="BG45" s="382">
        <v>113.466996344872</v>
      </c>
      <c r="BH45" s="382">
        <v>118.401419049667</v>
      </c>
      <c r="BI45" s="382">
        <v>122.884325951408</v>
      </c>
      <c r="BJ45" s="382">
        <v>125.566544829069</v>
      </c>
      <c r="BK45" s="382">
        <v>128.62395183831401</v>
      </c>
      <c r="BL45" s="382">
        <v>131.913566974844</v>
      </c>
      <c r="BM45" s="382">
        <v>135.93098258439099</v>
      </c>
      <c r="BN45" s="382">
        <v>142.08127284454901</v>
      </c>
      <c r="BO45" s="382">
        <v>158.62502687594099</v>
      </c>
      <c r="BP45" s="382">
        <v>170.65147280154801</v>
      </c>
    </row>
    <row r="46" spans="1:68">
      <c r="A46" s="382" t="s">
        <v>203</v>
      </c>
      <c r="B46" s="382" t="s">
        <v>202</v>
      </c>
      <c r="C46" s="382" t="s">
        <v>2334</v>
      </c>
      <c r="D46" s="382" t="s">
        <v>2335</v>
      </c>
      <c r="E46" s="382"/>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v>26.048319784965901</v>
      </c>
      <c r="AF46" s="382">
        <v>27.932612396709601</v>
      </c>
      <c r="AG46" s="382">
        <v>33.187244588026303</v>
      </c>
      <c r="AH46" s="382">
        <v>39.2424692179247</v>
      </c>
      <c r="AI46" s="382">
        <v>40.440263229002703</v>
      </c>
      <c r="AJ46" s="382">
        <v>41.878596268982299</v>
      </c>
      <c r="AK46" s="382">
        <v>44.539554461471603</v>
      </c>
      <c r="AL46" s="382">
        <v>51.046818392265301</v>
      </c>
      <c r="AM46" s="382">
        <v>63.4292398842776</v>
      </c>
      <c r="AN46" s="382">
        <v>74.079786373752697</v>
      </c>
      <c r="AO46" s="382">
        <v>80.238157756706499</v>
      </c>
      <c r="AP46" s="382">
        <v>82.473965983628702</v>
      </c>
      <c r="AQ46" s="382">
        <v>81.836288815473296</v>
      </c>
      <c r="AR46" s="382">
        <v>80.689375583136098</v>
      </c>
      <c r="AS46" s="382">
        <v>80.970022290301102</v>
      </c>
      <c r="AT46" s="382">
        <v>81.552298456301003</v>
      </c>
      <c r="AU46" s="382">
        <v>80.955359361402998</v>
      </c>
      <c r="AV46" s="382">
        <v>81.868214816715493</v>
      </c>
      <c r="AW46" s="382">
        <v>84.999377204753898</v>
      </c>
      <c r="AX46" s="382">
        <v>86.509318106505802</v>
      </c>
      <c r="AY46" s="382">
        <v>87.936229612535797</v>
      </c>
      <c r="AZ46" s="382">
        <v>92.171913494060703</v>
      </c>
      <c r="BA46" s="382">
        <v>97.633331061501593</v>
      </c>
      <c r="BB46" s="382">
        <v>96.922399071383396</v>
      </c>
      <c r="BC46" s="382">
        <v>100</v>
      </c>
      <c r="BD46" s="382">
        <v>105.553898922575</v>
      </c>
      <c r="BE46" s="382">
        <v>108.318908982374</v>
      </c>
      <c r="BF46" s="382">
        <v>111.158001765192</v>
      </c>
      <c r="BG46" s="382">
        <v>113.29406019983701</v>
      </c>
      <c r="BH46" s="382">
        <v>114.922122819495</v>
      </c>
      <c r="BI46" s="382">
        <v>117.220567369674</v>
      </c>
      <c r="BJ46" s="382">
        <v>119.088050428682</v>
      </c>
      <c r="BK46" s="382">
        <v>121.55887786611299</v>
      </c>
      <c r="BL46" s="382">
        <v>125.08315438207499</v>
      </c>
      <c r="BM46" s="382">
        <v>128.109443605623</v>
      </c>
      <c r="BN46" s="382">
        <v>129.366216637457</v>
      </c>
      <c r="BO46" s="382">
        <v>131.91935666853499</v>
      </c>
      <c r="BP46" s="382">
        <v>132.229151902431</v>
      </c>
    </row>
    <row r="47" spans="1:68">
      <c r="A47" s="382" t="s">
        <v>2033</v>
      </c>
      <c r="B47" s="382" t="s">
        <v>2376</v>
      </c>
      <c r="C47" s="382" t="s">
        <v>2334</v>
      </c>
      <c r="D47" s="382" t="s">
        <v>2335</v>
      </c>
      <c r="E47" s="382">
        <v>5.5588369431265097</v>
      </c>
      <c r="F47" s="382">
        <v>6.2045788000837101</v>
      </c>
      <c r="G47" s="382">
        <v>6.1213599551031699</v>
      </c>
      <c r="H47" s="382">
        <v>6.1791129240215703</v>
      </c>
      <c r="I47" s="382">
        <v>6.2173117380897596</v>
      </c>
      <c r="J47" s="382">
        <v>6.3796566978942799</v>
      </c>
      <c r="K47" s="382">
        <v>6.6470483963942</v>
      </c>
      <c r="L47" s="382">
        <v>6.7993889049166896</v>
      </c>
      <c r="M47" s="382">
        <v>7.1631871341807001</v>
      </c>
      <c r="N47" s="382">
        <v>7.4819653325595903</v>
      </c>
      <c r="O47" s="382">
        <v>8.0958748444653299</v>
      </c>
      <c r="P47" s="382">
        <v>8.0599497693164199</v>
      </c>
      <c r="Q47" s="382">
        <v>8.0849608975737706</v>
      </c>
      <c r="R47" s="382">
        <v>8.9826330282917795</v>
      </c>
      <c r="S47" s="382">
        <v>10.5419631884473</v>
      </c>
      <c r="T47" s="382">
        <v>11.7484090662531</v>
      </c>
      <c r="U47" s="382">
        <v>13.167222160400801</v>
      </c>
      <c r="V47" s="382">
        <v>16.7779195858277</v>
      </c>
      <c r="W47" s="382">
        <v>18.999817271053001</v>
      </c>
      <c r="X47" s="382">
        <v>22.104835157825701</v>
      </c>
      <c r="Y47" s="382">
        <v>25.354462840726299</v>
      </c>
      <c r="Z47" s="382">
        <v>27.5854554816787</v>
      </c>
      <c r="AA47" s="382">
        <v>29.677295299955698</v>
      </c>
      <c r="AB47" s="382">
        <v>31.351221902324799</v>
      </c>
      <c r="AC47" s="382">
        <v>32.694546863904797</v>
      </c>
      <c r="AD47" s="382">
        <v>33.303908897958401</v>
      </c>
      <c r="AE47" s="382">
        <v>36.5287113202562</v>
      </c>
      <c r="AF47" s="382">
        <v>39.065011622012896</v>
      </c>
      <c r="AG47" s="382">
        <v>41.772484980615403</v>
      </c>
      <c r="AH47" s="382">
        <v>42.2108948289126</v>
      </c>
      <c r="AI47" s="382">
        <v>41.870725797024903</v>
      </c>
      <c r="AJ47" s="382">
        <v>42.575556031096603</v>
      </c>
      <c r="AK47" s="382">
        <v>44.377091223975398</v>
      </c>
      <c r="AL47" s="382">
        <v>45.337728570026698</v>
      </c>
      <c r="AM47" s="382">
        <v>57.162520887787103</v>
      </c>
      <c r="AN47" s="382">
        <v>65.333942739535004</v>
      </c>
      <c r="AO47" s="382">
        <v>66.954751563083505</v>
      </c>
      <c r="AP47" s="382">
        <v>69.646890532182297</v>
      </c>
      <c r="AQ47" s="382">
        <v>72.858620390728106</v>
      </c>
      <c r="AR47" s="382">
        <v>73.370361712905805</v>
      </c>
      <c r="AS47" s="382">
        <v>75.227200607352898</v>
      </c>
      <c r="AT47" s="382">
        <v>78.5082568831034</v>
      </c>
      <c r="AU47" s="382">
        <v>80.9241638777508</v>
      </c>
      <c r="AV47" s="382">
        <v>83.592077757298895</v>
      </c>
      <c r="AW47" s="382">
        <v>84.810840517544904</v>
      </c>
      <c r="AX47" s="382">
        <v>88.106445939908397</v>
      </c>
      <c r="AY47" s="382">
        <v>90.280200672727901</v>
      </c>
      <c r="AZ47" s="382">
        <v>91.988307751236704</v>
      </c>
      <c r="BA47" s="382">
        <v>97.791415618689399</v>
      </c>
      <c r="BB47" s="382">
        <v>98.788403577139505</v>
      </c>
      <c r="BC47" s="382">
        <v>100</v>
      </c>
      <c r="BD47" s="382">
        <v>104.912433950525</v>
      </c>
      <c r="BE47" s="382">
        <v>106.281028400716</v>
      </c>
      <c r="BF47" s="382">
        <v>109.024322817415</v>
      </c>
      <c r="BG47" s="382">
        <v>109.513495413212</v>
      </c>
      <c r="BH47" s="382">
        <v>110.88405631310501</v>
      </c>
      <c r="BI47" s="382">
        <v>111.685945921178</v>
      </c>
      <c r="BJ47" s="382">
        <v>112.451978676858</v>
      </c>
      <c r="BK47" s="382">
        <v>112.856141244189</v>
      </c>
      <c r="BL47" s="382">
        <v>111.606977877028</v>
      </c>
      <c r="BM47" s="382">
        <v>114.31345442113501</v>
      </c>
      <c r="BN47" s="382">
        <v>118.99110598776601</v>
      </c>
      <c r="BO47" s="382">
        <v>125.269275743533</v>
      </c>
      <c r="BP47" s="382">
        <v>130.76498552318401</v>
      </c>
    </row>
    <row r="48" spans="1:68">
      <c r="A48" s="382" t="s">
        <v>1366</v>
      </c>
      <c r="B48" s="382" t="s">
        <v>2377</v>
      </c>
      <c r="C48" s="382" t="s">
        <v>2334</v>
      </c>
      <c r="D48" s="382" t="s">
        <v>2335</v>
      </c>
      <c r="E48" s="382"/>
      <c r="F48" s="382"/>
      <c r="G48" s="382"/>
      <c r="H48" s="382"/>
      <c r="I48" s="382"/>
      <c r="J48" s="382"/>
      <c r="K48" s="382"/>
      <c r="L48" s="382"/>
      <c r="M48" s="382">
        <v>7.5248008384896803</v>
      </c>
      <c r="N48" s="382">
        <v>7.4419082955929499</v>
      </c>
      <c r="O48" s="382">
        <v>7.8778616693399597</v>
      </c>
      <c r="P48" s="382">
        <v>8.1940813700201005</v>
      </c>
      <c r="Q48" s="382">
        <v>8.8572217131632094</v>
      </c>
      <c r="R48" s="382">
        <v>9.7770219299110508</v>
      </c>
      <c r="S48" s="382">
        <v>11.4618896166232</v>
      </c>
      <c r="T48" s="382">
        <v>13.0153572724161</v>
      </c>
      <c r="U48" s="382">
        <v>14.307866922756499</v>
      </c>
      <c r="V48" s="382">
        <v>16.4108814370007</v>
      </c>
      <c r="W48" s="382">
        <v>18.456178180635199</v>
      </c>
      <c r="X48" s="382">
        <v>19.670707438769</v>
      </c>
      <c r="Y48" s="382">
        <v>21.549605077755398</v>
      </c>
      <c r="Z48" s="382">
        <v>23.861338962471699</v>
      </c>
      <c r="AA48" s="382">
        <v>27.024641407843902</v>
      </c>
      <c r="AB48" s="382">
        <v>31.5191707068943</v>
      </c>
      <c r="AC48" s="382">
        <v>35.103947511578902</v>
      </c>
      <c r="AD48" s="382">
        <v>38.0907227753558</v>
      </c>
      <c r="AE48" s="382">
        <v>41.050381452743302</v>
      </c>
      <c r="AF48" s="382">
        <v>46.444606763790198</v>
      </c>
      <c r="AG48" s="382">
        <v>47.225959527901097</v>
      </c>
      <c r="AH48" s="382">
        <v>46.439398942563002</v>
      </c>
      <c r="AI48" s="382">
        <v>46.949945002863501</v>
      </c>
      <c r="AJ48" s="382">
        <v>46.978139069506902</v>
      </c>
      <c r="AK48" s="382">
        <v>46.970596707729598</v>
      </c>
      <c r="AL48" s="382">
        <v>45.464458892836802</v>
      </c>
      <c r="AM48" s="382">
        <v>61.419966072449398</v>
      </c>
      <c r="AN48" s="382">
        <v>66.9905670350674</v>
      </c>
      <c r="AO48" s="382">
        <v>69.619319576935695</v>
      </c>
      <c r="AP48" s="382">
        <v>72.951466475774794</v>
      </c>
      <c r="AQ48" s="382">
        <v>75.264576451480096</v>
      </c>
      <c r="AR48" s="382">
        <v>76.673337403039696</v>
      </c>
      <c r="AS48" s="382">
        <v>77.614265031808401</v>
      </c>
      <c r="AT48" s="382">
        <v>81.044638941793195</v>
      </c>
      <c r="AU48" s="382">
        <v>83.341786505085693</v>
      </c>
      <c r="AV48" s="382">
        <v>83.861142146650096</v>
      </c>
      <c r="AW48" s="382">
        <v>84.057081508170498</v>
      </c>
      <c r="AX48" s="382">
        <v>85.749604048364006</v>
      </c>
      <c r="AY48" s="382">
        <v>90.137907057596493</v>
      </c>
      <c r="AZ48" s="382">
        <v>90.968439757407197</v>
      </c>
      <c r="BA48" s="382">
        <v>95.824158844207503</v>
      </c>
      <c r="BB48" s="382">
        <v>98.740680650519394</v>
      </c>
      <c r="BC48" s="382">
        <v>100</v>
      </c>
      <c r="BD48" s="382">
        <v>102.939699463051</v>
      </c>
      <c r="BE48" s="382">
        <v>105.755405742962</v>
      </c>
      <c r="BF48" s="382">
        <v>107.923758722329</v>
      </c>
      <c r="BG48" s="382">
        <v>109.925634907972</v>
      </c>
      <c r="BH48" s="382">
        <v>112.867503568736</v>
      </c>
      <c r="BI48" s="382">
        <v>113.854180430792</v>
      </c>
      <c r="BJ48" s="382">
        <v>114.58331301979401</v>
      </c>
      <c r="BK48" s="382">
        <v>115.80804605729899</v>
      </c>
      <c r="BL48" s="382">
        <v>118.64858829001101</v>
      </c>
      <c r="BM48" s="382">
        <v>121.540776745136</v>
      </c>
      <c r="BN48" s="382">
        <v>124.302010149149</v>
      </c>
      <c r="BO48" s="382">
        <v>132.06799841364199</v>
      </c>
      <c r="BP48" s="382">
        <v>141.81833288244599</v>
      </c>
    </row>
    <row r="49" spans="1:68">
      <c r="A49" s="382" t="s">
        <v>2378</v>
      </c>
      <c r="B49" s="382" t="s">
        <v>2379</v>
      </c>
      <c r="C49" s="382" t="s">
        <v>2334</v>
      </c>
      <c r="D49" s="382" t="s">
        <v>2335</v>
      </c>
      <c r="E49" s="382"/>
      <c r="F49" s="382"/>
      <c r="G49" s="382"/>
      <c r="H49" s="384">
        <v>3.5465575285389101E-14</v>
      </c>
      <c r="I49" s="384">
        <v>4.80278597519732E-14</v>
      </c>
      <c r="J49" s="384">
        <v>4.6718149488769502E-14</v>
      </c>
      <c r="K49" s="384">
        <v>5.4090320779809798E-14</v>
      </c>
      <c r="L49" s="384">
        <v>7.4063996536360794E-14</v>
      </c>
      <c r="M49" s="384">
        <v>1.1355615836599799E-13</v>
      </c>
      <c r="N49" s="384">
        <v>1.2056960897608199E-13</v>
      </c>
      <c r="O49" s="384">
        <v>1.3024566256894301E-13</v>
      </c>
      <c r="P49" s="384">
        <v>1.3777041012869701E-13</v>
      </c>
      <c r="Q49" s="384">
        <v>1.5954394249021801E-13</v>
      </c>
      <c r="R49" s="384">
        <v>1.84501021896926E-13</v>
      </c>
      <c r="S49" s="384">
        <v>2.3887214657246298E-13</v>
      </c>
      <c r="T49" s="384">
        <v>3.0732805514189802E-13</v>
      </c>
      <c r="U49" s="384">
        <v>5.5437665977553E-13</v>
      </c>
      <c r="V49" s="384">
        <v>9.3660666148092406E-13</v>
      </c>
      <c r="W49" s="384">
        <v>1.3933807164905601E-12</v>
      </c>
      <c r="X49" s="384">
        <v>2.8014094928350201E-12</v>
      </c>
      <c r="Y49" s="384">
        <v>4.1075920729003202E-12</v>
      </c>
      <c r="Z49" s="384">
        <v>5.5620191540339301E-12</v>
      </c>
      <c r="AA49" s="384">
        <v>7.6032633625774201E-12</v>
      </c>
      <c r="AB49" s="384">
        <v>1.3421789728827E-11</v>
      </c>
      <c r="AC49" s="384">
        <v>2.04315893748572E-11</v>
      </c>
      <c r="AD49" s="384">
        <v>2.5298554254125899E-11</v>
      </c>
      <c r="AE49" s="384">
        <v>3.6531112342957797E-11</v>
      </c>
      <c r="AF49" s="384">
        <v>6.5270269975644803E-11</v>
      </c>
      <c r="AG49" s="384">
        <v>1.11672034903421E-10</v>
      </c>
      <c r="AH49" s="384">
        <v>2.27883794232873E-10</v>
      </c>
      <c r="AI49" s="384">
        <v>4.1314284725999903E-10</v>
      </c>
      <c r="AJ49" s="384">
        <v>9.3140444972143097E-9</v>
      </c>
      <c r="AK49" s="384">
        <v>3.9390676230795002E-7</v>
      </c>
      <c r="AL49" s="384">
        <v>8.2204589800694704E-6</v>
      </c>
      <c r="AM49" s="382">
        <v>1.9624810047479502E-3</v>
      </c>
      <c r="AN49" s="382">
        <v>1.25973399013556E-2</v>
      </c>
      <c r="AO49" s="382">
        <v>7.4631913592035207E-2</v>
      </c>
      <c r="AP49" s="382">
        <v>0.222788731136843</v>
      </c>
      <c r="AQ49" s="382">
        <v>0.28772898822360499</v>
      </c>
      <c r="AR49" s="382">
        <v>1.1074544199210901</v>
      </c>
      <c r="AS49" s="382">
        <v>6.7987384752801399</v>
      </c>
      <c r="AT49" s="382">
        <v>31.2698875559072</v>
      </c>
      <c r="AU49" s="382">
        <v>41.126963690442402</v>
      </c>
      <c r="AV49" s="382">
        <v>46.421634897108802</v>
      </c>
      <c r="AW49" s="382">
        <v>48.275893257765198</v>
      </c>
      <c r="AX49" s="382">
        <v>58.566776944882299</v>
      </c>
      <c r="AY49" s="382">
        <v>66.211319695899505</v>
      </c>
      <c r="AZ49" s="382">
        <v>77.430894462840499</v>
      </c>
      <c r="BA49" s="382">
        <v>90.827511289859501</v>
      </c>
      <c r="BB49" s="382">
        <v>93.370681605975406</v>
      </c>
      <c r="BC49" s="382">
        <v>100</v>
      </c>
      <c r="BD49" s="382">
        <v>115.316515913949</v>
      </c>
      <c r="BE49" s="382">
        <v>126.52738931903799</v>
      </c>
      <c r="BF49" s="382">
        <v>127.550012909223</v>
      </c>
      <c r="BG49" s="382">
        <v>129.13550918358899</v>
      </c>
      <c r="BH49" s="382">
        <v>130.096534344839</v>
      </c>
      <c r="BI49" s="382">
        <v>133.85092657703501</v>
      </c>
      <c r="BJ49" s="382"/>
      <c r="BK49" s="382"/>
      <c r="BL49" s="382"/>
      <c r="BM49" s="382"/>
      <c r="BN49" s="382"/>
      <c r="BO49" s="382"/>
      <c r="BP49" s="382"/>
    </row>
    <row r="50" spans="1:68">
      <c r="A50" s="382" t="s">
        <v>2380</v>
      </c>
      <c r="B50" s="382" t="s">
        <v>2381</v>
      </c>
      <c r="C50" s="382" t="s">
        <v>2334</v>
      </c>
      <c r="D50" s="382" t="s">
        <v>2335</v>
      </c>
      <c r="E50" s="382"/>
      <c r="F50" s="382"/>
      <c r="G50" s="382"/>
      <c r="H50" s="382"/>
      <c r="I50" s="382"/>
      <c r="J50" s="382"/>
      <c r="K50" s="382"/>
      <c r="L50" s="382"/>
      <c r="M50" s="382"/>
      <c r="N50" s="382"/>
      <c r="O50" s="382"/>
      <c r="P50" s="382"/>
      <c r="Q50" s="382"/>
      <c r="R50" s="382"/>
      <c r="S50" s="382"/>
      <c r="T50" s="382"/>
      <c r="U50" s="382"/>
      <c r="V50" s="382"/>
      <c r="W50" s="382"/>
      <c r="X50" s="382"/>
      <c r="Y50" s="382"/>
      <c r="Z50" s="382"/>
      <c r="AA50" s="382"/>
      <c r="AB50" s="382"/>
      <c r="AC50" s="382"/>
      <c r="AD50" s="382">
        <v>35.448414250556901</v>
      </c>
      <c r="AE50" s="382">
        <v>36.922398621344897</v>
      </c>
      <c r="AF50" s="382">
        <v>37.086174662543598</v>
      </c>
      <c r="AG50" s="382">
        <v>37.468318758673803</v>
      </c>
      <c r="AH50" s="382">
        <v>36.795017255968197</v>
      </c>
      <c r="AI50" s="382">
        <v>37.8580450789336</v>
      </c>
      <c r="AJ50" s="382">
        <v>37.2226546968758</v>
      </c>
      <c r="AK50" s="382">
        <v>35.7577689950433</v>
      </c>
      <c r="AL50" s="382">
        <v>37.518361437929002</v>
      </c>
      <c r="AM50" s="382">
        <v>53.441032110022</v>
      </c>
      <c r="AN50" s="382">
        <v>58.474112487229299</v>
      </c>
      <c r="AO50" s="382">
        <v>64.339721073863302</v>
      </c>
      <c r="AP50" s="382"/>
      <c r="AQ50" s="382">
        <v>73.467202481037404</v>
      </c>
      <c r="AR50" s="382">
        <v>76.510707246646106</v>
      </c>
      <c r="AS50" s="382">
        <v>75.835889299114498</v>
      </c>
      <c r="AT50" s="382">
        <v>75.878349754240105</v>
      </c>
      <c r="AU50" s="382">
        <v>79.200880367816694</v>
      </c>
      <c r="AV50" s="382">
        <v>78.7004535752652</v>
      </c>
      <c r="AW50" s="382">
        <v>80.612690500742502</v>
      </c>
      <c r="AX50" s="382">
        <v>83.107242239370294</v>
      </c>
      <c r="AY50" s="382">
        <v>88.540664050618702</v>
      </c>
      <c r="AZ50" s="382">
        <v>90.891105646182396</v>
      </c>
      <c r="BA50" s="382">
        <v>95.398169183820997</v>
      </c>
      <c r="BB50" s="382">
        <v>99.610001928764504</v>
      </c>
      <c r="BC50" s="382">
        <v>100</v>
      </c>
      <c r="BD50" s="382">
        <v>101.759587042738</v>
      </c>
      <c r="BE50" s="382">
        <v>106.85793338822</v>
      </c>
      <c r="BF50" s="382">
        <v>111.80718273912299</v>
      </c>
      <c r="BG50" s="382">
        <v>112.827020267541</v>
      </c>
      <c r="BH50" s="382">
        <v>116.402619073639</v>
      </c>
      <c r="BI50" s="382">
        <v>120.11651656878701</v>
      </c>
      <c r="BJ50" s="382">
        <v>120.657117555654</v>
      </c>
      <c r="BK50" s="382">
        <v>122.048027425109</v>
      </c>
      <c r="BL50" s="382">
        <v>124.740496075729</v>
      </c>
      <c r="BM50" s="382">
        <v>126.980051354846</v>
      </c>
      <c r="BN50" s="382">
        <v>129.15857540559199</v>
      </c>
      <c r="BO50" s="382">
        <v>133.089443475834</v>
      </c>
      <c r="BP50" s="382">
        <v>138.814612802413</v>
      </c>
    </row>
    <row r="51" spans="1:68">
      <c r="A51" s="382" t="s">
        <v>1046</v>
      </c>
      <c r="B51" s="382" t="s">
        <v>2382</v>
      </c>
      <c r="C51" s="382" t="s">
        <v>2334</v>
      </c>
      <c r="D51" s="382" t="s">
        <v>2335</v>
      </c>
      <c r="E51" s="382">
        <v>5.7306652637517698E-2</v>
      </c>
      <c r="F51" s="382">
        <v>6.2053471819720797E-2</v>
      </c>
      <c r="G51" s="382">
        <v>6.4968181690717497E-2</v>
      </c>
      <c r="H51" s="382">
        <v>8.2090828928009701E-2</v>
      </c>
      <c r="I51" s="382">
        <v>9.6105732515395406E-2</v>
      </c>
      <c r="J51" s="382">
        <v>0.103400814658718</v>
      </c>
      <c r="K51" s="382">
        <v>0.120697876932404</v>
      </c>
      <c r="L51" s="382">
        <v>0.130749827095933</v>
      </c>
      <c r="M51" s="382">
        <v>0.14048747117784</v>
      </c>
      <c r="N51" s="382">
        <v>0.15029583308446201</v>
      </c>
      <c r="O51" s="382">
        <v>0.16067920521398599</v>
      </c>
      <c r="P51" s="382">
        <v>0.179864722810677</v>
      </c>
      <c r="Q51" s="382">
        <v>0.20224791447971899</v>
      </c>
      <c r="R51" s="382">
        <v>0.24781365907095401</v>
      </c>
      <c r="S51" s="382">
        <v>0.30696915197408697</v>
      </c>
      <c r="T51" s="382">
        <v>0.37891505484194299</v>
      </c>
      <c r="U51" s="382">
        <v>0.45405855161123898</v>
      </c>
      <c r="V51" s="382">
        <v>0.60754313905127</v>
      </c>
      <c r="W51" s="382">
        <v>0.71546199335305305</v>
      </c>
      <c r="X51" s="382">
        <v>0.88813213274873704</v>
      </c>
      <c r="Y51" s="382">
        <v>1.1239547774670799</v>
      </c>
      <c r="Z51" s="382">
        <v>1.4325226519474701</v>
      </c>
      <c r="AA51" s="382">
        <v>1.7866564084549399</v>
      </c>
      <c r="AB51" s="382">
        <v>2.13679312963691</v>
      </c>
      <c r="AC51" s="382">
        <v>2.48213345424023</v>
      </c>
      <c r="AD51" s="382">
        <v>3.0800837314162699</v>
      </c>
      <c r="AE51" s="382">
        <v>3.66044737384374</v>
      </c>
      <c r="AF51" s="382">
        <v>4.5134058591467703</v>
      </c>
      <c r="AG51" s="382">
        <v>5.7820518952266102</v>
      </c>
      <c r="AH51" s="382">
        <v>7.2777269494198604</v>
      </c>
      <c r="AI51" s="382">
        <v>9.3993316998624596</v>
      </c>
      <c r="AJ51" s="382">
        <v>12.255583743648099</v>
      </c>
      <c r="AK51" s="382">
        <v>15.5658937091306</v>
      </c>
      <c r="AL51" s="382">
        <v>19.059266735769398</v>
      </c>
      <c r="AM51" s="382">
        <v>23.4135928910116</v>
      </c>
      <c r="AN51" s="382">
        <v>28.3051122562266</v>
      </c>
      <c r="AO51" s="382">
        <v>34.191889351681198</v>
      </c>
      <c r="AP51" s="382">
        <v>40.507138738648599</v>
      </c>
      <c r="AQ51" s="382">
        <v>48.072648910138298</v>
      </c>
      <c r="AR51" s="382">
        <v>53.299918326456499</v>
      </c>
      <c r="AS51" s="382">
        <v>58.217021374847803</v>
      </c>
      <c r="AT51" s="382">
        <v>62.8543336684019</v>
      </c>
      <c r="AU51" s="382">
        <v>66.846531252041501</v>
      </c>
      <c r="AV51" s="382">
        <v>71.612547636410397</v>
      </c>
      <c r="AW51" s="382">
        <v>75.840566811093495</v>
      </c>
      <c r="AX51" s="382">
        <v>79.671288725871705</v>
      </c>
      <c r="AY51" s="382">
        <v>83.091914667364506</v>
      </c>
      <c r="AZ51" s="382">
        <v>87.698850202530096</v>
      </c>
      <c r="BA51" s="382">
        <v>93.835037858537007</v>
      </c>
      <c r="BB51" s="382">
        <v>97.778470912573098</v>
      </c>
      <c r="BC51" s="382">
        <v>100</v>
      </c>
      <c r="BD51" s="382">
        <v>103.415033447762</v>
      </c>
      <c r="BE51" s="382">
        <v>106.692568055712</v>
      </c>
      <c r="BF51" s="382">
        <v>108.844548877365</v>
      </c>
      <c r="BG51" s="382">
        <v>111.999775887943</v>
      </c>
      <c r="BH51" s="382">
        <v>117.588375602645</v>
      </c>
      <c r="BI51" s="382">
        <v>126.423331457792</v>
      </c>
      <c r="BJ51" s="382">
        <v>131.877630006754</v>
      </c>
      <c r="BK51" s="382">
        <v>136.15121603696801</v>
      </c>
      <c r="BL51" s="382">
        <v>140.94784969246001</v>
      </c>
      <c r="BM51" s="382">
        <v>144.509087395731</v>
      </c>
      <c r="BN51" s="382">
        <v>149.55976319986601</v>
      </c>
      <c r="BO51" s="382">
        <v>164.780806314133</v>
      </c>
      <c r="BP51" s="382">
        <v>184.11932436903399</v>
      </c>
    </row>
    <row r="52" spans="1:68">
      <c r="A52" s="382" t="s">
        <v>2011</v>
      </c>
      <c r="B52" s="382" t="s">
        <v>2383</v>
      </c>
      <c r="C52" s="382" t="s">
        <v>2334</v>
      </c>
      <c r="D52" s="382" t="s">
        <v>2335</v>
      </c>
      <c r="E52" s="382"/>
      <c r="F52" s="382"/>
      <c r="G52" s="382"/>
      <c r="H52" s="382"/>
      <c r="I52" s="382"/>
      <c r="J52" s="382"/>
      <c r="K52" s="382"/>
      <c r="L52" s="382"/>
      <c r="M52" s="382"/>
      <c r="N52" s="382"/>
      <c r="O52" s="382"/>
      <c r="P52" s="382"/>
      <c r="Q52" s="382"/>
      <c r="R52" s="382"/>
      <c r="S52" s="382"/>
      <c r="T52" s="382"/>
      <c r="U52" s="382"/>
      <c r="V52" s="382"/>
      <c r="W52" s="382"/>
      <c r="X52" s="382"/>
      <c r="Y52" s="382"/>
      <c r="Z52" s="382"/>
      <c r="AA52" s="382"/>
      <c r="AB52" s="382"/>
      <c r="AC52" s="382"/>
      <c r="AD52" s="382"/>
      <c r="AE52" s="382"/>
      <c r="AF52" s="382"/>
      <c r="AG52" s="382"/>
      <c r="AH52" s="382"/>
      <c r="AI52" s="382"/>
      <c r="AJ52" s="382"/>
      <c r="AK52" s="382"/>
      <c r="AL52" s="382"/>
      <c r="AM52" s="382"/>
      <c r="AN52" s="382"/>
      <c r="AO52" s="382"/>
      <c r="AP52" s="382"/>
      <c r="AQ52" s="382"/>
      <c r="AR52" s="382"/>
      <c r="AS52" s="382">
        <v>69.144478825699593</v>
      </c>
      <c r="AT52" s="382">
        <v>72.985173862044306</v>
      </c>
      <c r="AU52" s="382">
        <v>75.563770812791105</v>
      </c>
      <c r="AV52" s="382">
        <v>78.434499949730096</v>
      </c>
      <c r="AW52" s="382">
        <v>81.944438246400196</v>
      </c>
      <c r="AX52" s="382">
        <v>84.4136896302482</v>
      </c>
      <c r="AY52" s="382">
        <v>87.262114447571406</v>
      </c>
      <c r="AZ52" s="382">
        <v>91.159386294649494</v>
      </c>
      <c r="BA52" s="382">
        <v>92.709808511870605</v>
      </c>
      <c r="BB52" s="382">
        <v>96.754133261170196</v>
      </c>
      <c r="BC52" s="382">
        <v>100</v>
      </c>
      <c r="BD52" s="382">
        <v>101.842663007562</v>
      </c>
      <c r="BE52" s="382">
        <v>108.27376697169601</v>
      </c>
      <c r="BF52" s="382">
        <v>103.623545846485</v>
      </c>
      <c r="BG52" s="382"/>
      <c r="BH52" s="382"/>
      <c r="BI52" s="382"/>
      <c r="BJ52" s="382"/>
      <c r="BK52" s="382"/>
      <c r="BL52" s="382"/>
      <c r="BM52" s="382"/>
      <c r="BN52" s="382"/>
      <c r="BO52" s="382"/>
      <c r="BP52" s="382"/>
    </row>
    <row r="53" spans="1:68">
      <c r="A53" s="382" t="s">
        <v>2048</v>
      </c>
      <c r="B53" s="382" t="s">
        <v>2384</v>
      </c>
      <c r="C53" s="382" t="s">
        <v>2334</v>
      </c>
      <c r="D53" s="382" t="s">
        <v>2335</v>
      </c>
      <c r="E53" s="382"/>
      <c r="F53" s="382"/>
      <c r="G53" s="382"/>
      <c r="H53" s="382"/>
      <c r="I53" s="382"/>
      <c r="J53" s="382"/>
      <c r="K53" s="382"/>
      <c r="L53" s="382"/>
      <c r="M53" s="382"/>
      <c r="N53" s="382"/>
      <c r="O53" s="382"/>
      <c r="P53" s="382"/>
      <c r="Q53" s="382"/>
      <c r="R53" s="382"/>
      <c r="S53" s="382"/>
      <c r="T53" s="382"/>
      <c r="U53" s="382"/>
      <c r="V53" s="382"/>
      <c r="W53" s="382"/>
      <c r="X53" s="382"/>
      <c r="Y53" s="382"/>
      <c r="Z53" s="382"/>
      <c r="AA53" s="382"/>
      <c r="AB53" s="382">
        <v>29.561479177596201</v>
      </c>
      <c r="AC53" s="382">
        <v>32.8871455850757</v>
      </c>
      <c r="AD53" s="382">
        <v>34.660834335731501</v>
      </c>
      <c r="AE53" s="382">
        <v>38.429922930875001</v>
      </c>
      <c r="AF53" s="382">
        <v>39.907996889754898</v>
      </c>
      <c r="AG53" s="382">
        <v>41.533878244522597</v>
      </c>
      <c r="AH53" s="382">
        <v>43.425812911888798</v>
      </c>
      <c r="AI53" s="382">
        <v>48.052184403182601</v>
      </c>
      <c r="AJ53" s="382">
        <v>52.641604045504401</v>
      </c>
      <c r="AK53" s="382">
        <v>54.282266139861001</v>
      </c>
      <c r="AL53" s="382">
        <v>57.4243386099362</v>
      </c>
      <c r="AM53" s="382">
        <v>59.406660274429399</v>
      </c>
      <c r="AN53" s="382">
        <v>64.3680223468713</v>
      </c>
      <c r="AO53" s="382">
        <v>68.206686355123594</v>
      </c>
      <c r="AP53" s="382">
        <v>74.042493124426102</v>
      </c>
      <c r="AQ53" s="382">
        <v>77.296094346092403</v>
      </c>
      <c r="AR53" s="382">
        <v>80.663447483833394</v>
      </c>
      <c r="AS53" s="382">
        <v>78.665045511633707</v>
      </c>
      <c r="AT53" s="382">
        <v>81.300296785746099</v>
      </c>
      <c r="AU53" s="382">
        <v>82.832428602698798</v>
      </c>
      <c r="AV53" s="382">
        <v>83.816618989530696</v>
      </c>
      <c r="AW53" s="382">
        <v>82.231796150140696</v>
      </c>
      <c r="AX53" s="382">
        <v>82.576258247313802</v>
      </c>
      <c r="AY53" s="382">
        <v>87.009841029523002</v>
      </c>
      <c r="AZ53" s="382">
        <v>90.847842543527605</v>
      </c>
      <c r="BA53" s="382">
        <v>97.002271006813004</v>
      </c>
      <c r="BB53" s="382">
        <v>97.963663890991597</v>
      </c>
      <c r="BC53" s="382">
        <v>100</v>
      </c>
      <c r="BD53" s="382">
        <v>104.47388342165</v>
      </c>
      <c r="BE53" s="382">
        <v>107.127934238569</v>
      </c>
      <c r="BF53" s="382">
        <v>108.741862479707</v>
      </c>
      <c r="BG53" s="382">
        <v>108.48221067765</v>
      </c>
      <c r="BH53" s="382">
        <v>108.624526319136</v>
      </c>
      <c r="BI53" s="382">
        <v>107.095292454784</v>
      </c>
      <c r="BJ53" s="382">
        <v>107.93536426201101</v>
      </c>
      <c r="BK53" s="382">
        <v>109.29210711384199</v>
      </c>
      <c r="BL53" s="382">
        <v>110.50160651595201</v>
      </c>
      <c r="BM53" s="382">
        <v>111.171020616435</v>
      </c>
      <c r="BN53" s="382">
        <v>113.24119508412301</v>
      </c>
      <c r="BO53" s="382">
        <v>122.22227415296901</v>
      </c>
      <c r="BP53" s="382"/>
    </row>
    <row r="54" spans="1:68">
      <c r="A54" s="382" t="s">
        <v>2175</v>
      </c>
      <c r="B54" s="382" t="s">
        <v>2385</v>
      </c>
      <c r="C54" s="382" t="s">
        <v>2334</v>
      </c>
      <c r="D54" s="382" t="s">
        <v>2335</v>
      </c>
      <c r="E54" s="382">
        <v>0.24917886376449999</v>
      </c>
      <c r="F54" s="382">
        <v>0.25523588841012301</v>
      </c>
      <c r="G54" s="382">
        <v>0.262070747373706</v>
      </c>
      <c r="H54" s="382">
        <v>0.26975366180952598</v>
      </c>
      <c r="I54" s="382">
        <v>0.27872036297887798</v>
      </c>
      <c r="J54" s="382">
        <v>0.276866872563443</v>
      </c>
      <c r="K54" s="382">
        <v>0.277373214556421</v>
      </c>
      <c r="L54" s="382">
        <v>0.28072482692077699</v>
      </c>
      <c r="M54" s="382">
        <v>0.29221739655496898</v>
      </c>
      <c r="N54" s="382">
        <v>0.299900787894189</v>
      </c>
      <c r="O54" s="382">
        <v>0.31385306473097202</v>
      </c>
      <c r="P54" s="382">
        <v>0.32352930666572399</v>
      </c>
      <c r="Q54" s="382">
        <v>0.33841529671848603</v>
      </c>
      <c r="R54" s="382">
        <v>0.38990191576836702</v>
      </c>
      <c r="S54" s="382">
        <v>0.50715957247358101</v>
      </c>
      <c r="T54" s="382">
        <v>0.595249143193751</v>
      </c>
      <c r="U54" s="382">
        <v>0.61599853624110201</v>
      </c>
      <c r="V54" s="382">
        <v>0.641810356094204</v>
      </c>
      <c r="W54" s="382">
        <v>0.68036471992541803</v>
      </c>
      <c r="X54" s="382">
        <v>0.74287942286077702</v>
      </c>
      <c r="Y54" s="382">
        <v>0.87760187500544595</v>
      </c>
      <c r="Z54" s="382">
        <v>1.2028090230280599</v>
      </c>
      <c r="AA54" s="382">
        <v>2.28679654622603</v>
      </c>
      <c r="AB54" s="382">
        <v>3.03283437742326</v>
      </c>
      <c r="AC54" s="382">
        <v>3.3951800510573</v>
      </c>
      <c r="AD54" s="382">
        <v>3.9064065590339201</v>
      </c>
      <c r="AE54" s="382">
        <v>4.3687321931116196</v>
      </c>
      <c r="AF54" s="382">
        <v>5.10453242487345</v>
      </c>
      <c r="AG54" s="382">
        <v>6.1679358385683098</v>
      </c>
      <c r="AH54" s="382">
        <v>7.1862502504944503</v>
      </c>
      <c r="AI54" s="382">
        <v>8.5544945239734105</v>
      </c>
      <c r="AJ54" s="382">
        <v>11.0104292821482</v>
      </c>
      <c r="AK54" s="382">
        <v>13.4097305115315</v>
      </c>
      <c r="AL54" s="382">
        <v>14.7210145243219</v>
      </c>
      <c r="AM54" s="382">
        <v>16.713425631463799</v>
      </c>
      <c r="AN54" s="382">
        <v>20.588683749662401</v>
      </c>
      <c r="AO54" s="382">
        <v>24.194061321042401</v>
      </c>
      <c r="AP54" s="382">
        <v>27.399301229383202</v>
      </c>
      <c r="AQ54" s="382">
        <v>30.593867895759502</v>
      </c>
      <c r="AR54" s="382">
        <v>33.667108117762901</v>
      </c>
      <c r="AS54" s="382">
        <v>37.357544892962601</v>
      </c>
      <c r="AT54" s="382">
        <v>41.562366584475399</v>
      </c>
      <c r="AU54" s="382">
        <v>45.372605055195898</v>
      </c>
      <c r="AV54" s="382">
        <v>49.659218631559703</v>
      </c>
      <c r="AW54" s="382">
        <v>55.774659545363498</v>
      </c>
      <c r="AX54" s="382">
        <v>63.470611554982398</v>
      </c>
      <c r="AY54" s="382">
        <v>70.751069502409095</v>
      </c>
      <c r="AZ54" s="382">
        <v>77.371420107516599</v>
      </c>
      <c r="BA54" s="382">
        <v>87.758118198530994</v>
      </c>
      <c r="BB54" s="382">
        <v>94.640725606196597</v>
      </c>
      <c r="BC54" s="382">
        <v>100</v>
      </c>
      <c r="BD54" s="382">
        <v>104.877998309707</v>
      </c>
      <c r="BE54" s="382">
        <v>109.592739581609</v>
      </c>
      <c r="BF54" s="382">
        <v>115.325904176069</v>
      </c>
      <c r="BG54" s="382">
        <v>120.53771357375</v>
      </c>
      <c r="BH54" s="382">
        <v>121.50440434597</v>
      </c>
      <c r="BI54" s="382">
        <v>121.483166772673</v>
      </c>
      <c r="BJ54" s="382">
        <v>123.458369999913</v>
      </c>
      <c r="BK54" s="382">
        <v>126.20052189975</v>
      </c>
      <c r="BL54" s="382">
        <v>128.84574333684799</v>
      </c>
      <c r="BM54" s="382">
        <v>129.77976091938001</v>
      </c>
      <c r="BN54" s="382">
        <v>132.020379357515</v>
      </c>
      <c r="BO54" s="382">
        <v>142.944768574546</v>
      </c>
      <c r="BP54" s="382">
        <v>143.69550522011701</v>
      </c>
    </row>
    <row r="55" spans="1:68">
      <c r="A55" s="382" t="s">
        <v>2386</v>
      </c>
      <c r="B55" s="382" t="s">
        <v>2387</v>
      </c>
      <c r="C55" s="382" t="s">
        <v>2334</v>
      </c>
      <c r="D55" s="382" t="s">
        <v>2335</v>
      </c>
      <c r="E55" s="382"/>
      <c r="F55" s="382"/>
      <c r="G55" s="382"/>
      <c r="H55" s="382"/>
      <c r="I55" s="382"/>
      <c r="J55" s="382"/>
      <c r="K55" s="382"/>
      <c r="L55" s="382"/>
      <c r="M55" s="382"/>
      <c r="N55" s="382"/>
      <c r="O55" s="382"/>
      <c r="P55" s="382"/>
      <c r="Q55" s="382"/>
      <c r="R55" s="382"/>
      <c r="S55" s="382"/>
      <c r="T55" s="382"/>
      <c r="U55" s="382"/>
      <c r="V55" s="382"/>
      <c r="W55" s="382"/>
      <c r="X55" s="382"/>
      <c r="Y55" s="382"/>
      <c r="Z55" s="382"/>
      <c r="AA55" s="382"/>
      <c r="AB55" s="382"/>
      <c r="AC55" s="382"/>
      <c r="AD55" s="382"/>
      <c r="AE55" s="382"/>
      <c r="AF55" s="382"/>
      <c r="AG55" s="382"/>
      <c r="AH55" s="382"/>
      <c r="AI55" s="382"/>
      <c r="AJ55" s="382"/>
      <c r="AK55" s="382"/>
      <c r="AL55" s="382"/>
      <c r="AM55" s="382"/>
      <c r="AN55" s="382"/>
      <c r="AO55" s="382"/>
      <c r="AP55" s="382"/>
      <c r="AQ55" s="382"/>
      <c r="AR55" s="382"/>
      <c r="AS55" s="382"/>
      <c r="AT55" s="382"/>
      <c r="AU55" s="382"/>
      <c r="AV55" s="382"/>
      <c r="AW55" s="382"/>
      <c r="AX55" s="382"/>
      <c r="AY55" s="382"/>
      <c r="AZ55" s="382"/>
      <c r="BA55" s="382"/>
      <c r="BB55" s="382"/>
      <c r="BC55" s="382"/>
      <c r="BD55" s="382"/>
      <c r="BE55" s="382"/>
      <c r="BF55" s="382"/>
      <c r="BG55" s="382"/>
      <c r="BH55" s="382"/>
      <c r="BI55" s="382"/>
      <c r="BJ55" s="382"/>
      <c r="BK55" s="382"/>
      <c r="BL55" s="382"/>
      <c r="BM55" s="382"/>
      <c r="BN55" s="382"/>
      <c r="BO55" s="382"/>
      <c r="BP55" s="382"/>
    </row>
    <row r="56" spans="1:68">
      <c r="A56" s="382" t="s">
        <v>2165</v>
      </c>
      <c r="B56" s="382" t="s">
        <v>2388</v>
      </c>
      <c r="C56" s="382" t="s">
        <v>2334</v>
      </c>
      <c r="D56" s="382" t="s">
        <v>2335</v>
      </c>
      <c r="E56" s="382"/>
      <c r="F56" s="382"/>
      <c r="G56" s="382"/>
      <c r="H56" s="382"/>
      <c r="I56" s="382"/>
      <c r="J56" s="382"/>
      <c r="K56" s="382"/>
      <c r="L56" s="382"/>
      <c r="M56" s="382"/>
      <c r="N56" s="382"/>
      <c r="O56" s="382"/>
      <c r="P56" s="382"/>
      <c r="Q56" s="382"/>
      <c r="R56" s="382"/>
      <c r="S56" s="382"/>
      <c r="T56" s="382"/>
      <c r="U56" s="382"/>
      <c r="V56" s="382"/>
      <c r="W56" s="382"/>
      <c r="X56" s="382"/>
      <c r="Y56" s="382"/>
      <c r="Z56" s="382"/>
      <c r="AA56" s="382"/>
      <c r="AB56" s="382"/>
      <c r="AC56" s="382"/>
      <c r="AD56" s="382"/>
      <c r="AE56" s="382"/>
      <c r="AF56" s="382"/>
      <c r="AG56" s="382"/>
      <c r="AH56" s="382"/>
      <c r="AI56" s="382"/>
      <c r="AJ56" s="382"/>
      <c r="AK56" s="382"/>
      <c r="AL56" s="382"/>
      <c r="AM56" s="382"/>
      <c r="AN56" s="382"/>
      <c r="AO56" s="382"/>
      <c r="AP56" s="382"/>
      <c r="AQ56" s="382"/>
      <c r="AR56" s="382"/>
      <c r="AS56" s="382"/>
      <c r="AT56" s="382"/>
      <c r="AU56" s="382"/>
      <c r="AV56" s="382"/>
      <c r="AW56" s="382"/>
      <c r="AX56" s="382"/>
      <c r="AY56" s="382"/>
      <c r="AZ56" s="382"/>
      <c r="BA56" s="382"/>
      <c r="BB56" s="382"/>
      <c r="BC56" s="382"/>
      <c r="BD56" s="382"/>
      <c r="BE56" s="382"/>
      <c r="BF56" s="382"/>
      <c r="BG56" s="382"/>
      <c r="BH56" s="382"/>
      <c r="BI56" s="382"/>
      <c r="BJ56" s="382"/>
      <c r="BK56" s="382"/>
      <c r="BL56" s="382"/>
      <c r="BM56" s="382"/>
      <c r="BN56" s="382"/>
      <c r="BO56" s="382"/>
      <c r="BP56" s="382"/>
    </row>
    <row r="57" spans="1:68">
      <c r="A57" s="382" t="s">
        <v>2389</v>
      </c>
      <c r="B57" s="382" t="s">
        <v>2390</v>
      </c>
      <c r="C57" s="382" t="s">
        <v>2334</v>
      </c>
      <c r="D57" s="382" t="s">
        <v>2335</v>
      </c>
      <c r="E57" s="382"/>
      <c r="F57" s="382"/>
      <c r="G57" s="382"/>
      <c r="H57" s="382"/>
      <c r="I57" s="382"/>
      <c r="J57" s="382"/>
      <c r="K57" s="382"/>
      <c r="L57" s="382"/>
      <c r="M57" s="382"/>
      <c r="N57" s="382"/>
      <c r="O57" s="382"/>
      <c r="P57" s="382"/>
      <c r="Q57" s="382"/>
      <c r="R57" s="382"/>
      <c r="S57" s="382"/>
      <c r="T57" s="382"/>
      <c r="U57" s="382"/>
      <c r="V57" s="382"/>
      <c r="W57" s="382"/>
      <c r="X57" s="382"/>
      <c r="Y57" s="382"/>
      <c r="Z57" s="382"/>
      <c r="AA57" s="382"/>
      <c r="AB57" s="382"/>
      <c r="AC57" s="382"/>
      <c r="AD57" s="382"/>
      <c r="AE57" s="382"/>
      <c r="AF57" s="382"/>
      <c r="AG57" s="382"/>
      <c r="AH57" s="382"/>
      <c r="AI57" s="382"/>
      <c r="AJ57" s="382"/>
      <c r="AK57" s="382"/>
      <c r="AL57" s="382"/>
      <c r="AM57" s="382"/>
      <c r="AN57" s="382"/>
      <c r="AO57" s="382"/>
      <c r="AP57" s="382"/>
      <c r="AQ57" s="382"/>
      <c r="AR57" s="382"/>
      <c r="AS57" s="382">
        <v>76.842335447189996</v>
      </c>
      <c r="AT57" s="382">
        <v>78.219986879510202</v>
      </c>
      <c r="AU57" s="382">
        <v>78.526131642248004</v>
      </c>
      <c r="AV57" s="382">
        <v>79.809023981339806</v>
      </c>
      <c r="AW57" s="382">
        <v>80.909687294992395</v>
      </c>
      <c r="AX57" s="382">
        <v>84.240833880020404</v>
      </c>
      <c r="AY57" s="382">
        <v>86.864931846344504</v>
      </c>
      <c r="AZ57" s="382">
        <v>89.467162329615604</v>
      </c>
      <c r="BA57" s="382">
        <v>95.619214228442601</v>
      </c>
      <c r="BB57" s="382">
        <v>97.295721262482402</v>
      </c>
      <c r="BC57" s="382">
        <v>100</v>
      </c>
      <c r="BD57" s="382">
        <v>102.332531525622</v>
      </c>
      <c r="BE57" s="382">
        <v>105.590786500474</v>
      </c>
      <c r="BF57" s="382">
        <v>106.997594576864</v>
      </c>
      <c r="BG57" s="382">
        <v>108.601210000729</v>
      </c>
      <c r="BH57" s="382">
        <v>108.083679568482</v>
      </c>
      <c r="BI57" s="382">
        <v>108.032655441358</v>
      </c>
      <c r="BJ57" s="382">
        <v>109.74560828048701</v>
      </c>
      <c r="BK57" s="382">
        <v>112.58109191632001</v>
      </c>
      <c r="BL57" s="382">
        <v>115.53320212843499</v>
      </c>
      <c r="BM57" s="382"/>
      <c r="BN57" s="382"/>
      <c r="BO57" s="382"/>
      <c r="BP57" s="382"/>
    </row>
    <row r="58" spans="1:68">
      <c r="A58" s="382" t="s">
        <v>2202</v>
      </c>
      <c r="B58" s="382" t="s">
        <v>2391</v>
      </c>
      <c r="C58" s="382" t="s">
        <v>2334</v>
      </c>
      <c r="D58" s="382" t="s">
        <v>2335</v>
      </c>
      <c r="E58" s="382"/>
      <c r="F58" s="382"/>
      <c r="G58" s="382"/>
      <c r="H58" s="382"/>
      <c r="I58" s="382"/>
      <c r="J58" s="382"/>
      <c r="K58" s="382"/>
      <c r="L58" s="382"/>
      <c r="M58" s="382"/>
      <c r="N58" s="382"/>
      <c r="O58" s="382"/>
      <c r="P58" s="382"/>
      <c r="Q58" s="382"/>
      <c r="R58" s="382"/>
      <c r="S58" s="382"/>
      <c r="T58" s="382"/>
      <c r="U58" s="382"/>
      <c r="V58" s="382"/>
      <c r="W58" s="382"/>
      <c r="X58" s="382"/>
      <c r="Y58" s="382"/>
      <c r="Z58" s="382"/>
      <c r="AA58" s="382"/>
      <c r="AB58" s="382"/>
      <c r="AC58" s="382"/>
      <c r="AD58" s="382"/>
      <c r="AE58" s="382"/>
      <c r="AF58" s="382"/>
      <c r="AG58" s="382"/>
      <c r="AH58" s="382"/>
      <c r="AI58" s="382"/>
      <c r="AJ58" s="382"/>
      <c r="AK58" s="382"/>
      <c r="AL58" s="382"/>
      <c r="AM58" s="382"/>
      <c r="AN58" s="382"/>
      <c r="AO58" s="382"/>
      <c r="AP58" s="382"/>
      <c r="AQ58" s="382"/>
      <c r="AR58" s="382"/>
      <c r="AS58" s="382"/>
      <c r="AT58" s="382"/>
      <c r="AU58" s="382"/>
      <c r="AV58" s="382"/>
      <c r="AW58" s="382"/>
      <c r="AX58" s="382"/>
      <c r="AY58" s="382"/>
      <c r="AZ58" s="382"/>
      <c r="BA58" s="382"/>
      <c r="BB58" s="382">
        <v>99.724619576125406</v>
      </c>
      <c r="BC58" s="382">
        <v>100</v>
      </c>
      <c r="BD58" s="382">
        <v>101.325435757797</v>
      </c>
      <c r="BE58" s="382">
        <v>102.53014295818301</v>
      </c>
      <c r="BF58" s="382">
        <v>104.745420985232</v>
      </c>
      <c r="BG58" s="382">
        <v>106.079855772852</v>
      </c>
      <c r="BH58" s="382">
        <v>103.58960177270799</v>
      </c>
      <c r="BI58" s="382">
        <v>102.94189912896501</v>
      </c>
      <c r="BJ58" s="382"/>
      <c r="BK58" s="382"/>
      <c r="BL58" s="382"/>
      <c r="BM58" s="382"/>
      <c r="BN58" s="382"/>
      <c r="BO58" s="382"/>
      <c r="BP58" s="382"/>
    </row>
    <row r="59" spans="1:68">
      <c r="A59" s="382" t="s">
        <v>1697</v>
      </c>
      <c r="B59" s="382" t="s">
        <v>2392</v>
      </c>
      <c r="C59" s="382" t="s">
        <v>2334</v>
      </c>
      <c r="D59" s="382" t="s">
        <v>2335</v>
      </c>
      <c r="E59" s="382">
        <v>13.9416118305171</v>
      </c>
      <c r="F59" s="382">
        <v>13.8558172961755</v>
      </c>
      <c r="G59" s="382">
        <v>13.8701163852324</v>
      </c>
      <c r="H59" s="382">
        <v>14.1417990773143</v>
      </c>
      <c r="I59" s="382">
        <v>14.0989018100005</v>
      </c>
      <c r="J59" s="382">
        <v>14.1274999881143</v>
      </c>
      <c r="K59" s="382">
        <v>14.198995433399</v>
      </c>
      <c r="L59" s="382">
        <v>14.2990890569406</v>
      </c>
      <c r="M59" s="382">
        <v>14.837688078013899</v>
      </c>
      <c r="N59" s="382">
        <v>15.191590532101699</v>
      </c>
      <c r="O59" s="382">
        <v>15.556217303089401</v>
      </c>
      <c r="P59" s="382">
        <v>16.200867901454</v>
      </c>
      <c r="Q59" s="382">
        <v>16.983743027309799</v>
      </c>
      <c r="R59" s="382">
        <v>18.309983537329099</v>
      </c>
      <c r="S59" s="382">
        <v>21.271928540853899</v>
      </c>
      <c r="T59" s="382">
        <v>22.258836653500701</v>
      </c>
      <c r="U59" s="382">
        <v>23.116778965626999</v>
      </c>
      <c r="V59" s="382">
        <v>24.810420641026901</v>
      </c>
      <c r="W59" s="382">
        <v>26.655393807553999</v>
      </c>
      <c r="X59" s="382">
        <v>29.177982522435101</v>
      </c>
      <c r="Y59" s="382">
        <v>33.1221339851271</v>
      </c>
      <c r="Z59" s="382">
        <v>36.681005798392</v>
      </c>
      <c r="AA59" s="382">
        <v>39.040620536875899</v>
      </c>
      <c r="AB59" s="382">
        <v>41.012060311904698</v>
      </c>
      <c r="AC59" s="382">
        <v>43.469482915196402</v>
      </c>
      <c r="AD59" s="382">
        <v>45.657933890389302</v>
      </c>
      <c r="AE59" s="382">
        <v>46.214216121513303</v>
      </c>
      <c r="AF59" s="382">
        <v>47.504362988239102</v>
      </c>
      <c r="AG59" s="382">
        <v>49.133414106522402</v>
      </c>
      <c r="AH59" s="382">
        <v>50.983523225253499</v>
      </c>
      <c r="AI59" s="382">
        <v>53.278829292622099</v>
      </c>
      <c r="AJ59" s="382">
        <v>55.961564538475997</v>
      </c>
      <c r="AK59" s="382">
        <v>59.604785242721803</v>
      </c>
      <c r="AL59" s="382">
        <v>62.498100859712402</v>
      </c>
      <c r="AM59" s="382">
        <v>65.434629946003497</v>
      </c>
      <c r="AN59" s="382">
        <v>67.146280695557195</v>
      </c>
      <c r="AO59" s="382">
        <v>69.146517946993995</v>
      </c>
      <c r="AP59" s="382">
        <v>71.639488089770893</v>
      </c>
      <c r="AQ59" s="382">
        <v>73.235406214644698</v>
      </c>
      <c r="AR59" s="382">
        <v>74.429143335943394</v>
      </c>
      <c r="AS59" s="382">
        <v>77.511743642528401</v>
      </c>
      <c r="AT59" s="382">
        <v>79.041082835425001</v>
      </c>
      <c r="AU59" s="382">
        <v>81.255146120272798</v>
      </c>
      <c r="AV59" s="382">
        <v>84.618349748386507</v>
      </c>
      <c r="AW59" s="382">
        <v>86.552908903008202</v>
      </c>
      <c r="AX59" s="382">
        <v>88.768803000936103</v>
      </c>
      <c r="AY59" s="382">
        <v>90.814646356501001</v>
      </c>
      <c r="AZ59" s="382">
        <v>92.969361731268606</v>
      </c>
      <c r="BA59" s="382">
        <v>97.310109057615193</v>
      </c>
      <c r="BB59" s="382">
        <v>97.627609223749005</v>
      </c>
      <c r="BC59" s="382">
        <v>100</v>
      </c>
      <c r="BD59" s="382">
        <v>103.289449395642</v>
      </c>
      <c r="BE59" s="382">
        <v>105.75709022173299</v>
      </c>
      <c r="BF59" s="382">
        <v>105.334741163527</v>
      </c>
      <c r="BG59" s="382">
        <v>103.907467160884</v>
      </c>
      <c r="BH59" s="382">
        <v>101.72852997423099</v>
      </c>
      <c r="BI59" s="382">
        <v>100.274659733349</v>
      </c>
      <c r="BJ59" s="382">
        <v>100.807886777964</v>
      </c>
      <c r="BK59" s="382">
        <v>102.25497511684701</v>
      </c>
      <c r="BL59" s="382">
        <v>102.51099191728299</v>
      </c>
      <c r="BM59" s="382">
        <v>101.85653837444799</v>
      </c>
      <c r="BN59" s="382">
        <v>104.348039621067</v>
      </c>
      <c r="BO59" s="382">
        <v>113.108561527348</v>
      </c>
      <c r="BP59" s="382">
        <v>117.114122395083</v>
      </c>
    </row>
    <row r="60" spans="1:68">
      <c r="A60" s="382" t="s">
        <v>1196</v>
      </c>
      <c r="B60" s="382" t="s">
        <v>2393</v>
      </c>
      <c r="C60" s="382" t="s">
        <v>2334</v>
      </c>
      <c r="D60" s="382" t="s">
        <v>2335</v>
      </c>
      <c r="E60" s="382"/>
      <c r="F60" s="382"/>
      <c r="G60" s="382"/>
      <c r="H60" s="382"/>
      <c r="I60" s="382"/>
      <c r="J60" s="382"/>
      <c r="K60" s="382"/>
      <c r="L60" s="382"/>
      <c r="M60" s="382"/>
      <c r="N60" s="382"/>
      <c r="O60" s="382"/>
      <c r="P60" s="382"/>
      <c r="Q60" s="382"/>
      <c r="R60" s="382"/>
      <c r="S60" s="382"/>
      <c r="T60" s="382"/>
      <c r="U60" s="382"/>
      <c r="V60" s="382"/>
      <c r="W60" s="382"/>
      <c r="X60" s="382"/>
      <c r="Y60" s="382"/>
      <c r="Z60" s="382"/>
      <c r="AA60" s="382"/>
      <c r="AB60" s="382"/>
      <c r="AC60" s="382"/>
      <c r="AD60" s="382"/>
      <c r="AE60" s="382"/>
      <c r="AF60" s="382"/>
      <c r="AG60" s="382"/>
      <c r="AH60" s="382"/>
      <c r="AI60" s="382"/>
      <c r="AJ60" s="382">
        <v>34.887900913814697</v>
      </c>
      <c r="AK60" s="382">
        <v>38.755748073821898</v>
      </c>
      <c r="AL60" s="382">
        <v>46.8219933703637</v>
      </c>
      <c r="AM60" s="382">
        <v>51.522654542196697</v>
      </c>
      <c r="AN60" s="382">
        <v>56.154810965776697</v>
      </c>
      <c r="AO60" s="382">
        <v>61.073284357642002</v>
      </c>
      <c r="AP60" s="382">
        <v>66.323239562802399</v>
      </c>
      <c r="AQ60" s="382">
        <v>73.418742160903093</v>
      </c>
      <c r="AR60" s="382">
        <v>74.986561548109705</v>
      </c>
      <c r="AS60" s="382">
        <v>77.817595413008505</v>
      </c>
      <c r="AT60" s="382">
        <v>81.445977423400805</v>
      </c>
      <c r="AU60" s="382">
        <v>82.9958788747537</v>
      </c>
      <c r="AV60" s="382">
        <v>83.094427521949498</v>
      </c>
      <c r="AW60" s="382">
        <v>85.387923311234601</v>
      </c>
      <c r="AX60" s="382">
        <v>86.973660634294902</v>
      </c>
      <c r="AY60" s="382">
        <v>89.177566744311093</v>
      </c>
      <c r="AZ60" s="382">
        <v>91.7219136355492</v>
      </c>
      <c r="BA60" s="382">
        <v>97.554201755957806</v>
      </c>
      <c r="BB60" s="382">
        <v>98.548647195843103</v>
      </c>
      <c r="BC60" s="382">
        <v>100</v>
      </c>
      <c r="BD60" s="382">
        <v>101.917219136355</v>
      </c>
      <c r="BE60" s="382">
        <v>105.26787314101399</v>
      </c>
      <c r="BF60" s="382">
        <v>106.781938720659</v>
      </c>
      <c r="BG60" s="382">
        <v>107.149256405662</v>
      </c>
      <c r="BH60" s="382">
        <v>107.480738218957</v>
      </c>
      <c r="BI60" s="382">
        <v>108.215373588963</v>
      </c>
      <c r="BJ60" s="382">
        <v>110.867228095323</v>
      </c>
      <c r="BK60" s="382">
        <v>113.250313563877</v>
      </c>
      <c r="BL60" s="382">
        <v>116.47554201756</v>
      </c>
      <c r="BM60" s="382">
        <v>120.157677835513</v>
      </c>
      <c r="BN60" s="382">
        <v>124.77154631786399</v>
      </c>
      <c r="BO60" s="382">
        <v>143.61225586812401</v>
      </c>
      <c r="BP60" s="382">
        <v>158.92313205518701</v>
      </c>
    </row>
    <row r="61" spans="1:68">
      <c r="A61" s="382" t="s">
        <v>1130</v>
      </c>
      <c r="B61" s="382" t="s">
        <v>2394</v>
      </c>
      <c r="C61" s="382" t="s">
        <v>2334</v>
      </c>
      <c r="D61" s="382" t="s">
        <v>2335</v>
      </c>
      <c r="E61" s="382">
        <v>24.6460704672795</v>
      </c>
      <c r="F61" s="382">
        <v>25.211376155011301</v>
      </c>
      <c r="G61" s="382">
        <v>25.928203699730101</v>
      </c>
      <c r="H61" s="382">
        <v>26.6974830741086</v>
      </c>
      <c r="I61" s="382">
        <v>27.321065747114002</v>
      </c>
      <c r="J61" s="382">
        <v>28.206901917499</v>
      </c>
      <c r="K61" s="382">
        <v>29.203468786457002</v>
      </c>
      <c r="L61" s="382">
        <v>29.727977664855899</v>
      </c>
      <c r="M61" s="382">
        <v>30.165064943515599</v>
      </c>
      <c r="N61" s="382">
        <v>30.742025651574199</v>
      </c>
      <c r="O61" s="382">
        <v>31.802702195978199</v>
      </c>
      <c r="P61" s="382">
        <v>33.469473702888301</v>
      </c>
      <c r="Q61" s="382">
        <v>35.305251951824999</v>
      </c>
      <c r="R61" s="382">
        <v>37.787925739880201</v>
      </c>
      <c r="S61" s="382">
        <v>40.427953133274897</v>
      </c>
      <c r="T61" s="382">
        <v>42.817381107796898</v>
      </c>
      <c r="U61" s="382">
        <v>44.6356772971534</v>
      </c>
      <c r="V61" s="382">
        <v>46.302445978603998</v>
      </c>
      <c r="W61" s="382">
        <v>47.561269170401097</v>
      </c>
      <c r="X61" s="382">
        <v>49.4844661936176</v>
      </c>
      <c r="Y61" s="382">
        <v>52.1769444748521</v>
      </c>
      <c r="Z61" s="382">
        <v>55.487176506198999</v>
      </c>
      <c r="AA61" s="382">
        <v>58.395284436226802</v>
      </c>
      <c r="AB61" s="382">
        <v>60.318483343082903</v>
      </c>
      <c r="AC61" s="382">
        <v>61.769621433920499</v>
      </c>
      <c r="AD61" s="382">
        <v>63.045925743478001</v>
      </c>
      <c r="AE61" s="382">
        <v>62.964335892091398</v>
      </c>
      <c r="AF61" s="382">
        <v>63.121687613791302</v>
      </c>
      <c r="AG61" s="382">
        <v>63.925932990969898</v>
      </c>
      <c r="AH61" s="382">
        <v>65.703438021912405</v>
      </c>
      <c r="AI61" s="382">
        <v>67.4751103626825</v>
      </c>
      <c r="AJ61" s="382">
        <v>70.205850074282694</v>
      </c>
      <c r="AK61" s="382">
        <v>73.756144444306997</v>
      </c>
      <c r="AL61" s="382">
        <v>77.056419556470502</v>
      </c>
      <c r="AM61" s="382">
        <v>79.131592393829195</v>
      </c>
      <c r="AN61" s="382">
        <v>80.481704297564306</v>
      </c>
      <c r="AO61" s="382">
        <v>81.648469310626794</v>
      </c>
      <c r="AP61" s="382">
        <v>83.2319368540699</v>
      </c>
      <c r="AQ61" s="382">
        <v>83.990332558557796</v>
      </c>
      <c r="AR61" s="382">
        <v>84.482039736112995</v>
      </c>
      <c r="AS61" s="382">
        <v>85.698807847291803</v>
      </c>
      <c r="AT61" s="382">
        <v>87.3989499142195</v>
      </c>
      <c r="AU61" s="382">
        <v>88.640719574456398</v>
      </c>
      <c r="AV61" s="382">
        <v>89.557461562378705</v>
      </c>
      <c r="AW61" s="382">
        <v>91.049253305935906</v>
      </c>
      <c r="AX61" s="382">
        <v>92.457704355052996</v>
      </c>
      <c r="AY61" s="382">
        <v>93.916156618646795</v>
      </c>
      <c r="AZ61" s="382">
        <v>96.074672975905102</v>
      </c>
      <c r="BA61" s="382">
        <v>98.599880289049395</v>
      </c>
      <c r="BB61" s="382">
        <v>98.908240575931799</v>
      </c>
      <c r="BC61" s="382">
        <v>100</v>
      </c>
      <c r="BD61" s="382">
        <v>102.07517283735901</v>
      </c>
      <c r="BE61" s="382">
        <v>104.12534130020001</v>
      </c>
      <c r="BF61" s="382">
        <v>105.692139574571</v>
      </c>
      <c r="BG61" s="382">
        <v>106.65054955516401</v>
      </c>
      <c r="BH61" s="382">
        <v>107.199187857464</v>
      </c>
      <c r="BI61" s="382">
        <v>107.72633665683</v>
      </c>
      <c r="BJ61" s="382">
        <v>109.35246016194</v>
      </c>
      <c r="BK61" s="382">
        <v>111.246629356349</v>
      </c>
      <c r="BL61" s="382">
        <v>112.854877121191</v>
      </c>
      <c r="BM61" s="382">
        <v>113.018378926344</v>
      </c>
      <c r="BN61" s="382">
        <v>116.484275880086</v>
      </c>
      <c r="BO61" s="382">
        <v>124.48974438736801</v>
      </c>
      <c r="BP61" s="382">
        <v>131.892448207044</v>
      </c>
    </row>
    <row r="62" spans="1:68">
      <c r="A62" s="382" t="s">
        <v>2013</v>
      </c>
      <c r="B62" s="382" t="s">
        <v>2395</v>
      </c>
      <c r="C62" s="382" t="s">
        <v>2334</v>
      </c>
      <c r="D62" s="382" t="s">
        <v>2335</v>
      </c>
      <c r="E62" s="382"/>
      <c r="F62" s="382"/>
      <c r="G62" s="382"/>
      <c r="H62" s="382"/>
      <c r="I62" s="382"/>
      <c r="J62" s="382"/>
      <c r="K62" s="382"/>
      <c r="L62" s="382"/>
      <c r="M62" s="382"/>
      <c r="N62" s="382"/>
      <c r="O62" s="382"/>
      <c r="P62" s="382"/>
      <c r="Q62" s="382"/>
      <c r="R62" s="382"/>
      <c r="S62" s="382"/>
      <c r="T62" s="382"/>
      <c r="U62" s="382"/>
      <c r="V62" s="382"/>
      <c r="W62" s="382"/>
      <c r="X62" s="382">
        <v>82.385685649911295</v>
      </c>
      <c r="Y62" s="382">
        <v>92.319771045684305</v>
      </c>
      <c r="Z62" s="382">
        <v>97.598031958097707</v>
      </c>
      <c r="AA62" s="382">
        <v>95.245222259098895</v>
      </c>
      <c r="AB62" s="382">
        <v>96.104184530161902</v>
      </c>
      <c r="AC62" s="382">
        <v>97.915474536409306</v>
      </c>
      <c r="AD62" s="382">
        <v>100</v>
      </c>
      <c r="AE62" s="382">
        <v>118.14763345098601</v>
      </c>
      <c r="AF62" s="382">
        <v>122.97882776147701</v>
      </c>
      <c r="AG62" s="382"/>
      <c r="AH62" s="382"/>
      <c r="AI62" s="382"/>
      <c r="AJ62" s="382"/>
      <c r="AK62" s="382"/>
      <c r="AL62" s="382"/>
      <c r="AM62" s="382"/>
      <c r="AN62" s="382"/>
      <c r="AO62" s="382"/>
      <c r="AP62" s="382"/>
      <c r="AQ62" s="382"/>
      <c r="AR62" s="382"/>
      <c r="AS62" s="382">
        <v>70.072269495279599</v>
      </c>
      <c r="AT62" s="382">
        <v>71.2961883669429</v>
      </c>
      <c r="AU62" s="382">
        <v>71.750786804989303</v>
      </c>
      <c r="AV62" s="382">
        <v>73.172863970159895</v>
      </c>
      <c r="AW62" s="382">
        <v>75.457512530598393</v>
      </c>
      <c r="AX62" s="382">
        <v>77.800442942068301</v>
      </c>
      <c r="AY62" s="382">
        <v>80.5105490150371</v>
      </c>
      <c r="AZ62" s="382">
        <v>84.508683995803693</v>
      </c>
      <c r="BA62" s="382">
        <v>94.614756964681206</v>
      </c>
      <c r="BB62" s="382">
        <v>96.200023312740598</v>
      </c>
      <c r="BC62" s="382">
        <v>100</v>
      </c>
      <c r="BD62" s="382">
        <v>105.06871394778</v>
      </c>
      <c r="BE62" s="382">
        <v>108.98904779208</v>
      </c>
      <c r="BF62" s="382">
        <v>111.938326769089</v>
      </c>
      <c r="BG62" s="382">
        <v>113.440387934233</v>
      </c>
      <c r="BH62" s="382">
        <v>112.479105732701</v>
      </c>
      <c r="BI62" s="382">
        <v>115.55924715987</v>
      </c>
      <c r="BJ62" s="382">
        <v>116.215753245397</v>
      </c>
      <c r="BK62" s="382">
        <v>116.387718683166</v>
      </c>
      <c r="BL62" s="382">
        <v>120.25092237337201</v>
      </c>
      <c r="BM62" s="382">
        <v>122.388271692977</v>
      </c>
      <c r="BN62" s="382">
        <v>123.834800404194</v>
      </c>
      <c r="BO62" s="382">
        <v>130.24920589631299</v>
      </c>
      <c r="BP62" s="382">
        <v>132.196520309031</v>
      </c>
    </row>
    <row r="63" spans="1:68">
      <c r="A63" s="382" t="s">
        <v>2204</v>
      </c>
      <c r="B63" s="382" t="s">
        <v>2396</v>
      </c>
      <c r="C63" s="382" t="s">
        <v>2334</v>
      </c>
      <c r="D63" s="382" t="s">
        <v>2335</v>
      </c>
      <c r="E63" s="382"/>
      <c r="F63" s="382"/>
      <c r="G63" s="382"/>
      <c r="H63" s="382"/>
      <c r="I63" s="382">
        <v>7.9775123777121602</v>
      </c>
      <c r="J63" s="382"/>
      <c r="K63" s="382">
        <v>8.3757232038530596</v>
      </c>
      <c r="L63" s="382">
        <v>8.4554983276368798</v>
      </c>
      <c r="M63" s="382">
        <v>8.9095517404483395</v>
      </c>
      <c r="N63" s="382">
        <v>9.2851596149189497</v>
      </c>
      <c r="O63" s="382">
        <v>10.435915775403901</v>
      </c>
      <c r="P63" s="382">
        <v>10.815512406030001</v>
      </c>
      <c r="Q63" s="382">
        <v>11.214388024929001</v>
      </c>
      <c r="R63" s="382">
        <v>12.5712299218449</v>
      </c>
      <c r="S63" s="382">
        <v>16.892725254208202</v>
      </c>
      <c r="T63" s="382">
        <v>20.254848622786799</v>
      </c>
      <c r="U63" s="382">
        <v>22.463132737624498</v>
      </c>
      <c r="V63" s="382">
        <v>24.5979514318119</v>
      </c>
      <c r="W63" s="382">
        <v>26.4950878827194</v>
      </c>
      <c r="X63" s="382"/>
      <c r="Y63" s="382">
        <v>41.499319676684799</v>
      </c>
      <c r="Z63" s="382">
        <v>47.004904730115598</v>
      </c>
      <c r="AA63" s="382">
        <v>49.070579498985303</v>
      </c>
      <c r="AB63" s="382">
        <v>51.106003800528399</v>
      </c>
      <c r="AC63" s="382">
        <v>52.239532026207101</v>
      </c>
      <c r="AD63" s="382">
        <v>54.193280065968601</v>
      </c>
      <c r="AE63" s="382">
        <v>55.696728292097902</v>
      </c>
      <c r="AF63" s="382">
        <v>57.938287920994803</v>
      </c>
      <c r="AG63" s="382">
        <v>59.632746240814399</v>
      </c>
      <c r="AH63" s="382">
        <v>63.341021385515198</v>
      </c>
      <c r="AI63" s="382">
        <v>65.362184752461602</v>
      </c>
      <c r="AJ63" s="382">
        <v>68.994401579313106</v>
      </c>
      <c r="AK63" s="382">
        <v>72.769654902971894</v>
      </c>
      <c r="AL63" s="382">
        <v>73.911429739251304</v>
      </c>
      <c r="AM63" s="382">
        <v>73.922617516634602</v>
      </c>
      <c r="AN63" s="382">
        <v>74.8965756921653</v>
      </c>
      <c r="AO63" s="382">
        <v>76.152714475029299</v>
      </c>
      <c r="AP63" s="382">
        <v>78.008020891084897</v>
      </c>
      <c r="AQ63" s="382">
        <v>78.787436048784599</v>
      </c>
      <c r="AR63" s="382">
        <v>79.716716424426096</v>
      </c>
      <c r="AS63" s="382">
        <v>80.399846279161807</v>
      </c>
      <c r="AT63" s="382">
        <v>81.448175078671298</v>
      </c>
      <c r="AU63" s="382">
        <v>81.586682041741398</v>
      </c>
      <c r="AV63" s="382">
        <v>82.772436774365104</v>
      </c>
      <c r="AW63" s="382">
        <v>84.754099811849898</v>
      </c>
      <c r="AX63" s="382">
        <v>86.179579693580393</v>
      </c>
      <c r="AY63" s="382">
        <v>88.077591281807997</v>
      </c>
      <c r="AZ63" s="382">
        <v>91.276764306864294</v>
      </c>
      <c r="BA63" s="382">
        <v>97.081895168803797</v>
      </c>
      <c r="BB63" s="382">
        <v>97.087975962304398</v>
      </c>
      <c r="BC63" s="382">
        <v>100</v>
      </c>
      <c r="BD63" s="382">
        <v>101.13123136526499</v>
      </c>
      <c r="BE63" s="382">
        <v>102.503351067868</v>
      </c>
      <c r="BF63" s="382">
        <v>102.45577757453</v>
      </c>
      <c r="BG63" s="382">
        <v>103.274655758634</v>
      </c>
      <c r="BH63" s="382">
        <v>102.403196345051</v>
      </c>
      <c r="BI63" s="382">
        <v>102.548420693137</v>
      </c>
      <c r="BJ63" s="382">
        <v>102.85222335234999</v>
      </c>
      <c r="BK63" s="382">
        <v>103.869628411641</v>
      </c>
      <c r="BL63" s="382">
        <v>105.43247529016</v>
      </c>
      <c r="BM63" s="382">
        <v>104.665858458043</v>
      </c>
      <c r="BN63" s="382">
        <v>106.218256661718</v>
      </c>
      <c r="BO63" s="382">
        <v>114.482690539567</v>
      </c>
      <c r="BP63" s="382">
        <v>118.46801388502401</v>
      </c>
    </row>
    <row r="64" spans="1:68">
      <c r="A64" s="382" t="s">
        <v>1053</v>
      </c>
      <c r="B64" s="382" t="s">
        <v>2397</v>
      </c>
      <c r="C64" s="382" t="s">
        <v>2334</v>
      </c>
      <c r="D64" s="382" t="s">
        <v>2335</v>
      </c>
      <c r="E64" s="382">
        <v>8.2457021038668792</v>
      </c>
      <c r="F64" s="382">
        <v>8.5303131147655797</v>
      </c>
      <c r="G64" s="382">
        <v>9.1596642232681091</v>
      </c>
      <c r="H64" s="382">
        <v>9.7188647305779003</v>
      </c>
      <c r="I64" s="382">
        <v>10.019448175853499</v>
      </c>
      <c r="J64" s="382">
        <v>10.565508101362401</v>
      </c>
      <c r="K64" s="382">
        <v>11.311956990463401</v>
      </c>
      <c r="L64" s="382">
        <v>12.240425854834401</v>
      </c>
      <c r="M64" s="382">
        <v>13.2202972948844</v>
      </c>
      <c r="N64" s="382">
        <v>13.681410588340301</v>
      </c>
      <c r="O64" s="382">
        <v>14.572732791715</v>
      </c>
      <c r="P64" s="382">
        <v>15.428133202392599</v>
      </c>
      <c r="Q64" s="382">
        <v>16.4405829836622</v>
      </c>
      <c r="R64" s="382">
        <v>17.9701133827337</v>
      </c>
      <c r="S64" s="382">
        <v>20.715085260244599</v>
      </c>
      <c r="T64" s="382">
        <v>22.7048959914293</v>
      </c>
      <c r="U64" s="382">
        <v>24.750673154182699</v>
      </c>
      <c r="V64" s="382">
        <v>27.454000535666498</v>
      </c>
      <c r="W64" s="382">
        <v>30.258057316311</v>
      </c>
      <c r="X64" s="382">
        <v>33.166174448710002</v>
      </c>
      <c r="Y64" s="382">
        <v>37.247379698241197</v>
      </c>
      <c r="Z64" s="382">
        <v>41.630423176502099</v>
      </c>
      <c r="AA64" s="382">
        <v>45.843765735202197</v>
      </c>
      <c r="AB64" s="382">
        <v>49.010757968038597</v>
      </c>
      <c r="AC64" s="382">
        <v>52.093916614587997</v>
      </c>
      <c r="AD64" s="382">
        <v>54.531261494509501</v>
      </c>
      <c r="AE64" s="382">
        <v>56.5370216944916</v>
      </c>
      <c r="AF64" s="382">
        <v>58.809806267297603</v>
      </c>
      <c r="AG64" s="382">
        <v>61.476909204535303</v>
      </c>
      <c r="AH64" s="382">
        <v>64.411032050709807</v>
      </c>
      <c r="AI64" s="382">
        <v>66.112515846799397</v>
      </c>
      <c r="AJ64" s="382">
        <v>67.6960119632176</v>
      </c>
      <c r="AK64" s="382">
        <v>69.114950450852604</v>
      </c>
      <c r="AL64" s="382">
        <v>69.984317471654293</v>
      </c>
      <c r="AM64" s="382">
        <v>71.378415320060697</v>
      </c>
      <c r="AN64" s="382">
        <v>72.865661994464801</v>
      </c>
      <c r="AO64" s="382">
        <v>74.415003124720997</v>
      </c>
      <c r="AP64" s="382">
        <v>76.038862601553504</v>
      </c>
      <c r="AQ64" s="382">
        <v>77.442274796893102</v>
      </c>
      <c r="AR64" s="382">
        <v>79.376624408534994</v>
      </c>
      <c r="AS64" s="382">
        <v>81.681151682885499</v>
      </c>
      <c r="AT64" s="382">
        <v>83.5907508258191</v>
      </c>
      <c r="AU64" s="382">
        <v>85.617355593250593</v>
      </c>
      <c r="AV64" s="382">
        <v>87.393982680117901</v>
      </c>
      <c r="AW64" s="382">
        <v>88.402821176680703</v>
      </c>
      <c r="AX64" s="382">
        <v>90.009820551736496</v>
      </c>
      <c r="AY64" s="382">
        <v>91.741808767074403</v>
      </c>
      <c r="AZ64" s="382">
        <v>93.295241496295006</v>
      </c>
      <c r="BA64" s="382">
        <v>96.482456923488996</v>
      </c>
      <c r="BB64" s="382">
        <v>97.741273100615999</v>
      </c>
      <c r="BC64" s="382">
        <v>100</v>
      </c>
      <c r="BD64" s="382">
        <v>102.758682260513</v>
      </c>
      <c r="BE64" s="382">
        <v>105.222747968931</v>
      </c>
      <c r="BF64" s="382">
        <v>106.053030979377</v>
      </c>
      <c r="BG64" s="382">
        <v>106.65119185787</v>
      </c>
      <c r="BH64" s="382">
        <v>107.133291670387</v>
      </c>
      <c r="BI64" s="382">
        <v>107.401124899563</v>
      </c>
      <c r="BJ64" s="382">
        <v>108.633157753772</v>
      </c>
      <c r="BK64" s="382">
        <v>109.517007410053</v>
      </c>
      <c r="BL64" s="382">
        <v>110.347290420498</v>
      </c>
      <c r="BM64" s="382">
        <v>110.811534684403</v>
      </c>
      <c r="BN64" s="382">
        <v>112.864922774752</v>
      </c>
      <c r="BO64" s="382">
        <v>121.55164717436</v>
      </c>
      <c r="BP64" s="382">
        <v>125.56914561199901</v>
      </c>
    </row>
    <row r="65" spans="1:68">
      <c r="A65" s="382" t="s">
        <v>1504</v>
      </c>
      <c r="B65" s="382" t="s">
        <v>2398</v>
      </c>
      <c r="C65" s="382" t="s">
        <v>2334</v>
      </c>
      <c r="D65" s="382" t="s">
        <v>2335</v>
      </c>
      <c r="E65" s="382">
        <v>0.45458067096612398</v>
      </c>
      <c r="F65" s="382">
        <v>0.43685202479390001</v>
      </c>
      <c r="G65" s="382">
        <v>0.47685512383891898</v>
      </c>
      <c r="H65" s="382">
        <v>0.51776738422586999</v>
      </c>
      <c r="I65" s="382">
        <v>0.52867732032905701</v>
      </c>
      <c r="J65" s="382">
        <v>0.51867654556780196</v>
      </c>
      <c r="K65" s="382">
        <v>0.52004028758069998</v>
      </c>
      <c r="L65" s="382">
        <v>0.52648018042127998</v>
      </c>
      <c r="M65" s="382">
        <v>0.52666958903342498</v>
      </c>
      <c r="N65" s="382">
        <v>0.53170785813814903</v>
      </c>
      <c r="O65" s="382">
        <v>0.55200137472242805</v>
      </c>
      <c r="P65" s="382">
        <v>0.57176318344812105</v>
      </c>
      <c r="Q65" s="382">
        <v>0.62116770526634602</v>
      </c>
      <c r="R65" s="382">
        <v>0.71483690627457697</v>
      </c>
      <c r="S65" s="382">
        <v>0.80877196121364203</v>
      </c>
      <c r="T65" s="382">
        <v>0.92605785292128595</v>
      </c>
      <c r="U65" s="382">
        <v>0.99797134073447102</v>
      </c>
      <c r="V65" s="382">
        <v>1.1262458615120701</v>
      </c>
      <c r="W65" s="382">
        <v>1.1654150070597999</v>
      </c>
      <c r="X65" s="382">
        <v>1.2723279088042001</v>
      </c>
      <c r="Y65" s="382">
        <v>1.4854827297842199</v>
      </c>
      <c r="Z65" s="382">
        <v>1.59711139295278</v>
      </c>
      <c r="AA65" s="382">
        <v>1.7192304120937101</v>
      </c>
      <c r="AB65" s="382">
        <v>1.8159994155547701</v>
      </c>
      <c r="AC65" s="382">
        <v>2.18195377217247</v>
      </c>
      <c r="AD65" s="382">
        <v>3.1711681648146399</v>
      </c>
      <c r="AE65" s="382">
        <v>3.4134128341113601</v>
      </c>
      <c r="AF65" s="382">
        <v>3.87595497882783</v>
      </c>
      <c r="AG65" s="382">
        <v>5.5760973727607004</v>
      </c>
      <c r="AH65" s="382">
        <v>7.8432223652078896</v>
      </c>
      <c r="AI65" s="382">
        <v>11.8011068228295</v>
      </c>
      <c r="AJ65" s="382">
        <v>17.356968480134899</v>
      </c>
      <c r="AK65" s="382">
        <v>18.0962063480228</v>
      </c>
      <c r="AL65" s="382">
        <v>19.046318492491501</v>
      </c>
      <c r="AM65" s="382">
        <v>20.619690672984799</v>
      </c>
      <c r="AN65" s="382">
        <v>23.2045667356814</v>
      </c>
      <c r="AO65" s="382">
        <v>24.457449480450499</v>
      </c>
      <c r="AP65" s="382">
        <v>26.486578297094599</v>
      </c>
      <c r="AQ65" s="382">
        <v>27.766321185562798</v>
      </c>
      <c r="AR65" s="382">
        <v>29.5629526232083</v>
      </c>
      <c r="AS65" s="382">
        <v>31.846435189463399</v>
      </c>
      <c r="AT65" s="382">
        <v>34.675375838371203</v>
      </c>
      <c r="AU65" s="382">
        <v>36.486598218932201</v>
      </c>
      <c r="AV65" s="382">
        <v>46.502064618422501</v>
      </c>
      <c r="AW65" s="382">
        <v>70.432426911535103</v>
      </c>
      <c r="AX65" s="382">
        <v>73.383688298550098</v>
      </c>
      <c r="AY65" s="382">
        <v>78.940892090249804</v>
      </c>
      <c r="AZ65" s="382">
        <v>83.790678332936096</v>
      </c>
      <c r="BA65" s="382">
        <v>92.709878554718401</v>
      </c>
      <c r="BB65" s="382">
        <v>94.046895290530003</v>
      </c>
      <c r="BC65" s="382">
        <v>100</v>
      </c>
      <c r="BD65" s="382">
        <v>105.79676809206499</v>
      </c>
      <c r="BE65" s="382">
        <v>109.70542659874199</v>
      </c>
      <c r="BF65" s="382">
        <v>115.00524196631299</v>
      </c>
      <c r="BG65" s="382">
        <v>118.45383775457</v>
      </c>
      <c r="BH65" s="382">
        <v>119.444995914537</v>
      </c>
      <c r="BI65" s="382">
        <v>121.373036513831</v>
      </c>
      <c r="BJ65" s="382">
        <v>125.35353436434499</v>
      </c>
      <c r="BK65" s="382">
        <v>129.821678689518</v>
      </c>
      <c r="BL65" s="382">
        <v>132.172234898705</v>
      </c>
      <c r="BM65" s="382">
        <v>137.16970912987901</v>
      </c>
      <c r="BN65" s="382">
        <v>148.47661302671199</v>
      </c>
      <c r="BO65" s="382">
        <v>161.55902413675901</v>
      </c>
      <c r="BP65" s="382">
        <v>169.29061349189999</v>
      </c>
    </row>
    <row r="66" spans="1:68">
      <c r="A66" s="382" t="s">
        <v>1079</v>
      </c>
      <c r="B66" s="382" t="s">
        <v>2399</v>
      </c>
      <c r="C66" s="382" t="s">
        <v>2334</v>
      </c>
      <c r="D66" s="382" t="s">
        <v>2335</v>
      </c>
      <c r="E66" s="382"/>
      <c r="F66" s="382"/>
      <c r="G66" s="382"/>
      <c r="H66" s="382"/>
      <c r="I66" s="382"/>
      <c r="J66" s="382"/>
      <c r="K66" s="382"/>
      <c r="L66" s="382"/>
      <c r="M66" s="382"/>
      <c r="N66" s="382">
        <v>2.5690245335196802</v>
      </c>
      <c r="O66" s="382">
        <v>2.7385801527062901</v>
      </c>
      <c r="P66" s="382">
        <v>2.81051283964484</v>
      </c>
      <c r="Q66" s="382">
        <v>2.9132738209856299</v>
      </c>
      <c r="R66" s="382">
        <v>3.0931055383319999</v>
      </c>
      <c r="S66" s="382">
        <v>3.23846950986223</v>
      </c>
      <c r="T66" s="382">
        <v>3.5050058052234601</v>
      </c>
      <c r="U66" s="382">
        <v>3.8355536285299001</v>
      </c>
      <c r="V66" s="382">
        <v>4.2954090200256303</v>
      </c>
      <c r="W66" s="382">
        <v>5.0481332083661696</v>
      </c>
      <c r="X66" s="382">
        <v>5.6210256793260802</v>
      </c>
      <c r="Y66" s="382">
        <v>6.15602503844653</v>
      </c>
      <c r="Z66" s="382">
        <v>7.0581808204675296</v>
      </c>
      <c r="AA66" s="382">
        <v>7.5199629803548502</v>
      </c>
      <c r="AB66" s="382">
        <v>7.9686914988925404</v>
      </c>
      <c r="AC66" s="382">
        <v>8.6154622127625409</v>
      </c>
      <c r="AD66" s="382">
        <v>9.5185596921101503</v>
      </c>
      <c r="AE66" s="382">
        <v>10.6961586953676</v>
      </c>
      <c r="AF66" s="382">
        <v>11.492087771544799</v>
      </c>
      <c r="AG66" s="382">
        <v>12.1714477074316</v>
      </c>
      <c r="AH66" s="382">
        <v>13.3039231725121</v>
      </c>
      <c r="AI66" s="382">
        <v>15.51936355384</v>
      </c>
      <c r="AJ66" s="382">
        <v>19.536766053213402</v>
      </c>
      <c r="AK66" s="382">
        <v>25.723993810748699</v>
      </c>
      <c r="AL66" s="382">
        <v>31.007786031486699</v>
      </c>
      <c r="AM66" s="382">
        <v>40.0148210875034</v>
      </c>
      <c r="AN66" s="382">
        <v>51.931085346603098</v>
      </c>
      <c r="AO66" s="382">
        <v>61.631332173507303</v>
      </c>
      <c r="AP66" s="382">
        <v>65.1649786270048</v>
      </c>
      <c r="AQ66" s="382">
        <v>68.390750400364794</v>
      </c>
      <c r="AR66" s="382">
        <v>70.200035316783399</v>
      </c>
      <c r="AS66" s="382">
        <v>70.4381279952933</v>
      </c>
      <c r="AT66" s="382">
        <v>73.414835077308794</v>
      </c>
      <c r="AU66" s="382">
        <v>74.456079095308297</v>
      </c>
      <c r="AV66" s="382">
        <v>77.634574831113198</v>
      </c>
      <c r="AW66" s="382">
        <v>80.710301651672594</v>
      </c>
      <c r="AX66" s="382">
        <v>81.826078445765802</v>
      </c>
      <c r="AY66" s="382">
        <v>83.717487582275098</v>
      </c>
      <c r="AZ66" s="382">
        <v>86.797450390271393</v>
      </c>
      <c r="BA66" s="382">
        <v>91.014583180405694</v>
      </c>
      <c r="BB66" s="382">
        <v>96.236144755193394</v>
      </c>
      <c r="BC66" s="382">
        <v>100</v>
      </c>
      <c r="BD66" s="382">
        <v>104.524211505053</v>
      </c>
      <c r="BE66" s="382">
        <v>113.81793046074</v>
      </c>
      <c r="BF66" s="382">
        <v>117.52183806797299</v>
      </c>
      <c r="BG66" s="382">
        <v>120.94986420025</v>
      </c>
      <c r="BH66" s="382">
        <v>126.736646357875</v>
      </c>
      <c r="BI66" s="382">
        <v>134.84487019501299</v>
      </c>
      <c r="BJ66" s="382">
        <v>142.384203185789</v>
      </c>
      <c r="BK66" s="382">
        <v>148.46399471482101</v>
      </c>
      <c r="BL66" s="382">
        <v>151.36166776774601</v>
      </c>
      <c r="BM66" s="382">
        <v>155.01725023856699</v>
      </c>
      <c r="BN66" s="382">
        <v>166.21889451662599</v>
      </c>
      <c r="BO66" s="382">
        <v>181.61993197778301</v>
      </c>
      <c r="BP66" s="382">
        <v>198.55085761824401</v>
      </c>
    </row>
    <row r="67" spans="1:68">
      <c r="A67" s="382" t="s">
        <v>2400</v>
      </c>
      <c r="B67" s="382" t="s">
        <v>2401</v>
      </c>
      <c r="C67" s="382" t="s">
        <v>2334</v>
      </c>
      <c r="D67" s="382" t="s">
        <v>2335</v>
      </c>
      <c r="E67" s="382"/>
      <c r="F67" s="382"/>
      <c r="G67" s="382"/>
      <c r="H67" s="382"/>
      <c r="I67" s="382"/>
      <c r="J67" s="382"/>
      <c r="K67" s="382"/>
      <c r="L67" s="382"/>
      <c r="M67" s="382"/>
      <c r="N67" s="382"/>
      <c r="O67" s="382"/>
      <c r="P67" s="382"/>
      <c r="Q67" s="382"/>
      <c r="R67" s="382"/>
      <c r="S67" s="382"/>
      <c r="T67" s="382"/>
      <c r="U67" s="382"/>
      <c r="V67" s="382"/>
      <c r="W67" s="382"/>
      <c r="X67" s="382"/>
      <c r="Y67" s="382"/>
      <c r="Z67" s="382"/>
      <c r="AA67" s="382"/>
      <c r="AB67" s="382"/>
      <c r="AC67" s="382"/>
      <c r="AD67" s="382"/>
      <c r="AE67" s="382"/>
      <c r="AF67" s="382"/>
      <c r="AG67" s="382"/>
      <c r="AH67" s="382"/>
      <c r="AI67" s="382"/>
      <c r="AJ67" s="382"/>
      <c r="AK67" s="382"/>
      <c r="AL67" s="382"/>
      <c r="AM67" s="382"/>
      <c r="AN67" s="382"/>
      <c r="AO67" s="382"/>
      <c r="AP67" s="382"/>
      <c r="AQ67" s="382"/>
      <c r="AR67" s="382"/>
      <c r="AS67" s="382"/>
      <c r="AT67" s="382"/>
      <c r="AU67" s="382"/>
      <c r="AV67" s="382"/>
      <c r="AW67" s="382"/>
      <c r="AX67" s="382"/>
      <c r="AY67" s="382"/>
      <c r="AZ67" s="382"/>
      <c r="BA67" s="382"/>
      <c r="BB67" s="382"/>
      <c r="BC67" s="382"/>
      <c r="BD67" s="382"/>
      <c r="BE67" s="382"/>
      <c r="BF67" s="382"/>
      <c r="BG67" s="382"/>
      <c r="BH67" s="382"/>
      <c r="BI67" s="382"/>
      <c r="BJ67" s="382"/>
      <c r="BK67" s="382"/>
      <c r="BL67" s="382"/>
      <c r="BM67" s="382"/>
      <c r="BN67" s="382"/>
      <c r="BO67" s="382"/>
      <c r="BP67" s="382"/>
    </row>
    <row r="68" spans="1:68">
      <c r="A68" s="382" t="s">
        <v>2402</v>
      </c>
      <c r="B68" s="382" t="s">
        <v>2403</v>
      </c>
      <c r="C68" s="382" t="s">
        <v>2334</v>
      </c>
      <c r="D68" s="382" t="s">
        <v>2335</v>
      </c>
      <c r="E68" s="382"/>
      <c r="F68" s="382"/>
      <c r="G68" s="382"/>
      <c r="H68" s="382"/>
      <c r="I68" s="382"/>
      <c r="J68" s="382"/>
      <c r="K68" s="382"/>
      <c r="L68" s="382"/>
      <c r="M68" s="382"/>
      <c r="N68" s="382"/>
      <c r="O68" s="382"/>
      <c r="P68" s="382"/>
      <c r="Q68" s="382"/>
      <c r="R68" s="382"/>
      <c r="S68" s="382"/>
      <c r="T68" s="382"/>
      <c r="U68" s="382"/>
      <c r="V68" s="382"/>
      <c r="W68" s="382"/>
      <c r="X68" s="382"/>
      <c r="Y68" s="382"/>
      <c r="Z68" s="382"/>
      <c r="AA68" s="382"/>
      <c r="AB68" s="382"/>
      <c r="AC68" s="382"/>
      <c r="AD68" s="382"/>
      <c r="AE68" s="382"/>
      <c r="AF68" s="382"/>
      <c r="AG68" s="382"/>
      <c r="AH68" s="382"/>
      <c r="AI68" s="382"/>
      <c r="AJ68" s="382"/>
      <c r="AK68" s="382"/>
      <c r="AL68" s="382"/>
      <c r="AM68" s="382"/>
      <c r="AN68" s="382"/>
      <c r="AO68" s="382"/>
      <c r="AP68" s="382"/>
      <c r="AQ68" s="382"/>
      <c r="AR68" s="382"/>
      <c r="AS68" s="382"/>
      <c r="AT68" s="382"/>
      <c r="AU68" s="382"/>
      <c r="AV68" s="382"/>
      <c r="AW68" s="382"/>
      <c r="AX68" s="382"/>
      <c r="AY68" s="382"/>
      <c r="AZ68" s="382"/>
      <c r="BA68" s="382"/>
      <c r="BB68" s="382"/>
      <c r="BC68" s="382"/>
      <c r="BD68" s="382"/>
      <c r="BE68" s="382"/>
      <c r="BF68" s="382"/>
      <c r="BG68" s="382"/>
      <c r="BH68" s="382"/>
      <c r="BI68" s="382"/>
      <c r="BJ68" s="382"/>
      <c r="BK68" s="382"/>
      <c r="BL68" s="382"/>
      <c r="BM68" s="382"/>
      <c r="BN68" s="382"/>
      <c r="BO68" s="382"/>
      <c r="BP68" s="382"/>
    </row>
    <row r="69" spans="1:68">
      <c r="A69" s="382" t="s">
        <v>2404</v>
      </c>
      <c r="B69" s="382" t="s">
        <v>2405</v>
      </c>
      <c r="C69" s="382" t="s">
        <v>2334</v>
      </c>
      <c r="D69" s="382" t="s">
        <v>2335</v>
      </c>
      <c r="E69" s="382"/>
      <c r="F69" s="382"/>
      <c r="G69" s="382"/>
      <c r="H69" s="382"/>
      <c r="I69" s="382"/>
      <c r="J69" s="382"/>
      <c r="K69" s="382"/>
      <c r="L69" s="382"/>
      <c r="M69" s="382"/>
      <c r="N69" s="382"/>
      <c r="O69" s="382"/>
      <c r="P69" s="382"/>
      <c r="Q69" s="382"/>
      <c r="R69" s="382"/>
      <c r="S69" s="382"/>
      <c r="T69" s="382"/>
      <c r="U69" s="382"/>
      <c r="V69" s="382"/>
      <c r="W69" s="382"/>
      <c r="X69" s="382"/>
      <c r="Y69" s="382"/>
      <c r="Z69" s="382"/>
      <c r="AA69" s="382"/>
      <c r="AB69" s="382"/>
      <c r="AC69" s="382"/>
      <c r="AD69" s="382"/>
      <c r="AE69" s="382"/>
      <c r="AF69" s="382"/>
      <c r="AG69" s="382"/>
      <c r="AH69" s="382"/>
      <c r="AI69" s="382"/>
      <c r="AJ69" s="382"/>
      <c r="AK69" s="382"/>
      <c r="AL69" s="382"/>
      <c r="AM69" s="382"/>
      <c r="AN69" s="382"/>
      <c r="AO69" s="382"/>
      <c r="AP69" s="382"/>
      <c r="AQ69" s="382"/>
      <c r="AR69" s="382"/>
      <c r="AS69" s="382"/>
      <c r="AT69" s="382"/>
      <c r="AU69" s="382"/>
      <c r="AV69" s="382"/>
      <c r="AW69" s="382"/>
      <c r="AX69" s="382"/>
      <c r="AY69" s="382"/>
      <c r="AZ69" s="382"/>
      <c r="BA69" s="382"/>
      <c r="BB69" s="382"/>
      <c r="BC69" s="382"/>
      <c r="BD69" s="382"/>
      <c r="BE69" s="382"/>
      <c r="BF69" s="382"/>
      <c r="BG69" s="382"/>
      <c r="BH69" s="382"/>
      <c r="BI69" s="382"/>
      <c r="BJ69" s="382"/>
      <c r="BK69" s="382"/>
      <c r="BL69" s="382"/>
      <c r="BM69" s="382"/>
      <c r="BN69" s="382"/>
      <c r="BO69" s="382"/>
      <c r="BP69" s="382"/>
    </row>
    <row r="70" spans="1:68">
      <c r="A70" s="382" t="s">
        <v>2406</v>
      </c>
      <c r="B70" s="382" t="s">
        <v>2407</v>
      </c>
      <c r="C70" s="382" t="s">
        <v>2334</v>
      </c>
      <c r="D70" s="382" t="s">
        <v>2335</v>
      </c>
      <c r="E70" s="382"/>
      <c r="F70" s="382"/>
      <c r="G70" s="382"/>
      <c r="H70" s="382"/>
      <c r="I70" s="382"/>
      <c r="J70" s="382"/>
      <c r="K70" s="382"/>
      <c r="L70" s="382"/>
      <c r="M70" s="382"/>
      <c r="N70" s="382"/>
      <c r="O70" s="382"/>
      <c r="P70" s="382"/>
      <c r="Q70" s="382"/>
      <c r="R70" s="382"/>
      <c r="S70" s="382"/>
      <c r="T70" s="382"/>
      <c r="U70" s="382"/>
      <c r="V70" s="382"/>
      <c r="W70" s="382"/>
      <c r="X70" s="382"/>
      <c r="Y70" s="382"/>
      <c r="Z70" s="382"/>
      <c r="AA70" s="382"/>
      <c r="AB70" s="382"/>
      <c r="AC70" s="382"/>
      <c r="AD70" s="382"/>
      <c r="AE70" s="382"/>
      <c r="AF70" s="382"/>
      <c r="AG70" s="382"/>
      <c r="AH70" s="382"/>
      <c r="AI70" s="382"/>
      <c r="AJ70" s="382"/>
      <c r="AK70" s="382"/>
      <c r="AL70" s="382"/>
      <c r="AM70" s="382"/>
      <c r="AN70" s="382"/>
      <c r="AO70" s="382"/>
      <c r="AP70" s="382"/>
      <c r="AQ70" s="382"/>
      <c r="AR70" s="382"/>
      <c r="AS70" s="382"/>
      <c r="AT70" s="382"/>
      <c r="AU70" s="382"/>
      <c r="AV70" s="382"/>
      <c r="AW70" s="382"/>
      <c r="AX70" s="382"/>
      <c r="AY70" s="382"/>
      <c r="AZ70" s="382"/>
      <c r="BA70" s="382"/>
      <c r="BB70" s="382"/>
      <c r="BC70" s="382"/>
      <c r="BD70" s="382"/>
      <c r="BE70" s="382"/>
      <c r="BF70" s="382"/>
      <c r="BG70" s="382"/>
      <c r="BH70" s="382"/>
      <c r="BI70" s="382"/>
      <c r="BJ70" s="382"/>
      <c r="BK70" s="382"/>
      <c r="BL70" s="382"/>
      <c r="BM70" s="382"/>
      <c r="BN70" s="382"/>
      <c r="BO70" s="382"/>
      <c r="BP70" s="382"/>
    </row>
    <row r="71" spans="1:68">
      <c r="A71" s="382" t="s">
        <v>2408</v>
      </c>
      <c r="B71" s="382" t="s">
        <v>2409</v>
      </c>
      <c r="C71" s="382" t="s">
        <v>2334</v>
      </c>
      <c r="D71" s="382" t="s">
        <v>2335</v>
      </c>
      <c r="E71" s="382"/>
      <c r="F71" s="382"/>
      <c r="G71" s="382"/>
      <c r="H71" s="382"/>
      <c r="I71" s="382"/>
      <c r="J71" s="382"/>
      <c r="K71" s="382"/>
      <c r="L71" s="382"/>
      <c r="M71" s="382"/>
      <c r="N71" s="382"/>
      <c r="O71" s="382"/>
      <c r="P71" s="382"/>
      <c r="Q71" s="382"/>
      <c r="R71" s="382"/>
      <c r="S71" s="382"/>
      <c r="T71" s="382"/>
      <c r="U71" s="382"/>
      <c r="V71" s="382"/>
      <c r="W71" s="382"/>
      <c r="X71" s="382"/>
      <c r="Y71" s="382"/>
      <c r="Z71" s="382"/>
      <c r="AA71" s="382"/>
      <c r="AB71" s="382"/>
      <c r="AC71" s="382"/>
      <c r="AD71" s="382"/>
      <c r="AE71" s="382"/>
      <c r="AF71" s="382"/>
      <c r="AG71" s="382"/>
      <c r="AH71" s="382"/>
      <c r="AI71" s="382"/>
      <c r="AJ71" s="382"/>
      <c r="AK71" s="382"/>
      <c r="AL71" s="382"/>
      <c r="AM71" s="382"/>
      <c r="AN71" s="382"/>
      <c r="AO71" s="382"/>
      <c r="AP71" s="382"/>
      <c r="AQ71" s="382"/>
      <c r="AR71" s="382"/>
      <c r="AS71" s="382"/>
      <c r="AT71" s="382"/>
      <c r="AU71" s="382"/>
      <c r="AV71" s="382"/>
      <c r="AW71" s="382"/>
      <c r="AX71" s="382"/>
      <c r="AY71" s="382"/>
      <c r="AZ71" s="382"/>
      <c r="BA71" s="382"/>
      <c r="BB71" s="382"/>
      <c r="BC71" s="382"/>
      <c r="BD71" s="382"/>
      <c r="BE71" s="382"/>
      <c r="BF71" s="382"/>
      <c r="BG71" s="382"/>
      <c r="BH71" s="382"/>
      <c r="BI71" s="382"/>
      <c r="BJ71" s="382"/>
      <c r="BK71" s="382"/>
      <c r="BL71" s="382"/>
      <c r="BM71" s="382"/>
      <c r="BN71" s="382"/>
      <c r="BO71" s="382"/>
      <c r="BP71" s="382"/>
    </row>
    <row r="72" spans="1:68">
      <c r="A72" s="382" t="s">
        <v>1047</v>
      </c>
      <c r="B72" s="382" t="s">
        <v>2410</v>
      </c>
      <c r="C72" s="382" t="s">
        <v>2334</v>
      </c>
      <c r="D72" s="382" t="s">
        <v>2335</v>
      </c>
      <c r="E72" s="382">
        <v>1.22426192949926E-2</v>
      </c>
      <c r="F72" s="382">
        <v>1.27305636401281E-2</v>
      </c>
      <c r="G72" s="382">
        <v>1.3096043522139601E-2</v>
      </c>
      <c r="H72" s="382">
        <v>1.3873884213537E-2</v>
      </c>
      <c r="I72" s="382">
        <v>1.44335850800268E-2</v>
      </c>
      <c r="J72" s="382">
        <v>1.48765620051577E-2</v>
      </c>
      <c r="K72" s="382">
        <v>1.5687889073154E-2</v>
      </c>
      <c r="L72" s="382">
        <v>1.62868743519325E-2</v>
      </c>
      <c r="M72" s="382">
        <v>1.6990085580727E-2</v>
      </c>
      <c r="N72" s="382">
        <v>1.8064994173249301E-2</v>
      </c>
      <c r="O72" s="382">
        <v>1.8999184903038299E-2</v>
      </c>
      <c r="P72" s="382">
        <v>2.0808224740398298E-2</v>
      </c>
      <c r="Q72" s="382">
        <v>2.2374068185082498E-2</v>
      </c>
      <c r="R72" s="382">
        <v>2.5087627943413501E-2</v>
      </c>
      <c r="S72" s="382">
        <v>3.0783543468864201E-2</v>
      </c>
      <c r="T72" s="382">
        <v>3.5182411566929098E-2</v>
      </c>
      <c r="U72" s="382">
        <v>3.8762091809951799E-2</v>
      </c>
      <c r="V72" s="382">
        <v>4.3779617399420101E-2</v>
      </c>
      <c r="W72" s="382">
        <v>4.95139323578771E-2</v>
      </c>
      <c r="X72" s="382">
        <v>5.4523351401271902E-2</v>
      </c>
      <c r="Y72" s="382">
        <v>6.1016695101293802E-2</v>
      </c>
      <c r="Z72" s="382">
        <v>6.95883013137443E-2</v>
      </c>
      <c r="AA72" s="382">
        <v>8.0920399922684794E-2</v>
      </c>
      <c r="AB72" s="382">
        <v>0.120100618865638</v>
      </c>
      <c r="AC72" s="382">
        <v>0.15759552946885699</v>
      </c>
      <c r="AD72" s="382">
        <v>0.20171220853661601</v>
      </c>
      <c r="AE72" s="382">
        <v>0.24816698626267</v>
      </c>
      <c r="AF72" s="382">
        <v>0.32138616706213702</v>
      </c>
      <c r="AG72" s="382">
        <v>0.508485258983433</v>
      </c>
      <c r="AH72" s="382">
        <v>0.89314515434311303</v>
      </c>
      <c r="AI72" s="382">
        <v>1.32649126100048</v>
      </c>
      <c r="AJ72" s="382">
        <v>1.97273234368442</v>
      </c>
      <c r="AK72" s="382">
        <v>3.0499985007810202</v>
      </c>
      <c r="AL72" s="382">
        <v>4.4211269664624204</v>
      </c>
      <c r="AM72" s="382">
        <v>5.62857572623781</v>
      </c>
      <c r="AN72" s="382">
        <v>6.9194408489196304</v>
      </c>
      <c r="AO72" s="382">
        <v>8.6085773296643602</v>
      </c>
      <c r="AP72" s="382">
        <v>11.2477577415128</v>
      </c>
      <c r="AQ72" s="382">
        <v>15.308022052100201</v>
      </c>
      <c r="AR72" s="382">
        <v>23.305239726405201</v>
      </c>
      <c r="AS72" s="382">
        <v>45.700730449954797</v>
      </c>
      <c r="AT72" s="382">
        <v>62.919278331201902</v>
      </c>
      <c r="AU72" s="382">
        <v>70.773868107735595</v>
      </c>
      <c r="AV72" s="382">
        <v>76.385786345877094</v>
      </c>
      <c r="AW72" s="382">
        <v>78.481225672170396</v>
      </c>
      <c r="AX72" s="382">
        <v>80.182916047028201</v>
      </c>
      <c r="AY72" s="382">
        <v>82.827948757382998</v>
      </c>
      <c r="AZ72" s="382">
        <v>84.713265920602396</v>
      </c>
      <c r="BA72" s="382">
        <v>91.829261531734105</v>
      </c>
      <c r="BB72" s="382">
        <v>96.567622309375295</v>
      </c>
      <c r="BC72" s="382">
        <v>100</v>
      </c>
      <c r="BD72" s="382">
        <v>104.47453265795799</v>
      </c>
      <c r="BE72" s="382">
        <v>109.80453267603301</v>
      </c>
      <c r="BF72" s="382">
        <v>112.79316584857099</v>
      </c>
      <c r="BG72" s="382">
        <v>116.841560903266</v>
      </c>
      <c r="BH72" s="382">
        <v>121.476252276892</v>
      </c>
      <c r="BI72" s="382">
        <v>123.575683382786</v>
      </c>
      <c r="BJ72" s="382">
        <v>124.09140868848</v>
      </c>
      <c r="BK72" s="382">
        <v>123.813315813595</v>
      </c>
      <c r="BL72" s="382">
        <v>124.142674729473</v>
      </c>
      <c r="BM72" s="382">
        <v>123.721989477427</v>
      </c>
      <c r="BN72" s="382">
        <v>123.886850743311</v>
      </c>
      <c r="BO72" s="382">
        <v>128.18097925347701</v>
      </c>
      <c r="BP72" s="382">
        <v>131.021069370666</v>
      </c>
    </row>
    <row r="73" spans="1:68">
      <c r="A73" s="382" t="s">
        <v>2411</v>
      </c>
      <c r="B73" s="382" t="s">
        <v>2412</v>
      </c>
      <c r="C73" s="382" t="s">
        <v>2334</v>
      </c>
      <c r="D73" s="382" t="s">
        <v>2335</v>
      </c>
      <c r="E73" s="382">
        <v>1.20872070863002</v>
      </c>
      <c r="F73" s="382">
        <v>1.2171044771133801</v>
      </c>
      <c r="G73" s="382">
        <v>1.1805538975108101</v>
      </c>
      <c r="H73" s="382">
        <v>1.1893684525188</v>
      </c>
      <c r="I73" s="382">
        <v>1.2329110287645699</v>
      </c>
      <c r="J73" s="382">
        <v>1.4158627513308</v>
      </c>
      <c r="K73" s="382">
        <v>1.5438063486560301</v>
      </c>
      <c r="L73" s="382">
        <v>1.55464228658054</v>
      </c>
      <c r="M73" s="382">
        <v>1.52859022194483</v>
      </c>
      <c r="N73" s="382">
        <v>1.58071240136806</v>
      </c>
      <c r="O73" s="382">
        <v>1.64019300612286</v>
      </c>
      <c r="P73" s="382">
        <v>1.6917019834377001</v>
      </c>
      <c r="Q73" s="382">
        <v>1.7272677058627599</v>
      </c>
      <c r="R73" s="382">
        <v>1.81556880983419</v>
      </c>
      <c r="S73" s="382">
        <v>1.99756719633179</v>
      </c>
      <c r="T73" s="382">
        <v>2.1907258612556602</v>
      </c>
      <c r="U73" s="382">
        <v>2.4167521593217098</v>
      </c>
      <c r="V73" s="382">
        <v>2.7244569785496302</v>
      </c>
      <c r="W73" s="382">
        <v>3.0262750575144901</v>
      </c>
      <c r="X73" s="382">
        <v>3.3260082493048801</v>
      </c>
      <c r="Y73" s="382">
        <v>4.0184573879985699</v>
      </c>
      <c r="Z73" s="382">
        <v>4.4330530581603904</v>
      </c>
      <c r="AA73" s="382">
        <v>5.0901649052770903</v>
      </c>
      <c r="AB73" s="382">
        <v>5.9086570024997798</v>
      </c>
      <c r="AC73" s="382">
        <v>6.9152774575808502</v>
      </c>
      <c r="AD73" s="382">
        <v>7.7524932302302103</v>
      </c>
      <c r="AE73" s="382">
        <v>9.6025706831028597</v>
      </c>
      <c r="AF73" s="382">
        <v>11.4936619011958</v>
      </c>
      <c r="AG73" s="382">
        <v>13.523843279601101</v>
      </c>
      <c r="AH73" s="382">
        <v>16.3992648629815</v>
      </c>
      <c r="AI73" s="382">
        <v>19.1471871327422</v>
      </c>
      <c r="AJ73" s="382">
        <v>22.928477965336398</v>
      </c>
      <c r="AK73" s="382">
        <v>26.055331761589098</v>
      </c>
      <c r="AL73" s="382">
        <v>29.205367251227301</v>
      </c>
      <c r="AM73" s="382">
        <v>31.5868404447804</v>
      </c>
      <c r="AN73" s="382">
        <v>36.559313675947102</v>
      </c>
      <c r="AO73" s="382">
        <v>39.186869460822003</v>
      </c>
      <c r="AP73" s="382">
        <v>40.9994995628414</v>
      </c>
      <c r="AQ73" s="382">
        <v>42.587236123387498</v>
      </c>
      <c r="AR73" s="382">
        <v>43.898709687758</v>
      </c>
      <c r="AS73" s="382">
        <v>45.076865608469099</v>
      </c>
      <c r="AT73" s="382">
        <v>46.100001013297103</v>
      </c>
      <c r="AU73" s="382">
        <v>47.361868012584999</v>
      </c>
      <c r="AV73" s="382">
        <v>49.496835104022999</v>
      </c>
      <c r="AW73" s="382">
        <v>55.075434970010903</v>
      </c>
      <c r="AX73" s="382">
        <v>57.757276530949902</v>
      </c>
      <c r="AY73" s="382">
        <v>62.172546809422798</v>
      </c>
      <c r="AZ73" s="382">
        <v>67.966387209158697</v>
      </c>
      <c r="BA73" s="382">
        <v>80.415675955390796</v>
      </c>
      <c r="BB73" s="382">
        <v>89.875370328358201</v>
      </c>
      <c r="BC73" s="382">
        <v>100</v>
      </c>
      <c r="BD73" s="382">
        <v>110.064925987482</v>
      </c>
      <c r="BE73" s="382">
        <v>117.89244572481699</v>
      </c>
      <c r="BF73" s="382">
        <v>129.05653001287899</v>
      </c>
      <c r="BG73" s="382">
        <v>142.052800661666</v>
      </c>
      <c r="BH73" s="382">
        <v>156.78437263697899</v>
      </c>
      <c r="BI73" s="382">
        <v>178.441948479442</v>
      </c>
      <c r="BJ73" s="382">
        <v>231.09411542790099</v>
      </c>
      <c r="BK73" s="382">
        <v>264.37505538255903</v>
      </c>
      <c r="BL73" s="382">
        <v>288.572774376263</v>
      </c>
      <c r="BM73" s="382">
        <v>303.13107718170801</v>
      </c>
      <c r="BN73" s="382">
        <v>318.93648130826602</v>
      </c>
      <c r="BO73" s="382">
        <v>363.25481348448699</v>
      </c>
      <c r="BP73" s="382">
        <v>486.34289447466102</v>
      </c>
    </row>
    <row r="74" spans="1:68">
      <c r="A74" s="382" t="s">
        <v>2413</v>
      </c>
      <c r="B74" s="382" t="s">
        <v>2414</v>
      </c>
      <c r="C74" s="382" t="s">
        <v>2334</v>
      </c>
      <c r="D74" s="382" t="s">
        <v>2335</v>
      </c>
      <c r="E74" s="382"/>
      <c r="F74" s="382"/>
      <c r="G74" s="382"/>
      <c r="H74" s="382"/>
      <c r="I74" s="382"/>
      <c r="J74" s="382"/>
      <c r="K74" s="382"/>
      <c r="L74" s="382"/>
      <c r="M74" s="382"/>
      <c r="N74" s="382"/>
      <c r="O74" s="382"/>
      <c r="P74" s="382"/>
      <c r="Q74" s="382"/>
      <c r="R74" s="382"/>
      <c r="S74" s="382"/>
      <c r="T74" s="382"/>
      <c r="U74" s="382"/>
      <c r="V74" s="382"/>
      <c r="W74" s="382"/>
      <c r="X74" s="382"/>
      <c r="Y74" s="382"/>
      <c r="Z74" s="382"/>
      <c r="AA74" s="382"/>
      <c r="AB74" s="382"/>
      <c r="AC74" s="382"/>
      <c r="AD74" s="382"/>
      <c r="AE74" s="382"/>
      <c r="AF74" s="382"/>
      <c r="AG74" s="382"/>
      <c r="AH74" s="382"/>
      <c r="AI74" s="382"/>
      <c r="AJ74" s="382"/>
      <c r="AK74" s="382"/>
      <c r="AL74" s="382"/>
      <c r="AM74" s="382"/>
      <c r="AN74" s="382"/>
      <c r="AO74" s="382"/>
      <c r="AP74" s="382"/>
      <c r="AQ74" s="382"/>
      <c r="AR74" s="382"/>
      <c r="AS74" s="382"/>
      <c r="AT74" s="382"/>
      <c r="AU74" s="382"/>
      <c r="AV74" s="382"/>
      <c r="AW74" s="382"/>
      <c r="AX74" s="382"/>
      <c r="AY74" s="382"/>
      <c r="AZ74" s="382"/>
      <c r="BA74" s="382"/>
      <c r="BB74" s="382"/>
      <c r="BC74" s="382"/>
      <c r="BD74" s="382"/>
      <c r="BE74" s="382"/>
      <c r="BF74" s="382"/>
      <c r="BG74" s="382"/>
      <c r="BH74" s="382"/>
      <c r="BI74" s="382"/>
      <c r="BJ74" s="382"/>
      <c r="BK74" s="382"/>
      <c r="BL74" s="382"/>
      <c r="BM74" s="382"/>
      <c r="BN74" s="382"/>
      <c r="BO74" s="382"/>
      <c r="BP74" s="382"/>
    </row>
    <row r="75" spans="1:68">
      <c r="A75" s="382" t="s">
        <v>2006</v>
      </c>
      <c r="B75" s="382" t="s">
        <v>2415</v>
      </c>
      <c r="C75" s="382" t="s">
        <v>2334</v>
      </c>
      <c r="D75" s="382" t="s">
        <v>2335</v>
      </c>
      <c r="E75" s="382"/>
      <c r="F75" s="382"/>
      <c r="G75" s="382"/>
      <c r="H75" s="382"/>
      <c r="I75" s="382"/>
      <c r="J75" s="382"/>
      <c r="K75" s="382"/>
      <c r="L75" s="382"/>
      <c r="M75" s="382"/>
      <c r="N75" s="382"/>
      <c r="O75" s="382"/>
      <c r="P75" s="382"/>
      <c r="Q75" s="382"/>
      <c r="R75" s="382"/>
      <c r="S75" s="382"/>
      <c r="T75" s="382"/>
      <c r="U75" s="382"/>
      <c r="V75" s="382"/>
      <c r="W75" s="382"/>
      <c r="X75" s="382"/>
      <c r="Y75" s="382"/>
      <c r="Z75" s="382"/>
      <c r="AA75" s="382"/>
      <c r="AB75" s="382"/>
      <c r="AC75" s="382"/>
      <c r="AD75" s="382"/>
      <c r="AE75" s="382"/>
      <c r="AF75" s="382"/>
      <c r="AG75" s="382"/>
      <c r="AH75" s="382"/>
      <c r="AI75" s="382"/>
      <c r="AJ75" s="382"/>
      <c r="AK75" s="382"/>
      <c r="AL75" s="382"/>
      <c r="AM75" s="382"/>
      <c r="AN75" s="382"/>
      <c r="AO75" s="382"/>
      <c r="AP75" s="382"/>
      <c r="AQ75" s="382"/>
      <c r="AR75" s="382"/>
      <c r="AS75" s="382"/>
      <c r="AT75" s="382"/>
      <c r="AU75" s="382"/>
      <c r="AV75" s="382"/>
      <c r="AW75" s="382"/>
      <c r="AX75" s="382"/>
      <c r="AY75" s="382"/>
      <c r="AZ75" s="382"/>
      <c r="BA75" s="382"/>
      <c r="BB75" s="382"/>
      <c r="BC75" s="382"/>
      <c r="BD75" s="382"/>
      <c r="BE75" s="382"/>
      <c r="BF75" s="382"/>
      <c r="BG75" s="382"/>
      <c r="BH75" s="382"/>
      <c r="BI75" s="382"/>
      <c r="BJ75" s="382"/>
      <c r="BK75" s="382"/>
      <c r="BL75" s="382"/>
      <c r="BM75" s="382"/>
      <c r="BN75" s="382"/>
      <c r="BO75" s="382"/>
      <c r="BP75" s="382"/>
    </row>
    <row r="76" spans="1:68">
      <c r="A76" s="382" t="s">
        <v>1163</v>
      </c>
      <c r="B76" s="382" t="s">
        <v>2416</v>
      </c>
      <c r="C76" s="382" t="s">
        <v>2334</v>
      </c>
      <c r="D76" s="382" t="s">
        <v>2335</v>
      </c>
      <c r="E76" s="382">
        <v>2.8588172636631999</v>
      </c>
      <c r="F76" s="382">
        <v>2.8819523245284402</v>
      </c>
      <c r="G76" s="382">
        <v>3.0464102766325198</v>
      </c>
      <c r="H76" s="382">
        <v>3.3127791814383598</v>
      </c>
      <c r="I76" s="382">
        <v>3.5439862144588501</v>
      </c>
      <c r="J76" s="382">
        <v>4.01229343780496</v>
      </c>
      <c r="K76" s="382">
        <v>4.2626752767702998</v>
      </c>
      <c r="L76" s="382">
        <v>4.5351297549332203</v>
      </c>
      <c r="M76" s="382">
        <v>4.7598166868901499</v>
      </c>
      <c r="N76" s="382">
        <v>4.8626452503641699</v>
      </c>
      <c r="O76" s="382">
        <v>5.14133049286065</v>
      </c>
      <c r="P76" s="382">
        <v>5.5648160835114204</v>
      </c>
      <c r="Q76" s="382">
        <v>6.0251536715358203</v>
      </c>
      <c r="R76" s="382">
        <v>6.7130278494916897</v>
      </c>
      <c r="S76" s="382">
        <v>7.7656556826398901</v>
      </c>
      <c r="T76" s="382">
        <v>9.0821894951287891</v>
      </c>
      <c r="U76" s="382">
        <v>10.682914499808501</v>
      </c>
      <c r="V76" s="382">
        <v>13.3042948213001</v>
      </c>
      <c r="W76" s="382">
        <v>15.935042241262201</v>
      </c>
      <c r="X76" s="382">
        <v>18.430507398753502</v>
      </c>
      <c r="Y76" s="382">
        <v>21.298644915892801</v>
      </c>
      <c r="Z76" s="382">
        <v>24.397458397749201</v>
      </c>
      <c r="AA76" s="382">
        <v>27.914352527111699</v>
      </c>
      <c r="AB76" s="382">
        <v>31.312666107314001</v>
      </c>
      <c r="AC76" s="382">
        <v>34.844821442654798</v>
      </c>
      <c r="AD76" s="382">
        <v>37.916202571818701</v>
      </c>
      <c r="AE76" s="382">
        <v>41.250909581559199</v>
      </c>
      <c r="AF76" s="382">
        <v>43.415765003463498</v>
      </c>
      <c r="AG76" s="382">
        <v>45.515903067919503</v>
      </c>
      <c r="AH76" s="382">
        <v>48.607086421888098</v>
      </c>
      <c r="AI76" s="382">
        <v>51.874367046209301</v>
      </c>
      <c r="AJ76" s="382">
        <v>54.952702709123002</v>
      </c>
      <c r="AK76" s="382">
        <v>58.208392760595501</v>
      </c>
      <c r="AL76" s="382">
        <v>60.867975982675901</v>
      </c>
      <c r="AM76" s="382">
        <v>63.739978924503497</v>
      </c>
      <c r="AN76" s="382">
        <v>66.7190602114961</v>
      </c>
      <c r="AO76" s="382">
        <v>69.093488545781199</v>
      </c>
      <c r="AP76" s="382">
        <v>70.455372303681003</v>
      </c>
      <c r="AQ76" s="382">
        <v>71.747756333813797</v>
      </c>
      <c r="AR76" s="382">
        <v>73.405379287670996</v>
      </c>
      <c r="AS76" s="382">
        <v>75.925764461848004</v>
      </c>
      <c r="AT76" s="382">
        <v>78.651373470529904</v>
      </c>
      <c r="AU76" s="382">
        <v>81.062554696044401</v>
      </c>
      <c r="AV76" s="382">
        <v>83.5259552625553</v>
      </c>
      <c r="AW76" s="382">
        <v>86.064516864673095</v>
      </c>
      <c r="AX76" s="382">
        <v>88.963870441758701</v>
      </c>
      <c r="AY76" s="382">
        <v>92.091462713569996</v>
      </c>
      <c r="AZ76" s="382">
        <v>94.657865255552295</v>
      </c>
      <c r="BA76" s="382">
        <v>98.515498281558394</v>
      </c>
      <c r="BB76" s="382">
        <v>98.231957788194094</v>
      </c>
      <c r="BC76" s="382">
        <v>100</v>
      </c>
      <c r="BD76" s="382">
        <v>103.19610188833801</v>
      </c>
      <c r="BE76" s="382">
        <v>105.720410449569</v>
      </c>
      <c r="BF76" s="382">
        <v>107.209568161367</v>
      </c>
      <c r="BG76" s="382">
        <v>107.047558596627</v>
      </c>
      <c r="BH76" s="382">
        <v>106.511929320121</v>
      </c>
      <c r="BI76" s="382">
        <v>106.296138281102</v>
      </c>
      <c r="BJ76" s="382">
        <v>108.375371885592</v>
      </c>
      <c r="BK76" s="382">
        <v>110.190639172868</v>
      </c>
      <c r="BL76" s="382">
        <v>110.961443623997</v>
      </c>
      <c r="BM76" s="382">
        <v>110.603312216661</v>
      </c>
      <c r="BN76" s="382">
        <v>114.024422110457</v>
      </c>
      <c r="BO76" s="382">
        <v>123.591728295232</v>
      </c>
      <c r="BP76" s="382">
        <v>127.957434718697</v>
      </c>
    </row>
    <row r="77" spans="1:68">
      <c r="A77" s="382" t="s">
        <v>2277</v>
      </c>
      <c r="B77" s="382" t="s">
        <v>2417</v>
      </c>
      <c r="C77" s="382" t="s">
        <v>2334</v>
      </c>
      <c r="D77" s="382" t="s">
        <v>2335</v>
      </c>
      <c r="E77" s="382"/>
      <c r="F77" s="382"/>
      <c r="G77" s="382"/>
      <c r="H77" s="382"/>
      <c r="I77" s="382"/>
      <c r="J77" s="382"/>
      <c r="K77" s="382"/>
      <c r="L77" s="382"/>
      <c r="M77" s="382"/>
      <c r="N77" s="382"/>
      <c r="O77" s="382"/>
      <c r="P77" s="382"/>
      <c r="Q77" s="382"/>
      <c r="R77" s="382"/>
      <c r="S77" s="382"/>
      <c r="T77" s="382"/>
      <c r="U77" s="382"/>
      <c r="V77" s="382"/>
      <c r="W77" s="382"/>
      <c r="X77" s="382"/>
      <c r="Y77" s="382"/>
      <c r="Z77" s="382"/>
      <c r="AA77" s="382"/>
      <c r="AB77" s="382"/>
      <c r="AC77" s="382"/>
      <c r="AD77" s="382"/>
      <c r="AE77" s="382"/>
      <c r="AF77" s="382"/>
      <c r="AG77" s="382"/>
      <c r="AH77" s="382"/>
      <c r="AI77" s="382"/>
      <c r="AJ77" s="382"/>
      <c r="AK77" s="382">
        <v>11.6377785728356</v>
      </c>
      <c r="AL77" s="382">
        <v>22.089894332630401</v>
      </c>
      <c r="AM77" s="382">
        <v>32.616765134857097</v>
      </c>
      <c r="AN77" s="382">
        <v>42.002765645952202</v>
      </c>
      <c r="AO77" s="382">
        <v>51.684547343637199</v>
      </c>
      <c r="AP77" s="382">
        <v>57.153743570204</v>
      </c>
      <c r="AQ77" s="382">
        <v>61.845113354924699</v>
      </c>
      <c r="AR77" s="382">
        <v>63.883596875595302</v>
      </c>
      <c r="AS77" s="382">
        <v>66.450752524290394</v>
      </c>
      <c r="AT77" s="382">
        <v>70.270527719565607</v>
      </c>
      <c r="AU77" s="382">
        <v>72.780529624690402</v>
      </c>
      <c r="AV77" s="382">
        <v>73.752143265383793</v>
      </c>
      <c r="AW77" s="382">
        <v>76.000190512478596</v>
      </c>
      <c r="AX77" s="382">
        <v>79.100781101162099</v>
      </c>
      <c r="AY77" s="382">
        <v>82.610973518765505</v>
      </c>
      <c r="AZ77" s="382">
        <v>88.064393217755807</v>
      </c>
      <c r="BA77" s="382">
        <v>97.189940941131596</v>
      </c>
      <c r="BB77" s="382">
        <v>97.113735949704704</v>
      </c>
      <c r="BC77" s="382">
        <v>100</v>
      </c>
      <c r="BD77" s="382">
        <v>104.981901314536</v>
      </c>
      <c r="BE77" s="382">
        <v>109.11125928748299</v>
      </c>
      <c r="BF77" s="382">
        <v>112.145170508668</v>
      </c>
      <c r="BG77" s="382">
        <v>112.02610020956401</v>
      </c>
      <c r="BH77" s="382">
        <v>111.474566584111</v>
      </c>
      <c r="BI77" s="382">
        <v>111.640312440465</v>
      </c>
      <c r="BJ77" s="382">
        <v>115.455324823776</v>
      </c>
      <c r="BK77" s="382">
        <v>119.42274718994101</v>
      </c>
      <c r="BL77" s="382">
        <v>122.14231282148999</v>
      </c>
      <c r="BM77" s="382">
        <v>121.599352257573</v>
      </c>
      <c r="BN77" s="382">
        <v>127.257572871023</v>
      </c>
      <c r="BO77" s="382">
        <v>151.94333206325001</v>
      </c>
      <c r="BP77" s="382">
        <v>165.86016384073201</v>
      </c>
    </row>
    <row r="78" spans="1:68">
      <c r="A78" s="382" t="s">
        <v>1981</v>
      </c>
      <c r="B78" s="382" t="s">
        <v>2418</v>
      </c>
      <c r="C78" s="382" t="s">
        <v>2334</v>
      </c>
      <c r="D78" s="382" t="s">
        <v>2335</v>
      </c>
      <c r="E78" s="382"/>
      <c r="F78" s="382"/>
      <c r="G78" s="382"/>
      <c r="H78" s="382"/>
      <c r="I78" s="382"/>
      <c r="J78" s="382">
        <v>4.6979020340163498</v>
      </c>
      <c r="K78" s="382">
        <v>4.6339228234180903</v>
      </c>
      <c r="L78" s="382">
        <v>4.6713963610465399</v>
      </c>
      <c r="M78" s="382">
        <v>4.67992692246027</v>
      </c>
      <c r="N78" s="382">
        <v>4.7466480991958004</v>
      </c>
      <c r="O78" s="382">
        <v>5.2271015043607401</v>
      </c>
      <c r="P78" s="382">
        <v>5.2551304918559696</v>
      </c>
      <c r="Q78" s="382">
        <v>4.9355391018604999</v>
      </c>
      <c r="R78" s="382">
        <v>5.3754723403248299</v>
      </c>
      <c r="S78" s="382">
        <v>5.8373413081399796</v>
      </c>
      <c r="T78" s="382">
        <v>6.2196932570701096</v>
      </c>
      <c r="U78" s="382">
        <v>7.9946593563035204</v>
      </c>
      <c r="V78" s="382">
        <v>9.3263409250959697</v>
      </c>
      <c r="W78" s="382">
        <v>10.660764460047</v>
      </c>
      <c r="X78" s="382">
        <v>12.3699233712523</v>
      </c>
      <c r="Y78" s="382">
        <v>12.924409862942399</v>
      </c>
      <c r="Z78" s="382">
        <v>13.7174474112207</v>
      </c>
      <c r="AA78" s="382">
        <v>14.525413441979801</v>
      </c>
      <c r="AB78" s="382">
        <v>14.4273119857632</v>
      </c>
      <c r="AC78" s="382">
        <v>15.641698335149799</v>
      </c>
      <c r="AD78" s="382">
        <v>18.623738873989399</v>
      </c>
      <c r="AE78" s="382">
        <v>16.7969800804951</v>
      </c>
      <c r="AF78" s="382">
        <v>16.389036447333101</v>
      </c>
      <c r="AG78" s="382">
        <v>17.549497462091001</v>
      </c>
      <c r="AH78" s="382">
        <v>18.921394534670601</v>
      </c>
      <c r="AI78" s="382">
        <v>19.896315838746499</v>
      </c>
      <c r="AJ78" s="382">
        <v>27.0037968083683</v>
      </c>
      <c r="AK78" s="382">
        <v>29.846606398472499</v>
      </c>
      <c r="AL78" s="382">
        <v>30.904091350487501</v>
      </c>
      <c r="AM78" s="382">
        <v>33.250909727142997</v>
      </c>
      <c r="AN78" s="382">
        <v>36.583373542219498</v>
      </c>
      <c r="AO78" s="382">
        <v>33.479549151893202</v>
      </c>
      <c r="AP78" s="382">
        <v>34.2814545208008</v>
      </c>
      <c r="AQ78" s="382">
        <v>34.588205556568397</v>
      </c>
      <c r="AR78" s="382">
        <v>37.335010136815903</v>
      </c>
      <c r="AS78" s="382">
        <v>37.582338939062701</v>
      </c>
      <c r="AT78" s="382">
        <v>34.486364285055103</v>
      </c>
      <c r="AU78" s="382">
        <v>34.719177972078398</v>
      </c>
      <c r="AV78" s="382">
        <v>39.466694062030399</v>
      </c>
      <c r="AW78" s="382">
        <v>40.779897189267402</v>
      </c>
      <c r="AX78" s="382">
        <v>44.845641208752397</v>
      </c>
      <c r="AY78" s="382">
        <v>50.361420225955399</v>
      </c>
      <c r="AZ78" s="382">
        <v>59.043930938650398</v>
      </c>
      <c r="BA78" s="382">
        <v>85.233861914360403</v>
      </c>
      <c r="BB78" s="382">
        <v>92.464799365239699</v>
      </c>
      <c r="BC78" s="382">
        <v>100</v>
      </c>
      <c r="BD78" s="382">
        <v>133.249959882334</v>
      </c>
      <c r="BE78" s="382">
        <v>164.69750696942299</v>
      </c>
      <c r="BF78" s="382">
        <v>176.99056500687001</v>
      </c>
      <c r="BG78" s="382">
        <v>189.18524947727201</v>
      </c>
      <c r="BH78" s="382">
        <v>207.288195981494</v>
      </c>
      <c r="BI78" s="382">
        <v>221.02753407620099</v>
      </c>
      <c r="BJ78" s="382">
        <v>244.64900088741399</v>
      </c>
      <c r="BK78" s="382">
        <v>278.49138441873998</v>
      </c>
      <c r="BL78" s="382">
        <v>322.51984792587098</v>
      </c>
      <c r="BM78" s="382">
        <v>388.17310684880198</v>
      </c>
      <c r="BN78" s="382">
        <v>492.35691386423599</v>
      </c>
      <c r="BO78" s="382">
        <v>659.21607971713604</v>
      </c>
      <c r="BP78" s="382">
        <v>858.42345176594597</v>
      </c>
    </row>
    <row r="79" spans="1:68">
      <c r="A79" s="382" t="s">
        <v>2419</v>
      </c>
      <c r="B79" s="382" t="s">
        <v>2420</v>
      </c>
      <c r="C79" s="382" t="s">
        <v>2334</v>
      </c>
      <c r="D79" s="382" t="s">
        <v>2335</v>
      </c>
      <c r="E79" s="382"/>
      <c r="F79" s="382"/>
      <c r="G79" s="382"/>
      <c r="H79" s="382"/>
      <c r="I79" s="382"/>
      <c r="J79" s="382"/>
      <c r="K79" s="382"/>
      <c r="L79" s="382"/>
      <c r="M79" s="382"/>
      <c r="N79" s="382"/>
      <c r="O79" s="382"/>
      <c r="P79" s="382"/>
      <c r="Q79" s="382"/>
      <c r="R79" s="382"/>
      <c r="S79" s="382"/>
      <c r="T79" s="382"/>
      <c r="U79" s="382"/>
      <c r="V79" s="382"/>
      <c r="W79" s="382"/>
      <c r="X79" s="382"/>
      <c r="Y79" s="382"/>
      <c r="Z79" s="382"/>
      <c r="AA79" s="382"/>
      <c r="AB79" s="382"/>
      <c r="AC79" s="382"/>
      <c r="AD79" s="382"/>
      <c r="AE79" s="382"/>
      <c r="AF79" s="382"/>
      <c r="AG79" s="382"/>
      <c r="AH79" s="382"/>
      <c r="AI79" s="382"/>
      <c r="AJ79" s="382"/>
      <c r="AK79" s="382"/>
      <c r="AL79" s="382"/>
      <c r="AM79" s="382"/>
      <c r="AN79" s="382"/>
      <c r="AO79" s="382"/>
      <c r="AP79" s="382"/>
      <c r="AQ79" s="382"/>
      <c r="AR79" s="382"/>
      <c r="AS79" s="382"/>
      <c r="AT79" s="382"/>
      <c r="AU79" s="382"/>
      <c r="AV79" s="382"/>
      <c r="AW79" s="382"/>
      <c r="AX79" s="382"/>
      <c r="AY79" s="382"/>
      <c r="AZ79" s="382"/>
      <c r="BA79" s="382"/>
      <c r="BB79" s="382"/>
      <c r="BC79" s="382"/>
      <c r="BD79" s="382"/>
      <c r="BE79" s="382"/>
      <c r="BF79" s="382"/>
      <c r="BG79" s="382"/>
      <c r="BH79" s="382"/>
      <c r="BI79" s="382"/>
      <c r="BJ79" s="382"/>
      <c r="BK79" s="382"/>
      <c r="BL79" s="382"/>
      <c r="BM79" s="382"/>
      <c r="BN79" s="382"/>
      <c r="BO79" s="382"/>
      <c r="BP79" s="382"/>
    </row>
    <row r="80" spans="1:68">
      <c r="A80" s="382" t="s">
        <v>2421</v>
      </c>
      <c r="B80" s="382" t="s">
        <v>2422</v>
      </c>
      <c r="C80" s="382" t="s">
        <v>2334</v>
      </c>
      <c r="D80" s="382" t="s">
        <v>2335</v>
      </c>
      <c r="E80" s="382"/>
      <c r="F80" s="382"/>
      <c r="G80" s="382"/>
      <c r="H80" s="382"/>
      <c r="I80" s="382"/>
      <c r="J80" s="382"/>
      <c r="K80" s="382"/>
      <c r="L80" s="382"/>
      <c r="M80" s="382"/>
      <c r="N80" s="382"/>
      <c r="O80" s="382"/>
      <c r="P80" s="382"/>
      <c r="Q80" s="382"/>
      <c r="R80" s="382"/>
      <c r="S80" s="382"/>
      <c r="T80" s="382"/>
      <c r="U80" s="382"/>
      <c r="V80" s="382"/>
      <c r="W80" s="382"/>
      <c r="X80" s="382"/>
      <c r="Y80" s="382"/>
      <c r="Z80" s="382"/>
      <c r="AA80" s="382"/>
      <c r="AB80" s="382"/>
      <c r="AC80" s="382"/>
      <c r="AD80" s="382"/>
      <c r="AE80" s="382"/>
      <c r="AF80" s="382"/>
      <c r="AG80" s="382"/>
      <c r="AH80" s="382"/>
      <c r="AI80" s="382"/>
      <c r="AJ80" s="382"/>
      <c r="AK80" s="382"/>
      <c r="AL80" s="382"/>
      <c r="AM80" s="382"/>
      <c r="AN80" s="382"/>
      <c r="AO80" s="382"/>
      <c r="AP80" s="382"/>
      <c r="AQ80" s="382"/>
      <c r="AR80" s="382"/>
      <c r="AS80" s="382"/>
      <c r="AT80" s="382"/>
      <c r="AU80" s="382"/>
      <c r="AV80" s="382"/>
      <c r="AW80" s="382"/>
      <c r="AX80" s="382"/>
      <c r="AY80" s="382"/>
      <c r="AZ80" s="382"/>
      <c r="BA80" s="382"/>
      <c r="BB80" s="382"/>
      <c r="BC80" s="382"/>
      <c r="BD80" s="382"/>
      <c r="BE80" s="382"/>
      <c r="BF80" s="382"/>
      <c r="BG80" s="382"/>
      <c r="BH80" s="382"/>
      <c r="BI80" s="382"/>
      <c r="BJ80" s="382"/>
      <c r="BK80" s="382"/>
      <c r="BL80" s="382"/>
      <c r="BM80" s="382"/>
      <c r="BN80" s="382"/>
      <c r="BO80" s="382"/>
      <c r="BP80" s="382"/>
    </row>
    <row r="81" spans="1:68">
      <c r="A81" s="382" t="s">
        <v>1197</v>
      </c>
      <c r="B81" s="382" t="s">
        <v>2423</v>
      </c>
      <c r="C81" s="382" t="s">
        <v>2334</v>
      </c>
      <c r="D81" s="382" t="s">
        <v>2335</v>
      </c>
      <c r="E81" s="382">
        <v>8.1368754581741491</v>
      </c>
      <c r="F81" s="382">
        <v>8.2744701780206604</v>
      </c>
      <c r="G81" s="382">
        <v>8.6372215259042004</v>
      </c>
      <c r="H81" s="382">
        <v>9.0687700977172803</v>
      </c>
      <c r="I81" s="382">
        <v>10.000664283948</v>
      </c>
      <c r="J81" s="382">
        <v>10.494755910236799</v>
      </c>
      <c r="K81" s="382">
        <v>10.9012864442974</v>
      </c>
      <c r="L81" s="382">
        <v>11.487533846341501</v>
      </c>
      <c r="M81" s="382">
        <v>12.5434298183329</v>
      </c>
      <c r="N81" s="382">
        <v>12.8200890780567</v>
      </c>
      <c r="O81" s="382">
        <v>13.1714134183617</v>
      </c>
      <c r="P81" s="382">
        <v>14.024363255231799</v>
      </c>
      <c r="Q81" s="382">
        <v>14.958736153505599</v>
      </c>
      <c r="R81" s="382">
        <v>16.567469227206999</v>
      </c>
      <c r="S81" s="382">
        <v>19.373402085226001</v>
      </c>
      <c r="T81" s="382">
        <v>22.824075688369799</v>
      </c>
      <c r="U81" s="382">
        <v>26.097662813892299</v>
      </c>
      <c r="V81" s="382">
        <v>29.175450727130301</v>
      </c>
      <c r="W81" s="382">
        <v>31.450946460926001</v>
      </c>
      <c r="X81" s="382">
        <v>33.799376528671303</v>
      </c>
      <c r="Y81" s="382">
        <v>37.718285545777903</v>
      </c>
      <c r="Z81" s="382">
        <v>41.982623122495802</v>
      </c>
      <c r="AA81" s="382">
        <v>46.006627173005</v>
      </c>
      <c r="AB81" s="382">
        <v>49.855676220660101</v>
      </c>
      <c r="AC81" s="382">
        <v>53.379304103497802</v>
      </c>
      <c r="AD81" s="382">
        <v>56.152690946548702</v>
      </c>
      <c r="AE81" s="382">
        <v>57.799974610880703</v>
      </c>
      <c r="AF81" s="382">
        <v>60.177304248884099</v>
      </c>
      <c r="AG81" s="382">
        <v>63.237878984781197</v>
      </c>
      <c r="AH81" s="382">
        <v>67.407095306876997</v>
      </c>
      <c r="AI81" s="382">
        <v>71.552338657559602</v>
      </c>
      <c r="AJ81" s="382">
        <v>74.636396787509398</v>
      </c>
      <c r="AK81" s="382">
        <v>76.815274429234805</v>
      </c>
      <c r="AL81" s="382">
        <v>78.498030693200405</v>
      </c>
      <c r="AM81" s="382">
        <v>79.352526325254601</v>
      </c>
      <c r="AN81" s="382">
        <v>79.980394783941307</v>
      </c>
      <c r="AO81" s="382">
        <v>80.483626819548206</v>
      </c>
      <c r="AP81" s="382">
        <v>81.443441421316294</v>
      </c>
      <c r="AQ81" s="382">
        <v>82.583221034259694</v>
      </c>
      <c r="AR81" s="382">
        <v>83.543029289654598</v>
      </c>
      <c r="AS81" s="382">
        <v>86.084492457598401</v>
      </c>
      <c r="AT81" s="382">
        <v>88.304130134449395</v>
      </c>
      <c r="AU81" s="382">
        <v>89.691582400883405</v>
      </c>
      <c r="AV81" s="382">
        <v>90.478572567939693</v>
      </c>
      <c r="AW81" s="382">
        <v>90.647876578780398</v>
      </c>
      <c r="AX81" s="382">
        <v>91.2134055202458</v>
      </c>
      <c r="AY81" s="382">
        <v>92.642412931703603</v>
      </c>
      <c r="AZ81" s="382">
        <v>94.968354172737705</v>
      </c>
      <c r="BA81" s="382">
        <v>98.829723344004094</v>
      </c>
      <c r="BB81" s="382">
        <v>98.829722437379402</v>
      </c>
      <c r="BC81" s="382">
        <v>100</v>
      </c>
      <c r="BD81" s="382">
        <v>103.41680754255199</v>
      </c>
      <c r="BE81" s="382">
        <v>106.321099212145</v>
      </c>
      <c r="BF81" s="382">
        <v>107.89282930364899</v>
      </c>
      <c r="BG81" s="382">
        <v>109.016205355146</v>
      </c>
      <c r="BH81" s="382">
        <v>108.789529224042</v>
      </c>
      <c r="BI81" s="382">
        <v>109.177564613377</v>
      </c>
      <c r="BJ81" s="382">
        <v>110.000779878603</v>
      </c>
      <c r="BK81" s="382">
        <v>111.19299141359301</v>
      </c>
      <c r="BL81" s="382">
        <v>112.331712088838</v>
      </c>
      <c r="BM81" s="382">
        <v>112.658096995756</v>
      </c>
      <c r="BN81" s="382">
        <v>115.130462665656</v>
      </c>
      <c r="BO81" s="382">
        <v>123.331790076698</v>
      </c>
      <c r="BP81" s="382">
        <v>131.04082025314099</v>
      </c>
    </row>
    <row r="82" spans="1:68">
      <c r="A82" s="382" t="s">
        <v>2101</v>
      </c>
      <c r="B82" s="382" t="s">
        <v>2424</v>
      </c>
      <c r="C82" s="382" t="s">
        <v>2334</v>
      </c>
      <c r="D82" s="382" t="s">
        <v>2335</v>
      </c>
      <c r="E82" s="382"/>
      <c r="F82" s="382"/>
      <c r="G82" s="382"/>
      <c r="H82" s="382"/>
      <c r="I82" s="382"/>
      <c r="J82" s="382"/>
      <c r="K82" s="382"/>
      <c r="L82" s="382"/>
      <c r="M82" s="382"/>
      <c r="N82" s="382">
        <v>8.3177069877519205</v>
      </c>
      <c r="O82" s="382">
        <v>8.6607440763018602</v>
      </c>
      <c r="P82" s="382">
        <v>9.4521796448849003</v>
      </c>
      <c r="Q82" s="382">
        <v>11.5296273316966</v>
      </c>
      <c r="R82" s="382">
        <v>12.807723209420301</v>
      </c>
      <c r="S82" s="382">
        <v>14.6646470535928</v>
      </c>
      <c r="T82" s="382">
        <v>16.580565737719201</v>
      </c>
      <c r="U82" s="382">
        <v>18.4761283748328</v>
      </c>
      <c r="V82" s="382">
        <v>19.7706221793167</v>
      </c>
      <c r="W82" s="382">
        <v>20.978225820162599</v>
      </c>
      <c r="X82" s="382">
        <v>22.6159451949814</v>
      </c>
      <c r="Y82" s="382">
        <v>25.893645727922099</v>
      </c>
      <c r="Z82" s="382">
        <v>28.788727969750099</v>
      </c>
      <c r="AA82" s="382">
        <v>30.813023755971699</v>
      </c>
      <c r="AB82" s="382">
        <v>32.878785563923898</v>
      </c>
      <c r="AC82" s="382">
        <v>34.618473655874503</v>
      </c>
      <c r="AD82" s="382">
        <v>36.148946820193103</v>
      </c>
      <c r="AE82" s="382">
        <v>36.799209433235497</v>
      </c>
      <c r="AF82" s="382">
        <v>38.883433768461899</v>
      </c>
      <c r="AG82" s="382">
        <v>43.455475012499498</v>
      </c>
      <c r="AH82" s="382">
        <v>46.145088208102798</v>
      </c>
      <c r="AI82" s="382">
        <v>49.925003729359098</v>
      </c>
      <c r="AJ82" s="382">
        <v>53.168803742421296</v>
      </c>
      <c r="AK82" s="382">
        <v>55.765048506822303</v>
      </c>
      <c r="AL82" s="382">
        <v>58.668505528727501</v>
      </c>
      <c r="AM82" s="382">
        <v>59.147631657212301</v>
      </c>
      <c r="AN82" s="382">
        <v>60.4285606945894</v>
      </c>
      <c r="AO82" s="382">
        <v>62.271729576616998</v>
      </c>
      <c r="AP82" s="382">
        <v>64.369128649269101</v>
      </c>
      <c r="AQ82" s="382">
        <v>68.045688329068895</v>
      </c>
      <c r="AR82" s="382">
        <v>69.385285871975299</v>
      </c>
      <c r="AS82" s="382">
        <v>70.143087401720905</v>
      </c>
      <c r="AT82" s="382">
        <v>73.140070225813801</v>
      </c>
      <c r="AU82" s="382">
        <v>73.697421028336507</v>
      </c>
      <c r="AV82" s="382">
        <v>76.772628526467301</v>
      </c>
      <c r="AW82" s="382">
        <v>78.943363231030204</v>
      </c>
      <c r="AX82" s="382">
        <v>80.810977323694701</v>
      </c>
      <c r="AY82" s="382">
        <v>82.823846552267298</v>
      </c>
      <c r="AZ82" s="382">
        <v>86.802460980649698</v>
      </c>
      <c r="BA82" s="382">
        <v>93.514269077261204</v>
      </c>
      <c r="BB82" s="382">
        <v>96.442234123947898</v>
      </c>
      <c r="BC82" s="382">
        <v>100</v>
      </c>
      <c r="BD82" s="382">
        <v>107.278117827085</v>
      </c>
      <c r="BE82" s="382">
        <v>110.9506503443</v>
      </c>
      <c r="BF82" s="382">
        <v>114.18324407039</v>
      </c>
      <c r="BG82" s="382">
        <v>114.776205049732</v>
      </c>
      <c r="BH82" s="382">
        <v>116.354246365723</v>
      </c>
      <c r="BI82" s="382">
        <v>120.849273144606</v>
      </c>
      <c r="BJ82" s="382">
        <v>124.894797245601</v>
      </c>
      <c r="BK82" s="382">
        <v>129.992348890589</v>
      </c>
      <c r="BL82" s="382">
        <v>132.297245600612</v>
      </c>
      <c r="BM82" s="382">
        <v>128.86381025248701</v>
      </c>
      <c r="BN82" s="382">
        <v>129.06465187452201</v>
      </c>
      <c r="BO82" s="382">
        <v>134.89862280030599</v>
      </c>
      <c r="BP82" s="382"/>
    </row>
    <row r="83" spans="1:68">
      <c r="A83" s="382" t="s">
        <v>1445</v>
      </c>
      <c r="B83" s="382" t="s">
        <v>2425</v>
      </c>
      <c r="C83" s="382" t="s">
        <v>2334</v>
      </c>
      <c r="D83" s="382" t="s">
        <v>2335</v>
      </c>
      <c r="E83" s="382">
        <v>10.4335934118144</v>
      </c>
      <c r="F83" s="382">
        <v>10.684047757307001</v>
      </c>
      <c r="G83" s="382">
        <v>11.253644266131699</v>
      </c>
      <c r="H83" s="382">
        <v>11.8162311495891</v>
      </c>
      <c r="I83" s="382">
        <v>12.195672983863901</v>
      </c>
      <c r="J83" s="382">
        <v>12.5253347762586</v>
      </c>
      <c r="K83" s="382">
        <v>12.8512440831266</v>
      </c>
      <c r="L83" s="382">
        <v>13.210022171778499</v>
      </c>
      <c r="M83" s="382">
        <v>13.8101805416249</v>
      </c>
      <c r="N83" s="382">
        <v>14.645138925548601</v>
      </c>
      <c r="O83" s="382">
        <v>15.4212787485263</v>
      </c>
      <c r="P83" s="382">
        <v>16.2536451459642</v>
      </c>
      <c r="Q83" s="382">
        <v>17.239104154568999</v>
      </c>
      <c r="R83" s="382">
        <v>18.511453659223299</v>
      </c>
      <c r="S83" s="382">
        <v>21.038140738003499</v>
      </c>
      <c r="T83" s="382">
        <v>23.496642559256699</v>
      </c>
      <c r="U83" s="382">
        <v>25.758310897605099</v>
      </c>
      <c r="V83" s="382">
        <v>28.203947808337301</v>
      </c>
      <c r="W83" s="382">
        <v>30.8129704904186</v>
      </c>
      <c r="X83" s="382">
        <v>34.093545548927501</v>
      </c>
      <c r="Y83" s="382">
        <v>38.717509546182399</v>
      </c>
      <c r="Z83" s="382">
        <v>43.872515792992999</v>
      </c>
      <c r="AA83" s="382">
        <v>49.127772792060398</v>
      </c>
      <c r="AB83" s="382">
        <v>53.775038272712898</v>
      </c>
      <c r="AC83" s="382">
        <v>57.901628569920298</v>
      </c>
      <c r="AD83" s="382">
        <v>61.277930282074301</v>
      </c>
      <c r="AE83" s="382">
        <v>62.833486424184798</v>
      </c>
      <c r="AF83" s="382">
        <v>64.900015836984593</v>
      </c>
      <c r="AG83" s="382">
        <v>66.652845378240002</v>
      </c>
      <c r="AH83" s="382">
        <v>68.984563339140195</v>
      </c>
      <c r="AI83" s="382">
        <v>71.188125780851294</v>
      </c>
      <c r="AJ83" s="382">
        <v>73.475690228580405</v>
      </c>
      <c r="AK83" s="382">
        <v>75.212479543894801</v>
      </c>
      <c r="AL83" s="382">
        <v>76.795298175227401</v>
      </c>
      <c r="AM83" s="382">
        <v>78.066656108676895</v>
      </c>
      <c r="AN83" s="382">
        <v>79.469109081630805</v>
      </c>
      <c r="AO83" s="382">
        <v>81.044889053124294</v>
      </c>
      <c r="AP83" s="382">
        <v>82.020623273328695</v>
      </c>
      <c r="AQ83" s="382">
        <v>82.554681588625499</v>
      </c>
      <c r="AR83" s="382">
        <v>82.998117158493002</v>
      </c>
      <c r="AS83" s="382">
        <v>84.389132309208307</v>
      </c>
      <c r="AT83" s="382">
        <v>85.768709637685006</v>
      </c>
      <c r="AU83" s="382">
        <v>87.418395537489602</v>
      </c>
      <c r="AV83" s="382">
        <v>89.252846258072495</v>
      </c>
      <c r="AW83" s="382">
        <v>91.164722236886107</v>
      </c>
      <c r="AX83" s="382">
        <v>92.756339193017595</v>
      </c>
      <c r="AY83" s="382">
        <v>94.3101233525136</v>
      </c>
      <c r="AZ83" s="382">
        <v>95.713456157947505</v>
      </c>
      <c r="BA83" s="382">
        <v>98.405743546428695</v>
      </c>
      <c r="BB83" s="382">
        <v>98.491967129458502</v>
      </c>
      <c r="BC83" s="382">
        <v>100</v>
      </c>
      <c r="BD83" s="382">
        <v>102.11159795175</v>
      </c>
      <c r="BE83" s="382">
        <v>104.107058016154</v>
      </c>
      <c r="BF83" s="382">
        <v>105.006246810607</v>
      </c>
      <c r="BG83" s="382">
        <v>105.539425293424</v>
      </c>
      <c r="BH83" s="382">
        <v>105.579017755019</v>
      </c>
      <c r="BI83" s="382">
        <v>105.772580900596</v>
      </c>
      <c r="BJ83" s="382">
        <v>106.864453008147</v>
      </c>
      <c r="BK83" s="382">
        <v>108.842316422953</v>
      </c>
      <c r="BL83" s="382">
        <v>110.04856675289</v>
      </c>
      <c r="BM83" s="382">
        <v>110.572946910908</v>
      </c>
      <c r="BN83" s="382">
        <v>112.38892114941299</v>
      </c>
      <c r="BO83" s="382">
        <v>118.258283622798</v>
      </c>
      <c r="BP83" s="382">
        <v>124.027345193475</v>
      </c>
    </row>
    <row r="84" spans="1:68">
      <c r="A84" s="382" t="s">
        <v>2294</v>
      </c>
      <c r="B84" s="382" t="s">
        <v>2426</v>
      </c>
      <c r="C84" s="382" t="s">
        <v>2334</v>
      </c>
      <c r="D84" s="382" t="s">
        <v>2335</v>
      </c>
      <c r="E84" s="382"/>
      <c r="F84" s="382"/>
      <c r="G84" s="382"/>
      <c r="H84" s="382"/>
      <c r="I84" s="382"/>
      <c r="J84" s="382"/>
      <c r="K84" s="382"/>
      <c r="L84" s="382"/>
      <c r="M84" s="382"/>
      <c r="N84" s="382"/>
      <c r="O84" s="382"/>
      <c r="P84" s="382"/>
      <c r="Q84" s="382"/>
      <c r="R84" s="382"/>
      <c r="S84" s="382"/>
      <c r="T84" s="382"/>
      <c r="U84" s="382"/>
      <c r="V84" s="382"/>
      <c r="W84" s="382"/>
      <c r="X84" s="382"/>
      <c r="Y84" s="382"/>
      <c r="Z84" s="382"/>
      <c r="AA84" s="382"/>
      <c r="AB84" s="382"/>
      <c r="AC84" s="382"/>
      <c r="AD84" s="382"/>
      <c r="AE84" s="382"/>
      <c r="AF84" s="382"/>
      <c r="AG84" s="382"/>
      <c r="AH84" s="382"/>
      <c r="AI84" s="382"/>
      <c r="AJ84" s="382"/>
      <c r="AK84" s="382"/>
      <c r="AL84" s="382"/>
      <c r="AM84" s="382"/>
      <c r="AN84" s="382"/>
      <c r="AO84" s="382"/>
      <c r="AP84" s="382"/>
      <c r="AQ84" s="382"/>
      <c r="AR84" s="382"/>
      <c r="AS84" s="382"/>
      <c r="AT84" s="382"/>
      <c r="AU84" s="382"/>
      <c r="AV84" s="382"/>
      <c r="AW84" s="382"/>
      <c r="AX84" s="382"/>
      <c r="AY84" s="382"/>
      <c r="AZ84" s="382"/>
      <c r="BA84" s="382"/>
      <c r="BB84" s="382"/>
      <c r="BC84" s="382"/>
      <c r="BD84" s="382"/>
      <c r="BE84" s="382"/>
      <c r="BF84" s="382"/>
      <c r="BG84" s="382"/>
      <c r="BH84" s="382"/>
      <c r="BI84" s="382"/>
      <c r="BJ84" s="382"/>
      <c r="BK84" s="382"/>
      <c r="BL84" s="382"/>
      <c r="BM84" s="382"/>
      <c r="BN84" s="382"/>
      <c r="BO84" s="382"/>
      <c r="BP84" s="382"/>
    </row>
    <row r="85" spans="1:68">
      <c r="A85" s="382" t="s">
        <v>2427</v>
      </c>
      <c r="B85" s="382" t="s">
        <v>2428</v>
      </c>
      <c r="C85" s="382" t="s">
        <v>2334</v>
      </c>
      <c r="D85" s="382" t="s">
        <v>2335</v>
      </c>
      <c r="E85" s="382"/>
      <c r="F85" s="382"/>
      <c r="G85" s="382"/>
      <c r="H85" s="382"/>
      <c r="I85" s="382"/>
      <c r="J85" s="382"/>
      <c r="K85" s="382"/>
      <c r="L85" s="382"/>
      <c r="M85" s="382"/>
      <c r="N85" s="382"/>
      <c r="O85" s="382"/>
      <c r="P85" s="382"/>
      <c r="Q85" s="382"/>
      <c r="R85" s="382"/>
      <c r="S85" s="382"/>
      <c r="T85" s="382"/>
      <c r="U85" s="382"/>
      <c r="V85" s="382"/>
      <c r="W85" s="382"/>
      <c r="X85" s="382"/>
      <c r="Y85" s="382"/>
      <c r="Z85" s="382"/>
      <c r="AA85" s="382"/>
      <c r="AB85" s="382"/>
      <c r="AC85" s="382"/>
      <c r="AD85" s="382"/>
      <c r="AE85" s="382"/>
      <c r="AF85" s="382"/>
      <c r="AG85" s="382"/>
      <c r="AH85" s="382"/>
      <c r="AI85" s="382"/>
      <c r="AJ85" s="382"/>
      <c r="AK85" s="382"/>
      <c r="AL85" s="382"/>
      <c r="AM85" s="382"/>
      <c r="AN85" s="382"/>
      <c r="AO85" s="382"/>
      <c r="AP85" s="382"/>
      <c r="AQ85" s="382"/>
      <c r="AR85" s="382">
        <v>70.8902862967376</v>
      </c>
      <c r="AS85" s="382">
        <v>72.420465961985499</v>
      </c>
      <c r="AT85" s="382">
        <v>72.784376885239297</v>
      </c>
      <c r="AU85" s="382">
        <v>72.7032642095743</v>
      </c>
      <c r="AV85" s="382">
        <v>72.795338057626495</v>
      </c>
      <c r="AW85" s="382">
        <v>74.452667322565503</v>
      </c>
      <c r="AX85" s="382">
        <v>77.622638376932997</v>
      </c>
      <c r="AY85" s="382">
        <v>81.222287388877405</v>
      </c>
      <c r="AZ85" s="382">
        <v>83.907774623732294</v>
      </c>
      <c r="BA85" s="382">
        <v>90.975935367512307</v>
      </c>
      <c r="BB85" s="382">
        <v>96.792575115939599</v>
      </c>
      <c r="BC85" s="382">
        <v>100</v>
      </c>
      <c r="BD85" s="382">
        <v>105.08259403890401</v>
      </c>
      <c r="BE85" s="382">
        <v>110.356167730641</v>
      </c>
      <c r="BF85" s="382">
        <v>112.28996906613899</v>
      </c>
      <c r="BG85" s="382">
        <v>113.02017376994699</v>
      </c>
      <c r="BH85" s="382">
        <v>112.683242732504</v>
      </c>
      <c r="BI85" s="382">
        <v>111.514190075614</v>
      </c>
      <c r="BJ85" s="382">
        <v>112.163485612668</v>
      </c>
      <c r="BK85" s="382">
        <v>113.84414354572399</v>
      </c>
      <c r="BL85" s="382">
        <v>116.034336045649</v>
      </c>
      <c r="BM85" s="382">
        <v>116.677856243305</v>
      </c>
      <c r="BN85" s="382">
        <v>120.401378078118</v>
      </c>
      <c r="BO85" s="382">
        <v>126.9135800956</v>
      </c>
      <c r="BP85" s="382"/>
    </row>
    <row r="86" spans="1:68">
      <c r="A86" s="382" t="s">
        <v>1085</v>
      </c>
      <c r="B86" s="382" t="s">
        <v>2429</v>
      </c>
      <c r="C86" s="382" t="s">
        <v>2334</v>
      </c>
      <c r="D86" s="382" t="s">
        <v>2335</v>
      </c>
      <c r="E86" s="382"/>
      <c r="F86" s="382"/>
      <c r="G86" s="382">
        <v>9.3176401180043005</v>
      </c>
      <c r="H86" s="382">
        <v>9.9846278563737894</v>
      </c>
      <c r="I86" s="382">
        <v>10.3169570205981</v>
      </c>
      <c r="J86" s="382">
        <v>10.568533303768801</v>
      </c>
      <c r="K86" s="382">
        <v>10.9536624286928</v>
      </c>
      <c r="L86" s="382">
        <v>11.170297561444199</v>
      </c>
      <c r="M86" s="382">
        <v>11.431191484725</v>
      </c>
      <c r="N86" s="382">
        <v>11.7712853490321</v>
      </c>
      <c r="O86" s="382">
        <v>12.2200850147161</v>
      </c>
      <c r="P86" s="382">
        <v>12.6921787806717</v>
      </c>
      <c r="Q86" s="382">
        <v>13.1347666863079</v>
      </c>
      <c r="R86" s="382">
        <v>13.9500601966333</v>
      </c>
      <c r="S86" s="382">
        <v>15.6342236479548</v>
      </c>
      <c r="T86" s="382">
        <v>20.082620334284201</v>
      </c>
      <c r="U86" s="382">
        <v>24.1335990410691</v>
      </c>
      <c r="V86" s="382">
        <v>27.476722521239999</v>
      </c>
      <c r="W86" s="382">
        <v>30.434363395926798</v>
      </c>
      <c r="X86" s="382">
        <v>32.854716568616503</v>
      </c>
      <c r="Y86" s="382">
        <v>36.9091066259084</v>
      </c>
      <c r="Z86" s="382">
        <v>40.122598787443998</v>
      </c>
      <c r="AA86" s="382">
        <v>46.817374123993602</v>
      </c>
      <c r="AB86" s="382">
        <v>51.813694682680698</v>
      </c>
      <c r="AC86" s="382">
        <v>54.848496799809197</v>
      </c>
      <c r="AD86" s="382">
        <v>58.882563028675001</v>
      </c>
      <c r="AE86" s="382">
        <v>62.583541220295103</v>
      </c>
      <c r="AF86" s="382">
        <v>61.991384709635902</v>
      </c>
      <c r="AG86" s="382">
        <v>56.5509467679544</v>
      </c>
      <c r="AH86" s="382">
        <v>60.362954305323001</v>
      </c>
      <c r="AI86" s="382">
        <v>65.026186826764302</v>
      </c>
      <c r="AJ86" s="382">
        <v>57.427153354820398</v>
      </c>
      <c r="AK86" s="382">
        <v>51.946929897578997</v>
      </c>
      <c r="AL86" s="382">
        <v>52.224194847101401</v>
      </c>
      <c r="AM86" s="382">
        <v>71.085613370994196</v>
      </c>
      <c r="AN86" s="382">
        <v>77.942909130367497</v>
      </c>
      <c r="AO86" s="382">
        <v>78.480476212700296</v>
      </c>
      <c r="AP86" s="382">
        <v>81.598858753989703</v>
      </c>
      <c r="AQ86" s="382">
        <v>82.781012871362805</v>
      </c>
      <c r="AR86" s="382">
        <v>81.177872484692898</v>
      </c>
      <c r="AS86" s="382">
        <v>81.587755819414795</v>
      </c>
      <c r="AT86" s="382">
        <v>83.3317924353412</v>
      </c>
      <c r="AU86" s="382">
        <v>83.362360944592893</v>
      </c>
      <c r="AV86" s="382">
        <v>85.225804093807497</v>
      </c>
      <c r="AW86" s="382">
        <v>85.573700349426204</v>
      </c>
      <c r="AX86" s="382">
        <v>88.747058404050506</v>
      </c>
      <c r="AY86" s="382">
        <v>87.496256150610293</v>
      </c>
      <c r="AZ86" s="382">
        <v>91.897596805248796</v>
      </c>
      <c r="BA86" s="382">
        <v>96.735363331669404</v>
      </c>
      <c r="BB86" s="382">
        <v>98.559509377451604</v>
      </c>
      <c r="BC86" s="382">
        <v>100</v>
      </c>
      <c r="BD86" s="382">
        <v>101.263317078374</v>
      </c>
      <c r="BE86" s="382">
        <v>103.94924381854</v>
      </c>
      <c r="BF86" s="382">
        <v>104.47464597723101</v>
      </c>
      <c r="BG86" s="382">
        <v>109.374984864148</v>
      </c>
      <c r="BH86" s="382">
        <v>109.004427677729</v>
      </c>
      <c r="BI86" s="382">
        <v>111.30083172527701</v>
      </c>
      <c r="BJ86" s="382">
        <v>114.252447232406</v>
      </c>
      <c r="BK86" s="382">
        <v>119.67837195315199</v>
      </c>
      <c r="BL86" s="382">
        <v>122.62792628645499</v>
      </c>
      <c r="BM86" s="382">
        <v>124.286789179276</v>
      </c>
      <c r="BN86" s="382">
        <v>125.63767156911599</v>
      </c>
      <c r="BO86" s="382">
        <v>130.95371301295299</v>
      </c>
      <c r="BP86" s="382">
        <v>135.70604334891999</v>
      </c>
    </row>
    <row r="87" spans="1:68">
      <c r="A87" s="382" t="s">
        <v>1057</v>
      </c>
      <c r="B87" s="382" t="s">
        <v>2430</v>
      </c>
      <c r="C87" s="382" t="s">
        <v>2334</v>
      </c>
      <c r="D87" s="382" t="s">
        <v>2335</v>
      </c>
      <c r="E87" s="382">
        <v>6.2732837987793602</v>
      </c>
      <c r="F87" s="382">
        <v>6.4895550212687301</v>
      </c>
      <c r="G87" s="382">
        <v>6.76188912520806</v>
      </c>
      <c r="H87" s="382">
        <v>6.8983808026632198</v>
      </c>
      <c r="I87" s="382">
        <v>7.12475716663584</v>
      </c>
      <c r="J87" s="382">
        <v>7.4648770112816702</v>
      </c>
      <c r="K87" s="382">
        <v>7.75672517107453</v>
      </c>
      <c r="L87" s="382">
        <v>7.9492560569631898</v>
      </c>
      <c r="M87" s="382">
        <v>8.3226666358424293</v>
      </c>
      <c r="N87" s="382">
        <v>8.7759742925836903</v>
      </c>
      <c r="O87" s="382">
        <v>9.3347027002034402</v>
      </c>
      <c r="P87" s="382">
        <v>10.2163501941927</v>
      </c>
      <c r="Q87" s="382">
        <v>10.938758368781199</v>
      </c>
      <c r="R87" s="382">
        <v>11.944690216386199</v>
      </c>
      <c r="S87" s="382">
        <v>13.8610976511929</v>
      </c>
      <c r="T87" s="382">
        <v>17.216493434436799</v>
      </c>
      <c r="U87" s="382">
        <v>20.0674625485482</v>
      </c>
      <c r="V87" s="382">
        <v>23.2462021453671</v>
      </c>
      <c r="W87" s="382">
        <v>25.167068614758701</v>
      </c>
      <c r="X87" s="382">
        <v>28.544811355650101</v>
      </c>
      <c r="Y87" s="382">
        <v>33.673150545589003</v>
      </c>
      <c r="Z87" s="382">
        <v>37.672384871462903</v>
      </c>
      <c r="AA87" s="382">
        <v>40.911781949324997</v>
      </c>
      <c r="AB87" s="382">
        <v>42.797530053634198</v>
      </c>
      <c r="AC87" s="382">
        <v>44.920591825411499</v>
      </c>
      <c r="AD87" s="382">
        <v>47.647898095061898</v>
      </c>
      <c r="AE87" s="382">
        <v>49.281081930830403</v>
      </c>
      <c r="AF87" s="382">
        <v>51.325715738856999</v>
      </c>
      <c r="AG87" s="382">
        <v>53.458479748474197</v>
      </c>
      <c r="AH87" s="382">
        <v>56.5378213427039</v>
      </c>
      <c r="AI87" s="382">
        <v>61.096726465692598</v>
      </c>
      <c r="AJ87" s="382">
        <v>65.655631588681302</v>
      </c>
      <c r="AK87" s="382">
        <v>68.670242278527795</v>
      </c>
      <c r="AL87" s="382">
        <v>70.427223968929098</v>
      </c>
      <c r="AM87" s="382">
        <v>71.990012946180897</v>
      </c>
      <c r="AN87" s="382">
        <v>73.931940077677098</v>
      </c>
      <c r="AO87" s="382">
        <v>76.040318106158693</v>
      </c>
      <c r="AP87" s="382">
        <v>77.7140743480673</v>
      </c>
      <c r="AQ87" s="382">
        <v>79.128906972443104</v>
      </c>
      <c r="AR87" s="382">
        <v>80.5159977806547</v>
      </c>
      <c r="AS87" s="382">
        <v>81.468466802293307</v>
      </c>
      <c r="AT87" s="382">
        <v>82.716848529683702</v>
      </c>
      <c r="AU87" s="382">
        <v>83.974477529128905</v>
      </c>
      <c r="AV87" s="382">
        <v>85.130386535971894</v>
      </c>
      <c r="AW87" s="382">
        <v>86.314037358979107</v>
      </c>
      <c r="AX87" s="382">
        <v>88.117255409654106</v>
      </c>
      <c r="AY87" s="382">
        <v>90.281117070464205</v>
      </c>
      <c r="AZ87" s="382">
        <v>92.435731459219497</v>
      </c>
      <c r="BA87" s="382">
        <v>95.690771222489303</v>
      </c>
      <c r="BB87" s="382">
        <v>97.567967449602406</v>
      </c>
      <c r="BC87" s="382">
        <v>100</v>
      </c>
      <c r="BD87" s="382">
        <v>103.85611244682801</v>
      </c>
      <c r="BE87" s="382">
        <v>106.528574070649</v>
      </c>
      <c r="BF87" s="382">
        <v>108.969853893102</v>
      </c>
      <c r="BG87" s="382">
        <v>110.551137414463</v>
      </c>
      <c r="BH87" s="382">
        <v>110.958017384871</v>
      </c>
      <c r="BI87" s="382">
        <v>112.076937303495</v>
      </c>
      <c r="BJ87" s="382">
        <v>114.943591640466</v>
      </c>
      <c r="BK87" s="382">
        <v>117.579064176068</v>
      </c>
      <c r="BL87" s="382">
        <v>119.622711300166</v>
      </c>
      <c r="BM87" s="382">
        <v>120.806362123174</v>
      </c>
      <c r="BN87" s="382">
        <v>123.848714629184</v>
      </c>
      <c r="BO87" s="382">
        <v>133.66007027926801</v>
      </c>
      <c r="BP87" s="382">
        <v>142.74089143702599</v>
      </c>
    </row>
    <row r="88" spans="1:68">
      <c r="A88" s="382" t="s">
        <v>1982</v>
      </c>
      <c r="B88" s="382" t="s">
        <v>603</v>
      </c>
      <c r="C88" s="382" t="s">
        <v>2334</v>
      </c>
      <c r="D88" s="382" t="s">
        <v>2335</v>
      </c>
      <c r="E88" s="382"/>
      <c r="F88" s="382"/>
      <c r="G88" s="382"/>
      <c r="H88" s="382"/>
      <c r="I88" s="382"/>
      <c r="J88" s="382"/>
      <c r="K88" s="382"/>
      <c r="L88" s="382"/>
      <c r="M88" s="382"/>
      <c r="N88" s="382"/>
      <c r="O88" s="382"/>
      <c r="P88" s="382"/>
      <c r="Q88" s="382"/>
      <c r="R88" s="382"/>
      <c r="S88" s="382"/>
      <c r="T88" s="382"/>
      <c r="U88" s="382"/>
      <c r="V88" s="382"/>
      <c r="W88" s="382"/>
      <c r="X88" s="382"/>
      <c r="Y88" s="382"/>
      <c r="Z88" s="382"/>
      <c r="AA88" s="382"/>
      <c r="AB88" s="382"/>
      <c r="AC88" s="382"/>
      <c r="AD88" s="382"/>
      <c r="AE88" s="382"/>
      <c r="AF88" s="382"/>
      <c r="AG88" s="382"/>
      <c r="AH88" s="382"/>
      <c r="AI88" s="382"/>
      <c r="AJ88" s="382"/>
      <c r="AK88" s="382"/>
      <c r="AL88" s="382"/>
      <c r="AM88" s="382">
        <v>10.901130863488801</v>
      </c>
      <c r="AN88" s="382">
        <v>28.639140556743602</v>
      </c>
      <c r="AO88" s="382">
        <v>39.910790300995799</v>
      </c>
      <c r="AP88" s="382">
        <v>42.739514510436898</v>
      </c>
      <c r="AQ88" s="382">
        <v>44.263950853142703</v>
      </c>
      <c r="AR88" s="382">
        <v>52.759387446346899</v>
      </c>
      <c r="AS88" s="382">
        <v>54.903508910893699</v>
      </c>
      <c r="AT88" s="382">
        <v>57.454350323354397</v>
      </c>
      <c r="AU88" s="382">
        <v>60.664805941200001</v>
      </c>
      <c r="AV88" s="382">
        <v>61.173015969059101</v>
      </c>
      <c r="AW88" s="382">
        <v>64.6331613976932</v>
      </c>
      <c r="AX88" s="382">
        <v>69.963516666666607</v>
      </c>
      <c r="AY88" s="382">
        <v>76.37285</v>
      </c>
      <c r="AZ88" s="382">
        <v>83.433441666666695</v>
      </c>
      <c r="BA88" s="382">
        <v>91.776358333333306</v>
      </c>
      <c r="BB88" s="382">
        <v>93.3618083333333</v>
      </c>
      <c r="BC88" s="382">
        <v>100</v>
      </c>
      <c r="BD88" s="382">
        <v>108.542933333333</v>
      </c>
      <c r="BE88" s="382">
        <v>107.51865833333299</v>
      </c>
      <c r="BF88" s="382">
        <v>106.96810000000001</v>
      </c>
      <c r="BG88" s="382">
        <v>110.25075</v>
      </c>
      <c r="BH88" s="382">
        <v>114.664725</v>
      </c>
      <c r="BI88" s="382">
        <v>117.112733333333</v>
      </c>
      <c r="BJ88" s="382">
        <v>124.18085833333301</v>
      </c>
      <c r="BK88" s="382">
        <v>127.428491666667</v>
      </c>
      <c r="BL88" s="382">
        <v>133.61246666666699</v>
      </c>
      <c r="BM88" s="382">
        <v>140.56360833333301</v>
      </c>
      <c r="BN88" s="382">
        <v>154.011208333333</v>
      </c>
      <c r="BO88" s="382">
        <v>172.335716666667</v>
      </c>
      <c r="BP88" s="382">
        <v>176.62301666666701</v>
      </c>
    </row>
    <row r="89" spans="1:68">
      <c r="A89" s="382" t="s">
        <v>1669</v>
      </c>
      <c r="B89" s="382" t="s">
        <v>2431</v>
      </c>
      <c r="C89" s="382" t="s">
        <v>2334</v>
      </c>
      <c r="D89" s="382" t="s">
        <v>2335</v>
      </c>
      <c r="E89" s="382"/>
      <c r="F89" s="382"/>
      <c r="G89" s="382"/>
      <c r="H89" s="382"/>
      <c r="I89" s="382">
        <v>1.1402464117858701E-3</v>
      </c>
      <c r="J89" s="382">
        <v>1.4417821221312901E-3</v>
      </c>
      <c r="K89" s="382">
        <v>1.63264358808005E-3</v>
      </c>
      <c r="L89" s="382">
        <v>1.49513441211262E-3</v>
      </c>
      <c r="M89" s="382">
        <v>1.6131713393846699E-3</v>
      </c>
      <c r="N89" s="382">
        <v>1.73120826652556E-3</v>
      </c>
      <c r="O89" s="382">
        <v>1.7836691230909199E-3</v>
      </c>
      <c r="P89" s="382">
        <v>1.9541669070594798E-3</v>
      </c>
      <c r="Q89" s="382">
        <v>2.1508951191795602E-3</v>
      </c>
      <c r="R89" s="382">
        <v>2.5312363291472399E-3</v>
      </c>
      <c r="S89" s="382">
        <v>2.9902688240940902E-3</v>
      </c>
      <c r="T89" s="382">
        <v>3.8821033857051302E-3</v>
      </c>
      <c r="U89" s="382">
        <v>6.0592289331673601E-3</v>
      </c>
      <c r="V89" s="382">
        <v>1.3115214141262301E-2</v>
      </c>
      <c r="W89" s="382">
        <v>2.2701342744101901E-2</v>
      </c>
      <c r="X89" s="382">
        <v>3.5060246203235501E-2</v>
      </c>
      <c r="Y89" s="382">
        <v>5.26149603314175E-2</v>
      </c>
      <c r="Z89" s="382">
        <v>0.11391328535886899</v>
      </c>
      <c r="AA89" s="382">
        <v>0.139310897543692</v>
      </c>
      <c r="AB89" s="382">
        <v>0.310488486647225</v>
      </c>
      <c r="AC89" s="382">
        <v>0.43364471917234498</v>
      </c>
      <c r="AD89" s="382">
        <v>0.47833371842450101</v>
      </c>
      <c r="AE89" s="382">
        <v>0.59583838658967303</v>
      </c>
      <c r="AF89" s="382">
        <v>0.833071844650769</v>
      </c>
      <c r="AG89" s="382">
        <v>1.09431707393563</v>
      </c>
      <c r="AH89" s="382">
        <v>1.37034424249229</v>
      </c>
      <c r="AI89" s="382">
        <v>1.8809217148836399</v>
      </c>
      <c r="AJ89" s="382">
        <v>2.2200789667096301</v>
      </c>
      <c r="AK89" s="382">
        <v>2.4433326994305702</v>
      </c>
      <c r="AL89" s="382">
        <v>3.0531846923302699</v>
      </c>
      <c r="AM89" s="382">
        <v>3.8125195242748999</v>
      </c>
      <c r="AN89" s="382">
        <v>6.0795028684919998</v>
      </c>
      <c r="AO89" s="382">
        <v>8.9101813953074096</v>
      </c>
      <c r="AP89" s="382">
        <v>11.3948040676584</v>
      </c>
      <c r="AQ89" s="382">
        <v>13.061199205853001</v>
      </c>
      <c r="AR89" s="382">
        <v>13.6966785113</v>
      </c>
      <c r="AS89" s="382">
        <v>19.2083497512298</v>
      </c>
      <c r="AT89" s="382">
        <v>27.181638978164699</v>
      </c>
      <c r="AU89" s="382">
        <v>29.726093826927599</v>
      </c>
      <c r="AV89" s="382">
        <v>38.5764377123893</v>
      </c>
      <c r="AW89" s="382">
        <v>45.536683616151997</v>
      </c>
      <c r="AX89" s="382">
        <v>52.567088563814501</v>
      </c>
      <c r="AY89" s="382">
        <v>58.706495528690503</v>
      </c>
      <c r="AZ89" s="382">
        <v>65.008207238338002</v>
      </c>
      <c r="BA89" s="382">
        <v>75.731076741441896</v>
      </c>
      <c r="BB89" s="382">
        <v>90.306997869895199</v>
      </c>
      <c r="BC89" s="382">
        <v>100</v>
      </c>
      <c r="BD89" s="382">
        <v>108.72845937093</v>
      </c>
      <c r="BE89" s="382">
        <v>120.89119553943701</v>
      </c>
      <c r="BF89" s="382">
        <v>134.99459489350801</v>
      </c>
      <c r="BG89" s="382">
        <v>155.904739308264</v>
      </c>
      <c r="BH89" s="382">
        <v>182.64235454991399</v>
      </c>
      <c r="BI89" s="382">
        <v>214.52191035702401</v>
      </c>
      <c r="BJ89" s="382">
        <v>241.062392815469</v>
      </c>
      <c r="BK89" s="382">
        <v>259.88638897422697</v>
      </c>
      <c r="BL89" s="382">
        <v>278.45173709811002</v>
      </c>
      <c r="BM89" s="382">
        <v>305.98306663736702</v>
      </c>
      <c r="BN89" s="382">
        <v>336.49290954239802</v>
      </c>
      <c r="BO89" s="382">
        <v>441.66678038440199</v>
      </c>
      <c r="BP89" s="382">
        <v>609.97258858306895</v>
      </c>
    </row>
    <row r="90" spans="1:68">
      <c r="A90" s="382" t="s">
        <v>1720</v>
      </c>
      <c r="B90" s="382" t="s">
        <v>2432</v>
      </c>
      <c r="C90" s="382" t="s">
        <v>2334</v>
      </c>
      <c r="D90" s="382" t="s">
        <v>2335</v>
      </c>
      <c r="E90" s="382"/>
      <c r="F90" s="382"/>
      <c r="G90" s="382"/>
      <c r="H90" s="382"/>
      <c r="I90" s="382"/>
      <c r="J90" s="382"/>
      <c r="K90" s="382"/>
      <c r="L90" s="382"/>
      <c r="M90" s="382"/>
      <c r="N90" s="382"/>
      <c r="O90" s="382"/>
      <c r="P90" s="382"/>
      <c r="Q90" s="382"/>
      <c r="R90" s="382"/>
      <c r="S90" s="382"/>
      <c r="T90" s="382"/>
      <c r="U90" s="382"/>
      <c r="V90" s="382"/>
      <c r="W90" s="382"/>
      <c r="X90" s="382"/>
      <c r="Y90" s="382"/>
      <c r="Z90" s="382"/>
      <c r="AA90" s="382"/>
      <c r="AB90" s="382"/>
      <c r="AC90" s="382"/>
      <c r="AD90" s="382"/>
      <c r="AE90" s="382"/>
      <c r="AF90" s="382"/>
      <c r="AG90" s="382"/>
      <c r="AH90" s="382"/>
      <c r="AI90" s="382"/>
      <c r="AJ90" s="382"/>
      <c r="AK90" s="382"/>
      <c r="AL90" s="382"/>
      <c r="AM90" s="382"/>
      <c r="AN90" s="382"/>
      <c r="AO90" s="382"/>
      <c r="AP90" s="382"/>
      <c r="AQ90" s="382"/>
      <c r="AR90" s="382"/>
      <c r="AS90" s="382"/>
      <c r="AT90" s="382"/>
      <c r="AU90" s="382"/>
      <c r="AV90" s="382"/>
      <c r="AW90" s="382"/>
      <c r="AX90" s="382"/>
      <c r="AY90" s="382"/>
      <c r="AZ90" s="382"/>
      <c r="BA90" s="382"/>
      <c r="BB90" s="382"/>
      <c r="BC90" s="382"/>
      <c r="BD90" s="382"/>
      <c r="BE90" s="382"/>
      <c r="BF90" s="382"/>
      <c r="BG90" s="382"/>
      <c r="BH90" s="382"/>
      <c r="BI90" s="382"/>
      <c r="BJ90" s="382"/>
      <c r="BK90" s="382"/>
      <c r="BL90" s="382"/>
      <c r="BM90" s="382"/>
      <c r="BN90" s="382"/>
      <c r="BO90" s="382"/>
      <c r="BP90" s="382"/>
    </row>
    <row r="91" spans="1:68">
      <c r="A91" s="382" t="s">
        <v>2055</v>
      </c>
      <c r="B91" s="382" t="s">
        <v>2433</v>
      </c>
      <c r="C91" s="382" t="s">
        <v>2334</v>
      </c>
      <c r="D91" s="382" t="s">
        <v>2335</v>
      </c>
      <c r="E91" s="382"/>
      <c r="F91" s="382"/>
      <c r="G91" s="382"/>
      <c r="H91" s="382"/>
      <c r="I91" s="382"/>
      <c r="J91" s="382"/>
      <c r="K91" s="382"/>
      <c r="L91" s="382"/>
      <c r="M91" s="382"/>
      <c r="N91" s="382"/>
      <c r="O91" s="382"/>
      <c r="P91" s="382"/>
      <c r="Q91" s="382"/>
      <c r="R91" s="382"/>
      <c r="S91" s="382"/>
      <c r="T91" s="382"/>
      <c r="U91" s="382"/>
      <c r="V91" s="382"/>
      <c r="W91" s="382"/>
      <c r="X91" s="382"/>
      <c r="Y91" s="382"/>
      <c r="Z91" s="382"/>
      <c r="AA91" s="382"/>
      <c r="AB91" s="382"/>
      <c r="AC91" s="382"/>
      <c r="AD91" s="382"/>
      <c r="AE91" s="382"/>
      <c r="AF91" s="382"/>
      <c r="AG91" s="382"/>
      <c r="AH91" s="382"/>
      <c r="AI91" s="382"/>
      <c r="AJ91" s="382"/>
      <c r="AK91" s="382"/>
      <c r="AL91" s="382"/>
      <c r="AM91" s="382"/>
      <c r="AN91" s="382"/>
      <c r="AO91" s="382"/>
      <c r="AP91" s="382"/>
      <c r="AQ91" s="382"/>
      <c r="AR91" s="382"/>
      <c r="AS91" s="382"/>
      <c r="AT91" s="382"/>
      <c r="AU91" s="382"/>
      <c r="AV91" s="382"/>
      <c r="AW91" s="382">
        <v>32.2631351401334</v>
      </c>
      <c r="AX91" s="382">
        <v>42.385146151943303</v>
      </c>
      <c r="AY91" s="382">
        <v>57.090787303441402</v>
      </c>
      <c r="AZ91" s="382">
        <v>67.467360807534803</v>
      </c>
      <c r="BA91" s="382">
        <v>83.029121111423095</v>
      </c>
      <c r="BB91" s="382">
        <v>86.918527869977893</v>
      </c>
      <c r="BC91" s="382">
        <v>100</v>
      </c>
      <c r="BD91" s="382">
        <v>121.316926854258</v>
      </c>
      <c r="BE91" s="382">
        <v>139.78899893485601</v>
      </c>
      <c r="BF91" s="382">
        <v>156.40653982406701</v>
      </c>
      <c r="BG91" s="382">
        <v>166.02633276319801</v>
      </c>
      <c r="BH91" s="382">
        <v>185.584371739381</v>
      </c>
      <c r="BI91" s="382">
        <v>200.75159065530201</v>
      </c>
      <c r="BJ91" s="382">
        <v>218.647309106389</v>
      </c>
      <c r="BK91" s="382">
        <v>240.13512925370301</v>
      </c>
      <c r="BL91" s="382">
        <v>262.87595095014399</v>
      </c>
      <c r="BM91" s="382">
        <v>290.74506123166901</v>
      </c>
      <c r="BN91" s="382">
        <v>327.37105468712298</v>
      </c>
      <c r="BO91" s="382">
        <v>361.72223367247602</v>
      </c>
      <c r="BP91" s="382">
        <v>389.95456690529301</v>
      </c>
    </row>
    <row r="92" spans="1:68">
      <c r="A92" s="382" t="s">
        <v>2434</v>
      </c>
      <c r="B92" s="382" t="s">
        <v>2435</v>
      </c>
      <c r="C92" s="382" t="s">
        <v>2334</v>
      </c>
      <c r="D92" s="382" t="s">
        <v>2335</v>
      </c>
      <c r="E92" s="382"/>
      <c r="F92" s="382">
        <v>2.2768877996671701</v>
      </c>
      <c r="G92" s="382">
        <v>2.3175898529928798</v>
      </c>
      <c r="H92" s="382">
        <v>2.42457277298525</v>
      </c>
      <c r="I92" s="382">
        <v>2.3146025463285</v>
      </c>
      <c r="J92" s="382">
        <v>2.3427952529893199</v>
      </c>
      <c r="K92" s="382">
        <v>2.3483964529866701</v>
      </c>
      <c r="L92" s="382">
        <v>2.3814435329838499</v>
      </c>
      <c r="M92" s="382">
        <v>2.4809581863050001</v>
      </c>
      <c r="N92" s="382">
        <v>2.6053048262781102</v>
      </c>
      <c r="O92" s="382">
        <v>2.5535870796262201</v>
      </c>
      <c r="P92" s="382">
        <v>2.6316304662799999</v>
      </c>
      <c r="Q92" s="382">
        <v>2.86053283958287</v>
      </c>
      <c r="R92" s="382">
        <v>3.0584419062197101</v>
      </c>
      <c r="S92" s="382">
        <v>3.34092909284833</v>
      </c>
      <c r="T92" s="382">
        <v>4.2070649601525503</v>
      </c>
      <c r="U92" s="382">
        <v>4.9234158398052097</v>
      </c>
      <c r="V92" s="382">
        <v>5.5334138100049799</v>
      </c>
      <c r="W92" s="382">
        <v>6.0234167436310999</v>
      </c>
      <c r="X92" s="382">
        <v>6.3925894083852599</v>
      </c>
      <c r="Y92" s="382">
        <v>6.8288590657485697</v>
      </c>
      <c r="Z92" s="382">
        <v>7.2347819505463402</v>
      </c>
      <c r="AA92" s="382">
        <v>8.0201786981262302</v>
      </c>
      <c r="AB92" s="382">
        <v>8.8732292598279106</v>
      </c>
      <c r="AC92" s="382">
        <v>10.834076226569399</v>
      </c>
      <c r="AD92" s="382">
        <v>12.8188665184679</v>
      </c>
      <c r="AE92" s="382">
        <v>20.0692394714948</v>
      </c>
      <c r="AF92" s="382">
        <v>24.7913643334809</v>
      </c>
      <c r="AG92" s="382">
        <v>27.689620321526899</v>
      </c>
      <c r="AH92" s="382">
        <v>29.980940857705399</v>
      </c>
      <c r="AI92" s="382">
        <v>33.628957016337999</v>
      </c>
      <c r="AJ92" s="382">
        <v>36.535286916358501</v>
      </c>
      <c r="AK92" s="382">
        <v>40.001222439430599</v>
      </c>
      <c r="AL92" s="382">
        <v>42.586823146537597</v>
      </c>
      <c r="AM92" s="382">
        <v>43.3151456887785</v>
      </c>
      <c r="AN92" s="382">
        <v>46.338964928563897</v>
      </c>
      <c r="AO92" s="382">
        <v>46.848456615223199</v>
      </c>
      <c r="AP92" s="382">
        <v>48.151418961433997</v>
      </c>
      <c r="AQ92" s="382">
        <v>48.687916491594201</v>
      </c>
      <c r="AR92" s="382">
        <v>50.5440810134291</v>
      </c>
      <c r="AS92" s="382">
        <v>50.971163115797999</v>
      </c>
      <c r="AT92" s="382">
        <v>53.261091598188003</v>
      </c>
      <c r="AU92" s="382">
        <v>57.846405413819198</v>
      </c>
      <c r="AV92" s="382">
        <v>67.699306447992797</v>
      </c>
      <c r="AW92" s="382">
        <v>77.317173120484597</v>
      </c>
      <c r="AX92" s="382">
        <v>81.058258695240497</v>
      </c>
      <c r="AY92" s="382">
        <v>82.725224560467197</v>
      </c>
      <c r="AZ92" s="382">
        <v>87.166853329447903</v>
      </c>
      <c r="BA92" s="382">
        <v>91.040247486835099</v>
      </c>
      <c r="BB92" s="382">
        <v>95.193054636520799</v>
      </c>
      <c r="BC92" s="382">
        <v>100</v>
      </c>
      <c r="BD92" s="382">
        <v>104.795882661831</v>
      </c>
      <c r="BE92" s="382">
        <v>109.254236951057</v>
      </c>
      <c r="BF92" s="382">
        <v>115.48077783219</v>
      </c>
      <c r="BG92" s="382">
        <v>122.34957375506799</v>
      </c>
      <c r="BH92" s="382">
        <v>130.67968936055601</v>
      </c>
      <c r="BI92" s="382">
        <v>140.126253232327</v>
      </c>
      <c r="BJ92" s="382">
        <v>151.384262300215</v>
      </c>
      <c r="BK92" s="382">
        <v>161.25598196436101</v>
      </c>
      <c r="BL92" s="382">
        <v>172.730435584882</v>
      </c>
      <c r="BM92" s="382">
        <v>182.975555086968</v>
      </c>
      <c r="BN92" s="382">
        <v>196.46148949935201</v>
      </c>
      <c r="BO92" s="382">
        <v>219.08033622103201</v>
      </c>
      <c r="BP92" s="382">
        <v>256.26749905175598</v>
      </c>
    </row>
    <row r="93" spans="1:68">
      <c r="A93" s="382" t="s">
        <v>2057</v>
      </c>
      <c r="B93" s="382" t="s">
        <v>2436</v>
      </c>
      <c r="C93" s="382" t="s">
        <v>2334</v>
      </c>
      <c r="D93" s="382" t="s">
        <v>2335</v>
      </c>
      <c r="E93" s="382"/>
      <c r="F93" s="382"/>
      <c r="G93" s="382"/>
      <c r="H93" s="382"/>
      <c r="I93" s="382"/>
      <c r="J93" s="382"/>
      <c r="K93" s="382"/>
      <c r="L93" s="382"/>
      <c r="M93" s="382"/>
      <c r="N93" s="382"/>
      <c r="O93" s="382"/>
      <c r="P93" s="382"/>
      <c r="Q93" s="382"/>
      <c r="R93" s="382"/>
      <c r="S93" s="382"/>
      <c r="T93" s="382"/>
      <c r="U93" s="382"/>
      <c r="V93" s="382"/>
      <c r="W93" s="382"/>
      <c r="X93" s="382"/>
      <c r="Y93" s="382"/>
      <c r="Z93" s="382"/>
      <c r="AA93" s="382"/>
      <c r="AB93" s="382"/>
      <c r="AC93" s="382"/>
      <c r="AD93" s="382"/>
      <c r="AE93" s="382"/>
      <c r="AF93" s="382">
        <v>1.18856332006423</v>
      </c>
      <c r="AG93" s="382">
        <v>1.90505047712512</v>
      </c>
      <c r="AH93" s="382">
        <v>3.44410533591698</v>
      </c>
      <c r="AI93" s="382">
        <v>4.5807282153802298</v>
      </c>
      <c r="AJ93" s="382">
        <v>7.2190116746780104</v>
      </c>
      <c r="AK93" s="382">
        <v>12.242262510014699</v>
      </c>
      <c r="AL93" s="382">
        <v>18.1317904888996</v>
      </c>
      <c r="AM93" s="382">
        <v>20.883534009018401</v>
      </c>
      <c r="AN93" s="382">
        <v>30.357413609131498</v>
      </c>
      <c r="AO93" s="382">
        <v>45.758960514390701</v>
      </c>
      <c r="AP93" s="382">
        <v>68.227032746169797</v>
      </c>
      <c r="AQ93" s="382">
        <v>73.694580123614301</v>
      </c>
      <c r="AR93" s="382">
        <v>72.157086316316096</v>
      </c>
      <c r="AS93" s="382">
        <v>78.388803878258599</v>
      </c>
      <c r="AT93" s="382">
        <v>81.013357180102602</v>
      </c>
      <c r="AU93" s="382">
        <v>83.686896603107101</v>
      </c>
      <c r="AV93" s="382">
        <v>80.755691488052506</v>
      </c>
      <c r="AW93" s="382">
        <v>81.469008688891705</v>
      </c>
      <c r="AX93" s="382">
        <v>84.181274297244798</v>
      </c>
      <c r="AY93" s="382">
        <v>85.826796961406998</v>
      </c>
      <c r="AZ93" s="382">
        <v>89.789795860247807</v>
      </c>
      <c r="BA93" s="382">
        <v>99.181874175419495</v>
      </c>
      <c r="BB93" s="382">
        <v>97.543987347285693</v>
      </c>
      <c r="BC93" s="382">
        <v>100</v>
      </c>
      <c r="BD93" s="382">
        <v>105.046102263202</v>
      </c>
      <c r="BE93" s="382">
        <v>107.284157585918</v>
      </c>
      <c r="BF93" s="382">
        <v>108.579212070411</v>
      </c>
      <c r="BG93" s="382">
        <v>106.94048616932101</v>
      </c>
      <c r="BH93" s="382">
        <v>108.51969823973199</v>
      </c>
      <c r="BI93" s="382">
        <v>110.15088013411599</v>
      </c>
      <c r="BJ93" s="382">
        <v>112.013657770165</v>
      </c>
      <c r="BK93" s="382">
        <v>112.44079351774199</v>
      </c>
      <c r="BL93" s="382">
        <v>112.718072816065</v>
      </c>
      <c r="BM93" s="382">
        <v>114.003069434827</v>
      </c>
      <c r="BN93" s="382">
        <v>116.559575493745</v>
      </c>
      <c r="BO93" s="382">
        <v>127.508994091945</v>
      </c>
      <c r="BP93" s="382"/>
    </row>
    <row r="94" spans="1:68">
      <c r="A94" s="382" t="s">
        <v>1084</v>
      </c>
      <c r="B94" s="382" t="s">
        <v>2437</v>
      </c>
      <c r="C94" s="382" t="s">
        <v>2334</v>
      </c>
      <c r="D94" s="382" t="s">
        <v>2335</v>
      </c>
      <c r="E94" s="382"/>
      <c r="F94" s="382"/>
      <c r="G94" s="382"/>
      <c r="H94" s="382"/>
      <c r="I94" s="382"/>
      <c r="J94" s="382"/>
      <c r="K94" s="382"/>
      <c r="L94" s="382"/>
      <c r="M94" s="382"/>
      <c r="N94" s="382"/>
      <c r="O94" s="382"/>
      <c r="P94" s="382"/>
      <c r="Q94" s="382"/>
      <c r="R94" s="382"/>
      <c r="S94" s="382"/>
      <c r="T94" s="382"/>
      <c r="U94" s="382"/>
      <c r="V94" s="382"/>
      <c r="W94" s="382"/>
      <c r="X94" s="382"/>
      <c r="Y94" s="382"/>
      <c r="Z94" s="382"/>
      <c r="AA94" s="382"/>
      <c r="AB94" s="382"/>
      <c r="AC94" s="382"/>
      <c r="AD94" s="382">
        <v>37.871018128827302</v>
      </c>
      <c r="AE94" s="382">
        <v>31.190409922929899</v>
      </c>
      <c r="AF94" s="382">
        <v>27.081237867895801</v>
      </c>
      <c r="AG94" s="382">
        <v>27.764676047527299</v>
      </c>
      <c r="AH94" s="382">
        <v>29.476688687504002</v>
      </c>
      <c r="AI94" s="382">
        <v>29.729560813967701</v>
      </c>
      <c r="AJ94" s="382">
        <v>28.711237926316802</v>
      </c>
      <c r="AK94" s="382">
        <v>27.482757798429301</v>
      </c>
      <c r="AL94" s="382">
        <v>28.981196007271201</v>
      </c>
      <c r="AM94" s="382">
        <v>38.209103508854703</v>
      </c>
      <c r="AN94" s="382">
        <v>45.802182747998501</v>
      </c>
      <c r="AO94" s="382">
        <v>47.881935154296102</v>
      </c>
      <c r="AP94" s="382">
        <v>49.326296317174702</v>
      </c>
      <c r="AQ94" s="382">
        <v>53.240688491013699</v>
      </c>
      <c r="AR94" s="382">
        <v>53.438885563106901</v>
      </c>
      <c r="AS94" s="382">
        <v>56.005175216229098</v>
      </c>
      <c r="AT94" s="382">
        <v>60.9478499339941</v>
      </c>
      <c r="AU94" s="382">
        <v>65.575302335428503</v>
      </c>
      <c r="AV94" s="382">
        <v>70.377738450846095</v>
      </c>
      <c r="AW94" s="382">
        <v>73.347459344104195</v>
      </c>
      <c r="AX94" s="382">
        <v>77.478119445883394</v>
      </c>
      <c r="AY94" s="382">
        <v>80.899475599842901</v>
      </c>
      <c r="AZ94" s="382">
        <v>83.167685196100194</v>
      </c>
      <c r="BA94" s="382">
        <v>88.616638076125994</v>
      </c>
      <c r="BB94" s="382">
        <v>92.773702769446302</v>
      </c>
      <c r="BC94" s="382">
        <v>100</v>
      </c>
      <c r="BD94" s="382">
        <v>104.80538922155699</v>
      </c>
      <c r="BE94" s="382">
        <v>108.637724550898</v>
      </c>
      <c r="BF94" s="382">
        <v>111.84131736527</v>
      </c>
      <c r="BG94" s="382">
        <v>116.66167664670699</v>
      </c>
      <c r="BH94" s="382">
        <v>118.617662311179</v>
      </c>
      <c r="BI94" s="382">
        <v>120.29247152984701</v>
      </c>
      <c r="BJ94" s="382">
        <v>121.18787425149701</v>
      </c>
      <c r="BK94" s="382">
        <v>122.472555526802</v>
      </c>
      <c r="BL94" s="382">
        <v>124.346722780622</v>
      </c>
      <c r="BM94" s="382">
        <v>130.273952095808</v>
      </c>
      <c r="BN94" s="382">
        <v>130.14745508982</v>
      </c>
      <c r="BO94" s="382">
        <v>136.37724550898201</v>
      </c>
      <c r="BP94" s="382"/>
    </row>
    <row r="95" spans="1:68">
      <c r="A95" s="382" t="s">
        <v>1160</v>
      </c>
      <c r="B95" s="382" t="s">
        <v>2438</v>
      </c>
      <c r="C95" s="382" t="s">
        <v>2334</v>
      </c>
      <c r="D95" s="382" t="s">
        <v>2335</v>
      </c>
      <c r="E95" s="382">
        <v>1.12134954367809</v>
      </c>
      <c r="F95" s="382">
        <v>1.1449380211198901</v>
      </c>
      <c r="G95" s="382">
        <v>1.1394946618524999</v>
      </c>
      <c r="H95" s="382">
        <v>1.1757837236351101</v>
      </c>
      <c r="I95" s="382">
        <v>1.1830418715819799</v>
      </c>
      <c r="J95" s="382">
        <v>1.22114614153199</v>
      </c>
      <c r="K95" s="382">
        <v>1.2810240163467399</v>
      </c>
      <c r="L95" s="382">
        <v>1.30461224209578</v>
      </c>
      <c r="M95" s="382">
        <v>1.30642644349215</v>
      </c>
      <c r="N95" s="382">
        <v>1.34090197505908</v>
      </c>
      <c r="O95" s="382">
        <v>1.3790059933163299</v>
      </c>
      <c r="P95" s="382">
        <v>1.4243679917252801</v>
      </c>
      <c r="Q95" s="382">
        <v>1.48606023573158</v>
      </c>
      <c r="R95" s="382">
        <v>1.7146850164558001</v>
      </c>
      <c r="S95" s="382">
        <v>2.1701198731223501</v>
      </c>
      <c r="T95" s="382">
        <v>2.4658803410178498</v>
      </c>
      <c r="U95" s="382">
        <v>2.78704348775151</v>
      </c>
      <c r="V95" s="382">
        <v>3.1317951119269698</v>
      </c>
      <c r="W95" s="382">
        <v>3.5255377245872301</v>
      </c>
      <c r="X95" s="382">
        <v>4.1987100561601203</v>
      </c>
      <c r="Y95" s="382">
        <v>5.2347792978780499</v>
      </c>
      <c r="Z95" s="382">
        <v>6.5176178512115097</v>
      </c>
      <c r="AA95" s="382">
        <v>7.8857367904027198</v>
      </c>
      <c r="AB95" s="382">
        <v>9.4770375705386805</v>
      </c>
      <c r="AC95" s="382">
        <v>11.2261966923024</v>
      </c>
      <c r="AD95" s="382">
        <v>13.394502112335701</v>
      </c>
      <c r="AE95" s="382">
        <v>16.4773071586513</v>
      </c>
      <c r="AF95" s="382">
        <v>19.179068666490899</v>
      </c>
      <c r="AG95" s="382">
        <v>21.7737776937646</v>
      </c>
      <c r="AH95" s="382">
        <v>24.747109814162599</v>
      </c>
      <c r="AI95" s="382">
        <v>29.803810277657298</v>
      </c>
      <c r="AJ95" s="382">
        <v>35.602393601480202</v>
      </c>
      <c r="AK95" s="382">
        <v>41.255011905445002</v>
      </c>
      <c r="AL95" s="382">
        <v>47.200380767515398</v>
      </c>
      <c r="AM95" s="382">
        <v>52.3329858938543</v>
      </c>
      <c r="AN95" s="382">
        <v>57.008683928690097</v>
      </c>
      <c r="AO95" s="382">
        <v>61.680290278264103</v>
      </c>
      <c r="AP95" s="382">
        <v>65.0949127935353</v>
      </c>
      <c r="AQ95" s="382">
        <v>68.197483272100797</v>
      </c>
      <c r="AR95" s="382">
        <v>69.995600662290897</v>
      </c>
      <c r="AS95" s="382">
        <v>72.201289168626204</v>
      </c>
      <c r="AT95" s="382">
        <v>74.637337793351406</v>
      </c>
      <c r="AU95" s="382">
        <v>77.346194520026202</v>
      </c>
      <c r="AV95" s="382">
        <v>80.077018151603497</v>
      </c>
      <c r="AW95" s="382">
        <v>82.398329276899105</v>
      </c>
      <c r="AX95" s="382">
        <v>85.319409980830997</v>
      </c>
      <c r="AY95" s="382">
        <v>88.046172969253305</v>
      </c>
      <c r="AZ95" s="382">
        <v>90.595112507543604</v>
      </c>
      <c r="BA95" s="382">
        <v>94.357343695378802</v>
      </c>
      <c r="BB95" s="382">
        <v>95.499136144312502</v>
      </c>
      <c r="BC95" s="382">
        <v>100</v>
      </c>
      <c r="BD95" s="382">
        <v>103.329853233506</v>
      </c>
      <c r="BE95" s="382">
        <v>104.881378839373</v>
      </c>
      <c r="BF95" s="382">
        <v>103.915138732922</v>
      </c>
      <c r="BG95" s="382">
        <v>102.55150093158601</v>
      </c>
      <c r="BH95" s="382">
        <v>100.771321684226</v>
      </c>
      <c r="BI95" s="382">
        <v>99.939299257663293</v>
      </c>
      <c r="BJ95" s="382">
        <v>101.05987316816</v>
      </c>
      <c r="BK95" s="382">
        <v>101.692125375109</v>
      </c>
      <c r="BL95" s="382">
        <v>101.949414101629</v>
      </c>
      <c r="BM95" s="382">
        <v>100.677102178392</v>
      </c>
      <c r="BN95" s="382">
        <v>101.909213734394</v>
      </c>
      <c r="BO95" s="382">
        <v>111.738622172264</v>
      </c>
      <c r="BP95" s="382">
        <v>115.61014338928</v>
      </c>
    </row>
    <row r="96" spans="1:68">
      <c r="A96" s="382" t="s">
        <v>2210</v>
      </c>
      <c r="B96" s="382" t="s">
        <v>2439</v>
      </c>
      <c r="C96" s="382" t="s">
        <v>2334</v>
      </c>
      <c r="D96" s="382" t="s">
        <v>2335</v>
      </c>
      <c r="E96" s="382"/>
      <c r="F96" s="382"/>
      <c r="G96" s="382"/>
      <c r="H96" s="382"/>
      <c r="I96" s="382"/>
      <c r="J96" s="382"/>
      <c r="K96" s="382"/>
      <c r="L96" s="382"/>
      <c r="M96" s="382"/>
      <c r="N96" s="382"/>
      <c r="O96" s="382"/>
      <c r="P96" s="382"/>
      <c r="Q96" s="382"/>
      <c r="R96" s="382"/>
      <c r="S96" s="382"/>
      <c r="T96" s="382"/>
      <c r="U96" s="382">
        <v>17.307958352648701</v>
      </c>
      <c r="V96" s="382">
        <v>20.502468063727601</v>
      </c>
      <c r="W96" s="382">
        <v>24.220667891376799</v>
      </c>
      <c r="X96" s="382">
        <v>29.2786416005851</v>
      </c>
      <c r="Y96" s="382">
        <v>35.667661022742799</v>
      </c>
      <c r="Z96" s="382">
        <v>42.368712472690198</v>
      </c>
      <c r="AA96" s="382">
        <v>45.678870417845097</v>
      </c>
      <c r="AB96" s="382">
        <v>48.463156204277198</v>
      </c>
      <c r="AC96" s="382">
        <v>51.205983189814098</v>
      </c>
      <c r="AD96" s="382">
        <v>52.4868419332591</v>
      </c>
      <c r="AE96" s="382">
        <v>52.779235581677597</v>
      </c>
      <c r="AF96" s="382">
        <v>52.318824687526003</v>
      </c>
      <c r="AG96" s="382">
        <v>54.411577675027097</v>
      </c>
      <c r="AH96" s="382">
        <v>57.454789311018402</v>
      </c>
      <c r="AI96" s="382">
        <v>59.019994149586502</v>
      </c>
      <c r="AJ96" s="382">
        <v>60.580839086098003</v>
      </c>
      <c r="AK96" s="382">
        <v>62.869787666177302</v>
      </c>
      <c r="AL96" s="382">
        <v>64.635547999381302</v>
      </c>
      <c r="AM96" s="382">
        <v>67.072733249408401</v>
      </c>
      <c r="AN96" s="382">
        <v>68.326205090880194</v>
      </c>
      <c r="AO96" s="382">
        <v>69.714833896128496</v>
      </c>
      <c r="AP96" s="382">
        <v>70.582454405529802</v>
      </c>
      <c r="AQ96" s="382">
        <v>71.554864153599496</v>
      </c>
      <c r="AR96" s="382">
        <v>71.968041716040204</v>
      </c>
      <c r="AS96" s="382">
        <v>73.538253535299305</v>
      </c>
      <c r="AT96" s="382">
        <v>75.848084969423894</v>
      </c>
      <c r="AU96" s="382">
        <v>76.657547473447096</v>
      </c>
      <c r="AV96" s="382">
        <v>78.309462504023202</v>
      </c>
      <c r="AW96" s="382">
        <v>80.120695204377299</v>
      </c>
      <c r="AX96" s="382">
        <v>82.905535886707497</v>
      </c>
      <c r="AY96" s="382">
        <v>86.430640489217893</v>
      </c>
      <c r="AZ96" s="382">
        <v>89.765851303508299</v>
      </c>
      <c r="BA96" s="382">
        <v>96.976987447698804</v>
      </c>
      <c r="BB96" s="382">
        <v>96.677663340843296</v>
      </c>
      <c r="BC96" s="382">
        <v>100</v>
      </c>
      <c r="BD96" s="382">
        <v>103.033472803347</v>
      </c>
      <c r="BE96" s="382">
        <v>105.51738010942999</v>
      </c>
      <c r="BF96" s="382">
        <v>105.47095268747999</v>
      </c>
      <c r="BG96" s="382">
        <v>104.433537174123</v>
      </c>
      <c r="BH96" s="382">
        <v>103.895236562601</v>
      </c>
      <c r="BI96" s="382">
        <v>105.609913099453</v>
      </c>
      <c r="BJ96" s="382">
        <v>106.569335074026</v>
      </c>
      <c r="BK96" s="382">
        <v>107.426261562601</v>
      </c>
      <c r="BL96" s="382">
        <v>108.068831493402</v>
      </c>
      <c r="BM96" s="382">
        <v>107.268330431284</v>
      </c>
      <c r="BN96" s="382">
        <v>108.57648052784</v>
      </c>
      <c r="BO96" s="382">
        <v>111.378339233988</v>
      </c>
      <c r="BP96" s="382">
        <v>114.381235918893</v>
      </c>
    </row>
    <row r="97" spans="1:68">
      <c r="A97" s="382" t="s">
        <v>1198</v>
      </c>
      <c r="B97" s="382" t="s">
        <v>2440</v>
      </c>
      <c r="C97" s="382" t="s">
        <v>2334</v>
      </c>
      <c r="D97" s="382" t="s">
        <v>2335</v>
      </c>
      <c r="E97" s="382"/>
      <c r="F97" s="382"/>
      <c r="G97" s="382"/>
      <c r="H97" s="382"/>
      <c r="I97" s="382"/>
      <c r="J97" s="382"/>
      <c r="K97" s="382"/>
      <c r="L97" s="382"/>
      <c r="M97" s="382"/>
      <c r="N97" s="382"/>
      <c r="O97" s="382"/>
      <c r="P97" s="382"/>
      <c r="Q97" s="382"/>
      <c r="R97" s="382"/>
      <c r="S97" s="382"/>
      <c r="T97" s="382"/>
      <c r="U97" s="382"/>
      <c r="V97" s="382"/>
      <c r="W97" s="382"/>
      <c r="X97" s="382"/>
      <c r="Y97" s="382"/>
      <c r="Z97" s="382"/>
      <c r="AA97" s="382"/>
      <c r="AB97" s="382"/>
      <c r="AC97" s="382"/>
      <c r="AD97" s="382"/>
      <c r="AE97" s="382"/>
      <c r="AF97" s="382"/>
      <c r="AG97" s="382"/>
      <c r="AH97" s="382"/>
      <c r="AI97" s="382"/>
      <c r="AJ97" s="382"/>
      <c r="AK97" s="382"/>
      <c r="AL97" s="382"/>
      <c r="AM97" s="382"/>
      <c r="AN97" s="382"/>
      <c r="AO97" s="382"/>
      <c r="AP97" s="382"/>
      <c r="AQ97" s="382"/>
      <c r="AR97" s="382"/>
      <c r="AS97" s="382"/>
      <c r="AT97" s="382"/>
      <c r="AU97" s="382"/>
      <c r="AV97" s="382"/>
      <c r="AW97" s="382"/>
      <c r="AX97" s="382"/>
      <c r="AY97" s="382"/>
      <c r="AZ97" s="382"/>
      <c r="BA97" s="382"/>
      <c r="BB97" s="382"/>
      <c r="BC97" s="382"/>
      <c r="BD97" s="382"/>
      <c r="BE97" s="382"/>
      <c r="BF97" s="382"/>
      <c r="BG97" s="382"/>
      <c r="BH97" s="382"/>
      <c r="BI97" s="382"/>
      <c r="BJ97" s="382"/>
      <c r="BK97" s="382"/>
      <c r="BL97" s="382"/>
      <c r="BM97" s="382"/>
      <c r="BN97" s="382"/>
      <c r="BO97" s="382"/>
      <c r="BP97" s="382"/>
    </row>
    <row r="98" spans="1:68">
      <c r="A98" s="382" t="s">
        <v>2163</v>
      </c>
      <c r="B98" s="382" t="s">
        <v>2441</v>
      </c>
      <c r="C98" s="382" t="s">
        <v>2334</v>
      </c>
      <c r="D98" s="382" t="s">
        <v>2335</v>
      </c>
      <c r="E98" s="382">
        <v>1.75525896442981</v>
      </c>
      <c r="F98" s="382">
        <v>1.7455464955211399</v>
      </c>
      <c r="G98" s="382">
        <v>1.7813747141663201</v>
      </c>
      <c r="H98" s="382">
        <v>1.7840726221921801</v>
      </c>
      <c r="I98" s="382">
        <v>1.78061929991463</v>
      </c>
      <c r="J98" s="382">
        <v>1.7663743455152501</v>
      </c>
      <c r="K98" s="382">
        <v>1.7784609734883201</v>
      </c>
      <c r="L98" s="382">
        <v>1.7870942791892199</v>
      </c>
      <c r="M98" s="382">
        <v>1.8215195856522299</v>
      </c>
      <c r="N98" s="382">
        <v>1.8597219633618201</v>
      </c>
      <c r="O98" s="382">
        <v>1.9033201571274501</v>
      </c>
      <c r="P98" s="382">
        <v>1.8946868514297801</v>
      </c>
      <c r="Q98" s="382">
        <v>1.9047230693031401</v>
      </c>
      <c r="R98" s="382">
        <v>2.16749931144532</v>
      </c>
      <c r="S98" s="382">
        <v>2.5250260836032998</v>
      </c>
      <c r="T98" s="382">
        <v>2.8573004365998198</v>
      </c>
      <c r="U98" s="382">
        <v>3.1637459084037198</v>
      </c>
      <c r="V98" s="382">
        <v>3.5536642939506602</v>
      </c>
      <c r="W98" s="382">
        <v>3.8481911466229901</v>
      </c>
      <c r="X98" s="382">
        <v>4.2847063178291096</v>
      </c>
      <c r="Y98" s="382">
        <v>4.7484762126885602</v>
      </c>
      <c r="Z98" s="382">
        <v>5.2913727246914704</v>
      </c>
      <c r="AA98" s="382">
        <v>5.3076376404489896</v>
      </c>
      <c r="AB98" s="382">
        <v>5.5485342303879497</v>
      </c>
      <c r="AC98" s="382">
        <v>5.7375589268499301</v>
      </c>
      <c r="AD98" s="382">
        <v>6.8097245890598801</v>
      </c>
      <c r="AE98" s="382">
        <v>9.3246322370032804</v>
      </c>
      <c r="AF98" s="382">
        <v>10.4737265547256</v>
      </c>
      <c r="AG98" s="382">
        <v>11.6083143259733</v>
      </c>
      <c r="AH98" s="382">
        <v>12.9301684244396</v>
      </c>
      <c r="AI98" s="382">
        <v>18.260225273094399</v>
      </c>
      <c r="AJ98" s="382">
        <v>24.316488630118499</v>
      </c>
      <c r="AK98" s="382">
        <v>26.7593031379926</v>
      </c>
      <c r="AL98" s="382">
        <v>29.922169861792199</v>
      </c>
      <c r="AM98" s="382">
        <v>33.170317495170401</v>
      </c>
      <c r="AN98" s="382">
        <v>35.960409933802303</v>
      </c>
      <c r="AO98" s="382">
        <v>39.936522444819403</v>
      </c>
      <c r="AP98" s="382">
        <v>43.623822803294999</v>
      </c>
      <c r="AQ98" s="382">
        <v>46.508867182488501</v>
      </c>
      <c r="AR98" s="382">
        <v>48.933658405348602</v>
      </c>
      <c r="AS98" s="382">
        <v>51.858705685426798</v>
      </c>
      <c r="AT98" s="382">
        <v>55.637065466542303</v>
      </c>
      <c r="AU98" s="382">
        <v>60.161822445797803</v>
      </c>
      <c r="AV98" s="382">
        <v>63.532976181538302</v>
      </c>
      <c r="AW98" s="382">
        <v>68.347900592259904</v>
      </c>
      <c r="AX98" s="382">
        <v>74.573471541950596</v>
      </c>
      <c r="AY98" s="382">
        <v>79.466127258514007</v>
      </c>
      <c r="AZ98" s="382">
        <v>84.887002530684001</v>
      </c>
      <c r="BA98" s="382">
        <v>94.526567765357498</v>
      </c>
      <c r="BB98" s="382">
        <v>96.283913594587105</v>
      </c>
      <c r="BC98" s="382">
        <v>100</v>
      </c>
      <c r="BD98" s="382">
        <v>106.21412393067099</v>
      </c>
      <c r="BE98" s="382">
        <v>110.230937685245</v>
      </c>
      <c r="BF98" s="382">
        <v>115.018676610491</v>
      </c>
      <c r="BG98" s="382">
        <v>118.950430995714</v>
      </c>
      <c r="BH98" s="382">
        <v>121.79182412162299</v>
      </c>
      <c r="BI98" s="382">
        <v>127.209662777719</v>
      </c>
      <c r="BJ98" s="382">
        <v>132.83810080477301</v>
      </c>
      <c r="BK98" s="382">
        <v>137.82200285377499</v>
      </c>
      <c r="BL98" s="382">
        <v>142.921394880398</v>
      </c>
      <c r="BM98" s="382">
        <v>147.51551825492501</v>
      </c>
      <c r="BN98" s="382">
        <v>153.80123012521</v>
      </c>
      <c r="BO98" s="382">
        <v>164.39064204394401</v>
      </c>
      <c r="BP98" s="382">
        <v>174.59367205225001</v>
      </c>
    </row>
    <row r="99" spans="1:68">
      <c r="A99" s="382" t="s">
        <v>2442</v>
      </c>
      <c r="B99" s="382" t="s">
        <v>2443</v>
      </c>
      <c r="C99" s="382" t="s">
        <v>2334</v>
      </c>
      <c r="D99" s="382" t="s">
        <v>2335</v>
      </c>
      <c r="E99" s="382"/>
      <c r="F99" s="382"/>
      <c r="G99" s="382"/>
      <c r="H99" s="382"/>
      <c r="I99" s="382"/>
      <c r="J99" s="382"/>
      <c r="K99" s="382"/>
      <c r="L99" s="382"/>
      <c r="M99" s="382"/>
      <c r="N99" s="382"/>
      <c r="O99" s="382"/>
      <c r="P99" s="382"/>
      <c r="Q99" s="382"/>
      <c r="R99" s="382"/>
      <c r="S99" s="382"/>
      <c r="T99" s="382"/>
      <c r="U99" s="382"/>
      <c r="V99" s="382"/>
      <c r="W99" s="382"/>
      <c r="X99" s="382"/>
      <c r="Y99" s="382"/>
      <c r="Z99" s="382"/>
      <c r="AA99" s="382"/>
      <c r="AB99" s="382"/>
      <c r="AC99" s="382"/>
      <c r="AD99" s="382"/>
      <c r="AE99" s="382"/>
      <c r="AF99" s="382"/>
      <c r="AG99" s="382"/>
      <c r="AH99" s="382"/>
      <c r="AI99" s="382"/>
      <c r="AJ99" s="382"/>
      <c r="AK99" s="382"/>
      <c r="AL99" s="382"/>
      <c r="AM99" s="382"/>
      <c r="AN99" s="382"/>
      <c r="AO99" s="382"/>
      <c r="AP99" s="382"/>
      <c r="AQ99" s="382"/>
      <c r="AR99" s="382"/>
      <c r="AS99" s="382"/>
      <c r="AT99" s="382"/>
      <c r="AU99" s="382"/>
      <c r="AV99" s="382"/>
      <c r="AW99" s="382"/>
      <c r="AX99" s="382"/>
      <c r="AY99" s="382"/>
      <c r="AZ99" s="382"/>
      <c r="BA99" s="382"/>
      <c r="BB99" s="382"/>
      <c r="BC99" s="382"/>
      <c r="BD99" s="382"/>
      <c r="BE99" s="382"/>
      <c r="BF99" s="382"/>
      <c r="BG99" s="382"/>
      <c r="BH99" s="382"/>
      <c r="BI99" s="382"/>
      <c r="BJ99" s="382"/>
      <c r="BK99" s="382"/>
      <c r="BL99" s="382"/>
      <c r="BM99" s="382"/>
      <c r="BN99" s="382"/>
      <c r="BO99" s="382"/>
      <c r="BP99" s="382"/>
    </row>
    <row r="100" spans="1:68">
      <c r="A100" s="382" t="s">
        <v>2208</v>
      </c>
      <c r="B100" s="382" t="s">
        <v>2444</v>
      </c>
      <c r="C100" s="382" t="s">
        <v>2334</v>
      </c>
      <c r="D100" s="382" t="s">
        <v>2335</v>
      </c>
      <c r="E100" s="382"/>
      <c r="F100" s="382"/>
      <c r="G100" s="382"/>
      <c r="H100" s="382"/>
      <c r="I100" s="382"/>
      <c r="J100" s="382"/>
      <c r="K100" s="382"/>
      <c r="L100" s="382"/>
      <c r="M100" s="382"/>
      <c r="N100" s="382"/>
      <c r="O100" s="382"/>
      <c r="P100" s="382"/>
      <c r="Q100" s="382"/>
      <c r="R100" s="382"/>
      <c r="S100" s="382"/>
      <c r="T100" s="382"/>
      <c r="U100" s="382"/>
      <c r="V100" s="382"/>
      <c r="W100" s="382"/>
      <c r="X100" s="382"/>
      <c r="Y100" s="382"/>
      <c r="Z100" s="382"/>
      <c r="AA100" s="382"/>
      <c r="AB100" s="382"/>
      <c r="AC100" s="382"/>
      <c r="AD100" s="382"/>
      <c r="AE100" s="382"/>
      <c r="AF100" s="382"/>
      <c r="AG100" s="382"/>
      <c r="AH100" s="382"/>
      <c r="AI100" s="382"/>
      <c r="AJ100" s="382"/>
      <c r="AK100" s="382"/>
      <c r="AL100" s="382"/>
      <c r="AM100" s="382">
        <v>37.986799335962601</v>
      </c>
      <c r="AN100" s="382">
        <v>42.625187465406498</v>
      </c>
      <c r="AO100" s="382">
        <v>45.649321743926201</v>
      </c>
      <c r="AP100" s="382">
        <v>47.272461395864603</v>
      </c>
      <c r="AQ100" s="382">
        <v>49.440596843344103</v>
      </c>
      <c r="AR100" s="382">
        <v>53.167537505330102</v>
      </c>
      <c r="AS100" s="382">
        <v>56.436566586471599</v>
      </c>
      <c r="AT100" s="382">
        <v>57.919388353876897</v>
      </c>
      <c r="AU100" s="382">
        <v>61.012871697582398</v>
      </c>
      <c r="AV100" s="382">
        <v>64.662038216806593</v>
      </c>
      <c r="AW100" s="382">
        <v>67.680763630513496</v>
      </c>
      <c r="AX100" s="382">
        <v>72.368024044801899</v>
      </c>
      <c r="AY100" s="382">
        <v>77.200151282350603</v>
      </c>
      <c r="AZ100" s="382">
        <v>86.618688970312206</v>
      </c>
      <c r="BA100" s="382">
        <v>93.636554267165394</v>
      </c>
      <c r="BB100" s="382">
        <v>96.400987161273406</v>
      </c>
      <c r="BC100" s="382">
        <v>100</v>
      </c>
      <c r="BD100" s="382">
        <v>104.97773563707</v>
      </c>
      <c r="BE100" s="382">
        <v>107.48873506171201</v>
      </c>
      <c r="BF100" s="382">
        <v>109.53236659187</v>
      </c>
      <c r="BG100" s="382">
        <v>110.466272954109</v>
      </c>
      <c r="BH100" s="382">
        <v>109.359694377327</v>
      </c>
      <c r="BI100" s="382">
        <v>110.27395023836</v>
      </c>
      <c r="BJ100" s="382">
        <v>112.374289819108</v>
      </c>
      <c r="BK100" s="382">
        <v>113.81587539998699</v>
      </c>
      <c r="BL100" s="382">
        <v>116.191475510903</v>
      </c>
      <c r="BM100" s="382">
        <v>117.345648454536</v>
      </c>
      <c r="BN100" s="382">
        <v>123.251485665774</v>
      </c>
      <c r="BO100" s="382">
        <v>130.78838242016599</v>
      </c>
      <c r="BP100" s="382">
        <v>134.478057859335</v>
      </c>
    </row>
    <row r="101" spans="1:68">
      <c r="A101" s="382" t="s">
        <v>2445</v>
      </c>
      <c r="B101" s="382" t="s">
        <v>2446</v>
      </c>
      <c r="C101" s="382" t="s">
        <v>2334</v>
      </c>
      <c r="D101" s="382" t="s">
        <v>2335</v>
      </c>
      <c r="E101" s="382"/>
      <c r="F101" s="382"/>
      <c r="G101" s="382"/>
      <c r="H101" s="382"/>
      <c r="I101" s="382"/>
      <c r="J101" s="382"/>
      <c r="K101" s="382"/>
      <c r="L101" s="382"/>
      <c r="M101" s="382"/>
      <c r="N101" s="382"/>
      <c r="O101" s="382"/>
      <c r="P101" s="382"/>
      <c r="Q101" s="382"/>
      <c r="R101" s="382"/>
      <c r="S101" s="382"/>
      <c r="T101" s="382"/>
      <c r="U101" s="382"/>
      <c r="V101" s="382"/>
      <c r="W101" s="382"/>
      <c r="X101" s="382"/>
      <c r="Y101" s="382"/>
      <c r="Z101" s="382"/>
      <c r="AA101" s="382"/>
      <c r="AB101" s="382"/>
      <c r="AC101" s="382"/>
      <c r="AD101" s="382"/>
      <c r="AE101" s="382"/>
      <c r="AF101" s="382"/>
      <c r="AG101" s="382"/>
      <c r="AH101" s="382"/>
      <c r="AI101" s="382"/>
      <c r="AJ101" s="382"/>
      <c r="AK101" s="382"/>
      <c r="AL101" s="382"/>
      <c r="AM101" s="382"/>
      <c r="AN101" s="382"/>
      <c r="AO101" s="382"/>
      <c r="AP101" s="382"/>
      <c r="AQ101" s="382"/>
      <c r="AR101" s="382"/>
      <c r="AS101" s="382"/>
      <c r="AT101" s="382"/>
      <c r="AU101" s="382"/>
      <c r="AV101" s="382"/>
      <c r="AW101" s="382"/>
      <c r="AX101" s="382"/>
      <c r="AY101" s="382"/>
      <c r="AZ101" s="382"/>
      <c r="BA101" s="382"/>
      <c r="BB101" s="382"/>
      <c r="BC101" s="382"/>
      <c r="BD101" s="382"/>
      <c r="BE101" s="382"/>
      <c r="BF101" s="382"/>
      <c r="BG101" s="382"/>
      <c r="BH101" s="382"/>
      <c r="BI101" s="382"/>
      <c r="BJ101" s="382"/>
      <c r="BK101" s="382"/>
      <c r="BL101" s="382"/>
      <c r="BM101" s="382"/>
      <c r="BN101" s="382"/>
      <c r="BO101" s="382"/>
      <c r="BP101" s="382"/>
    </row>
    <row r="102" spans="1:68">
      <c r="A102" s="382" t="s">
        <v>2447</v>
      </c>
      <c r="B102" s="382" t="s">
        <v>2448</v>
      </c>
      <c r="C102" s="382" t="s">
        <v>2334</v>
      </c>
      <c r="D102" s="382" t="s">
        <v>2335</v>
      </c>
      <c r="E102" s="382"/>
      <c r="F102" s="382"/>
      <c r="G102" s="382"/>
      <c r="H102" s="382"/>
      <c r="I102" s="382"/>
      <c r="J102" s="382"/>
      <c r="K102" s="382"/>
      <c r="L102" s="382"/>
      <c r="M102" s="382"/>
      <c r="N102" s="382"/>
      <c r="O102" s="382"/>
      <c r="P102" s="382"/>
      <c r="Q102" s="382"/>
      <c r="R102" s="382"/>
      <c r="S102" s="382"/>
      <c r="T102" s="382"/>
      <c r="U102" s="382"/>
      <c r="V102" s="382"/>
      <c r="W102" s="382"/>
      <c r="X102" s="382"/>
      <c r="Y102" s="382"/>
      <c r="Z102" s="382">
        <v>28.989092581034701</v>
      </c>
      <c r="AA102" s="382">
        <v>32.169330585705197</v>
      </c>
      <c r="AB102" s="382">
        <v>35.349568590375704</v>
      </c>
      <c r="AC102" s="382">
        <v>38.407489748712699</v>
      </c>
      <c r="AD102" s="382">
        <v>39.752975058380997</v>
      </c>
      <c r="AE102" s="382">
        <v>41.098460368049203</v>
      </c>
      <c r="AF102" s="382">
        <v>43.4224804483854</v>
      </c>
      <c r="AG102" s="382">
        <v>46.847352145722702</v>
      </c>
      <c r="AH102" s="382">
        <v>51.617709152728402</v>
      </c>
      <c r="AI102" s="382">
        <v>56.999650391401602</v>
      </c>
      <c r="AJ102" s="382">
        <v>63.360126400742502</v>
      </c>
      <c r="AK102" s="382">
        <v>69.475968717416507</v>
      </c>
      <c r="AL102" s="382">
        <v>75.591811034090597</v>
      </c>
      <c r="AM102" s="382">
        <v>82.196920736098406</v>
      </c>
      <c r="AN102" s="382">
        <v>89.658248362440602</v>
      </c>
      <c r="AO102" s="382">
        <v>95.284823293780704</v>
      </c>
      <c r="AP102" s="382">
        <v>100.789081378787</v>
      </c>
      <c r="AQ102" s="382">
        <v>103.72468569079101</v>
      </c>
      <c r="AR102" s="382">
        <v>99.5659129154526</v>
      </c>
      <c r="AS102" s="382">
        <v>95.896407525448197</v>
      </c>
      <c r="AT102" s="382">
        <v>94.306288523112997</v>
      </c>
      <c r="AU102" s="382">
        <v>91.493001057442896</v>
      </c>
      <c r="AV102" s="382">
        <v>89.046664130773195</v>
      </c>
      <c r="AW102" s="382">
        <v>88.8020304381063</v>
      </c>
      <c r="AX102" s="382">
        <v>89.535931516107297</v>
      </c>
      <c r="AY102" s="382">
        <v>91.326875422392405</v>
      </c>
      <c r="AZ102" s="382">
        <v>93.185402117594094</v>
      </c>
      <c r="BA102" s="382">
        <v>97.195314259968498</v>
      </c>
      <c r="BB102" s="382">
        <v>97.758504167605395</v>
      </c>
      <c r="BC102" s="382">
        <v>100</v>
      </c>
      <c r="BD102" s="382">
        <v>105.305248929939</v>
      </c>
      <c r="BE102" s="382">
        <v>109.574228429827</v>
      </c>
      <c r="BF102" s="382">
        <v>114.327551250282</v>
      </c>
      <c r="BG102" s="382">
        <v>119.384996620861</v>
      </c>
      <c r="BH102" s="382">
        <v>122.955620635278</v>
      </c>
      <c r="BI102" s="382">
        <v>125.917999549448</v>
      </c>
      <c r="BJ102" s="382">
        <v>127.799053840955</v>
      </c>
      <c r="BK102" s="382">
        <v>130.87407073665199</v>
      </c>
      <c r="BL102" s="382">
        <v>134.64744311781899</v>
      </c>
      <c r="BM102" s="382">
        <v>134.98535706240199</v>
      </c>
      <c r="BN102" s="382">
        <v>137.10295111511601</v>
      </c>
      <c r="BO102" s="382">
        <v>139.68236089209299</v>
      </c>
      <c r="BP102" s="382">
        <v>142.610948411804</v>
      </c>
    </row>
    <row r="103" spans="1:68">
      <c r="A103" s="382" t="s">
        <v>2170</v>
      </c>
      <c r="B103" s="382" t="s">
        <v>2449</v>
      </c>
      <c r="C103" s="382" t="s">
        <v>2334</v>
      </c>
      <c r="D103" s="382" t="s">
        <v>2335</v>
      </c>
      <c r="E103" s="382">
        <v>1.56193028792508</v>
      </c>
      <c r="F103" s="382">
        <v>1.5863431392114</v>
      </c>
      <c r="G103" s="382">
        <v>1.60366838851641</v>
      </c>
      <c r="H103" s="382">
        <v>1.6530847245939</v>
      </c>
      <c r="I103" s="382">
        <v>1.7270123508761499</v>
      </c>
      <c r="J103" s="382">
        <v>1.78203970519646</v>
      </c>
      <c r="K103" s="382">
        <v>1.8138354752214101</v>
      </c>
      <c r="L103" s="382">
        <v>1.85177802912291</v>
      </c>
      <c r="M103" s="382">
        <v>1.88624377529622</v>
      </c>
      <c r="N103" s="382">
        <v>1.9099767671782599</v>
      </c>
      <c r="O103" s="382">
        <v>1.9650010286152899</v>
      </c>
      <c r="P103" s="382">
        <v>2.0086878735489302</v>
      </c>
      <c r="Q103" s="382">
        <v>2.0812473391801598</v>
      </c>
      <c r="R103" s="382">
        <v>2.18933070985852</v>
      </c>
      <c r="S103" s="382">
        <v>2.4706498047269001</v>
      </c>
      <c r="T103" s="382">
        <v>2.6775954473323398</v>
      </c>
      <c r="U103" s="382">
        <v>2.8083536510234701</v>
      </c>
      <c r="V103" s="382">
        <v>3.0452300732017998</v>
      </c>
      <c r="W103" s="382">
        <v>3.2202797840326101</v>
      </c>
      <c r="X103" s="382">
        <v>3.61107219656262</v>
      </c>
      <c r="Y103" s="382">
        <v>4.2632875553911997</v>
      </c>
      <c r="Z103" s="382">
        <v>4.6642792204380497</v>
      </c>
      <c r="AA103" s="382">
        <v>5.0832537781294498</v>
      </c>
      <c r="AB103" s="382">
        <v>5.5027651385611698</v>
      </c>
      <c r="AC103" s="382">
        <v>5.7628460779459001</v>
      </c>
      <c r="AD103" s="382">
        <v>5.9566318759027403</v>
      </c>
      <c r="AE103" s="382">
        <v>6.2159076111541696</v>
      </c>
      <c r="AF103" s="382">
        <v>6.3705068073236504</v>
      </c>
      <c r="AG103" s="382">
        <v>6.6566226807850697</v>
      </c>
      <c r="AH103" s="382">
        <v>7.3123272575826803</v>
      </c>
      <c r="AI103" s="382">
        <v>9.0177496402974295</v>
      </c>
      <c r="AJ103" s="382">
        <v>12.0812830171161</v>
      </c>
      <c r="AK103" s="382">
        <v>13.139589667264699</v>
      </c>
      <c r="AL103" s="382">
        <v>14.551917740579899</v>
      </c>
      <c r="AM103" s="382">
        <v>17.713954424678501</v>
      </c>
      <c r="AN103" s="382">
        <v>22.933287703600602</v>
      </c>
      <c r="AO103" s="382">
        <v>28.4000870569424</v>
      </c>
      <c r="AP103" s="382">
        <v>34.136866800889699</v>
      </c>
      <c r="AQ103" s="382">
        <v>38.8027305372269</v>
      </c>
      <c r="AR103" s="382">
        <v>43.328580519918802</v>
      </c>
      <c r="AS103" s="382">
        <v>48.115537232381399</v>
      </c>
      <c r="AT103" s="382">
        <v>52.770309156935497</v>
      </c>
      <c r="AU103" s="382">
        <v>56.828614912104499</v>
      </c>
      <c r="AV103" s="382">
        <v>61.189737379853199</v>
      </c>
      <c r="AW103" s="382">
        <v>66.154544766517802</v>
      </c>
      <c r="AX103" s="382">
        <v>71.982138802694294</v>
      </c>
      <c r="AY103" s="382">
        <v>75.997124044501604</v>
      </c>
      <c r="AZ103" s="382">
        <v>81.268447740861205</v>
      </c>
      <c r="BA103" s="382">
        <v>90.535835919170495</v>
      </c>
      <c r="BB103" s="382">
        <v>95.511995761749802</v>
      </c>
      <c r="BC103" s="382">
        <v>100</v>
      </c>
      <c r="BD103" s="382">
        <v>106.76227957314801</v>
      </c>
      <c r="BE103" s="382">
        <v>112.30984636343</v>
      </c>
      <c r="BF103" s="382">
        <v>118.10716718383399</v>
      </c>
      <c r="BG103" s="382">
        <v>125.34624990539599</v>
      </c>
      <c r="BH103" s="382">
        <v>129.30447286763001</v>
      </c>
      <c r="BI103" s="382">
        <v>132.82751835313701</v>
      </c>
      <c r="BJ103" s="382">
        <v>138.05343222583801</v>
      </c>
      <c r="BK103" s="382">
        <v>144.05509725270599</v>
      </c>
      <c r="BL103" s="382">
        <v>150.34435782941</v>
      </c>
      <c r="BM103" s="382">
        <v>155.55891924619701</v>
      </c>
      <c r="BN103" s="382">
        <v>162.52932717777901</v>
      </c>
      <c r="BO103" s="382">
        <v>177.302656474684</v>
      </c>
      <c r="BP103" s="382">
        <v>189.11677892984201</v>
      </c>
    </row>
    <row r="104" spans="1:68">
      <c r="A104" s="382" t="s">
        <v>2450</v>
      </c>
      <c r="B104" s="382" t="s">
        <v>1891</v>
      </c>
      <c r="C104" s="382" t="s">
        <v>2334</v>
      </c>
      <c r="D104" s="382" t="s">
        <v>2335</v>
      </c>
      <c r="E104" s="382"/>
      <c r="F104" s="382"/>
      <c r="G104" s="382"/>
      <c r="H104" s="382"/>
      <c r="I104" s="382"/>
      <c r="J104" s="382"/>
      <c r="K104" s="382"/>
      <c r="L104" s="382"/>
      <c r="M104" s="382"/>
      <c r="N104" s="382"/>
      <c r="O104" s="382"/>
      <c r="P104" s="382"/>
      <c r="Q104" s="382"/>
      <c r="R104" s="382"/>
      <c r="S104" s="382"/>
      <c r="T104" s="382"/>
      <c r="U104" s="382"/>
      <c r="V104" s="382"/>
      <c r="W104" s="382"/>
      <c r="X104" s="382"/>
      <c r="Y104" s="382"/>
      <c r="Z104" s="382"/>
      <c r="AA104" s="382"/>
      <c r="AB104" s="382"/>
      <c r="AC104" s="382"/>
      <c r="AD104" s="382"/>
      <c r="AE104" s="382"/>
      <c r="AF104" s="382"/>
      <c r="AG104" s="382"/>
      <c r="AH104" s="382"/>
      <c r="AI104" s="382"/>
      <c r="AJ104" s="382"/>
      <c r="AK104" s="382"/>
      <c r="AL104" s="382"/>
      <c r="AM104" s="382"/>
      <c r="AN104" s="382"/>
      <c r="AO104" s="382"/>
      <c r="AP104" s="382"/>
      <c r="AQ104" s="382"/>
      <c r="AR104" s="382"/>
      <c r="AS104" s="382"/>
      <c r="AT104" s="382"/>
      <c r="AU104" s="382"/>
      <c r="AV104" s="382"/>
      <c r="AW104" s="382"/>
      <c r="AX104" s="382"/>
      <c r="AY104" s="382"/>
      <c r="AZ104" s="382"/>
      <c r="BA104" s="382"/>
      <c r="BB104" s="382"/>
      <c r="BC104" s="382"/>
      <c r="BD104" s="382"/>
      <c r="BE104" s="382"/>
      <c r="BF104" s="382"/>
      <c r="BG104" s="382"/>
      <c r="BH104" s="382"/>
      <c r="BI104" s="382"/>
      <c r="BJ104" s="382"/>
      <c r="BK104" s="382"/>
      <c r="BL104" s="382"/>
      <c r="BM104" s="382"/>
      <c r="BN104" s="382"/>
      <c r="BO104" s="382"/>
      <c r="BP104" s="382"/>
    </row>
    <row r="105" spans="1:68">
      <c r="A105" s="382" t="s">
        <v>1682</v>
      </c>
      <c r="B105" s="382" t="s">
        <v>2451</v>
      </c>
      <c r="C105" s="382" t="s">
        <v>2334</v>
      </c>
      <c r="D105" s="382" t="s">
        <v>2335</v>
      </c>
      <c r="E105" s="382"/>
      <c r="F105" s="382"/>
      <c r="G105" s="382"/>
      <c r="H105" s="382"/>
      <c r="I105" s="382"/>
      <c r="J105" s="382"/>
      <c r="K105" s="382"/>
      <c r="L105" s="382"/>
      <c r="M105" s="382"/>
      <c r="N105" s="382"/>
      <c r="O105" s="382"/>
      <c r="P105" s="382"/>
      <c r="Q105" s="382"/>
      <c r="R105" s="382"/>
      <c r="S105" s="382"/>
      <c r="T105" s="382"/>
      <c r="U105" s="382"/>
      <c r="V105" s="382"/>
      <c r="W105" s="382"/>
      <c r="X105" s="382"/>
      <c r="Y105" s="382"/>
      <c r="Z105" s="382"/>
      <c r="AA105" s="382"/>
      <c r="AB105" s="382"/>
      <c r="AC105" s="382"/>
      <c r="AD105" s="382">
        <v>1.2053999999999999E-4</v>
      </c>
      <c r="AE105" s="382">
        <v>1.8081E-4</v>
      </c>
      <c r="AF105" s="382">
        <v>4.2188987417609598E-4</v>
      </c>
      <c r="AG105" s="382">
        <v>1.2053996405031299E-3</v>
      </c>
      <c r="AH105" s="382">
        <v>1.8080994607546998E-2</v>
      </c>
      <c r="AI105" s="382">
        <v>0.108485967645282</v>
      </c>
      <c r="AJ105" s="382">
        <v>0.24107992810062601</v>
      </c>
      <c r="AK105" s="382">
        <v>1.7478294787295401</v>
      </c>
      <c r="AL105" s="382">
        <v>27.965271659672698</v>
      </c>
      <c r="AM105" s="382">
        <v>57.979722708200498</v>
      </c>
      <c r="AN105" s="382">
        <v>60.269982025156501</v>
      </c>
      <c r="AO105" s="382">
        <v>62.861591252238199</v>
      </c>
      <c r="AP105" s="382">
        <v>65.483335470332506</v>
      </c>
      <c r="AQ105" s="382">
        <v>69.672099221080899</v>
      </c>
      <c r="AR105" s="382">
        <v>72.472317562980805</v>
      </c>
      <c r="AS105" s="382">
        <v>75.814244810307699</v>
      </c>
      <c r="AT105" s="382">
        <v>78.677523264137406</v>
      </c>
      <c r="AU105" s="382">
        <v>79.992841803865403</v>
      </c>
      <c r="AV105" s="382">
        <v>81.4065855404438</v>
      </c>
      <c r="AW105" s="382">
        <v>83.079813886900396</v>
      </c>
      <c r="AX105" s="382">
        <v>85.835719398711504</v>
      </c>
      <c r="AY105" s="382">
        <v>88.573729420186098</v>
      </c>
      <c r="AZ105" s="382">
        <v>91.141732283464506</v>
      </c>
      <c r="BA105" s="382">
        <v>96.680386542591293</v>
      </c>
      <c r="BB105" s="382">
        <v>98.979957050823202</v>
      </c>
      <c r="BC105" s="382">
        <v>100</v>
      </c>
      <c r="BD105" s="382">
        <v>102.272727272727</v>
      </c>
      <c r="BE105" s="382">
        <v>105.762347888332</v>
      </c>
      <c r="BF105" s="382">
        <v>108.106657122405</v>
      </c>
      <c r="BG105" s="382">
        <v>107.874015748031</v>
      </c>
      <c r="BH105" s="382">
        <v>107.372942018611</v>
      </c>
      <c r="BI105" s="382">
        <v>106.164996420902</v>
      </c>
      <c r="BJ105" s="382">
        <v>107.363994273443</v>
      </c>
      <c r="BK105" s="382">
        <v>108.974588403722</v>
      </c>
      <c r="BL105" s="382">
        <v>109.815676449535</v>
      </c>
      <c r="BM105" s="382">
        <v>109.985683607731</v>
      </c>
      <c r="BN105" s="382">
        <v>112.795275590551</v>
      </c>
      <c r="BO105" s="382">
        <v>124.955261274159</v>
      </c>
      <c r="BP105" s="382">
        <v>134.87831066571201</v>
      </c>
    </row>
    <row r="106" spans="1:68">
      <c r="A106" s="382" t="s">
        <v>2178</v>
      </c>
      <c r="B106" s="382" t="s">
        <v>2452</v>
      </c>
      <c r="C106" s="382" t="s">
        <v>2334</v>
      </c>
      <c r="D106" s="382" t="s">
        <v>2335</v>
      </c>
      <c r="E106" s="382">
        <v>0.85297117000647205</v>
      </c>
      <c r="F106" s="382">
        <v>0.88521097576799701</v>
      </c>
      <c r="G106" s="382">
        <v>0.88029890235462804</v>
      </c>
      <c r="H106" s="382">
        <v>0.91821180698462501</v>
      </c>
      <c r="I106" s="382">
        <v>1.00233971214801</v>
      </c>
      <c r="J106" s="382">
        <v>1.02503210761638</v>
      </c>
      <c r="K106" s="382">
        <v>1.1101285906345499</v>
      </c>
      <c r="L106" s="382">
        <v>1.0775428642103599</v>
      </c>
      <c r="M106" s="382">
        <v>1.0917256113825899</v>
      </c>
      <c r="N106" s="382">
        <v>1.10715367293697</v>
      </c>
      <c r="O106" s="382">
        <v>1.12230499796053</v>
      </c>
      <c r="P106" s="382">
        <v>1.22981713992109</v>
      </c>
      <c r="Q106" s="382">
        <v>1.2690445430650801</v>
      </c>
      <c r="R106" s="382">
        <v>1.5576115598642699</v>
      </c>
      <c r="S106" s="382">
        <v>1.7904853499743001</v>
      </c>
      <c r="T106" s="382">
        <v>2.0908136693035702</v>
      </c>
      <c r="U106" s="382">
        <v>2.2379683192033402</v>
      </c>
      <c r="V106" s="382">
        <v>2.38325499752328</v>
      </c>
      <c r="W106" s="382">
        <v>2.3195364114608901</v>
      </c>
      <c r="X106" s="382">
        <v>2.62325475328432</v>
      </c>
      <c r="Y106" s="382">
        <v>3.0896249906944302</v>
      </c>
      <c r="Z106" s="382">
        <v>3.4251067709236902</v>
      </c>
      <c r="AA106" s="382">
        <v>3.6771686764093801</v>
      </c>
      <c r="AB106" s="382">
        <v>4.0538454565300102</v>
      </c>
      <c r="AC106" s="382">
        <v>4.3133739557406097</v>
      </c>
      <c r="AD106" s="382">
        <v>4.7726982043546098</v>
      </c>
      <c r="AE106" s="382">
        <v>4.92923920390374</v>
      </c>
      <c r="AF106" s="382">
        <v>4.3648677056035501</v>
      </c>
      <c r="AG106" s="382">
        <v>4.5440659550638198</v>
      </c>
      <c r="AH106" s="382">
        <v>4.8586927666162003</v>
      </c>
      <c r="AI106" s="382">
        <v>5.8924297947527204</v>
      </c>
      <c r="AJ106" s="382">
        <v>6.8010370107661098</v>
      </c>
      <c r="AK106" s="382">
        <v>8.1176153969201206</v>
      </c>
      <c r="AL106" s="382">
        <v>10.529031913737899</v>
      </c>
      <c r="AM106" s="382">
        <v>14.6702706870075</v>
      </c>
      <c r="AN106" s="382">
        <v>18.720466183621699</v>
      </c>
      <c r="AO106" s="382">
        <v>22.573811352332601</v>
      </c>
      <c r="AP106" s="382">
        <v>27.214762885082301</v>
      </c>
      <c r="AQ106" s="382">
        <v>28.648718394688501</v>
      </c>
      <c r="AR106" s="382">
        <v>29.5094388329555</v>
      </c>
      <c r="AS106" s="382">
        <v>32.263620263005699</v>
      </c>
      <c r="AT106" s="382">
        <v>36.560076958808303</v>
      </c>
      <c r="AU106" s="382">
        <v>39.131301128381601</v>
      </c>
      <c r="AV106" s="382">
        <v>50.3618193354665</v>
      </c>
      <c r="AW106" s="382">
        <v>60.953833541081302</v>
      </c>
      <c r="AX106" s="382">
        <v>69.470917777026798</v>
      </c>
      <c r="AY106" s="382">
        <v>77.352542917217306</v>
      </c>
      <c r="AZ106" s="382">
        <v>82.424725308445502</v>
      </c>
      <c r="BA106" s="382">
        <v>95.020685947801098</v>
      </c>
      <c r="BB106" s="382">
        <v>95.394959165026407</v>
      </c>
      <c r="BC106" s="382">
        <v>100</v>
      </c>
      <c r="BD106" s="382">
        <v>106.33279483849</v>
      </c>
      <c r="BE106" s="382">
        <v>111.66861866932599</v>
      </c>
      <c r="BF106" s="382">
        <v>116.989655202756</v>
      </c>
      <c r="BG106" s="382">
        <v>121.011954452908</v>
      </c>
      <c r="BH106" s="382">
        <v>129.158286450508</v>
      </c>
      <c r="BI106" s="382">
        <v>144.015244532932</v>
      </c>
      <c r="BJ106" s="382">
        <v>159.39620042550601</v>
      </c>
      <c r="BK106" s="382">
        <v>179.291095505561</v>
      </c>
      <c r="BL106" s="382">
        <v>212.82531217136199</v>
      </c>
      <c r="BM106" s="382">
        <v>261.34163299588897</v>
      </c>
      <c r="BN106" s="382">
        <v>305.35554689083398</v>
      </c>
      <c r="BO106" s="382">
        <v>409.12736814281902</v>
      </c>
      <c r="BP106" s="382">
        <v>559.74153841217799</v>
      </c>
    </row>
    <row r="107" spans="1:68">
      <c r="A107" s="382" t="s">
        <v>1161</v>
      </c>
      <c r="B107" s="382" t="s">
        <v>2453</v>
      </c>
      <c r="C107" s="382" t="s">
        <v>2334</v>
      </c>
      <c r="D107" s="382" t="s">
        <v>2335</v>
      </c>
      <c r="E107" s="382"/>
      <c r="F107" s="382"/>
      <c r="G107" s="382"/>
      <c r="H107" s="382"/>
      <c r="I107" s="382"/>
      <c r="J107" s="382"/>
      <c r="K107" s="382"/>
      <c r="L107" s="382"/>
      <c r="M107" s="382"/>
      <c r="N107" s="382"/>
      <c r="O107" s="382"/>
      <c r="P107" s="382"/>
      <c r="Q107" s="382">
        <v>2.2356448584762001</v>
      </c>
      <c r="R107" s="382">
        <v>2.3113880176089201</v>
      </c>
      <c r="S107" s="382">
        <v>2.3529245887291101</v>
      </c>
      <c r="T107" s="382">
        <v>2.4433277141765801</v>
      </c>
      <c r="U107" s="382">
        <v>2.57107461965643</v>
      </c>
      <c r="V107" s="382">
        <v>2.6715752447960801</v>
      </c>
      <c r="W107" s="382">
        <v>2.7967957901540901</v>
      </c>
      <c r="X107" s="382">
        <v>3.0478477127819499</v>
      </c>
      <c r="Y107" s="382">
        <v>3.3308665063551999</v>
      </c>
      <c r="Z107" s="382">
        <v>3.4861319821367198</v>
      </c>
      <c r="AA107" s="382">
        <v>3.7244371693576102</v>
      </c>
      <c r="AB107" s="382">
        <v>3.9955723119202999</v>
      </c>
      <c r="AC107" s="382">
        <v>4.3339115767777399</v>
      </c>
      <c r="AD107" s="382">
        <v>4.6347866712469896</v>
      </c>
      <c r="AE107" s="382">
        <v>4.8800439024390201</v>
      </c>
      <c r="AF107" s="382">
        <v>5.3033542425283402</v>
      </c>
      <c r="AG107" s="382">
        <v>6.1372297492270702</v>
      </c>
      <c r="AH107" s="382">
        <v>7.1897126073514199</v>
      </c>
      <c r="AI107" s="382">
        <v>9.2294052902782493</v>
      </c>
      <c r="AJ107" s="382">
        <v>12.442857437306801</v>
      </c>
      <c r="AK107" s="382">
        <v>15.386305049811</v>
      </c>
      <c r="AL107" s="382">
        <v>18.842720714531101</v>
      </c>
      <c r="AM107" s="382">
        <v>22.397979388526299</v>
      </c>
      <c r="AN107" s="382">
        <v>28.737832360013702</v>
      </c>
      <c r="AO107" s="382">
        <v>35.482322913088296</v>
      </c>
      <c r="AP107" s="382">
        <v>41.977388526279597</v>
      </c>
      <c r="AQ107" s="382">
        <v>47.918779800755701</v>
      </c>
      <c r="AR107" s="382">
        <v>52.709576777739599</v>
      </c>
      <c r="AS107" s="382">
        <v>57.8770182068018</v>
      </c>
      <c r="AT107" s="382">
        <v>63.153555479216699</v>
      </c>
      <c r="AU107" s="382">
        <v>66.478873239436595</v>
      </c>
      <c r="AV107" s="382">
        <v>69.577464788732399</v>
      </c>
      <c r="AW107" s="382">
        <v>74.270010305736804</v>
      </c>
      <c r="AX107" s="382">
        <v>76.915149433184396</v>
      </c>
      <c r="AY107" s="382">
        <v>79.938165578838806</v>
      </c>
      <c r="AZ107" s="382">
        <v>86.300240467193404</v>
      </c>
      <c r="BA107" s="382">
        <v>91.514943318447195</v>
      </c>
      <c r="BB107" s="382">
        <v>95.369288904156605</v>
      </c>
      <c r="BC107" s="382">
        <v>100</v>
      </c>
      <c r="BD107" s="382">
        <v>103.929920989351</v>
      </c>
      <c r="BE107" s="382">
        <v>109.804190999656</v>
      </c>
      <c r="BF107" s="382">
        <v>111.707317073171</v>
      </c>
      <c r="BG107" s="382">
        <v>111.453108897286</v>
      </c>
      <c r="BH107" s="382">
        <v>111.384403984885</v>
      </c>
      <c r="BI107" s="382">
        <v>111.82411542425299</v>
      </c>
      <c r="BJ107" s="382">
        <v>114.450017176228</v>
      </c>
      <c r="BK107" s="382">
        <v>117.712126417039</v>
      </c>
      <c r="BL107" s="382">
        <v>121.642047406389</v>
      </c>
      <c r="BM107" s="382">
        <v>125.688766746822</v>
      </c>
      <c r="BN107" s="382">
        <v>132.11267605633799</v>
      </c>
      <c r="BO107" s="382">
        <v>151.41188594984499</v>
      </c>
      <c r="BP107" s="382">
        <v>177.34111989007201</v>
      </c>
    </row>
    <row r="108" spans="1:68">
      <c r="A108" s="382" t="s">
        <v>2454</v>
      </c>
      <c r="B108" s="382" t="s">
        <v>2455</v>
      </c>
      <c r="C108" s="382" t="s">
        <v>2334</v>
      </c>
      <c r="D108" s="382" t="s">
        <v>2335</v>
      </c>
      <c r="E108" s="382"/>
      <c r="F108" s="382"/>
      <c r="G108" s="382"/>
      <c r="H108" s="382"/>
      <c r="I108" s="382"/>
      <c r="J108" s="382"/>
      <c r="K108" s="382"/>
      <c r="L108" s="382"/>
      <c r="M108" s="382"/>
      <c r="N108" s="382"/>
      <c r="O108" s="382"/>
      <c r="P108" s="382"/>
      <c r="Q108" s="382"/>
      <c r="R108" s="382"/>
      <c r="S108" s="382"/>
      <c r="T108" s="382"/>
      <c r="U108" s="382"/>
      <c r="V108" s="382"/>
      <c r="W108" s="382"/>
      <c r="X108" s="382"/>
      <c r="Y108" s="382"/>
      <c r="Z108" s="382"/>
      <c r="AA108" s="382"/>
      <c r="AB108" s="382"/>
      <c r="AC108" s="382"/>
      <c r="AD108" s="382"/>
      <c r="AE108" s="382"/>
      <c r="AF108" s="382"/>
      <c r="AG108" s="382"/>
      <c r="AH108" s="382"/>
      <c r="AI108" s="382"/>
      <c r="AJ108" s="382"/>
      <c r="AK108" s="382"/>
      <c r="AL108" s="382"/>
      <c r="AM108" s="382"/>
      <c r="AN108" s="382"/>
      <c r="AO108" s="382"/>
      <c r="AP108" s="382"/>
      <c r="AQ108" s="382"/>
      <c r="AR108" s="382"/>
      <c r="AS108" s="382"/>
      <c r="AT108" s="382"/>
      <c r="AU108" s="382"/>
      <c r="AV108" s="382"/>
      <c r="AW108" s="382"/>
      <c r="AX108" s="382"/>
      <c r="AY108" s="382"/>
      <c r="AZ108" s="382"/>
      <c r="BA108" s="382"/>
      <c r="BB108" s="382"/>
      <c r="BC108" s="382"/>
      <c r="BD108" s="382"/>
      <c r="BE108" s="382"/>
      <c r="BF108" s="382"/>
      <c r="BG108" s="382"/>
      <c r="BH108" s="382"/>
      <c r="BI108" s="382"/>
      <c r="BJ108" s="382"/>
      <c r="BK108" s="382"/>
      <c r="BL108" s="382"/>
      <c r="BM108" s="382"/>
      <c r="BN108" s="382"/>
      <c r="BO108" s="382"/>
      <c r="BP108" s="382"/>
    </row>
    <row r="109" spans="1:68">
      <c r="A109" s="382" t="s">
        <v>2456</v>
      </c>
      <c r="B109" s="382" t="s">
        <v>2457</v>
      </c>
      <c r="C109" s="382" t="s">
        <v>2334</v>
      </c>
      <c r="D109" s="382" t="s">
        <v>2335</v>
      </c>
      <c r="E109" s="382"/>
      <c r="F109" s="382"/>
      <c r="G109" s="382"/>
      <c r="H109" s="382"/>
      <c r="I109" s="382"/>
      <c r="J109" s="382"/>
      <c r="K109" s="382"/>
      <c r="L109" s="382"/>
      <c r="M109" s="382"/>
      <c r="N109" s="382"/>
      <c r="O109" s="382"/>
      <c r="P109" s="382"/>
      <c r="Q109" s="382"/>
      <c r="R109" s="382"/>
      <c r="S109" s="382"/>
      <c r="T109" s="382"/>
      <c r="U109" s="382"/>
      <c r="V109" s="382"/>
      <c r="W109" s="382"/>
      <c r="X109" s="382"/>
      <c r="Y109" s="382"/>
      <c r="Z109" s="382"/>
      <c r="AA109" s="382"/>
      <c r="AB109" s="382"/>
      <c r="AC109" s="382"/>
      <c r="AD109" s="382"/>
      <c r="AE109" s="382"/>
      <c r="AF109" s="382"/>
      <c r="AG109" s="382"/>
      <c r="AH109" s="382"/>
      <c r="AI109" s="382"/>
      <c r="AJ109" s="382"/>
      <c r="AK109" s="382"/>
      <c r="AL109" s="382"/>
      <c r="AM109" s="382"/>
      <c r="AN109" s="382"/>
      <c r="AO109" s="382"/>
      <c r="AP109" s="382"/>
      <c r="AQ109" s="382"/>
      <c r="AR109" s="382"/>
      <c r="AS109" s="382"/>
      <c r="AT109" s="382"/>
      <c r="AU109" s="382"/>
      <c r="AV109" s="382"/>
      <c r="AW109" s="382"/>
      <c r="AX109" s="382"/>
      <c r="AY109" s="382"/>
      <c r="AZ109" s="382"/>
      <c r="BA109" s="382"/>
      <c r="BB109" s="382"/>
      <c r="BC109" s="382"/>
      <c r="BD109" s="382"/>
      <c r="BE109" s="382"/>
      <c r="BF109" s="382"/>
      <c r="BG109" s="382"/>
      <c r="BH109" s="382"/>
      <c r="BI109" s="382"/>
      <c r="BJ109" s="382"/>
      <c r="BK109" s="382"/>
      <c r="BL109" s="382"/>
      <c r="BM109" s="382"/>
      <c r="BN109" s="382"/>
      <c r="BO109" s="382"/>
      <c r="BP109" s="382"/>
    </row>
    <row r="110" spans="1:68">
      <c r="A110" s="382" t="s">
        <v>2458</v>
      </c>
      <c r="B110" s="382" t="s">
        <v>2459</v>
      </c>
      <c r="C110" s="382" t="s">
        <v>2334</v>
      </c>
      <c r="D110" s="382" t="s">
        <v>2335</v>
      </c>
      <c r="E110" s="382"/>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c r="AK110" s="382"/>
      <c r="AL110" s="382"/>
      <c r="AM110" s="382"/>
      <c r="AN110" s="382"/>
      <c r="AO110" s="382"/>
      <c r="AP110" s="382"/>
      <c r="AQ110" s="382"/>
      <c r="AR110" s="382"/>
      <c r="AS110" s="382"/>
      <c r="AT110" s="382"/>
      <c r="AU110" s="382"/>
      <c r="AV110" s="382"/>
      <c r="AW110" s="382"/>
      <c r="AX110" s="382"/>
      <c r="AY110" s="382"/>
      <c r="AZ110" s="382"/>
      <c r="BA110" s="382"/>
      <c r="BB110" s="382"/>
      <c r="BC110" s="382"/>
      <c r="BD110" s="382"/>
      <c r="BE110" s="382"/>
      <c r="BF110" s="382"/>
      <c r="BG110" s="382"/>
      <c r="BH110" s="382"/>
      <c r="BI110" s="382"/>
      <c r="BJ110" s="382"/>
      <c r="BK110" s="382"/>
      <c r="BL110" s="382"/>
      <c r="BM110" s="382"/>
      <c r="BN110" s="382"/>
      <c r="BO110" s="382"/>
      <c r="BP110" s="382"/>
    </row>
    <row r="111" spans="1:68">
      <c r="A111" s="382" t="s">
        <v>2460</v>
      </c>
      <c r="B111" s="382" t="s">
        <v>2461</v>
      </c>
      <c r="C111" s="382" t="s">
        <v>2334</v>
      </c>
      <c r="D111" s="382" t="s">
        <v>2335</v>
      </c>
      <c r="E111" s="382"/>
      <c r="F111" s="382"/>
      <c r="G111" s="382"/>
      <c r="H111" s="382"/>
      <c r="I111" s="382"/>
      <c r="J111" s="382"/>
      <c r="K111" s="382"/>
      <c r="L111" s="382"/>
      <c r="M111" s="382"/>
      <c r="N111" s="382"/>
      <c r="O111" s="382"/>
      <c r="P111" s="382"/>
      <c r="Q111" s="382"/>
      <c r="R111" s="382"/>
      <c r="S111" s="382"/>
      <c r="T111" s="382"/>
      <c r="U111" s="382"/>
      <c r="V111" s="382"/>
      <c r="W111" s="382"/>
      <c r="X111" s="382"/>
      <c r="Y111" s="382"/>
      <c r="Z111" s="382"/>
      <c r="AA111" s="382"/>
      <c r="AB111" s="382"/>
      <c r="AC111" s="382"/>
      <c r="AD111" s="382"/>
      <c r="AE111" s="382"/>
      <c r="AF111" s="382"/>
      <c r="AG111" s="382"/>
      <c r="AH111" s="382"/>
      <c r="AI111" s="382"/>
      <c r="AJ111" s="382"/>
      <c r="AK111" s="382"/>
      <c r="AL111" s="382"/>
      <c r="AM111" s="382"/>
      <c r="AN111" s="382"/>
      <c r="AO111" s="382"/>
      <c r="AP111" s="382"/>
      <c r="AQ111" s="382"/>
      <c r="AR111" s="382"/>
      <c r="AS111" s="382"/>
      <c r="AT111" s="382"/>
      <c r="AU111" s="382"/>
      <c r="AV111" s="382"/>
      <c r="AW111" s="382"/>
      <c r="AX111" s="382"/>
      <c r="AY111" s="382"/>
      <c r="AZ111" s="382"/>
      <c r="BA111" s="382"/>
      <c r="BB111" s="382"/>
      <c r="BC111" s="382"/>
      <c r="BD111" s="382"/>
      <c r="BE111" s="382"/>
      <c r="BF111" s="382"/>
      <c r="BG111" s="382"/>
      <c r="BH111" s="382"/>
      <c r="BI111" s="382"/>
      <c r="BJ111" s="382"/>
      <c r="BK111" s="382"/>
      <c r="BL111" s="382"/>
      <c r="BM111" s="382"/>
      <c r="BN111" s="382"/>
      <c r="BO111" s="382"/>
      <c r="BP111" s="382"/>
    </row>
    <row r="112" spans="1:68">
      <c r="A112" s="382" t="s">
        <v>1094</v>
      </c>
      <c r="B112" s="382" t="s">
        <v>220</v>
      </c>
      <c r="C112" s="382" t="s">
        <v>2334</v>
      </c>
      <c r="D112" s="382" t="s">
        <v>2335</v>
      </c>
      <c r="E112" s="382">
        <v>2.77683799891138E-4</v>
      </c>
      <c r="F112" s="382">
        <v>3.1570407567085401E-4</v>
      </c>
      <c r="G112" s="382">
        <v>7.3053244176739501E-4</v>
      </c>
      <c r="H112" s="382">
        <v>1.79645803059157E-3</v>
      </c>
      <c r="I112" s="382">
        <v>3.7545022332469299E-3</v>
      </c>
      <c r="J112" s="382">
        <v>1.52719300605166E-2</v>
      </c>
      <c r="K112" s="382">
        <v>0.18879986338662</v>
      </c>
      <c r="L112" s="382">
        <v>0.38892771857643599</v>
      </c>
      <c r="M112" s="382">
        <v>0.89003402264842202</v>
      </c>
      <c r="N112" s="382">
        <v>1.02781013422518</v>
      </c>
      <c r="O112" s="382">
        <v>1.1552530884750301</v>
      </c>
      <c r="P112" s="382">
        <v>1.20416360391907</v>
      </c>
      <c r="Q112" s="382">
        <v>1.2826961342788501</v>
      </c>
      <c r="R112" s="382">
        <v>1.68086914535085</v>
      </c>
      <c r="S112" s="382">
        <v>2.3614831572312398</v>
      </c>
      <c r="T112" s="382">
        <v>2.8140778670061799</v>
      </c>
      <c r="U112" s="382">
        <v>3.3720716219811702</v>
      </c>
      <c r="V112" s="382">
        <v>3.74475600558161</v>
      </c>
      <c r="W112" s="382">
        <v>4.0485524295253397</v>
      </c>
      <c r="X112" s="382">
        <v>4.7057444618792701</v>
      </c>
      <c r="Y112" s="382">
        <v>5.5544457178890703</v>
      </c>
      <c r="Z112" s="382">
        <v>6.2357489481157504</v>
      </c>
      <c r="AA112" s="382">
        <v>6.82474187294335</v>
      </c>
      <c r="AB112" s="382">
        <v>7.63004370521403</v>
      </c>
      <c r="AC112" s="382">
        <v>8.4277674316187703</v>
      </c>
      <c r="AD112" s="382">
        <v>8.82594035113679</v>
      </c>
      <c r="AE112" s="382">
        <v>9.3398454640263697</v>
      </c>
      <c r="AF112" s="382">
        <v>10.206457607857701</v>
      </c>
      <c r="AG112" s="382">
        <v>11.0276045955446</v>
      </c>
      <c r="AH112" s="382">
        <v>11.7350849391573</v>
      </c>
      <c r="AI112" s="382">
        <v>12.652673697053901</v>
      </c>
      <c r="AJ112" s="382">
        <v>13.844436406208599</v>
      </c>
      <c r="AK112" s="382">
        <v>14.886024956350999</v>
      </c>
      <c r="AL112" s="382">
        <v>16.325785418917501</v>
      </c>
      <c r="AM112" s="382">
        <v>17.718702288647101</v>
      </c>
      <c r="AN112" s="382">
        <v>19.387861313997501</v>
      </c>
      <c r="AO112" s="382">
        <v>20.933709948556501</v>
      </c>
      <c r="AP112" s="382">
        <v>22.237072379178301</v>
      </c>
      <c r="AQ112" s="382">
        <v>35.234873444890503</v>
      </c>
      <c r="AR112" s="382">
        <v>42.450211321687597</v>
      </c>
      <c r="AS112" s="382">
        <v>44.016037949782998</v>
      </c>
      <c r="AT112" s="382">
        <v>49.0779328792702</v>
      </c>
      <c r="AU112" s="382">
        <v>54.918264591051297</v>
      </c>
      <c r="AV112" s="382">
        <v>58.629265926704797</v>
      </c>
      <c r="AW112" s="382">
        <v>62.184579722791597</v>
      </c>
      <c r="AX112" s="382">
        <v>68.684857227476598</v>
      </c>
      <c r="AY112" s="382">
        <v>77.688529942769705</v>
      </c>
      <c r="AZ112" s="382">
        <v>82.665694412249195</v>
      </c>
      <c r="BA112" s="382">
        <v>91.119637675498296</v>
      </c>
      <c r="BB112" s="382">
        <v>95.116523631734296</v>
      </c>
      <c r="BC112" s="382">
        <v>100</v>
      </c>
      <c r="BD112" s="382">
        <v>105.356047789822</v>
      </c>
      <c r="BE112" s="382">
        <v>109.864759851215</v>
      </c>
      <c r="BF112" s="382">
        <v>116.909852190406</v>
      </c>
      <c r="BG112" s="382">
        <v>124.38615003281799</v>
      </c>
      <c r="BH112" s="382">
        <v>132.30099142978801</v>
      </c>
      <c r="BI112" s="382">
        <v>136.96566660822199</v>
      </c>
      <c r="BJ112" s="382">
        <v>142.18241227391701</v>
      </c>
      <c r="BK112" s="382">
        <v>146.72989836052699</v>
      </c>
      <c r="BL112" s="382">
        <v>151.17667507135201</v>
      </c>
      <c r="BM112" s="382">
        <v>154.08073063150599</v>
      </c>
      <c r="BN112" s="382">
        <v>156.48459018832699</v>
      </c>
      <c r="BO112" s="382">
        <v>163.07175241812101</v>
      </c>
      <c r="BP112" s="382">
        <v>169.056700046911</v>
      </c>
    </row>
    <row r="113" spans="1:68">
      <c r="A113" s="382" t="s">
        <v>2462</v>
      </c>
      <c r="B113" s="382" t="s">
        <v>2463</v>
      </c>
      <c r="C113" s="382" t="s">
        <v>2334</v>
      </c>
      <c r="D113" s="382" t="s">
        <v>2335</v>
      </c>
      <c r="E113" s="382"/>
      <c r="F113" s="382"/>
      <c r="G113" s="382"/>
      <c r="H113" s="382"/>
      <c r="I113" s="382"/>
      <c r="J113" s="382"/>
      <c r="K113" s="382"/>
      <c r="L113" s="382"/>
      <c r="M113" s="382"/>
      <c r="N113" s="382"/>
      <c r="O113" s="382"/>
      <c r="P113" s="382"/>
      <c r="Q113" s="382"/>
      <c r="R113" s="382"/>
      <c r="S113" s="382"/>
      <c r="T113" s="382"/>
      <c r="U113" s="382"/>
      <c r="V113" s="382"/>
      <c r="W113" s="382"/>
      <c r="X113" s="382"/>
      <c r="Y113" s="382"/>
      <c r="Z113" s="382"/>
      <c r="AA113" s="382"/>
      <c r="AB113" s="382"/>
      <c r="AC113" s="382"/>
      <c r="AD113" s="382"/>
      <c r="AE113" s="382"/>
      <c r="AF113" s="382"/>
      <c r="AG113" s="382"/>
      <c r="AH113" s="382"/>
      <c r="AI113" s="382"/>
      <c r="AJ113" s="382"/>
      <c r="AK113" s="382"/>
      <c r="AL113" s="382"/>
      <c r="AM113" s="382"/>
      <c r="AN113" s="382"/>
      <c r="AO113" s="382"/>
      <c r="AP113" s="382"/>
      <c r="AQ113" s="382"/>
      <c r="AR113" s="382"/>
      <c r="AS113" s="382"/>
      <c r="AT113" s="382"/>
      <c r="AU113" s="382"/>
      <c r="AV113" s="382"/>
      <c r="AW113" s="382"/>
      <c r="AX113" s="382"/>
      <c r="AY113" s="382"/>
      <c r="AZ113" s="382"/>
      <c r="BA113" s="382"/>
      <c r="BB113" s="382"/>
      <c r="BC113" s="382"/>
      <c r="BD113" s="382"/>
      <c r="BE113" s="382"/>
      <c r="BF113" s="382"/>
      <c r="BG113" s="382"/>
      <c r="BH113" s="382"/>
      <c r="BI113" s="382"/>
      <c r="BJ113" s="382"/>
      <c r="BK113" s="382"/>
      <c r="BL113" s="382"/>
      <c r="BM113" s="382"/>
      <c r="BN113" s="382"/>
      <c r="BO113" s="382"/>
      <c r="BP113" s="382"/>
    </row>
    <row r="114" spans="1:68">
      <c r="A114" s="382" t="s">
        <v>2464</v>
      </c>
      <c r="B114" s="382" t="s">
        <v>2465</v>
      </c>
      <c r="C114" s="382" t="s">
        <v>2334</v>
      </c>
      <c r="D114" s="382" t="s">
        <v>2335</v>
      </c>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82"/>
      <c r="BE114" s="382"/>
      <c r="BF114" s="382"/>
      <c r="BG114" s="382"/>
      <c r="BH114" s="382"/>
      <c r="BI114" s="382"/>
      <c r="BJ114" s="382"/>
      <c r="BK114" s="382"/>
      <c r="BL114" s="382"/>
      <c r="BM114" s="382"/>
      <c r="BN114" s="382"/>
      <c r="BO114" s="382"/>
      <c r="BP114" s="382"/>
    </row>
    <row r="115" spans="1:68">
      <c r="A115" s="382" t="s">
        <v>224</v>
      </c>
      <c r="B115" s="382" t="s">
        <v>223</v>
      </c>
      <c r="C115" s="382" t="s">
        <v>2334</v>
      </c>
      <c r="D115" s="382" t="s">
        <v>2335</v>
      </c>
      <c r="E115" s="382">
        <v>2.5274866887730898</v>
      </c>
      <c r="F115" s="382">
        <v>2.57033297015633</v>
      </c>
      <c r="G115" s="382">
        <v>2.6636929891046899</v>
      </c>
      <c r="H115" s="382">
        <v>2.74216968261487</v>
      </c>
      <c r="I115" s="382">
        <v>3.1083936049265701</v>
      </c>
      <c r="J115" s="382">
        <v>3.40290639507342</v>
      </c>
      <c r="K115" s="382">
        <v>3.7704831833254402</v>
      </c>
      <c r="L115" s="382">
        <v>4.2629913311226897</v>
      </c>
      <c r="M115" s="382">
        <v>4.4010019422074897</v>
      </c>
      <c r="N115" s="382">
        <v>4.3752940786357204</v>
      </c>
      <c r="O115" s="382">
        <v>4.59809549976314</v>
      </c>
      <c r="P115" s="382">
        <v>4.7397140217906202</v>
      </c>
      <c r="Q115" s="382">
        <v>5.04505101847466</v>
      </c>
      <c r="R115" s="382">
        <v>5.8997238275698702</v>
      </c>
      <c r="S115" s="382">
        <v>7.5869701563240204</v>
      </c>
      <c r="T115" s="382">
        <v>8.0231018474656608</v>
      </c>
      <c r="U115" s="382">
        <v>7.4106224538133496</v>
      </c>
      <c r="V115" s="382">
        <v>8.0262576977735698</v>
      </c>
      <c r="W115" s="382">
        <v>8.2287640928469905</v>
      </c>
      <c r="X115" s="382">
        <v>8.7451752723827507</v>
      </c>
      <c r="Y115" s="382">
        <v>9.7374092846992006</v>
      </c>
      <c r="Z115" s="382">
        <v>11.0142316437707</v>
      </c>
      <c r="AA115" s="382">
        <v>11.883336333491201</v>
      </c>
      <c r="AB115" s="382">
        <v>13.293660350544799</v>
      </c>
      <c r="AC115" s="382">
        <v>14.399547607768801</v>
      </c>
      <c r="AD115" s="382">
        <v>15.199647560397899</v>
      </c>
      <c r="AE115" s="382">
        <v>16.5265343439129</v>
      </c>
      <c r="AF115" s="382">
        <v>17.9810554239697</v>
      </c>
      <c r="AG115" s="382">
        <v>19.6683027001421</v>
      </c>
      <c r="AH115" s="382">
        <v>21.059693510184701</v>
      </c>
      <c r="AI115" s="382">
        <v>22.949007579346301</v>
      </c>
      <c r="AJ115" s="382">
        <v>26.132091425864498</v>
      </c>
      <c r="AK115" s="382">
        <v>29.2124945523449</v>
      </c>
      <c r="AL115" s="382">
        <v>31.060737091425899</v>
      </c>
      <c r="AM115" s="382">
        <v>34.243821411653201</v>
      </c>
      <c r="AN115" s="382">
        <v>37.745213169114102</v>
      </c>
      <c r="AO115" s="382">
        <v>41.133658455708201</v>
      </c>
      <c r="AP115" s="382">
        <v>44.080577451444803</v>
      </c>
      <c r="AQ115" s="382">
        <v>49.9128076740881</v>
      </c>
      <c r="AR115" s="382">
        <v>52.243646139270503</v>
      </c>
      <c r="AS115" s="382">
        <v>54.338321648507801</v>
      </c>
      <c r="AT115" s="382">
        <v>56.391926101373798</v>
      </c>
      <c r="AU115" s="382">
        <v>58.815172903837002</v>
      </c>
      <c r="AV115" s="382">
        <v>61.053595452392202</v>
      </c>
      <c r="AW115" s="382">
        <v>63.353638086215099</v>
      </c>
      <c r="AX115" s="382">
        <v>66.043851255329201</v>
      </c>
      <c r="AY115" s="382">
        <v>69.872098531501607</v>
      </c>
      <c r="AZ115" s="382">
        <v>74.324964471814297</v>
      </c>
      <c r="BA115" s="382">
        <v>80.530554239696798</v>
      </c>
      <c r="BB115" s="382">
        <v>89.294173377546201</v>
      </c>
      <c r="BC115" s="382">
        <v>100</v>
      </c>
      <c r="BD115" s="382">
        <v>108.911793364834</v>
      </c>
      <c r="BE115" s="382">
        <v>119.235538897084</v>
      </c>
      <c r="BF115" s="382">
        <v>131.18041028234001</v>
      </c>
      <c r="BG115" s="382">
        <v>139.92444611391599</v>
      </c>
      <c r="BH115" s="382">
        <v>146.790501522574</v>
      </c>
      <c r="BI115" s="382">
        <v>154.05401310539401</v>
      </c>
      <c r="BJ115" s="382">
        <v>159.18119775208999</v>
      </c>
      <c r="BK115" s="382">
        <v>165.45106889950401</v>
      </c>
      <c r="BL115" s="382">
        <v>171.62157600337699</v>
      </c>
      <c r="BM115" s="382">
        <v>182.98882258442501</v>
      </c>
      <c r="BN115" s="382">
        <v>192.37872469901501</v>
      </c>
      <c r="BO115" s="382">
        <v>205.26624114623499</v>
      </c>
      <c r="BP115" s="382">
        <v>216.862025027426</v>
      </c>
    </row>
    <row r="116" spans="1:68">
      <c r="A116" s="382" t="s">
        <v>2466</v>
      </c>
      <c r="B116" s="382" t="s">
        <v>2467</v>
      </c>
      <c r="C116" s="382" t="s">
        <v>2334</v>
      </c>
      <c r="D116" s="382" t="s">
        <v>2335</v>
      </c>
      <c r="E116" s="382"/>
      <c r="F116" s="382"/>
      <c r="G116" s="382"/>
      <c r="H116" s="382"/>
      <c r="I116" s="382"/>
      <c r="J116" s="382"/>
      <c r="K116" s="382"/>
      <c r="L116" s="382"/>
      <c r="M116" s="382"/>
      <c r="N116" s="382"/>
      <c r="O116" s="382"/>
      <c r="P116" s="382"/>
      <c r="Q116" s="382"/>
      <c r="R116" s="382"/>
      <c r="S116" s="382"/>
      <c r="T116" s="382"/>
      <c r="U116" s="382"/>
      <c r="V116" s="382"/>
      <c r="W116" s="382"/>
      <c r="X116" s="382"/>
      <c r="Y116" s="382"/>
      <c r="Z116" s="382"/>
      <c r="AA116" s="382"/>
      <c r="AB116" s="382"/>
      <c r="AC116" s="382"/>
      <c r="AD116" s="382"/>
      <c r="AE116" s="382"/>
      <c r="AF116" s="382"/>
      <c r="AG116" s="382"/>
      <c r="AH116" s="382"/>
      <c r="AI116" s="382"/>
      <c r="AJ116" s="382"/>
      <c r="AK116" s="382"/>
      <c r="AL116" s="382"/>
      <c r="AM116" s="382"/>
      <c r="AN116" s="382"/>
      <c r="AO116" s="382"/>
      <c r="AP116" s="382"/>
      <c r="AQ116" s="382"/>
      <c r="AR116" s="382"/>
      <c r="AS116" s="382"/>
      <c r="AT116" s="382"/>
      <c r="AU116" s="382"/>
      <c r="AV116" s="382"/>
      <c r="AW116" s="382"/>
      <c r="AX116" s="382"/>
      <c r="AY116" s="382"/>
      <c r="AZ116" s="382"/>
      <c r="BA116" s="382"/>
      <c r="BB116" s="382"/>
      <c r="BC116" s="382"/>
      <c r="BD116" s="382"/>
      <c r="BE116" s="382"/>
      <c r="BF116" s="382"/>
      <c r="BG116" s="382"/>
      <c r="BH116" s="382"/>
      <c r="BI116" s="382"/>
      <c r="BJ116" s="382"/>
      <c r="BK116" s="382"/>
      <c r="BL116" s="382"/>
      <c r="BM116" s="382"/>
      <c r="BN116" s="382"/>
      <c r="BO116" s="382"/>
      <c r="BP116" s="382"/>
    </row>
    <row r="117" spans="1:68">
      <c r="A117" s="382" t="s">
        <v>2289</v>
      </c>
      <c r="B117" s="382" t="s">
        <v>2468</v>
      </c>
      <c r="C117" s="382" t="s">
        <v>2334</v>
      </c>
      <c r="D117" s="382" t="s">
        <v>2335</v>
      </c>
      <c r="E117" s="382">
        <v>5.0731610703017704</v>
      </c>
      <c r="F117" s="382">
        <v>5.21302808847254</v>
      </c>
      <c r="G117" s="382">
        <v>5.4352973809316802</v>
      </c>
      <c r="H117" s="382">
        <v>5.568658956418</v>
      </c>
      <c r="I117" s="382">
        <v>5.9427219119982899</v>
      </c>
      <c r="J117" s="382">
        <v>6.2391522211478501</v>
      </c>
      <c r="K117" s="382">
        <v>6.4297145626734098</v>
      </c>
      <c r="L117" s="382">
        <v>6.6343926333472503</v>
      </c>
      <c r="M117" s="382">
        <v>6.9449386715039303</v>
      </c>
      <c r="N117" s="382">
        <v>7.4601627801932997</v>
      </c>
      <c r="O117" s="382">
        <v>8.0724325258772094</v>
      </c>
      <c r="P117" s="382">
        <v>8.79586363750985</v>
      </c>
      <c r="Q117" s="382">
        <v>9.5528196055696899</v>
      </c>
      <c r="R117" s="382">
        <v>10.643259671317001</v>
      </c>
      <c r="S117" s="382">
        <v>12.4500729842462</v>
      </c>
      <c r="T117" s="382">
        <v>15.049131587682499</v>
      </c>
      <c r="U117" s="382">
        <v>17.7558226248157</v>
      </c>
      <c r="V117" s="382">
        <v>20.147932378344201</v>
      </c>
      <c r="W117" s="382">
        <v>21.701562039182701</v>
      </c>
      <c r="X117" s="382">
        <v>24.586886454602901</v>
      </c>
      <c r="Y117" s="382">
        <v>29.050503475879498</v>
      </c>
      <c r="Z117" s="382">
        <v>34.9691110174847</v>
      </c>
      <c r="AA117" s="382">
        <v>40.965308615967999</v>
      </c>
      <c r="AB117" s="382">
        <v>45.245210659363799</v>
      </c>
      <c r="AC117" s="382">
        <v>49.159423846640003</v>
      </c>
      <c r="AD117" s="382">
        <v>51.811813777122403</v>
      </c>
      <c r="AE117" s="382">
        <v>53.794673477986102</v>
      </c>
      <c r="AF117" s="382">
        <v>55.4942679587108</v>
      </c>
      <c r="AG117" s="382">
        <v>56.678831893827699</v>
      </c>
      <c r="AH117" s="382">
        <v>58.996459869391202</v>
      </c>
      <c r="AI117" s="382">
        <v>60.953566463029297</v>
      </c>
      <c r="AJ117" s="382">
        <v>62.910669896776902</v>
      </c>
      <c r="AK117" s="382">
        <v>64.842026543079896</v>
      </c>
      <c r="AL117" s="382">
        <v>65.794825152728095</v>
      </c>
      <c r="AM117" s="382">
        <v>67.314160522435202</v>
      </c>
      <c r="AN117" s="382">
        <v>69.013751843269404</v>
      </c>
      <c r="AO117" s="382">
        <v>70.225457130819507</v>
      </c>
      <c r="AP117" s="382">
        <v>71.308194649252101</v>
      </c>
      <c r="AQ117" s="382">
        <v>73.025068464293298</v>
      </c>
      <c r="AR117" s="382">
        <v>74.215293869812498</v>
      </c>
      <c r="AS117" s="382">
        <v>78.354750368653896</v>
      </c>
      <c r="AT117" s="382">
        <v>82.157151885401305</v>
      </c>
      <c r="AU117" s="382">
        <v>85.959553402148799</v>
      </c>
      <c r="AV117" s="382">
        <v>88.961449336423001</v>
      </c>
      <c r="AW117" s="382">
        <v>90.899515483463205</v>
      </c>
      <c r="AX117" s="382">
        <v>93.132504739835696</v>
      </c>
      <c r="AY117" s="382">
        <v>96.7979776701074</v>
      </c>
      <c r="AZ117" s="382">
        <v>101.527280387613</v>
      </c>
      <c r="BA117" s="382">
        <v>105.624605013693</v>
      </c>
      <c r="BB117" s="382">
        <v>100.926901200758</v>
      </c>
      <c r="BC117" s="382">
        <v>100</v>
      </c>
      <c r="BD117" s="382">
        <v>102.548978302086</v>
      </c>
      <c r="BE117" s="382">
        <v>104.286918053508</v>
      </c>
      <c r="BF117" s="382">
        <v>104.82409943122001</v>
      </c>
      <c r="BG117" s="382">
        <v>105.02422582683801</v>
      </c>
      <c r="BH117" s="382">
        <v>104.676637876554</v>
      </c>
      <c r="BI117" s="382">
        <v>104.697703812935</v>
      </c>
      <c r="BJ117" s="382">
        <v>105.07689066779</v>
      </c>
      <c r="BK117" s="382">
        <v>105.57194017274099</v>
      </c>
      <c r="BL117" s="382">
        <v>106.562039182642</v>
      </c>
      <c r="BM117" s="382">
        <v>106.21445123235701</v>
      </c>
      <c r="BN117" s="382">
        <v>108.7002317253</v>
      </c>
      <c r="BO117" s="382">
        <v>117.210870023173</v>
      </c>
      <c r="BP117" s="382">
        <v>124.594480724668</v>
      </c>
    </row>
    <row r="118" spans="1:68">
      <c r="A118" s="382" t="s">
        <v>2469</v>
      </c>
      <c r="B118" s="382" t="s">
        <v>2470</v>
      </c>
      <c r="C118" s="382" t="s">
        <v>2334</v>
      </c>
      <c r="D118" s="382" t="s">
        <v>2335</v>
      </c>
      <c r="E118" s="382">
        <v>0.14143422224222801</v>
      </c>
      <c r="F118" s="382">
        <v>0.14590717059841901</v>
      </c>
      <c r="G118" s="382">
        <v>0.146959629035467</v>
      </c>
      <c r="H118" s="382">
        <v>0.147506097838809</v>
      </c>
      <c r="I118" s="382">
        <v>0.153132702559275</v>
      </c>
      <c r="J118" s="382">
        <v>0.15643175496768799</v>
      </c>
      <c r="K118" s="382">
        <v>0.15582456740695799</v>
      </c>
      <c r="L118" s="382">
        <v>0.15831403640241201</v>
      </c>
      <c r="M118" s="382">
        <v>0.15940697401051299</v>
      </c>
      <c r="N118" s="382">
        <v>0.165134776658004</v>
      </c>
      <c r="O118" s="382">
        <v>0.16788736026145601</v>
      </c>
      <c r="P118" s="382">
        <v>0.17493073595439701</v>
      </c>
      <c r="Q118" s="382">
        <v>0.18612322663834499</v>
      </c>
      <c r="R118" s="382">
        <v>0.204399572185478</v>
      </c>
      <c r="S118" s="382">
        <v>0.23352433546665899</v>
      </c>
      <c r="T118" s="382">
        <v>0.26360035925766301</v>
      </c>
      <c r="U118" s="382">
        <v>0.29327159134259001</v>
      </c>
      <c r="V118" s="382">
        <v>0.37329891171374002</v>
      </c>
      <c r="W118" s="382">
        <v>0.41705689518414402</v>
      </c>
      <c r="X118" s="382">
        <v>0.46079463906983498</v>
      </c>
      <c r="Y118" s="382">
        <v>0.55592069009144496</v>
      </c>
      <c r="Z118" s="382">
        <v>0.69047345332575205</v>
      </c>
      <c r="AA118" s="382">
        <v>0.81952104935072601</v>
      </c>
      <c r="AB118" s="382">
        <v>0.98129605484495097</v>
      </c>
      <c r="AC118" s="382">
        <v>1.10435273361484</v>
      </c>
      <c r="AD118" s="382">
        <v>1.1528265404657301</v>
      </c>
      <c r="AE118" s="382">
        <v>1.3652809784367499</v>
      </c>
      <c r="AF118" s="382">
        <v>1.7553612579901201</v>
      </c>
      <c r="AG118" s="382">
        <v>2.2586344758067201</v>
      </c>
      <c r="AH118" s="382">
        <v>2.7634314447153399</v>
      </c>
      <c r="AI118" s="382">
        <v>2.9742170124427401</v>
      </c>
      <c r="AJ118" s="382">
        <v>3.4836577942031899</v>
      </c>
      <c r="AK118" s="382">
        <v>4.3827105346299398</v>
      </c>
      <c r="AL118" s="382">
        <v>5.3119604663381903</v>
      </c>
      <c r="AM118" s="382">
        <v>6.9824141840471396</v>
      </c>
      <c r="AN118" s="382">
        <v>10.4496007830059</v>
      </c>
      <c r="AO118" s="382">
        <v>13.4734377099679</v>
      </c>
      <c r="AP118" s="382">
        <v>15.810974835077401</v>
      </c>
      <c r="AQ118" s="382">
        <v>18.635784819502302</v>
      </c>
      <c r="AR118" s="382">
        <v>22.376118739598301</v>
      </c>
      <c r="AS118" s="382">
        <v>25.615453804342</v>
      </c>
      <c r="AT118" s="382">
        <v>28.5034033705372</v>
      </c>
      <c r="AU118" s="382">
        <v>32.589632390766802</v>
      </c>
      <c r="AV118" s="382">
        <v>37.956496841253298</v>
      </c>
      <c r="AW118" s="382">
        <v>43.559448423577003</v>
      </c>
      <c r="AX118" s="382">
        <v>49.4108405341712</v>
      </c>
      <c r="AY118" s="382">
        <v>54.359780047132801</v>
      </c>
      <c r="AZ118" s="382">
        <v>63.786331500392699</v>
      </c>
      <c r="BA118" s="382">
        <v>79.994763026970404</v>
      </c>
      <c r="BB118" s="382">
        <v>90.835297198219394</v>
      </c>
      <c r="BC118" s="382">
        <v>100</v>
      </c>
      <c r="BD118" s="382">
        <v>126.293385673861</v>
      </c>
      <c r="BE118" s="382">
        <v>160.71693729015101</v>
      </c>
      <c r="BF118" s="382">
        <v>219.54421493167999</v>
      </c>
      <c r="BG118" s="382">
        <v>256.00294186030698</v>
      </c>
      <c r="BH118" s="382">
        <v>287.96409393875098</v>
      </c>
      <c r="BI118" s="382">
        <v>308.828317801683</v>
      </c>
      <c r="BJ118" s="382">
        <v>333.67332242236301</v>
      </c>
      <c r="BK118" s="382">
        <v>393.78162958315198</v>
      </c>
      <c r="BL118" s="382">
        <v>550.92942529120603</v>
      </c>
      <c r="BM118" s="382">
        <v>719.48153967007102</v>
      </c>
      <c r="BN118" s="382">
        <v>1031.6575019638601</v>
      </c>
      <c r="BO118" s="382">
        <v>1480.30950510605</v>
      </c>
      <c r="BP118" s="382">
        <v>2140.2194291699402</v>
      </c>
    </row>
    <row r="119" spans="1:68">
      <c r="A119" s="382" t="s">
        <v>1069</v>
      </c>
      <c r="B119" s="382" t="s">
        <v>2471</v>
      </c>
      <c r="C119" s="382" t="s">
        <v>2334</v>
      </c>
      <c r="D119" s="382" t="s">
        <v>2335</v>
      </c>
      <c r="E119" s="382">
        <v>59.059850994683799</v>
      </c>
      <c r="F119" s="382">
        <v>59.600993040455698</v>
      </c>
      <c r="G119" s="382">
        <v>60.371253724722301</v>
      </c>
      <c r="H119" s="382">
        <v>62.758911109068201</v>
      </c>
      <c r="I119" s="382">
        <v>62.702342410810601</v>
      </c>
      <c r="J119" s="382">
        <v>62.4166825363423</v>
      </c>
      <c r="K119" s="382">
        <v>63.654541991842798</v>
      </c>
      <c r="L119" s="382">
        <v>65.7493810701136</v>
      </c>
      <c r="M119" s="382">
        <v>67.193550434203004</v>
      </c>
      <c r="N119" s="382">
        <v>71.049958737700706</v>
      </c>
      <c r="O119" s="382">
        <v>74.144607376055305</v>
      </c>
      <c r="P119" s="382">
        <v>76.810766202786795</v>
      </c>
      <c r="Q119" s="382">
        <v>80.794134450104707</v>
      </c>
      <c r="R119" s="382">
        <v>84.745762711652503</v>
      </c>
      <c r="S119" s="382">
        <v>91.271186440254198</v>
      </c>
      <c r="T119" s="382">
        <v>99.957627117796605</v>
      </c>
      <c r="U119" s="382">
        <v>112.77542372839</v>
      </c>
      <c r="V119" s="382">
        <v>123.114406779237</v>
      </c>
      <c r="W119" s="382">
        <v>128.79237288072</v>
      </c>
      <c r="X119" s="382"/>
      <c r="Y119" s="382"/>
      <c r="Z119" s="382"/>
      <c r="AA119" s="382"/>
      <c r="AB119" s="382"/>
      <c r="AC119" s="382"/>
      <c r="AD119" s="382"/>
      <c r="AE119" s="382"/>
      <c r="AF119" s="382"/>
      <c r="AG119" s="382"/>
      <c r="AH119" s="382"/>
      <c r="AI119" s="382">
        <v>3.0567551136507699E-2</v>
      </c>
      <c r="AJ119" s="382">
        <v>8.5880262716854894E-2</v>
      </c>
      <c r="AK119" s="382">
        <v>0.15768974792642801</v>
      </c>
      <c r="AL119" s="382">
        <v>0.48519922438901097</v>
      </c>
      <c r="AM119" s="382">
        <v>2.66131774577372</v>
      </c>
      <c r="AN119" s="382">
        <v>12.9688900686939</v>
      </c>
      <c r="AO119" s="382">
        <v>10.878651810026</v>
      </c>
      <c r="AP119" s="382">
        <v>13.387616999341599</v>
      </c>
      <c r="AQ119" s="382">
        <v>15.3648038387268</v>
      </c>
      <c r="AR119" s="382">
        <v>17.297352349468198</v>
      </c>
      <c r="AS119" s="382">
        <v>18.158580972758699</v>
      </c>
      <c r="AT119" s="382">
        <v>21.131881819814598</v>
      </c>
      <c r="AU119" s="382">
        <v>25.213862894599298</v>
      </c>
      <c r="AV119" s="382">
        <v>33.689808145451003</v>
      </c>
      <c r="AW119" s="382">
        <v>42.773222825237603</v>
      </c>
      <c r="AX119" s="382">
        <v>58.581983954280403</v>
      </c>
      <c r="AY119" s="382">
        <v>89.765738105762097</v>
      </c>
      <c r="AZ119" s="382">
        <v>80.728579085367002</v>
      </c>
      <c r="BA119" s="382">
        <v>90.951120244213001</v>
      </c>
      <c r="BB119" s="382">
        <v>97.202750517390697</v>
      </c>
      <c r="BC119" s="382">
        <v>100</v>
      </c>
      <c r="BD119" s="382">
        <v>105.80145537085301</v>
      </c>
      <c r="BE119" s="382">
        <v>112.243807997863</v>
      </c>
      <c r="BF119" s="382">
        <v>114.353428132719</v>
      </c>
      <c r="BG119" s="382">
        <v>116.910341144268</v>
      </c>
      <c r="BH119" s="382">
        <v>118.539288337005</v>
      </c>
      <c r="BI119" s="382">
        <v>119.198984840636</v>
      </c>
      <c r="BJ119" s="382">
        <v>119.41838117957199</v>
      </c>
      <c r="BK119" s="382">
        <v>119.85717385744201</v>
      </c>
      <c r="BL119" s="382">
        <v>119.618699575991</v>
      </c>
      <c r="BM119" s="382">
        <v>120.30550550657</v>
      </c>
      <c r="BN119" s="382">
        <v>127.57420160520699</v>
      </c>
      <c r="BO119" s="382">
        <v>133.94623440558701</v>
      </c>
      <c r="BP119" s="382"/>
    </row>
    <row r="120" spans="1:68">
      <c r="A120" s="382" t="s">
        <v>2262</v>
      </c>
      <c r="B120" s="382" t="s">
        <v>2472</v>
      </c>
      <c r="C120" s="382" t="s">
        <v>2334</v>
      </c>
      <c r="D120" s="382" t="s">
        <v>2335</v>
      </c>
      <c r="E120" s="382">
        <v>4.1528890897952198E-2</v>
      </c>
      <c r="F120" s="382">
        <v>4.3485572349502101E-2</v>
      </c>
      <c r="G120" s="382">
        <v>4.8276070171156198E-2</v>
      </c>
      <c r="H120" s="382">
        <v>5.4517211662871497E-2</v>
      </c>
      <c r="I120" s="382">
        <v>6.5009078681452503E-2</v>
      </c>
      <c r="J120" s="382">
        <v>6.9765838102969199E-2</v>
      </c>
      <c r="K120" s="382">
        <v>7.7221464180878399E-2</v>
      </c>
      <c r="L120" s="382">
        <v>7.9785385658203298E-2</v>
      </c>
      <c r="M120" s="382">
        <v>9.1938134757056103E-2</v>
      </c>
      <c r="N120" s="382">
        <v>0.11194690216757899</v>
      </c>
      <c r="O120" s="382">
        <v>0.12691697384022099</v>
      </c>
      <c r="P120" s="382">
        <v>0.13546086527617601</v>
      </c>
      <c r="Q120" s="382">
        <v>0.14875136954350299</v>
      </c>
      <c r="R120" s="382">
        <v>0.18051712174735701</v>
      </c>
      <c r="S120" s="382">
        <v>0.25726610969576202</v>
      </c>
      <c r="T120" s="382">
        <v>0.38425610426261098</v>
      </c>
      <c r="U120" s="382">
        <v>0.50735297080408304</v>
      </c>
      <c r="V120" s="382">
        <v>0.66116585830157004</v>
      </c>
      <c r="W120" s="382">
        <v>0.95042590997189602</v>
      </c>
      <c r="X120" s="382">
        <v>1.3728375334826799</v>
      </c>
      <c r="Y120" s="382">
        <v>2.1763377345941399</v>
      </c>
      <c r="Z120" s="382">
        <v>3.30353359552646</v>
      </c>
      <c r="AA120" s="382">
        <v>4.9633354587858198</v>
      </c>
      <c r="AB120" s="382">
        <v>9.1300578691849807</v>
      </c>
      <c r="AC120" s="382">
        <v>11.946899576354101</v>
      </c>
      <c r="AD120" s="382">
        <v>15.769265775686801</v>
      </c>
      <c r="AE120" s="382">
        <v>19.258752170879902</v>
      </c>
      <c r="AF120" s="382">
        <v>22.782674005793901</v>
      </c>
      <c r="AG120" s="382">
        <v>28.643632877024999</v>
      </c>
      <c r="AH120" s="382">
        <v>34.589534054302902</v>
      </c>
      <c r="AI120" s="382">
        <v>39.9546205205733</v>
      </c>
      <c r="AJ120" s="382">
        <v>42.675042283937003</v>
      </c>
      <c r="AK120" s="382">
        <v>44.359729950281498</v>
      </c>
      <c r="AL120" s="382">
        <v>46.1531285837859</v>
      </c>
      <c r="AM120" s="382">
        <v>46.869728030831403</v>
      </c>
      <c r="AN120" s="382">
        <v>47.643655744587598</v>
      </c>
      <c r="AO120" s="382">
        <v>48.7206019830776</v>
      </c>
      <c r="AP120" s="382">
        <v>49.605090798798898</v>
      </c>
      <c r="AQ120" s="382">
        <v>50.428159155384897</v>
      </c>
      <c r="AR120" s="382">
        <v>52.057912847119702</v>
      </c>
      <c r="AS120" s="382">
        <v>54.731852564726701</v>
      </c>
      <c r="AT120" s="382">
        <v>58.237474519348801</v>
      </c>
      <c r="AU120" s="382">
        <v>61.264089058337703</v>
      </c>
      <c r="AV120" s="382">
        <v>62.523472451680597</v>
      </c>
      <c r="AW120" s="382">
        <v>64.498084533929003</v>
      </c>
      <c r="AX120" s="382">
        <v>67.069654012483099</v>
      </c>
      <c r="AY120" s="382">
        <v>71.554654802482901</v>
      </c>
      <c r="AZ120" s="382">
        <v>75.169279237101804</v>
      </c>
      <c r="BA120" s="382">
        <v>84.711563919080504</v>
      </c>
      <c r="BB120" s="382">
        <v>94.879602931012599</v>
      </c>
      <c r="BC120" s="382">
        <v>100</v>
      </c>
      <c r="BD120" s="382">
        <v>104.001026643431</v>
      </c>
      <c r="BE120" s="382">
        <v>109.39441576713899</v>
      </c>
      <c r="BF120" s="382">
        <v>113.630473015855</v>
      </c>
      <c r="BG120" s="382">
        <v>115.953778501939</v>
      </c>
      <c r="BH120" s="382">
        <v>117.847368154088</v>
      </c>
      <c r="BI120" s="382">
        <v>119.847152693711</v>
      </c>
      <c r="BJ120" s="382">
        <v>121.956960656067</v>
      </c>
      <c r="BK120" s="382">
        <v>125.22896551876001</v>
      </c>
      <c r="BL120" s="382">
        <v>129.00333121435901</v>
      </c>
      <c r="BM120" s="382">
        <v>132.67724806440299</v>
      </c>
      <c r="BN120" s="382">
        <v>138.57374299826699</v>
      </c>
      <c r="BO120" s="382">
        <v>150.08749595849801</v>
      </c>
      <c r="BP120" s="382">
        <v>163.19959436960499</v>
      </c>
    </row>
    <row r="121" spans="1:68">
      <c r="A121" s="382" t="s">
        <v>1135</v>
      </c>
      <c r="B121" s="382" t="s">
        <v>2473</v>
      </c>
      <c r="C121" s="382" t="s">
        <v>2334</v>
      </c>
      <c r="D121" s="382" t="s">
        <v>2335</v>
      </c>
      <c r="E121" s="382">
        <v>8.8686688142157303E-4</v>
      </c>
      <c r="F121" s="382">
        <v>9.4708357650222902E-4</v>
      </c>
      <c r="G121" s="382">
        <v>1.0361870373682301E-3</v>
      </c>
      <c r="H121" s="382">
        <v>1.10437992965203E-3</v>
      </c>
      <c r="I121" s="382">
        <v>1.16150674713782E-3</v>
      </c>
      <c r="J121" s="382">
        <v>1.25103955809343E-3</v>
      </c>
      <c r="K121" s="382">
        <v>1.35025159317713E-3</v>
      </c>
      <c r="L121" s="382">
        <v>1.3732881432519199E-3</v>
      </c>
      <c r="M121" s="382">
        <v>1.4018418505015999E-3</v>
      </c>
      <c r="N121" s="382">
        <v>1.4362998837727399E-3</v>
      </c>
      <c r="O121" s="382">
        <v>1.5240684645332801E-3</v>
      </c>
      <c r="P121" s="382">
        <v>1.7065386003228601E-3</v>
      </c>
      <c r="Q121" s="382">
        <v>1.92636587218688E-3</v>
      </c>
      <c r="R121" s="382">
        <v>2.3122627480771001E-3</v>
      </c>
      <c r="S121" s="382">
        <v>3.22976792327414E-3</v>
      </c>
      <c r="T121" s="382">
        <v>4.4992841135694604E-3</v>
      </c>
      <c r="U121" s="382">
        <v>5.9080489032380598E-3</v>
      </c>
      <c r="V121" s="382">
        <v>7.9532213465008002E-3</v>
      </c>
      <c r="W121" s="382">
        <v>1.19736482765169E-2</v>
      </c>
      <c r="X121" s="382">
        <v>2.13502165036559E-2</v>
      </c>
      <c r="Y121" s="382">
        <v>4.9324336720159498E-2</v>
      </c>
      <c r="Z121" s="382">
        <v>0.106935178995347</v>
      </c>
      <c r="AA121" s="382">
        <v>0.23564701357895701</v>
      </c>
      <c r="AB121" s="382">
        <v>0.579577457031621</v>
      </c>
      <c r="AC121" s="382">
        <v>2.74265124869433</v>
      </c>
      <c r="AD121" s="382">
        <v>11.2429968663944</v>
      </c>
      <c r="AE121" s="382">
        <v>16.6271009400817</v>
      </c>
      <c r="AF121" s="382">
        <v>19.798689583135499</v>
      </c>
      <c r="AG121" s="382">
        <v>23.046244421232501</v>
      </c>
      <c r="AH121" s="382">
        <v>27.737156965150501</v>
      </c>
      <c r="AI121" s="382">
        <v>32.504035704111701</v>
      </c>
      <c r="AJ121" s="382">
        <v>38.723767923274103</v>
      </c>
      <c r="AK121" s="382">
        <v>43.376697369670502</v>
      </c>
      <c r="AL121" s="382">
        <v>48.1150887854904</v>
      </c>
      <c r="AM121" s="382">
        <v>54.021460450099703</v>
      </c>
      <c r="AN121" s="382">
        <v>59.386572975026098</v>
      </c>
      <c r="AO121" s="382">
        <v>66.166555882632196</v>
      </c>
      <c r="AP121" s="382">
        <v>72.101414870382598</v>
      </c>
      <c r="AQ121" s="382">
        <v>76.061152787009704</v>
      </c>
      <c r="AR121" s="382">
        <v>80.001899154876</v>
      </c>
      <c r="AS121" s="382">
        <v>80.8280315259709</v>
      </c>
      <c r="AT121" s="382">
        <v>81.7586174152502</v>
      </c>
      <c r="AU121" s="382">
        <v>86.478017282309295</v>
      </c>
      <c r="AV121" s="382">
        <v>87.085746842654999</v>
      </c>
      <c r="AW121" s="382">
        <v>86.753394739340905</v>
      </c>
      <c r="AX121" s="382">
        <v>87.892887664989004</v>
      </c>
      <c r="AY121" s="382">
        <v>89.706580571645603</v>
      </c>
      <c r="AZ121" s="382">
        <v>90.114898870002804</v>
      </c>
      <c r="BA121" s="382">
        <v>94.217073402335899</v>
      </c>
      <c r="BB121" s="382">
        <v>97.379166271009296</v>
      </c>
      <c r="BC121" s="382">
        <v>100</v>
      </c>
      <c r="BD121" s="382">
        <v>103.48494919760699</v>
      </c>
      <c r="BE121" s="382">
        <v>105.22267590922</v>
      </c>
      <c r="BF121" s="382">
        <v>106.87494065141</v>
      </c>
      <c r="BG121" s="382">
        <v>107.387712467952</v>
      </c>
      <c r="BH121" s="382">
        <v>106.741999810084</v>
      </c>
      <c r="BI121" s="382">
        <v>106.1532617985</v>
      </c>
      <c r="BJ121" s="382">
        <v>106.428639255531</v>
      </c>
      <c r="BK121" s="382">
        <v>107.273763175387</v>
      </c>
      <c r="BL121" s="382">
        <v>108.185357515905</v>
      </c>
      <c r="BM121" s="382">
        <v>107.52065330927699</v>
      </c>
      <c r="BN121" s="382">
        <v>109.144430728326</v>
      </c>
      <c r="BO121" s="382">
        <v>113.93979679042801</v>
      </c>
      <c r="BP121" s="382">
        <v>118.754154401291</v>
      </c>
    </row>
    <row r="122" spans="1:68">
      <c r="A122" s="382" t="s">
        <v>1054</v>
      </c>
      <c r="B122" s="382" t="s">
        <v>2474</v>
      </c>
      <c r="C122" s="382" t="s">
        <v>2334</v>
      </c>
      <c r="D122" s="382" t="s">
        <v>2335</v>
      </c>
      <c r="E122" s="382">
        <v>4.1478356168674999</v>
      </c>
      <c r="F122" s="382">
        <v>4.2328951704014202</v>
      </c>
      <c r="G122" s="382">
        <v>4.4314663615958496</v>
      </c>
      <c r="H122" s="382">
        <v>4.76181969210581</v>
      </c>
      <c r="I122" s="382">
        <v>5.04335383070425</v>
      </c>
      <c r="J122" s="382">
        <v>5.2712765220070503</v>
      </c>
      <c r="K122" s="382">
        <v>5.3949717135600297</v>
      </c>
      <c r="L122" s="382">
        <v>5.5963842599353599</v>
      </c>
      <c r="M122" s="382">
        <v>5.6678676234235104</v>
      </c>
      <c r="N122" s="382">
        <v>5.81847719079905</v>
      </c>
      <c r="O122" s="382">
        <v>6.1075577493925604</v>
      </c>
      <c r="P122" s="382">
        <v>6.4002114187619998</v>
      </c>
      <c r="Q122" s="382">
        <v>6.7681918262792502</v>
      </c>
      <c r="R122" s="382">
        <v>7.4990629702034903</v>
      </c>
      <c r="S122" s="382">
        <v>8.9358661563637707</v>
      </c>
      <c r="T122" s="382">
        <v>10.450540378566799</v>
      </c>
      <c r="U122" s="382">
        <v>12.1868105543459</v>
      </c>
      <c r="V122" s="382">
        <v>14.274417147842</v>
      </c>
      <c r="W122" s="382">
        <v>16.000767133639201</v>
      </c>
      <c r="X122" s="382">
        <v>18.368652429058901</v>
      </c>
      <c r="Y122" s="382">
        <v>22.237856286946801</v>
      </c>
      <c r="Z122" s="382">
        <v>26.233843119181401</v>
      </c>
      <c r="AA122" s="382">
        <v>30.557289236041001</v>
      </c>
      <c r="AB122" s="382">
        <v>35.032886033761599</v>
      </c>
      <c r="AC122" s="382">
        <v>38.814509518051501</v>
      </c>
      <c r="AD122" s="382">
        <v>42.387769942743802</v>
      </c>
      <c r="AE122" s="382">
        <v>44.856241613116197</v>
      </c>
      <c r="AF122" s="382">
        <v>46.985695199671703</v>
      </c>
      <c r="AG122" s="382">
        <v>49.362347941505497</v>
      </c>
      <c r="AH122" s="382">
        <v>52.452347687640199</v>
      </c>
      <c r="AI122" s="382">
        <v>55.838990721390999</v>
      </c>
      <c r="AJ122" s="382">
        <v>59.328927249434003</v>
      </c>
      <c r="AK122" s="382">
        <v>62.455911747801999</v>
      </c>
      <c r="AL122" s="382">
        <v>65.345581078416899</v>
      </c>
      <c r="AM122" s="382">
        <v>67.993280895747702</v>
      </c>
      <c r="AN122" s="382">
        <v>71.553016476947704</v>
      </c>
      <c r="AO122" s="382">
        <v>74.420129168035203</v>
      </c>
      <c r="AP122" s="382">
        <v>75.940612629977906</v>
      </c>
      <c r="AQ122" s="382">
        <v>77.425316594739201</v>
      </c>
      <c r="AR122" s="382">
        <v>78.713255727513101</v>
      </c>
      <c r="AS122" s="382">
        <v>80.710750463752106</v>
      </c>
      <c r="AT122" s="382">
        <v>82.958678381650202</v>
      </c>
      <c r="AU122" s="382">
        <v>85.003877919330506</v>
      </c>
      <c r="AV122" s="382">
        <v>87.275653757447103</v>
      </c>
      <c r="AW122" s="382">
        <v>89.201597564227001</v>
      </c>
      <c r="AX122" s="382">
        <v>90.972510623427198</v>
      </c>
      <c r="AY122" s="382">
        <v>92.874603821687202</v>
      </c>
      <c r="AZ122" s="382">
        <v>94.5739686397295</v>
      </c>
      <c r="BA122" s="382">
        <v>97.740146777842</v>
      </c>
      <c r="BB122" s="382">
        <v>98.497406286648001</v>
      </c>
      <c r="BC122" s="382">
        <v>100</v>
      </c>
      <c r="BD122" s="382">
        <v>102.78063272879299</v>
      </c>
      <c r="BE122" s="382">
        <v>105.90656520528</v>
      </c>
      <c r="BF122" s="382">
        <v>107.198618335037</v>
      </c>
      <c r="BG122" s="382">
        <v>107.457017849343</v>
      </c>
      <c r="BH122" s="382">
        <v>107.49870085602799</v>
      </c>
      <c r="BI122" s="382">
        <v>107.39763417125501</v>
      </c>
      <c r="BJ122" s="382">
        <v>108.714901774357</v>
      </c>
      <c r="BK122" s="382">
        <v>109.951520340534</v>
      </c>
      <c r="BL122" s="382">
        <v>110.623595648239</v>
      </c>
      <c r="BM122" s="382">
        <v>110.471258578492</v>
      </c>
      <c r="BN122" s="382">
        <v>112.541250526224</v>
      </c>
      <c r="BO122" s="382">
        <v>121.771084752039</v>
      </c>
      <c r="BP122" s="382">
        <v>128.617291886527</v>
      </c>
    </row>
    <row r="123" spans="1:68">
      <c r="A123" s="382" t="s">
        <v>1723</v>
      </c>
      <c r="B123" s="382" t="s">
        <v>2475</v>
      </c>
      <c r="C123" s="382" t="s">
        <v>2334</v>
      </c>
      <c r="D123" s="382" t="s">
        <v>2335</v>
      </c>
      <c r="E123" s="382">
        <v>0.113116859650763</v>
      </c>
      <c r="F123" s="382">
        <v>0.120693936542745</v>
      </c>
      <c r="G123" s="382">
        <v>0.12239271178899</v>
      </c>
      <c r="H123" s="382">
        <v>0.124549886704857</v>
      </c>
      <c r="I123" s="382">
        <v>0.12705760254455201</v>
      </c>
      <c r="J123" s="382">
        <v>0.130401223664145</v>
      </c>
      <c r="K123" s="382">
        <v>0.132881974817392</v>
      </c>
      <c r="L123" s="382">
        <v>0.13689971309819399</v>
      </c>
      <c r="M123" s="382">
        <v>0.14501608371914301</v>
      </c>
      <c r="N123" s="382">
        <v>0.154157112425128</v>
      </c>
      <c r="O123" s="382">
        <v>0.176861378411929</v>
      </c>
      <c r="P123" s="382">
        <v>0.186299018669116</v>
      </c>
      <c r="Q123" s="382">
        <v>0.19641077608751101</v>
      </c>
      <c r="R123" s="382">
        <v>0.231141292232696</v>
      </c>
      <c r="S123" s="382">
        <v>0.29391508228603602</v>
      </c>
      <c r="T123" s="382">
        <v>0.34498619841783401</v>
      </c>
      <c r="U123" s="382">
        <v>0.37877295053867599</v>
      </c>
      <c r="V123" s="382">
        <v>0.42116143763410802</v>
      </c>
      <c r="W123" s="382">
        <v>0.56814594346425096</v>
      </c>
      <c r="X123" s="382">
        <v>0.73335857733346399</v>
      </c>
      <c r="Y123" s="382">
        <v>0.93362530358551299</v>
      </c>
      <c r="Z123" s="382">
        <v>1.05256653550804</v>
      </c>
      <c r="AA123" s="382">
        <v>1.1214613093832699</v>
      </c>
      <c r="AB123" s="382">
        <v>1.2513502040048901</v>
      </c>
      <c r="AC123" s="382">
        <v>1.5994103766810699</v>
      </c>
      <c r="AD123" s="382">
        <v>2.0100286219162999</v>
      </c>
      <c r="AE123" s="382">
        <v>2.3136509913259</v>
      </c>
      <c r="AF123" s="382">
        <v>2.4675654215735299</v>
      </c>
      <c r="AG123" s="382">
        <v>2.67155327455519</v>
      </c>
      <c r="AH123" s="382">
        <v>3.05437454381615</v>
      </c>
      <c r="AI123" s="382">
        <v>3.72512054235222</v>
      </c>
      <c r="AJ123" s="382">
        <v>5.6275804951132997</v>
      </c>
      <c r="AK123" s="382">
        <v>9.9775084836903094</v>
      </c>
      <c r="AL123" s="382">
        <v>12.1795395592702</v>
      </c>
      <c r="AM123" s="382">
        <v>16.4500995325864</v>
      </c>
      <c r="AN123" s="382">
        <v>19.725108531869601</v>
      </c>
      <c r="AO123" s="382">
        <v>24.933850207318201</v>
      </c>
      <c r="AP123" s="382">
        <v>27.341849909458301</v>
      </c>
      <c r="AQ123" s="382">
        <v>29.701969993696402</v>
      </c>
      <c r="AR123" s="382">
        <v>31.470496420704698</v>
      </c>
      <c r="AS123" s="382">
        <v>34.041976980365597</v>
      </c>
      <c r="AT123" s="382">
        <v>36.357481381178097</v>
      </c>
      <c r="AU123" s="382">
        <v>38.930264048747503</v>
      </c>
      <c r="AV123" s="382">
        <v>42.857142857142797</v>
      </c>
      <c r="AW123" s="382">
        <v>48.6662153012864</v>
      </c>
      <c r="AX123" s="382">
        <v>55.991875423155101</v>
      </c>
      <c r="AY123" s="382">
        <v>60.785375761678999</v>
      </c>
      <c r="AZ123" s="382">
        <v>66.404874746106898</v>
      </c>
      <c r="BA123" s="382">
        <v>81.029113067027694</v>
      </c>
      <c r="BB123" s="382">
        <v>88.801624915368905</v>
      </c>
      <c r="BC123" s="382">
        <v>100</v>
      </c>
      <c r="BD123" s="382">
        <v>107.555856465809</v>
      </c>
      <c r="BE123" s="382">
        <v>114.949221394719</v>
      </c>
      <c r="BF123" s="382">
        <v>125.687203791469</v>
      </c>
      <c r="BG123" s="382">
        <v>136.08666215301301</v>
      </c>
      <c r="BH123" s="382">
        <v>141.110358835477</v>
      </c>
      <c r="BI123" s="382">
        <v>144.42789438050099</v>
      </c>
      <c r="BJ123" s="382">
        <v>150.75152335815801</v>
      </c>
      <c r="BK123" s="382">
        <v>156.38456330399501</v>
      </c>
      <c r="BL123" s="382">
        <v>162.49153689912001</v>
      </c>
      <c r="BM123" s="382">
        <v>170.98460846516201</v>
      </c>
      <c r="BN123" s="382">
        <v>181.00906404486</v>
      </c>
      <c r="BO123" s="382">
        <v>199.742721733243</v>
      </c>
      <c r="BP123" s="382">
        <v>212.67433987813101</v>
      </c>
    </row>
    <row r="124" spans="1:68">
      <c r="A124" s="382" t="s">
        <v>1200</v>
      </c>
      <c r="B124" s="382" t="s">
        <v>2476</v>
      </c>
      <c r="C124" s="382" t="s">
        <v>2334</v>
      </c>
      <c r="D124" s="382" t="s">
        <v>2335</v>
      </c>
      <c r="E124" s="382"/>
      <c r="F124" s="382"/>
      <c r="G124" s="382"/>
      <c r="H124" s="382"/>
      <c r="I124" s="382"/>
      <c r="J124" s="382"/>
      <c r="K124" s="382"/>
      <c r="L124" s="382"/>
      <c r="M124" s="382"/>
      <c r="N124" s="382">
        <v>7.6639022731121402</v>
      </c>
      <c r="O124" s="382">
        <v>8.1160725071491093</v>
      </c>
      <c r="P124" s="382">
        <v>8.5069315231544707</v>
      </c>
      <c r="Q124" s="382">
        <v>9.1583632163690005</v>
      </c>
      <c r="R124" s="382">
        <v>10.1776622186163</v>
      </c>
      <c r="S124" s="382">
        <v>12.1549490050792</v>
      </c>
      <c r="T124" s="382">
        <v>13.611090436970599</v>
      </c>
      <c r="U124" s="382">
        <v>15.1763658372221</v>
      </c>
      <c r="V124" s="382">
        <v>17.387033775625401</v>
      </c>
      <c r="W124" s="382">
        <v>18.590481021760802</v>
      </c>
      <c r="X124" s="382">
        <v>21.2389723692426</v>
      </c>
      <c r="Y124" s="382">
        <v>23.598858188047402</v>
      </c>
      <c r="Z124" s="382">
        <v>25.415970268527001</v>
      </c>
      <c r="AA124" s="382">
        <v>27.303878923570799</v>
      </c>
      <c r="AB124" s="382">
        <v>28.674579269855599</v>
      </c>
      <c r="AC124" s="382">
        <v>29.777825890107302</v>
      </c>
      <c r="AD124" s="382">
        <v>30.666716215269101</v>
      </c>
      <c r="AE124" s="382">
        <v>30.666716215269101</v>
      </c>
      <c r="AF124" s="382">
        <v>30.6053827828386</v>
      </c>
      <c r="AG124" s="382">
        <v>32.629386053046296</v>
      </c>
      <c r="AH124" s="382">
        <v>41.019288497606901</v>
      </c>
      <c r="AI124" s="382">
        <v>47.661188117897602</v>
      </c>
      <c r="AJ124" s="382">
        <v>51.5481943981829</v>
      </c>
      <c r="AK124" s="382">
        <v>53.607975503974899</v>
      </c>
      <c r="AL124" s="382">
        <v>55.385973358190299</v>
      </c>
      <c r="AM124" s="382">
        <v>57.3337298015011</v>
      </c>
      <c r="AN124" s="382">
        <v>58.6828638516848</v>
      </c>
      <c r="AO124" s="382">
        <v>62.497964775050598</v>
      </c>
      <c r="AP124" s="382">
        <v>64.396580574149894</v>
      </c>
      <c r="AQ124" s="382">
        <v>66.3875081902343</v>
      </c>
      <c r="AR124" s="382">
        <v>66.789986818822698</v>
      </c>
      <c r="AS124" s="382">
        <v>67.2353965011268</v>
      </c>
      <c r="AT124" s="382">
        <v>68.426945138466607</v>
      </c>
      <c r="AU124" s="382">
        <v>69.681206861982403</v>
      </c>
      <c r="AV124" s="382">
        <v>70.817010533832701</v>
      </c>
      <c r="AW124" s="382">
        <v>73.1977851016171</v>
      </c>
      <c r="AX124" s="382">
        <v>75.755085393451907</v>
      </c>
      <c r="AY124" s="382">
        <v>80.491084753171293</v>
      </c>
      <c r="AZ124" s="382">
        <v>84.309506466331499</v>
      </c>
      <c r="BA124" s="382">
        <v>96.088582370775796</v>
      </c>
      <c r="BB124" s="382">
        <v>95.378420731856707</v>
      </c>
      <c r="BC124" s="382">
        <v>100</v>
      </c>
      <c r="BD124" s="382">
        <v>104.16244162927801</v>
      </c>
      <c r="BE124" s="382">
        <v>108.86561499113</v>
      </c>
      <c r="BF124" s="382">
        <v>114.11797064643</v>
      </c>
      <c r="BG124" s="382">
        <v>117.426797297677</v>
      </c>
      <c r="BH124" s="382">
        <v>116.397138828916</v>
      </c>
      <c r="BI124" s="382">
        <v>115.491068042148</v>
      </c>
      <c r="BJ124" s="382">
        <v>119.32986927279801</v>
      </c>
      <c r="BK124" s="382">
        <v>124.65473925678199</v>
      </c>
      <c r="BL124" s="382">
        <v>125.604002606804</v>
      </c>
      <c r="BM124" s="382">
        <v>126.02263365165599</v>
      </c>
      <c r="BN124" s="382">
        <v>127.719016475095</v>
      </c>
      <c r="BO124" s="382">
        <v>133.12045252624901</v>
      </c>
      <c r="BP124" s="382">
        <v>135.895840722819</v>
      </c>
    </row>
    <row r="125" spans="1:68">
      <c r="A125" s="382" t="s">
        <v>226</v>
      </c>
      <c r="B125" s="382" t="s">
        <v>225</v>
      </c>
      <c r="C125" s="382" t="s">
        <v>2334</v>
      </c>
      <c r="D125" s="382" t="s">
        <v>2335</v>
      </c>
      <c r="E125" s="382">
        <v>18.972568602074499</v>
      </c>
      <c r="F125" s="382">
        <v>19.991103697071999</v>
      </c>
      <c r="G125" s="382">
        <v>21.357583665231601</v>
      </c>
      <c r="H125" s="382">
        <v>22.790016632406701</v>
      </c>
      <c r="I125" s="382">
        <v>23.6561260208547</v>
      </c>
      <c r="J125" s="382">
        <v>25.2306756261743</v>
      </c>
      <c r="K125" s="382">
        <v>26.502511611809702</v>
      </c>
      <c r="L125" s="382">
        <v>27.559921564841499</v>
      </c>
      <c r="M125" s="382">
        <v>29.031465099906502</v>
      </c>
      <c r="N125" s="382">
        <v>30.5555650254969</v>
      </c>
      <c r="O125" s="382">
        <v>32.671285464085301</v>
      </c>
      <c r="P125" s="382">
        <v>34.760728139114001</v>
      </c>
      <c r="Q125" s="382">
        <v>36.444369964033797</v>
      </c>
      <c r="R125" s="382">
        <v>40.675059677934897</v>
      </c>
      <c r="S125" s="382">
        <v>50.120722018767303</v>
      </c>
      <c r="T125" s="382">
        <v>56.000517315025697</v>
      </c>
      <c r="U125" s="382">
        <v>61.250026184519399</v>
      </c>
      <c r="V125" s="382">
        <v>66.249147295435193</v>
      </c>
      <c r="W125" s="382">
        <v>69.037948882353604</v>
      </c>
      <c r="X125" s="382">
        <v>71.593630831975503</v>
      </c>
      <c r="Y125" s="382">
        <v>77.162599945171905</v>
      </c>
      <c r="Z125" s="382">
        <v>80.952952566401706</v>
      </c>
      <c r="AA125" s="382">
        <v>83.171906151039593</v>
      </c>
      <c r="AB125" s="382">
        <v>84.751939248271995</v>
      </c>
      <c r="AC125" s="382">
        <v>86.668700710488395</v>
      </c>
      <c r="AD125" s="382">
        <v>88.430049081173806</v>
      </c>
      <c r="AE125" s="382">
        <v>88.956726780251302</v>
      </c>
      <c r="AF125" s="382">
        <v>89.068969568579305</v>
      </c>
      <c r="AG125" s="382">
        <v>89.673353813422295</v>
      </c>
      <c r="AH125" s="382">
        <v>91.710992124607301</v>
      </c>
      <c r="AI125" s="382">
        <v>94.534329954088307</v>
      </c>
      <c r="AJ125" s="382">
        <v>97.608055542147</v>
      </c>
      <c r="AK125" s="382">
        <v>99.326233609629398</v>
      </c>
      <c r="AL125" s="382">
        <v>100.560904281237</v>
      </c>
      <c r="AM125" s="382">
        <v>101.260263193127</v>
      </c>
      <c r="AN125" s="382">
        <v>101.13075228351801</v>
      </c>
      <c r="AO125" s="382">
        <v>101.268897253768</v>
      </c>
      <c r="AP125" s="382">
        <v>103.038879685094</v>
      </c>
      <c r="AQ125" s="382">
        <v>103.720970475702</v>
      </c>
      <c r="AR125" s="382">
        <v>103.366973989437</v>
      </c>
      <c r="AS125" s="382">
        <v>102.667615077547</v>
      </c>
      <c r="AT125" s="382">
        <v>101.90781774117301</v>
      </c>
      <c r="AU125" s="382">
        <v>100.966705131346</v>
      </c>
      <c r="AV125" s="382">
        <v>100.707683312128</v>
      </c>
      <c r="AW125" s="382">
        <v>100.699049251487</v>
      </c>
      <c r="AX125" s="382">
        <v>100.414125250347</v>
      </c>
      <c r="AY125" s="382">
        <v>100.664513008925</v>
      </c>
      <c r="AZ125" s="382">
        <v>100.724951433409</v>
      </c>
      <c r="BA125" s="382">
        <v>102.11503519654801</v>
      </c>
      <c r="BB125" s="382">
        <v>100.73358549405</v>
      </c>
      <c r="BC125" s="382">
        <v>100</v>
      </c>
      <c r="BD125" s="382">
        <v>99.727544383898703</v>
      </c>
      <c r="BE125" s="382">
        <v>99.683599929688896</v>
      </c>
      <c r="BF125" s="382">
        <v>100.017577781684</v>
      </c>
      <c r="BG125" s="382">
        <v>102.77728950606399</v>
      </c>
      <c r="BH125" s="382">
        <v>103.594656354368</v>
      </c>
      <c r="BI125" s="382">
        <v>103.46282299173799</v>
      </c>
      <c r="BJ125" s="382">
        <v>103.96378976973099</v>
      </c>
      <c r="BK125" s="382">
        <v>104.99208999824199</v>
      </c>
      <c r="BL125" s="382">
        <v>105.484267885393</v>
      </c>
      <c r="BM125" s="382">
        <v>105.457901212867</v>
      </c>
      <c r="BN125" s="382">
        <v>105.211812269292</v>
      </c>
      <c r="BO125" s="382">
        <v>107.839690631042</v>
      </c>
      <c r="BP125" s="382">
        <v>111.364035858675</v>
      </c>
    </row>
    <row r="126" spans="1:68">
      <c r="A126" s="382" t="s">
        <v>1062</v>
      </c>
      <c r="B126" s="382" t="s">
        <v>2477</v>
      </c>
      <c r="C126" s="382" t="s">
        <v>2334</v>
      </c>
      <c r="D126" s="382" t="s">
        <v>2335</v>
      </c>
      <c r="E126" s="382"/>
      <c r="F126" s="382"/>
      <c r="G126" s="382"/>
      <c r="H126" s="382"/>
      <c r="I126" s="382"/>
      <c r="J126" s="382"/>
      <c r="K126" s="382"/>
      <c r="L126" s="382"/>
      <c r="M126" s="382"/>
      <c r="N126" s="382"/>
      <c r="O126" s="382"/>
      <c r="P126" s="382"/>
      <c r="Q126" s="382"/>
      <c r="R126" s="382"/>
      <c r="S126" s="382"/>
      <c r="T126" s="382"/>
      <c r="U126" s="382"/>
      <c r="V126" s="382"/>
      <c r="W126" s="382"/>
      <c r="X126" s="382"/>
      <c r="Y126" s="382"/>
      <c r="Z126" s="382"/>
      <c r="AA126" s="382"/>
      <c r="AB126" s="382"/>
      <c r="AC126" s="382"/>
      <c r="AD126" s="382"/>
      <c r="AE126" s="382"/>
      <c r="AF126" s="382"/>
      <c r="AG126" s="382"/>
      <c r="AH126" s="382"/>
      <c r="AI126" s="382"/>
      <c r="AJ126" s="382"/>
      <c r="AK126" s="382"/>
      <c r="AL126" s="382">
        <v>0.37366349931533299</v>
      </c>
      <c r="AM126" s="382">
        <v>7.3887188863090003</v>
      </c>
      <c r="AN126" s="382">
        <v>20.404338728498001</v>
      </c>
      <c r="AO126" s="382">
        <v>28.399277395173701</v>
      </c>
      <c r="AP126" s="382">
        <v>33.343035265077802</v>
      </c>
      <c r="AQ126" s="382">
        <v>35.725837481653102</v>
      </c>
      <c r="AR126" s="382">
        <v>38.689662838548998</v>
      </c>
      <c r="AS126" s="382">
        <v>43.789304965612203</v>
      </c>
      <c r="AT126" s="382">
        <v>47.447523831671298</v>
      </c>
      <c r="AU126" s="382">
        <v>50.216999984836299</v>
      </c>
      <c r="AV126" s="382">
        <v>53.450079967734297</v>
      </c>
      <c r="AW126" s="382">
        <v>57.128543542515501</v>
      </c>
      <c r="AX126" s="382">
        <v>61.458886738144002</v>
      </c>
      <c r="AY126" s="382">
        <v>66.819142689772804</v>
      </c>
      <c r="AZ126" s="382">
        <v>74.066905652625394</v>
      </c>
      <c r="BA126" s="382">
        <v>86.761899049563894</v>
      </c>
      <c r="BB126" s="382">
        <v>93.109467764033994</v>
      </c>
      <c r="BC126" s="382">
        <v>100</v>
      </c>
      <c r="BD126" s="382">
        <v>108.452904661768</v>
      </c>
      <c r="BE126" s="382">
        <v>114.08777454099101</v>
      </c>
      <c r="BF126" s="382">
        <v>120.867826977188</v>
      </c>
      <c r="BG126" s="382">
        <v>129.14660807412201</v>
      </c>
      <c r="BH126" s="382">
        <v>137.77138773483699</v>
      </c>
      <c r="BI126" s="382">
        <v>157.556866561297</v>
      </c>
      <c r="BJ126" s="382">
        <v>169.283293508518</v>
      </c>
      <c r="BK126" s="382">
        <v>179.717344348262</v>
      </c>
      <c r="BL126" s="382">
        <v>189.30267851718801</v>
      </c>
      <c r="BM126" s="382">
        <v>202.02032502463999</v>
      </c>
      <c r="BN126" s="382">
        <v>218.265731563044</v>
      </c>
      <c r="BO126" s="382">
        <v>251.06640983022899</v>
      </c>
      <c r="BP126" s="382">
        <v>288.03591362138599</v>
      </c>
    </row>
    <row r="127" spans="1:68">
      <c r="A127" s="382" t="s">
        <v>2001</v>
      </c>
      <c r="B127" s="382" t="s">
        <v>2478</v>
      </c>
      <c r="C127" s="382" t="s">
        <v>2334</v>
      </c>
      <c r="D127" s="382" t="s">
        <v>2335</v>
      </c>
      <c r="E127" s="382">
        <v>0.74124428382899299</v>
      </c>
      <c r="F127" s="382">
        <v>0.75945667409506201</v>
      </c>
      <c r="G127" s="382">
        <v>0.783132781440951</v>
      </c>
      <c r="H127" s="382">
        <v>0.78859649852077096</v>
      </c>
      <c r="I127" s="382">
        <v>0.78781338381728905</v>
      </c>
      <c r="J127" s="382">
        <v>0.81600551286856404</v>
      </c>
      <c r="K127" s="382">
        <v>0.85692325571438199</v>
      </c>
      <c r="L127" s="382">
        <v>0.87199821360370999</v>
      </c>
      <c r="M127" s="382">
        <v>0.87519593194363299</v>
      </c>
      <c r="N127" s="382">
        <v>0.87369496211095699</v>
      </c>
      <c r="O127" s="382">
        <v>0.89281601259578602</v>
      </c>
      <c r="P127" s="382">
        <v>0.92656629819292202</v>
      </c>
      <c r="Q127" s="382">
        <v>0.98060035301291903</v>
      </c>
      <c r="R127" s="382">
        <v>1.0716117763306201</v>
      </c>
      <c r="S127" s="382">
        <v>1.2624652768125599</v>
      </c>
      <c r="T127" s="382">
        <v>1.5038509608469901</v>
      </c>
      <c r="U127" s="382">
        <v>1.6760273159277801</v>
      </c>
      <c r="V127" s="382">
        <v>1.9244307291282701</v>
      </c>
      <c r="W127" s="382">
        <v>2.2502711537446398</v>
      </c>
      <c r="X127" s="382">
        <v>2.4298282239740399</v>
      </c>
      <c r="Y127" s="382">
        <v>2.7665582283274999</v>
      </c>
      <c r="Z127" s="382">
        <v>3.0875634578738902</v>
      </c>
      <c r="AA127" s="382">
        <v>3.7256613878531</v>
      </c>
      <c r="AB127" s="382">
        <v>4.1503041783513899</v>
      </c>
      <c r="AC127" s="382">
        <v>4.5771255361970198</v>
      </c>
      <c r="AD127" s="382">
        <v>5.17245240927544</v>
      </c>
      <c r="AE127" s="382">
        <v>5.3035366287224797</v>
      </c>
      <c r="AF127" s="382">
        <v>5.7616387902129098</v>
      </c>
      <c r="AG127" s="382">
        <v>6.4683016588008702</v>
      </c>
      <c r="AH127" s="382">
        <v>7.3602362969268098</v>
      </c>
      <c r="AI127" s="382">
        <v>8.6690198568499497</v>
      </c>
      <c r="AJ127" s="382">
        <v>10.410148766435</v>
      </c>
      <c r="AK127" s="382">
        <v>13.255488566812099</v>
      </c>
      <c r="AL127" s="382">
        <v>19.350213921161799</v>
      </c>
      <c r="AM127" s="382">
        <v>24.925859916073701</v>
      </c>
      <c r="AN127" s="382">
        <v>25.313289576008501</v>
      </c>
      <c r="AO127" s="382">
        <v>27.557081691834199</v>
      </c>
      <c r="AP127" s="382">
        <v>30.6880746141217</v>
      </c>
      <c r="AQ127" s="382">
        <v>32.751060945442298</v>
      </c>
      <c r="AR127" s="382">
        <v>34.631627223620796</v>
      </c>
      <c r="AS127" s="382">
        <v>38.087872331607898</v>
      </c>
      <c r="AT127" s="382">
        <v>40.273582266095701</v>
      </c>
      <c r="AU127" s="382">
        <v>41.063471344518597</v>
      </c>
      <c r="AV127" s="382">
        <v>45.094134653551698</v>
      </c>
      <c r="AW127" s="382">
        <v>50.335892894049202</v>
      </c>
      <c r="AX127" s="382">
        <v>55.526921962465103</v>
      </c>
      <c r="AY127" s="382">
        <v>63.552635676898198</v>
      </c>
      <c r="AZ127" s="382">
        <v>69.7546612757899</v>
      </c>
      <c r="BA127" s="382">
        <v>88.058156495553604</v>
      </c>
      <c r="BB127" s="382">
        <v>96.189557552658897</v>
      </c>
      <c r="BC127" s="382">
        <v>100</v>
      </c>
      <c r="BD127" s="382">
        <v>114.02249130147</v>
      </c>
      <c r="BE127" s="382">
        <v>124.715258324443</v>
      </c>
      <c r="BF127" s="382">
        <v>131.84584520042199</v>
      </c>
      <c r="BG127" s="382">
        <v>140.91440678482101</v>
      </c>
      <c r="BH127" s="382">
        <v>150.18961046024901</v>
      </c>
      <c r="BI127" s="382">
        <v>159.64742501130101</v>
      </c>
      <c r="BJ127" s="382">
        <v>172.42823857621599</v>
      </c>
      <c r="BK127" s="382">
        <v>180.51478926121399</v>
      </c>
      <c r="BL127" s="382">
        <v>189.973110678512</v>
      </c>
      <c r="BM127" s="382">
        <v>200.241465217838</v>
      </c>
      <c r="BN127" s="382">
        <v>212.47208583207799</v>
      </c>
      <c r="BO127" s="382">
        <v>228.74715584593099</v>
      </c>
      <c r="BP127" s="382">
        <v>246.29525678802199</v>
      </c>
    </row>
    <row r="128" spans="1:68">
      <c r="A128" s="382" t="s">
        <v>2479</v>
      </c>
      <c r="B128" s="382" t="s">
        <v>2480</v>
      </c>
      <c r="C128" s="382" t="s">
        <v>2334</v>
      </c>
      <c r="D128" s="382" t="s">
        <v>2335</v>
      </c>
      <c r="E128" s="382"/>
      <c r="F128" s="382"/>
      <c r="G128" s="382"/>
      <c r="H128" s="382"/>
      <c r="I128" s="382"/>
      <c r="J128" s="382"/>
      <c r="K128" s="382"/>
      <c r="L128" s="382"/>
      <c r="M128" s="382"/>
      <c r="N128" s="382"/>
      <c r="O128" s="382"/>
      <c r="P128" s="382"/>
      <c r="Q128" s="382"/>
      <c r="R128" s="382"/>
      <c r="S128" s="382"/>
      <c r="T128" s="382"/>
      <c r="U128" s="382"/>
      <c r="V128" s="382"/>
      <c r="W128" s="382"/>
      <c r="X128" s="382"/>
      <c r="Y128" s="382"/>
      <c r="Z128" s="382"/>
      <c r="AA128" s="382"/>
      <c r="AB128" s="382"/>
      <c r="AC128" s="382"/>
      <c r="AD128" s="382"/>
      <c r="AE128" s="382"/>
      <c r="AF128" s="382"/>
      <c r="AG128" s="382"/>
      <c r="AH128" s="382"/>
      <c r="AI128" s="382"/>
      <c r="AJ128" s="382"/>
      <c r="AK128" s="382"/>
      <c r="AL128" s="382"/>
      <c r="AM128" s="382"/>
      <c r="AN128" s="382">
        <v>16.740667363799201</v>
      </c>
      <c r="AO128" s="382">
        <v>22.088864903404701</v>
      </c>
      <c r="AP128" s="382">
        <v>27.265484900659899</v>
      </c>
      <c r="AQ128" s="382">
        <v>30.116740970287999</v>
      </c>
      <c r="AR128" s="382">
        <v>41.269248983497</v>
      </c>
      <c r="AS128" s="382">
        <v>48.986901576821502</v>
      </c>
      <c r="AT128" s="382">
        <v>52.376638356039301</v>
      </c>
      <c r="AU128" s="382">
        <v>53.494465737795302</v>
      </c>
      <c r="AV128" s="382">
        <v>55.085719044151297</v>
      </c>
      <c r="AW128" s="382">
        <v>57.350100620744499</v>
      </c>
      <c r="AX128" s="382">
        <v>59.8383344785777</v>
      </c>
      <c r="AY128" s="382">
        <v>63.160632608418801</v>
      </c>
      <c r="AZ128" s="382">
        <v>69.622030547749503</v>
      </c>
      <c r="BA128" s="382">
        <v>86.693423747315606</v>
      </c>
      <c r="BB128" s="382">
        <v>92.620273828765505</v>
      </c>
      <c r="BC128" s="382">
        <v>100</v>
      </c>
      <c r="BD128" s="382">
        <v>116.63632627315</v>
      </c>
      <c r="BE128" s="382">
        <v>119.865335743153</v>
      </c>
      <c r="BF128" s="382">
        <v>127.792931811437</v>
      </c>
      <c r="BG128" s="382">
        <v>137.42116732316799</v>
      </c>
      <c r="BH128" s="382">
        <v>146.358103369357</v>
      </c>
      <c r="BI128" s="382">
        <v>146.92719972586701</v>
      </c>
      <c r="BJ128" s="382">
        <v>151.59259359136701</v>
      </c>
      <c r="BK128" s="382">
        <v>153.93115409737101</v>
      </c>
      <c r="BL128" s="382">
        <v>155.676152413544</v>
      </c>
      <c r="BM128" s="382">
        <v>165.52332750681899</v>
      </c>
      <c r="BN128" s="382">
        <v>185.22894555543601</v>
      </c>
      <c r="BO128" s="382">
        <v>211.018203674728</v>
      </c>
      <c r="BP128" s="382">
        <v>233.709575724236</v>
      </c>
    </row>
    <row r="129" spans="1:68">
      <c r="A129" s="382" t="s">
        <v>1979</v>
      </c>
      <c r="B129" s="382" t="s">
        <v>2481</v>
      </c>
      <c r="C129" s="382" t="s">
        <v>2334</v>
      </c>
      <c r="D129" s="382" t="s">
        <v>2335</v>
      </c>
      <c r="E129" s="382"/>
      <c r="F129" s="382"/>
      <c r="G129" s="382"/>
      <c r="H129" s="382"/>
      <c r="I129" s="382"/>
      <c r="J129" s="382"/>
      <c r="K129" s="382"/>
      <c r="L129" s="382"/>
      <c r="M129" s="382"/>
      <c r="N129" s="382"/>
      <c r="O129" s="382"/>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c r="AK129" s="382"/>
      <c r="AL129" s="382"/>
      <c r="AM129" s="382">
        <v>44.868400624124298</v>
      </c>
      <c r="AN129" s="382">
        <v>44.509927077871097</v>
      </c>
      <c r="AO129" s="382">
        <v>47.692770276335501</v>
      </c>
      <c r="AP129" s="382">
        <v>51.489216842260298</v>
      </c>
      <c r="AQ129" s="382">
        <v>59.112969558672198</v>
      </c>
      <c r="AR129" s="382">
        <v>61.482339754778202</v>
      </c>
      <c r="AS129" s="382">
        <v>60.995404216974798</v>
      </c>
      <c r="AT129" s="382">
        <v>60.6290363583919</v>
      </c>
      <c r="AU129" s="382">
        <v>60.7572465008042</v>
      </c>
      <c r="AV129" s="382">
        <v>61.329425511007202</v>
      </c>
      <c r="AW129" s="382">
        <v>63.978449940600399</v>
      </c>
      <c r="AX129" s="382">
        <v>68.210790185140795</v>
      </c>
      <c r="AY129" s="382">
        <v>72.174304683031295</v>
      </c>
      <c r="AZ129" s="382">
        <v>78.459840525649398</v>
      </c>
      <c r="BA129" s="382">
        <v>97.366192122103897</v>
      </c>
      <c r="BB129" s="382">
        <v>96.1571790346472</v>
      </c>
      <c r="BC129" s="382">
        <v>100</v>
      </c>
      <c r="BD129" s="382">
        <v>105.478447496174</v>
      </c>
      <c r="BE129" s="382">
        <v>108.573518555638</v>
      </c>
      <c r="BF129" s="382">
        <v>111.76734442450901</v>
      </c>
      <c r="BG129" s="382">
        <v>116.07674519792501</v>
      </c>
      <c r="BH129" s="382">
        <v>117.497445574856</v>
      </c>
      <c r="BI129" s="382">
        <v>121.044857661075</v>
      </c>
      <c r="BJ129" s="382">
        <v>124.57045324546399</v>
      </c>
      <c r="BK129" s="382">
        <v>127.633746767247</v>
      </c>
      <c r="BL129" s="382">
        <v>130.11312803414401</v>
      </c>
      <c r="BM129" s="382">
        <v>133.93883801766799</v>
      </c>
      <c r="BN129" s="382">
        <v>137.85083623812599</v>
      </c>
      <c r="BO129" s="382">
        <v>145.217175025789</v>
      </c>
      <c r="BP129" s="382">
        <v>148.30662390550799</v>
      </c>
    </row>
    <row r="130" spans="1:68">
      <c r="A130" s="382" t="s">
        <v>2105</v>
      </c>
      <c r="B130" s="382" t="s">
        <v>2482</v>
      </c>
      <c r="C130" s="382" t="s">
        <v>2334</v>
      </c>
      <c r="D130" s="382" t="s">
        <v>2335</v>
      </c>
      <c r="E130" s="382"/>
      <c r="F130" s="382"/>
      <c r="G130" s="382"/>
      <c r="H130" s="382"/>
      <c r="I130" s="382"/>
      <c r="J130" s="382"/>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c r="AK130" s="382"/>
      <c r="AL130" s="382"/>
      <c r="AM130" s="382"/>
      <c r="AN130" s="382"/>
      <c r="AO130" s="382"/>
      <c r="AP130" s="382"/>
      <c r="AQ130" s="382"/>
      <c r="AR130" s="382"/>
      <c r="AS130" s="382"/>
      <c r="AT130" s="382"/>
      <c r="AU130" s="382"/>
      <c r="AV130" s="382"/>
      <c r="AW130" s="382"/>
      <c r="AX130" s="382"/>
      <c r="AY130" s="382">
        <v>80.473064154664002</v>
      </c>
      <c r="AZ130" s="382">
        <v>83.364076135374304</v>
      </c>
      <c r="BA130" s="382">
        <v>94.756110199801896</v>
      </c>
      <c r="BB130" s="382">
        <v>104.05778580954799</v>
      </c>
      <c r="BC130" s="382">
        <v>100</v>
      </c>
      <c r="BD130" s="382">
        <v>101.49740979876</v>
      </c>
      <c r="BE130" s="382">
        <v>98.405937821066999</v>
      </c>
      <c r="BF130" s="382">
        <v>96.941599323455094</v>
      </c>
      <c r="BG130" s="382">
        <v>98.9812362348314</v>
      </c>
      <c r="BH130" s="382">
        <v>99.547424489338397</v>
      </c>
      <c r="BI130" s="382">
        <v>101.45605811206499</v>
      </c>
      <c r="BJ130" s="382">
        <v>101.81675559135</v>
      </c>
      <c r="BK130" s="382">
        <v>102.391033138334</v>
      </c>
      <c r="BL130" s="382">
        <v>100.534601842803</v>
      </c>
      <c r="BM130" s="382">
        <v>103.10149708468001</v>
      </c>
      <c r="BN130" s="382">
        <v>105.21880671660099</v>
      </c>
      <c r="BO130" s="382"/>
      <c r="BP130" s="382"/>
    </row>
    <row r="131" spans="1:68">
      <c r="A131" s="382" t="s">
        <v>2483</v>
      </c>
      <c r="B131" s="382" t="s">
        <v>2484</v>
      </c>
      <c r="C131" s="382" t="s">
        <v>2334</v>
      </c>
      <c r="D131" s="382" t="s">
        <v>2335</v>
      </c>
      <c r="E131" s="382"/>
      <c r="F131" s="382"/>
      <c r="G131" s="382"/>
      <c r="H131" s="382"/>
      <c r="I131" s="382"/>
      <c r="J131" s="382"/>
      <c r="K131" s="382"/>
      <c r="L131" s="382"/>
      <c r="M131" s="382"/>
      <c r="N131" s="382"/>
      <c r="O131" s="382"/>
      <c r="P131" s="382"/>
      <c r="Q131" s="382"/>
      <c r="R131" s="382"/>
      <c r="S131" s="382"/>
      <c r="T131" s="382"/>
      <c r="U131" s="382"/>
      <c r="V131" s="382"/>
      <c r="W131" s="382"/>
      <c r="X131" s="382">
        <v>31.6546093069745</v>
      </c>
      <c r="Y131" s="382">
        <v>37.269078089522999</v>
      </c>
      <c r="Z131" s="382">
        <v>41.173522070239102</v>
      </c>
      <c r="AA131" s="382">
        <v>43.613968532893402</v>
      </c>
      <c r="AB131" s="382">
        <v>44.613398048236597</v>
      </c>
      <c r="AC131" s="382">
        <v>45.8246092911264</v>
      </c>
      <c r="AD131" s="382">
        <v>47.025006148098498</v>
      </c>
      <c r="AE131" s="382">
        <v>47.021862275453699</v>
      </c>
      <c r="AF131" s="382">
        <v>47.474688756797804</v>
      </c>
      <c r="AG131" s="382">
        <v>47.585079292969901</v>
      </c>
      <c r="AH131" s="382">
        <v>50.045211216523199</v>
      </c>
      <c r="AI131" s="382">
        <v>52.052516669997303</v>
      </c>
      <c r="AJ131" s="382">
        <v>54.303131864620603</v>
      </c>
      <c r="AK131" s="382">
        <v>55.855357959055802</v>
      </c>
      <c r="AL131" s="382">
        <v>56.8578842548308</v>
      </c>
      <c r="AM131" s="382">
        <v>57.6779282278466</v>
      </c>
      <c r="AN131" s="382">
        <v>59.383349354416602</v>
      </c>
      <c r="AO131" s="382">
        <v>60.622426794304303</v>
      </c>
      <c r="AP131" s="382">
        <v>66.020965076508901</v>
      </c>
      <c r="AQ131" s="382">
        <v>68.296284323543404</v>
      </c>
      <c r="AR131" s="382">
        <v>70.593113159374894</v>
      </c>
      <c r="AS131" s="382">
        <v>72.1100570323037</v>
      </c>
      <c r="AT131" s="382">
        <v>73.771074326359297</v>
      </c>
      <c r="AU131" s="382">
        <v>75.276809104367501</v>
      </c>
      <c r="AV131" s="382">
        <v>76.959574479328893</v>
      </c>
      <c r="AW131" s="382">
        <v>78.740845867804893</v>
      </c>
      <c r="AX131" s="382">
        <v>81.400569151692096</v>
      </c>
      <c r="AY131" s="382">
        <v>88.309430865746293</v>
      </c>
      <c r="AZ131" s="382">
        <v>92.266475866165393</v>
      </c>
      <c r="BA131" s="382">
        <v>97.156872888509</v>
      </c>
      <c r="BB131" s="382">
        <v>99.156300211572301</v>
      </c>
      <c r="BC131" s="382">
        <v>100</v>
      </c>
      <c r="BD131" s="382">
        <v>105.835165195709</v>
      </c>
      <c r="BE131" s="382">
        <v>106.69887463499499</v>
      </c>
      <c r="BF131" s="382">
        <v>107.880015748548</v>
      </c>
      <c r="BG131" s="382">
        <v>108.147412972867</v>
      </c>
      <c r="BH131" s="382">
        <v>105.657994028676</v>
      </c>
      <c r="BI131" s="382">
        <v>104.932084385971</v>
      </c>
      <c r="BJ131" s="382">
        <v>105.66127497621299</v>
      </c>
      <c r="BK131" s="382">
        <v>104.565438498638</v>
      </c>
      <c r="BL131" s="382">
        <v>104.22083048164301</v>
      </c>
      <c r="BM131" s="382">
        <v>103.004318030447</v>
      </c>
      <c r="BN131" s="382">
        <v>104.235929197152</v>
      </c>
      <c r="BO131" s="382">
        <v>107.017126546147</v>
      </c>
      <c r="BP131" s="382">
        <v>110.823845926704</v>
      </c>
    </row>
    <row r="132" spans="1:68">
      <c r="A132" s="382" t="s">
        <v>2485</v>
      </c>
      <c r="B132" s="382" t="s">
        <v>2486</v>
      </c>
      <c r="C132" s="382" t="s">
        <v>2334</v>
      </c>
      <c r="D132" s="382" t="s">
        <v>2335</v>
      </c>
      <c r="E132" s="382">
        <v>1.4769538395634401</v>
      </c>
      <c r="F132" s="382">
        <v>1.5979998494894201</v>
      </c>
      <c r="G132" s="382">
        <v>1.70376044890745</v>
      </c>
      <c r="H132" s="382">
        <v>2.0562965521499801</v>
      </c>
      <c r="I132" s="382">
        <v>2.6621397394237398</v>
      </c>
      <c r="J132" s="382">
        <v>3.0228116147855402</v>
      </c>
      <c r="K132" s="382">
        <v>3.3632220648507598</v>
      </c>
      <c r="L132" s="382">
        <v>3.7292226900485499</v>
      </c>
      <c r="M132" s="382">
        <v>4.1309278977145603</v>
      </c>
      <c r="N132" s="382">
        <v>4.6427318827715602</v>
      </c>
      <c r="O132" s="382">
        <v>5.3832635131484503</v>
      </c>
      <c r="P132" s="382">
        <v>6.1106340547549696</v>
      </c>
      <c r="Q132" s="382">
        <v>6.8249052555206502</v>
      </c>
      <c r="R132" s="382">
        <v>7.0447374362259598</v>
      </c>
      <c r="S132" s="382">
        <v>8.7569044798122899</v>
      </c>
      <c r="T132" s="382">
        <v>10.96795774512</v>
      </c>
      <c r="U132" s="382">
        <v>12.6490517833574</v>
      </c>
      <c r="V132" s="382">
        <v>13.9261842095107</v>
      </c>
      <c r="W132" s="382">
        <v>15.9399501385469</v>
      </c>
      <c r="X132" s="382">
        <v>18.860706319128699</v>
      </c>
      <c r="Y132" s="382">
        <v>24.273278004615701</v>
      </c>
      <c r="Z132" s="382">
        <v>29.456021002014499</v>
      </c>
      <c r="AA132" s="382">
        <v>31.574158298535799</v>
      </c>
      <c r="AB132" s="382">
        <v>32.654188439243903</v>
      </c>
      <c r="AC132" s="382">
        <v>33.3967304471322</v>
      </c>
      <c r="AD132" s="382">
        <v>34.2179923818492</v>
      </c>
      <c r="AE132" s="382">
        <v>35.1589806574611</v>
      </c>
      <c r="AF132" s="382">
        <v>36.2312102980109</v>
      </c>
      <c r="AG132" s="382">
        <v>38.820327997283101</v>
      </c>
      <c r="AH132" s="382">
        <v>41.033150919658198</v>
      </c>
      <c r="AI132" s="382">
        <v>44.551034663743899</v>
      </c>
      <c r="AJ132" s="382">
        <v>48.708889386302801</v>
      </c>
      <c r="AK132" s="382">
        <v>51.735309781643899</v>
      </c>
      <c r="AL132" s="382">
        <v>54.219120246374203</v>
      </c>
      <c r="AM132" s="382">
        <v>57.616414143363201</v>
      </c>
      <c r="AN132" s="382">
        <v>60.198056483918499</v>
      </c>
      <c r="AO132" s="382">
        <v>63.162535987465198</v>
      </c>
      <c r="AP132" s="382">
        <v>65.9662779119937</v>
      </c>
      <c r="AQ132" s="382">
        <v>70.922707029229898</v>
      </c>
      <c r="AR132" s="382">
        <v>71.499278321073803</v>
      </c>
      <c r="AS132" s="382">
        <v>73.114565564723407</v>
      </c>
      <c r="AT132" s="382">
        <v>76.087824851997894</v>
      </c>
      <c r="AU132" s="382">
        <v>78.189570002855802</v>
      </c>
      <c r="AV132" s="382">
        <v>80.937835271961006</v>
      </c>
      <c r="AW132" s="382">
        <v>83.844040167028098</v>
      </c>
      <c r="AX132" s="382">
        <v>86.152930325180094</v>
      </c>
      <c r="AY132" s="382">
        <v>88.084772188732501</v>
      </c>
      <c r="AZ132" s="382">
        <v>90.317345765249797</v>
      </c>
      <c r="BA132" s="382">
        <v>94.538685077840995</v>
      </c>
      <c r="BB132" s="382">
        <v>97.144640665642697</v>
      </c>
      <c r="BC132" s="382">
        <v>100</v>
      </c>
      <c r="BD132" s="382">
        <v>104.025965004361</v>
      </c>
      <c r="BE132" s="382">
        <v>106.301086763559</v>
      </c>
      <c r="BF132" s="382">
        <v>107.684433346969</v>
      </c>
      <c r="BG132" s="382">
        <v>109.057167004994</v>
      </c>
      <c r="BH132" s="382">
        <v>109.82747242569</v>
      </c>
      <c r="BI132" s="382">
        <v>110.894650313757</v>
      </c>
      <c r="BJ132" s="382">
        <v>113.05081082749901</v>
      </c>
      <c r="BK132" s="382">
        <v>114.719259179216</v>
      </c>
      <c r="BL132" s="382">
        <v>115.158634290169</v>
      </c>
      <c r="BM132" s="382">
        <v>115.777367840135</v>
      </c>
      <c r="BN132" s="382">
        <v>118.669872413341</v>
      </c>
      <c r="BO132" s="382">
        <v>124.70959176900099</v>
      </c>
      <c r="BP132" s="382">
        <v>129.19596477280601</v>
      </c>
    </row>
    <row r="133" spans="1:68">
      <c r="A133" s="382" t="s">
        <v>1070</v>
      </c>
      <c r="B133" s="382" t="s">
        <v>2487</v>
      </c>
      <c r="C133" s="382" t="s">
        <v>2334</v>
      </c>
      <c r="D133" s="382" t="s">
        <v>2335</v>
      </c>
      <c r="E133" s="382"/>
      <c r="F133" s="382"/>
      <c r="G133" s="382"/>
      <c r="H133" s="382"/>
      <c r="I133" s="382"/>
      <c r="J133" s="382"/>
      <c r="K133" s="382"/>
      <c r="L133" s="382"/>
      <c r="M133" s="382"/>
      <c r="N133" s="382"/>
      <c r="O133" s="382"/>
      <c r="P133" s="382"/>
      <c r="Q133" s="382">
        <v>20.0610574734572</v>
      </c>
      <c r="R133" s="382">
        <v>21.7194382244626</v>
      </c>
      <c r="S133" s="382">
        <v>24.541360309062298</v>
      </c>
      <c r="T133" s="382">
        <v>26.600962209653801</v>
      </c>
      <c r="U133" s="382">
        <v>27.993533949336499</v>
      </c>
      <c r="V133" s="382">
        <v>30.7619598806235</v>
      </c>
      <c r="W133" s="382">
        <v>33.435095789011797</v>
      </c>
      <c r="X133" s="382">
        <v>35.792270041886397</v>
      </c>
      <c r="Y133" s="382">
        <v>38.272039646321801</v>
      </c>
      <c r="Z133" s="382">
        <v>41.0945189825106</v>
      </c>
      <c r="AA133" s="382">
        <v>44.290356888288102</v>
      </c>
      <c r="AB133" s="382">
        <v>46.380050375157097</v>
      </c>
      <c r="AC133" s="382">
        <v>46.9261569397109</v>
      </c>
      <c r="AD133" s="382">
        <v>47.625507693186101</v>
      </c>
      <c r="AE133" s="382">
        <v>48.079667744599</v>
      </c>
      <c r="AF133" s="382">
        <v>48.3945148966123</v>
      </c>
      <c r="AG133" s="382">
        <v>49.1050106821288</v>
      </c>
      <c r="AH133" s="382">
        <v>50.746116633772601</v>
      </c>
      <c r="AI133" s="382">
        <v>55.736304680282601</v>
      </c>
      <c r="AJ133" s="382">
        <v>60.785004144423397</v>
      </c>
      <c r="AK133" s="382">
        <v>60.453439444515602</v>
      </c>
      <c r="AL133" s="382">
        <v>60.684698857056397</v>
      </c>
      <c r="AM133" s="382">
        <v>62.222713263350897</v>
      </c>
      <c r="AN133" s="382">
        <v>63.8944680528015</v>
      </c>
      <c r="AO133" s="382">
        <v>66.165268308471894</v>
      </c>
      <c r="AP133" s="382">
        <v>66.616642101623597</v>
      </c>
      <c r="AQ133" s="382">
        <v>66.703016099078496</v>
      </c>
      <c r="AR133" s="382">
        <v>68.697976814489706</v>
      </c>
      <c r="AS133" s="382">
        <v>69.943434132630401</v>
      </c>
      <c r="AT133" s="382">
        <v>70.8526987763546</v>
      </c>
      <c r="AU133" s="382">
        <v>71.482189683548199</v>
      </c>
      <c r="AV133" s="382">
        <v>72.169383923901293</v>
      </c>
      <c r="AW133" s="382">
        <v>73.070465185832006</v>
      </c>
      <c r="AX133" s="382">
        <v>76.097756901960494</v>
      </c>
      <c r="AY133" s="382">
        <v>78.424075521211805</v>
      </c>
      <c r="AZ133" s="382">
        <v>82.7255967203686</v>
      </c>
      <c r="BA133" s="382">
        <v>91.480206540447497</v>
      </c>
      <c r="BB133" s="382">
        <v>95.697074010327</v>
      </c>
      <c r="BC133" s="382">
        <v>100</v>
      </c>
      <c r="BD133" s="382">
        <v>104.83940349871</v>
      </c>
      <c r="BE133" s="382">
        <v>108.252079151133</v>
      </c>
      <c r="BF133" s="382">
        <v>111.155721250358</v>
      </c>
      <c r="BG133" s="382">
        <v>114.38915973616299</v>
      </c>
      <c r="BH133" s="382">
        <v>118.131631775165</v>
      </c>
      <c r="BI133" s="382">
        <v>121.90995124749099</v>
      </c>
      <c r="BJ133" s="382">
        <v>124.55763178080301</v>
      </c>
      <c r="BK133" s="382">
        <v>125.23414556761701</v>
      </c>
      <c r="BL133" s="382">
        <v>126.601512114575</v>
      </c>
      <c r="BM133" s="382">
        <v>129.26233350324799</v>
      </c>
      <c r="BN133" s="382">
        <v>133.68779685454999</v>
      </c>
      <c r="BO133" s="382">
        <v>139.00943963189701</v>
      </c>
      <c r="BP133" s="382">
        <v>144.07239144090099</v>
      </c>
    </row>
    <row r="134" spans="1:68">
      <c r="A134" s="382" t="s">
        <v>2488</v>
      </c>
      <c r="B134" s="382" t="s">
        <v>2489</v>
      </c>
      <c r="C134" s="382" t="s">
        <v>2334</v>
      </c>
      <c r="D134" s="382" t="s">
        <v>2335</v>
      </c>
      <c r="E134" s="382"/>
      <c r="F134" s="382"/>
      <c r="G134" s="382"/>
      <c r="H134" s="382"/>
      <c r="I134" s="382"/>
      <c r="J134" s="382"/>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382"/>
      <c r="AJ134" s="382"/>
      <c r="AK134" s="382"/>
      <c r="AL134" s="382"/>
      <c r="AM134" s="382"/>
      <c r="AN134" s="382"/>
      <c r="AO134" s="382"/>
      <c r="AP134" s="382"/>
      <c r="AQ134" s="382"/>
      <c r="AR134" s="382"/>
      <c r="AS134" s="382"/>
      <c r="AT134" s="382"/>
      <c r="AU134" s="382"/>
      <c r="AV134" s="382"/>
      <c r="AW134" s="382"/>
      <c r="AX134" s="382"/>
      <c r="AY134" s="382"/>
      <c r="AZ134" s="382"/>
      <c r="BA134" s="382"/>
      <c r="BB134" s="382"/>
      <c r="BC134" s="382"/>
      <c r="BD134" s="382"/>
      <c r="BE134" s="382"/>
      <c r="BF134" s="382"/>
      <c r="BG134" s="382"/>
      <c r="BH134" s="382"/>
      <c r="BI134" s="382"/>
      <c r="BJ134" s="382"/>
      <c r="BK134" s="382"/>
      <c r="BL134" s="382"/>
      <c r="BM134" s="382"/>
      <c r="BN134" s="382"/>
      <c r="BO134" s="382"/>
      <c r="BP134" s="382"/>
    </row>
    <row r="135" spans="1:68">
      <c r="A135" s="382" t="s">
        <v>2490</v>
      </c>
      <c r="B135" s="382" t="s">
        <v>2491</v>
      </c>
      <c r="C135" s="382" t="s">
        <v>2334</v>
      </c>
      <c r="D135" s="382" t="s">
        <v>2335</v>
      </c>
      <c r="E135" s="382"/>
      <c r="F135" s="382"/>
      <c r="G135" s="382"/>
      <c r="H135" s="382"/>
      <c r="I135" s="382"/>
      <c r="J135" s="382"/>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v>1.6771253827207</v>
      </c>
      <c r="AH135" s="382">
        <v>2.7057499266819498</v>
      </c>
      <c r="AI135" s="382">
        <v>3.6701599122931801</v>
      </c>
      <c r="AJ135" s="382">
        <v>4.1634866018027301</v>
      </c>
      <c r="AK135" s="382">
        <v>4.5741949729403002</v>
      </c>
      <c r="AL135" s="382">
        <v>4.8608699455989202</v>
      </c>
      <c r="AM135" s="382">
        <v>5.1906547331003603</v>
      </c>
      <c r="AN135" s="382">
        <v>6.2077074164434896</v>
      </c>
      <c r="AO135" s="382">
        <v>7.0162250355740001</v>
      </c>
      <c r="AP135" s="382">
        <v>8.9463087297325199</v>
      </c>
      <c r="AQ135" s="382">
        <v>17.085726128253199</v>
      </c>
      <c r="AR135" s="382">
        <v>38.489378901587997</v>
      </c>
      <c r="AS135" s="382">
        <v>48.1443015869663</v>
      </c>
      <c r="AT135" s="382">
        <v>51.905241964766397</v>
      </c>
      <c r="AU135" s="382">
        <v>57.423467120287199</v>
      </c>
      <c r="AV135" s="382">
        <v>66.317990603373801</v>
      </c>
      <c r="AW135" s="382">
        <v>73.256355671217307</v>
      </c>
      <c r="AX135" s="382">
        <v>78.5054794732104</v>
      </c>
      <c r="AY135" s="382">
        <v>83.644129733865896</v>
      </c>
      <c r="AZ135" s="382">
        <v>87.543596222775605</v>
      </c>
      <c r="BA135" s="382">
        <v>94.222129861591498</v>
      </c>
      <c r="BB135" s="382">
        <v>94.355159896060101</v>
      </c>
      <c r="BC135" s="382">
        <v>100</v>
      </c>
      <c r="BD135" s="382">
        <v>107.5689885611</v>
      </c>
      <c r="BE135" s="382">
        <v>112.146185398532</v>
      </c>
      <c r="BF135" s="382">
        <v>119.29149793391301</v>
      </c>
      <c r="BG135" s="382">
        <v>124.217333843943</v>
      </c>
      <c r="BH135" s="382">
        <v>125.804029263158</v>
      </c>
      <c r="BI135" s="382">
        <v>127.813009249953</v>
      </c>
      <c r="BJ135" s="382">
        <v>128.86807829899999</v>
      </c>
      <c r="BK135" s="382">
        <v>131.49749312116799</v>
      </c>
      <c r="BL135" s="382">
        <v>135.86657466717301</v>
      </c>
      <c r="BM135" s="382">
        <v>142.80130331753401</v>
      </c>
      <c r="BN135" s="382">
        <v>148.16437814868101</v>
      </c>
      <c r="BO135" s="382">
        <v>182.17732248179999</v>
      </c>
      <c r="BP135" s="382">
        <v>239.071544726127</v>
      </c>
    </row>
    <row r="136" spans="1:68">
      <c r="A136" s="382" t="s">
        <v>2322</v>
      </c>
      <c r="B136" s="382" t="s">
        <v>2492</v>
      </c>
      <c r="C136" s="382" t="s">
        <v>2334</v>
      </c>
      <c r="D136" s="382" t="s">
        <v>2335</v>
      </c>
      <c r="E136" s="382"/>
      <c r="F136" s="382"/>
      <c r="G136" s="382"/>
      <c r="H136" s="382"/>
      <c r="I136" s="382"/>
      <c r="J136" s="382"/>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382"/>
      <c r="AJ136" s="382"/>
      <c r="AK136" s="382"/>
      <c r="AL136" s="382"/>
      <c r="AM136" s="382"/>
      <c r="AN136" s="382"/>
      <c r="AO136" s="382"/>
      <c r="AP136" s="382"/>
      <c r="AQ136" s="382"/>
      <c r="AR136" s="382"/>
      <c r="AS136" s="382"/>
      <c r="AT136" s="382"/>
      <c r="AU136" s="382"/>
      <c r="AV136" s="382"/>
      <c r="AW136" s="382"/>
      <c r="AX136" s="382"/>
      <c r="AY136" s="382"/>
      <c r="AZ136" s="382"/>
      <c r="BA136" s="382">
        <v>95.033381963954298</v>
      </c>
      <c r="BB136" s="382">
        <v>96.169122786780505</v>
      </c>
      <c r="BC136" s="382">
        <v>100</v>
      </c>
      <c r="BD136" s="382">
        <v>104.97148571692399</v>
      </c>
      <c r="BE136" s="382">
        <v>111.88015725734</v>
      </c>
      <c r="BF136" s="382">
        <v>117.273921525802</v>
      </c>
      <c r="BG136" s="382">
        <v>119.448888615649</v>
      </c>
      <c r="BH136" s="382">
        <v>114.970576284332</v>
      </c>
      <c r="BI136" s="382">
        <v>114.069943209824</v>
      </c>
      <c r="BJ136" s="382">
        <v>118.999307190905</v>
      </c>
      <c r="BK136" s="382">
        <v>126.23088209285901</v>
      </c>
      <c r="BL136" s="382">
        <v>130.024611761339</v>
      </c>
      <c r="BM136" s="382">
        <v>240.36913132981701</v>
      </c>
      <c r="BN136" s="382">
        <v>612.35501502118404</v>
      </c>
      <c r="BO136" s="382">
        <v>1660.7404272127701</v>
      </c>
      <c r="BP136" s="382">
        <v>5336.6505917661598</v>
      </c>
    </row>
    <row r="137" spans="1:68">
      <c r="A137" s="382" t="s">
        <v>2059</v>
      </c>
      <c r="B137" s="382" t="s">
        <v>2493</v>
      </c>
      <c r="C137" s="382" t="s">
        <v>2334</v>
      </c>
      <c r="D137" s="382" t="s">
        <v>2335</v>
      </c>
      <c r="E137" s="382"/>
      <c r="F137" s="382"/>
      <c r="G137" s="382"/>
      <c r="H137" s="382"/>
      <c r="I137" s="382"/>
      <c r="J137" s="382"/>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382"/>
      <c r="AJ137" s="382"/>
      <c r="AK137" s="382"/>
      <c r="AL137" s="382"/>
      <c r="AM137" s="382"/>
      <c r="AN137" s="382"/>
      <c r="AO137" s="382"/>
      <c r="AP137" s="382"/>
      <c r="AQ137" s="382"/>
      <c r="AR137" s="382"/>
      <c r="AS137" s="382"/>
      <c r="AT137" s="382">
        <v>41.0286645662338</v>
      </c>
      <c r="AU137" s="382">
        <v>46.8381786423992</v>
      </c>
      <c r="AV137" s="382">
        <v>51.676697448044102</v>
      </c>
      <c r="AW137" s="382">
        <v>55.722511075213198</v>
      </c>
      <c r="AX137" s="382">
        <v>61.759687884297101</v>
      </c>
      <c r="AY137" s="382">
        <v>66.293742071219498</v>
      </c>
      <c r="AZ137" s="382">
        <v>73.845856673749296</v>
      </c>
      <c r="BA137" s="382">
        <v>86.761089851682897</v>
      </c>
      <c r="BB137" s="382">
        <v>93.205393920093599</v>
      </c>
      <c r="BC137" s="382">
        <v>100</v>
      </c>
      <c r="BD137" s="382">
        <v>108.488167518494</v>
      </c>
      <c r="BE137" s="382">
        <v>115.899848080648</v>
      </c>
      <c r="BF137" s="382">
        <v>124.681935170635</v>
      </c>
      <c r="BG137" s="382">
        <v>136.97696150854401</v>
      </c>
      <c r="BH137" s="382">
        <v>147.59089104608799</v>
      </c>
      <c r="BI137" s="382">
        <v>160.62943739509399</v>
      </c>
      <c r="BJ137" s="382">
        <v>180.579023030836</v>
      </c>
      <c r="BK137" s="382">
        <v>223.12978802062801</v>
      </c>
      <c r="BL137" s="382"/>
      <c r="BM137" s="382"/>
      <c r="BN137" s="382"/>
      <c r="BO137" s="382"/>
      <c r="BP137" s="382"/>
    </row>
    <row r="138" spans="1:68">
      <c r="A138" s="382" t="s">
        <v>1086</v>
      </c>
      <c r="B138" s="382" t="s">
        <v>2494</v>
      </c>
      <c r="C138" s="382" t="s">
        <v>2334</v>
      </c>
      <c r="D138" s="382" t="s">
        <v>2335</v>
      </c>
      <c r="E138" s="382"/>
      <c r="F138" s="382"/>
      <c r="G138" s="382"/>
      <c r="H138" s="382"/>
      <c r="I138" s="382">
        <v>10.781985707180899</v>
      </c>
      <c r="J138" s="382">
        <v>12.013827574190501</v>
      </c>
      <c r="K138" s="382">
        <v>13.4846701243758</v>
      </c>
      <c r="L138" s="382">
        <v>14.4685263201919</v>
      </c>
      <c r="M138" s="382">
        <v>14.525131745118699</v>
      </c>
      <c r="N138" s="382">
        <v>15.946556860839801</v>
      </c>
      <c r="O138" s="382">
        <v>15.101967980461801</v>
      </c>
      <c r="P138" s="382">
        <v>14.6332256366875</v>
      </c>
      <c r="Q138" s="382">
        <v>14.596492846588699</v>
      </c>
      <c r="R138" s="382">
        <v>15.759964047278199</v>
      </c>
      <c r="S138" s="382">
        <v>16.935413331748499</v>
      </c>
      <c r="T138" s="382">
        <v>18.479787595350199</v>
      </c>
      <c r="U138" s="382">
        <v>19.4923349409286</v>
      </c>
      <c r="V138" s="382">
        <v>20.716495099254502</v>
      </c>
      <c r="W138" s="382">
        <v>26.802958717445801</v>
      </c>
      <c r="X138" s="382">
        <v>25.184320334602798</v>
      </c>
      <c r="Y138" s="382">
        <v>27.635834806958901</v>
      </c>
      <c r="Z138" s="382">
        <v>30.730971645602299</v>
      </c>
      <c r="AA138" s="382">
        <v>33.883603286202003</v>
      </c>
      <c r="AB138" s="382">
        <v>37.477028408466097</v>
      </c>
      <c r="AC138" s="382">
        <v>42.153272300905698</v>
      </c>
      <c r="AD138" s="382">
        <v>46.005424031972801</v>
      </c>
      <c r="AE138" s="382">
        <v>47.519453816820103</v>
      </c>
      <c r="AF138" s="382">
        <v>49.589266687244198</v>
      </c>
      <c r="AG138" s="382">
        <v>52.607743789945999</v>
      </c>
      <c r="AH138" s="382">
        <v>53.403088550340399</v>
      </c>
      <c r="AI138" s="382">
        <v>57.916430503904103</v>
      </c>
      <c r="AJ138" s="382">
        <v>64.806224271658394</v>
      </c>
      <c r="AK138" s="382">
        <v>70.871925878040201</v>
      </c>
      <c r="AL138" s="382">
        <v>78.719966345064904</v>
      </c>
      <c r="AM138" s="382">
        <v>82.744602482000701</v>
      </c>
      <c r="AN138" s="382">
        <v>88.733644352440805</v>
      </c>
      <c r="AO138" s="382">
        <v>92.307904540719406</v>
      </c>
      <c r="AP138" s="382">
        <v>95.585108252224302</v>
      </c>
      <c r="AQ138" s="382">
        <v>99.130621039524797</v>
      </c>
      <c r="AR138" s="382">
        <v>101.756216995526</v>
      </c>
      <c r="AS138" s="382">
        <v>98.805286702655494</v>
      </c>
      <c r="AT138" s="382">
        <v>90.096650464788496</v>
      </c>
      <c r="AU138" s="382">
        <v>81.269298640426598</v>
      </c>
      <c r="AV138" s="382">
        <v>79.488564843004895</v>
      </c>
      <c r="AW138" s="382">
        <v>77.7417497845817</v>
      </c>
      <c r="AX138" s="382">
        <v>79.802066116321001</v>
      </c>
      <c r="AY138" s="382">
        <v>80.966592738608796</v>
      </c>
      <c r="AZ138" s="382">
        <v>86.027804597012704</v>
      </c>
      <c r="BA138" s="382">
        <v>94.940912206059494</v>
      </c>
      <c r="BB138" s="382">
        <v>97.276363948559606</v>
      </c>
      <c r="BC138" s="382">
        <v>100</v>
      </c>
      <c r="BD138" s="382">
        <v>115.518481531756</v>
      </c>
      <c r="BE138" s="382">
        <v>122.51867500575401</v>
      </c>
      <c r="BF138" s="382">
        <v>125.711288725735</v>
      </c>
      <c r="BG138" s="382">
        <v>128.769770733721</v>
      </c>
      <c r="BH138" s="382">
        <v>142.16478004291599</v>
      </c>
      <c r="BI138" s="382">
        <v>178.919883449612</v>
      </c>
      <c r="BJ138" s="382">
        <v>225.087687557724</v>
      </c>
      <c r="BK138" s="382">
        <v>254.732194858593</v>
      </c>
      <c r="BL138" s="382">
        <v>249.22442925617801</v>
      </c>
      <c r="BM138" s="382">
        <v>252.83079788885701</v>
      </c>
      <c r="BN138" s="382">
        <v>260.08282021557397</v>
      </c>
      <c r="BO138" s="382">
        <v>271.81333953712198</v>
      </c>
      <c r="BP138" s="382">
        <v>278.26394661213101</v>
      </c>
    </row>
    <row r="139" spans="1:68">
      <c r="A139" s="382" t="s">
        <v>2495</v>
      </c>
      <c r="B139" s="382" t="s">
        <v>2496</v>
      </c>
      <c r="C139" s="382" t="s">
        <v>2334</v>
      </c>
      <c r="D139" s="382" t="s">
        <v>2335</v>
      </c>
      <c r="E139" s="382"/>
      <c r="F139" s="382"/>
      <c r="G139" s="382"/>
      <c r="H139" s="382"/>
      <c r="I139" s="382"/>
      <c r="J139" s="382">
        <v>8.2009285123206208</v>
      </c>
      <c r="K139" s="382">
        <v>8.4042302187383502</v>
      </c>
      <c r="L139" s="382">
        <v>8.6737689327526404</v>
      </c>
      <c r="M139" s="382">
        <v>9.0180702097418308</v>
      </c>
      <c r="N139" s="382">
        <v>9.2213719161792298</v>
      </c>
      <c r="O139" s="382">
        <v>10.4569216416805</v>
      </c>
      <c r="P139" s="382">
        <v>11.3343980390728</v>
      </c>
      <c r="Q139" s="382">
        <v>12.227613923447</v>
      </c>
      <c r="R139" s="382">
        <v>13.871078685689501</v>
      </c>
      <c r="S139" s="382">
        <v>18.617845624718299</v>
      </c>
      <c r="T139" s="382">
        <v>21.921170448161099</v>
      </c>
      <c r="U139" s="382">
        <v>24.040754690590401</v>
      </c>
      <c r="V139" s="382">
        <v>26.1721435482578</v>
      </c>
      <c r="W139" s="382">
        <v>29.019023250154</v>
      </c>
      <c r="X139" s="382">
        <v>31.743921928202202</v>
      </c>
      <c r="Y139" s="382">
        <v>37.926917051312003</v>
      </c>
      <c r="Z139" s="382">
        <v>43.663304232329899</v>
      </c>
      <c r="AA139" s="382">
        <v>45.6779585617859</v>
      </c>
      <c r="AB139" s="382">
        <v>46.350821628821798</v>
      </c>
      <c r="AC139" s="382">
        <v>46.909573415471201</v>
      </c>
      <c r="AD139" s="382">
        <v>47.577189986962402</v>
      </c>
      <c r="AE139" s="382">
        <v>48.619253317830697</v>
      </c>
      <c r="AF139" s="382">
        <v>52.0331772152281</v>
      </c>
      <c r="AG139" s="382">
        <v>52.464778072416202</v>
      </c>
      <c r="AH139" s="382">
        <v>54.758872718730601</v>
      </c>
      <c r="AI139" s="382">
        <v>57.095738621163399</v>
      </c>
      <c r="AJ139" s="382">
        <v>60.606869918828302</v>
      </c>
      <c r="AK139" s="382">
        <v>63.721395023401399</v>
      </c>
      <c r="AL139" s="382">
        <v>64.261868168888896</v>
      </c>
      <c r="AM139" s="382">
        <v>66.071428815247103</v>
      </c>
      <c r="AN139" s="382">
        <v>69.791025096108697</v>
      </c>
      <c r="AO139" s="382">
        <v>70.436482233885201</v>
      </c>
      <c r="AP139" s="382">
        <v>70.432593937874699</v>
      </c>
      <c r="AQ139" s="382">
        <v>72.687805742743507</v>
      </c>
      <c r="AR139" s="382">
        <v>75.234639511093107</v>
      </c>
      <c r="AS139" s="382">
        <v>78.026436046777704</v>
      </c>
      <c r="AT139" s="382">
        <v>82.167471298176395</v>
      </c>
      <c r="AU139" s="382">
        <v>81.957503313598394</v>
      </c>
      <c r="AV139" s="382">
        <v>82.805151843931597</v>
      </c>
      <c r="AW139" s="382">
        <v>84.014411903260296</v>
      </c>
      <c r="AX139" s="382">
        <v>87.289523633075405</v>
      </c>
      <c r="AY139" s="382">
        <v>89.380649639527306</v>
      </c>
      <c r="AZ139" s="382">
        <v>91.9039580999858</v>
      </c>
      <c r="BA139" s="382">
        <v>97.004212087270602</v>
      </c>
      <c r="BB139" s="382">
        <v>96.851977472432097</v>
      </c>
      <c r="BC139" s="382">
        <v>100</v>
      </c>
      <c r="BD139" s="382">
        <v>102.769407941441</v>
      </c>
      <c r="BE139" s="382">
        <v>107.062739592043</v>
      </c>
      <c r="BF139" s="382">
        <v>108.63502563188101</v>
      </c>
      <c r="BG139" s="382">
        <v>112.455671155643</v>
      </c>
      <c r="BH139" s="382">
        <v>111.349556102794</v>
      </c>
      <c r="BI139" s="382">
        <v>107.921974406103</v>
      </c>
      <c r="BJ139" s="382">
        <v>108.03449610027199</v>
      </c>
      <c r="BK139" s="382">
        <v>110.12563225934601</v>
      </c>
      <c r="BL139" s="382">
        <v>110.719305842338</v>
      </c>
      <c r="BM139" s="382">
        <v>108.77528704170901</v>
      </c>
      <c r="BN139" s="382">
        <v>111.397536282109</v>
      </c>
      <c r="BO139" s="382">
        <v>118.50263484634699</v>
      </c>
      <c r="BP139" s="382">
        <v>123.326412840445</v>
      </c>
    </row>
    <row r="140" spans="1:68">
      <c r="A140" s="382" t="s">
        <v>2497</v>
      </c>
      <c r="B140" s="382" t="s">
        <v>2498</v>
      </c>
      <c r="C140" s="382" t="s">
        <v>2334</v>
      </c>
      <c r="D140" s="382" t="s">
        <v>2335</v>
      </c>
      <c r="E140" s="382"/>
      <c r="F140" s="382"/>
      <c r="G140" s="382"/>
      <c r="H140" s="382"/>
      <c r="I140" s="382"/>
      <c r="J140" s="382"/>
      <c r="K140" s="382"/>
      <c r="L140" s="382"/>
      <c r="M140" s="382"/>
      <c r="N140" s="382"/>
      <c r="O140" s="382"/>
      <c r="P140" s="382"/>
      <c r="Q140" s="382"/>
      <c r="R140" s="382"/>
      <c r="S140" s="382"/>
      <c r="T140" s="382"/>
      <c r="U140" s="382"/>
      <c r="V140" s="382"/>
      <c r="W140" s="382"/>
      <c r="X140" s="382"/>
      <c r="Y140" s="382"/>
      <c r="Z140" s="382"/>
      <c r="AA140" s="382"/>
      <c r="AB140" s="382"/>
      <c r="AC140" s="382"/>
      <c r="AD140" s="382"/>
      <c r="AE140" s="382"/>
      <c r="AF140" s="382"/>
      <c r="AG140" s="382"/>
      <c r="AH140" s="382"/>
      <c r="AI140" s="382"/>
      <c r="AJ140" s="382"/>
      <c r="AK140" s="382"/>
      <c r="AL140" s="382"/>
      <c r="AM140" s="382"/>
      <c r="AN140" s="382"/>
      <c r="AO140" s="382"/>
      <c r="AP140" s="382"/>
      <c r="AQ140" s="382"/>
      <c r="AR140" s="382"/>
      <c r="AS140" s="382"/>
      <c r="AT140" s="382"/>
      <c r="AU140" s="382"/>
      <c r="AV140" s="382"/>
      <c r="AW140" s="382"/>
      <c r="AX140" s="382"/>
      <c r="AY140" s="382"/>
      <c r="AZ140" s="382"/>
      <c r="BA140" s="382"/>
      <c r="BB140" s="382"/>
      <c r="BC140" s="382"/>
      <c r="BD140" s="382"/>
      <c r="BE140" s="382"/>
      <c r="BF140" s="382"/>
      <c r="BG140" s="382"/>
      <c r="BH140" s="382"/>
      <c r="BI140" s="382"/>
      <c r="BJ140" s="382"/>
      <c r="BK140" s="382"/>
      <c r="BL140" s="382"/>
      <c r="BM140" s="382"/>
      <c r="BN140" s="382"/>
      <c r="BO140" s="382"/>
      <c r="BP140" s="382"/>
    </row>
    <row r="141" spans="1:68">
      <c r="A141" s="382" t="s">
        <v>2499</v>
      </c>
      <c r="B141" s="382" t="s">
        <v>2500</v>
      </c>
      <c r="C141" s="382" t="s">
        <v>2334</v>
      </c>
      <c r="D141" s="382" t="s">
        <v>2335</v>
      </c>
      <c r="E141" s="382"/>
      <c r="F141" s="382"/>
      <c r="G141" s="382"/>
      <c r="H141" s="382"/>
      <c r="I141" s="382"/>
      <c r="J141" s="382"/>
      <c r="K141" s="382"/>
      <c r="L141" s="382"/>
      <c r="M141" s="382"/>
      <c r="N141" s="382"/>
      <c r="O141" s="382"/>
      <c r="P141" s="382"/>
      <c r="Q141" s="382"/>
      <c r="R141" s="382"/>
      <c r="S141" s="382"/>
      <c r="T141" s="382"/>
      <c r="U141" s="382"/>
      <c r="V141" s="382"/>
      <c r="W141" s="382"/>
      <c r="X141" s="382"/>
      <c r="Y141" s="382"/>
      <c r="Z141" s="382"/>
      <c r="AA141" s="382"/>
      <c r="AB141" s="382"/>
      <c r="AC141" s="382"/>
      <c r="AD141" s="382"/>
      <c r="AE141" s="382"/>
      <c r="AF141" s="382"/>
      <c r="AG141" s="382"/>
      <c r="AH141" s="382"/>
      <c r="AI141" s="382"/>
      <c r="AJ141" s="382"/>
      <c r="AK141" s="382"/>
      <c r="AL141" s="382"/>
      <c r="AM141" s="382"/>
      <c r="AN141" s="382"/>
      <c r="AO141" s="382"/>
      <c r="AP141" s="382"/>
      <c r="AQ141" s="382"/>
      <c r="AR141" s="382"/>
      <c r="AS141" s="382"/>
      <c r="AT141" s="382"/>
      <c r="AU141" s="382"/>
      <c r="AV141" s="382"/>
      <c r="AW141" s="382"/>
      <c r="AX141" s="382"/>
      <c r="AY141" s="382"/>
      <c r="AZ141" s="382"/>
      <c r="BA141" s="382"/>
      <c r="BB141" s="382"/>
      <c r="BC141" s="382"/>
      <c r="BD141" s="382"/>
      <c r="BE141" s="382"/>
      <c r="BF141" s="382"/>
      <c r="BG141" s="382"/>
      <c r="BH141" s="382"/>
      <c r="BI141" s="382"/>
      <c r="BJ141" s="382"/>
      <c r="BK141" s="382"/>
      <c r="BL141" s="382"/>
      <c r="BM141" s="382"/>
      <c r="BN141" s="382"/>
      <c r="BO141" s="382"/>
      <c r="BP141" s="382"/>
    </row>
    <row r="142" spans="1:68">
      <c r="A142" s="382" t="s">
        <v>2501</v>
      </c>
      <c r="B142" s="382" t="s">
        <v>2502</v>
      </c>
      <c r="C142" s="382" t="s">
        <v>2334</v>
      </c>
      <c r="D142" s="382" t="s">
        <v>2335</v>
      </c>
      <c r="E142" s="382"/>
      <c r="F142" s="382"/>
      <c r="G142" s="382"/>
      <c r="H142" s="382"/>
      <c r="I142" s="382"/>
      <c r="J142" s="382"/>
      <c r="K142" s="382"/>
      <c r="L142" s="382"/>
      <c r="M142" s="382"/>
      <c r="N142" s="382"/>
      <c r="O142" s="382"/>
      <c r="P142" s="382"/>
      <c r="Q142" s="382"/>
      <c r="R142" s="382"/>
      <c r="S142" s="382"/>
      <c r="T142" s="382"/>
      <c r="U142" s="382"/>
      <c r="V142" s="382"/>
      <c r="W142" s="382"/>
      <c r="X142" s="382"/>
      <c r="Y142" s="382"/>
      <c r="Z142" s="382"/>
      <c r="AA142" s="382"/>
      <c r="AB142" s="382"/>
      <c r="AC142" s="382"/>
      <c r="AD142" s="382"/>
      <c r="AE142" s="382"/>
      <c r="AF142" s="382"/>
      <c r="AG142" s="382"/>
      <c r="AH142" s="382"/>
      <c r="AI142" s="382"/>
      <c r="AJ142" s="382"/>
      <c r="AK142" s="382"/>
      <c r="AL142" s="382"/>
      <c r="AM142" s="382"/>
      <c r="AN142" s="382"/>
      <c r="AO142" s="382"/>
      <c r="AP142" s="382"/>
      <c r="AQ142" s="382"/>
      <c r="AR142" s="382"/>
      <c r="AS142" s="382"/>
      <c r="AT142" s="382"/>
      <c r="AU142" s="382"/>
      <c r="AV142" s="382"/>
      <c r="AW142" s="382"/>
      <c r="AX142" s="382"/>
      <c r="AY142" s="382"/>
      <c r="AZ142" s="382"/>
      <c r="BA142" s="382"/>
      <c r="BB142" s="382"/>
      <c r="BC142" s="382"/>
      <c r="BD142" s="382"/>
      <c r="BE142" s="382"/>
      <c r="BF142" s="382"/>
      <c r="BG142" s="382"/>
      <c r="BH142" s="382"/>
      <c r="BI142" s="382"/>
      <c r="BJ142" s="382"/>
      <c r="BK142" s="382"/>
      <c r="BL142" s="382"/>
      <c r="BM142" s="382"/>
      <c r="BN142" s="382"/>
      <c r="BO142" s="382"/>
      <c r="BP142" s="382"/>
    </row>
    <row r="143" spans="1:68">
      <c r="A143" s="382" t="s">
        <v>2260</v>
      </c>
      <c r="B143" s="382" t="s">
        <v>2503</v>
      </c>
      <c r="C143" s="382" t="s">
        <v>2334</v>
      </c>
      <c r="D143" s="382" t="s">
        <v>2335</v>
      </c>
      <c r="E143" s="382"/>
      <c r="F143" s="382"/>
      <c r="G143" s="382"/>
      <c r="H143" s="382"/>
      <c r="I143" s="382"/>
      <c r="J143" s="382"/>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382"/>
      <c r="AJ143" s="382"/>
      <c r="AK143" s="382"/>
      <c r="AL143" s="382"/>
      <c r="AM143" s="382"/>
      <c r="AN143" s="382"/>
      <c r="AO143" s="382"/>
      <c r="AP143" s="382"/>
      <c r="AQ143" s="382"/>
      <c r="AR143" s="382"/>
      <c r="AS143" s="382"/>
      <c r="AT143" s="382"/>
      <c r="AU143" s="382"/>
      <c r="AV143" s="382"/>
      <c r="AW143" s="382"/>
      <c r="AX143" s="382"/>
      <c r="AY143" s="382"/>
      <c r="AZ143" s="382"/>
      <c r="BA143" s="382"/>
      <c r="BB143" s="382"/>
      <c r="BC143" s="382"/>
      <c r="BD143" s="382"/>
      <c r="BE143" s="382"/>
      <c r="BF143" s="382"/>
      <c r="BG143" s="382"/>
      <c r="BH143" s="382"/>
      <c r="BI143" s="382"/>
      <c r="BJ143" s="382"/>
      <c r="BK143" s="382"/>
      <c r="BL143" s="382"/>
      <c r="BM143" s="382"/>
      <c r="BN143" s="382"/>
      <c r="BO143" s="382"/>
      <c r="BP143" s="382"/>
    </row>
    <row r="144" spans="1:68">
      <c r="A144" s="382" t="s">
        <v>2145</v>
      </c>
      <c r="B144" s="382" t="s">
        <v>2504</v>
      </c>
      <c r="C144" s="382" t="s">
        <v>2334</v>
      </c>
      <c r="D144" s="382" t="s">
        <v>2335</v>
      </c>
      <c r="E144" s="382">
        <v>1.4876690344772701</v>
      </c>
      <c r="F144" s="382">
        <v>1.50454580122017</v>
      </c>
      <c r="G144" s="382">
        <v>1.52716785026373</v>
      </c>
      <c r="H144" s="382">
        <v>1.5618789307988601</v>
      </c>
      <c r="I144" s="382">
        <v>1.61179107074419</v>
      </c>
      <c r="J144" s="382">
        <v>1.6153818721815001</v>
      </c>
      <c r="K144" s="382">
        <v>1.6128683111734701</v>
      </c>
      <c r="L144" s="382">
        <v>1.6481778586156099</v>
      </c>
      <c r="M144" s="382">
        <v>1.74477041721725</v>
      </c>
      <c r="N144" s="382">
        <v>1.87487712254117</v>
      </c>
      <c r="O144" s="382">
        <v>1.9848753398307499</v>
      </c>
      <c r="P144" s="382">
        <v>2.0377798143039798</v>
      </c>
      <c r="Q144" s="382">
        <v>2.1671683593457001</v>
      </c>
      <c r="R144" s="382">
        <v>2.37579392271312</v>
      </c>
      <c r="S144" s="382">
        <v>2.6680851595128798</v>
      </c>
      <c r="T144" s="382">
        <v>2.8448722834955</v>
      </c>
      <c r="U144" s="382">
        <v>2.8826953919432801</v>
      </c>
      <c r="V144" s="382">
        <v>2.9180049393842298</v>
      </c>
      <c r="W144" s="382">
        <v>3.2722973476316501</v>
      </c>
      <c r="X144" s="382">
        <v>3.62347772796402</v>
      </c>
      <c r="Y144" s="382">
        <v>4.5708508398747902</v>
      </c>
      <c r="Z144" s="382">
        <v>5.3921868214212303</v>
      </c>
      <c r="AA144" s="382">
        <v>5.97593144135499</v>
      </c>
      <c r="AB144" s="382">
        <v>6.8104336948282302</v>
      </c>
      <c r="AC144" s="382">
        <v>7.9435709343077097</v>
      </c>
      <c r="AD144" s="382">
        <v>8.0612295279917898</v>
      </c>
      <c r="AE144" s="382">
        <v>8.7042223716124401</v>
      </c>
      <c r="AF144" s="382">
        <v>9.3759416267088191</v>
      </c>
      <c r="AG144" s="382">
        <v>10.687781084264699</v>
      </c>
      <c r="AH144" s="382">
        <v>11.924094018306301</v>
      </c>
      <c r="AI144" s="382">
        <v>14.4872080825492</v>
      </c>
      <c r="AJ144" s="382">
        <v>16.252565761335099</v>
      </c>
      <c r="AK144" s="382">
        <v>18.102666353984901</v>
      </c>
      <c r="AL144" s="382">
        <v>20.229138963741999</v>
      </c>
      <c r="AM144" s="382">
        <v>21.938240753380899</v>
      </c>
      <c r="AN144" s="382">
        <v>23.6219675462129</v>
      </c>
      <c r="AO144" s="382">
        <v>27.386324383816302</v>
      </c>
      <c r="AP144" s="382">
        <v>30.008207898210799</v>
      </c>
      <c r="AQ144" s="382">
        <v>32.818249407794703</v>
      </c>
      <c r="AR144" s="382">
        <v>34.357985063086602</v>
      </c>
      <c r="AS144" s="382">
        <v>36.480029017740797</v>
      </c>
      <c r="AT144" s="382">
        <v>41.645037801723802</v>
      </c>
      <c r="AU144" s="382">
        <v>45.622568551180102</v>
      </c>
      <c r="AV144" s="382">
        <v>48.503468542413103</v>
      </c>
      <c r="AW144" s="382">
        <v>52.178055344143601</v>
      </c>
      <c r="AX144" s="382">
        <v>58.251417197779197</v>
      </c>
      <c r="AY144" s="382">
        <v>64.088316153920999</v>
      </c>
      <c r="AZ144" s="382">
        <v>74.241258652680997</v>
      </c>
      <c r="BA144" s="382">
        <v>90.993424142790303</v>
      </c>
      <c r="BB144" s="382">
        <v>94.1463128229218</v>
      </c>
      <c r="BC144" s="382">
        <v>100</v>
      </c>
      <c r="BD144" s="382">
        <v>106.716768435885</v>
      </c>
      <c r="BE144" s="382">
        <v>114.76632221700299</v>
      </c>
      <c r="BF144" s="382">
        <v>122.694896603917</v>
      </c>
      <c r="BG144" s="382">
        <v>126.595370167296</v>
      </c>
      <c r="BH144" s="382">
        <v>131.36594937173601</v>
      </c>
      <c r="BI144" s="382">
        <v>136.566580789574</v>
      </c>
      <c r="BJ144" s="382">
        <v>147.08785819643001</v>
      </c>
      <c r="BK144" s="382">
        <v>150.228239475663</v>
      </c>
      <c r="BL144" s="382">
        <v>155.528883036152</v>
      </c>
      <c r="BM144" s="382">
        <v>165.100045087827</v>
      </c>
      <c r="BN144" s="382">
        <v>176.68145120678199</v>
      </c>
      <c r="BO144" s="382">
        <v>264.52941597326702</v>
      </c>
      <c r="BP144" s="382">
        <v>308.28568755367201</v>
      </c>
    </row>
    <row r="145" spans="1:68">
      <c r="A145" s="382" t="s">
        <v>2505</v>
      </c>
      <c r="B145" s="382" t="s">
        <v>2506</v>
      </c>
      <c r="C145" s="382" t="s">
        <v>2334</v>
      </c>
      <c r="D145" s="382" t="s">
        <v>2335</v>
      </c>
      <c r="E145" s="382"/>
      <c r="F145" s="382"/>
      <c r="G145" s="382"/>
      <c r="H145" s="382"/>
      <c r="I145" s="382"/>
      <c r="J145" s="382"/>
      <c r="K145" s="382"/>
      <c r="L145" s="382"/>
      <c r="M145" s="382"/>
      <c r="N145" s="382"/>
      <c r="O145" s="382"/>
      <c r="P145" s="382"/>
      <c r="Q145" s="382"/>
      <c r="R145" s="382"/>
      <c r="S145" s="382"/>
      <c r="T145" s="382"/>
      <c r="U145" s="382"/>
      <c r="V145" s="382"/>
      <c r="W145" s="382"/>
      <c r="X145" s="382"/>
      <c r="Y145" s="382"/>
      <c r="Z145" s="382"/>
      <c r="AA145" s="382"/>
      <c r="AB145" s="382"/>
      <c r="AC145" s="382"/>
      <c r="AD145" s="382"/>
      <c r="AE145" s="382"/>
      <c r="AF145" s="382"/>
      <c r="AG145" s="382"/>
      <c r="AH145" s="382"/>
      <c r="AI145" s="382"/>
      <c r="AJ145" s="382"/>
      <c r="AK145" s="382"/>
      <c r="AL145" s="382"/>
      <c r="AM145" s="382"/>
      <c r="AN145" s="382"/>
      <c r="AO145" s="382"/>
      <c r="AP145" s="382"/>
      <c r="AQ145" s="382"/>
      <c r="AR145" s="382"/>
      <c r="AS145" s="382"/>
      <c r="AT145" s="382"/>
      <c r="AU145" s="382"/>
      <c r="AV145" s="382"/>
      <c r="AW145" s="382"/>
      <c r="AX145" s="382"/>
      <c r="AY145" s="382"/>
      <c r="AZ145" s="382"/>
      <c r="BA145" s="382"/>
      <c r="BB145" s="382"/>
      <c r="BC145" s="382"/>
      <c r="BD145" s="382"/>
      <c r="BE145" s="382"/>
      <c r="BF145" s="382"/>
      <c r="BG145" s="382"/>
      <c r="BH145" s="382"/>
      <c r="BI145" s="382"/>
      <c r="BJ145" s="382"/>
      <c r="BK145" s="382"/>
      <c r="BL145" s="382"/>
      <c r="BM145" s="382"/>
      <c r="BN145" s="382"/>
      <c r="BO145" s="382"/>
      <c r="BP145" s="382"/>
    </row>
    <row r="146" spans="1:68">
      <c r="A146" s="382" t="s">
        <v>2507</v>
      </c>
      <c r="B146" s="382" t="s">
        <v>2508</v>
      </c>
      <c r="C146" s="382" t="s">
        <v>2334</v>
      </c>
      <c r="D146" s="382" t="s">
        <v>2335</v>
      </c>
      <c r="E146" s="382"/>
      <c r="F146" s="382"/>
      <c r="G146" s="382"/>
      <c r="H146" s="382"/>
      <c r="I146" s="382"/>
      <c r="J146" s="382"/>
      <c r="K146" s="382"/>
      <c r="L146" s="382"/>
      <c r="M146" s="382"/>
      <c r="N146" s="382"/>
      <c r="O146" s="382"/>
      <c r="P146" s="382"/>
      <c r="Q146" s="382"/>
      <c r="R146" s="382"/>
      <c r="S146" s="382"/>
      <c r="T146" s="382"/>
      <c r="U146" s="382"/>
      <c r="V146" s="382"/>
      <c r="W146" s="382"/>
      <c r="X146" s="382"/>
      <c r="Y146" s="382"/>
      <c r="Z146" s="382"/>
      <c r="AA146" s="382"/>
      <c r="AB146" s="382"/>
      <c r="AC146" s="382"/>
      <c r="AD146" s="382"/>
      <c r="AE146" s="382"/>
      <c r="AF146" s="382"/>
      <c r="AG146" s="382"/>
      <c r="AH146" s="382"/>
      <c r="AI146" s="382"/>
      <c r="AJ146" s="382"/>
      <c r="AK146" s="382"/>
      <c r="AL146" s="382"/>
      <c r="AM146" s="382"/>
      <c r="AN146" s="382"/>
      <c r="AO146" s="382"/>
      <c r="AP146" s="382"/>
      <c r="AQ146" s="382"/>
      <c r="AR146" s="382"/>
      <c r="AS146" s="382"/>
      <c r="AT146" s="382"/>
      <c r="AU146" s="382"/>
      <c r="AV146" s="382"/>
      <c r="AW146" s="382"/>
      <c r="AX146" s="382"/>
      <c r="AY146" s="382"/>
      <c r="AZ146" s="382"/>
      <c r="BA146" s="382"/>
      <c r="BB146" s="382"/>
      <c r="BC146" s="382"/>
      <c r="BD146" s="382"/>
      <c r="BE146" s="382"/>
      <c r="BF146" s="382"/>
      <c r="BG146" s="382"/>
      <c r="BH146" s="382"/>
      <c r="BI146" s="382"/>
      <c r="BJ146" s="382"/>
      <c r="BK146" s="382"/>
      <c r="BL146" s="382"/>
      <c r="BM146" s="382"/>
      <c r="BN146" s="382"/>
      <c r="BO146" s="382"/>
      <c r="BP146" s="382"/>
    </row>
    <row r="147" spans="1:68">
      <c r="A147" s="382" t="s">
        <v>2075</v>
      </c>
      <c r="B147" s="382" t="s">
        <v>2509</v>
      </c>
      <c r="C147" s="382" t="s">
        <v>2334</v>
      </c>
      <c r="D147" s="382" t="s">
        <v>2335</v>
      </c>
      <c r="E147" s="382"/>
      <c r="F147" s="382"/>
      <c r="G147" s="382"/>
      <c r="H147" s="382"/>
      <c r="I147" s="382"/>
      <c r="J147" s="382"/>
      <c r="K147" s="382"/>
      <c r="L147" s="382"/>
      <c r="M147" s="382"/>
      <c r="N147" s="382"/>
      <c r="O147" s="382"/>
      <c r="P147" s="382"/>
      <c r="Q147" s="382"/>
      <c r="R147" s="382">
        <v>5.7291505502425597</v>
      </c>
      <c r="S147" s="382">
        <v>6.4981649478080596</v>
      </c>
      <c r="T147" s="382">
        <v>7.4216802306236804</v>
      </c>
      <c r="U147" s="382">
        <v>8.2686833460995803</v>
      </c>
      <c r="V147" s="382">
        <v>9.6485869954363395</v>
      </c>
      <c r="W147" s="382">
        <v>10.949561846492999</v>
      </c>
      <c r="X147" s="382">
        <v>12.7018807139203</v>
      </c>
      <c r="Y147" s="382">
        <v>14.7690916826503</v>
      </c>
      <c r="Z147" s="382">
        <v>16.602417635546701</v>
      </c>
      <c r="AA147" s="382">
        <v>18.6179374719609</v>
      </c>
      <c r="AB147" s="382">
        <v>21.874653139839101</v>
      </c>
      <c r="AC147" s="382">
        <v>24.277334978728199</v>
      </c>
      <c r="AD147" s="382">
        <v>27.511276411166602</v>
      </c>
      <c r="AE147" s="382">
        <v>32.464672619303002</v>
      </c>
      <c r="AF147" s="382">
        <v>36.279357055454</v>
      </c>
      <c r="AG147" s="382">
        <v>40.435655023200702</v>
      </c>
      <c r="AH147" s="382">
        <v>46.391117590684203</v>
      </c>
      <c r="AI147" s="382">
        <v>51.788611389894903</v>
      </c>
      <c r="AJ147" s="382">
        <v>60.943854036657299</v>
      </c>
      <c r="AK147" s="382">
        <v>71.431389456642506</v>
      </c>
      <c r="AL147" s="382">
        <v>80.814374457802003</v>
      </c>
      <c r="AM147" s="382">
        <v>87.453064088476793</v>
      </c>
      <c r="AN147" s="382">
        <v>95.560691905012604</v>
      </c>
      <c r="AO147" s="382">
        <v>104.47680507965801</v>
      </c>
      <c r="AP147" s="382"/>
      <c r="AQ147" s="382"/>
      <c r="AR147" s="382">
        <v>65.34307054029</v>
      </c>
      <c r="AS147" s="382">
        <v>69.349891543078897</v>
      </c>
      <c r="AT147" s="382">
        <v>62.681099493454496</v>
      </c>
      <c r="AU147" s="382">
        <v>83.875195362877406</v>
      </c>
      <c r="AV147" s="382">
        <v>89.435419259370605</v>
      </c>
      <c r="AW147" s="382">
        <v>93.928136611202305</v>
      </c>
      <c r="AX147" s="382">
        <v>97.157277207831299</v>
      </c>
      <c r="AY147" s="382">
        <v>103.057365443818</v>
      </c>
      <c r="AZ147" s="382">
        <v>111.314771604833</v>
      </c>
      <c r="BA147" s="382">
        <v>123.242890884457</v>
      </c>
      <c r="BB147" s="382">
        <v>102.46452023524</v>
      </c>
      <c r="BC147" s="382">
        <v>100</v>
      </c>
      <c r="BD147" s="382">
        <v>105.03663052101599</v>
      </c>
      <c r="BE147" s="382">
        <v>111.392855646249</v>
      </c>
      <c r="BF147" s="382">
        <v>116.812250625327</v>
      </c>
      <c r="BG147" s="382">
        <v>123.08540678396599</v>
      </c>
      <c r="BH147" s="382">
        <v>127.04684307241899</v>
      </c>
      <c r="BI147" s="382">
        <v>135.42749430983599</v>
      </c>
      <c r="BJ147" s="382">
        <v>141.45090212615699</v>
      </c>
      <c r="BK147" s="382">
        <v>148.172370359897</v>
      </c>
      <c r="BL147" s="382">
        <v>155.858195070683</v>
      </c>
      <c r="BM147" s="382">
        <v>163.61696683362399</v>
      </c>
      <c r="BN147" s="382">
        <v>173.51210526892501</v>
      </c>
      <c r="BO147" s="382">
        <v>187.864686358543</v>
      </c>
      <c r="BP147" s="382">
        <v>199.77947324393699</v>
      </c>
    </row>
    <row r="148" spans="1:68">
      <c r="A148" s="382" t="s">
        <v>2510</v>
      </c>
      <c r="B148" s="382" t="s">
        <v>2511</v>
      </c>
      <c r="C148" s="382" t="s">
        <v>2334</v>
      </c>
      <c r="D148" s="382" t="s">
        <v>2335</v>
      </c>
      <c r="E148" s="382"/>
      <c r="F148" s="382"/>
      <c r="G148" s="382"/>
      <c r="H148" s="382"/>
      <c r="I148" s="382"/>
      <c r="J148" s="382"/>
      <c r="K148" s="382"/>
      <c r="L148" s="382"/>
      <c r="M148" s="382"/>
      <c r="N148" s="382"/>
      <c r="O148" s="382"/>
      <c r="P148" s="382"/>
      <c r="Q148" s="382"/>
      <c r="R148" s="382"/>
      <c r="S148" s="382"/>
      <c r="T148" s="382"/>
      <c r="U148" s="382"/>
      <c r="V148" s="382"/>
      <c r="W148" s="382"/>
      <c r="X148" s="382"/>
      <c r="Y148" s="382"/>
      <c r="Z148" s="382"/>
      <c r="AA148" s="382"/>
      <c r="AB148" s="382"/>
      <c r="AC148" s="382"/>
      <c r="AD148" s="382"/>
      <c r="AE148" s="382"/>
      <c r="AF148" s="382"/>
      <c r="AG148" s="382"/>
      <c r="AH148" s="382"/>
      <c r="AI148" s="382"/>
      <c r="AJ148" s="382"/>
      <c r="AK148" s="382"/>
      <c r="AL148" s="382"/>
      <c r="AM148" s="382"/>
      <c r="AN148" s="382"/>
      <c r="AO148" s="382"/>
      <c r="AP148" s="382"/>
      <c r="AQ148" s="382"/>
      <c r="AR148" s="382"/>
      <c r="AS148" s="382"/>
      <c r="AT148" s="382"/>
      <c r="AU148" s="382"/>
      <c r="AV148" s="382"/>
      <c r="AW148" s="382"/>
      <c r="AX148" s="382"/>
      <c r="AY148" s="382"/>
      <c r="AZ148" s="382"/>
      <c r="BA148" s="382"/>
      <c r="BB148" s="382"/>
      <c r="BC148" s="382"/>
      <c r="BD148" s="382"/>
      <c r="BE148" s="382"/>
      <c r="BF148" s="382"/>
      <c r="BG148" s="382"/>
      <c r="BH148" s="382"/>
      <c r="BI148" s="382"/>
      <c r="BJ148" s="382"/>
      <c r="BK148" s="382"/>
      <c r="BL148" s="382"/>
      <c r="BM148" s="382"/>
      <c r="BN148" s="382"/>
      <c r="BO148" s="382"/>
      <c r="BP148" s="382"/>
    </row>
    <row r="149" spans="1:68">
      <c r="A149" s="382" t="s">
        <v>1604</v>
      </c>
      <c r="B149" s="382" t="s">
        <v>2512</v>
      </c>
      <c r="C149" s="382" t="s">
        <v>2334</v>
      </c>
      <c r="D149" s="382" t="s">
        <v>2335</v>
      </c>
      <c r="E149" s="382"/>
      <c r="F149" s="382"/>
      <c r="G149" s="382"/>
      <c r="H149" s="382"/>
      <c r="I149" s="382"/>
      <c r="J149" s="382"/>
      <c r="K149" s="382"/>
      <c r="L149" s="382"/>
      <c r="M149" s="382"/>
      <c r="N149" s="382"/>
      <c r="O149" s="382"/>
      <c r="P149" s="382"/>
      <c r="Q149" s="382"/>
      <c r="R149" s="382"/>
      <c r="S149" s="382"/>
      <c r="T149" s="382"/>
      <c r="U149" s="382"/>
      <c r="V149" s="382"/>
      <c r="W149" s="382"/>
      <c r="X149" s="382"/>
      <c r="Y149" s="382"/>
      <c r="Z149" s="382"/>
      <c r="AA149" s="382"/>
      <c r="AB149" s="382"/>
      <c r="AC149" s="382"/>
      <c r="AD149" s="382"/>
      <c r="AE149" s="382"/>
      <c r="AF149" s="382"/>
      <c r="AG149" s="382"/>
      <c r="AH149" s="382"/>
      <c r="AI149" s="382"/>
      <c r="AJ149" s="382">
        <v>0.37287540616064602</v>
      </c>
      <c r="AK149" s="382">
        <v>4.1785184841715601</v>
      </c>
      <c r="AL149" s="382">
        <v>21.3293252627819</v>
      </c>
      <c r="AM149" s="382">
        <v>36.740761322340397</v>
      </c>
      <c r="AN149" s="382">
        <v>51.307602075258998</v>
      </c>
      <c r="AO149" s="382">
        <v>63.942199334393798</v>
      </c>
      <c r="AP149" s="382">
        <v>69.620937059438603</v>
      </c>
      <c r="AQ149" s="382">
        <v>73.149015541662095</v>
      </c>
      <c r="AR149" s="382">
        <v>73.681211662556095</v>
      </c>
      <c r="AS149" s="382">
        <v>74.404477841245594</v>
      </c>
      <c r="AT149" s="382">
        <v>75.4216765680072</v>
      </c>
      <c r="AU149" s="382">
        <v>75.633993573179595</v>
      </c>
      <c r="AV149" s="382">
        <v>74.776070717446302</v>
      </c>
      <c r="AW149" s="382">
        <v>75.646540841807806</v>
      </c>
      <c r="AX149" s="382">
        <v>77.657592662565307</v>
      </c>
      <c r="AY149" s="382">
        <v>80.561303272863995</v>
      </c>
      <c r="AZ149" s="382">
        <v>85.183245279729107</v>
      </c>
      <c r="BA149" s="382">
        <v>94.490269229944701</v>
      </c>
      <c r="BB149" s="382">
        <v>98.697963028517805</v>
      </c>
      <c r="BC149" s="382">
        <v>99.999999999999901</v>
      </c>
      <c r="BD149" s="382">
        <v>104.130275626451</v>
      </c>
      <c r="BE149" s="382">
        <v>107.347883202239</v>
      </c>
      <c r="BF149" s="382">
        <v>108.472330133615</v>
      </c>
      <c r="BG149" s="382">
        <v>108.584878864148</v>
      </c>
      <c r="BH149" s="382">
        <v>107.624882767344</v>
      </c>
      <c r="BI149" s="382">
        <v>108.599453068237</v>
      </c>
      <c r="BJ149" s="382">
        <v>112.642489751195</v>
      </c>
      <c r="BK149" s="382">
        <v>115.68150278788799</v>
      </c>
      <c r="BL149" s="382">
        <v>118.382098321258</v>
      </c>
      <c r="BM149" s="382">
        <v>119.802558548614</v>
      </c>
      <c r="BN149" s="382">
        <v>125.413564341792</v>
      </c>
      <c r="BO149" s="382">
        <v>150.12636507600999</v>
      </c>
      <c r="BP149" s="382">
        <v>163.813865619739</v>
      </c>
    </row>
    <row r="150" spans="1:68">
      <c r="A150" s="382" t="s">
        <v>2291</v>
      </c>
      <c r="B150" s="382" t="s">
        <v>2513</v>
      </c>
      <c r="C150" s="382" t="s">
        <v>2334</v>
      </c>
      <c r="D150" s="382" t="s">
        <v>2335</v>
      </c>
      <c r="E150" s="382">
        <v>17.089057239057201</v>
      </c>
      <c r="F150" s="382">
        <v>17.1715005915006</v>
      </c>
      <c r="G150" s="382">
        <v>17.325348075348099</v>
      </c>
      <c r="H150" s="382">
        <v>17.823680953680899</v>
      </c>
      <c r="I150" s="382">
        <v>18.375570115570099</v>
      </c>
      <c r="J150" s="382">
        <v>18.9881526981527</v>
      </c>
      <c r="K150" s="382">
        <v>19.620777140777101</v>
      </c>
      <c r="L150" s="382">
        <v>20.045793975793998</v>
      </c>
      <c r="M150" s="382">
        <v>20.572082082082101</v>
      </c>
      <c r="N150" s="382">
        <v>21.044095004094999</v>
      </c>
      <c r="O150" s="382">
        <v>22.020404950404998</v>
      </c>
      <c r="P150" s="382">
        <v>23.049245609245599</v>
      </c>
      <c r="Q150" s="382">
        <v>24.253725543725601</v>
      </c>
      <c r="R150" s="382">
        <v>25.725465465465501</v>
      </c>
      <c r="S150" s="382">
        <v>28.179843479843498</v>
      </c>
      <c r="T150" s="382">
        <v>31.2000664300664</v>
      </c>
      <c r="U150" s="382">
        <v>34.256845026844999</v>
      </c>
      <c r="V150" s="382">
        <v>36.553935753935797</v>
      </c>
      <c r="W150" s="382">
        <v>37.6851560651561</v>
      </c>
      <c r="X150" s="382">
        <v>39.398522158522198</v>
      </c>
      <c r="Y150" s="382">
        <v>41.880589680589701</v>
      </c>
      <c r="Z150" s="382">
        <v>45.2615861315861</v>
      </c>
      <c r="AA150" s="382">
        <v>49.496735826735801</v>
      </c>
      <c r="AB150" s="382">
        <v>53.787742287742297</v>
      </c>
      <c r="AC150" s="382">
        <v>57.249444899444903</v>
      </c>
      <c r="AD150" s="382">
        <v>59.593001183001199</v>
      </c>
      <c r="AE150" s="382">
        <v>59.768540358540299</v>
      </c>
      <c r="AF150" s="382">
        <v>59.734673764673801</v>
      </c>
      <c r="AG150" s="382">
        <v>60.5928164528165</v>
      </c>
      <c r="AH150" s="382">
        <v>62.635375375375403</v>
      </c>
      <c r="AI150" s="382">
        <v>64.673384293384302</v>
      </c>
      <c r="AJ150" s="382">
        <v>66.690131040131007</v>
      </c>
      <c r="AK150" s="382">
        <v>68.793653653653607</v>
      </c>
      <c r="AL150" s="382">
        <v>71.262037492037507</v>
      </c>
      <c r="AM150" s="382">
        <v>72.826071526071502</v>
      </c>
      <c r="AN150" s="382">
        <v>74.186239876239895</v>
      </c>
      <c r="AO150" s="382">
        <v>75.0645008645009</v>
      </c>
      <c r="AP150" s="382">
        <v>76.091017381017394</v>
      </c>
      <c r="AQ150" s="382">
        <v>76.820403130403093</v>
      </c>
      <c r="AR150" s="382">
        <v>77.607963417963404</v>
      </c>
      <c r="AS150" s="382">
        <v>80.0532095732096</v>
      </c>
      <c r="AT150" s="382">
        <v>82.185683865683899</v>
      </c>
      <c r="AU150" s="382">
        <v>83.890285740285705</v>
      </c>
      <c r="AV150" s="382">
        <v>85.609902629902606</v>
      </c>
      <c r="AW150" s="382">
        <v>87.515304395304398</v>
      </c>
      <c r="AX150" s="382">
        <v>89.692419692419705</v>
      </c>
      <c r="AY150" s="382">
        <v>92.083902083902103</v>
      </c>
      <c r="AZ150" s="382">
        <v>94.213304213304198</v>
      </c>
      <c r="BA150" s="382">
        <v>97.418327418327394</v>
      </c>
      <c r="BB150" s="382">
        <v>97.776867776867803</v>
      </c>
      <c r="BC150" s="382">
        <v>100</v>
      </c>
      <c r="BD150" s="382">
        <v>103.41068341068301</v>
      </c>
      <c r="BE150" s="382">
        <v>106.164346164346</v>
      </c>
      <c r="BF150" s="382">
        <v>108.005278005278</v>
      </c>
      <c r="BG150" s="382">
        <v>108.684138684139</v>
      </c>
      <c r="BH150" s="382">
        <v>109.200109200109</v>
      </c>
      <c r="BI150" s="382">
        <v>109.517699517699</v>
      </c>
      <c r="BJ150" s="382">
        <v>111.413231413231</v>
      </c>
      <c r="BK150" s="382">
        <v>113.11584311584301</v>
      </c>
      <c r="BL150" s="382">
        <v>115.087815087815</v>
      </c>
      <c r="BM150" s="382">
        <v>116.031486031486</v>
      </c>
      <c r="BN150" s="382">
        <v>118.963508963509</v>
      </c>
      <c r="BO150" s="382">
        <v>126.501046501047</v>
      </c>
      <c r="BP150" s="382">
        <v>131.233961233961</v>
      </c>
    </row>
    <row r="151" spans="1:68">
      <c r="A151" s="382" t="s">
        <v>2279</v>
      </c>
      <c r="B151" s="382" t="s">
        <v>2514</v>
      </c>
      <c r="C151" s="382" t="s">
        <v>2334</v>
      </c>
      <c r="D151" s="382" t="s">
        <v>2335</v>
      </c>
      <c r="E151" s="382"/>
      <c r="F151" s="382"/>
      <c r="G151" s="382"/>
      <c r="H151" s="382"/>
      <c r="I151" s="382"/>
      <c r="J151" s="382"/>
      <c r="K151" s="382"/>
      <c r="L151" s="382"/>
      <c r="M151" s="382"/>
      <c r="N151" s="382"/>
      <c r="O151" s="382"/>
      <c r="P151" s="382"/>
      <c r="Q151" s="382"/>
      <c r="R151" s="382"/>
      <c r="S151" s="382"/>
      <c r="T151" s="382"/>
      <c r="U151" s="382"/>
      <c r="V151" s="382"/>
      <c r="W151" s="382"/>
      <c r="X151" s="382"/>
      <c r="Y151" s="382"/>
      <c r="Z151" s="382"/>
      <c r="AA151" s="382"/>
      <c r="AB151" s="382"/>
      <c r="AC151" s="382"/>
      <c r="AD151" s="382"/>
      <c r="AE151" s="382"/>
      <c r="AF151" s="382"/>
      <c r="AG151" s="382"/>
      <c r="AH151" s="382"/>
      <c r="AI151" s="382"/>
      <c r="AJ151" s="382">
        <v>1.1299904270725101</v>
      </c>
      <c r="AK151" s="382">
        <v>11.8840663239259</v>
      </c>
      <c r="AL151" s="382">
        <v>24.836455617862701</v>
      </c>
      <c r="AM151" s="382">
        <v>33.758879128634199</v>
      </c>
      <c r="AN151" s="382">
        <v>42.190475016017899</v>
      </c>
      <c r="AO151" s="382">
        <v>49.6204158953758</v>
      </c>
      <c r="AP151" s="382">
        <v>53.812042681118001</v>
      </c>
      <c r="AQ151" s="382">
        <v>56.311189222942801</v>
      </c>
      <c r="AR151" s="382">
        <v>57.642846565050903</v>
      </c>
      <c r="AS151" s="382">
        <v>59.172834574156198</v>
      </c>
      <c r="AT151" s="382">
        <v>60.644486660187901</v>
      </c>
      <c r="AU151" s="382">
        <v>61.820307898815898</v>
      </c>
      <c r="AV151" s="382">
        <v>63.639461661920301</v>
      </c>
      <c r="AW151" s="382">
        <v>67.580262440315806</v>
      </c>
      <c r="AX151" s="382">
        <v>72.140882849471595</v>
      </c>
      <c r="AY151" s="382">
        <v>76.856154576107798</v>
      </c>
      <c r="AZ151" s="382">
        <v>84.613229030103398</v>
      </c>
      <c r="BA151" s="382">
        <v>97.6456285716324</v>
      </c>
      <c r="BB151" s="382">
        <v>101.096529301156</v>
      </c>
      <c r="BC151" s="382">
        <v>100</v>
      </c>
      <c r="BD151" s="382">
        <v>104.37073559939201</v>
      </c>
      <c r="BE151" s="382">
        <v>106.727206841374</v>
      </c>
      <c r="BF151" s="382">
        <v>106.695770579258</v>
      </c>
      <c r="BG151" s="382">
        <v>107.357807845492</v>
      </c>
      <c r="BH151" s="382">
        <v>107.544870498588</v>
      </c>
      <c r="BI151" s="382">
        <v>107.69611443606</v>
      </c>
      <c r="BJ151" s="382">
        <v>110.852001659202</v>
      </c>
      <c r="BK151" s="382">
        <v>113.661494917447</v>
      </c>
      <c r="BL151" s="382">
        <v>116.85698464327299</v>
      </c>
      <c r="BM151" s="382">
        <v>117.11297728548401</v>
      </c>
      <c r="BN151" s="382">
        <v>120.94939859653201</v>
      </c>
      <c r="BO151" s="382">
        <v>141.886081804437</v>
      </c>
      <c r="BP151" s="382">
        <v>154.567925394545</v>
      </c>
    </row>
    <row r="152" spans="1:68">
      <c r="A152" s="382" t="s">
        <v>2515</v>
      </c>
      <c r="B152" s="382" t="s">
        <v>2516</v>
      </c>
      <c r="C152" s="382" t="s">
        <v>2334</v>
      </c>
      <c r="D152" s="382" t="s">
        <v>2335</v>
      </c>
      <c r="E152" s="382"/>
      <c r="F152" s="382"/>
      <c r="G152" s="382"/>
      <c r="H152" s="382"/>
      <c r="I152" s="382"/>
      <c r="J152" s="382"/>
      <c r="K152" s="382"/>
      <c r="L152" s="382"/>
      <c r="M152" s="382"/>
      <c r="N152" s="382"/>
      <c r="O152" s="382"/>
      <c r="P152" s="382"/>
      <c r="Q152" s="382"/>
      <c r="R152" s="382"/>
      <c r="S152" s="382"/>
      <c r="T152" s="382"/>
      <c r="U152" s="382"/>
      <c r="V152" s="382"/>
      <c r="W152" s="382"/>
      <c r="X152" s="382"/>
      <c r="Y152" s="382"/>
      <c r="Z152" s="382"/>
      <c r="AA152" s="382"/>
      <c r="AB152" s="382"/>
      <c r="AC152" s="382"/>
      <c r="AD152" s="382"/>
      <c r="AE152" s="382"/>
      <c r="AF152" s="382"/>
      <c r="AG152" s="382">
        <v>45.608115156576503</v>
      </c>
      <c r="AH152" s="382">
        <v>49.608378099506297</v>
      </c>
      <c r="AI152" s="382">
        <v>53.562013954828501</v>
      </c>
      <c r="AJ152" s="382">
        <v>58.687297542049102</v>
      </c>
      <c r="AK152" s="382">
        <v>63.214389712644198</v>
      </c>
      <c r="AL152" s="382">
        <v>67.453474323808507</v>
      </c>
      <c r="AM152" s="382">
        <v>71.670712015395196</v>
      </c>
      <c r="AN152" s="382">
        <v>77.804768907493695</v>
      </c>
      <c r="AO152" s="382">
        <v>81.556893592802098</v>
      </c>
      <c r="AP152" s="382">
        <v>84.403993490751603</v>
      </c>
      <c r="AQ152" s="382">
        <v>84.549700429306</v>
      </c>
      <c r="AR152" s="382">
        <v>81.840590649620097</v>
      </c>
      <c r="AS152" s="382">
        <v>80.523187243477807</v>
      </c>
      <c r="AT152" s="382">
        <v>78.925083738264703</v>
      </c>
      <c r="AU152" s="382">
        <v>76.843421238854503</v>
      </c>
      <c r="AV152" s="382">
        <v>75.642779638628099</v>
      </c>
      <c r="AW152" s="382">
        <v>76.384629900457497</v>
      </c>
      <c r="AX152" s="382">
        <v>79.7424163796763</v>
      </c>
      <c r="AY152" s="382">
        <v>83.849129593810403</v>
      </c>
      <c r="AZ152" s="382">
        <v>88.520781242628601</v>
      </c>
      <c r="BA152" s="382">
        <v>96.143322168231293</v>
      </c>
      <c r="BB152" s="382">
        <v>97.267301976694696</v>
      </c>
      <c r="BC152" s="382">
        <v>100</v>
      </c>
      <c r="BD152" s="382">
        <v>105.80624616691</v>
      </c>
      <c r="BE152" s="382">
        <v>112.268245506439</v>
      </c>
      <c r="BF152" s="382">
        <v>118.443647685993</v>
      </c>
      <c r="BG152" s="382">
        <v>125.607397273199</v>
      </c>
      <c r="BH152" s="382">
        <v>131.33580223616499</v>
      </c>
      <c r="BI152" s="382">
        <v>134.44709156956199</v>
      </c>
      <c r="BJ152" s="382">
        <v>136.098268622918</v>
      </c>
      <c r="BK152" s="382">
        <v>140.187290654338</v>
      </c>
      <c r="BL152" s="382">
        <v>144.04514789828701</v>
      </c>
      <c r="BM152" s="382">
        <v>145.213945369627</v>
      </c>
      <c r="BN152" s="382">
        <v>145.25236079633899</v>
      </c>
      <c r="BO152" s="382">
        <v>146.77028867174599</v>
      </c>
      <c r="BP152" s="382"/>
    </row>
    <row r="153" spans="1:68">
      <c r="A153" s="382" t="s">
        <v>2517</v>
      </c>
      <c r="B153" s="382" t="s">
        <v>2518</v>
      </c>
      <c r="C153" s="382" t="s">
        <v>2334</v>
      </c>
      <c r="D153" s="382" t="s">
        <v>2335</v>
      </c>
      <c r="E153" s="382"/>
      <c r="F153" s="382"/>
      <c r="G153" s="382"/>
      <c r="H153" s="382"/>
      <c r="I153" s="382"/>
      <c r="J153" s="382"/>
      <c r="K153" s="382"/>
      <c r="L153" s="382"/>
      <c r="M153" s="382"/>
      <c r="N153" s="382"/>
      <c r="O153" s="382"/>
      <c r="P153" s="382"/>
      <c r="Q153" s="382"/>
      <c r="R153" s="382"/>
      <c r="S153" s="382"/>
      <c r="T153" s="382"/>
      <c r="U153" s="382"/>
      <c r="V153" s="382"/>
      <c r="W153" s="382"/>
      <c r="X153" s="382"/>
      <c r="Y153" s="382"/>
      <c r="Z153" s="382"/>
      <c r="AA153" s="382"/>
      <c r="AB153" s="382"/>
      <c r="AC153" s="382"/>
      <c r="AD153" s="382"/>
      <c r="AE153" s="382"/>
      <c r="AF153" s="382"/>
      <c r="AG153" s="382"/>
      <c r="AH153" s="382"/>
      <c r="AI153" s="382"/>
      <c r="AJ153" s="382"/>
      <c r="AK153" s="382"/>
      <c r="AL153" s="382"/>
      <c r="AM153" s="382"/>
      <c r="AN153" s="382"/>
      <c r="AO153" s="382"/>
      <c r="AP153" s="382"/>
      <c r="AQ153" s="382"/>
      <c r="AR153" s="382"/>
      <c r="AS153" s="382"/>
      <c r="AT153" s="382"/>
      <c r="AU153" s="382"/>
      <c r="AV153" s="382"/>
      <c r="AW153" s="382"/>
      <c r="AX153" s="382"/>
      <c r="AY153" s="382"/>
      <c r="AZ153" s="382"/>
      <c r="BA153" s="382"/>
      <c r="BB153" s="382"/>
      <c r="BC153" s="382"/>
      <c r="BD153" s="382"/>
      <c r="BE153" s="382"/>
      <c r="BF153" s="382"/>
      <c r="BG153" s="382"/>
      <c r="BH153" s="382"/>
      <c r="BI153" s="382"/>
      <c r="BJ153" s="382"/>
      <c r="BK153" s="382"/>
      <c r="BL153" s="382"/>
      <c r="BM153" s="382"/>
      <c r="BN153" s="382"/>
      <c r="BO153" s="382"/>
      <c r="BP153" s="382"/>
    </row>
    <row r="154" spans="1:68">
      <c r="A154" s="382" t="s">
        <v>2028</v>
      </c>
      <c r="B154" s="382" t="s">
        <v>2519</v>
      </c>
      <c r="C154" s="382" t="s">
        <v>2334</v>
      </c>
      <c r="D154" s="382" t="s">
        <v>2335</v>
      </c>
      <c r="E154" s="382">
        <v>9.9428060716900593</v>
      </c>
      <c r="F154" s="382">
        <v>10.118110131961</v>
      </c>
      <c r="G154" s="382">
        <v>10.633802793542801</v>
      </c>
      <c r="H154" s="382">
        <v>11.239898894187</v>
      </c>
      <c r="I154" s="382">
        <v>11.6919160898762</v>
      </c>
      <c r="J154" s="382">
        <v>12.099124624481</v>
      </c>
      <c r="K154" s="382">
        <v>11.9764903939784</v>
      </c>
      <c r="L154" s="382">
        <v>11.886873071683899</v>
      </c>
      <c r="M154" s="382">
        <v>11.9387567846056</v>
      </c>
      <c r="N154" s="382">
        <v>12.2909371388167</v>
      </c>
      <c r="O154" s="382">
        <v>12.4481605112121</v>
      </c>
      <c r="P154" s="382">
        <v>12.9654254064867</v>
      </c>
      <c r="Q154" s="382">
        <v>13.452817860986</v>
      </c>
      <c r="R154" s="382">
        <v>14.0023135475908</v>
      </c>
      <c r="S154" s="382">
        <v>16.460674917374799</v>
      </c>
      <c r="T154" s="382">
        <v>17.7640787726375</v>
      </c>
      <c r="U154" s="382">
        <v>19.2744078300694</v>
      </c>
      <c r="V154" s="382">
        <v>21.702405175626701</v>
      </c>
      <c r="W154" s="382">
        <v>23.8110179699292</v>
      </c>
      <c r="X154" s="382">
        <v>25.794800886786401</v>
      </c>
      <c r="Y154" s="382">
        <v>28.221673638875899</v>
      </c>
      <c r="Z154" s="382">
        <v>31.747274230938299</v>
      </c>
      <c r="AA154" s="382">
        <v>35.089566084116299</v>
      </c>
      <c r="AB154" s="382">
        <v>37.267903674794603</v>
      </c>
      <c r="AC154" s="382">
        <v>41.906851822248598</v>
      </c>
      <c r="AD154" s="382">
        <v>45.1456810743083</v>
      </c>
      <c r="AE154" s="382">
        <v>49.088505851337501</v>
      </c>
      <c r="AF154" s="382">
        <v>50.413276982927101</v>
      </c>
      <c r="AG154" s="382">
        <v>51.6075952696199</v>
      </c>
      <c r="AH154" s="382">
        <v>53.289987131100602</v>
      </c>
      <c r="AI154" s="382">
        <v>56.904430608907496</v>
      </c>
      <c r="AJ154" s="382">
        <v>61.448912903188102</v>
      </c>
      <c r="AK154" s="382">
        <v>64.976232054478402</v>
      </c>
      <c r="AL154" s="382">
        <v>68.344024208976194</v>
      </c>
      <c r="AM154" s="382">
        <v>71.858049443866705</v>
      </c>
      <c r="AN154" s="382">
        <v>76.258335772046195</v>
      </c>
      <c r="AO154" s="382">
        <v>78.536026781799094</v>
      </c>
      <c r="AP154" s="382">
        <v>79.351386987624807</v>
      </c>
      <c r="AQ154" s="382">
        <v>81.536020582581799</v>
      </c>
      <c r="AR154" s="382">
        <v>82.094365071353806</v>
      </c>
      <c r="AS154" s="382">
        <v>83.649753290075907</v>
      </c>
      <c r="AT154" s="382">
        <v>84.168216029649898</v>
      </c>
      <c r="AU154" s="382">
        <v>86.521239232332107</v>
      </c>
      <c r="AV154" s="382">
        <v>87.531576878681506</v>
      </c>
      <c r="AW154" s="382">
        <v>88.838811991282697</v>
      </c>
      <c r="AX154" s="382">
        <v>89.711779168172299</v>
      </c>
      <c r="AY154" s="382">
        <v>92.658597303358107</v>
      </c>
      <c r="AZ154" s="382">
        <v>94.550764737529803</v>
      </c>
      <c r="BA154" s="382">
        <v>98.063177311505697</v>
      </c>
      <c r="BB154" s="382">
        <v>99.016217047113997</v>
      </c>
      <c r="BC154" s="382">
        <v>100</v>
      </c>
      <c r="BD154" s="382">
        <v>100.90692490969199</v>
      </c>
      <c r="BE154" s="382">
        <v>102.205720544155</v>
      </c>
      <c r="BF154" s="382">
        <v>104.127857197756</v>
      </c>
      <c r="BG154" s="382">
        <v>104.588425178695</v>
      </c>
      <c r="BH154" s="382">
        <v>106.217815694412</v>
      </c>
      <c r="BI154" s="382">
        <v>107.95480747060201</v>
      </c>
      <c r="BJ154" s="382">
        <v>108.76950272846</v>
      </c>
      <c r="BK154" s="382">
        <v>110.731613965107</v>
      </c>
      <c r="BL154" s="382">
        <v>111.06755821996801</v>
      </c>
      <c r="BM154" s="382">
        <v>111.851660373914</v>
      </c>
      <c r="BN154" s="382">
        <v>113.41977461378799</v>
      </c>
      <c r="BO154" s="382">
        <v>120.97017667742701</v>
      </c>
      <c r="BP154" s="382">
        <v>128.33864134194101</v>
      </c>
    </row>
    <row r="155" spans="1:68">
      <c r="A155" s="382" t="s">
        <v>2298</v>
      </c>
      <c r="B155" s="382" t="s">
        <v>2520</v>
      </c>
      <c r="C155" s="382" t="s">
        <v>2334</v>
      </c>
      <c r="D155" s="382" t="s">
        <v>2335</v>
      </c>
      <c r="E155" s="382"/>
      <c r="F155" s="382"/>
      <c r="G155" s="382"/>
      <c r="H155" s="382"/>
      <c r="I155" s="382"/>
      <c r="J155" s="382"/>
      <c r="K155" s="382"/>
      <c r="L155" s="382"/>
      <c r="M155" s="382"/>
      <c r="N155" s="382"/>
      <c r="O155" s="382"/>
      <c r="P155" s="382"/>
      <c r="Q155" s="382"/>
      <c r="R155" s="382"/>
      <c r="S155" s="382"/>
      <c r="T155" s="382"/>
      <c r="U155" s="382"/>
      <c r="V155" s="382"/>
      <c r="W155" s="382"/>
      <c r="X155" s="382"/>
      <c r="Y155" s="382"/>
      <c r="Z155" s="382"/>
      <c r="AA155" s="382"/>
      <c r="AB155" s="382"/>
      <c r="AC155" s="382"/>
      <c r="AD155" s="382"/>
      <c r="AE155" s="382"/>
      <c r="AF155" s="382"/>
      <c r="AG155" s="382"/>
      <c r="AH155" s="382"/>
      <c r="AI155" s="382"/>
      <c r="AJ155" s="382"/>
      <c r="AK155" s="382"/>
      <c r="AL155" s="382"/>
      <c r="AM155" s="382"/>
      <c r="AN155" s="382"/>
      <c r="AO155" s="382"/>
      <c r="AP155" s="382"/>
      <c r="AQ155" s="382"/>
      <c r="AR155" s="382"/>
      <c r="AS155" s="382"/>
      <c r="AT155" s="382"/>
      <c r="AU155" s="382"/>
      <c r="AV155" s="382"/>
      <c r="AW155" s="382"/>
      <c r="AX155" s="382"/>
      <c r="AY155" s="382"/>
      <c r="AZ155" s="382"/>
      <c r="BA155" s="382"/>
      <c r="BB155" s="382"/>
      <c r="BC155" s="382"/>
      <c r="BD155" s="382"/>
      <c r="BE155" s="382"/>
      <c r="BF155" s="382"/>
      <c r="BG155" s="382"/>
      <c r="BH155" s="382"/>
      <c r="BI155" s="382"/>
      <c r="BJ155" s="382"/>
      <c r="BK155" s="382"/>
      <c r="BL155" s="382"/>
      <c r="BM155" s="382"/>
      <c r="BN155" s="382"/>
      <c r="BO155" s="382"/>
      <c r="BP155" s="382"/>
    </row>
    <row r="156" spans="1:68">
      <c r="A156" s="382" t="s">
        <v>2521</v>
      </c>
      <c r="B156" s="382" t="s">
        <v>230</v>
      </c>
      <c r="C156" s="382" t="s">
        <v>2334</v>
      </c>
      <c r="D156" s="382" t="s">
        <v>2335</v>
      </c>
      <c r="E156" s="382"/>
      <c r="F156" s="382"/>
      <c r="G156" s="382"/>
      <c r="H156" s="382"/>
      <c r="I156" s="382"/>
      <c r="J156" s="382"/>
      <c r="K156" s="382"/>
      <c r="L156" s="382"/>
      <c r="M156" s="382"/>
      <c r="N156" s="382"/>
      <c r="O156" s="382"/>
      <c r="P156" s="382"/>
      <c r="Q156" s="382"/>
      <c r="R156" s="382"/>
      <c r="S156" s="382"/>
      <c r="T156" s="382"/>
      <c r="U156" s="382"/>
      <c r="V156" s="382"/>
      <c r="W156" s="382"/>
      <c r="X156" s="382"/>
      <c r="Y156" s="382"/>
      <c r="Z156" s="382"/>
      <c r="AA156" s="382"/>
      <c r="AB156" s="382"/>
      <c r="AC156" s="382"/>
      <c r="AD156" s="382"/>
      <c r="AE156" s="382"/>
      <c r="AF156" s="382"/>
      <c r="AG156" s="382"/>
      <c r="AH156" s="382"/>
      <c r="AI156" s="382"/>
      <c r="AJ156" s="382">
        <v>1.0014185884712199E-2</v>
      </c>
      <c r="AK156" s="382">
        <v>0.112842476699455</v>
      </c>
      <c r="AL156" s="382">
        <v>1.93367318173962</v>
      </c>
      <c r="AM156" s="382">
        <v>11.339555018190399</v>
      </c>
      <c r="AN156" s="382">
        <v>14.7261823421022</v>
      </c>
      <c r="AO156" s="382">
        <v>18.187671241506902</v>
      </c>
      <c r="AP156" s="382">
        <v>20.328875303225701</v>
      </c>
      <c r="AQ156" s="382">
        <v>21.893337809315501</v>
      </c>
      <c r="AR156" s="382">
        <v>30.4877822719561</v>
      </c>
      <c r="AS156" s="382">
        <v>40.030245190851701</v>
      </c>
      <c r="AT156" s="382">
        <v>43.939063674799499</v>
      </c>
      <c r="AU156" s="382">
        <v>46.268380608726297</v>
      </c>
      <c r="AV156" s="382">
        <v>51.703101242278997</v>
      </c>
      <c r="AW156" s="382">
        <v>58.178540778186999</v>
      </c>
      <c r="AX156" s="382">
        <v>65.136219356752804</v>
      </c>
      <c r="AY156" s="382">
        <v>73.459166392460602</v>
      </c>
      <c r="AZ156" s="382">
        <v>82.543984060540097</v>
      </c>
      <c r="BA156" s="382">
        <v>93.0956205548393</v>
      </c>
      <c r="BB156" s="382">
        <v>93.037232288027994</v>
      </c>
      <c r="BC156" s="382">
        <v>100</v>
      </c>
      <c r="BD156" s="382">
        <v>107.68725103356201</v>
      </c>
      <c r="BE156" s="382">
        <v>112.583073435548</v>
      </c>
      <c r="BF156" s="382">
        <v>117.759506896909</v>
      </c>
      <c r="BG156" s="382">
        <v>123.75203566322401</v>
      </c>
      <c r="BH156" s="382">
        <v>135.72658004852599</v>
      </c>
      <c r="BI156" s="382">
        <v>144.35785264231299</v>
      </c>
      <c r="BJ156" s="382">
        <v>153.842495547244</v>
      </c>
      <c r="BK156" s="382">
        <v>158.52708257063799</v>
      </c>
      <c r="BL156" s="382">
        <v>166.19627963692099</v>
      </c>
      <c r="BM156" s="382">
        <v>172.45518370083499</v>
      </c>
      <c r="BN156" s="382">
        <v>181.261454671574</v>
      </c>
      <c r="BO156" s="382">
        <v>233.351098473522</v>
      </c>
      <c r="BP156" s="382">
        <v>264.659839713206</v>
      </c>
    </row>
    <row r="157" spans="1:68">
      <c r="A157" s="382" t="s">
        <v>1986</v>
      </c>
      <c r="B157" s="382" t="s">
        <v>2522</v>
      </c>
      <c r="C157" s="382" t="s">
        <v>2334</v>
      </c>
      <c r="D157" s="382" t="s">
        <v>2335</v>
      </c>
      <c r="E157" s="382"/>
      <c r="F157" s="382"/>
      <c r="G157" s="382"/>
      <c r="H157" s="382"/>
      <c r="I157" s="382">
        <v>0.56625749247499102</v>
      </c>
      <c r="J157" s="382">
        <v>0.59005084162020505</v>
      </c>
      <c r="K157" s="382">
        <v>0.60900076091240596</v>
      </c>
      <c r="L157" s="382">
        <v>0.61396527650927701</v>
      </c>
      <c r="M157" s="382">
        <v>0.61983793520445796</v>
      </c>
      <c r="N157" s="382">
        <v>0.64357074147592697</v>
      </c>
      <c r="O157" s="382">
        <v>0.66209686065554296</v>
      </c>
      <c r="P157" s="382">
        <v>0.697756612935583</v>
      </c>
      <c r="Q157" s="382">
        <v>0.73698839472906696</v>
      </c>
      <c r="R157" s="382">
        <v>0.78209283521711903</v>
      </c>
      <c r="S157" s="382">
        <v>0.95494273803169905</v>
      </c>
      <c r="T157" s="382">
        <v>1.0331641301291301</v>
      </c>
      <c r="U157" s="382">
        <v>1.08468611517062</v>
      </c>
      <c r="V157" s="382">
        <v>1.1184084955095801</v>
      </c>
      <c r="W157" s="382">
        <v>1.19142320051697</v>
      </c>
      <c r="X157" s="382">
        <v>1.3588847876196799</v>
      </c>
      <c r="Y157" s="382">
        <v>1.60644459589138</v>
      </c>
      <c r="Z157" s="382">
        <v>2.0970234969438502</v>
      </c>
      <c r="AA157" s="382">
        <v>2.7636610730854998</v>
      </c>
      <c r="AB157" s="382">
        <v>3.29783084280175</v>
      </c>
      <c r="AC157" s="382">
        <v>3.6228855286920001</v>
      </c>
      <c r="AD157" s="382">
        <v>4.0053348583219499</v>
      </c>
      <c r="AE157" s="382">
        <v>4.5860015546066801</v>
      </c>
      <c r="AF157" s="382">
        <v>5.2735869648559497</v>
      </c>
      <c r="AG157" s="382">
        <v>6.6897453104726896</v>
      </c>
      <c r="AH157" s="382">
        <v>7.2926917840735497</v>
      </c>
      <c r="AI157" s="382">
        <v>8.1520978682951899</v>
      </c>
      <c r="AJ157" s="382">
        <v>8.8525789105245103</v>
      </c>
      <c r="AK157" s="382">
        <v>10.1372986785544</v>
      </c>
      <c r="AL157" s="382">
        <v>11.1518761466338</v>
      </c>
      <c r="AM157" s="382">
        <v>15.4946164369629</v>
      </c>
      <c r="AN157" s="382">
        <v>23.099406732072801</v>
      </c>
      <c r="AO157" s="382">
        <v>27.663007423616602</v>
      </c>
      <c r="AP157" s="382">
        <v>28.904075780112599</v>
      </c>
      <c r="AQ157" s="382">
        <v>30.698445454234601</v>
      </c>
      <c r="AR157" s="382">
        <v>33.746658031085197</v>
      </c>
      <c r="AS157" s="382">
        <v>37.7489052028752</v>
      </c>
      <c r="AT157" s="382">
        <v>40.737465207489898</v>
      </c>
      <c r="AU157" s="382">
        <v>47.458546305668001</v>
      </c>
      <c r="AV157" s="382">
        <v>46.649850400430203</v>
      </c>
      <c r="AW157" s="382">
        <v>53.160211063859997</v>
      </c>
      <c r="AX157" s="382">
        <v>62.922459005545598</v>
      </c>
      <c r="AY157" s="382">
        <v>69.696462631392393</v>
      </c>
      <c r="AZ157" s="382">
        <v>76.866811232282203</v>
      </c>
      <c r="BA157" s="382">
        <v>84.012740790545806</v>
      </c>
      <c r="BB157" s="382">
        <v>91.535424768810103</v>
      </c>
      <c r="BC157" s="382">
        <v>100</v>
      </c>
      <c r="BD157" s="382">
        <v>109.48254048583</v>
      </c>
      <c r="BE157" s="382">
        <v>115.738202430759</v>
      </c>
      <c r="BF157" s="382">
        <v>122.481607135743</v>
      </c>
      <c r="BG157" s="382">
        <v>129.92898871036499</v>
      </c>
      <c r="BH157" s="382">
        <v>139.549180162949</v>
      </c>
      <c r="BI157" s="382">
        <v>147.97203178011301</v>
      </c>
      <c r="BJ157" s="382">
        <v>160.711019098127</v>
      </c>
      <c r="BK157" s="382">
        <v>174.52289305376701</v>
      </c>
      <c r="BL157" s="382">
        <v>184.31452512589101</v>
      </c>
      <c r="BM157" s="382">
        <v>192.059040165303</v>
      </c>
      <c r="BN157" s="382">
        <v>203.221994008737</v>
      </c>
      <c r="BO157" s="382">
        <v>219.806108379759</v>
      </c>
      <c r="BP157" s="382">
        <v>241.51048173862199</v>
      </c>
    </row>
    <row r="158" spans="1:68">
      <c r="A158" s="382" t="s">
        <v>2149</v>
      </c>
      <c r="B158" s="382" t="s">
        <v>2523</v>
      </c>
      <c r="C158" s="382" t="s">
        <v>2334</v>
      </c>
      <c r="D158" s="382" t="s">
        <v>2335</v>
      </c>
      <c r="E158" s="382"/>
      <c r="F158" s="382"/>
      <c r="G158" s="382"/>
      <c r="H158" s="382"/>
      <c r="I158" s="382"/>
      <c r="J158" s="382"/>
      <c r="K158" s="382"/>
      <c r="L158" s="382"/>
      <c r="M158" s="382"/>
      <c r="N158" s="382"/>
      <c r="O158" s="382"/>
      <c r="P158" s="382"/>
      <c r="Q158" s="382"/>
      <c r="R158" s="382"/>
      <c r="S158" s="382"/>
      <c r="T158" s="382"/>
      <c r="U158" s="382"/>
      <c r="V158" s="382"/>
      <c r="W158" s="382"/>
      <c r="X158" s="382"/>
      <c r="Y158" s="382"/>
      <c r="Z158" s="382"/>
      <c r="AA158" s="382"/>
      <c r="AB158" s="382"/>
      <c r="AC158" s="382"/>
      <c r="AD158" s="382">
        <v>24.8035203541275</v>
      </c>
      <c r="AE158" s="382">
        <v>27.214966542402699</v>
      </c>
      <c r="AF158" s="382">
        <v>29.855926580108498</v>
      </c>
      <c r="AG158" s="382">
        <v>31.783532761475598</v>
      </c>
      <c r="AH158" s="382">
        <v>34.061095870916198</v>
      </c>
      <c r="AI158" s="382">
        <v>35.304295888665699</v>
      </c>
      <c r="AJ158" s="382">
        <v>40.49885596283</v>
      </c>
      <c r="AK158" s="382">
        <v>47.3253422141401</v>
      </c>
      <c r="AL158" s="382">
        <v>56.850683888597899</v>
      </c>
      <c r="AM158" s="382">
        <v>58.775705454543498</v>
      </c>
      <c r="AN158" s="382">
        <v>62.0018224236807</v>
      </c>
      <c r="AO158" s="382">
        <v>65.871508632775601</v>
      </c>
      <c r="AP158" s="382">
        <v>70.859849076648601</v>
      </c>
      <c r="AQ158" s="382">
        <v>69.864797989167499</v>
      </c>
      <c r="AR158" s="382">
        <v>71.928400368553696</v>
      </c>
      <c r="AS158" s="382">
        <v>71.083416585634495</v>
      </c>
      <c r="AT158" s="382">
        <v>71.5615075594567</v>
      </c>
      <c r="AU158" s="382">
        <v>74.551828524186305</v>
      </c>
      <c r="AV158" s="382">
        <v>73.611990052102996</v>
      </c>
      <c r="AW158" s="382">
        <v>72.371324646609395</v>
      </c>
      <c r="AX158" s="382">
        <v>73.3123508948959</v>
      </c>
      <c r="AY158" s="382">
        <v>75.319951939077797</v>
      </c>
      <c r="AZ158" s="382">
        <v>80.437772103249003</v>
      </c>
      <c r="BA158" s="382">
        <v>90.123652929140505</v>
      </c>
      <c r="BB158" s="382">
        <v>94.206413557386099</v>
      </c>
      <c r="BC158" s="382">
        <v>100</v>
      </c>
      <c r="BD158" s="382">
        <v>111.273414605594</v>
      </c>
      <c r="BE158" s="382">
        <v>123.385187134304</v>
      </c>
      <c r="BF158" s="382">
        <v>128.08077084278699</v>
      </c>
      <c r="BG158" s="382">
        <v>130.79608543526601</v>
      </c>
      <c r="BH158" s="382">
        <v>132.04284243105499</v>
      </c>
      <c r="BI158" s="382">
        <v>132.70637014427101</v>
      </c>
      <c r="BJ158" s="382">
        <v>136.445336799763</v>
      </c>
      <c r="BK158" s="382">
        <v>136.26335503387301</v>
      </c>
      <c r="BL158" s="382">
        <v>136.563174927495</v>
      </c>
      <c r="BM158" s="382">
        <v>134.69256771457401</v>
      </c>
      <c r="BN158" s="382">
        <v>135.42414997686799</v>
      </c>
      <c r="BO158" s="382">
        <v>138.58378956189</v>
      </c>
      <c r="BP158" s="382">
        <v>142.64078208493001</v>
      </c>
    </row>
    <row r="159" spans="1:68">
      <c r="A159" s="382" t="s">
        <v>2524</v>
      </c>
      <c r="B159" s="382" t="s">
        <v>233</v>
      </c>
      <c r="C159" s="382" t="s">
        <v>2334</v>
      </c>
      <c r="D159" s="382" t="s">
        <v>2335</v>
      </c>
      <c r="E159" s="382"/>
      <c r="F159" s="382"/>
      <c r="G159" s="382"/>
      <c r="H159" s="382"/>
      <c r="I159" s="382"/>
      <c r="J159" s="382"/>
      <c r="K159" s="382"/>
      <c r="L159" s="382"/>
      <c r="M159" s="382"/>
      <c r="N159" s="382"/>
      <c r="O159" s="382"/>
      <c r="P159" s="382"/>
      <c r="Q159" s="382"/>
      <c r="R159" s="382"/>
      <c r="S159" s="382"/>
      <c r="T159" s="382"/>
      <c r="U159" s="382"/>
      <c r="V159" s="382"/>
      <c r="W159" s="382"/>
      <c r="X159" s="382"/>
      <c r="Y159" s="382"/>
      <c r="Z159" s="382"/>
      <c r="AA159" s="382"/>
      <c r="AB159" s="382"/>
      <c r="AC159" s="382"/>
      <c r="AD159" s="382"/>
      <c r="AE159" s="382"/>
      <c r="AF159" s="382"/>
      <c r="AG159" s="382"/>
      <c r="AH159" s="382"/>
      <c r="AI159" s="382"/>
      <c r="AJ159" s="382"/>
      <c r="AK159" s="382"/>
      <c r="AL159" s="382"/>
      <c r="AM159" s="382"/>
      <c r="AN159" s="382"/>
      <c r="AO159" s="382"/>
      <c r="AP159" s="382"/>
      <c r="AQ159" s="382"/>
      <c r="AR159" s="382"/>
      <c r="AS159" s="382"/>
      <c r="AT159" s="382"/>
      <c r="AU159" s="382"/>
      <c r="AV159" s="382"/>
      <c r="AW159" s="382"/>
      <c r="AX159" s="382"/>
      <c r="AY159" s="382"/>
      <c r="AZ159" s="382"/>
      <c r="BA159" s="382"/>
      <c r="BB159" s="382"/>
      <c r="BC159" s="382"/>
      <c r="BD159" s="382"/>
      <c r="BE159" s="382"/>
      <c r="BF159" s="382"/>
      <c r="BG159" s="382"/>
      <c r="BH159" s="382"/>
      <c r="BI159" s="382"/>
      <c r="BJ159" s="382"/>
      <c r="BK159" s="382"/>
      <c r="BL159" s="382"/>
      <c r="BM159" s="382"/>
      <c r="BN159" s="382"/>
      <c r="BO159" s="382"/>
      <c r="BP159" s="382"/>
    </row>
    <row r="160" spans="1:68">
      <c r="A160" s="382" t="s">
        <v>237</v>
      </c>
      <c r="B160" s="382" t="s">
        <v>236</v>
      </c>
      <c r="C160" s="382" t="s">
        <v>2334</v>
      </c>
      <c r="D160" s="382" t="s">
        <v>2335</v>
      </c>
      <c r="E160" s="382">
        <v>1.2904548190088801E-2</v>
      </c>
      <c r="F160" s="382">
        <v>1.3112151359653299E-2</v>
      </c>
      <c r="G160" s="382">
        <v>1.32693639798707E-2</v>
      </c>
      <c r="H160" s="382">
        <v>1.33481913011842E-2</v>
      </c>
      <c r="I160" s="382">
        <v>1.36602590890651E-2</v>
      </c>
      <c r="J160" s="382">
        <v>1.41476624140679E-2</v>
      </c>
      <c r="K160" s="382">
        <v>1.47440979217918E-2</v>
      </c>
      <c r="L160" s="382">
        <v>1.51889197591989E-2</v>
      </c>
      <c r="M160" s="382">
        <v>1.55434216938851E-2</v>
      </c>
      <c r="N160" s="382">
        <v>1.60667692256833E-2</v>
      </c>
      <c r="O160" s="382">
        <v>1.6870655893943601E-2</v>
      </c>
      <c r="P160" s="382">
        <v>1.7793316956222299E-2</v>
      </c>
      <c r="Q160" s="382">
        <v>1.8672963807849999E-2</v>
      </c>
      <c r="R160" s="382">
        <v>2.0929019990743699E-2</v>
      </c>
      <c r="S160" s="382">
        <v>2.5906781337322601E-2</v>
      </c>
      <c r="T160" s="382">
        <v>2.9778429248627902E-2</v>
      </c>
      <c r="U160" s="382">
        <v>3.4490783038909803E-2</v>
      </c>
      <c r="V160" s="382">
        <v>4.4515227234913503E-2</v>
      </c>
      <c r="W160" s="382">
        <v>5.2286380690545101E-2</v>
      </c>
      <c r="X160" s="382">
        <v>6.1797924982671698E-2</v>
      </c>
      <c r="Y160" s="382">
        <v>7.8082698719522906E-2</v>
      </c>
      <c r="Z160" s="382">
        <v>9.9894134410133395E-2</v>
      </c>
      <c r="AA160" s="382">
        <v>0.15874518522379999</v>
      </c>
      <c r="AB160" s="382">
        <v>0.32046674494064797</v>
      </c>
      <c r="AC160" s="382">
        <v>0.53020840674546399</v>
      </c>
      <c r="AD160" s="382">
        <v>0.83639553493194396</v>
      </c>
      <c r="AE160" s="382">
        <v>1.5576471478797</v>
      </c>
      <c r="AF160" s="382">
        <v>3.61105263368212</v>
      </c>
      <c r="AG160" s="382">
        <v>7.7335118776891596</v>
      </c>
      <c r="AH160" s="382">
        <v>9.2808233998395799</v>
      </c>
      <c r="AI160" s="382">
        <v>11.7543180636708</v>
      </c>
      <c r="AJ160" s="382">
        <v>14.418123874751</v>
      </c>
      <c r="AK160" s="382">
        <v>16.6540715669279</v>
      </c>
      <c r="AL160" s="382">
        <v>18.278086769687</v>
      </c>
      <c r="AM160" s="382">
        <v>19.551303999238598</v>
      </c>
      <c r="AN160" s="382">
        <v>26.394117926461199</v>
      </c>
      <c r="AO160" s="382">
        <v>35.467988935687004</v>
      </c>
      <c r="AP160" s="382">
        <v>42.783484650113799</v>
      </c>
      <c r="AQ160" s="382">
        <v>49.598207085054703</v>
      </c>
      <c r="AR160" s="382">
        <v>57.824375736543097</v>
      </c>
      <c r="AS160" s="382">
        <v>63.312811918303503</v>
      </c>
      <c r="AT160" s="382">
        <v>67.344405941169597</v>
      </c>
      <c r="AU160" s="382">
        <v>70.732319377096999</v>
      </c>
      <c r="AV160" s="382">
        <v>73.948447292572695</v>
      </c>
      <c r="AW160" s="382">
        <v>77.415452838715396</v>
      </c>
      <c r="AX160" s="382">
        <v>80.502825337738201</v>
      </c>
      <c r="AY160" s="382">
        <v>83.424649320091703</v>
      </c>
      <c r="AZ160" s="382">
        <v>86.733979232934402</v>
      </c>
      <c r="BA160" s="382">
        <v>91.179080703332403</v>
      </c>
      <c r="BB160" s="382">
        <v>96.009161061915407</v>
      </c>
      <c r="BC160" s="382">
        <v>100</v>
      </c>
      <c r="BD160" s="382">
        <v>103.40737824605699</v>
      </c>
      <c r="BE160" s="382">
        <v>107.65898274763499</v>
      </c>
      <c r="BF160" s="382">
        <v>111.756904251934</v>
      </c>
      <c r="BG160" s="382">
        <v>116.247985177591</v>
      </c>
      <c r="BH160" s="382">
        <v>119.41067511672099</v>
      </c>
      <c r="BI160" s="382">
        <v>122.780095507214</v>
      </c>
      <c r="BJ160" s="382">
        <v>130.197802476747</v>
      </c>
      <c r="BK160" s="382">
        <v>136.57664871233001</v>
      </c>
      <c r="BL160" s="382">
        <v>141.54252296997399</v>
      </c>
      <c r="BM160" s="382">
        <v>146.35048773505801</v>
      </c>
      <c r="BN160" s="382">
        <v>154.67667208917399</v>
      </c>
      <c r="BO160" s="382">
        <v>166.89036932144299</v>
      </c>
      <c r="BP160" s="382">
        <v>176.11600363857801</v>
      </c>
    </row>
    <row r="161" spans="1:68">
      <c r="A161" s="382" t="s">
        <v>2525</v>
      </c>
      <c r="B161" s="382" t="s">
        <v>2526</v>
      </c>
      <c r="C161" s="382" t="s">
        <v>2334</v>
      </c>
      <c r="D161" s="382" t="s">
        <v>2335</v>
      </c>
      <c r="E161" s="382"/>
      <c r="F161" s="382"/>
      <c r="G161" s="382"/>
      <c r="H161" s="382"/>
      <c r="I161" s="382"/>
      <c r="J161" s="382"/>
      <c r="K161" s="382"/>
      <c r="L161" s="382"/>
      <c r="M161" s="382"/>
      <c r="N161" s="382"/>
      <c r="O161" s="382"/>
      <c r="P161" s="382"/>
      <c r="Q161" s="382"/>
      <c r="R161" s="382"/>
      <c r="S161" s="382"/>
      <c r="T161" s="382"/>
      <c r="U161" s="382"/>
      <c r="V161" s="382"/>
      <c r="W161" s="382"/>
      <c r="X161" s="382"/>
      <c r="Y161" s="382"/>
      <c r="Z161" s="382"/>
      <c r="AA161" s="382"/>
      <c r="AB161" s="382"/>
      <c r="AC161" s="382"/>
      <c r="AD161" s="382"/>
      <c r="AE161" s="382"/>
      <c r="AF161" s="382"/>
      <c r="AG161" s="382"/>
      <c r="AH161" s="382"/>
      <c r="AI161" s="382"/>
      <c r="AJ161" s="382"/>
      <c r="AK161" s="382"/>
      <c r="AL161" s="382"/>
      <c r="AM161" s="382"/>
      <c r="AN161" s="382"/>
      <c r="AO161" s="382"/>
      <c r="AP161" s="382"/>
      <c r="AQ161" s="382"/>
      <c r="AR161" s="382"/>
      <c r="AS161" s="382"/>
      <c r="AT161" s="382"/>
      <c r="AU161" s="382"/>
      <c r="AV161" s="382"/>
      <c r="AW161" s="382"/>
      <c r="AX161" s="382"/>
      <c r="AY161" s="382"/>
      <c r="AZ161" s="382"/>
      <c r="BA161" s="382"/>
      <c r="BB161" s="382"/>
      <c r="BC161" s="382"/>
      <c r="BD161" s="382"/>
      <c r="BE161" s="382"/>
      <c r="BF161" s="382"/>
      <c r="BG161" s="382"/>
      <c r="BH161" s="382"/>
      <c r="BI161" s="382"/>
      <c r="BJ161" s="382"/>
      <c r="BK161" s="382"/>
      <c r="BL161" s="382"/>
      <c r="BM161" s="382"/>
      <c r="BN161" s="382"/>
      <c r="BO161" s="382"/>
      <c r="BP161" s="382"/>
    </row>
    <row r="162" spans="1:68">
      <c r="A162" s="382" t="s">
        <v>2527</v>
      </c>
      <c r="B162" s="382" t="s">
        <v>2528</v>
      </c>
      <c r="C162" s="382" t="s">
        <v>2334</v>
      </c>
      <c r="D162" s="382" t="s">
        <v>2335</v>
      </c>
      <c r="E162" s="382"/>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c r="AK162" s="382"/>
      <c r="AL162" s="382"/>
      <c r="AM162" s="382"/>
      <c r="AN162" s="382"/>
      <c r="AO162" s="382"/>
      <c r="AP162" s="382"/>
      <c r="AQ162" s="382"/>
      <c r="AR162" s="382"/>
      <c r="AS162" s="382"/>
      <c r="AT162" s="382"/>
      <c r="AU162" s="382"/>
      <c r="AV162" s="382"/>
      <c r="AW162" s="382"/>
      <c r="AX162" s="382"/>
      <c r="AY162" s="382"/>
      <c r="AZ162" s="382"/>
      <c r="BA162" s="382"/>
      <c r="BB162" s="382"/>
      <c r="BC162" s="382"/>
      <c r="BD162" s="382"/>
      <c r="BE162" s="382"/>
      <c r="BF162" s="382"/>
      <c r="BG162" s="382"/>
      <c r="BH162" s="382"/>
      <c r="BI162" s="382"/>
      <c r="BJ162" s="382"/>
      <c r="BK162" s="382"/>
      <c r="BL162" s="382"/>
      <c r="BM162" s="382"/>
      <c r="BN162" s="382"/>
      <c r="BO162" s="382"/>
      <c r="BP162" s="382"/>
    </row>
    <row r="163" spans="1:68">
      <c r="A163" s="382" t="s">
        <v>2529</v>
      </c>
      <c r="B163" s="382" t="s">
        <v>2530</v>
      </c>
      <c r="C163" s="382" t="s">
        <v>2334</v>
      </c>
      <c r="D163" s="382" t="s">
        <v>2335</v>
      </c>
      <c r="E163" s="382"/>
      <c r="F163" s="382"/>
      <c r="G163" s="382"/>
      <c r="H163" s="382"/>
      <c r="I163" s="382"/>
      <c r="J163" s="382"/>
      <c r="K163" s="382"/>
      <c r="L163" s="382"/>
      <c r="M163" s="382"/>
      <c r="N163" s="382"/>
      <c r="O163" s="382"/>
      <c r="P163" s="382"/>
      <c r="Q163" s="382"/>
      <c r="R163" s="382"/>
      <c r="S163" s="382"/>
      <c r="T163" s="382"/>
      <c r="U163" s="382"/>
      <c r="V163" s="382"/>
      <c r="W163" s="382"/>
      <c r="X163" s="382"/>
      <c r="Y163" s="382"/>
      <c r="Z163" s="382"/>
      <c r="AA163" s="382"/>
      <c r="AB163" s="382"/>
      <c r="AC163" s="382"/>
      <c r="AD163" s="382"/>
      <c r="AE163" s="382"/>
      <c r="AF163" s="382"/>
      <c r="AG163" s="382"/>
      <c r="AH163" s="382"/>
      <c r="AI163" s="382"/>
      <c r="AJ163" s="382"/>
      <c r="AK163" s="382"/>
      <c r="AL163" s="382">
        <v>27.5915658594425</v>
      </c>
      <c r="AM163" s="382">
        <v>62.517899301038298</v>
      </c>
      <c r="AN163" s="382">
        <v>72.754323166742296</v>
      </c>
      <c r="AO163" s="382">
        <v>74.548881364417596</v>
      </c>
      <c r="AP163" s="382">
        <v>75.5138158969324</v>
      </c>
      <c r="AQ163" s="382">
        <v>75.924761820650403</v>
      </c>
      <c r="AR163" s="382">
        <v>74.953466535026706</v>
      </c>
      <c r="AS163" s="382">
        <v>79.905959054990106</v>
      </c>
      <c r="AT163" s="382">
        <v>84.060178180116395</v>
      </c>
      <c r="AU163" s="382">
        <v>86.0058333333333</v>
      </c>
      <c r="AV163" s="382">
        <v>86.741666666666603</v>
      </c>
      <c r="AW163" s="382">
        <v>86.352499999999907</v>
      </c>
      <c r="AX163" s="382">
        <v>86.806296161340498</v>
      </c>
      <c r="AY163" s="382">
        <v>89.5959287256089</v>
      </c>
      <c r="AZ163" s="382">
        <v>91.613412203179706</v>
      </c>
      <c r="BA163" s="382">
        <v>99.246547043517495</v>
      </c>
      <c r="BB163" s="382">
        <v>98.512485874418203</v>
      </c>
      <c r="BC163" s="382">
        <v>100</v>
      </c>
      <c r="BD163" s="382">
        <v>103.904754220697</v>
      </c>
      <c r="BE163" s="382">
        <v>107.35029371118701</v>
      </c>
      <c r="BF163" s="382">
        <v>110.34</v>
      </c>
      <c r="BG163" s="382">
        <v>110.029166666667</v>
      </c>
      <c r="BH163" s="382">
        <v>109.699166666666</v>
      </c>
      <c r="BI163" s="382">
        <v>109.43666666666699</v>
      </c>
      <c r="BJ163" s="382">
        <v>110.915833333333</v>
      </c>
      <c r="BK163" s="382">
        <v>112.533333333333</v>
      </c>
      <c r="BL163" s="382">
        <v>113.395833333333</v>
      </c>
      <c r="BM163" s="382">
        <v>114.756666666667</v>
      </c>
      <c r="BN163" s="382">
        <v>118.464166666667</v>
      </c>
      <c r="BO163" s="382">
        <v>135.291666666667</v>
      </c>
      <c r="BP163" s="382">
        <v>147.95750000000001</v>
      </c>
    </row>
    <row r="164" spans="1:68">
      <c r="A164" s="382" t="s">
        <v>1202</v>
      </c>
      <c r="B164" s="382" t="s">
        <v>2531</v>
      </c>
      <c r="C164" s="382" t="s">
        <v>2334</v>
      </c>
      <c r="D164" s="382" t="s">
        <v>2335</v>
      </c>
      <c r="E164" s="382"/>
      <c r="F164" s="382"/>
      <c r="G164" s="382"/>
      <c r="H164" s="382"/>
      <c r="I164" s="382"/>
      <c r="J164" s="382"/>
      <c r="K164" s="382"/>
      <c r="L164" s="382"/>
      <c r="M164" s="382"/>
      <c r="N164" s="382"/>
      <c r="O164" s="382"/>
      <c r="P164" s="382"/>
      <c r="Q164" s="382"/>
      <c r="R164" s="382"/>
      <c r="S164" s="382"/>
      <c r="T164" s="382"/>
      <c r="U164" s="382"/>
      <c r="V164" s="382"/>
      <c r="W164" s="382"/>
      <c r="X164" s="382"/>
      <c r="Y164" s="382"/>
      <c r="Z164" s="382"/>
      <c r="AA164" s="382"/>
      <c r="AB164" s="382"/>
      <c r="AC164" s="382"/>
      <c r="AD164" s="382"/>
      <c r="AE164" s="382"/>
      <c r="AF164" s="382"/>
      <c r="AG164" s="382">
        <v>52.594061990904002</v>
      </c>
      <c r="AH164" s="382">
        <v>52.553726028030603</v>
      </c>
      <c r="AI164" s="382">
        <v>52.872380134731998</v>
      </c>
      <c r="AJ164" s="382">
        <v>53.824308858549401</v>
      </c>
      <c r="AK164" s="382">
        <v>50.464323151177197</v>
      </c>
      <c r="AL164" s="382">
        <v>50.331214473694303</v>
      </c>
      <c r="AM164" s="382">
        <v>61.996374936743301</v>
      </c>
      <c r="AN164" s="382">
        <v>70.329784866431893</v>
      </c>
      <c r="AO164" s="382">
        <v>75.116050221014703</v>
      </c>
      <c r="AP164" s="382">
        <v>74.843379111989194</v>
      </c>
      <c r="AQ164" s="382">
        <v>77.864499064394707</v>
      </c>
      <c r="AR164" s="382">
        <v>76.928642779762299</v>
      </c>
      <c r="AS164" s="382">
        <v>76.407326862818806</v>
      </c>
      <c r="AT164" s="382">
        <v>80.370584014519196</v>
      </c>
      <c r="AU164" s="382">
        <v>84.415493056825696</v>
      </c>
      <c r="AV164" s="382">
        <v>83.278647503009793</v>
      </c>
      <c r="AW164" s="382">
        <v>80.697191576941705</v>
      </c>
      <c r="AX164" s="382">
        <v>85.860103429077895</v>
      </c>
      <c r="AY164" s="382">
        <v>87.185376422752796</v>
      </c>
      <c r="AZ164" s="382">
        <v>88.416435696498198</v>
      </c>
      <c r="BA164" s="382">
        <v>96.525096525096501</v>
      </c>
      <c r="BB164" s="382">
        <v>98.903235410929497</v>
      </c>
      <c r="BC164" s="382">
        <v>100</v>
      </c>
      <c r="BD164" s="382">
        <v>102.955643952294</v>
      </c>
      <c r="BE164" s="382">
        <v>108.43610514765</v>
      </c>
      <c r="BF164" s="382">
        <v>107.778183874308</v>
      </c>
      <c r="BG164" s="382">
        <v>108.73074314202999</v>
      </c>
      <c r="BH164" s="382">
        <v>110.30808978607099</v>
      </c>
      <c r="BI164" s="382">
        <v>108.32293347934301</v>
      </c>
      <c r="BJ164" s="382">
        <v>110.229262671784</v>
      </c>
      <c r="BK164" s="382">
        <v>110.559450578237</v>
      </c>
      <c r="BL164" s="382">
        <v>108.726079750895</v>
      </c>
      <c r="BM164" s="382">
        <v>109.202396681528</v>
      </c>
      <c r="BN164" s="382">
        <v>113.489249057224</v>
      </c>
      <c r="BO164" s="382">
        <v>124.408590014187</v>
      </c>
      <c r="BP164" s="382">
        <v>126.969916905327</v>
      </c>
    </row>
    <row r="165" spans="1:68">
      <c r="A165" s="382" t="s">
        <v>1721</v>
      </c>
      <c r="B165" s="382" t="s">
        <v>2532</v>
      </c>
      <c r="C165" s="382" t="s">
        <v>2334</v>
      </c>
      <c r="D165" s="382" t="s">
        <v>2335</v>
      </c>
      <c r="E165" s="382">
        <v>20.900782695204299</v>
      </c>
      <c r="F165" s="382">
        <v>21.425668551177999</v>
      </c>
      <c r="G165" s="382">
        <v>21.4618082331063</v>
      </c>
      <c r="H165" s="382">
        <v>21.86450754562</v>
      </c>
      <c r="I165" s="382">
        <v>22.3412071592061</v>
      </c>
      <c r="J165" s="382">
        <v>22.699162103626801</v>
      </c>
      <c r="K165" s="382">
        <v>22.8179067727581</v>
      </c>
      <c r="L165" s="382">
        <v>22.976232998163201</v>
      </c>
      <c r="M165" s="382">
        <v>23.444327925566899</v>
      </c>
      <c r="N165" s="382">
        <v>23.991585965673298</v>
      </c>
      <c r="O165" s="382">
        <v>24.883031452404602</v>
      </c>
      <c r="P165" s="382">
        <v>25.4612663626711</v>
      </c>
      <c r="Q165" s="382">
        <v>26.320014041923098</v>
      </c>
      <c r="R165" s="382">
        <v>28.343836228028401</v>
      </c>
      <c r="S165" s="382">
        <v>30.4003562215096</v>
      </c>
      <c r="T165" s="382">
        <v>33.073054205832101</v>
      </c>
      <c r="U165" s="382">
        <v>33.255456343135599</v>
      </c>
      <c r="V165" s="382">
        <v>36.594428801515399</v>
      </c>
      <c r="W165" s="382">
        <v>38.317115654042503</v>
      </c>
      <c r="X165" s="382">
        <v>41.055681076971602</v>
      </c>
      <c r="Y165" s="382">
        <v>47.520823500079103</v>
      </c>
      <c r="Z165" s="382">
        <v>52.990354257008399</v>
      </c>
      <c r="AA165" s="382">
        <v>56.073457050371701</v>
      </c>
      <c r="AB165" s="382">
        <v>55.579451261772299</v>
      </c>
      <c r="AC165" s="382">
        <v>55.333512189521997</v>
      </c>
      <c r="AD165" s="382">
        <v>55.203363641150801</v>
      </c>
      <c r="AE165" s="382">
        <v>56.322826422259503</v>
      </c>
      <c r="AF165" s="382">
        <v>56.565986521668599</v>
      </c>
      <c r="AG165" s="382">
        <v>57.096770281218603</v>
      </c>
      <c r="AH165" s="382">
        <v>57.580774669289703</v>
      </c>
      <c r="AI165" s="382">
        <v>59.2986428753727</v>
      </c>
      <c r="AJ165" s="382">
        <v>60.8061287334342</v>
      </c>
      <c r="AK165" s="382">
        <v>61.799221784775597</v>
      </c>
      <c r="AL165" s="382">
        <v>64.360688005994305</v>
      </c>
      <c r="AM165" s="382">
        <v>67.018734101127805</v>
      </c>
      <c r="AN165" s="382">
        <v>69.985415880293502</v>
      </c>
      <c r="AO165" s="382">
        <v>71.422916322474805</v>
      </c>
      <c r="AP165" s="382">
        <v>73.645653130832798</v>
      </c>
      <c r="AQ165" s="382">
        <v>75.402287069428198</v>
      </c>
      <c r="AR165" s="382">
        <v>77.011951634675</v>
      </c>
      <c r="AS165" s="382">
        <v>78.836821353753606</v>
      </c>
      <c r="AT165" s="382">
        <v>81.146340077803302</v>
      </c>
      <c r="AU165" s="382">
        <v>82.922220005765794</v>
      </c>
      <c r="AV165" s="382">
        <v>84.003391233593604</v>
      </c>
      <c r="AW165" s="382">
        <v>86.347781800875694</v>
      </c>
      <c r="AX165" s="382">
        <v>88.945094172097001</v>
      </c>
      <c r="AY165" s="382">
        <v>91.412235462873397</v>
      </c>
      <c r="AZ165" s="382">
        <v>92.554174694139704</v>
      </c>
      <c r="BA165" s="382">
        <v>96.495706879478504</v>
      </c>
      <c r="BB165" s="382">
        <v>98.506993396483196</v>
      </c>
      <c r="BC165" s="382">
        <v>100</v>
      </c>
      <c r="BD165" s="382">
        <v>102.96298528192899</v>
      </c>
      <c r="BE165" s="382">
        <v>105.40920107357201</v>
      </c>
      <c r="BF165" s="382">
        <v>106.653329391708</v>
      </c>
      <c r="BG165" s="382">
        <v>106.98428157560799</v>
      </c>
      <c r="BH165" s="382">
        <v>108.161695229016</v>
      </c>
      <c r="BI165" s="382">
        <v>108.856853441984</v>
      </c>
      <c r="BJ165" s="382">
        <v>110.34204680034701</v>
      </c>
      <c r="BK165" s="382">
        <v>111.619613085975</v>
      </c>
      <c r="BL165" s="382">
        <v>113.452474124359</v>
      </c>
      <c r="BM165" s="382">
        <v>114.176919176219</v>
      </c>
      <c r="BN165" s="382">
        <v>115.887166319179</v>
      </c>
      <c r="BO165" s="382">
        <v>123.018580023951</v>
      </c>
      <c r="BP165" s="382">
        <v>129.28510661979001</v>
      </c>
    </row>
    <row r="166" spans="1:68">
      <c r="A166" s="382" t="s">
        <v>1137</v>
      </c>
      <c r="B166" s="382" t="s">
        <v>2533</v>
      </c>
      <c r="C166" s="382" t="s">
        <v>2334</v>
      </c>
      <c r="D166" s="382" t="s">
        <v>2335</v>
      </c>
      <c r="E166" s="382">
        <v>0.155438056879804</v>
      </c>
      <c r="F166" s="382">
        <v>0.15521047553964601</v>
      </c>
      <c r="G166" s="382">
        <v>0.15270708077060199</v>
      </c>
      <c r="H166" s="382">
        <v>0.148610616606799</v>
      </c>
      <c r="I166" s="382">
        <v>0.14792787258177401</v>
      </c>
      <c r="J166" s="382">
        <v>0.17409972696162601</v>
      </c>
      <c r="K166" s="382">
        <v>0.21847808873615901</v>
      </c>
      <c r="L166" s="382">
        <v>0.22029873947335099</v>
      </c>
      <c r="M166" s="382">
        <v>0.225533110349321</v>
      </c>
      <c r="N166" s="382">
        <v>0.21574711262468099</v>
      </c>
      <c r="O166" s="382">
        <v>0.20709902161448401</v>
      </c>
      <c r="P166" s="382">
        <v>0.21142306712072001</v>
      </c>
      <c r="Q166" s="382">
        <v>0.22758134243349801</v>
      </c>
      <c r="R166" s="382">
        <v>0.28493184072503303</v>
      </c>
      <c r="S166" s="382">
        <v>0.35676789146473598</v>
      </c>
      <c r="T166" s="382">
        <v>0.46970513264641101</v>
      </c>
      <c r="U166" s="382">
        <v>0.57484581633988097</v>
      </c>
      <c r="V166" s="382">
        <v>0.56819664811806803</v>
      </c>
      <c r="W166" s="382">
        <v>0.53385083052323801</v>
      </c>
      <c r="X166" s="382">
        <v>0.56413242464463298</v>
      </c>
      <c r="Y166" s="382">
        <v>0.56756321338238702</v>
      </c>
      <c r="Z166" s="382">
        <v>0.56937058854335798</v>
      </c>
      <c r="AA166" s="382">
        <v>0.59957422021016704</v>
      </c>
      <c r="AB166" s="382">
        <v>0.63345066347782297</v>
      </c>
      <c r="AC166" s="382">
        <v>0.66414965613087096</v>
      </c>
      <c r="AD166" s="382">
        <v>0.70936208601460504</v>
      </c>
      <c r="AE166" s="382">
        <v>0.77551337707948498</v>
      </c>
      <c r="AF166" s="382">
        <v>0.96753048924436502</v>
      </c>
      <c r="AG166" s="382">
        <v>1.1227494916668199</v>
      </c>
      <c r="AH166" s="382">
        <v>1.4281208091148301</v>
      </c>
      <c r="AI166" s="382">
        <v>1.6798524513148301</v>
      </c>
      <c r="AJ166" s="382">
        <v>2.2219750775622402</v>
      </c>
      <c r="AK166" s="382">
        <v>2.7088811513616</v>
      </c>
      <c r="AL166" s="382">
        <v>3.5711615501133198</v>
      </c>
      <c r="AM166" s="382">
        <v>4.4317681324928504</v>
      </c>
      <c r="AN166" s="382">
        <v>5.5483393675889401</v>
      </c>
      <c r="AO166" s="382">
        <v>6.4513536064717698</v>
      </c>
      <c r="AP166" s="382">
        <v>8.3672270914892604</v>
      </c>
      <c r="AQ166" s="382">
        <v>12.675307302949401</v>
      </c>
      <c r="AR166" s="382">
        <v>15.0076960975733</v>
      </c>
      <c r="AS166" s="382">
        <v>14.9913128688885</v>
      </c>
      <c r="AT166" s="382">
        <v>18.1546755773626</v>
      </c>
      <c r="AU166" s="382">
        <v>28.516367934374902</v>
      </c>
      <c r="AV166" s="382">
        <v>38.950426412060402</v>
      </c>
      <c r="AW166" s="382">
        <v>40.716521998729803</v>
      </c>
      <c r="AX166" s="382">
        <v>44.531097465480798</v>
      </c>
      <c r="AY166" s="382">
        <v>53.435752730712501</v>
      </c>
      <c r="AZ166" s="382">
        <v>72.151409816911794</v>
      </c>
      <c r="BA166" s="382">
        <v>91.487653726359099</v>
      </c>
      <c r="BB166" s="382">
        <v>92.834665896028</v>
      </c>
      <c r="BC166" s="382">
        <v>100</v>
      </c>
      <c r="BD166" s="382">
        <v>105.021460146207</v>
      </c>
      <c r="BE166" s="382">
        <v>106.562737479798</v>
      </c>
      <c r="BF166" s="382">
        <v>112.576114138628</v>
      </c>
      <c r="BG166" s="382">
        <v>118.152345882585</v>
      </c>
      <c r="BH166" s="382">
        <v>129.32267176060799</v>
      </c>
      <c r="BI166" s="382">
        <v>138.28321370608501</v>
      </c>
      <c r="BJ166" s="382">
        <v>144.606264199701</v>
      </c>
      <c r="BK166" s="382">
        <v>154.54408193357801</v>
      </c>
      <c r="BL166" s="382">
        <v>168.18270065936801</v>
      </c>
      <c r="BM166" s="382"/>
      <c r="BN166" s="382"/>
      <c r="BO166" s="382"/>
      <c r="BP166" s="382"/>
    </row>
    <row r="167" spans="1:68">
      <c r="A167" s="382" t="s">
        <v>2534</v>
      </c>
      <c r="B167" s="382" t="s">
        <v>2535</v>
      </c>
      <c r="C167" s="382" t="s">
        <v>2334</v>
      </c>
      <c r="D167" s="382" t="s">
        <v>2335</v>
      </c>
      <c r="E167" s="382"/>
      <c r="F167" s="382"/>
      <c r="G167" s="382"/>
      <c r="H167" s="382"/>
      <c r="I167" s="382"/>
      <c r="J167" s="382"/>
      <c r="K167" s="382"/>
      <c r="L167" s="382"/>
      <c r="M167" s="382"/>
      <c r="N167" s="382"/>
      <c r="O167" s="382"/>
      <c r="P167" s="382"/>
      <c r="Q167" s="382"/>
      <c r="R167" s="382"/>
      <c r="S167" s="382"/>
      <c r="T167" s="382"/>
      <c r="U167" s="382"/>
      <c r="V167" s="382"/>
      <c r="W167" s="382"/>
      <c r="X167" s="382"/>
      <c r="Y167" s="382"/>
      <c r="Z167" s="382"/>
      <c r="AA167" s="382"/>
      <c r="AB167" s="382"/>
      <c r="AC167" s="382"/>
      <c r="AD167" s="382"/>
      <c r="AE167" s="382"/>
      <c r="AF167" s="382"/>
      <c r="AG167" s="382"/>
      <c r="AH167" s="382"/>
      <c r="AI167" s="382"/>
      <c r="AJ167" s="382"/>
      <c r="AK167" s="382"/>
      <c r="AL167" s="382"/>
      <c r="AM167" s="382"/>
      <c r="AN167" s="382"/>
      <c r="AO167" s="382"/>
      <c r="AP167" s="382"/>
      <c r="AQ167" s="382"/>
      <c r="AR167" s="382"/>
      <c r="AS167" s="382"/>
      <c r="AT167" s="382"/>
      <c r="AU167" s="382"/>
      <c r="AV167" s="382"/>
      <c r="AW167" s="382"/>
      <c r="AX167" s="382"/>
      <c r="AY167" s="382"/>
      <c r="AZ167" s="382"/>
      <c r="BA167" s="382"/>
      <c r="BB167" s="382"/>
      <c r="BC167" s="382"/>
      <c r="BD167" s="382"/>
      <c r="BE167" s="382"/>
      <c r="BF167" s="382"/>
      <c r="BG167" s="382"/>
      <c r="BH167" s="382"/>
      <c r="BI167" s="382"/>
      <c r="BJ167" s="382"/>
      <c r="BK167" s="382"/>
      <c r="BL167" s="382"/>
      <c r="BM167" s="382"/>
      <c r="BN167" s="382"/>
      <c r="BO167" s="382"/>
      <c r="BP167" s="382"/>
    </row>
    <row r="168" spans="1:68">
      <c r="A168" s="382" t="s">
        <v>1987</v>
      </c>
      <c r="B168" s="382" t="s">
        <v>2536</v>
      </c>
      <c r="C168" s="382" t="s">
        <v>2334</v>
      </c>
      <c r="D168" s="382" t="s">
        <v>2335</v>
      </c>
      <c r="E168" s="382"/>
      <c r="F168" s="382"/>
      <c r="G168" s="382"/>
      <c r="H168" s="382"/>
      <c r="I168" s="382"/>
      <c r="J168" s="382"/>
      <c r="K168" s="382"/>
      <c r="L168" s="382"/>
      <c r="M168" s="382"/>
      <c r="N168" s="382"/>
      <c r="O168" s="382"/>
      <c r="P168" s="382"/>
      <c r="Q168" s="382"/>
      <c r="R168" s="382"/>
      <c r="S168" s="382"/>
      <c r="T168" s="382"/>
      <c r="U168" s="382"/>
      <c r="V168" s="382"/>
      <c r="W168" s="382"/>
      <c r="X168" s="382"/>
      <c r="Y168" s="382"/>
      <c r="Z168" s="382"/>
      <c r="AA168" s="382"/>
      <c r="AB168" s="382"/>
      <c r="AC168" s="382"/>
      <c r="AD168" s="382"/>
      <c r="AE168" s="382"/>
      <c r="AF168" s="382"/>
      <c r="AG168" s="382"/>
      <c r="AH168" s="382"/>
      <c r="AI168" s="382"/>
      <c r="AJ168" s="382"/>
      <c r="AK168" s="382"/>
      <c r="AL168" s="382"/>
      <c r="AM168" s="382"/>
      <c r="AN168" s="382"/>
      <c r="AO168" s="382"/>
      <c r="AP168" s="382"/>
      <c r="AQ168" s="382"/>
      <c r="AR168" s="382"/>
      <c r="AS168" s="382"/>
      <c r="AT168" s="382"/>
      <c r="AU168" s="382"/>
      <c r="AV168" s="382"/>
      <c r="AW168" s="382"/>
      <c r="AX168" s="382">
        <v>82.205479452054803</v>
      </c>
      <c r="AY168" s="382">
        <v>84.609589041095902</v>
      </c>
      <c r="AZ168" s="382">
        <v>88.287671232876704</v>
      </c>
      <c r="BA168" s="382">
        <v>96.020547945205195</v>
      </c>
      <c r="BB168" s="382">
        <v>99.349315068492899</v>
      </c>
      <c r="BC168" s="382">
        <v>100</v>
      </c>
      <c r="BD168" s="382">
        <v>103.450143112487</v>
      </c>
      <c r="BE168" s="382">
        <v>107.738407324783</v>
      </c>
      <c r="BF168" s="382">
        <v>110.11500096703</v>
      </c>
      <c r="BG168" s="382">
        <v>109.33261841211799</v>
      </c>
      <c r="BH168" s="382">
        <v>111.02584347009299</v>
      </c>
      <c r="BI168" s="382">
        <v>110.724535958828</v>
      </c>
      <c r="BJ168" s="382">
        <v>113.360041214069</v>
      </c>
      <c r="BK168" s="382">
        <v>116.32012557025899</v>
      </c>
      <c r="BL168" s="382">
        <v>116.740696925397</v>
      </c>
      <c r="BM168" s="382">
        <v>116.44224267966401</v>
      </c>
      <c r="BN168" s="382">
        <v>119.249434576437</v>
      </c>
      <c r="BO168" s="382">
        <v>134.79992292786699</v>
      </c>
      <c r="BP168" s="382">
        <v>146.37218506434201</v>
      </c>
    </row>
    <row r="169" spans="1:68">
      <c r="A169" s="382" t="s">
        <v>1170</v>
      </c>
      <c r="B169" s="382" t="s">
        <v>2537</v>
      </c>
      <c r="C169" s="382" t="s">
        <v>2334</v>
      </c>
      <c r="D169" s="382" t="s">
        <v>2335</v>
      </c>
      <c r="E169" s="382"/>
      <c r="F169" s="382"/>
      <c r="G169" s="382"/>
      <c r="H169" s="382"/>
      <c r="I169" s="382"/>
      <c r="J169" s="382"/>
      <c r="K169" s="382"/>
      <c r="L169" s="382"/>
      <c r="M169" s="382"/>
      <c r="N169" s="382"/>
      <c r="O169" s="382"/>
      <c r="P169" s="382"/>
      <c r="Q169" s="382"/>
      <c r="R169" s="382"/>
      <c r="S169" s="382"/>
      <c r="T169" s="382"/>
      <c r="U169" s="382"/>
      <c r="V169" s="382"/>
      <c r="W169" s="382"/>
      <c r="X169" s="382"/>
      <c r="Y169" s="382"/>
      <c r="Z169" s="382"/>
      <c r="AA169" s="382"/>
      <c r="AB169" s="382"/>
      <c r="AC169" s="382"/>
      <c r="AD169" s="382"/>
      <c r="AE169" s="382"/>
      <c r="AF169" s="382"/>
      <c r="AG169" s="382"/>
      <c r="AH169" s="382"/>
      <c r="AI169" s="382"/>
      <c r="AJ169" s="382"/>
      <c r="AK169" s="382">
        <v>2.2886632031108101</v>
      </c>
      <c r="AL169" s="382">
        <v>8.42572477113284</v>
      </c>
      <c r="AM169" s="382">
        <v>15.8049753117949</v>
      </c>
      <c r="AN169" s="382">
        <v>15.8118530208079</v>
      </c>
      <c r="AO169" s="382">
        <v>23.226023336784799</v>
      </c>
      <c r="AP169" s="382">
        <v>31.716555113290902</v>
      </c>
      <c r="AQ169" s="382">
        <v>34.684286552385402</v>
      </c>
      <c r="AR169" s="382">
        <v>37.308132540831799</v>
      </c>
      <c r="AS169" s="382">
        <v>41.634211509987203</v>
      </c>
      <c r="AT169" s="382">
        <v>44.247740934914098</v>
      </c>
      <c r="AU169" s="382">
        <v>44.653525766679103</v>
      </c>
      <c r="AV169" s="382">
        <v>46.943802867996702</v>
      </c>
      <c r="AW169" s="382">
        <v>50.812514187789802</v>
      </c>
      <c r="AX169" s="382">
        <v>57.274121805470898</v>
      </c>
      <c r="AY169" s="382">
        <v>60.1923337396722</v>
      </c>
      <c r="AZ169" s="382">
        <v>65.989435188947596</v>
      </c>
      <c r="BA169" s="382">
        <v>84.437220642015504</v>
      </c>
      <c r="BB169" s="382">
        <v>90.870919680346802</v>
      </c>
      <c r="BC169" s="382">
        <v>100</v>
      </c>
      <c r="BD169" s="382">
        <v>108.411214953271</v>
      </c>
      <c r="BE169" s="382">
        <v>123.946905052147</v>
      </c>
      <c r="BF169" s="382">
        <v>136.949749424353</v>
      </c>
      <c r="BG169" s="382">
        <v>153.731545442232</v>
      </c>
      <c r="BH169" s="382">
        <v>162.54909928213499</v>
      </c>
      <c r="BI169" s="382">
        <v>163.74102668291999</v>
      </c>
      <c r="BJ169" s="382">
        <v>170.78423405119901</v>
      </c>
      <c r="BK169" s="382">
        <v>182.43897355945401</v>
      </c>
      <c r="BL169" s="382">
        <v>195.75896987889499</v>
      </c>
      <c r="BM169" s="382">
        <v>203.19005919023701</v>
      </c>
      <c r="BN169" s="382">
        <v>218.13024312662699</v>
      </c>
      <c r="BO169" s="382">
        <v>251.17251657385401</v>
      </c>
      <c r="BP169" s="382">
        <v>277.16280152964799</v>
      </c>
    </row>
    <row r="170" spans="1:68">
      <c r="A170" s="382" t="s">
        <v>2132</v>
      </c>
      <c r="B170" s="382" t="s">
        <v>2538</v>
      </c>
      <c r="C170" s="382" t="s">
        <v>2334</v>
      </c>
      <c r="D170" s="382" t="s">
        <v>2335</v>
      </c>
      <c r="E170" s="382"/>
      <c r="F170" s="382"/>
      <c r="G170" s="382"/>
      <c r="H170" s="382"/>
      <c r="I170" s="382"/>
      <c r="J170" s="382"/>
      <c r="K170" s="382"/>
      <c r="L170" s="382"/>
      <c r="M170" s="382"/>
      <c r="N170" s="382"/>
      <c r="O170" s="382"/>
      <c r="P170" s="382"/>
      <c r="Q170" s="382"/>
      <c r="R170" s="382"/>
      <c r="S170" s="382"/>
      <c r="T170" s="382"/>
      <c r="U170" s="382"/>
      <c r="V170" s="382"/>
      <c r="W170" s="382"/>
      <c r="X170" s="382"/>
      <c r="Y170" s="382"/>
      <c r="Z170" s="382"/>
      <c r="AA170" s="382"/>
      <c r="AB170" s="382"/>
      <c r="AC170" s="382"/>
      <c r="AD170" s="382"/>
      <c r="AE170" s="382"/>
      <c r="AF170" s="382"/>
      <c r="AG170" s="382"/>
      <c r="AH170" s="382"/>
      <c r="AI170" s="382"/>
      <c r="AJ170" s="382"/>
      <c r="AK170" s="382"/>
      <c r="AL170" s="382"/>
      <c r="AM170" s="382"/>
      <c r="AN170" s="382"/>
      <c r="AO170" s="382"/>
      <c r="AP170" s="382"/>
      <c r="AQ170" s="382"/>
      <c r="AR170" s="382"/>
      <c r="AS170" s="382"/>
      <c r="AT170" s="382"/>
      <c r="AU170" s="382"/>
      <c r="AV170" s="382"/>
      <c r="AW170" s="382"/>
      <c r="AX170" s="382"/>
      <c r="AY170" s="382"/>
      <c r="AZ170" s="382"/>
      <c r="BA170" s="382"/>
      <c r="BB170" s="382"/>
      <c r="BC170" s="382"/>
      <c r="BD170" s="382"/>
      <c r="BE170" s="382"/>
      <c r="BF170" s="382"/>
      <c r="BG170" s="382"/>
      <c r="BH170" s="382"/>
      <c r="BI170" s="382"/>
      <c r="BJ170" s="382"/>
      <c r="BK170" s="382"/>
      <c r="BL170" s="382"/>
      <c r="BM170" s="382"/>
      <c r="BN170" s="382"/>
      <c r="BO170" s="382"/>
      <c r="BP170" s="382"/>
    </row>
    <row r="171" spans="1:68">
      <c r="A171" s="382" t="s">
        <v>1410</v>
      </c>
      <c r="B171" s="382" t="s">
        <v>2539</v>
      </c>
      <c r="C171" s="382" t="s">
        <v>2334</v>
      </c>
      <c r="D171" s="382" t="s">
        <v>2335</v>
      </c>
      <c r="E171" s="382"/>
      <c r="F171" s="382"/>
      <c r="G171" s="382"/>
      <c r="H171" s="382"/>
      <c r="I171" s="382"/>
      <c r="J171" s="382"/>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382"/>
      <c r="AJ171" s="382"/>
      <c r="AK171" s="382"/>
      <c r="AL171" s="382"/>
      <c r="AM171" s="382"/>
      <c r="AN171" s="382"/>
      <c r="AO171" s="382"/>
      <c r="AP171" s="382"/>
      <c r="AQ171" s="382"/>
      <c r="AR171" s="382"/>
      <c r="AS171" s="382"/>
      <c r="AT171" s="382"/>
      <c r="AU171" s="382"/>
      <c r="AV171" s="382"/>
      <c r="AW171" s="382">
        <v>57.241112924067302</v>
      </c>
      <c r="AX171" s="382">
        <v>60.920315669522303</v>
      </c>
      <c r="AY171" s="382">
        <v>68.989265033233295</v>
      </c>
      <c r="AZ171" s="382">
        <v>74.846099550583901</v>
      </c>
      <c r="BA171" s="382">
        <v>85.700883643219001</v>
      </c>
      <c r="BB171" s="382">
        <v>88.947758726982002</v>
      </c>
      <c r="BC171" s="382">
        <v>100</v>
      </c>
      <c r="BD171" s="382">
        <v>111.166605612788</v>
      </c>
      <c r="BE171" s="382">
        <v>114.059666020389</v>
      </c>
      <c r="BF171" s="382">
        <v>118.92015046058501</v>
      </c>
      <c r="BG171" s="382">
        <v>121.96420753553799</v>
      </c>
      <c r="BH171" s="382">
        <v>126.29486343289599</v>
      </c>
      <c r="BI171" s="382">
        <v>148.29295556184599</v>
      </c>
      <c r="BJ171" s="382">
        <v>170.70477748057701</v>
      </c>
      <c r="BK171" s="382">
        <v>177.38161216445999</v>
      </c>
      <c r="BL171" s="382">
        <v>182.35309207067201</v>
      </c>
      <c r="BM171" s="382">
        <v>188.70615649966399</v>
      </c>
      <c r="BN171" s="382">
        <v>200.799346249151</v>
      </c>
      <c r="BO171" s="382">
        <v>221.44031788063299</v>
      </c>
      <c r="BP171" s="382">
        <v>237.22231358023399</v>
      </c>
    </row>
    <row r="172" spans="1:68">
      <c r="A172" s="382" t="s">
        <v>1203</v>
      </c>
      <c r="B172" s="382" t="s">
        <v>2540</v>
      </c>
      <c r="C172" s="382" t="s">
        <v>2334</v>
      </c>
      <c r="D172" s="382" t="s">
        <v>2335</v>
      </c>
      <c r="E172" s="382"/>
      <c r="F172" s="382"/>
      <c r="G172" s="382"/>
      <c r="H172" s="382"/>
      <c r="I172" s="382"/>
      <c r="J172" s="382"/>
      <c r="K172" s="382"/>
      <c r="L172" s="382"/>
      <c r="M172" s="382"/>
      <c r="N172" s="382"/>
      <c r="O172" s="382"/>
      <c r="P172" s="382"/>
      <c r="Q172" s="382"/>
      <c r="R172" s="382"/>
      <c r="S172" s="382"/>
      <c r="T172" s="382"/>
      <c r="U172" s="382"/>
      <c r="V172" s="382"/>
      <c r="W172" s="382"/>
      <c r="X172" s="382"/>
      <c r="Y172" s="382"/>
      <c r="Z172" s="382"/>
      <c r="AA172" s="382"/>
      <c r="AB172" s="382"/>
      <c r="AC172" s="382"/>
      <c r="AD172" s="382">
        <v>20.895154387434602</v>
      </c>
      <c r="AE172" s="382">
        <v>22.448360863567199</v>
      </c>
      <c r="AF172" s="382">
        <v>24.278428135333499</v>
      </c>
      <c r="AG172" s="382">
        <v>24.598820502607399</v>
      </c>
      <c r="AH172" s="382">
        <v>27.780107758094299</v>
      </c>
      <c r="AI172" s="382">
        <v>29.613657555591701</v>
      </c>
      <c r="AJ172" s="382">
        <v>31.280511627204199</v>
      </c>
      <c r="AK172" s="382">
        <v>34.452924048942698</v>
      </c>
      <c r="AL172" s="382">
        <v>37.681281605413702</v>
      </c>
      <c r="AM172" s="382">
        <v>39.236862358760803</v>
      </c>
      <c r="AN172" s="382">
        <v>41.804440502974501</v>
      </c>
      <c r="AO172" s="382">
        <v>43.761434384487899</v>
      </c>
      <c r="AP172" s="382">
        <v>45.785552556460402</v>
      </c>
      <c r="AQ172" s="382">
        <v>49.462895513939898</v>
      </c>
      <c r="AR172" s="382">
        <v>51.478100999127399</v>
      </c>
      <c r="AS172" s="382">
        <v>53.153233131908102</v>
      </c>
      <c r="AT172" s="382">
        <v>55.659352979101598</v>
      </c>
      <c r="AU172" s="382">
        <v>57.827677319446202</v>
      </c>
      <c r="AV172" s="382">
        <v>60.806902299132197</v>
      </c>
      <c r="AW172" s="382">
        <v>67.1111328986714</v>
      </c>
      <c r="AX172" s="382">
        <v>75.248793125006301</v>
      </c>
      <c r="AY172" s="382">
        <v>79.945095347811005</v>
      </c>
      <c r="AZ172" s="382">
        <v>85.744399235256495</v>
      </c>
      <c r="BA172" s="382">
        <v>92.043727633707405</v>
      </c>
      <c r="BB172" s="382">
        <v>94.087945487523896</v>
      </c>
      <c r="BC172" s="382">
        <v>100</v>
      </c>
      <c r="BD172" s="382">
        <v>105.686319595759</v>
      </c>
      <c r="BE172" s="382">
        <v>110.867514550585</v>
      </c>
      <c r="BF172" s="382">
        <v>115.44534702058699</v>
      </c>
      <c r="BG172" s="382">
        <v>119.525611071366</v>
      </c>
      <c r="BH172" s="382">
        <v>123.415843264796</v>
      </c>
      <c r="BI172" s="382">
        <v>125.232167135102</v>
      </c>
      <c r="BJ172" s="382">
        <v>128.05524647349901</v>
      </c>
      <c r="BK172" s="382">
        <v>131.98316183125399</v>
      </c>
      <c r="BL172" s="382">
        <v>135.01889679773399</v>
      </c>
      <c r="BM172" s="382">
        <v>138.24003571183101</v>
      </c>
      <c r="BN172" s="382">
        <v>143.16852086882099</v>
      </c>
      <c r="BO172" s="382">
        <v>156.80570371963</v>
      </c>
      <c r="BP172" s="382">
        <v>164.57236916880299</v>
      </c>
    </row>
    <row r="173" spans="1:68">
      <c r="A173" s="382" t="s">
        <v>2004</v>
      </c>
      <c r="B173" s="382" t="s">
        <v>2541</v>
      </c>
      <c r="C173" s="382" t="s">
        <v>2334</v>
      </c>
      <c r="D173" s="382" t="s">
        <v>2335</v>
      </c>
      <c r="E173" s="382"/>
      <c r="F173" s="382"/>
      <c r="G173" s="382"/>
      <c r="H173" s="382">
        <v>2.9132076266063698</v>
      </c>
      <c r="I173" s="382">
        <v>2.9684296379766502</v>
      </c>
      <c r="J173" s="382">
        <v>3.02143290782112</v>
      </c>
      <c r="K173" s="382">
        <v>3.0971166466064699</v>
      </c>
      <c r="L173" s="382">
        <v>3.1552969800169102</v>
      </c>
      <c r="M173" s="382">
        <v>3.3754454449935198</v>
      </c>
      <c r="N173" s="382">
        <v>3.4535944521559299</v>
      </c>
      <c r="O173" s="382">
        <v>3.5068442488319298</v>
      </c>
      <c r="P173" s="382">
        <v>3.5179379564634301</v>
      </c>
      <c r="Q173" s="382">
        <v>3.7077636205561699</v>
      </c>
      <c r="R173" s="382">
        <v>4.2064874107538497</v>
      </c>
      <c r="S173" s="382">
        <v>5.4312327343515596</v>
      </c>
      <c r="T173" s="382">
        <v>6.2317053723816702</v>
      </c>
      <c r="U173" s="382">
        <v>7.0390682429242704</v>
      </c>
      <c r="V173" s="382">
        <v>7.6847267050567503</v>
      </c>
      <c r="W173" s="382">
        <v>8.3413972953642901</v>
      </c>
      <c r="X173" s="382">
        <v>9.5480947084508099</v>
      </c>
      <c r="Y173" s="382">
        <v>13.5582481191699</v>
      </c>
      <c r="Z173" s="382">
        <v>15.518986518991101</v>
      </c>
      <c r="AA173" s="382">
        <v>17.2905863966315</v>
      </c>
      <c r="AB173" s="382">
        <v>18.257043380647801</v>
      </c>
      <c r="AC173" s="382">
        <v>19.606085995002999</v>
      </c>
      <c r="AD173" s="382">
        <v>20.919439651321099</v>
      </c>
      <c r="AE173" s="382">
        <v>21.260981523179399</v>
      </c>
      <c r="AF173" s="382">
        <v>21.371271085967098</v>
      </c>
      <c r="AG173" s="382">
        <v>23.328732939055001</v>
      </c>
      <c r="AH173" s="382">
        <v>26.284493221761899</v>
      </c>
      <c r="AI173" s="382">
        <v>29.829769006207901</v>
      </c>
      <c r="AJ173" s="382">
        <v>31.9181552435081</v>
      </c>
      <c r="AK173" s="382">
        <v>33.400280942073202</v>
      </c>
      <c r="AL173" s="382">
        <v>36.913268532501299</v>
      </c>
      <c r="AM173" s="382">
        <v>39.616601249484702</v>
      </c>
      <c r="AN173" s="382">
        <v>42.005217620311903</v>
      </c>
      <c r="AO173" s="382">
        <v>44.756968236703997</v>
      </c>
      <c r="AP173" s="382">
        <v>47.815365549351</v>
      </c>
      <c r="AQ173" s="382">
        <v>51.071971232897702</v>
      </c>
      <c r="AR173" s="382">
        <v>54.600608417456101</v>
      </c>
      <c r="AS173" s="382">
        <v>56.893445354559397</v>
      </c>
      <c r="AT173" s="382">
        <v>59.959628987397402</v>
      </c>
      <c r="AU173" s="382">
        <v>63.808637670698303</v>
      </c>
      <c r="AV173" s="382">
        <v>66.310608539615302</v>
      </c>
      <c r="AW173" s="382">
        <v>69.434083949648596</v>
      </c>
      <c r="AX173" s="382">
        <v>72.862162746776093</v>
      </c>
      <c r="AY173" s="382">
        <v>79.356732392999703</v>
      </c>
      <c r="AZ173" s="382">
        <v>86.361783457477998</v>
      </c>
      <c r="BA173" s="382">
        <v>94.766756775490407</v>
      </c>
      <c r="BB173" s="382">
        <v>97.151174880432507</v>
      </c>
      <c r="BC173" s="382">
        <v>100</v>
      </c>
      <c r="BD173" s="382">
        <v>106.52249254869299</v>
      </c>
      <c r="BE173" s="382">
        <v>110.625909752547</v>
      </c>
      <c r="BF173" s="382">
        <v>114.545712899425</v>
      </c>
      <c r="BG173" s="382">
        <v>118.23144104803499</v>
      </c>
      <c r="BH173" s="382">
        <v>119.752547307133</v>
      </c>
      <c r="BI173" s="382">
        <v>120.92333818534701</v>
      </c>
      <c r="BJ173" s="382">
        <v>125.357593401261</v>
      </c>
      <c r="BK173" s="382">
        <v>129.389161086851</v>
      </c>
      <c r="BL173" s="382">
        <v>129.91403493449801</v>
      </c>
      <c r="BM173" s="382">
        <v>133.26685735080099</v>
      </c>
      <c r="BN173" s="382">
        <v>138.63555118874299</v>
      </c>
      <c r="BO173" s="382">
        <v>153.57180058224199</v>
      </c>
      <c r="BP173" s="382">
        <v>164.40319262493901</v>
      </c>
    </row>
    <row r="174" spans="1:68">
      <c r="A174" s="382" t="s">
        <v>1201</v>
      </c>
      <c r="B174" s="382" t="s">
        <v>2542</v>
      </c>
      <c r="C174" s="382" t="s">
        <v>2334</v>
      </c>
      <c r="D174" s="382" t="s">
        <v>2335</v>
      </c>
      <c r="E174" s="382"/>
      <c r="F174" s="382"/>
      <c r="G174" s="382"/>
      <c r="H174" s="382"/>
      <c r="I174" s="382"/>
      <c r="J174" s="382"/>
      <c r="K174" s="382"/>
      <c r="L174" s="382"/>
      <c r="M174" s="382"/>
      <c r="N174" s="382"/>
      <c r="O174" s="382"/>
      <c r="P174" s="382"/>
      <c r="Q174" s="382"/>
      <c r="R174" s="382"/>
      <c r="S174" s="382"/>
      <c r="T174" s="382"/>
      <c r="U174" s="382"/>
      <c r="V174" s="382"/>
      <c r="W174" s="382"/>
      <c r="X174" s="382"/>
      <c r="Y174" s="382">
        <v>0.47155663952601001</v>
      </c>
      <c r="Z174" s="382">
        <v>0.52726963026305196</v>
      </c>
      <c r="AA174" s="382">
        <v>0.57905363717075597</v>
      </c>
      <c r="AB174" s="382">
        <v>0.65724041542891198</v>
      </c>
      <c r="AC174" s="382">
        <v>0.788861373803463</v>
      </c>
      <c r="AD174" s="382">
        <v>0.87184151233755203</v>
      </c>
      <c r="AE174" s="382">
        <v>0.99430793838530296</v>
      </c>
      <c r="AF174" s="382">
        <v>1.2444270491372</v>
      </c>
      <c r="AG174" s="382">
        <v>1.66643920254176</v>
      </c>
      <c r="AH174" s="382">
        <v>1.87385025903768</v>
      </c>
      <c r="AI174" s="382">
        <v>2.0954056573291102</v>
      </c>
      <c r="AJ174" s="382">
        <v>2.3597476895519902</v>
      </c>
      <c r="AK174" s="382">
        <v>2.9202196937505098</v>
      </c>
      <c r="AL174" s="382">
        <v>3.5852328627946601</v>
      </c>
      <c r="AM174" s="382">
        <v>4.8275030049130798</v>
      </c>
      <c r="AN174" s="382">
        <v>8.8500572850462298</v>
      </c>
      <c r="AO174" s="382">
        <v>12.177859809975001</v>
      </c>
      <c r="AP174" s="382">
        <v>13.290593779248001</v>
      </c>
      <c r="AQ174" s="382">
        <v>17.2443661760535</v>
      </c>
      <c r="AR174" s="382">
        <v>24.970560327680801</v>
      </c>
      <c r="AS174" s="382">
        <v>32.357223750202202</v>
      </c>
      <c r="AT174" s="382">
        <v>39.7023135414981</v>
      </c>
      <c r="AU174" s="382">
        <v>45.556274604972202</v>
      </c>
      <c r="AV174" s="382">
        <v>49.919106940624502</v>
      </c>
      <c r="AW174" s="382">
        <v>55.624764061910099</v>
      </c>
      <c r="AX174" s="382">
        <v>64.196731920401206</v>
      </c>
      <c r="AY174" s="382">
        <v>73.1677722051448</v>
      </c>
      <c r="AZ174" s="382">
        <v>78.986227036373705</v>
      </c>
      <c r="BA174" s="382">
        <v>85.867982527099201</v>
      </c>
      <c r="BB174" s="382">
        <v>93.099822035269398</v>
      </c>
      <c r="BC174" s="382">
        <v>100</v>
      </c>
      <c r="BD174" s="382">
        <v>107.622822628485</v>
      </c>
      <c r="BE174" s="382">
        <v>130.51555843175299</v>
      </c>
      <c r="BF174" s="382">
        <v>166.12455329055001</v>
      </c>
      <c r="BG174" s="382">
        <v>205.649014902299</v>
      </c>
      <c r="BH174" s="382">
        <v>250.618999732887</v>
      </c>
      <c r="BI174" s="382">
        <v>305.03117449981102</v>
      </c>
      <c r="BJ174" s="382">
        <v>340.24212454770202</v>
      </c>
      <c r="BK174" s="382">
        <v>382.50080241810298</v>
      </c>
      <c r="BL174" s="382">
        <v>418.344325525805</v>
      </c>
      <c r="BM174" s="382">
        <v>454.42867680603001</v>
      </c>
      <c r="BN174" s="382">
        <v>496.82752722171102</v>
      </c>
      <c r="BO174" s="382">
        <v>600.93261688590098</v>
      </c>
      <c r="BP174" s="382">
        <v>773.93957183727105</v>
      </c>
    </row>
    <row r="175" spans="1:68">
      <c r="A175" s="382" t="s">
        <v>1095</v>
      </c>
      <c r="B175" s="382" t="s">
        <v>2543</v>
      </c>
      <c r="C175" s="382" t="s">
        <v>2334</v>
      </c>
      <c r="D175" s="382" t="s">
        <v>2335</v>
      </c>
      <c r="E175" s="382">
        <v>21.309241279733399</v>
      </c>
      <c r="F175" s="382">
        <v>21.2707977630436</v>
      </c>
      <c r="G175" s="382">
        <v>21.293863873111299</v>
      </c>
      <c r="H175" s="382">
        <v>21.955092359552498</v>
      </c>
      <c r="I175" s="382">
        <v>21.866672271177599</v>
      </c>
      <c r="J175" s="382">
        <v>21.843606161148401</v>
      </c>
      <c r="K175" s="382">
        <v>22.0550455027883</v>
      </c>
      <c r="L175" s="382">
        <v>23.064187814847099</v>
      </c>
      <c r="M175" s="382">
        <v>23.027666474047699</v>
      </c>
      <c r="N175" s="382">
        <v>22.9334798581942</v>
      </c>
      <c r="O175" s="382">
        <v>23.356358541454799</v>
      </c>
      <c r="P175" s="382">
        <v>23.733105004599501</v>
      </c>
      <c r="Q175" s="382">
        <v>24.500053161754799</v>
      </c>
      <c r="R175" s="382">
        <v>27.087301832350601</v>
      </c>
      <c r="S175" s="382">
        <v>31.781255215535001</v>
      </c>
      <c r="T175" s="382">
        <v>33.207509683260803</v>
      </c>
      <c r="U175" s="382">
        <v>34.082099687078497</v>
      </c>
      <c r="V175" s="382">
        <v>35.7140269689273</v>
      </c>
      <c r="W175" s="382">
        <v>37.449751745715197</v>
      </c>
      <c r="X175" s="382">
        <v>38.818340938579396</v>
      </c>
      <c r="Y175" s="382">
        <v>41.409433960859502</v>
      </c>
      <c r="Z175" s="382">
        <v>45.426149055062901</v>
      </c>
      <c r="AA175" s="382">
        <v>48.069451255955101</v>
      </c>
      <c r="AB175" s="382">
        <v>49.850056916340797</v>
      </c>
      <c r="AC175" s="382">
        <v>51.792849526372301</v>
      </c>
      <c r="AD175" s="382">
        <v>51.972290406800496</v>
      </c>
      <c r="AE175" s="382">
        <v>52.355327671111198</v>
      </c>
      <c r="AF175" s="382">
        <v>52.507162262369803</v>
      </c>
      <c r="AG175" s="382">
        <v>53.849518079934498</v>
      </c>
      <c r="AH175" s="382">
        <v>55.364413205669102</v>
      </c>
      <c r="AI175" s="382">
        <v>56.813743394299202</v>
      </c>
      <c r="AJ175" s="382">
        <v>59.289875710567202</v>
      </c>
      <c r="AK175" s="382">
        <v>62.116359444433598</v>
      </c>
      <c r="AL175" s="382">
        <v>64.3131575223467</v>
      </c>
      <c r="AM175" s="382">
        <v>66.708803702139903</v>
      </c>
      <c r="AN175" s="382">
        <v>69.010641069424693</v>
      </c>
      <c r="AO175" s="382">
        <v>71.418118315885096</v>
      </c>
      <c r="AP175" s="382">
        <v>73.319636141033598</v>
      </c>
      <c r="AQ175" s="382">
        <v>77.183831721378795</v>
      </c>
      <c r="AR175" s="382">
        <v>79.302189298518002</v>
      </c>
      <c r="AS175" s="382">
        <v>80.519271906485997</v>
      </c>
      <c r="AT175" s="382">
        <v>81.660056657223706</v>
      </c>
      <c r="AU175" s="382">
        <v>83.136366334649097</v>
      </c>
      <c r="AV175" s="382">
        <v>84.042283636705605</v>
      </c>
      <c r="AW175" s="382">
        <v>85.236752375713394</v>
      </c>
      <c r="AX175" s="382">
        <v>87.772606214629704</v>
      </c>
      <c r="AY175" s="382">
        <v>90.940526402254505</v>
      </c>
      <c r="AZ175" s="382">
        <v>92.784212054174702</v>
      </c>
      <c r="BA175" s="382">
        <v>97.832398958241896</v>
      </c>
      <c r="BB175" s="382">
        <v>98.403063564788596</v>
      </c>
      <c r="BC175" s="382">
        <v>100</v>
      </c>
      <c r="BD175" s="382">
        <v>103.17447092151301</v>
      </c>
      <c r="BE175" s="382">
        <v>104.890851524746</v>
      </c>
      <c r="BF175" s="382">
        <v>107.098816863856</v>
      </c>
      <c r="BG175" s="382">
        <v>110.464922512914</v>
      </c>
      <c r="BH175" s="382">
        <v>112.789535077487</v>
      </c>
      <c r="BI175" s="382">
        <v>115.147475420763</v>
      </c>
      <c r="BJ175" s="382">
        <v>119.605065822363</v>
      </c>
      <c r="BK175" s="382">
        <v>120.663222796201</v>
      </c>
      <c r="BL175" s="382">
        <v>121.463089485086</v>
      </c>
      <c r="BM175" s="382">
        <v>120.079986668888</v>
      </c>
      <c r="BN175" s="382">
        <v>123.05449091817999</v>
      </c>
      <c r="BO175" s="382">
        <v>127.212131311448</v>
      </c>
      <c r="BP175" s="382">
        <v>130.37827028828499</v>
      </c>
    </row>
    <row r="176" spans="1:68">
      <c r="A176" s="382" t="s">
        <v>1821</v>
      </c>
      <c r="B176" s="382" t="s">
        <v>2544</v>
      </c>
      <c r="C176" s="382" t="s">
        <v>2334</v>
      </c>
      <c r="D176" s="382" t="s">
        <v>2335</v>
      </c>
      <c r="E176" s="382"/>
      <c r="F176" s="382"/>
      <c r="G176" s="382"/>
      <c r="H176" s="382"/>
      <c r="I176" s="382"/>
      <c r="J176" s="382"/>
      <c r="K176" s="382"/>
      <c r="L176" s="382"/>
      <c r="M176" s="382"/>
      <c r="N176" s="382"/>
      <c r="O176" s="382"/>
      <c r="P176" s="382"/>
      <c r="Q176" s="382"/>
      <c r="R176" s="382"/>
      <c r="S176" s="382"/>
      <c r="T176" s="382"/>
      <c r="U176" s="382"/>
      <c r="V176" s="382"/>
      <c r="W176" s="382"/>
      <c r="X176" s="382"/>
      <c r="Y176" s="382"/>
      <c r="Z176" s="382"/>
      <c r="AA176" s="382"/>
      <c r="AB176" s="382"/>
      <c r="AC176" s="382"/>
      <c r="AD176" s="382"/>
      <c r="AE176" s="382"/>
      <c r="AF176" s="382"/>
      <c r="AG176" s="382"/>
      <c r="AH176" s="382"/>
      <c r="AI176" s="382"/>
      <c r="AJ176" s="382"/>
      <c r="AK176" s="382"/>
      <c r="AL176" s="382"/>
      <c r="AM176" s="382"/>
      <c r="AN176" s="382"/>
      <c r="AO176" s="382"/>
      <c r="AP176" s="382"/>
      <c r="AQ176" s="382"/>
      <c r="AR176" s="382"/>
      <c r="AS176" s="382"/>
      <c r="AT176" s="382"/>
      <c r="AU176" s="382"/>
      <c r="AV176" s="382"/>
      <c r="AW176" s="382"/>
      <c r="AX176" s="382"/>
      <c r="AY176" s="382"/>
      <c r="AZ176" s="382"/>
      <c r="BA176" s="382"/>
      <c r="BB176" s="382"/>
      <c r="BC176" s="382"/>
      <c r="BD176" s="382"/>
      <c r="BE176" s="382"/>
      <c r="BF176" s="382"/>
      <c r="BG176" s="382"/>
      <c r="BH176" s="382"/>
      <c r="BI176" s="382"/>
      <c r="BJ176" s="382"/>
      <c r="BK176" s="382"/>
      <c r="BL176" s="382"/>
      <c r="BM176" s="382"/>
      <c r="BN176" s="382"/>
      <c r="BO176" s="382"/>
      <c r="BP176" s="382"/>
    </row>
    <row r="177" spans="1:68">
      <c r="A177" s="382" t="s">
        <v>1204</v>
      </c>
      <c r="B177" s="382" t="s">
        <v>2545</v>
      </c>
      <c r="C177" s="382" t="s">
        <v>2334</v>
      </c>
      <c r="D177" s="382" t="s">
        <v>2335</v>
      </c>
      <c r="E177" s="382"/>
      <c r="F177" s="382"/>
      <c r="G177" s="382"/>
      <c r="H177" s="382"/>
      <c r="I177" s="382"/>
      <c r="J177" s="382"/>
      <c r="K177" s="382"/>
      <c r="L177" s="382"/>
      <c r="M177" s="382"/>
      <c r="N177" s="382"/>
      <c r="O177" s="382"/>
      <c r="P177" s="382"/>
      <c r="Q177" s="382"/>
      <c r="R177" s="382"/>
      <c r="S177" s="382"/>
      <c r="T177" s="382"/>
      <c r="U177" s="382"/>
      <c r="V177" s="382"/>
      <c r="W177" s="382"/>
      <c r="X177" s="382"/>
      <c r="Y177" s="382"/>
      <c r="Z177" s="382"/>
      <c r="AA177" s="382"/>
      <c r="AB177" s="382"/>
      <c r="AC177" s="382"/>
      <c r="AD177" s="382"/>
      <c r="AE177" s="382"/>
      <c r="AF177" s="382"/>
      <c r="AG177" s="382"/>
      <c r="AH177" s="382"/>
      <c r="AI177" s="382"/>
      <c r="AJ177" s="382"/>
      <c r="AK177" s="382"/>
      <c r="AL177" s="382"/>
      <c r="AM177" s="382"/>
      <c r="AN177" s="382"/>
      <c r="AO177" s="382"/>
      <c r="AP177" s="382"/>
      <c r="AQ177" s="382"/>
      <c r="AR177" s="382"/>
      <c r="AS177" s="382"/>
      <c r="AT177" s="382"/>
      <c r="AU177" s="382">
        <v>62.573476964414603</v>
      </c>
      <c r="AV177" s="382">
        <v>67.038816089715596</v>
      </c>
      <c r="AW177" s="382">
        <v>69.811965296624706</v>
      </c>
      <c r="AX177" s="382">
        <v>71.405036695270496</v>
      </c>
      <c r="AY177" s="382">
        <v>74.947559735723004</v>
      </c>
      <c r="AZ177" s="382">
        <v>79.8550370676694</v>
      </c>
      <c r="BA177" s="382">
        <v>87.117567663929805</v>
      </c>
      <c r="BB177" s="382">
        <v>95.351681906233694</v>
      </c>
      <c r="BC177" s="382">
        <v>100</v>
      </c>
      <c r="BD177" s="382">
        <v>105.00559518081199</v>
      </c>
      <c r="BE177" s="382">
        <v>112.064068950758</v>
      </c>
      <c r="BF177" s="382">
        <v>118.340693430305</v>
      </c>
      <c r="BG177" s="382">
        <v>124.67212131581999</v>
      </c>
      <c r="BH177" s="382">
        <v>128.903512292969</v>
      </c>
      <c r="BI177" s="382">
        <v>137.57689126440201</v>
      </c>
      <c r="BJ177" s="382">
        <v>146.03209158786299</v>
      </c>
      <c r="BK177" s="382">
        <v>152.29919176550999</v>
      </c>
      <c r="BL177" s="382">
        <v>157.96836796149401</v>
      </c>
      <c r="BM177" s="382">
        <v>161.45849323236101</v>
      </c>
      <c r="BN177" s="382">
        <v>167.298294033139</v>
      </c>
      <c r="BO177" s="382">
        <v>177.47217363759901</v>
      </c>
      <c r="BP177" s="382">
        <v>187.90742143897501</v>
      </c>
    </row>
    <row r="178" spans="1:68">
      <c r="A178" s="382" t="s">
        <v>2107</v>
      </c>
      <c r="B178" s="382" t="s">
        <v>2546</v>
      </c>
      <c r="C178" s="382" t="s">
        <v>2334</v>
      </c>
      <c r="D178" s="382" t="s">
        <v>2335</v>
      </c>
      <c r="E178" s="382"/>
      <c r="F178" s="382"/>
      <c r="G178" s="382"/>
      <c r="H178" s="382"/>
      <c r="I178" s="382"/>
      <c r="J178" s="382"/>
      <c r="K178" s="382"/>
      <c r="L178" s="382"/>
      <c r="M178" s="382"/>
      <c r="N178" s="382"/>
      <c r="O178" s="382"/>
      <c r="P178" s="382"/>
      <c r="Q178" s="382"/>
      <c r="R178" s="382"/>
      <c r="S178" s="382"/>
      <c r="T178" s="382"/>
      <c r="U178" s="382"/>
      <c r="V178" s="382"/>
      <c r="W178" s="382"/>
      <c r="X178" s="382"/>
      <c r="Y178" s="382"/>
      <c r="Z178" s="382"/>
      <c r="AA178" s="382"/>
      <c r="AB178" s="382"/>
      <c r="AC178" s="382"/>
      <c r="AD178" s="382"/>
      <c r="AE178" s="382"/>
      <c r="AF178" s="382"/>
      <c r="AG178" s="382"/>
      <c r="AH178" s="382"/>
      <c r="AI178" s="382"/>
      <c r="AJ178" s="382"/>
      <c r="AK178" s="382"/>
      <c r="AL178" s="382"/>
      <c r="AM178" s="382"/>
      <c r="AN178" s="382"/>
      <c r="AO178" s="382"/>
      <c r="AP178" s="382"/>
      <c r="AQ178" s="382"/>
      <c r="AR178" s="382"/>
      <c r="AS178" s="382"/>
      <c r="AT178" s="382"/>
      <c r="AU178" s="382"/>
      <c r="AV178" s="382"/>
      <c r="AW178" s="382"/>
      <c r="AX178" s="382"/>
      <c r="AY178" s="382"/>
      <c r="AZ178" s="382"/>
      <c r="BA178" s="382"/>
      <c r="BB178" s="382"/>
      <c r="BC178" s="382">
        <v>100</v>
      </c>
      <c r="BD178" s="382">
        <v>102.428996937534</v>
      </c>
      <c r="BE178" s="382">
        <v>104.221168771238</v>
      </c>
      <c r="BF178" s="382">
        <v>105.552712170155</v>
      </c>
      <c r="BG178" s="382">
        <v>105.74149431556</v>
      </c>
      <c r="BH178" s="382">
        <v>106.34475814909599</v>
      </c>
      <c r="BI178" s="382">
        <v>106.95976842723501</v>
      </c>
      <c r="BJ178" s="382"/>
      <c r="BK178" s="382"/>
      <c r="BL178" s="382"/>
      <c r="BM178" s="382"/>
      <c r="BN178" s="382"/>
      <c r="BO178" s="382"/>
      <c r="BP178" s="382"/>
    </row>
    <row r="179" spans="1:68">
      <c r="A179" s="382" t="s">
        <v>1205</v>
      </c>
      <c r="B179" s="382" t="s">
        <v>2547</v>
      </c>
      <c r="C179" s="382" t="s">
        <v>2334</v>
      </c>
      <c r="D179" s="382" t="s">
        <v>2335</v>
      </c>
      <c r="E179" s="382"/>
      <c r="F179" s="382"/>
      <c r="G179" s="382"/>
      <c r="H179" s="382">
        <v>11.6668848328589</v>
      </c>
      <c r="I179" s="382">
        <v>11.7840222307803</v>
      </c>
      <c r="J179" s="382">
        <v>12.2994267817518</v>
      </c>
      <c r="K179" s="382">
        <v>13.5996518985627</v>
      </c>
      <c r="L179" s="382">
        <v>13.6582205975234</v>
      </c>
      <c r="M179" s="382">
        <v>13.258977299705499</v>
      </c>
      <c r="N179" s="382">
        <v>14.670482944610001</v>
      </c>
      <c r="O179" s="382">
        <v>14.834475301700101</v>
      </c>
      <c r="P179" s="382">
        <v>15.456279655666499</v>
      </c>
      <c r="Q179" s="382">
        <v>16.963447508941901</v>
      </c>
      <c r="R179" s="382">
        <v>18.962592433438701</v>
      </c>
      <c r="S179" s="382">
        <v>19.606848121996801</v>
      </c>
      <c r="T179" s="382">
        <v>21.394169585310902</v>
      </c>
      <c r="U179" s="382">
        <v>26.428149260965402</v>
      </c>
      <c r="V179" s="382">
        <v>32.572981926927902</v>
      </c>
      <c r="W179" s="382">
        <v>35.8606382285801</v>
      </c>
      <c r="X179" s="382">
        <v>38.466945332351699</v>
      </c>
      <c r="Y179" s="382">
        <v>42.431070106990497</v>
      </c>
      <c r="Z179" s="382">
        <v>52.153474134441197</v>
      </c>
      <c r="AA179" s="382">
        <v>58.2250959267516</v>
      </c>
      <c r="AB179" s="382">
        <v>56.775520627463997</v>
      </c>
      <c r="AC179" s="382">
        <v>61.524465968117802</v>
      </c>
      <c r="AD179" s="382">
        <v>60.9563495883257</v>
      </c>
      <c r="AE179" s="382">
        <v>59.001131188010397</v>
      </c>
      <c r="AF179" s="382">
        <v>55.040910993321901</v>
      </c>
      <c r="AG179" s="382">
        <v>54.273661036936502</v>
      </c>
      <c r="AH179" s="382">
        <v>52.730375819321402</v>
      </c>
      <c r="AI179" s="382">
        <v>52.321371071579101</v>
      </c>
      <c r="AJ179" s="382">
        <v>48.242061188964797</v>
      </c>
      <c r="AK179" s="382">
        <v>46.082930861870103</v>
      </c>
      <c r="AL179" s="382">
        <v>45.523007138985498</v>
      </c>
      <c r="AM179" s="382">
        <v>61.929980687971501</v>
      </c>
      <c r="AN179" s="382">
        <v>68.471823320810202</v>
      </c>
      <c r="AO179" s="382">
        <v>72.093200492560499</v>
      </c>
      <c r="AP179" s="382">
        <v>74.208020309210994</v>
      </c>
      <c r="AQ179" s="382">
        <v>77.583012780812197</v>
      </c>
      <c r="AR179" s="382">
        <v>75.796954817965201</v>
      </c>
      <c r="AS179" s="382">
        <v>77.995180003007704</v>
      </c>
      <c r="AT179" s="382">
        <v>81.119288078490598</v>
      </c>
      <c r="AU179" s="382">
        <v>83.251805445502399</v>
      </c>
      <c r="AV179" s="382">
        <v>81.907781894864499</v>
      </c>
      <c r="AW179" s="382">
        <v>82.122825662966505</v>
      </c>
      <c r="AX179" s="382">
        <v>88.526351202004903</v>
      </c>
      <c r="AY179" s="382">
        <v>88.562191830021902</v>
      </c>
      <c r="AZ179" s="382">
        <v>88.609979334044596</v>
      </c>
      <c r="BA179" s="382">
        <v>98.627434864797806</v>
      </c>
      <c r="BB179" s="382">
        <v>99.202340682962799</v>
      </c>
      <c r="BC179" s="382">
        <v>100</v>
      </c>
      <c r="BD179" s="382">
        <v>102.942385140133</v>
      </c>
      <c r="BE179" s="382">
        <v>103.410865455741</v>
      </c>
      <c r="BF179" s="382">
        <v>105.786452069013</v>
      </c>
      <c r="BG179" s="382">
        <v>104.802334182625</v>
      </c>
      <c r="BH179" s="382">
        <v>104.19857802803899</v>
      </c>
      <c r="BI179" s="382">
        <v>105.92190708147901</v>
      </c>
      <c r="BJ179" s="382">
        <v>108.883878892078</v>
      </c>
      <c r="BK179" s="382">
        <v>112.11512086727799</v>
      </c>
      <c r="BL179" s="382">
        <v>109.323686827592</v>
      </c>
      <c r="BM179" s="382">
        <v>112.492099097718</v>
      </c>
      <c r="BN179" s="382">
        <v>116.809397403471</v>
      </c>
      <c r="BO179" s="382">
        <v>121.74601708780401</v>
      </c>
      <c r="BP179" s="382">
        <v>126.251804508777</v>
      </c>
    </row>
    <row r="180" spans="1:68">
      <c r="A180" s="382" t="s">
        <v>239</v>
      </c>
      <c r="B180" s="382" t="s">
        <v>2548</v>
      </c>
      <c r="C180" s="382" t="s">
        <v>2334</v>
      </c>
      <c r="D180" s="382" t="s">
        <v>2335</v>
      </c>
      <c r="E180" s="382">
        <v>6.5885964125815405E-2</v>
      </c>
      <c r="F180" s="382">
        <v>7.0023040820326496E-2</v>
      </c>
      <c r="G180" s="382">
        <v>7.3710196707566594E-2</v>
      </c>
      <c r="H180" s="382">
        <v>7.1723960946775203E-2</v>
      </c>
      <c r="I180" s="382">
        <v>7.23384869280186E-2</v>
      </c>
      <c r="J180" s="382">
        <v>7.5306866890887406E-2</v>
      </c>
      <c r="K180" s="382">
        <v>8.2604362917444302E-2</v>
      </c>
      <c r="L180" s="382">
        <v>7.9526246172440099E-2</v>
      </c>
      <c r="M180" s="382">
        <v>7.9147654273205206E-2</v>
      </c>
      <c r="N180" s="382">
        <v>8.7185873580713294E-2</v>
      </c>
      <c r="O180" s="382">
        <v>9.9180103892340998E-2</v>
      </c>
      <c r="P180" s="382">
        <v>0.115048042620664</v>
      </c>
      <c r="Q180" s="382">
        <v>0.119026000981035</v>
      </c>
      <c r="R180" s="382">
        <v>0.12545657642698699</v>
      </c>
      <c r="S180" s="382">
        <v>0.14135743619029001</v>
      </c>
      <c r="T180" s="382">
        <v>0.18936834202536201</v>
      </c>
      <c r="U180" s="382">
        <v>0.235384849137524</v>
      </c>
      <c r="V180" s="382">
        <v>0.27089932457134602</v>
      </c>
      <c r="W180" s="382">
        <v>0.32970952465505399</v>
      </c>
      <c r="X180" s="382">
        <v>0.36831762182463901</v>
      </c>
      <c r="Y180" s="382">
        <v>0.405047220028382</v>
      </c>
      <c r="Z180" s="382">
        <v>0.489348980643658</v>
      </c>
      <c r="AA180" s="382">
        <v>0.52701782833007504</v>
      </c>
      <c r="AB180" s="382">
        <v>0.64935095397575304</v>
      </c>
      <c r="AC180" s="382">
        <v>0.76506875687250797</v>
      </c>
      <c r="AD180" s="382">
        <v>0.82195425711410597</v>
      </c>
      <c r="AE180" s="382">
        <v>0.868946626878904</v>
      </c>
      <c r="AF180" s="382">
        <v>0.96705350410716795</v>
      </c>
      <c r="AG180" s="382">
        <v>1.4942062134716401</v>
      </c>
      <c r="AH180" s="382">
        <v>2.2482826031476999</v>
      </c>
      <c r="AI180" s="382">
        <v>2.4138551340441401</v>
      </c>
      <c r="AJ180" s="382">
        <v>2.7278246220925801</v>
      </c>
      <c r="AK180" s="382">
        <v>3.9441300523791099</v>
      </c>
      <c r="AL180" s="382">
        <v>6.19880196895976</v>
      </c>
      <c r="AM180" s="382">
        <v>9.7340846639260992</v>
      </c>
      <c r="AN180" s="382">
        <v>16.8239541229376</v>
      </c>
      <c r="AO180" s="382">
        <v>21.748038256480299</v>
      </c>
      <c r="AP180" s="382">
        <v>23.603118563735102</v>
      </c>
      <c r="AQ180" s="382">
        <v>25.962575544391001</v>
      </c>
      <c r="AR180" s="382">
        <v>27.6808757368252</v>
      </c>
      <c r="AS180" s="382">
        <v>29.6000717229022</v>
      </c>
      <c r="AT180" s="382">
        <v>35.186684537607299</v>
      </c>
      <c r="AU180" s="382">
        <v>39.717525841040697</v>
      </c>
      <c r="AV180" s="382">
        <v>45.2906031235499</v>
      </c>
      <c r="AW180" s="382">
        <v>52.083303096543403</v>
      </c>
      <c r="AX180" s="382">
        <v>61.387200490071699</v>
      </c>
      <c r="AY180" s="382">
        <v>66.436433715411198</v>
      </c>
      <c r="AZ180" s="382">
        <v>70.016034058042194</v>
      </c>
      <c r="BA180" s="382">
        <v>78.124643596735197</v>
      </c>
      <c r="BB180" s="382">
        <v>87.919776825936694</v>
      </c>
      <c r="BC180" s="382">
        <v>100</v>
      </c>
      <c r="BD180" s="382">
        <v>110.82613718800199</v>
      </c>
      <c r="BE180" s="382">
        <v>124.373791623613</v>
      </c>
      <c r="BF180" s="382">
        <v>134.93998995420401</v>
      </c>
      <c r="BG180" s="382">
        <v>145.79916538681701</v>
      </c>
      <c r="BH180" s="382">
        <v>158.93484639383701</v>
      </c>
      <c r="BI180" s="382">
        <v>183.88255145003799</v>
      </c>
      <c r="BJ180" s="382">
        <v>214.22733961135299</v>
      </c>
      <c r="BK180" s="382">
        <v>240.13836452661599</v>
      </c>
      <c r="BL180" s="382">
        <v>267.505546743183</v>
      </c>
      <c r="BM180" s="382">
        <v>302.939394135074</v>
      </c>
      <c r="BN180" s="382">
        <v>354.29624225444201</v>
      </c>
      <c r="BO180" s="382">
        <v>421.07112034495299</v>
      </c>
      <c r="BP180" s="382">
        <v>524.90536465723005</v>
      </c>
    </row>
    <row r="181" spans="1:68">
      <c r="A181" s="382" t="s">
        <v>2181</v>
      </c>
      <c r="B181" s="382" t="s">
        <v>2549</v>
      </c>
      <c r="C181" s="382" t="s">
        <v>2334</v>
      </c>
      <c r="D181" s="382" t="s">
        <v>2335</v>
      </c>
      <c r="E181" s="382"/>
      <c r="F181" s="382"/>
      <c r="G181" s="382"/>
      <c r="H181" s="382"/>
      <c r="I181" s="382"/>
      <c r="J181" s="382"/>
      <c r="K181" s="382"/>
      <c r="L181" s="382"/>
      <c r="M181" s="382"/>
      <c r="N181" s="382"/>
      <c r="O181" s="382"/>
      <c r="P181" s="382"/>
      <c r="Q181" s="382"/>
      <c r="R181" s="382"/>
      <c r="S181" s="382"/>
      <c r="T181" s="382"/>
      <c r="U181" s="382"/>
      <c r="V181" s="382"/>
      <c r="W181" s="382"/>
      <c r="X181" s="382"/>
      <c r="Y181" s="382"/>
      <c r="Z181" s="382"/>
      <c r="AA181" s="382"/>
      <c r="AB181" s="382"/>
      <c r="AC181" s="382"/>
      <c r="AD181" s="382"/>
      <c r="AE181" s="382"/>
      <c r="AF181" s="382"/>
      <c r="AG181" s="382"/>
      <c r="AH181" s="382"/>
      <c r="AI181" s="382"/>
      <c r="AJ181" s="382"/>
      <c r="AK181" s="382"/>
      <c r="AL181" s="382"/>
      <c r="AM181" s="382"/>
      <c r="AN181" s="382"/>
      <c r="AO181" s="382"/>
      <c r="AP181" s="382"/>
      <c r="AQ181" s="382"/>
      <c r="AR181" s="382">
        <v>42.6964164952416</v>
      </c>
      <c r="AS181" s="382">
        <v>45.715016218672297</v>
      </c>
      <c r="AT181" s="382">
        <v>48.451536227105599</v>
      </c>
      <c r="AU181" s="382">
        <v>50.268553460001897</v>
      </c>
      <c r="AV181" s="382">
        <v>52.933987071819097</v>
      </c>
      <c r="AW181" s="382">
        <v>57.4176072747509</v>
      </c>
      <c r="AX181" s="382">
        <v>62.929180734646799</v>
      </c>
      <c r="AY181" s="382">
        <v>68.681033503089907</v>
      </c>
      <c r="AZ181" s="382">
        <v>76.323127282903698</v>
      </c>
      <c r="BA181" s="382">
        <v>91.455105532221097</v>
      </c>
      <c r="BB181" s="382">
        <v>94.827056741037595</v>
      </c>
      <c r="BC181" s="382">
        <v>100</v>
      </c>
      <c r="BD181" s="382">
        <v>108.082387980991</v>
      </c>
      <c r="BE181" s="382">
        <v>115.857349178098</v>
      </c>
      <c r="BF181" s="382">
        <v>124.12431308391599</v>
      </c>
      <c r="BG181" s="382">
        <v>131.61641766894999</v>
      </c>
      <c r="BH181" s="382">
        <v>136.87762598205799</v>
      </c>
      <c r="BI181" s="382">
        <v>141.70006178499301</v>
      </c>
      <c r="BJ181" s="382">
        <v>147.15646591038501</v>
      </c>
      <c r="BK181" s="382">
        <v>154.436645452421</v>
      </c>
      <c r="BL181" s="382">
        <v>162.73960723681401</v>
      </c>
      <c r="BM181" s="382">
        <v>168.73137592962101</v>
      </c>
      <c r="BN181" s="382">
        <v>177.04715663184899</v>
      </c>
      <c r="BO181" s="382">
        <v>195.57943398713999</v>
      </c>
      <c r="BP181" s="382">
        <v>211.98396910151101</v>
      </c>
    </row>
    <row r="182" spans="1:68">
      <c r="A182" s="382" t="s">
        <v>1131</v>
      </c>
      <c r="B182" s="382" t="s">
        <v>2550</v>
      </c>
      <c r="C182" s="382" t="s">
        <v>2334</v>
      </c>
      <c r="D182" s="382" t="s">
        <v>2335</v>
      </c>
      <c r="E182" s="382">
        <v>16.8430929999958</v>
      </c>
      <c r="F182" s="382">
        <v>17.063339914655099</v>
      </c>
      <c r="G182" s="382">
        <v>17.478170635173399</v>
      </c>
      <c r="H182" s="382">
        <v>18.045100857998101</v>
      </c>
      <c r="I182" s="382">
        <v>19.096005713921802</v>
      </c>
      <c r="J182" s="382">
        <v>19.84228484082</v>
      </c>
      <c r="K182" s="382">
        <v>20.985625119419101</v>
      </c>
      <c r="L182" s="382">
        <v>21.710748178005002</v>
      </c>
      <c r="M182" s="382">
        <v>22.518560237291499</v>
      </c>
      <c r="N182" s="382">
        <v>24.189840501514901</v>
      </c>
      <c r="O182" s="382">
        <v>25.077349031453899</v>
      </c>
      <c r="P182" s="382">
        <v>26.9525526126634</v>
      </c>
      <c r="Q182" s="382">
        <v>29.055604283621602</v>
      </c>
      <c r="R182" s="382">
        <v>31.386505864048701</v>
      </c>
      <c r="S182" s="382">
        <v>34.396918303656697</v>
      </c>
      <c r="T182" s="382">
        <v>37.9114151054983</v>
      </c>
      <c r="U182" s="382">
        <v>41.259240084798897</v>
      </c>
      <c r="V182" s="382">
        <v>43.899540520621997</v>
      </c>
      <c r="W182" s="382">
        <v>45.704694878397198</v>
      </c>
      <c r="X182" s="382">
        <v>47.6239720854905</v>
      </c>
      <c r="Y182" s="382">
        <v>50.725938293284301</v>
      </c>
      <c r="Z182" s="382">
        <v>54.144322017705903</v>
      </c>
      <c r="AA182" s="382">
        <v>57.344845187294702</v>
      </c>
      <c r="AB182" s="382">
        <v>58.916575832294598</v>
      </c>
      <c r="AC182" s="382">
        <v>60.861789512951802</v>
      </c>
      <c r="AD182" s="382">
        <v>62.236404414641498</v>
      </c>
      <c r="AE182" s="382">
        <v>62.288276451909297</v>
      </c>
      <c r="AF182" s="382">
        <v>61.8577333563831</v>
      </c>
      <c r="AG182" s="382">
        <v>62.314212925473299</v>
      </c>
      <c r="AH182" s="382">
        <v>62.988551229675998</v>
      </c>
      <c r="AI182" s="382">
        <v>64.534348130692294</v>
      </c>
      <c r="AJ182" s="382">
        <v>66.572472181025702</v>
      </c>
      <c r="AK182" s="382">
        <v>68.691861300918006</v>
      </c>
      <c r="AL182" s="382">
        <v>70.466985724294204</v>
      </c>
      <c r="AM182" s="382">
        <v>72.441135687444799</v>
      </c>
      <c r="AN182" s="382">
        <v>73.834338122230605</v>
      </c>
      <c r="AO182" s="382">
        <v>75.273640441464096</v>
      </c>
      <c r="AP182" s="382">
        <v>76.861346411056601</v>
      </c>
      <c r="AQ182" s="382">
        <v>78.367164966744596</v>
      </c>
      <c r="AR182" s="382">
        <v>80.057685133794905</v>
      </c>
      <c r="AS182" s="382">
        <v>81.947464674679495</v>
      </c>
      <c r="AT182" s="382">
        <v>85.353071232951507</v>
      </c>
      <c r="AU182" s="382">
        <v>88.159079949411804</v>
      </c>
      <c r="AV182" s="382">
        <v>90.003366482571593</v>
      </c>
      <c r="AW182" s="382">
        <v>91.140691675689396</v>
      </c>
      <c r="AX182" s="382">
        <v>92.679265196939198</v>
      </c>
      <c r="AY182" s="382">
        <v>93.700128290281796</v>
      </c>
      <c r="AZ182" s="382">
        <v>95.212315867051203</v>
      </c>
      <c r="BA182" s="382">
        <v>97.579771989045298</v>
      </c>
      <c r="BB182" s="382">
        <v>98.740753546179903</v>
      </c>
      <c r="BC182" s="382">
        <v>100</v>
      </c>
      <c r="BD182" s="382">
        <v>102.341070177514</v>
      </c>
      <c r="BE182" s="382">
        <v>104.854103924227</v>
      </c>
      <c r="BF182" s="382">
        <v>107.48268991056101</v>
      </c>
      <c r="BG182" s="382">
        <v>108.531758668693</v>
      </c>
      <c r="BH182" s="382">
        <v>109.183218539311</v>
      </c>
      <c r="BI182" s="382">
        <v>109.528965398018</v>
      </c>
      <c r="BJ182" s="382">
        <v>111.042062834942</v>
      </c>
      <c r="BK182" s="382">
        <v>112.933662096136</v>
      </c>
      <c r="BL182" s="382">
        <v>115.907994941178</v>
      </c>
      <c r="BM182" s="382">
        <v>117.38287825161299</v>
      </c>
      <c r="BN182" s="382">
        <v>120.523715504927</v>
      </c>
      <c r="BO182" s="382">
        <v>132.57754283166699</v>
      </c>
      <c r="BP182" s="382">
        <v>137.66639067575301</v>
      </c>
    </row>
    <row r="183" spans="1:68">
      <c r="A183" s="382" t="s">
        <v>1055</v>
      </c>
      <c r="B183" s="382" t="s">
        <v>2551</v>
      </c>
      <c r="C183" s="382" t="s">
        <v>2334</v>
      </c>
      <c r="D183" s="382" t="s">
        <v>2335</v>
      </c>
      <c r="E183" s="382">
        <v>9.0278320513980592</v>
      </c>
      <c r="F183" s="382">
        <v>9.2223974300968194</v>
      </c>
      <c r="G183" s="382">
        <v>9.7088106053750707</v>
      </c>
      <c r="H183" s="382">
        <v>9.9487745905347893</v>
      </c>
      <c r="I183" s="382">
        <v>10.5324707266311</v>
      </c>
      <c r="J183" s="382">
        <v>10.9734889150303</v>
      </c>
      <c r="K183" s="382">
        <v>11.3301891231563</v>
      </c>
      <c r="L183" s="382">
        <v>11.8490290471451</v>
      </c>
      <c r="M183" s="382">
        <v>12.257618315084599</v>
      </c>
      <c r="N183" s="382">
        <v>12.6208053569813</v>
      </c>
      <c r="O183" s="382">
        <v>13.963306488100599</v>
      </c>
      <c r="P183" s="382">
        <v>14.8323635870057</v>
      </c>
      <c r="Q183" s="382">
        <v>15.908961179983701</v>
      </c>
      <c r="R183" s="382">
        <v>17.0893222332821</v>
      </c>
      <c r="S183" s="382">
        <v>18.6977296172292</v>
      </c>
      <c r="T183" s="382">
        <v>20.883349018188401</v>
      </c>
      <c r="U183" s="382">
        <v>22.796571351009</v>
      </c>
      <c r="V183" s="382">
        <v>24.871934666546</v>
      </c>
      <c r="W183" s="382">
        <v>26.901900280517602</v>
      </c>
      <c r="X183" s="382">
        <v>28.115102705637501</v>
      </c>
      <c r="Y183" s="382">
        <v>31.1736494434892</v>
      </c>
      <c r="Z183" s="382">
        <v>35.426658220975497</v>
      </c>
      <c r="AA183" s="382">
        <v>39.444394172473103</v>
      </c>
      <c r="AB183" s="382">
        <v>42.783458510541998</v>
      </c>
      <c r="AC183" s="382">
        <v>45.443851235182301</v>
      </c>
      <c r="AD183" s="382">
        <v>48.040901275902598</v>
      </c>
      <c r="AE183" s="382">
        <v>51.488553072120197</v>
      </c>
      <c r="AF183" s="382">
        <v>55.976834675595001</v>
      </c>
      <c r="AG183" s="382">
        <v>59.714053026875398</v>
      </c>
      <c r="AH183" s="382">
        <v>62.428739480589897</v>
      </c>
      <c r="AI183" s="382">
        <v>65.007691611618796</v>
      </c>
      <c r="AJ183" s="382">
        <v>67.242783458510502</v>
      </c>
      <c r="AK183" s="382">
        <v>68.808252646819298</v>
      </c>
      <c r="AL183" s="382">
        <v>70.382770789973705</v>
      </c>
      <c r="AM183" s="382">
        <v>71.3510089584653</v>
      </c>
      <c r="AN183" s="382">
        <v>73.106506198534007</v>
      </c>
      <c r="AO183" s="382">
        <v>74.029499592796995</v>
      </c>
      <c r="AP183" s="382">
        <v>75.929780110397203</v>
      </c>
      <c r="AQ183" s="382">
        <v>77.640032576237402</v>
      </c>
      <c r="AR183" s="382">
        <v>79.476970409917598</v>
      </c>
      <c r="AS183" s="382">
        <v>81.9292371731065</v>
      </c>
      <c r="AT183" s="382">
        <v>84.390552891141098</v>
      </c>
      <c r="AU183" s="382">
        <v>85.476427472626895</v>
      </c>
      <c r="AV183" s="382">
        <v>87.602931861369996</v>
      </c>
      <c r="AW183" s="382">
        <v>88.001085874581506</v>
      </c>
      <c r="AX183" s="382">
        <v>89.349380146593006</v>
      </c>
      <c r="AY183" s="382">
        <v>91.430639761107599</v>
      </c>
      <c r="AZ183" s="382">
        <v>92.082164509999103</v>
      </c>
      <c r="BA183" s="382">
        <v>95.538865261062298</v>
      </c>
      <c r="BB183" s="382">
        <v>97.638222785268297</v>
      </c>
      <c r="BC183" s="382">
        <v>100</v>
      </c>
      <c r="BD183" s="382">
        <v>101.284951588092</v>
      </c>
      <c r="BE183" s="382">
        <v>101.990770066057</v>
      </c>
      <c r="BF183" s="382">
        <v>104.15347027418299</v>
      </c>
      <c r="BG183" s="382">
        <v>106.27997466292599</v>
      </c>
      <c r="BH183" s="382">
        <v>108.58745814858401</v>
      </c>
      <c r="BI183" s="382">
        <v>112.442312912858</v>
      </c>
      <c r="BJ183" s="382">
        <v>114.55071939190999</v>
      </c>
      <c r="BK183" s="382">
        <v>117.71785358791</v>
      </c>
      <c r="BL183" s="382">
        <v>120.269658854402</v>
      </c>
      <c r="BM183" s="382">
        <v>121.81703013302</v>
      </c>
      <c r="BN183" s="382">
        <v>126.06098995566001</v>
      </c>
      <c r="BO183" s="382">
        <v>133.32730069676899</v>
      </c>
      <c r="BP183" s="382">
        <v>140.68410098633601</v>
      </c>
    </row>
    <row r="184" spans="1:68">
      <c r="A184" s="382" t="s">
        <v>1988</v>
      </c>
      <c r="B184" s="382" t="s">
        <v>2552</v>
      </c>
      <c r="C184" s="382" t="s">
        <v>2334</v>
      </c>
      <c r="D184" s="382" t="s">
        <v>2335</v>
      </c>
      <c r="E184" s="382"/>
      <c r="F184" s="382"/>
      <c r="G184" s="382"/>
      <c r="H184" s="382"/>
      <c r="I184" s="382">
        <v>2.96946523316725</v>
      </c>
      <c r="J184" s="382">
        <v>3.22103444747537</v>
      </c>
      <c r="K184" s="382">
        <v>3.6845081499364398</v>
      </c>
      <c r="L184" s="382">
        <v>3.5810349512398001</v>
      </c>
      <c r="M184" s="382">
        <v>3.6232865073772</v>
      </c>
      <c r="N184" s="382">
        <v>3.7703046771711399</v>
      </c>
      <c r="O184" s="382">
        <v>4.34479649905792</v>
      </c>
      <c r="P184" s="382">
        <v>4.2579221259927804</v>
      </c>
      <c r="Q184" s="382">
        <v>4.6151202306282402</v>
      </c>
      <c r="R184" s="382">
        <v>5.14261797478399</v>
      </c>
      <c r="S184" s="382">
        <v>6.16118227436277</v>
      </c>
      <c r="T184" s="382">
        <v>6.6285686506745396</v>
      </c>
      <c r="U184" s="382">
        <v>6.4222056828372702</v>
      </c>
      <c r="V184" s="382">
        <v>7.0579303726647797</v>
      </c>
      <c r="W184" s="382">
        <v>7.57641237826099</v>
      </c>
      <c r="X184" s="382">
        <v>7.8465458601842304</v>
      </c>
      <c r="Y184" s="382">
        <v>8.9987721048726694</v>
      </c>
      <c r="Z184" s="382">
        <v>10.0016723632259</v>
      </c>
      <c r="AA184" s="382">
        <v>11.1717226646585</v>
      </c>
      <c r="AB184" s="382">
        <v>12.5544733763075</v>
      </c>
      <c r="AC184" s="382">
        <v>12.9117466911015</v>
      </c>
      <c r="AD184" s="382">
        <v>13.951483333335799</v>
      </c>
      <c r="AE184" s="382">
        <v>16.602118613346398</v>
      </c>
      <c r="AF184" s="382">
        <v>18.3869008266986</v>
      </c>
      <c r="AG184" s="382">
        <v>20.038596749822499</v>
      </c>
      <c r="AH184" s="382">
        <v>21.811388743096199</v>
      </c>
      <c r="AI184" s="382">
        <v>23.608581823051701</v>
      </c>
      <c r="AJ184" s="382">
        <v>27.281475827069301</v>
      </c>
      <c r="AK184" s="382">
        <v>31.9601189691023</v>
      </c>
      <c r="AL184" s="382">
        <v>34.358851881604799</v>
      </c>
      <c r="AM184" s="382">
        <v>37.227570941935298</v>
      </c>
      <c r="AN184" s="382">
        <v>40.065417323029003</v>
      </c>
      <c r="AO184" s="382">
        <v>43.759635754972898</v>
      </c>
      <c r="AP184" s="382">
        <v>45.514392162438298</v>
      </c>
      <c r="AQ184" s="382">
        <v>50.632243325253697</v>
      </c>
      <c r="AR184" s="382">
        <v>54.404908792172698</v>
      </c>
      <c r="AS184" s="382">
        <v>55.753508664962602</v>
      </c>
      <c r="AT184" s="382">
        <v>57.252332321050801</v>
      </c>
      <c r="AU184" s="382">
        <v>58.986734182765503</v>
      </c>
      <c r="AV184" s="382">
        <v>62.353112599400703</v>
      </c>
      <c r="AW184" s="382">
        <v>64.125070406939898</v>
      </c>
      <c r="AX184" s="382">
        <v>68.508873537730594</v>
      </c>
      <c r="AY184" s="382">
        <v>73.249917644186496</v>
      </c>
      <c r="AZ184" s="382">
        <v>74.912118871868799</v>
      </c>
      <c r="BA184" s="382">
        <v>82.3342842988434</v>
      </c>
      <c r="BB184" s="382">
        <v>91.469128018319196</v>
      </c>
      <c r="BC184" s="382">
        <v>100</v>
      </c>
      <c r="BD184" s="382">
        <v>109.22707546126</v>
      </c>
      <c r="BE184" s="382">
        <v>119.559749053898</v>
      </c>
      <c r="BF184" s="382">
        <v>130.368145393248</v>
      </c>
      <c r="BG184" s="382">
        <v>141.272338749022</v>
      </c>
      <c r="BH184" s="382">
        <v>152.38893046506601</v>
      </c>
      <c r="BI184" s="382">
        <v>165.784440634692</v>
      </c>
      <c r="BJ184" s="382">
        <v>171.797601626909</v>
      </c>
      <c r="BK184" s="382">
        <v>178.77458292480199</v>
      </c>
      <c r="BL184" s="382">
        <v>188.72997716222099</v>
      </c>
      <c r="BM184" s="382">
        <v>198.26530740364601</v>
      </c>
      <c r="BN184" s="382">
        <v>206.49268327853599</v>
      </c>
      <c r="BO184" s="382">
        <v>222.29100849230201</v>
      </c>
      <c r="BP184" s="382">
        <v>238.106479175293</v>
      </c>
    </row>
    <row r="185" spans="1:68">
      <c r="A185" s="382" t="s">
        <v>2128</v>
      </c>
      <c r="B185" s="382" t="s">
        <v>2553</v>
      </c>
      <c r="C185" s="382" t="s">
        <v>2334</v>
      </c>
      <c r="D185" s="382" t="s">
        <v>2335</v>
      </c>
      <c r="E185" s="382"/>
      <c r="F185" s="382"/>
      <c r="G185" s="382"/>
      <c r="H185" s="382"/>
      <c r="I185" s="382"/>
      <c r="J185" s="382"/>
      <c r="K185" s="382"/>
      <c r="L185" s="382"/>
      <c r="M185" s="382"/>
      <c r="N185" s="382"/>
      <c r="O185" s="382"/>
      <c r="P185" s="382"/>
      <c r="Q185" s="382"/>
      <c r="R185" s="382"/>
      <c r="S185" s="382"/>
      <c r="T185" s="382"/>
      <c r="U185" s="382"/>
      <c r="V185" s="382"/>
      <c r="W185" s="382"/>
      <c r="X185" s="382"/>
      <c r="Y185" s="382"/>
      <c r="Z185" s="382"/>
      <c r="AA185" s="382"/>
      <c r="AB185" s="382"/>
      <c r="AC185" s="382"/>
      <c r="AD185" s="382"/>
      <c r="AE185" s="382"/>
      <c r="AF185" s="382"/>
      <c r="AG185" s="382"/>
      <c r="AH185" s="382"/>
      <c r="AI185" s="382"/>
      <c r="AJ185" s="382"/>
      <c r="AK185" s="382"/>
      <c r="AL185" s="382"/>
      <c r="AM185" s="382"/>
      <c r="AN185" s="382"/>
      <c r="AO185" s="382"/>
      <c r="AP185" s="382"/>
      <c r="AQ185" s="382"/>
      <c r="AR185" s="382"/>
      <c r="AS185" s="382"/>
      <c r="AT185" s="382"/>
      <c r="AU185" s="382"/>
      <c r="AV185" s="382"/>
      <c r="AW185" s="382"/>
      <c r="AX185" s="382"/>
      <c r="AY185" s="382"/>
      <c r="AZ185" s="382"/>
      <c r="BA185" s="382"/>
      <c r="BB185" s="382"/>
      <c r="BC185" s="382">
        <v>100</v>
      </c>
      <c r="BD185" s="382">
        <v>100.30030030029999</v>
      </c>
      <c r="BE185" s="382">
        <v>100.175175175175</v>
      </c>
      <c r="BF185" s="382"/>
      <c r="BG185" s="382"/>
      <c r="BH185" s="382"/>
      <c r="BI185" s="382"/>
      <c r="BJ185" s="382"/>
      <c r="BK185" s="382"/>
      <c r="BL185" s="382"/>
      <c r="BM185" s="382"/>
      <c r="BN185" s="382"/>
      <c r="BO185" s="382"/>
      <c r="BP185" s="382"/>
    </row>
    <row r="186" spans="1:68">
      <c r="A186" s="382" t="s">
        <v>1171</v>
      </c>
      <c r="B186" s="382" t="s">
        <v>2554</v>
      </c>
      <c r="C186" s="382" t="s">
        <v>2334</v>
      </c>
      <c r="D186" s="382" t="s">
        <v>2335</v>
      </c>
      <c r="E186" s="382">
        <v>4.9921648004466999</v>
      </c>
      <c r="F186" s="382">
        <v>5.0819091612328</v>
      </c>
      <c r="G186" s="382">
        <v>5.21814772472713</v>
      </c>
      <c r="H186" s="382">
        <v>5.3208668846467502</v>
      </c>
      <c r="I186" s="382">
        <v>5.5057619794327701</v>
      </c>
      <c r="J186" s="382">
        <v>5.6928196786798502</v>
      </c>
      <c r="K186" s="382">
        <v>5.8496842305056598</v>
      </c>
      <c r="L186" s="382">
        <v>6.2039949282663098</v>
      </c>
      <c r="M186" s="382">
        <v>6.4715065344367</v>
      </c>
      <c r="N186" s="382">
        <v>6.7902439199337001</v>
      </c>
      <c r="O186" s="382">
        <v>7.2327764100379701</v>
      </c>
      <c r="P186" s="382">
        <v>7.9840860009777099</v>
      </c>
      <c r="Q186" s="382">
        <v>8.5376070818882006</v>
      </c>
      <c r="R186" s="382">
        <v>9.2348452161169892</v>
      </c>
      <c r="S186" s="382">
        <v>10.2607812963819</v>
      </c>
      <c r="T186" s="382">
        <v>11.7675753338946</v>
      </c>
      <c r="U186" s="382">
        <v>13.757102468663099</v>
      </c>
      <c r="V186" s="382">
        <v>15.7358621009293</v>
      </c>
      <c r="W186" s="382">
        <v>17.617339017147501</v>
      </c>
      <c r="X186" s="382">
        <v>20.0308431150332</v>
      </c>
      <c r="Y186" s="382">
        <v>23.466241962306299</v>
      </c>
      <c r="Z186" s="382">
        <v>27.073040800089199</v>
      </c>
      <c r="AA186" s="382">
        <v>31.4490443048381</v>
      </c>
      <c r="AB186" s="382">
        <v>33.757742504681701</v>
      </c>
      <c r="AC186" s="382">
        <v>35.841018363516199</v>
      </c>
      <c r="AD186" s="382">
        <v>41.366863128297403</v>
      </c>
      <c r="AE186" s="382">
        <v>46.832831420030303</v>
      </c>
      <c r="AF186" s="382">
        <v>54.206333266754903</v>
      </c>
      <c r="AG186" s="382">
        <v>57.662122227016397</v>
      </c>
      <c r="AH186" s="382">
        <v>60.9580842618454</v>
      </c>
      <c r="AI186" s="382">
        <v>64.675578984306995</v>
      </c>
      <c r="AJ186" s="382">
        <v>66.358691633956795</v>
      </c>
      <c r="AK186" s="382">
        <v>67.031940556102995</v>
      </c>
      <c r="AL186" s="382">
        <v>67.895451219875596</v>
      </c>
      <c r="AM186" s="382">
        <v>69.080483425825904</v>
      </c>
      <c r="AN186" s="382">
        <v>71.674416987880207</v>
      </c>
      <c r="AO186" s="382">
        <v>73.312688493366295</v>
      </c>
      <c r="AP186" s="382">
        <v>74.183018851267803</v>
      </c>
      <c r="AQ186" s="382">
        <v>75.121615119857793</v>
      </c>
      <c r="AR186" s="382">
        <v>75.035775806417803</v>
      </c>
      <c r="AS186" s="382">
        <v>76.998137274483895</v>
      </c>
      <c r="AT186" s="382">
        <v>79.019966916758904</v>
      </c>
      <c r="AU186" s="382">
        <v>81.135404585526999</v>
      </c>
      <c r="AV186" s="382">
        <v>82.558174308292095</v>
      </c>
      <c r="AW186" s="382">
        <v>84.448962093315103</v>
      </c>
      <c r="AX186" s="382">
        <v>87.013696770797594</v>
      </c>
      <c r="AY186" s="382">
        <v>89.942057428887097</v>
      </c>
      <c r="AZ186" s="382">
        <v>92.079209423095804</v>
      </c>
      <c r="BA186" s="382">
        <v>95.724578707325904</v>
      </c>
      <c r="BB186" s="382">
        <v>97.749776815026294</v>
      </c>
      <c r="BC186" s="382">
        <v>100</v>
      </c>
      <c r="BD186" s="382">
        <v>104.02790667392</v>
      </c>
      <c r="BE186" s="382">
        <v>105.130512172271</v>
      </c>
      <c r="BF186" s="382">
        <v>106.323136529614</v>
      </c>
      <c r="BG186" s="382">
        <v>107.628261011102</v>
      </c>
      <c r="BH186" s="382">
        <v>107.943293912264</v>
      </c>
      <c r="BI186" s="382">
        <v>108.640866961892</v>
      </c>
      <c r="BJ186" s="382">
        <v>110.651578737121</v>
      </c>
      <c r="BK186" s="382">
        <v>112.420119642595</v>
      </c>
      <c r="BL186" s="382">
        <v>114.24091176441399</v>
      </c>
      <c r="BM186" s="382">
        <v>116.19964268334</v>
      </c>
      <c r="BN186" s="382">
        <v>120.779210747308</v>
      </c>
      <c r="BO186" s="382">
        <v>129.44176720565801</v>
      </c>
      <c r="BP186" s="382">
        <v>136.86287449004001</v>
      </c>
    </row>
    <row r="187" spans="1:68">
      <c r="A187" s="382" t="s">
        <v>2555</v>
      </c>
      <c r="B187" s="382" t="s">
        <v>2556</v>
      </c>
      <c r="C187" s="382" t="s">
        <v>2334</v>
      </c>
      <c r="D187" s="382" t="s">
        <v>2335</v>
      </c>
      <c r="E187" s="382"/>
      <c r="F187" s="382"/>
      <c r="G187" s="382"/>
      <c r="H187" s="382"/>
      <c r="I187" s="382"/>
      <c r="J187" s="382"/>
      <c r="K187" s="382"/>
      <c r="L187" s="382"/>
      <c r="M187" s="382"/>
      <c r="N187" s="382"/>
      <c r="O187" s="382"/>
      <c r="P187" s="382"/>
      <c r="Q187" s="382"/>
      <c r="R187" s="382"/>
      <c r="S187" s="382"/>
      <c r="T187" s="382"/>
      <c r="U187" s="382"/>
      <c r="V187" s="382"/>
      <c r="W187" s="382"/>
      <c r="X187" s="382"/>
      <c r="Y187" s="382"/>
      <c r="Z187" s="382"/>
      <c r="AA187" s="382"/>
      <c r="AB187" s="382"/>
      <c r="AC187" s="382"/>
      <c r="AD187" s="382"/>
      <c r="AE187" s="382"/>
      <c r="AF187" s="382"/>
      <c r="AG187" s="382"/>
      <c r="AH187" s="382"/>
      <c r="AI187" s="382"/>
      <c r="AJ187" s="382"/>
      <c r="AK187" s="382"/>
      <c r="AL187" s="382"/>
      <c r="AM187" s="382"/>
      <c r="AN187" s="382"/>
      <c r="AO187" s="382"/>
      <c r="AP187" s="382"/>
      <c r="AQ187" s="382"/>
      <c r="AR187" s="382"/>
      <c r="AS187" s="382"/>
      <c r="AT187" s="382"/>
      <c r="AU187" s="382"/>
      <c r="AV187" s="382"/>
      <c r="AW187" s="382"/>
      <c r="AX187" s="382"/>
      <c r="AY187" s="382"/>
      <c r="AZ187" s="382"/>
      <c r="BA187" s="382"/>
      <c r="BB187" s="382"/>
      <c r="BC187" s="382"/>
      <c r="BD187" s="382"/>
      <c r="BE187" s="382"/>
      <c r="BF187" s="382"/>
      <c r="BG187" s="382"/>
      <c r="BH187" s="382"/>
      <c r="BI187" s="382"/>
      <c r="BJ187" s="382"/>
      <c r="BK187" s="382"/>
      <c r="BL187" s="382"/>
      <c r="BM187" s="382"/>
      <c r="BN187" s="382"/>
      <c r="BO187" s="382"/>
      <c r="BP187" s="382"/>
    </row>
    <row r="188" spans="1:68">
      <c r="A188" s="382" t="s">
        <v>1071</v>
      </c>
      <c r="B188" s="382" t="s">
        <v>2557</v>
      </c>
      <c r="C188" s="382" t="s">
        <v>2334</v>
      </c>
      <c r="D188" s="382" t="s">
        <v>2335</v>
      </c>
      <c r="E188" s="382"/>
      <c r="F188" s="382"/>
      <c r="G188" s="382"/>
      <c r="H188" s="382"/>
      <c r="I188" s="382"/>
      <c r="J188" s="382"/>
      <c r="K188" s="382"/>
      <c r="L188" s="382"/>
      <c r="M188" s="382"/>
      <c r="N188" s="382"/>
      <c r="O188" s="382"/>
      <c r="P188" s="382"/>
      <c r="Q188" s="382"/>
      <c r="R188" s="382"/>
      <c r="S188" s="382"/>
      <c r="T188" s="382"/>
      <c r="U188" s="382"/>
      <c r="V188" s="382"/>
      <c r="W188" s="382"/>
      <c r="X188" s="382"/>
      <c r="Y188" s="382"/>
      <c r="Z188" s="382"/>
      <c r="AA188" s="382"/>
      <c r="AB188" s="382"/>
      <c r="AC188" s="382"/>
      <c r="AD188" s="382"/>
      <c r="AE188" s="382"/>
      <c r="AF188" s="382"/>
      <c r="AG188" s="382"/>
      <c r="AH188" s="382"/>
      <c r="AI188" s="382"/>
      <c r="AJ188" s="382"/>
      <c r="AK188" s="382"/>
      <c r="AL188" s="382"/>
      <c r="AM188" s="382"/>
      <c r="AN188" s="382"/>
      <c r="AO188" s="382"/>
      <c r="AP188" s="382"/>
      <c r="AQ188" s="382"/>
      <c r="AR188" s="382"/>
      <c r="AS188" s="382">
        <v>74.767612952311595</v>
      </c>
      <c r="AT188" s="382">
        <v>74.157010779867704</v>
      </c>
      <c r="AU188" s="382">
        <v>73.949683482275205</v>
      </c>
      <c r="AV188" s="382">
        <v>74.120750310615506</v>
      </c>
      <c r="AW188" s="382">
        <v>74.583982069047096</v>
      </c>
      <c r="AX188" s="382">
        <v>76.008413462257394</v>
      </c>
      <c r="AY188" s="382">
        <v>78.702901014507802</v>
      </c>
      <c r="AZ188" s="382">
        <v>83.291661208089394</v>
      </c>
      <c r="BA188" s="382">
        <v>93.599345072913593</v>
      </c>
      <c r="BB188" s="382">
        <v>96.8461287370816</v>
      </c>
      <c r="BC188" s="382">
        <v>100</v>
      </c>
      <c r="BD188" s="382">
        <v>104.042188671164</v>
      </c>
      <c r="BE188" s="382">
        <v>107.109076632045</v>
      </c>
      <c r="BF188" s="382">
        <v>108.237522383787</v>
      </c>
      <c r="BG188" s="382">
        <v>109.33506692238601</v>
      </c>
      <c r="BH188" s="382">
        <v>109.40645193302601</v>
      </c>
      <c r="BI188" s="382">
        <v>110.619997113916</v>
      </c>
      <c r="BJ188" s="382">
        <v>112.377853000941</v>
      </c>
      <c r="BK188" s="382">
        <v>113.37724314990901</v>
      </c>
      <c r="BL188" s="382">
        <v>113.933716077231</v>
      </c>
      <c r="BM188" s="382">
        <v>113.470686128837</v>
      </c>
      <c r="BN188" s="382">
        <v>115.37950346711401</v>
      </c>
      <c r="BO188" s="382">
        <v>118.271078246879</v>
      </c>
      <c r="BP188" s="382">
        <v>119.38612995933801</v>
      </c>
    </row>
    <row r="189" spans="1:68">
      <c r="A189" s="382" t="s">
        <v>2558</v>
      </c>
      <c r="B189" s="382" t="s">
        <v>2559</v>
      </c>
      <c r="C189" s="382" t="s">
        <v>2334</v>
      </c>
      <c r="D189" s="382" t="s">
        <v>2335</v>
      </c>
      <c r="E189" s="382"/>
      <c r="F189" s="382"/>
      <c r="G189" s="382"/>
      <c r="H189" s="382"/>
      <c r="I189" s="382"/>
      <c r="J189" s="382"/>
      <c r="K189" s="382"/>
      <c r="L189" s="382"/>
      <c r="M189" s="382"/>
      <c r="N189" s="382"/>
      <c r="O189" s="382"/>
      <c r="P189" s="382"/>
      <c r="Q189" s="382"/>
      <c r="R189" s="382"/>
      <c r="S189" s="382"/>
      <c r="T189" s="382"/>
      <c r="U189" s="382"/>
      <c r="V189" s="382"/>
      <c r="W189" s="382"/>
      <c r="X189" s="382"/>
      <c r="Y189" s="382"/>
      <c r="Z189" s="382"/>
      <c r="AA189" s="382"/>
      <c r="AB189" s="382"/>
      <c r="AC189" s="382"/>
      <c r="AD189" s="382"/>
      <c r="AE189" s="382"/>
      <c r="AF189" s="382"/>
      <c r="AG189" s="382"/>
      <c r="AH189" s="382"/>
      <c r="AI189" s="382"/>
      <c r="AJ189" s="382"/>
      <c r="AK189" s="382"/>
      <c r="AL189" s="382"/>
      <c r="AM189" s="382"/>
      <c r="AN189" s="382"/>
      <c r="AO189" s="382"/>
      <c r="AP189" s="382"/>
      <c r="AQ189" s="382"/>
      <c r="AR189" s="382"/>
      <c r="AS189" s="382"/>
      <c r="AT189" s="382"/>
      <c r="AU189" s="382"/>
      <c r="AV189" s="382"/>
      <c r="AW189" s="382"/>
      <c r="AX189" s="382"/>
      <c r="AY189" s="382"/>
      <c r="AZ189" s="382"/>
      <c r="BA189" s="382"/>
      <c r="BB189" s="382"/>
      <c r="BC189" s="382"/>
      <c r="BD189" s="382"/>
      <c r="BE189" s="382"/>
      <c r="BF189" s="382"/>
      <c r="BG189" s="382"/>
      <c r="BH189" s="382"/>
      <c r="BI189" s="382"/>
      <c r="BJ189" s="382"/>
      <c r="BK189" s="382"/>
      <c r="BL189" s="382"/>
      <c r="BM189" s="382"/>
      <c r="BN189" s="382"/>
      <c r="BO189" s="382"/>
      <c r="BP189" s="382"/>
    </row>
    <row r="190" spans="1:68">
      <c r="A190" s="382" t="s">
        <v>1138</v>
      </c>
      <c r="B190" s="382" t="s">
        <v>2560</v>
      </c>
      <c r="C190" s="382" t="s">
        <v>2334</v>
      </c>
      <c r="D190" s="382" t="s">
        <v>2335</v>
      </c>
      <c r="E190" s="382">
        <v>2.0720647777700099</v>
      </c>
      <c r="F190" s="382">
        <v>2.1060553417098</v>
      </c>
      <c r="G190" s="382">
        <v>2.0951783612490802</v>
      </c>
      <c r="H190" s="382">
        <v>2.1256943920451401</v>
      </c>
      <c r="I190" s="382">
        <v>2.2145396359948499</v>
      </c>
      <c r="J190" s="382">
        <v>2.3378592758694299</v>
      </c>
      <c r="K190" s="382">
        <v>2.5068308978201501</v>
      </c>
      <c r="L190" s="382">
        <v>2.6775811684264599</v>
      </c>
      <c r="M190" s="382">
        <v>2.6821498541764202</v>
      </c>
      <c r="N190" s="382">
        <v>2.7676296158709</v>
      </c>
      <c r="O190" s="382">
        <v>2.9156933972933401</v>
      </c>
      <c r="P190" s="382">
        <v>3.0536258564897398</v>
      </c>
      <c r="Q190" s="382">
        <v>3.21190254143578</v>
      </c>
      <c r="R190" s="382">
        <v>3.9528911565488301</v>
      </c>
      <c r="S190" s="382">
        <v>5.0068519033502001</v>
      </c>
      <c r="T190" s="382">
        <v>6.0535097330040504</v>
      </c>
      <c r="U190" s="382">
        <v>6.4868395567912502</v>
      </c>
      <c r="V190" s="382">
        <v>7.1441489130147398</v>
      </c>
      <c r="W190" s="382">
        <v>7.58270625848807</v>
      </c>
      <c r="X190" s="382">
        <v>8.2095721469426994</v>
      </c>
      <c r="Y190" s="382">
        <v>9.1896498266259403</v>
      </c>
      <c r="Z190" s="382">
        <v>10.281372285485</v>
      </c>
      <c r="AA190" s="382">
        <v>10.8883360577857</v>
      </c>
      <c r="AB190" s="382">
        <v>11.5810556453586</v>
      </c>
      <c r="AC190" s="382">
        <v>12.286013812250101</v>
      </c>
      <c r="AD190" s="382">
        <v>12.9758537341009</v>
      </c>
      <c r="AE190" s="382">
        <v>13.4308409181788</v>
      </c>
      <c r="AF190" s="382">
        <v>14.059567934151501</v>
      </c>
      <c r="AG190" s="382">
        <v>15.302143693199699</v>
      </c>
      <c r="AH190" s="382">
        <v>16.502484354991701</v>
      </c>
      <c r="AI190" s="382">
        <v>17.996310948285402</v>
      </c>
      <c r="AJ190" s="382">
        <v>20.1183046225505</v>
      </c>
      <c r="AK190" s="382">
        <v>22.0313625505404</v>
      </c>
      <c r="AL190" s="382">
        <v>24.228696793455899</v>
      </c>
      <c r="AM190" s="382">
        <v>27.2253491119294</v>
      </c>
      <c r="AN190" s="382">
        <v>30.585931456101701</v>
      </c>
      <c r="AO190" s="382">
        <v>33.758857440367599</v>
      </c>
      <c r="AP190" s="382">
        <v>37.599093867064397</v>
      </c>
      <c r="AQ190" s="382">
        <v>39.940766995063797</v>
      </c>
      <c r="AR190" s="382">
        <v>41.595368058906701</v>
      </c>
      <c r="AS190" s="382">
        <v>43.411698234952098</v>
      </c>
      <c r="AT190" s="382">
        <v>44.778411993496199</v>
      </c>
      <c r="AU190" s="382">
        <v>46.251776110969701</v>
      </c>
      <c r="AV190" s="382">
        <v>47.599615168260897</v>
      </c>
      <c r="AW190" s="382">
        <v>51.143227873053597</v>
      </c>
      <c r="AX190" s="382">
        <v>55.778506042929102</v>
      </c>
      <c r="AY190" s="382">
        <v>60.1967685839765</v>
      </c>
      <c r="AZ190" s="382">
        <v>64.770931053996605</v>
      </c>
      <c r="BA190" s="382">
        <v>77.910440560645</v>
      </c>
      <c r="BB190" s="382">
        <v>88.543474448670594</v>
      </c>
      <c r="BC190" s="382">
        <v>100</v>
      </c>
      <c r="BD190" s="382">
        <v>111.916092711628</v>
      </c>
      <c r="BE190" s="382">
        <v>122.752202596554</v>
      </c>
      <c r="BF190" s="382">
        <v>132.19449365978701</v>
      </c>
      <c r="BG190" s="382">
        <v>141.69846347348101</v>
      </c>
      <c r="BH190" s="382">
        <v>145.28248263017599</v>
      </c>
      <c r="BI190" s="382">
        <v>150.75254122498799</v>
      </c>
      <c r="BJ190" s="382">
        <v>156.91134586661701</v>
      </c>
      <c r="BK190" s="382">
        <v>164.87939385510299</v>
      </c>
      <c r="BL190" s="382">
        <v>182.32093267149401</v>
      </c>
      <c r="BM190" s="382">
        <v>200.07897900462501</v>
      </c>
      <c r="BN190" s="382">
        <v>219.078900139702</v>
      </c>
      <c r="BO190" s="382">
        <v>262.61833396559598</v>
      </c>
      <c r="BP190" s="382">
        <v>343.42107928413998</v>
      </c>
    </row>
    <row r="191" spans="1:68">
      <c r="A191" s="382" t="s">
        <v>1722</v>
      </c>
      <c r="B191" s="382" t="s">
        <v>2561</v>
      </c>
      <c r="C191" s="382" t="s">
        <v>2334</v>
      </c>
      <c r="D191" s="382" t="s">
        <v>2335</v>
      </c>
      <c r="E191" s="382">
        <v>25.7069689396222</v>
      </c>
      <c r="F191" s="382">
        <v>25.864761076402601</v>
      </c>
      <c r="G191" s="382">
        <v>26.068575919659001</v>
      </c>
      <c r="H191" s="382">
        <v>26.185855191480002</v>
      </c>
      <c r="I191" s="382">
        <v>26.817860156163398</v>
      </c>
      <c r="J191" s="382">
        <v>26.941654943085702</v>
      </c>
      <c r="K191" s="382">
        <v>26.993779063960201</v>
      </c>
      <c r="L191" s="382">
        <v>27.365163424727001</v>
      </c>
      <c r="M191" s="382">
        <v>27.808218451737101</v>
      </c>
      <c r="N191" s="382">
        <v>28.316428629628401</v>
      </c>
      <c r="O191" s="382">
        <v>29.189507653120302</v>
      </c>
      <c r="P191" s="382">
        <v>29.7498419518211</v>
      </c>
      <c r="Q191" s="382">
        <v>31.359174181875801</v>
      </c>
      <c r="R191" s="382">
        <v>33.509294165197403</v>
      </c>
      <c r="S191" s="382">
        <v>38.960608466467903</v>
      </c>
      <c r="T191" s="382">
        <v>41.251897943648302</v>
      </c>
      <c r="U191" s="382">
        <v>42.881347912182001</v>
      </c>
      <c r="V191" s="382">
        <v>44.847688380828799</v>
      </c>
      <c r="W191" s="382">
        <v>46.731525053623201</v>
      </c>
      <c r="X191" s="382">
        <v>50.464821817351698</v>
      </c>
      <c r="Y191" s="382">
        <v>57.432954911838102</v>
      </c>
      <c r="Z191" s="382">
        <v>61.626897869373501</v>
      </c>
      <c r="AA191" s="382">
        <v>64.246393388795298</v>
      </c>
      <c r="AB191" s="382">
        <v>65.597393046552895</v>
      </c>
      <c r="AC191" s="382">
        <v>66.635565811330395</v>
      </c>
      <c r="AD191" s="382">
        <v>67.319659785597096</v>
      </c>
      <c r="AE191" s="382">
        <v>67.2749702296978</v>
      </c>
      <c r="AF191" s="382">
        <v>67.945313571350596</v>
      </c>
      <c r="AG191" s="382">
        <v>68.189387300850697</v>
      </c>
      <c r="AH191" s="382">
        <v>68.329766922950597</v>
      </c>
      <c r="AI191" s="382">
        <v>68.855554472498298</v>
      </c>
      <c r="AJ191" s="382">
        <v>69.720559795947906</v>
      </c>
      <c r="AK191" s="382">
        <v>70.992626448079704</v>
      </c>
      <c r="AL191" s="382">
        <v>71.314883333286303</v>
      </c>
      <c r="AM191" s="382">
        <v>72.219464063690793</v>
      </c>
      <c r="AN191" s="382">
        <v>72.937475018449405</v>
      </c>
      <c r="AO191" s="382">
        <v>73.853363007984299</v>
      </c>
      <c r="AP191" s="382">
        <v>74.8314409227346</v>
      </c>
      <c r="AQ191" s="382">
        <v>75.249809510547095</v>
      </c>
      <c r="AR191" s="382">
        <v>76.188312018341804</v>
      </c>
      <c r="AS191" s="382">
        <v>77.330345190477502</v>
      </c>
      <c r="AT191" s="382">
        <v>77.567797632208894</v>
      </c>
      <c r="AU191" s="382">
        <v>78.347998512183196</v>
      </c>
      <c r="AV191" s="382">
        <v>78.6548615063559</v>
      </c>
      <c r="AW191" s="382">
        <v>79.028254286056196</v>
      </c>
      <c r="AX191" s="382">
        <v>81.285208961090007</v>
      </c>
      <c r="AY191" s="382">
        <v>83.283112799685597</v>
      </c>
      <c r="AZ191" s="382">
        <v>86.754880125769702</v>
      </c>
      <c r="BA191" s="382">
        <v>94.353465216821704</v>
      </c>
      <c r="BB191" s="382">
        <v>96.626490239748506</v>
      </c>
      <c r="BC191" s="382">
        <v>100</v>
      </c>
      <c r="BD191" s="382">
        <v>105.87580243678801</v>
      </c>
      <c r="BE191" s="382">
        <v>111.908816978907</v>
      </c>
      <c r="BF191" s="382">
        <v>116.415563998428</v>
      </c>
      <c r="BG191" s="382">
        <v>119.473250218224</v>
      </c>
      <c r="BH191" s="382">
        <v>119.63751644926</v>
      </c>
      <c r="BI191" s="382">
        <v>120.522515865459</v>
      </c>
      <c r="BJ191" s="382">
        <v>121.577794043312</v>
      </c>
      <c r="BK191" s="382">
        <v>122.50370421258199</v>
      </c>
      <c r="BL191" s="382">
        <v>122.06871337877099</v>
      </c>
      <c r="BM191" s="382">
        <v>120.176312134352</v>
      </c>
      <c r="BN191" s="382">
        <v>122.13603130989701</v>
      </c>
      <c r="BO191" s="382">
        <v>125.628695902787</v>
      </c>
      <c r="BP191" s="382">
        <v>127.496057864854</v>
      </c>
    </row>
    <row r="192" spans="1:68">
      <c r="A192" s="382" t="s">
        <v>1048</v>
      </c>
      <c r="B192" s="382" t="s">
        <v>2562</v>
      </c>
      <c r="C192" s="382" t="s">
        <v>2334</v>
      </c>
      <c r="D192" s="382" t="s">
        <v>2335</v>
      </c>
      <c r="E192" s="384">
        <v>4.0772253335880798E-8</v>
      </c>
      <c r="F192" s="384">
        <v>4.3184628913763301E-8</v>
      </c>
      <c r="G192" s="384">
        <v>4.6052560395464801E-8</v>
      </c>
      <c r="H192" s="384">
        <v>4.8848017073867199E-8</v>
      </c>
      <c r="I192" s="384">
        <v>5.3631354057442703E-8</v>
      </c>
      <c r="J192" s="384">
        <v>6.2421512280092704E-8</v>
      </c>
      <c r="K192" s="384">
        <v>6.7939950835047698E-8</v>
      </c>
      <c r="L192" s="384">
        <v>7.4586925604638995E-8</v>
      </c>
      <c r="M192" s="384">
        <v>8.8823047579566094E-8</v>
      </c>
      <c r="N192" s="384">
        <v>9.4362193221030197E-8</v>
      </c>
      <c r="O192" s="384">
        <v>9.9104116031484197E-8</v>
      </c>
      <c r="P192" s="384">
        <v>1.05833919147008E-7</v>
      </c>
      <c r="Q192" s="384">
        <v>1.13474834068616E-7</v>
      </c>
      <c r="R192" s="384">
        <v>1.2424251905339199E-7</v>
      </c>
      <c r="S192" s="384">
        <v>1.4522915123004099E-7</v>
      </c>
      <c r="T192" s="384">
        <v>1.79530440032175E-7</v>
      </c>
      <c r="U192" s="384">
        <v>2.39643112167965E-7</v>
      </c>
      <c r="V192" s="384">
        <v>3.3083712115332699E-7</v>
      </c>
      <c r="W192" s="384">
        <v>5.2222236821262103E-7</v>
      </c>
      <c r="X192" s="384">
        <v>8.7051556329395504E-7</v>
      </c>
      <c r="Y192" s="384">
        <v>1.38538261339855E-6</v>
      </c>
      <c r="Z192" s="384">
        <v>2.4304220034846298E-6</v>
      </c>
      <c r="AA192" s="384">
        <v>3.9967842294521096E-6</v>
      </c>
      <c r="AB192" s="384">
        <v>8.4392352884275608E-6</v>
      </c>
      <c r="AC192" s="384">
        <v>1.7739991562203301E-5</v>
      </c>
      <c r="AD192" s="384">
        <v>4.67270500051154E-5</v>
      </c>
      <c r="AE192" s="384">
        <v>8.3137246577128806E-5</v>
      </c>
      <c r="AF192" s="382">
        <v>1.5448754893254699E-4</v>
      </c>
      <c r="AG192" s="382">
        <v>1.18494936057133E-3</v>
      </c>
      <c r="AH192" s="382">
        <v>4.1457574558070198E-2</v>
      </c>
      <c r="AI192" s="382">
        <v>3.14317384437408</v>
      </c>
      <c r="AJ192" s="382">
        <v>16.015418926459098</v>
      </c>
      <c r="AK192" s="382">
        <v>27.791283279157501</v>
      </c>
      <c r="AL192" s="382">
        <v>41.292284929588597</v>
      </c>
      <c r="AM192" s="382">
        <v>51.093795398986401</v>
      </c>
      <c r="AN192" s="382">
        <v>56.779872125401297</v>
      </c>
      <c r="AO192" s="382">
        <v>63.331101072563499</v>
      </c>
      <c r="AP192" s="382">
        <v>68.753629952206296</v>
      </c>
      <c r="AQ192" s="382">
        <v>73.736770499264495</v>
      </c>
      <c r="AR192" s="382">
        <v>76.295185703235205</v>
      </c>
      <c r="AS192" s="382">
        <v>79.161853962235696</v>
      </c>
      <c r="AT192" s="382">
        <v>80.726962015122794</v>
      </c>
      <c r="AU192" s="382">
        <v>80.882874036321695</v>
      </c>
      <c r="AV192" s="382">
        <v>82.710323520853194</v>
      </c>
      <c r="AW192" s="382">
        <v>85.739566954200598</v>
      </c>
      <c r="AX192" s="382">
        <v>87.125377237050401</v>
      </c>
      <c r="AY192" s="382">
        <v>88.869852083689807</v>
      </c>
      <c r="AZ192" s="382">
        <v>90.451723406073995</v>
      </c>
      <c r="BA192" s="382">
        <v>95.685147945992199</v>
      </c>
      <c r="BB192" s="382">
        <v>98.494685435219097</v>
      </c>
      <c r="BC192" s="382">
        <v>100</v>
      </c>
      <c r="BD192" s="382">
        <v>103.369310953338</v>
      </c>
      <c r="BE192" s="382">
        <v>107.10219689619301</v>
      </c>
      <c r="BF192" s="382">
        <v>110.066675027747</v>
      </c>
      <c r="BG192" s="382">
        <v>113.822090321437</v>
      </c>
      <c r="BH192" s="382">
        <v>117.68986960708401</v>
      </c>
      <c r="BI192" s="382">
        <v>121.87630615117099</v>
      </c>
      <c r="BJ192" s="382">
        <v>125.526380202401</v>
      </c>
      <c r="BK192" s="382">
        <v>127.42076687930199</v>
      </c>
      <c r="BL192" s="382">
        <v>130.29043789264301</v>
      </c>
      <c r="BM192" s="382">
        <v>132.89938933089601</v>
      </c>
      <c r="BN192" s="382">
        <v>138.576404455789</v>
      </c>
      <c r="BO192" s="382">
        <v>150.12495500556801</v>
      </c>
      <c r="BP192" s="382">
        <v>159.8164418433</v>
      </c>
    </row>
    <row r="193" spans="1:68">
      <c r="A193" s="382" t="s">
        <v>1679</v>
      </c>
      <c r="B193" s="382" t="s">
        <v>2563</v>
      </c>
      <c r="C193" s="382" t="s">
        <v>2334</v>
      </c>
      <c r="D193" s="382" t="s">
        <v>2335</v>
      </c>
      <c r="E193" s="382">
        <v>1.1289570744394</v>
      </c>
      <c r="F193" s="382">
        <v>1.1469710861261</v>
      </c>
      <c r="G193" s="382">
        <v>1.21345701083502</v>
      </c>
      <c r="H193" s="382">
        <v>1.2817206340643399</v>
      </c>
      <c r="I193" s="382">
        <v>1.38660484683975</v>
      </c>
      <c r="J193" s="382">
        <v>1.42215881727406</v>
      </c>
      <c r="K193" s="382">
        <v>1.4989553934023201</v>
      </c>
      <c r="L193" s="382">
        <v>1.5926993621043</v>
      </c>
      <c r="M193" s="382">
        <v>1.63026805752857</v>
      </c>
      <c r="N193" s="382">
        <v>1.6621481176837301</v>
      </c>
      <c r="O193" s="382">
        <v>1.90118931222233</v>
      </c>
      <c r="P193" s="382">
        <v>2.3081073919986701</v>
      </c>
      <c r="Q193" s="382">
        <v>2.4974653103104298</v>
      </c>
      <c r="R193" s="382">
        <v>2.9115458645382701</v>
      </c>
      <c r="S193" s="382">
        <v>3.90623450399154</v>
      </c>
      <c r="T193" s="382">
        <v>4.1703507493909102</v>
      </c>
      <c r="U193" s="382">
        <v>4.55399078719985</v>
      </c>
      <c r="V193" s="382">
        <v>5.0047790229916798</v>
      </c>
      <c r="W193" s="382">
        <v>5.3718558386314896</v>
      </c>
      <c r="X193" s="382">
        <v>6.3137212289735496</v>
      </c>
      <c r="Y193" s="382">
        <v>7.4628507238053698</v>
      </c>
      <c r="Z193" s="382">
        <v>8.4391855224587609</v>
      </c>
      <c r="AA193" s="382">
        <v>9.3018160392078606</v>
      </c>
      <c r="AB193" s="382">
        <v>10.2347283365258</v>
      </c>
      <c r="AC193" s="382">
        <v>15.386785740408699</v>
      </c>
      <c r="AD193" s="382">
        <v>18.9416113416321</v>
      </c>
      <c r="AE193" s="382">
        <v>19.1590871369295</v>
      </c>
      <c r="AF193" s="382">
        <v>19.938817427385899</v>
      </c>
      <c r="AG193" s="382">
        <v>22.702351313969601</v>
      </c>
      <c r="AH193" s="382">
        <v>25.481798063623799</v>
      </c>
      <c r="AI193" s="382">
        <v>28.584806362378998</v>
      </c>
      <c r="AJ193" s="382">
        <v>34.090656984785603</v>
      </c>
      <c r="AK193" s="382">
        <v>37.0398409405256</v>
      </c>
      <c r="AL193" s="382">
        <v>39.527551867219898</v>
      </c>
      <c r="AM193" s="382">
        <v>43.633070539419101</v>
      </c>
      <c r="AN193" s="382">
        <v>46.6140802213001</v>
      </c>
      <c r="AO193" s="382">
        <v>50.0989972337483</v>
      </c>
      <c r="AP193" s="382">
        <v>52.899661134163203</v>
      </c>
      <c r="AQ193" s="382">
        <v>57.784910096818798</v>
      </c>
      <c r="AR193" s="382">
        <v>61.2167842323652</v>
      </c>
      <c r="AS193" s="382">
        <v>63.651452282157699</v>
      </c>
      <c r="AT193" s="382">
        <v>67.053941908713696</v>
      </c>
      <c r="AU193" s="382">
        <v>68.8796680497925</v>
      </c>
      <c r="AV193" s="382">
        <v>70.456431535269701</v>
      </c>
      <c r="AW193" s="382">
        <v>73.858921161825705</v>
      </c>
      <c r="AX193" s="382">
        <v>78.6721991701245</v>
      </c>
      <c r="AY193" s="382">
        <v>82.987551867219906</v>
      </c>
      <c r="AZ193" s="382">
        <v>85.394190871369304</v>
      </c>
      <c r="BA193" s="382">
        <v>92.448132780083</v>
      </c>
      <c r="BB193" s="382">
        <v>96.348547717842294</v>
      </c>
      <c r="BC193" s="382">
        <v>100</v>
      </c>
      <c r="BD193" s="382">
        <v>104.718417047184</v>
      </c>
      <c r="BE193" s="382">
        <v>107.88820573963299</v>
      </c>
      <c r="BF193" s="382">
        <v>110.67462111739501</v>
      </c>
      <c r="BG193" s="382">
        <v>114.65649857658499</v>
      </c>
      <c r="BH193" s="382">
        <v>115.429504132997</v>
      </c>
      <c r="BI193" s="382">
        <v>116.876642442093</v>
      </c>
      <c r="BJ193" s="382">
        <v>120.211352458706</v>
      </c>
      <c r="BK193" s="382">
        <v>126.59378983285301</v>
      </c>
      <c r="BL193" s="382">
        <v>129.62199600738501</v>
      </c>
      <c r="BM193" s="382">
        <v>132.72406086909999</v>
      </c>
      <c r="BN193" s="382">
        <v>137.93637393606301</v>
      </c>
      <c r="BO193" s="382">
        <v>145.965868357034</v>
      </c>
      <c r="BP193" s="382">
        <v>154.69174468573601</v>
      </c>
    </row>
    <row r="194" spans="1:68">
      <c r="A194" s="382" t="s">
        <v>2109</v>
      </c>
      <c r="B194" s="382" t="s">
        <v>2564</v>
      </c>
      <c r="C194" s="382" t="s">
        <v>2334</v>
      </c>
      <c r="D194" s="382" t="s">
        <v>2335</v>
      </c>
      <c r="E194" s="382"/>
      <c r="F194" s="382"/>
      <c r="G194" s="382"/>
      <c r="H194" s="382"/>
      <c r="I194" s="382"/>
      <c r="J194" s="382"/>
      <c r="K194" s="382"/>
      <c r="L194" s="382"/>
      <c r="M194" s="382"/>
      <c r="N194" s="382"/>
      <c r="O194" s="382"/>
      <c r="P194" s="382"/>
      <c r="Q194" s="382"/>
      <c r="R194" s="382"/>
      <c r="S194" s="382"/>
      <c r="T194" s="382"/>
      <c r="U194" s="382"/>
      <c r="V194" s="382"/>
      <c r="W194" s="382"/>
      <c r="X194" s="382"/>
      <c r="Y194" s="382"/>
      <c r="Z194" s="382"/>
      <c r="AA194" s="382"/>
      <c r="AB194" s="382"/>
      <c r="AC194" s="382"/>
      <c r="AD194" s="382"/>
      <c r="AE194" s="382"/>
      <c r="AF194" s="382"/>
      <c r="AG194" s="382"/>
      <c r="AH194" s="382"/>
      <c r="AI194" s="382"/>
      <c r="AJ194" s="382"/>
      <c r="AK194" s="382"/>
      <c r="AL194" s="382"/>
      <c r="AM194" s="382"/>
      <c r="AN194" s="382"/>
      <c r="AO194" s="382"/>
      <c r="AP194" s="382"/>
      <c r="AQ194" s="382"/>
      <c r="AR194" s="382"/>
      <c r="AS194" s="382"/>
      <c r="AT194" s="382">
        <v>74.072289156626496</v>
      </c>
      <c r="AU194" s="382">
        <v>73.108433734939794</v>
      </c>
      <c r="AV194" s="382">
        <v>73.783132530120497</v>
      </c>
      <c r="AW194" s="382">
        <v>77.445783132530096</v>
      </c>
      <c r="AX194" s="382">
        <v>80.506024096385502</v>
      </c>
      <c r="AY194" s="382">
        <v>84.072289156626596</v>
      </c>
      <c r="AZ194" s="382">
        <v>86.795180722891601</v>
      </c>
      <c r="BA194" s="382">
        <v>97.180722891566305</v>
      </c>
      <c r="BB194" s="382">
        <v>98.578313253012098</v>
      </c>
      <c r="BC194" s="382">
        <v>100</v>
      </c>
      <c r="BD194" s="382">
        <v>104.674698795181</v>
      </c>
      <c r="BE194" s="382">
        <v>108.457831325301</v>
      </c>
      <c r="BF194" s="382">
        <v>112.096385542169</v>
      </c>
      <c r="BG194" s="382">
        <v>116.795180722892</v>
      </c>
      <c r="BH194" s="382">
        <v>117.903614457831</v>
      </c>
      <c r="BI194" s="382">
        <v>116.674698795181</v>
      </c>
      <c r="BJ194" s="382">
        <v>118.329132252596</v>
      </c>
      <c r="BK194" s="382">
        <v>120.825527447798</v>
      </c>
      <c r="BL194" s="382">
        <v>121.14859035541301</v>
      </c>
      <c r="BM194" s="382">
        <v>121.412914552552</v>
      </c>
      <c r="BN194" s="382">
        <v>124.584804918221</v>
      </c>
      <c r="BO194" s="382">
        <v>139.974347062763</v>
      </c>
      <c r="BP194" s="382">
        <v>157.88965375774501</v>
      </c>
    </row>
    <row r="195" spans="1:68">
      <c r="A195" s="382" t="s">
        <v>1139</v>
      </c>
      <c r="B195" s="382" t="s">
        <v>2565</v>
      </c>
      <c r="C195" s="382" t="s">
        <v>2334</v>
      </c>
      <c r="D195" s="382" t="s">
        <v>2335</v>
      </c>
      <c r="E195" s="382"/>
      <c r="F195" s="382"/>
      <c r="G195" s="382"/>
      <c r="H195" s="382"/>
      <c r="I195" s="382"/>
      <c r="J195" s="382"/>
      <c r="K195" s="382"/>
      <c r="L195" s="382"/>
      <c r="M195" s="382"/>
      <c r="N195" s="382"/>
      <c r="O195" s="382"/>
      <c r="P195" s="382">
        <v>5.5047043203061996</v>
      </c>
      <c r="Q195" s="382">
        <v>5.8391151077381096</v>
      </c>
      <c r="R195" s="382">
        <v>6.3262814401001899</v>
      </c>
      <c r="S195" s="382">
        <v>7.7919089653578499</v>
      </c>
      <c r="T195" s="382">
        <v>8.6093575569391305</v>
      </c>
      <c r="U195" s="382">
        <v>9.26854589928368</v>
      </c>
      <c r="V195" s="382">
        <v>9.6882796037493595</v>
      </c>
      <c r="W195" s="382">
        <v>10.2501998206699</v>
      </c>
      <c r="X195" s="382">
        <v>10.8411848764987</v>
      </c>
      <c r="Y195" s="382">
        <v>12.149102623004801</v>
      </c>
      <c r="Z195" s="382">
        <v>13.1276188630804</v>
      </c>
      <c r="AA195" s="382">
        <v>13.8542398333616</v>
      </c>
      <c r="AB195" s="382">
        <v>14.9490154284884</v>
      </c>
      <c r="AC195" s="382">
        <v>16.058323443214601</v>
      </c>
      <c r="AD195" s="382">
        <v>16.654152638845201</v>
      </c>
      <c r="AE195" s="382">
        <v>17.562428851696701</v>
      </c>
      <c r="AF195" s="382">
        <v>18.148569767723501</v>
      </c>
      <c r="AG195" s="382">
        <v>19.136774287305901</v>
      </c>
      <c r="AH195" s="382">
        <v>19.9941870322378</v>
      </c>
      <c r="AI195" s="382">
        <v>21.3844551553758</v>
      </c>
      <c r="AJ195" s="382">
        <v>22.8740281444522</v>
      </c>
      <c r="AK195" s="382">
        <v>23.859810594133702</v>
      </c>
      <c r="AL195" s="382">
        <v>25.046624845593001</v>
      </c>
      <c r="AM195" s="382">
        <v>25.761135466369598</v>
      </c>
      <c r="AN195" s="382">
        <v>30.212899944292399</v>
      </c>
      <c r="AO195" s="382">
        <v>33.724901300651503</v>
      </c>
      <c r="AP195" s="382">
        <v>35.061883885969003</v>
      </c>
      <c r="AQ195" s="382">
        <v>39.821251241310797</v>
      </c>
      <c r="AR195" s="382">
        <v>45.767432848112001</v>
      </c>
      <c r="AS195" s="382">
        <v>52.905272846174299</v>
      </c>
      <c r="AT195" s="382">
        <v>57.824496814978097</v>
      </c>
      <c r="AU195" s="382">
        <v>64.647467725918602</v>
      </c>
      <c r="AV195" s="382">
        <v>74.156514156998597</v>
      </c>
      <c r="AW195" s="382">
        <v>75.757502361518206</v>
      </c>
      <c r="AX195" s="382">
        <v>77.106595296340302</v>
      </c>
      <c r="AY195" s="382">
        <v>78.932836001647004</v>
      </c>
      <c r="AZ195" s="382">
        <v>79.652190762225402</v>
      </c>
      <c r="BA195" s="382">
        <v>88.223896141642697</v>
      </c>
      <c r="BB195" s="382">
        <v>94.327512292004698</v>
      </c>
      <c r="BC195" s="382">
        <v>100</v>
      </c>
      <c r="BD195" s="382">
        <v>104.44083401029</v>
      </c>
      <c r="BE195" s="382">
        <v>109.179528838343</v>
      </c>
      <c r="BF195" s="382">
        <v>114.595180070404</v>
      </c>
      <c r="BG195" s="382">
        <v>120.579474681831</v>
      </c>
      <c r="BH195" s="382">
        <v>127.809369076631</v>
      </c>
      <c r="BI195" s="382">
        <v>136.33901976712701</v>
      </c>
      <c r="BJ195" s="382">
        <v>143.73138369889</v>
      </c>
      <c r="BK195" s="382">
        <v>150.018897576695</v>
      </c>
      <c r="BL195" s="382">
        <v>155.912649364765</v>
      </c>
      <c r="BM195" s="382">
        <v>163.50820534421501</v>
      </c>
      <c r="BN195" s="382">
        <v>170.839243117812</v>
      </c>
      <c r="BO195" s="382">
        <v>179.813837244105</v>
      </c>
      <c r="BP195" s="382">
        <v>183.94721776434</v>
      </c>
    </row>
    <row r="196" spans="1:68">
      <c r="A196" s="382" t="s">
        <v>1132</v>
      </c>
      <c r="B196" s="382" t="s">
        <v>2566</v>
      </c>
      <c r="C196" s="382" t="s">
        <v>2334</v>
      </c>
      <c r="D196" s="382" t="s">
        <v>2335</v>
      </c>
      <c r="E196" s="382"/>
      <c r="F196" s="382"/>
      <c r="G196" s="382"/>
      <c r="H196" s="382"/>
      <c r="I196" s="382"/>
      <c r="J196" s="382"/>
      <c r="K196" s="382"/>
      <c r="L196" s="382"/>
      <c r="M196" s="382"/>
      <c r="N196" s="382"/>
      <c r="O196" s="382">
        <v>2.1040344038583399E-2</v>
      </c>
      <c r="P196" s="382">
        <v>2.12717878227974E-2</v>
      </c>
      <c r="Q196" s="382">
        <v>2.1250747478969299E-2</v>
      </c>
      <c r="R196" s="382">
        <v>2.17767560799338E-2</v>
      </c>
      <c r="S196" s="382">
        <v>2.331270119454E-2</v>
      </c>
      <c r="T196" s="382">
        <v>2.3838709795504599E-2</v>
      </c>
      <c r="U196" s="382">
        <v>2.4890726997433801E-2</v>
      </c>
      <c r="V196" s="382">
        <v>2.6111066951671601E-2</v>
      </c>
      <c r="W196" s="382">
        <v>2.8226393894591799E-2</v>
      </c>
      <c r="X196" s="382">
        <v>3.02095129035795E-2</v>
      </c>
      <c r="Y196" s="382">
        <v>3.3134613441836401E-2</v>
      </c>
      <c r="Z196" s="382">
        <v>3.9472331274726297E-2</v>
      </c>
      <c r="AA196" s="382">
        <v>8.0349371847485598E-2</v>
      </c>
      <c r="AB196" s="382">
        <v>0.10086639059463801</v>
      </c>
      <c r="AC196" s="382">
        <v>0.116400822831708</v>
      </c>
      <c r="AD196" s="382">
        <v>0.12981166512998699</v>
      </c>
      <c r="AE196" s="382">
        <v>0.15129545439402101</v>
      </c>
      <c r="AF196" s="382">
        <v>0.191205724449899</v>
      </c>
      <c r="AG196" s="382">
        <v>0.30348331234208697</v>
      </c>
      <c r="AH196" s="382">
        <v>1.0456545841279199</v>
      </c>
      <c r="AI196" s="382">
        <v>6.9837052955845698</v>
      </c>
      <c r="AJ196" s="382">
        <v>12.3450608772187</v>
      </c>
      <c r="AK196" s="382">
        <v>18.035956432448302</v>
      </c>
      <c r="AL196" s="382">
        <v>24.702797418219198</v>
      </c>
      <c r="AM196" s="382">
        <v>32.852565644711802</v>
      </c>
      <c r="AN196" s="382">
        <v>42.035313921079698</v>
      </c>
      <c r="AO196" s="382">
        <v>50.356190406337099</v>
      </c>
      <c r="AP196" s="382">
        <v>57.865888954085399</v>
      </c>
      <c r="AQ196" s="382">
        <v>64.577091095789996</v>
      </c>
      <c r="AR196" s="382">
        <v>69.196983277101396</v>
      </c>
      <c r="AS196" s="382">
        <v>76.047605985037407</v>
      </c>
      <c r="AT196" s="382">
        <v>80.160515622708004</v>
      </c>
      <c r="AU196" s="382">
        <v>81.687799618600593</v>
      </c>
      <c r="AV196" s="382">
        <v>82.2454833504475</v>
      </c>
      <c r="AW196" s="382">
        <v>85.027557576646601</v>
      </c>
      <c r="AX196" s="382">
        <v>86.884388293971</v>
      </c>
      <c r="AY196" s="382">
        <v>88.000586768373196</v>
      </c>
      <c r="AZ196" s="382">
        <v>90.164295144491803</v>
      </c>
      <c r="BA196" s="382">
        <v>93.919612732873702</v>
      </c>
      <c r="BB196" s="382">
        <v>97.484230599970701</v>
      </c>
      <c r="BC196" s="382">
        <v>100</v>
      </c>
      <c r="BD196" s="382">
        <v>104.23940149625901</v>
      </c>
      <c r="BE196" s="382">
        <v>107.950711456652</v>
      </c>
      <c r="BF196" s="382">
        <v>109.021563737715</v>
      </c>
      <c r="BG196" s="382">
        <v>109.080240575033</v>
      </c>
      <c r="BH196" s="382">
        <v>108.126741968608</v>
      </c>
      <c r="BI196" s="382">
        <v>107.407950711457</v>
      </c>
      <c r="BJ196" s="382">
        <v>109.637670529559</v>
      </c>
      <c r="BK196" s="382">
        <v>111.62534839372201</v>
      </c>
      <c r="BL196" s="382">
        <v>114.111779375092</v>
      </c>
      <c r="BM196" s="382">
        <v>117.962446824116</v>
      </c>
      <c r="BN196" s="382">
        <v>123.92548041660601</v>
      </c>
      <c r="BO196" s="382">
        <v>141.807246589409</v>
      </c>
      <c r="BP196" s="382">
        <v>158.156080387267</v>
      </c>
    </row>
    <row r="197" spans="1:68">
      <c r="A197" s="382" t="s">
        <v>2567</v>
      </c>
      <c r="B197" s="382" t="s">
        <v>651</v>
      </c>
      <c r="C197" s="382" t="s">
        <v>2334</v>
      </c>
      <c r="D197" s="382" t="s">
        <v>2335</v>
      </c>
      <c r="E197" s="382"/>
      <c r="F197" s="382"/>
      <c r="G197" s="382"/>
      <c r="H197" s="382"/>
      <c r="I197" s="382"/>
      <c r="J197" s="382"/>
      <c r="K197" s="382"/>
      <c r="L197" s="382"/>
      <c r="M197" s="382"/>
      <c r="N197" s="382"/>
      <c r="O197" s="382"/>
      <c r="P197" s="382"/>
      <c r="Q197" s="382"/>
      <c r="R197" s="382"/>
      <c r="S197" s="382"/>
      <c r="T197" s="382"/>
      <c r="U197" s="382"/>
      <c r="V197" s="382"/>
      <c r="W197" s="382"/>
      <c r="X197" s="382"/>
      <c r="Y197" s="382"/>
      <c r="Z197" s="382"/>
      <c r="AA197" s="382"/>
      <c r="AB197" s="382"/>
      <c r="AC197" s="382"/>
      <c r="AD197" s="382"/>
      <c r="AE197" s="382"/>
      <c r="AF197" s="382"/>
      <c r="AG197" s="382"/>
      <c r="AH197" s="382"/>
      <c r="AI197" s="382"/>
      <c r="AJ197" s="382"/>
      <c r="AK197" s="382"/>
      <c r="AL197" s="382"/>
      <c r="AM197" s="382"/>
      <c r="AN197" s="382"/>
      <c r="AO197" s="382"/>
      <c r="AP197" s="382"/>
      <c r="AQ197" s="382"/>
      <c r="AR197" s="382"/>
      <c r="AS197" s="382"/>
      <c r="AT197" s="382"/>
      <c r="AU197" s="382"/>
      <c r="AV197" s="382"/>
      <c r="AW197" s="382"/>
      <c r="AX197" s="382"/>
      <c r="AY197" s="382"/>
      <c r="AZ197" s="382"/>
      <c r="BA197" s="382"/>
      <c r="BB197" s="382"/>
      <c r="BC197" s="382"/>
      <c r="BD197" s="382"/>
      <c r="BE197" s="382"/>
      <c r="BF197" s="382"/>
      <c r="BG197" s="382"/>
      <c r="BH197" s="382"/>
      <c r="BI197" s="382"/>
      <c r="BJ197" s="382"/>
      <c r="BK197" s="382"/>
      <c r="BL197" s="382"/>
      <c r="BM197" s="382"/>
      <c r="BN197" s="382"/>
      <c r="BO197" s="382"/>
      <c r="BP197" s="382"/>
    </row>
    <row r="198" spans="1:68">
      <c r="A198" s="382" t="s">
        <v>2219</v>
      </c>
      <c r="B198" s="382" t="s">
        <v>2568</v>
      </c>
      <c r="C198" s="382" t="s">
        <v>2334</v>
      </c>
      <c r="D198" s="382" t="s">
        <v>2335</v>
      </c>
      <c r="E198" s="382"/>
      <c r="F198" s="382"/>
      <c r="G198" s="382"/>
      <c r="H198" s="382"/>
      <c r="I198" s="382"/>
      <c r="J198" s="382"/>
      <c r="K198" s="382"/>
      <c r="L198" s="382"/>
      <c r="M198" s="382"/>
      <c r="N198" s="382"/>
      <c r="O198" s="382"/>
      <c r="P198" s="382"/>
      <c r="Q198" s="382"/>
      <c r="R198" s="382"/>
      <c r="S198" s="382"/>
      <c r="T198" s="382"/>
      <c r="U198" s="382"/>
      <c r="V198" s="382"/>
      <c r="W198" s="382"/>
      <c r="X198" s="382"/>
      <c r="Y198" s="382"/>
      <c r="Z198" s="382"/>
      <c r="AA198" s="382"/>
      <c r="AB198" s="382"/>
      <c r="AC198" s="382"/>
      <c r="AD198" s="382"/>
      <c r="AE198" s="382"/>
      <c r="AF198" s="382"/>
      <c r="AG198" s="382"/>
      <c r="AH198" s="382"/>
      <c r="AI198" s="382"/>
      <c r="AJ198" s="382"/>
      <c r="AK198" s="382"/>
      <c r="AL198" s="382"/>
      <c r="AM198" s="382"/>
      <c r="AN198" s="382"/>
      <c r="AO198" s="382"/>
      <c r="AP198" s="382"/>
      <c r="AQ198" s="382"/>
      <c r="AR198" s="382"/>
      <c r="AS198" s="382"/>
      <c r="AT198" s="382"/>
      <c r="AU198" s="382"/>
      <c r="AV198" s="382"/>
      <c r="AW198" s="382"/>
      <c r="AX198" s="382"/>
      <c r="AY198" s="382"/>
      <c r="AZ198" s="382"/>
      <c r="BA198" s="382"/>
      <c r="BB198" s="382"/>
      <c r="BC198" s="382"/>
      <c r="BD198" s="382"/>
      <c r="BE198" s="382"/>
      <c r="BF198" s="382"/>
      <c r="BG198" s="382"/>
      <c r="BH198" s="382"/>
      <c r="BI198" s="382"/>
      <c r="BJ198" s="382"/>
      <c r="BK198" s="382"/>
      <c r="BL198" s="382"/>
      <c r="BM198" s="382"/>
      <c r="BN198" s="382"/>
      <c r="BO198" s="382"/>
      <c r="BP198" s="382"/>
    </row>
    <row r="199" spans="1:68">
      <c r="A199" s="382" t="s">
        <v>2569</v>
      </c>
      <c r="B199" s="382" t="s">
        <v>2570</v>
      </c>
      <c r="C199" s="382" t="s">
        <v>2334</v>
      </c>
      <c r="D199" s="382" t="s">
        <v>2335</v>
      </c>
      <c r="E199" s="382"/>
      <c r="F199" s="382"/>
      <c r="G199" s="382"/>
      <c r="H199" s="382"/>
      <c r="I199" s="382"/>
      <c r="J199" s="382"/>
      <c r="K199" s="382"/>
      <c r="L199" s="382"/>
      <c r="M199" s="382"/>
      <c r="N199" s="382"/>
      <c r="O199" s="382"/>
      <c r="P199" s="382"/>
      <c r="Q199" s="382"/>
      <c r="R199" s="382"/>
      <c r="S199" s="382"/>
      <c r="T199" s="382"/>
      <c r="U199" s="382"/>
      <c r="V199" s="382"/>
      <c r="W199" s="382"/>
      <c r="X199" s="382"/>
      <c r="Y199" s="382"/>
      <c r="Z199" s="382"/>
      <c r="AA199" s="382"/>
      <c r="AB199" s="382"/>
      <c r="AC199" s="382"/>
      <c r="AD199" s="382"/>
      <c r="AE199" s="382"/>
      <c r="AF199" s="382"/>
      <c r="AG199" s="382"/>
      <c r="AH199" s="382"/>
      <c r="AI199" s="382"/>
      <c r="AJ199" s="382"/>
      <c r="AK199" s="382"/>
      <c r="AL199" s="382"/>
      <c r="AM199" s="382"/>
      <c r="AN199" s="382"/>
      <c r="AO199" s="382"/>
      <c r="AP199" s="382"/>
      <c r="AQ199" s="382"/>
      <c r="AR199" s="382"/>
      <c r="AS199" s="382"/>
      <c r="AT199" s="382"/>
      <c r="AU199" s="382"/>
      <c r="AV199" s="382"/>
      <c r="AW199" s="382"/>
      <c r="AX199" s="382"/>
      <c r="AY199" s="382"/>
      <c r="AZ199" s="382"/>
      <c r="BA199" s="382"/>
      <c r="BB199" s="382"/>
      <c r="BC199" s="382"/>
      <c r="BD199" s="382"/>
      <c r="BE199" s="382"/>
      <c r="BF199" s="382"/>
      <c r="BG199" s="382"/>
      <c r="BH199" s="382"/>
      <c r="BI199" s="382"/>
      <c r="BJ199" s="382"/>
      <c r="BK199" s="382"/>
      <c r="BL199" s="382"/>
      <c r="BM199" s="382"/>
      <c r="BN199" s="382"/>
      <c r="BO199" s="382"/>
      <c r="BP199" s="382"/>
    </row>
    <row r="200" spans="1:68">
      <c r="A200" s="382" t="s">
        <v>1207</v>
      </c>
      <c r="B200" s="382" t="s">
        <v>2571</v>
      </c>
      <c r="C200" s="382" t="s">
        <v>2334</v>
      </c>
      <c r="D200" s="382" t="s">
        <v>2335</v>
      </c>
      <c r="E200" s="382">
        <v>1.18281007538607</v>
      </c>
      <c r="F200" s="382">
        <v>1.2011317676134601</v>
      </c>
      <c r="G200" s="382">
        <v>1.2331066661458601</v>
      </c>
      <c r="H200" s="382">
        <v>1.2580349375215301</v>
      </c>
      <c r="I200" s="382">
        <v>1.3013729639900999</v>
      </c>
      <c r="J200" s="382">
        <v>1.3459440481220999</v>
      </c>
      <c r="K200" s="382">
        <v>1.41376976531957</v>
      </c>
      <c r="L200" s="382">
        <v>1.49190141220168</v>
      </c>
      <c r="M200" s="382">
        <v>1.5826293334564301</v>
      </c>
      <c r="N200" s="382">
        <v>1.72162804447175</v>
      </c>
      <c r="O200" s="382">
        <v>1.8314704012896901</v>
      </c>
      <c r="P200" s="382">
        <v>2.0502743087242599</v>
      </c>
      <c r="Q200" s="382">
        <v>2.26890235674693</v>
      </c>
      <c r="R200" s="382">
        <v>2.5632835553251399</v>
      </c>
      <c r="S200" s="382">
        <v>3.2062262754024098</v>
      </c>
      <c r="T200" s="382">
        <v>3.69587107667506</v>
      </c>
      <c r="U200" s="382">
        <v>4.4772486213545299</v>
      </c>
      <c r="V200" s="382">
        <v>5.8659455927731603</v>
      </c>
      <c r="W200" s="382">
        <v>7.1000685327945403</v>
      </c>
      <c r="X200" s="382">
        <v>8.6549285021855908</v>
      </c>
      <c r="Y200" s="382">
        <v>10.0282475844853</v>
      </c>
      <c r="Z200" s="382">
        <v>11.9376671152665</v>
      </c>
      <c r="AA200" s="382">
        <v>14.5256678396546</v>
      </c>
      <c r="AB200" s="382">
        <v>18.0122293753573</v>
      </c>
      <c r="AC200" s="382">
        <v>23.124935639538801</v>
      </c>
      <c r="AD200" s="382">
        <v>27.625374178405401</v>
      </c>
      <c r="AE200" s="382">
        <v>31.031951196128102</v>
      </c>
      <c r="AF200" s="382">
        <v>34.0218275175149</v>
      </c>
      <c r="AG200" s="382">
        <v>37.458587372211198</v>
      </c>
      <c r="AH200" s="382">
        <v>42.210697507607797</v>
      </c>
      <c r="AI200" s="382">
        <v>47.9642564191792</v>
      </c>
      <c r="AJ200" s="382">
        <v>53.647773394361799</v>
      </c>
      <c r="AK200" s="382">
        <v>58.776103715329697</v>
      </c>
      <c r="AL200" s="382">
        <v>62.763345252594803</v>
      </c>
      <c r="AM200" s="382">
        <v>66.165394844771399</v>
      </c>
      <c r="AN200" s="382">
        <v>68.9594378180294</v>
      </c>
      <c r="AO200" s="382">
        <v>71.0757873281797</v>
      </c>
      <c r="AP200" s="382">
        <v>72.736731092228098</v>
      </c>
      <c r="AQ200" s="382">
        <v>74.608066984592597</v>
      </c>
      <c r="AR200" s="382">
        <v>76.353966557416598</v>
      </c>
      <c r="AS200" s="382">
        <v>78.532368429462693</v>
      </c>
      <c r="AT200" s="382">
        <v>81.964156993363304</v>
      </c>
      <c r="AU200" s="382">
        <v>84.915150718884206</v>
      </c>
      <c r="AV200" s="382">
        <v>87.648561699045104</v>
      </c>
      <c r="AW200" s="382">
        <v>89.721767506933205</v>
      </c>
      <c r="AX200" s="382">
        <v>91.764879250897494</v>
      </c>
      <c r="AY200" s="382">
        <v>94.616624706604995</v>
      </c>
      <c r="AZ200" s="382">
        <v>96.938483827325797</v>
      </c>
      <c r="BA200" s="382">
        <v>99.447742856432598</v>
      </c>
      <c r="BB200" s="382">
        <v>98.616827109158905</v>
      </c>
      <c r="BC200" s="382">
        <v>100</v>
      </c>
      <c r="BD200" s="382">
        <v>103.653011004307</v>
      </c>
      <c r="BE200" s="382">
        <v>106.527659906895</v>
      </c>
      <c r="BF200" s="382">
        <v>106.819989560289</v>
      </c>
      <c r="BG200" s="382">
        <v>106.52286616219899</v>
      </c>
      <c r="BH200" s="382">
        <v>107.042632369495</v>
      </c>
      <c r="BI200" s="382">
        <v>107.692806187126</v>
      </c>
      <c r="BJ200" s="382">
        <v>109.16670513498801</v>
      </c>
      <c r="BK200" s="382">
        <v>110.25151180504</v>
      </c>
      <c r="BL200" s="382">
        <v>110.624358614714</v>
      </c>
      <c r="BM200" s="382">
        <v>110.610598791976</v>
      </c>
      <c r="BN200" s="382">
        <v>112.01054978925301</v>
      </c>
      <c r="BO200" s="382">
        <v>120.783990313085</v>
      </c>
      <c r="BP200" s="382">
        <v>125.991328648484</v>
      </c>
    </row>
    <row r="201" spans="1:68">
      <c r="A201" s="382" t="s">
        <v>1206</v>
      </c>
      <c r="B201" s="382" t="s">
        <v>2572</v>
      </c>
      <c r="C201" s="382" t="s">
        <v>2334</v>
      </c>
      <c r="D201" s="382" t="s">
        <v>2335</v>
      </c>
      <c r="E201" s="382">
        <v>0.410927393229438</v>
      </c>
      <c r="F201" s="382">
        <v>0.48689716340630901</v>
      </c>
      <c r="G201" s="382">
        <v>0.49380350614966101</v>
      </c>
      <c r="H201" s="382">
        <v>0.50416302026468895</v>
      </c>
      <c r="I201" s="382">
        <v>0.51106936300804096</v>
      </c>
      <c r="J201" s="382">
        <v>0.53079305351971695</v>
      </c>
      <c r="K201" s="382">
        <v>0.54604376886211703</v>
      </c>
      <c r="L201" s="382">
        <v>0.553498727477723</v>
      </c>
      <c r="M201" s="382">
        <v>0.557417905720753</v>
      </c>
      <c r="N201" s="382">
        <v>0.56994223619925399</v>
      </c>
      <c r="O201" s="382">
        <v>0.56504326339174105</v>
      </c>
      <c r="P201" s="382">
        <v>0.59303130802940995</v>
      </c>
      <c r="Q201" s="382">
        <v>0.64747380581401404</v>
      </c>
      <c r="R201" s="382">
        <v>0.73033034587025802</v>
      </c>
      <c r="S201" s="382">
        <v>0.91461692288095597</v>
      </c>
      <c r="T201" s="382">
        <v>0.97583278306476895</v>
      </c>
      <c r="U201" s="382">
        <v>1.0194975406783799</v>
      </c>
      <c r="V201" s="382">
        <v>1.11492101097452</v>
      </c>
      <c r="W201" s="382">
        <v>1.23377435120987</v>
      </c>
      <c r="X201" s="382">
        <v>1.5812180225211301</v>
      </c>
      <c r="Y201" s="382">
        <v>1.9361592522098201</v>
      </c>
      <c r="Z201" s="382">
        <v>2.1873700577179598</v>
      </c>
      <c r="AA201" s="382">
        <v>2.29936483602535</v>
      </c>
      <c r="AB201" s="382">
        <v>2.6082558876023199</v>
      </c>
      <c r="AC201" s="382">
        <v>3.1380308053171699</v>
      </c>
      <c r="AD201" s="382">
        <v>3.9291508533163002</v>
      </c>
      <c r="AE201" s="382">
        <v>5.17636538470917</v>
      </c>
      <c r="AF201" s="382">
        <v>6.3053448601722097</v>
      </c>
      <c r="AG201" s="382">
        <v>7.7299906938725496</v>
      </c>
      <c r="AH201" s="382">
        <v>9.7724186307268397</v>
      </c>
      <c r="AI201" s="382">
        <v>13.413617530253999</v>
      </c>
      <c r="AJ201" s="382">
        <v>16.663113608005698</v>
      </c>
      <c r="AK201" s="382">
        <v>19.1946977616029</v>
      </c>
      <c r="AL201" s="382">
        <v>22.689795287091599</v>
      </c>
      <c r="AM201" s="382">
        <v>27.356222794095501</v>
      </c>
      <c r="AN201" s="382">
        <v>31.028909058717101</v>
      </c>
      <c r="AO201" s="382">
        <v>34.069643905892299</v>
      </c>
      <c r="AP201" s="382">
        <v>36.437336324172698</v>
      </c>
      <c r="AQ201" s="382">
        <v>40.647039600480902</v>
      </c>
      <c r="AR201" s="382">
        <v>43.391635778942401</v>
      </c>
      <c r="AS201" s="382">
        <v>47.289141830338799</v>
      </c>
      <c r="AT201" s="382">
        <v>50.726145167228097</v>
      </c>
      <c r="AU201" s="382">
        <v>56.057585825027701</v>
      </c>
      <c r="AV201" s="382">
        <v>64.038390550018406</v>
      </c>
      <c r="AW201" s="382">
        <v>66.806939830195603</v>
      </c>
      <c r="AX201" s="382">
        <v>71.354743447766793</v>
      </c>
      <c r="AY201" s="382">
        <v>78.197199118504301</v>
      </c>
      <c r="AZ201" s="382">
        <v>84.555002199960498</v>
      </c>
      <c r="BA201" s="382">
        <v>93.141380583241002</v>
      </c>
      <c r="BB201" s="382">
        <v>95.5555555555556</v>
      </c>
      <c r="BC201" s="382">
        <v>100</v>
      </c>
      <c r="BD201" s="382">
        <v>108.253968253968</v>
      </c>
      <c r="BE201" s="382">
        <v>112.23329641934301</v>
      </c>
      <c r="BF201" s="382">
        <v>115.245478036176</v>
      </c>
      <c r="BG201" s="382">
        <v>121.040974529347</v>
      </c>
      <c r="BH201" s="382">
        <v>124.828349944629</v>
      </c>
      <c r="BI201" s="382">
        <v>129.92986341823601</v>
      </c>
      <c r="BJ201" s="382">
        <v>134.61055740125499</v>
      </c>
      <c r="BK201" s="382">
        <v>139.96214839424201</v>
      </c>
      <c r="BL201" s="382">
        <v>143.82104097452901</v>
      </c>
      <c r="BM201" s="382">
        <v>146.363100775194</v>
      </c>
      <c r="BN201" s="382">
        <v>153.37094130675499</v>
      </c>
      <c r="BO201" s="382">
        <v>168.348482834994</v>
      </c>
      <c r="BP201" s="382">
        <v>176.14642303433001</v>
      </c>
    </row>
    <row r="202" spans="1:68">
      <c r="A202" s="382" t="s">
        <v>2573</v>
      </c>
      <c r="B202" s="382" t="s">
        <v>2574</v>
      </c>
      <c r="C202" s="382" t="s">
        <v>2334</v>
      </c>
      <c r="D202" s="382" t="s">
        <v>2335</v>
      </c>
      <c r="E202" s="382"/>
      <c r="F202" s="382"/>
      <c r="G202" s="382"/>
      <c r="H202" s="382"/>
      <c r="I202" s="382"/>
      <c r="J202" s="382"/>
      <c r="K202" s="382"/>
      <c r="L202" s="382"/>
      <c r="M202" s="382"/>
      <c r="N202" s="382"/>
      <c r="O202" s="382"/>
      <c r="P202" s="382"/>
      <c r="Q202" s="382"/>
      <c r="R202" s="382"/>
      <c r="S202" s="382"/>
      <c r="T202" s="382"/>
      <c r="U202" s="382"/>
      <c r="V202" s="382"/>
      <c r="W202" s="382"/>
      <c r="X202" s="382"/>
      <c r="Y202" s="382"/>
      <c r="Z202" s="382"/>
      <c r="AA202" s="382"/>
      <c r="AB202" s="382"/>
      <c r="AC202" s="382"/>
      <c r="AD202" s="382"/>
      <c r="AE202" s="382"/>
      <c r="AF202" s="382"/>
      <c r="AG202" s="382"/>
      <c r="AH202" s="382"/>
      <c r="AI202" s="382"/>
      <c r="AJ202" s="382"/>
      <c r="AK202" s="382"/>
      <c r="AL202" s="382"/>
      <c r="AM202" s="382"/>
      <c r="AN202" s="382"/>
      <c r="AO202" s="382">
        <v>54.916496261452103</v>
      </c>
      <c r="AP202" s="382">
        <v>58.808431598195803</v>
      </c>
      <c r="AQ202" s="382">
        <v>62.089733345776899</v>
      </c>
      <c r="AR202" s="382">
        <v>65.532231432331599</v>
      </c>
      <c r="AS202" s="382">
        <v>67.365953627378602</v>
      </c>
      <c r="AT202" s="382">
        <v>68.189694240947006</v>
      </c>
      <c r="AU202" s="382">
        <v>72.082995648359997</v>
      </c>
      <c r="AV202" s="382">
        <v>75.256833169958696</v>
      </c>
      <c r="AW202" s="382">
        <v>77.517680127596805</v>
      </c>
      <c r="AX202" s="382">
        <v>80.701525592810995</v>
      </c>
      <c r="AY202" s="382">
        <v>83.802353605084903</v>
      </c>
      <c r="AZ202" s="382">
        <v>85.360862675071701</v>
      </c>
      <c r="BA202" s="382">
        <v>93.803050189891707</v>
      </c>
      <c r="BB202" s="382">
        <v>96.386325080214107</v>
      </c>
      <c r="BC202" s="382">
        <v>100</v>
      </c>
      <c r="BD202" s="382">
        <v>102.877243584959</v>
      </c>
      <c r="BE202" s="382">
        <v>105.736292389859</v>
      </c>
      <c r="BF202" s="382">
        <v>107.559608314025</v>
      </c>
      <c r="BG202" s="382">
        <v>109.423600300128</v>
      </c>
      <c r="BH202" s="382">
        <v>110.990121099896</v>
      </c>
      <c r="BI202" s="382">
        <v>110.746934413771</v>
      </c>
      <c r="BJ202" s="382">
        <v>110.982350206885</v>
      </c>
      <c r="BK202" s="382">
        <v>110.765815014162</v>
      </c>
      <c r="BL202" s="382">
        <v>112.516117965437</v>
      </c>
      <c r="BM202" s="382">
        <v>111.688750943651</v>
      </c>
      <c r="BN202" s="382">
        <v>113.07087804733899</v>
      </c>
      <c r="BO202" s="382">
        <v>117.301112781727</v>
      </c>
      <c r="BP202" s="382">
        <v>124.18798049845</v>
      </c>
    </row>
    <row r="203" spans="1:68">
      <c r="A203" s="382" t="s">
        <v>2575</v>
      </c>
      <c r="B203" s="382" t="s">
        <v>2576</v>
      </c>
      <c r="C203" s="382" t="s">
        <v>2334</v>
      </c>
      <c r="D203" s="382" t="s">
        <v>2335</v>
      </c>
      <c r="E203" s="382"/>
      <c r="F203" s="382"/>
      <c r="G203" s="382"/>
      <c r="H203" s="382"/>
      <c r="I203" s="382"/>
      <c r="J203" s="382"/>
      <c r="K203" s="382"/>
      <c r="L203" s="382"/>
      <c r="M203" s="382"/>
      <c r="N203" s="382"/>
      <c r="O203" s="382"/>
      <c r="P203" s="382"/>
      <c r="Q203" s="382"/>
      <c r="R203" s="382"/>
      <c r="S203" s="382"/>
      <c r="T203" s="382"/>
      <c r="U203" s="382"/>
      <c r="V203" s="382"/>
      <c r="W203" s="382"/>
      <c r="X203" s="382"/>
      <c r="Y203" s="382"/>
      <c r="Z203" s="382"/>
      <c r="AA203" s="382"/>
      <c r="AB203" s="382"/>
      <c r="AC203" s="382"/>
      <c r="AD203" s="382"/>
      <c r="AE203" s="382"/>
      <c r="AF203" s="382"/>
      <c r="AG203" s="382"/>
      <c r="AH203" s="382"/>
      <c r="AI203" s="382"/>
      <c r="AJ203" s="382"/>
      <c r="AK203" s="382"/>
      <c r="AL203" s="382"/>
      <c r="AM203" s="382"/>
      <c r="AN203" s="382"/>
      <c r="AO203" s="382"/>
      <c r="AP203" s="382"/>
      <c r="AQ203" s="382"/>
      <c r="AR203" s="382"/>
      <c r="AS203" s="382"/>
      <c r="AT203" s="382"/>
      <c r="AU203" s="382"/>
      <c r="AV203" s="382"/>
      <c r="AW203" s="382"/>
      <c r="AX203" s="382"/>
      <c r="AY203" s="382"/>
      <c r="AZ203" s="382"/>
      <c r="BA203" s="382"/>
      <c r="BB203" s="382"/>
      <c r="BC203" s="382"/>
      <c r="BD203" s="382"/>
      <c r="BE203" s="382"/>
      <c r="BF203" s="382"/>
      <c r="BG203" s="382"/>
      <c r="BH203" s="382"/>
      <c r="BI203" s="382"/>
      <c r="BJ203" s="382"/>
      <c r="BK203" s="382"/>
      <c r="BL203" s="382"/>
      <c r="BM203" s="382"/>
      <c r="BN203" s="382"/>
      <c r="BO203" s="382"/>
      <c r="BP203" s="382"/>
    </row>
    <row r="204" spans="1:68">
      <c r="A204" s="382" t="s">
        <v>2577</v>
      </c>
      <c r="B204" s="382" t="s">
        <v>2578</v>
      </c>
      <c r="C204" s="382" t="s">
        <v>2334</v>
      </c>
      <c r="D204" s="382" t="s">
        <v>2335</v>
      </c>
      <c r="E204" s="382"/>
      <c r="F204" s="382"/>
      <c r="G204" s="382"/>
      <c r="H204" s="382"/>
      <c r="I204" s="382"/>
      <c r="J204" s="382"/>
      <c r="K204" s="382"/>
      <c r="L204" s="382"/>
      <c r="M204" s="382"/>
      <c r="N204" s="382"/>
      <c r="O204" s="382"/>
      <c r="P204" s="382"/>
      <c r="Q204" s="382"/>
      <c r="R204" s="382"/>
      <c r="S204" s="382"/>
      <c r="T204" s="382"/>
      <c r="U204" s="382"/>
      <c r="V204" s="382"/>
      <c r="W204" s="382"/>
      <c r="X204" s="382"/>
      <c r="Y204" s="382"/>
      <c r="Z204" s="382"/>
      <c r="AA204" s="382"/>
      <c r="AB204" s="382"/>
      <c r="AC204" s="382"/>
      <c r="AD204" s="382"/>
      <c r="AE204" s="382"/>
      <c r="AF204" s="382"/>
      <c r="AG204" s="382"/>
      <c r="AH204" s="382"/>
      <c r="AI204" s="382"/>
      <c r="AJ204" s="382"/>
      <c r="AK204" s="382"/>
      <c r="AL204" s="382"/>
      <c r="AM204" s="382"/>
      <c r="AN204" s="382"/>
      <c r="AO204" s="382"/>
      <c r="AP204" s="382"/>
      <c r="AQ204" s="382"/>
      <c r="AR204" s="382"/>
      <c r="AS204" s="382"/>
      <c r="AT204" s="382"/>
      <c r="AU204" s="382"/>
      <c r="AV204" s="382"/>
      <c r="AW204" s="382"/>
      <c r="AX204" s="382"/>
      <c r="AY204" s="382"/>
      <c r="AZ204" s="382"/>
      <c r="BA204" s="382"/>
      <c r="BB204" s="382"/>
      <c r="BC204" s="382"/>
      <c r="BD204" s="382"/>
      <c r="BE204" s="382"/>
      <c r="BF204" s="382"/>
      <c r="BG204" s="382"/>
      <c r="BH204" s="382"/>
      <c r="BI204" s="382"/>
      <c r="BJ204" s="382"/>
      <c r="BK204" s="382"/>
      <c r="BL204" s="382"/>
      <c r="BM204" s="382"/>
      <c r="BN204" s="382"/>
      <c r="BO204" s="382"/>
      <c r="BP204" s="382"/>
    </row>
    <row r="205" spans="1:68">
      <c r="A205" s="382" t="s">
        <v>2103</v>
      </c>
      <c r="B205" s="382" t="s">
        <v>2579</v>
      </c>
      <c r="C205" s="382" t="s">
        <v>2334</v>
      </c>
      <c r="D205" s="382" t="s">
        <v>2335</v>
      </c>
      <c r="E205" s="382"/>
      <c r="F205" s="382"/>
      <c r="G205" s="382"/>
      <c r="H205" s="382"/>
      <c r="I205" s="382"/>
      <c r="J205" s="382"/>
      <c r="K205" s="382"/>
      <c r="L205" s="382"/>
      <c r="M205" s="382"/>
      <c r="N205" s="382"/>
      <c r="O205" s="382"/>
      <c r="P205" s="382"/>
      <c r="Q205" s="382"/>
      <c r="R205" s="382"/>
      <c r="S205" s="382"/>
      <c r="T205" s="382"/>
      <c r="U205" s="382"/>
      <c r="V205" s="382"/>
      <c r="W205" s="382"/>
      <c r="X205" s="382"/>
      <c r="Y205" s="382"/>
      <c r="Z205" s="382"/>
      <c r="AA205" s="382"/>
      <c r="AB205" s="382"/>
      <c r="AC205" s="382"/>
      <c r="AD205" s="382"/>
      <c r="AE205" s="382"/>
      <c r="AF205" s="382"/>
      <c r="AG205" s="382"/>
      <c r="AH205" s="382"/>
      <c r="AI205" s="382"/>
      <c r="AJ205" s="382"/>
      <c r="AK205" s="382"/>
      <c r="AL205" s="382"/>
      <c r="AM205" s="382"/>
      <c r="AN205" s="382"/>
      <c r="AO205" s="382"/>
      <c r="AP205" s="382"/>
      <c r="AQ205" s="382"/>
      <c r="AR205" s="382"/>
      <c r="AS205" s="382"/>
      <c r="AT205" s="382"/>
      <c r="AU205" s="382"/>
      <c r="AV205" s="382"/>
      <c r="AW205" s="382"/>
      <c r="AX205" s="382"/>
      <c r="AY205" s="382"/>
      <c r="AZ205" s="382"/>
      <c r="BA205" s="382"/>
      <c r="BB205" s="382"/>
      <c r="BC205" s="382"/>
      <c r="BD205" s="382"/>
      <c r="BE205" s="382"/>
      <c r="BF205" s="382"/>
      <c r="BG205" s="382"/>
      <c r="BH205" s="382"/>
      <c r="BI205" s="382"/>
      <c r="BJ205" s="382"/>
      <c r="BK205" s="382"/>
      <c r="BL205" s="382"/>
      <c r="BM205" s="382"/>
      <c r="BN205" s="382"/>
      <c r="BO205" s="382"/>
      <c r="BP205" s="382"/>
    </row>
    <row r="206" spans="1:68">
      <c r="A206" s="382" t="s">
        <v>1072</v>
      </c>
      <c r="B206" s="382" t="s">
        <v>2580</v>
      </c>
      <c r="C206" s="382" t="s">
        <v>2334</v>
      </c>
      <c r="D206" s="382" t="s">
        <v>2335</v>
      </c>
      <c r="E206" s="382"/>
      <c r="F206" s="382"/>
      <c r="G206" s="382"/>
      <c r="H206" s="382"/>
      <c r="I206" s="382"/>
      <c r="J206" s="382"/>
      <c r="K206" s="382"/>
      <c r="L206" s="382"/>
      <c r="M206" s="382"/>
      <c r="N206" s="382"/>
      <c r="O206" s="382"/>
      <c r="P206" s="382"/>
      <c r="Q206" s="382"/>
      <c r="R206" s="382"/>
      <c r="S206" s="382"/>
      <c r="T206" s="382"/>
      <c r="U206" s="382"/>
      <c r="V206" s="382"/>
      <c r="W206" s="382"/>
      <c r="X206" s="382">
        <v>31.152535305699502</v>
      </c>
      <c r="Y206" s="382">
        <v>33.270907706175599</v>
      </c>
      <c r="Z206" s="382">
        <v>36.105788418994301</v>
      </c>
      <c r="AA206" s="382">
        <v>38.163818358876902</v>
      </c>
      <c r="AB206" s="382">
        <v>39.210886222666701</v>
      </c>
      <c r="AC206" s="382">
        <v>39.644155683694599</v>
      </c>
      <c r="AD206" s="382">
        <v>40.402377240854598</v>
      </c>
      <c r="AE206" s="382">
        <v>40.708455856315602</v>
      </c>
      <c r="AF206" s="382">
        <v>41.801593768676398</v>
      </c>
      <c r="AG206" s="382">
        <v>43.725516494431297</v>
      </c>
      <c r="AH206" s="382">
        <v>45.168458538747601</v>
      </c>
      <c r="AI206" s="382">
        <v>46.523949550075002</v>
      </c>
      <c r="AJ206" s="382">
        <v>48.579048825313201</v>
      </c>
      <c r="AK206" s="382">
        <v>50.065716386123903</v>
      </c>
      <c r="AL206" s="382">
        <v>49.628461221179599</v>
      </c>
      <c r="AM206" s="382">
        <v>50.284343968596097</v>
      </c>
      <c r="AN206" s="382">
        <v>51.771011529406699</v>
      </c>
      <c r="AO206" s="382">
        <v>54.310138705848999</v>
      </c>
      <c r="AP206" s="382">
        <v>56.935756832340402</v>
      </c>
      <c r="AQ206" s="382">
        <v>58.6161524332949</v>
      </c>
      <c r="AR206" s="382">
        <v>59.894982909021302</v>
      </c>
      <c r="AS206" s="382">
        <v>60.883450909582699</v>
      </c>
      <c r="AT206" s="382">
        <v>61.7792500350916</v>
      </c>
      <c r="AU206" s="382">
        <v>61.927520235175798</v>
      </c>
      <c r="AV206" s="382">
        <v>63.329909210972403</v>
      </c>
      <c r="AW206" s="382">
        <v>67.635922938418204</v>
      </c>
      <c r="AX206" s="382">
        <v>73.597620566804594</v>
      </c>
      <c r="AY206" s="382">
        <v>82.308494821752504</v>
      </c>
      <c r="AZ206" s="382">
        <v>93.632631353184806</v>
      </c>
      <c r="BA206" s="382">
        <v>107.724478286189</v>
      </c>
      <c r="BB206" s="382">
        <v>102.48553741560301</v>
      </c>
      <c r="BC206" s="382">
        <v>100</v>
      </c>
      <c r="BD206" s="382">
        <v>101.138366235292</v>
      </c>
      <c r="BE206" s="382">
        <v>103.480071915553</v>
      </c>
      <c r="BF206" s="382">
        <v>106.814176620325</v>
      </c>
      <c r="BG206" s="382">
        <v>110.392153372377</v>
      </c>
      <c r="BH206" s="382">
        <v>112.394752300764</v>
      </c>
      <c r="BI206" s="382">
        <v>115.403100913185</v>
      </c>
      <c r="BJ206" s="382">
        <v>115.858803424889</v>
      </c>
      <c r="BK206" s="382">
        <v>116.155188066291</v>
      </c>
      <c r="BL206" s="382">
        <v>115.380849813981</v>
      </c>
      <c r="BM206" s="382">
        <v>112.44981274436</v>
      </c>
      <c r="BN206" s="382">
        <v>115.041180060887</v>
      </c>
      <c r="BO206" s="382">
        <v>120.787803986413</v>
      </c>
      <c r="BP206" s="382">
        <v>124.444834716253</v>
      </c>
    </row>
    <row r="207" spans="1:68">
      <c r="A207" s="382" t="s">
        <v>1056</v>
      </c>
      <c r="B207" s="382" t="s">
        <v>2581</v>
      </c>
      <c r="C207" s="382" t="s">
        <v>2334</v>
      </c>
      <c r="D207" s="382" t="s">
        <v>2335</v>
      </c>
      <c r="E207" s="382"/>
      <c r="F207" s="382"/>
      <c r="G207" s="382"/>
      <c r="H207" s="382"/>
      <c r="I207" s="382"/>
      <c r="J207" s="382"/>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382">
        <v>2.3388925898987101E-2</v>
      </c>
      <c r="AJ207" s="382">
        <v>7.7329050337585206E-2</v>
      </c>
      <c r="AK207" s="382">
        <v>0.24065232549637799</v>
      </c>
      <c r="AL207" s="382">
        <v>0.85471731237845605</v>
      </c>
      <c r="AM207" s="382">
        <v>2.0236235190756902</v>
      </c>
      <c r="AN207" s="382">
        <v>2.67609002312054</v>
      </c>
      <c r="AO207" s="382">
        <v>3.7151970822818101</v>
      </c>
      <c r="AP207" s="382">
        <v>9.4649653918893293</v>
      </c>
      <c r="AQ207" s="382">
        <v>15.0584364973557</v>
      </c>
      <c r="AR207" s="382">
        <v>21.9557697926016</v>
      </c>
      <c r="AS207" s="382">
        <v>31.9822220530293</v>
      </c>
      <c r="AT207" s="382">
        <v>43.008736699849599</v>
      </c>
      <c r="AU207" s="382">
        <v>52.7028570340903</v>
      </c>
      <c r="AV207" s="382">
        <v>60.752422102518203</v>
      </c>
      <c r="AW207" s="382">
        <v>67.966385594914101</v>
      </c>
      <c r="AX207" s="382">
        <v>74.093496012334199</v>
      </c>
      <c r="AY207" s="382">
        <v>78.952928412356997</v>
      </c>
      <c r="AZ207" s="382">
        <v>82.7721415383444</v>
      </c>
      <c r="BA207" s="382">
        <v>89.270418942840294</v>
      </c>
      <c r="BB207" s="382">
        <v>94.2583322230047</v>
      </c>
      <c r="BC207" s="382">
        <v>100</v>
      </c>
      <c r="BD207" s="382">
        <v>105.789253288159</v>
      </c>
      <c r="BE207" s="382">
        <v>109.317243085825</v>
      </c>
      <c r="BF207" s="382">
        <v>113.673220777738</v>
      </c>
      <c r="BG207" s="382">
        <v>114.88760302263201</v>
      </c>
      <c r="BH207" s="382">
        <v>114.204990933389</v>
      </c>
      <c r="BI207" s="382">
        <v>112.44075603860099</v>
      </c>
      <c r="BJ207" s="382">
        <v>113.946361611816</v>
      </c>
      <c r="BK207" s="382">
        <v>119.216932828292</v>
      </c>
      <c r="BL207" s="382">
        <v>123.780383348878</v>
      </c>
      <c r="BM207" s="382">
        <v>127.03713573291201</v>
      </c>
      <c r="BN207" s="382">
        <v>133.45546947865299</v>
      </c>
      <c r="BO207" s="382">
        <v>151.86630374783499</v>
      </c>
      <c r="BP207" s="382">
        <v>167.656128062128</v>
      </c>
    </row>
    <row r="208" spans="1:68">
      <c r="A208" s="382" t="s">
        <v>242</v>
      </c>
      <c r="B208" s="382" t="s">
        <v>240</v>
      </c>
      <c r="C208" s="382" t="s">
        <v>2334</v>
      </c>
      <c r="D208" s="382" t="s">
        <v>2335</v>
      </c>
      <c r="E208" s="382"/>
      <c r="F208" s="382"/>
      <c r="G208" s="382"/>
      <c r="H208" s="382"/>
      <c r="I208" s="382"/>
      <c r="J208" s="382"/>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c r="AK208" s="382">
        <v>5.3595784106737002E-2</v>
      </c>
      <c r="AL208" s="382">
        <v>0.52215463296409004</v>
      </c>
      <c r="AM208" s="382">
        <v>2.1289426311842901</v>
      </c>
      <c r="AN208" s="382">
        <v>6.3317791444703504</v>
      </c>
      <c r="AO208" s="382">
        <v>9.3553310940778207</v>
      </c>
      <c r="AP208" s="382">
        <v>10.736302321061601</v>
      </c>
      <c r="AQ208" s="382">
        <v>13.708720604854699</v>
      </c>
      <c r="AR208" s="382">
        <v>25.463467908942199</v>
      </c>
      <c r="AS208" s="382">
        <v>30.759553654007501</v>
      </c>
      <c r="AT208" s="382">
        <v>37.365785210570301</v>
      </c>
      <c r="AU208" s="382">
        <v>43.265368445577202</v>
      </c>
      <c r="AV208" s="382">
        <v>49.176842513719301</v>
      </c>
      <c r="AW208" s="382">
        <v>54.531519924474701</v>
      </c>
      <c r="AX208" s="382">
        <v>61.4490089758499</v>
      </c>
      <c r="AY208" s="382">
        <v>67.390301376828404</v>
      </c>
      <c r="AZ208" s="382">
        <v>73.460347108994299</v>
      </c>
      <c r="BA208" s="382">
        <v>83.826166102897304</v>
      </c>
      <c r="BB208" s="382">
        <v>93.5896759401721</v>
      </c>
      <c r="BC208" s="382">
        <v>100</v>
      </c>
      <c r="BD208" s="382">
        <v>108.440464859326</v>
      </c>
      <c r="BE208" s="382">
        <v>113.943539767608</v>
      </c>
      <c r="BF208" s="382">
        <v>121.63895630601699</v>
      </c>
      <c r="BG208" s="382">
        <v>131.15527281407901</v>
      </c>
      <c r="BH208" s="382">
        <v>151.52946414117599</v>
      </c>
      <c r="BI208" s="382">
        <v>162.200847296653</v>
      </c>
      <c r="BJ208" s="382">
        <v>168.17523886374599</v>
      </c>
      <c r="BK208" s="382">
        <v>173.015822116403</v>
      </c>
      <c r="BL208" s="382">
        <v>180.75026365416201</v>
      </c>
      <c r="BM208" s="382">
        <v>186.86262188562301</v>
      </c>
      <c r="BN208" s="382">
        <v>199.372063343799</v>
      </c>
      <c r="BO208" s="382"/>
      <c r="BP208" s="382"/>
    </row>
    <row r="209" spans="1:68">
      <c r="A209" s="382" t="s">
        <v>2018</v>
      </c>
      <c r="B209" s="382" t="s">
        <v>2582</v>
      </c>
      <c r="C209" s="382" t="s">
        <v>2334</v>
      </c>
      <c r="D209" s="382" t="s">
        <v>2335</v>
      </c>
      <c r="E209" s="382"/>
      <c r="F209" s="382"/>
      <c r="G209" s="382"/>
      <c r="H209" s="382"/>
      <c r="I209" s="382"/>
      <c r="J209" s="382"/>
      <c r="K209" s="382">
        <v>2.30062899893055</v>
      </c>
      <c r="L209" s="382">
        <v>2.3340554657329902</v>
      </c>
      <c r="M209" s="382">
        <v>2.4078568284673101</v>
      </c>
      <c r="N209" s="382">
        <v>2.41953347861581</v>
      </c>
      <c r="O209" s="382">
        <v>2.4319913131175501</v>
      </c>
      <c r="P209" s="382">
        <v>2.4438735380802799</v>
      </c>
      <c r="Q209" s="382">
        <v>2.5194428443229899</v>
      </c>
      <c r="R209" s="382">
        <v>2.7556072050728102</v>
      </c>
      <c r="S209" s="382">
        <v>3.61227862232171</v>
      </c>
      <c r="T209" s="382">
        <v>4.7041276411200599</v>
      </c>
      <c r="U209" s="382">
        <v>5.0412189133166097</v>
      </c>
      <c r="V209" s="382">
        <v>5.7296047416505704</v>
      </c>
      <c r="W209" s="382">
        <v>6.4899538753480499</v>
      </c>
      <c r="X209" s="382">
        <v>7.5071457268893802</v>
      </c>
      <c r="Y209" s="382">
        <v>8.0513682232077706</v>
      </c>
      <c r="Z209" s="382">
        <v>8.5707349726769895</v>
      </c>
      <c r="AA209" s="382">
        <v>9.6476595239108605</v>
      </c>
      <c r="AB209" s="382">
        <v>10.2837299230785</v>
      </c>
      <c r="AC209" s="382">
        <v>10.8359220398382</v>
      </c>
      <c r="AD209" s="382">
        <v>11.0265616731858</v>
      </c>
      <c r="AE209" s="382">
        <v>10.9033876386047</v>
      </c>
      <c r="AF209" s="382">
        <v>11.354026275195199</v>
      </c>
      <c r="AG209" s="382">
        <v>11.692222247253699</v>
      </c>
      <c r="AH209" s="382">
        <v>11.810346225361901</v>
      </c>
      <c r="AI209" s="382">
        <v>12.304699413637101</v>
      </c>
      <c r="AJ209" s="382">
        <v>14.7209936405104</v>
      </c>
      <c r="AK209" s="382">
        <v>16.1283812647841</v>
      </c>
      <c r="AL209" s="382">
        <v>18.1209441874216</v>
      </c>
      <c r="AM209" s="382"/>
      <c r="AN209" s="382">
        <v>36.048881527513501</v>
      </c>
      <c r="AO209" s="382">
        <v>38.720598143923297</v>
      </c>
      <c r="AP209" s="382">
        <v>43.3730416130199</v>
      </c>
      <c r="AQ209" s="382">
        <v>46.066536598139002</v>
      </c>
      <c r="AR209" s="382">
        <v>44.958207007953497</v>
      </c>
      <c r="AS209" s="382">
        <v>46.711365689054297</v>
      </c>
      <c r="AT209" s="382">
        <v>48.2728589440866</v>
      </c>
      <c r="AU209" s="382">
        <v>49.234736895415203</v>
      </c>
      <c r="AV209" s="382">
        <v>52.902577158877797</v>
      </c>
      <c r="AW209" s="382">
        <v>59.383518622258897</v>
      </c>
      <c r="AX209" s="382">
        <v>64.7364019496396</v>
      </c>
      <c r="AY209" s="382">
        <v>70.486824248099296</v>
      </c>
      <c r="AZ209" s="382">
        <v>76.887536846095799</v>
      </c>
      <c r="BA209" s="382">
        <v>88.757599224482703</v>
      </c>
      <c r="BB209" s="382">
        <v>100.24673598148399</v>
      </c>
      <c r="BC209" s="382">
        <v>100</v>
      </c>
      <c r="BD209" s="382">
        <v>103.080170692403</v>
      </c>
      <c r="BE209" s="382">
        <v>113.66755381768</v>
      </c>
      <c r="BF209" s="382">
        <v>120.401525107651</v>
      </c>
      <c r="BG209" s="382">
        <v>123.236367612123</v>
      </c>
      <c r="BH209" s="382">
        <v>126.35240266948</v>
      </c>
      <c r="BI209" s="382">
        <v>135.41735745077301</v>
      </c>
      <c r="BJ209" s="382">
        <v>146.62928728969499</v>
      </c>
      <c r="BK209" s="382">
        <v>146.17296204954101</v>
      </c>
      <c r="BL209" s="382">
        <v>151.066652368989</v>
      </c>
      <c r="BM209" s="382">
        <v>165.94732041763299</v>
      </c>
      <c r="BN209" s="382">
        <v>165.29789097528601</v>
      </c>
      <c r="BO209" s="382">
        <v>194.537781306206</v>
      </c>
      <c r="BP209" s="382">
        <v>233.03592647733799</v>
      </c>
    </row>
    <row r="210" spans="1:68">
      <c r="A210" s="382" t="s">
        <v>194</v>
      </c>
      <c r="B210" s="382" t="s">
        <v>2583</v>
      </c>
      <c r="C210" s="382" t="s">
        <v>2334</v>
      </c>
      <c r="D210" s="382" t="s">
        <v>2335</v>
      </c>
      <c r="E210" s="382"/>
      <c r="F210" s="382"/>
      <c r="G210" s="382"/>
      <c r="H210" s="382"/>
      <c r="I210" s="382"/>
      <c r="J210" s="382"/>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382"/>
      <c r="AJ210" s="382"/>
      <c r="AK210" s="382"/>
      <c r="AL210" s="382"/>
      <c r="AM210" s="382"/>
      <c r="AN210" s="382"/>
      <c r="AO210" s="382"/>
      <c r="AP210" s="382"/>
      <c r="AQ210" s="382"/>
      <c r="AR210" s="382"/>
      <c r="AS210" s="382"/>
      <c r="AT210" s="382"/>
      <c r="AU210" s="382"/>
      <c r="AV210" s="382"/>
      <c r="AW210" s="382"/>
      <c r="AX210" s="382"/>
      <c r="AY210" s="382"/>
      <c r="AZ210" s="382"/>
      <c r="BA210" s="382"/>
      <c r="BB210" s="382"/>
      <c r="BC210" s="382"/>
      <c r="BD210" s="382"/>
      <c r="BE210" s="382"/>
      <c r="BF210" s="382"/>
      <c r="BG210" s="382"/>
      <c r="BH210" s="382"/>
      <c r="BI210" s="382"/>
      <c r="BJ210" s="382"/>
      <c r="BK210" s="382"/>
      <c r="BL210" s="382"/>
      <c r="BM210" s="382"/>
      <c r="BN210" s="382"/>
      <c r="BO210" s="382"/>
      <c r="BP210" s="382"/>
    </row>
    <row r="211" spans="1:68">
      <c r="A211" s="382" t="s">
        <v>1073</v>
      </c>
      <c r="B211" s="382" t="s">
        <v>2584</v>
      </c>
      <c r="C211" s="382" t="s">
        <v>2334</v>
      </c>
      <c r="D211" s="382" t="s">
        <v>2335</v>
      </c>
      <c r="E211" s="382"/>
      <c r="F211" s="382"/>
      <c r="G211" s="382"/>
      <c r="H211" s="382">
        <v>19.9437117835331</v>
      </c>
      <c r="I211" s="382">
        <v>20.502135713272502</v>
      </c>
      <c r="J211" s="382">
        <v>20.581910560606101</v>
      </c>
      <c r="K211" s="382">
        <v>20.901009948943202</v>
      </c>
      <c r="L211" s="382">
        <v>21.3397716083803</v>
      </c>
      <c r="M211" s="382">
        <v>21.6788147087005</v>
      </c>
      <c r="N211" s="382">
        <v>22.436675756474699</v>
      </c>
      <c r="O211" s="382">
        <v>22.476563180041801</v>
      </c>
      <c r="P211" s="382">
        <v>23.4823893822924</v>
      </c>
      <c r="Q211" s="382">
        <v>24.499453866133099</v>
      </c>
      <c r="R211" s="382">
        <v>28.545235238596899</v>
      </c>
      <c r="S211" s="382">
        <v>34.664479564250797</v>
      </c>
      <c r="T211" s="382">
        <v>46.650106879951899</v>
      </c>
      <c r="U211" s="382">
        <v>61.3722557629916</v>
      </c>
      <c r="V211" s="382">
        <v>68.368086052667294</v>
      </c>
      <c r="W211" s="382">
        <v>67.285407776976697</v>
      </c>
      <c r="X211" s="382">
        <v>68.013144477962499</v>
      </c>
      <c r="Y211" s="382">
        <v>70.848793762756202</v>
      </c>
      <c r="Z211" s="382">
        <v>72.831838880797605</v>
      </c>
      <c r="AA211" s="382">
        <v>73.575480800063104</v>
      </c>
      <c r="AB211" s="382">
        <v>73.716322072651806</v>
      </c>
      <c r="AC211" s="382">
        <v>72.567057288332194</v>
      </c>
      <c r="AD211" s="382">
        <v>70.347398832342094</v>
      </c>
      <c r="AE211" s="382">
        <v>68.093938470931505</v>
      </c>
      <c r="AF211" s="382">
        <v>67.040445751971902</v>
      </c>
      <c r="AG211" s="382">
        <v>67.6488800495531</v>
      </c>
      <c r="AH211" s="382">
        <v>68.347452761590205</v>
      </c>
      <c r="AI211" s="382">
        <v>69.767132789279103</v>
      </c>
      <c r="AJ211" s="382">
        <v>73.158590633202493</v>
      </c>
      <c r="AK211" s="382">
        <v>73.102254124166805</v>
      </c>
      <c r="AL211" s="382">
        <v>73.874064297950298</v>
      </c>
      <c r="AM211" s="382">
        <v>74.290954464811605</v>
      </c>
      <c r="AN211" s="382">
        <v>77.907758344875901</v>
      </c>
      <c r="AO211" s="382">
        <v>78.859845597307796</v>
      </c>
      <c r="AP211" s="382">
        <v>78.904917708453098</v>
      </c>
      <c r="AQ211" s="382">
        <v>78.611967629587696</v>
      </c>
      <c r="AR211" s="382">
        <v>77.563469896908899</v>
      </c>
      <c r="AS211" s="382">
        <v>76.690884910508203</v>
      </c>
      <c r="AT211" s="382">
        <v>75.831222443531004</v>
      </c>
      <c r="AU211" s="382">
        <v>76.018666999039695</v>
      </c>
      <c r="AV211" s="382">
        <v>76.484049017656702</v>
      </c>
      <c r="AW211" s="382">
        <v>76.878329466016893</v>
      </c>
      <c r="AX211" s="382">
        <v>77.246753790158905</v>
      </c>
      <c r="AY211" s="382">
        <v>78.953153181406805</v>
      </c>
      <c r="AZ211" s="382">
        <v>82.2437810967334</v>
      </c>
      <c r="BA211" s="382">
        <v>90.361446183808596</v>
      </c>
      <c r="BB211" s="382">
        <v>94.931226156122506</v>
      </c>
      <c r="BC211" s="382">
        <v>100</v>
      </c>
      <c r="BD211" s="382">
        <v>105.826216088389</v>
      </c>
      <c r="BE211" s="382">
        <v>108.859479981614</v>
      </c>
      <c r="BF211" s="382">
        <v>112.70496800782</v>
      </c>
      <c r="BG211" s="382">
        <v>115.22537829232</v>
      </c>
      <c r="BH211" s="382">
        <v>116.61508072427699</v>
      </c>
      <c r="BI211" s="382">
        <v>119.027660580771</v>
      </c>
      <c r="BJ211" s="382">
        <v>118.02997718146899</v>
      </c>
      <c r="BK211" s="382">
        <v>120.93132112751999</v>
      </c>
      <c r="BL211" s="382">
        <v>118.399825471917</v>
      </c>
      <c r="BM211" s="382">
        <v>122.47924203795201</v>
      </c>
      <c r="BN211" s="382">
        <v>126.23113627593401</v>
      </c>
      <c r="BO211" s="382">
        <v>129.35418764405199</v>
      </c>
      <c r="BP211" s="382">
        <v>132.36436977911799</v>
      </c>
    </row>
    <row r="212" spans="1:68">
      <c r="A212" s="382" t="s">
        <v>1088</v>
      </c>
      <c r="B212" s="382" t="s">
        <v>2585</v>
      </c>
      <c r="C212" s="382" t="s">
        <v>2334</v>
      </c>
      <c r="D212" s="382" t="s">
        <v>2335</v>
      </c>
      <c r="E212" s="382">
        <v>1.0257518444298E-3</v>
      </c>
      <c r="F212" s="382">
        <v>1.11561295233189E-3</v>
      </c>
      <c r="G212" s="382">
        <v>1.1341641606680401E-3</v>
      </c>
      <c r="H212" s="382">
        <v>1.1873364138653699E-3</v>
      </c>
      <c r="I212" s="382">
        <v>1.23424615724006E-3</v>
      </c>
      <c r="J212" s="382">
        <v>1.20405613348208E-3</v>
      </c>
      <c r="K212" s="382">
        <v>1.22467515166652E-3</v>
      </c>
      <c r="L212" s="382">
        <v>1.3595554339389899E-3</v>
      </c>
      <c r="M212" s="382">
        <v>1.22313906435078E-3</v>
      </c>
      <c r="N212" s="382">
        <v>1.37733859861785E-3</v>
      </c>
      <c r="O212" s="382">
        <v>1.43281498278525E-3</v>
      </c>
      <c r="P212" s="382">
        <v>1.4514941476663E-3</v>
      </c>
      <c r="Q212" s="382">
        <v>1.64824056099425E-3</v>
      </c>
      <c r="R212" s="382">
        <v>1.90024150995725E-3</v>
      </c>
      <c r="S212" s="382">
        <v>2.3973086281059101E-3</v>
      </c>
      <c r="T212" s="382">
        <v>2.9717768366666099E-3</v>
      </c>
      <c r="U212" s="382">
        <v>3.0215506592527201E-3</v>
      </c>
      <c r="V212" s="382">
        <v>3.53752064485922E-3</v>
      </c>
      <c r="W212" s="382">
        <v>4.2178001706469504E-3</v>
      </c>
      <c r="X212" s="382">
        <v>5.5311579792273096E-3</v>
      </c>
      <c r="Y212" s="382">
        <v>6.9334375607544799E-3</v>
      </c>
      <c r="Z212" s="382">
        <v>8.6373800625317698E-3</v>
      </c>
      <c r="AA212" s="382">
        <v>1.0858299211497099E-2</v>
      </c>
      <c r="AB212" s="382">
        <v>1.41796113191548E-2</v>
      </c>
      <c r="AC212" s="382">
        <v>1.90214298183706E-2</v>
      </c>
      <c r="AD212" s="382">
        <v>2.7658586178340199E-2</v>
      </c>
      <c r="AE212" s="382">
        <v>3.44220758182118E-2</v>
      </c>
      <c r="AF212" s="382">
        <v>4.14983037810603E-2</v>
      </c>
      <c r="AG212" s="382">
        <v>6.8347940004398505E-2</v>
      </c>
      <c r="AH212" s="382">
        <v>0.113949905608943</v>
      </c>
      <c r="AI212" s="382">
        <v>0.188197496772675</v>
      </c>
      <c r="AJ212" s="382">
        <v>0.42076843816255899</v>
      </c>
      <c r="AK212" s="382">
        <v>0.91569507883491996</v>
      </c>
      <c r="AL212" s="382">
        <v>1.8440306301421401</v>
      </c>
      <c r="AM212" s="382">
        <v>3.9720077575158501</v>
      </c>
      <c r="AN212" s="382">
        <v>6.6878757256483796</v>
      </c>
      <c r="AO212" s="382">
        <v>15.5709648905426</v>
      </c>
      <c r="AP212" s="382">
        <v>22.915561220701701</v>
      </c>
      <c r="AQ212" s="382">
        <v>28.557802872633602</v>
      </c>
      <c r="AR212" s="382">
        <v>33.460162515965699</v>
      </c>
      <c r="AS212" s="382">
        <v>35.842947341086898</v>
      </c>
      <c r="AT212" s="382">
        <v>36.5366143672425</v>
      </c>
      <c r="AU212" s="382">
        <v>44.656776123961897</v>
      </c>
      <c r="AV212" s="382">
        <v>47.554747282650901</v>
      </c>
      <c r="AW212" s="382">
        <v>52.147369012691499</v>
      </c>
      <c r="AX212" s="382">
        <v>56.582946395828799</v>
      </c>
      <c r="AY212" s="382">
        <v>60.656426208760898</v>
      </c>
      <c r="AZ212" s="382">
        <v>69.605843397219203</v>
      </c>
      <c r="BA212" s="382">
        <v>79.557476058782697</v>
      </c>
      <c r="BB212" s="382">
        <v>88.513069171542995</v>
      </c>
      <c r="BC212" s="382">
        <v>100</v>
      </c>
      <c r="BD212" s="382">
        <v>118.096617122135</v>
      </c>
      <c r="BE212" s="382">
        <v>160.09066100941601</v>
      </c>
      <c r="BF212" s="382">
        <v>218.55952439824301</v>
      </c>
      <c r="BG212" s="382">
        <v>299.22250734346801</v>
      </c>
      <c r="BH212" s="382">
        <v>349.819748489056</v>
      </c>
      <c r="BI212" s="382">
        <v>411.91364179751503</v>
      </c>
      <c r="BJ212" s="382">
        <v>545.17440303373803</v>
      </c>
      <c r="BK212" s="382">
        <v>890.22895212013702</v>
      </c>
      <c r="BL212" s="382">
        <v>1344.19276243483</v>
      </c>
      <c r="BM212" s="382">
        <v>3538.6920569684999</v>
      </c>
      <c r="BN212" s="382">
        <v>16245.8889681416</v>
      </c>
      <c r="BO212" s="382">
        <v>38796.557297404797</v>
      </c>
      <c r="BP212" s="382"/>
    </row>
    <row r="213" spans="1:68">
      <c r="A213" s="382" t="s">
        <v>1208</v>
      </c>
      <c r="B213" s="382" t="s">
        <v>2586</v>
      </c>
      <c r="C213" s="382" t="s">
        <v>2334</v>
      </c>
      <c r="D213" s="382" t="s">
        <v>2335</v>
      </c>
      <c r="E213" s="382"/>
      <c r="F213" s="382"/>
      <c r="G213" s="382"/>
      <c r="H213" s="382"/>
      <c r="I213" s="382"/>
      <c r="J213" s="382"/>
      <c r="K213" s="382"/>
      <c r="L213" s="382">
        <v>10.953618251348299</v>
      </c>
      <c r="M213" s="382">
        <v>10.960007861940101</v>
      </c>
      <c r="N213" s="382">
        <v>11.400890996566099</v>
      </c>
      <c r="O213" s="382">
        <v>11.721284330418101</v>
      </c>
      <c r="P213" s="382">
        <v>12.1758594878217</v>
      </c>
      <c r="Q213" s="382">
        <v>12.925269536499799</v>
      </c>
      <c r="R213" s="382">
        <v>14.383926366989201</v>
      </c>
      <c r="S213" s="382">
        <v>16.771815145810599</v>
      </c>
      <c r="T213" s="382">
        <v>22.080668791585101</v>
      </c>
      <c r="U213" s="382">
        <v>22.319822790127599</v>
      </c>
      <c r="V213" s="382">
        <v>24.8510214076918</v>
      </c>
      <c r="W213" s="382">
        <v>25.7008396236557</v>
      </c>
      <c r="X213" s="382">
        <v>28.1818341576592</v>
      </c>
      <c r="Y213" s="382">
        <v>30.641834256580399</v>
      </c>
      <c r="Z213" s="382">
        <v>32.453745275630297</v>
      </c>
      <c r="AA213" s="382">
        <v>38.093033072032704</v>
      </c>
      <c r="AB213" s="382">
        <v>42.518294845550102</v>
      </c>
      <c r="AC213" s="382">
        <v>47.528662394021097</v>
      </c>
      <c r="AD213" s="382">
        <v>53.707415889348098</v>
      </c>
      <c r="AE213" s="382">
        <v>57.029100624115202</v>
      </c>
      <c r="AF213" s="382">
        <v>54.667683089437702</v>
      </c>
      <c r="AG213" s="382">
        <v>53.669078225523201</v>
      </c>
      <c r="AH213" s="382">
        <v>53.909145025531899</v>
      </c>
      <c r="AI213" s="382">
        <v>54.084402917553398</v>
      </c>
      <c r="AJ213" s="382">
        <v>53.136002137290902</v>
      </c>
      <c r="AK213" s="382">
        <v>53.077582839950402</v>
      </c>
      <c r="AL213" s="382">
        <v>52.766317521307897</v>
      </c>
      <c r="AM213" s="382">
        <v>69.806496314322203</v>
      </c>
      <c r="AN213" s="382">
        <v>75.296084661289498</v>
      </c>
      <c r="AO213" s="382">
        <v>77.369969716878202</v>
      </c>
      <c r="AP213" s="382">
        <v>78.726392777003497</v>
      </c>
      <c r="AQ213" s="382">
        <v>79.6370844975349</v>
      </c>
      <c r="AR213" s="382">
        <v>80.295882763451303</v>
      </c>
      <c r="AS213" s="382">
        <v>80.883634157552805</v>
      </c>
      <c r="AT213" s="382">
        <v>83.289518534341198</v>
      </c>
      <c r="AU213" s="382">
        <v>85.236246012342207</v>
      </c>
      <c r="AV213" s="382">
        <v>85.191925700815105</v>
      </c>
      <c r="AW213" s="382">
        <v>85.630478213225501</v>
      </c>
      <c r="AX213" s="382">
        <v>87.095901066348205</v>
      </c>
      <c r="AY213" s="382">
        <v>88.935615450722807</v>
      </c>
      <c r="AZ213" s="382">
        <v>94.141287640503705</v>
      </c>
      <c r="BA213" s="382">
        <v>101.058038553206</v>
      </c>
      <c r="BB213" s="382">
        <v>98.786232140725502</v>
      </c>
      <c r="BC213" s="382">
        <v>100</v>
      </c>
      <c r="BD213" s="382">
        <v>103.40322829787</v>
      </c>
      <c r="BE213" s="382">
        <v>104.86972257049599</v>
      </c>
      <c r="BF213" s="382">
        <v>105.614555041963</v>
      </c>
      <c r="BG213" s="382">
        <v>104.46308699623999</v>
      </c>
      <c r="BH213" s="382">
        <v>104.604333556103</v>
      </c>
      <c r="BI213" s="382">
        <v>105.48016989023</v>
      </c>
      <c r="BJ213" s="382">
        <v>106.870560070658</v>
      </c>
      <c r="BK213" s="382">
        <v>107.363218008605</v>
      </c>
      <c r="BL213" s="382">
        <v>109.252930368352</v>
      </c>
      <c r="BM213" s="382">
        <v>112.031392832995</v>
      </c>
      <c r="BN213" s="382">
        <v>114.47403881267201</v>
      </c>
      <c r="BO213" s="382">
        <v>125.57437914780699</v>
      </c>
      <c r="BP213" s="382"/>
    </row>
    <row r="214" spans="1:68">
      <c r="A214" s="382" t="s">
        <v>1582</v>
      </c>
      <c r="B214" s="382" t="s">
        <v>2587</v>
      </c>
      <c r="C214" s="382" t="s">
        <v>2334</v>
      </c>
      <c r="D214" s="382" t="s">
        <v>2335</v>
      </c>
      <c r="E214" s="382">
        <v>27.5191749343204</v>
      </c>
      <c r="F214" s="382">
        <v>27.629251634057699</v>
      </c>
      <c r="G214" s="382">
        <v>27.745178563990802</v>
      </c>
      <c r="H214" s="382">
        <v>28.357015138637902</v>
      </c>
      <c r="I214" s="382">
        <v>28.8464843983555</v>
      </c>
      <c r="J214" s="382">
        <v>28.898007478325699</v>
      </c>
      <c r="K214" s="382">
        <v>29.477642127991299</v>
      </c>
      <c r="L214" s="382">
        <v>30.463021032422599</v>
      </c>
      <c r="M214" s="382">
        <v>30.662672967307401</v>
      </c>
      <c r="N214" s="382">
        <v>30.578947962355802</v>
      </c>
      <c r="O214" s="382">
        <v>30.720636432273999</v>
      </c>
      <c r="P214" s="382">
        <v>31.261628771961799</v>
      </c>
      <c r="Q214" s="382">
        <v>31.912107656586599</v>
      </c>
      <c r="R214" s="382">
        <v>38.178602257970802</v>
      </c>
      <c r="S214" s="382">
        <v>46.7185527630431</v>
      </c>
      <c r="T214" s="382">
        <v>47.903583602359298</v>
      </c>
      <c r="U214" s="382">
        <v>47.021250857868502</v>
      </c>
      <c r="V214" s="382">
        <v>48.508979792010003</v>
      </c>
      <c r="W214" s="382">
        <v>50.872601085646203</v>
      </c>
      <c r="X214" s="382">
        <v>52.946405054449599</v>
      </c>
      <c r="Y214" s="382">
        <v>57.461114936844602</v>
      </c>
      <c r="Z214" s="382">
        <v>62.162595984131698</v>
      </c>
      <c r="AA214" s="382">
        <v>64.597061512726995</v>
      </c>
      <c r="AB214" s="382">
        <v>65.369907712281105</v>
      </c>
      <c r="AC214" s="382">
        <v>67.070169351299995</v>
      </c>
      <c r="AD214" s="382">
        <v>67.392188601114299</v>
      </c>
      <c r="AE214" s="382">
        <v>66.458332776653094</v>
      </c>
      <c r="AF214" s="382">
        <v>66.806113566452396</v>
      </c>
      <c r="AG214" s="382">
        <v>67.823694395865303</v>
      </c>
      <c r="AH214" s="382">
        <v>69.414469489947393</v>
      </c>
      <c r="AI214" s="382">
        <v>71.816733093561297</v>
      </c>
      <c r="AJ214" s="382">
        <v>74.276960162141705</v>
      </c>
      <c r="AK214" s="382">
        <v>75.957900646171794</v>
      </c>
      <c r="AL214" s="382">
        <v>77.696804595168203</v>
      </c>
      <c r="AM214" s="382">
        <v>80.105508583778601</v>
      </c>
      <c r="AN214" s="382">
        <v>81.483750972983103</v>
      </c>
      <c r="AO214" s="382">
        <v>82.610818347333307</v>
      </c>
      <c r="AP214" s="382">
        <v>84.265997291377701</v>
      </c>
      <c r="AQ214" s="382">
        <v>84.040583816508402</v>
      </c>
      <c r="AR214" s="382">
        <v>84.054626858335794</v>
      </c>
      <c r="AS214" s="382">
        <v>85.199134767275098</v>
      </c>
      <c r="AT214" s="382">
        <v>86.048738797836904</v>
      </c>
      <c r="AU214" s="382">
        <v>85.7117057939776</v>
      </c>
      <c r="AV214" s="382">
        <v>86.147040090629204</v>
      </c>
      <c r="AW214" s="382">
        <v>87.579430357031399</v>
      </c>
      <c r="AX214" s="382">
        <v>87.951736012462604</v>
      </c>
      <c r="AY214" s="382">
        <v>88.798624842453705</v>
      </c>
      <c r="AZ214" s="382">
        <v>90.667729369300005</v>
      </c>
      <c r="BA214" s="382">
        <v>96.676988610904104</v>
      </c>
      <c r="BB214" s="382">
        <v>97.253879786213702</v>
      </c>
      <c r="BC214" s="382">
        <v>100</v>
      </c>
      <c r="BD214" s="382">
        <v>105.24779339840499</v>
      </c>
      <c r="BE214" s="382">
        <v>110.063514278795</v>
      </c>
      <c r="BF214" s="382">
        <v>112.659476898612</v>
      </c>
      <c r="BG214" s="382">
        <v>113.81440330709</v>
      </c>
      <c r="BH214" s="382">
        <v>113.219588558659</v>
      </c>
      <c r="BI214" s="382">
        <v>112.616956081526</v>
      </c>
      <c r="BJ214" s="382">
        <v>113.265922901941</v>
      </c>
      <c r="BK214" s="382">
        <v>113.762730027133</v>
      </c>
      <c r="BL214" s="382">
        <v>114.40578588194499</v>
      </c>
      <c r="BM214" s="382">
        <v>114.197662689794</v>
      </c>
      <c r="BN214" s="382">
        <v>116.829758470318</v>
      </c>
      <c r="BO214" s="382">
        <v>123.980978131334</v>
      </c>
      <c r="BP214" s="382">
        <v>129.958680443666</v>
      </c>
    </row>
    <row r="215" spans="1:68">
      <c r="A215" s="382" t="s">
        <v>2114</v>
      </c>
      <c r="B215" s="382" t="s">
        <v>2588</v>
      </c>
      <c r="C215" s="382" t="s">
        <v>2334</v>
      </c>
      <c r="D215" s="382" t="s">
        <v>2335</v>
      </c>
      <c r="E215" s="382"/>
      <c r="F215" s="382"/>
      <c r="G215" s="382"/>
      <c r="H215" s="382"/>
      <c r="I215" s="382"/>
      <c r="J215" s="382"/>
      <c r="K215" s="382"/>
      <c r="L215" s="382"/>
      <c r="M215" s="382"/>
      <c r="N215" s="382"/>
      <c r="O215" s="382"/>
      <c r="P215" s="382">
        <v>2.4596371685447198</v>
      </c>
      <c r="Q215" s="382">
        <v>2.62879984944583</v>
      </c>
      <c r="R215" s="382">
        <v>2.7136758983908398</v>
      </c>
      <c r="S215" s="382">
        <v>3.2252898601226998</v>
      </c>
      <c r="T215" s="382">
        <v>3.5500586307671398</v>
      </c>
      <c r="U215" s="382">
        <v>3.7011249554806298</v>
      </c>
      <c r="V215" s="382">
        <v>4.0200427520980098</v>
      </c>
      <c r="W215" s="382">
        <v>4.2718199599538398</v>
      </c>
      <c r="X215" s="382">
        <v>4.6159154773567996</v>
      </c>
      <c r="Y215" s="382">
        <v>5.2201807762107801</v>
      </c>
      <c r="Z215" s="382">
        <v>6.07622328292058</v>
      </c>
      <c r="AA215" s="382">
        <v>6.8651252008688397</v>
      </c>
      <c r="AB215" s="382">
        <v>7.2931464542237396</v>
      </c>
      <c r="AC215" s="382">
        <v>8.0988335193623797</v>
      </c>
      <c r="AD215" s="382">
        <v>8.8737478146519493</v>
      </c>
      <c r="AE215" s="382">
        <v>10.0780821255623</v>
      </c>
      <c r="AF215" s="382">
        <v>11.185901840127899</v>
      </c>
      <c r="AG215" s="382">
        <v>13.0581451329892</v>
      </c>
      <c r="AH215" s="382">
        <v>15.008019731606</v>
      </c>
      <c r="AI215" s="382">
        <v>16.319359355855099</v>
      </c>
      <c r="AJ215" s="382">
        <v>18.775444280706399</v>
      </c>
      <c r="AK215" s="382">
        <v>20.794022405041101</v>
      </c>
      <c r="AL215" s="382">
        <v>22.700556104853401</v>
      </c>
      <c r="AM215" s="382">
        <v>25.709749220601701</v>
      </c>
      <c r="AN215" s="382">
        <v>28.1853974576713</v>
      </c>
      <c r="AO215" s="382">
        <v>31.5040466030533</v>
      </c>
      <c r="AP215" s="382">
        <v>34.050834157280001</v>
      </c>
      <c r="AQ215" s="382">
        <v>38.272968636904501</v>
      </c>
      <c r="AR215" s="382">
        <v>41.342601716509499</v>
      </c>
      <c r="AS215" s="382">
        <v>44.604351857546298</v>
      </c>
      <c r="AT215" s="382">
        <v>47.693576705096497</v>
      </c>
      <c r="AU215" s="382">
        <v>52.906310169788199</v>
      </c>
      <c r="AV215" s="382">
        <v>57.281378174954199</v>
      </c>
      <c r="AW215" s="382">
        <v>61.282964765045101</v>
      </c>
      <c r="AX215" s="382">
        <v>65.775412643520497</v>
      </c>
      <c r="AY215" s="382">
        <v>73.155405405405403</v>
      </c>
      <c r="AZ215" s="382">
        <v>78.763513513513502</v>
      </c>
      <c r="BA215" s="382">
        <v>92.405405405405403</v>
      </c>
      <c r="BB215" s="382">
        <v>98.959459459459495</v>
      </c>
      <c r="BC215" s="382">
        <v>100</v>
      </c>
      <c r="BD215" s="382">
        <v>107.34270706018</v>
      </c>
      <c r="BE215" s="382">
        <v>113.688814368881</v>
      </c>
      <c r="BF215" s="382">
        <v>119.818192049045</v>
      </c>
      <c r="BG215" s="382">
        <v>126.007882882883</v>
      </c>
      <c r="BH215" s="382">
        <v>125.284006297329</v>
      </c>
      <c r="BI215" s="382">
        <v>125.926068821616</v>
      </c>
      <c r="BJ215" s="382">
        <v>126.541452847665</v>
      </c>
      <c r="BK215" s="382">
        <v>130.921653412479</v>
      </c>
      <c r="BL215" s="382">
        <v>133.06203318559099</v>
      </c>
      <c r="BM215" s="382">
        <v>137.005392964625</v>
      </c>
      <c r="BN215" s="382">
        <v>136.847236823755</v>
      </c>
      <c r="BO215" s="382">
        <v>144.39864427569299</v>
      </c>
      <c r="BP215" s="382">
        <v>152.897744832961</v>
      </c>
    </row>
    <row r="216" spans="1:68">
      <c r="A216" s="382" t="s">
        <v>2065</v>
      </c>
      <c r="B216" s="382" t="s">
        <v>2589</v>
      </c>
      <c r="C216" s="382" t="s">
        <v>2334</v>
      </c>
      <c r="D216" s="382" t="s">
        <v>2335</v>
      </c>
      <c r="E216" s="382"/>
      <c r="F216" s="382"/>
      <c r="G216" s="382"/>
      <c r="H216" s="382"/>
      <c r="I216" s="382"/>
      <c r="J216" s="382"/>
      <c r="K216" s="382"/>
      <c r="L216" s="382"/>
      <c r="M216" s="382"/>
      <c r="N216" s="382"/>
      <c r="O216" s="382"/>
      <c r="P216" s="382"/>
      <c r="Q216" s="382"/>
      <c r="R216" s="382"/>
      <c r="S216" s="382"/>
      <c r="T216" s="382"/>
      <c r="U216" s="382"/>
      <c r="V216" s="382"/>
      <c r="W216" s="382"/>
      <c r="X216" s="382"/>
      <c r="Y216" s="382"/>
      <c r="Z216" s="382"/>
      <c r="AA216" s="382"/>
      <c r="AB216" s="382"/>
      <c r="AC216" s="382"/>
      <c r="AD216" s="382"/>
      <c r="AE216" s="382"/>
      <c r="AF216" s="382"/>
      <c r="AG216" s="382"/>
      <c r="AH216" s="382"/>
      <c r="AI216" s="382"/>
      <c r="AJ216" s="382"/>
      <c r="AK216" s="382"/>
      <c r="AL216" s="382"/>
      <c r="AM216" s="382"/>
      <c r="AN216" s="382"/>
      <c r="AO216" s="382"/>
      <c r="AP216" s="382"/>
      <c r="AQ216" s="382"/>
      <c r="AR216" s="382"/>
      <c r="AS216" s="382"/>
      <c r="AT216" s="382"/>
      <c r="AU216" s="382"/>
      <c r="AV216" s="382"/>
      <c r="AW216" s="382"/>
      <c r="AX216" s="382"/>
      <c r="AY216" s="382">
        <v>71.853756914268303</v>
      </c>
      <c r="AZ216" s="382">
        <v>80.224701237446595</v>
      </c>
      <c r="BA216" s="382">
        <v>86.812051193725296</v>
      </c>
      <c r="BB216" s="382">
        <v>93.296059779008402</v>
      </c>
      <c r="BC216" s="382">
        <v>100</v>
      </c>
      <c r="BD216" s="382">
        <v>106.791382919526</v>
      </c>
      <c r="BE216" s="382">
        <v>113.82654548345199</v>
      </c>
      <c r="BF216" s="382">
        <v>120.114470441718</v>
      </c>
      <c r="BG216" s="382">
        <v>125.686955139246</v>
      </c>
      <c r="BH216" s="382">
        <v>134.09470309229201</v>
      </c>
      <c r="BI216" s="382">
        <v>148.69233419009501</v>
      </c>
      <c r="BJ216" s="382">
        <v>175.786321842126</v>
      </c>
      <c r="BK216" s="382">
        <v>203.964069000238</v>
      </c>
      <c r="BL216" s="382">
        <v>234.16094756087901</v>
      </c>
      <c r="BM216" s="382">
        <v>265.64826836959099</v>
      </c>
      <c r="BN216" s="382">
        <v>297.191234531916</v>
      </c>
      <c r="BO216" s="382">
        <v>378.05188266779697</v>
      </c>
      <c r="BP216" s="382">
        <v>558.16666223119501</v>
      </c>
    </row>
    <row r="217" spans="1:68">
      <c r="A217" s="382" t="s">
        <v>1691</v>
      </c>
      <c r="B217" s="382" t="s">
        <v>2590</v>
      </c>
      <c r="C217" s="382" t="s">
        <v>2334</v>
      </c>
      <c r="D217" s="382" t="s">
        <v>2335</v>
      </c>
      <c r="E217" s="382">
        <v>1.9277699340962799</v>
      </c>
      <c r="F217" s="382">
        <v>1.8760580768495001</v>
      </c>
      <c r="G217" s="382">
        <v>1.87786197885099</v>
      </c>
      <c r="H217" s="382">
        <v>1.90732571146684</v>
      </c>
      <c r="I217" s="382">
        <v>1.9408482235728799</v>
      </c>
      <c r="J217" s="382">
        <v>1.94971740839437</v>
      </c>
      <c r="K217" s="382">
        <v>1.92656733276046</v>
      </c>
      <c r="L217" s="382">
        <v>1.95482846404949</v>
      </c>
      <c r="M217" s="382">
        <v>2.00443576896344</v>
      </c>
      <c r="N217" s="382">
        <v>2.0005273146456899</v>
      </c>
      <c r="O217" s="382">
        <v>2.0568992520438099</v>
      </c>
      <c r="P217" s="382">
        <v>2.0660690871951299</v>
      </c>
      <c r="Q217" s="382">
        <v>2.0977876973102201</v>
      </c>
      <c r="R217" s="382">
        <v>2.2318777457584802</v>
      </c>
      <c r="S217" s="382">
        <v>2.60904358828786</v>
      </c>
      <c r="T217" s="382">
        <v>3.1070708646209702</v>
      </c>
      <c r="U217" s="382">
        <v>3.3256436565929901</v>
      </c>
      <c r="V217" s="382">
        <v>3.7187439667653801</v>
      </c>
      <c r="W217" s="382">
        <v>4.21241181327244</v>
      </c>
      <c r="X217" s="382">
        <v>4.8045094597326701</v>
      </c>
      <c r="Y217" s="382">
        <v>5.6389070924803004</v>
      </c>
      <c r="Z217" s="382">
        <v>6.4733047252279299</v>
      </c>
      <c r="AA217" s="382">
        <v>7.2325513129069003</v>
      </c>
      <c r="AB217" s="382">
        <v>8.1955161747180991</v>
      </c>
      <c r="AC217" s="382">
        <v>9.1385881128124993</v>
      </c>
      <c r="AD217" s="382">
        <v>11.179086341413299</v>
      </c>
      <c r="AE217" s="382">
        <v>14.749129369661601</v>
      </c>
      <c r="AF217" s="382">
        <v>18.416426691531701</v>
      </c>
      <c r="AG217" s="382">
        <v>22.055726565224301</v>
      </c>
      <c r="AH217" s="382">
        <v>25.945051018760601</v>
      </c>
      <c r="AI217" s="382">
        <v>32.171646651427402</v>
      </c>
      <c r="AJ217" s="382">
        <v>36.805224322376503</v>
      </c>
      <c r="AK217" s="382">
        <v>40.932739350949703</v>
      </c>
      <c r="AL217" s="382">
        <v>48.508033847672301</v>
      </c>
      <c r="AM217" s="382">
        <v>53.643000521786597</v>
      </c>
      <c r="AN217" s="382">
        <v>59.023209183648099</v>
      </c>
      <c r="AO217" s="382">
        <v>64.800944149223099</v>
      </c>
      <c r="AP217" s="382">
        <v>67.710594851311598</v>
      </c>
      <c r="AQ217" s="382">
        <v>69.435224176549298</v>
      </c>
      <c r="AR217" s="382">
        <v>69.792695548520499</v>
      </c>
      <c r="AS217" s="382">
        <v>71.377888366086594</v>
      </c>
      <c r="AT217" s="382">
        <v>74.055144888722495</v>
      </c>
      <c r="AU217" s="382">
        <v>75.436662157142393</v>
      </c>
      <c r="AV217" s="382">
        <v>77.036214289861803</v>
      </c>
      <c r="AW217" s="382">
        <v>80.465823351180802</v>
      </c>
      <c r="AX217" s="382">
        <v>84.240433852889495</v>
      </c>
      <c r="AY217" s="382">
        <v>87.641324283901895</v>
      </c>
      <c r="AZ217" s="382">
        <v>91.653619239067595</v>
      </c>
      <c r="BA217" s="382">
        <v>97.801673384908597</v>
      </c>
      <c r="BB217" s="382">
        <v>98.834410445792699</v>
      </c>
      <c r="BC217" s="382">
        <v>100</v>
      </c>
      <c r="BD217" s="382">
        <v>105.128923766816</v>
      </c>
      <c r="BE217" s="382">
        <v>106.947375362701</v>
      </c>
      <c r="BF217" s="382">
        <v>107.75768266948</v>
      </c>
      <c r="BG217" s="382">
        <v>108.98756924294401</v>
      </c>
      <c r="BH217" s="382">
        <v>108.19045106832</v>
      </c>
      <c r="BI217" s="382">
        <v>108.843974500215</v>
      </c>
      <c r="BJ217" s="382">
        <v>109.945860865916</v>
      </c>
      <c r="BK217" s="382">
        <v>111.144633577093</v>
      </c>
      <c r="BL217" s="382">
        <v>111.228352310936</v>
      </c>
      <c r="BM217" s="382">
        <v>110.815038640419</v>
      </c>
      <c r="BN217" s="382">
        <v>114.656913864201</v>
      </c>
      <c r="BO217" s="382">
        <v>122.910624989713</v>
      </c>
      <c r="BP217" s="382">
        <v>127.883032020654</v>
      </c>
    </row>
    <row r="218" spans="1:68">
      <c r="A218" s="382" t="s">
        <v>2301</v>
      </c>
      <c r="B218" s="382" t="s">
        <v>2591</v>
      </c>
      <c r="C218" s="382" t="s">
        <v>2334</v>
      </c>
      <c r="D218" s="382" t="s">
        <v>2335</v>
      </c>
      <c r="E218" s="382"/>
      <c r="F218" s="382"/>
      <c r="G218" s="382"/>
      <c r="H218" s="382"/>
      <c r="I218" s="382"/>
      <c r="J218" s="382"/>
      <c r="K218" s="382"/>
      <c r="L218" s="382"/>
      <c r="M218" s="382"/>
      <c r="N218" s="382"/>
      <c r="O218" s="382"/>
      <c r="P218" s="382"/>
      <c r="Q218" s="382"/>
      <c r="R218" s="382"/>
      <c r="S218" s="382"/>
      <c r="T218" s="382"/>
      <c r="U218" s="382"/>
      <c r="V218" s="382"/>
      <c r="W218" s="382"/>
      <c r="X218" s="382"/>
      <c r="Y218" s="382"/>
      <c r="Z218" s="382"/>
      <c r="AA218" s="382"/>
      <c r="AB218" s="382"/>
      <c r="AC218" s="382"/>
      <c r="AD218" s="382"/>
      <c r="AE218" s="382"/>
      <c r="AF218" s="382"/>
      <c r="AG218" s="382"/>
      <c r="AH218" s="382"/>
      <c r="AI218" s="382"/>
      <c r="AJ218" s="382"/>
      <c r="AK218" s="382"/>
      <c r="AL218" s="382"/>
      <c r="AM218" s="382"/>
      <c r="AN218" s="382"/>
      <c r="AO218" s="382"/>
      <c r="AP218" s="382"/>
      <c r="AQ218" s="382"/>
      <c r="AR218" s="382"/>
      <c r="AS218" s="382"/>
      <c r="AT218" s="382"/>
      <c r="AU218" s="382"/>
      <c r="AV218" s="382">
        <v>84.733515890103604</v>
      </c>
      <c r="AW218" s="382">
        <v>85.945915814851503</v>
      </c>
      <c r="AX218" s="382">
        <v>87.3945246904551</v>
      </c>
      <c r="AY218" s="382">
        <v>89.225666645763496</v>
      </c>
      <c r="AZ218" s="382">
        <v>91.455367656793001</v>
      </c>
      <c r="BA218" s="382">
        <v>95.381731780904303</v>
      </c>
      <c r="BB218" s="382">
        <v>97.479741075969798</v>
      </c>
      <c r="BC218" s="382">
        <v>100</v>
      </c>
      <c r="BD218" s="382">
        <v>102.899795843001</v>
      </c>
      <c r="BE218" s="382">
        <v>105.809114948055</v>
      </c>
      <c r="BF218" s="382">
        <v>107.50670896130799</v>
      </c>
      <c r="BG218" s="382">
        <v>108.703218890836</v>
      </c>
      <c r="BH218" s="382">
        <v>108.861584341924</v>
      </c>
      <c r="BI218" s="382">
        <v>109.486393249581</v>
      </c>
      <c r="BJ218" s="382">
        <v>110.631595560108</v>
      </c>
      <c r="BK218" s="382"/>
      <c r="BL218" s="382"/>
      <c r="BM218" s="382"/>
      <c r="BN218" s="382"/>
      <c r="BO218" s="382"/>
      <c r="BP218" s="382"/>
    </row>
    <row r="219" spans="1:68">
      <c r="A219" s="382" t="s">
        <v>1211</v>
      </c>
      <c r="B219" s="382" t="s">
        <v>2592</v>
      </c>
      <c r="C219" s="382" t="s">
        <v>2334</v>
      </c>
      <c r="D219" s="382" t="s">
        <v>2335</v>
      </c>
      <c r="E219" s="382"/>
      <c r="F219" s="382"/>
      <c r="G219" s="382"/>
      <c r="H219" s="382"/>
      <c r="I219" s="382"/>
      <c r="J219" s="382"/>
      <c r="K219" s="382"/>
      <c r="L219" s="382"/>
      <c r="M219" s="382"/>
      <c r="N219" s="382"/>
      <c r="O219" s="382"/>
      <c r="P219" s="382"/>
      <c r="Q219" s="382"/>
      <c r="R219" s="382"/>
      <c r="S219" s="382"/>
      <c r="T219" s="382"/>
      <c r="U219" s="382"/>
      <c r="V219" s="382"/>
      <c r="W219" s="382"/>
      <c r="X219" s="382"/>
      <c r="Y219" s="382"/>
      <c r="Z219" s="382"/>
      <c r="AA219" s="382"/>
      <c r="AB219" s="382"/>
      <c r="AC219" s="382"/>
      <c r="AD219" s="382"/>
      <c r="AE219" s="382"/>
      <c r="AF219" s="382"/>
      <c r="AG219" s="382"/>
      <c r="AH219" s="382"/>
      <c r="AI219" s="382"/>
      <c r="AJ219" s="382"/>
      <c r="AK219" s="382"/>
      <c r="AL219" s="382"/>
      <c r="AM219" s="382"/>
      <c r="AN219" s="382"/>
      <c r="AO219" s="382"/>
      <c r="AP219" s="382"/>
      <c r="AQ219" s="382"/>
      <c r="AR219" s="382"/>
      <c r="AS219" s="382"/>
      <c r="AT219" s="382"/>
      <c r="AU219" s="382"/>
      <c r="AV219" s="382"/>
      <c r="AW219" s="382"/>
      <c r="AX219" s="382"/>
      <c r="AY219" s="382"/>
      <c r="AZ219" s="382"/>
      <c r="BA219" s="382"/>
      <c r="BB219" s="382"/>
      <c r="BC219" s="382"/>
      <c r="BD219" s="382"/>
      <c r="BE219" s="382"/>
      <c r="BF219" s="382"/>
      <c r="BG219" s="382"/>
      <c r="BH219" s="382"/>
      <c r="BI219" s="382"/>
      <c r="BJ219" s="382"/>
      <c r="BK219" s="382"/>
      <c r="BL219" s="382"/>
      <c r="BM219" s="382"/>
      <c r="BN219" s="382"/>
      <c r="BO219" s="382"/>
      <c r="BP219" s="382"/>
    </row>
    <row r="220" spans="1:68">
      <c r="A220" s="382" t="s">
        <v>1162</v>
      </c>
      <c r="B220" s="382" t="s">
        <v>2593</v>
      </c>
      <c r="C220" s="382" t="s">
        <v>2334</v>
      </c>
      <c r="D220" s="382" t="s">
        <v>2335</v>
      </c>
      <c r="E220" s="382"/>
      <c r="F220" s="382"/>
      <c r="G220" s="382"/>
      <c r="H220" s="382"/>
      <c r="I220" s="382"/>
      <c r="J220" s="382"/>
      <c r="K220" s="382"/>
      <c r="L220" s="382"/>
      <c r="M220" s="382"/>
      <c r="N220" s="382"/>
      <c r="O220" s="382"/>
      <c r="P220" s="382"/>
      <c r="Q220" s="382"/>
      <c r="R220" s="382"/>
      <c r="S220" s="382"/>
      <c r="T220" s="382"/>
      <c r="U220" s="382"/>
      <c r="V220" s="382"/>
      <c r="W220" s="382"/>
      <c r="X220" s="382"/>
      <c r="Y220" s="382"/>
      <c r="Z220" s="382"/>
      <c r="AA220" s="382"/>
      <c r="AB220" s="382"/>
      <c r="AC220" s="382"/>
      <c r="AD220" s="382"/>
      <c r="AE220" s="382"/>
      <c r="AF220" s="382"/>
      <c r="AG220" s="382"/>
      <c r="AH220" s="382"/>
      <c r="AI220" s="382"/>
      <c r="AJ220" s="382"/>
      <c r="AK220" s="382"/>
      <c r="AL220" s="382"/>
      <c r="AM220" s="382">
        <v>1.4134371271464701</v>
      </c>
      <c r="AN220" s="382">
        <v>2.5817915382825198</v>
      </c>
      <c r="AO220" s="382">
        <v>5.0500081593895096</v>
      </c>
      <c r="AP220" s="382">
        <v>6.22705730102704</v>
      </c>
      <c r="AQ220" s="382">
        <v>8.1051190893462195</v>
      </c>
      <c r="AR220" s="382">
        <v>11.546058685306001</v>
      </c>
      <c r="AS220" s="382">
        <v>19.7576882232954</v>
      </c>
      <c r="AT220" s="382">
        <v>38.528524534672997</v>
      </c>
      <c r="AU220" s="382">
        <v>46.038054584667996</v>
      </c>
      <c r="AV220" s="382">
        <v>50.584855216284502</v>
      </c>
      <c r="AW220" s="382">
        <v>56.162524832982299</v>
      </c>
      <c r="AX220" s="382">
        <v>65.215912967646005</v>
      </c>
      <c r="AY220" s="382">
        <v>72.861841602382896</v>
      </c>
      <c r="AZ220" s="382">
        <v>77.518956627236904</v>
      </c>
      <c r="BA220" s="382">
        <v>87.139824082499203</v>
      </c>
      <c r="BB220" s="382">
        <v>94.212920837124699</v>
      </c>
      <c r="BC220" s="382">
        <v>100</v>
      </c>
      <c r="BD220" s="382">
        <v>111.137397634213</v>
      </c>
      <c r="BE220" s="382">
        <v>119.284197755535</v>
      </c>
      <c r="BF220" s="382">
        <v>128.462238398544</v>
      </c>
      <c r="BG220" s="382">
        <v>131.13739763421299</v>
      </c>
      <c r="BH220" s="382">
        <v>132.96329996966901</v>
      </c>
      <c r="BI220" s="382">
        <v>134.45556566575701</v>
      </c>
      <c r="BJ220" s="382">
        <v>138.66545344252299</v>
      </c>
      <c r="BK220" s="382">
        <v>141.38307552320299</v>
      </c>
      <c r="BL220" s="382">
        <v>143.997573551714</v>
      </c>
      <c r="BM220" s="382">
        <v>146.26630269942399</v>
      </c>
      <c r="BN220" s="382">
        <v>152.24143160448901</v>
      </c>
      <c r="BO220" s="382">
        <v>170.48225659690601</v>
      </c>
      <c r="BP220" s="382">
        <v>191.574158325751</v>
      </c>
    </row>
    <row r="221" spans="1:68">
      <c r="A221" s="382" t="s">
        <v>2594</v>
      </c>
      <c r="B221" s="382" t="s">
        <v>2595</v>
      </c>
      <c r="C221" s="382" t="s">
        <v>2334</v>
      </c>
      <c r="D221" s="382" t="s">
        <v>2335</v>
      </c>
      <c r="E221" s="382"/>
      <c r="F221" s="382"/>
      <c r="G221" s="382"/>
      <c r="H221" s="382"/>
      <c r="I221" s="382"/>
      <c r="J221" s="382"/>
      <c r="K221" s="382"/>
      <c r="L221" s="382"/>
      <c r="M221" s="382"/>
      <c r="N221" s="382"/>
      <c r="O221" s="382"/>
      <c r="P221" s="382"/>
      <c r="Q221" s="382"/>
      <c r="R221" s="382"/>
      <c r="S221" s="382"/>
      <c r="T221" s="382"/>
      <c r="U221" s="382"/>
      <c r="V221" s="382"/>
      <c r="W221" s="382"/>
      <c r="X221" s="382"/>
      <c r="Y221" s="382"/>
      <c r="Z221" s="382"/>
      <c r="AA221" s="382"/>
      <c r="AB221" s="382"/>
      <c r="AC221" s="382"/>
      <c r="AD221" s="382"/>
      <c r="AE221" s="382"/>
      <c r="AF221" s="382"/>
      <c r="AG221" s="382"/>
      <c r="AH221" s="382"/>
      <c r="AI221" s="382"/>
      <c r="AJ221" s="382"/>
      <c r="AK221" s="382"/>
      <c r="AL221" s="382"/>
      <c r="AM221" s="382"/>
      <c r="AN221" s="382"/>
      <c r="AO221" s="382"/>
      <c r="AP221" s="382"/>
      <c r="AQ221" s="382"/>
      <c r="AR221" s="382"/>
      <c r="AS221" s="382"/>
      <c r="AT221" s="382"/>
      <c r="AU221" s="382"/>
      <c r="AV221" s="382"/>
      <c r="AW221" s="382"/>
      <c r="AX221" s="382"/>
      <c r="AY221" s="382"/>
      <c r="AZ221" s="382"/>
      <c r="BA221" s="382"/>
      <c r="BB221" s="382"/>
      <c r="BC221" s="382"/>
      <c r="BD221" s="382"/>
      <c r="BE221" s="382"/>
      <c r="BF221" s="382"/>
      <c r="BG221" s="382"/>
      <c r="BH221" s="382"/>
      <c r="BI221" s="382"/>
      <c r="BJ221" s="382"/>
      <c r="BK221" s="382"/>
      <c r="BL221" s="382"/>
      <c r="BM221" s="382"/>
      <c r="BN221" s="382"/>
      <c r="BO221" s="382"/>
      <c r="BP221" s="382"/>
    </row>
    <row r="222" spans="1:68">
      <c r="A222" s="382" t="s">
        <v>1087</v>
      </c>
      <c r="B222" s="382" t="s">
        <v>2596</v>
      </c>
      <c r="C222" s="382" t="s">
        <v>2334</v>
      </c>
      <c r="D222" s="382" t="s">
        <v>2335</v>
      </c>
      <c r="E222" s="382"/>
      <c r="F222" s="382"/>
      <c r="G222" s="382"/>
      <c r="H222" s="382"/>
      <c r="I222" s="382"/>
      <c r="J222" s="382"/>
      <c r="K222" s="382"/>
      <c r="L222" s="382"/>
      <c r="M222" s="382"/>
      <c r="N222" s="382"/>
      <c r="O222" s="382"/>
      <c r="P222" s="382"/>
      <c r="Q222" s="382"/>
      <c r="R222" s="382"/>
      <c r="S222" s="382"/>
      <c r="T222" s="382"/>
      <c r="U222" s="382"/>
      <c r="V222" s="382"/>
      <c r="W222" s="382"/>
      <c r="X222" s="382"/>
      <c r="Y222" s="382"/>
      <c r="Z222" s="382"/>
      <c r="AA222" s="382"/>
      <c r="AB222" s="382"/>
      <c r="AC222" s="382"/>
      <c r="AD222" s="382"/>
      <c r="AE222" s="382"/>
      <c r="AF222" s="382"/>
      <c r="AG222" s="382"/>
      <c r="AH222" s="382"/>
      <c r="AI222" s="382"/>
      <c r="AJ222" s="382"/>
      <c r="AK222" s="382"/>
      <c r="AL222" s="382"/>
      <c r="AM222" s="382"/>
      <c r="AN222" s="382"/>
      <c r="AO222" s="382"/>
      <c r="AP222" s="382"/>
      <c r="AQ222" s="382"/>
      <c r="AR222" s="382"/>
      <c r="AS222" s="382"/>
      <c r="AT222" s="382"/>
      <c r="AU222" s="382"/>
      <c r="AV222" s="382"/>
      <c r="AW222" s="382"/>
      <c r="AX222" s="382"/>
      <c r="AY222" s="382"/>
      <c r="AZ222" s="382"/>
      <c r="BA222" s="382">
        <v>94.131423570451304</v>
      </c>
      <c r="BB222" s="382">
        <v>98.843900192403197</v>
      </c>
      <c r="BC222" s="382">
        <v>100</v>
      </c>
      <c r="BD222" s="382">
        <v>146.85217571935999</v>
      </c>
      <c r="BE222" s="382">
        <v>213.70794720901799</v>
      </c>
      <c r="BF222" s="382">
        <v>213.58380217151699</v>
      </c>
      <c r="BG222" s="382">
        <v>217.159833769899</v>
      </c>
      <c r="BH222" s="382">
        <v>331.74710919474001</v>
      </c>
      <c r="BI222" s="382">
        <v>1592.38474945444</v>
      </c>
      <c r="BJ222" s="382">
        <v>4583.7054616258001</v>
      </c>
      <c r="BK222" s="382">
        <v>8411.1696295008605</v>
      </c>
      <c r="BL222" s="382">
        <v>15749.1887552482</v>
      </c>
      <c r="BM222" s="382">
        <v>20422.893371257302</v>
      </c>
      <c r="BN222" s="382">
        <v>22570.7110312611</v>
      </c>
      <c r="BO222" s="382">
        <v>21061.335145680699</v>
      </c>
      <c r="BP222" s="382">
        <v>21563.185555307798</v>
      </c>
    </row>
    <row r="223" spans="1:68">
      <c r="A223" s="382" t="s">
        <v>2597</v>
      </c>
      <c r="B223" s="382" t="s">
        <v>2598</v>
      </c>
      <c r="C223" s="382" t="s">
        <v>2334</v>
      </c>
      <c r="D223" s="382" t="s">
        <v>2335</v>
      </c>
      <c r="E223" s="382"/>
      <c r="F223" s="382"/>
      <c r="G223" s="382"/>
      <c r="H223" s="382"/>
      <c r="I223" s="382"/>
      <c r="J223" s="382"/>
      <c r="K223" s="382"/>
      <c r="L223" s="382"/>
      <c r="M223" s="382"/>
      <c r="N223" s="382"/>
      <c r="O223" s="382"/>
      <c r="P223" s="382"/>
      <c r="Q223" s="382"/>
      <c r="R223" s="382"/>
      <c r="S223" s="382"/>
      <c r="T223" s="382"/>
      <c r="U223" s="382"/>
      <c r="V223" s="382"/>
      <c r="W223" s="382"/>
      <c r="X223" s="382"/>
      <c r="Y223" s="382"/>
      <c r="Z223" s="382"/>
      <c r="AA223" s="382"/>
      <c r="AB223" s="382"/>
      <c r="AC223" s="382"/>
      <c r="AD223" s="382"/>
      <c r="AE223" s="382"/>
      <c r="AF223" s="382"/>
      <c r="AG223" s="382"/>
      <c r="AH223" s="382"/>
      <c r="AI223" s="382"/>
      <c r="AJ223" s="382"/>
      <c r="AK223" s="382"/>
      <c r="AL223" s="382"/>
      <c r="AM223" s="382"/>
      <c r="AN223" s="382"/>
      <c r="AO223" s="382"/>
      <c r="AP223" s="382"/>
      <c r="AQ223" s="382"/>
      <c r="AR223" s="382"/>
      <c r="AS223" s="382"/>
      <c r="AT223" s="382"/>
      <c r="AU223" s="382"/>
      <c r="AV223" s="382"/>
      <c r="AW223" s="382"/>
      <c r="AX223" s="382"/>
      <c r="AY223" s="382"/>
      <c r="AZ223" s="382"/>
      <c r="BA223" s="382"/>
      <c r="BB223" s="382"/>
      <c r="BC223" s="382"/>
      <c r="BD223" s="382"/>
      <c r="BE223" s="382"/>
      <c r="BF223" s="382"/>
      <c r="BG223" s="382"/>
      <c r="BH223" s="382"/>
      <c r="BI223" s="382"/>
      <c r="BJ223" s="382"/>
      <c r="BK223" s="382"/>
      <c r="BL223" s="382"/>
      <c r="BM223" s="382"/>
      <c r="BN223" s="382"/>
      <c r="BO223" s="382"/>
      <c r="BP223" s="382"/>
    </row>
    <row r="224" spans="1:68">
      <c r="A224" s="382" t="s">
        <v>2599</v>
      </c>
      <c r="B224" s="382" t="s">
        <v>2600</v>
      </c>
      <c r="C224" s="382" t="s">
        <v>2334</v>
      </c>
      <c r="D224" s="382" t="s">
        <v>2335</v>
      </c>
      <c r="E224" s="382"/>
      <c r="F224" s="382"/>
      <c r="G224" s="382"/>
      <c r="H224" s="382"/>
      <c r="I224" s="382"/>
      <c r="J224" s="382"/>
      <c r="K224" s="382"/>
      <c r="L224" s="382"/>
      <c r="M224" s="382"/>
      <c r="N224" s="382"/>
      <c r="O224" s="382"/>
      <c r="P224" s="382"/>
      <c r="Q224" s="382"/>
      <c r="R224" s="382"/>
      <c r="S224" s="382"/>
      <c r="T224" s="382"/>
      <c r="U224" s="382"/>
      <c r="V224" s="382"/>
      <c r="W224" s="382"/>
      <c r="X224" s="382"/>
      <c r="Y224" s="382"/>
      <c r="Z224" s="382"/>
      <c r="AA224" s="382"/>
      <c r="AB224" s="382"/>
      <c r="AC224" s="382"/>
      <c r="AD224" s="382"/>
      <c r="AE224" s="382"/>
      <c r="AF224" s="382"/>
      <c r="AG224" s="382"/>
      <c r="AH224" s="382"/>
      <c r="AI224" s="382"/>
      <c r="AJ224" s="382"/>
      <c r="AK224" s="382"/>
      <c r="AL224" s="382"/>
      <c r="AM224" s="382"/>
      <c r="AN224" s="382"/>
      <c r="AO224" s="382"/>
      <c r="AP224" s="382"/>
      <c r="AQ224" s="382"/>
      <c r="AR224" s="382"/>
      <c r="AS224" s="382"/>
      <c r="AT224" s="382"/>
      <c r="AU224" s="382"/>
      <c r="AV224" s="382"/>
      <c r="AW224" s="382"/>
      <c r="AX224" s="382"/>
      <c r="AY224" s="382"/>
      <c r="AZ224" s="382"/>
      <c r="BA224" s="382"/>
      <c r="BB224" s="382"/>
      <c r="BC224" s="382"/>
      <c r="BD224" s="382"/>
      <c r="BE224" s="382"/>
      <c r="BF224" s="382"/>
      <c r="BG224" s="382"/>
      <c r="BH224" s="382"/>
      <c r="BI224" s="382"/>
      <c r="BJ224" s="382"/>
      <c r="BK224" s="382"/>
      <c r="BL224" s="382"/>
      <c r="BM224" s="382"/>
      <c r="BN224" s="382"/>
      <c r="BO224" s="382"/>
      <c r="BP224" s="382"/>
    </row>
    <row r="225" spans="1:68">
      <c r="A225" s="382" t="s">
        <v>2063</v>
      </c>
      <c r="B225" s="382" t="s">
        <v>2601</v>
      </c>
      <c r="C225" s="382" t="s">
        <v>2334</v>
      </c>
      <c r="D225" s="382" t="s">
        <v>2335</v>
      </c>
      <c r="E225" s="382"/>
      <c r="F225" s="382"/>
      <c r="G225" s="382"/>
      <c r="H225" s="382"/>
      <c r="I225" s="382"/>
      <c r="J225" s="382"/>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382"/>
      <c r="AJ225" s="382"/>
      <c r="AK225" s="382"/>
      <c r="AL225" s="382"/>
      <c r="AM225" s="382"/>
      <c r="AN225" s="382"/>
      <c r="AO225" s="382">
        <v>8.6445974175603801</v>
      </c>
      <c r="AP225" s="382">
        <v>11.7408482831257</v>
      </c>
      <c r="AQ225" s="382">
        <v>17.6691707447645</v>
      </c>
      <c r="AR225" s="382">
        <v>19.917603998766499</v>
      </c>
      <c r="AS225" s="382">
        <v>22.349333441953402</v>
      </c>
      <c r="AT225" s="382">
        <v>24.410397258121801</v>
      </c>
      <c r="AU225" s="382">
        <v>26.882859187794299</v>
      </c>
      <c r="AV225" s="382">
        <v>29.515341600088501</v>
      </c>
      <c r="AW225" s="382">
        <v>33.436716263318203</v>
      </c>
      <c r="AX225" s="382">
        <v>39.171850360482601</v>
      </c>
      <c r="AY225" s="382">
        <v>48.211552896952803</v>
      </c>
      <c r="AZ225" s="382">
        <v>57.154079358521599</v>
      </c>
      <c r="BA225" s="382">
        <v>75.437728756553696</v>
      </c>
      <c r="BB225" s="382">
        <v>88.230063356473195</v>
      </c>
      <c r="BC225" s="382">
        <v>100</v>
      </c>
      <c r="BD225" s="382">
        <v>114.32716676168</v>
      </c>
      <c r="BE225" s="382">
        <v>126.489216841458</v>
      </c>
      <c r="BF225" s="382">
        <v>136.74222115324</v>
      </c>
      <c r="BG225" s="382">
        <v>146.31212473443401</v>
      </c>
      <c r="BH225" s="382">
        <v>153.98748080963099</v>
      </c>
      <c r="BI225" s="382">
        <v>162.34980123077199</v>
      </c>
      <c r="BJ225" s="382">
        <v>171.58798579976201</v>
      </c>
      <c r="BK225" s="382">
        <v>185.08955168232399</v>
      </c>
      <c r="BL225" s="382">
        <v>199.37891900827199</v>
      </c>
      <c r="BM225" s="382">
        <v>218.956588859877</v>
      </c>
      <c r="BN225" s="382">
        <v>236.77477330146701</v>
      </c>
      <c r="BO225" s="382">
        <v>279.40757502006602</v>
      </c>
      <c r="BP225" s="382">
        <v>338.80659067641199</v>
      </c>
    </row>
    <row r="226" spans="1:68">
      <c r="A226" s="382" t="s">
        <v>2186</v>
      </c>
      <c r="B226" s="382" t="s">
        <v>2602</v>
      </c>
      <c r="C226" s="382" t="s">
        <v>2334</v>
      </c>
      <c r="D226" s="382" t="s">
        <v>2335</v>
      </c>
      <c r="E226" s="382">
        <v>8.1536844364352504E-3</v>
      </c>
      <c r="F226" s="382">
        <v>8.2930636575709003E-3</v>
      </c>
      <c r="G226" s="382">
        <v>8.4672876839904498E-3</v>
      </c>
      <c r="H226" s="382">
        <v>8.6415117104100096E-3</v>
      </c>
      <c r="I226" s="382">
        <v>9.0073821658910799E-3</v>
      </c>
      <c r="J226" s="382">
        <v>9.1816061923106294E-3</v>
      </c>
      <c r="K226" s="382">
        <v>9.6171662583595299E-3</v>
      </c>
      <c r="L226" s="382">
        <v>1.06450880142349E-2</v>
      </c>
      <c r="M226" s="382">
        <v>1.0662510416876899E-2</v>
      </c>
      <c r="N226" s="382">
        <v>1.1864656199171901E-2</v>
      </c>
      <c r="O226" s="382">
        <v>1.2171718554523E-2</v>
      </c>
      <c r="P226" s="382">
        <v>1.21979548950224E-2</v>
      </c>
      <c r="Q226" s="382">
        <v>1.25924717187017E-2</v>
      </c>
      <c r="R226" s="382">
        <v>1.42220399779674E-2</v>
      </c>
      <c r="S226" s="382">
        <v>1.6622179274637099E-2</v>
      </c>
      <c r="T226" s="382">
        <v>1.8026309348983399E-2</v>
      </c>
      <c r="U226" s="382">
        <v>1.9841475424335099E-2</v>
      </c>
      <c r="V226" s="382">
        <v>2.1772275741113799E-2</v>
      </c>
      <c r="W226" s="382">
        <v>2.3693358894748499E-2</v>
      </c>
      <c r="X226" s="382">
        <v>2.72100002366727E-2</v>
      </c>
      <c r="Y226" s="382">
        <v>3.1049251395027701E-2</v>
      </c>
      <c r="Z226" s="382">
        <v>3.3779713201123003E-2</v>
      </c>
      <c r="AA226" s="382">
        <v>3.6237663163557199E-2</v>
      </c>
      <c r="AB226" s="382">
        <v>3.7836399313036201E-2</v>
      </c>
      <c r="AC226" s="382">
        <v>3.9232087422140099E-2</v>
      </c>
      <c r="AD226" s="382">
        <v>4.3495027596118403E-2</v>
      </c>
      <c r="AE226" s="382">
        <v>5.1623361254498602E-2</v>
      </c>
      <c r="AF226" s="382">
        <v>7.9186598398456501E-2</v>
      </c>
      <c r="AG226" s="382">
        <v>8.4977742244730994E-2</v>
      </c>
      <c r="AH226" s="382">
        <v>8.5631770669517701E-2</v>
      </c>
      <c r="AI226" s="382">
        <v>0.104248069950216</v>
      </c>
      <c r="AJ226" s="382">
        <v>0.13131864842779001</v>
      </c>
      <c r="AK226" s="382">
        <v>0.18866048370358701</v>
      </c>
      <c r="AL226" s="382">
        <v>0.45941008410909501</v>
      </c>
      <c r="AM226" s="382">
        <v>2.1522354894761202</v>
      </c>
      <c r="AN226" s="382">
        <v>7.2220159060796796</v>
      </c>
      <c r="AO226" s="382">
        <v>7.1713254971370199</v>
      </c>
      <c r="AP226" s="382">
        <v>7.6837247077406099</v>
      </c>
      <c r="AQ226" s="382">
        <v>9.1417398393035807</v>
      </c>
      <c r="AR226" s="382">
        <v>18.171318887354499</v>
      </c>
      <c r="AS226" s="382">
        <v>28.965388773927501</v>
      </c>
      <c r="AT226" s="382">
        <v>40.142057073899601</v>
      </c>
      <c r="AU226" s="382">
        <v>46.3750744098841</v>
      </c>
      <c r="AV226" s="382">
        <v>57.042376698283299</v>
      </c>
      <c r="AW226" s="382">
        <v>62.738813891405698</v>
      </c>
      <c r="AX226" s="382">
        <v>68.948704761827599</v>
      </c>
      <c r="AY226" s="382">
        <v>76.727017975808195</v>
      </c>
      <c r="AZ226" s="382">
        <v>81.657710483795796</v>
      </c>
      <c r="BA226" s="382">
        <v>93.634563441765906</v>
      </c>
      <c r="BB226" s="382">
        <v>93.509433351016199</v>
      </c>
      <c r="BC226" s="382">
        <v>100</v>
      </c>
      <c r="BD226" s="382">
        <v>117.711779641456</v>
      </c>
      <c r="BE226" s="382">
        <v>123.605447410941</v>
      </c>
      <c r="BF226" s="382">
        <v>125.982919135185</v>
      </c>
      <c r="BG226" s="382">
        <v>130.245441255674</v>
      </c>
      <c r="BH226" s="382">
        <v>139.224436408402</v>
      </c>
      <c r="BI226" s="382">
        <v>216.37202126886999</v>
      </c>
      <c r="BJ226" s="382">
        <v>263.96725149282901</v>
      </c>
      <c r="BK226" s="382"/>
      <c r="BL226" s="382">
        <v>294.68223431851402</v>
      </c>
      <c r="BM226" s="382">
        <v>397.496230269416</v>
      </c>
      <c r="BN226" s="382">
        <v>632.49466055257301</v>
      </c>
      <c r="BO226" s="382">
        <v>964.21298274674405</v>
      </c>
      <c r="BP226" s="382"/>
    </row>
    <row r="227" spans="1:68">
      <c r="A227" s="382" t="s">
        <v>2603</v>
      </c>
      <c r="B227" s="382" t="s">
        <v>2604</v>
      </c>
      <c r="C227" s="382" t="s">
        <v>2334</v>
      </c>
      <c r="D227" s="382" t="s">
        <v>2335</v>
      </c>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v>26.118656799157399</v>
      </c>
      <c r="AK227" s="382">
        <v>28.7027074671545</v>
      </c>
      <c r="AL227" s="382">
        <v>35.386714895504198</v>
      </c>
      <c r="AM227" s="382">
        <v>40.134026830755602</v>
      </c>
      <c r="AN227" s="382">
        <v>44.083654858916802</v>
      </c>
      <c r="AO227" s="382">
        <v>46.629850878651801</v>
      </c>
      <c r="AP227" s="382">
        <v>49.493851654748099</v>
      </c>
      <c r="AQ227" s="382">
        <v>52.792939187316399</v>
      </c>
      <c r="AR227" s="382">
        <v>58.373385997006501</v>
      </c>
      <c r="AS227" s="382">
        <v>65.399078662897097</v>
      </c>
      <c r="AT227" s="382">
        <v>70.192582737402304</v>
      </c>
      <c r="AU227" s="382">
        <v>72.387604634403303</v>
      </c>
      <c r="AV227" s="382">
        <v>78.579743888242106</v>
      </c>
      <c r="AW227" s="382">
        <v>84.511336548589199</v>
      </c>
      <c r="AX227" s="382">
        <v>86.800820444592205</v>
      </c>
      <c r="AY227" s="382">
        <v>90.692388713343306</v>
      </c>
      <c r="AZ227" s="382">
        <v>93.192527301956801</v>
      </c>
      <c r="BA227" s="382">
        <v>97.477687233216898</v>
      </c>
      <c r="BB227" s="382">
        <v>99.052053883252995</v>
      </c>
      <c r="BC227" s="382">
        <v>100</v>
      </c>
      <c r="BD227" s="382">
        <v>103.919285991463</v>
      </c>
      <c r="BE227" s="382">
        <v>107.666722102112</v>
      </c>
      <c r="BF227" s="382">
        <v>109.174566217639</v>
      </c>
      <c r="BG227" s="382">
        <v>109.091413049504</v>
      </c>
      <c r="BH227" s="382">
        <v>108.736626198791</v>
      </c>
      <c r="BI227" s="382">
        <v>108.17118465546901</v>
      </c>
      <c r="BJ227" s="382">
        <v>109.590332058318</v>
      </c>
      <c r="BK227" s="382">
        <v>112.345473695881</v>
      </c>
      <c r="BL227" s="382">
        <v>115.338987748766</v>
      </c>
      <c r="BM227" s="382">
        <v>117.57303619934601</v>
      </c>
      <c r="BN227" s="382">
        <v>121.276123953656</v>
      </c>
      <c r="BO227" s="382">
        <v>136.76811353179201</v>
      </c>
      <c r="BP227" s="382">
        <v>151.17245967071301</v>
      </c>
    </row>
    <row r="228" spans="1:68">
      <c r="A228" s="382" t="s">
        <v>1210</v>
      </c>
      <c r="B228" s="382" t="s">
        <v>2605</v>
      </c>
      <c r="C228" s="382" t="s">
        <v>2334</v>
      </c>
      <c r="D228" s="382" t="s">
        <v>2335</v>
      </c>
      <c r="E228" s="382"/>
      <c r="F228" s="382"/>
      <c r="G228" s="382"/>
      <c r="H228" s="382"/>
      <c r="I228" s="382"/>
      <c r="J228" s="382"/>
      <c r="K228" s="382"/>
      <c r="L228" s="382"/>
      <c r="M228" s="382"/>
      <c r="N228" s="382"/>
      <c r="O228" s="382"/>
      <c r="P228" s="382"/>
      <c r="Q228" s="382"/>
      <c r="R228" s="382"/>
      <c r="S228" s="382"/>
      <c r="T228" s="382"/>
      <c r="U228" s="382"/>
      <c r="V228" s="382"/>
      <c r="W228" s="382"/>
      <c r="X228" s="382"/>
      <c r="Y228" s="382">
        <v>4.2387712002825201E-4</v>
      </c>
      <c r="Z228" s="382">
        <v>6.0454606453891303E-4</v>
      </c>
      <c r="AA228" s="382">
        <v>7.8659026177548203E-4</v>
      </c>
      <c r="AB228" s="382">
        <v>1.10290567253785E-3</v>
      </c>
      <c r="AC228" s="382">
        <v>1.6948568401536201E-3</v>
      </c>
      <c r="AD228" s="382">
        <v>3.0406813225621302E-3</v>
      </c>
      <c r="AE228" s="382">
        <v>5.9562843773451699E-3</v>
      </c>
      <c r="AF228" s="382">
        <v>1.3822911225886201E-2</v>
      </c>
      <c r="AG228" s="382">
        <v>4.12964605129564E-2</v>
      </c>
      <c r="AH228" s="382">
        <v>0.57048726702864905</v>
      </c>
      <c r="AI228" s="382">
        <v>3.7200535028473101</v>
      </c>
      <c r="AJ228" s="382">
        <v>7.9919001456760697</v>
      </c>
      <c r="AK228" s="382">
        <v>24.769594314218899</v>
      </c>
      <c r="AL228" s="382">
        <v>32.636945216969103</v>
      </c>
      <c r="AM228" s="382">
        <v>39.488033373063203</v>
      </c>
      <c r="AN228" s="382">
        <v>44.804595417825503</v>
      </c>
      <c r="AO228" s="382">
        <v>49.224322606277298</v>
      </c>
      <c r="AP228" s="382">
        <v>53.339318412572297</v>
      </c>
      <c r="AQ228" s="382">
        <v>57.548413013728897</v>
      </c>
      <c r="AR228" s="382">
        <v>61.090855957268303</v>
      </c>
      <c r="AS228" s="382">
        <v>66.535116761576901</v>
      </c>
      <c r="AT228" s="382">
        <v>72.110537235686294</v>
      </c>
      <c r="AU228" s="382">
        <v>77.504966229638498</v>
      </c>
      <c r="AV228" s="382">
        <v>81.801968834150003</v>
      </c>
      <c r="AW228" s="382">
        <v>84.741093894848404</v>
      </c>
      <c r="AX228" s="382">
        <v>86.818522932944902</v>
      </c>
      <c r="AY228" s="382">
        <v>88.952456628261203</v>
      </c>
      <c r="AZ228" s="382">
        <v>92.205888844744607</v>
      </c>
      <c r="BA228" s="382">
        <v>97.4131461616563</v>
      </c>
      <c r="BB228" s="382">
        <v>98.230697920805198</v>
      </c>
      <c r="BC228" s="382">
        <v>100</v>
      </c>
      <c r="BD228" s="382">
        <v>101.802851719419</v>
      </c>
      <c r="BE228" s="382">
        <v>104.447093100252</v>
      </c>
      <c r="BF228" s="382">
        <v>106.294971968393</v>
      </c>
      <c r="BG228" s="382">
        <v>106.50686443296701</v>
      </c>
      <c r="BH228" s="382">
        <v>105.94711517238299</v>
      </c>
      <c r="BI228" s="382">
        <v>105.888844744625</v>
      </c>
      <c r="BJ228" s="382">
        <v>107.40211009579301</v>
      </c>
      <c r="BK228" s="382">
        <v>109.269412439853</v>
      </c>
      <c r="BL228" s="382">
        <v>111.051074912815</v>
      </c>
      <c r="BM228" s="382">
        <v>110.99015582925</v>
      </c>
      <c r="BN228" s="382">
        <v>113.11790932768299</v>
      </c>
      <c r="BO228" s="382">
        <v>123.110404802896</v>
      </c>
      <c r="BP228" s="382">
        <v>132.27828543680701</v>
      </c>
    </row>
    <row r="229" spans="1:68">
      <c r="A229" s="382" t="s">
        <v>1212</v>
      </c>
      <c r="B229" s="382" t="s">
        <v>2606</v>
      </c>
      <c r="C229" s="382" t="s">
        <v>2334</v>
      </c>
      <c r="D229" s="382" t="s">
        <v>2335</v>
      </c>
      <c r="E229" s="382">
        <v>9.2109133888204706</v>
      </c>
      <c r="F229" s="382">
        <v>9.4096824229199907</v>
      </c>
      <c r="G229" s="382">
        <v>9.8581664448834196</v>
      </c>
      <c r="H229" s="382">
        <v>10.141267387944399</v>
      </c>
      <c r="I229" s="382">
        <v>10.484819281091699</v>
      </c>
      <c r="J229" s="382">
        <v>11.0103992924977</v>
      </c>
      <c r="K229" s="382">
        <v>11.715594255125101</v>
      </c>
      <c r="L229" s="382">
        <v>12.2181134924112</v>
      </c>
      <c r="M229" s="382">
        <v>12.4555268109773</v>
      </c>
      <c r="N229" s="382">
        <v>12.7908289183314</v>
      </c>
      <c r="O229" s="382">
        <v>13.68827937526</v>
      </c>
      <c r="P229" s="382">
        <v>14.7006017075933</v>
      </c>
      <c r="Q229" s="382">
        <v>15.5837241402111</v>
      </c>
      <c r="R229" s="382">
        <v>16.6306383224921</v>
      </c>
      <c r="S229" s="382">
        <v>18.279021508842401</v>
      </c>
      <c r="T229" s="382">
        <v>20.066686778687899</v>
      </c>
      <c r="U229" s="382">
        <v>22.123366587045101</v>
      </c>
      <c r="V229" s="382">
        <v>24.654679075508199</v>
      </c>
      <c r="W229" s="382">
        <v>27.118979686858601</v>
      </c>
      <c r="X229" s="382">
        <v>29.0742001338965</v>
      </c>
      <c r="Y229" s="382">
        <v>33.059203729264603</v>
      </c>
      <c r="Z229" s="382">
        <v>37.0606694272482</v>
      </c>
      <c r="AA229" s="382">
        <v>40.243878920122199</v>
      </c>
      <c r="AB229" s="382">
        <v>43.814726958649103</v>
      </c>
      <c r="AC229" s="382">
        <v>47.339289797695102</v>
      </c>
      <c r="AD229" s="382">
        <v>50.829414244270097</v>
      </c>
      <c r="AE229" s="382">
        <v>52.982502541553401</v>
      </c>
      <c r="AF229" s="382">
        <v>55.201712552380798</v>
      </c>
      <c r="AG229" s="382">
        <v>58.417156380607601</v>
      </c>
      <c r="AH229" s="382">
        <v>62.181134924111603</v>
      </c>
      <c r="AI229" s="382">
        <v>68.627175473252393</v>
      </c>
      <c r="AJ229" s="382">
        <v>75.108756443423204</v>
      </c>
      <c r="AK229" s="382">
        <v>76.892114159138401</v>
      </c>
      <c r="AL229" s="382">
        <v>80.527706375510704</v>
      </c>
      <c r="AM229" s="382">
        <v>82.265605413164295</v>
      </c>
      <c r="AN229" s="382">
        <v>84.285348254799999</v>
      </c>
      <c r="AO229" s="382">
        <v>84.734700399760897</v>
      </c>
      <c r="AP229" s="382">
        <v>85.292602357790102</v>
      </c>
      <c r="AQ229" s="382">
        <v>85.064757953202403</v>
      </c>
      <c r="AR229" s="382">
        <v>85.457906641650695</v>
      </c>
      <c r="AS229" s="382">
        <v>86.226296054462196</v>
      </c>
      <c r="AT229" s="382">
        <v>88.300864816911698</v>
      </c>
      <c r="AU229" s="382">
        <v>90.206823209823398</v>
      </c>
      <c r="AV229" s="382">
        <v>91.943895726057704</v>
      </c>
      <c r="AW229" s="382">
        <v>92.287453129347895</v>
      </c>
      <c r="AX229" s="382">
        <v>92.705672967515</v>
      </c>
      <c r="AY229" s="382">
        <v>93.966669146230899</v>
      </c>
      <c r="AZ229" s="382">
        <v>96.045370515776895</v>
      </c>
      <c r="BA229" s="382">
        <v>99.346497064471393</v>
      </c>
      <c r="BB229" s="382">
        <v>98.855267834265902</v>
      </c>
      <c r="BC229" s="382">
        <v>100</v>
      </c>
      <c r="BD229" s="382">
        <v>102.96115073822099</v>
      </c>
      <c r="BE229" s="382">
        <v>103.875834442249</v>
      </c>
      <c r="BF229" s="382">
        <v>103.829824749908</v>
      </c>
      <c r="BG229" s="382">
        <v>103.64330641628599</v>
      </c>
      <c r="BH229" s="382">
        <v>103.594817159687</v>
      </c>
      <c r="BI229" s="382">
        <v>104.614469083966</v>
      </c>
      <c r="BJ229" s="382">
        <v>106.491774734342</v>
      </c>
      <c r="BK229" s="382">
        <v>108.57212914672699</v>
      </c>
      <c r="BL229" s="382">
        <v>110.509219846432</v>
      </c>
      <c r="BM229" s="382">
        <v>111.058856590269</v>
      </c>
      <c r="BN229" s="382">
        <v>113.46127884904099</v>
      </c>
      <c r="BO229" s="382">
        <v>122.95718343540899</v>
      </c>
      <c r="BP229" s="382">
        <v>133.468331831819</v>
      </c>
    </row>
    <row r="230" spans="1:68">
      <c r="A230" s="382" t="s">
        <v>1980</v>
      </c>
      <c r="B230" s="382" t="s">
        <v>2607</v>
      </c>
      <c r="C230" s="382" t="s">
        <v>2334</v>
      </c>
      <c r="D230" s="382" t="s">
        <v>2335</v>
      </c>
      <c r="E230" s="382"/>
      <c r="F230" s="382"/>
      <c r="G230" s="382"/>
      <c r="H230" s="382"/>
      <c r="I230" s="382"/>
      <c r="J230" s="382">
        <v>1.5581335887572001</v>
      </c>
      <c r="K230" s="382">
        <v>1.60764361087921</v>
      </c>
      <c r="L230" s="382">
        <v>1.63696772866907</v>
      </c>
      <c r="M230" s="382">
        <v>1.6934337043028</v>
      </c>
      <c r="N230" s="382">
        <v>1.7477174200273899</v>
      </c>
      <c r="O230" s="382">
        <v>1.78004214520767</v>
      </c>
      <c r="P230" s="382">
        <v>1.82136869260149</v>
      </c>
      <c r="Q230" s="382">
        <v>1.86446832618021</v>
      </c>
      <c r="R230" s="382">
        <v>2.0796937116085901</v>
      </c>
      <c r="S230" s="382">
        <v>2.4808203646619198</v>
      </c>
      <c r="T230" s="382">
        <v>2.7796535835897598</v>
      </c>
      <c r="U230" s="382">
        <v>2.9611903313704602</v>
      </c>
      <c r="V230" s="382">
        <v>3.5772695873597899</v>
      </c>
      <c r="W230" s="382">
        <v>3.8819676298420598</v>
      </c>
      <c r="X230" s="382">
        <v>4.5206878325909896</v>
      </c>
      <c r="Y230" s="382">
        <v>5.36533203530111</v>
      </c>
      <c r="Z230" s="382">
        <v>6.4413921180193396</v>
      </c>
      <c r="AA230" s="382">
        <v>7.1375405044938303</v>
      </c>
      <c r="AB230" s="382">
        <v>7.9631772427267</v>
      </c>
      <c r="AC230" s="382">
        <v>8.9935906098955698</v>
      </c>
      <c r="AD230" s="382">
        <v>10.8339160905682</v>
      </c>
      <c r="AE230" s="382">
        <v>12.322179305373</v>
      </c>
      <c r="AF230" s="382">
        <v>13.9704708228449</v>
      </c>
      <c r="AG230" s="382">
        <v>16.819687195355399</v>
      </c>
      <c r="AH230" s="382">
        <v>18.088928505374302</v>
      </c>
      <c r="AI230" s="382">
        <v>20.457183467362398</v>
      </c>
      <c r="AJ230" s="382">
        <v>22.2848909537894</v>
      </c>
      <c r="AK230" s="382">
        <v>23.969248833437899</v>
      </c>
      <c r="AL230" s="382">
        <v>26.851173219715999</v>
      </c>
      <c r="AM230" s="382">
        <v>30.5483984945473</v>
      </c>
      <c r="AN230" s="382">
        <v>34.3023663220618</v>
      </c>
      <c r="AO230" s="382">
        <v>36.506366526282903</v>
      </c>
      <c r="AP230" s="382">
        <v>39.1075645992861</v>
      </c>
      <c r="AQ230" s="382">
        <v>42.279174649262501</v>
      </c>
      <c r="AR230" s="382">
        <v>44.853494670994699</v>
      </c>
      <c r="AS230" s="382">
        <v>50.329449649937203</v>
      </c>
      <c r="AT230" s="382">
        <v>53.320080821355603</v>
      </c>
      <c r="AU230" s="382">
        <v>59.729002824415602</v>
      </c>
      <c r="AV230" s="382">
        <v>64.083247130315499</v>
      </c>
      <c r="AW230" s="382">
        <v>66.291129719719905</v>
      </c>
      <c r="AX230" s="382">
        <v>69.455870934371603</v>
      </c>
      <c r="AY230" s="382">
        <v>73.140254473595604</v>
      </c>
      <c r="AZ230" s="382">
        <v>79.047125992087501</v>
      </c>
      <c r="BA230" s="382">
        <v>89.052484493022803</v>
      </c>
      <c r="BB230" s="382">
        <v>95.685322129667099</v>
      </c>
      <c r="BC230" s="382">
        <v>100</v>
      </c>
      <c r="BD230" s="382">
        <v>106.107427145903</v>
      </c>
      <c r="BE230" s="382">
        <v>115.593056390898</v>
      </c>
      <c r="BF230" s="382">
        <v>122.090896076668</v>
      </c>
      <c r="BG230" s="382">
        <v>129.02730580635401</v>
      </c>
      <c r="BH230" s="382">
        <v>135.41576375250199</v>
      </c>
      <c r="BI230" s="382">
        <v>146.042210573467</v>
      </c>
      <c r="BJ230" s="382">
        <v>155.12804457407799</v>
      </c>
      <c r="BK230" s="382">
        <v>162.597555594944</v>
      </c>
      <c r="BL230" s="382">
        <v>166.821866435163</v>
      </c>
      <c r="BM230" s="382"/>
      <c r="BN230" s="382"/>
      <c r="BO230" s="382"/>
      <c r="BP230" s="382"/>
    </row>
    <row r="231" spans="1:68">
      <c r="A231" s="382" t="s">
        <v>2237</v>
      </c>
      <c r="B231" s="382" t="s">
        <v>2608</v>
      </c>
      <c r="C231" s="382" t="s">
        <v>2334</v>
      </c>
      <c r="D231" s="382" t="s">
        <v>2335</v>
      </c>
      <c r="E231" s="382"/>
      <c r="F231" s="382"/>
      <c r="G231" s="382"/>
      <c r="H231" s="382"/>
      <c r="I231" s="382"/>
      <c r="J231" s="382"/>
      <c r="K231" s="382"/>
      <c r="L231" s="382"/>
      <c r="M231" s="382"/>
      <c r="N231" s="382"/>
      <c r="O231" s="382"/>
      <c r="P231" s="382"/>
      <c r="Q231" s="382"/>
      <c r="R231" s="382"/>
      <c r="S231" s="382"/>
      <c r="T231" s="382"/>
      <c r="U231" s="382"/>
      <c r="V231" s="382"/>
      <c r="W231" s="382"/>
      <c r="X231" s="382"/>
      <c r="Y231" s="382"/>
      <c r="Z231" s="382"/>
      <c r="AA231" s="382"/>
      <c r="AB231" s="382"/>
      <c r="AC231" s="382"/>
      <c r="AD231" s="382"/>
      <c r="AE231" s="382"/>
      <c r="AF231" s="382"/>
      <c r="AG231" s="382"/>
      <c r="AH231" s="382"/>
      <c r="AI231" s="382"/>
      <c r="AJ231" s="382"/>
      <c r="AK231" s="382"/>
      <c r="AL231" s="382"/>
      <c r="AM231" s="382"/>
      <c r="AN231" s="382"/>
      <c r="AO231" s="382"/>
      <c r="AP231" s="382"/>
      <c r="AQ231" s="382"/>
      <c r="AR231" s="382"/>
      <c r="AS231" s="382"/>
      <c r="AT231" s="382"/>
      <c r="AU231" s="382"/>
      <c r="AV231" s="382"/>
      <c r="AW231" s="382"/>
      <c r="AX231" s="382">
        <v>89.283817196304696</v>
      </c>
      <c r="AY231" s="382">
        <v>89.552205424349694</v>
      </c>
      <c r="AZ231" s="382">
        <v>93.521568908118397</v>
      </c>
      <c r="BA231" s="382">
        <v>93.130715131616498</v>
      </c>
      <c r="BB231" s="382">
        <v>98.679104969990803</v>
      </c>
      <c r="BC231" s="382">
        <v>100</v>
      </c>
      <c r="BD231" s="382">
        <v>104.58475435650401</v>
      </c>
      <c r="BE231" s="382">
        <v>108.78402490034701</v>
      </c>
      <c r="BF231" s="382">
        <v>111.534789845625</v>
      </c>
      <c r="BG231" s="382">
        <v>113.639177693628</v>
      </c>
      <c r="BH231" s="382">
        <v>114.01421785026</v>
      </c>
      <c r="BI231" s="382">
        <v>114.14155195667399</v>
      </c>
      <c r="BJ231" s="382">
        <v>116.643546314853</v>
      </c>
      <c r="BK231" s="382"/>
      <c r="BL231" s="382"/>
      <c r="BM231" s="382"/>
      <c r="BN231" s="382"/>
      <c r="BO231" s="382"/>
      <c r="BP231" s="382"/>
    </row>
    <row r="232" spans="1:68">
      <c r="A232" s="382" t="s">
        <v>2023</v>
      </c>
      <c r="B232" s="382" t="s">
        <v>2609</v>
      </c>
      <c r="C232" s="382" t="s">
        <v>2334</v>
      </c>
      <c r="D232" s="382" t="s">
        <v>2335</v>
      </c>
      <c r="E232" s="382"/>
      <c r="F232" s="382"/>
      <c r="G232" s="382"/>
      <c r="H232" s="382"/>
      <c r="I232" s="382"/>
      <c r="J232" s="382"/>
      <c r="K232" s="382"/>
      <c r="L232" s="382"/>
      <c r="M232" s="382"/>
      <c r="N232" s="382"/>
      <c r="O232" s="382">
        <v>6.1268710989519199</v>
      </c>
      <c r="P232" s="382">
        <v>7.02135095444405</v>
      </c>
      <c r="Q232" s="382">
        <v>8.4916917058448806</v>
      </c>
      <c r="R232" s="382">
        <v>10.0405589430465</v>
      </c>
      <c r="S232" s="382">
        <v>12.4929320685729</v>
      </c>
      <c r="T232" s="382">
        <v>14.818038130850701</v>
      </c>
      <c r="U232" s="382">
        <v>17.021292749725799</v>
      </c>
      <c r="V232" s="382">
        <v>19.5675366169081</v>
      </c>
      <c r="W232" s="382">
        <v>21.873228616370898</v>
      </c>
      <c r="X232" s="382">
        <v>24.603044562077599</v>
      </c>
      <c r="Y232" s="382">
        <v>27.942056721712301</v>
      </c>
      <c r="Z232" s="382">
        <v>30.8974294935249</v>
      </c>
      <c r="AA232" s="382">
        <v>30.615445130481</v>
      </c>
      <c r="AB232" s="382">
        <v>32.4684852304838</v>
      </c>
      <c r="AC232" s="382">
        <v>33.797840084833602</v>
      </c>
      <c r="AD232" s="382">
        <v>34.079824447877499</v>
      </c>
      <c r="AE232" s="382">
        <v>34.160391408747202</v>
      </c>
      <c r="AF232" s="382">
        <v>35.046627978313701</v>
      </c>
      <c r="AG232" s="382">
        <v>35.691163665271198</v>
      </c>
      <c r="AH232" s="382">
        <v>36.255132391358998</v>
      </c>
      <c r="AI232" s="382">
        <v>37.665054206578603</v>
      </c>
      <c r="AJ232" s="382">
        <v>38.4133665418086</v>
      </c>
      <c r="AK232" s="382">
        <v>39.660553767191999</v>
      </c>
      <c r="AL232" s="382">
        <v>40.209316146360699</v>
      </c>
      <c r="AM232" s="382">
        <v>40.907740992575398</v>
      </c>
      <c r="AN232" s="382">
        <v>40.807966014544697</v>
      </c>
      <c r="AO232" s="382">
        <v>40.358978613406698</v>
      </c>
      <c r="AP232" s="382">
        <v>40.6084160584834</v>
      </c>
      <c r="AQ232" s="382">
        <v>41.656053327805402</v>
      </c>
      <c r="AR232" s="382">
        <v>44.3000902456182</v>
      </c>
      <c r="AS232" s="382">
        <v>47.077160467471899</v>
      </c>
      <c r="AT232" s="382">
        <v>49.887489015335902</v>
      </c>
      <c r="AU232" s="382">
        <v>49.974792121112699</v>
      </c>
      <c r="AV232" s="382">
        <v>51.625236549369902</v>
      </c>
      <c r="AW232" s="382">
        <v>53.616578819232203</v>
      </c>
      <c r="AX232" s="382">
        <v>54.102981837131701</v>
      </c>
      <c r="AY232" s="382">
        <v>53.9117464625729</v>
      </c>
      <c r="AZ232" s="382">
        <v>56.780174991959498</v>
      </c>
      <c r="BA232" s="382">
        <v>77.768829432973305</v>
      </c>
      <c r="BB232" s="382">
        <v>102.463886316225</v>
      </c>
      <c r="BC232" s="382">
        <v>100</v>
      </c>
      <c r="BD232" s="382">
        <v>102.559267722309</v>
      </c>
      <c r="BE232" s="382">
        <v>109.851611765871</v>
      </c>
      <c r="BF232" s="382">
        <v>114.618005623296</v>
      </c>
      <c r="BG232" s="382">
        <v>116.206421540945</v>
      </c>
      <c r="BH232" s="382">
        <v>120.90342014867301</v>
      </c>
      <c r="BI232" s="382">
        <v>119.675667780057</v>
      </c>
      <c r="BJ232" s="382">
        <v>123.09455717778501</v>
      </c>
      <c r="BK232" s="382">
        <v>127.652648173983</v>
      </c>
      <c r="BL232" s="382">
        <v>129.95945153031599</v>
      </c>
      <c r="BM232" s="382">
        <v>131.522427900042</v>
      </c>
      <c r="BN232" s="382">
        <v>144.370984575085</v>
      </c>
      <c r="BO232" s="382">
        <v>148.16221907785899</v>
      </c>
      <c r="BP232" s="382">
        <v>146.62829431351801</v>
      </c>
    </row>
    <row r="233" spans="1:68">
      <c r="A233" s="382" t="s">
        <v>2319</v>
      </c>
      <c r="B233" s="382" t="s">
        <v>2610</v>
      </c>
      <c r="C233" s="382" t="s">
        <v>2334</v>
      </c>
      <c r="D233" s="382" t="s">
        <v>2335</v>
      </c>
      <c r="E233" s="382">
        <v>1.4534473315582199</v>
      </c>
      <c r="F233" s="382">
        <v>1.48191877880353</v>
      </c>
      <c r="G233" s="382">
        <v>1.4249219026957101</v>
      </c>
      <c r="H233" s="382">
        <v>1.45223290583071</v>
      </c>
      <c r="I233" s="382">
        <v>1.53060361047898</v>
      </c>
      <c r="J233" s="382">
        <v>1.47123186453332</v>
      </c>
      <c r="K233" s="382">
        <v>1.5270413057222401</v>
      </c>
      <c r="L233" s="382">
        <v>1.6255984039920099</v>
      </c>
      <c r="M233" s="382">
        <v>1.6719083658296201</v>
      </c>
      <c r="N233" s="382">
        <v>1.63866018810006</v>
      </c>
      <c r="O233" s="382">
        <v>1.7146560229104899</v>
      </c>
      <c r="P233" s="382">
        <v>1.8108382513424499</v>
      </c>
      <c r="Q233" s="382">
        <v>1.84883616874768</v>
      </c>
      <c r="R233" s="382">
        <v>2.2252530380431299</v>
      </c>
      <c r="S233" s="382">
        <v>2.5707965994468398</v>
      </c>
      <c r="T233" s="382">
        <v>2.8655376108483899</v>
      </c>
      <c r="U233" s="382">
        <v>3.1930276235167798</v>
      </c>
      <c r="V233" s="382">
        <v>3.5750993049632198</v>
      </c>
      <c r="W233" s="382">
        <v>3.7470315616141301</v>
      </c>
      <c r="X233" s="382">
        <v>3.9175992765455798</v>
      </c>
      <c r="Y233" s="382">
        <v>4.6735553891217796</v>
      </c>
      <c r="Z233" s="382">
        <v>5.5332166723762999</v>
      </c>
      <c r="AA233" s="382">
        <v>6.32465086965823</v>
      </c>
      <c r="AB233" s="382">
        <v>6.7121807179824904</v>
      </c>
      <c r="AC233" s="382">
        <v>7.33168265861352</v>
      </c>
      <c r="AD233" s="382">
        <v>8.5966128325451692</v>
      </c>
      <c r="AE233" s="382">
        <v>11.696851619139199</v>
      </c>
      <c r="AF233" s="382">
        <v>18.654649846622998</v>
      </c>
      <c r="AG233" s="382">
        <v>25.102109471031898</v>
      </c>
      <c r="AH233" s="382">
        <v>27.9635534567219</v>
      </c>
      <c r="AI233" s="382">
        <v>33.387606791542098</v>
      </c>
      <c r="AJ233" s="382">
        <v>36.392491402780898</v>
      </c>
      <c r="AK233" s="382">
        <v>40.399004217765899</v>
      </c>
      <c r="AL233" s="382">
        <v>45.741021304412698</v>
      </c>
      <c r="AM233" s="382">
        <v>52.752418730636499</v>
      </c>
      <c r="AN233" s="382">
        <v>56.962039486936597</v>
      </c>
      <c r="AO233" s="382">
        <v>61.661345142846201</v>
      </c>
      <c r="AP233" s="382">
        <v>62.824346779418498</v>
      </c>
      <c r="AQ233" s="382">
        <v>62.323532677545302</v>
      </c>
      <c r="AR233" s="382">
        <v>60.015253689488098</v>
      </c>
      <c r="AS233" s="382">
        <v>57.706974701430902</v>
      </c>
      <c r="AT233" s="382">
        <v>59.438183942473799</v>
      </c>
      <c r="AU233" s="382">
        <v>59.360613972655898</v>
      </c>
      <c r="AV233" s="382">
        <v>62.8016475245647</v>
      </c>
      <c r="AW233" s="382">
        <v>65.585733340258301</v>
      </c>
      <c r="AX233" s="382">
        <v>70.334369586372603</v>
      </c>
      <c r="AY233" s="382">
        <v>77.384764539745206</v>
      </c>
      <c r="AZ233" s="382">
        <v>80.4087363386503</v>
      </c>
      <c r="BA233" s="382">
        <v>93.069353382047893</v>
      </c>
      <c r="BB233" s="382">
        <v>95.787813442775303</v>
      </c>
      <c r="BC233" s="382">
        <v>100</v>
      </c>
      <c r="BD233" s="382">
        <v>104.753163888857</v>
      </c>
      <c r="BE233" s="382">
        <v>143.199979473582</v>
      </c>
      <c r="BF233" s="382"/>
      <c r="BG233" s="382"/>
      <c r="BH233" s="382"/>
      <c r="BI233" s="382"/>
      <c r="BJ233" s="382"/>
      <c r="BK233" s="382"/>
      <c r="BL233" s="382"/>
      <c r="BM233" s="382"/>
      <c r="BN233" s="382"/>
      <c r="BO233" s="382"/>
      <c r="BP233" s="382"/>
    </row>
    <row r="234" spans="1:68">
      <c r="A234" s="382" t="s">
        <v>2235</v>
      </c>
      <c r="B234" s="382" t="s">
        <v>2611</v>
      </c>
      <c r="C234" s="382" t="s">
        <v>2334</v>
      </c>
      <c r="D234" s="382" t="s">
        <v>2335</v>
      </c>
      <c r="E234" s="382"/>
      <c r="F234" s="382"/>
      <c r="G234" s="382"/>
      <c r="H234" s="382"/>
      <c r="I234" s="382"/>
      <c r="J234" s="382"/>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c r="AK234" s="382"/>
      <c r="AL234" s="382"/>
      <c r="AM234" s="382"/>
      <c r="AN234" s="382"/>
      <c r="AO234" s="382"/>
      <c r="AP234" s="382"/>
      <c r="AQ234" s="382"/>
      <c r="AR234" s="382"/>
      <c r="AS234" s="382"/>
      <c r="AT234" s="382"/>
      <c r="AU234" s="382"/>
      <c r="AV234" s="382"/>
      <c r="AW234" s="382"/>
      <c r="AX234" s="382"/>
      <c r="AY234" s="382"/>
      <c r="AZ234" s="382"/>
      <c r="BA234" s="382"/>
      <c r="BB234" s="382"/>
      <c r="BC234" s="382"/>
      <c r="BD234" s="382"/>
      <c r="BE234" s="382"/>
      <c r="BF234" s="382"/>
      <c r="BG234" s="382"/>
      <c r="BH234" s="382"/>
      <c r="BI234" s="382"/>
      <c r="BJ234" s="382"/>
      <c r="BK234" s="382"/>
      <c r="BL234" s="382"/>
      <c r="BM234" s="382"/>
      <c r="BN234" s="382"/>
      <c r="BO234" s="382"/>
      <c r="BP234" s="382"/>
    </row>
    <row r="235" spans="1:68">
      <c r="A235" s="382" t="s">
        <v>1081</v>
      </c>
      <c r="B235" s="382" t="s">
        <v>2612</v>
      </c>
      <c r="C235" s="382" t="s">
        <v>2334</v>
      </c>
      <c r="D235" s="382" t="s">
        <v>2335</v>
      </c>
      <c r="E235" s="382"/>
      <c r="F235" s="382"/>
      <c r="G235" s="382"/>
      <c r="H235" s="382"/>
      <c r="I235" s="382"/>
      <c r="J235" s="382"/>
      <c r="K235" s="382"/>
      <c r="L235" s="382"/>
      <c r="M235" s="382"/>
      <c r="N235" s="382"/>
      <c r="O235" s="382"/>
      <c r="P235" s="382"/>
      <c r="Q235" s="382"/>
      <c r="R235" s="382"/>
      <c r="S235" s="382"/>
      <c r="T235" s="382"/>
      <c r="U235" s="382"/>
      <c r="V235" s="382"/>
      <c r="W235" s="382"/>
      <c r="X235" s="382"/>
      <c r="Y235" s="382"/>
      <c r="Z235" s="382"/>
      <c r="AA235" s="382"/>
      <c r="AB235" s="382">
        <v>38.131979133221598</v>
      </c>
      <c r="AC235" s="382">
        <v>45.854046592099898</v>
      </c>
      <c r="AD235" s="382">
        <v>48.217363697877602</v>
      </c>
      <c r="AE235" s="382">
        <v>41.921828612486799</v>
      </c>
      <c r="AF235" s="382">
        <v>39.4170652677156</v>
      </c>
      <c r="AG235" s="382">
        <v>45.517848502202099</v>
      </c>
      <c r="AH235" s="382">
        <v>43.838633801922299</v>
      </c>
      <c r="AI235" s="382">
        <v>43.514980943208101</v>
      </c>
      <c r="AJ235" s="382">
        <v>44.904794923445898</v>
      </c>
      <c r="AK235" s="382">
        <v>43.506894884213203</v>
      </c>
      <c r="AL235" s="382">
        <v>39.8401627213224</v>
      </c>
      <c r="AM235" s="382">
        <v>56.4634296756252</v>
      </c>
      <c r="AN235" s="382">
        <v>61.675188304159903</v>
      </c>
      <c r="AO235" s="382">
        <v>68.663529205784101</v>
      </c>
      <c r="AP235" s="382">
        <v>72.489637594790906</v>
      </c>
      <c r="AQ235" s="382">
        <v>75.576863324514704</v>
      </c>
      <c r="AR235" s="382">
        <v>69.511774978298604</v>
      </c>
      <c r="AS235" s="382">
        <v>72.168932700922596</v>
      </c>
      <c r="AT235" s="382">
        <v>81.140459509169503</v>
      </c>
      <c r="AU235" s="382">
        <v>85.353125263669497</v>
      </c>
      <c r="AV235" s="382">
        <v>83.857252497697104</v>
      </c>
      <c r="AW235" s="382">
        <v>79.366360955215299</v>
      </c>
      <c r="AX235" s="382">
        <v>85.628657057228494</v>
      </c>
      <c r="AY235" s="382">
        <v>92.510023387623804</v>
      </c>
      <c r="AZ235" s="382">
        <v>84.2074896660977</v>
      </c>
      <c r="BA235" s="382">
        <v>92.878314517434504</v>
      </c>
      <c r="BB235" s="382">
        <v>102.121957167557</v>
      </c>
      <c r="BC235" s="382">
        <v>100</v>
      </c>
      <c r="BD235" s="382">
        <v>102.02924053678301</v>
      </c>
      <c r="BE235" s="382">
        <v>109.698394557456</v>
      </c>
      <c r="BF235" s="382">
        <v>109.942661688985</v>
      </c>
      <c r="BG235" s="382">
        <v>111.791867727178</v>
      </c>
      <c r="BH235" s="382">
        <v>116.68513936273099</v>
      </c>
      <c r="BI235" s="382">
        <v>115.760479031492</v>
      </c>
      <c r="BJ235" s="382">
        <v>113.981125136835</v>
      </c>
      <c r="BK235" s="382">
        <v>118.853387371944</v>
      </c>
      <c r="BL235" s="382">
        <v>117.698204738763</v>
      </c>
      <c r="BM235" s="382">
        <v>122.952422521941</v>
      </c>
      <c r="BN235" s="382">
        <v>122.00219164626</v>
      </c>
      <c r="BO235" s="382">
        <v>129.06371129102601</v>
      </c>
      <c r="BP235" s="382">
        <v>143.04951559744899</v>
      </c>
    </row>
    <row r="236" spans="1:68">
      <c r="A236" s="382" t="s">
        <v>2613</v>
      </c>
      <c r="B236" s="382" t="s">
        <v>2614</v>
      </c>
      <c r="C236" s="382" t="s">
        <v>2334</v>
      </c>
      <c r="D236" s="382" t="s">
        <v>2335</v>
      </c>
      <c r="E236" s="382"/>
      <c r="F236" s="382"/>
      <c r="G236" s="382"/>
      <c r="H236" s="382"/>
      <c r="I236" s="382"/>
      <c r="J236" s="382"/>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382"/>
      <c r="AJ236" s="382"/>
      <c r="AK236" s="382"/>
      <c r="AL236" s="382"/>
      <c r="AM236" s="382"/>
      <c r="AN236" s="382"/>
      <c r="AO236" s="382"/>
      <c r="AP236" s="382"/>
      <c r="AQ236" s="382"/>
      <c r="AR236" s="382"/>
      <c r="AS236" s="382"/>
      <c r="AT236" s="382"/>
      <c r="AU236" s="382"/>
      <c r="AV236" s="382"/>
      <c r="AW236" s="382"/>
      <c r="AX236" s="382"/>
      <c r="AY236" s="382"/>
      <c r="AZ236" s="382"/>
      <c r="BA236" s="382"/>
      <c r="BB236" s="382"/>
      <c r="BC236" s="382"/>
      <c r="BD236" s="382"/>
      <c r="BE236" s="382"/>
      <c r="BF236" s="382"/>
      <c r="BG236" s="382"/>
      <c r="BH236" s="382"/>
      <c r="BI236" s="382"/>
      <c r="BJ236" s="382"/>
      <c r="BK236" s="382"/>
      <c r="BL236" s="382"/>
      <c r="BM236" s="382"/>
      <c r="BN236" s="382"/>
      <c r="BO236" s="382"/>
      <c r="BP236" s="382"/>
    </row>
    <row r="237" spans="1:68">
      <c r="A237" s="382" t="s">
        <v>2615</v>
      </c>
      <c r="B237" s="382" t="s">
        <v>2616</v>
      </c>
      <c r="C237" s="382" t="s">
        <v>2334</v>
      </c>
      <c r="D237" s="382" t="s">
        <v>2335</v>
      </c>
      <c r="E237" s="382"/>
      <c r="F237" s="382"/>
      <c r="G237" s="382"/>
      <c r="H237" s="382"/>
      <c r="I237" s="382"/>
      <c r="J237" s="382"/>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382"/>
      <c r="AJ237" s="382"/>
      <c r="AK237" s="382"/>
      <c r="AL237" s="382"/>
      <c r="AM237" s="382"/>
      <c r="AN237" s="382"/>
      <c r="AO237" s="382"/>
      <c r="AP237" s="382"/>
      <c r="AQ237" s="382"/>
      <c r="AR237" s="382"/>
      <c r="AS237" s="382"/>
      <c r="AT237" s="382"/>
      <c r="AU237" s="382"/>
      <c r="AV237" s="382"/>
      <c r="AW237" s="382"/>
      <c r="AX237" s="382"/>
      <c r="AY237" s="382"/>
      <c r="AZ237" s="382"/>
      <c r="BA237" s="382"/>
      <c r="BB237" s="382"/>
      <c r="BC237" s="382"/>
      <c r="BD237" s="382"/>
      <c r="BE237" s="382"/>
      <c r="BF237" s="382"/>
      <c r="BG237" s="382"/>
      <c r="BH237" s="382"/>
      <c r="BI237" s="382"/>
      <c r="BJ237" s="382"/>
      <c r="BK237" s="382"/>
      <c r="BL237" s="382"/>
      <c r="BM237" s="382"/>
      <c r="BN237" s="382"/>
      <c r="BO237" s="382"/>
      <c r="BP237" s="382"/>
    </row>
    <row r="238" spans="1:68">
      <c r="A238" s="382" t="s">
        <v>2041</v>
      </c>
      <c r="B238" s="382" t="s">
        <v>2617</v>
      </c>
      <c r="C238" s="382" t="s">
        <v>2334</v>
      </c>
      <c r="D238" s="382" t="s">
        <v>2335</v>
      </c>
      <c r="E238" s="382"/>
      <c r="F238" s="382"/>
      <c r="G238" s="382"/>
      <c r="H238" s="382"/>
      <c r="I238" s="382"/>
      <c r="J238" s="382"/>
      <c r="K238" s="382">
        <v>9.5750431790968307</v>
      </c>
      <c r="L238" s="382">
        <v>9.3530131922426598</v>
      </c>
      <c r="M238" s="382">
        <v>9.3807669406803793</v>
      </c>
      <c r="N238" s="382">
        <v>9.9450931570329395</v>
      </c>
      <c r="O238" s="382">
        <v>10.390695005425799</v>
      </c>
      <c r="P238" s="382">
        <v>11.0652652776743</v>
      </c>
      <c r="Q238" s="382">
        <v>11.920234914236101</v>
      </c>
      <c r="R238" s="382">
        <v>12.3511889510409</v>
      </c>
      <c r="S238" s="382">
        <v>13.936085080217801</v>
      </c>
      <c r="T238" s="382">
        <v>16.446280527031401</v>
      </c>
      <c r="U238" s="382">
        <v>18.360747771554301</v>
      </c>
      <c r="V238" s="382">
        <v>22.484023360167502</v>
      </c>
      <c r="W238" s="382">
        <v>22.5835765660444</v>
      </c>
      <c r="X238" s="382">
        <v>24.286209135048399</v>
      </c>
      <c r="Y238" s="382">
        <v>27.2750782155987</v>
      </c>
      <c r="Z238" s="382">
        <v>32.652769656345598</v>
      </c>
      <c r="AA238" s="382">
        <v>36.286916251700902</v>
      </c>
      <c r="AB238" s="382">
        <v>39.681726030187299</v>
      </c>
      <c r="AC238" s="382">
        <v>38.2822988873016</v>
      </c>
      <c r="AD238" s="382">
        <v>37.5876993504071</v>
      </c>
      <c r="AE238" s="382">
        <v>39.138047335079001</v>
      </c>
      <c r="AF238" s="382">
        <v>39.159185344546003</v>
      </c>
      <c r="AG238" s="382">
        <v>39.100089834208099</v>
      </c>
      <c r="AH238" s="382">
        <v>38.771882461408502</v>
      </c>
      <c r="AI238" s="382">
        <v>39.165549476428403</v>
      </c>
      <c r="AJ238" s="382">
        <v>39.3171521894877</v>
      </c>
      <c r="AK238" s="382">
        <v>39.865149402659199</v>
      </c>
      <c r="AL238" s="382">
        <v>39.463754513210603</v>
      </c>
      <c r="AM238" s="382">
        <v>54.918852892506997</v>
      </c>
      <c r="AN238" s="382">
        <v>63.943944478624601</v>
      </c>
      <c r="AO238" s="382">
        <v>66.9413168760601</v>
      </c>
      <c r="AP238" s="382">
        <v>72.464527839431199</v>
      </c>
      <c r="AQ238" s="382">
        <v>73.171302192123903</v>
      </c>
      <c r="AR238" s="382">
        <v>73.132365089853806</v>
      </c>
      <c r="AS238" s="382">
        <v>74.494532876779701</v>
      </c>
      <c r="AT238" s="382">
        <v>77.414414133607593</v>
      </c>
      <c r="AU238" s="382">
        <v>79.783154757272897</v>
      </c>
      <c r="AV238" s="382">
        <v>79.041170712689507</v>
      </c>
      <c r="AW238" s="382">
        <v>79.351864703998899</v>
      </c>
      <c r="AX238" s="382">
        <v>84.7342452917256</v>
      </c>
      <c r="AY238" s="382">
        <v>86.622952803310596</v>
      </c>
      <c r="AZ238" s="382">
        <v>87.442122915133197</v>
      </c>
      <c r="BA238" s="382">
        <v>95.045065227753696</v>
      </c>
      <c r="BB238" s="382">
        <v>98.574664397059706</v>
      </c>
      <c r="BC238" s="382">
        <v>100</v>
      </c>
      <c r="BD238" s="382">
        <v>103.563514729039</v>
      </c>
      <c r="BE238" s="382">
        <v>106.23253472051699</v>
      </c>
      <c r="BF238" s="382">
        <v>108.171697841756</v>
      </c>
      <c r="BG238" s="382">
        <v>108.378170652492</v>
      </c>
      <c r="BH238" s="382">
        <v>111.17975059929501</v>
      </c>
      <c r="BI238" s="382">
        <v>112.608909002895</v>
      </c>
      <c r="BJ238" s="382">
        <v>111.50321353386801</v>
      </c>
      <c r="BK238" s="382">
        <v>112.53769064810299</v>
      </c>
      <c r="BL238" s="382">
        <v>113.296929295441</v>
      </c>
      <c r="BM238" s="382">
        <v>115.22216660461299</v>
      </c>
      <c r="BN238" s="382">
        <v>120.045614301505</v>
      </c>
      <c r="BO238" s="382">
        <v>129.61033699397299</v>
      </c>
      <c r="BP238" s="382"/>
    </row>
    <row r="239" spans="1:68">
      <c r="A239" s="382" t="s">
        <v>1096</v>
      </c>
      <c r="B239" s="382" t="s">
        <v>2618</v>
      </c>
      <c r="C239" s="382" t="s">
        <v>2334</v>
      </c>
      <c r="D239" s="382" t="s">
        <v>2335</v>
      </c>
      <c r="E239" s="382">
        <v>10.211210223879901</v>
      </c>
      <c r="F239" s="382">
        <v>10.9655113098776</v>
      </c>
      <c r="G239" s="382">
        <v>11.370807415786899</v>
      </c>
      <c r="H239" s="382">
        <v>11.370807415786899</v>
      </c>
      <c r="I239" s="382">
        <v>11.280741614473699</v>
      </c>
      <c r="J239" s="382">
        <v>11.2995053230525</v>
      </c>
      <c r="K239" s="382">
        <v>11.7554634421535</v>
      </c>
      <c r="L239" s="382">
        <v>12.262083574530701</v>
      </c>
      <c r="M239" s="382">
        <v>12.4816189652408</v>
      </c>
      <c r="N239" s="382">
        <v>12.787467415524</v>
      </c>
      <c r="O239" s="382">
        <v>12.7762091903975</v>
      </c>
      <c r="P239" s="382">
        <v>12.838129428772101</v>
      </c>
      <c r="Q239" s="382">
        <v>13.459208183670199</v>
      </c>
      <c r="R239" s="382">
        <v>15.5466707661794</v>
      </c>
      <c r="S239" s="382">
        <v>19.326619865031901</v>
      </c>
      <c r="T239" s="382">
        <v>20.3567474675699</v>
      </c>
      <c r="U239" s="382">
        <v>21.201411121048501</v>
      </c>
      <c r="V239" s="382">
        <v>22.812986962195701</v>
      </c>
      <c r="W239" s="382">
        <v>24.6207085472419</v>
      </c>
      <c r="X239" s="382">
        <v>27.057510175486001</v>
      </c>
      <c r="Y239" s="382">
        <v>32.3887868343636</v>
      </c>
      <c r="Z239" s="382">
        <v>36.490176666986997</v>
      </c>
      <c r="AA239" s="382">
        <v>38.409224214711102</v>
      </c>
      <c r="AB239" s="382">
        <v>39.8405580210068</v>
      </c>
      <c r="AC239" s="382">
        <v>40.185138381945002</v>
      </c>
      <c r="AD239" s="382">
        <v>41.162332943539397</v>
      </c>
      <c r="AE239" s="382">
        <v>41.9204097372536</v>
      </c>
      <c r="AF239" s="382">
        <v>42.954360348221698</v>
      </c>
      <c r="AG239" s="382">
        <v>44.613571632714198</v>
      </c>
      <c r="AH239" s="382">
        <v>47.002835882383501</v>
      </c>
      <c r="AI239" s="382">
        <v>49.759079707943798</v>
      </c>
      <c r="AJ239" s="382">
        <v>52.600249813843497</v>
      </c>
      <c r="AK239" s="382">
        <v>54.777450818907901</v>
      </c>
      <c r="AL239" s="382">
        <v>56.591784989794903</v>
      </c>
      <c r="AM239" s="382">
        <v>59.4483962375744</v>
      </c>
      <c r="AN239" s="382">
        <v>62.907212018669703</v>
      </c>
      <c r="AO239" s="382">
        <v>66.559042073263498</v>
      </c>
      <c r="AP239" s="382">
        <v>70.303518979136697</v>
      </c>
      <c r="AQ239" s="382">
        <v>75.924094623416494</v>
      </c>
      <c r="AR239" s="382">
        <v>76.140270609734898</v>
      </c>
      <c r="AS239" s="382">
        <v>77.352400247306306</v>
      </c>
      <c r="AT239" s="382">
        <v>78.6108533105172</v>
      </c>
      <c r="AU239" s="382">
        <v>79.159013847253306</v>
      </c>
      <c r="AV239" s="382">
        <v>80.587319471143104</v>
      </c>
      <c r="AW239" s="382">
        <v>82.810843901847207</v>
      </c>
      <c r="AX239" s="382">
        <v>86.570761949600296</v>
      </c>
      <c r="AY239" s="382">
        <v>90.585458838371494</v>
      </c>
      <c r="AZ239" s="382">
        <v>92.615968995577006</v>
      </c>
      <c r="BA239" s="382">
        <v>97.680663532180404</v>
      </c>
      <c r="BB239" s="382">
        <v>96.854562441607001</v>
      </c>
      <c r="BC239" s="382">
        <v>100</v>
      </c>
      <c r="BD239" s="382">
        <v>103.808790581396</v>
      </c>
      <c r="BE239" s="382">
        <v>106.93852129306801</v>
      </c>
      <c r="BF239" s="382">
        <v>109.275006271572</v>
      </c>
      <c r="BG239" s="382">
        <v>111.34592261312601</v>
      </c>
      <c r="BH239" s="382">
        <v>110.34333613031001</v>
      </c>
      <c r="BI239" s="382">
        <v>110.55094679111799</v>
      </c>
      <c r="BJ239" s="382">
        <v>111.286809151122</v>
      </c>
      <c r="BK239" s="382">
        <v>112.47078677806201</v>
      </c>
      <c r="BL239" s="382">
        <v>113.265649996346</v>
      </c>
      <c r="BM239" s="382">
        <v>112.307493787832</v>
      </c>
      <c r="BN239" s="382">
        <v>113.689320040059</v>
      </c>
      <c r="BO239" s="382">
        <v>120.598688742159</v>
      </c>
      <c r="BP239" s="382">
        <v>122.079672279536</v>
      </c>
    </row>
    <row r="240" spans="1:68">
      <c r="A240" s="382" t="s">
        <v>1991</v>
      </c>
      <c r="B240" s="382" t="s">
        <v>2619</v>
      </c>
      <c r="C240" s="382" t="s">
        <v>2334</v>
      </c>
      <c r="D240" s="382" t="s">
        <v>2335</v>
      </c>
      <c r="E240" s="382"/>
      <c r="F240" s="382"/>
      <c r="G240" s="382"/>
      <c r="H240" s="382"/>
      <c r="I240" s="382"/>
      <c r="J240" s="382"/>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382"/>
      <c r="AJ240" s="382"/>
      <c r="AK240" s="382"/>
      <c r="AL240" s="382"/>
      <c r="AM240" s="382"/>
      <c r="AN240" s="382"/>
      <c r="AO240" s="382"/>
      <c r="AP240" s="382"/>
      <c r="AQ240" s="382"/>
      <c r="AR240" s="382"/>
      <c r="AS240" s="382">
        <v>28.348768352565301</v>
      </c>
      <c r="AT240" s="382">
        <v>39.2890936953006</v>
      </c>
      <c r="AU240" s="382">
        <v>44.102001694977702</v>
      </c>
      <c r="AV240" s="382">
        <v>51.292167662524797</v>
      </c>
      <c r="AW240" s="382">
        <v>54.955436369308103</v>
      </c>
      <c r="AX240" s="382">
        <v>58.852838789186997</v>
      </c>
      <c r="AY240" s="382">
        <v>64.744517140063806</v>
      </c>
      <c r="AZ240" s="382">
        <v>73.257854439301397</v>
      </c>
      <c r="BA240" s="382">
        <v>88.254119583824405</v>
      </c>
      <c r="BB240" s="382">
        <v>93.944952444676204</v>
      </c>
      <c r="BC240" s="382">
        <v>100</v>
      </c>
      <c r="BD240" s="382">
        <v>112.431549043041</v>
      </c>
      <c r="BE240" s="382">
        <v>118.987619315709</v>
      </c>
      <c r="BF240" s="382">
        <v>124.94847836680199</v>
      </c>
      <c r="BG240" s="382">
        <v>132.57586783009901</v>
      </c>
      <c r="BH240" s="382">
        <v>140.15199467524801</v>
      </c>
      <c r="BI240" s="382">
        <v>148.56753447087999</v>
      </c>
      <c r="BJ240" s="382"/>
      <c r="BK240" s="382"/>
      <c r="BL240" s="382"/>
      <c r="BM240" s="382"/>
      <c r="BN240" s="382"/>
      <c r="BO240" s="382"/>
      <c r="BP240" s="382"/>
    </row>
    <row r="241" spans="1:68">
      <c r="A241" s="382" t="s">
        <v>1063</v>
      </c>
      <c r="B241" s="382" t="s">
        <v>2620</v>
      </c>
      <c r="C241" s="382" t="s">
        <v>2334</v>
      </c>
      <c r="D241" s="382" t="s">
        <v>2335</v>
      </c>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2"/>
      <c r="AQ241" s="382"/>
      <c r="AR241" s="382"/>
      <c r="AS241" s="382"/>
      <c r="AT241" s="382"/>
      <c r="AU241" s="382"/>
      <c r="AV241" s="382"/>
      <c r="AW241" s="382"/>
      <c r="AX241" s="382"/>
      <c r="AY241" s="382"/>
      <c r="AZ241" s="382"/>
      <c r="BA241" s="382"/>
      <c r="BB241" s="382"/>
      <c r="BC241" s="382"/>
      <c r="BD241" s="382"/>
      <c r="BE241" s="382"/>
      <c r="BF241" s="382"/>
      <c r="BG241" s="382"/>
      <c r="BH241" s="382"/>
      <c r="BI241" s="382"/>
      <c r="BJ241" s="382"/>
      <c r="BK241" s="382"/>
      <c r="BL241" s="382"/>
      <c r="BM241" s="382"/>
      <c r="BN241" s="382"/>
      <c r="BO241" s="382"/>
      <c r="BP241" s="382"/>
    </row>
    <row r="242" spans="1:68">
      <c r="A242" s="382" t="s">
        <v>2621</v>
      </c>
      <c r="B242" s="382" t="s">
        <v>2622</v>
      </c>
      <c r="C242" s="382" t="s">
        <v>2334</v>
      </c>
      <c r="D242" s="382" t="s">
        <v>2335</v>
      </c>
      <c r="E242" s="382"/>
      <c r="F242" s="382"/>
      <c r="G242" s="382"/>
      <c r="H242" s="382"/>
      <c r="I242" s="382"/>
      <c r="J242" s="382"/>
      <c r="K242" s="382"/>
      <c r="L242" s="382"/>
      <c r="M242" s="382"/>
      <c r="N242" s="382"/>
      <c r="O242" s="382"/>
      <c r="P242" s="382"/>
      <c r="Q242" s="382"/>
      <c r="R242" s="382"/>
      <c r="S242" s="382"/>
      <c r="T242" s="382"/>
      <c r="U242" s="382"/>
      <c r="V242" s="382"/>
      <c r="W242" s="382"/>
      <c r="X242" s="382"/>
      <c r="Y242" s="382"/>
      <c r="Z242" s="382"/>
      <c r="AA242" s="382"/>
      <c r="AB242" s="382"/>
      <c r="AC242" s="382"/>
      <c r="AD242" s="382"/>
      <c r="AE242" s="382"/>
      <c r="AF242" s="382"/>
      <c r="AG242" s="382"/>
      <c r="AH242" s="382"/>
      <c r="AI242" s="382"/>
      <c r="AJ242" s="382"/>
      <c r="AK242" s="382"/>
      <c r="AL242" s="382"/>
      <c r="AM242" s="382"/>
      <c r="AN242" s="382"/>
      <c r="AO242" s="382"/>
      <c r="AP242" s="382"/>
      <c r="AQ242" s="382"/>
      <c r="AR242" s="382"/>
      <c r="AS242" s="382"/>
      <c r="AT242" s="382"/>
      <c r="AU242" s="382"/>
      <c r="AV242" s="382"/>
      <c r="AW242" s="382"/>
      <c r="AX242" s="382"/>
      <c r="AY242" s="382"/>
      <c r="AZ242" s="382"/>
      <c r="BA242" s="382"/>
      <c r="BB242" s="382"/>
      <c r="BC242" s="382"/>
      <c r="BD242" s="382"/>
      <c r="BE242" s="382"/>
      <c r="BF242" s="382"/>
      <c r="BG242" s="382"/>
      <c r="BH242" s="382"/>
      <c r="BI242" s="382"/>
      <c r="BJ242" s="382"/>
      <c r="BK242" s="382"/>
      <c r="BL242" s="382"/>
      <c r="BM242" s="382"/>
      <c r="BN242" s="382"/>
      <c r="BO242" s="382"/>
      <c r="BP242" s="382"/>
    </row>
    <row r="243" spans="1:68">
      <c r="A243" s="382" t="s">
        <v>2099</v>
      </c>
      <c r="B243" s="382" t="s">
        <v>2623</v>
      </c>
      <c r="C243" s="382" t="s">
        <v>2334</v>
      </c>
      <c r="D243" s="382" t="s">
        <v>2335</v>
      </c>
      <c r="E243" s="382"/>
      <c r="F243" s="382"/>
      <c r="G243" s="382"/>
      <c r="H243" s="382"/>
      <c r="I243" s="382"/>
      <c r="J243" s="382"/>
      <c r="K243" s="382"/>
      <c r="L243" s="382"/>
      <c r="M243" s="382"/>
      <c r="N243" s="382"/>
      <c r="O243" s="382"/>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c r="AK243" s="382"/>
      <c r="AL243" s="382"/>
      <c r="AM243" s="382"/>
      <c r="AN243" s="382"/>
      <c r="AO243" s="382"/>
      <c r="AP243" s="382"/>
      <c r="AQ243" s="382"/>
      <c r="AR243" s="382"/>
      <c r="AS243" s="382"/>
      <c r="AT243" s="382"/>
      <c r="AU243" s="382">
        <v>66.519331132176106</v>
      </c>
      <c r="AV243" s="382">
        <v>71.285546916604702</v>
      </c>
      <c r="AW243" s="382">
        <v>73.593426435258706</v>
      </c>
      <c r="AX243" s="382">
        <v>74.411545425498105</v>
      </c>
      <c r="AY243" s="382">
        <v>77.340504846096707</v>
      </c>
      <c r="AZ243" s="382">
        <v>85.307274470124796</v>
      </c>
      <c r="BA243" s="382">
        <v>93.039727340505095</v>
      </c>
      <c r="BB243" s="382">
        <v>93.662796889977997</v>
      </c>
      <c r="BC243" s="382">
        <v>100</v>
      </c>
      <c r="BD243" s="382">
        <v>113.49984023857699</v>
      </c>
      <c r="BE243" s="382">
        <v>126.89317286185999</v>
      </c>
      <c r="BF243" s="382">
        <v>140.83522322164501</v>
      </c>
      <c r="BG243" s="382">
        <v>142.03068640426901</v>
      </c>
      <c r="BH243" s="382">
        <v>142.94841571618201</v>
      </c>
      <c r="BI243" s="382">
        <v>140.84729860732801</v>
      </c>
      <c r="BJ243" s="382">
        <v>141.58389713399501</v>
      </c>
      <c r="BK243" s="382">
        <v>144.83217588274101</v>
      </c>
      <c r="BL243" s="382">
        <v>146.220845236294</v>
      </c>
      <c r="BM243" s="382"/>
      <c r="BN243" s="382"/>
      <c r="BO243" s="382"/>
      <c r="BP243" s="382"/>
    </row>
    <row r="244" spans="1:68">
      <c r="A244" s="382" t="s">
        <v>2624</v>
      </c>
      <c r="B244" s="382" t="s">
        <v>2625</v>
      </c>
      <c r="C244" s="382" t="s">
        <v>2334</v>
      </c>
      <c r="D244" s="382" t="s">
        <v>2335</v>
      </c>
      <c r="E244" s="382"/>
      <c r="F244" s="382"/>
      <c r="G244" s="382"/>
      <c r="H244" s="382"/>
      <c r="I244" s="382"/>
      <c r="J244" s="382"/>
      <c r="K244" s="382"/>
      <c r="L244" s="382"/>
      <c r="M244" s="382"/>
      <c r="N244" s="382"/>
      <c r="O244" s="382"/>
      <c r="P244" s="382"/>
      <c r="Q244" s="382"/>
      <c r="R244" s="382"/>
      <c r="S244" s="382"/>
      <c r="T244" s="382"/>
      <c r="U244" s="382"/>
      <c r="V244" s="382"/>
      <c r="W244" s="382"/>
      <c r="X244" s="382"/>
      <c r="Y244" s="382"/>
      <c r="Z244" s="382"/>
      <c r="AA244" s="382"/>
      <c r="AB244" s="382"/>
      <c r="AC244" s="382"/>
      <c r="AD244" s="382"/>
      <c r="AE244" s="382"/>
      <c r="AF244" s="382"/>
      <c r="AG244" s="382"/>
      <c r="AH244" s="382"/>
      <c r="AI244" s="382"/>
      <c r="AJ244" s="382"/>
      <c r="AK244" s="382"/>
      <c r="AL244" s="382"/>
      <c r="AM244" s="382"/>
      <c r="AN244" s="382"/>
      <c r="AO244" s="382"/>
      <c r="AP244" s="382"/>
      <c r="AQ244" s="382"/>
      <c r="AR244" s="382"/>
      <c r="AS244" s="382"/>
      <c r="AT244" s="382"/>
      <c r="AU244" s="382"/>
      <c r="AV244" s="382"/>
      <c r="AW244" s="382"/>
      <c r="AX244" s="382"/>
      <c r="AY244" s="382"/>
      <c r="AZ244" s="382"/>
      <c r="BA244" s="382"/>
      <c r="BB244" s="382"/>
      <c r="BC244" s="382"/>
      <c r="BD244" s="382"/>
      <c r="BE244" s="382"/>
      <c r="BF244" s="382"/>
      <c r="BG244" s="382"/>
      <c r="BH244" s="382"/>
      <c r="BI244" s="382"/>
      <c r="BJ244" s="382"/>
      <c r="BK244" s="382"/>
      <c r="BL244" s="382"/>
      <c r="BM244" s="382"/>
      <c r="BN244" s="382"/>
      <c r="BO244" s="382"/>
      <c r="BP244" s="382"/>
    </row>
    <row r="245" spans="1:68">
      <c r="A245" s="382" t="s">
        <v>2116</v>
      </c>
      <c r="B245" s="382" t="s">
        <v>2626</v>
      </c>
      <c r="C245" s="382" t="s">
        <v>2334</v>
      </c>
      <c r="D245" s="382" t="s">
        <v>2335</v>
      </c>
      <c r="E245" s="382"/>
      <c r="F245" s="382"/>
      <c r="G245" s="382"/>
      <c r="H245" s="382"/>
      <c r="I245" s="382"/>
      <c r="J245" s="382"/>
      <c r="K245" s="382"/>
      <c r="L245" s="382"/>
      <c r="M245" s="382"/>
      <c r="N245" s="382"/>
      <c r="O245" s="382"/>
      <c r="P245" s="382"/>
      <c r="Q245" s="382"/>
      <c r="R245" s="382"/>
      <c r="S245" s="382"/>
      <c r="T245" s="382">
        <v>6.8772949578497098</v>
      </c>
      <c r="U245" s="382">
        <v>7.3662414583073703</v>
      </c>
      <c r="V245" s="382">
        <v>8.6581283512303493</v>
      </c>
      <c r="W245" s="382">
        <v>9.4879561972048307</v>
      </c>
      <c r="X245" s="382">
        <v>10.0060000788573</v>
      </c>
      <c r="Y245" s="382">
        <v>12.2466825915008</v>
      </c>
      <c r="Z245" s="382">
        <v>14.071346217314201</v>
      </c>
      <c r="AA245" s="382">
        <v>15.596380481076899</v>
      </c>
      <c r="AB245" s="382">
        <v>17.1269395640537</v>
      </c>
      <c r="AC245" s="382">
        <v>17.145171467460699</v>
      </c>
      <c r="AD245" s="382">
        <v>20.019559463980499</v>
      </c>
      <c r="AE245" s="382">
        <v>24.358573733108098</v>
      </c>
      <c r="AF245" s="382">
        <v>25.500013523554198</v>
      </c>
      <c r="AG245" s="382">
        <v>28.030640832151398</v>
      </c>
      <c r="AH245" s="382">
        <v>29.1725092518843</v>
      </c>
      <c r="AI245" s="382">
        <v>32.005120180595</v>
      </c>
      <c r="AJ245" s="382">
        <v>35.396206494572503</v>
      </c>
      <c r="AK245" s="382">
        <v>38.205596367963601</v>
      </c>
      <c r="AL245" s="382">
        <v>38.572715647608398</v>
      </c>
      <c r="AM245" s="382">
        <v>38.963438768038998</v>
      </c>
      <c r="AN245" s="382">
        <v>39.532307430116497</v>
      </c>
      <c r="AO245" s="382">
        <v>40.7164108229519</v>
      </c>
      <c r="AP245" s="382">
        <v>41.581525157748402</v>
      </c>
      <c r="AQ245" s="382">
        <v>42.943089554823302</v>
      </c>
      <c r="AR245" s="382">
        <v>44.860221381708797</v>
      </c>
      <c r="AS245" s="382">
        <v>47.698812681566899</v>
      </c>
      <c r="AT245" s="382">
        <v>51.653179330422503</v>
      </c>
      <c r="AU245" s="382">
        <v>57.003963578184603</v>
      </c>
      <c r="AV245" s="382">
        <v>63.6384394001674</v>
      </c>
      <c r="AW245" s="382">
        <v>70.621743325388394</v>
      </c>
      <c r="AX245" s="382">
        <v>76.741606236233295</v>
      </c>
      <c r="AY245" s="382">
        <v>81.460536673511299</v>
      </c>
      <c r="AZ245" s="382">
        <v>86.219663858259494</v>
      </c>
      <c r="BA245" s="382">
        <v>95.227021375129098</v>
      </c>
      <c r="BB245" s="382">
        <v>96.585777386358302</v>
      </c>
      <c r="BC245" s="382">
        <v>100</v>
      </c>
      <c r="BD245" s="382">
        <v>106.27075302995701</v>
      </c>
      <c r="BE245" s="382">
        <v>107.49025087459999</v>
      </c>
      <c r="BF245" s="382">
        <v>108.32397677906999</v>
      </c>
      <c r="BG245" s="382">
        <v>111.04385787447799</v>
      </c>
      <c r="BH245" s="382">
        <v>109.873457478337</v>
      </c>
      <c r="BI245" s="382">
        <v>112.70616568349099</v>
      </c>
      <c r="BJ245" s="382">
        <v>121.17835897741401</v>
      </c>
      <c r="BK245" s="382">
        <v>127.27617144704</v>
      </c>
      <c r="BL245" s="382">
        <v>128.77744906121001</v>
      </c>
      <c r="BM245" s="382">
        <v>128.32706577695899</v>
      </c>
      <c r="BN245" s="382">
        <v>135.565368559565</v>
      </c>
      <c r="BO245" s="382">
        <v>150.43874035137901</v>
      </c>
      <c r="BP245" s="382">
        <v>159.993300024419</v>
      </c>
    </row>
    <row r="246" spans="1:68">
      <c r="A246" s="382" t="s">
        <v>2627</v>
      </c>
      <c r="B246" s="382" t="s">
        <v>2628</v>
      </c>
      <c r="C246" s="382" t="s">
        <v>2334</v>
      </c>
      <c r="D246" s="382" t="s">
        <v>2335</v>
      </c>
      <c r="E246" s="382"/>
      <c r="F246" s="382"/>
      <c r="G246" s="382"/>
      <c r="H246" s="382"/>
      <c r="I246" s="382"/>
      <c r="J246" s="382"/>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382"/>
      <c r="AJ246" s="382"/>
      <c r="AK246" s="382"/>
      <c r="AL246" s="382"/>
      <c r="AM246" s="382"/>
      <c r="AN246" s="382"/>
      <c r="AO246" s="382"/>
      <c r="AP246" s="382"/>
      <c r="AQ246" s="382"/>
      <c r="AR246" s="382"/>
      <c r="AS246" s="382"/>
      <c r="AT246" s="382"/>
      <c r="AU246" s="382"/>
      <c r="AV246" s="382"/>
      <c r="AW246" s="382"/>
      <c r="AX246" s="382"/>
      <c r="AY246" s="382"/>
      <c r="AZ246" s="382"/>
      <c r="BA246" s="382"/>
      <c r="BB246" s="382"/>
      <c r="BC246" s="382"/>
      <c r="BD246" s="382"/>
      <c r="BE246" s="382"/>
      <c r="BF246" s="382"/>
      <c r="BG246" s="382"/>
      <c r="BH246" s="382"/>
      <c r="BI246" s="382"/>
      <c r="BJ246" s="382"/>
      <c r="BK246" s="382"/>
      <c r="BL246" s="382"/>
      <c r="BM246" s="382"/>
      <c r="BN246" s="382"/>
      <c r="BO246" s="382"/>
      <c r="BP246" s="382"/>
    </row>
    <row r="247" spans="1:68">
      <c r="A247" s="382" t="s">
        <v>2629</v>
      </c>
      <c r="B247" s="382" t="s">
        <v>2630</v>
      </c>
      <c r="C247" s="382" t="s">
        <v>2334</v>
      </c>
      <c r="D247" s="382" t="s">
        <v>2335</v>
      </c>
      <c r="E247" s="382"/>
      <c r="F247" s="382"/>
      <c r="G247" s="382"/>
      <c r="H247" s="382"/>
      <c r="I247" s="382"/>
      <c r="J247" s="382"/>
      <c r="K247" s="382"/>
      <c r="L247" s="382"/>
      <c r="M247" s="382"/>
      <c r="N247" s="382"/>
      <c r="O247" s="382"/>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c r="AK247" s="382"/>
      <c r="AL247" s="382"/>
      <c r="AM247" s="382"/>
      <c r="AN247" s="382"/>
      <c r="AO247" s="382"/>
      <c r="AP247" s="382"/>
      <c r="AQ247" s="382"/>
      <c r="AR247" s="382"/>
      <c r="AS247" s="382"/>
      <c r="AT247" s="382"/>
      <c r="AU247" s="382"/>
      <c r="AV247" s="382"/>
      <c r="AW247" s="382"/>
      <c r="AX247" s="382"/>
      <c r="AY247" s="382"/>
      <c r="AZ247" s="382"/>
      <c r="BA247" s="382"/>
      <c r="BB247" s="382"/>
      <c r="BC247" s="382"/>
      <c r="BD247" s="382"/>
      <c r="BE247" s="382"/>
      <c r="BF247" s="382"/>
      <c r="BG247" s="382"/>
      <c r="BH247" s="382"/>
      <c r="BI247" s="382"/>
      <c r="BJ247" s="382"/>
      <c r="BK247" s="382"/>
      <c r="BL247" s="382"/>
      <c r="BM247" s="382"/>
      <c r="BN247" s="382"/>
      <c r="BO247" s="382"/>
      <c r="BP247" s="382"/>
    </row>
    <row r="248" spans="1:68">
      <c r="A248" s="382" t="s">
        <v>1270</v>
      </c>
      <c r="B248" s="382" t="s">
        <v>2631</v>
      </c>
      <c r="C248" s="382" t="s">
        <v>2334</v>
      </c>
      <c r="D248" s="382" t="s">
        <v>2335</v>
      </c>
      <c r="E248" s="382">
        <v>2.2969923160350101</v>
      </c>
      <c r="F248" s="382">
        <v>2.33196994334737</v>
      </c>
      <c r="G248" s="382">
        <v>2.4015408284297801</v>
      </c>
      <c r="H248" s="382">
        <v>2.4918676681619099</v>
      </c>
      <c r="I248" s="382">
        <v>2.51339236188285</v>
      </c>
      <c r="J248" s="382">
        <v>2.55817141222292</v>
      </c>
      <c r="K248" s="382">
        <v>2.6629121093696302</v>
      </c>
      <c r="L248" s="382">
        <v>2.7197987999183599</v>
      </c>
      <c r="M248" s="382">
        <v>2.9436940516110299</v>
      </c>
      <c r="N248" s="382">
        <v>3.0153789691070401</v>
      </c>
      <c r="O248" s="382">
        <v>3.0914841362053598</v>
      </c>
      <c r="P248" s="382">
        <v>3.20064508294859</v>
      </c>
      <c r="Q248" s="382">
        <v>3.4983392845585999</v>
      </c>
      <c r="R248" s="382">
        <v>4.01646941207638</v>
      </c>
      <c r="S248" s="382">
        <v>4.9010958872134696</v>
      </c>
      <c r="T248" s="382">
        <v>5.7332559213848597</v>
      </c>
      <c r="U248" s="382">
        <v>6.3462822673188404</v>
      </c>
      <c r="V248" s="382">
        <v>7.0916444594211701</v>
      </c>
      <c r="W248" s="382">
        <v>7.8190050841918799</v>
      </c>
      <c r="X248" s="382">
        <v>8.9701323338473191</v>
      </c>
      <c r="Y248" s="382">
        <v>10.537241746851199</v>
      </c>
      <c r="Z248" s="382">
        <v>12.0474272848768</v>
      </c>
      <c r="AA248" s="382">
        <v>13.4491168902226</v>
      </c>
      <c r="AB248" s="382">
        <v>15.4900203782242</v>
      </c>
      <c r="AC248" s="382">
        <v>17.555580580602999</v>
      </c>
      <c r="AD248" s="382">
        <v>18.8937677111802</v>
      </c>
      <c r="AE248" s="382">
        <v>20.3473930951547</v>
      </c>
      <c r="AF248" s="382">
        <v>22.535116109308799</v>
      </c>
      <c r="AG248" s="382">
        <v>24.283501305037699</v>
      </c>
      <c r="AH248" s="382">
        <v>27.059623183127801</v>
      </c>
      <c r="AI248" s="382">
        <v>30.0536151039502</v>
      </c>
      <c r="AJ248" s="382">
        <v>31.190574061224499</v>
      </c>
      <c r="AK248" s="382">
        <v>33.199201552409001</v>
      </c>
      <c r="AL248" s="382">
        <v>36.796413364451702</v>
      </c>
      <c r="AM248" s="382">
        <v>40.039904612009302</v>
      </c>
      <c r="AN248" s="382">
        <v>42.114854709034802</v>
      </c>
      <c r="AO248" s="382">
        <v>43.548686282930603</v>
      </c>
      <c r="AP248" s="382">
        <v>45.127795945811599</v>
      </c>
      <c r="AQ248" s="382">
        <v>47.660687845072502</v>
      </c>
      <c r="AR248" s="382">
        <v>49.299803675143004</v>
      </c>
      <c r="AS248" s="382">
        <v>51.052615400940802</v>
      </c>
      <c r="AT248" s="382">
        <v>53.879221697497698</v>
      </c>
      <c r="AU248" s="382">
        <v>56.115240980137202</v>
      </c>
      <c r="AV248" s="382">
        <v>58.253852432949301</v>
      </c>
      <c r="AW248" s="382">
        <v>60.421798322795702</v>
      </c>
      <c r="AX248" s="382">
        <v>64.575515751921998</v>
      </c>
      <c r="AY248" s="382">
        <v>69.954400181599695</v>
      </c>
      <c r="AZ248" s="382">
        <v>75.476872198150502</v>
      </c>
      <c r="BA248" s="382">
        <v>84.556999977428603</v>
      </c>
      <c r="BB248" s="382">
        <v>90.457461213963001</v>
      </c>
      <c r="BC248" s="382">
        <v>100</v>
      </c>
      <c r="BD248" s="382">
        <v>105.10713289264601</v>
      </c>
      <c r="BE248" s="382">
        <v>114.840349139162</v>
      </c>
      <c r="BF248" s="382">
        <v>120.811837601268</v>
      </c>
      <c r="BG248" s="382">
        <v>127.679287620338</v>
      </c>
      <c r="BH248" s="382">
        <v>133.63069497930201</v>
      </c>
      <c r="BI248" s="382">
        <v>137.734049199352</v>
      </c>
      <c r="BJ248" s="382">
        <v>140.323978776513</v>
      </c>
      <c r="BK248" s="382">
        <v>141.75327574751901</v>
      </c>
      <c r="BL248" s="382">
        <v>143.17157812644001</v>
      </c>
      <c r="BM248" s="382">
        <v>144.029156309043</v>
      </c>
      <c r="BN248" s="382">
        <v>146.995044259351</v>
      </c>
      <c r="BO248" s="382">
        <v>155.562483405851</v>
      </c>
      <c r="BP248" s="382">
        <v>162.76394122130401</v>
      </c>
    </row>
    <row r="249" spans="1:68">
      <c r="A249" s="382" t="s">
        <v>1089</v>
      </c>
      <c r="B249" s="382" t="s">
        <v>2632</v>
      </c>
      <c r="C249" s="382" t="s">
        <v>2334</v>
      </c>
      <c r="D249" s="382" t="s">
        <v>2335</v>
      </c>
      <c r="E249" s="382"/>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v>28.851957865237701</v>
      </c>
      <c r="AC249" s="382">
        <v>31.419782115243802</v>
      </c>
      <c r="AD249" s="382">
        <v>33.699086786597597</v>
      </c>
      <c r="AE249" s="382">
        <v>35.776427752894698</v>
      </c>
      <c r="AF249" s="382">
        <v>38.7193274551489</v>
      </c>
      <c r="AG249" s="382">
        <v>41.505945718966402</v>
      </c>
      <c r="AH249" s="382">
        <v>44.718873676735399</v>
      </c>
      <c r="AI249" s="382">
        <v>47.645855017743699</v>
      </c>
      <c r="AJ249" s="382">
        <v>51.549820632684501</v>
      </c>
      <c r="AK249" s="382">
        <v>54.552260108671298</v>
      </c>
      <c r="AL249" s="382">
        <v>56.720688619106298</v>
      </c>
      <c r="AM249" s="382">
        <v>59.405409632025503</v>
      </c>
      <c r="AN249" s="382">
        <v>63.114772688337197</v>
      </c>
      <c r="AO249" s="382">
        <v>65.465889315036193</v>
      </c>
      <c r="AP249" s="382">
        <v>67.856720749618006</v>
      </c>
      <c r="AQ249" s="382">
        <v>69.977491490592897</v>
      </c>
      <c r="AR249" s="382">
        <v>71.859973384267207</v>
      </c>
      <c r="AS249" s="382">
        <v>73.9886870868188</v>
      </c>
      <c r="AT249" s="382">
        <v>75.456129380707395</v>
      </c>
      <c r="AU249" s="382">
        <v>77.509315447366603</v>
      </c>
      <c r="AV249" s="382">
        <v>79.611827305416995</v>
      </c>
      <c r="AW249" s="382">
        <v>82.503551825726802</v>
      </c>
      <c r="AX249" s="382">
        <v>84.168297285180202</v>
      </c>
      <c r="AY249" s="382">
        <v>86.882938133536399</v>
      </c>
      <c r="AZ249" s="382">
        <v>89.460706535685802</v>
      </c>
      <c r="BA249" s="382">
        <v>93.3477993518555</v>
      </c>
      <c r="BB249" s="382">
        <v>96.768905936780598</v>
      </c>
      <c r="BC249" s="382">
        <v>100</v>
      </c>
      <c r="BD249" s="382">
        <v>103.240028420095</v>
      </c>
      <c r="BE249" s="382">
        <v>108.001297808887</v>
      </c>
      <c r="BF249" s="382">
        <v>113.74290094179</v>
      </c>
      <c r="BG249" s="382">
        <v>119.004136828432</v>
      </c>
      <c r="BH249" s="382">
        <v>124.284792209994</v>
      </c>
      <c r="BI249" s="382">
        <v>128.79558368024701</v>
      </c>
      <c r="BJ249" s="382">
        <v>135.63314595813401</v>
      </c>
      <c r="BK249" s="382">
        <v>145.54466255642899</v>
      </c>
      <c r="BL249" s="382">
        <v>155.325373517033</v>
      </c>
      <c r="BM249" s="382">
        <v>164.07663984922701</v>
      </c>
      <c r="BN249" s="382">
        <v>173.43942752904701</v>
      </c>
      <c r="BO249" s="382">
        <v>187.84610635938799</v>
      </c>
      <c r="BP249" s="382">
        <v>205.37026206099799</v>
      </c>
    </row>
    <row r="250" spans="1:68">
      <c r="A250" s="382" t="s">
        <v>2633</v>
      </c>
      <c r="B250" s="382" t="s">
        <v>2634</v>
      </c>
      <c r="C250" s="382" t="s">
        <v>2334</v>
      </c>
      <c r="D250" s="382" t="s">
        <v>2335</v>
      </c>
      <c r="E250" s="384">
        <v>5.3952385089686099E-5</v>
      </c>
      <c r="F250" s="384">
        <v>5.5664217115097203E-5</v>
      </c>
      <c r="G250" s="384">
        <v>5.7828620142002999E-5</v>
      </c>
      <c r="H250" s="384">
        <v>6.1508085762331801E-5</v>
      </c>
      <c r="I250" s="384">
        <v>6.2196753550074796E-5</v>
      </c>
      <c r="J250" s="384">
        <v>6.5030147608370696E-5</v>
      </c>
      <c r="K250" s="384">
        <v>7.0539499252615794E-5</v>
      </c>
      <c r="L250" s="384">
        <v>8.0397318759342295E-5</v>
      </c>
      <c r="M250" s="384">
        <v>8.5258333333333296E-5</v>
      </c>
      <c r="N250" s="384">
        <v>8.9456619020926795E-5</v>
      </c>
      <c r="O250" s="384">
        <v>9.6545118647234701E-5</v>
      </c>
      <c r="P250" s="382">
        <v>1.14899705717489E-4</v>
      </c>
      <c r="Q250" s="382">
        <v>1.32613167974589E-4</v>
      </c>
      <c r="R250" s="382">
        <v>1.5109701046337799E-4</v>
      </c>
      <c r="S250" s="382">
        <v>1.8720641816143501E-4</v>
      </c>
      <c r="T250" s="382">
        <v>2.26945389573991E-4</v>
      </c>
      <c r="U250" s="382">
        <v>2.6656027186098701E-4</v>
      </c>
      <c r="V250" s="382">
        <v>3.3582685911808701E-4</v>
      </c>
      <c r="W250" s="382">
        <v>5.4369375934230197E-4</v>
      </c>
      <c r="X250" s="382">
        <v>8.8917367339312505E-4</v>
      </c>
      <c r="Y250" s="382">
        <v>1.72731642376682E-3</v>
      </c>
      <c r="Z250" s="382">
        <v>2.3770427410313901E-3</v>
      </c>
      <c r="AA250" s="382">
        <v>3.0696539144245099E-3</v>
      </c>
      <c r="AB250" s="382">
        <v>4.0332265975336302E-3</v>
      </c>
      <c r="AC250" s="382">
        <v>5.9849986453662197E-3</v>
      </c>
      <c r="AD250" s="382">
        <v>8.6759575859491796E-3</v>
      </c>
      <c r="AE250" s="382">
        <v>1.1678713097907301E-2</v>
      </c>
      <c r="AF250" s="382">
        <v>1.6216575579222701E-2</v>
      </c>
      <c r="AG250" s="382">
        <v>2.7375143404334799E-2</v>
      </c>
      <c r="AH250" s="382">
        <v>4.4696095384902899E-2</v>
      </c>
      <c r="AI250" s="382">
        <v>7.1649570254110603E-2</v>
      </c>
      <c r="AJ250" s="382">
        <v>0.11892293068012</v>
      </c>
      <c r="AK250" s="382">
        <v>0.20225948710762301</v>
      </c>
      <c r="AL250" s="382">
        <v>0.335940554932736</v>
      </c>
      <c r="AM250" s="382">
        <v>0.68940036434977603</v>
      </c>
      <c r="AN250" s="382">
        <v>1.30374789798206</v>
      </c>
      <c r="AO250" s="382">
        <v>2.3521196281763799</v>
      </c>
      <c r="AP250" s="382">
        <v>4.3671654988789204</v>
      </c>
      <c r="AQ250" s="382">
        <v>8.0635930493273609</v>
      </c>
      <c r="AR250" s="382">
        <v>13.2942432735426</v>
      </c>
      <c r="AS250" s="382">
        <v>20.594826233183898</v>
      </c>
      <c r="AT250" s="382">
        <v>31.798450579222699</v>
      </c>
      <c r="AU250" s="382">
        <v>46.096344357249599</v>
      </c>
      <c r="AV250" s="382">
        <v>56.054278774289998</v>
      </c>
      <c r="AW250" s="382">
        <v>60.873972346786303</v>
      </c>
      <c r="AX250" s="382">
        <v>65.852952167414102</v>
      </c>
      <c r="AY250" s="382">
        <v>72.173019431987996</v>
      </c>
      <c r="AZ250" s="382">
        <v>78.492619581464893</v>
      </c>
      <c r="BA250" s="382">
        <v>86.690489536621797</v>
      </c>
      <c r="BB250" s="382">
        <v>92.109491778774299</v>
      </c>
      <c r="BC250" s="382">
        <v>100</v>
      </c>
      <c r="BD250" s="382">
        <v>106.471879671151</v>
      </c>
      <c r="BE250" s="382">
        <v>115.938901345291</v>
      </c>
      <c r="BF250" s="382">
        <v>124.62630792227201</v>
      </c>
      <c r="BG250" s="382">
        <v>135.66143497757801</v>
      </c>
      <c r="BH250" s="382">
        <v>146.06782511210801</v>
      </c>
      <c r="BI250" s="382">
        <v>157.42479446935701</v>
      </c>
      <c r="BJ250" s="382">
        <v>174.96870328848999</v>
      </c>
      <c r="BK250" s="382">
        <v>203.54540358744401</v>
      </c>
      <c r="BL250" s="382">
        <v>234.437126307922</v>
      </c>
      <c r="BM250" s="382">
        <v>263.22356128550098</v>
      </c>
      <c r="BN250" s="382">
        <v>314.80614723467897</v>
      </c>
      <c r="BO250" s="382">
        <v>542.43880792227196</v>
      </c>
      <c r="BP250" s="382">
        <v>834.593142750374</v>
      </c>
    </row>
    <row r="251" spans="1:68">
      <c r="A251" s="382" t="s">
        <v>2130</v>
      </c>
      <c r="B251" s="382" t="s">
        <v>2635</v>
      </c>
      <c r="C251" s="382" t="s">
        <v>2334</v>
      </c>
      <c r="D251" s="382" t="s">
        <v>2335</v>
      </c>
      <c r="E251" s="382"/>
      <c r="F251" s="382"/>
      <c r="G251" s="382"/>
      <c r="H251" s="382"/>
      <c r="I251" s="382"/>
      <c r="J251" s="382"/>
      <c r="K251" s="382"/>
      <c r="L251" s="382"/>
      <c r="M251" s="382"/>
      <c r="N251" s="382"/>
      <c r="O251" s="382"/>
      <c r="P251" s="382"/>
      <c r="Q251" s="382"/>
      <c r="R251" s="382"/>
      <c r="S251" s="382"/>
      <c r="T251" s="382"/>
      <c r="U251" s="382"/>
      <c r="V251" s="382"/>
      <c r="W251" s="382"/>
      <c r="X251" s="382"/>
      <c r="Y251" s="382"/>
      <c r="Z251" s="382"/>
      <c r="AA251" s="382"/>
      <c r="AB251" s="382"/>
      <c r="AC251" s="382"/>
      <c r="AD251" s="382"/>
      <c r="AE251" s="382"/>
      <c r="AF251" s="382"/>
      <c r="AG251" s="382"/>
      <c r="AH251" s="382"/>
      <c r="AI251" s="382"/>
      <c r="AJ251" s="382"/>
      <c r="AK251" s="382"/>
      <c r="AL251" s="382"/>
      <c r="AM251" s="382"/>
      <c r="AN251" s="382"/>
      <c r="AO251" s="382"/>
      <c r="AP251" s="382"/>
      <c r="AQ251" s="382"/>
      <c r="AR251" s="382"/>
      <c r="AS251" s="382"/>
      <c r="AT251" s="382"/>
      <c r="AU251" s="382"/>
      <c r="AV251" s="382"/>
      <c r="AW251" s="382"/>
      <c r="AX251" s="382"/>
      <c r="AY251" s="382"/>
      <c r="AZ251" s="382"/>
      <c r="BA251" s="382"/>
      <c r="BB251" s="382"/>
      <c r="BC251" s="382">
        <v>100</v>
      </c>
      <c r="BD251" s="382">
        <v>100.50058074315299</v>
      </c>
      <c r="BE251" s="382"/>
      <c r="BF251" s="382"/>
      <c r="BG251" s="382"/>
      <c r="BH251" s="382"/>
      <c r="BI251" s="382"/>
      <c r="BJ251" s="382"/>
      <c r="BK251" s="382"/>
      <c r="BL251" s="382"/>
      <c r="BM251" s="382"/>
      <c r="BN251" s="382"/>
      <c r="BO251" s="382"/>
      <c r="BP251" s="382"/>
    </row>
    <row r="252" spans="1:68">
      <c r="A252" s="382" t="s">
        <v>2636</v>
      </c>
      <c r="B252" s="382" t="s">
        <v>2637</v>
      </c>
      <c r="C252" s="382" t="s">
        <v>2334</v>
      </c>
      <c r="D252" s="382" t="s">
        <v>2335</v>
      </c>
      <c r="E252" s="382"/>
      <c r="F252" s="382"/>
      <c r="G252" s="382"/>
      <c r="H252" s="382"/>
      <c r="I252" s="382"/>
      <c r="J252" s="382">
        <v>9.8098250502111906E-2</v>
      </c>
      <c r="K252" s="382">
        <v>0.107689331599363</v>
      </c>
      <c r="L252" s="382">
        <v>0.120813968886352</v>
      </c>
      <c r="M252" s="382">
        <v>0.13965960191792401</v>
      </c>
      <c r="N252" s="382">
        <v>0.16258565102710301</v>
      </c>
      <c r="O252" s="382">
        <v>0.16826458062316299</v>
      </c>
      <c r="P252" s="382">
        <v>0.176299214347959</v>
      </c>
      <c r="Q252" s="382">
        <v>0.18976038079745899</v>
      </c>
      <c r="R252" s="382">
        <v>0.20948940287562301</v>
      </c>
      <c r="S252" s="382">
        <v>0.25054596054745998</v>
      </c>
      <c r="T252" s="382">
        <v>0.315832617829994</v>
      </c>
      <c r="U252" s="382">
        <v>0.337496682584914</v>
      </c>
      <c r="V252" s="382">
        <v>0.37666026372515099</v>
      </c>
      <c r="W252" s="382">
        <v>0.40142567606508001</v>
      </c>
      <c r="X252" s="382">
        <v>0.453404792459151</v>
      </c>
      <c r="Y252" s="382">
        <v>0.59032079832324302</v>
      </c>
      <c r="Z252" s="382">
        <v>0.74173822434075398</v>
      </c>
      <c r="AA252" s="382">
        <v>0.95634040959815803</v>
      </c>
      <c r="AB252" s="382">
        <v>1.2150871777641501</v>
      </c>
      <c r="AC252" s="382">
        <v>1.65429187828086</v>
      </c>
      <c r="AD252" s="382">
        <v>2.2048750187811001</v>
      </c>
      <c r="AE252" s="382">
        <v>2.9199645294633001</v>
      </c>
      <c r="AF252" s="382">
        <v>3.7944754967671699</v>
      </c>
      <c r="AG252" s="382">
        <v>4.9778478803256601</v>
      </c>
      <c r="AH252" s="382">
        <v>6.2646135062767101</v>
      </c>
      <c r="AI252" s="382">
        <v>8.5090222821474999</v>
      </c>
      <c r="AJ252" s="382">
        <v>10.950741719633299</v>
      </c>
      <c r="AK252" s="382">
        <v>13.343133491715401</v>
      </c>
      <c r="AL252" s="382">
        <v>16.715912613697</v>
      </c>
      <c r="AM252" s="382">
        <v>22.413257967830599</v>
      </c>
      <c r="AN252" s="382">
        <v>28.5607182687734</v>
      </c>
      <c r="AO252" s="382">
        <v>34.551974295937697</v>
      </c>
      <c r="AP252" s="382">
        <v>40.111613250818898</v>
      </c>
      <c r="AQ252" s="382">
        <v>45.245801091593002</v>
      </c>
      <c r="AR252" s="382">
        <v>48.815890875189702</v>
      </c>
      <c r="AS252" s="382">
        <v>51.707725259484697</v>
      </c>
      <c r="AT252" s="382">
        <v>54.3693638718957</v>
      </c>
      <c r="AU252" s="382">
        <v>57.260636205245902</v>
      </c>
      <c r="AV252" s="382">
        <v>60.2974919615774</v>
      </c>
      <c r="AW252" s="382">
        <v>63.1530614538705</v>
      </c>
      <c r="AX252" s="382">
        <v>66.332546598433595</v>
      </c>
      <c r="AY252" s="382">
        <v>71.142301390982297</v>
      </c>
      <c r="AZ252" s="382">
        <v>76.140413998175006</v>
      </c>
      <c r="BA252" s="382">
        <v>83.966425561010794</v>
      </c>
      <c r="BB252" s="382">
        <v>94.161820290532205</v>
      </c>
      <c r="BC252" s="382">
        <v>100</v>
      </c>
      <c r="BD252" s="382">
        <v>112.690969469916</v>
      </c>
      <c r="BE252" s="382">
        <v>130.72275725598701</v>
      </c>
      <c r="BF252" s="382">
        <v>141.01158422169601</v>
      </c>
      <c r="BG252" s="382">
        <v>149.65787072662499</v>
      </c>
      <c r="BH252" s="382">
        <v>158.021006257208</v>
      </c>
      <c r="BI252" s="382">
        <v>166.19822402488899</v>
      </c>
      <c r="BJ252" s="382">
        <v>175.03783564471999</v>
      </c>
      <c r="BK252" s="382">
        <v>181.15446015060201</v>
      </c>
      <c r="BL252" s="382">
        <v>187.430158933385</v>
      </c>
      <c r="BM252" s="382">
        <v>193.597155886785</v>
      </c>
      <c r="BN252" s="382">
        <v>200.742671235263</v>
      </c>
      <c r="BO252" s="382">
        <v>209.47552353976201</v>
      </c>
      <c r="BP252" s="382">
        <v>217.43398657654299</v>
      </c>
    </row>
    <row r="253" spans="1:68">
      <c r="A253" s="382" t="s">
        <v>2021</v>
      </c>
      <c r="B253" s="382" t="s">
        <v>2638</v>
      </c>
      <c r="C253" s="382" t="s">
        <v>2334</v>
      </c>
      <c r="D253" s="382" t="s">
        <v>2335</v>
      </c>
      <c r="E253" s="382"/>
      <c r="F253" s="382"/>
      <c r="G253" s="382"/>
      <c r="H253" s="382"/>
      <c r="I253" s="382"/>
      <c r="J253" s="382"/>
      <c r="K253" s="382"/>
      <c r="L253" s="382"/>
      <c r="M253" s="382"/>
      <c r="N253" s="382"/>
      <c r="O253" s="382"/>
      <c r="P253" s="382"/>
      <c r="Q253" s="382"/>
      <c r="R253" s="382"/>
      <c r="S253" s="382"/>
      <c r="T253" s="382"/>
      <c r="U253" s="382"/>
      <c r="V253" s="382"/>
      <c r="W253" s="382"/>
      <c r="X253" s="382"/>
      <c r="Y253" s="382"/>
      <c r="Z253" s="382"/>
      <c r="AA253" s="382"/>
      <c r="AB253" s="382"/>
      <c r="AC253" s="382"/>
      <c r="AD253" s="382"/>
      <c r="AE253" s="382"/>
      <c r="AF253" s="382"/>
      <c r="AG253" s="382"/>
      <c r="AH253" s="382"/>
      <c r="AI253" s="382"/>
      <c r="AJ253" s="382"/>
      <c r="AK253" s="382"/>
      <c r="AL253" s="382">
        <v>36.0940476153757</v>
      </c>
      <c r="AM253" s="382">
        <v>39.716720505221403</v>
      </c>
      <c r="AN253" s="382">
        <v>42.318221377066202</v>
      </c>
      <c r="AO253" s="382">
        <v>45.361598307744302</v>
      </c>
      <c r="AP253" s="382">
        <v>49.067196999515801</v>
      </c>
      <c r="AQ253" s="382">
        <v>49.100957278134103</v>
      </c>
      <c r="AR253" s="382">
        <v>51.937700756181698</v>
      </c>
      <c r="AS253" s="382">
        <v>53.699438776651597</v>
      </c>
      <c r="AT253" s="382">
        <v>54.701000563468497</v>
      </c>
      <c r="AU253" s="382">
        <v>54.543730530827801</v>
      </c>
      <c r="AV253" s="382">
        <v>59.278386250326001</v>
      </c>
      <c r="AW253" s="382">
        <v>61.484305392365002</v>
      </c>
      <c r="AX253" s="382">
        <v>66.678946148044901</v>
      </c>
      <c r="AY253" s="382">
        <v>71.553627951571997</v>
      </c>
      <c r="AZ253" s="382">
        <v>75.945955154676795</v>
      </c>
      <c r="BA253" s="382">
        <v>85.0980925051349</v>
      </c>
      <c r="BB253" s="382">
        <v>96.175529218411199</v>
      </c>
      <c r="BC253" s="382">
        <v>100</v>
      </c>
      <c r="BD253" s="382">
        <v>116.564349617451</v>
      </c>
      <c r="BE253" s="382">
        <v>131.34358747639499</v>
      </c>
      <c r="BF253" s="382">
        <v>137.78626463097399</v>
      </c>
      <c r="BG253" s="382">
        <v>142.02416598956</v>
      </c>
      <c r="BH253" s="382">
        <v>149.96287100128501</v>
      </c>
      <c r="BI253" s="382">
        <v>158.52031485060999</v>
      </c>
      <c r="BJ253" s="382">
        <v>166.778774735588</v>
      </c>
      <c r="BK253" s="382">
        <v>171.141727345227</v>
      </c>
      <c r="BL253" s="382">
        <v>176.049367040563</v>
      </c>
      <c r="BM253" s="382">
        <v>181.88245102600399</v>
      </c>
      <c r="BN253" s="382">
        <v>185.892180700766</v>
      </c>
      <c r="BO253" s="382">
        <v>199.26858953079301</v>
      </c>
      <c r="BP253" s="382">
        <v>209.93134822221401</v>
      </c>
    </row>
    <row r="254" spans="1:68">
      <c r="A254" s="382" t="s">
        <v>1133</v>
      </c>
      <c r="B254" s="382" t="s">
        <v>2639</v>
      </c>
      <c r="C254" s="382" t="s">
        <v>2334</v>
      </c>
      <c r="D254" s="382" t="s">
        <v>2335</v>
      </c>
      <c r="E254" s="382"/>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82"/>
      <c r="AI254" s="382"/>
      <c r="AJ254" s="382"/>
      <c r="AK254" s="382">
        <v>4.1943485214219296E-3</v>
      </c>
      <c r="AL254" s="382">
        <v>0.202793158444112</v>
      </c>
      <c r="AM254" s="382">
        <v>2.0100609405514098</v>
      </c>
      <c r="AN254" s="382">
        <v>9.5828886445887296</v>
      </c>
      <c r="AO254" s="382">
        <v>17.280392002245598</v>
      </c>
      <c r="AP254" s="382">
        <v>20.0349900686554</v>
      </c>
      <c r="AQ254" s="382">
        <v>22.1541232542532</v>
      </c>
      <c r="AR254" s="382">
        <v>27.179491864774601</v>
      </c>
      <c r="AS254" s="382">
        <v>34.844950384423697</v>
      </c>
      <c r="AT254" s="382">
        <v>39.0119912864225</v>
      </c>
      <c r="AU254" s="382">
        <v>39.307476241018797</v>
      </c>
      <c r="AV254" s="382">
        <v>41.343476869116202</v>
      </c>
      <c r="AW254" s="382">
        <v>45.084262712127703</v>
      </c>
      <c r="AX254" s="382">
        <v>51.202006226219297</v>
      </c>
      <c r="AY254" s="382">
        <v>55.837080594949803</v>
      </c>
      <c r="AZ254" s="382">
        <v>63.005880318228897</v>
      </c>
      <c r="BA254" s="382">
        <v>78.900034590107197</v>
      </c>
      <c r="BB254" s="382">
        <v>91.430300933932898</v>
      </c>
      <c r="BC254" s="382">
        <v>100</v>
      </c>
      <c r="BD254" s="382">
        <v>107.955724662747</v>
      </c>
      <c r="BE254" s="382">
        <v>108.569699066067</v>
      </c>
      <c r="BF254" s="382">
        <v>108.310273261847</v>
      </c>
      <c r="BG254" s="382">
        <v>121.385333794535</v>
      </c>
      <c r="BH254" s="382">
        <v>180.49982704946399</v>
      </c>
      <c r="BI254" s="382">
        <v>205.61224489795899</v>
      </c>
      <c r="BJ254" s="382">
        <v>235.29920442753399</v>
      </c>
      <c r="BK254" s="382">
        <v>261.06883431338599</v>
      </c>
      <c r="BL254" s="382">
        <v>281.658595641646</v>
      </c>
      <c r="BM254" s="382">
        <v>289.35489450017297</v>
      </c>
      <c r="BN254" s="382">
        <v>316.44759598754803</v>
      </c>
      <c r="BO254" s="382">
        <v>380.31822898651001</v>
      </c>
      <c r="BP254" s="382">
        <v>429.18540297474902</v>
      </c>
    </row>
    <row r="255" spans="1:68">
      <c r="A255" s="382" t="s">
        <v>2640</v>
      </c>
      <c r="B255" s="382" t="s">
        <v>2641</v>
      </c>
      <c r="C255" s="382" t="s">
        <v>2334</v>
      </c>
      <c r="D255" s="382" t="s">
        <v>2335</v>
      </c>
      <c r="E255" s="382"/>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82"/>
      <c r="AI255" s="382"/>
      <c r="AJ255" s="382"/>
      <c r="AK255" s="382"/>
      <c r="AL255" s="382"/>
      <c r="AM255" s="382"/>
      <c r="AN255" s="382"/>
      <c r="AO255" s="382"/>
      <c r="AP255" s="382"/>
      <c r="AQ255" s="382"/>
      <c r="AR255" s="382"/>
      <c r="AS255" s="382"/>
      <c r="AT255" s="382"/>
      <c r="AU255" s="382"/>
      <c r="AV255" s="382"/>
      <c r="AW255" s="382"/>
      <c r="AX255" s="382"/>
      <c r="AY255" s="382"/>
      <c r="AZ255" s="382"/>
      <c r="BA255" s="382"/>
      <c r="BB255" s="382"/>
      <c r="BC255" s="382"/>
      <c r="BD255" s="382"/>
      <c r="BE255" s="382"/>
      <c r="BF255" s="382"/>
      <c r="BG255" s="382"/>
      <c r="BH255" s="382"/>
      <c r="BI255" s="382"/>
      <c r="BJ255" s="382"/>
      <c r="BK255" s="382"/>
      <c r="BL255" s="382"/>
      <c r="BM255" s="382"/>
      <c r="BN255" s="382"/>
      <c r="BO255" s="382"/>
      <c r="BP255" s="382"/>
    </row>
    <row r="256" spans="1:68">
      <c r="A256" s="382" t="s">
        <v>2173</v>
      </c>
      <c r="B256" s="382" t="s">
        <v>2642</v>
      </c>
      <c r="C256" s="382" t="s">
        <v>2334</v>
      </c>
      <c r="D256" s="382" t="s">
        <v>2335</v>
      </c>
      <c r="E256" s="384">
        <v>3.7501663138529302E-6</v>
      </c>
      <c r="F256" s="384">
        <v>4.6032265452089599E-6</v>
      </c>
      <c r="G256" s="384">
        <v>5.1053199997224796E-6</v>
      </c>
      <c r="H256" s="384">
        <v>6.1904402310711499E-6</v>
      </c>
      <c r="I256" s="384">
        <v>8.8132935863277393E-6</v>
      </c>
      <c r="J256" s="384">
        <v>1.37977889579837E-5</v>
      </c>
      <c r="K256" s="384">
        <v>2.3934016329413599E-5</v>
      </c>
      <c r="L256" s="384">
        <v>4.5301180559747199E-5</v>
      </c>
      <c r="M256" s="382">
        <v>1.02080317218114E-4</v>
      </c>
      <c r="N256" s="382">
        <v>1.23483157060831E-4</v>
      </c>
      <c r="O256" s="382">
        <v>1.43618499632103E-4</v>
      </c>
      <c r="P256" s="382">
        <v>1.7801956653469201E-4</v>
      </c>
      <c r="Q256" s="382">
        <v>3.14177696317367E-4</v>
      </c>
      <c r="R256" s="382">
        <v>6.1892146998652196E-4</v>
      </c>
      <c r="S256" s="382">
        <v>1.0968118655755299E-3</v>
      </c>
      <c r="T256" s="382">
        <v>1.9896757765788002E-3</v>
      </c>
      <c r="U256" s="382">
        <v>2.9969103310487901E-3</v>
      </c>
      <c r="V256" s="382">
        <v>4.7409975125455601E-3</v>
      </c>
      <c r="W256" s="382">
        <v>6.8530333776896197E-3</v>
      </c>
      <c r="X256" s="382">
        <v>1.1433894621029001E-2</v>
      </c>
      <c r="Y256" s="382">
        <v>1.8691654182386101E-2</v>
      </c>
      <c r="Z256" s="382">
        <v>2.5055290626746201E-2</v>
      </c>
      <c r="AA256" s="382">
        <v>2.9813917023551701E-2</v>
      </c>
      <c r="AB256" s="382">
        <v>4.4481582970332501E-2</v>
      </c>
      <c r="AC256" s="382">
        <v>6.9081866014376297E-2</v>
      </c>
      <c r="AD256" s="382">
        <v>0.11897456120520999</v>
      </c>
      <c r="AE256" s="382">
        <v>0.20984808822207901</v>
      </c>
      <c r="AF256" s="382">
        <v>0.34324151408362502</v>
      </c>
      <c r="AG256" s="382">
        <v>0.55671012707378598</v>
      </c>
      <c r="AH256" s="382">
        <v>1.00456915431025</v>
      </c>
      <c r="AI256" s="382">
        <v>2.13496969230511</v>
      </c>
      <c r="AJ256" s="382">
        <v>4.3120342234120201</v>
      </c>
      <c r="AK256" s="382">
        <v>7.26401809084485</v>
      </c>
      <c r="AL256" s="382">
        <v>11.193909441159899</v>
      </c>
      <c r="AM256" s="382">
        <v>16.201621487235499</v>
      </c>
      <c r="AN256" s="382">
        <v>23.0465343456851</v>
      </c>
      <c r="AO256" s="382">
        <v>29.5783943106542</v>
      </c>
      <c r="AP256" s="382">
        <v>35.440479878520598</v>
      </c>
      <c r="AQ256" s="382">
        <v>39.271975074815899</v>
      </c>
      <c r="AR256" s="382">
        <v>41.494253631163197</v>
      </c>
      <c r="AS256" s="382">
        <v>43.470967146066599</v>
      </c>
      <c r="AT256" s="382">
        <v>45.366014688757701</v>
      </c>
      <c r="AU256" s="382">
        <v>51.704768656932899</v>
      </c>
      <c r="AV256" s="382">
        <v>61.725013309944003</v>
      </c>
      <c r="AW256" s="382">
        <v>67.377546261612906</v>
      </c>
      <c r="AX256" s="382">
        <v>70.543804059261802</v>
      </c>
      <c r="AY256" s="382">
        <v>75.056949558962103</v>
      </c>
      <c r="AZ256" s="382">
        <v>81.147555022694206</v>
      </c>
      <c r="BA256" s="382">
        <v>87.539607775969898</v>
      </c>
      <c r="BB256" s="382">
        <v>93.721846364648499</v>
      </c>
      <c r="BC256" s="382">
        <v>100</v>
      </c>
      <c r="BD256" s="382">
        <v>108.09283206303</v>
      </c>
      <c r="BE256" s="382">
        <v>116.845936456282</v>
      </c>
      <c r="BF256" s="382">
        <v>126.865633296223</v>
      </c>
      <c r="BG256" s="382">
        <v>138.12794382118699</v>
      </c>
      <c r="BH256" s="382">
        <v>150.09848419970899</v>
      </c>
      <c r="BI256" s="382">
        <v>164.56709771345399</v>
      </c>
      <c r="BJ256" s="382">
        <v>174.80003425537399</v>
      </c>
      <c r="BK256" s="382">
        <v>188.09625760041101</v>
      </c>
      <c r="BL256" s="382">
        <v>202.92198338614401</v>
      </c>
      <c r="BM256" s="382">
        <v>222.71987668065401</v>
      </c>
      <c r="BN256" s="382">
        <v>239.97602123833201</v>
      </c>
      <c r="BO256" s="382">
        <v>261.824349714601</v>
      </c>
      <c r="BP256" s="382">
        <v>277.19109204665801</v>
      </c>
    </row>
    <row r="257" spans="1:68">
      <c r="A257" s="382" t="s">
        <v>246</v>
      </c>
      <c r="B257" s="382" t="s">
        <v>245</v>
      </c>
      <c r="C257" s="382" t="s">
        <v>2334</v>
      </c>
      <c r="D257" s="382" t="s">
        <v>2335</v>
      </c>
      <c r="E257" s="382">
        <v>13.5630607803977</v>
      </c>
      <c r="F257" s="382">
        <v>13.7082837473334</v>
      </c>
      <c r="G257" s="382">
        <v>13.8726149993924</v>
      </c>
      <c r="H257" s="382">
        <v>14.0445895655005</v>
      </c>
      <c r="I257" s="382">
        <v>14.2242074456579</v>
      </c>
      <c r="J257" s="382">
        <v>14.4496852101109</v>
      </c>
      <c r="K257" s="382">
        <v>14.8853541109182</v>
      </c>
      <c r="L257" s="382">
        <v>15.2980930695779</v>
      </c>
      <c r="M257" s="382">
        <v>15.951596420788899</v>
      </c>
      <c r="N257" s="382">
        <v>16.8229342224036</v>
      </c>
      <c r="O257" s="382">
        <v>17.805100077732501</v>
      </c>
      <c r="P257" s="382">
        <v>18.569431482657698</v>
      </c>
      <c r="Q257" s="382">
        <v>19.1770749495732</v>
      </c>
      <c r="R257" s="382">
        <v>20.3617886272073</v>
      </c>
      <c r="S257" s="382">
        <v>22.612744614712</v>
      </c>
      <c r="T257" s="382">
        <v>24.680261065034699</v>
      </c>
      <c r="U257" s="382">
        <v>26.098095821170901</v>
      </c>
      <c r="V257" s="382">
        <v>27.794911540104799</v>
      </c>
      <c r="W257" s="382">
        <v>29.915931188772301</v>
      </c>
      <c r="X257" s="382">
        <v>33.282811027467801</v>
      </c>
      <c r="Y257" s="382">
        <v>37.792366316526397</v>
      </c>
      <c r="Z257" s="382">
        <v>41.698099795694198</v>
      </c>
      <c r="AA257" s="382">
        <v>44.254788345168997</v>
      </c>
      <c r="AB257" s="382">
        <v>45.6764447583299</v>
      </c>
      <c r="AC257" s="382">
        <v>47.640776468987703</v>
      </c>
      <c r="AD257" s="382">
        <v>49.329948873872297</v>
      </c>
      <c r="AE257" s="382">
        <v>50.266254844905703</v>
      </c>
      <c r="AF257" s="382">
        <v>52.108293530775398</v>
      </c>
      <c r="AG257" s="382">
        <v>54.233134836467499</v>
      </c>
      <c r="AH257" s="382">
        <v>56.850969898336302</v>
      </c>
      <c r="AI257" s="382">
        <v>59.919760489110999</v>
      </c>
      <c r="AJ257" s="382">
        <v>62.457340753462603</v>
      </c>
      <c r="AK257" s="382">
        <v>64.349060980652496</v>
      </c>
      <c r="AL257" s="382">
        <v>66.248424521891593</v>
      </c>
      <c r="AM257" s="382">
        <v>67.9758134970225</v>
      </c>
      <c r="AN257" s="382">
        <v>69.882820352310901</v>
      </c>
      <c r="AO257" s="382">
        <v>71.931228517510505</v>
      </c>
      <c r="AP257" s="382">
        <v>73.612757608345902</v>
      </c>
      <c r="AQ257" s="382">
        <v>74.755433058709002</v>
      </c>
      <c r="AR257" s="382">
        <v>76.391102265249003</v>
      </c>
      <c r="AS257" s="382">
        <v>78.970720756871501</v>
      </c>
      <c r="AT257" s="382">
        <v>81.202568459253101</v>
      </c>
      <c r="AU257" s="382">
        <v>82.490466876552006</v>
      </c>
      <c r="AV257" s="382">
        <v>84.363078818618803</v>
      </c>
      <c r="AW257" s="382">
        <v>86.621678120172703</v>
      </c>
      <c r="AX257" s="382">
        <v>89.560532372110202</v>
      </c>
      <c r="AY257" s="382">
        <v>92.449705082727405</v>
      </c>
      <c r="AZ257" s="382">
        <v>95.086992378851505</v>
      </c>
      <c r="BA257" s="382">
        <v>98.737477385344505</v>
      </c>
      <c r="BB257" s="382">
        <v>98.386419971062395</v>
      </c>
      <c r="BC257" s="382">
        <v>100</v>
      </c>
      <c r="BD257" s="382">
        <v>103.156841568622</v>
      </c>
      <c r="BE257" s="382">
        <v>105.29150453286699</v>
      </c>
      <c r="BF257" s="382">
        <v>106.83384887486601</v>
      </c>
      <c r="BG257" s="382">
        <v>108.566932118964</v>
      </c>
      <c r="BH257" s="382">
        <v>108.695721960694</v>
      </c>
      <c r="BI257" s="382">
        <v>110.06700893427001</v>
      </c>
      <c r="BJ257" s="382">
        <v>112.411557302308</v>
      </c>
      <c r="BK257" s="382">
        <v>115.15730322479099</v>
      </c>
      <c r="BL257" s="382">
        <v>117.244195476228</v>
      </c>
      <c r="BM257" s="382">
        <v>118.69050157719801</v>
      </c>
      <c r="BN257" s="382">
        <v>124.266413825838</v>
      </c>
      <c r="BO257" s="382">
        <v>134.21120616846</v>
      </c>
      <c r="BP257" s="382">
        <v>139.73579356325999</v>
      </c>
    </row>
    <row r="258" spans="1:68">
      <c r="A258" s="382" t="s">
        <v>1065</v>
      </c>
      <c r="B258" s="382" t="s">
        <v>2643</v>
      </c>
      <c r="C258" s="382" t="s">
        <v>2334</v>
      </c>
      <c r="D258" s="382" t="s">
        <v>2335</v>
      </c>
      <c r="E258" s="382"/>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c r="AK258" s="382"/>
      <c r="AL258" s="382"/>
      <c r="AM258" s="382"/>
      <c r="AN258" s="382"/>
      <c r="AO258" s="382"/>
      <c r="AP258" s="382"/>
      <c r="AQ258" s="382"/>
      <c r="AR258" s="382"/>
      <c r="AS258" s="382"/>
      <c r="AT258" s="382"/>
      <c r="AU258" s="382"/>
      <c r="AV258" s="382"/>
      <c r="AW258" s="382"/>
      <c r="AX258" s="382"/>
      <c r="AY258" s="382"/>
      <c r="AZ258" s="382"/>
      <c r="BA258" s="382"/>
      <c r="BB258" s="382"/>
      <c r="BC258" s="382">
        <v>100</v>
      </c>
      <c r="BD258" s="382">
        <v>113.77974464766</v>
      </c>
      <c r="BE258" s="382">
        <v>128.80868659527701</v>
      </c>
      <c r="BF258" s="382">
        <v>144.06148138318801</v>
      </c>
      <c r="BG258" s="382">
        <v>157.43484348625501</v>
      </c>
      <c r="BH258" s="382">
        <v>171.213355163693</v>
      </c>
      <c r="BI258" s="382">
        <v>185.13451907916499</v>
      </c>
      <c r="BJ258" s="382">
        <v>210.823308306965</v>
      </c>
      <c r="BK258" s="382">
        <v>247.76836360171501</v>
      </c>
      <c r="BL258" s="382">
        <v>283.75854188117199</v>
      </c>
      <c r="BM258" s="382">
        <v>320.271824153995</v>
      </c>
      <c r="BN258" s="382">
        <v>355.01888221076098</v>
      </c>
      <c r="BO258" s="382">
        <v>395.65662872473598</v>
      </c>
      <c r="BP258" s="382"/>
    </row>
    <row r="259" spans="1:68">
      <c r="A259" s="382" t="s">
        <v>2644</v>
      </c>
      <c r="B259" s="382" t="s">
        <v>2645</v>
      </c>
      <c r="C259" s="382" t="s">
        <v>2334</v>
      </c>
      <c r="D259" s="382" t="s">
        <v>2335</v>
      </c>
      <c r="E259" s="382"/>
      <c r="F259" s="382"/>
      <c r="G259" s="382"/>
      <c r="H259" s="382"/>
      <c r="I259" s="382"/>
      <c r="J259" s="382"/>
      <c r="K259" s="382"/>
      <c r="L259" s="382"/>
      <c r="M259" s="382"/>
      <c r="N259" s="382"/>
      <c r="O259" s="382"/>
      <c r="P259" s="382"/>
      <c r="Q259" s="382"/>
      <c r="R259" s="382"/>
      <c r="S259" s="382">
        <v>19.623981849996301</v>
      </c>
      <c r="T259" s="382">
        <v>20.957962598133999</v>
      </c>
      <c r="U259" s="382">
        <v>23.323903352837799</v>
      </c>
      <c r="V259" s="382">
        <v>25.6998891432962</v>
      </c>
      <c r="W259" s="382">
        <v>27.866268521030602</v>
      </c>
      <c r="X259" s="382">
        <v>32.215769002723597</v>
      </c>
      <c r="Y259" s="382">
        <v>37.759289401128598</v>
      </c>
      <c r="Z259" s="382">
        <v>42.568182851320799</v>
      </c>
      <c r="AA259" s="382">
        <v>45.645120347323498</v>
      </c>
      <c r="AB259" s="382">
        <v>48.136608114338202</v>
      </c>
      <c r="AC259" s="382">
        <v>49.437237910187598</v>
      </c>
      <c r="AD259" s="382">
        <v>50.495039125230399</v>
      </c>
      <c r="AE259" s="382">
        <v>51.013960475924499</v>
      </c>
      <c r="AF259" s="382">
        <v>52.7004548656802</v>
      </c>
      <c r="AG259" s="382">
        <v>52.820205946609597</v>
      </c>
      <c r="AH259" s="382">
        <v>54.317094458227103</v>
      </c>
      <c r="AI259" s="382">
        <v>58.448506750291401</v>
      </c>
      <c r="AJ259" s="382">
        <v>61.658501002982398</v>
      </c>
      <c r="AK259" s="382">
        <v>63.794061946223401</v>
      </c>
      <c r="AL259" s="382">
        <v>66.531704713026002</v>
      </c>
      <c r="AM259" s="382">
        <v>67.202976050013703</v>
      </c>
      <c r="AN259" s="382">
        <v>68.371214372858006</v>
      </c>
      <c r="AO259" s="382">
        <v>71.384949909581195</v>
      </c>
      <c r="AP259" s="382">
        <v>71.701624990261493</v>
      </c>
      <c r="AQ259" s="382">
        <v>73.237765245072396</v>
      </c>
      <c r="AR259" s="382">
        <v>73.980066940174197</v>
      </c>
      <c r="AS259" s="382">
        <v>74.1041164482331</v>
      </c>
      <c r="AT259" s="382">
        <v>74.771689669633403</v>
      </c>
      <c r="AU259" s="382">
        <v>76.159081355192697</v>
      </c>
      <c r="AV259" s="382">
        <v>76.315955132392901</v>
      </c>
      <c r="AW259" s="382">
        <v>78.574937524077001</v>
      </c>
      <c r="AX259" s="382">
        <v>81.508477157722297</v>
      </c>
      <c r="AY259" s="382">
        <v>83.742359745054301</v>
      </c>
      <c r="AZ259" s="382">
        <v>89.802080010746806</v>
      </c>
      <c r="BA259" s="382">
        <v>98.841774548135703</v>
      </c>
      <c r="BB259" s="382">
        <v>99.258431300379698</v>
      </c>
      <c r="BC259" s="382">
        <v>100</v>
      </c>
      <c r="BD259" s="382">
        <v>103.186031115525</v>
      </c>
      <c r="BE259" s="382">
        <v>105.86726249586199</v>
      </c>
      <c r="BF259" s="382">
        <v>106.719629261834</v>
      </c>
      <c r="BG259" s="382">
        <v>106.926514399206</v>
      </c>
      <c r="BH259" s="382">
        <v>105.07282356835501</v>
      </c>
      <c r="BI259" s="382">
        <v>104.915590863952</v>
      </c>
      <c r="BJ259" s="382">
        <v>107.174776564052</v>
      </c>
      <c r="BK259" s="382">
        <v>109.66567361800701</v>
      </c>
      <c r="BL259" s="382">
        <v>110.666997682887</v>
      </c>
      <c r="BM259" s="382">
        <v>109.971863621317</v>
      </c>
      <c r="BN259" s="382">
        <v>111.701423369745</v>
      </c>
      <c r="BO259" s="382">
        <v>118.023833167825</v>
      </c>
      <c r="BP259" s="382">
        <v>123.411122144985</v>
      </c>
    </row>
    <row r="260" spans="1:68">
      <c r="A260" s="382" t="s">
        <v>2646</v>
      </c>
      <c r="B260" s="382" t="s">
        <v>2647</v>
      </c>
      <c r="C260" s="382" t="s">
        <v>2334</v>
      </c>
      <c r="D260" s="382" t="s">
        <v>2335</v>
      </c>
      <c r="E260" s="382"/>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c r="AH260" s="382"/>
      <c r="AI260" s="382"/>
      <c r="AJ260" s="382"/>
      <c r="AK260" s="382"/>
      <c r="AL260" s="382"/>
      <c r="AM260" s="382"/>
      <c r="AN260" s="382"/>
      <c r="AO260" s="382"/>
      <c r="AP260" s="382"/>
      <c r="AQ260" s="382"/>
      <c r="AR260" s="382"/>
      <c r="AS260" s="382"/>
      <c r="AT260" s="382"/>
      <c r="AU260" s="382"/>
      <c r="AV260" s="382"/>
      <c r="AW260" s="382"/>
      <c r="AX260" s="382"/>
      <c r="AY260" s="382"/>
      <c r="AZ260" s="382"/>
      <c r="BA260" s="382">
        <v>61.386661968108498</v>
      </c>
      <c r="BB260" s="382">
        <v>78.010747951722294</v>
      </c>
      <c r="BC260" s="382">
        <v>100</v>
      </c>
      <c r="BD260" s="382">
        <v>126.090212316096</v>
      </c>
      <c r="BE260" s="382">
        <v>152.656153642851</v>
      </c>
      <c r="BF260" s="382">
        <v>214.69474055149399</v>
      </c>
      <c r="BG260" s="382">
        <v>348.16756232931101</v>
      </c>
      <c r="BH260" s="382">
        <v>772.02008633600497</v>
      </c>
      <c r="BI260" s="382">
        <v>2740.2739846709601</v>
      </c>
      <c r="BJ260" s="382"/>
      <c r="BK260" s="382"/>
      <c r="BL260" s="382"/>
      <c r="BM260" s="382"/>
      <c r="BN260" s="382"/>
      <c r="BO260" s="382"/>
      <c r="BP260" s="382"/>
    </row>
    <row r="261" spans="1:68">
      <c r="A261" s="382" t="s">
        <v>2200</v>
      </c>
      <c r="B261" s="382" t="s">
        <v>2648</v>
      </c>
      <c r="C261" s="382" t="s">
        <v>2334</v>
      </c>
      <c r="D261" s="382" t="s">
        <v>2335</v>
      </c>
      <c r="E261" s="382"/>
      <c r="F261" s="382"/>
      <c r="G261" s="382"/>
      <c r="H261" s="382"/>
      <c r="I261" s="382"/>
      <c r="J261" s="382"/>
      <c r="K261" s="382"/>
      <c r="L261" s="382"/>
      <c r="M261" s="382"/>
      <c r="N261" s="382"/>
      <c r="O261" s="382"/>
      <c r="P261" s="382"/>
      <c r="Q261" s="382"/>
      <c r="R261" s="382"/>
      <c r="S261" s="382"/>
      <c r="T261" s="382"/>
      <c r="U261" s="382"/>
      <c r="V261" s="382"/>
      <c r="W261" s="382"/>
      <c r="X261" s="382"/>
      <c r="Y261" s="382"/>
      <c r="Z261" s="382"/>
      <c r="AA261" s="382"/>
      <c r="AB261" s="382"/>
      <c r="AC261" s="382"/>
      <c r="AD261" s="382"/>
      <c r="AE261" s="382"/>
      <c r="AF261" s="382"/>
      <c r="AG261" s="382"/>
      <c r="AH261" s="382"/>
      <c r="AI261" s="382"/>
      <c r="AJ261" s="382"/>
      <c r="AK261" s="382"/>
      <c r="AL261" s="382"/>
      <c r="AM261" s="382"/>
      <c r="AN261" s="382"/>
      <c r="AO261" s="382"/>
      <c r="AP261" s="382"/>
      <c r="AQ261" s="382"/>
      <c r="AR261" s="382"/>
      <c r="AS261" s="382"/>
      <c r="AT261" s="382"/>
      <c r="AU261" s="382"/>
      <c r="AV261" s="382"/>
      <c r="AW261" s="382"/>
      <c r="AX261" s="382"/>
      <c r="AY261" s="382"/>
      <c r="AZ261" s="382"/>
      <c r="BA261" s="382"/>
      <c r="BB261" s="382"/>
      <c r="BC261" s="382"/>
      <c r="BD261" s="382"/>
      <c r="BE261" s="382"/>
      <c r="BF261" s="382"/>
      <c r="BG261" s="382"/>
      <c r="BH261" s="382"/>
      <c r="BI261" s="382"/>
      <c r="BJ261" s="382"/>
      <c r="BK261" s="382"/>
      <c r="BL261" s="382"/>
      <c r="BM261" s="382"/>
      <c r="BN261" s="382"/>
      <c r="BO261" s="382"/>
      <c r="BP261" s="382"/>
    </row>
    <row r="262" spans="1:68">
      <c r="A262" s="382" t="s">
        <v>2649</v>
      </c>
      <c r="B262" s="382" t="s">
        <v>2650</v>
      </c>
      <c r="C262" s="382" t="s">
        <v>2334</v>
      </c>
      <c r="D262" s="382" t="s">
        <v>2335</v>
      </c>
      <c r="E262" s="382"/>
      <c r="F262" s="382"/>
      <c r="G262" s="382"/>
      <c r="H262" s="382"/>
      <c r="I262" s="382"/>
      <c r="J262" s="382"/>
      <c r="K262" s="382"/>
      <c r="L262" s="382"/>
      <c r="M262" s="382"/>
      <c r="N262" s="382"/>
      <c r="O262" s="382"/>
      <c r="P262" s="382"/>
      <c r="Q262" s="382"/>
      <c r="R262" s="382"/>
      <c r="S262" s="382"/>
      <c r="T262" s="382"/>
      <c r="U262" s="382"/>
      <c r="V262" s="382"/>
      <c r="W262" s="382"/>
      <c r="X262" s="382"/>
      <c r="Y262" s="382"/>
      <c r="Z262" s="382"/>
      <c r="AA262" s="382"/>
      <c r="AB262" s="382"/>
      <c r="AC262" s="382"/>
      <c r="AD262" s="382"/>
      <c r="AE262" s="382"/>
      <c r="AF262" s="382"/>
      <c r="AG262" s="382"/>
      <c r="AH262" s="382"/>
      <c r="AI262" s="382"/>
      <c r="AJ262" s="382"/>
      <c r="AK262" s="382"/>
      <c r="AL262" s="382"/>
      <c r="AM262" s="382"/>
      <c r="AN262" s="382"/>
      <c r="AO262" s="382"/>
      <c r="AP262" s="382"/>
      <c r="AQ262" s="382"/>
      <c r="AR262" s="382"/>
      <c r="AS262" s="382"/>
      <c r="AT262" s="382"/>
      <c r="AU262" s="382"/>
      <c r="AV262" s="382"/>
      <c r="AW262" s="382"/>
      <c r="AX262" s="382"/>
      <c r="AY262" s="382"/>
      <c r="AZ262" s="382"/>
      <c r="BA262" s="382"/>
      <c r="BB262" s="382"/>
      <c r="BC262" s="382"/>
      <c r="BD262" s="382"/>
      <c r="BE262" s="382"/>
      <c r="BF262" s="382"/>
      <c r="BG262" s="382"/>
      <c r="BH262" s="382"/>
      <c r="BI262" s="382"/>
      <c r="BJ262" s="382"/>
      <c r="BK262" s="382"/>
      <c r="BL262" s="382"/>
      <c r="BM262" s="382"/>
      <c r="BN262" s="382"/>
      <c r="BO262" s="382"/>
      <c r="BP262" s="382"/>
    </row>
    <row r="263" spans="1:68">
      <c r="A263" s="382" t="s">
        <v>1214</v>
      </c>
      <c r="B263" s="382" t="s">
        <v>2651</v>
      </c>
      <c r="C263" s="382" t="s">
        <v>2334</v>
      </c>
      <c r="D263" s="382" t="s">
        <v>2335</v>
      </c>
      <c r="E263" s="382"/>
      <c r="F263" s="382"/>
      <c r="G263" s="382"/>
      <c r="H263" s="382"/>
      <c r="I263" s="382"/>
      <c r="J263" s="382"/>
      <c r="K263" s="382"/>
      <c r="L263" s="382"/>
      <c r="M263" s="382"/>
      <c r="N263" s="382"/>
      <c r="O263" s="382"/>
      <c r="P263" s="382"/>
      <c r="Q263" s="382"/>
      <c r="R263" s="382"/>
      <c r="S263" s="382"/>
      <c r="T263" s="382"/>
      <c r="U263" s="382"/>
      <c r="V263" s="382"/>
      <c r="W263" s="382"/>
      <c r="X263" s="382"/>
      <c r="Y263" s="382"/>
      <c r="Z263" s="382"/>
      <c r="AA263" s="382"/>
      <c r="AB263" s="382"/>
      <c r="AC263" s="382"/>
      <c r="AD263" s="382"/>
      <c r="AE263" s="382"/>
      <c r="AF263" s="382"/>
      <c r="AG263" s="382"/>
      <c r="AH263" s="382"/>
      <c r="AI263" s="382"/>
      <c r="AJ263" s="382"/>
      <c r="AK263" s="382"/>
      <c r="AL263" s="382"/>
      <c r="AM263" s="382"/>
      <c r="AN263" s="382">
        <v>40.165720382289898</v>
      </c>
      <c r="AO263" s="382">
        <v>42.445125013984899</v>
      </c>
      <c r="AP263" s="382">
        <v>43.807412363617701</v>
      </c>
      <c r="AQ263" s="382">
        <v>46.990545703914101</v>
      </c>
      <c r="AR263" s="382">
        <v>48.9251945689942</v>
      </c>
      <c r="AS263" s="382">
        <v>48.088408727696603</v>
      </c>
      <c r="AT263" s="382">
        <v>47.880885839054798</v>
      </c>
      <c r="AU263" s="382">
        <v>49.715120403179398</v>
      </c>
      <c r="AV263" s="382">
        <v>51.323229636975398</v>
      </c>
      <c r="AW263" s="382">
        <v>55.303319144004497</v>
      </c>
      <c r="AX263" s="382">
        <v>59.8849626753953</v>
      </c>
      <c r="AY263" s="382">
        <v>64.327239477576697</v>
      </c>
      <c r="AZ263" s="382">
        <v>69.694993103108899</v>
      </c>
      <c r="BA263" s="382">
        <v>85.805303234615295</v>
      </c>
      <c r="BB263" s="382">
        <v>91.568830608469398</v>
      </c>
      <c r="BC263" s="382">
        <v>100</v>
      </c>
      <c r="BD263" s="382">
        <v>118.677732277071</v>
      </c>
      <c r="BE263" s="382">
        <v>129.47112002426101</v>
      </c>
      <c r="BF263" s="382">
        <v>138.00672987428501</v>
      </c>
      <c r="BG263" s="382">
        <v>143.64368992326499</v>
      </c>
      <c r="BH263" s="382">
        <v>144.55037019428801</v>
      </c>
      <c r="BI263" s="382">
        <v>148.40733280127799</v>
      </c>
      <c r="BJ263" s="382">
        <v>153.63165215668499</v>
      </c>
      <c r="BK263" s="382">
        <v>159.06964122458299</v>
      </c>
      <c r="BL263" s="382">
        <v>163.516947912918</v>
      </c>
      <c r="BM263" s="382">
        <v>168.78372148333801</v>
      </c>
      <c r="BN263" s="382">
        <v>171.88042266406299</v>
      </c>
      <c r="BO263" s="382">
        <v>177.305841095852</v>
      </c>
      <c r="BP263" s="382">
        <v>183.073410082137</v>
      </c>
    </row>
    <row r="264" spans="1:68">
      <c r="A264" s="382" t="s">
        <v>2118</v>
      </c>
      <c r="B264" s="382" t="s">
        <v>2652</v>
      </c>
      <c r="C264" s="382" t="s">
        <v>2334</v>
      </c>
      <c r="D264" s="382" t="s">
        <v>2335</v>
      </c>
      <c r="E264" s="382"/>
      <c r="F264" s="382"/>
      <c r="G264" s="382"/>
      <c r="H264" s="382"/>
      <c r="I264" s="382"/>
      <c r="J264" s="382"/>
      <c r="K264" s="382"/>
      <c r="L264" s="382"/>
      <c r="M264" s="382"/>
      <c r="N264" s="382"/>
      <c r="O264" s="382"/>
      <c r="P264" s="382"/>
      <c r="Q264" s="382"/>
      <c r="R264" s="382"/>
      <c r="S264" s="382"/>
      <c r="T264" s="382"/>
      <c r="U264" s="382">
        <v>19.574098899955199</v>
      </c>
      <c r="V264" s="382">
        <v>20.696968938941399</v>
      </c>
      <c r="W264" s="382">
        <v>22.0244297053701</v>
      </c>
      <c r="X264" s="382">
        <v>22.942709016913899</v>
      </c>
      <c r="Y264" s="382">
        <v>25.521503767466999</v>
      </c>
      <c r="Z264" s="382">
        <v>32.372914174840801</v>
      </c>
      <c r="AA264" s="382">
        <v>34.533011622721098</v>
      </c>
      <c r="AB264" s="382">
        <v>35.103962490002303</v>
      </c>
      <c r="AC264" s="382">
        <v>37.040437514864102</v>
      </c>
      <c r="AD264" s="382">
        <v>37.435345198066898</v>
      </c>
      <c r="AE264" s="382">
        <v>39.219566658320502</v>
      </c>
      <c r="AF264" s="382">
        <v>45.510147874006101</v>
      </c>
      <c r="AG264" s="382">
        <v>49.496941670789198</v>
      </c>
      <c r="AH264" s="382">
        <v>53.331988990878301</v>
      </c>
      <c r="AI264" s="382">
        <v>55.870293691944397</v>
      </c>
      <c r="AJ264" s="382">
        <v>59.484618864114601</v>
      </c>
      <c r="AK264" s="382">
        <v>61.8987673569764</v>
      </c>
      <c r="AL264" s="382">
        <v>64.1059888361644</v>
      </c>
      <c r="AM264" s="382">
        <v>65.582068200371296</v>
      </c>
      <c r="AN264" s="382">
        <v>67.044352430333205</v>
      </c>
      <c r="AO264" s="382">
        <v>67.652005171393697</v>
      </c>
      <c r="AP264" s="382">
        <v>69.567031991705306</v>
      </c>
      <c r="AQ264" s="382">
        <v>71.850333200538401</v>
      </c>
      <c r="AR264" s="382">
        <v>73.286603315772098</v>
      </c>
      <c r="AS264" s="382">
        <v>75.146388977805501</v>
      </c>
      <c r="AT264" s="382">
        <v>77.834792014012294</v>
      </c>
      <c r="AU264" s="382">
        <v>79.363130726376298</v>
      </c>
      <c r="AV264" s="382">
        <v>81.756914251765906</v>
      </c>
      <c r="AW264" s="382">
        <v>82.916978575608496</v>
      </c>
      <c r="AX264" s="382">
        <v>83.911319424616494</v>
      </c>
      <c r="AY264" s="382">
        <v>85.623795331241297</v>
      </c>
      <c r="AZ264" s="382">
        <v>88.993505986212696</v>
      </c>
      <c r="BA264" s="382">
        <v>93.3023163319139</v>
      </c>
      <c r="BB264" s="382">
        <v>97.311578191892295</v>
      </c>
      <c r="BC264" s="382">
        <v>100</v>
      </c>
      <c r="BD264" s="382">
        <v>100.873793104781</v>
      </c>
      <c r="BE264" s="382">
        <v>102.23297025356</v>
      </c>
      <c r="BF264" s="382">
        <v>103.72448152707101</v>
      </c>
      <c r="BG264" s="382">
        <v>104.55309890124499</v>
      </c>
      <c r="BH264" s="382">
        <v>107.149433340321</v>
      </c>
      <c r="BI264" s="382">
        <v>108.051705592199</v>
      </c>
      <c r="BJ264" s="382">
        <v>111.384588808318</v>
      </c>
      <c r="BK264" s="382">
        <v>113.980923247394</v>
      </c>
      <c r="BL264" s="382">
        <v>117.129669269253</v>
      </c>
      <c r="BM264" s="382">
        <v>123.37192015469201</v>
      </c>
      <c r="BN264" s="382">
        <v>126.26287410458499</v>
      </c>
      <c r="BO264" s="382">
        <v>134.69635760172699</v>
      </c>
      <c r="BP264" s="382"/>
    </row>
    <row r="265" spans="1:68">
      <c r="A265" s="382" t="s">
        <v>2653</v>
      </c>
      <c r="B265" s="382" t="s">
        <v>2654</v>
      </c>
      <c r="C265" s="382" t="s">
        <v>2334</v>
      </c>
      <c r="D265" s="382" t="s">
        <v>2335</v>
      </c>
      <c r="E265" s="382"/>
      <c r="F265" s="382"/>
      <c r="G265" s="382"/>
      <c r="H265" s="382"/>
      <c r="I265" s="382"/>
      <c r="J265" s="382"/>
      <c r="K265" s="382"/>
      <c r="L265" s="382"/>
      <c r="M265" s="382"/>
      <c r="N265" s="382"/>
      <c r="O265" s="382"/>
      <c r="P265" s="382"/>
      <c r="Q265" s="382"/>
      <c r="R265" s="382"/>
      <c r="S265" s="382"/>
      <c r="T265" s="382"/>
      <c r="U265" s="382"/>
      <c r="V265" s="382"/>
      <c r="W265" s="382"/>
      <c r="X265" s="382"/>
      <c r="Y265" s="382"/>
      <c r="Z265" s="382"/>
      <c r="AA265" s="382"/>
      <c r="AB265" s="382"/>
      <c r="AC265" s="382"/>
      <c r="AD265" s="382"/>
      <c r="AE265" s="382"/>
      <c r="AF265" s="382"/>
      <c r="AG265" s="382"/>
      <c r="AH265" s="382"/>
      <c r="AI265" s="382"/>
      <c r="AJ265" s="382"/>
      <c r="AK265" s="382"/>
      <c r="AL265" s="382"/>
      <c r="AM265" s="382"/>
      <c r="AN265" s="382"/>
      <c r="AO265" s="382"/>
      <c r="AP265" s="382"/>
      <c r="AQ265" s="382"/>
      <c r="AR265" s="382"/>
      <c r="AS265" s="382"/>
      <c r="AT265" s="382"/>
      <c r="AU265" s="382"/>
      <c r="AV265" s="382"/>
      <c r="AW265" s="382"/>
      <c r="AX265" s="382"/>
      <c r="AY265" s="382"/>
      <c r="AZ265" s="382"/>
      <c r="BA265" s="382"/>
      <c r="BB265" s="382"/>
      <c r="BC265" s="382"/>
      <c r="BD265" s="382"/>
      <c r="BE265" s="382"/>
      <c r="BF265" s="382"/>
      <c r="BG265" s="382"/>
      <c r="BH265" s="382"/>
      <c r="BI265" s="382"/>
      <c r="BJ265" s="382"/>
      <c r="BK265" s="382"/>
      <c r="BL265" s="382"/>
      <c r="BM265" s="382"/>
      <c r="BN265" s="382"/>
      <c r="BO265" s="382"/>
      <c r="BP265" s="382"/>
    </row>
    <row r="266" spans="1:68">
      <c r="A266" s="382" t="s">
        <v>2122</v>
      </c>
      <c r="B266" s="382" t="s">
        <v>2655</v>
      </c>
      <c r="C266" s="382" t="s">
        <v>2334</v>
      </c>
      <c r="D266" s="382" t="s">
        <v>2335</v>
      </c>
      <c r="E266" s="382"/>
      <c r="F266" s="382">
        <v>3.6283948844660601</v>
      </c>
      <c r="G266" s="382">
        <v>3.7247239521952502</v>
      </c>
      <c r="H266" s="382">
        <v>3.7504117035897</v>
      </c>
      <c r="I266" s="382">
        <v>3.9494917768966902</v>
      </c>
      <c r="J266" s="382">
        <v>4.0329769689286499</v>
      </c>
      <c r="K266" s="382">
        <v>4.1485718502036697</v>
      </c>
      <c r="L266" s="382">
        <v>4.1271653907083099</v>
      </c>
      <c r="M266" s="382">
        <v>4.19780670704304</v>
      </c>
      <c r="N266" s="382">
        <v>4.37119902895558</v>
      </c>
      <c r="O266" s="382">
        <v>4.49107520212966</v>
      </c>
      <c r="P266" s="382">
        <v>4.7051397970834303</v>
      </c>
      <c r="Q266" s="382">
        <v>5.0583463787571201</v>
      </c>
      <c r="R266" s="382">
        <v>5.6534225383328103</v>
      </c>
      <c r="S266" s="382">
        <v>7.0660815954786198</v>
      </c>
      <c r="T266" s="382">
        <v>7.6870306315906296</v>
      </c>
      <c r="U266" s="382">
        <v>8.0639785400525099</v>
      </c>
      <c r="V266" s="382">
        <v>9.2421895316302294</v>
      </c>
      <c r="W266" s="382">
        <v>9.4324546850057907</v>
      </c>
      <c r="X266" s="382">
        <v>10.4813012940729</v>
      </c>
      <c r="Y266" s="382">
        <v>13.9450823916488</v>
      </c>
      <c r="Z266" s="382">
        <v>16.804748066546999</v>
      </c>
      <c r="AA266" s="382">
        <v>19.879382514438099</v>
      </c>
      <c r="AB266" s="382">
        <v>23.1515558345451</v>
      </c>
      <c r="AC266" s="382">
        <v>25.8973461596518</v>
      </c>
      <c r="AD266" s="382">
        <v>28.251544720182</v>
      </c>
      <c r="AE266" s="382">
        <v>29.8713634731855</v>
      </c>
      <c r="AF266" s="382">
        <v>31.235543685519001</v>
      </c>
      <c r="AG266" s="382">
        <v>33.8930225147584</v>
      </c>
      <c r="AH266" s="382">
        <v>36.083380010655198</v>
      </c>
      <c r="AI266" s="382">
        <v>41.581932621044501</v>
      </c>
      <c r="AJ266" s="382">
        <v>40.825474939437598</v>
      </c>
      <c r="AK266" s="382">
        <v>44.512479891416803</v>
      </c>
      <c r="AL266" s="382">
        <v>45.275909533222801</v>
      </c>
      <c r="AM266" s="382">
        <v>50.745412309449001</v>
      </c>
      <c r="AN266" s="382">
        <v>49.272004720697197</v>
      </c>
      <c r="AO266" s="382">
        <v>51.920187603004301</v>
      </c>
      <c r="AP266" s="382">
        <v>55.482859264765601</v>
      </c>
      <c r="AQ266" s="382">
        <v>56.713932192218699</v>
      </c>
      <c r="AR266" s="382">
        <v>56.864292244426899</v>
      </c>
      <c r="AS266" s="382">
        <v>57.4140461853125</v>
      </c>
      <c r="AT266" s="382">
        <v>59.6177607004864</v>
      </c>
      <c r="AU266" s="382">
        <v>64.417177914110397</v>
      </c>
      <c r="AV266" s="382">
        <v>64.4917924059028</v>
      </c>
      <c r="AW266" s="382">
        <v>75.012435748632001</v>
      </c>
      <c r="AX266" s="382">
        <v>76.405239595423595</v>
      </c>
      <c r="AY266" s="382">
        <v>79.232299784446994</v>
      </c>
      <c r="AZ266" s="382">
        <v>83.651135798374995</v>
      </c>
      <c r="BA266" s="382">
        <v>93.326148234123707</v>
      </c>
      <c r="BB266" s="382">
        <v>99.228983584811701</v>
      </c>
      <c r="BC266" s="382">
        <v>100</v>
      </c>
      <c r="BD266" s="382">
        <v>105.235415914784</v>
      </c>
      <c r="BE266" s="382">
        <v>107.391709408192</v>
      </c>
      <c r="BF266" s="382">
        <v>108.04689089272701</v>
      </c>
      <c r="BG266" s="382">
        <v>107.60733875753201</v>
      </c>
      <c r="BH266" s="382">
        <v>108.386921789764</v>
      </c>
      <c r="BI266" s="382">
        <v>109.80106621915699</v>
      </c>
      <c r="BJ266" s="382">
        <v>111.722471535674</v>
      </c>
      <c r="BK266" s="382">
        <v>116.41197634551899</v>
      </c>
      <c r="BL266" s="382">
        <v>117.55552211969299</v>
      </c>
      <c r="BM266" s="382">
        <v>115.711178865273</v>
      </c>
      <c r="BN266" s="382">
        <v>119.336646996638</v>
      </c>
      <c r="BO266" s="382">
        <v>132.41818969606999</v>
      </c>
      <c r="BP266" s="382">
        <v>143.16882282028399</v>
      </c>
    </row>
    <row r="267" spans="1:68">
      <c r="A267" s="382" t="s">
        <v>1983</v>
      </c>
      <c r="B267" s="382" t="s">
        <v>2656</v>
      </c>
      <c r="C267" s="382" t="s">
        <v>2334</v>
      </c>
      <c r="D267" s="382" t="s">
        <v>2335</v>
      </c>
      <c r="E267" s="382"/>
      <c r="F267" s="382"/>
      <c r="G267" s="382"/>
      <c r="H267" s="382"/>
      <c r="I267" s="382"/>
      <c r="J267" s="382"/>
      <c r="K267" s="382"/>
      <c r="L267" s="382"/>
      <c r="M267" s="382"/>
      <c r="N267" s="382"/>
      <c r="O267" s="382"/>
      <c r="P267" s="382"/>
      <c r="Q267" s="382"/>
      <c r="R267" s="382"/>
      <c r="S267" s="382"/>
      <c r="T267" s="382"/>
      <c r="U267" s="382"/>
      <c r="V267" s="382"/>
      <c r="W267" s="382"/>
      <c r="X267" s="382"/>
      <c r="Y267" s="382"/>
      <c r="Z267" s="382"/>
      <c r="AA267" s="382"/>
      <c r="AB267" s="382"/>
      <c r="AC267" s="382"/>
      <c r="AD267" s="382"/>
      <c r="AE267" s="382"/>
      <c r="AF267" s="382"/>
      <c r="AG267" s="382"/>
      <c r="AH267" s="382"/>
      <c r="AI267" s="382"/>
      <c r="AJ267" s="382"/>
      <c r="AK267" s="382"/>
      <c r="AL267" s="382"/>
      <c r="AM267" s="382"/>
      <c r="AN267" s="382"/>
      <c r="AO267" s="382"/>
      <c r="AP267" s="382"/>
      <c r="AQ267" s="382"/>
      <c r="AR267" s="382"/>
      <c r="AS267" s="382"/>
      <c r="AT267" s="382"/>
      <c r="AU267" s="382">
        <v>89.359626036936703</v>
      </c>
      <c r="AV267" s="382">
        <v>88.390241533577395</v>
      </c>
      <c r="AW267" s="382">
        <v>87.449126796608098</v>
      </c>
      <c r="AX267" s="382">
        <v>86.237790996548497</v>
      </c>
      <c r="AY267" s="382">
        <v>86.773885584196293</v>
      </c>
      <c r="AZ267" s="382">
        <v>90.555922743629296</v>
      </c>
      <c r="BA267" s="382">
        <v>99.023279723874595</v>
      </c>
      <c r="BB267" s="382">
        <v>96.636557244620704</v>
      </c>
      <c r="BC267" s="382">
        <v>100</v>
      </c>
      <c r="BD267" s="382">
        <v>107.336417713153</v>
      </c>
      <c r="BE267" s="382">
        <v>109.994859366968</v>
      </c>
      <c r="BF267" s="382">
        <v>111.938825227216</v>
      </c>
      <c r="BG267" s="382">
        <v>112.418995558574</v>
      </c>
      <c r="BH267" s="382">
        <v>111.815384928396</v>
      </c>
      <c r="BI267" s="382">
        <v>112.12083037922601</v>
      </c>
      <c r="BJ267" s="382">
        <v>113.78945104101599</v>
      </c>
      <c r="BK267" s="382">
        <v>114.988561700519</v>
      </c>
      <c r="BL267" s="382">
        <v>118.065646442895</v>
      </c>
      <c r="BM267" s="382">
        <v>118.29968552161</v>
      </c>
      <c r="BN267" s="382">
        <v>122.267091891806</v>
      </c>
      <c r="BO267" s="382">
        <v>136.426245250384</v>
      </c>
      <c r="BP267" s="382">
        <v>143.17146863473499</v>
      </c>
    </row>
    <row r="268" spans="1:68">
      <c r="A268" s="382" t="s">
        <v>2657</v>
      </c>
      <c r="B268" s="382" t="s">
        <v>2658</v>
      </c>
      <c r="C268" s="382" t="s">
        <v>2334</v>
      </c>
      <c r="D268" s="382" t="s">
        <v>2335</v>
      </c>
      <c r="E268" s="382"/>
      <c r="F268" s="382"/>
      <c r="G268" s="382"/>
      <c r="H268" s="382"/>
      <c r="I268" s="382"/>
      <c r="J268" s="382"/>
      <c r="K268" s="382"/>
      <c r="L268" s="382"/>
      <c r="M268" s="382"/>
      <c r="N268" s="382"/>
      <c r="O268" s="382"/>
      <c r="P268" s="382"/>
      <c r="Q268" s="382"/>
      <c r="R268" s="382"/>
      <c r="S268" s="382"/>
      <c r="T268" s="382"/>
      <c r="U268" s="382"/>
      <c r="V268" s="382"/>
      <c r="W268" s="382"/>
      <c r="X268" s="382"/>
      <c r="Y268" s="382"/>
      <c r="Z268" s="382"/>
      <c r="AA268" s="382"/>
      <c r="AB268" s="382"/>
      <c r="AC268" s="382"/>
      <c r="AD268" s="382"/>
      <c r="AE268" s="382"/>
      <c r="AF268" s="382"/>
      <c r="AG268" s="382"/>
      <c r="AH268" s="382"/>
      <c r="AI268" s="382">
        <v>3.84468633427295</v>
      </c>
      <c r="AJ268" s="382">
        <v>5.2287734146112097</v>
      </c>
      <c r="AK268" s="382">
        <v>6.7666479483203901</v>
      </c>
      <c r="AL268" s="382">
        <v>9.1858800885278296</v>
      </c>
      <c r="AM268" s="382">
        <v>13.7231679725975</v>
      </c>
      <c r="AN268" s="382">
        <v>21.282040789564999</v>
      </c>
      <c r="AO268" s="382">
        <v>27.822806440626501</v>
      </c>
      <c r="AP268" s="382">
        <v>28.428432889798898</v>
      </c>
      <c r="AQ268" s="382">
        <v>30.127460603963499</v>
      </c>
      <c r="AR268" s="382">
        <v>32.736564820127697</v>
      </c>
      <c r="AS268" s="382">
        <v>34.239173145371502</v>
      </c>
      <c r="AT268" s="382">
        <v>38.317603512545801</v>
      </c>
      <c r="AU268" s="382">
        <v>43.007116423029103</v>
      </c>
      <c r="AV268" s="382">
        <v>47.6658024016401</v>
      </c>
      <c r="AW268" s="382">
        <v>53.631222925987899</v>
      </c>
      <c r="AX268" s="382">
        <v>59.965748218682599</v>
      </c>
      <c r="AY268" s="382">
        <v>66.468912896805904</v>
      </c>
      <c r="AZ268" s="382">
        <v>71.723358754955996</v>
      </c>
      <c r="BA268" s="382">
        <v>85.333767951035398</v>
      </c>
      <c r="BB268" s="382">
        <v>89.948414157716797</v>
      </c>
      <c r="BC268" s="382">
        <v>100</v>
      </c>
      <c r="BD268" s="382">
        <v>119.543561713114</v>
      </c>
      <c r="BE268" s="382">
        <v>131.36090559519701</v>
      </c>
      <c r="BF268" s="382">
        <v>145.76915053314801</v>
      </c>
      <c r="BG268" s="382">
        <v>157.58334053767501</v>
      </c>
      <c r="BH268" s="382"/>
      <c r="BI268" s="382"/>
      <c r="BJ268" s="382"/>
      <c r="BK268" s="382"/>
      <c r="BL268" s="382"/>
      <c r="BM268" s="382"/>
      <c r="BN268" s="382"/>
      <c r="BO268" s="382"/>
      <c r="BP268" s="382"/>
    </row>
    <row r="269" spans="1:68">
      <c r="A269" s="382" t="s">
        <v>1166</v>
      </c>
      <c r="B269" s="382" t="s">
        <v>2659</v>
      </c>
      <c r="C269" s="382" t="s">
        <v>2334</v>
      </c>
      <c r="D269" s="382" t="s">
        <v>2335</v>
      </c>
      <c r="E269" s="382">
        <v>1.7724596246884601</v>
      </c>
      <c r="F269" s="382">
        <v>1.80972335434687</v>
      </c>
      <c r="G269" s="382">
        <v>1.83227767189562</v>
      </c>
      <c r="H269" s="382">
        <v>1.85679299222988</v>
      </c>
      <c r="I269" s="382">
        <v>1.90386219029468</v>
      </c>
      <c r="J269" s="382">
        <v>1.98133088989884</v>
      </c>
      <c r="K269" s="382">
        <v>2.0504641548160101</v>
      </c>
      <c r="L269" s="382">
        <v>2.12302990763818</v>
      </c>
      <c r="M269" s="382">
        <v>2.1651961589209798</v>
      </c>
      <c r="N269" s="382">
        <v>2.2353100718369801</v>
      </c>
      <c r="O269" s="382">
        <v>2.3468940038117601</v>
      </c>
      <c r="P269" s="382">
        <v>2.4867078141035099</v>
      </c>
      <c r="Q269" s="382">
        <v>2.6464964081512998</v>
      </c>
      <c r="R269" s="382">
        <v>2.8961665444949398</v>
      </c>
      <c r="S269" s="382">
        <v>3.2357167570737402</v>
      </c>
      <c r="T269" s="382">
        <v>3.6701422078874102</v>
      </c>
      <c r="U269" s="382">
        <v>4.07460621609735</v>
      </c>
      <c r="V269" s="382">
        <v>4.5290048380002901</v>
      </c>
      <c r="W269" s="382">
        <v>5.0333370473537604</v>
      </c>
      <c r="X269" s="382">
        <v>5.7024516933000999</v>
      </c>
      <c r="Y269" s="382">
        <v>6.4814203196012299</v>
      </c>
      <c r="Z269" s="382">
        <v>7.4701120070371001</v>
      </c>
      <c r="AA269" s="382">
        <v>8.5636641254947996</v>
      </c>
      <c r="AB269" s="382">
        <v>9.6172694619557308</v>
      </c>
      <c r="AC269" s="382">
        <v>10.7258022284123</v>
      </c>
      <c r="AD269" s="382">
        <v>12.4734887846357</v>
      </c>
      <c r="AE269" s="382">
        <v>14.8004080046914</v>
      </c>
      <c r="AF269" s="382">
        <v>17.1922399941358</v>
      </c>
      <c r="AG269" s="382">
        <v>19.389330010262402</v>
      </c>
      <c r="AH269" s="382">
        <v>22.2455563700337</v>
      </c>
      <c r="AI269" s="382">
        <v>25.431332649171701</v>
      </c>
      <c r="AJ269" s="382">
        <v>29.331177246738001</v>
      </c>
      <c r="AK269" s="382">
        <v>33.400784342471802</v>
      </c>
      <c r="AL269" s="382">
        <v>36.646494648878502</v>
      </c>
      <c r="AM269" s="382">
        <v>39.9221507110394</v>
      </c>
      <c r="AN269" s="382">
        <v>43.387570737428597</v>
      </c>
      <c r="AO269" s="382">
        <v>46.578341885354</v>
      </c>
      <c r="AP269" s="382">
        <v>50.583046474124103</v>
      </c>
      <c r="AQ269" s="382">
        <v>54.063436446268902</v>
      </c>
      <c r="AR269" s="382">
        <v>56.864729511801798</v>
      </c>
      <c r="AS269" s="382">
        <v>59.900709573376297</v>
      </c>
      <c r="AT269" s="382">
        <v>63.316188242193199</v>
      </c>
      <c r="AU269" s="382">
        <v>69.327877144113799</v>
      </c>
      <c r="AV269" s="382">
        <v>73.265296877290695</v>
      </c>
      <c r="AW269" s="382">
        <v>72.758278844744197</v>
      </c>
      <c r="AX269" s="382">
        <v>74.259170209646697</v>
      </c>
      <c r="AY269" s="382">
        <v>76.668069198064899</v>
      </c>
      <c r="AZ269" s="382">
        <v>81.404474417240905</v>
      </c>
      <c r="BA269" s="382">
        <v>89.605629673068506</v>
      </c>
      <c r="BB269" s="382">
        <v>96.070957337633899</v>
      </c>
      <c r="BC269" s="382">
        <v>100</v>
      </c>
      <c r="BD269" s="382">
        <v>104.99926696965299</v>
      </c>
      <c r="BE269" s="382">
        <v>111.010115818795</v>
      </c>
      <c r="BF269" s="382">
        <v>117.431461662513</v>
      </c>
      <c r="BG269" s="382">
        <v>124.629819674535</v>
      </c>
      <c r="BH269" s="382">
        <v>130.288813956898</v>
      </c>
      <c r="BI269" s="382">
        <v>138.85060841518799</v>
      </c>
      <c r="BJ269" s="382">
        <v>146.04896642720999</v>
      </c>
      <c r="BK269" s="382">
        <v>152.64623955431799</v>
      </c>
      <c r="BL269" s="382">
        <v>158.93563993549299</v>
      </c>
      <c r="BM269" s="382">
        <v>164.03753115379001</v>
      </c>
      <c r="BN269" s="382">
        <v>171.60240433953999</v>
      </c>
      <c r="BO269" s="382">
        <v>183.682744465621</v>
      </c>
      <c r="BP269" s="382">
        <v>194.839466353907</v>
      </c>
    </row>
    <row r="270" spans="1:68">
      <c r="A270" s="382" t="s">
        <v>1215</v>
      </c>
      <c r="B270" s="382" t="s">
        <v>2660</v>
      </c>
      <c r="C270" s="382" t="s">
        <v>2334</v>
      </c>
      <c r="D270" s="382" t="s">
        <v>2335</v>
      </c>
      <c r="E270" s="382"/>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v>1.3551938010276101E-2</v>
      </c>
      <c r="AE270" s="382">
        <v>2.1117743893313799E-2</v>
      </c>
      <c r="AF270" s="382">
        <v>3.1053060410049901E-2</v>
      </c>
      <c r="AG270" s="382">
        <v>4.68913683300353E-2</v>
      </c>
      <c r="AH270" s="382">
        <v>0.104757312226675</v>
      </c>
      <c r="AI270" s="382">
        <v>0.21687257852641301</v>
      </c>
      <c r="AJ270" s="382">
        <v>0.42863200252747702</v>
      </c>
      <c r="AK270" s="382">
        <v>1.1389032075691301</v>
      </c>
      <c r="AL270" s="382">
        <v>3.2266499276675602</v>
      </c>
      <c r="AM270" s="382">
        <v>4.98844343936545</v>
      </c>
      <c r="AN270" s="382">
        <v>6.7308861512495799</v>
      </c>
      <c r="AO270" s="382">
        <v>9.6300873393305206</v>
      </c>
      <c r="AP270" s="382">
        <v>11.9816315535675</v>
      </c>
      <c r="AQ270" s="382">
        <v>14.912153677314199</v>
      </c>
      <c r="AR270" s="382">
        <v>18.9067761726999</v>
      </c>
      <c r="AS270" s="382">
        <v>23.8282878664427</v>
      </c>
      <c r="AT270" s="382">
        <v>28.9260598696352</v>
      </c>
      <c r="AU270" s="382">
        <v>35.357290452119102</v>
      </c>
      <c r="AV270" s="382">
        <v>42.924308684879897</v>
      </c>
      <c r="AW270" s="382">
        <v>50.636857945758798</v>
      </c>
      <c r="AX270" s="382">
        <v>59.915778446598502</v>
      </c>
      <c r="AY270" s="382">
        <v>65.319925505911101</v>
      </c>
      <c r="AZ270" s="382">
        <v>72.281298325545606</v>
      </c>
      <c r="BA270" s="382">
        <v>81.2771246612011</v>
      </c>
      <c r="BB270" s="382">
        <v>92.164402467616199</v>
      </c>
      <c r="BC270" s="382">
        <v>100</v>
      </c>
      <c r="BD270" s="382">
        <v>106.42939681072301</v>
      </c>
      <c r="BE270" s="382">
        <v>113.428087204376</v>
      </c>
      <c r="BF270" s="382">
        <v>121.34273168477</v>
      </c>
      <c r="BG270" s="382">
        <v>130.81580771897401</v>
      </c>
      <c r="BH270" s="382">
        <v>144.042061474463</v>
      </c>
      <c r="BI270" s="382">
        <v>169.78198906093499</v>
      </c>
      <c r="BJ270" s="382">
        <v>180.94907942377299</v>
      </c>
      <c r="BK270" s="382">
        <v>194.51043833294801</v>
      </c>
      <c r="BL270" s="382">
        <v>212.308758955396</v>
      </c>
      <c r="BM270" s="382">
        <v>245.71142438949201</v>
      </c>
      <c r="BN270" s="382">
        <v>299.81896618134198</v>
      </c>
      <c r="BO270" s="382">
        <v>332.77867652723199</v>
      </c>
      <c r="BP270" s="382">
        <v>369.000077035667</v>
      </c>
    </row>
    <row r="271" spans="1:68">
      <c r="A271" s="382" t="s">
        <v>1167</v>
      </c>
      <c r="B271" s="382" t="s">
        <v>2661</v>
      </c>
      <c r="C271" s="382" t="s">
        <v>2334</v>
      </c>
      <c r="D271" s="382" t="s">
        <v>2335</v>
      </c>
      <c r="E271" s="382"/>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c r="AH271" s="382"/>
      <c r="AI271" s="382"/>
      <c r="AJ271" s="382"/>
      <c r="AK271" s="382"/>
      <c r="AL271" s="382"/>
      <c r="AM271" s="382"/>
      <c r="AN271" s="382"/>
      <c r="AO271" s="382"/>
      <c r="AP271" s="382"/>
      <c r="AQ271" s="382"/>
      <c r="AR271" s="382"/>
      <c r="AS271" s="382"/>
      <c r="AT271" s="382"/>
      <c r="AU271" s="382"/>
      <c r="AV271" s="382"/>
      <c r="AW271" s="382"/>
      <c r="AX271" s="382"/>
      <c r="AY271" s="382"/>
      <c r="AZ271" s="382"/>
      <c r="BA271" s="382"/>
      <c r="BB271" s="382">
        <v>97.066014669926602</v>
      </c>
      <c r="BC271" s="382">
        <v>100</v>
      </c>
      <c r="BD271" s="382">
        <v>103.46612972817501</v>
      </c>
      <c r="BE271" s="382">
        <v>107.320581044154</v>
      </c>
      <c r="BF271" s="382">
        <v>109.07521932978599</v>
      </c>
      <c r="BG271" s="382">
        <v>108.85948511433899</v>
      </c>
      <c r="BH271" s="382">
        <v>106.213145404861</v>
      </c>
      <c r="BI271" s="382">
        <v>104.573565367467</v>
      </c>
      <c r="BJ271" s="382">
        <v>105.508413634402</v>
      </c>
      <c r="BK271" s="382">
        <v>116.712210556594</v>
      </c>
      <c r="BL271" s="382">
        <v>414.68430893139703</v>
      </c>
      <c r="BM271" s="382">
        <v>2725.3128146124</v>
      </c>
      <c r="BN271" s="382">
        <v>5411.0024449877701</v>
      </c>
      <c r="BO271" s="382">
        <v>11076.6017877336</v>
      </c>
      <c r="BP271" s="38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6d4180e-9d5c-49f4-a5bd-2dea8752bb82">
      <UserInfo>
        <DisplayName>Sonja Sechi</DisplayName>
        <AccountId>20</AccountId>
        <AccountType/>
      </UserInfo>
      <UserInfo>
        <DisplayName>Tommaso Pillon</DisplayName>
        <AccountId>31</AccountId>
        <AccountType/>
      </UserInfo>
      <UserInfo>
        <DisplayName>Alessandro Chiodi</DisplayName>
        <AccountId>22</AccountId>
        <AccountType/>
      </UserInfo>
      <UserInfo>
        <DisplayName>Maurizio Gargiulo</DisplayName>
        <AccountId>18</AccountId>
        <AccountType/>
      </UserInfo>
    </SharedWithUsers>
    <TaxCatchAll xmlns="46d4180e-9d5c-49f4-a5bd-2dea8752bb82" xsi:nil="true"/>
    <lcf76f155ced4ddcb4097134ff3c332f xmlns="5d9037d5-ce8e-40bf-98c7-9bd5160835c3">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FB50CDC42719814B843C09387267EE67" ma:contentTypeVersion="14" ma:contentTypeDescription="Creare un nuovo documento." ma:contentTypeScope="" ma:versionID="1d7ae78bd5f9518608b1669b47f845f6">
  <xsd:schema xmlns:xsd="http://www.w3.org/2001/XMLSchema" xmlns:xs="http://www.w3.org/2001/XMLSchema" xmlns:p="http://schemas.microsoft.com/office/2006/metadata/properties" xmlns:ns2="5d9037d5-ce8e-40bf-98c7-9bd5160835c3" xmlns:ns3="46d4180e-9d5c-49f4-a5bd-2dea8752bb82" targetNamespace="http://schemas.microsoft.com/office/2006/metadata/properties" ma:root="true" ma:fieldsID="24f511842ff2524e4a531eeb34aac8db" ns2:_="" ns3:_="">
    <xsd:import namespace="5d9037d5-ce8e-40bf-98c7-9bd5160835c3"/>
    <xsd:import namespace="46d4180e-9d5c-49f4-a5bd-2dea8752bb8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9037d5-ce8e-40bf-98c7-9bd5160835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Tag immagine" ma:readOnly="false" ma:fieldId="{5cf76f15-5ced-4ddc-b409-7134ff3c332f}" ma:taxonomyMulti="true" ma:sspId="9ec2760b-b41c-4edf-bb54-af65057d024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6d4180e-9d5c-49f4-a5bd-2dea8752bb82" elementFormDefault="qualified">
    <xsd:import namespace="http://schemas.microsoft.com/office/2006/documentManagement/types"/>
    <xsd:import namespace="http://schemas.microsoft.com/office/infopath/2007/PartnerControls"/>
    <xsd:element name="SharedWithUsers" ma:index="11"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Condiviso con dettagli" ma:internalName="SharedWithDetails" ma:readOnly="true">
      <xsd:simpleType>
        <xsd:restriction base="dms:Note">
          <xsd:maxLength value="255"/>
        </xsd:restriction>
      </xsd:simpleType>
    </xsd:element>
    <xsd:element name="TaxCatchAll" ma:index="20" nillable="true" ma:displayName="Taxonomy Catch All Column" ma:hidden="true" ma:list="{7a5e9b63-37fa-45eb-99fc-6d2867560c65}" ma:internalName="TaxCatchAll" ma:showField="CatchAllData" ma:web="46d4180e-9d5c-49f4-a5bd-2dea8752bb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60B89D-2B1A-4276-B2BF-2D8C4509976E}">
  <ds:schemaRefs>
    <ds:schemaRef ds:uri="http://schemas.microsoft.com/office/infopath/2007/PartnerControls"/>
    <ds:schemaRef ds:uri="http://purl.org/dc/terms/"/>
    <ds:schemaRef ds:uri="46d4180e-9d5c-49f4-a5bd-2dea8752bb82"/>
    <ds:schemaRef ds:uri="http://schemas.microsoft.com/office/2006/metadata/properties"/>
    <ds:schemaRef ds:uri="http://purl.org/dc/dcmitype/"/>
    <ds:schemaRef ds:uri="http://purl.org/dc/elements/1.1/"/>
    <ds:schemaRef ds:uri="http://schemas.microsoft.com/office/2006/documentManagement/types"/>
    <ds:schemaRef ds:uri="http://schemas.openxmlformats.org/package/2006/metadata/core-properties"/>
    <ds:schemaRef ds:uri="5d9037d5-ce8e-40bf-98c7-9bd5160835c3"/>
    <ds:schemaRef ds:uri="http://www.w3.org/XML/1998/namespace"/>
  </ds:schemaRefs>
</ds:datastoreItem>
</file>

<file path=customXml/itemProps2.xml><?xml version="1.0" encoding="utf-8"?>
<ds:datastoreItem xmlns:ds="http://schemas.openxmlformats.org/officeDocument/2006/customXml" ds:itemID="{9D0F0F75-663A-48FA-9DEE-05E39DB2F43A}">
  <ds:schemaRefs>
    <ds:schemaRef ds:uri="http://schemas.microsoft.com/sharepoint/v3/contenttype/forms"/>
  </ds:schemaRefs>
</ds:datastoreItem>
</file>

<file path=customXml/itemProps3.xml><?xml version="1.0" encoding="utf-8"?>
<ds:datastoreItem xmlns:ds="http://schemas.openxmlformats.org/officeDocument/2006/customXml" ds:itemID="{5D2F1AB8-E8AC-4112-8ED6-788BD4C45B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9037d5-ce8e-40bf-98c7-9bd5160835c3"/>
    <ds:schemaRef ds:uri="46d4180e-9d5c-49f4-a5bd-2dea8752bb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Legend</vt:lpstr>
      <vt:lpstr>LOG</vt:lpstr>
      <vt:lpstr>Commodities</vt:lpstr>
      <vt:lpstr>FuelTechs</vt:lpstr>
      <vt:lpstr>Reserves - FF</vt:lpstr>
      <vt:lpstr>Potential - Biomass</vt:lpstr>
      <vt:lpstr>Primary production - FF</vt:lpstr>
      <vt:lpstr>Biofuel production</vt:lpstr>
      <vt:lpstr>Transformation</vt:lpstr>
      <vt:lpstr>EnergyServices</vt:lpstr>
      <vt:lpstr>H2Prod</vt:lpstr>
      <vt:lpstr>Pipelines</vt:lpstr>
      <vt:lpstr>CommodityConv</vt:lpstr>
      <vt:lpstr>LNG</vt:lpstr>
      <vt:lpstr>Key inputs_EB_TRF</vt:lpstr>
      <vt:lpstr>Key inputs_EB_OWN</vt:lpstr>
      <vt:lpstr>Key inputs_EB_MIN</vt:lpstr>
      <vt:lpstr>Key inputs_EB_TRA</vt:lpstr>
      <vt:lpstr>Key inputs_EB_NON</vt:lpstr>
      <vt:lpstr>Key inputs_Reserves</vt:lpstr>
      <vt:lpstr>Key inputs_Refineries</vt:lpstr>
      <vt:lpstr>Key inputs_Pipelines</vt:lpstr>
      <vt:lpstr>Key inputs_EB_Trade</vt:lpstr>
      <vt:lpstr>Key inputs_LNG</vt:lpstr>
      <vt:lpstr>Key inputs_TRF</vt:lpstr>
      <vt:lpstr>Key input_Biomass_MAgPIE</vt:lpstr>
      <vt:lpstr>Key input_Biofuel production</vt:lpstr>
      <vt:lpstr>Key inputs_Emissions</vt:lpstr>
      <vt:lpstr>EI(2024)_OilRSV</vt:lpstr>
      <vt:lpstr>EI(2024)_GasRSV</vt:lpstr>
      <vt:lpstr>Welsby(2022)</vt:lpstr>
      <vt:lpstr>EI(2024)_CoalRSV</vt:lpstr>
      <vt:lpstr>NEA(2020)_Uranium</vt:lpstr>
      <vt:lpstr>UN(2023)EnergyStat_OilProd</vt:lpstr>
      <vt:lpstr>UN(2023)EnergyStat_Refineries</vt:lpstr>
      <vt:lpstr>UN(2023)EnergyStat_OtherTran</vt:lpstr>
      <vt:lpstr>IGU(2020)_Liquefaction_plant</vt:lpstr>
      <vt:lpstr>IGU(2020)_ReceivingTerminal</vt:lpstr>
      <vt:lpstr>IGU(2020)_LNG_TRADE</vt:lpstr>
      <vt:lpstr>GEM(2024)_OIL</vt:lpstr>
      <vt:lpstr>GEM(2024)_NGL</vt:lpstr>
      <vt:lpstr>GEM(2023)_GAS</vt:lpstr>
      <vt:lpstr>Aguilera(2014)</vt:lpstr>
      <vt:lpstr>WSJ(2016)Breakout</vt:lpstr>
      <vt:lpstr>IEA(2020)Coal</vt:lpstr>
      <vt:lpstr>Qin(2017)_Coke</vt:lpstr>
      <vt:lpstr>Khwanpruk(2015)_GasSep</vt:lpstr>
      <vt:lpstr>IEA(2023)_H2</vt:lpstr>
      <vt:lpstr>Favennec (2022) Refinning</vt:lpstr>
      <vt:lpstr>Panos(2016)_Boilers</vt:lpstr>
      <vt:lpstr>Gerrior(2022)Ethanol</vt:lpstr>
      <vt:lpstr>Apostolakou(2009)_Biodiesel</vt:lpstr>
      <vt:lpstr>Ahmed(2023)_Biogas</vt:lpstr>
      <vt:lpstr>Barbera(2019)_UPGBiogas</vt:lpstr>
      <vt:lpstr>ETSAP(2013)_Biogas</vt:lpstr>
      <vt:lpstr>IPCC(2006)</vt:lpstr>
      <vt:lpstr>GEM(2024)_Coal</vt:lpstr>
      <vt:lpstr>MAGPIELink</vt:lpstr>
      <vt:lpstr>Biomass_Calibration</vt:lpstr>
      <vt:lpstr>Region Mapping</vt:lpstr>
      <vt:lpstr>Consumer_Price_index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Maurizio Gargiulo - E4SMA;James Glynn - UCC</dc:creator>
  <cp:keywords/>
  <dc:description/>
  <cp:lastModifiedBy>E4SMA Server2</cp:lastModifiedBy>
  <cp:revision/>
  <dcterms:created xsi:type="dcterms:W3CDTF">2019-01-10T17:18:58Z</dcterms:created>
  <dcterms:modified xsi:type="dcterms:W3CDTF">2025-07-28T10:17:18Z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332932651042938</vt:r8>
  </property>
  <property fmtid="{D5CDD505-2E9C-101B-9397-08002B2CF9AE}" pid="3" name="ContentTypeId">
    <vt:lpwstr>0x010100FB50CDC42719814B843C09387267EE67</vt:lpwstr>
  </property>
  <property fmtid="{D5CDD505-2E9C-101B-9397-08002B2CF9AE}" pid="4" name="MediaServiceImageTags">
    <vt:lpwstr/>
  </property>
</Properties>
</file>